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drawings/drawing8.xml" ContentType="application/vnd.openxmlformats-officedocument.drawing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D:\01 DOCUEMENTOS\CENTRAL ARCHIVO  2 0 1 7\CENTRAL  # 11 NOVIEMBRE 2017\"/>
    </mc:Choice>
  </mc:AlternateContent>
  <xr:revisionPtr revIDLastSave="0" documentId="13_ncr:1_{B52DCE6B-8DC5-4597-B425-45185A5AA485}" xr6:coauthVersionLast="45" xr6:coauthVersionMax="45" xr10:uidLastSave="{00000000-0000-0000-0000-000000000000}"/>
  <bookViews>
    <workbookView xWindow="7470" yWindow="405" windowWidth="15450" windowHeight="11550" firstSheet="8" activeTab="9" xr2:uid="{00000000-000D-0000-FFFF-FFFF00000000}"/>
  </bookViews>
  <sheets>
    <sheet name="E N E R O      2 0 1 7      " sheetId="1" r:id="rId1"/>
    <sheet name="FEBRERO     2017        " sheetId="2" r:id="rId2"/>
    <sheet name="M A R Z O    2 0 1 7     " sheetId="3" r:id="rId3"/>
    <sheet name="ABRIL    2 0 1 7    " sheetId="4" r:id="rId4"/>
    <sheet name="M A Y O    2 0 1 7   " sheetId="5" r:id="rId5"/>
    <sheet name="J U N I O     2 0 1 7      " sheetId="6" r:id="rId6"/>
    <sheet name="J U L I O     2017      " sheetId="8" r:id="rId7"/>
    <sheet name="A G O S T O    2017   " sheetId="9" r:id="rId8"/>
    <sheet name="SEPTIEMBRE   2 0 1 7     " sheetId="7" r:id="rId9"/>
    <sheet name="OCTUBRE   2 0 1 7     " sheetId="12" r:id="rId10"/>
    <sheet name="Hoja3" sheetId="11" r:id="rId1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138" i="12" l="1"/>
  <c r="G2678" i="12"/>
  <c r="G3438" i="12" l="1"/>
  <c r="G593" i="12"/>
  <c r="G2811" i="12" l="1"/>
  <c r="G2514" i="7" l="1"/>
  <c r="G2533" i="12" l="1"/>
  <c r="G1976" i="12" l="1"/>
  <c r="G3990" i="12" l="1"/>
  <c r="G3436" i="12" l="1"/>
  <c r="G3125" i="12"/>
  <c r="G3821" i="12" l="1"/>
  <c r="G848" i="12" l="1"/>
  <c r="G3911" i="12" l="1"/>
  <c r="G3907" i="12"/>
  <c r="G3696" i="12"/>
  <c r="G3605" i="12" l="1"/>
  <c r="G3576" i="12"/>
  <c r="G3477" i="12"/>
  <c r="G3401" i="12"/>
  <c r="G3999" i="12" l="1"/>
  <c r="F4003" i="12" s="1"/>
  <c r="E3999" i="12"/>
  <c r="G3757" i="12"/>
  <c r="G3750" i="12"/>
  <c r="G3526" i="12"/>
  <c r="G3141" i="12"/>
  <c r="G844" i="7"/>
  <c r="G104" i="7"/>
  <c r="H3998" i="12" l="1"/>
  <c r="H3997" i="12"/>
  <c r="H3996" i="12"/>
  <c r="H3995" i="12"/>
  <c r="H3994" i="12"/>
  <c r="H3993" i="12"/>
  <c r="H3992" i="12"/>
  <c r="H3991" i="12"/>
  <c r="H3990" i="12"/>
  <c r="H3989" i="12"/>
  <c r="H3988" i="12"/>
  <c r="H3987" i="12"/>
  <c r="H3986" i="12"/>
  <c r="H3985" i="12"/>
  <c r="H3984" i="12"/>
  <c r="H3983" i="12"/>
  <c r="H3982" i="12"/>
  <c r="H3981" i="12"/>
  <c r="H3980" i="12"/>
  <c r="H3979" i="12"/>
  <c r="H3978" i="12"/>
  <c r="H3977" i="12"/>
  <c r="H3976" i="12"/>
  <c r="H3975" i="12"/>
  <c r="H3974" i="12"/>
  <c r="H3973" i="12"/>
  <c r="H3972" i="12"/>
  <c r="H3971" i="12"/>
  <c r="H3970" i="12"/>
  <c r="H3969" i="12"/>
  <c r="H3968" i="12"/>
  <c r="H3967" i="12"/>
  <c r="H3966" i="12"/>
  <c r="H3965" i="12"/>
  <c r="H3964" i="12"/>
  <c r="H3963" i="12"/>
  <c r="H3962" i="12"/>
  <c r="H3961" i="12"/>
  <c r="H3960" i="12"/>
  <c r="H3959" i="12"/>
  <c r="H3958" i="12"/>
  <c r="H3957" i="12"/>
  <c r="H3956" i="12"/>
  <c r="H3955" i="12"/>
  <c r="H3954" i="12"/>
  <c r="H3953" i="12"/>
  <c r="H3952" i="12"/>
  <c r="H3951" i="12"/>
  <c r="H3950" i="12"/>
  <c r="H3949" i="12"/>
  <c r="H3948" i="12"/>
  <c r="H3947" i="12"/>
  <c r="H3946" i="12"/>
  <c r="H3945" i="12"/>
  <c r="H3944" i="12"/>
  <c r="H3943" i="12"/>
  <c r="H3942" i="12"/>
  <c r="H3941" i="12"/>
  <c r="H3940" i="12"/>
  <c r="H3939" i="12"/>
  <c r="H3938" i="12"/>
  <c r="H3937" i="12"/>
  <c r="H3936" i="12"/>
  <c r="H3935" i="12"/>
  <c r="H3934" i="12"/>
  <c r="H3933" i="12"/>
  <c r="H3932" i="12"/>
  <c r="H3931" i="12"/>
  <c r="H3930" i="12"/>
  <c r="H3929" i="12"/>
  <c r="H3928" i="12"/>
  <c r="H3927" i="12"/>
  <c r="H3926" i="12"/>
  <c r="H3925" i="12"/>
  <c r="H3924" i="12"/>
  <c r="H3923" i="12"/>
  <c r="H3922" i="12"/>
  <c r="H3921" i="12"/>
  <c r="H3920" i="12"/>
  <c r="H3919" i="12"/>
  <c r="H3918" i="12"/>
  <c r="H3917" i="12"/>
  <c r="H3916" i="12"/>
  <c r="H3915" i="12"/>
  <c r="H3914" i="12"/>
  <c r="H3913" i="12"/>
  <c r="H3912" i="12"/>
  <c r="H3911" i="12"/>
  <c r="H3910" i="12"/>
  <c r="H3909" i="12"/>
  <c r="H3908" i="12"/>
  <c r="H3907" i="12"/>
  <c r="H3906" i="12"/>
  <c r="H3905" i="12"/>
  <c r="H3904" i="12"/>
  <c r="H3903" i="12"/>
  <c r="H3902" i="12"/>
  <c r="H3901" i="12"/>
  <c r="H3900" i="12"/>
  <c r="H3899" i="12"/>
  <c r="H3898" i="12"/>
  <c r="H3897" i="12"/>
  <c r="H3896" i="12"/>
  <c r="H3895" i="12"/>
  <c r="H3894" i="12"/>
  <c r="H3893" i="12"/>
  <c r="H3892" i="12"/>
  <c r="H3891" i="12"/>
  <c r="H3890" i="12"/>
  <c r="H3889" i="12"/>
  <c r="H3888" i="12"/>
  <c r="H3887" i="12"/>
  <c r="H3886" i="12"/>
  <c r="H3885" i="12"/>
  <c r="H3884" i="12"/>
  <c r="H3883" i="12"/>
  <c r="H3882" i="12"/>
  <c r="H3881" i="12"/>
  <c r="H3880" i="12"/>
  <c r="H3879" i="12"/>
  <c r="H3878" i="12"/>
  <c r="H3877" i="12"/>
  <c r="H3876" i="12"/>
  <c r="H3875" i="12"/>
  <c r="H3874" i="12"/>
  <c r="H3873" i="12"/>
  <c r="H3872" i="12"/>
  <c r="H3871" i="12"/>
  <c r="H3870" i="12"/>
  <c r="H3869" i="12"/>
  <c r="H3868" i="12"/>
  <c r="H3867" i="12"/>
  <c r="H3866" i="12"/>
  <c r="H3865" i="12"/>
  <c r="H3864" i="12"/>
  <c r="H3863" i="12"/>
  <c r="H3862" i="12"/>
  <c r="H3861" i="12"/>
  <c r="H3860" i="12"/>
  <c r="H3859" i="12"/>
  <c r="H3858" i="12"/>
  <c r="H3857" i="12"/>
  <c r="H3856" i="12"/>
  <c r="H3855" i="12"/>
  <c r="H3854" i="12"/>
  <c r="H3853" i="12"/>
  <c r="H3852" i="12"/>
  <c r="H3851" i="12"/>
  <c r="H3850" i="12"/>
  <c r="H3849" i="12"/>
  <c r="H3848" i="12"/>
  <c r="H3847" i="12"/>
  <c r="H3846" i="12"/>
  <c r="H3845" i="12"/>
  <c r="H3844" i="12"/>
  <c r="H3843" i="12"/>
  <c r="H3842" i="12"/>
  <c r="H3841" i="12"/>
  <c r="H3840" i="12"/>
  <c r="H3839" i="12"/>
  <c r="H3838" i="12"/>
  <c r="H3837" i="12"/>
  <c r="H3836" i="12"/>
  <c r="H3835" i="12"/>
  <c r="H3834" i="12"/>
  <c r="H3833" i="12"/>
  <c r="H3832" i="12"/>
  <c r="H3831" i="12"/>
  <c r="H3830" i="12"/>
  <c r="H3829" i="12"/>
  <c r="H3828" i="12"/>
  <c r="H3827" i="12"/>
  <c r="H3826" i="12"/>
  <c r="H3825" i="12"/>
  <c r="H3824" i="12"/>
  <c r="H3823" i="12"/>
  <c r="H3822" i="12"/>
  <c r="H3821" i="12"/>
  <c r="H3820" i="12"/>
  <c r="H3819" i="12"/>
  <c r="H3818" i="12"/>
  <c r="H3817" i="12"/>
  <c r="H3816" i="12"/>
  <c r="H3815" i="12"/>
  <c r="H3814" i="12"/>
  <c r="H3813" i="12"/>
  <c r="H3812" i="12"/>
  <c r="H3811" i="12"/>
  <c r="H3810" i="12"/>
  <c r="H3809" i="12"/>
  <c r="H3808" i="12"/>
  <c r="H3807" i="12"/>
  <c r="H3806" i="12"/>
  <c r="H3805" i="12"/>
  <c r="H3804" i="12"/>
  <c r="H3803" i="12"/>
  <c r="H3802" i="12"/>
  <c r="H3801" i="12"/>
  <c r="H3800" i="12"/>
  <c r="H3799" i="12"/>
  <c r="H3798" i="12"/>
  <c r="H3797" i="12"/>
  <c r="H3796" i="12"/>
  <c r="H3795" i="12"/>
  <c r="H3794" i="12"/>
  <c r="H3793" i="12"/>
  <c r="H3792" i="12"/>
  <c r="H3791" i="12"/>
  <c r="H3790" i="12"/>
  <c r="H3789" i="12"/>
  <c r="H3788" i="12"/>
  <c r="H3787" i="12"/>
  <c r="H3786" i="12"/>
  <c r="H3785" i="12"/>
  <c r="H3784" i="12"/>
  <c r="H3783" i="12"/>
  <c r="H3782" i="12"/>
  <c r="H3781" i="12"/>
  <c r="H3780" i="12"/>
  <c r="H3779" i="12"/>
  <c r="H3778" i="12"/>
  <c r="H3777" i="12"/>
  <c r="H3776" i="12"/>
  <c r="H3775" i="12"/>
  <c r="H3774" i="12"/>
  <c r="H3773" i="12"/>
  <c r="H3772" i="12"/>
  <c r="H3771" i="12"/>
  <c r="H3770" i="12"/>
  <c r="H3769" i="12"/>
  <c r="H3768" i="12"/>
  <c r="H3767" i="12"/>
  <c r="H3766" i="12"/>
  <c r="H3765" i="12"/>
  <c r="H3764" i="12"/>
  <c r="H3763" i="12"/>
  <c r="H3762" i="12"/>
  <c r="H3761" i="12"/>
  <c r="H3760" i="12"/>
  <c r="H3759" i="12"/>
  <c r="H3758" i="12"/>
  <c r="H3757" i="12"/>
  <c r="H3756" i="12"/>
  <c r="H3755" i="12"/>
  <c r="H3754" i="12"/>
  <c r="H3753" i="12"/>
  <c r="H3752" i="12"/>
  <c r="H3751" i="12"/>
  <c r="H3750" i="12"/>
  <c r="H3749" i="12"/>
  <c r="H3748" i="12"/>
  <c r="H3747" i="12"/>
  <c r="H3746" i="12"/>
  <c r="H3745" i="12"/>
  <c r="H3744" i="12"/>
  <c r="H3743" i="12"/>
  <c r="H3742" i="12"/>
  <c r="H3741" i="12"/>
  <c r="H3740" i="12"/>
  <c r="H3739" i="12"/>
  <c r="H3738" i="12"/>
  <c r="H3737" i="12"/>
  <c r="H3736" i="12"/>
  <c r="H3735" i="12"/>
  <c r="H3734" i="12"/>
  <c r="H3733" i="12"/>
  <c r="H3732" i="12"/>
  <c r="H3731" i="12"/>
  <c r="H3730" i="12"/>
  <c r="H3729" i="12"/>
  <c r="H3728" i="12"/>
  <c r="H3727" i="12"/>
  <c r="H3726" i="12"/>
  <c r="H3725" i="12"/>
  <c r="H3724" i="12"/>
  <c r="H3723" i="12"/>
  <c r="H3722" i="12"/>
  <c r="H3721" i="12"/>
  <c r="H3720" i="12"/>
  <c r="H3719" i="12"/>
  <c r="H3718" i="12"/>
  <c r="H3717" i="12"/>
  <c r="H3716" i="12"/>
  <c r="H3715" i="12"/>
  <c r="H3714" i="12"/>
  <c r="H3713" i="12"/>
  <c r="H3712" i="12"/>
  <c r="H3711" i="12"/>
  <c r="H3710" i="12"/>
  <c r="H3709" i="12"/>
  <c r="H3708" i="12"/>
  <c r="H3707" i="12"/>
  <c r="H3706" i="12"/>
  <c r="H3705" i="12"/>
  <c r="H3704" i="12"/>
  <c r="H3703" i="12"/>
  <c r="H3702" i="12"/>
  <c r="H3701" i="12"/>
  <c r="H3700" i="12"/>
  <c r="H3699" i="12"/>
  <c r="H3698" i="12"/>
  <c r="H3697" i="12"/>
  <c r="H3696" i="12"/>
  <c r="H3695" i="12"/>
  <c r="H3694" i="12"/>
  <c r="H3693" i="12"/>
  <c r="H3692" i="12"/>
  <c r="H3691" i="12"/>
  <c r="H3690" i="12"/>
  <c r="H3689" i="12"/>
  <c r="H3688" i="12"/>
  <c r="H3687" i="12"/>
  <c r="H3686" i="12"/>
  <c r="H3685" i="12"/>
  <c r="H3684" i="12"/>
  <c r="H3683" i="12"/>
  <c r="H3682" i="12"/>
  <c r="H3681" i="12"/>
  <c r="H3680" i="12"/>
  <c r="H3679" i="12"/>
  <c r="H3678" i="12"/>
  <c r="H3677" i="12"/>
  <c r="H3676" i="12"/>
  <c r="H3675" i="12"/>
  <c r="H3674" i="12"/>
  <c r="H3673" i="12"/>
  <c r="H3672" i="12"/>
  <c r="H3671" i="12"/>
  <c r="H3670" i="12"/>
  <c r="H3669" i="12"/>
  <c r="H3668" i="12"/>
  <c r="H3667" i="12"/>
  <c r="H3666" i="12"/>
  <c r="H3665" i="12"/>
  <c r="H3664" i="12"/>
  <c r="H3663" i="12"/>
  <c r="H3662" i="12"/>
  <c r="H3661" i="12"/>
  <c r="H3660" i="12"/>
  <c r="H3659" i="12"/>
  <c r="H3658" i="12"/>
  <c r="H3657" i="12"/>
  <c r="H3656" i="12"/>
  <c r="H3655" i="12"/>
  <c r="H3654" i="12"/>
  <c r="H3653" i="12"/>
  <c r="H3652" i="12"/>
  <c r="H3651" i="12"/>
  <c r="H3650" i="12"/>
  <c r="H3649" i="12"/>
  <c r="H3648" i="12"/>
  <c r="H3647" i="12"/>
  <c r="H3646" i="12"/>
  <c r="H3645" i="12"/>
  <c r="H3644" i="12"/>
  <c r="H3643" i="12"/>
  <c r="H3642" i="12"/>
  <c r="H3641" i="12"/>
  <c r="H3640" i="12"/>
  <c r="H3639" i="12"/>
  <c r="H3638" i="12"/>
  <c r="H3637" i="12"/>
  <c r="H3636" i="12"/>
  <c r="H3635" i="12"/>
  <c r="H3634" i="12"/>
  <c r="H3633" i="12"/>
  <c r="H3632" i="12"/>
  <c r="G3632" i="12"/>
  <c r="H3631" i="12"/>
  <c r="H3630" i="12"/>
  <c r="H3629" i="12"/>
  <c r="H3628" i="12"/>
  <c r="H3627" i="12"/>
  <c r="H3626" i="12"/>
  <c r="H3625" i="12"/>
  <c r="H3624" i="12"/>
  <c r="H3623" i="12"/>
  <c r="H3622" i="12"/>
  <c r="H3621" i="12"/>
  <c r="H3620" i="12"/>
  <c r="H3619" i="12"/>
  <c r="H3618" i="12"/>
  <c r="H3617" i="12"/>
  <c r="H3616" i="12"/>
  <c r="H3615" i="12"/>
  <c r="H3614" i="12"/>
  <c r="H3613" i="12"/>
  <c r="H3612" i="12"/>
  <c r="H3611" i="12"/>
  <c r="H3610" i="12"/>
  <c r="H3609" i="12"/>
  <c r="H3608" i="12"/>
  <c r="H3607" i="12"/>
  <c r="H3606" i="12"/>
  <c r="H3605" i="12"/>
  <c r="H3604" i="12"/>
  <c r="H3603" i="12"/>
  <c r="H3602" i="12"/>
  <c r="H3601" i="12"/>
  <c r="H3600" i="12"/>
  <c r="H3599" i="12"/>
  <c r="H3598" i="12"/>
  <c r="H3597" i="12"/>
  <c r="H3596" i="12"/>
  <c r="H3595" i="12"/>
  <c r="H3594" i="12"/>
  <c r="H3593" i="12"/>
  <c r="H3592" i="12"/>
  <c r="H3591" i="12"/>
  <c r="H3590" i="12"/>
  <c r="H3589" i="12"/>
  <c r="G3589" i="12"/>
  <c r="H3588" i="12"/>
  <c r="H3587" i="12"/>
  <c r="H3586" i="12"/>
  <c r="H3585" i="12"/>
  <c r="H3584" i="12"/>
  <c r="H3583" i="12"/>
  <c r="H3582" i="12"/>
  <c r="H3581" i="12"/>
  <c r="H3580" i="12"/>
  <c r="H3579" i="12"/>
  <c r="H3578" i="12"/>
  <c r="H3577" i="12"/>
  <c r="H3576" i="12"/>
  <c r="H3575" i="12"/>
  <c r="H3574" i="12"/>
  <c r="H3573" i="12"/>
  <c r="H3572" i="12"/>
  <c r="H3571" i="12"/>
  <c r="H3570" i="12"/>
  <c r="H3569" i="12"/>
  <c r="H3568" i="12"/>
  <c r="H3567" i="12"/>
  <c r="H3566" i="12"/>
  <c r="H3565" i="12"/>
  <c r="H3564" i="12"/>
  <c r="H3563" i="12"/>
  <c r="H3562" i="12"/>
  <c r="H3561" i="12"/>
  <c r="H3560" i="12"/>
  <c r="H3559" i="12"/>
  <c r="G3558" i="12"/>
  <c r="H3558" i="12" s="1"/>
  <c r="H3557" i="12"/>
  <c r="H3556" i="12"/>
  <c r="G3556" i="12"/>
  <c r="H3555" i="12"/>
  <c r="H3554" i="12"/>
  <c r="H3553" i="12"/>
  <c r="H3552" i="12"/>
  <c r="H3551" i="12"/>
  <c r="H3550" i="12"/>
  <c r="H3549" i="12"/>
  <c r="H3548" i="12"/>
  <c r="H3547" i="12"/>
  <c r="H3546" i="12"/>
  <c r="H3545" i="12"/>
  <c r="H3544" i="12"/>
  <c r="H3543" i="12"/>
  <c r="H3542" i="12"/>
  <c r="H3541" i="12"/>
  <c r="H3540" i="12"/>
  <c r="H3539" i="12"/>
  <c r="H3538" i="12"/>
  <c r="H3537" i="12"/>
  <c r="H3536" i="12"/>
  <c r="H3535" i="12"/>
  <c r="H3534" i="12"/>
  <c r="H3533" i="12"/>
  <c r="H3532" i="12"/>
  <c r="H3531" i="12"/>
  <c r="H3530" i="12"/>
  <c r="H3529" i="12"/>
  <c r="H3528" i="12"/>
  <c r="H3527" i="12"/>
  <c r="H3526" i="12"/>
  <c r="H3525" i="12"/>
  <c r="H3524" i="12"/>
  <c r="H3523" i="12"/>
  <c r="H3522" i="12"/>
  <c r="H3521" i="12"/>
  <c r="H3520" i="12"/>
  <c r="H3519" i="12"/>
  <c r="H3518" i="12"/>
  <c r="H3517" i="12"/>
  <c r="H3516" i="12"/>
  <c r="H3515" i="12"/>
  <c r="H3514" i="12"/>
  <c r="H3513" i="12"/>
  <c r="H3512" i="12"/>
  <c r="H3511" i="12"/>
  <c r="H3510" i="12"/>
  <c r="H3509" i="12"/>
  <c r="H3508" i="12"/>
  <c r="H3507" i="12"/>
  <c r="H3506" i="12"/>
  <c r="H3505" i="12"/>
  <c r="H3504" i="12"/>
  <c r="H3503" i="12"/>
  <c r="H3502" i="12"/>
  <c r="H3501" i="12"/>
  <c r="H3500" i="12"/>
  <c r="H3499" i="12"/>
  <c r="H3498" i="12"/>
  <c r="H3497" i="12"/>
  <c r="H3496" i="12"/>
  <c r="H3495" i="12"/>
  <c r="H3494" i="12"/>
  <c r="H3493" i="12"/>
  <c r="H3492" i="12"/>
  <c r="H3491" i="12"/>
  <c r="H3490" i="12"/>
  <c r="H3489" i="12"/>
  <c r="H3488" i="12"/>
  <c r="H3487" i="12"/>
  <c r="H3486" i="12"/>
  <c r="H3485" i="12"/>
  <c r="H3484" i="12"/>
  <c r="H3483" i="12"/>
  <c r="H3482" i="12"/>
  <c r="H3481" i="12"/>
  <c r="H3480" i="12"/>
  <c r="H3479" i="12"/>
  <c r="H3478" i="12"/>
  <c r="H3477" i="12"/>
  <c r="H3476" i="12"/>
  <c r="H3475" i="12"/>
  <c r="H3474" i="12"/>
  <c r="H3473" i="12"/>
  <c r="H3472" i="12"/>
  <c r="H3471" i="12"/>
  <c r="H3470" i="12"/>
  <c r="H3469" i="12"/>
  <c r="H3468" i="12"/>
  <c r="H3467" i="12"/>
  <c r="H3466" i="12"/>
  <c r="H3465" i="12"/>
  <c r="H3464" i="12"/>
  <c r="H3463" i="12"/>
  <c r="H3462" i="12"/>
  <c r="H3461" i="12"/>
  <c r="H3460" i="12"/>
  <c r="H3459" i="12"/>
  <c r="H3458" i="12"/>
  <c r="H3457" i="12"/>
  <c r="H3456" i="12"/>
  <c r="H3455" i="12"/>
  <c r="H3454" i="12"/>
  <c r="H3453" i="12"/>
  <c r="H3452" i="12"/>
  <c r="H3451" i="12"/>
  <c r="H3450" i="12"/>
  <c r="H3449" i="12"/>
  <c r="H3448" i="12"/>
  <c r="H3447" i="12"/>
  <c r="H3446" i="12"/>
  <c r="H3445" i="12"/>
  <c r="H3444" i="12"/>
  <c r="H3443" i="12"/>
  <c r="H3442" i="12"/>
  <c r="H3441" i="12"/>
  <c r="H3440" i="12"/>
  <c r="H3439" i="12"/>
  <c r="H3438" i="12"/>
  <c r="H3437" i="12"/>
  <c r="H3436" i="12"/>
  <c r="H3435" i="12"/>
  <c r="H3434" i="12"/>
  <c r="H3433" i="12"/>
  <c r="H3432" i="12"/>
  <c r="H3431" i="12"/>
  <c r="H3430" i="12"/>
  <c r="H3429" i="12"/>
  <c r="H3428" i="12"/>
  <c r="H3427" i="12"/>
  <c r="H3426" i="12"/>
  <c r="H3425" i="12"/>
  <c r="H3424" i="12"/>
  <c r="H3423" i="12"/>
  <c r="H3422" i="12"/>
  <c r="H3421" i="12"/>
  <c r="H3420" i="12"/>
  <c r="H3419" i="12"/>
  <c r="H3418" i="12"/>
  <c r="H3417" i="12"/>
  <c r="H3416" i="12"/>
  <c r="H3415" i="12"/>
  <c r="H3414" i="12"/>
  <c r="H3413" i="12"/>
  <c r="H3412" i="12"/>
  <c r="H3411" i="12"/>
  <c r="H3410" i="12"/>
  <c r="H3409" i="12"/>
  <c r="H3408" i="12"/>
  <c r="H3407" i="12"/>
  <c r="H3406" i="12"/>
  <c r="H3405" i="12"/>
  <c r="H3404" i="12"/>
  <c r="H3403" i="12"/>
  <c r="H3402" i="12"/>
  <c r="H3401" i="12"/>
  <c r="H3400" i="12"/>
  <c r="H3399" i="12"/>
  <c r="H3398" i="12"/>
  <c r="H3397" i="12"/>
  <c r="H3396" i="12"/>
  <c r="H3395" i="12"/>
  <c r="H3394" i="12"/>
  <c r="H3393" i="12"/>
  <c r="H3392" i="12"/>
  <c r="H3391" i="12"/>
  <c r="H3390" i="12"/>
  <c r="H3389" i="12"/>
  <c r="H3388" i="12"/>
  <c r="H3387" i="12"/>
  <c r="H3386" i="12"/>
  <c r="H3385" i="12"/>
  <c r="H3384" i="12"/>
  <c r="H3383" i="12"/>
  <c r="H3382" i="12"/>
  <c r="H3381" i="12"/>
  <c r="H3380" i="12"/>
  <c r="H3379" i="12"/>
  <c r="H3378" i="12"/>
  <c r="H3377" i="12"/>
  <c r="H3376" i="12"/>
  <c r="H3375" i="12"/>
  <c r="H3374" i="12"/>
  <c r="H3373" i="12"/>
  <c r="H3372" i="12"/>
  <c r="H3371" i="12"/>
  <c r="H3370" i="12"/>
  <c r="H3369" i="12"/>
  <c r="H3368" i="12"/>
  <c r="H3367" i="12"/>
  <c r="H3366" i="12"/>
  <c r="H3365" i="12"/>
  <c r="H3364" i="12"/>
  <c r="H3363" i="12"/>
  <c r="G3362" i="12"/>
  <c r="H3362" i="12" s="1"/>
  <c r="H3361" i="12"/>
  <c r="H3360" i="12"/>
  <c r="H3359" i="12"/>
  <c r="H3358" i="12"/>
  <c r="H3357" i="12"/>
  <c r="H3356" i="12"/>
  <c r="H3355" i="12"/>
  <c r="H3354" i="12"/>
  <c r="H3353" i="12"/>
  <c r="H3352" i="12"/>
  <c r="H3351" i="12"/>
  <c r="H3350" i="12"/>
  <c r="H3349" i="12"/>
  <c r="H3348" i="12"/>
  <c r="H3347" i="12"/>
  <c r="H3346" i="12"/>
  <c r="H3345" i="12"/>
  <c r="H3344" i="12"/>
  <c r="H3343" i="12"/>
  <c r="H3342" i="12"/>
  <c r="H3341" i="12"/>
  <c r="H3340" i="12"/>
  <c r="H3339" i="12"/>
  <c r="H3338" i="12"/>
  <c r="H3337" i="12"/>
  <c r="G3336" i="12"/>
  <c r="H3336" i="12" s="1"/>
  <c r="H3335" i="12"/>
  <c r="H3334" i="12"/>
  <c r="H3333" i="12"/>
  <c r="H3332" i="12"/>
  <c r="H3331" i="12"/>
  <c r="H3330" i="12"/>
  <c r="H3329" i="12"/>
  <c r="H3328" i="12"/>
  <c r="H3327" i="12"/>
  <c r="H3326" i="12"/>
  <c r="H3325" i="12"/>
  <c r="H3324" i="12"/>
  <c r="H3323" i="12"/>
  <c r="H3322" i="12"/>
  <c r="H3321" i="12"/>
  <c r="H3320" i="12"/>
  <c r="H3319" i="12"/>
  <c r="H3318" i="12"/>
  <c r="H3317" i="12"/>
  <c r="H3316" i="12"/>
  <c r="H3315" i="12"/>
  <c r="H3314" i="12"/>
  <c r="H3313" i="12"/>
  <c r="H3312" i="12"/>
  <c r="H3311" i="12"/>
  <c r="H3310" i="12"/>
  <c r="H3309" i="12"/>
  <c r="H3308" i="12"/>
  <c r="H3307" i="12"/>
  <c r="H3306" i="12"/>
  <c r="H3305" i="12"/>
  <c r="H3304" i="12"/>
  <c r="H3303" i="12"/>
  <c r="H3302" i="12"/>
  <c r="H3301" i="12"/>
  <c r="H3300" i="12"/>
  <c r="H3299" i="12"/>
  <c r="H3298" i="12"/>
  <c r="H3297" i="12"/>
  <c r="H3296" i="12"/>
  <c r="H3295" i="12"/>
  <c r="H3294" i="12"/>
  <c r="H3293" i="12"/>
  <c r="H3292" i="12"/>
  <c r="H3291" i="12"/>
  <c r="H3290" i="12"/>
  <c r="G3290" i="12"/>
  <c r="H3289" i="12"/>
  <c r="H3288" i="12"/>
  <c r="H3287" i="12"/>
  <c r="H3286" i="12"/>
  <c r="H3285" i="12"/>
  <c r="H3284" i="12"/>
  <c r="H3283" i="12"/>
  <c r="H3282" i="12"/>
  <c r="H3281" i="12"/>
  <c r="H3280" i="12"/>
  <c r="H3279" i="12"/>
  <c r="H3278" i="12"/>
  <c r="H3277" i="12"/>
  <c r="H3276" i="12"/>
  <c r="H3275" i="12"/>
  <c r="H3274" i="12"/>
  <c r="H3273" i="12"/>
  <c r="H3272" i="12"/>
  <c r="H3271" i="12"/>
  <c r="H3270" i="12"/>
  <c r="H3269" i="12"/>
  <c r="H3268" i="12"/>
  <c r="H3267" i="12"/>
  <c r="H3266" i="12"/>
  <c r="H3265" i="12"/>
  <c r="H3264" i="12"/>
  <c r="H3263" i="12"/>
  <c r="H3262" i="12"/>
  <c r="H3261" i="12"/>
  <c r="H3260" i="12"/>
  <c r="H3259" i="12"/>
  <c r="H3258" i="12"/>
  <c r="H3257" i="12"/>
  <c r="H3256" i="12"/>
  <c r="H3255" i="12"/>
  <c r="H3254" i="12"/>
  <c r="H3253" i="12"/>
  <c r="H3252" i="12"/>
  <c r="H3251" i="12"/>
  <c r="H3250" i="12"/>
  <c r="H3249" i="12"/>
  <c r="H3248" i="12"/>
  <c r="H3247" i="12"/>
  <c r="H3246" i="12"/>
  <c r="H3245" i="12"/>
  <c r="H3244" i="12"/>
  <c r="H3243" i="12"/>
  <c r="H3242" i="12"/>
  <c r="H3241" i="12"/>
  <c r="H3240" i="12"/>
  <c r="H3239" i="12"/>
  <c r="H3238" i="12"/>
  <c r="H3237" i="12"/>
  <c r="H3236" i="12"/>
  <c r="H3235" i="12"/>
  <c r="H3234" i="12"/>
  <c r="H3233" i="12"/>
  <c r="H3232" i="12"/>
  <c r="H3231" i="12"/>
  <c r="H3230" i="12"/>
  <c r="H3229" i="12"/>
  <c r="H3228" i="12"/>
  <c r="H3227" i="12"/>
  <c r="H3226" i="12"/>
  <c r="H3225" i="12"/>
  <c r="H3224" i="12"/>
  <c r="H3223" i="12"/>
  <c r="H3222" i="12"/>
  <c r="H3221" i="12"/>
  <c r="H3220" i="12"/>
  <c r="H3219" i="12"/>
  <c r="H3218" i="12"/>
  <c r="H3217" i="12"/>
  <c r="H3216" i="12"/>
  <c r="H3215" i="12"/>
  <c r="H3214" i="12"/>
  <c r="H3213" i="12"/>
  <c r="G3212" i="12"/>
  <c r="H3212" i="12" s="1"/>
  <c r="H3211" i="12"/>
  <c r="H3210" i="12"/>
  <c r="H3209" i="12"/>
  <c r="H3208" i="12"/>
  <c r="H3207" i="12"/>
  <c r="H3206" i="12"/>
  <c r="H3205" i="12"/>
  <c r="H3204" i="12"/>
  <c r="H3203" i="12"/>
  <c r="H3202" i="12"/>
  <c r="H3201" i="12"/>
  <c r="H3200" i="12"/>
  <c r="H3199" i="12"/>
  <c r="H3198" i="12"/>
  <c r="H3197" i="12"/>
  <c r="H3196" i="12"/>
  <c r="H3195" i="12"/>
  <c r="H3194" i="12"/>
  <c r="H3193" i="12"/>
  <c r="H3192" i="12"/>
  <c r="H3191" i="12"/>
  <c r="H3190" i="12"/>
  <c r="H3189" i="12"/>
  <c r="H3188" i="12"/>
  <c r="H3187" i="12"/>
  <c r="H3186" i="12"/>
  <c r="H3185" i="12"/>
  <c r="H3184" i="12"/>
  <c r="H3183" i="12"/>
  <c r="H3182" i="12"/>
  <c r="H3181" i="12"/>
  <c r="H3180" i="12"/>
  <c r="H3179" i="12"/>
  <c r="G3178" i="12"/>
  <c r="H3178" i="12" s="1"/>
  <c r="H3177" i="12"/>
  <c r="H3176" i="12"/>
  <c r="H3175" i="12"/>
  <c r="H3174" i="12"/>
  <c r="H3173" i="12"/>
  <c r="H3172" i="12"/>
  <c r="H3171" i="12"/>
  <c r="G3171" i="12"/>
  <c r="H3170" i="12"/>
  <c r="G3169" i="12"/>
  <c r="H3169" i="12" s="1"/>
  <c r="H3168" i="12"/>
  <c r="H3167" i="12"/>
  <c r="H3166" i="12"/>
  <c r="H3165" i="12"/>
  <c r="H3164" i="12"/>
  <c r="H3163" i="12"/>
  <c r="H3162" i="12"/>
  <c r="H3161" i="12"/>
  <c r="H3160" i="12"/>
  <c r="H3159" i="12"/>
  <c r="H3158" i="12"/>
  <c r="H3157" i="12"/>
  <c r="H3156" i="12"/>
  <c r="H3155" i="12"/>
  <c r="H3154" i="12"/>
  <c r="H3153" i="12"/>
  <c r="H3152" i="12"/>
  <c r="H3151" i="12"/>
  <c r="H3150" i="12"/>
  <c r="H3149" i="12"/>
  <c r="H3148" i="12"/>
  <c r="H3147" i="12"/>
  <c r="H3146" i="12"/>
  <c r="H3145" i="12"/>
  <c r="H3144" i="12"/>
  <c r="H3143" i="12"/>
  <c r="H3142" i="12"/>
  <c r="H3141" i="12"/>
  <c r="H3140" i="12"/>
  <c r="H3139" i="12"/>
  <c r="H3138" i="12"/>
  <c r="H3137" i="12"/>
  <c r="H3136" i="12"/>
  <c r="H3135" i="12"/>
  <c r="H3134" i="12"/>
  <c r="H3133" i="12"/>
  <c r="H3132" i="12"/>
  <c r="H3131" i="12"/>
  <c r="G3131" i="12"/>
  <c r="H3130" i="12"/>
  <c r="H3129" i="12"/>
  <c r="H3128" i="12"/>
  <c r="H3127" i="12"/>
  <c r="H3126" i="12"/>
  <c r="H3125" i="12"/>
  <c r="H3124" i="12"/>
  <c r="H3123" i="12"/>
  <c r="H3122" i="12"/>
  <c r="H3121" i="12"/>
  <c r="H3120" i="12"/>
  <c r="H3119" i="12"/>
  <c r="H3118" i="12"/>
  <c r="H3117" i="12"/>
  <c r="H3116" i="12"/>
  <c r="H3115" i="12"/>
  <c r="H3114" i="12"/>
  <c r="H3113" i="12"/>
  <c r="H3112" i="12"/>
  <c r="H3111" i="12"/>
  <c r="H3110" i="12"/>
  <c r="H3109" i="12"/>
  <c r="H3108" i="12"/>
  <c r="H3107" i="12"/>
  <c r="H3106" i="12"/>
  <c r="H3105" i="12"/>
  <c r="H3104" i="12"/>
  <c r="H3103" i="12"/>
  <c r="H3102" i="12"/>
  <c r="H3101" i="12"/>
  <c r="H3100" i="12"/>
  <c r="H3099" i="12"/>
  <c r="H3098" i="12"/>
  <c r="H3097" i="12"/>
  <c r="H3096" i="12"/>
  <c r="H3095" i="12"/>
  <c r="H3094" i="12"/>
  <c r="H3093" i="12"/>
  <c r="H3092" i="12"/>
  <c r="H3091" i="12"/>
  <c r="H3090" i="12"/>
  <c r="H3089" i="12"/>
  <c r="H3088" i="12"/>
  <c r="H3087" i="12"/>
  <c r="H3086" i="12"/>
  <c r="H3085" i="12"/>
  <c r="H3084" i="12"/>
  <c r="H3083" i="12"/>
  <c r="H3082" i="12"/>
  <c r="H3081" i="12"/>
  <c r="H3080" i="12"/>
  <c r="H3079" i="12"/>
  <c r="H3078" i="12"/>
  <c r="H3077" i="12"/>
  <c r="H3076" i="12"/>
  <c r="G3075" i="12"/>
  <c r="H3075" i="12" s="1"/>
  <c r="H3074" i="12"/>
  <c r="H3073" i="12"/>
  <c r="H3072" i="12"/>
  <c r="H3071" i="12"/>
  <c r="H3070" i="12"/>
  <c r="H3069" i="12"/>
  <c r="H3068" i="12"/>
  <c r="H3067" i="12"/>
  <c r="H3066" i="12"/>
  <c r="H3065" i="12"/>
  <c r="H3064" i="12"/>
  <c r="H3063" i="12"/>
  <c r="H3062" i="12"/>
  <c r="H3061" i="12"/>
  <c r="H3060" i="12"/>
  <c r="H3059" i="12"/>
  <c r="H3058" i="12"/>
  <c r="H3057" i="12"/>
  <c r="H3056" i="12"/>
  <c r="H3055" i="12"/>
  <c r="H3054" i="12"/>
  <c r="H3053" i="12"/>
  <c r="H3052" i="12"/>
  <c r="H3051" i="12"/>
  <c r="H3050" i="12"/>
  <c r="H3049" i="12"/>
  <c r="H3048" i="12"/>
  <c r="H3047" i="12"/>
  <c r="H3046" i="12"/>
  <c r="H3045" i="12"/>
  <c r="H3044" i="12"/>
  <c r="H3043" i="12"/>
  <c r="H3042" i="12"/>
  <c r="H3041" i="12"/>
  <c r="G3040" i="12"/>
  <c r="H3040" i="12" s="1"/>
  <c r="H3039" i="12"/>
  <c r="H3038" i="12"/>
  <c r="G3038" i="12"/>
  <c r="H3037" i="12"/>
  <c r="H3036" i="12"/>
  <c r="H3035" i="12"/>
  <c r="H3034" i="12"/>
  <c r="H3033" i="12"/>
  <c r="H3032" i="12"/>
  <c r="H3031" i="12"/>
  <c r="H3030" i="12"/>
  <c r="H3029" i="12"/>
  <c r="H3028" i="12"/>
  <c r="H3027" i="12"/>
  <c r="G3027" i="12"/>
  <c r="H3026" i="12"/>
  <c r="H3025" i="12"/>
  <c r="H3024" i="12"/>
  <c r="H3023" i="12"/>
  <c r="H3022" i="12"/>
  <c r="H3021" i="12"/>
  <c r="H3020" i="12"/>
  <c r="H3019" i="12"/>
  <c r="H3018" i="12"/>
  <c r="H3017" i="12"/>
  <c r="H3016" i="12"/>
  <c r="H3015" i="12"/>
  <c r="H3014" i="12"/>
  <c r="H3013" i="12"/>
  <c r="H3012" i="12"/>
  <c r="H3011" i="12"/>
  <c r="H3010" i="12"/>
  <c r="H3009" i="12"/>
  <c r="H3008" i="12"/>
  <c r="H3007" i="12"/>
  <c r="H3006" i="12"/>
  <c r="H3005" i="12"/>
  <c r="H3004" i="12"/>
  <c r="H3003" i="12"/>
  <c r="H3002" i="12"/>
  <c r="H3001" i="12"/>
  <c r="H3000" i="12"/>
  <c r="H2999" i="12"/>
  <c r="H2998" i="12"/>
  <c r="H2997" i="12"/>
  <c r="H2996" i="12"/>
  <c r="H2995" i="12"/>
  <c r="H2994" i="12"/>
  <c r="H2993" i="12"/>
  <c r="H2992" i="12"/>
  <c r="H2991" i="12"/>
  <c r="H2990" i="12"/>
  <c r="H2989" i="12"/>
  <c r="H2988" i="12"/>
  <c r="H2987" i="12"/>
  <c r="H2986" i="12"/>
  <c r="H2985" i="12"/>
  <c r="H2984" i="12"/>
  <c r="H2983" i="12"/>
  <c r="H2982" i="12"/>
  <c r="H2981" i="12"/>
  <c r="G2980" i="12"/>
  <c r="H2980" i="12" s="1"/>
  <c r="H2979" i="12"/>
  <c r="G2979" i="12"/>
  <c r="H2978" i="12"/>
  <c r="H2977" i="12"/>
  <c r="H2976" i="12"/>
  <c r="H2975" i="12"/>
  <c r="H2974" i="12"/>
  <c r="H2973" i="12"/>
  <c r="H2972" i="12"/>
  <c r="H2971" i="12"/>
  <c r="H2970" i="12"/>
  <c r="H2969" i="12"/>
  <c r="H2968" i="12"/>
  <c r="H2967" i="12"/>
  <c r="H2966" i="12"/>
  <c r="H2965" i="12"/>
  <c r="H2964" i="12"/>
  <c r="H2963" i="12"/>
  <c r="H2962" i="12"/>
  <c r="H2961" i="12"/>
  <c r="H2960" i="12"/>
  <c r="H2959" i="12"/>
  <c r="H2958" i="12"/>
  <c r="H2957" i="12"/>
  <c r="H2956" i="12"/>
  <c r="H2955" i="12"/>
  <c r="H2954" i="12"/>
  <c r="H2953" i="12"/>
  <c r="H2952" i="12"/>
  <c r="H2951" i="12"/>
  <c r="H2950" i="12"/>
  <c r="H2949" i="12"/>
  <c r="H2948" i="12"/>
  <c r="G2948" i="12"/>
  <c r="H2947" i="12"/>
  <c r="H2946" i="12"/>
  <c r="H2945" i="12"/>
  <c r="H2944" i="12"/>
  <c r="H2943" i="12"/>
  <c r="H2942" i="12"/>
  <c r="H2941" i="12"/>
  <c r="H2940" i="12"/>
  <c r="H2939" i="12"/>
  <c r="H2938" i="12"/>
  <c r="H2937" i="12"/>
  <c r="H2936" i="12"/>
  <c r="H2935" i="12"/>
  <c r="H2934" i="12"/>
  <c r="H2933" i="12"/>
  <c r="H2932" i="12"/>
  <c r="H2931" i="12"/>
  <c r="H2930" i="12"/>
  <c r="H2929" i="12"/>
  <c r="H2928" i="12"/>
  <c r="H2927" i="12"/>
  <c r="H2926" i="12"/>
  <c r="H2925" i="12"/>
  <c r="H2924" i="12"/>
  <c r="H2923" i="12"/>
  <c r="H2922" i="12"/>
  <c r="H2921" i="12"/>
  <c r="H2920" i="12"/>
  <c r="H2919" i="12"/>
  <c r="H2918" i="12"/>
  <c r="H2917" i="12"/>
  <c r="H2916" i="12"/>
  <c r="H2915" i="12"/>
  <c r="H2914" i="12"/>
  <c r="H2913" i="12"/>
  <c r="H2912" i="12"/>
  <c r="H2911" i="12"/>
  <c r="H2910" i="12"/>
  <c r="H2909" i="12"/>
  <c r="H2908" i="12"/>
  <c r="H2907" i="12"/>
  <c r="H2906" i="12"/>
  <c r="H2905" i="12"/>
  <c r="H2904" i="12"/>
  <c r="H2903" i="12"/>
  <c r="H2902" i="12"/>
  <c r="H2901" i="12"/>
  <c r="H2900" i="12"/>
  <c r="H2899" i="12"/>
  <c r="H2898" i="12"/>
  <c r="H2897" i="12"/>
  <c r="H2896" i="12"/>
  <c r="H2895" i="12"/>
  <c r="H2894" i="12"/>
  <c r="H2893" i="12"/>
  <c r="H2892" i="12"/>
  <c r="H2891" i="12"/>
  <c r="H2890" i="12"/>
  <c r="H2889" i="12"/>
  <c r="H2888" i="12"/>
  <c r="H2887" i="12"/>
  <c r="H2886" i="12"/>
  <c r="H2885" i="12"/>
  <c r="H2884" i="12"/>
  <c r="H2883" i="12"/>
  <c r="H2882" i="12"/>
  <c r="H2881" i="12"/>
  <c r="H2880" i="12"/>
  <c r="H2879" i="12"/>
  <c r="H2878" i="12"/>
  <c r="H2877" i="12"/>
  <c r="H2876" i="12"/>
  <c r="H2875" i="12"/>
  <c r="H2874" i="12"/>
  <c r="H2873" i="12"/>
  <c r="H2872" i="12"/>
  <c r="H2871" i="12"/>
  <c r="H2870" i="12"/>
  <c r="H2869" i="12"/>
  <c r="H2868" i="12"/>
  <c r="H2867" i="12"/>
  <c r="H2866" i="12"/>
  <c r="H2865" i="12"/>
  <c r="H2864" i="12"/>
  <c r="H2863" i="12"/>
  <c r="H2862" i="12"/>
  <c r="H2861" i="12"/>
  <c r="H2860" i="12"/>
  <c r="H2859" i="12"/>
  <c r="H2858" i="12"/>
  <c r="H2857" i="12"/>
  <c r="H2856" i="12"/>
  <c r="H2855" i="12"/>
  <c r="H2854" i="12"/>
  <c r="H2853" i="12"/>
  <c r="H2852" i="12"/>
  <c r="H2851" i="12"/>
  <c r="H2850" i="12"/>
  <c r="H2849" i="12"/>
  <c r="H2848" i="12"/>
  <c r="H2847" i="12"/>
  <c r="H2846" i="12"/>
  <c r="H2845" i="12"/>
  <c r="H2844" i="12"/>
  <c r="H2843" i="12"/>
  <c r="H2842" i="12"/>
  <c r="H2841" i="12"/>
  <c r="H2840" i="12"/>
  <c r="H2839" i="12"/>
  <c r="H2838" i="12"/>
  <c r="H2837" i="12"/>
  <c r="H2836" i="12"/>
  <c r="H2835" i="12"/>
  <c r="H2834" i="12"/>
  <c r="H2833" i="12"/>
  <c r="H2832" i="12"/>
  <c r="H2831" i="12"/>
  <c r="H2830" i="12"/>
  <c r="H2829" i="12"/>
  <c r="H2828" i="12"/>
  <c r="H2827" i="12"/>
  <c r="H2826" i="12"/>
  <c r="H2825" i="12"/>
  <c r="H2824" i="12"/>
  <c r="H2823" i="12"/>
  <c r="H2822" i="12"/>
  <c r="H2821" i="12"/>
  <c r="H2820" i="12"/>
  <c r="H2819" i="12"/>
  <c r="H2818" i="12"/>
  <c r="H2817" i="12"/>
  <c r="H2816" i="12"/>
  <c r="H2815" i="12"/>
  <c r="H2814" i="12"/>
  <c r="H2813" i="12"/>
  <c r="H2812" i="12"/>
  <c r="H2811" i="12"/>
  <c r="H2810" i="12"/>
  <c r="H2809" i="12"/>
  <c r="H2808" i="12"/>
  <c r="H2807" i="12"/>
  <c r="H2806" i="12"/>
  <c r="H2805" i="12"/>
  <c r="H2804" i="12"/>
  <c r="H2803" i="12"/>
  <c r="H2802" i="12"/>
  <c r="H2801" i="12"/>
  <c r="H2800" i="12"/>
  <c r="H2799" i="12"/>
  <c r="H2798" i="12"/>
  <c r="H2797" i="12"/>
  <c r="H2796" i="12"/>
  <c r="H2795" i="12"/>
  <c r="G2795" i="12"/>
  <c r="H2794" i="12"/>
  <c r="H2793" i="12"/>
  <c r="H2792" i="12"/>
  <c r="H2791" i="12"/>
  <c r="H2790" i="12"/>
  <c r="H2789" i="12"/>
  <c r="H2788" i="12"/>
  <c r="H2787" i="12"/>
  <c r="H2786" i="12"/>
  <c r="H2785" i="12"/>
  <c r="H2784" i="12"/>
  <c r="H2783" i="12"/>
  <c r="H2782" i="12"/>
  <c r="H2781" i="12"/>
  <c r="H2780" i="12"/>
  <c r="H2779" i="12"/>
  <c r="H2778" i="12"/>
  <c r="H2777" i="12"/>
  <c r="H2776" i="12"/>
  <c r="H2775" i="12"/>
  <c r="H2774" i="12"/>
  <c r="H2773" i="12"/>
  <c r="H2772" i="12"/>
  <c r="H2771" i="12"/>
  <c r="H2770" i="12"/>
  <c r="H2769" i="12"/>
  <c r="H2768" i="12"/>
  <c r="H2767" i="12"/>
  <c r="H2766" i="12"/>
  <c r="H2765" i="12"/>
  <c r="H2764" i="12"/>
  <c r="H2763" i="12"/>
  <c r="H2762" i="12"/>
  <c r="H2761" i="12"/>
  <c r="H2760" i="12"/>
  <c r="H2759" i="12"/>
  <c r="H2758" i="12"/>
  <c r="H2757" i="12"/>
  <c r="H2756" i="12"/>
  <c r="H2755" i="12"/>
  <c r="H2754" i="12"/>
  <c r="H2753" i="12"/>
  <c r="H2752" i="12"/>
  <c r="H2751" i="12"/>
  <c r="H2750" i="12"/>
  <c r="H2749" i="12"/>
  <c r="H2748" i="12"/>
  <c r="H2747" i="12"/>
  <c r="H2746" i="12"/>
  <c r="H2745" i="12"/>
  <c r="H2744" i="12"/>
  <c r="H2743" i="12"/>
  <c r="H2742" i="12"/>
  <c r="H2741" i="12"/>
  <c r="H2740" i="12"/>
  <c r="H2739" i="12"/>
  <c r="H2738" i="12"/>
  <c r="H2737" i="12"/>
  <c r="H2736" i="12"/>
  <c r="H2735" i="12"/>
  <c r="H2734" i="12"/>
  <c r="H2733" i="12"/>
  <c r="H2732" i="12"/>
  <c r="H2731" i="12"/>
  <c r="H2730" i="12"/>
  <c r="H2729" i="12"/>
  <c r="H2728" i="12"/>
  <c r="H2727" i="12"/>
  <c r="H2726" i="12"/>
  <c r="H2725" i="12"/>
  <c r="H2724" i="12"/>
  <c r="H2723" i="12"/>
  <c r="H2722" i="12"/>
  <c r="H2721" i="12"/>
  <c r="H2720" i="12"/>
  <c r="H2719" i="12"/>
  <c r="H2718" i="12"/>
  <c r="H2717" i="12"/>
  <c r="H2716" i="12"/>
  <c r="H2715" i="12"/>
  <c r="H2714" i="12"/>
  <c r="H2713" i="12"/>
  <c r="H2712" i="12"/>
  <c r="H2711" i="12"/>
  <c r="H2710" i="12"/>
  <c r="H2709" i="12"/>
  <c r="H2708" i="12"/>
  <c r="H2707" i="12"/>
  <c r="H2706" i="12"/>
  <c r="H2705" i="12"/>
  <c r="H2704" i="12"/>
  <c r="H2703" i="12"/>
  <c r="H2702" i="12"/>
  <c r="H2701" i="12"/>
  <c r="H2700" i="12"/>
  <c r="H2699" i="12"/>
  <c r="H2698" i="12"/>
  <c r="H2697" i="12"/>
  <c r="H2696" i="12"/>
  <c r="H2695" i="12"/>
  <c r="H2694" i="12"/>
  <c r="H2693" i="12"/>
  <c r="G2692" i="12"/>
  <c r="H2692" i="12" s="1"/>
  <c r="H2691" i="12"/>
  <c r="H2690" i="12"/>
  <c r="H2689" i="12"/>
  <c r="H2688" i="12"/>
  <c r="H2687" i="12"/>
  <c r="H2686" i="12"/>
  <c r="H2685" i="12"/>
  <c r="H2684" i="12"/>
  <c r="H2683" i="12"/>
  <c r="H2682" i="12"/>
  <c r="H2681" i="12"/>
  <c r="G2681" i="12"/>
  <c r="H2680" i="12"/>
  <c r="G2680" i="12"/>
  <c r="H2679" i="12"/>
  <c r="H2678" i="12"/>
  <c r="H2677" i="12"/>
  <c r="H2676" i="12"/>
  <c r="H2675" i="12"/>
  <c r="H2674" i="12"/>
  <c r="H2673" i="12"/>
  <c r="H2672" i="12"/>
  <c r="H2671" i="12"/>
  <c r="H2670" i="12"/>
  <c r="H2669" i="12"/>
  <c r="H2668" i="12"/>
  <c r="H2667" i="12"/>
  <c r="G2666" i="12"/>
  <c r="H2666" i="12" s="1"/>
  <c r="H2665" i="12"/>
  <c r="G2665" i="12"/>
  <c r="H2664" i="12"/>
  <c r="H2663" i="12"/>
  <c r="H2662" i="12"/>
  <c r="H2661" i="12"/>
  <c r="H2660" i="12"/>
  <c r="H2659" i="12"/>
  <c r="H2658" i="12"/>
  <c r="H2657" i="12"/>
  <c r="H2656" i="12"/>
  <c r="H2655" i="12"/>
  <c r="H2654" i="12"/>
  <c r="H2653" i="12"/>
  <c r="H2652" i="12"/>
  <c r="H2651" i="12"/>
  <c r="H2650" i="12"/>
  <c r="H2649" i="12"/>
  <c r="H2648" i="12"/>
  <c r="H2647" i="12"/>
  <c r="H2646" i="12"/>
  <c r="H2645" i="12"/>
  <c r="H2644" i="12"/>
  <c r="H2643" i="12"/>
  <c r="H2642" i="12"/>
  <c r="H2641" i="12"/>
  <c r="H2640" i="12"/>
  <c r="H2639" i="12"/>
  <c r="H2638" i="12"/>
  <c r="H2637" i="12"/>
  <c r="H2636" i="12"/>
  <c r="H2635" i="12"/>
  <c r="H2634" i="12"/>
  <c r="H2633" i="12"/>
  <c r="H2632" i="12"/>
  <c r="H2631" i="12"/>
  <c r="H2630" i="12"/>
  <c r="H2629" i="12"/>
  <c r="H2628" i="12"/>
  <c r="H2627" i="12"/>
  <c r="H2626" i="12"/>
  <c r="H2625" i="12"/>
  <c r="H2624" i="12"/>
  <c r="H2623" i="12"/>
  <c r="H2622" i="12"/>
  <c r="H2621" i="12"/>
  <c r="H2620" i="12"/>
  <c r="H2619" i="12"/>
  <c r="H2618" i="12"/>
  <c r="H2617" i="12"/>
  <c r="H2616" i="12"/>
  <c r="H2615" i="12"/>
  <c r="H2614" i="12"/>
  <c r="H2613" i="12"/>
  <c r="H2612" i="12"/>
  <c r="H2611" i="12"/>
  <c r="H2610" i="12"/>
  <c r="H2609" i="12"/>
  <c r="H2608" i="12"/>
  <c r="H2607" i="12"/>
  <c r="H2606" i="12"/>
  <c r="H2605" i="12"/>
  <c r="H2604" i="12"/>
  <c r="H2603" i="12"/>
  <c r="H2602" i="12"/>
  <c r="H2601" i="12"/>
  <c r="H2600" i="12"/>
  <c r="H2599" i="12"/>
  <c r="H2598" i="12"/>
  <c r="H2597" i="12"/>
  <c r="H2596" i="12"/>
  <c r="H2595" i="12"/>
  <c r="H2594" i="12"/>
  <c r="H2593" i="12"/>
  <c r="H2592" i="12"/>
  <c r="H2591" i="12"/>
  <c r="H2590" i="12"/>
  <c r="H2589" i="12"/>
  <c r="H2588" i="12"/>
  <c r="H2587" i="12"/>
  <c r="H2586" i="12"/>
  <c r="H2585" i="12"/>
  <c r="H2584" i="12"/>
  <c r="H2583" i="12"/>
  <c r="H2582" i="12"/>
  <c r="H2581" i="12"/>
  <c r="H2580" i="12"/>
  <c r="H2579" i="12"/>
  <c r="H2578" i="12"/>
  <c r="H2577" i="12"/>
  <c r="H2576" i="12"/>
  <c r="H2575" i="12"/>
  <c r="H2574" i="12"/>
  <c r="H2573" i="12"/>
  <c r="H2572" i="12"/>
  <c r="H2571" i="12"/>
  <c r="G2571" i="12"/>
  <c r="H2570" i="12"/>
  <c r="H2569" i="12"/>
  <c r="H2568" i="12"/>
  <c r="H2567" i="12"/>
  <c r="H2566" i="12"/>
  <c r="H2565" i="12"/>
  <c r="H2564" i="12"/>
  <c r="H2563" i="12"/>
  <c r="H2562" i="12"/>
  <c r="H2561" i="12"/>
  <c r="H2560" i="12"/>
  <c r="H2559" i="12"/>
  <c r="H2558" i="12"/>
  <c r="H2557" i="12"/>
  <c r="H2556" i="12"/>
  <c r="H2555" i="12"/>
  <c r="H2554" i="12"/>
  <c r="H2553" i="12"/>
  <c r="H2552" i="12"/>
  <c r="H2551" i="12"/>
  <c r="H2550" i="12"/>
  <c r="H2549" i="12"/>
  <c r="H2548" i="12"/>
  <c r="G2547" i="12"/>
  <c r="H2547" i="12" s="1"/>
  <c r="H2546" i="12"/>
  <c r="H2545" i="12"/>
  <c r="H2544" i="12"/>
  <c r="H2543" i="12"/>
  <c r="H2542" i="12"/>
  <c r="H2541" i="12"/>
  <c r="H2540" i="12"/>
  <c r="H2539" i="12"/>
  <c r="H2538" i="12"/>
  <c r="H2537" i="12"/>
  <c r="H2536" i="12"/>
  <c r="G2535" i="12"/>
  <c r="H2535" i="12" s="1"/>
  <c r="H2534" i="12"/>
  <c r="H2533" i="12"/>
  <c r="H2532" i="12"/>
  <c r="H2531" i="12"/>
  <c r="H2530" i="12"/>
  <c r="H2529" i="12"/>
  <c r="H2528" i="12"/>
  <c r="H2527" i="12"/>
  <c r="H2526" i="12"/>
  <c r="H2525" i="12"/>
  <c r="H2524" i="12"/>
  <c r="H2523" i="12"/>
  <c r="H2522" i="12"/>
  <c r="H2521" i="12"/>
  <c r="H2520" i="12"/>
  <c r="G2520" i="12"/>
  <c r="H2519" i="12"/>
  <c r="H2518" i="12"/>
  <c r="H2517" i="12"/>
  <c r="G2516" i="12"/>
  <c r="H2516" i="12" s="1"/>
  <c r="H2515" i="12"/>
  <c r="H2514" i="12"/>
  <c r="G2513" i="12"/>
  <c r="H2513" i="12" s="1"/>
  <c r="H2512" i="12"/>
  <c r="H2511" i="12"/>
  <c r="H2510" i="12"/>
  <c r="H2509" i="12"/>
  <c r="H2508" i="12"/>
  <c r="H2507" i="12"/>
  <c r="H2506" i="12"/>
  <c r="H2505" i="12"/>
  <c r="H2504" i="12"/>
  <c r="H2503" i="12"/>
  <c r="H2502" i="12"/>
  <c r="H2501" i="12"/>
  <c r="H2500" i="12"/>
  <c r="H2499" i="12"/>
  <c r="H2498" i="12"/>
  <c r="H2497" i="12"/>
  <c r="H2496" i="12"/>
  <c r="H2495" i="12"/>
  <c r="H2494" i="12"/>
  <c r="H2493" i="12"/>
  <c r="H2492" i="12"/>
  <c r="H2491" i="12"/>
  <c r="H2490" i="12"/>
  <c r="H2489" i="12"/>
  <c r="H2488" i="12"/>
  <c r="H2487" i="12"/>
  <c r="H2486" i="12"/>
  <c r="H2485" i="12"/>
  <c r="H2484" i="12"/>
  <c r="H2483" i="12"/>
  <c r="H2482" i="12"/>
  <c r="H2481" i="12"/>
  <c r="H2480" i="12"/>
  <c r="H2479" i="12"/>
  <c r="H2478" i="12"/>
  <c r="H2477" i="12"/>
  <c r="H2476" i="12"/>
  <c r="H2475" i="12"/>
  <c r="G2475" i="12"/>
  <c r="H2474" i="12"/>
  <c r="H2473" i="12"/>
  <c r="H2472" i="12"/>
  <c r="G2472" i="12"/>
  <c r="H2471" i="12"/>
  <c r="H2470" i="12"/>
  <c r="H2469" i="12"/>
  <c r="H2468" i="12"/>
  <c r="H2467" i="12"/>
  <c r="H2466" i="12"/>
  <c r="H2465" i="12"/>
  <c r="H2464" i="12"/>
  <c r="H2463" i="12"/>
  <c r="H2462" i="12"/>
  <c r="H2461" i="12"/>
  <c r="H2460" i="12"/>
  <c r="H2459" i="12"/>
  <c r="H2458" i="12"/>
  <c r="H2457" i="12"/>
  <c r="H2456" i="12"/>
  <c r="H2455" i="12"/>
  <c r="H2454" i="12"/>
  <c r="H2453" i="12"/>
  <c r="H2452" i="12"/>
  <c r="H2451" i="12"/>
  <c r="H2450" i="12"/>
  <c r="H2449" i="12"/>
  <c r="H2448" i="12"/>
  <c r="H2447" i="12"/>
  <c r="H2446" i="12"/>
  <c r="H2445" i="12"/>
  <c r="H2444" i="12"/>
  <c r="H2443" i="12"/>
  <c r="H2442" i="12"/>
  <c r="H2441" i="12"/>
  <c r="H2440" i="12"/>
  <c r="H2439" i="12"/>
  <c r="H2438" i="12"/>
  <c r="H2437" i="12"/>
  <c r="H2436" i="12"/>
  <c r="H2435" i="12"/>
  <c r="H2434" i="12"/>
  <c r="H2433" i="12"/>
  <c r="H2432" i="12"/>
  <c r="H2431" i="12"/>
  <c r="H2430" i="12"/>
  <c r="H2429" i="12"/>
  <c r="H2428" i="12"/>
  <c r="H2427" i="12"/>
  <c r="H2426" i="12"/>
  <c r="H2425" i="12"/>
  <c r="H2424" i="12"/>
  <c r="H2423" i="12"/>
  <c r="H2422" i="12"/>
  <c r="H2421" i="12"/>
  <c r="H2420" i="12"/>
  <c r="H2419" i="12"/>
  <c r="H2418" i="12"/>
  <c r="H2417" i="12"/>
  <c r="H2416" i="12"/>
  <c r="H2415" i="12"/>
  <c r="H2414" i="12"/>
  <c r="H2413" i="12"/>
  <c r="H2412" i="12"/>
  <c r="H2411" i="12"/>
  <c r="H2410" i="12"/>
  <c r="G2410" i="12"/>
  <c r="H2409" i="12"/>
  <c r="H2408" i="12"/>
  <c r="H2407" i="12"/>
  <c r="H2406" i="12"/>
  <c r="H2405" i="12"/>
  <c r="H2404" i="12"/>
  <c r="H2403" i="12"/>
  <c r="H2402" i="12"/>
  <c r="H2401" i="12"/>
  <c r="H2400" i="12"/>
  <c r="H2399" i="12"/>
  <c r="H2398" i="12"/>
  <c r="H2397" i="12"/>
  <c r="H2396" i="12"/>
  <c r="H2395" i="12"/>
  <c r="H2394" i="12"/>
  <c r="H2393" i="12"/>
  <c r="H2392" i="12"/>
  <c r="H2391" i="12"/>
  <c r="H2390" i="12"/>
  <c r="H2389" i="12"/>
  <c r="H2388" i="12"/>
  <c r="G2388" i="12"/>
  <c r="H2387" i="12"/>
  <c r="H2386" i="12"/>
  <c r="H2385" i="12"/>
  <c r="H2384" i="12"/>
  <c r="H2383" i="12"/>
  <c r="H2382" i="12"/>
  <c r="H2381" i="12"/>
  <c r="H2380" i="12"/>
  <c r="H2379" i="12"/>
  <c r="H2378" i="12"/>
  <c r="H2377" i="12"/>
  <c r="H2376" i="12"/>
  <c r="H2375" i="12"/>
  <c r="H2374" i="12"/>
  <c r="H2373" i="12"/>
  <c r="H2372" i="12"/>
  <c r="H2371" i="12"/>
  <c r="H2370" i="12"/>
  <c r="H2369" i="12"/>
  <c r="H2368" i="12"/>
  <c r="H2367" i="12"/>
  <c r="H2366" i="12"/>
  <c r="H2365" i="12"/>
  <c r="H2364" i="12"/>
  <c r="H2363" i="12"/>
  <c r="H2362" i="12"/>
  <c r="H2361" i="12"/>
  <c r="H2360" i="12"/>
  <c r="H2359" i="12"/>
  <c r="H2358" i="12"/>
  <c r="H2357" i="12"/>
  <c r="H2356" i="12"/>
  <c r="H2355" i="12"/>
  <c r="H2354" i="12"/>
  <c r="H2353" i="12"/>
  <c r="H2352" i="12"/>
  <c r="H2351" i="12"/>
  <c r="H2350" i="12"/>
  <c r="H2349" i="12"/>
  <c r="H2348" i="12"/>
  <c r="H2347" i="12"/>
  <c r="H2346" i="12"/>
  <c r="H2345" i="12"/>
  <c r="H2344" i="12"/>
  <c r="H2343" i="12"/>
  <c r="H2342" i="12"/>
  <c r="H2341" i="12"/>
  <c r="H2340" i="12"/>
  <c r="H2339" i="12"/>
  <c r="H2338" i="12"/>
  <c r="H2337" i="12"/>
  <c r="H2336" i="12"/>
  <c r="H2335" i="12"/>
  <c r="H2334" i="12"/>
  <c r="H2333" i="12"/>
  <c r="H2332" i="12"/>
  <c r="H2331" i="12"/>
  <c r="H2330" i="12"/>
  <c r="H2329" i="12"/>
  <c r="H2328" i="12"/>
  <c r="H2327" i="12"/>
  <c r="H2326" i="12"/>
  <c r="H2325" i="12"/>
  <c r="H2324" i="12"/>
  <c r="H2323" i="12"/>
  <c r="H2322" i="12"/>
  <c r="H2321" i="12"/>
  <c r="H2320" i="12"/>
  <c r="H2319" i="12"/>
  <c r="H2318" i="12"/>
  <c r="H2317" i="12"/>
  <c r="H2316" i="12"/>
  <c r="H2315" i="12"/>
  <c r="H2314" i="12"/>
  <c r="H2313" i="12"/>
  <c r="H2312" i="12"/>
  <c r="H2311" i="12"/>
  <c r="H2310" i="12"/>
  <c r="H2309" i="12"/>
  <c r="H2308" i="12"/>
  <c r="H2307" i="12"/>
  <c r="H2306" i="12"/>
  <c r="H2305" i="12"/>
  <c r="H2304" i="12"/>
  <c r="H2303" i="12"/>
  <c r="H2302" i="12"/>
  <c r="H2301" i="12"/>
  <c r="H2300" i="12"/>
  <c r="H2299" i="12"/>
  <c r="H2298" i="12"/>
  <c r="H2297" i="12"/>
  <c r="H2296" i="12"/>
  <c r="H2295" i="12"/>
  <c r="H2294" i="12"/>
  <c r="H2293" i="12"/>
  <c r="H2292" i="12"/>
  <c r="H2291" i="12"/>
  <c r="G2291" i="12"/>
  <c r="H2290" i="12"/>
  <c r="H2289" i="12"/>
  <c r="H2288" i="12"/>
  <c r="H2287" i="12"/>
  <c r="H2286" i="12"/>
  <c r="H2285" i="12"/>
  <c r="H2284" i="12"/>
  <c r="H2283" i="12"/>
  <c r="H2282" i="12"/>
  <c r="H2281" i="12"/>
  <c r="H2280" i="12"/>
  <c r="H2279" i="12"/>
  <c r="H2278" i="12"/>
  <c r="H2277" i="12"/>
  <c r="H2276" i="12"/>
  <c r="H2275" i="12"/>
  <c r="H2274" i="12"/>
  <c r="H2273" i="12"/>
  <c r="H2272" i="12"/>
  <c r="H2271" i="12"/>
  <c r="H2270" i="12"/>
  <c r="H2269" i="12"/>
  <c r="H2268" i="12"/>
  <c r="H2267" i="12"/>
  <c r="H2266" i="12"/>
  <c r="H2265" i="12"/>
  <c r="H2264" i="12"/>
  <c r="H2263" i="12"/>
  <c r="H2262" i="12"/>
  <c r="H2261" i="12"/>
  <c r="H2260" i="12"/>
  <c r="H2259" i="12"/>
  <c r="H2258" i="12"/>
  <c r="H2257" i="12"/>
  <c r="H2256" i="12"/>
  <c r="H2255" i="12"/>
  <c r="H2254" i="12"/>
  <c r="H2253" i="12"/>
  <c r="H2252" i="12"/>
  <c r="H2251" i="12"/>
  <c r="H2250" i="12"/>
  <c r="H2249" i="12"/>
  <c r="H2248" i="12"/>
  <c r="H2247" i="12"/>
  <c r="H2246" i="12"/>
  <c r="H2245" i="12"/>
  <c r="H2244" i="12"/>
  <c r="H2243" i="12"/>
  <c r="H2242" i="12"/>
  <c r="H2241" i="12"/>
  <c r="H2240" i="12"/>
  <c r="H2239" i="12"/>
  <c r="H2238" i="12"/>
  <c r="H2237" i="12"/>
  <c r="H2236" i="12"/>
  <c r="H2235" i="12"/>
  <c r="H2234" i="12"/>
  <c r="H2233" i="12"/>
  <c r="H2232" i="12"/>
  <c r="H2231" i="12"/>
  <c r="H2230" i="12"/>
  <c r="H2229" i="12"/>
  <c r="H2228" i="12"/>
  <c r="H2227" i="12"/>
  <c r="H2226" i="12"/>
  <c r="H2225" i="12"/>
  <c r="H2224" i="12"/>
  <c r="H2223" i="12"/>
  <c r="H2222" i="12"/>
  <c r="H2221" i="12"/>
  <c r="H2220" i="12"/>
  <c r="G2220" i="12"/>
  <c r="H2219" i="12"/>
  <c r="H2218" i="12"/>
  <c r="H2217" i="12"/>
  <c r="H2216" i="12"/>
  <c r="H2215" i="12"/>
  <c r="H2214" i="12"/>
  <c r="H2213" i="12"/>
  <c r="H2212" i="12"/>
  <c r="H2211" i="12"/>
  <c r="H2210" i="12"/>
  <c r="H2209" i="12"/>
  <c r="H2208" i="12"/>
  <c r="H2207" i="12"/>
  <c r="H2206" i="12"/>
  <c r="H2205" i="12"/>
  <c r="H2204" i="12"/>
  <c r="H2203" i="12"/>
  <c r="H2202" i="12"/>
  <c r="H2201" i="12"/>
  <c r="H2200" i="12"/>
  <c r="H2199" i="12"/>
  <c r="G2199" i="12"/>
  <c r="H2198" i="12"/>
  <c r="H2197" i="12"/>
  <c r="H2196" i="12"/>
  <c r="H2195" i="12"/>
  <c r="H2194" i="12"/>
  <c r="H2193" i="12"/>
  <c r="H2192" i="12"/>
  <c r="H2191" i="12"/>
  <c r="H2190" i="12"/>
  <c r="H2189" i="12"/>
  <c r="H2188" i="12"/>
  <c r="H2187" i="12"/>
  <c r="H2186" i="12"/>
  <c r="H2185" i="12"/>
  <c r="H2184" i="12"/>
  <c r="H2183" i="12"/>
  <c r="H2182" i="12"/>
  <c r="H2181" i="12"/>
  <c r="H2180" i="12"/>
  <c r="H2179" i="12"/>
  <c r="H2178" i="12"/>
  <c r="H2177" i="12"/>
  <c r="H2176" i="12"/>
  <c r="H2175" i="12"/>
  <c r="H2174" i="12"/>
  <c r="H2173" i="12"/>
  <c r="H2172" i="12"/>
  <c r="H2171" i="12"/>
  <c r="H2170" i="12"/>
  <c r="H2169" i="12"/>
  <c r="H2168" i="12"/>
  <c r="H2167" i="12"/>
  <c r="H2166" i="12"/>
  <c r="H2165" i="12"/>
  <c r="H2164" i="12"/>
  <c r="H2163" i="12"/>
  <c r="H2162" i="12"/>
  <c r="H2161" i="12"/>
  <c r="H2160" i="12"/>
  <c r="H2159" i="12"/>
  <c r="H2158" i="12"/>
  <c r="H2157" i="12"/>
  <c r="H2156" i="12"/>
  <c r="H2155" i="12"/>
  <c r="H2154" i="12"/>
  <c r="H2153" i="12"/>
  <c r="H2152" i="12"/>
  <c r="H2151" i="12"/>
  <c r="H2150" i="12"/>
  <c r="H2149" i="12"/>
  <c r="H2148" i="12"/>
  <c r="H2147" i="12"/>
  <c r="H2146" i="12"/>
  <c r="H2145" i="12"/>
  <c r="H2144" i="12"/>
  <c r="H2143" i="12"/>
  <c r="H2142" i="12"/>
  <c r="H2141" i="12"/>
  <c r="H2140" i="12"/>
  <c r="H2139" i="12"/>
  <c r="H2138" i="12"/>
  <c r="H2137" i="12"/>
  <c r="H2136" i="12"/>
  <c r="H2135" i="12"/>
  <c r="H2134" i="12"/>
  <c r="H2133" i="12"/>
  <c r="H2132" i="12"/>
  <c r="H2131" i="12"/>
  <c r="H2130" i="12"/>
  <c r="H2129" i="12"/>
  <c r="H2128" i="12"/>
  <c r="H2127" i="12"/>
  <c r="H2126" i="12"/>
  <c r="H2125" i="12"/>
  <c r="H2124" i="12"/>
  <c r="G2124" i="12"/>
  <c r="H2123" i="12"/>
  <c r="H2122" i="12"/>
  <c r="H2121" i="12"/>
  <c r="H2120" i="12"/>
  <c r="H2119" i="12"/>
  <c r="H2118" i="12"/>
  <c r="H2117" i="12"/>
  <c r="H2116" i="12"/>
  <c r="H2115" i="12"/>
  <c r="H2114" i="12"/>
  <c r="H2113" i="12"/>
  <c r="G2113" i="12"/>
  <c r="H2112" i="12"/>
  <c r="H2111" i="12"/>
  <c r="H2110" i="12"/>
  <c r="H2109" i="12"/>
  <c r="H2108" i="12"/>
  <c r="H2107" i="12"/>
  <c r="H2106" i="12"/>
  <c r="H2105" i="12"/>
  <c r="H2104" i="12"/>
  <c r="H2103" i="12"/>
  <c r="H2102" i="12"/>
  <c r="H2101" i="12"/>
  <c r="H2100" i="12"/>
  <c r="H2099" i="12"/>
  <c r="H2098" i="12"/>
  <c r="H2097" i="12"/>
  <c r="H2096" i="12"/>
  <c r="H2095" i="12"/>
  <c r="H2094" i="12"/>
  <c r="H2093" i="12"/>
  <c r="H2092" i="12"/>
  <c r="H2091" i="12"/>
  <c r="H2090" i="12"/>
  <c r="H2089" i="12"/>
  <c r="H2088" i="12"/>
  <c r="H2087" i="12"/>
  <c r="H2086" i="12"/>
  <c r="H2085" i="12"/>
  <c r="H2084" i="12"/>
  <c r="H2083" i="12"/>
  <c r="H2082" i="12"/>
  <c r="H2081" i="12"/>
  <c r="H2080" i="12"/>
  <c r="H2079" i="12"/>
  <c r="H2078" i="12"/>
  <c r="H2077" i="12"/>
  <c r="H2076" i="12"/>
  <c r="H2075" i="12"/>
  <c r="H2074" i="12"/>
  <c r="H2073" i="12"/>
  <c r="H2072" i="12"/>
  <c r="H2071" i="12"/>
  <c r="H2070" i="12"/>
  <c r="H2069" i="12"/>
  <c r="H2068" i="12"/>
  <c r="G2067" i="12"/>
  <c r="H2067" i="12" s="1"/>
  <c r="G2066" i="12"/>
  <c r="H2066" i="12" s="1"/>
  <c r="H2065" i="12"/>
  <c r="H2064" i="12"/>
  <c r="H2063" i="12"/>
  <c r="H2062" i="12"/>
  <c r="H2061" i="12"/>
  <c r="H2060" i="12"/>
  <c r="H2059" i="12"/>
  <c r="H2058" i="12"/>
  <c r="H2057" i="12"/>
  <c r="H2056" i="12"/>
  <c r="H2055" i="12"/>
  <c r="H2054" i="12"/>
  <c r="H2053" i="12"/>
  <c r="H2052" i="12"/>
  <c r="H2051" i="12"/>
  <c r="H2050" i="12"/>
  <c r="H2049" i="12"/>
  <c r="H2048" i="12"/>
  <c r="H2047" i="12"/>
  <c r="H2046" i="12"/>
  <c r="H2045" i="12"/>
  <c r="H2044" i="12"/>
  <c r="H2043" i="12"/>
  <c r="H2042" i="12"/>
  <c r="H2041" i="12"/>
  <c r="H2040" i="12"/>
  <c r="H2039" i="12"/>
  <c r="H2038" i="12"/>
  <c r="H2037" i="12"/>
  <c r="H2036" i="12"/>
  <c r="H2035" i="12"/>
  <c r="H2034" i="12"/>
  <c r="G2033" i="12"/>
  <c r="H2033" i="12" s="1"/>
  <c r="H2032" i="12"/>
  <c r="H2031" i="12"/>
  <c r="H2030" i="12"/>
  <c r="H2029" i="12"/>
  <c r="H2028" i="12"/>
  <c r="H2027" i="12"/>
  <c r="H2026" i="12"/>
  <c r="H2025" i="12"/>
  <c r="H2024" i="12"/>
  <c r="H2023" i="12"/>
  <c r="H2022" i="12"/>
  <c r="H2021" i="12"/>
  <c r="H2020" i="12"/>
  <c r="H2019" i="12"/>
  <c r="H2018" i="12"/>
  <c r="H2017" i="12"/>
  <c r="H2016" i="12"/>
  <c r="H2015" i="12"/>
  <c r="H2014" i="12"/>
  <c r="H2013" i="12"/>
  <c r="H2012" i="12"/>
  <c r="H2011" i="12"/>
  <c r="H2010" i="12"/>
  <c r="H2009" i="12"/>
  <c r="H2008" i="12"/>
  <c r="H2007" i="12"/>
  <c r="H2006" i="12"/>
  <c r="H2005" i="12"/>
  <c r="H2004" i="12"/>
  <c r="H2003" i="12"/>
  <c r="H2002" i="12"/>
  <c r="H2001" i="12"/>
  <c r="H2000" i="12"/>
  <c r="H1999" i="12"/>
  <c r="H1998" i="12"/>
  <c r="H1997" i="12"/>
  <c r="H1996" i="12"/>
  <c r="H1995" i="12"/>
  <c r="H1994" i="12"/>
  <c r="H1993" i="12"/>
  <c r="H1992" i="12"/>
  <c r="H1991" i="12"/>
  <c r="H1990" i="12"/>
  <c r="H1989" i="12"/>
  <c r="H1988" i="12"/>
  <c r="H1987" i="12"/>
  <c r="H1986" i="12"/>
  <c r="H1985" i="12"/>
  <c r="H1984" i="12"/>
  <c r="H1983" i="12"/>
  <c r="H1982" i="12"/>
  <c r="H1981" i="12"/>
  <c r="H1980" i="12"/>
  <c r="H1979" i="12"/>
  <c r="H1978" i="12"/>
  <c r="H1977" i="12"/>
  <c r="H1976" i="12"/>
  <c r="H1975" i="12"/>
  <c r="H1974" i="12"/>
  <c r="H1973" i="12"/>
  <c r="H1972" i="12"/>
  <c r="H1971" i="12"/>
  <c r="H1970" i="12"/>
  <c r="H1969" i="12"/>
  <c r="H1968" i="12"/>
  <c r="H1967" i="12"/>
  <c r="H1966" i="12"/>
  <c r="H1965" i="12"/>
  <c r="H1964" i="12"/>
  <c r="H1963" i="12"/>
  <c r="H1962" i="12"/>
  <c r="H1961" i="12"/>
  <c r="H1960" i="12"/>
  <c r="H1959" i="12"/>
  <c r="H1958" i="12"/>
  <c r="H1957" i="12"/>
  <c r="H1956" i="12"/>
  <c r="H1955" i="12"/>
  <c r="H1954" i="12"/>
  <c r="H1953" i="12"/>
  <c r="H1952" i="12"/>
  <c r="H1951" i="12"/>
  <c r="H1950" i="12"/>
  <c r="H1949" i="12"/>
  <c r="H1948" i="12"/>
  <c r="H1947" i="12"/>
  <c r="H1946" i="12"/>
  <c r="H1945" i="12"/>
  <c r="H1944" i="12"/>
  <c r="H1943" i="12"/>
  <c r="H1942" i="12"/>
  <c r="H1941" i="12"/>
  <c r="H1940" i="12"/>
  <c r="H1939" i="12"/>
  <c r="H1938" i="12"/>
  <c r="H1937" i="12"/>
  <c r="H1936" i="12"/>
  <c r="H1935" i="12"/>
  <c r="H1934" i="12"/>
  <c r="H1933" i="12"/>
  <c r="H1932" i="12"/>
  <c r="H1931" i="12"/>
  <c r="H1930" i="12"/>
  <c r="H1929" i="12"/>
  <c r="H1928" i="12"/>
  <c r="H1927" i="12"/>
  <c r="H1926" i="12"/>
  <c r="H1925" i="12"/>
  <c r="H1924" i="12"/>
  <c r="H1923" i="12"/>
  <c r="H1922" i="12"/>
  <c r="H1921" i="12"/>
  <c r="H1920" i="12"/>
  <c r="H1919" i="12"/>
  <c r="H1918" i="12"/>
  <c r="H1917" i="12"/>
  <c r="H1916" i="12"/>
  <c r="H1915" i="12"/>
  <c r="H1914" i="12"/>
  <c r="H1913" i="12"/>
  <c r="H1912" i="12"/>
  <c r="H1911" i="12"/>
  <c r="H1910" i="12"/>
  <c r="H1909" i="12"/>
  <c r="H1908" i="12"/>
  <c r="H1907" i="12"/>
  <c r="H1906" i="12"/>
  <c r="H1905" i="12"/>
  <c r="H1904" i="12"/>
  <c r="H1903" i="12"/>
  <c r="H1902" i="12"/>
  <c r="H1901" i="12"/>
  <c r="H1900" i="12"/>
  <c r="H1899" i="12"/>
  <c r="H1898" i="12"/>
  <c r="H1897" i="12"/>
  <c r="H1896" i="12"/>
  <c r="H1895" i="12"/>
  <c r="H1894" i="12"/>
  <c r="H1893" i="12"/>
  <c r="H1892" i="12"/>
  <c r="H1891" i="12"/>
  <c r="H1890" i="12"/>
  <c r="H1889" i="12"/>
  <c r="H1888" i="12"/>
  <c r="H1887" i="12"/>
  <c r="H1886" i="12"/>
  <c r="H1885" i="12"/>
  <c r="H1884" i="12"/>
  <c r="H1883" i="12"/>
  <c r="H1882" i="12"/>
  <c r="H1881" i="12"/>
  <c r="H1880" i="12"/>
  <c r="H1879" i="12"/>
  <c r="H1878" i="12"/>
  <c r="H1877" i="12"/>
  <c r="H1876" i="12"/>
  <c r="H1875" i="12"/>
  <c r="H1874" i="12"/>
  <c r="H1873" i="12"/>
  <c r="H1872" i="12"/>
  <c r="H1871" i="12"/>
  <c r="G1871" i="12"/>
  <c r="H1870" i="12"/>
  <c r="H1869" i="12"/>
  <c r="H1868" i="12"/>
  <c r="H1867" i="12"/>
  <c r="H1866" i="12"/>
  <c r="H1865" i="12"/>
  <c r="H1864" i="12"/>
  <c r="H1863" i="12"/>
  <c r="H1862" i="12"/>
  <c r="H1861" i="12"/>
  <c r="H1860" i="12"/>
  <c r="H1859" i="12"/>
  <c r="H1858" i="12"/>
  <c r="H1857" i="12"/>
  <c r="H1856" i="12"/>
  <c r="H1855" i="12"/>
  <c r="H1854" i="12"/>
  <c r="H1853" i="12"/>
  <c r="H1852" i="12"/>
  <c r="H1851" i="12"/>
  <c r="H1850" i="12"/>
  <c r="G1850" i="12"/>
  <c r="H1849" i="12"/>
  <c r="H1848" i="12"/>
  <c r="H1847" i="12"/>
  <c r="H1846" i="12"/>
  <c r="H1845" i="12"/>
  <c r="H1844" i="12"/>
  <c r="H1843" i="12"/>
  <c r="H1842" i="12"/>
  <c r="H1841" i="12"/>
  <c r="H1840" i="12"/>
  <c r="H1839" i="12"/>
  <c r="H1838" i="12"/>
  <c r="H1837" i="12"/>
  <c r="H1836" i="12"/>
  <c r="H1835" i="12"/>
  <c r="H1834" i="12"/>
  <c r="H1833" i="12"/>
  <c r="H1832" i="12"/>
  <c r="H1831" i="12"/>
  <c r="H1830" i="12"/>
  <c r="H1829" i="12"/>
  <c r="H1828" i="12"/>
  <c r="H1827" i="12"/>
  <c r="H1826" i="12"/>
  <c r="H1825" i="12"/>
  <c r="H1824" i="12"/>
  <c r="H1823" i="12"/>
  <c r="H1822" i="12"/>
  <c r="H1821" i="12"/>
  <c r="H1820" i="12"/>
  <c r="H1819" i="12"/>
  <c r="H1818" i="12"/>
  <c r="H1817" i="12"/>
  <c r="H1816" i="12"/>
  <c r="H1815" i="12"/>
  <c r="H1814" i="12"/>
  <c r="H1813" i="12"/>
  <c r="H1812" i="12"/>
  <c r="H1811" i="12"/>
  <c r="H1810" i="12"/>
  <c r="H1809" i="12"/>
  <c r="H1808" i="12"/>
  <c r="H1807" i="12"/>
  <c r="H1806" i="12"/>
  <c r="H1805" i="12"/>
  <c r="H1804" i="12"/>
  <c r="H1803" i="12"/>
  <c r="H1802" i="12"/>
  <c r="H1801" i="12"/>
  <c r="H1800" i="12"/>
  <c r="H1799" i="12"/>
  <c r="H1798" i="12"/>
  <c r="H1797" i="12"/>
  <c r="H1796" i="12"/>
  <c r="H1795" i="12"/>
  <c r="H1794" i="12"/>
  <c r="H1793" i="12"/>
  <c r="H1792" i="12"/>
  <c r="H1791" i="12"/>
  <c r="H1790" i="12"/>
  <c r="H1789" i="12"/>
  <c r="H1788" i="12"/>
  <c r="H1787" i="12"/>
  <c r="H1786" i="12"/>
  <c r="H1785" i="12"/>
  <c r="H1784" i="12"/>
  <c r="H1783" i="12"/>
  <c r="H1782" i="12"/>
  <c r="H1781" i="12"/>
  <c r="H1780" i="12"/>
  <c r="H1779" i="12"/>
  <c r="H1778" i="12"/>
  <c r="H1777" i="12"/>
  <c r="H1776" i="12"/>
  <c r="H1775" i="12"/>
  <c r="H1774" i="12"/>
  <c r="H1773" i="12"/>
  <c r="H1772" i="12"/>
  <c r="H1771" i="12"/>
  <c r="H1770" i="12"/>
  <c r="H1769" i="12"/>
  <c r="H1768" i="12"/>
  <c r="H1767" i="12"/>
  <c r="H1766" i="12"/>
  <c r="H1765" i="12"/>
  <c r="H1764" i="12"/>
  <c r="H1763" i="12"/>
  <c r="H1762" i="12"/>
  <c r="H1761" i="12"/>
  <c r="H1760" i="12"/>
  <c r="H1759" i="12"/>
  <c r="H1758" i="12"/>
  <c r="H1757" i="12"/>
  <c r="H1756" i="12"/>
  <c r="H1755" i="12"/>
  <c r="H1754" i="12"/>
  <c r="H1753" i="12"/>
  <c r="H1752" i="12"/>
  <c r="H1751" i="12"/>
  <c r="H1750" i="12"/>
  <c r="H1749" i="12"/>
  <c r="H1748" i="12"/>
  <c r="H1747" i="12"/>
  <c r="H1746" i="12"/>
  <c r="H1745" i="12"/>
  <c r="H1744" i="12"/>
  <c r="H1743" i="12"/>
  <c r="H1742" i="12"/>
  <c r="H1741" i="12"/>
  <c r="H1740" i="12"/>
  <c r="H1739" i="12"/>
  <c r="H1738" i="12"/>
  <c r="G1737" i="12"/>
  <c r="H1737" i="12" s="1"/>
  <c r="H1736" i="12"/>
  <c r="H1735" i="12"/>
  <c r="H1734" i="12"/>
  <c r="H1733" i="12"/>
  <c r="H1732" i="12"/>
  <c r="H1731" i="12"/>
  <c r="G1731" i="12"/>
  <c r="G1730" i="12"/>
  <c r="H1730" i="12" s="1"/>
  <c r="H1729" i="12"/>
  <c r="H1728" i="12"/>
  <c r="H1727" i="12"/>
  <c r="H1726" i="12"/>
  <c r="H1725" i="12"/>
  <c r="G1725" i="12"/>
  <c r="G1724" i="12"/>
  <c r="H1724" i="12" s="1"/>
  <c r="H1723" i="12"/>
  <c r="H1722" i="12"/>
  <c r="G1721" i="12"/>
  <c r="H1721" i="12" s="1"/>
  <c r="H1720" i="12"/>
  <c r="H1719" i="12"/>
  <c r="H1718" i="12"/>
  <c r="H1717" i="12"/>
  <c r="H1716" i="12"/>
  <c r="H1715" i="12"/>
  <c r="H1714" i="12"/>
  <c r="H1713" i="12"/>
  <c r="H1712" i="12"/>
  <c r="H1711" i="12"/>
  <c r="H1710" i="12"/>
  <c r="H1709" i="12"/>
  <c r="H1708" i="12"/>
  <c r="H1707" i="12"/>
  <c r="H1706" i="12"/>
  <c r="H1705" i="12"/>
  <c r="H1704" i="12"/>
  <c r="H1703" i="12"/>
  <c r="H1702" i="12"/>
  <c r="H1701" i="12"/>
  <c r="H1700" i="12"/>
  <c r="H1699" i="12"/>
  <c r="H1698" i="12"/>
  <c r="H1697" i="12"/>
  <c r="H1696" i="12"/>
  <c r="H1695" i="12"/>
  <c r="H1694" i="12"/>
  <c r="H1693" i="12"/>
  <c r="H1692" i="12"/>
  <c r="H1691" i="12"/>
  <c r="H1690" i="12"/>
  <c r="H1689" i="12"/>
  <c r="H1688" i="12"/>
  <c r="H1687" i="12"/>
  <c r="G1687" i="12"/>
  <c r="H1686" i="12"/>
  <c r="H1685" i="12"/>
  <c r="H1684" i="12"/>
  <c r="H1683" i="12"/>
  <c r="H1682" i="12"/>
  <c r="H1681" i="12"/>
  <c r="H1680" i="12"/>
  <c r="H1679" i="12"/>
  <c r="H1678" i="12"/>
  <c r="H1677" i="12"/>
  <c r="H1676" i="12"/>
  <c r="H1675" i="12"/>
  <c r="H1674" i="12"/>
  <c r="H1673" i="12"/>
  <c r="H1672" i="12"/>
  <c r="H1671" i="12"/>
  <c r="H1670" i="12"/>
  <c r="H1669" i="12"/>
  <c r="H1668" i="12"/>
  <c r="H1667" i="12"/>
  <c r="H1666" i="12"/>
  <c r="H1665" i="12"/>
  <c r="H1664" i="12"/>
  <c r="H1663" i="12"/>
  <c r="H1662" i="12"/>
  <c r="H1661" i="12"/>
  <c r="H1660" i="12"/>
  <c r="H1659" i="12"/>
  <c r="H1658" i="12"/>
  <c r="H1657" i="12"/>
  <c r="H1656" i="12"/>
  <c r="H1655" i="12"/>
  <c r="H1654" i="12"/>
  <c r="H1653" i="12"/>
  <c r="H1652" i="12"/>
  <c r="H1651" i="12"/>
  <c r="H1650" i="12"/>
  <c r="H1649" i="12"/>
  <c r="H1648" i="12"/>
  <c r="H1647" i="12"/>
  <c r="H1646" i="12"/>
  <c r="H1645" i="12"/>
  <c r="H1644" i="12"/>
  <c r="H1643" i="12"/>
  <c r="H1642" i="12"/>
  <c r="H1641" i="12"/>
  <c r="H1640" i="12"/>
  <c r="H1639" i="12"/>
  <c r="H1638" i="12"/>
  <c r="H1637" i="12"/>
  <c r="H1636" i="12"/>
  <c r="H1635" i="12"/>
  <c r="H1634" i="12"/>
  <c r="H1633" i="12"/>
  <c r="H1632" i="12"/>
  <c r="H1631" i="12"/>
  <c r="H1630" i="12"/>
  <c r="H1629" i="12"/>
  <c r="H1628" i="12"/>
  <c r="H1627" i="12"/>
  <c r="H1626" i="12"/>
  <c r="H1625" i="12"/>
  <c r="H1624" i="12"/>
  <c r="H1623" i="12"/>
  <c r="H1622" i="12"/>
  <c r="H1621" i="12"/>
  <c r="H1620" i="12"/>
  <c r="H1619" i="12"/>
  <c r="H1618" i="12"/>
  <c r="H1617" i="12"/>
  <c r="G1617" i="12"/>
  <c r="H1616" i="12"/>
  <c r="H1615" i="12"/>
  <c r="H1614" i="12"/>
  <c r="H1613" i="12"/>
  <c r="H1612" i="12"/>
  <c r="H1611" i="12"/>
  <c r="H1610" i="12"/>
  <c r="H1609" i="12"/>
  <c r="H1608" i="12"/>
  <c r="H1607" i="12"/>
  <c r="H1606" i="12"/>
  <c r="H1605" i="12"/>
  <c r="H1604" i="12"/>
  <c r="H1603" i="12"/>
  <c r="H1602" i="12"/>
  <c r="H1601" i="12"/>
  <c r="H1600" i="12"/>
  <c r="H1599" i="12"/>
  <c r="H1598" i="12"/>
  <c r="H1597" i="12"/>
  <c r="H1596" i="12"/>
  <c r="H1595" i="12"/>
  <c r="H1594" i="12"/>
  <c r="H1593" i="12"/>
  <c r="H1592" i="12"/>
  <c r="H1591" i="12"/>
  <c r="H1590" i="12"/>
  <c r="H1589" i="12"/>
  <c r="H1588" i="12"/>
  <c r="H1587" i="12"/>
  <c r="H1586" i="12"/>
  <c r="H1585" i="12"/>
  <c r="H1584" i="12"/>
  <c r="H1583" i="12"/>
  <c r="H1582" i="12"/>
  <c r="H1581" i="12"/>
  <c r="H1580" i="12"/>
  <c r="H1579" i="12"/>
  <c r="H1578" i="12"/>
  <c r="H1577" i="12"/>
  <c r="H1576" i="12"/>
  <c r="H1575" i="12"/>
  <c r="H1574" i="12"/>
  <c r="H1573" i="12"/>
  <c r="H1572" i="12"/>
  <c r="H1571" i="12"/>
  <c r="G1571" i="12"/>
  <c r="H1570" i="12"/>
  <c r="G1569" i="12"/>
  <c r="H1569" i="12" s="1"/>
  <c r="H1568" i="12"/>
  <c r="H1567" i="12"/>
  <c r="H1566" i="12"/>
  <c r="H1565" i="12"/>
  <c r="H1564" i="12"/>
  <c r="H1563" i="12"/>
  <c r="H1562" i="12"/>
  <c r="H1561" i="12"/>
  <c r="H1560" i="12"/>
  <c r="H1559" i="12"/>
  <c r="H1558" i="12"/>
  <c r="H1557" i="12"/>
  <c r="H1556" i="12"/>
  <c r="H1555" i="12"/>
  <c r="H1554" i="12"/>
  <c r="H1553" i="12"/>
  <c r="H1552" i="12"/>
  <c r="H1551" i="12"/>
  <c r="H1550" i="12"/>
  <c r="H1549" i="12"/>
  <c r="H1548" i="12"/>
  <c r="H1547" i="12"/>
  <c r="H1546" i="12"/>
  <c r="H1545" i="12"/>
  <c r="H1544" i="12"/>
  <c r="H1543" i="12"/>
  <c r="H1542" i="12"/>
  <c r="H1541" i="12"/>
  <c r="H1540" i="12"/>
  <c r="H1539" i="12"/>
  <c r="H1538" i="12"/>
  <c r="H1537" i="12"/>
  <c r="H1536" i="12"/>
  <c r="H1535" i="12"/>
  <c r="H1534" i="12"/>
  <c r="H1533" i="12"/>
  <c r="H1532" i="12"/>
  <c r="H1531" i="12"/>
  <c r="H1530" i="12"/>
  <c r="H1529" i="12"/>
  <c r="H1528" i="12"/>
  <c r="H1527" i="12"/>
  <c r="H1526" i="12"/>
  <c r="H1525" i="12"/>
  <c r="G1525" i="12"/>
  <c r="H1524" i="12"/>
  <c r="H1523" i="12"/>
  <c r="H1522" i="12"/>
  <c r="H1521" i="12"/>
  <c r="H1520" i="12"/>
  <c r="H1519" i="12"/>
  <c r="H1518" i="12"/>
  <c r="H1517" i="12"/>
  <c r="H1516" i="12"/>
  <c r="H1515" i="12"/>
  <c r="H1514" i="12"/>
  <c r="H1513" i="12"/>
  <c r="H1512" i="12"/>
  <c r="H1511" i="12"/>
  <c r="H1510" i="12"/>
  <c r="H1509" i="12"/>
  <c r="H1508" i="12"/>
  <c r="H1507" i="12"/>
  <c r="H1506" i="12"/>
  <c r="H1505" i="12"/>
  <c r="H1504" i="12"/>
  <c r="H1503" i="12"/>
  <c r="H1502" i="12"/>
  <c r="H1501" i="12"/>
  <c r="H1500" i="12"/>
  <c r="H1499" i="12"/>
  <c r="H1498" i="12"/>
  <c r="H1497" i="12"/>
  <c r="H1496" i="12"/>
  <c r="G1496" i="12"/>
  <c r="H1495" i="12"/>
  <c r="H1494" i="12"/>
  <c r="H1493" i="12"/>
  <c r="H1492" i="12"/>
  <c r="H1491" i="12"/>
  <c r="H1490" i="12"/>
  <c r="H1489" i="12"/>
  <c r="H1488" i="12"/>
  <c r="H1487" i="12"/>
  <c r="H1486" i="12"/>
  <c r="H1485" i="12"/>
  <c r="H1484" i="12"/>
  <c r="H1483" i="12"/>
  <c r="H1482" i="12"/>
  <c r="H1481" i="12"/>
  <c r="H1480" i="12"/>
  <c r="H1479" i="12"/>
  <c r="H1478" i="12"/>
  <c r="H1477" i="12"/>
  <c r="H1476" i="12"/>
  <c r="H1475" i="12"/>
  <c r="H1474" i="12"/>
  <c r="H1473" i="12"/>
  <c r="H1472" i="12"/>
  <c r="H1471" i="12"/>
  <c r="H1470" i="12"/>
  <c r="H1469" i="12"/>
  <c r="H1468" i="12"/>
  <c r="H1467" i="12"/>
  <c r="H1466" i="12"/>
  <c r="H1465" i="12"/>
  <c r="H1464" i="12"/>
  <c r="H1463" i="12"/>
  <c r="H1462" i="12"/>
  <c r="H1461" i="12"/>
  <c r="H1460" i="12"/>
  <c r="H1459" i="12"/>
  <c r="H1458" i="12"/>
  <c r="H1457" i="12"/>
  <c r="H1456" i="12"/>
  <c r="H1455" i="12"/>
  <c r="H1454" i="12"/>
  <c r="H1453" i="12"/>
  <c r="H1452" i="12"/>
  <c r="H1451" i="12"/>
  <c r="H1450" i="12"/>
  <c r="H1449" i="12"/>
  <c r="H1448" i="12"/>
  <c r="H1447" i="12"/>
  <c r="H1446" i="12"/>
  <c r="H1445" i="12"/>
  <c r="H1444" i="12"/>
  <c r="H1443" i="12"/>
  <c r="H1442" i="12"/>
  <c r="G1442" i="12"/>
  <c r="H1441" i="12"/>
  <c r="H1440" i="12"/>
  <c r="H1439" i="12"/>
  <c r="H1438" i="12"/>
  <c r="H1437" i="12"/>
  <c r="H1436" i="12"/>
  <c r="H1435" i="12"/>
  <c r="H1434" i="12"/>
  <c r="H1433" i="12"/>
  <c r="H1432" i="12"/>
  <c r="H1431" i="12"/>
  <c r="H1430" i="12"/>
  <c r="H1429" i="12"/>
  <c r="H1428" i="12"/>
  <c r="H1427" i="12"/>
  <c r="H1426" i="12"/>
  <c r="H1425" i="12"/>
  <c r="H1424" i="12"/>
  <c r="H1423" i="12"/>
  <c r="H1422" i="12"/>
  <c r="H1421" i="12"/>
  <c r="H1420" i="12"/>
  <c r="H1419" i="12"/>
  <c r="H1418" i="12"/>
  <c r="H1417" i="12"/>
  <c r="H1416" i="12"/>
  <c r="H1415" i="12"/>
  <c r="H1414" i="12"/>
  <c r="H1413" i="12"/>
  <c r="H1412" i="12"/>
  <c r="H1411" i="12"/>
  <c r="G1411" i="12"/>
  <c r="H1410" i="12"/>
  <c r="H1409" i="12"/>
  <c r="H1408" i="12"/>
  <c r="G1408" i="12"/>
  <c r="G1407" i="12"/>
  <c r="H1407" i="12" s="1"/>
  <c r="H1406" i="12"/>
  <c r="H1405" i="12"/>
  <c r="H1404" i="12"/>
  <c r="H1403" i="12"/>
  <c r="H1402" i="12"/>
  <c r="H1401" i="12"/>
  <c r="H1400" i="12"/>
  <c r="H1399" i="12"/>
  <c r="H1398" i="12"/>
  <c r="H1397" i="12"/>
  <c r="H1396" i="12"/>
  <c r="H1395" i="12"/>
  <c r="H1394" i="12"/>
  <c r="H1393" i="12"/>
  <c r="H1392" i="12"/>
  <c r="H1391" i="12"/>
  <c r="H1390" i="12"/>
  <c r="H1389" i="12"/>
  <c r="H1388" i="12"/>
  <c r="H1387" i="12"/>
  <c r="H1386" i="12"/>
  <c r="H1385" i="12"/>
  <c r="H1384" i="12"/>
  <c r="H1383" i="12"/>
  <c r="H1382" i="12"/>
  <c r="H1381" i="12"/>
  <c r="H1380" i="12"/>
  <c r="H1379" i="12"/>
  <c r="H1378" i="12"/>
  <c r="G1378" i="12"/>
  <c r="H1377" i="12"/>
  <c r="H1376" i="12"/>
  <c r="H1375" i="12"/>
  <c r="H1374" i="12"/>
  <c r="H1373" i="12"/>
  <c r="H1372" i="12"/>
  <c r="H1371" i="12"/>
  <c r="H1370" i="12"/>
  <c r="H1369" i="12"/>
  <c r="H1368" i="12"/>
  <c r="H1367" i="12"/>
  <c r="H1366" i="12"/>
  <c r="H1365" i="12"/>
  <c r="H1364" i="12"/>
  <c r="H1363" i="12"/>
  <c r="H1362" i="12"/>
  <c r="H1361" i="12"/>
  <c r="H1360" i="12"/>
  <c r="H1359" i="12"/>
  <c r="H1358" i="12"/>
  <c r="H1357" i="12"/>
  <c r="H1356" i="12"/>
  <c r="G1356" i="12"/>
  <c r="H1355" i="12"/>
  <c r="H1354" i="12"/>
  <c r="H1353" i="12"/>
  <c r="H1352" i="12"/>
  <c r="H1351" i="12"/>
  <c r="H1350" i="12"/>
  <c r="H1349" i="12"/>
  <c r="H1348" i="12"/>
  <c r="H1347" i="12"/>
  <c r="H1346" i="12"/>
  <c r="H1345" i="12"/>
  <c r="H1344" i="12"/>
  <c r="H1343" i="12"/>
  <c r="H1342" i="12"/>
  <c r="H1341" i="12"/>
  <c r="H1340" i="12"/>
  <c r="H1339" i="12"/>
  <c r="H1338" i="12"/>
  <c r="H1337" i="12"/>
  <c r="H1336" i="12"/>
  <c r="H1335" i="12"/>
  <c r="H1334" i="12"/>
  <c r="H1333" i="12"/>
  <c r="H1332" i="12"/>
  <c r="H1331" i="12"/>
  <c r="H1330" i="12"/>
  <c r="H1329" i="12"/>
  <c r="H1328" i="12"/>
  <c r="H1327" i="12"/>
  <c r="H1326" i="12"/>
  <c r="H1325" i="12"/>
  <c r="H1324" i="12"/>
  <c r="H1323" i="12"/>
  <c r="H1322" i="12"/>
  <c r="H1321" i="12"/>
  <c r="H1320" i="12"/>
  <c r="H1319" i="12"/>
  <c r="H1318" i="12"/>
  <c r="H1317" i="12"/>
  <c r="H1316" i="12"/>
  <c r="H1315" i="12"/>
  <c r="H1314" i="12"/>
  <c r="H1313" i="12"/>
  <c r="H1312" i="12"/>
  <c r="H1311" i="12"/>
  <c r="H1310" i="12"/>
  <c r="H1309" i="12"/>
  <c r="H1308" i="12"/>
  <c r="H1307" i="12"/>
  <c r="G1307" i="12"/>
  <c r="H1306" i="12"/>
  <c r="H1305" i="12"/>
  <c r="H1304" i="12"/>
  <c r="H1303" i="12"/>
  <c r="H1302" i="12"/>
  <c r="H1301" i="12"/>
  <c r="H1300" i="12"/>
  <c r="H1299" i="12"/>
  <c r="H1298" i="12"/>
  <c r="H1297" i="12"/>
  <c r="H1296" i="12"/>
  <c r="H1295" i="12"/>
  <c r="H1294" i="12"/>
  <c r="H1293" i="12"/>
  <c r="H1292" i="12"/>
  <c r="H1291" i="12"/>
  <c r="H1290" i="12"/>
  <c r="H1289" i="12"/>
  <c r="H1288" i="12"/>
  <c r="H1287" i="12"/>
  <c r="H1286" i="12"/>
  <c r="H1285" i="12"/>
  <c r="G1285" i="12"/>
  <c r="H1284" i="12"/>
  <c r="H1283" i="12"/>
  <c r="H1282" i="12"/>
  <c r="H1281" i="12"/>
  <c r="H1280" i="12"/>
  <c r="H1279" i="12"/>
  <c r="H1278" i="12"/>
  <c r="H1277" i="12"/>
  <c r="H1276" i="12"/>
  <c r="H1275" i="12"/>
  <c r="H1274" i="12"/>
  <c r="H1273" i="12"/>
  <c r="H1272" i="12"/>
  <c r="H1271" i="12"/>
  <c r="H1270" i="12"/>
  <c r="H1269" i="12"/>
  <c r="H1268" i="12"/>
  <c r="H1267" i="12"/>
  <c r="H1266" i="12"/>
  <c r="H1265" i="12"/>
  <c r="H1264" i="12"/>
  <c r="H1263" i="12"/>
  <c r="H1262" i="12"/>
  <c r="H1261" i="12"/>
  <c r="H1260" i="12"/>
  <c r="H1259" i="12"/>
  <c r="H1258" i="12"/>
  <c r="H1257" i="12"/>
  <c r="H1256" i="12"/>
  <c r="H1255" i="12"/>
  <c r="H1254" i="12"/>
  <c r="H1253" i="12"/>
  <c r="H1252" i="12"/>
  <c r="H1251" i="12"/>
  <c r="H1250" i="12"/>
  <c r="H1249" i="12"/>
  <c r="H1248" i="12"/>
  <c r="H1247" i="12"/>
  <c r="H1246" i="12"/>
  <c r="H1245" i="12"/>
  <c r="H1244" i="12"/>
  <c r="H1243" i="12"/>
  <c r="H1242" i="12"/>
  <c r="H1241" i="12"/>
  <c r="H1240" i="12"/>
  <c r="H1239" i="12"/>
  <c r="H1238" i="12"/>
  <c r="H1237" i="12"/>
  <c r="H1236" i="12"/>
  <c r="H1235" i="12"/>
  <c r="H1234" i="12"/>
  <c r="H1233" i="12"/>
  <c r="H1232" i="12"/>
  <c r="H1231" i="12"/>
  <c r="H1230" i="12"/>
  <c r="H1229" i="12"/>
  <c r="H1228" i="12"/>
  <c r="H1227" i="12"/>
  <c r="H1226" i="12"/>
  <c r="H1225" i="12"/>
  <c r="H1224" i="12"/>
  <c r="H1223" i="12"/>
  <c r="H1222" i="12"/>
  <c r="H1221" i="12"/>
  <c r="H1220" i="12"/>
  <c r="H1219" i="12"/>
  <c r="H1218" i="12"/>
  <c r="H1217" i="12"/>
  <c r="H1216" i="12"/>
  <c r="H1215" i="12"/>
  <c r="H1214" i="12"/>
  <c r="H1213" i="12"/>
  <c r="H1212" i="12"/>
  <c r="H1211" i="12"/>
  <c r="H1210" i="12"/>
  <c r="H1209" i="12"/>
  <c r="H1208" i="12"/>
  <c r="H1207" i="12"/>
  <c r="H1206" i="12"/>
  <c r="H1205" i="12"/>
  <c r="H1204" i="12"/>
  <c r="H1203" i="12"/>
  <c r="H1202" i="12"/>
  <c r="H1201" i="12"/>
  <c r="H1200" i="12"/>
  <c r="H1199" i="12"/>
  <c r="H1198" i="12"/>
  <c r="H1197" i="12"/>
  <c r="H1196" i="12"/>
  <c r="H1195" i="12"/>
  <c r="H1194" i="12"/>
  <c r="H1193" i="12"/>
  <c r="H1192" i="12"/>
  <c r="H1191" i="12"/>
  <c r="H1190" i="12"/>
  <c r="H1189" i="12"/>
  <c r="H1188" i="12"/>
  <c r="H1187" i="12"/>
  <c r="H1186" i="12"/>
  <c r="H1185" i="12"/>
  <c r="H1184" i="12"/>
  <c r="H1183" i="12"/>
  <c r="H1182" i="12"/>
  <c r="G1182" i="12"/>
  <c r="H1181" i="12"/>
  <c r="H1180" i="12"/>
  <c r="H1179" i="12"/>
  <c r="H1178" i="12"/>
  <c r="H1177" i="12"/>
  <c r="H1176" i="12"/>
  <c r="H1175" i="12"/>
  <c r="H1174" i="12"/>
  <c r="G1173" i="12"/>
  <c r="H1173" i="12" s="1"/>
  <c r="H1172" i="12"/>
  <c r="H1171" i="12"/>
  <c r="H1170" i="12"/>
  <c r="H1169" i="12"/>
  <c r="H1168" i="12"/>
  <c r="H1167" i="12"/>
  <c r="H1166" i="12"/>
  <c r="H1165" i="12"/>
  <c r="H1164" i="12"/>
  <c r="H1163" i="12"/>
  <c r="H1162" i="12"/>
  <c r="H1161" i="12"/>
  <c r="H1160" i="12"/>
  <c r="H1159" i="12"/>
  <c r="H1158" i="12"/>
  <c r="H1157" i="12"/>
  <c r="H1156" i="12"/>
  <c r="H1155" i="12"/>
  <c r="H1154" i="12"/>
  <c r="H1153" i="12"/>
  <c r="H1152" i="12"/>
  <c r="H1151" i="12"/>
  <c r="H1150" i="12"/>
  <c r="H1149" i="12"/>
  <c r="H1148" i="12"/>
  <c r="H1147" i="12"/>
  <c r="G1146" i="12"/>
  <c r="H1146" i="12" s="1"/>
  <c r="H1145" i="12"/>
  <c r="H1144" i="12"/>
  <c r="H1143" i="12"/>
  <c r="H1142" i="12"/>
  <c r="H1141" i="12"/>
  <c r="H1140" i="12"/>
  <c r="H1139" i="12"/>
  <c r="H1138" i="12"/>
  <c r="H1137" i="12"/>
  <c r="H1136" i="12"/>
  <c r="H1135" i="12"/>
  <c r="H1134" i="12"/>
  <c r="H1133" i="12"/>
  <c r="H1132" i="12"/>
  <c r="H1131" i="12"/>
  <c r="H1130" i="12"/>
  <c r="H1129" i="12"/>
  <c r="H1128" i="12"/>
  <c r="H1127" i="12"/>
  <c r="H1126" i="12"/>
  <c r="H1125" i="12"/>
  <c r="H1124" i="12"/>
  <c r="H1123" i="12"/>
  <c r="H1122" i="12"/>
  <c r="H1121" i="12"/>
  <c r="H1120" i="12"/>
  <c r="H1119" i="12"/>
  <c r="H1118" i="12"/>
  <c r="H1117" i="12"/>
  <c r="H1116" i="12"/>
  <c r="H1115" i="12"/>
  <c r="H1114" i="12"/>
  <c r="H1113" i="12"/>
  <c r="H1112" i="12"/>
  <c r="H1111" i="12"/>
  <c r="H1110" i="12"/>
  <c r="H1109" i="12"/>
  <c r="H1108" i="12"/>
  <c r="H1107" i="12"/>
  <c r="H1106" i="12"/>
  <c r="H1105" i="12"/>
  <c r="H1104" i="12"/>
  <c r="H1103" i="12"/>
  <c r="H1102" i="12"/>
  <c r="H1101" i="12"/>
  <c r="H1100" i="12"/>
  <c r="G1099" i="12"/>
  <c r="H1099" i="12" s="1"/>
  <c r="H1098" i="12"/>
  <c r="H1097" i="12"/>
  <c r="H1096" i="12"/>
  <c r="H1095" i="12"/>
  <c r="H1094" i="12"/>
  <c r="H1093" i="12"/>
  <c r="H1092" i="12"/>
  <c r="H1091" i="12"/>
  <c r="H1090" i="12"/>
  <c r="H1089" i="12"/>
  <c r="H1088" i="12"/>
  <c r="H1087" i="12"/>
  <c r="H1086" i="12"/>
  <c r="H1085" i="12"/>
  <c r="H1084" i="12"/>
  <c r="H1083" i="12"/>
  <c r="H1082" i="12"/>
  <c r="H1081" i="12"/>
  <c r="H1080" i="12"/>
  <c r="H1079" i="12"/>
  <c r="H1078" i="12"/>
  <c r="H1077" i="12"/>
  <c r="H1076" i="12"/>
  <c r="H1075" i="12"/>
  <c r="H1074" i="12"/>
  <c r="H1073" i="12"/>
  <c r="H1072" i="12"/>
  <c r="H1071" i="12"/>
  <c r="H1070" i="12"/>
  <c r="H1069" i="12"/>
  <c r="H1068" i="12"/>
  <c r="H1067" i="12"/>
  <c r="H1066" i="12"/>
  <c r="H1065" i="12"/>
  <c r="H1064" i="12"/>
  <c r="H1063" i="12"/>
  <c r="H1062" i="12"/>
  <c r="H1061" i="12"/>
  <c r="H1060" i="12"/>
  <c r="H1059" i="12"/>
  <c r="H1058" i="12"/>
  <c r="H1057" i="12"/>
  <c r="H1056" i="12"/>
  <c r="H1055" i="12"/>
  <c r="H1054" i="12"/>
  <c r="G1054" i="12"/>
  <c r="H1053" i="12"/>
  <c r="H1052" i="12"/>
  <c r="H1051" i="12"/>
  <c r="H1050" i="12"/>
  <c r="H1049" i="12"/>
  <c r="H1048" i="12"/>
  <c r="H1047" i="12"/>
  <c r="H1046" i="12"/>
  <c r="H1045" i="12"/>
  <c r="H1044" i="12"/>
  <c r="G1044" i="12"/>
  <c r="H1043" i="12"/>
  <c r="H1042" i="12"/>
  <c r="H1041" i="12"/>
  <c r="H1040" i="12"/>
  <c r="H1039" i="12"/>
  <c r="H1038" i="12"/>
  <c r="H1037" i="12"/>
  <c r="H1036" i="12"/>
  <c r="G1036" i="12"/>
  <c r="H1035" i="12"/>
  <c r="H1034" i="12"/>
  <c r="H1033" i="12"/>
  <c r="H1032" i="12"/>
  <c r="H1031" i="12"/>
  <c r="H1030" i="12"/>
  <c r="H1029" i="12"/>
  <c r="H1028" i="12"/>
  <c r="H1027" i="12"/>
  <c r="H1026" i="12"/>
  <c r="H1025" i="12"/>
  <c r="G1024" i="12"/>
  <c r="H1024" i="12" s="1"/>
  <c r="H1023" i="12"/>
  <c r="H1022" i="12"/>
  <c r="H1021" i="12"/>
  <c r="H1020" i="12"/>
  <c r="H1019" i="12"/>
  <c r="H1018" i="12"/>
  <c r="H1017" i="12"/>
  <c r="G1017" i="12"/>
  <c r="H1016" i="12"/>
  <c r="H1015" i="12"/>
  <c r="H1014" i="12"/>
  <c r="H1013" i="12"/>
  <c r="H1012" i="12"/>
  <c r="H1011" i="12"/>
  <c r="H1010" i="12"/>
  <c r="H1009" i="12"/>
  <c r="H1008" i="12"/>
  <c r="H1007" i="12"/>
  <c r="H1006" i="12"/>
  <c r="H1005" i="12"/>
  <c r="H1004" i="12"/>
  <c r="H1003" i="12"/>
  <c r="H1002" i="12"/>
  <c r="H1001" i="12"/>
  <c r="H1000" i="12"/>
  <c r="H999" i="12"/>
  <c r="G999" i="12"/>
  <c r="H998" i="12"/>
  <c r="H997" i="12"/>
  <c r="H996" i="12"/>
  <c r="H995" i="12"/>
  <c r="G995" i="12"/>
  <c r="H994" i="12"/>
  <c r="H993" i="12"/>
  <c r="H992" i="12"/>
  <c r="H991" i="12"/>
  <c r="H990" i="12"/>
  <c r="H989" i="12"/>
  <c r="H988" i="12"/>
  <c r="H987" i="12"/>
  <c r="H986" i="12"/>
  <c r="H985" i="12"/>
  <c r="H984" i="12"/>
  <c r="H983" i="12"/>
  <c r="H982" i="12"/>
  <c r="H981" i="12"/>
  <c r="H980" i="12"/>
  <c r="H979" i="12"/>
  <c r="H978" i="12"/>
  <c r="H977" i="12"/>
  <c r="H976" i="12"/>
  <c r="H975" i="12"/>
  <c r="H974" i="12"/>
  <c r="H973" i="12"/>
  <c r="H972" i="12"/>
  <c r="H971" i="12"/>
  <c r="H970" i="12"/>
  <c r="H969" i="12"/>
  <c r="H968" i="12"/>
  <c r="H967" i="12"/>
  <c r="H966" i="12"/>
  <c r="H965" i="12"/>
  <c r="H964" i="12"/>
  <c r="H963" i="12"/>
  <c r="H962" i="12"/>
  <c r="H961" i="12"/>
  <c r="H960" i="12"/>
  <c r="H959" i="12"/>
  <c r="H958" i="12"/>
  <c r="H957" i="12"/>
  <c r="H956" i="12"/>
  <c r="H955" i="12"/>
  <c r="H954" i="12"/>
  <c r="H953" i="12"/>
  <c r="H952" i="12"/>
  <c r="H951" i="12"/>
  <c r="H950" i="12"/>
  <c r="H949" i="12"/>
  <c r="H948" i="12"/>
  <c r="H947" i="12"/>
  <c r="H946" i="12"/>
  <c r="H945" i="12"/>
  <c r="H944" i="12"/>
  <c r="H943" i="12"/>
  <c r="H942" i="12"/>
  <c r="H941" i="12"/>
  <c r="G941" i="12"/>
  <c r="H940" i="12"/>
  <c r="H939" i="12"/>
  <c r="H938" i="12"/>
  <c r="H937" i="12"/>
  <c r="H936" i="12"/>
  <c r="H935" i="12"/>
  <c r="H934" i="12"/>
  <c r="H933" i="12"/>
  <c r="H932" i="12"/>
  <c r="H931" i="12"/>
  <c r="H930" i="12"/>
  <c r="H929" i="12"/>
  <c r="H928" i="12"/>
  <c r="H927" i="12"/>
  <c r="H926" i="12"/>
  <c r="H925" i="12"/>
  <c r="H924" i="12"/>
  <c r="H923" i="12"/>
  <c r="H922" i="12"/>
  <c r="H921" i="12"/>
  <c r="H920" i="12"/>
  <c r="H919" i="12"/>
  <c r="H918" i="12"/>
  <c r="H917" i="12"/>
  <c r="H916" i="12"/>
  <c r="H915" i="12"/>
  <c r="H914" i="12"/>
  <c r="H913" i="12"/>
  <c r="G912" i="12"/>
  <c r="H912" i="12" s="1"/>
  <c r="H911" i="12"/>
  <c r="H910" i="12"/>
  <c r="H909" i="12"/>
  <c r="H908" i="12"/>
  <c r="H907" i="12"/>
  <c r="H906" i="12"/>
  <c r="H905" i="12"/>
  <c r="H904" i="12"/>
  <c r="H903" i="12"/>
  <c r="H902" i="12"/>
  <c r="H901" i="12"/>
  <c r="H900" i="12"/>
  <c r="H899" i="12"/>
  <c r="H898" i="12"/>
  <c r="H897" i="12"/>
  <c r="H896" i="12"/>
  <c r="H895" i="12"/>
  <c r="H894" i="12"/>
  <c r="H893" i="12"/>
  <c r="H892" i="12"/>
  <c r="H891" i="12"/>
  <c r="H890" i="12"/>
  <c r="H889" i="12"/>
  <c r="H888" i="12"/>
  <c r="H887" i="12"/>
  <c r="H886" i="12"/>
  <c r="H885" i="12"/>
  <c r="H884" i="12"/>
  <c r="H883" i="12"/>
  <c r="H882" i="12"/>
  <c r="H881" i="12"/>
  <c r="H880" i="12"/>
  <c r="H879" i="12"/>
  <c r="H878" i="12"/>
  <c r="H877" i="12"/>
  <c r="H876" i="12"/>
  <c r="H875" i="12"/>
  <c r="H874" i="12"/>
  <c r="H873" i="12"/>
  <c r="H872" i="12"/>
  <c r="H871" i="12"/>
  <c r="H870" i="12"/>
  <c r="H869" i="12"/>
  <c r="H868" i="12"/>
  <c r="H867" i="12"/>
  <c r="H866" i="12"/>
  <c r="H865" i="12"/>
  <c r="H864" i="12"/>
  <c r="H863" i="12"/>
  <c r="H862" i="12"/>
  <c r="H861" i="12"/>
  <c r="H860" i="12"/>
  <c r="H859" i="12"/>
  <c r="H858" i="12"/>
  <c r="H857" i="12"/>
  <c r="H856" i="12"/>
  <c r="H855" i="12"/>
  <c r="H854" i="12"/>
  <c r="H853" i="12"/>
  <c r="H852" i="12"/>
  <c r="H851" i="12"/>
  <c r="H850" i="12"/>
  <c r="H849" i="12"/>
  <c r="H848" i="12"/>
  <c r="H847" i="12"/>
  <c r="H846" i="12"/>
  <c r="H845" i="12"/>
  <c r="H844" i="12"/>
  <c r="H843" i="12"/>
  <c r="H842" i="12"/>
  <c r="H841" i="12"/>
  <c r="H840" i="12"/>
  <c r="H839" i="12"/>
  <c r="H838" i="12"/>
  <c r="H837" i="12"/>
  <c r="H836" i="12"/>
  <c r="H835" i="12"/>
  <c r="H834" i="12"/>
  <c r="H833" i="12"/>
  <c r="H832" i="12"/>
  <c r="H831" i="12"/>
  <c r="H830" i="12"/>
  <c r="H829" i="12"/>
  <c r="H828" i="12"/>
  <c r="H827" i="12"/>
  <c r="H826" i="12"/>
  <c r="H825" i="12"/>
  <c r="H824" i="12"/>
  <c r="H823" i="12"/>
  <c r="H822" i="12"/>
  <c r="H821" i="12"/>
  <c r="H820" i="12"/>
  <c r="H819" i="12"/>
  <c r="H818" i="12"/>
  <c r="H817" i="12"/>
  <c r="H816" i="12"/>
  <c r="H815" i="12"/>
  <c r="H814" i="12"/>
  <c r="H813" i="12"/>
  <c r="H812" i="12"/>
  <c r="H811" i="12"/>
  <c r="H810" i="12"/>
  <c r="H809" i="12"/>
  <c r="H808" i="12"/>
  <c r="H807" i="12"/>
  <c r="H806" i="12"/>
  <c r="H805" i="12"/>
  <c r="H804" i="12"/>
  <c r="H803" i="12"/>
  <c r="G803" i="12"/>
  <c r="H802" i="12"/>
  <c r="H801" i="12"/>
  <c r="H800" i="12"/>
  <c r="H799" i="12"/>
  <c r="H798" i="12"/>
  <c r="H797" i="12"/>
  <c r="G797" i="12"/>
  <c r="G796" i="12"/>
  <c r="H796" i="12" s="1"/>
  <c r="H795" i="12"/>
  <c r="H794" i="12"/>
  <c r="H793" i="12"/>
  <c r="H792" i="12"/>
  <c r="H791" i="12"/>
  <c r="H790" i="12"/>
  <c r="H789" i="12"/>
  <c r="H788" i="12"/>
  <c r="H787" i="12"/>
  <c r="H786" i="12"/>
  <c r="H785" i="12"/>
  <c r="H784" i="12"/>
  <c r="H783" i="12"/>
  <c r="H782" i="12"/>
  <c r="H781" i="12"/>
  <c r="H780" i="12"/>
  <c r="H779" i="12"/>
  <c r="H778" i="12"/>
  <c r="H777" i="12"/>
  <c r="H776" i="12"/>
  <c r="H775" i="12"/>
  <c r="H774" i="12"/>
  <c r="H773" i="12"/>
  <c r="H772" i="12"/>
  <c r="H771" i="12"/>
  <c r="G771" i="12"/>
  <c r="H770" i="12"/>
  <c r="H769" i="12"/>
  <c r="H768" i="12"/>
  <c r="H767" i="12"/>
  <c r="H766" i="12"/>
  <c r="H765" i="12"/>
  <c r="H764" i="12"/>
  <c r="H763" i="12"/>
  <c r="H762" i="12"/>
  <c r="H761" i="12"/>
  <c r="H760" i="12"/>
  <c r="G760" i="12"/>
  <c r="H759" i="12"/>
  <c r="H758" i="12"/>
  <c r="H757" i="12"/>
  <c r="H756" i="12"/>
  <c r="H755" i="12"/>
  <c r="H754" i="12"/>
  <c r="H753" i="12"/>
  <c r="H752" i="12"/>
  <c r="H751" i="12"/>
  <c r="H750" i="12"/>
  <c r="H749" i="12"/>
  <c r="H748" i="12"/>
  <c r="H747" i="12"/>
  <c r="H746" i="12"/>
  <c r="H745" i="12"/>
  <c r="H744" i="12"/>
  <c r="H743" i="12"/>
  <c r="H742" i="12"/>
  <c r="H741" i="12"/>
  <c r="H740" i="12"/>
  <c r="H739" i="12"/>
  <c r="H738" i="12"/>
  <c r="H737" i="12"/>
  <c r="H736" i="12"/>
  <c r="H735" i="12"/>
  <c r="H734" i="12"/>
  <c r="H733" i="12"/>
  <c r="H732" i="12"/>
  <c r="H731" i="12"/>
  <c r="H730" i="12"/>
  <c r="H729" i="12"/>
  <c r="H728" i="12"/>
  <c r="H727" i="12"/>
  <c r="H726" i="12"/>
  <c r="H725" i="12"/>
  <c r="H724" i="12"/>
  <c r="H723" i="12"/>
  <c r="H722" i="12"/>
  <c r="H721" i="12"/>
  <c r="H720" i="12"/>
  <c r="H719" i="12"/>
  <c r="H718" i="12"/>
  <c r="H717" i="12"/>
  <c r="H716" i="12"/>
  <c r="H715" i="12"/>
  <c r="H714" i="12"/>
  <c r="H713" i="12"/>
  <c r="H712" i="12"/>
  <c r="H711" i="12"/>
  <c r="H710" i="12"/>
  <c r="H709" i="12"/>
  <c r="H708" i="12"/>
  <c r="H707" i="12"/>
  <c r="H706" i="12"/>
  <c r="H705" i="12"/>
  <c r="H704" i="12"/>
  <c r="H703" i="12"/>
  <c r="H702" i="12"/>
  <c r="H701" i="12"/>
  <c r="H700" i="12"/>
  <c r="H699" i="12"/>
  <c r="H698" i="12"/>
  <c r="H697" i="12"/>
  <c r="H696" i="12"/>
  <c r="H695" i="12"/>
  <c r="H694" i="12"/>
  <c r="H693" i="12"/>
  <c r="H692" i="12"/>
  <c r="H691" i="12"/>
  <c r="H690" i="12"/>
  <c r="H689" i="12"/>
  <c r="H688" i="12"/>
  <c r="H687" i="12"/>
  <c r="H686" i="12"/>
  <c r="H685" i="12"/>
  <c r="H684" i="12"/>
  <c r="H683" i="12"/>
  <c r="H682" i="12"/>
  <c r="H681" i="12"/>
  <c r="H680" i="12"/>
  <c r="H679" i="12"/>
  <c r="H678" i="12"/>
  <c r="H677" i="12"/>
  <c r="H676" i="12"/>
  <c r="H675" i="12"/>
  <c r="H674" i="12"/>
  <c r="H673" i="12"/>
  <c r="H672" i="12"/>
  <c r="H671" i="12"/>
  <c r="H670" i="12"/>
  <c r="H669" i="12"/>
  <c r="H668" i="12"/>
  <c r="H667" i="12"/>
  <c r="H666" i="12"/>
  <c r="H665" i="12"/>
  <c r="H664" i="12"/>
  <c r="H663" i="12"/>
  <c r="H662" i="12"/>
  <c r="H661" i="12"/>
  <c r="H660" i="12"/>
  <c r="H659" i="12"/>
  <c r="H658" i="12"/>
  <c r="H657" i="12"/>
  <c r="G657" i="12"/>
  <c r="H656" i="12"/>
  <c r="H655" i="12"/>
  <c r="H654" i="12"/>
  <c r="H653" i="12"/>
  <c r="H652" i="12"/>
  <c r="H651" i="12"/>
  <c r="H650" i="12"/>
  <c r="H649" i="12"/>
  <c r="G648" i="12"/>
  <c r="H648" i="12" s="1"/>
  <c r="H647" i="12"/>
  <c r="H646" i="12"/>
  <c r="G645" i="12"/>
  <c r="H645" i="12" s="1"/>
  <c r="H644" i="12"/>
  <c r="H643" i="12"/>
  <c r="H642" i="12"/>
  <c r="H641" i="12"/>
  <c r="H640" i="12"/>
  <c r="H639" i="12"/>
  <c r="H638" i="12"/>
  <c r="H637" i="12"/>
  <c r="H636" i="12"/>
  <c r="H635" i="12"/>
  <c r="H634" i="12"/>
  <c r="H633" i="12"/>
  <c r="H632" i="12"/>
  <c r="H631" i="12"/>
  <c r="G631" i="12"/>
  <c r="H630" i="12"/>
  <c r="H629" i="12"/>
  <c r="H628" i="12"/>
  <c r="H627" i="12"/>
  <c r="H626" i="12"/>
  <c r="H625" i="12"/>
  <c r="H624" i="12"/>
  <c r="G623" i="12"/>
  <c r="H623" i="12" s="1"/>
  <c r="H622" i="12"/>
  <c r="H621" i="12"/>
  <c r="H620" i="12"/>
  <c r="H619" i="12"/>
  <c r="H618" i="12"/>
  <c r="G618" i="12"/>
  <c r="H617" i="12"/>
  <c r="H616" i="12"/>
  <c r="H615" i="12"/>
  <c r="H614" i="12"/>
  <c r="H613" i="12"/>
  <c r="H612" i="12"/>
  <c r="H611" i="12"/>
  <c r="H610" i="12"/>
  <c r="H609" i="12"/>
  <c r="H608" i="12"/>
  <c r="H607" i="12"/>
  <c r="H606" i="12"/>
  <c r="H605" i="12"/>
  <c r="H604" i="12"/>
  <c r="H603" i="12"/>
  <c r="H602" i="12"/>
  <c r="H601" i="12"/>
  <c r="H600" i="12"/>
  <c r="H599" i="12"/>
  <c r="H598" i="12"/>
  <c r="H597" i="12"/>
  <c r="H596" i="12"/>
  <c r="H595" i="12"/>
  <c r="H594" i="12"/>
  <c r="H593" i="12"/>
  <c r="H592" i="12"/>
  <c r="H591" i="12"/>
  <c r="H590" i="12"/>
  <c r="H589" i="12"/>
  <c r="H588" i="12"/>
  <c r="H587" i="12"/>
  <c r="H586" i="12"/>
  <c r="H585" i="12"/>
  <c r="H584" i="12"/>
  <c r="G584" i="12"/>
  <c r="H583" i="12"/>
  <c r="G583" i="12"/>
  <c r="H582" i="12"/>
  <c r="H581" i="12"/>
  <c r="H580" i="12"/>
  <c r="H579" i="12"/>
  <c r="H578" i="12"/>
  <c r="H577" i="12"/>
  <c r="H576" i="12"/>
  <c r="H575" i="12"/>
  <c r="H574" i="12"/>
  <c r="H573" i="12"/>
  <c r="H572" i="12"/>
  <c r="H571" i="12"/>
  <c r="H570" i="12"/>
  <c r="H569" i="12"/>
  <c r="H568" i="12"/>
  <c r="H567" i="12"/>
  <c r="H566" i="12"/>
  <c r="H565" i="12"/>
  <c r="H564" i="12"/>
  <c r="H563" i="12"/>
  <c r="H562" i="12"/>
  <c r="H561" i="12"/>
  <c r="H560" i="12"/>
  <c r="H559" i="12"/>
  <c r="H558" i="12"/>
  <c r="H557" i="12"/>
  <c r="H556" i="12"/>
  <c r="H555" i="12"/>
  <c r="H554" i="12"/>
  <c r="H553" i="12"/>
  <c r="H552" i="12"/>
  <c r="H551" i="12"/>
  <c r="H550" i="12"/>
  <c r="H549" i="12"/>
  <c r="H548" i="12"/>
  <c r="H547" i="12"/>
  <c r="H546" i="12"/>
  <c r="H545" i="12"/>
  <c r="H544" i="12"/>
  <c r="H543" i="12"/>
  <c r="H542" i="12"/>
  <c r="H541" i="12"/>
  <c r="H540" i="12"/>
  <c r="H539" i="12"/>
  <c r="H538" i="12"/>
  <c r="H537" i="12"/>
  <c r="H536" i="12"/>
  <c r="H535" i="12"/>
  <c r="H534" i="12"/>
  <c r="H533" i="12"/>
  <c r="H532" i="12"/>
  <c r="H531" i="12"/>
  <c r="H530" i="12"/>
  <c r="H529" i="12"/>
  <c r="H528" i="12"/>
  <c r="H527" i="12"/>
  <c r="H526" i="12"/>
  <c r="H525" i="12"/>
  <c r="H524" i="12"/>
  <c r="H523" i="12"/>
  <c r="H522" i="12"/>
  <c r="H521" i="12"/>
  <c r="H520" i="12"/>
  <c r="H519" i="12"/>
  <c r="H518" i="12"/>
  <c r="H517" i="12"/>
  <c r="H516" i="12"/>
  <c r="H515" i="12"/>
  <c r="H514" i="12"/>
  <c r="H513" i="12"/>
  <c r="H512" i="12"/>
  <c r="H511" i="12"/>
  <c r="H510" i="12"/>
  <c r="H509" i="12"/>
  <c r="H508" i="12"/>
  <c r="H507" i="12"/>
  <c r="H506" i="12"/>
  <c r="H505" i="12"/>
  <c r="H504" i="12"/>
  <c r="H503" i="12"/>
  <c r="H502" i="12"/>
  <c r="G502" i="12"/>
  <c r="H501" i="12"/>
  <c r="H500" i="12"/>
  <c r="H499" i="12"/>
  <c r="H498" i="12"/>
  <c r="H497" i="12"/>
  <c r="G496" i="12"/>
  <c r="H496" i="12" s="1"/>
  <c r="H495" i="12"/>
  <c r="H494" i="12"/>
  <c r="H493" i="12"/>
  <c r="H492" i="12"/>
  <c r="G492" i="12"/>
  <c r="H491" i="12"/>
  <c r="H490" i="12"/>
  <c r="H489" i="12"/>
  <c r="H488" i="12"/>
  <c r="H487" i="12"/>
  <c r="H486" i="12"/>
  <c r="H485" i="12"/>
  <c r="H484" i="12"/>
  <c r="H483" i="12"/>
  <c r="H482" i="12"/>
  <c r="H481" i="12"/>
  <c r="H480" i="12"/>
  <c r="H479" i="12"/>
  <c r="H478" i="12"/>
  <c r="H477" i="12"/>
  <c r="H476" i="12"/>
  <c r="H475" i="12"/>
  <c r="H474" i="12"/>
  <c r="H473" i="12"/>
  <c r="H472" i="12"/>
  <c r="H471" i="12"/>
  <c r="H470" i="12"/>
  <c r="H469" i="12"/>
  <c r="H468" i="12"/>
  <c r="H467" i="12"/>
  <c r="H466" i="12"/>
  <c r="H465" i="12"/>
  <c r="H464" i="12"/>
  <c r="H463" i="12"/>
  <c r="H462" i="12"/>
  <c r="H461" i="12"/>
  <c r="H460" i="12"/>
  <c r="H459" i="12"/>
  <c r="H458" i="12"/>
  <c r="H457" i="12"/>
  <c r="H456" i="12"/>
  <c r="H455" i="12"/>
  <c r="H454" i="12"/>
  <c r="H453" i="12"/>
  <c r="H452" i="12"/>
  <c r="H451" i="12"/>
  <c r="H450" i="12"/>
  <c r="H449" i="12"/>
  <c r="H448" i="12"/>
  <c r="H447" i="12"/>
  <c r="H446" i="12"/>
  <c r="H445" i="12"/>
  <c r="G445" i="12"/>
  <c r="H444" i="12"/>
  <c r="H443" i="12"/>
  <c r="H442" i="12"/>
  <c r="H441" i="12"/>
  <c r="H440" i="12"/>
  <c r="H439" i="12"/>
  <c r="H438" i="12"/>
  <c r="H437" i="12"/>
  <c r="H436" i="12"/>
  <c r="H435" i="12"/>
  <c r="H434" i="12"/>
  <c r="H433" i="12"/>
  <c r="H432" i="12"/>
  <c r="H431" i="12"/>
  <c r="H430" i="12"/>
  <c r="H429" i="12"/>
  <c r="H428" i="12"/>
  <c r="H427" i="12"/>
  <c r="H426" i="12"/>
  <c r="H425" i="12"/>
  <c r="H424" i="12"/>
  <c r="H423" i="12"/>
  <c r="H422" i="12"/>
  <c r="H421" i="12"/>
  <c r="H420" i="12"/>
  <c r="H419" i="12"/>
  <c r="H418" i="12"/>
  <c r="H417" i="12"/>
  <c r="H416" i="12"/>
  <c r="H415" i="12"/>
  <c r="H414" i="12"/>
  <c r="H413" i="12"/>
  <c r="H412" i="12"/>
  <c r="H411" i="12"/>
  <c r="H410" i="12"/>
  <c r="H409" i="12"/>
  <c r="H408" i="12"/>
  <c r="H407" i="12"/>
  <c r="H406" i="12"/>
  <c r="H405" i="12"/>
  <c r="H404" i="12"/>
  <c r="H403" i="12"/>
  <c r="H402" i="12"/>
  <c r="H401" i="12"/>
  <c r="H400" i="12"/>
  <c r="H399" i="12"/>
  <c r="H398" i="12"/>
  <c r="H397" i="12"/>
  <c r="H396" i="12"/>
  <c r="H395" i="12"/>
  <c r="H394" i="12"/>
  <c r="H393" i="12"/>
  <c r="H392" i="12"/>
  <c r="H391" i="12"/>
  <c r="H390" i="12"/>
  <c r="H389" i="12"/>
  <c r="H388" i="12"/>
  <c r="H387" i="12"/>
  <c r="H386" i="12"/>
  <c r="H385" i="12"/>
  <c r="H384" i="12"/>
  <c r="H383" i="12"/>
  <c r="H382" i="12"/>
  <c r="H381" i="12"/>
  <c r="H380" i="12"/>
  <c r="H379" i="12"/>
  <c r="H378" i="12"/>
  <c r="H377" i="12"/>
  <c r="H376" i="12"/>
  <c r="H375" i="12"/>
  <c r="H374" i="12"/>
  <c r="H373" i="12"/>
  <c r="H372" i="12"/>
  <c r="H371" i="12"/>
  <c r="H370" i="12"/>
  <c r="H369" i="12"/>
  <c r="H368" i="12"/>
  <c r="H367" i="12"/>
  <c r="H366" i="12"/>
  <c r="H365" i="12"/>
  <c r="H364" i="12"/>
  <c r="H363" i="12"/>
  <c r="H362" i="12"/>
  <c r="H361" i="12"/>
  <c r="H360" i="12"/>
  <c r="H359" i="12"/>
  <c r="H358" i="12"/>
  <c r="H357" i="12"/>
  <c r="H356" i="12"/>
  <c r="H355" i="12"/>
  <c r="H354" i="12"/>
  <c r="G354" i="12"/>
  <c r="H353" i="12"/>
  <c r="H352" i="12"/>
  <c r="H351" i="12"/>
  <c r="H350" i="12"/>
  <c r="H349" i="12"/>
  <c r="H348" i="12"/>
  <c r="H347" i="12"/>
  <c r="H346" i="12"/>
  <c r="H345" i="12"/>
  <c r="H344" i="12"/>
  <c r="H343" i="12"/>
  <c r="H342" i="12"/>
  <c r="G342" i="12"/>
  <c r="H341" i="12"/>
  <c r="H340" i="12"/>
  <c r="H339" i="12"/>
  <c r="H338" i="12"/>
  <c r="H337" i="12"/>
  <c r="H336" i="12"/>
  <c r="H335" i="12"/>
  <c r="H334" i="12"/>
  <c r="H333" i="12"/>
  <c r="H332" i="12"/>
  <c r="H331" i="12"/>
  <c r="H330" i="12"/>
  <c r="H329" i="12"/>
  <c r="H328" i="12"/>
  <c r="H327" i="12"/>
  <c r="H326" i="12"/>
  <c r="H325" i="12"/>
  <c r="H324" i="12"/>
  <c r="H323" i="12"/>
  <c r="H322" i="12"/>
  <c r="H321" i="12"/>
  <c r="H320" i="12"/>
  <c r="G320" i="12"/>
  <c r="H319" i="12"/>
  <c r="H318" i="12"/>
  <c r="H317" i="12"/>
  <c r="H316" i="12"/>
  <c r="H315" i="12"/>
  <c r="H314" i="12"/>
  <c r="H313" i="12"/>
  <c r="H312" i="12"/>
  <c r="H311" i="12"/>
  <c r="H310" i="12"/>
  <c r="H309" i="12"/>
  <c r="H308" i="12"/>
  <c r="H307" i="12"/>
  <c r="H306" i="12"/>
  <c r="H305" i="12"/>
  <c r="H304" i="12"/>
  <c r="H303" i="12"/>
  <c r="H302" i="12"/>
  <c r="H301" i="12"/>
  <c r="H300" i="12"/>
  <c r="H299" i="12"/>
  <c r="H298" i="12"/>
  <c r="H297" i="12"/>
  <c r="H296" i="12"/>
  <c r="H295" i="12"/>
  <c r="G294" i="12"/>
  <c r="H294" i="12" s="1"/>
  <c r="H293" i="12"/>
  <c r="H292" i="12"/>
  <c r="H291" i="12"/>
  <c r="H290" i="12"/>
  <c r="H289" i="12"/>
  <c r="H288" i="12"/>
  <c r="H287" i="12"/>
  <c r="H286" i="12"/>
  <c r="H285" i="12"/>
  <c r="H284" i="12"/>
  <c r="H283" i="12"/>
  <c r="H282" i="12"/>
  <c r="H281" i="12"/>
  <c r="H280" i="12"/>
  <c r="H279" i="12"/>
  <c r="H278" i="12"/>
  <c r="H277" i="12"/>
  <c r="H276" i="12"/>
  <c r="H275" i="12"/>
  <c r="H274" i="12"/>
  <c r="H273" i="12"/>
  <c r="H272" i="12"/>
  <c r="H271" i="12"/>
  <c r="H270" i="12"/>
  <c r="H269" i="12"/>
  <c r="H268" i="12"/>
  <c r="H267" i="12"/>
  <c r="H266" i="12"/>
  <c r="H265" i="12"/>
  <c r="H264" i="12"/>
  <c r="H263" i="12"/>
  <c r="H262" i="12"/>
  <c r="H261" i="12"/>
  <c r="H260" i="12"/>
  <c r="H259" i="12"/>
  <c r="H258" i="12"/>
  <c r="H257" i="12"/>
  <c r="H256" i="12"/>
  <c r="H255" i="12"/>
  <c r="H254" i="12"/>
  <c r="H253" i="12"/>
  <c r="H252" i="12"/>
  <c r="H251" i="12"/>
  <c r="H250" i="12"/>
  <c r="H249" i="12"/>
  <c r="H248" i="12"/>
  <c r="G247" i="12"/>
  <c r="H247" i="12" s="1"/>
  <c r="H246" i="12"/>
  <c r="H245" i="12"/>
  <c r="H244" i="12"/>
  <c r="H243" i="12"/>
  <c r="H242" i="12"/>
  <c r="H241" i="12"/>
  <c r="H240" i="12"/>
  <c r="H239" i="12"/>
  <c r="H238" i="12"/>
  <c r="H237" i="12"/>
  <c r="H236" i="12"/>
  <c r="H235" i="12"/>
  <c r="H234" i="12"/>
  <c r="H233" i="12"/>
  <c r="H232" i="12"/>
  <c r="H231" i="12"/>
  <c r="G231" i="12"/>
  <c r="H230" i="12"/>
  <c r="H229" i="12"/>
  <c r="H228" i="12"/>
  <c r="H227" i="12"/>
  <c r="H226" i="12"/>
  <c r="G225" i="12"/>
  <c r="H225" i="12" s="1"/>
  <c r="H224" i="12"/>
  <c r="H223" i="12"/>
  <c r="H222" i="12"/>
  <c r="H221" i="12"/>
  <c r="H220" i="12"/>
  <c r="G220" i="12"/>
  <c r="H219" i="12"/>
  <c r="H218" i="12"/>
  <c r="H217" i="12"/>
  <c r="H216" i="12"/>
  <c r="H215" i="12"/>
  <c r="H214" i="12"/>
  <c r="H213" i="12"/>
  <c r="H212" i="12"/>
  <c r="H211" i="12"/>
  <c r="H210" i="12"/>
  <c r="H209" i="12"/>
  <c r="H208" i="12"/>
  <c r="H207" i="12"/>
  <c r="H206" i="12"/>
  <c r="H205" i="12"/>
  <c r="G205" i="12"/>
  <c r="H204" i="12"/>
  <c r="H203" i="12"/>
  <c r="H202" i="12"/>
  <c r="G202" i="12"/>
  <c r="H201" i="12"/>
  <c r="H200" i="12"/>
  <c r="H199" i="12"/>
  <c r="H198" i="12"/>
  <c r="H197" i="12"/>
  <c r="H196" i="12"/>
  <c r="H195" i="12"/>
  <c r="G195" i="12"/>
  <c r="H194" i="12"/>
  <c r="H193" i="12"/>
  <c r="H192" i="12"/>
  <c r="H191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H174" i="12"/>
  <c r="H173" i="12"/>
  <c r="H172" i="12"/>
  <c r="H171" i="12"/>
  <c r="H170" i="12"/>
  <c r="H169" i="12"/>
  <c r="H168" i="12"/>
  <c r="H167" i="12"/>
  <c r="H166" i="12"/>
  <c r="H165" i="12"/>
  <c r="H164" i="12"/>
  <c r="H163" i="12"/>
  <c r="H162" i="12"/>
  <c r="H161" i="12"/>
  <c r="H160" i="12"/>
  <c r="H159" i="12"/>
  <c r="H158" i="12"/>
  <c r="H157" i="12"/>
  <c r="H156" i="12"/>
  <c r="H155" i="12"/>
  <c r="H154" i="12"/>
  <c r="H153" i="12"/>
  <c r="H152" i="12"/>
  <c r="H151" i="12"/>
  <c r="H150" i="12"/>
  <c r="H149" i="12"/>
  <c r="H148" i="12"/>
  <c r="H147" i="12"/>
  <c r="H146" i="12"/>
  <c r="H145" i="12"/>
  <c r="H144" i="12"/>
  <c r="H143" i="12"/>
  <c r="H142" i="12"/>
  <c r="H141" i="12"/>
  <c r="H140" i="12"/>
  <c r="H139" i="12"/>
  <c r="G139" i="12"/>
  <c r="H138" i="12"/>
  <c r="H137" i="12"/>
  <c r="H136" i="12"/>
  <c r="G136" i="12"/>
  <c r="H135" i="12"/>
  <c r="H134" i="12"/>
  <c r="H133" i="12"/>
  <c r="H132" i="12"/>
  <c r="H131" i="12"/>
  <c r="H130" i="12"/>
  <c r="H129" i="12"/>
  <c r="H128" i="12"/>
  <c r="H127" i="12"/>
  <c r="H126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G99" i="12"/>
  <c r="H98" i="12"/>
  <c r="G97" i="12"/>
  <c r="H97" i="12" s="1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G84" i="12"/>
  <c r="H83" i="12"/>
  <c r="H82" i="12"/>
  <c r="H81" i="12"/>
  <c r="H80" i="12"/>
  <c r="H79" i="12"/>
  <c r="H78" i="12"/>
  <c r="H77" i="12"/>
  <c r="H76" i="12"/>
  <c r="G75" i="12"/>
  <c r="H75" i="12" s="1"/>
  <c r="H74" i="12"/>
  <c r="G73" i="12"/>
  <c r="H73" i="12" s="1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G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3999" i="12" l="1"/>
  <c r="G481" i="8"/>
  <c r="G3399" i="7" l="1"/>
  <c r="G2678" i="7" l="1"/>
  <c r="G3182" i="7"/>
  <c r="G1075" i="6"/>
  <c r="G2831" i="7" l="1"/>
  <c r="G3267" i="7" l="1"/>
  <c r="G2928" i="7" l="1"/>
  <c r="G2440" i="7" l="1"/>
  <c r="G1437" i="7" l="1"/>
  <c r="G3545" i="7" l="1"/>
  <c r="G3095" i="9"/>
  <c r="G2923" i="6"/>
  <c r="G2780" i="7" l="1"/>
  <c r="G3535" i="7" l="1"/>
  <c r="G3774" i="7" l="1"/>
  <c r="G3697" i="7"/>
  <c r="G3678" i="7"/>
  <c r="G3785" i="7" l="1"/>
  <c r="G3688" i="7"/>
  <c r="G3677" i="7"/>
  <c r="G3523" i="7"/>
  <c r="G3347" i="7"/>
  <c r="E3806" i="7" l="1"/>
  <c r="G3661" i="7" l="1"/>
  <c r="G3451" i="7"/>
  <c r="G3438" i="7"/>
  <c r="G3397" i="7"/>
  <c r="G3288" i="7"/>
  <c r="G2425" i="7"/>
  <c r="G222" i="7"/>
  <c r="G3540" i="7" l="1"/>
  <c r="H3805" i="7" l="1"/>
  <c r="H3804" i="7"/>
  <c r="H3803" i="7"/>
  <c r="H3802" i="7"/>
  <c r="H3801" i="7"/>
  <c r="H3800" i="7"/>
  <c r="H3799" i="7"/>
  <c r="H3798" i="7"/>
  <c r="H3797" i="7"/>
  <c r="H3796" i="7"/>
  <c r="H3795" i="7"/>
  <c r="H3794" i="7"/>
  <c r="H3793" i="7"/>
  <c r="H3792" i="7"/>
  <c r="H3791" i="7"/>
  <c r="H3790" i="7"/>
  <c r="H3789" i="7"/>
  <c r="H3788" i="7"/>
  <c r="H3787" i="7"/>
  <c r="H3786" i="7"/>
  <c r="H3785" i="7"/>
  <c r="H3784" i="7"/>
  <c r="H3783" i="7"/>
  <c r="H3782" i="7"/>
  <c r="H3781" i="7"/>
  <c r="H3780" i="7"/>
  <c r="H3779" i="7"/>
  <c r="H3778" i="7"/>
  <c r="H3777" i="7"/>
  <c r="H3776" i="7"/>
  <c r="H3775" i="7"/>
  <c r="H3774" i="7"/>
  <c r="H3773" i="7"/>
  <c r="H3772" i="7"/>
  <c r="H3771" i="7"/>
  <c r="H3770" i="7"/>
  <c r="H3769" i="7"/>
  <c r="H3768" i="7"/>
  <c r="H3767" i="7"/>
  <c r="H3766" i="7"/>
  <c r="H3765" i="7"/>
  <c r="H3764" i="7"/>
  <c r="H3763" i="7"/>
  <c r="H3762" i="7"/>
  <c r="H3761" i="7"/>
  <c r="H3760" i="7"/>
  <c r="H3759" i="7"/>
  <c r="H3758" i="7"/>
  <c r="H3757" i="7"/>
  <c r="H3756" i="7"/>
  <c r="H3755" i="7"/>
  <c r="H3754" i="7"/>
  <c r="H3753" i="7"/>
  <c r="H3752" i="7"/>
  <c r="H3751" i="7"/>
  <c r="H3750" i="7"/>
  <c r="H3749" i="7"/>
  <c r="H3748" i="7"/>
  <c r="H3747" i="7"/>
  <c r="H3746" i="7"/>
  <c r="H3745" i="7"/>
  <c r="H3744" i="7"/>
  <c r="H3743" i="7"/>
  <c r="H3742" i="7"/>
  <c r="H3741" i="7"/>
  <c r="H3740" i="7"/>
  <c r="H3739" i="7"/>
  <c r="H3738" i="7"/>
  <c r="H3737" i="7"/>
  <c r="H3736" i="7"/>
  <c r="H3735" i="7"/>
  <c r="H3734" i="7"/>
  <c r="H3733" i="7"/>
  <c r="H3732" i="7"/>
  <c r="H3731" i="7"/>
  <c r="H3730" i="7"/>
  <c r="H3729" i="7"/>
  <c r="H3728" i="7"/>
  <c r="H3727" i="7"/>
  <c r="H3726" i="7"/>
  <c r="H3725" i="7"/>
  <c r="H3724" i="7"/>
  <c r="H3723" i="7"/>
  <c r="H3722" i="7"/>
  <c r="H3721" i="7"/>
  <c r="H3720" i="7"/>
  <c r="H3719" i="7"/>
  <c r="H3718" i="7"/>
  <c r="H3717" i="7"/>
  <c r="H3716" i="7"/>
  <c r="H3715" i="7"/>
  <c r="H3714" i="7"/>
  <c r="H3713" i="7"/>
  <c r="H3712" i="7"/>
  <c r="H3711" i="7"/>
  <c r="H3710" i="7"/>
  <c r="H3709" i="7"/>
  <c r="H3708" i="7"/>
  <c r="H3707" i="7"/>
  <c r="H3706" i="7"/>
  <c r="H3705" i="7"/>
  <c r="H3704" i="7"/>
  <c r="H3703" i="7"/>
  <c r="H3702" i="7"/>
  <c r="H3701" i="7"/>
  <c r="H3700" i="7"/>
  <c r="H3699" i="7"/>
  <c r="H3698" i="7"/>
  <c r="H3697" i="7"/>
  <c r="H3696" i="7"/>
  <c r="H3695" i="7"/>
  <c r="H3694" i="7"/>
  <c r="H3693" i="7"/>
  <c r="H3692" i="7"/>
  <c r="H3691" i="7"/>
  <c r="H3690" i="7"/>
  <c r="H3689" i="7"/>
  <c r="H3688" i="7"/>
  <c r="H3687" i="7"/>
  <c r="H3686" i="7"/>
  <c r="H3685" i="7"/>
  <c r="H3684" i="7"/>
  <c r="H3683" i="7"/>
  <c r="H3682" i="7"/>
  <c r="H3681" i="7"/>
  <c r="H3680" i="7"/>
  <c r="H3679" i="7"/>
  <c r="H3678" i="7"/>
  <c r="H3677" i="7"/>
  <c r="H3676" i="7"/>
  <c r="H3675" i="7"/>
  <c r="H3674" i="7"/>
  <c r="H3673" i="7"/>
  <c r="H3672" i="7"/>
  <c r="H3671" i="7"/>
  <c r="H3670" i="7"/>
  <c r="H3669" i="7"/>
  <c r="H3668" i="7"/>
  <c r="H3667" i="7"/>
  <c r="H3666" i="7"/>
  <c r="H3665" i="7"/>
  <c r="H3664" i="7"/>
  <c r="H3663" i="7"/>
  <c r="H3662" i="7"/>
  <c r="H3661" i="7"/>
  <c r="H3660" i="7"/>
  <c r="H3659" i="7"/>
  <c r="H3658" i="7"/>
  <c r="H3657" i="7"/>
  <c r="H3656" i="7"/>
  <c r="H3655" i="7"/>
  <c r="H3654" i="7"/>
  <c r="H3653" i="7"/>
  <c r="H3652" i="7"/>
  <c r="H3651" i="7"/>
  <c r="H3650" i="7"/>
  <c r="H3649" i="7"/>
  <c r="H3648" i="7"/>
  <c r="H3647" i="7"/>
  <c r="H3646" i="7"/>
  <c r="H3645" i="7"/>
  <c r="H3644" i="7"/>
  <c r="H3643" i="7"/>
  <c r="H3642" i="7"/>
  <c r="H3641" i="7"/>
  <c r="H3640" i="7"/>
  <c r="H3639" i="7"/>
  <c r="H3638" i="7"/>
  <c r="H3637" i="7"/>
  <c r="H3636" i="7"/>
  <c r="H3635" i="7"/>
  <c r="H3634" i="7"/>
  <c r="H3633" i="7"/>
  <c r="H3632" i="7"/>
  <c r="H3631" i="7"/>
  <c r="H3630" i="7"/>
  <c r="H3629" i="7"/>
  <c r="H3628" i="7"/>
  <c r="H3627" i="7"/>
  <c r="H3626" i="7"/>
  <c r="H3625" i="7"/>
  <c r="H3624" i="7"/>
  <c r="H3623" i="7"/>
  <c r="H3622" i="7"/>
  <c r="H3621" i="7"/>
  <c r="H3620" i="7"/>
  <c r="H3619" i="7"/>
  <c r="H3618" i="7"/>
  <c r="H3617" i="7"/>
  <c r="H3616" i="7"/>
  <c r="H3615" i="7"/>
  <c r="H3614" i="7"/>
  <c r="H3613" i="7"/>
  <c r="H3612" i="7"/>
  <c r="H3611" i="7"/>
  <c r="H3610" i="7"/>
  <c r="H3609" i="7"/>
  <c r="H3608" i="7"/>
  <c r="H3607" i="7"/>
  <c r="H3606" i="7"/>
  <c r="H3605" i="7"/>
  <c r="H3604" i="7"/>
  <c r="H3603" i="7"/>
  <c r="H3602" i="7"/>
  <c r="H3601" i="7"/>
  <c r="H3600" i="7"/>
  <c r="H3599" i="7"/>
  <c r="H3598" i="7"/>
  <c r="H3597" i="7"/>
  <c r="H3596" i="7"/>
  <c r="H3595" i="7"/>
  <c r="H3594" i="7"/>
  <c r="H3593" i="7"/>
  <c r="H3592" i="7"/>
  <c r="H3591" i="7"/>
  <c r="H3590" i="7"/>
  <c r="H3589" i="7"/>
  <c r="H3588" i="7"/>
  <c r="H3587" i="7"/>
  <c r="H3586" i="7"/>
  <c r="H3585" i="7"/>
  <c r="H3584" i="7"/>
  <c r="H3583" i="7"/>
  <c r="H3582" i="7"/>
  <c r="G3582" i="7"/>
  <c r="H3581" i="7"/>
  <c r="H3580" i="7"/>
  <c r="H3579" i="7"/>
  <c r="H3578" i="7"/>
  <c r="H3577" i="7"/>
  <c r="H3576" i="7"/>
  <c r="H3575" i="7"/>
  <c r="H3574" i="7"/>
  <c r="H3573" i="7"/>
  <c r="H3572" i="7"/>
  <c r="H3571" i="7"/>
  <c r="H3570" i="7"/>
  <c r="H3569" i="7"/>
  <c r="H3568" i="7"/>
  <c r="H3567" i="7"/>
  <c r="H3566" i="7"/>
  <c r="H3565" i="7"/>
  <c r="H3564" i="7"/>
  <c r="H3563" i="7"/>
  <c r="H3562" i="7"/>
  <c r="H3561" i="7"/>
  <c r="H3560" i="7"/>
  <c r="H3559" i="7"/>
  <c r="H3558" i="7"/>
  <c r="H3557" i="7"/>
  <c r="H3556" i="7"/>
  <c r="H3555" i="7"/>
  <c r="H3554" i="7"/>
  <c r="H3553" i="7"/>
  <c r="H3552" i="7"/>
  <c r="H3551" i="7"/>
  <c r="H3550" i="7"/>
  <c r="H3549" i="7"/>
  <c r="H3548" i="7"/>
  <c r="H3547" i="7"/>
  <c r="H3546" i="7"/>
  <c r="H3545" i="7"/>
  <c r="H3544" i="7"/>
  <c r="H3543" i="7"/>
  <c r="H3542" i="7"/>
  <c r="H3541" i="7"/>
  <c r="H3540" i="7"/>
  <c r="H3539" i="7"/>
  <c r="H3538" i="7"/>
  <c r="H3537" i="7"/>
  <c r="H3536" i="7"/>
  <c r="H3535" i="7"/>
  <c r="H3534" i="7"/>
  <c r="H3533" i="7"/>
  <c r="H3532" i="7"/>
  <c r="H3531" i="7"/>
  <c r="H3530" i="7"/>
  <c r="H3529" i="7"/>
  <c r="H3528" i="7"/>
  <c r="H3527" i="7"/>
  <c r="H3526" i="7"/>
  <c r="H3525" i="7"/>
  <c r="H3524" i="7"/>
  <c r="H3523" i="7"/>
  <c r="H3522" i="7"/>
  <c r="H3521" i="7"/>
  <c r="H3520" i="7"/>
  <c r="H3519" i="7"/>
  <c r="H3518" i="7"/>
  <c r="H3517" i="7"/>
  <c r="H3516" i="7"/>
  <c r="H3515" i="7"/>
  <c r="H3514" i="7"/>
  <c r="H3513" i="7"/>
  <c r="H3512" i="7"/>
  <c r="H3511" i="7"/>
  <c r="H3510" i="7"/>
  <c r="H3509" i="7"/>
  <c r="H3508" i="7"/>
  <c r="H3507" i="7"/>
  <c r="H3506" i="7"/>
  <c r="H3505" i="7"/>
  <c r="H3504" i="7"/>
  <c r="H3503" i="7"/>
  <c r="H3502" i="7"/>
  <c r="H3501" i="7"/>
  <c r="H3500" i="7"/>
  <c r="H3499" i="7"/>
  <c r="H3498" i="7"/>
  <c r="H3497" i="7"/>
  <c r="H3496" i="7"/>
  <c r="H3495" i="7"/>
  <c r="H3494" i="7"/>
  <c r="H3493" i="7"/>
  <c r="H3492" i="7"/>
  <c r="H3491" i="7"/>
  <c r="H3490" i="7"/>
  <c r="H3489" i="7"/>
  <c r="H3488" i="7"/>
  <c r="H3487" i="7"/>
  <c r="H3486" i="7"/>
  <c r="H3485" i="7"/>
  <c r="H3484" i="7"/>
  <c r="H3483" i="7"/>
  <c r="H3482" i="7"/>
  <c r="H3481" i="7"/>
  <c r="H3480" i="7"/>
  <c r="H3479" i="7"/>
  <c r="H3478" i="7"/>
  <c r="H3477" i="7"/>
  <c r="H3476" i="7"/>
  <c r="H3475" i="7"/>
  <c r="H3474" i="7"/>
  <c r="H3473" i="7"/>
  <c r="H3472" i="7"/>
  <c r="H3471" i="7"/>
  <c r="H3470" i="7"/>
  <c r="H3469" i="7"/>
  <c r="H3468" i="7"/>
  <c r="H3467" i="7"/>
  <c r="H3466" i="7"/>
  <c r="H3465" i="7"/>
  <c r="H3464" i="7"/>
  <c r="H3463" i="7"/>
  <c r="H3462" i="7"/>
  <c r="H3461" i="7"/>
  <c r="H3460" i="7"/>
  <c r="H3459" i="7"/>
  <c r="H3458" i="7"/>
  <c r="H3457" i="7"/>
  <c r="H3456" i="7"/>
  <c r="H3455" i="7"/>
  <c r="H3454" i="7"/>
  <c r="H3453" i="7"/>
  <c r="H3452" i="7"/>
  <c r="H3451" i="7"/>
  <c r="H3450" i="7"/>
  <c r="H3449" i="7"/>
  <c r="H3448" i="7"/>
  <c r="H3447" i="7"/>
  <c r="H3446" i="7"/>
  <c r="H3445" i="7"/>
  <c r="H3444" i="7"/>
  <c r="H3443" i="7"/>
  <c r="H3442" i="7"/>
  <c r="H3441" i="7"/>
  <c r="H3440" i="7"/>
  <c r="H3439" i="7"/>
  <c r="H3438" i="7"/>
  <c r="H3437" i="7"/>
  <c r="H3436" i="7"/>
  <c r="H3435" i="7"/>
  <c r="H3434" i="7"/>
  <c r="H3433" i="7"/>
  <c r="H3432" i="7"/>
  <c r="H3431" i="7"/>
  <c r="H3430" i="7"/>
  <c r="H3429" i="7"/>
  <c r="H3428" i="7"/>
  <c r="H3427" i="7"/>
  <c r="H3426" i="7"/>
  <c r="H3425" i="7"/>
  <c r="H3424" i="7"/>
  <c r="H3423" i="7"/>
  <c r="H3422" i="7"/>
  <c r="H3421" i="7"/>
  <c r="H3420" i="7"/>
  <c r="H3419" i="7"/>
  <c r="H3418" i="7"/>
  <c r="H3417" i="7"/>
  <c r="H3416" i="7"/>
  <c r="H3415" i="7"/>
  <c r="H3414" i="7"/>
  <c r="H3413" i="7"/>
  <c r="H3412" i="7"/>
  <c r="H3411" i="7"/>
  <c r="H3410" i="7"/>
  <c r="H3409" i="7"/>
  <c r="H3408" i="7"/>
  <c r="H3407" i="7"/>
  <c r="H3406" i="7"/>
  <c r="H3405" i="7"/>
  <c r="H3404" i="7"/>
  <c r="H3403" i="7"/>
  <c r="H3402" i="7"/>
  <c r="H3401" i="7"/>
  <c r="H3400" i="7"/>
  <c r="H3399" i="7"/>
  <c r="H3398" i="7"/>
  <c r="H3397" i="7"/>
  <c r="H3396" i="7"/>
  <c r="H3395" i="7"/>
  <c r="H3394" i="7"/>
  <c r="H3393" i="7"/>
  <c r="H3392" i="7"/>
  <c r="H3391" i="7"/>
  <c r="H3390" i="7"/>
  <c r="H3389" i="7"/>
  <c r="H3388" i="7"/>
  <c r="H3387" i="7"/>
  <c r="H3386" i="7"/>
  <c r="H3385" i="7"/>
  <c r="H3384" i="7"/>
  <c r="H3383" i="7"/>
  <c r="H3382" i="7"/>
  <c r="H3381" i="7"/>
  <c r="H3380" i="7"/>
  <c r="H3379" i="7"/>
  <c r="H3378" i="7"/>
  <c r="H3377" i="7"/>
  <c r="H3376" i="7"/>
  <c r="H3375" i="7"/>
  <c r="H3374" i="7"/>
  <c r="H3373" i="7"/>
  <c r="H3372" i="7"/>
  <c r="H3371" i="7"/>
  <c r="H3370" i="7"/>
  <c r="H3369" i="7"/>
  <c r="H3368" i="7"/>
  <c r="H3367" i="7"/>
  <c r="H3366" i="7"/>
  <c r="H3365" i="7"/>
  <c r="H3364" i="7"/>
  <c r="H3363" i="7"/>
  <c r="H3362" i="7"/>
  <c r="H3361" i="7"/>
  <c r="H3360" i="7"/>
  <c r="H3359" i="7"/>
  <c r="H3358" i="7"/>
  <c r="H3357" i="7"/>
  <c r="H3356" i="7"/>
  <c r="H3355" i="7"/>
  <c r="H3354" i="7"/>
  <c r="H3353" i="7"/>
  <c r="H3352" i="7"/>
  <c r="H3351" i="7"/>
  <c r="H3350" i="7"/>
  <c r="H3349" i="7"/>
  <c r="H3348" i="7"/>
  <c r="H3347" i="7"/>
  <c r="H3346" i="7"/>
  <c r="H3345" i="7"/>
  <c r="H3344" i="7"/>
  <c r="H3343" i="7"/>
  <c r="H3342" i="7"/>
  <c r="H3341" i="7"/>
  <c r="H3340" i="7"/>
  <c r="H3339" i="7"/>
  <c r="H3338" i="7"/>
  <c r="H3337" i="7"/>
  <c r="H3336" i="7"/>
  <c r="H3335" i="7"/>
  <c r="H3334" i="7"/>
  <c r="H3333" i="7"/>
  <c r="H3332" i="7"/>
  <c r="H3331" i="7"/>
  <c r="H3330" i="7"/>
  <c r="H3329" i="7"/>
  <c r="H3328" i="7"/>
  <c r="H3327" i="7"/>
  <c r="H3326" i="7"/>
  <c r="H3325" i="7"/>
  <c r="H3324" i="7"/>
  <c r="H3323" i="7"/>
  <c r="H3322" i="7"/>
  <c r="H3321" i="7"/>
  <c r="H3320" i="7"/>
  <c r="H3319" i="7"/>
  <c r="H3318" i="7"/>
  <c r="H3317" i="7"/>
  <c r="H3316" i="7"/>
  <c r="H3315" i="7"/>
  <c r="H3314" i="7"/>
  <c r="H3313" i="7"/>
  <c r="H3312" i="7"/>
  <c r="H3311" i="7"/>
  <c r="H3310" i="7"/>
  <c r="H3309" i="7"/>
  <c r="H3308" i="7"/>
  <c r="H3307" i="7"/>
  <c r="H3306" i="7"/>
  <c r="H3305" i="7"/>
  <c r="H3304" i="7"/>
  <c r="H3303" i="7"/>
  <c r="H3302" i="7"/>
  <c r="H3301" i="7"/>
  <c r="H3300" i="7"/>
  <c r="H3299" i="7"/>
  <c r="H3298" i="7"/>
  <c r="H3297" i="7"/>
  <c r="H3296" i="7"/>
  <c r="H3295" i="7"/>
  <c r="H3294" i="7"/>
  <c r="H3293" i="7"/>
  <c r="H3292" i="7"/>
  <c r="H3291" i="7"/>
  <c r="H3290" i="7"/>
  <c r="H3289" i="7"/>
  <c r="H3288" i="7"/>
  <c r="G3287" i="7"/>
  <c r="H3287" i="7" s="1"/>
  <c r="H3286" i="7"/>
  <c r="H3285" i="7"/>
  <c r="G3284" i="7"/>
  <c r="H3284" i="7" s="1"/>
  <c r="H3283" i="7"/>
  <c r="H3282" i="7"/>
  <c r="H3281" i="7"/>
  <c r="H3280" i="7"/>
  <c r="H3279" i="7"/>
  <c r="H3278" i="7"/>
  <c r="H3277" i="7"/>
  <c r="H3276" i="7"/>
  <c r="H3275" i="7"/>
  <c r="H3274" i="7"/>
  <c r="H3273" i="7"/>
  <c r="H3272" i="7"/>
  <c r="H3271" i="7"/>
  <c r="H3270" i="7"/>
  <c r="H3269" i="7"/>
  <c r="H3268" i="7"/>
  <c r="H3267" i="7"/>
  <c r="H3266" i="7"/>
  <c r="H3265" i="7"/>
  <c r="H3264" i="7"/>
  <c r="H3263" i="7"/>
  <c r="H3262" i="7"/>
  <c r="H3261" i="7"/>
  <c r="H3260" i="7"/>
  <c r="H3259" i="7"/>
  <c r="H3258" i="7"/>
  <c r="H3257" i="7"/>
  <c r="H3256" i="7"/>
  <c r="H3255" i="7"/>
  <c r="H3254" i="7"/>
  <c r="H3253" i="7"/>
  <c r="H3252" i="7"/>
  <c r="H3251" i="7"/>
  <c r="H3250" i="7"/>
  <c r="H3249" i="7"/>
  <c r="H3248" i="7"/>
  <c r="H3247" i="7"/>
  <c r="H3246" i="7"/>
  <c r="H3245" i="7"/>
  <c r="H3244" i="7"/>
  <c r="H3243" i="7"/>
  <c r="H3242" i="7"/>
  <c r="H3241" i="7"/>
  <c r="H3240" i="7"/>
  <c r="H3239" i="7"/>
  <c r="H3238" i="7"/>
  <c r="H3237" i="7"/>
  <c r="H3236" i="7"/>
  <c r="H3235" i="7"/>
  <c r="H3234" i="7"/>
  <c r="H3233" i="7"/>
  <c r="H3232" i="7"/>
  <c r="H3231" i="7"/>
  <c r="H3230" i="7"/>
  <c r="H3229" i="7"/>
  <c r="H3228" i="7"/>
  <c r="H3227" i="7"/>
  <c r="H3226" i="7"/>
  <c r="H3225" i="7"/>
  <c r="H3224" i="7"/>
  <c r="H3223" i="7"/>
  <c r="H3222" i="7"/>
  <c r="H3221" i="7"/>
  <c r="H3220" i="7"/>
  <c r="H3219" i="7"/>
  <c r="H3218" i="7"/>
  <c r="H3217" i="7"/>
  <c r="H3216" i="7"/>
  <c r="H3215" i="7"/>
  <c r="H3214" i="7"/>
  <c r="H3213" i="7"/>
  <c r="H3212" i="7"/>
  <c r="H3211" i="7"/>
  <c r="H3210" i="7"/>
  <c r="H3209" i="7"/>
  <c r="H3208" i="7"/>
  <c r="H3207" i="7"/>
  <c r="H3206" i="7"/>
  <c r="H3205" i="7"/>
  <c r="H3204" i="7"/>
  <c r="H3203" i="7"/>
  <c r="H3202" i="7"/>
  <c r="H3201" i="7"/>
  <c r="H3200" i="7"/>
  <c r="H3199" i="7"/>
  <c r="H3198" i="7"/>
  <c r="H3197" i="7"/>
  <c r="H3196" i="7"/>
  <c r="H3195" i="7"/>
  <c r="H3194" i="7"/>
  <c r="H3193" i="7"/>
  <c r="H3192" i="7"/>
  <c r="H3191" i="7"/>
  <c r="H3190" i="7"/>
  <c r="H3189" i="7"/>
  <c r="H3188" i="7"/>
  <c r="H3187" i="7"/>
  <c r="H3186" i="7"/>
  <c r="H3185" i="7"/>
  <c r="H3184" i="7"/>
  <c r="H3183" i="7"/>
  <c r="H3182" i="7"/>
  <c r="H3181" i="7"/>
  <c r="H3180" i="7"/>
  <c r="H3179" i="7"/>
  <c r="H3178" i="7"/>
  <c r="H3177" i="7"/>
  <c r="H3176" i="7"/>
  <c r="H3175" i="7"/>
  <c r="H3174" i="7"/>
  <c r="H3173" i="7"/>
  <c r="G3172" i="7"/>
  <c r="H3172" i="7" s="1"/>
  <c r="H3171" i="7"/>
  <c r="H3170" i="7"/>
  <c r="H3169" i="7"/>
  <c r="H3168" i="7"/>
  <c r="H3167" i="7"/>
  <c r="H3166" i="7"/>
  <c r="H3165" i="7"/>
  <c r="H3164" i="7"/>
  <c r="H3163" i="7"/>
  <c r="G3162" i="7"/>
  <c r="H3162" i="7" s="1"/>
  <c r="H3161" i="7"/>
  <c r="H3160" i="7"/>
  <c r="H3159" i="7"/>
  <c r="H3158" i="7"/>
  <c r="H3157" i="7"/>
  <c r="H3156" i="7"/>
  <c r="H3155" i="7"/>
  <c r="H3154" i="7"/>
  <c r="H3153" i="7"/>
  <c r="H3152" i="7"/>
  <c r="H3151" i="7"/>
  <c r="H3150" i="7"/>
  <c r="H3149" i="7"/>
  <c r="H3148" i="7"/>
  <c r="H3147" i="7"/>
  <c r="H3146" i="7"/>
  <c r="H3145" i="7"/>
  <c r="H3144" i="7"/>
  <c r="H3143" i="7"/>
  <c r="H3142" i="7"/>
  <c r="G3141" i="7"/>
  <c r="H3141" i="7" s="1"/>
  <c r="H3140" i="7"/>
  <c r="H3139" i="7"/>
  <c r="H3138" i="7"/>
  <c r="H3137" i="7"/>
  <c r="H3136" i="7"/>
  <c r="H3135" i="7"/>
  <c r="H3134" i="7"/>
  <c r="H3133" i="7"/>
  <c r="G3132" i="7"/>
  <c r="H3132" i="7" s="1"/>
  <c r="H3131" i="7"/>
  <c r="H3130" i="7"/>
  <c r="H3129" i="7"/>
  <c r="H3128" i="7"/>
  <c r="H3127" i="7"/>
  <c r="H3126" i="7"/>
  <c r="H3125" i="7"/>
  <c r="H3124" i="7"/>
  <c r="H3123" i="7"/>
  <c r="H3122" i="7"/>
  <c r="H3121" i="7"/>
  <c r="H3120" i="7"/>
  <c r="H3119" i="7"/>
  <c r="H3118" i="7"/>
  <c r="H3117" i="7"/>
  <c r="H3116" i="7"/>
  <c r="H3115" i="7"/>
  <c r="H3114" i="7"/>
  <c r="H3113" i="7"/>
  <c r="H3112" i="7"/>
  <c r="H3111" i="7"/>
  <c r="H3110" i="7"/>
  <c r="H3109" i="7"/>
  <c r="H3108" i="7"/>
  <c r="H3107" i="7"/>
  <c r="H3106" i="7"/>
  <c r="H3105" i="7"/>
  <c r="H3104" i="7"/>
  <c r="H3103" i="7"/>
  <c r="H3102" i="7"/>
  <c r="H3101" i="7"/>
  <c r="H3100" i="7"/>
  <c r="H3099" i="7"/>
  <c r="H3098" i="7"/>
  <c r="H3097" i="7"/>
  <c r="H3096" i="7"/>
  <c r="H3095" i="7"/>
  <c r="H3094" i="7"/>
  <c r="H3093" i="7"/>
  <c r="H3092" i="7"/>
  <c r="H3091" i="7"/>
  <c r="H3090" i="7"/>
  <c r="H3089" i="7"/>
  <c r="G3088" i="7"/>
  <c r="H3088" i="7" s="1"/>
  <c r="H3087" i="7"/>
  <c r="G3086" i="7"/>
  <c r="H3086" i="7" s="1"/>
  <c r="H3085" i="7"/>
  <c r="H3084" i="7"/>
  <c r="H3083" i="7"/>
  <c r="H3082" i="7"/>
  <c r="H3081" i="7"/>
  <c r="H3080" i="7"/>
  <c r="H3079" i="7"/>
  <c r="G3078" i="7"/>
  <c r="H3078" i="7" s="1"/>
  <c r="H3077" i="7"/>
  <c r="H3076" i="7"/>
  <c r="H3075" i="7"/>
  <c r="H3074" i="7"/>
  <c r="H3073" i="7"/>
  <c r="H3072" i="7"/>
  <c r="H3071" i="7"/>
  <c r="H3070" i="7"/>
  <c r="H3069" i="7"/>
  <c r="H3068" i="7"/>
  <c r="G3067" i="7"/>
  <c r="H3067" i="7" s="1"/>
  <c r="H3066" i="7"/>
  <c r="H3065" i="7"/>
  <c r="H3064" i="7"/>
  <c r="H3063" i="7"/>
  <c r="H3062" i="7"/>
  <c r="H3061" i="7"/>
  <c r="H3060" i="7"/>
  <c r="H3059" i="7"/>
  <c r="H3058" i="7"/>
  <c r="H3057" i="7"/>
  <c r="H3056" i="7"/>
  <c r="H3055" i="7"/>
  <c r="H3054" i="7"/>
  <c r="H3053" i="7"/>
  <c r="H3052" i="7"/>
  <c r="H3051" i="7"/>
  <c r="H3050" i="7"/>
  <c r="H3049" i="7"/>
  <c r="H3048" i="7"/>
  <c r="H3047" i="7"/>
  <c r="H3046" i="7"/>
  <c r="H3045" i="7"/>
  <c r="H3044" i="7"/>
  <c r="H3043" i="7"/>
  <c r="H3042" i="7"/>
  <c r="H3041" i="7"/>
  <c r="H3040" i="7"/>
  <c r="H3039" i="7"/>
  <c r="H3038" i="7"/>
  <c r="H3037" i="7"/>
  <c r="H3036" i="7"/>
  <c r="H3035" i="7"/>
  <c r="H3034" i="7"/>
  <c r="H3033" i="7"/>
  <c r="H3032" i="7"/>
  <c r="H3031" i="7"/>
  <c r="H3030" i="7"/>
  <c r="H3029" i="7"/>
  <c r="H3028" i="7"/>
  <c r="H3027" i="7"/>
  <c r="H3026" i="7"/>
  <c r="H3025" i="7"/>
  <c r="H3024" i="7"/>
  <c r="H3023" i="7"/>
  <c r="H3022" i="7"/>
  <c r="H3021" i="7"/>
  <c r="H3020" i="7"/>
  <c r="H3019" i="7"/>
  <c r="H3018" i="7"/>
  <c r="G3017" i="7"/>
  <c r="H3017" i="7" s="1"/>
  <c r="H3016" i="7"/>
  <c r="H3015" i="7"/>
  <c r="H3014" i="7"/>
  <c r="H3013" i="7"/>
  <c r="H3012" i="7"/>
  <c r="H3011" i="7"/>
  <c r="H3010" i="7"/>
  <c r="H3009" i="7"/>
  <c r="H3008" i="7"/>
  <c r="H3007" i="7"/>
  <c r="H3006" i="7"/>
  <c r="G3005" i="7"/>
  <c r="H3005" i="7" s="1"/>
  <c r="H3004" i="7"/>
  <c r="H3003" i="7"/>
  <c r="H3002" i="7"/>
  <c r="H3001" i="7"/>
  <c r="H3000" i="7"/>
  <c r="H2999" i="7"/>
  <c r="H2998" i="7"/>
  <c r="H2997" i="7"/>
  <c r="H2996" i="7"/>
  <c r="H2995" i="7"/>
  <c r="H2994" i="7"/>
  <c r="H2993" i="7"/>
  <c r="H2992" i="7"/>
  <c r="H2991" i="7"/>
  <c r="H2990" i="7"/>
  <c r="H2989" i="7"/>
  <c r="H2988" i="7"/>
  <c r="H2987" i="7"/>
  <c r="H2986" i="7"/>
  <c r="H2985" i="7"/>
  <c r="H2984" i="7"/>
  <c r="H2983" i="7"/>
  <c r="H2982" i="7"/>
  <c r="H2981" i="7"/>
  <c r="H2980" i="7"/>
  <c r="H2979" i="7"/>
  <c r="H2978" i="7"/>
  <c r="H2977" i="7"/>
  <c r="H2976" i="7"/>
  <c r="H2975" i="7"/>
  <c r="H2974" i="7"/>
  <c r="H2973" i="7"/>
  <c r="H2972" i="7"/>
  <c r="H2971" i="7"/>
  <c r="H2970" i="7"/>
  <c r="H2969" i="7"/>
  <c r="H2968" i="7"/>
  <c r="H2967" i="7"/>
  <c r="H2966" i="7"/>
  <c r="H2965" i="7"/>
  <c r="H2964" i="7"/>
  <c r="H2963" i="7"/>
  <c r="H2962" i="7"/>
  <c r="H2961" i="7"/>
  <c r="H2960" i="7"/>
  <c r="H2959" i="7"/>
  <c r="H2958" i="7"/>
  <c r="H2957" i="7"/>
  <c r="G2957" i="7"/>
  <c r="H2956" i="7"/>
  <c r="H2955" i="7"/>
  <c r="H2954" i="7"/>
  <c r="G2954" i="7"/>
  <c r="H2953" i="7"/>
  <c r="H2952" i="7"/>
  <c r="H2951" i="7"/>
  <c r="H2950" i="7"/>
  <c r="H2949" i="7"/>
  <c r="H2948" i="7"/>
  <c r="H2947" i="7"/>
  <c r="H2946" i="7"/>
  <c r="H2945" i="7"/>
  <c r="H2944" i="7"/>
  <c r="H2943" i="7"/>
  <c r="H2942" i="7"/>
  <c r="H2941" i="7"/>
  <c r="H2940" i="7"/>
  <c r="H2939" i="7"/>
  <c r="H2938" i="7"/>
  <c r="H2937" i="7"/>
  <c r="H2936" i="7"/>
  <c r="H2935" i="7"/>
  <c r="H2934" i="7"/>
  <c r="H2933" i="7"/>
  <c r="H2932" i="7"/>
  <c r="H2931" i="7"/>
  <c r="H2930" i="7"/>
  <c r="H2929" i="7"/>
  <c r="H2928" i="7"/>
  <c r="H2927" i="7"/>
  <c r="H2926" i="7"/>
  <c r="H2925" i="7"/>
  <c r="H2924" i="7"/>
  <c r="H2923" i="7"/>
  <c r="H2922" i="7"/>
  <c r="H2921" i="7"/>
  <c r="H2920" i="7"/>
  <c r="H2919" i="7"/>
  <c r="H2918" i="7"/>
  <c r="H2917" i="7"/>
  <c r="H2916" i="7"/>
  <c r="H2915" i="7"/>
  <c r="H2914" i="7"/>
  <c r="H2913" i="7"/>
  <c r="H2912" i="7"/>
  <c r="H2911" i="7"/>
  <c r="H2910" i="7"/>
  <c r="H2909" i="7"/>
  <c r="H2908" i="7"/>
  <c r="H2907" i="7"/>
  <c r="H2906" i="7"/>
  <c r="H2905" i="7"/>
  <c r="H2904" i="7"/>
  <c r="H2903" i="7"/>
  <c r="H2902" i="7"/>
  <c r="H2901" i="7"/>
  <c r="H2900" i="7"/>
  <c r="H2899" i="7"/>
  <c r="H2898" i="7"/>
  <c r="H2897" i="7"/>
  <c r="H2896" i="7"/>
  <c r="H2895" i="7"/>
  <c r="H2894" i="7"/>
  <c r="H2893" i="7"/>
  <c r="H2892" i="7"/>
  <c r="H2891" i="7"/>
  <c r="H2890" i="7"/>
  <c r="H2889" i="7"/>
  <c r="H2888" i="7"/>
  <c r="H2887" i="7"/>
  <c r="H2886" i="7"/>
  <c r="H2885" i="7"/>
  <c r="H2884" i="7"/>
  <c r="H2883" i="7"/>
  <c r="H2882" i="7"/>
  <c r="H2881" i="7"/>
  <c r="H2880" i="7"/>
  <c r="H2879" i="7"/>
  <c r="H2878" i="7"/>
  <c r="H2877" i="7"/>
  <c r="H2876" i="7"/>
  <c r="H2875" i="7"/>
  <c r="H2874" i="7"/>
  <c r="H2873" i="7"/>
  <c r="H2872" i="7"/>
  <c r="H2871" i="7"/>
  <c r="H2870" i="7"/>
  <c r="H2869" i="7"/>
  <c r="H2868" i="7"/>
  <c r="H2867" i="7"/>
  <c r="G2866" i="7"/>
  <c r="H2866" i="7" s="1"/>
  <c r="H2865" i="7"/>
  <c r="H2864" i="7"/>
  <c r="H2863" i="7"/>
  <c r="H2862" i="7"/>
  <c r="H2861" i="7"/>
  <c r="H2860" i="7"/>
  <c r="H2859" i="7"/>
  <c r="H2858" i="7"/>
  <c r="H2857" i="7"/>
  <c r="H2856" i="7"/>
  <c r="H2855" i="7"/>
  <c r="H2854" i="7"/>
  <c r="H2853" i="7"/>
  <c r="H2852" i="7"/>
  <c r="H2851" i="7"/>
  <c r="H2850" i="7"/>
  <c r="H2849" i="7"/>
  <c r="H2848" i="7"/>
  <c r="H2847" i="7"/>
  <c r="H2846" i="7"/>
  <c r="H2845" i="7"/>
  <c r="H2844" i="7"/>
  <c r="H2843" i="7"/>
  <c r="H2842" i="7"/>
  <c r="H2841" i="7"/>
  <c r="H2840" i="7"/>
  <c r="H2839" i="7"/>
  <c r="H2838" i="7"/>
  <c r="H2837" i="7"/>
  <c r="H2836" i="7"/>
  <c r="G2835" i="7"/>
  <c r="H2835" i="7" s="1"/>
  <c r="G2834" i="7"/>
  <c r="H2834" i="7" s="1"/>
  <c r="H2833" i="7"/>
  <c r="H2832" i="7"/>
  <c r="H2831" i="7"/>
  <c r="H2830" i="7"/>
  <c r="H2829" i="7"/>
  <c r="G2828" i="7"/>
  <c r="H2828" i="7" s="1"/>
  <c r="H2827" i="7"/>
  <c r="H2826" i="7"/>
  <c r="H2825" i="7"/>
  <c r="H2824" i="7"/>
  <c r="H2823" i="7"/>
  <c r="G2822" i="7"/>
  <c r="H2822" i="7" s="1"/>
  <c r="H2821" i="7"/>
  <c r="H2820" i="7"/>
  <c r="H2819" i="7"/>
  <c r="H2818" i="7"/>
  <c r="H2817" i="7"/>
  <c r="H2816" i="7"/>
  <c r="G2816" i="7"/>
  <c r="H2815" i="7"/>
  <c r="H2814" i="7"/>
  <c r="H2813" i="7"/>
  <c r="H2812" i="7"/>
  <c r="G2811" i="7"/>
  <c r="H2811" i="7" s="1"/>
  <c r="G2810" i="7"/>
  <c r="H2810" i="7" s="1"/>
  <c r="H2809" i="7"/>
  <c r="H2808" i="7"/>
  <c r="H2807" i="7"/>
  <c r="H2806" i="7"/>
  <c r="H2805" i="7"/>
  <c r="H2804" i="7"/>
  <c r="G2803" i="7"/>
  <c r="H2803" i="7" s="1"/>
  <c r="H2802" i="7"/>
  <c r="H2801" i="7"/>
  <c r="H2800" i="7"/>
  <c r="H2799" i="7"/>
  <c r="H2798" i="7"/>
  <c r="H2797" i="7"/>
  <c r="H2796" i="7"/>
  <c r="H2795" i="7"/>
  <c r="H2794" i="7"/>
  <c r="H2793" i="7"/>
  <c r="H2792" i="7"/>
  <c r="H2791" i="7"/>
  <c r="H2790" i="7"/>
  <c r="H2789" i="7"/>
  <c r="H2788" i="7"/>
  <c r="G2787" i="7"/>
  <c r="H2787" i="7" s="1"/>
  <c r="H2786" i="7"/>
  <c r="H2785" i="7"/>
  <c r="H2784" i="7"/>
  <c r="H2783" i="7"/>
  <c r="H2782" i="7"/>
  <c r="H2781" i="7"/>
  <c r="H2780" i="7"/>
  <c r="H2779" i="7"/>
  <c r="H2778" i="7"/>
  <c r="H2777" i="7"/>
  <c r="H2776" i="7"/>
  <c r="H2775" i="7"/>
  <c r="H2774" i="7"/>
  <c r="H2773" i="7"/>
  <c r="H2772" i="7"/>
  <c r="H2771" i="7"/>
  <c r="H2770" i="7"/>
  <c r="H2769" i="7"/>
  <c r="H2768" i="7"/>
  <c r="H2767" i="7"/>
  <c r="H2766" i="7"/>
  <c r="H2765" i="7"/>
  <c r="H2764" i="7"/>
  <c r="H2763" i="7"/>
  <c r="H2762" i="7"/>
  <c r="H2761" i="7"/>
  <c r="H2760" i="7"/>
  <c r="H2759" i="7"/>
  <c r="H2758" i="7"/>
  <c r="H2757" i="7"/>
  <c r="H2756" i="7"/>
  <c r="H2755" i="7"/>
  <c r="H2754" i="7"/>
  <c r="H2753" i="7"/>
  <c r="H2752" i="7"/>
  <c r="H2751" i="7"/>
  <c r="H2750" i="7"/>
  <c r="H2749" i="7"/>
  <c r="H2748" i="7"/>
  <c r="H2747" i="7"/>
  <c r="H2746" i="7"/>
  <c r="H2745" i="7"/>
  <c r="H2744" i="7"/>
  <c r="H2743" i="7"/>
  <c r="H2742" i="7"/>
  <c r="H2741" i="7"/>
  <c r="H2740" i="7"/>
  <c r="H2739" i="7"/>
  <c r="H2738" i="7"/>
  <c r="H2737" i="7"/>
  <c r="H2736" i="7"/>
  <c r="H2735" i="7"/>
  <c r="H2734" i="7"/>
  <c r="H2733" i="7"/>
  <c r="H2732" i="7"/>
  <c r="H2731" i="7"/>
  <c r="H2730" i="7"/>
  <c r="H2729" i="7"/>
  <c r="H2728" i="7"/>
  <c r="H2727" i="7"/>
  <c r="H2726" i="7"/>
  <c r="H2725" i="7"/>
  <c r="H2724" i="7"/>
  <c r="H2723" i="7"/>
  <c r="H2722" i="7"/>
  <c r="H2721" i="7"/>
  <c r="H2720" i="7"/>
  <c r="H2719" i="7"/>
  <c r="H2718" i="7"/>
  <c r="H2717" i="7"/>
  <c r="H2716" i="7"/>
  <c r="H2715" i="7"/>
  <c r="G2714" i="7"/>
  <c r="H2714" i="7" s="1"/>
  <c r="H2713" i="7"/>
  <c r="H2712" i="7"/>
  <c r="H2711" i="7"/>
  <c r="H2710" i="7"/>
  <c r="G2709" i="7"/>
  <c r="H2709" i="7" s="1"/>
  <c r="H2708" i="7"/>
  <c r="H2707" i="7"/>
  <c r="H2706" i="7"/>
  <c r="H2705" i="7"/>
  <c r="H2704" i="7"/>
  <c r="H2703" i="7"/>
  <c r="H2702" i="7"/>
  <c r="H2701" i="7"/>
  <c r="H2700" i="7"/>
  <c r="H2699" i="7"/>
  <c r="H2698" i="7"/>
  <c r="H2697" i="7"/>
  <c r="H2696" i="7"/>
  <c r="H2695" i="7"/>
  <c r="H2694" i="7"/>
  <c r="H2693" i="7"/>
  <c r="H2692" i="7"/>
  <c r="H2691" i="7"/>
  <c r="H2690" i="7"/>
  <c r="H2689" i="7"/>
  <c r="H2688" i="7"/>
  <c r="H2687" i="7"/>
  <c r="H2686" i="7"/>
  <c r="H2685" i="7"/>
  <c r="H2684" i="7"/>
  <c r="H2683" i="7"/>
  <c r="H2682" i="7"/>
  <c r="H2681" i="7"/>
  <c r="H2680" i="7"/>
  <c r="H2679" i="7"/>
  <c r="H2678" i="7"/>
  <c r="H2677" i="7"/>
  <c r="H2676" i="7"/>
  <c r="H2675" i="7"/>
  <c r="H2674" i="7"/>
  <c r="H2673" i="7"/>
  <c r="H2672" i="7"/>
  <c r="H2671" i="7"/>
  <c r="H2670" i="7"/>
  <c r="H2669" i="7"/>
  <c r="H2668" i="7"/>
  <c r="H2667" i="7"/>
  <c r="H2666" i="7"/>
  <c r="H2665" i="7"/>
  <c r="G2664" i="7"/>
  <c r="H2664" i="7" s="1"/>
  <c r="H2663" i="7"/>
  <c r="H2662" i="7"/>
  <c r="H2661" i="7"/>
  <c r="H2660" i="7"/>
  <c r="H2659" i="7"/>
  <c r="H2658" i="7"/>
  <c r="H2657" i="7"/>
  <c r="H2656" i="7"/>
  <c r="G2655" i="7"/>
  <c r="H2655" i="7" s="1"/>
  <c r="H2654" i="7"/>
  <c r="H2653" i="7"/>
  <c r="H2652" i="7"/>
  <c r="H2651" i="7"/>
  <c r="H2650" i="7"/>
  <c r="H2649" i="7"/>
  <c r="H2648" i="7"/>
  <c r="H2647" i="7"/>
  <c r="H2646" i="7"/>
  <c r="H2645" i="7"/>
  <c r="H2644" i="7"/>
  <c r="H2643" i="7"/>
  <c r="H2642" i="7"/>
  <c r="H2641" i="7"/>
  <c r="H2640" i="7"/>
  <c r="H2639" i="7"/>
  <c r="H2638" i="7"/>
  <c r="H2637" i="7"/>
  <c r="H2636" i="7"/>
  <c r="H2635" i="7"/>
  <c r="H2634" i="7"/>
  <c r="H2633" i="7"/>
  <c r="H2632" i="7"/>
  <c r="H2631" i="7"/>
  <c r="H2630" i="7"/>
  <c r="H2629" i="7"/>
  <c r="H2628" i="7"/>
  <c r="H2627" i="7"/>
  <c r="H2626" i="7"/>
  <c r="H2625" i="7"/>
  <c r="H2624" i="7"/>
  <c r="H2623" i="7"/>
  <c r="H2622" i="7"/>
  <c r="H2621" i="7"/>
  <c r="H2620" i="7"/>
  <c r="H2619" i="7"/>
  <c r="H2618" i="7"/>
  <c r="H2617" i="7"/>
  <c r="H2616" i="7"/>
  <c r="H2615" i="7"/>
  <c r="H2614" i="7"/>
  <c r="H2613" i="7"/>
  <c r="H2612" i="7"/>
  <c r="H2611" i="7"/>
  <c r="H2610" i="7"/>
  <c r="H2609" i="7"/>
  <c r="H2608" i="7"/>
  <c r="H2607" i="7"/>
  <c r="H2606" i="7"/>
  <c r="H2605" i="7"/>
  <c r="H2604" i="7"/>
  <c r="H2603" i="7"/>
  <c r="H2602" i="7"/>
  <c r="H2601" i="7"/>
  <c r="H2600" i="7"/>
  <c r="H2599" i="7"/>
  <c r="H2598" i="7"/>
  <c r="H2597" i="7"/>
  <c r="H2596" i="7"/>
  <c r="H2595" i="7"/>
  <c r="H2594" i="7"/>
  <c r="H2593" i="7"/>
  <c r="H2592" i="7"/>
  <c r="H2591" i="7"/>
  <c r="H2590" i="7"/>
  <c r="H2589" i="7"/>
  <c r="H2588" i="7"/>
  <c r="H2587" i="7"/>
  <c r="H2586" i="7"/>
  <c r="H2585" i="7"/>
  <c r="H2584" i="7"/>
  <c r="H2583" i="7"/>
  <c r="H2582" i="7"/>
  <c r="H2581" i="7"/>
  <c r="H2580" i="7"/>
  <c r="H2579" i="7"/>
  <c r="H2578" i="7"/>
  <c r="H2577" i="7"/>
  <c r="G2576" i="7"/>
  <c r="H2576" i="7" s="1"/>
  <c r="H2575" i="7"/>
  <c r="H2574" i="7"/>
  <c r="H2573" i="7"/>
  <c r="H2572" i="7"/>
  <c r="H2571" i="7"/>
  <c r="H2570" i="7"/>
  <c r="H2569" i="7"/>
  <c r="H2568" i="7"/>
  <c r="H2567" i="7"/>
  <c r="H2566" i="7"/>
  <c r="H2565" i="7"/>
  <c r="H2564" i="7"/>
  <c r="H2563" i="7"/>
  <c r="H2562" i="7"/>
  <c r="H2561" i="7"/>
  <c r="H2560" i="7"/>
  <c r="H2559" i="7"/>
  <c r="H2558" i="7"/>
  <c r="H2557" i="7"/>
  <c r="H2556" i="7"/>
  <c r="H2555" i="7"/>
  <c r="H2554" i="7"/>
  <c r="H2553" i="7"/>
  <c r="H2552" i="7"/>
  <c r="H2551" i="7"/>
  <c r="H2550" i="7"/>
  <c r="H2549" i="7"/>
  <c r="H2548" i="7"/>
  <c r="H2547" i="7"/>
  <c r="H2546" i="7"/>
  <c r="H2545" i="7"/>
  <c r="H2544" i="7"/>
  <c r="H2543" i="7"/>
  <c r="H2542" i="7"/>
  <c r="H2541" i="7"/>
  <c r="H2540" i="7"/>
  <c r="H2539" i="7"/>
  <c r="H2538" i="7"/>
  <c r="H2537" i="7"/>
  <c r="H2536" i="7"/>
  <c r="H2535" i="7"/>
  <c r="H2534" i="7"/>
  <c r="H2533" i="7"/>
  <c r="H2532" i="7"/>
  <c r="H2531" i="7"/>
  <c r="G2531" i="7"/>
  <c r="H2530" i="7"/>
  <c r="G2529" i="7"/>
  <c r="H2529" i="7" s="1"/>
  <c r="H2528" i="7"/>
  <c r="H2527" i="7"/>
  <c r="H2526" i="7"/>
  <c r="H2525" i="7"/>
  <c r="H2524" i="7"/>
  <c r="H2523" i="7"/>
  <c r="H2522" i="7"/>
  <c r="H2521" i="7"/>
  <c r="H2520" i="7"/>
  <c r="H2519" i="7"/>
  <c r="H2518" i="7"/>
  <c r="H2517" i="7"/>
  <c r="H2516" i="7"/>
  <c r="H2515" i="7"/>
  <c r="H2514" i="7"/>
  <c r="H2513" i="7"/>
  <c r="H2512" i="7"/>
  <c r="H2511" i="7"/>
  <c r="H2510" i="7"/>
  <c r="H2509" i="7"/>
  <c r="H2508" i="7"/>
  <c r="H2507" i="7"/>
  <c r="H2506" i="7"/>
  <c r="H2505" i="7"/>
  <c r="H2504" i="7"/>
  <c r="H2503" i="7"/>
  <c r="H2502" i="7"/>
  <c r="H2501" i="7"/>
  <c r="H2500" i="7"/>
  <c r="H2499" i="7"/>
  <c r="H2498" i="7"/>
  <c r="H2497" i="7"/>
  <c r="H2496" i="7"/>
  <c r="H2495" i="7"/>
  <c r="H2494" i="7"/>
  <c r="H2493" i="7"/>
  <c r="H2492" i="7"/>
  <c r="H2491" i="7"/>
  <c r="H2490" i="7"/>
  <c r="G2490" i="7"/>
  <c r="H2489" i="7"/>
  <c r="H2488" i="7"/>
  <c r="H2487" i="7"/>
  <c r="H2486" i="7"/>
  <c r="H2485" i="7"/>
  <c r="H2484" i="7"/>
  <c r="H2483" i="7"/>
  <c r="H2482" i="7"/>
  <c r="H2481" i="7"/>
  <c r="H2480" i="7"/>
  <c r="H2479" i="7"/>
  <c r="H2478" i="7"/>
  <c r="H2477" i="7"/>
  <c r="H2476" i="7"/>
  <c r="H2475" i="7"/>
  <c r="H2474" i="7"/>
  <c r="H2473" i="7"/>
  <c r="H2472" i="7"/>
  <c r="H2471" i="7"/>
  <c r="H2470" i="7"/>
  <c r="H2469" i="7"/>
  <c r="H2468" i="7"/>
  <c r="H2467" i="7"/>
  <c r="H2466" i="7"/>
  <c r="H2465" i="7"/>
  <c r="H2464" i="7"/>
  <c r="H2463" i="7"/>
  <c r="H2462" i="7"/>
  <c r="H2461" i="7"/>
  <c r="H2460" i="7"/>
  <c r="H2459" i="7"/>
  <c r="H2458" i="7"/>
  <c r="H2457" i="7"/>
  <c r="G2456" i="7"/>
  <c r="H2456" i="7" s="1"/>
  <c r="H2455" i="7"/>
  <c r="H2454" i="7"/>
  <c r="H2453" i="7"/>
  <c r="H2452" i="7"/>
  <c r="H2451" i="7"/>
  <c r="H2450" i="7"/>
  <c r="H2449" i="7"/>
  <c r="H2448" i="7"/>
  <c r="H2447" i="7"/>
  <c r="H2446" i="7"/>
  <c r="H2445" i="7"/>
  <c r="H2444" i="7"/>
  <c r="H2443" i="7"/>
  <c r="H2442" i="7"/>
  <c r="H2441" i="7"/>
  <c r="H2440" i="7"/>
  <c r="H2439" i="7"/>
  <c r="H2438" i="7"/>
  <c r="H2437" i="7"/>
  <c r="H2436" i="7"/>
  <c r="H2435" i="7"/>
  <c r="H2434" i="7"/>
  <c r="H2433" i="7"/>
  <c r="H2432" i="7"/>
  <c r="H2431" i="7"/>
  <c r="H2430" i="7"/>
  <c r="H2429" i="7"/>
  <c r="H2428" i="7"/>
  <c r="H2427" i="7"/>
  <c r="H2426" i="7"/>
  <c r="H2425" i="7"/>
  <c r="H2424" i="7"/>
  <c r="H2423" i="7"/>
  <c r="H2422" i="7"/>
  <c r="H2421" i="7"/>
  <c r="H2420" i="7"/>
  <c r="H2419" i="7"/>
  <c r="H2418" i="7"/>
  <c r="H2417" i="7"/>
  <c r="H2416" i="7"/>
  <c r="H2415" i="7"/>
  <c r="H2414" i="7"/>
  <c r="H2413" i="7"/>
  <c r="H2412" i="7"/>
  <c r="H2411" i="7"/>
  <c r="H2410" i="7"/>
  <c r="H2409" i="7"/>
  <c r="H2408" i="7"/>
  <c r="G2407" i="7"/>
  <c r="H2407" i="7" s="1"/>
  <c r="H2406" i="7"/>
  <c r="H2405" i="7"/>
  <c r="H2404" i="7"/>
  <c r="H2403" i="7"/>
  <c r="H2402" i="7"/>
  <c r="H2401" i="7"/>
  <c r="G2400" i="7"/>
  <c r="H2400" i="7" s="1"/>
  <c r="H2399" i="7"/>
  <c r="H2398" i="7"/>
  <c r="H2397" i="7"/>
  <c r="H2396" i="7"/>
  <c r="H2395" i="7"/>
  <c r="H2394" i="7"/>
  <c r="H2393" i="7"/>
  <c r="H2392" i="7"/>
  <c r="H2391" i="7"/>
  <c r="H2390" i="7"/>
  <c r="H2389" i="7"/>
  <c r="H2388" i="7"/>
  <c r="H2387" i="7"/>
  <c r="H2386" i="7"/>
  <c r="H2385" i="7"/>
  <c r="H2384" i="7"/>
  <c r="H2383" i="7"/>
  <c r="H2382" i="7"/>
  <c r="H2381" i="7"/>
  <c r="H2380" i="7"/>
  <c r="H2379" i="7"/>
  <c r="H2378" i="7"/>
  <c r="H2377" i="7"/>
  <c r="H2376" i="7"/>
  <c r="H2375" i="7"/>
  <c r="H2374" i="7"/>
  <c r="H2373" i="7"/>
  <c r="H2372" i="7"/>
  <c r="H2371" i="7"/>
  <c r="H2370" i="7"/>
  <c r="H2369" i="7"/>
  <c r="H2368" i="7"/>
  <c r="H2367" i="7"/>
  <c r="H2366" i="7"/>
  <c r="H2365" i="7"/>
  <c r="H2364" i="7"/>
  <c r="H2363" i="7"/>
  <c r="H2362" i="7"/>
  <c r="H2361" i="7"/>
  <c r="H2360" i="7"/>
  <c r="H2359" i="7"/>
  <c r="H2358" i="7"/>
  <c r="H2357" i="7"/>
  <c r="H2356" i="7"/>
  <c r="H2355" i="7"/>
  <c r="H2354" i="7"/>
  <c r="H2353" i="7"/>
  <c r="H2352" i="7"/>
  <c r="H2351" i="7"/>
  <c r="H2350" i="7"/>
  <c r="H2349" i="7"/>
  <c r="H2348" i="7"/>
  <c r="H2347" i="7"/>
  <c r="H2346" i="7"/>
  <c r="H2345" i="7"/>
  <c r="H2344" i="7"/>
  <c r="H2343" i="7"/>
  <c r="H2342" i="7"/>
  <c r="H2341" i="7"/>
  <c r="H2340" i="7"/>
  <c r="H2339" i="7"/>
  <c r="H2338" i="7"/>
  <c r="H2337" i="7"/>
  <c r="H2336" i="7"/>
  <c r="H2335" i="7"/>
  <c r="H2334" i="7"/>
  <c r="H2333" i="7"/>
  <c r="G2332" i="7"/>
  <c r="H2332" i="7" s="1"/>
  <c r="H2331" i="7"/>
  <c r="H2330" i="7"/>
  <c r="H2329" i="7"/>
  <c r="H2328" i="7"/>
  <c r="H2327" i="7"/>
  <c r="H2326" i="7"/>
  <c r="G2325" i="7"/>
  <c r="H2325" i="7" s="1"/>
  <c r="H2324" i="7"/>
  <c r="H2323" i="7"/>
  <c r="H2322" i="7"/>
  <c r="H2321" i="7"/>
  <c r="H2320" i="7"/>
  <c r="H2319" i="7"/>
  <c r="H2318" i="7"/>
  <c r="H2317" i="7"/>
  <c r="H2316" i="7"/>
  <c r="H2315" i="7"/>
  <c r="G2314" i="7"/>
  <c r="H2314" i="7" s="1"/>
  <c r="H2313" i="7"/>
  <c r="G2312" i="7"/>
  <c r="H2312" i="7" s="1"/>
  <c r="H2311" i="7"/>
  <c r="H2310" i="7"/>
  <c r="H2309" i="7"/>
  <c r="H2308" i="7"/>
  <c r="H2307" i="7"/>
  <c r="H2306" i="7"/>
  <c r="H2305" i="7"/>
  <c r="H2304" i="7"/>
  <c r="H2303" i="7"/>
  <c r="H2302" i="7"/>
  <c r="H2301" i="7"/>
  <c r="H2300" i="7"/>
  <c r="H2299" i="7"/>
  <c r="H2298" i="7"/>
  <c r="G2297" i="7"/>
  <c r="H2297" i="7" s="1"/>
  <c r="H2296" i="7"/>
  <c r="H2295" i="7"/>
  <c r="H2294" i="7"/>
  <c r="H2293" i="7"/>
  <c r="H2292" i="7"/>
  <c r="H2291" i="7"/>
  <c r="H2290" i="7"/>
  <c r="H2289" i="7"/>
  <c r="H2288" i="7"/>
  <c r="H2287" i="7"/>
  <c r="H2286" i="7"/>
  <c r="H2285" i="7"/>
  <c r="H2284" i="7"/>
  <c r="H2283" i="7"/>
  <c r="H2282" i="7"/>
  <c r="H2281" i="7"/>
  <c r="H2280" i="7"/>
  <c r="H2279" i="7"/>
  <c r="H2278" i="7"/>
  <c r="H2277" i="7"/>
  <c r="H2276" i="7"/>
  <c r="H2275" i="7"/>
  <c r="H2274" i="7"/>
  <c r="H2273" i="7"/>
  <c r="H2272" i="7"/>
  <c r="H2271" i="7"/>
  <c r="H2270" i="7"/>
  <c r="H2269" i="7"/>
  <c r="H2268" i="7"/>
  <c r="H2267" i="7"/>
  <c r="H2266" i="7"/>
  <c r="H2265" i="7"/>
  <c r="H2264" i="7"/>
  <c r="H2263" i="7"/>
  <c r="H2262" i="7"/>
  <c r="H2261" i="7"/>
  <c r="H2260" i="7"/>
  <c r="H2259" i="7"/>
  <c r="H2258" i="7"/>
  <c r="H2257" i="7"/>
  <c r="H2256" i="7"/>
  <c r="H2255" i="7"/>
  <c r="H2254" i="7"/>
  <c r="H2253" i="7"/>
  <c r="H2252" i="7"/>
  <c r="H2251" i="7"/>
  <c r="H2250" i="7"/>
  <c r="H2249" i="7"/>
  <c r="H2248" i="7"/>
  <c r="H2247" i="7"/>
  <c r="H2246" i="7"/>
  <c r="H2245" i="7"/>
  <c r="H2244" i="7"/>
  <c r="H2243" i="7"/>
  <c r="H2242" i="7"/>
  <c r="H2241" i="7"/>
  <c r="H2240" i="7"/>
  <c r="H2239" i="7"/>
  <c r="H2238" i="7"/>
  <c r="H2237" i="7"/>
  <c r="H2236" i="7"/>
  <c r="H2235" i="7"/>
  <c r="H2234" i="7"/>
  <c r="H2233" i="7"/>
  <c r="H2232" i="7"/>
  <c r="H2231" i="7"/>
  <c r="H2230" i="7"/>
  <c r="H2229" i="7"/>
  <c r="H2228" i="7"/>
  <c r="H2227" i="7"/>
  <c r="H2226" i="7"/>
  <c r="H2225" i="7"/>
  <c r="H2224" i="7"/>
  <c r="H2223" i="7"/>
  <c r="H2222" i="7"/>
  <c r="H2221" i="7"/>
  <c r="H2220" i="7"/>
  <c r="H2219" i="7"/>
  <c r="H2218" i="7"/>
  <c r="H2217" i="7"/>
  <c r="H2216" i="7"/>
  <c r="H2215" i="7"/>
  <c r="H2214" i="7"/>
  <c r="H2213" i="7"/>
  <c r="G2212" i="7"/>
  <c r="H2212" i="7" s="1"/>
  <c r="H2211" i="7"/>
  <c r="H2210" i="7"/>
  <c r="H2209" i="7"/>
  <c r="H2208" i="7"/>
  <c r="H2207" i="7"/>
  <c r="H2206" i="7"/>
  <c r="H2205" i="7"/>
  <c r="H2204" i="7"/>
  <c r="H2203" i="7"/>
  <c r="H2202" i="7"/>
  <c r="H2201" i="7"/>
  <c r="H2200" i="7"/>
  <c r="H2199" i="7"/>
  <c r="H2198" i="7"/>
  <c r="H2197" i="7"/>
  <c r="H2196" i="7"/>
  <c r="H2195" i="7"/>
  <c r="H2194" i="7"/>
  <c r="H2193" i="7"/>
  <c r="H2192" i="7"/>
  <c r="H2191" i="7"/>
  <c r="H2190" i="7"/>
  <c r="H2189" i="7"/>
  <c r="H2188" i="7"/>
  <c r="H2187" i="7"/>
  <c r="H2186" i="7"/>
  <c r="H2185" i="7"/>
  <c r="H2184" i="7"/>
  <c r="H2183" i="7"/>
  <c r="H2182" i="7"/>
  <c r="H2181" i="7"/>
  <c r="H2180" i="7"/>
  <c r="H2179" i="7"/>
  <c r="H2178" i="7"/>
  <c r="H2177" i="7"/>
  <c r="H2176" i="7"/>
  <c r="H2175" i="7"/>
  <c r="H2174" i="7"/>
  <c r="H2173" i="7"/>
  <c r="H2172" i="7"/>
  <c r="H2171" i="7"/>
  <c r="H2170" i="7"/>
  <c r="H2169" i="7"/>
  <c r="H2168" i="7"/>
  <c r="H2167" i="7"/>
  <c r="H2166" i="7"/>
  <c r="H2165" i="7"/>
  <c r="H2164" i="7"/>
  <c r="H2163" i="7"/>
  <c r="H2162" i="7"/>
  <c r="H2161" i="7"/>
  <c r="H2160" i="7"/>
  <c r="H2159" i="7"/>
  <c r="H2158" i="7"/>
  <c r="H2157" i="7"/>
  <c r="H2156" i="7"/>
  <c r="H2155" i="7"/>
  <c r="H2154" i="7"/>
  <c r="H2153" i="7"/>
  <c r="H2152" i="7"/>
  <c r="H2151" i="7"/>
  <c r="H2150" i="7"/>
  <c r="H2149" i="7"/>
  <c r="H2148" i="7"/>
  <c r="H2147" i="7"/>
  <c r="H2146" i="7"/>
  <c r="H2145" i="7"/>
  <c r="H2144" i="7"/>
  <c r="H2143" i="7"/>
  <c r="H2142" i="7"/>
  <c r="H2141" i="7"/>
  <c r="H2140" i="7"/>
  <c r="H2139" i="7"/>
  <c r="H2138" i="7"/>
  <c r="H2137" i="7"/>
  <c r="H2136" i="7"/>
  <c r="H2135" i="7"/>
  <c r="H2134" i="7"/>
  <c r="H2133" i="7"/>
  <c r="H2132" i="7"/>
  <c r="H2131" i="7"/>
  <c r="H2130" i="7"/>
  <c r="G2129" i="7"/>
  <c r="H2129" i="7" s="1"/>
  <c r="H2128" i="7"/>
  <c r="H2127" i="7"/>
  <c r="H2126" i="7"/>
  <c r="H2125" i="7"/>
  <c r="H2124" i="7"/>
  <c r="H2123" i="7"/>
  <c r="H2122" i="7"/>
  <c r="H2121" i="7"/>
  <c r="H2120" i="7"/>
  <c r="H2119" i="7"/>
  <c r="H2118" i="7"/>
  <c r="H2117" i="7"/>
  <c r="H2116" i="7"/>
  <c r="H2115" i="7"/>
  <c r="H2114" i="7"/>
  <c r="H2113" i="7"/>
  <c r="H2112" i="7"/>
  <c r="H2111" i="7"/>
  <c r="H2110" i="7"/>
  <c r="H2109" i="7"/>
  <c r="H2108" i="7"/>
  <c r="H2107" i="7"/>
  <c r="H2106" i="7"/>
  <c r="H2105" i="7"/>
  <c r="H2104" i="7"/>
  <c r="H2103" i="7"/>
  <c r="G2102" i="7"/>
  <c r="H2102" i="7" s="1"/>
  <c r="H2101" i="7"/>
  <c r="H2100" i="7"/>
  <c r="H2099" i="7"/>
  <c r="H2098" i="7"/>
  <c r="H2097" i="7"/>
  <c r="H2096" i="7"/>
  <c r="H2095" i="7"/>
  <c r="H2094" i="7"/>
  <c r="H2093" i="7"/>
  <c r="H2092" i="7"/>
  <c r="H2091" i="7"/>
  <c r="H2090" i="7"/>
  <c r="H2089" i="7"/>
  <c r="H2088" i="7"/>
  <c r="H2087" i="7"/>
  <c r="H2086" i="7"/>
  <c r="H2085" i="7"/>
  <c r="H2084" i="7"/>
  <c r="H2083" i="7"/>
  <c r="H2082" i="7"/>
  <c r="G2081" i="7"/>
  <c r="H2081" i="7" s="1"/>
  <c r="G2080" i="7"/>
  <c r="H2080" i="7" s="1"/>
  <c r="H2079" i="7"/>
  <c r="H2078" i="7"/>
  <c r="H2077" i="7"/>
  <c r="H2076" i="7"/>
  <c r="H2075" i="7"/>
  <c r="H2074" i="7"/>
  <c r="H2073" i="7"/>
  <c r="H2072" i="7"/>
  <c r="H2071" i="7"/>
  <c r="H2070" i="7"/>
  <c r="H2069" i="7"/>
  <c r="H2068" i="7"/>
  <c r="H2067" i="7"/>
  <c r="H2066" i="7"/>
  <c r="H2065" i="7"/>
  <c r="H2064" i="7"/>
  <c r="H2063" i="7"/>
  <c r="H2062" i="7"/>
  <c r="H2061" i="7"/>
  <c r="H2060" i="7"/>
  <c r="H2059" i="7"/>
  <c r="H2058" i="7"/>
  <c r="H2057" i="7"/>
  <c r="H2056" i="7"/>
  <c r="H2055" i="7"/>
  <c r="H2054" i="7"/>
  <c r="H2053" i="7"/>
  <c r="H2052" i="7"/>
  <c r="H2051" i="7"/>
  <c r="H2050" i="7"/>
  <c r="H2049" i="7"/>
  <c r="H2048" i="7"/>
  <c r="H2047" i="7"/>
  <c r="H2046" i="7"/>
  <c r="H2045" i="7"/>
  <c r="H2044" i="7"/>
  <c r="H2043" i="7"/>
  <c r="H2042" i="7"/>
  <c r="H2041" i="7"/>
  <c r="H2040" i="7"/>
  <c r="H2039" i="7"/>
  <c r="H2038" i="7"/>
  <c r="H2037" i="7"/>
  <c r="H2036" i="7"/>
  <c r="H2035" i="7"/>
  <c r="H2034" i="7"/>
  <c r="H2033" i="7"/>
  <c r="H2032" i="7"/>
  <c r="H2031" i="7"/>
  <c r="H2030" i="7"/>
  <c r="H2029" i="7"/>
  <c r="H2028" i="7"/>
  <c r="G2027" i="7"/>
  <c r="H2027" i="7" s="1"/>
  <c r="H2026" i="7"/>
  <c r="H2025" i="7"/>
  <c r="H2024" i="7"/>
  <c r="H2023" i="7"/>
  <c r="G2023" i="7"/>
  <c r="H2022" i="7"/>
  <c r="H2021" i="7"/>
  <c r="H2020" i="7"/>
  <c r="H2019" i="7"/>
  <c r="H2018" i="7"/>
  <c r="H2017" i="7"/>
  <c r="H2016" i="7"/>
  <c r="H2015" i="7"/>
  <c r="H2014" i="7"/>
  <c r="H2013" i="7"/>
  <c r="H2012" i="7"/>
  <c r="H2011" i="7"/>
  <c r="H2010" i="7"/>
  <c r="H2009" i="7"/>
  <c r="H2008" i="7"/>
  <c r="H2007" i="7"/>
  <c r="H2006" i="7"/>
  <c r="H2005" i="7"/>
  <c r="H2004" i="7"/>
  <c r="H2003" i="7"/>
  <c r="H2002" i="7"/>
  <c r="H2001" i="7"/>
  <c r="H2000" i="7"/>
  <c r="H1999" i="7"/>
  <c r="H1998" i="7"/>
  <c r="H1997" i="7"/>
  <c r="H1996" i="7"/>
  <c r="H1995" i="7"/>
  <c r="H1994" i="7"/>
  <c r="H1993" i="7"/>
  <c r="H1992" i="7"/>
  <c r="H1991" i="7"/>
  <c r="H1990" i="7"/>
  <c r="H1989" i="7"/>
  <c r="H1988" i="7"/>
  <c r="H1987" i="7"/>
  <c r="H1986" i="7"/>
  <c r="H1985" i="7"/>
  <c r="H1984" i="7"/>
  <c r="H1983" i="7"/>
  <c r="H1982" i="7"/>
  <c r="H1981" i="7"/>
  <c r="H1980" i="7"/>
  <c r="H1979" i="7"/>
  <c r="H1978" i="7"/>
  <c r="H1977" i="7"/>
  <c r="H1976" i="7"/>
  <c r="G1975" i="7"/>
  <c r="H1975" i="7" s="1"/>
  <c r="H1974" i="7"/>
  <c r="H1973" i="7"/>
  <c r="H1972" i="7"/>
  <c r="H1971" i="7"/>
  <c r="H1970" i="7"/>
  <c r="H1969" i="7"/>
  <c r="H1968" i="7"/>
  <c r="H1967" i="7"/>
  <c r="H1966" i="7"/>
  <c r="H1965" i="7"/>
  <c r="H1964" i="7"/>
  <c r="H1963" i="7"/>
  <c r="H1962" i="7"/>
  <c r="H1961" i="7"/>
  <c r="H1960" i="7"/>
  <c r="H1959" i="7"/>
  <c r="H1958" i="7"/>
  <c r="H1957" i="7"/>
  <c r="H1956" i="7"/>
  <c r="H1955" i="7"/>
  <c r="H1954" i="7"/>
  <c r="H1953" i="7"/>
  <c r="H1952" i="7"/>
  <c r="H1951" i="7"/>
  <c r="H1950" i="7"/>
  <c r="H1949" i="7"/>
  <c r="H1948" i="7"/>
  <c r="H1947" i="7"/>
  <c r="H1946" i="7"/>
  <c r="H1945" i="7"/>
  <c r="H1944" i="7"/>
  <c r="H1943" i="7"/>
  <c r="H1942" i="7"/>
  <c r="H1941" i="7"/>
  <c r="H1940" i="7"/>
  <c r="H1939" i="7"/>
  <c r="H1938" i="7"/>
  <c r="H1937" i="7"/>
  <c r="H1936" i="7"/>
  <c r="H1935" i="7"/>
  <c r="H1934" i="7"/>
  <c r="H1933" i="7"/>
  <c r="G1932" i="7"/>
  <c r="H1932" i="7" s="1"/>
  <c r="H1931" i="7"/>
  <c r="H1930" i="7"/>
  <c r="H1929" i="7"/>
  <c r="H1928" i="7"/>
  <c r="H1927" i="7"/>
  <c r="H1926" i="7"/>
  <c r="H1925" i="7"/>
  <c r="H1924" i="7"/>
  <c r="H1923" i="7"/>
  <c r="H1922" i="7"/>
  <c r="H1921" i="7"/>
  <c r="H1920" i="7"/>
  <c r="H1919" i="7"/>
  <c r="H1918" i="7"/>
  <c r="H1917" i="7"/>
  <c r="H1916" i="7"/>
  <c r="H1915" i="7"/>
  <c r="H1914" i="7"/>
  <c r="H1913" i="7"/>
  <c r="H1912" i="7"/>
  <c r="H1911" i="7"/>
  <c r="G1910" i="7"/>
  <c r="H1910" i="7" s="1"/>
  <c r="H1909" i="7"/>
  <c r="H1908" i="7"/>
  <c r="H1907" i="7"/>
  <c r="H1906" i="7"/>
  <c r="H1905" i="7"/>
  <c r="H1904" i="7"/>
  <c r="H1903" i="7"/>
  <c r="H1902" i="7"/>
  <c r="H1901" i="7"/>
  <c r="H1900" i="7"/>
  <c r="H1899" i="7"/>
  <c r="H1898" i="7"/>
  <c r="H1897" i="7"/>
  <c r="H1896" i="7"/>
  <c r="H1895" i="7"/>
  <c r="H1894" i="7"/>
  <c r="H1893" i="7"/>
  <c r="H1892" i="7"/>
  <c r="H1891" i="7"/>
  <c r="H1890" i="7"/>
  <c r="H1889" i="7"/>
  <c r="H1888" i="7"/>
  <c r="H1887" i="7"/>
  <c r="H1886" i="7"/>
  <c r="H1885" i="7"/>
  <c r="H1884" i="7"/>
  <c r="H1883" i="7"/>
  <c r="H1882" i="7"/>
  <c r="H1881" i="7"/>
  <c r="H1880" i="7"/>
  <c r="H1879" i="7"/>
  <c r="H1878" i="7"/>
  <c r="H1877" i="7"/>
  <c r="H1876" i="7"/>
  <c r="H1875" i="7"/>
  <c r="H1874" i="7"/>
  <c r="H1873" i="7"/>
  <c r="H1872" i="7"/>
  <c r="H1871" i="7"/>
  <c r="H1870" i="7"/>
  <c r="H1869" i="7"/>
  <c r="H1868" i="7"/>
  <c r="H1867" i="7"/>
  <c r="H1866" i="7"/>
  <c r="H1865" i="7"/>
  <c r="H1864" i="7"/>
  <c r="H1863" i="7"/>
  <c r="H1862" i="7"/>
  <c r="H1861" i="7"/>
  <c r="H1860" i="7"/>
  <c r="H1859" i="7"/>
  <c r="H1858" i="7"/>
  <c r="H1857" i="7"/>
  <c r="H1856" i="7"/>
  <c r="H1855" i="7"/>
  <c r="H1854" i="7"/>
  <c r="H1853" i="7"/>
  <c r="H1852" i="7"/>
  <c r="H1851" i="7"/>
  <c r="H1850" i="7"/>
  <c r="H1849" i="7"/>
  <c r="H1848" i="7"/>
  <c r="H1847" i="7"/>
  <c r="H1846" i="7"/>
  <c r="H1845" i="7"/>
  <c r="H1844" i="7"/>
  <c r="H1843" i="7"/>
  <c r="H1842" i="7"/>
  <c r="H1841" i="7"/>
  <c r="H1840" i="7"/>
  <c r="H1839" i="7"/>
  <c r="H1838" i="7"/>
  <c r="H1837" i="7"/>
  <c r="H1836" i="7"/>
  <c r="H1835" i="7"/>
  <c r="H1834" i="7"/>
  <c r="H1833" i="7"/>
  <c r="H1832" i="7"/>
  <c r="H1831" i="7"/>
  <c r="H1830" i="7"/>
  <c r="H1829" i="7"/>
  <c r="H1828" i="7"/>
  <c r="H1827" i="7"/>
  <c r="H1826" i="7"/>
  <c r="H1825" i="7"/>
  <c r="H1824" i="7"/>
  <c r="H1823" i="7"/>
  <c r="H1822" i="7"/>
  <c r="H1821" i="7"/>
  <c r="H1820" i="7"/>
  <c r="H1819" i="7"/>
  <c r="H1818" i="7"/>
  <c r="H1817" i="7"/>
  <c r="H1816" i="7"/>
  <c r="H1815" i="7"/>
  <c r="H1814" i="7"/>
  <c r="H1813" i="7"/>
  <c r="H1812" i="7"/>
  <c r="H1811" i="7"/>
  <c r="H1810" i="7"/>
  <c r="H1809" i="7"/>
  <c r="H1808" i="7"/>
  <c r="H1807" i="7"/>
  <c r="G1806" i="7"/>
  <c r="H1806" i="7" s="1"/>
  <c r="H1805" i="7"/>
  <c r="H1804" i="7"/>
  <c r="H1803" i="7"/>
  <c r="H1802" i="7"/>
  <c r="H1801" i="7"/>
  <c r="H1800" i="7"/>
  <c r="H1799" i="7"/>
  <c r="H1798" i="7"/>
  <c r="H1797" i="7"/>
  <c r="H1796" i="7"/>
  <c r="H1795" i="7"/>
  <c r="H1794" i="7"/>
  <c r="H1793" i="7"/>
  <c r="H1792" i="7"/>
  <c r="G1791" i="7"/>
  <c r="H1791" i="7" s="1"/>
  <c r="H1790" i="7"/>
  <c r="H1789" i="7"/>
  <c r="H1788" i="7"/>
  <c r="H1787" i="7"/>
  <c r="H1786" i="7"/>
  <c r="H1785" i="7"/>
  <c r="H1784" i="7"/>
  <c r="H1783" i="7"/>
  <c r="H1782" i="7"/>
  <c r="H1781" i="7"/>
  <c r="H1780" i="7"/>
  <c r="H1779" i="7"/>
  <c r="H1778" i="7"/>
  <c r="H1777" i="7"/>
  <c r="H1776" i="7"/>
  <c r="H1775" i="7"/>
  <c r="H1774" i="7"/>
  <c r="H1773" i="7"/>
  <c r="H1772" i="7"/>
  <c r="H1771" i="7"/>
  <c r="H1770" i="7"/>
  <c r="G1769" i="7"/>
  <c r="H1769" i="7" s="1"/>
  <c r="H1768" i="7"/>
  <c r="H1767" i="7"/>
  <c r="H1766" i="7"/>
  <c r="H1765" i="7"/>
  <c r="H1764" i="7"/>
  <c r="H1763" i="7"/>
  <c r="H1762" i="7"/>
  <c r="H1761" i="7"/>
  <c r="H1760" i="7"/>
  <c r="H1759" i="7"/>
  <c r="H1758" i="7"/>
  <c r="H1757" i="7"/>
  <c r="H1756" i="7"/>
  <c r="H1755" i="7"/>
  <c r="H1754" i="7"/>
  <c r="H1753" i="7"/>
  <c r="H1752" i="7"/>
  <c r="H1751" i="7"/>
  <c r="H1750" i="7"/>
  <c r="H1749" i="7"/>
  <c r="H1748" i="7"/>
  <c r="H1747" i="7"/>
  <c r="H1746" i="7"/>
  <c r="H1745" i="7"/>
  <c r="H1744" i="7"/>
  <c r="H1743" i="7"/>
  <c r="H1742" i="7"/>
  <c r="H1741" i="7"/>
  <c r="H1740" i="7"/>
  <c r="H1739" i="7"/>
  <c r="H1738" i="7"/>
  <c r="H1737" i="7"/>
  <c r="H1736" i="7"/>
  <c r="H1735" i="7"/>
  <c r="H1734" i="7"/>
  <c r="H1733" i="7"/>
  <c r="H1732" i="7"/>
  <c r="H1731" i="7"/>
  <c r="H1730" i="7"/>
  <c r="H1729" i="7"/>
  <c r="H1728" i="7"/>
  <c r="G1728" i="7"/>
  <c r="H1727" i="7"/>
  <c r="G1727" i="7"/>
  <c r="H1726" i="7"/>
  <c r="H1725" i="7"/>
  <c r="H1724" i="7"/>
  <c r="G1724" i="7"/>
  <c r="H1723" i="7"/>
  <c r="H1722" i="7"/>
  <c r="H1721" i="7"/>
  <c r="G1721" i="7"/>
  <c r="H1720" i="7"/>
  <c r="G1719" i="7"/>
  <c r="H1719" i="7" s="1"/>
  <c r="H1718" i="7"/>
  <c r="H1717" i="7"/>
  <c r="H1716" i="7"/>
  <c r="H1715" i="7"/>
  <c r="H1714" i="7"/>
  <c r="H1713" i="7"/>
  <c r="H1712" i="7"/>
  <c r="H1711" i="7"/>
  <c r="H1710" i="7"/>
  <c r="H1709" i="7"/>
  <c r="H1708" i="7"/>
  <c r="H1707" i="7"/>
  <c r="H1706" i="7"/>
  <c r="H1705" i="7"/>
  <c r="H1704" i="7"/>
  <c r="H1703" i="7"/>
  <c r="H1702" i="7"/>
  <c r="H1701" i="7"/>
  <c r="H1700" i="7"/>
  <c r="H1699" i="7"/>
  <c r="H1698" i="7"/>
  <c r="H1697" i="7"/>
  <c r="H1696" i="7"/>
  <c r="H1695" i="7"/>
  <c r="H1694" i="7"/>
  <c r="H1693" i="7"/>
  <c r="H1692" i="7"/>
  <c r="H1691" i="7"/>
  <c r="H1690" i="7"/>
  <c r="H1689" i="7"/>
  <c r="H1688" i="7"/>
  <c r="H1687" i="7"/>
  <c r="H1686" i="7"/>
  <c r="H1685" i="7"/>
  <c r="H1684" i="7"/>
  <c r="H1683" i="7"/>
  <c r="H1682" i="7"/>
  <c r="H1681" i="7"/>
  <c r="H1680" i="7"/>
  <c r="H1679" i="7"/>
  <c r="H1678" i="7"/>
  <c r="H1677" i="7"/>
  <c r="H1676" i="7"/>
  <c r="H1675" i="7"/>
  <c r="H1674" i="7"/>
  <c r="H1673" i="7"/>
  <c r="H1672" i="7"/>
  <c r="H1671" i="7"/>
  <c r="H1670" i="7"/>
  <c r="H1669" i="7"/>
  <c r="H1668" i="7"/>
  <c r="H1667" i="7"/>
  <c r="G1666" i="7"/>
  <c r="H1666" i="7" s="1"/>
  <c r="H1665" i="7"/>
  <c r="H1664" i="7"/>
  <c r="H1663" i="7"/>
  <c r="H1662" i="7"/>
  <c r="H1661" i="7"/>
  <c r="H1660" i="7"/>
  <c r="H1659" i="7"/>
  <c r="H1658" i="7"/>
  <c r="H1657" i="7"/>
  <c r="H1656" i="7"/>
  <c r="H1655" i="7"/>
  <c r="H1654" i="7"/>
  <c r="H1653" i="7"/>
  <c r="H1652" i="7"/>
  <c r="H1651" i="7"/>
  <c r="H1650" i="7"/>
  <c r="H1649" i="7"/>
  <c r="H1648" i="7"/>
  <c r="H1647" i="7"/>
  <c r="H1646" i="7"/>
  <c r="H1645" i="7"/>
  <c r="H1644" i="7"/>
  <c r="H1643" i="7"/>
  <c r="H1642" i="7"/>
  <c r="H1641" i="7"/>
  <c r="H1640" i="7"/>
  <c r="H1639" i="7"/>
  <c r="H1638" i="7"/>
  <c r="H1637" i="7"/>
  <c r="H1636" i="7"/>
  <c r="H1635" i="7"/>
  <c r="H1634" i="7"/>
  <c r="H1633" i="7"/>
  <c r="H1632" i="7"/>
  <c r="H1631" i="7"/>
  <c r="H1630" i="7"/>
  <c r="H1629" i="7"/>
  <c r="H1628" i="7"/>
  <c r="H1627" i="7"/>
  <c r="H1626" i="7"/>
  <c r="H1625" i="7"/>
  <c r="H1624" i="7"/>
  <c r="H1623" i="7"/>
  <c r="H1622" i="7"/>
  <c r="H1621" i="7"/>
  <c r="H1620" i="7"/>
  <c r="H1619" i="7"/>
  <c r="H1618" i="7"/>
  <c r="H1617" i="7"/>
  <c r="G1616" i="7"/>
  <c r="H1616" i="7" s="1"/>
  <c r="H1615" i="7"/>
  <c r="H1614" i="7"/>
  <c r="H1613" i="7"/>
  <c r="H1612" i="7"/>
  <c r="H1611" i="7"/>
  <c r="H1610" i="7"/>
  <c r="H1609" i="7"/>
  <c r="H1608" i="7"/>
  <c r="H1607" i="7"/>
  <c r="H1606" i="7"/>
  <c r="H1605" i="7"/>
  <c r="H1604" i="7"/>
  <c r="H1603" i="7"/>
  <c r="H1602" i="7"/>
  <c r="H1601" i="7"/>
  <c r="H1600" i="7"/>
  <c r="H1599" i="7"/>
  <c r="H1598" i="7"/>
  <c r="H1597" i="7"/>
  <c r="H1596" i="7"/>
  <c r="H1595" i="7"/>
  <c r="H1594" i="7"/>
  <c r="H1593" i="7"/>
  <c r="H1592" i="7"/>
  <c r="H1591" i="7"/>
  <c r="H1590" i="7"/>
  <c r="H1589" i="7"/>
  <c r="H1588" i="7"/>
  <c r="H1587" i="7"/>
  <c r="H1586" i="7"/>
  <c r="H1585" i="7"/>
  <c r="H1584" i="7"/>
  <c r="H1583" i="7"/>
  <c r="H1582" i="7"/>
  <c r="H1581" i="7"/>
  <c r="H1580" i="7"/>
  <c r="H1579" i="7"/>
  <c r="H1578" i="7"/>
  <c r="H1577" i="7"/>
  <c r="H1576" i="7"/>
  <c r="H1575" i="7"/>
  <c r="H1574" i="7"/>
  <c r="H1573" i="7"/>
  <c r="H1572" i="7"/>
  <c r="G1571" i="7"/>
  <c r="H1571" i="7" s="1"/>
  <c r="H1570" i="7"/>
  <c r="H1569" i="7"/>
  <c r="G1568" i="7"/>
  <c r="H1568" i="7" s="1"/>
  <c r="H1567" i="7"/>
  <c r="H1566" i="7"/>
  <c r="H1565" i="7"/>
  <c r="H1564" i="7"/>
  <c r="H1563" i="7"/>
  <c r="H1562" i="7"/>
  <c r="H1561" i="7"/>
  <c r="H1560" i="7"/>
  <c r="H1559" i="7"/>
  <c r="H1558" i="7"/>
  <c r="H1557" i="7"/>
  <c r="H1556" i="7"/>
  <c r="H1555" i="7"/>
  <c r="H1554" i="7"/>
  <c r="H1553" i="7"/>
  <c r="H1552" i="7"/>
  <c r="H1551" i="7"/>
  <c r="H1550" i="7"/>
  <c r="G1549" i="7"/>
  <c r="H1549" i="7" s="1"/>
  <c r="G1548" i="7"/>
  <c r="H1548" i="7" s="1"/>
  <c r="H1547" i="7"/>
  <c r="H1546" i="7"/>
  <c r="H1545" i="7"/>
  <c r="H1544" i="7"/>
  <c r="H1543" i="7"/>
  <c r="G1543" i="7"/>
  <c r="H1542" i="7"/>
  <c r="H1541" i="7"/>
  <c r="H1540" i="7"/>
  <c r="H1539" i="7"/>
  <c r="H1538" i="7"/>
  <c r="H1537" i="7"/>
  <c r="H1536" i="7"/>
  <c r="H1535" i="7"/>
  <c r="H1534" i="7"/>
  <c r="H1533" i="7"/>
  <c r="H1532" i="7"/>
  <c r="G1532" i="7"/>
  <c r="H1531" i="7"/>
  <c r="H1530" i="7"/>
  <c r="H1529" i="7"/>
  <c r="G1528" i="7"/>
  <c r="H1528" i="7" s="1"/>
  <c r="H1527" i="7"/>
  <c r="H1526" i="7"/>
  <c r="H1525" i="7"/>
  <c r="H1524" i="7"/>
  <c r="H1523" i="7"/>
  <c r="H1522" i="7"/>
  <c r="H1521" i="7"/>
  <c r="H1520" i="7"/>
  <c r="H1519" i="7"/>
  <c r="H1518" i="7"/>
  <c r="H1517" i="7"/>
  <c r="H1516" i="7"/>
  <c r="H1515" i="7"/>
  <c r="H1514" i="7"/>
  <c r="H1513" i="7"/>
  <c r="H1512" i="7"/>
  <c r="G1511" i="7"/>
  <c r="H1511" i="7" s="1"/>
  <c r="H1510" i="7"/>
  <c r="H1509" i="7"/>
  <c r="H1508" i="7"/>
  <c r="H1507" i="7"/>
  <c r="H1506" i="7"/>
  <c r="H1505" i="7"/>
  <c r="H1504" i="7"/>
  <c r="H1503" i="7"/>
  <c r="H1502" i="7"/>
  <c r="H1501" i="7"/>
  <c r="H1500" i="7"/>
  <c r="H1499" i="7"/>
  <c r="H1498" i="7"/>
  <c r="H1497" i="7"/>
  <c r="H1496" i="7"/>
  <c r="H1495" i="7"/>
  <c r="H1494" i="7"/>
  <c r="H1493" i="7"/>
  <c r="H1492" i="7"/>
  <c r="H1491" i="7"/>
  <c r="H1490" i="7"/>
  <c r="H1489" i="7"/>
  <c r="H1488" i="7"/>
  <c r="H1487" i="7"/>
  <c r="H1486" i="7"/>
  <c r="H1485" i="7"/>
  <c r="H1484" i="7"/>
  <c r="H1483" i="7"/>
  <c r="H1482" i="7"/>
  <c r="H1481" i="7"/>
  <c r="H1480" i="7"/>
  <c r="H1479" i="7"/>
  <c r="H1478" i="7"/>
  <c r="H1477" i="7"/>
  <c r="H1476" i="7"/>
  <c r="H1475" i="7"/>
  <c r="H1474" i="7"/>
  <c r="H1473" i="7"/>
  <c r="H1472" i="7"/>
  <c r="H1471" i="7"/>
  <c r="H1470" i="7"/>
  <c r="H1469" i="7"/>
  <c r="H1468" i="7"/>
  <c r="H1467" i="7"/>
  <c r="H1466" i="7"/>
  <c r="H1465" i="7"/>
  <c r="H1464" i="7"/>
  <c r="H1463" i="7"/>
  <c r="H1462" i="7"/>
  <c r="H1461" i="7"/>
  <c r="H1460" i="7"/>
  <c r="H1459" i="7"/>
  <c r="H1458" i="7"/>
  <c r="H1457" i="7"/>
  <c r="H1456" i="7"/>
  <c r="H1455" i="7"/>
  <c r="H1454" i="7"/>
  <c r="H1453" i="7"/>
  <c r="H1452" i="7"/>
  <c r="H1451" i="7"/>
  <c r="H1450" i="7"/>
  <c r="H1449" i="7"/>
  <c r="H1448" i="7"/>
  <c r="H1447" i="7"/>
  <c r="H1446" i="7"/>
  <c r="H1445" i="7"/>
  <c r="H1444" i="7"/>
  <c r="H1443" i="7"/>
  <c r="H1442" i="7"/>
  <c r="H1441" i="7"/>
  <c r="H1440" i="7"/>
  <c r="H1439" i="7"/>
  <c r="H1438" i="7"/>
  <c r="H1437" i="7"/>
  <c r="H1436" i="7"/>
  <c r="H1435" i="7"/>
  <c r="H1434" i="7"/>
  <c r="H1433" i="7"/>
  <c r="H1432" i="7"/>
  <c r="H1431" i="7"/>
  <c r="G1430" i="7"/>
  <c r="H1430" i="7" s="1"/>
  <c r="H1429" i="7"/>
  <c r="H1428" i="7"/>
  <c r="H1427" i="7"/>
  <c r="H1426" i="7"/>
  <c r="H1425" i="7"/>
  <c r="H1424" i="7"/>
  <c r="G1423" i="7"/>
  <c r="H1423" i="7" s="1"/>
  <c r="H1422" i="7"/>
  <c r="H1421" i="7"/>
  <c r="H1420" i="7"/>
  <c r="H1419" i="7"/>
  <c r="H1418" i="7"/>
  <c r="H1417" i="7"/>
  <c r="G1416" i="7"/>
  <c r="H1416" i="7" s="1"/>
  <c r="H1415" i="7"/>
  <c r="H1414" i="7"/>
  <c r="H1413" i="7"/>
  <c r="H1412" i="7"/>
  <c r="H1411" i="7"/>
  <c r="H1410" i="7"/>
  <c r="H1409" i="7"/>
  <c r="H1408" i="7"/>
  <c r="H1407" i="7"/>
  <c r="H1406" i="7"/>
  <c r="H1405" i="7"/>
  <c r="H1404" i="7"/>
  <c r="H1403" i="7"/>
  <c r="H1402" i="7"/>
  <c r="H1401" i="7"/>
  <c r="H1400" i="7"/>
  <c r="H1399" i="7"/>
  <c r="H1398" i="7"/>
  <c r="H1397" i="7"/>
  <c r="H1396" i="7"/>
  <c r="H1395" i="7"/>
  <c r="H1394" i="7"/>
  <c r="H1393" i="7"/>
  <c r="H1392" i="7"/>
  <c r="H1391" i="7"/>
  <c r="H1390" i="7"/>
  <c r="H1389" i="7"/>
  <c r="H1388" i="7"/>
  <c r="H1387" i="7"/>
  <c r="H1386" i="7"/>
  <c r="H1385" i="7"/>
  <c r="H1384" i="7"/>
  <c r="H1383" i="7"/>
  <c r="H1382" i="7"/>
  <c r="H1381" i="7"/>
  <c r="H1380" i="7"/>
  <c r="H1379" i="7"/>
  <c r="H1378" i="7"/>
  <c r="G1378" i="7"/>
  <c r="H1377" i="7"/>
  <c r="H1376" i="7"/>
  <c r="H1375" i="7"/>
  <c r="H1374" i="7"/>
  <c r="H1373" i="7"/>
  <c r="H1372" i="7"/>
  <c r="H1371" i="7"/>
  <c r="H1370" i="7"/>
  <c r="H1369" i="7"/>
  <c r="H1368" i="7"/>
  <c r="H1367" i="7"/>
  <c r="H1366" i="7"/>
  <c r="H1365" i="7"/>
  <c r="H1364" i="7"/>
  <c r="H1363" i="7"/>
  <c r="H1362" i="7"/>
  <c r="H1361" i="7"/>
  <c r="H1360" i="7"/>
  <c r="H1359" i="7"/>
  <c r="H1358" i="7"/>
  <c r="H1357" i="7"/>
  <c r="H1356" i="7"/>
  <c r="H1355" i="7"/>
  <c r="H1354" i="7"/>
  <c r="H1353" i="7"/>
  <c r="H1352" i="7"/>
  <c r="H1351" i="7"/>
  <c r="H1350" i="7"/>
  <c r="H1349" i="7"/>
  <c r="H1348" i="7"/>
  <c r="H1347" i="7"/>
  <c r="H1346" i="7"/>
  <c r="G1345" i="7"/>
  <c r="H1345" i="7" s="1"/>
  <c r="H1344" i="7"/>
  <c r="H1343" i="7"/>
  <c r="H1342" i="7"/>
  <c r="H1341" i="7"/>
  <c r="H1340" i="7"/>
  <c r="H1339" i="7"/>
  <c r="H1338" i="7"/>
  <c r="H1337" i="7"/>
  <c r="H1336" i="7"/>
  <c r="H1335" i="7"/>
  <c r="H1334" i="7"/>
  <c r="H1333" i="7"/>
  <c r="H1332" i="7"/>
  <c r="H1331" i="7"/>
  <c r="H1330" i="7"/>
  <c r="H1329" i="7"/>
  <c r="H1328" i="7"/>
  <c r="H1327" i="7"/>
  <c r="H1326" i="7"/>
  <c r="H1325" i="7"/>
  <c r="G1324" i="7"/>
  <c r="H1324" i="7" s="1"/>
  <c r="H1323" i="7"/>
  <c r="H1322" i="7"/>
  <c r="H1321" i="7"/>
  <c r="H1320" i="7"/>
  <c r="H1319" i="7"/>
  <c r="H1318" i="7"/>
  <c r="H1317" i="7"/>
  <c r="H1316" i="7"/>
  <c r="H1315" i="7"/>
  <c r="H1314" i="7"/>
  <c r="H1313" i="7"/>
  <c r="H1312" i="7"/>
  <c r="H1311" i="7"/>
  <c r="G1310" i="7"/>
  <c r="H1310" i="7" s="1"/>
  <c r="H1309" i="7"/>
  <c r="H1308" i="7"/>
  <c r="H1307" i="7"/>
  <c r="H1306" i="7"/>
  <c r="H1305" i="7"/>
  <c r="H1304" i="7"/>
  <c r="H1303" i="7"/>
  <c r="H1302" i="7"/>
  <c r="H1301" i="7"/>
  <c r="H1300" i="7"/>
  <c r="H1299" i="7"/>
  <c r="H1298" i="7"/>
  <c r="H1297" i="7"/>
  <c r="G1297" i="7"/>
  <c r="H1296" i="7"/>
  <c r="H1295" i="7"/>
  <c r="H1294" i="7"/>
  <c r="H1293" i="7"/>
  <c r="H1292" i="7"/>
  <c r="H1291" i="7"/>
  <c r="H1290" i="7"/>
  <c r="H1289" i="7"/>
  <c r="G1288" i="7"/>
  <c r="H1288" i="7" s="1"/>
  <c r="H1287" i="7"/>
  <c r="H1286" i="7"/>
  <c r="H1285" i="7"/>
  <c r="H1284" i="7"/>
  <c r="H1283" i="7"/>
  <c r="H1282" i="7"/>
  <c r="H1281" i="7"/>
  <c r="H1280" i="7"/>
  <c r="H1279" i="7"/>
  <c r="H1278" i="7"/>
  <c r="H1277" i="7"/>
  <c r="H1276" i="7"/>
  <c r="H1275" i="7"/>
  <c r="H1274" i="7"/>
  <c r="H1273" i="7"/>
  <c r="H1272" i="7"/>
  <c r="H1271" i="7"/>
  <c r="H1270" i="7"/>
  <c r="H1269" i="7"/>
  <c r="H1268" i="7"/>
  <c r="H1267" i="7"/>
  <c r="H1266" i="7"/>
  <c r="H1265" i="7"/>
  <c r="H1264" i="7"/>
  <c r="H1263" i="7"/>
  <c r="H1262" i="7"/>
  <c r="H1261" i="7"/>
  <c r="H1260" i="7"/>
  <c r="H1259" i="7"/>
  <c r="H1258" i="7"/>
  <c r="H1257" i="7"/>
  <c r="H1256" i="7"/>
  <c r="H1255" i="7"/>
  <c r="H1254" i="7"/>
  <c r="H1253" i="7"/>
  <c r="H1252" i="7"/>
  <c r="H1251" i="7"/>
  <c r="H1250" i="7"/>
  <c r="H1249" i="7"/>
  <c r="H1248" i="7"/>
  <c r="H1247" i="7"/>
  <c r="H1246" i="7"/>
  <c r="H1245" i="7"/>
  <c r="H1244" i="7"/>
  <c r="H1243" i="7"/>
  <c r="H1242" i="7"/>
  <c r="H1241" i="7"/>
  <c r="H1240" i="7"/>
  <c r="H1239" i="7"/>
  <c r="H1238" i="7"/>
  <c r="H1237" i="7"/>
  <c r="H1236" i="7"/>
  <c r="H1235" i="7"/>
  <c r="H1234" i="7"/>
  <c r="H1233" i="7"/>
  <c r="H1232" i="7"/>
  <c r="H1231" i="7"/>
  <c r="H1230" i="7"/>
  <c r="H1229" i="7"/>
  <c r="H1228" i="7"/>
  <c r="H1227" i="7"/>
  <c r="H1226" i="7"/>
  <c r="H1225" i="7"/>
  <c r="H1224" i="7"/>
  <c r="H1223" i="7"/>
  <c r="H1222" i="7"/>
  <c r="H1221" i="7"/>
  <c r="H1220" i="7"/>
  <c r="H1219" i="7"/>
  <c r="H1218" i="7"/>
  <c r="H1217" i="7"/>
  <c r="H1216" i="7"/>
  <c r="H1215" i="7"/>
  <c r="H1214" i="7"/>
  <c r="H1213" i="7"/>
  <c r="H1212" i="7"/>
  <c r="H1211" i="7"/>
  <c r="H1210" i="7"/>
  <c r="H1209" i="7"/>
  <c r="H1208" i="7"/>
  <c r="H1207" i="7"/>
  <c r="H1206" i="7"/>
  <c r="H1205" i="7"/>
  <c r="H1204" i="7"/>
  <c r="H1203" i="7"/>
  <c r="H1202" i="7"/>
  <c r="H1201" i="7"/>
  <c r="H1200" i="7"/>
  <c r="H1199" i="7"/>
  <c r="H1198" i="7"/>
  <c r="H1197" i="7"/>
  <c r="H1196" i="7"/>
  <c r="H1195" i="7"/>
  <c r="H1194" i="7"/>
  <c r="H1193" i="7"/>
  <c r="H1192" i="7"/>
  <c r="H1191" i="7"/>
  <c r="H1190" i="7"/>
  <c r="H1189" i="7"/>
  <c r="G1188" i="7"/>
  <c r="H1188" i="7" s="1"/>
  <c r="H1187" i="7"/>
  <c r="H1186" i="7"/>
  <c r="H1185" i="7"/>
  <c r="H1184" i="7"/>
  <c r="H1183" i="7"/>
  <c r="H1182" i="7"/>
  <c r="H1181" i="7"/>
  <c r="H1180" i="7"/>
  <c r="H1179" i="7"/>
  <c r="H1178" i="7"/>
  <c r="H1177" i="7"/>
  <c r="H1176" i="7"/>
  <c r="H1175" i="7"/>
  <c r="H1174" i="7"/>
  <c r="H1173" i="7"/>
  <c r="H1172" i="7"/>
  <c r="H1171" i="7"/>
  <c r="H1170" i="7"/>
  <c r="H1169" i="7"/>
  <c r="H1168" i="7"/>
  <c r="H1167" i="7"/>
  <c r="H1166" i="7"/>
  <c r="H1165" i="7"/>
  <c r="H1164" i="7"/>
  <c r="H1163" i="7"/>
  <c r="G1162" i="7"/>
  <c r="H1162" i="7" s="1"/>
  <c r="H1161" i="7"/>
  <c r="H1160" i="7"/>
  <c r="H1159" i="7"/>
  <c r="H1158" i="7"/>
  <c r="H1157" i="7"/>
  <c r="H1156" i="7"/>
  <c r="H1155" i="7"/>
  <c r="H1154" i="7"/>
  <c r="H1153" i="7"/>
  <c r="H1152" i="7"/>
  <c r="H1151" i="7"/>
  <c r="H1150" i="7"/>
  <c r="H1149" i="7"/>
  <c r="H1148" i="7"/>
  <c r="H1147" i="7"/>
  <c r="H1146" i="7"/>
  <c r="H1145" i="7"/>
  <c r="H1144" i="7"/>
  <c r="H1143" i="7"/>
  <c r="H1142" i="7"/>
  <c r="H1141" i="7"/>
  <c r="H1140" i="7"/>
  <c r="H1139" i="7"/>
  <c r="H1138" i="7"/>
  <c r="H1137" i="7"/>
  <c r="H1136" i="7"/>
  <c r="H1135" i="7"/>
  <c r="H1134" i="7"/>
  <c r="H1133" i="7"/>
  <c r="H1132" i="7"/>
  <c r="H1131" i="7"/>
  <c r="H1130" i="7"/>
  <c r="H1129" i="7"/>
  <c r="H1128" i="7"/>
  <c r="H1127" i="7"/>
  <c r="H1126" i="7"/>
  <c r="H1125" i="7"/>
  <c r="H1124" i="7"/>
  <c r="H1123" i="7"/>
  <c r="H1122" i="7"/>
  <c r="H1121" i="7"/>
  <c r="H1120" i="7"/>
  <c r="H1119" i="7"/>
  <c r="H1118" i="7"/>
  <c r="H1117" i="7"/>
  <c r="H1116" i="7"/>
  <c r="H1115" i="7"/>
  <c r="H1114" i="7"/>
  <c r="H1113" i="7"/>
  <c r="H1112" i="7"/>
  <c r="H1111" i="7"/>
  <c r="H1110" i="7"/>
  <c r="H1109" i="7"/>
  <c r="H1108" i="7"/>
  <c r="H1107" i="7"/>
  <c r="H1106" i="7"/>
  <c r="H1105" i="7"/>
  <c r="H1104" i="7"/>
  <c r="H1103" i="7"/>
  <c r="H1102" i="7"/>
  <c r="H1101" i="7"/>
  <c r="H1100" i="7"/>
  <c r="H1099" i="7"/>
  <c r="H1098" i="7"/>
  <c r="H1097" i="7"/>
  <c r="H1096" i="7"/>
  <c r="H1095" i="7"/>
  <c r="H1094" i="7"/>
  <c r="G1094" i="7"/>
  <c r="H1093" i="7"/>
  <c r="H1092" i="7"/>
  <c r="H1091" i="7"/>
  <c r="G1091" i="7"/>
  <c r="H1090" i="7"/>
  <c r="H1089" i="7"/>
  <c r="H1088" i="7"/>
  <c r="H1087" i="7"/>
  <c r="H1086" i="7"/>
  <c r="G1086" i="7"/>
  <c r="H1085" i="7"/>
  <c r="H1084" i="7"/>
  <c r="H1083" i="7"/>
  <c r="H1082" i="7"/>
  <c r="H1081" i="7"/>
  <c r="H1080" i="7"/>
  <c r="H1079" i="7"/>
  <c r="H1078" i="7"/>
  <c r="H1077" i="7"/>
  <c r="H1076" i="7"/>
  <c r="H1075" i="7"/>
  <c r="H1074" i="7"/>
  <c r="H1073" i="7"/>
  <c r="G1072" i="7"/>
  <c r="H1072" i="7" s="1"/>
  <c r="H1071" i="7"/>
  <c r="H1070" i="7"/>
  <c r="H1069" i="7"/>
  <c r="H1068" i="7"/>
  <c r="H1067" i="7"/>
  <c r="H1066" i="7"/>
  <c r="H1065" i="7"/>
  <c r="H1064" i="7"/>
  <c r="H1063" i="7"/>
  <c r="H1062" i="7"/>
  <c r="H1061" i="7"/>
  <c r="H1060" i="7"/>
  <c r="H1059" i="7"/>
  <c r="H1058" i="7"/>
  <c r="H1057" i="7"/>
  <c r="H1056" i="7"/>
  <c r="H1055" i="7"/>
  <c r="H1054" i="7"/>
  <c r="H1053" i="7"/>
  <c r="H1052" i="7"/>
  <c r="H1051" i="7"/>
  <c r="H1050" i="7"/>
  <c r="H1049" i="7"/>
  <c r="H1048" i="7"/>
  <c r="H1047" i="7"/>
  <c r="H1046" i="7"/>
  <c r="H1045" i="7"/>
  <c r="H1044" i="7"/>
  <c r="H1043" i="7"/>
  <c r="H1042" i="7"/>
  <c r="H1041" i="7"/>
  <c r="H1040" i="7"/>
  <c r="H1039" i="7"/>
  <c r="H1038" i="7"/>
  <c r="H1037" i="7"/>
  <c r="H1036" i="7"/>
  <c r="G1035" i="7"/>
  <c r="H1035" i="7" s="1"/>
  <c r="H1034" i="7"/>
  <c r="H1033" i="7"/>
  <c r="H1032" i="7"/>
  <c r="H1031" i="7"/>
  <c r="H1030" i="7"/>
  <c r="H1029" i="7"/>
  <c r="H1028" i="7"/>
  <c r="H1027" i="7"/>
  <c r="H1026" i="7"/>
  <c r="H1025" i="7"/>
  <c r="H1024" i="7"/>
  <c r="H1023" i="7"/>
  <c r="H1022" i="7"/>
  <c r="H1021" i="7"/>
  <c r="H1020" i="7"/>
  <c r="H1019" i="7"/>
  <c r="H1018" i="7"/>
  <c r="H1017" i="7"/>
  <c r="H1016" i="7"/>
  <c r="H1015" i="7"/>
  <c r="H1014" i="7"/>
  <c r="H1013" i="7"/>
  <c r="H1012" i="7"/>
  <c r="H1011" i="7"/>
  <c r="H1010" i="7"/>
  <c r="H1009" i="7"/>
  <c r="H1008" i="7"/>
  <c r="H1007" i="7"/>
  <c r="H1006" i="7"/>
  <c r="H1005" i="7"/>
  <c r="H1004" i="7"/>
  <c r="H1003" i="7"/>
  <c r="H1002" i="7"/>
  <c r="H1001" i="7"/>
  <c r="H1000" i="7"/>
  <c r="H999" i="7"/>
  <c r="H998" i="7"/>
  <c r="H997" i="7"/>
  <c r="H996" i="7"/>
  <c r="H995" i="7"/>
  <c r="H994" i="7"/>
  <c r="H993" i="7"/>
  <c r="G992" i="7"/>
  <c r="H992" i="7" s="1"/>
  <c r="H991" i="7"/>
  <c r="H990" i="7"/>
  <c r="H989" i="7"/>
  <c r="H988" i="7"/>
  <c r="H987" i="7"/>
  <c r="H986" i="7"/>
  <c r="H985" i="7"/>
  <c r="H984" i="7"/>
  <c r="H983" i="7"/>
  <c r="H982" i="7"/>
  <c r="H981" i="7"/>
  <c r="H980" i="7"/>
  <c r="H979" i="7"/>
  <c r="H978" i="7"/>
  <c r="H977" i="7"/>
  <c r="H976" i="7"/>
  <c r="H975" i="7"/>
  <c r="H974" i="7"/>
  <c r="H973" i="7"/>
  <c r="H972" i="7"/>
  <c r="H971" i="7"/>
  <c r="H970" i="7"/>
  <c r="H969" i="7"/>
  <c r="H968" i="7"/>
  <c r="H967" i="7"/>
  <c r="H966" i="7"/>
  <c r="H965" i="7"/>
  <c r="H964" i="7"/>
  <c r="H963" i="7"/>
  <c r="H962" i="7"/>
  <c r="H961" i="7"/>
  <c r="H960" i="7"/>
  <c r="H959" i="7"/>
  <c r="H958" i="7"/>
  <c r="H957" i="7"/>
  <c r="H956" i="7"/>
  <c r="H955" i="7"/>
  <c r="H954" i="7"/>
  <c r="H953" i="7"/>
  <c r="H952" i="7"/>
  <c r="H951" i="7"/>
  <c r="H950" i="7"/>
  <c r="H949" i="7"/>
  <c r="H948" i="7"/>
  <c r="H947" i="7"/>
  <c r="H946" i="7"/>
  <c r="H945" i="7"/>
  <c r="H944" i="7"/>
  <c r="H943" i="7"/>
  <c r="G943" i="7"/>
  <c r="H942" i="7"/>
  <c r="H941" i="7"/>
  <c r="H940" i="7"/>
  <c r="H939" i="7"/>
  <c r="H938" i="7"/>
  <c r="H937" i="7"/>
  <c r="H936" i="7"/>
  <c r="H935" i="7"/>
  <c r="H934" i="7"/>
  <c r="H933" i="7"/>
  <c r="G933" i="7"/>
  <c r="H932" i="7"/>
  <c r="H931" i="7"/>
  <c r="H930" i="7"/>
  <c r="G930" i="7"/>
  <c r="H929" i="7"/>
  <c r="H928" i="7"/>
  <c r="H927" i="7"/>
  <c r="H926" i="7"/>
  <c r="G926" i="7"/>
  <c r="H925" i="7"/>
  <c r="H924" i="7"/>
  <c r="H923" i="7"/>
  <c r="H922" i="7"/>
  <c r="H921" i="7"/>
  <c r="H920" i="7"/>
  <c r="H919" i="7"/>
  <c r="H918" i="7"/>
  <c r="H917" i="7"/>
  <c r="H916" i="7"/>
  <c r="H915" i="7"/>
  <c r="H914" i="7"/>
  <c r="H913" i="7"/>
  <c r="H912" i="7"/>
  <c r="H911" i="7"/>
  <c r="G911" i="7"/>
  <c r="G910" i="7"/>
  <c r="H910" i="7" s="1"/>
  <c r="H909" i="7"/>
  <c r="H908" i="7"/>
  <c r="H907" i="7"/>
  <c r="H906" i="7"/>
  <c r="H905" i="7"/>
  <c r="G904" i="7"/>
  <c r="H904" i="7" s="1"/>
  <c r="H903" i="7"/>
  <c r="H902" i="7"/>
  <c r="H901" i="7"/>
  <c r="H900" i="7"/>
  <c r="H899" i="7"/>
  <c r="H898" i="7"/>
  <c r="H897" i="7"/>
  <c r="H896" i="7"/>
  <c r="H895" i="7"/>
  <c r="H894" i="7"/>
  <c r="H893" i="7"/>
  <c r="H892" i="7"/>
  <c r="H891" i="7"/>
  <c r="H890" i="7"/>
  <c r="H889" i="7"/>
  <c r="H888" i="7"/>
  <c r="H887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G873" i="7"/>
  <c r="H873" i="7" s="1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H857" i="7"/>
  <c r="H856" i="7"/>
  <c r="H855" i="7"/>
  <c r="H854" i="7"/>
  <c r="H853" i="7"/>
  <c r="H852" i="7"/>
  <c r="H851" i="7"/>
  <c r="H850" i="7"/>
  <c r="H849" i="7"/>
  <c r="H848" i="7"/>
  <c r="H847" i="7"/>
  <c r="H846" i="7"/>
  <c r="H845" i="7"/>
  <c r="H844" i="7"/>
  <c r="H843" i="7"/>
  <c r="H842" i="7"/>
  <c r="H841" i="7"/>
  <c r="H840" i="7"/>
  <c r="H839" i="7"/>
  <c r="H838" i="7"/>
  <c r="H837" i="7"/>
  <c r="H836" i="7"/>
  <c r="H835" i="7"/>
  <c r="H834" i="7"/>
  <c r="H833" i="7"/>
  <c r="H832" i="7"/>
  <c r="H831" i="7"/>
  <c r="H830" i="7"/>
  <c r="H829" i="7"/>
  <c r="H828" i="7"/>
  <c r="H827" i="7"/>
  <c r="H826" i="7"/>
  <c r="H825" i="7"/>
  <c r="H824" i="7"/>
  <c r="H823" i="7"/>
  <c r="H822" i="7"/>
  <c r="H821" i="7"/>
  <c r="H820" i="7"/>
  <c r="H819" i="7"/>
  <c r="H818" i="7"/>
  <c r="H817" i="7"/>
  <c r="H816" i="7"/>
  <c r="H815" i="7"/>
  <c r="H814" i="7"/>
  <c r="H813" i="7"/>
  <c r="H812" i="7"/>
  <c r="H811" i="7"/>
  <c r="H810" i="7"/>
  <c r="H809" i="7"/>
  <c r="H808" i="7"/>
  <c r="H807" i="7"/>
  <c r="H806" i="7"/>
  <c r="H805" i="7"/>
  <c r="H804" i="7"/>
  <c r="G804" i="7"/>
  <c r="H803" i="7"/>
  <c r="G802" i="7"/>
  <c r="H802" i="7" s="1"/>
  <c r="H801" i="7"/>
  <c r="H800" i="7"/>
  <c r="H799" i="7"/>
  <c r="H798" i="7"/>
  <c r="H797" i="7"/>
  <c r="H796" i="7"/>
  <c r="H795" i="7"/>
  <c r="H794" i="7"/>
  <c r="H793" i="7"/>
  <c r="H792" i="7"/>
  <c r="H791" i="7"/>
  <c r="H790" i="7"/>
  <c r="H789" i="7"/>
  <c r="H788" i="7"/>
  <c r="H787" i="7"/>
  <c r="H786" i="7"/>
  <c r="G786" i="7"/>
  <c r="H785" i="7"/>
  <c r="H784" i="7"/>
  <c r="H783" i="7"/>
  <c r="H782" i="7"/>
  <c r="H781" i="7"/>
  <c r="H780" i="7"/>
  <c r="H779" i="7"/>
  <c r="H778" i="7"/>
  <c r="H777" i="7"/>
  <c r="H776" i="7"/>
  <c r="H775" i="7"/>
  <c r="H774" i="7"/>
  <c r="H773" i="7"/>
  <c r="H772" i="7"/>
  <c r="H771" i="7"/>
  <c r="H770" i="7"/>
  <c r="H769" i="7"/>
  <c r="H768" i="7"/>
  <c r="H767" i="7"/>
  <c r="H766" i="7"/>
  <c r="H765" i="7"/>
  <c r="H764" i="7"/>
  <c r="H763" i="7"/>
  <c r="H762" i="7"/>
  <c r="H761" i="7"/>
  <c r="H760" i="7"/>
  <c r="H759" i="7"/>
  <c r="H758" i="7"/>
  <c r="H757" i="7"/>
  <c r="H756" i="7"/>
  <c r="H755" i="7"/>
  <c r="H754" i="7"/>
  <c r="H753" i="7"/>
  <c r="H752" i="7"/>
  <c r="H751" i="7"/>
  <c r="H750" i="7"/>
  <c r="H749" i="7"/>
  <c r="H748" i="7"/>
  <c r="H747" i="7"/>
  <c r="H746" i="7"/>
  <c r="H745" i="7"/>
  <c r="H744" i="7"/>
  <c r="H743" i="7"/>
  <c r="H742" i="7"/>
  <c r="H741" i="7"/>
  <c r="H740" i="7"/>
  <c r="H739" i="7"/>
  <c r="H738" i="7"/>
  <c r="H737" i="7"/>
  <c r="H736" i="7"/>
  <c r="H735" i="7"/>
  <c r="H734" i="7"/>
  <c r="H733" i="7"/>
  <c r="H732" i="7"/>
  <c r="H731" i="7"/>
  <c r="H730" i="7"/>
  <c r="H729" i="7"/>
  <c r="H728" i="7"/>
  <c r="H727" i="7"/>
  <c r="H726" i="7"/>
  <c r="H725" i="7"/>
  <c r="H724" i="7"/>
  <c r="H723" i="7"/>
  <c r="H722" i="7"/>
  <c r="H721" i="7"/>
  <c r="H720" i="7"/>
  <c r="H719" i="7"/>
  <c r="H718" i="7"/>
  <c r="H717" i="7"/>
  <c r="H716" i="7"/>
  <c r="H715" i="7"/>
  <c r="H714" i="7"/>
  <c r="H713" i="7"/>
  <c r="H712" i="7"/>
  <c r="H711" i="7"/>
  <c r="H710" i="7"/>
  <c r="H709" i="7"/>
  <c r="H708" i="7"/>
  <c r="H707" i="7"/>
  <c r="H706" i="7"/>
  <c r="H705" i="7"/>
  <c r="H704" i="7"/>
  <c r="H703" i="7"/>
  <c r="H702" i="7"/>
  <c r="H701" i="7"/>
  <c r="H700" i="7"/>
  <c r="H699" i="7"/>
  <c r="H698" i="7"/>
  <c r="H697" i="7"/>
  <c r="H696" i="7"/>
  <c r="H695" i="7"/>
  <c r="H694" i="7"/>
  <c r="H693" i="7"/>
  <c r="H692" i="7"/>
  <c r="H691" i="7"/>
  <c r="H690" i="7"/>
  <c r="H689" i="7"/>
  <c r="H688" i="7"/>
  <c r="H687" i="7"/>
  <c r="H686" i="7"/>
  <c r="H685" i="7"/>
  <c r="H684" i="7"/>
  <c r="H683" i="7"/>
  <c r="H682" i="7"/>
  <c r="H681" i="7"/>
  <c r="H680" i="7"/>
  <c r="H679" i="7"/>
  <c r="H678" i="7"/>
  <c r="H677" i="7"/>
  <c r="H676" i="7"/>
  <c r="H675" i="7"/>
  <c r="H674" i="7"/>
  <c r="H673" i="7"/>
  <c r="H672" i="7"/>
  <c r="H671" i="7"/>
  <c r="H670" i="7"/>
  <c r="G669" i="7"/>
  <c r="H669" i="7" s="1"/>
  <c r="H668" i="7"/>
  <c r="H667" i="7"/>
  <c r="H666" i="7"/>
  <c r="H665" i="7"/>
  <c r="H664" i="7"/>
  <c r="H663" i="7"/>
  <c r="H662" i="7"/>
  <c r="H661" i="7"/>
  <c r="H660" i="7"/>
  <c r="H659" i="7"/>
  <c r="H658" i="7"/>
  <c r="H657" i="7"/>
  <c r="H656" i="7"/>
  <c r="H655" i="7"/>
  <c r="H654" i="7"/>
  <c r="H653" i="7"/>
  <c r="H652" i="7"/>
  <c r="H651" i="7"/>
  <c r="H650" i="7"/>
  <c r="H649" i="7"/>
  <c r="H648" i="7"/>
  <c r="H647" i="7"/>
  <c r="H646" i="7"/>
  <c r="H645" i="7"/>
  <c r="H644" i="7"/>
  <c r="H643" i="7"/>
  <c r="H642" i="7"/>
  <c r="H641" i="7"/>
  <c r="H640" i="7"/>
  <c r="H639" i="7"/>
  <c r="H638" i="7"/>
  <c r="H637" i="7"/>
  <c r="H636" i="7"/>
  <c r="H635" i="7"/>
  <c r="H634" i="7"/>
  <c r="H633" i="7"/>
  <c r="H632" i="7"/>
  <c r="H631" i="7"/>
  <c r="H630" i="7"/>
  <c r="H629" i="7"/>
  <c r="H628" i="7"/>
  <c r="H627" i="7"/>
  <c r="H626" i="7"/>
  <c r="H625" i="7"/>
  <c r="H624" i="7"/>
  <c r="H623" i="7"/>
  <c r="H622" i="7"/>
  <c r="H621" i="7"/>
  <c r="H620" i="7"/>
  <c r="H619" i="7"/>
  <c r="H618" i="7"/>
  <c r="H617" i="7"/>
  <c r="H616" i="7"/>
  <c r="H615" i="7"/>
  <c r="H614" i="7"/>
  <c r="H613" i="7"/>
  <c r="H612" i="7"/>
  <c r="H611" i="7"/>
  <c r="H610" i="7"/>
  <c r="H609" i="7"/>
  <c r="H608" i="7"/>
  <c r="H607" i="7"/>
  <c r="H606" i="7"/>
  <c r="H605" i="7"/>
  <c r="H604" i="7"/>
  <c r="H603" i="7"/>
  <c r="H602" i="7"/>
  <c r="H601" i="7"/>
  <c r="H600" i="7"/>
  <c r="H599" i="7"/>
  <c r="H598" i="7"/>
  <c r="H597" i="7"/>
  <c r="H596" i="7"/>
  <c r="H595" i="7"/>
  <c r="H594" i="7"/>
  <c r="H593" i="7"/>
  <c r="H592" i="7"/>
  <c r="H591" i="7"/>
  <c r="H590" i="7"/>
  <c r="H589" i="7"/>
  <c r="H588" i="7"/>
  <c r="H587" i="7"/>
  <c r="H586" i="7"/>
  <c r="H585" i="7"/>
  <c r="H584" i="7"/>
  <c r="H583" i="7"/>
  <c r="H582" i="7"/>
  <c r="H581" i="7"/>
  <c r="H580" i="7"/>
  <c r="H579" i="7"/>
  <c r="H578" i="7"/>
  <c r="H577" i="7"/>
  <c r="H576" i="7"/>
  <c r="H575" i="7"/>
  <c r="H574" i="7"/>
  <c r="H573" i="7"/>
  <c r="H572" i="7"/>
  <c r="H571" i="7"/>
  <c r="H570" i="7"/>
  <c r="H569" i="7"/>
  <c r="H568" i="7"/>
  <c r="H567" i="7"/>
  <c r="H566" i="7"/>
  <c r="H565" i="7"/>
  <c r="H564" i="7"/>
  <c r="H563" i="7"/>
  <c r="H562" i="7"/>
  <c r="G561" i="7"/>
  <c r="H561" i="7" s="1"/>
  <c r="H560" i="7"/>
  <c r="H559" i="7"/>
  <c r="H558" i="7"/>
  <c r="H557" i="7"/>
  <c r="H556" i="7"/>
  <c r="H555" i="7"/>
  <c r="H554" i="7"/>
  <c r="H553" i="7"/>
  <c r="H552" i="7"/>
  <c r="H551" i="7"/>
  <c r="H550" i="7"/>
  <c r="H549" i="7"/>
  <c r="H548" i="7"/>
  <c r="H547" i="7"/>
  <c r="H546" i="7"/>
  <c r="H545" i="7"/>
  <c r="H544" i="7"/>
  <c r="H543" i="7"/>
  <c r="H542" i="7"/>
  <c r="H541" i="7"/>
  <c r="H540" i="7"/>
  <c r="H539" i="7"/>
  <c r="H538" i="7"/>
  <c r="H537" i="7"/>
  <c r="H536" i="7"/>
  <c r="H535" i="7"/>
  <c r="H534" i="7"/>
  <c r="H533" i="7"/>
  <c r="H532" i="7"/>
  <c r="H531" i="7"/>
  <c r="H530" i="7"/>
  <c r="H529" i="7"/>
  <c r="H528" i="7"/>
  <c r="H527" i="7"/>
  <c r="H526" i="7"/>
  <c r="H525" i="7"/>
  <c r="H524" i="7"/>
  <c r="H523" i="7"/>
  <c r="H522" i="7"/>
  <c r="H521" i="7"/>
  <c r="H520" i="7"/>
  <c r="H519" i="7"/>
  <c r="H518" i="7"/>
  <c r="H517" i="7"/>
  <c r="H516" i="7"/>
  <c r="H515" i="7"/>
  <c r="H514" i="7"/>
  <c r="H513" i="7"/>
  <c r="H512" i="7"/>
  <c r="H511" i="7"/>
  <c r="H510" i="7"/>
  <c r="H509" i="7"/>
  <c r="H508" i="7"/>
  <c r="H507" i="7"/>
  <c r="H506" i="7"/>
  <c r="H505" i="7"/>
  <c r="H504" i="7"/>
  <c r="H503" i="7"/>
  <c r="H502" i="7"/>
  <c r="H501" i="7"/>
  <c r="H500" i="7"/>
  <c r="H499" i="7"/>
  <c r="H498" i="7"/>
  <c r="H497" i="7"/>
  <c r="H496" i="7"/>
  <c r="H495" i="7"/>
  <c r="H494" i="7"/>
  <c r="H493" i="7"/>
  <c r="H492" i="7"/>
  <c r="H491" i="7"/>
  <c r="H490" i="7"/>
  <c r="H489" i="7"/>
  <c r="H488" i="7"/>
  <c r="H487" i="7"/>
  <c r="H486" i="7"/>
  <c r="H485" i="7"/>
  <c r="H484" i="7"/>
  <c r="H483" i="7"/>
  <c r="H482" i="7"/>
  <c r="H481" i="7"/>
  <c r="H480" i="7"/>
  <c r="H479" i="7"/>
  <c r="H478" i="7"/>
  <c r="H477" i="7"/>
  <c r="H476" i="7"/>
  <c r="H475" i="7"/>
  <c r="H474" i="7"/>
  <c r="H473" i="7"/>
  <c r="H472" i="7"/>
  <c r="H471" i="7"/>
  <c r="H470" i="7"/>
  <c r="H469" i="7"/>
  <c r="H468" i="7"/>
  <c r="H467" i="7"/>
  <c r="H466" i="7"/>
  <c r="H465" i="7"/>
  <c r="G465" i="7"/>
  <c r="H464" i="7"/>
  <c r="H463" i="7"/>
  <c r="H462" i="7"/>
  <c r="H461" i="7"/>
  <c r="H460" i="7"/>
  <c r="H459" i="7"/>
  <c r="H458" i="7"/>
  <c r="H457" i="7"/>
  <c r="H456" i="7"/>
  <c r="H455" i="7"/>
  <c r="H454" i="7"/>
  <c r="H453" i="7"/>
  <c r="H452" i="7"/>
  <c r="H451" i="7"/>
  <c r="H450" i="7"/>
  <c r="H449" i="7"/>
  <c r="H448" i="7"/>
  <c r="H447" i="7"/>
  <c r="H446" i="7"/>
  <c r="H445" i="7"/>
  <c r="H444" i="7"/>
  <c r="H443" i="7"/>
  <c r="H442" i="7"/>
  <c r="H441" i="7"/>
  <c r="H440" i="7"/>
  <c r="H439" i="7"/>
  <c r="H438" i="7"/>
  <c r="H437" i="7"/>
  <c r="H436" i="7"/>
  <c r="H435" i="7"/>
  <c r="H434" i="7"/>
  <c r="H433" i="7"/>
  <c r="H432" i="7"/>
  <c r="H431" i="7"/>
  <c r="H430" i="7"/>
  <c r="H429" i="7"/>
  <c r="H428" i="7"/>
  <c r="H427" i="7"/>
  <c r="H426" i="7"/>
  <c r="H425" i="7"/>
  <c r="H424" i="7"/>
  <c r="H423" i="7"/>
  <c r="H422" i="7"/>
  <c r="H421" i="7"/>
  <c r="H420" i="7"/>
  <c r="H419" i="7"/>
  <c r="H418" i="7"/>
  <c r="H417" i="7"/>
  <c r="H416" i="7"/>
  <c r="H415" i="7"/>
  <c r="H414" i="7"/>
  <c r="H413" i="7"/>
  <c r="H412" i="7"/>
  <c r="H411" i="7"/>
  <c r="H410" i="7"/>
  <c r="H409" i="7"/>
  <c r="H408" i="7"/>
  <c r="H407" i="7"/>
  <c r="H406" i="7"/>
  <c r="H405" i="7"/>
  <c r="H404" i="7"/>
  <c r="H403" i="7"/>
  <c r="H402" i="7"/>
  <c r="G402" i="7"/>
  <c r="H401" i="7"/>
  <c r="H400" i="7"/>
  <c r="H399" i="7"/>
  <c r="G399" i="7"/>
  <c r="H398" i="7"/>
  <c r="H397" i="7"/>
  <c r="H396" i="7"/>
  <c r="H395" i="7"/>
  <c r="H394" i="7"/>
  <c r="H393" i="7"/>
  <c r="H392" i="7"/>
  <c r="H391" i="7"/>
  <c r="H390" i="7"/>
  <c r="G389" i="7"/>
  <c r="H389" i="7" s="1"/>
  <c r="H388" i="7"/>
  <c r="H387" i="7"/>
  <c r="H386" i="7"/>
  <c r="H385" i="7"/>
  <c r="H384" i="7"/>
  <c r="H383" i="7"/>
  <c r="H382" i="7"/>
  <c r="H381" i="7"/>
  <c r="H380" i="7"/>
  <c r="H379" i="7"/>
  <c r="H378" i="7"/>
  <c r="H377" i="7"/>
  <c r="G377" i="7"/>
  <c r="H376" i="7"/>
  <c r="H375" i="7"/>
  <c r="H374" i="7"/>
  <c r="H373" i="7"/>
  <c r="H372" i="7"/>
  <c r="H371" i="7"/>
  <c r="H370" i="7"/>
  <c r="H369" i="7"/>
  <c r="H368" i="7"/>
  <c r="H367" i="7"/>
  <c r="H366" i="7"/>
  <c r="H365" i="7"/>
  <c r="H364" i="7"/>
  <c r="H363" i="7"/>
  <c r="H362" i="7"/>
  <c r="H361" i="7"/>
  <c r="H360" i="7"/>
  <c r="H359" i="7"/>
  <c r="H358" i="7"/>
  <c r="H357" i="7"/>
  <c r="H356" i="7"/>
  <c r="H355" i="7"/>
  <c r="H354" i="7"/>
  <c r="H353" i="7"/>
  <c r="H352" i="7"/>
  <c r="H351" i="7"/>
  <c r="H350" i="7"/>
  <c r="H349" i="7"/>
  <c r="H348" i="7"/>
  <c r="H347" i="7"/>
  <c r="H346" i="7"/>
  <c r="H345" i="7"/>
  <c r="H344" i="7"/>
  <c r="H343" i="7"/>
  <c r="H342" i="7"/>
  <c r="H341" i="7"/>
  <c r="H340" i="7"/>
  <c r="H339" i="7"/>
  <c r="H338" i="7"/>
  <c r="H337" i="7"/>
  <c r="H336" i="7"/>
  <c r="H335" i="7"/>
  <c r="H334" i="7"/>
  <c r="H333" i="7"/>
  <c r="H332" i="7"/>
  <c r="H331" i="7"/>
  <c r="H330" i="7"/>
  <c r="H329" i="7"/>
  <c r="H328" i="7"/>
  <c r="H327" i="7"/>
  <c r="H326" i="7"/>
  <c r="H325" i="7"/>
  <c r="H324" i="7"/>
  <c r="H323" i="7"/>
  <c r="H322" i="7"/>
  <c r="H321" i="7"/>
  <c r="H320" i="7"/>
  <c r="H319" i="7"/>
  <c r="H318" i="7"/>
  <c r="H317" i="7"/>
  <c r="H316" i="7"/>
  <c r="H315" i="7"/>
  <c r="H314" i="7"/>
  <c r="H313" i="7"/>
  <c r="G312" i="7"/>
  <c r="H312" i="7" s="1"/>
  <c r="H311" i="7"/>
  <c r="H310" i="7"/>
  <c r="H309" i="7"/>
  <c r="H308" i="7"/>
  <c r="H307" i="7"/>
  <c r="H306" i="7"/>
  <c r="H305" i="7"/>
  <c r="H304" i="7"/>
  <c r="H303" i="7"/>
  <c r="H302" i="7"/>
  <c r="H301" i="7"/>
  <c r="H300" i="7"/>
  <c r="H299" i="7"/>
  <c r="H298" i="7"/>
  <c r="H297" i="7"/>
  <c r="H296" i="7"/>
  <c r="H295" i="7"/>
  <c r="H294" i="7"/>
  <c r="H293" i="7"/>
  <c r="H292" i="7"/>
  <c r="H291" i="7"/>
  <c r="H290" i="7"/>
  <c r="H289" i="7"/>
  <c r="H288" i="7"/>
  <c r="H287" i="7"/>
  <c r="H286" i="7"/>
  <c r="H285" i="7"/>
  <c r="H284" i="7"/>
  <c r="H283" i="7"/>
  <c r="H282" i="7"/>
  <c r="H281" i="7"/>
  <c r="H280" i="7"/>
  <c r="H279" i="7"/>
  <c r="H278" i="7"/>
  <c r="H277" i="7"/>
  <c r="H276" i="7"/>
  <c r="H275" i="7"/>
  <c r="H274" i="7"/>
  <c r="H273" i="7"/>
  <c r="H272" i="7"/>
  <c r="H271" i="7"/>
  <c r="H270" i="7"/>
  <c r="H269" i="7"/>
  <c r="H268" i="7"/>
  <c r="H267" i="7"/>
  <c r="H266" i="7"/>
  <c r="H265" i="7"/>
  <c r="H264" i="7"/>
  <c r="H263" i="7"/>
  <c r="H262" i="7"/>
  <c r="H261" i="7"/>
  <c r="H260" i="7"/>
  <c r="H259" i="7"/>
  <c r="H258" i="7"/>
  <c r="H257" i="7"/>
  <c r="H256" i="7"/>
  <c r="H255" i="7"/>
  <c r="H254" i="7"/>
  <c r="H253" i="7"/>
  <c r="H252" i="7"/>
  <c r="H251" i="7"/>
  <c r="H250" i="7"/>
  <c r="H249" i="7"/>
  <c r="H248" i="7"/>
  <c r="H247" i="7"/>
  <c r="H246" i="7"/>
  <c r="H245" i="7"/>
  <c r="H244" i="7"/>
  <c r="H243" i="7"/>
  <c r="H242" i="7"/>
  <c r="H241" i="7"/>
  <c r="H240" i="7"/>
  <c r="H239" i="7"/>
  <c r="H238" i="7"/>
  <c r="H237" i="7"/>
  <c r="H236" i="7"/>
  <c r="H235" i="7"/>
  <c r="H234" i="7"/>
  <c r="H233" i="7"/>
  <c r="H232" i="7"/>
  <c r="H231" i="7"/>
  <c r="H230" i="7"/>
  <c r="H229" i="7"/>
  <c r="H228" i="7"/>
  <c r="H227" i="7"/>
  <c r="H226" i="7"/>
  <c r="H225" i="7"/>
  <c r="H224" i="7"/>
  <c r="H223" i="7"/>
  <c r="H222" i="7"/>
  <c r="H221" i="7"/>
  <c r="H220" i="7"/>
  <c r="H219" i="7"/>
  <c r="H218" i="7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G174" i="7"/>
  <c r="H174" i="7" s="1"/>
  <c r="H173" i="7"/>
  <c r="H172" i="7"/>
  <c r="H171" i="7"/>
  <c r="H170" i="7"/>
  <c r="H169" i="7"/>
  <c r="H168" i="7"/>
  <c r="H167" i="7"/>
  <c r="G166" i="7"/>
  <c r="H166" i="7" s="1"/>
  <c r="H165" i="7"/>
  <c r="H164" i="7"/>
  <c r="H163" i="7"/>
  <c r="H162" i="7"/>
  <c r="H161" i="7"/>
  <c r="H160" i="7"/>
  <c r="H159" i="7"/>
  <c r="H158" i="7"/>
  <c r="H157" i="7"/>
  <c r="H156" i="7"/>
  <c r="H155" i="7"/>
  <c r="H154" i="7"/>
  <c r="H153" i="7"/>
  <c r="G152" i="7"/>
  <c r="H152" i="7" s="1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G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G80" i="7"/>
  <c r="H80" i="7" s="1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G32" i="7"/>
  <c r="H32" i="7" s="1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G12" i="7"/>
  <c r="H11" i="7"/>
  <c r="H10" i="7"/>
  <c r="H9" i="7"/>
  <c r="H8" i="7"/>
  <c r="H7" i="7"/>
  <c r="H6" i="7"/>
  <c r="H5" i="7"/>
  <c r="H4" i="7"/>
  <c r="H3" i="7"/>
  <c r="H12" i="7" l="1"/>
  <c r="H3806" i="7" s="1"/>
  <c r="G3806" i="7"/>
  <c r="F3811" i="7" s="1"/>
  <c r="G920" i="8"/>
  <c r="G950" i="6" l="1"/>
  <c r="G3307" i="9" l="1"/>
  <c r="G3452" i="9" l="1"/>
  <c r="G2129" i="9"/>
  <c r="G2904" i="9" l="1"/>
  <c r="G2835" i="6" l="1"/>
  <c r="G2339" i="9" l="1"/>
  <c r="G3648" i="9" l="1"/>
  <c r="G3272" i="9"/>
  <c r="G3263" i="9"/>
  <c r="G3184" i="9"/>
  <c r="G3105" i="9"/>
  <c r="G3442" i="9" l="1"/>
  <c r="G3028" i="9"/>
  <c r="G3011" i="9" l="1"/>
  <c r="H3698" i="9" l="1"/>
  <c r="H3699" i="9"/>
  <c r="H3700" i="9"/>
  <c r="H3701" i="9"/>
  <c r="H3702" i="9"/>
  <c r="H3703" i="9"/>
  <c r="H3704" i="9"/>
  <c r="H3705" i="9"/>
  <c r="H3706" i="9"/>
  <c r="H3707" i="9"/>
  <c r="H3708" i="9"/>
  <c r="H3709" i="9"/>
  <c r="H3710" i="9"/>
  <c r="H3711" i="9"/>
  <c r="H3712" i="9"/>
  <c r="H3713" i="9"/>
  <c r="H3714" i="9"/>
  <c r="H3715" i="9"/>
  <c r="H3716" i="9"/>
  <c r="H3717" i="9"/>
  <c r="H3718" i="9"/>
  <c r="H3719" i="9"/>
  <c r="H3720" i="9"/>
  <c r="H3721" i="9"/>
  <c r="H3722" i="9"/>
  <c r="H3723" i="9"/>
  <c r="H3724" i="9"/>
  <c r="H3725" i="9"/>
  <c r="H3726" i="9"/>
  <c r="H3727" i="9"/>
  <c r="H3728" i="9"/>
  <c r="H3729" i="9"/>
  <c r="H3730" i="9"/>
  <c r="H3731" i="9"/>
  <c r="H3732" i="9"/>
  <c r="H3733" i="9"/>
  <c r="H3734" i="9"/>
  <c r="H3735" i="9"/>
  <c r="H3736" i="9"/>
  <c r="H3737" i="9"/>
  <c r="H3738" i="9"/>
  <c r="H3739" i="9"/>
  <c r="H3740" i="9"/>
  <c r="H3741" i="9"/>
  <c r="H3742" i="9"/>
  <c r="H3743" i="9"/>
  <c r="H3744" i="9"/>
  <c r="H3745" i="9"/>
  <c r="H3746" i="9"/>
  <c r="H3747" i="9"/>
  <c r="H3748" i="9"/>
  <c r="H3749" i="9"/>
  <c r="H3750" i="9"/>
  <c r="H3751" i="9"/>
  <c r="H3752" i="9"/>
  <c r="H3753" i="9"/>
  <c r="H3754" i="9"/>
  <c r="H3755" i="9"/>
  <c r="H3756" i="9"/>
  <c r="H3757" i="9"/>
  <c r="H3758" i="9"/>
  <c r="H3759" i="9"/>
  <c r="H3760" i="9"/>
  <c r="H3761" i="9"/>
  <c r="H3762" i="9"/>
  <c r="H3763" i="9"/>
  <c r="H3764" i="9"/>
  <c r="H3765" i="9"/>
  <c r="H3766" i="9"/>
  <c r="H3767" i="9"/>
  <c r="H3768" i="9"/>
  <c r="H3769" i="9"/>
  <c r="H3770" i="9"/>
  <c r="H3771" i="9"/>
  <c r="H3772" i="9"/>
  <c r="H3773" i="9"/>
  <c r="H3774" i="9"/>
  <c r="H3775" i="9"/>
  <c r="H3776" i="9"/>
  <c r="H3777" i="9"/>
  <c r="H3778" i="9"/>
  <c r="H3779" i="9"/>
  <c r="G3673" i="9"/>
  <c r="H3548" i="9"/>
  <c r="H3549" i="9"/>
  <c r="H3550" i="9"/>
  <c r="H3551" i="9"/>
  <c r="H3552" i="9"/>
  <c r="H3553" i="9"/>
  <c r="H3554" i="9"/>
  <c r="H3555" i="9"/>
  <c r="H3556" i="9"/>
  <c r="H3557" i="9"/>
  <c r="H3558" i="9"/>
  <c r="H3518" i="9"/>
  <c r="H3519" i="9"/>
  <c r="H3520" i="9"/>
  <c r="H3521" i="9"/>
  <c r="H3522" i="9"/>
  <c r="H3523" i="9"/>
  <c r="H3524" i="9"/>
  <c r="H3525" i="9"/>
  <c r="H3526" i="9"/>
  <c r="H3527" i="9"/>
  <c r="H3528" i="9"/>
  <c r="H3529" i="9"/>
  <c r="H3530" i="9"/>
  <c r="H3531" i="9"/>
  <c r="H3532" i="9"/>
  <c r="H3533" i="9"/>
  <c r="H3534" i="9"/>
  <c r="H3535" i="9"/>
  <c r="H3536" i="9"/>
  <c r="H3537" i="9"/>
  <c r="H3538" i="9"/>
  <c r="H3539" i="9"/>
  <c r="H3540" i="9"/>
  <c r="H3541" i="9"/>
  <c r="G3157" i="9"/>
  <c r="G2596" i="9"/>
  <c r="G2188" i="9"/>
  <c r="G1632" i="9"/>
  <c r="G3698" i="9" l="1"/>
  <c r="G3689" i="9"/>
  <c r="G3598" i="9"/>
  <c r="G3705" i="9" l="1"/>
  <c r="G3578" i="9"/>
  <c r="G3790" i="9" l="1"/>
  <c r="F3794" i="9" s="1"/>
  <c r="E3790" i="9"/>
  <c r="G3727" i="9"/>
  <c r="G3630" i="9" l="1"/>
  <c r="G3490" i="9"/>
  <c r="G3392" i="9"/>
  <c r="G3264" i="9"/>
  <c r="G3661" i="9" l="1"/>
  <c r="G3506" i="9"/>
  <c r="G3356" i="9"/>
  <c r="G1147" i="9"/>
  <c r="G481" i="9"/>
  <c r="H3789" i="9" l="1"/>
  <c r="H3788" i="9"/>
  <c r="H3787" i="9"/>
  <c r="H3786" i="9"/>
  <c r="H3785" i="9"/>
  <c r="H3784" i="9"/>
  <c r="H3783" i="9"/>
  <c r="H3782" i="9"/>
  <c r="H3781" i="9"/>
  <c r="H3780" i="9"/>
  <c r="H3697" i="9"/>
  <c r="H3696" i="9"/>
  <c r="H3695" i="9"/>
  <c r="H3694" i="9"/>
  <c r="H3693" i="9"/>
  <c r="H3692" i="9"/>
  <c r="H3691" i="9"/>
  <c r="H3690" i="9"/>
  <c r="H3689" i="9"/>
  <c r="H3688" i="9"/>
  <c r="H3687" i="9"/>
  <c r="H3686" i="9"/>
  <c r="H3685" i="9"/>
  <c r="H3684" i="9"/>
  <c r="H3683" i="9"/>
  <c r="H3682" i="9"/>
  <c r="H3681" i="9"/>
  <c r="H3680" i="9"/>
  <c r="H3679" i="9"/>
  <c r="H3678" i="9"/>
  <c r="H3677" i="9"/>
  <c r="H3676" i="9"/>
  <c r="H3675" i="9"/>
  <c r="H3674" i="9"/>
  <c r="H3673" i="9"/>
  <c r="H3672" i="9"/>
  <c r="H3671" i="9"/>
  <c r="H3670" i="9"/>
  <c r="H3669" i="9"/>
  <c r="H3668" i="9"/>
  <c r="H3667" i="9"/>
  <c r="H3666" i="9"/>
  <c r="H3665" i="9"/>
  <c r="H3664" i="9"/>
  <c r="H3663" i="9"/>
  <c r="H3662" i="9"/>
  <c r="H3661" i="9"/>
  <c r="H3660" i="9"/>
  <c r="H3659" i="9"/>
  <c r="H3658" i="9"/>
  <c r="H3657" i="9"/>
  <c r="H3656" i="9"/>
  <c r="H3655" i="9"/>
  <c r="H3654" i="9"/>
  <c r="H3653" i="9"/>
  <c r="H3652" i="9"/>
  <c r="H3651" i="9"/>
  <c r="H3650" i="9"/>
  <c r="H3649" i="9"/>
  <c r="H3648" i="9"/>
  <c r="H3647" i="9"/>
  <c r="H3646" i="9"/>
  <c r="H3645" i="9"/>
  <c r="H3644" i="9"/>
  <c r="H3643" i="9"/>
  <c r="H3642" i="9"/>
  <c r="H3641" i="9"/>
  <c r="H3640" i="9"/>
  <c r="H3639" i="9"/>
  <c r="H3638" i="9"/>
  <c r="H3637" i="9"/>
  <c r="H3636" i="9"/>
  <c r="H3635" i="9"/>
  <c r="H3634" i="9"/>
  <c r="H3633" i="9"/>
  <c r="H3632" i="9"/>
  <c r="H3631" i="9"/>
  <c r="H3630" i="9"/>
  <c r="H3629" i="9"/>
  <c r="H3628" i="9"/>
  <c r="H3627" i="9"/>
  <c r="H3626" i="9"/>
  <c r="H3625" i="9"/>
  <c r="H3624" i="9"/>
  <c r="H3623" i="9"/>
  <c r="H3622" i="9"/>
  <c r="H3621" i="9"/>
  <c r="H3620" i="9"/>
  <c r="H3619" i="9"/>
  <c r="H3618" i="9"/>
  <c r="H3617" i="9"/>
  <c r="H3616" i="9"/>
  <c r="H3615" i="9"/>
  <c r="H3614" i="9"/>
  <c r="H3613" i="9"/>
  <c r="H3612" i="9"/>
  <c r="H3611" i="9"/>
  <c r="H3610" i="9"/>
  <c r="H3609" i="9"/>
  <c r="H3608" i="9"/>
  <c r="H3607" i="9"/>
  <c r="H3606" i="9"/>
  <c r="H3605" i="9"/>
  <c r="H3604" i="9"/>
  <c r="H3603" i="9"/>
  <c r="H3602" i="9"/>
  <c r="H3601" i="9"/>
  <c r="H3600" i="9"/>
  <c r="H3599" i="9"/>
  <c r="H3598" i="9"/>
  <c r="H3597" i="9"/>
  <c r="H3596" i="9"/>
  <c r="H3595" i="9"/>
  <c r="H3594" i="9"/>
  <c r="H3593" i="9"/>
  <c r="H3592" i="9"/>
  <c r="H3591" i="9"/>
  <c r="H3590" i="9"/>
  <c r="H3589" i="9"/>
  <c r="H3588" i="9"/>
  <c r="H3587" i="9"/>
  <c r="H3586" i="9"/>
  <c r="H3585" i="9"/>
  <c r="H3584" i="9"/>
  <c r="H3583" i="9"/>
  <c r="H3582" i="9"/>
  <c r="H3581" i="9"/>
  <c r="H3580" i="9"/>
  <c r="H3579" i="9"/>
  <c r="H3578" i="9"/>
  <c r="H3790" i="9" s="1"/>
  <c r="H3577" i="9"/>
  <c r="H3576" i="9"/>
  <c r="H3575" i="9"/>
  <c r="H3574" i="9"/>
  <c r="H3573" i="9"/>
  <c r="H3572" i="9"/>
  <c r="H3571" i="9"/>
  <c r="H3570" i="9"/>
  <c r="H3569" i="9"/>
  <c r="H3568" i="9"/>
  <c r="H3567" i="9"/>
  <c r="H3566" i="9"/>
  <c r="H3565" i="9"/>
  <c r="H3564" i="9"/>
  <c r="H3563" i="9"/>
  <c r="H3562" i="9"/>
  <c r="H3561" i="9"/>
  <c r="H3560" i="9"/>
  <c r="H3559" i="9"/>
  <c r="H3547" i="9"/>
  <c r="H3546" i="9"/>
  <c r="H3545" i="9"/>
  <c r="H3544" i="9"/>
  <c r="H3543" i="9"/>
  <c r="H3542" i="9"/>
  <c r="H3517" i="9"/>
  <c r="H3516" i="9"/>
  <c r="H3515" i="9"/>
  <c r="H3514" i="9"/>
  <c r="H3513" i="9"/>
  <c r="H3512" i="9"/>
  <c r="H3511" i="9"/>
  <c r="H3510" i="9"/>
  <c r="H3509" i="9"/>
  <c r="H3508" i="9"/>
  <c r="H3507" i="9"/>
  <c r="H3506" i="9"/>
  <c r="H3505" i="9"/>
  <c r="H3504" i="9"/>
  <c r="H3503" i="9"/>
  <c r="H3502" i="9"/>
  <c r="H3501" i="9"/>
  <c r="H3500" i="9"/>
  <c r="H3499" i="9"/>
  <c r="H3498" i="9"/>
  <c r="H3497" i="9"/>
  <c r="H3496" i="9"/>
  <c r="H3495" i="9"/>
  <c r="H3494" i="9"/>
  <c r="H3493" i="9"/>
  <c r="H3492" i="9"/>
  <c r="H3491" i="9"/>
  <c r="H3490" i="9"/>
  <c r="H3489" i="9"/>
  <c r="H3488" i="9"/>
  <c r="H3487" i="9"/>
  <c r="H3486" i="9"/>
  <c r="H3485" i="9"/>
  <c r="H3484" i="9"/>
  <c r="H3483" i="9"/>
  <c r="H3482" i="9"/>
  <c r="H3481" i="9"/>
  <c r="H3480" i="9"/>
  <c r="H3479" i="9"/>
  <c r="H3478" i="9"/>
  <c r="H3477" i="9"/>
  <c r="H3476" i="9"/>
  <c r="H3475" i="9"/>
  <c r="H3474" i="9"/>
  <c r="H3473" i="9"/>
  <c r="H3472" i="9"/>
  <c r="H3471" i="9"/>
  <c r="H3470" i="9"/>
  <c r="H3469" i="9"/>
  <c r="H3468" i="9"/>
  <c r="H3467" i="9"/>
  <c r="H3466" i="9"/>
  <c r="H3465" i="9"/>
  <c r="H3464" i="9"/>
  <c r="H3463" i="9"/>
  <c r="H3462" i="9"/>
  <c r="H3461" i="9"/>
  <c r="H3460" i="9"/>
  <c r="H3459" i="9"/>
  <c r="H3458" i="9"/>
  <c r="H3457" i="9"/>
  <c r="H3456" i="9"/>
  <c r="H3455" i="9"/>
  <c r="H3454" i="9"/>
  <c r="H3453" i="9"/>
  <c r="H3452" i="9"/>
  <c r="H3451" i="9"/>
  <c r="H3450" i="9"/>
  <c r="H3449" i="9"/>
  <c r="H3448" i="9"/>
  <c r="H3447" i="9"/>
  <c r="H3446" i="9"/>
  <c r="H3445" i="9"/>
  <c r="H3444" i="9"/>
  <c r="H3443" i="9"/>
  <c r="H3442" i="9"/>
  <c r="H3441" i="9"/>
  <c r="H3440" i="9"/>
  <c r="H3439" i="9"/>
  <c r="H3438" i="9"/>
  <c r="H3437" i="9"/>
  <c r="H3436" i="9"/>
  <c r="H3435" i="9"/>
  <c r="H3434" i="9"/>
  <c r="H3433" i="9"/>
  <c r="H3432" i="9"/>
  <c r="H3431" i="9"/>
  <c r="H3430" i="9"/>
  <c r="H3429" i="9"/>
  <c r="H3428" i="9"/>
  <c r="H3427" i="9"/>
  <c r="H3426" i="9"/>
  <c r="H3425" i="9"/>
  <c r="H3424" i="9"/>
  <c r="H3423" i="9"/>
  <c r="H3422" i="9"/>
  <c r="H3421" i="9"/>
  <c r="H3420" i="9"/>
  <c r="H3419" i="9"/>
  <c r="H3418" i="9"/>
  <c r="H3417" i="9"/>
  <c r="H3416" i="9"/>
  <c r="H3415" i="9"/>
  <c r="H3414" i="9"/>
  <c r="H3413" i="9"/>
  <c r="H3412" i="9"/>
  <c r="H3411" i="9"/>
  <c r="H3410" i="9"/>
  <c r="H3409" i="9"/>
  <c r="H3408" i="9"/>
  <c r="H3407" i="9"/>
  <c r="H3406" i="9"/>
  <c r="H3405" i="9"/>
  <c r="H3404" i="9"/>
  <c r="H3403" i="9"/>
  <c r="H3402" i="9"/>
  <c r="H3401" i="9"/>
  <c r="H3400" i="9"/>
  <c r="H3399" i="9"/>
  <c r="H3398" i="9"/>
  <c r="H3397" i="9"/>
  <c r="H3396" i="9"/>
  <c r="H3395" i="9"/>
  <c r="H3394" i="9"/>
  <c r="H3393" i="9"/>
  <c r="H3392" i="9"/>
  <c r="H3391" i="9"/>
  <c r="H3390" i="9"/>
  <c r="H3389" i="9"/>
  <c r="H3388" i="9"/>
  <c r="H3387" i="9"/>
  <c r="H3386" i="9"/>
  <c r="H3385" i="9"/>
  <c r="H3384" i="9"/>
  <c r="H3383" i="9"/>
  <c r="H3382" i="9"/>
  <c r="H3381" i="9"/>
  <c r="H3380" i="9"/>
  <c r="H3379" i="9"/>
  <c r="H3378" i="9"/>
  <c r="G3378" i="9"/>
  <c r="H3377" i="9"/>
  <c r="H3376" i="9"/>
  <c r="H3375" i="9"/>
  <c r="H3374" i="9"/>
  <c r="H3373" i="9"/>
  <c r="H3372" i="9"/>
  <c r="H3371" i="9"/>
  <c r="H3370" i="9"/>
  <c r="H3369" i="9"/>
  <c r="H3368" i="9"/>
  <c r="H3367" i="9"/>
  <c r="H3366" i="9"/>
  <c r="H3365" i="9"/>
  <c r="H3364" i="9"/>
  <c r="H3363" i="9"/>
  <c r="H3362" i="9"/>
  <c r="H3361" i="9"/>
  <c r="H3360" i="9"/>
  <c r="H3359" i="9"/>
  <c r="H3358" i="9"/>
  <c r="H3357" i="9"/>
  <c r="H3356" i="9"/>
  <c r="H3355" i="9"/>
  <c r="H3354" i="9"/>
  <c r="H3353" i="9"/>
  <c r="H3352" i="9"/>
  <c r="H3351" i="9"/>
  <c r="H3350" i="9"/>
  <c r="H3349" i="9"/>
  <c r="H3348" i="9"/>
  <c r="H3347" i="9"/>
  <c r="H3346" i="9"/>
  <c r="H3345" i="9"/>
  <c r="H3344" i="9"/>
  <c r="H3343" i="9"/>
  <c r="H3342" i="9"/>
  <c r="H3341" i="9"/>
  <c r="H3340" i="9"/>
  <c r="H3339" i="9"/>
  <c r="H3338" i="9"/>
  <c r="H3337" i="9"/>
  <c r="H3336" i="9"/>
  <c r="H3335" i="9"/>
  <c r="H3334" i="9"/>
  <c r="H3333" i="9"/>
  <c r="H3332" i="9"/>
  <c r="H3331" i="9"/>
  <c r="H3330" i="9"/>
  <c r="H3329" i="9"/>
  <c r="H3328" i="9"/>
  <c r="H3327" i="9"/>
  <c r="H3326" i="9"/>
  <c r="H3325" i="9"/>
  <c r="H3324" i="9"/>
  <c r="H3323" i="9"/>
  <c r="H3322" i="9"/>
  <c r="H3321" i="9"/>
  <c r="H3320" i="9"/>
  <c r="H3319" i="9"/>
  <c r="H3318" i="9"/>
  <c r="H3317" i="9"/>
  <c r="H3316" i="9"/>
  <c r="H3315" i="9"/>
  <c r="H3314" i="9"/>
  <c r="H3313" i="9"/>
  <c r="H3312" i="9"/>
  <c r="H3311" i="9"/>
  <c r="H3310" i="9"/>
  <c r="H3309" i="9"/>
  <c r="H3308" i="9"/>
  <c r="H3307" i="9"/>
  <c r="H3306" i="9"/>
  <c r="H3305" i="9"/>
  <c r="H3304" i="9"/>
  <c r="H3303" i="9"/>
  <c r="H3302" i="9"/>
  <c r="G3302" i="9"/>
  <c r="H3301" i="9"/>
  <c r="H3300" i="9"/>
  <c r="H3299" i="9"/>
  <c r="H3298" i="9"/>
  <c r="H3297" i="9"/>
  <c r="H3296" i="9"/>
  <c r="H3295" i="9"/>
  <c r="H3294" i="9"/>
  <c r="H3293" i="9"/>
  <c r="H3292" i="9"/>
  <c r="H3291" i="9"/>
  <c r="H3290" i="9"/>
  <c r="H3289" i="9"/>
  <c r="H3288" i="9"/>
  <c r="H3287" i="9"/>
  <c r="H3286" i="9"/>
  <c r="H3285" i="9"/>
  <c r="H3284" i="9"/>
  <c r="G3284" i="9"/>
  <c r="H3283" i="9"/>
  <c r="H3282" i="9"/>
  <c r="H3281" i="9"/>
  <c r="H3280" i="9"/>
  <c r="H3279" i="9"/>
  <c r="H3278" i="9"/>
  <c r="H3277" i="9"/>
  <c r="H3276" i="9"/>
  <c r="H3275" i="9"/>
  <c r="H3274" i="9"/>
  <c r="H3273" i="9"/>
  <c r="H3272" i="9"/>
  <c r="H3271" i="9"/>
  <c r="H3270" i="9"/>
  <c r="H3269" i="9"/>
  <c r="H3268" i="9"/>
  <c r="H3267" i="9"/>
  <c r="H3266" i="9"/>
  <c r="H3265" i="9"/>
  <c r="H3264" i="9"/>
  <c r="H3263" i="9"/>
  <c r="H3262" i="9"/>
  <c r="H3261" i="9"/>
  <c r="H3260" i="9"/>
  <c r="H3259" i="9"/>
  <c r="H3258" i="9"/>
  <c r="H3257" i="9"/>
  <c r="H3256" i="9"/>
  <c r="H3255" i="9"/>
  <c r="H3254" i="9"/>
  <c r="H3253" i="9"/>
  <c r="H3252" i="9"/>
  <c r="H3251" i="9"/>
  <c r="H3250" i="9"/>
  <c r="H3249" i="9"/>
  <c r="H3248" i="9"/>
  <c r="H3247" i="9"/>
  <c r="H3246" i="9"/>
  <c r="H3245" i="9"/>
  <c r="H3244" i="9"/>
  <c r="H3243" i="9"/>
  <c r="H3242" i="9"/>
  <c r="H3241" i="9"/>
  <c r="H3240" i="9"/>
  <c r="H3239" i="9"/>
  <c r="H3238" i="9"/>
  <c r="H3237" i="9"/>
  <c r="H3236" i="9"/>
  <c r="H3235" i="9"/>
  <c r="H3234" i="9"/>
  <c r="H3233" i="9"/>
  <c r="H3232" i="9"/>
  <c r="H3231" i="9"/>
  <c r="H3230" i="9"/>
  <c r="H3229" i="9"/>
  <c r="H3228" i="9"/>
  <c r="H3227" i="9"/>
  <c r="H3226" i="9"/>
  <c r="H3225" i="9"/>
  <c r="H3224" i="9"/>
  <c r="H3223" i="9"/>
  <c r="H3222" i="9"/>
  <c r="H3221" i="9"/>
  <c r="H3220" i="9"/>
  <c r="H3219" i="9"/>
  <c r="H3218" i="9"/>
  <c r="H3217" i="9"/>
  <c r="H3216" i="9"/>
  <c r="H3215" i="9"/>
  <c r="H3214" i="9"/>
  <c r="H3213" i="9"/>
  <c r="H3212" i="9"/>
  <c r="H3211" i="9"/>
  <c r="H3210" i="9"/>
  <c r="H3209" i="9"/>
  <c r="H3208" i="9"/>
  <c r="H3207" i="9"/>
  <c r="H3206" i="9"/>
  <c r="H3205" i="9"/>
  <c r="H3204" i="9"/>
  <c r="H3203" i="9"/>
  <c r="H3202" i="9"/>
  <c r="H3201" i="9"/>
  <c r="H3200" i="9"/>
  <c r="H3199" i="9"/>
  <c r="H3198" i="9"/>
  <c r="H3197" i="9"/>
  <c r="H3196" i="9"/>
  <c r="H3195" i="9"/>
  <c r="H3194" i="9"/>
  <c r="H3193" i="9"/>
  <c r="H3192" i="9"/>
  <c r="H3191" i="9"/>
  <c r="H3190" i="9"/>
  <c r="H3189" i="9"/>
  <c r="H3188" i="9"/>
  <c r="H3187" i="9"/>
  <c r="H3186" i="9"/>
  <c r="H3185" i="9"/>
  <c r="H3184" i="9"/>
  <c r="H3183" i="9"/>
  <c r="H3182" i="9"/>
  <c r="H3181" i="9"/>
  <c r="H3180" i="9"/>
  <c r="H3179" i="9"/>
  <c r="H3178" i="9"/>
  <c r="H3177" i="9"/>
  <c r="H3176" i="9"/>
  <c r="H3175" i="9"/>
  <c r="H3174" i="9"/>
  <c r="H3173" i="9"/>
  <c r="H3172" i="9"/>
  <c r="H3171" i="9"/>
  <c r="H3170" i="9"/>
  <c r="H3169" i="9"/>
  <c r="H3168" i="9"/>
  <c r="H3167" i="9"/>
  <c r="H3166" i="9"/>
  <c r="H3165" i="9"/>
  <c r="H3164" i="9"/>
  <c r="H3163" i="9"/>
  <c r="H3162" i="9"/>
  <c r="H3161" i="9"/>
  <c r="H3160" i="9"/>
  <c r="H3159" i="9"/>
  <c r="G3158" i="9"/>
  <c r="H3158" i="9" s="1"/>
  <c r="H3157" i="9"/>
  <c r="H3156" i="9"/>
  <c r="H3155" i="9"/>
  <c r="H3154" i="9"/>
  <c r="H3153" i="9"/>
  <c r="H3152" i="9"/>
  <c r="H3151" i="9"/>
  <c r="H3150" i="9"/>
  <c r="H3149" i="9"/>
  <c r="H3148" i="9"/>
  <c r="H3147" i="9"/>
  <c r="H3146" i="9"/>
  <c r="H3145" i="9"/>
  <c r="H3144" i="9"/>
  <c r="H3143" i="9"/>
  <c r="H3142" i="9"/>
  <c r="H3141" i="9"/>
  <c r="H3140" i="9"/>
  <c r="H3139" i="9"/>
  <c r="H3138" i="9"/>
  <c r="H3137" i="9"/>
  <c r="H3136" i="9"/>
  <c r="H3135" i="9"/>
  <c r="H3134" i="9"/>
  <c r="H3133" i="9"/>
  <c r="H3132" i="9"/>
  <c r="H3131" i="9"/>
  <c r="H3130" i="9"/>
  <c r="H3129" i="9"/>
  <c r="H3128" i="9"/>
  <c r="H3126" i="9"/>
  <c r="H3125" i="9"/>
  <c r="H3124" i="9"/>
  <c r="H3123" i="9"/>
  <c r="H3122" i="9"/>
  <c r="H3121" i="9"/>
  <c r="H3120" i="9"/>
  <c r="H3119" i="9"/>
  <c r="H3118" i="9"/>
  <c r="H3117" i="9"/>
  <c r="H3116" i="9"/>
  <c r="H3115" i="9"/>
  <c r="H3114" i="9"/>
  <c r="H3113" i="9"/>
  <c r="H3112" i="9"/>
  <c r="H3111" i="9"/>
  <c r="H3110" i="9"/>
  <c r="H3109" i="9"/>
  <c r="H3108" i="9"/>
  <c r="H3107" i="9"/>
  <c r="H3106" i="9"/>
  <c r="H3105" i="9"/>
  <c r="H3104" i="9"/>
  <c r="H3103" i="9"/>
  <c r="H3102" i="9"/>
  <c r="H3101" i="9"/>
  <c r="H3100" i="9"/>
  <c r="H3099" i="9"/>
  <c r="H3098" i="9"/>
  <c r="H3097" i="9"/>
  <c r="H3096" i="9"/>
  <c r="H3095" i="9"/>
  <c r="H3094" i="9"/>
  <c r="H3093" i="9"/>
  <c r="H3092" i="9"/>
  <c r="H3091" i="9"/>
  <c r="H3090" i="9"/>
  <c r="H3089" i="9"/>
  <c r="H3088" i="9"/>
  <c r="H3087" i="9"/>
  <c r="H3086" i="9"/>
  <c r="H3085" i="9"/>
  <c r="H3084" i="9"/>
  <c r="H3083" i="9"/>
  <c r="H3082" i="9"/>
  <c r="H3081" i="9"/>
  <c r="H3080" i="9"/>
  <c r="H3079" i="9"/>
  <c r="H3078" i="9"/>
  <c r="H3077" i="9"/>
  <c r="H3076" i="9"/>
  <c r="H3075" i="9"/>
  <c r="H3074" i="9"/>
  <c r="H3073" i="9"/>
  <c r="H3072" i="9"/>
  <c r="H3071" i="9"/>
  <c r="H3070" i="9"/>
  <c r="G3069" i="9"/>
  <c r="H3069" i="9" s="1"/>
  <c r="H3068" i="9"/>
  <c r="H3067" i="9"/>
  <c r="H3066" i="9"/>
  <c r="H3065" i="9"/>
  <c r="H3064" i="9"/>
  <c r="H3063" i="9"/>
  <c r="H3062" i="9"/>
  <c r="H3061" i="9"/>
  <c r="H3060" i="9"/>
  <c r="H3059" i="9"/>
  <c r="H3058" i="9"/>
  <c r="H3057" i="9"/>
  <c r="H3056" i="9"/>
  <c r="H3055" i="9"/>
  <c r="H3054" i="9"/>
  <c r="G3054" i="9"/>
  <c r="H3053" i="9"/>
  <c r="H3052" i="9"/>
  <c r="H3051" i="9"/>
  <c r="H3050" i="9"/>
  <c r="H3049" i="9"/>
  <c r="H3048" i="9"/>
  <c r="H3047" i="9"/>
  <c r="H3046" i="9"/>
  <c r="G3045" i="9"/>
  <c r="H3045" i="9" s="1"/>
  <c r="H3044" i="9"/>
  <c r="H3043" i="9"/>
  <c r="H3042" i="9"/>
  <c r="H3041" i="9"/>
  <c r="H3040" i="9"/>
  <c r="H3039" i="9"/>
  <c r="H3038" i="9"/>
  <c r="H3037" i="9"/>
  <c r="G3037" i="9"/>
  <c r="H3036" i="9"/>
  <c r="G3035" i="9"/>
  <c r="H3035" i="9" s="1"/>
  <c r="H3034" i="9"/>
  <c r="H3033" i="9"/>
  <c r="H3032" i="9"/>
  <c r="H3031" i="9"/>
  <c r="H3030" i="9"/>
  <c r="H3029" i="9"/>
  <c r="H3028" i="9"/>
  <c r="H3027" i="9"/>
  <c r="H3026" i="9"/>
  <c r="H3025" i="9"/>
  <c r="H3024" i="9"/>
  <c r="H3023" i="9"/>
  <c r="H3022" i="9"/>
  <c r="H3021" i="9"/>
  <c r="H3020" i="9"/>
  <c r="H3019" i="9"/>
  <c r="H3018" i="9"/>
  <c r="H3017" i="9"/>
  <c r="H3016" i="9"/>
  <c r="H3015" i="9"/>
  <c r="H3014" i="9"/>
  <c r="H3013" i="9"/>
  <c r="H3012" i="9"/>
  <c r="H3011" i="9"/>
  <c r="H3010" i="9"/>
  <c r="H3009" i="9"/>
  <c r="H3008" i="9"/>
  <c r="H3007" i="9"/>
  <c r="H3006" i="9"/>
  <c r="H3005" i="9"/>
  <c r="H3004" i="9"/>
  <c r="H3003" i="9"/>
  <c r="H3002" i="9"/>
  <c r="H3001" i="9"/>
  <c r="H3000" i="9"/>
  <c r="H2999" i="9"/>
  <c r="H2998" i="9"/>
  <c r="H2997" i="9"/>
  <c r="H2996" i="9"/>
  <c r="H2995" i="9"/>
  <c r="H2994" i="9"/>
  <c r="H2993" i="9"/>
  <c r="H2992" i="9"/>
  <c r="H2991" i="9"/>
  <c r="H2990" i="9"/>
  <c r="H2989" i="9"/>
  <c r="H2988" i="9"/>
  <c r="H2987" i="9"/>
  <c r="H2986" i="9"/>
  <c r="H2985" i="9"/>
  <c r="H2984" i="9"/>
  <c r="H2983" i="9"/>
  <c r="H2982" i="9"/>
  <c r="H2981" i="9"/>
  <c r="H2980" i="9"/>
  <c r="H2979" i="9"/>
  <c r="H2978" i="9"/>
  <c r="H2977" i="9"/>
  <c r="H2976" i="9"/>
  <c r="H2975" i="9"/>
  <c r="H2974" i="9"/>
  <c r="H2973" i="9"/>
  <c r="H2972" i="9"/>
  <c r="H2971" i="9"/>
  <c r="H2970" i="9"/>
  <c r="H2969" i="9"/>
  <c r="H2968" i="9"/>
  <c r="H2967" i="9"/>
  <c r="H2966" i="9"/>
  <c r="H2965" i="9"/>
  <c r="H2964" i="9"/>
  <c r="H2963" i="9"/>
  <c r="H2962" i="9"/>
  <c r="H2961" i="9"/>
  <c r="H2960" i="9"/>
  <c r="H2959" i="9"/>
  <c r="H2958" i="9"/>
  <c r="H2957" i="9"/>
  <c r="H2956" i="9"/>
  <c r="H2955" i="9"/>
  <c r="H2954" i="9"/>
  <c r="H2953" i="9"/>
  <c r="H2952" i="9"/>
  <c r="H2951" i="9"/>
  <c r="H2950" i="9"/>
  <c r="H2949" i="9"/>
  <c r="H2948" i="9"/>
  <c r="H2947" i="9"/>
  <c r="H2946" i="9"/>
  <c r="H2945" i="9"/>
  <c r="G2944" i="9"/>
  <c r="H2944" i="9" s="1"/>
  <c r="H2943" i="9"/>
  <c r="H2942" i="9"/>
  <c r="H2941" i="9"/>
  <c r="H2940" i="9"/>
  <c r="H2939" i="9"/>
  <c r="H2938" i="9"/>
  <c r="H2937" i="9"/>
  <c r="H2936" i="9"/>
  <c r="H2935" i="9"/>
  <c r="H2934" i="9"/>
  <c r="H2933" i="9"/>
  <c r="H2932" i="9"/>
  <c r="H2931" i="9"/>
  <c r="H2930" i="9"/>
  <c r="H2929" i="9"/>
  <c r="H2928" i="9"/>
  <c r="H2927" i="9"/>
  <c r="H2926" i="9"/>
  <c r="H2925" i="9"/>
  <c r="H2924" i="9"/>
  <c r="H2923" i="9"/>
  <c r="H2922" i="9"/>
  <c r="H2921" i="9"/>
  <c r="H2920" i="9"/>
  <c r="H2919" i="9"/>
  <c r="H2918" i="9"/>
  <c r="H2917" i="9"/>
  <c r="H2916" i="9"/>
  <c r="H2915" i="9"/>
  <c r="H2914" i="9"/>
  <c r="H2913" i="9"/>
  <c r="H2912" i="9"/>
  <c r="H2911" i="9"/>
  <c r="H2910" i="9"/>
  <c r="H2909" i="9"/>
  <c r="H2908" i="9"/>
  <c r="H2907" i="9"/>
  <c r="H2906" i="9"/>
  <c r="H2905" i="9"/>
  <c r="H2904" i="9"/>
  <c r="H2903" i="9"/>
  <c r="H2902" i="9"/>
  <c r="H2901" i="9"/>
  <c r="H2900" i="9"/>
  <c r="H2899" i="9"/>
  <c r="H2898" i="9"/>
  <c r="H2897" i="9"/>
  <c r="H2896" i="9"/>
  <c r="H2895" i="9"/>
  <c r="H2894" i="9"/>
  <c r="H2893" i="9"/>
  <c r="H2892" i="9"/>
  <c r="H2891" i="9"/>
  <c r="H2890" i="9"/>
  <c r="H2889" i="9"/>
  <c r="H2888" i="9"/>
  <c r="H2887" i="9"/>
  <c r="H2886" i="9"/>
  <c r="H2885" i="9"/>
  <c r="H2884" i="9"/>
  <c r="H2883" i="9"/>
  <c r="H2882" i="9"/>
  <c r="H2881" i="9"/>
  <c r="H2880" i="9"/>
  <c r="H2879" i="9"/>
  <c r="H2878" i="9"/>
  <c r="G2877" i="9"/>
  <c r="H2877" i="9" s="1"/>
  <c r="H2876" i="9"/>
  <c r="H2875" i="9"/>
  <c r="H2874" i="9"/>
  <c r="H2873" i="9"/>
  <c r="H2872" i="9"/>
  <c r="H2871" i="9"/>
  <c r="H2870" i="9"/>
  <c r="H2869" i="9"/>
  <c r="H2868" i="9"/>
  <c r="H2867" i="9"/>
  <c r="H2866" i="9"/>
  <c r="H2865" i="9"/>
  <c r="H2864" i="9"/>
  <c r="H2863" i="9"/>
  <c r="H2862" i="9"/>
  <c r="H2861" i="9"/>
  <c r="H2860" i="9"/>
  <c r="H2859" i="9"/>
  <c r="H2858" i="9"/>
  <c r="H2857" i="9"/>
  <c r="H2856" i="9"/>
  <c r="H2855" i="9"/>
  <c r="H2854" i="9"/>
  <c r="H2853" i="9"/>
  <c r="H2852" i="9"/>
  <c r="H2851" i="9"/>
  <c r="H2850" i="9"/>
  <c r="H2849" i="9"/>
  <c r="H2848" i="9"/>
  <c r="H2847" i="9"/>
  <c r="H2846" i="9"/>
  <c r="H2845" i="9"/>
  <c r="H2844" i="9"/>
  <c r="H2843" i="9"/>
  <c r="H2842" i="9"/>
  <c r="H2841" i="9"/>
  <c r="H2840" i="9"/>
  <c r="H2839" i="9"/>
  <c r="H2838" i="9"/>
  <c r="H2837" i="9"/>
  <c r="H2836" i="9"/>
  <c r="H2835" i="9"/>
  <c r="H2834" i="9"/>
  <c r="H2833" i="9"/>
  <c r="H2832" i="9"/>
  <c r="H2831" i="9"/>
  <c r="H2830" i="9"/>
  <c r="H2829" i="9"/>
  <c r="H2828" i="9"/>
  <c r="H2827" i="9"/>
  <c r="H2826" i="9"/>
  <c r="H2825" i="9"/>
  <c r="H2824" i="9"/>
  <c r="H2823" i="9"/>
  <c r="H2822" i="9"/>
  <c r="H2821" i="9"/>
  <c r="H2820" i="9"/>
  <c r="H2819" i="9"/>
  <c r="H2818" i="9"/>
  <c r="H2817" i="9"/>
  <c r="H2816" i="9"/>
  <c r="H2815" i="9"/>
  <c r="H2814" i="9"/>
  <c r="H2813" i="9"/>
  <c r="H2812" i="9"/>
  <c r="H2811" i="9"/>
  <c r="H2810" i="9"/>
  <c r="H2809" i="9"/>
  <c r="H2808" i="9"/>
  <c r="H2807" i="9"/>
  <c r="H2806" i="9"/>
  <c r="H2805" i="9"/>
  <c r="H2804" i="9"/>
  <c r="H2803" i="9"/>
  <c r="H2802" i="9"/>
  <c r="H2801" i="9"/>
  <c r="H2800" i="9"/>
  <c r="H2799" i="9"/>
  <c r="H2798" i="9"/>
  <c r="H2797" i="9"/>
  <c r="H2796" i="9"/>
  <c r="H2795" i="9"/>
  <c r="H2794" i="9"/>
  <c r="H2793" i="9"/>
  <c r="H2792" i="9"/>
  <c r="H2791" i="9"/>
  <c r="H2790" i="9"/>
  <c r="H2789" i="9"/>
  <c r="H2788" i="9"/>
  <c r="H2787" i="9"/>
  <c r="H2786" i="9"/>
  <c r="H2785" i="9"/>
  <c r="G2785" i="9"/>
  <c r="H2784" i="9"/>
  <c r="G2783" i="9"/>
  <c r="H2783" i="9" s="1"/>
  <c r="H2782" i="9"/>
  <c r="H2781" i="9"/>
  <c r="H2780" i="9"/>
  <c r="H2779" i="9"/>
  <c r="H2778" i="9"/>
  <c r="G2777" i="9"/>
  <c r="H2777" i="9" s="1"/>
  <c r="H2776" i="9"/>
  <c r="H2775" i="9"/>
  <c r="H2774" i="9"/>
  <c r="H2773" i="9"/>
  <c r="H2772" i="9"/>
  <c r="H2771" i="9"/>
  <c r="H2770" i="9"/>
  <c r="H2769" i="9"/>
  <c r="H2768" i="9"/>
  <c r="H2767" i="9"/>
  <c r="H2766" i="9"/>
  <c r="H2765" i="9"/>
  <c r="H2764" i="9"/>
  <c r="H2763" i="9"/>
  <c r="H2762" i="9"/>
  <c r="H2761" i="9"/>
  <c r="H2760" i="9"/>
  <c r="G2760" i="9"/>
  <c r="H2759" i="9"/>
  <c r="H2758" i="9"/>
  <c r="H2757" i="9"/>
  <c r="H2756" i="9"/>
  <c r="H2755" i="9"/>
  <c r="H2754" i="9"/>
  <c r="H2753" i="9"/>
  <c r="H2752" i="9"/>
  <c r="H2751" i="9"/>
  <c r="H2750" i="9"/>
  <c r="H2749" i="9"/>
  <c r="G2748" i="9"/>
  <c r="H2748" i="9" s="1"/>
  <c r="H2747" i="9"/>
  <c r="H2746" i="9"/>
  <c r="H2745" i="9"/>
  <c r="H2744" i="9"/>
  <c r="H2743" i="9"/>
  <c r="H2742" i="9"/>
  <c r="H2741" i="9"/>
  <c r="H2740" i="9"/>
  <c r="H2739" i="9"/>
  <c r="H2738" i="9"/>
  <c r="H2737" i="9"/>
  <c r="H2736" i="9"/>
  <c r="H2735" i="9"/>
  <c r="H2734" i="9"/>
  <c r="H2733" i="9"/>
  <c r="H2732" i="9"/>
  <c r="H2731" i="9"/>
  <c r="H2730" i="9"/>
  <c r="H2729" i="9"/>
  <c r="H2728" i="9"/>
  <c r="H2727" i="9"/>
  <c r="H2726" i="9"/>
  <c r="H2725" i="9"/>
  <c r="H2724" i="9"/>
  <c r="H2723" i="9"/>
  <c r="H2722" i="9"/>
  <c r="H2721" i="9"/>
  <c r="H2720" i="9"/>
  <c r="H2719" i="9"/>
  <c r="H2718" i="9"/>
  <c r="H2717" i="9"/>
  <c r="H2716" i="9"/>
  <c r="H2715" i="9"/>
  <c r="H2714" i="9"/>
  <c r="H2713" i="9"/>
  <c r="H2712" i="9"/>
  <c r="H2711" i="9"/>
  <c r="H2710" i="9"/>
  <c r="H2709" i="9"/>
  <c r="H2708" i="9"/>
  <c r="H2707" i="9"/>
  <c r="H2706" i="9"/>
  <c r="H2705" i="9"/>
  <c r="H2704" i="9"/>
  <c r="H2703" i="9"/>
  <c r="H2702" i="9"/>
  <c r="H2701" i="9"/>
  <c r="H2700" i="9"/>
  <c r="H2699" i="9"/>
  <c r="H2698" i="9"/>
  <c r="H2697" i="9"/>
  <c r="H2696" i="9"/>
  <c r="H2695" i="9"/>
  <c r="H2694" i="9"/>
  <c r="H2693" i="9"/>
  <c r="H2692" i="9"/>
  <c r="H2691" i="9"/>
  <c r="H2690" i="9"/>
  <c r="H2689" i="9"/>
  <c r="H2688" i="9"/>
  <c r="H2687" i="9"/>
  <c r="H2686" i="9"/>
  <c r="H2685" i="9"/>
  <c r="H2684" i="9"/>
  <c r="H2683" i="9"/>
  <c r="H2682" i="9"/>
  <c r="H2681" i="9"/>
  <c r="H2680" i="9"/>
  <c r="H2679" i="9"/>
  <c r="H2678" i="9"/>
  <c r="H2677" i="9"/>
  <c r="H2676" i="9"/>
  <c r="H2675" i="9"/>
  <c r="H2674" i="9"/>
  <c r="H2673" i="9"/>
  <c r="H2672" i="9"/>
  <c r="H2671" i="9"/>
  <c r="H2670" i="9"/>
  <c r="H2669" i="9"/>
  <c r="H2668" i="9"/>
  <c r="H2667" i="9"/>
  <c r="H2666" i="9"/>
  <c r="G2665" i="9"/>
  <c r="H2665" i="9" s="1"/>
  <c r="H2664" i="9"/>
  <c r="H2663" i="9"/>
  <c r="H2662" i="9"/>
  <c r="H2661" i="9"/>
  <c r="H2660" i="9"/>
  <c r="H2659" i="9"/>
  <c r="H2658" i="9"/>
  <c r="H2657" i="9"/>
  <c r="H2656" i="9"/>
  <c r="H2655" i="9"/>
  <c r="H2654" i="9"/>
  <c r="H2653" i="9"/>
  <c r="H2652" i="9"/>
  <c r="H2651" i="9"/>
  <c r="H2650" i="9"/>
  <c r="H2649" i="9"/>
  <c r="H2648" i="9"/>
  <c r="H2647" i="9"/>
  <c r="H2646" i="9"/>
  <c r="H2645" i="9"/>
  <c r="H2644" i="9"/>
  <c r="H2643" i="9"/>
  <c r="H2642" i="9"/>
  <c r="H2641" i="9"/>
  <c r="H2640" i="9"/>
  <c r="H2639" i="9"/>
  <c r="H2638" i="9"/>
  <c r="H2637" i="9"/>
  <c r="H2636" i="9"/>
  <c r="H2635" i="9"/>
  <c r="H2634" i="9"/>
  <c r="H2633" i="9"/>
  <c r="H2632" i="9"/>
  <c r="H2631" i="9"/>
  <c r="H2630" i="9"/>
  <c r="H2629" i="9"/>
  <c r="H2628" i="9"/>
  <c r="H2627" i="9"/>
  <c r="H2626" i="9"/>
  <c r="H2625" i="9"/>
  <c r="H2624" i="9"/>
  <c r="H2623" i="9"/>
  <c r="H2622" i="9"/>
  <c r="G2622" i="9"/>
  <c r="H2621" i="9"/>
  <c r="H2620" i="9"/>
  <c r="H2619" i="9"/>
  <c r="H2618" i="9"/>
  <c r="H2617" i="9"/>
  <c r="H2616" i="9"/>
  <c r="H2615" i="9"/>
  <c r="H2614" i="9"/>
  <c r="H2613" i="9"/>
  <c r="H2612" i="9"/>
  <c r="H2611" i="9"/>
  <c r="H2610" i="9"/>
  <c r="H2609" i="9"/>
  <c r="H2608" i="9"/>
  <c r="H2607" i="9"/>
  <c r="H2606" i="9"/>
  <c r="H2605" i="9"/>
  <c r="H2604" i="9"/>
  <c r="H2603" i="9"/>
  <c r="H2602" i="9"/>
  <c r="H2601" i="9"/>
  <c r="H2600" i="9"/>
  <c r="H2599" i="9"/>
  <c r="H2598" i="9"/>
  <c r="H2597" i="9"/>
  <c r="H2596" i="9"/>
  <c r="H2595" i="9"/>
  <c r="H2594" i="9"/>
  <c r="H2593" i="9"/>
  <c r="H2592" i="9"/>
  <c r="H2591" i="9"/>
  <c r="H2590" i="9"/>
  <c r="H2589" i="9"/>
  <c r="H2588" i="9"/>
  <c r="H2587" i="9"/>
  <c r="H2586" i="9"/>
  <c r="H2585" i="9"/>
  <c r="H2584" i="9"/>
  <c r="H2583" i="9"/>
  <c r="H2582" i="9"/>
  <c r="H2581" i="9"/>
  <c r="H2580" i="9"/>
  <c r="H2579" i="9"/>
  <c r="H2578" i="9"/>
  <c r="H2577" i="9"/>
  <c r="H2576" i="9"/>
  <c r="H2575" i="9"/>
  <c r="H2574" i="9"/>
  <c r="H2573" i="9"/>
  <c r="H2572" i="9"/>
  <c r="H2571" i="9"/>
  <c r="H2570" i="9"/>
  <c r="H2569" i="9"/>
  <c r="H2568" i="9"/>
  <c r="H2567" i="9"/>
  <c r="H2566" i="9"/>
  <c r="H2565" i="9"/>
  <c r="H2564" i="9"/>
  <c r="H2563" i="9"/>
  <c r="H2562" i="9"/>
  <c r="H2561" i="9"/>
  <c r="H2560" i="9"/>
  <c r="H2559" i="9"/>
  <c r="H2558" i="9"/>
  <c r="H2557" i="9"/>
  <c r="H2556" i="9"/>
  <c r="H2555" i="9"/>
  <c r="H2554" i="9"/>
  <c r="H2553" i="9"/>
  <c r="H2552" i="9"/>
  <c r="H2551" i="9"/>
  <c r="H2550" i="9"/>
  <c r="H2549" i="9"/>
  <c r="H2548" i="9"/>
  <c r="H2547" i="9"/>
  <c r="H2546" i="9"/>
  <c r="H2545" i="9"/>
  <c r="H2544" i="9"/>
  <c r="H2543" i="9"/>
  <c r="H2542" i="9"/>
  <c r="H2541" i="9"/>
  <c r="H2540" i="9"/>
  <c r="H2539" i="9"/>
  <c r="H2538" i="9"/>
  <c r="H2537" i="9"/>
  <c r="H2536" i="9"/>
  <c r="H2535" i="9"/>
  <c r="H2534" i="9"/>
  <c r="G2533" i="9"/>
  <c r="H2533" i="9" s="1"/>
  <c r="H2532" i="9"/>
  <c r="H2531" i="9"/>
  <c r="H2530" i="9"/>
  <c r="H2529" i="9"/>
  <c r="H2528" i="9"/>
  <c r="H2527" i="9"/>
  <c r="H2526" i="9"/>
  <c r="H2525" i="9"/>
  <c r="H2524" i="9"/>
  <c r="H2523" i="9"/>
  <c r="H2522" i="9"/>
  <c r="H2521" i="9"/>
  <c r="H2520" i="9"/>
  <c r="H2519" i="9"/>
  <c r="H2518" i="9"/>
  <c r="H2517" i="9"/>
  <c r="H2516" i="9"/>
  <c r="H2515" i="9"/>
  <c r="H2514" i="9"/>
  <c r="H2513" i="9"/>
  <c r="H2512" i="9"/>
  <c r="H2511" i="9"/>
  <c r="H2510" i="9"/>
  <c r="H2509" i="9"/>
  <c r="H2508" i="9"/>
  <c r="H2507" i="9"/>
  <c r="H2506" i="9"/>
  <c r="H2505" i="9"/>
  <c r="H2504" i="9"/>
  <c r="H2503" i="9"/>
  <c r="H2502" i="9"/>
  <c r="H2501" i="9"/>
  <c r="H2500" i="9"/>
  <c r="H2499" i="9"/>
  <c r="H2498" i="9"/>
  <c r="H2497" i="9"/>
  <c r="H2496" i="9"/>
  <c r="H2495" i="9"/>
  <c r="H2494" i="9"/>
  <c r="H2493" i="9"/>
  <c r="H2492" i="9"/>
  <c r="H2491" i="9"/>
  <c r="H2490" i="9"/>
  <c r="H2489" i="9"/>
  <c r="H2488" i="9"/>
  <c r="H2487" i="9"/>
  <c r="H2486" i="9"/>
  <c r="H2485" i="9"/>
  <c r="H2484" i="9"/>
  <c r="H2483" i="9"/>
  <c r="H2482" i="9"/>
  <c r="H2481" i="9"/>
  <c r="H2480" i="9"/>
  <c r="H2479" i="9"/>
  <c r="H2478" i="9"/>
  <c r="H2477" i="9"/>
  <c r="H2476" i="9"/>
  <c r="H2475" i="9"/>
  <c r="H2474" i="9"/>
  <c r="H2473" i="9"/>
  <c r="H2472" i="9"/>
  <c r="H2471" i="9"/>
  <c r="H2470" i="9"/>
  <c r="H2469" i="9"/>
  <c r="H2468" i="9"/>
  <c r="H2467" i="9"/>
  <c r="H2466" i="9"/>
  <c r="H2465" i="9"/>
  <c r="G2465" i="9"/>
  <c r="H2464" i="9"/>
  <c r="H2463" i="9"/>
  <c r="H2462" i="9"/>
  <c r="H2461" i="9"/>
  <c r="H2460" i="9"/>
  <c r="H2459" i="9"/>
  <c r="H2458" i="9"/>
  <c r="H2457" i="9"/>
  <c r="H2456" i="9"/>
  <c r="H2455" i="9"/>
  <c r="H2454" i="9"/>
  <c r="H2453" i="9"/>
  <c r="H2452" i="9"/>
  <c r="H2451" i="9"/>
  <c r="H2450" i="9"/>
  <c r="H2449" i="9"/>
  <c r="G2448" i="9"/>
  <c r="H2448" i="9" s="1"/>
  <c r="H2447" i="9"/>
  <c r="H2446" i="9"/>
  <c r="H2445" i="9"/>
  <c r="H2444" i="9"/>
  <c r="H2443" i="9"/>
  <c r="H2442" i="9"/>
  <c r="H2441" i="9"/>
  <c r="H2440" i="9"/>
  <c r="H2439" i="9"/>
  <c r="H2438" i="9"/>
  <c r="H2437" i="9"/>
  <c r="H2436" i="9"/>
  <c r="H2435" i="9"/>
  <c r="H2434" i="9"/>
  <c r="H2433" i="9"/>
  <c r="H2432" i="9"/>
  <c r="H2431" i="9"/>
  <c r="H2430" i="9"/>
  <c r="H2429" i="9"/>
  <c r="H2428" i="9"/>
  <c r="H2427" i="9"/>
  <c r="H2426" i="9"/>
  <c r="H2425" i="9"/>
  <c r="H2424" i="9"/>
  <c r="H2423" i="9"/>
  <c r="H2422" i="9"/>
  <c r="H2421" i="9"/>
  <c r="H2420" i="9"/>
  <c r="H2419" i="9"/>
  <c r="H2418" i="9"/>
  <c r="H2417" i="9"/>
  <c r="H2416" i="9"/>
  <c r="H2415" i="9"/>
  <c r="H2414" i="9"/>
  <c r="H2413" i="9"/>
  <c r="H2412" i="9"/>
  <c r="H2411" i="9"/>
  <c r="H2410" i="9"/>
  <c r="H2409" i="9"/>
  <c r="H2408" i="9"/>
  <c r="H2407" i="9"/>
  <c r="H2406" i="9"/>
  <c r="H2405" i="9"/>
  <c r="H2404" i="9"/>
  <c r="H2403" i="9"/>
  <c r="H2402" i="9"/>
  <c r="H2401" i="9"/>
  <c r="H2400" i="9"/>
  <c r="H2399" i="9"/>
  <c r="H2398" i="9"/>
  <c r="H2397" i="9"/>
  <c r="H2396" i="9"/>
  <c r="H2395" i="9"/>
  <c r="H2394" i="9"/>
  <c r="H2393" i="9"/>
  <c r="H2392" i="9"/>
  <c r="H2391" i="9"/>
  <c r="H2390" i="9"/>
  <c r="H2389" i="9"/>
  <c r="H2388" i="9"/>
  <c r="H2387" i="9"/>
  <c r="H2386" i="9"/>
  <c r="H2385" i="9"/>
  <c r="H2384" i="9"/>
  <c r="H2383" i="9"/>
  <c r="H2382" i="9"/>
  <c r="H2381" i="9"/>
  <c r="H2380" i="9"/>
  <c r="H2379" i="9"/>
  <c r="H2378" i="9"/>
  <c r="H2377" i="9"/>
  <c r="H2376" i="9"/>
  <c r="H2375" i="9"/>
  <c r="H2374" i="9"/>
  <c r="H2373" i="9"/>
  <c r="H2372" i="9"/>
  <c r="H2371" i="9"/>
  <c r="H2370" i="9"/>
  <c r="G2370" i="9"/>
  <c r="H2369" i="9"/>
  <c r="H2368" i="9"/>
  <c r="H2367" i="9"/>
  <c r="H2366" i="9"/>
  <c r="H2365" i="9"/>
  <c r="H2364" i="9"/>
  <c r="H2363" i="9"/>
  <c r="H2362" i="9"/>
  <c r="H2361" i="9"/>
  <c r="H2360" i="9"/>
  <c r="H2359" i="9"/>
  <c r="H2358" i="9"/>
  <c r="H2357" i="9"/>
  <c r="H2356" i="9"/>
  <c r="H2355" i="9"/>
  <c r="H2354" i="9"/>
  <c r="H2353" i="9"/>
  <c r="H2352" i="9"/>
  <c r="H2351" i="9"/>
  <c r="H2350" i="9"/>
  <c r="H2349" i="9"/>
  <c r="H2348" i="9"/>
  <c r="H2347" i="9"/>
  <c r="H2346" i="9"/>
  <c r="H2345" i="9"/>
  <c r="H2344" i="9"/>
  <c r="H2343" i="9"/>
  <c r="H2342" i="9"/>
  <c r="H2341" i="9"/>
  <c r="H2340" i="9"/>
  <c r="H2339" i="9"/>
  <c r="H2338" i="9"/>
  <c r="H2337" i="9"/>
  <c r="H2336" i="9"/>
  <c r="H2335" i="9"/>
  <c r="H2334" i="9"/>
  <c r="H2333" i="9"/>
  <c r="H2332" i="9"/>
  <c r="H2331" i="9"/>
  <c r="H2330" i="9"/>
  <c r="G2330" i="9"/>
  <c r="H2329" i="9"/>
  <c r="G2329" i="9"/>
  <c r="H2328" i="9"/>
  <c r="G2327" i="9"/>
  <c r="H2327" i="9" s="1"/>
  <c r="H2326" i="9"/>
  <c r="H2325" i="9"/>
  <c r="G2324" i="9"/>
  <c r="H2324" i="9" s="1"/>
  <c r="H2323" i="9"/>
  <c r="H2322" i="9"/>
  <c r="G2322" i="9"/>
  <c r="H2321" i="9"/>
  <c r="H2320" i="9"/>
  <c r="H2319" i="9"/>
  <c r="H2318" i="9"/>
  <c r="H2317" i="9"/>
  <c r="H2316" i="9"/>
  <c r="H2315" i="9"/>
  <c r="H2314" i="9"/>
  <c r="H2313" i="9"/>
  <c r="H2312" i="9"/>
  <c r="H2311" i="9"/>
  <c r="H2310" i="9"/>
  <c r="H2309" i="9"/>
  <c r="H2308" i="9"/>
  <c r="H2307" i="9"/>
  <c r="H2306" i="9"/>
  <c r="H2305" i="9"/>
  <c r="H2304" i="9"/>
  <c r="H2303" i="9"/>
  <c r="H2302" i="9"/>
  <c r="H2301" i="9"/>
  <c r="G2301" i="9"/>
  <c r="H2300" i="9"/>
  <c r="H2299" i="9"/>
  <c r="H2298" i="9"/>
  <c r="H2297" i="9"/>
  <c r="H2296" i="9"/>
  <c r="H2295" i="9"/>
  <c r="H2294" i="9"/>
  <c r="H2293" i="9"/>
  <c r="H2292" i="9"/>
  <c r="G2291" i="9"/>
  <c r="H2291" i="9" s="1"/>
  <c r="H2290" i="9"/>
  <c r="H2289" i="9"/>
  <c r="H2288" i="9"/>
  <c r="H2287" i="9"/>
  <c r="H2286" i="9"/>
  <c r="H2285" i="9"/>
  <c r="H2284" i="9"/>
  <c r="H2283" i="9"/>
  <c r="H2282" i="9"/>
  <c r="H2281" i="9"/>
  <c r="H2280" i="9"/>
  <c r="H2279" i="9"/>
  <c r="H2278" i="9"/>
  <c r="H2277" i="9"/>
  <c r="H2276" i="9"/>
  <c r="H2275" i="9"/>
  <c r="H2274" i="9"/>
  <c r="H2273" i="9"/>
  <c r="H2272" i="9"/>
  <c r="H2271" i="9"/>
  <c r="H2270" i="9"/>
  <c r="H2269" i="9"/>
  <c r="H2268" i="9"/>
  <c r="H2267" i="9"/>
  <c r="H2266" i="9"/>
  <c r="H2265" i="9"/>
  <c r="H2264" i="9"/>
  <c r="H2263" i="9"/>
  <c r="H2262" i="9"/>
  <c r="H2261" i="9"/>
  <c r="H2260" i="9"/>
  <c r="H2259" i="9"/>
  <c r="H2258" i="9"/>
  <c r="H2257" i="9"/>
  <c r="H2256" i="9"/>
  <c r="H2255" i="9"/>
  <c r="H2254" i="9"/>
  <c r="H2253" i="9"/>
  <c r="H2252" i="9"/>
  <c r="H2251" i="9"/>
  <c r="H2250" i="9"/>
  <c r="H2249" i="9"/>
  <c r="H2248" i="9"/>
  <c r="H2247" i="9"/>
  <c r="H2246" i="9"/>
  <c r="H2245" i="9"/>
  <c r="H2244" i="9"/>
  <c r="H2243" i="9"/>
  <c r="H2242" i="9"/>
  <c r="H2241" i="9"/>
  <c r="H2240" i="9"/>
  <c r="H2239" i="9"/>
  <c r="H2238" i="9"/>
  <c r="G2238" i="9"/>
  <c r="H2237" i="9"/>
  <c r="H2236" i="9"/>
  <c r="H2235" i="9"/>
  <c r="H2234" i="9"/>
  <c r="H2233" i="9"/>
  <c r="H2232" i="9"/>
  <c r="H2231" i="9"/>
  <c r="H2230" i="9"/>
  <c r="H2229" i="9"/>
  <c r="H2228" i="9"/>
  <c r="H2227" i="9"/>
  <c r="H2226" i="9"/>
  <c r="H2225" i="9"/>
  <c r="H2224" i="9"/>
  <c r="H2223" i="9"/>
  <c r="H2222" i="9"/>
  <c r="H2221" i="9"/>
  <c r="H2220" i="9"/>
  <c r="H2219" i="9"/>
  <c r="H2218" i="9"/>
  <c r="H2217" i="9"/>
  <c r="H2216" i="9"/>
  <c r="H2215" i="9"/>
  <c r="H2214" i="9"/>
  <c r="H2213" i="9"/>
  <c r="H2212" i="9"/>
  <c r="H2211" i="9"/>
  <c r="H2210" i="9"/>
  <c r="H2209" i="9"/>
  <c r="H2208" i="9"/>
  <c r="H2207" i="9"/>
  <c r="H2206" i="9"/>
  <c r="G2206" i="9"/>
  <c r="H2205" i="9"/>
  <c r="H2204" i="9"/>
  <c r="H2203" i="9"/>
  <c r="H2202" i="9"/>
  <c r="H2201" i="9"/>
  <c r="H2200" i="9"/>
  <c r="H2199" i="9"/>
  <c r="H2198" i="9"/>
  <c r="H2197" i="9"/>
  <c r="H2196" i="9"/>
  <c r="H2195" i="9"/>
  <c r="H2194" i="9"/>
  <c r="H2193" i="9"/>
  <c r="H2192" i="9"/>
  <c r="H2191" i="9"/>
  <c r="H2190" i="9"/>
  <c r="H2189" i="9"/>
  <c r="H2188" i="9"/>
  <c r="H2187" i="9"/>
  <c r="H2186" i="9"/>
  <c r="H2185" i="9"/>
  <c r="H2184" i="9"/>
  <c r="H2183" i="9"/>
  <c r="G2183" i="9"/>
  <c r="H2182" i="9"/>
  <c r="H2181" i="9"/>
  <c r="H2180" i="9"/>
  <c r="H2179" i="9"/>
  <c r="H2178" i="9"/>
  <c r="H2177" i="9"/>
  <c r="H2176" i="9"/>
  <c r="H2175" i="9"/>
  <c r="H2174" i="9"/>
  <c r="H2173" i="9"/>
  <c r="H2172" i="9"/>
  <c r="H2171" i="9"/>
  <c r="H2170" i="9"/>
  <c r="H2169" i="9"/>
  <c r="H2168" i="9"/>
  <c r="H2167" i="9"/>
  <c r="H2166" i="9"/>
  <c r="H2165" i="9"/>
  <c r="H2164" i="9"/>
  <c r="H2163" i="9"/>
  <c r="H2162" i="9"/>
  <c r="H2161" i="9"/>
  <c r="H2160" i="9"/>
  <c r="H2159" i="9"/>
  <c r="H2158" i="9"/>
  <c r="H2157" i="9"/>
  <c r="H2156" i="9"/>
  <c r="H2155" i="9"/>
  <c r="H2154" i="9"/>
  <c r="H2153" i="9"/>
  <c r="H2152" i="9"/>
  <c r="H2151" i="9"/>
  <c r="H2150" i="9"/>
  <c r="G2150" i="9"/>
  <c r="H2149" i="9"/>
  <c r="H2148" i="9"/>
  <c r="H2147" i="9"/>
  <c r="H2146" i="9"/>
  <c r="H2145" i="9"/>
  <c r="H2144" i="9"/>
  <c r="H2143" i="9"/>
  <c r="H2142" i="9"/>
  <c r="H2141" i="9"/>
  <c r="H2140" i="9"/>
  <c r="H2139" i="9"/>
  <c r="H2138" i="9"/>
  <c r="H2137" i="9"/>
  <c r="H2136" i="9"/>
  <c r="H2135" i="9"/>
  <c r="H2134" i="9"/>
  <c r="H2133" i="9"/>
  <c r="H2132" i="9"/>
  <c r="H2131" i="9"/>
  <c r="H2130" i="9"/>
  <c r="H2129" i="9"/>
  <c r="H2128" i="9"/>
  <c r="H2127" i="9"/>
  <c r="H2126" i="9"/>
  <c r="H2125" i="9"/>
  <c r="G2125" i="9"/>
  <c r="H2124" i="9"/>
  <c r="H2123" i="9"/>
  <c r="H2122" i="9"/>
  <c r="H2121" i="9"/>
  <c r="H2120" i="9"/>
  <c r="H2119" i="9"/>
  <c r="H2118" i="9"/>
  <c r="H2117" i="9"/>
  <c r="H2116" i="9"/>
  <c r="H2115" i="9"/>
  <c r="H2114" i="9"/>
  <c r="H2113" i="9"/>
  <c r="H2112" i="9"/>
  <c r="H2111" i="9"/>
  <c r="H2110" i="9"/>
  <c r="H2109" i="9"/>
  <c r="H2108" i="9"/>
  <c r="H2107" i="9"/>
  <c r="H2106" i="9"/>
  <c r="H2105" i="9"/>
  <c r="H2104" i="9"/>
  <c r="H2103" i="9"/>
  <c r="H2102" i="9"/>
  <c r="H2101" i="9"/>
  <c r="H2100" i="9"/>
  <c r="H2099" i="9"/>
  <c r="H2098" i="9"/>
  <c r="H2097" i="9"/>
  <c r="H2096" i="9"/>
  <c r="H2095" i="9"/>
  <c r="H2094" i="9"/>
  <c r="H2093" i="9"/>
  <c r="H2092" i="9"/>
  <c r="H2091" i="9"/>
  <c r="H2090" i="9"/>
  <c r="H2089" i="9"/>
  <c r="H2088" i="9"/>
  <c r="H2087" i="9"/>
  <c r="H2086" i="9"/>
  <c r="H2085" i="9"/>
  <c r="H2084" i="9"/>
  <c r="H2083" i="9"/>
  <c r="H2082" i="9"/>
  <c r="H2081" i="9"/>
  <c r="H2080" i="9"/>
  <c r="H2079" i="9"/>
  <c r="H2078" i="9"/>
  <c r="H2077" i="9"/>
  <c r="H2076" i="9"/>
  <c r="H2075" i="9"/>
  <c r="H2074" i="9"/>
  <c r="H2073" i="9"/>
  <c r="H2072" i="9"/>
  <c r="H2071" i="9"/>
  <c r="H2070" i="9"/>
  <c r="H2069" i="9"/>
  <c r="H2068" i="9"/>
  <c r="H2067" i="9"/>
  <c r="H2066" i="9"/>
  <c r="H2065" i="9"/>
  <c r="H2064" i="9"/>
  <c r="H2063" i="9"/>
  <c r="H2062" i="9"/>
  <c r="H2061" i="9"/>
  <c r="H2060" i="9"/>
  <c r="H2059" i="9"/>
  <c r="H2058" i="9"/>
  <c r="H2057" i="9"/>
  <c r="H2056" i="9"/>
  <c r="H2055" i="9"/>
  <c r="H2054" i="9"/>
  <c r="H2053" i="9"/>
  <c r="H2052" i="9"/>
  <c r="H2051" i="9"/>
  <c r="H2050" i="9"/>
  <c r="H2049" i="9"/>
  <c r="H2048" i="9"/>
  <c r="H2047" i="9"/>
  <c r="H2046" i="9"/>
  <c r="H2045" i="9"/>
  <c r="H2044" i="9"/>
  <c r="H2043" i="9"/>
  <c r="H2042" i="9"/>
  <c r="H2041" i="9"/>
  <c r="H2040" i="9"/>
  <c r="H2039" i="9"/>
  <c r="G2038" i="9"/>
  <c r="H2038" i="9" s="1"/>
  <c r="H2037" i="9"/>
  <c r="H2036" i="9"/>
  <c r="H2035" i="9"/>
  <c r="H2034" i="9"/>
  <c r="H2033" i="9"/>
  <c r="G2033" i="9"/>
  <c r="H2032" i="9"/>
  <c r="H2031" i="9"/>
  <c r="H2030" i="9"/>
  <c r="H2029" i="9"/>
  <c r="H2028" i="9"/>
  <c r="G2027" i="9"/>
  <c r="H2027" i="9" s="1"/>
  <c r="H2026" i="9"/>
  <c r="H2025" i="9"/>
  <c r="H2024" i="9"/>
  <c r="H2023" i="9"/>
  <c r="H2022" i="9"/>
  <c r="H2021" i="9"/>
  <c r="H2020" i="9"/>
  <c r="H2019" i="9"/>
  <c r="H2018" i="9"/>
  <c r="H2017" i="9"/>
  <c r="H2016" i="9"/>
  <c r="H2015" i="9"/>
  <c r="G2015" i="9"/>
  <c r="H2014" i="9"/>
  <c r="H2013" i="9"/>
  <c r="H2012" i="9"/>
  <c r="H2011" i="9"/>
  <c r="H2010" i="9"/>
  <c r="H2009" i="9"/>
  <c r="H2008" i="9"/>
  <c r="H2007" i="9"/>
  <c r="H2006" i="9"/>
  <c r="H2005" i="9"/>
  <c r="H2004" i="9"/>
  <c r="H2003" i="9"/>
  <c r="H2002" i="9"/>
  <c r="H2001" i="9"/>
  <c r="H2000" i="9"/>
  <c r="H1999" i="9"/>
  <c r="H1998" i="9"/>
  <c r="H1997" i="9"/>
  <c r="H1996" i="9"/>
  <c r="H1995" i="9"/>
  <c r="H1994" i="9"/>
  <c r="H1993" i="9"/>
  <c r="H1992" i="9"/>
  <c r="H1991" i="9"/>
  <c r="H1990" i="9"/>
  <c r="H1989" i="9"/>
  <c r="H1988" i="9"/>
  <c r="H1987" i="9"/>
  <c r="H1986" i="9"/>
  <c r="H1985" i="9"/>
  <c r="H1984" i="9"/>
  <c r="H1983" i="9"/>
  <c r="H1982" i="9"/>
  <c r="H1981" i="9"/>
  <c r="H1980" i="9"/>
  <c r="H1979" i="9"/>
  <c r="H1978" i="9"/>
  <c r="H1977" i="9"/>
  <c r="H1976" i="9"/>
  <c r="H1975" i="9"/>
  <c r="H1974" i="9"/>
  <c r="H1973" i="9"/>
  <c r="H1972" i="9"/>
  <c r="H1971" i="9"/>
  <c r="H1970" i="9"/>
  <c r="H1969" i="9"/>
  <c r="H1968" i="9"/>
  <c r="H1967" i="9"/>
  <c r="H1966" i="9"/>
  <c r="H1965" i="9"/>
  <c r="H1964" i="9"/>
  <c r="H1963" i="9"/>
  <c r="H1962" i="9"/>
  <c r="H1961" i="9"/>
  <c r="H1960" i="9"/>
  <c r="H1959" i="9"/>
  <c r="H1958" i="9"/>
  <c r="H1957" i="9"/>
  <c r="H1956" i="9"/>
  <c r="H1955" i="9"/>
  <c r="H1954" i="9"/>
  <c r="H1953" i="9"/>
  <c r="H1952" i="9"/>
  <c r="H1951" i="9"/>
  <c r="H1950" i="9"/>
  <c r="H1949" i="9"/>
  <c r="H1948" i="9"/>
  <c r="H1947" i="9"/>
  <c r="H1946" i="9"/>
  <c r="H1945" i="9"/>
  <c r="H1944" i="9"/>
  <c r="H1943" i="9"/>
  <c r="H1942" i="9"/>
  <c r="H1941" i="9"/>
  <c r="H1940" i="9"/>
  <c r="H1939" i="9"/>
  <c r="H1938" i="9"/>
  <c r="H1937" i="9"/>
  <c r="H1936" i="9"/>
  <c r="H1935" i="9"/>
  <c r="H1934" i="9"/>
  <c r="H1933" i="9"/>
  <c r="H1932" i="9"/>
  <c r="H1931" i="9"/>
  <c r="H1930" i="9"/>
  <c r="H1929" i="9"/>
  <c r="H1928" i="9"/>
  <c r="H1927" i="9"/>
  <c r="H1926" i="9"/>
  <c r="H1925" i="9"/>
  <c r="H1924" i="9"/>
  <c r="H1923" i="9"/>
  <c r="G1923" i="9"/>
  <c r="H1922" i="9"/>
  <c r="H1921" i="9"/>
  <c r="H1920" i="9"/>
  <c r="G1919" i="9"/>
  <c r="H1919" i="9" s="1"/>
  <c r="H1918" i="9"/>
  <c r="H1917" i="9"/>
  <c r="H1916" i="9"/>
  <c r="H1915" i="9"/>
  <c r="H1914" i="9"/>
  <c r="H1913" i="9"/>
  <c r="H1912" i="9"/>
  <c r="H1911" i="9"/>
  <c r="H1910" i="9"/>
  <c r="H1909" i="9"/>
  <c r="H1908" i="9"/>
  <c r="G1907" i="9"/>
  <c r="H1907" i="9" s="1"/>
  <c r="H1906" i="9"/>
  <c r="H1905" i="9"/>
  <c r="H1904" i="9"/>
  <c r="H1903" i="9"/>
  <c r="H1902" i="9"/>
  <c r="H1901" i="9"/>
  <c r="H1900" i="9"/>
  <c r="H1899" i="9"/>
  <c r="H1898" i="9"/>
  <c r="H1897" i="9"/>
  <c r="H1896" i="9"/>
  <c r="H1895" i="9"/>
  <c r="H1894" i="9"/>
  <c r="H1893" i="9"/>
  <c r="H1892" i="9"/>
  <c r="H1891" i="9"/>
  <c r="H1890" i="9"/>
  <c r="H1889" i="9"/>
  <c r="H1888" i="9"/>
  <c r="H1887" i="9"/>
  <c r="H1886" i="9"/>
  <c r="H1885" i="9"/>
  <c r="H1884" i="9"/>
  <c r="H1883" i="9"/>
  <c r="H1882" i="9"/>
  <c r="H1881" i="9"/>
  <c r="G1880" i="9"/>
  <c r="H1880" i="9" s="1"/>
  <c r="H1879" i="9"/>
  <c r="G1878" i="9"/>
  <c r="H1878" i="9" s="1"/>
  <c r="H1877" i="9"/>
  <c r="G1877" i="9"/>
  <c r="H1876" i="9"/>
  <c r="H1875" i="9"/>
  <c r="H1874" i="9"/>
  <c r="H1873" i="9"/>
  <c r="H1872" i="9"/>
  <c r="H1871" i="9"/>
  <c r="H1870" i="9"/>
  <c r="H1869" i="9"/>
  <c r="H1868" i="9"/>
  <c r="H1867" i="9"/>
  <c r="H1866" i="9"/>
  <c r="H1865" i="9"/>
  <c r="H1864" i="9"/>
  <c r="H1863" i="9"/>
  <c r="H1862" i="9"/>
  <c r="H1861" i="9"/>
  <c r="G1861" i="9"/>
  <c r="H1860" i="9"/>
  <c r="H1859" i="9"/>
  <c r="H1858" i="9"/>
  <c r="H1857" i="9"/>
  <c r="H1856" i="9"/>
  <c r="H1855" i="9"/>
  <c r="H1854" i="9"/>
  <c r="H1853" i="9"/>
  <c r="H1852" i="9"/>
  <c r="H1851" i="9"/>
  <c r="H1850" i="9"/>
  <c r="H1849" i="9"/>
  <c r="H1848" i="9"/>
  <c r="H1847" i="9"/>
  <c r="G1847" i="9"/>
  <c r="H1846" i="9"/>
  <c r="H1845" i="9"/>
  <c r="H1844" i="9"/>
  <c r="H1843" i="9"/>
  <c r="H1842" i="9"/>
  <c r="H1841" i="9"/>
  <c r="H1840" i="9"/>
  <c r="H1839" i="9"/>
  <c r="H1838" i="9"/>
  <c r="H1837" i="9"/>
  <c r="H1836" i="9"/>
  <c r="H1835" i="9"/>
  <c r="H1834" i="9"/>
  <c r="H1833" i="9"/>
  <c r="H1832" i="9"/>
  <c r="H1831" i="9"/>
  <c r="H1830" i="9"/>
  <c r="H1829" i="9"/>
  <c r="H1828" i="9"/>
  <c r="H1827" i="9"/>
  <c r="H1826" i="9"/>
  <c r="H1825" i="9"/>
  <c r="H1824" i="9"/>
  <c r="H1823" i="9"/>
  <c r="H1822" i="9"/>
  <c r="H1821" i="9"/>
  <c r="H1820" i="9"/>
  <c r="H1819" i="9"/>
  <c r="H1818" i="9"/>
  <c r="H1817" i="9"/>
  <c r="H1816" i="9"/>
  <c r="H1815" i="9"/>
  <c r="H1814" i="9"/>
  <c r="H1813" i="9"/>
  <c r="H1812" i="9"/>
  <c r="H1811" i="9"/>
  <c r="H1810" i="9"/>
  <c r="H1809" i="9"/>
  <c r="H1808" i="9"/>
  <c r="H1807" i="9"/>
  <c r="H1806" i="9"/>
  <c r="H1805" i="9"/>
  <c r="H1804" i="9"/>
  <c r="H1803" i="9"/>
  <c r="H1802" i="9"/>
  <c r="H1801" i="9"/>
  <c r="H1800" i="9"/>
  <c r="H1799" i="9"/>
  <c r="H1798" i="9"/>
  <c r="H1797" i="9"/>
  <c r="H1796" i="9"/>
  <c r="H1795" i="9"/>
  <c r="H1794" i="9"/>
  <c r="H1793" i="9"/>
  <c r="H1792" i="9"/>
  <c r="H1791" i="9"/>
  <c r="H1790" i="9"/>
  <c r="H1789" i="9"/>
  <c r="H1788" i="9"/>
  <c r="H1787" i="9"/>
  <c r="H1786" i="9"/>
  <c r="H1785" i="9"/>
  <c r="H1784" i="9"/>
  <c r="H1783" i="9"/>
  <c r="H1782" i="9"/>
  <c r="G1782" i="9"/>
  <c r="H1781" i="9"/>
  <c r="H1780" i="9"/>
  <c r="H1779" i="9"/>
  <c r="G1779" i="9"/>
  <c r="H1778" i="9"/>
  <c r="H1777" i="9"/>
  <c r="H1776" i="9"/>
  <c r="H1775" i="9"/>
  <c r="H1774" i="9"/>
  <c r="H1773" i="9"/>
  <c r="H1772" i="9"/>
  <c r="H1771" i="9"/>
  <c r="H1770" i="9"/>
  <c r="H1769" i="9"/>
  <c r="H1768" i="9"/>
  <c r="H1767" i="9"/>
  <c r="H1766" i="9"/>
  <c r="H1765" i="9"/>
  <c r="H1764" i="9"/>
  <c r="H1763" i="9"/>
  <c r="H1762" i="9"/>
  <c r="H1761" i="9"/>
  <c r="H1760" i="9"/>
  <c r="H1759" i="9"/>
  <c r="H1758" i="9"/>
  <c r="H1757" i="9"/>
  <c r="H1756" i="9"/>
  <c r="H1755" i="9"/>
  <c r="H1754" i="9"/>
  <c r="H1753" i="9"/>
  <c r="H1752" i="9"/>
  <c r="H1751" i="9"/>
  <c r="H1750" i="9"/>
  <c r="H1749" i="9"/>
  <c r="H1748" i="9"/>
  <c r="H1747" i="9"/>
  <c r="H1746" i="9"/>
  <c r="H1745" i="9"/>
  <c r="H1744" i="9"/>
  <c r="H1743" i="9"/>
  <c r="H1742" i="9"/>
  <c r="H1741" i="9"/>
  <c r="H1740" i="9"/>
  <c r="H1739" i="9"/>
  <c r="H1738" i="9"/>
  <c r="H1737" i="9"/>
  <c r="H1736" i="9"/>
  <c r="H1735" i="9"/>
  <c r="H1734" i="9"/>
  <c r="H1733" i="9"/>
  <c r="H1732" i="9"/>
  <c r="H1731" i="9"/>
  <c r="H1730" i="9"/>
  <c r="G1730" i="9"/>
  <c r="H1729" i="9"/>
  <c r="H1728" i="9"/>
  <c r="H1727" i="9"/>
  <c r="H1726" i="9"/>
  <c r="H1725" i="9"/>
  <c r="H1724" i="9"/>
  <c r="H1723" i="9"/>
  <c r="H1722" i="9"/>
  <c r="H1721" i="9"/>
  <c r="H1720" i="9"/>
  <c r="H1719" i="9"/>
  <c r="H1718" i="9"/>
  <c r="H1717" i="9"/>
  <c r="H1716" i="9"/>
  <c r="H1715" i="9"/>
  <c r="H1714" i="9"/>
  <c r="H1713" i="9"/>
  <c r="H1712" i="9"/>
  <c r="H1711" i="9"/>
  <c r="H1710" i="9"/>
  <c r="H1709" i="9"/>
  <c r="H1708" i="9"/>
  <c r="H1707" i="9"/>
  <c r="H1706" i="9"/>
  <c r="H1705" i="9"/>
  <c r="H1704" i="9"/>
  <c r="H1703" i="9"/>
  <c r="H1702" i="9"/>
  <c r="H1701" i="9"/>
  <c r="H1700" i="9"/>
  <c r="H1699" i="9"/>
  <c r="H1698" i="9"/>
  <c r="H1697" i="9"/>
  <c r="H1696" i="9"/>
  <c r="H1695" i="9"/>
  <c r="H1694" i="9"/>
  <c r="H1693" i="9"/>
  <c r="H1692" i="9"/>
  <c r="H1691" i="9"/>
  <c r="H1690" i="9"/>
  <c r="H1689" i="9"/>
  <c r="H1688" i="9"/>
  <c r="H1687" i="9"/>
  <c r="H1686" i="9"/>
  <c r="H1685" i="9"/>
  <c r="H1684" i="9"/>
  <c r="H1683" i="9"/>
  <c r="H1682" i="9"/>
  <c r="H1681" i="9"/>
  <c r="H1680" i="9"/>
  <c r="H1679" i="9"/>
  <c r="G1679" i="9"/>
  <c r="H1678" i="9"/>
  <c r="H1677" i="9"/>
  <c r="H1676" i="9"/>
  <c r="H1675" i="9"/>
  <c r="H1674" i="9"/>
  <c r="H1673" i="9"/>
  <c r="H1672" i="9"/>
  <c r="G1672" i="9"/>
  <c r="H1671" i="9"/>
  <c r="G1670" i="9"/>
  <c r="H1670" i="9" s="1"/>
  <c r="H1669" i="9"/>
  <c r="H1668" i="9"/>
  <c r="H1667" i="9"/>
  <c r="H1666" i="9"/>
  <c r="G1666" i="9"/>
  <c r="H1665" i="9"/>
  <c r="H1664" i="9"/>
  <c r="H1663" i="9"/>
  <c r="H1662" i="9"/>
  <c r="H1661" i="9"/>
  <c r="H1660" i="9"/>
  <c r="H1659" i="9"/>
  <c r="H1658" i="9"/>
  <c r="H1657" i="9"/>
  <c r="H1656" i="9"/>
  <c r="H1655" i="9"/>
  <c r="H1654" i="9"/>
  <c r="H1653" i="9"/>
  <c r="H1652" i="9"/>
  <c r="H1651" i="9"/>
  <c r="H1650" i="9"/>
  <c r="H1649" i="9"/>
  <c r="H1648" i="9"/>
  <c r="H1647" i="9"/>
  <c r="H1646" i="9"/>
  <c r="H1645" i="9"/>
  <c r="H1644" i="9"/>
  <c r="H1643" i="9"/>
  <c r="H1642" i="9"/>
  <c r="H1641" i="9"/>
  <c r="H1640" i="9"/>
  <c r="H1639" i="9"/>
  <c r="H1638" i="9"/>
  <c r="H1637" i="9"/>
  <c r="H1636" i="9"/>
  <c r="H1635" i="9"/>
  <c r="H1634" i="9"/>
  <c r="H1633" i="9"/>
  <c r="H1632" i="9"/>
  <c r="H1631" i="9"/>
  <c r="H1630" i="9"/>
  <c r="H1629" i="9"/>
  <c r="H1628" i="9"/>
  <c r="H1627" i="9"/>
  <c r="H1626" i="9"/>
  <c r="H1625" i="9"/>
  <c r="H1624" i="9"/>
  <c r="H1623" i="9"/>
  <c r="H1622" i="9"/>
  <c r="G1621" i="9"/>
  <c r="H1621" i="9" s="1"/>
  <c r="H1620" i="9"/>
  <c r="H1619" i="9"/>
  <c r="H1618" i="9"/>
  <c r="H1617" i="9"/>
  <c r="H1616" i="9"/>
  <c r="H1615" i="9"/>
  <c r="H1614" i="9"/>
  <c r="H1613" i="9"/>
  <c r="H1612" i="9"/>
  <c r="H1611" i="9"/>
  <c r="H1610" i="9"/>
  <c r="H1609" i="9"/>
  <c r="H1608" i="9"/>
  <c r="H1607" i="9"/>
  <c r="H1606" i="9"/>
  <c r="H1605" i="9"/>
  <c r="H1604" i="9"/>
  <c r="H1603" i="9"/>
  <c r="H1602" i="9"/>
  <c r="H1601" i="9"/>
  <c r="H1600" i="9"/>
  <c r="H1599" i="9"/>
  <c r="H1598" i="9"/>
  <c r="H1597" i="9"/>
  <c r="H1596" i="9"/>
  <c r="H1595" i="9"/>
  <c r="H1594" i="9"/>
  <c r="H1593" i="9"/>
  <c r="H1592" i="9"/>
  <c r="H1591" i="9"/>
  <c r="H1590" i="9"/>
  <c r="H1589" i="9"/>
  <c r="H1588" i="9"/>
  <c r="H1587" i="9"/>
  <c r="H1586" i="9"/>
  <c r="H1585" i="9"/>
  <c r="H1584" i="9"/>
  <c r="H1583" i="9"/>
  <c r="H1582" i="9"/>
  <c r="H1581" i="9"/>
  <c r="H1580" i="9"/>
  <c r="H1579" i="9"/>
  <c r="H1578" i="9"/>
  <c r="H1577" i="9"/>
  <c r="H1576" i="9"/>
  <c r="H1575" i="9"/>
  <c r="H1574" i="9"/>
  <c r="H1573" i="9"/>
  <c r="H1572" i="9"/>
  <c r="H1571" i="9"/>
  <c r="H1570" i="9"/>
  <c r="H1569" i="9"/>
  <c r="H1568" i="9"/>
  <c r="H1567" i="9"/>
  <c r="H1566" i="9"/>
  <c r="H1565" i="9"/>
  <c r="H1564" i="9"/>
  <c r="H1563" i="9"/>
  <c r="H1562" i="9"/>
  <c r="H1561" i="9"/>
  <c r="H1560" i="9"/>
  <c r="H1559" i="9"/>
  <c r="H1558" i="9"/>
  <c r="H1557" i="9"/>
  <c r="H1556" i="9"/>
  <c r="H1555" i="9"/>
  <c r="H1554" i="9"/>
  <c r="H1553" i="9"/>
  <c r="H1552" i="9"/>
  <c r="H1551" i="9"/>
  <c r="H1550" i="9"/>
  <c r="H1549" i="9"/>
  <c r="H1548" i="9"/>
  <c r="H1547" i="9"/>
  <c r="H1546" i="9"/>
  <c r="H1545" i="9"/>
  <c r="H1544" i="9"/>
  <c r="H1543" i="9"/>
  <c r="H1542" i="9"/>
  <c r="H1541" i="9"/>
  <c r="H1540" i="9"/>
  <c r="H1539" i="9"/>
  <c r="H1538" i="9"/>
  <c r="H1537" i="9"/>
  <c r="H1536" i="9"/>
  <c r="H1535" i="9"/>
  <c r="H1534" i="9"/>
  <c r="H1533" i="9"/>
  <c r="H1532" i="9"/>
  <c r="H1531" i="9"/>
  <c r="H1530" i="9"/>
  <c r="H1529" i="9"/>
  <c r="H1528" i="9"/>
  <c r="H1527" i="9"/>
  <c r="H1526" i="9"/>
  <c r="H1525" i="9"/>
  <c r="H1524" i="9"/>
  <c r="H1523" i="9"/>
  <c r="H1522" i="9"/>
  <c r="H1521" i="9"/>
  <c r="H1520" i="9"/>
  <c r="H1519" i="9"/>
  <c r="H1518" i="9"/>
  <c r="H1517" i="9"/>
  <c r="H1516" i="9"/>
  <c r="H1515" i="9"/>
  <c r="G1515" i="9"/>
  <c r="H1514" i="9"/>
  <c r="H1513" i="9"/>
  <c r="H1512" i="9"/>
  <c r="H1511" i="9"/>
  <c r="H1510" i="9"/>
  <c r="H1509" i="9"/>
  <c r="H1508" i="9"/>
  <c r="H1507" i="9"/>
  <c r="H1506" i="9"/>
  <c r="H1505" i="9"/>
  <c r="H1504" i="9"/>
  <c r="H1503" i="9"/>
  <c r="H1502" i="9"/>
  <c r="H1501" i="9"/>
  <c r="H1500" i="9"/>
  <c r="H1499" i="9"/>
  <c r="H1498" i="9"/>
  <c r="H1497" i="9"/>
  <c r="H1496" i="9"/>
  <c r="H1495" i="9"/>
  <c r="H1494" i="9"/>
  <c r="H1493" i="9"/>
  <c r="H1492" i="9"/>
  <c r="H1491" i="9"/>
  <c r="H1490" i="9"/>
  <c r="H1489" i="9"/>
  <c r="H1488" i="9"/>
  <c r="H1487" i="9"/>
  <c r="H1486" i="9"/>
  <c r="H1485" i="9"/>
  <c r="H1484" i="9"/>
  <c r="H1483" i="9"/>
  <c r="H1482" i="9"/>
  <c r="H1481" i="9"/>
  <c r="H1480" i="9"/>
  <c r="H1479" i="9"/>
  <c r="H1478" i="9"/>
  <c r="H1477" i="9"/>
  <c r="H1476" i="9"/>
  <c r="H1475" i="9"/>
  <c r="H1474" i="9"/>
  <c r="H1473" i="9"/>
  <c r="H1472" i="9"/>
  <c r="H1471" i="9"/>
  <c r="H1470" i="9"/>
  <c r="H1469" i="9"/>
  <c r="H1468" i="9"/>
  <c r="G1468" i="9"/>
  <c r="H1467" i="9"/>
  <c r="H1466" i="9"/>
  <c r="H1465" i="9"/>
  <c r="H1464" i="9"/>
  <c r="H1463" i="9"/>
  <c r="H1462" i="9"/>
  <c r="H1461" i="9"/>
  <c r="H1460" i="9"/>
  <c r="H1459" i="9"/>
  <c r="H1458" i="9"/>
  <c r="H1457" i="9"/>
  <c r="H1456" i="9"/>
  <c r="H1455" i="9"/>
  <c r="H1454" i="9"/>
  <c r="H1453" i="9"/>
  <c r="H1452" i="9"/>
  <c r="H1451" i="9"/>
  <c r="H1450" i="9"/>
  <c r="H1449" i="9"/>
  <c r="H1448" i="9"/>
  <c r="H1447" i="9"/>
  <c r="H1446" i="9"/>
  <c r="H1445" i="9"/>
  <c r="H1444" i="9"/>
  <c r="H1443" i="9"/>
  <c r="H1442" i="9"/>
  <c r="G1442" i="9"/>
  <c r="H1441" i="9"/>
  <c r="H1440" i="9"/>
  <c r="H1439" i="9"/>
  <c r="H1438" i="9"/>
  <c r="H1437" i="9"/>
  <c r="H1436" i="9"/>
  <c r="H1435" i="9"/>
  <c r="H1434" i="9"/>
  <c r="H1433" i="9"/>
  <c r="H1432" i="9"/>
  <c r="H1431" i="9"/>
  <c r="H1430" i="9"/>
  <c r="H1429" i="9"/>
  <c r="H1428" i="9"/>
  <c r="H1427" i="9"/>
  <c r="H1426" i="9"/>
  <c r="H1425" i="9"/>
  <c r="H1424" i="9"/>
  <c r="H1423" i="9"/>
  <c r="H1422" i="9"/>
  <c r="G1422" i="9"/>
  <c r="H1421" i="9"/>
  <c r="H1420" i="9"/>
  <c r="H1419" i="9"/>
  <c r="G1419" i="9"/>
  <c r="H1418" i="9"/>
  <c r="H1417" i="9"/>
  <c r="H1416" i="9"/>
  <c r="G1415" i="9"/>
  <c r="H1415" i="9" s="1"/>
  <c r="H1414" i="9"/>
  <c r="H1413" i="9"/>
  <c r="H1412" i="9"/>
  <c r="H1411" i="9"/>
  <c r="H1410" i="9"/>
  <c r="H1409" i="9"/>
  <c r="G1408" i="9"/>
  <c r="H1408" i="9" s="1"/>
  <c r="H1407" i="9"/>
  <c r="H1406" i="9"/>
  <c r="H1405" i="9"/>
  <c r="H1404" i="9"/>
  <c r="H1403" i="9"/>
  <c r="H1402" i="9"/>
  <c r="H1401" i="9"/>
  <c r="H1400" i="9"/>
  <c r="H1399" i="9"/>
  <c r="H1398" i="9"/>
  <c r="H1397" i="9"/>
  <c r="H1396" i="9"/>
  <c r="H1395" i="9"/>
  <c r="H1394" i="9"/>
  <c r="H1393" i="9"/>
  <c r="H1392" i="9"/>
  <c r="H1391" i="9"/>
  <c r="H1390" i="9"/>
  <c r="H1389" i="9"/>
  <c r="H1388" i="9"/>
  <c r="H1387" i="9"/>
  <c r="H1386" i="9"/>
  <c r="H1385" i="9"/>
  <c r="H1384" i="9"/>
  <c r="H1383" i="9"/>
  <c r="H1382" i="9"/>
  <c r="H1381" i="9"/>
  <c r="H1380" i="9"/>
  <c r="H1379" i="9"/>
  <c r="H1378" i="9"/>
  <c r="H1377" i="9"/>
  <c r="H1376" i="9"/>
  <c r="H1375" i="9"/>
  <c r="H1374" i="9"/>
  <c r="H1373" i="9"/>
  <c r="H1372" i="9"/>
  <c r="H1371" i="9"/>
  <c r="H1370" i="9"/>
  <c r="H1369" i="9"/>
  <c r="H1368" i="9"/>
  <c r="H1367" i="9"/>
  <c r="H1366" i="9"/>
  <c r="H1365" i="9"/>
  <c r="H1364" i="9"/>
  <c r="H1363" i="9"/>
  <c r="H1362" i="9"/>
  <c r="H1361" i="9"/>
  <c r="H1360" i="9"/>
  <c r="H1359" i="9"/>
  <c r="H1358" i="9"/>
  <c r="H1357" i="9"/>
  <c r="H1356" i="9"/>
  <c r="H1355" i="9"/>
  <c r="H1354" i="9"/>
  <c r="H1353" i="9"/>
  <c r="H1352" i="9"/>
  <c r="H1351" i="9"/>
  <c r="H1350" i="9"/>
  <c r="H1349" i="9"/>
  <c r="H1348" i="9"/>
  <c r="H1347" i="9"/>
  <c r="H1346" i="9"/>
  <c r="H1345" i="9"/>
  <c r="H1344" i="9"/>
  <c r="H1343" i="9"/>
  <c r="H1342" i="9"/>
  <c r="H1341" i="9"/>
  <c r="H1340" i="9"/>
  <c r="H1339" i="9"/>
  <c r="H1338" i="9"/>
  <c r="H1337" i="9"/>
  <c r="H1336" i="9"/>
  <c r="H1335" i="9"/>
  <c r="H1334" i="9"/>
  <c r="H1333" i="9"/>
  <c r="H1332" i="9"/>
  <c r="H1331" i="9"/>
  <c r="H1330" i="9"/>
  <c r="H1329" i="9"/>
  <c r="H1328" i="9"/>
  <c r="H1327" i="9"/>
  <c r="H1326" i="9"/>
  <c r="H1325" i="9"/>
  <c r="H1324" i="9"/>
  <c r="H1323" i="9"/>
  <c r="H1322" i="9"/>
  <c r="H1321" i="9"/>
  <c r="H1320" i="9"/>
  <c r="H1319" i="9"/>
  <c r="H1318" i="9"/>
  <c r="H1317" i="9"/>
  <c r="H1316" i="9"/>
  <c r="H1315" i="9"/>
  <c r="H1314" i="9"/>
  <c r="H1313" i="9"/>
  <c r="H1312" i="9"/>
  <c r="H1311" i="9"/>
  <c r="H1310" i="9"/>
  <c r="G1309" i="9"/>
  <c r="H1309" i="9" s="1"/>
  <c r="H1308" i="9"/>
  <c r="H1307" i="9"/>
  <c r="H1306" i="9"/>
  <c r="H1305" i="9"/>
  <c r="H1304" i="9"/>
  <c r="H1303" i="9"/>
  <c r="H1302" i="9"/>
  <c r="H1301" i="9"/>
  <c r="H1300" i="9"/>
  <c r="H1299" i="9"/>
  <c r="H1298" i="9"/>
  <c r="H1297" i="9"/>
  <c r="H1296" i="9"/>
  <c r="H1295" i="9"/>
  <c r="H1294" i="9"/>
  <c r="H1293" i="9"/>
  <c r="H1292" i="9"/>
  <c r="H1291" i="9"/>
  <c r="H1290" i="9"/>
  <c r="G1290" i="9"/>
  <c r="H1289" i="9"/>
  <c r="H1288" i="9"/>
  <c r="H1287" i="9"/>
  <c r="H1286" i="9"/>
  <c r="H1285" i="9"/>
  <c r="H1284" i="9"/>
  <c r="H1283" i="9"/>
  <c r="H1282" i="9"/>
  <c r="H1281" i="9"/>
  <c r="H1280" i="9"/>
  <c r="H1279" i="9"/>
  <c r="H1278" i="9"/>
  <c r="H1277" i="9"/>
  <c r="H1276" i="9"/>
  <c r="H1275" i="9"/>
  <c r="H1274" i="9"/>
  <c r="H1273" i="9"/>
  <c r="H1272" i="9"/>
  <c r="H1271" i="9"/>
  <c r="H1270" i="9"/>
  <c r="H1269" i="9"/>
  <c r="H1268" i="9"/>
  <c r="H1267" i="9"/>
  <c r="H1266" i="9"/>
  <c r="H1265" i="9"/>
  <c r="H1264" i="9"/>
  <c r="H1263" i="9"/>
  <c r="H1262" i="9"/>
  <c r="H1261" i="9"/>
  <c r="H1260" i="9"/>
  <c r="H1259" i="9"/>
  <c r="H1258" i="9"/>
  <c r="H1257" i="9"/>
  <c r="H1256" i="9"/>
  <c r="H1255" i="9"/>
  <c r="H1254" i="9"/>
  <c r="H1253" i="9"/>
  <c r="G1253" i="9"/>
  <c r="H1252" i="9"/>
  <c r="H1251" i="9"/>
  <c r="H1250" i="9"/>
  <c r="G1250" i="9"/>
  <c r="H1249" i="9"/>
  <c r="H1248" i="9"/>
  <c r="H1247" i="9"/>
  <c r="H1246" i="9"/>
  <c r="H1245" i="9"/>
  <c r="G1245" i="9"/>
  <c r="H1244" i="9"/>
  <c r="H1243" i="9"/>
  <c r="H1242" i="9"/>
  <c r="H1241" i="9"/>
  <c r="H1240" i="9"/>
  <c r="H1239" i="9"/>
  <c r="H1238" i="9"/>
  <c r="H1237" i="9"/>
  <c r="H1236" i="9"/>
  <c r="G1236" i="9"/>
  <c r="H1235" i="9"/>
  <c r="H1234" i="9"/>
  <c r="H1233" i="9"/>
  <c r="H1232" i="9"/>
  <c r="H1231" i="9"/>
  <c r="H1230" i="9"/>
  <c r="H1229" i="9"/>
  <c r="H1228" i="9"/>
  <c r="H1227" i="9"/>
  <c r="H1226" i="9"/>
  <c r="H1225" i="9"/>
  <c r="H1224" i="9"/>
  <c r="H1223" i="9"/>
  <c r="H1222" i="9"/>
  <c r="H1221" i="9"/>
  <c r="H1220" i="9"/>
  <c r="H1219" i="9"/>
  <c r="H1218" i="9"/>
  <c r="H1217" i="9"/>
  <c r="H1216" i="9"/>
  <c r="H1215" i="9"/>
  <c r="H1214" i="9"/>
  <c r="H1213" i="9"/>
  <c r="H1212" i="9"/>
  <c r="H1211" i="9"/>
  <c r="H1210" i="9"/>
  <c r="H1209" i="9"/>
  <c r="H1208" i="9"/>
  <c r="H1207" i="9"/>
  <c r="H1206" i="9"/>
  <c r="H1205" i="9"/>
  <c r="H1204" i="9"/>
  <c r="H1203" i="9"/>
  <c r="H1202" i="9"/>
  <c r="H1201" i="9"/>
  <c r="H1200" i="9"/>
  <c r="H1199" i="9"/>
  <c r="H1198" i="9"/>
  <c r="H1197" i="9"/>
  <c r="H1196" i="9"/>
  <c r="H1195" i="9"/>
  <c r="H1194" i="9"/>
  <c r="H1193" i="9"/>
  <c r="H1192" i="9"/>
  <c r="H1191" i="9"/>
  <c r="H1190" i="9"/>
  <c r="H1189" i="9"/>
  <c r="H1188" i="9"/>
  <c r="H1187" i="9"/>
  <c r="H1186" i="9"/>
  <c r="H1185" i="9"/>
  <c r="H1184" i="9"/>
  <c r="H1183" i="9"/>
  <c r="H1182" i="9"/>
  <c r="H1181" i="9"/>
  <c r="H1180" i="9"/>
  <c r="H1179" i="9"/>
  <c r="H1178" i="9"/>
  <c r="H1177" i="9"/>
  <c r="H1176" i="9"/>
  <c r="H1175" i="9"/>
  <c r="H1174" i="9"/>
  <c r="H1173" i="9"/>
  <c r="H1172" i="9"/>
  <c r="H1171" i="9"/>
  <c r="H1170" i="9"/>
  <c r="H1169" i="9"/>
  <c r="H1168" i="9"/>
  <c r="H1167" i="9"/>
  <c r="H1166" i="9"/>
  <c r="H1165" i="9"/>
  <c r="H1164" i="9"/>
  <c r="H1163" i="9"/>
  <c r="H1162" i="9"/>
  <c r="H1161" i="9"/>
  <c r="H1160" i="9"/>
  <c r="H1159" i="9"/>
  <c r="H1158" i="9"/>
  <c r="H1157" i="9"/>
  <c r="H1156" i="9"/>
  <c r="H1155" i="9"/>
  <c r="H1154" i="9"/>
  <c r="H1153" i="9"/>
  <c r="H1152" i="9"/>
  <c r="H1151" i="9"/>
  <c r="H1150" i="9"/>
  <c r="H1149" i="9"/>
  <c r="H1148" i="9"/>
  <c r="H1147" i="9"/>
  <c r="H1146" i="9"/>
  <c r="H1145" i="9"/>
  <c r="H1144" i="9"/>
  <c r="H1143" i="9"/>
  <c r="H1142" i="9"/>
  <c r="H1141" i="9"/>
  <c r="H1140" i="9"/>
  <c r="H1139" i="9"/>
  <c r="H1138" i="9"/>
  <c r="H1137" i="9"/>
  <c r="H1136" i="9"/>
  <c r="H1135" i="9"/>
  <c r="H1134" i="9"/>
  <c r="H1133" i="9"/>
  <c r="G1133" i="9"/>
  <c r="H1132" i="9"/>
  <c r="H1131" i="9"/>
  <c r="H1130" i="9"/>
  <c r="H1129" i="9"/>
  <c r="H1128" i="9"/>
  <c r="H1127" i="9"/>
  <c r="H1126" i="9"/>
  <c r="H1125" i="9"/>
  <c r="H1124" i="9"/>
  <c r="H1123" i="9"/>
  <c r="H1122" i="9"/>
  <c r="H1121" i="9"/>
  <c r="H1120" i="9"/>
  <c r="G1120" i="9"/>
  <c r="H1119" i="9"/>
  <c r="H1118" i="9"/>
  <c r="H1117" i="9"/>
  <c r="H1116" i="9"/>
  <c r="H1115" i="9"/>
  <c r="H1114" i="9"/>
  <c r="H1113" i="9"/>
  <c r="H1112" i="9"/>
  <c r="H1111" i="9"/>
  <c r="H1110" i="9"/>
  <c r="H1109" i="9"/>
  <c r="H1108" i="9"/>
  <c r="H1107" i="9"/>
  <c r="H1106" i="9"/>
  <c r="H1105" i="9"/>
  <c r="H1104" i="9"/>
  <c r="H1103" i="9"/>
  <c r="H1102" i="9"/>
  <c r="H1101" i="9"/>
  <c r="H1100" i="9"/>
  <c r="H1099" i="9"/>
  <c r="H1098" i="9"/>
  <c r="H1097" i="9"/>
  <c r="H1096" i="9"/>
  <c r="H1095" i="9"/>
  <c r="H1094" i="9"/>
  <c r="H1093" i="9"/>
  <c r="H1092" i="9"/>
  <c r="H1091" i="9"/>
  <c r="H1090" i="9"/>
  <c r="H1089" i="9"/>
  <c r="H1088" i="9"/>
  <c r="H1087" i="9"/>
  <c r="H1086" i="9"/>
  <c r="H1085" i="9"/>
  <c r="H1084" i="9"/>
  <c r="H1083" i="9"/>
  <c r="H1082" i="9"/>
  <c r="H1081" i="9"/>
  <c r="H1080" i="9"/>
  <c r="H1079" i="9"/>
  <c r="H1078" i="9"/>
  <c r="H1077" i="9"/>
  <c r="H1076" i="9"/>
  <c r="H1075" i="9"/>
  <c r="H1074" i="9"/>
  <c r="H1073" i="9"/>
  <c r="H1072" i="9"/>
  <c r="H1071" i="9"/>
  <c r="H1070" i="9"/>
  <c r="H1069" i="9"/>
  <c r="H1068" i="9"/>
  <c r="H1067" i="9"/>
  <c r="H1066" i="9"/>
  <c r="H1065" i="9"/>
  <c r="H1064" i="9"/>
  <c r="H1063" i="9"/>
  <c r="H1062" i="9"/>
  <c r="H1061" i="9"/>
  <c r="H1060" i="9"/>
  <c r="H1059" i="9"/>
  <c r="H1058" i="9"/>
  <c r="H1057" i="9"/>
  <c r="H1056" i="9"/>
  <c r="H1055" i="9"/>
  <c r="H1054" i="9"/>
  <c r="H1053" i="9"/>
  <c r="H1052" i="9"/>
  <c r="H1051" i="9"/>
  <c r="H1050" i="9"/>
  <c r="H1049" i="9"/>
  <c r="H1048" i="9"/>
  <c r="H1047" i="9"/>
  <c r="H1046" i="9"/>
  <c r="H1045" i="9"/>
  <c r="H1044" i="9"/>
  <c r="H1043" i="9"/>
  <c r="H1042" i="9"/>
  <c r="H1041" i="9"/>
  <c r="H1040" i="9"/>
  <c r="H1039" i="9"/>
  <c r="H1038" i="9"/>
  <c r="H1037" i="9"/>
  <c r="H1036" i="9"/>
  <c r="H1035" i="9"/>
  <c r="H1034" i="9"/>
  <c r="H1033" i="9"/>
  <c r="H1032" i="9"/>
  <c r="H1031" i="9"/>
  <c r="H1030" i="9"/>
  <c r="H1029" i="9"/>
  <c r="H1028" i="9"/>
  <c r="H1027" i="9"/>
  <c r="H1026" i="9"/>
  <c r="H1025" i="9"/>
  <c r="H1024" i="9"/>
  <c r="H1023" i="9"/>
  <c r="H1022" i="9"/>
  <c r="H1021" i="9"/>
  <c r="H1020" i="9"/>
  <c r="H1019" i="9"/>
  <c r="H1018" i="9"/>
  <c r="H1017" i="9"/>
  <c r="H1016" i="9"/>
  <c r="H1015" i="9"/>
  <c r="H1014" i="9"/>
  <c r="H1013" i="9"/>
  <c r="H1012" i="9"/>
  <c r="H1011" i="9"/>
  <c r="H1010" i="9"/>
  <c r="H1009" i="9"/>
  <c r="H1008" i="9"/>
  <c r="H1007" i="9"/>
  <c r="H1006" i="9"/>
  <c r="H1005" i="9"/>
  <c r="H1004" i="9"/>
  <c r="H1003" i="9"/>
  <c r="H1002" i="9"/>
  <c r="H1001" i="9"/>
  <c r="H1000" i="9"/>
  <c r="H999" i="9"/>
  <c r="H998" i="9"/>
  <c r="H997" i="9"/>
  <c r="H996" i="9"/>
  <c r="H995" i="9"/>
  <c r="H994" i="9"/>
  <c r="H993" i="9"/>
  <c r="H992" i="9"/>
  <c r="H991" i="9"/>
  <c r="H990" i="9"/>
  <c r="G989" i="9"/>
  <c r="H989" i="9" s="1"/>
  <c r="H988" i="9"/>
  <c r="H987" i="9"/>
  <c r="H986" i="9"/>
  <c r="H985" i="9"/>
  <c r="H984" i="9"/>
  <c r="H983" i="9"/>
  <c r="H982" i="9"/>
  <c r="H981" i="9"/>
  <c r="H980" i="9"/>
  <c r="H979" i="9"/>
  <c r="H978" i="9"/>
  <c r="H977" i="9"/>
  <c r="H976" i="9"/>
  <c r="H975" i="9"/>
  <c r="H974" i="9"/>
  <c r="H973" i="9"/>
  <c r="H972" i="9"/>
  <c r="H971" i="9"/>
  <c r="H970" i="9"/>
  <c r="H969" i="9"/>
  <c r="H968" i="9"/>
  <c r="H967" i="9"/>
  <c r="H966" i="9"/>
  <c r="H965" i="9"/>
  <c r="H964" i="9"/>
  <c r="H963" i="9"/>
  <c r="H962" i="9"/>
  <c r="H961" i="9"/>
  <c r="H960" i="9"/>
  <c r="H959" i="9"/>
  <c r="H958" i="9"/>
  <c r="H957" i="9"/>
  <c r="H956" i="9"/>
  <c r="G956" i="9"/>
  <c r="H955" i="9"/>
  <c r="H954" i="9"/>
  <c r="H953" i="9"/>
  <c r="H952" i="9"/>
  <c r="H951" i="9"/>
  <c r="H950" i="9"/>
  <c r="H949" i="9"/>
  <c r="H948" i="9"/>
  <c r="H947" i="9"/>
  <c r="H946" i="9"/>
  <c r="H945" i="9"/>
  <c r="H944" i="9"/>
  <c r="H943" i="9"/>
  <c r="H942" i="9"/>
  <c r="H941" i="9"/>
  <c r="H940" i="9"/>
  <c r="H939" i="9"/>
  <c r="G939" i="9"/>
  <c r="H938" i="9"/>
  <c r="H937" i="9"/>
  <c r="H936" i="9"/>
  <c r="H935" i="9"/>
  <c r="H934" i="9"/>
  <c r="H933" i="9"/>
  <c r="H932" i="9"/>
  <c r="H931" i="9"/>
  <c r="H930" i="9"/>
  <c r="H929" i="9"/>
  <c r="H928" i="9"/>
  <c r="H927" i="9"/>
  <c r="H926" i="9"/>
  <c r="H925" i="9"/>
  <c r="H924" i="9"/>
  <c r="H923" i="9"/>
  <c r="H922" i="9"/>
  <c r="H921" i="9"/>
  <c r="H920" i="9"/>
  <c r="H919" i="9"/>
  <c r="H918" i="9"/>
  <c r="H917" i="9"/>
  <c r="H916" i="9"/>
  <c r="H915" i="9"/>
  <c r="H914" i="9"/>
  <c r="H913" i="9"/>
  <c r="H912" i="9"/>
  <c r="H911" i="9"/>
  <c r="H910" i="9"/>
  <c r="H909" i="9"/>
  <c r="H908" i="9"/>
  <c r="H907" i="9"/>
  <c r="H906" i="9"/>
  <c r="H905" i="9"/>
  <c r="H904" i="9"/>
  <c r="G903" i="9"/>
  <c r="H903" i="9" s="1"/>
  <c r="H902" i="9"/>
  <c r="H901" i="9"/>
  <c r="H900" i="9"/>
  <c r="H899" i="9"/>
  <c r="H898" i="9"/>
  <c r="H897" i="9"/>
  <c r="G896" i="9"/>
  <c r="H896" i="9" s="1"/>
  <c r="H895" i="9"/>
  <c r="H894" i="9"/>
  <c r="H893" i="9"/>
  <c r="H892" i="9"/>
  <c r="H891" i="9"/>
  <c r="H890" i="9"/>
  <c r="H889" i="9"/>
  <c r="H888" i="9"/>
  <c r="H887" i="9"/>
  <c r="G887" i="9"/>
  <c r="H886" i="9"/>
  <c r="H885" i="9"/>
  <c r="H884" i="9"/>
  <c r="H883" i="9"/>
  <c r="H882" i="9"/>
  <c r="H881" i="9"/>
  <c r="G881" i="9"/>
  <c r="H880" i="9"/>
  <c r="H879" i="9"/>
  <c r="H878" i="9"/>
  <c r="H877" i="9"/>
  <c r="H876" i="9"/>
  <c r="H875" i="9"/>
  <c r="H874" i="9"/>
  <c r="H873" i="9"/>
  <c r="H872" i="9"/>
  <c r="H871" i="9"/>
  <c r="H870" i="9"/>
  <c r="H869" i="9"/>
  <c r="H868" i="9"/>
  <c r="H867" i="9"/>
  <c r="H866" i="9"/>
  <c r="H865" i="9"/>
  <c r="H864" i="9"/>
  <c r="H863" i="9"/>
  <c r="H862" i="9"/>
  <c r="G861" i="9"/>
  <c r="H861" i="9" s="1"/>
  <c r="H860" i="9"/>
  <c r="H859" i="9"/>
  <c r="H858" i="9"/>
  <c r="H857" i="9"/>
  <c r="H856" i="9"/>
  <c r="H855" i="9"/>
  <c r="H854" i="9"/>
  <c r="H853" i="9"/>
  <c r="H852" i="9"/>
  <c r="H851" i="9"/>
  <c r="H850" i="9"/>
  <c r="H849" i="9"/>
  <c r="H848" i="9"/>
  <c r="H847" i="9"/>
  <c r="H846" i="9"/>
  <c r="H845" i="9"/>
  <c r="H844" i="9"/>
  <c r="H843" i="9"/>
  <c r="H842" i="9"/>
  <c r="G842" i="9"/>
  <c r="H841" i="9"/>
  <c r="H840" i="9"/>
  <c r="H839" i="9"/>
  <c r="H838" i="9"/>
  <c r="H837" i="9"/>
  <c r="H836" i="9"/>
  <c r="H835" i="9"/>
  <c r="H834" i="9"/>
  <c r="H833" i="9"/>
  <c r="H832" i="9"/>
  <c r="H831" i="9"/>
  <c r="H830" i="9"/>
  <c r="H829" i="9"/>
  <c r="H828" i="9"/>
  <c r="H827" i="9"/>
  <c r="H826" i="9"/>
  <c r="G826" i="9"/>
  <c r="H825" i="9"/>
  <c r="H824" i="9"/>
  <c r="H823" i="9"/>
  <c r="H822" i="9"/>
  <c r="H821" i="9"/>
  <c r="H820" i="9"/>
  <c r="H819" i="9"/>
  <c r="H818" i="9"/>
  <c r="H817" i="9"/>
  <c r="H816" i="9"/>
  <c r="G816" i="9"/>
  <c r="H815" i="9"/>
  <c r="H814" i="9"/>
  <c r="H813" i="9"/>
  <c r="H812" i="9"/>
  <c r="H811" i="9"/>
  <c r="H810" i="9"/>
  <c r="H809" i="9"/>
  <c r="H808" i="9"/>
  <c r="H807" i="9"/>
  <c r="H806" i="9"/>
  <c r="H805" i="9"/>
  <c r="H804" i="9"/>
  <c r="H803" i="9"/>
  <c r="H802" i="9"/>
  <c r="H801" i="9"/>
  <c r="H800" i="9"/>
  <c r="H799" i="9"/>
  <c r="H798" i="9"/>
  <c r="H797" i="9"/>
  <c r="H796" i="9"/>
  <c r="H795" i="9"/>
  <c r="H794" i="9"/>
  <c r="H793" i="9"/>
  <c r="H792" i="9"/>
  <c r="H791" i="9"/>
  <c r="H790" i="9"/>
  <c r="H789" i="9"/>
  <c r="H788" i="9"/>
  <c r="H787" i="9"/>
  <c r="H786" i="9"/>
  <c r="H785" i="9"/>
  <c r="G785" i="9"/>
  <c r="G784" i="9"/>
  <c r="H784" i="9" s="1"/>
  <c r="H783" i="9"/>
  <c r="H782" i="9"/>
  <c r="H781" i="9"/>
  <c r="H780" i="9"/>
  <c r="H779" i="9"/>
  <c r="H778" i="9"/>
  <c r="H777" i="9"/>
  <c r="H776" i="9"/>
  <c r="H775" i="9"/>
  <c r="H774" i="9"/>
  <c r="H773" i="9"/>
  <c r="H772" i="9"/>
  <c r="H771" i="9"/>
  <c r="H770" i="9"/>
  <c r="H769" i="9"/>
  <c r="H768" i="9"/>
  <c r="H767" i="9"/>
  <c r="H766" i="9"/>
  <c r="H765" i="9"/>
  <c r="H764" i="9"/>
  <c r="H763" i="9"/>
  <c r="H762" i="9"/>
  <c r="H761" i="9"/>
  <c r="H760" i="9"/>
  <c r="H759" i="9"/>
  <c r="H758" i="9"/>
  <c r="H757" i="9"/>
  <c r="H756" i="9"/>
  <c r="H755" i="9"/>
  <c r="H754" i="9"/>
  <c r="H753" i="9"/>
  <c r="H752" i="9"/>
  <c r="H751" i="9"/>
  <c r="H750" i="9"/>
  <c r="H749" i="9"/>
  <c r="H748" i="9"/>
  <c r="H747" i="9"/>
  <c r="H746" i="9"/>
  <c r="H745" i="9"/>
  <c r="H744" i="9"/>
  <c r="H743" i="9"/>
  <c r="H742" i="9"/>
  <c r="H741" i="9"/>
  <c r="H740" i="9"/>
  <c r="H739" i="9"/>
  <c r="H738" i="9"/>
  <c r="H737" i="9"/>
  <c r="H736" i="9"/>
  <c r="H735" i="9"/>
  <c r="H734" i="9"/>
  <c r="H733" i="9"/>
  <c r="H732" i="9"/>
  <c r="H731" i="9"/>
  <c r="H730" i="9"/>
  <c r="H729" i="9"/>
  <c r="H728" i="9"/>
  <c r="H727" i="9"/>
  <c r="H726" i="9"/>
  <c r="H725" i="9"/>
  <c r="H724" i="9"/>
  <c r="H723" i="9"/>
  <c r="H722" i="9"/>
  <c r="H721" i="9"/>
  <c r="H720" i="9"/>
  <c r="H719" i="9"/>
  <c r="H718" i="9"/>
  <c r="H717" i="9"/>
  <c r="H716" i="9"/>
  <c r="H715" i="9"/>
  <c r="H714" i="9"/>
  <c r="H713" i="9"/>
  <c r="H712" i="9"/>
  <c r="H711" i="9"/>
  <c r="H710" i="9"/>
  <c r="H709" i="9"/>
  <c r="H708" i="9"/>
  <c r="H707" i="9"/>
  <c r="H706" i="9"/>
  <c r="H705" i="9"/>
  <c r="H704" i="9"/>
  <c r="H703" i="9"/>
  <c r="H702" i="9"/>
  <c r="H701" i="9"/>
  <c r="H700" i="9"/>
  <c r="H699" i="9"/>
  <c r="H698" i="9"/>
  <c r="H697" i="9"/>
  <c r="H696" i="9"/>
  <c r="H695" i="9"/>
  <c r="H694" i="9"/>
  <c r="H693" i="9"/>
  <c r="H692" i="9"/>
  <c r="H691" i="9"/>
  <c r="H690" i="9"/>
  <c r="H689" i="9"/>
  <c r="H688" i="9"/>
  <c r="H687" i="9"/>
  <c r="H686" i="9"/>
  <c r="H685" i="9"/>
  <c r="H684" i="9"/>
  <c r="H683" i="9"/>
  <c r="H682" i="9"/>
  <c r="H681" i="9"/>
  <c r="H680" i="9"/>
  <c r="H679" i="9"/>
  <c r="H678" i="9"/>
  <c r="H677" i="9"/>
  <c r="H676" i="9"/>
  <c r="H675" i="9"/>
  <c r="H674" i="9"/>
  <c r="G673" i="9"/>
  <c r="H673" i="9" s="1"/>
  <c r="H672" i="9"/>
  <c r="H671" i="9"/>
  <c r="H670" i="9"/>
  <c r="H669" i="9"/>
  <c r="H668" i="9"/>
  <c r="H667" i="9"/>
  <c r="H666" i="9"/>
  <c r="H665" i="9"/>
  <c r="H664" i="9"/>
  <c r="H663" i="9"/>
  <c r="H662" i="9"/>
  <c r="H661" i="9"/>
  <c r="H660" i="9"/>
  <c r="H659" i="9"/>
  <c r="H658" i="9"/>
  <c r="H657" i="9"/>
  <c r="H656" i="9"/>
  <c r="H655" i="9"/>
  <c r="H654" i="9"/>
  <c r="H653" i="9"/>
  <c r="H652" i="9"/>
  <c r="H651" i="9"/>
  <c r="H650" i="9"/>
  <c r="H649" i="9"/>
  <c r="H648" i="9"/>
  <c r="H647" i="9"/>
  <c r="H646" i="9"/>
  <c r="H645" i="9"/>
  <c r="H644" i="9"/>
  <c r="H643" i="9"/>
  <c r="H642" i="9"/>
  <c r="H641" i="9"/>
  <c r="H640" i="9"/>
  <c r="H639" i="9"/>
  <c r="H638" i="9"/>
  <c r="H637" i="9"/>
  <c r="H636" i="9"/>
  <c r="H635" i="9"/>
  <c r="H634" i="9"/>
  <c r="H633" i="9"/>
  <c r="H632" i="9"/>
  <c r="H631" i="9"/>
  <c r="H630" i="9"/>
  <c r="H629" i="9"/>
  <c r="H628" i="9"/>
  <c r="H627" i="9"/>
  <c r="H626" i="9"/>
  <c r="H625" i="9"/>
  <c r="H624" i="9"/>
  <c r="H623" i="9"/>
  <c r="H622" i="9"/>
  <c r="H621" i="9"/>
  <c r="H620" i="9"/>
  <c r="H619" i="9"/>
  <c r="H618" i="9"/>
  <c r="H617" i="9"/>
  <c r="H616" i="9"/>
  <c r="H615" i="9"/>
  <c r="H614" i="9"/>
  <c r="H613" i="9"/>
  <c r="H612" i="9"/>
  <c r="H611" i="9"/>
  <c r="H610" i="9"/>
  <c r="H609" i="9"/>
  <c r="H608" i="9"/>
  <c r="H607" i="9"/>
  <c r="H606" i="9"/>
  <c r="H605" i="9"/>
  <c r="H604" i="9"/>
  <c r="H603" i="9"/>
  <c r="H602" i="9"/>
  <c r="H601" i="9"/>
  <c r="H600" i="9"/>
  <c r="H599" i="9"/>
  <c r="H598" i="9"/>
  <c r="H597" i="9"/>
  <c r="H596" i="9"/>
  <c r="H595" i="9"/>
  <c r="H594" i="9"/>
  <c r="H593" i="9"/>
  <c r="H592" i="9"/>
  <c r="H591" i="9"/>
  <c r="H590" i="9"/>
  <c r="H589" i="9"/>
  <c r="H588" i="9"/>
  <c r="H587" i="9"/>
  <c r="H586" i="9"/>
  <c r="H585" i="9"/>
  <c r="H584" i="9"/>
  <c r="H583" i="9"/>
  <c r="H582" i="9"/>
  <c r="H581" i="9"/>
  <c r="H580" i="9"/>
  <c r="H579" i="9"/>
  <c r="H578" i="9"/>
  <c r="H577" i="9"/>
  <c r="H576" i="9"/>
  <c r="H575" i="9"/>
  <c r="H574" i="9"/>
  <c r="H573" i="9"/>
  <c r="H572" i="9"/>
  <c r="H571" i="9"/>
  <c r="H570" i="9"/>
  <c r="H569" i="9"/>
  <c r="H568" i="9"/>
  <c r="H567" i="9"/>
  <c r="H566" i="9"/>
  <c r="H565" i="9"/>
  <c r="H564" i="9"/>
  <c r="H563" i="9"/>
  <c r="H562" i="9"/>
  <c r="H561" i="9"/>
  <c r="H560" i="9"/>
  <c r="H559" i="9"/>
  <c r="G558" i="9"/>
  <c r="H558" i="9" s="1"/>
  <c r="H557" i="9"/>
  <c r="H556" i="9"/>
  <c r="H555" i="9"/>
  <c r="H554" i="9"/>
  <c r="G553" i="9"/>
  <c r="H553" i="9" s="1"/>
  <c r="H552" i="9"/>
  <c r="H551" i="9"/>
  <c r="H550" i="9"/>
  <c r="H549" i="9"/>
  <c r="H548" i="9"/>
  <c r="H547" i="9"/>
  <c r="G547" i="9"/>
  <c r="H546" i="9"/>
  <c r="H545" i="9"/>
  <c r="H544" i="9"/>
  <c r="H543" i="9"/>
  <c r="G542" i="9"/>
  <c r="H542" i="9" s="1"/>
  <c r="H541" i="9"/>
  <c r="H540" i="9"/>
  <c r="H539" i="9"/>
  <c r="H538" i="9"/>
  <c r="H537" i="9"/>
  <c r="H536" i="9"/>
  <c r="G535" i="9"/>
  <c r="H535" i="9" s="1"/>
  <c r="H534" i="9"/>
  <c r="H533" i="9"/>
  <c r="H532" i="9"/>
  <c r="H531" i="9"/>
  <c r="H530" i="9"/>
  <c r="H529" i="9"/>
  <c r="H528" i="9"/>
  <c r="H527" i="9"/>
  <c r="H526" i="9"/>
  <c r="H525" i="9"/>
  <c r="H524" i="9"/>
  <c r="H523" i="9"/>
  <c r="H522" i="9"/>
  <c r="H521" i="9"/>
  <c r="H520" i="9"/>
  <c r="H519" i="9"/>
  <c r="H518" i="9"/>
  <c r="H517" i="9"/>
  <c r="H516" i="9"/>
  <c r="H515" i="9"/>
  <c r="H514" i="9"/>
  <c r="H513" i="9"/>
  <c r="H512" i="9"/>
  <c r="H511" i="9"/>
  <c r="H510" i="9"/>
  <c r="H509" i="9"/>
  <c r="H508" i="9"/>
  <c r="H507" i="9"/>
  <c r="H506" i="9"/>
  <c r="H505" i="9"/>
  <c r="H504" i="9"/>
  <c r="H503" i="9"/>
  <c r="H502" i="9"/>
  <c r="H501" i="9"/>
  <c r="H500" i="9"/>
  <c r="H499" i="9"/>
  <c r="H498" i="9"/>
  <c r="H497" i="9"/>
  <c r="H496" i="9"/>
  <c r="H495" i="9"/>
  <c r="H494" i="9"/>
  <c r="H493" i="9"/>
  <c r="H492" i="9"/>
  <c r="H491" i="9"/>
  <c r="H490" i="9"/>
  <c r="H489" i="9"/>
  <c r="H488" i="9"/>
  <c r="H487" i="9"/>
  <c r="H486" i="9"/>
  <c r="H485" i="9"/>
  <c r="H484" i="9"/>
  <c r="H483" i="9"/>
  <c r="H482" i="9"/>
  <c r="H481" i="9"/>
  <c r="H480" i="9"/>
  <c r="H479" i="9"/>
  <c r="H478" i="9"/>
  <c r="H477" i="9"/>
  <c r="H476" i="9"/>
  <c r="H475" i="9"/>
  <c r="H474" i="9"/>
  <c r="H473" i="9"/>
  <c r="H472" i="9"/>
  <c r="H471" i="9"/>
  <c r="H470" i="9"/>
  <c r="H469" i="9"/>
  <c r="H468" i="9"/>
  <c r="H467" i="9"/>
  <c r="H466" i="9"/>
  <c r="H465" i="9"/>
  <c r="H464" i="9"/>
  <c r="H463" i="9"/>
  <c r="H462" i="9"/>
  <c r="H461" i="9"/>
  <c r="H460" i="9"/>
  <c r="H459" i="9"/>
  <c r="H458" i="9"/>
  <c r="H457" i="9"/>
  <c r="H456" i="9"/>
  <c r="H455" i="9"/>
  <c r="H454" i="9"/>
  <c r="H453" i="9"/>
  <c r="H452" i="9"/>
  <c r="H451" i="9"/>
  <c r="H450" i="9"/>
  <c r="H449" i="9"/>
  <c r="H448" i="9"/>
  <c r="H447" i="9"/>
  <c r="H446" i="9"/>
  <c r="H445" i="9"/>
  <c r="H444" i="9"/>
  <c r="H443" i="9"/>
  <c r="H442" i="9"/>
  <c r="H441" i="9"/>
  <c r="H440" i="9"/>
  <c r="H439" i="9"/>
  <c r="H438" i="9"/>
  <c r="H437" i="9"/>
  <c r="H436" i="9"/>
  <c r="H435" i="9"/>
  <c r="G435" i="9"/>
  <c r="H434" i="9"/>
  <c r="H433" i="9"/>
  <c r="H432" i="9"/>
  <c r="H431" i="9"/>
  <c r="H430" i="9"/>
  <c r="H429" i="9"/>
  <c r="H428" i="9"/>
  <c r="G428" i="9"/>
  <c r="H427" i="9"/>
  <c r="H426" i="9"/>
  <c r="H425" i="9"/>
  <c r="H424" i="9"/>
  <c r="H423" i="9"/>
  <c r="H422" i="9"/>
  <c r="H421" i="9"/>
  <c r="H420" i="9"/>
  <c r="H419" i="9"/>
  <c r="H418" i="9"/>
  <c r="H417" i="9"/>
  <c r="H416" i="9"/>
  <c r="H415" i="9"/>
  <c r="H414" i="9"/>
  <c r="H413" i="9"/>
  <c r="H412" i="9"/>
  <c r="H411" i="9"/>
  <c r="G411" i="9"/>
  <c r="H410" i="9"/>
  <c r="H409" i="9"/>
  <c r="H408" i="9"/>
  <c r="H407" i="9"/>
  <c r="H406" i="9"/>
  <c r="H405" i="9"/>
  <c r="H404" i="9"/>
  <c r="H403" i="9"/>
  <c r="H402" i="9"/>
  <c r="H401" i="9"/>
  <c r="H400" i="9"/>
  <c r="H399" i="9"/>
  <c r="H398" i="9"/>
  <c r="H397" i="9"/>
  <c r="H396" i="9"/>
  <c r="H395" i="9"/>
  <c r="H394" i="9"/>
  <c r="H393" i="9"/>
  <c r="H392" i="9"/>
  <c r="G391" i="9"/>
  <c r="H391" i="9" s="1"/>
  <c r="H390" i="9"/>
  <c r="H389" i="9"/>
  <c r="H388" i="9"/>
  <c r="H387" i="9"/>
  <c r="G387" i="9"/>
  <c r="H386" i="9"/>
  <c r="G386" i="9"/>
  <c r="H385" i="9"/>
  <c r="H384" i="9"/>
  <c r="H383" i="9"/>
  <c r="H382" i="9"/>
  <c r="H381" i="9"/>
  <c r="H380" i="9"/>
  <c r="H379" i="9"/>
  <c r="H378" i="9"/>
  <c r="H377" i="9"/>
  <c r="H376" i="9"/>
  <c r="H375" i="9"/>
  <c r="H374" i="9"/>
  <c r="H373" i="9"/>
  <c r="H372" i="9"/>
  <c r="H371" i="9"/>
  <c r="H370" i="9"/>
  <c r="H369" i="9"/>
  <c r="H368" i="9"/>
  <c r="H367" i="9"/>
  <c r="H366" i="9"/>
  <c r="H365" i="9"/>
  <c r="H364" i="9"/>
  <c r="H363" i="9"/>
  <c r="H362" i="9"/>
  <c r="H361" i="9"/>
  <c r="H360" i="9"/>
  <c r="H359" i="9"/>
  <c r="H358" i="9"/>
  <c r="H357" i="9"/>
  <c r="H356" i="9"/>
  <c r="H355" i="9"/>
  <c r="H354" i="9"/>
  <c r="H353" i="9"/>
  <c r="H352" i="9"/>
  <c r="H351" i="9"/>
  <c r="H350" i="9"/>
  <c r="H349" i="9"/>
  <c r="H348" i="9"/>
  <c r="H347" i="9"/>
  <c r="H346" i="9"/>
  <c r="H345" i="9"/>
  <c r="H344" i="9"/>
  <c r="H343" i="9"/>
  <c r="H342" i="9"/>
  <c r="H341" i="9"/>
  <c r="H340" i="9"/>
  <c r="H339" i="9"/>
  <c r="H338" i="9"/>
  <c r="H337" i="9"/>
  <c r="H336" i="9"/>
  <c r="H335" i="9"/>
  <c r="H334" i="9"/>
  <c r="H333" i="9"/>
  <c r="H332" i="9"/>
  <c r="H331" i="9"/>
  <c r="H330" i="9"/>
  <c r="H329" i="9"/>
  <c r="H328" i="9"/>
  <c r="H327" i="9"/>
  <c r="H326" i="9"/>
  <c r="H325" i="9"/>
  <c r="H324" i="9"/>
  <c r="H323" i="9"/>
  <c r="H322" i="9"/>
  <c r="H321" i="9"/>
  <c r="H320" i="9"/>
  <c r="H319" i="9"/>
  <c r="H318" i="9"/>
  <c r="H317" i="9"/>
  <c r="H316" i="9"/>
  <c r="H315" i="9"/>
  <c r="H314" i="9"/>
  <c r="H313" i="9"/>
  <c r="H312" i="9"/>
  <c r="H311" i="9"/>
  <c r="H310" i="9"/>
  <c r="H309" i="9"/>
  <c r="H308" i="9"/>
  <c r="H307" i="9"/>
  <c r="H306" i="9"/>
  <c r="H305" i="9"/>
  <c r="H304" i="9"/>
  <c r="H303" i="9"/>
  <c r="H302" i="9"/>
  <c r="H301" i="9"/>
  <c r="H300" i="9"/>
  <c r="H299" i="9"/>
  <c r="H298" i="9"/>
  <c r="H297" i="9"/>
  <c r="H296" i="9"/>
  <c r="H295" i="9"/>
  <c r="H294" i="9"/>
  <c r="H293" i="9"/>
  <c r="H292" i="9"/>
  <c r="H291" i="9"/>
  <c r="H290" i="9"/>
  <c r="H289" i="9"/>
  <c r="H288" i="9"/>
  <c r="H287" i="9"/>
  <c r="H286" i="9"/>
  <c r="H285" i="9"/>
  <c r="H284" i="9"/>
  <c r="H283" i="9"/>
  <c r="H282" i="9"/>
  <c r="H281" i="9"/>
  <c r="H280" i="9"/>
  <c r="H279" i="9"/>
  <c r="H278" i="9"/>
  <c r="H277" i="9"/>
  <c r="H276" i="9"/>
  <c r="G276" i="9"/>
  <c r="H275" i="9"/>
  <c r="H274" i="9"/>
  <c r="H273" i="9"/>
  <c r="H272" i="9"/>
  <c r="H271" i="9"/>
  <c r="H270" i="9"/>
  <c r="H269" i="9"/>
  <c r="G268" i="9"/>
  <c r="H268" i="9" s="1"/>
  <c r="H267" i="9"/>
  <c r="H266" i="9"/>
  <c r="H265" i="9"/>
  <c r="H264" i="9"/>
  <c r="H263" i="9"/>
  <c r="G263" i="9"/>
  <c r="H262" i="9"/>
  <c r="H261" i="9"/>
  <c r="H260" i="9"/>
  <c r="H259" i="9"/>
  <c r="H258" i="9"/>
  <c r="H257" i="9"/>
  <c r="H256" i="9"/>
  <c r="G256" i="9"/>
  <c r="H255" i="9"/>
  <c r="H254" i="9"/>
  <c r="H253" i="9"/>
  <c r="H252" i="9"/>
  <c r="H251" i="9"/>
  <c r="H250" i="9"/>
  <c r="H249" i="9"/>
  <c r="G248" i="9"/>
  <c r="H248" i="9" s="1"/>
  <c r="H247" i="9"/>
  <c r="H246" i="9"/>
  <c r="H245" i="9"/>
  <c r="H244" i="9"/>
  <c r="H243" i="9"/>
  <c r="H242" i="9"/>
  <c r="H241" i="9"/>
  <c r="H240" i="9"/>
  <c r="H239" i="9"/>
  <c r="H238" i="9"/>
  <c r="H237" i="9"/>
  <c r="H236" i="9"/>
  <c r="H235" i="9"/>
  <c r="H234" i="9"/>
  <c r="H233" i="9"/>
  <c r="H232" i="9"/>
  <c r="H231" i="9"/>
  <c r="H230" i="9"/>
  <c r="H229" i="9"/>
  <c r="H228" i="9"/>
  <c r="H227" i="9"/>
  <c r="H226" i="9"/>
  <c r="H225" i="9"/>
  <c r="H224" i="9"/>
  <c r="H223" i="9"/>
  <c r="H222" i="9"/>
  <c r="H221" i="9"/>
  <c r="H220" i="9"/>
  <c r="G220" i="9"/>
  <c r="H219" i="9"/>
  <c r="H218" i="9"/>
  <c r="H217" i="9"/>
  <c r="H216" i="9"/>
  <c r="H215" i="9"/>
  <c r="H214" i="9"/>
  <c r="H213" i="9"/>
  <c r="H212" i="9"/>
  <c r="H211" i="9"/>
  <c r="H210" i="9"/>
  <c r="H209" i="9"/>
  <c r="H208" i="9"/>
  <c r="H207" i="9"/>
  <c r="H206" i="9"/>
  <c r="H205" i="9"/>
  <c r="H204" i="9"/>
  <c r="H203" i="9"/>
  <c r="H202" i="9"/>
  <c r="H201" i="9"/>
  <c r="H200" i="9"/>
  <c r="H199" i="9"/>
  <c r="H198" i="9"/>
  <c r="H197" i="9"/>
  <c r="H196" i="9"/>
  <c r="H195" i="9"/>
  <c r="H194" i="9"/>
  <c r="H193" i="9"/>
  <c r="H192" i="9"/>
  <c r="H191" i="9"/>
  <c r="H190" i="9"/>
  <c r="H189" i="9"/>
  <c r="G189" i="9"/>
  <c r="H188" i="9"/>
  <c r="H187" i="9"/>
  <c r="H186" i="9"/>
  <c r="H185" i="9"/>
  <c r="H184" i="9"/>
  <c r="H183" i="9"/>
  <c r="H182" i="9"/>
  <c r="H181" i="9"/>
  <c r="H180" i="9"/>
  <c r="H179" i="9"/>
  <c r="H178" i="9"/>
  <c r="H177" i="9"/>
  <c r="H176" i="9"/>
  <c r="H175" i="9"/>
  <c r="H174" i="9"/>
  <c r="H173" i="9"/>
  <c r="H172" i="9"/>
  <c r="H171" i="9"/>
  <c r="H170" i="9"/>
  <c r="G169" i="9"/>
  <c r="H169" i="9" s="1"/>
  <c r="H168" i="9"/>
  <c r="H167" i="9"/>
  <c r="H166" i="9"/>
  <c r="H165" i="9"/>
  <c r="H164" i="9"/>
  <c r="H163" i="9"/>
  <c r="H162" i="9"/>
  <c r="H161" i="9"/>
  <c r="H160" i="9"/>
  <c r="H159" i="9"/>
  <c r="G158" i="9"/>
  <c r="H158" i="9" s="1"/>
  <c r="H157" i="9"/>
  <c r="H156" i="9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H128" i="9"/>
  <c r="G127" i="9"/>
  <c r="H127" i="9" s="1"/>
  <c r="H126" i="9"/>
  <c r="H125" i="9"/>
  <c r="H124" i="9"/>
  <c r="H123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H97" i="9"/>
  <c r="H96" i="9"/>
  <c r="H95" i="9"/>
  <c r="H94" i="9"/>
  <c r="H93" i="9"/>
  <c r="H92" i="9"/>
  <c r="H91" i="9"/>
  <c r="H90" i="9"/>
  <c r="H89" i="9"/>
  <c r="H88" i="9"/>
  <c r="H87" i="9"/>
  <c r="H86" i="9"/>
  <c r="H85" i="9"/>
  <c r="H84" i="9"/>
  <c r="H83" i="9"/>
  <c r="H82" i="9"/>
  <c r="H81" i="9"/>
  <c r="H80" i="9"/>
  <c r="H79" i="9"/>
  <c r="H78" i="9"/>
  <c r="H77" i="9"/>
  <c r="H76" i="9"/>
  <c r="H75" i="9"/>
  <c r="H74" i="9"/>
  <c r="H73" i="9"/>
  <c r="H72" i="9"/>
  <c r="H71" i="9"/>
  <c r="H70" i="9"/>
  <c r="H69" i="9"/>
  <c r="H68" i="9"/>
  <c r="H67" i="9"/>
  <c r="H66" i="9"/>
  <c r="H65" i="9"/>
  <c r="H64" i="9"/>
  <c r="H63" i="9"/>
  <c r="H62" i="9"/>
  <c r="H61" i="9"/>
  <c r="G60" i="9"/>
  <c r="H60" i="9" s="1"/>
  <c r="H59" i="9"/>
  <c r="H58" i="9"/>
  <c r="H57" i="9"/>
  <c r="H56" i="9"/>
  <c r="H55" i="9"/>
  <c r="H54" i="9"/>
  <c r="H53" i="9"/>
  <c r="H52" i="9"/>
  <c r="H51" i="9"/>
  <c r="H50" i="9"/>
  <c r="H49" i="9"/>
  <c r="H48" i="9"/>
  <c r="G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6" i="9"/>
  <c r="H15" i="9"/>
  <c r="G15" i="9"/>
  <c r="H14" i="9"/>
  <c r="H13" i="9"/>
  <c r="H12" i="9"/>
  <c r="H11" i="9"/>
  <c r="H10" i="9"/>
  <c r="H9" i="9"/>
  <c r="H8" i="9"/>
  <c r="H7" i="9"/>
  <c r="H6" i="9"/>
  <c r="H5" i="9"/>
  <c r="H4" i="9"/>
  <c r="H3" i="9"/>
  <c r="H2" i="9"/>
  <c r="G3139" i="8" l="1"/>
  <c r="G3449" i="8" l="1"/>
  <c r="G2696" i="6" l="1"/>
  <c r="G3147" i="8" l="1"/>
  <c r="G547" i="8" l="1"/>
  <c r="G409" i="8"/>
  <c r="I3104" i="4"/>
  <c r="G2711" i="8" l="1"/>
  <c r="G2610" i="8" l="1"/>
  <c r="G3797" i="8" l="1"/>
  <c r="G3296" i="8"/>
  <c r="G3762" i="8" l="1"/>
  <c r="G3519" i="8" l="1"/>
  <c r="I1613" i="2"/>
  <c r="H1618" i="2"/>
  <c r="G3529" i="8" l="1"/>
  <c r="G3598" i="8" l="1"/>
  <c r="G3530" i="8"/>
  <c r="G3363" i="8"/>
  <c r="G3528" i="8" l="1"/>
  <c r="G3517" i="8"/>
  <c r="G3375" i="8" l="1"/>
  <c r="G3806" i="8" l="1"/>
  <c r="G3419" i="8"/>
  <c r="G3418" i="8"/>
  <c r="G3370" i="8"/>
  <c r="G3253" i="8"/>
  <c r="G3248" i="8"/>
  <c r="E3820" i="8" l="1"/>
  <c r="H3819" i="8"/>
  <c r="H3818" i="8"/>
  <c r="H3817" i="8"/>
  <c r="H3816" i="8"/>
  <c r="H3815" i="8"/>
  <c r="H3814" i="8"/>
  <c r="H3813" i="8"/>
  <c r="H3812" i="8"/>
  <c r="H3811" i="8"/>
  <c r="H3810" i="8"/>
  <c r="H3809" i="8"/>
  <c r="H3808" i="8"/>
  <c r="H3807" i="8"/>
  <c r="H3806" i="8"/>
  <c r="H3805" i="8"/>
  <c r="H3804" i="8"/>
  <c r="H3803" i="8"/>
  <c r="H3802" i="8"/>
  <c r="H3801" i="8"/>
  <c r="H3800" i="8"/>
  <c r="H3799" i="8"/>
  <c r="H3798" i="8"/>
  <c r="H3797" i="8"/>
  <c r="H3796" i="8"/>
  <c r="H3795" i="8"/>
  <c r="H3794" i="8"/>
  <c r="H3793" i="8"/>
  <c r="H3792" i="8"/>
  <c r="H3791" i="8"/>
  <c r="H3790" i="8"/>
  <c r="H3789" i="8"/>
  <c r="H3788" i="8"/>
  <c r="H3787" i="8"/>
  <c r="H3786" i="8"/>
  <c r="H3785" i="8"/>
  <c r="H3784" i="8"/>
  <c r="H3783" i="8"/>
  <c r="H3782" i="8"/>
  <c r="H3781" i="8"/>
  <c r="H3780" i="8"/>
  <c r="H3779" i="8"/>
  <c r="H3778" i="8"/>
  <c r="H3777" i="8"/>
  <c r="H3776" i="8"/>
  <c r="H3775" i="8"/>
  <c r="H3774" i="8"/>
  <c r="H3773" i="8"/>
  <c r="H3772" i="8"/>
  <c r="H3771" i="8"/>
  <c r="H3770" i="8"/>
  <c r="H3769" i="8"/>
  <c r="H3768" i="8"/>
  <c r="H3767" i="8"/>
  <c r="H3766" i="8"/>
  <c r="H3765" i="8"/>
  <c r="H3764" i="8"/>
  <c r="H3763" i="8"/>
  <c r="H3762" i="8"/>
  <c r="H3761" i="8"/>
  <c r="H3760" i="8"/>
  <c r="H3759" i="8"/>
  <c r="H3758" i="8"/>
  <c r="H3757" i="8"/>
  <c r="H3756" i="8"/>
  <c r="H3755" i="8"/>
  <c r="H3754" i="8"/>
  <c r="H3753" i="8"/>
  <c r="H3752" i="8"/>
  <c r="H3751" i="8"/>
  <c r="H3750" i="8"/>
  <c r="H3749" i="8"/>
  <c r="H3748" i="8"/>
  <c r="H3747" i="8"/>
  <c r="H3746" i="8"/>
  <c r="H3745" i="8"/>
  <c r="H3744" i="8"/>
  <c r="H3743" i="8"/>
  <c r="H3742" i="8"/>
  <c r="H3741" i="8"/>
  <c r="H3740" i="8"/>
  <c r="H3739" i="8"/>
  <c r="H3738" i="8"/>
  <c r="H3737" i="8"/>
  <c r="H3736" i="8"/>
  <c r="H3735" i="8"/>
  <c r="H3734" i="8"/>
  <c r="H3733" i="8"/>
  <c r="H3732" i="8"/>
  <c r="H3731" i="8"/>
  <c r="H3730" i="8"/>
  <c r="H3729" i="8"/>
  <c r="H3728" i="8"/>
  <c r="H3727" i="8"/>
  <c r="H3726" i="8"/>
  <c r="H3725" i="8"/>
  <c r="H3724" i="8"/>
  <c r="H3723" i="8"/>
  <c r="H3722" i="8"/>
  <c r="H3721" i="8"/>
  <c r="H3720" i="8"/>
  <c r="H3719" i="8"/>
  <c r="H3718" i="8"/>
  <c r="H3717" i="8"/>
  <c r="H3716" i="8"/>
  <c r="H3715" i="8"/>
  <c r="H3714" i="8"/>
  <c r="H3713" i="8"/>
  <c r="H3712" i="8"/>
  <c r="H3711" i="8"/>
  <c r="H3710" i="8"/>
  <c r="H3709" i="8"/>
  <c r="H3708" i="8"/>
  <c r="H3707" i="8"/>
  <c r="H3706" i="8"/>
  <c r="H3705" i="8"/>
  <c r="H3704" i="8"/>
  <c r="H3703" i="8"/>
  <c r="H3702" i="8"/>
  <c r="H3701" i="8"/>
  <c r="H3700" i="8"/>
  <c r="H3699" i="8"/>
  <c r="H3698" i="8"/>
  <c r="H3697" i="8"/>
  <c r="H3696" i="8"/>
  <c r="H3695" i="8"/>
  <c r="H3694" i="8"/>
  <c r="H3693" i="8"/>
  <c r="H3692" i="8"/>
  <c r="H3691" i="8"/>
  <c r="H3690" i="8"/>
  <c r="H3689" i="8"/>
  <c r="H3688" i="8"/>
  <c r="H3687" i="8"/>
  <c r="H3686" i="8"/>
  <c r="H3685" i="8"/>
  <c r="H3684" i="8"/>
  <c r="H3683" i="8"/>
  <c r="H3682" i="8"/>
  <c r="H3681" i="8"/>
  <c r="H3680" i="8"/>
  <c r="H3679" i="8"/>
  <c r="H3678" i="8"/>
  <c r="G3677" i="8"/>
  <c r="H3677" i="8" s="1"/>
  <c r="H3676" i="8"/>
  <c r="H3675" i="8"/>
  <c r="H3674" i="8"/>
  <c r="H3673" i="8"/>
  <c r="H3672" i="8"/>
  <c r="H3671" i="8"/>
  <c r="H3670" i="8"/>
  <c r="H3669" i="8"/>
  <c r="H3668" i="8"/>
  <c r="H3667" i="8"/>
  <c r="H3666" i="8"/>
  <c r="H3665" i="8"/>
  <c r="H3664" i="8"/>
  <c r="H3663" i="8"/>
  <c r="H3662" i="8"/>
  <c r="H3661" i="8"/>
  <c r="H3660" i="8"/>
  <c r="H3659" i="8"/>
  <c r="H3658" i="8"/>
  <c r="H3657" i="8"/>
  <c r="H3656" i="8"/>
  <c r="H3655" i="8"/>
  <c r="H3654" i="8"/>
  <c r="H3653" i="8"/>
  <c r="H3652" i="8"/>
  <c r="H3651" i="8"/>
  <c r="H3650" i="8"/>
  <c r="H3649" i="8"/>
  <c r="H3648" i="8"/>
  <c r="H3647" i="8"/>
  <c r="H3646" i="8"/>
  <c r="H3645" i="8"/>
  <c r="H3644" i="8"/>
  <c r="H3643" i="8"/>
  <c r="H3642" i="8"/>
  <c r="H3641" i="8"/>
  <c r="H3640" i="8"/>
  <c r="H3639" i="8"/>
  <c r="H3638" i="8"/>
  <c r="H3637" i="8"/>
  <c r="H3636" i="8"/>
  <c r="H3635" i="8"/>
  <c r="H3634" i="8"/>
  <c r="H3633" i="8"/>
  <c r="H3632" i="8"/>
  <c r="H3631" i="8"/>
  <c r="H3630" i="8"/>
  <c r="H3629" i="8"/>
  <c r="H3628" i="8"/>
  <c r="H3627" i="8"/>
  <c r="H3626" i="8"/>
  <c r="H3625" i="8"/>
  <c r="H3624" i="8"/>
  <c r="H3623" i="8"/>
  <c r="H3622" i="8"/>
  <c r="H3621" i="8"/>
  <c r="H3620" i="8"/>
  <c r="H3619" i="8"/>
  <c r="H3618" i="8"/>
  <c r="H3617" i="8"/>
  <c r="H3616" i="8"/>
  <c r="H3615" i="8"/>
  <c r="H3614" i="8"/>
  <c r="H3613" i="8"/>
  <c r="H3612" i="8"/>
  <c r="H3611" i="8"/>
  <c r="H3610" i="8"/>
  <c r="H3609" i="8"/>
  <c r="H3608" i="8"/>
  <c r="H3607" i="8"/>
  <c r="H3606" i="8"/>
  <c r="H3605" i="8"/>
  <c r="H3604" i="8"/>
  <c r="H3603" i="8"/>
  <c r="H3602" i="8"/>
  <c r="H3601" i="8"/>
  <c r="H3600" i="8"/>
  <c r="H3599" i="8"/>
  <c r="H3598" i="8"/>
  <c r="H3597" i="8"/>
  <c r="H3596" i="8"/>
  <c r="H3595" i="8"/>
  <c r="H3594" i="8"/>
  <c r="H3593" i="8"/>
  <c r="H3592" i="8"/>
  <c r="H3591" i="8"/>
  <c r="H3590" i="8"/>
  <c r="H3589" i="8"/>
  <c r="H3588" i="8"/>
  <c r="H3587" i="8"/>
  <c r="H3586" i="8"/>
  <c r="H3585" i="8"/>
  <c r="H3584" i="8"/>
  <c r="H3583" i="8"/>
  <c r="H3582" i="8"/>
  <c r="H3581" i="8"/>
  <c r="H3580" i="8"/>
  <c r="H3579" i="8"/>
  <c r="H3578" i="8"/>
  <c r="H3577" i="8"/>
  <c r="H3576" i="8"/>
  <c r="H3575" i="8"/>
  <c r="H3574" i="8"/>
  <c r="H3573" i="8"/>
  <c r="H3572" i="8"/>
  <c r="H3571" i="8"/>
  <c r="H3570" i="8"/>
  <c r="H3569" i="8"/>
  <c r="H3568" i="8"/>
  <c r="H3567" i="8"/>
  <c r="H3566" i="8"/>
  <c r="H3565" i="8"/>
  <c r="H3564" i="8"/>
  <c r="H3563" i="8"/>
  <c r="H3562" i="8"/>
  <c r="H3561" i="8"/>
  <c r="H3560" i="8"/>
  <c r="H3559" i="8"/>
  <c r="G3558" i="8"/>
  <c r="H3558" i="8" s="1"/>
  <c r="H3557" i="8"/>
  <c r="H3556" i="8"/>
  <c r="H3555" i="8"/>
  <c r="H3554" i="8"/>
  <c r="H3553" i="8"/>
  <c r="H3552" i="8"/>
  <c r="H3551" i="8"/>
  <c r="H3550" i="8"/>
  <c r="H3549" i="8"/>
  <c r="H3548" i="8"/>
  <c r="H3547" i="8"/>
  <c r="H3546" i="8"/>
  <c r="H3545" i="8"/>
  <c r="H3544" i="8"/>
  <c r="H3543" i="8"/>
  <c r="H3542" i="8"/>
  <c r="H3541" i="8"/>
  <c r="H3540" i="8"/>
  <c r="H3539" i="8"/>
  <c r="H3538" i="8"/>
  <c r="H3537" i="8"/>
  <c r="H3536" i="8"/>
  <c r="H3535" i="8"/>
  <c r="H3534" i="8"/>
  <c r="H3533" i="8"/>
  <c r="H3532" i="8"/>
  <c r="H3531" i="8"/>
  <c r="H3530" i="8"/>
  <c r="H3529" i="8"/>
  <c r="H3528" i="8"/>
  <c r="H3527" i="8"/>
  <c r="H3526" i="8"/>
  <c r="H3525" i="8"/>
  <c r="H3524" i="8"/>
  <c r="H3523" i="8"/>
  <c r="H3522" i="8"/>
  <c r="H3521" i="8"/>
  <c r="H3520" i="8"/>
  <c r="H3519" i="8"/>
  <c r="H3518" i="8"/>
  <c r="H3517" i="8"/>
  <c r="H3516" i="8"/>
  <c r="H3515" i="8"/>
  <c r="H3514" i="8"/>
  <c r="H3513" i="8"/>
  <c r="H3512" i="8"/>
  <c r="H3511" i="8"/>
  <c r="H3510" i="8"/>
  <c r="H3509" i="8"/>
  <c r="H3508" i="8"/>
  <c r="H3507" i="8"/>
  <c r="H3506" i="8"/>
  <c r="H3505" i="8"/>
  <c r="H3504" i="8"/>
  <c r="H3503" i="8"/>
  <c r="H3502" i="8"/>
  <c r="H3501" i="8"/>
  <c r="H3500" i="8"/>
  <c r="H3499" i="8"/>
  <c r="H3498" i="8"/>
  <c r="H3497" i="8"/>
  <c r="H3496" i="8"/>
  <c r="H3495" i="8"/>
  <c r="H3494" i="8"/>
  <c r="H3493" i="8"/>
  <c r="H3492" i="8"/>
  <c r="H3491" i="8"/>
  <c r="H3490" i="8"/>
  <c r="H3489" i="8"/>
  <c r="H3488" i="8"/>
  <c r="H3487" i="8"/>
  <c r="H3486" i="8"/>
  <c r="H3485" i="8"/>
  <c r="H3484" i="8"/>
  <c r="H3483" i="8"/>
  <c r="H3482" i="8"/>
  <c r="H3481" i="8"/>
  <c r="H3480" i="8"/>
  <c r="H3479" i="8"/>
  <c r="H3478" i="8"/>
  <c r="H3477" i="8"/>
  <c r="H3476" i="8"/>
  <c r="H3475" i="8"/>
  <c r="H3474" i="8"/>
  <c r="H3473" i="8"/>
  <c r="H3472" i="8"/>
  <c r="H3471" i="8"/>
  <c r="G3470" i="8"/>
  <c r="H3470" i="8" s="1"/>
  <c r="H3469" i="8"/>
  <c r="H3468" i="8"/>
  <c r="H3467" i="8"/>
  <c r="H3466" i="8"/>
  <c r="H3465" i="8"/>
  <c r="H3464" i="8"/>
  <c r="H3463" i="8"/>
  <c r="H3462" i="8"/>
  <c r="H3461" i="8"/>
  <c r="H3460" i="8"/>
  <c r="H3459" i="8"/>
  <c r="H3458" i="8"/>
  <c r="H3457" i="8"/>
  <c r="H3456" i="8"/>
  <c r="H3455" i="8"/>
  <c r="H3454" i="8"/>
  <c r="H3453" i="8"/>
  <c r="H3452" i="8"/>
  <c r="H3451" i="8"/>
  <c r="H3450" i="8"/>
  <c r="H3449" i="8"/>
  <c r="H3448" i="8"/>
  <c r="H3447" i="8"/>
  <c r="H3446" i="8"/>
  <c r="H3445" i="8"/>
  <c r="H3444" i="8"/>
  <c r="H3443" i="8"/>
  <c r="H3442" i="8"/>
  <c r="H3441" i="8"/>
  <c r="H3440" i="8"/>
  <c r="H3439" i="8"/>
  <c r="H3438" i="8"/>
  <c r="H3437" i="8"/>
  <c r="H3436" i="8"/>
  <c r="H3435" i="8"/>
  <c r="H3434" i="8"/>
  <c r="H3433" i="8"/>
  <c r="H3432" i="8"/>
  <c r="H3431" i="8"/>
  <c r="H3430" i="8"/>
  <c r="H3429" i="8"/>
  <c r="H3428" i="8"/>
  <c r="H3427" i="8"/>
  <c r="H3426" i="8"/>
  <c r="H3425" i="8"/>
  <c r="H3424" i="8"/>
  <c r="H3423" i="8"/>
  <c r="H3422" i="8"/>
  <c r="H3421" i="8"/>
  <c r="H3420" i="8"/>
  <c r="H3419" i="8"/>
  <c r="H3418" i="8"/>
  <c r="H3417" i="8"/>
  <c r="H3416" i="8"/>
  <c r="H3415" i="8"/>
  <c r="H3414" i="8"/>
  <c r="H3413" i="8"/>
  <c r="H3412" i="8"/>
  <c r="H3411" i="8"/>
  <c r="H3410" i="8"/>
  <c r="H3409" i="8"/>
  <c r="H3408" i="8"/>
  <c r="H3407" i="8"/>
  <c r="H3406" i="8"/>
  <c r="H3405" i="8"/>
  <c r="H3404" i="8"/>
  <c r="H3403" i="8"/>
  <c r="H3402" i="8"/>
  <c r="H3401" i="8"/>
  <c r="H3400" i="8"/>
  <c r="H3399" i="8"/>
  <c r="H3398" i="8"/>
  <c r="H3397" i="8"/>
  <c r="H3396" i="8"/>
  <c r="H3395" i="8"/>
  <c r="H3394" i="8"/>
  <c r="H3393" i="8"/>
  <c r="H3392" i="8"/>
  <c r="H3391" i="8"/>
  <c r="H3390" i="8"/>
  <c r="H3389" i="8"/>
  <c r="H3388" i="8"/>
  <c r="H3387" i="8"/>
  <c r="H3386" i="8"/>
  <c r="H3385" i="8"/>
  <c r="H3384" i="8"/>
  <c r="H3383" i="8"/>
  <c r="H3382" i="8"/>
  <c r="H3381" i="8"/>
  <c r="H3380" i="8"/>
  <c r="H3379" i="8"/>
  <c r="H3378" i="8"/>
  <c r="G3377" i="8"/>
  <c r="H3377" i="8" s="1"/>
  <c r="H3376" i="8"/>
  <c r="H3375" i="8"/>
  <c r="H3374" i="8"/>
  <c r="H3373" i="8"/>
  <c r="H3372" i="8"/>
  <c r="H3371" i="8"/>
  <c r="H3370" i="8"/>
  <c r="H3369" i="8"/>
  <c r="H3368" i="8"/>
  <c r="H3367" i="8"/>
  <c r="H3366" i="8"/>
  <c r="H3365" i="8"/>
  <c r="H3364" i="8"/>
  <c r="H3363" i="8"/>
  <c r="H3362" i="8"/>
  <c r="H3361" i="8"/>
  <c r="H3360" i="8"/>
  <c r="H3359" i="8"/>
  <c r="H3358" i="8"/>
  <c r="H3357" i="8"/>
  <c r="H3356" i="8"/>
  <c r="H3355" i="8"/>
  <c r="H3354" i="8"/>
  <c r="H3353" i="8"/>
  <c r="H3352" i="8"/>
  <c r="H3351" i="8"/>
  <c r="H3350" i="8"/>
  <c r="H3349" i="8"/>
  <c r="H3348" i="8"/>
  <c r="H3347" i="8"/>
  <c r="H3346" i="8"/>
  <c r="H3345" i="8"/>
  <c r="H3344" i="8"/>
  <c r="H3343" i="8"/>
  <c r="H3342" i="8"/>
  <c r="H3341" i="8"/>
  <c r="H3340" i="8"/>
  <c r="H3339" i="8"/>
  <c r="H3338" i="8"/>
  <c r="H3337" i="8"/>
  <c r="H3336" i="8"/>
  <c r="H3335" i="8"/>
  <c r="H3334" i="8"/>
  <c r="H3333" i="8"/>
  <c r="H3332" i="8"/>
  <c r="H3331" i="8"/>
  <c r="H3330" i="8"/>
  <c r="H3329" i="8"/>
  <c r="H3328" i="8"/>
  <c r="H3327" i="8"/>
  <c r="H3326" i="8"/>
  <c r="H3325" i="8"/>
  <c r="H3324" i="8"/>
  <c r="H3323" i="8"/>
  <c r="H3322" i="8"/>
  <c r="H3321" i="8"/>
  <c r="H3320" i="8"/>
  <c r="H3319" i="8"/>
  <c r="H3318" i="8"/>
  <c r="H3317" i="8"/>
  <c r="H3316" i="8"/>
  <c r="H3315" i="8"/>
  <c r="H3314" i="8"/>
  <c r="H3313" i="8"/>
  <c r="H3312" i="8"/>
  <c r="H3311" i="8"/>
  <c r="H3310" i="8"/>
  <c r="H3309" i="8"/>
  <c r="H3308" i="8"/>
  <c r="H3307" i="8"/>
  <c r="H3306" i="8"/>
  <c r="H3305" i="8"/>
  <c r="H3304" i="8"/>
  <c r="H3303" i="8"/>
  <c r="H3302" i="8"/>
  <c r="H3301" i="8"/>
  <c r="H3300" i="8"/>
  <c r="H3299" i="8"/>
  <c r="H3298" i="8"/>
  <c r="H3297" i="8"/>
  <c r="H3296" i="8"/>
  <c r="H3295" i="8"/>
  <c r="H3294" i="8"/>
  <c r="H3293" i="8"/>
  <c r="H3292" i="8"/>
  <c r="H3291" i="8"/>
  <c r="H3290" i="8"/>
  <c r="H3289" i="8"/>
  <c r="H3288" i="8"/>
  <c r="H3287" i="8"/>
  <c r="H3286" i="8"/>
  <c r="H3285" i="8"/>
  <c r="H3284" i="8"/>
  <c r="H3283" i="8"/>
  <c r="H3282" i="8"/>
  <c r="H3281" i="8"/>
  <c r="H3280" i="8"/>
  <c r="H3279" i="8"/>
  <c r="H3278" i="8"/>
  <c r="H3277" i="8"/>
  <c r="H3276" i="8"/>
  <c r="H3275" i="8"/>
  <c r="H3274" i="8"/>
  <c r="H3273" i="8"/>
  <c r="H3272" i="8"/>
  <c r="H3271" i="8"/>
  <c r="H3270" i="8"/>
  <c r="H3269" i="8"/>
  <c r="H3268" i="8"/>
  <c r="H3267" i="8"/>
  <c r="H3266" i="8"/>
  <c r="H3265" i="8"/>
  <c r="H3264" i="8"/>
  <c r="H3263" i="8"/>
  <c r="H3262" i="8"/>
  <c r="H3261" i="8"/>
  <c r="H3260" i="8"/>
  <c r="H3259" i="8"/>
  <c r="H3258" i="8"/>
  <c r="H3257" i="8"/>
  <c r="H3256" i="8"/>
  <c r="H3255" i="8"/>
  <c r="H3254" i="8"/>
  <c r="H3253" i="8"/>
  <c r="H3252" i="8"/>
  <c r="H3251" i="8"/>
  <c r="H3250" i="8"/>
  <c r="H3249" i="8"/>
  <c r="H3248" i="8"/>
  <c r="H3247" i="8"/>
  <c r="H3246" i="8"/>
  <c r="G3246" i="8"/>
  <c r="H3245" i="8"/>
  <c r="H3244" i="8"/>
  <c r="H3243" i="8"/>
  <c r="H3242" i="8"/>
  <c r="H3241" i="8"/>
  <c r="H3240" i="8"/>
  <c r="H3239" i="8"/>
  <c r="H3238" i="8"/>
  <c r="H3237" i="8"/>
  <c r="H3236" i="8"/>
  <c r="G3236" i="8"/>
  <c r="H3235" i="8"/>
  <c r="H3234" i="8"/>
  <c r="H3233" i="8"/>
  <c r="H3232" i="8"/>
  <c r="H3231" i="8"/>
  <c r="H3230" i="8"/>
  <c r="H3229" i="8"/>
  <c r="H3228" i="8"/>
  <c r="H3227" i="8"/>
  <c r="H3226" i="8"/>
  <c r="H3225" i="8"/>
  <c r="H3224" i="8"/>
  <c r="H3223" i="8"/>
  <c r="H3222" i="8"/>
  <c r="H3221" i="8"/>
  <c r="H3220" i="8"/>
  <c r="H3219" i="8"/>
  <c r="H3218" i="8"/>
  <c r="H3217" i="8"/>
  <c r="H3216" i="8"/>
  <c r="H3215" i="8"/>
  <c r="H3214" i="8"/>
  <c r="H3213" i="8"/>
  <c r="H3212" i="8"/>
  <c r="H3211" i="8"/>
  <c r="H3210" i="8"/>
  <c r="H3209" i="8"/>
  <c r="H3208" i="8"/>
  <c r="H3207" i="8"/>
  <c r="H3206" i="8"/>
  <c r="H3205" i="8"/>
  <c r="H3204" i="8"/>
  <c r="H3203" i="8"/>
  <c r="H3202" i="8"/>
  <c r="H3201" i="8"/>
  <c r="H3200" i="8"/>
  <c r="H3199" i="8"/>
  <c r="H3198" i="8"/>
  <c r="H3197" i="8"/>
  <c r="H3196" i="8"/>
  <c r="H3195" i="8"/>
  <c r="H3194" i="8"/>
  <c r="H3193" i="8"/>
  <c r="H3192" i="8"/>
  <c r="H3191" i="8"/>
  <c r="H3190" i="8"/>
  <c r="H3189" i="8"/>
  <c r="H3188" i="8"/>
  <c r="H3187" i="8"/>
  <c r="H3186" i="8"/>
  <c r="H3185" i="8"/>
  <c r="H3184" i="8"/>
  <c r="H3183" i="8"/>
  <c r="H3182" i="8"/>
  <c r="H3181" i="8"/>
  <c r="H3180" i="8"/>
  <c r="H3179" i="8"/>
  <c r="H3178" i="8"/>
  <c r="H3177" i="8"/>
  <c r="H3176" i="8"/>
  <c r="H3175" i="8"/>
  <c r="H3174" i="8"/>
  <c r="H3173" i="8"/>
  <c r="H3172" i="8"/>
  <c r="H3171" i="8"/>
  <c r="G3170" i="8"/>
  <c r="H3170" i="8" s="1"/>
  <c r="H3169" i="8"/>
  <c r="H3168" i="8"/>
  <c r="H3167" i="8"/>
  <c r="H3166" i="8"/>
  <c r="H3165" i="8"/>
  <c r="H3164" i="8"/>
  <c r="H3163" i="8"/>
  <c r="H3162" i="8"/>
  <c r="H3161" i="8"/>
  <c r="H3160" i="8"/>
  <c r="H3159" i="8"/>
  <c r="H3158" i="8"/>
  <c r="H3157" i="8"/>
  <c r="H3156" i="8"/>
  <c r="H3155" i="8"/>
  <c r="H3154" i="8"/>
  <c r="H3153" i="8"/>
  <c r="G3152" i="8"/>
  <c r="H3152" i="8" s="1"/>
  <c r="H3151" i="8"/>
  <c r="H3150" i="8"/>
  <c r="G3149" i="8"/>
  <c r="H3149" i="8" s="1"/>
  <c r="H3148" i="8"/>
  <c r="H3147" i="8"/>
  <c r="H3146" i="8"/>
  <c r="H3145" i="8"/>
  <c r="H3144" i="8"/>
  <c r="H3143" i="8"/>
  <c r="H3142" i="8"/>
  <c r="H3141" i="8"/>
  <c r="H3140" i="8"/>
  <c r="H3139" i="8"/>
  <c r="H3138" i="8"/>
  <c r="H3137" i="8"/>
  <c r="H3136" i="8"/>
  <c r="H3135" i="8"/>
  <c r="G3134" i="8"/>
  <c r="H3134" i="8" s="1"/>
  <c r="H3133" i="8"/>
  <c r="H3132" i="8"/>
  <c r="H3131" i="8"/>
  <c r="H3130" i="8"/>
  <c r="H3129" i="8"/>
  <c r="H3128" i="8"/>
  <c r="H3127" i="8"/>
  <c r="H3126" i="8"/>
  <c r="H3125" i="8"/>
  <c r="H3124" i="8"/>
  <c r="H3123" i="8"/>
  <c r="H3122" i="8"/>
  <c r="H3121" i="8"/>
  <c r="H3120" i="8"/>
  <c r="H3119" i="8"/>
  <c r="H3118" i="8"/>
  <c r="H3117" i="8"/>
  <c r="H3116" i="8"/>
  <c r="H3115" i="8"/>
  <c r="H3114" i="8"/>
  <c r="H3113" i="8"/>
  <c r="H3112" i="8"/>
  <c r="H3111" i="8"/>
  <c r="H3110" i="8"/>
  <c r="H3109" i="8"/>
  <c r="H3108" i="8"/>
  <c r="H3107" i="8"/>
  <c r="H3106" i="8"/>
  <c r="H3105" i="8"/>
  <c r="H3104" i="8"/>
  <c r="H3103" i="8"/>
  <c r="H3102" i="8"/>
  <c r="H3101" i="8"/>
  <c r="H3100" i="8"/>
  <c r="H3099" i="8"/>
  <c r="H3098" i="8"/>
  <c r="H3097" i="8"/>
  <c r="H3096" i="8"/>
  <c r="H3095" i="8"/>
  <c r="H3094" i="8"/>
  <c r="H3093" i="8"/>
  <c r="H3092" i="8"/>
  <c r="H3091" i="8"/>
  <c r="H3090" i="8"/>
  <c r="H3089" i="8"/>
  <c r="H3088" i="8"/>
  <c r="H3087" i="8"/>
  <c r="H3086" i="8"/>
  <c r="H3085" i="8"/>
  <c r="H3084" i="8"/>
  <c r="H3083" i="8"/>
  <c r="H3082" i="8"/>
  <c r="H3081" i="8"/>
  <c r="H3080" i="8"/>
  <c r="H3079" i="8"/>
  <c r="H3078" i="8"/>
  <c r="H3077" i="8"/>
  <c r="H3076" i="8"/>
  <c r="H3075" i="8"/>
  <c r="H3074" i="8"/>
  <c r="H3073" i="8"/>
  <c r="H3072" i="8"/>
  <c r="H3071" i="8"/>
  <c r="H3070" i="8"/>
  <c r="H3069" i="8"/>
  <c r="H3068" i="8"/>
  <c r="H3067" i="8"/>
  <c r="H3066" i="8"/>
  <c r="H3065" i="8"/>
  <c r="H3064" i="8"/>
  <c r="H3063" i="8"/>
  <c r="H3062" i="8"/>
  <c r="H3061" i="8"/>
  <c r="H3060" i="8"/>
  <c r="H3059" i="8"/>
  <c r="H3058" i="8"/>
  <c r="H3057" i="8"/>
  <c r="H3056" i="8"/>
  <c r="H3055" i="8"/>
  <c r="H3054" i="8"/>
  <c r="H3053" i="8"/>
  <c r="H3052" i="8"/>
  <c r="H3051" i="8"/>
  <c r="H3050" i="8"/>
  <c r="H3049" i="8"/>
  <c r="H3048" i="8"/>
  <c r="H3047" i="8"/>
  <c r="H3046" i="8"/>
  <c r="H3045" i="8"/>
  <c r="H3044" i="8"/>
  <c r="H3043" i="8"/>
  <c r="H3042" i="8"/>
  <c r="H3041" i="8"/>
  <c r="H3040" i="8"/>
  <c r="H3039" i="8"/>
  <c r="H3038" i="8"/>
  <c r="H3037" i="8"/>
  <c r="G3037" i="8"/>
  <c r="H3036" i="8"/>
  <c r="H3035" i="8"/>
  <c r="H3034" i="8"/>
  <c r="H3033" i="8"/>
  <c r="H3032" i="8"/>
  <c r="H3031" i="8"/>
  <c r="H3030" i="8"/>
  <c r="H3029" i="8"/>
  <c r="H3028" i="8"/>
  <c r="H3027" i="8"/>
  <c r="H3026" i="8"/>
  <c r="H3025" i="8"/>
  <c r="H3024" i="8"/>
  <c r="H3023" i="8"/>
  <c r="H3022" i="8"/>
  <c r="H3021" i="8"/>
  <c r="H3020" i="8"/>
  <c r="H3019" i="8"/>
  <c r="H3018" i="8"/>
  <c r="G3018" i="8"/>
  <c r="H3017" i="8"/>
  <c r="H3016" i="8"/>
  <c r="H3015" i="8"/>
  <c r="H3014" i="8"/>
  <c r="H3013" i="8"/>
  <c r="H3012" i="8"/>
  <c r="H3011" i="8"/>
  <c r="H3010" i="8"/>
  <c r="H3009" i="8"/>
  <c r="H3008" i="8"/>
  <c r="H3007" i="8"/>
  <c r="H3006" i="8"/>
  <c r="H3005" i="8"/>
  <c r="H3004" i="8"/>
  <c r="H3003" i="8"/>
  <c r="H3002" i="8"/>
  <c r="H3001" i="8"/>
  <c r="H3000" i="8"/>
  <c r="H2999" i="8"/>
  <c r="H2998" i="8"/>
  <c r="H2997" i="8"/>
  <c r="H2996" i="8"/>
  <c r="H2995" i="8"/>
  <c r="H2994" i="8"/>
  <c r="H2993" i="8"/>
  <c r="H2992" i="8"/>
  <c r="H2991" i="8"/>
  <c r="H2990" i="8"/>
  <c r="H2989" i="8"/>
  <c r="H2988" i="8"/>
  <c r="H2987" i="8"/>
  <c r="H2986" i="8"/>
  <c r="H2985" i="8"/>
  <c r="H2984" i="8"/>
  <c r="H2983" i="8"/>
  <c r="H2982" i="8"/>
  <c r="H2981" i="8"/>
  <c r="H2980" i="8"/>
  <c r="H2979" i="8"/>
  <c r="H2978" i="8"/>
  <c r="H2977" i="8"/>
  <c r="H2976" i="8"/>
  <c r="H2975" i="8"/>
  <c r="H2974" i="8"/>
  <c r="H2973" i="8"/>
  <c r="H2972" i="8"/>
  <c r="H2971" i="8"/>
  <c r="H2970" i="8"/>
  <c r="H2969" i="8"/>
  <c r="H2968" i="8"/>
  <c r="H2967" i="8"/>
  <c r="H2966" i="8"/>
  <c r="H2965" i="8"/>
  <c r="H2964" i="8"/>
  <c r="H2963" i="8"/>
  <c r="H2962" i="8"/>
  <c r="H2961" i="8"/>
  <c r="H2960" i="8"/>
  <c r="H2959" i="8"/>
  <c r="H2958" i="8"/>
  <c r="H2957" i="8"/>
  <c r="H2956" i="8"/>
  <c r="H2955" i="8"/>
  <c r="H2954" i="8"/>
  <c r="H2953" i="8"/>
  <c r="H2952" i="8"/>
  <c r="H2951" i="8"/>
  <c r="H2950" i="8"/>
  <c r="H2949" i="8"/>
  <c r="H2948" i="8"/>
  <c r="H2947" i="8"/>
  <c r="H2946" i="8"/>
  <c r="H2945" i="8"/>
  <c r="H2944" i="8"/>
  <c r="H2943" i="8"/>
  <c r="H2942" i="8"/>
  <c r="H2941" i="8"/>
  <c r="H2940" i="8"/>
  <c r="H2939" i="8"/>
  <c r="H2938" i="8"/>
  <c r="H2937" i="8"/>
  <c r="H2936" i="8"/>
  <c r="H2935" i="8"/>
  <c r="H2934" i="8"/>
  <c r="H2933" i="8"/>
  <c r="H2932" i="8"/>
  <c r="H2931" i="8"/>
  <c r="H2930" i="8"/>
  <c r="H2929" i="8"/>
  <c r="H2928" i="8"/>
  <c r="H2927" i="8"/>
  <c r="H2926" i="8"/>
  <c r="H2925" i="8"/>
  <c r="H2924" i="8"/>
  <c r="H2923" i="8"/>
  <c r="H2922" i="8"/>
  <c r="H2921" i="8"/>
  <c r="H2920" i="8"/>
  <c r="H2919" i="8"/>
  <c r="H2918" i="8"/>
  <c r="H2917" i="8"/>
  <c r="H2916" i="8"/>
  <c r="H2915" i="8"/>
  <c r="H2914" i="8"/>
  <c r="H2913" i="8"/>
  <c r="H2912" i="8"/>
  <c r="H2911" i="8"/>
  <c r="H2910" i="8"/>
  <c r="H2909" i="8"/>
  <c r="H2908" i="8"/>
  <c r="H2907" i="8"/>
  <c r="H2906" i="8"/>
  <c r="G2906" i="8"/>
  <c r="H2905" i="8"/>
  <c r="H2904" i="8"/>
  <c r="H2903" i="8"/>
  <c r="H2902" i="8"/>
  <c r="H2901" i="8"/>
  <c r="H2900" i="8"/>
  <c r="H2899" i="8"/>
  <c r="H2898" i="8"/>
  <c r="H2897" i="8"/>
  <c r="H2896" i="8"/>
  <c r="H2895" i="8"/>
  <c r="H2894" i="8"/>
  <c r="H2893" i="8"/>
  <c r="H2892" i="8"/>
  <c r="H2891" i="8"/>
  <c r="H2890" i="8"/>
  <c r="H2889" i="8"/>
  <c r="H2888" i="8"/>
  <c r="H2887" i="8"/>
  <c r="H2886" i="8"/>
  <c r="H2885" i="8"/>
  <c r="H2884" i="8"/>
  <c r="H2883" i="8"/>
  <c r="H2882" i="8"/>
  <c r="H2881" i="8"/>
  <c r="H2880" i="8"/>
  <c r="H2879" i="8"/>
  <c r="H2878" i="8"/>
  <c r="H2877" i="8"/>
  <c r="H2876" i="8"/>
  <c r="H2875" i="8"/>
  <c r="H2874" i="8"/>
  <c r="H2873" i="8"/>
  <c r="H2872" i="8"/>
  <c r="H2871" i="8"/>
  <c r="H2870" i="8"/>
  <c r="H2869" i="8"/>
  <c r="H2868" i="8"/>
  <c r="H2867" i="8"/>
  <c r="H2866" i="8"/>
  <c r="H2865" i="8"/>
  <c r="H2864" i="8"/>
  <c r="H2863" i="8"/>
  <c r="H2862" i="8"/>
  <c r="H2861" i="8"/>
  <c r="H2860" i="8"/>
  <c r="H2859" i="8"/>
  <c r="H2858" i="8"/>
  <c r="H2857" i="8"/>
  <c r="H2856" i="8"/>
  <c r="H2855" i="8"/>
  <c r="H2854" i="8"/>
  <c r="H2853" i="8"/>
  <c r="H2852" i="8"/>
  <c r="H2851" i="8"/>
  <c r="H2850" i="8"/>
  <c r="H2849" i="8"/>
  <c r="H2848" i="8"/>
  <c r="H2847" i="8"/>
  <c r="H2846" i="8"/>
  <c r="H2845" i="8"/>
  <c r="H2844" i="8"/>
  <c r="H2843" i="8"/>
  <c r="H2842" i="8"/>
  <c r="H2841" i="8"/>
  <c r="H2840" i="8"/>
  <c r="H2839" i="8"/>
  <c r="H2838" i="8"/>
  <c r="H2837" i="8"/>
  <c r="H2836" i="8"/>
  <c r="H2835" i="8"/>
  <c r="H2834" i="8"/>
  <c r="H2833" i="8"/>
  <c r="H2832" i="8"/>
  <c r="H2831" i="8"/>
  <c r="H2830" i="8"/>
  <c r="H2829" i="8"/>
  <c r="H2828" i="8"/>
  <c r="H2827" i="8"/>
  <c r="H2826" i="8"/>
  <c r="H2825" i="8"/>
  <c r="H2824" i="8"/>
  <c r="H2823" i="8"/>
  <c r="H2822" i="8"/>
  <c r="H2821" i="8"/>
  <c r="H2820" i="8"/>
  <c r="G2820" i="8"/>
  <c r="H2819" i="8"/>
  <c r="H2818" i="8"/>
  <c r="H2817" i="8"/>
  <c r="H2816" i="8"/>
  <c r="H2815" i="8"/>
  <c r="H2814" i="8"/>
  <c r="H2813" i="8"/>
  <c r="H2812" i="8"/>
  <c r="H2811" i="8"/>
  <c r="H2810" i="8"/>
  <c r="H2809" i="8"/>
  <c r="H2808" i="8"/>
  <c r="H2807" i="8"/>
  <c r="H2806" i="8"/>
  <c r="H2805" i="8"/>
  <c r="H2804" i="8"/>
  <c r="H2803" i="8"/>
  <c r="H2802" i="8"/>
  <c r="H2801" i="8"/>
  <c r="H2800" i="8"/>
  <c r="H2799" i="8"/>
  <c r="H2798" i="8"/>
  <c r="H2797" i="8"/>
  <c r="H2796" i="8"/>
  <c r="H2795" i="8"/>
  <c r="H2794" i="8"/>
  <c r="H2793" i="8"/>
  <c r="H2792" i="8"/>
  <c r="H2791" i="8"/>
  <c r="H2790" i="8"/>
  <c r="H2789" i="8"/>
  <c r="H2788" i="8"/>
  <c r="H2787" i="8"/>
  <c r="H2786" i="8"/>
  <c r="H2785" i="8"/>
  <c r="H2784" i="8"/>
  <c r="H2783" i="8"/>
  <c r="H2782" i="8"/>
  <c r="H2781" i="8"/>
  <c r="H2780" i="8"/>
  <c r="H2779" i="8"/>
  <c r="H2778" i="8"/>
  <c r="H2777" i="8"/>
  <c r="H2776" i="8"/>
  <c r="H2775" i="8"/>
  <c r="H2774" i="8"/>
  <c r="H2773" i="8"/>
  <c r="H2772" i="8"/>
  <c r="H2771" i="8"/>
  <c r="H2770" i="8"/>
  <c r="H2769" i="8"/>
  <c r="H2768" i="8"/>
  <c r="H2767" i="8"/>
  <c r="H2766" i="8"/>
  <c r="H2765" i="8"/>
  <c r="H2764" i="8"/>
  <c r="H2763" i="8"/>
  <c r="H2762" i="8"/>
  <c r="H2761" i="8"/>
  <c r="H2760" i="8"/>
  <c r="H2759" i="8"/>
  <c r="H2758" i="8"/>
  <c r="H2757" i="8"/>
  <c r="H2756" i="8"/>
  <c r="H2755" i="8"/>
  <c r="H2754" i="8"/>
  <c r="H2753" i="8"/>
  <c r="H2752" i="8"/>
  <c r="H2751" i="8"/>
  <c r="H2750" i="8"/>
  <c r="H2749" i="8"/>
  <c r="H2748" i="8"/>
  <c r="H2747" i="8"/>
  <c r="H2746" i="8"/>
  <c r="H2745" i="8"/>
  <c r="H2744" i="8"/>
  <c r="H2743" i="8"/>
  <c r="H2742" i="8"/>
  <c r="H2741" i="8"/>
  <c r="H2740" i="8"/>
  <c r="H2739" i="8"/>
  <c r="H2738" i="8"/>
  <c r="H2737" i="8"/>
  <c r="H2736" i="8"/>
  <c r="H2735" i="8"/>
  <c r="H2734" i="8"/>
  <c r="H2733" i="8"/>
  <c r="H2732" i="8"/>
  <c r="H2731" i="8"/>
  <c r="H2730" i="8"/>
  <c r="H2729" i="8"/>
  <c r="H2728" i="8"/>
  <c r="H2727" i="8"/>
  <c r="H2726" i="8"/>
  <c r="H2725" i="8"/>
  <c r="H2724" i="8"/>
  <c r="H2723" i="8"/>
  <c r="H2722" i="8"/>
  <c r="H2721" i="8"/>
  <c r="H2720" i="8"/>
  <c r="H2719" i="8"/>
  <c r="H2718" i="8"/>
  <c r="H2717" i="8"/>
  <c r="H2716" i="8"/>
  <c r="H2715" i="8"/>
  <c r="H2714" i="8"/>
  <c r="H2713" i="8"/>
  <c r="H2712" i="8"/>
  <c r="H2711" i="8"/>
  <c r="G2710" i="8"/>
  <c r="H2710" i="8" s="1"/>
  <c r="H2709" i="8"/>
  <c r="H2708" i="8"/>
  <c r="G2707" i="8"/>
  <c r="H2707" i="8" s="1"/>
  <c r="H2706" i="8"/>
  <c r="H2705" i="8"/>
  <c r="H2704" i="8"/>
  <c r="H2703" i="8"/>
  <c r="H2702" i="8"/>
  <c r="G2701" i="8"/>
  <c r="H2701" i="8" s="1"/>
  <c r="H2700" i="8"/>
  <c r="G2699" i="8"/>
  <c r="H2699" i="8" s="1"/>
  <c r="H2698" i="8"/>
  <c r="H2697" i="8"/>
  <c r="H2696" i="8"/>
  <c r="H2695" i="8"/>
  <c r="H2694" i="8"/>
  <c r="H2693" i="8"/>
  <c r="H2692" i="8"/>
  <c r="H2691" i="8"/>
  <c r="H2690" i="8"/>
  <c r="H2689" i="8"/>
  <c r="H2688" i="8"/>
  <c r="H2687" i="8"/>
  <c r="H2686" i="8"/>
  <c r="H2685" i="8"/>
  <c r="H2684" i="8"/>
  <c r="H2683" i="8"/>
  <c r="H2682" i="8"/>
  <c r="H2681" i="8"/>
  <c r="H2680" i="8"/>
  <c r="H2679" i="8"/>
  <c r="H2678" i="8"/>
  <c r="H2677" i="8"/>
  <c r="H2676" i="8"/>
  <c r="H2675" i="8"/>
  <c r="H2674" i="8"/>
  <c r="H2673" i="8"/>
  <c r="H2672" i="8"/>
  <c r="H2671" i="8"/>
  <c r="H2670" i="8"/>
  <c r="H2669" i="8"/>
  <c r="H2668" i="8"/>
  <c r="H2667" i="8"/>
  <c r="H2666" i="8"/>
  <c r="H2665" i="8"/>
  <c r="H2664" i="8"/>
  <c r="H2663" i="8"/>
  <c r="H2662" i="8"/>
  <c r="H2661" i="8"/>
  <c r="H2660" i="8"/>
  <c r="H2659" i="8"/>
  <c r="H2658" i="8"/>
  <c r="H2657" i="8"/>
  <c r="H2656" i="8"/>
  <c r="H2655" i="8"/>
  <c r="H2654" i="8"/>
  <c r="H2653" i="8"/>
  <c r="H2652" i="8"/>
  <c r="H2651" i="8"/>
  <c r="H2650" i="8"/>
  <c r="H2649" i="8"/>
  <c r="H2648" i="8"/>
  <c r="H2647" i="8"/>
  <c r="H2646" i="8"/>
  <c r="H2645" i="8"/>
  <c r="H2644" i="8"/>
  <c r="H2643" i="8"/>
  <c r="H2642" i="8"/>
  <c r="H2641" i="8"/>
  <c r="H2640" i="8"/>
  <c r="H2639" i="8"/>
  <c r="H2638" i="8"/>
  <c r="H2637" i="8"/>
  <c r="H2636" i="8"/>
  <c r="H2635" i="8"/>
  <c r="H2634" i="8"/>
  <c r="H2633" i="8"/>
  <c r="H2632" i="8"/>
  <c r="H2631" i="8"/>
  <c r="H2630" i="8"/>
  <c r="H2629" i="8"/>
  <c r="H2628" i="8"/>
  <c r="H2627" i="8"/>
  <c r="H2626" i="8"/>
  <c r="H2625" i="8"/>
  <c r="H2624" i="8"/>
  <c r="H2623" i="8"/>
  <c r="H2622" i="8"/>
  <c r="H2621" i="8"/>
  <c r="H2620" i="8"/>
  <c r="H2619" i="8"/>
  <c r="H2618" i="8"/>
  <c r="H2617" i="8"/>
  <c r="H2616" i="8"/>
  <c r="H2615" i="8"/>
  <c r="H2614" i="8"/>
  <c r="H2613" i="8"/>
  <c r="H2612" i="8"/>
  <c r="H2611" i="8"/>
  <c r="H2610" i="8"/>
  <c r="H2609" i="8"/>
  <c r="H2608" i="8"/>
  <c r="G2607" i="8"/>
  <c r="H2607" i="8" s="1"/>
  <c r="H2606" i="8"/>
  <c r="H2605" i="8"/>
  <c r="H2604" i="8"/>
  <c r="H2603" i="8"/>
  <c r="H2602" i="8"/>
  <c r="H2601" i="8"/>
  <c r="H2600" i="8"/>
  <c r="H2599" i="8"/>
  <c r="H2598" i="8"/>
  <c r="H2597" i="8"/>
  <c r="H2596" i="8"/>
  <c r="H2595" i="8"/>
  <c r="H2594" i="8"/>
  <c r="H2593" i="8"/>
  <c r="H2592" i="8"/>
  <c r="H2591" i="8"/>
  <c r="H2590" i="8"/>
  <c r="H2589" i="8"/>
  <c r="H2588" i="8"/>
  <c r="H2587" i="8"/>
  <c r="H2586" i="8"/>
  <c r="H2585" i="8"/>
  <c r="H2584" i="8"/>
  <c r="G2583" i="8"/>
  <c r="H2583" i="8" s="1"/>
  <c r="H2582" i="8"/>
  <c r="H2581" i="8"/>
  <c r="H2580" i="8"/>
  <c r="H2579" i="8"/>
  <c r="H2578" i="8"/>
  <c r="G2577" i="8"/>
  <c r="H2577" i="8" s="1"/>
  <c r="H2576" i="8"/>
  <c r="G2576" i="8"/>
  <c r="H2575" i="8"/>
  <c r="H2574" i="8"/>
  <c r="H2573" i="8"/>
  <c r="G2573" i="8"/>
  <c r="H2572" i="8"/>
  <c r="H2571" i="8"/>
  <c r="H2570" i="8"/>
  <c r="G2569" i="8"/>
  <c r="H2569" i="8" s="1"/>
  <c r="H2568" i="8"/>
  <c r="H2567" i="8"/>
  <c r="H2566" i="8"/>
  <c r="H2565" i="8"/>
  <c r="H2564" i="8"/>
  <c r="H2563" i="8"/>
  <c r="H2562" i="8"/>
  <c r="G2561" i="8"/>
  <c r="H2561" i="8" s="1"/>
  <c r="H2560" i="8"/>
  <c r="H2559" i="8"/>
  <c r="H2558" i="8"/>
  <c r="H2557" i="8"/>
  <c r="H2556" i="8"/>
  <c r="H2555" i="8"/>
  <c r="H2554" i="8"/>
  <c r="G2553" i="8"/>
  <c r="H2553" i="8" s="1"/>
  <c r="H2552" i="8"/>
  <c r="H2551" i="8"/>
  <c r="H2550" i="8"/>
  <c r="H2549" i="8"/>
  <c r="H2548" i="8"/>
  <c r="H2547" i="8"/>
  <c r="H2546" i="8"/>
  <c r="H2545" i="8"/>
  <c r="H2544" i="8"/>
  <c r="H2543" i="8"/>
  <c r="H2542" i="8"/>
  <c r="H2541" i="8"/>
  <c r="H2540" i="8"/>
  <c r="H2539" i="8"/>
  <c r="H2538" i="8"/>
  <c r="H2537" i="8"/>
  <c r="H2536" i="8"/>
  <c r="H2535" i="8"/>
  <c r="H2534" i="8"/>
  <c r="H2533" i="8"/>
  <c r="H2532" i="8"/>
  <c r="H2531" i="8"/>
  <c r="H2530" i="8"/>
  <c r="H2529" i="8"/>
  <c r="H2528" i="8"/>
  <c r="H2527" i="8"/>
  <c r="H2526" i="8"/>
  <c r="H2525" i="8"/>
  <c r="H2524" i="8"/>
  <c r="H2523" i="8"/>
  <c r="H2522" i="8"/>
  <c r="H2521" i="8"/>
  <c r="H2520" i="8"/>
  <c r="H2519" i="8"/>
  <c r="H2518" i="8"/>
  <c r="H2517" i="8"/>
  <c r="H2516" i="8"/>
  <c r="G2516" i="8"/>
  <c r="H2515" i="8"/>
  <c r="H2514" i="8"/>
  <c r="H2513" i="8"/>
  <c r="H2512" i="8"/>
  <c r="H2511" i="8"/>
  <c r="H2510" i="8"/>
  <c r="H2509" i="8"/>
  <c r="H2508" i="8"/>
  <c r="H2507" i="8"/>
  <c r="H2506" i="8"/>
  <c r="H2505" i="8"/>
  <c r="H2504" i="8"/>
  <c r="H2503" i="8"/>
  <c r="H2502" i="8"/>
  <c r="H2501" i="8"/>
  <c r="H2500" i="8"/>
  <c r="H2499" i="8"/>
  <c r="H2498" i="8"/>
  <c r="H2497" i="8"/>
  <c r="H2496" i="8"/>
  <c r="H2495" i="8"/>
  <c r="H2494" i="8"/>
  <c r="H2493" i="8"/>
  <c r="H2492" i="8"/>
  <c r="H2491" i="8"/>
  <c r="H2490" i="8"/>
  <c r="H2489" i="8"/>
  <c r="H2488" i="8"/>
  <c r="H2487" i="8"/>
  <c r="H2486" i="8"/>
  <c r="H2485" i="8"/>
  <c r="H2484" i="8"/>
  <c r="H2483" i="8"/>
  <c r="H2482" i="8"/>
  <c r="H2481" i="8"/>
  <c r="H2480" i="8"/>
  <c r="H2479" i="8"/>
  <c r="H2478" i="8"/>
  <c r="H2477" i="8"/>
  <c r="H2476" i="8"/>
  <c r="H2475" i="8"/>
  <c r="H2474" i="8"/>
  <c r="H2473" i="8"/>
  <c r="H2472" i="8"/>
  <c r="H2471" i="8"/>
  <c r="H2470" i="8"/>
  <c r="H2469" i="8"/>
  <c r="H2468" i="8"/>
  <c r="H2467" i="8"/>
  <c r="H2466" i="8"/>
  <c r="H2465" i="8"/>
  <c r="H2464" i="8"/>
  <c r="H2463" i="8"/>
  <c r="H2462" i="8"/>
  <c r="H2461" i="8"/>
  <c r="H2460" i="8"/>
  <c r="H2459" i="8"/>
  <c r="H2458" i="8"/>
  <c r="H2457" i="8"/>
  <c r="H2456" i="8"/>
  <c r="H2455" i="8"/>
  <c r="H2454" i="8"/>
  <c r="H2453" i="8"/>
  <c r="H2452" i="8"/>
  <c r="H2451" i="8"/>
  <c r="H2450" i="8"/>
  <c r="H2449" i="8"/>
  <c r="H2448" i="8"/>
  <c r="H2447" i="8"/>
  <c r="H2446" i="8"/>
  <c r="H2445" i="8"/>
  <c r="G2444" i="8"/>
  <c r="H2444" i="8" s="1"/>
  <c r="H2443" i="8"/>
  <c r="H2442" i="8"/>
  <c r="H2441" i="8"/>
  <c r="H2440" i="8"/>
  <c r="H2439" i="8"/>
  <c r="H2438" i="8"/>
  <c r="H2437" i="8"/>
  <c r="H2436" i="8"/>
  <c r="H2435" i="8"/>
  <c r="H2434" i="8"/>
  <c r="H2433" i="8"/>
  <c r="H2432" i="8"/>
  <c r="H2431" i="8"/>
  <c r="H2430" i="8"/>
  <c r="H2429" i="8"/>
  <c r="H2428" i="8"/>
  <c r="H2427" i="8"/>
  <c r="H2426" i="8"/>
  <c r="H2425" i="8"/>
  <c r="H2424" i="8"/>
  <c r="H2423" i="8"/>
  <c r="H2422" i="8"/>
  <c r="H2421" i="8"/>
  <c r="H2420" i="8"/>
  <c r="H2419" i="8"/>
  <c r="H2418" i="8"/>
  <c r="H2417" i="8"/>
  <c r="H2416" i="8"/>
  <c r="H2415" i="8"/>
  <c r="H2414" i="8"/>
  <c r="H2413" i="8"/>
  <c r="H2412" i="8"/>
  <c r="H2411" i="8"/>
  <c r="H2410" i="8"/>
  <c r="H2409" i="8"/>
  <c r="H2408" i="8"/>
  <c r="H2407" i="8"/>
  <c r="H2406" i="8"/>
  <c r="H2405" i="8"/>
  <c r="H2404" i="8"/>
  <c r="H2403" i="8"/>
  <c r="H2402" i="8"/>
  <c r="H2401" i="8"/>
  <c r="H2400" i="8"/>
  <c r="H2399" i="8"/>
  <c r="H2398" i="8"/>
  <c r="H2397" i="8"/>
  <c r="H2396" i="8"/>
  <c r="H2395" i="8"/>
  <c r="H2394" i="8"/>
  <c r="H2393" i="8"/>
  <c r="H2392" i="8"/>
  <c r="H2391" i="8"/>
  <c r="H2390" i="8"/>
  <c r="H2389" i="8"/>
  <c r="H2388" i="8"/>
  <c r="H2387" i="8"/>
  <c r="H2386" i="8"/>
  <c r="H2385" i="8"/>
  <c r="H2384" i="8"/>
  <c r="H2383" i="8"/>
  <c r="H2382" i="8"/>
  <c r="H2381" i="8"/>
  <c r="H2380" i="8"/>
  <c r="H2379" i="8"/>
  <c r="H2378" i="8"/>
  <c r="H2377" i="8"/>
  <c r="H2376" i="8"/>
  <c r="H2375" i="8"/>
  <c r="H2374" i="8"/>
  <c r="H2373" i="8"/>
  <c r="H2372" i="8"/>
  <c r="H2371" i="8"/>
  <c r="H2370" i="8"/>
  <c r="H2369" i="8"/>
  <c r="H2368" i="8"/>
  <c r="H2367" i="8"/>
  <c r="H2366" i="8"/>
  <c r="H2365" i="8"/>
  <c r="H2364" i="8"/>
  <c r="H2363" i="8"/>
  <c r="H2362" i="8"/>
  <c r="H2361" i="8"/>
  <c r="H2360" i="8"/>
  <c r="H2359" i="8"/>
  <c r="H2358" i="8"/>
  <c r="H2357" i="8"/>
  <c r="H2356" i="8"/>
  <c r="H2355" i="8"/>
  <c r="H2354" i="8"/>
  <c r="H2353" i="8"/>
  <c r="H2352" i="8"/>
  <c r="H2351" i="8"/>
  <c r="H2350" i="8"/>
  <c r="H2349" i="8"/>
  <c r="H2348" i="8"/>
  <c r="H2347" i="8"/>
  <c r="H2346" i="8"/>
  <c r="H2345" i="8"/>
  <c r="H2344" i="8"/>
  <c r="H2343" i="8"/>
  <c r="H2342" i="8"/>
  <c r="H2341" i="8"/>
  <c r="H2340" i="8"/>
  <c r="H2339" i="8"/>
  <c r="H2338" i="8"/>
  <c r="H2337" i="8"/>
  <c r="H2336" i="8"/>
  <c r="H2335" i="8"/>
  <c r="H2334" i="8"/>
  <c r="H2333" i="8"/>
  <c r="H2332" i="8"/>
  <c r="H2331" i="8"/>
  <c r="H2330" i="8"/>
  <c r="H2329" i="8"/>
  <c r="H2328" i="8"/>
  <c r="H2327" i="8"/>
  <c r="G2327" i="8"/>
  <c r="H2326" i="8"/>
  <c r="H2325" i="8"/>
  <c r="H2324" i="8"/>
  <c r="H2323" i="8"/>
  <c r="G2322" i="8"/>
  <c r="H2322" i="8" s="1"/>
  <c r="H2321" i="8"/>
  <c r="G2320" i="8"/>
  <c r="H2320" i="8" s="1"/>
  <c r="H2319" i="8"/>
  <c r="H2318" i="8"/>
  <c r="H2317" i="8"/>
  <c r="H2316" i="8"/>
  <c r="H2315" i="8"/>
  <c r="H2314" i="8"/>
  <c r="G2313" i="8"/>
  <c r="H2313" i="8" s="1"/>
  <c r="H2312" i="8"/>
  <c r="H2311" i="8"/>
  <c r="G2311" i="8"/>
  <c r="H2310" i="8"/>
  <c r="H2309" i="8"/>
  <c r="H2308" i="8"/>
  <c r="H2307" i="8"/>
  <c r="H2306" i="8"/>
  <c r="H2305" i="8"/>
  <c r="H2304" i="8"/>
  <c r="H2303" i="8"/>
  <c r="H2302" i="8"/>
  <c r="H2301" i="8"/>
  <c r="H2300" i="8"/>
  <c r="H2299" i="8"/>
  <c r="H2298" i="8"/>
  <c r="H2297" i="8"/>
  <c r="H2296" i="8"/>
  <c r="H2295" i="8"/>
  <c r="H2294" i="8"/>
  <c r="H2293" i="8"/>
  <c r="H2292" i="8"/>
  <c r="H2291" i="8"/>
  <c r="H2290" i="8"/>
  <c r="H2289" i="8"/>
  <c r="H2288" i="8"/>
  <c r="H2287" i="8"/>
  <c r="H2286" i="8"/>
  <c r="H2285" i="8"/>
  <c r="H2284" i="8"/>
  <c r="H2283" i="8"/>
  <c r="H2282" i="8"/>
  <c r="H2281" i="8"/>
  <c r="H2280" i="8"/>
  <c r="H2279" i="8"/>
  <c r="H2278" i="8"/>
  <c r="H2277" i="8"/>
  <c r="H2276" i="8"/>
  <c r="G2275" i="8"/>
  <c r="H2275" i="8" s="1"/>
  <c r="G2274" i="8"/>
  <c r="H2274" i="8" s="1"/>
  <c r="H2273" i="8"/>
  <c r="H2272" i="8"/>
  <c r="H2271" i="8"/>
  <c r="H2270" i="8"/>
  <c r="H2269" i="8"/>
  <c r="H2268" i="8"/>
  <c r="H2267" i="8"/>
  <c r="H2266" i="8"/>
  <c r="H2265" i="8"/>
  <c r="H2264" i="8"/>
  <c r="H2263" i="8"/>
  <c r="H2262" i="8"/>
  <c r="H2261" i="8"/>
  <c r="H2260" i="8"/>
  <c r="H2259" i="8"/>
  <c r="H2258" i="8"/>
  <c r="H2257" i="8"/>
  <c r="H2256" i="8"/>
  <c r="H2255" i="8"/>
  <c r="H2254" i="8"/>
  <c r="H2253" i="8"/>
  <c r="H2252" i="8"/>
  <c r="H2251" i="8"/>
  <c r="H2250" i="8"/>
  <c r="H2249" i="8"/>
  <c r="H2248" i="8"/>
  <c r="H2247" i="8"/>
  <c r="H2246" i="8"/>
  <c r="H2245" i="8"/>
  <c r="H2244" i="8"/>
  <c r="H2243" i="8"/>
  <c r="H2242" i="8"/>
  <c r="H2241" i="8"/>
  <c r="H2240" i="8"/>
  <c r="H2239" i="8"/>
  <c r="H2238" i="8"/>
  <c r="H2237" i="8"/>
  <c r="H2236" i="8"/>
  <c r="H2235" i="8"/>
  <c r="H2234" i="8"/>
  <c r="H2233" i="8"/>
  <c r="H2232" i="8"/>
  <c r="H2231" i="8"/>
  <c r="H2230" i="8"/>
  <c r="H2229" i="8"/>
  <c r="H2228" i="8"/>
  <c r="H2227" i="8"/>
  <c r="H2226" i="8"/>
  <c r="H2225" i="8"/>
  <c r="H2224" i="8"/>
  <c r="H2223" i="8"/>
  <c r="H2222" i="8"/>
  <c r="H2221" i="8"/>
  <c r="H2220" i="8"/>
  <c r="H2219" i="8"/>
  <c r="H2218" i="8"/>
  <c r="H2217" i="8"/>
  <c r="H2216" i="8"/>
  <c r="H2215" i="8"/>
  <c r="H2214" i="8"/>
  <c r="G2213" i="8"/>
  <c r="H2213" i="8" s="1"/>
  <c r="H2212" i="8"/>
  <c r="H2211" i="8"/>
  <c r="H2210" i="8"/>
  <c r="G2209" i="8"/>
  <c r="H2209" i="8" s="1"/>
  <c r="H2208" i="8"/>
  <c r="G2208" i="8"/>
  <c r="G2207" i="8"/>
  <c r="H2207" i="8" s="1"/>
  <c r="H2206" i="8"/>
  <c r="H2205" i="8"/>
  <c r="H2204" i="8"/>
  <c r="G2203" i="8"/>
  <c r="H2203" i="8" s="1"/>
  <c r="H2202" i="8"/>
  <c r="H2201" i="8"/>
  <c r="H2200" i="8"/>
  <c r="H2199" i="8"/>
  <c r="H2198" i="8"/>
  <c r="H2197" i="8"/>
  <c r="H2196" i="8"/>
  <c r="H2195" i="8"/>
  <c r="H2194" i="8"/>
  <c r="H2193" i="8"/>
  <c r="H2192" i="8"/>
  <c r="H2191" i="8"/>
  <c r="H2190" i="8"/>
  <c r="H2189" i="8"/>
  <c r="H2188" i="8"/>
  <c r="H2187" i="8"/>
  <c r="H2186" i="8"/>
  <c r="H2185" i="8"/>
  <c r="H2184" i="8"/>
  <c r="H2183" i="8"/>
  <c r="H2182" i="8"/>
  <c r="H2181" i="8"/>
  <c r="G2180" i="8"/>
  <c r="H2180" i="8" s="1"/>
  <c r="H2179" i="8"/>
  <c r="H2178" i="8"/>
  <c r="H2177" i="8"/>
  <c r="H2176" i="8"/>
  <c r="H2175" i="8"/>
  <c r="H2174" i="8"/>
  <c r="H2173" i="8"/>
  <c r="H2172" i="8"/>
  <c r="H2171" i="8"/>
  <c r="H2170" i="8"/>
  <c r="H2169" i="8"/>
  <c r="H2168" i="8"/>
  <c r="H2167" i="8"/>
  <c r="H2166" i="8"/>
  <c r="H2165" i="8"/>
  <c r="H2164" i="8"/>
  <c r="H2163" i="8"/>
  <c r="H2162" i="8"/>
  <c r="H2161" i="8"/>
  <c r="H2160" i="8"/>
  <c r="H2159" i="8"/>
  <c r="H2158" i="8"/>
  <c r="H2157" i="8"/>
  <c r="H2156" i="8"/>
  <c r="H2155" i="8"/>
  <c r="H2154" i="8"/>
  <c r="H2153" i="8"/>
  <c r="H2152" i="8"/>
  <c r="H2151" i="8"/>
  <c r="H2150" i="8"/>
  <c r="H2149" i="8"/>
  <c r="H2148" i="8"/>
  <c r="H2147" i="8"/>
  <c r="H2146" i="8"/>
  <c r="H2145" i="8"/>
  <c r="H2144" i="8"/>
  <c r="H2143" i="8"/>
  <c r="H2142" i="8"/>
  <c r="H2141" i="8"/>
  <c r="H2140" i="8"/>
  <c r="H2139" i="8"/>
  <c r="H2138" i="8"/>
  <c r="H2137" i="8"/>
  <c r="H2136" i="8"/>
  <c r="H2135" i="8"/>
  <c r="H2134" i="8"/>
  <c r="H2133" i="8"/>
  <c r="H2132" i="8"/>
  <c r="H2131" i="8"/>
  <c r="H2130" i="8"/>
  <c r="H2129" i="8"/>
  <c r="H2128" i="8"/>
  <c r="H2127" i="8"/>
  <c r="H2126" i="8"/>
  <c r="H2125" i="8"/>
  <c r="H2124" i="8"/>
  <c r="H2123" i="8"/>
  <c r="H2122" i="8"/>
  <c r="H2121" i="8"/>
  <c r="H2120" i="8"/>
  <c r="H2119" i="8"/>
  <c r="H2118" i="8"/>
  <c r="H2117" i="8"/>
  <c r="H2116" i="8"/>
  <c r="H2115" i="8"/>
  <c r="H2114" i="8"/>
  <c r="H2113" i="8"/>
  <c r="H2112" i="8"/>
  <c r="H2111" i="8"/>
  <c r="H2110" i="8"/>
  <c r="G2109" i="8"/>
  <c r="H2109" i="8" s="1"/>
  <c r="H2108" i="8"/>
  <c r="H2107" i="8"/>
  <c r="H2106" i="8"/>
  <c r="H2105" i="8"/>
  <c r="H2104" i="8"/>
  <c r="H2103" i="8"/>
  <c r="G2102" i="8"/>
  <c r="H2102" i="8" s="1"/>
  <c r="H2101" i="8"/>
  <c r="H2100" i="8"/>
  <c r="H2099" i="8"/>
  <c r="H2098" i="8"/>
  <c r="H2097" i="8"/>
  <c r="H2096" i="8"/>
  <c r="H2095" i="8"/>
  <c r="H2094" i="8"/>
  <c r="H2093" i="8"/>
  <c r="G2092" i="8"/>
  <c r="H2092" i="8" s="1"/>
  <c r="H2091" i="8"/>
  <c r="H2090" i="8"/>
  <c r="H2089" i="8"/>
  <c r="H2088" i="8"/>
  <c r="H2087" i="8"/>
  <c r="H2086" i="8"/>
  <c r="H2085" i="8"/>
  <c r="H2084" i="8"/>
  <c r="H2083" i="8"/>
  <c r="H2082" i="8"/>
  <c r="H2081" i="8"/>
  <c r="H2080" i="8"/>
  <c r="H2079" i="8"/>
  <c r="H2078" i="8"/>
  <c r="H2077" i="8"/>
  <c r="H2076" i="8"/>
  <c r="H2075" i="8"/>
  <c r="H2074" i="8"/>
  <c r="H2073" i="8"/>
  <c r="G2072" i="8"/>
  <c r="H2072" i="8" s="1"/>
  <c r="H2071" i="8"/>
  <c r="H2070" i="8"/>
  <c r="H2069" i="8"/>
  <c r="H2068" i="8"/>
  <c r="H2067" i="8"/>
  <c r="H2066" i="8"/>
  <c r="H2065" i="8"/>
  <c r="H2064" i="8"/>
  <c r="H2063" i="8"/>
  <c r="H2062" i="8"/>
  <c r="H2061" i="8"/>
  <c r="H2060" i="8"/>
  <c r="H2059" i="8"/>
  <c r="H2058" i="8"/>
  <c r="H2057" i="8"/>
  <c r="H2056" i="8"/>
  <c r="H2055" i="8"/>
  <c r="H2054" i="8"/>
  <c r="H2053" i="8"/>
  <c r="H2052" i="8"/>
  <c r="H2051" i="8"/>
  <c r="H2050" i="8"/>
  <c r="H2049" i="8"/>
  <c r="H2048" i="8"/>
  <c r="G2048" i="8"/>
  <c r="H2047" i="8"/>
  <c r="H2046" i="8"/>
  <c r="H2045" i="8"/>
  <c r="H2044" i="8"/>
  <c r="H2043" i="8"/>
  <c r="H2042" i="8"/>
  <c r="H2041" i="8"/>
  <c r="H2040" i="8"/>
  <c r="H2039" i="8"/>
  <c r="H2038" i="8"/>
  <c r="H2037" i="8"/>
  <c r="H2036" i="8"/>
  <c r="H2035" i="8"/>
  <c r="H2034" i="8"/>
  <c r="H2033" i="8"/>
  <c r="H2032" i="8"/>
  <c r="H2031" i="8"/>
  <c r="H2030" i="8"/>
  <c r="H2029" i="8"/>
  <c r="H2028" i="8"/>
  <c r="H2027" i="8"/>
  <c r="H2026" i="8"/>
  <c r="H2025" i="8"/>
  <c r="H2024" i="8"/>
  <c r="G2023" i="8"/>
  <c r="H2023" i="8" s="1"/>
  <c r="H2022" i="8"/>
  <c r="H2021" i="8"/>
  <c r="H2020" i="8"/>
  <c r="H2019" i="8"/>
  <c r="H2018" i="8"/>
  <c r="H2017" i="8"/>
  <c r="H2016" i="8"/>
  <c r="H2015" i="8"/>
  <c r="H2014" i="8"/>
  <c r="H2013" i="8"/>
  <c r="H2012" i="8"/>
  <c r="H2011" i="8"/>
  <c r="H2010" i="8"/>
  <c r="H2009" i="8"/>
  <c r="H2008" i="8"/>
  <c r="H2007" i="8"/>
  <c r="H2006" i="8"/>
  <c r="H2005" i="8"/>
  <c r="H2004" i="8"/>
  <c r="H2003" i="8"/>
  <c r="H2002" i="8"/>
  <c r="H2001" i="8"/>
  <c r="H2000" i="8"/>
  <c r="H1999" i="8"/>
  <c r="H1998" i="8"/>
  <c r="H1997" i="8"/>
  <c r="H1996" i="8"/>
  <c r="H1995" i="8"/>
  <c r="H1994" i="8"/>
  <c r="H1993" i="8"/>
  <c r="H1992" i="8"/>
  <c r="H1991" i="8"/>
  <c r="H1990" i="8"/>
  <c r="H1989" i="8"/>
  <c r="H1988" i="8"/>
  <c r="H1987" i="8"/>
  <c r="H1986" i="8"/>
  <c r="H1985" i="8"/>
  <c r="H1984" i="8"/>
  <c r="H1983" i="8"/>
  <c r="H1982" i="8"/>
  <c r="H1981" i="8"/>
  <c r="H1980" i="8"/>
  <c r="H1979" i="8"/>
  <c r="H1978" i="8"/>
  <c r="H1977" i="8"/>
  <c r="H1976" i="8"/>
  <c r="H1975" i="8"/>
  <c r="H1974" i="8"/>
  <c r="H1973" i="8"/>
  <c r="H1972" i="8"/>
  <c r="H1971" i="8"/>
  <c r="H1970" i="8"/>
  <c r="H1969" i="8"/>
  <c r="H1968" i="8"/>
  <c r="H1967" i="8"/>
  <c r="H1966" i="8"/>
  <c r="H1965" i="8"/>
  <c r="H1964" i="8"/>
  <c r="H1963" i="8"/>
  <c r="H1962" i="8"/>
  <c r="H1961" i="8"/>
  <c r="H1960" i="8"/>
  <c r="H1959" i="8"/>
  <c r="H1958" i="8"/>
  <c r="H1957" i="8"/>
  <c r="G1956" i="8"/>
  <c r="H1956" i="8" s="1"/>
  <c r="H1955" i="8"/>
  <c r="H1954" i="8"/>
  <c r="H1953" i="8"/>
  <c r="H1952" i="8"/>
  <c r="H1951" i="8"/>
  <c r="H1950" i="8"/>
  <c r="H1949" i="8"/>
  <c r="H1948" i="8"/>
  <c r="H1947" i="8"/>
  <c r="H1946" i="8"/>
  <c r="H1945" i="8"/>
  <c r="H1944" i="8"/>
  <c r="H1943" i="8"/>
  <c r="H1942" i="8"/>
  <c r="H1941" i="8"/>
  <c r="H1940" i="8"/>
  <c r="H1939" i="8"/>
  <c r="H1938" i="8"/>
  <c r="H1937" i="8"/>
  <c r="H1936" i="8"/>
  <c r="H1935" i="8"/>
  <c r="H1934" i="8"/>
  <c r="H1933" i="8"/>
  <c r="H1932" i="8"/>
  <c r="H1931" i="8"/>
  <c r="H1930" i="8"/>
  <c r="H1929" i="8"/>
  <c r="H1928" i="8"/>
  <c r="H1927" i="8"/>
  <c r="H1926" i="8"/>
  <c r="H1925" i="8"/>
  <c r="H1924" i="8"/>
  <c r="H1923" i="8"/>
  <c r="H1922" i="8"/>
  <c r="H1921" i="8"/>
  <c r="H1920" i="8"/>
  <c r="H1919" i="8"/>
  <c r="H1918" i="8"/>
  <c r="H1917" i="8"/>
  <c r="H1916" i="8"/>
  <c r="H1915" i="8"/>
  <c r="H1914" i="8"/>
  <c r="H1913" i="8"/>
  <c r="H1912" i="8"/>
  <c r="H1911" i="8"/>
  <c r="H1910" i="8"/>
  <c r="H1909" i="8"/>
  <c r="H1908" i="8"/>
  <c r="H1907" i="8"/>
  <c r="H1906" i="8"/>
  <c r="H1905" i="8"/>
  <c r="H1904" i="8"/>
  <c r="H1903" i="8"/>
  <c r="H1902" i="8"/>
  <c r="H1901" i="8"/>
  <c r="H1900" i="8"/>
  <c r="H1899" i="8"/>
  <c r="G1898" i="8"/>
  <c r="H1898" i="8" s="1"/>
  <c r="H1897" i="8"/>
  <c r="H1896" i="8"/>
  <c r="H1895" i="8"/>
  <c r="H1894" i="8"/>
  <c r="H1893" i="8"/>
  <c r="H1892" i="8"/>
  <c r="H1891" i="8"/>
  <c r="H1890" i="8"/>
  <c r="G1889" i="8"/>
  <c r="H1889" i="8" s="1"/>
  <c r="H1888" i="8"/>
  <c r="H1887" i="8"/>
  <c r="H1886" i="8"/>
  <c r="H1885" i="8"/>
  <c r="H1884" i="8"/>
  <c r="H1883" i="8"/>
  <c r="H1882" i="8"/>
  <c r="H1881" i="8"/>
  <c r="H1880" i="8"/>
  <c r="H1879" i="8"/>
  <c r="H1878" i="8"/>
  <c r="H1877" i="8"/>
  <c r="H1876" i="8"/>
  <c r="H1875" i="8"/>
  <c r="H1874" i="8"/>
  <c r="H1873" i="8"/>
  <c r="H1872" i="8"/>
  <c r="H1871" i="8"/>
  <c r="H1870" i="8"/>
  <c r="H1869" i="8"/>
  <c r="H1868" i="8"/>
  <c r="H1867" i="8"/>
  <c r="H1866" i="8"/>
  <c r="H1865" i="8"/>
  <c r="H1864" i="8"/>
  <c r="H1863" i="8"/>
  <c r="H1862" i="8"/>
  <c r="H1861" i="8"/>
  <c r="H1860" i="8"/>
  <c r="H1859" i="8"/>
  <c r="H1858" i="8"/>
  <c r="H1857" i="8"/>
  <c r="H1856" i="8"/>
  <c r="H1855" i="8"/>
  <c r="H1854" i="8"/>
  <c r="H1853" i="8"/>
  <c r="H1852" i="8"/>
  <c r="H1851" i="8"/>
  <c r="H1850" i="8"/>
  <c r="H1849" i="8"/>
  <c r="G1848" i="8"/>
  <c r="H1848" i="8" s="1"/>
  <c r="H1847" i="8"/>
  <c r="H1846" i="8"/>
  <c r="H1845" i="8"/>
  <c r="G1845" i="8"/>
  <c r="G1844" i="8"/>
  <c r="H1844" i="8" s="1"/>
  <c r="H1843" i="8"/>
  <c r="H1842" i="8"/>
  <c r="G1841" i="8"/>
  <c r="H1841" i="8" s="1"/>
  <c r="H1840" i="8"/>
  <c r="G1840" i="8"/>
  <c r="H1839" i="8"/>
  <c r="H1838" i="8"/>
  <c r="H1837" i="8"/>
  <c r="H1836" i="8"/>
  <c r="H1835" i="8"/>
  <c r="H1834" i="8"/>
  <c r="H1833" i="8"/>
  <c r="H1832" i="8"/>
  <c r="H1831" i="8"/>
  <c r="H1830" i="8"/>
  <c r="H1829" i="8"/>
  <c r="H1828" i="8"/>
  <c r="H1827" i="8"/>
  <c r="H1826" i="8"/>
  <c r="H1825" i="8"/>
  <c r="H1824" i="8"/>
  <c r="H1823" i="8"/>
  <c r="H1822" i="8"/>
  <c r="H1821" i="8"/>
  <c r="H1820" i="8"/>
  <c r="H1819" i="8"/>
  <c r="H1818" i="8"/>
  <c r="H1817" i="8"/>
  <c r="H1816" i="8"/>
  <c r="H1815" i="8"/>
  <c r="H1814" i="8"/>
  <c r="H1813" i="8"/>
  <c r="H1812" i="8"/>
  <c r="H1811" i="8"/>
  <c r="H1810" i="8"/>
  <c r="H1809" i="8"/>
  <c r="H1808" i="8"/>
  <c r="H1807" i="8"/>
  <c r="H1806" i="8"/>
  <c r="H1805" i="8"/>
  <c r="H1804" i="8"/>
  <c r="H1803" i="8"/>
  <c r="H1802" i="8"/>
  <c r="H1801" i="8"/>
  <c r="H1800" i="8"/>
  <c r="H1799" i="8"/>
  <c r="H1798" i="8"/>
  <c r="H1797" i="8"/>
  <c r="H1796" i="8"/>
  <c r="H1795" i="8"/>
  <c r="H1794" i="8"/>
  <c r="H1793" i="8"/>
  <c r="H1792" i="8"/>
  <c r="H1791" i="8"/>
  <c r="H1790" i="8"/>
  <c r="H1789" i="8"/>
  <c r="H1788" i="8"/>
  <c r="H1787" i="8"/>
  <c r="H1786" i="8"/>
  <c r="H1785" i="8"/>
  <c r="H1784" i="8"/>
  <c r="H1783" i="8"/>
  <c r="H1782" i="8"/>
  <c r="H1781" i="8"/>
  <c r="H1780" i="8"/>
  <c r="H1779" i="8"/>
  <c r="H1778" i="8"/>
  <c r="H1777" i="8"/>
  <c r="H1776" i="8"/>
  <c r="H1775" i="8"/>
  <c r="H1774" i="8"/>
  <c r="H1773" i="8"/>
  <c r="H1772" i="8"/>
  <c r="H1771" i="8"/>
  <c r="H1770" i="8"/>
  <c r="H1769" i="8"/>
  <c r="H1768" i="8"/>
  <c r="H1767" i="8"/>
  <c r="H1766" i="8"/>
  <c r="H1765" i="8"/>
  <c r="H1764" i="8"/>
  <c r="H1763" i="8"/>
  <c r="H1762" i="8"/>
  <c r="H1761" i="8"/>
  <c r="H1760" i="8"/>
  <c r="H1759" i="8"/>
  <c r="H1758" i="8"/>
  <c r="H1757" i="8"/>
  <c r="H1756" i="8"/>
  <c r="H1755" i="8"/>
  <c r="H1754" i="8"/>
  <c r="H1753" i="8"/>
  <c r="H1752" i="8"/>
  <c r="H1751" i="8"/>
  <c r="H1750" i="8"/>
  <c r="H1749" i="8"/>
  <c r="H1748" i="8"/>
  <c r="H1747" i="8"/>
  <c r="H1746" i="8"/>
  <c r="H1745" i="8"/>
  <c r="H1744" i="8"/>
  <c r="H1743" i="8"/>
  <c r="H1742" i="8"/>
  <c r="H1741" i="8"/>
  <c r="H1740" i="8"/>
  <c r="H1739" i="8"/>
  <c r="H1738" i="8"/>
  <c r="H1737" i="8"/>
  <c r="H1736" i="8"/>
  <c r="H1735" i="8"/>
  <c r="H1734" i="8"/>
  <c r="H1733" i="8"/>
  <c r="H1732" i="8"/>
  <c r="H1731" i="8"/>
  <c r="H1730" i="8"/>
  <c r="H1729" i="8"/>
  <c r="H1728" i="8"/>
  <c r="H1727" i="8"/>
  <c r="H1726" i="8"/>
  <c r="H1725" i="8"/>
  <c r="H1724" i="8"/>
  <c r="H1723" i="8"/>
  <c r="H1722" i="8"/>
  <c r="G1722" i="8"/>
  <c r="H1721" i="8"/>
  <c r="H1720" i="8"/>
  <c r="H1719" i="8"/>
  <c r="H1718" i="8"/>
  <c r="H1717" i="8"/>
  <c r="H1716" i="8"/>
  <c r="H1715" i="8"/>
  <c r="H1714" i="8"/>
  <c r="H1713" i="8"/>
  <c r="H1712" i="8"/>
  <c r="H1711" i="8"/>
  <c r="H1710" i="8"/>
  <c r="H1709" i="8"/>
  <c r="H1708" i="8"/>
  <c r="H1707" i="8"/>
  <c r="H1706" i="8"/>
  <c r="H1705" i="8"/>
  <c r="H1704" i="8"/>
  <c r="H1703" i="8"/>
  <c r="H1702" i="8"/>
  <c r="H1701" i="8"/>
  <c r="H1700" i="8"/>
  <c r="H1699" i="8"/>
  <c r="H1698" i="8"/>
  <c r="H1697" i="8"/>
  <c r="H1696" i="8"/>
  <c r="H1695" i="8"/>
  <c r="G1695" i="8"/>
  <c r="G1694" i="8"/>
  <c r="H1694" i="8" s="1"/>
  <c r="H1693" i="8"/>
  <c r="H1692" i="8"/>
  <c r="H1691" i="8"/>
  <c r="H1690" i="8"/>
  <c r="H1689" i="8"/>
  <c r="H1688" i="8"/>
  <c r="H1687" i="8"/>
  <c r="H1686" i="8"/>
  <c r="H1685" i="8"/>
  <c r="H1684" i="8"/>
  <c r="H1683" i="8"/>
  <c r="H1682" i="8"/>
  <c r="H1681" i="8"/>
  <c r="H1680" i="8"/>
  <c r="H1679" i="8"/>
  <c r="G1678" i="8"/>
  <c r="H1678" i="8" s="1"/>
  <c r="H1677" i="8"/>
  <c r="H1676" i="8"/>
  <c r="H1675" i="8"/>
  <c r="H1674" i="8"/>
  <c r="G1673" i="8"/>
  <c r="H1673" i="8" s="1"/>
  <c r="H1672" i="8"/>
  <c r="H1671" i="8"/>
  <c r="H1670" i="8"/>
  <c r="H1669" i="8"/>
  <c r="H1668" i="8"/>
  <c r="H1667" i="8"/>
  <c r="H1666" i="8"/>
  <c r="H1665" i="8"/>
  <c r="H1664" i="8"/>
  <c r="H1663" i="8"/>
  <c r="H1662" i="8"/>
  <c r="H1661" i="8"/>
  <c r="H1660" i="8"/>
  <c r="H1659" i="8"/>
  <c r="H1658" i="8"/>
  <c r="H1657" i="8"/>
  <c r="H1656" i="8"/>
  <c r="H1655" i="8"/>
  <c r="H1654" i="8"/>
  <c r="H1653" i="8"/>
  <c r="H1652" i="8"/>
  <c r="H1651" i="8"/>
  <c r="H1650" i="8"/>
  <c r="H1649" i="8"/>
  <c r="H1648" i="8"/>
  <c r="H1647" i="8"/>
  <c r="G1647" i="8"/>
  <c r="H1646" i="8"/>
  <c r="H1645" i="8"/>
  <c r="H1644" i="8"/>
  <c r="H1643" i="8"/>
  <c r="H1642" i="8"/>
  <c r="H1641" i="8"/>
  <c r="H1640" i="8"/>
  <c r="H1639" i="8"/>
  <c r="H1638" i="8"/>
  <c r="H1637" i="8"/>
  <c r="H1636" i="8"/>
  <c r="H1635" i="8"/>
  <c r="H1634" i="8"/>
  <c r="H1633" i="8"/>
  <c r="H1632" i="8"/>
  <c r="H1631" i="8"/>
  <c r="H1630" i="8"/>
  <c r="H1629" i="8"/>
  <c r="H1628" i="8"/>
  <c r="H1627" i="8"/>
  <c r="H1626" i="8"/>
  <c r="H1625" i="8"/>
  <c r="H1624" i="8"/>
  <c r="H1623" i="8"/>
  <c r="H1622" i="8"/>
  <c r="H1621" i="8"/>
  <c r="H1620" i="8"/>
  <c r="H1619" i="8"/>
  <c r="H1618" i="8"/>
  <c r="H1617" i="8"/>
  <c r="H1616" i="8"/>
  <c r="H1615" i="8"/>
  <c r="H1614" i="8"/>
  <c r="H1613" i="8"/>
  <c r="H1612" i="8"/>
  <c r="H1611" i="8"/>
  <c r="H1610" i="8"/>
  <c r="H1609" i="8"/>
  <c r="H1608" i="8"/>
  <c r="H1607" i="8"/>
  <c r="H1606" i="8"/>
  <c r="H1605" i="8"/>
  <c r="H1604" i="8"/>
  <c r="H1603" i="8"/>
  <c r="H1602" i="8"/>
  <c r="H1601" i="8"/>
  <c r="H1600" i="8"/>
  <c r="H1599" i="8"/>
  <c r="H1598" i="8"/>
  <c r="H1597" i="8"/>
  <c r="H1596" i="8"/>
  <c r="H1595" i="8"/>
  <c r="H1594" i="8"/>
  <c r="H1593" i="8"/>
  <c r="H1592" i="8"/>
  <c r="H1591" i="8"/>
  <c r="H1590" i="8"/>
  <c r="H1589" i="8"/>
  <c r="H1588" i="8"/>
  <c r="H1587" i="8"/>
  <c r="H1586" i="8"/>
  <c r="H1585" i="8"/>
  <c r="H1584" i="8"/>
  <c r="H1583" i="8"/>
  <c r="H1582" i="8"/>
  <c r="H1581" i="8"/>
  <c r="H1580" i="8"/>
  <c r="H1579" i="8"/>
  <c r="H1578" i="8"/>
  <c r="H1577" i="8"/>
  <c r="H1576" i="8"/>
  <c r="H1575" i="8"/>
  <c r="H1574" i="8"/>
  <c r="H1573" i="8"/>
  <c r="H1572" i="8"/>
  <c r="H1571" i="8"/>
  <c r="H1570" i="8"/>
  <c r="H1569" i="8"/>
  <c r="H1568" i="8"/>
  <c r="H1567" i="8"/>
  <c r="H1566" i="8"/>
  <c r="H1565" i="8"/>
  <c r="H1564" i="8"/>
  <c r="H1563" i="8"/>
  <c r="H1562" i="8"/>
  <c r="H1561" i="8"/>
  <c r="H1560" i="8"/>
  <c r="H1559" i="8"/>
  <c r="H1558" i="8"/>
  <c r="H1557" i="8"/>
  <c r="H1556" i="8"/>
  <c r="H1555" i="8"/>
  <c r="H1554" i="8"/>
  <c r="H1553" i="8"/>
  <c r="H1552" i="8"/>
  <c r="H1551" i="8"/>
  <c r="H1550" i="8"/>
  <c r="H1549" i="8"/>
  <c r="H1548" i="8"/>
  <c r="H1547" i="8"/>
  <c r="H1546" i="8"/>
  <c r="H1545" i="8"/>
  <c r="H1544" i="8"/>
  <c r="H1543" i="8"/>
  <c r="H1542" i="8"/>
  <c r="H1541" i="8"/>
  <c r="H1540" i="8"/>
  <c r="H1539" i="8"/>
  <c r="H1538" i="8"/>
  <c r="H1537" i="8"/>
  <c r="H1536" i="8"/>
  <c r="G1535" i="8"/>
  <c r="H1535" i="8" s="1"/>
  <c r="H1534" i="8"/>
  <c r="H1533" i="8"/>
  <c r="H1532" i="8"/>
  <c r="H1531" i="8"/>
  <c r="H1530" i="8"/>
  <c r="H1529" i="8"/>
  <c r="H1528" i="8"/>
  <c r="H1527" i="8"/>
  <c r="H1526" i="8"/>
  <c r="H1525" i="8"/>
  <c r="H1524" i="8"/>
  <c r="H1523" i="8"/>
  <c r="H1522" i="8"/>
  <c r="H1521" i="8"/>
  <c r="H1520" i="8"/>
  <c r="H1519" i="8"/>
  <c r="H1518" i="8"/>
  <c r="H1517" i="8"/>
  <c r="H1516" i="8"/>
  <c r="H1515" i="8"/>
  <c r="H1514" i="8"/>
  <c r="H1513" i="8"/>
  <c r="H1512" i="8"/>
  <c r="H1511" i="8"/>
  <c r="H1510" i="8"/>
  <c r="H1509" i="8"/>
  <c r="H1508" i="8"/>
  <c r="H1507" i="8"/>
  <c r="H1506" i="8"/>
  <c r="H1505" i="8"/>
  <c r="H1504" i="8"/>
  <c r="H1503" i="8"/>
  <c r="H1502" i="8"/>
  <c r="H1501" i="8"/>
  <c r="H1500" i="8"/>
  <c r="H1499" i="8"/>
  <c r="H1498" i="8"/>
  <c r="H1497" i="8"/>
  <c r="H1496" i="8"/>
  <c r="H1495" i="8"/>
  <c r="H1494" i="8"/>
  <c r="H1493" i="8"/>
  <c r="H1492" i="8"/>
  <c r="H1491" i="8"/>
  <c r="H1490" i="8"/>
  <c r="H1489" i="8"/>
  <c r="H1488" i="8"/>
  <c r="H1487" i="8"/>
  <c r="H1486" i="8"/>
  <c r="H1485" i="8"/>
  <c r="H1484" i="8"/>
  <c r="H1483" i="8"/>
  <c r="G1482" i="8"/>
  <c r="H1482" i="8" s="1"/>
  <c r="H1481" i="8"/>
  <c r="H1480" i="8"/>
  <c r="H1479" i="8"/>
  <c r="H1478" i="8"/>
  <c r="H1477" i="8"/>
  <c r="H1476" i="8"/>
  <c r="H1475" i="8"/>
  <c r="H1474" i="8"/>
  <c r="H1473" i="8"/>
  <c r="H1472" i="8"/>
  <c r="H1471" i="8"/>
  <c r="H1470" i="8"/>
  <c r="H1469" i="8"/>
  <c r="H1468" i="8"/>
  <c r="H1467" i="8"/>
  <c r="H1466" i="8"/>
  <c r="H1465" i="8"/>
  <c r="H1464" i="8"/>
  <c r="H1463" i="8"/>
  <c r="H1462" i="8"/>
  <c r="H1461" i="8"/>
  <c r="H1460" i="8"/>
  <c r="H1459" i="8"/>
  <c r="H1458" i="8"/>
  <c r="H1457" i="8"/>
  <c r="H1456" i="8"/>
  <c r="H1455" i="8"/>
  <c r="H1454" i="8"/>
  <c r="H1453" i="8"/>
  <c r="H1452" i="8"/>
  <c r="H1451" i="8"/>
  <c r="H1450" i="8"/>
  <c r="H1449" i="8"/>
  <c r="G1448" i="8"/>
  <c r="H1448" i="8" s="1"/>
  <c r="H1447" i="8"/>
  <c r="H1446" i="8"/>
  <c r="H1445" i="8"/>
  <c r="H1444" i="8"/>
  <c r="H1443" i="8"/>
  <c r="H1442" i="8"/>
  <c r="H1441" i="8"/>
  <c r="H1440" i="8"/>
  <c r="H1439" i="8"/>
  <c r="H1438" i="8"/>
  <c r="H1437" i="8"/>
  <c r="H1436" i="8"/>
  <c r="H1435" i="8"/>
  <c r="H1434" i="8"/>
  <c r="H1433" i="8"/>
  <c r="H1432" i="8"/>
  <c r="H1431" i="8"/>
  <c r="H1430" i="8"/>
  <c r="H1429" i="8"/>
  <c r="H1428" i="8"/>
  <c r="H1427" i="8"/>
  <c r="H1426" i="8"/>
  <c r="H1425" i="8"/>
  <c r="H1424" i="8"/>
  <c r="H1423" i="8"/>
  <c r="H1422" i="8"/>
  <c r="H1421" i="8"/>
  <c r="H1420" i="8"/>
  <c r="H1419" i="8"/>
  <c r="H1418" i="8"/>
  <c r="H1417" i="8"/>
  <c r="H1416" i="8"/>
  <c r="H1415" i="8"/>
  <c r="G1415" i="8"/>
  <c r="H1414" i="8"/>
  <c r="H1413" i="8"/>
  <c r="H1412" i="8"/>
  <c r="H1411" i="8"/>
  <c r="H1410" i="8"/>
  <c r="H1409" i="8"/>
  <c r="H1408" i="8"/>
  <c r="H1407" i="8"/>
  <c r="H1406" i="8"/>
  <c r="H1405" i="8"/>
  <c r="H1404" i="8"/>
  <c r="H1403" i="8"/>
  <c r="H1402" i="8"/>
  <c r="H1401" i="8"/>
  <c r="H1400" i="8"/>
  <c r="H1399" i="8"/>
  <c r="H1398" i="8"/>
  <c r="H1397" i="8"/>
  <c r="H1396" i="8"/>
  <c r="H1395" i="8"/>
  <c r="H1394" i="8"/>
  <c r="H1393" i="8"/>
  <c r="H1392" i="8"/>
  <c r="H1391" i="8"/>
  <c r="H1390" i="8"/>
  <c r="H1389" i="8"/>
  <c r="H1388" i="8"/>
  <c r="H1387" i="8"/>
  <c r="H1386" i="8"/>
  <c r="H1385" i="8"/>
  <c r="H1384" i="8"/>
  <c r="H1383" i="8"/>
  <c r="H1382" i="8"/>
  <c r="G1381" i="8"/>
  <c r="H1381" i="8" s="1"/>
  <c r="H1380" i="8"/>
  <c r="H1379" i="8"/>
  <c r="H1378" i="8"/>
  <c r="H1377" i="8"/>
  <c r="H1376" i="8"/>
  <c r="H1375" i="8"/>
  <c r="H1374" i="8"/>
  <c r="H1373" i="8"/>
  <c r="H1372" i="8"/>
  <c r="H1371" i="8"/>
  <c r="H1370" i="8"/>
  <c r="H1369" i="8"/>
  <c r="H1368" i="8"/>
  <c r="H1367" i="8"/>
  <c r="H1366" i="8"/>
  <c r="H1365" i="8"/>
  <c r="H1364" i="8"/>
  <c r="H1363" i="8"/>
  <c r="H1362" i="8"/>
  <c r="H1361" i="8"/>
  <c r="H1360" i="8"/>
  <c r="H1359" i="8"/>
  <c r="H1358" i="8"/>
  <c r="H1357" i="8"/>
  <c r="H1356" i="8"/>
  <c r="G1355" i="8"/>
  <c r="H1355" i="8" s="1"/>
  <c r="H1354" i="8"/>
  <c r="H1353" i="8"/>
  <c r="H1352" i="8"/>
  <c r="H1351" i="8"/>
  <c r="H1350" i="8"/>
  <c r="H1349" i="8"/>
  <c r="H1348" i="8"/>
  <c r="H1347" i="8"/>
  <c r="H1346" i="8"/>
  <c r="H1345" i="8"/>
  <c r="H1344" i="8"/>
  <c r="H1343" i="8"/>
  <c r="H1342" i="8"/>
  <c r="H1341" i="8"/>
  <c r="H1340" i="8"/>
  <c r="H1339" i="8"/>
  <c r="H1338" i="8"/>
  <c r="H1337" i="8"/>
  <c r="H1336" i="8"/>
  <c r="H1335" i="8"/>
  <c r="H1334" i="8"/>
  <c r="H1333" i="8"/>
  <c r="H1332" i="8"/>
  <c r="H1331" i="8"/>
  <c r="H1330" i="8"/>
  <c r="H1329" i="8"/>
  <c r="H1328" i="8"/>
  <c r="H1327" i="8"/>
  <c r="H1326" i="8"/>
  <c r="H1325" i="8"/>
  <c r="H1324" i="8"/>
  <c r="H1323" i="8"/>
  <c r="H1322" i="8"/>
  <c r="G1322" i="8"/>
  <c r="H1321" i="8"/>
  <c r="H1320" i="8"/>
  <c r="H1319" i="8"/>
  <c r="H1318" i="8"/>
  <c r="H1317" i="8"/>
  <c r="H1316" i="8"/>
  <c r="H1315" i="8"/>
  <c r="H1314" i="8"/>
  <c r="H1313" i="8"/>
  <c r="H1312" i="8"/>
  <c r="H1311" i="8"/>
  <c r="H1310" i="8"/>
  <c r="G1309" i="8"/>
  <c r="H1309" i="8" s="1"/>
  <c r="H1308" i="8"/>
  <c r="H1307" i="8"/>
  <c r="H1306" i="8"/>
  <c r="H1305" i="8"/>
  <c r="H1304" i="8"/>
  <c r="H1303" i="8"/>
  <c r="H1302" i="8"/>
  <c r="H1301" i="8"/>
  <c r="H1300" i="8"/>
  <c r="H1299" i="8"/>
  <c r="H1298" i="8"/>
  <c r="H1297" i="8"/>
  <c r="H1296" i="8"/>
  <c r="H1295" i="8"/>
  <c r="H1294" i="8"/>
  <c r="H1293" i="8"/>
  <c r="H1292" i="8"/>
  <c r="H1291" i="8"/>
  <c r="H1290" i="8"/>
  <c r="H1289" i="8"/>
  <c r="H1288" i="8"/>
  <c r="H1287" i="8"/>
  <c r="H1286" i="8"/>
  <c r="H1285" i="8"/>
  <c r="H1284" i="8"/>
  <c r="H1283" i="8"/>
  <c r="H1282" i="8"/>
  <c r="H1281" i="8"/>
  <c r="H1280" i="8"/>
  <c r="H1279" i="8"/>
  <c r="H1278" i="8"/>
  <c r="H1277" i="8"/>
  <c r="H1276" i="8"/>
  <c r="H1275" i="8"/>
  <c r="H1274" i="8"/>
  <c r="H1273" i="8"/>
  <c r="H1272" i="8"/>
  <c r="H1271" i="8"/>
  <c r="H1270" i="8"/>
  <c r="H1269" i="8"/>
  <c r="H1268" i="8"/>
  <c r="H1267" i="8"/>
  <c r="G1266" i="8"/>
  <c r="H1266" i="8" s="1"/>
  <c r="H1265" i="8"/>
  <c r="H1264" i="8"/>
  <c r="H1263" i="8"/>
  <c r="H1262" i="8"/>
  <c r="H1261" i="8"/>
  <c r="H1260" i="8"/>
  <c r="H1259" i="8"/>
  <c r="H1258" i="8"/>
  <c r="H1257" i="8"/>
  <c r="H1256" i="8"/>
  <c r="H1255" i="8"/>
  <c r="H1254" i="8"/>
  <c r="H1253" i="8"/>
  <c r="H1252" i="8"/>
  <c r="H1251" i="8"/>
  <c r="H1250" i="8"/>
  <c r="H1249" i="8"/>
  <c r="H1248" i="8"/>
  <c r="H1247" i="8"/>
  <c r="H1246" i="8"/>
  <c r="H1245" i="8"/>
  <c r="H1244" i="8"/>
  <c r="H1243" i="8"/>
  <c r="H1242" i="8"/>
  <c r="H1241" i="8"/>
  <c r="H1240" i="8"/>
  <c r="H1239" i="8"/>
  <c r="H1238" i="8"/>
  <c r="H1237" i="8"/>
  <c r="H1236" i="8"/>
  <c r="H1235" i="8"/>
  <c r="H1234" i="8"/>
  <c r="H1233" i="8"/>
  <c r="G1233" i="8"/>
  <c r="H1232" i="8"/>
  <c r="H1231" i="8"/>
  <c r="H1230" i="8"/>
  <c r="H1229" i="8"/>
  <c r="H1228" i="8"/>
  <c r="H1227" i="8"/>
  <c r="H1226" i="8"/>
  <c r="H1225" i="8"/>
  <c r="H1224" i="8"/>
  <c r="H1223" i="8"/>
  <c r="H1222" i="8"/>
  <c r="H1221" i="8"/>
  <c r="H1220" i="8"/>
  <c r="H1219" i="8"/>
  <c r="H1218" i="8"/>
  <c r="H1217" i="8"/>
  <c r="H1216" i="8"/>
  <c r="H1215" i="8"/>
  <c r="H1214" i="8"/>
  <c r="H1213" i="8"/>
  <c r="H1212" i="8"/>
  <c r="H1211" i="8"/>
  <c r="H1210" i="8"/>
  <c r="H1209" i="8"/>
  <c r="H1208" i="8"/>
  <c r="H1207" i="8"/>
  <c r="H1206" i="8"/>
  <c r="H1205" i="8"/>
  <c r="H1204" i="8"/>
  <c r="H1203" i="8"/>
  <c r="H1202" i="8"/>
  <c r="H1201" i="8"/>
  <c r="H1200" i="8"/>
  <c r="H1199" i="8"/>
  <c r="H1198" i="8"/>
  <c r="H1197" i="8"/>
  <c r="H1196" i="8"/>
  <c r="H1195" i="8"/>
  <c r="H1194" i="8"/>
  <c r="H1193" i="8"/>
  <c r="H1192" i="8"/>
  <c r="H1191" i="8"/>
  <c r="H1190" i="8"/>
  <c r="H1189" i="8"/>
  <c r="H1188" i="8"/>
  <c r="H1187" i="8"/>
  <c r="H1186" i="8"/>
  <c r="H1185" i="8"/>
  <c r="H1184" i="8"/>
  <c r="G1183" i="8"/>
  <c r="H1183" i="8" s="1"/>
  <c r="H1182" i="8"/>
  <c r="H1181" i="8"/>
  <c r="H1180" i="8"/>
  <c r="H1179" i="8"/>
  <c r="H1178" i="8"/>
  <c r="H1177" i="8"/>
  <c r="H1176" i="8"/>
  <c r="H1175" i="8"/>
  <c r="H1174" i="8"/>
  <c r="H1173" i="8"/>
  <c r="H1172" i="8"/>
  <c r="H1171" i="8"/>
  <c r="H1170" i="8"/>
  <c r="H1169" i="8"/>
  <c r="H1168" i="8"/>
  <c r="H1167" i="8"/>
  <c r="H1166" i="8"/>
  <c r="H1165" i="8"/>
  <c r="H1164" i="8"/>
  <c r="H1163" i="8"/>
  <c r="H1162" i="8"/>
  <c r="H1161" i="8"/>
  <c r="G1160" i="8"/>
  <c r="H1160" i="8" s="1"/>
  <c r="H1159" i="8"/>
  <c r="H1158" i="8"/>
  <c r="H1157" i="8"/>
  <c r="H1156" i="8"/>
  <c r="H1155" i="8"/>
  <c r="H1154" i="8"/>
  <c r="G1153" i="8"/>
  <c r="H1153" i="8" s="1"/>
  <c r="H1152" i="8"/>
  <c r="H1151" i="8"/>
  <c r="H1150" i="8"/>
  <c r="H1149" i="8"/>
  <c r="H1148" i="8"/>
  <c r="H1147" i="8"/>
  <c r="H1146" i="8"/>
  <c r="H1145" i="8"/>
  <c r="H1144" i="8"/>
  <c r="H1143" i="8"/>
  <c r="G1142" i="8"/>
  <c r="H1142" i="8" s="1"/>
  <c r="H1141" i="8"/>
  <c r="H1140" i="8"/>
  <c r="H1139" i="8"/>
  <c r="H1138" i="8"/>
  <c r="H1137" i="8"/>
  <c r="H1136" i="8"/>
  <c r="H1135" i="8"/>
  <c r="H1134" i="8"/>
  <c r="H1133" i="8"/>
  <c r="H1132" i="8"/>
  <c r="H1131" i="8"/>
  <c r="H1130" i="8"/>
  <c r="H1129" i="8"/>
  <c r="H1128" i="8"/>
  <c r="H1127" i="8"/>
  <c r="H1126" i="8"/>
  <c r="H1125" i="8"/>
  <c r="H1124" i="8"/>
  <c r="H1123" i="8"/>
  <c r="H1122" i="8"/>
  <c r="H1121" i="8"/>
  <c r="H1120" i="8"/>
  <c r="G1119" i="8"/>
  <c r="H1119" i="8" s="1"/>
  <c r="H1118" i="8"/>
  <c r="H1117" i="8"/>
  <c r="H1116" i="8"/>
  <c r="H1115" i="8"/>
  <c r="H1114" i="8"/>
  <c r="H1113" i="8"/>
  <c r="H1112" i="8"/>
  <c r="H1111" i="8"/>
  <c r="H1110" i="8"/>
  <c r="H1109" i="8"/>
  <c r="H1108" i="8"/>
  <c r="H1107" i="8"/>
  <c r="H1106" i="8"/>
  <c r="H1105" i="8"/>
  <c r="H1104" i="8"/>
  <c r="H1103" i="8"/>
  <c r="H1102" i="8"/>
  <c r="H1101" i="8"/>
  <c r="H1100" i="8"/>
  <c r="H1099" i="8"/>
  <c r="H1098" i="8"/>
  <c r="H1097" i="8"/>
  <c r="H1096" i="8"/>
  <c r="H1095" i="8"/>
  <c r="H1094" i="8"/>
  <c r="H1093" i="8"/>
  <c r="H1092" i="8"/>
  <c r="H1091" i="8"/>
  <c r="H1090" i="8"/>
  <c r="H1089" i="8"/>
  <c r="H1088" i="8"/>
  <c r="H1087" i="8"/>
  <c r="H1086" i="8"/>
  <c r="G1085" i="8"/>
  <c r="H1085" i="8" s="1"/>
  <c r="H1084" i="8"/>
  <c r="H1083" i="8"/>
  <c r="H1082" i="8"/>
  <c r="H1081" i="8"/>
  <c r="H1080" i="8"/>
  <c r="H1079" i="8"/>
  <c r="H1078" i="8"/>
  <c r="H1077" i="8"/>
  <c r="H1076" i="8"/>
  <c r="H1075" i="8"/>
  <c r="H1074" i="8"/>
  <c r="H1073" i="8"/>
  <c r="H1072" i="8"/>
  <c r="H1071" i="8"/>
  <c r="H1070" i="8"/>
  <c r="H1069" i="8"/>
  <c r="H1068" i="8"/>
  <c r="H1067" i="8"/>
  <c r="H1066" i="8"/>
  <c r="H1065" i="8"/>
  <c r="H1064" i="8"/>
  <c r="H1063" i="8"/>
  <c r="H1062" i="8"/>
  <c r="H1061" i="8"/>
  <c r="H1060" i="8"/>
  <c r="H1059" i="8"/>
  <c r="H1058" i="8"/>
  <c r="H1057" i="8"/>
  <c r="H1056" i="8"/>
  <c r="H1055" i="8"/>
  <c r="H1054" i="8"/>
  <c r="H1053" i="8"/>
  <c r="H1052" i="8"/>
  <c r="H1051" i="8"/>
  <c r="H1050" i="8"/>
  <c r="H1049" i="8"/>
  <c r="H1048" i="8"/>
  <c r="H1047" i="8"/>
  <c r="H1046" i="8"/>
  <c r="H1045" i="8"/>
  <c r="H1044" i="8"/>
  <c r="H1043" i="8"/>
  <c r="H1042" i="8"/>
  <c r="H1041" i="8"/>
  <c r="H1040" i="8"/>
  <c r="H1039" i="8"/>
  <c r="H1038" i="8"/>
  <c r="H1037" i="8"/>
  <c r="H1036" i="8"/>
  <c r="H1035" i="8"/>
  <c r="H1034" i="8"/>
  <c r="H1033" i="8"/>
  <c r="H1032" i="8"/>
  <c r="H1031" i="8"/>
  <c r="H1030" i="8"/>
  <c r="H1029" i="8"/>
  <c r="H1028" i="8"/>
  <c r="G1027" i="8"/>
  <c r="H1027" i="8" s="1"/>
  <c r="H1026" i="8"/>
  <c r="H1025" i="8"/>
  <c r="H1024" i="8"/>
  <c r="H1023" i="8"/>
  <c r="H1022" i="8"/>
  <c r="H1021" i="8"/>
  <c r="H1020" i="8"/>
  <c r="H1019" i="8"/>
  <c r="H1018" i="8"/>
  <c r="H1017" i="8"/>
  <c r="H1016" i="8"/>
  <c r="H1015" i="8"/>
  <c r="H1014" i="8"/>
  <c r="H1013" i="8"/>
  <c r="H1012" i="8"/>
  <c r="H1011" i="8"/>
  <c r="H1010" i="8"/>
  <c r="H1009" i="8"/>
  <c r="H1008" i="8"/>
  <c r="H1007" i="8"/>
  <c r="H1006" i="8"/>
  <c r="H1005" i="8"/>
  <c r="H1004" i="8"/>
  <c r="H1003" i="8"/>
  <c r="H1002" i="8"/>
  <c r="H1001" i="8"/>
  <c r="H1000" i="8"/>
  <c r="H999" i="8"/>
  <c r="H998" i="8"/>
  <c r="H997" i="8"/>
  <c r="H996" i="8"/>
  <c r="H995" i="8"/>
  <c r="H994" i="8"/>
  <c r="H993" i="8"/>
  <c r="H992" i="8"/>
  <c r="H991" i="8"/>
  <c r="H990" i="8"/>
  <c r="H989" i="8"/>
  <c r="H988" i="8"/>
  <c r="H987" i="8"/>
  <c r="H986" i="8"/>
  <c r="H985" i="8"/>
  <c r="H984" i="8"/>
  <c r="H983" i="8"/>
  <c r="H982" i="8"/>
  <c r="H981" i="8"/>
  <c r="H980" i="8"/>
  <c r="H979" i="8"/>
  <c r="H978" i="8"/>
  <c r="H977" i="8"/>
  <c r="H976" i="8"/>
  <c r="H975" i="8"/>
  <c r="H974" i="8"/>
  <c r="H973" i="8"/>
  <c r="H972" i="8"/>
  <c r="H971" i="8"/>
  <c r="H970" i="8"/>
  <c r="H969" i="8"/>
  <c r="H968" i="8"/>
  <c r="H967" i="8"/>
  <c r="H966" i="8"/>
  <c r="H965" i="8"/>
  <c r="G964" i="8"/>
  <c r="H964" i="8" s="1"/>
  <c r="G963" i="8"/>
  <c r="H963" i="8" s="1"/>
  <c r="H962" i="8"/>
  <c r="H961" i="8"/>
  <c r="H960" i="8"/>
  <c r="H959" i="8"/>
  <c r="H958" i="8"/>
  <c r="H957" i="8"/>
  <c r="H956" i="8"/>
  <c r="H955" i="8"/>
  <c r="H954" i="8"/>
  <c r="H953" i="8"/>
  <c r="G952" i="8"/>
  <c r="H952" i="8" s="1"/>
  <c r="H951" i="8"/>
  <c r="H950" i="8"/>
  <c r="H949" i="8"/>
  <c r="H948" i="8"/>
  <c r="G947" i="8"/>
  <c r="H947" i="8" s="1"/>
  <c r="H946" i="8"/>
  <c r="H945" i="8"/>
  <c r="H944" i="8"/>
  <c r="H943" i="8"/>
  <c r="H942" i="8"/>
  <c r="H941" i="8"/>
  <c r="H940" i="8"/>
  <c r="H939" i="8"/>
  <c r="H938" i="8"/>
  <c r="H937" i="8"/>
  <c r="H936" i="8"/>
  <c r="G936" i="8"/>
  <c r="H935" i="8"/>
  <c r="H934" i="8"/>
  <c r="G934" i="8"/>
  <c r="H933" i="8"/>
  <c r="H932" i="8"/>
  <c r="H931" i="8"/>
  <c r="H930" i="8"/>
  <c r="H929" i="8"/>
  <c r="H928" i="8"/>
  <c r="H927" i="8"/>
  <c r="H926" i="8"/>
  <c r="H925" i="8"/>
  <c r="H924" i="8"/>
  <c r="H923" i="8"/>
  <c r="H922" i="8"/>
  <c r="H921" i="8"/>
  <c r="H920" i="8"/>
  <c r="H919" i="8"/>
  <c r="H918" i="8"/>
  <c r="H917" i="8"/>
  <c r="H916" i="8"/>
  <c r="H915" i="8"/>
  <c r="H914" i="8"/>
  <c r="H913" i="8"/>
  <c r="H912" i="8"/>
  <c r="H911" i="8"/>
  <c r="H910" i="8"/>
  <c r="H909" i="8"/>
  <c r="H908" i="8"/>
  <c r="H907" i="8"/>
  <c r="H906" i="8"/>
  <c r="H905" i="8"/>
  <c r="H904" i="8"/>
  <c r="H903" i="8"/>
  <c r="H902" i="8"/>
  <c r="H901" i="8"/>
  <c r="H900" i="8"/>
  <c r="H899" i="8"/>
  <c r="H898" i="8"/>
  <c r="H897" i="8"/>
  <c r="H896" i="8"/>
  <c r="H895" i="8"/>
  <c r="H894" i="8"/>
  <c r="H893" i="8"/>
  <c r="H892" i="8"/>
  <c r="H891" i="8"/>
  <c r="H890" i="8"/>
  <c r="H889" i="8"/>
  <c r="H888" i="8"/>
  <c r="H887" i="8"/>
  <c r="H886" i="8"/>
  <c r="H885" i="8"/>
  <c r="H884" i="8"/>
  <c r="H883" i="8"/>
  <c r="H882" i="8"/>
  <c r="H881" i="8"/>
  <c r="H880" i="8"/>
  <c r="H879" i="8"/>
  <c r="H878" i="8"/>
  <c r="H877" i="8"/>
  <c r="H876" i="8"/>
  <c r="H875" i="8"/>
  <c r="H874" i="8"/>
  <c r="H873" i="8"/>
  <c r="H872" i="8"/>
  <c r="H871" i="8"/>
  <c r="H870" i="8"/>
  <c r="H869" i="8"/>
  <c r="H868" i="8"/>
  <c r="G867" i="8"/>
  <c r="H867" i="8" s="1"/>
  <c r="H866" i="8"/>
  <c r="H865" i="8"/>
  <c r="H864" i="8"/>
  <c r="H863" i="8"/>
  <c r="H862" i="8"/>
  <c r="H861" i="8"/>
  <c r="H860" i="8"/>
  <c r="H859" i="8"/>
  <c r="H858" i="8"/>
  <c r="H857" i="8"/>
  <c r="H856" i="8"/>
  <c r="H855" i="8"/>
  <c r="H854" i="8"/>
  <c r="H853" i="8"/>
  <c r="H852" i="8"/>
  <c r="H851" i="8"/>
  <c r="H850" i="8"/>
  <c r="H849" i="8"/>
  <c r="H848" i="8"/>
  <c r="H847" i="8"/>
  <c r="H846" i="8"/>
  <c r="H845" i="8"/>
  <c r="H844" i="8"/>
  <c r="H843" i="8"/>
  <c r="H842" i="8"/>
  <c r="H841" i="8"/>
  <c r="H840" i="8"/>
  <c r="H839" i="8"/>
  <c r="H838" i="8"/>
  <c r="H837" i="8"/>
  <c r="H836" i="8"/>
  <c r="H835" i="8"/>
  <c r="H834" i="8"/>
  <c r="H833" i="8"/>
  <c r="H832" i="8"/>
  <c r="H831" i="8"/>
  <c r="H830" i="8"/>
  <c r="H829" i="8"/>
  <c r="H828" i="8"/>
  <c r="H827" i="8"/>
  <c r="H826" i="8"/>
  <c r="H825" i="8"/>
  <c r="H824" i="8"/>
  <c r="H823" i="8"/>
  <c r="H822" i="8"/>
  <c r="H821" i="8"/>
  <c r="H820" i="8"/>
  <c r="H819" i="8"/>
  <c r="H818" i="8"/>
  <c r="H817" i="8"/>
  <c r="H816" i="8"/>
  <c r="H815" i="8"/>
  <c r="H814" i="8"/>
  <c r="H813" i="8"/>
  <c r="H812" i="8"/>
  <c r="H811" i="8"/>
  <c r="H810" i="8"/>
  <c r="H809" i="8"/>
  <c r="H808" i="8"/>
  <c r="H807" i="8"/>
  <c r="H806" i="8"/>
  <c r="H805" i="8"/>
  <c r="G804" i="8"/>
  <c r="H804" i="8" s="1"/>
  <c r="G803" i="8"/>
  <c r="H803" i="8" s="1"/>
  <c r="H802" i="8"/>
  <c r="H801" i="8"/>
  <c r="H800" i="8"/>
  <c r="H799" i="8"/>
  <c r="H798" i="8"/>
  <c r="H797" i="8"/>
  <c r="H796" i="8"/>
  <c r="H795" i="8"/>
  <c r="H794" i="8"/>
  <c r="H793" i="8"/>
  <c r="H792" i="8"/>
  <c r="H791" i="8"/>
  <c r="H790" i="8"/>
  <c r="H789" i="8"/>
  <c r="H788" i="8"/>
  <c r="H787" i="8"/>
  <c r="H786" i="8"/>
  <c r="H785" i="8"/>
  <c r="H784" i="8"/>
  <c r="H783" i="8"/>
  <c r="H782" i="8"/>
  <c r="H781" i="8"/>
  <c r="H780" i="8"/>
  <c r="H779" i="8"/>
  <c r="H778" i="8"/>
  <c r="H777" i="8"/>
  <c r="H776" i="8"/>
  <c r="H775" i="8"/>
  <c r="H774" i="8"/>
  <c r="H773" i="8"/>
  <c r="H772" i="8"/>
  <c r="H771" i="8"/>
  <c r="G771" i="8"/>
  <c r="H770" i="8"/>
  <c r="H769" i="8"/>
  <c r="H768" i="8"/>
  <c r="H767" i="8"/>
  <c r="H766" i="8"/>
  <c r="H765" i="8"/>
  <c r="H764" i="8"/>
  <c r="H763" i="8"/>
  <c r="G762" i="8"/>
  <c r="H762" i="8" s="1"/>
  <c r="H761" i="8"/>
  <c r="H760" i="8"/>
  <c r="H759" i="8"/>
  <c r="H758" i="8"/>
  <c r="H757" i="8"/>
  <c r="H756" i="8"/>
  <c r="H755" i="8"/>
  <c r="H754" i="8"/>
  <c r="H753" i="8"/>
  <c r="H752" i="8"/>
  <c r="H751" i="8"/>
  <c r="H750" i="8"/>
  <c r="H749" i="8"/>
  <c r="H748" i="8"/>
  <c r="H747" i="8"/>
  <c r="H746" i="8"/>
  <c r="H745" i="8"/>
  <c r="H744" i="8"/>
  <c r="H743" i="8"/>
  <c r="H742" i="8"/>
  <c r="H741" i="8"/>
  <c r="H740" i="8"/>
  <c r="H739" i="8"/>
  <c r="H738" i="8"/>
  <c r="H737" i="8"/>
  <c r="H736" i="8"/>
  <c r="G735" i="8"/>
  <c r="H735" i="8" s="1"/>
  <c r="H734" i="8"/>
  <c r="H733" i="8"/>
  <c r="H732" i="8"/>
  <c r="H731" i="8"/>
  <c r="H730" i="8"/>
  <c r="H729" i="8"/>
  <c r="H728" i="8"/>
  <c r="H727" i="8"/>
  <c r="H726" i="8"/>
  <c r="H725" i="8"/>
  <c r="H724" i="8"/>
  <c r="H723" i="8"/>
  <c r="H722" i="8"/>
  <c r="H721" i="8"/>
  <c r="H720" i="8"/>
  <c r="H719" i="8"/>
  <c r="H718" i="8"/>
  <c r="H717" i="8"/>
  <c r="H716" i="8"/>
  <c r="H715" i="8"/>
  <c r="H714" i="8"/>
  <c r="H713" i="8"/>
  <c r="H712" i="8"/>
  <c r="H711" i="8"/>
  <c r="H710" i="8"/>
  <c r="H709" i="8"/>
  <c r="H708" i="8"/>
  <c r="H707" i="8"/>
  <c r="H706" i="8"/>
  <c r="H705" i="8"/>
  <c r="H704" i="8"/>
  <c r="H703" i="8"/>
  <c r="H702" i="8"/>
  <c r="H701" i="8"/>
  <c r="H700" i="8"/>
  <c r="H699" i="8"/>
  <c r="H698" i="8"/>
  <c r="H697" i="8"/>
  <c r="G696" i="8"/>
  <c r="H696" i="8" s="1"/>
  <c r="H695" i="8"/>
  <c r="H694" i="8"/>
  <c r="H693" i="8"/>
  <c r="H692" i="8"/>
  <c r="H691" i="8"/>
  <c r="H690" i="8"/>
  <c r="H689" i="8"/>
  <c r="H688" i="8"/>
  <c r="H687" i="8"/>
  <c r="H686" i="8"/>
  <c r="H685" i="8"/>
  <c r="H684" i="8"/>
  <c r="H683" i="8"/>
  <c r="H682" i="8"/>
  <c r="H681" i="8"/>
  <c r="H680" i="8"/>
  <c r="H679" i="8"/>
  <c r="H678" i="8"/>
  <c r="H677" i="8"/>
  <c r="H676" i="8"/>
  <c r="H675" i="8"/>
  <c r="H674" i="8"/>
  <c r="H673" i="8"/>
  <c r="H672" i="8"/>
  <c r="H671" i="8"/>
  <c r="H670" i="8"/>
  <c r="H669" i="8"/>
  <c r="H668" i="8"/>
  <c r="H667" i="8"/>
  <c r="H666" i="8"/>
  <c r="H665" i="8"/>
  <c r="H664" i="8"/>
  <c r="H663" i="8"/>
  <c r="H662" i="8"/>
  <c r="H661" i="8"/>
  <c r="H660" i="8"/>
  <c r="H659" i="8"/>
  <c r="H658" i="8"/>
  <c r="H657" i="8"/>
  <c r="H656" i="8"/>
  <c r="H655" i="8"/>
  <c r="H654" i="8"/>
  <c r="H653" i="8"/>
  <c r="H652" i="8"/>
  <c r="H651" i="8"/>
  <c r="G651" i="8"/>
  <c r="H650" i="8"/>
  <c r="H649" i="8"/>
  <c r="H648" i="8"/>
  <c r="G647" i="8"/>
  <c r="H647" i="8" s="1"/>
  <c r="H646" i="8"/>
  <c r="H645" i="8"/>
  <c r="G645" i="8"/>
  <c r="H644" i="8"/>
  <c r="H643" i="8"/>
  <c r="H642" i="8"/>
  <c r="H641" i="8"/>
  <c r="H640" i="8"/>
  <c r="H639" i="8"/>
  <c r="H638" i="8"/>
  <c r="H637" i="8"/>
  <c r="H636" i="8"/>
  <c r="H635" i="8"/>
  <c r="H634" i="8"/>
  <c r="H633" i="8"/>
  <c r="H632" i="8"/>
  <c r="H631" i="8"/>
  <c r="H630" i="8"/>
  <c r="H629" i="8"/>
  <c r="H628" i="8"/>
  <c r="H627" i="8"/>
  <c r="H626" i="8"/>
  <c r="H625" i="8"/>
  <c r="H624" i="8"/>
  <c r="H623" i="8"/>
  <c r="H622" i="8"/>
  <c r="H621" i="8"/>
  <c r="H620" i="8"/>
  <c r="H619" i="8"/>
  <c r="H618" i="8"/>
  <c r="H617" i="8"/>
  <c r="H616" i="8"/>
  <c r="H615" i="8"/>
  <c r="H614" i="8"/>
  <c r="H613" i="8"/>
  <c r="H612" i="8"/>
  <c r="H611" i="8"/>
  <c r="H610" i="8"/>
  <c r="H609" i="8"/>
  <c r="H608" i="8"/>
  <c r="H607" i="8"/>
  <c r="H606" i="8"/>
  <c r="H605" i="8"/>
  <c r="H604" i="8"/>
  <c r="H603" i="8"/>
  <c r="H602" i="8"/>
  <c r="H601" i="8"/>
  <c r="H600" i="8"/>
  <c r="H599" i="8"/>
  <c r="H598" i="8"/>
  <c r="H597" i="8"/>
  <c r="H596" i="8"/>
  <c r="H595" i="8"/>
  <c r="H594" i="8"/>
  <c r="H593" i="8"/>
  <c r="H592" i="8"/>
  <c r="H591" i="8"/>
  <c r="H590" i="8"/>
  <c r="H589" i="8"/>
  <c r="H588" i="8"/>
  <c r="H587" i="8"/>
  <c r="H586" i="8"/>
  <c r="H585" i="8"/>
  <c r="H584" i="8"/>
  <c r="H583" i="8"/>
  <c r="H582" i="8"/>
  <c r="H581" i="8"/>
  <c r="H580" i="8"/>
  <c r="H579" i="8"/>
  <c r="H578" i="8"/>
  <c r="H577" i="8"/>
  <c r="H576" i="8"/>
  <c r="H575" i="8"/>
  <c r="H574" i="8"/>
  <c r="H573" i="8"/>
  <c r="H572" i="8"/>
  <c r="H571" i="8"/>
  <c r="H570" i="8"/>
  <c r="H569" i="8"/>
  <c r="H568" i="8"/>
  <c r="H567" i="8"/>
  <c r="H566" i="8"/>
  <c r="H565" i="8"/>
  <c r="H564" i="8"/>
  <c r="H563" i="8"/>
  <c r="H562" i="8"/>
  <c r="H561" i="8"/>
  <c r="H560" i="8"/>
  <c r="H559" i="8"/>
  <c r="H558" i="8"/>
  <c r="H557" i="8"/>
  <c r="H556" i="8"/>
  <c r="H555" i="8"/>
  <c r="H554" i="8"/>
  <c r="H553" i="8"/>
  <c r="H552" i="8"/>
  <c r="H551" i="8"/>
  <c r="H550" i="8"/>
  <c r="H549" i="8"/>
  <c r="H548" i="8"/>
  <c r="H547" i="8"/>
  <c r="H546" i="8"/>
  <c r="H545" i="8"/>
  <c r="H544" i="8"/>
  <c r="H543" i="8"/>
  <c r="H542" i="8"/>
  <c r="H541" i="8"/>
  <c r="H540" i="8"/>
  <c r="H539" i="8"/>
  <c r="H538" i="8"/>
  <c r="H537" i="8"/>
  <c r="H536" i="8"/>
  <c r="H535" i="8"/>
  <c r="H534" i="8"/>
  <c r="H533" i="8"/>
  <c r="H532" i="8"/>
  <c r="H531" i="8"/>
  <c r="H530" i="8"/>
  <c r="H529" i="8"/>
  <c r="G528" i="8"/>
  <c r="H528" i="8" s="1"/>
  <c r="H527" i="8"/>
  <c r="H526" i="8"/>
  <c r="H525" i="8"/>
  <c r="H524" i="8"/>
  <c r="H523" i="8"/>
  <c r="H522" i="8"/>
  <c r="H521" i="8"/>
  <c r="H520" i="8"/>
  <c r="H519" i="8"/>
  <c r="H518" i="8"/>
  <c r="H517" i="8"/>
  <c r="H516" i="8"/>
  <c r="H515" i="8"/>
  <c r="H514" i="8"/>
  <c r="H513" i="8"/>
  <c r="H512" i="8"/>
  <c r="H511" i="8"/>
  <c r="H510" i="8"/>
  <c r="H509" i="8"/>
  <c r="H508" i="8"/>
  <c r="H507" i="8"/>
  <c r="G506" i="8"/>
  <c r="H506" i="8" s="1"/>
  <c r="H505" i="8"/>
  <c r="H504" i="8"/>
  <c r="H503" i="8"/>
  <c r="H502" i="8"/>
  <c r="H501" i="8"/>
  <c r="H500" i="8"/>
  <c r="H499" i="8"/>
  <c r="H498" i="8"/>
  <c r="H497" i="8"/>
  <c r="H496" i="8"/>
  <c r="H495" i="8"/>
  <c r="H494" i="8"/>
  <c r="H493" i="8"/>
  <c r="H492" i="8"/>
  <c r="H491" i="8"/>
  <c r="H490" i="8"/>
  <c r="H489" i="8"/>
  <c r="H488" i="8"/>
  <c r="H487" i="8"/>
  <c r="H486" i="8"/>
  <c r="H485" i="8"/>
  <c r="H484" i="8"/>
  <c r="H483" i="8"/>
  <c r="H482" i="8"/>
  <c r="H481" i="8"/>
  <c r="H480" i="8"/>
  <c r="H479" i="8"/>
  <c r="H478" i="8"/>
  <c r="H477" i="8"/>
  <c r="H476" i="8"/>
  <c r="H475" i="8"/>
  <c r="H474" i="8"/>
  <c r="H473" i="8"/>
  <c r="H472" i="8"/>
  <c r="H471" i="8"/>
  <c r="H470" i="8"/>
  <c r="H469" i="8"/>
  <c r="H468" i="8"/>
  <c r="G467" i="8"/>
  <c r="H467" i="8" s="1"/>
  <c r="H466" i="8"/>
  <c r="H465" i="8"/>
  <c r="H464" i="8"/>
  <c r="H463" i="8"/>
  <c r="H462" i="8"/>
  <c r="H461" i="8"/>
  <c r="H460" i="8"/>
  <c r="H459" i="8"/>
  <c r="H458" i="8"/>
  <c r="H457" i="8"/>
  <c r="H456" i="8"/>
  <c r="H455" i="8"/>
  <c r="H454" i="8"/>
  <c r="H453" i="8"/>
  <c r="H452" i="8"/>
  <c r="H451" i="8"/>
  <c r="H450" i="8"/>
  <c r="H449" i="8"/>
  <c r="H448" i="8"/>
  <c r="H447" i="8"/>
  <c r="H446" i="8"/>
  <c r="H445" i="8"/>
  <c r="H444" i="8"/>
  <c r="H443" i="8"/>
  <c r="H442" i="8"/>
  <c r="H441" i="8"/>
  <c r="H440" i="8"/>
  <c r="H439" i="8"/>
  <c r="H438" i="8"/>
  <c r="H437" i="8"/>
  <c r="H436" i="8"/>
  <c r="H435" i="8"/>
  <c r="H434" i="8"/>
  <c r="H433" i="8"/>
  <c r="H432" i="8"/>
  <c r="H431" i="8"/>
  <c r="H430" i="8"/>
  <c r="H429" i="8"/>
  <c r="H428" i="8"/>
  <c r="H427" i="8"/>
  <c r="H426" i="8"/>
  <c r="H425" i="8"/>
  <c r="H424" i="8"/>
  <c r="H423" i="8"/>
  <c r="H422" i="8"/>
  <c r="H421" i="8"/>
  <c r="H420" i="8"/>
  <c r="H419" i="8"/>
  <c r="H418" i="8"/>
  <c r="H417" i="8"/>
  <c r="H416" i="8"/>
  <c r="H415" i="8"/>
  <c r="H414" i="8"/>
  <c r="H413" i="8"/>
  <c r="H412" i="8"/>
  <c r="H411" i="8"/>
  <c r="H410" i="8"/>
  <c r="H409" i="8"/>
  <c r="H408" i="8"/>
  <c r="H407" i="8"/>
  <c r="H406" i="8"/>
  <c r="G406" i="8"/>
  <c r="G405" i="8"/>
  <c r="H405" i="8" s="1"/>
  <c r="H404" i="8"/>
  <c r="H403" i="8"/>
  <c r="H402" i="8"/>
  <c r="H401" i="8"/>
  <c r="H400" i="8"/>
  <c r="H399" i="8"/>
  <c r="H398" i="8"/>
  <c r="H397" i="8"/>
  <c r="H396" i="8"/>
  <c r="H395" i="8"/>
  <c r="H394" i="8"/>
  <c r="H393" i="8"/>
  <c r="H392" i="8"/>
  <c r="H391" i="8"/>
  <c r="H390" i="8"/>
  <c r="H389" i="8"/>
  <c r="H388" i="8"/>
  <c r="H387" i="8"/>
  <c r="H386" i="8"/>
  <c r="H385" i="8"/>
  <c r="H384" i="8"/>
  <c r="H383" i="8"/>
  <c r="H382" i="8"/>
  <c r="H381" i="8"/>
  <c r="H380" i="8"/>
  <c r="H379" i="8"/>
  <c r="H378" i="8"/>
  <c r="H377" i="8"/>
  <c r="H376" i="8"/>
  <c r="H375" i="8"/>
  <c r="H374" i="8"/>
  <c r="H373" i="8"/>
  <c r="H372" i="8"/>
  <c r="H371" i="8"/>
  <c r="H370" i="8"/>
  <c r="H369" i="8"/>
  <c r="H368" i="8"/>
  <c r="H367" i="8"/>
  <c r="H366" i="8"/>
  <c r="H365" i="8"/>
  <c r="H364" i="8"/>
  <c r="H363" i="8"/>
  <c r="H362" i="8"/>
  <c r="H361" i="8"/>
  <c r="H360" i="8"/>
  <c r="H359" i="8"/>
  <c r="H358" i="8"/>
  <c r="H357" i="8"/>
  <c r="H356" i="8"/>
  <c r="H355" i="8"/>
  <c r="H354" i="8"/>
  <c r="H353" i="8"/>
  <c r="H352" i="8"/>
  <c r="H351" i="8"/>
  <c r="H350" i="8"/>
  <c r="H349" i="8"/>
  <c r="H348" i="8"/>
  <c r="H347" i="8"/>
  <c r="H346" i="8"/>
  <c r="H345" i="8"/>
  <c r="H344" i="8"/>
  <c r="H343" i="8"/>
  <c r="H342" i="8"/>
  <c r="H341" i="8"/>
  <c r="H340" i="8"/>
  <c r="H339" i="8"/>
  <c r="H338" i="8"/>
  <c r="H337" i="8"/>
  <c r="H336" i="8"/>
  <c r="H335" i="8"/>
  <c r="H334" i="8"/>
  <c r="H333" i="8"/>
  <c r="H332" i="8"/>
  <c r="H331" i="8"/>
  <c r="H330" i="8"/>
  <c r="H329" i="8"/>
  <c r="H328" i="8"/>
  <c r="H327" i="8"/>
  <c r="H326" i="8"/>
  <c r="H325" i="8"/>
  <c r="H324" i="8"/>
  <c r="H323" i="8"/>
  <c r="H322" i="8"/>
  <c r="H321" i="8"/>
  <c r="H320" i="8"/>
  <c r="H319" i="8"/>
  <c r="H318" i="8"/>
  <c r="H317" i="8"/>
  <c r="H316" i="8"/>
  <c r="H315" i="8"/>
  <c r="G314" i="8"/>
  <c r="H314" i="8" s="1"/>
  <c r="H313" i="8"/>
  <c r="H312" i="8"/>
  <c r="H311" i="8"/>
  <c r="H310" i="8"/>
  <c r="H309" i="8"/>
  <c r="H308" i="8"/>
  <c r="H307" i="8"/>
  <c r="H306" i="8"/>
  <c r="H305" i="8"/>
  <c r="H304" i="8"/>
  <c r="H303" i="8"/>
  <c r="H302" i="8"/>
  <c r="H301" i="8"/>
  <c r="H300" i="8"/>
  <c r="H299" i="8"/>
  <c r="H298" i="8"/>
  <c r="H297" i="8"/>
  <c r="H296" i="8"/>
  <c r="H295" i="8"/>
  <c r="H294" i="8"/>
  <c r="H293" i="8"/>
  <c r="H292" i="8"/>
  <c r="H291" i="8"/>
  <c r="H290" i="8"/>
  <c r="H289" i="8"/>
  <c r="H288" i="8"/>
  <c r="H287" i="8"/>
  <c r="H286" i="8"/>
  <c r="H285" i="8"/>
  <c r="H284" i="8"/>
  <c r="H283" i="8"/>
  <c r="H282" i="8"/>
  <c r="H281" i="8"/>
  <c r="H280" i="8"/>
  <c r="H279" i="8"/>
  <c r="H278" i="8"/>
  <c r="H277" i="8"/>
  <c r="H276" i="8"/>
  <c r="H275" i="8"/>
  <c r="H274" i="8"/>
  <c r="H273" i="8"/>
  <c r="H272" i="8"/>
  <c r="H271" i="8"/>
  <c r="H270" i="8"/>
  <c r="H269" i="8"/>
  <c r="H268" i="8"/>
  <c r="H267" i="8"/>
  <c r="H266" i="8"/>
  <c r="H265" i="8"/>
  <c r="H264" i="8"/>
  <c r="H263" i="8"/>
  <c r="H262" i="8"/>
  <c r="H261" i="8"/>
  <c r="G261" i="8"/>
  <c r="H260" i="8"/>
  <c r="H259" i="8"/>
  <c r="H258" i="8"/>
  <c r="H257" i="8"/>
  <c r="H256" i="8"/>
  <c r="H255" i="8"/>
  <c r="H254" i="8"/>
  <c r="H253" i="8"/>
  <c r="H252" i="8"/>
  <c r="H251" i="8"/>
  <c r="H250" i="8"/>
  <c r="H249" i="8"/>
  <c r="H248" i="8"/>
  <c r="H247" i="8"/>
  <c r="H246" i="8"/>
  <c r="H245" i="8"/>
  <c r="G244" i="8"/>
  <c r="H244" i="8" s="1"/>
  <c r="H243" i="8"/>
  <c r="H242" i="8"/>
  <c r="H241" i="8"/>
  <c r="H240" i="8"/>
  <c r="H239" i="8"/>
  <c r="H238" i="8"/>
  <c r="H237" i="8"/>
  <c r="H236" i="8"/>
  <c r="H235" i="8"/>
  <c r="H234" i="8"/>
  <c r="H233" i="8"/>
  <c r="H232" i="8"/>
  <c r="H231" i="8"/>
  <c r="H230" i="8"/>
  <c r="H229" i="8"/>
  <c r="H228" i="8"/>
  <c r="H227" i="8"/>
  <c r="H226" i="8"/>
  <c r="H225" i="8"/>
  <c r="H224" i="8"/>
  <c r="H223" i="8"/>
  <c r="H222" i="8"/>
  <c r="H221" i="8"/>
  <c r="H220" i="8"/>
  <c r="H219" i="8"/>
  <c r="H218" i="8"/>
  <c r="H217" i="8"/>
  <c r="H216" i="8"/>
  <c r="H215" i="8"/>
  <c r="H214" i="8"/>
  <c r="H213" i="8"/>
  <c r="H212" i="8"/>
  <c r="H211" i="8"/>
  <c r="H210" i="8"/>
  <c r="H209" i="8"/>
  <c r="H208" i="8"/>
  <c r="H207" i="8"/>
  <c r="H206" i="8"/>
  <c r="H205" i="8"/>
  <c r="H204" i="8"/>
  <c r="H203" i="8"/>
  <c r="H202" i="8"/>
  <c r="H201" i="8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G187" i="8"/>
  <c r="H186" i="8"/>
  <c r="H185" i="8"/>
  <c r="H184" i="8"/>
  <c r="G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G29" i="8"/>
  <c r="H28" i="8"/>
  <c r="H27" i="8"/>
  <c r="H26" i="8"/>
  <c r="G26" i="8"/>
  <c r="H25" i="8"/>
  <c r="H24" i="8"/>
  <c r="H23" i="8"/>
  <c r="H22" i="8"/>
  <c r="G21" i="8"/>
  <c r="H21" i="8" s="1"/>
  <c r="H20" i="8"/>
  <c r="H19" i="8"/>
  <c r="G18" i="8"/>
  <c r="H18" i="8" s="1"/>
  <c r="H17" i="8"/>
  <c r="H16" i="8"/>
  <c r="H15" i="8"/>
  <c r="H14" i="8"/>
  <c r="H13" i="8"/>
  <c r="H12" i="8"/>
  <c r="H11" i="8"/>
  <c r="H10" i="8"/>
  <c r="H9" i="8"/>
  <c r="G9" i="8"/>
  <c r="G3820" i="8" s="1"/>
  <c r="H8" i="8"/>
  <c r="H7" i="8"/>
  <c r="H6" i="8"/>
  <c r="H5" i="8"/>
  <c r="H4" i="8"/>
  <c r="H3" i="8"/>
  <c r="H2" i="8"/>
  <c r="H3820" i="8" l="1"/>
  <c r="F3824" i="8"/>
  <c r="G3968" i="6" l="1"/>
  <c r="G2994" i="6" l="1"/>
  <c r="G3123" i="6" l="1"/>
  <c r="G3516" i="6" l="1"/>
  <c r="G3517" i="6" l="1"/>
  <c r="G3523" i="6" l="1"/>
  <c r="G235" i="6"/>
  <c r="G3471" i="6" l="1"/>
  <c r="G2978" i="6"/>
  <c r="G2597" i="6" l="1"/>
  <c r="G3790" i="6" l="1"/>
  <c r="G2559" i="6" l="1"/>
  <c r="G1892" i="6"/>
  <c r="G4016" i="6" l="1"/>
  <c r="G1496" i="6"/>
  <c r="G3933" i="6" l="1"/>
  <c r="G1483" i="6"/>
  <c r="H2013" i="2"/>
  <c r="G3903" i="6" l="1"/>
  <c r="G3792" i="6"/>
  <c r="G3768" i="6"/>
  <c r="G3798" i="6" l="1"/>
  <c r="G3742" i="6"/>
  <c r="G3524" i="6"/>
  <c r="G3162" i="6"/>
  <c r="G2845" i="6"/>
  <c r="G2819" i="6"/>
  <c r="H2353" i="5"/>
  <c r="G2353" i="5"/>
  <c r="I3470" i="4" l="1"/>
  <c r="G4059" i="5"/>
  <c r="F4063" i="5" s="1"/>
  <c r="E4059" i="5"/>
  <c r="E4055" i="6" l="1"/>
  <c r="H4054" i="6"/>
  <c r="H4053" i="6"/>
  <c r="H4052" i="6"/>
  <c r="H4051" i="6"/>
  <c r="H4050" i="6"/>
  <c r="H4049" i="6"/>
  <c r="H4048" i="6"/>
  <c r="H4047" i="6"/>
  <c r="H4046" i="6"/>
  <c r="H4045" i="6"/>
  <c r="H4044" i="6"/>
  <c r="H4043" i="6"/>
  <c r="H4042" i="6"/>
  <c r="H4041" i="6"/>
  <c r="H4040" i="6"/>
  <c r="H4039" i="6"/>
  <c r="H4038" i="6"/>
  <c r="H4037" i="6"/>
  <c r="H4036" i="6"/>
  <c r="H4035" i="6"/>
  <c r="H4034" i="6"/>
  <c r="H4033" i="6"/>
  <c r="H4032" i="6"/>
  <c r="H4031" i="6"/>
  <c r="H4030" i="6"/>
  <c r="H4029" i="6"/>
  <c r="H4028" i="6"/>
  <c r="H4027" i="6"/>
  <c r="H4026" i="6"/>
  <c r="H4025" i="6"/>
  <c r="H4024" i="6"/>
  <c r="H4023" i="6"/>
  <c r="H4022" i="6"/>
  <c r="H4021" i="6"/>
  <c r="H4020" i="6"/>
  <c r="H4019" i="6"/>
  <c r="H4018" i="6"/>
  <c r="H4017" i="6"/>
  <c r="H4016" i="6"/>
  <c r="H4015" i="6"/>
  <c r="H4014" i="6"/>
  <c r="H4013" i="6"/>
  <c r="H4012" i="6"/>
  <c r="H4011" i="6"/>
  <c r="H4010" i="6"/>
  <c r="H4009" i="6"/>
  <c r="H4008" i="6"/>
  <c r="H4007" i="6"/>
  <c r="H4006" i="6"/>
  <c r="H4005" i="6"/>
  <c r="H4004" i="6"/>
  <c r="H4003" i="6"/>
  <c r="H4002" i="6"/>
  <c r="H4001" i="6"/>
  <c r="H4000" i="6"/>
  <c r="H3999" i="6"/>
  <c r="H3998" i="6"/>
  <c r="H3997" i="6"/>
  <c r="H3996" i="6"/>
  <c r="H3995" i="6"/>
  <c r="H3994" i="6"/>
  <c r="H3993" i="6"/>
  <c r="H3992" i="6"/>
  <c r="H3991" i="6"/>
  <c r="H3990" i="6"/>
  <c r="H3989" i="6"/>
  <c r="H3988" i="6"/>
  <c r="H3987" i="6"/>
  <c r="H3986" i="6"/>
  <c r="H3985" i="6"/>
  <c r="H3984" i="6"/>
  <c r="H3983" i="6"/>
  <c r="H3982" i="6"/>
  <c r="H3981" i="6"/>
  <c r="H3980" i="6"/>
  <c r="H3979" i="6"/>
  <c r="H3978" i="6"/>
  <c r="H3977" i="6"/>
  <c r="H3976" i="6"/>
  <c r="H3975" i="6"/>
  <c r="H3974" i="6"/>
  <c r="H3973" i="6"/>
  <c r="H3972" i="6"/>
  <c r="H3971" i="6"/>
  <c r="H3970" i="6"/>
  <c r="H3969" i="6"/>
  <c r="H3968" i="6"/>
  <c r="H3967" i="6"/>
  <c r="H3966" i="6"/>
  <c r="H3965" i="6"/>
  <c r="H3964" i="6"/>
  <c r="H3963" i="6"/>
  <c r="H3962" i="6"/>
  <c r="H3961" i="6"/>
  <c r="H3960" i="6"/>
  <c r="H3959" i="6"/>
  <c r="H3958" i="6"/>
  <c r="H3957" i="6"/>
  <c r="H3956" i="6"/>
  <c r="H3955" i="6"/>
  <c r="H3954" i="6"/>
  <c r="H3953" i="6"/>
  <c r="H3952" i="6"/>
  <c r="H3951" i="6"/>
  <c r="H3950" i="6"/>
  <c r="H3949" i="6"/>
  <c r="H3948" i="6"/>
  <c r="H3947" i="6"/>
  <c r="H3946" i="6"/>
  <c r="H3945" i="6"/>
  <c r="H3944" i="6"/>
  <c r="H3943" i="6"/>
  <c r="H3942" i="6"/>
  <c r="H3941" i="6"/>
  <c r="H3940" i="6"/>
  <c r="H3939" i="6"/>
  <c r="H3938" i="6"/>
  <c r="H3937" i="6"/>
  <c r="H3936" i="6"/>
  <c r="H3935" i="6"/>
  <c r="H3934" i="6"/>
  <c r="H3933" i="6"/>
  <c r="H3932" i="6"/>
  <c r="H3931" i="6"/>
  <c r="H3930" i="6"/>
  <c r="H3929" i="6"/>
  <c r="H3928" i="6"/>
  <c r="H3927" i="6"/>
  <c r="H3926" i="6"/>
  <c r="H3925" i="6"/>
  <c r="H3924" i="6"/>
  <c r="H3923" i="6"/>
  <c r="H3922" i="6"/>
  <c r="H3921" i="6"/>
  <c r="H3920" i="6"/>
  <c r="H3919" i="6"/>
  <c r="H3918" i="6"/>
  <c r="H3917" i="6"/>
  <c r="H3916" i="6"/>
  <c r="H3915" i="6"/>
  <c r="H3914" i="6"/>
  <c r="H3913" i="6"/>
  <c r="H3912" i="6"/>
  <c r="H3911" i="6"/>
  <c r="H3910" i="6"/>
  <c r="H3909" i="6"/>
  <c r="H3908" i="6"/>
  <c r="H3907" i="6"/>
  <c r="H3906" i="6"/>
  <c r="H3905" i="6"/>
  <c r="H3904" i="6"/>
  <c r="H3903" i="6"/>
  <c r="H3902" i="6"/>
  <c r="H3901" i="6"/>
  <c r="H3900" i="6"/>
  <c r="H3899" i="6"/>
  <c r="H3898" i="6"/>
  <c r="H3897" i="6"/>
  <c r="H3896" i="6"/>
  <c r="H3895" i="6"/>
  <c r="H3894" i="6"/>
  <c r="H3893" i="6"/>
  <c r="H3892" i="6"/>
  <c r="H3891" i="6"/>
  <c r="H3890" i="6"/>
  <c r="H3889" i="6"/>
  <c r="H3888" i="6"/>
  <c r="H3887" i="6"/>
  <c r="H3886" i="6"/>
  <c r="H3885" i="6"/>
  <c r="H3884" i="6"/>
  <c r="H3883" i="6"/>
  <c r="H3882" i="6"/>
  <c r="H3881" i="6"/>
  <c r="H3880" i="6"/>
  <c r="H3879" i="6"/>
  <c r="H3878" i="6"/>
  <c r="H3877" i="6"/>
  <c r="H3876" i="6"/>
  <c r="H3875" i="6"/>
  <c r="H3874" i="6"/>
  <c r="H3873" i="6"/>
  <c r="H3872" i="6"/>
  <c r="H3871" i="6"/>
  <c r="H3870" i="6"/>
  <c r="H3869" i="6"/>
  <c r="H3868" i="6"/>
  <c r="H3867" i="6"/>
  <c r="H3866" i="6"/>
  <c r="H3865" i="6"/>
  <c r="H3864" i="6"/>
  <c r="H3863" i="6"/>
  <c r="H3862" i="6"/>
  <c r="H3861" i="6"/>
  <c r="H3860" i="6"/>
  <c r="H3859" i="6"/>
  <c r="H3858" i="6"/>
  <c r="H3857" i="6"/>
  <c r="H3856" i="6"/>
  <c r="H3855" i="6"/>
  <c r="H3854" i="6"/>
  <c r="H3853" i="6"/>
  <c r="H3852" i="6"/>
  <c r="H3851" i="6"/>
  <c r="H3850" i="6"/>
  <c r="H3849" i="6"/>
  <c r="H3848" i="6"/>
  <c r="H3847" i="6"/>
  <c r="H3846" i="6"/>
  <c r="H3845" i="6"/>
  <c r="H3844" i="6"/>
  <c r="H3843" i="6"/>
  <c r="H3842" i="6"/>
  <c r="H3841" i="6"/>
  <c r="H3840" i="6"/>
  <c r="H3839" i="6"/>
  <c r="H3838" i="6"/>
  <c r="H3837" i="6"/>
  <c r="H3836" i="6"/>
  <c r="H3835" i="6"/>
  <c r="H3834" i="6"/>
  <c r="H3833" i="6"/>
  <c r="H3832" i="6"/>
  <c r="H3831" i="6"/>
  <c r="H3830" i="6"/>
  <c r="H3829" i="6"/>
  <c r="H3828" i="6"/>
  <c r="H3827" i="6"/>
  <c r="H3826" i="6"/>
  <c r="H3825" i="6"/>
  <c r="H3824" i="6"/>
  <c r="H3823" i="6"/>
  <c r="H3822" i="6"/>
  <c r="H3821" i="6"/>
  <c r="H3820" i="6"/>
  <c r="H3819" i="6"/>
  <c r="H3818" i="6"/>
  <c r="H3817" i="6"/>
  <c r="H3816" i="6"/>
  <c r="H3815" i="6"/>
  <c r="H3814" i="6"/>
  <c r="H3813" i="6"/>
  <c r="H3812" i="6"/>
  <c r="H3811" i="6"/>
  <c r="H3810" i="6"/>
  <c r="H3809" i="6"/>
  <c r="H3808" i="6"/>
  <c r="H3807" i="6"/>
  <c r="H3806" i="6"/>
  <c r="H3805" i="6"/>
  <c r="H3804" i="6"/>
  <c r="H3803" i="6"/>
  <c r="H3802" i="6"/>
  <c r="H3801" i="6"/>
  <c r="H3800" i="6"/>
  <c r="H3799" i="6"/>
  <c r="H3798" i="6"/>
  <c r="H3797" i="6"/>
  <c r="H3796" i="6"/>
  <c r="H3795" i="6"/>
  <c r="H3794" i="6"/>
  <c r="H3793" i="6"/>
  <c r="H3792" i="6"/>
  <c r="H3791" i="6"/>
  <c r="H3790" i="6"/>
  <c r="H3789" i="6"/>
  <c r="H3788" i="6"/>
  <c r="H3787" i="6"/>
  <c r="H3786" i="6"/>
  <c r="H3785" i="6"/>
  <c r="H3784" i="6"/>
  <c r="H3783" i="6"/>
  <c r="H3782" i="6"/>
  <c r="H3781" i="6"/>
  <c r="H3780" i="6"/>
  <c r="H3779" i="6"/>
  <c r="H3778" i="6"/>
  <c r="H3777" i="6"/>
  <c r="H3776" i="6"/>
  <c r="H3775" i="6"/>
  <c r="H3774" i="6"/>
  <c r="H3773" i="6"/>
  <c r="H3772" i="6"/>
  <c r="H3771" i="6"/>
  <c r="H3770" i="6"/>
  <c r="H3769" i="6"/>
  <c r="H3768" i="6"/>
  <c r="H3767" i="6"/>
  <c r="H3766" i="6"/>
  <c r="H3765" i="6"/>
  <c r="H3764" i="6"/>
  <c r="H3763" i="6"/>
  <c r="H3762" i="6"/>
  <c r="H3761" i="6"/>
  <c r="H3760" i="6"/>
  <c r="H3759" i="6"/>
  <c r="H3758" i="6"/>
  <c r="H3757" i="6"/>
  <c r="H3756" i="6"/>
  <c r="H3755" i="6"/>
  <c r="H3754" i="6"/>
  <c r="H3753" i="6"/>
  <c r="H3752" i="6"/>
  <c r="H3751" i="6"/>
  <c r="H3750" i="6"/>
  <c r="H3749" i="6"/>
  <c r="H3748" i="6"/>
  <c r="H3747" i="6"/>
  <c r="H3746" i="6"/>
  <c r="H3745" i="6"/>
  <c r="H3744" i="6"/>
  <c r="H3743" i="6"/>
  <c r="H3742" i="6"/>
  <c r="H3741" i="6"/>
  <c r="H3740" i="6"/>
  <c r="H3739" i="6"/>
  <c r="H3738" i="6"/>
  <c r="H3737" i="6"/>
  <c r="H3736" i="6"/>
  <c r="H3735" i="6"/>
  <c r="H3734" i="6"/>
  <c r="H3733" i="6"/>
  <c r="H3732" i="6"/>
  <c r="H3731" i="6"/>
  <c r="H3730" i="6"/>
  <c r="H3729" i="6"/>
  <c r="H3728" i="6"/>
  <c r="H3727" i="6"/>
  <c r="H3726" i="6"/>
  <c r="H3725" i="6"/>
  <c r="H3724" i="6"/>
  <c r="H3723" i="6"/>
  <c r="H3722" i="6"/>
  <c r="H3721" i="6"/>
  <c r="H3720" i="6"/>
  <c r="H3719" i="6"/>
  <c r="H3718" i="6"/>
  <c r="H3717" i="6"/>
  <c r="H3716" i="6"/>
  <c r="H3715" i="6"/>
  <c r="H3714" i="6"/>
  <c r="H3713" i="6"/>
  <c r="H3712" i="6"/>
  <c r="H3711" i="6"/>
  <c r="H3710" i="6"/>
  <c r="H3709" i="6"/>
  <c r="H3708" i="6"/>
  <c r="H3707" i="6"/>
  <c r="H3706" i="6"/>
  <c r="H3705" i="6"/>
  <c r="H3704" i="6"/>
  <c r="H3703" i="6"/>
  <c r="H3702" i="6"/>
  <c r="H3701" i="6"/>
  <c r="H3700" i="6"/>
  <c r="H3699" i="6"/>
  <c r="H3698" i="6"/>
  <c r="H3697" i="6"/>
  <c r="H3696" i="6"/>
  <c r="H3695" i="6"/>
  <c r="H3694" i="6"/>
  <c r="H3693" i="6"/>
  <c r="H3692" i="6"/>
  <c r="H3691" i="6"/>
  <c r="H3690" i="6"/>
  <c r="H3689" i="6"/>
  <c r="H3688" i="6"/>
  <c r="H3687" i="6"/>
  <c r="H3686" i="6"/>
  <c r="H3685" i="6"/>
  <c r="H3684" i="6"/>
  <c r="H3683" i="6"/>
  <c r="H3682" i="6"/>
  <c r="H3681" i="6"/>
  <c r="H3680" i="6"/>
  <c r="H3679" i="6"/>
  <c r="H3678" i="6"/>
  <c r="H3677" i="6"/>
  <c r="H3676" i="6"/>
  <c r="H3675" i="6"/>
  <c r="H3674" i="6"/>
  <c r="H3673" i="6"/>
  <c r="H3672" i="6"/>
  <c r="H3671" i="6"/>
  <c r="H3670" i="6"/>
  <c r="G3669" i="6"/>
  <c r="H3669" i="6" s="1"/>
  <c r="H3668" i="6"/>
  <c r="H3667" i="6"/>
  <c r="H3666" i="6"/>
  <c r="H3665" i="6"/>
  <c r="H3664" i="6"/>
  <c r="H3663" i="6"/>
  <c r="H3662" i="6"/>
  <c r="H3661" i="6"/>
  <c r="H3660" i="6"/>
  <c r="H3659" i="6"/>
  <c r="H3658" i="6"/>
  <c r="H3657" i="6"/>
  <c r="H3656" i="6"/>
  <c r="H3655" i="6"/>
  <c r="H3654" i="6"/>
  <c r="H3653" i="6"/>
  <c r="H3652" i="6"/>
  <c r="H3651" i="6"/>
  <c r="H3650" i="6"/>
  <c r="H3649" i="6"/>
  <c r="H3648" i="6"/>
  <c r="H3647" i="6"/>
  <c r="H3646" i="6"/>
  <c r="H3645" i="6"/>
  <c r="H3644" i="6"/>
  <c r="H3643" i="6"/>
  <c r="H3642" i="6"/>
  <c r="H3641" i="6"/>
  <c r="H3640" i="6"/>
  <c r="H3639" i="6"/>
  <c r="H3638" i="6"/>
  <c r="H3637" i="6"/>
  <c r="H3636" i="6"/>
  <c r="H3635" i="6"/>
  <c r="H3634" i="6"/>
  <c r="H3633" i="6"/>
  <c r="H3632" i="6"/>
  <c r="G3632" i="6"/>
  <c r="H3631" i="6"/>
  <c r="H3630" i="6"/>
  <c r="H3629" i="6"/>
  <c r="H3628" i="6"/>
  <c r="H3627" i="6"/>
  <c r="H3626" i="6"/>
  <c r="H3625" i="6"/>
  <c r="H3624" i="6"/>
  <c r="H3623" i="6"/>
  <c r="H3622" i="6"/>
  <c r="H3621" i="6"/>
  <c r="H3620" i="6"/>
  <c r="H3619" i="6"/>
  <c r="H3618" i="6"/>
  <c r="H3617" i="6"/>
  <c r="H3616" i="6"/>
  <c r="H3615" i="6"/>
  <c r="H3614" i="6"/>
  <c r="H3613" i="6"/>
  <c r="H3612" i="6"/>
  <c r="H3611" i="6"/>
  <c r="H3610" i="6"/>
  <c r="H3609" i="6"/>
  <c r="H3608" i="6"/>
  <c r="H3607" i="6"/>
  <c r="H3606" i="6"/>
  <c r="H3605" i="6"/>
  <c r="G3605" i="6"/>
  <c r="H3604" i="6"/>
  <c r="H3603" i="6"/>
  <c r="H3602" i="6"/>
  <c r="H3601" i="6"/>
  <c r="H3600" i="6"/>
  <c r="H3599" i="6"/>
  <c r="H3598" i="6"/>
  <c r="H3597" i="6"/>
  <c r="H3596" i="6"/>
  <c r="H3595" i="6"/>
  <c r="H3594" i="6"/>
  <c r="H3593" i="6"/>
  <c r="H3592" i="6"/>
  <c r="H3591" i="6"/>
  <c r="H3590" i="6"/>
  <c r="H3589" i="6"/>
  <c r="H3588" i="6"/>
  <c r="H3587" i="6"/>
  <c r="H3586" i="6"/>
  <c r="H3585" i="6"/>
  <c r="H3584" i="6"/>
  <c r="H3583" i="6"/>
  <c r="H3582" i="6"/>
  <c r="H3581" i="6"/>
  <c r="H3580" i="6"/>
  <c r="H3579" i="6"/>
  <c r="H3578" i="6"/>
  <c r="H3577" i="6"/>
  <c r="H3576" i="6"/>
  <c r="H3575" i="6"/>
  <c r="H3574" i="6"/>
  <c r="H3573" i="6"/>
  <c r="H3572" i="6"/>
  <c r="H3571" i="6"/>
  <c r="H3570" i="6"/>
  <c r="H3569" i="6"/>
  <c r="H3568" i="6"/>
  <c r="H3567" i="6"/>
  <c r="H3566" i="6"/>
  <c r="H3565" i="6"/>
  <c r="H3564" i="6"/>
  <c r="H3563" i="6"/>
  <c r="H3562" i="6"/>
  <c r="H3561" i="6"/>
  <c r="H3560" i="6"/>
  <c r="H3559" i="6"/>
  <c r="H3558" i="6"/>
  <c r="H3557" i="6"/>
  <c r="H3556" i="6"/>
  <c r="H3555" i="6"/>
  <c r="H3554" i="6"/>
  <c r="H3553" i="6"/>
  <c r="H3552" i="6"/>
  <c r="H3551" i="6"/>
  <c r="H3550" i="6"/>
  <c r="H3549" i="6"/>
  <c r="H3548" i="6"/>
  <c r="H3547" i="6"/>
  <c r="H3546" i="6"/>
  <c r="H3545" i="6"/>
  <c r="H3544" i="6"/>
  <c r="H3543" i="6"/>
  <c r="H3542" i="6"/>
  <c r="H3541" i="6"/>
  <c r="H3540" i="6"/>
  <c r="H3539" i="6"/>
  <c r="H3538" i="6"/>
  <c r="H3537" i="6"/>
  <c r="H3536" i="6"/>
  <c r="H3535" i="6"/>
  <c r="H3534" i="6"/>
  <c r="H3533" i="6"/>
  <c r="H3532" i="6"/>
  <c r="H3531" i="6"/>
  <c r="H3530" i="6"/>
  <c r="H3529" i="6"/>
  <c r="H3528" i="6"/>
  <c r="H3527" i="6"/>
  <c r="H3526" i="6"/>
  <c r="H3525" i="6"/>
  <c r="H3524" i="6"/>
  <c r="H3523" i="6"/>
  <c r="H3522" i="6"/>
  <c r="H3521" i="6"/>
  <c r="H3520" i="6"/>
  <c r="H3519" i="6"/>
  <c r="H3518" i="6"/>
  <c r="H3517" i="6"/>
  <c r="H3516" i="6"/>
  <c r="H3515" i="6"/>
  <c r="H3514" i="6"/>
  <c r="H3513" i="6"/>
  <c r="H3512" i="6"/>
  <c r="H3511" i="6"/>
  <c r="H3510" i="6"/>
  <c r="H3509" i="6"/>
  <c r="H3508" i="6"/>
  <c r="H3507" i="6"/>
  <c r="H3506" i="6"/>
  <c r="H3505" i="6"/>
  <c r="H3504" i="6"/>
  <c r="H3503" i="6"/>
  <c r="H3502" i="6"/>
  <c r="H3501" i="6"/>
  <c r="H3500" i="6"/>
  <c r="H3499" i="6"/>
  <c r="H3498" i="6"/>
  <c r="H3497" i="6"/>
  <c r="H3496" i="6"/>
  <c r="H3495" i="6"/>
  <c r="H3494" i="6"/>
  <c r="H3493" i="6"/>
  <c r="H3492" i="6"/>
  <c r="H3491" i="6"/>
  <c r="H3490" i="6"/>
  <c r="H3489" i="6"/>
  <c r="H3488" i="6"/>
  <c r="H3487" i="6"/>
  <c r="H3486" i="6"/>
  <c r="H3485" i="6"/>
  <c r="H3484" i="6"/>
  <c r="H3483" i="6"/>
  <c r="H3482" i="6"/>
  <c r="H3481" i="6"/>
  <c r="H3480" i="6"/>
  <c r="H3479" i="6"/>
  <c r="H3478" i="6"/>
  <c r="H3477" i="6"/>
  <c r="H3476" i="6"/>
  <c r="H3475" i="6"/>
  <c r="H3474" i="6"/>
  <c r="H3473" i="6"/>
  <c r="H3472" i="6"/>
  <c r="H3471" i="6"/>
  <c r="H3470" i="6"/>
  <c r="H3469" i="6"/>
  <c r="H3468" i="6"/>
  <c r="H3467" i="6"/>
  <c r="H3466" i="6"/>
  <c r="H3465" i="6"/>
  <c r="H3464" i="6"/>
  <c r="H3463" i="6"/>
  <c r="H3462" i="6"/>
  <c r="H3461" i="6"/>
  <c r="H3460" i="6"/>
  <c r="H3459" i="6"/>
  <c r="H3458" i="6"/>
  <c r="H3457" i="6"/>
  <c r="H3456" i="6"/>
  <c r="H3455" i="6"/>
  <c r="H3454" i="6"/>
  <c r="H3453" i="6"/>
  <c r="H3452" i="6"/>
  <c r="H3451" i="6"/>
  <c r="H3450" i="6"/>
  <c r="H3449" i="6"/>
  <c r="H3448" i="6"/>
  <c r="H3447" i="6"/>
  <c r="H3446" i="6"/>
  <c r="H3445" i="6"/>
  <c r="H3444" i="6"/>
  <c r="H3443" i="6"/>
  <c r="H3442" i="6"/>
  <c r="H3441" i="6"/>
  <c r="H3440" i="6"/>
  <c r="H3439" i="6"/>
  <c r="H3438" i="6"/>
  <c r="H3437" i="6"/>
  <c r="H3436" i="6"/>
  <c r="H3435" i="6"/>
  <c r="H3434" i="6"/>
  <c r="H3433" i="6"/>
  <c r="H3432" i="6"/>
  <c r="H3431" i="6"/>
  <c r="H3430" i="6"/>
  <c r="H3429" i="6"/>
  <c r="H3428" i="6"/>
  <c r="H3427" i="6"/>
  <c r="H3426" i="6"/>
  <c r="H3425" i="6"/>
  <c r="H3424" i="6"/>
  <c r="H3423" i="6"/>
  <c r="H3422" i="6"/>
  <c r="H3421" i="6"/>
  <c r="H3420" i="6"/>
  <c r="H3419" i="6"/>
  <c r="H3418" i="6"/>
  <c r="H3417" i="6"/>
  <c r="H3416" i="6"/>
  <c r="H3415" i="6"/>
  <c r="H3414" i="6"/>
  <c r="H3413" i="6"/>
  <c r="H3412" i="6"/>
  <c r="H3411" i="6"/>
  <c r="H3410" i="6"/>
  <c r="H3409" i="6"/>
  <c r="H3408" i="6"/>
  <c r="H3407" i="6"/>
  <c r="H3406" i="6"/>
  <c r="H3405" i="6"/>
  <c r="H3404" i="6"/>
  <c r="H3403" i="6"/>
  <c r="H3402" i="6"/>
  <c r="H3401" i="6"/>
  <c r="H3400" i="6"/>
  <c r="H3399" i="6"/>
  <c r="H3398" i="6"/>
  <c r="H3397" i="6"/>
  <c r="H3396" i="6"/>
  <c r="H3395" i="6"/>
  <c r="H3394" i="6"/>
  <c r="H3393" i="6"/>
  <c r="H3392" i="6"/>
  <c r="H3391" i="6"/>
  <c r="H3390" i="6"/>
  <c r="H3389" i="6"/>
  <c r="H3388" i="6"/>
  <c r="H3387" i="6"/>
  <c r="H3386" i="6"/>
  <c r="H3385" i="6"/>
  <c r="H3384" i="6"/>
  <c r="H3383" i="6"/>
  <c r="H3382" i="6"/>
  <c r="G3381" i="6"/>
  <c r="H3381" i="6" s="1"/>
  <c r="H3380" i="6"/>
  <c r="H3379" i="6"/>
  <c r="H3378" i="6"/>
  <c r="H3377" i="6"/>
  <c r="H3376" i="6"/>
  <c r="H3375" i="6"/>
  <c r="H3374" i="6"/>
  <c r="H3373" i="6"/>
  <c r="H3372" i="6"/>
  <c r="H3371" i="6"/>
  <c r="H3370" i="6"/>
  <c r="H3369" i="6"/>
  <c r="H3368" i="6"/>
  <c r="H3367" i="6"/>
  <c r="H3366" i="6"/>
  <c r="H3365" i="6"/>
  <c r="H3364" i="6"/>
  <c r="H3363" i="6"/>
  <c r="H3362" i="6"/>
  <c r="H3361" i="6"/>
  <c r="H3360" i="6"/>
  <c r="H3359" i="6"/>
  <c r="H3358" i="6"/>
  <c r="H3357" i="6"/>
  <c r="H3356" i="6"/>
  <c r="H3355" i="6"/>
  <c r="H3354" i="6"/>
  <c r="H3353" i="6"/>
  <c r="H3352" i="6"/>
  <c r="H3351" i="6"/>
  <c r="H3350" i="6"/>
  <c r="H3349" i="6"/>
  <c r="H3348" i="6"/>
  <c r="H3347" i="6"/>
  <c r="H3346" i="6"/>
  <c r="H3345" i="6"/>
  <c r="H3344" i="6"/>
  <c r="H3343" i="6"/>
  <c r="H3342" i="6"/>
  <c r="H3341" i="6"/>
  <c r="H3340" i="6"/>
  <c r="H3339" i="6"/>
  <c r="H3338" i="6"/>
  <c r="H3337" i="6"/>
  <c r="H3336" i="6"/>
  <c r="H3335" i="6"/>
  <c r="H3334" i="6"/>
  <c r="H3333" i="6"/>
  <c r="H3332" i="6"/>
  <c r="H3331" i="6"/>
  <c r="H3330" i="6"/>
  <c r="H3329" i="6"/>
  <c r="H3328" i="6"/>
  <c r="H3327" i="6"/>
  <c r="H3326" i="6"/>
  <c r="H3325" i="6"/>
  <c r="H3324" i="6"/>
  <c r="H3323" i="6"/>
  <c r="H3322" i="6"/>
  <c r="H3321" i="6"/>
  <c r="H3320" i="6"/>
  <c r="H3319" i="6"/>
  <c r="H3318" i="6"/>
  <c r="H3317" i="6"/>
  <c r="H3316" i="6"/>
  <c r="H3315" i="6"/>
  <c r="H3314" i="6"/>
  <c r="H3313" i="6"/>
  <c r="H3312" i="6"/>
  <c r="H3311" i="6"/>
  <c r="H3310" i="6"/>
  <c r="H3309" i="6"/>
  <c r="H3308" i="6"/>
  <c r="H3307" i="6"/>
  <c r="H3306" i="6"/>
  <c r="H3305" i="6"/>
  <c r="H3304" i="6"/>
  <c r="H3303" i="6"/>
  <c r="H3302" i="6"/>
  <c r="H3301" i="6"/>
  <c r="H3300" i="6"/>
  <c r="H3299" i="6"/>
  <c r="H3298" i="6"/>
  <c r="H3297" i="6"/>
  <c r="H3296" i="6"/>
  <c r="H3295" i="6"/>
  <c r="H3294" i="6"/>
  <c r="H3293" i="6"/>
  <c r="H3292" i="6"/>
  <c r="H3291" i="6"/>
  <c r="H3290" i="6"/>
  <c r="H3289" i="6"/>
  <c r="H3288" i="6"/>
  <c r="H3287" i="6"/>
  <c r="H3286" i="6"/>
  <c r="H3285" i="6"/>
  <c r="H3284" i="6"/>
  <c r="H3283" i="6"/>
  <c r="H3282" i="6"/>
  <c r="G3281" i="6"/>
  <c r="H3281" i="6" s="1"/>
  <c r="H3280" i="6"/>
  <c r="H3279" i="6"/>
  <c r="H3278" i="6"/>
  <c r="H3277" i="6"/>
  <c r="H3276" i="6"/>
  <c r="H3275" i="6"/>
  <c r="G3274" i="6"/>
  <c r="H3274" i="6" s="1"/>
  <c r="H3273" i="6"/>
  <c r="H3272" i="6"/>
  <c r="H3271" i="6"/>
  <c r="H3270" i="6"/>
  <c r="H3269" i="6"/>
  <c r="H3268" i="6"/>
  <c r="H3267" i="6"/>
  <c r="H3266" i="6"/>
  <c r="H3265" i="6"/>
  <c r="H3264" i="6"/>
  <c r="H3263" i="6"/>
  <c r="H3262" i="6"/>
  <c r="H3261" i="6"/>
  <c r="H3260" i="6"/>
  <c r="H3259" i="6"/>
  <c r="H3258" i="6"/>
  <c r="H3257" i="6"/>
  <c r="H3256" i="6"/>
  <c r="H3255" i="6"/>
  <c r="H3254" i="6"/>
  <c r="H3253" i="6"/>
  <c r="H3252" i="6"/>
  <c r="H3251" i="6"/>
  <c r="H3250" i="6"/>
  <c r="H3249" i="6"/>
  <c r="H3248" i="6"/>
  <c r="H3247" i="6"/>
  <c r="H3246" i="6"/>
  <c r="H3245" i="6"/>
  <c r="H3244" i="6"/>
  <c r="H3243" i="6"/>
  <c r="H3242" i="6"/>
  <c r="H3241" i="6"/>
  <c r="H3240" i="6"/>
  <c r="H3239" i="6"/>
  <c r="H3238" i="6"/>
  <c r="H3237" i="6"/>
  <c r="H3236" i="6"/>
  <c r="H3235" i="6"/>
  <c r="H3234" i="6"/>
  <c r="H3233" i="6"/>
  <c r="H3232" i="6"/>
  <c r="H3231" i="6"/>
  <c r="H3230" i="6"/>
  <c r="H3229" i="6"/>
  <c r="H3228" i="6"/>
  <c r="H3227" i="6"/>
  <c r="H3226" i="6"/>
  <c r="H3225" i="6"/>
  <c r="H3224" i="6"/>
  <c r="H3223" i="6"/>
  <c r="H3222" i="6"/>
  <c r="H3221" i="6"/>
  <c r="H3220" i="6"/>
  <c r="H3219" i="6"/>
  <c r="H3218" i="6"/>
  <c r="H3217" i="6"/>
  <c r="H3216" i="6"/>
  <c r="H3215" i="6"/>
  <c r="H3214" i="6"/>
  <c r="H3213" i="6"/>
  <c r="H3212" i="6"/>
  <c r="H3211" i="6"/>
  <c r="H3210" i="6"/>
  <c r="H3209" i="6"/>
  <c r="H3208" i="6"/>
  <c r="H3207" i="6"/>
  <c r="H3206" i="6"/>
  <c r="H3205" i="6"/>
  <c r="H3204" i="6"/>
  <c r="H3203" i="6"/>
  <c r="H3202" i="6"/>
  <c r="H3201" i="6"/>
  <c r="H3200" i="6"/>
  <c r="H3199" i="6"/>
  <c r="H3198" i="6"/>
  <c r="H3197" i="6"/>
  <c r="H3196" i="6"/>
  <c r="H3195" i="6"/>
  <c r="H3194" i="6"/>
  <c r="H3193" i="6"/>
  <c r="H3192" i="6"/>
  <c r="H3191" i="6"/>
  <c r="H3190" i="6"/>
  <c r="H3189" i="6"/>
  <c r="H3188" i="6"/>
  <c r="H3187" i="6"/>
  <c r="H3186" i="6"/>
  <c r="H3185" i="6"/>
  <c r="H3184" i="6"/>
  <c r="H3183" i="6"/>
  <c r="H3182" i="6"/>
  <c r="H3181" i="6"/>
  <c r="H3180" i="6"/>
  <c r="H3179" i="6"/>
  <c r="H3178" i="6"/>
  <c r="H3177" i="6"/>
  <c r="H3176" i="6"/>
  <c r="H3175" i="6"/>
  <c r="H3174" i="6"/>
  <c r="H3173" i="6"/>
  <c r="H3172" i="6"/>
  <c r="H3171" i="6"/>
  <c r="H3170" i="6"/>
  <c r="H3169" i="6"/>
  <c r="H3168" i="6"/>
  <c r="H3167" i="6"/>
  <c r="H3166" i="6"/>
  <c r="H3165" i="6"/>
  <c r="H3164" i="6"/>
  <c r="H3163" i="6"/>
  <c r="H3162" i="6"/>
  <c r="H3161" i="6"/>
  <c r="G3160" i="6"/>
  <c r="H3160" i="6" s="1"/>
  <c r="H3159" i="6"/>
  <c r="H3158" i="6"/>
  <c r="H3157" i="6"/>
  <c r="H3156" i="6"/>
  <c r="H3155" i="6"/>
  <c r="H3154" i="6"/>
  <c r="H3153" i="6"/>
  <c r="H3152" i="6"/>
  <c r="H3151" i="6"/>
  <c r="G3150" i="6"/>
  <c r="H3150" i="6" s="1"/>
  <c r="H3149" i="6"/>
  <c r="H3148" i="6"/>
  <c r="H3147" i="6"/>
  <c r="H3146" i="6"/>
  <c r="H3145" i="6"/>
  <c r="H3144" i="6"/>
  <c r="H3143" i="6"/>
  <c r="H3142" i="6"/>
  <c r="H3141" i="6"/>
  <c r="H3140" i="6"/>
  <c r="H3139" i="6"/>
  <c r="H3138" i="6"/>
  <c r="H3137" i="6"/>
  <c r="H3136" i="6"/>
  <c r="H3135" i="6"/>
  <c r="H3134" i="6"/>
  <c r="H3133" i="6"/>
  <c r="H3132" i="6"/>
  <c r="H3131" i="6"/>
  <c r="H3130" i="6"/>
  <c r="H3129" i="6"/>
  <c r="G3128" i="6"/>
  <c r="H3128" i="6" s="1"/>
  <c r="H3127" i="6"/>
  <c r="H3126" i="6"/>
  <c r="H3125" i="6"/>
  <c r="H3124" i="6"/>
  <c r="H3123" i="6"/>
  <c r="H3122" i="6"/>
  <c r="H3121" i="6"/>
  <c r="H3120" i="6"/>
  <c r="H3119" i="6"/>
  <c r="H3118" i="6"/>
  <c r="H3117" i="6"/>
  <c r="H3116" i="6"/>
  <c r="H3115" i="6"/>
  <c r="H3114" i="6"/>
  <c r="H3113" i="6"/>
  <c r="H3112" i="6"/>
  <c r="H3111" i="6"/>
  <c r="H3110" i="6"/>
  <c r="H3109" i="6"/>
  <c r="H3108" i="6"/>
  <c r="H3107" i="6"/>
  <c r="H3106" i="6"/>
  <c r="H3105" i="6"/>
  <c r="H3104" i="6"/>
  <c r="H3103" i="6"/>
  <c r="H3102" i="6"/>
  <c r="H3101" i="6"/>
  <c r="H3100" i="6"/>
  <c r="H3099" i="6"/>
  <c r="H3098" i="6"/>
  <c r="H3097" i="6"/>
  <c r="H3096" i="6"/>
  <c r="H3095" i="6"/>
  <c r="H3094" i="6"/>
  <c r="H3093" i="6"/>
  <c r="H3092" i="6"/>
  <c r="H3091" i="6"/>
  <c r="H3090" i="6"/>
  <c r="H3089" i="6"/>
  <c r="H3088" i="6"/>
  <c r="H3087" i="6"/>
  <c r="H3086" i="6"/>
  <c r="H3085" i="6"/>
  <c r="H3084" i="6"/>
  <c r="H3083" i="6"/>
  <c r="H3082" i="6"/>
  <c r="H3081" i="6"/>
  <c r="H3080" i="6"/>
  <c r="H3079" i="6"/>
  <c r="H3078" i="6"/>
  <c r="H3077" i="6"/>
  <c r="H3076" i="6"/>
  <c r="H3075" i="6"/>
  <c r="H3074" i="6"/>
  <c r="H3073" i="6"/>
  <c r="H3072" i="6"/>
  <c r="H3071" i="6"/>
  <c r="H3070" i="6"/>
  <c r="H3069" i="6"/>
  <c r="H3068" i="6"/>
  <c r="H3067" i="6"/>
  <c r="H3066" i="6"/>
  <c r="H3065" i="6"/>
  <c r="H3064" i="6"/>
  <c r="H3063" i="6"/>
  <c r="H3062" i="6"/>
  <c r="H3061" i="6"/>
  <c r="H3060" i="6"/>
  <c r="H3059" i="6"/>
  <c r="H3058" i="6"/>
  <c r="H3057" i="6"/>
  <c r="H3056" i="6"/>
  <c r="H3055" i="6"/>
  <c r="H3054" i="6"/>
  <c r="H3053" i="6"/>
  <c r="H3052" i="6"/>
  <c r="H3051" i="6"/>
  <c r="H3050" i="6"/>
  <c r="H3049" i="6"/>
  <c r="H3048" i="6"/>
  <c r="H3047" i="6"/>
  <c r="H3046" i="6"/>
  <c r="H3045" i="6"/>
  <c r="H3044" i="6"/>
  <c r="H3043" i="6"/>
  <c r="H3042" i="6"/>
  <c r="H3041" i="6"/>
  <c r="H3040" i="6"/>
  <c r="H3039" i="6"/>
  <c r="H3038" i="6"/>
  <c r="H3037" i="6"/>
  <c r="H3036" i="6"/>
  <c r="H3035" i="6"/>
  <c r="H3034" i="6"/>
  <c r="H3033" i="6"/>
  <c r="H3032" i="6"/>
  <c r="H3031" i="6"/>
  <c r="H3030" i="6"/>
  <c r="H3029" i="6"/>
  <c r="G3029" i="6"/>
  <c r="H3028" i="6"/>
  <c r="H3027" i="6"/>
  <c r="H3026" i="6"/>
  <c r="H3025" i="6"/>
  <c r="H3024" i="6"/>
  <c r="H3023" i="6"/>
  <c r="H3022" i="6"/>
  <c r="H3021" i="6"/>
  <c r="H3020" i="6"/>
  <c r="H3019" i="6"/>
  <c r="H3018" i="6"/>
  <c r="H3017" i="6"/>
  <c r="H3016" i="6"/>
  <c r="H3015" i="6"/>
  <c r="H3014" i="6"/>
  <c r="H3013" i="6"/>
  <c r="H3012" i="6"/>
  <c r="H3011" i="6"/>
  <c r="H3010" i="6"/>
  <c r="H3009" i="6"/>
  <c r="H3008" i="6"/>
  <c r="H3007" i="6"/>
  <c r="H3006" i="6"/>
  <c r="H3005" i="6"/>
  <c r="H3004" i="6"/>
  <c r="H3003" i="6"/>
  <c r="H3002" i="6"/>
  <c r="G3001" i="6"/>
  <c r="H3001" i="6" s="1"/>
  <c r="H3000" i="6"/>
  <c r="H2999" i="6"/>
  <c r="H2998" i="6"/>
  <c r="H2997" i="6"/>
  <c r="H2996" i="6"/>
  <c r="H2995" i="6"/>
  <c r="H2994" i="6"/>
  <c r="H2993" i="6"/>
  <c r="H2992" i="6"/>
  <c r="H2991" i="6"/>
  <c r="H2990" i="6"/>
  <c r="H2989" i="6"/>
  <c r="H2988" i="6"/>
  <c r="H2987" i="6"/>
  <c r="H2986" i="6"/>
  <c r="H2985" i="6"/>
  <c r="H2984" i="6"/>
  <c r="H2983" i="6"/>
  <c r="H2982" i="6"/>
  <c r="H2981" i="6"/>
  <c r="H2980" i="6"/>
  <c r="H2979" i="6"/>
  <c r="H2978" i="6"/>
  <c r="H2977" i="6"/>
  <c r="H2976" i="6"/>
  <c r="H2975" i="6"/>
  <c r="H2974" i="6"/>
  <c r="H2973" i="6"/>
  <c r="H2972" i="6"/>
  <c r="H2971" i="6"/>
  <c r="H2970" i="6"/>
  <c r="H2969" i="6"/>
  <c r="H2968" i="6"/>
  <c r="H2967" i="6"/>
  <c r="H2966" i="6"/>
  <c r="H2965" i="6"/>
  <c r="H2964" i="6"/>
  <c r="H2963" i="6"/>
  <c r="H2962" i="6"/>
  <c r="H2961" i="6"/>
  <c r="H2960" i="6"/>
  <c r="H2959" i="6"/>
  <c r="H2958" i="6"/>
  <c r="H2957" i="6"/>
  <c r="H2956" i="6"/>
  <c r="H2955" i="6"/>
  <c r="H2954" i="6"/>
  <c r="H2953" i="6"/>
  <c r="H2952" i="6"/>
  <c r="H2951" i="6"/>
  <c r="H2950" i="6"/>
  <c r="H2949" i="6"/>
  <c r="H2948" i="6"/>
  <c r="H2947" i="6"/>
  <c r="H2946" i="6"/>
  <c r="H2945" i="6"/>
  <c r="H2944" i="6"/>
  <c r="H2943" i="6"/>
  <c r="H2942" i="6"/>
  <c r="H2941" i="6"/>
  <c r="H2940" i="6"/>
  <c r="H2939" i="6"/>
  <c r="H2938" i="6"/>
  <c r="H2937" i="6"/>
  <c r="H2936" i="6"/>
  <c r="H2935" i="6"/>
  <c r="H2934" i="6"/>
  <c r="H2933" i="6"/>
  <c r="H2932" i="6"/>
  <c r="H2931" i="6"/>
  <c r="H2930" i="6"/>
  <c r="H2929" i="6"/>
  <c r="H2928" i="6"/>
  <c r="H2927" i="6"/>
  <c r="G2926" i="6"/>
  <c r="H2926" i="6" s="1"/>
  <c r="H2925" i="6"/>
  <c r="H2924" i="6"/>
  <c r="H2923" i="6"/>
  <c r="H2922" i="6"/>
  <c r="H2921" i="6"/>
  <c r="H2920" i="6"/>
  <c r="H2919" i="6"/>
  <c r="H2918" i="6"/>
  <c r="H2917" i="6"/>
  <c r="H2916" i="6"/>
  <c r="H2915" i="6"/>
  <c r="H2914" i="6"/>
  <c r="H2913" i="6"/>
  <c r="H2912" i="6"/>
  <c r="H2911" i="6"/>
  <c r="H2910" i="6"/>
  <c r="H2909" i="6"/>
  <c r="H2908" i="6"/>
  <c r="H2907" i="6"/>
  <c r="H2906" i="6"/>
  <c r="H2905" i="6"/>
  <c r="H2904" i="6"/>
  <c r="H2903" i="6"/>
  <c r="H2902" i="6"/>
  <c r="H2901" i="6"/>
  <c r="H2900" i="6"/>
  <c r="H2899" i="6"/>
  <c r="H2898" i="6"/>
  <c r="H2897" i="6"/>
  <c r="H2896" i="6"/>
  <c r="H2895" i="6"/>
  <c r="H2894" i="6"/>
  <c r="H2893" i="6"/>
  <c r="H2892" i="6"/>
  <c r="H2891" i="6"/>
  <c r="H2890" i="6"/>
  <c r="H2889" i="6"/>
  <c r="H2888" i="6"/>
  <c r="H2887" i="6"/>
  <c r="H2886" i="6"/>
  <c r="H2885" i="6"/>
  <c r="H2884" i="6"/>
  <c r="H2883" i="6"/>
  <c r="H2882" i="6"/>
  <c r="H2881" i="6"/>
  <c r="H2880" i="6"/>
  <c r="H2879" i="6"/>
  <c r="H2878" i="6"/>
  <c r="H2877" i="6"/>
  <c r="H2876" i="6"/>
  <c r="H2875" i="6"/>
  <c r="H2874" i="6"/>
  <c r="H2873" i="6"/>
  <c r="H2872" i="6"/>
  <c r="H2871" i="6"/>
  <c r="G2870" i="6"/>
  <c r="H2870" i="6" s="1"/>
  <c r="H2869" i="6"/>
  <c r="H2868" i="6"/>
  <c r="H2867" i="6"/>
  <c r="H2866" i="6"/>
  <c r="H2865" i="6"/>
  <c r="H2864" i="6"/>
  <c r="H2863" i="6"/>
  <c r="H2862" i="6"/>
  <c r="H2861" i="6"/>
  <c r="G2860" i="6"/>
  <c r="H2860" i="6" s="1"/>
  <c r="H2859" i="6"/>
  <c r="H2858" i="6"/>
  <c r="G2858" i="6"/>
  <c r="H2857" i="6"/>
  <c r="H2856" i="6"/>
  <c r="H2855" i="6"/>
  <c r="H2854" i="6"/>
  <c r="H2853" i="6"/>
  <c r="H2852" i="6"/>
  <c r="H2851" i="6"/>
  <c r="H2850" i="6"/>
  <c r="H2849" i="6"/>
  <c r="H2848" i="6"/>
  <c r="H2847" i="6"/>
  <c r="H2846" i="6"/>
  <c r="H2845" i="6"/>
  <c r="H2844" i="6"/>
  <c r="H2843" i="6"/>
  <c r="H2842" i="6"/>
  <c r="H2841" i="6"/>
  <c r="H2840" i="6"/>
  <c r="H2839" i="6"/>
  <c r="H2838" i="6"/>
  <c r="G2837" i="6"/>
  <c r="H2837" i="6" s="1"/>
  <c r="H2836" i="6"/>
  <c r="H2835" i="6"/>
  <c r="H2834" i="6"/>
  <c r="H2833" i="6"/>
  <c r="H2832" i="6"/>
  <c r="H2831" i="6"/>
  <c r="H2830" i="6"/>
  <c r="H2829" i="6"/>
  <c r="H2828" i="6"/>
  <c r="H2827" i="6"/>
  <c r="H2826" i="6"/>
  <c r="H2825" i="6"/>
  <c r="H2824" i="6"/>
  <c r="H2823" i="6"/>
  <c r="H2822" i="6"/>
  <c r="H2821" i="6"/>
  <c r="H2820" i="6"/>
  <c r="H2819" i="6"/>
  <c r="H2818" i="6"/>
  <c r="H2817" i="6"/>
  <c r="H2816" i="6"/>
  <c r="H2815" i="6"/>
  <c r="H2814" i="6"/>
  <c r="H2813" i="6"/>
  <c r="H2812" i="6"/>
  <c r="H2811" i="6"/>
  <c r="H2810" i="6"/>
  <c r="H2809" i="6"/>
  <c r="H2808" i="6"/>
  <c r="H2807" i="6"/>
  <c r="H2806" i="6"/>
  <c r="H2805" i="6"/>
  <c r="H2804" i="6"/>
  <c r="H2803" i="6"/>
  <c r="H2802" i="6"/>
  <c r="H2801" i="6"/>
  <c r="H2800" i="6"/>
  <c r="H2799" i="6"/>
  <c r="H2798" i="6"/>
  <c r="H2797" i="6"/>
  <c r="H2796" i="6"/>
  <c r="H2795" i="6"/>
  <c r="H2794" i="6"/>
  <c r="H2793" i="6"/>
  <c r="H2792" i="6"/>
  <c r="H2791" i="6"/>
  <c r="H2790" i="6"/>
  <c r="H2789" i="6"/>
  <c r="H2788" i="6"/>
  <c r="H2787" i="6"/>
  <c r="H2786" i="6"/>
  <c r="H2785" i="6"/>
  <c r="H2784" i="6"/>
  <c r="H2783" i="6"/>
  <c r="H2782" i="6"/>
  <c r="H2781" i="6"/>
  <c r="H2780" i="6"/>
  <c r="H2779" i="6"/>
  <c r="H2778" i="6"/>
  <c r="H2777" i="6"/>
  <c r="H2776" i="6"/>
  <c r="H2775" i="6"/>
  <c r="H2774" i="6"/>
  <c r="H2773" i="6"/>
  <c r="H2772" i="6"/>
  <c r="H2771" i="6"/>
  <c r="H2770" i="6"/>
  <c r="H2769" i="6"/>
  <c r="H2768" i="6"/>
  <c r="H2767" i="6"/>
  <c r="H2766" i="6"/>
  <c r="H2765" i="6"/>
  <c r="H2764" i="6"/>
  <c r="H2763" i="6"/>
  <c r="H2762" i="6"/>
  <c r="H2761" i="6"/>
  <c r="H2760" i="6"/>
  <c r="H2759" i="6"/>
  <c r="H2758" i="6"/>
  <c r="H2757" i="6"/>
  <c r="H2756" i="6"/>
  <c r="H2755" i="6"/>
  <c r="H2754" i="6"/>
  <c r="H2753" i="6"/>
  <c r="H2752" i="6"/>
  <c r="H2751" i="6"/>
  <c r="H2750" i="6"/>
  <c r="H2749" i="6"/>
  <c r="H2748" i="6"/>
  <c r="H2747" i="6"/>
  <c r="H2746" i="6"/>
  <c r="H2745" i="6"/>
  <c r="H2744" i="6"/>
  <c r="H2743" i="6"/>
  <c r="H2742" i="6"/>
  <c r="H2741" i="6"/>
  <c r="H2740" i="6"/>
  <c r="H2739" i="6"/>
  <c r="H2738" i="6"/>
  <c r="H2737" i="6"/>
  <c r="H2736" i="6"/>
  <c r="H2735" i="6"/>
  <c r="H2734" i="6"/>
  <c r="H2733" i="6"/>
  <c r="H2732" i="6"/>
  <c r="H2731" i="6"/>
  <c r="H2730" i="6"/>
  <c r="H2729" i="6"/>
  <c r="H2728" i="6"/>
  <c r="H2727" i="6"/>
  <c r="H2726" i="6"/>
  <c r="H2725" i="6"/>
  <c r="H2724" i="6"/>
  <c r="H2723" i="6"/>
  <c r="H2722" i="6"/>
  <c r="H2721" i="6"/>
  <c r="H2720" i="6"/>
  <c r="H2719" i="6"/>
  <c r="H2718" i="6"/>
  <c r="H2717" i="6"/>
  <c r="H2716" i="6"/>
  <c r="H2715" i="6"/>
  <c r="H2714" i="6"/>
  <c r="H2713" i="6"/>
  <c r="H2712" i="6"/>
  <c r="H2711" i="6"/>
  <c r="H2710" i="6"/>
  <c r="G2710" i="6"/>
  <c r="H2709" i="6"/>
  <c r="H2708" i="6"/>
  <c r="H2707" i="6"/>
  <c r="G2707" i="6"/>
  <c r="H2706" i="6"/>
  <c r="H2705" i="6"/>
  <c r="H2704" i="6"/>
  <c r="H2703" i="6"/>
  <c r="H2702" i="6"/>
  <c r="H2701" i="6"/>
  <c r="H2700" i="6"/>
  <c r="G2700" i="6"/>
  <c r="H2699" i="6"/>
  <c r="H2698" i="6"/>
  <c r="H2697" i="6"/>
  <c r="H2696" i="6"/>
  <c r="H2695" i="6"/>
  <c r="H2694" i="6"/>
  <c r="H2693" i="6"/>
  <c r="H2692" i="6"/>
  <c r="H2691" i="6"/>
  <c r="H2690" i="6"/>
  <c r="H2689" i="6"/>
  <c r="H2688" i="6"/>
  <c r="H2687" i="6"/>
  <c r="H2686" i="6"/>
  <c r="H2685" i="6"/>
  <c r="H2684" i="6"/>
  <c r="H2683" i="6"/>
  <c r="H2682" i="6"/>
  <c r="H2681" i="6"/>
  <c r="H2680" i="6"/>
  <c r="H2679" i="6"/>
  <c r="H2678" i="6"/>
  <c r="H2677" i="6"/>
  <c r="H2676" i="6"/>
  <c r="H2675" i="6"/>
  <c r="H2674" i="6"/>
  <c r="H2673" i="6"/>
  <c r="H2672" i="6"/>
  <c r="H2671" i="6"/>
  <c r="H2670" i="6"/>
  <c r="H2669" i="6"/>
  <c r="H2668" i="6"/>
  <c r="H2667" i="6"/>
  <c r="H2666" i="6"/>
  <c r="H2665" i="6"/>
  <c r="H2664" i="6"/>
  <c r="H2663" i="6"/>
  <c r="H2662" i="6"/>
  <c r="H2661" i="6"/>
  <c r="H2660" i="6"/>
  <c r="H2659" i="6"/>
  <c r="H2658" i="6"/>
  <c r="H2657" i="6"/>
  <c r="H2656" i="6"/>
  <c r="H2655" i="6"/>
  <c r="H2654" i="6"/>
  <c r="H2653" i="6"/>
  <c r="H2652" i="6"/>
  <c r="H2651" i="6"/>
  <c r="H2650" i="6"/>
  <c r="H2649" i="6"/>
  <c r="H2648" i="6"/>
  <c r="H2647" i="6"/>
  <c r="H2646" i="6"/>
  <c r="H2645" i="6"/>
  <c r="H2644" i="6"/>
  <c r="H2643" i="6"/>
  <c r="H2642" i="6"/>
  <c r="H2641" i="6"/>
  <c r="H2640" i="6"/>
  <c r="H2639" i="6"/>
  <c r="H2638" i="6"/>
  <c r="H2637" i="6"/>
  <c r="H2636" i="6"/>
  <c r="H2635" i="6"/>
  <c r="H2634" i="6"/>
  <c r="H2633" i="6"/>
  <c r="H2632" i="6"/>
  <c r="H2631" i="6"/>
  <c r="H2630" i="6"/>
  <c r="H2629" i="6"/>
  <c r="H2628" i="6"/>
  <c r="H2627" i="6"/>
  <c r="H2626" i="6"/>
  <c r="H2625" i="6"/>
  <c r="H2624" i="6"/>
  <c r="H2623" i="6"/>
  <c r="H2622" i="6"/>
  <c r="H2621" i="6"/>
  <c r="H2620" i="6"/>
  <c r="H2619" i="6"/>
  <c r="H2618" i="6"/>
  <c r="H2617" i="6"/>
  <c r="H2616" i="6"/>
  <c r="H2615" i="6"/>
  <c r="H2614" i="6"/>
  <c r="H2613" i="6"/>
  <c r="H2612" i="6"/>
  <c r="H2611" i="6"/>
  <c r="H2610" i="6"/>
  <c r="H2609" i="6"/>
  <c r="H2608" i="6"/>
  <c r="H2607" i="6"/>
  <c r="H2606" i="6"/>
  <c r="H2605" i="6"/>
  <c r="H2604" i="6"/>
  <c r="H2603" i="6"/>
  <c r="H2602" i="6"/>
  <c r="H2601" i="6"/>
  <c r="H2600" i="6"/>
  <c r="H2599" i="6"/>
  <c r="H2598" i="6"/>
  <c r="H2597" i="6"/>
  <c r="H2596" i="6"/>
  <c r="H2595" i="6"/>
  <c r="H2594" i="6"/>
  <c r="H2593" i="6"/>
  <c r="H2592" i="6"/>
  <c r="H2591" i="6"/>
  <c r="H2590" i="6"/>
  <c r="H2589" i="6"/>
  <c r="H2588" i="6"/>
  <c r="H2587" i="6"/>
  <c r="H2586" i="6"/>
  <c r="H2585" i="6"/>
  <c r="H2584" i="6"/>
  <c r="H2583" i="6"/>
  <c r="H2582" i="6"/>
  <c r="H2581" i="6"/>
  <c r="H2580" i="6"/>
  <c r="H2579" i="6"/>
  <c r="H2578" i="6"/>
  <c r="H2577" i="6"/>
  <c r="H2576" i="6"/>
  <c r="H2575" i="6"/>
  <c r="H2574" i="6"/>
  <c r="H2573" i="6"/>
  <c r="H2572" i="6"/>
  <c r="H2571" i="6"/>
  <c r="H2570" i="6"/>
  <c r="H2569" i="6"/>
  <c r="H2568" i="6"/>
  <c r="H2567" i="6"/>
  <c r="H2566" i="6"/>
  <c r="H2565" i="6"/>
  <c r="H2564" i="6"/>
  <c r="H2563" i="6"/>
  <c r="H2562" i="6"/>
  <c r="H2561" i="6"/>
  <c r="H2560" i="6"/>
  <c r="H2559" i="6"/>
  <c r="H2558" i="6"/>
  <c r="H2557" i="6"/>
  <c r="H2556" i="6"/>
  <c r="H2555" i="6"/>
  <c r="H2554" i="6"/>
  <c r="H2553" i="6"/>
  <c r="H2552" i="6"/>
  <c r="H2551" i="6"/>
  <c r="H2550" i="6"/>
  <c r="H2549" i="6"/>
  <c r="H2548" i="6"/>
  <c r="H2547" i="6"/>
  <c r="H2546" i="6"/>
  <c r="H2545" i="6"/>
  <c r="H2544" i="6"/>
  <c r="H2543" i="6"/>
  <c r="H2542" i="6"/>
  <c r="H2541" i="6"/>
  <c r="H2540" i="6"/>
  <c r="H2539" i="6"/>
  <c r="H2538" i="6"/>
  <c r="H2537" i="6"/>
  <c r="H2536" i="6"/>
  <c r="H2535" i="6"/>
  <c r="H2534" i="6"/>
  <c r="H2533" i="6"/>
  <c r="H2532" i="6"/>
  <c r="H2531" i="6"/>
  <c r="H2530" i="6"/>
  <c r="H2529" i="6"/>
  <c r="H2528" i="6"/>
  <c r="H2527" i="6"/>
  <c r="H2526" i="6"/>
  <c r="H2525" i="6"/>
  <c r="H2524" i="6"/>
  <c r="H2523" i="6"/>
  <c r="H2522" i="6"/>
  <c r="H2521" i="6"/>
  <c r="H2520" i="6"/>
  <c r="H2519" i="6"/>
  <c r="H2518" i="6"/>
  <c r="H2517" i="6"/>
  <c r="H2516" i="6"/>
  <c r="H2515" i="6"/>
  <c r="H2514" i="6"/>
  <c r="H2513" i="6"/>
  <c r="H2512" i="6"/>
  <c r="H2511" i="6"/>
  <c r="H2510" i="6"/>
  <c r="H2509" i="6"/>
  <c r="H2508" i="6"/>
  <c r="H2507" i="6"/>
  <c r="H2506" i="6"/>
  <c r="H2505" i="6"/>
  <c r="G2505" i="6"/>
  <c r="H2504" i="6"/>
  <c r="H2503" i="6"/>
  <c r="H2502" i="6"/>
  <c r="H2501" i="6"/>
  <c r="H2500" i="6"/>
  <c r="H2499" i="6"/>
  <c r="H2498" i="6"/>
  <c r="H2497" i="6"/>
  <c r="H2496" i="6"/>
  <c r="H2495" i="6"/>
  <c r="H2494" i="6"/>
  <c r="H2493" i="6"/>
  <c r="H2492" i="6"/>
  <c r="H2491" i="6"/>
  <c r="H2490" i="6"/>
  <c r="H2489" i="6"/>
  <c r="H2488" i="6"/>
  <c r="H2487" i="6"/>
  <c r="H2486" i="6"/>
  <c r="H2485" i="6"/>
  <c r="H2484" i="6"/>
  <c r="H2483" i="6"/>
  <c r="H2482" i="6"/>
  <c r="H2481" i="6"/>
  <c r="H2480" i="6"/>
  <c r="H2479" i="6"/>
  <c r="H2478" i="6"/>
  <c r="H2477" i="6"/>
  <c r="H2476" i="6"/>
  <c r="H2475" i="6"/>
  <c r="H2474" i="6"/>
  <c r="H2473" i="6"/>
  <c r="H2472" i="6"/>
  <c r="H2471" i="6"/>
  <c r="H2470" i="6"/>
  <c r="H2469" i="6"/>
  <c r="H2468" i="6"/>
  <c r="H2467" i="6"/>
  <c r="H2466" i="6"/>
  <c r="H2465" i="6"/>
  <c r="H2464" i="6"/>
  <c r="H2463" i="6"/>
  <c r="H2462" i="6"/>
  <c r="H2461" i="6"/>
  <c r="H2460" i="6"/>
  <c r="H2459" i="6"/>
  <c r="H2458" i="6"/>
  <c r="G2458" i="6"/>
  <c r="H2457" i="6"/>
  <c r="H2456" i="6"/>
  <c r="H2455" i="6"/>
  <c r="H2454" i="6"/>
  <c r="H2453" i="6"/>
  <c r="H2452" i="6"/>
  <c r="H2451" i="6"/>
  <c r="H2450" i="6"/>
  <c r="H2449" i="6"/>
  <c r="H2448" i="6"/>
  <c r="H2447" i="6"/>
  <c r="H2446" i="6"/>
  <c r="H2445" i="6"/>
  <c r="H2444" i="6"/>
  <c r="H2443" i="6"/>
  <c r="H2442" i="6"/>
  <c r="H2441" i="6"/>
  <c r="H2440" i="6"/>
  <c r="H2439" i="6"/>
  <c r="H2438" i="6"/>
  <c r="H2437" i="6"/>
  <c r="H2436" i="6"/>
  <c r="H2435" i="6"/>
  <c r="H2434" i="6"/>
  <c r="H2433" i="6"/>
  <c r="H2432" i="6"/>
  <c r="H2431" i="6"/>
  <c r="H2430" i="6"/>
  <c r="H2429" i="6"/>
  <c r="H2428" i="6"/>
  <c r="H2427" i="6"/>
  <c r="H2426" i="6"/>
  <c r="H2425" i="6"/>
  <c r="H2424" i="6"/>
  <c r="H2423" i="6"/>
  <c r="H2422" i="6"/>
  <c r="H2421" i="6"/>
  <c r="H2420" i="6"/>
  <c r="H2419" i="6"/>
  <c r="H2418" i="6"/>
  <c r="H2417" i="6"/>
  <c r="H2416" i="6"/>
  <c r="H2415" i="6"/>
  <c r="H2414" i="6"/>
  <c r="H2413" i="6"/>
  <c r="H2412" i="6"/>
  <c r="H2411" i="6"/>
  <c r="H2410" i="6"/>
  <c r="H2409" i="6"/>
  <c r="H2408" i="6"/>
  <c r="H2407" i="6"/>
  <c r="H2406" i="6"/>
  <c r="H2405" i="6"/>
  <c r="H2404" i="6"/>
  <c r="H2403" i="6"/>
  <c r="H2402" i="6"/>
  <c r="H2401" i="6"/>
  <c r="H2400" i="6"/>
  <c r="H2399" i="6"/>
  <c r="H2398" i="6"/>
  <c r="H2397" i="6"/>
  <c r="H2396" i="6"/>
  <c r="H2395" i="6"/>
  <c r="H2394" i="6"/>
  <c r="H2393" i="6"/>
  <c r="H2392" i="6"/>
  <c r="H2391" i="6"/>
  <c r="H2390" i="6"/>
  <c r="H2389" i="6"/>
  <c r="H2388" i="6"/>
  <c r="H2387" i="6"/>
  <c r="H2386" i="6"/>
  <c r="H2385" i="6"/>
  <c r="H2384" i="6"/>
  <c r="H2383" i="6"/>
  <c r="H2382" i="6"/>
  <c r="H2381" i="6"/>
  <c r="H2380" i="6"/>
  <c r="H2379" i="6"/>
  <c r="H2378" i="6"/>
  <c r="H2377" i="6"/>
  <c r="H2376" i="6"/>
  <c r="H2375" i="6"/>
  <c r="H2374" i="6"/>
  <c r="H2373" i="6"/>
  <c r="H2372" i="6"/>
  <c r="H2371" i="6"/>
  <c r="H2370" i="6"/>
  <c r="H2369" i="6"/>
  <c r="H2368" i="6"/>
  <c r="H2367" i="6"/>
  <c r="H2366" i="6"/>
  <c r="H2365" i="6"/>
  <c r="H2364" i="6"/>
  <c r="H2363" i="6"/>
  <c r="H2362" i="6"/>
  <c r="H2361" i="6"/>
  <c r="H2360" i="6"/>
  <c r="H2359" i="6"/>
  <c r="H2358" i="6"/>
  <c r="H2357" i="6"/>
  <c r="H2356" i="6"/>
  <c r="H2355" i="6"/>
  <c r="H2354" i="6"/>
  <c r="H2353" i="6"/>
  <c r="H2352" i="6"/>
  <c r="H2351" i="6"/>
  <c r="H2350" i="6"/>
  <c r="H2349" i="6"/>
  <c r="H2348" i="6"/>
  <c r="H2347" i="6"/>
  <c r="H2346" i="6"/>
  <c r="H2345" i="6"/>
  <c r="H2344" i="6"/>
  <c r="H2343" i="6"/>
  <c r="H2342" i="6"/>
  <c r="H2341" i="6"/>
  <c r="H2340" i="6"/>
  <c r="H2339" i="6"/>
  <c r="H2338" i="6"/>
  <c r="H2337" i="6"/>
  <c r="G2336" i="6"/>
  <c r="H2336" i="6" s="1"/>
  <c r="H2335" i="6"/>
  <c r="H2334" i="6"/>
  <c r="H2333" i="6"/>
  <c r="H2332" i="6"/>
  <c r="H2331" i="6"/>
  <c r="H2330" i="6"/>
  <c r="H2329" i="6"/>
  <c r="H2328" i="6"/>
  <c r="H2327" i="6"/>
  <c r="H2326" i="6"/>
  <c r="H2325" i="6"/>
  <c r="H2324" i="6"/>
  <c r="H2323" i="6"/>
  <c r="H2322" i="6"/>
  <c r="H2321" i="6"/>
  <c r="H2320" i="6"/>
  <c r="H2319" i="6"/>
  <c r="H2318" i="6"/>
  <c r="H2317" i="6"/>
  <c r="H2316" i="6"/>
  <c r="H2315" i="6"/>
  <c r="H2314" i="6"/>
  <c r="H2313" i="6"/>
  <c r="H2312" i="6"/>
  <c r="H2311" i="6"/>
  <c r="H2310" i="6"/>
  <c r="H2309" i="6"/>
  <c r="H2308" i="6"/>
  <c r="H2307" i="6"/>
  <c r="H2306" i="6"/>
  <c r="H2305" i="6"/>
  <c r="H2304" i="6"/>
  <c r="H2303" i="6"/>
  <c r="H2302" i="6"/>
  <c r="H2301" i="6"/>
  <c r="H2300" i="6"/>
  <c r="H2299" i="6"/>
  <c r="H2298" i="6"/>
  <c r="H2297" i="6"/>
  <c r="H2296" i="6"/>
  <c r="H2295" i="6"/>
  <c r="G2294" i="6"/>
  <c r="H2294" i="6" s="1"/>
  <c r="H2293" i="6"/>
  <c r="G2293" i="6"/>
  <c r="H2292" i="6"/>
  <c r="H2291" i="6"/>
  <c r="H2290" i="6"/>
  <c r="H2289" i="6"/>
  <c r="H2288" i="6"/>
  <c r="H2287" i="6"/>
  <c r="H2286" i="6"/>
  <c r="H2285" i="6"/>
  <c r="H2284" i="6"/>
  <c r="H2283" i="6"/>
  <c r="H2282" i="6"/>
  <c r="H2281" i="6"/>
  <c r="H2280" i="6"/>
  <c r="H2279" i="6"/>
  <c r="H2278" i="6"/>
  <c r="G2278" i="6"/>
  <c r="H2277" i="6"/>
  <c r="H2276" i="6"/>
  <c r="H2275" i="6"/>
  <c r="H2274" i="6"/>
  <c r="H2273" i="6"/>
  <c r="H2272" i="6"/>
  <c r="H2271" i="6"/>
  <c r="H2270" i="6"/>
  <c r="H2269" i="6"/>
  <c r="H2268" i="6"/>
  <c r="H2267" i="6"/>
  <c r="H2266" i="6"/>
  <c r="H2265" i="6"/>
  <c r="H2264" i="6"/>
  <c r="H2263" i="6"/>
  <c r="H2262" i="6"/>
  <c r="H2261" i="6"/>
  <c r="H2260" i="6"/>
  <c r="H2259" i="6"/>
  <c r="H2258" i="6"/>
  <c r="H2257" i="6"/>
  <c r="H2256" i="6"/>
  <c r="H2255" i="6"/>
  <c r="H2254" i="6"/>
  <c r="H2253" i="6"/>
  <c r="H2252" i="6"/>
  <c r="H2251" i="6"/>
  <c r="H2250" i="6"/>
  <c r="H2249" i="6"/>
  <c r="H2248" i="6"/>
  <c r="H2247" i="6"/>
  <c r="H2246" i="6"/>
  <c r="H2245" i="6"/>
  <c r="H2244" i="6"/>
  <c r="H2243" i="6"/>
  <c r="H2242" i="6"/>
  <c r="H2241" i="6"/>
  <c r="H2240" i="6"/>
  <c r="H2239" i="6"/>
  <c r="H2238" i="6"/>
  <c r="H2237" i="6"/>
  <c r="H2236" i="6"/>
  <c r="H2235" i="6"/>
  <c r="H2234" i="6"/>
  <c r="H2233" i="6"/>
  <c r="H2232" i="6"/>
  <c r="H2231" i="6"/>
  <c r="H2230" i="6"/>
  <c r="H2229" i="6"/>
  <c r="H2228" i="6"/>
  <c r="H2227" i="6"/>
  <c r="H2226" i="6"/>
  <c r="H2225" i="6"/>
  <c r="H2224" i="6"/>
  <c r="H2223" i="6"/>
  <c r="H2222" i="6"/>
  <c r="H2221" i="6"/>
  <c r="G2220" i="6"/>
  <c r="H2220" i="6" s="1"/>
  <c r="H2219" i="6"/>
  <c r="H2218" i="6"/>
  <c r="H2217" i="6"/>
  <c r="H2216" i="6"/>
  <c r="G2216" i="6"/>
  <c r="H2215" i="6"/>
  <c r="G2214" i="6"/>
  <c r="H2214" i="6" s="1"/>
  <c r="H2213" i="6"/>
  <c r="H2212" i="6"/>
  <c r="H2211" i="6"/>
  <c r="H2210" i="6"/>
  <c r="G2209" i="6"/>
  <c r="H2209" i="6" s="1"/>
  <c r="H2208" i="6"/>
  <c r="H2207" i="6"/>
  <c r="G2207" i="6"/>
  <c r="H2206" i="6"/>
  <c r="H2205" i="6"/>
  <c r="H2204" i="6"/>
  <c r="H2203" i="6"/>
  <c r="H2202" i="6"/>
  <c r="H2201" i="6"/>
  <c r="H2200" i="6"/>
  <c r="H2199" i="6"/>
  <c r="H2198" i="6"/>
  <c r="H2197" i="6"/>
  <c r="H2196" i="6"/>
  <c r="H2195" i="6"/>
  <c r="H2194" i="6"/>
  <c r="H2193" i="6"/>
  <c r="H2192" i="6"/>
  <c r="H2191" i="6"/>
  <c r="H2190" i="6"/>
  <c r="H2189" i="6"/>
  <c r="H2188" i="6"/>
  <c r="H2187" i="6"/>
  <c r="H2186" i="6"/>
  <c r="H2185" i="6"/>
  <c r="H2184" i="6"/>
  <c r="H2183" i="6"/>
  <c r="G2183" i="6"/>
  <c r="H2182" i="6"/>
  <c r="H2181" i="6"/>
  <c r="H2180" i="6"/>
  <c r="G2180" i="6"/>
  <c r="H2179" i="6"/>
  <c r="H2178" i="6"/>
  <c r="H2177" i="6"/>
  <c r="H2176" i="6"/>
  <c r="H2175" i="6"/>
  <c r="H2174" i="6"/>
  <c r="H2173" i="6"/>
  <c r="H2172" i="6"/>
  <c r="H2171" i="6"/>
  <c r="H2170" i="6"/>
  <c r="H2169" i="6"/>
  <c r="H2168" i="6"/>
  <c r="H2167" i="6"/>
  <c r="H2166" i="6"/>
  <c r="G2166" i="6"/>
  <c r="H2165" i="6"/>
  <c r="H2164" i="6"/>
  <c r="H2163" i="6"/>
  <c r="H2162" i="6"/>
  <c r="H2161" i="6"/>
  <c r="H2160" i="6"/>
  <c r="H2159" i="6"/>
  <c r="H2158" i="6"/>
  <c r="H2157" i="6"/>
  <c r="H2156" i="6"/>
  <c r="H2155" i="6"/>
  <c r="H2154" i="6"/>
  <c r="H2153" i="6"/>
  <c r="H2152" i="6"/>
  <c r="H2151" i="6"/>
  <c r="H2150" i="6"/>
  <c r="H2149" i="6"/>
  <c r="H2148" i="6"/>
  <c r="H2147" i="6"/>
  <c r="H2146" i="6"/>
  <c r="H2145" i="6"/>
  <c r="H2144" i="6"/>
  <c r="H2143" i="6"/>
  <c r="H2142" i="6"/>
  <c r="H2141" i="6"/>
  <c r="H2140" i="6"/>
  <c r="H2139" i="6"/>
  <c r="H2138" i="6"/>
  <c r="H2137" i="6"/>
  <c r="H2136" i="6"/>
  <c r="H2135" i="6"/>
  <c r="H2134" i="6"/>
  <c r="H2133" i="6"/>
  <c r="H2132" i="6"/>
  <c r="H2131" i="6"/>
  <c r="H2130" i="6"/>
  <c r="H2129" i="6"/>
  <c r="H2128" i="6"/>
  <c r="H2127" i="6"/>
  <c r="H2126" i="6"/>
  <c r="H2125" i="6"/>
  <c r="H2124" i="6"/>
  <c r="H2123" i="6"/>
  <c r="H2122" i="6"/>
  <c r="H2121" i="6"/>
  <c r="H2120" i="6"/>
  <c r="H2119" i="6"/>
  <c r="H2118" i="6"/>
  <c r="H2117" i="6"/>
  <c r="H2116" i="6"/>
  <c r="H2115" i="6"/>
  <c r="H2114" i="6"/>
  <c r="H2113" i="6"/>
  <c r="H2112" i="6"/>
  <c r="H2111" i="6"/>
  <c r="H2110" i="6"/>
  <c r="H2109" i="6"/>
  <c r="H2108" i="6"/>
  <c r="H2107" i="6"/>
  <c r="H2106" i="6"/>
  <c r="H2105" i="6"/>
  <c r="H2104" i="6"/>
  <c r="H2103" i="6"/>
  <c r="H2102" i="6"/>
  <c r="H2101" i="6"/>
  <c r="H2100" i="6"/>
  <c r="H2099" i="6"/>
  <c r="H2098" i="6"/>
  <c r="H2097" i="6"/>
  <c r="H2096" i="6"/>
  <c r="H2095" i="6"/>
  <c r="H2094" i="6"/>
  <c r="H2093" i="6"/>
  <c r="H2092" i="6"/>
  <c r="H2091" i="6"/>
  <c r="H2090" i="6"/>
  <c r="H2089" i="6"/>
  <c r="H2088" i="6"/>
  <c r="H2087" i="6"/>
  <c r="H2086" i="6"/>
  <c r="H2085" i="6"/>
  <c r="H2084" i="6"/>
  <c r="H2083" i="6"/>
  <c r="H2082" i="6"/>
  <c r="H2081" i="6"/>
  <c r="G2080" i="6"/>
  <c r="H2080" i="6" s="1"/>
  <c r="H2079" i="6"/>
  <c r="H2078" i="6"/>
  <c r="H2077" i="6"/>
  <c r="H2076" i="6"/>
  <c r="H2075" i="6"/>
  <c r="H2074" i="6"/>
  <c r="H2073" i="6"/>
  <c r="H2072" i="6"/>
  <c r="G2072" i="6"/>
  <c r="H2071" i="6"/>
  <c r="H2070" i="6"/>
  <c r="H2069" i="6"/>
  <c r="G2068" i="6"/>
  <c r="H2068" i="6" s="1"/>
  <c r="H2067" i="6"/>
  <c r="H2066" i="6"/>
  <c r="H2065" i="6"/>
  <c r="H2064" i="6"/>
  <c r="H2063" i="6"/>
  <c r="H2062" i="6"/>
  <c r="H2061" i="6"/>
  <c r="H2060" i="6"/>
  <c r="H2059" i="6"/>
  <c r="H2058" i="6"/>
  <c r="H2057" i="6"/>
  <c r="H2056" i="6"/>
  <c r="H2055" i="6"/>
  <c r="H2054" i="6"/>
  <c r="H2053" i="6"/>
  <c r="H2052" i="6"/>
  <c r="H2051" i="6"/>
  <c r="H2050" i="6"/>
  <c r="H2049" i="6"/>
  <c r="H2048" i="6"/>
  <c r="H2047" i="6"/>
  <c r="H2046" i="6"/>
  <c r="H2045" i="6"/>
  <c r="H2044" i="6"/>
  <c r="H2043" i="6"/>
  <c r="H2042" i="6"/>
  <c r="H2041" i="6"/>
  <c r="H2040" i="6"/>
  <c r="H2039" i="6"/>
  <c r="H2038" i="6"/>
  <c r="H2037" i="6"/>
  <c r="H2036" i="6"/>
  <c r="H2035" i="6"/>
  <c r="H2034" i="6"/>
  <c r="H2033" i="6"/>
  <c r="H2032" i="6"/>
  <c r="H2031" i="6"/>
  <c r="H2030" i="6"/>
  <c r="H2029" i="6"/>
  <c r="H2028" i="6"/>
  <c r="H2027" i="6"/>
  <c r="H2026" i="6"/>
  <c r="H2025" i="6"/>
  <c r="H2024" i="6"/>
  <c r="H2023" i="6"/>
  <c r="H2022" i="6"/>
  <c r="H2021" i="6"/>
  <c r="H2020" i="6"/>
  <c r="H2019" i="6"/>
  <c r="H2018" i="6"/>
  <c r="G2018" i="6"/>
  <c r="H2017" i="6"/>
  <c r="H2016" i="6"/>
  <c r="H2015" i="6"/>
  <c r="H2014" i="6"/>
  <c r="H2013" i="6"/>
  <c r="H2012" i="6"/>
  <c r="H2011" i="6"/>
  <c r="H2010" i="6"/>
  <c r="H2009" i="6"/>
  <c r="H2008" i="6"/>
  <c r="H2007" i="6"/>
  <c r="H2006" i="6"/>
  <c r="H2005" i="6"/>
  <c r="G2004" i="6"/>
  <c r="H2004" i="6" s="1"/>
  <c r="H2003" i="6"/>
  <c r="H2002" i="6"/>
  <c r="H2001" i="6"/>
  <c r="H2000" i="6"/>
  <c r="H1999" i="6"/>
  <c r="H1998" i="6"/>
  <c r="H1997" i="6"/>
  <c r="H1996" i="6"/>
  <c r="H1995" i="6"/>
  <c r="H1994" i="6"/>
  <c r="H1993" i="6"/>
  <c r="H1992" i="6"/>
  <c r="H1991" i="6"/>
  <c r="H1990" i="6"/>
  <c r="H1989" i="6"/>
  <c r="H1988" i="6"/>
  <c r="H1987" i="6"/>
  <c r="H1986" i="6"/>
  <c r="H1985" i="6"/>
  <c r="H1984" i="6"/>
  <c r="H1983" i="6"/>
  <c r="H1982" i="6"/>
  <c r="H1981" i="6"/>
  <c r="H1980" i="6"/>
  <c r="H1979" i="6"/>
  <c r="H1978" i="6"/>
  <c r="H1977" i="6"/>
  <c r="H1976" i="6"/>
  <c r="G1976" i="6"/>
  <c r="H1975" i="6"/>
  <c r="H1974" i="6"/>
  <c r="H1973" i="6"/>
  <c r="H1972" i="6"/>
  <c r="G1972" i="6"/>
  <c r="H1971" i="6"/>
  <c r="H1970" i="6"/>
  <c r="H1969" i="6"/>
  <c r="H1968" i="6"/>
  <c r="H1967" i="6"/>
  <c r="H1966" i="6"/>
  <c r="H1965" i="6"/>
  <c r="H1964" i="6"/>
  <c r="H1963" i="6"/>
  <c r="H1962" i="6"/>
  <c r="H1961" i="6"/>
  <c r="H1960" i="6"/>
  <c r="H1959" i="6"/>
  <c r="H1958" i="6"/>
  <c r="H1957" i="6"/>
  <c r="H1956" i="6"/>
  <c r="H1955" i="6"/>
  <c r="H1954" i="6"/>
  <c r="H1953" i="6"/>
  <c r="H1952" i="6"/>
  <c r="H1951" i="6"/>
  <c r="H1950" i="6"/>
  <c r="H1949" i="6"/>
  <c r="H1948" i="6"/>
  <c r="H1947" i="6"/>
  <c r="H1946" i="6"/>
  <c r="H1945" i="6"/>
  <c r="H1944" i="6"/>
  <c r="H1943" i="6"/>
  <c r="H1942" i="6"/>
  <c r="H1941" i="6"/>
  <c r="H1940" i="6"/>
  <c r="H1939" i="6"/>
  <c r="H1938" i="6"/>
  <c r="H1937" i="6"/>
  <c r="H1936" i="6"/>
  <c r="H1935" i="6"/>
  <c r="H1934" i="6"/>
  <c r="H1933" i="6"/>
  <c r="H1932" i="6"/>
  <c r="H1931" i="6"/>
  <c r="H1930" i="6"/>
  <c r="H1929" i="6"/>
  <c r="H1928" i="6"/>
  <c r="H1927" i="6"/>
  <c r="H1926" i="6"/>
  <c r="H1925" i="6"/>
  <c r="H1924" i="6"/>
  <c r="H1923" i="6"/>
  <c r="H1922" i="6"/>
  <c r="H1921" i="6"/>
  <c r="H1920" i="6"/>
  <c r="H1919" i="6"/>
  <c r="H1918" i="6"/>
  <c r="H1917" i="6"/>
  <c r="H1916" i="6"/>
  <c r="H1915" i="6"/>
  <c r="H1914" i="6"/>
  <c r="H1913" i="6"/>
  <c r="G1913" i="6"/>
  <c r="H1912" i="6"/>
  <c r="H1911" i="6"/>
  <c r="H1910" i="6"/>
  <c r="H1909" i="6"/>
  <c r="H1908" i="6"/>
  <c r="H1907" i="6"/>
  <c r="H1906" i="6"/>
  <c r="H1905" i="6"/>
  <c r="H1904" i="6"/>
  <c r="H1903" i="6"/>
  <c r="H1902" i="6"/>
  <c r="H1901" i="6"/>
  <c r="H1900" i="6"/>
  <c r="H1899" i="6"/>
  <c r="H1898" i="6"/>
  <c r="H1897" i="6"/>
  <c r="H1896" i="6"/>
  <c r="H1895" i="6"/>
  <c r="H1894" i="6"/>
  <c r="H1893" i="6"/>
  <c r="H1892" i="6"/>
  <c r="H1891" i="6"/>
  <c r="H1890" i="6"/>
  <c r="H1889" i="6"/>
  <c r="H1888" i="6"/>
  <c r="H1887" i="6"/>
  <c r="H1886" i="6"/>
  <c r="H1885" i="6"/>
  <c r="H1884" i="6"/>
  <c r="H1883" i="6"/>
  <c r="H1882" i="6"/>
  <c r="H1881" i="6"/>
  <c r="H1880" i="6"/>
  <c r="H1879" i="6"/>
  <c r="H1878" i="6"/>
  <c r="H1877" i="6"/>
  <c r="H1876" i="6"/>
  <c r="H1875" i="6"/>
  <c r="H1874" i="6"/>
  <c r="H1873" i="6"/>
  <c r="H1872" i="6"/>
  <c r="H1871" i="6"/>
  <c r="H1870" i="6"/>
  <c r="H1869" i="6"/>
  <c r="H1868" i="6"/>
  <c r="H1867" i="6"/>
  <c r="H1866" i="6"/>
  <c r="H1865" i="6"/>
  <c r="H1864" i="6"/>
  <c r="H1863" i="6"/>
  <c r="H1862" i="6"/>
  <c r="H1861" i="6"/>
  <c r="H1860" i="6"/>
  <c r="H1859" i="6"/>
  <c r="H1858" i="6"/>
  <c r="H1857" i="6"/>
  <c r="H1856" i="6"/>
  <c r="H1855" i="6"/>
  <c r="H1854" i="6"/>
  <c r="H1853" i="6"/>
  <c r="H1852" i="6"/>
  <c r="H1851" i="6"/>
  <c r="H1850" i="6"/>
  <c r="H1849" i="6"/>
  <c r="H1848" i="6"/>
  <c r="H1847" i="6"/>
  <c r="H1846" i="6"/>
  <c r="H1845" i="6"/>
  <c r="H1844" i="6"/>
  <c r="H1843" i="6"/>
  <c r="H1842" i="6"/>
  <c r="H1841" i="6"/>
  <c r="H1840" i="6"/>
  <c r="H1839" i="6"/>
  <c r="H1838" i="6"/>
  <c r="H1837" i="6"/>
  <c r="H1836" i="6"/>
  <c r="H1835" i="6"/>
  <c r="H1834" i="6"/>
  <c r="H1833" i="6"/>
  <c r="H1832" i="6"/>
  <c r="H1831" i="6"/>
  <c r="H1830" i="6"/>
  <c r="H1829" i="6"/>
  <c r="H1828" i="6"/>
  <c r="H1827" i="6"/>
  <c r="H1826" i="6"/>
  <c r="H1825" i="6"/>
  <c r="H1824" i="6"/>
  <c r="H1823" i="6"/>
  <c r="H1822" i="6"/>
  <c r="H1821" i="6"/>
  <c r="H1820" i="6"/>
  <c r="H1819" i="6"/>
  <c r="H1818" i="6"/>
  <c r="H1817" i="6"/>
  <c r="H1816" i="6"/>
  <c r="H1815" i="6"/>
  <c r="H1814" i="6"/>
  <c r="H1813" i="6"/>
  <c r="H1812" i="6"/>
  <c r="H1811" i="6"/>
  <c r="H1810" i="6"/>
  <c r="H1809" i="6"/>
  <c r="H1808" i="6"/>
  <c r="H1807" i="6"/>
  <c r="H1806" i="6"/>
  <c r="H1805" i="6"/>
  <c r="H1804" i="6"/>
  <c r="H1803" i="6"/>
  <c r="H1802" i="6"/>
  <c r="H1801" i="6"/>
  <c r="H1800" i="6"/>
  <c r="H1799" i="6"/>
  <c r="H1798" i="6"/>
  <c r="H1797" i="6"/>
  <c r="H1796" i="6"/>
  <c r="H1795" i="6"/>
  <c r="H1794" i="6"/>
  <c r="H1793" i="6"/>
  <c r="H1792" i="6"/>
  <c r="H1791" i="6"/>
  <c r="H1790" i="6"/>
  <c r="H1789" i="6"/>
  <c r="H1788" i="6"/>
  <c r="H1787" i="6"/>
  <c r="H1786" i="6"/>
  <c r="H1785" i="6"/>
  <c r="H1784" i="6"/>
  <c r="H1783" i="6"/>
  <c r="H1782" i="6"/>
  <c r="H1781" i="6"/>
  <c r="H1780" i="6"/>
  <c r="H1779" i="6"/>
  <c r="H1778" i="6"/>
  <c r="H1777" i="6"/>
  <c r="H1776" i="6"/>
  <c r="H1775" i="6"/>
  <c r="H1774" i="6"/>
  <c r="H1773" i="6"/>
  <c r="H1772" i="6"/>
  <c r="H1771" i="6"/>
  <c r="H1770" i="6"/>
  <c r="H1769" i="6"/>
  <c r="H1768" i="6"/>
  <c r="H1767" i="6"/>
  <c r="H1766" i="6"/>
  <c r="H1765" i="6"/>
  <c r="H1764" i="6"/>
  <c r="H1763" i="6"/>
  <c r="H1762" i="6"/>
  <c r="H1761" i="6"/>
  <c r="H1760" i="6"/>
  <c r="H1759" i="6"/>
  <c r="H1758" i="6"/>
  <c r="H1757" i="6"/>
  <c r="H1756" i="6"/>
  <c r="H1755" i="6"/>
  <c r="H1754" i="6"/>
  <c r="H1753" i="6"/>
  <c r="H1752" i="6"/>
  <c r="H1751" i="6"/>
  <c r="H1750" i="6"/>
  <c r="H1749" i="6"/>
  <c r="H1748" i="6"/>
  <c r="H1747" i="6"/>
  <c r="H1746" i="6"/>
  <c r="H1745" i="6"/>
  <c r="H1744" i="6"/>
  <c r="H1743" i="6"/>
  <c r="H1742" i="6"/>
  <c r="H1741" i="6"/>
  <c r="H1740" i="6"/>
  <c r="H1739" i="6"/>
  <c r="H1738" i="6"/>
  <c r="H1737" i="6"/>
  <c r="H1736" i="6"/>
  <c r="H1735" i="6"/>
  <c r="H1734" i="6"/>
  <c r="H1733" i="6"/>
  <c r="H1732" i="6"/>
  <c r="H1731" i="6"/>
  <c r="H1730" i="6"/>
  <c r="G1730" i="6"/>
  <c r="H1729" i="6"/>
  <c r="H1728" i="6"/>
  <c r="H1727" i="6"/>
  <c r="H1726" i="6"/>
  <c r="H1725" i="6"/>
  <c r="H1724" i="6"/>
  <c r="H1723" i="6"/>
  <c r="G1722" i="6"/>
  <c r="H1722" i="6" s="1"/>
  <c r="H1721" i="6"/>
  <c r="H1720" i="6"/>
  <c r="H1719" i="6"/>
  <c r="H1718" i="6"/>
  <c r="H1717" i="6"/>
  <c r="H1716" i="6"/>
  <c r="H1715" i="6"/>
  <c r="H1714" i="6"/>
  <c r="H1713" i="6"/>
  <c r="H1712" i="6"/>
  <c r="H1711" i="6"/>
  <c r="H1710" i="6"/>
  <c r="H1709" i="6"/>
  <c r="H1708" i="6"/>
  <c r="H1707" i="6"/>
  <c r="H1706" i="6"/>
  <c r="H1705" i="6"/>
  <c r="H1704" i="6"/>
  <c r="H1703" i="6"/>
  <c r="H1702" i="6"/>
  <c r="H1701" i="6"/>
  <c r="H1700" i="6"/>
  <c r="H1699" i="6"/>
  <c r="H1698" i="6"/>
  <c r="H1697" i="6"/>
  <c r="H1696" i="6"/>
  <c r="H1695" i="6"/>
  <c r="H1694" i="6"/>
  <c r="H1693" i="6"/>
  <c r="H1692" i="6"/>
  <c r="H1691" i="6"/>
  <c r="H1690" i="6"/>
  <c r="H1689" i="6"/>
  <c r="H1688" i="6"/>
  <c r="H1687" i="6"/>
  <c r="H1686" i="6"/>
  <c r="H1685" i="6"/>
  <c r="H1684" i="6"/>
  <c r="H1683" i="6"/>
  <c r="H1682" i="6"/>
  <c r="H1681" i="6"/>
  <c r="H1680" i="6"/>
  <c r="H1679" i="6"/>
  <c r="H1678" i="6"/>
  <c r="H1677" i="6"/>
  <c r="H1676" i="6"/>
  <c r="H1675" i="6"/>
  <c r="H1674" i="6"/>
  <c r="H1673" i="6"/>
  <c r="G1673" i="6"/>
  <c r="H1672" i="6"/>
  <c r="H1671" i="6"/>
  <c r="H1670" i="6"/>
  <c r="H1669" i="6"/>
  <c r="H1668" i="6"/>
  <c r="H1667" i="6"/>
  <c r="H1666" i="6"/>
  <c r="H1665" i="6"/>
  <c r="H1664" i="6"/>
  <c r="G1663" i="6"/>
  <c r="H1663" i="6" s="1"/>
  <c r="H1662" i="6"/>
  <c r="H1661" i="6"/>
  <c r="G1660" i="6"/>
  <c r="H1660" i="6" s="1"/>
  <c r="H1659" i="6"/>
  <c r="H1658" i="6"/>
  <c r="H1657" i="6"/>
  <c r="H1656" i="6"/>
  <c r="G1656" i="6"/>
  <c r="H1655" i="6"/>
  <c r="H1654" i="6"/>
  <c r="H1653" i="6"/>
  <c r="H1652" i="6"/>
  <c r="H1651" i="6"/>
  <c r="H1650" i="6"/>
  <c r="H1649" i="6"/>
  <c r="H1648" i="6"/>
  <c r="H1647" i="6"/>
  <c r="H1646" i="6"/>
  <c r="H1645" i="6"/>
  <c r="H1644" i="6"/>
  <c r="H1643" i="6"/>
  <c r="H1642" i="6"/>
  <c r="H1641" i="6"/>
  <c r="H1640" i="6"/>
  <c r="H1639" i="6"/>
  <c r="H1638" i="6"/>
  <c r="H1637" i="6"/>
  <c r="H1636" i="6"/>
  <c r="H1635" i="6"/>
  <c r="H1634" i="6"/>
  <c r="H1633" i="6"/>
  <c r="H1632" i="6"/>
  <c r="H1631" i="6"/>
  <c r="H1630" i="6"/>
  <c r="H1629" i="6"/>
  <c r="H1628" i="6"/>
  <c r="H1627" i="6"/>
  <c r="H1626" i="6"/>
  <c r="H1625" i="6"/>
  <c r="H1624" i="6"/>
  <c r="H1623" i="6"/>
  <c r="H1622" i="6"/>
  <c r="H1621" i="6"/>
  <c r="H1620" i="6"/>
  <c r="H1619" i="6"/>
  <c r="H1618" i="6"/>
  <c r="H1617" i="6"/>
  <c r="H1616" i="6"/>
  <c r="H1615" i="6"/>
  <c r="H1614" i="6"/>
  <c r="H1613" i="6"/>
  <c r="H1612" i="6"/>
  <c r="H1611" i="6"/>
  <c r="H1610" i="6"/>
  <c r="H1609" i="6"/>
  <c r="H1608" i="6"/>
  <c r="H1607" i="6"/>
  <c r="H1606" i="6"/>
  <c r="H1605" i="6"/>
  <c r="H1604" i="6"/>
  <c r="H1603" i="6"/>
  <c r="H1602" i="6"/>
  <c r="H1601" i="6"/>
  <c r="H1600" i="6"/>
  <c r="H1599" i="6"/>
  <c r="H1598" i="6"/>
  <c r="H1597" i="6"/>
  <c r="H1596" i="6"/>
  <c r="H1595" i="6"/>
  <c r="H1594" i="6"/>
  <c r="H1593" i="6"/>
  <c r="H1592" i="6"/>
  <c r="H1591" i="6"/>
  <c r="H1590" i="6"/>
  <c r="H1589" i="6"/>
  <c r="H1588" i="6"/>
  <c r="H1587" i="6"/>
  <c r="H1586" i="6"/>
  <c r="H1585" i="6"/>
  <c r="H1584" i="6"/>
  <c r="H1583" i="6"/>
  <c r="H1582" i="6"/>
  <c r="H1581" i="6"/>
  <c r="H1580" i="6"/>
  <c r="H1579" i="6"/>
  <c r="H1578" i="6"/>
  <c r="H1577" i="6"/>
  <c r="H1576" i="6"/>
  <c r="H1575" i="6"/>
  <c r="H1574" i="6"/>
  <c r="H1573" i="6"/>
  <c r="H1572" i="6"/>
  <c r="H1571" i="6"/>
  <c r="H1570" i="6"/>
  <c r="H1569" i="6"/>
  <c r="H1568" i="6"/>
  <c r="H1567" i="6"/>
  <c r="H1566" i="6"/>
  <c r="H1565" i="6"/>
  <c r="H1564" i="6"/>
  <c r="H1563" i="6"/>
  <c r="H1562" i="6"/>
  <c r="H1561" i="6"/>
  <c r="H1560" i="6"/>
  <c r="H1559" i="6"/>
  <c r="H1558" i="6"/>
  <c r="H1557" i="6"/>
  <c r="H1556" i="6"/>
  <c r="H1555" i="6"/>
  <c r="H1554" i="6"/>
  <c r="H1553" i="6"/>
  <c r="H1552" i="6"/>
  <c r="H1551" i="6"/>
  <c r="H1550" i="6"/>
  <c r="H1549" i="6"/>
  <c r="H1548" i="6"/>
  <c r="H1547" i="6"/>
  <c r="H1546" i="6"/>
  <c r="H1545" i="6"/>
  <c r="H1544" i="6"/>
  <c r="H1543" i="6"/>
  <c r="H1542" i="6"/>
  <c r="H1541" i="6"/>
  <c r="H1540" i="6"/>
  <c r="H1539" i="6"/>
  <c r="H1538" i="6"/>
  <c r="H1537" i="6"/>
  <c r="H1536" i="6"/>
  <c r="H1535" i="6"/>
  <c r="H1534" i="6"/>
  <c r="H1533" i="6"/>
  <c r="H1532" i="6"/>
  <c r="H1531" i="6"/>
  <c r="H1530" i="6"/>
  <c r="H1529" i="6"/>
  <c r="H1528" i="6"/>
  <c r="H1527" i="6"/>
  <c r="H1526" i="6"/>
  <c r="H1525" i="6"/>
  <c r="H1524" i="6"/>
  <c r="H1523" i="6"/>
  <c r="H1522" i="6"/>
  <c r="H1521" i="6"/>
  <c r="H1520" i="6"/>
  <c r="H1519" i="6"/>
  <c r="H1518" i="6"/>
  <c r="H1517" i="6"/>
  <c r="H1516" i="6"/>
  <c r="H1515" i="6"/>
  <c r="H1514" i="6"/>
  <c r="H1513" i="6"/>
  <c r="H1512" i="6"/>
  <c r="H1511" i="6"/>
  <c r="H1510" i="6"/>
  <c r="H1509" i="6"/>
  <c r="H1508" i="6"/>
  <c r="H1507" i="6"/>
  <c r="H1506" i="6"/>
  <c r="H1505" i="6"/>
  <c r="H1504" i="6"/>
  <c r="H1503" i="6"/>
  <c r="H1502" i="6"/>
  <c r="H1501" i="6"/>
  <c r="H1500" i="6"/>
  <c r="H1499" i="6"/>
  <c r="H1498" i="6"/>
  <c r="H1497" i="6"/>
  <c r="H1496" i="6"/>
  <c r="H1495" i="6"/>
  <c r="H1494" i="6"/>
  <c r="H1493" i="6"/>
  <c r="H1492" i="6"/>
  <c r="H1491" i="6"/>
  <c r="H1490" i="6"/>
  <c r="G1490" i="6"/>
  <c r="H1489" i="6"/>
  <c r="H1488" i="6"/>
  <c r="H1487" i="6"/>
  <c r="G1486" i="6"/>
  <c r="H1486" i="6" s="1"/>
  <c r="H1485" i="6"/>
  <c r="H1484" i="6"/>
  <c r="H1483" i="6"/>
  <c r="H1482" i="6"/>
  <c r="H1481" i="6"/>
  <c r="H1480" i="6"/>
  <c r="H1479" i="6"/>
  <c r="H1478" i="6"/>
  <c r="H1477" i="6"/>
  <c r="H1476" i="6"/>
  <c r="H1475" i="6"/>
  <c r="H1474" i="6"/>
  <c r="H1473" i="6"/>
  <c r="H1472" i="6"/>
  <c r="H1471" i="6"/>
  <c r="H1470" i="6"/>
  <c r="H1469" i="6"/>
  <c r="H1468" i="6"/>
  <c r="H1467" i="6"/>
  <c r="H1466" i="6"/>
  <c r="H1465" i="6"/>
  <c r="H1464" i="6"/>
  <c r="H1463" i="6"/>
  <c r="H1462" i="6"/>
  <c r="H1461" i="6"/>
  <c r="H1460" i="6"/>
  <c r="H1459" i="6"/>
  <c r="H1458" i="6"/>
  <c r="H1457" i="6"/>
  <c r="H1456" i="6"/>
  <c r="H1455" i="6"/>
  <c r="H1454" i="6"/>
  <c r="H1453" i="6"/>
  <c r="H1452" i="6"/>
  <c r="H1451" i="6"/>
  <c r="H1450" i="6"/>
  <c r="H1449" i="6"/>
  <c r="H1448" i="6"/>
  <c r="H1447" i="6"/>
  <c r="H1446" i="6"/>
  <c r="H1445" i="6"/>
  <c r="H1444" i="6"/>
  <c r="H1443" i="6"/>
  <c r="H1442" i="6"/>
  <c r="H1441" i="6"/>
  <c r="H1440" i="6"/>
  <c r="H1439" i="6"/>
  <c r="H1438" i="6"/>
  <c r="H1437" i="6"/>
  <c r="H1436" i="6"/>
  <c r="H1435" i="6"/>
  <c r="H1434" i="6"/>
  <c r="H1433" i="6"/>
  <c r="H1432" i="6"/>
  <c r="H1431" i="6"/>
  <c r="H1430" i="6"/>
  <c r="H1429" i="6"/>
  <c r="H1428" i="6"/>
  <c r="H1427" i="6"/>
  <c r="H1426" i="6"/>
  <c r="H1425" i="6"/>
  <c r="H1424" i="6"/>
  <c r="H1423" i="6"/>
  <c r="H1422" i="6"/>
  <c r="H1421" i="6"/>
  <c r="H1420" i="6"/>
  <c r="H1419" i="6"/>
  <c r="H1418" i="6"/>
  <c r="H1417" i="6"/>
  <c r="H1416" i="6"/>
  <c r="H1415" i="6"/>
  <c r="H1414" i="6"/>
  <c r="H1413" i="6"/>
  <c r="H1412" i="6"/>
  <c r="H1411" i="6"/>
  <c r="H1410" i="6"/>
  <c r="H1409" i="6"/>
  <c r="H1408" i="6"/>
  <c r="H1407" i="6"/>
  <c r="H1406" i="6"/>
  <c r="H1405" i="6"/>
  <c r="H1404" i="6"/>
  <c r="H1403" i="6"/>
  <c r="H1402" i="6"/>
  <c r="H1401" i="6"/>
  <c r="H1400" i="6"/>
  <c r="H1399" i="6"/>
  <c r="H1398" i="6"/>
  <c r="H1397" i="6"/>
  <c r="H1396" i="6"/>
  <c r="H1395" i="6"/>
  <c r="H1394" i="6"/>
  <c r="H1393" i="6"/>
  <c r="H1392" i="6"/>
  <c r="H1391" i="6"/>
  <c r="H1390" i="6"/>
  <c r="H1389" i="6"/>
  <c r="G1389" i="6"/>
  <c r="H1388" i="6"/>
  <c r="H1387" i="6"/>
  <c r="H1386" i="6"/>
  <c r="H1385" i="6"/>
  <c r="H1384" i="6"/>
  <c r="H1383" i="6"/>
  <c r="H1382" i="6"/>
  <c r="H1381" i="6"/>
  <c r="H1380" i="6"/>
  <c r="H1379" i="6"/>
  <c r="H1378" i="6"/>
  <c r="H1377" i="6"/>
  <c r="H1376" i="6"/>
  <c r="G1375" i="6"/>
  <c r="H1375" i="6" s="1"/>
  <c r="H1374" i="6"/>
  <c r="H1373" i="6"/>
  <c r="H1372" i="6"/>
  <c r="H1371" i="6"/>
  <c r="G1370" i="6"/>
  <c r="H1370" i="6" s="1"/>
  <c r="H1369" i="6"/>
  <c r="H1368" i="6"/>
  <c r="H1367" i="6"/>
  <c r="H1366" i="6"/>
  <c r="H1365" i="6"/>
  <c r="H1364" i="6"/>
  <c r="H1363" i="6"/>
  <c r="H1362" i="6"/>
  <c r="H1361" i="6"/>
  <c r="H1360" i="6"/>
  <c r="H1359" i="6"/>
  <c r="H1358" i="6"/>
  <c r="H1357" i="6"/>
  <c r="H1356" i="6"/>
  <c r="H1355" i="6"/>
  <c r="H1354" i="6"/>
  <c r="H1353" i="6"/>
  <c r="H1352" i="6"/>
  <c r="H1351" i="6"/>
  <c r="H1350" i="6"/>
  <c r="H1349" i="6"/>
  <c r="H1348" i="6"/>
  <c r="H1347" i="6"/>
  <c r="H1346" i="6"/>
  <c r="H1345" i="6"/>
  <c r="H1344" i="6"/>
  <c r="H1343" i="6"/>
  <c r="H1342" i="6"/>
  <c r="H1341" i="6"/>
  <c r="H1340" i="6"/>
  <c r="H1339" i="6"/>
  <c r="H1338" i="6"/>
  <c r="H1337" i="6"/>
  <c r="H1336" i="6"/>
  <c r="H1335" i="6"/>
  <c r="H1334" i="6"/>
  <c r="H1333" i="6"/>
  <c r="H1332" i="6"/>
  <c r="H1331" i="6"/>
  <c r="H1330" i="6"/>
  <c r="H1329" i="6"/>
  <c r="H1328" i="6"/>
  <c r="H1327" i="6"/>
  <c r="H1326" i="6"/>
  <c r="H1325" i="6"/>
  <c r="H1324" i="6"/>
  <c r="H1323" i="6"/>
  <c r="H1322" i="6"/>
  <c r="H1321" i="6"/>
  <c r="H1320" i="6"/>
  <c r="H1319" i="6"/>
  <c r="H1318" i="6"/>
  <c r="H1317" i="6"/>
  <c r="H1316" i="6"/>
  <c r="H1315" i="6"/>
  <c r="H1314" i="6"/>
  <c r="H1313" i="6"/>
  <c r="H1312" i="6"/>
  <c r="H1311" i="6"/>
  <c r="H1310" i="6"/>
  <c r="H1309" i="6"/>
  <c r="H1308" i="6"/>
  <c r="H1307" i="6"/>
  <c r="H1306" i="6"/>
  <c r="H1305" i="6"/>
  <c r="H1304" i="6"/>
  <c r="H1303" i="6"/>
  <c r="H1302" i="6"/>
  <c r="H1301" i="6"/>
  <c r="H1300" i="6"/>
  <c r="H1299" i="6"/>
  <c r="H1298" i="6"/>
  <c r="H1297" i="6"/>
  <c r="H1296" i="6"/>
  <c r="H1295" i="6"/>
  <c r="H1294" i="6"/>
  <c r="H1293" i="6"/>
  <c r="H1292" i="6"/>
  <c r="H1291" i="6"/>
  <c r="H1290" i="6"/>
  <c r="H1289" i="6"/>
  <c r="H1288" i="6"/>
  <c r="H1287" i="6"/>
  <c r="H1286" i="6"/>
  <c r="H1285" i="6"/>
  <c r="H1284" i="6"/>
  <c r="H1283" i="6"/>
  <c r="H1282" i="6"/>
  <c r="H1281" i="6"/>
  <c r="H1280" i="6"/>
  <c r="H1279" i="6"/>
  <c r="G1278" i="6"/>
  <c r="H1278" i="6" s="1"/>
  <c r="H1277" i="6"/>
  <c r="H1276" i="6"/>
  <c r="H1275" i="6"/>
  <c r="H1274" i="6"/>
  <c r="H1273" i="6"/>
  <c r="H1272" i="6"/>
  <c r="H1271" i="6"/>
  <c r="H1270" i="6"/>
  <c r="H1269" i="6"/>
  <c r="H1268" i="6"/>
  <c r="H1267" i="6"/>
  <c r="G1266" i="6"/>
  <c r="H1266" i="6" s="1"/>
  <c r="H1265" i="6"/>
  <c r="G1264" i="6"/>
  <c r="H1264" i="6" s="1"/>
  <c r="H1263" i="6"/>
  <c r="H1262" i="6"/>
  <c r="H1261" i="6"/>
  <c r="H1260" i="6"/>
  <c r="H1259" i="6"/>
  <c r="G1259" i="6"/>
  <c r="H1258" i="6"/>
  <c r="H1257" i="6"/>
  <c r="H1256" i="6"/>
  <c r="H1255" i="6"/>
  <c r="H1254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H1238" i="6"/>
  <c r="H1237" i="6"/>
  <c r="H1236" i="6"/>
  <c r="H1235" i="6"/>
  <c r="G1235" i="6"/>
  <c r="H1234" i="6"/>
  <c r="H1233" i="6"/>
  <c r="H1232" i="6"/>
  <c r="H1231" i="6"/>
  <c r="H1230" i="6"/>
  <c r="H1229" i="6"/>
  <c r="H1228" i="6"/>
  <c r="H1227" i="6"/>
  <c r="H1226" i="6"/>
  <c r="H1225" i="6"/>
  <c r="H1224" i="6"/>
  <c r="H1223" i="6"/>
  <c r="H1222" i="6"/>
  <c r="H1221" i="6"/>
  <c r="H1220" i="6"/>
  <c r="H1219" i="6"/>
  <c r="H1218" i="6"/>
  <c r="H1217" i="6"/>
  <c r="H1216" i="6"/>
  <c r="H1215" i="6"/>
  <c r="H1214" i="6"/>
  <c r="H1213" i="6"/>
  <c r="H1212" i="6"/>
  <c r="H1211" i="6"/>
  <c r="H1210" i="6"/>
  <c r="H1209" i="6"/>
  <c r="H1208" i="6"/>
  <c r="H1207" i="6"/>
  <c r="H1206" i="6"/>
  <c r="H1205" i="6"/>
  <c r="H1204" i="6"/>
  <c r="H1203" i="6"/>
  <c r="H1202" i="6"/>
  <c r="H1201" i="6"/>
  <c r="H1200" i="6"/>
  <c r="H1199" i="6"/>
  <c r="H1198" i="6"/>
  <c r="H1197" i="6"/>
  <c r="H1196" i="6"/>
  <c r="H1195" i="6"/>
  <c r="H1194" i="6"/>
  <c r="H1193" i="6"/>
  <c r="H1192" i="6"/>
  <c r="H1191" i="6"/>
  <c r="H1190" i="6"/>
  <c r="H1189" i="6"/>
  <c r="H1188" i="6"/>
  <c r="H1187" i="6"/>
  <c r="H1186" i="6"/>
  <c r="H1185" i="6"/>
  <c r="H1184" i="6"/>
  <c r="H1183" i="6"/>
  <c r="H1182" i="6"/>
  <c r="H1181" i="6"/>
  <c r="H1180" i="6"/>
  <c r="H1179" i="6"/>
  <c r="H1178" i="6"/>
  <c r="H1177" i="6"/>
  <c r="H1176" i="6"/>
  <c r="H1175" i="6"/>
  <c r="H1174" i="6"/>
  <c r="H1173" i="6"/>
  <c r="H1172" i="6"/>
  <c r="H1171" i="6"/>
  <c r="H1170" i="6"/>
  <c r="H1169" i="6"/>
  <c r="H1168" i="6"/>
  <c r="H1167" i="6"/>
  <c r="H1166" i="6"/>
  <c r="H1165" i="6"/>
  <c r="H1164" i="6"/>
  <c r="H1163" i="6"/>
  <c r="H1162" i="6"/>
  <c r="H1161" i="6"/>
  <c r="H1160" i="6"/>
  <c r="G1160" i="6"/>
  <c r="H1159" i="6"/>
  <c r="H1158" i="6"/>
  <c r="H1157" i="6"/>
  <c r="H1156" i="6"/>
  <c r="H1155" i="6"/>
  <c r="H1154" i="6"/>
  <c r="H1153" i="6"/>
  <c r="H1152" i="6"/>
  <c r="H1151" i="6"/>
  <c r="H1150" i="6"/>
  <c r="H1149" i="6"/>
  <c r="H1148" i="6"/>
  <c r="H1147" i="6"/>
  <c r="H1146" i="6"/>
  <c r="H1145" i="6"/>
  <c r="H1144" i="6"/>
  <c r="H1143" i="6"/>
  <c r="H1142" i="6"/>
  <c r="H1141" i="6"/>
  <c r="H1140" i="6"/>
  <c r="H1139" i="6"/>
  <c r="H1138" i="6"/>
  <c r="H1137" i="6"/>
  <c r="H1136" i="6"/>
  <c r="H1135" i="6"/>
  <c r="H1134" i="6"/>
  <c r="H1133" i="6"/>
  <c r="H1132" i="6"/>
  <c r="H1131" i="6"/>
  <c r="H1130" i="6"/>
  <c r="H1129" i="6"/>
  <c r="H1128" i="6"/>
  <c r="H1127" i="6"/>
  <c r="H1126" i="6"/>
  <c r="H1125" i="6"/>
  <c r="H1124" i="6"/>
  <c r="H1123" i="6"/>
  <c r="H1122" i="6"/>
  <c r="H1121" i="6"/>
  <c r="H1120" i="6"/>
  <c r="H1119" i="6"/>
  <c r="H1118" i="6"/>
  <c r="H1117" i="6"/>
  <c r="G1117" i="6"/>
  <c r="H1116" i="6"/>
  <c r="H1115" i="6"/>
  <c r="H1114" i="6"/>
  <c r="H1113" i="6"/>
  <c r="H1112" i="6"/>
  <c r="H1111" i="6"/>
  <c r="G1111" i="6"/>
  <c r="H1110" i="6"/>
  <c r="G1109" i="6"/>
  <c r="H1109" i="6" s="1"/>
  <c r="H1108" i="6"/>
  <c r="H1107" i="6"/>
  <c r="H1106" i="6"/>
  <c r="H1105" i="6"/>
  <c r="H1104" i="6"/>
  <c r="H1103" i="6"/>
  <c r="H1102" i="6"/>
  <c r="H1101" i="6"/>
  <c r="H1100" i="6"/>
  <c r="G1099" i="6"/>
  <c r="H1099" i="6" s="1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G1083" i="6"/>
  <c r="H1083" i="6" s="1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G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G974" i="6"/>
  <c r="H974" i="6" s="1"/>
  <c r="G973" i="6"/>
  <c r="H973" i="6" s="1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G957" i="6"/>
  <c r="H957" i="6" s="1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G935" i="6"/>
  <c r="H935" i="6" s="1"/>
  <c r="H934" i="6"/>
  <c r="H933" i="6"/>
  <c r="H932" i="6"/>
  <c r="H931" i="6"/>
  <c r="H930" i="6"/>
  <c r="G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G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G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G735" i="6"/>
  <c r="H735" i="6" s="1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G567" i="6"/>
  <c r="H567" i="6" s="1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G544" i="6"/>
  <c r="H544" i="6" s="1"/>
  <c r="H543" i="6"/>
  <c r="H542" i="6"/>
  <c r="H541" i="6"/>
  <c r="H540" i="6"/>
  <c r="H539" i="6"/>
  <c r="G538" i="6"/>
  <c r="H538" i="6" s="1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G442" i="6"/>
  <c r="H442" i="6" s="1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G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G342" i="6"/>
  <c r="H341" i="6"/>
  <c r="H340" i="6"/>
  <c r="H339" i="6"/>
  <c r="H338" i="6"/>
  <c r="G337" i="6"/>
  <c r="H337" i="6" s="1"/>
  <c r="H336" i="6"/>
  <c r="G335" i="6"/>
  <c r="H335" i="6" s="1"/>
  <c r="H334" i="6"/>
  <c r="H333" i="6"/>
  <c r="H332" i="6"/>
  <c r="G331" i="6"/>
  <c r="H331" i="6" s="1"/>
  <c r="H330" i="6"/>
  <c r="G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G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G207" i="6"/>
  <c r="H207" i="6" s="1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G175" i="6"/>
  <c r="H175" i="6" s="1"/>
  <c r="H174" i="6"/>
  <c r="G173" i="6"/>
  <c r="H173" i="6" s="1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G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G142" i="6"/>
  <c r="H142" i="6" s="1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G121" i="6"/>
  <c r="H120" i="6"/>
  <c r="H119" i="6"/>
  <c r="H118" i="6"/>
  <c r="G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G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G6" i="6"/>
  <c r="G4055" i="6" s="1"/>
  <c r="H5" i="6"/>
  <c r="H4" i="6"/>
  <c r="H3" i="6"/>
  <c r="H2" i="6"/>
  <c r="H6" i="6" l="1"/>
  <c r="H4055" i="6" s="1"/>
  <c r="G3224" i="3"/>
  <c r="H3662" i="5" l="1"/>
  <c r="G3662" i="5"/>
  <c r="H3064" i="5"/>
  <c r="G3064" i="5"/>
  <c r="H3604" i="5" l="1"/>
  <c r="G3604" i="5"/>
  <c r="G913" i="3"/>
  <c r="H3335" i="5" l="1"/>
  <c r="H3336" i="5"/>
  <c r="G3335" i="5"/>
  <c r="G3562" i="5" l="1"/>
  <c r="H3283" i="5"/>
  <c r="G3283" i="5"/>
  <c r="H3721" i="5" l="1"/>
  <c r="G3721" i="5"/>
  <c r="G2940" i="5" l="1"/>
  <c r="H1207" i="5" l="1"/>
  <c r="G1207" i="5"/>
  <c r="I2" i="4" l="1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G3622" i="4"/>
  <c r="I3622" i="4"/>
  <c r="H3628" i="4" l="1"/>
  <c r="H3672" i="5"/>
  <c r="G3672" i="5"/>
  <c r="H3286" i="5"/>
  <c r="G3286" i="5"/>
  <c r="H2538" i="5"/>
  <c r="G2538" i="5"/>
  <c r="H4032" i="5" l="1"/>
  <c r="G4032" i="5"/>
  <c r="H3962" i="5" l="1"/>
  <c r="G3962" i="5"/>
  <c r="H3958" i="5"/>
  <c r="G3958" i="5"/>
  <c r="H3822" i="5" l="1"/>
  <c r="H3823" i="5"/>
  <c r="G3823" i="5"/>
  <c r="H3695" i="5"/>
  <c r="G3695" i="5"/>
  <c r="H3455" i="5"/>
  <c r="G3455" i="5"/>
  <c r="H3185" i="5"/>
  <c r="G3185" i="5"/>
  <c r="H2480" i="5"/>
  <c r="G2480" i="5"/>
  <c r="H1174" i="5"/>
  <c r="G1174" i="5"/>
  <c r="H4022" i="5" l="1"/>
  <c r="H4023" i="5"/>
  <c r="G4022" i="5"/>
  <c r="H3575" i="5"/>
  <c r="G3575" i="5"/>
  <c r="H3474" i="5"/>
  <c r="G3474" i="5"/>
  <c r="H3458" i="5"/>
  <c r="G3458" i="5"/>
  <c r="H3369" i="5"/>
  <c r="G3369" i="5"/>
  <c r="H2110" i="5"/>
  <c r="G2110" i="5"/>
  <c r="H4056" i="5" l="1"/>
  <c r="H4055" i="5"/>
  <c r="H4054" i="5"/>
  <c r="H4053" i="5"/>
  <c r="H4052" i="5"/>
  <c r="H4051" i="5"/>
  <c r="H4050" i="5"/>
  <c r="H4049" i="5"/>
  <c r="H4048" i="5"/>
  <c r="H4047" i="5"/>
  <c r="H4046" i="5"/>
  <c r="H4045" i="5"/>
  <c r="H4044" i="5"/>
  <c r="H4043" i="5"/>
  <c r="H4042" i="5"/>
  <c r="H4041" i="5"/>
  <c r="H4040" i="5"/>
  <c r="H4039" i="5"/>
  <c r="H4038" i="5"/>
  <c r="H4037" i="5"/>
  <c r="H4036" i="5"/>
  <c r="H4035" i="5"/>
  <c r="H4034" i="5"/>
  <c r="H4033" i="5"/>
  <c r="H4031" i="5"/>
  <c r="H4030" i="5"/>
  <c r="H4029" i="5"/>
  <c r="H4028" i="5"/>
  <c r="H4027" i="5"/>
  <c r="H4026" i="5"/>
  <c r="H4025" i="5"/>
  <c r="H4024" i="5"/>
  <c r="H4021" i="5"/>
  <c r="H4020" i="5"/>
  <c r="H4019" i="5"/>
  <c r="H4018" i="5"/>
  <c r="H4017" i="5"/>
  <c r="H4016" i="5"/>
  <c r="H4015" i="5"/>
  <c r="H4014" i="5"/>
  <c r="H4013" i="5"/>
  <c r="H4012" i="5"/>
  <c r="H4011" i="5"/>
  <c r="H4010" i="5"/>
  <c r="H4009" i="5"/>
  <c r="H4008" i="5"/>
  <c r="H4007" i="5"/>
  <c r="H4006" i="5"/>
  <c r="H4005" i="5"/>
  <c r="H4004" i="5"/>
  <c r="H4003" i="5"/>
  <c r="H4002" i="5"/>
  <c r="H4001" i="5"/>
  <c r="H4000" i="5"/>
  <c r="H3999" i="5"/>
  <c r="H3998" i="5"/>
  <c r="H3997" i="5"/>
  <c r="H3996" i="5"/>
  <c r="H3995" i="5"/>
  <c r="H3994" i="5"/>
  <c r="H3993" i="5"/>
  <c r="H3992" i="5"/>
  <c r="H3991" i="5"/>
  <c r="H3990" i="5"/>
  <c r="H3989" i="5"/>
  <c r="H3988" i="5"/>
  <c r="H3987" i="5"/>
  <c r="H3986" i="5"/>
  <c r="H3985" i="5"/>
  <c r="H3984" i="5"/>
  <c r="H3983" i="5"/>
  <c r="H3982" i="5"/>
  <c r="H3981" i="5"/>
  <c r="H3980" i="5"/>
  <c r="H3979" i="5"/>
  <c r="H3978" i="5"/>
  <c r="H3977" i="5"/>
  <c r="H3976" i="5"/>
  <c r="H3975" i="5"/>
  <c r="H3974" i="5"/>
  <c r="H3973" i="5"/>
  <c r="H3972" i="5"/>
  <c r="H3971" i="5"/>
  <c r="H3970" i="5"/>
  <c r="H3969" i="5"/>
  <c r="H3968" i="5"/>
  <c r="H3967" i="5"/>
  <c r="H3966" i="5"/>
  <c r="H3965" i="5"/>
  <c r="H3964" i="5"/>
  <c r="H3963" i="5"/>
  <c r="H3961" i="5"/>
  <c r="H3960" i="5"/>
  <c r="H3959" i="5"/>
  <c r="H3957" i="5"/>
  <c r="H3956" i="5"/>
  <c r="H3955" i="5"/>
  <c r="H3954" i="5"/>
  <c r="H3953" i="5"/>
  <c r="H3952" i="5"/>
  <c r="H3951" i="5"/>
  <c r="H3950" i="5"/>
  <c r="H3949" i="5"/>
  <c r="H3948" i="5"/>
  <c r="H3947" i="5"/>
  <c r="H3946" i="5"/>
  <c r="H3945" i="5"/>
  <c r="H3944" i="5"/>
  <c r="H3943" i="5"/>
  <c r="H3942" i="5"/>
  <c r="H3941" i="5"/>
  <c r="H3940" i="5"/>
  <c r="H3939" i="5"/>
  <c r="H3938" i="5"/>
  <c r="H3937" i="5"/>
  <c r="H3936" i="5"/>
  <c r="H3935" i="5"/>
  <c r="H3934" i="5"/>
  <c r="H3933" i="5"/>
  <c r="H3932" i="5"/>
  <c r="H3931" i="5"/>
  <c r="H3930" i="5"/>
  <c r="H3929" i="5"/>
  <c r="H3928" i="5"/>
  <c r="H3927" i="5"/>
  <c r="H3926" i="5"/>
  <c r="H3925" i="5"/>
  <c r="H3924" i="5"/>
  <c r="H3923" i="5"/>
  <c r="H3922" i="5"/>
  <c r="H3921" i="5"/>
  <c r="H3920" i="5"/>
  <c r="H3919" i="5"/>
  <c r="H3918" i="5"/>
  <c r="H3917" i="5"/>
  <c r="H3916" i="5"/>
  <c r="H3915" i="5"/>
  <c r="H3914" i="5"/>
  <c r="H3913" i="5"/>
  <c r="H3912" i="5"/>
  <c r="H3911" i="5"/>
  <c r="H3910" i="5"/>
  <c r="H3909" i="5"/>
  <c r="H3908" i="5"/>
  <c r="H3907" i="5"/>
  <c r="H3906" i="5"/>
  <c r="H3905" i="5"/>
  <c r="H3904" i="5"/>
  <c r="H3903" i="5"/>
  <c r="H3902" i="5"/>
  <c r="H3901" i="5"/>
  <c r="H3900" i="5"/>
  <c r="H3899" i="5"/>
  <c r="H3898" i="5"/>
  <c r="H3897" i="5"/>
  <c r="H3896" i="5"/>
  <c r="H3895" i="5"/>
  <c r="H3894" i="5"/>
  <c r="H3893" i="5"/>
  <c r="H3892" i="5"/>
  <c r="H3891" i="5"/>
  <c r="H3890" i="5"/>
  <c r="H3889" i="5"/>
  <c r="H3888" i="5"/>
  <c r="H3887" i="5"/>
  <c r="H3886" i="5"/>
  <c r="H3885" i="5"/>
  <c r="H3884" i="5"/>
  <c r="H3883" i="5"/>
  <c r="H3882" i="5"/>
  <c r="H3881" i="5"/>
  <c r="H3880" i="5"/>
  <c r="H3879" i="5"/>
  <c r="H3878" i="5"/>
  <c r="H3877" i="5"/>
  <c r="H3876" i="5"/>
  <c r="H3875" i="5"/>
  <c r="H3874" i="5"/>
  <c r="H3873" i="5"/>
  <c r="H3872" i="5"/>
  <c r="H3871" i="5"/>
  <c r="H3870" i="5"/>
  <c r="H3869" i="5"/>
  <c r="H3868" i="5"/>
  <c r="H3867" i="5"/>
  <c r="H3866" i="5"/>
  <c r="H3865" i="5"/>
  <c r="H3864" i="5"/>
  <c r="H3863" i="5"/>
  <c r="H3862" i="5"/>
  <c r="H3861" i="5"/>
  <c r="H3860" i="5"/>
  <c r="H3859" i="5"/>
  <c r="H3858" i="5"/>
  <c r="H3857" i="5"/>
  <c r="H3856" i="5"/>
  <c r="H3855" i="5"/>
  <c r="H3854" i="5"/>
  <c r="H3853" i="5"/>
  <c r="H3852" i="5"/>
  <c r="H3851" i="5"/>
  <c r="H3850" i="5"/>
  <c r="H3849" i="5"/>
  <c r="H3848" i="5"/>
  <c r="H3847" i="5"/>
  <c r="H3846" i="5"/>
  <c r="H3845" i="5"/>
  <c r="H3844" i="5"/>
  <c r="H3843" i="5"/>
  <c r="H3842" i="5"/>
  <c r="H3841" i="5"/>
  <c r="H3840" i="5"/>
  <c r="H3839" i="5"/>
  <c r="H3838" i="5"/>
  <c r="H3837" i="5"/>
  <c r="H3836" i="5"/>
  <c r="H3835" i="5"/>
  <c r="H3834" i="5"/>
  <c r="H3833" i="5"/>
  <c r="H3832" i="5"/>
  <c r="H3831" i="5"/>
  <c r="H3830" i="5"/>
  <c r="H3829" i="5"/>
  <c r="H3828" i="5"/>
  <c r="H3827" i="5"/>
  <c r="H3826" i="5"/>
  <c r="H3825" i="5"/>
  <c r="H3824" i="5"/>
  <c r="H3821" i="5"/>
  <c r="H3820" i="5"/>
  <c r="H3819" i="5"/>
  <c r="H3818" i="5"/>
  <c r="H3817" i="5"/>
  <c r="H3816" i="5"/>
  <c r="H3815" i="5"/>
  <c r="H3814" i="5"/>
  <c r="H3813" i="5"/>
  <c r="H3812" i="5"/>
  <c r="H3811" i="5"/>
  <c r="H3810" i="5"/>
  <c r="H3809" i="5"/>
  <c r="H3808" i="5"/>
  <c r="H3807" i="5"/>
  <c r="H3806" i="5"/>
  <c r="H3805" i="5"/>
  <c r="H3804" i="5"/>
  <c r="H3803" i="5"/>
  <c r="H3802" i="5"/>
  <c r="H3801" i="5"/>
  <c r="H3800" i="5"/>
  <c r="H3799" i="5"/>
  <c r="H3798" i="5"/>
  <c r="H3797" i="5"/>
  <c r="H3796" i="5"/>
  <c r="H3795" i="5"/>
  <c r="H3794" i="5"/>
  <c r="H3793" i="5"/>
  <c r="H3792" i="5"/>
  <c r="H3791" i="5"/>
  <c r="H3790" i="5"/>
  <c r="H3789" i="5"/>
  <c r="H3788" i="5"/>
  <c r="H3787" i="5"/>
  <c r="H3786" i="5"/>
  <c r="H3785" i="5"/>
  <c r="H3784" i="5"/>
  <c r="H3783" i="5"/>
  <c r="H3782" i="5"/>
  <c r="H3781" i="5"/>
  <c r="H3780" i="5"/>
  <c r="H3779" i="5"/>
  <c r="H3778" i="5"/>
  <c r="H3777" i="5"/>
  <c r="H3776" i="5"/>
  <c r="H3775" i="5"/>
  <c r="H3774" i="5"/>
  <c r="H3773" i="5"/>
  <c r="H3772" i="5"/>
  <c r="H3771" i="5"/>
  <c r="H3770" i="5"/>
  <c r="H3769" i="5"/>
  <c r="H3768" i="5"/>
  <c r="H3767" i="5"/>
  <c r="H3766" i="5"/>
  <c r="H3765" i="5"/>
  <c r="H3764" i="5"/>
  <c r="H3763" i="5"/>
  <c r="H3762" i="5"/>
  <c r="H3761" i="5"/>
  <c r="H3760" i="5"/>
  <c r="H3759" i="5"/>
  <c r="H3758" i="5"/>
  <c r="H3757" i="5"/>
  <c r="H3756" i="5"/>
  <c r="H3755" i="5"/>
  <c r="H3754" i="5"/>
  <c r="H3753" i="5"/>
  <c r="H3752" i="5"/>
  <c r="H3751" i="5"/>
  <c r="H3750" i="5"/>
  <c r="H3749" i="5"/>
  <c r="H3748" i="5"/>
  <c r="H3747" i="5"/>
  <c r="H3746" i="5"/>
  <c r="H3745" i="5"/>
  <c r="H3744" i="5"/>
  <c r="H3743" i="5"/>
  <c r="H3742" i="5"/>
  <c r="H3741" i="5"/>
  <c r="H3740" i="5"/>
  <c r="H3739" i="5"/>
  <c r="H3738" i="5"/>
  <c r="H3737" i="5"/>
  <c r="H3736" i="5"/>
  <c r="H3735" i="5"/>
  <c r="H3734" i="5"/>
  <c r="H3733" i="5"/>
  <c r="H3732" i="5"/>
  <c r="H3731" i="5"/>
  <c r="H3730" i="5"/>
  <c r="H3729" i="5"/>
  <c r="H3728" i="5"/>
  <c r="H3727" i="5"/>
  <c r="H3726" i="5"/>
  <c r="H3725" i="5"/>
  <c r="H3724" i="5"/>
  <c r="H3723" i="5"/>
  <c r="H3722" i="5"/>
  <c r="H3720" i="5"/>
  <c r="H3719" i="5"/>
  <c r="H3718" i="5"/>
  <c r="H3717" i="5"/>
  <c r="H3716" i="5"/>
  <c r="H3715" i="5"/>
  <c r="H3714" i="5"/>
  <c r="H3713" i="5"/>
  <c r="H3712" i="5"/>
  <c r="H3711" i="5"/>
  <c r="H3710" i="5"/>
  <c r="H3709" i="5"/>
  <c r="H3708" i="5"/>
  <c r="H3707" i="5"/>
  <c r="H3706" i="5"/>
  <c r="H3705" i="5"/>
  <c r="H3704" i="5"/>
  <c r="H3703" i="5"/>
  <c r="H3702" i="5"/>
  <c r="H3701" i="5"/>
  <c r="H3700" i="5"/>
  <c r="H3699" i="5"/>
  <c r="H3698" i="5"/>
  <c r="H3697" i="5"/>
  <c r="H3696" i="5"/>
  <c r="H3694" i="5"/>
  <c r="H3693" i="5"/>
  <c r="H3692" i="5"/>
  <c r="H3691" i="5"/>
  <c r="H3690" i="5"/>
  <c r="H3689" i="5"/>
  <c r="H3688" i="5"/>
  <c r="H3687" i="5"/>
  <c r="H3686" i="5"/>
  <c r="H3685" i="5"/>
  <c r="H3684" i="5"/>
  <c r="H3683" i="5"/>
  <c r="H3682" i="5"/>
  <c r="H3681" i="5"/>
  <c r="H3680" i="5"/>
  <c r="H3679" i="5"/>
  <c r="H3678" i="5"/>
  <c r="H3677" i="5"/>
  <c r="H3676" i="5"/>
  <c r="H3675" i="5"/>
  <c r="H3674" i="5"/>
  <c r="H3673" i="5"/>
  <c r="H3671" i="5"/>
  <c r="H3670" i="5"/>
  <c r="H3669" i="5"/>
  <c r="H3668" i="5"/>
  <c r="H3667" i="5"/>
  <c r="H3666" i="5"/>
  <c r="H3665" i="5"/>
  <c r="H3664" i="5"/>
  <c r="H3663" i="5"/>
  <c r="H3661" i="5"/>
  <c r="H3660" i="5"/>
  <c r="H3659" i="5"/>
  <c r="H3658" i="5"/>
  <c r="H3657" i="5"/>
  <c r="H3656" i="5"/>
  <c r="H3655" i="5"/>
  <c r="H3654" i="5"/>
  <c r="H3653" i="5"/>
  <c r="H3652" i="5"/>
  <c r="H3651" i="5"/>
  <c r="H3650" i="5"/>
  <c r="H3649" i="5"/>
  <c r="H3648" i="5"/>
  <c r="H3647" i="5"/>
  <c r="H3646" i="5"/>
  <c r="H3645" i="5"/>
  <c r="H3644" i="5"/>
  <c r="H3643" i="5"/>
  <c r="H3642" i="5"/>
  <c r="H3641" i="5"/>
  <c r="H3640" i="5"/>
  <c r="H3639" i="5"/>
  <c r="H3638" i="5"/>
  <c r="H3637" i="5"/>
  <c r="H3636" i="5"/>
  <c r="H3635" i="5"/>
  <c r="H3634" i="5"/>
  <c r="H3633" i="5"/>
  <c r="H3632" i="5"/>
  <c r="H3631" i="5"/>
  <c r="H3630" i="5"/>
  <c r="H3629" i="5"/>
  <c r="H3628" i="5"/>
  <c r="H3627" i="5"/>
  <c r="H3626" i="5"/>
  <c r="H3625" i="5"/>
  <c r="H3624" i="5"/>
  <c r="H3623" i="5"/>
  <c r="H3622" i="5"/>
  <c r="H3621" i="5"/>
  <c r="H3620" i="5"/>
  <c r="H3619" i="5"/>
  <c r="H3618" i="5"/>
  <c r="H3617" i="5"/>
  <c r="H3616" i="5"/>
  <c r="H3615" i="5"/>
  <c r="H3614" i="5"/>
  <c r="H3613" i="5"/>
  <c r="H3612" i="5"/>
  <c r="H3611" i="5"/>
  <c r="H3610" i="5"/>
  <c r="H3609" i="5"/>
  <c r="H3608" i="5"/>
  <c r="H3607" i="5"/>
  <c r="H3606" i="5"/>
  <c r="H3605" i="5"/>
  <c r="H3603" i="5"/>
  <c r="H3602" i="5"/>
  <c r="H3601" i="5"/>
  <c r="H3600" i="5"/>
  <c r="H3599" i="5"/>
  <c r="H3598" i="5"/>
  <c r="H3597" i="5"/>
  <c r="H3596" i="5"/>
  <c r="H3595" i="5"/>
  <c r="H3594" i="5"/>
  <c r="H3593" i="5"/>
  <c r="H3592" i="5"/>
  <c r="H3591" i="5"/>
  <c r="H3590" i="5"/>
  <c r="H3589" i="5"/>
  <c r="H3588" i="5"/>
  <c r="H3587" i="5"/>
  <c r="H3586" i="5"/>
  <c r="H3585" i="5"/>
  <c r="H3584" i="5"/>
  <c r="H3583" i="5"/>
  <c r="H3582" i="5"/>
  <c r="H3581" i="5"/>
  <c r="H3580" i="5"/>
  <c r="H3579" i="5"/>
  <c r="H3578" i="5"/>
  <c r="H3577" i="5"/>
  <c r="H3576" i="5"/>
  <c r="H3574" i="5"/>
  <c r="H3573" i="5"/>
  <c r="H3572" i="5"/>
  <c r="H3571" i="5"/>
  <c r="H3570" i="5"/>
  <c r="H3569" i="5"/>
  <c r="H3568" i="5"/>
  <c r="H3567" i="5"/>
  <c r="H3566" i="5"/>
  <c r="H3565" i="5"/>
  <c r="H3564" i="5"/>
  <c r="H3563" i="5"/>
  <c r="H3562" i="5"/>
  <c r="H3561" i="5"/>
  <c r="H3560" i="5"/>
  <c r="H3559" i="5"/>
  <c r="H3558" i="5"/>
  <c r="H3557" i="5"/>
  <c r="H3556" i="5"/>
  <c r="H3555" i="5"/>
  <c r="H3554" i="5"/>
  <c r="H3553" i="5"/>
  <c r="H3552" i="5"/>
  <c r="H3551" i="5"/>
  <c r="H3550" i="5"/>
  <c r="H3549" i="5"/>
  <c r="H3548" i="5"/>
  <c r="H3547" i="5"/>
  <c r="H3546" i="5"/>
  <c r="H3545" i="5"/>
  <c r="H3544" i="5"/>
  <c r="H3543" i="5"/>
  <c r="H3542" i="5"/>
  <c r="H3541" i="5"/>
  <c r="H3540" i="5"/>
  <c r="H3539" i="5"/>
  <c r="H3538" i="5"/>
  <c r="H3537" i="5"/>
  <c r="H3536" i="5"/>
  <c r="H3535" i="5"/>
  <c r="H3534" i="5"/>
  <c r="H3533" i="5"/>
  <c r="H3532" i="5"/>
  <c r="H3531" i="5"/>
  <c r="H3530" i="5"/>
  <c r="H3529" i="5"/>
  <c r="H3528" i="5"/>
  <c r="H3527" i="5"/>
  <c r="H3526" i="5"/>
  <c r="H3525" i="5"/>
  <c r="H3524" i="5"/>
  <c r="H3523" i="5"/>
  <c r="H3522" i="5"/>
  <c r="H3521" i="5"/>
  <c r="H3520" i="5"/>
  <c r="H3519" i="5"/>
  <c r="H3518" i="5"/>
  <c r="H3517" i="5"/>
  <c r="H3516" i="5"/>
  <c r="H3515" i="5"/>
  <c r="H3514" i="5"/>
  <c r="H3513" i="5"/>
  <c r="H3512" i="5"/>
  <c r="H3511" i="5"/>
  <c r="H3510" i="5"/>
  <c r="H3509" i="5"/>
  <c r="H3508" i="5"/>
  <c r="H3507" i="5"/>
  <c r="H3506" i="5"/>
  <c r="H3505" i="5"/>
  <c r="H3504" i="5"/>
  <c r="H3503" i="5"/>
  <c r="H3502" i="5"/>
  <c r="H3501" i="5"/>
  <c r="H3500" i="5"/>
  <c r="H3499" i="5"/>
  <c r="H3498" i="5"/>
  <c r="H3497" i="5"/>
  <c r="H3496" i="5"/>
  <c r="H3495" i="5"/>
  <c r="H3494" i="5"/>
  <c r="H3493" i="5"/>
  <c r="H3492" i="5"/>
  <c r="H3491" i="5"/>
  <c r="H3490" i="5"/>
  <c r="H3489" i="5"/>
  <c r="H3488" i="5"/>
  <c r="H3487" i="5"/>
  <c r="H3486" i="5"/>
  <c r="H3485" i="5"/>
  <c r="H3484" i="5"/>
  <c r="H3483" i="5"/>
  <c r="H3482" i="5"/>
  <c r="H3481" i="5"/>
  <c r="H3480" i="5"/>
  <c r="H3479" i="5"/>
  <c r="H3478" i="5"/>
  <c r="H3477" i="5"/>
  <c r="H3476" i="5"/>
  <c r="H3475" i="5"/>
  <c r="H3473" i="5"/>
  <c r="H3472" i="5"/>
  <c r="H3471" i="5"/>
  <c r="H3470" i="5"/>
  <c r="H3469" i="5"/>
  <c r="H3468" i="5"/>
  <c r="H3467" i="5"/>
  <c r="H3466" i="5"/>
  <c r="H3465" i="5"/>
  <c r="H3464" i="5"/>
  <c r="H3463" i="5"/>
  <c r="H3462" i="5"/>
  <c r="H3461" i="5"/>
  <c r="H3460" i="5"/>
  <c r="H3459" i="5"/>
  <c r="H3457" i="5"/>
  <c r="H3456" i="5"/>
  <c r="H3454" i="5"/>
  <c r="H3453" i="5"/>
  <c r="G3452" i="5"/>
  <c r="H3452" i="5" s="1"/>
  <c r="H3451" i="5"/>
  <c r="H3450" i="5"/>
  <c r="H3449" i="5"/>
  <c r="H3448" i="5"/>
  <c r="H3447" i="5"/>
  <c r="H3446" i="5"/>
  <c r="H3445" i="5"/>
  <c r="H3444" i="5"/>
  <c r="H3443" i="5"/>
  <c r="H3442" i="5"/>
  <c r="G3441" i="5"/>
  <c r="H3441" i="5" s="1"/>
  <c r="H3440" i="5"/>
  <c r="H3439" i="5"/>
  <c r="H3438" i="5"/>
  <c r="H3437" i="5"/>
  <c r="H3436" i="5"/>
  <c r="H3435" i="5"/>
  <c r="H3434" i="5"/>
  <c r="H3433" i="5"/>
  <c r="H3432" i="5"/>
  <c r="H3431" i="5"/>
  <c r="H3430" i="5"/>
  <c r="H3429" i="5"/>
  <c r="H3428" i="5"/>
  <c r="H3427" i="5"/>
  <c r="H3426" i="5"/>
  <c r="H3425" i="5"/>
  <c r="H3424" i="5"/>
  <c r="H3423" i="5"/>
  <c r="H3422" i="5"/>
  <c r="H3421" i="5"/>
  <c r="H3420" i="5"/>
  <c r="H3419" i="5"/>
  <c r="H3418" i="5"/>
  <c r="H3417" i="5"/>
  <c r="H3416" i="5"/>
  <c r="H3415" i="5"/>
  <c r="H3414" i="5"/>
  <c r="H3413" i="5"/>
  <c r="H3412" i="5"/>
  <c r="H3411" i="5"/>
  <c r="H3410" i="5"/>
  <c r="H3409" i="5"/>
  <c r="H3408" i="5"/>
  <c r="H3407" i="5"/>
  <c r="H3406" i="5"/>
  <c r="H3405" i="5"/>
  <c r="H3404" i="5"/>
  <c r="H3403" i="5"/>
  <c r="H3402" i="5"/>
  <c r="H3401" i="5"/>
  <c r="H3400" i="5"/>
  <c r="H3399" i="5"/>
  <c r="H3398" i="5"/>
  <c r="H3397" i="5"/>
  <c r="H3396" i="5"/>
  <c r="H3395" i="5"/>
  <c r="H3394" i="5"/>
  <c r="H3393" i="5"/>
  <c r="H3392" i="5"/>
  <c r="H3391" i="5"/>
  <c r="H3390" i="5"/>
  <c r="H3389" i="5"/>
  <c r="H3388" i="5"/>
  <c r="H3387" i="5"/>
  <c r="H3386" i="5"/>
  <c r="H3385" i="5"/>
  <c r="H3384" i="5"/>
  <c r="H3383" i="5"/>
  <c r="H3382" i="5"/>
  <c r="H3381" i="5"/>
  <c r="H3380" i="5"/>
  <c r="H3379" i="5"/>
  <c r="H3378" i="5"/>
  <c r="H3377" i="5"/>
  <c r="H3376" i="5"/>
  <c r="H3375" i="5"/>
  <c r="H3374" i="5"/>
  <c r="H3373" i="5"/>
  <c r="H3372" i="5"/>
  <c r="H3371" i="5"/>
  <c r="H3370" i="5"/>
  <c r="H3368" i="5"/>
  <c r="H3367" i="5"/>
  <c r="H3366" i="5"/>
  <c r="H3365" i="5"/>
  <c r="H3364" i="5"/>
  <c r="H3363" i="5"/>
  <c r="H3362" i="5"/>
  <c r="H3361" i="5"/>
  <c r="H3360" i="5"/>
  <c r="H3359" i="5"/>
  <c r="H3358" i="5"/>
  <c r="H3357" i="5"/>
  <c r="H3356" i="5"/>
  <c r="H3355" i="5"/>
  <c r="H3354" i="5"/>
  <c r="H3353" i="5"/>
  <c r="H3352" i="5"/>
  <c r="H3351" i="5"/>
  <c r="H3350" i="5"/>
  <c r="H3349" i="5"/>
  <c r="H3348" i="5"/>
  <c r="H3347" i="5"/>
  <c r="H3346" i="5"/>
  <c r="H3345" i="5"/>
  <c r="H3344" i="5"/>
  <c r="H3343" i="5"/>
  <c r="H3342" i="5"/>
  <c r="H3341" i="5"/>
  <c r="H3340" i="5"/>
  <c r="H3339" i="5"/>
  <c r="H3338" i="5"/>
  <c r="H3337" i="5"/>
  <c r="H3334" i="5"/>
  <c r="H3333" i="5"/>
  <c r="H3332" i="5"/>
  <c r="H3331" i="5"/>
  <c r="H3330" i="5"/>
  <c r="H3329" i="5"/>
  <c r="H3328" i="5"/>
  <c r="H3327" i="5"/>
  <c r="H3326" i="5"/>
  <c r="H3325" i="5"/>
  <c r="H3324" i="5"/>
  <c r="H3323" i="5"/>
  <c r="H3322" i="5"/>
  <c r="H3321" i="5"/>
  <c r="H3320" i="5"/>
  <c r="H3319" i="5"/>
  <c r="H3318" i="5"/>
  <c r="H3317" i="5"/>
  <c r="H3316" i="5"/>
  <c r="H3315" i="5"/>
  <c r="H3314" i="5"/>
  <c r="H3313" i="5"/>
  <c r="H3312" i="5"/>
  <c r="H3311" i="5"/>
  <c r="H3310" i="5"/>
  <c r="H3309" i="5"/>
  <c r="H3308" i="5"/>
  <c r="H3307" i="5"/>
  <c r="H3306" i="5"/>
  <c r="H3305" i="5"/>
  <c r="H3304" i="5"/>
  <c r="H3303" i="5"/>
  <c r="H3302" i="5"/>
  <c r="H3301" i="5"/>
  <c r="H3300" i="5"/>
  <c r="H3299" i="5"/>
  <c r="H3298" i="5"/>
  <c r="H3297" i="5"/>
  <c r="H3296" i="5"/>
  <c r="H3295" i="5"/>
  <c r="H3294" i="5"/>
  <c r="H3293" i="5"/>
  <c r="H3292" i="5"/>
  <c r="H3291" i="5"/>
  <c r="H3290" i="5"/>
  <c r="H3289" i="5"/>
  <c r="H3288" i="5"/>
  <c r="G3287" i="5"/>
  <c r="H3287" i="5" s="1"/>
  <c r="H3285" i="5"/>
  <c r="H3284" i="5"/>
  <c r="H3282" i="5"/>
  <c r="H3281" i="5"/>
  <c r="H3280" i="5"/>
  <c r="G3279" i="5"/>
  <c r="H3279" i="5" s="1"/>
  <c r="H3278" i="5"/>
  <c r="H3277" i="5"/>
  <c r="H3276" i="5"/>
  <c r="H3275" i="5"/>
  <c r="H3274" i="5"/>
  <c r="H3273" i="5"/>
  <c r="H3272" i="5"/>
  <c r="H3271" i="5"/>
  <c r="H3270" i="5"/>
  <c r="H3269" i="5"/>
  <c r="H3268" i="5"/>
  <c r="H3267" i="5"/>
  <c r="H3266" i="5"/>
  <c r="H3265" i="5"/>
  <c r="H3264" i="5"/>
  <c r="H3263" i="5"/>
  <c r="H3262" i="5"/>
  <c r="H3261" i="5"/>
  <c r="H3260" i="5"/>
  <c r="H3259" i="5"/>
  <c r="G3258" i="5"/>
  <c r="H3258" i="5" s="1"/>
  <c r="H3257" i="5"/>
  <c r="H3256" i="5"/>
  <c r="H3255" i="5"/>
  <c r="H3254" i="5"/>
  <c r="H3253" i="5"/>
  <c r="H3252" i="5"/>
  <c r="H3251" i="5"/>
  <c r="H3250" i="5"/>
  <c r="H3249" i="5"/>
  <c r="H3248" i="5"/>
  <c r="H3247" i="5"/>
  <c r="H3246" i="5"/>
  <c r="H3245" i="5"/>
  <c r="H3244" i="5"/>
  <c r="H3243" i="5"/>
  <c r="H3242" i="5"/>
  <c r="H3241" i="5"/>
  <c r="H3240" i="5"/>
  <c r="H3239" i="5"/>
  <c r="H3238" i="5"/>
  <c r="H3237" i="5"/>
  <c r="H3236" i="5"/>
  <c r="H3235" i="5"/>
  <c r="H3234" i="5"/>
  <c r="H3233" i="5"/>
  <c r="H3232" i="5"/>
  <c r="H3231" i="5"/>
  <c r="H3230" i="5"/>
  <c r="H3229" i="5"/>
  <c r="H3228" i="5"/>
  <c r="H3227" i="5"/>
  <c r="H3226" i="5"/>
  <c r="H3225" i="5"/>
  <c r="H3224" i="5"/>
  <c r="H3223" i="5"/>
  <c r="H3222" i="5"/>
  <c r="H3221" i="5"/>
  <c r="H3220" i="5"/>
  <c r="H3219" i="5"/>
  <c r="H3218" i="5"/>
  <c r="H3217" i="5"/>
  <c r="H3216" i="5"/>
  <c r="H3215" i="5"/>
  <c r="H3214" i="5"/>
  <c r="H3213" i="5"/>
  <c r="H3212" i="5"/>
  <c r="H3211" i="5"/>
  <c r="H3210" i="5"/>
  <c r="H3209" i="5"/>
  <c r="H3208" i="5"/>
  <c r="H3207" i="5"/>
  <c r="H3206" i="5"/>
  <c r="H3205" i="5"/>
  <c r="H3204" i="5"/>
  <c r="H3203" i="5"/>
  <c r="H3202" i="5"/>
  <c r="H3201" i="5"/>
  <c r="H3200" i="5"/>
  <c r="H3199" i="5"/>
  <c r="H3198" i="5"/>
  <c r="H3197" i="5"/>
  <c r="H3196" i="5"/>
  <c r="H3195" i="5"/>
  <c r="H3194" i="5"/>
  <c r="H3193" i="5"/>
  <c r="H3192" i="5"/>
  <c r="H3191" i="5"/>
  <c r="H3190" i="5"/>
  <c r="H3189" i="5"/>
  <c r="H3188" i="5"/>
  <c r="H3187" i="5"/>
  <c r="H3186" i="5"/>
  <c r="H3184" i="5"/>
  <c r="H3183" i="5"/>
  <c r="H3182" i="5"/>
  <c r="H3181" i="5"/>
  <c r="H3180" i="5"/>
  <c r="H3179" i="5"/>
  <c r="H3178" i="5"/>
  <c r="H3177" i="5"/>
  <c r="H3176" i="5"/>
  <c r="H3175" i="5"/>
  <c r="H3174" i="5"/>
  <c r="H3173" i="5"/>
  <c r="H3172" i="5"/>
  <c r="H3171" i="5"/>
  <c r="H3170" i="5"/>
  <c r="H3169" i="5"/>
  <c r="H3168" i="5"/>
  <c r="H3167" i="5"/>
  <c r="H3166" i="5"/>
  <c r="H3165" i="5"/>
  <c r="H3164" i="5"/>
  <c r="H3163" i="5"/>
  <c r="H3162" i="5"/>
  <c r="G3162" i="5"/>
  <c r="H3161" i="5"/>
  <c r="G3161" i="5"/>
  <c r="H3160" i="5"/>
  <c r="H3159" i="5"/>
  <c r="H3158" i="5"/>
  <c r="H3157" i="5"/>
  <c r="H3156" i="5"/>
  <c r="H3155" i="5"/>
  <c r="H3154" i="5"/>
  <c r="H3153" i="5"/>
  <c r="H3152" i="5"/>
  <c r="H3151" i="5"/>
  <c r="H3150" i="5"/>
  <c r="H3149" i="5"/>
  <c r="H3148" i="5"/>
  <c r="H3147" i="5"/>
  <c r="H3146" i="5"/>
  <c r="H3145" i="5"/>
  <c r="H3144" i="5"/>
  <c r="H3143" i="5"/>
  <c r="H3142" i="5"/>
  <c r="H3141" i="5"/>
  <c r="H3140" i="5"/>
  <c r="H3139" i="5"/>
  <c r="H3138" i="5"/>
  <c r="H3137" i="5"/>
  <c r="H3136" i="5"/>
  <c r="H3135" i="5"/>
  <c r="H3134" i="5"/>
  <c r="H3133" i="5"/>
  <c r="H3132" i="5"/>
  <c r="H3131" i="5"/>
  <c r="H3130" i="5"/>
  <c r="H3129" i="5"/>
  <c r="H3128" i="5"/>
  <c r="H3127" i="5"/>
  <c r="H3126" i="5"/>
  <c r="H3125" i="5"/>
  <c r="H3124" i="5"/>
  <c r="H3123" i="5"/>
  <c r="H3122" i="5"/>
  <c r="H3121" i="5"/>
  <c r="H3120" i="5"/>
  <c r="H3119" i="5"/>
  <c r="H3118" i="5"/>
  <c r="H3117" i="5"/>
  <c r="H3116" i="5"/>
  <c r="H3115" i="5"/>
  <c r="H3114" i="5"/>
  <c r="G3113" i="5"/>
  <c r="H3113" i="5" s="1"/>
  <c r="H3112" i="5"/>
  <c r="H3111" i="5"/>
  <c r="H3110" i="5"/>
  <c r="H3109" i="5"/>
  <c r="H3108" i="5"/>
  <c r="H3107" i="5"/>
  <c r="H3106" i="5"/>
  <c r="H3105" i="5"/>
  <c r="H3104" i="5"/>
  <c r="H3103" i="5"/>
  <c r="H3102" i="5"/>
  <c r="H3101" i="5"/>
  <c r="H3100" i="5"/>
  <c r="H3099" i="5"/>
  <c r="H3098" i="5"/>
  <c r="H3097" i="5"/>
  <c r="H3096" i="5"/>
  <c r="H3095" i="5"/>
  <c r="H3094" i="5"/>
  <c r="H3093" i="5"/>
  <c r="H3092" i="5"/>
  <c r="H3091" i="5"/>
  <c r="H3090" i="5"/>
  <c r="H3089" i="5"/>
  <c r="H3088" i="5"/>
  <c r="H3087" i="5"/>
  <c r="H3086" i="5"/>
  <c r="H3085" i="5"/>
  <c r="H3084" i="5"/>
  <c r="H3083" i="5"/>
  <c r="H3082" i="5"/>
  <c r="H3081" i="5"/>
  <c r="H3080" i="5"/>
  <c r="H3079" i="5"/>
  <c r="H3078" i="5"/>
  <c r="H3077" i="5"/>
  <c r="H3076" i="5"/>
  <c r="H3075" i="5"/>
  <c r="H3074" i="5"/>
  <c r="H3073" i="5"/>
  <c r="H3072" i="5"/>
  <c r="H3071" i="5"/>
  <c r="H3070" i="5"/>
  <c r="H3069" i="5"/>
  <c r="H3068" i="5"/>
  <c r="H3067" i="5"/>
  <c r="H3066" i="5"/>
  <c r="H3065" i="5"/>
  <c r="H3063" i="5"/>
  <c r="H3062" i="5"/>
  <c r="H3061" i="5"/>
  <c r="H3060" i="5"/>
  <c r="H3059" i="5"/>
  <c r="H3058" i="5"/>
  <c r="H3057" i="5"/>
  <c r="H3056" i="5"/>
  <c r="H3055" i="5"/>
  <c r="G3055" i="5"/>
  <c r="H3054" i="5"/>
  <c r="H3053" i="5"/>
  <c r="H3052" i="5"/>
  <c r="H3051" i="5"/>
  <c r="H3050" i="5"/>
  <c r="H3049" i="5"/>
  <c r="H3048" i="5"/>
  <c r="H3047" i="5"/>
  <c r="H3046" i="5"/>
  <c r="H3045" i="5"/>
  <c r="H3044" i="5"/>
  <c r="H3043" i="5"/>
  <c r="H3042" i="5"/>
  <c r="H3041" i="5"/>
  <c r="H3040" i="5"/>
  <c r="H3039" i="5"/>
  <c r="H3038" i="5"/>
  <c r="H3037" i="5"/>
  <c r="H3036" i="5"/>
  <c r="H3035" i="5"/>
  <c r="H3034" i="5"/>
  <c r="G3034" i="5"/>
  <c r="H3033" i="5"/>
  <c r="H3032" i="5"/>
  <c r="H3031" i="5"/>
  <c r="H3030" i="5"/>
  <c r="H3029" i="5"/>
  <c r="H3028" i="5"/>
  <c r="H3027" i="5"/>
  <c r="H3026" i="5"/>
  <c r="H3025" i="5"/>
  <c r="H3024" i="5"/>
  <c r="H3023" i="5"/>
  <c r="H3022" i="5"/>
  <c r="H3021" i="5"/>
  <c r="H3020" i="5"/>
  <c r="H3019" i="5"/>
  <c r="H3018" i="5"/>
  <c r="H3017" i="5"/>
  <c r="H3016" i="5"/>
  <c r="H3015" i="5"/>
  <c r="H3014" i="5"/>
  <c r="H3013" i="5"/>
  <c r="H3012" i="5"/>
  <c r="H3011" i="5"/>
  <c r="H3010" i="5"/>
  <c r="H3009" i="5"/>
  <c r="H3008" i="5"/>
  <c r="H3007" i="5"/>
  <c r="H3006" i="5"/>
  <c r="H3005" i="5"/>
  <c r="H3004" i="5"/>
  <c r="H3003" i="5"/>
  <c r="H3002" i="5"/>
  <c r="H3001" i="5"/>
  <c r="H3000" i="5"/>
  <c r="H2999" i="5"/>
  <c r="H2998" i="5"/>
  <c r="H2997" i="5"/>
  <c r="H2996" i="5"/>
  <c r="H2995" i="5"/>
  <c r="H2994" i="5"/>
  <c r="H2993" i="5"/>
  <c r="H2992" i="5"/>
  <c r="H2991" i="5"/>
  <c r="H2990" i="5"/>
  <c r="H2989" i="5"/>
  <c r="H2988" i="5"/>
  <c r="H2987" i="5"/>
  <c r="H2986" i="5"/>
  <c r="H2985" i="5"/>
  <c r="H2984" i="5"/>
  <c r="H2983" i="5"/>
  <c r="H2982" i="5"/>
  <c r="H2981" i="5"/>
  <c r="H2980" i="5"/>
  <c r="H2979" i="5"/>
  <c r="H2978" i="5"/>
  <c r="H2977" i="5"/>
  <c r="H2976" i="5"/>
  <c r="H2975" i="5"/>
  <c r="H2974" i="5"/>
  <c r="H2973" i="5"/>
  <c r="H2972" i="5"/>
  <c r="H2971" i="5"/>
  <c r="H2970" i="5"/>
  <c r="H2969" i="5"/>
  <c r="H2968" i="5"/>
  <c r="H2967" i="5"/>
  <c r="H2966" i="5"/>
  <c r="H2965" i="5"/>
  <c r="G2965" i="5"/>
  <c r="H2964" i="5"/>
  <c r="H2963" i="5"/>
  <c r="H2962" i="5"/>
  <c r="H2961" i="5"/>
  <c r="H2960" i="5"/>
  <c r="H2959" i="5"/>
  <c r="H2958" i="5"/>
  <c r="H2957" i="5"/>
  <c r="H2956" i="5"/>
  <c r="H2955" i="5"/>
  <c r="H2954" i="5"/>
  <c r="H2953" i="5"/>
  <c r="H2952" i="5"/>
  <c r="H2951" i="5"/>
  <c r="H2950" i="5"/>
  <c r="H2949" i="5"/>
  <c r="H2948" i="5"/>
  <c r="H2947" i="5"/>
  <c r="H2946" i="5"/>
  <c r="H2945" i="5"/>
  <c r="H2944" i="5"/>
  <c r="H2943" i="5"/>
  <c r="H2942" i="5"/>
  <c r="H2941" i="5"/>
  <c r="H2940" i="5"/>
  <c r="H2939" i="5"/>
  <c r="H2938" i="5"/>
  <c r="H2937" i="5"/>
  <c r="H2936" i="5"/>
  <c r="G2936" i="5"/>
  <c r="H2935" i="5"/>
  <c r="H2934" i="5"/>
  <c r="H2933" i="5"/>
  <c r="H2932" i="5"/>
  <c r="H2931" i="5"/>
  <c r="H2930" i="5"/>
  <c r="H2929" i="5"/>
  <c r="H2928" i="5"/>
  <c r="H2927" i="5"/>
  <c r="H2926" i="5"/>
  <c r="G2925" i="5"/>
  <c r="H2925" i="5" s="1"/>
  <c r="H2924" i="5"/>
  <c r="H2923" i="5"/>
  <c r="H2922" i="5"/>
  <c r="H2921" i="5"/>
  <c r="H2920" i="5"/>
  <c r="H2919" i="5"/>
  <c r="H2918" i="5"/>
  <c r="H2917" i="5"/>
  <c r="H2916" i="5"/>
  <c r="H2915" i="5"/>
  <c r="H2914" i="5"/>
  <c r="H2913" i="5"/>
  <c r="H2912" i="5"/>
  <c r="H2911" i="5"/>
  <c r="G2911" i="5"/>
  <c r="H2910" i="5"/>
  <c r="H2909" i="5"/>
  <c r="H2908" i="5"/>
  <c r="H2907" i="5"/>
  <c r="H2906" i="5"/>
  <c r="H2905" i="5"/>
  <c r="H2904" i="5"/>
  <c r="H2903" i="5"/>
  <c r="H2902" i="5"/>
  <c r="H2901" i="5"/>
  <c r="H2900" i="5"/>
  <c r="H2899" i="5"/>
  <c r="H2898" i="5"/>
  <c r="H2897" i="5"/>
  <c r="H2896" i="5"/>
  <c r="H2895" i="5"/>
  <c r="H2894" i="5"/>
  <c r="H2893" i="5"/>
  <c r="H2892" i="5"/>
  <c r="H2891" i="5"/>
  <c r="H2890" i="5"/>
  <c r="H2889" i="5"/>
  <c r="H2888" i="5"/>
  <c r="H2887" i="5"/>
  <c r="H2886" i="5"/>
  <c r="H2885" i="5"/>
  <c r="H2884" i="5"/>
  <c r="H2883" i="5"/>
  <c r="H2882" i="5"/>
  <c r="H2881" i="5"/>
  <c r="H2880" i="5"/>
  <c r="H2879" i="5"/>
  <c r="H2878" i="5"/>
  <c r="H2877" i="5"/>
  <c r="H2876" i="5"/>
  <c r="H2875" i="5"/>
  <c r="H2874" i="5"/>
  <c r="H2873" i="5"/>
  <c r="H2872" i="5"/>
  <c r="H2871" i="5"/>
  <c r="H2870" i="5"/>
  <c r="H2869" i="5"/>
  <c r="H2868" i="5"/>
  <c r="H2867" i="5"/>
  <c r="H2866" i="5"/>
  <c r="H2865" i="5"/>
  <c r="H2864" i="5"/>
  <c r="H2863" i="5"/>
  <c r="H2862" i="5"/>
  <c r="H2861" i="5"/>
  <c r="H2860" i="5"/>
  <c r="H2859" i="5"/>
  <c r="H2858" i="5"/>
  <c r="H2857" i="5"/>
  <c r="H2856" i="5"/>
  <c r="H2855" i="5"/>
  <c r="H2854" i="5"/>
  <c r="H2853" i="5"/>
  <c r="H2852" i="5"/>
  <c r="H2851" i="5"/>
  <c r="H2850" i="5"/>
  <c r="H2849" i="5"/>
  <c r="H2848" i="5"/>
  <c r="H2847" i="5"/>
  <c r="H2846" i="5"/>
  <c r="H2845" i="5"/>
  <c r="H2844" i="5"/>
  <c r="H2843" i="5"/>
  <c r="H2842" i="5"/>
  <c r="H2841" i="5"/>
  <c r="H2840" i="5"/>
  <c r="H2839" i="5"/>
  <c r="H2838" i="5"/>
  <c r="H2837" i="5"/>
  <c r="H2836" i="5"/>
  <c r="H2835" i="5"/>
  <c r="H2834" i="5"/>
  <c r="H2833" i="5"/>
  <c r="H2832" i="5"/>
  <c r="H2831" i="5"/>
  <c r="H2830" i="5"/>
  <c r="H2829" i="5"/>
  <c r="H2828" i="5"/>
  <c r="H2827" i="5"/>
  <c r="H2826" i="5"/>
  <c r="H2825" i="5"/>
  <c r="H2824" i="5"/>
  <c r="H2823" i="5"/>
  <c r="H2822" i="5"/>
  <c r="H2821" i="5"/>
  <c r="H2820" i="5"/>
  <c r="H2819" i="5"/>
  <c r="H2818" i="5"/>
  <c r="H2817" i="5"/>
  <c r="H2816" i="5"/>
  <c r="H2815" i="5"/>
  <c r="H2814" i="5"/>
  <c r="H2813" i="5"/>
  <c r="H2812" i="5"/>
  <c r="H2811" i="5"/>
  <c r="H2810" i="5"/>
  <c r="H2809" i="5"/>
  <c r="H2808" i="5"/>
  <c r="H2807" i="5"/>
  <c r="H2806" i="5"/>
  <c r="H2805" i="5"/>
  <c r="H2804" i="5"/>
  <c r="H2803" i="5"/>
  <c r="H2802" i="5"/>
  <c r="H2801" i="5"/>
  <c r="H2800" i="5"/>
  <c r="H2799" i="5"/>
  <c r="H2798" i="5"/>
  <c r="H2797" i="5"/>
  <c r="H2796" i="5"/>
  <c r="H2795" i="5"/>
  <c r="H2794" i="5"/>
  <c r="H2793" i="5"/>
  <c r="G2793" i="5"/>
  <c r="H2792" i="5"/>
  <c r="H2791" i="5"/>
  <c r="H2790" i="5"/>
  <c r="H2789" i="5"/>
  <c r="H2788" i="5"/>
  <c r="H2787" i="5"/>
  <c r="H2786" i="5"/>
  <c r="H2785" i="5"/>
  <c r="H2784" i="5"/>
  <c r="H2783" i="5"/>
  <c r="H2782" i="5"/>
  <c r="H2781" i="5"/>
  <c r="H2780" i="5"/>
  <c r="H2779" i="5"/>
  <c r="H2778" i="5"/>
  <c r="H2777" i="5"/>
  <c r="H2776" i="5"/>
  <c r="H2775" i="5"/>
  <c r="H2774" i="5"/>
  <c r="H2773" i="5"/>
  <c r="H2772" i="5"/>
  <c r="G2771" i="5"/>
  <c r="H2771" i="5" s="1"/>
  <c r="H2770" i="5"/>
  <c r="H2769" i="5"/>
  <c r="H2768" i="5"/>
  <c r="H2767" i="5"/>
  <c r="H2766" i="5"/>
  <c r="H2765" i="5"/>
  <c r="H2764" i="5"/>
  <c r="H2763" i="5"/>
  <c r="H2762" i="5"/>
  <c r="H2761" i="5"/>
  <c r="H2760" i="5"/>
  <c r="H2759" i="5"/>
  <c r="H2758" i="5"/>
  <c r="H2757" i="5"/>
  <c r="H2756" i="5"/>
  <c r="H2755" i="5"/>
  <c r="G2755" i="5"/>
  <c r="H2754" i="5"/>
  <c r="H2753" i="5"/>
  <c r="H2752" i="5"/>
  <c r="H2751" i="5"/>
  <c r="H2750" i="5"/>
  <c r="H2749" i="5"/>
  <c r="H2748" i="5"/>
  <c r="H2747" i="5"/>
  <c r="H2746" i="5"/>
  <c r="H2745" i="5"/>
  <c r="H2744" i="5"/>
  <c r="H2743" i="5"/>
  <c r="H2742" i="5"/>
  <c r="H2741" i="5"/>
  <c r="H2740" i="5"/>
  <c r="H2739" i="5"/>
  <c r="H2738" i="5"/>
  <c r="H2737" i="5"/>
  <c r="H2736" i="5"/>
  <c r="H2735" i="5"/>
  <c r="H2734" i="5"/>
  <c r="H2733" i="5"/>
  <c r="H2732" i="5"/>
  <c r="H2731" i="5"/>
  <c r="H2730" i="5"/>
  <c r="H2729" i="5"/>
  <c r="H2728" i="5"/>
  <c r="H2727" i="5"/>
  <c r="H2726" i="5"/>
  <c r="H2725" i="5"/>
  <c r="H2724" i="5"/>
  <c r="H2723" i="5"/>
  <c r="H2722" i="5"/>
  <c r="H2721" i="5"/>
  <c r="H2720" i="5"/>
  <c r="H2719" i="5"/>
  <c r="H2718" i="5"/>
  <c r="H2717" i="5"/>
  <c r="H2716" i="5"/>
  <c r="H2715" i="5"/>
  <c r="H2714" i="5"/>
  <c r="H2713" i="5"/>
  <c r="H2712" i="5"/>
  <c r="H2711" i="5"/>
  <c r="H2710" i="5"/>
  <c r="H2709" i="5"/>
  <c r="H2708" i="5"/>
  <c r="H2707" i="5"/>
  <c r="H2706" i="5"/>
  <c r="H2705" i="5"/>
  <c r="H2704" i="5"/>
  <c r="H2703" i="5"/>
  <c r="H2702" i="5"/>
  <c r="H2701" i="5"/>
  <c r="H2700" i="5"/>
  <c r="H2699" i="5"/>
  <c r="H2698" i="5"/>
  <c r="H2697" i="5"/>
  <c r="H2696" i="5"/>
  <c r="H2695" i="5"/>
  <c r="H2694" i="5"/>
  <c r="H2693" i="5"/>
  <c r="H2692" i="5"/>
  <c r="H2691" i="5"/>
  <c r="H2690" i="5"/>
  <c r="H2689" i="5"/>
  <c r="H2688" i="5"/>
  <c r="H2687" i="5"/>
  <c r="H2686" i="5"/>
  <c r="H2685" i="5"/>
  <c r="H2684" i="5"/>
  <c r="H2683" i="5"/>
  <c r="H2682" i="5"/>
  <c r="H2681" i="5"/>
  <c r="H2680" i="5"/>
  <c r="H2679" i="5"/>
  <c r="H2678" i="5"/>
  <c r="H2677" i="5"/>
  <c r="H2676" i="5"/>
  <c r="H2675" i="5"/>
  <c r="H2674" i="5"/>
  <c r="H2673" i="5"/>
  <c r="H2672" i="5"/>
  <c r="H2671" i="5"/>
  <c r="H2670" i="5"/>
  <c r="H2669" i="5"/>
  <c r="H2668" i="5"/>
  <c r="H2667" i="5"/>
  <c r="H2666" i="5"/>
  <c r="H2665" i="5"/>
  <c r="H2664" i="5"/>
  <c r="H2663" i="5"/>
  <c r="H2662" i="5"/>
  <c r="H2661" i="5"/>
  <c r="H2660" i="5"/>
  <c r="G2659" i="5"/>
  <c r="H2659" i="5" s="1"/>
  <c r="H2658" i="5"/>
  <c r="H2657" i="5"/>
  <c r="H2656" i="5"/>
  <c r="H2655" i="5"/>
  <c r="H2654" i="5"/>
  <c r="H2653" i="5"/>
  <c r="H2652" i="5"/>
  <c r="H2651" i="5"/>
  <c r="H2650" i="5"/>
  <c r="H2649" i="5"/>
  <c r="H2648" i="5"/>
  <c r="H2647" i="5"/>
  <c r="H2646" i="5"/>
  <c r="H2645" i="5"/>
  <c r="H2644" i="5"/>
  <c r="H2643" i="5"/>
  <c r="H2642" i="5"/>
  <c r="H2641" i="5"/>
  <c r="H2640" i="5"/>
  <c r="H2639" i="5"/>
  <c r="H2638" i="5"/>
  <c r="H2637" i="5"/>
  <c r="H2636" i="5"/>
  <c r="H2635" i="5"/>
  <c r="H2634" i="5"/>
  <c r="H2633" i="5"/>
  <c r="H2632" i="5"/>
  <c r="H2631" i="5"/>
  <c r="H2630" i="5"/>
  <c r="H2629" i="5"/>
  <c r="H2628" i="5"/>
  <c r="H2627" i="5"/>
  <c r="H2626" i="5"/>
  <c r="H2625" i="5"/>
  <c r="H2624" i="5"/>
  <c r="H2623" i="5"/>
  <c r="H2622" i="5"/>
  <c r="H2621" i="5"/>
  <c r="H2620" i="5"/>
  <c r="H2619" i="5"/>
  <c r="H2618" i="5"/>
  <c r="H2617" i="5"/>
  <c r="H2616" i="5"/>
  <c r="H2615" i="5"/>
  <c r="H2614" i="5"/>
  <c r="H2613" i="5"/>
  <c r="H2612" i="5"/>
  <c r="H2611" i="5"/>
  <c r="H2610" i="5"/>
  <c r="H2609" i="5"/>
  <c r="H2608" i="5"/>
  <c r="H2607" i="5"/>
  <c r="H2606" i="5"/>
  <c r="H2605" i="5"/>
  <c r="H2604" i="5"/>
  <c r="H2603" i="5"/>
  <c r="H2602" i="5"/>
  <c r="H2601" i="5"/>
  <c r="H2600" i="5"/>
  <c r="H2599" i="5"/>
  <c r="H2598" i="5"/>
  <c r="H2597" i="5"/>
  <c r="H2596" i="5"/>
  <c r="H2595" i="5"/>
  <c r="H2594" i="5"/>
  <c r="H2593" i="5"/>
  <c r="G2593" i="5"/>
  <c r="H2592" i="5"/>
  <c r="H2591" i="5"/>
  <c r="H2590" i="5"/>
  <c r="H2589" i="5"/>
  <c r="H2588" i="5"/>
  <c r="H2587" i="5"/>
  <c r="H2586" i="5"/>
  <c r="H2585" i="5"/>
  <c r="H2584" i="5"/>
  <c r="H2583" i="5"/>
  <c r="H2582" i="5"/>
  <c r="H2581" i="5"/>
  <c r="H2580" i="5"/>
  <c r="H2579" i="5"/>
  <c r="H2578" i="5"/>
  <c r="H2577" i="5"/>
  <c r="H2576" i="5"/>
  <c r="H2575" i="5"/>
  <c r="H2574" i="5"/>
  <c r="H2573" i="5"/>
  <c r="H2572" i="5"/>
  <c r="H2571" i="5"/>
  <c r="H2570" i="5"/>
  <c r="G2569" i="5"/>
  <c r="H2569" i="5" s="1"/>
  <c r="H2568" i="5"/>
  <c r="H2567" i="5"/>
  <c r="G2566" i="5"/>
  <c r="H2566" i="5" s="1"/>
  <c r="H2565" i="5"/>
  <c r="H2564" i="5"/>
  <c r="G2564" i="5"/>
  <c r="H2563" i="5"/>
  <c r="H2562" i="5"/>
  <c r="H2561" i="5"/>
  <c r="H2560" i="5"/>
  <c r="H2559" i="5"/>
  <c r="H2558" i="5"/>
  <c r="H2557" i="5"/>
  <c r="H2556" i="5"/>
  <c r="H2555" i="5"/>
  <c r="H2554" i="5"/>
  <c r="H2553" i="5"/>
  <c r="H2552" i="5"/>
  <c r="H2551" i="5"/>
  <c r="H2550" i="5"/>
  <c r="H2549" i="5"/>
  <c r="H2548" i="5"/>
  <c r="H2547" i="5"/>
  <c r="H2546" i="5"/>
  <c r="H2545" i="5"/>
  <c r="H2544" i="5"/>
  <c r="H2543" i="5"/>
  <c r="H2542" i="5"/>
  <c r="H2541" i="5"/>
  <c r="H2540" i="5"/>
  <c r="H2539" i="5"/>
  <c r="H2537" i="5"/>
  <c r="H2536" i="5"/>
  <c r="H2535" i="5"/>
  <c r="H2534" i="5"/>
  <c r="H2533" i="5"/>
  <c r="H2532" i="5"/>
  <c r="H2531" i="5"/>
  <c r="H2530" i="5"/>
  <c r="H2529" i="5"/>
  <c r="H2528" i="5"/>
  <c r="H2527" i="5"/>
  <c r="H2526" i="5"/>
  <c r="H2525" i="5"/>
  <c r="H2524" i="5"/>
  <c r="H2523" i="5"/>
  <c r="H2522" i="5"/>
  <c r="H2521" i="5"/>
  <c r="H2520" i="5"/>
  <c r="H2519" i="5"/>
  <c r="H2518" i="5"/>
  <c r="H2517" i="5"/>
  <c r="H2516" i="5"/>
  <c r="H2515" i="5"/>
  <c r="H2514" i="5"/>
  <c r="H2513" i="5"/>
  <c r="H2512" i="5"/>
  <c r="H2511" i="5"/>
  <c r="H2510" i="5"/>
  <c r="H2509" i="5"/>
  <c r="H2508" i="5"/>
  <c r="H2507" i="5"/>
  <c r="H2506" i="5"/>
  <c r="H2505" i="5"/>
  <c r="H2504" i="5"/>
  <c r="H2503" i="5"/>
  <c r="H2502" i="5"/>
  <c r="H2501" i="5"/>
  <c r="H2500" i="5"/>
  <c r="H2499" i="5"/>
  <c r="H2498" i="5"/>
  <c r="H2497" i="5"/>
  <c r="H2496" i="5"/>
  <c r="H2495" i="5"/>
  <c r="H2494" i="5"/>
  <c r="H2493" i="5"/>
  <c r="H2492" i="5"/>
  <c r="H2491" i="5"/>
  <c r="H2490" i="5"/>
  <c r="H2489" i="5"/>
  <c r="H2488" i="5"/>
  <c r="H2487" i="5"/>
  <c r="H2486" i="5"/>
  <c r="H2485" i="5"/>
  <c r="H2484" i="5"/>
  <c r="H2483" i="5"/>
  <c r="H2482" i="5"/>
  <c r="H2481" i="5"/>
  <c r="H2479" i="5"/>
  <c r="H2478" i="5"/>
  <c r="H2477" i="5"/>
  <c r="H2476" i="5"/>
  <c r="H2475" i="5"/>
  <c r="H2474" i="5"/>
  <c r="H2473" i="5"/>
  <c r="H2472" i="5"/>
  <c r="H2471" i="5"/>
  <c r="H2470" i="5"/>
  <c r="H2469" i="5"/>
  <c r="H2468" i="5"/>
  <c r="H2467" i="5"/>
  <c r="H2466" i="5"/>
  <c r="H2465" i="5"/>
  <c r="H2464" i="5"/>
  <c r="G2464" i="5"/>
  <c r="H2463" i="5"/>
  <c r="H2462" i="5"/>
  <c r="H2461" i="5"/>
  <c r="H2460" i="5"/>
  <c r="H2459" i="5"/>
  <c r="H2458" i="5"/>
  <c r="H2457" i="5"/>
  <c r="G2457" i="5"/>
  <c r="H2456" i="5"/>
  <c r="H2455" i="5"/>
  <c r="H2454" i="5"/>
  <c r="H2453" i="5"/>
  <c r="H2452" i="5"/>
  <c r="H2451" i="5"/>
  <c r="H2450" i="5"/>
  <c r="H2449" i="5"/>
  <c r="H2448" i="5"/>
  <c r="H2447" i="5"/>
  <c r="H2446" i="5"/>
  <c r="H2445" i="5"/>
  <c r="H2444" i="5"/>
  <c r="H2443" i="5"/>
  <c r="H2442" i="5"/>
  <c r="H2441" i="5"/>
  <c r="H2440" i="5"/>
  <c r="H2439" i="5"/>
  <c r="H2438" i="5"/>
  <c r="H2437" i="5"/>
  <c r="H2436" i="5"/>
  <c r="H2435" i="5"/>
  <c r="H2434" i="5"/>
  <c r="H2433" i="5"/>
  <c r="H2432" i="5"/>
  <c r="H2431" i="5"/>
  <c r="G2431" i="5"/>
  <c r="H2430" i="5"/>
  <c r="H2429" i="5"/>
  <c r="H2428" i="5"/>
  <c r="H2427" i="5"/>
  <c r="H2426" i="5"/>
  <c r="H2425" i="5"/>
  <c r="H2424" i="5"/>
  <c r="H2423" i="5"/>
  <c r="H2422" i="5"/>
  <c r="H2421" i="5"/>
  <c r="H2420" i="5"/>
  <c r="H2419" i="5"/>
  <c r="H2418" i="5"/>
  <c r="H2417" i="5"/>
  <c r="H2416" i="5"/>
  <c r="H2415" i="5"/>
  <c r="H2414" i="5"/>
  <c r="H2413" i="5"/>
  <c r="H2412" i="5"/>
  <c r="H2411" i="5"/>
  <c r="H2410" i="5"/>
  <c r="H2409" i="5"/>
  <c r="H2408" i="5"/>
  <c r="H2407" i="5"/>
  <c r="H2406" i="5"/>
  <c r="H2405" i="5"/>
  <c r="H2404" i="5"/>
  <c r="H2403" i="5"/>
  <c r="H2402" i="5"/>
  <c r="H2401" i="5"/>
  <c r="H2400" i="5"/>
  <c r="G2399" i="5"/>
  <c r="H2399" i="5" s="1"/>
  <c r="G2398" i="5"/>
  <c r="H2398" i="5" s="1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G2365" i="5"/>
  <c r="H2365" i="5" s="1"/>
  <c r="H2364" i="5"/>
  <c r="H2363" i="5"/>
  <c r="H2362" i="5"/>
  <c r="H2361" i="5"/>
  <c r="H2360" i="5"/>
  <c r="H2359" i="5"/>
  <c r="H2358" i="5"/>
  <c r="H2357" i="5"/>
  <c r="H2356" i="5"/>
  <c r="H2355" i="5"/>
  <c r="H2354" i="5"/>
  <c r="H4059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H2312" i="5"/>
  <c r="H2311" i="5"/>
  <c r="H2310" i="5"/>
  <c r="H2309" i="5"/>
  <c r="H2308" i="5"/>
  <c r="H2307" i="5"/>
  <c r="H2306" i="5"/>
  <c r="H2305" i="5"/>
  <c r="H2304" i="5"/>
  <c r="H2303" i="5"/>
  <c r="H2302" i="5"/>
  <c r="G2301" i="5"/>
  <c r="H2301" i="5" s="1"/>
  <c r="H2300" i="5"/>
  <c r="H2299" i="5"/>
  <c r="H2298" i="5"/>
  <c r="H2297" i="5"/>
  <c r="H2296" i="5"/>
  <c r="H2295" i="5"/>
  <c r="H2294" i="5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G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G2236" i="5"/>
  <c r="H2236" i="5" s="1"/>
  <c r="H2235" i="5"/>
  <c r="H2234" i="5"/>
  <c r="G2233" i="5"/>
  <c r="H2233" i="5" s="1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G2133" i="5"/>
  <c r="H2133" i="5" s="1"/>
  <c r="H2132" i="5"/>
  <c r="H2131" i="5"/>
  <c r="H2130" i="5"/>
  <c r="H2129" i="5"/>
  <c r="H2128" i="5"/>
  <c r="H2127" i="5"/>
  <c r="H2126" i="5"/>
  <c r="H2125" i="5"/>
  <c r="H2124" i="5"/>
  <c r="H2123" i="5"/>
  <c r="H2122" i="5"/>
  <c r="G2122" i="5"/>
  <c r="H2121" i="5"/>
  <c r="H2120" i="5"/>
  <c r="H2119" i="5"/>
  <c r="H2118" i="5"/>
  <c r="H2117" i="5"/>
  <c r="H2116" i="5"/>
  <c r="H2115" i="5"/>
  <c r="H2114" i="5"/>
  <c r="H2113" i="5"/>
  <c r="H2112" i="5"/>
  <c r="H2111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G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G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G1988" i="5"/>
  <c r="H1988" i="5" s="1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G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G1783" i="5"/>
  <c r="H1783" i="5" s="1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G1689" i="5"/>
  <c r="H1689" i="5" s="1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G1661" i="5"/>
  <c r="H1661" i="5" s="1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G1647" i="5"/>
  <c r="H1646" i="5"/>
  <c r="H1645" i="5"/>
  <c r="G1645" i="5"/>
  <c r="H1644" i="5"/>
  <c r="G1643" i="5"/>
  <c r="H1643" i="5" s="1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G1630" i="5"/>
  <c r="H1629" i="5"/>
  <c r="H1628" i="5"/>
  <c r="H1627" i="5"/>
  <c r="G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G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G1501" i="5"/>
  <c r="H1501" i="5" s="1"/>
  <c r="H1500" i="5"/>
  <c r="H1499" i="5"/>
  <c r="H1498" i="5"/>
  <c r="H1497" i="5"/>
  <c r="H1496" i="5"/>
  <c r="H1495" i="5"/>
  <c r="G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G1391" i="5"/>
  <c r="H1391" i="5" s="1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G1363" i="5"/>
  <c r="H1362" i="5"/>
  <c r="G1361" i="5"/>
  <c r="H1361" i="5" s="1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G1331" i="5"/>
  <c r="H1330" i="5"/>
  <c r="H1329" i="5"/>
  <c r="H1328" i="5"/>
  <c r="G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G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G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G1242" i="5"/>
  <c r="H1242" i="5" s="1"/>
  <c r="H1241" i="5"/>
  <c r="H1240" i="5"/>
  <c r="H1239" i="5"/>
  <c r="H1238" i="5"/>
  <c r="G1237" i="5"/>
  <c r="H1237" i="5" s="1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G1224" i="5"/>
  <c r="H1224" i="5" s="1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G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G1108" i="5"/>
  <c r="H1108" i="5" s="1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G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G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G1035" i="5"/>
  <c r="H1035" i="5" s="1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G895" i="5"/>
  <c r="H894" i="5"/>
  <c r="G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G864" i="5"/>
  <c r="H864" i="5" s="1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G793" i="5"/>
  <c r="H793" i="5" s="1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G758" i="5"/>
  <c r="H758" i="5" s="1"/>
  <c r="H757" i="5"/>
  <c r="H756" i="5"/>
  <c r="H755" i="5"/>
  <c r="H754" i="5"/>
  <c r="H753" i="5"/>
  <c r="H752" i="5"/>
  <c r="H751" i="5"/>
  <c r="H750" i="5"/>
  <c r="G749" i="5"/>
  <c r="H749" i="5" s="1"/>
  <c r="H748" i="5"/>
  <c r="H747" i="5"/>
  <c r="H746" i="5"/>
  <c r="H745" i="5"/>
  <c r="H744" i="5"/>
  <c r="H743" i="5"/>
  <c r="G743" i="5"/>
  <c r="H742" i="5"/>
  <c r="H741" i="5"/>
  <c r="H740" i="5"/>
  <c r="G739" i="5"/>
  <c r="H739" i="5" s="1"/>
  <c r="H738" i="5"/>
  <c r="H737" i="5"/>
  <c r="G736" i="5"/>
  <c r="H736" i="5" s="1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G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G660" i="5"/>
  <c r="H660" i="5" s="1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G599" i="5"/>
  <c r="H599" i="5" s="1"/>
  <c r="H598" i="5"/>
  <c r="H597" i="5"/>
  <c r="H596" i="5"/>
  <c r="H595" i="5"/>
  <c r="H594" i="5"/>
  <c r="H593" i="5"/>
  <c r="G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G569" i="5"/>
  <c r="H569" i="5" s="1"/>
  <c r="H568" i="5"/>
  <c r="H567" i="5"/>
  <c r="H566" i="5"/>
  <c r="H565" i="5"/>
  <c r="H564" i="5"/>
  <c r="H563" i="5"/>
  <c r="H562" i="5"/>
  <c r="H561" i="5"/>
  <c r="H560" i="5"/>
  <c r="H559" i="5"/>
  <c r="H558" i="5"/>
  <c r="H557" i="5"/>
  <c r="G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G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G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G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G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G372" i="5"/>
  <c r="H371" i="5"/>
  <c r="G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G207" i="5"/>
  <c r="H207" i="5" s="1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G180" i="5"/>
  <c r="H180" i="5" s="1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G151" i="5"/>
  <c r="H151" i="5" s="1"/>
  <c r="G150" i="5"/>
  <c r="H150" i="5" s="1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G97" i="5"/>
  <c r="H97" i="5" s="1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G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G30" i="5"/>
  <c r="H29" i="5"/>
  <c r="H28" i="5"/>
  <c r="H27" i="5"/>
  <c r="H26" i="5"/>
  <c r="H25" i="5"/>
  <c r="G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G8" i="5"/>
  <c r="H7" i="5"/>
  <c r="H6" i="5"/>
  <c r="H5" i="5"/>
  <c r="G5" i="5"/>
  <c r="H4" i="5"/>
  <c r="H3" i="5"/>
  <c r="G2" i="5"/>
  <c r="G141" i="3" l="1"/>
  <c r="H1136" i="2" l="1"/>
  <c r="G2461" i="1" l="1"/>
  <c r="J2749" i="4" l="1"/>
  <c r="J3621" i="4"/>
  <c r="J3620" i="4"/>
  <c r="J3619" i="4"/>
  <c r="J3618" i="4"/>
  <c r="J3617" i="4"/>
  <c r="J3616" i="4"/>
  <c r="J3615" i="4"/>
  <c r="J3614" i="4"/>
  <c r="J3613" i="4"/>
  <c r="J3612" i="4"/>
  <c r="J3611" i="4"/>
  <c r="J3610" i="4"/>
  <c r="J3609" i="4"/>
  <c r="J3608" i="4"/>
  <c r="J3607" i="4"/>
  <c r="J3606" i="4"/>
  <c r="J3605" i="4"/>
  <c r="J3604" i="4"/>
  <c r="J3603" i="4"/>
  <c r="J3602" i="4"/>
  <c r="J3601" i="4"/>
  <c r="J3600" i="4"/>
  <c r="J3599" i="4"/>
  <c r="J3598" i="4"/>
  <c r="J3597" i="4"/>
  <c r="J3596" i="4"/>
  <c r="J3595" i="4"/>
  <c r="J3594" i="4"/>
  <c r="J3593" i="4"/>
  <c r="J3592" i="4"/>
  <c r="J3591" i="4"/>
  <c r="J3590" i="4"/>
  <c r="J3589" i="4"/>
  <c r="J3588" i="4"/>
  <c r="J3587" i="4"/>
  <c r="J3586" i="4"/>
  <c r="J3585" i="4"/>
  <c r="J3584" i="4"/>
  <c r="J3583" i="4"/>
  <c r="J3582" i="4"/>
  <c r="J3581" i="4"/>
  <c r="J3580" i="4"/>
  <c r="J3579" i="4"/>
  <c r="J3578" i="4"/>
  <c r="J3577" i="4"/>
  <c r="J3576" i="4"/>
  <c r="J3575" i="4"/>
  <c r="J3574" i="4"/>
  <c r="J3573" i="4"/>
  <c r="J3572" i="4"/>
  <c r="J3571" i="4"/>
  <c r="J3570" i="4"/>
  <c r="J3569" i="4"/>
  <c r="J3568" i="4"/>
  <c r="J3567" i="4"/>
  <c r="J3566" i="4"/>
  <c r="J3565" i="4"/>
  <c r="J3564" i="4"/>
  <c r="J3563" i="4"/>
  <c r="J3562" i="4"/>
  <c r="J3561" i="4"/>
  <c r="J3560" i="4"/>
  <c r="J3559" i="4"/>
  <c r="J3558" i="4"/>
  <c r="J3557" i="4"/>
  <c r="J3556" i="4"/>
  <c r="J3555" i="4"/>
  <c r="J3554" i="4"/>
  <c r="J3553" i="4"/>
  <c r="J3552" i="4"/>
  <c r="J3551" i="4"/>
  <c r="J3550" i="4"/>
  <c r="J3549" i="4"/>
  <c r="J3548" i="4"/>
  <c r="J3547" i="4"/>
  <c r="J3546" i="4"/>
  <c r="J3545" i="4"/>
  <c r="J3544" i="4"/>
  <c r="J3543" i="4"/>
  <c r="J3542" i="4"/>
  <c r="J3541" i="4"/>
  <c r="J3540" i="4"/>
  <c r="J3539" i="4"/>
  <c r="J3538" i="4"/>
  <c r="J3537" i="4"/>
  <c r="J3536" i="4"/>
  <c r="J3535" i="4"/>
  <c r="J3534" i="4"/>
  <c r="J3533" i="4"/>
  <c r="J3532" i="4"/>
  <c r="J3531" i="4"/>
  <c r="J3530" i="4"/>
  <c r="J3529" i="4"/>
  <c r="J3528" i="4"/>
  <c r="J3527" i="4"/>
  <c r="J3526" i="4"/>
  <c r="J3525" i="4"/>
  <c r="J3524" i="4"/>
  <c r="J3523" i="4"/>
  <c r="J3522" i="4"/>
  <c r="J3521" i="4"/>
  <c r="J3520" i="4"/>
  <c r="J3519" i="4"/>
  <c r="J3518" i="4"/>
  <c r="J3517" i="4"/>
  <c r="J3516" i="4"/>
  <c r="J3515" i="4"/>
  <c r="J3514" i="4"/>
  <c r="J3513" i="4"/>
  <c r="J3512" i="4"/>
  <c r="J3511" i="4"/>
  <c r="J3510" i="4"/>
  <c r="J3509" i="4"/>
  <c r="J3508" i="4"/>
  <c r="J3507" i="4"/>
  <c r="J3506" i="4"/>
  <c r="J3505" i="4"/>
  <c r="J3504" i="4"/>
  <c r="J3503" i="4"/>
  <c r="J3502" i="4"/>
  <c r="J3501" i="4"/>
  <c r="J3500" i="4"/>
  <c r="J3499" i="4"/>
  <c r="J3498" i="4"/>
  <c r="J3497" i="4"/>
  <c r="J3496" i="4"/>
  <c r="J3495" i="4"/>
  <c r="J3494" i="4"/>
  <c r="J3493" i="4"/>
  <c r="J3492" i="4"/>
  <c r="J3491" i="4"/>
  <c r="J3490" i="4"/>
  <c r="J3489" i="4"/>
  <c r="J3488" i="4"/>
  <c r="J3487" i="4"/>
  <c r="J3486" i="4"/>
  <c r="J3485" i="4"/>
  <c r="J3484" i="4"/>
  <c r="J3483" i="4"/>
  <c r="J3482" i="4"/>
  <c r="J3481" i="4"/>
  <c r="J3480" i="4"/>
  <c r="J3479" i="4"/>
  <c r="J3478" i="4"/>
  <c r="J3477" i="4"/>
  <c r="J3476" i="4"/>
  <c r="J3475" i="4"/>
  <c r="J3474" i="4"/>
  <c r="J3473" i="4"/>
  <c r="J3472" i="4"/>
  <c r="J3471" i="4"/>
  <c r="J3470" i="4"/>
  <c r="J3469" i="4"/>
  <c r="J3468" i="4"/>
  <c r="J3467" i="4"/>
  <c r="J3466" i="4"/>
  <c r="J3465" i="4"/>
  <c r="J3464" i="4"/>
  <c r="J3463" i="4"/>
  <c r="J3462" i="4"/>
  <c r="J3461" i="4"/>
  <c r="J3460" i="4"/>
  <c r="J3459" i="4"/>
  <c r="J3458" i="4"/>
  <c r="J3457" i="4"/>
  <c r="J3456" i="4"/>
  <c r="J3455" i="4"/>
  <c r="J3454" i="4"/>
  <c r="J3453" i="4"/>
  <c r="J3452" i="4"/>
  <c r="J3451" i="4"/>
  <c r="J3450" i="4"/>
  <c r="J3449" i="4"/>
  <c r="J3448" i="4"/>
  <c r="J3447" i="4"/>
  <c r="J3446" i="4"/>
  <c r="J3445" i="4"/>
  <c r="J3444" i="4"/>
  <c r="J3443" i="4"/>
  <c r="J3442" i="4"/>
  <c r="J3441" i="4"/>
  <c r="J3440" i="4"/>
  <c r="J3439" i="4"/>
  <c r="J3438" i="4"/>
  <c r="J3437" i="4"/>
  <c r="J3436" i="4"/>
  <c r="J3435" i="4"/>
  <c r="J3434" i="4"/>
  <c r="J3433" i="4"/>
  <c r="J3432" i="4"/>
  <c r="J3431" i="4"/>
  <c r="J3430" i="4"/>
  <c r="J3429" i="4"/>
  <c r="J3428" i="4"/>
  <c r="J3427" i="4"/>
  <c r="J3426" i="4"/>
  <c r="J3425" i="4"/>
  <c r="J3424" i="4"/>
  <c r="J3423" i="4"/>
  <c r="J3422" i="4"/>
  <c r="J3421" i="4"/>
  <c r="J3420" i="4"/>
  <c r="J3419" i="4"/>
  <c r="J3418" i="4"/>
  <c r="J3417" i="4"/>
  <c r="J3416" i="4"/>
  <c r="J3415" i="4"/>
  <c r="J3414" i="4"/>
  <c r="J3413" i="4"/>
  <c r="J3412" i="4"/>
  <c r="J3411" i="4"/>
  <c r="J3410" i="4"/>
  <c r="J3409" i="4"/>
  <c r="J3408" i="4"/>
  <c r="J3407" i="4"/>
  <c r="J3406" i="4"/>
  <c r="J3405" i="4"/>
  <c r="J3404" i="4"/>
  <c r="J3403" i="4"/>
  <c r="J3402" i="4"/>
  <c r="J3401" i="4"/>
  <c r="J3400" i="4"/>
  <c r="J3399" i="4"/>
  <c r="J3398" i="4"/>
  <c r="J3397" i="4"/>
  <c r="J3396" i="4"/>
  <c r="J3395" i="4"/>
  <c r="J3394" i="4"/>
  <c r="J3393" i="4"/>
  <c r="J3392" i="4"/>
  <c r="J3391" i="4"/>
  <c r="J3390" i="4"/>
  <c r="J3389" i="4"/>
  <c r="J3388" i="4"/>
  <c r="J3387" i="4"/>
  <c r="J3386" i="4"/>
  <c r="J3385" i="4"/>
  <c r="J3384" i="4"/>
  <c r="J3383" i="4"/>
  <c r="J3382" i="4"/>
  <c r="J3381" i="4"/>
  <c r="J3380" i="4"/>
  <c r="J3379" i="4"/>
  <c r="J3378" i="4"/>
  <c r="J3377" i="4"/>
  <c r="J3376" i="4"/>
  <c r="J3375" i="4"/>
  <c r="J3374" i="4"/>
  <c r="J3373" i="4"/>
  <c r="J3372" i="4"/>
  <c r="J3371" i="4"/>
  <c r="J3370" i="4"/>
  <c r="J3369" i="4"/>
  <c r="J3368" i="4"/>
  <c r="J3367" i="4"/>
  <c r="J3366" i="4"/>
  <c r="J3365" i="4"/>
  <c r="J3364" i="4"/>
  <c r="J3363" i="4"/>
  <c r="J3362" i="4"/>
  <c r="J3361" i="4"/>
  <c r="J3360" i="4"/>
  <c r="J3359" i="4"/>
  <c r="J3358" i="4"/>
  <c r="J3357" i="4"/>
  <c r="J3356" i="4"/>
  <c r="J3355" i="4"/>
  <c r="J3354" i="4"/>
  <c r="J3353" i="4"/>
  <c r="J3352" i="4"/>
  <c r="J3351" i="4"/>
  <c r="J3350" i="4"/>
  <c r="J3349" i="4"/>
  <c r="J3348" i="4"/>
  <c r="J3347" i="4"/>
  <c r="J3346" i="4"/>
  <c r="J3345" i="4"/>
  <c r="J3344" i="4"/>
  <c r="J3343" i="4"/>
  <c r="J3342" i="4"/>
  <c r="J3341" i="4"/>
  <c r="J3340" i="4"/>
  <c r="J3339" i="4"/>
  <c r="J3338" i="4"/>
  <c r="J3337" i="4"/>
  <c r="J3336" i="4"/>
  <c r="J3335" i="4"/>
  <c r="J3334" i="4"/>
  <c r="J3333" i="4"/>
  <c r="J3332" i="4"/>
  <c r="J3331" i="4"/>
  <c r="J3330" i="4"/>
  <c r="J3329" i="4"/>
  <c r="J3328" i="4"/>
  <c r="J3327" i="4"/>
  <c r="J3326" i="4"/>
  <c r="J3325" i="4"/>
  <c r="J3324" i="4"/>
  <c r="J3323" i="4"/>
  <c r="J3322" i="4"/>
  <c r="J3321" i="4"/>
  <c r="J3320" i="4"/>
  <c r="J3319" i="4"/>
  <c r="J3318" i="4"/>
  <c r="J3317" i="4"/>
  <c r="J3316" i="4"/>
  <c r="J3315" i="4"/>
  <c r="J3314" i="4"/>
  <c r="J3313" i="4"/>
  <c r="J3312" i="4"/>
  <c r="J3311" i="4"/>
  <c r="J3310" i="4"/>
  <c r="J3309" i="4"/>
  <c r="J3308" i="4"/>
  <c r="J3307" i="4"/>
  <c r="J3306" i="4"/>
  <c r="J3305" i="4"/>
  <c r="J3304" i="4"/>
  <c r="J3303" i="4"/>
  <c r="J3302" i="4"/>
  <c r="J3301" i="4"/>
  <c r="J3300" i="4"/>
  <c r="J3299" i="4"/>
  <c r="J3298" i="4"/>
  <c r="J3297" i="4"/>
  <c r="J3296" i="4"/>
  <c r="J3295" i="4"/>
  <c r="J3294" i="4"/>
  <c r="J3293" i="4"/>
  <c r="J3292" i="4"/>
  <c r="J3291" i="4"/>
  <c r="J3290" i="4"/>
  <c r="J3289" i="4"/>
  <c r="J3288" i="4"/>
  <c r="J3287" i="4"/>
  <c r="J3286" i="4"/>
  <c r="J3285" i="4"/>
  <c r="J3284" i="4"/>
  <c r="J3283" i="4"/>
  <c r="J3282" i="4"/>
  <c r="J3281" i="4"/>
  <c r="J3280" i="4"/>
  <c r="J3279" i="4"/>
  <c r="J3278" i="4"/>
  <c r="J3277" i="4"/>
  <c r="J3276" i="4"/>
  <c r="J3275" i="4"/>
  <c r="J3274" i="4"/>
  <c r="J3273" i="4"/>
  <c r="J3272" i="4"/>
  <c r="J3271" i="4"/>
  <c r="J3270" i="4"/>
  <c r="J3269" i="4"/>
  <c r="J3268" i="4"/>
  <c r="J3267" i="4"/>
  <c r="J3266" i="4"/>
  <c r="J3265" i="4"/>
  <c r="J3264" i="4"/>
  <c r="J3263" i="4"/>
  <c r="J3262" i="4"/>
  <c r="J3261" i="4"/>
  <c r="J3260" i="4"/>
  <c r="J3259" i="4"/>
  <c r="J3258" i="4"/>
  <c r="J3257" i="4"/>
  <c r="J3256" i="4"/>
  <c r="J3255" i="4"/>
  <c r="J3254" i="4"/>
  <c r="J3253" i="4"/>
  <c r="J3252" i="4"/>
  <c r="J3251" i="4"/>
  <c r="J3250" i="4"/>
  <c r="J3249" i="4"/>
  <c r="J3248" i="4"/>
  <c r="J3247" i="4"/>
  <c r="J3246" i="4"/>
  <c r="J3245" i="4"/>
  <c r="J3244" i="4"/>
  <c r="J3243" i="4"/>
  <c r="J3242" i="4"/>
  <c r="J3241" i="4"/>
  <c r="J3240" i="4"/>
  <c r="J3239" i="4"/>
  <c r="J3238" i="4"/>
  <c r="J3237" i="4"/>
  <c r="J3236" i="4"/>
  <c r="J3235" i="4"/>
  <c r="J3234" i="4"/>
  <c r="J3233" i="4"/>
  <c r="J3232" i="4"/>
  <c r="J3231" i="4"/>
  <c r="J3230" i="4"/>
  <c r="J3229" i="4"/>
  <c r="J3228" i="4"/>
  <c r="J3227" i="4"/>
  <c r="J3226" i="4"/>
  <c r="J3225" i="4"/>
  <c r="J3224" i="4"/>
  <c r="J3223" i="4"/>
  <c r="J3222" i="4"/>
  <c r="J3221" i="4"/>
  <c r="J3220" i="4"/>
  <c r="J3219" i="4"/>
  <c r="J3218" i="4"/>
  <c r="J3217" i="4"/>
  <c r="J3216" i="4"/>
  <c r="J3215" i="4"/>
  <c r="J3214" i="4"/>
  <c r="J3213" i="4"/>
  <c r="J3212" i="4"/>
  <c r="J3211" i="4"/>
  <c r="J3210" i="4"/>
  <c r="J3209" i="4"/>
  <c r="J3208" i="4"/>
  <c r="J3207" i="4"/>
  <c r="J3206" i="4"/>
  <c r="J3205" i="4"/>
  <c r="J3204" i="4"/>
  <c r="J3203" i="4"/>
  <c r="J3202" i="4"/>
  <c r="J3201" i="4"/>
  <c r="J3200" i="4"/>
  <c r="J3199" i="4"/>
  <c r="J3198" i="4"/>
  <c r="J3197" i="4"/>
  <c r="J3196" i="4"/>
  <c r="J3195" i="4"/>
  <c r="J3194" i="4"/>
  <c r="J3193" i="4"/>
  <c r="J3192" i="4"/>
  <c r="J3191" i="4"/>
  <c r="J3190" i="4"/>
  <c r="J3189" i="4"/>
  <c r="J3188" i="4"/>
  <c r="J3187" i="4"/>
  <c r="J3186" i="4"/>
  <c r="J3185" i="4"/>
  <c r="J3184" i="4"/>
  <c r="J3183" i="4"/>
  <c r="J3182" i="4"/>
  <c r="J3181" i="4"/>
  <c r="J3180" i="4"/>
  <c r="J3179" i="4"/>
  <c r="J3178" i="4"/>
  <c r="J3177" i="4"/>
  <c r="J3176" i="4"/>
  <c r="J3175" i="4"/>
  <c r="J3174" i="4"/>
  <c r="J3173" i="4"/>
  <c r="J3172" i="4"/>
  <c r="J3171" i="4"/>
  <c r="J3170" i="4"/>
  <c r="J3169" i="4"/>
  <c r="J3168" i="4"/>
  <c r="J3167" i="4"/>
  <c r="J3166" i="4"/>
  <c r="J3165" i="4"/>
  <c r="J3164" i="4"/>
  <c r="J3163" i="4"/>
  <c r="J3162" i="4"/>
  <c r="J3161" i="4"/>
  <c r="J3160" i="4"/>
  <c r="J3159" i="4"/>
  <c r="J3158" i="4"/>
  <c r="J3157" i="4"/>
  <c r="J3156" i="4"/>
  <c r="J3155" i="4"/>
  <c r="J3154" i="4"/>
  <c r="J3153" i="4"/>
  <c r="J3152" i="4"/>
  <c r="J3151" i="4"/>
  <c r="J3150" i="4"/>
  <c r="J3149" i="4"/>
  <c r="J3148" i="4"/>
  <c r="J3147" i="4"/>
  <c r="J3146" i="4"/>
  <c r="J3145" i="4"/>
  <c r="J3144" i="4"/>
  <c r="J3143" i="4"/>
  <c r="J3142" i="4"/>
  <c r="J3141" i="4"/>
  <c r="J3140" i="4"/>
  <c r="J3139" i="4"/>
  <c r="J3138" i="4"/>
  <c r="J3137" i="4"/>
  <c r="J3136" i="4"/>
  <c r="J3135" i="4"/>
  <c r="J3134" i="4"/>
  <c r="J3133" i="4"/>
  <c r="J3132" i="4"/>
  <c r="J3131" i="4"/>
  <c r="J3130" i="4"/>
  <c r="J3129" i="4"/>
  <c r="J3128" i="4"/>
  <c r="J3127" i="4"/>
  <c r="J3126" i="4"/>
  <c r="J3125" i="4"/>
  <c r="J3124" i="4"/>
  <c r="J3123" i="4"/>
  <c r="J3122" i="4"/>
  <c r="J3121" i="4"/>
  <c r="J3120" i="4"/>
  <c r="J3119" i="4"/>
  <c r="J3118" i="4"/>
  <c r="J3117" i="4"/>
  <c r="J3116" i="4"/>
  <c r="J3115" i="4"/>
  <c r="J3114" i="4"/>
  <c r="J3113" i="4"/>
  <c r="J3112" i="4"/>
  <c r="J3111" i="4"/>
  <c r="J3110" i="4"/>
  <c r="J3109" i="4"/>
  <c r="J3108" i="4"/>
  <c r="J3107" i="4"/>
  <c r="J3106" i="4"/>
  <c r="J3105" i="4"/>
  <c r="J3104" i="4"/>
  <c r="J3103" i="4"/>
  <c r="J3102" i="4"/>
  <c r="J3101" i="4"/>
  <c r="J3100" i="4"/>
  <c r="J3099" i="4"/>
  <c r="J3098" i="4"/>
  <c r="J3097" i="4"/>
  <c r="J3096" i="4"/>
  <c r="J3095" i="4"/>
  <c r="J3094" i="4"/>
  <c r="J3093" i="4"/>
  <c r="J3092" i="4"/>
  <c r="J3091" i="4"/>
  <c r="J3090" i="4"/>
  <c r="J3089" i="4"/>
  <c r="J3088" i="4"/>
  <c r="J3087" i="4"/>
  <c r="J3086" i="4"/>
  <c r="J3085" i="4"/>
  <c r="J3084" i="4"/>
  <c r="J3083" i="4"/>
  <c r="J3082" i="4"/>
  <c r="J3081" i="4"/>
  <c r="J3080" i="4"/>
  <c r="J3079" i="4"/>
  <c r="J3078" i="4"/>
  <c r="J3077" i="4"/>
  <c r="J3076" i="4"/>
  <c r="J3075" i="4"/>
  <c r="J3074" i="4"/>
  <c r="J3073" i="4"/>
  <c r="J3072" i="4"/>
  <c r="J3071" i="4"/>
  <c r="J3070" i="4"/>
  <c r="J3069" i="4"/>
  <c r="J3068" i="4"/>
  <c r="J3067" i="4"/>
  <c r="J3066" i="4"/>
  <c r="J3065" i="4"/>
  <c r="J3064" i="4"/>
  <c r="J3063" i="4"/>
  <c r="J3062" i="4"/>
  <c r="J3061" i="4"/>
  <c r="J3060" i="4"/>
  <c r="J3059" i="4"/>
  <c r="J3058" i="4"/>
  <c r="J3057" i="4"/>
  <c r="J3056" i="4"/>
  <c r="J3055" i="4"/>
  <c r="J3054" i="4"/>
  <c r="J3053" i="4"/>
  <c r="J3052" i="4"/>
  <c r="J3051" i="4"/>
  <c r="J3050" i="4"/>
  <c r="J3049" i="4"/>
  <c r="J3048" i="4"/>
  <c r="J3047" i="4"/>
  <c r="J3046" i="4"/>
  <c r="J3045" i="4"/>
  <c r="J3044" i="4"/>
  <c r="J3043" i="4"/>
  <c r="J3042" i="4"/>
  <c r="J3041" i="4"/>
  <c r="J3040" i="4"/>
  <c r="J3039" i="4"/>
  <c r="J3038" i="4"/>
  <c r="J3037" i="4"/>
  <c r="J3036" i="4"/>
  <c r="J3035" i="4"/>
  <c r="J3034" i="4"/>
  <c r="J3033" i="4"/>
  <c r="J3032" i="4"/>
  <c r="J3031" i="4"/>
  <c r="J3030" i="4"/>
  <c r="J3029" i="4"/>
  <c r="J3028" i="4"/>
  <c r="J3027" i="4"/>
  <c r="J3026" i="4"/>
  <c r="J3025" i="4"/>
  <c r="J3024" i="4"/>
  <c r="J3023" i="4"/>
  <c r="J3022" i="4"/>
  <c r="J3021" i="4"/>
  <c r="J3020" i="4"/>
  <c r="J3019" i="4"/>
  <c r="J3018" i="4"/>
  <c r="J3017" i="4"/>
  <c r="J3016" i="4"/>
  <c r="J3015" i="4"/>
  <c r="J3014" i="4"/>
  <c r="J3013" i="4"/>
  <c r="J3012" i="4"/>
  <c r="J3011" i="4"/>
  <c r="J3010" i="4"/>
  <c r="J3009" i="4"/>
  <c r="J3008" i="4"/>
  <c r="J3007" i="4"/>
  <c r="J3006" i="4"/>
  <c r="J3005" i="4"/>
  <c r="J3004" i="4"/>
  <c r="J3003" i="4"/>
  <c r="J3002" i="4"/>
  <c r="J3001" i="4"/>
  <c r="J3000" i="4"/>
  <c r="J2999" i="4"/>
  <c r="J2998" i="4"/>
  <c r="J2997" i="4"/>
  <c r="J2996" i="4"/>
  <c r="J2995" i="4"/>
  <c r="J2994" i="4"/>
  <c r="J2993" i="4"/>
  <c r="J2992" i="4"/>
  <c r="J2991" i="4"/>
  <c r="J2990" i="4"/>
  <c r="J2989" i="4"/>
  <c r="J2988" i="4"/>
  <c r="J2987" i="4"/>
  <c r="J2986" i="4"/>
  <c r="J2985" i="4"/>
  <c r="J2984" i="4"/>
  <c r="J2983" i="4"/>
  <c r="J2982" i="4"/>
  <c r="J2981" i="4"/>
  <c r="J2980" i="4"/>
  <c r="J2979" i="4"/>
  <c r="J2978" i="4"/>
  <c r="J2977" i="4"/>
  <c r="J2976" i="4"/>
  <c r="J2975" i="4"/>
  <c r="J2974" i="4"/>
  <c r="J2973" i="4"/>
  <c r="J2972" i="4"/>
  <c r="J2971" i="4"/>
  <c r="J2970" i="4"/>
  <c r="J2969" i="4"/>
  <c r="J2968" i="4"/>
  <c r="J2967" i="4"/>
  <c r="J2966" i="4"/>
  <c r="J2965" i="4"/>
  <c r="J2964" i="4"/>
  <c r="J2963" i="4"/>
  <c r="J2962" i="4"/>
  <c r="J2961" i="4"/>
  <c r="J2960" i="4"/>
  <c r="J2959" i="4"/>
  <c r="J2958" i="4"/>
  <c r="J2957" i="4"/>
  <c r="J2956" i="4"/>
  <c r="J2955" i="4"/>
  <c r="J2954" i="4"/>
  <c r="J2953" i="4"/>
  <c r="J2952" i="4"/>
  <c r="J2951" i="4"/>
  <c r="J2950" i="4"/>
  <c r="J2949" i="4"/>
  <c r="J2948" i="4"/>
  <c r="J2947" i="4"/>
  <c r="J2946" i="4"/>
  <c r="J2945" i="4"/>
  <c r="J2944" i="4"/>
  <c r="J2943" i="4"/>
  <c r="J2942" i="4"/>
  <c r="J2941" i="4"/>
  <c r="J2940" i="4"/>
  <c r="J2939" i="4"/>
  <c r="J2938" i="4"/>
  <c r="J2937" i="4"/>
  <c r="J2936" i="4"/>
  <c r="J2935" i="4"/>
  <c r="J2934" i="4"/>
  <c r="J2933" i="4"/>
  <c r="J2932" i="4"/>
  <c r="J2931" i="4"/>
  <c r="J2930" i="4"/>
  <c r="J2929" i="4"/>
  <c r="J2928" i="4"/>
  <c r="J2927" i="4"/>
  <c r="J2926" i="4"/>
  <c r="J2925" i="4"/>
  <c r="J2924" i="4"/>
  <c r="J2923" i="4"/>
  <c r="J2922" i="4"/>
  <c r="J2921" i="4"/>
  <c r="J2920" i="4"/>
  <c r="J2919" i="4"/>
  <c r="J2918" i="4"/>
  <c r="J2917" i="4"/>
  <c r="J2916" i="4"/>
  <c r="J2915" i="4"/>
  <c r="J2914" i="4"/>
  <c r="J2913" i="4"/>
  <c r="J2912" i="4"/>
  <c r="J2911" i="4"/>
  <c r="J2910" i="4"/>
  <c r="J2909" i="4"/>
  <c r="J2908" i="4"/>
  <c r="J2907" i="4"/>
  <c r="J2906" i="4"/>
  <c r="J2905" i="4"/>
  <c r="J2904" i="4"/>
  <c r="J2903" i="4"/>
  <c r="J2902" i="4"/>
  <c r="J2901" i="4"/>
  <c r="J2900" i="4"/>
  <c r="J2899" i="4"/>
  <c r="J2898" i="4"/>
  <c r="J2897" i="4"/>
  <c r="J2896" i="4"/>
  <c r="J2895" i="4"/>
  <c r="J2894" i="4"/>
  <c r="J2893" i="4"/>
  <c r="J2892" i="4"/>
  <c r="J2891" i="4"/>
  <c r="J2890" i="4"/>
  <c r="J2889" i="4"/>
  <c r="J2888" i="4"/>
  <c r="J2887" i="4"/>
  <c r="J2886" i="4"/>
  <c r="J2885" i="4"/>
  <c r="J2884" i="4"/>
  <c r="J2883" i="4"/>
  <c r="J2882" i="4"/>
  <c r="J2881" i="4"/>
  <c r="J2880" i="4"/>
  <c r="J2879" i="4"/>
  <c r="J2878" i="4"/>
  <c r="J2877" i="4"/>
  <c r="J2876" i="4"/>
  <c r="J2875" i="4"/>
  <c r="J2874" i="4"/>
  <c r="J2873" i="4"/>
  <c r="J2872" i="4"/>
  <c r="J2871" i="4"/>
  <c r="J2870" i="4"/>
  <c r="J2869" i="4"/>
  <c r="J2868" i="4"/>
  <c r="J2867" i="4"/>
  <c r="J2866" i="4"/>
  <c r="J2865" i="4"/>
  <c r="J2864" i="4"/>
  <c r="J2863" i="4"/>
  <c r="J2862" i="4"/>
  <c r="J2861" i="4"/>
  <c r="J2860" i="4"/>
  <c r="J2859" i="4"/>
  <c r="J2858" i="4"/>
  <c r="J2857" i="4"/>
  <c r="J2856" i="4"/>
  <c r="J2855" i="4"/>
  <c r="J2854" i="4"/>
  <c r="J2853" i="4"/>
  <c r="J2852" i="4"/>
  <c r="J2851" i="4"/>
  <c r="J2850" i="4"/>
  <c r="J2849" i="4"/>
  <c r="J2848" i="4"/>
  <c r="J2847" i="4"/>
  <c r="J2846" i="4"/>
  <c r="J2845" i="4"/>
  <c r="J2844" i="4"/>
  <c r="J2843" i="4"/>
  <c r="J2842" i="4"/>
  <c r="J2841" i="4"/>
  <c r="J2840" i="4"/>
  <c r="J2839" i="4"/>
  <c r="J2838" i="4"/>
  <c r="J2837" i="4"/>
  <c r="J2836" i="4"/>
  <c r="J2835" i="4"/>
  <c r="J2834" i="4"/>
  <c r="J2833" i="4"/>
  <c r="J2832" i="4"/>
  <c r="J2831" i="4"/>
  <c r="J2830" i="4"/>
  <c r="J2829" i="4"/>
  <c r="J2828" i="4"/>
  <c r="J2827" i="4"/>
  <c r="J2826" i="4"/>
  <c r="J2825" i="4"/>
  <c r="J2824" i="4"/>
  <c r="J2823" i="4"/>
  <c r="J2822" i="4"/>
  <c r="J2821" i="4"/>
  <c r="J2820" i="4"/>
  <c r="J2819" i="4"/>
  <c r="J2818" i="4"/>
  <c r="J2817" i="4"/>
  <c r="J2816" i="4"/>
  <c r="J2815" i="4"/>
  <c r="J2814" i="4"/>
  <c r="J2813" i="4"/>
  <c r="J2812" i="4"/>
  <c r="J2811" i="4"/>
  <c r="J2810" i="4"/>
  <c r="J2809" i="4"/>
  <c r="J2808" i="4"/>
  <c r="J2807" i="4"/>
  <c r="J2806" i="4"/>
  <c r="J2805" i="4"/>
  <c r="J2804" i="4"/>
  <c r="J2803" i="4"/>
  <c r="J2802" i="4"/>
  <c r="J2801" i="4"/>
  <c r="J2800" i="4"/>
  <c r="J2799" i="4"/>
  <c r="J2798" i="4"/>
  <c r="J2797" i="4"/>
  <c r="J2796" i="4"/>
  <c r="J2795" i="4"/>
  <c r="J2794" i="4"/>
  <c r="J2793" i="4"/>
  <c r="J2792" i="4"/>
  <c r="J2791" i="4"/>
  <c r="J2790" i="4"/>
  <c r="J2789" i="4"/>
  <c r="J2788" i="4"/>
  <c r="J2787" i="4"/>
  <c r="J2786" i="4"/>
  <c r="J2785" i="4"/>
  <c r="J2784" i="4"/>
  <c r="J2783" i="4"/>
  <c r="J2782" i="4"/>
  <c r="J2781" i="4"/>
  <c r="J2780" i="4"/>
  <c r="J2779" i="4"/>
  <c r="J2778" i="4"/>
  <c r="J2777" i="4"/>
  <c r="J2776" i="4"/>
  <c r="J2775" i="4"/>
  <c r="J2774" i="4"/>
  <c r="J2773" i="4"/>
  <c r="J2772" i="4"/>
  <c r="J2771" i="4"/>
  <c r="J2770" i="4"/>
  <c r="J2769" i="4"/>
  <c r="J2768" i="4"/>
  <c r="J2767" i="4"/>
  <c r="J2766" i="4"/>
  <c r="J2765" i="4"/>
  <c r="J2764" i="4"/>
  <c r="J2763" i="4"/>
  <c r="J2762" i="4"/>
  <c r="J2761" i="4"/>
  <c r="J2760" i="4"/>
  <c r="J2759" i="4"/>
  <c r="J2758" i="4"/>
  <c r="J2757" i="4"/>
  <c r="J2756" i="4"/>
  <c r="J2755" i="4"/>
  <c r="J2754" i="4"/>
  <c r="J2753" i="4"/>
  <c r="J2752" i="4"/>
  <c r="J2751" i="4"/>
  <c r="J2750" i="4"/>
  <c r="J2748" i="4"/>
  <c r="J2747" i="4"/>
  <c r="J2746" i="4"/>
  <c r="J2745" i="4"/>
  <c r="J2744" i="4"/>
  <c r="J2743" i="4"/>
  <c r="J2742" i="4"/>
  <c r="J2741" i="4"/>
  <c r="J2740" i="4"/>
  <c r="J2739" i="4"/>
  <c r="J2738" i="4"/>
  <c r="J2737" i="4"/>
  <c r="J2736" i="4"/>
  <c r="J2735" i="4"/>
  <c r="J2734" i="4"/>
  <c r="J2733" i="4"/>
  <c r="J2732" i="4"/>
  <c r="J2731" i="4"/>
  <c r="J2730" i="4"/>
  <c r="J2729" i="4"/>
  <c r="J2728" i="4"/>
  <c r="J2727" i="4"/>
  <c r="J2726" i="4"/>
  <c r="J2725" i="4"/>
  <c r="J2724" i="4"/>
  <c r="J2723" i="4"/>
  <c r="J2722" i="4"/>
  <c r="J2721" i="4"/>
  <c r="J2720" i="4"/>
  <c r="J2719" i="4"/>
  <c r="J2718" i="4"/>
  <c r="J2717" i="4"/>
  <c r="J2716" i="4"/>
  <c r="J2715" i="4"/>
  <c r="J2714" i="4"/>
  <c r="J2713" i="4"/>
  <c r="J2712" i="4"/>
  <c r="J2711" i="4"/>
  <c r="J2710" i="4"/>
  <c r="J2709" i="4"/>
  <c r="J2708" i="4"/>
  <c r="J2707" i="4"/>
  <c r="J2706" i="4"/>
  <c r="J2705" i="4"/>
  <c r="J2704" i="4"/>
  <c r="J2703" i="4"/>
  <c r="J2702" i="4"/>
  <c r="J2701" i="4"/>
  <c r="J2700" i="4"/>
  <c r="J2699" i="4"/>
  <c r="J2698" i="4"/>
  <c r="J2697" i="4"/>
  <c r="J2696" i="4"/>
  <c r="J2695" i="4"/>
  <c r="J2694" i="4"/>
  <c r="J2693" i="4"/>
  <c r="J2692" i="4"/>
  <c r="J2691" i="4"/>
  <c r="J2690" i="4"/>
  <c r="J2689" i="4"/>
  <c r="J2688" i="4"/>
  <c r="J2687" i="4"/>
  <c r="J2686" i="4"/>
  <c r="J2685" i="4"/>
  <c r="J2684" i="4"/>
  <c r="J2683" i="4"/>
  <c r="J2682" i="4"/>
  <c r="J2681" i="4"/>
  <c r="J2680" i="4"/>
  <c r="J2679" i="4"/>
  <c r="J2678" i="4"/>
  <c r="J2677" i="4"/>
  <c r="J2676" i="4"/>
  <c r="J2675" i="4"/>
  <c r="J2674" i="4"/>
  <c r="J2673" i="4"/>
  <c r="J2672" i="4"/>
  <c r="J2671" i="4"/>
  <c r="J2670" i="4"/>
  <c r="J2669" i="4"/>
  <c r="J2668" i="4"/>
  <c r="J2667" i="4"/>
  <c r="J2666" i="4"/>
  <c r="J2665" i="4"/>
  <c r="J2664" i="4"/>
  <c r="J2663" i="4"/>
  <c r="J2662" i="4"/>
  <c r="J2661" i="4"/>
  <c r="J2660" i="4"/>
  <c r="J2659" i="4"/>
  <c r="J2658" i="4"/>
  <c r="J2657" i="4"/>
  <c r="J2656" i="4"/>
  <c r="J2655" i="4"/>
  <c r="J2654" i="4"/>
  <c r="J2653" i="4"/>
  <c r="J2652" i="4"/>
  <c r="J2651" i="4"/>
  <c r="J2650" i="4"/>
  <c r="J2649" i="4"/>
  <c r="J2648" i="4"/>
  <c r="J2647" i="4"/>
  <c r="J2646" i="4"/>
  <c r="J2645" i="4"/>
  <c r="J2644" i="4"/>
  <c r="J2643" i="4"/>
  <c r="J2642" i="4"/>
  <c r="J2641" i="4"/>
  <c r="J2640" i="4"/>
  <c r="J2639" i="4"/>
  <c r="J2638" i="4"/>
  <c r="J2637" i="4"/>
  <c r="J2636" i="4"/>
  <c r="J2635" i="4"/>
  <c r="J2634" i="4"/>
  <c r="J2633" i="4"/>
  <c r="J2632" i="4"/>
  <c r="J2631" i="4"/>
  <c r="J2630" i="4"/>
  <c r="J2629" i="4"/>
  <c r="J2628" i="4"/>
  <c r="J2627" i="4"/>
  <c r="J2626" i="4"/>
  <c r="J2625" i="4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80" i="4"/>
  <c r="J2579" i="4"/>
  <c r="J2578" i="4"/>
  <c r="J2577" i="4"/>
  <c r="J2576" i="4"/>
  <c r="J2575" i="4"/>
  <c r="J2574" i="4"/>
  <c r="J2573" i="4"/>
  <c r="J2572" i="4"/>
  <c r="J2571" i="4"/>
  <c r="J2570" i="4"/>
  <c r="J2569" i="4"/>
  <c r="J2568" i="4"/>
  <c r="J2567" i="4"/>
  <c r="J2566" i="4"/>
  <c r="J2565" i="4"/>
  <c r="J2564" i="4"/>
  <c r="J2563" i="4"/>
  <c r="J2562" i="4"/>
  <c r="J2561" i="4"/>
  <c r="J2560" i="4"/>
  <c r="J2559" i="4"/>
  <c r="J2558" i="4"/>
  <c r="J2557" i="4"/>
  <c r="J2556" i="4"/>
  <c r="J2555" i="4"/>
  <c r="J2554" i="4"/>
  <c r="J2553" i="4"/>
  <c r="J2552" i="4"/>
  <c r="J2551" i="4"/>
  <c r="J2550" i="4"/>
  <c r="J2549" i="4"/>
  <c r="J2548" i="4"/>
  <c r="J2547" i="4"/>
  <c r="J2546" i="4"/>
  <c r="J2545" i="4"/>
  <c r="J2544" i="4"/>
  <c r="J2543" i="4"/>
  <c r="J2542" i="4"/>
  <c r="J2541" i="4"/>
  <c r="J2540" i="4"/>
  <c r="J2539" i="4"/>
  <c r="J2538" i="4"/>
  <c r="J2537" i="4"/>
  <c r="J2536" i="4"/>
  <c r="J2535" i="4"/>
  <c r="J2534" i="4"/>
  <c r="J2533" i="4"/>
  <c r="J2532" i="4"/>
  <c r="J2531" i="4"/>
  <c r="J2530" i="4"/>
  <c r="J2529" i="4"/>
  <c r="J2528" i="4"/>
  <c r="J2527" i="4"/>
  <c r="J2526" i="4"/>
  <c r="J2525" i="4"/>
  <c r="J2524" i="4"/>
  <c r="J2523" i="4"/>
  <c r="J2522" i="4"/>
  <c r="J2521" i="4"/>
  <c r="J2520" i="4"/>
  <c r="J2519" i="4"/>
  <c r="J2518" i="4"/>
  <c r="J2517" i="4"/>
  <c r="J2516" i="4"/>
  <c r="J2515" i="4"/>
  <c r="J2514" i="4"/>
  <c r="J2513" i="4"/>
  <c r="J2512" i="4"/>
  <c r="J2511" i="4"/>
  <c r="J2510" i="4"/>
  <c r="J2509" i="4"/>
  <c r="J2508" i="4"/>
  <c r="J2507" i="4"/>
  <c r="J2506" i="4"/>
  <c r="J2505" i="4"/>
  <c r="J2504" i="4"/>
  <c r="J2503" i="4"/>
  <c r="J2502" i="4"/>
  <c r="J2501" i="4"/>
  <c r="J2500" i="4"/>
  <c r="J2499" i="4"/>
  <c r="J2498" i="4"/>
  <c r="J2497" i="4"/>
  <c r="J2496" i="4"/>
  <c r="J2495" i="4"/>
  <c r="J2494" i="4"/>
  <c r="J2493" i="4"/>
  <c r="J2492" i="4"/>
  <c r="J2491" i="4"/>
  <c r="J2490" i="4"/>
  <c r="J2489" i="4"/>
  <c r="J2488" i="4"/>
  <c r="J2487" i="4"/>
  <c r="J2486" i="4"/>
  <c r="J2485" i="4"/>
  <c r="J2484" i="4"/>
  <c r="J2483" i="4"/>
  <c r="J2482" i="4"/>
  <c r="J2481" i="4"/>
  <c r="J2480" i="4"/>
  <c r="J2479" i="4"/>
  <c r="J2478" i="4"/>
  <c r="J2477" i="4"/>
  <c r="J2476" i="4"/>
  <c r="J2475" i="4"/>
  <c r="J2474" i="4"/>
  <c r="J2473" i="4"/>
  <c r="J2472" i="4"/>
  <c r="J2471" i="4"/>
  <c r="J2470" i="4"/>
  <c r="J2469" i="4"/>
  <c r="J2468" i="4"/>
  <c r="J2467" i="4"/>
  <c r="J2466" i="4"/>
  <c r="J2465" i="4"/>
  <c r="J2464" i="4"/>
  <c r="J2463" i="4"/>
  <c r="J2462" i="4"/>
  <c r="J2461" i="4"/>
  <c r="J2460" i="4"/>
  <c r="J2459" i="4"/>
  <c r="J2458" i="4"/>
  <c r="J2457" i="4"/>
  <c r="J2456" i="4"/>
  <c r="J2455" i="4"/>
  <c r="J2454" i="4"/>
  <c r="J2453" i="4"/>
  <c r="J2452" i="4"/>
  <c r="J2451" i="4"/>
  <c r="J2450" i="4"/>
  <c r="J2449" i="4"/>
  <c r="J2448" i="4"/>
  <c r="J2447" i="4"/>
  <c r="J2446" i="4"/>
  <c r="J2445" i="4"/>
  <c r="J2444" i="4"/>
  <c r="J2443" i="4"/>
  <c r="J2442" i="4"/>
  <c r="J2441" i="4"/>
  <c r="J2440" i="4"/>
  <c r="J2439" i="4"/>
  <c r="J2438" i="4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3622" i="4" l="1"/>
  <c r="H2524" i="2" l="1"/>
  <c r="H1086" i="2" l="1"/>
  <c r="G3526" i="3" l="1"/>
  <c r="G3501" i="3" l="1"/>
  <c r="G3296" i="3" l="1"/>
  <c r="G3295" i="3"/>
  <c r="G3088" i="3"/>
  <c r="G2168" i="3"/>
  <c r="G3434" i="3" l="1"/>
  <c r="G3537" i="3" l="1"/>
  <c r="G3512" i="3"/>
  <c r="G3193" i="3"/>
  <c r="G3538" i="3" l="1"/>
  <c r="G3466" i="3"/>
  <c r="G2878" i="3"/>
  <c r="G3646" i="3" l="1"/>
  <c r="G3605" i="3"/>
  <c r="G3423" i="3"/>
  <c r="G3302" i="3"/>
  <c r="G3259" i="3"/>
  <c r="G3201" i="3"/>
  <c r="G3043" i="3"/>
  <c r="H3321" i="2"/>
  <c r="E3662" i="3" l="1"/>
  <c r="H3661" i="3"/>
  <c r="H3660" i="3"/>
  <c r="H3659" i="3"/>
  <c r="G3658" i="3"/>
  <c r="H3658" i="3" s="1"/>
  <c r="G3657" i="3"/>
  <c r="H3657" i="3" s="1"/>
  <c r="G3656" i="3"/>
  <c r="H3656" i="3" s="1"/>
  <c r="G3655" i="3"/>
  <c r="H3655" i="3" s="1"/>
  <c r="G3654" i="3"/>
  <c r="H3654" i="3" s="1"/>
  <c r="G3653" i="3"/>
  <c r="H3653" i="3" s="1"/>
  <c r="G3652" i="3"/>
  <c r="H3652" i="3" s="1"/>
  <c r="G3651" i="3"/>
  <c r="H3651" i="3" s="1"/>
  <c r="G3650" i="3"/>
  <c r="H3650" i="3" s="1"/>
  <c r="G3649" i="3"/>
  <c r="H3649" i="3" s="1"/>
  <c r="G3648" i="3"/>
  <c r="H3648" i="3" s="1"/>
  <c r="G3647" i="3"/>
  <c r="H3647" i="3" s="1"/>
  <c r="H3646" i="3"/>
  <c r="G3645" i="3"/>
  <c r="H3645" i="3" s="1"/>
  <c r="G3644" i="3"/>
  <c r="H3644" i="3" s="1"/>
  <c r="G3643" i="3"/>
  <c r="H3643" i="3" s="1"/>
  <c r="G3642" i="3"/>
  <c r="H3642" i="3" s="1"/>
  <c r="G3641" i="3"/>
  <c r="H3641" i="3" s="1"/>
  <c r="G3640" i="3"/>
  <c r="H3640" i="3" s="1"/>
  <c r="G3639" i="3"/>
  <c r="H3639" i="3" s="1"/>
  <c r="G3638" i="3"/>
  <c r="H3638" i="3" s="1"/>
  <c r="G3637" i="3"/>
  <c r="H3637" i="3" s="1"/>
  <c r="G3636" i="3"/>
  <c r="H3636" i="3" s="1"/>
  <c r="G3635" i="3"/>
  <c r="H3635" i="3" s="1"/>
  <c r="G3634" i="3"/>
  <c r="H3634" i="3" s="1"/>
  <c r="G3633" i="3"/>
  <c r="H3633" i="3" s="1"/>
  <c r="G3632" i="3"/>
  <c r="H3632" i="3" s="1"/>
  <c r="G3631" i="3"/>
  <c r="H3631" i="3" s="1"/>
  <c r="G3630" i="3"/>
  <c r="H3630" i="3" s="1"/>
  <c r="G3629" i="3"/>
  <c r="H3629" i="3" s="1"/>
  <c r="G3628" i="3"/>
  <c r="H3628" i="3" s="1"/>
  <c r="G3627" i="3"/>
  <c r="H3627" i="3" s="1"/>
  <c r="G3626" i="3"/>
  <c r="H3626" i="3" s="1"/>
  <c r="G3625" i="3"/>
  <c r="H3625" i="3" s="1"/>
  <c r="G3624" i="3"/>
  <c r="H3624" i="3" s="1"/>
  <c r="G3623" i="3"/>
  <c r="H3623" i="3" s="1"/>
  <c r="G3622" i="3"/>
  <c r="H3622" i="3" s="1"/>
  <c r="G3621" i="3"/>
  <c r="H3621" i="3" s="1"/>
  <c r="G3620" i="3"/>
  <c r="H3620" i="3" s="1"/>
  <c r="G3619" i="3"/>
  <c r="H3619" i="3" s="1"/>
  <c r="G3618" i="3"/>
  <c r="H3618" i="3" s="1"/>
  <c r="G3617" i="3"/>
  <c r="H3617" i="3" s="1"/>
  <c r="G3616" i="3"/>
  <c r="H3616" i="3" s="1"/>
  <c r="G3615" i="3"/>
  <c r="H3615" i="3" s="1"/>
  <c r="G3614" i="3"/>
  <c r="H3614" i="3" s="1"/>
  <c r="G3613" i="3"/>
  <c r="H3613" i="3" s="1"/>
  <c r="G3612" i="3"/>
  <c r="H3612" i="3" s="1"/>
  <c r="G3611" i="3"/>
  <c r="H3611" i="3" s="1"/>
  <c r="G3610" i="3"/>
  <c r="H3610" i="3" s="1"/>
  <c r="G3609" i="3"/>
  <c r="H3609" i="3" s="1"/>
  <c r="G3608" i="3"/>
  <c r="H3608" i="3" s="1"/>
  <c r="G3607" i="3"/>
  <c r="H3607" i="3" s="1"/>
  <c r="G3606" i="3"/>
  <c r="H3606" i="3" s="1"/>
  <c r="H3605" i="3"/>
  <c r="G3604" i="3"/>
  <c r="H3604" i="3" s="1"/>
  <c r="G3603" i="3"/>
  <c r="H3603" i="3" s="1"/>
  <c r="G3602" i="3"/>
  <c r="H3602" i="3" s="1"/>
  <c r="G3601" i="3"/>
  <c r="H3601" i="3" s="1"/>
  <c r="G3600" i="3"/>
  <c r="H3600" i="3" s="1"/>
  <c r="G3599" i="3"/>
  <c r="H3599" i="3" s="1"/>
  <c r="G3598" i="3"/>
  <c r="H3598" i="3" s="1"/>
  <c r="G3597" i="3"/>
  <c r="H3597" i="3" s="1"/>
  <c r="H3596" i="3"/>
  <c r="G3596" i="3"/>
  <c r="G3595" i="3"/>
  <c r="H3595" i="3" s="1"/>
  <c r="G3594" i="3"/>
  <c r="H3594" i="3" s="1"/>
  <c r="G3593" i="3"/>
  <c r="H3593" i="3" s="1"/>
  <c r="G3592" i="3"/>
  <c r="H3592" i="3" s="1"/>
  <c r="G3591" i="3"/>
  <c r="H3591" i="3" s="1"/>
  <c r="G3590" i="3"/>
  <c r="H3590" i="3" s="1"/>
  <c r="G3589" i="3"/>
  <c r="H3589" i="3" s="1"/>
  <c r="G3588" i="3"/>
  <c r="H3588" i="3" s="1"/>
  <c r="G3587" i="3"/>
  <c r="H3587" i="3" s="1"/>
  <c r="G3586" i="3"/>
  <c r="H3586" i="3" s="1"/>
  <c r="G3585" i="3"/>
  <c r="H3585" i="3" s="1"/>
  <c r="G3584" i="3"/>
  <c r="H3584" i="3" s="1"/>
  <c r="G3583" i="3"/>
  <c r="H3583" i="3" s="1"/>
  <c r="G3582" i="3"/>
  <c r="H3582" i="3" s="1"/>
  <c r="G3581" i="3"/>
  <c r="H3581" i="3" s="1"/>
  <c r="G3580" i="3"/>
  <c r="H3580" i="3" s="1"/>
  <c r="G3579" i="3"/>
  <c r="H3579" i="3" s="1"/>
  <c r="G3578" i="3"/>
  <c r="H3578" i="3" s="1"/>
  <c r="G3577" i="3"/>
  <c r="H3577" i="3" s="1"/>
  <c r="G3576" i="3"/>
  <c r="H3576" i="3" s="1"/>
  <c r="G3575" i="3"/>
  <c r="H3575" i="3" s="1"/>
  <c r="G3574" i="3"/>
  <c r="H3574" i="3" s="1"/>
  <c r="G3573" i="3"/>
  <c r="H3573" i="3" s="1"/>
  <c r="G3572" i="3"/>
  <c r="H3572" i="3" s="1"/>
  <c r="G3571" i="3"/>
  <c r="H3571" i="3" s="1"/>
  <c r="G3570" i="3"/>
  <c r="H3570" i="3" s="1"/>
  <c r="G3569" i="3"/>
  <c r="H3569" i="3" s="1"/>
  <c r="G3568" i="3"/>
  <c r="H3568" i="3" s="1"/>
  <c r="G3567" i="3"/>
  <c r="H3567" i="3" s="1"/>
  <c r="G3566" i="3"/>
  <c r="H3566" i="3" s="1"/>
  <c r="G3565" i="3"/>
  <c r="H3565" i="3" s="1"/>
  <c r="H3564" i="3"/>
  <c r="G3564" i="3"/>
  <c r="G3563" i="3"/>
  <c r="H3563" i="3" s="1"/>
  <c r="G3562" i="3"/>
  <c r="H3562" i="3" s="1"/>
  <c r="G3561" i="3"/>
  <c r="H3561" i="3" s="1"/>
  <c r="G3560" i="3"/>
  <c r="H3560" i="3" s="1"/>
  <c r="G3559" i="3"/>
  <c r="H3559" i="3" s="1"/>
  <c r="G3558" i="3"/>
  <c r="H3558" i="3" s="1"/>
  <c r="G3557" i="3"/>
  <c r="H3557" i="3" s="1"/>
  <c r="G3556" i="3"/>
  <c r="H3556" i="3" s="1"/>
  <c r="G3555" i="3"/>
  <c r="H3555" i="3" s="1"/>
  <c r="G3554" i="3"/>
  <c r="H3554" i="3" s="1"/>
  <c r="G3553" i="3"/>
  <c r="H3553" i="3" s="1"/>
  <c r="G3552" i="3"/>
  <c r="H3552" i="3" s="1"/>
  <c r="G3551" i="3"/>
  <c r="H3551" i="3" s="1"/>
  <c r="G3550" i="3"/>
  <c r="H3550" i="3" s="1"/>
  <c r="G3549" i="3"/>
  <c r="H3549" i="3" s="1"/>
  <c r="G3548" i="3"/>
  <c r="H3548" i="3" s="1"/>
  <c r="G3547" i="3"/>
  <c r="H3547" i="3" s="1"/>
  <c r="G3546" i="3"/>
  <c r="H3546" i="3" s="1"/>
  <c r="G3545" i="3"/>
  <c r="H3545" i="3" s="1"/>
  <c r="G3544" i="3"/>
  <c r="H3544" i="3" s="1"/>
  <c r="G3543" i="3"/>
  <c r="H3543" i="3" s="1"/>
  <c r="G3542" i="3"/>
  <c r="H3542" i="3" s="1"/>
  <c r="G3541" i="3"/>
  <c r="H3541" i="3" s="1"/>
  <c r="G3540" i="3"/>
  <c r="H3540" i="3" s="1"/>
  <c r="G3539" i="3"/>
  <c r="H3539" i="3" s="1"/>
  <c r="H3538" i="3"/>
  <c r="H3537" i="3"/>
  <c r="G3536" i="3"/>
  <c r="H3536" i="3" s="1"/>
  <c r="G3535" i="3"/>
  <c r="H3535" i="3" s="1"/>
  <c r="G3534" i="3"/>
  <c r="H3534" i="3" s="1"/>
  <c r="G3533" i="3"/>
  <c r="H3533" i="3" s="1"/>
  <c r="G3532" i="3"/>
  <c r="H3532" i="3" s="1"/>
  <c r="G3531" i="3"/>
  <c r="H3531" i="3" s="1"/>
  <c r="G3530" i="3"/>
  <c r="H3530" i="3" s="1"/>
  <c r="G3529" i="3"/>
  <c r="H3529" i="3" s="1"/>
  <c r="G3528" i="3"/>
  <c r="H3528" i="3" s="1"/>
  <c r="G3527" i="3"/>
  <c r="H3527" i="3" s="1"/>
  <c r="H3526" i="3"/>
  <c r="G3525" i="3"/>
  <c r="H3525" i="3" s="1"/>
  <c r="G3524" i="3"/>
  <c r="H3524" i="3" s="1"/>
  <c r="G3523" i="3"/>
  <c r="H3523" i="3" s="1"/>
  <c r="G3522" i="3"/>
  <c r="H3522" i="3" s="1"/>
  <c r="G3521" i="3"/>
  <c r="H3521" i="3" s="1"/>
  <c r="G3520" i="3"/>
  <c r="H3520" i="3" s="1"/>
  <c r="G3519" i="3"/>
  <c r="H3519" i="3" s="1"/>
  <c r="G3518" i="3"/>
  <c r="H3518" i="3" s="1"/>
  <c r="G3517" i="3"/>
  <c r="H3517" i="3" s="1"/>
  <c r="G3516" i="3"/>
  <c r="H3516" i="3" s="1"/>
  <c r="G3515" i="3"/>
  <c r="H3515" i="3" s="1"/>
  <c r="G3514" i="3"/>
  <c r="H3514" i="3" s="1"/>
  <c r="G3513" i="3"/>
  <c r="H3513" i="3" s="1"/>
  <c r="H3512" i="3"/>
  <c r="G3511" i="3"/>
  <c r="H3511" i="3" s="1"/>
  <c r="G3510" i="3"/>
  <c r="H3510" i="3" s="1"/>
  <c r="G3509" i="3"/>
  <c r="H3509" i="3" s="1"/>
  <c r="G3508" i="3"/>
  <c r="H3508" i="3" s="1"/>
  <c r="G3507" i="3"/>
  <c r="H3507" i="3" s="1"/>
  <c r="G3506" i="3"/>
  <c r="H3506" i="3" s="1"/>
  <c r="G3505" i="3"/>
  <c r="H3505" i="3" s="1"/>
  <c r="G3504" i="3"/>
  <c r="H3504" i="3" s="1"/>
  <c r="G3503" i="3"/>
  <c r="H3503" i="3" s="1"/>
  <c r="G3502" i="3"/>
  <c r="H3502" i="3" s="1"/>
  <c r="H3501" i="3"/>
  <c r="G3500" i="3"/>
  <c r="H3500" i="3" s="1"/>
  <c r="G3499" i="3"/>
  <c r="H3499" i="3" s="1"/>
  <c r="G3498" i="3"/>
  <c r="H3498" i="3" s="1"/>
  <c r="G3497" i="3"/>
  <c r="H3497" i="3" s="1"/>
  <c r="G3496" i="3"/>
  <c r="H3496" i="3" s="1"/>
  <c r="G3495" i="3"/>
  <c r="H3495" i="3" s="1"/>
  <c r="G3494" i="3"/>
  <c r="H3494" i="3" s="1"/>
  <c r="G3493" i="3"/>
  <c r="H3493" i="3" s="1"/>
  <c r="G3492" i="3"/>
  <c r="H3492" i="3" s="1"/>
  <c r="G3491" i="3"/>
  <c r="H3491" i="3" s="1"/>
  <c r="G3490" i="3"/>
  <c r="H3490" i="3" s="1"/>
  <c r="G3489" i="3"/>
  <c r="H3489" i="3" s="1"/>
  <c r="G3488" i="3"/>
  <c r="H3488" i="3" s="1"/>
  <c r="G3487" i="3"/>
  <c r="H3487" i="3" s="1"/>
  <c r="G3486" i="3"/>
  <c r="H3486" i="3" s="1"/>
  <c r="G3485" i="3"/>
  <c r="H3485" i="3" s="1"/>
  <c r="G3484" i="3"/>
  <c r="H3484" i="3" s="1"/>
  <c r="G3483" i="3"/>
  <c r="H3483" i="3" s="1"/>
  <c r="G3482" i="3"/>
  <c r="H3482" i="3" s="1"/>
  <c r="G3481" i="3"/>
  <c r="H3481" i="3" s="1"/>
  <c r="G3480" i="3"/>
  <c r="H3480" i="3" s="1"/>
  <c r="H3479" i="3"/>
  <c r="G3479" i="3"/>
  <c r="G3478" i="3"/>
  <c r="H3478" i="3" s="1"/>
  <c r="G3477" i="3"/>
  <c r="H3477" i="3" s="1"/>
  <c r="G3476" i="3"/>
  <c r="H3476" i="3" s="1"/>
  <c r="G3475" i="3"/>
  <c r="H3475" i="3" s="1"/>
  <c r="G3474" i="3"/>
  <c r="H3474" i="3" s="1"/>
  <c r="G3473" i="3"/>
  <c r="H3473" i="3" s="1"/>
  <c r="G3472" i="3"/>
  <c r="H3472" i="3" s="1"/>
  <c r="G3471" i="3"/>
  <c r="H3471" i="3" s="1"/>
  <c r="G3470" i="3"/>
  <c r="H3470" i="3" s="1"/>
  <c r="G3469" i="3"/>
  <c r="H3469" i="3" s="1"/>
  <c r="G3468" i="3"/>
  <c r="H3468" i="3" s="1"/>
  <c r="G3467" i="3"/>
  <c r="H3467" i="3" s="1"/>
  <c r="H3466" i="3"/>
  <c r="G3465" i="3"/>
  <c r="H3465" i="3" s="1"/>
  <c r="G3464" i="3"/>
  <c r="H3464" i="3" s="1"/>
  <c r="G3463" i="3"/>
  <c r="H3463" i="3" s="1"/>
  <c r="G3462" i="3"/>
  <c r="H3462" i="3" s="1"/>
  <c r="G3461" i="3"/>
  <c r="H3461" i="3" s="1"/>
  <c r="G3460" i="3"/>
  <c r="H3460" i="3" s="1"/>
  <c r="G3459" i="3"/>
  <c r="H3459" i="3" s="1"/>
  <c r="G3458" i="3"/>
  <c r="H3458" i="3" s="1"/>
  <c r="G3457" i="3"/>
  <c r="H3457" i="3" s="1"/>
  <c r="G3456" i="3"/>
  <c r="H3456" i="3" s="1"/>
  <c r="G3455" i="3"/>
  <c r="H3455" i="3" s="1"/>
  <c r="G3454" i="3"/>
  <c r="H3454" i="3" s="1"/>
  <c r="G3453" i="3"/>
  <c r="H3453" i="3" s="1"/>
  <c r="G3452" i="3"/>
  <c r="H3452" i="3" s="1"/>
  <c r="G3451" i="3"/>
  <c r="H3451" i="3" s="1"/>
  <c r="G3450" i="3"/>
  <c r="H3450" i="3" s="1"/>
  <c r="G3449" i="3"/>
  <c r="H3449" i="3" s="1"/>
  <c r="G3448" i="3"/>
  <c r="H3448" i="3" s="1"/>
  <c r="G3447" i="3"/>
  <c r="H3447" i="3" s="1"/>
  <c r="G3446" i="3"/>
  <c r="H3446" i="3" s="1"/>
  <c r="G3445" i="3"/>
  <c r="H3445" i="3" s="1"/>
  <c r="G3444" i="3"/>
  <c r="H3444" i="3" s="1"/>
  <c r="G3443" i="3"/>
  <c r="H3443" i="3" s="1"/>
  <c r="G3442" i="3"/>
  <c r="H3442" i="3" s="1"/>
  <c r="G3441" i="3"/>
  <c r="H3441" i="3" s="1"/>
  <c r="G3440" i="3"/>
  <c r="H3440" i="3" s="1"/>
  <c r="G3439" i="3"/>
  <c r="H3439" i="3" s="1"/>
  <c r="G3438" i="3"/>
  <c r="H3438" i="3" s="1"/>
  <c r="G3437" i="3"/>
  <c r="H3437" i="3" s="1"/>
  <c r="G3436" i="3"/>
  <c r="H3436" i="3" s="1"/>
  <c r="G3435" i="3"/>
  <c r="H3435" i="3" s="1"/>
  <c r="H3434" i="3"/>
  <c r="G3433" i="3"/>
  <c r="H3433" i="3" s="1"/>
  <c r="G3432" i="3"/>
  <c r="H3432" i="3" s="1"/>
  <c r="G3431" i="3"/>
  <c r="H3431" i="3" s="1"/>
  <c r="G3430" i="3"/>
  <c r="H3430" i="3" s="1"/>
  <c r="G3429" i="3"/>
  <c r="H3429" i="3" s="1"/>
  <c r="G3428" i="3"/>
  <c r="H3428" i="3" s="1"/>
  <c r="G3427" i="3"/>
  <c r="H3427" i="3" s="1"/>
  <c r="G3426" i="3"/>
  <c r="H3426" i="3" s="1"/>
  <c r="G3425" i="3"/>
  <c r="H3425" i="3" s="1"/>
  <c r="G3424" i="3"/>
  <c r="H3424" i="3" s="1"/>
  <c r="H3423" i="3"/>
  <c r="G3422" i="3"/>
  <c r="H3422" i="3" s="1"/>
  <c r="G3421" i="3"/>
  <c r="H3421" i="3" s="1"/>
  <c r="G3420" i="3"/>
  <c r="H3420" i="3" s="1"/>
  <c r="G3419" i="3"/>
  <c r="H3419" i="3" s="1"/>
  <c r="G3418" i="3"/>
  <c r="H3418" i="3" s="1"/>
  <c r="G3417" i="3"/>
  <c r="H3417" i="3" s="1"/>
  <c r="G3416" i="3"/>
  <c r="H3416" i="3" s="1"/>
  <c r="G3415" i="3"/>
  <c r="H3415" i="3" s="1"/>
  <c r="G3414" i="3"/>
  <c r="H3414" i="3" s="1"/>
  <c r="G3413" i="3"/>
  <c r="H3413" i="3" s="1"/>
  <c r="G3412" i="3"/>
  <c r="H3412" i="3" s="1"/>
  <c r="H3411" i="3"/>
  <c r="G3411" i="3"/>
  <c r="G3410" i="3"/>
  <c r="H3410" i="3" s="1"/>
  <c r="G3409" i="3"/>
  <c r="H3409" i="3" s="1"/>
  <c r="G3408" i="3"/>
  <c r="H3408" i="3" s="1"/>
  <c r="G3407" i="3"/>
  <c r="H3407" i="3" s="1"/>
  <c r="G3406" i="3"/>
  <c r="H3406" i="3" s="1"/>
  <c r="G3405" i="3"/>
  <c r="H3405" i="3" s="1"/>
  <c r="G3404" i="3"/>
  <c r="H3404" i="3" s="1"/>
  <c r="G3403" i="3"/>
  <c r="H3403" i="3" s="1"/>
  <c r="G3402" i="3"/>
  <c r="H3402" i="3" s="1"/>
  <c r="G3401" i="3"/>
  <c r="H3401" i="3" s="1"/>
  <c r="G3400" i="3"/>
  <c r="H3400" i="3" s="1"/>
  <c r="G3399" i="3"/>
  <c r="H3399" i="3" s="1"/>
  <c r="G3398" i="3"/>
  <c r="H3398" i="3" s="1"/>
  <c r="G3397" i="3"/>
  <c r="H3397" i="3" s="1"/>
  <c r="G3396" i="3"/>
  <c r="H3396" i="3" s="1"/>
  <c r="G3395" i="3"/>
  <c r="H3395" i="3" s="1"/>
  <c r="G3394" i="3"/>
  <c r="H3394" i="3" s="1"/>
  <c r="H3393" i="3"/>
  <c r="G3393" i="3"/>
  <c r="G3392" i="3"/>
  <c r="H3392" i="3" s="1"/>
  <c r="G3391" i="3"/>
  <c r="H3391" i="3" s="1"/>
  <c r="G3390" i="3"/>
  <c r="H3390" i="3" s="1"/>
  <c r="G3389" i="3"/>
  <c r="H3389" i="3" s="1"/>
  <c r="G3388" i="3"/>
  <c r="H3388" i="3" s="1"/>
  <c r="H3387" i="3"/>
  <c r="G3387" i="3"/>
  <c r="G3386" i="3"/>
  <c r="H3386" i="3" s="1"/>
  <c r="G3385" i="3"/>
  <c r="H3385" i="3" s="1"/>
  <c r="G3384" i="3"/>
  <c r="H3384" i="3" s="1"/>
  <c r="G3383" i="3"/>
  <c r="H3383" i="3" s="1"/>
  <c r="G3382" i="3"/>
  <c r="H3382" i="3" s="1"/>
  <c r="G3381" i="3"/>
  <c r="H3381" i="3" s="1"/>
  <c r="G3380" i="3"/>
  <c r="H3380" i="3" s="1"/>
  <c r="G3379" i="3"/>
  <c r="H3379" i="3" s="1"/>
  <c r="G3378" i="3"/>
  <c r="H3378" i="3" s="1"/>
  <c r="G3377" i="3"/>
  <c r="H3377" i="3" s="1"/>
  <c r="G3376" i="3"/>
  <c r="H3376" i="3" s="1"/>
  <c r="G3375" i="3"/>
  <c r="H3375" i="3" s="1"/>
  <c r="G3374" i="3"/>
  <c r="H3374" i="3" s="1"/>
  <c r="G3373" i="3"/>
  <c r="H3373" i="3" s="1"/>
  <c r="G3372" i="3"/>
  <c r="H3372" i="3" s="1"/>
  <c r="G3371" i="3"/>
  <c r="H3371" i="3" s="1"/>
  <c r="G3370" i="3"/>
  <c r="H3370" i="3" s="1"/>
  <c r="G3369" i="3"/>
  <c r="H3369" i="3" s="1"/>
  <c r="G3368" i="3"/>
  <c r="H3368" i="3" s="1"/>
  <c r="G3367" i="3"/>
  <c r="H3367" i="3" s="1"/>
  <c r="G3366" i="3"/>
  <c r="H3366" i="3" s="1"/>
  <c r="G3365" i="3"/>
  <c r="H3365" i="3" s="1"/>
  <c r="G3364" i="3"/>
  <c r="H3364" i="3" s="1"/>
  <c r="G3363" i="3"/>
  <c r="H3363" i="3" s="1"/>
  <c r="G3362" i="3"/>
  <c r="H3362" i="3" s="1"/>
  <c r="G3361" i="3"/>
  <c r="H3361" i="3" s="1"/>
  <c r="G3360" i="3"/>
  <c r="H3360" i="3" s="1"/>
  <c r="G3359" i="3"/>
  <c r="H3359" i="3" s="1"/>
  <c r="G3358" i="3"/>
  <c r="H3358" i="3" s="1"/>
  <c r="G3357" i="3"/>
  <c r="H3357" i="3" s="1"/>
  <c r="G3356" i="3"/>
  <c r="H3356" i="3" s="1"/>
  <c r="G3355" i="3"/>
  <c r="H3355" i="3" s="1"/>
  <c r="G3354" i="3"/>
  <c r="H3354" i="3" s="1"/>
  <c r="G3353" i="3"/>
  <c r="H3353" i="3" s="1"/>
  <c r="G3352" i="3"/>
  <c r="H3352" i="3" s="1"/>
  <c r="G3351" i="3"/>
  <c r="H3351" i="3" s="1"/>
  <c r="G3350" i="3"/>
  <c r="H3350" i="3" s="1"/>
  <c r="G3349" i="3"/>
  <c r="H3349" i="3" s="1"/>
  <c r="G3348" i="3"/>
  <c r="H3348" i="3" s="1"/>
  <c r="G3347" i="3"/>
  <c r="H3347" i="3" s="1"/>
  <c r="G3346" i="3"/>
  <c r="H3346" i="3" s="1"/>
  <c r="H3345" i="3"/>
  <c r="G3345" i="3"/>
  <c r="G3344" i="3"/>
  <c r="H3344" i="3" s="1"/>
  <c r="G3343" i="3"/>
  <c r="H3343" i="3" s="1"/>
  <c r="G3342" i="3"/>
  <c r="H3342" i="3" s="1"/>
  <c r="G3341" i="3"/>
  <c r="H3341" i="3" s="1"/>
  <c r="G3340" i="3"/>
  <c r="H3340" i="3" s="1"/>
  <c r="H3339" i="3"/>
  <c r="G3339" i="3"/>
  <c r="G3338" i="3"/>
  <c r="H3338" i="3" s="1"/>
  <c r="G3337" i="3"/>
  <c r="H3337" i="3" s="1"/>
  <c r="G3336" i="3"/>
  <c r="H3336" i="3" s="1"/>
  <c r="G3335" i="3"/>
  <c r="H3335" i="3" s="1"/>
  <c r="G3334" i="3"/>
  <c r="H3334" i="3" s="1"/>
  <c r="G3333" i="3"/>
  <c r="H3333" i="3" s="1"/>
  <c r="G3332" i="3"/>
  <c r="H3332" i="3" s="1"/>
  <c r="G3331" i="3"/>
  <c r="H3331" i="3" s="1"/>
  <c r="G3330" i="3"/>
  <c r="H3330" i="3" s="1"/>
  <c r="G3329" i="3"/>
  <c r="H3329" i="3" s="1"/>
  <c r="G3328" i="3"/>
  <c r="H3328" i="3" s="1"/>
  <c r="G3327" i="3"/>
  <c r="H3327" i="3" s="1"/>
  <c r="G3326" i="3"/>
  <c r="H3326" i="3" s="1"/>
  <c r="G3325" i="3"/>
  <c r="H3325" i="3" s="1"/>
  <c r="G3324" i="3"/>
  <c r="H3324" i="3" s="1"/>
  <c r="H3323" i="3"/>
  <c r="G3323" i="3"/>
  <c r="G3322" i="3"/>
  <c r="H3322" i="3" s="1"/>
  <c r="G3321" i="3"/>
  <c r="H3321" i="3" s="1"/>
  <c r="G3320" i="3"/>
  <c r="H3320" i="3" s="1"/>
  <c r="G3319" i="3"/>
  <c r="H3319" i="3" s="1"/>
  <c r="G3318" i="3"/>
  <c r="H3318" i="3" s="1"/>
  <c r="H3317" i="3"/>
  <c r="G3317" i="3"/>
  <c r="G3316" i="3"/>
  <c r="H3316" i="3" s="1"/>
  <c r="G3315" i="3"/>
  <c r="H3315" i="3" s="1"/>
  <c r="G3314" i="3"/>
  <c r="H3314" i="3" s="1"/>
  <c r="G3313" i="3"/>
  <c r="H3313" i="3" s="1"/>
  <c r="G3312" i="3"/>
  <c r="H3312" i="3" s="1"/>
  <c r="G3311" i="3"/>
  <c r="H3311" i="3" s="1"/>
  <c r="G3310" i="3"/>
  <c r="H3310" i="3" s="1"/>
  <c r="G3309" i="3"/>
  <c r="H3309" i="3" s="1"/>
  <c r="G3308" i="3"/>
  <c r="H3308" i="3" s="1"/>
  <c r="G3307" i="3"/>
  <c r="H3307" i="3" s="1"/>
  <c r="G3306" i="3"/>
  <c r="H3306" i="3" s="1"/>
  <c r="G3305" i="3"/>
  <c r="H3305" i="3" s="1"/>
  <c r="G3304" i="3"/>
  <c r="H3304" i="3" s="1"/>
  <c r="G3303" i="3"/>
  <c r="H3303" i="3" s="1"/>
  <c r="H3302" i="3"/>
  <c r="G3301" i="3"/>
  <c r="H3301" i="3" s="1"/>
  <c r="G3300" i="3"/>
  <c r="H3300" i="3" s="1"/>
  <c r="G3299" i="3"/>
  <c r="H3299" i="3" s="1"/>
  <c r="G3298" i="3"/>
  <c r="H3298" i="3" s="1"/>
  <c r="H3297" i="3"/>
  <c r="G3297" i="3"/>
  <c r="H3296" i="3"/>
  <c r="H3295" i="3"/>
  <c r="G3294" i="3"/>
  <c r="H3294" i="3" s="1"/>
  <c r="G3293" i="3"/>
  <c r="H3293" i="3" s="1"/>
  <c r="G3292" i="3"/>
  <c r="H3292" i="3" s="1"/>
  <c r="H3291" i="3"/>
  <c r="G3291" i="3"/>
  <c r="G3290" i="3"/>
  <c r="H3290" i="3" s="1"/>
  <c r="G3289" i="3"/>
  <c r="H3289" i="3" s="1"/>
  <c r="G3288" i="3"/>
  <c r="H3288" i="3" s="1"/>
  <c r="G3287" i="3"/>
  <c r="H3287" i="3" s="1"/>
  <c r="G3286" i="3"/>
  <c r="H3286" i="3" s="1"/>
  <c r="G3285" i="3"/>
  <c r="H3285" i="3" s="1"/>
  <c r="G3284" i="3"/>
  <c r="H3284" i="3" s="1"/>
  <c r="G3283" i="3"/>
  <c r="H3283" i="3" s="1"/>
  <c r="G3282" i="3"/>
  <c r="H3282" i="3" s="1"/>
  <c r="G3281" i="3"/>
  <c r="H3281" i="3" s="1"/>
  <c r="G3280" i="3"/>
  <c r="H3280" i="3" s="1"/>
  <c r="G3279" i="3"/>
  <c r="H3279" i="3" s="1"/>
  <c r="G3278" i="3"/>
  <c r="H3278" i="3" s="1"/>
  <c r="G3277" i="3"/>
  <c r="H3277" i="3" s="1"/>
  <c r="G3276" i="3"/>
  <c r="H3276" i="3" s="1"/>
  <c r="H3275" i="3"/>
  <c r="G3275" i="3"/>
  <c r="G3274" i="3"/>
  <c r="H3274" i="3" s="1"/>
  <c r="G3273" i="3"/>
  <c r="H3273" i="3" s="1"/>
  <c r="G3272" i="3"/>
  <c r="H3272" i="3" s="1"/>
  <c r="G3271" i="3"/>
  <c r="H3271" i="3" s="1"/>
  <c r="G3270" i="3"/>
  <c r="H3270" i="3" s="1"/>
  <c r="H3269" i="3"/>
  <c r="G3269" i="3"/>
  <c r="G3268" i="3"/>
  <c r="H3268" i="3" s="1"/>
  <c r="G3267" i="3"/>
  <c r="H3267" i="3" s="1"/>
  <c r="G3266" i="3"/>
  <c r="H3266" i="3" s="1"/>
  <c r="G3265" i="3"/>
  <c r="H3265" i="3" s="1"/>
  <c r="G3264" i="3"/>
  <c r="H3264" i="3" s="1"/>
  <c r="G3263" i="3"/>
  <c r="H3263" i="3" s="1"/>
  <c r="G3262" i="3"/>
  <c r="H3262" i="3" s="1"/>
  <c r="G3261" i="3"/>
  <c r="H3261" i="3" s="1"/>
  <c r="G3260" i="3"/>
  <c r="H3260" i="3" s="1"/>
  <c r="H3259" i="3"/>
  <c r="G3258" i="3"/>
  <c r="H3258" i="3" s="1"/>
  <c r="G3257" i="3"/>
  <c r="H3257" i="3" s="1"/>
  <c r="G3256" i="3"/>
  <c r="H3256" i="3" s="1"/>
  <c r="G3255" i="3"/>
  <c r="H3255" i="3" s="1"/>
  <c r="G3254" i="3"/>
  <c r="H3254" i="3" s="1"/>
  <c r="G3253" i="3"/>
  <c r="H3253" i="3" s="1"/>
  <c r="G3252" i="3"/>
  <c r="H3252" i="3" s="1"/>
  <c r="G3251" i="3"/>
  <c r="H3251" i="3" s="1"/>
  <c r="G3250" i="3"/>
  <c r="H3250" i="3" s="1"/>
  <c r="G3249" i="3"/>
  <c r="H3249" i="3" s="1"/>
  <c r="G3248" i="3"/>
  <c r="H3248" i="3" s="1"/>
  <c r="G3247" i="3"/>
  <c r="H3247" i="3" s="1"/>
  <c r="G3246" i="3"/>
  <c r="H3246" i="3" s="1"/>
  <c r="G3245" i="3"/>
  <c r="H3245" i="3" s="1"/>
  <c r="G3244" i="3"/>
  <c r="H3244" i="3" s="1"/>
  <c r="G3243" i="3"/>
  <c r="H3243" i="3" s="1"/>
  <c r="G3242" i="3"/>
  <c r="H3242" i="3" s="1"/>
  <c r="G3241" i="3"/>
  <c r="H3241" i="3" s="1"/>
  <c r="G3240" i="3"/>
  <c r="H3240" i="3" s="1"/>
  <c r="G3239" i="3"/>
  <c r="H3239" i="3" s="1"/>
  <c r="G3238" i="3"/>
  <c r="H3238" i="3" s="1"/>
  <c r="G3237" i="3"/>
  <c r="H3237" i="3" s="1"/>
  <c r="G3236" i="3"/>
  <c r="H3236" i="3" s="1"/>
  <c r="G3235" i="3"/>
  <c r="H3235" i="3" s="1"/>
  <c r="G3234" i="3"/>
  <c r="H3234" i="3" s="1"/>
  <c r="G3233" i="3"/>
  <c r="H3233" i="3" s="1"/>
  <c r="G3232" i="3"/>
  <c r="H3232" i="3" s="1"/>
  <c r="G3231" i="3"/>
  <c r="H3231" i="3" s="1"/>
  <c r="G3230" i="3"/>
  <c r="H3230" i="3" s="1"/>
  <c r="G3229" i="3"/>
  <c r="H3229" i="3" s="1"/>
  <c r="G3228" i="3"/>
  <c r="H3228" i="3" s="1"/>
  <c r="G3227" i="3"/>
  <c r="H3227" i="3" s="1"/>
  <c r="G3226" i="3"/>
  <c r="H3226" i="3" s="1"/>
  <c r="G3225" i="3"/>
  <c r="H3225" i="3" s="1"/>
  <c r="H3224" i="3"/>
  <c r="G3223" i="3"/>
  <c r="H3223" i="3" s="1"/>
  <c r="G3222" i="3"/>
  <c r="H3222" i="3" s="1"/>
  <c r="G3221" i="3"/>
  <c r="H3221" i="3" s="1"/>
  <c r="G3220" i="3"/>
  <c r="H3220" i="3" s="1"/>
  <c r="G3219" i="3"/>
  <c r="H3219" i="3" s="1"/>
  <c r="G3218" i="3"/>
  <c r="H3218" i="3" s="1"/>
  <c r="G3217" i="3"/>
  <c r="H3217" i="3" s="1"/>
  <c r="G3216" i="3"/>
  <c r="H3216" i="3" s="1"/>
  <c r="H3215" i="3"/>
  <c r="G3215" i="3"/>
  <c r="G3214" i="3"/>
  <c r="H3214" i="3" s="1"/>
  <c r="G3213" i="3"/>
  <c r="H3213" i="3" s="1"/>
  <c r="G3212" i="3"/>
  <c r="H3212" i="3" s="1"/>
  <c r="G3211" i="3"/>
  <c r="H3211" i="3" s="1"/>
  <c r="G3210" i="3"/>
  <c r="H3210" i="3" s="1"/>
  <c r="G3209" i="3"/>
  <c r="H3209" i="3" s="1"/>
  <c r="G3208" i="3"/>
  <c r="H3208" i="3" s="1"/>
  <c r="G3207" i="3"/>
  <c r="H3207" i="3" s="1"/>
  <c r="G3206" i="3"/>
  <c r="H3206" i="3" s="1"/>
  <c r="H3205" i="3"/>
  <c r="G3205" i="3"/>
  <c r="G3204" i="3"/>
  <c r="H3204" i="3" s="1"/>
  <c r="G3203" i="3"/>
  <c r="H3203" i="3" s="1"/>
  <c r="G3202" i="3"/>
  <c r="H3202" i="3" s="1"/>
  <c r="H3201" i="3"/>
  <c r="G3200" i="3"/>
  <c r="H3200" i="3" s="1"/>
  <c r="G3199" i="3"/>
  <c r="H3199" i="3" s="1"/>
  <c r="G3198" i="3"/>
  <c r="H3198" i="3" s="1"/>
  <c r="G3197" i="3"/>
  <c r="H3197" i="3" s="1"/>
  <c r="G3196" i="3"/>
  <c r="H3196" i="3" s="1"/>
  <c r="G3195" i="3"/>
  <c r="H3195" i="3" s="1"/>
  <c r="G3194" i="3"/>
  <c r="H3194" i="3" s="1"/>
  <c r="H3193" i="3"/>
  <c r="G3192" i="3"/>
  <c r="H3192" i="3" s="1"/>
  <c r="G3191" i="3"/>
  <c r="H3191" i="3" s="1"/>
  <c r="G3190" i="3"/>
  <c r="H3190" i="3" s="1"/>
  <c r="G3189" i="3"/>
  <c r="H3189" i="3" s="1"/>
  <c r="G3188" i="3"/>
  <c r="H3188" i="3" s="1"/>
  <c r="G3187" i="3"/>
  <c r="H3187" i="3" s="1"/>
  <c r="G3186" i="3"/>
  <c r="H3186" i="3" s="1"/>
  <c r="G3185" i="3"/>
  <c r="H3185" i="3" s="1"/>
  <c r="G3184" i="3"/>
  <c r="H3184" i="3" s="1"/>
  <c r="G3183" i="3"/>
  <c r="H3183" i="3" s="1"/>
  <c r="G3182" i="3"/>
  <c r="H3182" i="3" s="1"/>
  <c r="G3181" i="3"/>
  <c r="H3181" i="3" s="1"/>
  <c r="G3180" i="3"/>
  <c r="H3180" i="3" s="1"/>
  <c r="G3179" i="3"/>
  <c r="H3179" i="3" s="1"/>
  <c r="G3178" i="3"/>
  <c r="H3178" i="3" s="1"/>
  <c r="G3177" i="3"/>
  <c r="H3177" i="3" s="1"/>
  <c r="G3176" i="3"/>
  <c r="H3176" i="3" s="1"/>
  <c r="G3175" i="3"/>
  <c r="H3175" i="3" s="1"/>
  <c r="G3174" i="3"/>
  <c r="H3174" i="3" s="1"/>
  <c r="G3173" i="3"/>
  <c r="H3173" i="3" s="1"/>
  <c r="G3172" i="3"/>
  <c r="H3172" i="3" s="1"/>
  <c r="G3171" i="3"/>
  <c r="H3171" i="3" s="1"/>
  <c r="G3170" i="3"/>
  <c r="H3170" i="3" s="1"/>
  <c r="G3169" i="3"/>
  <c r="H3169" i="3" s="1"/>
  <c r="G3168" i="3"/>
  <c r="H3168" i="3" s="1"/>
  <c r="G3167" i="3"/>
  <c r="H3167" i="3" s="1"/>
  <c r="G3166" i="3"/>
  <c r="H3166" i="3" s="1"/>
  <c r="G3165" i="3"/>
  <c r="H3165" i="3" s="1"/>
  <c r="G3164" i="3"/>
  <c r="H3164" i="3" s="1"/>
  <c r="G3163" i="3"/>
  <c r="H3163" i="3" s="1"/>
  <c r="G3162" i="3"/>
  <c r="H3162" i="3" s="1"/>
  <c r="G3161" i="3"/>
  <c r="H3161" i="3" s="1"/>
  <c r="G3160" i="3"/>
  <c r="H3160" i="3" s="1"/>
  <c r="G3159" i="3"/>
  <c r="H3159" i="3" s="1"/>
  <c r="G3158" i="3"/>
  <c r="H3158" i="3" s="1"/>
  <c r="G3157" i="3"/>
  <c r="H3157" i="3" s="1"/>
  <c r="G3156" i="3"/>
  <c r="H3156" i="3" s="1"/>
  <c r="G3155" i="3"/>
  <c r="H3155" i="3" s="1"/>
  <c r="G3154" i="3"/>
  <c r="H3154" i="3" s="1"/>
  <c r="G3153" i="3"/>
  <c r="H3153" i="3" s="1"/>
  <c r="G3152" i="3"/>
  <c r="H3152" i="3" s="1"/>
  <c r="G3151" i="3"/>
  <c r="H3151" i="3" s="1"/>
  <c r="H3150" i="3"/>
  <c r="G3150" i="3"/>
  <c r="G3149" i="3"/>
  <c r="H3149" i="3" s="1"/>
  <c r="G3148" i="3"/>
  <c r="H3148" i="3" s="1"/>
  <c r="G3147" i="3"/>
  <c r="H3147" i="3" s="1"/>
  <c r="G3146" i="3"/>
  <c r="H3146" i="3" s="1"/>
  <c r="G3145" i="3"/>
  <c r="H3145" i="3" s="1"/>
  <c r="G3144" i="3"/>
  <c r="H3144" i="3" s="1"/>
  <c r="G3143" i="3"/>
  <c r="H3143" i="3" s="1"/>
  <c r="G3142" i="3"/>
  <c r="H3142" i="3" s="1"/>
  <c r="G3141" i="3"/>
  <c r="H3141" i="3" s="1"/>
  <c r="G3140" i="3"/>
  <c r="H3140" i="3" s="1"/>
  <c r="G3139" i="3"/>
  <c r="H3139" i="3" s="1"/>
  <c r="H3138" i="3"/>
  <c r="G3138" i="3"/>
  <c r="G3137" i="3"/>
  <c r="H3137" i="3" s="1"/>
  <c r="G3136" i="3"/>
  <c r="H3136" i="3" s="1"/>
  <c r="H3135" i="3"/>
  <c r="G3135" i="3"/>
  <c r="G3134" i="3"/>
  <c r="H3134" i="3" s="1"/>
  <c r="H3133" i="3"/>
  <c r="G3133" i="3"/>
  <c r="G3132" i="3"/>
  <c r="H3132" i="3" s="1"/>
  <c r="G3131" i="3"/>
  <c r="H3131" i="3" s="1"/>
  <c r="G3130" i="3"/>
  <c r="H3130" i="3" s="1"/>
  <c r="G3129" i="3"/>
  <c r="H3129" i="3" s="1"/>
  <c r="G3128" i="3"/>
  <c r="H3128" i="3" s="1"/>
  <c r="G3127" i="3"/>
  <c r="H3127" i="3" s="1"/>
  <c r="G3126" i="3"/>
  <c r="H3126" i="3" s="1"/>
  <c r="H3125" i="3"/>
  <c r="G3125" i="3"/>
  <c r="G3124" i="3"/>
  <c r="H3124" i="3" s="1"/>
  <c r="H3123" i="3"/>
  <c r="G3123" i="3"/>
  <c r="G3122" i="3"/>
  <c r="H3122" i="3" s="1"/>
  <c r="G3121" i="3"/>
  <c r="H3121" i="3" s="1"/>
  <c r="H3120" i="3"/>
  <c r="G3120" i="3"/>
  <c r="G3119" i="3"/>
  <c r="H3119" i="3" s="1"/>
  <c r="G3118" i="3"/>
  <c r="H3118" i="3" s="1"/>
  <c r="H3117" i="3"/>
  <c r="G3117" i="3"/>
  <c r="G3116" i="3"/>
  <c r="H3116" i="3" s="1"/>
  <c r="G3115" i="3"/>
  <c r="H3115" i="3" s="1"/>
  <c r="G3114" i="3"/>
  <c r="H3114" i="3" s="1"/>
  <c r="G3113" i="3"/>
  <c r="H3113" i="3" s="1"/>
  <c r="G3112" i="3"/>
  <c r="H3112" i="3" s="1"/>
  <c r="G3111" i="3"/>
  <c r="H3111" i="3" s="1"/>
  <c r="G3110" i="3"/>
  <c r="H3110" i="3" s="1"/>
  <c r="G3109" i="3"/>
  <c r="H3109" i="3" s="1"/>
  <c r="G3108" i="3"/>
  <c r="H3108" i="3" s="1"/>
  <c r="G3107" i="3"/>
  <c r="H3107" i="3" s="1"/>
  <c r="G3106" i="3"/>
  <c r="H3106" i="3" s="1"/>
  <c r="G3105" i="3"/>
  <c r="H3105" i="3" s="1"/>
  <c r="G3104" i="3"/>
  <c r="H3104" i="3" s="1"/>
  <c r="G3103" i="3"/>
  <c r="H3103" i="3" s="1"/>
  <c r="G3102" i="3"/>
  <c r="H3102" i="3" s="1"/>
  <c r="G3101" i="3"/>
  <c r="H3101" i="3" s="1"/>
  <c r="G3100" i="3"/>
  <c r="H3100" i="3" s="1"/>
  <c r="G3099" i="3"/>
  <c r="H3099" i="3" s="1"/>
  <c r="G3098" i="3"/>
  <c r="H3098" i="3" s="1"/>
  <c r="G3097" i="3"/>
  <c r="H3097" i="3" s="1"/>
  <c r="G3096" i="3"/>
  <c r="H3096" i="3" s="1"/>
  <c r="H3095" i="3"/>
  <c r="G3095" i="3"/>
  <c r="G3094" i="3"/>
  <c r="H3094" i="3" s="1"/>
  <c r="G3093" i="3"/>
  <c r="H3093" i="3" s="1"/>
  <c r="H3092" i="3"/>
  <c r="G3092" i="3"/>
  <c r="G3091" i="3"/>
  <c r="H3091" i="3" s="1"/>
  <c r="G3090" i="3"/>
  <c r="H3090" i="3" s="1"/>
  <c r="G3089" i="3"/>
  <c r="H3089" i="3" s="1"/>
  <c r="H3088" i="3"/>
  <c r="G3087" i="3"/>
  <c r="H3087" i="3" s="1"/>
  <c r="G3086" i="3"/>
  <c r="H3086" i="3" s="1"/>
  <c r="G3085" i="3"/>
  <c r="H3085" i="3" s="1"/>
  <c r="G3084" i="3"/>
  <c r="H3084" i="3" s="1"/>
  <c r="H3083" i="3"/>
  <c r="G3083" i="3"/>
  <c r="G3082" i="3"/>
  <c r="H3082" i="3" s="1"/>
  <c r="G3081" i="3"/>
  <c r="H3081" i="3" s="1"/>
  <c r="H3080" i="3"/>
  <c r="G3080" i="3"/>
  <c r="G3079" i="3"/>
  <c r="H3079" i="3" s="1"/>
  <c r="G3078" i="3"/>
  <c r="H3078" i="3" s="1"/>
  <c r="G3077" i="3"/>
  <c r="H3077" i="3" s="1"/>
  <c r="G3076" i="3"/>
  <c r="H3076" i="3" s="1"/>
  <c r="G3075" i="3"/>
  <c r="H3075" i="3" s="1"/>
  <c r="G3074" i="3"/>
  <c r="H3074" i="3" s="1"/>
  <c r="G3073" i="3"/>
  <c r="H3073" i="3" s="1"/>
  <c r="G3072" i="3"/>
  <c r="H3072" i="3" s="1"/>
  <c r="G3071" i="3"/>
  <c r="H3071" i="3" s="1"/>
  <c r="G3070" i="3"/>
  <c r="H3070" i="3" s="1"/>
  <c r="G3069" i="3"/>
  <c r="H3069" i="3" s="1"/>
  <c r="G3068" i="3"/>
  <c r="H3068" i="3" s="1"/>
  <c r="G3067" i="3"/>
  <c r="H3067" i="3" s="1"/>
  <c r="G3066" i="3"/>
  <c r="H3066" i="3" s="1"/>
  <c r="G3065" i="3"/>
  <c r="H3065" i="3" s="1"/>
  <c r="G3064" i="3"/>
  <c r="H3064" i="3" s="1"/>
  <c r="H3063" i="3"/>
  <c r="G3063" i="3"/>
  <c r="G3062" i="3"/>
  <c r="H3062" i="3" s="1"/>
  <c r="G3061" i="3"/>
  <c r="H3061" i="3" s="1"/>
  <c r="G3060" i="3"/>
  <c r="H3060" i="3" s="1"/>
  <c r="G3059" i="3"/>
  <c r="H3059" i="3" s="1"/>
  <c r="G3058" i="3"/>
  <c r="H3058" i="3" s="1"/>
  <c r="G3057" i="3"/>
  <c r="H3057" i="3" s="1"/>
  <c r="G3056" i="3"/>
  <c r="H3056" i="3" s="1"/>
  <c r="G3055" i="3"/>
  <c r="H3055" i="3" s="1"/>
  <c r="G3054" i="3"/>
  <c r="H3054" i="3" s="1"/>
  <c r="G3053" i="3"/>
  <c r="H3053" i="3" s="1"/>
  <c r="G3052" i="3"/>
  <c r="H3052" i="3" s="1"/>
  <c r="G3051" i="3"/>
  <c r="H3051" i="3" s="1"/>
  <c r="G3050" i="3"/>
  <c r="H3050" i="3" s="1"/>
  <c r="G3049" i="3"/>
  <c r="H3049" i="3" s="1"/>
  <c r="G3048" i="3"/>
  <c r="H3048" i="3" s="1"/>
  <c r="G3047" i="3"/>
  <c r="H3047" i="3" s="1"/>
  <c r="G3046" i="3"/>
  <c r="H3046" i="3" s="1"/>
  <c r="G3045" i="3"/>
  <c r="H3045" i="3" s="1"/>
  <c r="G3044" i="3"/>
  <c r="H3044" i="3" s="1"/>
  <c r="H3043" i="3"/>
  <c r="G3042" i="3"/>
  <c r="H3042" i="3" s="1"/>
  <c r="G3041" i="3"/>
  <c r="H3041" i="3" s="1"/>
  <c r="G3040" i="3"/>
  <c r="H3040" i="3" s="1"/>
  <c r="G3039" i="3"/>
  <c r="H3039" i="3" s="1"/>
  <c r="G3038" i="3"/>
  <c r="H3038" i="3" s="1"/>
  <c r="G3037" i="3"/>
  <c r="H3037" i="3" s="1"/>
  <c r="G3036" i="3"/>
  <c r="H3036" i="3" s="1"/>
  <c r="H3035" i="3"/>
  <c r="G3035" i="3"/>
  <c r="G3034" i="3"/>
  <c r="H3034" i="3" s="1"/>
  <c r="G3033" i="3"/>
  <c r="H3033" i="3" s="1"/>
  <c r="H3032" i="3"/>
  <c r="G3032" i="3"/>
  <c r="G3031" i="3"/>
  <c r="H3031" i="3" s="1"/>
  <c r="G3030" i="3"/>
  <c r="H3030" i="3" s="1"/>
  <c r="G3029" i="3"/>
  <c r="H3029" i="3" s="1"/>
  <c r="G3028" i="3"/>
  <c r="H3028" i="3" s="1"/>
  <c r="G3027" i="3"/>
  <c r="H3027" i="3" s="1"/>
  <c r="G3026" i="3"/>
  <c r="H3026" i="3" s="1"/>
  <c r="H3025" i="3"/>
  <c r="G3025" i="3"/>
  <c r="G3024" i="3"/>
  <c r="H3024" i="3" s="1"/>
  <c r="G3023" i="3"/>
  <c r="H3023" i="3" s="1"/>
  <c r="G3022" i="3"/>
  <c r="H3022" i="3" s="1"/>
  <c r="G3021" i="3"/>
  <c r="H3021" i="3" s="1"/>
  <c r="G3020" i="3"/>
  <c r="H3020" i="3" s="1"/>
  <c r="H3019" i="3"/>
  <c r="G3019" i="3"/>
  <c r="G3018" i="3"/>
  <c r="H3018" i="3" s="1"/>
  <c r="H3017" i="3"/>
  <c r="G3017" i="3"/>
  <c r="G3016" i="3"/>
  <c r="H3016" i="3" s="1"/>
  <c r="G3015" i="3"/>
  <c r="H3015" i="3" s="1"/>
  <c r="H3014" i="3"/>
  <c r="G3014" i="3"/>
  <c r="G3013" i="3"/>
  <c r="H3013" i="3" s="1"/>
  <c r="G3012" i="3"/>
  <c r="H3012" i="3" s="1"/>
  <c r="G3011" i="3"/>
  <c r="H3011" i="3" s="1"/>
  <c r="H3010" i="3"/>
  <c r="G3010" i="3"/>
  <c r="G3009" i="3"/>
  <c r="H3009" i="3" s="1"/>
  <c r="G3008" i="3"/>
  <c r="H3008" i="3" s="1"/>
  <c r="H3007" i="3"/>
  <c r="G3007" i="3"/>
  <c r="G3006" i="3"/>
  <c r="H3006" i="3" s="1"/>
  <c r="H3005" i="3"/>
  <c r="G3005" i="3"/>
  <c r="G3004" i="3"/>
  <c r="H3004" i="3" s="1"/>
  <c r="G3003" i="3"/>
  <c r="H3003" i="3" s="1"/>
  <c r="G3002" i="3"/>
  <c r="H3002" i="3" s="1"/>
  <c r="G3001" i="3"/>
  <c r="H3001" i="3" s="1"/>
  <c r="G3000" i="3"/>
  <c r="H3000" i="3" s="1"/>
  <c r="G2999" i="3"/>
  <c r="H2999" i="3" s="1"/>
  <c r="H2998" i="3"/>
  <c r="G2998" i="3"/>
  <c r="G2997" i="3"/>
  <c r="H2997" i="3" s="1"/>
  <c r="G2996" i="3"/>
  <c r="H2996" i="3" s="1"/>
  <c r="G2995" i="3"/>
  <c r="H2995" i="3" s="1"/>
  <c r="G2994" i="3"/>
  <c r="H2994" i="3" s="1"/>
  <c r="G2993" i="3"/>
  <c r="H2993" i="3" s="1"/>
  <c r="G2992" i="3"/>
  <c r="H2992" i="3" s="1"/>
  <c r="G2991" i="3"/>
  <c r="H2991" i="3" s="1"/>
  <c r="H2990" i="3"/>
  <c r="G2990" i="3"/>
  <c r="G2989" i="3"/>
  <c r="H2989" i="3" s="1"/>
  <c r="G2988" i="3"/>
  <c r="H2988" i="3" s="1"/>
  <c r="G2987" i="3"/>
  <c r="H2987" i="3" s="1"/>
  <c r="G2986" i="3"/>
  <c r="H2986" i="3" s="1"/>
  <c r="H2985" i="3"/>
  <c r="G2985" i="3"/>
  <c r="G2984" i="3"/>
  <c r="H2984" i="3" s="1"/>
  <c r="G2983" i="3"/>
  <c r="H2983" i="3" s="1"/>
  <c r="G2982" i="3"/>
  <c r="H2982" i="3" s="1"/>
  <c r="G2981" i="3"/>
  <c r="H2981" i="3" s="1"/>
  <c r="G2980" i="3"/>
  <c r="H2980" i="3" s="1"/>
  <c r="G2979" i="3"/>
  <c r="H2979" i="3" s="1"/>
  <c r="H2978" i="3"/>
  <c r="G2978" i="3"/>
  <c r="G2977" i="3"/>
  <c r="H2977" i="3" s="1"/>
  <c r="G2976" i="3"/>
  <c r="H2976" i="3" s="1"/>
  <c r="G2975" i="3"/>
  <c r="H2975" i="3" s="1"/>
  <c r="G2974" i="3"/>
  <c r="H2974" i="3" s="1"/>
  <c r="H2973" i="3"/>
  <c r="G2973" i="3"/>
  <c r="G2972" i="3"/>
  <c r="H2972" i="3" s="1"/>
  <c r="G2971" i="3"/>
  <c r="H2971" i="3" s="1"/>
  <c r="G2970" i="3"/>
  <c r="H2970" i="3" s="1"/>
  <c r="G2969" i="3"/>
  <c r="H2969" i="3" s="1"/>
  <c r="G2968" i="3"/>
  <c r="H2968" i="3" s="1"/>
  <c r="G2967" i="3"/>
  <c r="H2967" i="3" s="1"/>
  <c r="H2966" i="3"/>
  <c r="G2966" i="3"/>
  <c r="G2965" i="3"/>
  <c r="H2965" i="3" s="1"/>
  <c r="G2964" i="3"/>
  <c r="H2964" i="3" s="1"/>
  <c r="G2963" i="3"/>
  <c r="H2963" i="3" s="1"/>
  <c r="G2962" i="3"/>
  <c r="H2962" i="3" s="1"/>
  <c r="G2961" i="3"/>
  <c r="H2961" i="3" s="1"/>
  <c r="G2960" i="3"/>
  <c r="H2960" i="3" s="1"/>
  <c r="G2959" i="3"/>
  <c r="H2959" i="3" s="1"/>
  <c r="G2958" i="3"/>
  <c r="H2958" i="3" s="1"/>
  <c r="G2957" i="3"/>
  <c r="H2957" i="3" s="1"/>
  <c r="G2956" i="3"/>
  <c r="H2956" i="3" s="1"/>
  <c r="G2955" i="3"/>
  <c r="H2955" i="3" s="1"/>
  <c r="H2954" i="3"/>
  <c r="G2954" i="3"/>
  <c r="H2953" i="3"/>
  <c r="G2953" i="3"/>
  <c r="G2952" i="3"/>
  <c r="H2952" i="3" s="1"/>
  <c r="G2951" i="3"/>
  <c r="H2951" i="3" s="1"/>
  <c r="G2950" i="3"/>
  <c r="H2950" i="3" s="1"/>
  <c r="G2949" i="3"/>
  <c r="H2949" i="3" s="1"/>
  <c r="G2948" i="3"/>
  <c r="H2948" i="3" s="1"/>
  <c r="G2947" i="3"/>
  <c r="H2947" i="3" s="1"/>
  <c r="G2946" i="3"/>
  <c r="H2946" i="3" s="1"/>
  <c r="G2945" i="3"/>
  <c r="H2945" i="3" s="1"/>
  <c r="G2944" i="3"/>
  <c r="H2944" i="3" s="1"/>
  <c r="G2943" i="3"/>
  <c r="H2943" i="3" s="1"/>
  <c r="G2942" i="3"/>
  <c r="H2942" i="3" s="1"/>
  <c r="G2941" i="3"/>
  <c r="H2941" i="3" s="1"/>
  <c r="G2940" i="3"/>
  <c r="H2940" i="3" s="1"/>
  <c r="H2939" i="3"/>
  <c r="G2939" i="3"/>
  <c r="G2938" i="3"/>
  <c r="H2938" i="3" s="1"/>
  <c r="G2937" i="3"/>
  <c r="H2937" i="3" s="1"/>
  <c r="G2936" i="3"/>
  <c r="H2936" i="3" s="1"/>
  <c r="G2935" i="3"/>
  <c r="H2935" i="3" s="1"/>
  <c r="G2934" i="3"/>
  <c r="H2934" i="3" s="1"/>
  <c r="H2933" i="3"/>
  <c r="G2933" i="3"/>
  <c r="G2932" i="3"/>
  <c r="H2932" i="3" s="1"/>
  <c r="G2931" i="3"/>
  <c r="H2931" i="3" s="1"/>
  <c r="G2930" i="3"/>
  <c r="H2930" i="3" s="1"/>
  <c r="G2929" i="3"/>
  <c r="H2929" i="3" s="1"/>
  <c r="G2928" i="3"/>
  <c r="H2928" i="3" s="1"/>
  <c r="G2927" i="3"/>
  <c r="H2927" i="3" s="1"/>
  <c r="G2926" i="3"/>
  <c r="H2926" i="3" s="1"/>
  <c r="G2925" i="3"/>
  <c r="H2925" i="3" s="1"/>
  <c r="G2924" i="3"/>
  <c r="H2924" i="3" s="1"/>
  <c r="G2923" i="3"/>
  <c r="H2923" i="3" s="1"/>
  <c r="G2922" i="3"/>
  <c r="H2922" i="3" s="1"/>
  <c r="G2921" i="3"/>
  <c r="H2921" i="3" s="1"/>
  <c r="H2920" i="3"/>
  <c r="G2920" i="3"/>
  <c r="G2919" i="3"/>
  <c r="H2919" i="3" s="1"/>
  <c r="G2918" i="3"/>
  <c r="H2918" i="3" s="1"/>
  <c r="G2917" i="3"/>
  <c r="H2917" i="3" s="1"/>
  <c r="G2916" i="3"/>
  <c r="H2916" i="3" s="1"/>
  <c r="G2915" i="3"/>
  <c r="H2915" i="3" s="1"/>
  <c r="G2914" i="3"/>
  <c r="H2914" i="3" s="1"/>
  <c r="G2913" i="3"/>
  <c r="H2913" i="3" s="1"/>
  <c r="G2912" i="3"/>
  <c r="H2912" i="3" s="1"/>
  <c r="G2911" i="3"/>
  <c r="H2911" i="3" s="1"/>
  <c r="G2910" i="3"/>
  <c r="H2910" i="3" s="1"/>
  <c r="G2909" i="3"/>
  <c r="H2909" i="3" s="1"/>
  <c r="G2908" i="3"/>
  <c r="H2908" i="3" s="1"/>
  <c r="H2907" i="3"/>
  <c r="G2907" i="3"/>
  <c r="G2906" i="3"/>
  <c r="H2906" i="3" s="1"/>
  <c r="G2905" i="3"/>
  <c r="H2905" i="3" s="1"/>
  <c r="G2904" i="3"/>
  <c r="H2904" i="3" s="1"/>
  <c r="G2903" i="3"/>
  <c r="H2903" i="3" s="1"/>
  <c r="G2902" i="3"/>
  <c r="H2902" i="3" s="1"/>
  <c r="G2901" i="3"/>
  <c r="H2901" i="3" s="1"/>
  <c r="G2900" i="3"/>
  <c r="H2900" i="3" s="1"/>
  <c r="G2899" i="3"/>
  <c r="H2899" i="3" s="1"/>
  <c r="G2898" i="3"/>
  <c r="H2898" i="3" s="1"/>
  <c r="G2897" i="3"/>
  <c r="H2897" i="3" s="1"/>
  <c r="G2896" i="3"/>
  <c r="H2896" i="3" s="1"/>
  <c r="G2895" i="3"/>
  <c r="H2895" i="3" s="1"/>
  <c r="G2894" i="3"/>
  <c r="H2894" i="3" s="1"/>
  <c r="G2893" i="3"/>
  <c r="H2893" i="3" s="1"/>
  <c r="G2892" i="3"/>
  <c r="H2892" i="3" s="1"/>
  <c r="G2891" i="3"/>
  <c r="H2891" i="3" s="1"/>
  <c r="G2890" i="3"/>
  <c r="H2890" i="3" s="1"/>
  <c r="G2889" i="3"/>
  <c r="H2889" i="3" s="1"/>
  <c r="G2888" i="3"/>
  <c r="H2888" i="3" s="1"/>
  <c r="G2887" i="3"/>
  <c r="H2887" i="3" s="1"/>
  <c r="G2886" i="3"/>
  <c r="H2886" i="3" s="1"/>
  <c r="G2885" i="3"/>
  <c r="H2885" i="3" s="1"/>
  <c r="G2884" i="3"/>
  <c r="H2884" i="3" s="1"/>
  <c r="G2883" i="3"/>
  <c r="H2883" i="3" s="1"/>
  <c r="G2882" i="3"/>
  <c r="H2882" i="3" s="1"/>
  <c r="G2881" i="3"/>
  <c r="H2881" i="3" s="1"/>
  <c r="G2880" i="3"/>
  <c r="H2880" i="3" s="1"/>
  <c r="G2879" i="3"/>
  <c r="H2879" i="3" s="1"/>
  <c r="H2878" i="3"/>
  <c r="G2877" i="3"/>
  <c r="H2877" i="3" s="1"/>
  <c r="G2876" i="3"/>
  <c r="H2876" i="3" s="1"/>
  <c r="G2875" i="3"/>
  <c r="H2875" i="3" s="1"/>
  <c r="G2874" i="3"/>
  <c r="H2874" i="3" s="1"/>
  <c r="G2873" i="3"/>
  <c r="H2873" i="3" s="1"/>
  <c r="G2872" i="3"/>
  <c r="H2872" i="3" s="1"/>
  <c r="G2871" i="3"/>
  <c r="H2871" i="3" s="1"/>
  <c r="G2870" i="3"/>
  <c r="H2870" i="3" s="1"/>
  <c r="G2869" i="3"/>
  <c r="H2869" i="3" s="1"/>
  <c r="G2868" i="3"/>
  <c r="H2868" i="3" s="1"/>
  <c r="H2867" i="3"/>
  <c r="G2867" i="3"/>
  <c r="G2866" i="3"/>
  <c r="H2866" i="3" s="1"/>
  <c r="G2865" i="3"/>
  <c r="H2865" i="3" s="1"/>
  <c r="H2864" i="3"/>
  <c r="G2864" i="3"/>
  <c r="G2863" i="3"/>
  <c r="H2863" i="3" s="1"/>
  <c r="G2862" i="3"/>
  <c r="H2862" i="3" s="1"/>
  <c r="G2861" i="3"/>
  <c r="H2861" i="3" s="1"/>
  <c r="G2860" i="3"/>
  <c r="H2860" i="3" s="1"/>
  <c r="G2859" i="3"/>
  <c r="H2859" i="3" s="1"/>
  <c r="G2858" i="3"/>
  <c r="H2858" i="3" s="1"/>
  <c r="G2857" i="3"/>
  <c r="H2857" i="3" s="1"/>
  <c r="G2856" i="3"/>
  <c r="H2856" i="3" s="1"/>
  <c r="H2855" i="3"/>
  <c r="G2855" i="3"/>
  <c r="G2854" i="3"/>
  <c r="H2854" i="3" s="1"/>
  <c r="G2853" i="3"/>
  <c r="H2853" i="3" s="1"/>
  <c r="G2852" i="3"/>
  <c r="H2852" i="3" s="1"/>
  <c r="G2851" i="3"/>
  <c r="H2851" i="3" s="1"/>
  <c r="G2850" i="3"/>
  <c r="H2850" i="3" s="1"/>
  <c r="G2849" i="3"/>
  <c r="H2849" i="3" s="1"/>
  <c r="G2848" i="3"/>
  <c r="H2848" i="3" s="1"/>
  <c r="G2847" i="3"/>
  <c r="H2847" i="3" s="1"/>
  <c r="G2846" i="3"/>
  <c r="H2846" i="3" s="1"/>
  <c r="G2845" i="3"/>
  <c r="H2845" i="3" s="1"/>
  <c r="G2844" i="3"/>
  <c r="H2844" i="3" s="1"/>
  <c r="G2843" i="3"/>
  <c r="H2843" i="3" s="1"/>
  <c r="G2842" i="3"/>
  <c r="H2842" i="3" s="1"/>
  <c r="H2841" i="3"/>
  <c r="G2841" i="3"/>
  <c r="G2840" i="3"/>
  <c r="H2840" i="3" s="1"/>
  <c r="G2839" i="3"/>
  <c r="H2839" i="3" s="1"/>
  <c r="G2838" i="3"/>
  <c r="H2838" i="3" s="1"/>
  <c r="G2837" i="3"/>
  <c r="H2837" i="3" s="1"/>
  <c r="G2836" i="3"/>
  <c r="H2836" i="3" s="1"/>
  <c r="G2835" i="3"/>
  <c r="H2835" i="3" s="1"/>
  <c r="G2834" i="3"/>
  <c r="H2834" i="3" s="1"/>
  <c r="G2833" i="3"/>
  <c r="H2833" i="3" s="1"/>
  <c r="G2832" i="3"/>
  <c r="H2832" i="3" s="1"/>
  <c r="H2831" i="3"/>
  <c r="G2831" i="3"/>
  <c r="G2830" i="3"/>
  <c r="H2830" i="3" s="1"/>
  <c r="G2829" i="3"/>
  <c r="H2829" i="3" s="1"/>
  <c r="G2828" i="3"/>
  <c r="H2828" i="3" s="1"/>
  <c r="G2827" i="3"/>
  <c r="H2827" i="3" s="1"/>
  <c r="G2826" i="3"/>
  <c r="H2826" i="3" s="1"/>
  <c r="G2825" i="3"/>
  <c r="H2825" i="3" s="1"/>
  <c r="G2824" i="3"/>
  <c r="H2824" i="3" s="1"/>
  <c r="G2823" i="3"/>
  <c r="H2823" i="3" s="1"/>
  <c r="H2822" i="3"/>
  <c r="G2822" i="3"/>
  <c r="G2821" i="3"/>
  <c r="H2821" i="3" s="1"/>
  <c r="G2820" i="3"/>
  <c r="H2820" i="3" s="1"/>
  <c r="G2819" i="3"/>
  <c r="H2819" i="3" s="1"/>
  <c r="G2818" i="3"/>
  <c r="H2818" i="3" s="1"/>
  <c r="G2817" i="3"/>
  <c r="H2817" i="3" s="1"/>
  <c r="G2816" i="3"/>
  <c r="H2816" i="3" s="1"/>
  <c r="G2815" i="3"/>
  <c r="H2815" i="3" s="1"/>
  <c r="G2814" i="3"/>
  <c r="H2814" i="3" s="1"/>
  <c r="H2813" i="3"/>
  <c r="G2813" i="3"/>
  <c r="G2812" i="3"/>
  <c r="H2812" i="3" s="1"/>
  <c r="G2811" i="3"/>
  <c r="H2811" i="3" s="1"/>
  <c r="G2810" i="3"/>
  <c r="H2810" i="3" s="1"/>
  <c r="G2809" i="3"/>
  <c r="H2809" i="3" s="1"/>
  <c r="G2808" i="3"/>
  <c r="H2808" i="3" s="1"/>
  <c r="G2807" i="3"/>
  <c r="H2807" i="3" s="1"/>
  <c r="G2806" i="3"/>
  <c r="H2806" i="3" s="1"/>
  <c r="H2805" i="3"/>
  <c r="G2805" i="3"/>
  <c r="G2804" i="3"/>
  <c r="H2804" i="3" s="1"/>
  <c r="H2803" i="3"/>
  <c r="G2803" i="3"/>
  <c r="G2802" i="3"/>
  <c r="H2802" i="3" s="1"/>
  <c r="G2801" i="3"/>
  <c r="H2801" i="3" s="1"/>
  <c r="H2800" i="3"/>
  <c r="G2800" i="3"/>
  <c r="G2799" i="3"/>
  <c r="H2799" i="3" s="1"/>
  <c r="G2798" i="3"/>
  <c r="H2798" i="3" s="1"/>
  <c r="H2797" i="3"/>
  <c r="G2797" i="3"/>
  <c r="G2796" i="3"/>
  <c r="H2796" i="3" s="1"/>
  <c r="G2795" i="3"/>
  <c r="H2795" i="3" s="1"/>
  <c r="G2794" i="3"/>
  <c r="H2794" i="3" s="1"/>
  <c r="G2793" i="3"/>
  <c r="H2793" i="3" s="1"/>
  <c r="G2792" i="3"/>
  <c r="H2792" i="3" s="1"/>
  <c r="G2791" i="3"/>
  <c r="H2791" i="3" s="1"/>
  <c r="G2790" i="3"/>
  <c r="H2790" i="3" s="1"/>
  <c r="G2789" i="3"/>
  <c r="H2789" i="3" s="1"/>
  <c r="G2788" i="3"/>
  <c r="H2788" i="3" s="1"/>
  <c r="G2787" i="3"/>
  <c r="H2787" i="3" s="1"/>
  <c r="G2786" i="3"/>
  <c r="H2786" i="3" s="1"/>
  <c r="G2785" i="3"/>
  <c r="H2785" i="3" s="1"/>
  <c r="G2784" i="3"/>
  <c r="H2784" i="3" s="1"/>
  <c r="G2783" i="3"/>
  <c r="H2783" i="3" s="1"/>
  <c r="G2782" i="3"/>
  <c r="H2782" i="3" s="1"/>
  <c r="G2781" i="3"/>
  <c r="H2781" i="3" s="1"/>
  <c r="G2780" i="3"/>
  <c r="H2780" i="3" s="1"/>
  <c r="G2779" i="3"/>
  <c r="H2779" i="3" s="1"/>
  <c r="G2778" i="3"/>
  <c r="H2778" i="3" s="1"/>
  <c r="G2777" i="3"/>
  <c r="H2777" i="3" s="1"/>
  <c r="G2776" i="3"/>
  <c r="H2776" i="3" s="1"/>
  <c r="G2775" i="3"/>
  <c r="H2775" i="3" s="1"/>
  <c r="G2774" i="3"/>
  <c r="H2774" i="3" s="1"/>
  <c r="G2773" i="3"/>
  <c r="H2773" i="3" s="1"/>
  <c r="G2772" i="3"/>
  <c r="H2772" i="3" s="1"/>
  <c r="G2771" i="3"/>
  <c r="H2771" i="3" s="1"/>
  <c r="G2770" i="3"/>
  <c r="H2770" i="3" s="1"/>
  <c r="G2769" i="3"/>
  <c r="H2769" i="3" s="1"/>
  <c r="G2768" i="3"/>
  <c r="H2768" i="3" s="1"/>
  <c r="G2767" i="3"/>
  <c r="H2767" i="3" s="1"/>
  <c r="G2766" i="3"/>
  <c r="H2766" i="3" s="1"/>
  <c r="G2765" i="3"/>
  <c r="H2765" i="3" s="1"/>
  <c r="G2764" i="3"/>
  <c r="H2764" i="3" s="1"/>
  <c r="G2763" i="3"/>
  <c r="H2763" i="3" s="1"/>
  <c r="G2762" i="3"/>
  <c r="H2762" i="3" s="1"/>
  <c r="G2761" i="3"/>
  <c r="H2761" i="3" s="1"/>
  <c r="G2760" i="3"/>
  <c r="H2760" i="3" s="1"/>
  <c r="H2759" i="3"/>
  <c r="G2759" i="3"/>
  <c r="G2758" i="3"/>
  <c r="H2758" i="3" s="1"/>
  <c r="G2757" i="3"/>
  <c r="H2757" i="3" s="1"/>
  <c r="G2756" i="3"/>
  <c r="H2756" i="3" s="1"/>
  <c r="H2755" i="3"/>
  <c r="G2755" i="3"/>
  <c r="G2754" i="3"/>
  <c r="H2754" i="3" s="1"/>
  <c r="G2753" i="3"/>
  <c r="H2753" i="3" s="1"/>
  <c r="G2752" i="3"/>
  <c r="H2752" i="3" s="1"/>
  <c r="G2751" i="3"/>
  <c r="H2751" i="3" s="1"/>
  <c r="G2750" i="3"/>
  <c r="H2750" i="3" s="1"/>
  <c r="H2749" i="3"/>
  <c r="G2749" i="3"/>
  <c r="G2748" i="3"/>
  <c r="H2748" i="3" s="1"/>
  <c r="G2747" i="3"/>
  <c r="H2747" i="3" s="1"/>
  <c r="H2746" i="3"/>
  <c r="G2746" i="3"/>
  <c r="G2745" i="3"/>
  <c r="H2745" i="3" s="1"/>
  <c r="H2744" i="3"/>
  <c r="G2744" i="3"/>
  <c r="G2743" i="3"/>
  <c r="H2743" i="3" s="1"/>
  <c r="G2742" i="3"/>
  <c r="H2742" i="3" s="1"/>
  <c r="G2741" i="3"/>
  <c r="H2741" i="3" s="1"/>
  <c r="G2740" i="3"/>
  <c r="H2740" i="3" s="1"/>
  <c r="G2739" i="3"/>
  <c r="H2739" i="3" s="1"/>
  <c r="G2738" i="3"/>
  <c r="H2738" i="3" s="1"/>
  <c r="G2737" i="3"/>
  <c r="H2737" i="3" s="1"/>
  <c r="G2736" i="3"/>
  <c r="H2736" i="3" s="1"/>
  <c r="G2735" i="3"/>
  <c r="H2735" i="3" s="1"/>
  <c r="G2734" i="3"/>
  <c r="H2734" i="3" s="1"/>
  <c r="G2733" i="3"/>
  <c r="H2733" i="3" s="1"/>
  <c r="G2732" i="3"/>
  <c r="H2732" i="3" s="1"/>
  <c r="H2731" i="3"/>
  <c r="G2731" i="3"/>
  <c r="G2730" i="3"/>
  <c r="H2730" i="3" s="1"/>
  <c r="G2729" i="3"/>
  <c r="H2729" i="3" s="1"/>
  <c r="H2728" i="3"/>
  <c r="G2728" i="3"/>
  <c r="G2727" i="3"/>
  <c r="H2727" i="3" s="1"/>
  <c r="G2726" i="3"/>
  <c r="H2726" i="3" s="1"/>
  <c r="H2725" i="3"/>
  <c r="G2725" i="3"/>
  <c r="G2724" i="3"/>
  <c r="H2724" i="3" s="1"/>
  <c r="G2723" i="3"/>
  <c r="H2723" i="3" s="1"/>
  <c r="G2722" i="3"/>
  <c r="H2722" i="3" s="1"/>
  <c r="G2721" i="3"/>
  <c r="H2721" i="3" s="1"/>
  <c r="G2720" i="3"/>
  <c r="H2720" i="3" s="1"/>
  <c r="G2719" i="3"/>
  <c r="H2719" i="3" s="1"/>
  <c r="G2718" i="3"/>
  <c r="H2718" i="3" s="1"/>
  <c r="G2717" i="3"/>
  <c r="H2717" i="3" s="1"/>
  <c r="G2716" i="3"/>
  <c r="H2716" i="3" s="1"/>
  <c r="G2715" i="3"/>
  <c r="H2715" i="3" s="1"/>
  <c r="G2714" i="3"/>
  <c r="H2714" i="3" s="1"/>
  <c r="G2713" i="3"/>
  <c r="H2713" i="3" s="1"/>
  <c r="G2712" i="3"/>
  <c r="H2712" i="3" s="1"/>
  <c r="G2711" i="3"/>
  <c r="H2711" i="3" s="1"/>
  <c r="G2710" i="3"/>
  <c r="H2710" i="3" s="1"/>
  <c r="G2709" i="3"/>
  <c r="H2709" i="3" s="1"/>
  <c r="G2708" i="3"/>
  <c r="H2708" i="3" s="1"/>
  <c r="H2707" i="3"/>
  <c r="G2707" i="3"/>
  <c r="G2706" i="3"/>
  <c r="H2706" i="3" s="1"/>
  <c r="G2705" i="3"/>
  <c r="H2705" i="3" s="1"/>
  <c r="G2704" i="3"/>
  <c r="H2704" i="3" s="1"/>
  <c r="H2703" i="3"/>
  <c r="G2703" i="3"/>
  <c r="G2702" i="3"/>
  <c r="H2702" i="3" s="1"/>
  <c r="G2701" i="3"/>
  <c r="H2701" i="3" s="1"/>
  <c r="G2700" i="3"/>
  <c r="H2700" i="3" s="1"/>
  <c r="G2699" i="3"/>
  <c r="H2699" i="3" s="1"/>
  <c r="G2698" i="3"/>
  <c r="H2698" i="3" s="1"/>
  <c r="G2697" i="3"/>
  <c r="H2697" i="3" s="1"/>
  <c r="G2696" i="3"/>
  <c r="H2696" i="3" s="1"/>
  <c r="H2695" i="3"/>
  <c r="G2695" i="3"/>
  <c r="G2694" i="3"/>
  <c r="H2694" i="3" s="1"/>
  <c r="G2693" i="3"/>
  <c r="H2693" i="3" s="1"/>
  <c r="G2692" i="3"/>
  <c r="H2692" i="3" s="1"/>
  <c r="G2691" i="3"/>
  <c r="H2691" i="3" s="1"/>
  <c r="G2690" i="3"/>
  <c r="H2690" i="3" s="1"/>
  <c r="G2689" i="3"/>
  <c r="H2689" i="3" s="1"/>
  <c r="G2688" i="3"/>
  <c r="H2688" i="3" s="1"/>
  <c r="G2687" i="3"/>
  <c r="H2687" i="3" s="1"/>
  <c r="G2686" i="3"/>
  <c r="H2686" i="3" s="1"/>
  <c r="H2685" i="3"/>
  <c r="G2685" i="3"/>
  <c r="G2684" i="3"/>
  <c r="H2684" i="3" s="1"/>
  <c r="G2683" i="3"/>
  <c r="H2683" i="3" s="1"/>
  <c r="G2682" i="3"/>
  <c r="H2682" i="3" s="1"/>
  <c r="G2681" i="3"/>
  <c r="H2681" i="3" s="1"/>
  <c r="G2680" i="3"/>
  <c r="H2680" i="3" s="1"/>
  <c r="G2679" i="3"/>
  <c r="H2679" i="3" s="1"/>
  <c r="G2678" i="3"/>
  <c r="H2678" i="3" s="1"/>
  <c r="H2677" i="3"/>
  <c r="G2677" i="3"/>
  <c r="H2676" i="3"/>
  <c r="G2676" i="3"/>
  <c r="H2675" i="3"/>
  <c r="G2675" i="3"/>
  <c r="G2674" i="3"/>
  <c r="H2674" i="3" s="1"/>
  <c r="G2673" i="3"/>
  <c r="H2673" i="3" s="1"/>
  <c r="G2672" i="3"/>
  <c r="H2672" i="3" s="1"/>
  <c r="G2671" i="3"/>
  <c r="H2671" i="3" s="1"/>
  <c r="G2670" i="3"/>
  <c r="H2670" i="3" s="1"/>
  <c r="G2669" i="3"/>
  <c r="H2669" i="3" s="1"/>
  <c r="G2668" i="3"/>
  <c r="H2668" i="3" s="1"/>
  <c r="G2667" i="3"/>
  <c r="H2667" i="3" s="1"/>
  <c r="G2666" i="3"/>
  <c r="H2666" i="3" s="1"/>
  <c r="G2665" i="3"/>
  <c r="H2665" i="3" s="1"/>
  <c r="G2664" i="3"/>
  <c r="H2664" i="3" s="1"/>
  <c r="H2663" i="3"/>
  <c r="G2663" i="3"/>
  <c r="G2662" i="3"/>
  <c r="H2662" i="3" s="1"/>
  <c r="G2661" i="3"/>
  <c r="H2661" i="3" s="1"/>
  <c r="G2660" i="3"/>
  <c r="H2660" i="3" s="1"/>
  <c r="H2659" i="3"/>
  <c r="G2659" i="3"/>
  <c r="G2658" i="3"/>
  <c r="H2658" i="3" s="1"/>
  <c r="G2657" i="3"/>
  <c r="H2657" i="3" s="1"/>
  <c r="G2656" i="3"/>
  <c r="H2656" i="3" s="1"/>
  <c r="G2655" i="3"/>
  <c r="H2655" i="3" s="1"/>
  <c r="G2654" i="3"/>
  <c r="H2654" i="3" s="1"/>
  <c r="G2653" i="3"/>
  <c r="H2653" i="3" s="1"/>
  <c r="G2652" i="3"/>
  <c r="H2652" i="3" s="1"/>
  <c r="G2651" i="3"/>
  <c r="H2651" i="3" s="1"/>
  <c r="G2650" i="3"/>
  <c r="H2650" i="3" s="1"/>
  <c r="H2649" i="3"/>
  <c r="G2649" i="3"/>
  <c r="G2648" i="3"/>
  <c r="H2648" i="3" s="1"/>
  <c r="G2647" i="3"/>
  <c r="H2647" i="3" s="1"/>
  <c r="G2646" i="3"/>
  <c r="H2646" i="3" s="1"/>
  <c r="G2645" i="3"/>
  <c r="H2645" i="3" s="1"/>
  <c r="G2644" i="3"/>
  <c r="H2644" i="3" s="1"/>
  <c r="G2643" i="3"/>
  <c r="H2643" i="3" s="1"/>
  <c r="G2642" i="3"/>
  <c r="H2642" i="3" s="1"/>
  <c r="G2641" i="3"/>
  <c r="H2641" i="3" s="1"/>
  <c r="G2640" i="3"/>
  <c r="H2640" i="3" s="1"/>
  <c r="G2639" i="3"/>
  <c r="H2639" i="3" s="1"/>
  <c r="G2638" i="3"/>
  <c r="H2638" i="3" s="1"/>
  <c r="G2637" i="3"/>
  <c r="H2637" i="3" s="1"/>
  <c r="G2636" i="3"/>
  <c r="H2636" i="3" s="1"/>
  <c r="H2635" i="3"/>
  <c r="G2635" i="3"/>
  <c r="G2634" i="3"/>
  <c r="H2634" i="3" s="1"/>
  <c r="G2633" i="3"/>
  <c r="H2633" i="3" s="1"/>
  <c r="G2632" i="3"/>
  <c r="H2632" i="3" s="1"/>
  <c r="H2631" i="3"/>
  <c r="G2631" i="3"/>
  <c r="G2630" i="3"/>
  <c r="H2630" i="3" s="1"/>
  <c r="G2629" i="3"/>
  <c r="H2629" i="3" s="1"/>
  <c r="G2628" i="3"/>
  <c r="H2628" i="3" s="1"/>
  <c r="G2627" i="3"/>
  <c r="H2627" i="3" s="1"/>
  <c r="G2626" i="3"/>
  <c r="H2626" i="3" s="1"/>
  <c r="H2625" i="3"/>
  <c r="G2625" i="3"/>
  <c r="G2624" i="3"/>
  <c r="H2624" i="3" s="1"/>
  <c r="G2623" i="3"/>
  <c r="H2623" i="3" s="1"/>
  <c r="G2622" i="3"/>
  <c r="H2622" i="3" s="1"/>
  <c r="H2621" i="3"/>
  <c r="G2621" i="3"/>
  <c r="G2620" i="3"/>
  <c r="H2620" i="3" s="1"/>
  <c r="G2619" i="3"/>
  <c r="H2619" i="3" s="1"/>
  <c r="G2618" i="3"/>
  <c r="H2618" i="3" s="1"/>
  <c r="G2617" i="3"/>
  <c r="H2617" i="3" s="1"/>
  <c r="H2616" i="3"/>
  <c r="G2616" i="3"/>
  <c r="G2615" i="3"/>
  <c r="H2615" i="3" s="1"/>
  <c r="G2614" i="3"/>
  <c r="H2614" i="3" s="1"/>
  <c r="G2613" i="3"/>
  <c r="H2613" i="3" s="1"/>
  <c r="G2612" i="3"/>
  <c r="H2612" i="3" s="1"/>
  <c r="G2611" i="3"/>
  <c r="H2611" i="3" s="1"/>
  <c r="G2610" i="3"/>
  <c r="H2610" i="3" s="1"/>
  <c r="G2609" i="3"/>
  <c r="H2609" i="3" s="1"/>
  <c r="G2608" i="3"/>
  <c r="H2608" i="3" s="1"/>
  <c r="H2607" i="3"/>
  <c r="G2607" i="3"/>
  <c r="G2606" i="3"/>
  <c r="H2606" i="3" s="1"/>
  <c r="G2605" i="3"/>
  <c r="H2605" i="3" s="1"/>
  <c r="G2604" i="3"/>
  <c r="H2604" i="3" s="1"/>
  <c r="G2603" i="3"/>
  <c r="H2603" i="3" s="1"/>
  <c r="G2602" i="3"/>
  <c r="H2602" i="3" s="1"/>
  <c r="G2601" i="3"/>
  <c r="H2601" i="3" s="1"/>
  <c r="G2600" i="3"/>
  <c r="H2600" i="3" s="1"/>
  <c r="G2599" i="3"/>
  <c r="H2599" i="3" s="1"/>
  <c r="G2598" i="3"/>
  <c r="H2598" i="3" s="1"/>
  <c r="H2597" i="3"/>
  <c r="G2597" i="3"/>
  <c r="G2596" i="3"/>
  <c r="H2596" i="3" s="1"/>
  <c r="G2595" i="3"/>
  <c r="H2595" i="3" s="1"/>
  <c r="G2594" i="3"/>
  <c r="H2594" i="3" s="1"/>
  <c r="H2593" i="3"/>
  <c r="G2593" i="3"/>
  <c r="G2592" i="3"/>
  <c r="H2592" i="3" s="1"/>
  <c r="H2591" i="3"/>
  <c r="G2591" i="3"/>
  <c r="G2590" i="3"/>
  <c r="H2590" i="3" s="1"/>
  <c r="G2589" i="3"/>
  <c r="H2589" i="3" s="1"/>
  <c r="G2588" i="3"/>
  <c r="H2588" i="3" s="1"/>
  <c r="G2587" i="3"/>
  <c r="H2587" i="3" s="1"/>
  <c r="G2586" i="3"/>
  <c r="H2586" i="3" s="1"/>
  <c r="G2585" i="3"/>
  <c r="H2585" i="3" s="1"/>
  <c r="G2584" i="3"/>
  <c r="H2584" i="3" s="1"/>
  <c r="G2583" i="3"/>
  <c r="H2583" i="3" s="1"/>
  <c r="G2582" i="3"/>
  <c r="H2582" i="3" s="1"/>
  <c r="G2581" i="3"/>
  <c r="H2581" i="3" s="1"/>
  <c r="G2580" i="3"/>
  <c r="H2580" i="3" s="1"/>
  <c r="G2579" i="3"/>
  <c r="H2579" i="3" s="1"/>
  <c r="G2578" i="3"/>
  <c r="H2578" i="3" s="1"/>
  <c r="G2577" i="3"/>
  <c r="H2577" i="3" s="1"/>
  <c r="G2576" i="3"/>
  <c r="H2576" i="3" s="1"/>
  <c r="G2575" i="3"/>
  <c r="H2575" i="3" s="1"/>
  <c r="G2574" i="3"/>
  <c r="H2574" i="3" s="1"/>
  <c r="G2573" i="3"/>
  <c r="H2573" i="3" s="1"/>
  <c r="G2572" i="3"/>
  <c r="H2572" i="3" s="1"/>
  <c r="G2571" i="3"/>
  <c r="H2571" i="3" s="1"/>
  <c r="G2570" i="3"/>
  <c r="H2570" i="3" s="1"/>
  <c r="H2569" i="3"/>
  <c r="G2569" i="3"/>
  <c r="G2568" i="3"/>
  <c r="H2568" i="3" s="1"/>
  <c r="G2567" i="3"/>
  <c r="H2567" i="3" s="1"/>
  <c r="G2566" i="3"/>
  <c r="H2566" i="3" s="1"/>
  <c r="G2565" i="3"/>
  <c r="H2565" i="3" s="1"/>
  <c r="G2564" i="3"/>
  <c r="H2564" i="3" s="1"/>
  <c r="H2563" i="3"/>
  <c r="G2563" i="3"/>
  <c r="G2562" i="3"/>
  <c r="H2562" i="3" s="1"/>
  <c r="G2561" i="3"/>
  <c r="H2561" i="3" s="1"/>
  <c r="G2560" i="3"/>
  <c r="H2560" i="3" s="1"/>
  <c r="G2559" i="3"/>
  <c r="H2559" i="3" s="1"/>
  <c r="G2558" i="3"/>
  <c r="H2558" i="3" s="1"/>
  <c r="G2557" i="3"/>
  <c r="H2557" i="3" s="1"/>
  <c r="G2556" i="3"/>
  <c r="H2556" i="3" s="1"/>
  <c r="G2555" i="3"/>
  <c r="H2555" i="3" s="1"/>
  <c r="G2554" i="3"/>
  <c r="H2554" i="3" s="1"/>
  <c r="G2553" i="3"/>
  <c r="H2553" i="3" s="1"/>
  <c r="G2552" i="3"/>
  <c r="H2552" i="3" s="1"/>
  <c r="G2551" i="3"/>
  <c r="H2551" i="3" s="1"/>
  <c r="G2550" i="3"/>
  <c r="H2550" i="3" s="1"/>
  <c r="G2549" i="3"/>
  <c r="H2549" i="3" s="1"/>
  <c r="G2548" i="3"/>
  <c r="H2548" i="3" s="1"/>
  <c r="G2547" i="3"/>
  <c r="H2547" i="3" s="1"/>
  <c r="G2546" i="3"/>
  <c r="H2546" i="3" s="1"/>
  <c r="G2545" i="3"/>
  <c r="H2545" i="3" s="1"/>
  <c r="H2544" i="3"/>
  <c r="G2544" i="3"/>
  <c r="G2543" i="3"/>
  <c r="H2543" i="3" s="1"/>
  <c r="G2542" i="3"/>
  <c r="H2542" i="3" s="1"/>
  <c r="G2541" i="3"/>
  <c r="H2541" i="3" s="1"/>
  <c r="G2540" i="3"/>
  <c r="H2540" i="3" s="1"/>
  <c r="G2539" i="3"/>
  <c r="H2539" i="3" s="1"/>
  <c r="G2538" i="3"/>
  <c r="H2538" i="3" s="1"/>
  <c r="G2537" i="3"/>
  <c r="H2537" i="3" s="1"/>
  <c r="G2536" i="3"/>
  <c r="H2536" i="3" s="1"/>
  <c r="H2535" i="3"/>
  <c r="G2535" i="3"/>
  <c r="G2534" i="3"/>
  <c r="H2534" i="3" s="1"/>
  <c r="G2533" i="3"/>
  <c r="H2533" i="3" s="1"/>
  <c r="G2532" i="3"/>
  <c r="H2532" i="3" s="1"/>
  <c r="G2531" i="3"/>
  <c r="H2531" i="3" s="1"/>
  <c r="G2530" i="3"/>
  <c r="H2530" i="3" s="1"/>
  <c r="G2529" i="3"/>
  <c r="H2529" i="3" s="1"/>
  <c r="G2528" i="3"/>
  <c r="H2528" i="3" s="1"/>
  <c r="G2527" i="3"/>
  <c r="H2527" i="3" s="1"/>
  <c r="G2526" i="3"/>
  <c r="H2526" i="3" s="1"/>
  <c r="G2525" i="3"/>
  <c r="H2525" i="3" s="1"/>
  <c r="G2524" i="3"/>
  <c r="H2524" i="3" s="1"/>
  <c r="G2523" i="3"/>
  <c r="H2523" i="3" s="1"/>
  <c r="G2522" i="3"/>
  <c r="H2522" i="3" s="1"/>
  <c r="G2521" i="3"/>
  <c r="H2521" i="3" s="1"/>
  <c r="G2520" i="3"/>
  <c r="H2520" i="3" s="1"/>
  <c r="G2519" i="3"/>
  <c r="H2519" i="3" s="1"/>
  <c r="G2518" i="3"/>
  <c r="H2518" i="3" s="1"/>
  <c r="G2517" i="3"/>
  <c r="H2517" i="3" s="1"/>
  <c r="G2516" i="3"/>
  <c r="H2516" i="3" s="1"/>
  <c r="H2515" i="3"/>
  <c r="G2515" i="3"/>
  <c r="G2514" i="3"/>
  <c r="H2514" i="3" s="1"/>
  <c r="G2513" i="3"/>
  <c r="H2513" i="3" s="1"/>
  <c r="G2512" i="3"/>
  <c r="H2512" i="3" s="1"/>
  <c r="H2511" i="3"/>
  <c r="G2511" i="3"/>
  <c r="G2510" i="3"/>
  <c r="H2510" i="3" s="1"/>
  <c r="G2509" i="3"/>
  <c r="H2509" i="3" s="1"/>
  <c r="G2508" i="3"/>
  <c r="H2508" i="3" s="1"/>
  <c r="G2507" i="3"/>
  <c r="H2507" i="3" s="1"/>
  <c r="G2506" i="3"/>
  <c r="H2506" i="3" s="1"/>
  <c r="G2505" i="3"/>
  <c r="H2505" i="3" s="1"/>
  <c r="G2504" i="3"/>
  <c r="H2504" i="3" s="1"/>
  <c r="G2503" i="3"/>
  <c r="H2503" i="3" s="1"/>
  <c r="G2502" i="3"/>
  <c r="H2502" i="3" s="1"/>
  <c r="G2501" i="3"/>
  <c r="H2501" i="3" s="1"/>
  <c r="G2500" i="3"/>
  <c r="H2500" i="3" s="1"/>
  <c r="G2499" i="3"/>
  <c r="H2499" i="3" s="1"/>
  <c r="G2498" i="3"/>
  <c r="H2498" i="3" s="1"/>
  <c r="G2497" i="3"/>
  <c r="H2497" i="3" s="1"/>
  <c r="G2496" i="3"/>
  <c r="H2496" i="3" s="1"/>
  <c r="G2495" i="3"/>
  <c r="H2495" i="3" s="1"/>
  <c r="G2494" i="3"/>
  <c r="H2494" i="3" s="1"/>
  <c r="G2493" i="3"/>
  <c r="H2493" i="3" s="1"/>
  <c r="G2492" i="3"/>
  <c r="H2492" i="3" s="1"/>
  <c r="H2491" i="3"/>
  <c r="G2491" i="3"/>
  <c r="G2490" i="3"/>
  <c r="H2490" i="3" s="1"/>
  <c r="G2489" i="3"/>
  <c r="H2489" i="3" s="1"/>
  <c r="G2488" i="3"/>
  <c r="H2488" i="3" s="1"/>
  <c r="H2487" i="3"/>
  <c r="G2487" i="3"/>
  <c r="G2486" i="3"/>
  <c r="H2486" i="3" s="1"/>
  <c r="G2485" i="3"/>
  <c r="H2485" i="3" s="1"/>
  <c r="G2484" i="3"/>
  <c r="H2484" i="3" s="1"/>
  <c r="G2483" i="3"/>
  <c r="H2483" i="3" s="1"/>
  <c r="G2482" i="3"/>
  <c r="H2482" i="3" s="1"/>
  <c r="G2481" i="3"/>
  <c r="H2481" i="3" s="1"/>
  <c r="G2480" i="3"/>
  <c r="H2480" i="3" s="1"/>
  <c r="G2479" i="3"/>
  <c r="H2479" i="3" s="1"/>
  <c r="G2478" i="3"/>
  <c r="H2478" i="3" s="1"/>
  <c r="G2477" i="3"/>
  <c r="H2477" i="3" s="1"/>
  <c r="G2476" i="3"/>
  <c r="H2476" i="3" s="1"/>
  <c r="G2475" i="3"/>
  <c r="H2475" i="3" s="1"/>
  <c r="G2474" i="3"/>
  <c r="H2474" i="3" s="1"/>
  <c r="G2473" i="3"/>
  <c r="H2473" i="3" s="1"/>
  <c r="G2472" i="3"/>
  <c r="H2472" i="3" s="1"/>
  <c r="G2471" i="3"/>
  <c r="H2471" i="3" s="1"/>
  <c r="G2470" i="3"/>
  <c r="H2470" i="3" s="1"/>
  <c r="G2469" i="3"/>
  <c r="H2469" i="3" s="1"/>
  <c r="G2468" i="3"/>
  <c r="H2468" i="3" s="1"/>
  <c r="G2467" i="3"/>
  <c r="H2467" i="3" s="1"/>
  <c r="G2466" i="3"/>
  <c r="H2466" i="3" s="1"/>
  <c r="G2465" i="3"/>
  <c r="H2465" i="3" s="1"/>
  <c r="G2464" i="3"/>
  <c r="H2464" i="3" s="1"/>
  <c r="G2463" i="3"/>
  <c r="H2463" i="3" s="1"/>
  <c r="G2462" i="3"/>
  <c r="H2462" i="3" s="1"/>
  <c r="G2461" i="3"/>
  <c r="H2461" i="3" s="1"/>
  <c r="G2460" i="3"/>
  <c r="H2460" i="3" s="1"/>
  <c r="G2459" i="3"/>
  <c r="H2459" i="3" s="1"/>
  <c r="G2458" i="3"/>
  <c r="H2458" i="3" s="1"/>
  <c r="G2457" i="3"/>
  <c r="H2457" i="3" s="1"/>
  <c r="G2456" i="3"/>
  <c r="H2456" i="3" s="1"/>
  <c r="G2455" i="3"/>
  <c r="H2455" i="3" s="1"/>
  <c r="G2454" i="3"/>
  <c r="H2454" i="3" s="1"/>
  <c r="G2453" i="3"/>
  <c r="H2453" i="3" s="1"/>
  <c r="G2452" i="3"/>
  <c r="H2452" i="3" s="1"/>
  <c r="G2451" i="3"/>
  <c r="H2451" i="3" s="1"/>
  <c r="G2450" i="3"/>
  <c r="H2450" i="3" s="1"/>
  <c r="G2449" i="3"/>
  <c r="H2449" i="3" s="1"/>
  <c r="G2448" i="3"/>
  <c r="H2448" i="3" s="1"/>
  <c r="G2447" i="3"/>
  <c r="H2447" i="3" s="1"/>
  <c r="G2446" i="3"/>
  <c r="H2446" i="3" s="1"/>
  <c r="G2445" i="3"/>
  <c r="H2445" i="3" s="1"/>
  <c r="G2444" i="3"/>
  <c r="H2444" i="3" s="1"/>
  <c r="H2443" i="3"/>
  <c r="G2443" i="3"/>
  <c r="G2442" i="3"/>
  <c r="H2442" i="3" s="1"/>
  <c r="G2441" i="3"/>
  <c r="H2441" i="3" s="1"/>
  <c r="G2440" i="3"/>
  <c r="H2440" i="3" s="1"/>
  <c r="G2439" i="3"/>
  <c r="H2439" i="3" s="1"/>
  <c r="G2438" i="3"/>
  <c r="H2438" i="3" s="1"/>
  <c r="G2437" i="3"/>
  <c r="H2437" i="3" s="1"/>
  <c r="G2436" i="3"/>
  <c r="H2436" i="3" s="1"/>
  <c r="G2435" i="3"/>
  <c r="H2435" i="3" s="1"/>
  <c r="G2434" i="3"/>
  <c r="H2434" i="3" s="1"/>
  <c r="G2433" i="3"/>
  <c r="H2433" i="3" s="1"/>
  <c r="G2432" i="3"/>
  <c r="H2432" i="3" s="1"/>
  <c r="G2431" i="3"/>
  <c r="H2431" i="3" s="1"/>
  <c r="G2430" i="3"/>
  <c r="H2430" i="3" s="1"/>
  <c r="G2429" i="3"/>
  <c r="H2429" i="3" s="1"/>
  <c r="G2428" i="3"/>
  <c r="H2428" i="3" s="1"/>
  <c r="G2427" i="3"/>
  <c r="H2427" i="3" s="1"/>
  <c r="G2426" i="3"/>
  <c r="H2426" i="3" s="1"/>
  <c r="G2425" i="3"/>
  <c r="H2425" i="3" s="1"/>
  <c r="G2424" i="3"/>
  <c r="H2424" i="3" s="1"/>
  <c r="G2423" i="3"/>
  <c r="H2423" i="3" s="1"/>
  <c r="G2422" i="3"/>
  <c r="H2422" i="3" s="1"/>
  <c r="G2421" i="3"/>
  <c r="H2421" i="3" s="1"/>
  <c r="G2420" i="3"/>
  <c r="H2420" i="3" s="1"/>
  <c r="G2419" i="3"/>
  <c r="H2419" i="3" s="1"/>
  <c r="G2418" i="3"/>
  <c r="H2418" i="3" s="1"/>
  <c r="G2417" i="3"/>
  <c r="H2417" i="3" s="1"/>
  <c r="G2416" i="3"/>
  <c r="H2416" i="3" s="1"/>
  <c r="G2415" i="3"/>
  <c r="H2415" i="3" s="1"/>
  <c r="G2414" i="3"/>
  <c r="H2414" i="3" s="1"/>
  <c r="G2413" i="3"/>
  <c r="H2413" i="3" s="1"/>
  <c r="G2412" i="3"/>
  <c r="H2412" i="3" s="1"/>
  <c r="G2411" i="3"/>
  <c r="H2411" i="3" s="1"/>
  <c r="G2410" i="3"/>
  <c r="H2410" i="3" s="1"/>
  <c r="G2409" i="3"/>
  <c r="H2409" i="3" s="1"/>
  <c r="G2408" i="3"/>
  <c r="H2408" i="3" s="1"/>
  <c r="G2407" i="3"/>
  <c r="H2407" i="3" s="1"/>
  <c r="G2406" i="3"/>
  <c r="H2406" i="3" s="1"/>
  <c r="H2405" i="3"/>
  <c r="G2405" i="3"/>
  <c r="G2404" i="3"/>
  <c r="H2404" i="3" s="1"/>
  <c r="G2403" i="3"/>
  <c r="H2403" i="3" s="1"/>
  <c r="G2402" i="3"/>
  <c r="H2402" i="3" s="1"/>
  <c r="G2401" i="3"/>
  <c r="H2401" i="3" s="1"/>
  <c r="G2400" i="3"/>
  <c r="H2400" i="3" s="1"/>
  <c r="G2399" i="3"/>
  <c r="H2399" i="3" s="1"/>
  <c r="G2398" i="3"/>
  <c r="H2398" i="3" s="1"/>
  <c r="G2397" i="3"/>
  <c r="H2397" i="3" s="1"/>
  <c r="G2396" i="3"/>
  <c r="H2396" i="3" s="1"/>
  <c r="G2395" i="3"/>
  <c r="H2395" i="3" s="1"/>
  <c r="G2394" i="3"/>
  <c r="H2394" i="3" s="1"/>
  <c r="G2393" i="3"/>
  <c r="H2393" i="3" s="1"/>
  <c r="G2392" i="3"/>
  <c r="H2392" i="3" s="1"/>
  <c r="H2391" i="3"/>
  <c r="G2391" i="3"/>
  <c r="G2390" i="3"/>
  <c r="H2390" i="3" s="1"/>
  <c r="G2389" i="3"/>
  <c r="H2389" i="3" s="1"/>
  <c r="H2388" i="3"/>
  <c r="G2388" i="3"/>
  <c r="G2387" i="3"/>
  <c r="H2387" i="3" s="1"/>
  <c r="G2386" i="3"/>
  <c r="H2386" i="3" s="1"/>
  <c r="H2385" i="3"/>
  <c r="G2385" i="3"/>
  <c r="G2384" i="3"/>
  <c r="H2384" i="3" s="1"/>
  <c r="G2383" i="3"/>
  <c r="H2383" i="3" s="1"/>
  <c r="G2382" i="3"/>
  <c r="H2382" i="3" s="1"/>
  <c r="H2381" i="3"/>
  <c r="G2381" i="3"/>
  <c r="G2380" i="3"/>
  <c r="H2380" i="3" s="1"/>
  <c r="G2379" i="3"/>
  <c r="H2379" i="3" s="1"/>
  <c r="G2378" i="3"/>
  <c r="H2378" i="3" s="1"/>
  <c r="G2377" i="3"/>
  <c r="H2377" i="3" s="1"/>
  <c r="G2376" i="3"/>
  <c r="H2376" i="3" s="1"/>
  <c r="G2375" i="3"/>
  <c r="H2375" i="3" s="1"/>
  <c r="G2374" i="3"/>
  <c r="H2374" i="3" s="1"/>
  <c r="G2373" i="3"/>
  <c r="H2373" i="3" s="1"/>
  <c r="G2372" i="3"/>
  <c r="H2372" i="3" s="1"/>
  <c r="H2371" i="3"/>
  <c r="G2371" i="3"/>
  <c r="G2370" i="3"/>
  <c r="H2370" i="3" s="1"/>
  <c r="G2369" i="3"/>
  <c r="H2369" i="3" s="1"/>
  <c r="G2368" i="3"/>
  <c r="H2368" i="3" s="1"/>
  <c r="H2367" i="3"/>
  <c r="G2367" i="3"/>
  <c r="G2366" i="3"/>
  <c r="H2366" i="3" s="1"/>
  <c r="G2365" i="3"/>
  <c r="H2365" i="3" s="1"/>
  <c r="H2364" i="3"/>
  <c r="G2364" i="3"/>
  <c r="G2363" i="3"/>
  <c r="H2363" i="3" s="1"/>
  <c r="G2362" i="3"/>
  <c r="H2362" i="3" s="1"/>
  <c r="H2361" i="3"/>
  <c r="G2361" i="3"/>
  <c r="G2360" i="3"/>
  <c r="H2360" i="3" s="1"/>
  <c r="G2359" i="3"/>
  <c r="H2359" i="3" s="1"/>
  <c r="G2358" i="3"/>
  <c r="H2358" i="3" s="1"/>
  <c r="G2357" i="3"/>
  <c r="H2357" i="3" s="1"/>
  <c r="G2356" i="3"/>
  <c r="H2356" i="3" s="1"/>
  <c r="G2355" i="3"/>
  <c r="H2355" i="3" s="1"/>
  <c r="G2354" i="3"/>
  <c r="H2354" i="3" s="1"/>
  <c r="G2353" i="3"/>
  <c r="H2353" i="3" s="1"/>
  <c r="G2352" i="3"/>
  <c r="H2352" i="3" s="1"/>
  <c r="G2351" i="3"/>
  <c r="H2351" i="3" s="1"/>
  <c r="G2350" i="3"/>
  <c r="H2350" i="3" s="1"/>
  <c r="G2349" i="3"/>
  <c r="H2349" i="3" s="1"/>
  <c r="G2348" i="3"/>
  <c r="H2348" i="3" s="1"/>
  <c r="H2347" i="3"/>
  <c r="G2347" i="3"/>
  <c r="G2346" i="3"/>
  <c r="H2346" i="3" s="1"/>
  <c r="G2345" i="3"/>
  <c r="H2345" i="3" s="1"/>
  <c r="G2344" i="3"/>
  <c r="H2344" i="3" s="1"/>
  <c r="G2343" i="3"/>
  <c r="H2343" i="3" s="1"/>
  <c r="G2342" i="3"/>
  <c r="H2342" i="3" s="1"/>
  <c r="G2341" i="3"/>
  <c r="H2341" i="3" s="1"/>
  <c r="G2340" i="3"/>
  <c r="H2340" i="3" s="1"/>
  <c r="G2339" i="3"/>
  <c r="H2339" i="3" s="1"/>
  <c r="G2338" i="3"/>
  <c r="H2338" i="3" s="1"/>
  <c r="G2337" i="3"/>
  <c r="H2337" i="3" s="1"/>
  <c r="G2336" i="3"/>
  <c r="H2336" i="3" s="1"/>
  <c r="G2335" i="3"/>
  <c r="H2335" i="3" s="1"/>
  <c r="G2334" i="3"/>
  <c r="H2334" i="3" s="1"/>
  <c r="G2333" i="3"/>
  <c r="H2333" i="3" s="1"/>
  <c r="G2332" i="3"/>
  <c r="H2332" i="3" s="1"/>
  <c r="G2331" i="3"/>
  <c r="H2331" i="3" s="1"/>
  <c r="G2330" i="3"/>
  <c r="H2330" i="3" s="1"/>
  <c r="G2329" i="3"/>
  <c r="H2329" i="3" s="1"/>
  <c r="G2328" i="3"/>
  <c r="H2328" i="3" s="1"/>
  <c r="G2327" i="3"/>
  <c r="H2327" i="3" s="1"/>
  <c r="G2326" i="3"/>
  <c r="H2326" i="3" s="1"/>
  <c r="G2325" i="3"/>
  <c r="H2325" i="3" s="1"/>
  <c r="G2324" i="3"/>
  <c r="H2324" i="3" s="1"/>
  <c r="G2323" i="3"/>
  <c r="H2323" i="3" s="1"/>
  <c r="G2322" i="3"/>
  <c r="H2322" i="3" s="1"/>
  <c r="G2321" i="3"/>
  <c r="H2321" i="3" s="1"/>
  <c r="G2320" i="3"/>
  <c r="H2320" i="3" s="1"/>
  <c r="G2319" i="3"/>
  <c r="H2319" i="3" s="1"/>
  <c r="G2318" i="3"/>
  <c r="H2318" i="3" s="1"/>
  <c r="G2317" i="3"/>
  <c r="H2317" i="3" s="1"/>
  <c r="G2316" i="3"/>
  <c r="H2316" i="3" s="1"/>
  <c r="G2315" i="3"/>
  <c r="H2315" i="3" s="1"/>
  <c r="G2314" i="3"/>
  <c r="H2314" i="3" s="1"/>
  <c r="G2313" i="3"/>
  <c r="H2313" i="3" s="1"/>
  <c r="G2312" i="3"/>
  <c r="H2312" i="3" s="1"/>
  <c r="G2311" i="3"/>
  <c r="H2311" i="3" s="1"/>
  <c r="G2310" i="3"/>
  <c r="H2310" i="3" s="1"/>
  <c r="G2309" i="3"/>
  <c r="H2309" i="3" s="1"/>
  <c r="G2308" i="3"/>
  <c r="H2308" i="3" s="1"/>
  <c r="G2307" i="3"/>
  <c r="H2307" i="3" s="1"/>
  <c r="G2306" i="3"/>
  <c r="H2306" i="3" s="1"/>
  <c r="G2305" i="3"/>
  <c r="H2305" i="3" s="1"/>
  <c r="G2304" i="3"/>
  <c r="H2304" i="3" s="1"/>
  <c r="G2303" i="3"/>
  <c r="H2303" i="3" s="1"/>
  <c r="G2302" i="3"/>
  <c r="H2302" i="3" s="1"/>
  <c r="G2301" i="3"/>
  <c r="H2301" i="3" s="1"/>
  <c r="G2300" i="3"/>
  <c r="H2300" i="3" s="1"/>
  <c r="G2299" i="3"/>
  <c r="H2299" i="3" s="1"/>
  <c r="G2298" i="3"/>
  <c r="H2298" i="3" s="1"/>
  <c r="G2297" i="3"/>
  <c r="H2297" i="3" s="1"/>
  <c r="G2296" i="3"/>
  <c r="H2296" i="3" s="1"/>
  <c r="H2295" i="3"/>
  <c r="G2295" i="3"/>
  <c r="G2294" i="3"/>
  <c r="H2294" i="3" s="1"/>
  <c r="G2293" i="3"/>
  <c r="H2293" i="3" s="1"/>
  <c r="H2292" i="3"/>
  <c r="G2292" i="3"/>
  <c r="G2291" i="3"/>
  <c r="H2291" i="3" s="1"/>
  <c r="G2290" i="3"/>
  <c r="H2290" i="3" s="1"/>
  <c r="H2289" i="3"/>
  <c r="G2289" i="3"/>
  <c r="G2288" i="3"/>
  <c r="H2288" i="3" s="1"/>
  <c r="G2287" i="3"/>
  <c r="H2287" i="3" s="1"/>
  <c r="G2286" i="3"/>
  <c r="H2286" i="3" s="1"/>
  <c r="G2285" i="3"/>
  <c r="H2285" i="3" s="1"/>
  <c r="G2284" i="3"/>
  <c r="H2284" i="3" s="1"/>
  <c r="G2283" i="3"/>
  <c r="H2283" i="3" s="1"/>
  <c r="G2282" i="3"/>
  <c r="H2282" i="3" s="1"/>
  <c r="G2281" i="3"/>
  <c r="H2281" i="3" s="1"/>
  <c r="G2280" i="3"/>
  <c r="H2280" i="3" s="1"/>
  <c r="G2279" i="3"/>
  <c r="H2279" i="3" s="1"/>
  <c r="G2278" i="3"/>
  <c r="H2278" i="3" s="1"/>
  <c r="G2277" i="3"/>
  <c r="H2277" i="3" s="1"/>
  <c r="G2276" i="3"/>
  <c r="H2276" i="3" s="1"/>
  <c r="H2275" i="3"/>
  <c r="G2275" i="3"/>
  <c r="G2274" i="3"/>
  <c r="H2274" i="3" s="1"/>
  <c r="G2273" i="3"/>
  <c r="H2273" i="3" s="1"/>
  <c r="G2272" i="3"/>
  <c r="H2272" i="3" s="1"/>
  <c r="G2271" i="3"/>
  <c r="H2271" i="3" s="1"/>
  <c r="G2270" i="3"/>
  <c r="H2270" i="3" s="1"/>
  <c r="G2269" i="3"/>
  <c r="H2269" i="3" s="1"/>
  <c r="G2268" i="3"/>
  <c r="H2268" i="3" s="1"/>
  <c r="G2267" i="3"/>
  <c r="H2267" i="3" s="1"/>
  <c r="G2266" i="3"/>
  <c r="H2266" i="3" s="1"/>
  <c r="G2265" i="3"/>
  <c r="H2265" i="3" s="1"/>
  <c r="G2264" i="3"/>
  <c r="H2264" i="3" s="1"/>
  <c r="G2263" i="3"/>
  <c r="H2263" i="3" s="1"/>
  <c r="G2262" i="3"/>
  <c r="H2262" i="3" s="1"/>
  <c r="G2261" i="3"/>
  <c r="H2261" i="3" s="1"/>
  <c r="G2260" i="3"/>
  <c r="H2260" i="3" s="1"/>
  <c r="G2259" i="3"/>
  <c r="H2259" i="3" s="1"/>
  <c r="G2258" i="3"/>
  <c r="H2258" i="3" s="1"/>
  <c r="G2257" i="3"/>
  <c r="H2257" i="3" s="1"/>
  <c r="G2256" i="3"/>
  <c r="H2256" i="3" s="1"/>
  <c r="G2255" i="3"/>
  <c r="H2255" i="3" s="1"/>
  <c r="G2254" i="3"/>
  <c r="H2254" i="3" s="1"/>
  <c r="G2253" i="3"/>
  <c r="H2253" i="3" s="1"/>
  <c r="G2252" i="3"/>
  <c r="H2252" i="3" s="1"/>
  <c r="G2251" i="3"/>
  <c r="H2251" i="3" s="1"/>
  <c r="G2250" i="3"/>
  <c r="H2250" i="3" s="1"/>
  <c r="G2249" i="3"/>
  <c r="H2249" i="3" s="1"/>
  <c r="G2248" i="3"/>
  <c r="H2248" i="3" s="1"/>
  <c r="G2247" i="3"/>
  <c r="H2247" i="3" s="1"/>
  <c r="G2246" i="3"/>
  <c r="H2246" i="3" s="1"/>
  <c r="G2245" i="3"/>
  <c r="H2245" i="3" s="1"/>
  <c r="G2244" i="3"/>
  <c r="H2244" i="3" s="1"/>
  <c r="G2243" i="3"/>
  <c r="H2243" i="3" s="1"/>
  <c r="G2242" i="3"/>
  <c r="H2242" i="3" s="1"/>
  <c r="G2241" i="3"/>
  <c r="H2241" i="3" s="1"/>
  <c r="G2240" i="3"/>
  <c r="H2240" i="3" s="1"/>
  <c r="H2239" i="3"/>
  <c r="G2239" i="3"/>
  <c r="G2238" i="3"/>
  <c r="H2238" i="3" s="1"/>
  <c r="G2237" i="3"/>
  <c r="H2237" i="3" s="1"/>
  <c r="G2236" i="3"/>
  <c r="H2236" i="3" s="1"/>
  <c r="G2235" i="3"/>
  <c r="H2235" i="3" s="1"/>
  <c r="G2234" i="3"/>
  <c r="H2234" i="3" s="1"/>
  <c r="G2233" i="3"/>
  <c r="H2233" i="3" s="1"/>
  <c r="G2232" i="3"/>
  <c r="H2232" i="3" s="1"/>
  <c r="G2231" i="3"/>
  <c r="H2231" i="3" s="1"/>
  <c r="G2230" i="3"/>
  <c r="H2230" i="3" s="1"/>
  <c r="G2229" i="3"/>
  <c r="H2229" i="3" s="1"/>
  <c r="G2228" i="3"/>
  <c r="H2228" i="3" s="1"/>
  <c r="G2227" i="3"/>
  <c r="H2227" i="3" s="1"/>
  <c r="G2226" i="3"/>
  <c r="H2226" i="3" s="1"/>
  <c r="G2225" i="3"/>
  <c r="H2225" i="3" s="1"/>
  <c r="G2224" i="3"/>
  <c r="H2224" i="3" s="1"/>
  <c r="G2223" i="3"/>
  <c r="H2223" i="3" s="1"/>
  <c r="G2222" i="3"/>
  <c r="H2222" i="3" s="1"/>
  <c r="G2221" i="3"/>
  <c r="H2221" i="3" s="1"/>
  <c r="G2220" i="3"/>
  <c r="H2220" i="3" s="1"/>
  <c r="G2219" i="3"/>
  <c r="H2219" i="3" s="1"/>
  <c r="G2218" i="3"/>
  <c r="H2218" i="3" s="1"/>
  <c r="G2217" i="3"/>
  <c r="H2217" i="3" s="1"/>
  <c r="G2216" i="3"/>
  <c r="H2216" i="3" s="1"/>
  <c r="G2215" i="3"/>
  <c r="H2215" i="3" s="1"/>
  <c r="H2214" i="3"/>
  <c r="G2214" i="3"/>
  <c r="G2213" i="3"/>
  <c r="H2213" i="3" s="1"/>
  <c r="G2212" i="3"/>
  <c r="H2212" i="3" s="1"/>
  <c r="G2211" i="3"/>
  <c r="H2211" i="3" s="1"/>
  <c r="G2210" i="3"/>
  <c r="H2210" i="3" s="1"/>
  <c r="G2209" i="3"/>
  <c r="H2209" i="3" s="1"/>
  <c r="G2208" i="3"/>
  <c r="H2208" i="3" s="1"/>
  <c r="G2207" i="3"/>
  <c r="H2207" i="3" s="1"/>
  <c r="G2206" i="3"/>
  <c r="H2206" i="3" s="1"/>
  <c r="G2205" i="3"/>
  <c r="H2205" i="3" s="1"/>
  <c r="G2204" i="3"/>
  <c r="H2204" i="3" s="1"/>
  <c r="G2203" i="3"/>
  <c r="H2203" i="3" s="1"/>
  <c r="G2202" i="3"/>
  <c r="H2202" i="3" s="1"/>
  <c r="G2201" i="3"/>
  <c r="H2201" i="3" s="1"/>
  <c r="G2200" i="3"/>
  <c r="H2200" i="3" s="1"/>
  <c r="G2199" i="3"/>
  <c r="H2199" i="3" s="1"/>
  <c r="G2198" i="3"/>
  <c r="H2198" i="3" s="1"/>
  <c r="G2197" i="3"/>
  <c r="H2197" i="3" s="1"/>
  <c r="G2196" i="3"/>
  <c r="H2196" i="3" s="1"/>
  <c r="G2195" i="3"/>
  <c r="H2195" i="3" s="1"/>
  <c r="G2194" i="3"/>
  <c r="H2194" i="3" s="1"/>
  <c r="G2193" i="3"/>
  <c r="H2193" i="3" s="1"/>
  <c r="G2192" i="3"/>
  <c r="H2192" i="3" s="1"/>
  <c r="H2191" i="3"/>
  <c r="G2191" i="3"/>
  <c r="G2190" i="3"/>
  <c r="H2190" i="3" s="1"/>
  <c r="G2189" i="3"/>
  <c r="H2189" i="3" s="1"/>
  <c r="G2188" i="3"/>
  <c r="H2188" i="3" s="1"/>
  <c r="G2187" i="3"/>
  <c r="H2187" i="3" s="1"/>
  <c r="G2186" i="3"/>
  <c r="H2186" i="3" s="1"/>
  <c r="G2185" i="3"/>
  <c r="H2185" i="3" s="1"/>
  <c r="G2184" i="3"/>
  <c r="H2184" i="3" s="1"/>
  <c r="G2183" i="3"/>
  <c r="H2183" i="3" s="1"/>
  <c r="G2182" i="3"/>
  <c r="H2182" i="3" s="1"/>
  <c r="G2181" i="3"/>
  <c r="H2181" i="3" s="1"/>
  <c r="G2180" i="3"/>
  <c r="H2180" i="3" s="1"/>
  <c r="G2179" i="3"/>
  <c r="H2179" i="3" s="1"/>
  <c r="G2178" i="3"/>
  <c r="H2178" i="3" s="1"/>
  <c r="G2177" i="3"/>
  <c r="H2177" i="3" s="1"/>
  <c r="G2176" i="3"/>
  <c r="H2176" i="3" s="1"/>
  <c r="G2175" i="3"/>
  <c r="H2175" i="3" s="1"/>
  <c r="G2174" i="3"/>
  <c r="H2174" i="3" s="1"/>
  <c r="G2173" i="3"/>
  <c r="H2173" i="3" s="1"/>
  <c r="G2172" i="3"/>
  <c r="H2172" i="3" s="1"/>
  <c r="G2171" i="3"/>
  <c r="H2171" i="3" s="1"/>
  <c r="G2170" i="3"/>
  <c r="H2170" i="3" s="1"/>
  <c r="G2169" i="3"/>
  <c r="H2169" i="3" s="1"/>
  <c r="H2168" i="3"/>
  <c r="G2167" i="3"/>
  <c r="H2167" i="3" s="1"/>
  <c r="G2166" i="3"/>
  <c r="H2166" i="3" s="1"/>
  <c r="G2165" i="3"/>
  <c r="H2165" i="3" s="1"/>
  <c r="G2164" i="3"/>
  <c r="H2164" i="3" s="1"/>
  <c r="G2163" i="3"/>
  <c r="H2163" i="3" s="1"/>
  <c r="G2162" i="3"/>
  <c r="H2162" i="3" s="1"/>
  <c r="G2161" i="3"/>
  <c r="H2161" i="3" s="1"/>
  <c r="G2160" i="3"/>
  <c r="H2160" i="3" s="1"/>
  <c r="G2159" i="3"/>
  <c r="H2159" i="3" s="1"/>
  <c r="G2158" i="3"/>
  <c r="H2158" i="3" s="1"/>
  <c r="G2157" i="3"/>
  <c r="H2157" i="3" s="1"/>
  <c r="G2156" i="3"/>
  <c r="H2156" i="3" s="1"/>
  <c r="G2155" i="3"/>
  <c r="H2155" i="3" s="1"/>
  <c r="G2154" i="3"/>
  <c r="H2154" i="3" s="1"/>
  <c r="G2153" i="3"/>
  <c r="H2153" i="3" s="1"/>
  <c r="G2152" i="3"/>
  <c r="H2152" i="3" s="1"/>
  <c r="G2151" i="3"/>
  <c r="H2151" i="3" s="1"/>
  <c r="G2150" i="3"/>
  <c r="H2150" i="3" s="1"/>
  <c r="G2149" i="3"/>
  <c r="H2149" i="3" s="1"/>
  <c r="G2148" i="3"/>
  <c r="H2148" i="3" s="1"/>
  <c r="G2147" i="3"/>
  <c r="H2147" i="3" s="1"/>
  <c r="G2146" i="3"/>
  <c r="H2146" i="3" s="1"/>
  <c r="G2145" i="3"/>
  <c r="H2145" i="3" s="1"/>
  <c r="G2144" i="3"/>
  <c r="H2144" i="3" s="1"/>
  <c r="G2143" i="3"/>
  <c r="H2143" i="3" s="1"/>
  <c r="G2142" i="3"/>
  <c r="H2142" i="3" s="1"/>
  <c r="G2141" i="3"/>
  <c r="H2141" i="3" s="1"/>
  <c r="G2140" i="3"/>
  <c r="H2140" i="3" s="1"/>
  <c r="G2139" i="3"/>
  <c r="H2139" i="3" s="1"/>
  <c r="G2138" i="3"/>
  <c r="H2138" i="3" s="1"/>
  <c r="G2137" i="3"/>
  <c r="H2137" i="3" s="1"/>
  <c r="G2136" i="3"/>
  <c r="H2136" i="3" s="1"/>
  <c r="G2135" i="3"/>
  <c r="H2135" i="3" s="1"/>
  <c r="G2134" i="3"/>
  <c r="H2134" i="3" s="1"/>
  <c r="G2133" i="3"/>
  <c r="H2133" i="3" s="1"/>
  <c r="G2132" i="3"/>
  <c r="H2132" i="3" s="1"/>
  <c r="G2131" i="3"/>
  <c r="H2131" i="3" s="1"/>
  <c r="G2130" i="3"/>
  <c r="H2130" i="3" s="1"/>
  <c r="G2129" i="3"/>
  <c r="H2129" i="3" s="1"/>
  <c r="G2128" i="3"/>
  <c r="H2128" i="3" s="1"/>
  <c r="G2127" i="3"/>
  <c r="H2127" i="3" s="1"/>
  <c r="G2126" i="3"/>
  <c r="H2126" i="3" s="1"/>
  <c r="G2125" i="3"/>
  <c r="H2125" i="3" s="1"/>
  <c r="G2124" i="3"/>
  <c r="H2124" i="3" s="1"/>
  <c r="G2123" i="3"/>
  <c r="H2123" i="3" s="1"/>
  <c r="G2122" i="3"/>
  <c r="H2122" i="3" s="1"/>
  <c r="G2121" i="3"/>
  <c r="H2121" i="3" s="1"/>
  <c r="G2120" i="3"/>
  <c r="H2120" i="3" s="1"/>
  <c r="G2119" i="3"/>
  <c r="H2119" i="3" s="1"/>
  <c r="G2118" i="3"/>
  <c r="H2118" i="3" s="1"/>
  <c r="G2117" i="3"/>
  <c r="H2117" i="3" s="1"/>
  <c r="G2116" i="3"/>
  <c r="H2116" i="3" s="1"/>
  <c r="G2115" i="3"/>
  <c r="H2115" i="3" s="1"/>
  <c r="G2114" i="3"/>
  <c r="H2114" i="3" s="1"/>
  <c r="G2113" i="3"/>
  <c r="H2113" i="3" s="1"/>
  <c r="G2112" i="3"/>
  <c r="H2112" i="3" s="1"/>
  <c r="H2111" i="3"/>
  <c r="G2111" i="3"/>
  <c r="G2110" i="3"/>
  <c r="H2110" i="3" s="1"/>
  <c r="G2109" i="3"/>
  <c r="H2109" i="3" s="1"/>
  <c r="G2108" i="3"/>
  <c r="H2108" i="3" s="1"/>
  <c r="G2107" i="3"/>
  <c r="H2107" i="3" s="1"/>
  <c r="G2106" i="3"/>
  <c r="H2106" i="3" s="1"/>
  <c r="G2105" i="3"/>
  <c r="H2105" i="3" s="1"/>
  <c r="G2104" i="3"/>
  <c r="H2104" i="3" s="1"/>
  <c r="H2103" i="3"/>
  <c r="G2103" i="3"/>
  <c r="G2102" i="3"/>
  <c r="H2102" i="3" s="1"/>
  <c r="G2101" i="3"/>
  <c r="H2101" i="3" s="1"/>
  <c r="G2100" i="3"/>
  <c r="H2100" i="3" s="1"/>
  <c r="G2099" i="3"/>
  <c r="H2099" i="3" s="1"/>
  <c r="G2098" i="3"/>
  <c r="H2098" i="3" s="1"/>
  <c r="G2097" i="3"/>
  <c r="H2097" i="3" s="1"/>
  <c r="G2096" i="3"/>
  <c r="H2096" i="3" s="1"/>
  <c r="G2095" i="3"/>
  <c r="H2095" i="3" s="1"/>
  <c r="G2094" i="3"/>
  <c r="H2094" i="3" s="1"/>
  <c r="G2093" i="3"/>
  <c r="H2093" i="3" s="1"/>
  <c r="G2092" i="3"/>
  <c r="H2092" i="3" s="1"/>
  <c r="G2091" i="3"/>
  <c r="H2091" i="3" s="1"/>
  <c r="G2090" i="3"/>
  <c r="H2090" i="3" s="1"/>
  <c r="H2089" i="3"/>
  <c r="G2089" i="3"/>
  <c r="G2088" i="3"/>
  <c r="H2088" i="3" s="1"/>
  <c r="G2087" i="3"/>
  <c r="H2087" i="3" s="1"/>
  <c r="G2086" i="3"/>
  <c r="H2086" i="3" s="1"/>
  <c r="G2085" i="3"/>
  <c r="H2085" i="3" s="1"/>
  <c r="G2084" i="3"/>
  <c r="H2084" i="3" s="1"/>
  <c r="G2083" i="3"/>
  <c r="H2083" i="3" s="1"/>
  <c r="G2082" i="3"/>
  <c r="H2082" i="3" s="1"/>
  <c r="G2081" i="3"/>
  <c r="H2081" i="3" s="1"/>
  <c r="G2080" i="3"/>
  <c r="H2080" i="3" s="1"/>
  <c r="G2079" i="3"/>
  <c r="H2079" i="3" s="1"/>
  <c r="G2078" i="3"/>
  <c r="H2078" i="3" s="1"/>
  <c r="G2077" i="3"/>
  <c r="H2077" i="3" s="1"/>
  <c r="G2076" i="3"/>
  <c r="H2076" i="3" s="1"/>
  <c r="G2075" i="3"/>
  <c r="H2075" i="3" s="1"/>
  <c r="G2074" i="3"/>
  <c r="H2074" i="3" s="1"/>
  <c r="H2073" i="3"/>
  <c r="G2073" i="3"/>
  <c r="G2072" i="3"/>
  <c r="H2072" i="3" s="1"/>
  <c r="G2071" i="3"/>
  <c r="H2071" i="3" s="1"/>
  <c r="G2070" i="3"/>
  <c r="H2070" i="3" s="1"/>
  <c r="G2069" i="3"/>
  <c r="H2069" i="3" s="1"/>
  <c r="G2068" i="3"/>
  <c r="H2068" i="3" s="1"/>
  <c r="G2067" i="3"/>
  <c r="H2067" i="3" s="1"/>
  <c r="G2066" i="3"/>
  <c r="H2066" i="3" s="1"/>
  <c r="G2065" i="3"/>
  <c r="H2065" i="3" s="1"/>
  <c r="G2064" i="3"/>
  <c r="H2064" i="3" s="1"/>
  <c r="G2063" i="3"/>
  <c r="H2063" i="3" s="1"/>
  <c r="G2062" i="3"/>
  <c r="H2062" i="3" s="1"/>
  <c r="G2061" i="3"/>
  <c r="H2061" i="3" s="1"/>
  <c r="G2060" i="3"/>
  <c r="H2060" i="3" s="1"/>
  <c r="G2059" i="3"/>
  <c r="H2059" i="3" s="1"/>
  <c r="G2058" i="3"/>
  <c r="H2058" i="3" s="1"/>
  <c r="G2057" i="3"/>
  <c r="H2057" i="3" s="1"/>
  <c r="G2056" i="3"/>
  <c r="H2056" i="3" s="1"/>
  <c r="H2055" i="3"/>
  <c r="G2055" i="3"/>
  <c r="G2054" i="3"/>
  <c r="H2054" i="3" s="1"/>
  <c r="G2053" i="3"/>
  <c r="H2053" i="3" s="1"/>
  <c r="G2052" i="3"/>
  <c r="H2052" i="3" s="1"/>
  <c r="G2051" i="3"/>
  <c r="H2051" i="3" s="1"/>
  <c r="G2050" i="3"/>
  <c r="H2050" i="3" s="1"/>
  <c r="G2049" i="3"/>
  <c r="H2049" i="3" s="1"/>
  <c r="G2048" i="3"/>
  <c r="H2048" i="3" s="1"/>
  <c r="G2047" i="3"/>
  <c r="H2047" i="3" s="1"/>
  <c r="G2046" i="3"/>
  <c r="H2046" i="3" s="1"/>
  <c r="G2045" i="3"/>
  <c r="H2045" i="3" s="1"/>
  <c r="G2044" i="3"/>
  <c r="H2044" i="3" s="1"/>
  <c r="G2043" i="3"/>
  <c r="H2043" i="3" s="1"/>
  <c r="G2042" i="3"/>
  <c r="H2042" i="3" s="1"/>
  <c r="G2041" i="3"/>
  <c r="H2041" i="3" s="1"/>
  <c r="G2040" i="3"/>
  <c r="H2040" i="3" s="1"/>
  <c r="G2039" i="3"/>
  <c r="H2039" i="3" s="1"/>
  <c r="G2038" i="3"/>
  <c r="H2038" i="3" s="1"/>
  <c r="G2037" i="3"/>
  <c r="H2037" i="3" s="1"/>
  <c r="G2036" i="3"/>
  <c r="H2036" i="3" s="1"/>
  <c r="G2035" i="3"/>
  <c r="H2035" i="3" s="1"/>
  <c r="G2034" i="3"/>
  <c r="H2034" i="3" s="1"/>
  <c r="G2033" i="3"/>
  <c r="H2033" i="3" s="1"/>
  <c r="G2032" i="3"/>
  <c r="H2032" i="3" s="1"/>
  <c r="G2031" i="3"/>
  <c r="H2031" i="3" s="1"/>
  <c r="G2030" i="3"/>
  <c r="H2030" i="3" s="1"/>
  <c r="G2029" i="3"/>
  <c r="H2029" i="3" s="1"/>
  <c r="G2028" i="3"/>
  <c r="H2028" i="3" s="1"/>
  <c r="G2027" i="3"/>
  <c r="H2027" i="3" s="1"/>
  <c r="G2026" i="3"/>
  <c r="H2026" i="3" s="1"/>
  <c r="G2025" i="3"/>
  <c r="H2025" i="3" s="1"/>
  <c r="G2024" i="3"/>
  <c r="H2024" i="3" s="1"/>
  <c r="G2023" i="3"/>
  <c r="H2023" i="3" s="1"/>
  <c r="G2022" i="3"/>
  <c r="H2022" i="3" s="1"/>
  <c r="G2021" i="3"/>
  <c r="H2021" i="3" s="1"/>
  <c r="G2020" i="3"/>
  <c r="H2020" i="3" s="1"/>
  <c r="G2019" i="3"/>
  <c r="H2019" i="3" s="1"/>
  <c r="G2018" i="3"/>
  <c r="H2018" i="3" s="1"/>
  <c r="G2017" i="3"/>
  <c r="H2017" i="3" s="1"/>
  <c r="G2016" i="3"/>
  <c r="H2016" i="3" s="1"/>
  <c r="G2015" i="3"/>
  <c r="H2015" i="3" s="1"/>
  <c r="G2014" i="3"/>
  <c r="H2014" i="3" s="1"/>
  <c r="G2013" i="3"/>
  <c r="H2013" i="3" s="1"/>
  <c r="G2012" i="3"/>
  <c r="H2012" i="3" s="1"/>
  <c r="G2011" i="3"/>
  <c r="H2011" i="3" s="1"/>
  <c r="G2010" i="3"/>
  <c r="H2010" i="3" s="1"/>
  <c r="H2009" i="3"/>
  <c r="G2009" i="3"/>
  <c r="G2008" i="3"/>
  <c r="H2008" i="3" s="1"/>
  <c r="G2007" i="3"/>
  <c r="H2007" i="3" s="1"/>
  <c r="G2006" i="3"/>
  <c r="H2006" i="3" s="1"/>
  <c r="G2005" i="3"/>
  <c r="H2005" i="3" s="1"/>
  <c r="G2004" i="3"/>
  <c r="H2004" i="3" s="1"/>
  <c r="G2003" i="3"/>
  <c r="H2003" i="3" s="1"/>
  <c r="G2002" i="3"/>
  <c r="H2002" i="3" s="1"/>
  <c r="G2001" i="3"/>
  <c r="H2001" i="3" s="1"/>
  <c r="G2000" i="3"/>
  <c r="H2000" i="3" s="1"/>
  <c r="H1999" i="3"/>
  <c r="G1999" i="3"/>
  <c r="G1998" i="3"/>
  <c r="H1998" i="3" s="1"/>
  <c r="G1997" i="3"/>
  <c r="H1997" i="3" s="1"/>
  <c r="G1996" i="3"/>
  <c r="H1996" i="3" s="1"/>
  <c r="G1995" i="3"/>
  <c r="H1995" i="3" s="1"/>
  <c r="G1994" i="3"/>
  <c r="H1994" i="3" s="1"/>
  <c r="G1993" i="3"/>
  <c r="H1993" i="3" s="1"/>
  <c r="G1992" i="3"/>
  <c r="H1992" i="3" s="1"/>
  <c r="G1991" i="3"/>
  <c r="H1991" i="3" s="1"/>
  <c r="G1990" i="3"/>
  <c r="H1990" i="3" s="1"/>
  <c r="G1989" i="3"/>
  <c r="H1989" i="3" s="1"/>
  <c r="G1988" i="3"/>
  <c r="H1988" i="3" s="1"/>
  <c r="G1987" i="3"/>
  <c r="H1987" i="3" s="1"/>
  <c r="G1986" i="3"/>
  <c r="H1986" i="3" s="1"/>
  <c r="G1985" i="3"/>
  <c r="H1985" i="3" s="1"/>
  <c r="G1984" i="3"/>
  <c r="H1984" i="3" s="1"/>
  <c r="G1983" i="3"/>
  <c r="H1983" i="3" s="1"/>
  <c r="G1982" i="3"/>
  <c r="H1982" i="3" s="1"/>
  <c r="G1981" i="3"/>
  <c r="H1981" i="3" s="1"/>
  <c r="G1980" i="3"/>
  <c r="H1980" i="3" s="1"/>
  <c r="G1979" i="3"/>
  <c r="H1979" i="3" s="1"/>
  <c r="G1978" i="3"/>
  <c r="H1978" i="3" s="1"/>
  <c r="H1977" i="3"/>
  <c r="G1977" i="3"/>
  <c r="G1976" i="3"/>
  <c r="H1976" i="3" s="1"/>
  <c r="G1975" i="3"/>
  <c r="H1975" i="3" s="1"/>
  <c r="G1974" i="3"/>
  <c r="H1974" i="3" s="1"/>
  <c r="G1973" i="3"/>
  <c r="H1973" i="3" s="1"/>
  <c r="G1972" i="3"/>
  <c r="H1972" i="3" s="1"/>
  <c r="G1971" i="3"/>
  <c r="H1971" i="3" s="1"/>
  <c r="G1970" i="3"/>
  <c r="H1970" i="3" s="1"/>
  <c r="G1969" i="3"/>
  <c r="H1969" i="3" s="1"/>
  <c r="G1968" i="3"/>
  <c r="H1968" i="3" s="1"/>
  <c r="G1967" i="3"/>
  <c r="H1967" i="3" s="1"/>
  <c r="G1966" i="3"/>
  <c r="H1966" i="3" s="1"/>
  <c r="G1965" i="3"/>
  <c r="H1965" i="3" s="1"/>
  <c r="G1964" i="3"/>
  <c r="H1964" i="3" s="1"/>
  <c r="G1963" i="3"/>
  <c r="H1963" i="3" s="1"/>
  <c r="G1962" i="3"/>
  <c r="H1962" i="3" s="1"/>
  <c r="G1961" i="3"/>
  <c r="H1961" i="3" s="1"/>
  <c r="G1960" i="3"/>
  <c r="H1960" i="3" s="1"/>
  <c r="G1959" i="3"/>
  <c r="H1959" i="3" s="1"/>
  <c r="G1958" i="3"/>
  <c r="H1958" i="3" s="1"/>
  <c r="G1957" i="3"/>
  <c r="H1957" i="3" s="1"/>
  <c r="G1956" i="3"/>
  <c r="H1956" i="3" s="1"/>
  <c r="G1955" i="3"/>
  <c r="H1955" i="3" s="1"/>
  <c r="G1954" i="3"/>
  <c r="H1954" i="3" s="1"/>
  <c r="G1953" i="3"/>
  <c r="H1953" i="3" s="1"/>
  <c r="G1952" i="3"/>
  <c r="H1952" i="3" s="1"/>
  <c r="G1951" i="3"/>
  <c r="H1951" i="3" s="1"/>
  <c r="G1950" i="3"/>
  <c r="H1950" i="3" s="1"/>
  <c r="G1949" i="3"/>
  <c r="H1949" i="3" s="1"/>
  <c r="G1948" i="3"/>
  <c r="H1948" i="3" s="1"/>
  <c r="G1947" i="3"/>
  <c r="H1947" i="3" s="1"/>
  <c r="G1946" i="3"/>
  <c r="H1946" i="3" s="1"/>
  <c r="G1945" i="3"/>
  <c r="H1945" i="3" s="1"/>
  <c r="G1944" i="3"/>
  <c r="H1944" i="3" s="1"/>
  <c r="G1943" i="3"/>
  <c r="H1943" i="3" s="1"/>
  <c r="G1942" i="3"/>
  <c r="H1942" i="3" s="1"/>
  <c r="G1941" i="3"/>
  <c r="H1941" i="3" s="1"/>
  <c r="G1940" i="3"/>
  <c r="H1940" i="3" s="1"/>
  <c r="G1939" i="3"/>
  <c r="H1939" i="3" s="1"/>
  <c r="G1938" i="3"/>
  <c r="H1938" i="3" s="1"/>
  <c r="G1937" i="3"/>
  <c r="H1937" i="3" s="1"/>
  <c r="G1936" i="3"/>
  <c r="H1936" i="3" s="1"/>
  <c r="G1935" i="3"/>
  <c r="H1935" i="3" s="1"/>
  <c r="G1934" i="3"/>
  <c r="H1934" i="3" s="1"/>
  <c r="G1933" i="3"/>
  <c r="H1933" i="3" s="1"/>
  <c r="G1932" i="3"/>
  <c r="H1932" i="3" s="1"/>
  <c r="G1931" i="3"/>
  <c r="H1931" i="3" s="1"/>
  <c r="G1930" i="3"/>
  <c r="H1930" i="3" s="1"/>
  <c r="H1929" i="3"/>
  <c r="G1929" i="3"/>
  <c r="G1928" i="3"/>
  <c r="H1928" i="3" s="1"/>
  <c r="G1927" i="3"/>
  <c r="H1927" i="3" s="1"/>
  <c r="G1926" i="3"/>
  <c r="H1926" i="3" s="1"/>
  <c r="G1925" i="3"/>
  <c r="H1925" i="3" s="1"/>
  <c r="G1924" i="3"/>
  <c r="H1924" i="3" s="1"/>
  <c r="G1923" i="3"/>
  <c r="H1923" i="3" s="1"/>
  <c r="G1922" i="3"/>
  <c r="H1922" i="3" s="1"/>
  <c r="G1921" i="3"/>
  <c r="H1921" i="3" s="1"/>
  <c r="G1920" i="3"/>
  <c r="H1920" i="3" s="1"/>
  <c r="G1919" i="3"/>
  <c r="H1919" i="3" s="1"/>
  <c r="G1918" i="3"/>
  <c r="H1918" i="3" s="1"/>
  <c r="G1917" i="3"/>
  <c r="H1917" i="3" s="1"/>
  <c r="G1916" i="3"/>
  <c r="H1916" i="3" s="1"/>
  <c r="G1915" i="3"/>
  <c r="H1915" i="3" s="1"/>
  <c r="G1914" i="3"/>
  <c r="H1914" i="3" s="1"/>
  <c r="G1913" i="3"/>
  <c r="H1913" i="3" s="1"/>
  <c r="G1912" i="3"/>
  <c r="H1912" i="3" s="1"/>
  <c r="H1911" i="3"/>
  <c r="G1911" i="3"/>
  <c r="G1910" i="3"/>
  <c r="H1910" i="3" s="1"/>
  <c r="G1909" i="3"/>
  <c r="H1909" i="3" s="1"/>
  <c r="G1908" i="3"/>
  <c r="H1908" i="3" s="1"/>
  <c r="G1907" i="3"/>
  <c r="H1907" i="3" s="1"/>
  <c r="G1906" i="3"/>
  <c r="H1906" i="3" s="1"/>
  <c r="G1905" i="3"/>
  <c r="H1905" i="3" s="1"/>
  <c r="G1904" i="3"/>
  <c r="H1904" i="3" s="1"/>
  <c r="G1903" i="3"/>
  <c r="H1903" i="3" s="1"/>
  <c r="G1902" i="3"/>
  <c r="H1902" i="3" s="1"/>
  <c r="G1901" i="3"/>
  <c r="H1901" i="3" s="1"/>
  <c r="G1900" i="3"/>
  <c r="H1900" i="3" s="1"/>
  <c r="G1899" i="3"/>
  <c r="H1899" i="3" s="1"/>
  <c r="G1898" i="3"/>
  <c r="H1898" i="3" s="1"/>
  <c r="H1897" i="3"/>
  <c r="G1897" i="3"/>
  <c r="G1896" i="3"/>
  <c r="H1896" i="3" s="1"/>
  <c r="G1895" i="3"/>
  <c r="H1895" i="3" s="1"/>
  <c r="G1894" i="3"/>
  <c r="H1894" i="3" s="1"/>
  <c r="G1893" i="3"/>
  <c r="H1893" i="3" s="1"/>
  <c r="G1892" i="3"/>
  <c r="H1892" i="3" s="1"/>
  <c r="G1891" i="3"/>
  <c r="H1891" i="3" s="1"/>
  <c r="G1890" i="3"/>
  <c r="H1890" i="3" s="1"/>
  <c r="G1889" i="3"/>
  <c r="H1889" i="3" s="1"/>
  <c r="G1888" i="3"/>
  <c r="H1888" i="3" s="1"/>
  <c r="G1887" i="3"/>
  <c r="H1887" i="3" s="1"/>
  <c r="G1886" i="3"/>
  <c r="H1886" i="3" s="1"/>
  <c r="G1885" i="3"/>
  <c r="H1885" i="3" s="1"/>
  <c r="G1884" i="3"/>
  <c r="H1884" i="3" s="1"/>
  <c r="G1883" i="3"/>
  <c r="H1883" i="3" s="1"/>
  <c r="G1882" i="3"/>
  <c r="H1882" i="3" s="1"/>
  <c r="G1881" i="3"/>
  <c r="H1881" i="3" s="1"/>
  <c r="G1880" i="3"/>
  <c r="H1880" i="3" s="1"/>
  <c r="G1879" i="3"/>
  <c r="H1879" i="3" s="1"/>
  <c r="G1878" i="3"/>
  <c r="H1878" i="3" s="1"/>
  <c r="G1877" i="3"/>
  <c r="H1877" i="3" s="1"/>
  <c r="G1876" i="3"/>
  <c r="H1876" i="3" s="1"/>
  <c r="G1875" i="3"/>
  <c r="H1875" i="3" s="1"/>
  <c r="G1874" i="3"/>
  <c r="H1874" i="3" s="1"/>
  <c r="G1873" i="3"/>
  <c r="H1873" i="3" s="1"/>
  <c r="G1872" i="3"/>
  <c r="H1872" i="3" s="1"/>
  <c r="G1871" i="3"/>
  <c r="H1871" i="3" s="1"/>
  <c r="G1870" i="3"/>
  <c r="H1870" i="3" s="1"/>
  <c r="G1869" i="3"/>
  <c r="H1869" i="3" s="1"/>
  <c r="G1868" i="3"/>
  <c r="H1868" i="3" s="1"/>
  <c r="G1867" i="3"/>
  <c r="H1867" i="3" s="1"/>
  <c r="G1866" i="3"/>
  <c r="H1866" i="3" s="1"/>
  <c r="G1865" i="3"/>
  <c r="H1865" i="3" s="1"/>
  <c r="G1864" i="3"/>
  <c r="H1864" i="3" s="1"/>
  <c r="G1863" i="3"/>
  <c r="H1863" i="3" s="1"/>
  <c r="G1862" i="3"/>
  <c r="H1862" i="3" s="1"/>
  <c r="G1861" i="3"/>
  <c r="H1861" i="3" s="1"/>
  <c r="G1860" i="3"/>
  <c r="H1860" i="3" s="1"/>
  <c r="G1859" i="3"/>
  <c r="H1859" i="3" s="1"/>
  <c r="G1858" i="3"/>
  <c r="H1858" i="3" s="1"/>
  <c r="G1857" i="3"/>
  <c r="H1857" i="3" s="1"/>
  <c r="G1856" i="3"/>
  <c r="H1856" i="3" s="1"/>
  <c r="G1855" i="3"/>
  <c r="H1855" i="3" s="1"/>
  <c r="G1854" i="3"/>
  <c r="H1854" i="3" s="1"/>
  <c r="G1853" i="3"/>
  <c r="H1853" i="3" s="1"/>
  <c r="G1852" i="3"/>
  <c r="H1852" i="3" s="1"/>
  <c r="G1851" i="3"/>
  <c r="H1851" i="3" s="1"/>
  <c r="H1850" i="3"/>
  <c r="G1850" i="3"/>
  <c r="G1849" i="3"/>
  <c r="H1849" i="3" s="1"/>
  <c r="G1848" i="3"/>
  <c r="H1848" i="3" s="1"/>
  <c r="G1847" i="3"/>
  <c r="H1847" i="3" s="1"/>
  <c r="G1846" i="3"/>
  <c r="H1846" i="3" s="1"/>
  <c r="G1845" i="3"/>
  <c r="H1845" i="3" s="1"/>
  <c r="G1844" i="3"/>
  <c r="H1844" i="3" s="1"/>
  <c r="G1843" i="3"/>
  <c r="H1843" i="3" s="1"/>
  <c r="G1842" i="3"/>
  <c r="H1842" i="3" s="1"/>
  <c r="G1841" i="3"/>
  <c r="H1841" i="3" s="1"/>
  <c r="G1840" i="3"/>
  <c r="H1840" i="3" s="1"/>
  <c r="G1839" i="3"/>
  <c r="H1839" i="3" s="1"/>
  <c r="G1838" i="3"/>
  <c r="H1838" i="3" s="1"/>
  <c r="G1837" i="3"/>
  <c r="H1837" i="3" s="1"/>
  <c r="G1836" i="3"/>
  <c r="H1836" i="3" s="1"/>
  <c r="G1835" i="3"/>
  <c r="H1835" i="3" s="1"/>
  <c r="G1834" i="3"/>
  <c r="H1834" i="3" s="1"/>
  <c r="G1833" i="3"/>
  <c r="H1833" i="3" s="1"/>
  <c r="H1832" i="3"/>
  <c r="G1832" i="3"/>
  <c r="G1831" i="3"/>
  <c r="H1831" i="3" s="1"/>
  <c r="G1830" i="3"/>
  <c r="H1830" i="3" s="1"/>
  <c r="G1829" i="3"/>
  <c r="H1829" i="3" s="1"/>
  <c r="G1828" i="3"/>
  <c r="H1828" i="3" s="1"/>
  <c r="G1827" i="3"/>
  <c r="H1827" i="3" s="1"/>
  <c r="G1826" i="3"/>
  <c r="H1826" i="3" s="1"/>
  <c r="G1825" i="3"/>
  <c r="H1825" i="3" s="1"/>
  <c r="G1824" i="3"/>
  <c r="H1824" i="3" s="1"/>
  <c r="G1823" i="3"/>
  <c r="H1823" i="3" s="1"/>
  <c r="G1822" i="3"/>
  <c r="H1822" i="3" s="1"/>
  <c r="G1821" i="3"/>
  <c r="H1821" i="3" s="1"/>
  <c r="H1820" i="3"/>
  <c r="G1820" i="3"/>
  <c r="G1819" i="3"/>
  <c r="H1819" i="3" s="1"/>
  <c r="G1818" i="3"/>
  <c r="H1818" i="3" s="1"/>
  <c r="G1817" i="3"/>
  <c r="H1817" i="3" s="1"/>
  <c r="G1816" i="3"/>
  <c r="H1816" i="3" s="1"/>
  <c r="G1815" i="3"/>
  <c r="H1815" i="3" s="1"/>
  <c r="G1814" i="3"/>
  <c r="H1814" i="3" s="1"/>
  <c r="G1813" i="3"/>
  <c r="H1813" i="3" s="1"/>
  <c r="G1812" i="3"/>
  <c r="H1812" i="3" s="1"/>
  <c r="G1811" i="3"/>
  <c r="H1811" i="3" s="1"/>
  <c r="G1810" i="3"/>
  <c r="H1810" i="3" s="1"/>
  <c r="G1809" i="3"/>
  <c r="H1809" i="3" s="1"/>
  <c r="G1808" i="3"/>
  <c r="H1808" i="3" s="1"/>
  <c r="G1807" i="3"/>
  <c r="H1807" i="3" s="1"/>
  <c r="G1806" i="3"/>
  <c r="H1806" i="3" s="1"/>
  <c r="G1805" i="3"/>
  <c r="H1805" i="3" s="1"/>
  <c r="G1804" i="3"/>
  <c r="H1804" i="3" s="1"/>
  <c r="G1803" i="3"/>
  <c r="H1803" i="3" s="1"/>
  <c r="G1802" i="3"/>
  <c r="H1802" i="3" s="1"/>
  <c r="G1801" i="3"/>
  <c r="H1801" i="3" s="1"/>
  <c r="G1800" i="3"/>
  <c r="H1800" i="3" s="1"/>
  <c r="G1799" i="3"/>
  <c r="H1799" i="3" s="1"/>
  <c r="G1798" i="3"/>
  <c r="H1798" i="3" s="1"/>
  <c r="G1797" i="3"/>
  <c r="H1797" i="3" s="1"/>
  <c r="G1796" i="3"/>
  <c r="H1796" i="3" s="1"/>
  <c r="G1795" i="3"/>
  <c r="H1795" i="3" s="1"/>
  <c r="G1794" i="3"/>
  <c r="H1794" i="3" s="1"/>
  <c r="G1793" i="3"/>
  <c r="H1793" i="3" s="1"/>
  <c r="G1792" i="3"/>
  <c r="H1792" i="3" s="1"/>
  <c r="G1791" i="3"/>
  <c r="H1791" i="3" s="1"/>
  <c r="G1790" i="3"/>
  <c r="H1790" i="3" s="1"/>
  <c r="G1789" i="3"/>
  <c r="H1789" i="3" s="1"/>
  <c r="G1788" i="3"/>
  <c r="H1788" i="3" s="1"/>
  <c r="G1787" i="3"/>
  <c r="H1787" i="3" s="1"/>
  <c r="G1786" i="3"/>
  <c r="H1786" i="3" s="1"/>
  <c r="G1785" i="3"/>
  <c r="H1785" i="3" s="1"/>
  <c r="H1784" i="3"/>
  <c r="G1784" i="3"/>
  <c r="G1783" i="3"/>
  <c r="H1783" i="3" s="1"/>
  <c r="G1782" i="3"/>
  <c r="H1782" i="3" s="1"/>
  <c r="G1781" i="3"/>
  <c r="H1781" i="3" s="1"/>
  <c r="G1780" i="3"/>
  <c r="H1780" i="3" s="1"/>
  <c r="G1779" i="3"/>
  <c r="H1779" i="3" s="1"/>
  <c r="G1778" i="3"/>
  <c r="H1778" i="3" s="1"/>
  <c r="G1777" i="3"/>
  <c r="H1777" i="3" s="1"/>
  <c r="G1776" i="3"/>
  <c r="H1776" i="3" s="1"/>
  <c r="G1775" i="3"/>
  <c r="H1775" i="3" s="1"/>
  <c r="G1774" i="3"/>
  <c r="H1774" i="3" s="1"/>
  <c r="G1773" i="3"/>
  <c r="H1773" i="3" s="1"/>
  <c r="G1772" i="3"/>
  <c r="H1772" i="3" s="1"/>
  <c r="G1771" i="3"/>
  <c r="H1771" i="3" s="1"/>
  <c r="G1770" i="3"/>
  <c r="H1770" i="3" s="1"/>
  <c r="G1769" i="3"/>
  <c r="H1769" i="3" s="1"/>
  <c r="G1768" i="3"/>
  <c r="H1768" i="3" s="1"/>
  <c r="G1767" i="3"/>
  <c r="H1767" i="3" s="1"/>
  <c r="G1766" i="3"/>
  <c r="H1766" i="3" s="1"/>
  <c r="G1765" i="3"/>
  <c r="H1765" i="3" s="1"/>
  <c r="G1764" i="3"/>
  <c r="H1764" i="3" s="1"/>
  <c r="G1763" i="3"/>
  <c r="H1763" i="3" s="1"/>
  <c r="G1762" i="3"/>
  <c r="H1762" i="3" s="1"/>
  <c r="G1761" i="3"/>
  <c r="H1761" i="3" s="1"/>
  <c r="H1760" i="3"/>
  <c r="G1760" i="3"/>
  <c r="G1759" i="3"/>
  <c r="H1759" i="3" s="1"/>
  <c r="G1758" i="3"/>
  <c r="H1758" i="3" s="1"/>
  <c r="G1757" i="3"/>
  <c r="H1757" i="3" s="1"/>
  <c r="G1756" i="3"/>
  <c r="H1756" i="3" s="1"/>
  <c r="G1755" i="3"/>
  <c r="H1755" i="3" s="1"/>
  <c r="G1754" i="3"/>
  <c r="H1754" i="3" s="1"/>
  <c r="G1753" i="3"/>
  <c r="H1753" i="3" s="1"/>
  <c r="G1752" i="3"/>
  <c r="H1752" i="3" s="1"/>
  <c r="G1751" i="3"/>
  <c r="H1751" i="3" s="1"/>
  <c r="G1750" i="3"/>
  <c r="H1750" i="3" s="1"/>
  <c r="G1749" i="3"/>
  <c r="H1749" i="3" s="1"/>
  <c r="G1748" i="3"/>
  <c r="H1748" i="3" s="1"/>
  <c r="G1747" i="3"/>
  <c r="H1747" i="3" s="1"/>
  <c r="H1746" i="3"/>
  <c r="G1746" i="3"/>
  <c r="G1745" i="3"/>
  <c r="H1745" i="3" s="1"/>
  <c r="G1744" i="3"/>
  <c r="H1744" i="3" s="1"/>
  <c r="G1743" i="3"/>
  <c r="H1743" i="3" s="1"/>
  <c r="G1742" i="3"/>
  <c r="H1742" i="3" s="1"/>
  <c r="G1741" i="3"/>
  <c r="H1741" i="3" s="1"/>
  <c r="G1740" i="3"/>
  <c r="H1740" i="3" s="1"/>
  <c r="G1739" i="3"/>
  <c r="H1739" i="3" s="1"/>
  <c r="G1738" i="3"/>
  <c r="H1738" i="3" s="1"/>
  <c r="G1737" i="3"/>
  <c r="H1737" i="3" s="1"/>
  <c r="G1736" i="3"/>
  <c r="H1736" i="3" s="1"/>
  <c r="G1735" i="3"/>
  <c r="H1735" i="3" s="1"/>
  <c r="G1734" i="3"/>
  <c r="H1734" i="3" s="1"/>
  <c r="G1733" i="3"/>
  <c r="H1733" i="3" s="1"/>
  <c r="G1732" i="3"/>
  <c r="H1732" i="3" s="1"/>
  <c r="G1731" i="3"/>
  <c r="H1731" i="3" s="1"/>
  <c r="G1730" i="3"/>
  <c r="H1730" i="3" s="1"/>
  <c r="G1729" i="3"/>
  <c r="H1729" i="3" s="1"/>
  <c r="H1728" i="3"/>
  <c r="G1728" i="3"/>
  <c r="G1727" i="3"/>
  <c r="H1727" i="3" s="1"/>
  <c r="G1726" i="3"/>
  <c r="H1726" i="3" s="1"/>
  <c r="G1725" i="3"/>
  <c r="H1725" i="3" s="1"/>
  <c r="G1724" i="3"/>
  <c r="H1724" i="3" s="1"/>
  <c r="G1723" i="3"/>
  <c r="H1723" i="3" s="1"/>
  <c r="G1722" i="3"/>
  <c r="H1722" i="3" s="1"/>
  <c r="G1721" i="3"/>
  <c r="H1721" i="3" s="1"/>
  <c r="H1720" i="3"/>
  <c r="G1720" i="3"/>
  <c r="G1719" i="3"/>
  <c r="H1719" i="3" s="1"/>
  <c r="G1718" i="3"/>
  <c r="H1718" i="3" s="1"/>
  <c r="G1717" i="3"/>
  <c r="H1717" i="3" s="1"/>
  <c r="G1716" i="3"/>
  <c r="H1716" i="3" s="1"/>
  <c r="G1715" i="3"/>
  <c r="H1715" i="3" s="1"/>
  <c r="H1714" i="3"/>
  <c r="G1714" i="3"/>
  <c r="G1713" i="3"/>
  <c r="H1713" i="3" s="1"/>
  <c r="G1712" i="3"/>
  <c r="H1712" i="3" s="1"/>
  <c r="G1711" i="3"/>
  <c r="H1711" i="3" s="1"/>
  <c r="G1710" i="3"/>
  <c r="H1710" i="3" s="1"/>
  <c r="G1709" i="3"/>
  <c r="H1709" i="3" s="1"/>
  <c r="G1708" i="3"/>
  <c r="H1708" i="3" s="1"/>
  <c r="G1707" i="3"/>
  <c r="H1707" i="3" s="1"/>
  <c r="G1706" i="3"/>
  <c r="H1706" i="3" s="1"/>
  <c r="G1705" i="3"/>
  <c r="H1705" i="3" s="1"/>
  <c r="G1704" i="3"/>
  <c r="H1704" i="3" s="1"/>
  <c r="G1703" i="3"/>
  <c r="H1703" i="3" s="1"/>
  <c r="G1702" i="3"/>
  <c r="H1702" i="3" s="1"/>
  <c r="G1701" i="3"/>
  <c r="H1701" i="3" s="1"/>
  <c r="G1700" i="3"/>
  <c r="H1700" i="3" s="1"/>
  <c r="G1699" i="3"/>
  <c r="H1699" i="3" s="1"/>
  <c r="G1698" i="3"/>
  <c r="H1698" i="3" s="1"/>
  <c r="G1697" i="3"/>
  <c r="H1697" i="3" s="1"/>
  <c r="H1696" i="3"/>
  <c r="G1696" i="3"/>
  <c r="G1695" i="3"/>
  <c r="H1695" i="3" s="1"/>
  <c r="G1694" i="3"/>
  <c r="H1694" i="3" s="1"/>
  <c r="G1693" i="3"/>
  <c r="H1693" i="3" s="1"/>
  <c r="G1692" i="3"/>
  <c r="H1692" i="3" s="1"/>
  <c r="G1691" i="3"/>
  <c r="H1691" i="3" s="1"/>
  <c r="G1690" i="3"/>
  <c r="H1690" i="3" s="1"/>
  <c r="G1689" i="3"/>
  <c r="H1689" i="3" s="1"/>
  <c r="H1688" i="3"/>
  <c r="G1688" i="3"/>
  <c r="G1687" i="3"/>
  <c r="H1687" i="3" s="1"/>
  <c r="G1686" i="3"/>
  <c r="H1686" i="3" s="1"/>
  <c r="G1685" i="3"/>
  <c r="H1685" i="3" s="1"/>
  <c r="G1684" i="3"/>
  <c r="H1684" i="3" s="1"/>
  <c r="G1683" i="3"/>
  <c r="H1683" i="3" s="1"/>
  <c r="H1682" i="3"/>
  <c r="G1682" i="3"/>
  <c r="G1681" i="3"/>
  <c r="H1681" i="3" s="1"/>
  <c r="G1680" i="3"/>
  <c r="H1680" i="3" s="1"/>
  <c r="G1679" i="3"/>
  <c r="H1679" i="3" s="1"/>
  <c r="G1678" i="3"/>
  <c r="H1678" i="3" s="1"/>
  <c r="G1677" i="3"/>
  <c r="H1677" i="3" s="1"/>
  <c r="G1676" i="3"/>
  <c r="H1676" i="3" s="1"/>
  <c r="G1675" i="3"/>
  <c r="H1675" i="3" s="1"/>
  <c r="G1674" i="3"/>
  <c r="H1674" i="3" s="1"/>
  <c r="G1673" i="3"/>
  <c r="H1673" i="3" s="1"/>
  <c r="G1672" i="3"/>
  <c r="H1672" i="3" s="1"/>
  <c r="G1671" i="3"/>
  <c r="H1671" i="3" s="1"/>
  <c r="G1670" i="3"/>
  <c r="H1670" i="3" s="1"/>
  <c r="G1669" i="3"/>
  <c r="H1669" i="3" s="1"/>
  <c r="G1668" i="3"/>
  <c r="H1668" i="3" s="1"/>
  <c r="G1667" i="3"/>
  <c r="H1667" i="3" s="1"/>
  <c r="G1666" i="3"/>
  <c r="H1666" i="3" s="1"/>
  <c r="G1665" i="3"/>
  <c r="H1665" i="3" s="1"/>
  <c r="G1664" i="3"/>
  <c r="H1664" i="3" s="1"/>
  <c r="G1663" i="3"/>
  <c r="H1663" i="3" s="1"/>
  <c r="G1662" i="3"/>
  <c r="H1662" i="3" s="1"/>
  <c r="G1661" i="3"/>
  <c r="H1661" i="3" s="1"/>
  <c r="G1660" i="3"/>
  <c r="H1660" i="3" s="1"/>
  <c r="G1659" i="3"/>
  <c r="H1659" i="3" s="1"/>
  <c r="G1658" i="3"/>
  <c r="H1658" i="3" s="1"/>
  <c r="G1657" i="3"/>
  <c r="H1657" i="3" s="1"/>
  <c r="H1656" i="3"/>
  <c r="G1656" i="3"/>
  <c r="G1655" i="3"/>
  <c r="H1655" i="3" s="1"/>
  <c r="G1654" i="3"/>
  <c r="H1654" i="3" s="1"/>
  <c r="G1653" i="3"/>
  <c r="H1653" i="3" s="1"/>
  <c r="G1652" i="3"/>
  <c r="H1652" i="3" s="1"/>
  <c r="G1651" i="3"/>
  <c r="H1651" i="3" s="1"/>
  <c r="G1650" i="3"/>
  <c r="H1650" i="3" s="1"/>
  <c r="G1649" i="3"/>
  <c r="H1649" i="3" s="1"/>
  <c r="G1648" i="3"/>
  <c r="H1648" i="3" s="1"/>
  <c r="G1647" i="3"/>
  <c r="H1647" i="3" s="1"/>
  <c r="G1646" i="3"/>
  <c r="H1646" i="3" s="1"/>
  <c r="G1645" i="3"/>
  <c r="H1645" i="3" s="1"/>
  <c r="G1644" i="3"/>
  <c r="H1644" i="3" s="1"/>
  <c r="G1643" i="3"/>
  <c r="H1643" i="3" s="1"/>
  <c r="G1642" i="3"/>
  <c r="H1642" i="3" s="1"/>
  <c r="G1641" i="3"/>
  <c r="H1641" i="3" s="1"/>
  <c r="G1640" i="3"/>
  <c r="H1640" i="3" s="1"/>
  <c r="G1639" i="3"/>
  <c r="H1639" i="3" s="1"/>
  <c r="G1638" i="3"/>
  <c r="H1638" i="3" s="1"/>
  <c r="G1637" i="3"/>
  <c r="H1637" i="3" s="1"/>
  <c r="G1636" i="3"/>
  <c r="H1636" i="3" s="1"/>
  <c r="G1635" i="3"/>
  <c r="H1635" i="3" s="1"/>
  <c r="G1634" i="3"/>
  <c r="H1634" i="3" s="1"/>
  <c r="G1633" i="3"/>
  <c r="H1633" i="3" s="1"/>
  <c r="H1632" i="3"/>
  <c r="G1632" i="3"/>
  <c r="G1631" i="3"/>
  <c r="H1631" i="3" s="1"/>
  <c r="G1630" i="3"/>
  <c r="H1630" i="3" s="1"/>
  <c r="G1629" i="3"/>
  <c r="H1629" i="3" s="1"/>
  <c r="G1628" i="3"/>
  <c r="H1628" i="3" s="1"/>
  <c r="G1627" i="3"/>
  <c r="H1627" i="3" s="1"/>
  <c r="G1626" i="3"/>
  <c r="H1626" i="3" s="1"/>
  <c r="G1625" i="3"/>
  <c r="H1625" i="3" s="1"/>
  <c r="G1624" i="3"/>
  <c r="H1624" i="3" s="1"/>
  <c r="G1623" i="3"/>
  <c r="H1623" i="3" s="1"/>
  <c r="G1622" i="3"/>
  <c r="H1622" i="3" s="1"/>
  <c r="G1621" i="3"/>
  <c r="H1621" i="3" s="1"/>
  <c r="G1620" i="3"/>
  <c r="H1620" i="3" s="1"/>
  <c r="G1619" i="3"/>
  <c r="H1619" i="3" s="1"/>
  <c r="H1618" i="3"/>
  <c r="G1618" i="3"/>
  <c r="G1617" i="3"/>
  <c r="H1617" i="3" s="1"/>
  <c r="G1616" i="3"/>
  <c r="H1616" i="3" s="1"/>
  <c r="G1615" i="3"/>
  <c r="H1615" i="3" s="1"/>
  <c r="G1614" i="3"/>
  <c r="H1614" i="3" s="1"/>
  <c r="G1613" i="3"/>
  <c r="H1613" i="3" s="1"/>
  <c r="G1612" i="3"/>
  <c r="H1612" i="3" s="1"/>
  <c r="G1611" i="3"/>
  <c r="H1611" i="3" s="1"/>
  <c r="G1610" i="3"/>
  <c r="H1610" i="3" s="1"/>
  <c r="G1609" i="3"/>
  <c r="H1609" i="3" s="1"/>
  <c r="G1608" i="3"/>
  <c r="H1608" i="3" s="1"/>
  <c r="G1607" i="3"/>
  <c r="H1607" i="3" s="1"/>
  <c r="G1606" i="3"/>
  <c r="H1606" i="3" s="1"/>
  <c r="G1605" i="3"/>
  <c r="H1605" i="3" s="1"/>
  <c r="G1604" i="3"/>
  <c r="H1604" i="3" s="1"/>
  <c r="G1603" i="3"/>
  <c r="H1603" i="3" s="1"/>
  <c r="G1602" i="3"/>
  <c r="H1602" i="3" s="1"/>
  <c r="G1601" i="3"/>
  <c r="H1601" i="3" s="1"/>
  <c r="H1600" i="3"/>
  <c r="G1600" i="3"/>
  <c r="G1599" i="3"/>
  <c r="H1599" i="3" s="1"/>
  <c r="G1598" i="3"/>
  <c r="H1598" i="3" s="1"/>
  <c r="G1597" i="3"/>
  <c r="H1597" i="3" s="1"/>
  <c r="G1596" i="3"/>
  <c r="H1596" i="3" s="1"/>
  <c r="G1595" i="3"/>
  <c r="H1595" i="3" s="1"/>
  <c r="G1594" i="3"/>
  <c r="H1594" i="3" s="1"/>
  <c r="G1593" i="3"/>
  <c r="H1593" i="3" s="1"/>
  <c r="H1592" i="3"/>
  <c r="G1592" i="3"/>
  <c r="G1591" i="3"/>
  <c r="H1591" i="3" s="1"/>
  <c r="G1590" i="3"/>
  <c r="H1590" i="3" s="1"/>
  <c r="G1589" i="3"/>
  <c r="H1589" i="3" s="1"/>
  <c r="G1588" i="3"/>
  <c r="H1588" i="3" s="1"/>
  <c r="G1587" i="3"/>
  <c r="H1587" i="3" s="1"/>
  <c r="H1586" i="3"/>
  <c r="G1586" i="3"/>
  <c r="G1585" i="3"/>
  <c r="H1585" i="3" s="1"/>
  <c r="G1584" i="3"/>
  <c r="H1584" i="3" s="1"/>
  <c r="G1583" i="3"/>
  <c r="H1583" i="3" s="1"/>
  <c r="G1582" i="3"/>
  <c r="H1582" i="3" s="1"/>
  <c r="G1581" i="3"/>
  <c r="H1581" i="3" s="1"/>
  <c r="G1580" i="3"/>
  <c r="H1580" i="3" s="1"/>
  <c r="G1579" i="3"/>
  <c r="H1579" i="3" s="1"/>
  <c r="G1578" i="3"/>
  <c r="H1578" i="3" s="1"/>
  <c r="G1577" i="3"/>
  <c r="H1577" i="3" s="1"/>
  <c r="G1576" i="3"/>
  <c r="H1576" i="3" s="1"/>
  <c r="G1575" i="3"/>
  <c r="H1575" i="3" s="1"/>
  <c r="G1574" i="3"/>
  <c r="H1574" i="3" s="1"/>
  <c r="G1573" i="3"/>
  <c r="H1573" i="3" s="1"/>
  <c r="G1572" i="3"/>
  <c r="H1572" i="3" s="1"/>
  <c r="G1571" i="3"/>
  <c r="H1571" i="3" s="1"/>
  <c r="G1570" i="3"/>
  <c r="H1570" i="3" s="1"/>
  <c r="G1569" i="3"/>
  <c r="H1569" i="3" s="1"/>
  <c r="H1568" i="3"/>
  <c r="G1568" i="3"/>
  <c r="G1567" i="3"/>
  <c r="H1567" i="3" s="1"/>
  <c r="G1566" i="3"/>
  <c r="H1566" i="3" s="1"/>
  <c r="G1565" i="3"/>
  <c r="H1565" i="3" s="1"/>
  <c r="G1564" i="3"/>
  <c r="H1564" i="3" s="1"/>
  <c r="G1563" i="3"/>
  <c r="H1563" i="3" s="1"/>
  <c r="G1562" i="3"/>
  <c r="H1562" i="3" s="1"/>
  <c r="G1561" i="3"/>
  <c r="H1561" i="3" s="1"/>
  <c r="H1560" i="3"/>
  <c r="G1560" i="3"/>
  <c r="G1559" i="3"/>
  <c r="H1559" i="3" s="1"/>
  <c r="G1558" i="3"/>
  <c r="H1558" i="3" s="1"/>
  <c r="G1557" i="3"/>
  <c r="H1557" i="3" s="1"/>
  <c r="G1556" i="3"/>
  <c r="H1556" i="3" s="1"/>
  <c r="G1555" i="3"/>
  <c r="H1555" i="3" s="1"/>
  <c r="H1554" i="3"/>
  <c r="G1554" i="3"/>
  <c r="G1553" i="3"/>
  <c r="H1553" i="3" s="1"/>
  <c r="G1552" i="3"/>
  <c r="H1552" i="3" s="1"/>
  <c r="G1551" i="3"/>
  <c r="H1551" i="3" s="1"/>
  <c r="G1550" i="3"/>
  <c r="H1550" i="3" s="1"/>
  <c r="G1549" i="3"/>
  <c r="H1549" i="3" s="1"/>
  <c r="G1548" i="3"/>
  <c r="H1548" i="3" s="1"/>
  <c r="G1547" i="3"/>
  <c r="H1547" i="3" s="1"/>
  <c r="G1546" i="3"/>
  <c r="H1546" i="3" s="1"/>
  <c r="G1545" i="3"/>
  <c r="H1545" i="3" s="1"/>
  <c r="G1544" i="3"/>
  <c r="H1544" i="3" s="1"/>
  <c r="G1543" i="3"/>
  <c r="H1543" i="3" s="1"/>
  <c r="G1542" i="3"/>
  <c r="H1542" i="3" s="1"/>
  <c r="G1541" i="3"/>
  <c r="H1541" i="3" s="1"/>
  <c r="G1540" i="3"/>
  <c r="H1540" i="3" s="1"/>
  <c r="G1539" i="3"/>
  <c r="H1539" i="3" s="1"/>
  <c r="G1538" i="3"/>
  <c r="H1538" i="3" s="1"/>
  <c r="G1537" i="3"/>
  <c r="H1537" i="3" s="1"/>
  <c r="G1536" i="3"/>
  <c r="H1536" i="3" s="1"/>
  <c r="G1535" i="3"/>
  <c r="H1535" i="3" s="1"/>
  <c r="G1534" i="3"/>
  <c r="H1534" i="3" s="1"/>
  <c r="G1533" i="3"/>
  <c r="H1533" i="3" s="1"/>
  <c r="G1532" i="3"/>
  <c r="H1532" i="3" s="1"/>
  <c r="G1531" i="3"/>
  <c r="H1531" i="3" s="1"/>
  <c r="G1530" i="3"/>
  <c r="H1530" i="3" s="1"/>
  <c r="G1529" i="3"/>
  <c r="H1529" i="3" s="1"/>
  <c r="H1528" i="3"/>
  <c r="G1528" i="3"/>
  <c r="G1527" i="3"/>
  <c r="H1527" i="3" s="1"/>
  <c r="G1526" i="3"/>
  <c r="H1526" i="3" s="1"/>
  <c r="G1525" i="3"/>
  <c r="H1525" i="3" s="1"/>
  <c r="G1524" i="3"/>
  <c r="H1524" i="3" s="1"/>
  <c r="G1523" i="3"/>
  <c r="H1523" i="3" s="1"/>
  <c r="G1522" i="3"/>
  <c r="H1522" i="3" s="1"/>
  <c r="G1521" i="3"/>
  <c r="H1521" i="3" s="1"/>
  <c r="G1520" i="3"/>
  <c r="H1520" i="3" s="1"/>
  <c r="G1519" i="3"/>
  <c r="H1519" i="3" s="1"/>
  <c r="G1518" i="3"/>
  <c r="H1518" i="3" s="1"/>
  <c r="G1517" i="3"/>
  <c r="H1517" i="3" s="1"/>
  <c r="G1516" i="3"/>
  <c r="H1516" i="3" s="1"/>
  <c r="G1515" i="3"/>
  <c r="H1515" i="3" s="1"/>
  <c r="G1514" i="3"/>
  <c r="H1514" i="3" s="1"/>
  <c r="G1513" i="3"/>
  <c r="H1513" i="3" s="1"/>
  <c r="G1512" i="3"/>
  <c r="H1512" i="3" s="1"/>
  <c r="G1511" i="3"/>
  <c r="H1511" i="3" s="1"/>
  <c r="G1510" i="3"/>
  <c r="H1510" i="3" s="1"/>
  <c r="G1509" i="3"/>
  <c r="H1509" i="3" s="1"/>
  <c r="G1508" i="3"/>
  <c r="H1508" i="3" s="1"/>
  <c r="G1507" i="3"/>
  <c r="H1507" i="3" s="1"/>
  <c r="G1506" i="3"/>
  <c r="H1506" i="3" s="1"/>
  <c r="G1505" i="3"/>
  <c r="H1505" i="3" s="1"/>
  <c r="H1504" i="3"/>
  <c r="G1504" i="3"/>
  <c r="G1503" i="3"/>
  <c r="H1503" i="3" s="1"/>
  <c r="G1502" i="3"/>
  <c r="H1502" i="3" s="1"/>
  <c r="G1501" i="3"/>
  <c r="H1501" i="3" s="1"/>
  <c r="G1500" i="3"/>
  <c r="H1500" i="3" s="1"/>
  <c r="G1499" i="3"/>
  <c r="H1499" i="3" s="1"/>
  <c r="G1498" i="3"/>
  <c r="H1498" i="3" s="1"/>
  <c r="G1497" i="3"/>
  <c r="H1497" i="3" s="1"/>
  <c r="G1496" i="3"/>
  <c r="H1496" i="3" s="1"/>
  <c r="G1495" i="3"/>
  <c r="H1495" i="3" s="1"/>
  <c r="G1494" i="3"/>
  <c r="H1494" i="3" s="1"/>
  <c r="G1493" i="3"/>
  <c r="H1493" i="3" s="1"/>
  <c r="G1492" i="3"/>
  <c r="H1492" i="3" s="1"/>
  <c r="G1491" i="3"/>
  <c r="H1491" i="3" s="1"/>
  <c r="H1490" i="3"/>
  <c r="G1490" i="3"/>
  <c r="G1489" i="3"/>
  <c r="H1489" i="3" s="1"/>
  <c r="G1488" i="3"/>
  <c r="H1488" i="3" s="1"/>
  <c r="G1487" i="3"/>
  <c r="H1487" i="3" s="1"/>
  <c r="G1486" i="3"/>
  <c r="H1486" i="3" s="1"/>
  <c r="G1485" i="3"/>
  <c r="H1485" i="3" s="1"/>
  <c r="G1484" i="3"/>
  <c r="H1484" i="3" s="1"/>
  <c r="G1483" i="3"/>
  <c r="H1483" i="3" s="1"/>
  <c r="G1482" i="3"/>
  <c r="H1482" i="3" s="1"/>
  <c r="G1481" i="3"/>
  <c r="H1481" i="3" s="1"/>
  <c r="G1480" i="3"/>
  <c r="H1480" i="3" s="1"/>
  <c r="G1479" i="3"/>
  <c r="H1479" i="3" s="1"/>
  <c r="G1478" i="3"/>
  <c r="H1478" i="3" s="1"/>
  <c r="G1477" i="3"/>
  <c r="H1477" i="3" s="1"/>
  <c r="G1476" i="3"/>
  <c r="H1476" i="3" s="1"/>
  <c r="G1475" i="3"/>
  <c r="H1475" i="3" s="1"/>
  <c r="G1474" i="3"/>
  <c r="H1474" i="3" s="1"/>
  <c r="G1473" i="3"/>
  <c r="H1473" i="3" s="1"/>
  <c r="H1472" i="3"/>
  <c r="G1472" i="3"/>
  <c r="G1471" i="3"/>
  <c r="H1471" i="3" s="1"/>
  <c r="G1470" i="3"/>
  <c r="H1470" i="3" s="1"/>
  <c r="G1469" i="3"/>
  <c r="H1469" i="3" s="1"/>
  <c r="G1468" i="3"/>
  <c r="H1468" i="3" s="1"/>
  <c r="G1467" i="3"/>
  <c r="H1467" i="3" s="1"/>
  <c r="G1466" i="3"/>
  <c r="H1466" i="3" s="1"/>
  <c r="G1465" i="3"/>
  <c r="H1465" i="3" s="1"/>
  <c r="H1464" i="3"/>
  <c r="G1464" i="3"/>
  <c r="G1463" i="3"/>
  <c r="H1463" i="3" s="1"/>
  <c r="G1462" i="3"/>
  <c r="H1462" i="3" s="1"/>
  <c r="G1461" i="3"/>
  <c r="H1461" i="3" s="1"/>
  <c r="G1460" i="3"/>
  <c r="H1460" i="3" s="1"/>
  <c r="G1459" i="3"/>
  <c r="H1459" i="3" s="1"/>
  <c r="H1458" i="3"/>
  <c r="G1458" i="3"/>
  <c r="G1457" i="3"/>
  <c r="H1457" i="3" s="1"/>
  <c r="G1456" i="3"/>
  <c r="H1456" i="3" s="1"/>
  <c r="G1455" i="3"/>
  <c r="H1455" i="3" s="1"/>
  <c r="G1454" i="3"/>
  <c r="H1454" i="3" s="1"/>
  <c r="G1453" i="3"/>
  <c r="H1453" i="3" s="1"/>
  <c r="G1452" i="3"/>
  <c r="H1452" i="3" s="1"/>
  <c r="G1451" i="3"/>
  <c r="H1451" i="3" s="1"/>
  <c r="G1450" i="3"/>
  <c r="H1450" i="3" s="1"/>
  <c r="G1449" i="3"/>
  <c r="H1449" i="3" s="1"/>
  <c r="G1448" i="3"/>
  <c r="H1448" i="3" s="1"/>
  <c r="G1447" i="3"/>
  <c r="H1447" i="3" s="1"/>
  <c r="G1446" i="3"/>
  <c r="H1446" i="3" s="1"/>
  <c r="G1445" i="3"/>
  <c r="H1445" i="3" s="1"/>
  <c r="G1444" i="3"/>
  <c r="H1444" i="3" s="1"/>
  <c r="G1443" i="3"/>
  <c r="H1443" i="3" s="1"/>
  <c r="G1442" i="3"/>
  <c r="H1442" i="3" s="1"/>
  <c r="G1441" i="3"/>
  <c r="H1441" i="3" s="1"/>
  <c r="H1440" i="3"/>
  <c r="G1440" i="3"/>
  <c r="G1439" i="3"/>
  <c r="H1439" i="3" s="1"/>
  <c r="G1438" i="3"/>
  <c r="H1438" i="3" s="1"/>
  <c r="G1437" i="3"/>
  <c r="H1437" i="3" s="1"/>
  <c r="G1436" i="3"/>
  <c r="H1436" i="3" s="1"/>
  <c r="G1435" i="3"/>
  <c r="H1435" i="3" s="1"/>
  <c r="G1434" i="3"/>
  <c r="H1434" i="3" s="1"/>
  <c r="G1433" i="3"/>
  <c r="H1433" i="3" s="1"/>
  <c r="H1432" i="3"/>
  <c r="G1432" i="3"/>
  <c r="G1431" i="3"/>
  <c r="H1431" i="3" s="1"/>
  <c r="G1430" i="3"/>
  <c r="H1430" i="3" s="1"/>
  <c r="G1429" i="3"/>
  <c r="H1429" i="3" s="1"/>
  <c r="G1428" i="3"/>
  <c r="H1428" i="3" s="1"/>
  <c r="G1427" i="3"/>
  <c r="H1427" i="3" s="1"/>
  <c r="H1426" i="3"/>
  <c r="G1426" i="3"/>
  <c r="G1425" i="3"/>
  <c r="H1425" i="3" s="1"/>
  <c r="G1424" i="3"/>
  <c r="H1424" i="3" s="1"/>
  <c r="G1423" i="3"/>
  <c r="H1423" i="3" s="1"/>
  <c r="G1422" i="3"/>
  <c r="H1422" i="3" s="1"/>
  <c r="G1421" i="3"/>
  <c r="H1421" i="3" s="1"/>
  <c r="G1420" i="3"/>
  <c r="H1420" i="3" s="1"/>
  <c r="G1419" i="3"/>
  <c r="H1419" i="3" s="1"/>
  <c r="G1418" i="3"/>
  <c r="H1418" i="3" s="1"/>
  <c r="G1417" i="3"/>
  <c r="H1417" i="3" s="1"/>
  <c r="G1416" i="3"/>
  <c r="H1416" i="3" s="1"/>
  <c r="G1415" i="3"/>
  <c r="H1415" i="3" s="1"/>
  <c r="G1414" i="3"/>
  <c r="H1414" i="3" s="1"/>
  <c r="G1413" i="3"/>
  <c r="H1413" i="3" s="1"/>
  <c r="G1412" i="3"/>
  <c r="H1412" i="3" s="1"/>
  <c r="G1411" i="3"/>
  <c r="H1411" i="3" s="1"/>
  <c r="G1410" i="3"/>
  <c r="H1410" i="3" s="1"/>
  <c r="G1409" i="3"/>
  <c r="H1409" i="3" s="1"/>
  <c r="G1408" i="3"/>
  <c r="H1408" i="3" s="1"/>
  <c r="G1407" i="3"/>
  <c r="H1407" i="3" s="1"/>
  <c r="G1406" i="3"/>
  <c r="H1406" i="3" s="1"/>
  <c r="G1405" i="3"/>
  <c r="H1405" i="3" s="1"/>
  <c r="G1404" i="3"/>
  <c r="H1404" i="3" s="1"/>
  <c r="G1403" i="3"/>
  <c r="H1403" i="3" s="1"/>
  <c r="G1402" i="3"/>
  <c r="H1402" i="3" s="1"/>
  <c r="G1401" i="3"/>
  <c r="H1401" i="3" s="1"/>
  <c r="H1400" i="3"/>
  <c r="G1400" i="3"/>
  <c r="G1399" i="3"/>
  <c r="H1399" i="3" s="1"/>
  <c r="G1398" i="3"/>
  <c r="H1398" i="3" s="1"/>
  <c r="G1397" i="3"/>
  <c r="H1397" i="3" s="1"/>
  <c r="G1396" i="3"/>
  <c r="H1396" i="3" s="1"/>
  <c r="G1395" i="3"/>
  <c r="H1395" i="3" s="1"/>
  <c r="G1394" i="3"/>
  <c r="H1394" i="3" s="1"/>
  <c r="G1393" i="3"/>
  <c r="H1393" i="3" s="1"/>
  <c r="G1392" i="3"/>
  <c r="H1392" i="3" s="1"/>
  <c r="G1391" i="3"/>
  <c r="H1391" i="3" s="1"/>
  <c r="G1390" i="3"/>
  <c r="H1390" i="3" s="1"/>
  <c r="G1389" i="3"/>
  <c r="H1389" i="3" s="1"/>
  <c r="G1388" i="3"/>
  <c r="H1388" i="3" s="1"/>
  <c r="G1387" i="3"/>
  <c r="H1387" i="3" s="1"/>
  <c r="G1386" i="3"/>
  <c r="H1386" i="3" s="1"/>
  <c r="G1385" i="3"/>
  <c r="H1385" i="3" s="1"/>
  <c r="G1384" i="3"/>
  <c r="H1384" i="3" s="1"/>
  <c r="G1383" i="3"/>
  <c r="H1383" i="3" s="1"/>
  <c r="G1382" i="3"/>
  <c r="H1382" i="3" s="1"/>
  <c r="G1381" i="3"/>
  <c r="H1381" i="3" s="1"/>
  <c r="G1380" i="3"/>
  <c r="H1380" i="3" s="1"/>
  <c r="G1379" i="3"/>
  <c r="H1379" i="3" s="1"/>
  <c r="G1378" i="3"/>
  <c r="H1378" i="3" s="1"/>
  <c r="G1377" i="3"/>
  <c r="H1377" i="3" s="1"/>
  <c r="G1376" i="3"/>
  <c r="H1376" i="3" s="1"/>
  <c r="G1375" i="3"/>
  <c r="H1375" i="3" s="1"/>
  <c r="G1374" i="3"/>
  <c r="H1374" i="3" s="1"/>
  <c r="G1373" i="3"/>
  <c r="H1373" i="3" s="1"/>
  <c r="G1372" i="3"/>
  <c r="H1372" i="3" s="1"/>
  <c r="G1371" i="3"/>
  <c r="H1371" i="3" s="1"/>
  <c r="G1370" i="3"/>
  <c r="H1370" i="3" s="1"/>
  <c r="G1369" i="3"/>
  <c r="H1369" i="3" s="1"/>
  <c r="G1368" i="3"/>
  <c r="H1368" i="3" s="1"/>
  <c r="G1367" i="3"/>
  <c r="H1367" i="3" s="1"/>
  <c r="G1366" i="3"/>
  <c r="H1366" i="3" s="1"/>
  <c r="G1365" i="3"/>
  <c r="H1365" i="3" s="1"/>
  <c r="G1364" i="3"/>
  <c r="H1364" i="3" s="1"/>
  <c r="G1363" i="3"/>
  <c r="H1363" i="3" s="1"/>
  <c r="H1362" i="3"/>
  <c r="G1362" i="3"/>
  <c r="G1361" i="3"/>
  <c r="H1361" i="3" s="1"/>
  <c r="G1360" i="3"/>
  <c r="H1360" i="3" s="1"/>
  <c r="G1359" i="3"/>
  <c r="H1359" i="3" s="1"/>
  <c r="G1358" i="3"/>
  <c r="H1358" i="3" s="1"/>
  <c r="G1357" i="3"/>
  <c r="H1357" i="3" s="1"/>
  <c r="G1356" i="3"/>
  <c r="H1356" i="3" s="1"/>
  <c r="G1355" i="3"/>
  <c r="H1355" i="3" s="1"/>
  <c r="G1354" i="3"/>
  <c r="H1354" i="3" s="1"/>
  <c r="G1353" i="3"/>
  <c r="H1353" i="3" s="1"/>
  <c r="G1352" i="3"/>
  <c r="H1352" i="3" s="1"/>
  <c r="G1351" i="3"/>
  <c r="H1351" i="3" s="1"/>
  <c r="G1350" i="3"/>
  <c r="H1350" i="3" s="1"/>
  <c r="G1349" i="3"/>
  <c r="H1349" i="3" s="1"/>
  <c r="G1348" i="3"/>
  <c r="H1348" i="3" s="1"/>
  <c r="G1347" i="3"/>
  <c r="H1347" i="3" s="1"/>
  <c r="G1346" i="3"/>
  <c r="H1346" i="3" s="1"/>
  <c r="G1345" i="3"/>
  <c r="H1345" i="3" s="1"/>
  <c r="H1344" i="3"/>
  <c r="G1344" i="3"/>
  <c r="G1343" i="3"/>
  <c r="H1343" i="3" s="1"/>
  <c r="G1342" i="3"/>
  <c r="H1342" i="3" s="1"/>
  <c r="G1341" i="3"/>
  <c r="H1341" i="3" s="1"/>
  <c r="G1340" i="3"/>
  <c r="H1340" i="3" s="1"/>
  <c r="G1339" i="3"/>
  <c r="H1339" i="3" s="1"/>
  <c r="G1338" i="3"/>
  <c r="H1338" i="3" s="1"/>
  <c r="G1337" i="3"/>
  <c r="H1337" i="3" s="1"/>
  <c r="H1336" i="3"/>
  <c r="G1336" i="3"/>
  <c r="G1335" i="3"/>
  <c r="H1335" i="3" s="1"/>
  <c r="G1334" i="3"/>
  <c r="H1334" i="3" s="1"/>
  <c r="G1333" i="3"/>
  <c r="H1333" i="3" s="1"/>
  <c r="G1332" i="3"/>
  <c r="H1332" i="3" s="1"/>
  <c r="G1331" i="3"/>
  <c r="H1331" i="3" s="1"/>
  <c r="H1330" i="3"/>
  <c r="G1330" i="3"/>
  <c r="G1329" i="3"/>
  <c r="H1329" i="3" s="1"/>
  <c r="G1328" i="3"/>
  <c r="H1328" i="3" s="1"/>
  <c r="G1327" i="3"/>
  <c r="H1327" i="3" s="1"/>
  <c r="G1326" i="3"/>
  <c r="H1326" i="3" s="1"/>
  <c r="G1325" i="3"/>
  <c r="H1325" i="3" s="1"/>
  <c r="G1324" i="3"/>
  <c r="H1324" i="3" s="1"/>
  <c r="G1323" i="3"/>
  <c r="H1323" i="3" s="1"/>
  <c r="G1322" i="3"/>
  <c r="H1322" i="3" s="1"/>
  <c r="G1321" i="3"/>
  <c r="H1321" i="3" s="1"/>
  <c r="G1320" i="3"/>
  <c r="H1320" i="3" s="1"/>
  <c r="G1319" i="3"/>
  <c r="H1319" i="3" s="1"/>
  <c r="G1318" i="3"/>
  <c r="H1318" i="3" s="1"/>
  <c r="G1317" i="3"/>
  <c r="H1317" i="3" s="1"/>
  <c r="G1316" i="3"/>
  <c r="H1316" i="3" s="1"/>
  <c r="G1315" i="3"/>
  <c r="H1315" i="3" s="1"/>
  <c r="G1314" i="3"/>
  <c r="H1314" i="3" s="1"/>
  <c r="G1313" i="3"/>
  <c r="H1313" i="3" s="1"/>
  <c r="H1312" i="3"/>
  <c r="G1312" i="3"/>
  <c r="G1311" i="3"/>
  <c r="H1311" i="3" s="1"/>
  <c r="G1310" i="3"/>
  <c r="H1310" i="3" s="1"/>
  <c r="G1309" i="3"/>
  <c r="H1309" i="3" s="1"/>
  <c r="G1308" i="3"/>
  <c r="H1308" i="3" s="1"/>
  <c r="G1307" i="3"/>
  <c r="H1307" i="3" s="1"/>
  <c r="G1306" i="3"/>
  <c r="H1306" i="3" s="1"/>
  <c r="G1305" i="3"/>
  <c r="H1305" i="3" s="1"/>
  <c r="H1304" i="3"/>
  <c r="G1304" i="3"/>
  <c r="G1303" i="3"/>
  <c r="H1303" i="3" s="1"/>
  <c r="G1302" i="3"/>
  <c r="H1302" i="3" s="1"/>
  <c r="G1301" i="3"/>
  <c r="H1301" i="3" s="1"/>
  <c r="G1300" i="3"/>
  <c r="H1300" i="3" s="1"/>
  <c r="G1299" i="3"/>
  <c r="H1299" i="3" s="1"/>
  <c r="H1298" i="3"/>
  <c r="G1298" i="3"/>
  <c r="G1297" i="3"/>
  <c r="H1297" i="3" s="1"/>
  <c r="G1296" i="3"/>
  <c r="H1296" i="3" s="1"/>
  <c r="G1295" i="3"/>
  <c r="H1295" i="3" s="1"/>
  <c r="G1294" i="3"/>
  <c r="H1294" i="3" s="1"/>
  <c r="G1293" i="3"/>
  <c r="H1293" i="3" s="1"/>
  <c r="G1292" i="3"/>
  <c r="H1292" i="3" s="1"/>
  <c r="G1291" i="3"/>
  <c r="H1291" i="3" s="1"/>
  <c r="G1290" i="3"/>
  <c r="H1290" i="3" s="1"/>
  <c r="G1289" i="3"/>
  <c r="H1289" i="3" s="1"/>
  <c r="G1288" i="3"/>
  <c r="H1288" i="3" s="1"/>
  <c r="G1287" i="3"/>
  <c r="H1287" i="3" s="1"/>
  <c r="G1286" i="3"/>
  <c r="H1286" i="3" s="1"/>
  <c r="G1285" i="3"/>
  <c r="H1285" i="3" s="1"/>
  <c r="G1284" i="3"/>
  <c r="H1284" i="3" s="1"/>
  <c r="G1283" i="3"/>
  <c r="H1283" i="3" s="1"/>
  <c r="G1282" i="3"/>
  <c r="H1282" i="3" s="1"/>
  <c r="G1281" i="3"/>
  <c r="H1281" i="3" s="1"/>
  <c r="G1280" i="3"/>
  <c r="H1280" i="3" s="1"/>
  <c r="G1279" i="3"/>
  <c r="H1279" i="3" s="1"/>
  <c r="G1278" i="3"/>
  <c r="H1278" i="3" s="1"/>
  <c r="G1277" i="3"/>
  <c r="H1277" i="3" s="1"/>
  <c r="G1276" i="3"/>
  <c r="H1276" i="3" s="1"/>
  <c r="G1275" i="3"/>
  <c r="H1275" i="3" s="1"/>
  <c r="G1274" i="3"/>
  <c r="H1274" i="3" s="1"/>
  <c r="G1273" i="3"/>
  <c r="H1273" i="3" s="1"/>
  <c r="H1272" i="3"/>
  <c r="G1272" i="3"/>
  <c r="G1271" i="3"/>
  <c r="H1271" i="3" s="1"/>
  <c r="G1270" i="3"/>
  <c r="H1270" i="3" s="1"/>
  <c r="H1269" i="3"/>
  <c r="G1269" i="3"/>
  <c r="G1268" i="3"/>
  <c r="H1268" i="3" s="1"/>
  <c r="G1267" i="3"/>
  <c r="H1267" i="3" s="1"/>
  <c r="H1266" i="3"/>
  <c r="G1266" i="3"/>
  <c r="G1265" i="3"/>
  <c r="H1265" i="3" s="1"/>
  <c r="G1264" i="3"/>
  <c r="H1264" i="3" s="1"/>
  <c r="G1263" i="3"/>
  <c r="H1263" i="3" s="1"/>
  <c r="G1262" i="3"/>
  <c r="H1262" i="3" s="1"/>
  <c r="G1261" i="3"/>
  <c r="H1261" i="3" s="1"/>
  <c r="G1260" i="3"/>
  <c r="H1260" i="3" s="1"/>
  <c r="H1259" i="3"/>
  <c r="G1259" i="3"/>
  <c r="G1258" i="3"/>
  <c r="H1258" i="3" s="1"/>
  <c r="G1257" i="3"/>
  <c r="H1257" i="3" s="1"/>
  <c r="G1256" i="3"/>
  <c r="H1256" i="3" s="1"/>
  <c r="G1255" i="3"/>
  <c r="H1255" i="3" s="1"/>
  <c r="G1254" i="3"/>
  <c r="H1254" i="3" s="1"/>
  <c r="G1253" i="3"/>
  <c r="H1253" i="3" s="1"/>
  <c r="G1252" i="3"/>
  <c r="H1252" i="3" s="1"/>
  <c r="H1251" i="3"/>
  <c r="G1251" i="3"/>
  <c r="G1250" i="3"/>
  <c r="H1250" i="3" s="1"/>
  <c r="G1249" i="3"/>
  <c r="H1249" i="3" s="1"/>
  <c r="H1248" i="3"/>
  <c r="G1248" i="3"/>
  <c r="G1247" i="3"/>
  <c r="H1247" i="3" s="1"/>
  <c r="G1246" i="3"/>
  <c r="H1246" i="3" s="1"/>
  <c r="H1245" i="3"/>
  <c r="G1245" i="3"/>
  <c r="G1244" i="3"/>
  <c r="H1244" i="3" s="1"/>
  <c r="G1243" i="3"/>
  <c r="H1243" i="3" s="1"/>
  <c r="H1242" i="3"/>
  <c r="G1242" i="3"/>
  <c r="G1241" i="3"/>
  <c r="H1241" i="3" s="1"/>
  <c r="G1240" i="3"/>
  <c r="H1240" i="3" s="1"/>
  <c r="G1239" i="3"/>
  <c r="H1239" i="3" s="1"/>
  <c r="G1238" i="3"/>
  <c r="H1238" i="3" s="1"/>
  <c r="G1237" i="3"/>
  <c r="H1237" i="3" s="1"/>
  <c r="G1236" i="3"/>
  <c r="H1236" i="3" s="1"/>
  <c r="H1235" i="3"/>
  <c r="G1235" i="3"/>
  <c r="G1234" i="3"/>
  <c r="H1234" i="3" s="1"/>
  <c r="G1233" i="3"/>
  <c r="H1233" i="3" s="1"/>
  <c r="G1232" i="3"/>
  <c r="H1232" i="3" s="1"/>
  <c r="G1231" i="3"/>
  <c r="H1231" i="3" s="1"/>
  <c r="G1230" i="3"/>
  <c r="H1230" i="3" s="1"/>
  <c r="G1229" i="3"/>
  <c r="H1229" i="3" s="1"/>
  <c r="G1228" i="3"/>
  <c r="H1228" i="3" s="1"/>
  <c r="G1227" i="3"/>
  <c r="H1227" i="3" s="1"/>
  <c r="G1226" i="3"/>
  <c r="H1226" i="3" s="1"/>
  <c r="G1225" i="3"/>
  <c r="H1225" i="3" s="1"/>
  <c r="G1224" i="3"/>
  <c r="H1224" i="3" s="1"/>
  <c r="G1223" i="3"/>
  <c r="H1223" i="3" s="1"/>
  <c r="G1222" i="3"/>
  <c r="H1222" i="3" s="1"/>
  <c r="G1221" i="3"/>
  <c r="H1221" i="3" s="1"/>
  <c r="G1220" i="3"/>
  <c r="H1220" i="3" s="1"/>
  <c r="G1219" i="3"/>
  <c r="H1219" i="3" s="1"/>
  <c r="G1218" i="3"/>
  <c r="H1218" i="3" s="1"/>
  <c r="G1217" i="3"/>
  <c r="H1217" i="3" s="1"/>
  <c r="G1216" i="3"/>
  <c r="H1216" i="3" s="1"/>
  <c r="G1215" i="3"/>
  <c r="H1215" i="3" s="1"/>
  <c r="G1214" i="3"/>
  <c r="H1214" i="3" s="1"/>
  <c r="G1213" i="3"/>
  <c r="H1213" i="3" s="1"/>
  <c r="G1212" i="3"/>
  <c r="H1212" i="3" s="1"/>
  <c r="G1211" i="3"/>
  <c r="H1211" i="3" s="1"/>
  <c r="G1210" i="3"/>
  <c r="H1210" i="3" s="1"/>
  <c r="G1209" i="3"/>
  <c r="H1209" i="3" s="1"/>
  <c r="G1208" i="3"/>
  <c r="H1208" i="3" s="1"/>
  <c r="G1207" i="3"/>
  <c r="H1207" i="3" s="1"/>
  <c r="G1206" i="3"/>
  <c r="H1206" i="3" s="1"/>
  <c r="G1205" i="3"/>
  <c r="H1205" i="3" s="1"/>
  <c r="G1204" i="3"/>
  <c r="H1204" i="3" s="1"/>
  <c r="G1203" i="3"/>
  <c r="H1203" i="3" s="1"/>
  <c r="G1202" i="3"/>
  <c r="H1202" i="3" s="1"/>
  <c r="G1201" i="3"/>
  <c r="H1201" i="3" s="1"/>
  <c r="G1200" i="3"/>
  <c r="H1200" i="3" s="1"/>
  <c r="G1199" i="3"/>
  <c r="H1199" i="3" s="1"/>
  <c r="G1198" i="3"/>
  <c r="H1198" i="3" s="1"/>
  <c r="G1197" i="3"/>
  <c r="H1197" i="3" s="1"/>
  <c r="G1196" i="3"/>
  <c r="H1196" i="3" s="1"/>
  <c r="G1195" i="3"/>
  <c r="H1195" i="3" s="1"/>
  <c r="G1194" i="3"/>
  <c r="H1194" i="3" s="1"/>
  <c r="G1193" i="3"/>
  <c r="H1193" i="3" s="1"/>
  <c r="G1192" i="3"/>
  <c r="H1192" i="3" s="1"/>
  <c r="G1191" i="3"/>
  <c r="H1191" i="3" s="1"/>
  <c r="G1190" i="3"/>
  <c r="H1190" i="3" s="1"/>
  <c r="G1189" i="3"/>
  <c r="H1189" i="3" s="1"/>
  <c r="G1188" i="3"/>
  <c r="H1188" i="3" s="1"/>
  <c r="G1187" i="3"/>
  <c r="H1187" i="3" s="1"/>
  <c r="G1186" i="3"/>
  <c r="H1186" i="3" s="1"/>
  <c r="G1185" i="3"/>
  <c r="H1185" i="3" s="1"/>
  <c r="G1184" i="3"/>
  <c r="H1184" i="3" s="1"/>
  <c r="G1183" i="3"/>
  <c r="H1183" i="3" s="1"/>
  <c r="G1182" i="3"/>
  <c r="H1182" i="3" s="1"/>
  <c r="G1181" i="3"/>
  <c r="H1181" i="3" s="1"/>
  <c r="G1180" i="3"/>
  <c r="H1180" i="3" s="1"/>
  <c r="H1179" i="3"/>
  <c r="G1179" i="3"/>
  <c r="G1178" i="3"/>
  <c r="H1178" i="3" s="1"/>
  <c r="G1177" i="3"/>
  <c r="H1177" i="3" s="1"/>
  <c r="H1176" i="3"/>
  <c r="G1176" i="3"/>
  <c r="G1175" i="3"/>
  <c r="H1175" i="3" s="1"/>
  <c r="G1174" i="3"/>
  <c r="H1174" i="3" s="1"/>
  <c r="H1173" i="3"/>
  <c r="G1173" i="3"/>
  <c r="G1172" i="3"/>
  <c r="H1172" i="3" s="1"/>
  <c r="G1171" i="3"/>
  <c r="H1171" i="3" s="1"/>
  <c r="H1170" i="3"/>
  <c r="G1170" i="3"/>
  <c r="G1169" i="3"/>
  <c r="H1169" i="3" s="1"/>
  <c r="G1168" i="3"/>
  <c r="H1168" i="3" s="1"/>
  <c r="G1167" i="3"/>
  <c r="H1167" i="3" s="1"/>
  <c r="G1166" i="3"/>
  <c r="H1166" i="3" s="1"/>
  <c r="G1165" i="3"/>
  <c r="H1165" i="3" s="1"/>
  <c r="G1164" i="3"/>
  <c r="H1164" i="3" s="1"/>
  <c r="H1163" i="3"/>
  <c r="G1163" i="3"/>
  <c r="G1162" i="3"/>
  <c r="H1162" i="3" s="1"/>
  <c r="G1161" i="3"/>
  <c r="H1161" i="3" s="1"/>
  <c r="G1160" i="3"/>
  <c r="H1160" i="3" s="1"/>
  <c r="G1159" i="3"/>
  <c r="H1159" i="3" s="1"/>
  <c r="G1158" i="3"/>
  <c r="H1158" i="3" s="1"/>
  <c r="G1157" i="3"/>
  <c r="H1157" i="3" s="1"/>
  <c r="G1156" i="3"/>
  <c r="H1156" i="3" s="1"/>
  <c r="H1155" i="3"/>
  <c r="G1155" i="3"/>
  <c r="G1154" i="3"/>
  <c r="H1154" i="3" s="1"/>
  <c r="G1153" i="3"/>
  <c r="H1153" i="3" s="1"/>
  <c r="H1152" i="3"/>
  <c r="G1152" i="3"/>
  <c r="G1151" i="3"/>
  <c r="H1151" i="3" s="1"/>
  <c r="G1150" i="3"/>
  <c r="H1150" i="3" s="1"/>
  <c r="H1149" i="3"/>
  <c r="G1149" i="3"/>
  <c r="G1148" i="3"/>
  <c r="H1148" i="3" s="1"/>
  <c r="G1147" i="3"/>
  <c r="H1147" i="3" s="1"/>
  <c r="G1146" i="3"/>
  <c r="H1146" i="3" s="1"/>
  <c r="G1145" i="3"/>
  <c r="H1145" i="3" s="1"/>
  <c r="G1144" i="3"/>
  <c r="H1144" i="3" s="1"/>
  <c r="G1143" i="3"/>
  <c r="H1143" i="3" s="1"/>
  <c r="G1142" i="3"/>
  <c r="H1142" i="3" s="1"/>
  <c r="G1141" i="3"/>
  <c r="H1141" i="3" s="1"/>
  <c r="G1140" i="3"/>
  <c r="H1140" i="3" s="1"/>
  <c r="G1139" i="3"/>
  <c r="H1139" i="3" s="1"/>
  <c r="G1138" i="3"/>
  <c r="H1138" i="3" s="1"/>
  <c r="G1137" i="3"/>
  <c r="H1137" i="3" s="1"/>
  <c r="G1136" i="3"/>
  <c r="H1136" i="3" s="1"/>
  <c r="G1135" i="3"/>
  <c r="H1135" i="3" s="1"/>
  <c r="G1134" i="3"/>
  <c r="H1134" i="3" s="1"/>
  <c r="G1133" i="3"/>
  <c r="H1133" i="3" s="1"/>
  <c r="G1132" i="3"/>
  <c r="H1132" i="3" s="1"/>
  <c r="G1131" i="3"/>
  <c r="H1131" i="3" s="1"/>
  <c r="G1130" i="3"/>
  <c r="H1130" i="3" s="1"/>
  <c r="G1129" i="3"/>
  <c r="H1129" i="3" s="1"/>
  <c r="G1128" i="3"/>
  <c r="H1128" i="3" s="1"/>
  <c r="G1127" i="3"/>
  <c r="H1127" i="3" s="1"/>
  <c r="G1126" i="3"/>
  <c r="H1126" i="3" s="1"/>
  <c r="G1125" i="3"/>
  <c r="H1125" i="3" s="1"/>
  <c r="G1124" i="3"/>
  <c r="H1124" i="3" s="1"/>
  <c r="G1123" i="3"/>
  <c r="H1123" i="3" s="1"/>
  <c r="G1122" i="3"/>
  <c r="H1122" i="3" s="1"/>
  <c r="G1121" i="3"/>
  <c r="H1121" i="3" s="1"/>
  <c r="G1120" i="3"/>
  <c r="H1120" i="3" s="1"/>
  <c r="G1119" i="3"/>
  <c r="H1119" i="3" s="1"/>
  <c r="G1118" i="3"/>
  <c r="H1118" i="3" s="1"/>
  <c r="G1117" i="3"/>
  <c r="H1117" i="3" s="1"/>
  <c r="G1116" i="3"/>
  <c r="H1116" i="3" s="1"/>
  <c r="G1115" i="3"/>
  <c r="H1115" i="3" s="1"/>
  <c r="G1114" i="3"/>
  <c r="H1114" i="3" s="1"/>
  <c r="G1113" i="3"/>
  <c r="H1113" i="3" s="1"/>
  <c r="G1112" i="3"/>
  <c r="H1112" i="3" s="1"/>
  <c r="G1111" i="3"/>
  <c r="H1111" i="3" s="1"/>
  <c r="G1110" i="3"/>
  <c r="H1110" i="3" s="1"/>
  <c r="G1109" i="3"/>
  <c r="H1109" i="3" s="1"/>
  <c r="G1108" i="3"/>
  <c r="H1108" i="3" s="1"/>
  <c r="G1107" i="3"/>
  <c r="H1107" i="3" s="1"/>
  <c r="G1106" i="3"/>
  <c r="H1106" i="3" s="1"/>
  <c r="G1105" i="3"/>
  <c r="H1105" i="3" s="1"/>
  <c r="G1104" i="3"/>
  <c r="H1104" i="3" s="1"/>
  <c r="G1103" i="3"/>
  <c r="H1103" i="3" s="1"/>
  <c r="G1102" i="3"/>
  <c r="H1102" i="3" s="1"/>
  <c r="G1101" i="3"/>
  <c r="H1101" i="3" s="1"/>
  <c r="G1100" i="3"/>
  <c r="H1100" i="3" s="1"/>
  <c r="G1099" i="3"/>
  <c r="H1099" i="3" s="1"/>
  <c r="G1098" i="3"/>
  <c r="H1098" i="3" s="1"/>
  <c r="G1097" i="3"/>
  <c r="H1097" i="3" s="1"/>
  <c r="G1096" i="3"/>
  <c r="H1096" i="3" s="1"/>
  <c r="G1095" i="3"/>
  <c r="H1095" i="3" s="1"/>
  <c r="G1094" i="3"/>
  <c r="H1094" i="3" s="1"/>
  <c r="G1093" i="3"/>
  <c r="H1093" i="3" s="1"/>
  <c r="G1092" i="3"/>
  <c r="H1092" i="3" s="1"/>
  <c r="G1091" i="3"/>
  <c r="H1091" i="3" s="1"/>
  <c r="G1090" i="3"/>
  <c r="H1090" i="3" s="1"/>
  <c r="H1089" i="3"/>
  <c r="G1089" i="3"/>
  <c r="G1088" i="3"/>
  <c r="H1088" i="3" s="1"/>
  <c r="G1087" i="3"/>
  <c r="H1087" i="3" s="1"/>
  <c r="H1086" i="3"/>
  <c r="G1086" i="3"/>
  <c r="G1085" i="3"/>
  <c r="H1085" i="3" s="1"/>
  <c r="G1084" i="3"/>
  <c r="H1084" i="3" s="1"/>
  <c r="G1083" i="3"/>
  <c r="H1083" i="3" s="1"/>
  <c r="G1082" i="3"/>
  <c r="H1082" i="3" s="1"/>
  <c r="G1081" i="3"/>
  <c r="H1081" i="3" s="1"/>
  <c r="G1080" i="3"/>
  <c r="H1080" i="3" s="1"/>
  <c r="H1079" i="3"/>
  <c r="G1079" i="3"/>
  <c r="G1078" i="3"/>
  <c r="H1078" i="3" s="1"/>
  <c r="G1077" i="3"/>
  <c r="H1077" i="3" s="1"/>
  <c r="H1076" i="3"/>
  <c r="G1076" i="3"/>
  <c r="G1075" i="3"/>
  <c r="H1075" i="3" s="1"/>
  <c r="G1074" i="3"/>
  <c r="H1074" i="3" s="1"/>
  <c r="G1073" i="3"/>
  <c r="H1073" i="3" s="1"/>
  <c r="G1072" i="3"/>
  <c r="H1072" i="3" s="1"/>
  <c r="G1071" i="3"/>
  <c r="H1071" i="3" s="1"/>
  <c r="G1070" i="3"/>
  <c r="H1070" i="3" s="1"/>
  <c r="G1069" i="3"/>
  <c r="H1069" i="3" s="1"/>
  <c r="G1068" i="3"/>
  <c r="H1068" i="3" s="1"/>
  <c r="G1067" i="3"/>
  <c r="H1067" i="3" s="1"/>
  <c r="G1066" i="3"/>
  <c r="H1066" i="3" s="1"/>
  <c r="G1065" i="3"/>
  <c r="H1065" i="3" s="1"/>
  <c r="G1064" i="3"/>
  <c r="H1064" i="3" s="1"/>
  <c r="G1063" i="3"/>
  <c r="H1063" i="3" s="1"/>
  <c r="G1062" i="3"/>
  <c r="H1062" i="3" s="1"/>
  <c r="G1061" i="3"/>
  <c r="H1061" i="3" s="1"/>
  <c r="G1060" i="3"/>
  <c r="H1060" i="3" s="1"/>
  <c r="G1059" i="3"/>
  <c r="H1059" i="3" s="1"/>
  <c r="G1058" i="3"/>
  <c r="H1058" i="3" s="1"/>
  <c r="G1057" i="3"/>
  <c r="H1057" i="3" s="1"/>
  <c r="G1056" i="3"/>
  <c r="H1056" i="3" s="1"/>
  <c r="G1055" i="3"/>
  <c r="H1055" i="3" s="1"/>
  <c r="G1054" i="3"/>
  <c r="H1054" i="3" s="1"/>
  <c r="G1053" i="3"/>
  <c r="H1053" i="3" s="1"/>
  <c r="G1052" i="3"/>
  <c r="H1052" i="3" s="1"/>
  <c r="G1051" i="3"/>
  <c r="H1051" i="3" s="1"/>
  <c r="G1050" i="3"/>
  <c r="H1050" i="3" s="1"/>
  <c r="G1049" i="3"/>
  <c r="H1049" i="3" s="1"/>
  <c r="G1048" i="3"/>
  <c r="H1048" i="3" s="1"/>
  <c r="G1047" i="3"/>
  <c r="H1047" i="3" s="1"/>
  <c r="G1046" i="3"/>
  <c r="H1046" i="3" s="1"/>
  <c r="G1045" i="3"/>
  <c r="H1045" i="3" s="1"/>
  <c r="G1044" i="3"/>
  <c r="H1044" i="3" s="1"/>
  <c r="H1043" i="3"/>
  <c r="G1043" i="3"/>
  <c r="G1042" i="3"/>
  <c r="H1042" i="3" s="1"/>
  <c r="G1041" i="3"/>
  <c r="H1041" i="3" s="1"/>
  <c r="G1040" i="3"/>
  <c r="H1040" i="3" s="1"/>
  <c r="G1039" i="3"/>
  <c r="H1039" i="3" s="1"/>
  <c r="G1038" i="3"/>
  <c r="H1038" i="3" s="1"/>
  <c r="G1037" i="3"/>
  <c r="H1037" i="3" s="1"/>
  <c r="G1036" i="3"/>
  <c r="H1036" i="3" s="1"/>
  <c r="G1035" i="3"/>
  <c r="H1035" i="3" s="1"/>
  <c r="G1034" i="3"/>
  <c r="H1034" i="3" s="1"/>
  <c r="G1033" i="3"/>
  <c r="H1033" i="3" s="1"/>
  <c r="H1032" i="3"/>
  <c r="G1032" i="3"/>
  <c r="G1031" i="3"/>
  <c r="H1031" i="3" s="1"/>
  <c r="G1030" i="3"/>
  <c r="H1030" i="3" s="1"/>
  <c r="G1029" i="3"/>
  <c r="H1029" i="3" s="1"/>
  <c r="G1028" i="3"/>
  <c r="H1028" i="3" s="1"/>
  <c r="G1027" i="3"/>
  <c r="H1027" i="3" s="1"/>
  <c r="G1026" i="3"/>
  <c r="H1026" i="3" s="1"/>
  <c r="G1025" i="3"/>
  <c r="H1025" i="3" s="1"/>
  <c r="G1024" i="3"/>
  <c r="H1024" i="3" s="1"/>
  <c r="G1023" i="3"/>
  <c r="H1023" i="3" s="1"/>
  <c r="G1022" i="3"/>
  <c r="H1022" i="3" s="1"/>
  <c r="G1021" i="3"/>
  <c r="H1021" i="3" s="1"/>
  <c r="G1020" i="3"/>
  <c r="H1020" i="3" s="1"/>
  <c r="G1019" i="3"/>
  <c r="H1019" i="3" s="1"/>
  <c r="G1018" i="3"/>
  <c r="H1018" i="3" s="1"/>
  <c r="G1017" i="3"/>
  <c r="H1017" i="3" s="1"/>
  <c r="G1016" i="3"/>
  <c r="H1016" i="3" s="1"/>
  <c r="G1015" i="3"/>
  <c r="H1015" i="3" s="1"/>
  <c r="G1014" i="3"/>
  <c r="H1014" i="3" s="1"/>
  <c r="G1013" i="3"/>
  <c r="H1013" i="3" s="1"/>
  <c r="G1012" i="3"/>
  <c r="H1012" i="3" s="1"/>
  <c r="G1011" i="3"/>
  <c r="H1011" i="3" s="1"/>
  <c r="G1010" i="3"/>
  <c r="H1010" i="3" s="1"/>
  <c r="G1009" i="3"/>
  <c r="H1009" i="3" s="1"/>
  <c r="G1008" i="3"/>
  <c r="H1008" i="3" s="1"/>
  <c r="H1007" i="3"/>
  <c r="G1007" i="3"/>
  <c r="G1006" i="3"/>
  <c r="H1006" i="3" s="1"/>
  <c r="G1005" i="3"/>
  <c r="H1005" i="3" s="1"/>
  <c r="G1004" i="3"/>
  <c r="H1004" i="3" s="1"/>
  <c r="G1003" i="3"/>
  <c r="H1003" i="3" s="1"/>
  <c r="G1002" i="3"/>
  <c r="H1002" i="3" s="1"/>
  <c r="G1001" i="3"/>
  <c r="H1001" i="3" s="1"/>
  <c r="G1000" i="3"/>
  <c r="H1000" i="3" s="1"/>
  <c r="G999" i="3"/>
  <c r="H999" i="3" s="1"/>
  <c r="G998" i="3"/>
  <c r="H998" i="3" s="1"/>
  <c r="G997" i="3"/>
  <c r="H997" i="3" s="1"/>
  <c r="G996" i="3"/>
  <c r="H996" i="3" s="1"/>
  <c r="G995" i="3"/>
  <c r="H995" i="3" s="1"/>
  <c r="G994" i="3"/>
  <c r="H994" i="3" s="1"/>
  <c r="G993" i="3"/>
  <c r="H993" i="3" s="1"/>
  <c r="G992" i="3"/>
  <c r="H992" i="3" s="1"/>
  <c r="G991" i="3"/>
  <c r="H991" i="3" s="1"/>
  <c r="G990" i="3"/>
  <c r="H990" i="3" s="1"/>
  <c r="G989" i="3"/>
  <c r="H989" i="3" s="1"/>
  <c r="G988" i="3"/>
  <c r="H988" i="3" s="1"/>
  <c r="G987" i="3"/>
  <c r="H987" i="3" s="1"/>
  <c r="G986" i="3"/>
  <c r="H986" i="3" s="1"/>
  <c r="G985" i="3"/>
  <c r="H985" i="3" s="1"/>
  <c r="G984" i="3"/>
  <c r="H984" i="3" s="1"/>
  <c r="G983" i="3"/>
  <c r="H983" i="3" s="1"/>
  <c r="G982" i="3"/>
  <c r="H982" i="3" s="1"/>
  <c r="G981" i="3"/>
  <c r="H981" i="3" s="1"/>
  <c r="G980" i="3"/>
  <c r="H980" i="3" s="1"/>
  <c r="G979" i="3"/>
  <c r="H979" i="3" s="1"/>
  <c r="G978" i="3"/>
  <c r="H978" i="3" s="1"/>
  <c r="G977" i="3"/>
  <c r="H977" i="3" s="1"/>
  <c r="G976" i="3"/>
  <c r="H976" i="3" s="1"/>
  <c r="G975" i="3"/>
  <c r="H975" i="3" s="1"/>
  <c r="G974" i="3"/>
  <c r="H974" i="3" s="1"/>
  <c r="G973" i="3"/>
  <c r="H973" i="3" s="1"/>
  <c r="G972" i="3"/>
  <c r="H972" i="3" s="1"/>
  <c r="G971" i="3"/>
  <c r="H971" i="3" s="1"/>
  <c r="G970" i="3"/>
  <c r="H970" i="3" s="1"/>
  <c r="H969" i="3"/>
  <c r="G969" i="3"/>
  <c r="G968" i="3"/>
  <c r="H968" i="3" s="1"/>
  <c r="G967" i="3"/>
  <c r="H967" i="3" s="1"/>
  <c r="H966" i="3"/>
  <c r="G966" i="3"/>
  <c r="G965" i="3"/>
  <c r="H965" i="3" s="1"/>
  <c r="G964" i="3"/>
  <c r="H964" i="3" s="1"/>
  <c r="G963" i="3"/>
  <c r="H963" i="3" s="1"/>
  <c r="G962" i="3"/>
  <c r="H962" i="3" s="1"/>
  <c r="G961" i="3"/>
  <c r="H961" i="3" s="1"/>
  <c r="G960" i="3"/>
  <c r="H960" i="3" s="1"/>
  <c r="G959" i="3"/>
  <c r="H959" i="3" s="1"/>
  <c r="G958" i="3"/>
  <c r="H958" i="3" s="1"/>
  <c r="G957" i="3"/>
  <c r="H957" i="3" s="1"/>
  <c r="H956" i="3"/>
  <c r="G956" i="3"/>
  <c r="G955" i="3"/>
  <c r="H955" i="3" s="1"/>
  <c r="G954" i="3"/>
  <c r="H954" i="3" s="1"/>
  <c r="H953" i="3"/>
  <c r="G953" i="3"/>
  <c r="G952" i="3"/>
  <c r="H952" i="3" s="1"/>
  <c r="G951" i="3"/>
  <c r="H951" i="3" s="1"/>
  <c r="G950" i="3"/>
  <c r="H950" i="3" s="1"/>
  <c r="G949" i="3"/>
  <c r="H949" i="3" s="1"/>
  <c r="G948" i="3"/>
  <c r="H948" i="3" s="1"/>
  <c r="G947" i="3"/>
  <c r="H947" i="3" s="1"/>
  <c r="G946" i="3"/>
  <c r="H946" i="3" s="1"/>
  <c r="G945" i="3"/>
  <c r="H945" i="3" s="1"/>
  <c r="G944" i="3"/>
  <c r="H944" i="3" s="1"/>
  <c r="G943" i="3"/>
  <c r="H943" i="3" s="1"/>
  <c r="G942" i="3"/>
  <c r="H942" i="3" s="1"/>
  <c r="G941" i="3"/>
  <c r="H941" i="3" s="1"/>
  <c r="G940" i="3"/>
  <c r="H940" i="3" s="1"/>
  <c r="G939" i="3"/>
  <c r="H939" i="3" s="1"/>
  <c r="G938" i="3"/>
  <c r="H938" i="3" s="1"/>
  <c r="G937" i="3"/>
  <c r="H937" i="3" s="1"/>
  <c r="G936" i="3"/>
  <c r="H936" i="3" s="1"/>
  <c r="G935" i="3"/>
  <c r="H935" i="3" s="1"/>
  <c r="G934" i="3"/>
  <c r="H934" i="3" s="1"/>
  <c r="G933" i="3"/>
  <c r="H933" i="3" s="1"/>
  <c r="G932" i="3"/>
  <c r="H932" i="3" s="1"/>
  <c r="G931" i="3"/>
  <c r="H931" i="3" s="1"/>
  <c r="G930" i="3"/>
  <c r="H930" i="3" s="1"/>
  <c r="G929" i="3"/>
  <c r="H929" i="3" s="1"/>
  <c r="G928" i="3"/>
  <c r="H928" i="3" s="1"/>
  <c r="G927" i="3"/>
  <c r="H927" i="3" s="1"/>
  <c r="G926" i="3"/>
  <c r="H926" i="3" s="1"/>
  <c r="G925" i="3"/>
  <c r="H925" i="3" s="1"/>
  <c r="G924" i="3"/>
  <c r="H924" i="3" s="1"/>
  <c r="G923" i="3"/>
  <c r="H923" i="3" s="1"/>
  <c r="G922" i="3"/>
  <c r="H922" i="3" s="1"/>
  <c r="G921" i="3"/>
  <c r="H921" i="3" s="1"/>
  <c r="G920" i="3"/>
  <c r="H920" i="3" s="1"/>
  <c r="G919" i="3"/>
  <c r="H919" i="3" s="1"/>
  <c r="G918" i="3"/>
  <c r="H918" i="3" s="1"/>
  <c r="G917" i="3"/>
  <c r="H917" i="3" s="1"/>
  <c r="G916" i="3"/>
  <c r="H916" i="3" s="1"/>
  <c r="G915" i="3"/>
  <c r="H915" i="3" s="1"/>
  <c r="G914" i="3"/>
  <c r="H914" i="3" s="1"/>
  <c r="H913" i="3"/>
  <c r="G912" i="3"/>
  <c r="H912" i="3" s="1"/>
  <c r="G911" i="3"/>
  <c r="H911" i="3" s="1"/>
  <c r="G910" i="3"/>
  <c r="H910" i="3" s="1"/>
  <c r="G909" i="3"/>
  <c r="H909" i="3" s="1"/>
  <c r="G908" i="3"/>
  <c r="H908" i="3" s="1"/>
  <c r="G907" i="3"/>
  <c r="H907" i="3" s="1"/>
  <c r="G906" i="3"/>
  <c r="H906" i="3" s="1"/>
  <c r="G905" i="3"/>
  <c r="H905" i="3" s="1"/>
  <c r="G904" i="3"/>
  <c r="H904" i="3" s="1"/>
  <c r="G903" i="3"/>
  <c r="H903" i="3" s="1"/>
  <c r="G902" i="3"/>
  <c r="H902" i="3" s="1"/>
  <c r="G901" i="3"/>
  <c r="H901" i="3" s="1"/>
  <c r="G900" i="3"/>
  <c r="H900" i="3" s="1"/>
  <c r="G899" i="3"/>
  <c r="H899" i="3" s="1"/>
  <c r="G898" i="3"/>
  <c r="H898" i="3" s="1"/>
  <c r="G897" i="3"/>
  <c r="H897" i="3" s="1"/>
  <c r="G896" i="3"/>
  <c r="H896" i="3" s="1"/>
  <c r="G895" i="3"/>
  <c r="H895" i="3" s="1"/>
  <c r="G894" i="3"/>
  <c r="H894" i="3" s="1"/>
  <c r="G893" i="3"/>
  <c r="H893" i="3" s="1"/>
  <c r="G892" i="3"/>
  <c r="H892" i="3" s="1"/>
  <c r="H891" i="3"/>
  <c r="G891" i="3"/>
  <c r="G890" i="3"/>
  <c r="H890" i="3" s="1"/>
  <c r="G889" i="3"/>
  <c r="H889" i="3" s="1"/>
  <c r="H888" i="3"/>
  <c r="G888" i="3"/>
  <c r="G887" i="3"/>
  <c r="H887" i="3" s="1"/>
  <c r="G886" i="3"/>
  <c r="H886" i="3" s="1"/>
  <c r="H885" i="3"/>
  <c r="G885" i="3"/>
  <c r="G884" i="3"/>
  <c r="H884" i="3" s="1"/>
  <c r="G883" i="3"/>
  <c r="H883" i="3" s="1"/>
  <c r="H882" i="3"/>
  <c r="G882" i="3"/>
  <c r="G881" i="3"/>
  <c r="H881" i="3" s="1"/>
  <c r="G880" i="3"/>
  <c r="H880" i="3" s="1"/>
  <c r="G879" i="3"/>
  <c r="H879" i="3" s="1"/>
  <c r="G878" i="3"/>
  <c r="H878" i="3" s="1"/>
  <c r="G877" i="3"/>
  <c r="H877" i="3" s="1"/>
  <c r="G876" i="3"/>
  <c r="H876" i="3" s="1"/>
  <c r="G875" i="3"/>
  <c r="H875" i="3" s="1"/>
  <c r="G874" i="3"/>
  <c r="H874" i="3" s="1"/>
  <c r="G873" i="3"/>
  <c r="H873" i="3" s="1"/>
  <c r="G872" i="3"/>
  <c r="H872" i="3" s="1"/>
  <c r="G871" i="3"/>
  <c r="H871" i="3" s="1"/>
  <c r="G870" i="3"/>
  <c r="H870" i="3" s="1"/>
  <c r="G869" i="3"/>
  <c r="H869" i="3" s="1"/>
  <c r="G868" i="3"/>
  <c r="H868" i="3" s="1"/>
  <c r="G867" i="3"/>
  <c r="H867" i="3" s="1"/>
  <c r="G866" i="3"/>
  <c r="H866" i="3" s="1"/>
  <c r="G865" i="3"/>
  <c r="H865" i="3" s="1"/>
  <c r="G864" i="3"/>
  <c r="H864" i="3" s="1"/>
  <c r="G863" i="3"/>
  <c r="H863" i="3" s="1"/>
  <c r="G862" i="3"/>
  <c r="H862" i="3" s="1"/>
  <c r="G861" i="3"/>
  <c r="H861" i="3" s="1"/>
  <c r="G860" i="3"/>
  <c r="H860" i="3" s="1"/>
  <c r="G859" i="3"/>
  <c r="H859" i="3" s="1"/>
  <c r="G858" i="3"/>
  <c r="H858" i="3" s="1"/>
  <c r="G857" i="3"/>
  <c r="H857" i="3" s="1"/>
  <c r="G856" i="3"/>
  <c r="H856" i="3" s="1"/>
  <c r="G855" i="3"/>
  <c r="H855" i="3" s="1"/>
  <c r="H854" i="3"/>
  <c r="G854" i="3"/>
  <c r="G853" i="3"/>
  <c r="H853" i="3" s="1"/>
  <c r="G852" i="3"/>
  <c r="H852" i="3" s="1"/>
  <c r="H851" i="3"/>
  <c r="G851" i="3"/>
  <c r="G850" i="3"/>
  <c r="H850" i="3" s="1"/>
  <c r="G849" i="3"/>
  <c r="H849" i="3" s="1"/>
  <c r="G848" i="3"/>
  <c r="H848" i="3" s="1"/>
  <c r="G847" i="3"/>
  <c r="H847" i="3" s="1"/>
  <c r="G846" i="3"/>
  <c r="H846" i="3" s="1"/>
  <c r="G845" i="3"/>
  <c r="H845" i="3" s="1"/>
  <c r="G844" i="3"/>
  <c r="H844" i="3" s="1"/>
  <c r="G843" i="3"/>
  <c r="H843" i="3" s="1"/>
  <c r="G842" i="3"/>
  <c r="H842" i="3" s="1"/>
  <c r="G841" i="3"/>
  <c r="H841" i="3" s="1"/>
  <c r="G840" i="3"/>
  <c r="H840" i="3" s="1"/>
  <c r="G839" i="3"/>
  <c r="H839" i="3" s="1"/>
  <c r="G838" i="3"/>
  <c r="H838" i="3" s="1"/>
  <c r="G837" i="3"/>
  <c r="H837" i="3" s="1"/>
  <c r="G836" i="3"/>
  <c r="H836" i="3" s="1"/>
  <c r="G835" i="3"/>
  <c r="H835" i="3" s="1"/>
  <c r="G834" i="3"/>
  <c r="H834" i="3" s="1"/>
  <c r="G833" i="3"/>
  <c r="H833" i="3" s="1"/>
  <c r="G832" i="3"/>
  <c r="H832" i="3" s="1"/>
  <c r="G831" i="3"/>
  <c r="H831" i="3" s="1"/>
  <c r="G830" i="3"/>
  <c r="H830" i="3" s="1"/>
  <c r="G829" i="3"/>
  <c r="H829" i="3" s="1"/>
  <c r="G828" i="3"/>
  <c r="H828" i="3" s="1"/>
  <c r="G827" i="3"/>
  <c r="H827" i="3" s="1"/>
  <c r="G826" i="3"/>
  <c r="H826" i="3" s="1"/>
  <c r="G825" i="3"/>
  <c r="H825" i="3" s="1"/>
  <c r="G824" i="3"/>
  <c r="H824" i="3" s="1"/>
  <c r="G823" i="3"/>
  <c r="H823" i="3" s="1"/>
  <c r="G822" i="3"/>
  <c r="H822" i="3" s="1"/>
  <c r="G821" i="3"/>
  <c r="H821" i="3" s="1"/>
  <c r="G820" i="3"/>
  <c r="H820" i="3" s="1"/>
  <c r="G819" i="3"/>
  <c r="H819" i="3" s="1"/>
  <c r="G818" i="3"/>
  <c r="H818" i="3" s="1"/>
  <c r="G817" i="3"/>
  <c r="H817" i="3" s="1"/>
  <c r="G816" i="3"/>
  <c r="H816" i="3" s="1"/>
  <c r="G815" i="3"/>
  <c r="H815" i="3" s="1"/>
  <c r="G814" i="3"/>
  <c r="H814" i="3" s="1"/>
  <c r="G813" i="3"/>
  <c r="H813" i="3" s="1"/>
  <c r="G812" i="3"/>
  <c r="H812" i="3" s="1"/>
  <c r="G811" i="3"/>
  <c r="H811" i="3" s="1"/>
  <c r="G810" i="3"/>
  <c r="H810" i="3" s="1"/>
  <c r="G809" i="3"/>
  <c r="H809" i="3" s="1"/>
  <c r="G808" i="3"/>
  <c r="H808" i="3" s="1"/>
  <c r="G807" i="3"/>
  <c r="H807" i="3" s="1"/>
  <c r="G806" i="3"/>
  <c r="H806" i="3" s="1"/>
  <c r="G805" i="3"/>
  <c r="H805" i="3" s="1"/>
  <c r="G804" i="3"/>
  <c r="H804" i="3" s="1"/>
  <c r="G803" i="3"/>
  <c r="H803" i="3" s="1"/>
  <c r="G802" i="3"/>
  <c r="H802" i="3" s="1"/>
  <c r="G801" i="3"/>
  <c r="H801" i="3" s="1"/>
  <c r="G800" i="3"/>
  <c r="H800" i="3" s="1"/>
  <c r="G799" i="3"/>
  <c r="H799" i="3" s="1"/>
  <c r="G798" i="3"/>
  <c r="H798" i="3" s="1"/>
  <c r="G797" i="3"/>
  <c r="H797" i="3" s="1"/>
  <c r="G796" i="3"/>
  <c r="H796" i="3" s="1"/>
  <c r="G795" i="3"/>
  <c r="H795" i="3" s="1"/>
  <c r="G794" i="3"/>
  <c r="H794" i="3" s="1"/>
  <c r="G793" i="3"/>
  <c r="H793" i="3" s="1"/>
  <c r="G792" i="3"/>
  <c r="H792" i="3" s="1"/>
  <c r="G791" i="3"/>
  <c r="H791" i="3" s="1"/>
  <c r="G790" i="3"/>
  <c r="H790" i="3" s="1"/>
  <c r="G789" i="3"/>
  <c r="H789" i="3" s="1"/>
  <c r="G788" i="3"/>
  <c r="H788" i="3" s="1"/>
  <c r="G787" i="3"/>
  <c r="H787" i="3" s="1"/>
  <c r="G786" i="3"/>
  <c r="H786" i="3" s="1"/>
  <c r="G785" i="3"/>
  <c r="H785" i="3" s="1"/>
  <c r="G784" i="3"/>
  <c r="H784" i="3" s="1"/>
  <c r="G783" i="3"/>
  <c r="H783" i="3" s="1"/>
  <c r="G782" i="3"/>
  <c r="H782" i="3" s="1"/>
  <c r="G781" i="3"/>
  <c r="H781" i="3" s="1"/>
  <c r="G780" i="3"/>
  <c r="H780" i="3" s="1"/>
  <c r="G779" i="3"/>
  <c r="H779" i="3" s="1"/>
  <c r="G778" i="3"/>
  <c r="H778" i="3" s="1"/>
  <c r="G777" i="3"/>
  <c r="H777" i="3" s="1"/>
  <c r="G776" i="3"/>
  <c r="H776" i="3" s="1"/>
  <c r="G775" i="3"/>
  <c r="H775" i="3" s="1"/>
  <c r="G774" i="3"/>
  <c r="H774" i="3" s="1"/>
  <c r="G773" i="3"/>
  <c r="H773" i="3" s="1"/>
  <c r="G772" i="3"/>
  <c r="H772" i="3" s="1"/>
  <c r="G771" i="3"/>
  <c r="H771" i="3" s="1"/>
  <c r="G770" i="3"/>
  <c r="H770" i="3" s="1"/>
  <c r="G769" i="3"/>
  <c r="H769" i="3" s="1"/>
  <c r="G768" i="3"/>
  <c r="H768" i="3" s="1"/>
  <c r="G767" i="3"/>
  <c r="H767" i="3" s="1"/>
  <c r="G766" i="3"/>
  <c r="H766" i="3" s="1"/>
  <c r="G765" i="3"/>
  <c r="H765" i="3" s="1"/>
  <c r="G764" i="3"/>
  <c r="H764" i="3" s="1"/>
  <c r="G763" i="3"/>
  <c r="H763" i="3" s="1"/>
  <c r="G762" i="3"/>
  <c r="H762" i="3" s="1"/>
  <c r="G761" i="3"/>
  <c r="H761" i="3" s="1"/>
  <c r="G760" i="3"/>
  <c r="H760" i="3" s="1"/>
  <c r="G759" i="3"/>
  <c r="H759" i="3" s="1"/>
  <c r="G758" i="3"/>
  <c r="H758" i="3" s="1"/>
  <c r="G757" i="3"/>
  <c r="H757" i="3" s="1"/>
  <c r="G756" i="3"/>
  <c r="H756" i="3" s="1"/>
  <c r="H755" i="3"/>
  <c r="G755" i="3"/>
  <c r="G754" i="3"/>
  <c r="H754" i="3" s="1"/>
  <c r="G753" i="3"/>
  <c r="H753" i="3" s="1"/>
  <c r="G752" i="3"/>
  <c r="H752" i="3" s="1"/>
  <c r="G751" i="3"/>
  <c r="H751" i="3" s="1"/>
  <c r="G750" i="3"/>
  <c r="H750" i="3" s="1"/>
  <c r="G749" i="3"/>
  <c r="H749" i="3" s="1"/>
  <c r="G748" i="3"/>
  <c r="H748" i="3" s="1"/>
  <c r="G747" i="3"/>
  <c r="H747" i="3" s="1"/>
  <c r="G746" i="3"/>
  <c r="H746" i="3" s="1"/>
  <c r="G745" i="3"/>
  <c r="H745" i="3" s="1"/>
  <c r="G744" i="3"/>
  <c r="H744" i="3" s="1"/>
  <c r="G743" i="3"/>
  <c r="H743" i="3" s="1"/>
  <c r="G742" i="3"/>
  <c r="H742" i="3" s="1"/>
  <c r="G741" i="3"/>
  <c r="H741" i="3" s="1"/>
  <c r="G740" i="3"/>
  <c r="H740" i="3" s="1"/>
  <c r="G739" i="3"/>
  <c r="H739" i="3" s="1"/>
  <c r="G738" i="3"/>
  <c r="H738" i="3" s="1"/>
  <c r="G737" i="3"/>
  <c r="H737" i="3" s="1"/>
  <c r="G736" i="3"/>
  <c r="H736" i="3" s="1"/>
  <c r="G735" i="3"/>
  <c r="H735" i="3" s="1"/>
  <c r="G734" i="3"/>
  <c r="H734" i="3" s="1"/>
  <c r="G733" i="3"/>
  <c r="H733" i="3" s="1"/>
  <c r="G732" i="3"/>
  <c r="H732" i="3" s="1"/>
  <c r="G731" i="3"/>
  <c r="H731" i="3" s="1"/>
  <c r="G730" i="3"/>
  <c r="H730" i="3" s="1"/>
  <c r="G729" i="3"/>
  <c r="H729" i="3" s="1"/>
  <c r="G728" i="3"/>
  <c r="H728" i="3" s="1"/>
  <c r="G727" i="3"/>
  <c r="H727" i="3" s="1"/>
  <c r="G726" i="3"/>
  <c r="H726" i="3" s="1"/>
  <c r="G725" i="3"/>
  <c r="H725" i="3" s="1"/>
  <c r="G724" i="3"/>
  <c r="H724" i="3" s="1"/>
  <c r="G723" i="3"/>
  <c r="H723" i="3" s="1"/>
  <c r="G722" i="3"/>
  <c r="H722" i="3" s="1"/>
  <c r="G721" i="3"/>
  <c r="H721" i="3" s="1"/>
  <c r="G720" i="3"/>
  <c r="H720" i="3" s="1"/>
  <c r="G719" i="3"/>
  <c r="H719" i="3" s="1"/>
  <c r="G718" i="3"/>
  <c r="H718" i="3" s="1"/>
  <c r="G717" i="3"/>
  <c r="H717" i="3" s="1"/>
  <c r="G716" i="3"/>
  <c r="H716" i="3" s="1"/>
  <c r="G715" i="3"/>
  <c r="H715" i="3" s="1"/>
  <c r="G714" i="3"/>
  <c r="H714" i="3" s="1"/>
  <c r="G713" i="3"/>
  <c r="H713" i="3" s="1"/>
  <c r="G712" i="3"/>
  <c r="H712" i="3" s="1"/>
  <c r="G711" i="3"/>
  <c r="H711" i="3" s="1"/>
  <c r="G710" i="3"/>
  <c r="H710" i="3" s="1"/>
  <c r="G709" i="3"/>
  <c r="H709" i="3" s="1"/>
  <c r="G708" i="3"/>
  <c r="H708" i="3" s="1"/>
  <c r="G707" i="3"/>
  <c r="H707" i="3" s="1"/>
  <c r="H706" i="3"/>
  <c r="G706" i="3"/>
  <c r="G705" i="3"/>
  <c r="H705" i="3" s="1"/>
  <c r="G704" i="3"/>
  <c r="H704" i="3" s="1"/>
  <c r="G703" i="3"/>
  <c r="H703" i="3" s="1"/>
  <c r="G702" i="3"/>
  <c r="H702" i="3" s="1"/>
  <c r="H701" i="3"/>
  <c r="G701" i="3"/>
  <c r="G700" i="3"/>
  <c r="H700" i="3" s="1"/>
  <c r="G699" i="3"/>
  <c r="H699" i="3" s="1"/>
  <c r="G698" i="3"/>
  <c r="H698" i="3" s="1"/>
  <c r="G697" i="3"/>
  <c r="H697" i="3" s="1"/>
  <c r="G696" i="3"/>
  <c r="H696" i="3" s="1"/>
  <c r="G695" i="3"/>
  <c r="H695" i="3" s="1"/>
  <c r="G694" i="3"/>
  <c r="H694" i="3" s="1"/>
  <c r="G693" i="3"/>
  <c r="H693" i="3" s="1"/>
  <c r="G692" i="3"/>
  <c r="H692" i="3" s="1"/>
  <c r="G691" i="3"/>
  <c r="H691" i="3" s="1"/>
  <c r="G690" i="3"/>
  <c r="H690" i="3" s="1"/>
  <c r="G689" i="3"/>
  <c r="H689" i="3" s="1"/>
  <c r="H688" i="3"/>
  <c r="G688" i="3"/>
  <c r="G687" i="3"/>
  <c r="H687" i="3" s="1"/>
  <c r="G686" i="3"/>
  <c r="H686" i="3" s="1"/>
  <c r="G685" i="3"/>
  <c r="H685" i="3" s="1"/>
  <c r="G684" i="3"/>
  <c r="H684" i="3" s="1"/>
  <c r="H683" i="3"/>
  <c r="G683" i="3"/>
  <c r="G682" i="3"/>
  <c r="H682" i="3" s="1"/>
  <c r="G681" i="3"/>
  <c r="H681" i="3" s="1"/>
  <c r="G680" i="3"/>
  <c r="H680" i="3" s="1"/>
  <c r="G679" i="3"/>
  <c r="H679" i="3" s="1"/>
  <c r="G678" i="3"/>
  <c r="H678" i="3" s="1"/>
  <c r="G677" i="3"/>
  <c r="H677" i="3" s="1"/>
  <c r="G676" i="3"/>
  <c r="H676" i="3" s="1"/>
  <c r="G675" i="3"/>
  <c r="H675" i="3" s="1"/>
  <c r="G674" i="3"/>
  <c r="H674" i="3" s="1"/>
  <c r="G673" i="3"/>
  <c r="H673" i="3" s="1"/>
  <c r="G672" i="3"/>
  <c r="H672" i="3" s="1"/>
  <c r="G671" i="3"/>
  <c r="H671" i="3" s="1"/>
  <c r="G670" i="3"/>
  <c r="H670" i="3" s="1"/>
  <c r="G669" i="3"/>
  <c r="H669" i="3" s="1"/>
  <c r="G668" i="3"/>
  <c r="H668" i="3" s="1"/>
  <c r="G667" i="3"/>
  <c r="H667" i="3" s="1"/>
  <c r="G666" i="3"/>
  <c r="H666" i="3" s="1"/>
  <c r="G665" i="3"/>
  <c r="H665" i="3" s="1"/>
  <c r="G664" i="3"/>
  <c r="H664" i="3" s="1"/>
  <c r="G663" i="3"/>
  <c r="H663" i="3" s="1"/>
  <c r="G662" i="3"/>
  <c r="H662" i="3" s="1"/>
  <c r="G661" i="3"/>
  <c r="H661" i="3" s="1"/>
  <c r="G660" i="3"/>
  <c r="H660" i="3" s="1"/>
  <c r="G659" i="3"/>
  <c r="H659" i="3" s="1"/>
  <c r="G658" i="3"/>
  <c r="H658" i="3" s="1"/>
  <c r="G657" i="3"/>
  <c r="H657" i="3" s="1"/>
  <c r="G656" i="3"/>
  <c r="H656" i="3" s="1"/>
  <c r="G655" i="3"/>
  <c r="H655" i="3" s="1"/>
  <c r="G654" i="3"/>
  <c r="H654" i="3" s="1"/>
  <c r="G653" i="3"/>
  <c r="H653" i="3" s="1"/>
  <c r="G652" i="3"/>
  <c r="H652" i="3" s="1"/>
  <c r="G651" i="3"/>
  <c r="H651" i="3" s="1"/>
  <c r="G650" i="3"/>
  <c r="H650" i="3" s="1"/>
  <c r="G649" i="3"/>
  <c r="H649" i="3" s="1"/>
  <c r="G648" i="3"/>
  <c r="H648" i="3" s="1"/>
  <c r="G647" i="3"/>
  <c r="H647" i="3" s="1"/>
  <c r="G646" i="3"/>
  <c r="H646" i="3" s="1"/>
  <c r="G645" i="3"/>
  <c r="H645" i="3" s="1"/>
  <c r="G644" i="3"/>
  <c r="H644" i="3" s="1"/>
  <c r="G643" i="3"/>
  <c r="H643" i="3" s="1"/>
  <c r="G642" i="3"/>
  <c r="H642" i="3" s="1"/>
  <c r="G641" i="3"/>
  <c r="H641" i="3" s="1"/>
  <c r="G640" i="3"/>
  <c r="H640" i="3" s="1"/>
  <c r="G639" i="3"/>
  <c r="H639" i="3" s="1"/>
  <c r="G638" i="3"/>
  <c r="H638" i="3" s="1"/>
  <c r="G637" i="3"/>
  <c r="H637" i="3" s="1"/>
  <c r="G636" i="3"/>
  <c r="H636" i="3" s="1"/>
  <c r="G635" i="3"/>
  <c r="H635" i="3" s="1"/>
  <c r="G634" i="3"/>
  <c r="H634" i="3" s="1"/>
  <c r="G633" i="3"/>
  <c r="H633" i="3" s="1"/>
  <c r="G632" i="3"/>
  <c r="H632" i="3" s="1"/>
  <c r="G631" i="3"/>
  <c r="H631" i="3" s="1"/>
  <c r="G630" i="3"/>
  <c r="H630" i="3" s="1"/>
  <c r="G629" i="3"/>
  <c r="H629" i="3" s="1"/>
  <c r="G628" i="3"/>
  <c r="H628" i="3" s="1"/>
  <c r="G627" i="3"/>
  <c r="H627" i="3" s="1"/>
  <c r="G626" i="3"/>
  <c r="H626" i="3" s="1"/>
  <c r="G625" i="3"/>
  <c r="H625" i="3" s="1"/>
  <c r="G624" i="3"/>
  <c r="H624" i="3" s="1"/>
  <c r="G623" i="3"/>
  <c r="H623" i="3" s="1"/>
  <c r="G622" i="3"/>
  <c r="H622" i="3" s="1"/>
  <c r="G621" i="3"/>
  <c r="H621" i="3" s="1"/>
  <c r="G620" i="3"/>
  <c r="H620" i="3" s="1"/>
  <c r="G619" i="3"/>
  <c r="H619" i="3" s="1"/>
  <c r="G618" i="3"/>
  <c r="H618" i="3" s="1"/>
  <c r="G617" i="3"/>
  <c r="H617" i="3" s="1"/>
  <c r="G616" i="3"/>
  <c r="H616" i="3" s="1"/>
  <c r="G615" i="3"/>
  <c r="H615" i="3" s="1"/>
  <c r="G614" i="3"/>
  <c r="H614" i="3" s="1"/>
  <c r="G613" i="3"/>
  <c r="H613" i="3" s="1"/>
  <c r="G612" i="3"/>
  <c r="H612" i="3" s="1"/>
  <c r="G611" i="3"/>
  <c r="H611" i="3" s="1"/>
  <c r="G610" i="3"/>
  <c r="H610" i="3" s="1"/>
  <c r="G609" i="3"/>
  <c r="H609" i="3" s="1"/>
  <c r="G608" i="3"/>
  <c r="H608" i="3" s="1"/>
  <c r="G607" i="3"/>
  <c r="H607" i="3" s="1"/>
  <c r="G606" i="3"/>
  <c r="H606" i="3" s="1"/>
  <c r="G605" i="3"/>
  <c r="H605" i="3" s="1"/>
  <c r="G604" i="3"/>
  <c r="H604" i="3" s="1"/>
  <c r="G603" i="3"/>
  <c r="H603" i="3" s="1"/>
  <c r="G602" i="3"/>
  <c r="H602" i="3" s="1"/>
  <c r="G601" i="3"/>
  <c r="H601" i="3" s="1"/>
  <c r="G600" i="3"/>
  <c r="H600" i="3" s="1"/>
  <c r="G599" i="3"/>
  <c r="H599" i="3" s="1"/>
  <c r="G598" i="3"/>
  <c r="H598" i="3" s="1"/>
  <c r="G597" i="3"/>
  <c r="H597" i="3" s="1"/>
  <c r="G596" i="3"/>
  <c r="H596" i="3" s="1"/>
  <c r="G595" i="3"/>
  <c r="H595" i="3" s="1"/>
  <c r="G594" i="3"/>
  <c r="H594" i="3" s="1"/>
  <c r="G593" i="3"/>
  <c r="H593" i="3" s="1"/>
  <c r="G592" i="3"/>
  <c r="H592" i="3" s="1"/>
  <c r="G591" i="3"/>
  <c r="H591" i="3" s="1"/>
  <c r="G590" i="3"/>
  <c r="H590" i="3" s="1"/>
  <c r="G589" i="3"/>
  <c r="H589" i="3" s="1"/>
  <c r="G588" i="3"/>
  <c r="H588" i="3" s="1"/>
  <c r="G587" i="3"/>
  <c r="H587" i="3" s="1"/>
  <c r="G586" i="3"/>
  <c r="H586" i="3" s="1"/>
  <c r="G585" i="3"/>
  <c r="H585" i="3" s="1"/>
  <c r="G584" i="3"/>
  <c r="H584" i="3" s="1"/>
  <c r="G583" i="3"/>
  <c r="H583" i="3" s="1"/>
  <c r="G582" i="3"/>
  <c r="H582" i="3" s="1"/>
  <c r="G581" i="3"/>
  <c r="H581" i="3" s="1"/>
  <c r="H580" i="3"/>
  <c r="G580" i="3"/>
  <c r="G579" i="3"/>
  <c r="H579" i="3" s="1"/>
  <c r="G578" i="3"/>
  <c r="H578" i="3" s="1"/>
  <c r="G577" i="3"/>
  <c r="H577" i="3" s="1"/>
  <c r="G576" i="3"/>
  <c r="H576" i="3" s="1"/>
  <c r="G575" i="3"/>
  <c r="H575" i="3" s="1"/>
  <c r="G574" i="3"/>
  <c r="H574" i="3" s="1"/>
  <c r="G573" i="3"/>
  <c r="H573" i="3" s="1"/>
  <c r="G572" i="3"/>
  <c r="H572" i="3" s="1"/>
  <c r="G571" i="3"/>
  <c r="H571" i="3" s="1"/>
  <c r="G570" i="3"/>
  <c r="H570" i="3" s="1"/>
  <c r="G569" i="3"/>
  <c r="H569" i="3" s="1"/>
  <c r="G568" i="3"/>
  <c r="H568" i="3" s="1"/>
  <c r="H567" i="3"/>
  <c r="G567" i="3"/>
  <c r="G566" i="3"/>
  <c r="H566" i="3" s="1"/>
  <c r="G565" i="3"/>
  <c r="H565" i="3" s="1"/>
  <c r="H564" i="3"/>
  <c r="G564" i="3"/>
  <c r="G563" i="3"/>
  <c r="H563" i="3" s="1"/>
  <c r="G562" i="3"/>
  <c r="H562" i="3" s="1"/>
  <c r="G561" i="3"/>
  <c r="H561" i="3" s="1"/>
  <c r="G560" i="3"/>
  <c r="H560" i="3" s="1"/>
  <c r="G559" i="3"/>
  <c r="H559" i="3" s="1"/>
  <c r="G558" i="3"/>
  <c r="H558" i="3" s="1"/>
  <c r="G557" i="3"/>
  <c r="H557" i="3" s="1"/>
  <c r="G556" i="3"/>
  <c r="H556" i="3" s="1"/>
  <c r="G555" i="3"/>
  <c r="H555" i="3" s="1"/>
  <c r="G554" i="3"/>
  <c r="H554" i="3" s="1"/>
  <c r="G553" i="3"/>
  <c r="H553" i="3" s="1"/>
  <c r="G552" i="3"/>
  <c r="H552" i="3" s="1"/>
  <c r="G551" i="3"/>
  <c r="H551" i="3" s="1"/>
  <c r="G550" i="3"/>
  <c r="H550" i="3" s="1"/>
  <c r="G549" i="3"/>
  <c r="H549" i="3" s="1"/>
  <c r="G548" i="3"/>
  <c r="H548" i="3" s="1"/>
  <c r="G547" i="3"/>
  <c r="H547" i="3" s="1"/>
  <c r="G546" i="3"/>
  <c r="H546" i="3" s="1"/>
  <c r="G545" i="3"/>
  <c r="H545" i="3" s="1"/>
  <c r="G544" i="3"/>
  <c r="H544" i="3" s="1"/>
  <c r="G543" i="3"/>
  <c r="H543" i="3" s="1"/>
  <c r="G542" i="3"/>
  <c r="H542" i="3" s="1"/>
  <c r="G541" i="3"/>
  <c r="H541" i="3" s="1"/>
  <c r="G540" i="3"/>
  <c r="H540" i="3" s="1"/>
  <c r="G539" i="3"/>
  <c r="H539" i="3" s="1"/>
  <c r="G538" i="3"/>
  <c r="H538" i="3" s="1"/>
  <c r="G537" i="3"/>
  <c r="H537" i="3" s="1"/>
  <c r="G536" i="3"/>
  <c r="H536" i="3" s="1"/>
  <c r="G535" i="3"/>
  <c r="H535" i="3" s="1"/>
  <c r="G534" i="3"/>
  <c r="H534" i="3" s="1"/>
  <c r="G533" i="3"/>
  <c r="H533" i="3" s="1"/>
  <c r="G532" i="3"/>
  <c r="H532" i="3" s="1"/>
  <c r="G531" i="3"/>
  <c r="H531" i="3" s="1"/>
  <c r="G530" i="3"/>
  <c r="H530" i="3" s="1"/>
  <c r="G529" i="3"/>
  <c r="H529" i="3" s="1"/>
  <c r="G528" i="3"/>
  <c r="H528" i="3" s="1"/>
  <c r="G527" i="3"/>
  <c r="H527" i="3" s="1"/>
  <c r="G526" i="3"/>
  <c r="H526" i="3" s="1"/>
  <c r="G525" i="3"/>
  <c r="H525" i="3" s="1"/>
  <c r="G524" i="3"/>
  <c r="H524" i="3" s="1"/>
  <c r="G523" i="3"/>
  <c r="H523" i="3" s="1"/>
  <c r="G522" i="3"/>
  <c r="H522" i="3" s="1"/>
  <c r="G521" i="3"/>
  <c r="H521" i="3" s="1"/>
  <c r="G520" i="3"/>
  <c r="H520" i="3" s="1"/>
  <c r="G519" i="3"/>
  <c r="H519" i="3" s="1"/>
  <c r="G518" i="3"/>
  <c r="H518" i="3" s="1"/>
  <c r="G517" i="3"/>
  <c r="H517" i="3" s="1"/>
  <c r="G516" i="3"/>
  <c r="H516" i="3" s="1"/>
  <c r="G515" i="3"/>
  <c r="H515" i="3" s="1"/>
  <c r="G514" i="3"/>
  <c r="H514" i="3" s="1"/>
  <c r="G513" i="3"/>
  <c r="H513" i="3" s="1"/>
  <c r="G512" i="3"/>
  <c r="H512" i="3" s="1"/>
  <c r="G511" i="3"/>
  <c r="H511" i="3" s="1"/>
  <c r="G510" i="3"/>
  <c r="H510" i="3" s="1"/>
  <c r="G509" i="3"/>
  <c r="H509" i="3" s="1"/>
  <c r="G508" i="3"/>
  <c r="H508" i="3" s="1"/>
  <c r="G507" i="3"/>
  <c r="H507" i="3" s="1"/>
  <c r="G506" i="3"/>
  <c r="H506" i="3" s="1"/>
  <c r="G505" i="3"/>
  <c r="H505" i="3" s="1"/>
  <c r="G504" i="3"/>
  <c r="H504" i="3" s="1"/>
  <c r="G503" i="3"/>
  <c r="H503" i="3" s="1"/>
  <c r="G502" i="3"/>
  <c r="H502" i="3" s="1"/>
  <c r="G501" i="3"/>
  <c r="H501" i="3" s="1"/>
  <c r="G500" i="3"/>
  <c r="H500" i="3" s="1"/>
  <c r="G499" i="3"/>
  <c r="H499" i="3" s="1"/>
  <c r="G498" i="3"/>
  <c r="H498" i="3" s="1"/>
  <c r="G497" i="3"/>
  <c r="H497" i="3" s="1"/>
  <c r="G496" i="3"/>
  <c r="H496" i="3" s="1"/>
  <c r="G495" i="3"/>
  <c r="H495" i="3" s="1"/>
  <c r="G494" i="3"/>
  <c r="H494" i="3" s="1"/>
  <c r="G493" i="3"/>
  <c r="H493" i="3" s="1"/>
  <c r="G492" i="3"/>
  <c r="H492" i="3" s="1"/>
  <c r="G491" i="3"/>
  <c r="H491" i="3" s="1"/>
  <c r="G490" i="3"/>
  <c r="H490" i="3" s="1"/>
  <c r="G489" i="3"/>
  <c r="H489" i="3" s="1"/>
  <c r="G488" i="3"/>
  <c r="H488" i="3" s="1"/>
  <c r="G487" i="3"/>
  <c r="H487" i="3" s="1"/>
  <c r="G486" i="3"/>
  <c r="H486" i="3" s="1"/>
  <c r="G485" i="3"/>
  <c r="H485" i="3" s="1"/>
  <c r="G484" i="3"/>
  <c r="H484" i="3" s="1"/>
  <c r="G483" i="3"/>
  <c r="H483" i="3" s="1"/>
  <c r="G482" i="3"/>
  <c r="H482" i="3" s="1"/>
  <c r="G481" i="3"/>
  <c r="H481" i="3" s="1"/>
  <c r="G480" i="3"/>
  <c r="H480" i="3" s="1"/>
  <c r="G479" i="3"/>
  <c r="H479" i="3" s="1"/>
  <c r="G478" i="3"/>
  <c r="H478" i="3" s="1"/>
  <c r="G477" i="3"/>
  <c r="H477" i="3" s="1"/>
  <c r="G476" i="3"/>
  <c r="H476" i="3" s="1"/>
  <c r="G475" i="3"/>
  <c r="H475" i="3" s="1"/>
  <c r="G474" i="3"/>
  <c r="H474" i="3" s="1"/>
  <c r="G473" i="3"/>
  <c r="H473" i="3" s="1"/>
  <c r="G472" i="3"/>
  <c r="H472" i="3" s="1"/>
  <c r="G471" i="3"/>
  <c r="H471" i="3" s="1"/>
  <c r="G470" i="3"/>
  <c r="H470" i="3" s="1"/>
  <c r="G469" i="3"/>
  <c r="H469" i="3" s="1"/>
  <c r="G468" i="3"/>
  <c r="H468" i="3" s="1"/>
  <c r="G467" i="3"/>
  <c r="H467" i="3" s="1"/>
  <c r="G466" i="3"/>
  <c r="H466" i="3" s="1"/>
  <c r="G465" i="3"/>
  <c r="H465" i="3" s="1"/>
  <c r="G464" i="3"/>
  <c r="H464" i="3" s="1"/>
  <c r="G463" i="3"/>
  <c r="H463" i="3" s="1"/>
  <c r="G462" i="3"/>
  <c r="H462" i="3" s="1"/>
  <c r="G461" i="3"/>
  <c r="H461" i="3" s="1"/>
  <c r="G460" i="3"/>
  <c r="H460" i="3" s="1"/>
  <c r="G459" i="3"/>
  <c r="H459" i="3" s="1"/>
  <c r="G458" i="3"/>
  <c r="H458" i="3" s="1"/>
  <c r="G457" i="3"/>
  <c r="H457" i="3" s="1"/>
  <c r="G456" i="3"/>
  <c r="H456" i="3" s="1"/>
  <c r="G455" i="3"/>
  <c r="H455" i="3" s="1"/>
  <c r="G454" i="3"/>
  <c r="H454" i="3" s="1"/>
  <c r="G453" i="3"/>
  <c r="H453" i="3" s="1"/>
  <c r="G452" i="3"/>
  <c r="H452" i="3" s="1"/>
  <c r="G451" i="3"/>
  <c r="H451" i="3" s="1"/>
  <c r="G450" i="3"/>
  <c r="H450" i="3" s="1"/>
  <c r="G449" i="3"/>
  <c r="H449" i="3" s="1"/>
  <c r="G448" i="3"/>
  <c r="H448" i="3" s="1"/>
  <c r="G447" i="3"/>
  <c r="H447" i="3" s="1"/>
  <c r="G446" i="3"/>
  <c r="H446" i="3" s="1"/>
  <c r="G445" i="3"/>
  <c r="H445" i="3" s="1"/>
  <c r="G444" i="3"/>
  <c r="H444" i="3" s="1"/>
  <c r="G443" i="3"/>
  <c r="H443" i="3" s="1"/>
  <c r="G442" i="3"/>
  <c r="H442" i="3" s="1"/>
  <c r="G441" i="3"/>
  <c r="H441" i="3" s="1"/>
  <c r="G440" i="3"/>
  <c r="H440" i="3" s="1"/>
  <c r="G439" i="3"/>
  <c r="H439" i="3" s="1"/>
  <c r="G438" i="3"/>
  <c r="H438" i="3" s="1"/>
  <c r="G437" i="3"/>
  <c r="H437" i="3" s="1"/>
  <c r="G436" i="3"/>
  <c r="H436" i="3" s="1"/>
  <c r="G435" i="3"/>
  <c r="H435" i="3" s="1"/>
  <c r="G434" i="3"/>
  <c r="H434" i="3" s="1"/>
  <c r="G433" i="3"/>
  <c r="H433" i="3" s="1"/>
  <c r="G432" i="3"/>
  <c r="H432" i="3" s="1"/>
  <c r="G431" i="3"/>
  <c r="H431" i="3" s="1"/>
  <c r="G430" i="3"/>
  <c r="H430" i="3" s="1"/>
  <c r="G429" i="3"/>
  <c r="H429" i="3" s="1"/>
  <c r="G428" i="3"/>
  <c r="H428" i="3" s="1"/>
  <c r="G427" i="3"/>
  <c r="H427" i="3" s="1"/>
  <c r="G426" i="3"/>
  <c r="H426" i="3" s="1"/>
  <c r="G425" i="3"/>
  <c r="H425" i="3" s="1"/>
  <c r="G424" i="3"/>
  <c r="H424" i="3" s="1"/>
  <c r="G423" i="3"/>
  <c r="H423" i="3" s="1"/>
  <c r="G422" i="3"/>
  <c r="H422" i="3" s="1"/>
  <c r="G421" i="3"/>
  <c r="H421" i="3" s="1"/>
  <c r="G420" i="3"/>
  <c r="H420" i="3" s="1"/>
  <c r="G419" i="3"/>
  <c r="H419" i="3" s="1"/>
  <c r="G418" i="3"/>
  <c r="H418" i="3" s="1"/>
  <c r="G417" i="3"/>
  <c r="H417" i="3" s="1"/>
  <c r="G416" i="3"/>
  <c r="H416" i="3" s="1"/>
  <c r="G415" i="3"/>
  <c r="H415" i="3" s="1"/>
  <c r="G414" i="3"/>
  <c r="H414" i="3" s="1"/>
  <c r="G413" i="3"/>
  <c r="H413" i="3" s="1"/>
  <c r="G412" i="3"/>
  <c r="H412" i="3" s="1"/>
  <c r="G411" i="3"/>
  <c r="H411" i="3" s="1"/>
  <c r="G410" i="3"/>
  <c r="H410" i="3" s="1"/>
  <c r="G409" i="3"/>
  <c r="H409" i="3" s="1"/>
  <c r="G408" i="3"/>
  <c r="H408" i="3" s="1"/>
  <c r="G407" i="3"/>
  <c r="H407" i="3" s="1"/>
  <c r="G406" i="3"/>
  <c r="H406" i="3" s="1"/>
  <c r="G405" i="3"/>
  <c r="H405" i="3" s="1"/>
  <c r="G404" i="3"/>
  <c r="H404" i="3" s="1"/>
  <c r="G403" i="3"/>
  <c r="H403" i="3" s="1"/>
  <c r="G402" i="3"/>
  <c r="H402" i="3" s="1"/>
  <c r="G401" i="3"/>
  <c r="H401" i="3" s="1"/>
  <c r="G400" i="3"/>
  <c r="H400" i="3" s="1"/>
  <c r="G399" i="3"/>
  <c r="H399" i="3" s="1"/>
  <c r="G398" i="3"/>
  <c r="H398" i="3" s="1"/>
  <c r="G397" i="3"/>
  <c r="H397" i="3" s="1"/>
  <c r="G396" i="3"/>
  <c r="H396" i="3" s="1"/>
  <c r="G395" i="3"/>
  <c r="H395" i="3" s="1"/>
  <c r="G394" i="3"/>
  <c r="H394" i="3" s="1"/>
  <c r="G393" i="3"/>
  <c r="H393" i="3" s="1"/>
  <c r="G392" i="3"/>
  <c r="H392" i="3" s="1"/>
  <c r="G391" i="3"/>
  <c r="H391" i="3" s="1"/>
  <c r="G390" i="3"/>
  <c r="H390" i="3" s="1"/>
  <c r="G389" i="3"/>
  <c r="H389" i="3" s="1"/>
  <c r="G388" i="3"/>
  <c r="H388" i="3" s="1"/>
  <c r="G387" i="3"/>
  <c r="H387" i="3" s="1"/>
  <c r="G386" i="3"/>
  <c r="H386" i="3" s="1"/>
  <c r="G385" i="3"/>
  <c r="H385" i="3" s="1"/>
  <c r="G384" i="3"/>
  <c r="H384" i="3" s="1"/>
  <c r="G383" i="3"/>
  <c r="H383" i="3" s="1"/>
  <c r="G382" i="3"/>
  <c r="H382" i="3" s="1"/>
  <c r="G381" i="3"/>
  <c r="H381" i="3" s="1"/>
  <c r="G380" i="3"/>
  <c r="H380" i="3" s="1"/>
  <c r="G379" i="3"/>
  <c r="H379" i="3" s="1"/>
  <c r="G378" i="3"/>
  <c r="H378" i="3" s="1"/>
  <c r="G377" i="3"/>
  <c r="H377" i="3" s="1"/>
  <c r="G376" i="3"/>
  <c r="H376" i="3" s="1"/>
  <c r="G375" i="3"/>
  <c r="H375" i="3" s="1"/>
  <c r="G374" i="3"/>
  <c r="H374" i="3" s="1"/>
  <c r="G373" i="3"/>
  <c r="H373" i="3" s="1"/>
  <c r="G372" i="3"/>
  <c r="H372" i="3" s="1"/>
  <c r="G371" i="3"/>
  <c r="H371" i="3" s="1"/>
  <c r="G370" i="3"/>
  <c r="H370" i="3" s="1"/>
  <c r="G369" i="3"/>
  <c r="H369" i="3" s="1"/>
  <c r="G368" i="3"/>
  <c r="H368" i="3" s="1"/>
  <c r="G367" i="3"/>
  <c r="H367" i="3" s="1"/>
  <c r="G366" i="3"/>
  <c r="H366" i="3" s="1"/>
  <c r="G365" i="3"/>
  <c r="H365" i="3" s="1"/>
  <c r="G364" i="3"/>
  <c r="H364" i="3" s="1"/>
  <c r="G363" i="3"/>
  <c r="H363" i="3" s="1"/>
  <c r="G362" i="3"/>
  <c r="H362" i="3" s="1"/>
  <c r="G361" i="3"/>
  <c r="H361" i="3" s="1"/>
  <c r="G360" i="3"/>
  <c r="H360" i="3" s="1"/>
  <c r="G359" i="3"/>
  <c r="H359" i="3" s="1"/>
  <c r="G358" i="3"/>
  <c r="H358" i="3" s="1"/>
  <c r="G357" i="3"/>
  <c r="H357" i="3" s="1"/>
  <c r="G356" i="3"/>
  <c r="H356" i="3" s="1"/>
  <c r="G355" i="3"/>
  <c r="H355" i="3" s="1"/>
  <c r="G354" i="3"/>
  <c r="H354" i="3" s="1"/>
  <c r="G353" i="3"/>
  <c r="H353" i="3" s="1"/>
  <c r="G352" i="3"/>
  <c r="H352" i="3" s="1"/>
  <c r="G351" i="3"/>
  <c r="H351" i="3" s="1"/>
  <c r="G350" i="3"/>
  <c r="H350" i="3" s="1"/>
  <c r="G349" i="3"/>
  <c r="H349" i="3" s="1"/>
  <c r="G348" i="3"/>
  <c r="H348" i="3" s="1"/>
  <c r="G347" i="3"/>
  <c r="H347" i="3" s="1"/>
  <c r="G346" i="3"/>
  <c r="H346" i="3" s="1"/>
  <c r="G345" i="3"/>
  <c r="H345" i="3" s="1"/>
  <c r="G344" i="3"/>
  <c r="H344" i="3" s="1"/>
  <c r="G343" i="3"/>
  <c r="H343" i="3" s="1"/>
  <c r="G342" i="3"/>
  <c r="H342" i="3" s="1"/>
  <c r="G341" i="3"/>
  <c r="H341" i="3" s="1"/>
  <c r="G340" i="3"/>
  <c r="H340" i="3" s="1"/>
  <c r="G339" i="3"/>
  <c r="H339" i="3" s="1"/>
  <c r="G338" i="3"/>
  <c r="H338" i="3" s="1"/>
  <c r="G337" i="3"/>
  <c r="H337" i="3" s="1"/>
  <c r="G336" i="3"/>
  <c r="H336" i="3" s="1"/>
  <c r="G335" i="3"/>
  <c r="H335" i="3" s="1"/>
  <c r="G334" i="3"/>
  <c r="H334" i="3" s="1"/>
  <c r="G333" i="3"/>
  <c r="H333" i="3" s="1"/>
  <c r="G332" i="3"/>
  <c r="H332" i="3" s="1"/>
  <c r="G331" i="3"/>
  <c r="H331" i="3" s="1"/>
  <c r="G330" i="3"/>
  <c r="H330" i="3" s="1"/>
  <c r="G329" i="3"/>
  <c r="H329" i="3" s="1"/>
  <c r="G328" i="3"/>
  <c r="H328" i="3" s="1"/>
  <c r="G327" i="3"/>
  <c r="H327" i="3" s="1"/>
  <c r="G326" i="3"/>
  <c r="H326" i="3" s="1"/>
  <c r="G325" i="3"/>
  <c r="H325" i="3" s="1"/>
  <c r="G324" i="3"/>
  <c r="H324" i="3" s="1"/>
  <c r="G323" i="3"/>
  <c r="H323" i="3" s="1"/>
  <c r="G322" i="3"/>
  <c r="H322" i="3" s="1"/>
  <c r="G321" i="3"/>
  <c r="H321" i="3" s="1"/>
  <c r="G320" i="3"/>
  <c r="H320" i="3" s="1"/>
  <c r="G319" i="3"/>
  <c r="H319" i="3" s="1"/>
  <c r="G318" i="3"/>
  <c r="H318" i="3" s="1"/>
  <c r="G317" i="3"/>
  <c r="H317" i="3" s="1"/>
  <c r="G316" i="3"/>
  <c r="H316" i="3" s="1"/>
  <c r="G315" i="3"/>
  <c r="H315" i="3" s="1"/>
  <c r="G314" i="3"/>
  <c r="H314" i="3" s="1"/>
  <c r="G313" i="3"/>
  <c r="H313" i="3" s="1"/>
  <c r="G312" i="3"/>
  <c r="H312" i="3" s="1"/>
  <c r="G311" i="3"/>
  <c r="H311" i="3" s="1"/>
  <c r="G310" i="3"/>
  <c r="H310" i="3" s="1"/>
  <c r="G309" i="3"/>
  <c r="H309" i="3" s="1"/>
  <c r="G308" i="3"/>
  <c r="H308" i="3" s="1"/>
  <c r="G307" i="3"/>
  <c r="H307" i="3" s="1"/>
  <c r="G306" i="3"/>
  <c r="H306" i="3" s="1"/>
  <c r="G305" i="3"/>
  <c r="H305" i="3" s="1"/>
  <c r="G304" i="3"/>
  <c r="H304" i="3" s="1"/>
  <c r="G303" i="3"/>
  <c r="H303" i="3" s="1"/>
  <c r="G302" i="3"/>
  <c r="H302" i="3" s="1"/>
  <c r="G301" i="3"/>
  <c r="H301" i="3" s="1"/>
  <c r="G300" i="3"/>
  <c r="H300" i="3" s="1"/>
  <c r="G299" i="3"/>
  <c r="H299" i="3" s="1"/>
  <c r="G298" i="3"/>
  <c r="H298" i="3" s="1"/>
  <c r="G297" i="3"/>
  <c r="H297" i="3" s="1"/>
  <c r="G296" i="3"/>
  <c r="H296" i="3" s="1"/>
  <c r="G295" i="3"/>
  <c r="H295" i="3" s="1"/>
  <c r="G294" i="3"/>
  <c r="H294" i="3" s="1"/>
  <c r="G293" i="3"/>
  <c r="H293" i="3" s="1"/>
  <c r="G292" i="3"/>
  <c r="H292" i="3" s="1"/>
  <c r="G291" i="3"/>
  <c r="H291" i="3" s="1"/>
  <c r="G290" i="3"/>
  <c r="H290" i="3" s="1"/>
  <c r="G289" i="3"/>
  <c r="H289" i="3" s="1"/>
  <c r="G288" i="3"/>
  <c r="H288" i="3" s="1"/>
  <c r="G287" i="3"/>
  <c r="H287" i="3" s="1"/>
  <c r="G286" i="3"/>
  <c r="H286" i="3" s="1"/>
  <c r="G285" i="3"/>
  <c r="H285" i="3" s="1"/>
  <c r="G284" i="3"/>
  <c r="H284" i="3" s="1"/>
  <c r="G283" i="3"/>
  <c r="H283" i="3" s="1"/>
  <c r="G282" i="3"/>
  <c r="H282" i="3" s="1"/>
  <c r="G281" i="3"/>
  <c r="H281" i="3" s="1"/>
  <c r="G280" i="3"/>
  <c r="H280" i="3" s="1"/>
  <c r="G279" i="3"/>
  <c r="H279" i="3" s="1"/>
  <c r="G278" i="3"/>
  <c r="H278" i="3" s="1"/>
  <c r="G277" i="3"/>
  <c r="H277" i="3" s="1"/>
  <c r="G276" i="3"/>
  <c r="H276" i="3" s="1"/>
  <c r="G275" i="3"/>
  <c r="H275" i="3" s="1"/>
  <c r="G274" i="3"/>
  <c r="H274" i="3" s="1"/>
  <c r="G273" i="3"/>
  <c r="H273" i="3" s="1"/>
  <c r="G272" i="3"/>
  <c r="H272" i="3" s="1"/>
  <c r="G271" i="3"/>
  <c r="H271" i="3" s="1"/>
  <c r="G270" i="3"/>
  <c r="H270" i="3" s="1"/>
  <c r="G269" i="3"/>
  <c r="H269" i="3" s="1"/>
  <c r="G268" i="3"/>
  <c r="H268" i="3" s="1"/>
  <c r="G267" i="3"/>
  <c r="H267" i="3" s="1"/>
  <c r="G266" i="3"/>
  <c r="H266" i="3" s="1"/>
  <c r="H265" i="3"/>
  <c r="G265" i="3"/>
  <c r="H264" i="3"/>
  <c r="G264" i="3"/>
  <c r="H263" i="3"/>
  <c r="G263" i="3"/>
  <c r="H262" i="3"/>
  <c r="G262" i="3"/>
  <c r="H261" i="3"/>
  <c r="G261" i="3"/>
  <c r="G260" i="3"/>
  <c r="H260" i="3" s="1"/>
  <c r="G259" i="3"/>
  <c r="H259" i="3" s="1"/>
  <c r="H258" i="3"/>
  <c r="G258" i="3"/>
  <c r="H257" i="3"/>
  <c r="G257" i="3"/>
  <c r="H256" i="3"/>
  <c r="G256" i="3"/>
  <c r="G255" i="3"/>
  <c r="H255" i="3" s="1"/>
  <c r="G254" i="3"/>
  <c r="H254" i="3" s="1"/>
  <c r="H253" i="3"/>
  <c r="G253" i="3"/>
  <c r="H252" i="3"/>
  <c r="G252" i="3"/>
  <c r="H251" i="3"/>
  <c r="G251" i="3"/>
  <c r="G250" i="3"/>
  <c r="H250" i="3" s="1"/>
  <c r="G249" i="3"/>
  <c r="H249" i="3" s="1"/>
  <c r="G248" i="3"/>
  <c r="H248" i="3" s="1"/>
  <c r="G247" i="3"/>
  <c r="H247" i="3" s="1"/>
  <c r="G246" i="3"/>
  <c r="H246" i="3" s="1"/>
  <c r="G245" i="3"/>
  <c r="H245" i="3" s="1"/>
  <c r="G244" i="3"/>
  <c r="H244" i="3" s="1"/>
  <c r="G243" i="3"/>
  <c r="H243" i="3" s="1"/>
  <c r="G242" i="3"/>
  <c r="H242" i="3" s="1"/>
  <c r="G241" i="3"/>
  <c r="H241" i="3" s="1"/>
  <c r="G240" i="3"/>
  <c r="H240" i="3" s="1"/>
  <c r="G239" i="3"/>
  <c r="H239" i="3" s="1"/>
  <c r="G238" i="3"/>
  <c r="H238" i="3" s="1"/>
  <c r="G237" i="3"/>
  <c r="H237" i="3" s="1"/>
  <c r="G236" i="3"/>
  <c r="H236" i="3" s="1"/>
  <c r="G235" i="3"/>
  <c r="H235" i="3" s="1"/>
  <c r="G234" i="3"/>
  <c r="H234" i="3" s="1"/>
  <c r="G233" i="3"/>
  <c r="H233" i="3" s="1"/>
  <c r="G232" i="3"/>
  <c r="H232" i="3" s="1"/>
  <c r="G231" i="3"/>
  <c r="H231" i="3" s="1"/>
  <c r="G230" i="3"/>
  <c r="H230" i="3" s="1"/>
  <c r="G229" i="3"/>
  <c r="H229" i="3" s="1"/>
  <c r="G228" i="3"/>
  <c r="H228" i="3" s="1"/>
  <c r="G227" i="3"/>
  <c r="H227" i="3" s="1"/>
  <c r="G226" i="3"/>
  <c r="H226" i="3" s="1"/>
  <c r="G225" i="3"/>
  <c r="H225" i="3" s="1"/>
  <c r="G224" i="3"/>
  <c r="H224" i="3" s="1"/>
  <c r="G223" i="3"/>
  <c r="H223" i="3" s="1"/>
  <c r="H222" i="3"/>
  <c r="G222" i="3"/>
  <c r="H221" i="3"/>
  <c r="G221" i="3"/>
  <c r="G220" i="3"/>
  <c r="H220" i="3" s="1"/>
  <c r="G219" i="3"/>
  <c r="H219" i="3" s="1"/>
  <c r="H218" i="3"/>
  <c r="G218" i="3"/>
  <c r="G217" i="3"/>
  <c r="H217" i="3" s="1"/>
  <c r="G216" i="3"/>
  <c r="H216" i="3" s="1"/>
  <c r="G215" i="3"/>
  <c r="H215" i="3" s="1"/>
  <c r="G214" i="3"/>
  <c r="H214" i="3" s="1"/>
  <c r="G213" i="3"/>
  <c r="H213" i="3" s="1"/>
  <c r="G212" i="3"/>
  <c r="H212" i="3" s="1"/>
  <c r="G211" i="3"/>
  <c r="H211" i="3" s="1"/>
  <c r="G210" i="3"/>
  <c r="H210" i="3" s="1"/>
  <c r="G209" i="3"/>
  <c r="H209" i="3" s="1"/>
  <c r="G208" i="3"/>
  <c r="H208" i="3" s="1"/>
  <c r="G207" i="3"/>
  <c r="H207" i="3" s="1"/>
  <c r="G206" i="3"/>
  <c r="H206" i="3" s="1"/>
  <c r="G205" i="3"/>
  <c r="H205" i="3" s="1"/>
  <c r="G204" i="3"/>
  <c r="H204" i="3" s="1"/>
  <c r="G203" i="3"/>
  <c r="H203" i="3" s="1"/>
  <c r="G202" i="3"/>
  <c r="H202" i="3" s="1"/>
  <c r="G201" i="3"/>
  <c r="H201" i="3" s="1"/>
  <c r="G200" i="3"/>
  <c r="H200" i="3" s="1"/>
  <c r="G199" i="3"/>
  <c r="H199" i="3" s="1"/>
  <c r="G198" i="3"/>
  <c r="H198" i="3" s="1"/>
  <c r="G197" i="3"/>
  <c r="H197" i="3" s="1"/>
  <c r="G196" i="3"/>
  <c r="H196" i="3" s="1"/>
  <c r="G195" i="3"/>
  <c r="H195" i="3" s="1"/>
  <c r="G194" i="3"/>
  <c r="H194" i="3" s="1"/>
  <c r="G193" i="3"/>
  <c r="H193" i="3" s="1"/>
  <c r="G192" i="3"/>
  <c r="H192" i="3" s="1"/>
  <c r="G191" i="3"/>
  <c r="H191" i="3" s="1"/>
  <c r="G190" i="3"/>
  <c r="H190" i="3" s="1"/>
  <c r="G189" i="3"/>
  <c r="H189" i="3" s="1"/>
  <c r="G188" i="3"/>
  <c r="H188" i="3" s="1"/>
  <c r="G187" i="3"/>
  <c r="H187" i="3" s="1"/>
  <c r="G186" i="3"/>
  <c r="H186" i="3" s="1"/>
  <c r="G185" i="3"/>
  <c r="H185" i="3" s="1"/>
  <c r="G184" i="3"/>
  <c r="H184" i="3" s="1"/>
  <c r="G183" i="3"/>
  <c r="H183" i="3" s="1"/>
  <c r="G182" i="3"/>
  <c r="H182" i="3" s="1"/>
  <c r="G181" i="3"/>
  <c r="H181" i="3" s="1"/>
  <c r="G180" i="3"/>
  <c r="H180" i="3" s="1"/>
  <c r="G179" i="3"/>
  <c r="H179" i="3" s="1"/>
  <c r="G178" i="3"/>
  <c r="H178" i="3" s="1"/>
  <c r="G177" i="3"/>
  <c r="H177" i="3" s="1"/>
  <c r="G176" i="3"/>
  <c r="H176" i="3" s="1"/>
  <c r="G175" i="3"/>
  <c r="H175" i="3" s="1"/>
  <c r="H174" i="3"/>
  <c r="G174" i="3"/>
  <c r="H173" i="3"/>
  <c r="G173" i="3"/>
  <c r="G172" i="3"/>
  <c r="H172" i="3" s="1"/>
  <c r="G171" i="3"/>
  <c r="H171" i="3" s="1"/>
  <c r="H170" i="3"/>
  <c r="G170" i="3"/>
  <c r="G169" i="3"/>
  <c r="H169" i="3" s="1"/>
  <c r="G168" i="3"/>
  <c r="H168" i="3" s="1"/>
  <c r="G167" i="3"/>
  <c r="H167" i="3" s="1"/>
  <c r="G166" i="3"/>
  <c r="H166" i="3" s="1"/>
  <c r="G165" i="3"/>
  <c r="H165" i="3" s="1"/>
  <c r="G164" i="3"/>
  <c r="H164" i="3" s="1"/>
  <c r="G163" i="3"/>
  <c r="H163" i="3" s="1"/>
  <c r="G162" i="3"/>
  <c r="H162" i="3" s="1"/>
  <c r="G161" i="3"/>
  <c r="H161" i="3" s="1"/>
  <c r="G160" i="3"/>
  <c r="H160" i="3" s="1"/>
  <c r="G159" i="3"/>
  <c r="H159" i="3" s="1"/>
  <c r="G158" i="3"/>
  <c r="H158" i="3" s="1"/>
  <c r="G157" i="3"/>
  <c r="H157" i="3" s="1"/>
  <c r="G156" i="3"/>
  <c r="H156" i="3" s="1"/>
  <c r="G155" i="3"/>
  <c r="H155" i="3" s="1"/>
  <c r="G154" i="3"/>
  <c r="H154" i="3" s="1"/>
  <c r="G153" i="3"/>
  <c r="H153" i="3" s="1"/>
  <c r="G152" i="3"/>
  <c r="H152" i="3" s="1"/>
  <c r="G151" i="3"/>
  <c r="H151" i="3" s="1"/>
  <c r="G150" i="3"/>
  <c r="H150" i="3" s="1"/>
  <c r="G149" i="3"/>
  <c r="H149" i="3" s="1"/>
  <c r="G148" i="3"/>
  <c r="H148" i="3" s="1"/>
  <c r="G147" i="3"/>
  <c r="H147" i="3" s="1"/>
  <c r="G146" i="3"/>
  <c r="H146" i="3" s="1"/>
  <c r="G145" i="3"/>
  <c r="H145" i="3" s="1"/>
  <c r="G144" i="3"/>
  <c r="H144" i="3" s="1"/>
  <c r="G143" i="3"/>
  <c r="H143" i="3" s="1"/>
  <c r="G142" i="3"/>
  <c r="H142" i="3" s="1"/>
  <c r="H141" i="3"/>
  <c r="G140" i="3"/>
  <c r="H140" i="3" s="1"/>
  <c r="G139" i="3"/>
  <c r="H139" i="3" s="1"/>
  <c r="G138" i="3"/>
  <c r="H138" i="3" s="1"/>
  <c r="G137" i="3"/>
  <c r="H137" i="3" s="1"/>
  <c r="G136" i="3"/>
  <c r="H136" i="3" s="1"/>
  <c r="G135" i="3"/>
  <c r="H135" i="3" s="1"/>
  <c r="G134" i="3"/>
  <c r="H134" i="3" s="1"/>
  <c r="G133" i="3"/>
  <c r="H133" i="3" s="1"/>
  <c r="G132" i="3"/>
  <c r="H132" i="3" s="1"/>
  <c r="G131" i="3"/>
  <c r="H131" i="3" s="1"/>
  <c r="G130" i="3"/>
  <c r="H130" i="3" s="1"/>
  <c r="G129" i="3"/>
  <c r="H129" i="3" s="1"/>
  <c r="G128" i="3"/>
  <c r="H128" i="3" s="1"/>
  <c r="G127" i="3"/>
  <c r="H127" i="3" s="1"/>
  <c r="H126" i="3"/>
  <c r="G126" i="3"/>
  <c r="H125" i="3"/>
  <c r="G125" i="3"/>
  <c r="G124" i="3"/>
  <c r="H124" i="3" s="1"/>
  <c r="G123" i="3"/>
  <c r="H123" i="3" s="1"/>
  <c r="H122" i="3"/>
  <c r="G122" i="3"/>
  <c r="G121" i="3"/>
  <c r="H121" i="3" s="1"/>
  <c r="G120" i="3"/>
  <c r="H120" i="3" s="1"/>
  <c r="G119" i="3"/>
  <c r="H119" i="3" s="1"/>
  <c r="G118" i="3"/>
  <c r="H118" i="3" s="1"/>
  <c r="G117" i="3"/>
  <c r="H117" i="3" s="1"/>
  <c r="G116" i="3"/>
  <c r="H116" i="3" s="1"/>
  <c r="G115" i="3"/>
  <c r="H115" i="3" s="1"/>
  <c r="G114" i="3"/>
  <c r="H114" i="3" s="1"/>
  <c r="G113" i="3"/>
  <c r="H113" i="3" s="1"/>
  <c r="G112" i="3"/>
  <c r="H112" i="3" s="1"/>
  <c r="G111" i="3"/>
  <c r="H111" i="3" s="1"/>
  <c r="G110" i="3"/>
  <c r="H110" i="3" s="1"/>
  <c r="G109" i="3"/>
  <c r="H109" i="3" s="1"/>
  <c r="G108" i="3"/>
  <c r="H108" i="3" s="1"/>
  <c r="G107" i="3"/>
  <c r="H107" i="3" s="1"/>
  <c r="G106" i="3"/>
  <c r="H106" i="3" s="1"/>
  <c r="G105" i="3"/>
  <c r="H105" i="3" s="1"/>
  <c r="G104" i="3"/>
  <c r="H104" i="3" s="1"/>
  <c r="G103" i="3"/>
  <c r="H103" i="3" s="1"/>
  <c r="G102" i="3"/>
  <c r="H102" i="3" s="1"/>
  <c r="G101" i="3"/>
  <c r="H101" i="3" s="1"/>
  <c r="G100" i="3"/>
  <c r="H100" i="3" s="1"/>
  <c r="G99" i="3"/>
  <c r="H99" i="3" s="1"/>
  <c r="G98" i="3"/>
  <c r="H98" i="3" s="1"/>
  <c r="G97" i="3"/>
  <c r="H97" i="3" s="1"/>
  <c r="G96" i="3"/>
  <c r="H96" i="3" s="1"/>
  <c r="G95" i="3"/>
  <c r="H95" i="3" s="1"/>
  <c r="G94" i="3"/>
  <c r="H94" i="3" s="1"/>
  <c r="G93" i="3"/>
  <c r="H93" i="3" s="1"/>
  <c r="G92" i="3"/>
  <c r="H92" i="3" s="1"/>
  <c r="G91" i="3"/>
  <c r="H91" i="3" s="1"/>
  <c r="G90" i="3"/>
  <c r="H90" i="3" s="1"/>
  <c r="G89" i="3"/>
  <c r="H89" i="3" s="1"/>
  <c r="G88" i="3"/>
  <c r="H88" i="3" s="1"/>
  <c r="G87" i="3"/>
  <c r="H87" i="3" s="1"/>
  <c r="G86" i="3"/>
  <c r="H86" i="3" s="1"/>
  <c r="G85" i="3"/>
  <c r="H85" i="3" s="1"/>
  <c r="G84" i="3"/>
  <c r="H84" i="3" s="1"/>
  <c r="G83" i="3"/>
  <c r="H83" i="3" s="1"/>
  <c r="G82" i="3"/>
  <c r="H82" i="3" s="1"/>
  <c r="G81" i="3"/>
  <c r="H81" i="3" s="1"/>
  <c r="G80" i="3"/>
  <c r="H80" i="3" s="1"/>
  <c r="G79" i="3"/>
  <c r="H79" i="3" s="1"/>
  <c r="H78" i="3"/>
  <c r="G78" i="3"/>
  <c r="H77" i="3"/>
  <c r="G77" i="3"/>
  <c r="G76" i="3"/>
  <c r="H76" i="3" s="1"/>
  <c r="G75" i="3"/>
  <c r="H75" i="3" s="1"/>
  <c r="H74" i="3"/>
  <c r="G74" i="3"/>
  <c r="G73" i="3"/>
  <c r="H73" i="3" s="1"/>
  <c r="G72" i="3"/>
  <c r="H72" i="3" s="1"/>
  <c r="G71" i="3"/>
  <c r="H71" i="3" s="1"/>
  <c r="G70" i="3"/>
  <c r="H70" i="3" s="1"/>
  <c r="G69" i="3"/>
  <c r="H69" i="3" s="1"/>
  <c r="G68" i="3"/>
  <c r="H68" i="3" s="1"/>
  <c r="G67" i="3"/>
  <c r="H67" i="3" s="1"/>
  <c r="G66" i="3"/>
  <c r="H66" i="3" s="1"/>
  <c r="G65" i="3"/>
  <c r="H65" i="3" s="1"/>
  <c r="G64" i="3"/>
  <c r="H64" i="3" s="1"/>
  <c r="G63" i="3"/>
  <c r="H63" i="3" s="1"/>
  <c r="G62" i="3"/>
  <c r="H62" i="3" s="1"/>
  <c r="G61" i="3"/>
  <c r="H61" i="3" s="1"/>
  <c r="G60" i="3"/>
  <c r="H60" i="3" s="1"/>
  <c r="G59" i="3"/>
  <c r="H59" i="3" s="1"/>
  <c r="G58" i="3"/>
  <c r="H58" i="3" s="1"/>
  <c r="G57" i="3"/>
  <c r="H57" i="3" s="1"/>
  <c r="G56" i="3"/>
  <c r="H56" i="3" s="1"/>
  <c r="G55" i="3"/>
  <c r="H55" i="3" s="1"/>
  <c r="G54" i="3"/>
  <c r="H54" i="3" s="1"/>
  <c r="G53" i="3"/>
  <c r="H53" i="3" s="1"/>
  <c r="G52" i="3"/>
  <c r="H52" i="3" s="1"/>
  <c r="G51" i="3"/>
  <c r="H51" i="3" s="1"/>
  <c r="G50" i="3"/>
  <c r="H50" i="3" s="1"/>
  <c r="G49" i="3"/>
  <c r="H49" i="3" s="1"/>
  <c r="G48" i="3"/>
  <c r="H48" i="3" s="1"/>
  <c r="G47" i="3"/>
  <c r="H47" i="3" s="1"/>
  <c r="G46" i="3"/>
  <c r="H46" i="3" s="1"/>
  <c r="G45" i="3"/>
  <c r="H45" i="3" s="1"/>
  <c r="G44" i="3"/>
  <c r="H44" i="3" s="1"/>
  <c r="G43" i="3"/>
  <c r="H43" i="3" s="1"/>
  <c r="G42" i="3"/>
  <c r="H42" i="3" s="1"/>
  <c r="G41" i="3"/>
  <c r="H41" i="3" s="1"/>
  <c r="G40" i="3"/>
  <c r="H40" i="3" s="1"/>
  <c r="G39" i="3"/>
  <c r="H39" i="3" s="1"/>
  <c r="G38" i="3"/>
  <c r="H38" i="3" s="1"/>
  <c r="G37" i="3"/>
  <c r="H37" i="3" s="1"/>
  <c r="G36" i="3"/>
  <c r="H36" i="3" s="1"/>
  <c r="G35" i="3"/>
  <c r="H35" i="3" s="1"/>
  <c r="G34" i="3"/>
  <c r="H34" i="3" s="1"/>
  <c r="G33" i="3"/>
  <c r="H33" i="3" s="1"/>
  <c r="G32" i="3"/>
  <c r="H32" i="3" s="1"/>
  <c r="G31" i="3"/>
  <c r="H31" i="3" s="1"/>
  <c r="H30" i="3"/>
  <c r="G30" i="3"/>
  <c r="H29" i="3"/>
  <c r="G29" i="3"/>
  <c r="G28" i="3"/>
  <c r="H28" i="3" s="1"/>
  <c r="G27" i="3"/>
  <c r="H27" i="3" s="1"/>
  <c r="H26" i="3"/>
  <c r="G26" i="3"/>
  <c r="G25" i="3"/>
  <c r="H25" i="3" s="1"/>
  <c r="G24" i="3"/>
  <c r="H24" i="3" s="1"/>
  <c r="G23" i="3"/>
  <c r="H23" i="3" s="1"/>
  <c r="G22" i="3"/>
  <c r="H22" i="3" s="1"/>
  <c r="G21" i="3"/>
  <c r="H21" i="3" s="1"/>
  <c r="G20" i="3"/>
  <c r="H20" i="3" s="1"/>
  <c r="G19" i="3"/>
  <c r="H19" i="3" s="1"/>
  <c r="G18" i="3"/>
  <c r="H18" i="3" s="1"/>
  <c r="G17" i="3"/>
  <c r="H17" i="3" s="1"/>
  <c r="G16" i="3"/>
  <c r="H16" i="3" s="1"/>
  <c r="G15" i="3"/>
  <c r="H15" i="3" s="1"/>
  <c r="G14" i="3"/>
  <c r="H14" i="3" s="1"/>
  <c r="G13" i="3"/>
  <c r="H13" i="3" s="1"/>
  <c r="G12" i="3"/>
  <c r="H12" i="3" s="1"/>
  <c r="G11" i="3"/>
  <c r="H11" i="3" s="1"/>
  <c r="G10" i="3"/>
  <c r="H10" i="3" s="1"/>
  <c r="G9" i="3"/>
  <c r="H9" i="3" s="1"/>
  <c r="G8" i="3"/>
  <c r="H8" i="3" s="1"/>
  <c r="G7" i="3"/>
  <c r="H7" i="3" s="1"/>
  <c r="G6" i="3"/>
  <c r="H6" i="3" s="1"/>
  <c r="G5" i="3"/>
  <c r="H5" i="3" s="1"/>
  <c r="G4" i="3"/>
  <c r="H4" i="3" s="1"/>
  <c r="G3" i="3"/>
  <c r="H3" i="3" s="1"/>
  <c r="G2" i="3"/>
  <c r="G3662" i="3" l="1"/>
  <c r="F3668" i="3" s="1"/>
  <c r="H3662" i="3"/>
  <c r="H3374" i="2" l="1"/>
  <c r="H3424" i="2" l="1"/>
  <c r="H3133" i="2" l="1"/>
  <c r="H3028" i="2"/>
  <c r="H2372" i="2"/>
  <c r="H2756" i="2" l="1"/>
  <c r="H3357" i="2" l="1"/>
  <c r="H2856" i="2"/>
  <c r="H1851" i="2"/>
  <c r="H3299" i="2" l="1"/>
  <c r="H1098" i="2"/>
  <c r="H1063" i="2"/>
  <c r="H930" i="2"/>
  <c r="H750" i="2"/>
  <c r="G3048" i="1"/>
  <c r="G2834" i="1"/>
  <c r="H2737" i="2" l="1"/>
  <c r="H1856" i="2"/>
  <c r="H1767" i="2"/>
  <c r="H3353" i="2" l="1"/>
  <c r="H1927" i="2"/>
  <c r="H3261" i="2" l="1"/>
  <c r="H3116" i="2"/>
  <c r="H3050" i="2"/>
  <c r="H3047" i="2"/>
  <c r="H3038" i="2"/>
  <c r="H3364" i="2"/>
  <c r="H3283" i="2"/>
  <c r="H3148" i="2"/>
  <c r="F3451" i="2" l="1"/>
  <c r="I3450" i="2"/>
  <c r="I3449" i="2"/>
  <c r="I3448" i="2"/>
  <c r="I3447" i="2"/>
  <c r="I3446" i="2"/>
  <c r="H3445" i="2"/>
  <c r="I3445" i="2" s="1"/>
  <c r="H3444" i="2"/>
  <c r="I3444" i="2" s="1"/>
  <c r="H3443" i="2"/>
  <c r="I3443" i="2" s="1"/>
  <c r="H3442" i="2"/>
  <c r="I3442" i="2" s="1"/>
  <c r="H3441" i="2"/>
  <c r="I3441" i="2" s="1"/>
  <c r="H3440" i="2"/>
  <c r="I3440" i="2" s="1"/>
  <c r="H3439" i="2"/>
  <c r="I3439" i="2" s="1"/>
  <c r="H3438" i="2"/>
  <c r="I3438" i="2" s="1"/>
  <c r="H3437" i="2"/>
  <c r="I3437" i="2" s="1"/>
  <c r="H3436" i="2"/>
  <c r="I3436" i="2" s="1"/>
  <c r="H3435" i="2"/>
  <c r="I3435" i="2" s="1"/>
  <c r="H3434" i="2"/>
  <c r="I3434" i="2" s="1"/>
  <c r="H3433" i="2"/>
  <c r="I3433" i="2" s="1"/>
  <c r="H3432" i="2"/>
  <c r="I3432" i="2" s="1"/>
  <c r="H3431" i="2"/>
  <c r="I3431" i="2" s="1"/>
  <c r="H3430" i="2"/>
  <c r="I3430" i="2" s="1"/>
  <c r="H3429" i="2"/>
  <c r="I3429" i="2" s="1"/>
  <c r="H3428" i="2"/>
  <c r="I3428" i="2" s="1"/>
  <c r="H3427" i="2"/>
  <c r="I3427" i="2" s="1"/>
  <c r="H3426" i="2"/>
  <c r="I3426" i="2" s="1"/>
  <c r="H3425" i="2"/>
  <c r="I3425" i="2" s="1"/>
  <c r="I3424" i="2"/>
  <c r="H3423" i="2"/>
  <c r="I3423" i="2" s="1"/>
  <c r="H3422" i="2"/>
  <c r="I3422" i="2" s="1"/>
  <c r="H3421" i="2"/>
  <c r="I3421" i="2" s="1"/>
  <c r="H3420" i="2"/>
  <c r="I3420" i="2" s="1"/>
  <c r="H3419" i="2"/>
  <c r="I3419" i="2" s="1"/>
  <c r="H3418" i="2"/>
  <c r="I3418" i="2" s="1"/>
  <c r="H3417" i="2"/>
  <c r="I3417" i="2" s="1"/>
  <c r="H3416" i="2"/>
  <c r="I3416" i="2" s="1"/>
  <c r="H3415" i="2"/>
  <c r="I3415" i="2" s="1"/>
  <c r="H3414" i="2"/>
  <c r="I3414" i="2" s="1"/>
  <c r="H3413" i="2"/>
  <c r="I3413" i="2" s="1"/>
  <c r="H3412" i="2"/>
  <c r="I3412" i="2" s="1"/>
  <c r="H3411" i="2"/>
  <c r="I3411" i="2" s="1"/>
  <c r="H3410" i="2"/>
  <c r="I3410" i="2" s="1"/>
  <c r="H3409" i="2"/>
  <c r="I3409" i="2" s="1"/>
  <c r="H3408" i="2"/>
  <c r="I3408" i="2" s="1"/>
  <c r="H3407" i="2"/>
  <c r="I3407" i="2" s="1"/>
  <c r="H3406" i="2"/>
  <c r="I3406" i="2" s="1"/>
  <c r="H3405" i="2"/>
  <c r="I3405" i="2" s="1"/>
  <c r="H3404" i="2"/>
  <c r="I3404" i="2" s="1"/>
  <c r="H3403" i="2"/>
  <c r="I3403" i="2" s="1"/>
  <c r="H3402" i="2"/>
  <c r="I3402" i="2" s="1"/>
  <c r="H3401" i="2"/>
  <c r="I3401" i="2" s="1"/>
  <c r="H3400" i="2"/>
  <c r="I3400" i="2" s="1"/>
  <c r="H3399" i="2"/>
  <c r="I3399" i="2" s="1"/>
  <c r="H3398" i="2"/>
  <c r="I3398" i="2" s="1"/>
  <c r="H3397" i="2"/>
  <c r="I3397" i="2" s="1"/>
  <c r="H3396" i="2"/>
  <c r="I3396" i="2" s="1"/>
  <c r="H3395" i="2"/>
  <c r="I3395" i="2" s="1"/>
  <c r="H3394" i="2"/>
  <c r="I3394" i="2" s="1"/>
  <c r="H3393" i="2"/>
  <c r="I3393" i="2" s="1"/>
  <c r="H3392" i="2"/>
  <c r="I3392" i="2" s="1"/>
  <c r="H3391" i="2"/>
  <c r="I3391" i="2" s="1"/>
  <c r="H3390" i="2"/>
  <c r="I3390" i="2" s="1"/>
  <c r="H3389" i="2"/>
  <c r="I3389" i="2" s="1"/>
  <c r="H3388" i="2"/>
  <c r="I3388" i="2" s="1"/>
  <c r="H3387" i="2"/>
  <c r="I3387" i="2" s="1"/>
  <c r="H3386" i="2"/>
  <c r="I3386" i="2" s="1"/>
  <c r="H3385" i="2"/>
  <c r="I3385" i="2" s="1"/>
  <c r="H3384" i="2"/>
  <c r="I3384" i="2" s="1"/>
  <c r="H3383" i="2"/>
  <c r="I3383" i="2" s="1"/>
  <c r="H3382" i="2"/>
  <c r="I3382" i="2" s="1"/>
  <c r="H3381" i="2"/>
  <c r="I3381" i="2" s="1"/>
  <c r="H3380" i="2"/>
  <c r="I3380" i="2" s="1"/>
  <c r="H3379" i="2"/>
  <c r="I3379" i="2" s="1"/>
  <c r="H3378" i="2"/>
  <c r="I3378" i="2" s="1"/>
  <c r="H3377" i="2"/>
  <c r="I3377" i="2" s="1"/>
  <c r="H3376" i="2"/>
  <c r="I3376" i="2" s="1"/>
  <c r="H3375" i="2"/>
  <c r="I3375" i="2" s="1"/>
  <c r="I3374" i="2"/>
  <c r="H3373" i="2"/>
  <c r="I3373" i="2" s="1"/>
  <c r="H3372" i="2"/>
  <c r="I3372" i="2" s="1"/>
  <c r="H3371" i="2"/>
  <c r="I3371" i="2" s="1"/>
  <c r="H3370" i="2"/>
  <c r="I3370" i="2" s="1"/>
  <c r="H3369" i="2"/>
  <c r="I3369" i="2" s="1"/>
  <c r="H3368" i="2"/>
  <c r="I3368" i="2" s="1"/>
  <c r="H3367" i="2"/>
  <c r="I3367" i="2" s="1"/>
  <c r="H3366" i="2"/>
  <c r="I3366" i="2" s="1"/>
  <c r="H3365" i="2"/>
  <c r="I3365" i="2" s="1"/>
  <c r="I3364" i="2"/>
  <c r="H3363" i="2"/>
  <c r="I3363" i="2" s="1"/>
  <c r="H3362" i="2"/>
  <c r="I3362" i="2" s="1"/>
  <c r="H3361" i="2"/>
  <c r="I3361" i="2" s="1"/>
  <c r="H3360" i="2"/>
  <c r="I3360" i="2" s="1"/>
  <c r="H3359" i="2"/>
  <c r="I3359" i="2" s="1"/>
  <c r="H3358" i="2"/>
  <c r="I3358" i="2" s="1"/>
  <c r="I3357" i="2"/>
  <c r="H3356" i="2"/>
  <c r="I3356" i="2" s="1"/>
  <c r="H3355" i="2"/>
  <c r="I3355" i="2" s="1"/>
  <c r="H3354" i="2"/>
  <c r="I3354" i="2" s="1"/>
  <c r="I3353" i="2"/>
  <c r="H3352" i="2"/>
  <c r="I3352" i="2" s="1"/>
  <c r="H3351" i="2"/>
  <c r="I3351" i="2" s="1"/>
  <c r="H3350" i="2"/>
  <c r="I3350" i="2" s="1"/>
  <c r="H3349" i="2"/>
  <c r="I3349" i="2" s="1"/>
  <c r="H3348" i="2"/>
  <c r="I3348" i="2" s="1"/>
  <c r="H3347" i="2"/>
  <c r="I3347" i="2" s="1"/>
  <c r="H3346" i="2"/>
  <c r="I3346" i="2" s="1"/>
  <c r="H3345" i="2"/>
  <c r="I3345" i="2" s="1"/>
  <c r="H3344" i="2"/>
  <c r="I3344" i="2" s="1"/>
  <c r="H3343" i="2"/>
  <c r="I3343" i="2" s="1"/>
  <c r="H3342" i="2"/>
  <c r="I3342" i="2" s="1"/>
  <c r="H3341" i="2"/>
  <c r="I3341" i="2" s="1"/>
  <c r="H3340" i="2"/>
  <c r="I3340" i="2" s="1"/>
  <c r="H3339" i="2"/>
  <c r="I3339" i="2" s="1"/>
  <c r="H3338" i="2"/>
  <c r="I3338" i="2" s="1"/>
  <c r="H3337" i="2"/>
  <c r="I3337" i="2" s="1"/>
  <c r="H3336" i="2"/>
  <c r="I3336" i="2" s="1"/>
  <c r="H3335" i="2"/>
  <c r="I3335" i="2" s="1"/>
  <c r="H3334" i="2"/>
  <c r="I3334" i="2" s="1"/>
  <c r="H3333" i="2"/>
  <c r="I3333" i="2" s="1"/>
  <c r="H3332" i="2"/>
  <c r="I3332" i="2" s="1"/>
  <c r="H3331" i="2"/>
  <c r="I3331" i="2" s="1"/>
  <c r="H3330" i="2"/>
  <c r="I3330" i="2" s="1"/>
  <c r="H3329" i="2"/>
  <c r="I3329" i="2" s="1"/>
  <c r="H3328" i="2"/>
  <c r="I3328" i="2" s="1"/>
  <c r="H3327" i="2"/>
  <c r="I3327" i="2" s="1"/>
  <c r="H3326" i="2"/>
  <c r="I3326" i="2" s="1"/>
  <c r="H3325" i="2"/>
  <c r="I3325" i="2" s="1"/>
  <c r="H3324" i="2"/>
  <c r="I3324" i="2" s="1"/>
  <c r="H3323" i="2"/>
  <c r="I3323" i="2" s="1"/>
  <c r="H3322" i="2"/>
  <c r="I3322" i="2" s="1"/>
  <c r="I3321" i="2"/>
  <c r="H3320" i="2"/>
  <c r="I3320" i="2" s="1"/>
  <c r="H3319" i="2"/>
  <c r="I3319" i="2" s="1"/>
  <c r="H3318" i="2"/>
  <c r="I3318" i="2" s="1"/>
  <c r="H3317" i="2"/>
  <c r="I3317" i="2" s="1"/>
  <c r="H3316" i="2"/>
  <c r="I3316" i="2" s="1"/>
  <c r="H3315" i="2"/>
  <c r="I3315" i="2" s="1"/>
  <c r="H3314" i="2"/>
  <c r="I3314" i="2" s="1"/>
  <c r="H3313" i="2"/>
  <c r="I3313" i="2" s="1"/>
  <c r="H3312" i="2"/>
  <c r="I3312" i="2" s="1"/>
  <c r="H3311" i="2"/>
  <c r="I3311" i="2" s="1"/>
  <c r="H3310" i="2"/>
  <c r="I3310" i="2" s="1"/>
  <c r="H3309" i="2"/>
  <c r="I3309" i="2" s="1"/>
  <c r="H3308" i="2"/>
  <c r="I3308" i="2" s="1"/>
  <c r="H3307" i="2"/>
  <c r="I3307" i="2" s="1"/>
  <c r="H3306" i="2"/>
  <c r="I3306" i="2" s="1"/>
  <c r="H3305" i="2"/>
  <c r="I3305" i="2" s="1"/>
  <c r="H3304" i="2"/>
  <c r="I3304" i="2" s="1"/>
  <c r="H3303" i="2"/>
  <c r="I3303" i="2" s="1"/>
  <c r="H3302" i="2"/>
  <c r="I3302" i="2" s="1"/>
  <c r="H3301" i="2"/>
  <c r="I3301" i="2" s="1"/>
  <c r="H3300" i="2"/>
  <c r="I3300" i="2" s="1"/>
  <c r="I3299" i="2"/>
  <c r="H3298" i="2"/>
  <c r="I3298" i="2" s="1"/>
  <c r="H3297" i="2"/>
  <c r="I3297" i="2" s="1"/>
  <c r="H3296" i="2"/>
  <c r="I3296" i="2" s="1"/>
  <c r="H3295" i="2"/>
  <c r="I3295" i="2" s="1"/>
  <c r="H3294" i="2"/>
  <c r="I3294" i="2" s="1"/>
  <c r="H3293" i="2"/>
  <c r="I3293" i="2" s="1"/>
  <c r="H3292" i="2"/>
  <c r="I3292" i="2" s="1"/>
  <c r="H3291" i="2"/>
  <c r="I3291" i="2" s="1"/>
  <c r="H3290" i="2"/>
  <c r="I3290" i="2" s="1"/>
  <c r="H3289" i="2"/>
  <c r="I3289" i="2" s="1"/>
  <c r="H3288" i="2"/>
  <c r="I3288" i="2" s="1"/>
  <c r="H3287" i="2"/>
  <c r="I3287" i="2" s="1"/>
  <c r="H3286" i="2"/>
  <c r="I3286" i="2" s="1"/>
  <c r="H3285" i="2"/>
  <c r="I3285" i="2" s="1"/>
  <c r="H3284" i="2"/>
  <c r="I3284" i="2" s="1"/>
  <c r="I3283" i="2"/>
  <c r="H3282" i="2"/>
  <c r="I3282" i="2" s="1"/>
  <c r="H3281" i="2"/>
  <c r="I3281" i="2" s="1"/>
  <c r="H3280" i="2"/>
  <c r="I3280" i="2" s="1"/>
  <c r="H3279" i="2"/>
  <c r="I3279" i="2" s="1"/>
  <c r="H3278" i="2"/>
  <c r="I3278" i="2" s="1"/>
  <c r="H3277" i="2"/>
  <c r="I3277" i="2" s="1"/>
  <c r="H3276" i="2"/>
  <c r="I3276" i="2" s="1"/>
  <c r="H3275" i="2"/>
  <c r="I3275" i="2" s="1"/>
  <c r="H3274" i="2"/>
  <c r="I3274" i="2" s="1"/>
  <c r="H3273" i="2"/>
  <c r="I3273" i="2" s="1"/>
  <c r="H3272" i="2"/>
  <c r="I3272" i="2" s="1"/>
  <c r="H3271" i="2"/>
  <c r="I3271" i="2" s="1"/>
  <c r="H3270" i="2"/>
  <c r="I3270" i="2" s="1"/>
  <c r="H3269" i="2"/>
  <c r="I3269" i="2" s="1"/>
  <c r="H3268" i="2"/>
  <c r="I3268" i="2" s="1"/>
  <c r="H3267" i="2"/>
  <c r="I3267" i="2" s="1"/>
  <c r="H3266" i="2"/>
  <c r="I3266" i="2" s="1"/>
  <c r="H3265" i="2"/>
  <c r="I3265" i="2" s="1"/>
  <c r="H3264" i="2"/>
  <c r="I3264" i="2" s="1"/>
  <c r="H3263" i="2"/>
  <c r="I3263" i="2" s="1"/>
  <c r="H3262" i="2"/>
  <c r="I3262" i="2" s="1"/>
  <c r="I3261" i="2"/>
  <c r="H3260" i="2"/>
  <c r="I3260" i="2" s="1"/>
  <c r="H3259" i="2"/>
  <c r="I3259" i="2" s="1"/>
  <c r="H3258" i="2"/>
  <c r="I3258" i="2" s="1"/>
  <c r="H3257" i="2"/>
  <c r="I3257" i="2" s="1"/>
  <c r="I3256" i="2"/>
  <c r="H3256" i="2"/>
  <c r="H3255" i="2"/>
  <c r="I3255" i="2" s="1"/>
  <c r="H3254" i="2"/>
  <c r="I3254" i="2" s="1"/>
  <c r="H3253" i="2"/>
  <c r="I3253" i="2" s="1"/>
  <c r="H3252" i="2"/>
  <c r="I3252" i="2" s="1"/>
  <c r="H3251" i="2"/>
  <c r="I3251" i="2" s="1"/>
  <c r="H3250" i="2"/>
  <c r="I3250" i="2" s="1"/>
  <c r="H3249" i="2"/>
  <c r="I3249" i="2" s="1"/>
  <c r="H3248" i="2"/>
  <c r="I3248" i="2" s="1"/>
  <c r="H3247" i="2"/>
  <c r="I3247" i="2" s="1"/>
  <c r="H3246" i="2"/>
  <c r="I3246" i="2" s="1"/>
  <c r="H3245" i="2"/>
  <c r="I3245" i="2" s="1"/>
  <c r="H3244" i="2"/>
  <c r="I3244" i="2" s="1"/>
  <c r="H3243" i="2"/>
  <c r="I3243" i="2" s="1"/>
  <c r="H3242" i="2"/>
  <c r="I3242" i="2" s="1"/>
  <c r="H3241" i="2"/>
  <c r="I3241" i="2" s="1"/>
  <c r="H3240" i="2"/>
  <c r="I3240" i="2" s="1"/>
  <c r="H3239" i="2"/>
  <c r="I3239" i="2" s="1"/>
  <c r="H3238" i="2"/>
  <c r="I3238" i="2" s="1"/>
  <c r="H3237" i="2"/>
  <c r="I3237" i="2" s="1"/>
  <c r="H3236" i="2"/>
  <c r="I3236" i="2" s="1"/>
  <c r="H3235" i="2"/>
  <c r="I3235" i="2" s="1"/>
  <c r="H3234" i="2"/>
  <c r="I3234" i="2" s="1"/>
  <c r="H3233" i="2"/>
  <c r="I3233" i="2" s="1"/>
  <c r="H3232" i="2"/>
  <c r="I3232" i="2" s="1"/>
  <c r="H3231" i="2"/>
  <c r="I3231" i="2" s="1"/>
  <c r="H3230" i="2"/>
  <c r="I3230" i="2" s="1"/>
  <c r="H3229" i="2"/>
  <c r="I3229" i="2" s="1"/>
  <c r="H3228" i="2"/>
  <c r="I3228" i="2" s="1"/>
  <c r="H3227" i="2"/>
  <c r="I3227" i="2" s="1"/>
  <c r="H3226" i="2"/>
  <c r="I3226" i="2" s="1"/>
  <c r="H3225" i="2"/>
  <c r="I3225" i="2" s="1"/>
  <c r="H3224" i="2"/>
  <c r="I3224" i="2" s="1"/>
  <c r="H3223" i="2"/>
  <c r="I3223" i="2" s="1"/>
  <c r="H3222" i="2"/>
  <c r="I3222" i="2" s="1"/>
  <c r="H3221" i="2"/>
  <c r="I3221" i="2" s="1"/>
  <c r="H3220" i="2"/>
  <c r="I3220" i="2" s="1"/>
  <c r="H3219" i="2"/>
  <c r="I3219" i="2" s="1"/>
  <c r="H3218" i="2"/>
  <c r="I3218" i="2" s="1"/>
  <c r="H3217" i="2"/>
  <c r="I3217" i="2" s="1"/>
  <c r="H3216" i="2"/>
  <c r="I3216" i="2" s="1"/>
  <c r="H3215" i="2"/>
  <c r="I3215" i="2" s="1"/>
  <c r="H3214" i="2"/>
  <c r="I3214" i="2" s="1"/>
  <c r="H3213" i="2"/>
  <c r="I3213" i="2" s="1"/>
  <c r="H3212" i="2"/>
  <c r="I3212" i="2" s="1"/>
  <c r="H3211" i="2"/>
  <c r="I3211" i="2" s="1"/>
  <c r="H3210" i="2"/>
  <c r="I3210" i="2" s="1"/>
  <c r="H3209" i="2"/>
  <c r="I3209" i="2" s="1"/>
  <c r="H3208" i="2"/>
  <c r="I3208" i="2" s="1"/>
  <c r="H3207" i="2"/>
  <c r="I3207" i="2" s="1"/>
  <c r="H3206" i="2"/>
  <c r="I3206" i="2" s="1"/>
  <c r="H3205" i="2"/>
  <c r="I3205" i="2" s="1"/>
  <c r="H3204" i="2"/>
  <c r="I3204" i="2" s="1"/>
  <c r="H3203" i="2"/>
  <c r="I3203" i="2" s="1"/>
  <c r="H3202" i="2"/>
  <c r="I3202" i="2" s="1"/>
  <c r="H3201" i="2"/>
  <c r="I3201" i="2" s="1"/>
  <c r="H3200" i="2"/>
  <c r="I3200" i="2" s="1"/>
  <c r="H3199" i="2"/>
  <c r="I3199" i="2" s="1"/>
  <c r="H3198" i="2"/>
  <c r="I3198" i="2" s="1"/>
  <c r="H3197" i="2"/>
  <c r="I3197" i="2" s="1"/>
  <c r="H3196" i="2"/>
  <c r="I3196" i="2" s="1"/>
  <c r="H3195" i="2"/>
  <c r="I3195" i="2" s="1"/>
  <c r="H3194" i="2"/>
  <c r="I3194" i="2" s="1"/>
  <c r="H3193" i="2"/>
  <c r="I3193" i="2" s="1"/>
  <c r="H3192" i="2"/>
  <c r="I3192" i="2" s="1"/>
  <c r="H3191" i="2"/>
  <c r="I3191" i="2" s="1"/>
  <c r="H3190" i="2"/>
  <c r="I3190" i="2" s="1"/>
  <c r="H3189" i="2"/>
  <c r="I3189" i="2" s="1"/>
  <c r="H3188" i="2"/>
  <c r="I3188" i="2" s="1"/>
  <c r="H3187" i="2"/>
  <c r="I3187" i="2" s="1"/>
  <c r="H3186" i="2"/>
  <c r="I3186" i="2" s="1"/>
  <c r="H3185" i="2"/>
  <c r="I3185" i="2" s="1"/>
  <c r="H3184" i="2"/>
  <c r="I3184" i="2" s="1"/>
  <c r="H3183" i="2"/>
  <c r="I3183" i="2" s="1"/>
  <c r="H3182" i="2"/>
  <c r="I3182" i="2" s="1"/>
  <c r="H3181" i="2"/>
  <c r="I3181" i="2" s="1"/>
  <c r="H3180" i="2"/>
  <c r="I3180" i="2" s="1"/>
  <c r="H3179" i="2"/>
  <c r="I3179" i="2" s="1"/>
  <c r="I3178" i="2"/>
  <c r="H3178" i="2"/>
  <c r="H3177" i="2"/>
  <c r="I3177" i="2" s="1"/>
  <c r="H3176" i="2"/>
  <c r="I3176" i="2" s="1"/>
  <c r="H3175" i="2"/>
  <c r="I3175" i="2" s="1"/>
  <c r="H3174" i="2"/>
  <c r="I3174" i="2" s="1"/>
  <c r="H3173" i="2"/>
  <c r="I3173" i="2" s="1"/>
  <c r="H3172" i="2"/>
  <c r="I3172" i="2" s="1"/>
  <c r="H3171" i="2"/>
  <c r="I3171" i="2" s="1"/>
  <c r="H3170" i="2"/>
  <c r="I3170" i="2" s="1"/>
  <c r="H3169" i="2"/>
  <c r="I3169" i="2" s="1"/>
  <c r="H3168" i="2"/>
  <c r="I3168" i="2" s="1"/>
  <c r="H3167" i="2"/>
  <c r="I3167" i="2" s="1"/>
  <c r="H3166" i="2"/>
  <c r="I3166" i="2" s="1"/>
  <c r="H3165" i="2"/>
  <c r="I3165" i="2" s="1"/>
  <c r="H3164" i="2"/>
  <c r="I3164" i="2" s="1"/>
  <c r="H3163" i="2"/>
  <c r="I3163" i="2" s="1"/>
  <c r="H3162" i="2"/>
  <c r="I3162" i="2" s="1"/>
  <c r="H3161" i="2"/>
  <c r="I3161" i="2" s="1"/>
  <c r="H3160" i="2"/>
  <c r="I3160" i="2" s="1"/>
  <c r="H3159" i="2"/>
  <c r="I3159" i="2" s="1"/>
  <c r="H3158" i="2"/>
  <c r="I3158" i="2" s="1"/>
  <c r="H3157" i="2"/>
  <c r="I3157" i="2" s="1"/>
  <c r="H3156" i="2"/>
  <c r="I3156" i="2" s="1"/>
  <c r="H3155" i="2"/>
  <c r="I3155" i="2" s="1"/>
  <c r="H3154" i="2"/>
  <c r="I3154" i="2" s="1"/>
  <c r="H3153" i="2"/>
  <c r="I3153" i="2" s="1"/>
  <c r="H3152" i="2"/>
  <c r="I3152" i="2" s="1"/>
  <c r="H3151" i="2"/>
  <c r="I3151" i="2" s="1"/>
  <c r="H3150" i="2"/>
  <c r="I3150" i="2" s="1"/>
  <c r="H3149" i="2"/>
  <c r="I3149" i="2" s="1"/>
  <c r="I3148" i="2"/>
  <c r="H3147" i="2"/>
  <c r="I3147" i="2" s="1"/>
  <c r="H3146" i="2"/>
  <c r="I3146" i="2" s="1"/>
  <c r="H3145" i="2"/>
  <c r="I3145" i="2" s="1"/>
  <c r="H3144" i="2"/>
  <c r="I3144" i="2" s="1"/>
  <c r="H3143" i="2"/>
  <c r="I3143" i="2" s="1"/>
  <c r="H3142" i="2"/>
  <c r="I3142" i="2" s="1"/>
  <c r="H3141" i="2"/>
  <c r="I3141" i="2" s="1"/>
  <c r="H3140" i="2"/>
  <c r="I3140" i="2" s="1"/>
  <c r="H3139" i="2"/>
  <c r="I3139" i="2" s="1"/>
  <c r="H3138" i="2"/>
  <c r="I3138" i="2" s="1"/>
  <c r="H3137" i="2"/>
  <c r="I3137" i="2" s="1"/>
  <c r="H3136" i="2"/>
  <c r="I3136" i="2" s="1"/>
  <c r="H3135" i="2"/>
  <c r="I3135" i="2" s="1"/>
  <c r="H3134" i="2"/>
  <c r="I3134" i="2" s="1"/>
  <c r="I3133" i="2"/>
  <c r="H3132" i="2"/>
  <c r="I3132" i="2" s="1"/>
  <c r="H3131" i="2"/>
  <c r="I3131" i="2" s="1"/>
  <c r="H3130" i="2"/>
  <c r="I3130" i="2" s="1"/>
  <c r="H3129" i="2"/>
  <c r="I3129" i="2" s="1"/>
  <c r="H3128" i="2"/>
  <c r="I3128" i="2" s="1"/>
  <c r="H3127" i="2"/>
  <c r="I3127" i="2" s="1"/>
  <c r="H3126" i="2"/>
  <c r="I3126" i="2" s="1"/>
  <c r="H3125" i="2"/>
  <c r="I3125" i="2" s="1"/>
  <c r="H3124" i="2"/>
  <c r="I3124" i="2" s="1"/>
  <c r="H3123" i="2"/>
  <c r="I3123" i="2" s="1"/>
  <c r="H3122" i="2"/>
  <c r="I3122" i="2" s="1"/>
  <c r="H3121" i="2"/>
  <c r="I3121" i="2" s="1"/>
  <c r="H3120" i="2"/>
  <c r="I3120" i="2" s="1"/>
  <c r="H3119" i="2"/>
  <c r="I3119" i="2" s="1"/>
  <c r="H3118" i="2"/>
  <c r="I3118" i="2" s="1"/>
  <c r="H3117" i="2"/>
  <c r="I3117" i="2" s="1"/>
  <c r="I3116" i="2"/>
  <c r="H3115" i="2"/>
  <c r="I3115" i="2" s="1"/>
  <c r="H3114" i="2"/>
  <c r="I3114" i="2" s="1"/>
  <c r="H3113" i="2"/>
  <c r="I3113" i="2" s="1"/>
  <c r="H3112" i="2"/>
  <c r="I3112" i="2" s="1"/>
  <c r="H3111" i="2"/>
  <c r="I3111" i="2" s="1"/>
  <c r="H3110" i="2"/>
  <c r="I3110" i="2" s="1"/>
  <c r="H3109" i="2"/>
  <c r="I3109" i="2" s="1"/>
  <c r="H3108" i="2"/>
  <c r="I3108" i="2" s="1"/>
  <c r="H3107" i="2"/>
  <c r="I3107" i="2" s="1"/>
  <c r="H3106" i="2"/>
  <c r="I3106" i="2" s="1"/>
  <c r="H3105" i="2"/>
  <c r="I3105" i="2" s="1"/>
  <c r="H3104" i="2"/>
  <c r="I3104" i="2" s="1"/>
  <c r="H3103" i="2"/>
  <c r="I3103" i="2" s="1"/>
  <c r="H3102" i="2"/>
  <c r="I3102" i="2" s="1"/>
  <c r="H3101" i="2"/>
  <c r="I3101" i="2" s="1"/>
  <c r="H3100" i="2"/>
  <c r="I3100" i="2" s="1"/>
  <c r="H3099" i="2"/>
  <c r="I3099" i="2" s="1"/>
  <c r="H3098" i="2"/>
  <c r="I3098" i="2" s="1"/>
  <c r="H3097" i="2"/>
  <c r="I3097" i="2" s="1"/>
  <c r="H3096" i="2"/>
  <c r="I3096" i="2" s="1"/>
  <c r="H3095" i="2"/>
  <c r="I3095" i="2" s="1"/>
  <c r="H3094" i="2"/>
  <c r="I3094" i="2" s="1"/>
  <c r="H3093" i="2"/>
  <c r="I3093" i="2" s="1"/>
  <c r="H3092" i="2"/>
  <c r="I3092" i="2" s="1"/>
  <c r="H3091" i="2"/>
  <c r="I3091" i="2" s="1"/>
  <c r="H3090" i="2"/>
  <c r="I3090" i="2" s="1"/>
  <c r="I3089" i="2"/>
  <c r="H3089" i="2"/>
  <c r="H3088" i="2"/>
  <c r="I3088" i="2" s="1"/>
  <c r="H3087" i="2"/>
  <c r="I3087" i="2" s="1"/>
  <c r="I3086" i="2"/>
  <c r="H3086" i="2"/>
  <c r="H3085" i="2"/>
  <c r="I3085" i="2" s="1"/>
  <c r="H3084" i="2"/>
  <c r="I3084" i="2" s="1"/>
  <c r="H3083" i="2"/>
  <c r="I3083" i="2" s="1"/>
  <c r="H3082" i="2"/>
  <c r="I3082" i="2" s="1"/>
  <c r="H3081" i="2"/>
  <c r="I3081" i="2" s="1"/>
  <c r="H3080" i="2"/>
  <c r="I3080" i="2" s="1"/>
  <c r="H3079" i="2"/>
  <c r="I3079" i="2" s="1"/>
  <c r="H3078" i="2"/>
  <c r="I3078" i="2" s="1"/>
  <c r="H3077" i="2"/>
  <c r="I3077" i="2" s="1"/>
  <c r="H3076" i="2"/>
  <c r="I3076" i="2" s="1"/>
  <c r="H3075" i="2"/>
  <c r="I3075" i="2" s="1"/>
  <c r="H3074" i="2"/>
  <c r="I3074" i="2" s="1"/>
  <c r="H3073" i="2"/>
  <c r="I3073" i="2" s="1"/>
  <c r="H3072" i="2"/>
  <c r="I3072" i="2" s="1"/>
  <c r="H3071" i="2"/>
  <c r="I3071" i="2" s="1"/>
  <c r="H3070" i="2"/>
  <c r="I3070" i="2" s="1"/>
  <c r="H3069" i="2"/>
  <c r="I3069" i="2" s="1"/>
  <c r="H3068" i="2"/>
  <c r="I3068" i="2" s="1"/>
  <c r="H3067" i="2"/>
  <c r="I3067" i="2" s="1"/>
  <c r="H3066" i="2"/>
  <c r="I3066" i="2" s="1"/>
  <c r="H3065" i="2"/>
  <c r="I3065" i="2" s="1"/>
  <c r="H3064" i="2"/>
  <c r="I3064" i="2" s="1"/>
  <c r="H3063" i="2"/>
  <c r="I3063" i="2" s="1"/>
  <c r="H3062" i="2"/>
  <c r="I3062" i="2" s="1"/>
  <c r="H3061" i="2"/>
  <c r="I3061" i="2" s="1"/>
  <c r="H3060" i="2"/>
  <c r="I3060" i="2" s="1"/>
  <c r="H3059" i="2"/>
  <c r="I3059" i="2" s="1"/>
  <c r="H3058" i="2"/>
  <c r="I3058" i="2" s="1"/>
  <c r="H3057" i="2"/>
  <c r="I3057" i="2" s="1"/>
  <c r="I3056" i="2"/>
  <c r="H3056" i="2"/>
  <c r="H3055" i="2"/>
  <c r="I3055" i="2" s="1"/>
  <c r="H3054" i="2"/>
  <c r="I3054" i="2" s="1"/>
  <c r="H3053" i="2"/>
  <c r="I3053" i="2" s="1"/>
  <c r="H3052" i="2"/>
  <c r="I3052" i="2" s="1"/>
  <c r="H3051" i="2"/>
  <c r="I3051" i="2" s="1"/>
  <c r="I3050" i="2"/>
  <c r="H3049" i="2"/>
  <c r="I3049" i="2" s="1"/>
  <c r="H3048" i="2"/>
  <c r="I3048" i="2" s="1"/>
  <c r="I3047" i="2"/>
  <c r="H3046" i="2"/>
  <c r="I3046" i="2" s="1"/>
  <c r="H3045" i="2"/>
  <c r="I3045" i="2" s="1"/>
  <c r="H3044" i="2"/>
  <c r="I3044" i="2" s="1"/>
  <c r="H3043" i="2"/>
  <c r="I3043" i="2" s="1"/>
  <c r="H3042" i="2"/>
  <c r="I3042" i="2" s="1"/>
  <c r="H3041" i="2"/>
  <c r="I3041" i="2" s="1"/>
  <c r="H3040" i="2"/>
  <c r="I3040" i="2" s="1"/>
  <c r="H3039" i="2"/>
  <c r="I3039" i="2" s="1"/>
  <c r="I3038" i="2"/>
  <c r="H3037" i="2"/>
  <c r="I3037" i="2" s="1"/>
  <c r="H3036" i="2"/>
  <c r="I3036" i="2" s="1"/>
  <c r="H3035" i="2"/>
  <c r="I3035" i="2" s="1"/>
  <c r="H3034" i="2"/>
  <c r="I3034" i="2" s="1"/>
  <c r="H3033" i="2"/>
  <c r="I3033" i="2" s="1"/>
  <c r="H3032" i="2"/>
  <c r="I3032" i="2" s="1"/>
  <c r="H3031" i="2"/>
  <c r="I3031" i="2" s="1"/>
  <c r="H3030" i="2"/>
  <c r="I3030" i="2" s="1"/>
  <c r="H3029" i="2"/>
  <c r="I3029" i="2" s="1"/>
  <c r="I3028" i="2"/>
  <c r="H3027" i="2"/>
  <c r="I3027" i="2" s="1"/>
  <c r="H3026" i="2"/>
  <c r="I3026" i="2" s="1"/>
  <c r="H3025" i="2"/>
  <c r="I3025" i="2" s="1"/>
  <c r="H3024" i="2"/>
  <c r="I3024" i="2" s="1"/>
  <c r="H3023" i="2"/>
  <c r="I3023" i="2" s="1"/>
  <c r="H3022" i="2"/>
  <c r="I3022" i="2" s="1"/>
  <c r="H3021" i="2"/>
  <c r="I3021" i="2" s="1"/>
  <c r="H3020" i="2"/>
  <c r="I3020" i="2" s="1"/>
  <c r="H3019" i="2"/>
  <c r="I3019" i="2" s="1"/>
  <c r="H3018" i="2"/>
  <c r="I3018" i="2" s="1"/>
  <c r="H3017" i="2"/>
  <c r="I3017" i="2" s="1"/>
  <c r="H3016" i="2"/>
  <c r="I3016" i="2" s="1"/>
  <c r="H3015" i="2"/>
  <c r="I3015" i="2" s="1"/>
  <c r="H3014" i="2"/>
  <c r="I3014" i="2" s="1"/>
  <c r="H3013" i="2"/>
  <c r="I3013" i="2" s="1"/>
  <c r="H3012" i="2"/>
  <c r="I3012" i="2" s="1"/>
  <c r="H3011" i="2"/>
  <c r="I3011" i="2" s="1"/>
  <c r="H3010" i="2"/>
  <c r="I3010" i="2" s="1"/>
  <c r="H3009" i="2"/>
  <c r="I3009" i="2" s="1"/>
  <c r="H3008" i="2"/>
  <c r="I3008" i="2" s="1"/>
  <c r="H3007" i="2"/>
  <c r="I3007" i="2" s="1"/>
  <c r="H3006" i="2"/>
  <c r="I3006" i="2" s="1"/>
  <c r="H3005" i="2"/>
  <c r="I3005" i="2" s="1"/>
  <c r="H3004" i="2"/>
  <c r="I3004" i="2" s="1"/>
  <c r="H3003" i="2"/>
  <c r="I3003" i="2" s="1"/>
  <c r="H3002" i="2"/>
  <c r="I3002" i="2" s="1"/>
  <c r="H3001" i="2"/>
  <c r="I3001" i="2" s="1"/>
  <c r="H3000" i="2"/>
  <c r="I3000" i="2" s="1"/>
  <c r="H2999" i="2"/>
  <c r="I2999" i="2" s="1"/>
  <c r="H2998" i="2"/>
  <c r="I2998" i="2" s="1"/>
  <c r="H2997" i="2"/>
  <c r="I2997" i="2" s="1"/>
  <c r="I2996" i="2"/>
  <c r="H2996" i="2"/>
  <c r="H2995" i="2"/>
  <c r="I2995" i="2" s="1"/>
  <c r="H2994" i="2"/>
  <c r="I2994" i="2" s="1"/>
  <c r="H2993" i="2"/>
  <c r="I2993" i="2" s="1"/>
  <c r="H2992" i="2"/>
  <c r="I2992" i="2" s="1"/>
  <c r="H2991" i="2"/>
  <c r="I2991" i="2" s="1"/>
  <c r="H2990" i="2"/>
  <c r="I2990" i="2" s="1"/>
  <c r="H2989" i="2"/>
  <c r="I2989" i="2" s="1"/>
  <c r="H2988" i="2"/>
  <c r="I2988" i="2" s="1"/>
  <c r="I2987" i="2"/>
  <c r="H2986" i="2"/>
  <c r="I2986" i="2" s="1"/>
  <c r="H2985" i="2"/>
  <c r="I2985" i="2" s="1"/>
  <c r="H2984" i="2"/>
  <c r="I2984" i="2" s="1"/>
  <c r="H2983" i="2"/>
  <c r="I2983" i="2" s="1"/>
  <c r="H2982" i="2"/>
  <c r="I2982" i="2" s="1"/>
  <c r="H2981" i="2"/>
  <c r="I2981" i="2" s="1"/>
  <c r="H2980" i="2"/>
  <c r="I2980" i="2" s="1"/>
  <c r="H2979" i="2"/>
  <c r="I2979" i="2" s="1"/>
  <c r="H2978" i="2"/>
  <c r="I2978" i="2" s="1"/>
  <c r="H2977" i="2"/>
  <c r="I2977" i="2" s="1"/>
  <c r="H2976" i="2"/>
  <c r="I2976" i="2" s="1"/>
  <c r="H2975" i="2"/>
  <c r="I2975" i="2" s="1"/>
  <c r="H2974" i="2"/>
  <c r="I2974" i="2" s="1"/>
  <c r="H2973" i="2"/>
  <c r="I2973" i="2" s="1"/>
  <c r="H2972" i="2"/>
  <c r="I2972" i="2" s="1"/>
  <c r="H2971" i="2"/>
  <c r="I2971" i="2" s="1"/>
  <c r="H2970" i="2"/>
  <c r="I2970" i="2" s="1"/>
  <c r="H2969" i="2"/>
  <c r="I2969" i="2" s="1"/>
  <c r="H2968" i="2"/>
  <c r="I2968" i="2" s="1"/>
  <c r="H2967" i="2"/>
  <c r="I2967" i="2" s="1"/>
  <c r="H2966" i="2"/>
  <c r="I2966" i="2" s="1"/>
  <c r="H2965" i="2"/>
  <c r="I2965" i="2" s="1"/>
  <c r="H2964" i="2"/>
  <c r="I2964" i="2" s="1"/>
  <c r="H2963" i="2"/>
  <c r="I2963" i="2" s="1"/>
  <c r="H2962" i="2"/>
  <c r="I2962" i="2" s="1"/>
  <c r="H2961" i="2"/>
  <c r="I2961" i="2" s="1"/>
  <c r="H2960" i="2"/>
  <c r="I2960" i="2" s="1"/>
  <c r="H2959" i="2"/>
  <c r="I2959" i="2" s="1"/>
  <c r="H2958" i="2"/>
  <c r="I2958" i="2" s="1"/>
  <c r="H2957" i="2"/>
  <c r="I2957" i="2" s="1"/>
  <c r="H2956" i="2"/>
  <c r="I2956" i="2" s="1"/>
  <c r="H2955" i="2"/>
  <c r="I2955" i="2" s="1"/>
  <c r="H2954" i="2"/>
  <c r="I2954" i="2" s="1"/>
  <c r="H2953" i="2"/>
  <c r="I2953" i="2" s="1"/>
  <c r="H2952" i="2"/>
  <c r="I2952" i="2" s="1"/>
  <c r="H2951" i="2"/>
  <c r="I2951" i="2" s="1"/>
  <c r="H2950" i="2"/>
  <c r="I2950" i="2" s="1"/>
  <c r="H2949" i="2"/>
  <c r="I2949" i="2" s="1"/>
  <c r="H2948" i="2"/>
  <c r="I2948" i="2" s="1"/>
  <c r="H2947" i="2"/>
  <c r="I2947" i="2" s="1"/>
  <c r="H2946" i="2"/>
  <c r="I2946" i="2" s="1"/>
  <c r="H2945" i="2"/>
  <c r="I2945" i="2" s="1"/>
  <c r="H2944" i="2"/>
  <c r="I2944" i="2" s="1"/>
  <c r="H2943" i="2"/>
  <c r="I2943" i="2" s="1"/>
  <c r="H2942" i="2"/>
  <c r="I2942" i="2" s="1"/>
  <c r="H2941" i="2"/>
  <c r="I2941" i="2" s="1"/>
  <c r="H2940" i="2"/>
  <c r="I2940" i="2" s="1"/>
  <c r="H2939" i="2"/>
  <c r="I2939" i="2" s="1"/>
  <c r="H2938" i="2"/>
  <c r="I2938" i="2" s="1"/>
  <c r="H2937" i="2"/>
  <c r="I2937" i="2" s="1"/>
  <c r="H2936" i="2"/>
  <c r="I2936" i="2" s="1"/>
  <c r="H2935" i="2"/>
  <c r="I2935" i="2" s="1"/>
  <c r="H2934" i="2"/>
  <c r="I2934" i="2" s="1"/>
  <c r="H2933" i="2"/>
  <c r="I2933" i="2" s="1"/>
  <c r="H2932" i="2"/>
  <c r="I2932" i="2" s="1"/>
  <c r="H2931" i="2"/>
  <c r="I2931" i="2" s="1"/>
  <c r="H2930" i="2"/>
  <c r="I2930" i="2" s="1"/>
  <c r="H2929" i="2"/>
  <c r="I2929" i="2" s="1"/>
  <c r="H2928" i="2"/>
  <c r="I2928" i="2" s="1"/>
  <c r="H2927" i="2"/>
  <c r="I2927" i="2" s="1"/>
  <c r="H2926" i="2"/>
  <c r="I2926" i="2" s="1"/>
  <c r="H2925" i="2"/>
  <c r="I2925" i="2" s="1"/>
  <c r="H2924" i="2"/>
  <c r="I2924" i="2" s="1"/>
  <c r="H2923" i="2"/>
  <c r="I2923" i="2" s="1"/>
  <c r="H2922" i="2"/>
  <c r="I2922" i="2" s="1"/>
  <c r="H2921" i="2"/>
  <c r="I2921" i="2" s="1"/>
  <c r="H2920" i="2"/>
  <c r="I2920" i="2" s="1"/>
  <c r="H2919" i="2"/>
  <c r="I2919" i="2" s="1"/>
  <c r="H2918" i="2"/>
  <c r="I2918" i="2" s="1"/>
  <c r="H2917" i="2"/>
  <c r="I2917" i="2" s="1"/>
  <c r="H2916" i="2"/>
  <c r="I2916" i="2" s="1"/>
  <c r="H2915" i="2"/>
  <c r="I2915" i="2" s="1"/>
  <c r="H2914" i="2"/>
  <c r="I2914" i="2" s="1"/>
  <c r="H2913" i="2"/>
  <c r="I2913" i="2" s="1"/>
  <c r="H2912" i="2"/>
  <c r="I2912" i="2" s="1"/>
  <c r="H2911" i="2"/>
  <c r="I2911" i="2" s="1"/>
  <c r="H2910" i="2"/>
  <c r="I2910" i="2" s="1"/>
  <c r="H2909" i="2"/>
  <c r="I2909" i="2" s="1"/>
  <c r="H2908" i="2"/>
  <c r="I2908" i="2" s="1"/>
  <c r="H2907" i="2"/>
  <c r="I2907" i="2" s="1"/>
  <c r="H2906" i="2"/>
  <c r="I2906" i="2" s="1"/>
  <c r="H2905" i="2"/>
  <c r="I2905" i="2" s="1"/>
  <c r="H2904" i="2"/>
  <c r="I2904" i="2" s="1"/>
  <c r="H2903" i="2"/>
  <c r="I2903" i="2" s="1"/>
  <c r="H2902" i="2"/>
  <c r="I2902" i="2" s="1"/>
  <c r="H2901" i="2"/>
  <c r="I2901" i="2" s="1"/>
  <c r="H2900" i="2"/>
  <c r="I2900" i="2" s="1"/>
  <c r="H2899" i="2"/>
  <c r="I2899" i="2" s="1"/>
  <c r="H2898" i="2"/>
  <c r="I2898" i="2" s="1"/>
  <c r="H2897" i="2"/>
  <c r="I2897" i="2" s="1"/>
  <c r="H2896" i="2"/>
  <c r="I2896" i="2" s="1"/>
  <c r="H2895" i="2"/>
  <c r="I2895" i="2" s="1"/>
  <c r="H2894" i="2"/>
  <c r="I2894" i="2" s="1"/>
  <c r="H2893" i="2"/>
  <c r="I2893" i="2" s="1"/>
  <c r="H2892" i="2"/>
  <c r="I2892" i="2" s="1"/>
  <c r="H2891" i="2"/>
  <c r="I2891" i="2" s="1"/>
  <c r="H2890" i="2"/>
  <c r="I2890" i="2" s="1"/>
  <c r="H2889" i="2"/>
  <c r="I2889" i="2" s="1"/>
  <c r="H2888" i="2"/>
  <c r="I2888" i="2" s="1"/>
  <c r="H2887" i="2"/>
  <c r="I2887" i="2" s="1"/>
  <c r="H2886" i="2"/>
  <c r="I2886" i="2" s="1"/>
  <c r="H2885" i="2"/>
  <c r="I2885" i="2" s="1"/>
  <c r="H2884" i="2"/>
  <c r="I2884" i="2" s="1"/>
  <c r="H2883" i="2"/>
  <c r="I2883" i="2" s="1"/>
  <c r="H2882" i="2"/>
  <c r="I2882" i="2" s="1"/>
  <c r="H2881" i="2"/>
  <c r="I2881" i="2" s="1"/>
  <c r="H2880" i="2"/>
  <c r="I2880" i="2" s="1"/>
  <c r="H2879" i="2"/>
  <c r="I2879" i="2" s="1"/>
  <c r="H2878" i="2"/>
  <c r="I2878" i="2" s="1"/>
  <c r="H2877" i="2"/>
  <c r="I2877" i="2" s="1"/>
  <c r="H2876" i="2"/>
  <c r="I2876" i="2" s="1"/>
  <c r="H2875" i="2"/>
  <c r="I2875" i="2" s="1"/>
  <c r="H2874" i="2"/>
  <c r="I2874" i="2" s="1"/>
  <c r="H2873" i="2"/>
  <c r="I2873" i="2" s="1"/>
  <c r="H2872" i="2"/>
  <c r="I2872" i="2" s="1"/>
  <c r="H2871" i="2"/>
  <c r="I2871" i="2" s="1"/>
  <c r="H2870" i="2"/>
  <c r="I2870" i="2" s="1"/>
  <c r="H2869" i="2"/>
  <c r="I2869" i="2" s="1"/>
  <c r="H2868" i="2"/>
  <c r="I2868" i="2" s="1"/>
  <c r="H2867" i="2"/>
  <c r="I2867" i="2" s="1"/>
  <c r="H2866" i="2"/>
  <c r="I2866" i="2" s="1"/>
  <c r="H2865" i="2"/>
  <c r="I2865" i="2" s="1"/>
  <c r="H2864" i="2"/>
  <c r="I2864" i="2" s="1"/>
  <c r="H2863" i="2"/>
  <c r="I2863" i="2" s="1"/>
  <c r="H2862" i="2"/>
  <c r="I2862" i="2" s="1"/>
  <c r="H2861" i="2"/>
  <c r="I2861" i="2" s="1"/>
  <c r="H2860" i="2"/>
  <c r="I2860" i="2" s="1"/>
  <c r="H2859" i="2"/>
  <c r="I2859" i="2" s="1"/>
  <c r="H2858" i="2"/>
  <c r="I2858" i="2" s="1"/>
  <c r="H2857" i="2"/>
  <c r="I2857" i="2" s="1"/>
  <c r="I2856" i="2"/>
  <c r="H2855" i="2"/>
  <c r="I2855" i="2" s="1"/>
  <c r="H2854" i="2"/>
  <c r="I2854" i="2" s="1"/>
  <c r="H2853" i="2"/>
  <c r="I2853" i="2" s="1"/>
  <c r="H2852" i="2"/>
  <c r="I2852" i="2" s="1"/>
  <c r="H2851" i="2"/>
  <c r="I2851" i="2" s="1"/>
  <c r="H2850" i="2"/>
  <c r="I2850" i="2" s="1"/>
  <c r="H2849" i="2"/>
  <c r="I2849" i="2" s="1"/>
  <c r="H2848" i="2"/>
  <c r="I2848" i="2" s="1"/>
  <c r="H2847" i="2"/>
  <c r="I2847" i="2" s="1"/>
  <c r="H2846" i="2"/>
  <c r="I2846" i="2" s="1"/>
  <c r="H2845" i="2"/>
  <c r="I2845" i="2" s="1"/>
  <c r="H2844" i="2"/>
  <c r="I2844" i="2" s="1"/>
  <c r="H2843" i="2"/>
  <c r="I2843" i="2" s="1"/>
  <c r="H2842" i="2"/>
  <c r="I2842" i="2" s="1"/>
  <c r="H2841" i="2"/>
  <c r="I2841" i="2" s="1"/>
  <c r="H2840" i="2"/>
  <c r="I2840" i="2" s="1"/>
  <c r="H2839" i="2"/>
  <c r="I2839" i="2" s="1"/>
  <c r="H2838" i="2"/>
  <c r="I2838" i="2" s="1"/>
  <c r="H2837" i="2"/>
  <c r="I2837" i="2" s="1"/>
  <c r="H2836" i="2"/>
  <c r="I2836" i="2" s="1"/>
  <c r="H2835" i="2"/>
  <c r="I2835" i="2" s="1"/>
  <c r="H2834" i="2"/>
  <c r="I2834" i="2" s="1"/>
  <c r="H2833" i="2"/>
  <c r="I2833" i="2" s="1"/>
  <c r="H2832" i="2"/>
  <c r="I2832" i="2" s="1"/>
  <c r="H2831" i="2"/>
  <c r="I2831" i="2" s="1"/>
  <c r="H2830" i="2"/>
  <c r="I2830" i="2" s="1"/>
  <c r="H2829" i="2"/>
  <c r="I2829" i="2" s="1"/>
  <c r="H2828" i="2"/>
  <c r="I2828" i="2" s="1"/>
  <c r="H2827" i="2"/>
  <c r="I2827" i="2" s="1"/>
  <c r="H2826" i="2"/>
  <c r="I2826" i="2" s="1"/>
  <c r="H2825" i="2"/>
  <c r="I2825" i="2" s="1"/>
  <c r="H2824" i="2"/>
  <c r="I2824" i="2" s="1"/>
  <c r="H2823" i="2"/>
  <c r="I2823" i="2" s="1"/>
  <c r="H2822" i="2"/>
  <c r="I2822" i="2" s="1"/>
  <c r="H2821" i="2"/>
  <c r="I2821" i="2" s="1"/>
  <c r="H2820" i="2"/>
  <c r="I2820" i="2" s="1"/>
  <c r="H2819" i="2"/>
  <c r="I2819" i="2" s="1"/>
  <c r="H2818" i="2"/>
  <c r="I2818" i="2" s="1"/>
  <c r="H2817" i="2"/>
  <c r="I2817" i="2" s="1"/>
  <c r="H2816" i="2"/>
  <c r="I2816" i="2" s="1"/>
  <c r="H2815" i="2"/>
  <c r="I2815" i="2" s="1"/>
  <c r="H2814" i="2"/>
  <c r="I2814" i="2" s="1"/>
  <c r="H2813" i="2"/>
  <c r="I2813" i="2" s="1"/>
  <c r="H2812" i="2"/>
  <c r="I2812" i="2" s="1"/>
  <c r="H2811" i="2"/>
  <c r="I2811" i="2" s="1"/>
  <c r="H2810" i="2"/>
  <c r="I2810" i="2" s="1"/>
  <c r="H2809" i="2"/>
  <c r="I2809" i="2" s="1"/>
  <c r="H2808" i="2"/>
  <c r="I2808" i="2" s="1"/>
  <c r="H2807" i="2"/>
  <c r="I2807" i="2" s="1"/>
  <c r="H2806" i="2"/>
  <c r="I2806" i="2" s="1"/>
  <c r="H2805" i="2"/>
  <c r="I2805" i="2" s="1"/>
  <c r="H2804" i="2"/>
  <c r="I2804" i="2" s="1"/>
  <c r="H2803" i="2"/>
  <c r="I2803" i="2" s="1"/>
  <c r="H2802" i="2"/>
  <c r="I2802" i="2" s="1"/>
  <c r="H2801" i="2"/>
  <c r="I2801" i="2" s="1"/>
  <c r="H2800" i="2"/>
  <c r="I2800" i="2" s="1"/>
  <c r="H2799" i="2"/>
  <c r="I2799" i="2" s="1"/>
  <c r="H2798" i="2"/>
  <c r="I2798" i="2" s="1"/>
  <c r="H2797" i="2"/>
  <c r="I2797" i="2" s="1"/>
  <c r="H2796" i="2"/>
  <c r="I2796" i="2" s="1"/>
  <c r="H2795" i="2"/>
  <c r="I2795" i="2" s="1"/>
  <c r="H2794" i="2"/>
  <c r="I2794" i="2" s="1"/>
  <c r="H2793" i="2"/>
  <c r="I2793" i="2" s="1"/>
  <c r="H2792" i="2"/>
  <c r="I2792" i="2" s="1"/>
  <c r="H2791" i="2"/>
  <c r="I2791" i="2" s="1"/>
  <c r="H2790" i="2"/>
  <c r="I2790" i="2" s="1"/>
  <c r="H2789" i="2"/>
  <c r="I2789" i="2" s="1"/>
  <c r="H2788" i="2"/>
  <c r="I2788" i="2" s="1"/>
  <c r="H2787" i="2"/>
  <c r="I2787" i="2" s="1"/>
  <c r="H2786" i="2"/>
  <c r="I2786" i="2" s="1"/>
  <c r="H2785" i="2"/>
  <c r="I2785" i="2" s="1"/>
  <c r="H2784" i="2"/>
  <c r="I2784" i="2" s="1"/>
  <c r="H2783" i="2"/>
  <c r="I2783" i="2" s="1"/>
  <c r="H2782" i="2"/>
  <c r="I2782" i="2" s="1"/>
  <c r="H2781" i="2"/>
  <c r="I2781" i="2" s="1"/>
  <c r="H2780" i="2"/>
  <c r="I2780" i="2" s="1"/>
  <c r="H2779" i="2"/>
  <c r="I2779" i="2" s="1"/>
  <c r="H2778" i="2"/>
  <c r="I2778" i="2" s="1"/>
  <c r="H2777" i="2"/>
  <c r="I2777" i="2" s="1"/>
  <c r="H2776" i="2"/>
  <c r="I2776" i="2" s="1"/>
  <c r="H2775" i="2"/>
  <c r="I2775" i="2" s="1"/>
  <c r="H2774" i="2"/>
  <c r="I2774" i="2" s="1"/>
  <c r="H2773" i="2"/>
  <c r="I2773" i="2" s="1"/>
  <c r="H2772" i="2"/>
  <c r="I2772" i="2" s="1"/>
  <c r="H2771" i="2"/>
  <c r="I2771" i="2" s="1"/>
  <c r="H2770" i="2"/>
  <c r="I2770" i="2" s="1"/>
  <c r="H2769" i="2"/>
  <c r="I2769" i="2" s="1"/>
  <c r="H2768" i="2"/>
  <c r="I2768" i="2" s="1"/>
  <c r="H2767" i="2"/>
  <c r="I2767" i="2" s="1"/>
  <c r="H2766" i="2"/>
  <c r="I2766" i="2" s="1"/>
  <c r="H2765" i="2"/>
  <c r="I2765" i="2" s="1"/>
  <c r="H2764" i="2"/>
  <c r="I2764" i="2" s="1"/>
  <c r="H2763" i="2"/>
  <c r="I2763" i="2" s="1"/>
  <c r="H2762" i="2"/>
  <c r="I2762" i="2" s="1"/>
  <c r="H2761" i="2"/>
  <c r="I2761" i="2" s="1"/>
  <c r="H2760" i="2"/>
  <c r="I2760" i="2" s="1"/>
  <c r="H2759" i="2"/>
  <c r="I2759" i="2" s="1"/>
  <c r="H2758" i="2"/>
  <c r="I2758" i="2" s="1"/>
  <c r="H2757" i="2"/>
  <c r="I2757" i="2" s="1"/>
  <c r="I2756" i="2"/>
  <c r="H2755" i="2"/>
  <c r="I2755" i="2" s="1"/>
  <c r="H2754" i="2"/>
  <c r="I2754" i="2" s="1"/>
  <c r="H2753" i="2"/>
  <c r="I2753" i="2" s="1"/>
  <c r="H2752" i="2"/>
  <c r="I2752" i="2" s="1"/>
  <c r="H2751" i="2"/>
  <c r="I2751" i="2" s="1"/>
  <c r="H2750" i="2"/>
  <c r="I2750" i="2" s="1"/>
  <c r="H2749" i="2"/>
  <c r="I2749" i="2" s="1"/>
  <c r="H2748" i="2"/>
  <c r="I2748" i="2" s="1"/>
  <c r="H2747" i="2"/>
  <c r="I2747" i="2" s="1"/>
  <c r="H2746" i="2"/>
  <c r="I2746" i="2" s="1"/>
  <c r="H2745" i="2"/>
  <c r="I2745" i="2" s="1"/>
  <c r="H2744" i="2"/>
  <c r="I2744" i="2" s="1"/>
  <c r="H2743" i="2"/>
  <c r="I2743" i="2" s="1"/>
  <c r="H2742" i="2"/>
  <c r="I2742" i="2" s="1"/>
  <c r="H2741" i="2"/>
  <c r="I2741" i="2" s="1"/>
  <c r="H2740" i="2"/>
  <c r="I2740" i="2" s="1"/>
  <c r="H2739" i="2"/>
  <c r="I2739" i="2" s="1"/>
  <c r="H2738" i="2"/>
  <c r="I2738" i="2" s="1"/>
  <c r="I2737" i="2"/>
  <c r="H2736" i="2"/>
  <c r="I2736" i="2" s="1"/>
  <c r="H2735" i="2"/>
  <c r="I2735" i="2" s="1"/>
  <c r="H2734" i="2"/>
  <c r="I2734" i="2" s="1"/>
  <c r="H2733" i="2"/>
  <c r="I2733" i="2" s="1"/>
  <c r="H2732" i="2"/>
  <c r="I2732" i="2" s="1"/>
  <c r="H2731" i="2"/>
  <c r="I2731" i="2" s="1"/>
  <c r="H2730" i="2"/>
  <c r="I2730" i="2" s="1"/>
  <c r="H2729" i="2"/>
  <c r="I2729" i="2" s="1"/>
  <c r="H2728" i="2"/>
  <c r="I2728" i="2" s="1"/>
  <c r="H2727" i="2"/>
  <c r="I2727" i="2" s="1"/>
  <c r="H2726" i="2"/>
  <c r="I2726" i="2" s="1"/>
  <c r="H2725" i="2"/>
  <c r="I2725" i="2" s="1"/>
  <c r="H2724" i="2"/>
  <c r="I2724" i="2" s="1"/>
  <c r="H2723" i="2"/>
  <c r="I2723" i="2" s="1"/>
  <c r="H2722" i="2"/>
  <c r="I2722" i="2" s="1"/>
  <c r="H2721" i="2"/>
  <c r="I2721" i="2" s="1"/>
  <c r="H2720" i="2"/>
  <c r="I2720" i="2" s="1"/>
  <c r="H2719" i="2"/>
  <c r="I2719" i="2" s="1"/>
  <c r="H2718" i="2"/>
  <c r="I2718" i="2" s="1"/>
  <c r="H2717" i="2"/>
  <c r="I2717" i="2" s="1"/>
  <c r="H2716" i="2"/>
  <c r="I2716" i="2" s="1"/>
  <c r="H2715" i="2"/>
  <c r="I2715" i="2" s="1"/>
  <c r="H2714" i="2"/>
  <c r="I2714" i="2" s="1"/>
  <c r="H2713" i="2"/>
  <c r="I2713" i="2" s="1"/>
  <c r="H2712" i="2"/>
  <c r="I2712" i="2" s="1"/>
  <c r="H2711" i="2"/>
  <c r="I2711" i="2" s="1"/>
  <c r="H2710" i="2"/>
  <c r="I2710" i="2" s="1"/>
  <c r="H2709" i="2"/>
  <c r="I2709" i="2" s="1"/>
  <c r="H2708" i="2"/>
  <c r="I2708" i="2" s="1"/>
  <c r="H2707" i="2"/>
  <c r="I2707" i="2" s="1"/>
  <c r="H2706" i="2"/>
  <c r="I2706" i="2" s="1"/>
  <c r="H2705" i="2"/>
  <c r="I2705" i="2" s="1"/>
  <c r="H2704" i="2"/>
  <c r="I2704" i="2" s="1"/>
  <c r="H2703" i="2"/>
  <c r="I2703" i="2" s="1"/>
  <c r="H2702" i="2"/>
  <c r="I2702" i="2" s="1"/>
  <c r="H2701" i="2"/>
  <c r="I2701" i="2" s="1"/>
  <c r="H2700" i="2"/>
  <c r="I2700" i="2" s="1"/>
  <c r="H2699" i="2"/>
  <c r="I2699" i="2" s="1"/>
  <c r="H2698" i="2"/>
  <c r="I2698" i="2" s="1"/>
  <c r="H2697" i="2"/>
  <c r="I2697" i="2" s="1"/>
  <c r="H2696" i="2"/>
  <c r="I2696" i="2" s="1"/>
  <c r="H2695" i="2"/>
  <c r="I2695" i="2" s="1"/>
  <c r="H2694" i="2"/>
  <c r="I2694" i="2" s="1"/>
  <c r="H2693" i="2"/>
  <c r="I2693" i="2" s="1"/>
  <c r="H2692" i="2"/>
  <c r="I2692" i="2" s="1"/>
  <c r="H2691" i="2"/>
  <c r="I2691" i="2" s="1"/>
  <c r="H2690" i="2"/>
  <c r="I2690" i="2" s="1"/>
  <c r="H2689" i="2"/>
  <c r="I2689" i="2" s="1"/>
  <c r="H2688" i="2"/>
  <c r="I2688" i="2" s="1"/>
  <c r="H2687" i="2"/>
  <c r="I2687" i="2" s="1"/>
  <c r="H2686" i="2"/>
  <c r="I2686" i="2" s="1"/>
  <c r="H2685" i="2"/>
  <c r="I2685" i="2" s="1"/>
  <c r="H2684" i="2"/>
  <c r="I2684" i="2" s="1"/>
  <c r="H2683" i="2"/>
  <c r="I2683" i="2" s="1"/>
  <c r="H2682" i="2"/>
  <c r="I2682" i="2" s="1"/>
  <c r="H2681" i="2"/>
  <c r="I2681" i="2" s="1"/>
  <c r="H2680" i="2"/>
  <c r="I2680" i="2" s="1"/>
  <c r="H2679" i="2"/>
  <c r="I2679" i="2" s="1"/>
  <c r="H2678" i="2"/>
  <c r="I2678" i="2" s="1"/>
  <c r="H2677" i="2"/>
  <c r="I2677" i="2" s="1"/>
  <c r="H2676" i="2"/>
  <c r="I2676" i="2" s="1"/>
  <c r="H2675" i="2"/>
  <c r="I2675" i="2" s="1"/>
  <c r="H2674" i="2"/>
  <c r="I2674" i="2" s="1"/>
  <c r="H2673" i="2"/>
  <c r="I2673" i="2" s="1"/>
  <c r="H2672" i="2"/>
  <c r="I2672" i="2" s="1"/>
  <c r="H2671" i="2"/>
  <c r="I2671" i="2" s="1"/>
  <c r="H2670" i="2"/>
  <c r="I2670" i="2" s="1"/>
  <c r="H2669" i="2"/>
  <c r="I2669" i="2" s="1"/>
  <c r="H2668" i="2"/>
  <c r="I2668" i="2" s="1"/>
  <c r="H2667" i="2"/>
  <c r="I2667" i="2" s="1"/>
  <c r="H2666" i="2"/>
  <c r="I2666" i="2" s="1"/>
  <c r="H2665" i="2"/>
  <c r="I2665" i="2" s="1"/>
  <c r="H2664" i="2"/>
  <c r="I2664" i="2" s="1"/>
  <c r="H2663" i="2"/>
  <c r="I2663" i="2" s="1"/>
  <c r="H2662" i="2"/>
  <c r="I2662" i="2" s="1"/>
  <c r="H2661" i="2"/>
  <c r="I2661" i="2" s="1"/>
  <c r="H2660" i="2"/>
  <c r="I2660" i="2" s="1"/>
  <c r="H2659" i="2"/>
  <c r="I2659" i="2" s="1"/>
  <c r="H2658" i="2"/>
  <c r="I2658" i="2" s="1"/>
  <c r="H2657" i="2"/>
  <c r="I2657" i="2" s="1"/>
  <c r="H2656" i="2"/>
  <c r="I2656" i="2" s="1"/>
  <c r="H2655" i="2"/>
  <c r="I2655" i="2" s="1"/>
  <c r="H2654" i="2"/>
  <c r="I2654" i="2" s="1"/>
  <c r="H2653" i="2"/>
  <c r="I2653" i="2" s="1"/>
  <c r="H2652" i="2"/>
  <c r="I2652" i="2" s="1"/>
  <c r="H2651" i="2"/>
  <c r="I2651" i="2" s="1"/>
  <c r="H2650" i="2"/>
  <c r="I2650" i="2" s="1"/>
  <c r="H2649" i="2"/>
  <c r="I2649" i="2" s="1"/>
  <c r="H2648" i="2"/>
  <c r="I2648" i="2" s="1"/>
  <c r="H2647" i="2"/>
  <c r="I2647" i="2" s="1"/>
  <c r="H2646" i="2"/>
  <c r="I2646" i="2" s="1"/>
  <c r="H2645" i="2"/>
  <c r="I2645" i="2" s="1"/>
  <c r="H2644" i="2"/>
  <c r="I2644" i="2" s="1"/>
  <c r="H2643" i="2"/>
  <c r="I2643" i="2" s="1"/>
  <c r="H2642" i="2"/>
  <c r="I2642" i="2" s="1"/>
  <c r="H2641" i="2"/>
  <c r="I2641" i="2" s="1"/>
  <c r="H2640" i="2"/>
  <c r="I2640" i="2" s="1"/>
  <c r="H2639" i="2"/>
  <c r="I2639" i="2" s="1"/>
  <c r="H2638" i="2"/>
  <c r="I2638" i="2" s="1"/>
  <c r="H2637" i="2"/>
  <c r="I2637" i="2" s="1"/>
  <c r="H2636" i="2"/>
  <c r="I2636" i="2" s="1"/>
  <c r="H2635" i="2"/>
  <c r="I2635" i="2" s="1"/>
  <c r="H2634" i="2"/>
  <c r="I2634" i="2" s="1"/>
  <c r="H2633" i="2"/>
  <c r="I2633" i="2" s="1"/>
  <c r="H2632" i="2"/>
  <c r="I2632" i="2" s="1"/>
  <c r="H2631" i="2"/>
  <c r="I2631" i="2" s="1"/>
  <c r="H2630" i="2"/>
  <c r="I2630" i="2" s="1"/>
  <c r="H2629" i="2"/>
  <c r="I2629" i="2" s="1"/>
  <c r="H2628" i="2"/>
  <c r="I2628" i="2" s="1"/>
  <c r="H2627" i="2"/>
  <c r="I2627" i="2" s="1"/>
  <c r="H2626" i="2"/>
  <c r="I2626" i="2" s="1"/>
  <c r="H2625" i="2"/>
  <c r="I2625" i="2" s="1"/>
  <c r="H2624" i="2"/>
  <c r="I2624" i="2" s="1"/>
  <c r="H2623" i="2"/>
  <c r="I2623" i="2" s="1"/>
  <c r="H2622" i="2"/>
  <c r="I2622" i="2" s="1"/>
  <c r="H2621" i="2"/>
  <c r="I2621" i="2" s="1"/>
  <c r="H2620" i="2"/>
  <c r="I2620" i="2" s="1"/>
  <c r="H2619" i="2"/>
  <c r="I2619" i="2" s="1"/>
  <c r="H2618" i="2"/>
  <c r="I2618" i="2" s="1"/>
  <c r="H2617" i="2"/>
  <c r="I2617" i="2" s="1"/>
  <c r="H2616" i="2"/>
  <c r="I2616" i="2" s="1"/>
  <c r="H2615" i="2"/>
  <c r="I2615" i="2" s="1"/>
  <c r="H2614" i="2"/>
  <c r="I2614" i="2" s="1"/>
  <c r="H2613" i="2"/>
  <c r="I2613" i="2" s="1"/>
  <c r="H2612" i="2"/>
  <c r="I2612" i="2" s="1"/>
  <c r="H2611" i="2"/>
  <c r="I2611" i="2" s="1"/>
  <c r="H2610" i="2"/>
  <c r="I2610" i="2" s="1"/>
  <c r="H2609" i="2"/>
  <c r="I2609" i="2" s="1"/>
  <c r="H2608" i="2"/>
  <c r="I2608" i="2" s="1"/>
  <c r="H2607" i="2"/>
  <c r="I2607" i="2" s="1"/>
  <c r="H2606" i="2"/>
  <c r="I2606" i="2" s="1"/>
  <c r="H2605" i="2"/>
  <c r="I2605" i="2" s="1"/>
  <c r="H2604" i="2"/>
  <c r="I2604" i="2" s="1"/>
  <c r="H2603" i="2"/>
  <c r="I2603" i="2" s="1"/>
  <c r="H2602" i="2"/>
  <c r="I2602" i="2" s="1"/>
  <c r="H2601" i="2"/>
  <c r="I2601" i="2" s="1"/>
  <c r="H2600" i="2"/>
  <c r="I2600" i="2" s="1"/>
  <c r="H2599" i="2"/>
  <c r="I2599" i="2" s="1"/>
  <c r="H2598" i="2"/>
  <c r="I2598" i="2" s="1"/>
  <c r="H2597" i="2"/>
  <c r="I2597" i="2" s="1"/>
  <c r="H2596" i="2"/>
  <c r="I2596" i="2" s="1"/>
  <c r="H2595" i="2"/>
  <c r="I2595" i="2" s="1"/>
  <c r="H2594" i="2"/>
  <c r="I2594" i="2" s="1"/>
  <c r="H2593" i="2"/>
  <c r="I2593" i="2" s="1"/>
  <c r="H2592" i="2"/>
  <c r="I2592" i="2" s="1"/>
  <c r="H2591" i="2"/>
  <c r="I2591" i="2" s="1"/>
  <c r="H2590" i="2"/>
  <c r="I2590" i="2" s="1"/>
  <c r="H2589" i="2"/>
  <c r="I2589" i="2" s="1"/>
  <c r="H2588" i="2"/>
  <c r="I2588" i="2" s="1"/>
  <c r="H2587" i="2"/>
  <c r="I2587" i="2" s="1"/>
  <c r="H2586" i="2"/>
  <c r="I2586" i="2" s="1"/>
  <c r="H2585" i="2"/>
  <c r="I2585" i="2" s="1"/>
  <c r="H2584" i="2"/>
  <c r="I2584" i="2" s="1"/>
  <c r="H2583" i="2"/>
  <c r="I2583" i="2" s="1"/>
  <c r="H2582" i="2"/>
  <c r="I2582" i="2" s="1"/>
  <c r="H2581" i="2"/>
  <c r="I2581" i="2" s="1"/>
  <c r="H2580" i="2"/>
  <c r="I2580" i="2" s="1"/>
  <c r="H2579" i="2"/>
  <c r="I2579" i="2" s="1"/>
  <c r="H2578" i="2"/>
  <c r="I2578" i="2" s="1"/>
  <c r="H2577" i="2"/>
  <c r="I2577" i="2" s="1"/>
  <c r="H2576" i="2"/>
  <c r="I2576" i="2" s="1"/>
  <c r="H2575" i="2"/>
  <c r="I2575" i="2" s="1"/>
  <c r="H2574" i="2"/>
  <c r="I2574" i="2" s="1"/>
  <c r="H2573" i="2"/>
  <c r="I2573" i="2" s="1"/>
  <c r="H2572" i="2"/>
  <c r="I2572" i="2" s="1"/>
  <c r="H2571" i="2"/>
  <c r="I2571" i="2" s="1"/>
  <c r="H2570" i="2"/>
  <c r="I2570" i="2" s="1"/>
  <c r="H2569" i="2"/>
  <c r="I2569" i="2" s="1"/>
  <c r="H2568" i="2"/>
  <c r="I2568" i="2" s="1"/>
  <c r="H2567" i="2"/>
  <c r="I2567" i="2" s="1"/>
  <c r="H2566" i="2"/>
  <c r="I2566" i="2" s="1"/>
  <c r="H2565" i="2"/>
  <c r="I2565" i="2" s="1"/>
  <c r="H2564" i="2"/>
  <c r="I2564" i="2" s="1"/>
  <c r="H2563" i="2"/>
  <c r="I2563" i="2" s="1"/>
  <c r="H2562" i="2"/>
  <c r="I2562" i="2" s="1"/>
  <c r="H2561" i="2"/>
  <c r="I2561" i="2" s="1"/>
  <c r="H2560" i="2"/>
  <c r="I2560" i="2" s="1"/>
  <c r="H2559" i="2"/>
  <c r="I2559" i="2" s="1"/>
  <c r="H2558" i="2"/>
  <c r="I2558" i="2" s="1"/>
  <c r="H2557" i="2"/>
  <c r="I2557" i="2" s="1"/>
  <c r="H2556" i="2"/>
  <c r="I2556" i="2" s="1"/>
  <c r="H2555" i="2"/>
  <c r="I2555" i="2" s="1"/>
  <c r="H2554" i="2"/>
  <c r="I2554" i="2" s="1"/>
  <c r="H2553" i="2"/>
  <c r="I2553" i="2" s="1"/>
  <c r="H2552" i="2"/>
  <c r="I2552" i="2" s="1"/>
  <c r="H2551" i="2"/>
  <c r="I2551" i="2" s="1"/>
  <c r="H2550" i="2"/>
  <c r="I2550" i="2" s="1"/>
  <c r="H2549" i="2"/>
  <c r="I2549" i="2" s="1"/>
  <c r="H2548" i="2"/>
  <c r="I2548" i="2" s="1"/>
  <c r="H2547" i="2"/>
  <c r="I2547" i="2" s="1"/>
  <c r="H2546" i="2"/>
  <c r="I2546" i="2" s="1"/>
  <c r="H2545" i="2"/>
  <c r="I2545" i="2" s="1"/>
  <c r="H2544" i="2"/>
  <c r="I2544" i="2" s="1"/>
  <c r="H2543" i="2"/>
  <c r="I2543" i="2" s="1"/>
  <c r="H2542" i="2"/>
  <c r="I2542" i="2" s="1"/>
  <c r="H2541" i="2"/>
  <c r="I2541" i="2" s="1"/>
  <c r="H2540" i="2"/>
  <c r="I2540" i="2" s="1"/>
  <c r="H2539" i="2"/>
  <c r="I2539" i="2" s="1"/>
  <c r="H2538" i="2"/>
  <c r="I2538" i="2" s="1"/>
  <c r="H2537" i="2"/>
  <c r="I2537" i="2" s="1"/>
  <c r="H2536" i="2"/>
  <c r="I2536" i="2" s="1"/>
  <c r="H2535" i="2"/>
  <c r="I2535" i="2" s="1"/>
  <c r="H2534" i="2"/>
  <c r="I2534" i="2" s="1"/>
  <c r="H2533" i="2"/>
  <c r="I2533" i="2" s="1"/>
  <c r="H2532" i="2"/>
  <c r="I2532" i="2" s="1"/>
  <c r="H2531" i="2"/>
  <c r="I2531" i="2" s="1"/>
  <c r="H2530" i="2"/>
  <c r="I2530" i="2" s="1"/>
  <c r="H2529" i="2"/>
  <c r="I2529" i="2" s="1"/>
  <c r="H2528" i="2"/>
  <c r="I2528" i="2" s="1"/>
  <c r="H2527" i="2"/>
  <c r="I2527" i="2" s="1"/>
  <c r="H2526" i="2"/>
  <c r="I2526" i="2" s="1"/>
  <c r="H2525" i="2"/>
  <c r="I2525" i="2" s="1"/>
  <c r="I2524" i="2"/>
  <c r="H2523" i="2"/>
  <c r="I2523" i="2" s="1"/>
  <c r="H2522" i="2"/>
  <c r="I2522" i="2" s="1"/>
  <c r="H2521" i="2"/>
  <c r="I2521" i="2" s="1"/>
  <c r="H2520" i="2"/>
  <c r="I2520" i="2" s="1"/>
  <c r="H2519" i="2"/>
  <c r="I2519" i="2" s="1"/>
  <c r="H2518" i="2"/>
  <c r="I2518" i="2" s="1"/>
  <c r="H2517" i="2"/>
  <c r="I2517" i="2" s="1"/>
  <c r="H2516" i="2"/>
  <c r="I2516" i="2" s="1"/>
  <c r="H2515" i="2"/>
  <c r="I2515" i="2" s="1"/>
  <c r="H2514" i="2"/>
  <c r="I2514" i="2" s="1"/>
  <c r="H2513" i="2"/>
  <c r="I2513" i="2" s="1"/>
  <c r="H2512" i="2"/>
  <c r="I2512" i="2" s="1"/>
  <c r="H2511" i="2"/>
  <c r="I2511" i="2" s="1"/>
  <c r="H2510" i="2"/>
  <c r="I2510" i="2" s="1"/>
  <c r="H2509" i="2"/>
  <c r="I2509" i="2" s="1"/>
  <c r="H2508" i="2"/>
  <c r="I2508" i="2" s="1"/>
  <c r="H2507" i="2"/>
  <c r="I2507" i="2" s="1"/>
  <c r="H2506" i="2"/>
  <c r="I2506" i="2" s="1"/>
  <c r="H2505" i="2"/>
  <c r="I2505" i="2" s="1"/>
  <c r="H2504" i="2"/>
  <c r="I2504" i="2" s="1"/>
  <c r="H2503" i="2"/>
  <c r="I2503" i="2" s="1"/>
  <c r="H2502" i="2"/>
  <c r="I2502" i="2" s="1"/>
  <c r="H2501" i="2"/>
  <c r="I2501" i="2" s="1"/>
  <c r="H2500" i="2"/>
  <c r="I2500" i="2" s="1"/>
  <c r="H2499" i="2"/>
  <c r="I2499" i="2" s="1"/>
  <c r="H2498" i="2"/>
  <c r="I2498" i="2" s="1"/>
  <c r="H2497" i="2"/>
  <c r="I2497" i="2" s="1"/>
  <c r="H2496" i="2"/>
  <c r="I2496" i="2" s="1"/>
  <c r="H2495" i="2"/>
  <c r="I2495" i="2" s="1"/>
  <c r="H2494" i="2"/>
  <c r="I2494" i="2" s="1"/>
  <c r="H2493" i="2"/>
  <c r="I2493" i="2" s="1"/>
  <c r="H2492" i="2"/>
  <c r="I2492" i="2" s="1"/>
  <c r="H2491" i="2"/>
  <c r="I2491" i="2" s="1"/>
  <c r="H2490" i="2"/>
  <c r="I2490" i="2" s="1"/>
  <c r="H2489" i="2"/>
  <c r="I2489" i="2" s="1"/>
  <c r="H2488" i="2"/>
  <c r="I2488" i="2" s="1"/>
  <c r="H2487" i="2"/>
  <c r="I2487" i="2" s="1"/>
  <c r="H2486" i="2"/>
  <c r="I2486" i="2" s="1"/>
  <c r="H2485" i="2"/>
  <c r="I2485" i="2" s="1"/>
  <c r="H2484" i="2"/>
  <c r="I2484" i="2" s="1"/>
  <c r="H2483" i="2"/>
  <c r="I2483" i="2" s="1"/>
  <c r="H2482" i="2"/>
  <c r="I2482" i="2" s="1"/>
  <c r="H2481" i="2"/>
  <c r="I2481" i="2" s="1"/>
  <c r="H2480" i="2"/>
  <c r="I2480" i="2" s="1"/>
  <c r="H2479" i="2"/>
  <c r="I2479" i="2" s="1"/>
  <c r="H2478" i="2"/>
  <c r="I2478" i="2" s="1"/>
  <c r="H2477" i="2"/>
  <c r="I2477" i="2" s="1"/>
  <c r="H2476" i="2"/>
  <c r="I2476" i="2" s="1"/>
  <c r="H2475" i="2"/>
  <c r="I2475" i="2" s="1"/>
  <c r="H2474" i="2"/>
  <c r="I2474" i="2" s="1"/>
  <c r="H2473" i="2"/>
  <c r="I2473" i="2" s="1"/>
  <c r="H2472" i="2"/>
  <c r="I2472" i="2" s="1"/>
  <c r="H2471" i="2"/>
  <c r="I2471" i="2" s="1"/>
  <c r="H2470" i="2"/>
  <c r="I2470" i="2" s="1"/>
  <c r="H2469" i="2"/>
  <c r="I2469" i="2" s="1"/>
  <c r="H2468" i="2"/>
  <c r="I2468" i="2" s="1"/>
  <c r="H2467" i="2"/>
  <c r="I2467" i="2" s="1"/>
  <c r="H2466" i="2"/>
  <c r="I2466" i="2" s="1"/>
  <c r="H2465" i="2"/>
  <c r="I2465" i="2" s="1"/>
  <c r="H2464" i="2"/>
  <c r="I2464" i="2" s="1"/>
  <c r="H2463" i="2"/>
  <c r="I2463" i="2" s="1"/>
  <c r="H2462" i="2"/>
  <c r="I2462" i="2" s="1"/>
  <c r="H2461" i="2"/>
  <c r="I2461" i="2" s="1"/>
  <c r="H2460" i="2"/>
  <c r="I2460" i="2" s="1"/>
  <c r="H2459" i="2"/>
  <c r="I2459" i="2" s="1"/>
  <c r="H2458" i="2"/>
  <c r="I2458" i="2" s="1"/>
  <c r="H2457" i="2"/>
  <c r="I2457" i="2" s="1"/>
  <c r="H2456" i="2"/>
  <c r="I2456" i="2" s="1"/>
  <c r="H2455" i="2"/>
  <c r="I2455" i="2" s="1"/>
  <c r="H2454" i="2"/>
  <c r="I2454" i="2" s="1"/>
  <c r="H2453" i="2"/>
  <c r="I2453" i="2" s="1"/>
  <c r="H2452" i="2"/>
  <c r="I2452" i="2" s="1"/>
  <c r="H2451" i="2"/>
  <c r="I2451" i="2" s="1"/>
  <c r="H2450" i="2"/>
  <c r="I2450" i="2" s="1"/>
  <c r="H2449" i="2"/>
  <c r="I2449" i="2" s="1"/>
  <c r="H2448" i="2"/>
  <c r="I2448" i="2" s="1"/>
  <c r="H2447" i="2"/>
  <c r="I2447" i="2" s="1"/>
  <c r="H2446" i="2"/>
  <c r="I2446" i="2" s="1"/>
  <c r="H2445" i="2"/>
  <c r="I2445" i="2" s="1"/>
  <c r="H2444" i="2"/>
  <c r="I2444" i="2" s="1"/>
  <c r="H2443" i="2"/>
  <c r="I2443" i="2" s="1"/>
  <c r="H2442" i="2"/>
  <c r="I2442" i="2" s="1"/>
  <c r="H2441" i="2"/>
  <c r="I2441" i="2" s="1"/>
  <c r="H2440" i="2"/>
  <c r="I2440" i="2" s="1"/>
  <c r="H2439" i="2"/>
  <c r="I2439" i="2" s="1"/>
  <c r="H2438" i="2"/>
  <c r="I2438" i="2" s="1"/>
  <c r="H2437" i="2"/>
  <c r="I2437" i="2" s="1"/>
  <c r="H2436" i="2"/>
  <c r="I2436" i="2" s="1"/>
  <c r="H2435" i="2"/>
  <c r="I2435" i="2" s="1"/>
  <c r="H2434" i="2"/>
  <c r="I2434" i="2" s="1"/>
  <c r="H2433" i="2"/>
  <c r="I2433" i="2" s="1"/>
  <c r="H2432" i="2"/>
  <c r="I2432" i="2" s="1"/>
  <c r="H2431" i="2"/>
  <c r="I2431" i="2" s="1"/>
  <c r="H2430" i="2"/>
  <c r="I2430" i="2" s="1"/>
  <c r="H2429" i="2"/>
  <c r="I2429" i="2" s="1"/>
  <c r="H2428" i="2"/>
  <c r="I2428" i="2" s="1"/>
  <c r="H2427" i="2"/>
  <c r="I2427" i="2" s="1"/>
  <c r="H2426" i="2"/>
  <c r="I2426" i="2" s="1"/>
  <c r="H2425" i="2"/>
  <c r="I2425" i="2" s="1"/>
  <c r="H2424" i="2"/>
  <c r="I2424" i="2" s="1"/>
  <c r="H2423" i="2"/>
  <c r="I2423" i="2" s="1"/>
  <c r="H2422" i="2"/>
  <c r="I2422" i="2" s="1"/>
  <c r="H2421" i="2"/>
  <c r="I2421" i="2" s="1"/>
  <c r="H2420" i="2"/>
  <c r="I2420" i="2" s="1"/>
  <c r="H2419" i="2"/>
  <c r="I2419" i="2" s="1"/>
  <c r="H2418" i="2"/>
  <c r="I2418" i="2" s="1"/>
  <c r="H2417" i="2"/>
  <c r="I2417" i="2" s="1"/>
  <c r="H2416" i="2"/>
  <c r="I2416" i="2" s="1"/>
  <c r="H2415" i="2"/>
  <c r="I2415" i="2" s="1"/>
  <c r="H2414" i="2"/>
  <c r="I2414" i="2" s="1"/>
  <c r="H2413" i="2"/>
  <c r="I2413" i="2" s="1"/>
  <c r="H2412" i="2"/>
  <c r="I2412" i="2" s="1"/>
  <c r="H2411" i="2"/>
  <c r="I2411" i="2" s="1"/>
  <c r="H2410" i="2"/>
  <c r="I2410" i="2" s="1"/>
  <c r="H2409" i="2"/>
  <c r="I2409" i="2" s="1"/>
  <c r="H2408" i="2"/>
  <c r="I2408" i="2" s="1"/>
  <c r="H2407" i="2"/>
  <c r="I2407" i="2" s="1"/>
  <c r="H2406" i="2"/>
  <c r="I2406" i="2" s="1"/>
  <c r="H2405" i="2"/>
  <c r="I2405" i="2" s="1"/>
  <c r="H2404" i="2"/>
  <c r="I2404" i="2" s="1"/>
  <c r="H2403" i="2"/>
  <c r="I2403" i="2" s="1"/>
  <c r="H2402" i="2"/>
  <c r="I2402" i="2" s="1"/>
  <c r="H2401" i="2"/>
  <c r="I2401" i="2" s="1"/>
  <c r="H2400" i="2"/>
  <c r="I2400" i="2" s="1"/>
  <c r="H2399" i="2"/>
  <c r="I2399" i="2" s="1"/>
  <c r="H2398" i="2"/>
  <c r="I2398" i="2" s="1"/>
  <c r="H2397" i="2"/>
  <c r="I2397" i="2" s="1"/>
  <c r="H2396" i="2"/>
  <c r="I2396" i="2" s="1"/>
  <c r="H2395" i="2"/>
  <c r="I2395" i="2" s="1"/>
  <c r="H2394" i="2"/>
  <c r="I2394" i="2" s="1"/>
  <c r="H2393" i="2"/>
  <c r="I2393" i="2" s="1"/>
  <c r="H2392" i="2"/>
  <c r="I2392" i="2" s="1"/>
  <c r="H2391" i="2"/>
  <c r="I2391" i="2" s="1"/>
  <c r="H2390" i="2"/>
  <c r="I2390" i="2" s="1"/>
  <c r="H2389" i="2"/>
  <c r="I2389" i="2" s="1"/>
  <c r="H2388" i="2"/>
  <c r="I2388" i="2" s="1"/>
  <c r="H2387" i="2"/>
  <c r="I2387" i="2" s="1"/>
  <c r="H2386" i="2"/>
  <c r="I2386" i="2" s="1"/>
  <c r="H2385" i="2"/>
  <c r="I2385" i="2" s="1"/>
  <c r="H2384" i="2"/>
  <c r="I2384" i="2" s="1"/>
  <c r="I2383" i="2"/>
  <c r="H2383" i="2"/>
  <c r="H2382" i="2"/>
  <c r="I2382" i="2" s="1"/>
  <c r="H2381" i="2"/>
  <c r="I2381" i="2" s="1"/>
  <c r="H2380" i="2"/>
  <c r="I2380" i="2" s="1"/>
  <c r="H2379" i="2"/>
  <c r="I2379" i="2" s="1"/>
  <c r="H2378" i="2"/>
  <c r="I2378" i="2" s="1"/>
  <c r="H2377" i="2"/>
  <c r="I2377" i="2" s="1"/>
  <c r="H2376" i="2"/>
  <c r="I2376" i="2" s="1"/>
  <c r="H2375" i="2"/>
  <c r="I2375" i="2" s="1"/>
  <c r="H2374" i="2"/>
  <c r="I2374" i="2" s="1"/>
  <c r="H2373" i="2"/>
  <c r="I2373" i="2" s="1"/>
  <c r="I2372" i="2"/>
  <c r="H2371" i="2"/>
  <c r="I2371" i="2" s="1"/>
  <c r="H2370" i="2"/>
  <c r="I2370" i="2" s="1"/>
  <c r="H2369" i="2"/>
  <c r="I2369" i="2" s="1"/>
  <c r="H2368" i="2"/>
  <c r="I2368" i="2" s="1"/>
  <c r="H2367" i="2"/>
  <c r="I2367" i="2" s="1"/>
  <c r="H2366" i="2"/>
  <c r="I2366" i="2" s="1"/>
  <c r="H2365" i="2"/>
  <c r="I2365" i="2" s="1"/>
  <c r="H2364" i="2"/>
  <c r="I2364" i="2" s="1"/>
  <c r="H2363" i="2"/>
  <c r="I2363" i="2" s="1"/>
  <c r="H2362" i="2"/>
  <c r="I2362" i="2" s="1"/>
  <c r="H2361" i="2"/>
  <c r="I2361" i="2" s="1"/>
  <c r="H2360" i="2"/>
  <c r="I2360" i="2" s="1"/>
  <c r="H2359" i="2"/>
  <c r="I2359" i="2" s="1"/>
  <c r="H2358" i="2"/>
  <c r="I2358" i="2" s="1"/>
  <c r="H2357" i="2"/>
  <c r="I2357" i="2" s="1"/>
  <c r="H2356" i="2"/>
  <c r="I2356" i="2" s="1"/>
  <c r="H2355" i="2"/>
  <c r="I2355" i="2" s="1"/>
  <c r="H2354" i="2"/>
  <c r="I2354" i="2" s="1"/>
  <c r="H2353" i="2"/>
  <c r="I2353" i="2" s="1"/>
  <c r="H2352" i="2"/>
  <c r="I2352" i="2" s="1"/>
  <c r="H2351" i="2"/>
  <c r="I2351" i="2" s="1"/>
  <c r="H2350" i="2"/>
  <c r="I2350" i="2" s="1"/>
  <c r="H2349" i="2"/>
  <c r="I2349" i="2" s="1"/>
  <c r="H2348" i="2"/>
  <c r="I2348" i="2" s="1"/>
  <c r="H2347" i="2"/>
  <c r="I2347" i="2" s="1"/>
  <c r="H2346" i="2"/>
  <c r="I2346" i="2" s="1"/>
  <c r="H2345" i="2"/>
  <c r="I2345" i="2" s="1"/>
  <c r="H2344" i="2"/>
  <c r="I2344" i="2" s="1"/>
  <c r="H2343" i="2"/>
  <c r="I2343" i="2" s="1"/>
  <c r="H2342" i="2"/>
  <c r="I2342" i="2" s="1"/>
  <c r="H2341" i="2"/>
  <c r="I2341" i="2" s="1"/>
  <c r="H2340" i="2"/>
  <c r="I2340" i="2" s="1"/>
  <c r="H2339" i="2"/>
  <c r="I2339" i="2" s="1"/>
  <c r="H2338" i="2"/>
  <c r="I2338" i="2" s="1"/>
  <c r="H2337" i="2"/>
  <c r="I2337" i="2" s="1"/>
  <c r="H2336" i="2"/>
  <c r="I2336" i="2" s="1"/>
  <c r="H2335" i="2"/>
  <c r="I2335" i="2" s="1"/>
  <c r="H2334" i="2"/>
  <c r="I2334" i="2" s="1"/>
  <c r="H2333" i="2"/>
  <c r="I2333" i="2" s="1"/>
  <c r="H2332" i="2"/>
  <c r="I2332" i="2" s="1"/>
  <c r="H2331" i="2"/>
  <c r="I2331" i="2" s="1"/>
  <c r="H2330" i="2"/>
  <c r="I2330" i="2" s="1"/>
  <c r="H2329" i="2"/>
  <c r="I2329" i="2" s="1"/>
  <c r="H2328" i="2"/>
  <c r="I2328" i="2" s="1"/>
  <c r="H2327" i="2"/>
  <c r="I2327" i="2" s="1"/>
  <c r="H2326" i="2"/>
  <c r="I2326" i="2" s="1"/>
  <c r="H2325" i="2"/>
  <c r="I2325" i="2" s="1"/>
  <c r="H2324" i="2"/>
  <c r="I2324" i="2" s="1"/>
  <c r="H2323" i="2"/>
  <c r="I2323" i="2" s="1"/>
  <c r="H2322" i="2"/>
  <c r="I2322" i="2" s="1"/>
  <c r="H2321" i="2"/>
  <c r="I2321" i="2" s="1"/>
  <c r="H2320" i="2"/>
  <c r="I2320" i="2" s="1"/>
  <c r="H2319" i="2"/>
  <c r="I2319" i="2" s="1"/>
  <c r="H2318" i="2"/>
  <c r="I2318" i="2" s="1"/>
  <c r="H2317" i="2"/>
  <c r="I2317" i="2" s="1"/>
  <c r="H2316" i="2"/>
  <c r="I2316" i="2" s="1"/>
  <c r="H2315" i="2"/>
  <c r="I2315" i="2" s="1"/>
  <c r="H2314" i="2"/>
  <c r="I2314" i="2" s="1"/>
  <c r="H2313" i="2"/>
  <c r="I2313" i="2" s="1"/>
  <c r="H2312" i="2"/>
  <c r="I2312" i="2" s="1"/>
  <c r="H2311" i="2"/>
  <c r="I2311" i="2" s="1"/>
  <c r="H2310" i="2"/>
  <c r="I2310" i="2" s="1"/>
  <c r="H2309" i="2"/>
  <c r="I2309" i="2" s="1"/>
  <c r="H2308" i="2"/>
  <c r="I2308" i="2" s="1"/>
  <c r="H2307" i="2"/>
  <c r="I2307" i="2" s="1"/>
  <c r="H2306" i="2"/>
  <c r="I2306" i="2" s="1"/>
  <c r="H2305" i="2"/>
  <c r="I2305" i="2" s="1"/>
  <c r="H2304" i="2"/>
  <c r="I2304" i="2" s="1"/>
  <c r="H2303" i="2"/>
  <c r="I2303" i="2" s="1"/>
  <c r="H2302" i="2"/>
  <c r="I2302" i="2" s="1"/>
  <c r="H2301" i="2"/>
  <c r="I2301" i="2" s="1"/>
  <c r="H2300" i="2"/>
  <c r="I2300" i="2" s="1"/>
  <c r="H2299" i="2"/>
  <c r="I2299" i="2" s="1"/>
  <c r="H2298" i="2"/>
  <c r="I2298" i="2" s="1"/>
  <c r="H2297" i="2"/>
  <c r="I2297" i="2" s="1"/>
  <c r="H2296" i="2"/>
  <c r="I2296" i="2" s="1"/>
  <c r="H2295" i="2"/>
  <c r="I2295" i="2" s="1"/>
  <c r="H2294" i="2"/>
  <c r="I2294" i="2" s="1"/>
  <c r="H2293" i="2"/>
  <c r="I2293" i="2" s="1"/>
  <c r="H2292" i="2"/>
  <c r="I2292" i="2" s="1"/>
  <c r="H2291" i="2"/>
  <c r="I2291" i="2" s="1"/>
  <c r="H2290" i="2"/>
  <c r="I2290" i="2" s="1"/>
  <c r="H2289" i="2"/>
  <c r="I2289" i="2" s="1"/>
  <c r="H2288" i="2"/>
  <c r="I2288" i="2" s="1"/>
  <c r="H2287" i="2"/>
  <c r="I2287" i="2" s="1"/>
  <c r="H2286" i="2"/>
  <c r="I2286" i="2" s="1"/>
  <c r="H2285" i="2"/>
  <c r="I2285" i="2" s="1"/>
  <c r="H2284" i="2"/>
  <c r="I2284" i="2" s="1"/>
  <c r="H2283" i="2"/>
  <c r="I2283" i="2" s="1"/>
  <c r="H2282" i="2"/>
  <c r="I2282" i="2" s="1"/>
  <c r="H2281" i="2"/>
  <c r="I2281" i="2" s="1"/>
  <c r="H2280" i="2"/>
  <c r="I2280" i="2" s="1"/>
  <c r="H2279" i="2"/>
  <c r="I2279" i="2" s="1"/>
  <c r="H2278" i="2"/>
  <c r="I2278" i="2" s="1"/>
  <c r="H2277" i="2"/>
  <c r="I2277" i="2" s="1"/>
  <c r="H2276" i="2"/>
  <c r="I2276" i="2" s="1"/>
  <c r="H2275" i="2"/>
  <c r="I2275" i="2" s="1"/>
  <c r="H2274" i="2"/>
  <c r="I2274" i="2" s="1"/>
  <c r="H2273" i="2"/>
  <c r="I2273" i="2" s="1"/>
  <c r="H2272" i="2"/>
  <c r="I2272" i="2" s="1"/>
  <c r="H2271" i="2"/>
  <c r="I2271" i="2" s="1"/>
  <c r="H2270" i="2"/>
  <c r="I2270" i="2" s="1"/>
  <c r="H2269" i="2"/>
  <c r="I2269" i="2" s="1"/>
  <c r="H2268" i="2"/>
  <c r="I2268" i="2" s="1"/>
  <c r="H2267" i="2"/>
  <c r="I2267" i="2" s="1"/>
  <c r="H2266" i="2"/>
  <c r="I2266" i="2" s="1"/>
  <c r="H2265" i="2"/>
  <c r="I2265" i="2" s="1"/>
  <c r="H2264" i="2"/>
  <c r="I2264" i="2" s="1"/>
  <c r="H2263" i="2"/>
  <c r="I2263" i="2" s="1"/>
  <c r="H2262" i="2"/>
  <c r="I2262" i="2" s="1"/>
  <c r="H2261" i="2"/>
  <c r="I2261" i="2" s="1"/>
  <c r="H2260" i="2"/>
  <c r="I2260" i="2" s="1"/>
  <c r="H2259" i="2"/>
  <c r="I2259" i="2" s="1"/>
  <c r="H2258" i="2"/>
  <c r="I2258" i="2" s="1"/>
  <c r="H2257" i="2"/>
  <c r="I2257" i="2" s="1"/>
  <c r="H2256" i="2"/>
  <c r="I2256" i="2" s="1"/>
  <c r="H2255" i="2"/>
  <c r="I2255" i="2" s="1"/>
  <c r="H2254" i="2"/>
  <c r="I2254" i="2" s="1"/>
  <c r="I2253" i="2"/>
  <c r="H2253" i="2"/>
  <c r="H2252" i="2"/>
  <c r="I2252" i="2" s="1"/>
  <c r="H2251" i="2"/>
  <c r="I2251" i="2" s="1"/>
  <c r="H2250" i="2"/>
  <c r="I2250" i="2" s="1"/>
  <c r="H2249" i="2"/>
  <c r="I2249" i="2" s="1"/>
  <c r="H2248" i="2"/>
  <c r="I2248" i="2" s="1"/>
  <c r="H2247" i="2"/>
  <c r="I2247" i="2" s="1"/>
  <c r="I2246" i="2"/>
  <c r="H2246" i="2"/>
  <c r="H2245" i="2"/>
  <c r="I2245" i="2" s="1"/>
  <c r="H2244" i="2"/>
  <c r="I2244" i="2" s="1"/>
  <c r="I2243" i="2"/>
  <c r="H2243" i="2"/>
  <c r="H2242" i="2"/>
  <c r="I2242" i="2" s="1"/>
  <c r="H2241" i="2"/>
  <c r="I2241" i="2" s="1"/>
  <c r="H2240" i="2"/>
  <c r="I2240" i="2" s="1"/>
  <c r="H2239" i="2"/>
  <c r="I2239" i="2" s="1"/>
  <c r="H2238" i="2"/>
  <c r="I2238" i="2" s="1"/>
  <c r="H2237" i="2"/>
  <c r="I2237" i="2" s="1"/>
  <c r="H2236" i="2"/>
  <c r="I2236" i="2" s="1"/>
  <c r="H2235" i="2"/>
  <c r="I2235" i="2" s="1"/>
  <c r="H2234" i="2"/>
  <c r="I2234" i="2" s="1"/>
  <c r="H2233" i="2"/>
  <c r="I2233" i="2" s="1"/>
  <c r="H2232" i="2"/>
  <c r="I2232" i="2" s="1"/>
  <c r="H2231" i="2"/>
  <c r="I2231" i="2" s="1"/>
  <c r="H2230" i="2"/>
  <c r="I2230" i="2" s="1"/>
  <c r="H2229" i="2"/>
  <c r="I2229" i="2" s="1"/>
  <c r="H2228" i="2"/>
  <c r="I2228" i="2" s="1"/>
  <c r="H2227" i="2"/>
  <c r="I2227" i="2" s="1"/>
  <c r="H2226" i="2"/>
  <c r="I2226" i="2" s="1"/>
  <c r="H2225" i="2"/>
  <c r="I2225" i="2" s="1"/>
  <c r="H2224" i="2"/>
  <c r="I2224" i="2" s="1"/>
  <c r="H2223" i="2"/>
  <c r="I2223" i="2" s="1"/>
  <c r="H2222" i="2"/>
  <c r="I2222" i="2" s="1"/>
  <c r="H2221" i="2"/>
  <c r="I2221" i="2" s="1"/>
  <c r="H2220" i="2"/>
  <c r="I2220" i="2" s="1"/>
  <c r="H2219" i="2"/>
  <c r="I2219" i="2" s="1"/>
  <c r="H2218" i="2"/>
  <c r="I2218" i="2" s="1"/>
  <c r="H2217" i="2"/>
  <c r="I2217" i="2" s="1"/>
  <c r="H2216" i="2"/>
  <c r="I2216" i="2" s="1"/>
  <c r="H2215" i="2"/>
  <c r="I2215" i="2" s="1"/>
  <c r="H2214" i="2"/>
  <c r="I2214" i="2" s="1"/>
  <c r="H2213" i="2"/>
  <c r="I2213" i="2" s="1"/>
  <c r="H2212" i="2"/>
  <c r="I2212" i="2" s="1"/>
  <c r="H2211" i="2"/>
  <c r="I2211" i="2" s="1"/>
  <c r="H2210" i="2"/>
  <c r="I2210" i="2" s="1"/>
  <c r="H2209" i="2"/>
  <c r="I2209" i="2" s="1"/>
  <c r="H2208" i="2"/>
  <c r="I2208" i="2" s="1"/>
  <c r="H2207" i="2"/>
  <c r="I2207" i="2" s="1"/>
  <c r="H2206" i="2"/>
  <c r="I2206" i="2" s="1"/>
  <c r="H2205" i="2"/>
  <c r="I2205" i="2" s="1"/>
  <c r="H2204" i="2"/>
  <c r="I2204" i="2" s="1"/>
  <c r="H2203" i="2"/>
  <c r="I2203" i="2" s="1"/>
  <c r="H2202" i="2"/>
  <c r="I2202" i="2" s="1"/>
  <c r="H2201" i="2"/>
  <c r="I2201" i="2" s="1"/>
  <c r="H2200" i="2"/>
  <c r="I2200" i="2" s="1"/>
  <c r="H2199" i="2"/>
  <c r="I2199" i="2" s="1"/>
  <c r="H2198" i="2"/>
  <c r="I2198" i="2" s="1"/>
  <c r="H2197" i="2"/>
  <c r="I2197" i="2" s="1"/>
  <c r="H2196" i="2"/>
  <c r="I2196" i="2" s="1"/>
  <c r="H2195" i="2"/>
  <c r="I2195" i="2" s="1"/>
  <c r="H2194" i="2"/>
  <c r="I2194" i="2" s="1"/>
  <c r="H2193" i="2"/>
  <c r="I2193" i="2" s="1"/>
  <c r="H2192" i="2"/>
  <c r="I2192" i="2" s="1"/>
  <c r="H2191" i="2"/>
  <c r="I2191" i="2" s="1"/>
  <c r="H2190" i="2"/>
  <c r="I2190" i="2" s="1"/>
  <c r="H2189" i="2"/>
  <c r="I2189" i="2" s="1"/>
  <c r="H2188" i="2"/>
  <c r="I2188" i="2" s="1"/>
  <c r="H2187" i="2"/>
  <c r="I2187" i="2" s="1"/>
  <c r="H2186" i="2"/>
  <c r="I2186" i="2" s="1"/>
  <c r="H2185" i="2"/>
  <c r="I2185" i="2" s="1"/>
  <c r="H2184" i="2"/>
  <c r="I2184" i="2" s="1"/>
  <c r="H2183" i="2"/>
  <c r="I2183" i="2" s="1"/>
  <c r="H2182" i="2"/>
  <c r="I2182" i="2" s="1"/>
  <c r="H2181" i="2"/>
  <c r="I2181" i="2" s="1"/>
  <c r="H2180" i="2"/>
  <c r="I2180" i="2" s="1"/>
  <c r="H2179" i="2"/>
  <c r="I2179" i="2" s="1"/>
  <c r="H2178" i="2"/>
  <c r="I2178" i="2" s="1"/>
  <c r="H2177" i="2"/>
  <c r="I2177" i="2" s="1"/>
  <c r="H2176" i="2"/>
  <c r="I2176" i="2" s="1"/>
  <c r="H2175" i="2"/>
  <c r="I2175" i="2" s="1"/>
  <c r="H2174" i="2"/>
  <c r="I2174" i="2" s="1"/>
  <c r="H2173" i="2"/>
  <c r="I2173" i="2" s="1"/>
  <c r="H2172" i="2"/>
  <c r="I2172" i="2" s="1"/>
  <c r="H2171" i="2"/>
  <c r="I2171" i="2" s="1"/>
  <c r="H2170" i="2"/>
  <c r="I2170" i="2" s="1"/>
  <c r="I2169" i="2"/>
  <c r="H2169" i="2"/>
  <c r="H2168" i="2"/>
  <c r="I2168" i="2" s="1"/>
  <c r="H2167" i="2"/>
  <c r="I2167" i="2" s="1"/>
  <c r="H2166" i="2"/>
  <c r="I2166" i="2" s="1"/>
  <c r="H2165" i="2"/>
  <c r="I2165" i="2" s="1"/>
  <c r="H2164" i="2"/>
  <c r="I2164" i="2" s="1"/>
  <c r="H2163" i="2"/>
  <c r="I2163" i="2" s="1"/>
  <c r="H2162" i="2"/>
  <c r="I2162" i="2" s="1"/>
  <c r="H2161" i="2"/>
  <c r="I2161" i="2" s="1"/>
  <c r="H2160" i="2"/>
  <c r="I2160" i="2" s="1"/>
  <c r="H2159" i="2"/>
  <c r="I2159" i="2" s="1"/>
  <c r="H2158" i="2"/>
  <c r="I2158" i="2" s="1"/>
  <c r="H2157" i="2"/>
  <c r="I2157" i="2" s="1"/>
  <c r="H2156" i="2"/>
  <c r="I2156" i="2" s="1"/>
  <c r="H2155" i="2"/>
  <c r="I2155" i="2" s="1"/>
  <c r="H2154" i="2"/>
  <c r="I2154" i="2" s="1"/>
  <c r="H2153" i="2"/>
  <c r="I2153" i="2" s="1"/>
  <c r="H2152" i="2"/>
  <c r="I2152" i="2" s="1"/>
  <c r="H2151" i="2"/>
  <c r="I2151" i="2" s="1"/>
  <c r="H2150" i="2"/>
  <c r="I2150" i="2" s="1"/>
  <c r="H2149" i="2"/>
  <c r="I2149" i="2" s="1"/>
  <c r="H2148" i="2"/>
  <c r="I2148" i="2" s="1"/>
  <c r="H2147" i="2"/>
  <c r="I2147" i="2" s="1"/>
  <c r="H2146" i="2"/>
  <c r="I2146" i="2" s="1"/>
  <c r="H2145" i="2"/>
  <c r="I2145" i="2" s="1"/>
  <c r="H2144" i="2"/>
  <c r="I2144" i="2" s="1"/>
  <c r="H2143" i="2"/>
  <c r="I2143" i="2" s="1"/>
  <c r="H2142" i="2"/>
  <c r="I2142" i="2" s="1"/>
  <c r="H2141" i="2"/>
  <c r="I2141" i="2" s="1"/>
  <c r="H2140" i="2"/>
  <c r="I2140" i="2" s="1"/>
  <c r="H2139" i="2"/>
  <c r="I2139" i="2" s="1"/>
  <c r="H2138" i="2"/>
  <c r="I2138" i="2" s="1"/>
  <c r="H2137" i="2"/>
  <c r="I2137" i="2" s="1"/>
  <c r="H2136" i="2"/>
  <c r="I2136" i="2" s="1"/>
  <c r="H2135" i="2"/>
  <c r="I2135" i="2" s="1"/>
  <c r="H2134" i="2"/>
  <c r="I2134" i="2" s="1"/>
  <c r="H2133" i="2"/>
  <c r="I2133" i="2" s="1"/>
  <c r="H2132" i="2"/>
  <c r="I2132" i="2" s="1"/>
  <c r="H2131" i="2"/>
  <c r="I2131" i="2" s="1"/>
  <c r="H2130" i="2"/>
  <c r="I2130" i="2" s="1"/>
  <c r="H2129" i="2"/>
  <c r="I2129" i="2" s="1"/>
  <c r="H2128" i="2"/>
  <c r="I2128" i="2" s="1"/>
  <c r="H2127" i="2"/>
  <c r="I2127" i="2" s="1"/>
  <c r="H2126" i="2"/>
  <c r="I2126" i="2" s="1"/>
  <c r="H2125" i="2"/>
  <c r="I2125" i="2" s="1"/>
  <c r="H2124" i="2"/>
  <c r="I2124" i="2" s="1"/>
  <c r="H2123" i="2"/>
  <c r="I2123" i="2" s="1"/>
  <c r="H2122" i="2"/>
  <c r="I2122" i="2" s="1"/>
  <c r="H2121" i="2"/>
  <c r="I2121" i="2" s="1"/>
  <c r="H2120" i="2"/>
  <c r="I2120" i="2" s="1"/>
  <c r="H2119" i="2"/>
  <c r="I2119" i="2" s="1"/>
  <c r="H2118" i="2"/>
  <c r="I2118" i="2" s="1"/>
  <c r="H2117" i="2"/>
  <c r="I2117" i="2" s="1"/>
  <c r="H2116" i="2"/>
  <c r="I2116" i="2" s="1"/>
  <c r="H2115" i="2"/>
  <c r="I2115" i="2" s="1"/>
  <c r="H2114" i="2"/>
  <c r="I2114" i="2" s="1"/>
  <c r="H2113" i="2"/>
  <c r="I2113" i="2" s="1"/>
  <c r="H2112" i="2"/>
  <c r="I2112" i="2" s="1"/>
  <c r="H2111" i="2"/>
  <c r="I2111" i="2" s="1"/>
  <c r="H2110" i="2"/>
  <c r="I2110" i="2" s="1"/>
  <c r="H2109" i="2"/>
  <c r="I2109" i="2" s="1"/>
  <c r="H2108" i="2"/>
  <c r="I2108" i="2" s="1"/>
  <c r="H2107" i="2"/>
  <c r="I2107" i="2" s="1"/>
  <c r="H2106" i="2"/>
  <c r="I2106" i="2" s="1"/>
  <c r="H2105" i="2"/>
  <c r="I2105" i="2" s="1"/>
  <c r="H2104" i="2"/>
  <c r="I2104" i="2" s="1"/>
  <c r="H2103" i="2"/>
  <c r="I2103" i="2" s="1"/>
  <c r="H2102" i="2"/>
  <c r="I2102" i="2" s="1"/>
  <c r="H2101" i="2"/>
  <c r="I2101" i="2" s="1"/>
  <c r="H2100" i="2"/>
  <c r="I2100" i="2" s="1"/>
  <c r="H2099" i="2"/>
  <c r="I2099" i="2" s="1"/>
  <c r="H2098" i="2"/>
  <c r="I2098" i="2" s="1"/>
  <c r="H2097" i="2"/>
  <c r="I2097" i="2" s="1"/>
  <c r="H2096" i="2"/>
  <c r="I2096" i="2" s="1"/>
  <c r="H2095" i="2"/>
  <c r="I2095" i="2" s="1"/>
  <c r="H2094" i="2"/>
  <c r="I2094" i="2" s="1"/>
  <c r="H2093" i="2"/>
  <c r="I2093" i="2" s="1"/>
  <c r="H2092" i="2"/>
  <c r="I2092" i="2" s="1"/>
  <c r="H2091" i="2"/>
  <c r="I2091" i="2" s="1"/>
  <c r="H2090" i="2"/>
  <c r="I2090" i="2" s="1"/>
  <c r="H2089" i="2"/>
  <c r="I2089" i="2" s="1"/>
  <c r="H2088" i="2"/>
  <c r="I2088" i="2" s="1"/>
  <c r="H2087" i="2"/>
  <c r="I2087" i="2" s="1"/>
  <c r="H2086" i="2"/>
  <c r="I2086" i="2" s="1"/>
  <c r="H2085" i="2"/>
  <c r="I2085" i="2" s="1"/>
  <c r="H2084" i="2"/>
  <c r="I2084" i="2" s="1"/>
  <c r="H2083" i="2"/>
  <c r="I2083" i="2" s="1"/>
  <c r="H2082" i="2"/>
  <c r="I2082" i="2" s="1"/>
  <c r="H2081" i="2"/>
  <c r="I2081" i="2" s="1"/>
  <c r="H2080" i="2"/>
  <c r="I2080" i="2" s="1"/>
  <c r="H2079" i="2"/>
  <c r="I2079" i="2" s="1"/>
  <c r="H2078" i="2"/>
  <c r="I2078" i="2" s="1"/>
  <c r="H2077" i="2"/>
  <c r="I2077" i="2" s="1"/>
  <c r="H2076" i="2"/>
  <c r="I2076" i="2" s="1"/>
  <c r="H2075" i="2"/>
  <c r="I2075" i="2" s="1"/>
  <c r="H2074" i="2"/>
  <c r="I2074" i="2" s="1"/>
  <c r="H2073" i="2"/>
  <c r="I2073" i="2" s="1"/>
  <c r="H2072" i="2"/>
  <c r="I2072" i="2" s="1"/>
  <c r="H2071" i="2"/>
  <c r="I2071" i="2" s="1"/>
  <c r="H2070" i="2"/>
  <c r="I2070" i="2" s="1"/>
  <c r="H2069" i="2"/>
  <c r="I2069" i="2" s="1"/>
  <c r="H2068" i="2"/>
  <c r="I2068" i="2" s="1"/>
  <c r="H2067" i="2"/>
  <c r="I2067" i="2" s="1"/>
  <c r="H2066" i="2"/>
  <c r="I2066" i="2" s="1"/>
  <c r="H2065" i="2"/>
  <c r="I2065" i="2" s="1"/>
  <c r="H2064" i="2"/>
  <c r="I2064" i="2" s="1"/>
  <c r="H2063" i="2"/>
  <c r="I2063" i="2" s="1"/>
  <c r="H2062" i="2"/>
  <c r="I2062" i="2" s="1"/>
  <c r="H2061" i="2"/>
  <c r="I2061" i="2" s="1"/>
  <c r="H2060" i="2"/>
  <c r="I2060" i="2" s="1"/>
  <c r="H2059" i="2"/>
  <c r="I2059" i="2" s="1"/>
  <c r="H2058" i="2"/>
  <c r="I2058" i="2" s="1"/>
  <c r="H2057" i="2"/>
  <c r="I2057" i="2" s="1"/>
  <c r="H2056" i="2"/>
  <c r="I2056" i="2" s="1"/>
  <c r="H2055" i="2"/>
  <c r="I2055" i="2" s="1"/>
  <c r="H2054" i="2"/>
  <c r="I2054" i="2" s="1"/>
  <c r="H2053" i="2"/>
  <c r="I2053" i="2" s="1"/>
  <c r="H2052" i="2"/>
  <c r="I2052" i="2" s="1"/>
  <c r="H2051" i="2"/>
  <c r="I2051" i="2" s="1"/>
  <c r="H2050" i="2"/>
  <c r="I2050" i="2" s="1"/>
  <c r="H2049" i="2"/>
  <c r="I2049" i="2" s="1"/>
  <c r="H2048" i="2"/>
  <c r="I2048" i="2" s="1"/>
  <c r="H2047" i="2"/>
  <c r="I2047" i="2" s="1"/>
  <c r="H2046" i="2"/>
  <c r="I2046" i="2" s="1"/>
  <c r="H2045" i="2"/>
  <c r="I2045" i="2" s="1"/>
  <c r="H2044" i="2"/>
  <c r="I2044" i="2" s="1"/>
  <c r="H2043" i="2"/>
  <c r="I2043" i="2" s="1"/>
  <c r="H2042" i="2"/>
  <c r="I2042" i="2" s="1"/>
  <c r="H2041" i="2"/>
  <c r="I2041" i="2" s="1"/>
  <c r="H2040" i="2"/>
  <c r="I2040" i="2" s="1"/>
  <c r="H2039" i="2"/>
  <c r="I2039" i="2" s="1"/>
  <c r="H2038" i="2"/>
  <c r="I2038" i="2" s="1"/>
  <c r="H2037" i="2"/>
  <c r="I2037" i="2" s="1"/>
  <c r="H2036" i="2"/>
  <c r="I2036" i="2" s="1"/>
  <c r="H2035" i="2"/>
  <c r="I2035" i="2" s="1"/>
  <c r="H2034" i="2"/>
  <c r="I2034" i="2" s="1"/>
  <c r="H2033" i="2"/>
  <c r="I2033" i="2" s="1"/>
  <c r="H2032" i="2"/>
  <c r="I2032" i="2" s="1"/>
  <c r="H2031" i="2"/>
  <c r="I2031" i="2" s="1"/>
  <c r="H2030" i="2"/>
  <c r="I2030" i="2" s="1"/>
  <c r="H2029" i="2"/>
  <c r="I2029" i="2" s="1"/>
  <c r="H2028" i="2"/>
  <c r="I2028" i="2" s="1"/>
  <c r="H2027" i="2"/>
  <c r="I2027" i="2" s="1"/>
  <c r="H2026" i="2"/>
  <c r="I2026" i="2" s="1"/>
  <c r="H2025" i="2"/>
  <c r="I2025" i="2" s="1"/>
  <c r="H2024" i="2"/>
  <c r="I2024" i="2" s="1"/>
  <c r="H2023" i="2"/>
  <c r="I2023" i="2" s="1"/>
  <c r="H2022" i="2"/>
  <c r="I2022" i="2" s="1"/>
  <c r="H2021" i="2"/>
  <c r="I2021" i="2" s="1"/>
  <c r="H2020" i="2"/>
  <c r="I2020" i="2" s="1"/>
  <c r="H2019" i="2"/>
  <c r="I2019" i="2" s="1"/>
  <c r="H2018" i="2"/>
  <c r="I2018" i="2" s="1"/>
  <c r="H2017" i="2"/>
  <c r="I2017" i="2" s="1"/>
  <c r="H2016" i="2"/>
  <c r="I2016" i="2" s="1"/>
  <c r="H2015" i="2"/>
  <c r="I2015" i="2" s="1"/>
  <c r="H2014" i="2"/>
  <c r="I2014" i="2" s="1"/>
  <c r="I2013" i="2"/>
  <c r="H2012" i="2"/>
  <c r="I2012" i="2" s="1"/>
  <c r="H2011" i="2"/>
  <c r="I2011" i="2" s="1"/>
  <c r="H2010" i="2"/>
  <c r="I2010" i="2" s="1"/>
  <c r="H2009" i="2"/>
  <c r="I2009" i="2" s="1"/>
  <c r="H2008" i="2"/>
  <c r="I2008" i="2" s="1"/>
  <c r="H2007" i="2"/>
  <c r="I2007" i="2" s="1"/>
  <c r="H2006" i="2"/>
  <c r="I2006" i="2" s="1"/>
  <c r="H2005" i="2"/>
  <c r="I2005" i="2" s="1"/>
  <c r="H2004" i="2"/>
  <c r="I2004" i="2" s="1"/>
  <c r="H2003" i="2"/>
  <c r="I2003" i="2" s="1"/>
  <c r="H2002" i="2"/>
  <c r="I2002" i="2" s="1"/>
  <c r="H2001" i="2"/>
  <c r="I2001" i="2" s="1"/>
  <c r="H2000" i="2"/>
  <c r="I2000" i="2" s="1"/>
  <c r="H1999" i="2"/>
  <c r="I1999" i="2" s="1"/>
  <c r="H1998" i="2"/>
  <c r="I1998" i="2" s="1"/>
  <c r="H1997" i="2"/>
  <c r="I1997" i="2" s="1"/>
  <c r="H1996" i="2"/>
  <c r="I1996" i="2" s="1"/>
  <c r="H1995" i="2"/>
  <c r="I1995" i="2" s="1"/>
  <c r="H1994" i="2"/>
  <c r="I1994" i="2" s="1"/>
  <c r="H1993" i="2"/>
  <c r="I1993" i="2" s="1"/>
  <c r="H1992" i="2"/>
  <c r="I1992" i="2" s="1"/>
  <c r="H1991" i="2"/>
  <c r="I1991" i="2" s="1"/>
  <c r="H1990" i="2"/>
  <c r="I1990" i="2" s="1"/>
  <c r="H1989" i="2"/>
  <c r="I1989" i="2" s="1"/>
  <c r="H1988" i="2"/>
  <c r="I1988" i="2" s="1"/>
  <c r="H1987" i="2"/>
  <c r="I1987" i="2" s="1"/>
  <c r="H1986" i="2"/>
  <c r="I1986" i="2" s="1"/>
  <c r="H1985" i="2"/>
  <c r="I1985" i="2" s="1"/>
  <c r="H1984" i="2"/>
  <c r="I1984" i="2" s="1"/>
  <c r="H1983" i="2"/>
  <c r="I1983" i="2" s="1"/>
  <c r="H1982" i="2"/>
  <c r="I1982" i="2" s="1"/>
  <c r="H1981" i="2"/>
  <c r="I1981" i="2" s="1"/>
  <c r="H1980" i="2"/>
  <c r="I1980" i="2" s="1"/>
  <c r="H1979" i="2"/>
  <c r="I1979" i="2" s="1"/>
  <c r="H1978" i="2"/>
  <c r="I1978" i="2" s="1"/>
  <c r="H1977" i="2"/>
  <c r="I1977" i="2" s="1"/>
  <c r="H1976" i="2"/>
  <c r="I1976" i="2" s="1"/>
  <c r="H1975" i="2"/>
  <c r="I1975" i="2" s="1"/>
  <c r="H1974" i="2"/>
  <c r="I1974" i="2" s="1"/>
  <c r="H1973" i="2"/>
  <c r="I1973" i="2" s="1"/>
  <c r="H1972" i="2"/>
  <c r="I1972" i="2" s="1"/>
  <c r="H1971" i="2"/>
  <c r="I1971" i="2" s="1"/>
  <c r="H1970" i="2"/>
  <c r="I1970" i="2" s="1"/>
  <c r="H1969" i="2"/>
  <c r="I1969" i="2" s="1"/>
  <c r="H1968" i="2"/>
  <c r="I1968" i="2" s="1"/>
  <c r="H1967" i="2"/>
  <c r="I1967" i="2" s="1"/>
  <c r="H1966" i="2"/>
  <c r="I1966" i="2" s="1"/>
  <c r="H1965" i="2"/>
  <c r="I1965" i="2" s="1"/>
  <c r="H1964" i="2"/>
  <c r="I1964" i="2" s="1"/>
  <c r="H1963" i="2"/>
  <c r="I1963" i="2" s="1"/>
  <c r="H1962" i="2"/>
  <c r="I1962" i="2" s="1"/>
  <c r="H1961" i="2"/>
  <c r="I1961" i="2" s="1"/>
  <c r="H1960" i="2"/>
  <c r="I1960" i="2" s="1"/>
  <c r="H1959" i="2"/>
  <c r="I1959" i="2" s="1"/>
  <c r="H1958" i="2"/>
  <c r="I1958" i="2" s="1"/>
  <c r="H1957" i="2"/>
  <c r="I1957" i="2" s="1"/>
  <c r="H1956" i="2"/>
  <c r="I1956" i="2" s="1"/>
  <c r="H1955" i="2"/>
  <c r="I1955" i="2" s="1"/>
  <c r="H1954" i="2"/>
  <c r="I1954" i="2" s="1"/>
  <c r="H1953" i="2"/>
  <c r="I1953" i="2" s="1"/>
  <c r="H1952" i="2"/>
  <c r="I1952" i="2" s="1"/>
  <c r="H1951" i="2"/>
  <c r="I1951" i="2" s="1"/>
  <c r="H1950" i="2"/>
  <c r="I1950" i="2" s="1"/>
  <c r="H1949" i="2"/>
  <c r="I1949" i="2" s="1"/>
  <c r="H1948" i="2"/>
  <c r="I1948" i="2" s="1"/>
  <c r="H1947" i="2"/>
  <c r="I1947" i="2" s="1"/>
  <c r="H1946" i="2"/>
  <c r="I1946" i="2" s="1"/>
  <c r="H1945" i="2"/>
  <c r="I1945" i="2" s="1"/>
  <c r="H1944" i="2"/>
  <c r="I1944" i="2" s="1"/>
  <c r="H1943" i="2"/>
  <c r="I1943" i="2" s="1"/>
  <c r="H1942" i="2"/>
  <c r="I1942" i="2" s="1"/>
  <c r="H1941" i="2"/>
  <c r="I1941" i="2" s="1"/>
  <c r="H1940" i="2"/>
  <c r="I1940" i="2" s="1"/>
  <c r="H1939" i="2"/>
  <c r="I1939" i="2" s="1"/>
  <c r="H1938" i="2"/>
  <c r="I1938" i="2" s="1"/>
  <c r="H1937" i="2"/>
  <c r="I1937" i="2" s="1"/>
  <c r="H1936" i="2"/>
  <c r="I1936" i="2" s="1"/>
  <c r="H1935" i="2"/>
  <c r="I1935" i="2" s="1"/>
  <c r="H1934" i="2"/>
  <c r="I1934" i="2" s="1"/>
  <c r="H1933" i="2"/>
  <c r="I1933" i="2" s="1"/>
  <c r="H1932" i="2"/>
  <c r="I1932" i="2" s="1"/>
  <c r="H1931" i="2"/>
  <c r="I1931" i="2" s="1"/>
  <c r="H1930" i="2"/>
  <c r="I1930" i="2" s="1"/>
  <c r="H1929" i="2"/>
  <c r="I1929" i="2" s="1"/>
  <c r="H1928" i="2"/>
  <c r="I1928" i="2" s="1"/>
  <c r="I1927" i="2"/>
  <c r="H1926" i="2"/>
  <c r="I1926" i="2" s="1"/>
  <c r="H1925" i="2"/>
  <c r="I1925" i="2" s="1"/>
  <c r="H1924" i="2"/>
  <c r="I1924" i="2" s="1"/>
  <c r="H1923" i="2"/>
  <c r="I1923" i="2" s="1"/>
  <c r="H1922" i="2"/>
  <c r="I1922" i="2" s="1"/>
  <c r="H1921" i="2"/>
  <c r="I1921" i="2" s="1"/>
  <c r="H1920" i="2"/>
  <c r="I1920" i="2" s="1"/>
  <c r="H1919" i="2"/>
  <c r="I1919" i="2" s="1"/>
  <c r="H1918" i="2"/>
  <c r="I1918" i="2" s="1"/>
  <c r="H1917" i="2"/>
  <c r="I1917" i="2" s="1"/>
  <c r="H1916" i="2"/>
  <c r="I1916" i="2" s="1"/>
  <c r="H1915" i="2"/>
  <c r="I1915" i="2" s="1"/>
  <c r="H1914" i="2"/>
  <c r="I1914" i="2" s="1"/>
  <c r="H1913" i="2"/>
  <c r="I1913" i="2" s="1"/>
  <c r="H1912" i="2"/>
  <c r="I1912" i="2" s="1"/>
  <c r="H1911" i="2"/>
  <c r="I1911" i="2" s="1"/>
  <c r="I1910" i="2"/>
  <c r="H1910" i="2"/>
  <c r="H1909" i="2"/>
  <c r="I1909" i="2" s="1"/>
  <c r="H1908" i="2"/>
  <c r="I1908" i="2" s="1"/>
  <c r="H1907" i="2"/>
  <c r="I1907" i="2" s="1"/>
  <c r="H1906" i="2"/>
  <c r="I1906" i="2" s="1"/>
  <c r="H1905" i="2"/>
  <c r="I1905" i="2" s="1"/>
  <c r="H1904" i="2"/>
  <c r="I1904" i="2" s="1"/>
  <c r="H1903" i="2"/>
  <c r="I1903" i="2" s="1"/>
  <c r="H1902" i="2"/>
  <c r="I1902" i="2" s="1"/>
  <c r="H1901" i="2"/>
  <c r="I1901" i="2" s="1"/>
  <c r="H1900" i="2"/>
  <c r="I1900" i="2" s="1"/>
  <c r="H1899" i="2"/>
  <c r="I1899" i="2" s="1"/>
  <c r="H1898" i="2"/>
  <c r="I1898" i="2" s="1"/>
  <c r="H1897" i="2"/>
  <c r="I1897" i="2" s="1"/>
  <c r="H1896" i="2"/>
  <c r="I1896" i="2" s="1"/>
  <c r="H1895" i="2"/>
  <c r="I1895" i="2" s="1"/>
  <c r="H1894" i="2"/>
  <c r="I1894" i="2" s="1"/>
  <c r="H1893" i="2"/>
  <c r="I1893" i="2" s="1"/>
  <c r="H1892" i="2"/>
  <c r="I1892" i="2" s="1"/>
  <c r="H1891" i="2"/>
  <c r="I1891" i="2" s="1"/>
  <c r="H1890" i="2"/>
  <c r="I1890" i="2" s="1"/>
  <c r="H1889" i="2"/>
  <c r="I1889" i="2" s="1"/>
  <c r="H1888" i="2"/>
  <c r="I1888" i="2" s="1"/>
  <c r="H1887" i="2"/>
  <c r="I1887" i="2" s="1"/>
  <c r="H1886" i="2"/>
  <c r="I1886" i="2" s="1"/>
  <c r="H1885" i="2"/>
  <c r="I1885" i="2" s="1"/>
  <c r="H1884" i="2"/>
  <c r="I1884" i="2" s="1"/>
  <c r="H1883" i="2"/>
  <c r="I1883" i="2" s="1"/>
  <c r="H1882" i="2"/>
  <c r="I1882" i="2" s="1"/>
  <c r="H1881" i="2"/>
  <c r="I1881" i="2" s="1"/>
  <c r="H1880" i="2"/>
  <c r="I1880" i="2" s="1"/>
  <c r="H1879" i="2"/>
  <c r="I1879" i="2" s="1"/>
  <c r="H1878" i="2"/>
  <c r="I1878" i="2" s="1"/>
  <c r="H1877" i="2"/>
  <c r="I1877" i="2" s="1"/>
  <c r="H1876" i="2"/>
  <c r="I1876" i="2" s="1"/>
  <c r="H1875" i="2"/>
  <c r="I1875" i="2" s="1"/>
  <c r="H1874" i="2"/>
  <c r="I1874" i="2" s="1"/>
  <c r="H1873" i="2"/>
  <c r="I1873" i="2" s="1"/>
  <c r="H1872" i="2"/>
  <c r="I1872" i="2" s="1"/>
  <c r="H1871" i="2"/>
  <c r="I1871" i="2" s="1"/>
  <c r="H1870" i="2"/>
  <c r="I1870" i="2" s="1"/>
  <c r="H1869" i="2"/>
  <c r="I1869" i="2" s="1"/>
  <c r="H1868" i="2"/>
  <c r="I1868" i="2" s="1"/>
  <c r="H1867" i="2"/>
  <c r="I1867" i="2" s="1"/>
  <c r="H1866" i="2"/>
  <c r="I1866" i="2" s="1"/>
  <c r="H1865" i="2"/>
  <c r="I1865" i="2" s="1"/>
  <c r="H1864" i="2"/>
  <c r="I1864" i="2" s="1"/>
  <c r="H1863" i="2"/>
  <c r="I1863" i="2" s="1"/>
  <c r="H1862" i="2"/>
  <c r="I1862" i="2" s="1"/>
  <c r="H1861" i="2"/>
  <c r="I1861" i="2" s="1"/>
  <c r="H1860" i="2"/>
  <c r="I1860" i="2" s="1"/>
  <c r="H1859" i="2"/>
  <c r="I1859" i="2" s="1"/>
  <c r="H1858" i="2"/>
  <c r="I1858" i="2" s="1"/>
  <c r="H1857" i="2"/>
  <c r="I1857" i="2" s="1"/>
  <c r="I1856" i="2"/>
  <c r="H1855" i="2"/>
  <c r="I1855" i="2" s="1"/>
  <c r="H1854" i="2"/>
  <c r="I1854" i="2" s="1"/>
  <c r="H1853" i="2"/>
  <c r="I1853" i="2" s="1"/>
  <c r="H1852" i="2"/>
  <c r="I1852" i="2" s="1"/>
  <c r="I1851" i="2"/>
  <c r="H1850" i="2"/>
  <c r="I1850" i="2" s="1"/>
  <c r="H1849" i="2"/>
  <c r="I1849" i="2" s="1"/>
  <c r="H1848" i="2"/>
  <c r="I1848" i="2" s="1"/>
  <c r="H1847" i="2"/>
  <c r="I1847" i="2" s="1"/>
  <c r="H1846" i="2"/>
  <c r="I1846" i="2" s="1"/>
  <c r="H1845" i="2"/>
  <c r="I1845" i="2" s="1"/>
  <c r="H1844" i="2"/>
  <c r="I1844" i="2" s="1"/>
  <c r="H1843" i="2"/>
  <c r="I1843" i="2" s="1"/>
  <c r="H1842" i="2"/>
  <c r="I1842" i="2" s="1"/>
  <c r="H1841" i="2"/>
  <c r="I1841" i="2" s="1"/>
  <c r="H1840" i="2"/>
  <c r="I1840" i="2" s="1"/>
  <c r="H1839" i="2"/>
  <c r="I1839" i="2" s="1"/>
  <c r="H1838" i="2"/>
  <c r="I1838" i="2" s="1"/>
  <c r="H1837" i="2"/>
  <c r="I1837" i="2" s="1"/>
  <c r="H1836" i="2"/>
  <c r="I1836" i="2" s="1"/>
  <c r="H1835" i="2"/>
  <c r="I1835" i="2" s="1"/>
  <c r="H1834" i="2"/>
  <c r="I1834" i="2" s="1"/>
  <c r="H1833" i="2"/>
  <c r="I1833" i="2" s="1"/>
  <c r="H1832" i="2"/>
  <c r="I1832" i="2" s="1"/>
  <c r="H1831" i="2"/>
  <c r="I1831" i="2" s="1"/>
  <c r="H1830" i="2"/>
  <c r="I1830" i="2" s="1"/>
  <c r="H1829" i="2"/>
  <c r="I1829" i="2" s="1"/>
  <c r="H1828" i="2"/>
  <c r="I1828" i="2" s="1"/>
  <c r="H1827" i="2"/>
  <c r="I1827" i="2" s="1"/>
  <c r="H1826" i="2"/>
  <c r="I1826" i="2" s="1"/>
  <c r="H1825" i="2"/>
  <c r="I1825" i="2" s="1"/>
  <c r="H1824" i="2"/>
  <c r="I1824" i="2" s="1"/>
  <c r="H1823" i="2"/>
  <c r="I1823" i="2" s="1"/>
  <c r="H1822" i="2"/>
  <c r="I1822" i="2" s="1"/>
  <c r="H1821" i="2"/>
  <c r="I1821" i="2" s="1"/>
  <c r="H1820" i="2"/>
  <c r="I1820" i="2" s="1"/>
  <c r="H1819" i="2"/>
  <c r="I1819" i="2" s="1"/>
  <c r="H1818" i="2"/>
  <c r="I1818" i="2" s="1"/>
  <c r="H1817" i="2"/>
  <c r="I1817" i="2" s="1"/>
  <c r="H1816" i="2"/>
  <c r="I1816" i="2" s="1"/>
  <c r="H1815" i="2"/>
  <c r="I1815" i="2" s="1"/>
  <c r="H1814" i="2"/>
  <c r="I1814" i="2" s="1"/>
  <c r="H1813" i="2"/>
  <c r="I1813" i="2" s="1"/>
  <c r="H1812" i="2"/>
  <c r="I1812" i="2" s="1"/>
  <c r="H1811" i="2"/>
  <c r="I1811" i="2" s="1"/>
  <c r="H1810" i="2"/>
  <c r="I1810" i="2" s="1"/>
  <c r="H1809" i="2"/>
  <c r="I1809" i="2" s="1"/>
  <c r="H1808" i="2"/>
  <c r="I1808" i="2" s="1"/>
  <c r="H1807" i="2"/>
  <c r="I1807" i="2" s="1"/>
  <c r="H1806" i="2"/>
  <c r="I1806" i="2" s="1"/>
  <c r="H1805" i="2"/>
  <c r="I1805" i="2" s="1"/>
  <c r="H1804" i="2"/>
  <c r="I1804" i="2" s="1"/>
  <c r="H1803" i="2"/>
  <c r="I1803" i="2" s="1"/>
  <c r="H1802" i="2"/>
  <c r="I1802" i="2" s="1"/>
  <c r="H1801" i="2"/>
  <c r="I1801" i="2" s="1"/>
  <c r="H1800" i="2"/>
  <c r="I1800" i="2" s="1"/>
  <c r="H1799" i="2"/>
  <c r="I1799" i="2" s="1"/>
  <c r="H1798" i="2"/>
  <c r="I1798" i="2" s="1"/>
  <c r="H1797" i="2"/>
  <c r="I1797" i="2" s="1"/>
  <c r="H1796" i="2"/>
  <c r="I1796" i="2" s="1"/>
  <c r="H1795" i="2"/>
  <c r="I1795" i="2" s="1"/>
  <c r="H1794" i="2"/>
  <c r="I1794" i="2" s="1"/>
  <c r="H1793" i="2"/>
  <c r="I1793" i="2" s="1"/>
  <c r="H1792" i="2"/>
  <c r="I1792" i="2" s="1"/>
  <c r="H1791" i="2"/>
  <c r="I1791" i="2" s="1"/>
  <c r="H1790" i="2"/>
  <c r="I1790" i="2" s="1"/>
  <c r="H1789" i="2"/>
  <c r="I1789" i="2" s="1"/>
  <c r="H1788" i="2"/>
  <c r="I1788" i="2" s="1"/>
  <c r="H1787" i="2"/>
  <c r="I1787" i="2" s="1"/>
  <c r="H1786" i="2"/>
  <c r="I1786" i="2" s="1"/>
  <c r="H1785" i="2"/>
  <c r="I1785" i="2" s="1"/>
  <c r="H1784" i="2"/>
  <c r="I1784" i="2" s="1"/>
  <c r="H1783" i="2"/>
  <c r="I1783" i="2" s="1"/>
  <c r="H1782" i="2"/>
  <c r="I1782" i="2" s="1"/>
  <c r="I1781" i="2"/>
  <c r="H1781" i="2"/>
  <c r="H1780" i="2"/>
  <c r="I1780" i="2" s="1"/>
  <c r="H1779" i="2"/>
  <c r="I1779" i="2" s="1"/>
  <c r="H1778" i="2"/>
  <c r="I1778" i="2" s="1"/>
  <c r="H1777" i="2"/>
  <c r="I1777" i="2" s="1"/>
  <c r="H1776" i="2"/>
  <c r="I1776" i="2" s="1"/>
  <c r="H1775" i="2"/>
  <c r="I1775" i="2" s="1"/>
  <c r="H1774" i="2"/>
  <c r="I1774" i="2" s="1"/>
  <c r="H1773" i="2"/>
  <c r="I1773" i="2" s="1"/>
  <c r="H1772" i="2"/>
  <c r="I1772" i="2" s="1"/>
  <c r="H1771" i="2"/>
  <c r="I1771" i="2" s="1"/>
  <c r="H1770" i="2"/>
  <c r="I1770" i="2" s="1"/>
  <c r="H1769" i="2"/>
  <c r="I1769" i="2" s="1"/>
  <c r="H1768" i="2"/>
  <c r="I1768" i="2" s="1"/>
  <c r="I1767" i="2"/>
  <c r="H1766" i="2"/>
  <c r="I1766" i="2" s="1"/>
  <c r="H1765" i="2"/>
  <c r="I1765" i="2" s="1"/>
  <c r="H1764" i="2"/>
  <c r="I1764" i="2" s="1"/>
  <c r="H1763" i="2"/>
  <c r="I1763" i="2" s="1"/>
  <c r="H1762" i="2"/>
  <c r="I1762" i="2" s="1"/>
  <c r="H1761" i="2"/>
  <c r="I1761" i="2" s="1"/>
  <c r="H1760" i="2"/>
  <c r="I1760" i="2" s="1"/>
  <c r="H1759" i="2"/>
  <c r="I1759" i="2" s="1"/>
  <c r="H1758" i="2"/>
  <c r="I1758" i="2" s="1"/>
  <c r="H1757" i="2"/>
  <c r="I1757" i="2" s="1"/>
  <c r="H1756" i="2"/>
  <c r="I1756" i="2" s="1"/>
  <c r="H1755" i="2"/>
  <c r="I1755" i="2" s="1"/>
  <c r="H1754" i="2"/>
  <c r="I1754" i="2" s="1"/>
  <c r="H1753" i="2"/>
  <c r="I1753" i="2" s="1"/>
  <c r="I1752" i="2"/>
  <c r="H1751" i="2"/>
  <c r="I1751" i="2" s="1"/>
  <c r="H1750" i="2"/>
  <c r="I1750" i="2" s="1"/>
  <c r="H1749" i="2"/>
  <c r="I1749" i="2" s="1"/>
  <c r="H1748" i="2"/>
  <c r="I1748" i="2" s="1"/>
  <c r="H1747" i="2"/>
  <c r="I1747" i="2" s="1"/>
  <c r="H1746" i="2"/>
  <c r="I1746" i="2" s="1"/>
  <c r="H1745" i="2"/>
  <c r="I1745" i="2" s="1"/>
  <c r="H1744" i="2"/>
  <c r="I1744" i="2" s="1"/>
  <c r="H1743" i="2"/>
  <c r="I1743" i="2" s="1"/>
  <c r="H1742" i="2"/>
  <c r="I1742" i="2" s="1"/>
  <c r="H1741" i="2"/>
  <c r="I1741" i="2" s="1"/>
  <c r="H1740" i="2"/>
  <c r="I1740" i="2" s="1"/>
  <c r="H1739" i="2"/>
  <c r="I1739" i="2" s="1"/>
  <c r="H1738" i="2"/>
  <c r="I1738" i="2" s="1"/>
  <c r="H1737" i="2"/>
  <c r="I1737" i="2" s="1"/>
  <c r="H1736" i="2"/>
  <c r="I1736" i="2" s="1"/>
  <c r="H1735" i="2"/>
  <c r="I1735" i="2" s="1"/>
  <c r="H1734" i="2"/>
  <c r="I1734" i="2" s="1"/>
  <c r="H1733" i="2"/>
  <c r="I1733" i="2" s="1"/>
  <c r="H1732" i="2"/>
  <c r="I1732" i="2" s="1"/>
  <c r="H1731" i="2"/>
  <c r="I1731" i="2" s="1"/>
  <c r="H1730" i="2"/>
  <c r="I1730" i="2" s="1"/>
  <c r="H1729" i="2"/>
  <c r="I1729" i="2" s="1"/>
  <c r="H1728" i="2"/>
  <c r="I1728" i="2" s="1"/>
  <c r="H1727" i="2"/>
  <c r="I1727" i="2" s="1"/>
  <c r="H1726" i="2"/>
  <c r="I1726" i="2" s="1"/>
  <c r="H1725" i="2"/>
  <c r="I1725" i="2" s="1"/>
  <c r="H1724" i="2"/>
  <c r="I1724" i="2" s="1"/>
  <c r="H1723" i="2"/>
  <c r="I1723" i="2" s="1"/>
  <c r="H1722" i="2"/>
  <c r="I1722" i="2" s="1"/>
  <c r="H1721" i="2"/>
  <c r="I1721" i="2" s="1"/>
  <c r="H1720" i="2"/>
  <c r="I1720" i="2" s="1"/>
  <c r="H1719" i="2"/>
  <c r="I1719" i="2" s="1"/>
  <c r="H1718" i="2"/>
  <c r="I1718" i="2" s="1"/>
  <c r="H1717" i="2"/>
  <c r="I1717" i="2" s="1"/>
  <c r="H1716" i="2"/>
  <c r="I1716" i="2" s="1"/>
  <c r="H1715" i="2"/>
  <c r="I1715" i="2" s="1"/>
  <c r="H1714" i="2"/>
  <c r="I1714" i="2" s="1"/>
  <c r="H1713" i="2"/>
  <c r="I1713" i="2" s="1"/>
  <c r="H1712" i="2"/>
  <c r="I1712" i="2" s="1"/>
  <c r="H1711" i="2"/>
  <c r="I1711" i="2" s="1"/>
  <c r="H1710" i="2"/>
  <c r="I1710" i="2" s="1"/>
  <c r="H1709" i="2"/>
  <c r="I1709" i="2" s="1"/>
  <c r="H1708" i="2"/>
  <c r="I1708" i="2" s="1"/>
  <c r="H1707" i="2"/>
  <c r="I1707" i="2" s="1"/>
  <c r="H1706" i="2"/>
  <c r="I1706" i="2" s="1"/>
  <c r="H1705" i="2"/>
  <c r="I1705" i="2" s="1"/>
  <c r="H1704" i="2"/>
  <c r="I1704" i="2" s="1"/>
  <c r="H1703" i="2"/>
  <c r="I1703" i="2" s="1"/>
  <c r="H1702" i="2"/>
  <c r="I1702" i="2" s="1"/>
  <c r="H1701" i="2"/>
  <c r="I1701" i="2" s="1"/>
  <c r="H1700" i="2"/>
  <c r="I1700" i="2" s="1"/>
  <c r="H1699" i="2"/>
  <c r="I1699" i="2" s="1"/>
  <c r="H1698" i="2"/>
  <c r="I1698" i="2" s="1"/>
  <c r="H1697" i="2"/>
  <c r="I1697" i="2" s="1"/>
  <c r="H1696" i="2"/>
  <c r="I1696" i="2" s="1"/>
  <c r="H1695" i="2"/>
  <c r="I1695" i="2" s="1"/>
  <c r="H1694" i="2"/>
  <c r="I1694" i="2" s="1"/>
  <c r="H1693" i="2"/>
  <c r="I1693" i="2" s="1"/>
  <c r="H1692" i="2"/>
  <c r="I1692" i="2" s="1"/>
  <c r="H1691" i="2"/>
  <c r="I1691" i="2" s="1"/>
  <c r="H1690" i="2"/>
  <c r="I1690" i="2" s="1"/>
  <c r="H1689" i="2"/>
  <c r="I1689" i="2" s="1"/>
  <c r="H1688" i="2"/>
  <c r="I1688" i="2" s="1"/>
  <c r="H1687" i="2"/>
  <c r="I1687" i="2" s="1"/>
  <c r="H1686" i="2"/>
  <c r="I1686" i="2" s="1"/>
  <c r="H1685" i="2"/>
  <c r="I1685" i="2" s="1"/>
  <c r="H1684" i="2"/>
  <c r="I1684" i="2" s="1"/>
  <c r="I1683" i="2"/>
  <c r="H1683" i="2"/>
  <c r="H1682" i="2"/>
  <c r="I1682" i="2" s="1"/>
  <c r="H1681" i="2"/>
  <c r="I1681" i="2" s="1"/>
  <c r="H1680" i="2"/>
  <c r="I1680" i="2" s="1"/>
  <c r="H1679" i="2"/>
  <c r="I1679" i="2" s="1"/>
  <c r="H1678" i="2"/>
  <c r="I1678" i="2" s="1"/>
  <c r="H1677" i="2"/>
  <c r="I1677" i="2" s="1"/>
  <c r="H1676" i="2"/>
  <c r="I1676" i="2" s="1"/>
  <c r="H1675" i="2"/>
  <c r="I1675" i="2" s="1"/>
  <c r="H1674" i="2"/>
  <c r="I1674" i="2" s="1"/>
  <c r="H1673" i="2"/>
  <c r="I1673" i="2" s="1"/>
  <c r="H1672" i="2"/>
  <c r="I1672" i="2" s="1"/>
  <c r="H1671" i="2"/>
  <c r="I1671" i="2" s="1"/>
  <c r="H1670" i="2"/>
  <c r="I1670" i="2" s="1"/>
  <c r="H1669" i="2"/>
  <c r="I1669" i="2" s="1"/>
  <c r="H1668" i="2"/>
  <c r="I1668" i="2" s="1"/>
  <c r="H1667" i="2"/>
  <c r="I1667" i="2" s="1"/>
  <c r="H1666" i="2"/>
  <c r="I1666" i="2" s="1"/>
  <c r="H1665" i="2"/>
  <c r="I1665" i="2" s="1"/>
  <c r="H1664" i="2"/>
  <c r="I1664" i="2" s="1"/>
  <c r="H1663" i="2"/>
  <c r="I1663" i="2" s="1"/>
  <c r="H1662" i="2"/>
  <c r="I1662" i="2" s="1"/>
  <c r="H1661" i="2"/>
  <c r="I1661" i="2" s="1"/>
  <c r="H1660" i="2"/>
  <c r="I1660" i="2" s="1"/>
  <c r="H1659" i="2"/>
  <c r="I1659" i="2" s="1"/>
  <c r="H1658" i="2"/>
  <c r="I1658" i="2" s="1"/>
  <c r="H1657" i="2"/>
  <c r="I1657" i="2" s="1"/>
  <c r="H1656" i="2"/>
  <c r="I1656" i="2" s="1"/>
  <c r="H1655" i="2"/>
  <c r="I1655" i="2" s="1"/>
  <c r="H1654" i="2"/>
  <c r="I1654" i="2" s="1"/>
  <c r="H1653" i="2"/>
  <c r="I1653" i="2" s="1"/>
  <c r="H1652" i="2"/>
  <c r="I1652" i="2" s="1"/>
  <c r="H1651" i="2"/>
  <c r="I1651" i="2" s="1"/>
  <c r="H1650" i="2"/>
  <c r="I1650" i="2" s="1"/>
  <c r="H1649" i="2"/>
  <c r="I1649" i="2" s="1"/>
  <c r="H1648" i="2"/>
  <c r="I1648" i="2" s="1"/>
  <c r="H1647" i="2"/>
  <c r="I1647" i="2" s="1"/>
  <c r="H1646" i="2"/>
  <c r="I1646" i="2" s="1"/>
  <c r="H1645" i="2"/>
  <c r="I1645" i="2" s="1"/>
  <c r="H1644" i="2"/>
  <c r="I1644" i="2" s="1"/>
  <c r="H1643" i="2"/>
  <c r="I1643" i="2" s="1"/>
  <c r="H1642" i="2"/>
  <c r="I1642" i="2" s="1"/>
  <c r="H1641" i="2"/>
  <c r="I1641" i="2" s="1"/>
  <c r="H1640" i="2"/>
  <c r="I1640" i="2" s="1"/>
  <c r="H1639" i="2"/>
  <c r="I1639" i="2" s="1"/>
  <c r="H1638" i="2"/>
  <c r="I1638" i="2" s="1"/>
  <c r="H1637" i="2"/>
  <c r="I1637" i="2" s="1"/>
  <c r="H1636" i="2"/>
  <c r="I1636" i="2" s="1"/>
  <c r="H1635" i="2"/>
  <c r="I1635" i="2" s="1"/>
  <c r="H1634" i="2"/>
  <c r="I1634" i="2" s="1"/>
  <c r="H1633" i="2"/>
  <c r="I1633" i="2" s="1"/>
  <c r="H1632" i="2"/>
  <c r="I1632" i="2" s="1"/>
  <c r="H1631" i="2"/>
  <c r="I1631" i="2" s="1"/>
  <c r="H1630" i="2"/>
  <c r="I1630" i="2" s="1"/>
  <c r="H1629" i="2"/>
  <c r="I1629" i="2" s="1"/>
  <c r="H1628" i="2"/>
  <c r="I1628" i="2" s="1"/>
  <c r="H1627" i="2"/>
  <c r="I1627" i="2" s="1"/>
  <c r="H1626" i="2"/>
  <c r="I1626" i="2" s="1"/>
  <c r="H1625" i="2"/>
  <c r="I1625" i="2" s="1"/>
  <c r="H1624" i="2"/>
  <c r="I1624" i="2" s="1"/>
  <c r="H1623" i="2"/>
  <c r="I1623" i="2" s="1"/>
  <c r="H1622" i="2"/>
  <c r="I1622" i="2" s="1"/>
  <c r="H1621" i="2"/>
  <c r="I1621" i="2" s="1"/>
  <c r="H1620" i="2"/>
  <c r="I1620" i="2" s="1"/>
  <c r="H1619" i="2"/>
  <c r="I1619" i="2" s="1"/>
  <c r="I1618" i="2"/>
  <c r="H1617" i="2"/>
  <c r="I1617" i="2" s="1"/>
  <c r="H1616" i="2"/>
  <c r="I1616" i="2" s="1"/>
  <c r="H1615" i="2"/>
  <c r="I1615" i="2" s="1"/>
  <c r="H1614" i="2"/>
  <c r="I1614" i="2" s="1"/>
  <c r="H1613" i="2"/>
  <c r="H1612" i="2"/>
  <c r="I1612" i="2" s="1"/>
  <c r="H1611" i="2"/>
  <c r="I1611" i="2" s="1"/>
  <c r="H1610" i="2"/>
  <c r="I1610" i="2" s="1"/>
  <c r="H1609" i="2"/>
  <c r="I1609" i="2" s="1"/>
  <c r="H1608" i="2"/>
  <c r="I1608" i="2" s="1"/>
  <c r="H1607" i="2"/>
  <c r="I1607" i="2" s="1"/>
  <c r="H1606" i="2"/>
  <c r="I1606" i="2" s="1"/>
  <c r="H1605" i="2"/>
  <c r="I1605" i="2" s="1"/>
  <c r="H1604" i="2"/>
  <c r="I1604" i="2" s="1"/>
  <c r="H1603" i="2"/>
  <c r="I1603" i="2" s="1"/>
  <c r="H1602" i="2"/>
  <c r="I1602" i="2" s="1"/>
  <c r="H1601" i="2"/>
  <c r="I1601" i="2" s="1"/>
  <c r="H1600" i="2"/>
  <c r="I1600" i="2" s="1"/>
  <c r="H1599" i="2"/>
  <c r="I1599" i="2" s="1"/>
  <c r="H1598" i="2"/>
  <c r="I1598" i="2" s="1"/>
  <c r="H1597" i="2"/>
  <c r="I1597" i="2" s="1"/>
  <c r="H1596" i="2"/>
  <c r="I1596" i="2" s="1"/>
  <c r="H1595" i="2"/>
  <c r="I1595" i="2" s="1"/>
  <c r="H1594" i="2"/>
  <c r="I1594" i="2" s="1"/>
  <c r="H1593" i="2"/>
  <c r="I1593" i="2" s="1"/>
  <c r="H1592" i="2"/>
  <c r="I1592" i="2" s="1"/>
  <c r="H1591" i="2"/>
  <c r="I1591" i="2" s="1"/>
  <c r="H1590" i="2"/>
  <c r="I1590" i="2" s="1"/>
  <c r="H1589" i="2"/>
  <c r="I1589" i="2" s="1"/>
  <c r="H1588" i="2"/>
  <c r="I1588" i="2" s="1"/>
  <c r="H1587" i="2"/>
  <c r="I1587" i="2" s="1"/>
  <c r="H1586" i="2"/>
  <c r="I1586" i="2" s="1"/>
  <c r="H1585" i="2"/>
  <c r="I1585" i="2" s="1"/>
  <c r="H1584" i="2"/>
  <c r="I1584" i="2" s="1"/>
  <c r="H1583" i="2"/>
  <c r="I1583" i="2" s="1"/>
  <c r="H1582" i="2"/>
  <c r="I1582" i="2" s="1"/>
  <c r="H1581" i="2"/>
  <c r="I1581" i="2" s="1"/>
  <c r="H1580" i="2"/>
  <c r="I1580" i="2" s="1"/>
  <c r="H1579" i="2"/>
  <c r="I1579" i="2" s="1"/>
  <c r="H1578" i="2"/>
  <c r="I1578" i="2" s="1"/>
  <c r="H1577" i="2"/>
  <c r="I1577" i="2" s="1"/>
  <c r="H1576" i="2"/>
  <c r="I1576" i="2" s="1"/>
  <c r="H1575" i="2"/>
  <c r="I1575" i="2" s="1"/>
  <c r="H1574" i="2"/>
  <c r="I1574" i="2" s="1"/>
  <c r="H1573" i="2"/>
  <c r="I1573" i="2" s="1"/>
  <c r="H1572" i="2"/>
  <c r="I1572" i="2" s="1"/>
  <c r="H1571" i="2"/>
  <c r="I1571" i="2" s="1"/>
  <c r="H1570" i="2"/>
  <c r="I1570" i="2" s="1"/>
  <c r="H1569" i="2"/>
  <c r="I1569" i="2" s="1"/>
  <c r="H1568" i="2"/>
  <c r="I1568" i="2" s="1"/>
  <c r="H1567" i="2"/>
  <c r="I1567" i="2" s="1"/>
  <c r="H1566" i="2"/>
  <c r="I1566" i="2" s="1"/>
  <c r="H1565" i="2"/>
  <c r="I1565" i="2" s="1"/>
  <c r="H1564" i="2"/>
  <c r="I1564" i="2" s="1"/>
  <c r="H1563" i="2"/>
  <c r="I1563" i="2" s="1"/>
  <c r="H1562" i="2"/>
  <c r="I1562" i="2" s="1"/>
  <c r="H1561" i="2"/>
  <c r="I1561" i="2" s="1"/>
  <c r="H1560" i="2"/>
  <c r="I1560" i="2" s="1"/>
  <c r="H1559" i="2"/>
  <c r="I1559" i="2" s="1"/>
  <c r="H1558" i="2"/>
  <c r="I1558" i="2" s="1"/>
  <c r="H1557" i="2"/>
  <c r="I1557" i="2" s="1"/>
  <c r="H1556" i="2"/>
  <c r="I1556" i="2" s="1"/>
  <c r="H1555" i="2"/>
  <c r="I1555" i="2" s="1"/>
  <c r="H1554" i="2"/>
  <c r="I1554" i="2" s="1"/>
  <c r="H1553" i="2"/>
  <c r="I1553" i="2" s="1"/>
  <c r="H1552" i="2"/>
  <c r="I1552" i="2" s="1"/>
  <c r="H1551" i="2"/>
  <c r="I1551" i="2" s="1"/>
  <c r="H1550" i="2"/>
  <c r="I1550" i="2" s="1"/>
  <c r="H1549" i="2"/>
  <c r="I1549" i="2" s="1"/>
  <c r="H1548" i="2"/>
  <c r="I1548" i="2" s="1"/>
  <c r="H1547" i="2"/>
  <c r="I1547" i="2" s="1"/>
  <c r="H1546" i="2"/>
  <c r="I1546" i="2" s="1"/>
  <c r="H1545" i="2"/>
  <c r="I1545" i="2" s="1"/>
  <c r="H1544" i="2"/>
  <c r="I1544" i="2" s="1"/>
  <c r="H1543" i="2"/>
  <c r="I1543" i="2" s="1"/>
  <c r="H1542" i="2"/>
  <c r="I1542" i="2" s="1"/>
  <c r="H1541" i="2"/>
  <c r="I1541" i="2" s="1"/>
  <c r="H1540" i="2"/>
  <c r="I1540" i="2" s="1"/>
  <c r="H1539" i="2"/>
  <c r="I1539" i="2" s="1"/>
  <c r="H1538" i="2"/>
  <c r="I1538" i="2" s="1"/>
  <c r="H1537" i="2"/>
  <c r="I1537" i="2" s="1"/>
  <c r="H1536" i="2"/>
  <c r="I1536" i="2" s="1"/>
  <c r="H1535" i="2"/>
  <c r="I1535" i="2" s="1"/>
  <c r="H1534" i="2"/>
  <c r="I1534" i="2" s="1"/>
  <c r="H1533" i="2"/>
  <c r="I1533" i="2" s="1"/>
  <c r="H1532" i="2"/>
  <c r="I1532" i="2" s="1"/>
  <c r="H1531" i="2"/>
  <c r="I1531" i="2" s="1"/>
  <c r="H1530" i="2"/>
  <c r="I1530" i="2" s="1"/>
  <c r="H1529" i="2"/>
  <c r="I1529" i="2" s="1"/>
  <c r="H1528" i="2"/>
  <c r="I1528" i="2" s="1"/>
  <c r="H1527" i="2"/>
  <c r="I1527" i="2" s="1"/>
  <c r="H1526" i="2"/>
  <c r="I1526" i="2" s="1"/>
  <c r="H1525" i="2"/>
  <c r="I1525" i="2" s="1"/>
  <c r="H1524" i="2"/>
  <c r="I1524" i="2" s="1"/>
  <c r="H1523" i="2"/>
  <c r="I1523" i="2" s="1"/>
  <c r="H1522" i="2"/>
  <c r="I1522" i="2" s="1"/>
  <c r="H1521" i="2"/>
  <c r="I1521" i="2" s="1"/>
  <c r="H1520" i="2"/>
  <c r="I1520" i="2" s="1"/>
  <c r="H1519" i="2"/>
  <c r="I1519" i="2" s="1"/>
  <c r="H1518" i="2"/>
  <c r="I1518" i="2" s="1"/>
  <c r="H1517" i="2"/>
  <c r="I1517" i="2" s="1"/>
  <c r="H1516" i="2"/>
  <c r="I1516" i="2" s="1"/>
  <c r="H1515" i="2"/>
  <c r="I1515" i="2" s="1"/>
  <c r="H1514" i="2"/>
  <c r="I1514" i="2" s="1"/>
  <c r="H1513" i="2"/>
  <c r="I1513" i="2" s="1"/>
  <c r="H1512" i="2"/>
  <c r="I1512" i="2" s="1"/>
  <c r="H1511" i="2"/>
  <c r="I1511" i="2" s="1"/>
  <c r="H1510" i="2"/>
  <c r="I1510" i="2" s="1"/>
  <c r="H1509" i="2"/>
  <c r="I1509" i="2" s="1"/>
  <c r="H1508" i="2"/>
  <c r="I1508" i="2" s="1"/>
  <c r="H1507" i="2"/>
  <c r="I1507" i="2" s="1"/>
  <c r="H1506" i="2"/>
  <c r="I1506" i="2" s="1"/>
  <c r="H1505" i="2"/>
  <c r="I1505" i="2" s="1"/>
  <c r="H1504" i="2"/>
  <c r="I1504" i="2" s="1"/>
  <c r="H1503" i="2"/>
  <c r="I1503" i="2" s="1"/>
  <c r="H1502" i="2"/>
  <c r="I1502" i="2" s="1"/>
  <c r="H1501" i="2"/>
  <c r="I1501" i="2" s="1"/>
  <c r="H1500" i="2"/>
  <c r="I1500" i="2" s="1"/>
  <c r="H1499" i="2"/>
  <c r="I1499" i="2" s="1"/>
  <c r="H1498" i="2"/>
  <c r="I1498" i="2" s="1"/>
  <c r="H1497" i="2"/>
  <c r="I1497" i="2" s="1"/>
  <c r="H1496" i="2"/>
  <c r="I1496" i="2" s="1"/>
  <c r="H1495" i="2"/>
  <c r="I1495" i="2" s="1"/>
  <c r="H1494" i="2"/>
  <c r="I1494" i="2" s="1"/>
  <c r="H1493" i="2"/>
  <c r="I1493" i="2" s="1"/>
  <c r="H1492" i="2"/>
  <c r="I1492" i="2" s="1"/>
  <c r="H1491" i="2"/>
  <c r="I1491" i="2" s="1"/>
  <c r="H1490" i="2"/>
  <c r="I1490" i="2" s="1"/>
  <c r="H1489" i="2"/>
  <c r="I1489" i="2" s="1"/>
  <c r="H1488" i="2"/>
  <c r="I1488" i="2" s="1"/>
  <c r="H1487" i="2"/>
  <c r="I1487" i="2" s="1"/>
  <c r="H1486" i="2"/>
  <c r="I1486" i="2" s="1"/>
  <c r="H1485" i="2"/>
  <c r="I1485" i="2" s="1"/>
  <c r="H1484" i="2"/>
  <c r="I1484" i="2" s="1"/>
  <c r="H1483" i="2"/>
  <c r="I1483" i="2" s="1"/>
  <c r="H1482" i="2"/>
  <c r="I1482" i="2" s="1"/>
  <c r="H1481" i="2"/>
  <c r="I1481" i="2" s="1"/>
  <c r="H1480" i="2"/>
  <c r="I1480" i="2" s="1"/>
  <c r="H1479" i="2"/>
  <c r="I1479" i="2" s="1"/>
  <c r="H1478" i="2"/>
  <c r="I1478" i="2" s="1"/>
  <c r="H1477" i="2"/>
  <c r="I1477" i="2" s="1"/>
  <c r="H1476" i="2"/>
  <c r="I1476" i="2" s="1"/>
  <c r="H1475" i="2"/>
  <c r="I1475" i="2" s="1"/>
  <c r="H1474" i="2"/>
  <c r="I1474" i="2" s="1"/>
  <c r="H1473" i="2"/>
  <c r="I1473" i="2" s="1"/>
  <c r="H1472" i="2"/>
  <c r="I1472" i="2" s="1"/>
  <c r="H1471" i="2"/>
  <c r="I1471" i="2" s="1"/>
  <c r="H1470" i="2"/>
  <c r="I1470" i="2" s="1"/>
  <c r="H1469" i="2"/>
  <c r="I1469" i="2" s="1"/>
  <c r="H1468" i="2"/>
  <c r="I1468" i="2" s="1"/>
  <c r="H1467" i="2"/>
  <c r="I1467" i="2" s="1"/>
  <c r="H1466" i="2"/>
  <c r="I1466" i="2" s="1"/>
  <c r="H1465" i="2"/>
  <c r="I1465" i="2" s="1"/>
  <c r="H1464" i="2"/>
  <c r="I1464" i="2" s="1"/>
  <c r="H1463" i="2"/>
  <c r="I1463" i="2" s="1"/>
  <c r="H1462" i="2"/>
  <c r="I1462" i="2" s="1"/>
  <c r="H1461" i="2"/>
  <c r="I1461" i="2" s="1"/>
  <c r="H1460" i="2"/>
  <c r="I1460" i="2" s="1"/>
  <c r="H1459" i="2"/>
  <c r="I1459" i="2" s="1"/>
  <c r="H1458" i="2"/>
  <c r="I1458" i="2" s="1"/>
  <c r="H1457" i="2"/>
  <c r="I1457" i="2" s="1"/>
  <c r="H1456" i="2"/>
  <c r="I1456" i="2" s="1"/>
  <c r="H1455" i="2"/>
  <c r="I1455" i="2" s="1"/>
  <c r="H1454" i="2"/>
  <c r="I1454" i="2" s="1"/>
  <c r="H1453" i="2"/>
  <c r="I1453" i="2" s="1"/>
  <c r="H1452" i="2"/>
  <c r="I1452" i="2" s="1"/>
  <c r="H1451" i="2"/>
  <c r="I1451" i="2" s="1"/>
  <c r="H1450" i="2"/>
  <c r="I1450" i="2" s="1"/>
  <c r="H1449" i="2"/>
  <c r="I1449" i="2" s="1"/>
  <c r="H1448" i="2"/>
  <c r="I1448" i="2" s="1"/>
  <c r="H1447" i="2"/>
  <c r="I1447" i="2" s="1"/>
  <c r="H1446" i="2"/>
  <c r="I1446" i="2" s="1"/>
  <c r="H1445" i="2"/>
  <c r="I1445" i="2" s="1"/>
  <c r="H1444" i="2"/>
  <c r="I1444" i="2" s="1"/>
  <c r="H1443" i="2"/>
  <c r="I1443" i="2" s="1"/>
  <c r="H1442" i="2"/>
  <c r="I1442" i="2" s="1"/>
  <c r="H1441" i="2"/>
  <c r="I1441" i="2" s="1"/>
  <c r="H1440" i="2"/>
  <c r="I1440" i="2" s="1"/>
  <c r="H1439" i="2"/>
  <c r="I1439" i="2" s="1"/>
  <c r="H1438" i="2"/>
  <c r="I1438" i="2" s="1"/>
  <c r="I1437" i="2"/>
  <c r="H1437" i="2"/>
  <c r="H1436" i="2"/>
  <c r="I1436" i="2" s="1"/>
  <c r="H1435" i="2"/>
  <c r="I1435" i="2" s="1"/>
  <c r="H1434" i="2"/>
  <c r="I1434" i="2" s="1"/>
  <c r="H1433" i="2"/>
  <c r="I1433" i="2" s="1"/>
  <c r="H1432" i="2"/>
  <c r="I1432" i="2" s="1"/>
  <c r="H1431" i="2"/>
  <c r="I1431" i="2" s="1"/>
  <c r="H1430" i="2"/>
  <c r="I1430" i="2" s="1"/>
  <c r="H1429" i="2"/>
  <c r="I1429" i="2" s="1"/>
  <c r="H1428" i="2"/>
  <c r="I1428" i="2" s="1"/>
  <c r="H1427" i="2"/>
  <c r="I1427" i="2" s="1"/>
  <c r="H1426" i="2"/>
  <c r="I1426" i="2" s="1"/>
  <c r="H1425" i="2"/>
  <c r="I1425" i="2" s="1"/>
  <c r="H1424" i="2"/>
  <c r="I1424" i="2" s="1"/>
  <c r="H1423" i="2"/>
  <c r="I1423" i="2" s="1"/>
  <c r="H1422" i="2"/>
  <c r="I1422" i="2" s="1"/>
  <c r="H1421" i="2"/>
  <c r="I1421" i="2" s="1"/>
  <c r="H1420" i="2"/>
  <c r="I1420" i="2" s="1"/>
  <c r="H1419" i="2"/>
  <c r="I1419" i="2" s="1"/>
  <c r="H1418" i="2"/>
  <c r="I1418" i="2" s="1"/>
  <c r="H1417" i="2"/>
  <c r="I1417" i="2" s="1"/>
  <c r="H1416" i="2"/>
  <c r="I1416" i="2" s="1"/>
  <c r="H1415" i="2"/>
  <c r="I1415" i="2" s="1"/>
  <c r="H1414" i="2"/>
  <c r="I1414" i="2" s="1"/>
  <c r="H1413" i="2"/>
  <c r="I1413" i="2" s="1"/>
  <c r="H1412" i="2"/>
  <c r="I1412" i="2" s="1"/>
  <c r="H1411" i="2"/>
  <c r="I1411" i="2" s="1"/>
  <c r="H1410" i="2"/>
  <c r="I1410" i="2" s="1"/>
  <c r="H1409" i="2"/>
  <c r="I1409" i="2" s="1"/>
  <c r="H1408" i="2"/>
  <c r="I1408" i="2" s="1"/>
  <c r="H1407" i="2"/>
  <c r="I1407" i="2" s="1"/>
  <c r="H1406" i="2"/>
  <c r="I1406" i="2" s="1"/>
  <c r="H1405" i="2"/>
  <c r="I1405" i="2" s="1"/>
  <c r="H1404" i="2"/>
  <c r="I1404" i="2" s="1"/>
  <c r="H1403" i="2"/>
  <c r="I1403" i="2" s="1"/>
  <c r="H1402" i="2"/>
  <c r="I1402" i="2" s="1"/>
  <c r="H1401" i="2"/>
  <c r="I1401" i="2" s="1"/>
  <c r="H1400" i="2"/>
  <c r="I1400" i="2" s="1"/>
  <c r="H1399" i="2"/>
  <c r="I1399" i="2" s="1"/>
  <c r="H1398" i="2"/>
  <c r="I1398" i="2" s="1"/>
  <c r="H1397" i="2"/>
  <c r="I1397" i="2" s="1"/>
  <c r="H1396" i="2"/>
  <c r="I1396" i="2" s="1"/>
  <c r="H1395" i="2"/>
  <c r="I1395" i="2" s="1"/>
  <c r="H1394" i="2"/>
  <c r="I1394" i="2" s="1"/>
  <c r="H1393" i="2"/>
  <c r="I1393" i="2" s="1"/>
  <c r="H1392" i="2"/>
  <c r="I1392" i="2" s="1"/>
  <c r="H1391" i="2"/>
  <c r="I1391" i="2" s="1"/>
  <c r="H1390" i="2"/>
  <c r="I1390" i="2" s="1"/>
  <c r="H1389" i="2"/>
  <c r="I1389" i="2" s="1"/>
  <c r="H1388" i="2"/>
  <c r="I1388" i="2" s="1"/>
  <c r="H1387" i="2"/>
  <c r="I1387" i="2" s="1"/>
  <c r="H1386" i="2"/>
  <c r="I1386" i="2" s="1"/>
  <c r="H1385" i="2"/>
  <c r="I1385" i="2" s="1"/>
  <c r="H1384" i="2"/>
  <c r="I1384" i="2" s="1"/>
  <c r="H1383" i="2"/>
  <c r="I1383" i="2" s="1"/>
  <c r="H1382" i="2"/>
  <c r="I1382" i="2" s="1"/>
  <c r="H1381" i="2"/>
  <c r="I1381" i="2" s="1"/>
  <c r="H1380" i="2"/>
  <c r="I1380" i="2" s="1"/>
  <c r="H1379" i="2"/>
  <c r="I1379" i="2" s="1"/>
  <c r="H1378" i="2"/>
  <c r="I1378" i="2" s="1"/>
  <c r="H1377" i="2"/>
  <c r="I1377" i="2" s="1"/>
  <c r="H1376" i="2"/>
  <c r="I1376" i="2" s="1"/>
  <c r="H1375" i="2"/>
  <c r="I1375" i="2" s="1"/>
  <c r="H1374" i="2"/>
  <c r="I1374" i="2" s="1"/>
  <c r="H1373" i="2"/>
  <c r="I1373" i="2" s="1"/>
  <c r="H1372" i="2"/>
  <c r="I1372" i="2" s="1"/>
  <c r="H1371" i="2"/>
  <c r="I1371" i="2" s="1"/>
  <c r="H1370" i="2"/>
  <c r="I1370" i="2" s="1"/>
  <c r="H1369" i="2"/>
  <c r="I1369" i="2" s="1"/>
  <c r="H1368" i="2"/>
  <c r="I1368" i="2" s="1"/>
  <c r="H1367" i="2"/>
  <c r="I1367" i="2" s="1"/>
  <c r="H1366" i="2"/>
  <c r="I1366" i="2" s="1"/>
  <c r="H1365" i="2"/>
  <c r="I1365" i="2" s="1"/>
  <c r="H1364" i="2"/>
  <c r="I1364" i="2" s="1"/>
  <c r="H1363" i="2"/>
  <c r="I1363" i="2" s="1"/>
  <c r="H1362" i="2"/>
  <c r="I1362" i="2" s="1"/>
  <c r="H1361" i="2"/>
  <c r="I1361" i="2" s="1"/>
  <c r="H1360" i="2"/>
  <c r="I1360" i="2" s="1"/>
  <c r="H1359" i="2"/>
  <c r="I1359" i="2" s="1"/>
  <c r="H1358" i="2"/>
  <c r="I1358" i="2" s="1"/>
  <c r="H1357" i="2"/>
  <c r="I1357" i="2" s="1"/>
  <c r="H1356" i="2"/>
  <c r="I1356" i="2" s="1"/>
  <c r="H1355" i="2"/>
  <c r="I1355" i="2" s="1"/>
  <c r="H1354" i="2"/>
  <c r="I1354" i="2" s="1"/>
  <c r="H1353" i="2"/>
  <c r="I1353" i="2" s="1"/>
  <c r="H1352" i="2"/>
  <c r="I1352" i="2" s="1"/>
  <c r="H1351" i="2"/>
  <c r="I1351" i="2" s="1"/>
  <c r="H1350" i="2"/>
  <c r="I1350" i="2" s="1"/>
  <c r="H1349" i="2"/>
  <c r="I1349" i="2" s="1"/>
  <c r="H1348" i="2"/>
  <c r="I1348" i="2" s="1"/>
  <c r="H1347" i="2"/>
  <c r="I1347" i="2" s="1"/>
  <c r="H1346" i="2"/>
  <c r="I1346" i="2" s="1"/>
  <c r="H1345" i="2"/>
  <c r="I1345" i="2" s="1"/>
  <c r="H1344" i="2"/>
  <c r="I1344" i="2" s="1"/>
  <c r="H1343" i="2"/>
  <c r="I1343" i="2" s="1"/>
  <c r="H1342" i="2"/>
  <c r="I1342" i="2" s="1"/>
  <c r="H1341" i="2"/>
  <c r="I1341" i="2" s="1"/>
  <c r="H1340" i="2"/>
  <c r="I1340" i="2" s="1"/>
  <c r="H1339" i="2"/>
  <c r="I1339" i="2" s="1"/>
  <c r="H1338" i="2"/>
  <c r="I1338" i="2" s="1"/>
  <c r="H1337" i="2"/>
  <c r="I1337" i="2" s="1"/>
  <c r="H1336" i="2"/>
  <c r="I1336" i="2" s="1"/>
  <c r="H1335" i="2"/>
  <c r="I1335" i="2" s="1"/>
  <c r="H1334" i="2"/>
  <c r="I1334" i="2" s="1"/>
  <c r="H1333" i="2"/>
  <c r="I1333" i="2" s="1"/>
  <c r="H1332" i="2"/>
  <c r="I1332" i="2" s="1"/>
  <c r="H1331" i="2"/>
  <c r="I1331" i="2" s="1"/>
  <c r="H1330" i="2"/>
  <c r="I1330" i="2" s="1"/>
  <c r="H1329" i="2"/>
  <c r="I1329" i="2" s="1"/>
  <c r="H1328" i="2"/>
  <c r="I1328" i="2" s="1"/>
  <c r="H1327" i="2"/>
  <c r="I1327" i="2" s="1"/>
  <c r="H1326" i="2"/>
  <c r="I1326" i="2" s="1"/>
  <c r="H1325" i="2"/>
  <c r="I1325" i="2" s="1"/>
  <c r="H1324" i="2"/>
  <c r="I1324" i="2" s="1"/>
  <c r="H1323" i="2"/>
  <c r="I1323" i="2" s="1"/>
  <c r="H1322" i="2"/>
  <c r="I1322" i="2" s="1"/>
  <c r="H1321" i="2"/>
  <c r="I1321" i="2" s="1"/>
  <c r="H1320" i="2"/>
  <c r="I1320" i="2" s="1"/>
  <c r="H1319" i="2"/>
  <c r="I1319" i="2" s="1"/>
  <c r="H1318" i="2"/>
  <c r="I1318" i="2" s="1"/>
  <c r="H1317" i="2"/>
  <c r="I1317" i="2" s="1"/>
  <c r="H1316" i="2"/>
  <c r="I1316" i="2" s="1"/>
  <c r="H1315" i="2"/>
  <c r="I1315" i="2" s="1"/>
  <c r="H1314" i="2"/>
  <c r="I1314" i="2" s="1"/>
  <c r="H1313" i="2"/>
  <c r="I1313" i="2" s="1"/>
  <c r="H1312" i="2"/>
  <c r="I1312" i="2" s="1"/>
  <c r="H1311" i="2"/>
  <c r="I1311" i="2" s="1"/>
  <c r="H1310" i="2"/>
  <c r="I1310" i="2" s="1"/>
  <c r="H1309" i="2"/>
  <c r="I1309" i="2" s="1"/>
  <c r="H1308" i="2"/>
  <c r="I1308" i="2" s="1"/>
  <c r="H1307" i="2"/>
  <c r="I1307" i="2" s="1"/>
  <c r="H1306" i="2"/>
  <c r="I1306" i="2" s="1"/>
  <c r="H1305" i="2"/>
  <c r="I1305" i="2" s="1"/>
  <c r="H1304" i="2"/>
  <c r="I1304" i="2" s="1"/>
  <c r="H1303" i="2"/>
  <c r="I1303" i="2" s="1"/>
  <c r="H1302" i="2"/>
  <c r="I1302" i="2" s="1"/>
  <c r="H1301" i="2"/>
  <c r="I1301" i="2" s="1"/>
  <c r="H1300" i="2"/>
  <c r="I1300" i="2" s="1"/>
  <c r="H1299" i="2"/>
  <c r="I1299" i="2" s="1"/>
  <c r="H1298" i="2"/>
  <c r="I1298" i="2" s="1"/>
  <c r="H1297" i="2"/>
  <c r="I1297" i="2" s="1"/>
  <c r="H1296" i="2"/>
  <c r="I1296" i="2" s="1"/>
  <c r="H1295" i="2"/>
  <c r="I1295" i="2" s="1"/>
  <c r="H1294" i="2"/>
  <c r="I1294" i="2" s="1"/>
  <c r="H1293" i="2"/>
  <c r="I1293" i="2" s="1"/>
  <c r="H1292" i="2"/>
  <c r="I1292" i="2" s="1"/>
  <c r="H1291" i="2"/>
  <c r="I1291" i="2" s="1"/>
  <c r="H1290" i="2"/>
  <c r="I1290" i="2" s="1"/>
  <c r="H1289" i="2"/>
  <c r="I1289" i="2" s="1"/>
  <c r="H1288" i="2"/>
  <c r="I1288" i="2" s="1"/>
  <c r="H1287" i="2"/>
  <c r="I1287" i="2" s="1"/>
  <c r="H1286" i="2"/>
  <c r="I1286" i="2" s="1"/>
  <c r="H1285" i="2"/>
  <c r="I1285" i="2" s="1"/>
  <c r="H1284" i="2"/>
  <c r="I1284" i="2" s="1"/>
  <c r="H1283" i="2"/>
  <c r="I1283" i="2" s="1"/>
  <c r="H1282" i="2"/>
  <c r="I1282" i="2" s="1"/>
  <c r="H1281" i="2"/>
  <c r="I1281" i="2" s="1"/>
  <c r="H1280" i="2"/>
  <c r="I1280" i="2" s="1"/>
  <c r="H1279" i="2"/>
  <c r="I1279" i="2" s="1"/>
  <c r="H1278" i="2"/>
  <c r="I1278" i="2" s="1"/>
  <c r="H1277" i="2"/>
  <c r="I1277" i="2" s="1"/>
  <c r="H1276" i="2"/>
  <c r="I1276" i="2" s="1"/>
  <c r="H1275" i="2"/>
  <c r="I1275" i="2" s="1"/>
  <c r="H1274" i="2"/>
  <c r="I1274" i="2" s="1"/>
  <c r="H1273" i="2"/>
  <c r="I1273" i="2" s="1"/>
  <c r="H1272" i="2"/>
  <c r="I1272" i="2" s="1"/>
  <c r="H1271" i="2"/>
  <c r="I1271" i="2" s="1"/>
  <c r="H1270" i="2"/>
  <c r="I1270" i="2" s="1"/>
  <c r="H1269" i="2"/>
  <c r="I1269" i="2" s="1"/>
  <c r="H1268" i="2"/>
  <c r="I1268" i="2" s="1"/>
  <c r="H1267" i="2"/>
  <c r="I1267" i="2" s="1"/>
  <c r="H1266" i="2"/>
  <c r="I1266" i="2" s="1"/>
  <c r="H1265" i="2"/>
  <c r="I1265" i="2" s="1"/>
  <c r="H1264" i="2"/>
  <c r="I1264" i="2" s="1"/>
  <c r="H1263" i="2"/>
  <c r="I1263" i="2" s="1"/>
  <c r="H1262" i="2"/>
  <c r="I1262" i="2" s="1"/>
  <c r="H1261" i="2"/>
  <c r="I1261" i="2" s="1"/>
  <c r="H1260" i="2"/>
  <c r="I1260" i="2" s="1"/>
  <c r="H1259" i="2"/>
  <c r="I1259" i="2" s="1"/>
  <c r="H1258" i="2"/>
  <c r="I1258" i="2" s="1"/>
  <c r="H1257" i="2"/>
  <c r="I1257" i="2" s="1"/>
  <c r="H1256" i="2"/>
  <c r="I1256" i="2" s="1"/>
  <c r="H1255" i="2"/>
  <c r="I1255" i="2" s="1"/>
  <c r="H1254" i="2"/>
  <c r="I1254" i="2" s="1"/>
  <c r="H1253" i="2"/>
  <c r="I1253" i="2" s="1"/>
  <c r="H1252" i="2"/>
  <c r="I1252" i="2" s="1"/>
  <c r="H1251" i="2"/>
  <c r="I1251" i="2" s="1"/>
  <c r="H1250" i="2"/>
  <c r="I1250" i="2" s="1"/>
  <c r="H1249" i="2"/>
  <c r="I1249" i="2" s="1"/>
  <c r="H1248" i="2"/>
  <c r="I1248" i="2" s="1"/>
  <c r="H1247" i="2"/>
  <c r="I1247" i="2" s="1"/>
  <c r="H1246" i="2"/>
  <c r="I1246" i="2" s="1"/>
  <c r="H1245" i="2"/>
  <c r="I1245" i="2" s="1"/>
  <c r="H1244" i="2"/>
  <c r="I1244" i="2" s="1"/>
  <c r="H1243" i="2"/>
  <c r="I1243" i="2" s="1"/>
  <c r="H1242" i="2"/>
  <c r="I1242" i="2" s="1"/>
  <c r="H1241" i="2"/>
  <c r="I1241" i="2" s="1"/>
  <c r="H1240" i="2"/>
  <c r="I1240" i="2" s="1"/>
  <c r="H1239" i="2"/>
  <c r="I1239" i="2" s="1"/>
  <c r="H1238" i="2"/>
  <c r="I1238" i="2" s="1"/>
  <c r="H1237" i="2"/>
  <c r="I1237" i="2" s="1"/>
  <c r="H1236" i="2"/>
  <c r="I1236" i="2" s="1"/>
  <c r="H1235" i="2"/>
  <c r="I1235" i="2" s="1"/>
  <c r="H1234" i="2"/>
  <c r="I1234" i="2" s="1"/>
  <c r="H1233" i="2"/>
  <c r="I1233" i="2" s="1"/>
  <c r="H1232" i="2"/>
  <c r="I1232" i="2" s="1"/>
  <c r="H1231" i="2"/>
  <c r="I1231" i="2" s="1"/>
  <c r="H1230" i="2"/>
  <c r="I1230" i="2" s="1"/>
  <c r="H1229" i="2"/>
  <c r="I1229" i="2" s="1"/>
  <c r="H1228" i="2"/>
  <c r="I1228" i="2" s="1"/>
  <c r="H1227" i="2"/>
  <c r="I1227" i="2" s="1"/>
  <c r="H1226" i="2"/>
  <c r="I1226" i="2" s="1"/>
  <c r="H1225" i="2"/>
  <c r="I1225" i="2" s="1"/>
  <c r="H1224" i="2"/>
  <c r="I1224" i="2" s="1"/>
  <c r="H1223" i="2"/>
  <c r="I1223" i="2" s="1"/>
  <c r="H1222" i="2"/>
  <c r="I1222" i="2" s="1"/>
  <c r="H1221" i="2"/>
  <c r="I1221" i="2" s="1"/>
  <c r="H1220" i="2"/>
  <c r="I1220" i="2" s="1"/>
  <c r="H1219" i="2"/>
  <c r="I1219" i="2" s="1"/>
  <c r="H1218" i="2"/>
  <c r="I1218" i="2" s="1"/>
  <c r="H1217" i="2"/>
  <c r="I1217" i="2" s="1"/>
  <c r="H1216" i="2"/>
  <c r="I1216" i="2" s="1"/>
  <c r="H1215" i="2"/>
  <c r="I1215" i="2" s="1"/>
  <c r="H1214" i="2"/>
  <c r="I1214" i="2" s="1"/>
  <c r="H1213" i="2"/>
  <c r="I1213" i="2" s="1"/>
  <c r="H1212" i="2"/>
  <c r="I1212" i="2" s="1"/>
  <c r="H1211" i="2"/>
  <c r="I1211" i="2" s="1"/>
  <c r="H1210" i="2"/>
  <c r="I1210" i="2" s="1"/>
  <c r="H1209" i="2"/>
  <c r="I1209" i="2" s="1"/>
  <c r="H1208" i="2"/>
  <c r="I1208" i="2" s="1"/>
  <c r="H1207" i="2"/>
  <c r="I1207" i="2" s="1"/>
  <c r="H1206" i="2"/>
  <c r="I1206" i="2" s="1"/>
  <c r="H1205" i="2"/>
  <c r="I1205" i="2" s="1"/>
  <c r="H1204" i="2"/>
  <c r="I1204" i="2" s="1"/>
  <c r="H1203" i="2"/>
  <c r="I1203" i="2" s="1"/>
  <c r="H1202" i="2"/>
  <c r="I1202" i="2" s="1"/>
  <c r="H1201" i="2"/>
  <c r="I1201" i="2" s="1"/>
  <c r="H1200" i="2"/>
  <c r="I1200" i="2" s="1"/>
  <c r="H1199" i="2"/>
  <c r="I1199" i="2" s="1"/>
  <c r="H1198" i="2"/>
  <c r="I1198" i="2" s="1"/>
  <c r="H1197" i="2"/>
  <c r="I1197" i="2" s="1"/>
  <c r="H1196" i="2"/>
  <c r="I1196" i="2" s="1"/>
  <c r="H1195" i="2"/>
  <c r="I1195" i="2" s="1"/>
  <c r="H1194" i="2"/>
  <c r="I1194" i="2" s="1"/>
  <c r="H1193" i="2"/>
  <c r="I1193" i="2" s="1"/>
  <c r="H1192" i="2"/>
  <c r="I1192" i="2" s="1"/>
  <c r="H1191" i="2"/>
  <c r="I1191" i="2" s="1"/>
  <c r="H1190" i="2"/>
  <c r="I1190" i="2" s="1"/>
  <c r="H1189" i="2"/>
  <c r="I1189" i="2" s="1"/>
  <c r="H1188" i="2"/>
  <c r="I1188" i="2" s="1"/>
  <c r="H1187" i="2"/>
  <c r="I1187" i="2" s="1"/>
  <c r="H1186" i="2"/>
  <c r="I1186" i="2" s="1"/>
  <c r="H1185" i="2"/>
  <c r="I1185" i="2" s="1"/>
  <c r="H1184" i="2"/>
  <c r="I1184" i="2" s="1"/>
  <c r="H1183" i="2"/>
  <c r="I1183" i="2" s="1"/>
  <c r="H1182" i="2"/>
  <c r="I1182" i="2" s="1"/>
  <c r="H1181" i="2"/>
  <c r="I1181" i="2" s="1"/>
  <c r="H1180" i="2"/>
  <c r="I1180" i="2" s="1"/>
  <c r="H1179" i="2"/>
  <c r="I1179" i="2" s="1"/>
  <c r="H1178" i="2"/>
  <c r="I1178" i="2" s="1"/>
  <c r="H1177" i="2"/>
  <c r="I1177" i="2" s="1"/>
  <c r="H1176" i="2"/>
  <c r="I1176" i="2" s="1"/>
  <c r="H1175" i="2"/>
  <c r="I1175" i="2" s="1"/>
  <c r="H1174" i="2"/>
  <c r="I1174" i="2" s="1"/>
  <c r="H1173" i="2"/>
  <c r="I1173" i="2" s="1"/>
  <c r="H1172" i="2"/>
  <c r="I1172" i="2" s="1"/>
  <c r="H1171" i="2"/>
  <c r="I1171" i="2" s="1"/>
  <c r="H1170" i="2"/>
  <c r="I1170" i="2" s="1"/>
  <c r="H1169" i="2"/>
  <c r="I1169" i="2" s="1"/>
  <c r="H1168" i="2"/>
  <c r="I1168" i="2" s="1"/>
  <c r="H1167" i="2"/>
  <c r="I1167" i="2" s="1"/>
  <c r="H1166" i="2"/>
  <c r="I1166" i="2" s="1"/>
  <c r="H1165" i="2"/>
  <c r="I1165" i="2" s="1"/>
  <c r="H1164" i="2"/>
  <c r="I1164" i="2" s="1"/>
  <c r="H1163" i="2"/>
  <c r="I1163" i="2" s="1"/>
  <c r="H1162" i="2"/>
  <c r="I1162" i="2" s="1"/>
  <c r="H1161" i="2"/>
  <c r="I1161" i="2" s="1"/>
  <c r="H1160" i="2"/>
  <c r="I1160" i="2" s="1"/>
  <c r="H1159" i="2"/>
  <c r="I1159" i="2" s="1"/>
  <c r="H1158" i="2"/>
  <c r="I1158" i="2" s="1"/>
  <c r="H1157" i="2"/>
  <c r="I1157" i="2" s="1"/>
  <c r="H1156" i="2"/>
  <c r="I1156" i="2" s="1"/>
  <c r="H1155" i="2"/>
  <c r="I1155" i="2" s="1"/>
  <c r="H1154" i="2"/>
  <c r="I1154" i="2" s="1"/>
  <c r="H1153" i="2"/>
  <c r="I1153" i="2" s="1"/>
  <c r="H1152" i="2"/>
  <c r="I1152" i="2" s="1"/>
  <c r="H1151" i="2"/>
  <c r="I1151" i="2" s="1"/>
  <c r="H1150" i="2"/>
  <c r="I1150" i="2" s="1"/>
  <c r="H1149" i="2"/>
  <c r="I1149" i="2" s="1"/>
  <c r="H1148" i="2"/>
  <c r="I1148" i="2" s="1"/>
  <c r="H1147" i="2"/>
  <c r="I1147" i="2" s="1"/>
  <c r="H1146" i="2"/>
  <c r="I1146" i="2" s="1"/>
  <c r="H1145" i="2"/>
  <c r="I1145" i="2" s="1"/>
  <c r="H1144" i="2"/>
  <c r="I1144" i="2" s="1"/>
  <c r="H1143" i="2"/>
  <c r="I1143" i="2" s="1"/>
  <c r="H1142" i="2"/>
  <c r="I1142" i="2" s="1"/>
  <c r="H1141" i="2"/>
  <c r="I1141" i="2" s="1"/>
  <c r="H1140" i="2"/>
  <c r="I1140" i="2" s="1"/>
  <c r="H1139" i="2"/>
  <c r="I1139" i="2" s="1"/>
  <c r="H1138" i="2"/>
  <c r="I1138" i="2" s="1"/>
  <c r="H1137" i="2"/>
  <c r="I1137" i="2" s="1"/>
  <c r="I1136" i="2"/>
  <c r="H1135" i="2"/>
  <c r="I1135" i="2" s="1"/>
  <c r="H1134" i="2"/>
  <c r="I1134" i="2" s="1"/>
  <c r="H1133" i="2"/>
  <c r="I1133" i="2" s="1"/>
  <c r="H1132" i="2"/>
  <c r="I1132" i="2" s="1"/>
  <c r="H1131" i="2"/>
  <c r="I1131" i="2" s="1"/>
  <c r="H1130" i="2"/>
  <c r="I1130" i="2" s="1"/>
  <c r="H1129" i="2"/>
  <c r="I1129" i="2" s="1"/>
  <c r="H1128" i="2"/>
  <c r="I1128" i="2" s="1"/>
  <c r="H1127" i="2"/>
  <c r="I1127" i="2" s="1"/>
  <c r="H1126" i="2"/>
  <c r="I1126" i="2" s="1"/>
  <c r="H1125" i="2"/>
  <c r="I1125" i="2" s="1"/>
  <c r="H1124" i="2"/>
  <c r="I1124" i="2" s="1"/>
  <c r="H1123" i="2"/>
  <c r="I1123" i="2" s="1"/>
  <c r="H1122" i="2"/>
  <c r="I1122" i="2" s="1"/>
  <c r="H1121" i="2"/>
  <c r="I1121" i="2" s="1"/>
  <c r="H1120" i="2"/>
  <c r="I1120" i="2" s="1"/>
  <c r="H1119" i="2"/>
  <c r="I1119" i="2" s="1"/>
  <c r="H1118" i="2"/>
  <c r="I1118" i="2" s="1"/>
  <c r="H1117" i="2"/>
  <c r="I1117" i="2" s="1"/>
  <c r="H1116" i="2"/>
  <c r="I1116" i="2" s="1"/>
  <c r="H1115" i="2"/>
  <c r="I1115" i="2" s="1"/>
  <c r="H1114" i="2"/>
  <c r="I1114" i="2" s="1"/>
  <c r="H1113" i="2"/>
  <c r="I1113" i="2" s="1"/>
  <c r="H1112" i="2"/>
  <c r="I1112" i="2" s="1"/>
  <c r="H1111" i="2"/>
  <c r="I1111" i="2" s="1"/>
  <c r="H1110" i="2"/>
  <c r="I1110" i="2" s="1"/>
  <c r="H1109" i="2"/>
  <c r="I1109" i="2" s="1"/>
  <c r="H1108" i="2"/>
  <c r="I1108" i="2" s="1"/>
  <c r="H1107" i="2"/>
  <c r="I1107" i="2" s="1"/>
  <c r="H1106" i="2"/>
  <c r="I1106" i="2" s="1"/>
  <c r="H1105" i="2"/>
  <c r="I1105" i="2" s="1"/>
  <c r="H1104" i="2"/>
  <c r="I1104" i="2" s="1"/>
  <c r="H1103" i="2"/>
  <c r="I1103" i="2" s="1"/>
  <c r="H1102" i="2"/>
  <c r="I1102" i="2" s="1"/>
  <c r="H1101" i="2"/>
  <c r="I1101" i="2" s="1"/>
  <c r="H1100" i="2"/>
  <c r="I1100" i="2" s="1"/>
  <c r="H1099" i="2"/>
  <c r="I1099" i="2" s="1"/>
  <c r="I1098" i="2"/>
  <c r="H1097" i="2"/>
  <c r="I1097" i="2" s="1"/>
  <c r="H1096" i="2"/>
  <c r="I1096" i="2" s="1"/>
  <c r="H1095" i="2"/>
  <c r="I1095" i="2" s="1"/>
  <c r="H1094" i="2"/>
  <c r="I1094" i="2" s="1"/>
  <c r="H1093" i="2"/>
  <c r="I1093" i="2" s="1"/>
  <c r="H1092" i="2"/>
  <c r="I1092" i="2" s="1"/>
  <c r="H1091" i="2"/>
  <c r="I1091" i="2" s="1"/>
  <c r="H1090" i="2"/>
  <c r="I1090" i="2" s="1"/>
  <c r="H1089" i="2"/>
  <c r="I1089" i="2" s="1"/>
  <c r="H1088" i="2"/>
  <c r="I1088" i="2" s="1"/>
  <c r="H1087" i="2"/>
  <c r="I1087" i="2" s="1"/>
  <c r="I1086" i="2"/>
  <c r="H1085" i="2"/>
  <c r="I1085" i="2" s="1"/>
  <c r="H1084" i="2"/>
  <c r="I1084" i="2" s="1"/>
  <c r="H1083" i="2"/>
  <c r="I1083" i="2" s="1"/>
  <c r="H1082" i="2"/>
  <c r="I1082" i="2" s="1"/>
  <c r="H1081" i="2"/>
  <c r="I1081" i="2" s="1"/>
  <c r="H1080" i="2"/>
  <c r="I1080" i="2" s="1"/>
  <c r="H1079" i="2"/>
  <c r="I1079" i="2" s="1"/>
  <c r="H1078" i="2"/>
  <c r="I1078" i="2" s="1"/>
  <c r="H1077" i="2"/>
  <c r="I1077" i="2" s="1"/>
  <c r="H1076" i="2"/>
  <c r="I1076" i="2" s="1"/>
  <c r="H1075" i="2"/>
  <c r="I1075" i="2" s="1"/>
  <c r="H1074" i="2"/>
  <c r="I1074" i="2" s="1"/>
  <c r="H1073" i="2"/>
  <c r="I1073" i="2" s="1"/>
  <c r="H1072" i="2"/>
  <c r="I1072" i="2" s="1"/>
  <c r="H1071" i="2"/>
  <c r="I1071" i="2" s="1"/>
  <c r="H1070" i="2"/>
  <c r="I1070" i="2" s="1"/>
  <c r="H1069" i="2"/>
  <c r="I1069" i="2" s="1"/>
  <c r="H1068" i="2"/>
  <c r="I1068" i="2" s="1"/>
  <c r="H1067" i="2"/>
  <c r="I1067" i="2" s="1"/>
  <c r="H1066" i="2"/>
  <c r="I1066" i="2" s="1"/>
  <c r="H1065" i="2"/>
  <c r="I1065" i="2" s="1"/>
  <c r="H1064" i="2"/>
  <c r="I1064" i="2" s="1"/>
  <c r="I1063" i="2"/>
  <c r="H1062" i="2"/>
  <c r="I1062" i="2" s="1"/>
  <c r="H1061" i="2"/>
  <c r="I1061" i="2" s="1"/>
  <c r="H1060" i="2"/>
  <c r="I1060" i="2" s="1"/>
  <c r="H1059" i="2"/>
  <c r="I1059" i="2" s="1"/>
  <c r="H1058" i="2"/>
  <c r="I1058" i="2" s="1"/>
  <c r="H1057" i="2"/>
  <c r="I1057" i="2" s="1"/>
  <c r="H1056" i="2"/>
  <c r="I1056" i="2" s="1"/>
  <c r="H1055" i="2"/>
  <c r="I1055" i="2" s="1"/>
  <c r="H1054" i="2"/>
  <c r="I1054" i="2" s="1"/>
  <c r="H1053" i="2"/>
  <c r="I1053" i="2" s="1"/>
  <c r="H1052" i="2"/>
  <c r="I1052" i="2" s="1"/>
  <c r="H1051" i="2"/>
  <c r="I1051" i="2" s="1"/>
  <c r="H1050" i="2"/>
  <c r="I1050" i="2" s="1"/>
  <c r="H1049" i="2"/>
  <c r="I1049" i="2" s="1"/>
  <c r="H1048" i="2"/>
  <c r="I1048" i="2" s="1"/>
  <c r="H1047" i="2"/>
  <c r="I1047" i="2" s="1"/>
  <c r="H1046" i="2"/>
  <c r="I1046" i="2" s="1"/>
  <c r="H1045" i="2"/>
  <c r="I1045" i="2" s="1"/>
  <c r="H1044" i="2"/>
  <c r="I1044" i="2" s="1"/>
  <c r="H1043" i="2"/>
  <c r="I1043" i="2" s="1"/>
  <c r="H1042" i="2"/>
  <c r="I1042" i="2" s="1"/>
  <c r="H1041" i="2"/>
  <c r="I1041" i="2" s="1"/>
  <c r="H1040" i="2"/>
  <c r="I1040" i="2" s="1"/>
  <c r="H1039" i="2"/>
  <c r="I1039" i="2" s="1"/>
  <c r="H1038" i="2"/>
  <c r="I1038" i="2" s="1"/>
  <c r="H1037" i="2"/>
  <c r="I1037" i="2" s="1"/>
  <c r="H1036" i="2"/>
  <c r="I1036" i="2" s="1"/>
  <c r="H1035" i="2"/>
  <c r="I1035" i="2" s="1"/>
  <c r="H1034" i="2"/>
  <c r="I1034" i="2" s="1"/>
  <c r="H1033" i="2"/>
  <c r="I1033" i="2" s="1"/>
  <c r="H1032" i="2"/>
  <c r="I1032" i="2" s="1"/>
  <c r="H1031" i="2"/>
  <c r="I1031" i="2" s="1"/>
  <c r="H1030" i="2"/>
  <c r="I1030" i="2" s="1"/>
  <c r="H1029" i="2"/>
  <c r="I1029" i="2" s="1"/>
  <c r="H1028" i="2"/>
  <c r="I1028" i="2" s="1"/>
  <c r="H1027" i="2"/>
  <c r="I1027" i="2" s="1"/>
  <c r="H1026" i="2"/>
  <c r="I1026" i="2" s="1"/>
  <c r="H1025" i="2"/>
  <c r="I1025" i="2" s="1"/>
  <c r="H1024" i="2"/>
  <c r="I1024" i="2" s="1"/>
  <c r="H1023" i="2"/>
  <c r="I1023" i="2" s="1"/>
  <c r="H1022" i="2"/>
  <c r="I1022" i="2" s="1"/>
  <c r="H1021" i="2"/>
  <c r="I1021" i="2" s="1"/>
  <c r="H1020" i="2"/>
  <c r="I1020" i="2" s="1"/>
  <c r="H1019" i="2"/>
  <c r="I1019" i="2" s="1"/>
  <c r="H1018" i="2"/>
  <c r="I1018" i="2" s="1"/>
  <c r="H1017" i="2"/>
  <c r="I1017" i="2" s="1"/>
  <c r="H1016" i="2"/>
  <c r="I1016" i="2" s="1"/>
  <c r="H1015" i="2"/>
  <c r="I1015" i="2" s="1"/>
  <c r="H1014" i="2"/>
  <c r="I1014" i="2" s="1"/>
  <c r="H1013" i="2"/>
  <c r="I1013" i="2" s="1"/>
  <c r="H1012" i="2"/>
  <c r="I1012" i="2" s="1"/>
  <c r="H1011" i="2"/>
  <c r="I1011" i="2" s="1"/>
  <c r="H1010" i="2"/>
  <c r="I1010" i="2" s="1"/>
  <c r="H1009" i="2"/>
  <c r="I1009" i="2" s="1"/>
  <c r="H1008" i="2"/>
  <c r="I1008" i="2" s="1"/>
  <c r="H1007" i="2"/>
  <c r="I1007" i="2" s="1"/>
  <c r="H1006" i="2"/>
  <c r="I1006" i="2" s="1"/>
  <c r="H1005" i="2"/>
  <c r="I1005" i="2" s="1"/>
  <c r="H1004" i="2"/>
  <c r="I1004" i="2" s="1"/>
  <c r="H1003" i="2"/>
  <c r="I1003" i="2" s="1"/>
  <c r="H1002" i="2"/>
  <c r="I1002" i="2" s="1"/>
  <c r="H1001" i="2"/>
  <c r="I1001" i="2" s="1"/>
  <c r="H1000" i="2"/>
  <c r="I1000" i="2" s="1"/>
  <c r="H999" i="2"/>
  <c r="I999" i="2" s="1"/>
  <c r="H998" i="2"/>
  <c r="I998" i="2" s="1"/>
  <c r="H997" i="2"/>
  <c r="I997" i="2" s="1"/>
  <c r="H996" i="2"/>
  <c r="I996" i="2" s="1"/>
  <c r="H995" i="2"/>
  <c r="I995" i="2" s="1"/>
  <c r="H994" i="2"/>
  <c r="I994" i="2" s="1"/>
  <c r="H993" i="2"/>
  <c r="I993" i="2" s="1"/>
  <c r="H992" i="2"/>
  <c r="I992" i="2" s="1"/>
  <c r="H991" i="2"/>
  <c r="I991" i="2" s="1"/>
  <c r="H990" i="2"/>
  <c r="I990" i="2" s="1"/>
  <c r="H989" i="2"/>
  <c r="I989" i="2" s="1"/>
  <c r="H988" i="2"/>
  <c r="I988" i="2" s="1"/>
  <c r="H987" i="2"/>
  <c r="I987" i="2" s="1"/>
  <c r="H986" i="2"/>
  <c r="I986" i="2" s="1"/>
  <c r="H985" i="2"/>
  <c r="I985" i="2" s="1"/>
  <c r="H984" i="2"/>
  <c r="I984" i="2" s="1"/>
  <c r="H983" i="2"/>
  <c r="I983" i="2" s="1"/>
  <c r="H982" i="2"/>
  <c r="I982" i="2" s="1"/>
  <c r="H981" i="2"/>
  <c r="I981" i="2" s="1"/>
  <c r="H980" i="2"/>
  <c r="I980" i="2" s="1"/>
  <c r="H979" i="2"/>
  <c r="I979" i="2" s="1"/>
  <c r="H978" i="2"/>
  <c r="I978" i="2" s="1"/>
  <c r="H977" i="2"/>
  <c r="I977" i="2" s="1"/>
  <c r="H976" i="2"/>
  <c r="I976" i="2" s="1"/>
  <c r="H975" i="2"/>
  <c r="I975" i="2" s="1"/>
  <c r="H974" i="2"/>
  <c r="I974" i="2" s="1"/>
  <c r="H973" i="2"/>
  <c r="I973" i="2" s="1"/>
  <c r="H972" i="2"/>
  <c r="I972" i="2" s="1"/>
  <c r="H971" i="2"/>
  <c r="I971" i="2" s="1"/>
  <c r="H970" i="2"/>
  <c r="I970" i="2" s="1"/>
  <c r="H969" i="2"/>
  <c r="I969" i="2" s="1"/>
  <c r="H968" i="2"/>
  <c r="I968" i="2" s="1"/>
  <c r="H967" i="2"/>
  <c r="I967" i="2" s="1"/>
  <c r="H966" i="2"/>
  <c r="I966" i="2" s="1"/>
  <c r="H965" i="2"/>
  <c r="I965" i="2" s="1"/>
  <c r="H964" i="2"/>
  <c r="I964" i="2" s="1"/>
  <c r="H963" i="2"/>
  <c r="I963" i="2" s="1"/>
  <c r="H962" i="2"/>
  <c r="I962" i="2" s="1"/>
  <c r="H961" i="2"/>
  <c r="I961" i="2" s="1"/>
  <c r="H960" i="2"/>
  <c r="I960" i="2" s="1"/>
  <c r="H959" i="2"/>
  <c r="I959" i="2" s="1"/>
  <c r="H958" i="2"/>
  <c r="I958" i="2" s="1"/>
  <c r="H957" i="2"/>
  <c r="I957" i="2" s="1"/>
  <c r="H956" i="2"/>
  <c r="I956" i="2" s="1"/>
  <c r="H955" i="2"/>
  <c r="I955" i="2" s="1"/>
  <c r="H954" i="2"/>
  <c r="I954" i="2" s="1"/>
  <c r="H953" i="2"/>
  <c r="I953" i="2" s="1"/>
  <c r="H952" i="2"/>
  <c r="I952" i="2" s="1"/>
  <c r="H951" i="2"/>
  <c r="I951" i="2" s="1"/>
  <c r="H950" i="2"/>
  <c r="I950" i="2" s="1"/>
  <c r="H949" i="2"/>
  <c r="I949" i="2" s="1"/>
  <c r="H948" i="2"/>
  <c r="I948" i="2" s="1"/>
  <c r="H947" i="2"/>
  <c r="I947" i="2" s="1"/>
  <c r="H946" i="2"/>
  <c r="I946" i="2" s="1"/>
  <c r="H945" i="2"/>
  <c r="I945" i="2" s="1"/>
  <c r="H944" i="2"/>
  <c r="I944" i="2" s="1"/>
  <c r="H943" i="2"/>
  <c r="I943" i="2" s="1"/>
  <c r="H942" i="2"/>
  <c r="I942" i="2" s="1"/>
  <c r="H941" i="2"/>
  <c r="I941" i="2" s="1"/>
  <c r="H940" i="2"/>
  <c r="I940" i="2" s="1"/>
  <c r="H939" i="2"/>
  <c r="I939" i="2" s="1"/>
  <c r="H938" i="2"/>
  <c r="I938" i="2" s="1"/>
  <c r="H937" i="2"/>
  <c r="I937" i="2" s="1"/>
  <c r="H936" i="2"/>
  <c r="I936" i="2" s="1"/>
  <c r="H935" i="2"/>
  <c r="I935" i="2" s="1"/>
  <c r="H934" i="2"/>
  <c r="I934" i="2" s="1"/>
  <c r="H933" i="2"/>
  <c r="I933" i="2" s="1"/>
  <c r="H932" i="2"/>
  <c r="I932" i="2" s="1"/>
  <c r="H931" i="2"/>
  <c r="I931" i="2" s="1"/>
  <c r="I930" i="2"/>
  <c r="H929" i="2"/>
  <c r="I929" i="2" s="1"/>
  <c r="H928" i="2"/>
  <c r="I928" i="2" s="1"/>
  <c r="H927" i="2"/>
  <c r="I927" i="2" s="1"/>
  <c r="H926" i="2"/>
  <c r="I926" i="2" s="1"/>
  <c r="H925" i="2"/>
  <c r="I925" i="2" s="1"/>
  <c r="H924" i="2"/>
  <c r="I924" i="2" s="1"/>
  <c r="H923" i="2"/>
  <c r="I923" i="2" s="1"/>
  <c r="H922" i="2"/>
  <c r="I922" i="2" s="1"/>
  <c r="H921" i="2"/>
  <c r="I921" i="2" s="1"/>
  <c r="H920" i="2"/>
  <c r="I920" i="2" s="1"/>
  <c r="H919" i="2"/>
  <c r="I919" i="2" s="1"/>
  <c r="H918" i="2"/>
  <c r="I918" i="2" s="1"/>
  <c r="H917" i="2"/>
  <c r="I917" i="2" s="1"/>
  <c r="H916" i="2"/>
  <c r="I916" i="2" s="1"/>
  <c r="H915" i="2"/>
  <c r="I915" i="2" s="1"/>
  <c r="H914" i="2"/>
  <c r="I914" i="2" s="1"/>
  <c r="H913" i="2"/>
  <c r="I913" i="2" s="1"/>
  <c r="H912" i="2"/>
  <c r="I912" i="2" s="1"/>
  <c r="H911" i="2"/>
  <c r="I911" i="2" s="1"/>
  <c r="H910" i="2"/>
  <c r="I910" i="2" s="1"/>
  <c r="H909" i="2"/>
  <c r="I909" i="2" s="1"/>
  <c r="H908" i="2"/>
  <c r="I908" i="2" s="1"/>
  <c r="H907" i="2"/>
  <c r="I907" i="2" s="1"/>
  <c r="H906" i="2"/>
  <c r="I906" i="2" s="1"/>
  <c r="H905" i="2"/>
  <c r="I905" i="2" s="1"/>
  <c r="H904" i="2"/>
  <c r="I904" i="2" s="1"/>
  <c r="H903" i="2"/>
  <c r="I903" i="2" s="1"/>
  <c r="H902" i="2"/>
  <c r="I902" i="2" s="1"/>
  <c r="H901" i="2"/>
  <c r="I901" i="2" s="1"/>
  <c r="H900" i="2"/>
  <c r="I900" i="2" s="1"/>
  <c r="H899" i="2"/>
  <c r="I899" i="2" s="1"/>
  <c r="H898" i="2"/>
  <c r="I898" i="2" s="1"/>
  <c r="H897" i="2"/>
  <c r="I897" i="2" s="1"/>
  <c r="H896" i="2"/>
  <c r="I896" i="2" s="1"/>
  <c r="H895" i="2"/>
  <c r="I895" i="2" s="1"/>
  <c r="H894" i="2"/>
  <c r="I894" i="2" s="1"/>
  <c r="H893" i="2"/>
  <c r="I893" i="2" s="1"/>
  <c r="H892" i="2"/>
  <c r="I892" i="2" s="1"/>
  <c r="H891" i="2"/>
  <c r="I891" i="2" s="1"/>
  <c r="H890" i="2"/>
  <c r="I890" i="2" s="1"/>
  <c r="H889" i="2"/>
  <c r="I889" i="2" s="1"/>
  <c r="H888" i="2"/>
  <c r="I888" i="2" s="1"/>
  <c r="H887" i="2"/>
  <c r="I887" i="2" s="1"/>
  <c r="H886" i="2"/>
  <c r="I886" i="2" s="1"/>
  <c r="H885" i="2"/>
  <c r="I885" i="2" s="1"/>
  <c r="H884" i="2"/>
  <c r="I884" i="2" s="1"/>
  <c r="H883" i="2"/>
  <c r="I883" i="2" s="1"/>
  <c r="H882" i="2"/>
  <c r="I882" i="2" s="1"/>
  <c r="H881" i="2"/>
  <c r="I881" i="2" s="1"/>
  <c r="H880" i="2"/>
  <c r="I880" i="2" s="1"/>
  <c r="H879" i="2"/>
  <c r="I879" i="2" s="1"/>
  <c r="H878" i="2"/>
  <c r="I878" i="2" s="1"/>
  <c r="H877" i="2"/>
  <c r="I877" i="2" s="1"/>
  <c r="H876" i="2"/>
  <c r="I876" i="2" s="1"/>
  <c r="H875" i="2"/>
  <c r="I875" i="2" s="1"/>
  <c r="H874" i="2"/>
  <c r="I874" i="2" s="1"/>
  <c r="H873" i="2"/>
  <c r="I873" i="2" s="1"/>
  <c r="H872" i="2"/>
  <c r="I872" i="2" s="1"/>
  <c r="H871" i="2"/>
  <c r="I871" i="2" s="1"/>
  <c r="H870" i="2"/>
  <c r="I870" i="2" s="1"/>
  <c r="H869" i="2"/>
  <c r="I869" i="2" s="1"/>
  <c r="H868" i="2"/>
  <c r="I868" i="2" s="1"/>
  <c r="H867" i="2"/>
  <c r="I867" i="2" s="1"/>
  <c r="H866" i="2"/>
  <c r="I866" i="2" s="1"/>
  <c r="H865" i="2"/>
  <c r="I865" i="2" s="1"/>
  <c r="H864" i="2"/>
  <c r="I864" i="2" s="1"/>
  <c r="H863" i="2"/>
  <c r="I863" i="2" s="1"/>
  <c r="H862" i="2"/>
  <c r="I862" i="2" s="1"/>
  <c r="H861" i="2"/>
  <c r="I861" i="2" s="1"/>
  <c r="H860" i="2"/>
  <c r="I860" i="2" s="1"/>
  <c r="H859" i="2"/>
  <c r="I859" i="2" s="1"/>
  <c r="H858" i="2"/>
  <c r="I858" i="2" s="1"/>
  <c r="H857" i="2"/>
  <c r="I857" i="2" s="1"/>
  <c r="H856" i="2"/>
  <c r="I856" i="2" s="1"/>
  <c r="H855" i="2"/>
  <c r="I855" i="2" s="1"/>
  <c r="H854" i="2"/>
  <c r="I854" i="2" s="1"/>
  <c r="H853" i="2"/>
  <c r="I853" i="2" s="1"/>
  <c r="H852" i="2"/>
  <c r="I852" i="2" s="1"/>
  <c r="H851" i="2"/>
  <c r="I851" i="2" s="1"/>
  <c r="H850" i="2"/>
  <c r="I850" i="2" s="1"/>
  <c r="H849" i="2"/>
  <c r="I849" i="2" s="1"/>
  <c r="H848" i="2"/>
  <c r="I848" i="2" s="1"/>
  <c r="H847" i="2"/>
  <c r="I847" i="2" s="1"/>
  <c r="H846" i="2"/>
  <c r="I846" i="2" s="1"/>
  <c r="H845" i="2"/>
  <c r="I845" i="2" s="1"/>
  <c r="H844" i="2"/>
  <c r="I844" i="2" s="1"/>
  <c r="H843" i="2"/>
  <c r="I843" i="2" s="1"/>
  <c r="H842" i="2"/>
  <c r="I842" i="2" s="1"/>
  <c r="H841" i="2"/>
  <c r="I841" i="2" s="1"/>
  <c r="H840" i="2"/>
  <c r="I840" i="2" s="1"/>
  <c r="H839" i="2"/>
  <c r="I839" i="2" s="1"/>
  <c r="H838" i="2"/>
  <c r="I838" i="2" s="1"/>
  <c r="H837" i="2"/>
  <c r="I837" i="2" s="1"/>
  <c r="H836" i="2"/>
  <c r="I836" i="2" s="1"/>
  <c r="H835" i="2"/>
  <c r="I835" i="2" s="1"/>
  <c r="H834" i="2"/>
  <c r="I834" i="2" s="1"/>
  <c r="H833" i="2"/>
  <c r="I833" i="2" s="1"/>
  <c r="H832" i="2"/>
  <c r="I832" i="2" s="1"/>
  <c r="H831" i="2"/>
  <c r="I831" i="2" s="1"/>
  <c r="H830" i="2"/>
  <c r="I830" i="2" s="1"/>
  <c r="H829" i="2"/>
  <c r="I829" i="2" s="1"/>
  <c r="H828" i="2"/>
  <c r="I828" i="2" s="1"/>
  <c r="H827" i="2"/>
  <c r="I827" i="2" s="1"/>
  <c r="H826" i="2"/>
  <c r="I826" i="2" s="1"/>
  <c r="H825" i="2"/>
  <c r="I825" i="2" s="1"/>
  <c r="H824" i="2"/>
  <c r="I824" i="2" s="1"/>
  <c r="H823" i="2"/>
  <c r="I823" i="2" s="1"/>
  <c r="H822" i="2"/>
  <c r="I822" i="2" s="1"/>
  <c r="H821" i="2"/>
  <c r="I821" i="2" s="1"/>
  <c r="H820" i="2"/>
  <c r="I820" i="2" s="1"/>
  <c r="H819" i="2"/>
  <c r="I819" i="2" s="1"/>
  <c r="H818" i="2"/>
  <c r="I818" i="2" s="1"/>
  <c r="H817" i="2"/>
  <c r="I817" i="2" s="1"/>
  <c r="H816" i="2"/>
  <c r="I816" i="2" s="1"/>
  <c r="H815" i="2"/>
  <c r="I815" i="2" s="1"/>
  <c r="H814" i="2"/>
  <c r="I814" i="2" s="1"/>
  <c r="H813" i="2"/>
  <c r="I813" i="2" s="1"/>
  <c r="H812" i="2"/>
  <c r="I812" i="2" s="1"/>
  <c r="H811" i="2"/>
  <c r="I811" i="2" s="1"/>
  <c r="H810" i="2"/>
  <c r="I810" i="2" s="1"/>
  <c r="H809" i="2"/>
  <c r="I809" i="2" s="1"/>
  <c r="H808" i="2"/>
  <c r="I808" i="2" s="1"/>
  <c r="H807" i="2"/>
  <c r="I807" i="2" s="1"/>
  <c r="H806" i="2"/>
  <c r="I806" i="2" s="1"/>
  <c r="H805" i="2"/>
  <c r="I805" i="2" s="1"/>
  <c r="H804" i="2"/>
  <c r="I804" i="2" s="1"/>
  <c r="H803" i="2"/>
  <c r="I803" i="2" s="1"/>
  <c r="H802" i="2"/>
  <c r="I802" i="2" s="1"/>
  <c r="H801" i="2"/>
  <c r="I801" i="2" s="1"/>
  <c r="H800" i="2"/>
  <c r="I800" i="2" s="1"/>
  <c r="H799" i="2"/>
  <c r="I799" i="2" s="1"/>
  <c r="H798" i="2"/>
  <c r="I798" i="2" s="1"/>
  <c r="H797" i="2"/>
  <c r="I797" i="2" s="1"/>
  <c r="H796" i="2"/>
  <c r="I796" i="2" s="1"/>
  <c r="H795" i="2"/>
  <c r="I795" i="2" s="1"/>
  <c r="H794" i="2"/>
  <c r="I794" i="2" s="1"/>
  <c r="H793" i="2"/>
  <c r="I793" i="2" s="1"/>
  <c r="H792" i="2"/>
  <c r="I792" i="2" s="1"/>
  <c r="H791" i="2"/>
  <c r="I791" i="2" s="1"/>
  <c r="H790" i="2"/>
  <c r="I790" i="2" s="1"/>
  <c r="H789" i="2"/>
  <c r="I789" i="2" s="1"/>
  <c r="H788" i="2"/>
  <c r="I788" i="2" s="1"/>
  <c r="H787" i="2"/>
  <c r="I787" i="2" s="1"/>
  <c r="H786" i="2"/>
  <c r="I786" i="2" s="1"/>
  <c r="H785" i="2"/>
  <c r="I785" i="2" s="1"/>
  <c r="H784" i="2"/>
  <c r="I784" i="2" s="1"/>
  <c r="H783" i="2"/>
  <c r="I783" i="2" s="1"/>
  <c r="H782" i="2"/>
  <c r="I782" i="2" s="1"/>
  <c r="H781" i="2"/>
  <c r="I781" i="2" s="1"/>
  <c r="H780" i="2"/>
  <c r="I780" i="2" s="1"/>
  <c r="H779" i="2"/>
  <c r="I779" i="2" s="1"/>
  <c r="H778" i="2"/>
  <c r="I778" i="2" s="1"/>
  <c r="H777" i="2"/>
  <c r="I777" i="2" s="1"/>
  <c r="H776" i="2"/>
  <c r="I776" i="2" s="1"/>
  <c r="H775" i="2"/>
  <c r="I775" i="2" s="1"/>
  <c r="H774" i="2"/>
  <c r="I774" i="2" s="1"/>
  <c r="H773" i="2"/>
  <c r="I773" i="2" s="1"/>
  <c r="H772" i="2"/>
  <c r="I772" i="2" s="1"/>
  <c r="H771" i="2"/>
  <c r="I771" i="2" s="1"/>
  <c r="H770" i="2"/>
  <c r="I770" i="2" s="1"/>
  <c r="H769" i="2"/>
  <c r="I769" i="2" s="1"/>
  <c r="H768" i="2"/>
  <c r="I768" i="2" s="1"/>
  <c r="H767" i="2"/>
  <c r="I767" i="2" s="1"/>
  <c r="H766" i="2"/>
  <c r="I766" i="2" s="1"/>
  <c r="H765" i="2"/>
  <c r="I765" i="2" s="1"/>
  <c r="H764" i="2"/>
  <c r="I764" i="2" s="1"/>
  <c r="H763" i="2"/>
  <c r="I763" i="2" s="1"/>
  <c r="H762" i="2"/>
  <c r="I762" i="2" s="1"/>
  <c r="H761" i="2"/>
  <c r="I761" i="2" s="1"/>
  <c r="H760" i="2"/>
  <c r="I760" i="2" s="1"/>
  <c r="H759" i="2"/>
  <c r="I759" i="2" s="1"/>
  <c r="H758" i="2"/>
  <c r="I758" i="2" s="1"/>
  <c r="H757" i="2"/>
  <c r="I757" i="2" s="1"/>
  <c r="H756" i="2"/>
  <c r="I756" i="2" s="1"/>
  <c r="H755" i="2"/>
  <c r="I755" i="2" s="1"/>
  <c r="H754" i="2"/>
  <c r="I754" i="2" s="1"/>
  <c r="H753" i="2"/>
  <c r="I753" i="2" s="1"/>
  <c r="H752" i="2"/>
  <c r="I752" i="2" s="1"/>
  <c r="H751" i="2"/>
  <c r="I751" i="2" s="1"/>
  <c r="I750" i="2"/>
  <c r="H749" i="2"/>
  <c r="I749" i="2" s="1"/>
  <c r="H748" i="2"/>
  <c r="I748" i="2" s="1"/>
  <c r="H747" i="2"/>
  <c r="I747" i="2" s="1"/>
  <c r="H746" i="2"/>
  <c r="I746" i="2" s="1"/>
  <c r="H745" i="2"/>
  <c r="I745" i="2" s="1"/>
  <c r="H744" i="2"/>
  <c r="I744" i="2" s="1"/>
  <c r="H743" i="2"/>
  <c r="I743" i="2" s="1"/>
  <c r="H742" i="2"/>
  <c r="I742" i="2" s="1"/>
  <c r="H741" i="2"/>
  <c r="I741" i="2" s="1"/>
  <c r="H740" i="2"/>
  <c r="I740" i="2" s="1"/>
  <c r="H739" i="2"/>
  <c r="I739" i="2" s="1"/>
  <c r="H738" i="2"/>
  <c r="I738" i="2" s="1"/>
  <c r="H737" i="2"/>
  <c r="I737" i="2" s="1"/>
  <c r="H736" i="2"/>
  <c r="I736" i="2" s="1"/>
  <c r="H735" i="2"/>
  <c r="I735" i="2" s="1"/>
  <c r="H734" i="2"/>
  <c r="I734" i="2" s="1"/>
  <c r="H733" i="2"/>
  <c r="I733" i="2" s="1"/>
  <c r="H732" i="2"/>
  <c r="I732" i="2" s="1"/>
  <c r="H731" i="2"/>
  <c r="I731" i="2" s="1"/>
  <c r="H730" i="2"/>
  <c r="I730" i="2" s="1"/>
  <c r="H729" i="2"/>
  <c r="I729" i="2" s="1"/>
  <c r="H728" i="2"/>
  <c r="I728" i="2" s="1"/>
  <c r="H727" i="2"/>
  <c r="I727" i="2" s="1"/>
  <c r="H726" i="2"/>
  <c r="I726" i="2" s="1"/>
  <c r="H725" i="2"/>
  <c r="I725" i="2" s="1"/>
  <c r="H724" i="2"/>
  <c r="I724" i="2" s="1"/>
  <c r="H723" i="2"/>
  <c r="I723" i="2" s="1"/>
  <c r="H722" i="2"/>
  <c r="I722" i="2" s="1"/>
  <c r="H721" i="2"/>
  <c r="I721" i="2" s="1"/>
  <c r="H720" i="2"/>
  <c r="I720" i="2" s="1"/>
  <c r="H719" i="2"/>
  <c r="I719" i="2" s="1"/>
  <c r="H718" i="2"/>
  <c r="I718" i="2" s="1"/>
  <c r="H717" i="2"/>
  <c r="I717" i="2" s="1"/>
  <c r="H716" i="2"/>
  <c r="I716" i="2" s="1"/>
  <c r="H715" i="2"/>
  <c r="I715" i="2" s="1"/>
  <c r="H714" i="2"/>
  <c r="I714" i="2" s="1"/>
  <c r="H713" i="2"/>
  <c r="I713" i="2" s="1"/>
  <c r="H712" i="2"/>
  <c r="I712" i="2" s="1"/>
  <c r="H711" i="2"/>
  <c r="I711" i="2" s="1"/>
  <c r="H710" i="2"/>
  <c r="I710" i="2" s="1"/>
  <c r="H709" i="2"/>
  <c r="I709" i="2" s="1"/>
  <c r="H708" i="2"/>
  <c r="I708" i="2" s="1"/>
  <c r="H707" i="2"/>
  <c r="I707" i="2" s="1"/>
  <c r="H706" i="2"/>
  <c r="I706" i="2" s="1"/>
  <c r="H705" i="2"/>
  <c r="I705" i="2" s="1"/>
  <c r="H704" i="2"/>
  <c r="I704" i="2" s="1"/>
  <c r="H703" i="2"/>
  <c r="I703" i="2" s="1"/>
  <c r="H702" i="2"/>
  <c r="I702" i="2" s="1"/>
  <c r="H701" i="2"/>
  <c r="I701" i="2" s="1"/>
  <c r="H700" i="2"/>
  <c r="I700" i="2" s="1"/>
  <c r="H699" i="2"/>
  <c r="I699" i="2" s="1"/>
  <c r="H698" i="2"/>
  <c r="I698" i="2" s="1"/>
  <c r="H697" i="2"/>
  <c r="I697" i="2" s="1"/>
  <c r="H696" i="2"/>
  <c r="I696" i="2" s="1"/>
  <c r="H695" i="2"/>
  <c r="I695" i="2" s="1"/>
  <c r="H694" i="2"/>
  <c r="I694" i="2" s="1"/>
  <c r="H693" i="2"/>
  <c r="I693" i="2" s="1"/>
  <c r="H692" i="2"/>
  <c r="I692" i="2" s="1"/>
  <c r="H691" i="2"/>
  <c r="I691" i="2" s="1"/>
  <c r="H690" i="2"/>
  <c r="I690" i="2" s="1"/>
  <c r="H689" i="2"/>
  <c r="I689" i="2" s="1"/>
  <c r="H688" i="2"/>
  <c r="I688" i="2" s="1"/>
  <c r="H687" i="2"/>
  <c r="I687" i="2" s="1"/>
  <c r="H686" i="2"/>
  <c r="I686" i="2" s="1"/>
  <c r="H685" i="2"/>
  <c r="I685" i="2" s="1"/>
  <c r="H684" i="2"/>
  <c r="I684" i="2" s="1"/>
  <c r="H683" i="2"/>
  <c r="I683" i="2" s="1"/>
  <c r="H682" i="2"/>
  <c r="I682" i="2" s="1"/>
  <c r="H681" i="2"/>
  <c r="I681" i="2" s="1"/>
  <c r="H680" i="2"/>
  <c r="I680" i="2" s="1"/>
  <c r="H679" i="2"/>
  <c r="I679" i="2" s="1"/>
  <c r="H678" i="2"/>
  <c r="I678" i="2" s="1"/>
  <c r="H677" i="2"/>
  <c r="I677" i="2" s="1"/>
  <c r="H676" i="2"/>
  <c r="I676" i="2" s="1"/>
  <c r="H675" i="2"/>
  <c r="I675" i="2" s="1"/>
  <c r="H674" i="2"/>
  <c r="I674" i="2" s="1"/>
  <c r="H673" i="2"/>
  <c r="I673" i="2" s="1"/>
  <c r="H672" i="2"/>
  <c r="I672" i="2" s="1"/>
  <c r="H671" i="2"/>
  <c r="I671" i="2" s="1"/>
  <c r="H670" i="2"/>
  <c r="I670" i="2" s="1"/>
  <c r="H669" i="2"/>
  <c r="I669" i="2" s="1"/>
  <c r="H668" i="2"/>
  <c r="I668" i="2" s="1"/>
  <c r="H667" i="2"/>
  <c r="I667" i="2" s="1"/>
  <c r="H666" i="2"/>
  <c r="I666" i="2" s="1"/>
  <c r="H665" i="2"/>
  <c r="I665" i="2" s="1"/>
  <c r="H664" i="2"/>
  <c r="I664" i="2" s="1"/>
  <c r="H663" i="2"/>
  <c r="I663" i="2" s="1"/>
  <c r="H662" i="2"/>
  <c r="I662" i="2" s="1"/>
  <c r="H661" i="2"/>
  <c r="I661" i="2" s="1"/>
  <c r="H660" i="2"/>
  <c r="I660" i="2" s="1"/>
  <c r="H659" i="2"/>
  <c r="I659" i="2" s="1"/>
  <c r="H658" i="2"/>
  <c r="I658" i="2" s="1"/>
  <c r="H657" i="2"/>
  <c r="I657" i="2" s="1"/>
  <c r="H656" i="2"/>
  <c r="I656" i="2" s="1"/>
  <c r="H655" i="2"/>
  <c r="I655" i="2" s="1"/>
  <c r="H654" i="2"/>
  <c r="I654" i="2" s="1"/>
  <c r="H653" i="2"/>
  <c r="I653" i="2" s="1"/>
  <c r="H652" i="2"/>
  <c r="I652" i="2" s="1"/>
  <c r="H651" i="2"/>
  <c r="I651" i="2" s="1"/>
  <c r="H650" i="2"/>
  <c r="I650" i="2" s="1"/>
  <c r="H649" i="2"/>
  <c r="I649" i="2" s="1"/>
  <c r="H648" i="2"/>
  <c r="I648" i="2" s="1"/>
  <c r="H647" i="2"/>
  <c r="I647" i="2" s="1"/>
  <c r="H646" i="2"/>
  <c r="I646" i="2" s="1"/>
  <c r="H645" i="2"/>
  <c r="I645" i="2" s="1"/>
  <c r="H644" i="2"/>
  <c r="I644" i="2" s="1"/>
  <c r="H643" i="2"/>
  <c r="I643" i="2" s="1"/>
  <c r="H642" i="2"/>
  <c r="I642" i="2" s="1"/>
  <c r="H641" i="2"/>
  <c r="I641" i="2" s="1"/>
  <c r="H640" i="2"/>
  <c r="I640" i="2" s="1"/>
  <c r="H639" i="2"/>
  <c r="I639" i="2" s="1"/>
  <c r="H638" i="2"/>
  <c r="I638" i="2" s="1"/>
  <c r="H637" i="2"/>
  <c r="I637" i="2" s="1"/>
  <c r="H636" i="2"/>
  <c r="I636" i="2" s="1"/>
  <c r="H635" i="2"/>
  <c r="I635" i="2" s="1"/>
  <c r="H634" i="2"/>
  <c r="I634" i="2" s="1"/>
  <c r="H633" i="2"/>
  <c r="I633" i="2" s="1"/>
  <c r="H632" i="2"/>
  <c r="I632" i="2" s="1"/>
  <c r="H631" i="2"/>
  <c r="I631" i="2" s="1"/>
  <c r="H630" i="2"/>
  <c r="I630" i="2" s="1"/>
  <c r="H629" i="2"/>
  <c r="I629" i="2" s="1"/>
  <c r="H628" i="2"/>
  <c r="I628" i="2" s="1"/>
  <c r="H627" i="2"/>
  <c r="I627" i="2" s="1"/>
  <c r="H626" i="2"/>
  <c r="I626" i="2" s="1"/>
  <c r="H625" i="2"/>
  <c r="I625" i="2" s="1"/>
  <c r="H624" i="2"/>
  <c r="I624" i="2" s="1"/>
  <c r="H623" i="2"/>
  <c r="I623" i="2" s="1"/>
  <c r="H622" i="2"/>
  <c r="I622" i="2" s="1"/>
  <c r="H621" i="2"/>
  <c r="I621" i="2" s="1"/>
  <c r="H620" i="2"/>
  <c r="I620" i="2" s="1"/>
  <c r="H619" i="2"/>
  <c r="I619" i="2" s="1"/>
  <c r="H618" i="2"/>
  <c r="I618" i="2" s="1"/>
  <c r="H617" i="2"/>
  <c r="I617" i="2" s="1"/>
  <c r="H616" i="2"/>
  <c r="I616" i="2" s="1"/>
  <c r="H615" i="2"/>
  <c r="I615" i="2" s="1"/>
  <c r="H614" i="2"/>
  <c r="I614" i="2" s="1"/>
  <c r="H613" i="2"/>
  <c r="I613" i="2" s="1"/>
  <c r="H612" i="2"/>
  <c r="I612" i="2" s="1"/>
  <c r="H611" i="2"/>
  <c r="I611" i="2" s="1"/>
  <c r="H610" i="2"/>
  <c r="I610" i="2" s="1"/>
  <c r="H609" i="2"/>
  <c r="I609" i="2" s="1"/>
  <c r="H608" i="2"/>
  <c r="I608" i="2" s="1"/>
  <c r="H607" i="2"/>
  <c r="I607" i="2" s="1"/>
  <c r="H606" i="2"/>
  <c r="I606" i="2" s="1"/>
  <c r="H605" i="2"/>
  <c r="I605" i="2" s="1"/>
  <c r="H604" i="2"/>
  <c r="I604" i="2" s="1"/>
  <c r="H603" i="2"/>
  <c r="I603" i="2" s="1"/>
  <c r="H602" i="2"/>
  <c r="I602" i="2" s="1"/>
  <c r="H601" i="2"/>
  <c r="I601" i="2" s="1"/>
  <c r="H600" i="2"/>
  <c r="I600" i="2" s="1"/>
  <c r="H599" i="2"/>
  <c r="I599" i="2" s="1"/>
  <c r="H598" i="2"/>
  <c r="I598" i="2" s="1"/>
  <c r="H597" i="2"/>
  <c r="I597" i="2" s="1"/>
  <c r="H596" i="2"/>
  <c r="I596" i="2" s="1"/>
  <c r="H595" i="2"/>
  <c r="I595" i="2" s="1"/>
  <c r="H594" i="2"/>
  <c r="I594" i="2" s="1"/>
  <c r="H593" i="2"/>
  <c r="I593" i="2" s="1"/>
  <c r="H592" i="2"/>
  <c r="I592" i="2" s="1"/>
  <c r="H591" i="2"/>
  <c r="I591" i="2" s="1"/>
  <c r="H590" i="2"/>
  <c r="I590" i="2" s="1"/>
  <c r="H589" i="2"/>
  <c r="I589" i="2" s="1"/>
  <c r="H588" i="2"/>
  <c r="I588" i="2" s="1"/>
  <c r="H587" i="2"/>
  <c r="I587" i="2" s="1"/>
  <c r="H586" i="2"/>
  <c r="I586" i="2" s="1"/>
  <c r="H585" i="2"/>
  <c r="I585" i="2" s="1"/>
  <c r="H584" i="2"/>
  <c r="I584" i="2" s="1"/>
  <c r="H583" i="2"/>
  <c r="I583" i="2" s="1"/>
  <c r="H582" i="2"/>
  <c r="I582" i="2" s="1"/>
  <c r="H581" i="2"/>
  <c r="I581" i="2" s="1"/>
  <c r="H580" i="2"/>
  <c r="I580" i="2" s="1"/>
  <c r="H579" i="2"/>
  <c r="I579" i="2" s="1"/>
  <c r="H578" i="2"/>
  <c r="I578" i="2" s="1"/>
  <c r="H577" i="2"/>
  <c r="I577" i="2" s="1"/>
  <c r="H576" i="2"/>
  <c r="I576" i="2" s="1"/>
  <c r="H575" i="2"/>
  <c r="I575" i="2" s="1"/>
  <c r="H574" i="2"/>
  <c r="I574" i="2" s="1"/>
  <c r="H573" i="2"/>
  <c r="I573" i="2" s="1"/>
  <c r="H572" i="2"/>
  <c r="I572" i="2" s="1"/>
  <c r="H571" i="2"/>
  <c r="I571" i="2" s="1"/>
  <c r="H570" i="2"/>
  <c r="I570" i="2" s="1"/>
  <c r="H569" i="2"/>
  <c r="I569" i="2" s="1"/>
  <c r="H568" i="2"/>
  <c r="I568" i="2" s="1"/>
  <c r="H567" i="2"/>
  <c r="I567" i="2" s="1"/>
  <c r="H566" i="2"/>
  <c r="I566" i="2" s="1"/>
  <c r="H565" i="2"/>
  <c r="I565" i="2" s="1"/>
  <c r="H564" i="2"/>
  <c r="I564" i="2" s="1"/>
  <c r="H563" i="2"/>
  <c r="I563" i="2" s="1"/>
  <c r="H562" i="2"/>
  <c r="I562" i="2" s="1"/>
  <c r="H561" i="2"/>
  <c r="I561" i="2" s="1"/>
  <c r="H560" i="2"/>
  <c r="I560" i="2" s="1"/>
  <c r="H559" i="2"/>
  <c r="I559" i="2" s="1"/>
  <c r="H558" i="2"/>
  <c r="I558" i="2" s="1"/>
  <c r="H557" i="2"/>
  <c r="I557" i="2" s="1"/>
  <c r="H556" i="2"/>
  <c r="I556" i="2" s="1"/>
  <c r="H555" i="2"/>
  <c r="I555" i="2" s="1"/>
  <c r="H554" i="2"/>
  <c r="I554" i="2" s="1"/>
  <c r="H553" i="2"/>
  <c r="I553" i="2" s="1"/>
  <c r="H552" i="2"/>
  <c r="I552" i="2" s="1"/>
  <c r="H551" i="2"/>
  <c r="I551" i="2" s="1"/>
  <c r="H550" i="2"/>
  <c r="I550" i="2" s="1"/>
  <c r="H549" i="2"/>
  <c r="I549" i="2" s="1"/>
  <c r="H548" i="2"/>
  <c r="I548" i="2" s="1"/>
  <c r="H547" i="2"/>
  <c r="I547" i="2" s="1"/>
  <c r="H546" i="2"/>
  <c r="I546" i="2" s="1"/>
  <c r="H545" i="2"/>
  <c r="I545" i="2" s="1"/>
  <c r="H544" i="2"/>
  <c r="I544" i="2" s="1"/>
  <c r="H543" i="2"/>
  <c r="I543" i="2" s="1"/>
  <c r="H542" i="2"/>
  <c r="I542" i="2" s="1"/>
  <c r="H541" i="2"/>
  <c r="I541" i="2" s="1"/>
  <c r="H540" i="2"/>
  <c r="I540" i="2" s="1"/>
  <c r="H539" i="2"/>
  <c r="I539" i="2" s="1"/>
  <c r="H538" i="2"/>
  <c r="I538" i="2" s="1"/>
  <c r="H537" i="2"/>
  <c r="I537" i="2" s="1"/>
  <c r="H536" i="2"/>
  <c r="I536" i="2" s="1"/>
  <c r="H535" i="2"/>
  <c r="I535" i="2" s="1"/>
  <c r="H534" i="2"/>
  <c r="I534" i="2" s="1"/>
  <c r="H533" i="2"/>
  <c r="I533" i="2" s="1"/>
  <c r="H532" i="2"/>
  <c r="I532" i="2" s="1"/>
  <c r="H531" i="2"/>
  <c r="I531" i="2" s="1"/>
  <c r="H530" i="2"/>
  <c r="I530" i="2" s="1"/>
  <c r="H529" i="2"/>
  <c r="I529" i="2" s="1"/>
  <c r="H528" i="2"/>
  <c r="I528" i="2" s="1"/>
  <c r="H527" i="2"/>
  <c r="I527" i="2" s="1"/>
  <c r="H526" i="2"/>
  <c r="I526" i="2" s="1"/>
  <c r="H525" i="2"/>
  <c r="I525" i="2" s="1"/>
  <c r="H524" i="2"/>
  <c r="I524" i="2" s="1"/>
  <c r="H523" i="2"/>
  <c r="I523" i="2" s="1"/>
  <c r="H522" i="2"/>
  <c r="I522" i="2" s="1"/>
  <c r="H521" i="2"/>
  <c r="I521" i="2" s="1"/>
  <c r="H520" i="2"/>
  <c r="I520" i="2" s="1"/>
  <c r="H519" i="2"/>
  <c r="I519" i="2" s="1"/>
  <c r="H518" i="2"/>
  <c r="I518" i="2" s="1"/>
  <c r="H517" i="2"/>
  <c r="I517" i="2" s="1"/>
  <c r="H516" i="2"/>
  <c r="I516" i="2" s="1"/>
  <c r="H515" i="2"/>
  <c r="I515" i="2" s="1"/>
  <c r="H514" i="2"/>
  <c r="I514" i="2" s="1"/>
  <c r="H513" i="2"/>
  <c r="I513" i="2" s="1"/>
  <c r="H512" i="2"/>
  <c r="I512" i="2" s="1"/>
  <c r="H511" i="2"/>
  <c r="I511" i="2" s="1"/>
  <c r="H510" i="2"/>
  <c r="I510" i="2" s="1"/>
  <c r="H509" i="2"/>
  <c r="I509" i="2" s="1"/>
  <c r="H508" i="2"/>
  <c r="I508" i="2" s="1"/>
  <c r="H507" i="2"/>
  <c r="I507" i="2" s="1"/>
  <c r="H506" i="2"/>
  <c r="I506" i="2" s="1"/>
  <c r="H505" i="2"/>
  <c r="I505" i="2" s="1"/>
  <c r="H504" i="2"/>
  <c r="I504" i="2" s="1"/>
  <c r="H503" i="2"/>
  <c r="I503" i="2" s="1"/>
  <c r="H502" i="2"/>
  <c r="I502" i="2" s="1"/>
  <c r="H501" i="2"/>
  <c r="I501" i="2" s="1"/>
  <c r="H500" i="2"/>
  <c r="I500" i="2" s="1"/>
  <c r="H499" i="2"/>
  <c r="I499" i="2" s="1"/>
  <c r="H498" i="2"/>
  <c r="I498" i="2" s="1"/>
  <c r="H497" i="2"/>
  <c r="I497" i="2" s="1"/>
  <c r="H496" i="2"/>
  <c r="I496" i="2" s="1"/>
  <c r="H495" i="2"/>
  <c r="I495" i="2" s="1"/>
  <c r="H494" i="2"/>
  <c r="I494" i="2" s="1"/>
  <c r="H493" i="2"/>
  <c r="I493" i="2" s="1"/>
  <c r="H492" i="2"/>
  <c r="I492" i="2" s="1"/>
  <c r="H491" i="2"/>
  <c r="I491" i="2" s="1"/>
  <c r="H490" i="2"/>
  <c r="I490" i="2" s="1"/>
  <c r="H489" i="2"/>
  <c r="I489" i="2" s="1"/>
  <c r="H488" i="2"/>
  <c r="I488" i="2" s="1"/>
  <c r="H487" i="2"/>
  <c r="I487" i="2" s="1"/>
  <c r="H486" i="2"/>
  <c r="I486" i="2" s="1"/>
  <c r="H485" i="2"/>
  <c r="I485" i="2" s="1"/>
  <c r="H484" i="2"/>
  <c r="I484" i="2" s="1"/>
  <c r="H483" i="2"/>
  <c r="I483" i="2" s="1"/>
  <c r="H482" i="2"/>
  <c r="I482" i="2" s="1"/>
  <c r="H481" i="2"/>
  <c r="I481" i="2" s="1"/>
  <c r="H480" i="2"/>
  <c r="I480" i="2" s="1"/>
  <c r="H479" i="2"/>
  <c r="I479" i="2" s="1"/>
  <c r="H478" i="2"/>
  <c r="I478" i="2" s="1"/>
  <c r="H477" i="2"/>
  <c r="I477" i="2" s="1"/>
  <c r="H476" i="2"/>
  <c r="I476" i="2" s="1"/>
  <c r="H475" i="2"/>
  <c r="I475" i="2" s="1"/>
  <c r="H474" i="2"/>
  <c r="I474" i="2" s="1"/>
  <c r="H473" i="2"/>
  <c r="I473" i="2" s="1"/>
  <c r="H472" i="2"/>
  <c r="I472" i="2" s="1"/>
  <c r="H471" i="2"/>
  <c r="I471" i="2" s="1"/>
  <c r="H470" i="2"/>
  <c r="I470" i="2" s="1"/>
  <c r="H469" i="2"/>
  <c r="I469" i="2" s="1"/>
  <c r="H468" i="2"/>
  <c r="I468" i="2" s="1"/>
  <c r="H467" i="2"/>
  <c r="I467" i="2" s="1"/>
  <c r="H466" i="2"/>
  <c r="I466" i="2" s="1"/>
  <c r="H465" i="2"/>
  <c r="I465" i="2" s="1"/>
  <c r="H464" i="2"/>
  <c r="I464" i="2" s="1"/>
  <c r="H463" i="2"/>
  <c r="I463" i="2" s="1"/>
  <c r="H462" i="2"/>
  <c r="I462" i="2" s="1"/>
  <c r="H461" i="2"/>
  <c r="I461" i="2" s="1"/>
  <c r="H460" i="2"/>
  <c r="I460" i="2" s="1"/>
  <c r="H459" i="2"/>
  <c r="I459" i="2" s="1"/>
  <c r="H458" i="2"/>
  <c r="I458" i="2" s="1"/>
  <c r="H457" i="2"/>
  <c r="I457" i="2" s="1"/>
  <c r="H456" i="2"/>
  <c r="I456" i="2" s="1"/>
  <c r="H455" i="2"/>
  <c r="I455" i="2" s="1"/>
  <c r="H454" i="2"/>
  <c r="I454" i="2" s="1"/>
  <c r="H453" i="2"/>
  <c r="I453" i="2" s="1"/>
  <c r="H452" i="2"/>
  <c r="I452" i="2" s="1"/>
  <c r="H451" i="2"/>
  <c r="I451" i="2" s="1"/>
  <c r="H450" i="2"/>
  <c r="I450" i="2" s="1"/>
  <c r="H449" i="2"/>
  <c r="I449" i="2" s="1"/>
  <c r="H448" i="2"/>
  <c r="I448" i="2" s="1"/>
  <c r="H447" i="2"/>
  <c r="I447" i="2" s="1"/>
  <c r="H446" i="2"/>
  <c r="I446" i="2" s="1"/>
  <c r="H445" i="2"/>
  <c r="I445" i="2" s="1"/>
  <c r="H444" i="2"/>
  <c r="I444" i="2" s="1"/>
  <c r="H443" i="2"/>
  <c r="I443" i="2" s="1"/>
  <c r="H442" i="2"/>
  <c r="I442" i="2" s="1"/>
  <c r="H441" i="2"/>
  <c r="I441" i="2" s="1"/>
  <c r="H440" i="2"/>
  <c r="I440" i="2" s="1"/>
  <c r="H439" i="2"/>
  <c r="I439" i="2" s="1"/>
  <c r="H438" i="2"/>
  <c r="I438" i="2" s="1"/>
  <c r="H437" i="2"/>
  <c r="I437" i="2" s="1"/>
  <c r="H436" i="2"/>
  <c r="I436" i="2" s="1"/>
  <c r="H435" i="2"/>
  <c r="I435" i="2" s="1"/>
  <c r="H434" i="2"/>
  <c r="I434" i="2" s="1"/>
  <c r="H433" i="2"/>
  <c r="I433" i="2" s="1"/>
  <c r="H432" i="2"/>
  <c r="I432" i="2" s="1"/>
  <c r="H431" i="2"/>
  <c r="I431" i="2" s="1"/>
  <c r="H430" i="2"/>
  <c r="I430" i="2" s="1"/>
  <c r="H429" i="2"/>
  <c r="I429" i="2" s="1"/>
  <c r="H428" i="2"/>
  <c r="I428" i="2" s="1"/>
  <c r="H427" i="2"/>
  <c r="I427" i="2" s="1"/>
  <c r="H426" i="2"/>
  <c r="I426" i="2" s="1"/>
  <c r="H425" i="2"/>
  <c r="I425" i="2" s="1"/>
  <c r="H424" i="2"/>
  <c r="I424" i="2" s="1"/>
  <c r="H423" i="2"/>
  <c r="I423" i="2" s="1"/>
  <c r="H422" i="2"/>
  <c r="I422" i="2" s="1"/>
  <c r="H421" i="2"/>
  <c r="I421" i="2" s="1"/>
  <c r="H420" i="2"/>
  <c r="I420" i="2" s="1"/>
  <c r="H419" i="2"/>
  <c r="I419" i="2" s="1"/>
  <c r="H418" i="2"/>
  <c r="I418" i="2" s="1"/>
  <c r="H417" i="2"/>
  <c r="I417" i="2" s="1"/>
  <c r="H416" i="2"/>
  <c r="I416" i="2" s="1"/>
  <c r="H415" i="2"/>
  <c r="I415" i="2" s="1"/>
  <c r="H414" i="2"/>
  <c r="I414" i="2" s="1"/>
  <c r="H413" i="2"/>
  <c r="I413" i="2" s="1"/>
  <c r="H412" i="2"/>
  <c r="I412" i="2" s="1"/>
  <c r="H411" i="2"/>
  <c r="I411" i="2" s="1"/>
  <c r="H410" i="2"/>
  <c r="I410" i="2" s="1"/>
  <c r="H409" i="2"/>
  <c r="I409" i="2" s="1"/>
  <c r="H408" i="2"/>
  <c r="I408" i="2" s="1"/>
  <c r="H407" i="2"/>
  <c r="I407" i="2" s="1"/>
  <c r="H406" i="2"/>
  <c r="I406" i="2" s="1"/>
  <c r="H405" i="2"/>
  <c r="I405" i="2" s="1"/>
  <c r="H404" i="2"/>
  <c r="I404" i="2" s="1"/>
  <c r="H403" i="2"/>
  <c r="I403" i="2" s="1"/>
  <c r="H402" i="2"/>
  <c r="I402" i="2" s="1"/>
  <c r="H401" i="2"/>
  <c r="I401" i="2" s="1"/>
  <c r="H400" i="2"/>
  <c r="I400" i="2" s="1"/>
  <c r="H399" i="2"/>
  <c r="I399" i="2" s="1"/>
  <c r="H398" i="2"/>
  <c r="I398" i="2" s="1"/>
  <c r="H397" i="2"/>
  <c r="I397" i="2" s="1"/>
  <c r="H396" i="2"/>
  <c r="I396" i="2" s="1"/>
  <c r="H395" i="2"/>
  <c r="I395" i="2" s="1"/>
  <c r="H394" i="2"/>
  <c r="I394" i="2" s="1"/>
  <c r="H393" i="2"/>
  <c r="I393" i="2" s="1"/>
  <c r="H392" i="2"/>
  <c r="I392" i="2" s="1"/>
  <c r="H391" i="2"/>
  <c r="I391" i="2" s="1"/>
  <c r="H390" i="2"/>
  <c r="I390" i="2" s="1"/>
  <c r="H389" i="2"/>
  <c r="I389" i="2" s="1"/>
  <c r="H388" i="2"/>
  <c r="I388" i="2" s="1"/>
  <c r="H387" i="2"/>
  <c r="I387" i="2" s="1"/>
  <c r="H386" i="2"/>
  <c r="I386" i="2" s="1"/>
  <c r="H385" i="2"/>
  <c r="I385" i="2" s="1"/>
  <c r="H384" i="2"/>
  <c r="I384" i="2" s="1"/>
  <c r="H383" i="2"/>
  <c r="I383" i="2" s="1"/>
  <c r="H382" i="2"/>
  <c r="I382" i="2" s="1"/>
  <c r="H381" i="2"/>
  <c r="I381" i="2" s="1"/>
  <c r="H380" i="2"/>
  <c r="I380" i="2" s="1"/>
  <c r="H379" i="2"/>
  <c r="I379" i="2" s="1"/>
  <c r="H378" i="2"/>
  <c r="I378" i="2" s="1"/>
  <c r="H377" i="2"/>
  <c r="I377" i="2" s="1"/>
  <c r="H376" i="2"/>
  <c r="I376" i="2" s="1"/>
  <c r="H375" i="2"/>
  <c r="I375" i="2" s="1"/>
  <c r="H374" i="2"/>
  <c r="I374" i="2" s="1"/>
  <c r="H373" i="2"/>
  <c r="I373" i="2" s="1"/>
  <c r="H372" i="2"/>
  <c r="I372" i="2" s="1"/>
  <c r="H371" i="2"/>
  <c r="I371" i="2" s="1"/>
  <c r="H370" i="2"/>
  <c r="I370" i="2" s="1"/>
  <c r="H369" i="2"/>
  <c r="I369" i="2" s="1"/>
  <c r="H368" i="2"/>
  <c r="I368" i="2" s="1"/>
  <c r="H367" i="2"/>
  <c r="I367" i="2" s="1"/>
  <c r="H366" i="2"/>
  <c r="I366" i="2" s="1"/>
  <c r="H365" i="2"/>
  <c r="I365" i="2" s="1"/>
  <c r="H364" i="2"/>
  <c r="I364" i="2" s="1"/>
  <c r="H363" i="2"/>
  <c r="I363" i="2" s="1"/>
  <c r="H362" i="2"/>
  <c r="I362" i="2" s="1"/>
  <c r="H361" i="2"/>
  <c r="I361" i="2" s="1"/>
  <c r="H360" i="2"/>
  <c r="I360" i="2" s="1"/>
  <c r="H359" i="2"/>
  <c r="I359" i="2" s="1"/>
  <c r="H358" i="2"/>
  <c r="I358" i="2" s="1"/>
  <c r="H357" i="2"/>
  <c r="I357" i="2" s="1"/>
  <c r="H356" i="2"/>
  <c r="I356" i="2" s="1"/>
  <c r="H355" i="2"/>
  <c r="I355" i="2" s="1"/>
  <c r="H354" i="2"/>
  <c r="I354" i="2" s="1"/>
  <c r="H353" i="2"/>
  <c r="I353" i="2" s="1"/>
  <c r="H352" i="2"/>
  <c r="I352" i="2" s="1"/>
  <c r="H351" i="2"/>
  <c r="I351" i="2" s="1"/>
  <c r="H350" i="2"/>
  <c r="I350" i="2" s="1"/>
  <c r="H349" i="2"/>
  <c r="I349" i="2" s="1"/>
  <c r="H348" i="2"/>
  <c r="I348" i="2" s="1"/>
  <c r="H347" i="2"/>
  <c r="I347" i="2" s="1"/>
  <c r="H346" i="2"/>
  <c r="I346" i="2" s="1"/>
  <c r="H345" i="2"/>
  <c r="I345" i="2" s="1"/>
  <c r="H344" i="2"/>
  <c r="I344" i="2" s="1"/>
  <c r="H343" i="2"/>
  <c r="I343" i="2" s="1"/>
  <c r="H342" i="2"/>
  <c r="I342" i="2" s="1"/>
  <c r="H341" i="2"/>
  <c r="I341" i="2" s="1"/>
  <c r="H340" i="2"/>
  <c r="I340" i="2" s="1"/>
  <c r="H339" i="2"/>
  <c r="I339" i="2" s="1"/>
  <c r="H338" i="2"/>
  <c r="I338" i="2" s="1"/>
  <c r="H337" i="2"/>
  <c r="I337" i="2" s="1"/>
  <c r="H336" i="2"/>
  <c r="I336" i="2" s="1"/>
  <c r="H335" i="2"/>
  <c r="I335" i="2" s="1"/>
  <c r="H334" i="2"/>
  <c r="I334" i="2" s="1"/>
  <c r="H333" i="2"/>
  <c r="I333" i="2" s="1"/>
  <c r="H332" i="2"/>
  <c r="I332" i="2" s="1"/>
  <c r="H331" i="2"/>
  <c r="I331" i="2" s="1"/>
  <c r="H330" i="2"/>
  <c r="I330" i="2" s="1"/>
  <c r="H329" i="2"/>
  <c r="I329" i="2" s="1"/>
  <c r="H328" i="2"/>
  <c r="I328" i="2" s="1"/>
  <c r="H327" i="2"/>
  <c r="I327" i="2" s="1"/>
  <c r="H326" i="2"/>
  <c r="I326" i="2" s="1"/>
  <c r="H325" i="2"/>
  <c r="I325" i="2" s="1"/>
  <c r="H324" i="2"/>
  <c r="I324" i="2" s="1"/>
  <c r="H323" i="2"/>
  <c r="I323" i="2" s="1"/>
  <c r="H322" i="2"/>
  <c r="I322" i="2" s="1"/>
  <c r="H321" i="2"/>
  <c r="I321" i="2" s="1"/>
  <c r="H320" i="2"/>
  <c r="I320" i="2" s="1"/>
  <c r="H319" i="2"/>
  <c r="I319" i="2" s="1"/>
  <c r="H318" i="2"/>
  <c r="I318" i="2" s="1"/>
  <c r="H317" i="2"/>
  <c r="I317" i="2" s="1"/>
  <c r="H316" i="2"/>
  <c r="I316" i="2" s="1"/>
  <c r="H315" i="2"/>
  <c r="I315" i="2" s="1"/>
  <c r="H314" i="2"/>
  <c r="I314" i="2" s="1"/>
  <c r="H313" i="2"/>
  <c r="I313" i="2" s="1"/>
  <c r="H312" i="2"/>
  <c r="I312" i="2" s="1"/>
  <c r="H311" i="2"/>
  <c r="I311" i="2" s="1"/>
  <c r="H310" i="2"/>
  <c r="I310" i="2" s="1"/>
  <c r="H309" i="2"/>
  <c r="I309" i="2" s="1"/>
  <c r="H308" i="2"/>
  <c r="I308" i="2" s="1"/>
  <c r="H307" i="2"/>
  <c r="I307" i="2" s="1"/>
  <c r="H306" i="2"/>
  <c r="I306" i="2" s="1"/>
  <c r="H305" i="2"/>
  <c r="I305" i="2" s="1"/>
  <c r="H304" i="2"/>
  <c r="I304" i="2" s="1"/>
  <c r="H303" i="2"/>
  <c r="I303" i="2" s="1"/>
  <c r="H302" i="2"/>
  <c r="I302" i="2" s="1"/>
  <c r="H301" i="2"/>
  <c r="I301" i="2" s="1"/>
  <c r="H300" i="2"/>
  <c r="I300" i="2" s="1"/>
  <c r="H299" i="2"/>
  <c r="I299" i="2" s="1"/>
  <c r="H298" i="2"/>
  <c r="I298" i="2" s="1"/>
  <c r="H297" i="2"/>
  <c r="I297" i="2" s="1"/>
  <c r="H296" i="2"/>
  <c r="I296" i="2" s="1"/>
  <c r="H295" i="2"/>
  <c r="I295" i="2" s="1"/>
  <c r="H294" i="2"/>
  <c r="I294" i="2" s="1"/>
  <c r="H293" i="2"/>
  <c r="I293" i="2" s="1"/>
  <c r="H292" i="2"/>
  <c r="I292" i="2" s="1"/>
  <c r="H291" i="2"/>
  <c r="I291" i="2" s="1"/>
  <c r="H290" i="2"/>
  <c r="I290" i="2" s="1"/>
  <c r="H289" i="2"/>
  <c r="I289" i="2" s="1"/>
  <c r="H288" i="2"/>
  <c r="I288" i="2" s="1"/>
  <c r="H287" i="2"/>
  <c r="I287" i="2" s="1"/>
  <c r="H286" i="2"/>
  <c r="I286" i="2" s="1"/>
  <c r="H285" i="2"/>
  <c r="I285" i="2" s="1"/>
  <c r="H284" i="2"/>
  <c r="I284" i="2" s="1"/>
  <c r="H283" i="2"/>
  <c r="I283" i="2" s="1"/>
  <c r="H282" i="2"/>
  <c r="I282" i="2" s="1"/>
  <c r="H281" i="2"/>
  <c r="I281" i="2" s="1"/>
  <c r="H280" i="2"/>
  <c r="I280" i="2" s="1"/>
  <c r="H279" i="2"/>
  <c r="I279" i="2" s="1"/>
  <c r="H278" i="2"/>
  <c r="I278" i="2" s="1"/>
  <c r="H277" i="2"/>
  <c r="I277" i="2" s="1"/>
  <c r="H276" i="2"/>
  <c r="I276" i="2" s="1"/>
  <c r="H275" i="2"/>
  <c r="I275" i="2" s="1"/>
  <c r="H274" i="2"/>
  <c r="I274" i="2" s="1"/>
  <c r="H273" i="2"/>
  <c r="I273" i="2" s="1"/>
  <c r="H272" i="2"/>
  <c r="I272" i="2" s="1"/>
  <c r="H271" i="2"/>
  <c r="I271" i="2" s="1"/>
  <c r="H270" i="2"/>
  <c r="I270" i="2" s="1"/>
  <c r="H269" i="2"/>
  <c r="I269" i="2" s="1"/>
  <c r="H268" i="2"/>
  <c r="I268" i="2" s="1"/>
  <c r="H267" i="2"/>
  <c r="I267" i="2" s="1"/>
  <c r="H266" i="2"/>
  <c r="I266" i="2" s="1"/>
  <c r="H265" i="2"/>
  <c r="I265" i="2" s="1"/>
  <c r="H264" i="2"/>
  <c r="I264" i="2" s="1"/>
  <c r="H263" i="2"/>
  <c r="I263" i="2" s="1"/>
  <c r="H262" i="2"/>
  <c r="I262" i="2" s="1"/>
  <c r="H261" i="2"/>
  <c r="I261" i="2" s="1"/>
  <c r="H260" i="2"/>
  <c r="I260" i="2" s="1"/>
  <c r="H259" i="2"/>
  <c r="I259" i="2" s="1"/>
  <c r="H258" i="2"/>
  <c r="I258" i="2" s="1"/>
  <c r="H257" i="2"/>
  <c r="I257" i="2" s="1"/>
  <c r="H256" i="2"/>
  <c r="I256" i="2" s="1"/>
  <c r="H255" i="2"/>
  <c r="I255" i="2" s="1"/>
  <c r="H254" i="2"/>
  <c r="I254" i="2" s="1"/>
  <c r="H253" i="2"/>
  <c r="I253" i="2" s="1"/>
  <c r="H252" i="2"/>
  <c r="I252" i="2" s="1"/>
  <c r="H251" i="2"/>
  <c r="I251" i="2" s="1"/>
  <c r="H250" i="2"/>
  <c r="I250" i="2" s="1"/>
  <c r="H249" i="2"/>
  <c r="I249" i="2" s="1"/>
  <c r="H248" i="2"/>
  <c r="I248" i="2" s="1"/>
  <c r="H247" i="2"/>
  <c r="I247" i="2" s="1"/>
  <c r="H246" i="2"/>
  <c r="I246" i="2" s="1"/>
  <c r="H245" i="2"/>
  <c r="I245" i="2" s="1"/>
  <c r="H244" i="2"/>
  <c r="I244" i="2" s="1"/>
  <c r="H243" i="2"/>
  <c r="I243" i="2" s="1"/>
  <c r="H242" i="2"/>
  <c r="I242" i="2" s="1"/>
  <c r="H241" i="2"/>
  <c r="I241" i="2" s="1"/>
  <c r="H240" i="2"/>
  <c r="I240" i="2" s="1"/>
  <c r="H239" i="2"/>
  <c r="I239" i="2" s="1"/>
  <c r="H238" i="2"/>
  <c r="I238" i="2" s="1"/>
  <c r="H237" i="2"/>
  <c r="I237" i="2" s="1"/>
  <c r="H236" i="2"/>
  <c r="I236" i="2" s="1"/>
  <c r="H235" i="2"/>
  <c r="I235" i="2" s="1"/>
  <c r="H234" i="2"/>
  <c r="I234" i="2" s="1"/>
  <c r="H233" i="2"/>
  <c r="I233" i="2" s="1"/>
  <c r="H232" i="2"/>
  <c r="I232" i="2" s="1"/>
  <c r="H231" i="2"/>
  <c r="I231" i="2" s="1"/>
  <c r="H230" i="2"/>
  <c r="I230" i="2" s="1"/>
  <c r="H229" i="2"/>
  <c r="I229" i="2" s="1"/>
  <c r="H228" i="2"/>
  <c r="I228" i="2" s="1"/>
  <c r="H227" i="2"/>
  <c r="I227" i="2" s="1"/>
  <c r="H226" i="2"/>
  <c r="I226" i="2" s="1"/>
  <c r="H225" i="2"/>
  <c r="I225" i="2" s="1"/>
  <c r="H224" i="2"/>
  <c r="I224" i="2" s="1"/>
  <c r="H223" i="2"/>
  <c r="I223" i="2" s="1"/>
  <c r="H222" i="2"/>
  <c r="I222" i="2" s="1"/>
  <c r="H221" i="2"/>
  <c r="I221" i="2" s="1"/>
  <c r="H220" i="2"/>
  <c r="I220" i="2" s="1"/>
  <c r="H219" i="2"/>
  <c r="I219" i="2" s="1"/>
  <c r="H218" i="2"/>
  <c r="I218" i="2" s="1"/>
  <c r="H217" i="2"/>
  <c r="I217" i="2" s="1"/>
  <c r="H216" i="2"/>
  <c r="I216" i="2" s="1"/>
  <c r="H215" i="2"/>
  <c r="I215" i="2" s="1"/>
  <c r="H214" i="2"/>
  <c r="I214" i="2" s="1"/>
  <c r="H213" i="2"/>
  <c r="I213" i="2" s="1"/>
  <c r="H212" i="2"/>
  <c r="I212" i="2" s="1"/>
  <c r="H211" i="2"/>
  <c r="I211" i="2" s="1"/>
  <c r="H210" i="2"/>
  <c r="I210" i="2" s="1"/>
  <c r="H209" i="2"/>
  <c r="I209" i="2" s="1"/>
  <c r="H208" i="2"/>
  <c r="I208" i="2" s="1"/>
  <c r="H207" i="2"/>
  <c r="I207" i="2" s="1"/>
  <c r="H206" i="2"/>
  <c r="I206" i="2" s="1"/>
  <c r="H205" i="2"/>
  <c r="I205" i="2" s="1"/>
  <c r="H204" i="2"/>
  <c r="I204" i="2" s="1"/>
  <c r="H203" i="2"/>
  <c r="I203" i="2" s="1"/>
  <c r="H202" i="2"/>
  <c r="I202" i="2" s="1"/>
  <c r="H201" i="2"/>
  <c r="I201" i="2" s="1"/>
  <c r="H200" i="2"/>
  <c r="I200" i="2" s="1"/>
  <c r="H199" i="2"/>
  <c r="I199" i="2" s="1"/>
  <c r="H198" i="2"/>
  <c r="I198" i="2" s="1"/>
  <c r="H197" i="2"/>
  <c r="I197" i="2" s="1"/>
  <c r="H196" i="2"/>
  <c r="I196" i="2" s="1"/>
  <c r="H195" i="2"/>
  <c r="I195" i="2" s="1"/>
  <c r="H194" i="2"/>
  <c r="I194" i="2" s="1"/>
  <c r="H193" i="2"/>
  <c r="I193" i="2" s="1"/>
  <c r="H192" i="2"/>
  <c r="I192" i="2" s="1"/>
  <c r="H191" i="2"/>
  <c r="I191" i="2" s="1"/>
  <c r="H190" i="2"/>
  <c r="I190" i="2" s="1"/>
  <c r="H189" i="2"/>
  <c r="I189" i="2" s="1"/>
  <c r="H188" i="2"/>
  <c r="I188" i="2" s="1"/>
  <c r="H187" i="2"/>
  <c r="I187" i="2" s="1"/>
  <c r="H186" i="2"/>
  <c r="I186" i="2" s="1"/>
  <c r="H185" i="2"/>
  <c r="I185" i="2" s="1"/>
  <c r="H184" i="2"/>
  <c r="I184" i="2" s="1"/>
  <c r="H183" i="2"/>
  <c r="I183" i="2" s="1"/>
  <c r="H182" i="2"/>
  <c r="I182" i="2" s="1"/>
  <c r="H181" i="2"/>
  <c r="I181" i="2" s="1"/>
  <c r="H180" i="2"/>
  <c r="I180" i="2" s="1"/>
  <c r="H179" i="2"/>
  <c r="I179" i="2" s="1"/>
  <c r="H178" i="2"/>
  <c r="I178" i="2" s="1"/>
  <c r="H177" i="2"/>
  <c r="I177" i="2" s="1"/>
  <c r="H176" i="2"/>
  <c r="I176" i="2" s="1"/>
  <c r="H175" i="2"/>
  <c r="I175" i="2" s="1"/>
  <c r="H174" i="2"/>
  <c r="I174" i="2" s="1"/>
  <c r="H173" i="2"/>
  <c r="I173" i="2" s="1"/>
  <c r="H172" i="2"/>
  <c r="I172" i="2" s="1"/>
  <c r="H171" i="2"/>
  <c r="I171" i="2" s="1"/>
  <c r="H170" i="2"/>
  <c r="I170" i="2" s="1"/>
  <c r="H169" i="2"/>
  <c r="I169" i="2" s="1"/>
  <c r="H168" i="2"/>
  <c r="I168" i="2" s="1"/>
  <c r="H167" i="2"/>
  <c r="I167" i="2" s="1"/>
  <c r="H166" i="2"/>
  <c r="I166" i="2" s="1"/>
  <c r="H165" i="2"/>
  <c r="I165" i="2" s="1"/>
  <c r="H164" i="2"/>
  <c r="I164" i="2" s="1"/>
  <c r="H163" i="2"/>
  <c r="I163" i="2" s="1"/>
  <c r="H162" i="2"/>
  <c r="I162" i="2" s="1"/>
  <c r="H161" i="2"/>
  <c r="I161" i="2" s="1"/>
  <c r="H160" i="2"/>
  <c r="I160" i="2" s="1"/>
  <c r="H159" i="2"/>
  <c r="I159" i="2" s="1"/>
  <c r="H158" i="2"/>
  <c r="I158" i="2" s="1"/>
  <c r="H157" i="2"/>
  <c r="I157" i="2" s="1"/>
  <c r="H156" i="2"/>
  <c r="I156" i="2" s="1"/>
  <c r="H155" i="2"/>
  <c r="I155" i="2" s="1"/>
  <c r="H154" i="2"/>
  <c r="I154" i="2" s="1"/>
  <c r="H153" i="2"/>
  <c r="I153" i="2" s="1"/>
  <c r="H152" i="2"/>
  <c r="I152" i="2" s="1"/>
  <c r="H151" i="2"/>
  <c r="I151" i="2" s="1"/>
  <c r="H150" i="2"/>
  <c r="I150" i="2" s="1"/>
  <c r="H149" i="2"/>
  <c r="I149" i="2" s="1"/>
  <c r="H148" i="2"/>
  <c r="I148" i="2" s="1"/>
  <c r="H147" i="2"/>
  <c r="I147" i="2" s="1"/>
  <c r="H146" i="2"/>
  <c r="I146" i="2" s="1"/>
  <c r="H145" i="2"/>
  <c r="I145" i="2" s="1"/>
  <c r="H144" i="2"/>
  <c r="I144" i="2" s="1"/>
  <c r="H143" i="2"/>
  <c r="I143" i="2" s="1"/>
  <c r="H142" i="2"/>
  <c r="I142" i="2" s="1"/>
  <c r="H141" i="2"/>
  <c r="I141" i="2" s="1"/>
  <c r="H140" i="2"/>
  <c r="I140" i="2" s="1"/>
  <c r="H139" i="2"/>
  <c r="I139" i="2" s="1"/>
  <c r="H138" i="2"/>
  <c r="I138" i="2" s="1"/>
  <c r="H137" i="2"/>
  <c r="I137" i="2" s="1"/>
  <c r="H136" i="2"/>
  <c r="I136" i="2" s="1"/>
  <c r="H135" i="2"/>
  <c r="I135" i="2" s="1"/>
  <c r="H134" i="2"/>
  <c r="I134" i="2" s="1"/>
  <c r="H133" i="2"/>
  <c r="I133" i="2" s="1"/>
  <c r="H132" i="2"/>
  <c r="I132" i="2" s="1"/>
  <c r="H131" i="2"/>
  <c r="I131" i="2" s="1"/>
  <c r="H130" i="2"/>
  <c r="I130" i="2" s="1"/>
  <c r="H129" i="2"/>
  <c r="I129" i="2" s="1"/>
  <c r="H128" i="2"/>
  <c r="I128" i="2" s="1"/>
  <c r="H127" i="2"/>
  <c r="I127" i="2" s="1"/>
  <c r="H126" i="2"/>
  <c r="I126" i="2" s="1"/>
  <c r="H125" i="2"/>
  <c r="I125" i="2" s="1"/>
  <c r="H124" i="2"/>
  <c r="I124" i="2" s="1"/>
  <c r="H123" i="2"/>
  <c r="I123" i="2" s="1"/>
  <c r="H122" i="2"/>
  <c r="I122" i="2" s="1"/>
  <c r="H121" i="2"/>
  <c r="I121" i="2" s="1"/>
  <c r="H120" i="2"/>
  <c r="I120" i="2" s="1"/>
  <c r="H119" i="2"/>
  <c r="I119" i="2" s="1"/>
  <c r="H118" i="2"/>
  <c r="I118" i="2" s="1"/>
  <c r="H117" i="2"/>
  <c r="I117" i="2" s="1"/>
  <c r="H116" i="2"/>
  <c r="I116" i="2" s="1"/>
  <c r="H115" i="2"/>
  <c r="I115" i="2" s="1"/>
  <c r="H114" i="2"/>
  <c r="I114" i="2" s="1"/>
  <c r="H113" i="2"/>
  <c r="I113" i="2" s="1"/>
  <c r="H112" i="2"/>
  <c r="I112" i="2" s="1"/>
  <c r="H111" i="2"/>
  <c r="I111" i="2" s="1"/>
  <c r="H110" i="2"/>
  <c r="I110" i="2" s="1"/>
  <c r="H109" i="2"/>
  <c r="I109" i="2" s="1"/>
  <c r="H108" i="2"/>
  <c r="I108" i="2" s="1"/>
  <c r="H107" i="2"/>
  <c r="I107" i="2" s="1"/>
  <c r="H106" i="2"/>
  <c r="I106" i="2" s="1"/>
  <c r="H105" i="2"/>
  <c r="I105" i="2" s="1"/>
  <c r="H104" i="2"/>
  <c r="I104" i="2" s="1"/>
  <c r="H103" i="2"/>
  <c r="I103" i="2" s="1"/>
  <c r="H102" i="2"/>
  <c r="I102" i="2" s="1"/>
  <c r="H101" i="2"/>
  <c r="I101" i="2" s="1"/>
  <c r="H100" i="2"/>
  <c r="I100" i="2" s="1"/>
  <c r="H99" i="2"/>
  <c r="I99" i="2" s="1"/>
  <c r="H98" i="2"/>
  <c r="I98" i="2" s="1"/>
  <c r="H97" i="2"/>
  <c r="I97" i="2" s="1"/>
  <c r="H96" i="2"/>
  <c r="I96" i="2" s="1"/>
  <c r="H95" i="2"/>
  <c r="I95" i="2" s="1"/>
  <c r="H94" i="2"/>
  <c r="I94" i="2" s="1"/>
  <c r="H93" i="2"/>
  <c r="I93" i="2" s="1"/>
  <c r="H92" i="2"/>
  <c r="I92" i="2" s="1"/>
  <c r="H91" i="2"/>
  <c r="I91" i="2" s="1"/>
  <c r="H90" i="2"/>
  <c r="I90" i="2" s="1"/>
  <c r="H89" i="2"/>
  <c r="I89" i="2" s="1"/>
  <c r="H88" i="2"/>
  <c r="I88" i="2" s="1"/>
  <c r="H87" i="2"/>
  <c r="I87" i="2" s="1"/>
  <c r="H86" i="2"/>
  <c r="I86" i="2" s="1"/>
  <c r="H85" i="2"/>
  <c r="I85" i="2" s="1"/>
  <c r="H84" i="2"/>
  <c r="I84" i="2" s="1"/>
  <c r="H83" i="2"/>
  <c r="I83" i="2" s="1"/>
  <c r="H82" i="2"/>
  <c r="I82" i="2" s="1"/>
  <c r="H81" i="2"/>
  <c r="I81" i="2" s="1"/>
  <c r="H80" i="2"/>
  <c r="I80" i="2" s="1"/>
  <c r="H79" i="2"/>
  <c r="I79" i="2" s="1"/>
  <c r="H78" i="2"/>
  <c r="I78" i="2" s="1"/>
  <c r="H77" i="2"/>
  <c r="I77" i="2" s="1"/>
  <c r="H76" i="2"/>
  <c r="I76" i="2" s="1"/>
  <c r="H75" i="2"/>
  <c r="I75" i="2" s="1"/>
  <c r="H74" i="2"/>
  <c r="I74" i="2" s="1"/>
  <c r="H73" i="2"/>
  <c r="I73" i="2" s="1"/>
  <c r="H72" i="2"/>
  <c r="I72" i="2" s="1"/>
  <c r="H71" i="2"/>
  <c r="I71" i="2" s="1"/>
  <c r="H70" i="2"/>
  <c r="I70" i="2" s="1"/>
  <c r="H69" i="2"/>
  <c r="I69" i="2" s="1"/>
  <c r="H68" i="2"/>
  <c r="I68" i="2" s="1"/>
  <c r="H67" i="2"/>
  <c r="I67" i="2" s="1"/>
  <c r="H66" i="2"/>
  <c r="I66" i="2" s="1"/>
  <c r="H65" i="2"/>
  <c r="I65" i="2" s="1"/>
  <c r="H64" i="2"/>
  <c r="I64" i="2" s="1"/>
  <c r="H63" i="2"/>
  <c r="I63" i="2" s="1"/>
  <c r="H62" i="2"/>
  <c r="I62" i="2" s="1"/>
  <c r="H61" i="2"/>
  <c r="I61" i="2" s="1"/>
  <c r="H60" i="2"/>
  <c r="I60" i="2" s="1"/>
  <c r="H59" i="2"/>
  <c r="I59" i="2" s="1"/>
  <c r="H58" i="2"/>
  <c r="I58" i="2" s="1"/>
  <c r="H57" i="2"/>
  <c r="I57" i="2" s="1"/>
  <c r="H56" i="2"/>
  <c r="I56" i="2" s="1"/>
  <c r="H55" i="2"/>
  <c r="I55" i="2" s="1"/>
  <c r="H54" i="2"/>
  <c r="I54" i="2" s="1"/>
  <c r="H53" i="2"/>
  <c r="I53" i="2" s="1"/>
  <c r="H52" i="2"/>
  <c r="I52" i="2" s="1"/>
  <c r="H51" i="2"/>
  <c r="I51" i="2" s="1"/>
  <c r="H50" i="2"/>
  <c r="I50" i="2" s="1"/>
  <c r="H49" i="2"/>
  <c r="I49" i="2" s="1"/>
  <c r="H48" i="2"/>
  <c r="I48" i="2" s="1"/>
  <c r="H47" i="2"/>
  <c r="I47" i="2" s="1"/>
  <c r="H46" i="2"/>
  <c r="I46" i="2" s="1"/>
  <c r="H45" i="2"/>
  <c r="I45" i="2" s="1"/>
  <c r="H44" i="2"/>
  <c r="I44" i="2" s="1"/>
  <c r="H43" i="2"/>
  <c r="I43" i="2" s="1"/>
  <c r="H42" i="2"/>
  <c r="I42" i="2" s="1"/>
  <c r="H41" i="2"/>
  <c r="I41" i="2" s="1"/>
  <c r="H40" i="2"/>
  <c r="I40" i="2" s="1"/>
  <c r="H39" i="2"/>
  <c r="I39" i="2" s="1"/>
  <c r="H38" i="2"/>
  <c r="I38" i="2" s="1"/>
  <c r="H37" i="2"/>
  <c r="I37" i="2" s="1"/>
  <c r="H36" i="2"/>
  <c r="I36" i="2" s="1"/>
  <c r="H35" i="2"/>
  <c r="I35" i="2" s="1"/>
  <c r="H34" i="2"/>
  <c r="I34" i="2" s="1"/>
  <c r="H33" i="2"/>
  <c r="I33" i="2" s="1"/>
  <c r="H32" i="2"/>
  <c r="I32" i="2" s="1"/>
  <c r="H31" i="2"/>
  <c r="I31" i="2" s="1"/>
  <c r="H30" i="2"/>
  <c r="I30" i="2" s="1"/>
  <c r="H29" i="2"/>
  <c r="I29" i="2" s="1"/>
  <c r="H28" i="2"/>
  <c r="I28" i="2" s="1"/>
  <c r="H27" i="2"/>
  <c r="I27" i="2" s="1"/>
  <c r="H26" i="2"/>
  <c r="I26" i="2" s="1"/>
  <c r="H25" i="2"/>
  <c r="I25" i="2" s="1"/>
  <c r="H24" i="2"/>
  <c r="I24" i="2" s="1"/>
  <c r="H23" i="2"/>
  <c r="I23" i="2" s="1"/>
  <c r="H22" i="2"/>
  <c r="I22" i="2" s="1"/>
  <c r="H21" i="2"/>
  <c r="I21" i="2" s="1"/>
  <c r="H20" i="2"/>
  <c r="I20" i="2" s="1"/>
  <c r="H19" i="2"/>
  <c r="I19" i="2" s="1"/>
  <c r="H18" i="2"/>
  <c r="I18" i="2" s="1"/>
  <c r="H17" i="2"/>
  <c r="I17" i="2" s="1"/>
  <c r="H16" i="2"/>
  <c r="I16" i="2" s="1"/>
  <c r="H15" i="2"/>
  <c r="I15" i="2" s="1"/>
  <c r="H14" i="2"/>
  <c r="I14" i="2" s="1"/>
  <c r="H13" i="2"/>
  <c r="I13" i="2" s="1"/>
  <c r="H12" i="2"/>
  <c r="I12" i="2" s="1"/>
  <c r="H11" i="2"/>
  <c r="I11" i="2" s="1"/>
  <c r="H10" i="2"/>
  <c r="I10" i="2" s="1"/>
  <c r="H9" i="2"/>
  <c r="I9" i="2" s="1"/>
  <c r="H8" i="2"/>
  <c r="I8" i="2" s="1"/>
  <c r="H7" i="2"/>
  <c r="I7" i="2" s="1"/>
  <c r="H6" i="2"/>
  <c r="I6" i="2" s="1"/>
  <c r="H5" i="2"/>
  <c r="I5" i="2" s="1"/>
  <c r="H4" i="2"/>
  <c r="I4" i="2" s="1"/>
  <c r="H3" i="2"/>
  <c r="I3" i="2" s="1"/>
  <c r="H2" i="2"/>
  <c r="I3451" i="2" l="1"/>
  <c r="H3451" i="2"/>
  <c r="G3586" i="1" l="1"/>
  <c r="G3734" i="1" l="1"/>
  <c r="G2662" i="1"/>
  <c r="G3376" i="1" l="1"/>
  <c r="G3451" i="1" l="1"/>
  <c r="G3700" i="1" l="1"/>
  <c r="G2933" i="1"/>
  <c r="G2785" i="1"/>
  <c r="G3268" i="1" l="1"/>
  <c r="G3682" i="1" l="1"/>
  <c r="G2752" i="1"/>
  <c r="G2411" i="1"/>
  <c r="G3418" i="1" l="1"/>
  <c r="G3717" i="1" l="1"/>
  <c r="G3554" i="1"/>
  <c r="G3494" i="1"/>
  <c r="G3466" i="1"/>
  <c r="G3305" i="1" l="1"/>
  <c r="G3226" i="1"/>
  <c r="G3143" i="1"/>
  <c r="G1493" i="1"/>
  <c r="E3742" i="1" l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G3424" i="1"/>
  <c r="H3424" i="1" s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G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G3270" i="1"/>
  <c r="H3270" i="1" s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G3207" i="1"/>
  <c r="H3207" i="1" s="1"/>
  <c r="H3206" i="1"/>
  <c r="H3205" i="1"/>
  <c r="H3204" i="1"/>
  <c r="H3203" i="1"/>
  <c r="H3202" i="1"/>
  <c r="H3201" i="1"/>
  <c r="H3200" i="1"/>
  <c r="H3199" i="1"/>
  <c r="H3198" i="1"/>
  <c r="H3197" i="1"/>
  <c r="G3196" i="1"/>
  <c r="H3196" i="1" s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G3006" i="1"/>
  <c r="H3006" i="1" s="1"/>
  <c r="H3005" i="1"/>
  <c r="H3004" i="1"/>
  <c r="H3003" i="1"/>
  <c r="H3002" i="1"/>
  <c r="H3001" i="1"/>
  <c r="H3000" i="1"/>
  <c r="H2999" i="1"/>
  <c r="G2998" i="1"/>
  <c r="H2998" i="1" s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G2980" i="1"/>
  <c r="H2980" i="1" s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G2961" i="1"/>
  <c r="H2961" i="1" s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G2884" i="1"/>
  <c r="H2884" i="1" s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G2858" i="1"/>
  <c r="H2858" i="1" s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G2825" i="1"/>
  <c r="H2825" i="1" s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G2788" i="1"/>
  <c r="H2788" i="1" s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G2771" i="1"/>
  <c r="H2771" i="1" s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G2693" i="1"/>
  <c r="H2693" i="1" s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G2647" i="1"/>
  <c r="H2647" i="1" s="1"/>
  <c r="H2646" i="1"/>
  <c r="H2645" i="1"/>
  <c r="H2644" i="1"/>
  <c r="H2643" i="1"/>
  <c r="H2642" i="1"/>
  <c r="H2641" i="1"/>
  <c r="H2640" i="1"/>
  <c r="G2639" i="1"/>
  <c r="H2639" i="1" s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G2621" i="1"/>
  <c r="H2621" i="1" s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G2409" i="1"/>
  <c r="H2409" i="1" s="1"/>
  <c r="H2408" i="1"/>
  <c r="H2407" i="1"/>
  <c r="G2406" i="1"/>
  <c r="H2406" i="1" s="1"/>
  <c r="H2405" i="1"/>
  <c r="H2404" i="1"/>
  <c r="G2403" i="1"/>
  <c r="H2403" i="1" s="1"/>
  <c r="H2402" i="1"/>
  <c r="H2401" i="1"/>
  <c r="G2400" i="1"/>
  <c r="H2400" i="1" s="1"/>
  <c r="H2399" i="1"/>
  <c r="H2398" i="1"/>
  <c r="H2397" i="1"/>
  <c r="H2396" i="1"/>
  <c r="G2395" i="1"/>
  <c r="H2395" i="1" s="1"/>
  <c r="H2394" i="1"/>
  <c r="H2393" i="1"/>
  <c r="H2392" i="1"/>
  <c r="H2391" i="1"/>
  <c r="H2390" i="1"/>
  <c r="H2389" i="1"/>
  <c r="H2388" i="1"/>
  <c r="H2387" i="1"/>
  <c r="H2386" i="1"/>
  <c r="H2385" i="1"/>
  <c r="G2384" i="1"/>
  <c r="H2384" i="1" s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G2363" i="1"/>
  <c r="H2363" i="1" s="1"/>
  <c r="H2362" i="1"/>
  <c r="H2361" i="1"/>
  <c r="H2360" i="1"/>
  <c r="H2359" i="1"/>
  <c r="H2358" i="1"/>
  <c r="H2357" i="1"/>
  <c r="G2356" i="1"/>
  <c r="H2356" i="1" s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G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G2219" i="1"/>
  <c r="H2219" i="1" s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G2203" i="1"/>
  <c r="H2203" i="1" s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G2154" i="1"/>
  <c r="H2154" i="1" s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G2130" i="1"/>
  <c r="H2130" i="1" s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G2096" i="1"/>
  <c r="H2096" i="1" s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G2019" i="1"/>
  <c r="H2019" i="1" s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G1942" i="1"/>
  <c r="H1942" i="1" s="1"/>
  <c r="H1941" i="1"/>
  <c r="H1940" i="1"/>
  <c r="H1939" i="1"/>
  <c r="H1938" i="1"/>
  <c r="G1937" i="1"/>
  <c r="H1937" i="1" s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G1863" i="1"/>
  <c r="H1863" i="1" s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G1848" i="1"/>
  <c r="H1848" i="1" s="1"/>
  <c r="H1847" i="1"/>
  <c r="H1846" i="1"/>
  <c r="G1845" i="1"/>
  <c r="H1845" i="1" s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G1764" i="1"/>
  <c r="H1764" i="1" s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G1723" i="1"/>
  <c r="H1723" i="1" s="1"/>
  <c r="H1722" i="1"/>
  <c r="H1721" i="1"/>
  <c r="H1720" i="1"/>
  <c r="H1719" i="1"/>
  <c r="H1718" i="1"/>
  <c r="G1717" i="1"/>
  <c r="H1717" i="1" s="1"/>
  <c r="H1716" i="1"/>
  <c r="H1715" i="1"/>
  <c r="H1714" i="1"/>
  <c r="H1713" i="1"/>
  <c r="H1712" i="1"/>
  <c r="H1711" i="1"/>
  <c r="H1710" i="1"/>
  <c r="H1709" i="1"/>
  <c r="G1708" i="1"/>
  <c r="H1708" i="1" s="1"/>
  <c r="H1707" i="1"/>
  <c r="H1706" i="1"/>
  <c r="H1705" i="1"/>
  <c r="H1704" i="1"/>
  <c r="H1703" i="1"/>
  <c r="H1702" i="1"/>
  <c r="H1701" i="1"/>
  <c r="G1700" i="1"/>
  <c r="H1700" i="1" s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G1679" i="1"/>
  <c r="H1679" i="1" s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G1619" i="1"/>
  <c r="H1619" i="1" s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G1510" i="1"/>
  <c r="H1510" i="1" s="1"/>
  <c r="H1509" i="1"/>
  <c r="H1508" i="1"/>
  <c r="H1507" i="1"/>
  <c r="H1506" i="1"/>
  <c r="G1505" i="1"/>
  <c r="H1505" i="1" s="1"/>
  <c r="H1504" i="1"/>
  <c r="H1503" i="1"/>
  <c r="H1502" i="1"/>
  <c r="H1501" i="1"/>
  <c r="H1500" i="1"/>
  <c r="H1499" i="1"/>
  <c r="H1498" i="1"/>
  <c r="G1497" i="1"/>
  <c r="H1497" i="1" s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G1471" i="1"/>
  <c r="H1471" i="1" s="1"/>
  <c r="H1470" i="1"/>
  <c r="H1469" i="1"/>
  <c r="H1468" i="1"/>
  <c r="H1467" i="1"/>
  <c r="H1466" i="1"/>
  <c r="H1465" i="1"/>
  <c r="H1464" i="1"/>
  <c r="H1463" i="1"/>
  <c r="H1462" i="1"/>
  <c r="H1461" i="1"/>
  <c r="G1460" i="1"/>
  <c r="H1460" i="1" s="1"/>
  <c r="H1459" i="1"/>
  <c r="H1458" i="1"/>
  <c r="H1457" i="1"/>
  <c r="H1456" i="1"/>
  <c r="G1455" i="1"/>
  <c r="H1455" i="1" s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G1377" i="1"/>
  <c r="H1377" i="1" s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G1339" i="1"/>
  <c r="H1339" i="1" s="1"/>
  <c r="H1338" i="1"/>
  <c r="H1337" i="1"/>
  <c r="H1336" i="1"/>
  <c r="H1335" i="1"/>
  <c r="G1334" i="1"/>
  <c r="H1334" i="1" s="1"/>
  <c r="H1333" i="1"/>
  <c r="H1332" i="1"/>
  <c r="H1331" i="1"/>
  <c r="H1330" i="1"/>
  <c r="H1329" i="1"/>
  <c r="H1328" i="1"/>
  <c r="H1327" i="1"/>
  <c r="H1326" i="1"/>
  <c r="H1325" i="1"/>
  <c r="G1324" i="1"/>
  <c r="H1324" i="1" s="1"/>
  <c r="H1323" i="1"/>
  <c r="H1322" i="1"/>
  <c r="G1321" i="1"/>
  <c r="H1321" i="1" s="1"/>
  <c r="H1320" i="1"/>
  <c r="H1319" i="1"/>
  <c r="H1318" i="1"/>
  <c r="G1317" i="1"/>
  <c r="H1317" i="1" s="1"/>
  <c r="H1316" i="1"/>
  <c r="G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G1279" i="1"/>
  <c r="H1279" i="1" s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G1193" i="1"/>
  <c r="H1193" i="1" s="1"/>
  <c r="H1192" i="1"/>
  <c r="H1191" i="1"/>
  <c r="H1190" i="1"/>
  <c r="H1189" i="1"/>
  <c r="H1188" i="1"/>
  <c r="H1187" i="1"/>
  <c r="H1186" i="1"/>
  <c r="G1185" i="1"/>
  <c r="H1185" i="1" s="1"/>
  <c r="H1184" i="1"/>
  <c r="H1183" i="1"/>
  <c r="H1182" i="1"/>
  <c r="H1181" i="1"/>
  <c r="H1180" i="1"/>
  <c r="H1179" i="1"/>
  <c r="H1178" i="1"/>
  <c r="G1177" i="1"/>
  <c r="H1177" i="1" s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G1159" i="1"/>
  <c r="H1159" i="1" s="1"/>
  <c r="H1158" i="1"/>
  <c r="H1157" i="1"/>
  <c r="H1156" i="1"/>
  <c r="H1155" i="1"/>
  <c r="H1154" i="1"/>
  <c r="H1153" i="1"/>
  <c r="H1152" i="1"/>
  <c r="H1151" i="1"/>
  <c r="G1150" i="1"/>
  <c r="H1150" i="1" s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G1056" i="1"/>
  <c r="H1056" i="1" s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G961" i="1"/>
  <c r="H961" i="1" s="1"/>
  <c r="H960" i="1"/>
  <c r="H959" i="1"/>
  <c r="H958" i="1"/>
  <c r="H957" i="1"/>
  <c r="H956" i="1"/>
  <c r="H955" i="1"/>
  <c r="H954" i="1"/>
  <c r="H953" i="1"/>
  <c r="H952" i="1"/>
  <c r="H951" i="1"/>
  <c r="H950" i="1"/>
  <c r="H949" i="1"/>
  <c r="G948" i="1"/>
  <c r="H948" i="1" s="1"/>
  <c r="H947" i="1"/>
  <c r="H946" i="1"/>
  <c r="H945" i="1"/>
  <c r="G944" i="1"/>
  <c r="H944" i="1" s="1"/>
  <c r="H943" i="1"/>
  <c r="H942" i="1"/>
  <c r="H941" i="1"/>
  <c r="H940" i="1"/>
  <c r="H939" i="1"/>
  <c r="G938" i="1"/>
  <c r="H938" i="1" s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G906" i="1"/>
  <c r="H906" i="1" s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G856" i="1"/>
  <c r="H856" i="1" s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G821" i="1"/>
  <c r="H821" i="1" s="1"/>
  <c r="H820" i="1"/>
  <c r="H819" i="1"/>
  <c r="H818" i="1"/>
  <c r="H817" i="1"/>
  <c r="H816" i="1"/>
  <c r="H815" i="1"/>
  <c r="H814" i="1"/>
  <c r="H813" i="1"/>
  <c r="H812" i="1"/>
  <c r="H811" i="1"/>
  <c r="H810" i="1"/>
  <c r="H809" i="1"/>
  <c r="G808" i="1"/>
  <c r="H808" i="1" s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G792" i="1"/>
  <c r="H792" i="1" s="1"/>
  <c r="H791" i="1"/>
  <c r="H790" i="1"/>
  <c r="H789" i="1"/>
  <c r="H788" i="1"/>
  <c r="H787" i="1"/>
  <c r="H786" i="1"/>
  <c r="H785" i="1"/>
  <c r="H784" i="1"/>
  <c r="H783" i="1"/>
  <c r="G782" i="1"/>
  <c r="H782" i="1" s="1"/>
  <c r="H781" i="1"/>
  <c r="H780" i="1"/>
  <c r="H779" i="1"/>
  <c r="H778" i="1"/>
  <c r="H777" i="1"/>
  <c r="H776" i="1"/>
  <c r="H775" i="1"/>
  <c r="H774" i="1"/>
  <c r="H773" i="1"/>
  <c r="H772" i="1"/>
  <c r="G771" i="1"/>
  <c r="H771" i="1" s="1"/>
  <c r="G770" i="1"/>
  <c r="H770" i="1" s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G613" i="1"/>
  <c r="H613" i="1" s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G592" i="1"/>
  <c r="H592" i="1" s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G573" i="1"/>
  <c r="H573" i="1" s="1"/>
  <c r="H572" i="1"/>
  <c r="H571" i="1"/>
  <c r="H570" i="1"/>
  <c r="H569" i="1"/>
  <c r="H568" i="1"/>
  <c r="H567" i="1"/>
  <c r="G566" i="1"/>
  <c r="H566" i="1" s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G527" i="1"/>
  <c r="H527" i="1" s="1"/>
  <c r="H526" i="1"/>
  <c r="H525" i="1"/>
  <c r="H524" i="1"/>
  <c r="H523" i="1"/>
  <c r="G522" i="1"/>
  <c r="H522" i="1" s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G467" i="1"/>
  <c r="H467" i="1" s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G443" i="1"/>
  <c r="H443" i="1" s="1"/>
  <c r="H442" i="1"/>
  <c r="H441" i="1"/>
  <c r="G440" i="1"/>
  <c r="H440" i="1" s="1"/>
  <c r="H439" i="1"/>
  <c r="H438" i="1"/>
  <c r="H437" i="1"/>
  <c r="H436" i="1"/>
  <c r="H435" i="1"/>
  <c r="H434" i="1"/>
  <c r="H433" i="1"/>
  <c r="H432" i="1"/>
  <c r="H431" i="1"/>
  <c r="H430" i="1"/>
  <c r="G429" i="1"/>
  <c r="H429" i="1" s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G374" i="1"/>
  <c r="H374" i="1" s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G310" i="1"/>
  <c r="H310" i="1" s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G246" i="1"/>
  <c r="H246" i="1" s="1"/>
  <c r="H245" i="1"/>
  <c r="H244" i="1"/>
  <c r="H243" i="1"/>
  <c r="H242" i="1"/>
  <c r="H241" i="1"/>
  <c r="H240" i="1"/>
  <c r="G239" i="1"/>
  <c r="H239" i="1" s="1"/>
  <c r="H238" i="1"/>
  <c r="H237" i="1"/>
  <c r="H236" i="1"/>
  <c r="G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G41" i="1"/>
  <c r="H41" i="1" s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G10" i="1"/>
  <c r="H10" i="1" s="1"/>
  <c r="H9" i="1"/>
  <c r="H8" i="1"/>
  <c r="H7" i="1"/>
  <c r="H6" i="1"/>
  <c r="H5" i="1"/>
  <c r="H4" i="1"/>
  <c r="H3" i="1"/>
  <c r="G2" i="1"/>
  <c r="G3742" i="1" l="1"/>
  <c r="E3747" i="1" s="1"/>
  <c r="H235" i="1"/>
  <c r="H3742" i="1" s="1"/>
</calcChain>
</file>

<file path=xl/sharedStrings.xml><?xml version="1.0" encoding="utf-8"?>
<sst xmlns="http://schemas.openxmlformats.org/spreadsheetml/2006/main" count="111413" uniqueCount="35730">
  <si>
    <t>REMISIONES DE     ENERO            2 0 1 7</t>
  </si>
  <si>
    <t>FECHA</t>
  </si>
  <si>
    <t>Folio Serie</t>
  </si>
  <si>
    <t>Folio Interno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</si>
  <si>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C L I E N T E S </t>
    </r>
  </si>
  <si>
    <t>IMPORTE</t>
  </si>
  <si>
    <t>Fecha de pago</t>
  </si>
  <si>
    <t>SALDO</t>
  </si>
  <si>
    <t xml:space="preserve">(528)EMILIO LOPEZ                                                          </t>
  </si>
  <si>
    <t xml:space="preserve">(305)CORAZON DE BRASIL ATLIXCO                                             </t>
  </si>
  <si>
    <t xml:space="preserve">(94)CIC-LA CENTRAL                                                        </t>
  </si>
  <si>
    <t xml:space="preserve">C-20603   </t>
  </si>
  <si>
    <t xml:space="preserve">(545)GINA                                                                  </t>
  </si>
  <si>
    <t xml:space="preserve">C-20604   </t>
  </si>
  <si>
    <t xml:space="preserve">(542)HUGO HERNANDEZ                                                        </t>
  </si>
  <si>
    <t xml:space="preserve"> 02/01/2017</t>
  </si>
  <si>
    <t xml:space="preserve">C-20605   </t>
  </si>
  <si>
    <t xml:space="preserve">(346)EL GRAN TACO                                                          </t>
  </si>
  <si>
    <t xml:space="preserve">C-20606   </t>
  </si>
  <si>
    <t xml:space="preserve">(551)MARIO VILLA POSADAS                                                   </t>
  </si>
  <si>
    <t xml:space="preserve">C-20607   </t>
  </si>
  <si>
    <t xml:space="preserve">(125)ISRAEL LEDO                                                           </t>
  </si>
  <si>
    <t>14/01/2017 17/01/2017</t>
  </si>
  <si>
    <t xml:space="preserve">C-20608   </t>
  </si>
  <si>
    <t xml:space="preserve">(131)VERO                                                                  </t>
  </si>
  <si>
    <t xml:space="preserve">C-20609   </t>
  </si>
  <si>
    <t xml:space="preserve">(522)SR CORONA                                                             </t>
  </si>
  <si>
    <t xml:space="preserve">C-20610   </t>
  </si>
  <si>
    <t xml:space="preserve">(118)LUIS GUILLERMO ZALASAR ANDRADE                                        </t>
  </si>
  <si>
    <t xml:space="preserve">C-20611   </t>
  </si>
  <si>
    <t xml:space="preserve">(533)VENTA DE MOSTRADOR                                                    </t>
  </si>
  <si>
    <t xml:space="preserve">C-20612   </t>
  </si>
  <si>
    <t xml:space="preserve">(297)ZAPATA  JUQUILA                                                       </t>
  </si>
  <si>
    <t xml:space="preserve"> 05/01/2017</t>
  </si>
  <si>
    <t xml:space="preserve">C-20613   </t>
  </si>
  <si>
    <t xml:space="preserve">(520)SERGIO JUQUILITA                                                      </t>
  </si>
  <si>
    <t xml:space="preserve"> 04/01/2017</t>
  </si>
  <si>
    <t xml:space="preserve">C-20614   </t>
  </si>
  <si>
    <t xml:space="preserve">(660)JOSE JUQUILA                                                          </t>
  </si>
  <si>
    <t xml:space="preserve">C-20615   </t>
  </si>
  <si>
    <t xml:space="preserve">(194)FABIAN MACHORRO                                                       </t>
  </si>
  <si>
    <t xml:space="preserve"> 03/01/2017</t>
  </si>
  <si>
    <t xml:space="preserve">C-20616   </t>
  </si>
  <si>
    <t xml:space="preserve">(662)ROJO CENTENO                                                          </t>
  </si>
  <si>
    <t xml:space="preserve">C-20617   </t>
  </si>
  <si>
    <t xml:space="preserve">(412)LUIS LUNA                                                             </t>
  </si>
  <si>
    <t xml:space="preserve">C-20618   </t>
  </si>
  <si>
    <t xml:space="preserve">(292)NERY                                                                  </t>
  </si>
  <si>
    <t xml:space="preserve">C-20619   </t>
  </si>
  <si>
    <t xml:space="preserve">(633)DOÑA LETY                                                             </t>
  </si>
  <si>
    <t xml:space="preserve">C-20620   </t>
  </si>
  <si>
    <t xml:space="preserve">(138)FERNANDO DEL 5 DE MAYO                                                </t>
  </si>
  <si>
    <t xml:space="preserve">C-20621   </t>
  </si>
  <si>
    <t xml:space="preserve">(74)TACOS JIRETH                                                          </t>
  </si>
  <si>
    <t xml:space="preserve">C-20622   </t>
  </si>
  <si>
    <t xml:space="preserve">(179)SERRANO                                                               </t>
  </si>
  <si>
    <t xml:space="preserve">C-20623   </t>
  </si>
  <si>
    <t xml:space="preserve">(623)COMPAITO                                                              </t>
  </si>
  <si>
    <t xml:space="preserve">C-20624   </t>
  </si>
  <si>
    <t xml:space="preserve">(491)ANGEL FLORES                                                          </t>
  </si>
  <si>
    <t xml:space="preserve">C-20625   </t>
  </si>
  <si>
    <t xml:space="preserve">(363)ADRIAN JUAREZ                                                         </t>
  </si>
  <si>
    <t xml:space="preserve">C-20626   </t>
  </si>
  <si>
    <t xml:space="preserve">(470)PACO TREVIÑO                                                          </t>
  </si>
  <si>
    <t xml:space="preserve">C-20627   </t>
  </si>
  <si>
    <t xml:space="preserve">(564)ALFONSO TORRES                                                        </t>
  </si>
  <si>
    <t xml:space="preserve">C-20628   </t>
  </si>
  <si>
    <t xml:space="preserve">(472)GUILLERMINA ZOQUIAPAN                                                 </t>
  </si>
  <si>
    <t xml:space="preserve">C-20629   </t>
  </si>
  <si>
    <t xml:space="preserve">(600)MIGUEL RAMIREZ                                                        </t>
  </si>
  <si>
    <t xml:space="preserve">C-20630   </t>
  </si>
  <si>
    <t xml:space="preserve">(137)HARBANO                                                               </t>
  </si>
  <si>
    <t xml:space="preserve">C-20631   </t>
  </si>
  <si>
    <t xml:space="preserve">C-20632   </t>
  </si>
  <si>
    <t xml:space="preserve">(417)JOSE CORDERO                                                          </t>
  </si>
  <si>
    <t xml:space="preserve">C-20633   </t>
  </si>
  <si>
    <t xml:space="preserve">C-20634   </t>
  </si>
  <si>
    <t xml:space="preserve">(509)RUBEN CHISING                                                         </t>
  </si>
  <si>
    <t xml:space="preserve">C-20635   </t>
  </si>
  <si>
    <t xml:space="preserve">(91)ARTURO BERNAL                                                         </t>
  </si>
  <si>
    <t xml:space="preserve">C-20636   </t>
  </si>
  <si>
    <t xml:space="preserve">(271)SANTOS                                                                </t>
  </si>
  <si>
    <t xml:space="preserve">C-20637   </t>
  </si>
  <si>
    <t xml:space="preserve">(47)NOE COYOTL                                                            </t>
  </si>
  <si>
    <t xml:space="preserve">C-20638   </t>
  </si>
  <si>
    <t xml:space="preserve">(525)FERNANDO CRUZ                                                         </t>
  </si>
  <si>
    <t>02/01/2017 03/01/2017</t>
  </si>
  <si>
    <t xml:space="preserve">C-20639   </t>
  </si>
  <si>
    <t xml:space="preserve">(129)FOGONCITO                                                             </t>
  </si>
  <si>
    <t xml:space="preserve">C-20640   </t>
  </si>
  <si>
    <t xml:space="preserve">C-20641   </t>
  </si>
  <si>
    <t xml:space="preserve">C-20642   </t>
  </si>
  <si>
    <t xml:space="preserve">(229)JOSE LUIS CANTERO                                                     </t>
  </si>
  <si>
    <t xml:space="preserve">C-20643   </t>
  </si>
  <si>
    <t xml:space="preserve">(632)JAVIER  AMAYA                                                         </t>
  </si>
  <si>
    <t>CANCELADA</t>
  </si>
  <si>
    <t xml:space="preserve">C-20644   </t>
  </si>
  <si>
    <t xml:space="preserve">C-20645   </t>
  </si>
  <si>
    <t xml:space="preserve">C-20646   </t>
  </si>
  <si>
    <t xml:space="preserve">(123)BUHO                                                                  </t>
  </si>
  <si>
    <t xml:space="preserve">C-20647   </t>
  </si>
  <si>
    <t xml:space="preserve">(450)ANDRES AVILA                                                          </t>
  </si>
  <si>
    <t xml:space="preserve">C-20648   </t>
  </si>
  <si>
    <t xml:space="preserve">(113)SAGRADO CORAZON HEROES                                                </t>
  </si>
  <si>
    <t xml:space="preserve">C-20649   </t>
  </si>
  <si>
    <t xml:space="preserve">(144)SAGRADO 14 SUR                                                        </t>
  </si>
  <si>
    <t xml:space="preserve">C-20650   </t>
  </si>
  <si>
    <t xml:space="preserve"> 10/01/2017</t>
  </si>
  <si>
    <t xml:space="preserve">C-20651   </t>
  </si>
  <si>
    <t xml:space="preserve">(122)PATY FLORES                                                           </t>
  </si>
  <si>
    <t xml:space="preserve">C-20652   </t>
  </si>
  <si>
    <t xml:space="preserve">(578)SEBASTIAN PEREZ VALDEZ                                                </t>
  </si>
  <si>
    <t xml:space="preserve">C-20653   </t>
  </si>
  <si>
    <t xml:space="preserve">(443)PERLA RIOS                                                            </t>
  </si>
  <si>
    <t xml:space="preserve">C-20654   </t>
  </si>
  <si>
    <t xml:space="preserve">(190)JAIME GASPARIANO                                                      </t>
  </si>
  <si>
    <t xml:space="preserve">C-20655   </t>
  </si>
  <si>
    <t xml:space="preserve">C-20656   </t>
  </si>
  <si>
    <t xml:space="preserve">(104)ROGELIO  HERRERIAS                                                    </t>
  </si>
  <si>
    <t xml:space="preserve">C-20657   </t>
  </si>
  <si>
    <t xml:space="preserve">(575)CHEMA                                                                 </t>
  </si>
  <si>
    <t xml:space="preserve">C-20658   </t>
  </si>
  <si>
    <t xml:space="preserve">(115)LUIS HERRERA                                                          </t>
  </si>
  <si>
    <t xml:space="preserve"> 09/01/2017</t>
  </si>
  <si>
    <t xml:space="preserve">C-20659   </t>
  </si>
  <si>
    <t xml:space="preserve">(365)K'BRIONES                                                             </t>
  </si>
  <si>
    <t xml:space="preserve"> 14/01/2017</t>
  </si>
  <si>
    <t xml:space="preserve">C-20660   </t>
  </si>
  <si>
    <t xml:space="preserve">(200)JESUS TUXPAN                                                          </t>
  </si>
  <si>
    <t xml:space="preserve"> 12/01/2017</t>
  </si>
  <si>
    <t xml:space="preserve">C-20661   </t>
  </si>
  <si>
    <t xml:space="preserve">(199)ANGEL CRUZ                                                            </t>
  </si>
  <si>
    <t xml:space="preserve">C-20662   </t>
  </si>
  <si>
    <t xml:space="preserve">(120)MIGUEL ANGEL MORENO                                                   </t>
  </si>
  <si>
    <t xml:space="preserve">C-20663   </t>
  </si>
  <si>
    <t xml:space="preserve">(106)ISRAEL TORRES                                                         </t>
  </si>
  <si>
    <t xml:space="preserve">C-20664   </t>
  </si>
  <si>
    <t xml:space="preserve">(344)ALEJANDRO HERNANDEZ PEREZ                                             </t>
  </si>
  <si>
    <t xml:space="preserve">C-20665   </t>
  </si>
  <si>
    <t xml:space="preserve">(638)EDGAR JIMENEZ                                                         </t>
  </si>
  <si>
    <t xml:space="preserve">C-20666   </t>
  </si>
  <si>
    <t xml:space="preserve">(427)ROGELIO ESCOBAR TLAXCO                                                </t>
  </si>
  <si>
    <t xml:space="preserve">C-20667   </t>
  </si>
  <si>
    <t xml:space="preserve">(505)ALAN                                                                  </t>
  </si>
  <si>
    <t xml:space="preserve">C-20668   </t>
  </si>
  <si>
    <t xml:space="preserve">(87)EMMANUEL ALFONSO SALAZAR                                              </t>
  </si>
  <si>
    <t xml:space="preserve">C-20669   </t>
  </si>
  <si>
    <t xml:space="preserve">(152)PEDRO RAMIRO                                                          </t>
  </si>
  <si>
    <t xml:space="preserve">C-20670   </t>
  </si>
  <si>
    <t xml:space="preserve">(180)FELIX CEREZO                                                          </t>
  </si>
  <si>
    <t xml:space="preserve">C-20671   </t>
  </si>
  <si>
    <t xml:space="preserve">(360)MANUEL REYES                                                          </t>
  </si>
  <si>
    <t xml:space="preserve">C-20672   </t>
  </si>
  <si>
    <t xml:space="preserve">(209)MARCO MERINO                                                          </t>
  </si>
  <si>
    <t xml:space="preserve">C-20673   </t>
  </si>
  <si>
    <t xml:space="preserve">(31)JAVIER LUNA                                                           </t>
  </si>
  <si>
    <t xml:space="preserve">C-20674   </t>
  </si>
  <si>
    <t xml:space="preserve">(494)OMAR REYES                                                            </t>
  </si>
  <si>
    <t xml:space="preserve">C-20675   </t>
  </si>
  <si>
    <t xml:space="preserve">(629)IVONNE CASTILLO CORTES                                                </t>
  </si>
  <si>
    <t xml:space="preserve">C-20676   </t>
  </si>
  <si>
    <t xml:space="preserve">(38)SUPER SERVICIO                                                        </t>
  </si>
  <si>
    <t xml:space="preserve">C-20677   </t>
  </si>
  <si>
    <t xml:space="preserve">(208)SUPER DE LAS LOMAS VITORINO                                           </t>
  </si>
  <si>
    <t xml:space="preserve">C-20678   </t>
  </si>
  <si>
    <t xml:space="preserve">(423)SUPER DESCUENTO VICTORINO                                             </t>
  </si>
  <si>
    <t xml:space="preserve"> 25/01/2017</t>
  </si>
  <si>
    <t xml:space="preserve">C-20679   </t>
  </si>
  <si>
    <t xml:space="preserve">(153)JUAN APANGO                                                           </t>
  </si>
  <si>
    <t xml:space="preserve">C-20680   </t>
  </si>
  <si>
    <t xml:space="preserve">C-20681   </t>
  </si>
  <si>
    <t xml:space="preserve">C-20682   </t>
  </si>
  <si>
    <t xml:space="preserve">(88)CENTRO COMERCIAL ALATRISTE                                            </t>
  </si>
  <si>
    <t xml:space="preserve"> 13/01/2017</t>
  </si>
  <si>
    <t xml:space="preserve">C-20683   </t>
  </si>
  <si>
    <t xml:space="preserve">C-20684   </t>
  </si>
  <si>
    <t xml:space="preserve">(663)AMADO DIAZ                                                            </t>
  </si>
  <si>
    <t xml:space="preserve">C-20685   </t>
  </si>
  <si>
    <t xml:space="preserve">(306)JAVIER HERRERA                                                        </t>
  </si>
  <si>
    <t xml:space="preserve">C-20686   </t>
  </si>
  <si>
    <t xml:space="preserve">C-20687   </t>
  </si>
  <si>
    <t xml:space="preserve">C-20688   </t>
  </si>
  <si>
    <t xml:space="preserve">(10)EL PASTORCITO II                                                      </t>
  </si>
  <si>
    <t xml:space="preserve">C-20689   </t>
  </si>
  <si>
    <t xml:space="preserve">(114)SAGRADO CORAZON ZAVALETA                                              </t>
  </si>
  <si>
    <t xml:space="preserve">C-20690   </t>
  </si>
  <si>
    <t xml:space="preserve">(111)SAGRADO CORAZON MORILLOTLA                                            </t>
  </si>
  <si>
    <t xml:space="preserve">C-20691   </t>
  </si>
  <si>
    <t xml:space="preserve">(415)VIKI                                                                  </t>
  </si>
  <si>
    <t xml:space="preserve">C-20692   </t>
  </si>
  <si>
    <t xml:space="preserve">C-20693   </t>
  </si>
  <si>
    <t xml:space="preserve">C-20694   </t>
  </si>
  <si>
    <t xml:space="preserve">C-20695   </t>
  </si>
  <si>
    <t xml:space="preserve">(9)EL PASTORCITO I                                                       </t>
  </si>
  <si>
    <t xml:space="preserve">C-20696   </t>
  </si>
  <si>
    <t xml:space="preserve">C-20697   </t>
  </si>
  <si>
    <t xml:space="preserve">(270)MELITON CUAUTENCOS                                                    </t>
  </si>
  <si>
    <t xml:space="preserve">C-20698   </t>
  </si>
  <si>
    <t xml:space="preserve">(195)WELMER                                                                </t>
  </si>
  <si>
    <t xml:space="preserve">C-20699   </t>
  </si>
  <si>
    <t xml:space="preserve">C-20700   </t>
  </si>
  <si>
    <t xml:space="preserve">(601)RAUL ROCHA                                                            </t>
  </si>
  <si>
    <t xml:space="preserve">C-20701   </t>
  </si>
  <si>
    <t xml:space="preserve">C-20702   </t>
  </si>
  <si>
    <t xml:space="preserve">C-20703   </t>
  </si>
  <si>
    <t xml:space="preserve">(266)CRISTIAN-GRACIELA                                                     </t>
  </si>
  <si>
    <t xml:space="preserve">C-20704   </t>
  </si>
  <si>
    <t xml:space="preserve">C-20705   </t>
  </si>
  <si>
    <t xml:space="preserve">(290)GABRIEL TUXPAN                                                        </t>
  </si>
  <si>
    <t xml:space="preserve">C-20706   </t>
  </si>
  <si>
    <t xml:space="preserve">C-20707   </t>
  </si>
  <si>
    <t xml:space="preserve">(85)JOSE LUIS JUAREZ                                                      </t>
  </si>
  <si>
    <t xml:space="preserve">C-20708   </t>
  </si>
  <si>
    <t xml:space="preserve">C-20709   </t>
  </si>
  <si>
    <t xml:space="preserve">(661)SERVICIO ALATRISTE SA DE CV                                           </t>
  </si>
  <si>
    <t xml:space="preserve"> 07/01/2017</t>
  </si>
  <si>
    <t xml:space="preserve">C-20710   </t>
  </si>
  <si>
    <t xml:space="preserve">C-20711   </t>
  </si>
  <si>
    <t xml:space="preserve">(79)GUSTAVO JIMENEZ                                                       </t>
  </si>
  <si>
    <t xml:space="preserve">C-20712   </t>
  </si>
  <si>
    <t xml:space="preserve">(512)MARCO ANTONIO GONZALEZ                                                </t>
  </si>
  <si>
    <t xml:space="preserve">C-20713   </t>
  </si>
  <si>
    <t xml:space="preserve">(95)PROLEDO                                                               </t>
  </si>
  <si>
    <t xml:space="preserve">C-20714   </t>
  </si>
  <si>
    <t xml:space="preserve"> 19/01/2017</t>
  </si>
  <si>
    <t xml:space="preserve">C-20715   </t>
  </si>
  <si>
    <t xml:space="preserve">(233)DON ERNESTO                                                           </t>
  </si>
  <si>
    <t xml:space="preserve">C-20716   </t>
  </si>
  <si>
    <t xml:space="preserve">C-20717   </t>
  </si>
  <si>
    <t xml:space="preserve">(204)CIC-COMERCIO                                                          </t>
  </si>
  <si>
    <t xml:space="preserve">C-20718   </t>
  </si>
  <si>
    <t xml:space="preserve">(592)RENE                                                                  </t>
  </si>
  <si>
    <t xml:space="preserve">C-20719   </t>
  </si>
  <si>
    <t xml:space="preserve">C-20720   </t>
  </si>
  <si>
    <t xml:space="preserve">C-20721   </t>
  </si>
  <si>
    <t xml:space="preserve">C-20722   </t>
  </si>
  <si>
    <t xml:space="preserve">(225)CIC-HERRADURA                                                         </t>
  </si>
  <si>
    <t xml:space="preserve"> 16/01/2017</t>
  </si>
  <si>
    <t xml:space="preserve">C-20723   </t>
  </si>
  <si>
    <t xml:space="preserve">C-20724   </t>
  </si>
  <si>
    <t xml:space="preserve">(130)JUAN DE LA ROSA                                                       </t>
  </si>
  <si>
    <t xml:space="preserve">C-20725   </t>
  </si>
  <si>
    <t xml:space="preserve">C-20726   </t>
  </si>
  <si>
    <t xml:space="preserve">C-20727   </t>
  </si>
  <si>
    <t xml:space="preserve">C-20728   </t>
  </si>
  <si>
    <t xml:space="preserve">C-20729   </t>
  </si>
  <si>
    <t xml:space="preserve">C-20730   </t>
  </si>
  <si>
    <t xml:space="preserve">C-20731   </t>
  </si>
  <si>
    <t xml:space="preserve">C-20732   </t>
  </si>
  <si>
    <t xml:space="preserve">C-20733   </t>
  </si>
  <si>
    <t xml:space="preserve">(643)LA PRINCESA                                                           </t>
  </si>
  <si>
    <t xml:space="preserve">C-20734   </t>
  </si>
  <si>
    <t xml:space="preserve">C-20735   </t>
  </si>
  <si>
    <t xml:space="preserve">(299)CHARLY                                                                </t>
  </si>
  <si>
    <t xml:space="preserve">C-20736   </t>
  </si>
  <si>
    <t xml:space="preserve">C-20737   </t>
  </si>
  <si>
    <t xml:space="preserve">C-20738   </t>
  </si>
  <si>
    <t xml:space="preserve">C-20739   </t>
  </si>
  <si>
    <t xml:space="preserve">C-20740   </t>
  </si>
  <si>
    <t xml:space="preserve">C-20741   </t>
  </si>
  <si>
    <t xml:space="preserve">C-20742   </t>
  </si>
  <si>
    <t xml:space="preserve">C-20743   </t>
  </si>
  <si>
    <t xml:space="preserve">C-20744   </t>
  </si>
  <si>
    <t xml:space="preserve">C-20745   </t>
  </si>
  <si>
    <t xml:space="preserve">(93)ALB&amp;CIA                                                               </t>
  </si>
  <si>
    <t xml:space="preserve">C-20746   </t>
  </si>
  <si>
    <t xml:space="preserve">(20)CARNICERIA CANO                                                       </t>
  </si>
  <si>
    <t xml:space="preserve">C-20747   </t>
  </si>
  <si>
    <t xml:space="preserve">(465)CARNICERIA SANTA ANA                                                  </t>
  </si>
  <si>
    <t xml:space="preserve">C-20748   </t>
  </si>
  <si>
    <t xml:space="preserve">(590)CARNICERIA HUGO´S                                                     </t>
  </si>
  <si>
    <t xml:space="preserve">C-20749   </t>
  </si>
  <si>
    <t xml:space="preserve">(478)CARNICERIA BARBIE                                                     </t>
  </si>
  <si>
    <t xml:space="preserve">C-20750   </t>
  </si>
  <si>
    <t xml:space="preserve">(599)LA  UNION                                                             </t>
  </si>
  <si>
    <t xml:space="preserve"> 11/01/2017</t>
  </si>
  <si>
    <t xml:space="preserve">C-20751   </t>
  </si>
  <si>
    <t xml:space="preserve">(215)PABLO BAUTISTA                                                        </t>
  </si>
  <si>
    <t xml:space="preserve">C-20752   </t>
  </si>
  <si>
    <t xml:space="preserve">C-20753   </t>
  </si>
  <si>
    <t xml:space="preserve">C-20754   </t>
  </si>
  <si>
    <t xml:space="preserve">(268)BURRO NORTEÑO                                                         </t>
  </si>
  <si>
    <t xml:space="preserve">C-20755   </t>
  </si>
  <si>
    <t xml:space="preserve">C-20756   </t>
  </si>
  <si>
    <t xml:space="preserve">C-20757   </t>
  </si>
  <si>
    <t xml:space="preserve">(136)RICARDO DELEITA                                                       </t>
  </si>
  <si>
    <t xml:space="preserve">C-20758   </t>
  </si>
  <si>
    <t xml:space="preserve">C-20759   </t>
  </si>
  <si>
    <t xml:space="preserve">C-20760   </t>
  </si>
  <si>
    <t xml:space="preserve">(187)CIC-11 SUR                                                            </t>
  </si>
  <si>
    <t xml:space="preserve">C-20761   </t>
  </si>
  <si>
    <t xml:space="preserve">(124)MIGUEL XOCHIHUATL                                                     </t>
  </si>
  <si>
    <t xml:space="preserve">C-20762   </t>
  </si>
  <si>
    <t xml:space="preserve">(269)CAMACHO                                                               </t>
  </si>
  <si>
    <t xml:space="preserve">C-20763   </t>
  </si>
  <si>
    <t xml:space="preserve">C-20764   </t>
  </si>
  <si>
    <t xml:space="preserve">C-20765   </t>
  </si>
  <si>
    <t xml:space="preserve">C-20766   </t>
  </si>
  <si>
    <t xml:space="preserve">(421)MARCO SANCHEZ                                                         </t>
  </si>
  <si>
    <t xml:space="preserve">C-20767   </t>
  </si>
  <si>
    <t xml:space="preserve">C-20768   </t>
  </si>
  <si>
    <t xml:space="preserve">C-20769   </t>
  </si>
  <si>
    <t xml:space="preserve">(186)SR MARIO                                                              </t>
  </si>
  <si>
    <t xml:space="preserve">C-20770   </t>
  </si>
  <si>
    <t xml:space="preserve">C-20771   </t>
  </si>
  <si>
    <t xml:space="preserve">(86)FLORES                                                                </t>
  </si>
  <si>
    <t xml:space="preserve">C-20772   </t>
  </si>
  <si>
    <t xml:space="preserve"> 03/02/2017</t>
  </si>
  <si>
    <t xml:space="preserve">C-20773   </t>
  </si>
  <si>
    <t xml:space="preserve">(554)HIGINIO MORALES                                                       </t>
  </si>
  <si>
    <t xml:space="preserve">C-20774   </t>
  </si>
  <si>
    <t xml:space="preserve">C-20775   </t>
  </si>
  <si>
    <t xml:space="preserve">(203)ALIMENTOS SUPREMOS DE ORIENTE SA DE CV                                </t>
  </si>
  <si>
    <t xml:space="preserve"> 10/02/2017</t>
  </si>
  <si>
    <t xml:space="preserve">C-20776   </t>
  </si>
  <si>
    <t xml:space="preserve">C-20777   </t>
  </si>
  <si>
    <t xml:space="preserve">(177)PRODUCTO PARA AVES Y ANIMALES SA DE CV                                </t>
  </si>
  <si>
    <t xml:space="preserve"> 18/01/2017</t>
  </si>
  <si>
    <t xml:space="preserve">C-20778   </t>
  </si>
  <si>
    <t xml:space="preserve">(146)COCHINITO                                                             </t>
  </si>
  <si>
    <t xml:space="preserve">C-20779   </t>
  </si>
  <si>
    <t xml:space="preserve">(384)MARIO MASTRANZO                                                       </t>
  </si>
  <si>
    <t xml:space="preserve">C-20780   </t>
  </si>
  <si>
    <t xml:space="preserve">C-20781   </t>
  </si>
  <si>
    <t xml:space="preserve">C-20782   </t>
  </si>
  <si>
    <t xml:space="preserve">C-20783   </t>
  </si>
  <si>
    <t xml:space="preserve">C-20784   </t>
  </si>
  <si>
    <t xml:space="preserve">C-20785   </t>
  </si>
  <si>
    <t xml:space="preserve">C-20786   </t>
  </si>
  <si>
    <t xml:space="preserve">(221)JUANA PORTILLO                                                        </t>
  </si>
  <si>
    <t xml:space="preserve">C-20787   </t>
  </si>
  <si>
    <t xml:space="preserve">(620)TIO LUPE                                                              </t>
  </si>
  <si>
    <t xml:space="preserve">C-20788   </t>
  </si>
  <si>
    <t xml:space="preserve">C-20789   </t>
  </si>
  <si>
    <t xml:space="preserve">C-20790   </t>
  </si>
  <si>
    <t xml:space="preserve">(562)SAGRADO CORAZON CUAUTLANCINGO                                         </t>
  </si>
  <si>
    <t xml:space="preserve"> 23/01/2017</t>
  </si>
  <si>
    <t xml:space="preserve">C-20791   </t>
  </si>
  <si>
    <t xml:space="preserve">C-20792   </t>
  </si>
  <si>
    <t xml:space="preserve">C-20793   </t>
  </si>
  <si>
    <t xml:space="preserve">C-20794   </t>
  </si>
  <si>
    <t xml:space="preserve">(650)DULCE MARIA TORRES                                                    </t>
  </si>
  <si>
    <t xml:space="preserve">C-20795   </t>
  </si>
  <si>
    <t xml:space="preserve">C-20796   </t>
  </si>
  <si>
    <t xml:space="preserve">C-20797   </t>
  </si>
  <si>
    <t xml:space="preserve">C-20798   </t>
  </si>
  <si>
    <t xml:space="preserve">C-20799   </t>
  </si>
  <si>
    <t xml:space="preserve">C-20800   </t>
  </si>
  <si>
    <t xml:space="preserve">C-20801   </t>
  </si>
  <si>
    <t xml:space="preserve">(3)ECONOMICA                                                             </t>
  </si>
  <si>
    <t xml:space="preserve">C-20802   </t>
  </si>
  <si>
    <t xml:space="preserve">C-20803   </t>
  </si>
  <si>
    <t xml:space="preserve">(433)FERNANDO ROMERO                                                       </t>
  </si>
  <si>
    <t xml:space="preserve">C-20804   </t>
  </si>
  <si>
    <t xml:space="preserve">(359)JAIME MASTRANZO                                                       </t>
  </si>
  <si>
    <t xml:space="preserve">C-20805   </t>
  </si>
  <si>
    <t xml:space="preserve">(383)DORMIDO                                                               </t>
  </si>
  <si>
    <t xml:space="preserve">C-20806   </t>
  </si>
  <si>
    <t xml:space="preserve">(651)NEALTICAN YOLANDA                                                     </t>
  </si>
  <si>
    <t xml:space="preserve">C-20807   </t>
  </si>
  <si>
    <t xml:space="preserve">(80)CAMPRA                                                                </t>
  </si>
  <si>
    <t xml:space="preserve"> 30/01/2017</t>
  </si>
  <si>
    <t xml:space="preserve">C-20808   </t>
  </si>
  <si>
    <t xml:space="preserve">C-20809   </t>
  </si>
  <si>
    <t xml:space="preserve">C-20810   </t>
  </si>
  <si>
    <t xml:space="preserve">C-20811   </t>
  </si>
  <si>
    <t xml:space="preserve">C-20812   </t>
  </si>
  <si>
    <t xml:space="preserve">(647)ANGEL LEDO                                                            </t>
  </si>
  <si>
    <t xml:space="preserve">C-20813   </t>
  </si>
  <si>
    <t xml:space="preserve">C-20814   </t>
  </si>
  <si>
    <t xml:space="preserve">(582)MIGUEL LEDO                                                           </t>
  </si>
  <si>
    <t xml:space="preserve">C-20815   </t>
  </si>
  <si>
    <t xml:space="preserve">C-20816   </t>
  </si>
  <si>
    <t xml:space="preserve">C-20817   </t>
  </si>
  <si>
    <t xml:space="preserve">(276)LEONARDO LINARES                                                      </t>
  </si>
  <si>
    <t xml:space="preserve">C-20818   </t>
  </si>
  <si>
    <t xml:space="preserve">C-20819   </t>
  </si>
  <si>
    <t xml:space="preserve">(636)ANTONIIO HERRERA                                                      </t>
  </si>
  <si>
    <t xml:space="preserve">C-20820   </t>
  </si>
  <si>
    <t xml:space="preserve">(610)BRAULIO APANGO                                                        </t>
  </si>
  <si>
    <t xml:space="preserve">C-20821   </t>
  </si>
  <si>
    <t xml:space="preserve">C-20822   </t>
  </si>
  <si>
    <t xml:space="preserve">C-20823   </t>
  </si>
  <si>
    <t xml:space="preserve">C-20824   </t>
  </si>
  <si>
    <t xml:space="preserve">C-20825   </t>
  </si>
  <si>
    <t xml:space="preserve">C-20826   </t>
  </si>
  <si>
    <t xml:space="preserve">(513)ARMANDO ESCUDERO                                                      </t>
  </si>
  <si>
    <t xml:space="preserve">C-20827   </t>
  </si>
  <si>
    <t xml:space="preserve">C-20828   </t>
  </si>
  <si>
    <t xml:space="preserve">C-20829   </t>
  </si>
  <si>
    <t xml:space="preserve">C-20830   </t>
  </si>
  <si>
    <t xml:space="preserve">C-20831   </t>
  </si>
  <si>
    <t xml:space="preserve">C-20832   </t>
  </si>
  <si>
    <t>06/01/2017 09/01/2017 09/01/2017</t>
  </si>
  <si>
    <t xml:space="preserve">C-20833   </t>
  </si>
  <si>
    <t xml:space="preserve">C-20834   </t>
  </si>
  <si>
    <t xml:space="preserve">C-20835   </t>
  </si>
  <si>
    <t xml:space="preserve">C-20836   </t>
  </si>
  <si>
    <t>11/01/2017 13/01/2017</t>
  </si>
  <si>
    <t xml:space="preserve">C-20837   </t>
  </si>
  <si>
    <t xml:space="preserve">C-20838   </t>
  </si>
  <si>
    <t xml:space="preserve">C-20839   </t>
  </si>
  <si>
    <t xml:space="preserve">C-20840   </t>
  </si>
  <si>
    <t xml:space="preserve">C-20841   </t>
  </si>
  <si>
    <t xml:space="preserve">C-20842   </t>
  </si>
  <si>
    <t xml:space="preserve">(544)ANTONIO ROLDAN                                                        </t>
  </si>
  <si>
    <t xml:space="preserve">C-20843   </t>
  </si>
  <si>
    <t xml:space="preserve">05/01/2017 09/01/2017 </t>
  </si>
  <si>
    <t xml:space="preserve">C-20844   </t>
  </si>
  <si>
    <t xml:space="preserve">(672)TEPOX                                                                 </t>
  </si>
  <si>
    <t xml:space="preserve">C-20845   </t>
  </si>
  <si>
    <t xml:space="preserve">C-20846   </t>
  </si>
  <si>
    <t xml:space="preserve">(228)OCTAVIO LINARES                                                       </t>
  </si>
  <si>
    <t xml:space="preserve">C-20847   </t>
  </si>
  <si>
    <t xml:space="preserve">(630)GUILLERMO FLORES                                                      </t>
  </si>
  <si>
    <t xml:space="preserve">C-20848   </t>
  </si>
  <si>
    <t xml:space="preserve">C-20849   </t>
  </si>
  <si>
    <t xml:space="preserve">C-20850   </t>
  </si>
  <si>
    <t xml:space="preserve">C-20851   </t>
  </si>
  <si>
    <t xml:space="preserve">C-20852   </t>
  </si>
  <si>
    <t xml:space="preserve">C-20853   </t>
  </si>
  <si>
    <t xml:space="preserve">C-20854   </t>
  </si>
  <si>
    <t xml:space="preserve">(247)SALOME                                                                </t>
  </si>
  <si>
    <t xml:space="preserve">C-20855   </t>
  </si>
  <si>
    <t xml:space="preserve">C-20856   </t>
  </si>
  <si>
    <t xml:space="preserve">C-20857   </t>
  </si>
  <si>
    <t xml:space="preserve">(657)CORAZON DE BRASIL CENTRO                                              </t>
  </si>
  <si>
    <t xml:space="preserve">C-20858   </t>
  </si>
  <si>
    <t xml:space="preserve">(110)SAGRADO CORAZON CENTRO                                                </t>
  </si>
  <si>
    <t xml:space="preserve">C-20859   </t>
  </si>
  <si>
    <t xml:space="preserve">(466)GERMAN CEBADA SALAMANCA                                               </t>
  </si>
  <si>
    <t xml:space="preserve">C-20860   </t>
  </si>
  <si>
    <t xml:space="preserve">(591)JULIO                                                                 </t>
  </si>
  <si>
    <t xml:space="preserve">C-20861   </t>
  </si>
  <si>
    <t xml:space="preserve">C-20862   </t>
  </si>
  <si>
    <t xml:space="preserve">(594)JAVIER                                                                </t>
  </si>
  <si>
    <t xml:space="preserve">C-20863   </t>
  </si>
  <si>
    <t xml:space="preserve">C-20864   </t>
  </si>
  <si>
    <t xml:space="preserve">C-20865   </t>
  </si>
  <si>
    <t xml:space="preserve">C-20866   </t>
  </si>
  <si>
    <t xml:space="preserve">C-20867   </t>
  </si>
  <si>
    <t xml:space="preserve">C-20868   </t>
  </si>
  <si>
    <t xml:space="preserve">(595)LOMA VERDE                                                            </t>
  </si>
  <si>
    <t xml:space="preserve">C-20869   </t>
  </si>
  <si>
    <t xml:space="preserve">C-20870   </t>
  </si>
  <si>
    <t xml:space="preserve">(586)FERNANDO 14 SUR                                                       </t>
  </si>
  <si>
    <t xml:space="preserve">C-20871   </t>
  </si>
  <si>
    <t xml:space="preserve">C-20872   </t>
  </si>
  <si>
    <t xml:space="preserve">(185)MIRIAM                                                                </t>
  </si>
  <si>
    <t xml:space="preserve">C-20873   </t>
  </si>
  <si>
    <t xml:space="preserve">(139)ISIDORO  COYOLT                                                       </t>
  </si>
  <si>
    <t xml:space="preserve">C-20874   </t>
  </si>
  <si>
    <t xml:space="preserve">C-20875   </t>
  </si>
  <si>
    <t xml:space="preserve">C-20876   </t>
  </si>
  <si>
    <t xml:space="preserve">C-20877   </t>
  </si>
  <si>
    <t xml:space="preserve">C-20878   </t>
  </si>
  <si>
    <t xml:space="preserve">C-20879   </t>
  </si>
  <si>
    <t xml:space="preserve">(117)NARCISO ROMERO CAMALEON                                               </t>
  </si>
  <si>
    <t xml:space="preserve">C-20880   </t>
  </si>
  <si>
    <t xml:space="preserve">(219)GIOVANNI RIOS                                                         </t>
  </si>
  <si>
    <t xml:space="preserve">C-20881   </t>
  </si>
  <si>
    <t xml:space="preserve">C-20882   </t>
  </si>
  <si>
    <t xml:space="preserve">(664)RICARNE                                                               </t>
  </si>
  <si>
    <t xml:space="preserve">C-20883   </t>
  </si>
  <si>
    <t xml:space="preserve">C-20884   </t>
  </si>
  <si>
    <t xml:space="preserve">(543)CORAZON DE BRASIL APIZACO                                             </t>
  </si>
  <si>
    <t xml:space="preserve">C-20885   </t>
  </si>
  <si>
    <t xml:space="preserve">C-20886   </t>
  </si>
  <si>
    <t xml:space="preserve">(618)CORAZON DE BRASIL SANTA ANA                                           </t>
  </si>
  <si>
    <t xml:space="preserve">C-20887   </t>
  </si>
  <si>
    <t xml:space="preserve">(116)GERARDO FRAGOSO                                                       </t>
  </si>
  <si>
    <t xml:space="preserve">C-20888   </t>
  </si>
  <si>
    <t xml:space="preserve">(250)CORTES FINOS LA MORENA                                                </t>
  </si>
  <si>
    <t xml:space="preserve">C-20889   </t>
  </si>
  <si>
    <t xml:space="preserve">C-20890   </t>
  </si>
  <si>
    <t xml:space="preserve">C-20891   </t>
  </si>
  <si>
    <t xml:space="preserve">(141)RODOLFO ZOQUIAPA                                                      </t>
  </si>
  <si>
    <t xml:space="preserve">C-20892   </t>
  </si>
  <si>
    <t xml:space="preserve">C-20893   </t>
  </si>
  <si>
    <t xml:space="preserve">C-20894   </t>
  </si>
  <si>
    <t xml:space="preserve">(488)TONANZINTLA                                                           </t>
  </si>
  <si>
    <t xml:space="preserve">C-20895   </t>
  </si>
  <si>
    <t xml:space="preserve">C-20896   </t>
  </si>
  <si>
    <t xml:space="preserve">(127)JOSE MANUEL                                                           </t>
  </si>
  <si>
    <t xml:space="preserve">C-20897   </t>
  </si>
  <si>
    <t xml:space="preserve">C-20898   </t>
  </si>
  <si>
    <t xml:space="preserve">(627)GUSTAVO CHAMORROS                                                     </t>
  </si>
  <si>
    <t xml:space="preserve">C-20899   </t>
  </si>
  <si>
    <t xml:space="preserve">C-20900   </t>
  </si>
  <si>
    <t xml:space="preserve">C-20901   </t>
  </si>
  <si>
    <t xml:space="preserve">C-20902   </t>
  </si>
  <si>
    <t xml:space="preserve">C-20903   </t>
  </si>
  <si>
    <t xml:space="preserve">(98)FERNANDO GALICIA                                                      </t>
  </si>
  <si>
    <t xml:space="preserve"> 08/01/2017</t>
  </si>
  <si>
    <t xml:space="preserve">C-20904   </t>
  </si>
  <si>
    <t xml:space="preserve">C-20905   </t>
  </si>
  <si>
    <t xml:space="preserve">C-20906   </t>
  </si>
  <si>
    <t xml:space="preserve">C-20907   </t>
  </si>
  <si>
    <t>05/01/2017 10/01/2017</t>
  </si>
  <si>
    <t xml:space="preserve">C-20908   </t>
  </si>
  <si>
    <t xml:space="preserve">C-20909   </t>
  </si>
  <si>
    <t xml:space="preserve">C-20910   </t>
  </si>
  <si>
    <t xml:space="preserve">C-20911   </t>
  </si>
  <si>
    <t xml:space="preserve">C-20912   </t>
  </si>
  <si>
    <t xml:space="preserve">C-20913   </t>
  </si>
  <si>
    <t xml:space="preserve">(35)JORGE ARRIAGA                                                         </t>
  </si>
  <si>
    <t xml:space="preserve">C-20914   </t>
  </si>
  <si>
    <t xml:space="preserve">C-20915   </t>
  </si>
  <si>
    <t xml:space="preserve">C-20916   </t>
  </si>
  <si>
    <t xml:space="preserve">(570)RAUL LEDO                                                             </t>
  </si>
  <si>
    <t xml:space="preserve">C-20917   </t>
  </si>
  <si>
    <t xml:space="preserve"> 17/01/2017</t>
  </si>
  <si>
    <t xml:space="preserve">C-20918   </t>
  </si>
  <si>
    <t xml:space="preserve">C-20919   </t>
  </si>
  <si>
    <t xml:space="preserve">C-20920   </t>
  </si>
  <si>
    <t xml:space="preserve">C-20921   </t>
  </si>
  <si>
    <t xml:space="preserve">C-20922   </t>
  </si>
  <si>
    <t xml:space="preserve">C-20923   </t>
  </si>
  <si>
    <t xml:space="preserve">C-20924   </t>
  </si>
  <si>
    <t xml:space="preserve">C-20925   </t>
  </si>
  <si>
    <t xml:space="preserve">C-20926   </t>
  </si>
  <si>
    <t xml:space="preserve">C-20927   </t>
  </si>
  <si>
    <t xml:space="preserve">C-20928   </t>
  </si>
  <si>
    <t xml:space="preserve">(263)LEONARDO SANCHEZ                                                      </t>
  </si>
  <si>
    <t xml:space="preserve">C-20929   </t>
  </si>
  <si>
    <t xml:space="preserve">C-20930   </t>
  </si>
  <si>
    <t xml:space="preserve">C-20931   </t>
  </si>
  <si>
    <t xml:space="preserve">C-20932   </t>
  </si>
  <si>
    <t xml:space="preserve">(2)LUIS LOPEZ                                                            </t>
  </si>
  <si>
    <t xml:space="preserve">C-20933   </t>
  </si>
  <si>
    <t xml:space="preserve">C-20934   </t>
  </si>
  <si>
    <t xml:space="preserve">(40)LA SORPRESA                                                           </t>
  </si>
  <si>
    <t xml:space="preserve">C-20935   </t>
  </si>
  <si>
    <t xml:space="preserve"> 06/01/2017</t>
  </si>
  <si>
    <t xml:space="preserve">C-20936   </t>
  </si>
  <si>
    <t xml:space="preserve">C-20937   </t>
  </si>
  <si>
    <t xml:space="preserve">(431)ADRIAN                                                                </t>
  </si>
  <si>
    <t xml:space="preserve">C-20938   </t>
  </si>
  <si>
    <t xml:space="preserve">C-20939   </t>
  </si>
  <si>
    <t xml:space="preserve">C-20940   </t>
  </si>
  <si>
    <t xml:space="preserve">C-20941   </t>
  </si>
  <si>
    <t xml:space="preserve">(668)TAQUERIA SANTA CLARA                                                  </t>
  </si>
  <si>
    <t xml:space="preserve">C-20942   </t>
  </si>
  <si>
    <t xml:space="preserve">C-20943   </t>
  </si>
  <si>
    <t xml:space="preserve">(205)DON JULIO                                                             </t>
  </si>
  <si>
    <t xml:space="preserve">C-20944   </t>
  </si>
  <si>
    <t xml:space="preserve">C-20945   </t>
  </si>
  <si>
    <t xml:space="preserve">C-20946   </t>
  </si>
  <si>
    <t xml:space="preserve">C-20947   </t>
  </si>
  <si>
    <t xml:space="preserve">C-20948   </t>
  </si>
  <si>
    <t xml:space="preserve">C-20949   </t>
  </si>
  <si>
    <t xml:space="preserve">C-20950   </t>
  </si>
  <si>
    <t xml:space="preserve">C-20951   </t>
  </si>
  <si>
    <t xml:space="preserve">C-20952   </t>
  </si>
  <si>
    <t xml:space="preserve">C-20953   </t>
  </si>
  <si>
    <t xml:space="preserve">C-20954   </t>
  </si>
  <si>
    <t xml:space="preserve">C-20955   </t>
  </si>
  <si>
    <t xml:space="preserve">C-20956   </t>
  </si>
  <si>
    <t xml:space="preserve">C-20957   </t>
  </si>
  <si>
    <t xml:space="preserve">C-20958   </t>
  </si>
  <si>
    <t xml:space="preserve">C-20959   </t>
  </si>
  <si>
    <t xml:space="preserve">C-20960   </t>
  </si>
  <si>
    <t xml:space="preserve">C-20961   </t>
  </si>
  <si>
    <t xml:space="preserve">(451)SERGIO LEDO                                                           </t>
  </si>
  <si>
    <t xml:space="preserve">C-20962   </t>
  </si>
  <si>
    <t xml:space="preserve">C-20963   </t>
  </si>
  <si>
    <t xml:space="preserve">C-20964   </t>
  </si>
  <si>
    <t xml:space="preserve">C-20965   </t>
  </si>
  <si>
    <t xml:space="preserve">C-20966   </t>
  </si>
  <si>
    <t xml:space="preserve">C-20967   </t>
  </si>
  <si>
    <t xml:space="preserve">C-20968   </t>
  </si>
  <si>
    <t xml:space="preserve">C-20969   </t>
  </si>
  <si>
    <t xml:space="preserve">C-20970   </t>
  </si>
  <si>
    <t xml:space="preserve">C-20971   </t>
  </si>
  <si>
    <t>11/01/2017 12/01/2017</t>
  </si>
  <si>
    <t xml:space="preserve">C-20972   </t>
  </si>
  <si>
    <t xml:space="preserve">(357)RAY 5 DE MAYO                                                         </t>
  </si>
  <si>
    <t xml:space="preserve">C-20973   </t>
  </si>
  <si>
    <t xml:space="preserve">C-20974   </t>
  </si>
  <si>
    <t xml:space="preserve">C-20975   </t>
  </si>
  <si>
    <t xml:space="preserve">C-20976   </t>
  </si>
  <si>
    <t xml:space="preserve">C-20977   </t>
  </si>
  <si>
    <t xml:space="preserve">C-20978   </t>
  </si>
  <si>
    <t xml:space="preserve">C-20979   </t>
  </si>
  <si>
    <t xml:space="preserve">C-20980   </t>
  </si>
  <si>
    <t xml:space="preserve">C-20981   </t>
  </si>
  <si>
    <t xml:space="preserve">C-20982   </t>
  </si>
  <si>
    <t xml:space="preserve">C-20983   </t>
  </si>
  <si>
    <t xml:space="preserve">C-20984   </t>
  </si>
  <si>
    <t xml:space="preserve">C-20985   </t>
  </si>
  <si>
    <t xml:space="preserve">(593)CARNES SELECTAS                                                       </t>
  </si>
  <si>
    <t xml:space="preserve">C-20986   </t>
  </si>
  <si>
    <t xml:space="preserve">C-20987   </t>
  </si>
  <si>
    <t xml:space="preserve">C-20988   </t>
  </si>
  <si>
    <t xml:space="preserve">C-20989   </t>
  </si>
  <si>
    <t xml:space="preserve">C-20990   </t>
  </si>
  <si>
    <t xml:space="preserve">C-20991   </t>
  </si>
  <si>
    <t xml:space="preserve">C-20992   </t>
  </si>
  <si>
    <t xml:space="preserve">C-20993   </t>
  </si>
  <si>
    <t xml:space="preserve">C-20994   </t>
  </si>
  <si>
    <t xml:space="preserve">C-20995   </t>
  </si>
  <si>
    <t xml:space="preserve">C-20996   </t>
  </si>
  <si>
    <t xml:space="preserve">C-20997   </t>
  </si>
  <si>
    <t xml:space="preserve">C-20998   </t>
  </si>
  <si>
    <t xml:space="preserve">C-20999   </t>
  </si>
  <si>
    <t xml:space="preserve">C-21000   </t>
  </si>
  <si>
    <t xml:space="preserve">C-21001   </t>
  </si>
  <si>
    <t xml:space="preserve">C-21002   </t>
  </si>
  <si>
    <t xml:space="preserve">C-21003   </t>
  </si>
  <si>
    <t xml:space="preserve">(77)GERARDO PULIDO                                                        </t>
  </si>
  <si>
    <t xml:space="preserve">C-21004   </t>
  </si>
  <si>
    <t xml:space="preserve">C-21005   </t>
  </si>
  <si>
    <t xml:space="preserve">C-21006   </t>
  </si>
  <si>
    <t xml:space="preserve">(108)ARTURO COYOTL                                                         </t>
  </si>
  <si>
    <t xml:space="preserve">C-21007   </t>
  </si>
  <si>
    <t xml:space="preserve">C-21008   </t>
  </si>
  <si>
    <t xml:space="preserve">C-21009   </t>
  </si>
  <si>
    <t xml:space="preserve">C-21010   </t>
  </si>
  <si>
    <t xml:space="preserve">C-21011   </t>
  </si>
  <si>
    <t xml:space="preserve">C-21012   </t>
  </si>
  <si>
    <t xml:space="preserve">C-21013   </t>
  </si>
  <si>
    <t xml:space="preserve">C-21014   </t>
  </si>
  <si>
    <t xml:space="preserve">(60)SEBASTIAN NEATITLAN                                                   </t>
  </si>
  <si>
    <t xml:space="preserve">C-21015   </t>
  </si>
  <si>
    <t xml:space="preserve">C-21016   </t>
  </si>
  <si>
    <t xml:space="preserve">C-21017   </t>
  </si>
  <si>
    <t xml:space="preserve">C-21018   </t>
  </si>
  <si>
    <t xml:space="preserve">(254)IRENE CASTILLO                                                        </t>
  </si>
  <si>
    <t xml:space="preserve">C-21019   </t>
  </si>
  <si>
    <t xml:space="preserve">C-21020   </t>
  </si>
  <si>
    <t xml:space="preserve">(285)ERASMO                                                                </t>
  </si>
  <si>
    <t xml:space="preserve">C-21021   </t>
  </si>
  <si>
    <t xml:space="preserve">C-21022   </t>
  </si>
  <si>
    <t xml:space="preserve">(622)TOÑO CHOLULA                                                          </t>
  </si>
  <si>
    <t xml:space="preserve">C-21023   </t>
  </si>
  <si>
    <t xml:space="preserve">C-21024   </t>
  </si>
  <si>
    <t xml:space="preserve">C-21025   </t>
  </si>
  <si>
    <t xml:space="preserve">C-21026   </t>
  </si>
  <si>
    <t>14/01/2017 23/01/2017</t>
  </si>
  <si>
    <t xml:space="preserve">C-21027   </t>
  </si>
  <si>
    <t xml:space="preserve">C-21028   </t>
  </si>
  <si>
    <t xml:space="preserve">C-21029   </t>
  </si>
  <si>
    <t xml:space="preserve">C-21030   </t>
  </si>
  <si>
    <t xml:space="preserve">C-21031   </t>
  </si>
  <si>
    <t xml:space="preserve">C-21032   </t>
  </si>
  <si>
    <t xml:space="preserve">C-21033   </t>
  </si>
  <si>
    <t xml:space="preserve">C-21034   </t>
  </si>
  <si>
    <t xml:space="preserve">C-21035   </t>
  </si>
  <si>
    <t xml:space="preserve">C-21036   </t>
  </si>
  <si>
    <t xml:space="preserve">C-21037   </t>
  </si>
  <si>
    <t xml:space="preserve">C-21038   </t>
  </si>
  <si>
    <t xml:space="preserve">(411)GABRIEL DOROTEO                                                       </t>
  </si>
  <si>
    <t xml:space="preserve">C-21039   </t>
  </si>
  <si>
    <t xml:space="preserve">C-21040   </t>
  </si>
  <si>
    <t xml:space="preserve">10/01/2017 11/01/2017 </t>
  </si>
  <si>
    <t xml:space="preserve">C-21041   </t>
  </si>
  <si>
    <t xml:space="preserve">(196)OMAR  ATLIXCO                                                         </t>
  </si>
  <si>
    <t xml:space="preserve">C-21042   </t>
  </si>
  <si>
    <t xml:space="preserve">C-21043   </t>
  </si>
  <si>
    <t xml:space="preserve">C-21044   </t>
  </si>
  <si>
    <t xml:space="preserve">(339)CHINOS MALASIA                                                        </t>
  </si>
  <si>
    <t xml:space="preserve">C-21045   </t>
  </si>
  <si>
    <t xml:space="preserve">C-21046   </t>
  </si>
  <si>
    <t xml:space="preserve">C-21047   </t>
  </si>
  <si>
    <t xml:space="preserve">C-21048   </t>
  </si>
  <si>
    <t xml:space="preserve">(242)IGNACIO GOMEZ MARTINEZ                                                </t>
  </si>
  <si>
    <t xml:space="preserve">C-21049   </t>
  </si>
  <si>
    <t xml:space="preserve">C-21050   </t>
  </si>
  <si>
    <t xml:space="preserve">C-21051   </t>
  </si>
  <si>
    <t xml:space="preserve">C-21052   </t>
  </si>
  <si>
    <t xml:space="preserve">(160)COSTA  DE ORO                                                         </t>
  </si>
  <si>
    <t xml:space="preserve">C-21053   </t>
  </si>
  <si>
    <t xml:space="preserve">C-21054   </t>
  </si>
  <si>
    <t xml:space="preserve">(171)ALFREDO VERACRUZ                                                      </t>
  </si>
  <si>
    <t xml:space="preserve">C-21055   </t>
  </si>
  <si>
    <t xml:space="preserve">(634)GUADALUPE VER                                                         </t>
  </si>
  <si>
    <t xml:space="preserve">C-21056   </t>
  </si>
  <si>
    <t xml:space="preserve">(164)ALEJANDRO HERNANDEZ (VER)                                             </t>
  </si>
  <si>
    <t xml:space="preserve">C-21057   </t>
  </si>
  <si>
    <t xml:space="preserve">C-21058   </t>
  </si>
  <si>
    <t xml:space="preserve">(418)ARTURO VERACRUZ                                                       </t>
  </si>
  <si>
    <t xml:space="preserve">C-21059   </t>
  </si>
  <si>
    <t xml:space="preserve">(178)GERARDO VERACRUZ                                                      </t>
  </si>
  <si>
    <t xml:space="preserve">C-21060   </t>
  </si>
  <si>
    <t xml:space="preserve">C-21061   </t>
  </si>
  <si>
    <t xml:space="preserve">C-21062   </t>
  </si>
  <si>
    <t xml:space="preserve">(162)SERGIO  HDEZ  VERACRUZ                                                </t>
  </si>
  <si>
    <t xml:space="preserve">C-21063   </t>
  </si>
  <si>
    <t xml:space="preserve">(172)MIGUEL VERACRUZ                                                       </t>
  </si>
  <si>
    <t xml:space="preserve">C-21064   </t>
  </si>
  <si>
    <t>17/01/2017 18/01/2017 21/01/2017</t>
  </si>
  <si>
    <t xml:space="preserve">C-21065   </t>
  </si>
  <si>
    <t xml:space="preserve">C-21066   </t>
  </si>
  <si>
    <t xml:space="preserve">(181)DARIO TIRO                                                            </t>
  </si>
  <si>
    <t xml:space="preserve">C-21067   </t>
  </si>
  <si>
    <t xml:space="preserve">C-21068   </t>
  </si>
  <si>
    <t xml:space="preserve">C-21069   </t>
  </si>
  <si>
    <t xml:space="preserve">(89)MAQUILA                                                               </t>
  </si>
  <si>
    <t xml:space="preserve">C-21070   </t>
  </si>
  <si>
    <t xml:space="preserve">C-21071   </t>
  </si>
  <si>
    <t xml:space="preserve">C-21072   </t>
  </si>
  <si>
    <t xml:space="preserve">C-21073   </t>
  </si>
  <si>
    <t xml:space="preserve">C-21074   </t>
  </si>
  <si>
    <t xml:space="preserve">C-21075   </t>
  </si>
  <si>
    <t xml:space="preserve">C-21076   </t>
  </si>
  <si>
    <t xml:space="preserve">C-21077   </t>
  </si>
  <si>
    <t xml:space="preserve">C-21078   </t>
  </si>
  <si>
    <t xml:space="preserve">C-21079   </t>
  </si>
  <si>
    <t xml:space="preserve">C-21080   </t>
  </si>
  <si>
    <t xml:space="preserve">C-21081   </t>
  </si>
  <si>
    <t xml:space="preserve">C-21082   </t>
  </si>
  <si>
    <t xml:space="preserve">C-21083   </t>
  </si>
  <si>
    <t xml:space="preserve">(50)FRANCO MORALES                                                        </t>
  </si>
  <si>
    <t xml:space="preserve">C-21084   </t>
  </si>
  <si>
    <t xml:space="preserve">C-21085   </t>
  </si>
  <si>
    <t xml:space="preserve">C-21086   </t>
  </si>
  <si>
    <t xml:space="preserve">C-21087   </t>
  </si>
  <si>
    <t xml:space="preserve">C-21088   </t>
  </si>
  <si>
    <t xml:space="preserve">C-21089   </t>
  </si>
  <si>
    <t xml:space="preserve">C-21090   </t>
  </si>
  <si>
    <t xml:space="preserve">C-21091   </t>
  </si>
  <si>
    <t xml:space="preserve">(597)FRANCO MORALES PEREZ                                                  </t>
  </si>
  <si>
    <t xml:space="preserve">C-21092   </t>
  </si>
  <si>
    <t xml:space="preserve">C-21093   </t>
  </si>
  <si>
    <t xml:space="preserve">C-21094   </t>
  </si>
  <si>
    <t xml:space="preserve">C-21095   </t>
  </si>
  <si>
    <t xml:space="preserve">C-21096   </t>
  </si>
  <si>
    <t xml:space="preserve">C-21097   </t>
  </si>
  <si>
    <t xml:space="preserve">C-21098   </t>
  </si>
  <si>
    <t xml:space="preserve">C-21099   </t>
  </si>
  <si>
    <t xml:space="preserve">C-21100   </t>
  </si>
  <si>
    <t xml:space="preserve">C-21101   </t>
  </si>
  <si>
    <t xml:space="preserve">C-21102   </t>
  </si>
  <si>
    <t xml:space="preserve">C-21103   </t>
  </si>
  <si>
    <t xml:space="preserve">C-21104   </t>
  </si>
  <si>
    <t xml:space="preserve">C-21105   </t>
  </si>
  <si>
    <t xml:space="preserve">C-21106   </t>
  </si>
  <si>
    <t xml:space="preserve">C-21107   </t>
  </si>
  <si>
    <t xml:space="preserve">C-21108   </t>
  </si>
  <si>
    <t xml:space="preserve">C-21109   </t>
  </si>
  <si>
    <t xml:space="preserve">C-21110   </t>
  </si>
  <si>
    <t xml:space="preserve">C-21111   </t>
  </si>
  <si>
    <t xml:space="preserve">C-21112   </t>
  </si>
  <si>
    <t xml:space="preserve">C-21113   </t>
  </si>
  <si>
    <t xml:space="preserve">C-21114   </t>
  </si>
  <si>
    <t xml:space="preserve">C-21115   </t>
  </si>
  <si>
    <t xml:space="preserve">C-21116   </t>
  </si>
  <si>
    <t xml:space="preserve">C-21117   </t>
  </si>
  <si>
    <t xml:space="preserve">C-21118   </t>
  </si>
  <si>
    <t xml:space="preserve">C-21119   </t>
  </si>
  <si>
    <t>10/01/2017 12/01/2017  12/01/2017</t>
  </si>
  <si>
    <t xml:space="preserve">C-21120   </t>
  </si>
  <si>
    <t xml:space="preserve">C-21121   </t>
  </si>
  <si>
    <t xml:space="preserve">C-21122   </t>
  </si>
  <si>
    <t xml:space="preserve">C-21123   </t>
  </si>
  <si>
    <t xml:space="preserve">C-21124   </t>
  </si>
  <si>
    <t>10/01/2017 12/01/2017</t>
  </si>
  <si>
    <t xml:space="preserve">C-21125   </t>
  </si>
  <si>
    <t xml:space="preserve">C-21126   </t>
  </si>
  <si>
    <t xml:space="preserve">C-21127   </t>
  </si>
  <si>
    <t xml:space="preserve">C-21128   </t>
  </si>
  <si>
    <t xml:space="preserve">C-21129   </t>
  </si>
  <si>
    <t xml:space="preserve">C-21130   </t>
  </si>
  <si>
    <t xml:space="preserve">C-21131   </t>
  </si>
  <si>
    <t xml:space="preserve">C-21132   </t>
  </si>
  <si>
    <t xml:space="preserve"> 04/02/2017</t>
  </si>
  <si>
    <t xml:space="preserve">C-21133   </t>
  </si>
  <si>
    <t xml:space="preserve">C-21134   </t>
  </si>
  <si>
    <t xml:space="preserve">C-21135   </t>
  </si>
  <si>
    <t xml:space="preserve">C-21136   </t>
  </si>
  <si>
    <t xml:space="preserve">C-21137   </t>
  </si>
  <si>
    <t xml:space="preserve">C-21138   </t>
  </si>
  <si>
    <t xml:space="preserve">C-21139   </t>
  </si>
  <si>
    <t xml:space="preserve">(252)ROBERTO FLORES                                                        </t>
  </si>
  <si>
    <t xml:space="preserve">C-21140   </t>
  </si>
  <si>
    <t xml:space="preserve">C-21141   </t>
  </si>
  <si>
    <t xml:space="preserve">C-21142   </t>
  </si>
  <si>
    <t xml:space="preserve">C-21143   </t>
  </si>
  <si>
    <t xml:space="preserve">C-21144   </t>
  </si>
  <si>
    <t xml:space="preserve">C-21145   </t>
  </si>
  <si>
    <t xml:space="preserve">C-21146   </t>
  </si>
  <si>
    <t xml:space="preserve">C-21147   </t>
  </si>
  <si>
    <t xml:space="preserve">C-21148   </t>
  </si>
  <si>
    <t xml:space="preserve">C-21149   </t>
  </si>
  <si>
    <t xml:space="preserve">C-21150   </t>
  </si>
  <si>
    <t xml:space="preserve">(23)ALVARO MEZA                                                           </t>
  </si>
  <si>
    <t xml:space="preserve">C-21151   </t>
  </si>
  <si>
    <t xml:space="preserve">C-21152   </t>
  </si>
  <si>
    <t xml:space="preserve">C-21153   </t>
  </si>
  <si>
    <t xml:space="preserve">C-21154   </t>
  </si>
  <si>
    <t xml:space="preserve">C-21155   </t>
  </si>
  <si>
    <t xml:space="preserve">C-21156   </t>
  </si>
  <si>
    <t xml:space="preserve">C-21157   </t>
  </si>
  <si>
    <t xml:space="preserve">(103)APOLINAR                                                              </t>
  </si>
  <si>
    <t xml:space="preserve">C-21158   </t>
  </si>
  <si>
    <t xml:space="preserve">C-21159   </t>
  </si>
  <si>
    <t xml:space="preserve">C-21160   </t>
  </si>
  <si>
    <t xml:space="preserve">C-21161   </t>
  </si>
  <si>
    <t xml:space="preserve">C-21162   </t>
  </si>
  <si>
    <t xml:space="preserve">C-21163   </t>
  </si>
  <si>
    <t xml:space="preserve">(71)ARCADIO LEDO                                                          </t>
  </si>
  <si>
    <t xml:space="preserve"> 15/01/2017</t>
  </si>
  <si>
    <t xml:space="preserve">C-21164   </t>
  </si>
  <si>
    <t xml:space="preserve">C-21165   </t>
  </si>
  <si>
    <t xml:space="preserve">C-21166   </t>
  </si>
  <si>
    <t xml:space="preserve">C-21167   </t>
  </si>
  <si>
    <t xml:space="preserve">(42)JESUS RUIZ                                                            </t>
  </si>
  <si>
    <t xml:space="preserve">C-21168   </t>
  </si>
  <si>
    <t xml:space="preserve">C-21169   </t>
  </si>
  <si>
    <t xml:space="preserve">C-21170   </t>
  </si>
  <si>
    <t xml:space="preserve"> 08/01/2017 09/01/2017 09/01/2017</t>
  </si>
  <si>
    <t xml:space="preserve">C-21171   </t>
  </si>
  <si>
    <t xml:space="preserve">C-21172   </t>
  </si>
  <si>
    <t xml:space="preserve">(148)ANTONIO HERNANDEZ                                                     </t>
  </si>
  <si>
    <t xml:space="preserve">C-21173   </t>
  </si>
  <si>
    <t xml:space="preserve">C-21174   </t>
  </si>
  <si>
    <t xml:space="preserve">C-21175   </t>
  </si>
  <si>
    <t xml:space="preserve">C-21176   </t>
  </si>
  <si>
    <t xml:space="preserve">C-21177   </t>
  </si>
  <si>
    <t xml:space="preserve">C-21178   </t>
  </si>
  <si>
    <t xml:space="preserve">C-21179   </t>
  </si>
  <si>
    <t xml:space="preserve">C-21180   </t>
  </si>
  <si>
    <t xml:space="preserve">C-21181   </t>
  </si>
  <si>
    <t xml:space="preserve">C-21182   </t>
  </si>
  <si>
    <t xml:space="preserve">C-21183   </t>
  </si>
  <si>
    <t xml:space="preserve">C-21184   </t>
  </si>
  <si>
    <t xml:space="preserve">C-21185   </t>
  </si>
  <si>
    <t xml:space="preserve">C-21186   </t>
  </si>
  <si>
    <t xml:space="preserve">C-21187   </t>
  </si>
  <si>
    <t xml:space="preserve">C-21188   </t>
  </si>
  <si>
    <t xml:space="preserve">C-21189   </t>
  </si>
  <si>
    <t>09/01/2017 10/01/2017</t>
  </si>
  <si>
    <t xml:space="preserve">C-21190   </t>
  </si>
  <si>
    <t xml:space="preserve">C-21191   </t>
  </si>
  <si>
    <t xml:space="preserve">C-21192   </t>
  </si>
  <si>
    <t xml:space="preserve">C-21193   </t>
  </si>
  <si>
    <t xml:space="preserve">C-21194   </t>
  </si>
  <si>
    <t xml:space="preserve">C-21195   </t>
  </si>
  <si>
    <t xml:space="preserve">(458)SAGRADO 3 CRUCES                                                      </t>
  </si>
  <si>
    <t xml:space="preserve">C-21196   </t>
  </si>
  <si>
    <t xml:space="preserve">C-21197   </t>
  </si>
  <si>
    <t xml:space="preserve">C-21198   </t>
  </si>
  <si>
    <t xml:space="preserve">C-21199   </t>
  </si>
  <si>
    <t xml:space="preserve">C-21200   </t>
  </si>
  <si>
    <t xml:space="preserve">C-21201   </t>
  </si>
  <si>
    <t xml:space="preserve">C-21202   </t>
  </si>
  <si>
    <t xml:space="preserve">C-21203   </t>
  </si>
  <si>
    <t xml:space="preserve">C-21204   </t>
  </si>
  <si>
    <t xml:space="preserve">C-21205   </t>
  </si>
  <si>
    <t xml:space="preserve">C-21206   </t>
  </si>
  <si>
    <t xml:space="preserve">C-21207   </t>
  </si>
  <si>
    <t xml:space="preserve">C-21208   </t>
  </si>
  <si>
    <t xml:space="preserve">C-21209   </t>
  </si>
  <si>
    <t xml:space="preserve">C-21210   </t>
  </si>
  <si>
    <t>12/01/2017 13/01/2017</t>
  </si>
  <si>
    <t xml:space="preserve">C-21211   </t>
  </si>
  <si>
    <t xml:space="preserve">C-21212   </t>
  </si>
  <si>
    <t xml:space="preserve">C-21213   </t>
  </si>
  <si>
    <t xml:space="preserve">(449)MOISES ARCE                                                           </t>
  </si>
  <si>
    <t xml:space="preserve">C-21214   </t>
  </si>
  <si>
    <t xml:space="preserve">C-21215   </t>
  </si>
  <si>
    <t xml:space="preserve">C-21216   </t>
  </si>
  <si>
    <t xml:space="preserve">(375)JAIME HERNANDEZ                                                       </t>
  </si>
  <si>
    <t xml:space="preserve">C-21217   </t>
  </si>
  <si>
    <t xml:space="preserve">C-21218   </t>
  </si>
  <si>
    <t xml:space="preserve">C-21219   </t>
  </si>
  <si>
    <t xml:space="preserve">(303)SRA  CORONA                                                           </t>
  </si>
  <si>
    <t xml:space="preserve">C-21220   </t>
  </si>
  <si>
    <t xml:space="preserve">C-21221   </t>
  </si>
  <si>
    <t xml:space="preserve">C-21222   </t>
  </si>
  <si>
    <t xml:space="preserve">C-21223   </t>
  </si>
  <si>
    <t xml:space="preserve">C-21224   </t>
  </si>
  <si>
    <t xml:space="preserve">C-21225   </t>
  </si>
  <si>
    <t xml:space="preserve">C-21226   </t>
  </si>
  <si>
    <t xml:space="preserve">C-21227   </t>
  </si>
  <si>
    <t xml:space="preserve">C-21228   </t>
  </si>
  <si>
    <t xml:space="preserve">(519)FELIX SANCHEZ                                                         </t>
  </si>
  <si>
    <t xml:space="preserve">C-21229   </t>
  </si>
  <si>
    <t xml:space="preserve">C-21230   </t>
  </si>
  <si>
    <t xml:space="preserve">(311)ALEJANDRO RAMIREZ                                                     </t>
  </si>
  <si>
    <t xml:space="preserve">C-21231   </t>
  </si>
  <si>
    <t xml:space="preserve">C-21232   </t>
  </si>
  <si>
    <t xml:space="preserve">C-21233   </t>
  </si>
  <si>
    <t xml:space="preserve">C-21234   </t>
  </si>
  <si>
    <t xml:space="preserve">C-21235   </t>
  </si>
  <si>
    <t xml:space="preserve">C-21236   </t>
  </si>
  <si>
    <t xml:space="preserve">C-21237   </t>
  </si>
  <si>
    <t xml:space="preserve">C-21238   </t>
  </si>
  <si>
    <t xml:space="preserve">C-21239   </t>
  </si>
  <si>
    <t xml:space="preserve">C-21240   </t>
  </si>
  <si>
    <t xml:space="preserve">C-21241   </t>
  </si>
  <si>
    <t xml:space="preserve">C-21242   </t>
  </si>
  <si>
    <t xml:space="preserve">C-21243   </t>
  </si>
  <si>
    <t xml:space="preserve">C-21244   </t>
  </si>
  <si>
    <t xml:space="preserve">C-21245   </t>
  </si>
  <si>
    <t xml:space="preserve">C-21246   </t>
  </si>
  <si>
    <t xml:space="preserve">C-21247   </t>
  </si>
  <si>
    <t xml:space="preserve">C-21248   </t>
  </si>
  <si>
    <t xml:space="preserve">C-21249   </t>
  </si>
  <si>
    <t xml:space="preserve">C-21250   </t>
  </si>
  <si>
    <t xml:space="preserve">(11)EFRAIN RENDON                                                         </t>
  </si>
  <si>
    <t xml:space="preserve">C-21251   </t>
  </si>
  <si>
    <t xml:space="preserve">C-21252   </t>
  </si>
  <si>
    <t xml:space="preserve">C-21253   </t>
  </si>
  <si>
    <t xml:space="preserve">C-21254   </t>
  </si>
  <si>
    <t xml:space="preserve">C-21255   </t>
  </si>
  <si>
    <t xml:space="preserve">C-21256   </t>
  </si>
  <si>
    <t xml:space="preserve">C-21257   </t>
  </si>
  <si>
    <t xml:space="preserve">C-21258   </t>
  </si>
  <si>
    <t xml:space="preserve">(82)JULIO MC                                                              </t>
  </si>
  <si>
    <t xml:space="preserve">C-21259   </t>
  </si>
  <si>
    <t xml:space="preserve">C-21260   </t>
  </si>
  <si>
    <t xml:space="preserve">C-21261   </t>
  </si>
  <si>
    <t xml:space="preserve">C-21262   </t>
  </si>
  <si>
    <t xml:space="preserve">C-21263   </t>
  </si>
  <si>
    <t xml:space="preserve">C-21264   </t>
  </si>
  <si>
    <t xml:space="preserve">C-21265   </t>
  </si>
  <si>
    <t xml:space="preserve">(571)MARYCRUZ                                                              </t>
  </si>
  <si>
    <t xml:space="preserve">C-21266   </t>
  </si>
  <si>
    <t xml:space="preserve">C-21267   </t>
  </si>
  <si>
    <t xml:space="preserve">C-21268   </t>
  </si>
  <si>
    <t xml:space="preserve">(569)LEONARDO SAUZA CORONA                                                 </t>
  </si>
  <si>
    <t xml:space="preserve">C-21269   </t>
  </si>
  <si>
    <t xml:space="preserve">(556)BRAZILIAN BUFFET                                                      </t>
  </si>
  <si>
    <t xml:space="preserve">C-21270   </t>
  </si>
  <si>
    <t xml:space="preserve">C-21271   </t>
  </si>
  <si>
    <t xml:space="preserve">C-21272   </t>
  </si>
  <si>
    <t xml:space="preserve"> 21/01/2017</t>
  </si>
  <si>
    <t xml:space="preserve">C-21273   </t>
  </si>
  <si>
    <t xml:space="preserve">C-21274   </t>
  </si>
  <si>
    <t xml:space="preserve">(572)MORALES DIAZ                                                          </t>
  </si>
  <si>
    <t xml:space="preserve">C-21275   </t>
  </si>
  <si>
    <t xml:space="preserve">C-21276   </t>
  </si>
  <si>
    <t xml:space="preserve">C-21277   </t>
  </si>
  <si>
    <t xml:space="preserve">C-21278   </t>
  </si>
  <si>
    <t xml:space="preserve">C-21279   </t>
  </si>
  <si>
    <t xml:space="preserve">C-21280   </t>
  </si>
  <si>
    <t xml:space="preserve">(176)CERRITOS                                                              </t>
  </si>
  <si>
    <t xml:space="preserve">C-21281   </t>
  </si>
  <si>
    <t xml:space="preserve">C-21282   </t>
  </si>
  <si>
    <t xml:space="preserve">C-21283   </t>
  </si>
  <si>
    <t xml:space="preserve">C-21284   </t>
  </si>
  <si>
    <t xml:space="preserve">C-21285   </t>
  </si>
  <si>
    <t xml:space="preserve">C-21286   </t>
  </si>
  <si>
    <t xml:space="preserve">C-21287   </t>
  </si>
  <si>
    <t xml:space="preserve">C-21288   </t>
  </si>
  <si>
    <t xml:space="preserve">C-21289   </t>
  </si>
  <si>
    <t xml:space="preserve">C-21290   </t>
  </si>
  <si>
    <t xml:space="preserve">C-21291   </t>
  </si>
  <si>
    <t xml:space="preserve">C-21292   </t>
  </si>
  <si>
    <t xml:space="preserve">C-21293   </t>
  </si>
  <si>
    <t xml:space="preserve">C-21294   </t>
  </si>
  <si>
    <t xml:space="preserve">C-21295   </t>
  </si>
  <si>
    <t xml:space="preserve">C-21296   </t>
  </si>
  <si>
    <t xml:space="preserve">C-21297   </t>
  </si>
  <si>
    <t xml:space="preserve">C-21298   </t>
  </si>
  <si>
    <t xml:space="preserve">C-21299   </t>
  </si>
  <si>
    <t xml:space="preserve">C-21300   </t>
  </si>
  <si>
    <t xml:space="preserve">C-21301   </t>
  </si>
  <si>
    <t xml:space="preserve">C-21302   </t>
  </si>
  <si>
    <t xml:space="preserve">C-21303   </t>
  </si>
  <si>
    <t xml:space="preserve">C-21304   </t>
  </si>
  <si>
    <t xml:space="preserve">C-21305   </t>
  </si>
  <si>
    <t xml:space="preserve">C-21306   </t>
  </si>
  <si>
    <t xml:space="preserve">C-21307   </t>
  </si>
  <si>
    <t xml:space="preserve">C-21308   </t>
  </si>
  <si>
    <t xml:space="preserve">C-21309   </t>
  </si>
  <si>
    <t xml:space="preserve">C-21310   </t>
  </si>
  <si>
    <t xml:space="preserve">C-21311   </t>
  </si>
  <si>
    <t xml:space="preserve">C-21312   </t>
  </si>
  <si>
    <t xml:space="preserve">C-21313   </t>
  </si>
  <si>
    <t xml:space="preserve">C-21314   </t>
  </si>
  <si>
    <t xml:space="preserve">(511)RODRIGO LEYVA SALAS                                                   </t>
  </si>
  <si>
    <t xml:space="preserve">C-21315   </t>
  </si>
  <si>
    <t xml:space="preserve">(540)RODRIGO SILVA                                                         </t>
  </si>
  <si>
    <t xml:space="preserve">C-21316   </t>
  </si>
  <si>
    <t xml:space="preserve">C-21317   </t>
  </si>
  <si>
    <t xml:space="preserve">C-21318   </t>
  </si>
  <si>
    <t xml:space="preserve">C-21319   </t>
  </si>
  <si>
    <t xml:space="preserve">C-21320   </t>
  </si>
  <si>
    <t xml:space="preserve">C-21321   </t>
  </si>
  <si>
    <t xml:space="preserve">C-21322   </t>
  </si>
  <si>
    <t xml:space="preserve">C-21323   </t>
  </si>
  <si>
    <t xml:space="preserve">C-21324   </t>
  </si>
  <si>
    <t xml:space="preserve">C-21325   </t>
  </si>
  <si>
    <t xml:space="preserve">C-21326   </t>
  </si>
  <si>
    <t xml:space="preserve">C-21327   </t>
  </si>
  <si>
    <t xml:space="preserve">C-21328   </t>
  </si>
  <si>
    <t xml:space="preserve">C-21329   </t>
  </si>
  <si>
    <t xml:space="preserve">C-21330   </t>
  </si>
  <si>
    <t xml:space="preserve">C-21331   </t>
  </si>
  <si>
    <t xml:space="preserve">C-21332   </t>
  </si>
  <si>
    <t xml:space="preserve">C-21333   </t>
  </si>
  <si>
    <t xml:space="preserve">C-21334   </t>
  </si>
  <si>
    <t xml:space="preserve">C-21335   </t>
  </si>
  <si>
    <t xml:space="preserve">C-21336   </t>
  </si>
  <si>
    <t xml:space="preserve">C-21337   </t>
  </si>
  <si>
    <t xml:space="preserve">C-21338   </t>
  </si>
  <si>
    <t xml:space="preserve">C-21339   </t>
  </si>
  <si>
    <t xml:space="preserve">C-21340   </t>
  </si>
  <si>
    <t xml:space="preserve">C-21341   </t>
  </si>
  <si>
    <t xml:space="preserve">C-21342   </t>
  </si>
  <si>
    <t xml:space="preserve">C-21343   </t>
  </si>
  <si>
    <t xml:space="preserve">C-21344   </t>
  </si>
  <si>
    <t xml:space="preserve">C-21345   </t>
  </si>
  <si>
    <t xml:space="preserve">C-21346   </t>
  </si>
  <si>
    <t xml:space="preserve">C-21347   </t>
  </si>
  <si>
    <t xml:space="preserve">C-21348   </t>
  </si>
  <si>
    <t xml:space="preserve">C-21349   </t>
  </si>
  <si>
    <t xml:space="preserve">C-21350   </t>
  </si>
  <si>
    <t xml:space="preserve">C-21351   </t>
  </si>
  <si>
    <t xml:space="preserve">C-21352   </t>
  </si>
  <si>
    <t xml:space="preserve">C-21353   </t>
  </si>
  <si>
    <t xml:space="preserve">C-21354   </t>
  </si>
  <si>
    <t xml:space="preserve">C-21355   </t>
  </si>
  <si>
    <t xml:space="preserve">C-21356   </t>
  </si>
  <si>
    <t xml:space="preserve">C-21357   </t>
  </si>
  <si>
    <t xml:space="preserve">C-21358   </t>
  </si>
  <si>
    <t xml:space="preserve">C-21359   </t>
  </si>
  <si>
    <t xml:space="preserve">C-21360   </t>
  </si>
  <si>
    <t xml:space="preserve">C-21361   </t>
  </si>
  <si>
    <t xml:space="preserve">C-21362   </t>
  </si>
  <si>
    <t xml:space="preserve">C-21363   </t>
  </si>
  <si>
    <t xml:space="preserve">C-21364   </t>
  </si>
  <si>
    <t xml:space="preserve">C-21365   </t>
  </si>
  <si>
    <t xml:space="preserve">C-21366   </t>
  </si>
  <si>
    <t xml:space="preserve">C-21367   </t>
  </si>
  <si>
    <t xml:space="preserve">C-21368   </t>
  </si>
  <si>
    <t>11/01/2017 14/01/2017</t>
  </si>
  <si>
    <t xml:space="preserve">C-21369   </t>
  </si>
  <si>
    <t xml:space="preserve">C-21370   </t>
  </si>
  <si>
    <t xml:space="preserve">C-21371   </t>
  </si>
  <si>
    <t xml:space="preserve">C-21372   </t>
  </si>
  <si>
    <t xml:space="preserve">C-21373   </t>
  </si>
  <si>
    <t xml:space="preserve">C-21374   </t>
  </si>
  <si>
    <t xml:space="preserve">C-21375   </t>
  </si>
  <si>
    <t xml:space="preserve">C-21376   </t>
  </si>
  <si>
    <t xml:space="preserve">C-21377   </t>
  </si>
  <si>
    <t xml:space="preserve">C-21378   </t>
  </si>
  <si>
    <t xml:space="preserve">C-21379   </t>
  </si>
  <si>
    <t xml:space="preserve">C-21380   </t>
  </si>
  <si>
    <t xml:space="preserve">C-21381   </t>
  </si>
  <si>
    <t xml:space="preserve">C-21382   </t>
  </si>
  <si>
    <t xml:space="preserve">C-21383   </t>
  </si>
  <si>
    <t xml:space="preserve">C-21384   </t>
  </si>
  <si>
    <t xml:space="preserve">C-21385   </t>
  </si>
  <si>
    <t xml:space="preserve">C-21386   </t>
  </si>
  <si>
    <t xml:space="preserve">C-21387   </t>
  </si>
  <si>
    <t xml:space="preserve">C-21388   </t>
  </si>
  <si>
    <t xml:space="preserve">C-21389   </t>
  </si>
  <si>
    <t xml:space="preserve"> 13/01/2017 </t>
  </si>
  <si>
    <t xml:space="preserve">C-21390   </t>
  </si>
  <si>
    <t xml:space="preserve">C-21391   </t>
  </si>
  <si>
    <t xml:space="preserve">C-21392   </t>
  </si>
  <si>
    <t xml:space="preserve">C-21393   </t>
  </si>
  <si>
    <t xml:space="preserve">C-21394   </t>
  </si>
  <si>
    <t xml:space="preserve">C-21395   </t>
  </si>
  <si>
    <t xml:space="preserve">C-21396   </t>
  </si>
  <si>
    <t xml:space="preserve">C-21397   </t>
  </si>
  <si>
    <t xml:space="preserve">C-21398   </t>
  </si>
  <si>
    <t xml:space="preserve">C-21399   </t>
  </si>
  <si>
    <t xml:space="preserve">C-21400   </t>
  </si>
  <si>
    <t xml:space="preserve">(646)SANTIAGO HERRADURA                                                    </t>
  </si>
  <si>
    <t xml:space="preserve">C-21401   </t>
  </si>
  <si>
    <t xml:space="preserve">C-21402   </t>
  </si>
  <si>
    <t xml:space="preserve">C-21403   </t>
  </si>
  <si>
    <t xml:space="preserve">C-21404   </t>
  </si>
  <si>
    <t xml:space="preserve">C-21405   </t>
  </si>
  <si>
    <t>10/01/2017 11/01/2017</t>
  </si>
  <si>
    <t xml:space="preserve">C-21406   </t>
  </si>
  <si>
    <t xml:space="preserve">C-21407   </t>
  </si>
  <si>
    <t xml:space="preserve">C-21408   </t>
  </si>
  <si>
    <t xml:space="preserve">C-21409   </t>
  </si>
  <si>
    <t xml:space="preserve">C-21410   </t>
  </si>
  <si>
    <t xml:space="preserve">C-21411   </t>
  </si>
  <si>
    <t xml:space="preserve">C-21412   </t>
  </si>
  <si>
    <t xml:space="preserve">C-21413   </t>
  </si>
  <si>
    <t xml:space="preserve">C-21414   </t>
  </si>
  <si>
    <t xml:space="preserve">C-21415   </t>
  </si>
  <si>
    <t xml:space="preserve">C-21416   </t>
  </si>
  <si>
    <t xml:space="preserve">C-21417   </t>
  </si>
  <si>
    <t xml:space="preserve">(534)VISCERAS MIKE                                                         </t>
  </si>
  <si>
    <t xml:space="preserve">C-21418   </t>
  </si>
  <si>
    <t>12/01/2017 14/01/2017</t>
  </si>
  <si>
    <t xml:space="preserve">C-21419   </t>
  </si>
  <si>
    <t xml:space="preserve">C-21420   </t>
  </si>
  <si>
    <t xml:space="preserve">C-21421   </t>
  </si>
  <si>
    <t xml:space="preserve">C-21422   </t>
  </si>
  <si>
    <t xml:space="preserve">C-21423   </t>
  </si>
  <si>
    <t xml:space="preserve">C-21424   </t>
  </si>
  <si>
    <t xml:space="preserve">(206)SAN BARTOLO                                                           </t>
  </si>
  <si>
    <t xml:space="preserve">C-21425   </t>
  </si>
  <si>
    <t xml:space="preserve">C-21426   </t>
  </si>
  <si>
    <t xml:space="preserve">C-21427   </t>
  </si>
  <si>
    <t xml:space="preserve">C-21428   </t>
  </si>
  <si>
    <t xml:space="preserve">C-21429   </t>
  </si>
  <si>
    <t xml:space="preserve">C-21430   </t>
  </si>
  <si>
    <t xml:space="preserve">C-21431   </t>
  </si>
  <si>
    <t xml:space="preserve">C-21432   </t>
  </si>
  <si>
    <t xml:space="preserve">C-21433   </t>
  </si>
  <si>
    <t xml:space="preserve">C-21434   </t>
  </si>
  <si>
    <t xml:space="preserve">C-21435   </t>
  </si>
  <si>
    <t xml:space="preserve">C-21436   </t>
  </si>
  <si>
    <t xml:space="preserve">C-21437   </t>
  </si>
  <si>
    <t xml:space="preserve">C-21438   </t>
  </si>
  <si>
    <t xml:space="preserve">C-21439   </t>
  </si>
  <si>
    <t xml:space="preserve">C-21440   </t>
  </si>
  <si>
    <t xml:space="preserve">C-21441   </t>
  </si>
  <si>
    <t xml:space="preserve">C-21442   </t>
  </si>
  <si>
    <t xml:space="preserve">C-21443   </t>
  </si>
  <si>
    <t xml:space="preserve">C-21444   </t>
  </si>
  <si>
    <t xml:space="preserve">C-21445   </t>
  </si>
  <si>
    <t xml:space="preserve">C-21446   </t>
  </si>
  <si>
    <t xml:space="preserve">C-21447   </t>
  </si>
  <si>
    <t xml:space="preserve">C-21448   </t>
  </si>
  <si>
    <t xml:space="preserve">C-21449   </t>
  </si>
  <si>
    <t xml:space="preserve">(182)JAVIER 24                                                             </t>
  </si>
  <si>
    <t xml:space="preserve">C-21450   </t>
  </si>
  <si>
    <t xml:space="preserve">C-21451   </t>
  </si>
  <si>
    <t xml:space="preserve">C-21452   </t>
  </si>
  <si>
    <t xml:space="preserve">C-21453   </t>
  </si>
  <si>
    <t>09/01/2017 11/01/2017</t>
  </si>
  <si>
    <t xml:space="preserve">C-21454   </t>
  </si>
  <si>
    <t xml:space="preserve">C-21455   </t>
  </si>
  <si>
    <t xml:space="preserve">C-21456   </t>
  </si>
  <si>
    <t xml:space="preserve">C-21457   </t>
  </si>
  <si>
    <t xml:space="preserve">(257)ALFONSO RUIZ                                                          </t>
  </si>
  <si>
    <t xml:space="preserve">C-21458   </t>
  </si>
  <si>
    <t xml:space="preserve">C-21459   </t>
  </si>
  <si>
    <t xml:space="preserve">C-21460   </t>
  </si>
  <si>
    <t xml:space="preserve">C-21461   </t>
  </si>
  <si>
    <t xml:space="preserve">C-21462   </t>
  </si>
  <si>
    <t xml:space="preserve">C-21463   </t>
  </si>
  <si>
    <t xml:space="preserve">C-21464   </t>
  </si>
  <si>
    <t xml:space="preserve">C-21465   </t>
  </si>
  <si>
    <t xml:space="preserve">C-21466   </t>
  </si>
  <si>
    <t xml:space="preserve">C-21467   </t>
  </si>
  <si>
    <t xml:space="preserve">C-21468   </t>
  </si>
  <si>
    <t xml:space="preserve"> 24/03/2017</t>
  </si>
  <si>
    <t xml:space="preserve">C-21469   </t>
  </si>
  <si>
    <t xml:space="preserve">C-21470   </t>
  </si>
  <si>
    <t xml:space="preserve">(639)LUIS PEREZ LEDO                                                       </t>
  </si>
  <si>
    <t xml:space="preserve">C-21471   </t>
  </si>
  <si>
    <t xml:space="preserve">C-21472   </t>
  </si>
  <si>
    <t xml:space="preserve">C-21473   </t>
  </si>
  <si>
    <t xml:space="preserve">C-21474   </t>
  </si>
  <si>
    <t xml:space="preserve">C-21475   </t>
  </si>
  <si>
    <t xml:space="preserve">C-21476   </t>
  </si>
  <si>
    <t xml:space="preserve">C-21477   </t>
  </si>
  <si>
    <t xml:space="preserve">C-21478   </t>
  </si>
  <si>
    <t xml:space="preserve">C-21479   </t>
  </si>
  <si>
    <t xml:space="preserve">C-21480   </t>
  </si>
  <si>
    <t xml:space="preserve">C-21481   </t>
  </si>
  <si>
    <t xml:space="preserve">C-21482   </t>
  </si>
  <si>
    <t xml:space="preserve">C-21483   </t>
  </si>
  <si>
    <t xml:space="preserve">C-21484   </t>
  </si>
  <si>
    <t xml:space="preserve"> 08/03/2017</t>
  </si>
  <si>
    <t xml:space="preserve">C-21485   </t>
  </si>
  <si>
    <t xml:space="preserve">C-21486   </t>
  </si>
  <si>
    <t xml:space="preserve">C-21487   </t>
  </si>
  <si>
    <t xml:space="preserve">(521)JOSE HERNANDEZ                                                        </t>
  </si>
  <si>
    <t xml:space="preserve">C-21488   </t>
  </si>
  <si>
    <t xml:space="preserve">C-21489   </t>
  </si>
  <si>
    <t xml:space="preserve">(293)JUDITH URBY                                                           </t>
  </si>
  <si>
    <t xml:space="preserve">C-21490   </t>
  </si>
  <si>
    <t xml:space="preserve">C-21491   </t>
  </si>
  <si>
    <t xml:space="preserve">(261)PIZZAS LALO                                                           </t>
  </si>
  <si>
    <t xml:space="preserve">C-21492   </t>
  </si>
  <si>
    <t xml:space="preserve">C-21493   </t>
  </si>
  <si>
    <t xml:space="preserve">C-21494   </t>
  </si>
  <si>
    <t xml:space="preserve">C-21495   </t>
  </si>
  <si>
    <t xml:space="preserve">C-21496   </t>
  </si>
  <si>
    <t xml:space="preserve">C-21497   </t>
  </si>
  <si>
    <t xml:space="preserve"> 31/01/2017</t>
  </si>
  <si>
    <t xml:space="preserve">C-21498   </t>
  </si>
  <si>
    <t xml:space="preserve">C-21499   </t>
  </si>
  <si>
    <t xml:space="preserve">C-21500   </t>
  </si>
  <si>
    <t xml:space="preserve">C-21501   </t>
  </si>
  <si>
    <t xml:space="preserve">C-21502   </t>
  </si>
  <si>
    <t xml:space="preserve">C-21503   </t>
  </si>
  <si>
    <t>15/01/2017  20/01/2017</t>
  </si>
  <si>
    <t xml:space="preserve">C-21504   </t>
  </si>
  <si>
    <t xml:space="preserve">C-21505   </t>
  </si>
  <si>
    <t xml:space="preserve">C-21506   </t>
  </si>
  <si>
    <t xml:space="preserve">C-21507   </t>
  </si>
  <si>
    <t xml:space="preserve">C-21508   </t>
  </si>
  <si>
    <t xml:space="preserve">C-21509   </t>
  </si>
  <si>
    <t xml:space="preserve">C-21510   </t>
  </si>
  <si>
    <t xml:space="preserve">C-21511   </t>
  </si>
  <si>
    <t xml:space="preserve">C-21512   </t>
  </si>
  <si>
    <t xml:space="preserve">C-21513   </t>
  </si>
  <si>
    <t xml:space="preserve">C-21514   </t>
  </si>
  <si>
    <t xml:space="preserve">C-21515   </t>
  </si>
  <si>
    <t xml:space="preserve">C-21516   </t>
  </si>
  <si>
    <t xml:space="preserve">C-21517   </t>
  </si>
  <si>
    <t xml:space="preserve">C-21518   </t>
  </si>
  <si>
    <t xml:space="preserve">C-21519   </t>
  </si>
  <si>
    <t xml:space="preserve">(163)PEDRO JESUS VERA  MOLINA    VER.                                      </t>
  </si>
  <si>
    <t xml:space="preserve">C-21520   </t>
  </si>
  <si>
    <t xml:space="preserve">(165)CAFERRA                                                               </t>
  </si>
  <si>
    <t xml:space="preserve">C-21521   </t>
  </si>
  <si>
    <t xml:space="preserve">C-21522   </t>
  </si>
  <si>
    <t xml:space="preserve">C-21523   </t>
  </si>
  <si>
    <t xml:space="preserve">C-21524   </t>
  </si>
  <si>
    <t xml:space="preserve">C-21525   </t>
  </si>
  <si>
    <t xml:space="preserve">C-21526   </t>
  </si>
  <si>
    <t xml:space="preserve">C-21527   </t>
  </si>
  <si>
    <t xml:space="preserve">C-21528   </t>
  </si>
  <si>
    <t xml:space="preserve">C-21529   </t>
  </si>
  <si>
    <t xml:space="preserve">(288)FABIAN XOCHIHUA                                                       </t>
  </si>
  <si>
    <t xml:space="preserve">C-21530   </t>
  </si>
  <si>
    <t xml:space="preserve">C-21531   </t>
  </si>
  <si>
    <t xml:space="preserve">C-21532   </t>
  </si>
  <si>
    <t xml:space="preserve">C-21533   </t>
  </si>
  <si>
    <t xml:space="preserve">C-21534   </t>
  </si>
  <si>
    <t xml:space="preserve">C-21535   </t>
  </si>
  <si>
    <t xml:space="preserve">C-21536   </t>
  </si>
  <si>
    <t xml:space="preserve">C-21537   </t>
  </si>
  <si>
    <t xml:space="preserve">C-21538   </t>
  </si>
  <si>
    <t xml:space="preserve">C-21539   </t>
  </si>
  <si>
    <t xml:space="preserve">C-21540   </t>
  </si>
  <si>
    <t xml:space="preserve">C-21541   </t>
  </si>
  <si>
    <t>13/01/2017 14/01/2017</t>
  </si>
  <si>
    <t xml:space="preserve">C-21542   </t>
  </si>
  <si>
    <t xml:space="preserve">C-21543   </t>
  </si>
  <si>
    <t xml:space="preserve">C-21544   </t>
  </si>
  <si>
    <t xml:space="preserve">C-21545   </t>
  </si>
  <si>
    <t xml:space="preserve">C-21546   </t>
  </si>
  <si>
    <t xml:space="preserve">C-21547   </t>
  </si>
  <si>
    <t xml:space="preserve">C-21548   </t>
  </si>
  <si>
    <t xml:space="preserve">C-21549   </t>
  </si>
  <si>
    <t xml:space="preserve">C-21550   </t>
  </si>
  <si>
    <t xml:space="preserve">C-21551   </t>
  </si>
  <si>
    <t xml:space="preserve">C-21552   </t>
  </si>
  <si>
    <t xml:space="preserve">C-21553   </t>
  </si>
  <si>
    <t xml:space="preserve">C-21554   </t>
  </si>
  <si>
    <t xml:space="preserve">C-21555   </t>
  </si>
  <si>
    <t xml:space="preserve">C-21556   </t>
  </si>
  <si>
    <t xml:space="preserve">C-21557   </t>
  </si>
  <si>
    <t xml:space="preserve">C-21558   </t>
  </si>
  <si>
    <t>21/01/2017 23/01/2017</t>
  </si>
  <si>
    <t xml:space="preserve">C-21559   </t>
  </si>
  <si>
    <t xml:space="preserve">C-21560   </t>
  </si>
  <si>
    <t xml:space="preserve">C-21561   </t>
  </si>
  <si>
    <t xml:space="preserve">C-21562   </t>
  </si>
  <si>
    <t xml:space="preserve">C-21563   </t>
  </si>
  <si>
    <t xml:space="preserve">C-21564   </t>
  </si>
  <si>
    <t xml:space="preserve">C-21565   </t>
  </si>
  <si>
    <t xml:space="preserve">C-21566   </t>
  </si>
  <si>
    <t xml:space="preserve">C-21567   </t>
  </si>
  <si>
    <t xml:space="preserve">C-21568   </t>
  </si>
  <si>
    <t xml:space="preserve">C-21569   </t>
  </si>
  <si>
    <t xml:space="preserve">C-21570   </t>
  </si>
  <si>
    <t xml:space="preserve">C-21571   </t>
  </si>
  <si>
    <t xml:space="preserve">C-21572   </t>
  </si>
  <si>
    <t xml:space="preserve">C-21573   </t>
  </si>
  <si>
    <t xml:space="preserve">(289)JORGE                                                                 </t>
  </si>
  <si>
    <t xml:space="preserve">C-21574   </t>
  </si>
  <si>
    <t xml:space="preserve">C-21575   </t>
  </si>
  <si>
    <t xml:space="preserve">(673)ADRIANA JUAREZ NERY                                                   </t>
  </si>
  <si>
    <t xml:space="preserve">C-21576   </t>
  </si>
  <si>
    <t xml:space="preserve">C-21577   </t>
  </si>
  <si>
    <t xml:space="preserve">C-21578   </t>
  </si>
  <si>
    <t xml:space="preserve">C-21579   </t>
  </si>
  <si>
    <t xml:space="preserve">C-21580   </t>
  </si>
  <si>
    <t xml:space="preserve">C-21581   </t>
  </si>
  <si>
    <t xml:space="preserve">C-21582   </t>
  </si>
  <si>
    <t xml:space="preserve">(255)VALENTIN ARCE                                                         </t>
  </si>
  <si>
    <t xml:space="preserve">C-21583   </t>
  </si>
  <si>
    <t xml:space="preserve">(626)CARNES ALI                                                            </t>
  </si>
  <si>
    <t xml:space="preserve">C-21584   </t>
  </si>
  <si>
    <t xml:space="preserve">C-21585   </t>
  </si>
  <si>
    <t xml:space="preserve">C-21586   </t>
  </si>
  <si>
    <t xml:space="preserve">C-21587   </t>
  </si>
  <si>
    <t xml:space="preserve">C-21588   </t>
  </si>
  <si>
    <t xml:space="preserve">C-21589   </t>
  </si>
  <si>
    <t xml:space="preserve">C-21590   </t>
  </si>
  <si>
    <t xml:space="preserve">C-21591   </t>
  </si>
  <si>
    <t xml:space="preserve">C-21592   </t>
  </si>
  <si>
    <t xml:space="preserve">C-21593   </t>
  </si>
  <si>
    <t xml:space="preserve">C-21594   </t>
  </si>
  <si>
    <t xml:space="preserve">C-21595   </t>
  </si>
  <si>
    <t xml:space="preserve">C-21596   </t>
  </si>
  <si>
    <t xml:space="preserve">C-21597   </t>
  </si>
  <si>
    <t xml:space="preserve">C-21598   </t>
  </si>
  <si>
    <t xml:space="preserve">C-21599   </t>
  </si>
  <si>
    <t xml:space="preserve">C-21600   </t>
  </si>
  <si>
    <t xml:space="preserve">C-21601   </t>
  </si>
  <si>
    <t xml:space="preserve">C-21602   </t>
  </si>
  <si>
    <t xml:space="preserve">C-21603   </t>
  </si>
  <si>
    <t xml:space="preserve">C-21604   </t>
  </si>
  <si>
    <t xml:space="preserve">C-21605   </t>
  </si>
  <si>
    <t xml:space="preserve">C-21606   </t>
  </si>
  <si>
    <t xml:space="preserve">(234)ANTONIO JUAREZ                                                        </t>
  </si>
  <si>
    <t xml:space="preserve">C-21607   </t>
  </si>
  <si>
    <t xml:space="preserve">C-21608   </t>
  </si>
  <si>
    <t xml:space="preserve">C-21609   </t>
  </si>
  <si>
    <t xml:space="preserve">C-21610   </t>
  </si>
  <si>
    <t xml:space="preserve">C-21611   </t>
  </si>
  <si>
    <t xml:space="preserve">(675)LA FOGATA                                                             </t>
  </si>
  <si>
    <t xml:space="preserve">C-21612   </t>
  </si>
  <si>
    <t xml:space="preserve">C-21613   </t>
  </si>
  <si>
    <t xml:space="preserve">C-21614   </t>
  </si>
  <si>
    <t xml:space="preserve">C-21615   </t>
  </si>
  <si>
    <t xml:space="preserve">C-21616   </t>
  </si>
  <si>
    <t xml:space="preserve">C-21617   </t>
  </si>
  <si>
    <t xml:space="preserve">(222)ARTURO SANCHEZ                                                        </t>
  </si>
  <si>
    <t xml:space="preserve">C-21618   </t>
  </si>
  <si>
    <t xml:space="preserve">C-21619   </t>
  </si>
  <si>
    <t xml:space="preserve">C-21620   </t>
  </si>
  <si>
    <t xml:space="preserve">(26)EL RINCON DE LOS ANGELES                                              </t>
  </si>
  <si>
    <t xml:space="preserve">C-21621   </t>
  </si>
  <si>
    <t xml:space="preserve">C-21622   </t>
  </si>
  <si>
    <t xml:space="preserve">C-21623   </t>
  </si>
  <si>
    <t xml:space="preserve">C-21624   </t>
  </si>
  <si>
    <t xml:space="preserve">C-21625   </t>
  </si>
  <si>
    <t xml:space="preserve">C-21626   </t>
  </si>
  <si>
    <t xml:space="preserve">C-21627   </t>
  </si>
  <si>
    <t xml:space="preserve">C-21628   </t>
  </si>
  <si>
    <t xml:space="preserve">C-21629   </t>
  </si>
  <si>
    <t xml:space="preserve">C-21630   </t>
  </si>
  <si>
    <t xml:space="preserve">C-21631   </t>
  </si>
  <si>
    <t xml:space="preserve">C-21632   </t>
  </si>
  <si>
    <t xml:space="preserve">C-21633   </t>
  </si>
  <si>
    <t xml:space="preserve">C-21634   </t>
  </si>
  <si>
    <t xml:space="preserve">(547)BALDEMAR GONZALEZ GARRIDO                                             </t>
  </si>
  <si>
    <t xml:space="preserve">C-21635   </t>
  </si>
  <si>
    <t xml:space="preserve">C-21636   </t>
  </si>
  <si>
    <t xml:space="preserve">C-21637   </t>
  </si>
  <si>
    <t xml:space="preserve">C-21638   </t>
  </si>
  <si>
    <t xml:space="preserve">C-21639   </t>
  </si>
  <si>
    <t xml:space="preserve">C-21640   </t>
  </si>
  <si>
    <t xml:space="preserve">C-21641   </t>
  </si>
  <si>
    <t xml:space="preserve">C-21642   </t>
  </si>
  <si>
    <t xml:space="preserve">C-21643   </t>
  </si>
  <si>
    <t xml:space="preserve">(674)LIBORIO ZARATE                                                        </t>
  </si>
  <si>
    <t xml:space="preserve">C-21644   </t>
  </si>
  <si>
    <t xml:space="preserve">C-21645   </t>
  </si>
  <si>
    <t xml:space="preserve">C-21646   </t>
  </si>
  <si>
    <t xml:space="preserve">C-21647   </t>
  </si>
  <si>
    <t xml:space="preserve">C-21648   </t>
  </si>
  <si>
    <t xml:space="preserve">C-21649   </t>
  </si>
  <si>
    <t xml:space="preserve">C-21650   </t>
  </si>
  <si>
    <t xml:space="preserve">C-21651   </t>
  </si>
  <si>
    <t xml:space="preserve">C-21652   </t>
  </si>
  <si>
    <t xml:space="preserve">C-21653   </t>
  </si>
  <si>
    <t>14/01/2017 16/01/2017</t>
  </si>
  <si>
    <t xml:space="preserve">C-21654   </t>
  </si>
  <si>
    <t xml:space="preserve">C-21655   </t>
  </si>
  <si>
    <t xml:space="preserve">C-21656   </t>
  </si>
  <si>
    <t xml:space="preserve">C-21657   </t>
  </si>
  <si>
    <t xml:space="preserve">C-21658   </t>
  </si>
  <si>
    <t xml:space="preserve">C-21659   </t>
  </si>
  <si>
    <t xml:space="preserve">C-21660   </t>
  </si>
  <si>
    <t xml:space="preserve">C-21661   </t>
  </si>
  <si>
    <t xml:space="preserve">C-21662   </t>
  </si>
  <si>
    <t xml:space="preserve">C-21663   </t>
  </si>
  <si>
    <t xml:space="preserve">C-21664   </t>
  </si>
  <si>
    <t xml:space="preserve">C-21665   </t>
  </si>
  <si>
    <t xml:space="preserve">C-21666   </t>
  </si>
  <si>
    <t xml:space="preserve">C-21667   </t>
  </si>
  <si>
    <t xml:space="preserve">C-21668   </t>
  </si>
  <si>
    <t xml:space="preserve">C-21669   </t>
  </si>
  <si>
    <t xml:space="preserve">C-21670   </t>
  </si>
  <si>
    <t xml:space="preserve">C-21671   </t>
  </si>
  <si>
    <t xml:space="preserve">C-21672   </t>
  </si>
  <si>
    <t xml:space="preserve">C-21673   </t>
  </si>
  <si>
    <t xml:space="preserve">C-21674   </t>
  </si>
  <si>
    <t xml:space="preserve">C-21675   </t>
  </si>
  <si>
    <t xml:space="preserve">C-21676   </t>
  </si>
  <si>
    <t xml:space="preserve">C-21677   </t>
  </si>
  <si>
    <t xml:space="preserve">C-21678   </t>
  </si>
  <si>
    <t xml:space="preserve">C-21679   </t>
  </si>
  <si>
    <t xml:space="preserve">C-21680   </t>
  </si>
  <si>
    <t xml:space="preserve">C-21681   </t>
  </si>
  <si>
    <t xml:space="preserve">C-21682   </t>
  </si>
  <si>
    <t xml:space="preserve">C-21683   </t>
  </si>
  <si>
    <t xml:space="preserve">C-21684   </t>
  </si>
  <si>
    <t xml:space="preserve">C-21685   </t>
  </si>
  <si>
    <t xml:space="preserve">C-21686   </t>
  </si>
  <si>
    <t xml:space="preserve">(92)BEATRIZ LUNA                                                          </t>
  </si>
  <si>
    <t xml:space="preserve">C-21687   </t>
  </si>
  <si>
    <t xml:space="preserve">C-21688   </t>
  </si>
  <si>
    <t xml:space="preserve">C-21689   </t>
  </si>
  <si>
    <t xml:space="preserve">C-21690   </t>
  </si>
  <si>
    <t xml:space="preserve">C-21691   </t>
  </si>
  <si>
    <t xml:space="preserve">C-21692   </t>
  </si>
  <si>
    <t xml:space="preserve">C-21693   </t>
  </si>
  <si>
    <t xml:space="preserve">C-21694   </t>
  </si>
  <si>
    <t xml:space="preserve">C-21695   </t>
  </si>
  <si>
    <t xml:space="preserve">C-21696   </t>
  </si>
  <si>
    <t xml:space="preserve"> 26/01/2017</t>
  </si>
  <si>
    <t xml:space="preserve">C-21697   </t>
  </si>
  <si>
    <t xml:space="preserve">C-21698   </t>
  </si>
  <si>
    <t xml:space="preserve">C-21699   </t>
  </si>
  <si>
    <t xml:space="preserve">C-21700   </t>
  </si>
  <si>
    <t xml:space="preserve">C-21701   </t>
  </si>
  <si>
    <t xml:space="preserve">C-21702   </t>
  </si>
  <si>
    <t xml:space="preserve">C-21703   </t>
  </si>
  <si>
    <t xml:space="preserve">C-21704   </t>
  </si>
  <si>
    <t xml:space="preserve">C-21705   </t>
  </si>
  <si>
    <t xml:space="preserve">C-21706   </t>
  </si>
  <si>
    <t xml:space="preserve">C-21707   </t>
  </si>
  <si>
    <t xml:space="preserve">C-21708   </t>
  </si>
  <si>
    <t xml:space="preserve">C-21709   </t>
  </si>
  <si>
    <t xml:space="preserve">C-21710   </t>
  </si>
  <si>
    <t xml:space="preserve">C-21711   </t>
  </si>
  <si>
    <t xml:space="preserve">C-21712   </t>
  </si>
  <si>
    <t xml:space="preserve">(220)ANGEL RIOS                                                            </t>
  </si>
  <si>
    <t xml:space="preserve">C-21713   </t>
  </si>
  <si>
    <t xml:space="preserve">C-21714   </t>
  </si>
  <si>
    <t xml:space="preserve">C-21715   </t>
  </si>
  <si>
    <t xml:space="preserve">C-21716   </t>
  </si>
  <si>
    <t xml:space="preserve">C-21717   </t>
  </si>
  <si>
    <t xml:space="preserve">C-21718   </t>
  </si>
  <si>
    <t xml:space="preserve">C-21719   </t>
  </si>
  <si>
    <t xml:space="preserve">C-21720   </t>
  </si>
  <si>
    <t xml:space="preserve">C-21721   </t>
  </si>
  <si>
    <t xml:space="preserve">C-21722   </t>
  </si>
  <si>
    <t xml:space="preserve">C-21723   </t>
  </si>
  <si>
    <t xml:space="preserve">C-21724   </t>
  </si>
  <si>
    <t xml:space="preserve">(34)HILDA LUNA                                                            </t>
  </si>
  <si>
    <t xml:space="preserve">C-21725   </t>
  </si>
  <si>
    <t xml:space="preserve">C-21726   </t>
  </si>
  <si>
    <t xml:space="preserve">C-21727   </t>
  </si>
  <si>
    <t xml:space="preserve">C-21728   </t>
  </si>
  <si>
    <t xml:space="preserve">C-21729   </t>
  </si>
  <si>
    <t xml:space="preserve">C-21730   </t>
  </si>
  <si>
    <t xml:space="preserve">C-21731   </t>
  </si>
  <si>
    <t xml:space="preserve"> 08/02/2017</t>
  </si>
  <si>
    <t xml:space="preserve">C-21732   </t>
  </si>
  <si>
    <t xml:space="preserve">C-21733   </t>
  </si>
  <si>
    <t xml:space="preserve">C-21734   </t>
  </si>
  <si>
    <t xml:space="preserve">C-21735   </t>
  </si>
  <si>
    <t xml:space="preserve">C-21736   </t>
  </si>
  <si>
    <t xml:space="preserve">C-21737   </t>
  </si>
  <si>
    <t xml:space="preserve">C-21738   </t>
  </si>
  <si>
    <t xml:space="preserve">C-21739   </t>
  </si>
  <si>
    <t xml:space="preserve">C-21740   </t>
  </si>
  <si>
    <t xml:space="preserve">C-21741   </t>
  </si>
  <si>
    <t xml:space="preserve">(207)ALFREDO MEDINA TEHUACAN                                               </t>
  </si>
  <si>
    <t xml:space="preserve">C-21742   </t>
  </si>
  <si>
    <t xml:space="preserve">C-21743   </t>
  </si>
  <si>
    <t xml:space="preserve">C-21744   </t>
  </si>
  <si>
    <t xml:space="preserve">C-21745   </t>
  </si>
  <si>
    <t xml:space="preserve">C-21746   </t>
  </si>
  <si>
    <t xml:space="preserve">C-21747   </t>
  </si>
  <si>
    <t xml:space="preserve">C-21748   </t>
  </si>
  <si>
    <t xml:space="preserve">(676)BENJAMIN ALVA                                                         </t>
  </si>
  <si>
    <t xml:space="preserve">C-21749   </t>
  </si>
  <si>
    <t xml:space="preserve">C-21750   </t>
  </si>
  <si>
    <t xml:space="preserve">C-21751   </t>
  </si>
  <si>
    <t xml:space="preserve">C-21752   </t>
  </si>
  <si>
    <t xml:space="preserve">C-21753   </t>
  </si>
  <si>
    <t xml:space="preserve">C-21754   </t>
  </si>
  <si>
    <t xml:space="preserve">C-21755   </t>
  </si>
  <si>
    <t xml:space="preserve">C-21756   </t>
  </si>
  <si>
    <t xml:space="preserve">C-21757   </t>
  </si>
  <si>
    <t xml:space="preserve">C-21758   </t>
  </si>
  <si>
    <t xml:space="preserve">C-21759   </t>
  </si>
  <si>
    <t xml:space="preserve">C-21760   </t>
  </si>
  <si>
    <t xml:space="preserve">C-21761   </t>
  </si>
  <si>
    <t xml:space="preserve">C-21762   </t>
  </si>
  <si>
    <t xml:space="preserve">C-21763   </t>
  </si>
  <si>
    <t xml:space="preserve">C-21764   </t>
  </si>
  <si>
    <t xml:space="preserve">C-21765   </t>
  </si>
  <si>
    <t xml:space="preserve">C-21766   </t>
  </si>
  <si>
    <t xml:space="preserve">C-21767   </t>
  </si>
  <si>
    <t xml:space="preserve">C-21768   </t>
  </si>
  <si>
    <t xml:space="preserve">C-21769   </t>
  </si>
  <si>
    <t xml:space="preserve">C-21770   </t>
  </si>
  <si>
    <t xml:space="preserve">C-21771   </t>
  </si>
  <si>
    <t xml:space="preserve">C-21772   </t>
  </si>
  <si>
    <t xml:space="preserve">C-21773   </t>
  </si>
  <si>
    <t xml:space="preserve">C-21774   </t>
  </si>
  <si>
    <t>16/01/2017 17/01/2017</t>
  </si>
  <si>
    <t xml:space="preserve">C-21775   </t>
  </si>
  <si>
    <t xml:space="preserve">C-21776   </t>
  </si>
  <si>
    <t xml:space="preserve">C-21777   </t>
  </si>
  <si>
    <t xml:space="preserve">C-21778   </t>
  </si>
  <si>
    <t xml:space="preserve">C-21779   </t>
  </si>
  <si>
    <t xml:space="preserve">C-21780   </t>
  </si>
  <si>
    <t xml:space="preserve">C-21781   </t>
  </si>
  <si>
    <t xml:space="preserve">C-21782   </t>
  </si>
  <si>
    <t xml:space="preserve">C-21783   </t>
  </si>
  <si>
    <t xml:space="preserve">C-21784   </t>
  </si>
  <si>
    <t xml:space="preserve">C-21785   </t>
  </si>
  <si>
    <t xml:space="preserve">C-21786   </t>
  </si>
  <si>
    <t xml:space="preserve">C-21787   </t>
  </si>
  <si>
    <t xml:space="preserve">C-21788   </t>
  </si>
  <si>
    <t xml:space="preserve">C-21789   </t>
  </si>
  <si>
    <t xml:space="preserve">C-21790   </t>
  </si>
  <si>
    <t>23/01/2017 31/01/2017</t>
  </si>
  <si>
    <t xml:space="preserve">C-21791   </t>
  </si>
  <si>
    <t xml:space="preserve">C-21792   </t>
  </si>
  <si>
    <t xml:space="preserve">C-21793   </t>
  </si>
  <si>
    <t xml:space="preserve">C-21794   </t>
  </si>
  <si>
    <t xml:space="preserve">C-21795   </t>
  </si>
  <si>
    <t xml:space="preserve">C-21796   </t>
  </si>
  <si>
    <t xml:space="preserve">C-21797   </t>
  </si>
  <si>
    <t xml:space="preserve">C-21798   </t>
  </si>
  <si>
    <t xml:space="preserve">C-21799   </t>
  </si>
  <si>
    <t xml:space="preserve">C-21800   </t>
  </si>
  <si>
    <t xml:space="preserve">C-21801   </t>
  </si>
  <si>
    <t xml:space="preserve">C-21802   </t>
  </si>
  <si>
    <t xml:space="preserve">C-21803   </t>
  </si>
  <si>
    <t xml:space="preserve">C-21804   </t>
  </si>
  <si>
    <t xml:space="preserve">C-21805   </t>
  </si>
  <si>
    <t xml:space="preserve">C-21806   </t>
  </si>
  <si>
    <t xml:space="preserve">C-21807   </t>
  </si>
  <si>
    <t xml:space="preserve">C-21808   </t>
  </si>
  <si>
    <t xml:space="preserve">C-21809   </t>
  </si>
  <si>
    <t xml:space="preserve">C-21810   </t>
  </si>
  <si>
    <t xml:space="preserve">C-21811   </t>
  </si>
  <si>
    <t xml:space="preserve">C-21812   </t>
  </si>
  <si>
    <t xml:space="preserve">C-21813   </t>
  </si>
  <si>
    <t xml:space="preserve">C-21814   </t>
  </si>
  <si>
    <t xml:space="preserve">C-21815   </t>
  </si>
  <si>
    <t xml:space="preserve">C-21816   </t>
  </si>
  <si>
    <t xml:space="preserve">C-21817   </t>
  </si>
  <si>
    <t xml:space="preserve">C-21818   </t>
  </si>
  <si>
    <t xml:space="preserve">C-21819   </t>
  </si>
  <si>
    <t xml:space="preserve">C-21820   </t>
  </si>
  <si>
    <t xml:space="preserve">C-21821   </t>
  </si>
  <si>
    <t xml:space="preserve">C-21822   </t>
  </si>
  <si>
    <t xml:space="preserve">C-21823   </t>
  </si>
  <si>
    <t xml:space="preserve">C-21824   </t>
  </si>
  <si>
    <t xml:space="preserve">C-21825   </t>
  </si>
  <si>
    <t xml:space="preserve">C-21826   </t>
  </si>
  <si>
    <t xml:space="preserve">C-21827   </t>
  </si>
  <si>
    <t xml:space="preserve">C-21828   </t>
  </si>
  <si>
    <t>_</t>
  </si>
  <si>
    <t xml:space="preserve">C-21829   </t>
  </si>
  <si>
    <t xml:space="preserve">C-21830   </t>
  </si>
  <si>
    <t xml:space="preserve">C-21831   </t>
  </si>
  <si>
    <t xml:space="preserve">C-21832   </t>
  </si>
  <si>
    <t xml:space="preserve">C-21833   </t>
  </si>
  <si>
    <t xml:space="preserve">C-21834   </t>
  </si>
  <si>
    <t xml:space="preserve">C-21835   </t>
  </si>
  <si>
    <t xml:space="preserve"> 20/01/2017</t>
  </si>
  <si>
    <t xml:space="preserve">C-21836   </t>
  </si>
  <si>
    <t xml:space="preserve">C-21837   </t>
  </si>
  <si>
    <t xml:space="preserve">C-21838   </t>
  </si>
  <si>
    <t xml:space="preserve">C-21839   </t>
  </si>
  <si>
    <t xml:space="preserve">C-21840   </t>
  </si>
  <si>
    <t xml:space="preserve">C-21841   </t>
  </si>
  <si>
    <t xml:space="preserve">C-21842   </t>
  </si>
  <si>
    <t xml:space="preserve">C-21843   </t>
  </si>
  <si>
    <t xml:space="preserve">C-21844   </t>
  </si>
  <si>
    <t xml:space="preserve">C-21845   </t>
  </si>
  <si>
    <t xml:space="preserve">C-21846   </t>
  </si>
  <si>
    <t xml:space="preserve">C-21847   </t>
  </si>
  <si>
    <t xml:space="preserve">C-21848   </t>
  </si>
  <si>
    <t xml:space="preserve">C-21849   </t>
  </si>
  <si>
    <t xml:space="preserve">C-21850   </t>
  </si>
  <si>
    <t xml:space="preserve">C-21851   </t>
  </si>
  <si>
    <t xml:space="preserve">C-21852   </t>
  </si>
  <si>
    <t xml:space="preserve">C-21853   </t>
  </si>
  <si>
    <t xml:space="preserve">C-21854   </t>
  </si>
  <si>
    <t xml:space="preserve">C-21855   </t>
  </si>
  <si>
    <t xml:space="preserve">C-21856   </t>
  </si>
  <si>
    <t xml:space="preserve">C-21857   </t>
  </si>
  <si>
    <t xml:space="preserve">C-21858   </t>
  </si>
  <si>
    <t xml:space="preserve">C-21859   </t>
  </si>
  <si>
    <t xml:space="preserve">C-21860   </t>
  </si>
  <si>
    <t xml:space="preserve">C-21861   </t>
  </si>
  <si>
    <t xml:space="preserve">C-21862   </t>
  </si>
  <si>
    <t xml:space="preserve">C-21863   </t>
  </si>
  <si>
    <t xml:space="preserve">C-21864   </t>
  </si>
  <si>
    <t xml:space="preserve">C-21865   </t>
  </si>
  <si>
    <t xml:space="preserve">C-21866   </t>
  </si>
  <si>
    <t xml:space="preserve">C-21867   </t>
  </si>
  <si>
    <t xml:space="preserve">C-21868   </t>
  </si>
  <si>
    <t xml:space="preserve">(135)LUIS MANUEL GOMEZ                                                     </t>
  </si>
  <si>
    <t xml:space="preserve">C-21869   </t>
  </si>
  <si>
    <t xml:space="preserve">C-21870   </t>
  </si>
  <si>
    <t xml:space="preserve">C-21871   </t>
  </si>
  <si>
    <t xml:space="preserve">C-21872   </t>
  </si>
  <si>
    <t xml:space="preserve">C-21873   </t>
  </si>
  <si>
    <t xml:space="preserve">C-21874   </t>
  </si>
  <si>
    <t xml:space="preserve">C-21875   </t>
  </si>
  <si>
    <t xml:space="preserve">C-21876   </t>
  </si>
  <si>
    <t>17/01/2017 18/01/2017</t>
  </si>
  <si>
    <t xml:space="preserve">C-21877   </t>
  </si>
  <si>
    <t xml:space="preserve">C-21878   </t>
  </si>
  <si>
    <t xml:space="preserve">C-21879   </t>
  </si>
  <si>
    <t xml:space="preserve">C-21880   </t>
  </si>
  <si>
    <t xml:space="preserve">C-21881   </t>
  </si>
  <si>
    <t xml:space="preserve">C-21882   </t>
  </si>
  <si>
    <t xml:space="preserve">(422)FELIX JUSTO ALARCON (VER)                                             </t>
  </si>
  <si>
    <t xml:space="preserve">C-21883   </t>
  </si>
  <si>
    <t xml:space="preserve">C-21884   </t>
  </si>
  <si>
    <t xml:space="preserve">C-21885   </t>
  </si>
  <si>
    <t xml:space="preserve">C-21886   </t>
  </si>
  <si>
    <t xml:space="preserve">(168)VALERIO VERACRUZ                                                      </t>
  </si>
  <si>
    <t xml:space="preserve">C-21887   </t>
  </si>
  <si>
    <t xml:space="preserve">C-21888   </t>
  </si>
  <si>
    <t xml:space="preserve">C-21889   </t>
  </si>
  <si>
    <t xml:space="preserve">(372)AIDA (VER)                                                            </t>
  </si>
  <si>
    <t xml:space="preserve">C-21890   </t>
  </si>
  <si>
    <t xml:space="preserve">C-21891   </t>
  </si>
  <si>
    <t xml:space="preserve">C-21892   </t>
  </si>
  <si>
    <t xml:space="preserve">C-21893   </t>
  </si>
  <si>
    <t xml:space="preserve">C-21894   </t>
  </si>
  <si>
    <t xml:space="preserve">C-21895   </t>
  </si>
  <si>
    <t xml:space="preserve">C-21896   </t>
  </si>
  <si>
    <t xml:space="preserve">C-21897   </t>
  </si>
  <si>
    <t xml:space="preserve">C-21898   </t>
  </si>
  <si>
    <t xml:space="preserve">C-21899   </t>
  </si>
  <si>
    <t xml:space="preserve">C-21900   </t>
  </si>
  <si>
    <t xml:space="preserve">C-21901   </t>
  </si>
  <si>
    <t xml:space="preserve">C-21902   </t>
  </si>
  <si>
    <t xml:space="preserve">C-21903   </t>
  </si>
  <si>
    <t xml:space="preserve">C-21904   </t>
  </si>
  <si>
    <t xml:space="preserve">(161)ANA  LAURA  ROBLES                                                    </t>
  </si>
  <si>
    <t xml:space="preserve">C-21905   </t>
  </si>
  <si>
    <t xml:space="preserve">C-21906   </t>
  </si>
  <si>
    <t xml:space="preserve">C-21907   </t>
  </si>
  <si>
    <t xml:space="preserve">C-21908   </t>
  </si>
  <si>
    <t xml:space="preserve">C-21909   </t>
  </si>
  <si>
    <t xml:space="preserve">C-21910   </t>
  </si>
  <si>
    <t xml:space="preserve">C-21911   </t>
  </si>
  <si>
    <t xml:space="preserve">C-21912   </t>
  </si>
  <si>
    <t xml:space="preserve">C-21913   </t>
  </si>
  <si>
    <t xml:space="preserve">C-21914   </t>
  </si>
  <si>
    <t xml:space="preserve">C-21915   </t>
  </si>
  <si>
    <t xml:space="preserve">C-21916   </t>
  </si>
  <si>
    <t xml:space="preserve">C-21917   </t>
  </si>
  <si>
    <t xml:space="preserve">C-21918   </t>
  </si>
  <si>
    <t xml:space="preserve">C-21919   </t>
  </si>
  <si>
    <t xml:space="preserve">C-21920   </t>
  </si>
  <si>
    <t xml:space="preserve">C-21921   </t>
  </si>
  <si>
    <t xml:space="preserve"> 17/01/2017 18/01/2017</t>
  </si>
  <si>
    <t xml:space="preserve">C-21922   </t>
  </si>
  <si>
    <t xml:space="preserve">(96)ALMA                                                                  </t>
  </si>
  <si>
    <t xml:space="preserve">C-21923   </t>
  </si>
  <si>
    <t xml:space="preserve">C-21924   </t>
  </si>
  <si>
    <t xml:space="preserve">C-21925   </t>
  </si>
  <si>
    <t xml:space="preserve">C-21926   </t>
  </si>
  <si>
    <t xml:space="preserve">C-21927   </t>
  </si>
  <si>
    <t xml:space="preserve">C-21928   </t>
  </si>
  <si>
    <t xml:space="preserve">C-21929   </t>
  </si>
  <si>
    <t xml:space="preserve">C-21930   </t>
  </si>
  <si>
    <t xml:space="preserve">C-21931   </t>
  </si>
  <si>
    <t xml:space="preserve">C-21932   </t>
  </si>
  <si>
    <t xml:space="preserve">(244)MARIA LUISA                                                           </t>
  </si>
  <si>
    <t xml:space="preserve">C-21933   </t>
  </si>
  <si>
    <t xml:space="preserve">C-21934   </t>
  </si>
  <si>
    <t xml:space="preserve">C-21935   </t>
  </si>
  <si>
    <t xml:space="preserve">C-21936   </t>
  </si>
  <si>
    <t xml:space="preserve">C-21937   </t>
  </si>
  <si>
    <t xml:space="preserve">C-21938   </t>
  </si>
  <si>
    <t xml:space="preserve">C-21939   </t>
  </si>
  <si>
    <t xml:space="preserve">C-21940   </t>
  </si>
  <si>
    <t xml:space="preserve">C-21941   </t>
  </si>
  <si>
    <t xml:space="preserve">C-21942   </t>
  </si>
  <si>
    <t xml:space="preserve">C-21943   </t>
  </si>
  <si>
    <t xml:space="preserve">C-21944   </t>
  </si>
  <si>
    <t xml:space="preserve">C-21945   </t>
  </si>
  <si>
    <t xml:space="preserve">C-21946   </t>
  </si>
  <si>
    <t xml:space="preserve">C-21947   </t>
  </si>
  <si>
    <t xml:space="preserve">C-21948   </t>
  </si>
  <si>
    <t xml:space="preserve">C-21949   </t>
  </si>
  <si>
    <t xml:space="preserve">C-21950   </t>
  </si>
  <si>
    <t xml:space="preserve">C-21951   </t>
  </si>
  <si>
    <t xml:space="preserve">C-21952   </t>
  </si>
  <si>
    <t xml:space="preserve">(589)PACO DIAZ                                                             </t>
  </si>
  <si>
    <t xml:space="preserve">C-21953   </t>
  </si>
  <si>
    <t xml:space="preserve">C-21954   </t>
  </si>
  <si>
    <t xml:space="preserve">C-21955   </t>
  </si>
  <si>
    <t xml:space="preserve">C-21956   </t>
  </si>
  <si>
    <t xml:space="preserve">C-21957   </t>
  </si>
  <si>
    <t xml:space="preserve">C-21958   </t>
  </si>
  <si>
    <t xml:space="preserve">C-21959   </t>
  </si>
  <si>
    <t xml:space="preserve">C-21960   </t>
  </si>
  <si>
    <t xml:space="preserve">C-21961   </t>
  </si>
  <si>
    <t xml:space="preserve">C-21962   </t>
  </si>
  <si>
    <t xml:space="preserve">C-21963   </t>
  </si>
  <si>
    <t xml:space="preserve">C-21964   </t>
  </si>
  <si>
    <t xml:space="preserve">C-21965   </t>
  </si>
  <si>
    <t xml:space="preserve">C-21966   </t>
  </si>
  <si>
    <t xml:space="preserve">C-21967   </t>
  </si>
  <si>
    <t xml:space="preserve">C-21968   </t>
  </si>
  <si>
    <t xml:space="preserve">C-21969   </t>
  </si>
  <si>
    <t xml:space="preserve">C-21970   </t>
  </si>
  <si>
    <t xml:space="preserve">C-21971   </t>
  </si>
  <si>
    <t xml:space="preserve">C-21972   </t>
  </si>
  <si>
    <t xml:space="preserve">C-21973   </t>
  </si>
  <si>
    <t xml:space="preserve">C-21974   </t>
  </si>
  <si>
    <t>13/01/2017 20/01/2017</t>
  </si>
  <si>
    <t xml:space="preserve">C-21975   </t>
  </si>
  <si>
    <t xml:space="preserve">C-21976   </t>
  </si>
  <si>
    <t xml:space="preserve">C-21977   </t>
  </si>
  <si>
    <t xml:space="preserve">C-21978   </t>
  </si>
  <si>
    <t xml:space="preserve">C-21979   </t>
  </si>
  <si>
    <t xml:space="preserve">C-21980   </t>
  </si>
  <si>
    <t xml:space="preserve">C-21981   </t>
  </si>
  <si>
    <t xml:space="preserve">C-21982   </t>
  </si>
  <si>
    <t xml:space="preserve">C-21983   </t>
  </si>
  <si>
    <t xml:space="preserve">C-21984   </t>
  </si>
  <si>
    <t xml:space="preserve">C-21985   </t>
  </si>
  <si>
    <t xml:space="preserve">C-21986   </t>
  </si>
  <si>
    <t xml:space="preserve">C-21987   </t>
  </si>
  <si>
    <t xml:space="preserve">C-21988   </t>
  </si>
  <si>
    <t xml:space="preserve">C-21989   </t>
  </si>
  <si>
    <t xml:space="preserve">C-21990   </t>
  </si>
  <si>
    <t xml:space="preserve">C-21991   </t>
  </si>
  <si>
    <t xml:space="preserve">C-21992   </t>
  </si>
  <si>
    <t xml:space="preserve">C-21993   </t>
  </si>
  <si>
    <t xml:space="preserve">C-21994   </t>
  </si>
  <si>
    <t xml:space="preserve">C-21995   </t>
  </si>
  <si>
    <t xml:space="preserve">C-21996   </t>
  </si>
  <si>
    <t xml:space="preserve">C-21997   </t>
  </si>
  <si>
    <t xml:space="preserve">C-21998   </t>
  </si>
  <si>
    <t xml:space="preserve">C-21999   </t>
  </si>
  <si>
    <t xml:space="preserve">C-22000   </t>
  </si>
  <si>
    <t xml:space="preserve">C-22001   </t>
  </si>
  <si>
    <t xml:space="preserve">C-22002   </t>
  </si>
  <si>
    <t xml:space="preserve">C-22003   </t>
  </si>
  <si>
    <t xml:space="preserve">C-22004   </t>
  </si>
  <si>
    <t xml:space="preserve">C-22005   </t>
  </si>
  <si>
    <t xml:space="preserve">C-22006   </t>
  </si>
  <si>
    <t xml:space="preserve">C-22007   </t>
  </si>
  <si>
    <t xml:space="preserve">C-22008   </t>
  </si>
  <si>
    <t xml:space="preserve">C-22009   </t>
  </si>
  <si>
    <t xml:space="preserve">C-22010   </t>
  </si>
  <si>
    <t xml:space="preserve">C-22011   </t>
  </si>
  <si>
    <t xml:space="preserve">C-22012   </t>
  </si>
  <si>
    <t xml:space="preserve">C-22013   </t>
  </si>
  <si>
    <t xml:space="preserve">C-22014   </t>
  </si>
  <si>
    <t xml:space="preserve">C-22015   </t>
  </si>
  <si>
    <t xml:space="preserve">C-22016   </t>
  </si>
  <si>
    <t xml:space="preserve">C-22017   </t>
  </si>
  <si>
    <t xml:space="preserve">C-22018   </t>
  </si>
  <si>
    <t xml:space="preserve">C-22019   </t>
  </si>
  <si>
    <t xml:space="preserve">C-22020   </t>
  </si>
  <si>
    <t xml:space="preserve">C-22021   </t>
  </si>
  <si>
    <t xml:space="preserve">C-22022   </t>
  </si>
  <si>
    <t xml:space="preserve">C-22023   </t>
  </si>
  <si>
    <t xml:space="preserve">C-22024   </t>
  </si>
  <si>
    <t xml:space="preserve">C-22025   </t>
  </si>
  <si>
    <t xml:space="preserve">C-22026   </t>
  </si>
  <si>
    <t xml:space="preserve">C-22027   </t>
  </si>
  <si>
    <t xml:space="preserve"> </t>
  </si>
  <si>
    <t xml:space="preserve">C-22028   </t>
  </si>
  <si>
    <t xml:space="preserve">C-22029   </t>
  </si>
  <si>
    <t xml:space="preserve">C-22030   </t>
  </si>
  <si>
    <t xml:space="preserve">C-22031   </t>
  </si>
  <si>
    <t xml:space="preserve">C-22032   </t>
  </si>
  <si>
    <t xml:space="preserve">C-22033   </t>
  </si>
  <si>
    <t xml:space="preserve">C-22034   </t>
  </si>
  <si>
    <t xml:space="preserve">C-22035   </t>
  </si>
  <si>
    <t xml:space="preserve">C-22036   </t>
  </si>
  <si>
    <t xml:space="preserve">C-22037   </t>
  </si>
  <si>
    <t xml:space="preserve">C-22038   </t>
  </si>
  <si>
    <t xml:space="preserve">C-22039   </t>
  </si>
  <si>
    <t xml:space="preserve">C-22040   </t>
  </si>
  <si>
    <t xml:space="preserve">C-22041   </t>
  </si>
  <si>
    <t xml:space="preserve">C-22042   </t>
  </si>
  <si>
    <t xml:space="preserve">C-22043   </t>
  </si>
  <si>
    <t xml:space="preserve">C-22044   </t>
  </si>
  <si>
    <t xml:space="preserve">C-22045   </t>
  </si>
  <si>
    <t xml:space="preserve">C-22046   </t>
  </si>
  <si>
    <t xml:space="preserve">C-22047   </t>
  </si>
  <si>
    <t xml:space="preserve">C-22048   </t>
  </si>
  <si>
    <t xml:space="preserve">C-22049   </t>
  </si>
  <si>
    <t xml:space="preserve">C-22050   </t>
  </si>
  <si>
    <t xml:space="preserve">C-22051   </t>
  </si>
  <si>
    <t xml:space="preserve">C-22052   </t>
  </si>
  <si>
    <t xml:space="preserve"> 17/01/2017 23/01/2017</t>
  </si>
  <si>
    <t xml:space="preserve">C-22053   </t>
  </si>
  <si>
    <t xml:space="preserve">C-22054   </t>
  </si>
  <si>
    <t xml:space="preserve">C-22055   </t>
  </si>
  <si>
    <t xml:space="preserve">C-22056   </t>
  </si>
  <si>
    <t xml:space="preserve">C-22057   </t>
  </si>
  <si>
    <t xml:space="preserve">C-22058   </t>
  </si>
  <si>
    <t xml:space="preserve">C-22059   </t>
  </si>
  <si>
    <t xml:space="preserve">C-22060   </t>
  </si>
  <si>
    <t xml:space="preserve">C-22061   </t>
  </si>
  <si>
    <t xml:space="preserve">C-22062   </t>
  </si>
  <si>
    <t xml:space="preserve">C-22063   </t>
  </si>
  <si>
    <t xml:space="preserve">C-22064   </t>
  </si>
  <si>
    <t xml:space="preserve">C-22065   </t>
  </si>
  <si>
    <t xml:space="preserve">C-22066   </t>
  </si>
  <si>
    <t xml:space="preserve">C-22067   </t>
  </si>
  <si>
    <t xml:space="preserve">C-22068   </t>
  </si>
  <si>
    <t xml:space="preserve">(541)EDUARDO PICHARDO                                                      </t>
  </si>
  <si>
    <t>14/01/2017 15/01/2017</t>
  </si>
  <si>
    <t xml:space="preserve">C-22069   </t>
  </si>
  <si>
    <t xml:space="preserve">(216)LA IMPERIAL                                                           </t>
  </si>
  <si>
    <t xml:space="preserve">C-22070   </t>
  </si>
  <si>
    <t xml:space="preserve">C-22071   </t>
  </si>
  <si>
    <t xml:space="preserve">C-22072   </t>
  </si>
  <si>
    <t xml:space="preserve">C-22073   </t>
  </si>
  <si>
    <t xml:space="preserve">C-22074   </t>
  </si>
  <si>
    <t xml:space="preserve">C-22075   </t>
  </si>
  <si>
    <t xml:space="preserve">C-22076   </t>
  </si>
  <si>
    <t xml:space="preserve">(588)CARNES DIAZ                                                           </t>
  </si>
  <si>
    <t xml:space="preserve">C-22077   </t>
  </si>
  <si>
    <t xml:space="preserve">C-22078   </t>
  </si>
  <si>
    <t xml:space="preserve">C-22079   </t>
  </si>
  <si>
    <t xml:space="preserve">C-22080   </t>
  </si>
  <si>
    <t xml:space="preserve">C-22081   </t>
  </si>
  <si>
    <t xml:space="preserve">C-22082   </t>
  </si>
  <si>
    <t xml:space="preserve">C-22083   </t>
  </si>
  <si>
    <t xml:space="preserve">C-22084   </t>
  </si>
  <si>
    <t xml:space="preserve">(677)MAX                                                                   </t>
  </si>
  <si>
    <t xml:space="preserve">C-22085   </t>
  </si>
  <si>
    <t xml:space="preserve">C-22086   </t>
  </si>
  <si>
    <t xml:space="preserve">C-22087   </t>
  </si>
  <si>
    <t xml:space="preserve">C-22088   </t>
  </si>
  <si>
    <t xml:space="preserve">C-22089   </t>
  </si>
  <si>
    <t xml:space="preserve">C-22090   </t>
  </si>
  <si>
    <t>26/01/2017 01/02/2017</t>
  </si>
  <si>
    <t xml:space="preserve">C-22091   </t>
  </si>
  <si>
    <t xml:space="preserve">C-22092   </t>
  </si>
  <si>
    <t xml:space="preserve">C-22093   </t>
  </si>
  <si>
    <t xml:space="preserve">C-22094   </t>
  </si>
  <si>
    <t xml:space="preserve">C-22095   </t>
  </si>
  <si>
    <t xml:space="preserve">C-22096   </t>
  </si>
  <si>
    <t xml:space="preserve">C-22097   </t>
  </si>
  <si>
    <t xml:space="preserve">C-22098   </t>
  </si>
  <si>
    <t xml:space="preserve">C-22099   </t>
  </si>
  <si>
    <t xml:space="preserve">C-22100   </t>
  </si>
  <si>
    <t xml:space="preserve">C-22101   </t>
  </si>
  <si>
    <t xml:space="preserve">C-22102   </t>
  </si>
  <si>
    <t>18/01/2017 19/01/2017</t>
  </si>
  <si>
    <t xml:space="preserve">C-22103   </t>
  </si>
  <si>
    <t xml:space="preserve">C-22104   </t>
  </si>
  <si>
    <t xml:space="preserve">C-22105   </t>
  </si>
  <si>
    <t xml:space="preserve">(99)JAVIER APIZACO                                                        </t>
  </si>
  <si>
    <t xml:space="preserve">C-22106   </t>
  </si>
  <si>
    <t xml:space="preserve">C-22107   </t>
  </si>
  <si>
    <t xml:space="preserve">C-22108   </t>
  </si>
  <si>
    <t xml:space="preserve">C-22109   </t>
  </si>
  <si>
    <t xml:space="preserve">C-22110   </t>
  </si>
  <si>
    <t xml:space="preserve">C-22111   </t>
  </si>
  <si>
    <t xml:space="preserve">C-22112   </t>
  </si>
  <si>
    <t xml:space="preserve">C-22113   </t>
  </si>
  <si>
    <t xml:space="preserve">C-22114   </t>
  </si>
  <si>
    <t xml:space="preserve">C-22115   </t>
  </si>
  <si>
    <t xml:space="preserve">C-22116   </t>
  </si>
  <si>
    <t xml:space="preserve">C-22117   </t>
  </si>
  <si>
    <t xml:space="preserve">C-22118   </t>
  </si>
  <si>
    <t xml:space="preserve">C-22119   </t>
  </si>
  <si>
    <t xml:space="preserve">C-22120   </t>
  </si>
  <si>
    <t xml:space="preserve">C-22121   </t>
  </si>
  <si>
    <t xml:space="preserve">C-22122   </t>
  </si>
  <si>
    <t xml:space="preserve">C-22123   </t>
  </si>
  <si>
    <t xml:space="preserve">C-22124   </t>
  </si>
  <si>
    <t xml:space="preserve">C-22125   </t>
  </si>
  <si>
    <t xml:space="preserve">C-22126   </t>
  </si>
  <si>
    <t xml:space="preserve">C-22127   </t>
  </si>
  <si>
    <t xml:space="preserve">C-22128   </t>
  </si>
  <si>
    <t xml:space="preserve">C-22129   </t>
  </si>
  <si>
    <t xml:space="preserve">C-22130   </t>
  </si>
  <si>
    <t xml:space="preserve">C-22131   </t>
  </si>
  <si>
    <t xml:space="preserve">C-22132   </t>
  </si>
  <si>
    <t xml:space="preserve">C-22133   </t>
  </si>
  <si>
    <t xml:space="preserve">C-22134   </t>
  </si>
  <si>
    <t xml:space="preserve">C-22135   </t>
  </si>
  <si>
    <t xml:space="preserve">C-22136   </t>
  </si>
  <si>
    <t xml:space="preserve">C-22137   </t>
  </si>
  <si>
    <t xml:space="preserve">C-22138   </t>
  </si>
  <si>
    <t xml:space="preserve">C-22139   </t>
  </si>
  <si>
    <t xml:space="preserve">C-22140   </t>
  </si>
  <si>
    <t xml:space="preserve">C-22141   </t>
  </si>
  <si>
    <t xml:space="preserve">C-22142   </t>
  </si>
  <si>
    <t xml:space="preserve">C-22143   </t>
  </si>
  <si>
    <t xml:space="preserve">C-22144   </t>
  </si>
  <si>
    <t xml:space="preserve">(174)RAMON RUIZ                                                            </t>
  </si>
  <si>
    <t xml:space="preserve">C-22145   </t>
  </si>
  <si>
    <t xml:space="preserve">C-22146   </t>
  </si>
  <si>
    <t xml:space="preserve">C-22147   </t>
  </si>
  <si>
    <t xml:space="preserve">C-22148   </t>
  </si>
  <si>
    <t xml:space="preserve">C-22149   </t>
  </si>
  <si>
    <t xml:space="preserve">C-22150   </t>
  </si>
  <si>
    <t xml:space="preserve">C-22151   </t>
  </si>
  <si>
    <t xml:space="preserve">C-22152   </t>
  </si>
  <si>
    <t xml:space="preserve">C-22153   </t>
  </si>
  <si>
    <t xml:space="preserve">C-22154   </t>
  </si>
  <si>
    <t xml:space="preserve">C-22155   </t>
  </si>
  <si>
    <t xml:space="preserve">C-22156   </t>
  </si>
  <si>
    <t xml:space="preserve">C-22157   </t>
  </si>
  <si>
    <t xml:space="preserve">C-22158   </t>
  </si>
  <si>
    <t xml:space="preserve">C-22159   </t>
  </si>
  <si>
    <t xml:space="preserve">C-22160   </t>
  </si>
  <si>
    <t xml:space="preserve">C-22161   </t>
  </si>
  <si>
    <t xml:space="preserve">C-22162   </t>
  </si>
  <si>
    <t xml:space="preserve"> 01/02/2017</t>
  </si>
  <si>
    <t xml:space="preserve">C-22163   </t>
  </si>
  <si>
    <t xml:space="preserve">C-22164   </t>
  </si>
  <si>
    <t xml:space="preserve">C-22165   </t>
  </si>
  <si>
    <t xml:space="preserve">C-22166   </t>
  </si>
  <si>
    <t xml:space="preserve">C-22167   </t>
  </si>
  <si>
    <t xml:space="preserve">C-22168   </t>
  </si>
  <si>
    <t xml:space="preserve">C-22169   </t>
  </si>
  <si>
    <t xml:space="preserve">C-22170   </t>
  </si>
  <si>
    <t xml:space="preserve">C-22171   </t>
  </si>
  <si>
    <t xml:space="preserve">C-22172   </t>
  </si>
  <si>
    <t xml:space="preserve">C-22173   </t>
  </si>
  <si>
    <t xml:space="preserve">C-22174   </t>
  </si>
  <si>
    <t xml:space="preserve">C-22175   </t>
  </si>
  <si>
    <t xml:space="preserve">C-22176   </t>
  </si>
  <si>
    <t xml:space="preserve">C-22177   </t>
  </si>
  <si>
    <t xml:space="preserve">C-22178   </t>
  </si>
  <si>
    <t xml:space="preserve">C-22179   </t>
  </si>
  <si>
    <t xml:space="preserve">C-22180   </t>
  </si>
  <si>
    <t xml:space="preserve">C-22181   </t>
  </si>
  <si>
    <t xml:space="preserve">C-22182   </t>
  </si>
  <si>
    <t xml:space="preserve">C-22183   </t>
  </si>
  <si>
    <t xml:space="preserve">C-22184   </t>
  </si>
  <si>
    <t xml:space="preserve">C-22185   </t>
  </si>
  <si>
    <t xml:space="preserve">C-22186   </t>
  </si>
  <si>
    <t xml:space="preserve">C-22187   </t>
  </si>
  <si>
    <t xml:space="preserve">C-22188   </t>
  </si>
  <si>
    <t xml:space="preserve">C-22189   </t>
  </si>
  <si>
    <t xml:space="preserve">C-22190   </t>
  </si>
  <si>
    <t xml:space="preserve">C-22191   </t>
  </si>
  <si>
    <t xml:space="preserve">C-22192   </t>
  </si>
  <si>
    <t xml:space="preserve">C-22193   </t>
  </si>
  <si>
    <t xml:space="preserve">C-22194   </t>
  </si>
  <si>
    <t xml:space="preserve">C-22195   </t>
  </si>
  <si>
    <t xml:space="preserve">C-22196   </t>
  </si>
  <si>
    <t xml:space="preserve">C-22197   </t>
  </si>
  <si>
    <t xml:space="preserve">(473)OMAR CONTRERAS                                                        </t>
  </si>
  <si>
    <t xml:space="preserve">C-22198   </t>
  </si>
  <si>
    <t xml:space="preserve">C-22199   </t>
  </si>
  <si>
    <t xml:space="preserve">C-22200   </t>
  </si>
  <si>
    <t xml:space="preserve">C-22201   </t>
  </si>
  <si>
    <t xml:space="preserve">C-22202   </t>
  </si>
  <si>
    <t xml:space="preserve">C-22203   </t>
  </si>
  <si>
    <t xml:space="preserve">C-22204   </t>
  </si>
  <si>
    <t xml:space="preserve">C-22205   </t>
  </si>
  <si>
    <t xml:space="preserve">C-22206   </t>
  </si>
  <si>
    <t xml:space="preserve">C-22207   </t>
  </si>
  <si>
    <t xml:space="preserve">C-22208   </t>
  </si>
  <si>
    <t xml:space="preserve">C-22209   </t>
  </si>
  <si>
    <t xml:space="preserve">C-22210   </t>
  </si>
  <si>
    <t xml:space="preserve">C-22211   </t>
  </si>
  <si>
    <t xml:space="preserve">C-22212   </t>
  </si>
  <si>
    <t xml:space="preserve">C-22213   </t>
  </si>
  <si>
    <t xml:space="preserve">C-22214   </t>
  </si>
  <si>
    <t xml:space="preserve">(459)MIGUEL HERRERA                                                        </t>
  </si>
  <si>
    <t xml:space="preserve">C-22215   </t>
  </si>
  <si>
    <t xml:space="preserve">C-22216   </t>
  </si>
  <si>
    <t>18/01/2017 20/01/2017</t>
  </si>
  <si>
    <t xml:space="preserve">C-22217   </t>
  </si>
  <si>
    <t xml:space="preserve">C-22218   </t>
  </si>
  <si>
    <t xml:space="preserve">C-22219   </t>
  </si>
  <si>
    <t xml:space="preserve">C-22220   </t>
  </si>
  <si>
    <t xml:space="preserve">C-22221   </t>
  </si>
  <si>
    <t xml:space="preserve">C-22222   </t>
  </si>
  <si>
    <t xml:space="preserve">C-22223   </t>
  </si>
  <si>
    <t xml:space="preserve">C-22224   </t>
  </si>
  <si>
    <t xml:space="preserve">C-22225   </t>
  </si>
  <si>
    <t xml:space="preserve">C-22226   </t>
  </si>
  <si>
    <t xml:space="preserve">C-22227   </t>
  </si>
  <si>
    <t xml:space="preserve">C-22228   </t>
  </si>
  <si>
    <t xml:space="preserve">C-22229   </t>
  </si>
  <si>
    <t xml:space="preserve">C-22230   </t>
  </si>
  <si>
    <t xml:space="preserve">C-22231   </t>
  </si>
  <si>
    <t xml:space="preserve">C-22232   </t>
  </si>
  <si>
    <t xml:space="preserve">C-22233   </t>
  </si>
  <si>
    <t xml:space="preserve">C-22234   </t>
  </si>
  <si>
    <t xml:space="preserve">C-22235   </t>
  </si>
  <si>
    <t xml:space="preserve">C-22236   </t>
  </si>
  <si>
    <t xml:space="preserve">C-22237   </t>
  </si>
  <si>
    <t xml:space="preserve">(308)AUSENCIO                                                              </t>
  </si>
  <si>
    <t xml:space="preserve">C-22238   </t>
  </si>
  <si>
    <t xml:space="preserve">C-22239   </t>
  </si>
  <si>
    <t xml:space="preserve">C-22240   </t>
  </si>
  <si>
    <t xml:space="preserve">C-22241   </t>
  </si>
  <si>
    <t xml:space="preserve">C-22242   </t>
  </si>
  <si>
    <t xml:space="preserve">C-22243   </t>
  </si>
  <si>
    <t xml:space="preserve">C-22244   </t>
  </si>
  <si>
    <t xml:space="preserve">C-22245   </t>
  </si>
  <si>
    <t xml:space="preserve">C-22246   </t>
  </si>
  <si>
    <t xml:space="preserve">C-22247   </t>
  </si>
  <si>
    <t xml:space="preserve">C-22248   </t>
  </si>
  <si>
    <t xml:space="preserve">C-22249   </t>
  </si>
  <si>
    <t xml:space="preserve">C-22250   </t>
  </si>
  <si>
    <t xml:space="preserve">C-22251   </t>
  </si>
  <si>
    <t xml:space="preserve">C-22252   </t>
  </si>
  <si>
    <t xml:space="preserve">C-22253   </t>
  </si>
  <si>
    <t xml:space="preserve">C-22254   </t>
  </si>
  <si>
    <t xml:space="preserve">C-22255   </t>
  </si>
  <si>
    <t xml:space="preserve">C-22256   </t>
  </si>
  <si>
    <t xml:space="preserve">C-22257   </t>
  </si>
  <si>
    <t xml:space="preserve">(245)GABRIEL CLEMENTE                                                      </t>
  </si>
  <si>
    <t xml:space="preserve">C-22258   </t>
  </si>
  <si>
    <t xml:space="preserve">C-22259   </t>
  </si>
  <si>
    <t xml:space="preserve">C-22260   </t>
  </si>
  <si>
    <t xml:space="preserve">C-22261   </t>
  </si>
  <si>
    <t xml:space="preserve">C-22262   </t>
  </si>
  <si>
    <t xml:space="preserve">C-22263   </t>
  </si>
  <si>
    <t xml:space="preserve">C-22264   </t>
  </si>
  <si>
    <t xml:space="preserve">C-22265   </t>
  </si>
  <si>
    <t xml:space="preserve">C-22266   </t>
  </si>
  <si>
    <t xml:space="preserve">C-22267   </t>
  </si>
  <si>
    <t xml:space="preserve">C-22268   </t>
  </si>
  <si>
    <t xml:space="preserve">C-22269   </t>
  </si>
  <si>
    <t xml:space="preserve">C-22270   </t>
  </si>
  <si>
    <t xml:space="preserve">C-22271   </t>
  </si>
  <si>
    <t xml:space="preserve">C-22272   </t>
  </si>
  <si>
    <t xml:space="preserve">C-22273   </t>
  </si>
  <si>
    <t xml:space="preserve">C-22274   </t>
  </si>
  <si>
    <t xml:space="preserve">C-22275   </t>
  </si>
  <si>
    <t xml:space="preserve">C-22276   </t>
  </si>
  <si>
    <t xml:space="preserve"> 28/01/2017</t>
  </si>
  <si>
    <t xml:space="preserve">C-22277   </t>
  </si>
  <si>
    <t xml:space="preserve">C-22278   </t>
  </si>
  <si>
    <t xml:space="preserve">C-22279   </t>
  </si>
  <si>
    <t xml:space="preserve">C-22280   </t>
  </si>
  <si>
    <t xml:space="preserve">C-22281   </t>
  </si>
  <si>
    <t xml:space="preserve">C-22282   </t>
  </si>
  <si>
    <t xml:space="preserve">C-22283   </t>
  </si>
  <si>
    <t xml:space="preserve">C-22284   </t>
  </si>
  <si>
    <t xml:space="preserve">C-22285   </t>
  </si>
  <si>
    <t xml:space="preserve">C-22286   </t>
  </si>
  <si>
    <t xml:space="preserve">C-22287   </t>
  </si>
  <si>
    <t xml:space="preserve">C-22288   </t>
  </si>
  <si>
    <t xml:space="preserve">C-22289   </t>
  </si>
  <si>
    <t xml:space="preserve">C-22290   </t>
  </si>
  <si>
    <t xml:space="preserve">C-22291   </t>
  </si>
  <si>
    <t xml:space="preserve">C-22292   </t>
  </si>
  <si>
    <t xml:space="preserve">C-22293   </t>
  </si>
  <si>
    <t xml:space="preserve">C-22294   </t>
  </si>
  <si>
    <t xml:space="preserve">C-22295   </t>
  </si>
  <si>
    <t xml:space="preserve">C-22296   </t>
  </si>
  <si>
    <t xml:space="preserve">C-22297   </t>
  </si>
  <si>
    <t xml:space="preserve">C-22298   </t>
  </si>
  <si>
    <t xml:space="preserve">C-22299   </t>
  </si>
  <si>
    <t xml:space="preserve">C-22300   </t>
  </si>
  <si>
    <t xml:space="preserve">C-22301   </t>
  </si>
  <si>
    <t xml:space="preserve">C-22302   </t>
  </si>
  <si>
    <t xml:space="preserve">C-22303   </t>
  </si>
  <si>
    <t xml:space="preserve">C-22304   </t>
  </si>
  <si>
    <t xml:space="preserve">C-22305   </t>
  </si>
  <si>
    <t>19/01/2017 20/01/2017</t>
  </si>
  <si>
    <t xml:space="preserve">C-22306   </t>
  </si>
  <si>
    <t xml:space="preserve">C-22307   </t>
  </si>
  <si>
    <t xml:space="preserve">C-22308   </t>
  </si>
  <si>
    <t xml:space="preserve">C-22309   </t>
  </si>
  <si>
    <t xml:space="preserve">C-22310   </t>
  </si>
  <si>
    <t xml:space="preserve">C-22311   </t>
  </si>
  <si>
    <t xml:space="preserve">C-22312   </t>
  </si>
  <si>
    <t xml:space="preserve">C-22313   </t>
  </si>
  <si>
    <t xml:space="preserve">C-22314   </t>
  </si>
  <si>
    <t>20/01/2017 24/01/2017</t>
  </si>
  <si>
    <t xml:space="preserve">C-22315   </t>
  </si>
  <si>
    <t xml:space="preserve">C-22316   </t>
  </si>
  <si>
    <t xml:space="preserve">C-22317   </t>
  </si>
  <si>
    <t xml:space="preserve">C-22318   </t>
  </si>
  <si>
    <t xml:space="preserve">(515)RAUL LEDO RAMIREZ                                                     </t>
  </si>
  <si>
    <t xml:space="preserve">C-22319   </t>
  </si>
  <si>
    <t xml:space="preserve">C-22320   </t>
  </si>
  <si>
    <t xml:space="preserve">C-22321   </t>
  </si>
  <si>
    <t xml:space="preserve">C-22322   </t>
  </si>
  <si>
    <t xml:space="preserve">C-22323   </t>
  </si>
  <si>
    <t xml:space="preserve">C-22324   </t>
  </si>
  <si>
    <t xml:space="preserve">C-22325   </t>
  </si>
  <si>
    <t xml:space="preserve">C-22326   </t>
  </si>
  <si>
    <t xml:space="preserve">C-22327   </t>
  </si>
  <si>
    <t xml:space="preserve">C-22328   </t>
  </si>
  <si>
    <t xml:space="preserve">C-22329   </t>
  </si>
  <si>
    <t xml:space="preserve">C-22330   </t>
  </si>
  <si>
    <t xml:space="preserve">C-22331   </t>
  </si>
  <si>
    <t xml:space="preserve">C-22332   </t>
  </si>
  <si>
    <t xml:space="preserve">C-22333   </t>
  </si>
  <si>
    <t xml:space="preserve">C-22334   </t>
  </si>
  <si>
    <t xml:space="preserve">C-22335   </t>
  </si>
  <si>
    <t xml:space="preserve">C-22336   </t>
  </si>
  <si>
    <t xml:space="preserve">C-22337   </t>
  </si>
  <si>
    <t xml:space="preserve">C-22338   </t>
  </si>
  <si>
    <t xml:space="preserve">C-22339   </t>
  </si>
  <si>
    <t xml:space="preserve">C-22340   </t>
  </si>
  <si>
    <t xml:space="preserve">C-22341   </t>
  </si>
  <si>
    <t xml:space="preserve">C-22342   </t>
  </si>
  <si>
    <t xml:space="preserve">C-22343   </t>
  </si>
  <si>
    <t xml:space="preserve">C-22344   </t>
  </si>
  <si>
    <t xml:space="preserve">C-22345   </t>
  </si>
  <si>
    <t xml:space="preserve">C-22346   </t>
  </si>
  <si>
    <t xml:space="preserve">C-22347   </t>
  </si>
  <si>
    <t xml:space="preserve">C-22348   </t>
  </si>
  <si>
    <t xml:space="preserve">C-22349   </t>
  </si>
  <si>
    <t xml:space="preserve">C-22350   </t>
  </si>
  <si>
    <t xml:space="preserve">C-22351   </t>
  </si>
  <si>
    <t xml:space="preserve">C-22352   </t>
  </si>
  <si>
    <t xml:space="preserve">C-22353   </t>
  </si>
  <si>
    <t xml:space="preserve">C-22354   </t>
  </si>
  <si>
    <t xml:space="preserve">C-22355   </t>
  </si>
  <si>
    <t xml:space="preserve">C-22356   </t>
  </si>
  <si>
    <t xml:space="preserve">C-22357   </t>
  </si>
  <si>
    <t xml:space="preserve">C-22358   </t>
  </si>
  <si>
    <t xml:space="preserve">C-22359   </t>
  </si>
  <si>
    <t xml:space="preserve">C-22360   </t>
  </si>
  <si>
    <t xml:space="preserve">C-22361   </t>
  </si>
  <si>
    <t>24/01/2017 30/01/2017</t>
  </si>
  <si>
    <t xml:space="preserve">C-22362   </t>
  </si>
  <si>
    <t xml:space="preserve">C-22363   </t>
  </si>
  <si>
    <t xml:space="preserve">C-22364   </t>
  </si>
  <si>
    <t xml:space="preserve">C-22365   </t>
  </si>
  <si>
    <t xml:space="preserve">C-22366   </t>
  </si>
  <si>
    <t xml:space="preserve">C-22367   </t>
  </si>
  <si>
    <t xml:space="preserve">C-22368   </t>
  </si>
  <si>
    <t xml:space="preserve">C-22369   </t>
  </si>
  <si>
    <t xml:space="preserve">C-22370   </t>
  </si>
  <si>
    <t xml:space="preserve">C-22371   </t>
  </si>
  <si>
    <t xml:space="preserve">C-22372   </t>
  </si>
  <si>
    <t xml:space="preserve">C-22373   </t>
  </si>
  <si>
    <t xml:space="preserve">C-22374   </t>
  </si>
  <si>
    <t xml:space="preserve">C-22375   </t>
  </si>
  <si>
    <t xml:space="preserve">C-22376   </t>
  </si>
  <si>
    <t xml:space="preserve">C-22377   </t>
  </si>
  <si>
    <t xml:space="preserve">C-22378   </t>
  </si>
  <si>
    <t xml:space="preserve">C-22379   </t>
  </si>
  <si>
    <t xml:space="preserve">C-22380   </t>
  </si>
  <si>
    <t xml:space="preserve">C-22381   </t>
  </si>
  <si>
    <t xml:space="preserve">C-22382   </t>
  </si>
  <si>
    <t xml:space="preserve">C-22383   </t>
  </si>
  <si>
    <t xml:space="preserve">C-22384   </t>
  </si>
  <si>
    <t xml:space="preserve">C-22385   </t>
  </si>
  <si>
    <t xml:space="preserve">C-22386   </t>
  </si>
  <si>
    <t xml:space="preserve">C-22387   </t>
  </si>
  <si>
    <t xml:space="preserve">C-22388   </t>
  </si>
  <si>
    <t xml:space="preserve">C-22389   </t>
  </si>
  <si>
    <t xml:space="preserve">C-22390   </t>
  </si>
  <si>
    <t xml:space="preserve">(155)JUAN ESCOBAR                                                          </t>
  </si>
  <si>
    <t xml:space="preserve">C-22391   </t>
  </si>
  <si>
    <t xml:space="preserve">C-22392   </t>
  </si>
  <si>
    <t xml:space="preserve">C-22393   </t>
  </si>
  <si>
    <t xml:space="preserve">C-22394   </t>
  </si>
  <si>
    <t xml:space="preserve">C-22395   </t>
  </si>
  <si>
    <t xml:space="preserve">C-22396   </t>
  </si>
  <si>
    <t xml:space="preserve">C-22397   </t>
  </si>
  <si>
    <t xml:space="preserve">C-22398   </t>
  </si>
  <si>
    <t xml:space="preserve">C-22399   </t>
  </si>
  <si>
    <t xml:space="preserve">C-22400   </t>
  </si>
  <si>
    <t xml:space="preserve">C-22401   </t>
  </si>
  <si>
    <t xml:space="preserve">C-22402   </t>
  </si>
  <si>
    <t xml:space="preserve">C-22403   </t>
  </si>
  <si>
    <t xml:space="preserve">C-22404   </t>
  </si>
  <si>
    <t xml:space="preserve"> 27/01/2017</t>
  </si>
  <si>
    <t xml:space="preserve">C-22405   </t>
  </si>
  <si>
    <t xml:space="preserve">C-22406   </t>
  </si>
  <si>
    <t xml:space="preserve">C-22407   </t>
  </si>
  <si>
    <t xml:space="preserve">C-22408   </t>
  </si>
  <si>
    <t xml:space="preserve">C-22409   </t>
  </si>
  <si>
    <t xml:space="preserve">C-22410   </t>
  </si>
  <si>
    <t xml:space="preserve">C-22411   </t>
  </si>
  <si>
    <t xml:space="preserve">C-22412   </t>
  </si>
  <si>
    <t xml:space="preserve">C-22413   </t>
  </si>
  <si>
    <t xml:space="preserve">C-22414   </t>
  </si>
  <si>
    <t xml:space="preserve">C-22415   </t>
  </si>
  <si>
    <t xml:space="preserve">C-22416   </t>
  </si>
  <si>
    <t xml:space="preserve">C-22417   </t>
  </si>
  <si>
    <t xml:space="preserve">C-22418   </t>
  </si>
  <si>
    <t xml:space="preserve">C-22419   </t>
  </si>
  <si>
    <t xml:space="preserve">C-22420   </t>
  </si>
  <si>
    <t xml:space="preserve">C-22421   </t>
  </si>
  <si>
    <t xml:space="preserve">C-22422   </t>
  </si>
  <si>
    <t xml:space="preserve">C-22423   </t>
  </si>
  <si>
    <t xml:space="preserve">C-22424   </t>
  </si>
  <si>
    <t xml:space="preserve">C-22425   </t>
  </si>
  <si>
    <t xml:space="preserve">C-22426   </t>
  </si>
  <si>
    <t xml:space="preserve"> 29/01/2017</t>
  </si>
  <si>
    <t xml:space="preserve">C-22427   </t>
  </si>
  <si>
    <t xml:space="preserve">C-22428   </t>
  </si>
  <si>
    <t xml:space="preserve">C-22429   </t>
  </si>
  <si>
    <t xml:space="preserve"> 27/02/2017</t>
  </si>
  <si>
    <t xml:space="preserve">C-22430   </t>
  </si>
  <si>
    <t xml:space="preserve">C-22431   </t>
  </si>
  <si>
    <t xml:space="preserve">C-22432   </t>
  </si>
  <si>
    <t xml:space="preserve">C-22433   </t>
  </si>
  <si>
    <t xml:space="preserve">C-22434   </t>
  </si>
  <si>
    <t xml:space="preserve">C-22435   </t>
  </si>
  <si>
    <t xml:space="preserve">C-22436   </t>
  </si>
  <si>
    <t xml:space="preserve">C-22437   </t>
  </si>
  <si>
    <t xml:space="preserve">C-22438   </t>
  </si>
  <si>
    <t xml:space="preserve">C-22439   </t>
  </si>
  <si>
    <t xml:space="preserve">C-22440   </t>
  </si>
  <si>
    <t xml:space="preserve">C-22441   </t>
  </si>
  <si>
    <t xml:space="preserve">C-22442   </t>
  </si>
  <si>
    <t>20/01/2017 23/01/2017</t>
  </si>
  <si>
    <t xml:space="preserve">C-22443   </t>
  </si>
  <si>
    <t xml:space="preserve">C-22444   </t>
  </si>
  <si>
    <t xml:space="preserve">C-22445   </t>
  </si>
  <si>
    <t xml:space="preserve">C-22446   </t>
  </si>
  <si>
    <t xml:space="preserve">C-22447   </t>
  </si>
  <si>
    <t xml:space="preserve">C-22448   </t>
  </si>
  <si>
    <t xml:space="preserve">C-22449   </t>
  </si>
  <si>
    <t xml:space="preserve">C-22450   </t>
  </si>
  <si>
    <t xml:space="preserve">C-22451   </t>
  </si>
  <si>
    <t xml:space="preserve">C-22452   </t>
  </si>
  <si>
    <t xml:space="preserve">C-22453   </t>
  </si>
  <si>
    <t xml:space="preserve">C-22454   </t>
  </si>
  <si>
    <t xml:space="preserve">C-22455   </t>
  </si>
  <si>
    <t xml:space="preserve">C-22456   </t>
  </si>
  <si>
    <t xml:space="preserve">C-22457   </t>
  </si>
  <si>
    <t xml:space="preserve">C-22458   </t>
  </si>
  <si>
    <t xml:space="preserve">C-22459   </t>
  </si>
  <si>
    <t xml:space="preserve">C-22460   </t>
  </si>
  <si>
    <t>17/01/2017 20/01/2017</t>
  </si>
  <si>
    <t xml:space="preserve">C-22461   </t>
  </si>
  <si>
    <t xml:space="preserve">C-22462   </t>
  </si>
  <si>
    <t xml:space="preserve">C-22463   </t>
  </si>
  <si>
    <t xml:space="preserve">C-22464   </t>
  </si>
  <si>
    <t xml:space="preserve">C-22465   </t>
  </si>
  <si>
    <t xml:space="preserve">C-22466   </t>
  </si>
  <si>
    <t xml:space="preserve">C-22467   </t>
  </si>
  <si>
    <t xml:space="preserve">C-22468   </t>
  </si>
  <si>
    <t xml:space="preserve">C-22469   </t>
  </si>
  <si>
    <t xml:space="preserve">C-22470   </t>
  </si>
  <si>
    <t xml:space="preserve">C-22471   </t>
  </si>
  <si>
    <t xml:space="preserve">C-22472   </t>
  </si>
  <si>
    <t xml:space="preserve">C-22473   </t>
  </si>
  <si>
    <t xml:space="preserve">C-22474   </t>
  </si>
  <si>
    <t xml:space="preserve">C-22475   </t>
  </si>
  <si>
    <t xml:space="preserve">C-22476   </t>
  </si>
  <si>
    <t xml:space="preserve">C-22477   </t>
  </si>
  <si>
    <t xml:space="preserve">C-22478   </t>
  </si>
  <si>
    <t xml:space="preserve">C-22479   </t>
  </si>
  <si>
    <t xml:space="preserve">C-22480   </t>
  </si>
  <si>
    <t xml:space="preserve">C-22481   </t>
  </si>
  <si>
    <t xml:space="preserve">C-22482   </t>
  </si>
  <si>
    <t xml:space="preserve">C-22483   </t>
  </si>
  <si>
    <t xml:space="preserve">C-22484   </t>
  </si>
  <si>
    <t xml:space="preserve">C-22485   </t>
  </si>
  <si>
    <t xml:space="preserve">C-22486   </t>
  </si>
  <si>
    <t xml:space="preserve">C-22487   </t>
  </si>
  <si>
    <t xml:space="preserve">C-22488   </t>
  </si>
  <si>
    <t xml:space="preserve">C-22489   </t>
  </si>
  <si>
    <t xml:space="preserve">C-22490   </t>
  </si>
  <si>
    <t xml:space="preserve">C-22491   </t>
  </si>
  <si>
    <t xml:space="preserve">C-22492   </t>
  </si>
  <si>
    <t xml:space="preserve">C-22493   </t>
  </si>
  <si>
    <t xml:space="preserve">C-22494   </t>
  </si>
  <si>
    <t xml:space="preserve">C-22495   </t>
  </si>
  <si>
    <t xml:space="preserve">C-22496   </t>
  </si>
  <si>
    <t xml:space="preserve">(678)MAURO LOPEZ XIMELLO                                                   </t>
  </si>
  <si>
    <t xml:space="preserve">C-22497   </t>
  </si>
  <si>
    <t xml:space="preserve">C-22498   </t>
  </si>
  <si>
    <t xml:space="preserve">C-22499   </t>
  </si>
  <si>
    <t xml:space="preserve">C-22500   </t>
  </si>
  <si>
    <t xml:space="preserve">C-22501   </t>
  </si>
  <si>
    <t xml:space="preserve">C-22502   </t>
  </si>
  <si>
    <t xml:space="preserve">C-22503   </t>
  </si>
  <si>
    <t xml:space="preserve">C-22504   </t>
  </si>
  <si>
    <t xml:space="preserve">C-22505   </t>
  </si>
  <si>
    <t xml:space="preserve">C-22506   </t>
  </si>
  <si>
    <t xml:space="preserve">C-22507   </t>
  </si>
  <si>
    <t xml:space="preserve">C-22508   </t>
  </si>
  <si>
    <t xml:space="preserve">C-22509   </t>
  </si>
  <si>
    <t xml:space="preserve">C-22510   </t>
  </si>
  <si>
    <t xml:space="preserve">C-22511   </t>
  </si>
  <si>
    <t xml:space="preserve">C-22512   </t>
  </si>
  <si>
    <t xml:space="preserve">C-22513   </t>
  </si>
  <si>
    <t xml:space="preserve">C-22514   </t>
  </si>
  <si>
    <t xml:space="preserve">C-22515   </t>
  </si>
  <si>
    <t xml:space="preserve">C-22516   </t>
  </si>
  <si>
    <t xml:space="preserve">C-22517   </t>
  </si>
  <si>
    <t xml:space="preserve">C-22518   </t>
  </si>
  <si>
    <t xml:space="preserve">C-22519   </t>
  </si>
  <si>
    <t xml:space="preserve">C-22520   </t>
  </si>
  <si>
    <t xml:space="preserve">C-22521   </t>
  </si>
  <si>
    <t xml:space="preserve">C-22522   </t>
  </si>
  <si>
    <t xml:space="preserve">C-22523   </t>
  </si>
  <si>
    <t xml:space="preserve">C-22524   </t>
  </si>
  <si>
    <t xml:space="preserve">C-22525   </t>
  </si>
  <si>
    <t xml:space="preserve">C-22526   </t>
  </si>
  <si>
    <t xml:space="preserve">C-22527   </t>
  </si>
  <si>
    <t xml:space="preserve">C-22528   </t>
  </si>
  <si>
    <t xml:space="preserve">C-22529   </t>
  </si>
  <si>
    <t xml:space="preserve"> 24/01/2017</t>
  </si>
  <si>
    <t xml:space="preserve">C-22530   </t>
  </si>
  <si>
    <t xml:space="preserve">C-22531   </t>
  </si>
  <si>
    <t xml:space="preserve">C-22532   </t>
  </si>
  <si>
    <t xml:space="preserve">C-22533   </t>
  </si>
  <si>
    <t xml:space="preserve">C-22534   </t>
  </si>
  <si>
    <t>23/01/2017 24/01/2017</t>
  </si>
  <si>
    <t xml:space="preserve">C-22535   </t>
  </si>
  <si>
    <t xml:space="preserve">C-22536   </t>
  </si>
  <si>
    <t xml:space="preserve">C-22537   </t>
  </si>
  <si>
    <t xml:space="preserve">C-22538   </t>
  </si>
  <si>
    <t xml:space="preserve">C-22539   </t>
  </si>
  <si>
    <t>21/01/2017 29/01/2017</t>
  </si>
  <si>
    <t xml:space="preserve">C-22540   </t>
  </si>
  <si>
    <t xml:space="preserve">C-22541   </t>
  </si>
  <si>
    <t xml:space="preserve">C-22542   </t>
  </si>
  <si>
    <t xml:space="preserve">C-22543   </t>
  </si>
  <si>
    <t xml:space="preserve">C-22544   </t>
  </si>
  <si>
    <t xml:space="preserve">C-22545   </t>
  </si>
  <si>
    <t xml:space="preserve">C-22546   </t>
  </si>
  <si>
    <t xml:space="preserve">C-22547   </t>
  </si>
  <si>
    <t xml:space="preserve">C-22548   </t>
  </si>
  <si>
    <t xml:space="preserve">C-22549   </t>
  </si>
  <si>
    <t xml:space="preserve">C-22550   </t>
  </si>
  <si>
    <t xml:space="preserve">C-22551   </t>
  </si>
  <si>
    <t xml:space="preserve">C-22552   </t>
  </si>
  <si>
    <t xml:space="preserve">C-22553   </t>
  </si>
  <si>
    <t xml:space="preserve">C-22554   </t>
  </si>
  <si>
    <t xml:space="preserve">C-22555   </t>
  </si>
  <si>
    <t xml:space="preserve">C-22556   </t>
  </si>
  <si>
    <t xml:space="preserve">C-22557   </t>
  </si>
  <si>
    <t xml:space="preserve">C-22558   </t>
  </si>
  <si>
    <t xml:space="preserve">C-22559   </t>
  </si>
  <si>
    <t xml:space="preserve">C-22560   </t>
  </si>
  <si>
    <t xml:space="preserve">C-22561   </t>
  </si>
  <si>
    <t xml:space="preserve">C-22562   </t>
  </si>
  <si>
    <t xml:space="preserve">C-22563   </t>
  </si>
  <si>
    <t xml:space="preserve">C-22564   </t>
  </si>
  <si>
    <t xml:space="preserve">C-22565   </t>
  </si>
  <si>
    <t xml:space="preserve">C-22566   </t>
  </si>
  <si>
    <t xml:space="preserve">C-22567   </t>
  </si>
  <si>
    <t xml:space="preserve">C-22568   </t>
  </si>
  <si>
    <t xml:space="preserve">C-22569   </t>
  </si>
  <si>
    <t xml:space="preserve">C-22570   </t>
  </si>
  <si>
    <t xml:space="preserve">C-22571   </t>
  </si>
  <si>
    <t xml:space="preserve">C-22572   </t>
  </si>
  <si>
    <t xml:space="preserve">C-22573   </t>
  </si>
  <si>
    <t xml:space="preserve">C-22574   </t>
  </si>
  <si>
    <t xml:space="preserve">C-22575   </t>
  </si>
  <si>
    <t xml:space="preserve">C-22576   </t>
  </si>
  <si>
    <t xml:space="preserve">C-22577   </t>
  </si>
  <si>
    <t xml:space="preserve">C-22578   </t>
  </si>
  <si>
    <t xml:space="preserve">C-22579   </t>
  </si>
  <si>
    <t xml:space="preserve">C-22580   </t>
  </si>
  <si>
    <t xml:space="preserve">C-22581   </t>
  </si>
  <si>
    <t xml:space="preserve">C-22582   </t>
  </si>
  <si>
    <t xml:space="preserve">C-22583   </t>
  </si>
  <si>
    <t xml:space="preserve">C-22584   </t>
  </si>
  <si>
    <t xml:space="preserve">C-22585   </t>
  </si>
  <si>
    <t xml:space="preserve">C-22586   </t>
  </si>
  <si>
    <t xml:space="preserve">C-22587   </t>
  </si>
  <si>
    <t xml:space="preserve">C-22588   </t>
  </si>
  <si>
    <t xml:space="preserve">C-22589   </t>
  </si>
  <si>
    <t xml:space="preserve">C-22590   </t>
  </si>
  <si>
    <t xml:space="preserve">C-22591   </t>
  </si>
  <si>
    <t xml:space="preserve">C-22592   </t>
  </si>
  <si>
    <t xml:space="preserve">C-22593   </t>
  </si>
  <si>
    <t xml:space="preserve">C-22594   </t>
  </si>
  <si>
    <t xml:space="preserve">C-22595   </t>
  </si>
  <si>
    <t xml:space="preserve">C-22596   </t>
  </si>
  <si>
    <t xml:space="preserve">C-22597   </t>
  </si>
  <si>
    <t xml:space="preserve">C-22598   </t>
  </si>
  <si>
    <t xml:space="preserve">C-22599   </t>
  </si>
  <si>
    <t xml:space="preserve">C-22600   </t>
  </si>
  <si>
    <t xml:space="preserve">C-22601   </t>
  </si>
  <si>
    <t xml:space="preserve">C-22602   </t>
  </si>
  <si>
    <t xml:space="preserve">C-22603   </t>
  </si>
  <si>
    <t xml:space="preserve">C-22604   </t>
  </si>
  <si>
    <t xml:space="preserve">C-22605   </t>
  </si>
  <si>
    <t xml:space="preserve">C-22606   </t>
  </si>
  <si>
    <t xml:space="preserve">C-22607   </t>
  </si>
  <si>
    <t xml:space="preserve">C-22608   </t>
  </si>
  <si>
    <t xml:space="preserve">C-22609   </t>
  </si>
  <si>
    <t xml:space="preserve">C-22610   </t>
  </si>
  <si>
    <t xml:space="preserve">C-22611   </t>
  </si>
  <si>
    <t xml:space="preserve">C-22612   </t>
  </si>
  <si>
    <t xml:space="preserve">C-22613   </t>
  </si>
  <si>
    <t xml:space="preserve">C-22614   </t>
  </si>
  <si>
    <t xml:space="preserve">C-22615   </t>
  </si>
  <si>
    <t xml:space="preserve">C-22616   </t>
  </si>
  <si>
    <t>19/01/2017 27/01/2017</t>
  </si>
  <si>
    <t xml:space="preserve">C-22617   </t>
  </si>
  <si>
    <t xml:space="preserve">C-22618   </t>
  </si>
  <si>
    <t xml:space="preserve">C-22619   </t>
  </si>
  <si>
    <t xml:space="preserve">C-22620   </t>
  </si>
  <si>
    <t xml:space="preserve">C-22621   </t>
  </si>
  <si>
    <t xml:space="preserve">C-22622   </t>
  </si>
  <si>
    <t xml:space="preserve">C-22623   </t>
  </si>
  <si>
    <t xml:space="preserve">C-22624   </t>
  </si>
  <si>
    <t xml:space="preserve">C-22625   </t>
  </si>
  <si>
    <t xml:space="preserve">C-22626   </t>
  </si>
  <si>
    <t xml:space="preserve">C-22627   </t>
  </si>
  <si>
    <t xml:space="preserve">C-22628   </t>
  </si>
  <si>
    <t xml:space="preserve">C-22629   </t>
  </si>
  <si>
    <t xml:space="preserve">C-22630   </t>
  </si>
  <si>
    <t xml:space="preserve">C-22631   </t>
  </si>
  <si>
    <t xml:space="preserve">C-22632   </t>
  </si>
  <si>
    <t xml:space="preserve">C-22633   </t>
  </si>
  <si>
    <t xml:space="preserve">C-22634   </t>
  </si>
  <si>
    <t xml:space="preserve">C-22635   </t>
  </si>
  <si>
    <t xml:space="preserve"> 21/04/2017</t>
  </si>
  <si>
    <t xml:space="preserve">C-22636   </t>
  </si>
  <si>
    <t xml:space="preserve">C-22637   </t>
  </si>
  <si>
    <t xml:space="preserve">C-22638   </t>
  </si>
  <si>
    <t xml:space="preserve">C-22639   </t>
  </si>
  <si>
    <t xml:space="preserve">C-22640   </t>
  </si>
  <si>
    <t xml:space="preserve">C-22641   </t>
  </si>
  <si>
    <t xml:space="preserve">C-22642   </t>
  </si>
  <si>
    <t xml:space="preserve">(256)CHINOS TLAXCALA                                                       </t>
  </si>
  <si>
    <t xml:space="preserve">C-22643   </t>
  </si>
  <si>
    <t xml:space="preserve">C-22644   </t>
  </si>
  <si>
    <t xml:space="preserve">C-22645   </t>
  </si>
  <si>
    <t xml:space="preserve">C-22646   </t>
  </si>
  <si>
    <t xml:space="preserve">C-22647   </t>
  </si>
  <si>
    <t xml:space="preserve">C-22648   </t>
  </si>
  <si>
    <t xml:space="preserve">C-22649   </t>
  </si>
  <si>
    <t xml:space="preserve">C-22650   </t>
  </si>
  <si>
    <t xml:space="preserve">C-22651   </t>
  </si>
  <si>
    <t xml:space="preserve">C-22652   </t>
  </si>
  <si>
    <t xml:space="preserve">C-22653   </t>
  </si>
  <si>
    <t xml:space="preserve">C-22654   </t>
  </si>
  <si>
    <t xml:space="preserve">C-22655   </t>
  </si>
  <si>
    <t xml:space="preserve">C-22656   </t>
  </si>
  <si>
    <t xml:space="preserve">C-22657   </t>
  </si>
  <si>
    <t xml:space="preserve">C-22658   </t>
  </si>
  <si>
    <t xml:space="preserve">C-22659   </t>
  </si>
  <si>
    <t xml:space="preserve">C-22660   </t>
  </si>
  <si>
    <t xml:space="preserve">C-22661   </t>
  </si>
  <si>
    <t xml:space="preserve">C-22662   </t>
  </si>
  <si>
    <t xml:space="preserve">C-22663   </t>
  </si>
  <si>
    <t xml:space="preserve">C-22664   </t>
  </si>
  <si>
    <t xml:space="preserve">C-22665   </t>
  </si>
  <si>
    <t xml:space="preserve">C-22666   </t>
  </si>
  <si>
    <t xml:space="preserve">C-22667   </t>
  </si>
  <si>
    <t xml:space="preserve">C-22668   </t>
  </si>
  <si>
    <t xml:space="preserve">C-22669   </t>
  </si>
  <si>
    <t xml:space="preserve">C-22670   </t>
  </si>
  <si>
    <t xml:space="preserve">C-22671   </t>
  </si>
  <si>
    <t xml:space="preserve">C-22672   </t>
  </si>
  <si>
    <t xml:space="preserve">C-22673   </t>
  </si>
  <si>
    <t xml:space="preserve">C-22674   </t>
  </si>
  <si>
    <t xml:space="preserve">C-22675   </t>
  </si>
  <si>
    <t xml:space="preserve">C-22676   </t>
  </si>
  <si>
    <t xml:space="preserve">C-22677   </t>
  </si>
  <si>
    <t xml:space="preserve">C-22678   </t>
  </si>
  <si>
    <t xml:space="preserve">C-22679   </t>
  </si>
  <si>
    <t xml:space="preserve">C-22680   </t>
  </si>
  <si>
    <t xml:space="preserve">C-22681   </t>
  </si>
  <si>
    <t xml:space="preserve">C-22682   </t>
  </si>
  <si>
    <t xml:space="preserve">C-22683   </t>
  </si>
  <si>
    <t xml:space="preserve">C-22684   </t>
  </si>
  <si>
    <t xml:space="preserve">C-22685   </t>
  </si>
  <si>
    <t xml:space="preserve">C-22686   </t>
  </si>
  <si>
    <t xml:space="preserve">C-22687   </t>
  </si>
  <si>
    <t xml:space="preserve">C-22688   </t>
  </si>
  <si>
    <t xml:space="preserve">C-22689   </t>
  </si>
  <si>
    <t xml:space="preserve">C-22690   </t>
  </si>
  <si>
    <t xml:space="preserve">C-22691   </t>
  </si>
  <si>
    <t xml:space="preserve">C-22692   </t>
  </si>
  <si>
    <t xml:space="preserve">C-22693   </t>
  </si>
  <si>
    <t xml:space="preserve">28/01/2017 31/01/2017 </t>
  </si>
  <si>
    <t xml:space="preserve">C-22694   </t>
  </si>
  <si>
    <t xml:space="preserve">C-22695   </t>
  </si>
  <si>
    <t xml:space="preserve">C-22696   </t>
  </si>
  <si>
    <t xml:space="preserve">C-22697   </t>
  </si>
  <si>
    <t xml:space="preserve">C-22698   </t>
  </si>
  <si>
    <t xml:space="preserve">C-22699   </t>
  </si>
  <si>
    <t xml:space="preserve">C-22700   </t>
  </si>
  <si>
    <t xml:space="preserve">C-22701   </t>
  </si>
  <si>
    <t xml:space="preserve">C-22702   </t>
  </si>
  <si>
    <t xml:space="preserve">C-22703   </t>
  </si>
  <si>
    <t xml:space="preserve">C-22704   </t>
  </si>
  <si>
    <t xml:space="preserve">C-22705   </t>
  </si>
  <si>
    <t xml:space="preserve">C-22706   </t>
  </si>
  <si>
    <t xml:space="preserve">C-22707   </t>
  </si>
  <si>
    <t xml:space="preserve">C-22708   </t>
  </si>
  <si>
    <t xml:space="preserve">C-22709   </t>
  </si>
  <si>
    <t xml:space="preserve">C-22710   </t>
  </si>
  <si>
    <t xml:space="preserve">C-22711   </t>
  </si>
  <si>
    <t xml:space="preserve">C-22712   </t>
  </si>
  <si>
    <t xml:space="preserve">C-22713   </t>
  </si>
  <si>
    <t xml:space="preserve">C-22714   </t>
  </si>
  <si>
    <t xml:space="preserve">C-22715   </t>
  </si>
  <si>
    <t xml:space="preserve">C-22716   </t>
  </si>
  <si>
    <t xml:space="preserve">C-22717   </t>
  </si>
  <si>
    <t xml:space="preserve">C-22718   </t>
  </si>
  <si>
    <t xml:space="preserve">C-22719   </t>
  </si>
  <si>
    <t xml:space="preserve">C-22720   </t>
  </si>
  <si>
    <t xml:space="preserve">C-22721   </t>
  </si>
  <si>
    <t xml:space="preserve">C-22722   </t>
  </si>
  <si>
    <t xml:space="preserve">C-22723   </t>
  </si>
  <si>
    <t xml:space="preserve">C-22724   </t>
  </si>
  <si>
    <t xml:space="preserve">C-22725   </t>
  </si>
  <si>
    <t xml:space="preserve">C-22726   </t>
  </si>
  <si>
    <t xml:space="preserve">(335)JOSE JUAN HERNANDEZ                                                   </t>
  </si>
  <si>
    <t xml:space="preserve">C-22727   </t>
  </si>
  <si>
    <t>19/01/2017 21/01/2017</t>
  </si>
  <si>
    <t xml:space="preserve">C-22728   </t>
  </si>
  <si>
    <t xml:space="preserve">C-22729   </t>
  </si>
  <si>
    <t xml:space="preserve">C-22730   </t>
  </si>
  <si>
    <t xml:space="preserve">C-22731   </t>
  </si>
  <si>
    <t xml:space="preserve">C-22732   </t>
  </si>
  <si>
    <t xml:space="preserve">C-22733   </t>
  </si>
  <si>
    <t xml:space="preserve">C-22734   </t>
  </si>
  <si>
    <t xml:space="preserve">C-22735   </t>
  </si>
  <si>
    <t xml:space="preserve">C-22736   </t>
  </si>
  <si>
    <t xml:space="preserve">C-22737   </t>
  </si>
  <si>
    <t xml:space="preserve">C-22738   </t>
  </si>
  <si>
    <t xml:space="preserve">C-22739   </t>
  </si>
  <si>
    <t xml:space="preserve">C-22740   </t>
  </si>
  <si>
    <t xml:space="preserve">C-22741   </t>
  </si>
  <si>
    <t xml:space="preserve">C-22742   </t>
  </si>
  <si>
    <t xml:space="preserve">C-22743   </t>
  </si>
  <si>
    <t xml:space="preserve">C-22744   </t>
  </si>
  <si>
    <t xml:space="preserve">C-22745   </t>
  </si>
  <si>
    <t xml:space="preserve">C-22746   </t>
  </si>
  <si>
    <t xml:space="preserve">C-22747   </t>
  </si>
  <si>
    <t xml:space="preserve">C-22748   </t>
  </si>
  <si>
    <t xml:space="preserve">C-22749   </t>
  </si>
  <si>
    <t xml:space="preserve">C-22750   </t>
  </si>
  <si>
    <t xml:space="preserve">C-22751   </t>
  </si>
  <si>
    <t>20/01/2017 21/01/2017</t>
  </si>
  <si>
    <t xml:space="preserve">C-22752   </t>
  </si>
  <si>
    <t xml:space="preserve">C-22753   </t>
  </si>
  <si>
    <t xml:space="preserve">C-22754   </t>
  </si>
  <si>
    <t xml:space="preserve">C-22755   </t>
  </si>
  <si>
    <t xml:space="preserve">(150)CELEDONIO                                                             </t>
  </si>
  <si>
    <t xml:space="preserve">C-22756   </t>
  </si>
  <si>
    <t xml:space="preserve">C-22757   </t>
  </si>
  <si>
    <t xml:space="preserve">C-22758   </t>
  </si>
  <si>
    <t xml:space="preserve">C-22759   </t>
  </si>
  <si>
    <t xml:space="preserve">C-22760   </t>
  </si>
  <si>
    <t xml:space="preserve">C-22761   </t>
  </si>
  <si>
    <t xml:space="preserve">C-22762   </t>
  </si>
  <si>
    <t xml:space="preserve">C-22763   </t>
  </si>
  <si>
    <t xml:space="preserve">(506)CHINOS CRISTAL                                                        </t>
  </si>
  <si>
    <t xml:space="preserve">C-22764   </t>
  </si>
  <si>
    <t xml:space="preserve">C-22765   </t>
  </si>
  <si>
    <t xml:space="preserve">C-22766   </t>
  </si>
  <si>
    <t xml:space="preserve">C-22767   </t>
  </si>
  <si>
    <t xml:space="preserve">C-22768   </t>
  </si>
  <si>
    <t xml:space="preserve">C-22769   </t>
  </si>
  <si>
    <t xml:space="preserve">C-22770   </t>
  </si>
  <si>
    <t xml:space="preserve">C-22771   </t>
  </si>
  <si>
    <t xml:space="preserve">(391)CARNICERIA RENDON                                                     </t>
  </si>
  <si>
    <t xml:space="preserve">C-22772   </t>
  </si>
  <si>
    <t xml:space="preserve">C-22773   </t>
  </si>
  <si>
    <t xml:space="preserve">C-22774   </t>
  </si>
  <si>
    <t xml:space="preserve">C-22775   </t>
  </si>
  <si>
    <t xml:space="preserve">(12)VICENTE ZAMBRANO                                                      </t>
  </si>
  <si>
    <t xml:space="preserve">C-22776   </t>
  </si>
  <si>
    <t xml:space="preserve">(370)CHINOS INDEPENDENCIA                                                  </t>
  </si>
  <si>
    <t xml:space="preserve">C-22777   </t>
  </si>
  <si>
    <t xml:space="preserve">C-22778   </t>
  </si>
  <si>
    <t xml:space="preserve">C-22779   </t>
  </si>
  <si>
    <t xml:space="preserve">C-22780   </t>
  </si>
  <si>
    <t xml:space="preserve">C-22781   </t>
  </si>
  <si>
    <t xml:space="preserve">C-22782   </t>
  </si>
  <si>
    <t xml:space="preserve">C-22783   </t>
  </si>
  <si>
    <t xml:space="preserve">C-22784   </t>
  </si>
  <si>
    <t xml:space="preserve">C-22785   </t>
  </si>
  <si>
    <t xml:space="preserve">(612)CANDIDO PEREZ                                                         </t>
  </si>
  <si>
    <t xml:space="preserve">C-22786   </t>
  </si>
  <si>
    <t xml:space="preserve">C-22787   </t>
  </si>
  <si>
    <t xml:space="preserve">C-22788   </t>
  </si>
  <si>
    <t xml:space="preserve">C-22789   </t>
  </si>
  <si>
    <t xml:space="preserve">C-22790   </t>
  </si>
  <si>
    <t xml:space="preserve">C-22791   </t>
  </si>
  <si>
    <t xml:space="preserve">(670)VICTOR ROLDAN                                                         </t>
  </si>
  <si>
    <t xml:space="preserve">C-22792   </t>
  </si>
  <si>
    <t xml:space="preserve"> 09/02/2017</t>
  </si>
  <si>
    <t xml:space="preserve">C-22793   </t>
  </si>
  <si>
    <t xml:space="preserve">C-22794   </t>
  </si>
  <si>
    <t xml:space="preserve">C-22795   </t>
  </si>
  <si>
    <t xml:space="preserve">C-22796   </t>
  </si>
  <si>
    <t xml:space="preserve">C-22797   </t>
  </si>
  <si>
    <t xml:space="preserve">C-22798   </t>
  </si>
  <si>
    <t xml:space="preserve">C-22799   </t>
  </si>
  <si>
    <t xml:space="preserve">C-22800   </t>
  </si>
  <si>
    <t>21/01/2017 24/01/2017</t>
  </si>
  <si>
    <t xml:space="preserve">C-22801   </t>
  </si>
  <si>
    <t xml:space="preserve">C-22802   </t>
  </si>
  <si>
    <t xml:space="preserve">C-22803   </t>
  </si>
  <si>
    <t xml:space="preserve">C-22804   </t>
  </si>
  <si>
    <t xml:space="preserve">C-22805   </t>
  </si>
  <si>
    <t xml:space="preserve">C-22806   </t>
  </si>
  <si>
    <t xml:space="preserve">C-22807   </t>
  </si>
  <si>
    <t xml:space="preserve">C-22808   </t>
  </si>
  <si>
    <t xml:space="preserve">C-22809   </t>
  </si>
  <si>
    <t xml:space="preserve">C-22810   </t>
  </si>
  <si>
    <t xml:space="preserve">C-22811   </t>
  </si>
  <si>
    <t xml:space="preserve">C-22812   </t>
  </si>
  <si>
    <t xml:space="preserve">C-22813   </t>
  </si>
  <si>
    <t xml:space="preserve">C-22814   </t>
  </si>
  <si>
    <t xml:space="preserve">C-22815   </t>
  </si>
  <si>
    <t xml:space="preserve">C-22816   </t>
  </si>
  <si>
    <t xml:space="preserve">21/01/2017 22/01/2017 </t>
  </si>
  <si>
    <t xml:space="preserve">C-22817   </t>
  </si>
  <si>
    <t xml:space="preserve">C-22818   </t>
  </si>
  <si>
    <t xml:space="preserve">C-22819   </t>
  </si>
  <si>
    <t xml:space="preserve">C-22820   </t>
  </si>
  <si>
    <t xml:space="preserve">C-22821   </t>
  </si>
  <si>
    <t xml:space="preserve">C-22822   </t>
  </si>
  <si>
    <t xml:space="preserve">C-22823   </t>
  </si>
  <si>
    <t xml:space="preserve">C-22824   </t>
  </si>
  <si>
    <t xml:space="preserve">C-22825   </t>
  </si>
  <si>
    <t xml:space="preserve">C-22826   </t>
  </si>
  <si>
    <t xml:space="preserve">C-22827   </t>
  </si>
  <si>
    <t xml:space="preserve">C-22828   </t>
  </si>
  <si>
    <t xml:space="preserve">C-22829   </t>
  </si>
  <si>
    <t xml:space="preserve">C-22830   </t>
  </si>
  <si>
    <t xml:space="preserve">C-22831   </t>
  </si>
  <si>
    <t xml:space="preserve">C-22832   </t>
  </si>
  <si>
    <t xml:space="preserve">C-22833   </t>
  </si>
  <si>
    <t xml:space="preserve">C-22834   </t>
  </si>
  <si>
    <t xml:space="preserve">C-22835   </t>
  </si>
  <si>
    <t xml:space="preserve">C-22836   </t>
  </si>
  <si>
    <t xml:space="preserve">C-22837   </t>
  </si>
  <si>
    <t xml:space="preserve">C-22838   </t>
  </si>
  <si>
    <t xml:space="preserve">C-22839   </t>
  </si>
  <si>
    <t xml:space="preserve">C-22840   </t>
  </si>
  <si>
    <t xml:space="preserve">C-22841   </t>
  </si>
  <si>
    <t xml:space="preserve">C-22842   </t>
  </si>
  <si>
    <t xml:space="preserve">C-22843   </t>
  </si>
  <si>
    <t xml:space="preserve">C-22844   </t>
  </si>
  <si>
    <t xml:space="preserve">(679)JUANA CASTILLO                                                        </t>
  </si>
  <si>
    <t xml:space="preserve">C-22845   </t>
  </si>
  <si>
    <t xml:space="preserve">C-22846   </t>
  </si>
  <si>
    <t xml:space="preserve">C-22847   </t>
  </si>
  <si>
    <t xml:space="preserve">C-22848   </t>
  </si>
  <si>
    <t xml:space="preserve">C-22849   </t>
  </si>
  <si>
    <t xml:space="preserve">C-22850   </t>
  </si>
  <si>
    <t xml:space="preserve">(18)RAY LOPEZ                                                             </t>
  </si>
  <si>
    <t xml:space="preserve">C-22851   </t>
  </si>
  <si>
    <t xml:space="preserve">C-22852   </t>
  </si>
  <si>
    <t xml:space="preserve">C-22853   </t>
  </si>
  <si>
    <t xml:space="preserve">C-22854   </t>
  </si>
  <si>
    <t xml:space="preserve">C-22855   </t>
  </si>
  <si>
    <t xml:space="preserve">C-22856   </t>
  </si>
  <si>
    <t xml:space="preserve">C-22857   </t>
  </si>
  <si>
    <t xml:space="preserve">C-22858   </t>
  </si>
  <si>
    <t xml:space="preserve">C-22859   </t>
  </si>
  <si>
    <t xml:space="preserve">C-22860   </t>
  </si>
  <si>
    <t xml:space="preserve">C-22861   </t>
  </si>
  <si>
    <t xml:space="preserve">C-22862   </t>
  </si>
  <si>
    <t xml:space="preserve">C-22863   </t>
  </si>
  <si>
    <t xml:space="preserve">C-22864   </t>
  </si>
  <si>
    <t xml:space="preserve">C-22865   </t>
  </si>
  <si>
    <t xml:space="preserve">C-22866   </t>
  </si>
  <si>
    <t xml:space="preserve">C-22867   </t>
  </si>
  <si>
    <t xml:space="preserve">C-22868   </t>
  </si>
  <si>
    <t xml:space="preserve">C-22869   </t>
  </si>
  <si>
    <t xml:space="preserve">C-22870   </t>
  </si>
  <si>
    <t xml:space="preserve">C-22871   </t>
  </si>
  <si>
    <t xml:space="preserve">C-22872   </t>
  </si>
  <si>
    <t xml:space="preserve">C-22873   </t>
  </si>
  <si>
    <t xml:space="preserve">C-22874   </t>
  </si>
  <si>
    <t xml:space="preserve">C-22875   </t>
  </si>
  <si>
    <t xml:space="preserve">C-22876   </t>
  </si>
  <si>
    <t xml:space="preserve">C-22877   </t>
  </si>
  <si>
    <t xml:space="preserve">C-22878   </t>
  </si>
  <si>
    <t xml:space="preserve">C-22879   </t>
  </si>
  <si>
    <t xml:space="preserve">C-22880   </t>
  </si>
  <si>
    <t xml:space="preserve">C-22881   </t>
  </si>
  <si>
    <t xml:space="preserve">C-22882   </t>
  </si>
  <si>
    <t xml:space="preserve">C-22883   </t>
  </si>
  <si>
    <t xml:space="preserve">C-22884   </t>
  </si>
  <si>
    <t xml:space="preserve">C-22885   </t>
  </si>
  <si>
    <t xml:space="preserve">C-22886   </t>
  </si>
  <si>
    <t xml:space="preserve">C-22887   </t>
  </si>
  <si>
    <t xml:space="preserve">C-22888   </t>
  </si>
  <si>
    <t xml:space="preserve">C-22889   </t>
  </si>
  <si>
    <t xml:space="preserve">C-22890   </t>
  </si>
  <si>
    <t xml:space="preserve">C-22891   </t>
  </si>
  <si>
    <t xml:space="preserve">C-22892   </t>
  </si>
  <si>
    <t xml:space="preserve">C-22893   </t>
  </si>
  <si>
    <t xml:space="preserve">C-22894   </t>
  </si>
  <si>
    <t xml:space="preserve">C-22895   </t>
  </si>
  <si>
    <t xml:space="preserve">C-22896   </t>
  </si>
  <si>
    <t xml:space="preserve">C-22897   </t>
  </si>
  <si>
    <t xml:space="preserve">C-22898   </t>
  </si>
  <si>
    <t xml:space="preserve">C-22899   </t>
  </si>
  <si>
    <t xml:space="preserve">C-22900   </t>
  </si>
  <si>
    <t xml:space="preserve">C-22901   </t>
  </si>
  <si>
    <t xml:space="preserve">C-22902   </t>
  </si>
  <si>
    <t xml:space="preserve">C-22903   </t>
  </si>
  <si>
    <t xml:space="preserve">(329)NERY RUEDA                                                            </t>
  </si>
  <si>
    <t xml:space="preserve">C-22904   </t>
  </si>
  <si>
    <t xml:space="preserve">C-22905   </t>
  </si>
  <si>
    <t xml:space="preserve">C-22906   </t>
  </si>
  <si>
    <t xml:space="preserve">C-22907   </t>
  </si>
  <si>
    <t xml:space="preserve">C-22908   </t>
  </si>
  <si>
    <t xml:space="preserve">C-22909   </t>
  </si>
  <si>
    <t xml:space="preserve">C-22910   </t>
  </si>
  <si>
    <t xml:space="preserve">C-22911   </t>
  </si>
  <si>
    <t xml:space="preserve">C-22912   </t>
  </si>
  <si>
    <t xml:space="preserve">C-22913   </t>
  </si>
  <si>
    <t xml:space="preserve">C-22914   </t>
  </si>
  <si>
    <t xml:space="preserve">C-22915   </t>
  </si>
  <si>
    <t xml:space="preserve">C-22916   </t>
  </si>
  <si>
    <t xml:space="preserve">C-22917   </t>
  </si>
  <si>
    <t xml:space="preserve">C-22918   </t>
  </si>
  <si>
    <t xml:space="preserve">C-22919   </t>
  </si>
  <si>
    <t xml:space="preserve">C-22920   </t>
  </si>
  <si>
    <t>21/01/2017 25/01/2017</t>
  </si>
  <si>
    <t xml:space="preserve">C-22921   </t>
  </si>
  <si>
    <t xml:space="preserve">C-22922   </t>
  </si>
  <si>
    <t xml:space="preserve">C-22923   </t>
  </si>
  <si>
    <t xml:space="preserve">C-22924   </t>
  </si>
  <si>
    <t xml:space="preserve">C-22925   </t>
  </si>
  <si>
    <t xml:space="preserve">C-22926   </t>
  </si>
  <si>
    <t xml:space="preserve">C-22927   </t>
  </si>
  <si>
    <t xml:space="preserve">C-22928   </t>
  </si>
  <si>
    <t xml:space="preserve">C-22929   </t>
  </si>
  <si>
    <t xml:space="preserve">C-22930   </t>
  </si>
  <si>
    <t xml:space="preserve">C-22931   </t>
  </si>
  <si>
    <t xml:space="preserve">C-22932   </t>
  </si>
  <si>
    <t xml:space="preserve">C-22933   </t>
  </si>
  <si>
    <t xml:space="preserve">C-22934   </t>
  </si>
  <si>
    <t xml:space="preserve">C-22935   </t>
  </si>
  <si>
    <t xml:space="preserve">(33)BENITO ALFONSO                                                        </t>
  </si>
  <si>
    <t xml:space="preserve">C-22936   </t>
  </si>
  <si>
    <t xml:space="preserve">C-22937   </t>
  </si>
  <si>
    <t xml:space="preserve">C-22938   </t>
  </si>
  <si>
    <t xml:space="preserve">C-22939   </t>
  </si>
  <si>
    <t xml:space="preserve">C-22940   </t>
  </si>
  <si>
    <t xml:space="preserve">C-22941   </t>
  </si>
  <si>
    <t xml:space="preserve">C-22942   </t>
  </si>
  <si>
    <t xml:space="preserve">C-22943   </t>
  </si>
  <si>
    <t xml:space="preserve">C-22944   </t>
  </si>
  <si>
    <t xml:space="preserve">C-22945   </t>
  </si>
  <si>
    <t xml:space="preserve">C-22946   </t>
  </si>
  <si>
    <t xml:space="preserve">C-22947   </t>
  </si>
  <si>
    <t xml:space="preserve">C-22948   </t>
  </si>
  <si>
    <t xml:space="preserve">C-22949   </t>
  </si>
  <si>
    <t xml:space="preserve">C-22950   </t>
  </si>
  <si>
    <t xml:space="preserve">C-22951   </t>
  </si>
  <si>
    <t xml:space="preserve">C-22952   </t>
  </si>
  <si>
    <t xml:space="preserve">C-22953   </t>
  </si>
  <si>
    <t xml:space="preserve">C-22954   </t>
  </si>
  <si>
    <t xml:space="preserve"> 13/02/2017</t>
  </si>
  <si>
    <t xml:space="preserve">C-22955   </t>
  </si>
  <si>
    <t xml:space="preserve">(273)CARLOS  VERACRUZ                                                      </t>
  </si>
  <si>
    <t xml:space="preserve">C-22956   </t>
  </si>
  <si>
    <t xml:space="preserve">C-22957   </t>
  </si>
  <si>
    <t xml:space="preserve">C-22958   </t>
  </si>
  <si>
    <t xml:space="preserve">C-22959   </t>
  </si>
  <si>
    <t xml:space="preserve">C-22960   </t>
  </si>
  <si>
    <t>24/01/2017 27/01/2017</t>
  </si>
  <si>
    <t xml:space="preserve">C-22961   </t>
  </si>
  <si>
    <t xml:space="preserve">C-22962   </t>
  </si>
  <si>
    <t xml:space="preserve">C-22963   </t>
  </si>
  <si>
    <t xml:space="preserve">(680)TARIMAS                                                               </t>
  </si>
  <si>
    <t xml:space="preserve">C-22964   </t>
  </si>
  <si>
    <t xml:space="preserve">C-22965   </t>
  </si>
  <si>
    <t xml:space="preserve">C-22966   </t>
  </si>
  <si>
    <t xml:space="preserve">C-22967   </t>
  </si>
  <si>
    <t xml:space="preserve">C-22968   </t>
  </si>
  <si>
    <t xml:space="preserve">C-22969   </t>
  </si>
  <si>
    <t xml:space="preserve">C-22970   </t>
  </si>
  <si>
    <t xml:space="preserve"> 07/02/2017</t>
  </si>
  <si>
    <t xml:space="preserve">C-22971   </t>
  </si>
  <si>
    <t xml:space="preserve">C-22972   </t>
  </si>
  <si>
    <t xml:space="preserve">C-22973   </t>
  </si>
  <si>
    <t xml:space="preserve">C-22974   </t>
  </si>
  <si>
    <t xml:space="preserve">C-22975   </t>
  </si>
  <si>
    <t xml:space="preserve">C-22976   </t>
  </si>
  <si>
    <t xml:space="preserve">C-22977   </t>
  </si>
  <si>
    <t xml:space="preserve">C-22978   </t>
  </si>
  <si>
    <t xml:space="preserve">C-22979   </t>
  </si>
  <si>
    <t xml:space="preserve"> 22/01/2017</t>
  </si>
  <si>
    <t xml:space="preserve">C-22980   </t>
  </si>
  <si>
    <t xml:space="preserve">C-22981   </t>
  </si>
  <si>
    <t xml:space="preserve">C-22982   </t>
  </si>
  <si>
    <t xml:space="preserve">C-22983   </t>
  </si>
  <si>
    <t xml:space="preserve">C-22984   </t>
  </si>
  <si>
    <t xml:space="preserve">C-22985   </t>
  </si>
  <si>
    <t xml:space="preserve">C-22986   </t>
  </si>
  <si>
    <t xml:space="preserve">C-22987   </t>
  </si>
  <si>
    <t xml:space="preserve">C-22988   </t>
  </si>
  <si>
    <t xml:space="preserve">C-22989   </t>
  </si>
  <si>
    <t xml:space="preserve">C-22990   </t>
  </si>
  <si>
    <t xml:space="preserve">C-22991   </t>
  </si>
  <si>
    <t xml:space="preserve">C-22992   </t>
  </si>
  <si>
    <t>23/01/2017 25/01/2017</t>
  </si>
  <si>
    <t xml:space="preserve">C-22993   </t>
  </si>
  <si>
    <t xml:space="preserve">C-22994   </t>
  </si>
  <si>
    <t xml:space="preserve">C-22995   </t>
  </si>
  <si>
    <t xml:space="preserve">C-22996   </t>
  </si>
  <si>
    <t xml:space="preserve">C-22997   </t>
  </si>
  <si>
    <t>26/01/2017 27/01/2017</t>
  </si>
  <si>
    <t xml:space="preserve">C-22998   </t>
  </si>
  <si>
    <t xml:space="preserve">C-22999   </t>
  </si>
  <si>
    <t xml:space="preserve">C-23000   </t>
  </si>
  <si>
    <t>24/01/2017 25/01/2017</t>
  </si>
  <si>
    <t xml:space="preserve">C-23001   </t>
  </si>
  <si>
    <t xml:space="preserve">C-23002   </t>
  </si>
  <si>
    <t xml:space="preserve">C-23003   </t>
  </si>
  <si>
    <t xml:space="preserve">C-23004   </t>
  </si>
  <si>
    <t xml:space="preserve">C-23005   </t>
  </si>
  <si>
    <t xml:space="preserve">C-23006   </t>
  </si>
  <si>
    <t xml:space="preserve">C-23007   </t>
  </si>
  <si>
    <t xml:space="preserve">C-23008   </t>
  </si>
  <si>
    <t>25/01/2017 26/01/2017 04/02/2017</t>
  </si>
  <si>
    <t xml:space="preserve">C-23009   </t>
  </si>
  <si>
    <t xml:space="preserve">C-23010   </t>
  </si>
  <si>
    <t xml:space="preserve">C-23011   </t>
  </si>
  <si>
    <t xml:space="preserve">C-23012   </t>
  </si>
  <si>
    <t xml:space="preserve">C-23013   </t>
  </si>
  <si>
    <t xml:space="preserve">C-23014   </t>
  </si>
  <si>
    <t xml:space="preserve">C-23015   </t>
  </si>
  <si>
    <t xml:space="preserve">C-23016   </t>
  </si>
  <si>
    <t xml:space="preserve">C-23017   </t>
  </si>
  <si>
    <t xml:space="preserve">C-23018   </t>
  </si>
  <si>
    <t xml:space="preserve">C-23019   </t>
  </si>
  <si>
    <t xml:space="preserve">C-23020   </t>
  </si>
  <si>
    <t xml:space="preserve">C-23021   </t>
  </si>
  <si>
    <t xml:space="preserve">C-23022   </t>
  </si>
  <si>
    <t xml:space="preserve">C-23023   </t>
  </si>
  <si>
    <t xml:space="preserve">C-23024   </t>
  </si>
  <si>
    <t xml:space="preserve">C-23025   </t>
  </si>
  <si>
    <t xml:space="preserve">C-23026   </t>
  </si>
  <si>
    <t xml:space="preserve">C-23027   </t>
  </si>
  <si>
    <t xml:space="preserve">C-23028   </t>
  </si>
  <si>
    <t xml:space="preserve">C-23029   </t>
  </si>
  <si>
    <t xml:space="preserve">C-23030   </t>
  </si>
  <si>
    <t xml:space="preserve">C-23031   </t>
  </si>
  <si>
    <t xml:space="preserve">C-23032   </t>
  </si>
  <si>
    <t xml:space="preserve">C-23033   </t>
  </si>
  <si>
    <t xml:space="preserve">C-23034   </t>
  </si>
  <si>
    <t xml:space="preserve">C-23035   </t>
  </si>
  <si>
    <t xml:space="preserve">C-23036   </t>
  </si>
  <si>
    <t xml:space="preserve">C-23037   </t>
  </si>
  <si>
    <t xml:space="preserve">C-23038   </t>
  </si>
  <si>
    <t xml:space="preserve">C-23039   </t>
  </si>
  <si>
    <t xml:space="preserve">C-23040   </t>
  </si>
  <si>
    <t xml:space="preserve">C-23041   </t>
  </si>
  <si>
    <t xml:space="preserve">C-23042   </t>
  </si>
  <si>
    <t xml:space="preserve">C-23043   </t>
  </si>
  <si>
    <t xml:space="preserve">C-23044   </t>
  </si>
  <si>
    <t xml:space="preserve">C-23045   </t>
  </si>
  <si>
    <t xml:space="preserve">C-23046   </t>
  </si>
  <si>
    <t xml:space="preserve">C-23047   </t>
  </si>
  <si>
    <t xml:space="preserve">C-23048   </t>
  </si>
  <si>
    <t xml:space="preserve">C-23049   </t>
  </si>
  <si>
    <t xml:space="preserve">C-23050   </t>
  </si>
  <si>
    <t xml:space="preserve">C-23051   </t>
  </si>
  <si>
    <t xml:space="preserve">C-23052   </t>
  </si>
  <si>
    <t xml:space="preserve">C-23053   </t>
  </si>
  <si>
    <t xml:space="preserve">C-23054   </t>
  </si>
  <si>
    <t xml:space="preserve">C-23055   </t>
  </si>
  <si>
    <t xml:space="preserve">C-23056   </t>
  </si>
  <si>
    <t xml:space="preserve">C-23057   </t>
  </si>
  <si>
    <t xml:space="preserve">C-23058   </t>
  </si>
  <si>
    <t xml:space="preserve">C-23059   </t>
  </si>
  <si>
    <t xml:space="preserve">C-23060   </t>
  </si>
  <si>
    <t xml:space="preserve">C-23061   </t>
  </si>
  <si>
    <t xml:space="preserve">C-23062   </t>
  </si>
  <si>
    <t xml:space="preserve">C-23063   </t>
  </si>
  <si>
    <t xml:space="preserve">C-23064   </t>
  </si>
  <si>
    <t xml:space="preserve">C-23065   </t>
  </si>
  <si>
    <t xml:space="preserve">C-23066   </t>
  </si>
  <si>
    <t xml:space="preserve">C-23067   </t>
  </si>
  <si>
    <t xml:space="preserve">C-23068   </t>
  </si>
  <si>
    <t xml:space="preserve">C-23069   </t>
  </si>
  <si>
    <t xml:space="preserve">C-23070   </t>
  </si>
  <si>
    <t xml:space="preserve">C-23071   </t>
  </si>
  <si>
    <t xml:space="preserve">C-23072   </t>
  </si>
  <si>
    <t xml:space="preserve">C-23073   </t>
  </si>
  <si>
    <t xml:space="preserve">C-23074   </t>
  </si>
  <si>
    <t xml:space="preserve">C-23075   </t>
  </si>
  <si>
    <t xml:space="preserve">C-23076   </t>
  </si>
  <si>
    <t xml:space="preserve">C-23077   </t>
  </si>
  <si>
    <t xml:space="preserve">C-23078   </t>
  </si>
  <si>
    <t xml:space="preserve">C-23079   </t>
  </si>
  <si>
    <t xml:space="preserve">C-23080   </t>
  </si>
  <si>
    <t xml:space="preserve">C-23081   </t>
  </si>
  <si>
    <t xml:space="preserve">C-23082   </t>
  </si>
  <si>
    <t xml:space="preserve">C-23083   </t>
  </si>
  <si>
    <t xml:space="preserve">C-23084   </t>
  </si>
  <si>
    <t xml:space="preserve">C-23085   </t>
  </si>
  <si>
    <t xml:space="preserve">C-23086   </t>
  </si>
  <si>
    <t xml:space="preserve">C-23087   </t>
  </si>
  <si>
    <t xml:space="preserve">C-23088   </t>
  </si>
  <si>
    <t xml:space="preserve">C-23089   </t>
  </si>
  <si>
    <t xml:space="preserve">C-23090   </t>
  </si>
  <si>
    <t xml:space="preserve">C-23091   </t>
  </si>
  <si>
    <t xml:space="preserve">C-23092   </t>
  </si>
  <si>
    <t xml:space="preserve">C-23093   </t>
  </si>
  <si>
    <t xml:space="preserve">C-23094   </t>
  </si>
  <si>
    <t xml:space="preserve">C-23095   </t>
  </si>
  <si>
    <t xml:space="preserve">C-23096   </t>
  </si>
  <si>
    <t xml:space="preserve">C-23097   </t>
  </si>
  <si>
    <t xml:space="preserve">C-23098   </t>
  </si>
  <si>
    <t xml:space="preserve">C-23099   </t>
  </si>
  <si>
    <t xml:space="preserve">C-23100   </t>
  </si>
  <si>
    <t xml:space="preserve">C-23101   </t>
  </si>
  <si>
    <t xml:space="preserve">C-23102   </t>
  </si>
  <si>
    <t xml:space="preserve">C-23103   </t>
  </si>
  <si>
    <t xml:space="preserve">C-23104   </t>
  </si>
  <si>
    <t xml:space="preserve">C-23105   </t>
  </si>
  <si>
    <t xml:space="preserve">C-23106   </t>
  </si>
  <si>
    <t xml:space="preserve">C-23107   </t>
  </si>
  <si>
    <t xml:space="preserve">C-23108   </t>
  </si>
  <si>
    <t xml:space="preserve">C-23109   </t>
  </si>
  <si>
    <t xml:space="preserve">C-23110   </t>
  </si>
  <si>
    <t xml:space="preserve">C-23111   </t>
  </si>
  <si>
    <t xml:space="preserve">C-23112   </t>
  </si>
  <si>
    <t xml:space="preserve">C-23113   </t>
  </si>
  <si>
    <t xml:space="preserve">C-23114   </t>
  </si>
  <si>
    <t xml:space="preserve">C-23115   </t>
  </si>
  <si>
    <t xml:space="preserve">C-23116   </t>
  </si>
  <si>
    <t xml:space="preserve">C-23117   </t>
  </si>
  <si>
    <t xml:space="preserve">C-23118   </t>
  </si>
  <si>
    <t xml:space="preserve">C-23119   </t>
  </si>
  <si>
    <t xml:space="preserve">C-23120   </t>
  </si>
  <si>
    <t xml:space="preserve">C-23121   </t>
  </si>
  <si>
    <t xml:space="preserve">C-23122   </t>
  </si>
  <si>
    <t xml:space="preserve">C-23123   </t>
  </si>
  <si>
    <t xml:space="preserve">C-23124   </t>
  </si>
  <si>
    <t xml:space="preserve">C-23125   </t>
  </si>
  <si>
    <t xml:space="preserve">C-23126   </t>
  </si>
  <si>
    <t xml:space="preserve">C-23127   </t>
  </si>
  <si>
    <t xml:space="preserve">C-23128   </t>
  </si>
  <si>
    <t xml:space="preserve">C-23129   </t>
  </si>
  <si>
    <t xml:space="preserve">C-23130   </t>
  </si>
  <si>
    <t xml:space="preserve">C-23131   </t>
  </si>
  <si>
    <t xml:space="preserve">C-23132   </t>
  </si>
  <si>
    <t xml:space="preserve">C-23133   </t>
  </si>
  <si>
    <t xml:space="preserve">C-23134   </t>
  </si>
  <si>
    <t xml:space="preserve">C-23135   </t>
  </si>
  <si>
    <t xml:space="preserve">C-23136   </t>
  </si>
  <si>
    <t xml:space="preserve">C-23137   </t>
  </si>
  <si>
    <t xml:space="preserve">C-23138   </t>
  </si>
  <si>
    <t xml:space="preserve">C-23139   </t>
  </si>
  <si>
    <t xml:space="preserve">C-23140   </t>
  </si>
  <si>
    <t xml:space="preserve">C-23141   </t>
  </si>
  <si>
    <t xml:space="preserve">C-23142   </t>
  </si>
  <si>
    <t xml:space="preserve">C-23143   </t>
  </si>
  <si>
    <t xml:space="preserve">C-23144   </t>
  </si>
  <si>
    <t xml:space="preserve">C-23145   </t>
  </si>
  <si>
    <t xml:space="preserve">C-23146   </t>
  </si>
  <si>
    <t xml:space="preserve">C-23147   </t>
  </si>
  <si>
    <t xml:space="preserve">C-23148   </t>
  </si>
  <si>
    <t xml:space="preserve">C-23149   </t>
  </si>
  <si>
    <t xml:space="preserve">C-23150   </t>
  </si>
  <si>
    <t xml:space="preserve">C-23151   </t>
  </si>
  <si>
    <t xml:space="preserve">C-23152   </t>
  </si>
  <si>
    <t xml:space="preserve">C-23153   </t>
  </si>
  <si>
    <t xml:space="preserve">C-23154   </t>
  </si>
  <si>
    <t xml:space="preserve">C-23155   </t>
  </si>
  <si>
    <t xml:space="preserve">C-23156   </t>
  </si>
  <si>
    <t xml:space="preserve">C-23157   </t>
  </si>
  <si>
    <t xml:space="preserve">C-23158   </t>
  </si>
  <si>
    <t xml:space="preserve">C-23159   </t>
  </si>
  <si>
    <t xml:space="preserve">C-23160   </t>
  </si>
  <si>
    <t xml:space="preserve">C-23161   </t>
  </si>
  <si>
    <t xml:space="preserve">C-23162   </t>
  </si>
  <si>
    <t xml:space="preserve">C-23163   </t>
  </si>
  <si>
    <t xml:space="preserve">C-23164   </t>
  </si>
  <si>
    <t xml:space="preserve">C-23165   </t>
  </si>
  <si>
    <t xml:space="preserve">C-23166   </t>
  </si>
  <si>
    <t xml:space="preserve">C-23167   </t>
  </si>
  <si>
    <t xml:space="preserve">C-23168   </t>
  </si>
  <si>
    <t xml:space="preserve">C-23169   </t>
  </si>
  <si>
    <t xml:space="preserve">C-23170   </t>
  </si>
  <si>
    <t xml:space="preserve">C-23171   </t>
  </si>
  <si>
    <t xml:space="preserve">C-23172   </t>
  </si>
  <si>
    <t xml:space="preserve">C-23173   </t>
  </si>
  <si>
    <t xml:space="preserve">C-23174   </t>
  </si>
  <si>
    <t xml:space="preserve">C-23175   </t>
  </si>
  <si>
    <t xml:space="preserve">C-23176   </t>
  </si>
  <si>
    <t xml:space="preserve">C-23177   </t>
  </si>
  <si>
    <t xml:space="preserve">C-23178   </t>
  </si>
  <si>
    <t xml:space="preserve">C-23179   </t>
  </si>
  <si>
    <t xml:space="preserve">C-23180   </t>
  </si>
  <si>
    <t xml:space="preserve">C-23181   </t>
  </si>
  <si>
    <t xml:space="preserve">C-23182   </t>
  </si>
  <si>
    <t xml:space="preserve">C-23183   </t>
  </si>
  <si>
    <t xml:space="preserve">C-23184   </t>
  </si>
  <si>
    <t xml:space="preserve">C-23185   </t>
  </si>
  <si>
    <t xml:space="preserve">C-23186   </t>
  </si>
  <si>
    <t xml:space="preserve">C-23187   </t>
  </si>
  <si>
    <t xml:space="preserve">C-23188   </t>
  </si>
  <si>
    <t xml:space="preserve">C-23189   </t>
  </si>
  <si>
    <t xml:space="preserve">C-23190   </t>
  </si>
  <si>
    <t xml:space="preserve">C-23191   </t>
  </si>
  <si>
    <t xml:space="preserve">C-23192   </t>
  </si>
  <si>
    <t xml:space="preserve">C-23193   </t>
  </si>
  <si>
    <t xml:space="preserve">C-23194   </t>
  </si>
  <si>
    <t xml:space="preserve">C-23195   </t>
  </si>
  <si>
    <t xml:space="preserve">C-23196   </t>
  </si>
  <si>
    <t xml:space="preserve">C-23197   </t>
  </si>
  <si>
    <t xml:space="preserve">C-23198   </t>
  </si>
  <si>
    <t xml:space="preserve">C-23199   </t>
  </si>
  <si>
    <t xml:space="preserve">C-23200   </t>
  </si>
  <si>
    <t xml:space="preserve">C-23201   </t>
  </si>
  <si>
    <t xml:space="preserve">C-23202   </t>
  </si>
  <si>
    <t xml:space="preserve">C-23203   </t>
  </si>
  <si>
    <t xml:space="preserve">C-23204   </t>
  </si>
  <si>
    <t xml:space="preserve">C-23205   </t>
  </si>
  <si>
    <t xml:space="preserve">C-23206   </t>
  </si>
  <si>
    <t xml:space="preserve">(649)VICTOR LOPEZ                                                          </t>
  </si>
  <si>
    <t xml:space="preserve">C-23207   </t>
  </si>
  <si>
    <t xml:space="preserve">C-23208   </t>
  </si>
  <si>
    <t xml:space="preserve">C-23209   </t>
  </si>
  <si>
    <t xml:space="preserve">C-23210   </t>
  </si>
  <si>
    <t xml:space="preserve">C-23211   </t>
  </si>
  <si>
    <t xml:space="preserve">C-23212   </t>
  </si>
  <si>
    <t xml:space="preserve">C-23213   </t>
  </si>
  <si>
    <t xml:space="preserve">C-23214   </t>
  </si>
  <si>
    <t xml:space="preserve">C-23215   </t>
  </si>
  <si>
    <t xml:space="preserve">C-23216   </t>
  </si>
  <si>
    <t xml:space="preserve">(17)RAMIRO PEREZ                                                          </t>
  </si>
  <si>
    <t xml:space="preserve">C-23217   </t>
  </si>
  <si>
    <t xml:space="preserve">C-23218   </t>
  </si>
  <si>
    <t xml:space="preserve">C-23219   </t>
  </si>
  <si>
    <t xml:space="preserve">C-23220   </t>
  </si>
  <si>
    <t xml:space="preserve">C-23221   </t>
  </si>
  <si>
    <t xml:space="preserve">C-23222   </t>
  </si>
  <si>
    <t xml:space="preserve">C-23223   </t>
  </si>
  <si>
    <t xml:space="preserve">C-23224   </t>
  </si>
  <si>
    <t xml:space="preserve">C-23225   </t>
  </si>
  <si>
    <t xml:space="preserve">C-23226   </t>
  </si>
  <si>
    <t xml:space="preserve">C-23227   </t>
  </si>
  <si>
    <t xml:space="preserve">C-23228   </t>
  </si>
  <si>
    <t xml:space="preserve">C-23229   </t>
  </si>
  <si>
    <t xml:space="preserve">C-23230   </t>
  </si>
  <si>
    <t xml:space="preserve">C-23231   </t>
  </si>
  <si>
    <t xml:space="preserve">C-23232   </t>
  </si>
  <si>
    <t xml:space="preserve">C-23233   </t>
  </si>
  <si>
    <t xml:space="preserve">C-23234   </t>
  </si>
  <si>
    <t xml:space="preserve">C-23235   </t>
  </si>
  <si>
    <t xml:space="preserve">C-23236   </t>
  </si>
  <si>
    <t xml:space="preserve">C-23237   </t>
  </si>
  <si>
    <t xml:space="preserve">C-23238   </t>
  </si>
  <si>
    <t xml:space="preserve">C-23239   </t>
  </si>
  <si>
    <t xml:space="preserve">C-23240   </t>
  </si>
  <si>
    <t xml:space="preserve">C-23241   </t>
  </si>
  <si>
    <t xml:space="preserve">C-23242   </t>
  </si>
  <si>
    <t xml:space="preserve">C-23243   </t>
  </si>
  <si>
    <t xml:space="preserve">C-23244   </t>
  </si>
  <si>
    <t>23/01/2017 27/01/2017</t>
  </si>
  <si>
    <t xml:space="preserve">C-23245   </t>
  </si>
  <si>
    <t xml:space="preserve">C-23246   </t>
  </si>
  <si>
    <t xml:space="preserve">C-23247   </t>
  </si>
  <si>
    <t xml:space="preserve">C-23248   </t>
  </si>
  <si>
    <t xml:space="preserve">C-23249   </t>
  </si>
  <si>
    <t xml:space="preserve">C-23250   </t>
  </si>
  <si>
    <t xml:space="preserve">C-23251   </t>
  </si>
  <si>
    <t xml:space="preserve">C-23252   </t>
  </si>
  <si>
    <t xml:space="preserve">C-23253   </t>
  </si>
  <si>
    <t xml:space="preserve">C-23254   </t>
  </si>
  <si>
    <t xml:space="preserve">C-23255   </t>
  </si>
  <si>
    <t xml:space="preserve">C-23256   </t>
  </si>
  <si>
    <t xml:space="preserve">C-23257   </t>
  </si>
  <si>
    <t xml:space="preserve">C-23258   </t>
  </si>
  <si>
    <t xml:space="preserve">C-23259   </t>
  </si>
  <si>
    <t>31/01/2017 14/02/2017</t>
  </si>
  <si>
    <t xml:space="preserve">C-23260   </t>
  </si>
  <si>
    <t xml:space="preserve">C-23261   </t>
  </si>
  <si>
    <t xml:space="preserve">C-23262   </t>
  </si>
  <si>
    <t xml:space="preserve">C-23263   </t>
  </si>
  <si>
    <t xml:space="preserve">C-23264   </t>
  </si>
  <si>
    <t xml:space="preserve">C-23265   </t>
  </si>
  <si>
    <t xml:space="preserve">C-23266   </t>
  </si>
  <si>
    <t xml:space="preserve">C-23267   </t>
  </si>
  <si>
    <t xml:space="preserve">C-23268   </t>
  </si>
  <si>
    <t xml:space="preserve">C-23269   </t>
  </si>
  <si>
    <t xml:space="preserve">C-23270   </t>
  </si>
  <si>
    <t xml:space="preserve">C-23271   </t>
  </si>
  <si>
    <t xml:space="preserve">C-23272   </t>
  </si>
  <si>
    <t xml:space="preserve">C-23273   </t>
  </si>
  <si>
    <t xml:space="preserve">C-23274   </t>
  </si>
  <si>
    <t xml:space="preserve">C-23275   </t>
  </si>
  <si>
    <t xml:space="preserve">C-23276   </t>
  </si>
  <si>
    <t xml:space="preserve">C-23277   </t>
  </si>
  <si>
    <t xml:space="preserve">C-23278   </t>
  </si>
  <si>
    <t xml:space="preserve">C-23279   </t>
  </si>
  <si>
    <t xml:space="preserve">C-23280   </t>
  </si>
  <si>
    <t xml:space="preserve"> 20/02/2017</t>
  </si>
  <si>
    <t xml:space="preserve">C-23281   </t>
  </si>
  <si>
    <t xml:space="preserve">C-23282   </t>
  </si>
  <si>
    <t xml:space="preserve">C-23283   </t>
  </si>
  <si>
    <t xml:space="preserve">C-23284   </t>
  </si>
  <si>
    <t xml:space="preserve">C-23285   </t>
  </si>
  <si>
    <t xml:space="preserve">C-23286   </t>
  </si>
  <si>
    <t xml:space="preserve">C-23287   </t>
  </si>
  <si>
    <t xml:space="preserve">C-23288   </t>
  </si>
  <si>
    <t xml:space="preserve">C-23289   </t>
  </si>
  <si>
    <t xml:space="preserve">C-23290   </t>
  </si>
  <si>
    <t>25/01/2017 29/01/2017</t>
  </si>
  <si>
    <t xml:space="preserve">C-23291   </t>
  </si>
  <si>
    <t xml:space="preserve">C-23292   </t>
  </si>
  <si>
    <t xml:space="preserve">C-23293   </t>
  </si>
  <si>
    <t xml:space="preserve">C-23294   </t>
  </si>
  <si>
    <t xml:space="preserve">C-23295   </t>
  </si>
  <si>
    <t xml:space="preserve">C-23296   </t>
  </si>
  <si>
    <t xml:space="preserve">C-23297   </t>
  </si>
  <si>
    <t xml:space="preserve">C-23298   </t>
  </si>
  <si>
    <t xml:space="preserve">C-23299   </t>
  </si>
  <si>
    <t xml:space="preserve">C-23300   </t>
  </si>
  <si>
    <t xml:space="preserve">C-23301   </t>
  </si>
  <si>
    <t xml:space="preserve">C-23302   </t>
  </si>
  <si>
    <t xml:space="preserve">C-23303   </t>
  </si>
  <si>
    <t xml:space="preserve">C-23304   </t>
  </si>
  <si>
    <t xml:space="preserve">C-23305   </t>
  </si>
  <si>
    <t xml:space="preserve">C-23306   </t>
  </si>
  <si>
    <t xml:space="preserve">C-23307   </t>
  </si>
  <si>
    <t xml:space="preserve">C-23308   </t>
  </si>
  <si>
    <t xml:space="preserve">C-23309   </t>
  </si>
  <si>
    <t xml:space="preserve">(539)ALFREDO ZAMBRANO                                                      </t>
  </si>
  <si>
    <t xml:space="preserve">C-23310   </t>
  </si>
  <si>
    <t xml:space="preserve">C-23311   </t>
  </si>
  <si>
    <t xml:space="preserve">C-23312   </t>
  </si>
  <si>
    <t xml:space="preserve">C-23313   </t>
  </si>
  <si>
    <t xml:space="preserve">C-23314   </t>
  </si>
  <si>
    <t xml:space="preserve">C-23315   </t>
  </si>
  <si>
    <t xml:space="preserve">C-23316   </t>
  </si>
  <si>
    <t xml:space="preserve">C-23317   </t>
  </si>
  <si>
    <t xml:space="preserve">C-23318   </t>
  </si>
  <si>
    <t xml:space="preserve">C-23319   </t>
  </si>
  <si>
    <t xml:space="preserve">C-23320   </t>
  </si>
  <si>
    <t xml:space="preserve">C-23321   </t>
  </si>
  <si>
    <t xml:space="preserve">C-23322   </t>
  </si>
  <si>
    <t xml:space="preserve">C-23323   </t>
  </si>
  <si>
    <t xml:space="preserve">C-23324   </t>
  </si>
  <si>
    <t xml:space="preserve">C-23325   </t>
  </si>
  <si>
    <t xml:space="preserve">C-23326   </t>
  </si>
  <si>
    <t xml:space="preserve">C-23327   </t>
  </si>
  <si>
    <t xml:space="preserve">C-23328   </t>
  </si>
  <si>
    <t xml:space="preserve">C-23329   </t>
  </si>
  <si>
    <t xml:space="preserve">C-23330   </t>
  </si>
  <si>
    <t xml:space="preserve">C-23331   </t>
  </si>
  <si>
    <t xml:space="preserve">C-23332   </t>
  </si>
  <si>
    <t xml:space="preserve">C-23333   </t>
  </si>
  <si>
    <t xml:space="preserve">C-23334   </t>
  </si>
  <si>
    <t xml:space="preserve">C-23335   </t>
  </si>
  <si>
    <t xml:space="preserve">C-23336   </t>
  </si>
  <si>
    <t xml:space="preserve">C-23337   </t>
  </si>
  <si>
    <t xml:space="preserve">C-23338   </t>
  </si>
  <si>
    <t xml:space="preserve">C-23339   </t>
  </si>
  <si>
    <t xml:space="preserve"> 02/02/2017</t>
  </si>
  <si>
    <t xml:space="preserve">C-23340   </t>
  </si>
  <si>
    <t xml:space="preserve">C-23341   </t>
  </si>
  <si>
    <t xml:space="preserve">C-23342   </t>
  </si>
  <si>
    <t xml:space="preserve">C-23343   </t>
  </si>
  <si>
    <t xml:space="preserve">C-23344   </t>
  </si>
  <si>
    <t xml:space="preserve">C-23345   </t>
  </si>
  <si>
    <t xml:space="preserve">C-23346   </t>
  </si>
  <si>
    <t xml:space="preserve">C-23347   </t>
  </si>
  <si>
    <t xml:space="preserve">C-23348   </t>
  </si>
  <si>
    <t xml:space="preserve">C-23349   </t>
  </si>
  <si>
    <t xml:space="preserve">C-23350   </t>
  </si>
  <si>
    <t xml:space="preserve">C-23351   </t>
  </si>
  <si>
    <t xml:space="preserve">C-23352   </t>
  </si>
  <si>
    <t xml:space="preserve">C-23353   </t>
  </si>
  <si>
    <t xml:space="preserve">C-23354   </t>
  </si>
  <si>
    <t xml:space="preserve">C-23355   </t>
  </si>
  <si>
    <t xml:space="preserve">C-23356   </t>
  </si>
  <si>
    <t xml:space="preserve">C-23357   </t>
  </si>
  <si>
    <t xml:space="preserve">C-23358   </t>
  </si>
  <si>
    <t xml:space="preserve">C-23359   </t>
  </si>
  <si>
    <t xml:space="preserve">C-23360   </t>
  </si>
  <si>
    <t xml:space="preserve">C-23361   </t>
  </si>
  <si>
    <t xml:space="preserve">C-23362   </t>
  </si>
  <si>
    <t xml:space="preserve">C-23363   </t>
  </si>
  <si>
    <t xml:space="preserve">C-23364   </t>
  </si>
  <si>
    <t xml:space="preserve">C-23365   </t>
  </si>
  <si>
    <t xml:space="preserve">C-23366   </t>
  </si>
  <si>
    <t xml:space="preserve">C-23367   </t>
  </si>
  <si>
    <t xml:space="preserve">C-23368   </t>
  </si>
  <si>
    <t xml:space="preserve">C-23369   </t>
  </si>
  <si>
    <t xml:space="preserve">C-23370   </t>
  </si>
  <si>
    <t xml:space="preserve">C-23371   </t>
  </si>
  <si>
    <t xml:space="preserve">C-23372   </t>
  </si>
  <si>
    <t xml:space="preserve">C-23373   </t>
  </si>
  <si>
    <t xml:space="preserve"> 19/04/2017</t>
  </si>
  <si>
    <t xml:space="preserve">C-23374   </t>
  </si>
  <si>
    <t xml:space="preserve">C-23375   </t>
  </si>
  <si>
    <t xml:space="preserve"> 14/02/2017</t>
  </si>
  <si>
    <t xml:space="preserve">C-23376   </t>
  </si>
  <si>
    <t xml:space="preserve">C-23377   </t>
  </si>
  <si>
    <t xml:space="preserve">C-23378   </t>
  </si>
  <si>
    <t xml:space="preserve">C-23379   </t>
  </si>
  <si>
    <t xml:space="preserve">C-23380   </t>
  </si>
  <si>
    <t xml:space="preserve">C-23381   </t>
  </si>
  <si>
    <t xml:space="preserve">C-23382   </t>
  </si>
  <si>
    <t xml:space="preserve">C-23383   </t>
  </si>
  <si>
    <t xml:space="preserve">C-23384   </t>
  </si>
  <si>
    <t xml:space="preserve">C-23385   </t>
  </si>
  <si>
    <t>24/01/2017 26/01/2017</t>
  </si>
  <si>
    <t xml:space="preserve">C-23386   </t>
  </si>
  <si>
    <t xml:space="preserve">C-23387   </t>
  </si>
  <si>
    <t xml:space="preserve">C-23388   </t>
  </si>
  <si>
    <t xml:space="preserve">C-23389   </t>
  </si>
  <si>
    <t xml:space="preserve">C-23390   </t>
  </si>
  <si>
    <t xml:space="preserve">C-23391   </t>
  </si>
  <si>
    <t xml:space="preserve">C-23392   </t>
  </si>
  <si>
    <t xml:space="preserve">C-23393   </t>
  </si>
  <si>
    <t xml:space="preserve">C-23394   </t>
  </si>
  <si>
    <t xml:space="preserve">C-23395   </t>
  </si>
  <si>
    <t xml:space="preserve">C-23396   </t>
  </si>
  <si>
    <t xml:space="preserve">C-23397   </t>
  </si>
  <si>
    <t xml:space="preserve">C-23398   </t>
  </si>
  <si>
    <t xml:space="preserve">C-23399   </t>
  </si>
  <si>
    <t xml:space="preserve">C-23400   </t>
  </si>
  <si>
    <t xml:space="preserve">C-23401   </t>
  </si>
  <si>
    <t xml:space="preserve">C-23402   </t>
  </si>
  <si>
    <t xml:space="preserve">C-23403   </t>
  </si>
  <si>
    <t xml:space="preserve">C-23404   </t>
  </si>
  <si>
    <t xml:space="preserve">C-23405   </t>
  </si>
  <si>
    <t xml:space="preserve">C-23406   </t>
  </si>
  <si>
    <t xml:space="preserve">C-23407   </t>
  </si>
  <si>
    <t xml:space="preserve">C-23408   </t>
  </si>
  <si>
    <t xml:space="preserve">C-23409   </t>
  </si>
  <si>
    <t xml:space="preserve">C-23410   </t>
  </si>
  <si>
    <t xml:space="preserve">C-23411   </t>
  </si>
  <si>
    <t xml:space="preserve">C-23412   </t>
  </si>
  <si>
    <t xml:space="preserve">C-23413   </t>
  </si>
  <si>
    <t xml:space="preserve">C-23414   </t>
  </si>
  <si>
    <t xml:space="preserve">(652)RODRIGO AGUILAR                                                       </t>
  </si>
  <si>
    <t xml:space="preserve">C-23415   </t>
  </si>
  <si>
    <t xml:space="preserve">C-23416   </t>
  </si>
  <si>
    <t xml:space="preserve">C-23417   </t>
  </si>
  <si>
    <t xml:space="preserve">C-23418   </t>
  </si>
  <si>
    <t xml:space="preserve">C-23419   </t>
  </si>
  <si>
    <t xml:space="preserve">C-23420   </t>
  </si>
  <si>
    <t xml:space="preserve">C-23421   </t>
  </si>
  <si>
    <t xml:space="preserve">C-23422   </t>
  </si>
  <si>
    <t xml:space="preserve">C-23423   </t>
  </si>
  <si>
    <t xml:space="preserve">C-23424   </t>
  </si>
  <si>
    <t xml:space="preserve">C-23425   </t>
  </si>
  <si>
    <t xml:space="preserve">C-23426   </t>
  </si>
  <si>
    <t xml:space="preserve">C-23427   </t>
  </si>
  <si>
    <t xml:space="preserve">(128)HUGO LOPEZ                                                            </t>
  </si>
  <si>
    <t xml:space="preserve">C-23428   </t>
  </si>
  <si>
    <t xml:space="preserve">C-23429   </t>
  </si>
  <si>
    <t xml:space="preserve">C-23430   </t>
  </si>
  <si>
    <t xml:space="preserve">C-23431   </t>
  </si>
  <si>
    <t>24/01/2017 08/03/2017</t>
  </si>
  <si>
    <t xml:space="preserve">C-23432   </t>
  </si>
  <si>
    <t xml:space="preserve">C-23433   </t>
  </si>
  <si>
    <t xml:space="preserve">C-23434   </t>
  </si>
  <si>
    <t xml:space="preserve">C-23435   </t>
  </si>
  <si>
    <t xml:space="preserve">C-23436   </t>
  </si>
  <si>
    <t xml:space="preserve">C-23437   </t>
  </si>
  <si>
    <t xml:space="preserve">C-23438   </t>
  </si>
  <si>
    <t xml:space="preserve">C-23439   </t>
  </si>
  <si>
    <t xml:space="preserve">C-23440   </t>
  </si>
  <si>
    <t xml:space="preserve">C-23441   </t>
  </si>
  <si>
    <t xml:space="preserve">C-23442   </t>
  </si>
  <si>
    <t xml:space="preserve">C-23443   </t>
  </si>
  <si>
    <t xml:space="preserve">C-23444   </t>
  </si>
  <si>
    <t xml:space="preserve">C-23445   </t>
  </si>
  <si>
    <t xml:space="preserve">C-23446   </t>
  </si>
  <si>
    <t xml:space="preserve">C-23447   </t>
  </si>
  <si>
    <t xml:space="preserve">C-23448   </t>
  </si>
  <si>
    <t xml:space="preserve">C-23449   </t>
  </si>
  <si>
    <t xml:space="preserve">C-23450   </t>
  </si>
  <si>
    <t xml:space="preserve">C-23451   </t>
  </si>
  <si>
    <t xml:space="preserve">C-23452   </t>
  </si>
  <si>
    <t xml:space="preserve">C-23453   </t>
  </si>
  <si>
    <t xml:space="preserve">C-23454   </t>
  </si>
  <si>
    <t xml:space="preserve">C-23455   </t>
  </si>
  <si>
    <t xml:space="preserve">C-23456   </t>
  </si>
  <si>
    <t xml:space="preserve">C-23457   </t>
  </si>
  <si>
    <t xml:space="preserve">C-23458   </t>
  </si>
  <si>
    <t xml:space="preserve">C-23459   </t>
  </si>
  <si>
    <t xml:space="preserve">C-23460   </t>
  </si>
  <si>
    <t xml:space="preserve">C-23461   </t>
  </si>
  <si>
    <t xml:space="preserve">C-23462   </t>
  </si>
  <si>
    <t xml:space="preserve">C-23463   </t>
  </si>
  <si>
    <t xml:space="preserve">C-23464   </t>
  </si>
  <si>
    <t xml:space="preserve">C-23465   </t>
  </si>
  <si>
    <t xml:space="preserve">C-23466   </t>
  </si>
  <si>
    <t xml:space="preserve">C-23467   </t>
  </si>
  <si>
    <t xml:space="preserve">C-23468   </t>
  </si>
  <si>
    <t xml:space="preserve">C-23469   </t>
  </si>
  <si>
    <t xml:space="preserve">C-23470   </t>
  </si>
  <si>
    <t xml:space="preserve">C-23471   </t>
  </si>
  <si>
    <t xml:space="preserve">C-23472   </t>
  </si>
  <si>
    <t xml:space="preserve">C-23473   </t>
  </si>
  <si>
    <t xml:space="preserve">C-23474   </t>
  </si>
  <si>
    <t xml:space="preserve">C-23475   </t>
  </si>
  <si>
    <t xml:space="preserve">C-23476   </t>
  </si>
  <si>
    <t xml:space="preserve">C-23477   </t>
  </si>
  <si>
    <t xml:space="preserve">C-23478   </t>
  </si>
  <si>
    <t xml:space="preserve"> 06/02/2017</t>
  </si>
  <si>
    <t xml:space="preserve">C-23479   </t>
  </si>
  <si>
    <t xml:space="preserve">C-23480   </t>
  </si>
  <si>
    <t xml:space="preserve">C-23481   </t>
  </si>
  <si>
    <t xml:space="preserve">C-23482   </t>
  </si>
  <si>
    <t xml:space="preserve">C-23483   </t>
  </si>
  <si>
    <t xml:space="preserve">C-23484   </t>
  </si>
  <si>
    <t xml:space="preserve">C-23485   </t>
  </si>
  <si>
    <t xml:space="preserve">C-23486   </t>
  </si>
  <si>
    <t xml:space="preserve">C-23487   </t>
  </si>
  <si>
    <t xml:space="preserve">C-23488   </t>
  </si>
  <si>
    <t xml:space="preserve">C-23489   </t>
  </si>
  <si>
    <t xml:space="preserve">C-23490   </t>
  </si>
  <si>
    <t xml:space="preserve">C-23491   </t>
  </si>
  <si>
    <t xml:space="preserve">C-23492   </t>
  </si>
  <si>
    <t xml:space="preserve">C-23493   </t>
  </si>
  <si>
    <t xml:space="preserve">C-23494   </t>
  </si>
  <si>
    <t xml:space="preserve">C-23495   </t>
  </si>
  <si>
    <t xml:space="preserve">C-23496   </t>
  </si>
  <si>
    <t xml:space="preserve">C-23497   </t>
  </si>
  <si>
    <t xml:space="preserve">C-23498   </t>
  </si>
  <si>
    <t xml:space="preserve">C-23499   </t>
  </si>
  <si>
    <t xml:space="preserve">C-23500   </t>
  </si>
  <si>
    <t xml:space="preserve">C-23501   </t>
  </si>
  <si>
    <t xml:space="preserve">C-23502   </t>
  </si>
  <si>
    <t xml:space="preserve">C-23503   </t>
  </si>
  <si>
    <t xml:space="preserve">C-23504   </t>
  </si>
  <si>
    <t xml:space="preserve">C-23505   </t>
  </si>
  <si>
    <t xml:space="preserve">C-23506   </t>
  </si>
  <si>
    <t xml:space="preserve">C-23507   </t>
  </si>
  <si>
    <t xml:space="preserve">C-23508   </t>
  </si>
  <si>
    <t xml:space="preserve">C-23509   </t>
  </si>
  <si>
    <t xml:space="preserve">C-23510   </t>
  </si>
  <si>
    <t xml:space="preserve">C-23511   </t>
  </si>
  <si>
    <t xml:space="preserve"> 10/03/2017</t>
  </si>
  <si>
    <t xml:space="preserve">C-23512   </t>
  </si>
  <si>
    <t xml:space="preserve">C-23513   </t>
  </si>
  <si>
    <t xml:space="preserve">C-23514   </t>
  </si>
  <si>
    <t xml:space="preserve">C-23515   </t>
  </si>
  <si>
    <t xml:space="preserve">C-23516   </t>
  </si>
  <si>
    <t xml:space="preserve">C-23517   </t>
  </si>
  <si>
    <t xml:space="preserve">C-23518   </t>
  </si>
  <si>
    <t xml:space="preserve">C-23519   </t>
  </si>
  <si>
    <t xml:space="preserve">C-23520   </t>
  </si>
  <si>
    <t xml:space="preserve">C-23521   </t>
  </si>
  <si>
    <t xml:space="preserve">C-23522   </t>
  </si>
  <si>
    <t xml:space="preserve">C-23523   </t>
  </si>
  <si>
    <t xml:space="preserve">(325)CARLOS TEHUACAN                                                       </t>
  </si>
  <si>
    <t xml:space="preserve">C-23524   </t>
  </si>
  <si>
    <t xml:space="preserve">C-23525   </t>
  </si>
  <si>
    <t xml:space="preserve">C-23526   </t>
  </si>
  <si>
    <t xml:space="preserve">C-23527   </t>
  </si>
  <si>
    <t xml:space="preserve">C-23528   </t>
  </si>
  <si>
    <t xml:space="preserve">C-23529   </t>
  </si>
  <si>
    <t xml:space="preserve">C-23530   </t>
  </si>
  <si>
    <t xml:space="preserve">C-23531   </t>
  </si>
  <si>
    <t xml:space="preserve">C-23532   </t>
  </si>
  <si>
    <t xml:space="preserve">C-23533   </t>
  </si>
  <si>
    <t xml:space="preserve">C-23534   </t>
  </si>
  <si>
    <t xml:space="preserve">C-23535   </t>
  </si>
  <si>
    <t xml:space="preserve">C-23536   </t>
  </si>
  <si>
    <t xml:space="preserve">C-23537   </t>
  </si>
  <si>
    <t xml:space="preserve">C-23538   </t>
  </si>
  <si>
    <t xml:space="preserve">C-23539   </t>
  </si>
  <si>
    <t xml:space="preserve">C-23540   </t>
  </si>
  <si>
    <t xml:space="preserve">C-23541   </t>
  </si>
  <si>
    <t xml:space="preserve">C-23542   </t>
  </si>
  <si>
    <t xml:space="preserve">C-23543   </t>
  </si>
  <si>
    <t xml:space="preserve">C-23544   </t>
  </si>
  <si>
    <t xml:space="preserve">C-23545   </t>
  </si>
  <si>
    <t xml:space="preserve">C-23546   </t>
  </si>
  <si>
    <t xml:space="preserve">C-23547   </t>
  </si>
  <si>
    <t xml:space="preserve">C-23548   </t>
  </si>
  <si>
    <t xml:space="preserve">C-23549   </t>
  </si>
  <si>
    <t xml:space="preserve">C-23550   </t>
  </si>
  <si>
    <t xml:space="preserve">C-23551   </t>
  </si>
  <si>
    <t xml:space="preserve">C-23552   </t>
  </si>
  <si>
    <t xml:space="preserve">C-23553   </t>
  </si>
  <si>
    <t xml:space="preserve">C-23554   </t>
  </si>
  <si>
    <t xml:space="preserve">C-23555   </t>
  </si>
  <si>
    <t xml:space="preserve">C-23556   </t>
  </si>
  <si>
    <t xml:space="preserve">C-23557   </t>
  </si>
  <si>
    <t xml:space="preserve">C-23558   </t>
  </si>
  <si>
    <t xml:space="preserve">C-23559   </t>
  </si>
  <si>
    <t xml:space="preserve">C-23560   </t>
  </si>
  <si>
    <t xml:space="preserve">C-23561   </t>
  </si>
  <si>
    <t xml:space="preserve">C-23562   </t>
  </si>
  <si>
    <t xml:space="preserve">C-23563   </t>
  </si>
  <si>
    <t xml:space="preserve">(264)FRANCISCO  SANCHEZ                                                    </t>
  </si>
  <si>
    <t xml:space="preserve">C-23564   </t>
  </si>
  <si>
    <t xml:space="preserve">C-23565   </t>
  </si>
  <si>
    <t xml:space="preserve">C-23566   </t>
  </si>
  <si>
    <t xml:space="preserve">C-23567   </t>
  </si>
  <si>
    <t xml:space="preserve">C-23568   </t>
  </si>
  <si>
    <t xml:space="preserve">C-23569   </t>
  </si>
  <si>
    <t xml:space="preserve">C-23570   </t>
  </si>
  <si>
    <t xml:space="preserve">C-23571   </t>
  </si>
  <si>
    <t xml:space="preserve">C-23572   </t>
  </si>
  <si>
    <t xml:space="preserve">C-23573   </t>
  </si>
  <si>
    <t xml:space="preserve">C-23574   </t>
  </si>
  <si>
    <t xml:space="preserve">C-23575   </t>
  </si>
  <si>
    <t xml:space="preserve">C-23576   </t>
  </si>
  <si>
    <t xml:space="preserve">(367)MARIO GUTIERREZ                                                       </t>
  </si>
  <si>
    <t xml:space="preserve">C-23577   </t>
  </si>
  <si>
    <t>29/01/2017 30/01/2017</t>
  </si>
  <si>
    <t xml:space="preserve">C-23578   </t>
  </si>
  <si>
    <t xml:space="preserve">C-23579   </t>
  </si>
  <si>
    <t xml:space="preserve">C-23580   </t>
  </si>
  <si>
    <t xml:space="preserve">C-23581   </t>
  </si>
  <si>
    <t xml:space="preserve">C-23582   </t>
  </si>
  <si>
    <t xml:space="preserve">C-23583   </t>
  </si>
  <si>
    <t xml:space="preserve">C-23584   </t>
  </si>
  <si>
    <t xml:space="preserve">C-23585   </t>
  </si>
  <si>
    <t xml:space="preserve">C-23586   </t>
  </si>
  <si>
    <t xml:space="preserve">C-23587   </t>
  </si>
  <si>
    <t xml:space="preserve">C-23588   </t>
  </si>
  <si>
    <t xml:space="preserve">C-23589   </t>
  </si>
  <si>
    <t xml:space="preserve">C-23590   </t>
  </si>
  <si>
    <t xml:space="preserve">C-23591   </t>
  </si>
  <si>
    <t xml:space="preserve">C-23592   </t>
  </si>
  <si>
    <t xml:space="preserve">C-23593   </t>
  </si>
  <si>
    <t xml:space="preserve">C-23594   </t>
  </si>
  <si>
    <t xml:space="preserve">C-23595   </t>
  </si>
  <si>
    <t xml:space="preserve"> 30/01/2017 31/01/2017</t>
  </si>
  <si>
    <t xml:space="preserve">C-23596   </t>
  </si>
  <si>
    <t xml:space="preserve">C-23597   </t>
  </si>
  <si>
    <t xml:space="preserve">C-23598   </t>
  </si>
  <si>
    <t xml:space="preserve">C-23599   </t>
  </si>
  <si>
    <t xml:space="preserve">C-23600   </t>
  </si>
  <si>
    <t xml:space="preserve">C-23601   </t>
  </si>
  <si>
    <t xml:space="preserve">C-23602   </t>
  </si>
  <si>
    <t xml:space="preserve">C-23603   </t>
  </si>
  <si>
    <t>27/01/2016 30/01/2017</t>
  </si>
  <si>
    <t xml:space="preserve">C-23604   </t>
  </si>
  <si>
    <t xml:space="preserve">C-23605   </t>
  </si>
  <si>
    <t xml:space="preserve">C-23606   </t>
  </si>
  <si>
    <t xml:space="preserve">C-23607   </t>
  </si>
  <si>
    <t xml:space="preserve">C-23608   </t>
  </si>
  <si>
    <t xml:space="preserve">C-23609   </t>
  </si>
  <si>
    <t xml:space="preserve">C-23610   </t>
  </si>
  <si>
    <t xml:space="preserve">C-23611   </t>
  </si>
  <si>
    <t xml:space="preserve">C-23612   </t>
  </si>
  <si>
    <t xml:space="preserve">C-23613   </t>
  </si>
  <si>
    <t xml:space="preserve">C-23614   </t>
  </si>
  <si>
    <t xml:space="preserve">C-23615   </t>
  </si>
  <si>
    <t xml:space="preserve">C-23616   </t>
  </si>
  <si>
    <t xml:space="preserve">C-23617   </t>
  </si>
  <si>
    <t xml:space="preserve">C-23618   </t>
  </si>
  <si>
    <t xml:space="preserve">C-23619   </t>
  </si>
  <si>
    <t xml:space="preserve">C-23620   </t>
  </si>
  <si>
    <t xml:space="preserve">C-23621   </t>
  </si>
  <si>
    <t xml:space="preserve">C-23622   </t>
  </si>
  <si>
    <t xml:space="preserve">C-23623   </t>
  </si>
  <si>
    <t xml:space="preserve">(681)PEDRO JIMENEZ                                                         </t>
  </si>
  <si>
    <t xml:space="preserve">C-23624   </t>
  </si>
  <si>
    <t xml:space="preserve">C-23625   </t>
  </si>
  <si>
    <t xml:space="preserve">C-23626   </t>
  </si>
  <si>
    <t xml:space="preserve">C-23627   </t>
  </si>
  <si>
    <t xml:space="preserve">C-23628   </t>
  </si>
  <si>
    <t xml:space="preserve">C-23629   </t>
  </si>
  <si>
    <t xml:space="preserve">C-23630   </t>
  </si>
  <si>
    <t xml:space="preserve">C-23631   </t>
  </si>
  <si>
    <t xml:space="preserve">C-23632   </t>
  </si>
  <si>
    <t xml:space="preserve">C-23633   </t>
  </si>
  <si>
    <t xml:space="preserve">C-23634   </t>
  </si>
  <si>
    <t xml:space="preserve">C-23635   </t>
  </si>
  <si>
    <t xml:space="preserve">C-23636   </t>
  </si>
  <si>
    <t xml:space="preserve">C-23637   </t>
  </si>
  <si>
    <t xml:space="preserve">C-23638   </t>
  </si>
  <si>
    <t xml:space="preserve">C-23639   </t>
  </si>
  <si>
    <t xml:space="preserve">C-23640   </t>
  </si>
  <si>
    <t xml:space="preserve">C-23641   </t>
  </si>
  <si>
    <t xml:space="preserve">C-23642   </t>
  </si>
  <si>
    <t xml:space="preserve">C-23643   </t>
  </si>
  <si>
    <t xml:space="preserve">C-23644   </t>
  </si>
  <si>
    <t xml:space="preserve">C-23645   </t>
  </si>
  <si>
    <t>26/01/2017 08/03/2017</t>
  </si>
  <si>
    <t xml:space="preserve">C-23646   </t>
  </si>
  <si>
    <t xml:space="preserve">C-23647   </t>
  </si>
  <si>
    <t xml:space="preserve">C-23648   </t>
  </si>
  <si>
    <t xml:space="preserve">C-23649   </t>
  </si>
  <si>
    <t xml:space="preserve">C-23650   </t>
  </si>
  <si>
    <t xml:space="preserve">C-23651   </t>
  </si>
  <si>
    <t xml:space="preserve">C-23652   </t>
  </si>
  <si>
    <t xml:space="preserve">C-23653   </t>
  </si>
  <si>
    <t xml:space="preserve">C-23654   </t>
  </si>
  <si>
    <t xml:space="preserve">C-23655   </t>
  </si>
  <si>
    <t xml:space="preserve">C-23656   </t>
  </si>
  <si>
    <t xml:space="preserve">C-23657   </t>
  </si>
  <si>
    <t xml:space="preserve">C-23658   </t>
  </si>
  <si>
    <t xml:space="preserve">C-23659   </t>
  </si>
  <si>
    <t xml:space="preserve">C-23660   </t>
  </si>
  <si>
    <t xml:space="preserve">C-23661   </t>
  </si>
  <si>
    <t xml:space="preserve">C-23662   </t>
  </si>
  <si>
    <t xml:space="preserve">C-23663   </t>
  </si>
  <si>
    <t xml:space="preserve">C-23664   </t>
  </si>
  <si>
    <t xml:space="preserve">C-23665   </t>
  </si>
  <si>
    <t xml:space="preserve">C-23666   </t>
  </si>
  <si>
    <t xml:space="preserve">C-23667   </t>
  </si>
  <si>
    <t xml:space="preserve">C-23668   </t>
  </si>
  <si>
    <t xml:space="preserve">C-23669   </t>
  </si>
  <si>
    <t xml:space="preserve">C-23670   </t>
  </si>
  <si>
    <t xml:space="preserve">C-23671   </t>
  </si>
  <si>
    <t xml:space="preserve">C-23672   </t>
  </si>
  <si>
    <t xml:space="preserve">C-23673   </t>
  </si>
  <si>
    <t xml:space="preserve">C-23674   </t>
  </si>
  <si>
    <t xml:space="preserve">C-23675   </t>
  </si>
  <si>
    <t xml:space="preserve">C-23676   </t>
  </si>
  <si>
    <t xml:space="preserve">C-23677   </t>
  </si>
  <si>
    <t xml:space="preserve">C-23678   </t>
  </si>
  <si>
    <t xml:space="preserve">C-23679   </t>
  </si>
  <si>
    <t xml:space="preserve">C-23680   </t>
  </si>
  <si>
    <t xml:space="preserve">C-23681   </t>
  </si>
  <si>
    <t xml:space="preserve">C-23682   </t>
  </si>
  <si>
    <t xml:space="preserve">C-23683   </t>
  </si>
  <si>
    <t xml:space="preserve">C-23684   </t>
  </si>
  <si>
    <t xml:space="preserve">C-23685   </t>
  </si>
  <si>
    <t xml:space="preserve">C-23686   </t>
  </si>
  <si>
    <t xml:space="preserve">C-23687   </t>
  </si>
  <si>
    <t xml:space="preserve">C-23688   </t>
  </si>
  <si>
    <t xml:space="preserve">C-23689   </t>
  </si>
  <si>
    <t xml:space="preserve">C-23690   </t>
  </si>
  <si>
    <t xml:space="preserve">C-23691   </t>
  </si>
  <si>
    <t xml:space="preserve">C-23692   </t>
  </si>
  <si>
    <t xml:space="preserve">C-23693   </t>
  </si>
  <si>
    <t xml:space="preserve">C-23694   </t>
  </si>
  <si>
    <t xml:space="preserve">C-23695   </t>
  </si>
  <si>
    <t xml:space="preserve">C-23696   </t>
  </si>
  <si>
    <t xml:space="preserve">C-23697   </t>
  </si>
  <si>
    <t xml:space="preserve">C-23698   </t>
  </si>
  <si>
    <t xml:space="preserve">C-23699   </t>
  </si>
  <si>
    <t xml:space="preserve">C-23700   </t>
  </si>
  <si>
    <t xml:space="preserve">C-23701   </t>
  </si>
  <si>
    <t xml:space="preserve">C-23702   </t>
  </si>
  <si>
    <t xml:space="preserve">C-23703   </t>
  </si>
  <si>
    <t xml:space="preserve">C-23704   </t>
  </si>
  <si>
    <t xml:space="preserve">C-23705   </t>
  </si>
  <si>
    <t xml:space="preserve">C-23706   </t>
  </si>
  <si>
    <t xml:space="preserve">C-23707   </t>
  </si>
  <si>
    <t xml:space="preserve">C-23708   </t>
  </si>
  <si>
    <t xml:space="preserve">C-23709   </t>
  </si>
  <si>
    <t xml:space="preserve">(167)GUILLERMO VERACRUZ                                                    </t>
  </si>
  <si>
    <t xml:space="preserve">C-23710   </t>
  </si>
  <si>
    <t xml:space="preserve">C-23711   </t>
  </si>
  <si>
    <t xml:space="preserve">(170)FELIX  VERACRUZ                                                       </t>
  </si>
  <si>
    <t xml:space="preserve">C-23712   </t>
  </si>
  <si>
    <t xml:space="preserve">C-23713   </t>
  </si>
  <si>
    <t xml:space="preserve">C-23714   </t>
  </si>
  <si>
    <t xml:space="preserve">C-23715   </t>
  </si>
  <si>
    <t xml:space="preserve">C-23716   </t>
  </si>
  <si>
    <t xml:space="preserve">C-23717   </t>
  </si>
  <si>
    <t xml:space="preserve">C-23718   </t>
  </si>
  <si>
    <t xml:space="preserve">C-23719   </t>
  </si>
  <si>
    <t xml:space="preserve">C-23720   </t>
  </si>
  <si>
    <t xml:space="preserve">C-23721   </t>
  </si>
  <si>
    <t xml:space="preserve">C-23722   </t>
  </si>
  <si>
    <t xml:space="preserve">C-23723   </t>
  </si>
  <si>
    <t xml:space="preserve">C-23724   </t>
  </si>
  <si>
    <t xml:space="preserve">C-23725   </t>
  </si>
  <si>
    <t xml:space="preserve">C-23726   </t>
  </si>
  <si>
    <t xml:space="preserve">C-23727   </t>
  </si>
  <si>
    <t xml:space="preserve">C-23728   </t>
  </si>
  <si>
    <t xml:space="preserve">C-23729   </t>
  </si>
  <si>
    <t xml:space="preserve">C-23730   </t>
  </si>
  <si>
    <t xml:space="preserve">C-23731   </t>
  </si>
  <si>
    <t xml:space="preserve">C-23732   </t>
  </si>
  <si>
    <t xml:space="preserve">C-23733   </t>
  </si>
  <si>
    <t xml:space="preserve">C-23734   </t>
  </si>
  <si>
    <t xml:space="preserve">C-23735   </t>
  </si>
  <si>
    <t xml:space="preserve">C-23736   </t>
  </si>
  <si>
    <t xml:space="preserve">C-23737   </t>
  </si>
  <si>
    <t xml:space="preserve">C-23738   </t>
  </si>
  <si>
    <t xml:space="preserve">C-23739   </t>
  </si>
  <si>
    <t xml:space="preserve">C-23740   </t>
  </si>
  <si>
    <t xml:space="preserve"> 30/01/2017 01/02/2017</t>
  </si>
  <si>
    <t xml:space="preserve">C-23741   </t>
  </si>
  <si>
    <t xml:space="preserve">C-23742   </t>
  </si>
  <si>
    <t xml:space="preserve">C-23743   </t>
  </si>
  <si>
    <t xml:space="preserve">C-23744   </t>
  </si>
  <si>
    <t xml:space="preserve">C-23745   </t>
  </si>
  <si>
    <t xml:space="preserve">C-23746   </t>
  </si>
  <si>
    <t xml:space="preserve">C-23747   </t>
  </si>
  <si>
    <t xml:space="preserve">C-23748   </t>
  </si>
  <si>
    <t xml:space="preserve">C-23749   </t>
  </si>
  <si>
    <t xml:space="preserve">C-23750   </t>
  </si>
  <si>
    <t xml:space="preserve">C-23751   </t>
  </si>
  <si>
    <t xml:space="preserve">C-23752   </t>
  </si>
  <si>
    <t xml:space="preserve">C-23753   </t>
  </si>
  <si>
    <t xml:space="preserve">C-23754   </t>
  </si>
  <si>
    <t xml:space="preserve">C-23755   </t>
  </si>
  <si>
    <t xml:space="preserve">C-23756   </t>
  </si>
  <si>
    <t xml:space="preserve">C-23757   </t>
  </si>
  <si>
    <t xml:space="preserve">C-23758   </t>
  </si>
  <si>
    <t xml:space="preserve">C-23759   </t>
  </si>
  <si>
    <t xml:space="preserve">C-23760   </t>
  </si>
  <si>
    <t xml:space="preserve">C-23761   </t>
  </si>
  <si>
    <t xml:space="preserve">C-23762   </t>
  </si>
  <si>
    <t xml:space="preserve">C-23763   </t>
  </si>
  <si>
    <t xml:space="preserve">C-23764   </t>
  </si>
  <si>
    <t xml:space="preserve">C-23765   </t>
  </si>
  <si>
    <t xml:space="preserve">C-23766   </t>
  </si>
  <si>
    <t xml:space="preserve">C-23767   </t>
  </si>
  <si>
    <t xml:space="preserve">C-23768   </t>
  </si>
  <si>
    <t xml:space="preserve">C-23769   </t>
  </si>
  <si>
    <t xml:space="preserve">C-23770   </t>
  </si>
  <si>
    <t xml:space="preserve">C-23771   </t>
  </si>
  <si>
    <t xml:space="preserve">C-23772   </t>
  </si>
  <si>
    <t xml:space="preserve">C-23773   </t>
  </si>
  <si>
    <t xml:space="preserve">C-23774   </t>
  </si>
  <si>
    <t xml:space="preserve">C-23775   </t>
  </si>
  <si>
    <t xml:space="preserve">C-23776   </t>
  </si>
  <si>
    <t xml:space="preserve">C-23777   </t>
  </si>
  <si>
    <t xml:space="preserve">C-23778   </t>
  </si>
  <si>
    <t xml:space="preserve">C-23779   </t>
  </si>
  <si>
    <t xml:space="preserve">C-23780   </t>
  </si>
  <si>
    <t xml:space="preserve">C-23781   </t>
  </si>
  <si>
    <t xml:space="preserve">C-23782   </t>
  </si>
  <si>
    <t xml:space="preserve">C-23783   </t>
  </si>
  <si>
    <t xml:space="preserve">C-23784   </t>
  </si>
  <si>
    <t xml:space="preserve">C-23785   </t>
  </si>
  <si>
    <t xml:space="preserve">C-23786   </t>
  </si>
  <si>
    <t xml:space="preserve">C-23787   </t>
  </si>
  <si>
    <t xml:space="preserve">C-23788   </t>
  </si>
  <si>
    <t xml:space="preserve">C-23789   </t>
  </si>
  <si>
    <t xml:space="preserve">C-23790   </t>
  </si>
  <si>
    <t xml:space="preserve">C-23791   </t>
  </si>
  <si>
    <t xml:space="preserve">C-23792   </t>
  </si>
  <si>
    <t xml:space="preserve">C-23793   </t>
  </si>
  <si>
    <t>27/01/2016 28/01/2017</t>
  </si>
  <si>
    <t xml:space="preserve">C-23794   </t>
  </si>
  <si>
    <t xml:space="preserve">C-23795   </t>
  </si>
  <si>
    <t xml:space="preserve">C-23796   </t>
  </si>
  <si>
    <t xml:space="preserve">C-23797   </t>
  </si>
  <si>
    <t xml:space="preserve">C-23798   </t>
  </si>
  <si>
    <t xml:space="preserve">C-23799   </t>
  </si>
  <si>
    <t xml:space="preserve">C-23800   </t>
  </si>
  <si>
    <t xml:space="preserve">C-23801   </t>
  </si>
  <si>
    <t xml:space="preserve">C-23802   </t>
  </si>
  <si>
    <t xml:space="preserve">C-23803   </t>
  </si>
  <si>
    <t xml:space="preserve">C-23804   </t>
  </si>
  <si>
    <t xml:space="preserve">C-23805   </t>
  </si>
  <si>
    <t xml:space="preserve">C-23806   </t>
  </si>
  <si>
    <t xml:space="preserve">C-23807   </t>
  </si>
  <si>
    <t xml:space="preserve">C-23808   </t>
  </si>
  <si>
    <t xml:space="preserve">C-23809   </t>
  </si>
  <si>
    <t xml:space="preserve">C-23810   </t>
  </si>
  <si>
    <t xml:space="preserve">C-23811   </t>
  </si>
  <si>
    <t xml:space="preserve">C-23812   </t>
  </si>
  <si>
    <t xml:space="preserve">C-23813   </t>
  </si>
  <si>
    <t xml:space="preserve">C-23814   </t>
  </si>
  <si>
    <t xml:space="preserve">C-23815   </t>
  </si>
  <si>
    <t xml:space="preserve">C-23816   </t>
  </si>
  <si>
    <t xml:space="preserve">C-23817   </t>
  </si>
  <si>
    <t xml:space="preserve">C-23818   </t>
  </si>
  <si>
    <t xml:space="preserve">C-23819   </t>
  </si>
  <si>
    <t xml:space="preserve">C-23820   </t>
  </si>
  <si>
    <t xml:space="preserve">C-23821   </t>
  </si>
  <si>
    <t xml:space="preserve">C-23822   </t>
  </si>
  <si>
    <t xml:space="preserve">C-23823   </t>
  </si>
  <si>
    <t xml:space="preserve">C-23824   </t>
  </si>
  <si>
    <t xml:space="preserve">C-23825   </t>
  </si>
  <si>
    <t xml:space="preserve">C-23826   </t>
  </si>
  <si>
    <t xml:space="preserve">C-23827   </t>
  </si>
  <si>
    <t xml:space="preserve">C-23828   </t>
  </si>
  <si>
    <t xml:space="preserve">(608)JOAQUIN ARISTA                                                        </t>
  </si>
  <si>
    <t xml:space="preserve">C-23829   </t>
  </si>
  <si>
    <t xml:space="preserve">C-23830   </t>
  </si>
  <si>
    <t xml:space="preserve">C-23831   </t>
  </si>
  <si>
    <t xml:space="preserve">C-23832   </t>
  </si>
  <si>
    <t xml:space="preserve">C-23833   </t>
  </si>
  <si>
    <t xml:space="preserve">C-23834   </t>
  </si>
  <si>
    <t xml:space="preserve">C-23835   </t>
  </si>
  <si>
    <t xml:space="preserve">C-23836   </t>
  </si>
  <si>
    <t xml:space="preserve">C-23837   </t>
  </si>
  <si>
    <t xml:space="preserve">C-23838   </t>
  </si>
  <si>
    <t xml:space="preserve">C-23839   </t>
  </si>
  <si>
    <t xml:space="preserve">C-23840   </t>
  </si>
  <si>
    <t xml:space="preserve">(409)JOVANY CUATEPOTZO                                                     </t>
  </si>
  <si>
    <t xml:space="preserve">C-23841   </t>
  </si>
  <si>
    <t xml:space="preserve">C-23842   </t>
  </si>
  <si>
    <t xml:space="preserve">C-23843   </t>
  </si>
  <si>
    <t xml:space="preserve">C-23844   </t>
  </si>
  <si>
    <t xml:space="preserve">C-23845   </t>
  </si>
  <si>
    <t xml:space="preserve">C-23846   </t>
  </si>
  <si>
    <t xml:space="preserve">C-23847   </t>
  </si>
  <si>
    <t xml:space="preserve">(76)EL GALLOTOTE                                                          </t>
  </si>
  <si>
    <t xml:space="preserve">C-23848   </t>
  </si>
  <si>
    <t xml:space="preserve">C-23849   </t>
  </si>
  <si>
    <t xml:space="preserve">C-23850   </t>
  </si>
  <si>
    <t xml:space="preserve">C-23851   </t>
  </si>
  <si>
    <t xml:space="preserve">C-23852   </t>
  </si>
  <si>
    <t xml:space="preserve">C-23853   </t>
  </si>
  <si>
    <t xml:space="preserve">C-23854   </t>
  </si>
  <si>
    <t xml:space="preserve">C-23855   </t>
  </si>
  <si>
    <t xml:space="preserve">C-23856   </t>
  </si>
  <si>
    <t xml:space="preserve">C-23857   </t>
  </si>
  <si>
    <t xml:space="preserve">C-23858   </t>
  </si>
  <si>
    <t xml:space="preserve">C-23859   </t>
  </si>
  <si>
    <t xml:space="preserve">C-23860   </t>
  </si>
  <si>
    <t xml:space="preserve">C-23861   </t>
  </si>
  <si>
    <t xml:space="preserve">C-23862   </t>
  </si>
  <si>
    <t xml:space="preserve">C-23863   </t>
  </si>
  <si>
    <t xml:space="preserve">C-23864   </t>
  </si>
  <si>
    <t xml:space="preserve">C-23865   </t>
  </si>
  <si>
    <t>31/01/2017 05/02/2017</t>
  </si>
  <si>
    <t xml:space="preserve">C-23866   </t>
  </si>
  <si>
    <t xml:space="preserve">C-23867   </t>
  </si>
  <si>
    <t xml:space="preserve">C-23868   </t>
  </si>
  <si>
    <t xml:space="preserve">C-23869   </t>
  </si>
  <si>
    <t xml:space="preserve">C-23870   </t>
  </si>
  <si>
    <t xml:space="preserve">C-23871   </t>
  </si>
  <si>
    <t xml:space="preserve">C-23872   </t>
  </si>
  <si>
    <t xml:space="preserve">C-23873   </t>
  </si>
  <si>
    <t xml:space="preserve">C-23874   </t>
  </si>
  <si>
    <t xml:space="preserve">C-23875   </t>
  </si>
  <si>
    <t xml:space="preserve">C-23876   </t>
  </si>
  <si>
    <t xml:space="preserve">C-23877   </t>
  </si>
  <si>
    <t xml:space="preserve"> 28/02/2017</t>
  </si>
  <si>
    <t xml:space="preserve">C-23878   </t>
  </si>
  <si>
    <t xml:space="preserve">C-23879   </t>
  </si>
  <si>
    <t xml:space="preserve">C-23880   </t>
  </si>
  <si>
    <t xml:space="preserve">C-23881   </t>
  </si>
  <si>
    <t xml:space="preserve">C-23882   </t>
  </si>
  <si>
    <t xml:space="preserve">C-23883   </t>
  </si>
  <si>
    <t xml:space="preserve">C-23884   </t>
  </si>
  <si>
    <t xml:space="preserve">C-23885   </t>
  </si>
  <si>
    <t xml:space="preserve">C-23886   </t>
  </si>
  <si>
    <t xml:space="preserve">C-23887   </t>
  </si>
  <si>
    <t xml:space="preserve">C-23888   </t>
  </si>
  <si>
    <t xml:space="preserve">C-23889   </t>
  </si>
  <si>
    <t xml:space="preserve">C-23890   </t>
  </si>
  <si>
    <t xml:space="preserve">C-23891   </t>
  </si>
  <si>
    <t xml:space="preserve">C-23892   </t>
  </si>
  <si>
    <t xml:space="preserve">C-23893   </t>
  </si>
  <si>
    <t xml:space="preserve">C-23894   </t>
  </si>
  <si>
    <t xml:space="preserve">C-23895   </t>
  </si>
  <si>
    <t xml:space="preserve">C-23896   </t>
  </si>
  <si>
    <t xml:space="preserve">C-23897   </t>
  </si>
  <si>
    <t xml:space="preserve">C-23898   </t>
  </si>
  <si>
    <t xml:space="preserve">C-23899   </t>
  </si>
  <si>
    <t xml:space="preserve">C-23900   </t>
  </si>
  <si>
    <t xml:space="preserve">C-23901   </t>
  </si>
  <si>
    <t xml:space="preserve">C-23902   </t>
  </si>
  <si>
    <t>31/01/2017 01/02/2017</t>
  </si>
  <si>
    <t xml:space="preserve">C-23903   </t>
  </si>
  <si>
    <t xml:space="preserve">C-23904   </t>
  </si>
  <si>
    <t xml:space="preserve">C-23905   </t>
  </si>
  <si>
    <t xml:space="preserve">C-23906   </t>
  </si>
  <si>
    <t xml:space="preserve">C-23907   </t>
  </si>
  <si>
    <t xml:space="preserve">C-23908   </t>
  </si>
  <si>
    <t xml:space="preserve">C-23909   </t>
  </si>
  <si>
    <t xml:space="preserve">C-23910   </t>
  </si>
  <si>
    <t xml:space="preserve">C-23911   </t>
  </si>
  <si>
    <t xml:space="preserve">C-23912   </t>
  </si>
  <si>
    <t xml:space="preserve">C-23913   </t>
  </si>
  <si>
    <t xml:space="preserve">C-23914   </t>
  </si>
  <si>
    <t xml:space="preserve">C-23915   </t>
  </si>
  <si>
    <t xml:space="preserve">C-23916   </t>
  </si>
  <si>
    <t xml:space="preserve">C-23917   </t>
  </si>
  <si>
    <t xml:space="preserve">C-23918   </t>
  </si>
  <si>
    <t xml:space="preserve">C-23919   </t>
  </si>
  <si>
    <t xml:space="preserve">C-23920   </t>
  </si>
  <si>
    <t xml:space="preserve">C-23921   </t>
  </si>
  <si>
    <t xml:space="preserve">C-23922   </t>
  </si>
  <si>
    <t xml:space="preserve">C-23923   </t>
  </si>
  <si>
    <t xml:space="preserve">C-23924   </t>
  </si>
  <si>
    <t xml:space="preserve">C-23925   </t>
  </si>
  <si>
    <t xml:space="preserve">C-23926   </t>
  </si>
  <si>
    <t xml:space="preserve">C-23927   </t>
  </si>
  <si>
    <t xml:space="preserve">C-23928   </t>
  </si>
  <si>
    <t xml:space="preserve">C-23929   </t>
  </si>
  <si>
    <t xml:space="preserve">C-23930   </t>
  </si>
  <si>
    <t xml:space="preserve">C-23931   </t>
  </si>
  <si>
    <t xml:space="preserve">C-23932   </t>
  </si>
  <si>
    <t xml:space="preserve">C-23933   </t>
  </si>
  <si>
    <t xml:space="preserve">C-23934   </t>
  </si>
  <si>
    <t xml:space="preserve">C-23935   </t>
  </si>
  <si>
    <t xml:space="preserve">C-23936   </t>
  </si>
  <si>
    <t xml:space="preserve">C-23937   </t>
  </si>
  <si>
    <t xml:space="preserve">C-23938   </t>
  </si>
  <si>
    <t xml:space="preserve">C-23939   </t>
  </si>
  <si>
    <t xml:space="preserve">C-23940   </t>
  </si>
  <si>
    <t xml:space="preserve">C-23941   </t>
  </si>
  <si>
    <t xml:space="preserve">C-23942   </t>
  </si>
  <si>
    <t xml:space="preserve">C-23943   </t>
  </si>
  <si>
    <t xml:space="preserve">C-23944   </t>
  </si>
  <si>
    <t xml:space="preserve">C-23945   </t>
  </si>
  <si>
    <t xml:space="preserve">C-23946   </t>
  </si>
  <si>
    <t xml:space="preserve">C-23947   </t>
  </si>
  <si>
    <t xml:space="preserve">C-23948   </t>
  </si>
  <si>
    <t xml:space="preserve">C-23949   </t>
  </si>
  <si>
    <t xml:space="preserve">C-23950   </t>
  </si>
  <si>
    <t xml:space="preserve">C-23951   </t>
  </si>
  <si>
    <t xml:space="preserve">C-23952   </t>
  </si>
  <si>
    <t xml:space="preserve">C-23953   </t>
  </si>
  <si>
    <t xml:space="preserve">C-23954   </t>
  </si>
  <si>
    <t xml:space="preserve">C-23955   </t>
  </si>
  <si>
    <t xml:space="preserve">C-23956   </t>
  </si>
  <si>
    <t xml:space="preserve">C-23957   </t>
  </si>
  <si>
    <t xml:space="preserve">C-23958   </t>
  </si>
  <si>
    <t xml:space="preserve">C-23959   </t>
  </si>
  <si>
    <t xml:space="preserve">C-23960   </t>
  </si>
  <si>
    <t xml:space="preserve">C-23961   </t>
  </si>
  <si>
    <t xml:space="preserve">C-23962   </t>
  </si>
  <si>
    <t xml:space="preserve">C-23963   </t>
  </si>
  <si>
    <t xml:space="preserve">C-23964   </t>
  </si>
  <si>
    <t xml:space="preserve">C-23965   </t>
  </si>
  <si>
    <t xml:space="preserve">C-23966   </t>
  </si>
  <si>
    <t xml:space="preserve">C-23967   </t>
  </si>
  <si>
    <t xml:space="preserve">C-23968   </t>
  </si>
  <si>
    <t xml:space="preserve">C-23969   </t>
  </si>
  <si>
    <t xml:space="preserve">C-23970   </t>
  </si>
  <si>
    <t xml:space="preserve">C-23971   </t>
  </si>
  <si>
    <t xml:space="preserve">C-23972   </t>
  </si>
  <si>
    <t xml:space="preserve">C-23973   </t>
  </si>
  <si>
    <t xml:space="preserve">C-23974   </t>
  </si>
  <si>
    <t xml:space="preserve">C-23975   </t>
  </si>
  <si>
    <t xml:space="preserve">C-23976   </t>
  </si>
  <si>
    <t xml:space="preserve">C-23977   </t>
  </si>
  <si>
    <t xml:space="preserve">C-23978   </t>
  </si>
  <si>
    <t xml:space="preserve">C-23979   </t>
  </si>
  <si>
    <t xml:space="preserve">C-23980   </t>
  </si>
  <si>
    <t xml:space="preserve">C-23981   </t>
  </si>
  <si>
    <t xml:space="preserve">C-23982   </t>
  </si>
  <si>
    <t xml:space="preserve">C-23983   </t>
  </si>
  <si>
    <t xml:space="preserve">C-23984   </t>
  </si>
  <si>
    <t xml:space="preserve">C-23985   </t>
  </si>
  <si>
    <t xml:space="preserve">C-23986   </t>
  </si>
  <si>
    <t xml:space="preserve">C-23987   </t>
  </si>
  <si>
    <t xml:space="preserve">C-23988   </t>
  </si>
  <si>
    <t xml:space="preserve">C-23989   </t>
  </si>
  <si>
    <t xml:space="preserve">C-23990   </t>
  </si>
  <si>
    <t xml:space="preserve">C-23991   </t>
  </si>
  <si>
    <t xml:space="preserve">C-23992   </t>
  </si>
  <si>
    <t xml:space="preserve"> 03/03/2017</t>
  </si>
  <si>
    <t xml:space="preserve">C-23993   </t>
  </si>
  <si>
    <t xml:space="preserve">C-23994   </t>
  </si>
  <si>
    <t xml:space="preserve">C-23995   </t>
  </si>
  <si>
    <t xml:space="preserve">C-23996   </t>
  </si>
  <si>
    <t xml:space="preserve">C-23997   </t>
  </si>
  <si>
    <t xml:space="preserve">C-23998   </t>
  </si>
  <si>
    <t xml:space="preserve">C-23999   </t>
  </si>
  <si>
    <t xml:space="preserve">C-24000   </t>
  </si>
  <si>
    <t xml:space="preserve">C-24001   </t>
  </si>
  <si>
    <t xml:space="preserve">C-24002   </t>
  </si>
  <si>
    <t xml:space="preserve">C-24003   </t>
  </si>
  <si>
    <t xml:space="preserve">C-24004   </t>
  </si>
  <si>
    <t xml:space="preserve">C-24005   </t>
  </si>
  <si>
    <t xml:space="preserve">C-24006   </t>
  </si>
  <si>
    <t xml:space="preserve">C-24007   </t>
  </si>
  <si>
    <t xml:space="preserve">C-24008   </t>
  </si>
  <si>
    <t xml:space="preserve">C-24009   </t>
  </si>
  <si>
    <t xml:space="preserve">C-24010   </t>
  </si>
  <si>
    <t xml:space="preserve">C-24011   </t>
  </si>
  <si>
    <t xml:space="preserve">C-24012   </t>
  </si>
  <si>
    <t xml:space="preserve">C-24013   </t>
  </si>
  <si>
    <t xml:space="preserve">C-24014   </t>
  </si>
  <si>
    <t xml:space="preserve">C-24015   </t>
  </si>
  <si>
    <t xml:space="preserve">C-24016   </t>
  </si>
  <si>
    <t xml:space="preserve">C-24017   </t>
  </si>
  <si>
    <t xml:space="preserve">C-24018   </t>
  </si>
  <si>
    <t xml:space="preserve">C-24019   </t>
  </si>
  <si>
    <t xml:space="preserve">C-24020   </t>
  </si>
  <si>
    <t xml:space="preserve">C-24021   </t>
  </si>
  <si>
    <t xml:space="preserve">C-24022   </t>
  </si>
  <si>
    <t xml:space="preserve">C-24023   </t>
  </si>
  <si>
    <t xml:space="preserve">C-24024   </t>
  </si>
  <si>
    <t xml:space="preserve">C-24025   </t>
  </si>
  <si>
    <t xml:space="preserve">C-24026   </t>
  </si>
  <si>
    <t xml:space="preserve">C-24027   </t>
  </si>
  <si>
    <t xml:space="preserve">C-24028   </t>
  </si>
  <si>
    <t xml:space="preserve">C-24029   </t>
  </si>
  <si>
    <t xml:space="preserve">C-24030   </t>
  </si>
  <si>
    <t xml:space="preserve">C-24031   </t>
  </si>
  <si>
    <t xml:space="preserve">C-24032   </t>
  </si>
  <si>
    <t xml:space="preserve">C-24033   </t>
  </si>
  <si>
    <t xml:space="preserve">C-24034   </t>
  </si>
  <si>
    <t xml:space="preserve">C-24035   </t>
  </si>
  <si>
    <t xml:space="preserve">C-24036   </t>
  </si>
  <si>
    <t xml:space="preserve">C-24037   </t>
  </si>
  <si>
    <t xml:space="preserve">C-24038   </t>
  </si>
  <si>
    <t xml:space="preserve">C-24039   </t>
  </si>
  <si>
    <t xml:space="preserve">C-24040   </t>
  </si>
  <si>
    <t xml:space="preserve">C-24041   </t>
  </si>
  <si>
    <t xml:space="preserve">C-24042   </t>
  </si>
  <si>
    <t xml:space="preserve">C-24043   </t>
  </si>
  <si>
    <t xml:space="preserve">C-24044   </t>
  </si>
  <si>
    <t xml:space="preserve">C-24045   </t>
  </si>
  <si>
    <t xml:space="preserve">C-24046   </t>
  </si>
  <si>
    <t xml:space="preserve">C-24047   </t>
  </si>
  <si>
    <t xml:space="preserve">C-24048   </t>
  </si>
  <si>
    <t>29/01/2017 09/02/2017</t>
  </si>
  <si>
    <t xml:space="preserve">C-24049   </t>
  </si>
  <si>
    <t xml:space="preserve">C-24050   </t>
  </si>
  <si>
    <t xml:space="preserve">C-24051   </t>
  </si>
  <si>
    <t xml:space="preserve">C-24052   </t>
  </si>
  <si>
    <t xml:space="preserve">C-24053   </t>
  </si>
  <si>
    <t xml:space="preserve">C-24054   </t>
  </si>
  <si>
    <t xml:space="preserve">C-24055   </t>
  </si>
  <si>
    <t xml:space="preserve">C-24056   </t>
  </si>
  <si>
    <t xml:space="preserve">C-24057   </t>
  </si>
  <si>
    <t xml:space="preserve">C-24058   </t>
  </si>
  <si>
    <t xml:space="preserve">C-24059   </t>
  </si>
  <si>
    <t xml:space="preserve">C-24060   </t>
  </si>
  <si>
    <t xml:space="preserve">C-24061   </t>
  </si>
  <si>
    <t xml:space="preserve">C-24062   </t>
  </si>
  <si>
    <t xml:space="preserve">C-24063   </t>
  </si>
  <si>
    <t>29/01/2017 02/02/2017</t>
  </si>
  <si>
    <t xml:space="preserve">C-24064   </t>
  </si>
  <si>
    <t xml:space="preserve">C-24065   </t>
  </si>
  <si>
    <t xml:space="preserve">C-24066   </t>
  </si>
  <si>
    <t xml:space="preserve">C-24067   </t>
  </si>
  <si>
    <t xml:space="preserve">C-24068   </t>
  </si>
  <si>
    <t xml:space="preserve">C-24069   </t>
  </si>
  <si>
    <t xml:space="preserve">C-24070   </t>
  </si>
  <si>
    <t xml:space="preserve">C-24071   </t>
  </si>
  <si>
    <t xml:space="preserve">C-24072   </t>
  </si>
  <si>
    <t xml:space="preserve">C-24073   </t>
  </si>
  <si>
    <t xml:space="preserve">C-24074   </t>
  </si>
  <si>
    <t xml:space="preserve">C-24075   </t>
  </si>
  <si>
    <t xml:space="preserve">C-24076   </t>
  </si>
  <si>
    <t xml:space="preserve">C-24077   </t>
  </si>
  <si>
    <t xml:space="preserve">C-24078   </t>
  </si>
  <si>
    <t xml:space="preserve">C-24079   </t>
  </si>
  <si>
    <t xml:space="preserve">C-24080   </t>
  </si>
  <si>
    <t xml:space="preserve">C-24081   </t>
  </si>
  <si>
    <t xml:space="preserve">C-24082   </t>
  </si>
  <si>
    <t xml:space="preserve">C-24083   </t>
  </si>
  <si>
    <t xml:space="preserve">C-24084   </t>
  </si>
  <si>
    <t xml:space="preserve">C-24085   </t>
  </si>
  <si>
    <t xml:space="preserve">C-24086   </t>
  </si>
  <si>
    <t xml:space="preserve">C-24087   </t>
  </si>
  <si>
    <t xml:space="preserve">C-24088   </t>
  </si>
  <si>
    <t xml:space="preserve">C-24089   </t>
  </si>
  <si>
    <t xml:space="preserve">C-24090   </t>
  </si>
  <si>
    <t xml:space="preserve">C-24091   </t>
  </si>
  <si>
    <t xml:space="preserve">C-24092   </t>
  </si>
  <si>
    <t xml:space="preserve">C-24093   </t>
  </si>
  <si>
    <t xml:space="preserve">C-24094   </t>
  </si>
  <si>
    <t xml:space="preserve">C-24095   </t>
  </si>
  <si>
    <t xml:space="preserve">C-24096   </t>
  </si>
  <si>
    <t xml:space="preserve">C-24097   </t>
  </si>
  <si>
    <t xml:space="preserve">C-24098   </t>
  </si>
  <si>
    <t xml:space="preserve">C-24099   </t>
  </si>
  <si>
    <t xml:space="preserve">C-24100   </t>
  </si>
  <si>
    <t xml:space="preserve">C-24101   </t>
  </si>
  <si>
    <t xml:space="preserve">C-24102   </t>
  </si>
  <si>
    <t xml:space="preserve">C-24103   </t>
  </si>
  <si>
    <t xml:space="preserve">C-24104   </t>
  </si>
  <si>
    <t xml:space="preserve">C-24105   </t>
  </si>
  <si>
    <t xml:space="preserve">C-24106   </t>
  </si>
  <si>
    <t xml:space="preserve">C-24107   </t>
  </si>
  <si>
    <t xml:space="preserve"> 24/02/2017</t>
  </si>
  <si>
    <t xml:space="preserve">C-24108   </t>
  </si>
  <si>
    <t xml:space="preserve">C-24109   </t>
  </si>
  <si>
    <t xml:space="preserve">C-24110   </t>
  </si>
  <si>
    <t xml:space="preserve">C-24111   </t>
  </si>
  <si>
    <t xml:space="preserve">C-24112   </t>
  </si>
  <si>
    <t xml:space="preserve">C-24113   </t>
  </si>
  <si>
    <t xml:space="preserve">C-24114   </t>
  </si>
  <si>
    <t xml:space="preserve">C-24115   </t>
  </si>
  <si>
    <t xml:space="preserve">C-24116   </t>
  </si>
  <si>
    <t xml:space="preserve"> 22/02/2017</t>
  </si>
  <si>
    <t xml:space="preserve">C-24117   </t>
  </si>
  <si>
    <t xml:space="preserve">C-24118   </t>
  </si>
  <si>
    <t xml:space="preserve">C-24119   </t>
  </si>
  <si>
    <t xml:space="preserve">C-24120   </t>
  </si>
  <si>
    <t xml:space="preserve">C-24121   </t>
  </si>
  <si>
    <t xml:space="preserve">C-24122   </t>
  </si>
  <si>
    <t xml:space="preserve">C-24123   </t>
  </si>
  <si>
    <t xml:space="preserve">C-24124   </t>
  </si>
  <si>
    <t xml:space="preserve">C-24125   </t>
  </si>
  <si>
    <t xml:space="preserve">C-24126   </t>
  </si>
  <si>
    <t xml:space="preserve">C-24127   </t>
  </si>
  <si>
    <t xml:space="preserve">C-24128   </t>
  </si>
  <si>
    <t xml:space="preserve">C-24129   </t>
  </si>
  <si>
    <t xml:space="preserve">C-24130   </t>
  </si>
  <si>
    <t xml:space="preserve">C-24131   </t>
  </si>
  <si>
    <t xml:space="preserve">C-24132   </t>
  </si>
  <si>
    <t xml:space="preserve">C-24133   </t>
  </si>
  <si>
    <t xml:space="preserve">C-24134   </t>
  </si>
  <si>
    <t xml:space="preserve">C-24135   </t>
  </si>
  <si>
    <t xml:space="preserve">C-24136   </t>
  </si>
  <si>
    <t xml:space="preserve">C-24137   </t>
  </si>
  <si>
    <t xml:space="preserve">C-24138   </t>
  </si>
  <si>
    <t xml:space="preserve">C-24139   </t>
  </si>
  <si>
    <t xml:space="preserve">(386)JUSTO SIERRA                                                          </t>
  </si>
  <si>
    <t xml:space="preserve">C-24140   </t>
  </si>
  <si>
    <t xml:space="preserve">C-24141   </t>
  </si>
  <si>
    <t xml:space="preserve"> 05/02/2017</t>
  </si>
  <si>
    <t xml:space="preserve">C-24142   </t>
  </si>
  <si>
    <t xml:space="preserve">C-24143   </t>
  </si>
  <si>
    <t xml:space="preserve">C-24144   </t>
  </si>
  <si>
    <t xml:space="preserve">C-24145   </t>
  </si>
  <si>
    <t xml:space="preserve">C-24146   </t>
  </si>
  <si>
    <t xml:space="preserve">C-24147   </t>
  </si>
  <si>
    <t xml:space="preserve">C-24148   </t>
  </si>
  <si>
    <t xml:space="preserve">C-24149   </t>
  </si>
  <si>
    <t xml:space="preserve">C-24150   </t>
  </si>
  <si>
    <t xml:space="preserve">C-24151   </t>
  </si>
  <si>
    <t xml:space="preserve"> 30/01/2017 02/02/2017</t>
  </si>
  <si>
    <t xml:space="preserve">C-24152   </t>
  </si>
  <si>
    <t xml:space="preserve">C-24153   </t>
  </si>
  <si>
    <t xml:space="preserve">C-24154   </t>
  </si>
  <si>
    <t xml:space="preserve">C-24155   </t>
  </si>
  <si>
    <t xml:space="preserve">C-24156   </t>
  </si>
  <si>
    <t xml:space="preserve">C-24157   </t>
  </si>
  <si>
    <t xml:space="preserve">C-24158   </t>
  </si>
  <si>
    <t xml:space="preserve">C-24159   </t>
  </si>
  <si>
    <t xml:space="preserve">C-24160   </t>
  </si>
  <si>
    <t xml:space="preserve">C-24161   </t>
  </si>
  <si>
    <t xml:space="preserve">C-24162   </t>
  </si>
  <si>
    <t xml:space="preserve">C-24163   </t>
  </si>
  <si>
    <t xml:space="preserve">C-24164   </t>
  </si>
  <si>
    <t xml:space="preserve">C-24165   </t>
  </si>
  <si>
    <t xml:space="preserve">C-24166   </t>
  </si>
  <si>
    <t xml:space="preserve">C-24167   </t>
  </si>
  <si>
    <t xml:space="preserve">C-24168   </t>
  </si>
  <si>
    <t xml:space="preserve">C-24169   </t>
  </si>
  <si>
    <t xml:space="preserve">C-24170   </t>
  </si>
  <si>
    <t xml:space="preserve">C-24171   </t>
  </si>
  <si>
    <t xml:space="preserve">C-24172   </t>
  </si>
  <si>
    <t xml:space="preserve">C-24173   </t>
  </si>
  <si>
    <t xml:space="preserve">C-24174   </t>
  </si>
  <si>
    <t xml:space="preserve">C-24175   </t>
  </si>
  <si>
    <t xml:space="preserve">(376)LA SORPRESA CHOLULA                                                   </t>
  </si>
  <si>
    <t xml:space="preserve">C-24176   </t>
  </si>
  <si>
    <t xml:space="preserve">C-24177   </t>
  </si>
  <si>
    <t xml:space="preserve">C-24178   </t>
  </si>
  <si>
    <t xml:space="preserve">C-24179   </t>
  </si>
  <si>
    <t xml:space="preserve">C-24180   </t>
  </si>
  <si>
    <t xml:space="preserve">C-24181   </t>
  </si>
  <si>
    <t xml:space="preserve">C-24182   </t>
  </si>
  <si>
    <t xml:space="preserve">C-24183   </t>
  </si>
  <si>
    <t xml:space="preserve"> 15/02/2017</t>
  </si>
  <si>
    <t xml:space="preserve">C-24184   </t>
  </si>
  <si>
    <t xml:space="preserve">C-24185   </t>
  </si>
  <si>
    <t xml:space="preserve">C-24186   </t>
  </si>
  <si>
    <t xml:space="preserve">C-24187   </t>
  </si>
  <si>
    <t xml:space="preserve">C-24188   </t>
  </si>
  <si>
    <t xml:space="preserve">C-24189   </t>
  </si>
  <si>
    <t xml:space="preserve">C-24190   </t>
  </si>
  <si>
    <t xml:space="preserve">C-24191   </t>
  </si>
  <si>
    <t xml:space="preserve">C-24192   </t>
  </si>
  <si>
    <t xml:space="preserve">C-24193   </t>
  </si>
  <si>
    <t xml:space="preserve">C-24194   </t>
  </si>
  <si>
    <t xml:space="preserve">C-24195   </t>
  </si>
  <si>
    <t xml:space="preserve">C-24196   </t>
  </si>
  <si>
    <t xml:space="preserve">C-24197   </t>
  </si>
  <si>
    <t xml:space="preserve">C-24198   </t>
  </si>
  <si>
    <t xml:space="preserve">C-24199   </t>
  </si>
  <si>
    <t xml:space="preserve">C-24200   </t>
  </si>
  <si>
    <t xml:space="preserve">C-24201   </t>
  </si>
  <si>
    <t xml:space="preserve">C-24202   </t>
  </si>
  <si>
    <t xml:space="preserve">C-24203   </t>
  </si>
  <si>
    <t xml:space="preserve">C-24204   </t>
  </si>
  <si>
    <t xml:space="preserve">C-24205   </t>
  </si>
  <si>
    <t xml:space="preserve">C-24206   </t>
  </si>
  <si>
    <t xml:space="preserve">C-24207   </t>
  </si>
  <si>
    <t xml:space="preserve">C-24208   </t>
  </si>
  <si>
    <t xml:space="preserve">C-24209   </t>
  </si>
  <si>
    <t xml:space="preserve">C-24210   </t>
  </si>
  <si>
    <t xml:space="preserve">C-24211   </t>
  </si>
  <si>
    <t xml:space="preserve">C-24212   </t>
  </si>
  <si>
    <t xml:space="preserve">(298)MARCELO VERACRUZ                                                      </t>
  </si>
  <si>
    <t xml:space="preserve">C-24213   </t>
  </si>
  <si>
    <t xml:space="preserve">(580)GERARDO CARMONA  VER                                                  </t>
  </si>
  <si>
    <t xml:space="preserve">C-24214   </t>
  </si>
  <si>
    <t xml:space="preserve">C-24215   </t>
  </si>
  <si>
    <t xml:space="preserve">C-24216   </t>
  </si>
  <si>
    <t xml:space="preserve">C-24217   </t>
  </si>
  <si>
    <t xml:space="preserve">C-24218   </t>
  </si>
  <si>
    <t xml:space="preserve">C-24219   </t>
  </si>
  <si>
    <t xml:space="preserve">C-24220   </t>
  </si>
  <si>
    <t xml:space="preserve">C-24221   </t>
  </si>
  <si>
    <t xml:space="preserve">C-24222   </t>
  </si>
  <si>
    <t xml:space="preserve">C-24223   </t>
  </si>
  <si>
    <t xml:space="preserve">C-24224   </t>
  </si>
  <si>
    <t xml:space="preserve">C-24225   </t>
  </si>
  <si>
    <t xml:space="preserve">C-24226   </t>
  </si>
  <si>
    <t xml:space="preserve">C-24227   </t>
  </si>
  <si>
    <t xml:space="preserve">C-24228   </t>
  </si>
  <si>
    <t xml:space="preserve">C-24229   </t>
  </si>
  <si>
    <t xml:space="preserve">C-24230   </t>
  </si>
  <si>
    <t xml:space="preserve">C-24231   </t>
  </si>
  <si>
    <t xml:space="preserve">C-24232   </t>
  </si>
  <si>
    <t xml:space="preserve">C-24233   </t>
  </si>
  <si>
    <t xml:space="preserve">C-24234   </t>
  </si>
  <si>
    <t xml:space="preserve">C-24235   </t>
  </si>
  <si>
    <t xml:space="preserve">C-24236   </t>
  </si>
  <si>
    <t xml:space="preserve">C-24237   </t>
  </si>
  <si>
    <t xml:space="preserve">C-24238   </t>
  </si>
  <si>
    <t xml:space="preserve">C-24239   </t>
  </si>
  <si>
    <t xml:space="preserve">C-24240   </t>
  </si>
  <si>
    <t xml:space="preserve">C-24241   </t>
  </si>
  <si>
    <t xml:space="preserve">C-24242   </t>
  </si>
  <si>
    <t xml:space="preserve">C-24243   </t>
  </si>
  <si>
    <t xml:space="preserve">C-24244   </t>
  </si>
  <si>
    <t xml:space="preserve">C-24245   </t>
  </si>
  <si>
    <t xml:space="preserve">C-24246   </t>
  </si>
  <si>
    <t xml:space="preserve">C-24247   </t>
  </si>
  <si>
    <t xml:space="preserve">C-24248   </t>
  </si>
  <si>
    <t xml:space="preserve">C-24249   </t>
  </si>
  <si>
    <t xml:space="preserve">C-24250   </t>
  </si>
  <si>
    <t xml:space="preserve">C-24251   </t>
  </si>
  <si>
    <t xml:space="preserve">C-24252   </t>
  </si>
  <si>
    <t xml:space="preserve">C-24253   </t>
  </si>
  <si>
    <t xml:space="preserve">C-24254   </t>
  </si>
  <si>
    <t xml:space="preserve">C-24255   </t>
  </si>
  <si>
    <t xml:space="preserve">C-24256   </t>
  </si>
  <si>
    <t xml:space="preserve">C-24257   </t>
  </si>
  <si>
    <t xml:space="preserve">C-24258   </t>
  </si>
  <si>
    <t xml:space="preserve">C-24259   </t>
  </si>
  <si>
    <t xml:space="preserve">C-24260   </t>
  </si>
  <si>
    <t xml:space="preserve">C-24261   </t>
  </si>
  <si>
    <t xml:space="preserve">C-24262   </t>
  </si>
  <si>
    <t xml:space="preserve">C-24263   </t>
  </si>
  <si>
    <t xml:space="preserve">C-24264   </t>
  </si>
  <si>
    <t xml:space="preserve">C-24265   </t>
  </si>
  <si>
    <t xml:space="preserve">C-24266   </t>
  </si>
  <si>
    <t xml:space="preserve">C-24267   </t>
  </si>
  <si>
    <t xml:space="preserve">C-24268   </t>
  </si>
  <si>
    <t xml:space="preserve">C-24269   </t>
  </si>
  <si>
    <t xml:space="preserve">C-24270   </t>
  </si>
  <si>
    <t xml:space="preserve">(574)CARNES SELECTAS AXAPUSCO S.A. DE C.V                                  </t>
  </si>
  <si>
    <t xml:space="preserve"> 16/02/2017</t>
  </si>
  <si>
    <t xml:space="preserve">C-24271   </t>
  </si>
  <si>
    <t xml:space="preserve">C-24272   </t>
  </si>
  <si>
    <t xml:space="preserve">C-24273   </t>
  </si>
  <si>
    <t xml:space="preserve">C-24274   </t>
  </si>
  <si>
    <t xml:space="preserve">C-24275   </t>
  </si>
  <si>
    <t xml:space="preserve">C-24276   </t>
  </si>
  <si>
    <t xml:space="preserve">C-24277   </t>
  </si>
  <si>
    <t xml:space="preserve">C-24278   </t>
  </si>
  <si>
    <t xml:space="preserve">C-24279   </t>
  </si>
  <si>
    <t xml:space="preserve">C-24280   </t>
  </si>
  <si>
    <t xml:space="preserve">C-24281   </t>
  </si>
  <si>
    <t xml:space="preserve">C-24282   </t>
  </si>
  <si>
    <t xml:space="preserve">C-24283   </t>
  </si>
  <si>
    <t xml:space="preserve">C-24284   </t>
  </si>
  <si>
    <t xml:space="preserve">C-24285   </t>
  </si>
  <si>
    <t xml:space="preserve">C-24286   </t>
  </si>
  <si>
    <t xml:space="preserve">C-24287   </t>
  </si>
  <si>
    <t xml:space="preserve">C-24288   </t>
  </si>
  <si>
    <t xml:space="preserve">C-24289   </t>
  </si>
  <si>
    <t xml:space="preserve">C-24290   </t>
  </si>
  <si>
    <t xml:space="preserve">C-24291   </t>
  </si>
  <si>
    <t xml:space="preserve">C-24292   </t>
  </si>
  <si>
    <t xml:space="preserve">C-24293   </t>
  </si>
  <si>
    <t xml:space="preserve">C-24294   </t>
  </si>
  <si>
    <t xml:space="preserve">C-24295   </t>
  </si>
  <si>
    <t xml:space="preserve">C-24296   </t>
  </si>
  <si>
    <t xml:space="preserve">C-24297   </t>
  </si>
  <si>
    <t xml:space="preserve">C-24298   </t>
  </si>
  <si>
    <t xml:space="preserve">C-24299   </t>
  </si>
  <si>
    <t xml:space="preserve">C-24300   </t>
  </si>
  <si>
    <t xml:space="preserve">C-24301   </t>
  </si>
  <si>
    <t xml:space="preserve">C-24302   </t>
  </si>
  <si>
    <t xml:space="preserve">C-24303   </t>
  </si>
  <si>
    <t xml:space="preserve">C-24304   </t>
  </si>
  <si>
    <t xml:space="preserve">C-24305   </t>
  </si>
  <si>
    <t xml:space="preserve">C-24306   </t>
  </si>
  <si>
    <t xml:space="preserve">C-24307   </t>
  </si>
  <si>
    <t xml:space="preserve">C-24308   </t>
  </si>
  <si>
    <t xml:space="preserve">C-24309   </t>
  </si>
  <si>
    <t xml:space="preserve">C-24310   </t>
  </si>
  <si>
    <t xml:space="preserve">C-24311   </t>
  </si>
  <si>
    <t xml:space="preserve">C-24312   </t>
  </si>
  <si>
    <t xml:space="preserve">C-24313   </t>
  </si>
  <si>
    <t xml:space="preserve">C-24314   </t>
  </si>
  <si>
    <t xml:space="preserve">C-24315   </t>
  </si>
  <si>
    <t xml:space="preserve">C-24316   </t>
  </si>
  <si>
    <t xml:space="preserve">C-24317   </t>
  </si>
  <si>
    <t xml:space="preserve">C-24318   </t>
  </si>
  <si>
    <t xml:space="preserve">C-24319   </t>
  </si>
  <si>
    <t xml:space="preserve">C-24320   </t>
  </si>
  <si>
    <t xml:space="preserve">C-24321   </t>
  </si>
  <si>
    <t xml:space="preserve">C-24322   </t>
  </si>
  <si>
    <t xml:space="preserve">C-24323   </t>
  </si>
  <si>
    <t xml:space="preserve">C-24324   </t>
  </si>
  <si>
    <t xml:space="preserve">C-24325   </t>
  </si>
  <si>
    <t xml:space="preserve">C-24326   </t>
  </si>
  <si>
    <t xml:space="preserve">C-24327   </t>
  </si>
  <si>
    <t xml:space="preserve">C-24328   </t>
  </si>
  <si>
    <t xml:space="preserve">C-24329   </t>
  </si>
  <si>
    <t xml:space="preserve">C-24330   </t>
  </si>
  <si>
    <t xml:space="preserve">C-24331   </t>
  </si>
  <si>
    <t xml:space="preserve">C-24332   </t>
  </si>
  <si>
    <t xml:space="preserve">C-24333   </t>
  </si>
  <si>
    <t xml:space="preserve">C-24334   </t>
  </si>
  <si>
    <t xml:space="preserve">C-24335   </t>
  </si>
  <si>
    <t xml:space="preserve">C-24336   </t>
  </si>
  <si>
    <t xml:space="preserve">C-24337   </t>
  </si>
  <si>
    <t xml:space="preserve">C-24338   </t>
  </si>
  <si>
    <t xml:space="preserve">T O T A L E S   </t>
  </si>
  <si>
    <t>01/02/2017 03/02/2017</t>
  </si>
  <si>
    <t>01/02/2017 02/02/2017</t>
  </si>
  <si>
    <t>01/02/2017 04/02/2017</t>
  </si>
  <si>
    <t>03/02/2017 08/02/2017</t>
  </si>
  <si>
    <t xml:space="preserve">01/02/2017 08/02/2017 </t>
  </si>
  <si>
    <t>08/02/2017 10/02/2017</t>
  </si>
  <si>
    <t xml:space="preserve"> 09/02/2017 14/02/2017</t>
  </si>
  <si>
    <t>10/02/2017 15/02/2017</t>
  </si>
  <si>
    <t>REMISIONES DE       F E B R E RO             2 0 1 7</t>
  </si>
  <si>
    <t># EN SISTEMA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</si>
  <si>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</si>
  <si>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 xml:space="preserve">C-24339   </t>
  </si>
  <si>
    <t xml:space="preserve">C-24340   </t>
  </si>
  <si>
    <t xml:space="preserve">C-24341   </t>
  </si>
  <si>
    <t xml:space="preserve">C-24342   </t>
  </si>
  <si>
    <t xml:space="preserve">C-24343   </t>
  </si>
  <si>
    <t xml:space="preserve">C-24344   </t>
  </si>
  <si>
    <t xml:space="preserve">C-24345   </t>
  </si>
  <si>
    <t xml:space="preserve">C-24346   </t>
  </si>
  <si>
    <t xml:space="preserve">C-24347   </t>
  </si>
  <si>
    <t xml:space="preserve">C-24348   </t>
  </si>
  <si>
    <t xml:space="preserve">C-24349   </t>
  </si>
  <si>
    <t xml:space="preserve">C-24350   </t>
  </si>
  <si>
    <t xml:space="preserve">C-24351   </t>
  </si>
  <si>
    <t xml:space="preserve">C-24352   </t>
  </si>
  <si>
    <t xml:space="preserve">C-24353   </t>
  </si>
  <si>
    <t xml:space="preserve">C-24354   </t>
  </si>
  <si>
    <t xml:space="preserve">C-24355   </t>
  </si>
  <si>
    <t xml:space="preserve"> 06/02/2017 07/02/2017</t>
  </si>
  <si>
    <t xml:space="preserve">C-24356   </t>
  </si>
  <si>
    <t xml:space="preserve">C-24357   </t>
  </si>
  <si>
    <t xml:space="preserve">C-24358   </t>
  </si>
  <si>
    <t>02/02/2017 04/02/2017</t>
  </si>
  <si>
    <t xml:space="preserve">C-24359   </t>
  </si>
  <si>
    <t xml:space="preserve">C-24360   </t>
  </si>
  <si>
    <t>04/02/2017  06/02/2017</t>
  </si>
  <si>
    <t xml:space="preserve">C-24361   </t>
  </si>
  <si>
    <t xml:space="preserve">C-24362   </t>
  </si>
  <si>
    <t xml:space="preserve">C-24363   </t>
  </si>
  <si>
    <t xml:space="preserve">C-24364   </t>
  </si>
  <si>
    <t xml:space="preserve">C-24365   </t>
  </si>
  <si>
    <t xml:space="preserve">C-24366   </t>
  </si>
  <si>
    <t xml:space="preserve">C-24367   </t>
  </si>
  <si>
    <t xml:space="preserve">C-24368   </t>
  </si>
  <si>
    <t xml:space="preserve">C-24369   </t>
  </si>
  <si>
    <t xml:space="preserve">C-24370   </t>
  </si>
  <si>
    <t xml:space="preserve">C-24371   </t>
  </si>
  <si>
    <t xml:space="preserve">C-24372   </t>
  </si>
  <si>
    <t xml:space="preserve">C-24373   </t>
  </si>
  <si>
    <t xml:space="preserve">C-24374   </t>
  </si>
  <si>
    <t xml:space="preserve">C-24375   </t>
  </si>
  <si>
    <t xml:space="preserve">C-24376   </t>
  </si>
  <si>
    <t xml:space="preserve">C-24377   </t>
  </si>
  <si>
    <t xml:space="preserve">C-24378   </t>
  </si>
  <si>
    <t xml:space="preserve">C-24379   </t>
  </si>
  <si>
    <t xml:space="preserve">C-24380   </t>
  </si>
  <si>
    <t xml:space="preserve">C-24381   </t>
  </si>
  <si>
    <t xml:space="preserve">C-24382   </t>
  </si>
  <si>
    <t xml:space="preserve">C-24383   </t>
  </si>
  <si>
    <t xml:space="preserve">C-24384   </t>
  </si>
  <si>
    <t xml:space="preserve">C-24385   </t>
  </si>
  <si>
    <t xml:space="preserve">C-24386   </t>
  </si>
  <si>
    <t xml:space="preserve">C-24387   </t>
  </si>
  <si>
    <t xml:space="preserve">C-24388   </t>
  </si>
  <si>
    <t xml:space="preserve">C-24389   </t>
  </si>
  <si>
    <t xml:space="preserve">C-24390   </t>
  </si>
  <si>
    <t xml:space="preserve">C-24391   </t>
  </si>
  <si>
    <t xml:space="preserve">C-24392   </t>
  </si>
  <si>
    <t xml:space="preserve">C-24393   </t>
  </si>
  <si>
    <t xml:space="preserve">C-24394   </t>
  </si>
  <si>
    <t xml:space="preserve">C-24395   </t>
  </si>
  <si>
    <t xml:space="preserve">C-24396   </t>
  </si>
  <si>
    <t xml:space="preserve">C-24397   </t>
  </si>
  <si>
    <t xml:space="preserve">C-24398   </t>
  </si>
  <si>
    <t xml:space="preserve">C-24399   </t>
  </si>
  <si>
    <t xml:space="preserve">C-24400   </t>
  </si>
  <si>
    <t xml:space="preserve">C-24401   </t>
  </si>
  <si>
    <t xml:space="preserve">C-24402   </t>
  </si>
  <si>
    <t xml:space="preserve">C-24403   </t>
  </si>
  <si>
    <t xml:space="preserve">C-24404   </t>
  </si>
  <si>
    <t xml:space="preserve">C-24405   </t>
  </si>
  <si>
    <t xml:space="preserve">C-24406   </t>
  </si>
  <si>
    <t xml:space="preserve">C-24407   </t>
  </si>
  <si>
    <t xml:space="preserve">(32)ANGEL ALFONSO                                                         </t>
  </si>
  <si>
    <t xml:space="preserve">C-24408   </t>
  </si>
  <si>
    <t xml:space="preserve">C-24409   </t>
  </si>
  <si>
    <t xml:space="preserve">C-24410   </t>
  </si>
  <si>
    <t xml:space="preserve">C-24411   </t>
  </si>
  <si>
    <t xml:space="preserve">C-24412   </t>
  </si>
  <si>
    <t xml:space="preserve">C-24413   </t>
  </si>
  <si>
    <t xml:space="preserve">C-24414   </t>
  </si>
  <si>
    <t xml:space="preserve">C-24415   </t>
  </si>
  <si>
    <t>05/02/207</t>
  </si>
  <si>
    <t xml:space="preserve">C-24416   </t>
  </si>
  <si>
    <t xml:space="preserve">C-24417   </t>
  </si>
  <si>
    <t xml:space="preserve">C-24418   </t>
  </si>
  <si>
    <t xml:space="preserve">C-24419   </t>
  </si>
  <si>
    <t xml:space="preserve">C-24420   </t>
  </si>
  <si>
    <t xml:space="preserve">C-24421   </t>
  </si>
  <si>
    <t xml:space="preserve">C-24422   </t>
  </si>
  <si>
    <t xml:space="preserve">C-24423   </t>
  </si>
  <si>
    <t xml:space="preserve">C-24424   </t>
  </si>
  <si>
    <t xml:space="preserve">C-24425   </t>
  </si>
  <si>
    <t xml:space="preserve">C-24426   </t>
  </si>
  <si>
    <t xml:space="preserve">C-24427   </t>
  </si>
  <si>
    <t xml:space="preserve">C-24428   </t>
  </si>
  <si>
    <t xml:space="preserve">C-24429   </t>
  </si>
  <si>
    <t xml:space="preserve">C-24430   </t>
  </si>
  <si>
    <t xml:space="preserve">C-24431   </t>
  </si>
  <si>
    <t xml:space="preserve">C-24432   </t>
  </si>
  <si>
    <t xml:space="preserve">C-24433   </t>
  </si>
  <si>
    <t xml:space="preserve">C-24434   </t>
  </si>
  <si>
    <t xml:space="preserve">C-24435   </t>
  </si>
  <si>
    <t xml:space="preserve">C-24436   </t>
  </si>
  <si>
    <t xml:space="preserve">C-24437   </t>
  </si>
  <si>
    <t xml:space="preserve">C-24438   </t>
  </si>
  <si>
    <t xml:space="preserve">C-24439   </t>
  </si>
  <si>
    <t xml:space="preserve">C-24440   </t>
  </si>
  <si>
    <t xml:space="preserve">C-24441   </t>
  </si>
  <si>
    <t xml:space="preserve">C-24442   </t>
  </si>
  <si>
    <t xml:space="preserve">C-24443   </t>
  </si>
  <si>
    <t xml:space="preserve">C-24444   </t>
  </si>
  <si>
    <t xml:space="preserve">C-24445   </t>
  </si>
  <si>
    <t xml:space="preserve">C-24446   </t>
  </si>
  <si>
    <t xml:space="preserve">C-24447   </t>
  </si>
  <si>
    <t xml:space="preserve">C-24448   </t>
  </si>
  <si>
    <t xml:space="preserve">C-24449   </t>
  </si>
  <si>
    <t xml:space="preserve">C-24450   </t>
  </si>
  <si>
    <t xml:space="preserve">C-24451   </t>
  </si>
  <si>
    <t xml:space="preserve">C-24452   </t>
  </si>
  <si>
    <t xml:space="preserve">C-24453   </t>
  </si>
  <si>
    <t xml:space="preserve">C-24454   </t>
  </si>
  <si>
    <t xml:space="preserve">C-24455   </t>
  </si>
  <si>
    <t xml:space="preserve">C-24456   </t>
  </si>
  <si>
    <t xml:space="preserve">C-24457   </t>
  </si>
  <si>
    <t xml:space="preserve">C-24458   </t>
  </si>
  <si>
    <t xml:space="preserve">C-24459   </t>
  </si>
  <si>
    <t xml:space="preserve">C-24460   </t>
  </si>
  <si>
    <t xml:space="preserve">C-24461   </t>
  </si>
  <si>
    <t xml:space="preserve">C-24462   </t>
  </si>
  <si>
    <t xml:space="preserve">C-24463   </t>
  </si>
  <si>
    <t xml:space="preserve">C-24464   </t>
  </si>
  <si>
    <t xml:space="preserve">C-24465   </t>
  </si>
  <si>
    <t xml:space="preserve">C-24466   </t>
  </si>
  <si>
    <t xml:space="preserve">C-24467   </t>
  </si>
  <si>
    <t xml:space="preserve">C-24468   </t>
  </si>
  <si>
    <t xml:space="preserve">C-24469   </t>
  </si>
  <si>
    <t xml:space="preserve">C-24470   </t>
  </si>
  <si>
    <t xml:space="preserve">C-24471   </t>
  </si>
  <si>
    <t xml:space="preserve">C-24472   </t>
  </si>
  <si>
    <t xml:space="preserve">C-24473   </t>
  </si>
  <si>
    <t xml:space="preserve">C-24474   </t>
  </si>
  <si>
    <t xml:space="preserve">C-24475   </t>
  </si>
  <si>
    <t xml:space="preserve">C-24476   </t>
  </si>
  <si>
    <t xml:space="preserve">C-24477   </t>
  </si>
  <si>
    <t xml:space="preserve">C-24478   </t>
  </si>
  <si>
    <t xml:space="preserve">C-24479   </t>
  </si>
  <si>
    <t xml:space="preserve">C-24480   </t>
  </si>
  <si>
    <t xml:space="preserve">C-24481   </t>
  </si>
  <si>
    <t xml:space="preserve">C-24482   </t>
  </si>
  <si>
    <t xml:space="preserve">C-24483   </t>
  </si>
  <si>
    <t xml:space="preserve">C-24484   </t>
  </si>
  <si>
    <t xml:space="preserve">C-24485   </t>
  </si>
  <si>
    <t xml:space="preserve">C-24486   </t>
  </si>
  <si>
    <t>04/02/2017 06/02/2017</t>
  </si>
  <si>
    <t xml:space="preserve">C-24487   </t>
  </si>
  <si>
    <t xml:space="preserve">C-24488   </t>
  </si>
  <si>
    <t xml:space="preserve">C-24489   </t>
  </si>
  <si>
    <t xml:space="preserve">C-24490   </t>
  </si>
  <si>
    <t xml:space="preserve">C-24491   </t>
  </si>
  <si>
    <t xml:space="preserve">C-24492   </t>
  </si>
  <si>
    <t xml:space="preserve">C-24493   </t>
  </si>
  <si>
    <t xml:space="preserve">C-24494   </t>
  </si>
  <si>
    <t xml:space="preserve">C-24495   </t>
  </si>
  <si>
    <t xml:space="preserve">C-24496   </t>
  </si>
  <si>
    <t xml:space="preserve">C-24497   </t>
  </si>
  <si>
    <t xml:space="preserve">C-24498   </t>
  </si>
  <si>
    <t xml:space="preserve">C-24499   </t>
  </si>
  <si>
    <t xml:space="preserve">C-24500   </t>
  </si>
  <si>
    <t xml:space="preserve">C-24501   </t>
  </si>
  <si>
    <t xml:space="preserve">C-24502   </t>
  </si>
  <si>
    <t xml:space="preserve">C-24503   </t>
  </si>
  <si>
    <t xml:space="preserve">C-24504   </t>
  </si>
  <si>
    <t xml:space="preserve">C-24505   </t>
  </si>
  <si>
    <t xml:space="preserve">C-24506   </t>
  </si>
  <si>
    <t xml:space="preserve">C-24507   </t>
  </si>
  <si>
    <t>03/02/2017 10/02/2017</t>
  </si>
  <si>
    <t xml:space="preserve">C-24508   </t>
  </si>
  <si>
    <t xml:space="preserve">C-24509   </t>
  </si>
  <si>
    <t xml:space="preserve">C-24510   </t>
  </si>
  <si>
    <t xml:space="preserve">C-24511   </t>
  </si>
  <si>
    <t xml:space="preserve">C-24512   </t>
  </si>
  <si>
    <t xml:space="preserve">C-24513   </t>
  </si>
  <si>
    <t xml:space="preserve">C-24514   </t>
  </si>
  <si>
    <t xml:space="preserve">C-24515   </t>
  </si>
  <si>
    <t xml:space="preserve">C-24516   </t>
  </si>
  <si>
    <t xml:space="preserve">C-24517   </t>
  </si>
  <si>
    <t xml:space="preserve">C-24518   </t>
  </si>
  <si>
    <t xml:space="preserve">C-24519   </t>
  </si>
  <si>
    <t xml:space="preserve">C-24520   </t>
  </si>
  <si>
    <t xml:space="preserve">(682)TAQUERIA OYUTLA                                                       </t>
  </si>
  <si>
    <t xml:space="preserve">C-24521   </t>
  </si>
  <si>
    <t xml:space="preserve">C-24522   </t>
  </si>
  <si>
    <t xml:space="preserve">C-24523   </t>
  </si>
  <si>
    <t xml:space="preserve">C-24524   </t>
  </si>
  <si>
    <t xml:space="preserve">C-24525   </t>
  </si>
  <si>
    <t xml:space="preserve">C-24526   </t>
  </si>
  <si>
    <t xml:space="preserve">C-24527   </t>
  </si>
  <si>
    <t xml:space="preserve">C-24528   </t>
  </si>
  <si>
    <t xml:space="preserve">C-24529   </t>
  </si>
  <si>
    <t xml:space="preserve">C-24530   </t>
  </si>
  <si>
    <t xml:space="preserve">C-24531   </t>
  </si>
  <si>
    <t xml:space="preserve">C-24532   </t>
  </si>
  <si>
    <t xml:space="preserve">C-24533   </t>
  </si>
  <si>
    <t xml:space="preserve">C-24534   </t>
  </si>
  <si>
    <t xml:space="preserve">C-24535   </t>
  </si>
  <si>
    <t xml:space="preserve">C-24536   </t>
  </si>
  <si>
    <t xml:space="preserve">C-24537   </t>
  </si>
  <si>
    <t xml:space="preserve">C-24538   </t>
  </si>
  <si>
    <t xml:space="preserve">C-24539   </t>
  </si>
  <si>
    <t xml:space="preserve">C-24540   </t>
  </si>
  <si>
    <t xml:space="preserve">C-24541   </t>
  </si>
  <si>
    <t xml:space="preserve">C-24542   </t>
  </si>
  <si>
    <t xml:space="preserve">C-24543   </t>
  </si>
  <si>
    <t xml:space="preserve">C-24544   </t>
  </si>
  <si>
    <t xml:space="preserve">C-24545   </t>
  </si>
  <si>
    <t xml:space="preserve">C-24546   </t>
  </si>
  <si>
    <t xml:space="preserve">C-24547   </t>
  </si>
  <si>
    <t xml:space="preserve">C-24548   </t>
  </si>
  <si>
    <t xml:space="preserve">C-24549   </t>
  </si>
  <si>
    <t xml:space="preserve">C-24550   </t>
  </si>
  <si>
    <t xml:space="preserve">C-24551   </t>
  </si>
  <si>
    <t xml:space="preserve">C-24552   </t>
  </si>
  <si>
    <t xml:space="preserve">C-24553   </t>
  </si>
  <si>
    <t xml:space="preserve">C-24554   </t>
  </si>
  <si>
    <t xml:space="preserve">C-24555   </t>
  </si>
  <si>
    <t xml:space="preserve">C-24556   </t>
  </si>
  <si>
    <t xml:space="preserve">C-24557   </t>
  </si>
  <si>
    <t xml:space="preserve">C-24558   </t>
  </si>
  <si>
    <t xml:space="preserve">C-24559   </t>
  </si>
  <si>
    <t xml:space="preserve">C-24560   </t>
  </si>
  <si>
    <t xml:space="preserve">C-24561   </t>
  </si>
  <si>
    <t xml:space="preserve">C-24562   </t>
  </si>
  <si>
    <t xml:space="preserve">C-24563   </t>
  </si>
  <si>
    <t xml:space="preserve">C-24564   </t>
  </si>
  <si>
    <t xml:space="preserve">C-24565   </t>
  </si>
  <si>
    <t xml:space="preserve">C-24566   </t>
  </si>
  <si>
    <t xml:space="preserve">C-24567   </t>
  </si>
  <si>
    <t xml:space="preserve">C-24568   </t>
  </si>
  <si>
    <t xml:space="preserve">C-24569   </t>
  </si>
  <si>
    <t xml:space="preserve">C-24570   </t>
  </si>
  <si>
    <t xml:space="preserve">C-24571   </t>
  </si>
  <si>
    <t xml:space="preserve">C-24572   </t>
  </si>
  <si>
    <t xml:space="preserve">C-24573   </t>
  </si>
  <si>
    <t xml:space="preserve">C-24574   </t>
  </si>
  <si>
    <t xml:space="preserve">C-24575   </t>
  </si>
  <si>
    <t xml:space="preserve">C-24576   </t>
  </si>
  <si>
    <t xml:space="preserve">C-24577   </t>
  </si>
  <si>
    <t xml:space="preserve">C-24578   </t>
  </si>
  <si>
    <t xml:space="preserve">C-24579   </t>
  </si>
  <si>
    <t xml:space="preserve">C-24580   </t>
  </si>
  <si>
    <t xml:space="preserve">C-24581   </t>
  </si>
  <si>
    <t xml:space="preserve">C-24582   </t>
  </si>
  <si>
    <t xml:space="preserve">C-24583   </t>
  </si>
  <si>
    <t xml:space="preserve">C-24584   </t>
  </si>
  <si>
    <t xml:space="preserve">C-24585   </t>
  </si>
  <si>
    <t xml:space="preserve">C-24586   </t>
  </si>
  <si>
    <t xml:space="preserve">C-24587   </t>
  </si>
  <si>
    <t xml:space="preserve">C-24588   </t>
  </si>
  <si>
    <t xml:space="preserve">C-24589   </t>
  </si>
  <si>
    <t xml:space="preserve">C-24590   </t>
  </si>
  <si>
    <t xml:space="preserve">C-24591   </t>
  </si>
  <si>
    <t xml:space="preserve">C-24592   </t>
  </si>
  <si>
    <t xml:space="preserve">C-24593   </t>
  </si>
  <si>
    <t xml:space="preserve">C-24594   </t>
  </si>
  <si>
    <t xml:space="preserve">C-24595   </t>
  </si>
  <si>
    <t xml:space="preserve">C-24596   </t>
  </si>
  <si>
    <t xml:space="preserve">C-24597   </t>
  </si>
  <si>
    <t xml:space="preserve">C-24598   </t>
  </si>
  <si>
    <t xml:space="preserve">C-24599   </t>
  </si>
  <si>
    <t xml:space="preserve">C-24600   </t>
  </si>
  <si>
    <t xml:space="preserve">C-24601   </t>
  </si>
  <si>
    <t xml:space="preserve">C-24602   </t>
  </si>
  <si>
    <t xml:space="preserve">C-24603   </t>
  </si>
  <si>
    <t xml:space="preserve">C-24604   </t>
  </si>
  <si>
    <t xml:space="preserve">C-24605   </t>
  </si>
  <si>
    <t xml:space="preserve">C-24606   </t>
  </si>
  <si>
    <t xml:space="preserve">C-24607   </t>
  </si>
  <si>
    <t xml:space="preserve">C-24608   </t>
  </si>
  <si>
    <t xml:space="preserve">C-24609   </t>
  </si>
  <si>
    <t>18/02/2017 20/02/2017</t>
  </si>
  <si>
    <t xml:space="preserve">C-24610   </t>
  </si>
  <si>
    <t xml:space="preserve">C-24611   </t>
  </si>
  <si>
    <t xml:space="preserve">C-24612   </t>
  </si>
  <si>
    <t xml:space="preserve">C-24613   </t>
  </si>
  <si>
    <t xml:space="preserve">C-24614   </t>
  </si>
  <si>
    <t xml:space="preserve">C-24615   </t>
  </si>
  <si>
    <t xml:space="preserve">C-24616   </t>
  </si>
  <si>
    <t xml:space="preserve">C-24617   </t>
  </si>
  <si>
    <t xml:space="preserve">C-24618   </t>
  </si>
  <si>
    <t xml:space="preserve">C-24619   </t>
  </si>
  <si>
    <t xml:space="preserve">C-24620   </t>
  </si>
  <si>
    <t xml:space="preserve">C-24621   </t>
  </si>
  <si>
    <t xml:space="preserve">C-24622   </t>
  </si>
  <si>
    <t xml:space="preserve">C-24623   </t>
  </si>
  <si>
    <t>06/02/2017 09/02/2017</t>
  </si>
  <si>
    <t xml:space="preserve">C-24624   </t>
  </si>
  <si>
    <t xml:space="preserve">C-24625   </t>
  </si>
  <si>
    <t xml:space="preserve">C-24626   </t>
  </si>
  <si>
    <t xml:space="preserve">C-24627   </t>
  </si>
  <si>
    <t xml:space="preserve">C-24628   </t>
  </si>
  <si>
    <t>07/02/2017 08/02/2017</t>
  </si>
  <si>
    <t xml:space="preserve">C-24629   </t>
  </si>
  <si>
    <t xml:space="preserve">C-24630   </t>
  </si>
  <si>
    <t xml:space="preserve">C-24631   </t>
  </si>
  <si>
    <t xml:space="preserve">C-24632   </t>
  </si>
  <si>
    <t xml:space="preserve">C-24633   </t>
  </si>
  <si>
    <t xml:space="preserve">C-24634   </t>
  </si>
  <si>
    <t xml:space="preserve">C-24635   </t>
  </si>
  <si>
    <t xml:space="preserve">C-24636   </t>
  </si>
  <si>
    <t xml:space="preserve">C-24637   </t>
  </si>
  <si>
    <t>06/02/2017 10/02/2017</t>
  </si>
  <si>
    <t xml:space="preserve">C-24638   </t>
  </si>
  <si>
    <t xml:space="preserve">C-24639   </t>
  </si>
  <si>
    <t xml:space="preserve">C-24640   </t>
  </si>
  <si>
    <t xml:space="preserve">C-24641   </t>
  </si>
  <si>
    <t xml:space="preserve">C-24642   </t>
  </si>
  <si>
    <t xml:space="preserve">C-24643   </t>
  </si>
  <si>
    <t xml:space="preserve">C-24644   </t>
  </si>
  <si>
    <t xml:space="preserve">C-24645   </t>
  </si>
  <si>
    <t xml:space="preserve">C-24646   </t>
  </si>
  <si>
    <t xml:space="preserve">C-24647   </t>
  </si>
  <si>
    <t xml:space="preserve">C-24648   </t>
  </si>
  <si>
    <t xml:space="preserve">C-24649   </t>
  </si>
  <si>
    <t xml:space="preserve">C-24650   </t>
  </si>
  <si>
    <t xml:space="preserve">C-24651   </t>
  </si>
  <si>
    <t xml:space="preserve">C-24652   </t>
  </si>
  <si>
    <t xml:space="preserve">C-24653   </t>
  </si>
  <si>
    <t xml:space="preserve">C-24654   </t>
  </si>
  <si>
    <t xml:space="preserve">C-24655   </t>
  </si>
  <si>
    <t xml:space="preserve">C-24656   </t>
  </si>
  <si>
    <t xml:space="preserve">C-24657   </t>
  </si>
  <si>
    <t xml:space="preserve">C-24658   </t>
  </si>
  <si>
    <t xml:space="preserve">C-24659   </t>
  </si>
  <si>
    <t xml:space="preserve">C-24660   </t>
  </si>
  <si>
    <t xml:space="preserve">C-24661   </t>
  </si>
  <si>
    <t xml:space="preserve">C-24662   </t>
  </si>
  <si>
    <t xml:space="preserve">C-24663   </t>
  </si>
  <si>
    <t xml:space="preserve">C-24664   </t>
  </si>
  <si>
    <t xml:space="preserve">C-24665   </t>
  </si>
  <si>
    <t xml:space="preserve">C-24666   </t>
  </si>
  <si>
    <t xml:space="preserve">C-24667   </t>
  </si>
  <si>
    <t xml:space="preserve">C-24668   </t>
  </si>
  <si>
    <t xml:space="preserve">C-24669   </t>
  </si>
  <si>
    <t xml:space="preserve">C-24670   </t>
  </si>
  <si>
    <t xml:space="preserve">C-24671   </t>
  </si>
  <si>
    <t xml:space="preserve">C-24672   </t>
  </si>
  <si>
    <t xml:space="preserve">C-24673   </t>
  </si>
  <si>
    <t xml:space="preserve">C-24674   </t>
  </si>
  <si>
    <t xml:space="preserve">C-24675   </t>
  </si>
  <si>
    <t xml:space="preserve">C-24676   </t>
  </si>
  <si>
    <t xml:space="preserve">C-24677   </t>
  </si>
  <si>
    <t xml:space="preserve">C-24678   </t>
  </si>
  <si>
    <t xml:space="preserve">C-24679   </t>
  </si>
  <si>
    <t xml:space="preserve">C-24680   </t>
  </si>
  <si>
    <t xml:space="preserve">C-24681   </t>
  </si>
  <si>
    <t xml:space="preserve">C-24682   </t>
  </si>
  <si>
    <t xml:space="preserve">C-24683   </t>
  </si>
  <si>
    <t xml:space="preserve">C-24684   </t>
  </si>
  <si>
    <t xml:space="preserve">C-24685   </t>
  </si>
  <si>
    <t xml:space="preserve">C-24686   </t>
  </si>
  <si>
    <t xml:space="preserve">C-24687   </t>
  </si>
  <si>
    <t xml:space="preserve">(48)PORFIRIO CRUZ                                                         </t>
  </si>
  <si>
    <t xml:space="preserve">C-24688   </t>
  </si>
  <si>
    <t xml:space="preserve">C-24689   </t>
  </si>
  <si>
    <t xml:space="preserve">C-24690   </t>
  </si>
  <si>
    <t xml:space="preserve">C-24691   </t>
  </si>
  <si>
    <t xml:space="preserve">C-24692   </t>
  </si>
  <si>
    <t xml:space="preserve">C-24693   </t>
  </si>
  <si>
    <t xml:space="preserve">C-24694   </t>
  </si>
  <si>
    <t xml:space="preserve">C-24695   </t>
  </si>
  <si>
    <t xml:space="preserve">C-24696   </t>
  </si>
  <si>
    <t xml:space="preserve">C-24697   </t>
  </si>
  <si>
    <t xml:space="preserve">C-24698   </t>
  </si>
  <si>
    <t xml:space="preserve">C-24699   </t>
  </si>
  <si>
    <t xml:space="preserve">C-24700   </t>
  </si>
  <si>
    <t xml:space="preserve">C-24701   </t>
  </si>
  <si>
    <t xml:space="preserve">C-24702   </t>
  </si>
  <si>
    <t xml:space="preserve">C-24703   </t>
  </si>
  <si>
    <t xml:space="preserve">C-24704   </t>
  </si>
  <si>
    <t xml:space="preserve">C-24705   </t>
  </si>
  <si>
    <t xml:space="preserve">C-24706   </t>
  </si>
  <si>
    <t xml:space="preserve">C-24707   </t>
  </si>
  <si>
    <t xml:space="preserve">C-24708   </t>
  </si>
  <si>
    <t xml:space="preserve">C-24709   </t>
  </si>
  <si>
    <t xml:space="preserve">C-24710   </t>
  </si>
  <si>
    <t xml:space="preserve">C-24711   </t>
  </si>
  <si>
    <t xml:space="preserve">C-24712   </t>
  </si>
  <si>
    <t xml:space="preserve">C-24713   </t>
  </si>
  <si>
    <t xml:space="preserve">C-24714   </t>
  </si>
  <si>
    <t xml:space="preserve">C-24715   </t>
  </si>
  <si>
    <t xml:space="preserve">C-24716   </t>
  </si>
  <si>
    <t xml:space="preserve">C-24717   </t>
  </si>
  <si>
    <t xml:space="preserve">C-24718   </t>
  </si>
  <si>
    <t xml:space="preserve">C-24719   </t>
  </si>
  <si>
    <t xml:space="preserve">C-24720   </t>
  </si>
  <si>
    <t xml:space="preserve">C-24721   </t>
  </si>
  <si>
    <t xml:space="preserve">C-24722   </t>
  </si>
  <si>
    <t xml:space="preserve">C-24723   </t>
  </si>
  <si>
    <t xml:space="preserve">C-24724   </t>
  </si>
  <si>
    <t xml:space="preserve">C-24725   </t>
  </si>
  <si>
    <t xml:space="preserve">C-24726   </t>
  </si>
  <si>
    <t xml:space="preserve">C-24727   </t>
  </si>
  <si>
    <t xml:space="preserve">C-24728   </t>
  </si>
  <si>
    <t xml:space="preserve">C-24729   </t>
  </si>
  <si>
    <t>03/02/2017 05/02/207</t>
  </si>
  <si>
    <t xml:space="preserve">C-24730   </t>
  </si>
  <si>
    <t xml:space="preserve">C-24731   </t>
  </si>
  <si>
    <t xml:space="preserve">C-24732   </t>
  </si>
  <si>
    <t xml:space="preserve">C-24733   </t>
  </si>
  <si>
    <t xml:space="preserve">C-24734   </t>
  </si>
  <si>
    <t xml:space="preserve">C-24735   </t>
  </si>
  <si>
    <t xml:space="preserve">C-24736   </t>
  </si>
  <si>
    <t xml:space="preserve">C-24737   </t>
  </si>
  <si>
    <t xml:space="preserve">C-24738   </t>
  </si>
  <si>
    <t xml:space="preserve">C-24739   </t>
  </si>
  <si>
    <t xml:space="preserve">C-24740   </t>
  </si>
  <si>
    <t>09/02/2017 11/02/2017</t>
  </si>
  <si>
    <t xml:space="preserve">C-24741   </t>
  </si>
  <si>
    <t xml:space="preserve">C-24742   </t>
  </si>
  <si>
    <t xml:space="preserve">C-24743   </t>
  </si>
  <si>
    <t xml:space="preserve">C-24744   </t>
  </si>
  <si>
    <t xml:space="preserve">C-24745   </t>
  </si>
  <si>
    <t xml:space="preserve">C-24746   </t>
  </si>
  <si>
    <t xml:space="preserve">C-24747   </t>
  </si>
  <si>
    <t xml:space="preserve">C-24748   </t>
  </si>
  <si>
    <t xml:space="preserve">C-24749   </t>
  </si>
  <si>
    <t xml:space="preserve">C-24750   </t>
  </si>
  <si>
    <t xml:space="preserve">C-24751   </t>
  </si>
  <si>
    <t xml:space="preserve">C-24752   </t>
  </si>
  <si>
    <t xml:space="preserve">C-24753   </t>
  </si>
  <si>
    <t xml:space="preserve">C-24754   </t>
  </si>
  <si>
    <t xml:space="preserve">C-24755   </t>
  </si>
  <si>
    <t xml:space="preserve">C-24756   </t>
  </si>
  <si>
    <t xml:space="preserve">C-24757   </t>
  </si>
  <si>
    <t xml:space="preserve">C-24758   </t>
  </si>
  <si>
    <t xml:space="preserve">C-24759   </t>
  </si>
  <si>
    <t xml:space="preserve">C-24760   </t>
  </si>
  <si>
    <t xml:space="preserve">C-24761   </t>
  </si>
  <si>
    <t xml:space="preserve">C-24762   </t>
  </si>
  <si>
    <t xml:space="preserve">C-24763   </t>
  </si>
  <si>
    <t xml:space="preserve">C-24764   </t>
  </si>
  <si>
    <t xml:space="preserve">C-24765   </t>
  </si>
  <si>
    <t xml:space="preserve">C-24766   </t>
  </si>
  <si>
    <t xml:space="preserve">C-24767   </t>
  </si>
  <si>
    <t xml:space="preserve">C-24768   </t>
  </si>
  <si>
    <t xml:space="preserve">C-24769   </t>
  </si>
  <si>
    <t xml:space="preserve">C-24770   </t>
  </si>
  <si>
    <t xml:space="preserve">C-24771   </t>
  </si>
  <si>
    <t xml:space="preserve">C-24772   </t>
  </si>
  <si>
    <t xml:space="preserve">C-24773   </t>
  </si>
  <si>
    <t xml:space="preserve">C-24774   </t>
  </si>
  <si>
    <t xml:space="preserve">C-24775   </t>
  </si>
  <si>
    <t>08/02/2017 17/02/2017</t>
  </si>
  <si>
    <t xml:space="preserve">C-24776   </t>
  </si>
  <si>
    <t xml:space="preserve">C-24777   </t>
  </si>
  <si>
    <t xml:space="preserve">C-24778   </t>
  </si>
  <si>
    <t xml:space="preserve">C-24779   </t>
  </si>
  <si>
    <t xml:space="preserve">C-24780   </t>
  </si>
  <si>
    <t xml:space="preserve">C-24781   </t>
  </si>
  <si>
    <t xml:space="preserve">C-24782   </t>
  </si>
  <si>
    <t xml:space="preserve">C-24783   </t>
  </si>
  <si>
    <t xml:space="preserve">C-24784   </t>
  </si>
  <si>
    <t xml:space="preserve">C-24785   </t>
  </si>
  <si>
    <t xml:space="preserve">C-24786   </t>
  </si>
  <si>
    <t xml:space="preserve">C-24787   </t>
  </si>
  <si>
    <t xml:space="preserve">C-24788   </t>
  </si>
  <si>
    <t xml:space="preserve">C-24789   </t>
  </si>
  <si>
    <t xml:space="preserve">C-24790   </t>
  </si>
  <si>
    <t xml:space="preserve">C-24791   </t>
  </si>
  <si>
    <t xml:space="preserve">C-24792   </t>
  </si>
  <si>
    <t xml:space="preserve">C-24793   </t>
  </si>
  <si>
    <t xml:space="preserve">C-24794   </t>
  </si>
  <si>
    <t xml:space="preserve">C-24795   </t>
  </si>
  <si>
    <t xml:space="preserve">C-24796   </t>
  </si>
  <si>
    <t xml:space="preserve">C-24797   </t>
  </si>
  <si>
    <t xml:space="preserve">C-24798   </t>
  </si>
  <si>
    <t xml:space="preserve">C-24799   </t>
  </si>
  <si>
    <t xml:space="preserve">C-24800   </t>
  </si>
  <si>
    <t xml:space="preserve">C-24801   </t>
  </si>
  <si>
    <t xml:space="preserve">C-24802   </t>
  </si>
  <si>
    <t xml:space="preserve">C-24803   </t>
  </si>
  <si>
    <t xml:space="preserve">C-24804   </t>
  </si>
  <si>
    <t xml:space="preserve">C-24805   </t>
  </si>
  <si>
    <t xml:space="preserve">C-24806   </t>
  </si>
  <si>
    <t xml:space="preserve">C-24807   </t>
  </si>
  <si>
    <t xml:space="preserve">C-24808   </t>
  </si>
  <si>
    <t>04/02/2017 08/02/2017 09/02/2017</t>
  </si>
  <si>
    <t xml:space="preserve">C-24809   </t>
  </si>
  <si>
    <t>06/02/2017 10/02/2017 13/02/2017</t>
  </si>
  <si>
    <t xml:space="preserve">C-24810   </t>
  </si>
  <si>
    <t xml:space="preserve">C-24811   </t>
  </si>
  <si>
    <t xml:space="preserve">C-24812   </t>
  </si>
  <si>
    <t xml:space="preserve">C-24813   </t>
  </si>
  <si>
    <t xml:space="preserve">C-24814   </t>
  </si>
  <si>
    <t xml:space="preserve">C-24815   </t>
  </si>
  <si>
    <t xml:space="preserve">C-24816   </t>
  </si>
  <si>
    <t xml:space="preserve">C-24817   </t>
  </si>
  <si>
    <t xml:space="preserve">C-24818   </t>
  </si>
  <si>
    <t xml:space="preserve">C-24819   </t>
  </si>
  <si>
    <t xml:space="preserve">C-24820   </t>
  </si>
  <si>
    <t xml:space="preserve">C-24821   </t>
  </si>
  <si>
    <t xml:space="preserve">C-24822   </t>
  </si>
  <si>
    <t xml:space="preserve">C-24823   </t>
  </si>
  <si>
    <t xml:space="preserve">C-24824   </t>
  </si>
  <si>
    <t xml:space="preserve">C-24825   </t>
  </si>
  <si>
    <t xml:space="preserve">C-24826   </t>
  </si>
  <si>
    <t xml:space="preserve">C-24827   </t>
  </si>
  <si>
    <t xml:space="preserve">C-24828   </t>
  </si>
  <si>
    <t xml:space="preserve">C-24829   </t>
  </si>
  <si>
    <t xml:space="preserve">C-24830   </t>
  </si>
  <si>
    <t xml:space="preserve">C-24831   </t>
  </si>
  <si>
    <t xml:space="preserve">C-24832   </t>
  </si>
  <si>
    <t xml:space="preserve">C-24833   </t>
  </si>
  <si>
    <t xml:space="preserve">C-24834   </t>
  </si>
  <si>
    <t xml:space="preserve">C-24835   </t>
  </si>
  <si>
    <t xml:space="preserve">C-24836   </t>
  </si>
  <si>
    <t xml:space="preserve">C-24837   </t>
  </si>
  <si>
    <t xml:space="preserve">C-24838   </t>
  </si>
  <si>
    <t xml:space="preserve">C-24839   </t>
  </si>
  <si>
    <t xml:space="preserve">C-24840   </t>
  </si>
  <si>
    <t xml:space="preserve">C-24841   </t>
  </si>
  <si>
    <t xml:space="preserve">C-24842   </t>
  </si>
  <si>
    <t xml:space="preserve">C-24843   </t>
  </si>
  <si>
    <t xml:space="preserve">C-24844   </t>
  </si>
  <si>
    <t xml:space="preserve">C-24845   </t>
  </si>
  <si>
    <t xml:space="preserve">C-24846   </t>
  </si>
  <si>
    <t xml:space="preserve">C-24847   </t>
  </si>
  <si>
    <t xml:space="preserve">C-24848   </t>
  </si>
  <si>
    <t xml:space="preserve">C-24849   </t>
  </si>
  <si>
    <t xml:space="preserve">C-24850   </t>
  </si>
  <si>
    <t xml:space="preserve">C-24851   </t>
  </si>
  <si>
    <t xml:space="preserve">C-24852   </t>
  </si>
  <si>
    <t xml:space="preserve">C-24853   </t>
  </si>
  <si>
    <t xml:space="preserve">C-24854   </t>
  </si>
  <si>
    <t xml:space="preserve">C-24855   </t>
  </si>
  <si>
    <t xml:space="preserve">C-24856   </t>
  </si>
  <si>
    <t xml:space="preserve">C-24857   </t>
  </si>
  <si>
    <t xml:space="preserve">C-24858   </t>
  </si>
  <si>
    <t xml:space="preserve">C-24859   </t>
  </si>
  <si>
    <t xml:space="preserve">C-24860   </t>
  </si>
  <si>
    <t xml:space="preserve">C-24861   </t>
  </si>
  <si>
    <t xml:space="preserve">C-24862   </t>
  </si>
  <si>
    <t xml:space="preserve">C-24863   </t>
  </si>
  <si>
    <t xml:space="preserve">C-24864   </t>
  </si>
  <si>
    <t>D-0001</t>
  </si>
  <si>
    <t xml:space="preserve">C-24865   </t>
  </si>
  <si>
    <t>D-0002</t>
  </si>
  <si>
    <t xml:space="preserve">C-24866   </t>
  </si>
  <si>
    <t>D-0003</t>
  </si>
  <si>
    <t xml:space="preserve">C-24867   </t>
  </si>
  <si>
    <t>D-0004</t>
  </si>
  <si>
    <t xml:space="preserve">C-24868   </t>
  </si>
  <si>
    <t>D-0005</t>
  </si>
  <si>
    <t xml:space="preserve">C-24869   </t>
  </si>
  <si>
    <t>D-0006</t>
  </si>
  <si>
    <t xml:space="preserve">C-24870   </t>
  </si>
  <si>
    <t>D-0007</t>
  </si>
  <si>
    <t xml:space="preserve">C-24871   </t>
  </si>
  <si>
    <t>D-0008</t>
  </si>
  <si>
    <t xml:space="preserve">C-24872   </t>
  </si>
  <si>
    <t>D-0009</t>
  </si>
  <si>
    <t xml:space="preserve">C-24873   </t>
  </si>
  <si>
    <t>D-0010</t>
  </si>
  <si>
    <t xml:space="preserve">C-24874   </t>
  </si>
  <si>
    <t>D-0011</t>
  </si>
  <si>
    <t xml:space="preserve">C-24875   </t>
  </si>
  <si>
    <t>D-0012</t>
  </si>
  <si>
    <t xml:space="preserve">C-24876   </t>
  </si>
  <si>
    <t>D-0013</t>
  </si>
  <si>
    <t xml:space="preserve">C-24877   </t>
  </si>
  <si>
    <t>D-0014</t>
  </si>
  <si>
    <t xml:space="preserve">C-24878   </t>
  </si>
  <si>
    <t>D-0015</t>
  </si>
  <si>
    <t xml:space="preserve">C-24879   </t>
  </si>
  <si>
    <t>D-0016</t>
  </si>
  <si>
    <t xml:space="preserve">C-24880   </t>
  </si>
  <si>
    <t>D-0017</t>
  </si>
  <si>
    <t xml:space="preserve">C-24881   </t>
  </si>
  <si>
    <t>D-0018</t>
  </si>
  <si>
    <t xml:space="preserve">C-24882   </t>
  </si>
  <si>
    <t>D-0019</t>
  </si>
  <si>
    <t xml:space="preserve">C-24883   </t>
  </si>
  <si>
    <t>D-0020</t>
  </si>
  <si>
    <t xml:space="preserve">C-24884   </t>
  </si>
  <si>
    <t xml:space="preserve">C-24885   </t>
  </si>
  <si>
    <t xml:space="preserve">C-24886   </t>
  </si>
  <si>
    <t xml:space="preserve">C-24887   </t>
  </si>
  <si>
    <t xml:space="preserve">C-24888   </t>
  </si>
  <si>
    <t xml:space="preserve">C-24889   </t>
  </si>
  <si>
    <t xml:space="preserve">C-24890   </t>
  </si>
  <si>
    <t xml:space="preserve">C-24891   </t>
  </si>
  <si>
    <t xml:space="preserve">C-24892   </t>
  </si>
  <si>
    <t xml:space="preserve">C-24893   </t>
  </si>
  <si>
    <t xml:space="preserve">C-24894   </t>
  </si>
  <si>
    <t xml:space="preserve">C-24895   </t>
  </si>
  <si>
    <t xml:space="preserve">C-24896   </t>
  </si>
  <si>
    <t xml:space="preserve">C-24897   </t>
  </si>
  <si>
    <t xml:space="preserve">C-24898   </t>
  </si>
  <si>
    <t xml:space="preserve">C-24899   </t>
  </si>
  <si>
    <t xml:space="preserve">C-24900   </t>
  </si>
  <si>
    <t xml:space="preserve">C-24901   </t>
  </si>
  <si>
    <t xml:space="preserve">C-24902   </t>
  </si>
  <si>
    <t xml:space="preserve">C-24903   </t>
  </si>
  <si>
    <t xml:space="preserve">C-24904   </t>
  </si>
  <si>
    <t xml:space="preserve">C-24905   </t>
  </si>
  <si>
    <t xml:space="preserve">C-24906   </t>
  </si>
  <si>
    <t xml:space="preserve">C-24907   </t>
  </si>
  <si>
    <t xml:space="preserve">C-24908   </t>
  </si>
  <si>
    <t xml:space="preserve">C-24909   </t>
  </si>
  <si>
    <t xml:space="preserve">C-24910   </t>
  </si>
  <si>
    <t xml:space="preserve">C-24911   </t>
  </si>
  <si>
    <t xml:space="preserve">C-24912   </t>
  </si>
  <si>
    <t xml:space="preserve">C-24913   </t>
  </si>
  <si>
    <t xml:space="preserve">C-24914   </t>
  </si>
  <si>
    <t xml:space="preserve">C-24915   </t>
  </si>
  <si>
    <t xml:space="preserve">C-24916   </t>
  </si>
  <si>
    <t xml:space="preserve">C-24917   </t>
  </si>
  <si>
    <t xml:space="preserve">C-24918   </t>
  </si>
  <si>
    <t xml:space="preserve">C-24919   </t>
  </si>
  <si>
    <t xml:space="preserve">C-24920   </t>
  </si>
  <si>
    <t xml:space="preserve">C-24921   </t>
  </si>
  <si>
    <t xml:space="preserve">C-24922   </t>
  </si>
  <si>
    <t xml:space="preserve">C-24923   </t>
  </si>
  <si>
    <t xml:space="preserve">C-24924   </t>
  </si>
  <si>
    <t xml:space="preserve">C-24925   </t>
  </si>
  <si>
    <t xml:space="preserve">C-24926   </t>
  </si>
  <si>
    <t xml:space="preserve">C-24927   </t>
  </si>
  <si>
    <t xml:space="preserve">C-24928   </t>
  </si>
  <si>
    <t xml:space="preserve">C-24929   </t>
  </si>
  <si>
    <t xml:space="preserve">C-24930   </t>
  </si>
  <si>
    <t xml:space="preserve">C-24931   </t>
  </si>
  <si>
    <t xml:space="preserve">C-24932   </t>
  </si>
  <si>
    <t xml:space="preserve">C-24933   </t>
  </si>
  <si>
    <t xml:space="preserve">C-24934   </t>
  </si>
  <si>
    <t xml:space="preserve">C-24935   </t>
  </si>
  <si>
    <t xml:space="preserve">C-24936   </t>
  </si>
  <si>
    <t xml:space="preserve">C-24937   </t>
  </si>
  <si>
    <t xml:space="preserve">C-24938   </t>
  </si>
  <si>
    <t xml:space="preserve">C-24939   </t>
  </si>
  <si>
    <t xml:space="preserve">C-24940   </t>
  </si>
  <si>
    <t xml:space="preserve">C-24941   </t>
  </si>
  <si>
    <t xml:space="preserve">C-24942   </t>
  </si>
  <si>
    <t xml:space="preserve">C-24943   </t>
  </si>
  <si>
    <t xml:space="preserve">C-24944   </t>
  </si>
  <si>
    <t xml:space="preserve">C-24945   </t>
  </si>
  <si>
    <t xml:space="preserve">C-24946   </t>
  </si>
  <si>
    <t xml:space="preserve">C-24947   </t>
  </si>
  <si>
    <t xml:space="preserve">C-24948   </t>
  </si>
  <si>
    <t>05/02/2017 07/02/2017</t>
  </si>
  <si>
    <t xml:space="preserve">C-24949   </t>
  </si>
  <si>
    <t xml:space="preserve">C-24950   </t>
  </si>
  <si>
    <t xml:space="preserve">C-24951   </t>
  </si>
  <si>
    <t xml:space="preserve">C-24952   </t>
  </si>
  <si>
    <t xml:space="preserve">C-24953   </t>
  </si>
  <si>
    <t xml:space="preserve">C-24954   </t>
  </si>
  <si>
    <t xml:space="preserve">C-24955   </t>
  </si>
  <si>
    <t xml:space="preserve">C-24956   </t>
  </si>
  <si>
    <t xml:space="preserve">C-24957   </t>
  </si>
  <si>
    <t xml:space="preserve">C-24958   </t>
  </si>
  <si>
    <t xml:space="preserve">C-24959   </t>
  </si>
  <si>
    <t xml:space="preserve">(516)CARNICERIA ISABEL                                                     </t>
  </si>
  <si>
    <t xml:space="preserve">C-24960   </t>
  </si>
  <si>
    <t xml:space="preserve">C-24961   </t>
  </si>
  <si>
    <t xml:space="preserve">C-24962   </t>
  </si>
  <si>
    <t xml:space="preserve">C-24963   </t>
  </si>
  <si>
    <t xml:space="preserve">C-24964   </t>
  </si>
  <si>
    <t xml:space="preserve">C-24965   </t>
  </si>
  <si>
    <t xml:space="preserve">C-24966   </t>
  </si>
  <si>
    <t xml:space="preserve">C-24967   </t>
  </si>
  <si>
    <t xml:space="preserve">C-24968   </t>
  </si>
  <si>
    <t xml:space="preserve">C-24969   </t>
  </si>
  <si>
    <t xml:space="preserve">C-24970   </t>
  </si>
  <si>
    <t xml:space="preserve">C-24971   </t>
  </si>
  <si>
    <t xml:space="preserve">C-24972   </t>
  </si>
  <si>
    <t xml:space="preserve">C-24973   </t>
  </si>
  <si>
    <t xml:space="preserve">C-24974   </t>
  </si>
  <si>
    <t xml:space="preserve">C-24975   </t>
  </si>
  <si>
    <t xml:space="preserve">C-24976   </t>
  </si>
  <si>
    <t xml:space="preserve">C-24977   </t>
  </si>
  <si>
    <t xml:space="preserve">C-24978   </t>
  </si>
  <si>
    <t xml:space="preserve">C-24979   </t>
  </si>
  <si>
    <t xml:space="preserve">C-24980   </t>
  </si>
  <si>
    <t xml:space="preserve">C-24981   </t>
  </si>
  <si>
    <t xml:space="preserve">C-24982   </t>
  </si>
  <si>
    <t xml:space="preserve">C-24983   </t>
  </si>
  <si>
    <t xml:space="preserve">C-24984   </t>
  </si>
  <si>
    <t xml:space="preserve">C-24985   </t>
  </si>
  <si>
    <t xml:space="preserve">C-24986   </t>
  </si>
  <si>
    <t xml:space="preserve">C-24987   </t>
  </si>
  <si>
    <t xml:space="preserve">C-24988   </t>
  </si>
  <si>
    <t xml:space="preserve">C-24989   </t>
  </si>
  <si>
    <t xml:space="preserve">C-24990   </t>
  </si>
  <si>
    <t xml:space="preserve">(524)JOSE LUIS PEREZ VALDEZ                                                </t>
  </si>
  <si>
    <t xml:space="preserve">C-24991   </t>
  </si>
  <si>
    <t xml:space="preserve">C-24992   </t>
  </si>
  <si>
    <t xml:space="preserve">C-24993   </t>
  </si>
  <si>
    <t xml:space="preserve">C-24994   </t>
  </si>
  <si>
    <t xml:space="preserve">C-24995   </t>
  </si>
  <si>
    <t>09/02/2017 10/02/2017</t>
  </si>
  <si>
    <t xml:space="preserve">C-24996   </t>
  </si>
  <si>
    <t xml:space="preserve">C-24997   </t>
  </si>
  <si>
    <t xml:space="preserve">C-24998   </t>
  </si>
  <si>
    <t xml:space="preserve">C-24999   </t>
  </si>
  <si>
    <t xml:space="preserve">C-25000   </t>
  </si>
  <si>
    <t xml:space="preserve">D-1       </t>
  </si>
  <si>
    <t xml:space="preserve">D-2       </t>
  </si>
  <si>
    <t xml:space="preserve">D-3       </t>
  </si>
  <si>
    <t xml:space="preserve">D-4       </t>
  </si>
  <si>
    <t xml:space="preserve">D-5       </t>
  </si>
  <si>
    <t xml:space="preserve">D-6       </t>
  </si>
  <si>
    <t xml:space="preserve">D-7      </t>
  </si>
  <si>
    <t xml:space="preserve">D-8      </t>
  </si>
  <si>
    <t xml:space="preserve">D-9      </t>
  </si>
  <si>
    <t xml:space="preserve">D-10      </t>
  </si>
  <si>
    <t xml:space="preserve">D-11      </t>
  </si>
  <si>
    <t xml:space="preserve">D-12      </t>
  </si>
  <si>
    <t xml:space="preserve">D-13      </t>
  </si>
  <si>
    <t xml:space="preserve">D-14      </t>
  </si>
  <si>
    <t xml:space="preserve">D-15      </t>
  </si>
  <si>
    <t xml:space="preserve">D-16      </t>
  </si>
  <si>
    <t xml:space="preserve">D-17      </t>
  </si>
  <si>
    <t xml:space="preserve">D-18      </t>
  </si>
  <si>
    <t xml:space="preserve">(320)IVAN                                                                  </t>
  </si>
  <si>
    <t xml:space="preserve">D-19      </t>
  </si>
  <si>
    <t xml:space="preserve">D-20      </t>
  </si>
  <si>
    <t xml:space="preserve">D-21      </t>
  </si>
  <si>
    <t xml:space="preserve">D-22      </t>
  </si>
  <si>
    <t xml:space="preserve">D-23      </t>
  </si>
  <si>
    <t xml:space="preserve">D-24      </t>
  </si>
  <si>
    <t xml:space="preserve">D-25      </t>
  </si>
  <si>
    <t xml:space="preserve">D-26      </t>
  </si>
  <si>
    <t xml:space="preserve">D-27      </t>
  </si>
  <si>
    <t xml:space="preserve">D-28      </t>
  </si>
  <si>
    <t xml:space="preserve">D-29      </t>
  </si>
  <si>
    <t xml:space="preserve">D-30      </t>
  </si>
  <si>
    <t xml:space="preserve">D-31      </t>
  </si>
  <si>
    <t xml:space="preserve">D-32      </t>
  </si>
  <si>
    <t xml:space="preserve">D-33      </t>
  </si>
  <si>
    <t xml:space="preserve">D-34      </t>
  </si>
  <si>
    <t xml:space="preserve">D-35      </t>
  </si>
  <si>
    <t xml:space="preserve">D-36      </t>
  </si>
  <si>
    <t xml:space="preserve">D-37      </t>
  </si>
  <si>
    <t xml:space="preserve">D-38      </t>
  </si>
  <si>
    <t xml:space="preserve">D-39      </t>
  </si>
  <si>
    <t xml:space="preserve">D-40      </t>
  </si>
  <si>
    <t xml:space="preserve">D-41      </t>
  </si>
  <si>
    <t xml:space="preserve">D-42      </t>
  </si>
  <si>
    <t xml:space="preserve">D-43      </t>
  </si>
  <si>
    <t xml:space="preserve">D-44      </t>
  </si>
  <si>
    <t xml:space="preserve">D-45      </t>
  </si>
  <si>
    <t xml:space="preserve">D-46      </t>
  </si>
  <si>
    <t xml:space="preserve">D-47      </t>
  </si>
  <si>
    <t xml:space="preserve">(683)KARINA MARTINEZ                                                       </t>
  </si>
  <si>
    <t xml:space="preserve">D-48      </t>
  </si>
  <si>
    <t xml:space="preserve">D-49      </t>
  </si>
  <si>
    <t xml:space="preserve">D-50      </t>
  </si>
  <si>
    <t xml:space="preserve">D-51      </t>
  </si>
  <si>
    <t xml:space="preserve">D-52      </t>
  </si>
  <si>
    <t xml:space="preserve">D-53      </t>
  </si>
  <si>
    <t xml:space="preserve">D-54      </t>
  </si>
  <si>
    <t xml:space="preserve">D-55      </t>
  </si>
  <si>
    <t xml:space="preserve">D-56      </t>
  </si>
  <si>
    <t xml:space="preserve">D-57      </t>
  </si>
  <si>
    <t xml:space="preserve">D-58      </t>
  </si>
  <si>
    <t xml:space="preserve">D-59      </t>
  </si>
  <si>
    <t xml:space="preserve">D-60      </t>
  </si>
  <si>
    <t xml:space="preserve">D-61      </t>
  </si>
  <si>
    <t xml:space="preserve">D-62      </t>
  </si>
  <si>
    <t xml:space="preserve">D-63      </t>
  </si>
  <si>
    <t xml:space="preserve">(574)GONZALO RAMIREZ                                       </t>
  </si>
  <si>
    <t xml:space="preserve">D-64      </t>
  </si>
  <si>
    <t xml:space="preserve">D-65     </t>
  </si>
  <si>
    <t xml:space="preserve">(259)SALVADOR VALVERDE                      </t>
  </si>
  <si>
    <t xml:space="preserve">D-66     </t>
  </si>
  <si>
    <t xml:space="preserve">D-67     </t>
  </si>
  <si>
    <t xml:space="preserve">D-68     </t>
  </si>
  <si>
    <t xml:space="preserve">D-69     </t>
  </si>
  <si>
    <t xml:space="preserve">D-70     </t>
  </si>
  <si>
    <t xml:space="preserve">D-71     </t>
  </si>
  <si>
    <t xml:space="preserve">D-72     </t>
  </si>
  <si>
    <t xml:space="preserve">(647)ANGEL LEDO                       </t>
  </si>
  <si>
    <t xml:space="preserve">D-73     </t>
  </si>
  <si>
    <t xml:space="preserve">D-74     </t>
  </si>
  <si>
    <t xml:space="preserve">D-75     </t>
  </si>
  <si>
    <t xml:space="preserve">D-76     </t>
  </si>
  <si>
    <t xml:space="preserve">D-77      </t>
  </si>
  <si>
    <t xml:space="preserve">D-78      </t>
  </si>
  <si>
    <t xml:space="preserve">D-79      </t>
  </si>
  <si>
    <t>07/02/2017 09/02/2017</t>
  </si>
  <si>
    <t xml:space="preserve">D-80     </t>
  </si>
  <si>
    <t>(222)ARTURO SANCHEZ</t>
  </si>
  <si>
    <t xml:space="preserve">D-81     </t>
  </si>
  <si>
    <t xml:space="preserve">D-82     </t>
  </si>
  <si>
    <t xml:space="preserve">(266)CRISTIAN GRACIELA                                      </t>
  </si>
  <si>
    <t xml:space="preserve">D-83     </t>
  </si>
  <si>
    <t xml:space="preserve">D-84     </t>
  </si>
  <si>
    <t xml:space="preserve">D-85     </t>
  </si>
  <si>
    <t xml:space="preserve">D-86     </t>
  </si>
  <si>
    <t xml:space="preserve">D-87     </t>
  </si>
  <si>
    <t xml:space="preserve">D-88     </t>
  </si>
  <si>
    <t>(317)MAQUILA FRANCISCO</t>
  </si>
  <si>
    <t xml:space="preserve">D-89     </t>
  </si>
  <si>
    <t xml:space="preserve">D-90     </t>
  </si>
  <si>
    <t xml:space="preserve">D-91     </t>
  </si>
  <si>
    <t xml:space="preserve">D-92     </t>
  </si>
  <si>
    <t xml:space="preserve">D-93     </t>
  </si>
  <si>
    <t xml:space="preserve">D-94     </t>
  </si>
  <si>
    <t xml:space="preserve">(177)PRODUCTO PARA AVES Y ANIMALES SA DE CV </t>
  </si>
  <si>
    <t xml:space="preserve">D-95      </t>
  </si>
  <si>
    <t xml:space="preserve">D-96     </t>
  </si>
  <si>
    <t xml:space="preserve">D-97     </t>
  </si>
  <si>
    <t xml:space="preserve">D-98     </t>
  </si>
  <si>
    <t xml:space="preserve">D-99     </t>
  </si>
  <si>
    <t xml:space="preserve">D-100     </t>
  </si>
  <si>
    <t xml:space="preserve">D-101     </t>
  </si>
  <si>
    <t xml:space="preserve">D-102     </t>
  </si>
  <si>
    <t xml:space="preserve">D-103     </t>
  </si>
  <si>
    <t xml:space="preserve">D-104     </t>
  </si>
  <si>
    <t xml:space="preserve">D-105     </t>
  </si>
  <si>
    <t xml:space="preserve">D-106     </t>
  </si>
  <si>
    <t xml:space="preserve">D-107     </t>
  </si>
  <si>
    <t xml:space="preserve">D-108     </t>
  </si>
  <si>
    <t xml:space="preserve">D-109     </t>
  </si>
  <si>
    <t xml:space="preserve">D-110     </t>
  </si>
  <si>
    <t xml:space="preserve">D-111     </t>
  </si>
  <si>
    <t xml:space="preserve">D-112     </t>
  </si>
  <si>
    <t xml:space="preserve">D-113     </t>
  </si>
  <si>
    <t xml:space="preserve">D-114     </t>
  </si>
  <si>
    <t xml:space="preserve">D-115     </t>
  </si>
  <si>
    <t xml:space="preserve">D-116     </t>
  </si>
  <si>
    <t xml:space="preserve">D-117     </t>
  </si>
  <si>
    <t xml:space="preserve">D-118     </t>
  </si>
  <si>
    <t xml:space="preserve">D-119     </t>
  </si>
  <si>
    <t xml:space="preserve">D-120     </t>
  </si>
  <si>
    <t xml:space="preserve">D-121     </t>
  </si>
  <si>
    <t xml:space="preserve">D-122     </t>
  </si>
  <si>
    <t xml:space="preserve">D-123     </t>
  </si>
  <si>
    <t xml:space="preserve">D-124     </t>
  </si>
  <si>
    <t xml:space="preserve">D-125     </t>
  </si>
  <si>
    <t xml:space="preserve">D-126     </t>
  </si>
  <si>
    <t xml:space="preserve">D-127     </t>
  </si>
  <si>
    <t>10/02/201711/02/2017</t>
  </si>
  <si>
    <t xml:space="preserve">D-128     </t>
  </si>
  <si>
    <t xml:space="preserve">D-129     </t>
  </si>
  <si>
    <t xml:space="preserve">D-130     </t>
  </si>
  <si>
    <t xml:space="preserve">D-131     </t>
  </si>
  <si>
    <t xml:space="preserve">D-132     </t>
  </si>
  <si>
    <t xml:space="preserve">D-133     </t>
  </si>
  <si>
    <t xml:space="preserve">D-134     </t>
  </si>
  <si>
    <t xml:space="preserve">D-135     </t>
  </si>
  <si>
    <t xml:space="preserve">D-136     </t>
  </si>
  <si>
    <t xml:space="preserve">D-137     </t>
  </si>
  <si>
    <t xml:space="preserve">D-138     </t>
  </si>
  <si>
    <t xml:space="preserve">D-139     </t>
  </si>
  <si>
    <t xml:space="preserve">D-140     </t>
  </si>
  <si>
    <t xml:space="preserve">D-141     </t>
  </si>
  <si>
    <t xml:space="preserve">D-142     </t>
  </si>
  <si>
    <t xml:space="preserve">D-143     </t>
  </si>
  <si>
    <t xml:space="preserve">D-144     </t>
  </si>
  <si>
    <t xml:space="preserve">D-145     </t>
  </si>
  <si>
    <t xml:space="preserve">D-146     </t>
  </si>
  <si>
    <t xml:space="preserve">D-147     </t>
  </si>
  <si>
    <t xml:space="preserve">D-148     </t>
  </si>
  <si>
    <t xml:space="preserve">D-149     </t>
  </si>
  <si>
    <t xml:space="preserve">D-150     </t>
  </si>
  <si>
    <t xml:space="preserve">D-151     </t>
  </si>
  <si>
    <t xml:space="preserve">D-152     </t>
  </si>
  <si>
    <t xml:space="preserve">D-153     </t>
  </si>
  <si>
    <t xml:space="preserve">D-154     </t>
  </si>
  <si>
    <t xml:space="preserve">D-155     </t>
  </si>
  <si>
    <t xml:space="preserve">D-156     </t>
  </si>
  <si>
    <t xml:space="preserve">D-157     </t>
  </si>
  <si>
    <t xml:space="preserve">D-158     </t>
  </si>
  <si>
    <t xml:space="preserve">D-159     </t>
  </si>
  <si>
    <t>14/02/2017 25/02/2017</t>
  </si>
  <si>
    <t xml:space="preserve">D-160     </t>
  </si>
  <si>
    <t xml:space="preserve">D-161     </t>
  </si>
  <si>
    <t xml:space="preserve">D-162     </t>
  </si>
  <si>
    <t xml:space="preserve">D-163     </t>
  </si>
  <si>
    <t xml:space="preserve">D-164     </t>
  </si>
  <si>
    <t xml:space="preserve">D-165     </t>
  </si>
  <si>
    <t xml:space="preserve">D-166     </t>
  </si>
  <si>
    <t xml:space="preserve">D-167     </t>
  </si>
  <si>
    <t xml:space="preserve">D-168     </t>
  </si>
  <si>
    <t xml:space="preserve">D-169     </t>
  </si>
  <si>
    <t xml:space="preserve">D-170     </t>
  </si>
  <si>
    <t xml:space="preserve">D-171     </t>
  </si>
  <si>
    <t xml:space="preserve">D-172     </t>
  </si>
  <si>
    <t xml:space="preserve">D-173     </t>
  </si>
  <si>
    <t xml:space="preserve">D-174     </t>
  </si>
  <si>
    <t xml:space="preserve">D-175     </t>
  </si>
  <si>
    <t xml:space="preserve">D-176     </t>
  </si>
  <si>
    <t xml:space="preserve">D-177     </t>
  </si>
  <si>
    <t xml:space="preserve">D-178     </t>
  </si>
  <si>
    <t xml:space="preserve">D-179     </t>
  </si>
  <si>
    <t xml:space="preserve">D-180     </t>
  </si>
  <si>
    <t xml:space="preserve">D-181     </t>
  </si>
  <si>
    <t xml:space="preserve">D-182     </t>
  </si>
  <si>
    <t xml:space="preserve">D-183     </t>
  </si>
  <si>
    <t xml:space="preserve">D-184     </t>
  </si>
  <si>
    <t xml:space="preserve">D-185     </t>
  </si>
  <si>
    <t xml:space="preserve">D-186     </t>
  </si>
  <si>
    <t xml:space="preserve">D-187     </t>
  </si>
  <si>
    <t xml:space="preserve">D-188     </t>
  </si>
  <si>
    <t xml:space="preserve">D-189     </t>
  </si>
  <si>
    <t xml:space="preserve">D-190     </t>
  </si>
  <si>
    <t xml:space="preserve">D-191     </t>
  </si>
  <si>
    <t xml:space="preserve">D-192     </t>
  </si>
  <si>
    <t xml:space="preserve">D-193     </t>
  </si>
  <si>
    <t xml:space="preserve">D-194     </t>
  </si>
  <si>
    <t xml:space="preserve">D-195     </t>
  </si>
  <si>
    <t xml:space="preserve">D-196     </t>
  </si>
  <si>
    <t xml:space="preserve">D-197     </t>
  </si>
  <si>
    <t xml:space="preserve">D-198     </t>
  </si>
  <si>
    <t xml:space="preserve">D-199     </t>
  </si>
  <si>
    <t xml:space="preserve">D-200     </t>
  </si>
  <si>
    <t xml:space="preserve">D-201     </t>
  </si>
  <si>
    <t xml:space="preserve">D-202     </t>
  </si>
  <si>
    <t xml:space="preserve">D-203     </t>
  </si>
  <si>
    <t xml:space="preserve">D-204     </t>
  </si>
  <si>
    <t xml:space="preserve">D-205     </t>
  </si>
  <si>
    <t xml:space="preserve">D-206     </t>
  </si>
  <si>
    <t xml:space="preserve">D-207     </t>
  </si>
  <si>
    <t xml:space="preserve">D-208     </t>
  </si>
  <si>
    <t xml:space="preserve">D-209     </t>
  </si>
  <si>
    <t xml:space="preserve">D-210     </t>
  </si>
  <si>
    <t xml:space="preserve">D-211     </t>
  </si>
  <si>
    <t xml:space="preserve">D-212     </t>
  </si>
  <si>
    <t xml:space="preserve">D-213     </t>
  </si>
  <si>
    <t xml:space="preserve">D-214     </t>
  </si>
  <si>
    <t xml:space="preserve">D-215     </t>
  </si>
  <si>
    <t xml:space="preserve">D-216     </t>
  </si>
  <si>
    <t xml:space="preserve">D-217     </t>
  </si>
  <si>
    <t xml:space="preserve">D-218     </t>
  </si>
  <si>
    <t xml:space="preserve">D-219     </t>
  </si>
  <si>
    <t xml:space="preserve">(198)PEDRO TIRO                                                            </t>
  </si>
  <si>
    <t xml:space="preserve">D-220     </t>
  </si>
  <si>
    <t xml:space="preserve">D-221     </t>
  </si>
  <si>
    <t xml:space="preserve">D-222     </t>
  </si>
  <si>
    <t xml:space="preserve">D-223     </t>
  </si>
  <si>
    <t xml:space="preserve">D-224     </t>
  </si>
  <si>
    <t xml:space="preserve">D-225     </t>
  </si>
  <si>
    <t xml:space="preserve">D-226     </t>
  </si>
  <si>
    <t xml:space="preserve">D-227     </t>
  </si>
  <si>
    <t xml:space="preserve">D-228     </t>
  </si>
  <si>
    <t xml:space="preserve">D-229     </t>
  </si>
  <si>
    <t xml:space="preserve">D-230     </t>
  </si>
  <si>
    <t xml:space="preserve">D-231     </t>
  </si>
  <si>
    <t xml:space="preserve">D-232     </t>
  </si>
  <si>
    <t xml:space="preserve">D-233     </t>
  </si>
  <si>
    <t xml:space="preserve">D-234     </t>
  </si>
  <si>
    <t xml:space="preserve">D-235     </t>
  </si>
  <si>
    <t xml:space="preserve">D-236     </t>
  </si>
  <si>
    <t>11/02/2017 13/02/2017</t>
  </si>
  <si>
    <t xml:space="preserve">D-237     </t>
  </si>
  <si>
    <t xml:space="preserve">D-238     </t>
  </si>
  <si>
    <t xml:space="preserve">D-239     </t>
  </si>
  <si>
    <t xml:space="preserve">D-240     </t>
  </si>
  <si>
    <t xml:space="preserve">D-241     </t>
  </si>
  <si>
    <t xml:space="preserve">D-242     </t>
  </si>
  <si>
    <t xml:space="preserve">D-243     </t>
  </si>
  <si>
    <t xml:space="preserve">D-244     </t>
  </si>
  <si>
    <t xml:space="preserve">D-245     </t>
  </si>
  <si>
    <t xml:space="preserve">D-246     </t>
  </si>
  <si>
    <t xml:space="preserve">D-247     </t>
  </si>
  <si>
    <t xml:space="preserve">D-248     </t>
  </si>
  <si>
    <t xml:space="preserve">D-249     </t>
  </si>
  <si>
    <t xml:space="preserve">D-250     </t>
  </si>
  <si>
    <t xml:space="preserve">D-251     </t>
  </si>
  <si>
    <t xml:space="preserve">D-252     </t>
  </si>
  <si>
    <t xml:space="preserve">D-253     </t>
  </si>
  <si>
    <t xml:space="preserve">D-254     </t>
  </si>
  <si>
    <t xml:space="preserve">D-255     </t>
  </si>
  <si>
    <t xml:space="preserve">D-256     </t>
  </si>
  <si>
    <t xml:space="preserve">D-257     </t>
  </si>
  <si>
    <t xml:space="preserve">D-258     </t>
  </si>
  <si>
    <t xml:space="preserve">D-259     </t>
  </si>
  <si>
    <t xml:space="preserve">D-260     </t>
  </si>
  <si>
    <t xml:space="preserve">D-261     </t>
  </si>
  <si>
    <t xml:space="preserve">D-262     </t>
  </si>
  <si>
    <t xml:space="preserve">D-263     </t>
  </si>
  <si>
    <t xml:space="preserve">D-264     </t>
  </si>
  <si>
    <t xml:space="preserve">D-265     </t>
  </si>
  <si>
    <t xml:space="preserve">D-266     </t>
  </si>
  <si>
    <t xml:space="preserve">D-267     </t>
  </si>
  <si>
    <t xml:space="preserve">D-268     </t>
  </si>
  <si>
    <t xml:space="preserve">D-269     </t>
  </si>
  <si>
    <t xml:space="preserve">D-270     </t>
  </si>
  <si>
    <t xml:space="preserve">D-271     </t>
  </si>
  <si>
    <t xml:space="preserve">D-272     </t>
  </si>
  <si>
    <t xml:space="preserve">D-273     </t>
  </si>
  <si>
    <t xml:space="preserve">D-274     </t>
  </si>
  <si>
    <t xml:space="preserve">D-275     </t>
  </si>
  <si>
    <t xml:space="preserve">D-276     </t>
  </si>
  <si>
    <t xml:space="preserve">D-277     </t>
  </si>
  <si>
    <t xml:space="preserve">D-278     </t>
  </si>
  <si>
    <t xml:space="preserve">D-279     </t>
  </si>
  <si>
    <t xml:space="preserve">D-280     </t>
  </si>
  <si>
    <t xml:space="preserve">D-281     </t>
  </si>
  <si>
    <t xml:space="preserve">D-282     </t>
  </si>
  <si>
    <t xml:space="preserve">D-283     </t>
  </si>
  <si>
    <t xml:space="preserve">D-284     </t>
  </si>
  <si>
    <t xml:space="preserve">D-285     </t>
  </si>
  <si>
    <t xml:space="preserve">D-286     </t>
  </si>
  <si>
    <t xml:space="preserve">D-287     </t>
  </si>
  <si>
    <t xml:space="preserve">D-288     </t>
  </si>
  <si>
    <t xml:space="preserve">D-289     </t>
  </si>
  <si>
    <t xml:space="preserve">D-290     </t>
  </si>
  <si>
    <t xml:space="preserve">D-291     </t>
  </si>
  <si>
    <t xml:space="preserve">D-292     </t>
  </si>
  <si>
    <t xml:space="preserve">D-293     </t>
  </si>
  <si>
    <t xml:space="preserve">D-294     </t>
  </si>
  <si>
    <t xml:space="preserve">D-295     </t>
  </si>
  <si>
    <t xml:space="preserve">D-296     </t>
  </si>
  <si>
    <t xml:space="preserve">D-297     </t>
  </si>
  <si>
    <t xml:space="preserve">D-298     </t>
  </si>
  <si>
    <t xml:space="preserve">D-299     </t>
  </si>
  <si>
    <t xml:space="preserve">D-300     </t>
  </si>
  <si>
    <t xml:space="preserve">D-301     </t>
  </si>
  <si>
    <t xml:space="preserve">D-302     </t>
  </si>
  <si>
    <t xml:space="preserve">D-303     </t>
  </si>
  <si>
    <t xml:space="preserve">D-304     </t>
  </si>
  <si>
    <t xml:space="preserve">D-305     </t>
  </si>
  <si>
    <t xml:space="preserve">D-306     </t>
  </si>
  <si>
    <t xml:space="preserve">D-307     </t>
  </si>
  <si>
    <t xml:space="preserve">D-308     </t>
  </si>
  <si>
    <t xml:space="preserve">D-309     </t>
  </si>
  <si>
    <t xml:space="preserve">D-310     </t>
  </si>
  <si>
    <t xml:space="preserve">D-311     </t>
  </si>
  <si>
    <t xml:space="preserve">D-312     </t>
  </si>
  <si>
    <t xml:space="preserve">D-313     </t>
  </si>
  <si>
    <t xml:space="preserve">D-314     </t>
  </si>
  <si>
    <t xml:space="preserve">D-315     </t>
  </si>
  <si>
    <t xml:space="preserve">D-316     </t>
  </si>
  <si>
    <t xml:space="preserve">D-317     </t>
  </si>
  <si>
    <t xml:space="preserve">D-318     </t>
  </si>
  <si>
    <t xml:space="preserve">D-319     </t>
  </si>
  <si>
    <t xml:space="preserve">D-320     </t>
  </si>
  <si>
    <t xml:space="preserve">D-321     </t>
  </si>
  <si>
    <t xml:space="preserve">D-322     </t>
  </si>
  <si>
    <t xml:space="preserve">D-323     </t>
  </si>
  <si>
    <t xml:space="preserve">(192)ELEAN                                                                 </t>
  </si>
  <si>
    <t xml:space="preserve">D-324     </t>
  </si>
  <si>
    <t xml:space="preserve">D-325     </t>
  </si>
  <si>
    <t xml:space="preserve">D-326     </t>
  </si>
  <si>
    <t xml:space="preserve">D-327     </t>
  </si>
  <si>
    <t xml:space="preserve">D-328     </t>
  </si>
  <si>
    <t xml:space="preserve">D-329     </t>
  </si>
  <si>
    <t xml:space="preserve">D-330     </t>
  </si>
  <si>
    <t xml:space="preserve">D-331     </t>
  </si>
  <si>
    <t xml:space="preserve">D-332     </t>
  </si>
  <si>
    <t xml:space="preserve">D-333     </t>
  </si>
  <si>
    <t xml:space="preserve">D-334     </t>
  </si>
  <si>
    <t xml:space="preserve">D-335     </t>
  </si>
  <si>
    <t xml:space="preserve">(613)BASILIO BAEZ                                                          </t>
  </si>
  <si>
    <t xml:space="preserve">D-336     </t>
  </si>
  <si>
    <t xml:space="preserve">D-337     </t>
  </si>
  <si>
    <t xml:space="preserve">D-338     </t>
  </si>
  <si>
    <t xml:space="preserve">D-339     </t>
  </si>
  <si>
    <t xml:space="preserve">D-340     </t>
  </si>
  <si>
    <t xml:space="preserve">D-341     </t>
  </si>
  <si>
    <t xml:space="preserve">D-342     </t>
  </si>
  <si>
    <t xml:space="preserve">D-343     </t>
  </si>
  <si>
    <t xml:space="preserve">D-344     </t>
  </si>
  <si>
    <t xml:space="preserve">D-345     </t>
  </si>
  <si>
    <t xml:space="preserve">D-346     </t>
  </si>
  <si>
    <t xml:space="preserve">D-347     </t>
  </si>
  <si>
    <t xml:space="preserve">D-348     </t>
  </si>
  <si>
    <t xml:space="preserve">D-349     </t>
  </si>
  <si>
    <t xml:space="preserve">D-350     </t>
  </si>
  <si>
    <t xml:space="preserve">D-351     </t>
  </si>
  <si>
    <t xml:space="preserve">D-352     </t>
  </si>
  <si>
    <t xml:space="preserve">D-353     </t>
  </si>
  <si>
    <t xml:space="preserve">D-354     </t>
  </si>
  <si>
    <t xml:space="preserve">D-355     </t>
  </si>
  <si>
    <t xml:space="preserve">D-356     </t>
  </si>
  <si>
    <t xml:space="preserve">D-357     </t>
  </si>
  <si>
    <t xml:space="preserve">D-358     </t>
  </si>
  <si>
    <t xml:space="preserve">D-359     </t>
  </si>
  <si>
    <t xml:space="preserve">D-360     </t>
  </si>
  <si>
    <t xml:space="preserve">(202)ROSALBA SANCHEZ ALI                                                   </t>
  </si>
  <si>
    <t xml:space="preserve">D-361     </t>
  </si>
  <si>
    <t xml:space="preserve">D-362     </t>
  </si>
  <si>
    <t xml:space="preserve">D-363     </t>
  </si>
  <si>
    <t xml:space="preserve">D-364     </t>
  </si>
  <si>
    <t xml:space="preserve">D-365     </t>
  </si>
  <si>
    <t xml:space="preserve">D-366     </t>
  </si>
  <si>
    <t xml:space="preserve">D-367     </t>
  </si>
  <si>
    <t>11/02/2017 15/02/2017</t>
  </si>
  <si>
    <t xml:space="preserve">D-368     </t>
  </si>
  <si>
    <t xml:space="preserve">D-369     </t>
  </si>
  <si>
    <t xml:space="preserve">D-370     </t>
  </si>
  <si>
    <t xml:space="preserve">D-371     </t>
  </si>
  <si>
    <t xml:space="preserve">(223)DIONICIO TLAXCO                                                       </t>
  </si>
  <si>
    <t xml:space="preserve">D-372     </t>
  </si>
  <si>
    <t xml:space="preserve">D-373     </t>
  </si>
  <si>
    <t xml:space="preserve">D-374     </t>
  </si>
  <si>
    <t xml:space="preserve">D-375     </t>
  </si>
  <si>
    <t xml:space="preserve">D-376     </t>
  </si>
  <si>
    <t xml:space="preserve">D-377     </t>
  </si>
  <si>
    <t xml:space="preserve">D-378     </t>
  </si>
  <si>
    <t xml:space="preserve">D-379     </t>
  </si>
  <si>
    <t xml:space="preserve">D-380     </t>
  </si>
  <si>
    <t xml:space="preserve">D-381     </t>
  </si>
  <si>
    <t xml:space="preserve">D-382     </t>
  </si>
  <si>
    <t xml:space="preserve">D-383     </t>
  </si>
  <si>
    <t xml:space="preserve">D-384     </t>
  </si>
  <si>
    <t xml:space="preserve">D-385     </t>
  </si>
  <si>
    <t xml:space="preserve">D-386     </t>
  </si>
  <si>
    <t xml:space="preserve">D-387     </t>
  </si>
  <si>
    <t xml:space="preserve">D-388     </t>
  </si>
  <si>
    <t xml:space="preserve">D-389     </t>
  </si>
  <si>
    <t xml:space="preserve">D-390     </t>
  </si>
  <si>
    <t xml:space="preserve">D-391     </t>
  </si>
  <si>
    <t xml:space="preserve">(684)TLAXLANCINGO                                                          </t>
  </si>
  <si>
    <t xml:space="preserve">D-392     </t>
  </si>
  <si>
    <t xml:space="preserve">D-393     </t>
  </si>
  <si>
    <t xml:space="preserve">D-394     </t>
  </si>
  <si>
    <t xml:space="preserve">D-395     </t>
  </si>
  <si>
    <t xml:space="preserve">D-396     </t>
  </si>
  <si>
    <t xml:space="preserve">D-397     </t>
  </si>
  <si>
    <t xml:space="preserve">D-398     </t>
  </si>
  <si>
    <t xml:space="preserve">D-399     </t>
  </si>
  <si>
    <t xml:space="preserve">D-400     </t>
  </si>
  <si>
    <t xml:space="preserve">D-401     </t>
  </si>
  <si>
    <t xml:space="preserve">D-402     </t>
  </si>
  <si>
    <t xml:space="preserve">D-403     </t>
  </si>
  <si>
    <t xml:space="preserve">D-404     </t>
  </si>
  <si>
    <t xml:space="preserve">D-405     </t>
  </si>
  <si>
    <t xml:space="preserve">D-406     </t>
  </si>
  <si>
    <t xml:space="preserve">D-407     </t>
  </si>
  <si>
    <t xml:space="preserve">D-408     </t>
  </si>
  <si>
    <t xml:space="preserve">D-409     </t>
  </si>
  <si>
    <t xml:space="preserve">D-410     </t>
  </si>
  <si>
    <t xml:space="preserve">D-411     </t>
  </si>
  <si>
    <t xml:space="preserve">D-412     </t>
  </si>
  <si>
    <t xml:space="preserve">D-413     </t>
  </si>
  <si>
    <t xml:space="preserve">D-414     </t>
  </si>
  <si>
    <t xml:space="preserve">D-415     </t>
  </si>
  <si>
    <t xml:space="preserve">D-416     </t>
  </si>
  <si>
    <t xml:space="preserve">D-417     </t>
  </si>
  <si>
    <t xml:space="preserve">D-418     </t>
  </si>
  <si>
    <t xml:space="preserve">D-419     </t>
  </si>
  <si>
    <t xml:space="preserve">D-420     </t>
  </si>
  <si>
    <t xml:space="preserve">D-421     </t>
  </si>
  <si>
    <t xml:space="preserve">D-422     </t>
  </si>
  <si>
    <t xml:space="preserve">D-423     </t>
  </si>
  <si>
    <t xml:space="preserve">D-424     </t>
  </si>
  <si>
    <t xml:space="preserve">D-425     </t>
  </si>
  <si>
    <t xml:space="preserve">D-426     </t>
  </si>
  <si>
    <t xml:space="preserve">D-427     </t>
  </si>
  <si>
    <t xml:space="preserve">D-428     </t>
  </si>
  <si>
    <t xml:space="preserve">D-429     </t>
  </si>
  <si>
    <t xml:space="preserve">D-430     </t>
  </si>
  <si>
    <t xml:space="preserve">D-431     </t>
  </si>
  <si>
    <t xml:space="preserve">D-432     </t>
  </si>
  <si>
    <t xml:space="preserve">D-433     </t>
  </si>
  <si>
    <t xml:space="preserve">D-434     </t>
  </si>
  <si>
    <t xml:space="preserve">D-435     </t>
  </si>
  <si>
    <t xml:space="preserve">D-436     </t>
  </si>
  <si>
    <t xml:space="preserve">D-437     </t>
  </si>
  <si>
    <t xml:space="preserve">D-438     </t>
  </si>
  <si>
    <t xml:space="preserve">D-439     </t>
  </si>
  <si>
    <t xml:space="preserve">D-440     </t>
  </si>
  <si>
    <t xml:space="preserve">D-441     </t>
  </si>
  <si>
    <t xml:space="preserve">D-442     </t>
  </si>
  <si>
    <t xml:space="preserve">D-443     </t>
  </si>
  <si>
    <t xml:space="preserve">D-444     </t>
  </si>
  <si>
    <t xml:space="preserve">D-445     </t>
  </si>
  <si>
    <t xml:space="preserve">D-446     </t>
  </si>
  <si>
    <t xml:space="preserve">D-447     </t>
  </si>
  <si>
    <t xml:space="preserve">D-448     </t>
  </si>
  <si>
    <t xml:space="preserve">D-449     </t>
  </si>
  <si>
    <t xml:space="preserve">D-450     </t>
  </si>
  <si>
    <t xml:space="preserve">(388)CHALCO                                                                </t>
  </si>
  <si>
    <t xml:space="preserve">D-451     </t>
  </si>
  <si>
    <t xml:space="preserve">D-452     </t>
  </si>
  <si>
    <t xml:space="preserve">D-453     </t>
  </si>
  <si>
    <t xml:space="preserve">D-454     </t>
  </si>
  <si>
    <t>15/02/2017 22/02/2017</t>
  </si>
  <si>
    <t xml:space="preserve">D-455     </t>
  </si>
  <si>
    <t xml:space="preserve">D-456     </t>
  </si>
  <si>
    <t xml:space="preserve">D-457     </t>
  </si>
  <si>
    <t xml:space="preserve">D-458     </t>
  </si>
  <si>
    <t xml:space="preserve">D-459     </t>
  </si>
  <si>
    <t xml:space="preserve">D-460     </t>
  </si>
  <si>
    <t xml:space="preserve">D-461     </t>
  </si>
  <si>
    <t xml:space="preserve">D-462     </t>
  </si>
  <si>
    <t xml:space="preserve">D-463     </t>
  </si>
  <si>
    <t xml:space="preserve">D-464     </t>
  </si>
  <si>
    <t xml:space="preserve">(671)ISIDORO VERACRUZ                                                      </t>
  </si>
  <si>
    <t xml:space="preserve">D-465     </t>
  </si>
  <si>
    <t xml:space="preserve">D-466     </t>
  </si>
  <si>
    <t xml:space="preserve">D-467     </t>
  </si>
  <si>
    <t xml:space="preserve">D-468     </t>
  </si>
  <si>
    <t xml:space="preserve">D-469     </t>
  </si>
  <si>
    <t xml:space="preserve">D-470     </t>
  </si>
  <si>
    <t xml:space="preserve">D-471     </t>
  </si>
  <si>
    <t xml:space="preserve">D-472     </t>
  </si>
  <si>
    <t xml:space="preserve">D-473     </t>
  </si>
  <si>
    <t xml:space="preserve">D-474     </t>
  </si>
  <si>
    <t xml:space="preserve">D-475     </t>
  </si>
  <si>
    <t xml:space="preserve">D-476     </t>
  </si>
  <si>
    <t xml:space="preserve">D-477     </t>
  </si>
  <si>
    <t xml:space="preserve">D-478     </t>
  </si>
  <si>
    <t xml:space="preserve">D-479     </t>
  </si>
  <si>
    <t xml:space="preserve">D-480     </t>
  </si>
  <si>
    <t xml:space="preserve">D-481     </t>
  </si>
  <si>
    <t xml:space="preserve">D-482     </t>
  </si>
  <si>
    <t xml:space="preserve">D-483     </t>
  </si>
  <si>
    <t xml:space="preserve">D-484     </t>
  </si>
  <si>
    <t xml:space="preserve">D-485     </t>
  </si>
  <si>
    <t xml:space="preserve">D-486     </t>
  </si>
  <si>
    <t xml:space="preserve">D-487     </t>
  </si>
  <si>
    <t xml:space="preserve">D-488     </t>
  </si>
  <si>
    <t xml:space="preserve">D-489     </t>
  </si>
  <si>
    <t xml:space="preserve">D-490     </t>
  </si>
  <si>
    <t xml:space="preserve">D-491     </t>
  </si>
  <si>
    <t xml:space="preserve">D-492     </t>
  </si>
  <si>
    <t xml:space="preserve">D-493     </t>
  </si>
  <si>
    <t xml:space="preserve">D-494     </t>
  </si>
  <si>
    <t xml:space="preserve">D-495     </t>
  </si>
  <si>
    <t xml:space="preserve">D-496     </t>
  </si>
  <si>
    <t xml:space="preserve">D-497     </t>
  </si>
  <si>
    <t>14/02/2017 20/02/2017</t>
  </si>
  <si>
    <t xml:space="preserve">D-498     </t>
  </si>
  <si>
    <t xml:space="preserve">D-499     </t>
  </si>
  <si>
    <t xml:space="preserve">D-500     </t>
  </si>
  <si>
    <t xml:space="preserve">D-501     </t>
  </si>
  <si>
    <t xml:space="preserve">D-502     </t>
  </si>
  <si>
    <t xml:space="preserve"> 13/02/2017 16/02/2017 </t>
  </si>
  <si>
    <t xml:space="preserve">D-503     </t>
  </si>
  <si>
    <t xml:space="preserve">D-504     </t>
  </si>
  <si>
    <t xml:space="preserve">(125)LUIS LEDO                                 </t>
  </si>
  <si>
    <t>20/02/2017 22/02/2017</t>
  </si>
  <si>
    <t xml:space="preserve">D-505     </t>
  </si>
  <si>
    <t xml:space="preserve">D-506     </t>
  </si>
  <si>
    <t xml:space="preserve">D-507     </t>
  </si>
  <si>
    <t xml:space="preserve">D-508     </t>
  </si>
  <si>
    <t xml:space="preserve">D-509     </t>
  </si>
  <si>
    <t xml:space="preserve">D-510     </t>
  </si>
  <si>
    <t xml:space="preserve">D-511     </t>
  </si>
  <si>
    <t xml:space="preserve">D-512     </t>
  </si>
  <si>
    <t xml:space="preserve">D-513     </t>
  </si>
  <si>
    <t xml:space="preserve">D-514     </t>
  </si>
  <si>
    <t xml:space="preserve">D-515     </t>
  </si>
  <si>
    <t xml:space="preserve">D-516     </t>
  </si>
  <si>
    <t xml:space="preserve">D-517     </t>
  </si>
  <si>
    <t xml:space="preserve">D-518     </t>
  </si>
  <si>
    <t xml:space="preserve">D-519     </t>
  </si>
  <si>
    <t xml:space="preserve">D-520     </t>
  </si>
  <si>
    <t xml:space="preserve">D-521     </t>
  </si>
  <si>
    <t xml:space="preserve">D-522     </t>
  </si>
  <si>
    <t xml:space="preserve">D-523     </t>
  </si>
  <si>
    <t xml:space="preserve">D-524     </t>
  </si>
  <si>
    <t xml:space="preserve">D-525     </t>
  </si>
  <si>
    <t xml:space="preserve">D-526     </t>
  </si>
  <si>
    <t xml:space="preserve">D-527     </t>
  </si>
  <si>
    <t xml:space="preserve">D-528     </t>
  </si>
  <si>
    <t xml:space="preserve">D-529     </t>
  </si>
  <si>
    <t xml:space="preserve">D-530     </t>
  </si>
  <si>
    <t xml:space="preserve">D-531     </t>
  </si>
  <si>
    <t xml:space="preserve">D-532     </t>
  </si>
  <si>
    <t xml:space="preserve">D-533     </t>
  </si>
  <si>
    <t xml:space="preserve">D-534     </t>
  </si>
  <si>
    <t xml:space="preserve">D-535     </t>
  </si>
  <si>
    <t xml:space="preserve">D-536     </t>
  </si>
  <si>
    <t xml:space="preserve">D-537     </t>
  </si>
  <si>
    <t xml:space="preserve">D-538     </t>
  </si>
  <si>
    <t xml:space="preserve">D-539     </t>
  </si>
  <si>
    <t xml:space="preserve">D-540     </t>
  </si>
  <si>
    <t xml:space="preserve">D-541     </t>
  </si>
  <si>
    <t xml:space="preserve">D-542     </t>
  </si>
  <si>
    <t xml:space="preserve">D-543     </t>
  </si>
  <si>
    <t xml:space="preserve">D-544     </t>
  </si>
  <si>
    <t xml:space="preserve">D-545     </t>
  </si>
  <si>
    <t xml:space="preserve">D-546     </t>
  </si>
  <si>
    <t xml:space="preserve">D-547     </t>
  </si>
  <si>
    <t xml:space="preserve">D-548     </t>
  </si>
  <si>
    <t xml:space="preserve">D-549     </t>
  </si>
  <si>
    <t xml:space="preserve">D-550     </t>
  </si>
  <si>
    <t xml:space="preserve">D-551     </t>
  </si>
  <si>
    <t xml:space="preserve">D-552     </t>
  </si>
  <si>
    <t xml:space="preserve">D-553     </t>
  </si>
  <si>
    <t xml:space="preserve">D-554     </t>
  </si>
  <si>
    <t xml:space="preserve">D-555     </t>
  </si>
  <si>
    <t xml:space="preserve">D-556     </t>
  </si>
  <si>
    <t xml:space="preserve">D-557     </t>
  </si>
  <si>
    <t xml:space="preserve">D-558     </t>
  </si>
  <si>
    <t xml:space="preserve">D-559     </t>
  </si>
  <si>
    <t xml:space="preserve">D-560     </t>
  </si>
  <si>
    <t xml:space="preserve">D-561     </t>
  </si>
  <si>
    <t xml:space="preserve">D-562     </t>
  </si>
  <si>
    <t xml:space="preserve">D-563     </t>
  </si>
  <si>
    <t xml:space="preserve">D-564     </t>
  </si>
  <si>
    <t xml:space="preserve">D-565     </t>
  </si>
  <si>
    <t xml:space="preserve">D-566     </t>
  </si>
  <si>
    <t xml:space="preserve">D-567     </t>
  </si>
  <si>
    <t xml:space="preserve">D-568     </t>
  </si>
  <si>
    <t xml:space="preserve">D-569     </t>
  </si>
  <si>
    <t xml:space="preserve">D-570     </t>
  </si>
  <si>
    <t xml:space="preserve">D-571     </t>
  </si>
  <si>
    <t xml:space="preserve">D-572     </t>
  </si>
  <si>
    <t xml:space="preserve">D-573     </t>
  </si>
  <si>
    <t xml:space="preserve">D-574     </t>
  </si>
  <si>
    <t xml:space="preserve">D-575     </t>
  </si>
  <si>
    <t xml:space="preserve">D-576     </t>
  </si>
  <si>
    <t xml:space="preserve">D-577     </t>
  </si>
  <si>
    <t xml:space="preserve">D-578     </t>
  </si>
  <si>
    <t xml:space="preserve">(480)BENITO                                                                </t>
  </si>
  <si>
    <t xml:space="preserve">D-579     </t>
  </si>
  <si>
    <t xml:space="preserve">D-580     </t>
  </si>
  <si>
    <t xml:space="preserve">D-581     </t>
  </si>
  <si>
    <t xml:space="preserve">D-582     </t>
  </si>
  <si>
    <t xml:space="preserve">D-583     </t>
  </si>
  <si>
    <t xml:space="preserve">D-584     </t>
  </si>
  <si>
    <t xml:space="preserve">D-585     </t>
  </si>
  <si>
    <t xml:space="preserve">D-586     </t>
  </si>
  <si>
    <t xml:space="preserve">D-587     </t>
  </si>
  <si>
    <t xml:space="preserve">D-588     </t>
  </si>
  <si>
    <t xml:space="preserve">D-589     </t>
  </si>
  <si>
    <t xml:space="preserve">D-590     </t>
  </si>
  <si>
    <t xml:space="preserve">D-591     </t>
  </si>
  <si>
    <t xml:space="preserve">D-592     </t>
  </si>
  <si>
    <t xml:space="preserve">D-593     </t>
  </si>
  <si>
    <t xml:space="preserve">D-594     </t>
  </si>
  <si>
    <t xml:space="preserve">D-595     </t>
  </si>
  <si>
    <t xml:space="preserve">D-596     </t>
  </si>
  <si>
    <t xml:space="preserve">D-597     </t>
  </si>
  <si>
    <t xml:space="preserve">D-598     </t>
  </si>
  <si>
    <t xml:space="preserve">D-599     </t>
  </si>
  <si>
    <t>14/02/2017 16/02/2017</t>
  </si>
  <si>
    <t xml:space="preserve">D-600     </t>
  </si>
  <si>
    <t xml:space="preserve">D-601     </t>
  </si>
  <si>
    <t xml:space="preserve">D-602     </t>
  </si>
  <si>
    <t xml:space="preserve">D-603     </t>
  </si>
  <si>
    <t xml:space="preserve">D-604     </t>
  </si>
  <si>
    <t xml:space="preserve">D-605     </t>
  </si>
  <si>
    <t xml:space="preserve">D-606     </t>
  </si>
  <si>
    <t xml:space="preserve">D-607     </t>
  </si>
  <si>
    <t xml:space="preserve">D-608     </t>
  </si>
  <si>
    <t xml:space="preserve">D-609     </t>
  </si>
  <si>
    <t xml:space="preserve">D-610     </t>
  </si>
  <si>
    <t xml:space="preserve">D-611     </t>
  </si>
  <si>
    <t xml:space="preserve">D-612     </t>
  </si>
  <si>
    <t xml:space="preserve">D-613     </t>
  </si>
  <si>
    <t xml:space="preserve">D-614     </t>
  </si>
  <si>
    <t xml:space="preserve">D-615     </t>
  </si>
  <si>
    <t xml:space="preserve">D-616     </t>
  </si>
  <si>
    <t xml:space="preserve">D-617     </t>
  </si>
  <si>
    <t xml:space="preserve">D-618     </t>
  </si>
  <si>
    <t xml:space="preserve">D-619     </t>
  </si>
  <si>
    <t xml:space="preserve">D-620     </t>
  </si>
  <si>
    <t xml:space="preserve">D-621     </t>
  </si>
  <si>
    <t xml:space="preserve">D-622     </t>
  </si>
  <si>
    <t xml:space="preserve">D-623     </t>
  </si>
  <si>
    <t xml:space="preserve">D-624     </t>
  </si>
  <si>
    <t xml:space="preserve">D-625     </t>
  </si>
  <si>
    <t xml:space="preserve">D-626     </t>
  </si>
  <si>
    <t xml:space="preserve">D-627     </t>
  </si>
  <si>
    <t xml:space="preserve">D-628     </t>
  </si>
  <si>
    <t>(628)LEONARDO LINARES</t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</si>
  <si>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</si>
  <si>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</si>
  <si>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</si>
  <si>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</si>
  <si>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</si>
  <si>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</si>
  <si>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</si>
  <si>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</si>
  <si>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</si>
  <si>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</si>
  <si>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</si>
  <si>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</si>
  <si>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</si>
  <si>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</si>
  <si>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</si>
  <si>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</si>
  <si>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(77)GERARDO PULIDO</t>
  </si>
  <si>
    <t>D-645</t>
  </si>
  <si>
    <t>16/02/2017 17/02/2017</t>
  </si>
  <si>
    <t>D-646</t>
  </si>
  <si>
    <t>(297) ZAPATA JUQUILILA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</si>
  <si>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</si>
  <si>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</si>
  <si>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</si>
  <si>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</si>
  <si>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</si>
  <si>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</si>
  <si>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</si>
  <si>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</si>
  <si>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</si>
  <si>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</si>
  <si>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</si>
  <si>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</si>
  <si>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</si>
  <si>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</si>
  <si>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(299)CHARLY</t>
  </si>
  <si>
    <t>D-661</t>
  </si>
  <si>
    <t>D-662</t>
  </si>
  <si>
    <t>D-663</t>
  </si>
  <si>
    <t>D-664</t>
  </si>
  <si>
    <t>D-665</t>
  </si>
  <si>
    <t>D-666</t>
  </si>
  <si>
    <t>D-667</t>
  </si>
  <si>
    <t>(254)IRENE CASTILLO</t>
  </si>
  <si>
    <t>D-668</t>
  </si>
  <si>
    <t>D-669</t>
  </si>
  <si>
    <t>(125)LUIS LEDO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</si>
  <si>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</si>
  <si>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</si>
  <si>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</si>
  <si>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</si>
  <si>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</si>
  <si>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</si>
  <si>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</si>
  <si>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</si>
  <si>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</si>
  <si>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</si>
  <si>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</si>
  <si>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</si>
  <si>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</si>
  <si>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</si>
  <si>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</si>
  <si>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</si>
  <si>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</si>
  <si>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</si>
  <si>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</si>
  <si>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</si>
  <si>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</si>
  <si>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</si>
  <si>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</si>
  <si>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</si>
  <si>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</si>
  <si>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</si>
  <si>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</si>
  <si>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</si>
  <si>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</si>
  <si>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</si>
  <si>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</si>
  <si>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</si>
  <si>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</si>
  <si>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</si>
  <si>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</si>
  <si>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</si>
  <si>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</si>
  <si>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</si>
  <si>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</si>
  <si>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</si>
  <si>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</si>
  <si>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</si>
  <si>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</si>
  <si>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</si>
  <si>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</si>
  <si>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D-715</t>
  </si>
  <si>
    <t>(115) LUIS HERRERA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</si>
  <si>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</si>
  <si>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</si>
  <si>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</si>
  <si>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</si>
  <si>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</si>
  <si>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</si>
  <si>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</si>
  <si>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</si>
  <si>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</si>
  <si>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</si>
  <si>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</si>
  <si>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</si>
  <si>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</si>
  <si>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</si>
  <si>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</si>
  <si>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</si>
  <si>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</si>
  <si>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</si>
  <si>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</si>
  <si>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</si>
  <si>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</si>
  <si>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</si>
  <si>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</si>
  <si>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</si>
  <si>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</si>
  <si>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</si>
  <si>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</si>
  <si>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D-743</t>
  </si>
  <si>
    <t>D-744</t>
  </si>
  <si>
    <t>D-745</t>
  </si>
  <si>
    <t>(323)ENRIQUE HERRERIAS</t>
  </si>
  <si>
    <t>D-746</t>
  </si>
  <si>
    <t>D-747</t>
  </si>
  <si>
    <t>D-748</t>
  </si>
  <si>
    <t>D-749</t>
  </si>
  <si>
    <t>D-750</t>
  </si>
  <si>
    <t>D-751</t>
  </si>
  <si>
    <t>D-752</t>
  </si>
  <si>
    <t>(94) CIC-LA CENTRAL</t>
  </si>
  <si>
    <t>15/02/2017 17/02/2017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</si>
  <si>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</si>
  <si>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</si>
  <si>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</si>
  <si>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</si>
  <si>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</si>
  <si>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</si>
  <si>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</si>
  <si>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</si>
  <si>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</si>
  <si>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</si>
  <si>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</si>
  <si>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</si>
  <si>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</si>
  <si>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</si>
  <si>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</si>
  <si>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</si>
  <si>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</si>
  <si>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</si>
  <si>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</si>
  <si>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</si>
  <si>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</si>
  <si>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</si>
  <si>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</si>
  <si>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</si>
  <si>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</si>
  <si>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</si>
  <si>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</si>
  <si>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</si>
  <si>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</si>
  <si>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</si>
  <si>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</si>
  <si>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</si>
  <si>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</si>
  <si>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</si>
  <si>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</si>
  <si>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</si>
  <si>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</si>
  <si>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</si>
  <si>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</si>
  <si>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</si>
  <si>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</si>
  <si>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</si>
  <si>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</si>
  <si>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</si>
  <si>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</si>
  <si>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</si>
  <si>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</si>
  <si>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</si>
  <si>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</si>
  <si>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</si>
  <si>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</si>
  <si>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</si>
  <si>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</si>
  <si>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</si>
  <si>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12/02/2017 13/02/2017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</si>
  <si>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</si>
  <si>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</si>
  <si>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</si>
  <si>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</si>
  <si>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</si>
  <si>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</si>
  <si>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</si>
  <si>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</si>
  <si>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</si>
  <si>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</si>
  <si>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</si>
  <si>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</si>
  <si>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</si>
  <si>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</si>
  <si>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</si>
  <si>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</si>
  <si>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</si>
  <si>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</si>
  <si>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</si>
  <si>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</si>
  <si>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</si>
  <si>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</si>
  <si>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</si>
  <si>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</si>
  <si>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</si>
  <si>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</si>
  <si>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</si>
  <si>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</si>
  <si>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(680)TARIMAS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</si>
  <si>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</si>
  <si>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</si>
  <si>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</si>
  <si>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</si>
  <si>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</si>
  <si>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</si>
  <si>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</si>
  <si>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</si>
  <si>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</si>
  <si>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</si>
  <si>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</si>
  <si>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</si>
  <si>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</si>
  <si>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</si>
  <si>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</si>
  <si>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</si>
  <si>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</si>
  <si>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</si>
  <si>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</si>
  <si>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</si>
  <si>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</si>
  <si>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</si>
  <si>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t>D-857</t>
  </si>
  <si>
    <t>22/02/2017 25/02/2017 27/02/2017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</si>
  <si>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</si>
  <si>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</si>
  <si>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</si>
  <si>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</si>
  <si>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</si>
  <si>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</si>
  <si>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</si>
  <si>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</si>
  <si>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</si>
  <si>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</si>
  <si>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</si>
  <si>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</si>
  <si>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</si>
  <si>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</si>
  <si>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</si>
  <si>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</si>
  <si>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</si>
  <si>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</si>
  <si>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</si>
  <si>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</si>
  <si>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</si>
  <si>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</si>
  <si>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</si>
  <si>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</si>
  <si>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</si>
  <si>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</si>
  <si>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</si>
  <si>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(341)JUAN DE LOS SANTOS</t>
  </si>
  <si>
    <t>D-885</t>
  </si>
  <si>
    <t>D-886</t>
  </si>
  <si>
    <t>D-887</t>
  </si>
  <si>
    <t>D-888</t>
  </si>
  <si>
    <t>(270)MELITON CUATENCOS</t>
  </si>
  <si>
    <t>D-889</t>
  </si>
  <si>
    <t>D-890</t>
  </si>
  <si>
    <t>D-891</t>
  </si>
  <si>
    <t>D-892</t>
  </si>
  <si>
    <t>D-893</t>
  </si>
  <si>
    <t>15/02/2017 18/02/2017 22/02/2017 23/02/2017</t>
  </si>
  <si>
    <t>D-894</t>
  </si>
  <si>
    <t>D-895</t>
  </si>
  <si>
    <t>D-896</t>
  </si>
  <si>
    <t>D-897</t>
  </si>
  <si>
    <t>(526)CARNES ALI</t>
  </si>
  <si>
    <t>D-898</t>
  </si>
  <si>
    <t>D-899</t>
  </si>
  <si>
    <t>(48)PORFIRIO CRUZ</t>
  </si>
  <si>
    <t>D-900</t>
  </si>
  <si>
    <t>D-901</t>
  </si>
  <si>
    <t>D-902</t>
  </si>
  <si>
    <t>D-903</t>
  </si>
  <si>
    <t>D-904</t>
  </si>
  <si>
    <t>D-905</t>
  </si>
  <si>
    <t>(133)SAGRADO CORAZON HEROES</t>
  </si>
  <si>
    <t>D-906</t>
  </si>
  <si>
    <t>D-907</t>
  </si>
  <si>
    <t>D-908</t>
  </si>
  <si>
    <t>D-909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</si>
  <si>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</si>
  <si>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</si>
  <si>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</si>
  <si>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</si>
  <si>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</si>
  <si>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</si>
  <si>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</si>
  <si>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</si>
  <si>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</si>
  <si>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</si>
  <si>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</si>
  <si>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</si>
  <si>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</si>
  <si>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</si>
  <si>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</si>
  <si>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</si>
  <si>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</si>
  <si>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</si>
  <si>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</si>
  <si>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</si>
  <si>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</si>
  <si>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</si>
  <si>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D-932</t>
  </si>
  <si>
    <t>D-933</t>
  </si>
  <si>
    <t>D-934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</si>
  <si>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</si>
  <si>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</si>
  <si>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</si>
  <si>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</si>
  <si>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</si>
  <si>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</si>
  <si>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</si>
  <si>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</si>
  <si>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(651)NEALTICAN YOLANDA</t>
  </si>
  <si>
    <t>D-943</t>
  </si>
  <si>
    <t>D-944</t>
  </si>
  <si>
    <t>D-945</t>
  </si>
  <si>
    <t>D-946</t>
  </si>
  <si>
    <t>D-947</t>
  </si>
  <si>
    <t>D-948</t>
  </si>
  <si>
    <t>(152)PEDRO RAMIRO</t>
  </si>
  <si>
    <t>D-949</t>
  </si>
  <si>
    <t>D-950</t>
  </si>
  <si>
    <t>(177)PRODUCTO PARA AVES Y ANIMALES SA DE CV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</si>
  <si>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</si>
  <si>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</si>
  <si>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</si>
  <si>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</si>
  <si>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</si>
  <si>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</si>
  <si>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</si>
  <si>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</si>
  <si>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</si>
  <si>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</si>
  <si>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</si>
  <si>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</si>
  <si>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</si>
  <si>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(160)COSTA DE ORO</t>
  </si>
  <si>
    <t>D-964</t>
  </si>
  <si>
    <t>D-965</t>
  </si>
  <si>
    <t>D-966</t>
  </si>
  <si>
    <t>D-967</t>
  </si>
  <si>
    <t>D-968</t>
  </si>
  <si>
    <t>D-969</t>
  </si>
  <si>
    <t>D-970</t>
  </si>
  <si>
    <t>(120) MIGUEL ANGEL MORENO</t>
  </si>
  <si>
    <t>D-971</t>
  </si>
  <si>
    <t>D-972</t>
  </si>
  <si>
    <t>D-973</t>
  </si>
  <si>
    <t>D-974</t>
  </si>
  <si>
    <t>D-975</t>
  </si>
  <si>
    <t>D-976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</si>
  <si>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</si>
  <si>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</si>
  <si>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</si>
  <si>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</si>
  <si>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</si>
  <si>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</si>
  <si>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</si>
  <si>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</si>
  <si>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</si>
  <si>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</si>
  <si>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</si>
  <si>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</si>
  <si>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</si>
  <si>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</si>
  <si>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(138) FERNANDO DEL 5 DE MAYO</t>
  </si>
  <si>
    <t>D-991</t>
  </si>
  <si>
    <t>D-992</t>
  </si>
  <si>
    <t>D-993</t>
  </si>
  <si>
    <t>D-994</t>
  </si>
  <si>
    <t>D-995</t>
  </si>
  <si>
    <t>D-996</t>
  </si>
  <si>
    <t>(595) LOMA VERDE</t>
  </si>
  <si>
    <t>D-997</t>
  </si>
  <si>
    <t>(590) CARNICERIA HUGO'S</t>
  </si>
  <si>
    <t>D-998</t>
  </si>
  <si>
    <t>D-999</t>
  </si>
  <si>
    <t xml:space="preserve">D-1000    </t>
  </si>
  <si>
    <t xml:space="preserve">D-1001    </t>
  </si>
  <si>
    <t xml:space="preserve">D-1002    </t>
  </si>
  <si>
    <t xml:space="preserve">D-1003    </t>
  </si>
  <si>
    <t xml:space="preserve">D-1004    </t>
  </si>
  <si>
    <t xml:space="preserve">D-1005    </t>
  </si>
  <si>
    <t xml:space="preserve">D-1006    </t>
  </si>
  <si>
    <t xml:space="preserve">D-1007    </t>
  </si>
  <si>
    <t xml:space="preserve">D-1008    </t>
  </si>
  <si>
    <t xml:space="preserve">D-1009    </t>
  </si>
  <si>
    <t xml:space="preserve">D-1010    </t>
  </si>
  <si>
    <t xml:space="preserve">D-1011    </t>
  </si>
  <si>
    <t xml:space="preserve">D-1012    </t>
  </si>
  <si>
    <t xml:space="preserve">D-1013    </t>
  </si>
  <si>
    <t>17/02/2017 18/02/2017</t>
  </si>
  <si>
    <t xml:space="preserve">D-1014    </t>
  </si>
  <si>
    <t xml:space="preserve">D-1015    </t>
  </si>
  <si>
    <t xml:space="preserve">D-1016    </t>
  </si>
  <si>
    <t xml:space="preserve">D-1017    </t>
  </si>
  <si>
    <t xml:space="preserve">D-1018    </t>
  </si>
  <si>
    <t xml:space="preserve">D-1019    </t>
  </si>
  <si>
    <t xml:space="preserve">D-1020    </t>
  </si>
  <si>
    <t xml:space="preserve">D-1021    </t>
  </si>
  <si>
    <t xml:space="preserve">D-1022    </t>
  </si>
  <si>
    <t xml:space="preserve">D-1023    </t>
  </si>
  <si>
    <t xml:space="preserve">D-1024    </t>
  </si>
  <si>
    <t xml:space="preserve">D-1025    </t>
  </si>
  <si>
    <t xml:space="preserve">D-1026    </t>
  </si>
  <si>
    <t xml:space="preserve">D-1027    </t>
  </si>
  <si>
    <t xml:space="preserve">D-1028    </t>
  </si>
  <si>
    <t xml:space="preserve">D-1029    </t>
  </si>
  <si>
    <t xml:space="preserve">D-1030    </t>
  </si>
  <si>
    <t xml:space="preserve">D-1031    </t>
  </si>
  <si>
    <t xml:space="preserve">D-1032    </t>
  </si>
  <si>
    <t xml:space="preserve">D-1033    </t>
  </si>
  <si>
    <t xml:space="preserve">D-1034    </t>
  </si>
  <si>
    <t xml:space="preserve">D-1035    </t>
  </si>
  <si>
    <t xml:space="preserve">D-1036    </t>
  </si>
  <si>
    <t xml:space="preserve">D-1037    </t>
  </si>
  <si>
    <t xml:space="preserve">D-1038    </t>
  </si>
  <si>
    <t xml:space="preserve">D-1039    </t>
  </si>
  <si>
    <t xml:space="preserve">D-1040    </t>
  </si>
  <si>
    <t xml:space="preserve">D-1041    </t>
  </si>
  <si>
    <t xml:space="preserve">D-1042    </t>
  </si>
  <si>
    <t xml:space="preserve">D-1043    </t>
  </si>
  <si>
    <t xml:space="preserve">D-1044    </t>
  </si>
  <si>
    <t xml:space="preserve">D-1045    </t>
  </si>
  <si>
    <t xml:space="preserve">D-1046    </t>
  </si>
  <si>
    <t xml:space="preserve">D-1047    </t>
  </si>
  <si>
    <t xml:space="preserve">D-1048    </t>
  </si>
  <si>
    <t xml:space="preserve">D-1049    </t>
  </si>
  <si>
    <t xml:space="preserve">D-1050    </t>
  </si>
  <si>
    <t xml:space="preserve">D-1051    </t>
  </si>
  <si>
    <t xml:space="preserve">D-1052    </t>
  </si>
  <si>
    <t xml:space="preserve">D-1053    </t>
  </si>
  <si>
    <t xml:space="preserve">D-1054    </t>
  </si>
  <si>
    <t xml:space="preserve">D-1055    </t>
  </si>
  <si>
    <t xml:space="preserve">D-1056    </t>
  </si>
  <si>
    <t xml:space="preserve">D-1057    </t>
  </si>
  <si>
    <t xml:space="preserve">D-1058    </t>
  </si>
  <si>
    <t xml:space="preserve">D-1059    </t>
  </si>
  <si>
    <t xml:space="preserve">D-1060    </t>
  </si>
  <si>
    <t xml:space="preserve">D-1061    </t>
  </si>
  <si>
    <t xml:space="preserve">D-1062    </t>
  </si>
  <si>
    <t xml:space="preserve">D-1063    </t>
  </si>
  <si>
    <t xml:space="preserve">D-1064    </t>
  </si>
  <si>
    <t xml:space="preserve">D-1065    </t>
  </si>
  <si>
    <t xml:space="preserve">D-1066    </t>
  </si>
  <si>
    <t xml:space="preserve">D-1067    </t>
  </si>
  <si>
    <t xml:space="preserve">D-1068    </t>
  </si>
  <si>
    <t xml:space="preserve">D-1069    </t>
  </si>
  <si>
    <t xml:space="preserve">D-1070    </t>
  </si>
  <si>
    <t xml:space="preserve">D-1071    </t>
  </si>
  <si>
    <t xml:space="preserve">D-1072    </t>
  </si>
  <si>
    <t xml:space="preserve">D-1073    </t>
  </si>
  <si>
    <t xml:space="preserve">D-1074    </t>
  </si>
  <si>
    <t xml:space="preserve">D-1075    </t>
  </si>
  <si>
    <t xml:space="preserve">D-1076    </t>
  </si>
  <si>
    <t xml:space="preserve">D-1077    </t>
  </si>
  <si>
    <t xml:space="preserve">D-1078    </t>
  </si>
  <si>
    <t xml:space="preserve">D-1079    </t>
  </si>
  <si>
    <t xml:space="preserve">D-1080    </t>
  </si>
  <si>
    <t xml:space="preserve">D-1081    </t>
  </si>
  <si>
    <t xml:space="preserve">D-1082    </t>
  </si>
  <si>
    <t xml:space="preserve">D-1083    </t>
  </si>
  <si>
    <t xml:space="preserve">D-1084    </t>
  </si>
  <si>
    <t xml:space="preserve">D-1085    </t>
  </si>
  <si>
    <t xml:space="preserve">D-1086    </t>
  </si>
  <si>
    <t xml:space="preserve">D-1087    </t>
  </si>
  <si>
    <t xml:space="preserve">D-1088    </t>
  </si>
  <si>
    <t>21/02/2017 28/02/2017</t>
  </si>
  <si>
    <t xml:space="preserve">D-1089    </t>
  </si>
  <si>
    <t xml:space="preserve">D-1090    </t>
  </si>
  <si>
    <t xml:space="preserve">D-1091    </t>
  </si>
  <si>
    <t xml:space="preserve">D-1092    </t>
  </si>
  <si>
    <t xml:space="preserve">D-1093    </t>
  </si>
  <si>
    <t xml:space="preserve">D-1094    </t>
  </si>
  <si>
    <t xml:space="preserve">D-1095    </t>
  </si>
  <si>
    <t xml:space="preserve">D-1096    </t>
  </si>
  <si>
    <t xml:space="preserve">D-1097    </t>
  </si>
  <si>
    <t xml:space="preserve">D-1098    </t>
  </si>
  <si>
    <t xml:space="preserve">D-1099    </t>
  </si>
  <si>
    <t xml:space="preserve">D-1100    </t>
  </si>
  <si>
    <t xml:space="preserve">D-1101    </t>
  </si>
  <si>
    <t xml:space="preserve">D-1102    </t>
  </si>
  <si>
    <t xml:space="preserve">D-1103    </t>
  </si>
  <si>
    <t xml:space="preserve">D-1104    </t>
  </si>
  <si>
    <t xml:space="preserve">D-1105    </t>
  </si>
  <si>
    <t xml:space="preserve">D-1106    </t>
  </si>
  <si>
    <t xml:space="preserve">D-1107    </t>
  </si>
  <si>
    <t xml:space="preserve">D-1108    </t>
  </si>
  <si>
    <t xml:space="preserve">D-1109    </t>
  </si>
  <si>
    <t xml:space="preserve">D-1110    </t>
  </si>
  <si>
    <t>17/02/2017 20/02/2017</t>
  </si>
  <si>
    <t xml:space="preserve">D-1111    </t>
  </si>
  <si>
    <t xml:space="preserve">D-1112    </t>
  </si>
  <si>
    <t xml:space="preserve">D-1113    </t>
  </si>
  <si>
    <t xml:space="preserve">(243)RAFAEL LEDO                                                           </t>
  </si>
  <si>
    <t xml:space="preserve">D-1114    </t>
  </si>
  <si>
    <t xml:space="preserve">D-1115    </t>
  </si>
  <si>
    <t xml:space="preserve">D-1116    </t>
  </si>
  <si>
    <t xml:space="preserve">D-1117    </t>
  </si>
  <si>
    <t xml:space="preserve">D-1118    </t>
  </si>
  <si>
    <t xml:space="preserve">D-1119    </t>
  </si>
  <si>
    <t xml:space="preserve">D-1120    </t>
  </si>
  <si>
    <t xml:space="preserve">D-1121    </t>
  </si>
  <si>
    <t xml:space="preserve">D-1122    </t>
  </si>
  <si>
    <t xml:space="preserve">D-1123    </t>
  </si>
  <si>
    <t xml:space="preserve">D-1124    </t>
  </si>
  <si>
    <t xml:space="preserve">D-1125    </t>
  </si>
  <si>
    <t xml:space="preserve">D-1126    </t>
  </si>
  <si>
    <t xml:space="preserve">D-1127    </t>
  </si>
  <si>
    <t xml:space="preserve">D-1128    </t>
  </si>
  <si>
    <t xml:space="preserve">D-1129    </t>
  </si>
  <si>
    <t xml:space="preserve">D-1130    </t>
  </si>
  <si>
    <t xml:space="preserve">D-1131    </t>
  </si>
  <si>
    <t xml:space="preserve">D-1132    </t>
  </si>
  <si>
    <t xml:space="preserve">D-1133    </t>
  </si>
  <si>
    <t xml:space="preserve">D-1134    </t>
  </si>
  <si>
    <t xml:space="preserve">D-1135    </t>
  </si>
  <si>
    <t xml:space="preserve">D-1136    </t>
  </si>
  <si>
    <t xml:space="preserve">D-1137    </t>
  </si>
  <si>
    <t xml:space="preserve">D-1138    </t>
  </si>
  <si>
    <t xml:space="preserve">D-1139    </t>
  </si>
  <si>
    <t xml:space="preserve">D-1140    </t>
  </si>
  <si>
    <t xml:space="preserve">D-1141    </t>
  </si>
  <si>
    <t xml:space="preserve">D-1142    </t>
  </si>
  <si>
    <t xml:space="preserve">D-1143    </t>
  </si>
  <si>
    <t xml:space="preserve">D-1144    </t>
  </si>
  <si>
    <t xml:space="preserve">D-1145    </t>
  </si>
  <si>
    <t xml:space="preserve">D-1146    </t>
  </si>
  <si>
    <t xml:space="preserve">D-1147    </t>
  </si>
  <si>
    <t xml:space="preserve">D-1148    </t>
  </si>
  <si>
    <t xml:space="preserve">D-1149    </t>
  </si>
  <si>
    <t xml:space="preserve">D-1150    </t>
  </si>
  <si>
    <t xml:space="preserve">D-1151    </t>
  </si>
  <si>
    <t xml:space="preserve">D-1152    </t>
  </si>
  <si>
    <t xml:space="preserve">D-1153    </t>
  </si>
  <si>
    <t xml:space="preserve">D-1154    </t>
  </si>
  <si>
    <t xml:space="preserve">D-1155    </t>
  </si>
  <si>
    <t xml:space="preserve">D-1156    </t>
  </si>
  <si>
    <t xml:space="preserve">D-1157    </t>
  </si>
  <si>
    <t xml:space="preserve">D-1158    </t>
  </si>
  <si>
    <t xml:space="preserve">D-1159    </t>
  </si>
  <si>
    <t xml:space="preserve">D-1160    </t>
  </si>
  <si>
    <t xml:space="preserve">D-1161    </t>
  </si>
  <si>
    <t xml:space="preserve">D-1162    </t>
  </si>
  <si>
    <t xml:space="preserve">D-1163    </t>
  </si>
  <si>
    <t xml:space="preserve">D-1164    </t>
  </si>
  <si>
    <t xml:space="preserve">D-1165    </t>
  </si>
  <si>
    <t xml:space="preserve">D-1166    </t>
  </si>
  <si>
    <t xml:space="preserve">D-1167    </t>
  </si>
  <si>
    <t xml:space="preserve">D-1168    </t>
  </si>
  <si>
    <t xml:space="preserve">D-1169    </t>
  </si>
  <si>
    <t xml:space="preserve">D-1170    </t>
  </si>
  <si>
    <t xml:space="preserve">D-1171    </t>
  </si>
  <si>
    <t xml:space="preserve">D-1172    </t>
  </si>
  <si>
    <t xml:space="preserve">D-1173    </t>
  </si>
  <si>
    <t xml:space="preserve">D-1174    </t>
  </si>
  <si>
    <t xml:space="preserve">D-1175    </t>
  </si>
  <si>
    <t xml:space="preserve">D-1176    </t>
  </si>
  <si>
    <t xml:space="preserve">D-1177    </t>
  </si>
  <si>
    <t xml:space="preserve">D-1178    </t>
  </si>
  <si>
    <t xml:space="preserve">D-1179    </t>
  </si>
  <si>
    <t xml:space="preserve">D-1180    </t>
  </si>
  <si>
    <t xml:space="preserve">D-1181    </t>
  </si>
  <si>
    <t xml:space="preserve">D-1182    </t>
  </si>
  <si>
    <t xml:space="preserve">D-1183    </t>
  </si>
  <si>
    <t xml:space="preserve">D-1184    </t>
  </si>
  <si>
    <t xml:space="preserve">D-1185    </t>
  </si>
  <si>
    <t xml:space="preserve">D-1186    </t>
  </si>
  <si>
    <t xml:space="preserve">D-1187    </t>
  </si>
  <si>
    <t xml:space="preserve">D-1188    </t>
  </si>
  <si>
    <t xml:space="preserve">D-1189    </t>
  </si>
  <si>
    <t xml:space="preserve">D-1190    </t>
  </si>
  <si>
    <t xml:space="preserve">D-1191    </t>
  </si>
  <si>
    <t xml:space="preserve">D-1192    </t>
  </si>
  <si>
    <t xml:space="preserve">D-1193    </t>
  </si>
  <si>
    <t xml:space="preserve">D-1194    </t>
  </si>
  <si>
    <t xml:space="preserve">D-1195    </t>
  </si>
  <si>
    <t xml:space="preserve">D-1196    </t>
  </si>
  <si>
    <t xml:space="preserve">D-1197    </t>
  </si>
  <si>
    <t xml:space="preserve">D-1198    </t>
  </si>
  <si>
    <t xml:space="preserve">D-1199    </t>
  </si>
  <si>
    <t xml:space="preserve">D-1200    </t>
  </si>
  <si>
    <t xml:space="preserve">D-1201    </t>
  </si>
  <si>
    <t xml:space="preserve">(0)MOSTRADOR MENUDEO                                                     </t>
  </si>
  <si>
    <t xml:space="preserve">D-1202    </t>
  </si>
  <si>
    <t xml:space="preserve">D-1203    </t>
  </si>
  <si>
    <t xml:space="preserve">D-1204    </t>
  </si>
  <si>
    <t xml:space="preserve">D-1205    </t>
  </si>
  <si>
    <t xml:space="preserve">D-1206    </t>
  </si>
  <si>
    <t xml:space="preserve">D-1207    </t>
  </si>
  <si>
    <t xml:space="preserve">D-1208    </t>
  </si>
  <si>
    <t xml:space="preserve">D-1209    </t>
  </si>
  <si>
    <t xml:space="preserve">D-1210    </t>
  </si>
  <si>
    <t xml:space="preserve">D-1211    </t>
  </si>
  <si>
    <t xml:space="preserve">D-1212    </t>
  </si>
  <si>
    <t xml:space="preserve">D-1213    </t>
  </si>
  <si>
    <t xml:space="preserve">D-1214    </t>
  </si>
  <si>
    <t xml:space="preserve">D-1215    </t>
  </si>
  <si>
    <t xml:space="preserve">D-1216    </t>
  </si>
  <si>
    <t xml:space="preserve">D-1217    </t>
  </si>
  <si>
    <t xml:space="preserve">D-1218    </t>
  </si>
  <si>
    <t xml:space="preserve">D-1219    </t>
  </si>
  <si>
    <t xml:space="preserve">D-1220    </t>
  </si>
  <si>
    <t xml:space="preserve">D-1221    </t>
  </si>
  <si>
    <t xml:space="preserve">D-1222    </t>
  </si>
  <si>
    <t xml:space="preserve">D-1223    </t>
  </si>
  <si>
    <t xml:space="preserve">D-1224    </t>
  </si>
  <si>
    <t xml:space="preserve">D-1225    </t>
  </si>
  <si>
    <t xml:space="preserve">D-1226    </t>
  </si>
  <si>
    <t xml:space="preserve">D-1227    </t>
  </si>
  <si>
    <t xml:space="preserve">D-1228    </t>
  </si>
  <si>
    <t xml:space="preserve">D-1229    </t>
  </si>
  <si>
    <t xml:space="preserve">D-1230    </t>
  </si>
  <si>
    <t xml:space="preserve">D-1231    </t>
  </si>
  <si>
    <t xml:space="preserve">D-1232    </t>
  </si>
  <si>
    <t xml:space="preserve">D-1233    </t>
  </si>
  <si>
    <t xml:space="preserve">D-1234    </t>
  </si>
  <si>
    <t xml:space="preserve">D-1235    </t>
  </si>
  <si>
    <t xml:space="preserve">D-1236    </t>
  </si>
  <si>
    <t xml:space="preserve">D-1237    </t>
  </si>
  <si>
    <t xml:space="preserve">D-1238    </t>
  </si>
  <si>
    <t xml:space="preserve">D-1239    </t>
  </si>
  <si>
    <t xml:space="preserve">D-1240    </t>
  </si>
  <si>
    <t xml:space="preserve">D-1241    </t>
  </si>
  <si>
    <t xml:space="preserve">D-1242    </t>
  </si>
  <si>
    <t xml:space="preserve">D-1243    </t>
  </si>
  <si>
    <t xml:space="preserve">D-1244    </t>
  </si>
  <si>
    <t xml:space="preserve">D-1245    </t>
  </si>
  <si>
    <t xml:space="preserve">D-1246    </t>
  </si>
  <si>
    <t xml:space="preserve">D-1247    </t>
  </si>
  <si>
    <t xml:space="preserve">D-1248    </t>
  </si>
  <si>
    <t xml:space="preserve">D-1249    </t>
  </si>
  <si>
    <t xml:space="preserve">D-1250    </t>
  </si>
  <si>
    <t xml:space="preserve">D-1251    </t>
  </si>
  <si>
    <t xml:space="preserve">D-1252    </t>
  </si>
  <si>
    <t xml:space="preserve">D-1253    </t>
  </si>
  <si>
    <t xml:space="preserve">D-1254    </t>
  </si>
  <si>
    <t xml:space="preserve">D-1255    </t>
  </si>
  <si>
    <t xml:space="preserve">D-1256    </t>
  </si>
  <si>
    <t xml:space="preserve">D-1257    </t>
  </si>
  <si>
    <t xml:space="preserve">D-1258    </t>
  </si>
  <si>
    <t xml:space="preserve">D-1259    </t>
  </si>
  <si>
    <t xml:space="preserve">D-1260    </t>
  </si>
  <si>
    <t xml:space="preserve">D-1261    </t>
  </si>
  <si>
    <t xml:space="preserve">D-1262    </t>
  </si>
  <si>
    <t xml:space="preserve">D-1263    </t>
  </si>
  <si>
    <t xml:space="preserve">D-1264    </t>
  </si>
  <si>
    <t xml:space="preserve">D-1265    </t>
  </si>
  <si>
    <t xml:space="preserve">D-1266    </t>
  </si>
  <si>
    <t xml:space="preserve">D-1267    </t>
  </si>
  <si>
    <t xml:space="preserve">D-1268    </t>
  </si>
  <si>
    <t xml:space="preserve">D-1269    </t>
  </si>
  <si>
    <t xml:space="preserve">D-1270    </t>
  </si>
  <si>
    <t xml:space="preserve">D-1271    </t>
  </si>
  <si>
    <t xml:space="preserve">D-1272    </t>
  </si>
  <si>
    <t xml:space="preserve">D-1273    </t>
  </si>
  <si>
    <t xml:space="preserve">D-1274    </t>
  </si>
  <si>
    <t xml:space="preserve">D-1275    </t>
  </si>
  <si>
    <t xml:space="preserve">D-1276    </t>
  </si>
  <si>
    <t xml:space="preserve">D-1277    </t>
  </si>
  <si>
    <t xml:space="preserve">D-1278    </t>
  </si>
  <si>
    <t xml:space="preserve">D-1279    </t>
  </si>
  <si>
    <t xml:space="preserve">D-1280    </t>
  </si>
  <si>
    <t xml:space="preserve">D-1281    </t>
  </si>
  <si>
    <t xml:space="preserve">D-1282    </t>
  </si>
  <si>
    <t xml:space="preserve">D-1283    </t>
  </si>
  <si>
    <t xml:space="preserve">D-1284    </t>
  </si>
  <si>
    <t xml:space="preserve">D-1285    </t>
  </si>
  <si>
    <t xml:space="preserve">D-1286    </t>
  </si>
  <si>
    <t xml:space="preserve">D-1287    </t>
  </si>
  <si>
    <t xml:space="preserve">D-1288    </t>
  </si>
  <si>
    <t xml:space="preserve">D-1289    </t>
  </si>
  <si>
    <t xml:space="preserve">D-1290    </t>
  </si>
  <si>
    <t xml:space="preserve">D-1291    </t>
  </si>
  <si>
    <t xml:space="preserve">D-1292    </t>
  </si>
  <si>
    <t xml:space="preserve">D-1293    </t>
  </si>
  <si>
    <t xml:space="preserve">D-1294    </t>
  </si>
  <si>
    <t xml:space="preserve">D-1295    </t>
  </si>
  <si>
    <t xml:space="preserve">D-1296    </t>
  </si>
  <si>
    <t xml:space="preserve">D-1297    </t>
  </si>
  <si>
    <t xml:space="preserve">D-1298    </t>
  </si>
  <si>
    <t xml:space="preserve">D-1299    </t>
  </si>
  <si>
    <t xml:space="preserve">D-1300    </t>
  </si>
  <si>
    <t xml:space="preserve">D-1301    </t>
  </si>
  <si>
    <t xml:space="preserve">D-1302    </t>
  </si>
  <si>
    <t xml:space="preserve">D-1303    </t>
  </si>
  <si>
    <t xml:space="preserve">D-1304    </t>
  </si>
  <si>
    <t xml:space="preserve">D-1305    </t>
  </si>
  <si>
    <t xml:space="preserve">D-1306    </t>
  </si>
  <si>
    <t xml:space="preserve">D-1307    </t>
  </si>
  <si>
    <t xml:space="preserve">D-1308    </t>
  </si>
  <si>
    <t xml:space="preserve">D-1309    </t>
  </si>
  <si>
    <t xml:space="preserve">D-1310    </t>
  </si>
  <si>
    <t xml:space="preserve">D-1311    </t>
  </si>
  <si>
    <t xml:space="preserve">D-1312    </t>
  </si>
  <si>
    <t xml:space="preserve">D-1313    </t>
  </si>
  <si>
    <t xml:space="preserve">D-1314    </t>
  </si>
  <si>
    <t xml:space="preserve">D-1315    </t>
  </si>
  <si>
    <t xml:space="preserve">D-1316    </t>
  </si>
  <si>
    <t xml:space="preserve">D-1317    </t>
  </si>
  <si>
    <t xml:space="preserve">(119)JUAN MORALES                                                          </t>
  </si>
  <si>
    <t xml:space="preserve">D-1318    </t>
  </si>
  <si>
    <t xml:space="preserve">D-1319    </t>
  </si>
  <si>
    <t xml:space="preserve">D-1320    </t>
  </si>
  <si>
    <t xml:space="preserve">D-1321    </t>
  </si>
  <si>
    <t xml:space="preserve">D-1322    </t>
  </si>
  <si>
    <t xml:space="preserve">D-1323    </t>
  </si>
  <si>
    <t xml:space="preserve">D-1324    </t>
  </si>
  <si>
    <t xml:space="preserve">D-1325    </t>
  </si>
  <si>
    <t xml:space="preserve">D-1326    </t>
  </si>
  <si>
    <t xml:space="preserve">D-1327    </t>
  </si>
  <si>
    <t xml:space="preserve">D-1328    </t>
  </si>
  <si>
    <t xml:space="preserve">D-1329    </t>
  </si>
  <si>
    <t xml:space="preserve">D-1330    </t>
  </si>
  <si>
    <t xml:space="preserve">D-1331    </t>
  </si>
  <si>
    <t xml:space="preserve">D-1332    </t>
  </si>
  <si>
    <t xml:space="preserve">D-1333    </t>
  </si>
  <si>
    <t xml:space="preserve">D-1334    </t>
  </si>
  <si>
    <t xml:space="preserve">D-1335    </t>
  </si>
  <si>
    <t xml:space="preserve">D-1336    </t>
  </si>
  <si>
    <t xml:space="preserve">D-1337    </t>
  </si>
  <si>
    <t xml:space="preserve">D-1338    </t>
  </si>
  <si>
    <t xml:space="preserve">D-1339    </t>
  </si>
  <si>
    <t xml:space="preserve">D-1340    </t>
  </si>
  <si>
    <t xml:space="preserve">D-1341    </t>
  </si>
  <si>
    <t xml:space="preserve">D-1342    </t>
  </si>
  <si>
    <t xml:space="preserve">D-1343    </t>
  </si>
  <si>
    <t xml:space="preserve">D-1344    </t>
  </si>
  <si>
    <t xml:space="preserve">D-1345    </t>
  </si>
  <si>
    <t xml:space="preserve">D-1346    </t>
  </si>
  <si>
    <t xml:space="preserve">D-1347    </t>
  </si>
  <si>
    <t xml:space="preserve">D-1348    </t>
  </si>
  <si>
    <t xml:space="preserve">D-1349    </t>
  </si>
  <si>
    <t xml:space="preserve">D-1350    </t>
  </si>
  <si>
    <t xml:space="preserve">D-1351    </t>
  </si>
  <si>
    <t xml:space="preserve">D-1352    </t>
  </si>
  <si>
    <t xml:space="preserve">D-1353    </t>
  </si>
  <si>
    <t xml:space="preserve">D-1354    </t>
  </si>
  <si>
    <t xml:space="preserve">D-1355    </t>
  </si>
  <si>
    <t xml:space="preserve">D-1356    </t>
  </si>
  <si>
    <t xml:space="preserve">D-1357    </t>
  </si>
  <si>
    <t xml:space="preserve">D-1358    </t>
  </si>
  <si>
    <t xml:space="preserve">D-1359    </t>
  </si>
  <si>
    <t xml:space="preserve">D-1360    </t>
  </si>
  <si>
    <t xml:space="preserve">D-1361    </t>
  </si>
  <si>
    <t xml:space="preserve">D-1362    </t>
  </si>
  <si>
    <t xml:space="preserve">D-1363    </t>
  </si>
  <si>
    <t xml:space="preserve">D-1364    </t>
  </si>
  <si>
    <t xml:space="preserve">D-1365    </t>
  </si>
  <si>
    <t xml:space="preserve">D-1366    </t>
  </si>
  <si>
    <t xml:space="preserve">D-1367    </t>
  </si>
  <si>
    <t xml:space="preserve">D-1368    </t>
  </si>
  <si>
    <t xml:space="preserve">D-1369    </t>
  </si>
  <si>
    <t xml:space="preserve">D-1370    </t>
  </si>
  <si>
    <t xml:space="preserve">D-1371    </t>
  </si>
  <si>
    <t xml:space="preserve">D-1372    </t>
  </si>
  <si>
    <t xml:space="preserve">D-1373    </t>
  </si>
  <si>
    <t xml:space="preserve">D-1374    </t>
  </si>
  <si>
    <t xml:space="preserve">D-1375    </t>
  </si>
  <si>
    <t xml:space="preserve">D-1376    </t>
  </si>
  <si>
    <t xml:space="preserve">D-1377    </t>
  </si>
  <si>
    <t xml:space="preserve">D-1378    </t>
  </si>
  <si>
    <t xml:space="preserve">D-1379    </t>
  </si>
  <si>
    <t xml:space="preserve">D-1380    </t>
  </si>
  <si>
    <t xml:space="preserve">D-1381    </t>
  </si>
  <si>
    <t xml:space="preserve">D-1382    </t>
  </si>
  <si>
    <t xml:space="preserve">D-1383    </t>
  </si>
  <si>
    <t xml:space="preserve">D-1384    </t>
  </si>
  <si>
    <t xml:space="preserve">D-1385    </t>
  </si>
  <si>
    <t xml:space="preserve">D-1386    </t>
  </si>
  <si>
    <t xml:space="preserve">D-1387    </t>
  </si>
  <si>
    <t xml:space="preserve">D-1388    </t>
  </si>
  <si>
    <t xml:space="preserve">D-1389    </t>
  </si>
  <si>
    <t xml:space="preserve">D-1390    </t>
  </si>
  <si>
    <t xml:space="preserve">D-1391    </t>
  </si>
  <si>
    <t xml:space="preserve">D-1392    </t>
  </si>
  <si>
    <t xml:space="preserve">D-1393    </t>
  </si>
  <si>
    <t xml:space="preserve">D-1394    </t>
  </si>
  <si>
    <t xml:space="preserve">D-1395    </t>
  </si>
  <si>
    <t xml:space="preserve">D-1396    </t>
  </si>
  <si>
    <t xml:space="preserve">D-1397    </t>
  </si>
  <si>
    <t xml:space="preserve">D-1398    </t>
  </si>
  <si>
    <t xml:space="preserve">D-1399    </t>
  </si>
  <si>
    <t xml:space="preserve">D-1400    </t>
  </si>
  <si>
    <t xml:space="preserve">D-1401    </t>
  </si>
  <si>
    <t xml:space="preserve">D-1402    </t>
  </si>
  <si>
    <t xml:space="preserve">D-1403    </t>
  </si>
  <si>
    <t xml:space="preserve">D-1404    </t>
  </si>
  <si>
    <t xml:space="preserve">D-1405    </t>
  </si>
  <si>
    <t xml:space="preserve">D-1406    </t>
  </si>
  <si>
    <t xml:space="preserve">D-1407    </t>
  </si>
  <si>
    <t xml:space="preserve">D-1408    </t>
  </si>
  <si>
    <t xml:space="preserve">D-1409    </t>
  </si>
  <si>
    <t xml:space="preserve">D-1410    </t>
  </si>
  <si>
    <t xml:space="preserve">D-1411    </t>
  </si>
  <si>
    <t xml:space="preserve">D-1412    </t>
  </si>
  <si>
    <t xml:space="preserve">D-1413    </t>
  </si>
  <si>
    <t xml:space="preserve">D-1414    </t>
  </si>
  <si>
    <t xml:space="preserve">D-1415    </t>
  </si>
  <si>
    <t xml:space="preserve">D-1416    </t>
  </si>
  <si>
    <t xml:space="preserve">D-1417    </t>
  </si>
  <si>
    <t xml:space="preserve">D-1418    </t>
  </si>
  <si>
    <t xml:space="preserve">D-1419    </t>
  </si>
  <si>
    <t xml:space="preserve">D-1420    </t>
  </si>
  <si>
    <t xml:space="preserve">D-1421    </t>
  </si>
  <si>
    <t xml:space="preserve">D-1422    </t>
  </si>
  <si>
    <t xml:space="preserve">D-1423    </t>
  </si>
  <si>
    <t xml:space="preserve">D-1424    </t>
  </si>
  <si>
    <t xml:space="preserve">D-1425    </t>
  </si>
  <si>
    <t xml:space="preserve">D-1426    </t>
  </si>
  <si>
    <t xml:space="preserve">D-1427    </t>
  </si>
  <si>
    <t xml:space="preserve">D-1428    </t>
  </si>
  <si>
    <t xml:space="preserve">D-1429    </t>
  </si>
  <si>
    <t xml:space="preserve">D-1430    </t>
  </si>
  <si>
    <t xml:space="preserve">D-1431    </t>
  </si>
  <si>
    <t xml:space="preserve">D-1432    </t>
  </si>
  <si>
    <t xml:space="preserve">D-1433    </t>
  </si>
  <si>
    <t xml:space="preserve">D-1434    </t>
  </si>
  <si>
    <t xml:space="preserve">D-1435    </t>
  </si>
  <si>
    <t xml:space="preserve">D-1436    </t>
  </si>
  <si>
    <t xml:space="preserve">D-1437    </t>
  </si>
  <si>
    <t xml:space="preserve">D-1438    </t>
  </si>
  <si>
    <t xml:space="preserve">D-1439    </t>
  </si>
  <si>
    <t xml:space="preserve">D-1440    </t>
  </si>
  <si>
    <t xml:space="preserve">D-1441    </t>
  </si>
  <si>
    <t xml:space="preserve">D-1442    </t>
  </si>
  <si>
    <t xml:space="preserve">D-1443    </t>
  </si>
  <si>
    <t xml:space="preserve">D-1444    </t>
  </si>
  <si>
    <t xml:space="preserve">D-1445    </t>
  </si>
  <si>
    <t xml:space="preserve">D-1446    </t>
  </si>
  <si>
    <t xml:space="preserve">D-1447    </t>
  </si>
  <si>
    <t xml:space="preserve">D-1448    </t>
  </si>
  <si>
    <t xml:space="preserve">D-1449    </t>
  </si>
  <si>
    <t xml:space="preserve">D-1450    </t>
  </si>
  <si>
    <t xml:space="preserve">D-1451    </t>
  </si>
  <si>
    <t xml:space="preserve">D-1452    </t>
  </si>
  <si>
    <t xml:space="preserve">D-1453    </t>
  </si>
  <si>
    <t xml:space="preserve">D-1454    </t>
  </si>
  <si>
    <t xml:space="preserve">D-1455    </t>
  </si>
  <si>
    <t xml:space="preserve">D-1456    </t>
  </si>
  <si>
    <t xml:space="preserve">D-1457    </t>
  </si>
  <si>
    <t xml:space="preserve">D-1458    </t>
  </si>
  <si>
    <t xml:space="preserve">D-1459    </t>
  </si>
  <si>
    <t xml:space="preserve">D-1460    </t>
  </si>
  <si>
    <t xml:space="preserve">D-1461    </t>
  </si>
  <si>
    <t xml:space="preserve">D-1462    </t>
  </si>
  <si>
    <t xml:space="preserve">D-1463    </t>
  </si>
  <si>
    <t xml:space="preserve">D-1464    </t>
  </si>
  <si>
    <t xml:space="preserve">D-1465    </t>
  </si>
  <si>
    <t xml:space="preserve">D-1466    </t>
  </si>
  <si>
    <t xml:space="preserve">D-1467    </t>
  </si>
  <si>
    <t xml:space="preserve">D-1468    </t>
  </si>
  <si>
    <t xml:space="preserve">D-1469    </t>
  </si>
  <si>
    <t xml:space="preserve">D-1470    </t>
  </si>
  <si>
    <t xml:space="preserve">D-1471    </t>
  </si>
  <si>
    <t xml:space="preserve">D-1472    </t>
  </si>
  <si>
    <t xml:space="preserve">D-1473    </t>
  </si>
  <si>
    <t xml:space="preserve">D-1474    </t>
  </si>
  <si>
    <t xml:space="preserve">D-1475    </t>
  </si>
  <si>
    <t xml:space="preserve">D-1476    </t>
  </si>
  <si>
    <t xml:space="preserve">D-1477    </t>
  </si>
  <si>
    <t xml:space="preserve">D-1478    </t>
  </si>
  <si>
    <t xml:space="preserve">D-1479    </t>
  </si>
  <si>
    <t xml:space="preserve">D-1480    </t>
  </si>
  <si>
    <t xml:space="preserve">D-1481    </t>
  </si>
  <si>
    <t xml:space="preserve">D-1482    </t>
  </si>
  <si>
    <t xml:space="preserve">D-1483    </t>
  </si>
  <si>
    <t xml:space="preserve">D-1484    </t>
  </si>
  <si>
    <t xml:space="preserve">D-1485    </t>
  </si>
  <si>
    <t xml:space="preserve">D-1486    </t>
  </si>
  <si>
    <t xml:space="preserve">D-1487    </t>
  </si>
  <si>
    <t xml:space="preserve">D-1488    </t>
  </si>
  <si>
    <t xml:space="preserve">D-1489    </t>
  </si>
  <si>
    <t xml:space="preserve">D-1490    </t>
  </si>
  <si>
    <t xml:space="preserve">D-1491    </t>
  </si>
  <si>
    <t xml:space="preserve">D-1492    </t>
  </si>
  <si>
    <t xml:space="preserve">D-1493    </t>
  </si>
  <si>
    <t xml:space="preserve">D-1494    </t>
  </si>
  <si>
    <t xml:space="preserve">D-1495    </t>
  </si>
  <si>
    <t xml:space="preserve">D-1496    </t>
  </si>
  <si>
    <t xml:space="preserve">D-1497    </t>
  </si>
  <si>
    <t xml:space="preserve">D-1498    </t>
  </si>
  <si>
    <t xml:space="preserve">D-1499    </t>
  </si>
  <si>
    <t xml:space="preserve">D-1500    </t>
  </si>
  <si>
    <t xml:space="preserve">D-1501    </t>
  </si>
  <si>
    <t xml:space="preserve">D-1502    </t>
  </si>
  <si>
    <t xml:space="preserve">D-1503    </t>
  </si>
  <si>
    <t xml:space="preserve">D-1504    </t>
  </si>
  <si>
    <t xml:space="preserve">D-1505    </t>
  </si>
  <si>
    <t xml:space="preserve">D-1506    </t>
  </si>
  <si>
    <t xml:space="preserve">D-1507    </t>
  </si>
  <si>
    <t xml:space="preserve">D-1508    </t>
  </si>
  <si>
    <t xml:space="preserve">D-1509    </t>
  </si>
  <si>
    <t xml:space="preserve">D-1510    </t>
  </si>
  <si>
    <t xml:space="preserve">D-1511    </t>
  </si>
  <si>
    <t xml:space="preserve">D-1512    </t>
  </si>
  <si>
    <t xml:space="preserve">D-1513    </t>
  </si>
  <si>
    <t xml:space="preserve">D-1514    </t>
  </si>
  <si>
    <t xml:space="preserve">D-1515    </t>
  </si>
  <si>
    <t xml:space="preserve">D-1516    </t>
  </si>
  <si>
    <t xml:space="preserve">D-1517    </t>
  </si>
  <si>
    <t xml:space="preserve">D-1518    </t>
  </si>
  <si>
    <t xml:space="preserve">D-1519    </t>
  </si>
  <si>
    <t xml:space="preserve">D-1520    </t>
  </si>
  <si>
    <t xml:space="preserve">D-1521    </t>
  </si>
  <si>
    <t xml:space="preserve">D-1522    </t>
  </si>
  <si>
    <t xml:space="preserve">D-1523    </t>
  </si>
  <si>
    <t>21/02/2017 22/02/2017</t>
  </si>
  <si>
    <t xml:space="preserve">D-1524    </t>
  </si>
  <si>
    <t xml:space="preserve">D-1525    </t>
  </si>
  <si>
    <t>20/02/2017 21/02/2017</t>
  </si>
  <si>
    <t xml:space="preserve">D-1526    </t>
  </si>
  <si>
    <t xml:space="preserve">D-1527    </t>
  </si>
  <si>
    <t xml:space="preserve">D-1528    </t>
  </si>
  <si>
    <t xml:space="preserve">D-1529    </t>
  </si>
  <si>
    <t xml:space="preserve">D-1530    </t>
  </si>
  <si>
    <t xml:space="preserve">D-1531    </t>
  </si>
  <si>
    <t>21/02/2017 22/02/2017 23/02/2017</t>
  </si>
  <si>
    <t xml:space="preserve">D-1532    </t>
  </si>
  <si>
    <t xml:space="preserve">D-1533    </t>
  </si>
  <si>
    <t xml:space="preserve">D-1534    </t>
  </si>
  <si>
    <t xml:space="preserve">D-1535    </t>
  </si>
  <si>
    <t xml:space="preserve">D-1536    </t>
  </si>
  <si>
    <t xml:space="preserve">D-1537    </t>
  </si>
  <si>
    <t xml:space="preserve">D-1538    </t>
  </si>
  <si>
    <t xml:space="preserve">D-1539    </t>
  </si>
  <si>
    <t xml:space="preserve">D-1540    </t>
  </si>
  <si>
    <t xml:space="preserve">D-1541    </t>
  </si>
  <si>
    <t xml:space="preserve">D-1542    </t>
  </si>
  <si>
    <t xml:space="preserve">D-1543    </t>
  </si>
  <si>
    <t xml:space="preserve">D-1544    </t>
  </si>
  <si>
    <t xml:space="preserve">D-1545    </t>
  </si>
  <si>
    <t xml:space="preserve">D-1546    </t>
  </si>
  <si>
    <t xml:space="preserve">D-1547    </t>
  </si>
  <si>
    <t xml:space="preserve">D-1548    </t>
  </si>
  <si>
    <t xml:space="preserve">D-1549    </t>
  </si>
  <si>
    <t xml:space="preserve">D-1550    </t>
  </si>
  <si>
    <t xml:space="preserve">D-1551    </t>
  </si>
  <si>
    <t xml:space="preserve">D-1552    </t>
  </si>
  <si>
    <t xml:space="preserve">D-1553    </t>
  </si>
  <si>
    <t xml:space="preserve">D-1554    </t>
  </si>
  <si>
    <t xml:space="preserve">D-1555    </t>
  </si>
  <si>
    <t xml:space="preserve">D-1556    </t>
  </si>
  <si>
    <t xml:space="preserve">D-1557    </t>
  </si>
  <si>
    <t xml:space="preserve">D-1558    </t>
  </si>
  <si>
    <t xml:space="preserve">D-1559    </t>
  </si>
  <si>
    <t xml:space="preserve">D-1560    </t>
  </si>
  <si>
    <t xml:space="preserve">D-1561    </t>
  </si>
  <si>
    <t xml:space="preserve">D-1562    </t>
  </si>
  <si>
    <t xml:space="preserve">D-1563    </t>
  </si>
  <si>
    <t xml:space="preserve">D-1564    </t>
  </si>
  <si>
    <t xml:space="preserve">D-1565    </t>
  </si>
  <si>
    <t xml:space="preserve">D-1566    </t>
  </si>
  <si>
    <t xml:space="preserve">D-1567    </t>
  </si>
  <si>
    <t xml:space="preserve">D-1568    </t>
  </si>
  <si>
    <t xml:space="preserve">D-1569    </t>
  </si>
  <si>
    <t xml:space="preserve">D-1570    </t>
  </si>
  <si>
    <t xml:space="preserve">D-1571    </t>
  </si>
  <si>
    <t xml:space="preserve">D-1572    </t>
  </si>
  <si>
    <t xml:space="preserve">D-1573    </t>
  </si>
  <si>
    <t xml:space="preserve">D-1574    </t>
  </si>
  <si>
    <t xml:space="preserve">D-1575    </t>
  </si>
  <si>
    <t xml:space="preserve">D-1576    </t>
  </si>
  <si>
    <t xml:space="preserve">D-1577    </t>
  </si>
  <si>
    <t xml:space="preserve">D-1578    </t>
  </si>
  <si>
    <t xml:space="preserve">D-1579    </t>
  </si>
  <si>
    <t xml:space="preserve">D-1580    </t>
  </si>
  <si>
    <t xml:space="preserve">D-1581    </t>
  </si>
  <si>
    <t xml:space="preserve">D-1582    </t>
  </si>
  <si>
    <t xml:space="preserve">D-1583    </t>
  </si>
  <si>
    <t xml:space="preserve">D-1584    </t>
  </si>
  <si>
    <t xml:space="preserve">D-1585    </t>
  </si>
  <si>
    <t xml:space="preserve">D-1586    </t>
  </si>
  <si>
    <t xml:space="preserve">D-1587    </t>
  </si>
  <si>
    <t xml:space="preserve">D-1588    </t>
  </si>
  <si>
    <t xml:space="preserve">D-1589    </t>
  </si>
  <si>
    <t xml:space="preserve">D-1590    </t>
  </si>
  <si>
    <t xml:space="preserve">D-1591    </t>
  </si>
  <si>
    <t xml:space="preserve">D-1592    </t>
  </si>
  <si>
    <t xml:space="preserve">D-1593    </t>
  </si>
  <si>
    <t xml:space="preserve">D-1594    </t>
  </si>
  <si>
    <t>18/02/2017 21/02/2017</t>
  </si>
  <si>
    <t xml:space="preserve">D-1595    </t>
  </si>
  <si>
    <t xml:space="preserve">D-1596    </t>
  </si>
  <si>
    <t xml:space="preserve">D-1597    </t>
  </si>
  <si>
    <t xml:space="preserve">D-1598    </t>
  </si>
  <si>
    <t xml:space="preserve">D-1599    </t>
  </si>
  <si>
    <t xml:space="preserve">D-1600    </t>
  </si>
  <si>
    <t xml:space="preserve">D-1601    </t>
  </si>
  <si>
    <t xml:space="preserve">D-1602    </t>
  </si>
  <si>
    <t xml:space="preserve">D-1603    </t>
  </si>
  <si>
    <t xml:space="preserve">D-1604    </t>
  </si>
  <si>
    <t xml:space="preserve">D-1605    </t>
  </si>
  <si>
    <t xml:space="preserve">D-1606    </t>
  </si>
  <si>
    <t xml:space="preserve">D-1607    </t>
  </si>
  <si>
    <t xml:space="preserve">D-1608    </t>
  </si>
  <si>
    <t xml:space="preserve">D-1609    </t>
  </si>
  <si>
    <t xml:space="preserve">D-1610    </t>
  </si>
  <si>
    <t xml:space="preserve">D-1611    </t>
  </si>
  <si>
    <t xml:space="preserve">D-1612    </t>
  </si>
  <si>
    <t xml:space="preserve">D-1613    </t>
  </si>
  <si>
    <t xml:space="preserve">D-1614    </t>
  </si>
  <si>
    <t xml:space="preserve">D-1615    </t>
  </si>
  <si>
    <t xml:space="preserve">D-1616    </t>
  </si>
  <si>
    <t xml:space="preserve">D-1617    </t>
  </si>
  <si>
    <t xml:space="preserve">D-1618    </t>
  </si>
  <si>
    <t xml:space="preserve">D-1619    </t>
  </si>
  <si>
    <t xml:space="preserve">D-1620    </t>
  </si>
  <si>
    <t xml:space="preserve">D-1621    </t>
  </si>
  <si>
    <t xml:space="preserve">D-1622    </t>
  </si>
  <si>
    <t xml:space="preserve">D-1623    </t>
  </si>
  <si>
    <t xml:space="preserve">D-1624    </t>
  </si>
  <si>
    <t xml:space="preserve">D-1625    </t>
  </si>
  <si>
    <t xml:space="preserve">D-1626    </t>
  </si>
  <si>
    <t xml:space="preserve">D-1627    </t>
  </si>
  <si>
    <t xml:space="preserve">D-1628    </t>
  </si>
  <si>
    <t xml:space="preserve">D-1629    </t>
  </si>
  <si>
    <t xml:space="preserve">D-1630    </t>
  </si>
  <si>
    <t xml:space="preserve">D-1631    </t>
  </si>
  <si>
    <t xml:space="preserve">D-1632    </t>
  </si>
  <si>
    <t xml:space="preserve">D-1633    </t>
  </si>
  <si>
    <t xml:space="preserve">D-1634    </t>
  </si>
  <si>
    <t xml:space="preserve">D-1635    </t>
  </si>
  <si>
    <t xml:space="preserve">D-1636    </t>
  </si>
  <si>
    <t xml:space="preserve">D-1637    </t>
  </si>
  <si>
    <t xml:space="preserve">D-1638    </t>
  </si>
  <si>
    <t xml:space="preserve">D-1639    </t>
  </si>
  <si>
    <t xml:space="preserve">D-1640    </t>
  </si>
  <si>
    <t xml:space="preserve">D-1641    </t>
  </si>
  <si>
    <t xml:space="preserve">D-1642    </t>
  </si>
  <si>
    <t xml:space="preserve">D-1643    </t>
  </si>
  <si>
    <t xml:space="preserve">D-1644    </t>
  </si>
  <si>
    <t xml:space="preserve">D-1645    </t>
  </si>
  <si>
    <t xml:space="preserve">D-1646    </t>
  </si>
  <si>
    <t xml:space="preserve">D-1647    </t>
  </si>
  <si>
    <t xml:space="preserve">D-1648    </t>
  </si>
  <si>
    <t xml:space="preserve">D-1649    </t>
  </si>
  <si>
    <t xml:space="preserve">D-1650    </t>
  </si>
  <si>
    <t xml:space="preserve">D-1651    </t>
  </si>
  <si>
    <t xml:space="preserve">D-1652    </t>
  </si>
  <si>
    <t xml:space="preserve">D-1653    </t>
  </si>
  <si>
    <t xml:space="preserve">D-1654    </t>
  </si>
  <si>
    <t xml:space="preserve">D-1655    </t>
  </si>
  <si>
    <t xml:space="preserve">D-1656    </t>
  </si>
  <si>
    <t xml:space="preserve">D-1657    </t>
  </si>
  <si>
    <t xml:space="preserve">D-1658    </t>
  </si>
  <si>
    <t xml:space="preserve">D-1659    </t>
  </si>
  <si>
    <t xml:space="preserve">D-1660    </t>
  </si>
  <si>
    <t xml:space="preserve">D-1661    </t>
  </si>
  <si>
    <t xml:space="preserve">D-1662    </t>
  </si>
  <si>
    <t xml:space="preserve">D-1663    </t>
  </si>
  <si>
    <t xml:space="preserve">D-1664    </t>
  </si>
  <si>
    <t xml:space="preserve">D-1665    </t>
  </si>
  <si>
    <t xml:space="preserve">D-1666    </t>
  </si>
  <si>
    <t xml:space="preserve">D-1667    </t>
  </si>
  <si>
    <t xml:space="preserve">D-1668    </t>
  </si>
  <si>
    <t xml:space="preserve">D-1669    </t>
  </si>
  <si>
    <t xml:space="preserve">D-1670    </t>
  </si>
  <si>
    <t xml:space="preserve">D-1671    </t>
  </si>
  <si>
    <t xml:space="preserve">D-1672    </t>
  </si>
  <si>
    <t xml:space="preserve">(66)MICHOACANA (ELIAS)                                                    </t>
  </si>
  <si>
    <t xml:space="preserve">D-1673    </t>
  </si>
  <si>
    <t xml:space="preserve">D-1674    </t>
  </si>
  <si>
    <t xml:space="preserve">D-1675    </t>
  </si>
  <si>
    <t xml:space="preserve">D-1676    </t>
  </si>
  <si>
    <t xml:space="preserve">D-1677    </t>
  </si>
  <si>
    <t xml:space="preserve">D-1678    </t>
  </si>
  <si>
    <t xml:space="preserve">D-1679    </t>
  </si>
  <si>
    <t xml:space="preserve">D-1680    </t>
  </si>
  <si>
    <t xml:space="preserve">D-1681    </t>
  </si>
  <si>
    <t xml:space="preserve">D-1682    </t>
  </si>
  <si>
    <t xml:space="preserve">D-1683    </t>
  </si>
  <si>
    <t xml:space="preserve">D-1684    </t>
  </si>
  <si>
    <t xml:space="preserve">D-1685    </t>
  </si>
  <si>
    <t xml:space="preserve">D-1686    </t>
  </si>
  <si>
    <t xml:space="preserve">D-1687    </t>
  </si>
  <si>
    <t xml:space="preserve">D-1688    </t>
  </si>
  <si>
    <t xml:space="preserve">D-1689    </t>
  </si>
  <si>
    <t xml:space="preserve">D-1690    </t>
  </si>
  <si>
    <t xml:space="preserve">D-1691    </t>
  </si>
  <si>
    <t xml:space="preserve">D-1692    </t>
  </si>
  <si>
    <t xml:space="preserve">D-1693    </t>
  </si>
  <si>
    <t xml:space="preserve">D-1694    </t>
  </si>
  <si>
    <t xml:space="preserve">D-1695    </t>
  </si>
  <si>
    <t xml:space="preserve">D-1696    </t>
  </si>
  <si>
    <t xml:space="preserve">D-1697    </t>
  </si>
  <si>
    <t xml:space="preserve">D-1698    </t>
  </si>
  <si>
    <t xml:space="preserve">D-1699    </t>
  </si>
  <si>
    <t xml:space="preserve">D-1700    </t>
  </si>
  <si>
    <t xml:space="preserve">D-1701    </t>
  </si>
  <si>
    <t xml:space="preserve">D-1702    </t>
  </si>
  <si>
    <t xml:space="preserve">D-1703    </t>
  </si>
  <si>
    <t xml:space="preserve">D-1704    </t>
  </si>
  <si>
    <t xml:space="preserve">D-1705    </t>
  </si>
  <si>
    <t xml:space="preserve">D-1706    </t>
  </si>
  <si>
    <t xml:space="preserve">D-1707    </t>
  </si>
  <si>
    <t xml:space="preserve">D-1708    </t>
  </si>
  <si>
    <t xml:space="preserve">D-1709    </t>
  </si>
  <si>
    <t xml:space="preserve">D-1710    </t>
  </si>
  <si>
    <t xml:space="preserve">D-1711    </t>
  </si>
  <si>
    <t xml:space="preserve">D-1712    </t>
  </si>
  <si>
    <t xml:space="preserve">D-1713    </t>
  </si>
  <si>
    <t xml:space="preserve">D-1714    </t>
  </si>
  <si>
    <t xml:space="preserve">D-1715    </t>
  </si>
  <si>
    <t xml:space="preserve">D-1716    </t>
  </si>
  <si>
    <t xml:space="preserve">D-1717    </t>
  </si>
  <si>
    <t xml:space="preserve">D-1718    </t>
  </si>
  <si>
    <t xml:space="preserve">D-1719    </t>
  </si>
  <si>
    <t xml:space="preserve">D-1720    </t>
  </si>
  <si>
    <t xml:space="preserve">D-1721    </t>
  </si>
  <si>
    <t xml:space="preserve">D-1722    </t>
  </si>
  <si>
    <t>22/02/2017 25/02/2017</t>
  </si>
  <si>
    <t xml:space="preserve">D-1723    </t>
  </si>
  <si>
    <t xml:space="preserve">D-1724    </t>
  </si>
  <si>
    <t>23/02/2017  24/02/2017</t>
  </si>
  <si>
    <t xml:space="preserve">D-1725    </t>
  </si>
  <si>
    <t xml:space="preserve">D-1726    </t>
  </si>
  <si>
    <t xml:space="preserve">D-1727    </t>
  </si>
  <si>
    <t xml:space="preserve">D-1728    </t>
  </si>
  <si>
    <t xml:space="preserve">D-1729    </t>
  </si>
  <si>
    <t xml:space="preserve">D-1730    </t>
  </si>
  <si>
    <t xml:space="preserve">D-1731    </t>
  </si>
  <si>
    <t xml:space="preserve">D-1732    </t>
  </si>
  <si>
    <t xml:space="preserve">D-1733    </t>
  </si>
  <si>
    <t xml:space="preserve">D-1734    </t>
  </si>
  <si>
    <t xml:space="preserve">D-1735    </t>
  </si>
  <si>
    <t xml:space="preserve">D-1736    </t>
  </si>
  <si>
    <t xml:space="preserve">D-1737    </t>
  </si>
  <si>
    <t xml:space="preserve">D-1738    </t>
  </si>
  <si>
    <t xml:space="preserve">D-1739    </t>
  </si>
  <si>
    <t xml:space="preserve">D-1740    </t>
  </si>
  <si>
    <t xml:space="preserve">D-1741    </t>
  </si>
  <si>
    <t xml:space="preserve">D-1742    </t>
  </si>
  <si>
    <t xml:space="preserve">D-1743    </t>
  </si>
  <si>
    <t xml:space="preserve">D-1744    </t>
  </si>
  <si>
    <t xml:space="preserve">D-1745    </t>
  </si>
  <si>
    <t xml:space="preserve">D-1746    </t>
  </si>
  <si>
    <t xml:space="preserve">D-1747    </t>
  </si>
  <si>
    <t xml:space="preserve">D-1748    </t>
  </si>
  <si>
    <t xml:space="preserve">D-1749    </t>
  </si>
  <si>
    <t xml:space="preserve">D-1750    </t>
  </si>
  <si>
    <t xml:space="preserve">D-1751    </t>
  </si>
  <si>
    <t xml:space="preserve">D-1752    </t>
  </si>
  <si>
    <t xml:space="preserve">D-1753    </t>
  </si>
  <si>
    <t xml:space="preserve">D-1754    </t>
  </si>
  <si>
    <t xml:space="preserve">D-1755    </t>
  </si>
  <si>
    <t xml:space="preserve">D-1756    </t>
  </si>
  <si>
    <t xml:space="preserve">D-1757    </t>
  </si>
  <si>
    <t xml:space="preserve">D-1758    </t>
  </si>
  <si>
    <t xml:space="preserve">D-1759    </t>
  </si>
  <si>
    <t xml:space="preserve">D-1760    </t>
  </si>
  <si>
    <t xml:space="preserve">D-1761    </t>
  </si>
  <si>
    <t xml:space="preserve">D-1762    </t>
  </si>
  <si>
    <t xml:space="preserve">D-1763    </t>
  </si>
  <si>
    <t xml:space="preserve">D-1764    </t>
  </si>
  <si>
    <t xml:space="preserve">D-1765    </t>
  </si>
  <si>
    <t xml:space="preserve">D-1766    </t>
  </si>
  <si>
    <t xml:space="preserve">D-1767    </t>
  </si>
  <si>
    <t xml:space="preserve">D-1768    </t>
  </si>
  <si>
    <t xml:space="preserve">D-1769    </t>
  </si>
  <si>
    <t xml:space="preserve">D-1770    </t>
  </si>
  <si>
    <t xml:space="preserve">D-1771    </t>
  </si>
  <si>
    <t xml:space="preserve">D-1772    </t>
  </si>
  <si>
    <t xml:space="preserve">D-1773    </t>
  </si>
  <si>
    <t xml:space="preserve">D-1774    </t>
  </si>
  <si>
    <t xml:space="preserve">D-1775    </t>
  </si>
  <si>
    <t xml:space="preserve">D-1776    </t>
  </si>
  <si>
    <t xml:space="preserve">D-1777    </t>
  </si>
  <si>
    <t xml:space="preserve">D-1778    </t>
  </si>
  <si>
    <t xml:space="preserve">D-1779    </t>
  </si>
  <si>
    <t xml:space="preserve">D-1780    </t>
  </si>
  <si>
    <t xml:space="preserve">D-1781    </t>
  </si>
  <si>
    <t xml:space="preserve">D-1782    </t>
  </si>
  <si>
    <t xml:space="preserve">D-1783    </t>
  </si>
  <si>
    <t>22/02/2017 24/02/2017</t>
  </si>
  <si>
    <t xml:space="preserve">D-1784    </t>
  </si>
  <si>
    <t xml:space="preserve">D-1785    </t>
  </si>
  <si>
    <t xml:space="preserve">D-1786    </t>
  </si>
  <si>
    <t xml:space="preserve">D-1787    </t>
  </si>
  <si>
    <t xml:space="preserve">D-1788    </t>
  </si>
  <si>
    <t xml:space="preserve">D-1789    </t>
  </si>
  <si>
    <t xml:space="preserve">D-1790    </t>
  </si>
  <si>
    <t xml:space="preserve">D-1791    </t>
  </si>
  <si>
    <t xml:space="preserve">D-1792    </t>
  </si>
  <si>
    <t xml:space="preserve">D-1793    </t>
  </si>
  <si>
    <t xml:space="preserve">D-1794    </t>
  </si>
  <si>
    <t xml:space="preserve">D-1795    </t>
  </si>
  <si>
    <t xml:space="preserve">D-1796    </t>
  </si>
  <si>
    <t xml:space="preserve">D-1797    </t>
  </si>
  <si>
    <t>21/02/2017 23/02/2017</t>
  </si>
  <si>
    <t xml:space="preserve">D-1798    </t>
  </si>
  <si>
    <t xml:space="preserve">D-1799    </t>
  </si>
  <si>
    <t xml:space="preserve">D-1800    </t>
  </si>
  <si>
    <t xml:space="preserve">D-1801    </t>
  </si>
  <si>
    <t xml:space="preserve">D-1802    </t>
  </si>
  <si>
    <t xml:space="preserve">D-1803    </t>
  </si>
  <si>
    <t xml:space="preserve">D-1804    </t>
  </si>
  <si>
    <t xml:space="preserve">D-1805    </t>
  </si>
  <si>
    <t xml:space="preserve">D-1806    </t>
  </si>
  <si>
    <t xml:space="preserve">D-1807    </t>
  </si>
  <si>
    <t xml:space="preserve">D-1808    </t>
  </si>
  <si>
    <t xml:space="preserve">D-1809    </t>
  </si>
  <si>
    <t xml:space="preserve">D-1810    </t>
  </si>
  <si>
    <t xml:space="preserve">D-1811    </t>
  </si>
  <si>
    <t xml:space="preserve">D-1812    </t>
  </si>
  <si>
    <t xml:space="preserve">D-1813    </t>
  </si>
  <si>
    <t xml:space="preserve">D-1814    </t>
  </si>
  <si>
    <t xml:space="preserve">D-1815    </t>
  </si>
  <si>
    <t xml:space="preserve">D-1816    </t>
  </si>
  <si>
    <t xml:space="preserve">D-1817    </t>
  </si>
  <si>
    <t xml:space="preserve">D-1818    </t>
  </si>
  <si>
    <t xml:space="preserve">D-1819    </t>
  </si>
  <si>
    <t xml:space="preserve">D-1820    </t>
  </si>
  <si>
    <t xml:space="preserve">D-1821    </t>
  </si>
  <si>
    <t xml:space="preserve">D-1822    </t>
  </si>
  <si>
    <t xml:space="preserve">D-1823    </t>
  </si>
  <si>
    <t xml:space="preserve">D-1824    </t>
  </si>
  <si>
    <t xml:space="preserve">D-1825    </t>
  </si>
  <si>
    <t xml:space="preserve">D-1826    </t>
  </si>
  <si>
    <t xml:space="preserve">D-1827    </t>
  </si>
  <si>
    <t xml:space="preserve">D-1828    </t>
  </si>
  <si>
    <t xml:space="preserve">D-1829    </t>
  </si>
  <si>
    <t xml:space="preserve">D-1830    </t>
  </si>
  <si>
    <t xml:space="preserve">D-1831    </t>
  </si>
  <si>
    <t xml:space="preserve">D-1832    </t>
  </si>
  <si>
    <t xml:space="preserve">D-1833    </t>
  </si>
  <si>
    <t xml:space="preserve">D-1834    </t>
  </si>
  <si>
    <t xml:space="preserve">D-1835    </t>
  </si>
  <si>
    <t xml:space="preserve">D-1836    </t>
  </si>
  <si>
    <t xml:space="preserve">D-1837    </t>
  </si>
  <si>
    <t xml:space="preserve">D-1838    </t>
  </si>
  <si>
    <t xml:space="preserve">D-1839    </t>
  </si>
  <si>
    <t xml:space="preserve">D-1840    </t>
  </si>
  <si>
    <t xml:space="preserve">D-1841    </t>
  </si>
  <si>
    <t xml:space="preserve">D-1842    </t>
  </si>
  <si>
    <t xml:space="preserve">D-1843    </t>
  </si>
  <si>
    <t xml:space="preserve">D-1844    </t>
  </si>
  <si>
    <t xml:space="preserve">D-1845    </t>
  </si>
  <si>
    <t xml:space="preserve">D-1846    </t>
  </si>
  <si>
    <t xml:space="preserve">D-1847    </t>
  </si>
  <si>
    <t xml:space="preserve">D-1848    </t>
  </si>
  <si>
    <t xml:space="preserve">D-1849    </t>
  </si>
  <si>
    <t xml:space="preserve">D-1850    </t>
  </si>
  <si>
    <t xml:space="preserve">D-1851    </t>
  </si>
  <si>
    <t xml:space="preserve">D-1852    </t>
  </si>
  <si>
    <t xml:space="preserve">D-1853    </t>
  </si>
  <si>
    <t xml:space="preserve">D-1854    </t>
  </si>
  <si>
    <t xml:space="preserve">D-1855    </t>
  </si>
  <si>
    <t xml:space="preserve">D-1856    </t>
  </si>
  <si>
    <t xml:space="preserve">D-1857    </t>
  </si>
  <si>
    <t xml:space="preserve">D-1858    </t>
  </si>
  <si>
    <t xml:space="preserve">D-1859    </t>
  </si>
  <si>
    <t xml:space="preserve">D-1860    </t>
  </si>
  <si>
    <t xml:space="preserve">D-1861    </t>
  </si>
  <si>
    <t xml:space="preserve">D-1862    </t>
  </si>
  <si>
    <t xml:space="preserve">D-1863    </t>
  </si>
  <si>
    <t xml:space="preserve">D-1864    </t>
  </si>
  <si>
    <t xml:space="preserve">D-1865    </t>
  </si>
  <si>
    <t xml:space="preserve">D-1866    </t>
  </si>
  <si>
    <t xml:space="preserve">D-1867    </t>
  </si>
  <si>
    <t xml:space="preserve">D-1868    </t>
  </si>
  <si>
    <t xml:space="preserve">D-1869    </t>
  </si>
  <si>
    <t xml:space="preserve">D-1870    </t>
  </si>
  <si>
    <t xml:space="preserve">D-1871    </t>
  </si>
  <si>
    <t xml:space="preserve">D-1872    </t>
  </si>
  <si>
    <t xml:space="preserve">D-1873    </t>
  </si>
  <si>
    <t xml:space="preserve">D-1874    </t>
  </si>
  <si>
    <t xml:space="preserve">D-1875    </t>
  </si>
  <si>
    <t xml:space="preserve">D-1876    </t>
  </si>
  <si>
    <t xml:space="preserve">D-1877    </t>
  </si>
  <si>
    <t xml:space="preserve">D-1878    </t>
  </si>
  <si>
    <t xml:space="preserve">D-1879    </t>
  </si>
  <si>
    <t xml:space="preserve">D-1880    </t>
  </si>
  <si>
    <t xml:space="preserve">D-1881    </t>
  </si>
  <si>
    <t xml:space="preserve">D-1882    </t>
  </si>
  <si>
    <t xml:space="preserve">D-1883    </t>
  </si>
  <si>
    <t xml:space="preserve">D-1884    </t>
  </si>
  <si>
    <t xml:space="preserve">D-1885    </t>
  </si>
  <si>
    <t xml:space="preserve">D-1886    </t>
  </si>
  <si>
    <t xml:space="preserve">D-1887    </t>
  </si>
  <si>
    <t xml:space="preserve">D-1888    </t>
  </si>
  <si>
    <t xml:space="preserve">D-1889    </t>
  </si>
  <si>
    <t xml:space="preserve">D-1890    </t>
  </si>
  <si>
    <t xml:space="preserve">D-1891    </t>
  </si>
  <si>
    <t xml:space="preserve">D-1892    </t>
  </si>
  <si>
    <t xml:space="preserve">D-1893    </t>
  </si>
  <si>
    <t xml:space="preserve">D-1894    </t>
  </si>
  <si>
    <t xml:space="preserve">D-1895    </t>
  </si>
  <si>
    <t xml:space="preserve">D-1896    </t>
  </si>
  <si>
    <t xml:space="preserve">D-1897    </t>
  </si>
  <si>
    <t xml:space="preserve">D-1898    </t>
  </si>
  <si>
    <t xml:space="preserve">D-1899    </t>
  </si>
  <si>
    <t xml:space="preserve">D-1900    </t>
  </si>
  <si>
    <t xml:space="preserve">D-1901    </t>
  </si>
  <si>
    <t xml:space="preserve">D-1902    </t>
  </si>
  <si>
    <t xml:space="preserve">D-1903    </t>
  </si>
  <si>
    <t xml:space="preserve">D-1904    </t>
  </si>
  <si>
    <t xml:space="preserve">D-1905    </t>
  </si>
  <si>
    <t xml:space="preserve">D-1906    </t>
  </si>
  <si>
    <t xml:space="preserve">D-1907    </t>
  </si>
  <si>
    <t xml:space="preserve">D-1908    </t>
  </si>
  <si>
    <t xml:space="preserve">D-1909    </t>
  </si>
  <si>
    <t xml:space="preserve">D-1910    </t>
  </si>
  <si>
    <t xml:space="preserve">D-1911    </t>
  </si>
  <si>
    <t xml:space="preserve">D-1912    </t>
  </si>
  <si>
    <t xml:space="preserve">D-1913    </t>
  </si>
  <si>
    <t xml:space="preserve">D-1914    </t>
  </si>
  <si>
    <t xml:space="preserve">D-1915    </t>
  </si>
  <si>
    <t xml:space="preserve">D-1916    </t>
  </si>
  <si>
    <t xml:space="preserve">D-1917    </t>
  </si>
  <si>
    <t xml:space="preserve">D-1918    </t>
  </si>
  <si>
    <t xml:space="preserve">D-1919    </t>
  </si>
  <si>
    <t xml:space="preserve">D-1920    </t>
  </si>
  <si>
    <t xml:space="preserve">D-1921    </t>
  </si>
  <si>
    <t xml:space="preserve">D-1922    </t>
  </si>
  <si>
    <t xml:space="preserve">D-1923    </t>
  </si>
  <si>
    <t xml:space="preserve">D-1924    </t>
  </si>
  <si>
    <t xml:space="preserve">D-1925    </t>
  </si>
  <si>
    <t xml:space="preserve">D-1926    </t>
  </si>
  <si>
    <t xml:space="preserve">D-1927    </t>
  </si>
  <si>
    <t xml:space="preserve">D-1928    </t>
  </si>
  <si>
    <t xml:space="preserve">D-1929    </t>
  </si>
  <si>
    <t xml:space="preserve">D-1930    </t>
  </si>
  <si>
    <t xml:space="preserve">D-1931    </t>
  </si>
  <si>
    <t xml:space="preserve">D-1932    </t>
  </si>
  <si>
    <t xml:space="preserve">D-1933    </t>
  </si>
  <si>
    <t xml:space="preserve">D-1934    </t>
  </si>
  <si>
    <t xml:space="preserve">D-1935    </t>
  </si>
  <si>
    <t xml:space="preserve">D-1936    </t>
  </si>
  <si>
    <t>24/02/2017 25/02/2017</t>
  </si>
  <si>
    <t xml:space="preserve">D-1937    </t>
  </si>
  <si>
    <t xml:space="preserve">D-1938    </t>
  </si>
  <si>
    <t xml:space="preserve">D-1939    </t>
  </si>
  <si>
    <t xml:space="preserve">D-1940    </t>
  </si>
  <si>
    <t xml:space="preserve">D-1941    </t>
  </si>
  <si>
    <t xml:space="preserve">D-1942    </t>
  </si>
  <si>
    <t xml:space="preserve">D-1943    </t>
  </si>
  <si>
    <t xml:space="preserve">D-1944    </t>
  </si>
  <si>
    <t xml:space="preserve">D-1945    </t>
  </si>
  <si>
    <t xml:space="preserve">D-1946    </t>
  </si>
  <si>
    <t xml:space="preserve">D-1947    </t>
  </si>
  <si>
    <t xml:space="preserve">D-1948    </t>
  </si>
  <si>
    <t xml:space="preserve">D-1949    </t>
  </si>
  <si>
    <t xml:space="preserve">D-1950    </t>
  </si>
  <si>
    <t xml:space="preserve">D-1951    </t>
  </si>
  <si>
    <t xml:space="preserve">D-1952    </t>
  </si>
  <si>
    <t xml:space="preserve">D-1953    </t>
  </si>
  <si>
    <t xml:space="preserve">D-1954    </t>
  </si>
  <si>
    <t xml:space="preserve">D-1955    </t>
  </si>
  <si>
    <t xml:space="preserve">D-1956    </t>
  </si>
  <si>
    <t xml:space="preserve">D-1957    </t>
  </si>
  <si>
    <t xml:space="preserve">D-1958    </t>
  </si>
  <si>
    <t xml:space="preserve">D-1959    </t>
  </si>
  <si>
    <t xml:space="preserve">D-1960    </t>
  </si>
  <si>
    <t xml:space="preserve">D-1961    </t>
  </si>
  <si>
    <t xml:space="preserve">D-1962    </t>
  </si>
  <si>
    <t xml:space="preserve">D-1963    </t>
  </si>
  <si>
    <t xml:space="preserve">D-1964    </t>
  </si>
  <si>
    <t xml:space="preserve">D-1965    </t>
  </si>
  <si>
    <t xml:space="preserve">D-1966    </t>
  </si>
  <si>
    <t xml:space="preserve">D-1967    </t>
  </si>
  <si>
    <t xml:space="preserve">(614)MARTIN BAEZ                                                           </t>
  </si>
  <si>
    <t xml:space="preserve">D-1968    </t>
  </si>
  <si>
    <t xml:space="preserve">D-1969    </t>
  </si>
  <si>
    <t xml:space="preserve">D-1970    </t>
  </si>
  <si>
    <t xml:space="preserve">D-1971    </t>
  </si>
  <si>
    <t xml:space="preserve">D-1972    </t>
  </si>
  <si>
    <t xml:space="preserve">D-1973    </t>
  </si>
  <si>
    <t xml:space="preserve">D-1974    </t>
  </si>
  <si>
    <t xml:space="preserve">D-1975    </t>
  </si>
  <si>
    <t xml:space="preserve">D-1976    </t>
  </si>
  <si>
    <t xml:space="preserve">D-1977    </t>
  </si>
  <si>
    <t xml:space="preserve">D-1978    </t>
  </si>
  <si>
    <t xml:space="preserve">D-1979    </t>
  </si>
  <si>
    <t xml:space="preserve">D-1980    </t>
  </si>
  <si>
    <t xml:space="preserve">D-1981    </t>
  </si>
  <si>
    <t xml:space="preserve">D-1982    </t>
  </si>
  <si>
    <t xml:space="preserve">D-1983    </t>
  </si>
  <si>
    <t xml:space="preserve">D-1984    </t>
  </si>
  <si>
    <t xml:space="preserve">D-1985    </t>
  </si>
  <si>
    <t xml:space="preserve">D-1986    </t>
  </si>
  <si>
    <t>22/02/2017 23/02/2017</t>
  </si>
  <si>
    <t xml:space="preserve">D-1987    </t>
  </si>
  <si>
    <t xml:space="preserve">D-1988    </t>
  </si>
  <si>
    <t xml:space="preserve">D-1989    </t>
  </si>
  <si>
    <t xml:space="preserve">D-1990    </t>
  </si>
  <si>
    <t xml:space="preserve">D-1991    </t>
  </si>
  <si>
    <t xml:space="preserve">D-1992    </t>
  </si>
  <si>
    <t xml:space="preserve">D-1993    </t>
  </si>
  <si>
    <t xml:space="preserve">D-1994    </t>
  </si>
  <si>
    <t xml:space="preserve">D-1995    </t>
  </si>
  <si>
    <t xml:space="preserve">D-1996    </t>
  </si>
  <si>
    <t xml:space="preserve">D-1997    </t>
  </si>
  <si>
    <t xml:space="preserve">D-1998    </t>
  </si>
  <si>
    <t xml:space="preserve">D-1999    </t>
  </si>
  <si>
    <t xml:space="preserve">D-2000    </t>
  </si>
  <si>
    <t xml:space="preserve">D-2001    </t>
  </si>
  <si>
    <t xml:space="preserve">D-2002    </t>
  </si>
  <si>
    <t xml:space="preserve">D-2003    </t>
  </si>
  <si>
    <t xml:space="preserve">D-2004    </t>
  </si>
  <si>
    <t xml:space="preserve">D-2005    </t>
  </si>
  <si>
    <t xml:space="preserve">D-2006    </t>
  </si>
  <si>
    <t xml:space="preserve">D-2007    </t>
  </si>
  <si>
    <t xml:space="preserve">D-2008    </t>
  </si>
  <si>
    <t xml:space="preserve">D-2009    </t>
  </si>
  <si>
    <t xml:space="preserve">D-2010    </t>
  </si>
  <si>
    <t xml:space="preserve">D-2011    </t>
  </si>
  <si>
    <t xml:space="preserve">D-2012    </t>
  </si>
  <si>
    <t xml:space="preserve">D-2013    </t>
  </si>
  <si>
    <t xml:space="preserve">D-2014    </t>
  </si>
  <si>
    <t xml:space="preserve">(287)MARCO ANTONIO TECHALOTZI                                              </t>
  </si>
  <si>
    <t xml:space="preserve">D-2015    </t>
  </si>
  <si>
    <t xml:space="preserve">D-2016    </t>
  </si>
  <si>
    <t xml:space="preserve">D-2017    </t>
  </si>
  <si>
    <t xml:space="preserve">D-2018    </t>
  </si>
  <si>
    <t xml:space="preserve">D-2019    </t>
  </si>
  <si>
    <t xml:space="preserve">D-2020    </t>
  </si>
  <si>
    <t xml:space="preserve">D-2021    </t>
  </si>
  <si>
    <t xml:space="preserve">D-2022    </t>
  </si>
  <si>
    <t xml:space="preserve">D-2023    </t>
  </si>
  <si>
    <t xml:space="preserve">D-2024    </t>
  </si>
  <si>
    <t xml:space="preserve">D-2025    </t>
  </si>
  <si>
    <t xml:space="preserve">D-2026    </t>
  </si>
  <si>
    <t xml:space="preserve">D-2027    </t>
  </si>
  <si>
    <t xml:space="preserve">D-2028    </t>
  </si>
  <si>
    <t xml:space="preserve">D-2029    </t>
  </si>
  <si>
    <t xml:space="preserve">D-2030    </t>
  </si>
  <si>
    <t xml:space="preserve">D-2031    </t>
  </si>
  <si>
    <t xml:space="preserve">D-2032    </t>
  </si>
  <si>
    <t xml:space="preserve">D-2033    </t>
  </si>
  <si>
    <t xml:space="preserve">D-2034    </t>
  </si>
  <si>
    <t xml:space="preserve">D-2035    </t>
  </si>
  <si>
    <t xml:space="preserve">D-2036    </t>
  </si>
  <si>
    <t xml:space="preserve">D-2037    </t>
  </si>
  <si>
    <t xml:space="preserve">D-2038    </t>
  </si>
  <si>
    <t xml:space="preserve">D-2039    </t>
  </si>
  <si>
    <t xml:space="preserve">D-2040    </t>
  </si>
  <si>
    <t xml:space="preserve">D-2041    </t>
  </si>
  <si>
    <t xml:space="preserve">D-2042    </t>
  </si>
  <si>
    <t xml:space="preserve">D-2043    </t>
  </si>
  <si>
    <t xml:space="preserve">D-2044    </t>
  </si>
  <si>
    <t xml:space="preserve">D-2045    </t>
  </si>
  <si>
    <t xml:space="preserve">D-2046    </t>
  </si>
  <si>
    <t xml:space="preserve">D-2047    </t>
  </si>
  <si>
    <t xml:space="preserve">D-2048    </t>
  </si>
  <si>
    <t xml:space="preserve">D-2049    </t>
  </si>
  <si>
    <t xml:space="preserve">D-2050    </t>
  </si>
  <si>
    <t xml:space="preserve">D-2051    </t>
  </si>
  <si>
    <t xml:space="preserve">D-2052    </t>
  </si>
  <si>
    <t xml:space="preserve">D-2053    </t>
  </si>
  <si>
    <t xml:space="preserve">D-2054    </t>
  </si>
  <si>
    <t xml:space="preserve">D-2055    </t>
  </si>
  <si>
    <t xml:space="preserve">D-2056    </t>
  </si>
  <si>
    <t xml:space="preserve">D-2057    </t>
  </si>
  <si>
    <t xml:space="preserve">D-2058    </t>
  </si>
  <si>
    <t xml:space="preserve">D-2059    </t>
  </si>
  <si>
    <t xml:space="preserve">D-2060    </t>
  </si>
  <si>
    <t xml:space="preserve">D-2061    </t>
  </si>
  <si>
    <t xml:space="preserve">D-2062    </t>
  </si>
  <si>
    <t xml:space="preserve">D-2063    </t>
  </si>
  <si>
    <t xml:space="preserve">D-2064    </t>
  </si>
  <si>
    <t xml:space="preserve">D-2065    </t>
  </si>
  <si>
    <t xml:space="preserve">D-2066    </t>
  </si>
  <si>
    <t xml:space="preserve">D-2067    </t>
  </si>
  <si>
    <t xml:space="preserve">D-2068    </t>
  </si>
  <si>
    <t xml:space="preserve">D-2069    </t>
  </si>
  <si>
    <t xml:space="preserve">D-2070    </t>
  </si>
  <si>
    <t xml:space="preserve">D-2071    </t>
  </si>
  <si>
    <t xml:space="preserve">D-2072    </t>
  </si>
  <si>
    <t xml:space="preserve">D-2073    </t>
  </si>
  <si>
    <t xml:space="preserve">D-2074    </t>
  </si>
  <si>
    <t xml:space="preserve">D-2075    </t>
  </si>
  <si>
    <t xml:space="preserve">D-2076    </t>
  </si>
  <si>
    <t xml:space="preserve">D-2077    </t>
  </si>
  <si>
    <t xml:space="preserve">D-2078    </t>
  </si>
  <si>
    <t>25/02/2017 28/02/2017</t>
  </si>
  <si>
    <t xml:space="preserve">D-2079    </t>
  </si>
  <si>
    <t xml:space="preserve">D-2080    </t>
  </si>
  <si>
    <t xml:space="preserve">D-2081    </t>
  </si>
  <si>
    <t xml:space="preserve">D-2082    </t>
  </si>
  <si>
    <t xml:space="preserve">D-2083    </t>
  </si>
  <si>
    <t xml:space="preserve">D-2084    </t>
  </si>
  <si>
    <t xml:space="preserve">D-2085    </t>
  </si>
  <si>
    <t xml:space="preserve">D-2086    </t>
  </si>
  <si>
    <t xml:space="preserve">D-2087    </t>
  </si>
  <si>
    <t xml:space="preserve">D-2088    </t>
  </si>
  <si>
    <t xml:space="preserve">D-2089    </t>
  </si>
  <si>
    <t xml:space="preserve">D-2090    </t>
  </si>
  <si>
    <t xml:space="preserve">D-2091    </t>
  </si>
  <si>
    <t xml:space="preserve">D-2092    </t>
  </si>
  <si>
    <t xml:space="preserve">D-2093    </t>
  </si>
  <si>
    <t xml:space="preserve">D-2094    </t>
  </si>
  <si>
    <t xml:space="preserve">D-2095    </t>
  </si>
  <si>
    <t xml:space="preserve">D-2096    </t>
  </si>
  <si>
    <t xml:space="preserve">D-2097    </t>
  </si>
  <si>
    <t xml:space="preserve">D-2098    </t>
  </si>
  <si>
    <t xml:space="preserve">D-2099    </t>
  </si>
  <si>
    <t xml:space="preserve">D-2100    </t>
  </si>
  <si>
    <t xml:space="preserve">D-2101    </t>
  </si>
  <si>
    <t xml:space="preserve">D-2102    </t>
  </si>
  <si>
    <t xml:space="preserve">D-2103    </t>
  </si>
  <si>
    <t xml:space="preserve">D-2104    </t>
  </si>
  <si>
    <t xml:space="preserve">D-2105    </t>
  </si>
  <si>
    <t xml:space="preserve">D-2106    </t>
  </si>
  <si>
    <t xml:space="preserve">D-2107    </t>
  </si>
  <si>
    <t xml:space="preserve">D-2108    </t>
  </si>
  <si>
    <t xml:space="preserve">D-2109    </t>
  </si>
  <si>
    <t xml:space="preserve">D-2110    </t>
  </si>
  <si>
    <t xml:space="preserve">D-2111    </t>
  </si>
  <si>
    <t xml:space="preserve">D-2112    </t>
  </si>
  <si>
    <t xml:space="preserve">D-2113    </t>
  </si>
  <si>
    <t xml:space="preserve">D-2114    </t>
  </si>
  <si>
    <t xml:space="preserve">D-2115    </t>
  </si>
  <si>
    <t xml:space="preserve">D-2116    </t>
  </si>
  <si>
    <t xml:space="preserve">D-2117    </t>
  </si>
  <si>
    <t xml:space="preserve">D-2118    </t>
  </si>
  <si>
    <t xml:space="preserve">D-2119    </t>
  </si>
  <si>
    <t xml:space="preserve">D-2120    </t>
  </si>
  <si>
    <t xml:space="preserve">D-2121    </t>
  </si>
  <si>
    <t xml:space="preserve">D-2122    </t>
  </si>
  <si>
    <t xml:space="preserve">D-2123    </t>
  </si>
  <si>
    <t xml:space="preserve">D-2124    </t>
  </si>
  <si>
    <t xml:space="preserve">D-2125    </t>
  </si>
  <si>
    <t>25/02/2017 27/02/2017</t>
  </si>
  <si>
    <t xml:space="preserve">D-2126    </t>
  </si>
  <si>
    <t xml:space="preserve">D-2127    </t>
  </si>
  <si>
    <t xml:space="preserve">D-2128    </t>
  </si>
  <si>
    <t xml:space="preserve">D-2129    </t>
  </si>
  <si>
    <t xml:space="preserve">D-2130    </t>
  </si>
  <si>
    <t xml:space="preserve">D-2131    </t>
  </si>
  <si>
    <t xml:space="preserve">D-2132    </t>
  </si>
  <si>
    <t xml:space="preserve">D-2133    </t>
  </si>
  <si>
    <t>23/02/2017 24/02/2017</t>
  </si>
  <si>
    <t xml:space="preserve">D-2134    </t>
  </si>
  <si>
    <t xml:space="preserve">D-2135    </t>
  </si>
  <si>
    <t xml:space="preserve">D-2136    </t>
  </si>
  <si>
    <t xml:space="preserve">D-2137    </t>
  </si>
  <si>
    <t xml:space="preserve">D-2138    </t>
  </si>
  <si>
    <t xml:space="preserve">D-2139    </t>
  </si>
  <si>
    <t xml:space="preserve">D-2140    </t>
  </si>
  <si>
    <t xml:space="preserve">D-2141    </t>
  </si>
  <si>
    <t xml:space="preserve">D-2142    </t>
  </si>
  <si>
    <t xml:space="preserve">D-2143    </t>
  </si>
  <si>
    <t xml:space="preserve">D-2144    </t>
  </si>
  <si>
    <t xml:space="preserve">D-2145    </t>
  </si>
  <si>
    <t xml:space="preserve">D-2146    </t>
  </si>
  <si>
    <t xml:space="preserve">D-2147    </t>
  </si>
  <si>
    <t xml:space="preserve">D-2148    </t>
  </si>
  <si>
    <t xml:space="preserve">(426)CHINOS OCOTLAN                                                        </t>
  </si>
  <si>
    <t xml:space="preserve">D-2149    </t>
  </si>
  <si>
    <t xml:space="preserve">D-2150    </t>
  </si>
  <si>
    <t xml:space="preserve">D-2151    </t>
  </si>
  <si>
    <t xml:space="preserve">D-2152    </t>
  </si>
  <si>
    <t xml:space="preserve">D-2153    </t>
  </si>
  <si>
    <t xml:space="preserve">D-2154    </t>
  </si>
  <si>
    <t xml:space="preserve">D-2155    </t>
  </si>
  <si>
    <t xml:space="preserve">D-2156    </t>
  </si>
  <si>
    <t xml:space="preserve">D-2157    </t>
  </si>
  <si>
    <t xml:space="preserve">D-2158    </t>
  </si>
  <si>
    <t xml:space="preserve">D-2159    </t>
  </si>
  <si>
    <t xml:space="preserve">D-2160    </t>
  </si>
  <si>
    <t xml:space="preserve">D-2161    </t>
  </si>
  <si>
    <t xml:space="preserve">D-2162    </t>
  </si>
  <si>
    <t xml:space="preserve">D-2163    </t>
  </si>
  <si>
    <t xml:space="preserve">D-2164    </t>
  </si>
  <si>
    <t xml:space="preserve">D-2165    </t>
  </si>
  <si>
    <t xml:space="preserve">D-2166    </t>
  </si>
  <si>
    <t xml:space="preserve">D-2167    </t>
  </si>
  <si>
    <t xml:space="preserve">D-2168    </t>
  </si>
  <si>
    <t xml:space="preserve">D-2169    </t>
  </si>
  <si>
    <t xml:space="preserve">D-2170    </t>
  </si>
  <si>
    <t xml:space="preserve">D-2171    </t>
  </si>
  <si>
    <t xml:space="preserve">D-2172    </t>
  </si>
  <si>
    <t xml:space="preserve">D-2173    </t>
  </si>
  <si>
    <t xml:space="preserve">D-2174    </t>
  </si>
  <si>
    <t xml:space="preserve">D-2175    </t>
  </si>
  <si>
    <t xml:space="preserve">D-2176    </t>
  </si>
  <si>
    <t xml:space="preserve">D-2177    </t>
  </si>
  <si>
    <t xml:space="preserve">D-2178    </t>
  </si>
  <si>
    <t xml:space="preserve">D-2179    </t>
  </si>
  <si>
    <t xml:space="preserve">D-2180    </t>
  </si>
  <si>
    <t xml:space="preserve">D-2181    </t>
  </si>
  <si>
    <t xml:space="preserve">D-2182    </t>
  </si>
  <si>
    <t xml:space="preserve">D-2183    </t>
  </si>
  <si>
    <t xml:space="preserve">D-2184    </t>
  </si>
  <si>
    <t xml:space="preserve">D-2185    </t>
  </si>
  <si>
    <t xml:space="preserve">(282)ALEJANDRA CANO                                                        </t>
  </si>
  <si>
    <t xml:space="preserve">D-2186    </t>
  </si>
  <si>
    <t xml:space="preserve">D-2187    </t>
  </si>
  <si>
    <t xml:space="preserve">D-2188    </t>
  </si>
  <si>
    <t xml:space="preserve">D-2189    </t>
  </si>
  <si>
    <t xml:space="preserve">D-2190    </t>
  </si>
  <si>
    <t xml:space="preserve">D-2191    </t>
  </si>
  <si>
    <t xml:space="preserve">D-2192    </t>
  </si>
  <si>
    <t xml:space="preserve">D-2193    </t>
  </si>
  <si>
    <t xml:space="preserve">D-2194    </t>
  </si>
  <si>
    <t xml:space="preserve">D-2195    </t>
  </si>
  <si>
    <t xml:space="preserve">D-2196    </t>
  </si>
  <si>
    <t xml:space="preserve">D-2197    </t>
  </si>
  <si>
    <t xml:space="preserve">D-2198    </t>
  </si>
  <si>
    <t xml:space="preserve">D-2199    </t>
  </si>
  <si>
    <t xml:space="preserve">D-2200    </t>
  </si>
  <si>
    <t xml:space="preserve">D-2201    </t>
  </si>
  <si>
    <t xml:space="preserve">D-2202    </t>
  </si>
  <si>
    <t xml:space="preserve">D-2203    </t>
  </si>
  <si>
    <t xml:space="preserve">D-2204    </t>
  </si>
  <si>
    <t xml:space="preserve">D-2205    </t>
  </si>
  <si>
    <t xml:space="preserve">D-2206    </t>
  </si>
  <si>
    <t xml:space="preserve">D-2207    </t>
  </si>
  <si>
    <t xml:space="preserve">D-2208    </t>
  </si>
  <si>
    <t xml:space="preserve">D-2209    </t>
  </si>
  <si>
    <t xml:space="preserve">D-2210    </t>
  </si>
  <si>
    <t xml:space="preserve">D-2211    </t>
  </si>
  <si>
    <t xml:space="preserve">D-2212    </t>
  </si>
  <si>
    <t xml:space="preserve">D-2213    </t>
  </si>
  <si>
    <t xml:space="preserve">D-2214    </t>
  </si>
  <si>
    <t xml:space="preserve">D-2215    </t>
  </si>
  <si>
    <t xml:space="preserve">D-2216    </t>
  </si>
  <si>
    <t xml:space="preserve">D-2217    </t>
  </si>
  <si>
    <t xml:space="preserve">D-2218    </t>
  </si>
  <si>
    <t xml:space="preserve">D-2219    </t>
  </si>
  <si>
    <t xml:space="preserve">(549)JAIME                                                                 </t>
  </si>
  <si>
    <t xml:space="preserve">D-2220    </t>
  </si>
  <si>
    <t xml:space="preserve">D-2221    </t>
  </si>
  <si>
    <t xml:space="preserve">D-2222    </t>
  </si>
  <si>
    <t xml:space="preserve">D-2223    </t>
  </si>
  <si>
    <t xml:space="preserve">D-2224    </t>
  </si>
  <si>
    <t xml:space="preserve">D-2225    </t>
  </si>
  <si>
    <t xml:space="preserve">D-2226    </t>
  </si>
  <si>
    <t xml:space="preserve">D-2227    </t>
  </si>
  <si>
    <t xml:space="preserve">D-2228    </t>
  </si>
  <si>
    <t xml:space="preserve">D-2229    </t>
  </si>
  <si>
    <t xml:space="preserve">D-2230    </t>
  </si>
  <si>
    <t xml:space="preserve">D-2231    </t>
  </si>
  <si>
    <t xml:space="preserve">D-2232    </t>
  </si>
  <si>
    <t xml:space="preserve">D-2233    </t>
  </si>
  <si>
    <t xml:space="preserve">D-2234    </t>
  </si>
  <si>
    <t xml:space="preserve">D-2235    </t>
  </si>
  <si>
    <t xml:space="preserve">D-2236    </t>
  </si>
  <si>
    <t xml:space="preserve">D-2237    </t>
  </si>
  <si>
    <t xml:space="preserve">D-2238    </t>
  </si>
  <si>
    <t xml:space="preserve">D-2239    </t>
  </si>
  <si>
    <t xml:space="preserve">D-2240    </t>
  </si>
  <si>
    <t xml:space="preserve">D-2241    </t>
  </si>
  <si>
    <t xml:space="preserve">D-2242    </t>
  </si>
  <si>
    <t xml:space="preserve">D-2243    </t>
  </si>
  <si>
    <t xml:space="preserve">D-2244    </t>
  </si>
  <si>
    <t xml:space="preserve">D-2245    </t>
  </si>
  <si>
    <t xml:space="preserve">D-2246    </t>
  </si>
  <si>
    <t xml:space="preserve">D-2247    </t>
  </si>
  <si>
    <t xml:space="preserve">D-2248    </t>
  </si>
  <si>
    <t xml:space="preserve">D-2249    </t>
  </si>
  <si>
    <t xml:space="preserve">D-2250    </t>
  </si>
  <si>
    <t xml:space="preserve">D-2251    </t>
  </si>
  <si>
    <t xml:space="preserve">D-2252    </t>
  </si>
  <si>
    <t xml:space="preserve">D-2253    </t>
  </si>
  <si>
    <t xml:space="preserve">D-2254    </t>
  </si>
  <si>
    <t xml:space="preserve">D-2255    </t>
  </si>
  <si>
    <t xml:space="preserve">D-2256    </t>
  </si>
  <si>
    <t xml:space="preserve">D-2257    </t>
  </si>
  <si>
    <t xml:space="preserve">D-2258    </t>
  </si>
  <si>
    <t xml:space="preserve">D-2259    </t>
  </si>
  <si>
    <t xml:space="preserve">D-2260    </t>
  </si>
  <si>
    <t xml:space="preserve">D-2261    </t>
  </si>
  <si>
    <t xml:space="preserve">D-2262    </t>
  </si>
  <si>
    <t xml:space="preserve">D-2263    </t>
  </si>
  <si>
    <t xml:space="preserve">D-2264    </t>
  </si>
  <si>
    <t xml:space="preserve">D-2265    </t>
  </si>
  <si>
    <t xml:space="preserve">D-2266    </t>
  </si>
  <si>
    <t xml:space="preserve">D-2267    </t>
  </si>
  <si>
    <t xml:space="preserve">D-2268    </t>
  </si>
  <si>
    <t xml:space="preserve">D-2269    </t>
  </si>
  <si>
    <t xml:space="preserve">D-2270    </t>
  </si>
  <si>
    <t xml:space="preserve">D-2271    </t>
  </si>
  <si>
    <t xml:space="preserve">D-2272    </t>
  </si>
  <si>
    <t xml:space="preserve">D-2273    </t>
  </si>
  <si>
    <t xml:space="preserve">D-2274    </t>
  </si>
  <si>
    <t xml:space="preserve">D-2275    </t>
  </si>
  <si>
    <t xml:space="preserve">D-2276    </t>
  </si>
  <si>
    <t xml:space="preserve">D-2277    </t>
  </si>
  <si>
    <t xml:space="preserve">D-2278    </t>
  </si>
  <si>
    <t xml:space="preserve">D-2279    </t>
  </si>
  <si>
    <t xml:space="preserve">D-2280    </t>
  </si>
  <si>
    <t xml:space="preserve">D-2281    </t>
  </si>
  <si>
    <t xml:space="preserve">D-2282    </t>
  </si>
  <si>
    <t xml:space="preserve">D-2283    </t>
  </si>
  <si>
    <t xml:space="preserve">D-2284    </t>
  </si>
  <si>
    <t xml:space="preserve">D-2285    </t>
  </si>
  <si>
    <t xml:space="preserve">D-2286    </t>
  </si>
  <si>
    <t xml:space="preserve">D-2287    </t>
  </si>
  <si>
    <t xml:space="preserve">D-2288    </t>
  </si>
  <si>
    <t xml:space="preserve">D-2289    </t>
  </si>
  <si>
    <t xml:space="preserve">D-2290    </t>
  </si>
  <si>
    <t xml:space="preserve">D-2291    </t>
  </si>
  <si>
    <t xml:space="preserve">D-2292    </t>
  </si>
  <si>
    <t xml:space="preserve">D-2293    </t>
  </si>
  <si>
    <t xml:space="preserve">D-2294    </t>
  </si>
  <si>
    <t xml:space="preserve">D-2295    </t>
  </si>
  <si>
    <t xml:space="preserve">D-2296    </t>
  </si>
  <si>
    <t xml:space="preserve">D-2297    </t>
  </si>
  <si>
    <t xml:space="preserve">D-2298    </t>
  </si>
  <si>
    <t xml:space="preserve">D-2299    </t>
  </si>
  <si>
    <t xml:space="preserve">D-2300    </t>
  </si>
  <si>
    <t xml:space="preserve">D-2301    </t>
  </si>
  <si>
    <t xml:space="preserve">D-2302    </t>
  </si>
  <si>
    <t xml:space="preserve">D-2303    </t>
  </si>
  <si>
    <t xml:space="preserve">D-2304    </t>
  </si>
  <si>
    <t xml:space="preserve">D-2305    </t>
  </si>
  <si>
    <t xml:space="preserve">D-2306    </t>
  </si>
  <si>
    <t xml:space="preserve">D-2307    </t>
  </si>
  <si>
    <t xml:space="preserve">D-2308    </t>
  </si>
  <si>
    <t xml:space="preserve">D-2309    </t>
  </si>
  <si>
    <t xml:space="preserve">D-2310    </t>
  </si>
  <si>
    <t xml:space="preserve">D-2311    </t>
  </si>
  <si>
    <t xml:space="preserve">D-2312    </t>
  </si>
  <si>
    <t xml:space="preserve">D-2313    </t>
  </si>
  <si>
    <t xml:space="preserve">D-2314    </t>
  </si>
  <si>
    <t xml:space="preserve">D-2315    </t>
  </si>
  <si>
    <t xml:space="preserve">D-2316    </t>
  </si>
  <si>
    <t xml:space="preserve">D-2317    </t>
  </si>
  <si>
    <t xml:space="preserve">D-2318    </t>
  </si>
  <si>
    <t xml:space="preserve">D-2319    </t>
  </si>
  <si>
    <t xml:space="preserve">D-2320    </t>
  </si>
  <si>
    <t xml:space="preserve">D-2321    </t>
  </si>
  <si>
    <t xml:space="preserve">D-2322    </t>
  </si>
  <si>
    <t xml:space="preserve">D-2323    </t>
  </si>
  <si>
    <t xml:space="preserve">D-2324    </t>
  </si>
  <si>
    <t xml:space="preserve">D-2325    </t>
  </si>
  <si>
    <t xml:space="preserve">D-2326    </t>
  </si>
  <si>
    <t xml:space="preserve">D-2327    </t>
  </si>
  <si>
    <t xml:space="preserve">(467)GRUPO GANADERO GURA SPR DE RL                                         </t>
  </si>
  <si>
    <t xml:space="preserve">D-2328    </t>
  </si>
  <si>
    <t xml:space="preserve">D-2329    </t>
  </si>
  <si>
    <t xml:space="preserve">D-2330    </t>
  </si>
  <si>
    <t xml:space="preserve">D-2331    </t>
  </si>
  <si>
    <t xml:space="preserve">D-2332    </t>
  </si>
  <si>
    <t xml:space="preserve">D-2333    </t>
  </si>
  <si>
    <t xml:space="preserve">D-2334    </t>
  </si>
  <si>
    <t xml:space="preserve">D-2335    </t>
  </si>
  <si>
    <t xml:space="preserve">D-2336    </t>
  </si>
  <si>
    <t xml:space="preserve">D-2337    </t>
  </si>
  <si>
    <t xml:space="preserve">D-2338    </t>
  </si>
  <si>
    <t xml:space="preserve">D-2339    </t>
  </si>
  <si>
    <t xml:space="preserve">D-2340    </t>
  </si>
  <si>
    <t xml:space="preserve">D-2341    </t>
  </si>
  <si>
    <t xml:space="preserve">D-2342    </t>
  </si>
  <si>
    <t xml:space="preserve">D-2343    </t>
  </si>
  <si>
    <t xml:space="preserve">D-2344    </t>
  </si>
  <si>
    <t xml:space="preserve">D-2345    </t>
  </si>
  <si>
    <t xml:space="preserve">D-2346    </t>
  </si>
  <si>
    <t xml:space="preserve">D-2347    </t>
  </si>
  <si>
    <t xml:space="preserve">D-2348    </t>
  </si>
  <si>
    <t xml:space="preserve">D-2349    </t>
  </si>
  <si>
    <t xml:space="preserve">D-2350    </t>
  </si>
  <si>
    <t xml:space="preserve">D-2351    </t>
  </si>
  <si>
    <t xml:space="preserve">D-2352    </t>
  </si>
  <si>
    <t xml:space="preserve">D-2353    </t>
  </si>
  <si>
    <t xml:space="preserve">D-2354    </t>
  </si>
  <si>
    <t xml:space="preserve">D-2355    </t>
  </si>
  <si>
    <t xml:space="preserve">D-2356    </t>
  </si>
  <si>
    <t xml:space="preserve">D-2357    </t>
  </si>
  <si>
    <t xml:space="preserve">D-2358    </t>
  </si>
  <si>
    <t xml:space="preserve">D-2359    </t>
  </si>
  <si>
    <t xml:space="preserve">D-2360    </t>
  </si>
  <si>
    <t xml:space="preserve">D-2361    </t>
  </si>
  <si>
    <t xml:space="preserve">D-2362    </t>
  </si>
  <si>
    <t xml:space="preserve">D-2363    </t>
  </si>
  <si>
    <t xml:space="preserve">D-2364    </t>
  </si>
  <si>
    <t xml:space="preserve">D-2365    </t>
  </si>
  <si>
    <t xml:space="preserve">D-2366    </t>
  </si>
  <si>
    <t xml:space="preserve">D-2367    </t>
  </si>
  <si>
    <t xml:space="preserve">D-2368    </t>
  </si>
  <si>
    <t xml:space="preserve">D-2369    </t>
  </si>
  <si>
    <t xml:space="preserve">D-2370    </t>
  </si>
  <si>
    <t xml:space="preserve">D-2371    </t>
  </si>
  <si>
    <t xml:space="preserve">D-2372    </t>
  </si>
  <si>
    <t xml:space="preserve">D-2373    </t>
  </si>
  <si>
    <t xml:space="preserve">D-2374    </t>
  </si>
  <si>
    <t xml:space="preserve">D-2375    </t>
  </si>
  <si>
    <t xml:space="preserve">D-2376    </t>
  </si>
  <si>
    <t xml:space="preserve">D-2377    </t>
  </si>
  <si>
    <t xml:space="preserve">D-2378    </t>
  </si>
  <si>
    <t xml:space="preserve">D-2379    </t>
  </si>
  <si>
    <t xml:space="preserve">D-2380    </t>
  </si>
  <si>
    <t>27/02/2017 28/02/2017</t>
  </si>
  <si>
    <t xml:space="preserve">D-2381    </t>
  </si>
  <si>
    <t xml:space="preserve">D-2382    </t>
  </si>
  <si>
    <t xml:space="preserve">D-2383    </t>
  </si>
  <si>
    <t xml:space="preserve">D-2384    </t>
  </si>
  <si>
    <t xml:space="preserve">D-2385    </t>
  </si>
  <si>
    <t xml:space="preserve">D-2386    </t>
  </si>
  <si>
    <t xml:space="preserve">D-2387    </t>
  </si>
  <si>
    <t xml:space="preserve">D-2388    </t>
  </si>
  <si>
    <t xml:space="preserve">D-2389    </t>
  </si>
  <si>
    <t xml:space="preserve">D-2390    </t>
  </si>
  <si>
    <t xml:space="preserve">D-2391    </t>
  </si>
  <si>
    <t xml:space="preserve">D-2392    </t>
  </si>
  <si>
    <t xml:space="preserve">D-2393    </t>
  </si>
  <si>
    <t xml:space="preserve">D-2394    </t>
  </si>
  <si>
    <t xml:space="preserve">D-2395    </t>
  </si>
  <si>
    <t xml:space="preserve">D-2396    </t>
  </si>
  <si>
    <t xml:space="preserve">D-2397    </t>
  </si>
  <si>
    <t xml:space="preserve">D-2398    </t>
  </si>
  <si>
    <t xml:space="preserve">D-2399    </t>
  </si>
  <si>
    <t xml:space="preserve">D-2400    </t>
  </si>
  <si>
    <t xml:space="preserve">D-2401    </t>
  </si>
  <si>
    <t xml:space="preserve">D-2402    </t>
  </si>
  <si>
    <t xml:space="preserve">D-2403    </t>
  </si>
  <si>
    <t xml:space="preserve">D-2404    </t>
  </si>
  <si>
    <t xml:space="preserve">D-2405    </t>
  </si>
  <si>
    <t xml:space="preserve">D-2406    </t>
  </si>
  <si>
    <t xml:space="preserve">D-2407    </t>
  </si>
  <si>
    <t xml:space="preserve">D-2408    </t>
  </si>
  <si>
    <t xml:space="preserve">D-2409    </t>
  </si>
  <si>
    <t xml:space="preserve">D-2410    </t>
  </si>
  <si>
    <t xml:space="preserve">D-2411    </t>
  </si>
  <si>
    <t xml:space="preserve">D-2412    </t>
  </si>
  <si>
    <t xml:space="preserve">D-2413    </t>
  </si>
  <si>
    <t xml:space="preserve">D-2414    </t>
  </si>
  <si>
    <t xml:space="preserve">D-2415    </t>
  </si>
  <si>
    <t xml:space="preserve">D-2416    </t>
  </si>
  <si>
    <t xml:space="preserve">D-2417    </t>
  </si>
  <si>
    <t xml:space="preserve">D-2418    </t>
  </si>
  <si>
    <t xml:space="preserve">D-2419    </t>
  </si>
  <si>
    <t xml:space="preserve">D-2420    </t>
  </si>
  <si>
    <t xml:space="preserve">D-2421    </t>
  </si>
  <si>
    <t xml:space="preserve">D-2422    </t>
  </si>
  <si>
    <t xml:space="preserve">D-2423    </t>
  </si>
  <si>
    <t xml:space="preserve">D-2424    </t>
  </si>
  <si>
    <t xml:space="preserve">D-2425    </t>
  </si>
  <si>
    <t xml:space="preserve">D-2426    </t>
  </si>
  <si>
    <t xml:space="preserve">D-2427    </t>
  </si>
  <si>
    <t xml:space="preserve">D-2428    </t>
  </si>
  <si>
    <t xml:space="preserve">D-2429    </t>
  </si>
  <si>
    <t xml:space="preserve">D-2430    </t>
  </si>
  <si>
    <t xml:space="preserve">D-2431    </t>
  </si>
  <si>
    <t xml:space="preserve">D-2432    </t>
  </si>
  <si>
    <t xml:space="preserve">D-2433    </t>
  </si>
  <si>
    <t xml:space="preserve">D-2434    </t>
  </si>
  <si>
    <t xml:space="preserve">D-2435    </t>
  </si>
  <si>
    <t xml:space="preserve">D-2436    </t>
  </si>
  <si>
    <t xml:space="preserve">D-2437    </t>
  </si>
  <si>
    <t xml:space="preserve">D-2438    </t>
  </si>
  <si>
    <t xml:space="preserve">D-2439    </t>
  </si>
  <si>
    <t xml:space="preserve">D-2440    </t>
  </si>
  <si>
    <t xml:space="preserve">D-2441    </t>
  </si>
  <si>
    <t xml:space="preserve">D-2442    </t>
  </si>
  <si>
    <t xml:space="preserve">D-2443    </t>
  </si>
  <si>
    <t xml:space="preserve">D-2444    </t>
  </si>
  <si>
    <t xml:space="preserve">D-2445    </t>
  </si>
  <si>
    <t xml:space="preserve">D-2446    </t>
  </si>
  <si>
    <t xml:space="preserve">D-2447    </t>
  </si>
  <si>
    <t xml:space="preserve">D-2448    </t>
  </si>
  <si>
    <t xml:space="preserve">D-2449    </t>
  </si>
  <si>
    <t xml:space="preserve">D-2450    </t>
  </si>
  <si>
    <t xml:space="preserve">D-2451    </t>
  </si>
  <si>
    <t xml:space="preserve">D-2452    </t>
  </si>
  <si>
    <t xml:space="preserve">D-2453    </t>
  </si>
  <si>
    <t xml:space="preserve">(510)GUMARO MARQUEZ                                                        </t>
  </si>
  <si>
    <t xml:space="preserve">D-2454    </t>
  </si>
  <si>
    <t xml:space="preserve">D-2455    </t>
  </si>
  <si>
    <t xml:space="preserve">D-2456    </t>
  </si>
  <si>
    <t xml:space="preserve">D-2457    </t>
  </si>
  <si>
    <t xml:space="preserve">D-2458    </t>
  </si>
  <si>
    <t xml:space="preserve">D-2459    </t>
  </si>
  <si>
    <t xml:space="preserve">D-2460    </t>
  </si>
  <si>
    <t xml:space="preserve">D-2461    </t>
  </si>
  <si>
    <t xml:space="preserve">D-2462    </t>
  </si>
  <si>
    <t xml:space="preserve">D-2463    </t>
  </si>
  <si>
    <t xml:space="preserve">D-2464    </t>
  </si>
  <si>
    <t xml:space="preserve">D-2465    </t>
  </si>
  <si>
    <t xml:space="preserve">D-2466    </t>
  </si>
  <si>
    <t xml:space="preserve">D-2467    </t>
  </si>
  <si>
    <t xml:space="preserve">D-2468    </t>
  </si>
  <si>
    <t xml:space="preserve">D-2469    </t>
  </si>
  <si>
    <t xml:space="preserve">D-2470    </t>
  </si>
  <si>
    <t xml:space="preserve">D-2471    </t>
  </si>
  <si>
    <t xml:space="preserve">D-2472    </t>
  </si>
  <si>
    <t xml:space="preserve">D-2473    </t>
  </si>
  <si>
    <t xml:space="preserve">D-2474    </t>
  </si>
  <si>
    <t xml:space="preserve">D-2475    </t>
  </si>
  <si>
    <t xml:space="preserve">D-2476    </t>
  </si>
  <si>
    <t xml:space="preserve">D-2477    </t>
  </si>
  <si>
    <t xml:space="preserve">D-2478    </t>
  </si>
  <si>
    <t xml:space="preserve">D-2479    </t>
  </si>
  <si>
    <t xml:space="preserve">D-2480    </t>
  </si>
  <si>
    <t xml:space="preserve">D-2481    </t>
  </si>
  <si>
    <t xml:space="preserve">D-2482    </t>
  </si>
  <si>
    <t xml:space="preserve">D-2483    </t>
  </si>
  <si>
    <t xml:space="preserve">D-2484    </t>
  </si>
  <si>
    <t xml:space="preserve">D-2485    </t>
  </si>
  <si>
    <t xml:space="preserve">D-2486    </t>
  </si>
  <si>
    <t xml:space="preserve">D-2487    </t>
  </si>
  <si>
    <t xml:space="preserve">D-2488    </t>
  </si>
  <si>
    <t xml:space="preserve">D-2489    </t>
  </si>
  <si>
    <t xml:space="preserve">D-2490    </t>
  </si>
  <si>
    <t xml:space="preserve">D-2491    </t>
  </si>
  <si>
    <t xml:space="preserve">D-2492    </t>
  </si>
  <si>
    <t xml:space="preserve">D-2493    </t>
  </si>
  <si>
    <t xml:space="preserve">D-2494    </t>
  </si>
  <si>
    <t xml:space="preserve">D-2495    </t>
  </si>
  <si>
    <t xml:space="preserve">D-2496    </t>
  </si>
  <si>
    <t xml:space="preserve">D-2497    </t>
  </si>
  <si>
    <t xml:space="preserve">D-2498    </t>
  </si>
  <si>
    <t xml:space="preserve">D-2499    </t>
  </si>
  <si>
    <t xml:space="preserve">D-2500    </t>
  </si>
  <si>
    <t xml:space="preserve">D-2501    </t>
  </si>
  <si>
    <t xml:space="preserve">D-2502    </t>
  </si>
  <si>
    <t xml:space="preserve">D-2503    </t>
  </si>
  <si>
    <t xml:space="preserve">D-2504    </t>
  </si>
  <si>
    <t xml:space="preserve">D-2505    </t>
  </si>
  <si>
    <t xml:space="preserve">D-2506    </t>
  </si>
  <si>
    <t xml:space="preserve">D-2507    </t>
  </si>
  <si>
    <t xml:space="preserve">D-2508    </t>
  </si>
  <si>
    <t xml:space="preserve">D-2509    </t>
  </si>
  <si>
    <t xml:space="preserve">D-2510    </t>
  </si>
  <si>
    <t xml:space="preserve">D-2511    </t>
  </si>
  <si>
    <t xml:space="preserve">D-2512    </t>
  </si>
  <si>
    <t xml:space="preserve">D-2513    </t>
  </si>
  <si>
    <t xml:space="preserve">D-2514    </t>
  </si>
  <si>
    <t xml:space="preserve">D-2515    </t>
  </si>
  <si>
    <t xml:space="preserve">D-2516    </t>
  </si>
  <si>
    <t xml:space="preserve">D-2517    </t>
  </si>
  <si>
    <t xml:space="preserve">D-2518    </t>
  </si>
  <si>
    <t xml:space="preserve">D-2519    </t>
  </si>
  <si>
    <t xml:space="preserve">D-2520    </t>
  </si>
  <si>
    <t xml:space="preserve">D-2521    </t>
  </si>
  <si>
    <t xml:space="preserve">D-2522    </t>
  </si>
  <si>
    <t xml:space="preserve">D-2523    </t>
  </si>
  <si>
    <t xml:space="preserve">D-2524    </t>
  </si>
  <si>
    <t xml:space="preserve">D-2525    </t>
  </si>
  <si>
    <t xml:space="preserve">D-2526    </t>
  </si>
  <si>
    <t xml:space="preserve">D-2527    </t>
  </si>
  <si>
    <t xml:space="preserve">D-2528    </t>
  </si>
  <si>
    <t xml:space="preserve">D-2529    </t>
  </si>
  <si>
    <t xml:space="preserve">D-2530    </t>
  </si>
  <si>
    <t xml:space="preserve">D-2531    </t>
  </si>
  <si>
    <t xml:space="preserve">D-2532    </t>
  </si>
  <si>
    <t xml:space="preserve">D-2533    </t>
  </si>
  <si>
    <t xml:space="preserve">D-2534    </t>
  </si>
  <si>
    <t xml:space="preserve">D-2535    </t>
  </si>
  <si>
    <t xml:space="preserve">D-2536    </t>
  </si>
  <si>
    <t xml:space="preserve">D-2537    </t>
  </si>
  <si>
    <t xml:space="preserve">D-2538    </t>
  </si>
  <si>
    <t xml:space="preserve">D-2539    </t>
  </si>
  <si>
    <t xml:space="preserve">D-2540    </t>
  </si>
  <si>
    <t xml:space="preserve">D-2541    </t>
  </si>
  <si>
    <t xml:space="preserve">D-2542    </t>
  </si>
  <si>
    <t xml:space="preserve">D-2543    </t>
  </si>
  <si>
    <t xml:space="preserve">D-2544    </t>
  </si>
  <si>
    <t xml:space="preserve">D-2545    </t>
  </si>
  <si>
    <t xml:space="preserve">D-2546    </t>
  </si>
  <si>
    <t xml:space="preserve">D-2547    </t>
  </si>
  <si>
    <t xml:space="preserve">D-2548    </t>
  </si>
  <si>
    <t xml:space="preserve">D-2549    </t>
  </si>
  <si>
    <t xml:space="preserve">D-2550    </t>
  </si>
  <si>
    <t xml:space="preserve">D-2551    </t>
  </si>
  <si>
    <t xml:space="preserve">D-2552    </t>
  </si>
  <si>
    <t xml:space="preserve">D-2553    </t>
  </si>
  <si>
    <t xml:space="preserve">D-2554    </t>
  </si>
  <si>
    <t xml:space="preserve">D-2555    </t>
  </si>
  <si>
    <t xml:space="preserve">D-2556    </t>
  </si>
  <si>
    <t xml:space="preserve">D-2557    </t>
  </si>
  <si>
    <t xml:space="preserve">D-2558    </t>
  </si>
  <si>
    <t xml:space="preserve">D-2559    </t>
  </si>
  <si>
    <t xml:space="preserve">D-2560    </t>
  </si>
  <si>
    <t xml:space="preserve">D-2561    </t>
  </si>
  <si>
    <t xml:space="preserve">D-2562    </t>
  </si>
  <si>
    <t xml:space="preserve">D-2563    </t>
  </si>
  <si>
    <t xml:space="preserve">D-2564    </t>
  </si>
  <si>
    <t xml:space="preserve">D-2565    </t>
  </si>
  <si>
    <t xml:space="preserve">D-2566    </t>
  </si>
  <si>
    <t xml:space="preserve">D-2567    </t>
  </si>
  <si>
    <t xml:space="preserve">D-2568    </t>
  </si>
  <si>
    <t xml:space="preserve">D-2569    </t>
  </si>
  <si>
    <t xml:space="preserve">D-2570    </t>
  </si>
  <si>
    <t xml:space="preserve">D-2571    </t>
  </si>
  <si>
    <t xml:space="preserve">D-2572    </t>
  </si>
  <si>
    <t xml:space="preserve">D-2573    </t>
  </si>
  <si>
    <t xml:space="preserve">D-2574    </t>
  </si>
  <si>
    <t xml:space="preserve">D-2575    </t>
  </si>
  <si>
    <t xml:space="preserve">D-2576    </t>
  </si>
  <si>
    <t xml:space="preserve">D-2577    </t>
  </si>
  <si>
    <t xml:space="preserve">D-2578    </t>
  </si>
  <si>
    <t xml:space="preserve">D-2579    </t>
  </si>
  <si>
    <t xml:space="preserve">D-2580    </t>
  </si>
  <si>
    <t xml:space="preserve">D-2581    </t>
  </si>
  <si>
    <t xml:space="preserve">D-2582    </t>
  </si>
  <si>
    <t xml:space="preserve">D-2583    </t>
  </si>
  <si>
    <t xml:space="preserve">D-2584    </t>
  </si>
  <si>
    <t xml:space="preserve">D-2585    </t>
  </si>
  <si>
    <t xml:space="preserve">D-2586    </t>
  </si>
  <si>
    <t xml:space="preserve">D-2587    </t>
  </si>
  <si>
    <t xml:space="preserve">D-2588    </t>
  </si>
  <si>
    <t xml:space="preserve">D-2589    </t>
  </si>
  <si>
    <t xml:space="preserve">D-2590    </t>
  </si>
  <si>
    <t xml:space="preserve">D-2591    </t>
  </si>
  <si>
    <t xml:space="preserve">D-2592    </t>
  </si>
  <si>
    <t xml:space="preserve">D-2593    </t>
  </si>
  <si>
    <t xml:space="preserve">D-2594    </t>
  </si>
  <si>
    <t xml:space="preserve">D-2595    </t>
  </si>
  <si>
    <t xml:space="preserve">D-2596    </t>
  </si>
  <si>
    <t xml:space="preserve">D-2597    </t>
  </si>
  <si>
    <t xml:space="preserve">D-2598    </t>
  </si>
  <si>
    <t xml:space="preserve">D-2599    </t>
  </si>
  <si>
    <t xml:space="preserve">D-2600    </t>
  </si>
  <si>
    <t xml:space="preserve">D-2601    </t>
  </si>
  <si>
    <t xml:space="preserve">D-2602    </t>
  </si>
  <si>
    <t xml:space="preserve">D-2603    </t>
  </si>
  <si>
    <t xml:space="preserve">D-2604    </t>
  </si>
  <si>
    <t xml:space="preserve">D-2605    </t>
  </si>
  <si>
    <t xml:space="preserve">D-2606    </t>
  </si>
  <si>
    <t xml:space="preserve">D-2607    </t>
  </si>
  <si>
    <t xml:space="preserve">D-2608    </t>
  </si>
  <si>
    <t xml:space="preserve">D-2609    </t>
  </si>
  <si>
    <t xml:space="preserve">D-2610    </t>
  </si>
  <si>
    <t xml:space="preserve">D-2611    </t>
  </si>
  <si>
    <t xml:space="preserve">D-2612    </t>
  </si>
  <si>
    <t xml:space="preserve">D-2613    </t>
  </si>
  <si>
    <t xml:space="preserve">D-2614    </t>
  </si>
  <si>
    <t xml:space="preserve">D-2615    </t>
  </si>
  <si>
    <t xml:space="preserve">D-2616    </t>
  </si>
  <si>
    <t xml:space="preserve">D-2617    </t>
  </si>
  <si>
    <t xml:space="preserve">D-2618    </t>
  </si>
  <si>
    <t xml:space="preserve">D-2619    </t>
  </si>
  <si>
    <t xml:space="preserve">D-2620    </t>
  </si>
  <si>
    <t xml:space="preserve">D-2621    </t>
  </si>
  <si>
    <t xml:space="preserve">D-2622    </t>
  </si>
  <si>
    <t xml:space="preserve">D-2623    </t>
  </si>
  <si>
    <t xml:space="preserve">D-2624    </t>
  </si>
  <si>
    <t xml:space="preserve">D-2625    </t>
  </si>
  <si>
    <t xml:space="preserve">D-2626    </t>
  </si>
  <si>
    <t xml:space="preserve">D-2627    </t>
  </si>
  <si>
    <t xml:space="preserve">D-2628    </t>
  </si>
  <si>
    <t xml:space="preserve">D-2629    </t>
  </si>
  <si>
    <t xml:space="preserve">D-2630    </t>
  </si>
  <si>
    <t xml:space="preserve">D-2631    </t>
  </si>
  <si>
    <t xml:space="preserve">D-2632    </t>
  </si>
  <si>
    <t xml:space="preserve">D-2633    </t>
  </si>
  <si>
    <t xml:space="preserve">D-2634    </t>
  </si>
  <si>
    <t xml:space="preserve">D-2635    </t>
  </si>
  <si>
    <t xml:space="preserve">D-2636    </t>
  </si>
  <si>
    <t xml:space="preserve">D-2637    </t>
  </si>
  <si>
    <t xml:space="preserve">D-2638    </t>
  </si>
  <si>
    <t xml:space="preserve">D-2639    </t>
  </si>
  <si>
    <t xml:space="preserve">D-2640    </t>
  </si>
  <si>
    <t xml:space="preserve">D-2641    </t>
  </si>
  <si>
    <t xml:space="preserve">D-2642    </t>
  </si>
  <si>
    <t xml:space="preserve">D-2643    </t>
  </si>
  <si>
    <t xml:space="preserve">D-2644    </t>
  </si>
  <si>
    <t xml:space="preserve">D-2645    </t>
  </si>
  <si>
    <t xml:space="preserve">D-2646    </t>
  </si>
  <si>
    <t xml:space="preserve">D-2647    </t>
  </si>
  <si>
    <t xml:space="preserve">D-2648    </t>
  </si>
  <si>
    <t xml:space="preserve">D-2649    </t>
  </si>
  <si>
    <t xml:space="preserve">D-2650    </t>
  </si>
  <si>
    <t xml:space="preserve">D-2651    </t>
  </si>
  <si>
    <t xml:space="preserve">D-2652    </t>
  </si>
  <si>
    <t xml:space="preserve">D-2653    </t>
  </si>
  <si>
    <t xml:space="preserve">D-2654    </t>
  </si>
  <si>
    <t xml:space="preserve">D-2655    </t>
  </si>
  <si>
    <t xml:space="preserve">D-2656    </t>
  </si>
  <si>
    <t xml:space="preserve">D-2657    </t>
  </si>
  <si>
    <t xml:space="preserve">D-2658    </t>
  </si>
  <si>
    <t xml:space="preserve">D-2659    </t>
  </si>
  <si>
    <t xml:space="preserve">D-2660    </t>
  </si>
  <si>
    <t xml:space="preserve">D-2661    </t>
  </si>
  <si>
    <t xml:space="preserve">D-2662    </t>
  </si>
  <si>
    <t xml:space="preserve">D-2663    </t>
  </si>
  <si>
    <t xml:space="preserve">D-2664    </t>
  </si>
  <si>
    <t xml:space="preserve">D-2665    </t>
  </si>
  <si>
    <t xml:space="preserve">D-2666    </t>
  </si>
  <si>
    <t xml:space="preserve">D-2667    </t>
  </si>
  <si>
    <t xml:space="preserve">D-2668    </t>
  </si>
  <si>
    <t xml:space="preserve">D-2669    </t>
  </si>
  <si>
    <t xml:space="preserve">D-2670    </t>
  </si>
  <si>
    <t xml:space="preserve">D-2671    </t>
  </si>
  <si>
    <t xml:space="preserve">D-2672    </t>
  </si>
  <si>
    <t xml:space="preserve">D-2673    </t>
  </si>
  <si>
    <t xml:space="preserve">D-2674    </t>
  </si>
  <si>
    <t xml:space="preserve">D-2675    </t>
  </si>
  <si>
    <t xml:space="preserve">D-2676    </t>
  </si>
  <si>
    <t xml:space="preserve">D-2677    </t>
  </si>
  <si>
    <t xml:space="preserve">D-2678    </t>
  </si>
  <si>
    <t xml:space="preserve">D-2679    </t>
  </si>
  <si>
    <t xml:space="preserve">D-2680    </t>
  </si>
  <si>
    <t xml:space="preserve">D-2681    </t>
  </si>
  <si>
    <t xml:space="preserve">D-2682    </t>
  </si>
  <si>
    <t xml:space="preserve">D-2683    </t>
  </si>
  <si>
    <t xml:space="preserve">D-2684    </t>
  </si>
  <si>
    <t xml:space="preserve">D-2685    </t>
  </si>
  <si>
    <t xml:space="preserve">D-2686    </t>
  </si>
  <si>
    <t xml:space="preserve">D-2687    </t>
  </si>
  <si>
    <t xml:space="preserve">D-2688    </t>
  </si>
  <si>
    <t xml:space="preserve">D-2689    </t>
  </si>
  <si>
    <t xml:space="preserve">D-2690    </t>
  </si>
  <si>
    <t xml:space="preserve">D-2691    </t>
  </si>
  <si>
    <t xml:space="preserve">D-2692    </t>
  </si>
  <si>
    <t xml:space="preserve">D-2693    </t>
  </si>
  <si>
    <t xml:space="preserve">D-2694    </t>
  </si>
  <si>
    <t xml:space="preserve">D-2695    </t>
  </si>
  <si>
    <t xml:space="preserve">D-2696    </t>
  </si>
  <si>
    <t xml:space="preserve">D-2697    </t>
  </si>
  <si>
    <t xml:space="preserve">D-2698    </t>
  </si>
  <si>
    <t xml:space="preserve">D-2699    </t>
  </si>
  <si>
    <t xml:space="preserve">D-2700    </t>
  </si>
  <si>
    <t xml:space="preserve">D-2701    </t>
  </si>
  <si>
    <t xml:space="preserve">D-2702    </t>
  </si>
  <si>
    <t xml:space="preserve">D-2703    </t>
  </si>
  <si>
    <t xml:space="preserve">D-2704    </t>
  </si>
  <si>
    <t xml:space="preserve">D-2705    </t>
  </si>
  <si>
    <t xml:space="preserve">D-2706    </t>
  </si>
  <si>
    <t xml:space="preserve">D-2707    </t>
  </si>
  <si>
    <t xml:space="preserve">D-2708    </t>
  </si>
  <si>
    <t xml:space="preserve">D-2709    </t>
  </si>
  <si>
    <t xml:space="preserve">D-2710    </t>
  </si>
  <si>
    <t xml:space="preserve">D-2711    </t>
  </si>
  <si>
    <t xml:space="preserve">D-2712    </t>
  </si>
  <si>
    <t xml:space="preserve">D-2713    </t>
  </si>
  <si>
    <t xml:space="preserve">D-2714    </t>
  </si>
  <si>
    <t xml:space="preserve">D-2715    </t>
  </si>
  <si>
    <t xml:space="preserve">D-2716    </t>
  </si>
  <si>
    <t xml:space="preserve">D-2717    </t>
  </si>
  <si>
    <t xml:space="preserve">D-2718    </t>
  </si>
  <si>
    <t xml:space="preserve">D-2719    </t>
  </si>
  <si>
    <t xml:space="preserve">D-2720    </t>
  </si>
  <si>
    <t xml:space="preserve">D-2721    </t>
  </si>
  <si>
    <t xml:space="preserve">D-2722    </t>
  </si>
  <si>
    <t xml:space="preserve">D-2723    </t>
  </si>
  <si>
    <t xml:space="preserve">D-2724    </t>
  </si>
  <si>
    <t xml:space="preserve">D-2725    </t>
  </si>
  <si>
    <t xml:space="preserve">D-2726    </t>
  </si>
  <si>
    <t xml:space="preserve">D-2727    </t>
  </si>
  <si>
    <t xml:space="preserve">D-2728    </t>
  </si>
  <si>
    <t xml:space="preserve">D-2729    </t>
  </si>
  <si>
    <t xml:space="preserve">D-2730    </t>
  </si>
  <si>
    <t xml:space="preserve">D-2731    </t>
  </si>
  <si>
    <t xml:space="preserve">D-2732    </t>
  </si>
  <si>
    <t xml:space="preserve">D-2733    </t>
  </si>
  <si>
    <t xml:space="preserve">D-2734    </t>
  </si>
  <si>
    <t xml:space="preserve">D-2735    </t>
  </si>
  <si>
    <t xml:space="preserve">D-2736    </t>
  </si>
  <si>
    <t xml:space="preserve">D-2737    </t>
  </si>
  <si>
    <t xml:space="preserve">D-2738    </t>
  </si>
  <si>
    <t xml:space="preserve">D-2739    </t>
  </si>
  <si>
    <t xml:space="preserve">D-2740    </t>
  </si>
  <si>
    <t xml:space="preserve">D-2741    </t>
  </si>
  <si>
    <t xml:space="preserve">D-2742    </t>
  </si>
  <si>
    <t xml:space="preserve">D-2743    </t>
  </si>
  <si>
    <t xml:space="preserve">D-2744    </t>
  </si>
  <si>
    <t xml:space="preserve">D-2745    </t>
  </si>
  <si>
    <t xml:space="preserve">D-2746    </t>
  </si>
  <si>
    <t xml:space="preserve">D-2747    </t>
  </si>
  <si>
    <t xml:space="preserve">D-2748    </t>
  </si>
  <si>
    <t xml:space="preserve">D-2749    </t>
  </si>
  <si>
    <t xml:space="preserve">D-2750    </t>
  </si>
  <si>
    <t xml:space="preserve">D-2751    </t>
  </si>
  <si>
    <t xml:space="preserve">D-2752    </t>
  </si>
  <si>
    <t xml:space="preserve">D-2753    </t>
  </si>
  <si>
    <t xml:space="preserve">D-2754    </t>
  </si>
  <si>
    <t xml:space="preserve">D-2755    </t>
  </si>
  <si>
    <t xml:space="preserve">D-2756    </t>
  </si>
  <si>
    <t xml:space="preserve">D-2757    </t>
  </si>
  <si>
    <t xml:space="preserve">D-2758    </t>
  </si>
  <si>
    <t xml:space="preserve">D-2759    </t>
  </si>
  <si>
    <t xml:space="preserve">D-2760    </t>
  </si>
  <si>
    <t xml:space="preserve">D-2761    </t>
  </si>
  <si>
    <t xml:space="preserve">D-2762    </t>
  </si>
  <si>
    <t xml:space="preserve">D-2763    </t>
  </si>
  <si>
    <t xml:space="preserve">D-2764    </t>
  </si>
  <si>
    <t xml:space="preserve">D-2765    </t>
  </si>
  <si>
    <t xml:space="preserve">D-2766    </t>
  </si>
  <si>
    <t xml:space="preserve">D-2767    </t>
  </si>
  <si>
    <t xml:space="preserve">D-2768    </t>
  </si>
  <si>
    <t xml:space="preserve">D-2769    </t>
  </si>
  <si>
    <t xml:space="preserve">D-2770    </t>
  </si>
  <si>
    <t xml:space="preserve">D-2771    </t>
  </si>
  <si>
    <t xml:space="preserve">D-2772    </t>
  </si>
  <si>
    <t xml:space="preserve">D-2773    </t>
  </si>
  <si>
    <t xml:space="preserve">D-2774    </t>
  </si>
  <si>
    <t xml:space="preserve">D-2775    </t>
  </si>
  <si>
    <t xml:space="preserve">D-2776    </t>
  </si>
  <si>
    <t xml:space="preserve">D-2777    </t>
  </si>
  <si>
    <t xml:space="preserve">D-2778    </t>
  </si>
  <si>
    <t xml:space="preserve">D-2779    </t>
  </si>
  <si>
    <t xml:space="preserve">D-2780    </t>
  </si>
  <si>
    <t>25/02/2017 03/01/2017</t>
  </si>
  <si>
    <t>03/01/2017 02/03/2017</t>
  </si>
  <si>
    <t>28/02/2017 02/03/2017</t>
  </si>
  <si>
    <t>28/02/2017  03/03/2017</t>
  </si>
  <si>
    <t>02/03/2017  03/03/2017</t>
  </si>
  <si>
    <t>25/02/2017 04/03/2017</t>
  </si>
  <si>
    <t xml:space="preserve"> 03/03/2017 04/03/2017</t>
  </si>
  <si>
    <t>27/02/2017 06/03/2017</t>
  </si>
  <si>
    <t>04/03/2017 06/03/2017</t>
  </si>
  <si>
    <t>25/02/2017 06/03/2017</t>
  </si>
  <si>
    <t>06/02/2017 08/03/2017</t>
  </si>
  <si>
    <t>08/02/2017 08/03/2017</t>
  </si>
  <si>
    <t>09/02/2017 27/02/2017 04/03/2017 08/03/2017</t>
  </si>
  <si>
    <t>09/02/2017 08/03/2017</t>
  </si>
  <si>
    <t xml:space="preserve"> 03/03/2017 08/03/2017</t>
  </si>
  <si>
    <t>15/02/2017 09/03/2017</t>
  </si>
  <si>
    <t>03/01/2017 09/03/2017</t>
  </si>
  <si>
    <t xml:space="preserve"> 03/03/2017 09/03/2017</t>
  </si>
  <si>
    <t>06/03/2017 11/03/2017</t>
  </si>
  <si>
    <t>04/03/2017 13/03/2017</t>
  </si>
  <si>
    <t>25/02/2017 13/03/2017</t>
  </si>
  <si>
    <t>08/03/2017 14/03/2017</t>
  </si>
  <si>
    <t>13/03/2017 17/03/2017</t>
  </si>
  <si>
    <t>REMISIONES DE   M A R Z O              2 0 1 7</t>
  </si>
  <si>
    <r>
      <rPr>
        <b/>
        <u/>
        <sz val="12"/>
        <color rgb="FF0000CC"/>
        <rFont val="Calibri"/>
        <family val="2"/>
        <scheme val="minor"/>
      </rPr>
      <t xml:space="preserve">O B R A D O R    </t>
    </r>
    <r>
      <rPr>
        <b/>
        <sz val="12"/>
        <color rgb="FF0000CC"/>
        <rFont val="Calibri"/>
        <family val="2"/>
        <scheme val="minor"/>
      </rPr>
      <t xml:space="preserve">                                 C L I E N T E S </t>
    </r>
  </si>
  <si>
    <t xml:space="preserve">D-2781    </t>
  </si>
  <si>
    <t xml:space="preserve">D-2782    </t>
  </si>
  <si>
    <t xml:space="preserve">D-2783    </t>
  </si>
  <si>
    <t xml:space="preserve">D-2784    </t>
  </si>
  <si>
    <t xml:space="preserve">D-2785    </t>
  </si>
  <si>
    <t xml:space="preserve">D-2786    </t>
  </si>
  <si>
    <t xml:space="preserve">D-2787    </t>
  </si>
  <si>
    <t xml:space="preserve">D-2788    </t>
  </si>
  <si>
    <t xml:space="preserve">D-2789    </t>
  </si>
  <si>
    <t>13/03/2017 24/03/2017</t>
  </si>
  <si>
    <t xml:space="preserve">D-2790    </t>
  </si>
  <si>
    <t xml:space="preserve">D-2791    </t>
  </si>
  <si>
    <t xml:space="preserve">D-2792    </t>
  </si>
  <si>
    <t xml:space="preserve">D-2793    </t>
  </si>
  <si>
    <t xml:space="preserve">D-2794    </t>
  </si>
  <si>
    <t xml:space="preserve">D-2795    </t>
  </si>
  <si>
    <t xml:space="preserve">D-2796    </t>
  </si>
  <si>
    <t xml:space="preserve">D-2797    </t>
  </si>
  <si>
    <t xml:space="preserve">D-2798    </t>
  </si>
  <si>
    <t xml:space="preserve">D-2799    </t>
  </si>
  <si>
    <t xml:space="preserve">D-2800    </t>
  </si>
  <si>
    <t xml:space="preserve">D-2801    </t>
  </si>
  <si>
    <t xml:space="preserve">D-2802    </t>
  </si>
  <si>
    <t xml:space="preserve">D-2803    </t>
  </si>
  <si>
    <t xml:space="preserve">D-2804    </t>
  </si>
  <si>
    <t xml:space="preserve">D-2805    </t>
  </si>
  <si>
    <t xml:space="preserve">D-2806    </t>
  </si>
  <si>
    <t xml:space="preserve">D-2807    </t>
  </si>
  <si>
    <t xml:space="preserve">D-2808    </t>
  </si>
  <si>
    <t xml:space="preserve">D-2809    </t>
  </si>
  <si>
    <t xml:space="preserve">D-2810    </t>
  </si>
  <si>
    <t xml:space="preserve">D-2811    </t>
  </si>
  <si>
    <t xml:space="preserve">D-2812    </t>
  </si>
  <si>
    <t xml:space="preserve">D-2813    </t>
  </si>
  <si>
    <t xml:space="preserve">D-2814    </t>
  </si>
  <si>
    <t xml:space="preserve">D-2815    </t>
  </si>
  <si>
    <t xml:space="preserve">D-2816    </t>
  </si>
  <si>
    <t xml:space="preserve">D-2817    </t>
  </si>
  <si>
    <t xml:space="preserve">D-2818    </t>
  </si>
  <si>
    <t xml:space="preserve">D-2819    </t>
  </si>
  <si>
    <t xml:space="preserve">D-2820    </t>
  </si>
  <si>
    <t xml:space="preserve">D-2821    </t>
  </si>
  <si>
    <t xml:space="preserve">D-2822    </t>
  </si>
  <si>
    <t xml:space="preserve">D-2823    </t>
  </si>
  <si>
    <t xml:space="preserve">D-2824    </t>
  </si>
  <si>
    <t xml:space="preserve">D-2825    </t>
  </si>
  <si>
    <t xml:space="preserve">D-2826    </t>
  </si>
  <si>
    <t xml:space="preserve">D-2827    </t>
  </si>
  <si>
    <t xml:space="preserve">D-2828    </t>
  </si>
  <si>
    <t xml:space="preserve">D-2829    </t>
  </si>
  <si>
    <t xml:space="preserve">D-2830    </t>
  </si>
  <si>
    <t xml:space="preserve">D-2831    </t>
  </si>
  <si>
    <t xml:space="preserve">D-2832    </t>
  </si>
  <si>
    <t xml:space="preserve">D-2833    </t>
  </si>
  <si>
    <t xml:space="preserve">D-2834    </t>
  </si>
  <si>
    <t xml:space="preserve">D-2835    </t>
  </si>
  <si>
    <t xml:space="preserve">D-2836    </t>
  </si>
  <si>
    <t xml:space="preserve">D-2837    </t>
  </si>
  <si>
    <t xml:space="preserve">D-2838    </t>
  </si>
  <si>
    <t xml:space="preserve">D-2839    </t>
  </si>
  <si>
    <t xml:space="preserve">D-2840    </t>
  </si>
  <si>
    <t xml:space="preserve">D-2841    </t>
  </si>
  <si>
    <t xml:space="preserve">D-2842    </t>
  </si>
  <si>
    <t xml:space="preserve">D-2843    </t>
  </si>
  <si>
    <t xml:space="preserve">D-2844    </t>
  </si>
  <si>
    <t xml:space="preserve">D-2845    </t>
  </si>
  <si>
    <t xml:space="preserve">D-2846    </t>
  </si>
  <si>
    <t xml:space="preserve">D-2847    </t>
  </si>
  <si>
    <t xml:space="preserve">D-2848    </t>
  </si>
  <si>
    <t xml:space="preserve">D-2849    </t>
  </si>
  <si>
    <t xml:space="preserve">D-2850    </t>
  </si>
  <si>
    <t xml:space="preserve">D-2851    </t>
  </si>
  <si>
    <t xml:space="preserve">D-2852    </t>
  </si>
  <si>
    <t xml:space="preserve">D-2853    </t>
  </si>
  <si>
    <t xml:space="preserve">D-2854    </t>
  </si>
  <si>
    <t xml:space="preserve">D-2855    </t>
  </si>
  <si>
    <t xml:space="preserve">D-2856    </t>
  </si>
  <si>
    <t xml:space="preserve">D-2857    </t>
  </si>
  <si>
    <t xml:space="preserve">D-2858    </t>
  </si>
  <si>
    <t xml:space="preserve">D-2859    </t>
  </si>
  <si>
    <t xml:space="preserve">D-2860    </t>
  </si>
  <si>
    <t xml:space="preserve">D-2861    </t>
  </si>
  <si>
    <t xml:space="preserve">D-2862    </t>
  </si>
  <si>
    <t xml:space="preserve">D-2863    </t>
  </si>
  <si>
    <t xml:space="preserve">D-2864    </t>
  </si>
  <si>
    <t xml:space="preserve">D-2865    </t>
  </si>
  <si>
    <t xml:space="preserve">D-2866    </t>
  </si>
  <si>
    <t xml:space="preserve">D-2867    </t>
  </si>
  <si>
    <t xml:space="preserve">D-2868    </t>
  </si>
  <si>
    <t xml:space="preserve">D-2869    </t>
  </si>
  <si>
    <t xml:space="preserve">D-2870    </t>
  </si>
  <si>
    <t xml:space="preserve">D-2871    </t>
  </si>
  <si>
    <t xml:space="preserve">D-2872    </t>
  </si>
  <si>
    <t xml:space="preserve">D-2873    </t>
  </si>
  <si>
    <t xml:space="preserve">D-2874    </t>
  </si>
  <si>
    <t xml:space="preserve">D-2875    </t>
  </si>
  <si>
    <t xml:space="preserve">D-2876    </t>
  </si>
  <si>
    <t xml:space="preserve">D-2877    </t>
  </si>
  <si>
    <t xml:space="preserve">D-2878    </t>
  </si>
  <si>
    <t xml:space="preserve">D-2879    </t>
  </si>
  <si>
    <t xml:space="preserve">D-2880    </t>
  </si>
  <si>
    <t xml:space="preserve">D-2881    </t>
  </si>
  <si>
    <t xml:space="preserve">D-2882    </t>
  </si>
  <si>
    <t xml:space="preserve">D-2883    </t>
  </si>
  <si>
    <t xml:space="preserve">D-2884    </t>
  </si>
  <si>
    <t xml:space="preserve">D-2885    </t>
  </si>
  <si>
    <t xml:space="preserve">D-2886    </t>
  </si>
  <si>
    <t xml:space="preserve">D-2887    </t>
  </si>
  <si>
    <t xml:space="preserve">D-2888    </t>
  </si>
  <si>
    <t xml:space="preserve">D-2889    </t>
  </si>
  <si>
    <t xml:space="preserve">D-2890    </t>
  </si>
  <si>
    <t xml:space="preserve">D-2891    </t>
  </si>
  <si>
    <t xml:space="preserve">D-2892    </t>
  </si>
  <si>
    <t xml:space="preserve">D-2893    </t>
  </si>
  <si>
    <t xml:space="preserve">D-2894    </t>
  </si>
  <si>
    <t xml:space="preserve">D-2895    </t>
  </si>
  <si>
    <t xml:space="preserve">D-2896    </t>
  </si>
  <si>
    <t xml:space="preserve">D-2897    </t>
  </si>
  <si>
    <t xml:space="preserve">D-2898    </t>
  </si>
  <si>
    <t xml:space="preserve">D-2899    </t>
  </si>
  <si>
    <t xml:space="preserve">D-2900    </t>
  </si>
  <si>
    <t xml:space="preserve">D-2901    </t>
  </si>
  <si>
    <t xml:space="preserve">D-2902    </t>
  </si>
  <si>
    <t xml:space="preserve">D-2903    </t>
  </si>
  <si>
    <t xml:space="preserve">D-2904    </t>
  </si>
  <si>
    <t xml:space="preserve">D-2905    </t>
  </si>
  <si>
    <t xml:space="preserve">D-2906    </t>
  </si>
  <si>
    <t xml:space="preserve">D-2907    </t>
  </si>
  <si>
    <t xml:space="preserve">D-2908    </t>
  </si>
  <si>
    <t xml:space="preserve">D-2909    </t>
  </si>
  <si>
    <t xml:space="preserve">D-2910    </t>
  </si>
  <si>
    <t xml:space="preserve">D-2911    </t>
  </si>
  <si>
    <t xml:space="preserve">D-2912    </t>
  </si>
  <si>
    <t xml:space="preserve">D-2913    </t>
  </si>
  <si>
    <t xml:space="preserve">D-2914    </t>
  </si>
  <si>
    <t xml:space="preserve">D-2915    </t>
  </si>
  <si>
    <t xml:space="preserve">D-2916    </t>
  </si>
  <si>
    <t xml:space="preserve">D-2917    </t>
  </si>
  <si>
    <t xml:space="preserve">D-2918    </t>
  </si>
  <si>
    <t xml:space="preserve">D-2919    </t>
  </si>
  <si>
    <t xml:space="preserve">D-2920    </t>
  </si>
  <si>
    <t xml:space="preserve">D-2921    </t>
  </si>
  <si>
    <t xml:space="preserve">D-2922    </t>
  </si>
  <si>
    <t xml:space="preserve">D-2923    </t>
  </si>
  <si>
    <t xml:space="preserve">D-2924    </t>
  </si>
  <si>
    <t xml:space="preserve">D-2925    </t>
  </si>
  <si>
    <t xml:space="preserve">D-2926    </t>
  </si>
  <si>
    <t xml:space="preserve">D-2927    </t>
  </si>
  <si>
    <t xml:space="preserve">D-2928    </t>
  </si>
  <si>
    <t xml:space="preserve">D-2929    </t>
  </si>
  <si>
    <t xml:space="preserve">D-2930    </t>
  </si>
  <si>
    <t xml:space="preserve">D-2931    </t>
  </si>
  <si>
    <t xml:space="preserve">D-2932    </t>
  </si>
  <si>
    <t xml:space="preserve">D-2933    </t>
  </si>
  <si>
    <t xml:space="preserve">D-2934    </t>
  </si>
  <si>
    <t xml:space="preserve">D-2935    </t>
  </si>
  <si>
    <t xml:space="preserve">D-2936    </t>
  </si>
  <si>
    <t xml:space="preserve">D-2937    </t>
  </si>
  <si>
    <t xml:space="preserve">D-2938    </t>
  </si>
  <si>
    <t xml:space="preserve">D-2939    </t>
  </si>
  <si>
    <t xml:space="preserve">D-2940    </t>
  </si>
  <si>
    <t xml:space="preserve">D-2941    </t>
  </si>
  <si>
    <t xml:space="preserve">D-2942    </t>
  </si>
  <si>
    <t xml:space="preserve">D-2943    </t>
  </si>
  <si>
    <t xml:space="preserve">D-2944    </t>
  </si>
  <si>
    <t xml:space="preserve">D-2945    </t>
  </si>
  <si>
    <t xml:space="preserve">D-2946    </t>
  </si>
  <si>
    <t xml:space="preserve">D-2947    </t>
  </si>
  <si>
    <t xml:space="preserve">D-2948    </t>
  </si>
  <si>
    <t xml:space="preserve">D-2949    </t>
  </si>
  <si>
    <t xml:space="preserve">D-2950    </t>
  </si>
  <si>
    <t xml:space="preserve">D-2951    </t>
  </si>
  <si>
    <t xml:space="preserve">D-2952    </t>
  </si>
  <si>
    <t xml:space="preserve">D-2953    </t>
  </si>
  <si>
    <t xml:space="preserve">D-2954    </t>
  </si>
  <si>
    <t xml:space="preserve">D-2955    </t>
  </si>
  <si>
    <t xml:space="preserve">D-2956    </t>
  </si>
  <si>
    <t xml:space="preserve">D-2957    </t>
  </si>
  <si>
    <t xml:space="preserve">D-2958    </t>
  </si>
  <si>
    <t xml:space="preserve">D-2959    </t>
  </si>
  <si>
    <t xml:space="preserve">D-2960    </t>
  </si>
  <si>
    <t xml:space="preserve">D-2961    </t>
  </si>
  <si>
    <t xml:space="preserve">(158)MINERVA  PEREZ HERNANDEZ                                              </t>
  </si>
  <si>
    <t xml:space="preserve">D-2962    </t>
  </si>
  <si>
    <t xml:space="preserve">D-2963    </t>
  </si>
  <si>
    <t xml:space="preserve">D-2964    </t>
  </si>
  <si>
    <t xml:space="preserve">D-2965    </t>
  </si>
  <si>
    <t xml:space="preserve">D-2966    </t>
  </si>
  <si>
    <t xml:space="preserve">D-2967    </t>
  </si>
  <si>
    <t xml:space="preserve">D-2968    </t>
  </si>
  <si>
    <t xml:space="preserve">D-2969    </t>
  </si>
  <si>
    <t xml:space="preserve">D-2970    </t>
  </si>
  <si>
    <t xml:space="preserve">D-2971    </t>
  </si>
  <si>
    <t xml:space="preserve">D-2972    </t>
  </si>
  <si>
    <t xml:space="preserve">D-2973    </t>
  </si>
  <si>
    <t xml:space="preserve">D-2974    </t>
  </si>
  <si>
    <t xml:space="preserve">D-2975    </t>
  </si>
  <si>
    <t xml:space="preserve">D-2976    </t>
  </si>
  <si>
    <t xml:space="preserve">D-2977    </t>
  </si>
  <si>
    <t xml:space="preserve">D-2978    </t>
  </si>
  <si>
    <t xml:space="preserve">D-2979    </t>
  </si>
  <si>
    <t xml:space="preserve">D-2980    </t>
  </si>
  <si>
    <t xml:space="preserve">D-2981    </t>
  </si>
  <si>
    <t xml:space="preserve">D-2982    </t>
  </si>
  <si>
    <t xml:space="preserve">D-2983    </t>
  </si>
  <si>
    <t xml:space="preserve">D-2984    </t>
  </si>
  <si>
    <t xml:space="preserve">D-2985    </t>
  </si>
  <si>
    <t xml:space="preserve">D-2986    </t>
  </si>
  <si>
    <t xml:space="preserve">D-2987    </t>
  </si>
  <si>
    <t xml:space="preserve">D-2988    </t>
  </si>
  <si>
    <t xml:space="preserve">D-2989    </t>
  </si>
  <si>
    <t xml:space="preserve">D-2990    </t>
  </si>
  <si>
    <t xml:space="preserve">D-2991    </t>
  </si>
  <si>
    <t xml:space="preserve">D-2992    </t>
  </si>
  <si>
    <t xml:space="preserve">D-2993    </t>
  </si>
  <si>
    <t xml:space="preserve">D-2994    </t>
  </si>
  <si>
    <t xml:space="preserve">D-2995    </t>
  </si>
  <si>
    <t xml:space="preserve">D-2996    </t>
  </si>
  <si>
    <t xml:space="preserve">D-2997    </t>
  </si>
  <si>
    <t xml:space="preserve">D-2998    </t>
  </si>
  <si>
    <t xml:space="preserve">D-2999    </t>
  </si>
  <si>
    <t xml:space="preserve"> 03/03/2017 07/03/2017</t>
  </si>
  <si>
    <t xml:space="preserve">D-3000    </t>
  </si>
  <si>
    <t xml:space="preserve">D-3001    </t>
  </si>
  <si>
    <t xml:space="preserve">D-3002    </t>
  </si>
  <si>
    <t xml:space="preserve">D-3003    </t>
  </si>
  <si>
    <t xml:space="preserve">D-3004    </t>
  </si>
  <si>
    <t xml:space="preserve">D-3005    </t>
  </si>
  <si>
    <t xml:space="preserve">D-3006    </t>
  </si>
  <si>
    <t xml:space="preserve">D-3007    </t>
  </si>
  <si>
    <t xml:space="preserve">D-3008    </t>
  </si>
  <si>
    <t xml:space="preserve">D-3009    </t>
  </si>
  <si>
    <t xml:space="preserve">D-3010    </t>
  </si>
  <si>
    <t xml:space="preserve">D-3011    </t>
  </si>
  <si>
    <t>06/03/2017 08/03/2017</t>
  </si>
  <si>
    <t xml:space="preserve">D-3012    </t>
  </si>
  <si>
    <t xml:space="preserve">D-3013    </t>
  </si>
  <si>
    <t xml:space="preserve">D-3014    </t>
  </si>
  <si>
    <t xml:space="preserve">D-3015    </t>
  </si>
  <si>
    <t xml:space="preserve">D-3016    </t>
  </si>
  <si>
    <t xml:space="preserve">D-3017    </t>
  </si>
  <si>
    <t xml:space="preserve">D-3018    </t>
  </si>
  <si>
    <t xml:space="preserve">D-3019    </t>
  </si>
  <si>
    <t xml:space="preserve">D-3020    </t>
  </si>
  <si>
    <t xml:space="preserve">D-3021    </t>
  </si>
  <si>
    <t xml:space="preserve">D-3022    </t>
  </si>
  <si>
    <t xml:space="preserve">D-3023    </t>
  </si>
  <si>
    <t xml:space="preserve"> 03/03/2017 06/03/2017</t>
  </si>
  <si>
    <t xml:space="preserve">D-3024    </t>
  </si>
  <si>
    <t xml:space="preserve">D-3025    </t>
  </si>
  <si>
    <t xml:space="preserve">D-3026    </t>
  </si>
  <si>
    <t xml:space="preserve">D-3027    </t>
  </si>
  <si>
    <t xml:space="preserve">D-3028    </t>
  </si>
  <si>
    <t xml:space="preserve">D-3029    </t>
  </si>
  <si>
    <t xml:space="preserve">D-3030    </t>
  </si>
  <si>
    <t xml:space="preserve">D-3031    </t>
  </si>
  <si>
    <t xml:space="preserve">D-3032    </t>
  </si>
  <si>
    <t xml:space="preserve">D-3033    </t>
  </si>
  <si>
    <t xml:space="preserve">D-3034    </t>
  </si>
  <si>
    <t xml:space="preserve">D-3035    </t>
  </si>
  <si>
    <t xml:space="preserve">D-3036    </t>
  </si>
  <si>
    <t xml:space="preserve">D-3037    </t>
  </si>
  <si>
    <t xml:space="preserve">D-3038    </t>
  </si>
  <si>
    <t xml:space="preserve">D-3039    </t>
  </si>
  <si>
    <t xml:space="preserve">D-3040    </t>
  </si>
  <si>
    <t xml:space="preserve">D-3041    </t>
  </si>
  <si>
    <t xml:space="preserve">D-3042    </t>
  </si>
  <si>
    <t xml:space="preserve">D-3043    </t>
  </si>
  <si>
    <t xml:space="preserve">D-3044    </t>
  </si>
  <si>
    <t xml:space="preserve">D-3045    </t>
  </si>
  <si>
    <t xml:space="preserve">D-3046    </t>
  </si>
  <si>
    <t xml:space="preserve">D-3047    </t>
  </si>
  <si>
    <t xml:space="preserve">D-3048    </t>
  </si>
  <si>
    <t xml:space="preserve">D-3049    </t>
  </si>
  <si>
    <t xml:space="preserve">D-3050    </t>
  </si>
  <si>
    <t xml:space="preserve">D-3051    </t>
  </si>
  <si>
    <t xml:space="preserve">D-3052    </t>
  </si>
  <si>
    <t xml:space="preserve">D-3053    </t>
  </si>
  <si>
    <t xml:space="preserve">D-3054    </t>
  </si>
  <si>
    <t xml:space="preserve">D-3055    </t>
  </si>
  <si>
    <t xml:space="preserve">D-3056    </t>
  </si>
  <si>
    <t xml:space="preserve">D-3057    </t>
  </si>
  <si>
    <t xml:space="preserve">D-3058    </t>
  </si>
  <si>
    <t xml:space="preserve">D-3059    </t>
  </si>
  <si>
    <t xml:space="preserve">D-3060    </t>
  </si>
  <si>
    <t xml:space="preserve">D-3061    </t>
  </si>
  <si>
    <t xml:space="preserve">D-3062    </t>
  </si>
  <si>
    <t xml:space="preserve">D-3063    </t>
  </si>
  <si>
    <t xml:space="preserve">D-3064    </t>
  </si>
  <si>
    <t xml:space="preserve">D-3065    </t>
  </si>
  <si>
    <t xml:space="preserve">D-3066    </t>
  </si>
  <si>
    <t xml:space="preserve">D-3067    </t>
  </si>
  <si>
    <t xml:space="preserve">D-3068    </t>
  </si>
  <si>
    <t xml:space="preserve">D-3069    </t>
  </si>
  <si>
    <t>03/03/2017 08/03/2017 09/03/2017</t>
  </si>
  <si>
    <t xml:space="preserve">D-3070    </t>
  </si>
  <si>
    <t xml:space="preserve">D-3071    </t>
  </si>
  <si>
    <t xml:space="preserve">D-3072    </t>
  </si>
  <si>
    <t xml:space="preserve">D-3073    </t>
  </si>
  <si>
    <t xml:space="preserve">D-3074    </t>
  </si>
  <si>
    <t xml:space="preserve">D-3075    </t>
  </si>
  <si>
    <t xml:space="preserve">D-3076    </t>
  </si>
  <si>
    <t xml:space="preserve">D-3077    </t>
  </si>
  <si>
    <t xml:space="preserve">D-3078    </t>
  </si>
  <si>
    <t xml:space="preserve">D-3079    </t>
  </si>
  <si>
    <t xml:space="preserve">D-3080    </t>
  </si>
  <si>
    <t xml:space="preserve">D-3081    </t>
  </si>
  <si>
    <t xml:space="preserve">D-3082    </t>
  </si>
  <si>
    <t xml:space="preserve">D-3083    </t>
  </si>
  <si>
    <t xml:space="preserve">D-3084    </t>
  </si>
  <si>
    <t xml:space="preserve">D-3085    </t>
  </si>
  <si>
    <t xml:space="preserve">D-3086    </t>
  </si>
  <si>
    <t xml:space="preserve">D-3087    </t>
  </si>
  <si>
    <t xml:space="preserve">D-3088    </t>
  </si>
  <si>
    <t xml:space="preserve">D-3089    </t>
  </si>
  <si>
    <t xml:space="preserve">D-3090    </t>
  </si>
  <si>
    <t xml:space="preserve">D-3091    </t>
  </si>
  <si>
    <t xml:space="preserve">D-3092    </t>
  </si>
  <si>
    <t xml:space="preserve">D-3093    </t>
  </si>
  <si>
    <t xml:space="preserve">D-3094    </t>
  </si>
  <si>
    <t xml:space="preserve">D-3095    </t>
  </si>
  <si>
    <t xml:space="preserve">D-3096    </t>
  </si>
  <si>
    <t xml:space="preserve">D-3097    </t>
  </si>
  <si>
    <t xml:space="preserve">D-3098    </t>
  </si>
  <si>
    <t xml:space="preserve">D-3099    </t>
  </si>
  <si>
    <t xml:space="preserve">D-3100    </t>
  </si>
  <si>
    <t xml:space="preserve">D-3101    </t>
  </si>
  <si>
    <t xml:space="preserve">D-3102    </t>
  </si>
  <si>
    <t xml:space="preserve">D-3103    </t>
  </si>
  <si>
    <t xml:space="preserve">D-3104    </t>
  </si>
  <si>
    <t xml:space="preserve">D-3105    </t>
  </si>
  <si>
    <t xml:space="preserve">D-3106    </t>
  </si>
  <si>
    <t xml:space="preserve">(340)PLAZA ATLIXCO CHINOS                                                  </t>
  </si>
  <si>
    <t xml:space="preserve">D-3107    </t>
  </si>
  <si>
    <t xml:space="preserve">D-3108    </t>
  </si>
  <si>
    <t xml:space="preserve">D-3109    </t>
  </si>
  <si>
    <t xml:space="preserve">D-3110    </t>
  </si>
  <si>
    <t xml:space="preserve">D-3111    </t>
  </si>
  <si>
    <t xml:space="preserve">D-3112    </t>
  </si>
  <si>
    <t xml:space="preserve">D-3113    </t>
  </si>
  <si>
    <t xml:space="preserve">D-3114    </t>
  </si>
  <si>
    <t xml:space="preserve">D-3115    </t>
  </si>
  <si>
    <t xml:space="preserve">D-3116    </t>
  </si>
  <si>
    <t xml:space="preserve">D-3117    </t>
  </si>
  <si>
    <t xml:space="preserve">D-3118    </t>
  </si>
  <si>
    <t xml:space="preserve">D-3119    </t>
  </si>
  <si>
    <t xml:space="preserve">D-3120    </t>
  </si>
  <si>
    <t xml:space="preserve">D-3121    </t>
  </si>
  <si>
    <t xml:space="preserve">D-3122    </t>
  </si>
  <si>
    <t xml:space="preserve">D-3123    </t>
  </si>
  <si>
    <t xml:space="preserve">D-3124    </t>
  </si>
  <si>
    <t xml:space="preserve">D-3125    </t>
  </si>
  <si>
    <t xml:space="preserve">D-3126    </t>
  </si>
  <si>
    <t xml:space="preserve">D-3127    </t>
  </si>
  <si>
    <t xml:space="preserve">D-3128    </t>
  </si>
  <si>
    <t xml:space="preserve">D-3129    </t>
  </si>
  <si>
    <t xml:space="preserve">D-3130    </t>
  </si>
  <si>
    <t xml:space="preserve">D-3131    </t>
  </si>
  <si>
    <t xml:space="preserve">D-3132    </t>
  </si>
  <si>
    <t>08/03/2017 09/03/2017</t>
  </si>
  <si>
    <t xml:space="preserve">D-3133    </t>
  </si>
  <si>
    <t xml:space="preserve">D-3134    </t>
  </si>
  <si>
    <t xml:space="preserve">D-3135    </t>
  </si>
  <si>
    <t xml:space="preserve">D-3136    </t>
  </si>
  <si>
    <t xml:space="preserve">D-3137    </t>
  </si>
  <si>
    <t xml:space="preserve">D-3138    </t>
  </si>
  <si>
    <t xml:space="preserve">D-3139    </t>
  </si>
  <si>
    <t xml:space="preserve">D-3140    </t>
  </si>
  <si>
    <t xml:space="preserve">D-3141    </t>
  </si>
  <si>
    <t xml:space="preserve">D-3142    </t>
  </si>
  <si>
    <t xml:space="preserve">D-3143    </t>
  </si>
  <si>
    <t xml:space="preserve">D-3144    </t>
  </si>
  <si>
    <t xml:space="preserve">D-3145    </t>
  </si>
  <si>
    <t xml:space="preserve">D-3146    </t>
  </si>
  <si>
    <t xml:space="preserve">D-3147    </t>
  </si>
  <si>
    <t>07/03/2017 09/03/2017</t>
  </si>
  <si>
    <t xml:space="preserve">D-3148    </t>
  </si>
  <si>
    <t xml:space="preserve">D-3149    </t>
  </si>
  <si>
    <t xml:space="preserve">D-3150    </t>
  </si>
  <si>
    <t xml:space="preserve">D-3151    </t>
  </si>
  <si>
    <t xml:space="preserve">D-3152    </t>
  </si>
  <si>
    <t xml:space="preserve">D-3153    </t>
  </si>
  <si>
    <t xml:space="preserve">D-3154    </t>
  </si>
  <si>
    <t xml:space="preserve">D-3155    </t>
  </si>
  <si>
    <t xml:space="preserve">D-3156    </t>
  </si>
  <si>
    <t xml:space="preserve">D-3157    </t>
  </si>
  <si>
    <t xml:space="preserve">D-3158    </t>
  </si>
  <si>
    <t xml:space="preserve">D-3159    </t>
  </si>
  <si>
    <t xml:space="preserve">D-3160    </t>
  </si>
  <si>
    <t>07/03/2017 08/03/2017</t>
  </si>
  <si>
    <t xml:space="preserve">D-3161    </t>
  </si>
  <si>
    <t>04/03/2017 18/03/2017</t>
  </si>
  <si>
    <t xml:space="preserve">D-3162    </t>
  </si>
  <si>
    <t xml:space="preserve">D-3163    </t>
  </si>
  <si>
    <t xml:space="preserve">D-3164    </t>
  </si>
  <si>
    <t xml:space="preserve">D-3165    </t>
  </si>
  <si>
    <t xml:space="preserve">D-3166    </t>
  </si>
  <si>
    <t xml:space="preserve">D-3167    </t>
  </si>
  <si>
    <t>06/03/2017 07/03/2017 08/03/2017</t>
  </si>
  <si>
    <t xml:space="preserve">D-3168    </t>
  </si>
  <si>
    <t xml:space="preserve">D-3169    </t>
  </si>
  <si>
    <t xml:space="preserve">D-3170    </t>
  </si>
  <si>
    <t xml:space="preserve">D-3171    </t>
  </si>
  <si>
    <t xml:space="preserve">D-3172    </t>
  </si>
  <si>
    <t xml:space="preserve">D-3173    </t>
  </si>
  <si>
    <t xml:space="preserve">D-3174    </t>
  </si>
  <si>
    <t xml:space="preserve">D-3175    </t>
  </si>
  <si>
    <t xml:space="preserve">D-3176    </t>
  </si>
  <si>
    <t xml:space="preserve">D-3177    </t>
  </si>
  <si>
    <t xml:space="preserve">D-3178    </t>
  </si>
  <si>
    <t xml:space="preserve">D-3179    </t>
  </si>
  <si>
    <t xml:space="preserve">D-3180    </t>
  </si>
  <si>
    <t xml:space="preserve">D-3181    </t>
  </si>
  <si>
    <t xml:space="preserve">D-3182    </t>
  </si>
  <si>
    <t xml:space="preserve">D-3183    </t>
  </si>
  <si>
    <t xml:space="preserve">D-3184    </t>
  </si>
  <si>
    <t xml:space="preserve">D-3185    </t>
  </si>
  <si>
    <t xml:space="preserve">D-3186    </t>
  </si>
  <si>
    <t xml:space="preserve">D-3187    </t>
  </si>
  <si>
    <t xml:space="preserve">D-3188    </t>
  </si>
  <si>
    <t xml:space="preserve">D-3189    </t>
  </si>
  <si>
    <t xml:space="preserve">D-3190    </t>
  </si>
  <si>
    <t xml:space="preserve">D-3191    </t>
  </si>
  <si>
    <t xml:space="preserve">D-3192    </t>
  </si>
  <si>
    <t xml:space="preserve">D-3193    </t>
  </si>
  <si>
    <t xml:space="preserve">D-3194    </t>
  </si>
  <si>
    <t xml:space="preserve">D-3195    </t>
  </si>
  <si>
    <t xml:space="preserve">D-3196    </t>
  </si>
  <si>
    <t xml:space="preserve">D-3197    </t>
  </si>
  <si>
    <t xml:space="preserve">D-3198    </t>
  </si>
  <si>
    <t xml:space="preserve">D-3199    </t>
  </si>
  <si>
    <t xml:space="preserve">D-3200    </t>
  </si>
  <si>
    <t xml:space="preserve">D-3201    </t>
  </si>
  <si>
    <t xml:space="preserve">D-3202    </t>
  </si>
  <si>
    <t xml:space="preserve">D-3203    </t>
  </si>
  <si>
    <t xml:space="preserve">D-3204    </t>
  </si>
  <si>
    <t xml:space="preserve">D-3205    </t>
  </si>
  <si>
    <t xml:space="preserve">D-3206    </t>
  </si>
  <si>
    <t xml:space="preserve">D-3207    </t>
  </si>
  <si>
    <t xml:space="preserve">D-3208    </t>
  </si>
  <si>
    <t xml:space="preserve">D-3209    </t>
  </si>
  <si>
    <t xml:space="preserve">D-3210    </t>
  </si>
  <si>
    <t xml:space="preserve">D-3211    </t>
  </si>
  <si>
    <t xml:space="preserve">D-3212    </t>
  </si>
  <si>
    <t xml:space="preserve">D-3213    </t>
  </si>
  <si>
    <t xml:space="preserve">D-3214    </t>
  </si>
  <si>
    <t xml:space="preserve">D-3215    </t>
  </si>
  <si>
    <t xml:space="preserve">D-3216    </t>
  </si>
  <si>
    <t xml:space="preserve">D-3217    </t>
  </si>
  <si>
    <t xml:space="preserve">D-3218    </t>
  </si>
  <si>
    <t xml:space="preserve">D-3219    </t>
  </si>
  <si>
    <t xml:space="preserve">D-3220    </t>
  </si>
  <si>
    <t xml:space="preserve">D-3221    </t>
  </si>
  <si>
    <t xml:space="preserve">D-3222    </t>
  </si>
  <si>
    <t xml:space="preserve">D-3223    </t>
  </si>
  <si>
    <t xml:space="preserve">D-3224    </t>
  </si>
  <si>
    <t xml:space="preserve">D-3225    </t>
  </si>
  <si>
    <t xml:space="preserve">D-3226    </t>
  </si>
  <si>
    <t xml:space="preserve">D-3227    </t>
  </si>
  <si>
    <t xml:space="preserve">D-3228    </t>
  </si>
  <si>
    <t xml:space="preserve">D-3229    </t>
  </si>
  <si>
    <t xml:space="preserve">D-3230    </t>
  </si>
  <si>
    <t xml:space="preserve">D-3231    </t>
  </si>
  <si>
    <t xml:space="preserve">D-3232    </t>
  </si>
  <si>
    <t xml:space="preserve">D-3233    </t>
  </si>
  <si>
    <t xml:space="preserve">D-3234    </t>
  </si>
  <si>
    <t xml:space="preserve">D-3235    </t>
  </si>
  <si>
    <t xml:space="preserve">D-3236    </t>
  </si>
  <si>
    <t xml:space="preserve">D-3237    </t>
  </si>
  <si>
    <t xml:space="preserve">D-3238    </t>
  </si>
  <si>
    <t xml:space="preserve">D-3239    </t>
  </si>
  <si>
    <t xml:space="preserve">D-3240    </t>
  </si>
  <si>
    <t xml:space="preserve">D-3241    </t>
  </si>
  <si>
    <t xml:space="preserve">D-3242    </t>
  </si>
  <si>
    <t xml:space="preserve">D-3243    </t>
  </si>
  <si>
    <t xml:space="preserve">D-3244    </t>
  </si>
  <si>
    <t xml:space="preserve">D-3245    </t>
  </si>
  <si>
    <t xml:space="preserve">D-3246    </t>
  </si>
  <si>
    <t xml:space="preserve">D-3247    </t>
  </si>
  <si>
    <t xml:space="preserve">D-3248    </t>
  </si>
  <si>
    <t xml:space="preserve">D-3249    </t>
  </si>
  <si>
    <t xml:space="preserve">D-3250    </t>
  </si>
  <si>
    <t xml:space="preserve">D-3251    </t>
  </si>
  <si>
    <t xml:space="preserve">D-3252    </t>
  </si>
  <si>
    <t xml:space="preserve">D-3253    </t>
  </si>
  <si>
    <t xml:space="preserve">D-3254    </t>
  </si>
  <si>
    <t xml:space="preserve">D-3255    </t>
  </si>
  <si>
    <t xml:space="preserve">D-3256    </t>
  </si>
  <si>
    <t xml:space="preserve">D-3257    </t>
  </si>
  <si>
    <t xml:space="preserve">D-3258    </t>
  </si>
  <si>
    <t xml:space="preserve">D-3259    </t>
  </si>
  <si>
    <t xml:space="preserve">D-3260    </t>
  </si>
  <si>
    <t xml:space="preserve">D-3261    </t>
  </si>
  <si>
    <t xml:space="preserve">D-3262    </t>
  </si>
  <si>
    <t xml:space="preserve">D-3263    </t>
  </si>
  <si>
    <t xml:space="preserve">D-3264    </t>
  </si>
  <si>
    <t xml:space="preserve">D-3265    </t>
  </si>
  <si>
    <t xml:space="preserve">D-3266    </t>
  </si>
  <si>
    <t xml:space="preserve">D-3267    </t>
  </si>
  <si>
    <t xml:space="preserve">D-3268    </t>
  </si>
  <si>
    <t xml:space="preserve">D-3269    </t>
  </si>
  <si>
    <t xml:space="preserve">D-3270    </t>
  </si>
  <si>
    <t xml:space="preserve">D-3271    </t>
  </si>
  <si>
    <t xml:space="preserve">D-3272    </t>
  </si>
  <si>
    <t xml:space="preserve">D-3273    </t>
  </si>
  <si>
    <t xml:space="preserve">D-3274    </t>
  </si>
  <si>
    <t xml:space="preserve">D-3275    </t>
  </si>
  <si>
    <t xml:space="preserve">D-3276    </t>
  </si>
  <si>
    <t xml:space="preserve">D-3277    </t>
  </si>
  <si>
    <t xml:space="preserve">D-3278    </t>
  </si>
  <si>
    <t xml:space="preserve">D-3279    </t>
  </si>
  <si>
    <t xml:space="preserve">D-3280    </t>
  </si>
  <si>
    <t xml:space="preserve">D-3281    </t>
  </si>
  <si>
    <t xml:space="preserve">D-3282    </t>
  </si>
  <si>
    <t xml:space="preserve">D-3283    </t>
  </si>
  <si>
    <t xml:space="preserve">D-3284    </t>
  </si>
  <si>
    <t xml:space="preserve">D-3285    </t>
  </si>
  <si>
    <t xml:space="preserve">D-3286    </t>
  </si>
  <si>
    <t xml:space="preserve">D-3287    </t>
  </si>
  <si>
    <t xml:space="preserve">D-3288    </t>
  </si>
  <si>
    <t xml:space="preserve">D-3289    </t>
  </si>
  <si>
    <t xml:space="preserve">D-3290    </t>
  </si>
  <si>
    <t xml:space="preserve">(441)MIGUEL HUERTA                                                         </t>
  </si>
  <si>
    <t xml:space="preserve">D-3291    </t>
  </si>
  <si>
    <t xml:space="preserve">D-3292    </t>
  </si>
  <si>
    <t xml:space="preserve">D-3293    </t>
  </si>
  <si>
    <t xml:space="preserve">D-3294    </t>
  </si>
  <si>
    <t xml:space="preserve">D-3295    </t>
  </si>
  <si>
    <t xml:space="preserve">D-3296    </t>
  </si>
  <si>
    <t xml:space="preserve">D-3297    </t>
  </si>
  <si>
    <t xml:space="preserve">D-3298    </t>
  </si>
  <si>
    <t xml:space="preserve">D-3299    </t>
  </si>
  <si>
    <t xml:space="preserve">D-3300    </t>
  </si>
  <si>
    <t xml:space="preserve">D-3301    </t>
  </si>
  <si>
    <t xml:space="preserve">D-3302    </t>
  </si>
  <si>
    <t xml:space="preserve">D-3303    </t>
  </si>
  <si>
    <t xml:space="preserve">D-3304    </t>
  </si>
  <si>
    <t>06/03/2017 12/03/2017</t>
  </si>
  <si>
    <t xml:space="preserve">D-3305    </t>
  </si>
  <si>
    <t xml:space="preserve">D-3306    </t>
  </si>
  <si>
    <t xml:space="preserve">D-3307    </t>
  </si>
  <si>
    <t xml:space="preserve">D-3308    </t>
  </si>
  <si>
    <t xml:space="preserve">D-3309    </t>
  </si>
  <si>
    <t xml:space="preserve">D-3310    </t>
  </si>
  <si>
    <t xml:space="preserve">D-3311    </t>
  </si>
  <si>
    <t xml:space="preserve">D-3312    </t>
  </si>
  <si>
    <t xml:space="preserve">D-3313    </t>
  </si>
  <si>
    <t xml:space="preserve">D-3314    </t>
  </si>
  <si>
    <t xml:space="preserve">D-3315    </t>
  </si>
  <si>
    <t xml:space="preserve">D-3316    </t>
  </si>
  <si>
    <t xml:space="preserve">D-3317    </t>
  </si>
  <si>
    <t xml:space="preserve">D-3318    </t>
  </si>
  <si>
    <t xml:space="preserve">D-3319    </t>
  </si>
  <si>
    <t xml:space="preserve">D-3320    </t>
  </si>
  <si>
    <t xml:space="preserve">D-3321    </t>
  </si>
  <si>
    <t xml:space="preserve">D-3322    </t>
  </si>
  <si>
    <t xml:space="preserve">D-3323    </t>
  </si>
  <si>
    <t xml:space="preserve">D-3324    </t>
  </si>
  <si>
    <t xml:space="preserve">D-3325    </t>
  </si>
  <si>
    <t xml:space="preserve">D-3326    </t>
  </si>
  <si>
    <t xml:space="preserve">D-3327    </t>
  </si>
  <si>
    <t xml:space="preserve">D-3328    </t>
  </si>
  <si>
    <t xml:space="preserve">D-3329    </t>
  </si>
  <si>
    <t xml:space="preserve">D-3330    </t>
  </si>
  <si>
    <t xml:space="preserve">D-3331    </t>
  </si>
  <si>
    <t xml:space="preserve">D-3332    </t>
  </si>
  <si>
    <t xml:space="preserve">D-3333    </t>
  </si>
  <si>
    <t xml:space="preserve">D-3334    </t>
  </si>
  <si>
    <t xml:space="preserve">D-3335    </t>
  </si>
  <si>
    <t xml:space="preserve">D-3336    </t>
  </si>
  <si>
    <t xml:space="preserve">D-3337    </t>
  </si>
  <si>
    <t xml:space="preserve">D-3338    </t>
  </si>
  <si>
    <t xml:space="preserve">D-3339    </t>
  </si>
  <si>
    <t xml:space="preserve">D-3340    </t>
  </si>
  <si>
    <t xml:space="preserve">D-3341    </t>
  </si>
  <si>
    <t xml:space="preserve">D-3342    </t>
  </si>
  <si>
    <t xml:space="preserve">D-3343    </t>
  </si>
  <si>
    <t xml:space="preserve">D-3344    </t>
  </si>
  <si>
    <t xml:space="preserve">D-3345    </t>
  </si>
  <si>
    <t xml:space="preserve">D-3346    </t>
  </si>
  <si>
    <t xml:space="preserve">D-3347    </t>
  </si>
  <si>
    <t xml:space="preserve">D-3348    </t>
  </si>
  <si>
    <t xml:space="preserve">D-3349    </t>
  </si>
  <si>
    <t xml:space="preserve">D-3350    </t>
  </si>
  <si>
    <t xml:space="preserve">D-3351    </t>
  </si>
  <si>
    <t>17/03/2017 18/03/2017 21/03/2017</t>
  </si>
  <si>
    <t xml:space="preserve">D-3352    </t>
  </si>
  <si>
    <t xml:space="preserve">D-3353    </t>
  </si>
  <si>
    <t xml:space="preserve">D-3354    </t>
  </si>
  <si>
    <t xml:space="preserve">D-3355    </t>
  </si>
  <si>
    <t xml:space="preserve">D-3356    </t>
  </si>
  <si>
    <t xml:space="preserve">D-3357    </t>
  </si>
  <si>
    <t xml:space="preserve">D-3358    </t>
  </si>
  <si>
    <t xml:space="preserve">D-3359    </t>
  </si>
  <si>
    <t xml:space="preserve">D-3360    </t>
  </si>
  <si>
    <t xml:space="preserve">D-3361    </t>
  </si>
  <si>
    <t xml:space="preserve">D-3362    </t>
  </si>
  <si>
    <t xml:space="preserve">D-3363    </t>
  </si>
  <si>
    <t xml:space="preserve">D-3364    </t>
  </si>
  <si>
    <t xml:space="preserve">D-3365    </t>
  </si>
  <si>
    <t xml:space="preserve">D-3366    </t>
  </si>
  <si>
    <t xml:space="preserve">D-3367    </t>
  </si>
  <si>
    <t xml:space="preserve">D-3368    </t>
  </si>
  <si>
    <t xml:space="preserve">D-3369    </t>
  </si>
  <si>
    <t xml:space="preserve">D-3370    </t>
  </si>
  <si>
    <t xml:space="preserve">D-3371    </t>
  </si>
  <si>
    <t xml:space="preserve">D-3372    </t>
  </si>
  <si>
    <t xml:space="preserve">D-3373    </t>
  </si>
  <si>
    <t xml:space="preserve">D-3374    </t>
  </si>
  <si>
    <t xml:space="preserve">D-3375    </t>
  </si>
  <si>
    <t xml:space="preserve">D-3376    </t>
  </si>
  <si>
    <t xml:space="preserve">D-3377    </t>
  </si>
  <si>
    <t xml:space="preserve">D-3378    </t>
  </si>
  <si>
    <t xml:space="preserve">D-3379    </t>
  </si>
  <si>
    <t xml:space="preserve">D-3380    </t>
  </si>
  <si>
    <t xml:space="preserve">D-3381    </t>
  </si>
  <si>
    <t xml:space="preserve">D-3382    </t>
  </si>
  <si>
    <t xml:space="preserve">D-3383    </t>
  </si>
  <si>
    <t xml:space="preserve">D-3384    </t>
  </si>
  <si>
    <t xml:space="preserve">D-3385    </t>
  </si>
  <si>
    <t xml:space="preserve">D-3386    </t>
  </si>
  <si>
    <t xml:space="preserve">D-3387    </t>
  </si>
  <si>
    <t xml:space="preserve">D-3388    </t>
  </si>
  <si>
    <t xml:space="preserve">D-3389    </t>
  </si>
  <si>
    <t xml:space="preserve">D-3390    </t>
  </si>
  <si>
    <t xml:space="preserve">D-3391    </t>
  </si>
  <si>
    <t xml:space="preserve">D-3392    </t>
  </si>
  <si>
    <t xml:space="preserve">D-3393    </t>
  </si>
  <si>
    <t xml:space="preserve">D-3394    </t>
  </si>
  <si>
    <t xml:space="preserve">D-3395    </t>
  </si>
  <si>
    <t xml:space="preserve">D-3396    </t>
  </si>
  <si>
    <t xml:space="preserve">D-3397    </t>
  </si>
  <si>
    <t xml:space="preserve">D-3398    </t>
  </si>
  <si>
    <t xml:space="preserve">D-3399    </t>
  </si>
  <si>
    <t xml:space="preserve">D-3400    </t>
  </si>
  <si>
    <t xml:space="preserve">D-3401    </t>
  </si>
  <si>
    <t xml:space="preserve">D-3402    </t>
  </si>
  <si>
    <t xml:space="preserve">D-3403    </t>
  </si>
  <si>
    <t xml:space="preserve">D-3404    </t>
  </si>
  <si>
    <t xml:space="preserve">D-3405    </t>
  </si>
  <si>
    <t xml:space="preserve">D-3406    </t>
  </si>
  <si>
    <t xml:space="preserve">D-3407    </t>
  </si>
  <si>
    <t xml:space="preserve">D-3408    </t>
  </si>
  <si>
    <t xml:space="preserve">D-3409    </t>
  </si>
  <si>
    <t xml:space="preserve">D-3410    </t>
  </si>
  <si>
    <t xml:space="preserve">D-3411    </t>
  </si>
  <si>
    <t xml:space="preserve">D-3412    </t>
  </si>
  <si>
    <t xml:space="preserve">D-3413    </t>
  </si>
  <si>
    <t xml:space="preserve">D-3414    </t>
  </si>
  <si>
    <t xml:space="preserve">D-3415    </t>
  </si>
  <si>
    <t xml:space="preserve">D-3416    </t>
  </si>
  <si>
    <t xml:space="preserve">D-3417    </t>
  </si>
  <si>
    <t xml:space="preserve">D-3418    </t>
  </si>
  <si>
    <t xml:space="preserve">D-3419    </t>
  </si>
  <si>
    <t xml:space="preserve">D-3420    </t>
  </si>
  <si>
    <t xml:space="preserve">D-3421    </t>
  </si>
  <si>
    <t xml:space="preserve">D-3422    </t>
  </si>
  <si>
    <t xml:space="preserve">D-3423    </t>
  </si>
  <si>
    <t xml:space="preserve">D-3424    </t>
  </si>
  <si>
    <t xml:space="preserve">D-3425    </t>
  </si>
  <si>
    <t xml:space="preserve">D-3426    </t>
  </si>
  <si>
    <t>09/03/2017 10/03/2017</t>
  </si>
  <si>
    <t xml:space="preserve">D-3427    </t>
  </si>
  <si>
    <t xml:space="preserve">D-3428    </t>
  </si>
  <si>
    <t xml:space="preserve">D-3429    </t>
  </si>
  <si>
    <t xml:space="preserve">D-3430    </t>
  </si>
  <si>
    <t xml:space="preserve">D-3431    </t>
  </si>
  <si>
    <t xml:space="preserve">D-3432    </t>
  </si>
  <si>
    <t xml:space="preserve">D-3433    </t>
  </si>
  <si>
    <t xml:space="preserve">D-3434    </t>
  </si>
  <si>
    <t xml:space="preserve">D-3435    </t>
  </si>
  <si>
    <t xml:space="preserve">D-3436    </t>
  </si>
  <si>
    <t xml:space="preserve">D-3437    </t>
  </si>
  <si>
    <t xml:space="preserve">D-3438    </t>
  </si>
  <si>
    <t xml:space="preserve">D-3439    </t>
  </si>
  <si>
    <t xml:space="preserve">D-3440    </t>
  </si>
  <si>
    <t xml:space="preserve">D-3441    </t>
  </si>
  <si>
    <t xml:space="preserve">D-3442    </t>
  </si>
  <si>
    <t xml:space="preserve">D-3443    </t>
  </si>
  <si>
    <t xml:space="preserve">D-3444    </t>
  </si>
  <si>
    <t xml:space="preserve">D-3445    </t>
  </si>
  <si>
    <t xml:space="preserve">D-3446    </t>
  </si>
  <si>
    <t xml:space="preserve">D-3447    </t>
  </si>
  <si>
    <t xml:space="preserve">D-3448    </t>
  </si>
  <si>
    <t xml:space="preserve">D-3449    </t>
  </si>
  <si>
    <t xml:space="preserve">D-3450    </t>
  </si>
  <si>
    <t xml:space="preserve">D-3451    </t>
  </si>
  <si>
    <t xml:space="preserve">D-3452    </t>
  </si>
  <si>
    <t xml:space="preserve">D-3453    </t>
  </si>
  <si>
    <t xml:space="preserve">D-3454    </t>
  </si>
  <si>
    <t xml:space="preserve">D-3455    </t>
  </si>
  <si>
    <t xml:space="preserve">D-3456    </t>
  </si>
  <si>
    <t xml:space="preserve">D-3457    </t>
  </si>
  <si>
    <t xml:space="preserve">D-3458    </t>
  </si>
  <si>
    <t xml:space="preserve">D-3459    </t>
  </si>
  <si>
    <t xml:space="preserve">D-3460    </t>
  </si>
  <si>
    <t xml:space="preserve">D-3461    </t>
  </si>
  <si>
    <t xml:space="preserve">D-3462    </t>
  </si>
  <si>
    <t xml:space="preserve">D-3463    </t>
  </si>
  <si>
    <t xml:space="preserve">D-3464    </t>
  </si>
  <si>
    <t xml:space="preserve">D-3465    </t>
  </si>
  <si>
    <t xml:space="preserve">D-3466    </t>
  </si>
  <si>
    <t xml:space="preserve">D-3467    </t>
  </si>
  <si>
    <t xml:space="preserve">D-3468    </t>
  </si>
  <si>
    <t xml:space="preserve">D-3469    </t>
  </si>
  <si>
    <t xml:space="preserve">D-3470    </t>
  </si>
  <si>
    <t xml:space="preserve">D-3471    </t>
  </si>
  <si>
    <t xml:space="preserve">D-3472    </t>
  </si>
  <si>
    <t xml:space="preserve">D-3473    </t>
  </si>
  <si>
    <t xml:space="preserve">D-3474    </t>
  </si>
  <si>
    <t xml:space="preserve">D-3475    </t>
  </si>
  <si>
    <t xml:space="preserve">D-3476    </t>
  </si>
  <si>
    <t xml:space="preserve">D-3477    </t>
  </si>
  <si>
    <t xml:space="preserve">D-3478    </t>
  </si>
  <si>
    <t xml:space="preserve">D-3479    </t>
  </si>
  <si>
    <t xml:space="preserve">D-3480    </t>
  </si>
  <si>
    <t xml:space="preserve">D-3481    </t>
  </si>
  <si>
    <t xml:space="preserve">D-3482    </t>
  </si>
  <si>
    <t xml:space="preserve">D-3483    </t>
  </si>
  <si>
    <t xml:space="preserve">D-3484    </t>
  </si>
  <si>
    <t xml:space="preserve">D-3485    </t>
  </si>
  <si>
    <t xml:space="preserve">D-3486    </t>
  </si>
  <si>
    <t xml:space="preserve">D-3487    </t>
  </si>
  <si>
    <t xml:space="preserve">D-3488    </t>
  </si>
  <si>
    <t xml:space="preserve">D-3489    </t>
  </si>
  <si>
    <t xml:space="preserve">D-3490    </t>
  </si>
  <si>
    <t xml:space="preserve">D-3491    </t>
  </si>
  <si>
    <t xml:space="preserve">D-3492    </t>
  </si>
  <si>
    <t xml:space="preserve">D-3493    </t>
  </si>
  <si>
    <t xml:space="preserve">D-3494    </t>
  </si>
  <si>
    <t xml:space="preserve">D-3495    </t>
  </si>
  <si>
    <t xml:space="preserve">D-3496    </t>
  </si>
  <si>
    <t xml:space="preserve">D-3497    </t>
  </si>
  <si>
    <t xml:space="preserve">D-3498    </t>
  </si>
  <si>
    <t xml:space="preserve">D-3499    </t>
  </si>
  <si>
    <t xml:space="preserve">D-3500    </t>
  </si>
  <si>
    <t xml:space="preserve">D-3501    </t>
  </si>
  <si>
    <t xml:space="preserve">D-3502    </t>
  </si>
  <si>
    <t xml:space="preserve">D-3503    </t>
  </si>
  <si>
    <t xml:space="preserve">D-3504    </t>
  </si>
  <si>
    <t xml:space="preserve">D-3505    </t>
  </si>
  <si>
    <t xml:space="preserve">D-3506    </t>
  </si>
  <si>
    <t xml:space="preserve">D-3507    </t>
  </si>
  <si>
    <t xml:space="preserve">D-3508    </t>
  </si>
  <si>
    <t xml:space="preserve">D-3509    </t>
  </si>
  <si>
    <t xml:space="preserve">D-3510    </t>
  </si>
  <si>
    <t xml:space="preserve">D-3511    </t>
  </si>
  <si>
    <t xml:space="preserve">D-3512    </t>
  </si>
  <si>
    <t xml:space="preserve">D-3513    </t>
  </si>
  <si>
    <t xml:space="preserve">D-3514    </t>
  </si>
  <si>
    <t xml:space="preserve">D-3515    </t>
  </si>
  <si>
    <t xml:space="preserve">D-3516    </t>
  </si>
  <si>
    <t xml:space="preserve">D-3517    </t>
  </si>
  <si>
    <t xml:space="preserve">D-3518    </t>
  </si>
  <si>
    <t xml:space="preserve">D-3519    </t>
  </si>
  <si>
    <t xml:space="preserve">D-3520    </t>
  </si>
  <si>
    <t xml:space="preserve">D-3521    </t>
  </si>
  <si>
    <t xml:space="preserve">D-3522    </t>
  </si>
  <si>
    <t xml:space="preserve">D-3523    </t>
  </si>
  <si>
    <t xml:space="preserve">D-3524    </t>
  </si>
  <si>
    <t xml:space="preserve">D-3525    </t>
  </si>
  <si>
    <t xml:space="preserve">D-3526    </t>
  </si>
  <si>
    <t xml:space="preserve">D-3527    </t>
  </si>
  <si>
    <t xml:space="preserve">D-3528    </t>
  </si>
  <si>
    <t xml:space="preserve">D-3529    </t>
  </si>
  <si>
    <t xml:space="preserve">D-3530    </t>
  </si>
  <si>
    <t xml:space="preserve">D-3531    </t>
  </si>
  <si>
    <t xml:space="preserve">D-3532    </t>
  </si>
  <si>
    <t xml:space="preserve">D-3533    </t>
  </si>
  <si>
    <t xml:space="preserve">D-3534    </t>
  </si>
  <si>
    <t xml:space="preserve">D-3535    </t>
  </si>
  <si>
    <t xml:space="preserve">D-3536    </t>
  </si>
  <si>
    <t xml:space="preserve">D-3537    </t>
  </si>
  <si>
    <t xml:space="preserve">D-3538    </t>
  </si>
  <si>
    <t xml:space="preserve">D-3539    </t>
  </si>
  <si>
    <t xml:space="preserve">D-3540    </t>
  </si>
  <si>
    <t xml:space="preserve">D-3541    </t>
  </si>
  <si>
    <t xml:space="preserve">D-3542    </t>
  </si>
  <si>
    <t xml:space="preserve">D-3543    </t>
  </si>
  <si>
    <t xml:space="preserve">D-3544    </t>
  </si>
  <si>
    <t xml:space="preserve">D-3545    </t>
  </si>
  <si>
    <t xml:space="preserve">D-3546    </t>
  </si>
  <si>
    <t xml:space="preserve">D-3547    </t>
  </si>
  <si>
    <t xml:space="preserve">D-3548    </t>
  </si>
  <si>
    <t xml:space="preserve">D-3549    </t>
  </si>
  <si>
    <t xml:space="preserve">D-3550    </t>
  </si>
  <si>
    <t xml:space="preserve">D-3551    </t>
  </si>
  <si>
    <t xml:space="preserve">D-3552    </t>
  </si>
  <si>
    <t xml:space="preserve">D-3553    </t>
  </si>
  <si>
    <t xml:space="preserve">D-3554    </t>
  </si>
  <si>
    <t xml:space="preserve">D-3555    </t>
  </si>
  <si>
    <t xml:space="preserve">D-3556    </t>
  </si>
  <si>
    <t xml:space="preserve">D-3557    </t>
  </si>
  <si>
    <t xml:space="preserve">D-3558    </t>
  </si>
  <si>
    <t xml:space="preserve">D-3559    </t>
  </si>
  <si>
    <t xml:space="preserve">D-3560    </t>
  </si>
  <si>
    <t xml:space="preserve">D-3561    </t>
  </si>
  <si>
    <t xml:space="preserve">D-3562    </t>
  </si>
  <si>
    <t xml:space="preserve">D-3563    </t>
  </si>
  <si>
    <t xml:space="preserve">D-3564    </t>
  </si>
  <si>
    <t xml:space="preserve">D-3565    </t>
  </si>
  <si>
    <t xml:space="preserve">D-3566    </t>
  </si>
  <si>
    <t xml:space="preserve">D-3567    </t>
  </si>
  <si>
    <t xml:space="preserve">D-3568    </t>
  </si>
  <si>
    <t>22/03/2017 30/03/2017</t>
  </si>
  <si>
    <t xml:space="preserve">D-3569    </t>
  </si>
  <si>
    <t xml:space="preserve">D-3570    </t>
  </si>
  <si>
    <t xml:space="preserve">D-3571    </t>
  </si>
  <si>
    <t xml:space="preserve">D-3572    </t>
  </si>
  <si>
    <t xml:space="preserve">D-3573    </t>
  </si>
  <si>
    <t xml:space="preserve">D-3574    </t>
  </si>
  <si>
    <t xml:space="preserve">D-3575    </t>
  </si>
  <si>
    <t xml:space="preserve">D-3576    </t>
  </si>
  <si>
    <t xml:space="preserve">D-3577    </t>
  </si>
  <si>
    <t xml:space="preserve">D-3578    </t>
  </si>
  <si>
    <t xml:space="preserve">D-3579    </t>
  </si>
  <si>
    <t xml:space="preserve">D-3580    </t>
  </si>
  <si>
    <t xml:space="preserve">D-3581    </t>
  </si>
  <si>
    <t xml:space="preserve">D-3582    </t>
  </si>
  <si>
    <t xml:space="preserve">D-3583    </t>
  </si>
  <si>
    <t xml:space="preserve">D-3584    </t>
  </si>
  <si>
    <t xml:space="preserve">D-3585    </t>
  </si>
  <si>
    <t xml:space="preserve">D-3586    </t>
  </si>
  <si>
    <t xml:space="preserve">D-3587    </t>
  </si>
  <si>
    <t xml:space="preserve">D-3588    </t>
  </si>
  <si>
    <t xml:space="preserve">D-3589    </t>
  </si>
  <si>
    <t>10/03/2017 11/03/2017</t>
  </si>
  <si>
    <t xml:space="preserve">D-3590    </t>
  </si>
  <si>
    <t xml:space="preserve">D-3591    </t>
  </si>
  <si>
    <t xml:space="preserve">D-3592    </t>
  </si>
  <si>
    <t xml:space="preserve">D-3593    </t>
  </si>
  <si>
    <t xml:space="preserve">D-3594    </t>
  </si>
  <si>
    <t xml:space="preserve">D-3595    </t>
  </si>
  <si>
    <t xml:space="preserve">D-3596    </t>
  </si>
  <si>
    <t xml:space="preserve">D-3597    </t>
  </si>
  <si>
    <t xml:space="preserve">D-3598    </t>
  </si>
  <si>
    <t xml:space="preserve">D-3599    </t>
  </si>
  <si>
    <t xml:space="preserve">D-3600    </t>
  </si>
  <si>
    <t xml:space="preserve">D-3601    </t>
  </si>
  <si>
    <t xml:space="preserve">D-3602    </t>
  </si>
  <si>
    <t xml:space="preserve">D-3603    </t>
  </si>
  <si>
    <t xml:space="preserve">D-3604    </t>
  </si>
  <si>
    <t>10/03/2017 17/03/2017</t>
  </si>
  <si>
    <t xml:space="preserve">D-3605    </t>
  </si>
  <si>
    <t xml:space="preserve">D-3606    </t>
  </si>
  <si>
    <t xml:space="preserve">D-3607    </t>
  </si>
  <si>
    <t xml:space="preserve">D-3608    </t>
  </si>
  <si>
    <t xml:space="preserve">D-3609    </t>
  </si>
  <si>
    <t xml:space="preserve">D-3610    </t>
  </si>
  <si>
    <t xml:space="preserve">D-3611    </t>
  </si>
  <si>
    <t xml:space="preserve">D-3612    </t>
  </si>
  <si>
    <t xml:space="preserve">D-3613    </t>
  </si>
  <si>
    <t xml:space="preserve">D-3614    </t>
  </si>
  <si>
    <t xml:space="preserve">D-3615    </t>
  </si>
  <si>
    <t xml:space="preserve">D-3616    </t>
  </si>
  <si>
    <t xml:space="preserve">D-3617    </t>
  </si>
  <si>
    <t xml:space="preserve">D-3618    </t>
  </si>
  <si>
    <t xml:space="preserve">D-3619    </t>
  </si>
  <si>
    <t xml:space="preserve">D-3620    </t>
  </si>
  <si>
    <t xml:space="preserve">D-3621    </t>
  </si>
  <si>
    <t xml:space="preserve">D-3622    </t>
  </si>
  <si>
    <t xml:space="preserve">D-3623    </t>
  </si>
  <si>
    <t xml:space="preserve">D-3624    </t>
  </si>
  <si>
    <t xml:space="preserve">D-3625    </t>
  </si>
  <si>
    <t xml:space="preserve">D-3626    </t>
  </si>
  <si>
    <t xml:space="preserve">D-3627    </t>
  </si>
  <si>
    <t xml:space="preserve">D-3628    </t>
  </si>
  <si>
    <t xml:space="preserve">D-3629    </t>
  </si>
  <si>
    <t xml:space="preserve">D-3630    </t>
  </si>
  <si>
    <t xml:space="preserve">D-3631    </t>
  </si>
  <si>
    <t xml:space="preserve">D-3632    </t>
  </si>
  <si>
    <t xml:space="preserve">D-3633    </t>
  </si>
  <si>
    <t xml:space="preserve">D-3634    </t>
  </si>
  <si>
    <t xml:space="preserve">D-3635    </t>
  </si>
  <si>
    <t xml:space="preserve">D-3636    </t>
  </si>
  <si>
    <t xml:space="preserve">D-3637    </t>
  </si>
  <si>
    <t xml:space="preserve">D-3638    </t>
  </si>
  <si>
    <t xml:space="preserve">D-3639    </t>
  </si>
  <si>
    <t xml:space="preserve">D-3640    </t>
  </si>
  <si>
    <t xml:space="preserve">D-3641    </t>
  </si>
  <si>
    <t xml:space="preserve">D-3642    </t>
  </si>
  <si>
    <t xml:space="preserve">D-3643    </t>
  </si>
  <si>
    <t xml:space="preserve">D-3644    </t>
  </si>
  <si>
    <t xml:space="preserve">D-3645    </t>
  </si>
  <si>
    <t xml:space="preserve">D-3646    </t>
  </si>
  <si>
    <t xml:space="preserve">D-3647    </t>
  </si>
  <si>
    <t xml:space="preserve">D-3648    </t>
  </si>
  <si>
    <t xml:space="preserve">D-3649    </t>
  </si>
  <si>
    <t xml:space="preserve">D-3650    </t>
  </si>
  <si>
    <t xml:space="preserve">D-3651    </t>
  </si>
  <si>
    <t xml:space="preserve">D-3652    </t>
  </si>
  <si>
    <t xml:space="preserve">D-3653    </t>
  </si>
  <si>
    <t xml:space="preserve">D-3654    </t>
  </si>
  <si>
    <t xml:space="preserve">D-3655    </t>
  </si>
  <si>
    <t xml:space="preserve">D-3656    </t>
  </si>
  <si>
    <t xml:space="preserve">D-3657    </t>
  </si>
  <si>
    <t xml:space="preserve">D-3658    </t>
  </si>
  <si>
    <t xml:space="preserve">D-3659    </t>
  </si>
  <si>
    <t xml:space="preserve">D-3660    </t>
  </si>
  <si>
    <t xml:space="preserve">D-3661    </t>
  </si>
  <si>
    <t xml:space="preserve">D-3662    </t>
  </si>
  <si>
    <t xml:space="preserve">D-3663    </t>
  </si>
  <si>
    <t xml:space="preserve">D-3664    </t>
  </si>
  <si>
    <t xml:space="preserve">D-3665    </t>
  </si>
  <si>
    <t xml:space="preserve">D-3666    </t>
  </si>
  <si>
    <t xml:space="preserve">D-3667    </t>
  </si>
  <si>
    <t xml:space="preserve">D-3668    </t>
  </si>
  <si>
    <t xml:space="preserve">D-3669    </t>
  </si>
  <si>
    <t xml:space="preserve">D-3670    </t>
  </si>
  <si>
    <t xml:space="preserve">D-3671    </t>
  </si>
  <si>
    <t xml:space="preserve">D-3672    </t>
  </si>
  <si>
    <t xml:space="preserve">D-3673    </t>
  </si>
  <si>
    <t xml:space="preserve">D-3674    </t>
  </si>
  <si>
    <t xml:space="preserve">D-3675    </t>
  </si>
  <si>
    <t xml:space="preserve">D-3676    </t>
  </si>
  <si>
    <t xml:space="preserve">D-3677    </t>
  </si>
  <si>
    <t xml:space="preserve">D-3678    </t>
  </si>
  <si>
    <t xml:space="preserve">D-3679    </t>
  </si>
  <si>
    <t xml:space="preserve">D-3680    </t>
  </si>
  <si>
    <t xml:space="preserve">D-3681    </t>
  </si>
  <si>
    <t xml:space="preserve">D-3682    </t>
  </si>
  <si>
    <t xml:space="preserve">D-3683    </t>
  </si>
  <si>
    <t xml:space="preserve">D-3684    </t>
  </si>
  <si>
    <t xml:space="preserve">D-3685    </t>
  </si>
  <si>
    <t xml:space="preserve">D-3686    </t>
  </si>
  <si>
    <t xml:space="preserve">D-3687    </t>
  </si>
  <si>
    <t xml:space="preserve">D-3688    </t>
  </si>
  <si>
    <t xml:space="preserve">D-3689    </t>
  </si>
  <si>
    <t xml:space="preserve">D-3690    </t>
  </si>
  <si>
    <t xml:space="preserve">D-3691    </t>
  </si>
  <si>
    <t xml:space="preserve">(315)BERNARDO JIMENEZ MARTINEZ                                             </t>
  </si>
  <si>
    <t xml:space="preserve">D-3692    </t>
  </si>
  <si>
    <t xml:space="preserve">D-3693    </t>
  </si>
  <si>
    <t xml:space="preserve">D-3694    </t>
  </si>
  <si>
    <t xml:space="preserve">D-3695    </t>
  </si>
  <si>
    <t xml:space="preserve">D-3696    </t>
  </si>
  <si>
    <t xml:space="preserve">D-3697    </t>
  </si>
  <si>
    <t xml:space="preserve">D-3698    </t>
  </si>
  <si>
    <t xml:space="preserve">D-3699    </t>
  </si>
  <si>
    <t xml:space="preserve">D-3700    </t>
  </si>
  <si>
    <t xml:space="preserve">D-3701    </t>
  </si>
  <si>
    <t xml:space="preserve">D-3702    </t>
  </si>
  <si>
    <t xml:space="preserve">D-3703    </t>
  </si>
  <si>
    <t xml:space="preserve">D-3704    </t>
  </si>
  <si>
    <t xml:space="preserve">D-3705    </t>
  </si>
  <si>
    <t xml:space="preserve">D-3706    </t>
  </si>
  <si>
    <t xml:space="preserve">D-3707    </t>
  </si>
  <si>
    <t xml:space="preserve">D-3708    </t>
  </si>
  <si>
    <t xml:space="preserve">D-3709    </t>
  </si>
  <si>
    <t xml:space="preserve">D-3710    </t>
  </si>
  <si>
    <t xml:space="preserve">D-3711    </t>
  </si>
  <si>
    <t xml:space="preserve">D-3712    </t>
  </si>
  <si>
    <t xml:space="preserve">D-3713    </t>
  </si>
  <si>
    <t xml:space="preserve">D-3714    </t>
  </si>
  <si>
    <t xml:space="preserve">D-3715    </t>
  </si>
  <si>
    <t xml:space="preserve">D-3716    </t>
  </si>
  <si>
    <t xml:space="preserve">D-3717    </t>
  </si>
  <si>
    <t xml:space="preserve">D-3718    </t>
  </si>
  <si>
    <t xml:space="preserve">D-3719    </t>
  </si>
  <si>
    <t xml:space="preserve">D-3720    </t>
  </si>
  <si>
    <t xml:space="preserve">D-3721    </t>
  </si>
  <si>
    <t xml:space="preserve">D-3722    </t>
  </si>
  <si>
    <t xml:space="preserve">D-3723    </t>
  </si>
  <si>
    <t xml:space="preserve">D-3724    </t>
  </si>
  <si>
    <t>16/03/2017 23/03/2017</t>
  </si>
  <si>
    <t xml:space="preserve">D-3725    </t>
  </si>
  <si>
    <t xml:space="preserve">D-3726    </t>
  </si>
  <si>
    <t xml:space="preserve">D-3727    </t>
  </si>
  <si>
    <t xml:space="preserve">D-3728    </t>
  </si>
  <si>
    <t xml:space="preserve">D-3729    </t>
  </si>
  <si>
    <t xml:space="preserve">D-3730    </t>
  </si>
  <si>
    <t xml:space="preserve">D-3731    </t>
  </si>
  <si>
    <t xml:space="preserve">D-3732    </t>
  </si>
  <si>
    <t xml:space="preserve">D-3733    </t>
  </si>
  <si>
    <t xml:space="preserve">D-3734    </t>
  </si>
  <si>
    <t xml:space="preserve">D-3735    </t>
  </si>
  <si>
    <t xml:space="preserve">D-3736    </t>
  </si>
  <si>
    <t xml:space="preserve">D-3737    </t>
  </si>
  <si>
    <t xml:space="preserve">D-3738    </t>
  </si>
  <si>
    <t xml:space="preserve">D-3739    </t>
  </si>
  <si>
    <t xml:space="preserve">D-3740    </t>
  </si>
  <si>
    <t xml:space="preserve">D-3741    </t>
  </si>
  <si>
    <t xml:space="preserve">D-3742    </t>
  </si>
  <si>
    <t xml:space="preserve">D-3743    </t>
  </si>
  <si>
    <t xml:space="preserve">D-3744    </t>
  </si>
  <si>
    <t xml:space="preserve">D-3745    </t>
  </si>
  <si>
    <t xml:space="preserve">D-3746    </t>
  </si>
  <si>
    <t xml:space="preserve">D-3747    </t>
  </si>
  <si>
    <t xml:space="preserve">D-3748    </t>
  </si>
  <si>
    <t xml:space="preserve">D-3749    </t>
  </si>
  <si>
    <t xml:space="preserve">D-3750    </t>
  </si>
  <si>
    <t xml:space="preserve">D-3751    </t>
  </si>
  <si>
    <t xml:space="preserve">D-3752    </t>
  </si>
  <si>
    <t xml:space="preserve">D-3753    </t>
  </si>
  <si>
    <t xml:space="preserve">D-3754    </t>
  </si>
  <si>
    <t xml:space="preserve">D-3755    </t>
  </si>
  <si>
    <t xml:space="preserve">D-3756    </t>
  </si>
  <si>
    <t xml:space="preserve">D-3757    </t>
  </si>
  <si>
    <t xml:space="preserve">D-3758    </t>
  </si>
  <si>
    <t xml:space="preserve">D-3759    </t>
  </si>
  <si>
    <t xml:space="preserve">D-3760    </t>
  </si>
  <si>
    <t xml:space="preserve">D-3761    </t>
  </si>
  <si>
    <t xml:space="preserve">D-3762    </t>
  </si>
  <si>
    <t xml:space="preserve">D-3763    </t>
  </si>
  <si>
    <t xml:space="preserve">D-3764    </t>
  </si>
  <si>
    <t xml:space="preserve">D-3765    </t>
  </si>
  <si>
    <t xml:space="preserve">D-3766    </t>
  </si>
  <si>
    <t xml:space="preserve">D-3767    </t>
  </si>
  <si>
    <t xml:space="preserve">D-3768    </t>
  </si>
  <si>
    <t xml:space="preserve">D-3769    </t>
  </si>
  <si>
    <t xml:space="preserve">D-3770    </t>
  </si>
  <si>
    <t xml:space="preserve">D-3771    </t>
  </si>
  <si>
    <t xml:space="preserve">D-3772    </t>
  </si>
  <si>
    <t xml:space="preserve">D-3773    </t>
  </si>
  <si>
    <t xml:space="preserve">D-3774    </t>
  </si>
  <si>
    <t xml:space="preserve">D-3775    </t>
  </si>
  <si>
    <t xml:space="preserve">D-3776    </t>
  </si>
  <si>
    <t xml:space="preserve">D-3777    </t>
  </si>
  <si>
    <t xml:space="preserve">D-3778    </t>
  </si>
  <si>
    <t xml:space="preserve">D-3779    </t>
  </si>
  <si>
    <t xml:space="preserve">D-3780    </t>
  </si>
  <si>
    <t xml:space="preserve">D-3781    </t>
  </si>
  <si>
    <t xml:space="preserve">D-3782    </t>
  </si>
  <si>
    <t xml:space="preserve">D-3783    </t>
  </si>
  <si>
    <t xml:space="preserve">D-3784    </t>
  </si>
  <si>
    <t xml:space="preserve">D-3785    </t>
  </si>
  <si>
    <t xml:space="preserve">D-3786    </t>
  </si>
  <si>
    <t xml:space="preserve">D-3787    </t>
  </si>
  <si>
    <t xml:space="preserve">D-3788    </t>
  </si>
  <si>
    <t xml:space="preserve">D-3789    </t>
  </si>
  <si>
    <t xml:space="preserve">D-3790    </t>
  </si>
  <si>
    <t xml:space="preserve">D-3791    </t>
  </si>
  <si>
    <t xml:space="preserve">D-3792    </t>
  </si>
  <si>
    <t xml:space="preserve">D-3793    </t>
  </si>
  <si>
    <t xml:space="preserve">D-3794    </t>
  </si>
  <si>
    <t xml:space="preserve">D-3795    </t>
  </si>
  <si>
    <t xml:space="preserve">D-3796    </t>
  </si>
  <si>
    <t xml:space="preserve">D-3797    </t>
  </si>
  <si>
    <t xml:space="preserve">D-3798    </t>
  </si>
  <si>
    <t xml:space="preserve">D-3799    </t>
  </si>
  <si>
    <t xml:space="preserve">D-3800    </t>
  </si>
  <si>
    <t xml:space="preserve">D-3801    </t>
  </si>
  <si>
    <t xml:space="preserve">D-3802    </t>
  </si>
  <si>
    <t xml:space="preserve">D-3803    </t>
  </si>
  <si>
    <t xml:space="preserve">D-3804    </t>
  </si>
  <si>
    <t xml:space="preserve">D-3805    </t>
  </si>
  <si>
    <t xml:space="preserve">D-3806    </t>
  </si>
  <si>
    <t xml:space="preserve">D-3807    </t>
  </si>
  <si>
    <t xml:space="preserve">D-3808    </t>
  </si>
  <si>
    <t xml:space="preserve">D-3809    </t>
  </si>
  <si>
    <t>11/03/2017 15/03/2017</t>
  </si>
  <si>
    <t xml:space="preserve">D-3810    </t>
  </si>
  <si>
    <t xml:space="preserve">D-3811    </t>
  </si>
  <si>
    <t xml:space="preserve">D-3812    </t>
  </si>
  <si>
    <t xml:space="preserve">D-3813    </t>
  </si>
  <si>
    <t xml:space="preserve">D-3814    </t>
  </si>
  <si>
    <t xml:space="preserve">D-3815    </t>
  </si>
  <si>
    <t xml:space="preserve">D-3816    </t>
  </si>
  <si>
    <t xml:space="preserve">D-3817    </t>
  </si>
  <si>
    <t xml:space="preserve">D-3818    </t>
  </si>
  <si>
    <t xml:space="preserve">D-3819    </t>
  </si>
  <si>
    <t xml:space="preserve">D-3820    </t>
  </si>
  <si>
    <t xml:space="preserve">D-3821    </t>
  </si>
  <si>
    <t xml:space="preserve">D-3822    </t>
  </si>
  <si>
    <t xml:space="preserve">D-3823    </t>
  </si>
  <si>
    <t>09/03/2017 11/03/2017 23/03/2017</t>
  </si>
  <si>
    <t xml:space="preserve">D-3824    </t>
  </si>
  <si>
    <t xml:space="preserve">D-3825    </t>
  </si>
  <si>
    <t xml:space="preserve">D-3826    </t>
  </si>
  <si>
    <t xml:space="preserve">D-3827    </t>
  </si>
  <si>
    <t xml:space="preserve">D-3828    </t>
  </si>
  <si>
    <t xml:space="preserve">D-3829    </t>
  </si>
  <si>
    <t xml:space="preserve">D-3830    </t>
  </si>
  <si>
    <t xml:space="preserve">D-3831    </t>
  </si>
  <si>
    <t xml:space="preserve">D-3832    </t>
  </si>
  <si>
    <t xml:space="preserve">D-3833    </t>
  </si>
  <si>
    <t xml:space="preserve">D-3834    </t>
  </si>
  <si>
    <t xml:space="preserve">D-3835    </t>
  </si>
  <si>
    <t xml:space="preserve">D-3836    </t>
  </si>
  <si>
    <t xml:space="preserve">D-3837    </t>
  </si>
  <si>
    <t xml:space="preserve">D-3838    </t>
  </si>
  <si>
    <t xml:space="preserve">D-3839    </t>
  </si>
  <si>
    <t xml:space="preserve">D-3840    </t>
  </si>
  <si>
    <t xml:space="preserve">D-3841    </t>
  </si>
  <si>
    <t xml:space="preserve">D-3842    </t>
  </si>
  <si>
    <t xml:space="preserve">D-3843    </t>
  </si>
  <si>
    <t xml:space="preserve">D-3844    </t>
  </si>
  <si>
    <t xml:space="preserve">D-3845    </t>
  </si>
  <si>
    <t xml:space="preserve">D-3846    </t>
  </si>
  <si>
    <t xml:space="preserve">D-3847    </t>
  </si>
  <si>
    <t xml:space="preserve">D-3848    </t>
  </si>
  <si>
    <t xml:space="preserve">D-3849    </t>
  </si>
  <si>
    <t xml:space="preserve">D-3850    </t>
  </si>
  <si>
    <t xml:space="preserve">D-3851    </t>
  </si>
  <si>
    <t xml:space="preserve">D-3852    </t>
  </si>
  <si>
    <t xml:space="preserve">D-3853    </t>
  </si>
  <si>
    <t xml:space="preserve">D-3854    </t>
  </si>
  <si>
    <t xml:space="preserve">D-3855    </t>
  </si>
  <si>
    <t xml:space="preserve">D-3856    </t>
  </si>
  <si>
    <t xml:space="preserve">D-3857    </t>
  </si>
  <si>
    <t xml:space="preserve">D-3858    </t>
  </si>
  <si>
    <t xml:space="preserve">D-3859    </t>
  </si>
  <si>
    <t xml:space="preserve">D-3860    </t>
  </si>
  <si>
    <t xml:space="preserve">D-3861    </t>
  </si>
  <si>
    <t xml:space="preserve">D-3862    </t>
  </si>
  <si>
    <t xml:space="preserve">D-3863    </t>
  </si>
  <si>
    <t xml:space="preserve">D-3864    </t>
  </si>
  <si>
    <t xml:space="preserve">D-3865    </t>
  </si>
  <si>
    <t xml:space="preserve">D-3866    </t>
  </si>
  <si>
    <t xml:space="preserve">D-3867    </t>
  </si>
  <si>
    <t xml:space="preserve">D-3868    </t>
  </si>
  <si>
    <t xml:space="preserve">D-3869    </t>
  </si>
  <si>
    <t xml:space="preserve">D-3870    </t>
  </si>
  <si>
    <t xml:space="preserve">D-3871    </t>
  </si>
  <si>
    <t xml:space="preserve">D-3872    </t>
  </si>
  <si>
    <t xml:space="preserve">D-3873    </t>
  </si>
  <si>
    <t xml:space="preserve">D-3874    </t>
  </si>
  <si>
    <t xml:space="preserve">D-3875    </t>
  </si>
  <si>
    <t xml:space="preserve">D-3876    </t>
  </si>
  <si>
    <t xml:space="preserve">D-3877    </t>
  </si>
  <si>
    <t xml:space="preserve">D-3878    </t>
  </si>
  <si>
    <t xml:space="preserve">D-3879    </t>
  </si>
  <si>
    <t xml:space="preserve">D-3880    </t>
  </si>
  <si>
    <t xml:space="preserve">D-3881    </t>
  </si>
  <si>
    <t xml:space="preserve">D-3882    </t>
  </si>
  <si>
    <t xml:space="preserve">D-3883    </t>
  </si>
  <si>
    <t xml:space="preserve">D-3884    </t>
  </si>
  <si>
    <t xml:space="preserve">D-3885    </t>
  </si>
  <si>
    <t xml:space="preserve">D-3886    </t>
  </si>
  <si>
    <t xml:space="preserve">D-3887    </t>
  </si>
  <si>
    <t xml:space="preserve">D-3888    </t>
  </si>
  <si>
    <t xml:space="preserve">D-3889    </t>
  </si>
  <si>
    <t xml:space="preserve">D-3890    </t>
  </si>
  <si>
    <t xml:space="preserve">D-3891    </t>
  </si>
  <si>
    <t xml:space="preserve">D-3892    </t>
  </si>
  <si>
    <t xml:space="preserve">D-3893    </t>
  </si>
  <si>
    <t xml:space="preserve">D-3894    </t>
  </si>
  <si>
    <t xml:space="preserve">D-3895    </t>
  </si>
  <si>
    <t xml:space="preserve">D-3896    </t>
  </si>
  <si>
    <t xml:space="preserve">D-3897    </t>
  </si>
  <si>
    <t xml:space="preserve">D-3898    </t>
  </si>
  <si>
    <t xml:space="preserve">D-3899    </t>
  </si>
  <si>
    <t xml:space="preserve">D-3900    </t>
  </si>
  <si>
    <t xml:space="preserve">D-3901    </t>
  </si>
  <si>
    <t>14/03/2017 16/03/2017</t>
  </si>
  <si>
    <t xml:space="preserve">D-3902    </t>
  </si>
  <si>
    <t xml:space="preserve">D-3903    </t>
  </si>
  <si>
    <t xml:space="preserve">D-3904    </t>
  </si>
  <si>
    <t xml:space="preserve">D-3905    </t>
  </si>
  <si>
    <t xml:space="preserve">D-3906    </t>
  </si>
  <si>
    <t xml:space="preserve">D-3907    </t>
  </si>
  <si>
    <t xml:space="preserve">D-3908    </t>
  </si>
  <si>
    <t xml:space="preserve">D-3909    </t>
  </si>
  <si>
    <t xml:space="preserve">D-3910    </t>
  </si>
  <si>
    <t xml:space="preserve">D-3911    </t>
  </si>
  <si>
    <t xml:space="preserve">D-3912    </t>
  </si>
  <si>
    <t xml:space="preserve">D-3913    </t>
  </si>
  <si>
    <t xml:space="preserve">D-3914    </t>
  </si>
  <si>
    <t xml:space="preserve">D-3915    </t>
  </si>
  <si>
    <t xml:space="preserve">D-3916    </t>
  </si>
  <si>
    <t xml:space="preserve">D-3917    </t>
  </si>
  <si>
    <t xml:space="preserve">D-3918    </t>
  </si>
  <si>
    <t xml:space="preserve">D-3919    </t>
  </si>
  <si>
    <t xml:space="preserve">D-3920    </t>
  </si>
  <si>
    <t xml:space="preserve">D-3921    </t>
  </si>
  <si>
    <t xml:space="preserve">D-3922    </t>
  </si>
  <si>
    <t xml:space="preserve">D-3923    </t>
  </si>
  <si>
    <t xml:space="preserve">D-3924    </t>
  </si>
  <si>
    <t xml:space="preserve">D-3925    </t>
  </si>
  <si>
    <t xml:space="preserve">D-3926    </t>
  </si>
  <si>
    <t xml:space="preserve">D-3927    </t>
  </si>
  <si>
    <t xml:space="preserve">D-3928    </t>
  </si>
  <si>
    <t xml:space="preserve">D-3929    </t>
  </si>
  <si>
    <t xml:space="preserve">D-3930    </t>
  </si>
  <si>
    <t xml:space="preserve">D-3931    </t>
  </si>
  <si>
    <t xml:space="preserve">D-3932    </t>
  </si>
  <si>
    <t>18/03/2017 28/03/2017</t>
  </si>
  <si>
    <t xml:space="preserve">D-3933    </t>
  </si>
  <si>
    <t xml:space="preserve">D-3934    </t>
  </si>
  <si>
    <t xml:space="preserve">D-3935    </t>
  </si>
  <si>
    <t xml:space="preserve">D-3936    </t>
  </si>
  <si>
    <t xml:space="preserve">D-3937    </t>
  </si>
  <si>
    <t xml:space="preserve">D-3938    </t>
  </si>
  <si>
    <t xml:space="preserve">D-3939    </t>
  </si>
  <si>
    <t xml:space="preserve">D-3940    </t>
  </si>
  <si>
    <t xml:space="preserve">D-3941    </t>
  </si>
  <si>
    <t xml:space="preserve">D-3942    </t>
  </si>
  <si>
    <t xml:space="preserve">D-3943    </t>
  </si>
  <si>
    <t xml:space="preserve">D-3944    </t>
  </si>
  <si>
    <t xml:space="preserve">D-3945    </t>
  </si>
  <si>
    <t xml:space="preserve">D-3946    </t>
  </si>
  <si>
    <t xml:space="preserve">D-3947    </t>
  </si>
  <si>
    <t xml:space="preserve">D-3948    </t>
  </si>
  <si>
    <t xml:space="preserve">D-3949    </t>
  </si>
  <si>
    <t xml:space="preserve">D-3950    </t>
  </si>
  <si>
    <t xml:space="preserve">D-3951    </t>
  </si>
  <si>
    <t xml:space="preserve">D-3952    </t>
  </si>
  <si>
    <t xml:space="preserve">D-3953    </t>
  </si>
  <si>
    <t xml:space="preserve">D-3954    </t>
  </si>
  <si>
    <t xml:space="preserve">D-3955    </t>
  </si>
  <si>
    <t xml:space="preserve">D-3956    </t>
  </si>
  <si>
    <t xml:space="preserve">D-3957    </t>
  </si>
  <si>
    <t xml:space="preserve">D-3958    </t>
  </si>
  <si>
    <t xml:space="preserve">D-3959    </t>
  </si>
  <si>
    <t xml:space="preserve">D-3960    </t>
  </si>
  <si>
    <t xml:space="preserve">D-3961    </t>
  </si>
  <si>
    <t xml:space="preserve">D-3962    </t>
  </si>
  <si>
    <t xml:space="preserve">D-3963    </t>
  </si>
  <si>
    <t xml:space="preserve">D-3964    </t>
  </si>
  <si>
    <t xml:space="preserve">D-3965    </t>
  </si>
  <si>
    <t xml:space="preserve">D-3966    </t>
  </si>
  <si>
    <t xml:space="preserve">D-3967    </t>
  </si>
  <si>
    <t xml:space="preserve">D-3968    </t>
  </si>
  <si>
    <t xml:space="preserve">D-3969    </t>
  </si>
  <si>
    <t xml:space="preserve">D-3970    </t>
  </si>
  <si>
    <t xml:space="preserve">D-3971    </t>
  </si>
  <si>
    <t xml:space="preserve">D-3972    </t>
  </si>
  <si>
    <t xml:space="preserve">D-3973    </t>
  </si>
  <si>
    <t xml:space="preserve">D-3974    </t>
  </si>
  <si>
    <t xml:space="preserve">D-3975    </t>
  </si>
  <si>
    <t xml:space="preserve">D-3976    </t>
  </si>
  <si>
    <t xml:space="preserve">D-3977    </t>
  </si>
  <si>
    <t xml:space="preserve">D-3978    </t>
  </si>
  <si>
    <t xml:space="preserve">D-3979    </t>
  </si>
  <si>
    <t xml:space="preserve">D-3980    </t>
  </si>
  <si>
    <t xml:space="preserve">D-3981    </t>
  </si>
  <si>
    <t xml:space="preserve">D-3982    </t>
  </si>
  <si>
    <t xml:space="preserve">D-3983    </t>
  </si>
  <si>
    <t xml:space="preserve">D-3984    </t>
  </si>
  <si>
    <t xml:space="preserve">D-3985    </t>
  </si>
  <si>
    <t xml:space="preserve">D-3986    </t>
  </si>
  <si>
    <t xml:space="preserve">D-3987    </t>
  </si>
  <si>
    <t xml:space="preserve">D-3988    </t>
  </si>
  <si>
    <t xml:space="preserve">D-3989    </t>
  </si>
  <si>
    <t xml:space="preserve">D-3990    </t>
  </si>
  <si>
    <t xml:space="preserve">D-3991    </t>
  </si>
  <si>
    <t xml:space="preserve">D-3992    </t>
  </si>
  <si>
    <t xml:space="preserve">D-3993    </t>
  </si>
  <si>
    <t xml:space="preserve">D-3994    </t>
  </si>
  <si>
    <t xml:space="preserve">D-3995    </t>
  </si>
  <si>
    <t xml:space="preserve">D-3996    </t>
  </si>
  <si>
    <t xml:space="preserve">D-3997    </t>
  </si>
  <si>
    <t xml:space="preserve">D-3998    </t>
  </si>
  <si>
    <t xml:space="preserve">D-3999    </t>
  </si>
  <si>
    <t xml:space="preserve">D-4000    </t>
  </si>
  <si>
    <t xml:space="preserve">D-4001    </t>
  </si>
  <si>
    <t xml:space="preserve">D-4002    </t>
  </si>
  <si>
    <t xml:space="preserve">D-4003    </t>
  </si>
  <si>
    <t xml:space="preserve">D-4004    </t>
  </si>
  <si>
    <t xml:space="preserve">D-4005    </t>
  </si>
  <si>
    <t xml:space="preserve">D-4006    </t>
  </si>
  <si>
    <t xml:space="preserve">D-4007    </t>
  </si>
  <si>
    <t xml:space="preserve">D-4008    </t>
  </si>
  <si>
    <t xml:space="preserve">D-4009    </t>
  </si>
  <si>
    <t xml:space="preserve">D-4010    </t>
  </si>
  <si>
    <t xml:space="preserve">D-4011    </t>
  </si>
  <si>
    <t xml:space="preserve">D-4012    </t>
  </si>
  <si>
    <t xml:space="preserve">D-4013    </t>
  </si>
  <si>
    <t xml:space="preserve">D-4014    </t>
  </si>
  <si>
    <t xml:space="preserve">D-4015    </t>
  </si>
  <si>
    <t xml:space="preserve">D-4016    </t>
  </si>
  <si>
    <t xml:space="preserve">D-4017    </t>
  </si>
  <si>
    <t xml:space="preserve">D-4018    </t>
  </si>
  <si>
    <t xml:space="preserve">D-4019    </t>
  </si>
  <si>
    <t xml:space="preserve">D-4020    </t>
  </si>
  <si>
    <t xml:space="preserve">D-4021    </t>
  </si>
  <si>
    <t xml:space="preserve">D-4022    </t>
  </si>
  <si>
    <t xml:space="preserve">D-4023    </t>
  </si>
  <si>
    <t xml:space="preserve">D-4024    </t>
  </si>
  <si>
    <t xml:space="preserve">D-4025    </t>
  </si>
  <si>
    <t xml:space="preserve">D-4026    </t>
  </si>
  <si>
    <t xml:space="preserve">D-4027    </t>
  </si>
  <si>
    <t xml:space="preserve">D-4028    </t>
  </si>
  <si>
    <t xml:space="preserve">D-4029    </t>
  </si>
  <si>
    <t xml:space="preserve">D-4030    </t>
  </si>
  <si>
    <t xml:space="preserve">D-4031    </t>
  </si>
  <si>
    <t xml:space="preserve">D-4032    </t>
  </si>
  <si>
    <t xml:space="preserve">D-4033    </t>
  </si>
  <si>
    <t xml:space="preserve">D-4034    </t>
  </si>
  <si>
    <t xml:space="preserve">D-4035    </t>
  </si>
  <si>
    <t xml:space="preserve">D-4036    </t>
  </si>
  <si>
    <t xml:space="preserve">D-4037    </t>
  </si>
  <si>
    <t xml:space="preserve">D-4038    </t>
  </si>
  <si>
    <t xml:space="preserve">D-4039    </t>
  </si>
  <si>
    <t xml:space="preserve">D-4040    </t>
  </si>
  <si>
    <t xml:space="preserve">D-4041    </t>
  </si>
  <si>
    <t xml:space="preserve">D-4042    </t>
  </si>
  <si>
    <t xml:space="preserve">D-4043    </t>
  </si>
  <si>
    <t xml:space="preserve">D-4044    </t>
  </si>
  <si>
    <t xml:space="preserve">D-4045    </t>
  </si>
  <si>
    <t xml:space="preserve">D-4046    </t>
  </si>
  <si>
    <t xml:space="preserve">D-4047    </t>
  </si>
  <si>
    <t xml:space="preserve">D-4048    </t>
  </si>
  <si>
    <t xml:space="preserve">D-4049    </t>
  </si>
  <si>
    <t xml:space="preserve">D-4050    </t>
  </si>
  <si>
    <t xml:space="preserve">D-4051    </t>
  </si>
  <si>
    <t xml:space="preserve">D-4052    </t>
  </si>
  <si>
    <t xml:space="preserve">D-4053    </t>
  </si>
  <si>
    <t xml:space="preserve">D-4054    </t>
  </si>
  <si>
    <t xml:space="preserve">D-4055    </t>
  </si>
  <si>
    <t xml:space="preserve">D-4056    </t>
  </si>
  <si>
    <t xml:space="preserve">D-4057    </t>
  </si>
  <si>
    <t xml:space="preserve">D-4058    </t>
  </si>
  <si>
    <t xml:space="preserve">D-4059    </t>
  </si>
  <si>
    <t xml:space="preserve">D-4060    </t>
  </si>
  <si>
    <t xml:space="preserve">D-4061    </t>
  </si>
  <si>
    <t xml:space="preserve">D-4062    </t>
  </si>
  <si>
    <t xml:space="preserve">D-4063    </t>
  </si>
  <si>
    <t xml:space="preserve">D-4064    </t>
  </si>
  <si>
    <t xml:space="preserve">D-4065    </t>
  </si>
  <si>
    <t xml:space="preserve">D-4066    </t>
  </si>
  <si>
    <t xml:space="preserve">D-4067    </t>
  </si>
  <si>
    <t xml:space="preserve">D-4068    </t>
  </si>
  <si>
    <t xml:space="preserve">D-4069    </t>
  </si>
  <si>
    <t xml:space="preserve">D-4070    </t>
  </si>
  <si>
    <t xml:space="preserve">D-4071    </t>
  </si>
  <si>
    <t xml:space="preserve">D-4072    </t>
  </si>
  <si>
    <t xml:space="preserve">D-4073    </t>
  </si>
  <si>
    <t xml:space="preserve">D-4074    </t>
  </si>
  <si>
    <t xml:space="preserve">D-4075    </t>
  </si>
  <si>
    <t xml:space="preserve">D-4076    </t>
  </si>
  <si>
    <t xml:space="preserve">D-4077    </t>
  </si>
  <si>
    <t xml:space="preserve">D-4078    </t>
  </si>
  <si>
    <t xml:space="preserve">D-4079    </t>
  </si>
  <si>
    <t>15/03/2017 16/03/2017</t>
  </si>
  <si>
    <t xml:space="preserve">D-4080    </t>
  </si>
  <si>
    <t xml:space="preserve">D-4081    </t>
  </si>
  <si>
    <t xml:space="preserve">D-4082    </t>
  </si>
  <si>
    <t xml:space="preserve">D-4083    </t>
  </si>
  <si>
    <t xml:space="preserve">D-4084    </t>
  </si>
  <si>
    <t xml:space="preserve">D-4085    </t>
  </si>
  <si>
    <t xml:space="preserve">D-4086    </t>
  </si>
  <si>
    <t xml:space="preserve">D-4087    </t>
  </si>
  <si>
    <t xml:space="preserve">D-4088    </t>
  </si>
  <si>
    <t xml:space="preserve">D-4089    </t>
  </si>
  <si>
    <t xml:space="preserve">D-4090    </t>
  </si>
  <si>
    <t xml:space="preserve">D-4091    </t>
  </si>
  <si>
    <t xml:space="preserve">D-4092    </t>
  </si>
  <si>
    <t xml:space="preserve">(438)ROBERTO MDO ZARAGOZA                                                  </t>
  </si>
  <si>
    <t xml:space="preserve">D-4093    </t>
  </si>
  <si>
    <t xml:space="preserve">D-4094    </t>
  </si>
  <si>
    <t xml:space="preserve">D-4095    </t>
  </si>
  <si>
    <t xml:space="preserve">D-4096    </t>
  </si>
  <si>
    <t xml:space="preserve">D-4097    </t>
  </si>
  <si>
    <t xml:space="preserve">D-4098    </t>
  </si>
  <si>
    <t xml:space="preserve">D-4099    </t>
  </si>
  <si>
    <t xml:space="preserve">D-4100    </t>
  </si>
  <si>
    <t xml:space="preserve">D-4101    </t>
  </si>
  <si>
    <t xml:space="preserve">D-4102    </t>
  </si>
  <si>
    <t xml:space="preserve">D-4103    </t>
  </si>
  <si>
    <t xml:space="preserve">D-4104    </t>
  </si>
  <si>
    <t xml:space="preserve">D-4105    </t>
  </si>
  <si>
    <t xml:space="preserve">D-4106    </t>
  </si>
  <si>
    <t xml:space="preserve">D-4107    </t>
  </si>
  <si>
    <t xml:space="preserve">D-4108    </t>
  </si>
  <si>
    <t xml:space="preserve">D-4109    </t>
  </si>
  <si>
    <t xml:space="preserve">D-4110    </t>
  </si>
  <si>
    <t xml:space="preserve">D-4111    </t>
  </si>
  <si>
    <t xml:space="preserve">D-4112    </t>
  </si>
  <si>
    <t xml:space="preserve">D-4113    </t>
  </si>
  <si>
    <t xml:space="preserve">D-4114    </t>
  </si>
  <si>
    <t xml:space="preserve">D-4115    </t>
  </si>
  <si>
    <t>12/03/2017 13/03/2017</t>
  </si>
  <si>
    <t xml:space="preserve">D-4116    </t>
  </si>
  <si>
    <t xml:space="preserve">D-4117    </t>
  </si>
  <si>
    <t xml:space="preserve">D-4118    </t>
  </si>
  <si>
    <t xml:space="preserve">D-4119    </t>
  </si>
  <si>
    <t xml:space="preserve">D-4120    </t>
  </si>
  <si>
    <t xml:space="preserve">D-4121    </t>
  </si>
  <si>
    <t xml:space="preserve">D-4122    </t>
  </si>
  <si>
    <t xml:space="preserve">D-4123    </t>
  </si>
  <si>
    <t xml:space="preserve">D-4124    </t>
  </si>
  <si>
    <t xml:space="preserve">D-4125    </t>
  </si>
  <si>
    <t xml:space="preserve">D-4126    </t>
  </si>
  <si>
    <t xml:space="preserve">D-4127    </t>
  </si>
  <si>
    <t xml:space="preserve">D-4128    </t>
  </si>
  <si>
    <t xml:space="preserve">D-4129    </t>
  </si>
  <si>
    <t xml:space="preserve">D-4130    </t>
  </si>
  <si>
    <t xml:space="preserve">D-4131    </t>
  </si>
  <si>
    <t xml:space="preserve">D-4132    </t>
  </si>
  <si>
    <t xml:space="preserve">D-4133    </t>
  </si>
  <si>
    <t xml:space="preserve">D-4134    </t>
  </si>
  <si>
    <t xml:space="preserve">D-4135    </t>
  </si>
  <si>
    <t xml:space="preserve">D-4136    </t>
  </si>
  <si>
    <t xml:space="preserve">D-4137    </t>
  </si>
  <si>
    <t xml:space="preserve">D-4138    </t>
  </si>
  <si>
    <t xml:space="preserve">D-4139    </t>
  </si>
  <si>
    <t xml:space="preserve">D-4140    </t>
  </si>
  <si>
    <t xml:space="preserve">D-4141    </t>
  </si>
  <si>
    <t xml:space="preserve">D-4142    </t>
  </si>
  <si>
    <t xml:space="preserve">D-4143    </t>
  </si>
  <si>
    <t xml:space="preserve">D-4144    </t>
  </si>
  <si>
    <t xml:space="preserve">D-4145    </t>
  </si>
  <si>
    <t xml:space="preserve">D-4146    </t>
  </si>
  <si>
    <t xml:space="preserve">D-4147    </t>
  </si>
  <si>
    <t xml:space="preserve">D-4148    </t>
  </si>
  <si>
    <t xml:space="preserve">D-4149    </t>
  </si>
  <si>
    <t xml:space="preserve">D-4150    </t>
  </si>
  <si>
    <t xml:space="preserve">D-4151    </t>
  </si>
  <si>
    <t xml:space="preserve">D-4152    </t>
  </si>
  <si>
    <t xml:space="preserve">D-4153    </t>
  </si>
  <si>
    <t>16/03/2017 18/03/2017</t>
  </si>
  <si>
    <t xml:space="preserve">D-4154    </t>
  </si>
  <si>
    <t xml:space="preserve">D-4155    </t>
  </si>
  <si>
    <t xml:space="preserve">D-4156    </t>
  </si>
  <si>
    <t xml:space="preserve">D-4157    </t>
  </si>
  <si>
    <t xml:space="preserve">D-4158    </t>
  </si>
  <si>
    <t xml:space="preserve">D-4159    </t>
  </si>
  <si>
    <t xml:space="preserve">D-4160    </t>
  </si>
  <si>
    <t xml:space="preserve">D-4161    </t>
  </si>
  <si>
    <t xml:space="preserve">D-4162    </t>
  </si>
  <si>
    <t xml:space="preserve">D-4163    </t>
  </si>
  <si>
    <t xml:space="preserve">D-4164    </t>
  </si>
  <si>
    <t xml:space="preserve">D-4165    </t>
  </si>
  <si>
    <t xml:space="preserve">D-4166    </t>
  </si>
  <si>
    <t xml:space="preserve">D-4167    </t>
  </si>
  <si>
    <t xml:space="preserve">D-4168    </t>
  </si>
  <si>
    <t xml:space="preserve">D-4169    </t>
  </si>
  <si>
    <t xml:space="preserve">D-4170    </t>
  </si>
  <si>
    <t xml:space="preserve">D-4171    </t>
  </si>
  <si>
    <t xml:space="preserve">D-4172    </t>
  </si>
  <si>
    <t xml:space="preserve">D-4173    </t>
  </si>
  <si>
    <t xml:space="preserve">D-4174    </t>
  </si>
  <si>
    <t xml:space="preserve">D-4175    </t>
  </si>
  <si>
    <t xml:space="preserve">D-4176    </t>
  </si>
  <si>
    <t xml:space="preserve">D-4177    </t>
  </si>
  <si>
    <t xml:space="preserve">D-4178    </t>
  </si>
  <si>
    <t xml:space="preserve">D-4179    </t>
  </si>
  <si>
    <t xml:space="preserve">D-4180    </t>
  </si>
  <si>
    <t xml:space="preserve">D-4181    </t>
  </si>
  <si>
    <t xml:space="preserve">D-4182    </t>
  </si>
  <si>
    <t xml:space="preserve">D-4183    </t>
  </si>
  <si>
    <t xml:space="preserve">D-4184    </t>
  </si>
  <si>
    <t xml:space="preserve">D-4185    </t>
  </si>
  <si>
    <t xml:space="preserve">D-4186    </t>
  </si>
  <si>
    <t xml:space="preserve">D-4187    </t>
  </si>
  <si>
    <t xml:space="preserve">D-4188    </t>
  </si>
  <si>
    <t xml:space="preserve">D-4189    </t>
  </si>
  <si>
    <t xml:space="preserve">D-4190    </t>
  </si>
  <si>
    <t xml:space="preserve">D-4191    </t>
  </si>
  <si>
    <t xml:space="preserve">D-4192    </t>
  </si>
  <si>
    <t xml:space="preserve">D-4193    </t>
  </si>
  <si>
    <t xml:space="preserve">D-4194    </t>
  </si>
  <si>
    <t xml:space="preserve">D-4195    </t>
  </si>
  <si>
    <t xml:space="preserve">D-4196    </t>
  </si>
  <si>
    <t xml:space="preserve">D-4197    </t>
  </si>
  <si>
    <t xml:space="preserve">D-4198    </t>
  </si>
  <si>
    <t xml:space="preserve">D-4199    </t>
  </si>
  <si>
    <t xml:space="preserve">D-4200    </t>
  </si>
  <si>
    <t xml:space="preserve">D-4201    </t>
  </si>
  <si>
    <t xml:space="preserve">D-4202    </t>
  </si>
  <si>
    <t xml:space="preserve">D-4203    </t>
  </si>
  <si>
    <t xml:space="preserve">D-4204    </t>
  </si>
  <si>
    <t xml:space="preserve">D-4205    </t>
  </si>
  <si>
    <t xml:space="preserve">D-4206    </t>
  </si>
  <si>
    <t xml:space="preserve">D-4207    </t>
  </si>
  <si>
    <t xml:space="preserve">D-4208    </t>
  </si>
  <si>
    <t xml:space="preserve">D-4209    </t>
  </si>
  <si>
    <t xml:space="preserve">D-4210    </t>
  </si>
  <si>
    <t xml:space="preserve">D-4211    </t>
  </si>
  <si>
    <t xml:space="preserve">D-4212    </t>
  </si>
  <si>
    <t xml:space="preserve">D-4213    </t>
  </si>
  <si>
    <t xml:space="preserve">D-4214    </t>
  </si>
  <si>
    <t xml:space="preserve">D-4215    </t>
  </si>
  <si>
    <t xml:space="preserve">D-4216    </t>
  </si>
  <si>
    <t xml:space="preserve">D-4217    </t>
  </si>
  <si>
    <t xml:space="preserve">D-4218    </t>
  </si>
  <si>
    <t xml:space="preserve">D-4219    </t>
  </si>
  <si>
    <t xml:space="preserve">D-4220    </t>
  </si>
  <si>
    <t xml:space="preserve">D-4221    </t>
  </si>
  <si>
    <t xml:space="preserve">D-4222    </t>
  </si>
  <si>
    <t xml:space="preserve">D-4223    </t>
  </si>
  <si>
    <t xml:space="preserve">D-4224    </t>
  </si>
  <si>
    <t xml:space="preserve">D-4225    </t>
  </si>
  <si>
    <t xml:space="preserve">D-4226    </t>
  </si>
  <si>
    <t xml:space="preserve">D-4227    </t>
  </si>
  <si>
    <t xml:space="preserve">D-4228    </t>
  </si>
  <si>
    <t xml:space="preserve">D-4229    </t>
  </si>
  <si>
    <t xml:space="preserve">(685)VERONICA                                                              </t>
  </si>
  <si>
    <t xml:space="preserve">D-4230    </t>
  </si>
  <si>
    <t xml:space="preserve">D-4231    </t>
  </si>
  <si>
    <t xml:space="preserve">D-4232    </t>
  </si>
  <si>
    <t xml:space="preserve">D-4233    </t>
  </si>
  <si>
    <t xml:space="preserve">D-4234    </t>
  </si>
  <si>
    <t xml:space="preserve">D-4235    </t>
  </si>
  <si>
    <t xml:space="preserve">D-4236    </t>
  </si>
  <si>
    <t xml:space="preserve">D-4237    </t>
  </si>
  <si>
    <t xml:space="preserve">D-4238    </t>
  </si>
  <si>
    <t xml:space="preserve">D-4239    </t>
  </si>
  <si>
    <t xml:space="preserve">D-4240    </t>
  </si>
  <si>
    <t xml:space="preserve">D-4241    </t>
  </si>
  <si>
    <t xml:space="preserve">D-4242    </t>
  </si>
  <si>
    <t xml:space="preserve">D-4243    </t>
  </si>
  <si>
    <t xml:space="preserve">D-4244    </t>
  </si>
  <si>
    <t xml:space="preserve">D-4245    </t>
  </si>
  <si>
    <t xml:space="preserve">D-4246    </t>
  </si>
  <si>
    <t xml:space="preserve">D-4247    </t>
  </si>
  <si>
    <t xml:space="preserve">D-4248    </t>
  </si>
  <si>
    <t xml:space="preserve">D-4249    </t>
  </si>
  <si>
    <t xml:space="preserve">D-4250    </t>
  </si>
  <si>
    <t xml:space="preserve">D-4251    </t>
  </si>
  <si>
    <t xml:space="preserve">D-4252    </t>
  </si>
  <si>
    <t xml:space="preserve">D-4253    </t>
  </si>
  <si>
    <t xml:space="preserve">D-4254    </t>
  </si>
  <si>
    <t xml:space="preserve">D-4255    </t>
  </si>
  <si>
    <t xml:space="preserve">D-4256    </t>
  </si>
  <si>
    <t xml:space="preserve">D-4257    </t>
  </si>
  <si>
    <t xml:space="preserve">D-4258    </t>
  </si>
  <si>
    <t xml:space="preserve">D-4259    </t>
  </si>
  <si>
    <t xml:space="preserve">D-4260    </t>
  </si>
  <si>
    <t xml:space="preserve">D-4261    </t>
  </si>
  <si>
    <t xml:space="preserve">D-4262    </t>
  </si>
  <si>
    <t xml:space="preserve">D-4263    </t>
  </si>
  <si>
    <t xml:space="preserve">D-4264    </t>
  </si>
  <si>
    <t xml:space="preserve">D-4265    </t>
  </si>
  <si>
    <t xml:space="preserve">D-4266    </t>
  </si>
  <si>
    <t xml:space="preserve">D-4267    </t>
  </si>
  <si>
    <t xml:space="preserve">D-4268    </t>
  </si>
  <si>
    <t xml:space="preserve">D-4269    </t>
  </si>
  <si>
    <t xml:space="preserve">D-4270    </t>
  </si>
  <si>
    <t xml:space="preserve">D-4271    </t>
  </si>
  <si>
    <t xml:space="preserve">D-4272    </t>
  </si>
  <si>
    <t xml:space="preserve">D-4273    </t>
  </si>
  <si>
    <t xml:space="preserve">D-4274    </t>
  </si>
  <si>
    <t xml:space="preserve">D-4275    </t>
  </si>
  <si>
    <t xml:space="preserve">D-4276    </t>
  </si>
  <si>
    <t xml:space="preserve">D-4277    </t>
  </si>
  <si>
    <t xml:space="preserve">D-4278    </t>
  </si>
  <si>
    <t xml:space="preserve">D-4279    </t>
  </si>
  <si>
    <t xml:space="preserve">D-4280    </t>
  </si>
  <si>
    <t xml:space="preserve">(686)FRANCISCO MACHORRO SANCHEZ                                            </t>
  </si>
  <si>
    <t xml:space="preserve">D-4281    </t>
  </si>
  <si>
    <t xml:space="preserve">D-4282    </t>
  </si>
  <si>
    <t xml:space="preserve">D-4283    </t>
  </si>
  <si>
    <t xml:space="preserve">D-4284    </t>
  </si>
  <si>
    <t xml:space="preserve">D-4285    </t>
  </si>
  <si>
    <t xml:space="preserve">D-4286    </t>
  </si>
  <si>
    <t xml:space="preserve">D-4287    </t>
  </si>
  <si>
    <t xml:space="preserve">D-4288    </t>
  </si>
  <si>
    <t xml:space="preserve">D-4289    </t>
  </si>
  <si>
    <t xml:space="preserve">D-4290    </t>
  </si>
  <si>
    <t xml:space="preserve">D-4291    </t>
  </si>
  <si>
    <t xml:space="preserve">D-4292    </t>
  </si>
  <si>
    <t xml:space="preserve">D-4293    </t>
  </si>
  <si>
    <t xml:space="preserve">D-4294    </t>
  </si>
  <si>
    <t xml:space="preserve">D-4295    </t>
  </si>
  <si>
    <t xml:space="preserve">D-4296    </t>
  </si>
  <si>
    <t xml:space="preserve">D-4297    </t>
  </si>
  <si>
    <t xml:space="preserve">D-4298    </t>
  </si>
  <si>
    <t xml:space="preserve">D-4299    </t>
  </si>
  <si>
    <t xml:space="preserve">D-4300    </t>
  </si>
  <si>
    <t xml:space="preserve">D-4301    </t>
  </si>
  <si>
    <t xml:space="preserve">D-4302    </t>
  </si>
  <si>
    <t xml:space="preserve">D-4303    </t>
  </si>
  <si>
    <t xml:space="preserve">D-4304    </t>
  </si>
  <si>
    <t xml:space="preserve">D-4305    </t>
  </si>
  <si>
    <t xml:space="preserve">D-4306    </t>
  </si>
  <si>
    <t xml:space="preserve">D-4307    </t>
  </si>
  <si>
    <t xml:space="preserve">D-4308    </t>
  </si>
  <si>
    <t xml:space="preserve">D-4309    </t>
  </si>
  <si>
    <t xml:space="preserve">D-4310    </t>
  </si>
  <si>
    <t xml:space="preserve">D-4311    </t>
  </si>
  <si>
    <t xml:space="preserve">D-4312    </t>
  </si>
  <si>
    <t xml:space="preserve">D-4313    </t>
  </si>
  <si>
    <t xml:space="preserve">D-4314    </t>
  </si>
  <si>
    <t xml:space="preserve">D-4315    </t>
  </si>
  <si>
    <t xml:space="preserve">D-4316    </t>
  </si>
  <si>
    <t xml:space="preserve">D-4317    </t>
  </si>
  <si>
    <t xml:space="preserve">D-4318    </t>
  </si>
  <si>
    <t xml:space="preserve">D-4319    </t>
  </si>
  <si>
    <t xml:space="preserve">D-4320    </t>
  </si>
  <si>
    <t xml:space="preserve">D-4321    </t>
  </si>
  <si>
    <t xml:space="preserve">D-4322    </t>
  </si>
  <si>
    <t xml:space="preserve">D-4323    </t>
  </si>
  <si>
    <t xml:space="preserve">D-4324    </t>
  </si>
  <si>
    <t xml:space="preserve">D-4325    </t>
  </si>
  <si>
    <t xml:space="preserve">D-4326    </t>
  </si>
  <si>
    <t xml:space="preserve">D-4327    </t>
  </si>
  <si>
    <t xml:space="preserve">D-4328    </t>
  </si>
  <si>
    <t xml:space="preserve">D-4329    </t>
  </si>
  <si>
    <t xml:space="preserve">D-4330    </t>
  </si>
  <si>
    <t xml:space="preserve">D-4331    </t>
  </si>
  <si>
    <t xml:space="preserve">D-4332    </t>
  </si>
  <si>
    <t xml:space="preserve">D-4333    </t>
  </si>
  <si>
    <t xml:space="preserve">D-4334    </t>
  </si>
  <si>
    <t xml:space="preserve">D-4335    </t>
  </si>
  <si>
    <t xml:space="preserve">D-4336    </t>
  </si>
  <si>
    <t xml:space="preserve">D-4337    </t>
  </si>
  <si>
    <t xml:space="preserve">D-4338    </t>
  </si>
  <si>
    <t xml:space="preserve">D-4339    </t>
  </si>
  <si>
    <t xml:space="preserve">D-4340    </t>
  </si>
  <si>
    <t xml:space="preserve">D-4341    </t>
  </si>
  <si>
    <t xml:space="preserve">D-4342    </t>
  </si>
  <si>
    <t xml:space="preserve">D-4343    </t>
  </si>
  <si>
    <t xml:space="preserve">D-4344    </t>
  </si>
  <si>
    <t xml:space="preserve">D-4345    </t>
  </si>
  <si>
    <t xml:space="preserve">D-4346    </t>
  </si>
  <si>
    <t xml:space="preserve">D-4347    </t>
  </si>
  <si>
    <t xml:space="preserve">D-4348    </t>
  </si>
  <si>
    <t xml:space="preserve">D-4349    </t>
  </si>
  <si>
    <t xml:space="preserve">D-4350    </t>
  </si>
  <si>
    <t xml:space="preserve">D-4351    </t>
  </si>
  <si>
    <t xml:space="preserve">D-4352    </t>
  </si>
  <si>
    <t xml:space="preserve">D-4353    </t>
  </si>
  <si>
    <t xml:space="preserve">D-4354    </t>
  </si>
  <si>
    <t xml:space="preserve">D-4355    </t>
  </si>
  <si>
    <t xml:space="preserve">D-4356    </t>
  </si>
  <si>
    <t xml:space="preserve">D-4357    </t>
  </si>
  <si>
    <t>21/03/2017 29/03/2017</t>
  </si>
  <si>
    <t xml:space="preserve">D-4358    </t>
  </si>
  <si>
    <t xml:space="preserve">D-4359    </t>
  </si>
  <si>
    <t xml:space="preserve">D-4360    </t>
  </si>
  <si>
    <t xml:space="preserve">D-4361    </t>
  </si>
  <si>
    <t xml:space="preserve">D-4362    </t>
  </si>
  <si>
    <t xml:space="preserve">D-4363    </t>
  </si>
  <si>
    <t xml:space="preserve">D-4364    </t>
  </si>
  <si>
    <t xml:space="preserve">D-4365    </t>
  </si>
  <si>
    <t xml:space="preserve">D-4366    </t>
  </si>
  <si>
    <t xml:space="preserve">D-4367    </t>
  </si>
  <si>
    <t xml:space="preserve">D-4368    </t>
  </si>
  <si>
    <t xml:space="preserve">D-4369    </t>
  </si>
  <si>
    <t xml:space="preserve">D-4370    </t>
  </si>
  <si>
    <t xml:space="preserve">D-4371    </t>
  </si>
  <si>
    <t xml:space="preserve">D-4372    </t>
  </si>
  <si>
    <t xml:space="preserve">D-4373    </t>
  </si>
  <si>
    <t xml:space="preserve">D-4374    </t>
  </si>
  <si>
    <t xml:space="preserve">D-4375    </t>
  </si>
  <si>
    <t xml:space="preserve">D-4376    </t>
  </si>
  <si>
    <t xml:space="preserve">D-4377    </t>
  </si>
  <si>
    <t xml:space="preserve">D-4378    </t>
  </si>
  <si>
    <t xml:space="preserve">D-4379    </t>
  </si>
  <si>
    <t xml:space="preserve">D-4380    </t>
  </si>
  <si>
    <t xml:space="preserve">D-4381    </t>
  </si>
  <si>
    <t xml:space="preserve">D-4382    </t>
  </si>
  <si>
    <t xml:space="preserve">D-4383    </t>
  </si>
  <si>
    <t xml:space="preserve">D-4384    </t>
  </si>
  <si>
    <t xml:space="preserve">D-4385    </t>
  </si>
  <si>
    <t xml:space="preserve">D-4386    </t>
  </si>
  <si>
    <t xml:space="preserve">D-4387    </t>
  </si>
  <si>
    <t xml:space="preserve">D-4388    </t>
  </si>
  <si>
    <t xml:space="preserve">D-4389    </t>
  </si>
  <si>
    <t xml:space="preserve">D-4390    </t>
  </si>
  <si>
    <t xml:space="preserve">D-4391    </t>
  </si>
  <si>
    <t xml:space="preserve">D-4392    </t>
  </si>
  <si>
    <t xml:space="preserve">D-4393    </t>
  </si>
  <si>
    <t xml:space="preserve">D-4394    </t>
  </si>
  <si>
    <t xml:space="preserve">D-4395    </t>
  </si>
  <si>
    <t xml:space="preserve">D-4396    </t>
  </si>
  <si>
    <t xml:space="preserve">D-4397    </t>
  </si>
  <si>
    <t xml:space="preserve">D-4398    </t>
  </si>
  <si>
    <t xml:space="preserve">D-4399    </t>
  </si>
  <si>
    <t xml:space="preserve">D-4400    </t>
  </si>
  <si>
    <t xml:space="preserve">D-4401    </t>
  </si>
  <si>
    <t xml:space="preserve">D-4402    </t>
  </si>
  <si>
    <t xml:space="preserve">D-4403    </t>
  </si>
  <si>
    <t xml:space="preserve">D-4404    </t>
  </si>
  <si>
    <t xml:space="preserve">D-4405    </t>
  </si>
  <si>
    <t xml:space="preserve">D-4406    </t>
  </si>
  <si>
    <t xml:space="preserve">D-4407    </t>
  </si>
  <si>
    <t xml:space="preserve">D-4408    </t>
  </si>
  <si>
    <t>17/03/2017 18/03/2017</t>
  </si>
  <si>
    <t xml:space="preserve">D-4409    </t>
  </si>
  <si>
    <t xml:space="preserve">D-4410    </t>
  </si>
  <si>
    <t xml:space="preserve">D-4411    </t>
  </si>
  <si>
    <t xml:space="preserve">D-4412    </t>
  </si>
  <si>
    <t xml:space="preserve">D-4413    </t>
  </si>
  <si>
    <t xml:space="preserve">D-4414    </t>
  </si>
  <si>
    <t xml:space="preserve">D-4415    </t>
  </si>
  <si>
    <t xml:space="preserve">D-4416    </t>
  </si>
  <si>
    <t xml:space="preserve">D-4417    </t>
  </si>
  <si>
    <t xml:space="preserve">D-4418    </t>
  </si>
  <si>
    <t xml:space="preserve">D-4419    </t>
  </si>
  <si>
    <t xml:space="preserve">D-4420    </t>
  </si>
  <si>
    <t xml:space="preserve">D-4421    </t>
  </si>
  <si>
    <t xml:space="preserve">D-4422    </t>
  </si>
  <si>
    <t xml:space="preserve">D-4423    </t>
  </si>
  <si>
    <t xml:space="preserve">D-4424    </t>
  </si>
  <si>
    <t xml:space="preserve">D-4425    </t>
  </si>
  <si>
    <t xml:space="preserve">D-4426    </t>
  </si>
  <si>
    <t xml:space="preserve">D-4427    </t>
  </si>
  <si>
    <t xml:space="preserve">D-4428    </t>
  </si>
  <si>
    <t xml:space="preserve">D-4429    </t>
  </si>
  <si>
    <t xml:space="preserve">D-4430    </t>
  </si>
  <si>
    <t xml:space="preserve">D-4431    </t>
  </si>
  <si>
    <t xml:space="preserve">D-4432    </t>
  </si>
  <si>
    <t xml:space="preserve">D-4433    </t>
  </si>
  <si>
    <t xml:space="preserve">(267)JULIO ACATZINGO                                                       </t>
  </si>
  <si>
    <t xml:space="preserve">D-4434    </t>
  </si>
  <si>
    <t xml:space="preserve">D-4435    </t>
  </si>
  <si>
    <t xml:space="preserve">D-4436    </t>
  </si>
  <si>
    <t xml:space="preserve">D-4437    </t>
  </si>
  <si>
    <t xml:space="preserve">D-4438    </t>
  </si>
  <si>
    <t xml:space="preserve">D-4439    </t>
  </si>
  <si>
    <t xml:space="preserve">D-4440    </t>
  </si>
  <si>
    <t xml:space="preserve">D-4441    </t>
  </si>
  <si>
    <t xml:space="preserve">D-4442    </t>
  </si>
  <si>
    <t xml:space="preserve">D-4443    </t>
  </si>
  <si>
    <t xml:space="preserve">D-4444    </t>
  </si>
  <si>
    <t xml:space="preserve">D-4445    </t>
  </si>
  <si>
    <t xml:space="preserve">D-4446    </t>
  </si>
  <si>
    <t xml:space="preserve">D-4447    </t>
  </si>
  <si>
    <t xml:space="preserve">D-4448    </t>
  </si>
  <si>
    <t xml:space="preserve">D-4449    </t>
  </si>
  <si>
    <t xml:space="preserve">D-4450    </t>
  </si>
  <si>
    <t xml:space="preserve">D-4451    </t>
  </si>
  <si>
    <t xml:space="preserve">D-4452    </t>
  </si>
  <si>
    <t xml:space="preserve">D-4453    </t>
  </si>
  <si>
    <t xml:space="preserve">D-4454    </t>
  </si>
  <si>
    <t xml:space="preserve">D-4455    </t>
  </si>
  <si>
    <t xml:space="preserve">D-4456    </t>
  </si>
  <si>
    <t xml:space="preserve">D-4457    </t>
  </si>
  <si>
    <t xml:space="preserve">D-4458    </t>
  </si>
  <si>
    <t xml:space="preserve">D-4459    </t>
  </si>
  <si>
    <t xml:space="preserve">D-4460    </t>
  </si>
  <si>
    <t xml:space="preserve">D-4461    </t>
  </si>
  <si>
    <t xml:space="preserve">D-4462    </t>
  </si>
  <si>
    <t xml:space="preserve">D-4463    </t>
  </si>
  <si>
    <t xml:space="preserve">D-4464    </t>
  </si>
  <si>
    <t xml:space="preserve">D-4465    </t>
  </si>
  <si>
    <t xml:space="preserve">D-4466    </t>
  </si>
  <si>
    <t xml:space="preserve">D-4467    </t>
  </si>
  <si>
    <t xml:space="preserve">D-4468    </t>
  </si>
  <si>
    <t xml:space="preserve">D-4469    </t>
  </si>
  <si>
    <t xml:space="preserve">D-4470    </t>
  </si>
  <si>
    <t xml:space="preserve">D-4471    </t>
  </si>
  <si>
    <t xml:space="preserve">D-4472    </t>
  </si>
  <si>
    <t xml:space="preserve">D-4473    </t>
  </si>
  <si>
    <t xml:space="preserve">D-4474    </t>
  </si>
  <si>
    <t xml:space="preserve">D-4475    </t>
  </si>
  <si>
    <t xml:space="preserve">D-4476    </t>
  </si>
  <si>
    <t xml:space="preserve">D-4477    </t>
  </si>
  <si>
    <t xml:space="preserve">D-4478    </t>
  </si>
  <si>
    <t xml:space="preserve">D-4479    </t>
  </si>
  <si>
    <t xml:space="preserve">D-4480    </t>
  </si>
  <si>
    <t xml:space="preserve">D-4481    </t>
  </si>
  <si>
    <t xml:space="preserve">D-4482    </t>
  </si>
  <si>
    <t xml:space="preserve">D-4483    </t>
  </si>
  <si>
    <t xml:space="preserve">D-4484    </t>
  </si>
  <si>
    <t xml:space="preserve">D-4485    </t>
  </si>
  <si>
    <t xml:space="preserve">D-4486    </t>
  </si>
  <si>
    <t xml:space="preserve">D-4487    </t>
  </si>
  <si>
    <t xml:space="preserve">D-4488    </t>
  </si>
  <si>
    <t xml:space="preserve">D-4489    </t>
  </si>
  <si>
    <t xml:space="preserve">D-4490    </t>
  </si>
  <si>
    <t xml:space="preserve">D-4491    </t>
  </si>
  <si>
    <t xml:space="preserve">D-4492    </t>
  </si>
  <si>
    <t xml:space="preserve">D-4493    </t>
  </si>
  <si>
    <t xml:space="preserve">D-4494    </t>
  </si>
  <si>
    <t xml:space="preserve">D-4495    </t>
  </si>
  <si>
    <t xml:space="preserve">D-4496    </t>
  </si>
  <si>
    <t xml:space="preserve">D-4497    </t>
  </si>
  <si>
    <t xml:space="preserve">D-4498    </t>
  </si>
  <si>
    <t xml:space="preserve">D-4499    </t>
  </si>
  <si>
    <t xml:space="preserve">D-4500    </t>
  </si>
  <si>
    <t>18/03/2017 21/03/2017</t>
  </si>
  <si>
    <t xml:space="preserve">D-4501    </t>
  </si>
  <si>
    <t xml:space="preserve">D-4502    </t>
  </si>
  <si>
    <t xml:space="preserve">D-4503    </t>
  </si>
  <si>
    <t xml:space="preserve">D-4504    </t>
  </si>
  <si>
    <t xml:space="preserve">D-4505    </t>
  </si>
  <si>
    <t xml:space="preserve">D-4506    </t>
  </si>
  <si>
    <t xml:space="preserve">D-4507    </t>
  </si>
  <si>
    <t xml:space="preserve">D-4508    </t>
  </si>
  <si>
    <t xml:space="preserve">D-4509    </t>
  </si>
  <si>
    <t xml:space="preserve">D-4510    </t>
  </si>
  <si>
    <t xml:space="preserve">D-4511    </t>
  </si>
  <si>
    <t xml:space="preserve">D-4512    </t>
  </si>
  <si>
    <t xml:space="preserve">D-4513    </t>
  </si>
  <si>
    <t xml:space="preserve">D-4514    </t>
  </si>
  <si>
    <t xml:space="preserve">D-4515    </t>
  </si>
  <si>
    <t xml:space="preserve">D-4516    </t>
  </si>
  <si>
    <t xml:space="preserve">D-4517    </t>
  </si>
  <si>
    <t xml:space="preserve">D-4518    </t>
  </si>
  <si>
    <t xml:space="preserve">D-4519    </t>
  </si>
  <si>
    <t xml:space="preserve">D-4520    </t>
  </si>
  <si>
    <t xml:space="preserve">D-4521    </t>
  </si>
  <si>
    <t xml:space="preserve">D-4522    </t>
  </si>
  <si>
    <t xml:space="preserve">D-4523    </t>
  </si>
  <si>
    <t xml:space="preserve">D-4524    </t>
  </si>
  <si>
    <t xml:space="preserve">D-4525    </t>
  </si>
  <si>
    <t xml:space="preserve">D-4526    </t>
  </si>
  <si>
    <t xml:space="preserve">D-4527    </t>
  </si>
  <si>
    <t xml:space="preserve">D-4528    </t>
  </si>
  <si>
    <t xml:space="preserve">D-4529    </t>
  </si>
  <si>
    <t xml:space="preserve">D-4530    </t>
  </si>
  <si>
    <t xml:space="preserve">D-4531    </t>
  </si>
  <si>
    <t xml:space="preserve">D-4532    </t>
  </si>
  <si>
    <t xml:space="preserve">D-4533    </t>
  </si>
  <si>
    <t xml:space="preserve">D-4534    </t>
  </si>
  <si>
    <t xml:space="preserve">D-4535    </t>
  </si>
  <si>
    <t xml:space="preserve">D-4536    </t>
  </si>
  <si>
    <t xml:space="preserve">D-4537    </t>
  </si>
  <si>
    <t xml:space="preserve">D-4538    </t>
  </si>
  <si>
    <t xml:space="preserve">D-4539    </t>
  </si>
  <si>
    <t xml:space="preserve">D-4540    </t>
  </si>
  <si>
    <t xml:space="preserve">D-4541    </t>
  </si>
  <si>
    <t xml:space="preserve">D-4542    </t>
  </si>
  <si>
    <t xml:space="preserve">D-4543    </t>
  </si>
  <si>
    <t xml:space="preserve">D-4544    </t>
  </si>
  <si>
    <t xml:space="preserve">D-4545    </t>
  </si>
  <si>
    <t xml:space="preserve">D-4546    </t>
  </si>
  <si>
    <t xml:space="preserve">D-4547    </t>
  </si>
  <si>
    <t xml:space="preserve">D-4548    </t>
  </si>
  <si>
    <t xml:space="preserve">D-4549    </t>
  </si>
  <si>
    <t xml:space="preserve">D-4550    </t>
  </si>
  <si>
    <t xml:space="preserve">D-4551    </t>
  </si>
  <si>
    <t xml:space="preserve">D-4552    </t>
  </si>
  <si>
    <t xml:space="preserve">D-4553    </t>
  </si>
  <si>
    <t xml:space="preserve">D-4554    </t>
  </si>
  <si>
    <t xml:space="preserve">D-4555    </t>
  </si>
  <si>
    <t xml:space="preserve">D-4556    </t>
  </si>
  <si>
    <t xml:space="preserve">D-4557    </t>
  </si>
  <si>
    <t xml:space="preserve">D-4558    </t>
  </si>
  <si>
    <t xml:space="preserve">D-4559    </t>
  </si>
  <si>
    <t xml:space="preserve">D-4560    </t>
  </si>
  <si>
    <t xml:space="preserve">D-4561    </t>
  </si>
  <si>
    <t xml:space="preserve">D-4562    </t>
  </si>
  <si>
    <t xml:space="preserve">D-4563    </t>
  </si>
  <si>
    <t xml:space="preserve">D-4564    </t>
  </si>
  <si>
    <t xml:space="preserve">D-4565    </t>
  </si>
  <si>
    <t xml:space="preserve">D-4566    </t>
  </si>
  <si>
    <t xml:space="preserve">D-4567    </t>
  </si>
  <si>
    <t xml:space="preserve">D-4568    </t>
  </si>
  <si>
    <t xml:space="preserve">D-4569    </t>
  </si>
  <si>
    <t xml:space="preserve">D-4570    </t>
  </si>
  <si>
    <t xml:space="preserve">D-4571    </t>
  </si>
  <si>
    <t xml:space="preserve">D-4572    </t>
  </si>
  <si>
    <t xml:space="preserve">D-4573    </t>
  </si>
  <si>
    <t xml:space="preserve">D-4574    </t>
  </si>
  <si>
    <t xml:space="preserve">D-4575    </t>
  </si>
  <si>
    <t xml:space="preserve">D-4576    </t>
  </si>
  <si>
    <t xml:space="preserve">D-4577    </t>
  </si>
  <si>
    <t xml:space="preserve">D-4578    </t>
  </si>
  <si>
    <t xml:space="preserve">D-4579    </t>
  </si>
  <si>
    <t xml:space="preserve">D-4580    </t>
  </si>
  <si>
    <t xml:space="preserve">D-4581    </t>
  </si>
  <si>
    <t xml:space="preserve">D-4582    </t>
  </si>
  <si>
    <t xml:space="preserve">D-4583    </t>
  </si>
  <si>
    <t xml:space="preserve">D-4584    </t>
  </si>
  <si>
    <t xml:space="preserve">D-4585    </t>
  </si>
  <si>
    <t xml:space="preserve">D-4586    </t>
  </si>
  <si>
    <t xml:space="preserve">D-4587    </t>
  </si>
  <si>
    <t xml:space="preserve">D-4588    </t>
  </si>
  <si>
    <t xml:space="preserve">D-4589    </t>
  </si>
  <si>
    <t xml:space="preserve">D-4590    </t>
  </si>
  <si>
    <t xml:space="preserve">D-4591    </t>
  </si>
  <si>
    <t xml:space="preserve">D-4592    </t>
  </si>
  <si>
    <t xml:space="preserve">D-4593    </t>
  </si>
  <si>
    <t xml:space="preserve">D-4594    </t>
  </si>
  <si>
    <t xml:space="preserve">D-4595    </t>
  </si>
  <si>
    <t xml:space="preserve">D-4596    </t>
  </si>
  <si>
    <t xml:space="preserve">D-4597    </t>
  </si>
  <si>
    <t xml:space="preserve">D-4598    </t>
  </si>
  <si>
    <t xml:space="preserve">D-4599    </t>
  </si>
  <si>
    <t xml:space="preserve">D-4600    </t>
  </si>
  <si>
    <t xml:space="preserve">D-4601    </t>
  </si>
  <si>
    <t xml:space="preserve">D-4602    </t>
  </si>
  <si>
    <t xml:space="preserve">D-4603    </t>
  </si>
  <si>
    <t xml:space="preserve">D-4604    </t>
  </si>
  <si>
    <t xml:space="preserve">D-4605    </t>
  </si>
  <si>
    <t xml:space="preserve">D-4606    </t>
  </si>
  <si>
    <t xml:space="preserve">D-4607    </t>
  </si>
  <si>
    <t xml:space="preserve">D-4608    </t>
  </si>
  <si>
    <t xml:space="preserve">D-4609    </t>
  </si>
  <si>
    <t xml:space="preserve">D-4610    </t>
  </si>
  <si>
    <t xml:space="preserve">D-4611    </t>
  </si>
  <si>
    <t xml:space="preserve">D-4612    </t>
  </si>
  <si>
    <t xml:space="preserve">D-4613    </t>
  </si>
  <si>
    <t xml:space="preserve">D-4614    </t>
  </si>
  <si>
    <t xml:space="preserve">D-4615    </t>
  </si>
  <si>
    <t xml:space="preserve">D-4616    </t>
  </si>
  <si>
    <t xml:space="preserve">D-4617    </t>
  </si>
  <si>
    <t xml:space="preserve">D-4618    </t>
  </si>
  <si>
    <t xml:space="preserve">D-4619    </t>
  </si>
  <si>
    <t xml:space="preserve">D-4620    </t>
  </si>
  <si>
    <t xml:space="preserve">D-4621    </t>
  </si>
  <si>
    <t xml:space="preserve">D-4622    </t>
  </si>
  <si>
    <t xml:space="preserve">D-4623    </t>
  </si>
  <si>
    <t xml:space="preserve">D-4624    </t>
  </si>
  <si>
    <t xml:space="preserve">D-4625    </t>
  </si>
  <si>
    <t xml:space="preserve">D-4626    </t>
  </si>
  <si>
    <t xml:space="preserve">D-4627    </t>
  </si>
  <si>
    <t xml:space="preserve">D-4628    </t>
  </si>
  <si>
    <t xml:space="preserve">D-4629    </t>
  </si>
  <si>
    <t xml:space="preserve">D-4630    </t>
  </si>
  <si>
    <t xml:space="preserve">D-4631    </t>
  </si>
  <si>
    <t xml:space="preserve">D-4632    </t>
  </si>
  <si>
    <t xml:space="preserve">D-4633    </t>
  </si>
  <si>
    <t xml:space="preserve">D-4634    </t>
  </si>
  <si>
    <t xml:space="preserve">D-4635    </t>
  </si>
  <si>
    <t xml:space="preserve">D-4636    </t>
  </si>
  <si>
    <t xml:space="preserve">D-4637    </t>
  </si>
  <si>
    <t xml:space="preserve">D-4638    </t>
  </si>
  <si>
    <t xml:space="preserve">D-4639    </t>
  </si>
  <si>
    <t xml:space="preserve">D-4640    </t>
  </si>
  <si>
    <t xml:space="preserve">D-4641    </t>
  </si>
  <si>
    <t xml:space="preserve">D-4642    </t>
  </si>
  <si>
    <t xml:space="preserve">D-4643    </t>
  </si>
  <si>
    <t xml:space="preserve">D-4644    </t>
  </si>
  <si>
    <t xml:space="preserve">D-4645    </t>
  </si>
  <si>
    <t xml:space="preserve">D-4646    </t>
  </si>
  <si>
    <t xml:space="preserve">D-4647    </t>
  </si>
  <si>
    <t xml:space="preserve">D-4648    </t>
  </si>
  <si>
    <t xml:space="preserve">D-4649    </t>
  </si>
  <si>
    <t xml:space="preserve">D-4650    </t>
  </si>
  <si>
    <t xml:space="preserve">D-4651    </t>
  </si>
  <si>
    <t xml:space="preserve">D-4652    </t>
  </si>
  <si>
    <t xml:space="preserve">D-4653    </t>
  </si>
  <si>
    <t xml:space="preserve">D-4654    </t>
  </si>
  <si>
    <t xml:space="preserve">D-4655    </t>
  </si>
  <si>
    <t xml:space="preserve">D-4656    </t>
  </si>
  <si>
    <t xml:space="preserve">D-4657    </t>
  </si>
  <si>
    <t xml:space="preserve">D-4658    </t>
  </si>
  <si>
    <t xml:space="preserve">D-4659    </t>
  </si>
  <si>
    <t xml:space="preserve">D-4660    </t>
  </si>
  <si>
    <t xml:space="preserve">D-4661    </t>
  </si>
  <si>
    <t xml:space="preserve">D-4662    </t>
  </si>
  <si>
    <t xml:space="preserve">D-4663    </t>
  </si>
  <si>
    <t xml:space="preserve">D-4664    </t>
  </si>
  <si>
    <t xml:space="preserve">D-4665    </t>
  </si>
  <si>
    <t xml:space="preserve">D-4666    </t>
  </si>
  <si>
    <t xml:space="preserve">D-4667    </t>
  </si>
  <si>
    <t xml:space="preserve">D-4668    </t>
  </si>
  <si>
    <t xml:space="preserve">D-4669    </t>
  </si>
  <si>
    <t xml:space="preserve">D-4670    </t>
  </si>
  <si>
    <t xml:space="preserve">D-4671    </t>
  </si>
  <si>
    <t xml:space="preserve">D-4672    </t>
  </si>
  <si>
    <t xml:space="preserve">D-4673    </t>
  </si>
  <si>
    <t xml:space="preserve">D-4674    </t>
  </si>
  <si>
    <t xml:space="preserve">D-4675    </t>
  </si>
  <si>
    <t xml:space="preserve">D-4676    </t>
  </si>
  <si>
    <t xml:space="preserve">D-4677    </t>
  </si>
  <si>
    <t xml:space="preserve">D-4678    </t>
  </si>
  <si>
    <t xml:space="preserve">D-4679    </t>
  </si>
  <si>
    <t xml:space="preserve">D-4680    </t>
  </si>
  <si>
    <t xml:space="preserve">D-4681    </t>
  </si>
  <si>
    <t xml:space="preserve">D-4682    </t>
  </si>
  <si>
    <t xml:space="preserve">D-4683    </t>
  </si>
  <si>
    <t xml:space="preserve">D-4684    </t>
  </si>
  <si>
    <t xml:space="preserve">D-4685    </t>
  </si>
  <si>
    <t xml:space="preserve">D-4686    </t>
  </si>
  <si>
    <t xml:space="preserve">D-4687    </t>
  </si>
  <si>
    <t xml:space="preserve">D-4688    </t>
  </si>
  <si>
    <t xml:space="preserve">D-4689    </t>
  </si>
  <si>
    <t xml:space="preserve">D-4690    </t>
  </si>
  <si>
    <t xml:space="preserve">D-4691    </t>
  </si>
  <si>
    <t xml:space="preserve">D-4692    </t>
  </si>
  <si>
    <t xml:space="preserve">D-4693    </t>
  </si>
  <si>
    <t xml:space="preserve">D-4694    </t>
  </si>
  <si>
    <t xml:space="preserve">D-4695    </t>
  </si>
  <si>
    <t xml:space="preserve">D-4696    </t>
  </si>
  <si>
    <t xml:space="preserve">D-4697    </t>
  </si>
  <si>
    <t xml:space="preserve">D-4698    </t>
  </si>
  <si>
    <t xml:space="preserve">D-4699    </t>
  </si>
  <si>
    <t xml:space="preserve">D-4700    </t>
  </si>
  <si>
    <t xml:space="preserve">D-4701    </t>
  </si>
  <si>
    <t xml:space="preserve">D-4702    </t>
  </si>
  <si>
    <t xml:space="preserve">D-4703    </t>
  </si>
  <si>
    <t xml:space="preserve">D-4704    </t>
  </si>
  <si>
    <t xml:space="preserve">D-4705    </t>
  </si>
  <si>
    <t xml:space="preserve">D-4706    </t>
  </si>
  <si>
    <t xml:space="preserve">D-4707    </t>
  </si>
  <si>
    <t xml:space="preserve">D-4708    </t>
  </si>
  <si>
    <t xml:space="preserve">D-4709    </t>
  </si>
  <si>
    <t xml:space="preserve">D-4710    </t>
  </si>
  <si>
    <t xml:space="preserve">D-4711    </t>
  </si>
  <si>
    <t xml:space="preserve">D-4712    </t>
  </si>
  <si>
    <t xml:space="preserve">D-4713    </t>
  </si>
  <si>
    <t xml:space="preserve">D-4714    </t>
  </si>
  <si>
    <t xml:space="preserve">D-4715    </t>
  </si>
  <si>
    <t xml:space="preserve">D-4716    </t>
  </si>
  <si>
    <t xml:space="preserve">D-4717    </t>
  </si>
  <si>
    <t xml:space="preserve">D-4718    </t>
  </si>
  <si>
    <t xml:space="preserve">D-4719    </t>
  </si>
  <si>
    <t xml:space="preserve">D-4720    </t>
  </si>
  <si>
    <t xml:space="preserve">D-4721    </t>
  </si>
  <si>
    <t xml:space="preserve">D-4722    </t>
  </si>
  <si>
    <t xml:space="preserve">D-4723    </t>
  </si>
  <si>
    <t xml:space="preserve">D-4724    </t>
  </si>
  <si>
    <t xml:space="preserve">D-4725    </t>
  </si>
  <si>
    <t xml:space="preserve">D-4726    </t>
  </si>
  <si>
    <t xml:space="preserve">D-4727    </t>
  </si>
  <si>
    <t xml:space="preserve">(259)SALVADOR VALVERDE                                                     </t>
  </si>
  <si>
    <t xml:space="preserve">D-4728    </t>
  </si>
  <si>
    <t xml:space="preserve">D-4729    </t>
  </si>
  <si>
    <t xml:space="preserve">D-4730    </t>
  </si>
  <si>
    <t xml:space="preserve">D-4731    </t>
  </si>
  <si>
    <t xml:space="preserve">D-4732    </t>
  </si>
  <si>
    <t xml:space="preserve">D-4733    </t>
  </si>
  <si>
    <t xml:space="preserve">D-4734    </t>
  </si>
  <si>
    <t xml:space="preserve">D-4735    </t>
  </si>
  <si>
    <t xml:space="preserve">D-4736    </t>
  </si>
  <si>
    <t xml:space="preserve">D-4737    </t>
  </si>
  <si>
    <t xml:space="preserve">D-4738    </t>
  </si>
  <si>
    <t xml:space="preserve">D-4739    </t>
  </si>
  <si>
    <t xml:space="preserve">D-4740    </t>
  </si>
  <si>
    <t xml:space="preserve">D-4741    </t>
  </si>
  <si>
    <t xml:space="preserve">D-4742    </t>
  </si>
  <si>
    <t xml:space="preserve">D-4743    </t>
  </si>
  <si>
    <t xml:space="preserve">D-4744    </t>
  </si>
  <si>
    <t xml:space="preserve">(21)CIBULET                                                               </t>
  </si>
  <si>
    <t xml:space="preserve">D-4745    </t>
  </si>
  <si>
    <t xml:space="preserve">D-4746    </t>
  </si>
  <si>
    <t xml:space="preserve">D-4747    </t>
  </si>
  <si>
    <t xml:space="preserve">D-4748    </t>
  </si>
  <si>
    <t xml:space="preserve">D-4749    </t>
  </si>
  <si>
    <t xml:space="preserve">D-4750    </t>
  </si>
  <si>
    <t xml:space="preserve">D-4751    </t>
  </si>
  <si>
    <t xml:space="preserve">D-4752    </t>
  </si>
  <si>
    <t xml:space="preserve">D-4753    </t>
  </si>
  <si>
    <t xml:space="preserve">D-4754    </t>
  </si>
  <si>
    <t xml:space="preserve">D-4755    </t>
  </si>
  <si>
    <t xml:space="preserve">D-4756    </t>
  </si>
  <si>
    <t xml:space="preserve">D-4757    </t>
  </si>
  <si>
    <t xml:space="preserve">D-4758    </t>
  </si>
  <si>
    <t xml:space="preserve">D-4759    </t>
  </si>
  <si>
    <t xml:space="preserve">D-4760    </t>
  </si>
  <si>
    <t xml:space="preserve">D-4761    </t>
  </si>
  <si>
    <t xml:space="preserve">D-4762    </t>
  </si>
  <si>
    <t xml:space="preserve">D-4763    </t>
  </si>
  <si>
    <t xml:space="preserve">D-4764    </t>
  </si>
  <si>
    <t xml:space="preserve">D-4765    </t>
  </si>
  <si>
    <t xml:space="preserve">D-4766    </t>
  </si>
  <si>
    <t xml:space="preserve">D-4767    </t>
  </si>
  <si>
    <t xml:space="preserve">D-4768    </t>
  </si>
  <si>
    <t xml:space="preserve">D-4769    </t>
  </si>
  <si>
    <t xml:space="preserve">D-4770    </t>
  </si>
  <si>
    <t xml:space="preserve">D-4771    </t>
  </si>
  <si>
    <t xml:space="preserve">D-4772    </t>
  </si>
  <si>
    <t xml:space="preserve">D-4773    </t>
  </si>
  <si>
    <t xml:space="preserve">D-4774    </t>
  </si>
  <si>
    <t xml:space="preserve">D-4775    </t>
  </si>
  <si>
    <t xml:space="preserve">D-4776    </t>
  </si>
  <si>
    <t xml:space="preserve">D-4777    </t>
  </si>
  <si>
    <t xml:space="preserve">D-4778    </t>
  </si>
  <si>
    <t xml:space="preserve">D-4779    </t>
  </si>
  <si>
    <t xml:space="preserve">D-4780    </t>
  </si>
  <si>
    <t xml:space="preserve">D-4781    </t>
  </si>
  <si>
    <t xml:space="preserve">D-4782    </t>
  </si>
  <si>
    <t xml:space="preserve">D-4783    </t>
  </si>
  <si>
    <t xml:space="preserve">D-4784    </t>
  </si>
  <si>
    <t xml:space="preserve">D-4785    </t>
  </si>
  <si>
    <t xml:space="preserve">D-4786    </t>
  </si>
  <si>
    <t xml:space="preserve">D-4787    </t>
  </si>
  <si>
    <t xml:space="preserve">D-4788    </t>
  </si>
  <si>
    <t xml:space="preserve">D-4789    </t>
  </si>
  <si>
    <t xml:space="preserve">D-4790    </t>
  </si>
  <si>
    <t xml:space="preserve">D-4791    </t>
  </si>
  <si>
    <t xml:space="preserve">D-4792    </t>
  </si>
  <si>
    <t xml:space="preserve">D-4793    </t>
  </si>
  <si>
    <t xml:space="preserve">D-4794    </t>
  </si>
  <si>
    <t xml:space="preserve">D-4795    </t>
  </si>
  <si>
    <t xml:space="preserve">D-4796    </t>
  </si>
  <si>
    <t xml:space="preserve">D-4797    </t>
  </si>
  <si>
    <t xml:space="preserve">D-4798    </t>
  </si>
  <si>
    <t xml:space="preserve">D-4799    </t>
  </si>
  <si>
    <t xml:space="preserve">D-4800    </t>
  </si>
  <si>
    <t xml:space="preserve">D-4801    </t>
  </si>
  <si>
    <t>21/03/2017 23/11/2017</t>
  </si>
  <si>
    <t xml:space="preserve">D-4802    </t>
  </si>
  <si>
    <t xml:space="preserve">D-4803    </t>
  </si>
  <si>
    <t xml:space="preserve">D-4804    </t>
  </si>
  <si>
    <t xml:space="preserve">D-4805    </t>
  </si>
  <si>
    <t xml:space="preserve">D-4806    </t>
  </si>
  <si>
    <t xml:space="preserve">D-4807    </t>
  </si>
  <si>
    <t xml:space="preserve">D-4808    </t>
  </si>
  <si>
    <t>21/03/2017 27/03/2017</t>
  </si>
  <si>
    <t xml:space="preserve">D-4809    </t>
  </si>
  <si>
    <t xml:space="preserve">D-4810    </t>
  </si>
  <si>
    <t xml:space="preserve">D-4811    </t>
  </si>
  <si>
    <t xml:space="preserve">D-4812    </t>
  </si>
  <si>
    <t xml:space="preserve">D-4813    </t>
  </si>
  <si>
    <t xml:space="preserve">D-4814    </t>
  </si>
  <si>
    <t xml:space="preserve">D-4815    </t>
  </si>
  <si>
    <t xml:space="preserve">D-4816    </t>
  </si>
  <si>
    <t xml:space="preserve">D-4817    </t>
  </si>
  <si>
    <t xml:space="preserve">D-4818    </t>
  </si>
  <si>
    <t xml:space="preserve">D-4819    </t>
  </si>
  <si>
    <t xml:space="preserve">D-4820    </t>
  </si>
  <si>
    <t xml:space="preserve">D-4821    </t>
  </si>
  <si>
    <t xml:space="preserve">D-4822    </t>
  </si>
  <si>
    <t xml:space="preserve">D-4823    </t>
  </si>
  <si>
    <t xml:space="preserve">D-4824    </t>
  </si>
  <si>
    <t xml:space="preserve">D-4825    </t>
  </si>
  <si>
    <t xml:space="preserve">D-4826    </t>
  </si>
  <si>
    <t xml:space="preserve">D-4827    </t>
  </si>
  <si>
    <t xml:space="preserve">D-4828    </t>
  </si>
  <si>
    <t xml:space="preserve">D-4829    </t>
  </si>
  <si>
    <t xml:space="preserve">D-4830    </t>
  </si>
  <si>
    <t xml:space="preserve">D-4831    </t>
  </si>
  <si>
    <t xml:space="preserve">D-4832    </t>
  </si>
  <si>
    <t xml:space="preserve">D-4833    </t>
  </si>
  <si>
    <t xml:space="preserve">D-4834    </t>
  </si>
  <si>
    <t xml:space="preserve">D-4835    </t>
  </si>
  <si>
    <t xml:space="preserve">D-4836    </t>
  </si>
  <si>
    <t xml:space="preserve">D-4837    </t>
  </si>
  <si>
    <t xml:space="preserve">D-4838    </t>
  </si>
  <si>
    <t xml:space="preserve">D-4839    </t>
  </si>
  <si>
    <t xml:space="preserve">D-4840    </t>
  </si>
  <si>
    <t xml:space="preserve">D-4841    </t>
  </si>
  <si>
    <t xml:space="preserve">D-4842    </t>
  </si>
  <si>
    <t xml:space="preserve">D-4843    </t>
  </si>
  <si>
    <t xml:space="preserve">D-4844    </t>
  </si>
  <si>
    <t xml:space="preserve">D-4845    </t>
  </si>
  <si>
    <t xml:space="preserve">D-4846    </t>
  </si>
  <si>
    <t xml:space="preserve">D-4847    </t>
  </si>
  <si>
    <t xml:space="preserve">D-4848    </t>
  </si>
  <si>
    <t xml:space="preserve">D-4849    </t>
  </si>
  <si>
    <t xml:space="preserve">D-4850    </t>
  </si>
  <si>
    <t xml:space="preserve">D-4851    </t>
  </si>
  <si>
    <t xml:space="preserve">D-4852    </t>
  </si>
  <si>
    <t xml:space="preserve">D-4853    </t>
  </si>
  <si>
    <t xml:space="preserve">D-4854    </t>
  </si>
  <si>
    <t xml:space="preserve">D-4855    </t>
  </si>
  <si>
    <t xml:space="preserve">D-4856    </t>
  </si>
  <si>
    <t xml:space="preserve">D-4857    </t>
  </si>
  <si>
    <t xml:space="preserve">D-4858    </t>
  </si>
  <si>
    <t xml:space="preserve">D-4859    </t>
  </si>
  <si>
    <t xml:space="preserve">D-4860    </t>
  </si>
  <si>
    <t xml:space="preserve">D-4861    </t>
  </si>
  <si>
    <t xml:space="preserve">D-4862    </t>
  </si>
  <si>
    <t xml:space="preserve">D-4863    </t>
  </si>
  <si>
    <t xml:space="preserve">D-4864    </t>
  </si>
  <si>
    <t xml:space="preserve">D-4865    </t>
  </si>
  <si>
    <t xml:space="preserve">D-4866    </t>
  </si>
  <si>
    <t xml:space="preserve">D-4867    </t>
  </si>
  <si>
    <t xml:space="preserve">D-4868    </t>
  </si>
  <si>
    <t xml:space="preserve">D-4869    </t>
  </si>
  <si>
    <t xml:space="preserve">D-4870    </t>
  </si>
  <si>
    <t xml:space="preserve">D-4871    </t>
  </si>
  <si>
    <t xml:space="preserve">D-4872    </t>
  </si>
  <si>
    <t xml:space="preserve">D-4873    </t>
  </si>
  <si>
    <t xml:space="preserve">D-4874    </t>
  </si>
  <si>
    <t xml:space="preserve">D-4875    </t>
  </si>
  <si>
    <t xml:space="preserve">D-4876    </t>
  </si>
  <si>
    <t xml:space="preserve">(41)ALBERTO LOPEZ                                                         </t>
  </si>
  <si>
    <t xml:space="preserve">D-4877    </t>
  </si>
  <si>
    <t xml:space="preserve">D-4878    </t>
  </si>
  <si>
    <t xml:space="preserve">D-4879    </t>
  </si>
  <si>
    <t xml:space="preserve">D-4880    </t>
  </si>
  <si>
    <t xml:space="preserve">D-4881    </t>
  </si>
  <si>
    <t xml:space="preserve">D-4882    </t>
  </si>
  <si>
    <t xml:space="preserve">D-4883    </t>
  </si>
  <si>
    <t xml:space="preserve">D-4884    </t>
  </si>
  <si>
    <t xml:space="preserve">D-4885    </t>
  </si>
  <si>
    <t xml:space="preserve">D-4886    </t>
  </si>
  <si>
    <t xml:space="preserve">(241)CONSUELO PADILLA                                                      </t>
  </si>
  <si>
    <t xml:space="preserve">D-4887    </t>
  </si>
  <si>
    <t xml:space="preserve">D-4888    </t>
  </si>
  <si>
    <t xml:space="preserve">D-4889    </t>
  </si>
  <si>
    <t xml:space="preserve">D-4890    </t>
  </si>
  <si>
    <t xml:space="preserve">D-4891    </t>
  </si>
  <si>
    <t xml:space="preserve">D-4892    </t>
  </si>
  <si>
    <t xml:space="preserve">D-4893    </t>
  </si>
  <si>
    <t xml:space="preserve">D-4894    </t>
  </si>
  <si>
    <t xml:space="preserve">D-4895    </t>
  </si>
  <si>
    <t>21/03/2017 25/02/2017</t>
  </si>
  <si>
    <t xml:space="preserve">D-4896    </t>
  </si>
  <si>
    <t xml:space="preserve">D-4897    </t>
  </si>
  <si>
    <t xml:space="preserve">D-4898    </t>
  </si>
  <si>
    <t xml:space="preserve">D-4899    </t>
  </si>
  <si>
    <t xml:space="preserve">D-4900    </t>
  </si>
  <si>
    <t xml:space="preserve">D-4901    </t>
  </si>
  <si>
    <t xml:space="preserve">D-4902    </t>
  </si>
  <si>
    <t xml:space="preserve">D-4903    </t>
  </si>
  <si>
    <t xml:space="preserve">D-4904    </t>
  </si>
  <si>
    <t>18/03/2017 23/11/2017</t>
  </si>
  <si>
    <t xml:space="preserve">D-4905    </t>
  </si>
  <si>
    <t xml:space="preserve">D-4906    </t>
  </si>
  <si>
    <t xml:space="preserve">D-4907    </t>
  </si>
  <si>
    <t xml:space="preserve">D-4908    </t>
  </si>
  <si>
    <t xml:space="preserve">D-4909    </t>
  </si>
  <si>
    <t xml:space="preserve">D-4910    </t>
  </si>
  <si>
    <t xml:space="preserve">D-4911    </t>
  </si>
  <si>
    <t xml:space="preserve">D-4912    </t>
  </si>
  <si>
    <t xml:space="preserve">D-4913    </t>
  </si>
  <si>
    <t xml:space="preserve">D-4914    </t>
  </si>
  <si>
    <t xml:space="preserve">D-4915    </t>
  </si>
  <si>
    <t xml:space="preserve">D-4916    </t>
  </si>
  <si>
    <t xml:space="preserve">D-4917    </t>
  </si>
  <si>
    <t xml:space="preserve">D-4918    </t>
  </si>
  <si>
    <t xml:space="preserve">D-4919    </t>
  </si>
  <si>
    <t xml:space="preserve">D-4920    </t>
  </si>
  <si>
    <t xml:space="preserve">D-4921    </t>
  </si>
  <si>
    <t xml:space="preserve">D-4922    </t>
  </si>
  <si>
    <t xml:space="preserve">D-4923    </t>
  </si>
  <si>
    <t xml:space="preserve">D-4924    </t>
  </si>
  <si>
    <t xml:space="preserve">D-4925    </t>
  </si>
  <si>
    <t xml:space="preserve">D-4926    </t>
  </si>
  <si>
    <t xml:space="preserve">D-4927    </t>
  </si>
  <si>
    <t xml:space="preserve">D-4928    </t>
  </si>
  <si>
    <t xml:space="preserve">D-4929    </t>
  </si>
  <si>
    <t xml:space="preserve">D-4930    </t>
  </si>
  <si>
    <t xml:space="preserve">D-4931    </t>
  </si>
  <si>
    <t xml:space="preserve">D-4932    </t>
  </si>
  <si>
    <t xml:space="preserve">D-4933    </t>
  </si>
  <si>
    <t xml:space="preserve">D-4934    </t>
  </si>
  <si>
    <t xml:space="preserve">D-4935    </t>
  </si>
  <si>
    <t xml:space="preserve">D-4936    </t>
  </si>
  <si>
    <t xml:space="preserve">D-4937    </t>
  </si>
  <si>
    <t xml:space="preserve">D-4938    </t>
  </si>
  <si>
    <t xml:space="preserve">D-4939    </t>
  </si>
  <si>
    <t xml:space="preserve">D-4940    </t>
  </si>
  <si>
    <t xml:space="preserve">D-4941    </t>
  </si>
  <si>
    <t xml:space="preserve">D-4942    </t>
  </si>
  <si>
    <t xml:space="preserve">D-4943    </t>
  </si>
  <si>
    <t xml:space="preserve">D-4944    </t>
  </si>
  <si>
    <t xml:space="preserve">D-4945    </t>
  </si>
  <si>
    <t xml:space="preserve">D-4946    </t>
  </si>
  <si>
    <t xml:space="preserve">D-4947    </t>
  </si>
  <si>
    <t xml:space="preserve">D-4948    </t>
  </si>
  <si>
    <t xml:space="preserve">D-4949    </t>
  </si>
  <si>
    <t xml:space="preserve">D-4950    </t>
  </si>
  <si>
    <t xml:space="preserve">D-4951    </t>
  </si>
  <si>
    <t xml:space="preserve">D-4952    </t>
  </si>
  <si>
    <t xml:space="preserve">D-4953    </t>
  </si>
  <si>
    <t xml:space="preserve">D-4954    </t>
  </si>
  <si>
    <t xml:space="preserve">D-4955    </t>
  </si>
  <si>
    <t xml:space="preserve">D-4956    </t>
  </si>
  <si>
    <t xml:space="preserve">D-4957    </t>
  </si>
  <si>
    <t xml:space="preserve">D-4958    </t>
  </si>
  <si>
    <t xml:space="preserve">D-4959    </t>
  </si>
  <si>
    <t xml:space="preserve">D-4960    </t>
  </si>
  <si>
    <t xml:space="preserve">D-4961    </t>
  </si>
  <si>
    <t xml:space="preserve">D-4962    </t>
  </si>
  <si>
    <t xml:space="preserve">D-4963    </t>
  </si>
  <si>
    <t xml:space="preserve">D-4964    </t>
  </si>
  <si>
    <t xml:space="preserve">D-4965    </t>
  </si>
  <si>
    <t xml:space="preserve">D-4966    </t>
  </si>
  <si>
    <t xml:space="preserve">D-4967    </t>
  </si>
  <si>
    <t xml:space="preserve">D-4968    </t>
  </si>
  <si>
    <t xml:space="preserve">D-4969    </t>
  </si>
  <si>
    <t xml:space="preserve">D-4970    </t>
  </si>
  <si>
    <t xml:space="preserve">D-4971    </t>
  </si>
  <si>
    <t xml:space="preserve">D-4972    </t>
  </si>
  <si>
    <t xml:space="preserve">D-4973    </t>
  </si>
  <si>
    <t xml:space="preserve">(617)CRISTIAN ZARATE                                                       </t>
  </si>
  <si>
    <t xml:space="preserve">D-4974    </t>
  </si>
  <si>
    <t xml:space="preserve">D-4975    </t>
  </si>
  <si>
    <t xml:space="preserve">D-4976    </t>
  </si>
  <si>
    <t xml:space="preserve">D-4977    </t>
  </si>
  <si>
    <t xml:space="preserve">D-4978    </t>
  </si>
  <si>
    <t xml:space="preserve">D-4979    </t>
  </si>
  <si>
    <t xml:space="preserve">D-4980    </t>
  </si>
  <si>
    <t xml:space="preserve">D-4981    </t>
  </si>
  <si>
    <t xml:space="preserve">D-4982    </t>
  </si>
  <si>
    <t xml:space="preserve">D-4983    </t>
  </si>
  <si>
    <t xml:space="preserve">D-4984    </t>
  </si>
  <si>
    <t xml:space="preserve">D-4985    </t>
  </si>
  <si>
    <t xml:space="preserve">D-4986    </t>
  </si>
  <si>
    <t xml:space="preserve">D-4987    </t>
  </si>
  <si>
    <t xml:space="preserve">D-4988    </t>
  </si>
  <si>
    <t xml:space="preserve">D-4989    </t>
  </si>
  <si>
    <t xml:space="preserve">D-4990    </t>
  </si>
  <si>
    <t xml:space="preserve">D-4991    </t>
  </si>
  <si>
    <t>23/11/2017 24/03/2017 27/03/2017</t>
  </si>
  <si>
    <t xml:space="preserve">D-4992    </t>
  </si>
  <si>
    <t>23/11/2017 24/03/2017</t>
  </si>
  <si>
    <t xml:space="preserve">D-4993    </t>
  </si>
  <si>
    <t xml:space="preserve">(474)SERGIO                                                                </t>
  </si>
  <si>
    <t xml:space="preserve">D-4994    </t>
  </si>
  <si>
    <t xml:space="preserve">D-4995    </t>
  </si>
  <si>
    <t xml:space="preserve">D-4996    </t>
  </si>
  <si>
    <t xml:space="preserve">D-4997    </t>
  </si>
  <si>
    <t xml:space="preserve">D-4998    </t>
  </si>
  <si>
    <t xml:space="preserve">D-4999    </t>
  </si>
  <si>
    <t xml:space="preserve">D-5000    </t>
  </si>
  <si>
    <t xml:space="preserve">D-5001    </t>
  </si>
  <si>
    <t xml:space="preserve">(301)JUSTO RAMIREZ                                                         </t>
  </si>
  <si>
    <t xml:space="preserve">D-5002    </t>
  </si>
  <si>
    <t xml:space="preserve">D-5003    </t>
  </si>
  <si>
    <t xml:space="preserve">D-5004    </t>
  </si>
  <si>
    <t xml:space="preserve">D-5005    </t>
  </si>
  <si>
    <t xml:space="preserve">D-5006    </t>
  </si>
  <si>
    <t xml:space="preserve">D-5007    </t>
  </si>
  <si>
    <t xml:space="preserve">D-5008    </t>
  </si>
  <si>
    <t xml:space="preserve">D-5009    </t>
  </si>
  <si>
    <t xml:space="preserve">D-5010    </t>
  </si>
  <si>
    <t xml:space="preserve">D-5011    </t>
  </si>
  <si>
    <t xml:space="preserve">D-5012    </t>
  </si>
  <si>
    <t xml:space="preserve">D-5013    </t>
  </si>
  <si>
    <t xml:space="preserve">D-5014    </t>
  </si>
  <si>
    <t xml:space="preserve">D-5015    </t>
  </si>
  <si>
    <t xml:space="preserve">D-5016    </t>
  </si>
  <si>
    <t xml:space="preserve">D-5017    </t>
  </si>
  <si>
    <t xml:space="preserve">D-5018    </t>
  </si>
  <si>
    <t xml:space="preserve">D-5019    </t>
  </si>
  <si>
    <t xml:space="preserve">D-5020    </t>
  </si>
  <si>
    <t xml:space="preserve">D-5021    </t>
  </si>
  <si>
    <t xml:space="preserve">D-5022    </t>
  </si>
  <si>
    <t xml:space="preserve">D-5023    </t>
  </si>
  <si>
    <t xml:space="preserve">D-5024    </t>
  </si>
  <si>
    <t xml:space="preserve">D-5025    </t>
  </si>
  <si>
    <t xml:space="preserve">D-5026    </t>
  </si>
  <si>
    <t xml:space="preserve">D-5027    </t>
  </si>
  <si>
    <t xml:space="preserve">D-5028    </t>
  </si>
  <si>
    <t xml:space="preserve">D-5029    </t>
  </si>
  <si>
    <t xml:space="preserve">D-5030    </t>
  </si>
  <si>
    <t xml:space="preserve">D-5031    </t>
  </si>
  <si>
    <t xml:space="preserve">D-5032    </t>
  </si>
  <si>
    <t xml:space="preserve">D-5033    </t>
  </si>
  <si>
    <t xml:space="preserve">D-5034    </t>
  </si>
  <si>
    <t xml:space="preserve">D-5035    </t>
  </si>
  <si>
    <t xml:space="preserve">D-5036    </t>
  </si>
  <si>
    <t xml:space="preserve">D-5037    </t>
  </si>
  <si>
    <t xml:space="preserve">D-5038    </t>
  </si>
  <si>
    <t xml:space="preserve">D-5039    </t>
  </si>
  <si>
    <t xml:space="preserve">D-5040    </t>
  </si>
  <si>
    <t xml:space="preserve">D-5041    </t>
  </si>
  <si>
    <t xml:space="preserve">D-5042    </t>
  </si>
  <si>
    <t xml:space="preserve">D-5043    </t>
  </si>
  <si>
    <t xml:space="preserve">D-5044    </t>
  </si>
  <si>
    <t xml:space="preserve">D-5045    </t>
  </si>
  <si>
    <t xml:space="preserve">D-5046    </t>
  </si>
  <si>
    <t xml:space="preserve">D-5047    </t>
  </si>
  <si>
    <t xml:space="preserve">D-5048    </t>
  </si>
  <si>
    <t xml:space="preserve">D-5049    </t>
  </si>
  <si>
    <t xml:space="preserve">D-5050    </t>
  </si>
  <si>
    <t xml:space="preserve">D-5051    </t>
  </si>
  <si>
    <t xml:space="preserve">D-5052    </t>
  </si>
  <si>
    <t xml:space="preserve">D-5053    </t>
  </si>
  <si>
    <t xml:space="preserve">D-5054    </t>
  </si>
  <si>
    <t xml:space="preserve">D-5055    </t>
  </si>
  <si>
    <t xml:space="preserve">D-5056    </t>
  </si>
  <si>
    <t xml:space="preserve">D-5057    </t>
  </si>
  <si>
    <t xml:space="preserve">D-5058    </t>
  </si>
  <si>
    <t xml:space="preserve">D-5059    </t>
  </si>
  <si>
    <t xml:space="preserve">D-5060    </t>
  </si>
  <si>
    <t xml:space="preserve">D-5061    </t>
  </si>
  <si>
    <t xml:space="preserve">D-5062    </t>
  </si>
  <si>
    <t xml:space="preserve">D-5063    </t>
  </si>
  <si>
    <t xml:space="preserve">D-5064    </t>
  </si>
  <si>
    <t xml:space="preserve">D-5065    </t>
  </si>
  <si>
    <t xml:space="preserve">D-5066    </t>
  </si>
  <si>
    <t xml:space="preserve">(354)EMANUEL                                                               </t>
  </si>
  <si>
    <t xml:space="preserve">D-5067    </t>
  </si>
  <si>
    <t xml:space="preserve">D-5068    </t>
  </si>
  <si>
    <t xml:space="preserve">D-5069    </t>
  </si>
  <si>
    <t xml:space="preserve">D-5070    </t>
  </si>
  <si>
    <t xml:space="preserve">D-5071    </t>
  </si>
  <si>
    <t xml:space="preserve">D-5072    </t>
  </si>
  <si>
    <t xml:space="preserve">D-5073    </t>
  </si>
  <si>
    <t xml:space="preserve">D-5074    </t>
  </si>
  <si>
    <t xml:space="preserve">D-5075    </t>
  </si>
  <si>
    <t xml:space="preserve">D-5076    </t>
  </si>
  <si>
    <t xml:space="preserve">D-5077    </t>
  </si>
  <si>
    <t xml:space="preserve">D-5078    </t>
  </si>
  <si>
    <t xml:space="preserve">D-5079    </t>
  </si>
  <si>
    <t xml:space="preserve">D-5080    </t>
  </si>
  <si>
    <t xml:space="preserve">D-5081    </t>
  </si>
  <si>
    <t xml:space="preserve">D-5082    </t>
  </si>
  <si>
    <t xml:space="preserve">D-5083    </t>
  </si>
  <si>
    <t xml:space="preserve">D-5084    </t>
  </si>
  <si>
    <t xml:space="preserve">D-5085    </t>
  </si>
  <si>
    <t xml:space="preserve">D-5086    </t>
  </si>
  <si>
    <t xml:space="preserve">D-5087    </t>
  </si>
  <si>
    <t xml:space="preserve">D-5088    </t>
  </si>
  <si>
    <t xml:space="preserve">D-5089    </t>
  </si>
  <si>
    <t xml:space="preserve">D-5090    </t>
  </si>
  <si>
    <t xml:space="preserve">D-5091    </t>
  </si>
  <si>
    <t xml:space="preserve">D-5092    </t>
  </si>
  <si>
    <t xml:space="preserve">D-5093    </t>
  </si>
  <si>
    <t xml:space="preserve">D-5094    </t>
  </si>
  <si>
    <t xml:space="preserve">D-5095    </t>
  </si>
  <si>
    <t xml:space="preserve">D-5096    </t>
  </si>
  <si>
    <t xml:space="preserve">D-5097    </t>
  </si>
  <si>
    <t xml:space="preserve">D-5098    </t>
  </si>
  <si>
    <t xml:space="preserve">D-5099    </t>
  </si>
  <si>
    <t xml:space="preserve">D-5100    </t>
  </si>
  <si>
    <t xml:space="preserve">D-5101    </t>
  </si>
  <si>
    <t xml:space="preserve">D-5102    </t>
  </si>
  <si>
    <t xml:space="preserve">D-5103    </t>
  </si>
  <si>
    <t xml:space="preserve">D-5104    </t>
  </si>
  <si>
    <t xml:space="preserve">D-5105    </t>
  </si>
  <si>
    <t xml:space="preserve">D-5106    </t>
  </si>
  <si>
    <t xml:space="preserve">D-5107    </t>
  </si>
  <si>
    <t xml:space="preserve">D-5108    </t>
  </si>
  <si>
    <t xml:space="preserve">D-5109    </t>
  </si>
  <si>
    <t xml:space="preserve">D-5110    </t>
  </si>
  <si>
    <t xml:space="preserve">D-5111    </t>
  </si>
  <si>
    <t xml:space="preserve">D-5112    </t>
  </si>
  <si>
    <t xml:space="preserve">D-5113    </t>
  </si>
  <si>
    <t xml:space="preserve">D-5114    </t>
  </si>
  <si>
    <t xml:space="preserve">D-5115    </t>
  </si>
  <si>
    <t xml:space="preserve">D-5116    </t>
  </si>
  <si>
    <t xml:space="preserve">D-5117    </t>
  </si>
  <si>
    <t xml:space="preserve">D-5118    </t>
  </si>
  <si>
    <t xml:space="preserve">D-5119    </t>
  </si>
  <si>
    <t xml:space="preserve">D-5120    </t>
  </si>
  <si>
    <t xml:space="preserve">D-5121    </t>
  </si>
  <si>
    <t xml:space="preserve">D-5122    </t>
  </si>
  <si>
    <t xml:space="preserve">D-5123    </t>
  </si>
  <si>
    <t xml:space="preserve">D-5124    </t>
  </si>
  <si>
    <t xml:space="preserve">D-5125    </t>
  </si>
  <si>
    <t xml:space="preserve">D-5126    </t>
  </si>
  <si>
    <t xml:space="preserve">D-5127    </t>
  </si>
  <si>
    <t xml:space="preserve">D-5128    </t>
  </si>
  <si>
    <t xml:space="preserve">D-5129    </t>
  </si>
  <si>
    <t xml:space="preserve">D-5130    </t>
  </si>
  <si>
    <t xml:space="preserve">D-5131    </t>
  </si>
  <si>
    <t xml:space="preserve">D-5132    </t>
  </si>
  <si>
    <t xml:space="preserve">D-5133    </t>
  </si>
  <si>
    <t xml:space="preserve">D-5134    </t>
  </si>
  <si>
    <t xml:space="preserve">D-5135    </t>
  </si>
  <si>
    <t xml:space="preserve">D-5136    </t>
  </si>
  <si>
    <t xml:space="preserve">D-5137    </t>
  </si>
  <si>
    <t xml:space="preserve">D-5138    </t>
  </si>
  <si>
    <t xml:space="preserve">D-5139    </t>
  </si>
  <si>
    <t xml:space="preserve">D-5140    </t>
  </si>
  <si>
    <t xml:space="preserve">D-5141    </t>
  </si>
  <si>
    <t xml:space="preserve">D-5142    </t>
  </si>
  <si>
    <t xml:space="preserve">D-5143    </t>
  </si>
  <si>
    <t xml:space="preserve">D-5144    </t>
  </si>
  <si>
    <t xml:space="preserve">D-5145    </t>
  </si>
  <si>
    <t xml:space="preserve">D-5146    </t>
  </si>
  <si>
    <t xml:space="preserve">D-5147    </t>
  </si>
  <si>
    <t xml:space="preserve">D-5148    </t>
  </si>
  <si>
    <t xml:space="preserve">D-5149    </t>
  </si>
  <si>
    <t xml:space="preserve">D-5150    </t>
  </si>
  <si>
    <t xml:space="preserve">D-5151    </t>
  </si>
  <si>
    <t xml:space="preserve">D-5152    </t>
  </si>
  <si>
    <t xml:space="preserve">D-5153    </t>
  </si>
  <si>
    <t xml:space="preserve">D-5154    </t>
  </si>
  <si>
    <t xml:space="preserve">D-5155    </t>
  </si>
  <si>
    <t xml:space="preserve">D-5156    </t>
  </si>
  <si>
    <t xml:space="preserve">D-5157    </t>
  </si>
  <si>
    <t xml:space="preserve">D-5158    </t>
  </si>
  <si>
    <t xml:space="preserve">D-5159    </t>
  </si>
  <si>
    <t xml:space="preserve">D-5160    </t>
  </si>
  <si>
    <t xml:space="preserve">D-5161    </t>
  </si>
  <si>
    <t xml:space="preserve">D-5162    </t>
  </si>
  <si>
    <t xml:space="preserve">D-5163    </t>
  </si>
  <si>
    <t xml:space="preserve">D-5164    </t>
  </si>
  <si>
    <t xml:space="preserve">D-5165    </t>
  </si>
  <si>
    <t xml:space="preserve">D-5166    </t>
  </si>
  <si>
    <t xml:space="preserve">D-5167    </t>
  </si>
  <si>
    <t xml:space="preserve">D-5168    </t>
  </si>
  <si>
    <t xml:space="preserve">D-5169    </t>
  </si>
  <si>
    <t xml:space="preserve">D-5170    </t>
  </si>
  <si>
    <t xml:space="preserve">D-5171    </t>
  </si>
  <si>
    <t xml:space="preserve">D-5172    </t>
  </si>
  <si>
    <t xml:space="preserve">D-5173    </t>
  </si>
  <si>
    <t xml:space="preserve">D-5174    </t>
  </si>
  <si>
    <t xml:space="preserve">D-5175    </t>
  </si>
  <si>
    <t xml:space="preserve">D-5176    </t>
  </si>
  <si>
    <t xml:space="preserve">D-5177    </t>
  </si>
  <si>
    <t xml:space="preserve">D-5178    </t>
  </si>
  <si>
    <t xml:space="preserve">D-5179    </t>
  </si>
  <si>
    <t xml:space="preserve">D-5180    </t>
  </si>
  <si>
    <t xml:space="preserve">D-5181    </t>
  </si>
  <si>
    <t xml:space="preserve">D-5182    </t>
  </si>
  <si>
    <t xml:space="preserve">D-5183    </t>
  </si>
  <si>
    <t xml:space="preserve">D-5184    </t>
  </si>
  <si>
    <t xml:space="preserve">D-5185    </t>
  </si>
  <si>
    <t xml:space="preserve">D-5186    </t>
  </si>
  <si>
    <t xml:space="preserve">D-5187    </t>
  </si>
  <si>
    <t xml:space="preserve">D-5188    </t>
  </si>
  <si>
    <t xml:space="preserve">D-5189    </t>
  </si>
  <si>
    <t xml:space="preserve">D-5190    </t>
  </si>
  <si>
    <t xml:space="preserve">D-5191    </t>
  </si>
  <si>
    <t xml:space="preserve">D-5192    </t>
  </si>
  <si>
    <t xml:space="preserve">D-5193    </t>
  </si>
  <si>
    <t xml:space="preserve">D-5194    </t>
  </si>
  <si>
    <t xml:space="preserve">D-5195    </t>
  </si>
  <si>
    <t xml:space="preserve">D-5196    </t>
  </si>
  <si>
    <t xml:space="preserve">D-5197    </t>
  </si>
  <si>
    <t xml:space="preserve">D-5198    </t>
  </si>
  <si>
    <t xml:space="preserve">D-5199    </t>
  </si>
  <si>
    <t xml:space="preserve">D-5200    </t>
  </si>
  <si>
    <t xml:space="preserve">D-5201    </t>
  </si>
  <si>
    <t xml:space="preserve">D-5202    </t>
  </si>
  <si>
    <t xml:space="preserve">D-5203    </t>
  </si>
  <si>
    <t xml:space="preserve">D-5204    </t>
  </si>
  <si>
    <t xml:space="preserve">D-5205    </t>
  </si>
  <si>
    <t xml:space="preserve">D-5206    </t>
  </si>
  <si>
    <t xml:space="preserve">D-5207    </t>
  </si>
  <si>
    <t xml:space="preserve">D-5208    </t>
  </si>
  <si>
    <t xml:space="preserve">D-5209    </t>
  </si>
  <si>
    <t xml:space="preserve">D-5210    </t>
  </si>
  <si>
    <t xml:space="preserve">D-5211    </t>
  </si>
  <si>
    <t xml:space="preserve">D-5212    </t>
  </si>
  <si>
    <t xml:space="preserve">D-5213    </t>
  </si>
  <si>
    <t xml:space="preserve">D-5214    </t>
  </si>
  <si>
    <t xml:space="preserve">D-5215    </t>
  </si>
  <si>
    <t xml:space="preserve">D-5216    </t>
  </si>
  <si>
    <t xml:space="preserve">D-5217    </t>
  </si>
  <si>
    <t xml:space="preserve">D-5218    </t>
  </si>
  <si>
    <t xml:space="preserve">D-5219    </t>
  </si>
  <si>
    <t xml:space="preserve">D-5220    </t>
  </si>
  <si>
    <t xml:space="preserve">D-5221    </t>
  </si>
  <si>
    <t xml:space="preserve">D-5222    </t>
  </si>
  <si>
    <t xml:space="preserve">D-5223    </t>
  </si>
  <si>
    <t xml:space="preserve">D-5224    </t>
  </si>
  <si>
    <t xml:space="preserve">D-5225    </t>
  </si>
  <si>
    <t xml:space="preserve">D-5226    </t>
  </si>
  <si>
    <t xml:space="preserve">D-5227    </t>
  </si>
  <si>
    <t xml:space="preserve">D-5228    </t>
  </si>
  <si>
    <t xml:space="preserve">D-5229    </t>
  </si>
  <si>
    <t xml:space="preserve">D-5230    </t>
  </si>
  <si>
    <t xml:space="preserve">D-5231    </t>
  </si>
  <si>
    <t xml:space="preserve">D-5232    </t>
  </si>
  <si>
    <t xml:space="preserve">D-5233    </t>
  </si>
  <si>
    <t xml:space="preserve">D-5234    </t>
  </si>
  <si>
    <t xml:space="preserve">D-5235    </t>
  </si>
  <si>
    <t xml:space="preserve">D-5236    </t>
  </si>
  <si>
    <t xml:space="preserve">D-5237    </t>
  </si>
  <si>
    <t xml:space="preserve">D-5238    </t>
  </si>
  <si>
    <t xml:space="preserve">D-5239    </t>
  </si>
  <si>
    <t xml:space="preserve">D-5240    </t>
  </si>
  <si>
    <t xml:space="preserve">D-5241    </t>
  </si>
  <si>
    <t xml:space="preserve">D-5242    </t>
  </si>
  <si>
    <t xml:space="preserve">D-5243    </t>
  </si>
  <si>
    <t xml:space="preserve">D-5244    </t>
  </si>
  <si>
    <t xml:space="preserve">D-5245    </t>
  </si>
  <si>
    <t xml:space="preserve">D-5246    </t>
  </si>
  <si>
    <t xml:space="preserve">D-5247    </t>
  </si>
  <si>
    <t xml:space="preserve">D-5248    </t>
  </si>
  <si>
    <t xml:space="preserve">D-5249    </t>
  </si>
  <si>
    <t xml:space="preserve">D-5250    </t>
  </si>
  <si>
    <t xml:space="preserve">D-5251    </t>
  </si>
  <si>
    <t xml:space="preserve">D-5252    </t>
  </si>
  <si>
    <t xml:space="preserve">D-5253    </t>
  </si>
  <si>
    <t xml:space="preserve">D-5254    </t>
  </si>
  <si>
    <t xml:space="preserve">D-5255    </t>
  </si>
  <si>
    <t xml:space="preserve">D-5256    </t>
  </si>
  <si>
    <t xml:space="preserve">D-5257    </t>
  </si>
  <si>
    <t xml:space="preserve">D-5258    </t>
  </si>
  <si>
    <t xml:space="preserve">D-5259    </t>
  </si>
  <si>
    <t xml:space="preserve">D-5260    </t>
  </si>
  <si>
    <t xml:space="preserve">D-5261    </t>
  </si>
  <si>
    <t xml:space="preserve">D-5262    </t>
  </si>
  <si>
    <t xml:space="preserve">D-5263    </t>
  </si>
  <si>
    <t xml:space="preserve">D-5264    </t>
  </si>
  <si>
    <t xml:space="preserve">D-5265    </t>
  </si>
  <si>
    <t xml:space="preserve">D-5266    </t>
  </si>
  <si>
    <t xml:space="preserve">D-5267    </t>
  </si>
  <si>
    <t xml:space="preserve">D-5268    </t>
  </si>
  <si>
    <t xml:space="preserve">D-5269    </t>
  </si>
  <si>
    <t xml:space="preserve">D-5270    </t>
  </si>
  <si>
    <t xml:space="preserve">D-5271    </t>
  </si>
  <si>
    <t xml:space="preserve">D-5272    </t>
  </si>
  <si>
    <t xml:space="preserve">D-5273    </t>
  </si>
  <si>
    <t xml:space="preserve">D-5274    </t>
  </si>
  <si>
    <t xml:space="preserve">D-5275    </t>
  </si>
  <si>
    <t xml:space="preserve">D-5276    </t>
  </si>
  <si>
    <t xml:space="preserve">D-5277    </t>
  </si>
  <si>
    <t xml:space="preserve">D-5278    </t>
  </si>
  <si>
    <t xml:space="preserve">D-5279    </t>
  </si>
  <si>
    <t xml:space="preserve">D-5280    </t>
  </si>
  <si>
    <t xml:space="preserve">D-5281    </t>
  </si>
  <si>
    <t xml:space="preserve">D-5282    </t>
  </si>
  <si>
    <t xml:space="preserve">D-5283    </t>
  </si>
  <si>
    <t xml:space="preserve">D-5284    </t>
  </si>
  <si>
    <t xml:space="preserve">D-5285    </t>
  </si>
  <si>
    <t xml:space="preserve">D-5286    </t>
  </si>
  <si>
    <t xml:space="preserve">D-5287    </t>
  </si>
  <si>
    <t xml:space="preserve">D-5288    </t>
  </si>
  <si>
    <t xml:space="preserve">D-5289    </t>
  </si>
  <si>
    <t xml:space="preserve">D-5290    </t>
  </si>
  <si>
    <t xml:space="preserve">D-5291    </t>
  </si>
  <si>
    <t xml:space="preserve">D-5292    </t>
  </si>
  <si>
    <t xml:space="preserve">D-5293    </t>
  </si>
  <si>
    <t xml:space="preserve">D-5294    </t>
  </si>
  <si>
    <t xml:space="preserve">D-5295    </t>
  </si>
  <si>
    <t xml:space="preserve">D-5296    </t>
  </si>
  <si>
    <t xml:space="preserve">D-5297    </t>
  </si>
  <si>
    <t xml:space="preserve">D-5298    </t>
  </si>
  <si>
    <t xml:space="preserve">D-5299    </t>
  </si>
  <si>
    <t xml:space="preserve">D-5300    </t>
  </si>
  <si>
    <t xml:space="preserve">D-5301    </t>
  </si>
  <si>
    <t xml:space="preserve">D-5302    </t>
  </si>
  <si>
    <t xml:space="preserve">D-5303    </t>
  </si>
  <si>
    <t xml:space="preserve">D-5304    </t>
  </si>
  <si>
    <t xml:space="preserve">D-5305    </t>
  </si>
  <si>
    <t xml:space="preserve">D-5306    </t>
  </si>
  <si>
    <t xml:space="preserve">D-5307    </t>
  </si>
  <si>
    <t xml:space="preserve">D-5308    </t>
  </si>
  <si>
    <t xml:space="preserve">D-5309    </t>
  </si>
  <si>
    <t xml:space="preserve">D-5310    </t>
  </si>
  <si>
    <t xml:space="preserve">D-5311    </t>
  </si>
  <si>
    <t xml:space="preserve">D-5312    </t>
  </si>
  <si>
    <t xml:space="preserve">D-5313    </t>
  </si>
  <si>
    <t xml:space="preserve">D-5314    </t>
  </si>
  <si>
    <t xml:space="preserve">D-5315    </t>
  </si>
  <si>
    <t xml:space="preserve">D-5316    </t>
  </si>
  <si>
    <t xml:space="preserve">D-5317    </t>
  </si>
  <si>
    <t xml:space="preserve">D-5318    </t>
  </si>
  <si>
    <t xml:space="preserve">D-5319    </t>
  </si>
  <si>
    <t xml:space="preserve">D-5320    </t>
  </si>
  <si>
    <t xml:space="preserve">D-5321    </t>
  </si>
  <si>
    <t xml:space="preserve">D-5322    </t>
  </si>
  <si>
    <t xml:space="preserve">D-5323    </t>
  </si>
  <si>
    <t xml:space="preserve">D-5324    </t>
  </si>
  <si>
    <t xml:space="preserve">D-5325    </t>
  </si>
  <si>
    <t xml:space="preserve">D-5326    </t>
  </si>
  <si>
    <t xml:space="preserve">D-5327    </t>
  </si>
  <si>
    <t xml:space="preserve">D-5328    </t>
  </si>
  <si>
    <t xml:space="preserve">D-5329    </t>
  </si>
  <si>
    <t xml:space="preserve">(64)CARBONCITO                                                            </t>
  </si>
  <si>
    <t xml:space="preserve">D-5330    </t>
  </si>
  <si>
    <t xml:space="preserve">D-5331    </t>
  </si>
  <si>
    <t xml:space="preserve">D-5332    </t>
  </si>
  <si>
    <t xml:space="preserve">D-5333    </t>
  </si>
  <si>
    <t xml:space="preserve">D-5334    </t>
  </si>
  <si>
    <t xml:space="preserve">D-5335    </t>
  </si>
  <si>
    <t xml:space="preserve">D-5336    </t>
  </si>
  <si>
    <t xml:space="preserve">D-5337    </t>
  </si>
  <si>
    <t xml:space="preserve">D-5338    </t>
  </si>
  <si>
    <t xml:space="preserve">D-5339    </t>
  </si>
  <si>
    <t xml:space="preserve">D-5340    </t>
  </si>
  <si>
    <t xml:space="preserve">D-5341    </t>
  </si>
  <si>
    <t xml:space="preserve">D-5342    </t>
  </si>
  <si>
    <t xml:space="preserve">D-5343    </t>
  </si>
  <si>
    <t xml:space="preserve">D-5344    </t>
  </si>
  <si>
    <t xml:space="preserve">D-5345    </t>
  </si>
  <si>
    <t xml:space="preserve">D-5346    </t>
  </si>
  <si>
    <t xml:space="preserve">D-5347    </t>
  </si>
  <si>
    <t xml:space="preserve">D-5348    </t>
  </si>
  <si>
    <t xml:space="preserve">D-5349    </t>
  </si>
  <si>
    <t xml:space="preserve">D-5350    </t>
  </si>
  <si>
    <t xml:space="preserve">D-5351    </t>
  </si>
  <si>
    <t>25/02/2017 27/03/2017</t>
  </si>
  <si>
    <t xml:space="preserve">D-5352    </t>
  </si>
  <si>
    <t xml:space="preserve">D-5353    </t>
  </si>
  <si>
    <t xml:space="preserve">D-5354    </t>
  </si>
  <si>
    <t xml:space="preserve">D-5355    </t>
  </si>
  <si>
    <t xml:space="preserve">D-5356    </t>
  </si>
  <si>
    <t xml:space="preserve">D-5357    </t>
  </si>
  <si>
    <t xml:space="preserve">D-5358    </t>
  </si>
  <si>
    <t xml:space="preserve">D-5359    </t>
  </si>
  <si>
    <t xml:space="preserve">D-5360    </t>
  </si>
  <si>
    <t xml:space="preserve">D-5361    </t>
  </si>
  <si>
    <t xml:space="preserve">D-5362    </t>
  </si>
  <si>
    <t xml:space="preserve">D-5363    </t>
  </si>
  <si>
    <t xml:space="preserve">D-5364    </t>
  </si>
  <si>
    <t xml:space="preserve">D-5365    </t>
  </si>
  <si>
    <t xml:space="preserve">D-5366    </t>
  </si>
  <si>
    <t xml:space="preserve">D-5367    </t>
  </si>
  <si>
    <t xml:space="preserve">D-5368    </t>
  </si>
  <si>
    <t xml:space="preserve">D-5369    </t>
  </si>
  <si>
    <t xml:space="preserve">D-5370    </t>
  </si>
  <si>
    <t xml:space="preserve">D-5371    </t>
  </si>
  <si>
    <t>27/03/2017 29/03/2017</t>
  </si>
  <si>
    <t xml:space="preserve">D-5372    </t>
  </si>
  <si>
    <t xml:space="preserve">D-5373    </t>
  </si>
  <si>
    <t xml:space="preserve">D-5374    </t>
  </si>
  <si>
    <t xml:space="preserve">D-5375    </t>
  </si>
  <si>
    <t xml:space="preserve">D-5376    </t>
  </si>
  <si>
    <t xml:space="preserve">D-5377    </t>
  </si>
  <si>
    <t xml:space="preserve">D-5378    </t>
  </si>
  <si>
    <t xml:space="preserve">D-5379    </t>
  </si>
  <si>
    <t xml:space="preserve">D-5380    </t>
  </si>
  <si>
    <t>24/03/2017 27/03/2017</t>
  </si>
  <si>
    <t xml:space="preserve">D-5381    </t>
  </si>
  <si>
    <t xml:space="preserve">D-5382    </t>
  </si>
  <si>
    <t xml:space="preserve">D-5383    </t>
  </si>
  <si>
    <t xml:space="preserve">D-5384    </t>
  </si>
  <si>
    <t xml:space="preserve">D-5385    </t>
  </si>
  <si>
    <t xml:space="preserve">D-5386    </t>
  </si>
  <si>
    <t xml:space="preserve">D-5387    </t>
  </si>
  <si>
    <t xml:space="preserve">D-5388    </t>
  </si>
  <si>
    <t xml:space="preserve">D-5389    </t>
  </si>
  <si>
    <t xml:space="preserve">D-5390    </t>
  </si>
  <si>
    <t xml:space="preserve">D-5391    </t>
  </si>
  <si>
    <t xml:space="preserve">D-5392    </t>
  </si>
  <si>
    <t xml:space="preserve">D-5393    </t>
  </si>
  <si>
    <t xml:space="preserve">(341)JUAN DE LOS SANTOS                                                    </t>
  </si>
  <si>
    <t xml:space="preserve">D-5394    </t>
  </si>
  <si>
    <t xml:space="preserve">D-5395    </t>
  </si>
  <si>
    <t xml:space="preserve">D-5396    </t>
  </si>
  <si>
    <t xml:space="preserve">D-5397    </t>
  </si>
  <si>
    <t xml:space="preserve">D-5398    </t>
  </si>
  <si>
    <t xml:space="preserve">D-5399    </t>
  </si>
  <si>
    <t xml:space="preserve">D-5400    </t>
  </si>
  <si>
    <t xml:space="preserve">D-5401    </t>
  </si>
  <si>
    <t xml:space="preserve">D-5402    </t>
  </si>
  <si>
    <t xml:space="preserve">D-5403    </t>
  </si>
  <si>
    <t xml:space="preserve">D-5404    </t>
  </si>
  <si>
    <t xml:space="preserve">D-5405    </t>
  </si>
  <si>
    <t xml:space="preserve">D-5406    </t>
  </si>
  <si>
    <t xml:space="preserve">D-5407    </t>
  </si>
  <si>
    <t xml:space="preserve">D-5408    </t>
  </si>
  <si>
    <t xml:space="preserve">D-5409    </t>
  </si>
  <si>
    <t xml:space="preserve">D-5410    </t>
  </si>
  <si>
    <t xml:space="preserve">D-5411    </t>
  </si>
  <si>
    <t xml:space="preserve">D-5412    </t>
  </si>
  <si>
    <t xml:space="preserve">D-5413    </t>
  </si>
  <si>
    <t xml:space="preserve">D-5414    </t>
  </si>
  <si>
    <t xml:space="preserve">D-5415    </t>
  </si>
  <si>
    <t xml:space="preserve">D-5416    </t>
  </si>
  <si>
    <t xml:space="preserve">D-5417    </t>
  </si>
  <si>
    <t xml:space="preserve">D-5418    </t>
  </si>
  <si>
    <t xml:space="preserve">D-5419    </t>
  </si>
  <si>
    <t xml:space="preserve">D-5420    </t>
  </si>
  <si>
    <t xml:space="preserve">D-5421    </t>
  </si>
  <si>
    <t xml:space="preserve">D-5422    </t>
  </si>
  <si>
    <t xml:space="preserve">D-5423    </t>
  </si>
  <si>
    <t xml:space="preserve">D-5424    </t>
  </si>
  <si>
    <t xml:space="preserve">D-5425    </t>
  </si>
  <si>
    <t xml:space="preserve">D-5426    </t>
  </si>
  <si>
    <t xml:space="preserve">D-5427    </t>
  </si>
  <si>
    <t xml:space="preserve">D-5428    </t>
  </si>
  <si>
    <t>27/03/2017 28/03/2017</t>
  </si>
  <si>
    <t xml:space="preserve">D-5429    </t>
  </si>
  <si>
    <t xml:space="preserve">D-5430    </t>
  </si>
  <si>
    <t xml:space="preserve">D-5431    </t>
  </si>
  <si>
    <t xml:space="preserve">D-5432    </t>
  </si>
  <si>
    <t xml:space="preserve">D-5433    </t>
  </si>
  <si>
    <t xml:space="preserve">D-5434    </t>
  </si>
  <si>
    <t xml:space="preserve">D-5435    </t>
  </si>
  <si>
    <t xml:space="preserve">D-5436    </t>
  </si>
  <si>
    <t xml:space="preserve">D-5437    </t>
  </si>
  <si>
    <t xml:space="preserve">D-5438    </t>
  </si>
  <si>
    <t xml:space="preserve">D-5439    </t>
  </si>
  <si>
    <t xml:space="preserve">D-5440    </t>
  </si>
  <si>
    <t xml:space="preserve">D-5441    </t>
  </si>
  <si>
    <t xml:space="preserve">D-5442    </t>
  </si>
  <si>
    <t xml:space="preserve">D-5443    </t>
  </si>
  <si>
    <t xml:space="preserve">D-5444    </t>
  </si>
  <si>
    <t xml:space="preserve">D-5445    </t>
  </si>
  <si>
    <t xml:space="preserve">D-5446    </t>
  </si>
  <si>
    <t xml:space="preserve">D-5447    </t>
  </si>
  <si>
    <t xml:space="preserve">D-5448    </t>
  </si>
  <si>
    <t xml:space="preserve">D-5449    </t>
  </si>
  <si>
    <t xml:space="preserve">D-5450    </t>
  </si>
  <si>
    <t xml:space="preserve">D-5451    </t>
  </si>
  <si>
    <t xml:space="preserve">D-5452    </t>
  </si>
  <si>
    <t xml:space="preserve">D-5453    </t>
  </si>
  <si>
    <t xml:space="preserve">D-5454    </t>
  </si>
  <si>
    <t xml:space="preserve">D-5455    </t>
  </si>
  <si>
    <t xml:space="preserve">D-5456    </t>
  </si>
  <si>
    <t xml:space="preserve">D-5457    </t>
  </si>
  <si>
    <t xml:space="preserve">D-5458    </t>
  </si>
  <si>
    <t xml:space="preserve">D-5459    </t>
  </si>
  <si>
    <t xml:space="preserve">D-5460    </t>
  </si>
  <si>
    <t xml:space="preserve">D-5461    </t>
  </si>
  <si>
    <t xml:space="preserve">D-5462    </t>
  </si>
  <si>
    <t xml:space="preserve">D-5463    </t>
  </si>
  <si>
    <t xml:space="preserve">D-5464    </t>
  </si>
  <si>
    <t xml:space="preserve">D-5465    </t>
  </si>
  <si>
    <t xml:space="preserve">D-5466    </t>
  </si>
  <si>
    <t xml:space="preserve">D-5467    </t>
  </si>
  <si>
    <t xml:space="preserve">D-5468    </t>
  </si>
  <si>
    <t xml:space="preserve">D-5469    </t>
  </si>
  <si>
    <t xml:space="preserve">D-5470    </t>
  </si>
  <si>
    <t xml:space="preserve">D-5471    </t>
  </si>
  <si>
    <t xml:space="preserve">D-5472    </t>
  </si>
  <si>
    <t xml:space="preserve">D-5473    </t>
  </si>
  <si>
    <t xml:space="preserve">D-5474    </t>
  </si>
  <si>
    <t xml:space="preserve">D-5475    </t>
  </si>
  <si>
    <t xml:space="preserve">D-5476    </t>
  </si>
  <si>
    <t xml:space="preserve">D-5477    </t>
  </si>
  <si>
    <t xml:space="preserve">D-5478    </t>
  </si>
  <si>
    <t xml:space="preserve">D-5479    </t>
  </si>
  <si>
    <t xml:space="preserve">D-5480    </t>
  </si>
  <si>
    <t xml:space="preserve">D-5481    </t>
  </si>
  <si>
    <t xml:space="preserve">D-5482    </t>
  </si>
  <si>
    <t xml:space="preserve">D-5483    </t>
  </si>
  <si>
    <t xml:space="preserve">D-5484    </t>
  </si>
  <si>
    <t xml:space="preserve">D-5485    </t>
  </si>
  <si>
    <t xml:space="preserve">D-5486    </t>
  </si>
  <si>
    <t xml:space="preserve">D-5487    </t>
  </si>
  <si>
    <t xml:space="preserve">D-5488    </t>
  </si>
  <si>
    <t xml:space="preserve">D-5489    </t>
  </si>
  <si>
    <t xml:space="preserve">D-5490    </t>
  </si>
  <si>
    <t xml:space="preserve">D-5491    </t>
  </si>
  <si>
    <t xml:space="preserve">D-5492    </t>
  </si>
  <si>
    <t xml:space="preserve">D-5493    </t>
  </si>
  <si>
    <t xml:space="preserve">D-5494    </t>
  </si>
  <si>
    <t xml:space="preserve">D-5495    </t>
  </si>
  <si>
    <t xml:space="preserve">D-5496    </t>
  </si>
  <si>
    <t xml:space="preserve">D-5497    </t>
  </si>
  <si>
    <t xml:space="preserve">D-5498    </t>
  </si>
  <si>
    <t xml:space="preserve">D-5499    </t>
  </si>
  <si>
    <t xml:space="preserve">D-5500    </t>
  </si>
  <si>
    <t xml:space="preserve">D-5501    </t>
  </si>
  <si>
    <t xml:space="preserve">D-5502    </t>
  </si>
  <si>
    <t xml:space="preserve">D-5503    </t>
  </si>
  <si>
    <t xml:space="preserve">D-5504    </t>
  </si>
  <si>
    <t xml:space="preserve">D-5505    </t>
  </si>
  <si>
    <t xml:space="preserve">D-5506    </t>
  </si>
  <si>
    <t xml:space="preserve">D-5507    </t>
  </si>
  <si>
    <t xml:space="preserve">D-5508    </t>
  </si>
  <si>
    <t xml:space="preserve">D-5509    </t>
  </si>
  <si>
    <t xml:space="preserve">D-5510    </t>
  </si>
  <si>
    <t xml:space="preserve">D-5511    </t>
  </si>
  <si>
    <t xml:space="preserve">D-5512    </t>
  </si>
  <si>
    <t xml:space="preserve">D-5513    </t>
  </si>
  <si>
    <t xml:space="preserve">D-5514    </t>
  </si>
  <si>
    <t xml:space="preserve">D-5515    </t>
  </si>
  <si>
    <t xml:space="preserve">D-5516    </t>
  </si>
  <si>
    <t xml:space="preserve">D-5517    </t>
  </si>
  <si>
    <t xml:space="preserve">D-5518    </t>
  </si>
  <si>
    <t xml:space="preserve">D-5519    </t>
  </si>
  <si>
    <t xml:space="preserve">D-5520    </t>
  </si>
  <si>
    <t xml:space="preserve">D-5521    </t>
  </si>
  <si>
    <t xml:space="preserve">D-5522    </t>
  </si>
  <si>
    <t xml:space="preserve">D-5523    </t>
  </si>
  <si>
    <t xml:space="preserve">D-5524    </t>
  </si>
  <si>
    <t xml:space="preserve">D-5525    </t>
  </si>
  <si>
    <t xml:space="preserve">D-5526    </t>
  </si>
  <si>
    <t xml:space="preserve">D-5527    </t>
  </si>
  <si>
    <t xml:space="preserve">D-5528    </t>
  </si>
  <si>
    <t xml:space="preserve">D-5529    </t>
  </si>
  <si>
    <t xml:space="preserve">D-5530    </t>
  </si>
  <si>
    <t xml:space="preserve">D-5531    </t>
  </si>
  <si>
    <t xml:space="preserve">D-5532    </t>
  </si>
  <si>
    <t xml:space="preserve">D-5533    </t>
  </si>
  <si>
    <t xml:space="preserve">D-5534    </t>
  </si>
  <si>
    <t xml:space="preserve">D-5535    </t>
  </si>
  <si>
    <t xml:space="preserve">D-5536    </t>
  </si>
  <si>
    <t xml:space="preserve">(51)LA PERA                                                               </t>
  </si>
  <si>
    <t xml:space="preserve">D-5537    </t>
  </si>
  <si>
    <t xml:space="preserve">D-5538    </t>
  </si>
  <si>
    <t xml:space="preserve">D-5539    </t>
  </si>
  <si>
    <t xml:space="preserve">D-5540    </t>
  </si>
  <si>
    <t xml:space="preserve">D-5541    </t>
  </si>
  <si>
    <t xml:space="preserve">D-5542    </t>
  </si>
  <si>
    <t xml:space="preserve">D-5543    </t>
  </si>
  <si>
    <t xml:space="preserve">D-5544    </t>
  </si>
  <si>
    <t xml:space="preserve">D-5545    </t>
  </si>
  <si>
    <t xml:space="preserve">D-5546    </t>
  </si>
  <si>
    <t xml:space="preserve">D-5547    </t>
  </si>
  <si>
    <t xml:space="preserve">D-5548    </t>
  </si>
  <si>
    <t xml:space="preserve">D-5549    </t>
  </si>
  <si>
    <t xml:space="preserve">D-5550    </t>
  </si>
  <si>
    <t xml:space="preserve">D-5551    </t>
  </si>
  <si>
    <t xml:space="preserve">D-5552    </t>
  </si>
  <si>
    <t xml:space="preserve">D-5553    </t>
  </si>
  <si>
    <t xml:space="preserve">D-5554    </t>
  </si>
  <si>
    <t xml:space="preserve">D-5555    </t>
  </si>
  <si>
    <t xml:space="preserve">D-5556    </t>
  </si>
  <si>
    <t xml:space="preserve">D-5557    </t>
  </si>
  <si>
    <t xml:space="preserve">D-5558    </t>
  </si>
  <si>
    <t xml:space="preserve">D-5559    </t>
  </si>
  <si>
    <t xml:space="preserve">D-5560    </t>
  </si>
  <si>
    <t xml:space="preserve">D-5561    </t>
  </si>
  <si>
    <t xml:space="preserve">D-5562    </t>
  </si>
  <si>
    <t xml:space="preserve">D-5563    </t>
  </si>
  <si>
    <t xml:space="preserve">D-5564    </t>
  </si>
  <si>
    <t xml:space="preserve">D-5565    </t>
  </si>
  <si>
    <t xml:space="preserve">D-5566    </t>
  </si>
  <si>
    <t xml:space="preserve">D-5567    </t>
  </si>
  <si>
    <t xml:space="preserve">D-5568    </t>
  </si>
  <si>
    <t xml:space="preserve">D-5569    </t>
  </si>
  <si>
    <t xml:space="preserve">D-5570    </t>
  </si>
  <si>
    <t xml:space="preserve">D-5571    </t>
  </si>
  <si>
    <t xml:space="preserve">D-5572    </t>
  </si>
  <si>
    <t xml:space="preserve">D-5573    </t>
  </si>
  <si>
    <t xml:space="preserve">D-5574    </t>
  </si>
  <si>
    <t xml:space="preserve">D-5575    </t>
  </si>
  <si>
    <t xml:space="preserve">D-5576    </t>
  </si>
  <si>
    <t xml:space="preserve">D-5577    </t>
  </si>
  <si>
    <t xml:space="preserve">D-5578    </t>
  </si>
  <si>
    <t xml:space="preserve">D-5579    </t>
  </si>
  <si>
    <t xml:space="preserve">D-5580    </t>
  </si>
  <si>
    <t xml:space="preserve">D-5581    </t>
  </si>
  <si>
    <t xml:space="preserve">D-5582    </t>
  </si>
  <si>
    <t xml:space="preserve">D-5583    </t>
  </si>
  <si>
    <t xml:space="preserve">D-5584    </t>
  </si>
  <si>
    <t xml:space="preserve">D-5585    </t>
  </si>
  <si>
    <t xml:space="preserve">D-5586    </t>
  </si>
  <si>
    <t xml:space="preserve">D-5587    </t>
  </si>
  <si>
    <t xml:space="preserve">D-5588    </t>
  </si>
  <si>
    <t xml:space="preserve">D-5589    </t>
  </si>
  <si>
    <t xml:space="preserve">D-5590    </t>
  </si>
  <si>
    <t xml:space="preserve">D-5591    </t>
  </si>
  <si>
    <t xml:space="preserve">D-5592    </t>
  </si>
  <si>
    <t xml:space="preserve">D-5593    </t>
  </si>
  <si>
    <t xml:space="preserve">D-5594    </t>
  </si>
  <si>
    <t xml:space="preserve">D-5595    </t>
  </si>
  <si>
    <t xml:space="preserve">D-5596    </t>
  </si>
  <si>
    <t xml:space="preserve">D-5597    </t>
  </si>
  <si>
    <t xml:space="preserve">D-5598    </t>
  </si>
  <si>
    <t xml:space="preserve">D-5599    </t>
  </si>
  <si>
    <t xml:space="preserve">D-5600    </t>
  </si>
  <si>
    <t xml:space="preserve">D-5601    </t>
  </si>
  <si>
    <t xml:space="preserve">D-5602    </t>
  </si>
  <si>
    <t xml:space="preserve">D-5603    </t>
  </si>
  <si>
    <t xml:space="preserve">D-5604    </t>
  </si>
  <si>
    <t xml:space="preserve">D-5605    </t>
  </si>
  <si>
    <t xml:space="preserve">D-5606    </t>
  </si>
  <si>
    <t xml:space="preserve">D-5607    </t>
  </si>
  <si>
    <t xml:space="preserve">D-5608    </t>
  </si>
  <si>
    <t xml:space="preserve">D-5609    </t>
  </si>
  <si>
    <t xml:space="preserve">D-5610    </t>
  </si>
  <si>
    <t xml:space="preserve">(529)ERICK CANO                                                            </t>
  </si>
  <si>
    <t xml:space="preserve">D-5611    </t>
  </si>
  <si>
    <t xml:space="preserve">D-5612    </t>
  </si>
  <si>
    <t xml:space="preserve">D-5613    </t>
  </si>
  <si>
    <t xml:space="preserve">D-5614    </t>
  </si>
  <si>
    <t xml:space="preserve">D-5615    </t>
  </si>
  <si>
    <t xml:space="preserve">D-5616    </t>
  </si>
  <si>
    <t xml:space="preserve">D-5617    </t>
  </si>
  <si>
    <t xml:space="preserve">D-5618    </t>
  </si>
  <si>
    <t xml:space="preserve">D-5619    </t>
  </si>
  <si>
    <t xml:space="preserve">D-5620    </t>
  </si>
  <si>
    <t xml:space="preserve">D-5621    </t>
  </si>
  <si>
    <t xml:space="preserve">D-5622    </t>
  </si>
  <si>
    <t xml:space="preserve">D-5623    </t>
  </si>
  <si>
    <t xml:space="preserve">D-5624    </t>
  </si>
  <si>
    <t xml:space="preserve">D-5625    </t>
  </si>
  <si>
    <t xml:space="preserve">D-5626    </t>
  </si>
  <si>
    <t xml:space="preserve">D-5627    </t>
  </si>
  <si>
    <t xml:space="preserve">D-5628    </t>
  </si>
  <si>
    <t xml:space="preserve">D-5629    </t>
  </si>
  <si>
    <t xml:space="preserve">D-5630    </t>
  </si>
  <si>
    <t xml:space="preserve">D-5631    </t>
  </si>
  <si>
    <t xml:space="preserve">D-5632    </t>
  </si>
  <si>
    <t xml:space="preserve">D-5633    </t>
  </si>
  <si>
    <t xml:space="preserve">D-5634    </t>
  </si>
  <si>
    <t xml:space="preserve">D-5635    </t>
  </si>
  <si>
    <t xml:space="preserve">D-5636    </t>
  </si>
  <si>
    <t xml:space="preserve">D-5637    </t>
  </si>
  <si>
    <t xml:space="preserve">D-5638    </t>
  </si>
  <si>
    <t xml:space="preserve">D-5639    </t>
  </si>
  <si>
    <t xml:space="preserve">D-5640    </t>
  </si>
  <si>
    <t xml:space="preserve">D-5641    </t>
  </si>
  <si>
    <t xml:space="preserve">D-5642    </t>
  </si>
  <si>
    <t xml:space="preserve">D-5643    </t>
  </si>
  <si>
    <t xml:space="preserve">D-5644    </t>
  </si>
  <si>
    <t xml:space="preserve">D-5645    </t>
  </si>
  <si>
    <t xml:space="preserve">D-5646    </t>
  </si>
  <si>
    <t xml:space="preserve">D-5647    </t>
  </si>
  <si>
    <t xml:space="preserve">D-5648    </t>
  </si>
  <si>
    <t xml:space="preserve">D-5649    </t>
  </si>
  <si>
    <t xml:space="preserve">D-5650    </t>
  </si>
  <si>
    <t xml:space="preserve">D-5651    </t>
  </si>
  <si>
    <t>28/03/2017 29/03/2017 30/03/2017</t>
  </si>
  <si>
    <t xml:space="preserve">D-5652    </t>
  </si>
  <si>
    <t>28/03/2017 29/03/2017</t>
  </si>
  <si>
    <t xml:space="preserve">D-5653    </t>
  </si>
  <si>
    <t>28/03/2017 29/03/2017 31/03/2017</t>
  </si>
  <si>
    <t xml:space="preserve">D-5654    </t>
  </si>
  <si>
    <t xml:space="preserve">D-5655    </t>
  </si>
  <si>
    <t xml:space="preserve">D-5656    </t>
  </si>
  <si>
    <t xml:space="preserve">D-5657    </t>
  </si>
  <si>
    <t xml:space="preserve">D-5658    </t>
  </si>
  <si>
    <t xml:space="preserve">D-5659    </t>
  </si>
  <si>
    <t xml:space="preserve">D-5660    </t>
  </si>
  <si>
    <t xml:space="preserve">D-5661    </t>
  </si>
  <si>
    <t xml:space="preserve">D-5662    </t>
  </si>
  <si>
    <t xml:space="preserve">D-5663    </t>
  </si>
  <si>
    <t xml:space="preserve">D-5664    </t>
  </si>
  <si>
    <t xml:space="preserve">D-5665    </t>
  </si>
  <si>
    <t xml:space="preserve">D-5666    </t>
  </si>
  <si>
    <t xml:space="preserve">D-5667    </t>
  </si>
  <si>
    <t xml:space="preserve">D-5668    </t>
  </si>
  <si>
    <t xml:space="preserve">D-5669    </t>
  </si>
  <si>
    <t xml:space="preserve">D-5670    </t>
  </si>
  <si>
    <t xml:space="preserve">D-5671    </t>
  </si>
  <si>
    <t xml:space="preserve">D-5672    </t>
  </si>
  <si>
    <t xml:space="preserve">D-5673    </t>
  </si>
  <si>
    <t xml:space="preserve">D-5674    </t>
  </si>
  <si>
    <t xml:space="preserve">D-5675    </t>
  </si>
  <si>
    <t xml:space="preserve">D-5676    </t>
  </si>
  <si>
    <t xml:space="preserve">D-5677    </t>
  </si>
  <si>
    <t xml:space="preserve">D-5678    </t>
  </si>
  <si>
    <t xml:space="preserve">D-5679    </t>
  </si>
  <si>
    <t xml:space="preserve">D-5680    </t>
  </si>
  <si>
    <t xml:space="preserve">D-5681    </t>
  </si>
  <si>
    <t xml:space="preserve">(364)CHINOS AGUA SANTA                                                     </t>
  </si>
  <si>
    <t xml:space="preserve">D-5682    </t>
  </si>
  <si>
    <t xml:space="preserve">D-5683    </t>
  </si>
  <si>
    <t xml:space="preserve">D-5684    </t>
  </si>
  <si>
    <t xml:space="preserve">D-5685    </t>
  </si>
  <si>
    <t xml:space="preserve">D-5686    </t>
  </si>
  <si>
    <t xml:space="preserve">D-5687    </t>
  </si>
  <si>
    <t xml:space="preserve">D-5688    </t>
  </si>
  <si>
    <t xml:space="preserve">D-5689    </t>
  </si>
  <si>
    <t xml:space="preserve">D-5690    </t>
  </si>
  <si>
    <t xml:space="preserve">D-5691    </t>
  </si>
  <si>
    <t xml:space="preserve">D-5692    </t>
  </si>
  <si>
    <t xml:space="preserve">D-5693    </t>
  </si>
  <si>
    <t xml:space="preserve">D-5694    </t>
  </si>
  <si>
    <t xml:space="preserve">D-5695    </t>
  </si>
  <si>
    <t xml:space="preserve">D-5696    </t>
  </si>
  <si>
    <t xml:space="preserve">D-5697    </t>
  </si>
  <si>
    <t xml:space="preserve">D-5698    </t>
  </si>
  <si>
    <t xml:space="preserve">D-5699    </t>
  </si>
  <si>
    <t xml:space="preserve">D-5700    </t>
  </si>
  <si>
    <t xml:space="preserve">D-5701    </t>
  </si>
  <si>
    <t xml:space="preserve">D-5702    </t>
  </si>
  <si>
    <t xml:space="preserve">D-5703    </t>
  </si>
  <si>
    <t xml:space="preserve">D-5704    </t>
  </si>
  <si>
    <t xml:space="preserve">D-5705    </t>
  </si>
  <si>
    <t xml:space="preserve">D-5706    </t>
  </si>
  <si>
    <t xml:space="preserve">D-5707    </t>
  </si>
  <si>
    <t xml:space="preserve">D-5708    </t>
  </si>
  <si>
    <t xml:space="preserve">D-5709    </t>
  </si>
  <si>
    <t xml:space="preserve">D-5710    </t>
  </si>
  <si>
    <t xml:space="preserve">D-5711    </t>
  </si>
  <si>
    <t xml:space="preserve">D-5712    </t>
  </si>
  <si>
    <t xml:space="preserve">D-5713    </t>
  </si>
  <si>
    <t xml:space="preserve">D-5714    </t>
  </si>
  <si>
    <t xml:space="preserve">D-5715    </t>
  </si>
  <si>
    <t xml:space="preserve">D-5716    </t>
  </si>
  <si>
    <t xml:space="preserve">D-5717    </t>
  </si>
  <si>
    <t xml:space="preserve">D-5718    </t>
  </si>
  <si>
    <t xml:space="preserve">D-5719    </t>
  </si>
  <si>
    <t xml:space="preserve">D-5720    </t>
  </si>
  <si>
    <t xml:space="preserve">D-5721    </t>
  </si>
  <si>
    <t xml:space="preserve">D-5722    </t>
  </si>
  <si>
    <t xml:space="preserve">D-5723    </t>
  </si>
  <si>
    <t xml:space="preserve">D-5724    </t>
  </si>
  <si>
    <t xml:space="preserve">D-5725    </t>
  </si>
  <si>
    <t xml:space="preserve">D-5726    </t>
  </si>
  <si>
    <t xml:space="preserve">D-5727    </t>
  </si>
  <si>
    <t xml:space="preserve">D-5728    </t>
  </si>
  <si>
    <t xml:space="preserve">D-5729    </t>
  </si>
  <si>
    <t xml:space="preserve">D-5730    </t>
  </si>
  <si>
    <t xml:space="preserve">D-5731    </t>
  </si>
  <si>
    <t xml:space="preserve">D-5732    </t>
  </si>
  <si>
    <t xml:space="preserve">D-5733    </t>
  </si>
  <si>
    <t xml:space="preserve">D-5734    </t>
  </si>
  <si>
    <t xml:space="preserve">D-5735    </t>
  </si>
  <si>
    <t xml:space="preserve">D-5736    </t>
  </si>
  <si>
    <t xml:space="preserve">D-5737    </t>
  </si>
  <si>
    <t xml:space="preserve">D-5738    </t>
  </si>
  <si>
    <t xml:space="preserve">D-5739    </t>
  </si>
  <si>
    <t xml:space="preserve">D-5740    </t>
  </si>
  <si>
    <t xml:space="preserve">D-5741    </t>
  </si>
  <si>
    <t xml:space="preserve">D-5742    </t>
  </si>
  <si>
    <t xml:space="preserve">D-5743    </t>
  </si>
  <si>
    <t xml:space="preserve">D-5744    </t>
  </si>
  <si>
    <t xml:space="preserve">D-5745    </t>
  </si>
  <si>
    <t xml:space="preserve">D-5746    </t>
  </si>
  <si>
    <t xml:space="preserve">D-5747    </t>
  </si>
  <si>
    <t xml:space="preserve">D-5748    </t>
  </si>
  <si>
    <t xml:space="preserve">D-5749    </t>
  </si>
  <si>
    <t xml:space="preserve">D-5750    </t>
  </si>
  <si>
    <t xml:space="preserve">D-5751    </t>
  </si>
  <si>
    <t xml:space="preserve">D-5752    </t>
  </si>
  <si>
    <t xml:space="preserve">D-5753    </t>
  </si>
  <si>
    <t xml:space="preserve">D-5754    </t>
  </si>
  <si>
    <t xml:space="preserve">D-5755    </t>
  </si>
  <si>
    <t xml:space="preserve">D-5756    </t>
  </si>
  <si>
    <t xml:space="preserve">D-5757    </t>
  </si>
  <si>
    <t xml:space="preserve">D-5758    </t>
  </si>
  <si>
    <t xml:space="preserve">D-5759    </t>
  </si>
  <si>
    <t xml:space="preserve">D-5760    </t>
  </si>
  <si>
    <t xml:space="preserve">D-5761    </t>
  </si>
  <si>
    <t xml:space="preserve">D-5762    </t>
  </si>
  <si>
    <t xml:space="preserve">D-5763    </t>
  </si>
  <si>
    <t xml:space="preserve">D-5764    </t>
  </si>
  <si>
    <t xml:space="preserve">D-5765    </t>
  </si>
  <si>
    <t xml:space="preserve">D-5766    </t>
  </si>
  <si>
    <t xml:space="preserve">D-5767    </t>
  </si>
  <si>
    <t xml:space="preserve">D-5768    </t>
  </si>
  <si>
    <t xml:space="preserve">D-5769    </t>
  </si>
  <si>
    <t xml:space="preserve">D-5770    </t>
  </si>
  <si>
    <t xml:space="preserve">D-5771    </t>
  </si>
  <si>
    <t xml:space="preserve">D-5772    </t>
  </si>
  <si>
    <t xml:space="preserve">D-5773    </t>
  </si>
  <si>
    <t xml:space="preserve">D-5774    </t>
  </si>
  <si>
    <t xml:space="preserve">D-5775    </t>
  </si>
  <si>
    <t xml:space="preserve">D-5776    </t>
  </si>
  <si>
    <t xml:space="preserve">D-5777    </t>
  </si>
  <si>
    <t xml:space="preserve">D-5778    </t>
  </si>
  <si>
    <t xml:space="preserve">D-5779    </t>
  </si>
  <si>
    <t xml:space="preserve">D-5780    </t>
  </si>
  <si>
    <t xml:space="preserve">D-5781    </t>
  </si>
  <si>
    <t xml:space="preserve">D-5782    </t>
  </si>
  <si>
    <t xml:space="preserve">D-5783    </t>
  </si>
  <si>
    <t xml:space="preserve">D-5784    </t>
  </si>
  <si>
    <t xml:space="preserve">D-5785    </t>
  </si>
  <si>
    <t xml:space="preserve">D-5786    </t>
  </si>
  <si>
    <t xml:space="preserve">D-5787    </t>
  </si>
  <si>
    <t xml:space="preserve">D-5788    </t>
  </si>
  <si>
    <t xml:space="preserve">D-5789    </t>
  </si>
  <si>
    <t xml:space="preserve">D-5790    </t>
  </si>
  <si>
    <t xml:space="preserve">D-5791    </t>
  </si>
  <si>
    <t xml:space="preserve">D-5792    </t>
  </si>
  <si>
    <t xml:space="preserve">D-5793    </t>
  </si>
  <si>
    <t>26/03/2017 29/03/2017</t>
  </si>
  <si>
    <t xml:space="preserve">D-5794    </t>
  </si>
  <si>
    <t xml:space="preserve">D-5795    </t>
  </si>
  <si>
    <t xml:space="preserve">D-5796    </t>
  </si>
  <si>
    <t xml:space="preserve">D-5797    </t>
  </si>
  <si>
    <t xml:space="preserve">D-5798    </t>
  </si>
  <si>
    <t xml:space="preserve">D-5799    </t>
  </si>
  <si>
    <t xml:space="preserve">D-5800    </t>
  </si>
  <si>
    <t xml:space="preserve">D-5801    </t>
  </si>
  <si>
    <t xml:space="preserve">D-5802    </t>
  </si>
  <si>
    <t xml:space="preserve">D-5803    </t>
  </si>
  <si>
    <t xml:space="preserve">D-5804    </t>
  </si>
  <si>
    <t xml:space="preserve">D-5805    </t>
  </si>
  <si>
    <t xml:space="preserve">D-5806    </t>
  </si>
  <si>
    <t xml:space="preserve">D-5807    </t>
  </si>
  <si>
    <t xml:space="preserve">D-5808    </t>
  </si>
  <si>
    <t xml:space="preserve">D-5809    </t>
  </si>
  <si>
    <t xml:space="preserve">D-5810    </t>
  </si>
  <si>
    <t xml:space="preserve">D-5811    </t>
  </si>
  <si>
    <t xml:space="preserve">D-5812    </t>
  </si>
  <si>
    <t xml:space="preserve">D-5813    </t>
  </si>
  <si>
    <t xml:space="preserve">D-5814    </t>
  </si>
  <si>
    <t xml:space="preserve">D-5815    </t>
  </si>
  <si>
    <t xml:space="preserve">D-5816    </t>
  </si>
  <si>
    <t xml:space="preserve">D-5817    </t>
  </si>
  <si>
    <t xml:space="preserve">D-5818    </t>
  </si>
  <si>
    <t xml:space="preserve">D-5819    </t>
  </si>
  <si>
    <t xml:space="preserve">D-5820    </t>
  </si>
  <si>
    <t xml:space="preserve">D-5821    </t>
  </si>
  <si>
    <t xml:space="preserve">D-5822    </t>
  </si>
  <si>
    <t xml:space="preserve">D-5823    </t>
  </si>
  <si>
    <t xml:space="preserve">D-5824    </t>
  </si>
  <si>
    <t xml:space="preserve">D-5825    </t>
  </si>
  <si>
    <t xml:space="preserve">D-5826    </t>
  </si>
  <si>
    <t xml:space="preserve">D-5827    </t>
  </si>
  <si>
    <t xml:space="preserve">D-5828    </t>
  </si>
  <si>
    <t xml:space="preserve">D-5829    </t>
  </si>
  <si>
    <t xml:space="preserve">D-5830    </t>
  </si>
  <si>
    <t xml:space="preserve">D-5831    </t>
  </si>
  <si>
    <t xml:space="preserve">D-5832    </t>
  </si>
  <si>
    <t xml:space="preserve">D-5833    </t>
  </si>
  <si>
    <t xml:space="preserve">D-5834    </t>
  </si>
  <si>
    <t xml:space="preserve">D-5835    </t>
  </si>
  <si>
    <t xml:space="preserve">D-5836    </t>
  </si>
  <si>
    <t xml:space="preserve">D-5837    </t>
  </si>
  <si>
    <t xml:space="preserve">D-5838    </t>
  </si>
  <si>
    <t xml:space="preserve">D-5839    </t>
  </si>
  <si>
    <t xml:space="preserve">D-5840    </t>
  </si>
  <si>
    <t xml:space="preserve">D-5841    </t>
  </si>
  <si>
    <t xml:space="preserve">D-5842    </t>
  </si>
  <si>
    <t xml:space="preserve">D-5843    </t>
  </si>
  <si>
    <t xml:space="preserve">D-5844    </t>
  </si>
  <si>
    <t xml:space="preserve">D-5845    </t>
  </si>
  <si>
    <t xml:space="preserve">D-5846    </t>
  </si>
  <si>
    <t xml:space="preserve">D-5847    </t>
  </si>
  <si>
    <t xml:space="preserve">D-5848    </t>
  </si>
  <si>
    <t xml:space="preserve">D-5849    </t>
  </si>
  <si>
    <t xml:space="preserve">D-5850    </t>
  </si>
  <si>
    <t xml:space="preserve">D-5851    </t>
  </si>
  <si>
    <t xml:space="preserve">D-5852    </t>
  </si>
  <si>
    <t xml:space="preserve">D-5853    </t>
  </si>
  <si>
    <t xml:space="preserve">D-5854    </t>
  </si>
  <si>
    <t xml:space="preserve">D-5855    </t>
  </si>
  <si>
    <t xml:space="preserve">D-5856    </t>
  </si>
  <si>
    <t xml:space="preserve">D-5857    </t>
  </si>
  <si>
    <t xml:space="preserve">D-5858    </t>
  </si>
  <si>
    <t xml:space="preserve">D-5859    </t>
  </si>
  <si>
    <t xml:space="preserve">D-5860    </t>
  </si>
  <si>
    <t xml:space="preserve">D-5861    </t>
  </si>
  <si>
    <t xml:space="preserve">D-5862    </t>
  </si>
  <si>
    <t xml:space="preserve">D-5863    </t>
  </si>
  <si>
    <t xml:space="preserve">D-5864    </t>
  </si>
  <si>
    <t xml:space="preserve">D-5865    </t>
  </si>
  <si>
    <t xml:space="preserve">D-5866    </t>
  </si>
  <si>
    <t xml:space="preserve">D-5867    </t>
  </si>
  <si>
    <t xml:space="preserve">D-5868    </t>
  </si>
  <si>
    <t xml:space="preserve">D-5869    </t>
  </si>
  <si>
    <t xml:space="preserve">D-5870    </t>
  </si>
  <si>
    <t xml:space="preserve">D-5871    </t>
  </si>
  <si>
    <t xml:space="preserve">D-5872    </t>
  </si>
  <si>
    <t xml:space="preserve">D-5873    </t>
  </si>
  <si>
    <t xml:space="preserve">D-5874    </t>
  </si>
  <si>
    <t xml:space="preserve">D-5875    </t>
  </si>
  <si>
    <t xml:space="preserve">D-5876    </t>
  </si>
  <si>
    <t xml:space="preserve">D-5877    </t>
  </si>
  <si>
    <t xml:space="preserve">D-5878    </t>
  </si>
  <si>
    <t xml:space="preserve">D-5879    </t>
  </si>
  <si>
    <t xml:space="preserve">D-5880    </t>
  </si>
  <si>
    <t xml:space="preserve">D-5881    </t>
  </si>
  <si>
    <t xml:space="preserve">D-5882    </t>
  </si>
  <si>
    <t xml:space="preserve">D-5883    </t>
  </si>
  <si>
    <t xml:space="preserve">D-5884    </t>
  </si>
  <si>
    <t xml:space="preserve">D-5885    </t>
  </si>
  <si>
    <t xml:space="preserve">D-5886    </t>
  </si>
  <si>
    <t xml:space="preserve">D-5887    </t>
  </si>
  <si>
    <t xml:space="preserve">D-5888    </t>
  </si>
  <si>
    <t xml:space="preserve">D-5889    </t>
  </si>
  <si>
    <t xml:space="preserve">D-5890    </t>
  </si>
  <si>
    <t xml:space="preserve">D-5891    </t>
  </si>
  <si>
    <t xml:space="preserve">D-5892    </t>
  </si>
  <si>
    <t xml:space="preserve">D-5893    </t>
  </si>
  <si>
    <t>29/03/2017 31/03/2017</t>
  </si>
  <si>
    <t xml:space="preserve">D-5894    </t>
  </si>
  <si>
    <t xml:space="preserve">D-5895    </t>
  </si>
  <si>
    <t xml:space="preserve">D-5896    </t>
  </si>
  <si>
    <t xml:space="preserve">D-5897    </t>
  </si>
  <si>
    <t xml:space="preserve">D-5898    </t>
  </si>
  <si>
    <t xml:space="preserve">D-5899    </t>
  </si>
  <si>
    <t xml:space="preserve">D-5900    </t>
  </si>
  <si>
    <t xml:space="preserve">D-5901    </t>
  </si>
  <si>
    <t xml:space="preserve">D-5902    </t>
  </si>
  <si>
    <t xml:space="preserve">D-5903    </t>
  </si>
  <si>
    <t xml:space="preserve">D-5904    </t>
  </si>
  <si>
    <t xml:space="preserve">D-5905    </t>
  </si>
  <si>
    <t xml:space="preserve">D-5906    </t>
  </si>
  <si>
    <t xml:space="preserve">D-5907    </t>
  </si>
  <si>
    <t xml:space="preserve">D-5908    </t>
  </si>
  <si>
    <t xml:space="preserve">D-5909    </t>
  </si>
  <si>
    <t xml:space="preserve">D-5910    </t>
  </si>
  <si>
    <t xml:space="preserve">D-5911    </t>
  </si>
  <si>
    <t xml:space="preserve">D-5912    </t>
  </si>
  <si>
    <t xml:space="preserve">D-5913    </t>
  </si>
  <si>
    <t xml:space="preserve">D-5914    </t>
  </si>
  <si>
    <t xml:space="preserve">D-5915    </t>
  </si>
  <si>
    <t xml:space="preserve"> 27/03/2017</t>
  </si>
  <si>
    <t xml:space="preserve">D-5916    </t>
  </si>
  <si>
    <t xml:space="preserve">D-5917    </t>
  </si>
  <si>
    <t xml:space="preserve">D-5918    </t>
  </si>
  <si>
    <t xml:space="preserve">D-5919    </t>
  </si>
  <si>
    <t xml:space="preserve">D-5920    </t>
  </si>
  <si>
    <t xml:space="preserve">D-5921    </t>
  </si>
  <si>
    <t xml:space="preserve">D-5922    </t>
  </si>
  <si>
    <t xml:space="preserve">D-5923    </t>
  </si>
  <si>
    <t xml:space="preserve">D-5924    </t>
  </si>
  <si>
    <t xml:space="preserve">D-5925    </t>
  </si>
  <si>
    <t xml:space="preserve">D-5926    </t>
  </si>
  <si>
    <t xml:space="preserve">D-5927    </t>
  </si>
  <si>
    <t xml:space="preserve">D-5928    </t>
  </si>
  <si>
    <t xml:space="preserve">D-5929    </t>
  </si>
  <si>
    <t xml:space="preserve">D-5930    </t>
  </si>
  <si>
    <t xml:space="preserve">D-5931    </t>
  </si>
  <si>
    <t xml:space="preserve">D-5932    </t>
  </si>
  <si>
    <t xml:space="preserve">D-5933    </t>
  </si>
  <si>
    <t xml:space="preserve">D-5934    </t>
  </si>
  <si>
    <t xml:space="preserve">D-5935    </t>
  </si>
  <si>
    <t xml:space="preserve">D-5936    </t>
  </si>
  <si>
    <t xml:space="preserve">D-5937    </t>
  </si>
  <si>
    <t xml:space="preserve">D-5938    </t>
  </si>
  <si>
    <t xml:space="preserve">D-5939    </t>
  </si>
  <si>
    <t xml:space="preserve">D-5940    </t>
  </si>
  <si>
    <t xml:space="preserve">D-5941    </t>
  </si>
  <si>
    <t xml:space="preserve">D-5942    </t>
  </si>
  <si>
    <t xml:space="preserve">D-5943    </t>
  </si>
  <si>
    <t xml:space="preserve">D-5944    </t>
  </si>
  <si>
    <t xml:space="preserve">D-5945    </t>
  </si>
  <si>
    <t xml:space="preserve">D-5946    </t>
  </si>
  <si>
    <t xml:space="preserve">D-5947    </t>
  </si>
  <si>
    <t xml:space="preserve">D-5948    </t>
  </si>
  <si>
    <t xml:space="preserve">D-5949    </t>
  </si>
  <si>
    <t xml:space="preserve">D-5950    </t>
  </si>
  <si>
    <t xml:space="preserve">D-5951    </t>
  </si>
  <si>
    <t xml:space="preserve">D-5952    </t>
  </si>
  <si>
    <t xml:space="preserve">D-5953    </t>
  </si>
  <si>
    <t>29/03/2017 30/03/2017</t>
  </si>
  <si>
    <t xml:space="preserve">D-5954    </t>
  </si>
  <si>
    <t xml:space="preserve">D-5955    </t>
  </si>
  <si>
    <t xml:space="preserve">D-5956    </t>
  </si>
  <si>
    <t xml:space="preserve">D-5957    </t>
  </si>
  <si>
    <t xml:space="preserve">D-5958    </t>
  </si>
  <si>
    <t xml:space="preserve">D-5959    </t>
  </si>
  <si>
    <t xml:space="preserve">D-5960    </t>
  </si>
  <si>
    <t xml:space="preserve">D-5961    </t>
  </si>
  <si>
    <t xml:space="preserve">D-5962    </t>
  </si>
  <si>
    <t xml:space="preserve">D-5963    </t>
  </si>
  <si>
    <t xml:space="preserve">D-5964    </t>
  </si>
  <si>
    <t xml:space="preserve">D-5965    </t>
  </si>
  <si>
    <t xml:space="preserve">D-5966    </t>
  </si>
  <si>
    <t xml:space="preserve">D-5967    </t>
  </si>
  <si>
    <t xml:space="preserve">D-5968    </t>
  </si>
  <si>
    <t xml:space="preserve">D-5969    </t>
  </si>
  <si>
    <t xml:space="preserve">D-5970    </t>
  </si>
  <si>
    <t xml:space="preserve">D-5971    </t>
  </si>
  <si>
    <t xml:space="preserve">D-5972    </t>
  </si>
  <si>
    <t xml:space="preserve">D-5973    </t>
  </si>
  <si>
    <t xml:space="preserve">D-5974    </t>
  </si>
  <si>
    <t xml:space="preserve">D-5975    </t>
  </si>
  <si>
    <t xml:space="preserve">D-5976    </t>
  </si>
  <si>
    <t xml:space="preserve">D-5977    </t>
  </si>
  <si>
    <t xml:space="preserve">D-5978    </t>
  </si>
  <si>
    <t xml:space="preserve">D-5979    </t>
  </si>
  <si>
    <t xml:space="preserve">D-5980    </t>
  </si>
  <si>
    <t xml:space="preserve">D-5981    </t>
  </si>
  <si>
    <t xml:space="preserve">D-5982    </t>
  </si>
  <si>
    <t xml:space="preserve">D-5983    </t>
  </si>
  <si>
    <t xml:space="preserve">D-5984    </t>
  </si>
  <si>
    <t xml:space="preserve">D-5985    </t>
  </si>
  <si>
    <t xml:space="preserve">D-5986    </t>
  </si>
  <si>
    <t xml:space="preserve">D-5987    </t>
  </si>
  <si>
    <t xml:space="preserve">D-5988    </t>
  </si>
  <si>
    <t xml:space="preserve">D-5989    </t>
  </si>
  <si>
    <t xml:space="preserve">D-5990    </t>
  </si>
  <si>
    <t xml:space="preserve">D-5991    </t>
  </si>
  <si>
    <t xml:space="preserve">D-5992    </t>
  </si>
  <si>
    <t xml:space="preserve">D-5993    </t>
  </si>
  <si>
    <t xml:space="preserve">D-5994    </t>
  </si>
  <si>
    <t xml:space="preserve">D-5995    </t>
  </si>
  <si>
    <t xml:space="preserve">D-5996    </t>
  </si>
  <si>
    <t xml:space="preserve">D-5997    </t>
  </si>
  <si>
    <t xml:space="preserve">D-5998    </t>
  </si>
  <si>
    <t xml:space="preserve">D-5999    </t>
  </si>
  <si>
    <t xml:space="preserve">D-6000    </t>
  </si>
  <si>
    <t xml:space="preserve">D-6001    </t>
  </si>
  <si>
    <t xml:space="preserve">D-6002    </t>
  </si>
  <si>
    <t xml:space="preserve">D-6003    </t>
  </si>
  <si>
    <t xml:space="preserve">D-6004    </t>
  </si>
  <si>
    <t xml:space="preserve">D-6005    </t>
  </si>
  <si>
    <t xml:space="preserve">D-6006    </t>
  </si>
  <si>
    <t xml:space="preserve">D-6007    </t>
  </si>
  <si>
    <t xml:space="preserve">D-6008    </t>
  </si>
  <si>
    <t xml:space="preserve">D-6009    </t>
  </si>
  <si>
    <t xml:space="preserve">D-6010    </t>
  </si>
  <si>
    <t xml:space="preserve">D-6011    </t>
  </si>
  <si>
    <t xml:space="preserve">D-6012    </t>
  </si>
  <si>
    <t xml:space="preserve">D-6013    </t>
  </si>
  <si>
    <t xml:space="preserve">D-6014    </t>
  </si>
  <si>
    <t xml:space="preserve">D-6015    </t>
  </si>
  <si>
    <t xml:space="preserve">D-6016    </t>
  </si>
  <si>
    <t xml:space="preserve">D-6017    </t>
  </si>
  <si>
    <t xml:space="preserve">D-6018    </t>
  </si>
  <si>
    <t xml:space="preserve">D-6019    </t>
  </si>
  <si>
    <t xml:space="preserve">D-6020    </t>
  </si>
  <si>
    <t xml:space="preserve">D-6021    </t>
  </si>
  <si>
    <t xml:space="preserve">D-6022    </t>
  </si>
  <si>
    <t xml:space="preserve">D-6023    </t>
  </si>
  <si>
    <t xml:space="preserve">D-6024    </t>
  </si>
  <si>
    <t xml:space="preserve">D-6025    </t>
  </si>
  <si>
    <t xml:space="preserve">D-6026    </t>
  </si>
  <si>
    <t xml:space="preserve">D-6027    </t>
  </si>
  <si>
    <t xml:space="preserve">D-6028    </t>
  </si>
  <si>
    <t xml:space="preserve">D-6029    </t>
  </si>
  <si>
    <t xml:space="preserve">D-6030    </t>
  </si>
  <si>
    <t xml:space="preserve">D-6031    </t>
  </si>
  <si>
    <t xml:space="preserve">D-6032    </t>
  </si>
  <si>
    <t xml:space="preserve">D-6033    </t>
  </si>
  <si>
    <t xml:space="preserve">D-6034    </t>
  </si>
  <si>
    <t xml:space="preserve">D-6035    </t>
  </si>
  <si>
    <t xml:space="preserve">D-6036    </t>
  </si>
  <si>
    <t xml:space="preserve">D-6037    </t>
  </si>
  <si>
    <t xml:space="preserve">D-6038    </t>
  </si>
  <si>
    <t xml:space="preserve">D-6039    </t>
  </si>
  <si>
    <t xml:space="preserve">D-6040    </t>
  </si>
  <si>
    <t xml:space="preserve">D-6041    </t>
  </si>
  <si>
    <t xml:space="preserve">D-6042    </t>
  </si>
  <si>
    <t xml:space="preserve">D-6043    </t>
  </si>
  <si>
    <t xml:space="preserve">D-6044    </t>
  </si>
  <si>
    <t xml:space="preserve">D-6045    </t>
  </si>
  <si>
    <t xml:space="preserve">D-6046    </t>
  </si>
  <si>
    <t xml:space="preserve">D-6047    </t>
  </si>
  <si>
    <t xml:space="preserve">D-6048    </t>
  </si>
  <si>
    <t xml:space="preserve">D-6049    </t>
  </si>
  <si>
    <t xml:space="preserve">D-6050    </t>
  </si>
  <si>
    <t xml:space="preserve">D-6051    </t>
  </si>
  <si>
    <t xml:space="preserve">D-6052    </t>
  </si>
  <si>
    <t xml:space="preserve">D-6053    </t>
  </si>
  <si>
    <t xml:space="preserve">D-6054    </t>
  </si>
  <si>
    <t xml:space="preserve">D-6055    </t>
  </si>
  <si>
    <t xml:space="preserve">D-6056    </t>
  </si>
  <si>
    <t xml:space="preserve">D-6057    </t>
  </si>
  <si>
    <t xml:space="preserve">D-6058    </t>
  </si>
  <si>
    <t xml:space="preserve">D-6059    </t>
  </si>
  <si>
    <t xml:space="preserve">D-6060    </t>
  </si>
  <si>
    <t xml:space="preserve">D-6061    </t>
  </si>
  <si>
    <t xml:space="preserve">D-6062    </t>
  </si>
  <si>
    <t xml:space="preserve">D-6063    </t>
  </si>
  <si>
    <t xml:space="preserve">D-6064    </t>
  </si>
  <si>
    <t>30/03/2017 31/03/2017</t>
  </si>
  <si>
    <t xml:space="preserve">D-6065    </t>
  </si>
  <si>
    <t xml:space="preserve">D-6066    </t>
  </si>
  <si>
    <t xml:space="preserve">D-6067    </t>
  </si>
  <si>
    <t xml:space="preserve">D-6068    </t>
  </si>
  <si>
    <t xml:space="preserve">D-6069    </t>
  </si>
  <si>
    <t xml:space="preserve">D-6070    </t>
  </si>
  <si>
    <t xml:space="preserve">D-6071    </t>
  </si>
  <si>
    <t xml:space="preserve">D-6072    </t>
  </si>
  <si>
    <t xml:space="preserve">D-6073    </t>
  </si>
  <si>
    <t xml:space="preserve">D-6074    </t>
  </si>
  <si>
    <t xml:space="preserve">D-6075    </t>
  </si>
  <si>
    <t xml:space="preserve">D-6076    </t>
  </si>
  <si>
    <t xml:space="preserve">D-6077    </t>
  </si>
  <si>
    <t xml:space="preserve">D-6078    </t>
  </si>
  <si>
    <t xml:space="preserve">D-6079    </t>
  </si>
  <si>
    <t xml:space="preserve">D-6080    </t>
  </si>
  <si>
    <t xml:space="preserve">D-6081    </t>
  </si>
  <si>
    <t xml:space="preserve">D-6082    </t>
  </si>
  <si>
    <t xml:space="preserve">D-6083    </t>
  </si>
  <si>
    <t xml:space="preserve">D-6084    </t>
  </si>
  <si>
    <t xml:space="preserve">D-6085    </t>
  </si>
  <si>
    <t xml:space="preserve">D-6086    </t>
  </si>
  <si>
    <t xml:space="preserve">D-6087    </t>
  </si>
  <si>
    <t xml:space="preserve">D-6088    </t>
  </si>
  <si>
    <t xml:space="preserve">D-6089    </t>
  </si>
  <si>
    <t xml:space="preserve">D-6090    </t>
  </si>
  <si>
    <t xml:space="preserve">D-6091    </t>
  </si>
  <si>
    <t xml:space="preserve">D-6092    </t>
  </si>
  <si>
    <t xml:space="preserve">D-6093    </t>
  </si>
  <si>
    <t xml:space="preserve">D-6094    </t>
  </si>
  <si>
    <t xml:space="preserve">D-6095    </t>
  </si>
  <si>
    <t xml:space="preserve">D-6096    </t>
  </si>
  <si>
    <t xml:space="preserve">D-6097    </t>
  </si>
  <si>
    <t xml:space="preserve">D-6098    </t>
  </si>
  <si>
    <t xml:space="preserve">D-6099    </t>
  </si>
  <si>
    <t xml:space="preserve">D-6100    </t>
  </si>
  <si>
    <t xml:space="preserve">D-6101    </t>
  </si>
  <si>
    <t xml:space="preserve">D-6102    </t>
  </si>
  <si>
    <t xml:space="preserve">D-6103    </t>
  </si>
  <si>
    <t xml:space="preserve">D-6104    </t>
  </si>
  <si>
    <t xml:space="preserve">D-6105    </t>
  </si>
  <si>
    <t xml:space="preserve">D-6106    </t>
  </si>
  <si>
    <t xml:space="preserve">D-6107    </t>
  </si>
  <si>
    <t xml:space="preserve">D-6108    </t>
  </si>
  <si>
    <t xml:space="preserve">D-6109    </t>
  </si>
  <si>
    <t xml:space="preserve">D-6110    </t>
  </si>
  <si>
    <t xml:space="preserve">D-6111    </t>
  </si>
  <si>
    <t xml:space="preserve">D-6112    </t>
  </si>
  <si>
    <t xml:space="preserve">D-6113    </t>
  </si>
  <si>
    <t xml:space="preserve">D-6114    </t>
  </si>
  <si>
    <t xml:space="preserve">D-6115    </t>
  </si>
  <si>
    <t xml:space="preserve">D-6116    </t>
  </si>
  <si>
    <t xml:space="preserve">D-6117    </t>
  </si>
  <si>
    <t xml:space="preserve">D-6118    </t>
  </si>
  <si>
    <t xml:space="preserve">D-6119    </t>
  </si>
  <si>
    <t xml:space="preserve">D-6120    </t>
  </si>
  <si>
    <t xml:space="preserve">D-6121    </t>
  </si>
  <si>
    <t xml:space="preserve">D-6122    </t>
  </si>
  <si>
    <t xml:space="preserve">D-6123    </t>
  </si>
  <si>
    <t xml:space="preserve">D-6124    </t>
  </si>
  <si>
    <t xml:space="preserve">D-6125    </t>
  </si>
  <si>
    <t xml:space="preserve">D-6126    </t>
  </si>
  <si>
    <t xml:space="preserve">D-6127    </t>
  </si>
  <si>
    <t xml:space="preserve">D-6128    </t>
  </si>
  <si>
    <t xml:space="preserve">D-6129    </t>
  </si>
  <si>
    <t xml:space="preserve">D-6130    </t>
  </si>
  <si>
    <t xml:space="preserve">D-6131    </t>
  </si>
  <si>
    <t xml:space="preserve">D-6132    </t>
  </si>
  <si>
    <t xml:space="preserve">D-6133    </t>
  </si>
  <si>
    <t xml:space="preserve">D-6134    </t>
  </si>
  <si>
    <t xml:space="preserve">D-6135    </t>
  </si>
  <si>
    <t xml:space="preserve">D-6136    </t>
  </si>
  <si>
    <t xml:space="preserve">D-6137    </t>
  </si>
  <si>
    <t xml:space="preserve">D-6138    </t>
  </si>
  <si>
    <t xml:space="preserve">D-6139    </t>
  </si>
  <si>
    <t xml:space="preserve">D-6140    </t>
  </si>
  <si>
    <t xml:space="preserve">D-6141    </t>
  </si>
  <si>
    <t xml:space="preserve">D-6142    </t>
  </si>
  <si>
    <t xml:space="preserve">D-6143    </t>
  </si>
  <si>
    <t xml:space="preserve">D-6144    </t>
  </si>
  <si>
    <t xml:space="preserve">D-6145    </t>
  </si>
  <si>
    <t xml:space="preserve">D-6146    </t>
  </si>
  <si>
    <t xml:space="preserve">D-6147    </t>
  </si>
  <si>
    <t xml:space="preserve">D-6148    </t>
  </si>
  <si>
    <t xml:space="preserve">D-6149    </t>
  </si>
  <si>
    <t xml:space="preserve">D-6150    </t>
  </si>
  <si>
    <t xml:space="preserve">D-6151    </t>
  </si>
  <si>
    <t xml:space="preserve">D-6152    </t>
  </si>
  <si>
    <t xml:space="preserve">D-6153    </t>
  </si>
  <si>
    <t xml:space="preserve">D-6154    </t>
  </si>
  <si>
    <t xml:space="preserve">D-6155    </t>
  </si>
  <si>
    <t xml:space="preserve">D-6156    </t>
  </si>
  <si>
    <t xml:space="preserve">D-6157    </t>
  </si>
  <si>
    <t xml:space="preserve">D-6158    </t>
  </si>
  <si>
    <t xml:space="preserve">D-6159    </t>
  </si>
  <si>
    <t xml:space="preserve">D-6160    </t>
  </si>
  <si>
    <t xml:space="preserve">D-6161    </t>
  </si>
  <si>
    <t xml:space="preserve">D-6162    </t>
  </si>
  <si>
    <t xml:space="preserve">D-6163    </t>
  </si>
  <si>
    <t xml:space="preserve">D-6164    </t>
  </si>
  <si>
    <t xml:space="preserve">D-6165    </t>
  </si>
  <si>
    <t xml:space="preserve">D-6166    </t>
  </si>
  <si>
    <t xml:space="preserve">D-6167    </t>
  </si>
  <si>
    <t xml:space="preserve">D-6168    </t>
  </si>
  <si>
    <t xml:space="preserve">D-6169    </t>
  </si>
  <si>
    <t xml:space="preserve">D-6170    </t>
  </si>
  <si>
    <t xml:space="preserve">D-6171    </t>
  </si>
  <si>
    <t xml:space="preserve">D-6172    </t>
  </si>
  <si>
    <t xml:space="preserve">D-6173    </t>
  </si>
  <si>
    <t xml:space="preserve">D-6174    </t>
  </si>
  <si>
    <t xml:space="preserve">D-6175    </t>
  </si>
  <si>
    <t xml:space="preserve">D-6176    </t>
  </si>
  <si>
    <t xml:space="preserve">D-6177    </t>
  </si>
  <si>
    <t xml:space="preserve">D-6178    </t>
  </si>
  <si>
    <t xml:space="preserve">D-6179    </t>
  </si>
  <si>
    <t xml:space="preserve">D-6180    </t>
  </si>
  <si>
    <t xml:space="preserve">D-6181    </t>
  </si>
  <si>
    <t xml:space="preserve">D-6182    </t>
  </si>
  <si>
    <t xml:space="preserve">D-6183    </t>
  </si>
  <si>
    <t xml:space="preserve">D-6184    </t>
  </si>
  <si>
    <t xml:space="preserve">D-6185    </t>
  </si>
  <si>
    <t xml:space="preserve">D-6186    </t>
  </si>
  <si>
    <t xml:space="preserve">D-6187    </t>
  </si>
  <si>
    <t xml:space="preserve">D-6188    </t>
  </si>
  <si>
    <t xml:space="preserve">D-6189    </t>
  </si>
  <si>
    <t xml:space="preserve">D-6190    </t>
  </si>
  <si>
    <t xml:space="preserve">D-6191    </t>
  </si>
  <si>
    <t xml:space="preserve">D-6192    </t>
  </si>
  <si>
    <t xml:space="preserve">D-6193    </t>
  </si>
  <si>
    <t xml:space="preserve">D-6194    </t>
  </si>
  <si>
    <t xml:space="preserve">D-6195    </t>
  </si>
  <si>
    <t xml:space="preserve">D-6196    </t>
  </si>
  <si>
    <t xml:space="preserve">D-6197    </t>
  </si>
  <si>
    <t xml:space="preserve">D-6198    </t>
  </si>
  <si>
    <t xml:space="preserve">D-6199    </t>
  </si>
  <si>
    <t xml:space="preserve">D-6200    </t>
  </si>
  <si>
    <t xml:space="preserve">D-6201    </t>
  </si>
  <si>
    <t xml:space="preserve">D-6202    </t>
  </si>
  <si>
    <t xml:space="preserve">D-6203    </t>
  </si>
  <si>
    <t xml:space="preserve">D-6204    </t>
  </si>
  <si>
    <t xml:space="preserve">D-6205    </t>
  </si>
  <si>
    <t xml:space="preserve">D-6206    </t>
  </si>
  <si>
    <t xml:space="preserve">D-6207    </t>
  </si>
  <si>
    <t xml:space="preserve">D-6208    </t>
  </si>
  <si>
    <t xml:space="preserve">D-6209    </t>
  </si>
  <si>
    <t xml:space="preserve">D-6210    </t>
  </si>
  <si>
    <t xml:space="preserve">D-6211    </t>
  </si>
  <si>
    <t xml:space="preserve">D-6212    </t>
  </si>
  <si>
    <t xml:space="preserve">D-6213    </t>
  </si>
  <si>
    <t xml:space="preserve">D-6214    </t>
  </si>
  <si>
    <t xml:space="preserve">D-6215    </t>
  </si>
  <si>
    <t xml:space="preserve">D-6216    </t>
  </si>
  <si>
    <t xml:space="preserve">D-6217    </t>
  </si>
  <si>
    <t xml:space="preserve">D-6218    </t>
  </si>
  <si>
    <t xml:space="preserve">D-6219    </t>
  </si>
  <si>
    <t xml:space="preserve">D-6220    </t>
  </si>
  <si>
    <t xml:space="preserve">D-6221    </t>
  </si>
  <si>
    <t xml:space="preserve">D-6222    </t>
  </si>
  <si>
    <t xml:space="preserve">D-6223    </t>
  </si>
  <si>
    <t xml:space="preserve">D-6224    </t>
  </si>
  <si>
    <t xml:space="preserve">D-6225    </t>
  </si>
  <si>
    <t xml:space="preserve">D-6226    </t>
  </si>
  <si>
    <t xml:space="preserve">D-6227    </t>
  </si>
  <si>
    <t xml:space="preserve">D-6228    </t>
  </si>
  <si>
    <t xml:space="preserve">D-6229    </t>
  </si>
  <si>
    <t xml:space="preserve">D-6230    </t>
  </si>
  <si>
    <t xml:space="preserve">D-6231    </t>
  </si>
  <si>
    <t xml:space="preserve">D-6232    </t>
  </si>
  <si>
    <t xml:space="preserve">D-6233    </t>
  </si>
  <si>
    <t xml:space="preserve">D-6234    </t>
  </si>
  <si>
    <t xml:space="preserve">D-6235    </t>
  </si>
  <si>
    <t xml:space="preserve">D-6236    </t>
  </si>
  <si>
    <t xml:space="preserve">D-6237    </t>
  </si>
  <si>
    <t xml:space="preserve">D-6238    </t>
  </si>
  <si>
    <t xml:space="preserve">D-6239    </t>
  </si>
  <si>
    <t xml:space="preserve">D-6240    </t>
  </si>
  <si>
    <t xml:space="preserve">D-6241    </t>
  </si>
  <si>
    <t xml:space="preserve">D-6242    </t>
  </si>
  <si>
    <t xml:space="preserve">D-6243    </t>
  </si>
  <si>
    <t xml:space="preserve">D-6244    </t>
  </si>
  <si>
    <t xml:space="preserve">D-6245    </t>
  </si>
  <si>
    <t xml:space="preserve">D-6246    </t>
  </si>
  <si>
    <t xml:space="preserve">D-6247    </t>
  </si>
  <si>
    <t xml:space="preserve">D-6248    </t>
  </si>
  <si>
    <t xml:space="preserve">D-6249    </t>
  </si>
  <si>
    <t xml:space="preserve">D-6250    </t>
  </si>
  <si>
    <t xml:space="preserve">D-6251    </t>
  </si>
  <si>
    <t xml:space="preserve">D-6252    </t>
  </si>
  <si>
    <t xml:space="preserve">D-6253    </t>
  </si>
  <si>
    <t xml:space="preserve">D-6254    </t>
  </si>
  <si>
    <t xml:space="preserve">D-6255    </t>
  </si>
  <si>
    <t xml:space="preserve">D-6256    </t>
  </si>
  <si>
    <t xml:space="preserve">D-6257    </t>
  </si>
  <si>
    <t xml:space="preserve">D-6258    </t>
  </si>
  <si>
    <t xml:space="preserve">D-6259    </t>
  </si>
  <si>
    <t xml:space="preserve">D-6260    </t>
  </si>
  <si>
    <t xml:space="preserve">D-6261    </t>
  </si>
  <si>
    <t xml:space="preserve">D-6262    </t>
  </si>
  <si>
    <t xml:space="preserve">D-6263    </t>
  </si>
  <si>
    <t xml:space="preserve">D-6264    </t>
  </si>
  <si>
    <t xml:space="preserve">D-6265    </t>
  </si>
  <si>
    <t xml:space="preserve">D-6266    </t>
  </si>
  <si>
    <t xml:space="preserve">D-6267    </t>
  </si>
  <si>
    <t xml:space="preserve">D-6268    </t>
  </si>
  <si>
    <t xml:space="preserve">D-6269    </t>
  </si>
  <si>
    <t xml:space="preserve">D-6270    </t>
  </si>
  <si>
    <t xml:space="preserve">D-6271    </t>
  </si>
  <si>
    <t xml:space="preserve">D-6272    </t>
  </si>
  <si>
    <t xml:space="preserve">D-6273    </t>
  </si>
  <si>
    <t xml:space="preserve">D-6274    </t>
  </si>
  <si>
    <t xml:space="preserve">D-6275    </t>
  </si>
  <si>
    <t xml:space="preserve">D-6276    </t>
  </si>
  <si>
    <t xml:space="preserve">D-6277    </t>
  </si>
  <si>
    <t xml:space="preserve">D-6278    </t>
  </si>
  <si>
    <t xml:space="preserve">D-6279    </t>
  </si>
  <si>
    <t xml:space="preserve">D-6280    </t>
  </si>
  <si>
    <t xml:space="preserve">D-6281    </t>
  </si>
  <si>
    <t xml:space="preserve">D-6282    </t>
  </si>
  <si>
    <t xml:space="preserve">D-6283    </t>
  </si>
  <si>
    <t xml:space="preserve">D-6284    </t>
  </si>
  <si>
    <t xml:space="preserve">D-6285    </t>
  </si>
  <si>
    <t xml:space="preserve">D-6286    </t>
  </si>
  <si>
    <t xml:space="preserve">D-6287    </t>
  </si>
  <si>
    <t xml:space="preserve">D-6288    </t>
  </si>
  <si>
    <t xml:space="preserve">D-6289    </t>
  </si>
  <si>
    <t xml:space="preserve">D-6290    </t>
  </si>
  <si>
    <t xml:space="preserve">D-6291    </t>
  </si>
  <si>
    <t xml:space="preserve">D-6292    </t>
  </si>
  <si>
    <t xml:space="preserve">D-6293    </t>
  </si>
  <si>
    <t xml:space="preserve">D-6294    </t>
  </si>
  <si>
    <t xml:space="preserve">D-6295    </t>
  </si>
  <si>
    <t xml:space="preserve">D-6296    </t>
  </si>
  <si>
    <t xml:space="preserve">D-6297    </t>
  </si>
  <si>
    <t xml:space="preserve">D-6298    </t>
  </si>
  <si>
    <t xml:space="preserve">D-6299    </t>
  </si>
  <si>
    <t xml:space="preserve">D-6300    </t>
  </si>
  <si>
    <t xml:space="preserve">D-6301    </t>
  </si>
  <si>
    <t xml:space="preserve">D-6302    </t>
  </si>
  <si>
    <t xml:space="preserve">D-6303    </t>
  </si>
  <si>
    <t xml:space="preserve">D-6304    </t>
  </si>
  <si>
    <t xml:space="preserve">D-6305    </t>
  </si>
  <si>
    <t xml:space="preserve">D-6306    </t>
  </si>
  <si>
    <t xml:space="preserve">D-6307    </t>
  </si>
  <si>
    <t xml:space="preserve">D-6308    </t>
  </si>
  <si>
    <t xml:space="preserve">D-6309    </t>
  </si>
  <si>
    <t xml:space="preserve">D-6310    </t>
  </si>
  <si>
    <t xml:space="preserve">D-6311    </t>
  </si>
  <si>
    <t xml:space="preserve">D-6312    </t>
  </si>
  <si>
    <t xml:space="preserve">D-6313    </t>
  </si>
  <si>
    <t xml:space="preserve">D-6314    </t>
  </si>
  <si>
    <t xml:space="preserve">D-6315    </t>
  </si>
  <si>
    <t xml:space="preserve">D-6316    </t>
  </si>
  <si>
    <t xml:space="preserve">D-6317    </t>
  </si>
  <si>
    <t xml:space="preserve">D-6318    </t>
  </si>
  <si>
    <t xml:space="preserve">D-6319    </t>
  </si>
  <si>
    <t xml:space="preserve">D-6320    </t>
  </si>
  <si>
    <t xml:space="preserve">D-6321    </t>
  </si>
  <si>
    <t xml:space="preserve">D-6322    </t>
  </si>
  <si>
    <t xml:space="preserve">D-6323    </t>
  </si>
  <si>
    <t xml:space="preserve">D-6324    </t>
  </si>
  <si>
    <t xml:space="preserve">D-6325    </t>
  </si>
  <si>
    <t xml:space="preserve">D-6326    </t>
  </si>
  <si>
    <t xml:space="preserve">D-6327    </t>
  </si>
  <si>
    <t xml:space="preserve">D-6328    </t>
  </si>
  <si>
    <t xml:space="preserve">D-6329    </t>
  </si>
  <si>
    <t xml:space="preserve">D-6330    </t>
  </si>
  <si>
    <t xml:space="preserve">D-6331    </t>
  </si>
  <si>
    <t xml:space="preserve">D-6332    </t>
  </si>
  <si>
    <t xml:space="preserve">D-6333    </t>
  </si>
  <si>
    <t xml:space="preserve">D-6334    </t>
  </si>
  <si>
    <t xml:space="preserve">D-6335    </t>
  </si>
  <si>
    <t xml:space="preserve">D-6336    </t>
  </si>
  <si>
    <t xml:space="preserve">D-6337    </t>
  </si>
  <si>
    <t xml:space="preserve">D-6338    </t>
  </si>
  <si>
    <t xml:space="preserve">D-6339    </t>
  </si>
  <si>
    <t xml:space="preserve">D-6340    </t>
  </si>
  <si>
    <t xml:space="preserve">D-6341    </t>
  </si>
  <si>
    <t xml:space="preserve">D-6342    </t>
  </si>
  <si>
    <t xml:space="preserve">D-6343    </t>
  </si>
  <si>
    <t xml:space="preserve">D-6344    </t>
  </si>
  <si>
    <t xml:space="preserve">D-6345    </t>
  </si>
  <si>
    <t xml:space="preserve">D-6346    </t>
  </si>
  <si>
    <t xml:space="preserve">D-6347    </t>
  </si>
  <si>
    <t xml:space="preserve">D-6348    </t>
  </si>
  <si>
    <t xml:space="preserve">D-6349    </t>
  </si>
  <si>
    <t xml:space="preserve">D-6350    </t>
  </si>
  <si>
    <t xml:space="preserve">D-6351    </t>
  </si>
  <si>
    <t xml:space="preserve">D-6352    </t>
  </si>
  <si>
    <t xml:space="preserve">D-6353    </t>
  </si>
  <si>
    <t xml:space="preserve">D-6354    </t>
  </si>
  <si>
    <t xml:space="preserve">D-6355    </t>
  </si>
  <si>
    <t xml:space="preserve">D-6356    </t>
  </si>
  <si>
    <t xml:space="preserve">D-6357    </t>
  </si>
  <si>
    <t xml:space="preserve">D-6358    </t>
  </si>
  <si>
    <t xml:space="preserve">D-6359    </t>
  </si>
  <si>
    <t xml:space="preserve">D-6360    </t>
  </si>
  <si>
    <t xml:space="preserve">D-6361    </t>
  </si>
  <si>
    <t xml:space="preserve">D-6362    </t>
  </si>
  <si>
    <t xml:space="preserve">D-6363    </t>
  </si>
  <si>
    <t xml:space="preserve">D-6364    </t>
  </si>
  <si>
    <t xml:space="preserve">D-6365    </t>
  </si>
  <si>
    <t xml:space="preserve">D-6366    </t>
  </si>
  <si>
    <t xml:space="preserve">D-6367    </t>
  </si>
  <si>
    <t xml:space="preserve">D-6368    </t>
  </si>
  <si>
    <t xml:space="preserve">D-6369    </t>
  </si>
  <si>
    <t xml:space="preserve">D-6370    </t>
  </si>
  <si>
    <t xml:space="preserve">D-6371    </t>
  </si>
  <si>
    <t xml:space="preserve">D-6372    </t>
  </si>
  <si>
    <t xml:space="preserve">D-6373    </t>
  </si>
  <si>
    <t xml:space="preserve">D-6374    </t>
  </si>
  <si>
    <t xml:space="preserve">D-6375    </t>
  </si>
  <si>
    <t xml:space="preserve">D-6376    </t>
  </si>
  <si>
    <t xml:space="preserve">D-6377    </t>
  </si>
  <si>
    <t xml:space="preserve">D-6378    </t>
  </si>
  <si>
    <t xml:space="preserve">D-6379    </t>
  </si>
  <si>
    <t xml:space="preserve">D-6380    </t>
  </si>
  <si>
    <t xml:space="preserve">D-6381    </t>
  </si>
  <si>
    <t xml:space="preserve">D-6382    </t>
  </si>
  <si>
    <t xml:space="preserve">D-6383    </t>
  </si>
  <si>
    <t xml:space="preserve">D-6384    </t>
  </si>
  <si>
    <t xml:space="preserve">D-6385    </t>
  </si>
  <si>
    <t xml:space="preserve">D-6386    </t>
  </si>
  <si>
    <t xml:space="preserve">D-6387    </t>
  </si>
  <si>
    <t xml:space="preserve">D-6388    </t>
  </si>
  <si>
    <t xml:space="preserve">D-6389    </t>
  </si>
  <si>
    <t xml:space="preserve">D-6390    </t>
  </si>
  <si>
    <t xml:space="preserve">D-6391    </t>
  </si>
  <si>
    <t xml:space="preserve">D-6392    </t>
  </si>
  <si>
    <t xml:space="preserve">D-6393    </t>
  </si>
  <si>
    <t xml:space="preserve">D-6394    </t>
  </si>
  <si>
    <t xml:space="preserve">D-6395    </t>
  </si>
  <si>
    <t xml:space="preserve">D-6396    </t>
  </si>
  <si>
    <t xml:space="preserve">D-6397    </t>
  </si>
  <si>
    <t xml:space="preserve">D-6398    </t>
  </si>
  <si>
    <t xml:space="preserve">D-6399    </t>
  </si>
  <si>
    <t xml:space="preserve">D-6400    </t>
  </si>
  <si>
    <t xml:space="preserve">D-6401    </t>
  </si>
  <si>
    <t xml:space="preserve">D-6402    </t>
  </si>
  <si>
    <t xml:space="preserve">D-6403    </t>
  </si>
  <si>
    <t xml:space="preserve">D-6404    </t>
  </si>
  <si>
    <t xml:space="preserve">D-6405    </t>
  </si>
  <si>
    <t xml:space="preserve">D-6406    </t>
  </si>
  <si>
    <t xml:space="preserve">D-6407    </t>
  </si>
  <si>
    <t xml:space="preserve">D-6408    </t>
  </si>
  <si>
    <t xml:space="preserve">D-6409    </t>
  </si>
  <si>
    <t xml:space="preserve">D-6410    </t>
  </si>
  <si>
    <t xml:space="preserve">D-6411    </t>
  </si>
  <si>
    <t xml:space="preserve">D-6412    </t>
  </si>
  <si>
    <t xml:space="preserve">D-6413    </t>
  </si>
  <si>
    <t xml:space="preserve">D-6414    </t>
  </si>
  <si>
    <t xml:space="preserve">D-6415    </t>
  </si>
  <si>
    <t xml:space="preserve">D-6416    </t>
  </si>
  <si>
    <t xml:space="preserve">D-6417    </t>
  </si>
  <si>
    <t xml:space="preserve">D-6418    </t>
  </si>
  <si>
    <t xml:space="preserve">D-6419    </t>
  </si>
  <si>
    <t xml:space="preserve">D-6420    </t>
  </si>
  <si>
    <t xml:space="preserve">D-6421    </t>
  </si>
  <si>
    <t xml:space="preserve">D-6422    </t>
  </si>
  <si>
    <t xml:space="preserve">D-6423    </t>
  </si>
  <si>
    <t xml:space="preserve">D-6424    </t>
  </si>
  <si>
    <t xml:space="preserve">D-6425    </t>
  </si>
  <si>
    <t xml:space="preserve">D-6426    </t>
  </si>
  <si>
    <t xml:space="preserve">D-6427    </t>
  </si>
  <si>
    <t xml:space="preserve">D-6428    </t>
  </si>
  <si>
    <t xml:space="preserve">D-6429    </t>
  </si>
  <si>
    <t xml:space="preserve">D-6430    </t>
  </si>
  <si>
    <t xml:space="preserve">D-6431    </t>
  </si>
  <si>
    <t xml:space="preserve">D-6432    </t>
  </si>
  <si>
    <t xml:space="preserve">D-6433    </t>
  </si>
  <si>
    <t xml:space="preserve">D-6434    </t>
  </si>
  <si>
    <t xml:space="preserve">D-6435    </t>
  </si>
  <si>
    <t xml:space="preserve">D-6436    </t>
  </si>
  <si>
    <t xml:space="preserve">SALDO </t>
  </si>
  <si>
    <t>11/03/2017 18/03/2017 29/03/2017 01/04/2017</t>
  </si>
  <si>
    <t>31/03/2017 01/04/2017</t>
  </si>
  <si>
    <t>30/03/2017 01/04/2017</t>
  </si>
  <si>
    <t>31/03/2017 03/04/2017</t>
  </si>
  <si>
    <t>01/04/2017 03/04/2017</t>
  </si>
  <si>
    <t>31/03/2017 05/04/2017</t>
  </si>
  <si>
    <t>04/04/2017 05/04/2017</t>
  </si>
  <si>
    <t>01/04/2017 05/04/2017</t>
  </si>
  <si>
    <t>30/03/2017 13/04/2017</t>
  </si>
  <si>
    <t>07/04/2017 13/04/2017</t>
  </si>
  <si>
    <t xml:space="preserve">(125)LUIS LEDO                                                           </t>
  </si>
  <si>
    <t>08/04/2017 17/04/2017</t>
  </si>
  <si>
    <t>15/04/2017 19/04/2017</t>
  </si>
  <si>
    <t>10/03/2017 11/03/2017 23/03/2017 04/04/2017 17/04/2017 21/04/2017</t>
  </si>
  <si>
    <t>REMISIONES DE     A B R I L               2 0 1 7</t>
  </si>
  <si>
    <t xml:space="preserve">D-6437    </t>
  </si>
  <si>
    <t xml:space="preserve">D-6438    </t>
  </si>
  <si>
    <t xml:space="preserve">D-6439    </t>
  </si>
  <si>
    <t xml:space="preserve">D-6440    </t>
  </si>
  <si>
    <t xml:space="preserve">D-6441    </t>
  </si>
  <si>
    <t xml:space="preserve">D-6442    </t>
  </si>
  <si>
    <t xml:space="preserve">D-6443    </t>
  </si>
  <si>
    <t xml:space="preserve">D-6444    </t>
  </si>
  <si>
    <t xml:space="preserve">D-6445    </t>
  </si>
  <si>
    <t xml:space="preserve">D-6446    </t>
  </si>
  <si>
    <t xml:space="preserve">D-6447    </t>
  </si>
  <si>
    <t xml:space="preserve">D-6448    </t>
  </si>
  <si>
    <t xml:space="preserve">D-6449    </t>
  </si>
  <si>
    <t xml:space="preserve">D-6450    </t>
  </si>
  <si>
    <t xml:space="preserve">D-6451    </t>
  </si>
  <si>
    <t xml:space="preserve">D-6452    </t>
  </si>
  <si>
    <t xml:space="preserve">D-6453    </t>
  </si>
  <si>
    <t xml:space="preserve">D-6454    </t>
  </si>
  <si>
    <t xml:space="preserve">D-6455    </t>
  </si>
  <si>
    <t xml:space="preserve">D-6456    </t>
  </si>
  <si>
    <t xml:space="preserve">D-6457    </t>
  </si>
  <si>
    <t xml:space="preserve">D-6458    </t>
  </si>
  <si>
    <t xml:space="preserve">D-6459    </t>
  </si>
  <si>
    <t xml:space="preserve">D-6460    </t>
  </si>
  <si>
    <t xml:space="preserve">D-6461    </t>
  </si>
  <si>
    <t xml:space="preserve">D-6462    </t>
  </si>
  <si>
    <t xml:space="preserve">D-6463    </t>
  </si>
  <si>
    <t xml:space="preserve">D-6464    </t>
  </si>
  <si>
    <t xml:space="preserve">D-6465    </t>
  </si>
  <si>
    <t xml:space="preserve">D-6466    </t>
  </si>
  <si>
    <t xml:space="preserve">D-6467    </t>
  </si>
  <si>
    <t xml:space="preserve">D-6468    </t>
  </si>
  <si>
    <t xml:space="preserve">D-6469    </t>
  </si>
  <si>
    <t xml:space="preserve">D-6470    </t>
  </si>
  <si>
    <t xml:space="preserve">D-6471    </t>
  </si>
  <si>
    <t xml:space="preserve">D-6472    </t>
  </si>
  <si>
    <t xml:space="preserve">D-6473    </t>
  </si>
  <si>
    <t xml:space="preserve">D-6474    </t>
  </si>
  <si>
    <t xml:space="preserve">D-6475    </t>
  </si>
  <si>
    <t xml:space="preserve">D-6476    </t>
  </si>
  <si>
    <t xml:space="preserve">D-6477    </t>
  </si>
  <si>
    <t xml:space="preserve">D-6478    </t>
  </si>
  <si>
    <t xml:space="preserve">D-6479    </t>
  </si>
  <si>
    <t xml:space="preserve">D-6480    </t>
  </si>
  <si>
    <t xml:space="preserve">D-6481    </t>
  </si>
  <si>
    <t xml:space="preserve">D-6482    </t>
  </si>
  <si>
    <t xml:space="preserve">D-6483    </t>
  </si>
  <si>
    <t xml:space="preserve">D-6484    </t>
  </si>
  <si>
    <t xml:space="preserve">D-6485    </t>
  </si>
  <si>
    <t xml:space="preserve">D-6486    </t>
  </si>
  <si>
    <t xml:space="preserve">D-6487    </t>
  </si>
  <si>
    <t xml:space="preserve">D-6488    </t>
  </si>
  <si>
    <t xml:space="preserve">D-6489    </t>
  </si>
  <si>
    <t xml:space="preserve">D-6490    </t>
  </si>
  <si>
    <t xml:space="preserve">D-6491    </t>
  </si>
  <si>
    <t xml:space="preserve">D-6492    </t>
  </si>
  <si>
    <t xml:space="preserve">D-6493    </t>
  </si>
  <si>
    <t xml:space="preserve">D-6494    </t>
  </si>
  <si>
    <t xml:space="preserve">D-6495    </t>
  </si>
  <si>
    <t xml:space="preserve">D-6496    </t>
  </si>
  <si>
    <t xml:space="preserve">D-6497    </t>
  </si>
  <si>
    <t xml:space="preserve">D-6498    </t>
  </si>
  <si>
    <t xml:space="preserve">D-6499    </t>
  </si>
  <si>
    <t xml:space="preserve">D-6500    </t>
  </si>
  <si>
    <t xml:space="preserve">D-6501    </t>
  </si>
  <si>
    <t xml:space="preserve">D-6502    </t>
  </si>
  <si>
    <t xml:space="preserve">D-6503    </t>
  </si>
  <si>
    <t xml:space="preserve">D-6504    </t>
  </si>
  <si>
    <t xml:space="preserve">D-6505    </t>
  </si>
  <si>
    <t xml:space="preserve">D-6506    </t>
  </si>
  <si>
    <t xml:space="preserve">D-6507    </t>
  </si>
  <si>
    <t xml:space="preserve">D-6508    </t>
  </si>
  <si>
    <t xml:space="preserve">D-6509    </t>
  </si>
  <si>
    <t xml:space="preserve">D-6510    </t>
  </si>
  <si>
    <t xml:space="preserve">D-6511    </t>
  </si>
  <si>
    <t xml:space="preserve">D-6512    </t>
  </si>
  <si>
    <t xml:space="preserve">D-6513    </t>
  </si>
  <si>
    <t xml:space="preserve">D-6514    </t>
  </si>
  <si>
    <t xml:space="preserve">D-6515    </t>
  </si>
  <si>
    <t xml:space="preserve">D-6516    </t>
  </si>
  <si>
    <t xml:space="preserve">D-6517    </t>
  </si>
  <si>
    <t xml:space="preserve">D-6518    </t>
  </si>
  <si>
    <t xml:space="preserve">D-6519    </t>
  </si>
  <si>
    <t xml:space="preserve">D-6520    </t>
  </si>
  <si>
    <t xml:space="preserve">D-6521    </t>
  </si>
  <si>
    <t xml:space="preserve">D-6522    </t>
  </si>
  <si>
    <t xml:space="preserve">D-6523    </t>
  </si>
  <si>
    <t xml:space="preserve">D-6524    </t>
  </si>
  <si>
    <t>13-Abr-17---26-Abr-17</t>
  </si>
  <si>
    <t xml:space="preserve">D-6525    </t>
  </si>
  <si>
    <t xml:space="preserve">D-6526    </t>
  </si>
  <si>
    <t xml:space="preserve">D-6527    </t>
  </si>
  <si>
    <t xml:space="preserve">D-6528    </t>
  </si>
  <si>
    <t xml:space="preserve">D-6529    </t>
  </si>
  <si>
    <t xml:space="preserve">D-6530    </t>
  </si>
  <si>
    <t xml:space="preserve">D-6531    </t>
  </si>
  <si>
    <t xml:space="preserve">D-6532    </t>
  </si>
  <si>
    <t xml:space="preserve">D-6533    </t>
  </si>
  <si>
    <t xml:space="preserve">D-6534    </t>
  </si>
  <si>
    <t xml:space="preserve">D-6535    </t>
  </si>
  <si>
    <t xml:space="preserve">D-6536    </t>
  </si>
  <si>
    <t xml:space="preserve">D-6537    </t>
  </si>
  <si>
    <t xml:space="preserve">D-6538    </t>
  </si>
  <si>
    <t xml:space="preserve">D-6539    </t>
  </si>
  <si>
    <t xml:space="preserve">D-6540    </t>
  </si>
  <si>
    <t xml:space="preserve">D-6541    </t>
  </si>
  <si>
    <t xml:space="preserve">D-6542    </t>
  </si>
  <si>
    <t xml:space="preserve">D-6543    </t>
  </si>
  <si>
    <t xml:space="preserve">D-6544    </t>
  </si>
  <si>
    <t>03/04/2017 08/04/2017</t>
  </si>
  <si>
    <t xml:space="preserve">D-6545    </t>
  </si>
  <si>
    <t xml:space="preserve">D-6546    </t>
  </si>
  <si>
    <t xml:space="preserve">D-6547    </t>
  </si>
  <si>
    <t xml:space="preserve">D-6548    </t>
  </si>
  <si>
    <t xml:space="preserve">D-6549    </t>
  </si>
  <si>
    <t xml:space="preserve">D-6550    </t>
  </si>
  <si>
    <t xml:space="preserve">D-6551    </t>
  </si>
  <si>
    <t xml:space="preserve">D-6552    </t>
  </si>
  <si>
    <t xml:space="preserve">D-6553    </t>
  </si>
  <si>
    <t xml:space="preserve">D-6554    </t>
  </si>
  <si>
    <t xml:space="preserve">D-6555    </t>
  </si>
  <si>
    <t xml:space="preserve">D-6556    </t>
  </si>
  <si>
    <t xml:space="preserve">D-6557    </t>
  </si>
  <si>
    <t xml:space="preserve">D-6558    </t>
  </si>
  <si>
    <t xml:space="preserve">D-6559    </t>
  </si>
  <si>
    <t xml:space="preserve">D-6560    </t>
  </si>
  <si>
    <t xml:space="preserve">D-6561    </t>
  </si>
  <si>
    <t xml:space="preserve">D-6562    </t>
  </si>
  <si>
    <t xml:space="preserve">D-6563    </t>
  </si>
  <si>
    <t xml:space="preserve">D-6564    </t>
  </si>
  <si>
    <t xml:space="preserve">D-6565    </t>
  </si>
  <si>
    <t xml:space="preserve">D-6566    </t>
  </si>
  <si>
    <t xml:space="preserve">D-6567    </t>
  </si>
  <si>
    <t xml:space="preserve">D-6568    </t>
  </si>
  <si>
    <t xml:space="preserve">D-6569    </t>
  </si>
  <si>
    <t xml:space="preserve">D-6570    </t>
  </si>
  <si>
    <t xml:space="preserve">D-6571    </t>
  </si>
  <si>
    <t xml:space="preserve">D-6572    </t>
  </si>
  <si>
    <t xml:space="preserve">D-6573    </t>
  </si>
  <si>
    <t xml:space="preserve">D-6574    </t>
  </si>
  <si>
    <t xml:space="preserve">D-6575    </t>
  </si>
  <si>
    <t xml:space="preserve">D-6576    </t>
  </si>
  <si>
    <t xml:space="preserve">D-6577    </t>
  </si>
  <si>
    <t xml:space="preserve">D-6578    </t>
  </si>
  <si>
    <t xml:space="preserve">D-6579    </t>
  </si>
  <si>
    <t xml:space="preserve">D-6580    </t>
  </si>
  <si>
    <t xml:space="preserve">D-6581    </t>
  </si>
  <si>
    <t xml:space="preserve">D-6582    </t>
  </si>
  <si>
    <t xml:space="preserve">D-6583    </t>
  </si>
  <si>
    <t xml:space="preserve">D-6584    </t>
  </si>
  <si>
    <t xml:space="preserve">D-6585    </t>
  </si>
  <si>
    <t xml:space="preserve">D-6586    </t>
  </si>
  <si>
    <t xml:space="preserve">D-6587    </t>
  </si>
  <si>
    <t xml:space="preserve">D-6588    </t>
  </si>
  <si>
    <t xml:space="preserve">D-6589    </t>
  </si>
  <si>
    <t xml:space="preserve">D-6590    </t>
  </si>
  <si>
    <t xml:space="preserve">D-6591    </t>
  </si>
  <si>
    <t xml:space="preserve">D-6592    </t>
  </si>
  <si>
    <t xml:space="preserve">D-6593    </t>
  </si>
  <si>
    <t xml:space="preserve">D-6594    </t>
  </si>
  <si>
    <t xml:space="preserve">D-6595    </t>
  </si>
  <si>
    <t xml:space="preserve">D-6596    </t>
  </si>
  <si>
    <t xml:space="preserve">D-6597    </t>
  </si>
  <si>
    <t xml:space="preserve">D-6598    </t>
  </si>
  <si>
    <t xml:space="preserve">D-6599    </t>
  </si>
  <si>
    <t xml:space="preserve">D-6600    </t>
  </si>
  <si>
    <t xml:space="preserve">D-6601    </t>
  </si>
  <si>
    <t xml:space="preserve">D-6602    </t>
  </si>
  <si>
    <t xml:space="preserve">D-6603    </t>
  </si>
  <si>
    <t xml:space="preserve">D-6604    </t>
  </si>
  <si>
    <t xml:space="preserve">D-6605    </t>
  </si>
  <si>
    <t xml:space="preserve">D-6606    </t>
  </si>
  <si>
    <t xml:space="preserve">D-6607    </t>
  </si>
  <si>
    <t xml:space="preserve">D-6608    </t>
  </si>
  <si>
    <t xml:space="preserve">D-6609    </t>
  </si>
  <si>
    <t xml:space="preserve">D-6610    </t>
  </si>
  <si>
    <t xml:space="preserve">D-6611    </t>
  </si>
  <si>
    <t xml:space="preserve">D-6612    </t>
  </si>
  <si>
    <t xml:space="preserve">D-6613    </t>
  </si>
  <si>
    <t xml:space="preserve">D-6614    </t>
  </si>
  <si>
    <t xml:space="preserve">D-6615    </t>
  </si>
  <si>
    <t xml:space="preserve">D-6616    </t>
  </si>
  <si>
    <t xml:space="preserve">D-6617    </t>
  </si>
  <si>
    <t xml:space="preserve">D-6618    </t>
  </si>
  <si>
    <t xml:space="preserve">D-6619    </t>
  </si>
  <si>
    <t xml:space="preserve">D-6620    </t>
  </si>
  <si>
    <t xml:space="preserve">D-6621    </t>
  </si>
  <si>
    <t xml:space="preserve">D-6622    </t>
  </si>
  <si>
    <t xml:space="preserve">D-6623    </t>
  </si>
  <si>
    <t xml:space="preserve">D-6624    </t>
  </si>
  <si>
    <t xml:space="preserve">D-6625    </t>
  </si>
  <si>
    <t xml:space="preserve">D-6626    </t>
  </si>
  <si>
    <t xml:space="preserve">D-6627    </t>
  </si>
  <si>
    <t xml:space="preserve">D-6628    </t>
  </si>
  <si>
    <t xml:space="preserve">D-6629    </t>
  </si>
  <si>
    <t xml:space="preserve">D-6630    </t>
  </si>
  <si>
    <t xml:space="preserve">D-6631    </t>
  </si>
  <si>
    <t xml:space="preserve">D-6632    </t>
  </si>
  <si>
    <t xml:space="preserve">D-6633    </t>
  </si>
  <si>
    <t xml:space="preserve">D-6634    </t>
  </si>
  <si>
    <t xml:space="preserve">D-6635    </t>
  </si>
  <si>
    <t xml:space="preserve">D-6636    </t>
  </si>
  <si>
    <t xml:space="preserve">D-6637    </t>
  </si>
  <si>
    <t xml:space="preserve">D-6638    </t>
  </si>
  <si>
    <t xml:space="preserve">D-6639    </t>
  </si>
  <si>
    <t xml:space="preserve">D-6640    </t>
  </si>
  <si>
    <t xml:space="preserve">D-6641    </t>
  </si>
  <si>
    <t xml:space="preserve">D-6642    </t>
  </si>
  <si>
    <t xml:space="preserve">D-6643    </t>
  </si>
  <si>
    <t xml:space="preserve">D-6644    </t>
  </si>
  <si>
    <t xml:space="preserve">D-6645    </t>
  </si>
  <si>
    <t xml:space="preserve">D-6646    </t>
  </si>
  <si>
    <t xml:space="preserve">D-6647    </t>
  </si>
  <si>
    <t xml:space="preserve">D-6648    </t>
  </si>
  <si>
    <t xml:space="preserve">D-6649    </t>
  </si>
  <si>
    <t xml:space="preserve">D-6650    </t>
  </si>
  <si>
    <t xml:space="preserve">D-6651    </t>
  </si>
  <si>
    <t xml:space="preserve">D-6652    </t>
  </si>
  <si>
    <t xml:space="preserve">D-6653    </t>
  </si>
  <si>
    <t xml:space="preserve">D-6654    </t>
  </si>
  <si>
    <t>05/04/2017 06/04/2017</t>
  </si>
  <si>
    <t xml:space="preserve">D-6655    </t>
  </si>
  <si>
    <t xml:space="preserve">D-6656    </t>
  </si>
  <si>
    <t xml:space="preserve">D-6657    </t>
  </si>
  <si>
    <t xml:space="preserve">D-6658    </t>
  </si>
  <si>
    <t>07/04/2017 11/04/2017</t>
  </si>
  <si>
    <t xml:space="preserve">D-6659    </t>
  </si>
  <si>
    <t xml:space="preserve">D-6660    </t>
  </si>
  <si>
    <t xml:space="preserve">D-6661    </t>
  </si>
  <si>
    <t xml:space="preserve">D-6662    </t>
  </si>
  <si>
    <t xml:space="preserve">D-6663    </t>
  </si>
  <si>
    <t xml:space="preserve">D-6664    </t>
  </si>
  <si>
    <t xml:space="preserve">D-6665    </t>
  </si>
  <si>
    <t xml:space="preserve">D-6666    </t>
  </si>
  <si>
    <t xml:space="preserve">D-6667    </t>
  </si>
  <si>
    <t xml:space="preserve">D-6668    </t>
  </si>
  <si>
    <t xml:space="preserve">D-6669    </t>
  </si>
  <si>
    <t xml:space="preserve">D-6670    </t>
  </si>
  <si>
    <t xml:space="preserve">D-6671    </t>
  </si>
  <si>
    <t xml:space="preserve">D-6672    </t>
  </si>
  <si>
    <t xml:space="preserve">D-6673    </t>
  </si>
  <si>
    <t xml:space="preserve">D-6674    </t>
  </si>
  <si>
    <t xml:space="preserve">D-6675    </t>
  </si>
  <si>
    <t xml:space="preserve">D-6676    </t>
  </si>
  <si>
    <t xml:space="preserve">D-6677    </t>
  </si>
  <si>
    <t xml:space="preserve">D-6678    </t>
  </si>
  <si>
    <t xml:space="preserve">D-6679    </t>
  </si>
  <si>
    <t xml:space="preserve">D-6680    </t>
  </si>
  <si>
    <t xml:space="preserve">D-6681    </t>
  </si>
  <si>
    <t xml:space="preserve">D-6682    </t>
  </si>
  <si>
    <t xml:space="preserve">D-6683    </t>
  </si>
  <si>
    <t xml:space="preserve">D-6684    </t>
  </si>
  <si>
    <t xml:space="preserve">D-6685    </t>
  </si>
  <si>
    <t xml:space="preserve">D-6686    </t>
  </si>
  <si>
    <t xml:space="preserve">D-6687    </t>
  </si>
  <si>
    <t xml:space="preserve">D-6688    </t>
  </si>
  <si>
    <t xml:space="preserve">D-6689    </t>
  </si>
  <si>
    <t xml:space="preserve">D-6690    </t>
  </si>
  <si>
    <t xml:space="preserve">D-6691    </t>
  </si>
  <si>
    <t xml:space="preserve">D-6692    </t>
  </si>
  <si>
    <t xml:space="preserve">D-6693    </t>
  </si>
  <si>
    <t xml:space="preserve">D-6694    </t>
  </si>
  <si>
    <t xml:space="preserve">D-6695    </t>
  </si>
  <si>
    <t xml:space="preserve">D-6696    </t>
  </si>
  <si>
    <t xml:space="preserve">D-6697    </t>
  </si>
  <si>
    <t xml:space="preserve">D-6698    </t>
  </si>
  <si>
    <t xml:space="preserve">D-6699    </t>
  </si>
  <si>
    <t xml:space="preserve">D-6700    </t>
  </si>
  <si>
    <t xml:space="preserve">D-6701    </t>
  </si>
  <si>
    <t xml:space="preserve">D-6702    </t>
  </si>
  <si>
    <t xml:space="preserve">D-6703    </t>
  </si>
  <si>
    <t xml:space="preserve">D-6704    </t>
  </si>
  <si>
    <t xml:space="preserve">D-6705    </t>
  </si>
  <si>
    <t xml:space="preserve">D-6706    </t>
  </si>
  <si>
    <t xml:space="preserve">D-6707    </t>
  </si>
  <si>
    <t xml:space="preserve">D-6708    </t>
  </si>
  <si>
    <t xml:space="preserve">D-6709    </t>
  </si>
  <si>
    <t xml:space="preserve">D-6710    </t>
  </si>
  <si>
    <t xml:space="preserve">D-6711    </t>
  </si>
  <si>
    <t xml:space="preserve">D-6712    </t>
  </si>
  <si>
    <t xml:space="preserve">D-6713    </t>
  </si>
  <si>
    <t xml:space="preserve">D-6714    </t>
  </si>
  <si>
    <t xml:space="preserve">D-6715    </t>
  </si>
  <si>
    <t xml:space="preserve">D-6716    </t>
  </si>
  <si>
    <t xml:space="preserve">D-6717    </t>
  </si>
  <si>
    <t xml:space="preserve">D-6718    </t>
  </si>
  <si>
    <t xml:space="preserve">D-6719    </t>
  </si>
  <si>
    <t xml:space="preserve">D-6720    </t>
  </si>
  <si>
    <t xml:space="preserve">D-6721    </t>
  </si>
  <si>
    <t xml:space="preserve">D-6722    </t>
  </si>
  <si>
    <t xml:space="preserve">D-6723    </t>
  </si>
  <si>
    <t xml:space="preserve">D-6724    </t>
  </si>
  <si>
    <t xml:space="preserve">D-6725    </t>
  </si>
  <si>
    <t xml:space="preserve">D-6726    </t>
  </si>
  <si>
    <t xml:space="preserve">D-6727    </t>
  </si>
  <si>
    <t xml:space="preserve">D-6728    </t>
  </si>
  <si>
    <t xml:space="preserve">D-6729    </t>
  </si>
  <si>
    <t>04/04/2017 06/04/2017</t>
  </si>
  <si>
    <t xml:space="preserve">D-6730    </t>
  </si>
  <si>
    <t xml:space="preserve">D-6731    </t>
  </si>
  <si>
    <t xml:space="preserve">D-6732    </t>
  </si>
  <si>
    <t xml:space="preserve">D-6733    </t>
  </si>
  <si>
    <t xml:space="preserve">D-6734    </t>
  </si>
  <si>
    <t xml:space="preserve">D-6735    </t>
  </si>
  <si>
    <t xml:space="preserve">D-6736    </t>
  </si>
  <si>
    <t xml:space="preserve">D-6737    </t>
  </si>
  <si>
    <t xml:space="preserve">D-6738    </t>
  </si>
  <si>
    <t xml:space="preserve">D-6739    </t>
  </si>
  <si>
    <t xml:space="preserve">D-6740    </t>
  </si>
  <si>
    <t xml:space="preserve">D-6741    </t>
  </si>
  <si>
    <t xml:space="preserve">D-6742    </t>
  </si>
  <si>
    <t xml:space="preserve">D-6743    </t>
  </si>
  <si>
    <t xml:space="preserve">D-6744    </t>
  </si>
  <si>
    <t xml:space="preserve">D-6745    </t>
  </si>
  <si>
    <t xml:space="preserve">D-6746    </t>
  </si>
  <si>
    <t xml:space="preserve">D-6747    </t>
  </si>
  <si>
    <t xml:space="preserve">D-6748    </t>
  </si>
  <si>
    <t xml:space="preserve">(314)EMILIO CUAUTLE                                                        </t>
  </si>
  <si>
    <t xml:space="preserve">D-6749    </t>
  </si>
  <si>
    <t xml:space="preserve">D-6750    </t>
  </si>
  <si>
    <t xml:space="preserve">D-6751    </t>
  </si>
  <si>
    <t xml:space="preserve">D-6752    </t>
  </si>
  <si>
    <t xml:space="preserve">D-6753    </t>
  </si>
  <si>
    <t xml:space="preserve">D-6754    </t>
  </si>
  <si>
    <t xml:space="preserve">D-6755    </t>
  </si>
  <si>
    <t xml:space="preserve">D-6756    </t>
  </si>
  <si>
    <t xml:space="preserve">D-6757    </t>
  </si>
  <si>
    <t xml:space="preserve">D-6758    </t>
  </si>
  <si>
    <t xml:space="preserve">D-6759    </t>
  </si>
  <si>
    <t xml:space="preserve">D-6760    </t>
  </si>
  <si>
    <t xml:space="preserve">D-6761    </t>
  </si>
  <si>
    <t xml:space="preserve">D-6762    </t>
  </si>
  <si>
    <t xml:space="preserve">D-6763    </t>
  </si>
  <si>
    <t xml:space="preserve">D-6764    </t>
  </si>
  <si>
    <t xml:space="preserve">D-6765    </t>
  </si>
  <si>
    <t xml:space="preserve">D-6766    </t>
  </si>
  <si>
    <t xml:space="preserve">D-6767    </t>
  </si>
  <si>
    <t xml:space="preserve">D-6768    </t>
  </si>
  <si>
    <t xml:space="preserve">D-6769    </t>
  </si>
  <si>
    <t xml:space="preserve">D-6770    </t>
  </si>
  <si>
    <t xml:space="preserve">D-6771    </t>
  </si>
  <si>
    <t xml:space="preserve">D-6772    </t>
  </si>
  <si>
    <t xml:space="preserve">D-6773    </t>
  </si>
  <si>
    <t xml:space="preserve">D-6774    </t>
  </si>
  <si>
    <t xml:space="preserve">D-6775    </t>
  </si>
  <si>
    <t xml:space="preserve">D-6776    </t>
  </si>
  <si>
    <t xml:space="preserve">D-6777    </t>
  </si>
  <si>
    <t xml:space="preserve">D-6778    </t>
  </si>
  <si>
    <t xml:space="preserve">D-6779    </t>
  </si>
  <si>
    <t xml:space="preserve">D-6780    </t>
  </si>
  <si>
    <t xml:space="preserve">D-6781    </t>
  </si>
  <si>
    <t xml:space="preserve">D-6782    </t>
  </si>
  <si>
    <t xml:space="preserve">D-6783    </t>
  </si>
  <si>
    <t xml:space="preserve">D-6784    </t>
  </si>
  <si>
    <t xml:space="preserve">D-6785    </t>
  </si>
  <si>
    <t xml:space="preserve">D-6786    </t>
  </si>
  <si>
    <t xml:space="preserve">D-6787    </t>
  </si>
  <si>
    <t xml:space="preserve">D-6788    </t>
  </si>
  <si>
    <t xml:space="preserve">D-6789    </t>
  </si>
  <si>
    <t xml:space="preserve">D-6790    </t>
  </si>
  <si>
    <t xml:space="preserve">D-6791    </t>
  </si>
  <si>
    <t xml:space="preserve">D-6792    </t>
  </si>
  <si>
    <t xml:space="preserve">D-6793    </t>
  </si>
  <si>
    <t xml:space="preserve">D-6794    </t>
  </si>
  <si>
    <t xml:space="preserve">D-6795    </t>
  </si>
  <si>
    <t xml:space="preserve">D-6796    </t>
  </si>
  <si>
    <t xml:space="preserve">D-6797    </t>
  </si>
  <si>
    <t xml:space="preserve">D-6798    </t>
  </si>
  <si>
    <t xml:space="preserve">D-6799    </t>
  </si>
  <si>
    <t xml:space="preserve">D-6800    </t>
  </si>
  <si>
    <t xml:space="preserve">D-6801    </t>
  </si>
  <si>
    <t>06/04/2017 07/04/2017</t>
  </si>
  <si>
    <t xml:space="preserve">D-6802    </t>
  </si>
  <si>
    <t xml:space="preserve">D-6803    </t>
  </si>
  <si>
    <t xml:space="preserve">D-6804    </t>
  </si>
  <si>
    <t xml:space="preserve">D-6805    </t>
  </si>
  <si>
    <t xml:space="preserve">D-6806    </t>
  </si>
  <si>
    <t xml:space="preserve">D-6807    </t>
  </si>
  <si>
    <t xml:space="preserve">D-6808    </t>
  </si>
  <si>
    <t xml:space="preserve">D-6809    </t>
  </si>
  <si>
    <t xml:space="preserve">D-6810    </t>
  </si>
  <si>
    <t xml:space="preserve">D-6811    </t>
  </si>
  <si>
    <t xml:space="preserve">D-6812    </t>
  </si>
  <si>
    <t xml:space="preserve">D-6813    </t>
  </si>
  <si>
    <t xml:space="preserve">D-6814    </t>
  </si>
  <si>
    <t xml:space="preserve">D-6815    </t>
  </si>
  <si>
    <t xml:space="preserve">D-6816    </t>
  </si>
  <si>
    <t xml:space="preserve">D-6817    </t>
  </si>
  <si>
    <t xml:space="preserve">D-6818    </t>
  </si>
  <si>
    <t xml:space="preserve">D-6819    </t>
  </si>
  <si>
    <t xml:space="preserve">D-6820    </t>
  </si>
  <si>
    <t xml:space="preserve">D-6821    </t>
  </si>
  <si>
    <t xml:space="preserve">D-6822    </t>
  </si>
  <si>
    <t xml:space="preserve">D-6823    </t>
  </si>
  <si>
    <t xml:space="preserve">D-6824    </t>
  </si>
  <si>
    <t xml:space="preserve">D-6825    </t>
  </si>
  <si>
    <t xml:space="preserve">D-6826    </t>
  </si>
  <si>
    <t xml:space="preserve">D-6827    </t>
  </si>
  <si>
    <t xml:space="preserve">D-6828    </t>
  </si>
  <si>
    <t xml:space="preserve">D-6829    </t>
  </si>
  <si>
    <t xml:space="preserve">D-6830    </t>
  </si>
  <si>
    <t xml:space="preserve">D-6831    </t>
  </si>
  <si>
    <t xml:space="preserve">D-6832    </t>
  </si>
  <si>
    <t xml:space="preserve">D-6833    </t>
  </si>
  <si>
    <t xml:space="preserve">D-6834    </t>
  </si>
  <si>
    <t xml:space="preserve">D-6835    </t>
  </si>
  <si>
    <t xml:space="preserve">D-6836    </t>
  </si>
  <si>
    <t xml:space="preserve">D-6837    </t>
  </si>
  <si>
    <t xml:space="preserve">D-6838    </t>
  </si>
  <si>
    <t xml:space="preserve">D-6839    </t>
  </si>
  <si>
    <t xml:space="preserve">D-6840    </t>
  </si>
  <si>
    <t xml:space="preserve">D-6841    </t>
  </si>
  <si>
    <t xml:space="preserve">D-6842    </t>
  </si>
  <si>
    <t xml:space="preserve">D-6843    </t>
  </si>
  <si>
    <t xml:space="preserve">D-6844    </t>
  </si>
  <si>
    <t xml:space="preserve">D-6845    </t>
  </si>
  <si>
    <t xml:space="preserve">D-6846    </t>
  </si>
  <si>
    <t xml:space="preserve">D-6847    </t>
  </si>
  <si>
    <t xml:space="preserve">D-6848    </t>
  </si>
  <si>
    <t xml:space="preserve">D-6849    </t>
  </si>
  <si>
    <t xml:space="preserve">D-6850    </t>
  </si>
  <si>
    <t xml:space="preserve">D-6851    </t>
  </si>
  <si>
    <t xml:space="preserve">D-6852    </t>
  </si>
  <si>
    <t xml:space="preserve">D-6853    </t>
  </si>
  <si>
    <t xml:space="preserve">D-6854    </t>
  </si>
  <si>
    <t xml:space="preserve">D-6855    </t>
  </si>
  <si>
    <t xml:space="preserve">D-6856    </t>
  </si>
  <si>
    <t xml:space="preserve">D-6857    </t>
  </si>
  <si>
    <t xml:space="preserve">D-6858    </t>
  </si>
  <si>
    <t xml:space="preserve">D-6859    </t>
  </si>
  <si>
    <t xml:space="preserve">D-6860    </t>
  </si>
  <si>
    <t xml:space="preserve">D-6861    </t>
  </si>
  <si>
    <t xml:space="preserve">D-6862    </t>
  </si>
  <si>
    <t xml:space="preserve">D-6863    </t>
  </si>
  <si>
    <t xml:space="preserve">D-6864    </t>
  </si>
  <si>
    <t xml:space="preserve">D-6865    </t>
  </si>
  <si>
    <t xml:space="preserve">D-6866    </t>
  </si>
  <si>
    <t xml:space="preserve">D-6867    </t>
  </si>
  <si>
    <t xml:space="preserve">D-6868    </t>
  </si>
  <si>
    <t xml:space="preserve">D-6869    </t>
  </si>
  <si>
    <t xml:space="preserve">D-6870    </t>
  </si>
  <si>
    <t xml:space="preserve">D-6871    </t>
  </si>
  <si>
    <t xml:space="preserve">D-6872    </t>
  </si>
  <si>
    <t xml:space="preserve">D-6873    </t>
  </si>
  <si>
    <t xml:space="preserve">D-6874    </t>
  </si>
  <si>
    <t xml:space="preserve">D-6875    </t>
  </si>
  <si>
    <t xml:space="preserve">D-6876    </t>
  </si>
  <si>
    <t xml:space="preserve">D-6877    </t>
  </si>
  <si>
    <t xml:space="preserve">D-6878    </t>
  </si>
  <si>
    <t xml:space="preserve">D-6879    </t>
  </si>
  <si>
    <t xml:space="preserve">D-6880    </t>
  </si>
  <si>
    <t xml:space="preserve">D-6881    </t>
  </si>
  <si>
    <t xml:space="preserve">D-6882    </t>
  </si>
  <si>
    <t xml:space="preserve">D-6883    </t>
  </si>
  <si>
    <t xml:space="preserve">D-6884    </t>
  </si>
  <si>
    <t xml:space="preserve">D-6885    </t>
  </si>
  <si>
    <t xml:space="preserve">D-6886    </t>
  </si>
  <si>
    <t xml:space="preserve">D-6887    </t>
  </si>
  <si>
    <t xml:space="preserve">D-6888    </t>
  </si>
  <si>
    <t xml:space="preserve">D-6889    </t>
  </si>
  <si>
    <t xml:space="preserve">D-6890    </t>
  </si>
  <si>
    <t xml:space="preserve">D-6891    </t>
  </si>
  <si>
    <t xml:space="preserve">D-6892    </t>
  </si>
  <si>
    <t xml:space="preserve">D-6893    </t>
  </si>
  <si>
    <t xml:space="preserve">D-6894    </t>
  </si>
  <si>
    <t xml:space="preserve">D-6895    </t>
  </si>
  <si>
    <t xml:space="preserve">D-6896    </t>
  </si>
  <si>
    <t xml:space="preserve">D-6897    </t>
  </si>
  <si>
    <t xml:space="preserve">D-6898    </t>
  </si>
  <si>
    <t xml:space="preserve">D-6899    </t>
  </si>
  <si>
    <t xml:space="preserve">D-6900    </t>
  </si>
  <si>
    <t xml:space="preserve">D-6901    </t>
  </si>
  <si>
    <t xml:space="preserve">D-6902    </t>
  </si>
  <si>
    <t xml:space="preserve">D-6903    </t>
  </si>
  <si>
    <t xml:space="preserve">D-6904    </t>
  </si>
  <si>
    <t xml:space="preserve">D-6905    </t>
  </si>
  <si>
    <t xml:space="preserve">D-6906    </t>
  </si>
  <si>
    <t xml:space="preserve">D-6907    </t>
  </si>
  <si>
    <t xml:space="preserve">D-6908    </t>
  </si>
  <si>
    <t xml:space="preserve">D-6909    </t>
  </si>
  <si>
    <t xml:space="preserve">D-6910    </t>
  </si>
  <si>
    <t xml:space="preserve">D-6911    </t>
  </si>
  <si>
    <t xml:space="preserve">D-6912    </t>
  </si>
  <si>
    <t>07/04/2017 08/04/2017</t>
  </si>
  <si>
    <t xml:space="preserve">D-6913    </t>
  </si>
  <si>
    <t xml:space="preserve">D-6914    </t>
  </si>
  <si>
    <t xml:space="preserve">D-6915    </t>
  </si>
  <si>
    <t xml:space="preserve">D-6916    </t>
  </si>
  <si>
    <t xml:space="preserve">D-6917    </t>
  </si>
  <si>
    <t xml:space="preserve">D-6918    </t>
  </si>
  <si>
    <t xml:space="preserve">D-6919    </t>
  </si>
  <si>
    <t xml:space="preserve">D-6920    </t>
  </si>
  <si>
    <t xml:space="preserve">D-6921    </t>
  </si>
  <si>
    <t xml:space="preserve">D-6922    </t>
  </si>
  <si>
    <t xml:space="preserve">D-6923    </t>
  </si>
  <si>
    <t xml:space="preserve">D-6924    </t>
  </si>
  <si>
    <t xml:space="preserve">D-6925    </t>
  </si>
  <si>
    <t xml:space="preserve">D-6926    </t>
  </si>
  <si>
    <t xml:space="preserve">D-6927    </t>
  </si>
  <si>
    <t xml:space="preserve">D-6928    </t>
  </si>
  <si>
    <t xml:space="preserve">D-6929    </t>
  </si>
  <si>
    <t xml:space="preserve">D-6930    </t>
  </si>
  <si>
    <t xml:space="preserve">D-6931    </t>
  </si>
  <si>
    <t xml:space="preserve">D-6932    </t>
  </si>
  <si>
    <t xml:space="preserve">(361)SILVANO                                                               </t>
  </si>
  <si>
    <t xml:space="preserve">D-6933    </t>
  </si>
  <si>
    <t xml:space="preserve">D-6934    </t>
  </si>
  <si>
    <t xml:space="preserve">D-6935    </t>
  </si>
  <si>
    <t xml:space="preserve">D-6936    </t>
  </si>
  <si>
    <t xml:space="preserve">D-6937    </t>
  </si>
  <si>
    <t xml:space="preserve">D-6938    </t>
  </si>
  <si>
    <t xml:space="preserve">D-6939    </t>
  </si>
  <si>
    <t xml:space="preserve">D-6940    </t>
  </si>
  <si>
    <t xml:space="preserve">D-6941    </t>
  </si>
  <si>
    <t xml:space="preserve">D-6942    </t>
  </si>
  <si>
    <t xml:space="preserve">D-6943    </t>
  </si>
  <si>
    <t xml:space="preserve">D-6944    </t>
  </si>
  <si>
    <t xml:space="preserve">D-6945    </t>
  </si>
  <si>
    <t xml:space="preserve">D-6946    </t>
  </si>
  <si>
    <t xml:space="preserve">D-6947    </t>
  </si>
  <si>
    <t xml:space="preserve">D-6948    </t>
  </si>
  <si>
    <t xml:space="preserve">D-6949    </t>
  </si>
  <si>
    <t xml:space="preserve">D-6950    </t>
  </si>
  <si>
    <t xml:space="preserve">D-6951    </t>
  </si>
  <si>
    <t xml:space="preserve">D-6952    </t>
  </si>
  <si>
    <t xml:space="preserve">D-6953    </t>
  </si>
  <si>
    <t xml:space="preserve">D-6954    </t>
  </si>
  <si>
    <t xml:space="preserve">D-6955    </t>
  </si>
  <si>
    <t xml:space="preserve">D-6956    </t>
  </si>
  <si>
    <t xml:space="preserve">D-6957    </t>
  </si>
  <si>
    <t xml:space="preserve">D-6958    </t>
  </si>
  <si>
    <t xml:space="preserve">D-6959    </t>
  </si>
  <si>
    <t xml:space="preserve">D-6960    </t>
  </si>
  <si>
    <t xml:space="preserve">D-6961    </t>
  </si>
  <si>
    <t xml:space="preserve">D-6962    </t>
  </si>
  <si>
    <t xml:space="preserve">D-6963    </t>
  </si>
  <si>
    <t xml:space="preserve">D-6964    </t>
  </si>
  <si>
    <t xml:space="preserve">D-6965    </t>
  </si>
  <si>
    <t xml:space="preserve">D-6966    </t>
  </si>
  <si>
    <t xml:space="preserve">D-6967    </t>
  </si>
  <si>
    <t xml:space="preserve">D-6968    </t>
  </si>
  <si>
    <t xml:space="preserve">D-6969    </t>
  </si>
  <si>
    <t xml:space="preserve">D-6970    </t>
  </si>
  <si>
    <t xml:space="preserve">D-6971    </t>
  </si>
  <si>
    <t xml:space="preserve">D-6972    </t>
  </si>
  <si>
    <t xml:space="preserve">D-6973    </t>
  </si>
  <si>
    <t xml:space="preserve">D-6974    </t>
  </si>
  <si>
    <t xml:space="preserve">D-6975    </t>
  </si>
  <si>
    <t xml:space="preserve">D-6976    </t>
  </si>
  <si>
    <t xml:space="preserve">D-6977    </t>
  </si>
  <si>
    <t xml:space="preserve">D-6978    </t>
  </si>
  <si>
    <t xml:space="preserve">D-6979    </t>
  </si>
  <si>
    <t xml:space="preserve">D-6980    </t>
  </si>
  <si>
    <t xml:space="preserve">(585)GABRIEL APANGO                                                        </t>
  </si>
  <si>
    <t xml:space="preserve">D-6981    </t>
  </si>
  <si>
    <t xml:space="preserve">D-6982    </t>
  </si>
  <si>
    <t xml:space="preserve">D-6983    </t>
  </si>
  <si>
    <t xml:space="preserve">D-6984    </t>
  </si>
  <si>
    <t xml:space="preserve">D-6985    </t>
  </si>
  <si>
    <t xml:space="preserve">D-6986    </t>
  </si>
  <si>
    <t xml:space="preserve">D-6987    </t>
  </si>
  <si>
    <t xml:space="preserve">D-6988    </t>
  </si>
  <si>
    <t xml:space="preserve">D-6989    </t>
  </si>
  <si>
    <t xml:space="preserve">D-6990    </t>
  </si>
  <si>
    <t xml:space="preserve">D-6991    </t>
  </si>
  <si>
    <t xml:space="preserve">D-6992    </t>
  </si>
  <si>
    <t xml:space="preserve">D-6993    </t>
  </si>
  <si>
    <t xml:space="preserve">D-6994    </t>
  </si>
  <si>
    <t xml:space="preserve">D-6995    </t>
  </si>
  <si>
    <t xml:space="preserve">D-6996    </t>
  </si>
  <si>
    <t xml:space="preserve">D-6997    </t>
  </si>
  <si>
    <t xml:space="preserve">D-6998    </t>
  </si>
  <si>
    <t xml:space="preserve">D-6999    </t>
  </si>
  <si>
    <t xml:space="preserve">D-7000    </t>
  </si>
  <si>
    <t xml:space="preserve">D-7001    </t>
  </si>
  <si>
    <t xml:space="preserve">D-7002    </t>
  </si>
  <si>
    <t xml:space="preserve">D-7003    </t>
  </si>
  <si>
    <t xml:space="preserve">D-7004    </t>
  </si>
  <si>
    <t xml:space="preserve">D-7005    </t>
  </si>
  <si>
    <t xml:space="preserve">D-7006    </t>
  </si>
  <si>
    <t xml:space="preserve">D-7007    </t>
  </si>
  <si>
    <t xml:space="preserve">D-7008    </t>
  </si>
  <si>
    <t xml:space="preserve">D-7009    </t>
  </si>
  <si>
    <t xml:space="preserve">D-7010    </t>
  </si>
  <si>
    <t xml:space="preserve">D-7011    </t>
  </si>
  <si>
    <t xml:space="preserve">D-7012    </t>
  </si>
  <si>
    <t xml:space="preserve">D-7013    </t>
  </si>
  <si>
    <t xml:space="preserve">D-7014    </t>
  </si>
  <si>
    <t xml:space="preserve">D-7015    </t>
  </si>
  <si>
    <t xml:space="preserve">D-7016    </t>
  </si>
  <si>
    <t xml:space="preserve">D-7017    </t>
  </si>
  <si>
    <t xml:space="preserve">D-7018    </t>
  </si>
  <si>
    <t xml:space="preserve">D-7019    </t>
  </si>
  <si>
    <t xml:space="preserve">D-7020    </t>
  </si>
  <si>
    <t xml:space="preserve">D-7021    </t>
  </si>
  <si>
    <t xml:space="preserve">D-7022    </t>
  </si>
  <si>
    <t xml:space="preserve">D-7023    </t>
  </si>
  <si>
    <t xml:space="preserve">D-7024    </t>
  </si>
  <si>
    <t xml:space="preserve">D-7025    </t>
  </si>
  <si>
    <t xml:space="preserve">D-7026    </t>
  </si>
  <si>
    <t xml:space="preserve">D-7027    </t>
  </si>
  <si>
    <t xml:space="preserve">D-7028    </t>
  </si>
  <si>
    <t xml:space="preserve">D-7029    </t>
  </si>
  <si>
    <t xml:space="preserve">D-7030    </t>
  </si>
  <si>
    <t xml:space="preserve">D-7031    </t>
  </si>
  <si>
    <t xml:space="preserve">D-7032    </t>
  </si>
  <si>
    <t xml:space="preserve">D-7033    </t>
  </si>
  <si>
    <t xml:space="preserve">D-7034    </t>
  </si>
  <si>
    <t xml:space="preserve">D-7035    </t>
  </si>
  <si>
    <t xml:space="preserve">D-7036    </t>
  </si>
  <si>
    <t xml:space="preserve">D-7037    </t>
  </si>
  <si>
    <t xml:space="preserve">D-7038    </t>
  </si>
  <si>
    <t xml:space="preserve">D-7039    </t>
  </si>
  <si>
    <t xml:space="preserve">D-7040    </t>
  </si>
  <si>
    <t xml:space="preserve">D-7041    </t>
  </si>
  <si>
    <t xml:space="preserve">D-7042    </t>
  </si>
  <si>
    <t xml:space="preserve">D-7043    </t>
  </si>
  <si>
    <t xml:space="preserve">D-7044    </t>
  </si>
  <si>
    <t xml:space="preserve">D-7045    </t>
  </si>
  <si>
    <t xml:space="preserve">D-7046    </t>
  </si>
  <si>
    <t xml:space="preserve">D-7047    </t>
  </si>
  <si>
    <t xml:space="preserve">D-7048    </t>
  </si>
  <si>
    <t xml:space="preserve">D-7049    </t>
  </si>
  <si>
    <t xml:space="preserve">D-7050    </t>
  </si>
  <si>
    <t xml:space="preserve">D-7051    </t>
  </si>
  <si>
    <t xml:space="preserve">D-7052    </t>
  </si>
  <si>
    <t>08/04/2017 11/04/2017</t>
  </si>
  <si>
    <t xml:space="preserve">D-7053    </t>
  </si>
  <si>
    <t xml:space="preserve">D-7054    </t>
  </si>
  <si>
    <t xml:space="preserve">D-7055    </t>
  </si>
  <si>
    <t xml:space="preserve">D-7056    </t>
  </si>
  <si>
    <t xml:space="preserve">D-7057    </t>
  </si>
  <si>
    <t xml:space="preserve">D-7058    </t>
  </si>
  <si>
    <t xml:space="preserve">D-7059    </t>
  </si>
  <si>
    <t xml:space="preserve">D-7060    </t>
  </si>
  <si>
    <t xml:space="preserve">D-7061    </t>
  </si>
  <si>
    <t xml:space="preserve">D-7062    </t>
  </si>
  <si>
    <t xml:space="preserve">D-7063    </t>
  </si>
  <si>
    <t xml:space="preserve">D-7064    </t>
  </si>
  <si>
    <t xml:space="preserve">D-7065    </t>
  </si>
  <si>
    <t xml:space="preserve">D-7066    </t>
  </si>
  <si>
    <t xml:space="preserve">D-7067    </t>
  </si>
  <si>
    <t xml:space="preserve">D-7068    </t>
  </si>
  <si>
    <t xml:space="preserve">D-7069    </t>
  </si>
  <si>
    <t xml:space="preserve">D-7070    </t>
  </si>
  <si>
    <t xml:space="preserve">D-7071    </t>
  </si>
  <si>
    <t xml:space="preserve">D-7072    </t>
  </si>
  <si>
    <t xml:space="preserve">D-7073    </t>
  </si>
  <si>
    <t xml:space="preserve">D-7074    </t>
  </si>
  <si>
    <t xml:space="preserve">D-7075    </t>
  </si>
  <si>
    <t xml:space="preserve">D-7076    </t>
  </si>
  <si>
    <t xml:space="preserve">D-7077    </t>
  </si>
  <si>
    <t xml:space="preserve">D-7078    </t>
  </si>
  <si>
    <t xml:space="preserve">D-7079    </t>
  </si>
  <si>
    <t xml:space="preserve">D-7080    </t>
  </si>
  <si>
    <t xml:space="preserve">D-7081    </t>
  </si>
  <si>
    <t xml:space="preserve">D-7082    </t>
  </si>
  <si>
    <t xml:space="preserve">D-7083    </t>
  </si>
  <si>
    <t xml:space="preserve">D-7084    </t>
  </si>
  <si>
    <t xml:space="preserve">D-7085    </t>
  </si>
  <si>
    <t xml:space="preserve">D-7086    </t>
  </si>
  <si>
    <t xml:space="preserve">D-7087    </t>
  </si>
  <si>
    <t xml:space="preserve">D-7088    </t>
  </si>
  <si>
    <t xml:space="preserve">D-7089    </t>
  </si>
  <si>
    <t xml:space="preserve">D-7090    </t>
  </si>
  <si>
    <t xml:space="preserve">D-7091    </t>
  </si>
  <si>
    <t xml:space="preserve">D-7092    </t>
  </si>
  <si>
    <t xml:space="preserve">D-7093    </t>
  </si>
  <si>
    <t xml:space="preserve">D-7094    </t>
  </si>
  <si>
    <t xml:space="preserve">D-7095    </t>
  </si>
  <si>
    <t xml:space="preserve">D-7096    </t>
  </si>
  <si>
    <t xml:space="preserve">D-7097    </t>
  </si>
  <si>
    <t xml:space="preserve">D-7098    </t>
  </si>
  <si>
    <t>08/04/2017 10/04/2017</t>
  </si>
  <si>
    <t xml:space="preserve">D-7099    </t>
  </si>
  <si>
    <t xml:space="preserve">D-7100    </t>
  </si>
  <si>
    <t xml:space="preserve">D-7101    </t>
  </si>
  <si>
    <t xml:space="preserve">D-7102    </t>
  </si>
  <si>
    <t xml:space="preserve">D-7103    </t>
  </si>
  <si>
    <t xml:space="preserve">D-7104    </t>
  </si>
  <si>
    <t xml:space="preserve">D-7105    </t>
  </si>
  <si>
    <t xml:space="preserve">D-7106    </t>
  </si>
  <si>
    <t xml:space="preserve">D-7107    </t>
  </si>
  <si>
    <t xml:space="preserve">D-7108    </t>
  </si>
  <si>
    <t xml:space="preserve">D-7109    </t>
  </si>
  <si>
    <t xml:space="preserve">D-7110    </t>
  </si>
  <si>
    <t xml:space="preserve">D-7111    </t>
  </si>
  <si>
    <t xml:space="preserve">D-7112    </t>
  </si>
  <si>
    <t xml:space="preserve">D-7113    </t>
  </si>
  <si>
    <t xml:space="preserve">D-7114    </t>
  </si>
  <si>
    <t xml:space="preserve">D-7115    </t>
  </si>
  <si>
    <t xml:space="preserve">D-7116    </t>
  </si>
  <si>
    <t xml:space="preserve">D-7117    </t>
  </si>
  <si>
    <t xml:space="preserve">D-7118    </t>
  </si>
  <si>
    <t xml:space="preserve">D-7119    </t>
  </si>
  <si>
    <t xml:space="preserve">D-7120    </t>
  </si>
  <si>
    <t xml:space="preserve">D-7121    </t>
  </si>
  <si>
    <t xml:space="preserve">D-7122    </t>
  </si>
  <si>
    <t xml:space="preserve">D-7123    </t>
  </si>
  <si>
    <t xml:space="preserve">D-7124    </t>
  </si>
  <si>
    <t xml:space="preserve">D-7125    </t>
  </si>
  <si>
    <t xml:space="preserve">D-7126    </t>
  </si>
  <si>
    <t xml:space="preserve">D-7127    </t>
  </si>
  <si>
    <t xml:space="preserve">D-7128    </t>
  </si>
  <si>
    <t xml:space="preserve">D-7129    </t>
  </si>
  <si>
    <t xml:space="preserve">D-7130    </t>
  </si>
  <si>
    <t xml:space="preserve">D-7131    </t>
  </si>
  <si>
    <t>06/04/2017 08/04/2017</t>
  </si>
  <si>
    <t xml:space="preserve">D-7132    </t>
  </si>
  <si>
    <t xml:space="preserve">D-7133    </t>
  </si>
  <si>
    <t xml:space="preserve">D-7134    </t>
  </si>
  <si>
    <t xml:space="preserve">D-7135    </t>
  </si>
  <si>
    <t xml:space="preserve">D-7136    </t>
  </si>
  <si>
    <t xml:space="preserve">D-7137    </t>
  </si>
  <si>
    <t xml:space="preserve">D-7138    </t>
  </si>
  <si>
    <t xml:space="preserve">D-7139    </t>
  </si>
  <si>
    <t xml:space="preserve">D-7140    </t>
  </si>
  <si>
    <t xml:space="preserve">D-7141    </t>
  </si>
  <si>
    <t xml:space="preserve">D-7142    </t>
  </si>
  <si>
    <t xml:space="preserve">D-7143    </t>
  </si>
  <si>
    <t xml:space="preserve">D-7144    </t>
  </si>
  <si>
    <t xml:space="preserve">D-7145    </t>
  </si>
  <si>
    <t xml:space="preserve">D-7146    </t>
  </si>
  <si>
    <t xml:space="preserve">D-7147    </t>
  </si>
  <si>
    <t xml:space="preserve">D-7148    </t>
  </si>
  <si>
    <t xml:space="preserve">D-7149    </t>
  </si>
  <si>
    <t xml:space="preserve">D-7150    </t>
  </si>
  <si>
    <t xml:space="preserve">D-7151    </t>
  </si>
  <si>
    <t xml:space="preserve">D-7152    </t>
  </si>
  <si>
    <t xml:space="preserve">D-7153    </t>
  </si>
  <si>
    <t xml:space="preserve">D-7154    </t>
  </si>
  <si>
    <t>22-abr-17--29-Abr-17</t>
  </si>
  <si>
    <t xml:space="preserve">D-7155    </t>
  </si>
  <si>
    <t xml:space="preserve">D-7156    </t>
  </si>
  <si>
    <t xml:space="preserve">D-7157    </t>
  </si>
  <si>
    <t xml:space="preserve">D-7158    </t>
  </si>
  <si>
    <t xml:space="preserve">D-7159    </t>
  </si>
  <si>
    <t xml:space="preserve">D-7160    </t>
  </si>
  <si>
    <t xml:space="preserve">D-7161    </t>
  </si>
  <si>
    <t xml:space="preserve">D-7162    </t>
  </si>
  <si>
    <t xml:space="preserve">D-7163    </t>
  </si>
  <si>
    <t xml:space="preserve">D-7164    </t>
  </si>
  <si>
    <t xml:space="preserve">D-7165    </t>
  </si>
  <si>
    <t xml:space="preserve">D-7166    </t>
  </si>
  <si>
    <t xml:space="preserve">D-7167    </t>
  </si>
  <si>
    <t xml:space="preserve">D-7168    </t>
  </si>
  <si>
    <t xml:space="preserve">D-7169    </t>
  </si>
  <si>
    <t xml:space="preserve">D-7170    </t>
  </si>
  <si>
    <t xml:space="preserve">D-7171    </t>
  </si>
  <si>
    <t xml:space="preserve">D-7172    </t>
  </si>
  <si>
    <t xml:space="preserve">D-7173    </t>
  </si>
  <si>
    <t xml:space="preserve">D-7174    </t>
  </si>
  <si>
    <t xml:space="preserve">D-7175    </t>
  </si>
  <si>
    <t xml:space="preserve">D-7176    </t>
  </si>
  <si>
    <t xml:space="preserve">D-7177    </t>
  </si>
  <si>
    <t xml:space="preserve">D-7178    </t>
  </si>
  <si>
    <t xml:space="preserve">D-7179    </t>
  </si>
  <si>
    <t xml:space="preserve">D-7180    </t>
  </si>
  <si>
    <t xml:space="preserve">D-7181    </t>
  </si>
  <si>
    <t xml:space="preserve">D-7182    </t>
  </si>
  <si>
    <t xml:space="preserve">D-7183    </t>
  </si>
  <si>
    <t xml:space="preserve">D-7184    </t>
  </si>
  <si>
    <t xml:space="preserve">D-7185    </t>
  </si>
  <si>
    <t xml:space="preserve">D-7186    </t>
  </si>
  <si>
    <t xml:space="preserve">D-7187    </t>
  </si>
  <si>
    <t xml:space="preserve">D-7188    </t>
  </si>
  <si>
    <t xml:space="preserve">D-7189    </t>
  </si>
  <si>
    <t xml:space="preserve">D-7190    </t>
  </si>
  <si>
    <t xml:space="preserve">D-7191    </t>
  </si>
  <si>
    <t>11/04/2017 12/04/2017</t>
  </si>
  <si>
    <t xml:space="preserve">D-7192    </t>
  </si>
  <si>
    <t xml:space="preserve">D-7193    </t>
  </si>
  <si>
    <t xml:space="preserve">D-7194    </t>
  </si>
  <si>
    <t xml:space="preserve">D-7195    </t>
  </si>
  <si>
    <t xml:space="preserve">D-7196    </t>
  </si>
  <si>
    <t xml:space="preserve">D-7197    </t>
  </si>
  <si>
    <t xml:space="preserve">D-7198    </t>
  </si>
  <si>
    <t xml:space="preserve">D-7199    </t>
  </si>
  <si>
    <t xml:space="preserve">D-7200    </t>
  </si>
  <si>
    <t xml:space="preserve">D-7201    </t>
  </si>
  <si>
    <t xml:space="preserve">D-7202    </t>
  </si>
  <si>
    <t xml:space="preserve">D-7203    </t>
  </si>
  <si>
    <t xml:space="preserve">D-7204    </t>
  </si>
  <si>
    <t xml:space="preserve">D-7205    </t>
  </si>
  <si>
    <t xml:space="preserve">D-7206    </t>
  </si>
  <si>
    <t xml:space="preserve">D-7207    </t>
  </si>
  <si>
    <t xml:space="preserve">D-7208    </t>
  </si>
  <si>
    <t xml:space="preserve">D-7209    </t>
  </si>
  <si>
    <t xml:space="preserve">D-7210    </t>
  </si>
  <si>
    <t xml:space="preserve">D-7211    </t>
  </si>
  <si>
    <t xml:space="preserve">D-7212    </t>
  </si>
  <si>
    <t xml:space="preserve">D-7213    </t>
  </si>
  <si>
    <t xml:space="preserve">D-7214    </t>
  </si>
  <si>
    <t xml:space="preserve">D-7215    </t>
  </si>
  <si>
    <t xml:space="preserve">D-7216    </t>
  </si>
  <si>
    <t xml:space="preserve">D-7217    </t>
  </si>
  <si>
    <t xml:space="preserve">D-7218    </t>
  </si>
  <si>
    <t xml:space="preserve">D-7219    </t>
  </si>
  <si>
    <t xml:space="preserve">D-7220    </t>
  </si>
  <si>
    <t xml:space="preserve">D-7221    </t>
  </si>
  <si>
    <t xml:space="preserve">D-7222    </t>
  </si>
  <si>
    <t xml:space="preserve">D-7223    </t>
  </si>
  <si>
    <t xml:space="preserve">D-7224    </t>
  </si>
  <si>
    <t xml:space="preserve">D-7225    </t>
  </si>
  <si>
    <t xml:space="preserve">D-7226    </t>
  </si>
  <si>
    <t xml:space="preserve">D-7227    </t>
  </si>
  <si>
    <t xml:space="preserve">D-7228    </t>
  </si>
  <si>
    <t xml:space="preserve">D-7229    </t>
  </si>
  <si>
    <t xml:space="preserve">D-7230    </t>
  </si>
  <si>
    <t xml:space="preserve">D-7231    </t>
  </si>
  <si>
    <t xml:space="preserve">D-7232    </t>
  </si>
  <si>
    <t xml:space="preserve">D-7233    </t>
  </si>
  <si>
    <t xml:space="preserve">D-7234    </t>
  </si>
  <si>
    <t xml:space="preserve">D-7235    </t>
  </si>
  <si>
    <t xml:space="preserve">D-7236    </t>
  </si>
  <si>
    <t xml:space="preserve">D-7237    </t>
  </si>
  <si>
    <t xml:space="preserve">D-7238    </t>
  </si>
  <si>
    <t xml:space="preserve">D-7239    </t>
  </si>
  <si>
    <t xml:space="preserve">D-7240    </t>
  </si>
  <si>
    <t xml:space="preserve">D-7241    </t>
  </si>
  <si>
    <t xml:space="preserve">D-7242    </t>
  </si>
  <si>
    <t xml:space="preserve">D-7243    </t>
  </si>
  <si>
    <t xml:space="preserve">D-7244    </t>
  </si>
  <si>
    <t xml:space="preserve">D-7245    </t>
  </si>
  <si>
    <t xml:space="preserve">D-7246    </t>
  </si>
  <si>
    <t xml:space="preserve">D-7247    </t>
  </si>
  <si>
    <t xml:space="preserve">D-7248    </t>
  </si>
  <si>
    <t xml:space="preserve">D-7249    </t>
  </si>
  <si>
    <t xml:space="preserve">D-7250    </t>
  </si>
  <si>
    <t xml:space="preserve">D-7251    </t>
  </si>
  <si>
    <t xml:space="preserve">D-7252    </t>
  </si>
  <si>
    <t xml:space="preserve">D-7253    </t>
  </si>
  <si>
    <t xml:space="preserve">D-7254    </t>
  </si>
  <si>
    <t xml:space="preserve">D-7255    </t>
  </si>
  <si>
    <t xml:space="preserve">D-7256    </t>
  </si>
  <si>
    <t xml:space="preserve">D-7257    </t>
  </si>
  <si>
    <t xml:space="preserve">D-7258    </t>
  </si>
  <si>
    <t xml:space="preserve">D-7259    </t>
  </si>
  <si>
    <t xml:space="preserve">D-7260    </t>
  </si>
  <si>
    <t xml:space="preserve">D-7261    </t>
  </si>
  <si>
    <t xml:space="preserve">D-7262    </t>
  </si>
  <si>
    <t xml:space="preserve">D-7263    </t>
  </si>
  <si>
    <t xml:space="preserve">D-7264    </t>
  </si>
  <si>
    <t xml:space="preserve">D-7265    </t>
  </si>
  <si>
    <t xml:space="preserve">D-7266    </t>
  </si>
  <si>
    <t xml:space="preserve">D-7267    </t>
  </si>
  <si>
    <t xml:space="preserve">D-7268    </t>
  </si>
  <si>
    <t xml:space="preserve">D-7269    </t>
  </si>
  <si>
    <t xml:space="preserve">D-7270    </t>
  </si>
  <si>
    <t xml:space="preserve">D-7271    </t>
  </si>
  <si>
    <t xml:space="preserve">D-7272    </t>
  </si>
  <si>
    <t xml:space="preserve">D-7273    </t>
  </si>
  <si>
    <t xml:space="preserve">D-7274    </t>
  </si>
  <si>
    <t xml:space="preserve">D-7275    </t>
  </si>
  <si>
    <t xml:space="preserve">D-7276    </t>
  </si>
  <si>
    <t xml:space="preserve">D-7277    </t>
  </si>
  <si>
    <t xml:space="preserve">D-7278    </t>
  </si>
  <si>
    <t xml:space="preserve">D-7279    </t>
  </si>
  <si>
    <t xml:space="preserve">D-7280    </t>
  </si>
  <si>
    <t xml:space="preserve">D-7281    </t>
  </si>
  <si>
    <t xml:space="preserve">D-7282    </t>
  </si>
  <si>
    <t xml:space="preserve">D-7283    </t>
  </si>
  <si>
    <t xml:space="preserve">D-7284    </t>
  </si>
  <si>
    <t xml:space="preserve">D-7285    </t>
  </si>
  <si>
    <t xml:space="preserve">D-7286    </t>
  </si>
  <si>
    <t xml:space="preserve">D-7287    </t>
  </si>
  <si>
    <t xml:space="preserve">D-7288    </t>
  </si>
  <si>
    <t xml:space="preserve">D-7289    </t>
  </si>
  <si>
    <t xml:space="preserve">D-7290    </t>
  </si>
  <si>
    <t xml:space="preserve">D-7291    </t>
  </si>
  <si>
    <t xml:space="preserve">D-7292    </t>
  </si>
  <si>
    <t xml:space="preserve">D-7293    </t>
  </si>
  <si>
    <t xml:space="preserve">D-7294    </t>
  </si>
  <si>
    <t xml:space="preserve">D-7295    </t>
  </si>
  <si>
    <t xml:space="preserve">D-7296    </t>
  </si>
  <si>
    <t xml:space="preserve">D-7297    </t>
  </si>
  <si>
    <t xml:space="preserve">D-7298    </t>
  </si>
  <si>
    <t xml:space="preserve">D-7299    </t>
  </si>
  <si>
    <t xml:space="preserve">D-7300    </t>
  </si>
  <si>
    <t xml:space="preserve">D-7301    </t>
  </si>
  <si>
    <t xml:space="preserve">D-7302    </t>
  </si>
  <si>
    <t xml:space="preserve">D-7303    </t>
  </si>
  <si>
    <t xml:space="preserve">D-7304    </t>
  </si>
  <si>
    <t xml:space="preserve">D-7305    </t>
  </si>
  <si>
    <t xml:space="preserve">D-7306    </t>
  </si>
  <si>
    <t xml:space="preserve">D-7307    </t>
  </si>
  <si>
    <t xml:space="preserve">D-7308    </t>
  </si>
  <si>
    <t xml:space="preserve">D-7309    </t>
  </si>
  <si>
    <t xml:space="preserve">D-7310    </t>
  </si>
  <si>
    <t xml:space="preserve">D-7311    </t>
  </si>
  <si>
    <t xml:space="preserve">D-7312    </t>
  </si>
  <si>
    <t xml:space="preserve">D-7313    </t>
  </si>
  <si>
    <t xml:space="preserve">D-7314    </t>
  </si>
  <si>
    <t xml:space="preserve">D-7315    </t>
  </si>
  <si>
    <t xml:space="preserve">D-7316    </t>
  </si>
  <si>
    <t xml:space="preserve">D-7317    </t>
  </si>
  <si>
    <t xml:space="preserve">D-7318    </t>
  </si>
  <si>
    <t xml:space="preserve">D-7319    </t>
  </si>
  <si>
    <t xml:space="preserve">D-7320    </t>
  </si>
  <si>
    <t xml:space="preserve">D-7321    </t>
  </si>
  <si>
    <t xml:space="preserve">D-7322    </t>
  </si>
  <si>
    <t xml:space="preserve">D-7323    </t>
  </si>
  <si>
    <t xml:space="preserve">D-7324    </t>
  </si>
  <si>
    <t xml:space="preserve">D-7325    </t>
  </si>
  <si>
    <t xml:space="preserve">D-7326    </t>
  </si>
  <si>
    <t xml:space="preserve">D-7327    </t>
  </si>
  <si>
    <t xml:space="preserve">D-7328    </t>
  </si>
  <si>
    <t xml:space="preserve">D-7329    </t>
  </si>
  <si>
    <t xml:space="preserve">D-7330    </t>
  </si>
  <si>
    <t xml:space="preserve">D-7331    </t>
  </si>
  <si>
    <t xml:space="preserve">D-7332    </t>
  </si>
  <si>
    <t xml:space="preserve">D-7333    </t>
  </si>
  <si>
    <t xml:space="preserve">D-7334    </t>
  </si>
  <si>
    <t xml:space="preserve">D-7335    </t>
  </si>
  <si>
    <t xml:space="preserve">D-7336    </t>
  </si>
  <si>
    <t xml:space="preserve">D-7337    </t>
  </si>
  <si>
    <t xml:space="preserve">D-7338    </t>
  </si>
  <si>
    <t xml:space="preserve">D-7339    </t>
  </si>
  <si>
    <t xml:space="preserve">D-7340    </t>
  </si>
  <si>
    <t xml:space="preserve">D-7341    </t>
  </si>
  <si>
    <t xml:space="preserve">D-7342    </t>
  </si>
  <si>
    <t xml:space="preserve">D-7343    </t>
  </si>
  <si>
    <t xml:space="preserve">D-7344    </t>
  </si>
  <si>
    <t xml:space="preserve">D-7345    </t>
  </si>
  <si>
    <t xml:space="preserve">D-7346    </t>
  </si>
  <si>
    <t xml:space="preserve">D-7347    </t>
  </si>
  <si>
    <t xml:space="preserve">D-7348    </t>
  </si>
  <si>
    <t xml:space="preserve">D-7349    </t>
  </si>
  <si>
    <t xml:space="preserve">D-7350    </t>
  </si>
  <si>
    <t xml:space="preserve">D-7351    </t>
  </si>
  <si>
    <t xml:space="preserve">D-7352    </t>
  </si>
  <si>
    <t xml:space="preserve">D-7353    </t>
  </si>
  <si>
    <t xml:space="preserve">D-7354    </t>
  </si>
  <si>
    <t xml:space="preserve">D-7355    </t>
  </si>
  <si>
    <t xml:space="preserve">D-7356    </t>
  </si>
  <si>
    <t xml:space="preserve">D-7357    </t>
  </si>
  <si>
    <t xml:space="preserve">D-7358    </t>
  </si>
  <si>
    <t xml:space="preserve">D-7359    </t>
  </si>
  <si>
    <t xml:space="preserve">D-7360    </t>
  </si>
  <si>
    <t xml:space="preserve">D-7361    </t>
  </si>
  <si>
    <t xml:space="preserve">D-7362    </t>
  </si>
  <si>
    <t xml:space="preserve">D-7363    </t>
  </si>
  <si>
    <t xml:space="preserve">D-7364    </t>
  </si>
  <si>
    <t xml:space="preserve">D-7365    </t>
  </si>
  <si>
    <t xml:space="preserve">D-7366    </t>
  </si>
  <si>
    <t xml:space="preserve">D-7367    </t>
  </si>
  <si>
    <t xml:space="preserve">D-7368    </t>
  </si>
  <si>
    <t xml:space="preserve">D-7369    </t>
  </si>
  <si>
    <t xml:space="preserve">D-7370    </t>
  </si>
  <si>
    <t xml:space="preserve">D-7371    </t>
  </si>
  <si>
    <t xml:space="preserve">D-7372    </t>
  </si>
  <si>
    <t xml:space="preserve">D-7373    </t>
  </si>
  <si>
    <t xml:space="preserve">D-7374    </t>
  </si>
  <si>
    <t xml:space="preserve">D-7375    </t>
  </si>
  <si>
    <t xml:space="preserve">D-7376    </t>
  </si>
  <si>
    <t xml:space="preserve">D-7377    </t>
  </si>
  <si>
    <t xml:space="preserve">D-7378    </t>
  </si>
  <si>
    <t xml:space="preserve">D-7379    </t>
  </si>
  <si>
    <t>08/04/2017 09/04/2017 10/04/2017</t>
  </si>
  <si>
    <t xml:space="preserve">D-7380    </t>
  </si>
  <si>
    <t xml:space="preserve">D-7381    </t>
  </si>
  <si>
    <t xml:space="preserve">D-7382    </t>
  </si>
  <si>
    <t xml:space="preserve">D-7383    </t>
  </si>
  <si>
    <t xml:space="preserve">D-7384    </t>
  </si>
  <si>
    <t xml:space="preserve">D-7385    </t>
  </si>
  <si>
    <t xml:space="preserve">D-7386    </t>
  </si>
  <si>
    <t xml:space="preserve">D-7387    </t>
  </si>
  <si>
    <t xml:space="preserve">D-7388    </t>
  </si>
  <si>
    <t xml:space="preserve">D-7389    </t>
  </si>
  <si>
    <t xml:space="preserve">D-7390    </t>
  </si>
  <si>
    <t xml:space="preserve">D-7391    </t>
  </si>
  <si>
    <t xml:space="preserve">D-7392    </t>
  </si>
  <si>
    <t xml:space="preserve">D-7393    </t>
  </si>
  <si>
    <t xml:space="preserve">D-7394    </t>
  </si>
  <si>
    <t xml:space="preserve">D-7395    </t>
  </si>
  <si>
    <t xml:space="preserve">D-7396    </t>
  </si>
  <si>
    <t xml:space="preserve">D-7397    </t>
  </si>
  <si>
    <t xml:space="preserve">D-7398    </t>
  </si>
  <si>
    <t xml:space="preserve">D-7399    </t>
  </si>
  <si>
    <t xml:space="preserve">D-7400    </t>
  </si>
  <si>
    <t xml:space="preserve">D-7401    </t>
  </si>
  <si>
    <t xml:space="preserve">D-7402    </t>
  </si>
  <si>
    <t xml:space="preserve">D-7403    </t>
  </si>
  <si>
    <t xml:space="preserve">D-7404    </t>
  </si>
  <si>
    <t xml:space="preserve">D-7405    </t>
  </si>
  <si>
    <t xml:space="preserve">D-7406    </t>
  </si>
  <si>
    <t xml:space="preserve">D-7407    </t>
  </si>
  <si>
    <t xml:space="preserve">D-7408    </t>
  </si>
  <si>
    <t xml:space="preserve">D-7409    </t>
  </si>
  <si>
    <t xml:space="preserve">D-7410    </t>
  </si>
  <si>
    <t xml:space="preserve">D-7411    </t>
  </si>
  <si>
    <t xml:space="preserve">D-7412    </t>
  </si>
  <si>
    <t xml:space="preserve">D-7413    </t>
  </si>
  <si>
    <t xml:space="preserve">D-7414    </t>
  </si>
  <si>
    <t xml:space="preserve">D-7415    </t>
  </si>
  <si>
    <t xml:space="preserve">D-7416    </t>
  </si>
  <si>
    <t xml:space="preserve">D-7417    </t>
  </si>
  <si>
    <t xml:space="preserve">D-7418    </t>
  </si>
  <si>
    <t xml:space="preserve">D-7419    </t>
  </si>
  <si>
    <t xml:space="preserve">D-7420    </t>
  </si>
  <si>
    <t xml:space="preserve">D-7421    </t>
  </si>
  <si>
    <t xml:space="preserve">D-7422    </t>
  </si>
  <si>
    <t xml:space="preserve">D-7423    </t>
  </si>
  <si>
    <t xml:space="preserve">D-7424    </t>
  </si>
  <si>
    <t xml:space="preserve">D-7425    </t>
  </si>
  <si>
    <t xml:space="preserve">D-7426    </t>
  </si>
  <si>
    <t xml:space="preserve">D-7427    </t>
  </si>
  <si>
    <t xml:space="preserve">D-7428    </t>
  </si>
  <si>
    <t xml:space="preserve">D-7429    </t>
  </si>
  <si>
    <t xml:space="preserve">D-7430    </t>
  </si>
  <si>
    <t xml:space="preserve">D-7431    </t>
  </si>
  <si>
    <t xml:space="preserve">D-7432    </t>
  </si>
  <si>
    <t xml:space="preserve">D-7433    </t>
  </si>
  <si>
    <t xml:space="preserve">D-7434    </t>
  </si>
  <si>
    <t xml:space="preserve">D-7435    </t>
  </si>
  <si>
    <t xml:space="preserve">D-7436    </t>
  </si>
  <si>
    <t>10/04/2017 12/04/2017</t>
  </si>
  <si>
    <t xml:space="preserve">D-7437    </t>
  </si>
  <si>
    <t xml:space="preserve">D-7438    </t>
  </si>
  <si>
    <t xml:space="preserve">D-7439    </t>
  </si>
  <si>
    <t xml:space="preserve">D-7440    </t>
  </si>
  <si>
    <t xml:space="preserve">D-7441    </t>
  </si>
  <si>
    <t xml:space="preserve">D-7442    </t>
  </si>
  <si>
    <t xml:space="preserve">D-7443    </t>
  </si>
  <si>
    <t xml:space="preserve">D-7444    </t>
  </si>
  <si>
    <t xml:space="preserve">D-7445    </t>
  </si>
  <si>
    <t xml:space="preserve">(498)JOSE CONSTANCIO AKE                                                   </t>
  </si>
  <si>
    <t xml:space="preserve">D-7446    </t>
  </si>
  <si>
    <t xml:space="preserve">D-7447    </t>
  </si>
  <si>
    <t xml:space="preserve">D-7448    </t>
  </si>
  <si>
    <t xml:space="preserve">D-7449    </t>
  </si>
  <si>
    <t xml:space="preserve">D-7450    </t>
  </si>
  <si>
    <t xml:space="preserve">D-7451    </t>
  </si>
  <si>
    <t xml:space="preserve">D-7452    </t>
  </si>
  <si>
    <t xml:space="preserve">D-7453    </t>
  </si>
  <si>
    <t xml:space="preserve">D-7454    </t>
  </si>
  <si>
    <t xml:space="preserve">D-7455    </t>
  </si>
  <si>
    <t xml:space="preserve">D-7456    </t>
  </si>
  <si>
    <t xml:space="preserve">D-7457    </t>
  </si>
  <si>
    <t xml:space="preserve">D-7458    </t>
  </si>
  <si>
    <t xml:space="preserve">D-7459    </t>
  </si>
  <si>
    <t xml:space="preserve">D-7460    </t>
  </si>
  <si>
    <t xml:space="preserve">D-7461    </t>
  </si>
  <si>
    <t xml:space="preserve">D-7462    </t>
  </si>
  <si>
    <t xml:space="preserve">D-7463    </t>
  </si>
  <si>
    <t xml:space="preserve">D-7464    </t>
  </si>
  <si>
    <t xml:space="preserve">D-7465    </t>
  </si>
  <si>
    <t xml:space="preserve">D-7466    </t>
  </si>
  <si>
    <t xml:space="preserve">D-7467    </t>
  </si>
  <si>
    <t xml:space="preserve">D-7468    </t>
  </si>
  <si>
    <t xml:space="preserve">D-7469    </t>
  </si>
  <si>
    <t xml:space="preserve">D-7470    </t>
  </si>
  <si>
    <t xml:space="preserve">D-7471    </t>
  </si>
  <si>
    <t xml:space="preserve">D-7472    </t>
  </si>
  <si>
    <t xml:space="preserve">D-7473    </t>
  </si>
  <si>
    <t xml:space="preserve">D-7474    </t>
  </si>
  <si>
    <t xml:space="preserve">D-7475    </t>
  </si>
  <si>
    <t xml:space="preserve">D-7476    </t>
  </si>
  <si>
    <t xml:space="preserve">D-7477    </t>
  </si>
  <si>
    <t xml:space="preserve">D-7478    </t>
  </si>
  <si>
    <t xml:space="preserve">D-7479    </t>
  </si>
  <si>
    <t xml:space="preserve">D-7480    </t>
  </si>
  <si>
    <t xml:space="preserve">D-7481    </t>
  </si>
  <si>
    <t xml:space="preserve">D-7482    </t>
  </si>
  <si>
    <t xml:space="preserve">D-7483    </t>
  </si>
  <si>
    <t xml:space="preserve">D-7484    </t>
  </si>
  <si>
    <t xml:space="preserve">D-7485    </t>
  </si>
  <si>
    <t xml:space="preserve">D-7486    </t>
  </si>
  <si>
    <t xml:space="preserve">D-7487    </t>
  </si>
  <si>
    <t xml:space="preserve">D-7488    </t>
  </si>
  <si>
    <t xml:space="preserve">D-7489    </t>
  </si>
  <si>
    <t xml:space="preserve">D-7490    </t>
  </si>
  <si>
    <t xml:space="preserve">D-7491    </t>
  </si>
  <si>
    <t xml:space="preserve">D-7492    </t>
  </si>
  <si>
    <t xml:space="preserve">D-7493    </t>
  </si>
  <si>
    <t xml:space="preserve">D-7494    </t>
  </si>
  <si>
    <t xml:space="preserve">D-7495    </t>
  </si>
  <si>
    <t xml:space="preserve">D-7496    </t>
  </si>
  <si>
    <t xml:space="preserve">D-7497    </t>
  </si>
  <si>
    <t xml:space="preserve">D-7498    </t>
  </si>
  <si>
    <t xml:space="preserve">D-7499    </t>
  </si>
  <si>
    <t>09/04/2017 15/04/2017</t>
  </si>
  <si>
    <t xml:space="preserve">D-7500    </t>
  </si>
  <si>
    <t xml:space="preserve">D-7501    </t>
  </si>
  <si>
    <t xml:space="preserve">D-7502    </t>
  </si>
  <si>
    <t xml:space="preserve">D-7503    </t>
  </si>
  <si>
    <t xml:space="preserve">D-7504    </t>
  </si>
  <si>
    <t xml:space="preserve">D-7505    </t>
  </si>
  <si>
    <t xml:space="preserve">D-7506    </t>
  </si>
  <si>
    <t xml:space="preserve">D-7507    </t>
  </si>
  <si>
    <t xml:space="preserve">D-7508    </t>
  </si>
  <si>
    <t xml:space="preserve">D-7509    </t>
  </si>
  <si>
    <t xml:space="preserve">D-7510    </t>
  </si>
  <si>
    <t xml:space="preserve">D-7511    </t>
  </si>
  <si>
    <t xml:space="preserve">D-7512    </t>
  </si>
  <si>
    <t xml:space="preserve">D-7513    </t>
  </si>
  <si>
    <t xml:space="preserve">D-7514    </t>
  </si>
  <si>
    <t xml:space="preserve">D-7515    </t>
  </si>
  <si>
    <t xml:space="preserve">D-7516    </t>
  </si>
  <si>
    <t xml:space="preserve">D-7517    </t>
  </si>
  <si>
    <t xml:space="preserve">D-7518    </t>
  </si>
  <si>
    <t xml:space="preserve">D-7519    </t>
  </si>
  <si>
    <t xml:space="preserve">D-7520    </t>
  </si>
  <si>
    <t xml:space="preserve">D-7521    </t>
  </si>
  <si>
    <t xml:space="preserve">D-7522    </t>
  </si>
  <si>
    <t xml:space="preserve">D-7523    </t>
  </si>
  <si>
    <t xml:space="preserve">D-7524    </t>
  </si>
  <si>
    <t xml:space="preserve">D-7525    </t>
  </si>
  <si>
    <t xml:space="preserve">D-7526    </t>
  </si>
  <si>
    <t xml:space="preserve">D-7527    </t>
  </si>
  <si>
    <t xml:space="preserve">D-7528    </t>
  </si>
  <si>
    <t xml:space="preserve">D-7529    </t>
  </si>
  <si>
    <t xml:space="preserve">D-7530    </t>
  </si>
  <si>
    <t xml:space="preserve">D-7531    </t>
  </si>
  <si>
    <t xml:space="preserve">D-7532    </t>
  </si>
  <si>
    <t xml:space="preserve">D-7533    </t>
  </si>
  <si>
    <t xml:space="preserve">D-7534    </t>
  </si>
  <si>
    <t xml:space="preserve">D-7535    </t>
  </si>
  <si>
    <t xml:space="preserve">D-7536    </t>
  </si>
  <si>
    <t xml:space="preserve">D-7537    </t>
  </si>
  <si>
    <t xml:space="preserve">D-7538    </t>
  </si>
  <si>
    <t xml:space="preserve">D-7539    </t>
  </si>
  <si>
    <t xml:space="preserve">D-7540    </t>
  </si>
  <si>
    <t xml:space="preserve">D-7541    </t>
  </si>
  <si>
    <t xml:space="preserve">D-7542    </t>
  </si>
  <si>
    <t xml:space="preserve">D-7543    </t>
  </si>
  <si>
    <t xml:space="preserve">D-7544    </t>
  </si>
  <si>
    <t xml:space="preserve">D-7545    </t>
  </si>
  <si>
    <t xml:space="preserve">D-7546    </t>
  </si>
  <si>
    <t xml:space="preserve">D-7547    </t>
  </si>
  <si>
    <t xml:space="preserve">D-7548    </t>
  </si>
  <si>
    <t xml:space="preserve">D-7549    </t>
  </si>
  <si>
    <t xml:space="preserve">D-7550    </t>
  </si>
  <si>
    <t xml:space="preserve">D-7551    </t>
  </si>
  <si>
    <t xml:space="preserve">D-7552    </t>
  </si>
  <si>
    <t xml:space="preserve">D-7553    </t>
  </si>
  <si>
    <t xml:space="preserve">D-7554    </t>
  </si>
  <si>
    <t xml:space="preserve">D-7555    </t>
  </si>
  <si>
    <t xml:space="preserve">D-7556    </t>
  </si>
  <si>
    <t xml:space="preserve">D-7557    </t>
  </si>
  <si>
    <t xml:space="preserve">D-7558    </t>
  </si>
  <si>
    <t xml:space="preserve">D-7559    </t>
  </si>
  <si>
    <t xml:space="preserve">D-7560    </t>
  </si>
  <si>
    <t xml:space="preserve">D-7561    </t>
  </si>
  <si>
    <t xml:space="preserve">D-7562    </t>
  </si>
  <si>
    <t xml:space="preserve">D-7563    </t>
  </si>
  <si>
    <t xml:space="preserve">D-7564    </t>
  </si>
  <si>
    <t xml:space="preserve">D-7565    </t>
  </si>
  <si>
    <t xml:space="preserve">D-7566    </t>
  </si>
  <si>
    <t xml:space="preserve">D-7567    </t>
  </si>
  <si>
    <t xml:space="preserve">D-7568    </t>
  </si>
  <si>
    <t xml:space="preserve">D-7569    </t>
  </si>
  <si>
    <t xml:space="preserve">D-7570    </t>
  </si>
  <si>
    <t xml:space="preserve">D-7571    </t>
  </si>
  <si>
    <t xml:space="preserve">D-7572    </t>
  </si>
  <si>
    <t xml:space="preserve">D-7573    </t>
  </si>
  <si>
    <t xml:space="preserve">D-7574    </t>
  </si>
  <si>
    <t xml:space="preserve">D-7575    </t>
  </si>
  <si>
    <t xml:space="preserve">D-7576    </t>
  </si>
  <si>
    <t xml:space="preserve">D-7577    </t>
  </si>
  <si>
    <t xml:space="preserve">D-7578    </t>
  </si>
  <si>
    <t xml:space="preserve">D-7579    </t>
  </si>
  <si>
    <t xml:space="preserve">D-7580    </t>
  </si>
  <si>
    <t xml:space="preserve">D-7581    </t>
  </si>
  <si>
    <t xml:space="preserve">D-7582    </t>
  </si>
  <si>
    <t xml:space="preserve">D-7583    </t>
  </si>
  <si>
    <t xml:space="preserve">D-7584    </t>
  </si>
  <si>
    <t xml:space="preserve">D-7585    </t>
  </si>
  <si>
    <t xml:space="preserve">D-7586    </t>
  </si>
  <si>
    <t xml:space="preserve">D-7587    </t>
  </si>
  <si>
    <t xml:space="preserve">D-7588    </t>
  </si>
  <si>
    <t xml:space="preserve">D-7589    </t>
  </si>
  <si>
    <t xml:space="preserve">D-7590    </t>
  </si>
  <si>
    <t xml:space="preserve">D-7591    </t>
  </si>
  <si>
    <t xml:space="preserve">D-7592    </t>
  </si>
  <si>
    <t xml:space="preserve">D-7593    </t>
  </si>
  <si>
    <t xml:space="preserve">D-7594    </t>
  </si>
  <si>
    <t xml:space="preserve">D-7595    </t>
  </si>
  <si>
    <t xml:space="preserve">D-7596    </t>
  </si>
  <si>
    <t xml:space="preserve">D-7597    </t>
  </si>
  <si>
    <t xml:space="preserve">D-7598    </t>
  </si>
  <si>
    <t xml:space="preserve">D-7599    </t>
  </si>
  <si>
    <t xml:space="preserve">D-7600    </t>
  </si>
  <si>
    <t xml:space="preserve">D-7601    </t>
  </si>
  <si>
    <t xml:space="preserve">D-7602    </t>
  </si>
  <si>
    <t xml:space="preserve">D-7603    </t>
  </si>
  <si>
    <t xml:space="preserve">D-7604    </t>
  </si>
  <si>
    <t xml:space="preserve">D-7605    </t>
  </si>
  <si>
    <t>10/04/2017 17/04/2017</t>
  </si>
  <si>
    <t xml:space="preserve">D-7606    </t>
  </si>
  <si>
    <t xml:space="preserve">D-7607    </t>
  </si>
  <si>
    <t xml:space="preserve">D-7608    </t>
  </si>
  <si>
    <t xml:space="preserve">D-7609    </t>
  </si>
  <si>
    <t xml:space="preserve">D-7610    </t>
  </si>
  <si>
    <t xml:space="preserve">D-7611    </t>
  </si>
  <si>
    <t xml:space="preserve">D-7612    </t>
  </si>
  <si>
    <t xml:space="preserve">D-7613    </t>
  </si>
  <si>
    <t xml:space="preserve">D-7614    </t>
  </si>
  <si>
    <t xml:space="preserve">D-7615    </t>
  </si>
  <si>
    <t xml:space="preserve">D-7616    </t>
  </si>
  <si>
    <t xml:space="preserve">D-7617    </t>
  </si>
  <si>
    <t xml:space="preserve">D-7618    </t>
  </si>
  <si>
    <t xml:space="preserve">D-7619    </t>
  </si>
  <si>
    <t xml:space="preserve">D-7620    </t>
  </si>
  <si>
    <t xml:space="preserve">D-7621    </t>
  </si>
  <si>
    <t xml:space="preserve">D-7622    </t>
  </si>
  <si>
    <t>13/04/2017 17/04/2017</t>
  </si>
  <si>
    <t xml:space="preserve">D-7623    </t>
  </si>
  <si>
    <t xml:space="preserve">D-7624    </t>
  </si>
  <si>
    <t xml:space="preserve">D-7625    </t>
  </si>
  <si>
    <t xml:space="preserve">D-7626    </t>
  </si>
  <si>
    <t xml:space="preserve">D-7627    </t>
  </si>
  <si>
    <t xml:space="preserve">D-7628    </t>
  </si>
  <si>
    <t xml:space="preserve">D-7629    </t>
  </si>
  <si>
    <t xml:space="preserve">D-7630    </t>
  </si>
  <si>
    <t xml:space="preserve">D-7631    </t>
  </si>
  <si>
    <t xml:space="preserve">D-7632    </t>
  </si>
  <si>
    <t xml:space="preserve">D-7633    </t>
  </si>
  <si>
    <t xml:space="preserve">D-7634    </t>
  </si>
  <si>
    <t xml:space="preserve">D-7635    </t>
  </si>
  <si>
    <t xml:space="preserve">D-7636    </t>
  </si>
  <si>
    <t xml:space="preserve">D-7637    </t>
  </si>
  <si>
    <t xml:space="preserve">D-7638    </t>
  </si>
  <si>
    <t xml:space="preserve">D-7639    </t>
  </si>
  <si>
    <t xml:space="preserve">D-7640    </t>
  </si>
  <si>
    <t xml:space="preserve">D-7641    </t>
  </si>
  <si>
    <t xml:space="preserve">D-7642    </t>
  </si>
  <si>
    <t xml:space="preserve">D-7643    </t>
  </si>
  <si>
    <t xml:space="preserve">D-7644    </t>
  </si>
  <si>
    <t xml:space="preserve">D-7645    </t>
  </si>
  <si>
    <t xml:space="preserve">D-7646    </t>
  </si>
  <si>
    <t xml:space="preserve">D-7647    </t>
  </si>
  <si>
    <t xml:space="preserve">D-7648    </t>
  </si>
  <si>
    <t xml:space="preserve">D-7649    </t>
  </si>
  <si>
    <t xml:space="preserve">D-7650    </t>
  </si>
  <si>
    <t xml:space="preserve">D-7651    </t>
  </si>
  <si>
    <t xml:space="preserve">D-7652    </t>
  </si>
  <si>
    <t xml:space="preserve">D-7653    </t>
  </si>
  <si>
    <t xml:space="preserve">D-7654    </t>
  </si>
  <si>
    <t xml:space="preserve">D-7655    </t>
  </si>
  <si>
    <t>15/04/2017 17/04/2017</t>
  </si>
  <si>
    <t xml:space="preserve">D-7656    </t>
  </si>
  <si>
    <t xml:space="preserve">D-7657    </t>
  </si>
  <si>
    <t xml:space="preserve">D-7658    </t>
  </si>
  <si>
    <t xml:space="preserve">D-7659    </t>
  </si>
  <si>
    <t xml:space="preserve">D-7660    </t>
  </si>
  <si>
    <t xml:space="preserve">D-7661    </t>
  </si>
  <si>
    <t xml:space="preserve">D-7662    </t>
  </si>
  <si>
    <t xml:space="preserve">D-7663    </t>
  </si>
  <si>
    <t xml:space="preserve">D-7664    </t>
  </si>
  <si>
    <t xml:space="preserve">D-7665    </t>
  </si>
  <si>
    <t xml:space="preserve">D-7666    </t>
  </si>
  <si>
    <t xml:space="preserve">D-7667    </t>
  </si>
  <si>
    <t xml:space="preserve">D-7668    </t>
  </si>
  <si>
    <t xml:space="preserve">D-7669    </t>
  </si>
  <si>
    <t xml:space="preserve">D-7670    </t>
  </si>
  <si>
    <t xml:space="preserve">D-7671    </t>
  </si>
  <si>
    <t xml:space="preserve">D-7672    </t>
  </si>
  <si>
    <t xml:space="preserve">D-7673    </t>
  </si>
  <si>
    <t xml:space="preserve">D-7674    </t>
  </si>
  <si>
    <t xml:space="preserve">D-7675    </t>
  </si>
  <si>
    <t xml:space="preserve">D-7676    </t>
  </si>
  <si>
    <t xml:space="preserve">D-7677    </t>
  </si>
  <si>
    <t xml:space="preserve">D-7678    </t>
  </si>
  <si>
    <t xml:space="preserve">D-7679    </t>
  </si>
  <si>
    <t xml:space="preserve">D-7680    </t>
  </si>
  <si>
    <t xml:space="preserve">D-7681    </t>
  </si>
  <si>
    <t xml:space="preserve">D-7682    </t>
  </si>
  <si>
    <t xml:space="preserve">D-7683    </t>
  </si>
  <si>
    <t xml:space="preserve">D-7684    </t>
  </si>
  <si>
    <t xml:space="preserve">D-7685    </t>
  </si>
  <si>
    <t xml:space="preserve">D-7686    </t>
  </si>
  <si>
    <t xml:space="preserve">D-7687    </t>
  </si>
  <si>
    <t xml:space="preserve">D-7688    </t>
  </si>
  <si>
    <t xml:space="preserve">D-7689    </t>
  </si>
  <si>
    <t xml:space="preserve">D-7690    </t>
  </si>
  <si>
    <t xml:space="preserve">D-7691    </t>
  </si>
  <si>
    <t xml:space="preserve">D-7692    </t>
  </si>
  <si>
    <t xml:space="preserve">D-7693    </t>
  </si>
  <si>
    <t xml:space="preserve">D-7694    </t>
  </si>
  <si>
    <t xml:space="preserve">D-7695    </t>
  </si>
  <si>
    <t xml:space="preserve">D-7696    </t>
  </si>
  <si>
    <t xml:space="preserve">D-7697    </t>
  </si>
  <si>
    <t xml:space="preserve">D-7698    </t>
  </si>
  <si>
    <t xml:space="preserve">D-7699    </t>
  </si>
  <si>
    <t xml:space="preserve">D-7700    </t>
  </si>
  <si>
    <t xml:space="preserve">D-7701    </t>
  </si>
  <si>
    <t xml:space="preserve">D-7702    </t>
  </si>
  <si>
    <t xml:space="preserve">D-7703    </t>
  </si>
  <si>
    <t xml:space="preserve">D-7704    </t>
  </si>
  <si>
    <t xml:space="preserve">D-7705    </t>
  </si>
  <si>
    <t xml:space="preserve">D-7706    </t>
  </si>
  <si>
    <t xml:space="preserve">D-7707    </t>
  </si>
  <si>
    <t xml:space="preserve">D-7708    </t>
  </si>
  <si>
    <t xml:space="preserve">D-7709    </t>
  </si>
  <si>
    <t xml:space="preserve">D-7710    </t>
  </si>
  <si>
    <t xml:space="preserve">D-7711    </t>
  </si>
  <si>
    <t xml:space="preserve">D-7712    </t>
  </si>
  <si>
    <t xml:space="preserve">D-7713    </t>
  </si>
  <si>
    <t xml:space="preserve">D-7714    </t>
  </si>
  <si>
    <t xml:space="preserve">D-7715    </t>
  </si>
  <si>
    <t xml:space="preserve">D-7716    </t>
  </si>
  <si>
    <t xml:space="preserve">D-7717    </t>
  </si>
  <si>
    <t xml:space="preserve">D-7718    </t>
  </si>
  <si>
    <t xml:space="preserve">D-7719    </t>
  </si>
  <si>
    <t xml:space="preserve">D-7720    </t>
  </si>
  <si>
    <t xml:space="preserve">D-7721    </t>
  </si>
  <si>
    <t xml:space="preserve">D-7722    </t>
  </si>
  <si>
    <t xml:space="preserve">D-7723    </t>
  </si>
  <si>
    <t xml:space="preserve">D-7724    </t>
  </si>
  <si>
    <t xml:space="preserve">D-7725    </t>
  </si>
  <si>
    <t xml:space="preserve">D-7726    </t>
  </si>
  <si>
    <t xml:space="preserve">D-7727    </t>
  </si>
  <si>
    <t xml:space="preserve">D-7728    </t>
  </si>
  <si>
    <t xml:space="preserve">D-7729    </t>
  </si>
  <si>
    <t xml:space="preserve">D-7730    </t>
  </si>
  <si>
    <t xml:space="preserve">D-7731    </t>
  </si>
  <si>
    <t xml:space="preserve">D-7732    </t>
  </si>
  <si>
    <t xml:space="preserve">D-7733    </t>
  </si>
  <si>
    <t xml:space="preserve">D-7734    </t>
  </si>
  <si>
    <t xml:space="preserve">D-7735    </t>
  </si>
  <si>
    <t xml:space="preserve">D-7736    </t>
  </si>
  <si>
    <t xml:space="preserve">D-7737    </t>
  </si>
  <si>
    <t xml:space="preserve">D-7738    </t>
  </si>
  <si>
    <t xml:space="preserve">D-7739    </t>
  </si>
  <si>
    <t xml:space="preserve">D-7740    </t>
  </si>
  <si>
    <t>12/04/2017 15/04/2017</t>
  </si>
  <si>
    <t xml:space="preserve">D-7741    </t>
  </si>
  <si>
    <t xml:space="preserve">D-7742    </t>
  </si>
  <si>
    <t xml:space="preserve">D-7743    </t>
  </si>
  <si>
    <t xml:space="preserve">D-7744    </t>
  </si>
  <si>
    <t xml:space="preserve">D-7745    </t>
  </si>
  <si>
    <t xml:space="preserve">D-7746    </t>
  </si>
  <si>
    <t xml:space="preserve">D-7747    </t>
  </si>
  <si>
    <t xml:space="preserve">D-7748    </t>
  </si>
  <si>
    <t xml:space="preserve">D-7749    </t>
  </si>
  <si>
    <t xml:space="preserve">D-7750    </t>
  </si>
  <si>
    <t xml:space="preserve">D-7751    </t>
  </si>
  <si>
    <t xml:space="preserve">D-7752    </t>
  </si>
  <si>
    <t xml:space="preserve">D-7753    </t>
  </si>
  <si>
    <t xml:space="preserve">D-7754    </t>
  </si>
  <si>
    <t xml:space="preserve">D-7755    </t>
  </si>
  <si>
    <t xml:space="preserve">D-7756    </t>
  </si>
  <si>
    <t xml:space="preserve">D-7757    </t>
  </si>
  <si>
    <t xml:space="preserve">D-7758    </t>
  </si>
  <si>
    <t xml:space="preserve">D-7759    </t>
  </si>
  <si>
    <t xml:space="preserve">D-7760    </t>
  </si>
  <si>
    <t xml:space="preserve">D-7761    </t>
  </si>
  <si>
    <t xml:space="preserve">D-7762    </t>
  </si>
  <si>
    <t xml:space="preserve">D-7763    </t>
  </si>
  <si>
    <t xml:space="preserve">D-7764    </t>
  </si>
  <si>
    <t xml:space="preserve">D-7765    </t>
  </si>
  <si>
    <t xml:space="preserve">D-7766    </t>
  </si>
  <si>
    <t xml:space="preserve">D-7767    </t>
  </si>
  <si>
    <t xml:space="preserve">D-7768    </t>
  </si>
  <si>
    <t xml:space="preserve">D-7769    </t>
  </si>
  <si>
    <t xml:space="preserve">D-7770    </t>
  </si>
  <si>
    <t xml:space="preserve">D-7771    </t>
  </si>
  <si>
    <t xml:space="preserve">D-7772    </t>
  </si>
  <si>
    <t xml:space="preserve">D-7773    </t>
  </si>
  <si>
    <t>17/04/2017 18/04/2017</t>
  </si>
  <si>
    <t xml:space="preserve">D-7774    </t>
  </si>
  <si>
    <t xml:space="preserve">D-7775    </t>
  </si>
  <si>
    <t xml:space="preserve">D-7776    </t>
  </si>
  <si>
    <t xml:space="preserve">D-7777    </t>
  </si>
  <si>
    <t xml:space="preserve">D-7778    </t>
  </si>
  <si>
    <t xml:space="preserve">D-7779    </t>
  </si>
  <si>
    <t xml:space="preserve">D-7780    </t>
  </si>
  <si>
    <t xml:space="preserve">D-7781    </t>
  </si>
  <si>
    <t xml:space="preserve">(687)OMAR HERNANDEZ                                                        </t>
  </si>
  <si>
    <t xml:space="preserve">D-7782    </t>
  </si>
  <si>
    <t xml:space="preserve">D-7783    </t>
  </si>
  <si>
    <t xml:space="preserve">D-7784    </t>
  </si>
  <si>
    <t xml:space="preserve">D-7785    </t>
  </si>
  <si>
    <t xml:space="preserve">D-7786    </t>
  </si>
  <si>
    <t xml:space="preserve">D-7787    </t>
  </si>
  <si>
    <t xml:space="preserve">D-7788    </t>
  </si>
  <si>
    <t xml:space="preserve">D-7789    </t>
  </si>
  <si>
    <t xml:space="preserve">D-7790    </t>
  </si>
  <si>
    <t xml:space="preserve">D-7791    </t>
  </si>
  <si>
    <t xml:space="preserve">D-7792    </t>
  </si>
  <si>
    <t xml:space="preserve">D-7793    </t>
  </si>
  <si>
    <t xml:space="preserve">D-7794    </t>
  </si>
  <si>
    <t xml:space="preserve">D-7795    </t>
  </si>
  <si>
    <t xml:space="preserve">D-7796    </t>
  </si>
  <si>
    <t xml:space="preserve">D-7797    </t>
  </si>
  <si>
    <t xml:space="preserve">D-7798    </t>
  </si>
  <si>
    <t xml:space="preserve">D-7799    </t>
  </si>
  <si>
    <t xml:space="preserve">D-7800    </t>
  </si>
  <si>
    <t xml:space="preserve">D-7801    </t>
  </si>
  <si>
    <t xml:space="preserve">D-7802    </t>
  </si>
  <si>
    <t xml:space="preserve">D-7803    </t>
  </si>
  <si>
    <t xml:space="preserve">D-7804    </t>
  </si>
  <si>
    <t xml:space="preserve">D-7805    </t>
  </si>
  <si>
    <t xml:space="preserve">D-7806    </t>
  </si>
  <si>
    <t xml:space="preserve">D-7807    </t>
  </si>
  <si>
    <t xml:space="preserve">D-7808    </t>
  </si>
  <si>
    <t xml:space="preserve">D-7809    </t>
  </si>
  <si>
    <t xml:space="preserve">D-7810    </t>
  </si>
  <si>
    <t xml:space="preserve">D-7811    </t>
  </si>
  <si>
    <t xml:space="preserve">D-7812    </t>
  </si>
  <si>
    <t xml:space="preserve">D-7813    </t>
  </si>
  <si>
    <t xml:space="preserve">D-7814    </t>
  </si>
  <si>
    <t xml:space="preserve">D-7815    </t>
  </si>
  <si>
    <t>12/04/2017 13/04/2017</t>
  </si>
  <si>
    <t xml:space="preserve">D-7816    </t>
  </si>
  <si>
    <t xml:space="preserve">D-7817    </t>
  </si>
  <si>
    <t xml:space="preserve">D-7818    </t>
  </si>
  <si>
    <t xml:space="preserve">D-7819    </t>
  </si>
  <si>
    <t xml:space="preserve">D-7820    </t>
  </si>
  <si>
    <t xml:space="preserve">D-7821    </t>
  </si>
  <si>
    <t xml:space="preserve">D-7822    </t>
  </si>
  <si>
    <t xml:space="preserve">D-7823    </t>
  </si>
  <si>
    <t xml:space="preserve">D-7824    </t>
  </si>
  <si>
    <t xml:space="preserve">D-7825    </t>
  </si>
  <si>
    <t xml:space="preserve">D-7826    </t>
  </si>
  <si>
    <t xml:space="preserve">D-7827    </t>
  </si>
  <si>
    <t xml:space="preserve">D-7828    </t>
  </si>
  <si>
    <t xml:space="preserve">D-7829    </t>
  </si>
  <si>
    <t xml:space="preserve">D-7830    </t>
  </si>
  <si>
    <t xml:space="preserve">D-7831    </t>
  </si>
  <si>
    <t xml:space="preserve">D-7832    </t>
  </si>
  <si>
    <t xml:space="preserve">D-7833    </t>
  </si>
  <si>
    <t xml:space="preserve">D-7834    </t>
  </si>
  <si>
    <t xml:space="preserve">D-7835    </t>
  </si>
  <si>
    <t xml:space="preserve">D-7836    </t>
  </si>
  <si>
    <t xml:space="preserve">D-7837    </t>
  </si>
  <si>
    <t xml:space="preserve">D-7838    </t>
  </si>
  <si>
    <t xml:space="preserve">D-7839    </t>
  </si>
  <si>
    <t xml:space="preserve">D-7840    </t>
  </si>
  <si>
    <t xml:space="preserve">D-7841    </t>
  </si>
  <si>
    <t xml:space="preserve">D-7842    </t>
  </si>
  <si>
    <t xml:space="preserve">D-7843    </t>
  </si>
  <si>
    <t xml:space="preserve">D-7844    </t>
  </si>
  <si>
    <t xml:space="preserve">D-7845    </t>
  </si>
  <si>
    <t xml:space="preserve">D-7846    </t>
  </si>
  <si>
    <t xml:space="preserve">D-7847    </t>
  </si>
  <si>
    <t xml:space="preserve">D-7848    </t>
  </si>
  <si>
    <t xml:space="preserve">D-7849    </t>
  </si>
  <si>
    <t xml:space="preserve">D-7850    </t>
  </si>
  <si>
    <t xml:space="preserve">D-7851    </t>
  </si>
  <si>
    <t xml:space="preserve">D-7852    </t>
  </si>
  <si>
    <t xml:space="preserve">D-7853    </t>
  </si>
  <si>
    <t xml:space="preserve">D-7854    </t>
  </si>
  <si>
    <t xml:space="preserve">D-7855    </t>
  </si>
  <si>
    <t xml:space="preserve">D-7856    </t>
  </si>
  <si>
    <t xml:space="preserve">D-7857    </t>
  </si>
  <si>
    <t xml:space="preserve">D-7858    </t>
  </si>
  <si>
    <t xml:space="preserve">D-7859    </t>
  </si>
  <si>
    <t xml:space="preserve">D-7860    </t>
  </si>
  <si>
    <t xml:space="preserve">D-7861    </t>
  </si>
  <si>
    <t xml:space="preserve">D-7862    </t>
  </si>
  <si>
    <t xml:space="preserve">D-7863    </t>
  </si>
  <si>
    <t xml:space="preserve">D-7864    </t>
  </si>
  <si>
    <t xml:space="preserve">D-7865    </t>
  </si>
  <si>
    <t xml:space="preserve">D-7866    </t>
  </si>
  <si>
    <t xml:space="preserve">D-7867    </t>
  </si>
  <si>
    <t xml:space="preserve">D-7868    </t>
  </si>
  <si>
    <t xml:space="preserve">D-7869    </t>
  </si>
  <si>
    <t xml:space="preserve">D-7870    </t>
  </si>
  <si>
    <t xml:space="preserve">D-7871    </t>
  </si>
  <si>
    <t xml:space="preserve">D-7872    </t>
  </si>
  <si>
    <t xml:space="preserve">D-7873    </t>
  </si>
  <si>
    <t xml:space="preserve">D-7874    </t>
  </si>
  <si>
    <t xml:space="preserve">D-7875    </t>
  </si>
  <si>
    <t xml:space="preserve">D-7876    </t>
  </si>
  <si>
    <t xml:space="preserve">D-7877    </t>
  </si>
  <si>
    <t xml:space="preserve">D-7878    </t>
  </si>
  <si>
    <t xml:space="preserve">D-7879    </t>
  </si>
  <si>
    <t xml:space="preserve">D-7880    </t>
  </si>
  <si>
    <t xml:space="preserve">D-7881    </t>
  </si>
  <si>
    <t xml:space="preserve">D-7882    </t>
  </si>
  <si>
    <t xml:space="preserve">D-7883    </t>
  </si>
  <si>
    <t xml:space="preserve">D-7884    </t>
  </si>
  <si>
    <t xml:space="preserve">D-7885    </t>
  </si>
  <si>
    <t xml:space="preserve">D-7886    </t>
  </si>
  <si>
    <t xml:space="preserve">D-7887    </t>
  </si>
  <si>
    <t xml:space="preserve">D-7888    </t>
  </si>
  <si>
    <t xml:space="preserve">D-7889    </t>
  </si>
  <si>
    <t xml:space="preserve">D-7890    </t>
  </si>
  <si>
    <t xml:space="preserve">D-7891    </t>
  </si>
  <si>
    <t xml:space="preserve">D-7892    </t>
  </si>
  <si>
    <t xml:space="preserve">D-7893    </t>
  </si>
  <si>
    <t xml:space="preserve">D-7894    </t>
  </si>
  <si>
    <t xml:space="preserve">D-7895    </t>
  </si>
  <si>
    <t xml:space="preserve">D-7896    </t>
  </si>
  <si>
    <t xml:space="preserve">D-7897    </t>
  </si>
  <si>
    <t xml:space="preserve">D-7898    </t>
  </si>
  <si>
    <t xml:space="preserve">D-7899    </t>
  </si>
  <si>
    <t xml:space="preserve">D-7900    </t>
  </si>
  <si>
    <t xml:space="preserve">D-7901    </t>
  </si>
  <si>
    <t xml:space="preserve">D-7902    </t>
  </si>
  <si>
    <t xml:space="preserve">D-7903    </t>
  </si>
  <si>
    <t xml:space="preserve">D-7904    </t>
  </si>
  <si>
    <t xml:space="preserve">D-7905    </t>
  </si>
  <si>
    <t xml:space="preserve">D-7906    </t>
  </si>
  <si>
    <t xml:space="preserve">D-7907    </t>
  </si>
  <si>
    <t xml:space="preserve">D-7908    </t>
  </si>
  <si>
    <t xml:space="preserve">D-7909    </t>
  </si>
  <si>
    <t xml:space="preserve">D-7910    </t>
  </si>
  <si>
    <t xml:space="preserve">D-7911    </t>
  </si>
  <si>
    <t xml:space="preserve">D-7912    </t>
  </si>
  <si>
    <t xml:space="preserve">D-7913    </t>
  </si>
  <si>
    <t xml:space="preserve">D-7914    </t>
  </si>
  <si>
    <t xml:space="preserve">D-7915    </t>
  </si>
  <si>
    <t xml:space="preserve">D-7916    </t>
  </si>
  <si>
    <t xml:space="preserve">D-7917    </t>
  </si>
  <si>
    <t xml:space="preserve">D-7918    </t>
  </si>
  <si>
    <t xml:space="preserve">D-7919    </t>
  </si>
  <si>
    <t xml:space="preserve">D-7920    </t>
  </si>
  <si>
    <t xml:space="preserve">D-7921    </t>
  </si>
  <si>
    <t xml:space="preserve">D-7922    </t>
  </si>
  <si>
    <t xml:space="preserve">D-7923    </t>
  </si>
  <si>
    <t xml:space="preserve">D-7924    </t>
  </si>
  <si>
    <t xml:space="preserve">D-7925    </t>
  </si>
  <si>
    <t xml:space="preserve">D-7926    </t>
  </si>
  <si>
    <t xml:space="preserve">D-7927    </t>
  </si>
  <si>
    <t xml:space="preserve">D-7928    </t>
  </si>
  <si>
    <t xml:space="preserve">D-7929    </t>
  </si>
  <si>
    <t xml:space="preserve">D-7930    </t>
  </si>
  <si>
    <t xml:space="preserve">D-7931    </t>
  </si>
  <si>
    <t xml:space="preserve">D-7932    </t>
  </si>
  <si>
    <t xml:space="preserve">D-7933    </t>
  </si>
  <si>
    <t xml:space="preserve">D-7934    </t>
  </si>
  <si>
    <t xml:space="preserve">D-7935    </t>
  </si>
  <si>
    <t xml:space="preserve">D-7936    </t>
  </si>
  <si>
    <t xml:space="preserve">D-7937    </t>
  </si>
  <si>
    <t xml:space="preserve">D-7938    </t>
  </si>
  <si>
    <t xml:space="preserve">D-7939    </t>
  </si>
  <si>
    <t xml:space="preserve">D-7940    </t>
  </si>
  <si>
    <t xml:space="preserve">D-7941    </t>
  </si>
  <si>
    <t xml:space="preserve">D-7942    </t>
  </si>
  <si>
    <t xml:space="preserve">D-7943    </t>
  </si>
  <si>
    <t xml:space="preserve">D-7944    </t>
  </si>
  <si>
    <t xml:space="preserve">D-7945    </t>
  </si>
  <si>
    <t xml:space="preserve">D-7946    </t>
  </si>
  <si>
    <t xml:space="preserve">D-7947    </t>
  </si>
  <si>
    <t xml:space="preserve">D-7948    </t>
  </si>
  <si>
    <t xml:space="preserve">D-7949    </t>
  </si>
  <si>
    <t xml:space="preserve">D-7950    </t>
  </si>
  <si>
    <t>17/04/2017 19/04/2017</t>
  </si>
  <si>
    <t xml:space="preserve">D-7951    </t>
  </si>
  <si>
    <t xml:space="preserve">D-7952    </t>
  </si>
  <si>
    <t xml:space="preserve">D-7953    </t>
  </si>
  <si>
    <t xml:space="preserve">D-7954    </t>
  </si>
  <si>
    <t xml:space="preserve">D-7955    </t>
  </si>
  <si>
    <t xml:space="preserve">D-7956    </t>
  </si>
  <si>
    <t xml:space="preserve">D-7957    </t>
  </si>
  <si>
    <t xml:space="preserve">D-7958    </t>
  </si>
  <si>
    <t xml:space="preserve">D-7959    </t>
  </si>
  <si>
    <t xml:space="preserve">D-7960    </t>
  </si>
  <si>
    <t xml:space="preserve">D-7961    </t>
  </si>
  <si>
    <t xml:space="preserve">D-7962    </t>
  </si>
  <si>
    <t xml:space="preserve">D-7963    </t>
  </si>
  <si>
    <t xml:space="preserve">D-7964    </t>
  </si>
  <si>
    <t xml:space="preserve">D-7965    </t>
  </si>
  <si>
    <t xml:space="preserve">D-7966    </t>
  </si>
  <si>
    <t xml:space="preserve">D-7967    </t>
  </si>
  <si>
    <t xml:space="preserve">D-7968    </t>
  </si>
  <si>
    <t xml:space="preserve">D-7969    </t>
  </si>
  <si>
    <t xml:space="preserve">D-7970    </t>
  </si>
  <si>
    <t xml:space="preserve">D-7971    </t>
  </si>
  <si>
    <t xml:space="preserve">D-7972    </t>
  </si>
  <si>
    <t xml:space="preserve">D-7973    </t>
  </si>
  <si>
    <t xml:space="preserve">D-7974    </t>
  </si>
  <si>
    <t xml:space="preserve">D-7975    </t>
  </si>
  <si>
    <t xml:space="preserve">D-7976    </t>
  </si>
  <si>
    <t xml:space="preserve">D-7977    </t>
  </si>
  <si>
    <t xml:space="preserve">D-7978    </t>
  </si>
  <si>
    <t xml:space="preserve">D-7979    </t>
  </si>
  <si>
    <t xml:space="preserve">D-7980    </t>
  </si>
  <si>
    <t xml:space="preserve">D-7981    </t>
  </si>
  <si>
    <t xml:space="preserve">D-7982    </t>
  </si>
  <si>
    <t xml:space="preserve">D-7983    </t>
  </si>
  <si>
    <t xml:space="preserve">D-7984    </t>
  </si>
  <si>
    <t xml:space="preserve">D-7985    </t>
  </si>
  <si>
    <t xml:space="preserve">D-7986    </t>
  </si>
  <si>
    <t xml:space="preserve">D-7987    </t>
  </si>
  <si>
    <t xml:space="preserve">D-7988    </t>
  </si>
  <si>
    <t xml:space="preserve">D-7989    </t>
  </si>
  <si>
    <t xml:space="preserve">D-7990    </t>
  </si>
  <si>
    <t xml:space="preserve">D-7991    </t>
  </si>
  <si>
    <t xml:space="preserve">D-7992    </t>
  </si>
  <si>
    <t xml:space="preserve">D-7993    </t>
  </si>
  <si>
    <t xml:space="preserve">D-7994    </t>
  </si>
  <si>
    <t xml:space="preserve">D-7995    </t>
  </si>
  <si>
    <t xml:space="preserve">D-7996    </t>
  </si>
  <si>
    <t xml:space="preserve">D-7997    </t>
  </si>
  <si>
    <t xml:space="preserve">D-7998    </t>
  </si>
  <si>
    <t xml:space="preserve">D-7999    </t>
  </si>
  <si>
    <t xml:space="preserve">D-8000    </t>
  </si>
  <si>
    <t xml:space="preserve">D-8001    </t>
  </si>
  <si>
    <t xml:space="preserve">D-8002    </t>
  </si>
  <si>
    <t xml:space="preserve">D-8003    </t>
  </si>
  <si>
    <t xml:space="preserve">D-8004    </t>
  </si>
  <si>
    <t xml:space="preserve">D-8005    </t>
  </si>
  <si>
    <t xml:space="preserve">D-8006    </t>
  </si>
  <si>
    <t xml:space="preserve">D-8007    </t>
  </si>
  <si>
    <t xml:space="preserve">D-8008    </t>
  </si>
  <si>
    <t xml:space="preserve">D-8009    </t>
  </si>
  <si>
    <t xml:space="preserve">D-8010    </t>
  </si>
  <si>
    <t xml:space="preserve">D-8011    </t>
  </si>
  <si>
    <t xml:space="preserve">D-8012    </t>
  </si>
  <si>
    <t xml:space="preserve">D-8013    </t>
  </si>
  <si>
    <t xml:space="preserve">D-8014    </t>
  </si>
  <si>
    <t xml:space="preserve">D-8015    </t>
  </si>
  <si>
    <t>19/04/2017 21/04/2017</t>
  </si>
  <si>
    <t xml:space="preserve">D-8016    </t>
  </si>
  <si>
    <t xml:space="preserve">D-8017    </t>
  </si>
  <si>
    <t xml:space="preserve">D-8018    </t>
  </si>
  <si>
    <t xml:space="preserve">D-8019    </t>
  </si>
  <si>
    <t xml:space="preserve">D-8020    </t>
  </si>
  <si>
    <t xml:space="preserve">D-8021    </t>
  </si>
  <si>
    <t xml:space="preserve">D-8022    </t>
  </si>
  <si>
    <t xml:space="preserve">D-8023    </t>
  </si>
  <si>
    <t xml:space="preserve">D-8024    </t>
  </si>
  <si>
    <t xml:space="preserve">D-8025    </t>
  </si>
  <si>
    <t xml:space="preserve">D-8026    </t>
  </si>
  <si>
    <t>18/04/2017 19/04/2017</t>
  </si>
  <si>
    <t xml:space="preserve">D-8027    </t>
  </si>
  <si>
    <t xml:space="preserve">D-8028    </t>
  </si>
  <si>
    <t xml:space="preserve">D-8029    </t>
  </si>
  <si>
    <t xml:space="preserve">D-8030    </t>
  </si>
  <si>
    <t xml:space="preserve">D-8031    </t>
  </si>
  <si>
    <t xml:space="preserve">D-8032    </t>
  </si>
  <si>
    <t xml:space="preserve">D-8033    </t>
  </si>
  <si>
    <t xml:space="preserve">D-8034    </t>
  </si>
  <si>
    <t xml:space="preserve">D-8035    </t>
  </si>
  <si>
    <t xml:space="preserve">D-8036    </t>
  </si>
  <si>
    <t xml:space="preserve">D-8037    </t>
  </si>
  <si>
    <t xml:space="preserve">D-8038    </t>
  </si>
  <si>
    <t xml:space="preserve">D-8039    </t>
  </si>
  <si>
    <t xml:space="preserve">D-8040    </t>
  </si>
  <si>
    <t xml:space="preserve">D-8041    </t>
  </si>
  <si>
    <t xml:space="preserve">D-8042    </t>
  </si>
  <si>
    <t xml:space="preserve">D-8043    </t>
  </si>
  <si>
    <t xml:space="preserve">D-8044    </t>
  </si>
  <si>
    <t xml:space="preserve">D-8045    </t>
  </si>
  <si>
    <t xml:space="preserve">D-8046    </t>
  </si>
  <si>
    <t xml:space="preserve">D-8047    </t>
  </si>
  <si>
    <t xml:space="preserve">D-8048    </t>
  </si>
  <si>
    <t xml:space="preserve">D-8049    </t>
  </si>
  <si>
    <t xml:space="preserve">D-8050    </t>
  </si>
  <si>
    <t xml:space="preserve">D-8051    </t>
  </si>
  <si>
    <t xml:space="preserve">D-8052    </t>
  </si>
  <si>
    <t xml:space="preserve">D-8053    </t>
  </si>
  <si>
    <t xml:space="preserve">D-8054    </t>
  </si>
  <si>
    <t xml:space="preserve">D-8055    </t>
  </si>
  <si>
    <t xml:space="preserve">D-8056    </t>
  </si>
  <si>
    <t xml:space="preserve">D-8057    </t>
  </si>
  <si>
    <t xml:space="preserve">D-8058    </t>
  </si>
  <si>
    <t xml:space="preserve">D-8059    </t>
  </si>
  <si>
    <t xml:space="preserve">D-8060    </t>
  </si>
  <si>
    <t xml:space="preserve">D-8061    </t>
  </si>
  <si>
    <t xml:space="preserve">D-8062    </t>
  </si>
  <si>
    <t xml:space="preserve">D-8063    </t>
  </si>
  <si>
    <t xml:space="preserve">D-8064    </t>
  </si>
  <si>
    <t xml:space="preserve">D-8065    </t>
  </si>
  <si>
    <t xml:space="preserve">D-8066    </t>
  </si>
  <si>
    <t xml:space="preserve">D-8067    </t>
  </si>
  <si>
    <t xml:space="preserve">D-8068    </t>
  </si>
  <si>
    <t xml:space="preserve">D-8069    </t>
  </si>
  <si>
    <t xml:space="preserve">D-8070    </t>
  </si>
  <si>
    <t xml:space="preserve">D-8071    </t>
  </si>
  <si>
    <t xml:space="preserve">D-8072    </t>
  </si>
  <si>
    <t xml:space="preserve">D-8073    </t>
  </si>
  <si>
    <t xml:space="preserve">D-8074    </t>
  </si>
  <si>
    <t xml:space="preserve">D-8075    </t>
  </si>
  <si>
    <t xml:space="preserve">D-8076    </t>
  </si>
  <si>
    <t xml:space="preserve">D-8077    </t>
  </si>
  <si>
    <t xml:space="preserve">D-8078    </t>
  </si>
  <si>
    <t xml:space="preserve">D-8079    </t>
  </si>
  <si>
    <t xml:space="preserve">D-8080    </t>
  </si>
  <si>
    <t xml:space="preserve">D-8081    </t>
  </si>
  <si>
    <t xml:space="preserve">D-8082    </t>
  </si>
  <si>
    <t xml:space="preserve">D-8083    </t>
  </si>
  <si>
    <t xml:space="preserve">D-8084    </t>
  </si>
  <si>
    <t xml:space="preserve">D-8085    </t>
  </si>
  <si>
    <t xml:space="preserve">D-8086    </t>
  </si>
  <si>
    <t xml:space="preserve">D-8087    </t>
  </si>
  <si>
    <t xml:space="preserve">D-8088    </t>
  </si>
  <si>
    <t xml:space="preserve">D-8089    </t>
  </si>
  <si>
    <t xml:space="preserve">D-8090    </t>
  </si>
  <si>
    <t xml:space="preserve">D-8091    </t>
  </si>
  <si>
    <t xml:space="preserve">D-8092    </t>
  </si>
  <si>
    <t xml:space="preserve">D-8093    </t>
  </si>
  <si>
    <t xml:space="preserve">D-8094    </t>
  </si>
  <si>
    <t xml:space="preserve">D-8095    </t>
  </si>
  <si>
    <t xml:space="preserve">D-8096    </t>
  </si>
  <si>
    <t xml:space="preserve">D-8097    </t>
  </si>
  <si>
    <t xml:space="preserve">D-8098    </t>
  </si>
  <si>
    <t xml:space="preserve">D-8099    </t>
  </si>
  <si>
    <t xml:space="preserve">D-8100    </t>
  </si>
  <si>
    <t xml:space="preserve">D-8101    </t>
  </si>
  <si>
    <t xml:space="preserve">D-8102    </t>
  </si>
  <si>
    <t xml:space="preserve">D-8103    </t>
  </si>
  <si>
    <t xml:space="preserve">D-8104    </t>
  </si>
  <si>
    <t xml:space="preserve">D-8105    </t>
  </si>
  <si>
    <t xml:space="preserve">(323)ENRIQUE HERRERIAS                                                     </t>
  </si>
  <si>
    <t xml:space="preserve">D-8106    </t>
  </si>
  <si>
    <t xml:space="preserve">D-8107    </t>
  </si>
  <si>
    <t xml:space="preserve">D-8108    </t>
  </si>
  <si>
    <t xml:space="preserve">D-8109    </t>
  </si>
  <si>
    <t xml:space="preserve">D-8110    </t>
  </si>
  <si>
    <t xml:space="preserve">D-8111    </t>
  </si>
  <si>
    <t xml:space="preserve">D-8112    </t>
  </si>
  <si>
    <t xml:space="preserve">D-8113    </t>
  </si>
  <si>
    <t xml:space="preserve">D-8114    </t>
  </si>
  <si>
    <t xml:space="preserve">D-8115    </t>
  </si>
  <si>
    <t xml:space="preserve">D-8116    </t>
  </si>
  <si>
    <t xml:space="preserve">D-8117    </t>
  </si>
  <si>
    <t xml:space="preserve">D-8118    </t>
  </si>
  <si>
    <t xml:space="preserve">D-8119    </t>
  </si>
  <si>
    <t xml:space="preserve">D-8120    </t>
  </si>
  <si>
    <t xml:space="preserve">D-8121    </t>
  </si>
  <si>
    <t xml:space="preserve">D-8122    </t>
  </si>
  <si>
    <t xml:space="preserve">D-8123    </t>
  </si>
  <si>
    <t xml:space="preserve">D-8124    </t>
  </si>
  <si>
    <t xml:space="preserve">D-8125    </t>
  </si>
  <si>
    <t xml:space="preserve">D-8126    </t>
  </si>
  <si>
    <t xml:space="preserve">D-8127    </t>
  </si>
  <si>
    <t xml:space="preserve">D-8128    </t>
  </si>
  <si>
    <t xml:space="preserve">D-8129    </t>
  </si>
  <si>
    <t xml:space="preserve">D-8130    </t>
  </si>
  <si>
    <t xml:space="preserve">D-8131    </t>
  </si>
  <si>
    <t xml:space="preserve">D-8132    </t>
  </si>
  <si>
    <t xml:space="preserve">D-8133    </t>
  </si>
  <si>
    <t xml:space="preserve">D-8134    </t>
  </si>
  <si>
    <t xml:space="preserve">D-8135    </t>
  </si>
  <si>
    <t xml:space="preserve">D-8136    </t>
  </si>
  <si>
    <t xml:space="preserve">D-8137    </t>
  </si>
  <si>
    <t xml:space="preserve">D-8138    </t>
  </si>
  <si>
    <t xml:space="preserve">D-8139    </t>
  </si>
  <si>
    <t xml:space="preserve">D-8140    </t>
  </si>
  <si>
    <t xml:space="preserve">D-8141    </t>
  </si>
  <si>
    <t xml:space="preserve">D-8142    </t>
  </si>
  <si>
    <t xml:space="preserve">D-8143    </t>
  </si>
  <si>
    <t xml:space="preserve">D-8144    </t>
  </si>
  <si>
    <t xml:space="preserve">D-8145    </t>
  </si>
  <si>
    <t xml:space="preserve">D-8146    </t>
  </si>
  <si>
    <t xml:space="preserve">D-8147    </t>
  </si>
  <si>
    <t xml:space="preserve">D-8148    </t>
  </si>
  <si>
    <t xml:space="preserve">D-8149    </t>
  </si>
  <si>
    <t xml:space="preserve">D-8150    </t>
  </si>
  <si>
    <t xml:space="preserve">D-8151    </t>
  </si>
  <si>
    <t xml:space="preserve">D-8152    </t>
  </si>
  <si>
    <t xml:space="preserve">D-8153    </t>
  </si>
  <si>
    <t xml:space="preserve">D-8154    </t>
  </si>
  <si>
    <t xml:space="preserve">D-8155    </t>
  </si>
  <si>
    <t xml:space="preserve">D-8156    </t>
  </si>
  <si>
    <t xml:space="preserve">D-8157    </t>
  </si>
  <si>
    <t xml:space="preserve">D-8158    </t>
  </si>
  <si>
    <t xml:space="preserve">D-8159    </t>
  </si>
  <si>
    <t xml:space="preserve">D-8160    </t>
  </si>
  <si>
    <t xml:space="preserve">D-8161    </t>
  </si>
  <si>
    <t xml:space="preserve">D-8162    </t>
  </si>
  <si>
    <t xml:space="preserve">D-8163    </t>
  </si>
  <si>
    <t xml:space="preserve">D-8164    </t>
  </si>
  <si>
    <t xml:space="preserve">D-8165    </t>
  </si>
  <si>
    <t xml:space="preserve">D-8166    </t>
  </si>
  <si>
    <t xml:space="preserve">D-8167    </t>
  </si>
  <si>
    <t xml:space="preserve">D-8168    </t>
  </si>
  <si>
    <t xml:space="preserve">D-8169    </t>
  </si>
  <si>
    <t xml:space="preserve">D-8170    </t>
  </si>
  <si>
    <t xml:space="preserve">D-8171    </t>
  </si>
  <si>
    <t xml:space="preserve">D-8172    </t>
  </si>
  <si>
    <t xml:space="preserve">D-8173    </t>
  </si>
  <si>
    <t xml:space="preserve">D-8174    </t>
  </si>
  <si>
    <t xml:space="preserve">D-8175    </t>
  </si>
  <si>
    <t xml:space="preserve">D-8176    </t>
  </si>
  <si>
    <t xml:space="preserve">D-8177    </t>
  </si>
  <si>
    <t xml:space="preserve">D-8178    </t>
  </si>
  <si>
    <t xml:space="preserve">D-8179    </t>
  </si>
  <si>
    <t xml:space="preserve">D-8180    </t>
  </si>
  <si>
    <t xml:space="preserve">D-8181    </t>
  </si>
  <si>
    <t xml:space="preserve">D-8182    </t>
  </si>
  <si>
    <t xml:space="preserve">D-8183    </t>
  </si>
  <si>
    <t xml:space="preserve">D-8184    </t>
  </si>
  <si>
    <t xml:space="preserve">D-8185    </t>
  </si>
  <si>
    <t xml:space="preserve">D-8186    </t>
  </si>
  <si>
    <t xml:space="preserve">D-8187    </t>
  </si>
  <si>
    <t>z</t>
  </si>
  <si>
    <t xml:space="preserve">D-8188    </t>
  </si>
  <si>
    <t xml:space="preserve">D-8189    </t>
  </si>
  <si>
    <t xml:space="preserve">D-8190    </t>
  </si>
  <si>
    <t xml:space="preserve">D-8191    </t>
  </si>
  <si>
    <t xml:space="preserve">D-8192    </t>
  </si>
  <si>
    <t xml:space="preserve">D-8193    </t>
  </si>
  <si>
    <t xml:space="preserve">D-8194    </t>
  </si>
  <si>
    <t xml:space="preserve">D-8195    </t>
  </si>
  <si>
    <t xml:space="preserve">D-8196    </t>
  </si>
  <si>
    <t xml:space="preserve">D-8197    </t>
  </si>
  <si>
    <t xml:space="preserve">D-8198    </t>
  </si>
  <si>
    <t xml:space="preserve">D-8199    </t>
  </si>
  <si>
    <t xml:space="preserve">D-8200    </t>
  </si>
  <si>
    <t>17/04/2017 22/04/2017</t>
  </si>
  <si>
    <t xml:space="preserve">D-8201    </t>
  </si>
  <si>
    <t xml:space="preserve">D-8202    </t>
  </si>
  <si>
    <t xml:space="preserve">D-8203    </t>
  </si>
  <si>
    <t xml:space="preserve">D-8204    </t>
  </si>
  <si>
    <t xml:space="preserve">D-8205    </t>
  </si>
  <si>
    <t xml:space="preserve">D-8206    </t>
  </si>
  <si>
    <t xml:space="preserve">D-8207    </t>
  </si>
  <si>
    <t xml:space="preserve">D-8208    </t>
  </si>
  <si>
    <t xml:space="preserve">D-8209    </t>
  </si>
  <si>
    <t xml:space="preserve">D-8210    </t>
  </si>
  <si>
    <t xml:space="preserve">D-8211    </t>
  </si>
  <si>
    <t xml:space="preserve">D-8212    </t>
  </si>
  <si>
    <t xml:space="preserve">D-8213    </t>
  </si>
  <si>
    <t xml:space="preserve">D-8214    </t>
  </si>
  <si>
    <t xml:space="preserve">D-8215    </t>
  </si>
  <si>
    <t xml:space="preserve">D-8216    </t>
  </si>
  <si>
    <t xml:space="preserve">D-8217    </t>
  </si>
  <si>
    <t xml:space="preserve">D-8218    </t>
  </si>
  <si>
    <t xml:space="preserve">D-8219    </t>
  </si>
  <si>
    <t xml:space="preserve">D-8220    </t>
  </si>
  <si>
    <t xml:space="preserve">D-8221    </t>
  </si>
  <si>
    <t xml:space="preserve">D-8222    </t>
  </si>
  <si>
    <t xml:space="preserve">D-8223    </t>
  </si>
  <si>
    <t xml:space="preserve">D-8224    </t>
  </si>
  <si>
    <t xml:space="preserve">D-8225    </t>
  </si>
  <si>
    <t xml:space="preserve">D-8226    </t>
  </si>
  <si>
    <t xml:space="preserve">D-8227    </t>
  </si>
  <si>
    <t xml:space="preserve">D-8228    </t>
  </si>
  <si>
    <t xml:space="preserve">D-8229    </t>
  </si>
  <si>
    <t xml:space="preserve">D-8230    </t>
  </si>
  <si>
    <t xml:space="preserve">D-8231    </t>
  </si>
  <si>
    <t xml:space="preserve">D-8232    </t>
  </si>
  <si>
    <t xml:space="preserve">D-8233    </t>
  </si>
  <si>
    <t xml:space="preserve">D-8234    </t>
  </si>
  <si>
    <t xml:space="preserve">D-8235    </t>
  </si>
  <si>
    <t xml:space="preserve">D-8236    </t>
  </si>
  <si>
    <t xml:space="preserve">D-8237    </t>
  </si>
  <si>
    <t xml:space="preserve">D-8238    </t>
  </si>
  <si>
    <t xml:space="preserve">D-8239    </t>
  </si>
  <si>
    <t xml:space="preserve">D-8240    </t>
  </si>
  <si>
    <t xml:space="preserve">D-8241    </t>
  </si>
  <si>
    <t xml:space="preserve">D-8242    </t>
  </si>
  <si>
    <t xml:space="preserve">D-8243    </t>
  </si>
  <si>
    <t xml:space="preserve">D-8244    </t>
  </si>
  <si>
    <t xml:space="preserve">D-8245    </t>
  </si>
  <si>
    <t xml:space="preserve">D-8246    </t>
  </si>
  <si>
    <t xml:space="preserve">D-8247    </t>
  </si>
  <si>
    <t xml:space="preserve">D-8248    </t>
  </si>
  <si>
    <t xml:space="preserve">D-8249    </t>
  </si>
  <si>
    <t xml:space="preserve">D-8250    </t>
  </si>
  <si>
    <t xml:space="preserve">D-8251    </t>
  </si>
  <si>
    <t xml:space="preserve">D-8252    </t>
  </si>
  <si>
    <t xml:space="preserve">D-8253    </t>
  </si>
  <si>
    <t xml:space="preserve">D-8254    </t>
  </si>
  <si>
    <t xml:space="preserve">D-8255    </t>
  </si>
  <si>
    <t xml:space="preserve">D-8256    </t>
  </si>
  <si>
    <t xml:space="preserve">D-8257    </t>
  </si>
  <si>
    <t xml:space="preserve">D-8258    </t>
  </si>
  <si>
    <t xml:space="preserve">D-8259    </t>
  </si>
  <si>
    <t xml:space="preserve">D-8260    </t>
  </si>
  <si>
    <t xml:space="preserve">D-8261    </t>
  </si>
  <si>
    <t xml:space="preserve">D-8262    </t>
  </si>
  <si>
    <t xml:space="preserve">D-8263    </t>
  </si>
  <si>
    <t xml:space="preserve">D-8264    </t>
  </si>
  <si>
    <t xml:space="preserve">D-8265    </t>
  </si>
  <si>
    <t xml:space="preserve">D-8266    </t>
  </si>
  <si>
    <t xml:space="preserve">D-8267    </t>
  </si>
  <si>
    <t xml:space="preserve">D-8268    </t>
  </si>
  <si>
    <t xml:space="preserve">D-8269    </t>
  </si>
  <si>
    <t xml:space="preserve">D-8270    </t>
  </si>
  <si>
    <t xml:space="preserve">D-8271    </t>
  </si>
  <si>
    <t xml:space="preserve">D-8272    </t>
  </si>
  <si>
    <t xml:space="preserve">D-8273    </t>
  </si>
  <si>
    <t xml:space="preserve">D-8274    </t>
  </si>
  <si>
    <t xml:space="preserve">D-8275    </t>
  </si>
  <si>
    <t xml:space="preserve">D-8276    </t>
  </si>
  <si>
    <t xml:space="preserve">D-8277    </t>
  </si>
  <si>
    <t xml:space="preserve">D-8278    </t>
  </si>
  <si>
    <t xml:space="preserve">D-8279    </t>
  </si>
  <si>
    <t xml:space="preserve">D-8280    </t>
  </si>
  <si>
    <t xml:space="preserve">D-8281    </t>
  </si>
  <si>
    <t xml:space="preserve">D-8282    </t>
  </si>
  <si>
    <t xml:space="preserve">D-8283    </t>
  </si>
  <si>
    <t xml:space="preserve">D-8284    </t>
  </si>
  <si>
    <t xml:space="preserve">D-8285    </t>
  </si>
  <si>
    <t xml:space="preserve">D-8286    </t>
  </si>
  <si>
    <t xml:space="preserve">D-8287    </t>
  </si>
  <si>
    <t xml:space="preserve">D-8288    </t>
  </si>
  <si>
    <t>23/04/2017 24/04/2017</t>
  </si>
  <si>
    <t xml:space="preserve">D-8289    </t>
  </si>
  <si>
    <t xml:space="preserve">D-8290    </t>
  </si>
  <si>
    <t xml:space="preserve">D-8291    </t>
  </si>
  <si>
    <t xml:space="preserve">D-8292    </t>
  </si>
  <si>
    <t xml:space="preserve">D-8293    </t>
  </si>
  <si>
    <t xml:space="preserve">D-8294    </t>
  </si>
  <si>
    <t xml:space="preserve">D-8295    </t>
  </si>
  <si>
    <t xml:space="preserve">D-8296    </t>
  </si>
  <si>
    <t xml:space="preserve">D-8297    </t>
  </si>
  <si>
    <t xml:space="preserve">D-8298    </t>
  </si>
  <si>
    <t xml:space="preserve">D-8299    </t>
  </si>
  <si>
    <t xml:space="preserve">D-8300    </t>
  </si>
  <si>
    <t xml:space="preserve">D-8301    </t>
  </si>
  <si>
    <t xml:space="preserve">D-8302    </t>
  </si>
  <si>
    <t xml:space="preserve">D-8303    </t>
  </si>
  <si>
    <t xml:space="preserve">D-8304    </t>
  </si>
  <si>
    <t xml:space="preserve">D-8305    </t>
  </si>
  <si>
    <t xml:space="preserve">D-8306    </t>
  </si>
  <si>
    <t xml:space="preserve">D-8307    </t>
  </si>
  <si>
    <t xml:space="preserve">D-8308    </t>
  </si>
  <si>
    <t xml:space="preserve">D-8309    </t>
  </si>
  <si>
    <t xml:space="preserve">D-8310    </t>
  </si>
  <si>
    <t xml:space="preserve">D-8311    </t>
  </si>
  <si>
    <t xml:space="preserve">D-8312    </t>
  </si>
  <si>
    <t xml:space="preserve">D-8313    </t>
  </si>
  <si>
    <t xml:space="preserve">D-8314    </t>
  </si>
  <si>
    <t xml:space="preserve">D-8315    </t>
  </si>
  <si>
    <t xml:space="preserve">D-8316    </t>
  </si>
  <si>
    <t xml:space="preserve">D-8317    </t>
  </si>
  <si>
    <t xml:space="preserve">D-8318    </t>
  </si>
  <si>
    <t xml:space="preserve">D-8319    </t>
  </si>
  <si>
    <t xml:space="preserve">D-8320    </t>
  </si>
  <si>
    <t xml:space="preserve">D-8321    </t>
  </si>
  <si>
    <t xml:space="preserve">D-8322    </t>
  </si>
  <si>
    <t xml:space="preserve">D-8323    </t>
  </si>
  <si>
    <t xml:space="preserve">D-8324    </t>
  </si>
  <si>
    <t xml:space="preserve">D-8325    </t>
  </si>
  <si>
    <t xml:space="preserve">D-8326    </t>
  </si>
  <si>
    <t xml:space="preserve">D-8327    </t>
  </si>
  <si>
    <t xml:space="preserve">D-8328    </t>
  </si>
  <si>
    <t xml:space="preserve">D-8329    </t>
  </si>
  <si>
    <t xml:space="preserve">D-8330    </t>
  </si>
  <si>
    <t xml:space="preserve">D-8331    </t>
  </si>
  <si>
    <t xml:space="preserve">D-8332    </t>
  </si>
  <si>
    <t xml:space="preserve">D-8333    </t>
  </si>
  <si>
    <t xml:space="preserve">D-8334    </t>
  </si>
  <si>
    <t xml:space="preserve">D-8335    </t>
  </si>
  <si>
    <t xml:space="preserve">D-8336    </t>
  </si>
  <si>
    <t xml:space="preserve">D-8337    </t>
  </si>
  <si>
    <t xml:space="preserve">D-8338    </t>
  </si>
  <si>
    <t xml:space="preserve">D-8339    </t>
  </si>
  <si>
    <t xml:space="preserve">D-8340    </t>
  </si>
  <si>
    <t xml:space="preserve">D-8341    </t>
  </si>
  <si>
    <t xml:space="preserve">D-8342    </t>
  </si>
  <si>
    <t xml:space="preserve">D-8343    </t>
  </si>
  <si>
    <t xml:space="preserve">D-8344    </t>
  </si>
  <si>
    <t xml:space="preserve">D-8345    </t>
  </si>
  <si>
    <t xml:space="preserve">D-8346    </t>
  </si>
  <si>
    <t xml:space="preserve">D-8347    </t>
  </si>
  <si>
    <t xml:space="preserve">D-8348    </t>
  </si>
  <si>
    <t xml:space="preserve">D-8349    </t>
  </si>
  <si>
    <t xml:space="preserve">D-8350    </t>
  </si>
  <si>
    <t xml:space="preserve">D-8351    </t>
  </si>
  <si>
    <t xml:space="preserve">D-8352    </t>
  </si>
  <si>
    <t xml:space="preserve">D-8353    </t>
  </si>
  <si>
    <t xml:space="preserve">D-8354    </t>
  </si>
  <si>
    <t xml:space="preserve">D-8355    </t>
  </si>
  <si>
    <t xml:space="preserve">D-8356    </t>
  </si>
  <si>
    <t xml:space="preserve">D-8357    </t>
  </si>
  <si>
    <t xml:space="preserve">D-8358    </t>
  </si>
  <si>
    <t xml:space="preserve">D-8359    </t>
  </si>
  <si>
    <t xml:space="preserve">D-8360    </t>
  </si>
  <si>
    <t xml:space="preserve">D-8361    </t>
  </si>
  <si>
    <t xml:space="preserve">D-8362    </t>
  </si>
  <si>
    <t xml:space="preserve">D-8363    </t>
  </si>
  <si>
    <t xml:space="preserve">D-8364    </t>
  </si>
  <si>
    <t xml:space="preserve">D-8365    </t>
  </si>
  <si>
    <t xml:space="preserve">D-8366    </t>
  </si>
  <si>
    <t xml:space="preserve">D-8367    </t>
  </si>
  <si>
    <t xml:space="preserve">D-8368    </t>
  </si>
  <si>
    <t xml:space="preserve">D-8369    </t>
  </si>
  <si>
    <t xml:space="preserve">D-8370    </t>
  </si>
  <si>
    <t xml:space="preserve">D-8371    </t>
  </si>
  <si>
    <t xml:space="preserve">D-8372    </t>
  </si>
  <si>
    <t xml:space="preserve">D-8373    </t>
  </si>
  <si>
    <t xml:space="preserve">D-8374    </t>
  </si>
  <si>
    <t xml:space="preserve">D-8375    </t>
  </si>
  <si>
    <t>20/04/2017 25/04/2017</t>
  </si>
  <si>
    <t xml:space="preserve">D-8376    </t>
  </si>
  <si>
    <t xml:space="preserve">D-8377    </t>
  </si>
  <si>
    <t xml:space="preserve">D-8378    </t>
  </si>
  <si>
    <t xml:space="preserve">D-8379    </t>
  </si>
  <si>
    <t xml:space="preserve">D-8380    </t>
  </si>
  <si>
    <t xml:space="preserve">D-8381    </t>
  </si>
  <si>
    <t xml:space="preserve">D-8382    </t>
  </si>
  <si>
    <t xml:space="preserve">D-8383    </t>
  </si>
  <si>
    <t xml:space="preserve">D-8384    </t>
  </si>
  <si>
    <t xml:space="preserve">D-8385    </t>
  </si>
  <si>
    <t xml:space="preserve">D-8386    </t>
  </si>
  <si>
    <t xml:space="preserve">D-8387    </t>
  </si>
  <si>
    <t xml:space="preserve">D-8388    </t>
  </si>
  <si>
    <t xml:space="preserve">D-8389    </t>
  </si>
  <si>
    <t xml:space="preserve">D-8390    </t>
  </si>
  <si>
    <t xml:space="preserve">D-8391    </t>
  </si>
  <si>
    <t xml:space="preserve">D-8392    </t>
  </si>
  <si>
    <t xml:space="preserve">D-8393    </t>
  </si>
  <si>
    <t xml:space="preserve">D-8394    </t>
  </si>
  <si>
    <t>19/04/2017 22/04/2017</t>
  </si>
  <si>
    <t xml:space="preserve">D-8395    </t>
  </si>
  <si>
    <t xml:space="preserve">D-8396    </t>
  </si>
  <si>
    <t xml:space="preserve">D-8397    </t>
  </si>
  <si>
    <t xml:space="preserve">D-8398    </t>
  </si>
  <si>
    <t xml:space="preserve">D-8399    </t>
  </si>
  <si>
    <t xml:space="preserve">D-8400    </t>
  </si>
  <si>
    <t xml:space="preserve">D-8401    </t>
  </si>
  <si>
    <t xml:space="preserve">D-8402    </t>
  </si>
  <si>
    <t xml:space="preserve">D-8403    </t>
  </si>
  <si>
    <t xml:space="preserve">D-8404    </t>
  </si>
  <si>
    <t xml:space="preserve">D-8405    </t>
  </si>
  <si>
    <t xml:space="preserve">D-8406    </t>
  </si>
  <si>
    <t xml:space="preserve">D-8407    </t>
  </si>
  <si>
    <t xml:space="preserve">D-8408    </t>
  </si>
  <si>
    <t xml:space="preserve">D-8409    </t>
  </si>
  <si>
    <t xml:space="preserve">D-8410    </t>
  </si>
  <si>
    <t xml:space="preserve">D-8411    </t>
  </si>
  <si>
    <t xml:space="preserve">D-8412    </t>
  </si>
  <si>
    <t xml:space="preserve">D-8413    </t>
  </si>
  <si>
    <t xml:space="preserve">D-8414    </t>
  </si>
  <si>
    <t xml:space="preserve">D-8415    </t>
  </si>
  <si>
    <t xml:space="preserve">D-8416    </t>
  </si>
  <si>
    <t xml:space="preserve">D-8417    </t>
  </si>
  <si>
    <t xml:space="preserve">D-8418    </t>
  </si>
  <si>
    <t xml:space="preserve">D-8419    </t>
  </si>
  <si>
    <t xml:space="preserve">D-8420    </t>
  </si>
  <si>
    <t xml:space="preserve">D-8421    </t>
  </si>
  <si>
    <t xml:space="preserve">D-8422    </t>
  </si>
  <si>
    <t xml:space="preserve">D-8423    </t>
  </si>
  <si>
    <t xml:space="preserve">D-8424    </t>
  </si>
  <si>
    <t xml:space="preserve">D-8425    </t>
  </si>
  <si>
    <t xml:space="preserve">D-8426    </t>
  </si>
  <si>
    <t xml:space="preserve">D-8427    </t>
  </si>
  <si>
    <t xml:space="preserve">D-8428    </t>
  </si>
  <si>
    <t xml:space="preserve">D-8429    </t>
  </si>
  <si>
    <t xml:space="preserve">D-8430    </t>
  </si>
  <si>
    <t xml:space="preserve">D-8431    </t>
  </si>
  <si>
    <t xml:space="preserve">D-8432    </t>
  </si>
  <si>
    <t xml:space="preserve">D-8433    </t>
  </si>
  <si>
    <t xml:space="preserve">D-8434    </t>
  </si>
  <si>
    <t xml:space="preserve">D-8435    </t>
  </si>
  <si>
    <t xml:space="preserve">D-8436    </t>
  </si>
  <si>
    <t xml:space="preserve">D-8437    </t>
  </si>
  <si>
    <t xml:space="preserve">D-8438    </t>
  </si>
  <si>
    <t xml:space="preserve">D-8439    </t>
  </si>
  <si>
    <t xml:space="preserve">D-8440    </t>
  </si>
  <si>
    <t xml:space="preserve">D-8441    </t>
  </si>
  <si>
    <t xml:space="preserve">D-8442    </t>
  </si>
  <si>
    <t xml:space="preserve">D-8443    </t>
  </si>
  <si>
    <t xml:space="preserve">D-8444    </t>
  </si>
  <si>
    <t xml:space="preserve">D-8445    </t>
  </si>
  <si>
    <t xml:space="preserve">D-8446    </t>
  </si>
  <si>
    <t xml:space="preserve">D-8447    </t>
  </si>
  <si>
    <t xml:space="preserve">D-8448    </t>
  </si>
  <si>
    <t xml:space="preserve">D-8449    </t>
  </si>
  <si>
    <t xml:space="preserve">D-8450    </t>
  </si>
  <si>
    <t xml:space="preserve">D-8451    </t>
  </si>
  <si>
    <t xml:space="preserve">D-8452    </t>
  </si>
  <si>
    <t xml:space="preserve">D-8453    </t>
  </si>
  <si>
    <t xml:space="preserve">D-8454    </t>
  </si>
  <si>
    <t xml:space="preserve">D-8455    </t>
  </si>
  <si>
    <t xml:space="preserve">D-8456    </t>
  </si>
  <si>
    <t xml:space="preserve">D-8457    </t>
  </si>
  <si>
    <t>20/04/2017 24/04/2017</t>
  </si>
  <si>
    <t xml:space="preserve">D-8458    </t>
  </si>
  <si>
    <t xml:space="preserve">D-8459    </t>
  </si>
  <si>
    <t xml:space="preserve">D-8460    </t>
  </si>
  <si>
    <t xml:space="preserve">D-8461    </t>
  </si>
  <si>
    <t xml:space="preserve">D-8462    </t>
  </si>
  <si>
    <t xml:space="preserve">D-8463    </t>
  </si>
  <si>
    <t xml:space="preserve">D-8464    </t>
  </si>
  <si>
    <t xml:space="preserve">D-8465    </t>
  </si>
  <si>
    <t xml:space="preserve">D-8466    </t>
  </si>
  <si>
    <t xml:space="preserve">D-8467    </t>
  </si>
  <si>
    <t xml:space="preserve">D-8468    </t>
  </si>
  <si>
    <t xml:space="preserve">D-8469    </t>
  </si>
  <si>
    <t xml:space="preserve">D-8470    </t>
  </si>
  <si>
    <t xml:space="preserve">D-8471    </t>
  </si>
  <si>
    <t xml:space="preserve">D-8472    </t>
  </si>
  <si>
    <t xml:space="preserve">D-8473    </t>
  </si>
  <si>
    <t xml:space="preserve">D-8474    </t>
  </si>
  <si>
    <t xml:space="preserve">D-8475    </t>
  </si>
  <si>
    <t xml:space="preserve">D-8476    </t>
  </si>
  <si>
    <t xml:space="preserve">D-8477    </t>
  </si>
  <si>
    <t xml:space="preserve">D-8478    </t>
  </si>
  <si>
    <t xml:space="preserve">D-8479    </t>
  </si>
  <si>
    <t xml:space="preserve">D-8480    </t>
  </si>
  <si>
    <t xml:space="preserve">D-8481    </t>
  </si>
  <si>
    <t xml:space="preserve">D-8482    </t>
  </si>
  <si>
    <t xml:space="preserve">D-8483    </t>
  </si>
  <si>
    <t xml:space="preserve">D-8484    </t>
  </si>
  <si>
    <t xml:space="preserve">D-8485    </t>
  </si>
  <si>
    <t xml:space="preserve">D-8486    </t>
  </si>
  <si>
    <t xml:space="preserve">D-8487    </t>
  </si>
  <si>
    <t xml:space="preserve">D-8488    </t>
  </si>
  <si>
    <t xml:space="preserve">D-8489    </t>
  </si>
  <si>
    <t xml:space="preserve">D-8490    </t>
  </si>
  <si>
    <t>21/04/2017 24/04/2017</t>
  </si>
  <si>
    <t xml:space="preserve">D-8491    </t>
  </si>
  <si>
    <t xml:space="preserve">D-8492    </t>
  </si>
  <si>
    <t xml:space="preserve">D-8493    </t>
  </si>
  <si>
    <t xml:space="preserve">D-8494    </t>
  </si>
  <si>
    <t xml:space="preserve">D-8495    </t>
  </si>
  <si>
    <t xml:space="preserve">D-8496    </t>
  </si>
  <si>
    <t xml:space="preserve">D-8497    </t>
  </si>
  <si>
    <t xml:space="preserve">D-8498    </t>
  </si>
  <si>
    <t xml:space="preserve">D-8499    </t>
  </si>
  <si>
    <t xml:space="preserve">D-8500    </t>
  </si>
  <si>
    <t xml:space="preserve">D-8501    </t>
  </si>
  <si>
    <t xml:space="preserve">D-8502    </t>
  </si>
  <si>
    <t xml:space="preserve">D-8503    </t>
  </si>
  <si>
    <t xml:space="preserve">D-8504    </t>
  </si>
  <si>
    <t xml:space="preserve">D-8505    </t>
  </si>
  <si>
    <t xml:space="preserve">D-8506    </t>
  </si>
  <si>
    <t xml:space="preserve">D-8507    </t>
  </si>
  <si>
    <t xml:space="preserve">D-8508    </t>
  </si>
  <si>
    <t xml:space="preserve">D-8509    </t>
  </si>
  <si>
    <t xml:space="preserve">D-8510    </t>
  </si>
  <si>
    <t xml:space="preserve">D-8511    </t>
  </si>
  <si>
    <t xml:space="preserve">D-8512    </t>
  </si>
  <si>
    <t xml:space="preserve">D-8513    </t>
  </si>
  <si>
    <t xml:space="preserve">D-8514    </t>
  </si>
  <si>
    <t xml:space="preserve">D-8515    </t>
  </si>
  <si>
    <t xml:space="preserve">D-8516    </t>
  </si>
  <si>
    <t xml:space="preserve">D-8517    </t>
  </si>
  <si>
    <t xml:space="preserve">D-8518    </t>
  </si>
  <si>
    <t xml:space="preserve">D-8519    </t>
  </si>
  <si>
    <t xml:space="preserve">D-8520    </t>
  </si>
  <si>
    <t xml:space="preserve">D-8521    </t>
  </si>
  <si>
    <t xml:space="preserve">D-8522    </t>
  </si>
  <si>
    <t xml:space="preserve">D-8523    </t>
  </si>
  <si>
    <t xml:space="preserve">D-8524    </t>
  </si>
  <si>
    <t xml:space="preserve">D-8525    </t>
  </si>
  <si>
    <t xml:space="preserve">D-8526    </t>
  </si>
  <si>
    <t xml:space="preserve">D-8527    </t>
  </si>
  <si>
    <t xml:space="preserve">D-8528    </t>
  </si>
  <si>
    <t xml:space="preserve">D-8529    </t>
  </si>
  <si>
    <t xml:space="preserve">D-8530    </t>
  </si>
  <si>
    <t xml:space="preserve">D-8531    </t>
  </si>
  <si>
    <t xml:space="preserve">D-8532    </t>
  </si>
  <si>
    <t xml:space="preserve">D-8533    </t>
  </si>
  <si>
    <t xml:space="preserve">D-8534    </t>
  </si>
  <si>
    <t xml:space="preserve">D-8535    </t>
  </si>
  <si>
    <t xml:space="preserve">D-8536    </t>
  </si>
  <si>
    <t xml:space="preserve">(532)REFUGIO CARRILLO                                                      </t>
  </si>
  <si>
    <t xml:space="preserve">D-8537    </t>
  </si>
  <si>
    <t xml:space="preserve">D-8538    </t>
  </si>
  <si>
    <t xml:space="preserve">D-8539    </t>
  </si>
  <si>
    <t xml:space="preserve">D-8540    </t>
  </si>
  <si>
    <t xml:space="preserve">D-8541    </t>
  </si>
  <si>
    <t xml:space="preserve">D-8542    </t>
  </si>
  <si>
    <t xml:space="preserve">D-8543    </t>
  </si>
  <si>
    <t xml:space="preserve">D-8544    </t>
  </si>
  <si>
    <t xml:space="preserve">D-8545    </t>
  </si>
  <si>
    <t xml:space="preserve">D-8546    </t>
  </si>
  <si>
    <t xml:space="preserve">D-8547    </t>
  </si>
  <si>
    <t xml:space="preserve">D-8548    </t>
  </si>
  <si>
    <t xml:space="preserve">D-8549    </t>
  </si>
  <si>
    <t xml:space="preserve">D-8550    </t>
  </si>
  <si>
    <t xml:space="preserve">D-8551    </t>
  </si>
  <si>
    <t xml:space="preserve">D-8552    </t>
  </si>
  <si>
    <t xml:space="preserve">D-8553    </t>
  </si>
  <si>
    <t xml:space="preserve">D-8554    </t>
  </si>
  <si>
    <t xml:space="preserve">D-8555    </t>
  </si>
  <si>
    <t xml:space="preserve">D-8556    </t>
  </si>
  <si>
    <t xml:space="preserve">D-8557    </t>
  </si>
  <si>
    <t xml:space="preserve">D-8558    </t>
  </si>
  <si>
    <t xml:space="preserve">D-8559    </t>
  </si>
  <si>
    <t xml:space="preserve">D-8560    </t>
  </si>
  <si>
    <t xml:space="preserve">D-8561    </t>
  </si>
  <si>
    <t xml:space="preserve">D-8562    </t>
  </si>
  <si>
    <t xml:space="preserve">D-8563    </t>
  </si>
  <si>
    <t xml:space="preserve">D-8564    </t>
  </si>
  <si>
    <t xml:space="preserve">D-8565    </t>
  </si>
  <si>
    <t xml:space="preserve">D-8566    </t>
  </si>
  <si>
    <t xml:space="preserve">D-8567    </t>
  </si>
  <si>
    <t xml:space="preserve">D-8568    </t>
  </si>
  <si>
    <t xml:space="preserve">(688)FINCA  REAL                                                           </t>
  </si>
  <si>
    <t xml:space="preserve">D-8569    </t>
  </si>
  <si>
    <t xml:space="preserve">D-8570    </t>
  </si>
  <si>
    <t xml:space="preserve">D-8571    </t>
  </si>
  <si>
    <t xml:space="preserve">D-8572    </t>
  </si>
  <si>
    <t xml:space="preserve">D-8573    </t>
  </si>
  <si>
    <t xml:space="preserve">D-8574    </t>
  </si>
  <si>
    <t xml:space="preserve">D-8575    </t>
  </si>
  <si>
    <t xml:space="preserve">D-8576    </t>
  </si>
  <si>
    <t xml:space="preserve">D-8577    </t>
  </si>
  <si>
    <t xml:space="preserve">D-8578    </t>
  </si>
  <si>
    <t xml:space="preserve">D-8579    </t>
  </si>
  <si>
    <t xml:space="preserve">D-8580    </t>
  </si>
  <si>
    <t xml:space="preserve">D-8581    </t>
  </si>
  <si>
    <t xml:space="preserve">D-8582    </t>
  </si>
  <si>
    <t xml:space="preserve">D-8583    </t>
  </si>
  <si>
    <t xml:space="preserve">D-8584    </t>
  </si>
  <si>
    <t xml:space="preserve">D-8585    </t>
  </si>
  <si>
    <t xml:space="preserve">D-8586    </t>
  </si>
  <si>
    <t xml:space="preserve">D-8587    </t>
  </si>
  <si>
    <t xml:space="preserve">D-8588    </t>
  </si>
  <si>
    <t xml:space="preserve">D-8589    </t>
  </si>
  <si>
    <t xml:space="preserve">D-8590    </t>
  </si>
  <si>
    <t xml:space="preserve">D-8591    </t>
  </si>
  <si>
    <t xml:space="preserve">D-8592    </t>
  </si>
  <si>
    <t xml:space="preserve">D-8593    </t>
  </si>
  <si>
    <t xml:space="preserve">D-8594    </t>
  </si>
  <si>
    <t xml:space="preserve">D-8595    </t>
  </si>
  <si>
    <t xml:space="preserve">D-8596    </t>
  </si>
  <si>
    <t xml:space="preserve">D-8597    </t>
  </si>
  <si>
    <t xml:space="preserve">D-8598    </t>
  </si>
  <si>
    <t xml:space="preserve">D-8599    </t>
  </si>
  <si>
    <t xml:space="preserve">D-8600    </t>
  </si>
  <si>
    <t xml:space="preserve">D-8601    </t>
  </si>
  <si>
    <t xml:space="preserve">D-8602    </t>
  </si>
  <si>
    <t xml:space="preserve">D-8603    </t>
  </si>
  <si>
    <t>20/04/2017 22/04/2017</t>
  </si>
  <si>
    <t xml:space="preserve">D-8604    </t>
  </si>
  <si>
    <t xml:space="preserve">D-8605    </t>
  </si>
  <si>
    <t xml:space="preserve">D-8606    </t>
  </si>
  <si>
    <t xml:space="preserve">D-8607    </t>
  </si>
  <si>
    <t xml:space="preserve">D-8608    </t>
  </si>
  <si>
    <t xml:space="preserve">D-8609    </t>
  </si>
  <si>
    <t xml:space="preserve">D-8610    </t>
  </si>
  <si>
    <t xml:space="preserve">D-8611    </t>
  </si>
  <si>
    <t xml:space="preserve">D-8612    </t>
  </si>
  <si>
    <t xml:space="preserve">D-8613    </t>
  </si>
  <si>
    <t xml:space="preserve">D-8614    </t>
  </si>
  <si>
    <t xml:space="preserve">D-8615    </t>
  </si>
  <si>
    <t xml:space="preserve">D-8616    </t>
  </si>
  <si>
    <t xml:space="preserve">D-8617    </t>
  </si>
  <si>
    <t xml:space="preserve">D-8618    </t>
  </si>
  <si>
    <t xml:space="preserve">D-8619    </t>
  </si>
  <si>
    <t xml:space="preserve">D-8620    </t>
  </si>
  <si>
    <t xml:space="preserve">D-8621    </t>
  </si>
  <si>
    <t xml:space="preserve">D-8622    </t>
  </si>
  <si>
    <t xml:space="preserve">D-8623    </t>
  </si>
  <si>
    <t xml:space="preserve">D-8624    </t>
  </si>
  <si>
    <t xml:space="preserve">D-8625    </t>
  </si>
  <si>
    <t xml:space="preserve">D-8626    </t>
  </si>
  <si>
    <t xml:space="preserve">D-8627    </t>
  </si>
  <si>
    <t xml:space="preserve">D-8628    </t>
  </si>
  <si>
    <t xml:space="preserve">D-8629    </t>
  </si>
  <si>
    <t xml:space="preserve">D-8630    </t>
  </si>
  <si>
    <t xml:space="preserve">D-8631    </t>
  </si>
  <si>
    <t xml:space="preserve">D-8632    </t>
  </si>
  <si>
    <t xml:space="preserve">D-8633    </t>
  </si>
  <si>
    <t xml:space="preserve">D-8634    </t>
  </si>
  <si>
    <t xml:space="preserve">D-8635    </t>
  </si>
  <si>
    <t xml:space="preserve">D-8636    </t>
  </si>
  <si>
    <t xml:space="preserve">D-8637    </t>
  </si>
  <si>
    <t xml:space="preserve">D-8638    </t>
  </si>
  <si>
    <t xml:space="preserve">D-8639    </t>
  </si>
  <si>
    <t xml:space="preserve">D-8640    </t>
  </si>
  <si>
    <t xml:space="preserve">D-8641    </t>
  </si>
  <si>
    <t xml:space="preserve">D-8642    </t>
  </si>
  <si>
    <t xml:space="preserve">D-8643    </t>
  </si>
  <si>
    <t xml:space="preserve">D-8644    </t>
  </si>
  <si>
    <t xml:space="preserve">D-8645    </t>
  </si>
  <si>
    <t xml:space="preserve">D-8646    </t>
  </si>
  <si>
    <t xml:space="preserve">D-8647    </t>
  </si>
  <si>
    <t xml:space="preserve">D-8648    </t>
  </si>
  <si>
    <t xml:space="preserve">D-8649    </t>
  </si>
  <si>
    <t xml:space="preserve">D-8650    </t>
  </si>
  <si>
    <t xml:space="preserve">D-8651    </t>
  </si>
  <si>
    <t xml:space="preserve">D-8652    </t>
  </si>
  <si>
    <t xml:space="preserve">D-8653    </t>
  </si>
  <si>
    <t xml:space="preserve">D-8654    </t>
  </si>
  <si>
    <t xml:space="preserve">D-8655    </t>
  </si>
  <si>
    <t xml:space="preserve">D-8656    </t>
  </si>
  <si>
    <t xml:space="preserve">D-8657    </t>
  </si>
  <si>
    <t xml:space="preserve">D-8658    </t>
  </si>
  <si>
    <t xml:space="preserve">D-8659    </t>
  </si>
  <si>
    <t xml:space="preserve">D-8660    </t>
  </si>
  <si>
    <t xml:space="preserve">D-8661    </t>
  </si>
  <si>
    <t xml:space="preserve">D-8662    </t>
  </si>
  <si>
    <t xml:space="preserve">D-8663    </t>
  </si>
  <si>
    <t xml:space="preserve">D-8664    </t>
  </si>
  <si>
    <t xml:space="preserve">D-8665    </t>
  </si>
  <si>
    <t xml:space="preserve">D-8666    </t>
  </si>
  <si>
    <t xml:space="preserve">D-8667    </t>
  </si>
  <si>
    <t xml:space="preserve">D-8668    </t>
  </si>
  <si>
    <t xml:space="preserve">D-8669    </t>
  </si>
  <si>
    <t xml:space="preserve">D-8670    </t>
  </si>
  <si>
    <t xml:space="preserve">D-8671    </t>
  </si>
  <si>
    <t xml:space="preserve">D-8672    </t>
  </si>
  <si>
    <t xml:space="preserve">D-8673    </t>
  </si>
  <si>
    <t xml:space="preserve">D-8674    </t>
  </si>
  <si>
    <t xml:space="preserve">D-8675    </t>
  </si>
  <si>
    <t xml:space="preserve">D-8676    </t>
  </si>
  <si>
    <t xml:space="preserve">D-8677    </t>
  </si>
  <si>
    <t xml:space="preserve">D-8678    </t>
  </si>
  <si>
    <t xml:space="preserve">D-8679    </t>
  </si>
  <si>
    <t xml:space="preserve">D-8680    </t>
  </si>
  <si>
    <t xml:space="preserve">D-8681    </t>
  </si>
  <si>
    <t xml:space="preserve">D-8682    </t>
  </si>
  <si>
    <t xml:space="preserve">D-8683    </t>
  </si>
  <si>
    <t xml:space="preserve">D-8684    </t>
  </si>
  <si>
    <t xml:space="preserve">D-8685    </t>
  </si>
  <si>
    <t>26-Abr-17---29-Abr-17</t>
  </si>
  <si>
    <t xml:space="preserve">D-8686    </t>
  </si>
  <si>
    <t xml:space="preserve">D-8687    </t>
  </si>
  <si>
    <t>20/04/2017 21/04/2017</t>
  </si>
  <si>
    <t xml:space="preserve">D-8688    </t>
  </si>
  <si>
    <t xml:space="preserve">D-8689    </t>
  </si>
  <si>
    <t xml:space="preserve">D-8690    </t>
  </si>
  <si>
    <t xml:space="preserve">D-8691    </t>
  </si>
  <si>
    <t xml:space="preserve">D-8692    </t>
  </si>
  <si>
    <t xml:space="preserve">D-8693    </t>
  </si>
  <si>
    <t xml:space="preserve">D-8694    </t>
  </si>
  <si>
    <t xml:space="preserve">D-8695    </t>
  </si>
  <si>
    <t xml:space="preserve">D-8696    </t>
  </si>
  <si>
    <t xml:space="preserve">D-8697    </t>
  </si>
  <si>
    <t xml:space="preserve">D-8698    </t>
  </si>
  <si>
    <t xml:space="preserve">D-8699    </t>
  </si>
  <si>
    <t xml:space="preserve">D-8700    </t>
  </si>
  <si>
    <t xml:space="preserve">D-8701    </t>
  </si>
  <si>
    <t xml:space="preserve">D-8702    </t>
  </si>
  <si>
    <t xml:space="preserve">D-8703    </t>
  </si>
  <si>
    <t xml:space="preserve">D-8704    </t>
  </si>
  <si>
    <t xml:space="preserve">D-8705    </t>
  </si>
  <si>
    <t xml:space="preserve">D-8706    </t>
  </si>
  <si>
    <t xml:space="preserve">D-8707    </t>
  </si>
  <si>
    <t xml:space="preserve">D-8708    </t>
  </si>
  <si>
    <t xml:space="preserve">D-8709    </t>
  </si>
  <si>
    <t xml:space="preserve">D-8710    </t>
  </si>
  <si>
    <t xml:space="preserve">D-8711    </t>
  </si>
  <si>
    <t xml:space="preserve">D-8712    </t>
  </si>
  <si>
    <t xml:space="preserve">D-8713    </t>
  </si>
  <si>
    <t xml:space="preserve">D-8714    </t>
  </si>
  <si>
    <t xml:space="preserve">D-8715    </t>
  </si>
  <si>
    <t xml:space="preserve">D-8716    </t>
  </si>
  <si>
    <t xml:space="preserve">D-8717    </t>
  </si>
  <si>
    <t xml:space="preserve">D-8718    </t>
  </si>
  <si>
    <t xml:space="preserve">D-8719    </t>
  </si>
  <si>
    <t xml:space="preserve">D-8720    </t>
  </si>
  <si>
    <t xml:space="preserve">D-8721    </t>
  </si>
  <si>
    <t xml:space="preserve">D-8722    </t>
  </si>
  <si>
    <t xml:space="preserve">D-8723    </t>
  </si>
  <si>
    <t xml:space="preserve">D-8724    </t>
  </si>
  <si>
    <t xml:space="preserve">D-8725    </t>
  </si>
  <si>
    <t xml:space="preserve">D-8726    </t>
  </si>
  <si>
    <t xml:space="preserve">D-8727    </t>
  </si>
  <si>
    <t xml:space="preserve">D-8728    </t>
  </si>
  <si>
    <t xml:space="preserve">D-8729    </t>
  </si>
  <si>
    <t xml:space="preserve">D-8730    </t>
  </si>
  <si>
    <t xml:space="preserve">D-8731    </t>
  </si>
  <si>
    <t xml:space="preserve">D-8732    </t>
  </si>
  <si>
    <t xml:space="preserve">D-8733    </t>
  </si>
  <si>
    <t xml:space="preserve">D-8734    </t>
  </si>
  <si>
    <t xml:space="preserve">D-8735    </t>
  </si>
  <si>
    <t xml:space="preserve">D-8736    </t>
  </si>
  <si>
    <t xml:space="preserve">D-8737    </t>
  </si>
  <si>
    <t xml:space="preserve">D-8738    </t>
  </si>
  <si>
    <t xml:space="preserve">D-8739    </t>
  </si>
  <si>
    <t xml:space="preserve">D-8740    </t>
  </si>
  <si>
    <t xml:space="preserve">D-8741    </t>
  </si>
  <si>
    <t xml:space="preserve">D-8742    </t>
  </si>
  <si>
    <t xml:space="preserve">D-8743    </t>
  </si>
  <si>
    <t xml:space="preserve">D-8744    </t>
  </si>
  <si>
    <t xml:space="preserve">D-8745    </t>
  </si>
  <si>
    <t xml:space="preserve">D-8746    </t>
  </si>
  <si>
    <t xml:space="preserve">D-8747    </t>
  </si>
  <si>
    <t xml:space="preserve">D-8748    </t>
  </si>
  <si>
    <t xml:space="preserve">D-8749    </t>
  </si>
  <si>
    <t xml:space="preserve">D-8750    </t>
  </si>
  <si>
    <t xml:space="preserve">D-8751    </t>
  </si>
  <si>
    <t xml:space="preserve">D-8752    </t>
  </si>
  <si>
    <t xml:space="preserve">D-8753    </t>
  </si>
  <si>
    <t xml:space="preserve">D-8754    </t>
  </si>
  <si>
    <t xml:space="preserve">D-8755    </t>
  </si>
  <si>
    <t xml:space="preserve">D-8756    </t>
  </si>
  <si>
    <t xml:space="preserve">D-8757    </t>
  </si>
  <si>
    <t xml:space="preserve">D-8758    </t>
  </si>
  <si>
    <t xml:space="preserve">D-8759    </t>
  </si>
  <si>
    <t xml:space="preserve">D-8760    </t>
  </si>
  <si>
    <t xml:space="preserve">D-8761    </t>
  </si>
  <si>
    <t xml:space="preserve">D-8762    </t>
  </si>
  <si>
    <t xml:space="preserve">D-8763    </t>
  </si>
  <si>
    <t xml:space="preserve">D-8764    </t>
  </si>
  <si>
    <t xml:space="preserve">D-8765    </t>
  </si>
  <si>
    <t xml:space="preserve">D-8766    </t>
  </si>
  <si>
    <t xml:space="preserve">D-8767    </t>
  </si>
  <si>
    <t xml:space="preserve">D-8768    </t>
  </si>
  <si>
    <t xml:space="preserve">D-8769    </t>
  </si>
  <si>
    <t xml:space="preserve">D-8770    </t>
  </si>
  <si>
    <t xml:space="preserve">D-8771    </t>
  </si>
  <si>
    <t xml:space="preserve">D-8772    </t>
  </si>
  <si>
    <t>24-Abr-17--26-Abr-17</t>
  </si>
  <si>
    <t xml:space="preserve">D-8773    </t>
  </si>
  <si>
    <t xml:space="preserve">D-8774    </t>
  </si>
  <si>
    <t xml:space="preserve">D-8775    </t>
  </si>
  <si>
    <t xml:space="preserve">D-8776    </t>
  </si>
  <si>
    <t xml:space="preserve">D-8777    </t>
  </si>
  <si>
    <t xml:space="preserve">D-8778    </t>
  </si>
  <si>
    <t xml:space="preserve">D-8779    </t>
  </si>
  <si>
    <t xml:space="preserve">D-8780    </t>
  </si>
  <si>
    <t xml:space="preserve">D-8781    </t>
  </si>
  <si>
    <t xml:space="preserve">D-8782    </t>
  </si>
  <si>
    <t xml:space="preserve">D-8783    </t>
  </si>
  <si>
    <t xml:space="preserve">D-8784    </t>
  </si>
  <si>
    <t xml:space="preserve">D-8785    </t>
  </si>
  <si>
    <t xml:space="preserve">D-8786    </t>
  </si>
  <si>
    <t xml:space="preserve">D-8787    </t>
  </si>
  <si>
    <t xml:space="preserve">D-8788    </t>
  </si>
  <si>
    <t xml:space="preserve">D-8789    </t>
  </si>
  <si>
    <t xml:space="preserve">D-8790    </t>
  </si>
  <si>
    <t xml:space="preserve">D-8791    </t>
  </si>
  <si>
    <t xml:space="preserve">D-8792    </t>
  </si>
  <si>
    <t>22/04/2017 23/04/2017</t>
  </si>
  <si>
    <t xml:space="preserve">D-8793    </t>
  </si>
  <si>
    <t xml:space="preserve">D-8794    </t>
  </si>
  <si>
    <t xml:space="preserve">D-8795    </t>
  </si>
  <si>
    <t xml:space="preserve">D-8796    </t>
  </si>
  <si>
    <t xml:space="preserve">D-8797    </t>
  </si>
  <si>
    <t xml:space="preserve">D-8798    </t>
  </si>
  <si>
    <t xml:space="preserve">D-8799    </t>
  </si>
  <si>
    <t xml:space="preserve">D-8800    </t>
  </si>
  <si>
    <t xml:space="preserve">D-8801    </t>
  </si>
  <si>
    <t xml:space="preserve">D-8802    </t>
  </si>
  <si>
    <t xml:space="preserve">D-8803    </t>
  </si>
  <si>
    <t xml:space="preserve">D-8804    </t>
  </si>
  <si>
    <t xml:space="preserve">D-8805    </t>
  </si>
  <si>
    <t xml:space="preserve">D-8806    </t>
  </si>
  <si>
    <t xml:space="preserve">D-8807    </t>
  </si>
  <si>
    <t xml:space="preserve">D-8808    </t>
  </si>
  <si>
    <t xml:space="preserve">D-8809    </t>
  </si>
  <si>
    <t xml:space="preserve">D-8810    </t>
  </si>
  <si>
    <t xml:space="preserve">D-8811    </t>
  </si>
  <si>
    <t xml:space="preserve">D-8812    </t>
  </si>
  <si>
    <t xml:space="preserve">D-8813    </t>
  </si>
  <si>
    <t xml:space="preserve">D-8814    </t>
  </si>
  <si>
    <t xml:space="preserve">D-8815    </t>
  </si>
  <si>
    <t xml:space="preserve">D-8816    </t>
  </si>
  <si>
    <t xml:space="preserve">D-8817    </t>
  </si>
  <si>
    <t xml:space="preserve">D-8818    </t>
  </si>
  <si>
    <t xml:space="preserve">D-8819    </t>
  </si>
  <si>
    <t xml:space="preserve">D-8820    </t>
  </si>
  <si>
    <t xml:space="preserve">D-8821    </t>
  </si>
  <si>
    <t xml:space="preserve">D-8822    </t>
  </si>
  <si>
    <t xml:space="preserve">D-8823    </t>
  </si>
  <si>
    <t xml:space="preserve">D-8824    </t>
  </si>
  <si>
    <t xml:space="preserve">D-8825    </t>
  </si>
  <si>
    <t xml:space="preserve">D-8826    </t>
  </si>
  <si>
    <t xml:space="preserve">D-8827    </t>
  </si>
  <si>
    <t xml:space="preserve">D-8828    </t>
  </si>
  <si>
    <t xml:space="preserve">D-8829    </t>
  </si>
  <si>
    <t xml:space="preserve">D-8830    </t>
  </si>
  <si>
    <t xml:space="preserve">D-8831    </t>
  </si>
  <si>
    <t xml:space="preserve">D-8832    </t>
  </si>
  <si>
    <t xml:space="preserve">D-8833    </t>
  </si>
  <si>
    <t xml:space="preserve">D-8834    </t>
  </si>
  <si>
    <t xml:space="preserve">D-8835    </t>
  </si>
  <si>
    <t xml:space="preserve">D-8836    </t>
  </si>
  <si>
    <t xml:space="preserve">D-8837    </t>
  </si>
  <si>
    <t xml:space="preserve">D-8838    </t>
  </si>
  <si>
    <t xml:space="preserve">D-8839    </t>
  </si>
  <si>
    <t xml:space="preserve">D-8840    </t>
  </si>
  <si>
    <t xml:space="preserve">D-8841    </t>
  </si>
  <si>
    <t xml:space="preserve">D-8842    </t>
  </si>
  <si>
    <t xml:space="preserve">D-8843    </t>
  </si>
  <si>
    <t xml:space="preserve">D-8844    </t>
  </si>
  <si>
    <t xml:space="preserve">D-8845    </t>
  </si>
  <si>
    <t xml:space="preserve">D-8846    </t>
  </si>
  <si>
    <t xml:space="preserve">D-8847    </t>
  </si>
  <si>
    <t xml:space="preserve">D-8848    </t>
  </si>
  <si>
    <t xml:space="preserve">D-8849    </t>
  </si>
  <si>
    <t xml:space="preserve">D-8850    </t>
  </si>
  <si>
    <t xml:space="preserve">D-8851    </t>
  </si>
  <si>
    <t xml:space="preserve">D-8852    </t>
  </si>
  <si>
    <t xml:space="preserve">D-8853    </t>
  </si>
  <si>
    <t xml:space="preserve">D-8854    </t>
  </si>
  <si>
    <t xml:space="preserve">(410)CELSO                                                                 </t>
  </si>
  <si>
    <t xml:space="preserve">D-8855    </t>
  </si>
  <si>
    <t xml:space="preserve">D-8856    </t>
  </si>
  <si>
    <t xml:space="preserve">D-8857    </t>
  </si>
  <si>
    <t xml:space="preserve">D-8858    </t>
  </si>
  <si>
    <t xml:space="preserve">D-8859    </t>
  </si>
  <si>
    <t xml:space="preserve">D-8860    </t>
  </si>
  <si>
    <t xml:space="preserve">D-8861    </t>
  </si>
  <si>
    <t xml:space="preserve">D-8862    </t>
  </si>
  <si>
    <t xml:space="preserve">D-8863    </t>
  </si>
  <si>
    <t xml:space="preserve">D-8864    </t>
  </si>
  <si>
    <t xml:space="preserve">D-8865    </t>
  </si>
  <si>
    <t xml:space="preserve">D-8866    </t>
  </si>
  <si>
    <t xml:space="preserve">D-8867    </t>
  </si>
  <si>
    <t xml:space="preserve">D-8868    </t>
  </si>
  <si>
    <t xml:space="preserve">D-8869    </t>
  </si>
  <si>
    <t xml:space="preserve">D-8870    </t>
  </si>
  <si>
    <t xml:space="preserve">D-8871    </t>
  </si>
  <si>
    <t xml:space="preserve">D-8872    </t>
  </si>
  <si>
    <t xml:space="preserve">D-8873    </t>
  </si>
  <si>
    <t xml:space="preserve">D-8874    </t>
  </si>
  <si>
    <t xml:space="preserve">D-8875    </t>
  </si>
  <si>
    <t xml:space="preserve">D-8876    </t>
  </si>
  <si>
    <t xml:space="preserve">D-8877    </t>
  </si>
  <si>
    <t xml:space="preserve">D-8878    </t>
  </si>
  <si>
    <t xml:space="preserve">D-8879    </t>
  </si>
  <si>
    <t xml:space="preserve">D-8880    </t>
  </si>
  <si>
    <t>22/04/2017 25/04/2017</t>
  </si>
  <si>
    <t xml:space="preserve">D-8881    </t>
  </si>
  <si>
    <t xml:space="preserve">D-8882    </t>
  </si>
  <si>
    <t xml:space="preserve">D-8883    </t>
  </si>
  <si>
    <t xml:space="preserve">D-8884    </t>
  </si>
  <si>
    <t xml:space="preserve">D-8885    </t>
  </si>
  <si>
    <t xml:space="preserve">D-8886    </t>
  </si>
  <si>
    <t xml:space="preserve">D-8887    </t>
  </si>
  <si>
    <t xml:space="preserve">D-8888    </t>
  </si>
  <si>
    <t xml:space="preserve">D-8889    </t>
  </si>
  <si>
    <t xml:space="preserve">D-8890    </t>
  </si>
  <si>
    <t xml:space="preserve">D-8891    </t>
  </si>
  <si>
    <t xml:space="preserve">D-8892    </t>
  </si>
  <si>
    <t xml:space="preserve">D-8893    </t>
  </si>
  <si>
    <t xml:space="preserve">D-8894    </t>
  </si>
  <si>
    <t xml:space="preserve">D-8895    </t>
  </si>
  <si>
    <t xml:space="preserve">D-8896    </t>
  </si>
  <si>
    <t xml:space="preserve">D-8897    </t>
  </si>
  <si>
    <t xml:space="preserve">D-8898    </t>
  </si>
  <si>
    <t xml:space="preserve">D-8899    </t>
  </si>
  <si>
    <t xml:space="preserve">D-8900    </t>
  </si>
  <si>
    <t xml:space="preserve">D-8901    </t>
  </si>
  <si>
    <t xml:space="preserve">D-8902    </t>
  </si>
  <si>
    <t xml:space="preserve">D-8903    </t>
  </si>
  <si>
    <t xml:space="preserve">D-8904    </t>
  </si>
  <si>
    <t xml:space="preserve">D-8905    </t>
  </si>
  <si>
    <t xml:space="preserve">D-8906    </t>
  </si>
  <si>
    <t xml:space="preserve">D-8907    </t>
  </si>
  <si>
    <t xml:space="preserve">D-8908    </t>
  </si>
  <si>
    <t xml:space="preserve">D-8909    </t>
  </si>
  <si>
    <t xml:space="preserve">D-8910    </t>
  </si>
  <si>
    <t xml:space="preserve">D-8911    </t>
  </si>
  <si>
    <t xml:space="preserve">D-8912    </t>
  </si>
  <si>
    <t xml:space="preserve">D-8913    </t>
  </si>
  <si>
    <t xml:space="preserve">D-8914    </t>
  </si>
  <si>
    <t xml:space="preserve">D-8915    </t>
  </si>
  <si>
    <t xml:space="preserve">D-8916    </t>
  </si>
  <si>
    <t xml:space="preserve">D-8917    </t>
  </si>
  <si>
    <t xml:space="preserve">D-8918    </t>
  </si>
  <si>
    <t>22-abr-17----29-abr-17</t>
  </si>
  <si>
    <t xml:space="preserve">D-8919    </t>
  </si>
  <si>
    <t xml:space="preserve">D-8920    </t>
  </si>
  <si>
    <t xml:space="preserve">D-8921    </t>
  </si>
  <si>
    <t xml:space="preserve">D-8922    </t>
  </si>
  <si>
    <t xml:space="preserve">D-8923    </t>
  </si>
  <si>
    <t xml:space="preserve">D-8924    </t>
  </si>
  <si>
    <t xml:space="preserve">D-8925    </t>
  </si>
  <si>
    <t xml:space="preserve">D-8926    </t>
  </si>
  <si>
    <t xml:space="preserve">D-8927    </t>
  </si>
  <si>
    <t xml:space="preserve">D-8928    </t>
  </si>
  <si>
    <t xml:space="preserve">D-8929    </t>
  </si>
  <si>
    <t xml:space="preserve">D-8930    </t>
  </si>
  <si>
    <t xml:space="preserve">D-8931    </t>
  </si>
  <si>
    <t>26-Abr-17---27-Abr-17</t>
  </si>
  <si>
    <t xml:space="preserve">D-8932    </t>
  </si>
  <si>
    <t xml:space="preserve">D-8933    </t>
  </si>
  <si>
    <t xml:space="preserve">D-8934    </t>
  </si>
  <si>
    <t>25-Abr-17---27-Abr-17</t>
  </si>
  <si>
    <t xml:space="preserve">D-8935    </t>
  </si>
  <si>
    <t xml:space="preserve">D-8936    </t>
  </si>
  <si>
    <t xml:space="preserve">D-8937    </t>
  </si>
  <si>
    <t xml:space="preserve">D-8938    </t>
  </si>
  <si>
    <t xml:space="preserve">D-8939    </t>
  </si>
  <si>
    <t xml:space="preserve">D-8940    </t>
  </si>
  <si>
    <t xml:space="preserve">(625)TAQUITOS LA PAZ                                                       </t>
  </si>
  <si>
    <t xml:space="preserve">D-8941    </t>
  </si>
  <si>
    <t xml:space="preserve">D-8942    </t>
  </si>
  <si>
    <t xml:space="preserve">D-8943    </t>
  </si>
  <si>
    <t xml:space="preserve">D-8944    </t>
  </si>
  <si>
    <t xml:space="preserve">D-8945    </t>
  </si>
  <si>
    <t xml:space="preserve">D-8946    </t>
  </si>
  <si>
    <t xml:space="preserve">D-8947    </t>
  </si>
  <si>
    <t xml:space="preserve">D-8948    </t>
  </si>
  <si>
    <t xml:space="preserve">D-8949    </t>
  </si>
  <si>
    <t xml:space="preserve">D-8950    </t>
  </si>
  <si>
    <t xml:space="preserve">D-8951    </t>
  </si>
  <si>
    <t xml:space="preserve">D-8952    </t>
  </si>
  <si>
    <t>25-Abr-17---26-Abr-17</t>
  </si>
  <si>
    <t xml:space="preserve">D-8953    </t>
  </si>
  <si>
    <t xml:space="preserve">D-8954    </t>
  </si>
  <si>
    <t xml:space="preserve">D-8955    </t>
  </si>
  <si>
    <t xml:space="preserve">D-8956    </t>
  </si>
  <si>
    <t xml:space="preserve">D-8957    </t>
  </si>
  <si>
    <t xml:space="preserve">D-8958    </t>
  </si>
  <si>
    <t xml:space="preserve">D-8959    </t>
  </si>
  <si>
    <t xml:space="preserve">D-8960    </t>
  </si>
  <si>
    <t xml:space="preserve">D-8961    </t>
  </si>
  <si>
    <t xml:space="preserve">D-8962    </t>
  </si>
  <si>
    <t xml:space="preserve">D-8963    </t>
  </si>
  <si>
    <t xml:space="preserve">D-8964    </t>
  </si>
  <si>
    <t xml:space="preserve">D-8965    </t>
  </si>
  <si>
    <t xml:space="preserve">D-8966    </t>
  </si>
  <si>
    <t xml:space="preserve">D-8967    </t>
  </si>
  <si>
    <t xml:space="preserve">D-8968    </t>
  </si>
  <si>
    <t xml:space="preserve">D-8969    </t>
  </si>
  <si>
    <t xml:space="preserve">D-8970    </t>
  </si>
  <si>
    <t xml:space="preserve">D-8971    </t>
  </si>
  <si>
    <t xml:space="preserve">D-8972    </t>
  </si>
  <si>
    <t xml:space="preserve">D-8973    </t>
  </si>
  <si>
    <t xml:space="preserve">D-8974    </t>
  </si>
  <si>
    <t xml:space="preserve">D-8975    </t>
  </si>
  <si>
    <t xml:space="preserve">D-8976    </t>
  </si>
  <si>
    <t xml:space="preserve">D-8977    </t>
  </si>
  <si>
    <t xml:space="preserve">D-8978    </t>
  </si>
  <si>
    <t xml:space="preserve">D-8979    </t>
  </si>
  <si>
    <t xml:space="preserve">D-8980    </t>
  </si>
  <si>
    <t xml:space="preserve">D-8981    </t>
  </si>
  <si>
    <t xml:space="preserve">D-8982    </t>
  </si>
  <si>
    <t xml:space="preserve">D-8983    </t>
  </si>
  <si>
    <t xml:space="preserve">D-8984    </t>
  </si>
  <si>
    <t xml:space="preserve">D-8985    </t>
  </si>
  <si>
    <t xml:space="preserve">D-8986    </t>
  </si>
  <si>
    <t xml:space="preserve">D-8987    </t>
  </si>
  <si>
    <t xml:space="preserve">D-8988    </t>
  </si>
  <si>
    <t xml:space="preserve">D-8989    </t>
  </si>
  <si>
    <t xml:space="preserve">D-8990    </t>
  </si>
  <si>
    <t xml:space="preserve">D-8991    </t>
  </si>
  <si>
    <t xml:space="preserve">D-8992    </t>
  </si>
  <si>
    <t xml:space="preserve">D-8993    </t>
  </si>
  <si>
    <t xml:space="preserve">D-8994    </t>
  </si>
  <si>
    <t xml:space="preserve">D-8995    </t>
  </si>
  <si>
    <t xml:space="preserve">D-8996    </t>
  </si>
  <si>
    <t xml:space="preserve">D-8997    </t>
  </si>
  <si>
    <t xml:space="preserve">D-8998    </t>
  </si>
  <si>
    <t xml:space="preserve">D-8999    </t>
  </si>
  <si>
    <t xml:space="preserve">D-9000    </t>
  </si>
  <si>
    <t xml:space="preserve">D-9001    </t>
  </si>
  <si>
    <t xml:space="preserve">D-9002    </t>
  </si>
  <si>
    <t xml:space="preserve">D-9003    </t>
  </si>
  <si>
    <t xml:space="preserve">D-9004    </t>
  </si>
  <si>
    <t xml:space="preserve">D-9005    </t>
  </si>
  <si>
    <t xml:space="preserve">D-9006    </t>
  </si>
  <si>
    <t xml:space="preserve">D-9007    </t>
  </si>
  <si>
    <t>23-Abr-17--27-Abr-17</t>
  </si>
  <si>
    <t xml:space="preserve">D-9008    </t>
  </si>
  <si>
    <t xml:space="preserve">D-9009    </t>
  </si>
  <si>
    <t xml:space="preserve">D-9010    </t>
  </si>
  <si>
    <t xml:space="preserve">D-9011    </t>
  </si>
  <si>
    <t xml:space="preserve">D-9012    </t>
  </si>
  <si>
    <t xml:space="preserve">D-9013    </t>
  </si>
  <si>
    <t xml:space="preserve">D-9014    </t>
  </si>
  <si>
    <t xml:space="preserve">D-9015    </t>
  </si>
  <si>
    <t xml:space="preserve">D-9016    </t>
  </si>
  <si>
    <t xml:space="preserve">D-9017    </t>
  </si>
  <si>
    <t xml:space="preserve">D-9018    </t>
  </si>
  <si>
    <t xml:space="preserve">D-9019    </t>
  </si>
  <si>
    <t xml:space="preserve">D-9020    </t>
  </si>
  <si>
    <t xml:space="preserve">D-9021    </t>
  </si>
  <si>
    <t xml:space="preserve">D-9022    </t>
  </si>
  <si>
    <t xml:space="preserve">D-9023    </t>
  </si>
  <si>
    <t xml:space="preserve">D-9024    </t>
  </si>
  <si>
    <t xml:space="preserve">D-9025    </t>
  </si>
  <si>
    <t xml:space="preserve">D-9026    </t>
  </si>
  <si>
    <t xml:space="preserve">D-9027    </t>
  </si>
  <si>
    <t xml:space="preserve">D-9028    </t>
  </si>
  <si>
    <t xml:space="preserve">D-9029    </t>
  </si>
  <si>
    <t xml:space="preserve">D-9030    </t>
  </si>
  <si>
    <t xml:space="preserve">D-9031    </t>
  </si>
  <si>
    <t xml:space="preserve">D-9032    </t>
  </si>
  <si>
    <t xml:space="preserve">D-9033    </t>
  </si>
  <si>
    <t xml:space="preserve">D-9034    </t>
  </si>
  <si>
    <t xml:space="preserve">D-9035    </t>
  </si>
  <si>
    <t xml:space="preserve">D-9036    </t>
  </si>
  <si>
    <t xml:space="preserve">D-9037    </t>
  </si>
  <si>
    <t xml:space="preserve">D-9038    </t>
  </si>
  <si>
    <t xml:space="preserve">D-9039    </t>
  </si>
  <si>
    <t xml:space="preserve">D-9040    </t>
  </si>
  <si>
    <t xml:space="preserve">D-9041    </t>
  </si>
  <si>
    <t xml:space="preserve">D-9042    </t>
  </si>
  <si>
    <t xml:space="preserve">D-9043    </t>
  </si>
  <si>
    <t xml:space="preserve">D-9044    </t>
  </si>
  <si>
    <t xml:space="preserve">D-9045    </t>
  </si>
  <si>
    <t xml:space="preserve">D-9046    </t>
  </si>
  <si>
    <t xml:space="preserve">D-9047    </t>
  </si>
  <si>
    <t xml:space="preserve">D-9048    </t>
  </si>
  <si>
    <t xml:space="preserve">D-9049    </t>
  </si>
  <si>
    <t xml:space="preserve">D-9050    </t>
  </si>
  <si>
    <t xml:space="preserve">D-9051    </t>
  </si>
  <si>
    <t xml:space="preserve">D-9052    </t>
  </si>
  <si>
    <t xml:space="preserve">D-9053    </t>
  </si>
  <si>
    <t xml:space="preserve">D-9054    </t>
  </si>
  <si>
    <t xml:space="preserve">D-9055    </t>
  </si>
  <si>
    <t xml:space="preserve">D-9056    </t>
  </si>
  <si>
    <t xml:space="preserve">D-9057    </t>
  </si>
  <si>
    <t xml:space="preserve">D-9058    </t>
  </si>
  <si>
    <t xml:space="preserve">D-9059    </t>
  </si>
  <si>
    <t xml:space="preserve">D-9060    </t>
  </si>
  <si>
    <t xml:space="preserve">D-9061    </t>
  </si>
  <si>
    <t xml:space="preserve">D-9062    </t>
  </si>
  <si>
    <t xml:space="preserve">D-9063    </t>
  </si>
  <si>
    <t xml:space="preserve">D-9064    </t>
  </si>
  <si>
    <t xml:space="preserve">D-9065    </t>
  </si>
  <si>
    <t xml:space="preserve">D-9066    </t>
  </si>
  <si>
    <t xml:space="preserve">D-9067    </t>
  </si>
  <si>
    <t xml:space="preserve">D-9068    </t>
  </si>
  <si>
    <t xml:space="preserve">D-9069    </t>
  </si>
  <si>
    <t xml:space="preserve">D-9070    </t>
  </si>
  <si>
    <t xml:space="preserve">D-9071    </t>
  </si>
  <si>
    <t xml:space="preserve">D-9072    </t>
  </si>
  <si>
    <t xml:space="preserve">D-9073    </t>
  </si>
  <si>
    <t xml:space="preserve">D-9074    </t>
  </si>
  <si>
    <t xml:space="preserve">D-9075    </t>
  </si>
  <si>
    <t xml:space="preserve">D-9076    </t>
  </si>
  <si>
    <t xml:space="preserve">D-9077    </t>
  </si>
  <si>
    <t xml:space="preserve">D-9078    </t>
  </si>
  <si>
    <t xml:space="preserve">D-9079    </t>
  </si>
  <si>
    <t xml:space="preserve">D-9080    </t>
  </si>
  <si>
    <t xml:space="preserve">D-9081    </t>
  </si>
  <si>
    <t xml:space="preserve">D-9082    </t>
  </si>
  <si>
    <t xml:space="preserve">D-9083    </t>
  </si>
  <si>
    <t xml:space="preserve">D-9084    </t>
  </si>
  <si>
    <t xml:space="preserve">D-9085    </t>
  </si>
  <si>
    <t xml:space="preserve">D-9086    </t>
  </si>
  <si>
    <t xml:space="preserve">D-9087    </t>
  </si>
  <si>
    <t xml:space="preserve">D-9088    </t>
  </si>
  <si>
    <t xml:space="preserve">D-9089    </t>
  </si>
  <si>
    <t xml:space="preserve">D-9090    </t>
  </si>
  <si>
    <t xml:space="preserve">D-9091    </t>
  </si>
  <si>
    <t xml:space="preserve">D-9092    </t>
  </si>
  <si>
    <t xml:space="preserve">D-9093    </t>
  </si>
  <si>
    <t>24/04/2017 25/04/2017</t>
  </si>
  <si>
    <t xml:space="preserve">D-9094    </t>
  </si>
  <si>
    <t xml:space="preserve">D-9095    </t>
  </si>
  <si>
    <t xml:space="preserve">D-9096    </t>
  </si>
  <si>
    <t xml:space="preserve">D-9097    </t>
  </si>
  <si>
    <t xml:space="preserve">D-9098    </t>
  </si>
  <si>
    <t xml:space="preserve">D-9099    </t>
  </si>
  <si>
    <t xml:space="preserve">D-9100    </t>
  </si>
  <si>
    <t xml:space="preserve">D-9101    </t>
  </si>
  <si>
    <t xml:space="preserve">D-9102    </t>
  </si>
  <si>
    <t xml:space="preserve">D-9103    </t>
  </si>
  <si>
    <t xml:space="preserve">D-9104    </t>
  </si>
  <si>
    <t xml:space="preserve">D-9105    </t>
  </si>
  <si>
    <t xml:space="preserve">D-9106    </t>
  </si>
  <si>
    <t xml:space="preserve">D-9107    </t>
  </si>
  <si>
    <t xml:space="preserve">D-9108    </t>
  </si>
  <si>
    <t xml:space="preserve">D-9109    </t>
  </si>
  <si>
    <t xml:space="preserve">D-9110    </t>
  </si>
  <si>
    <t xml:space="preserve">D-9111    </t>
  </si>
  <si>
    <t xml:space="preserve">D-9112    </t>
  </si>
  <si>
    <t>24-Abr-17--27-Abr-17</t>
  </si>
  <si>
    <t xml:space="preserve">D-9113    </t>
  </si>
  <si>
    <t xml:space="preserve">D-9114    </t>
  </si>
  <si>
    <t xml:space="preserve">D-9115    </t>
  </si>
  <si>
    <t xml:space="preserve">D-9116    </t>
  </si>
  <si>
    <t xml:space="preserve">D-9117    </t>
  </si>
  <si>
    <t xml:space="preserve">D-9118    </t>
  </si>
  <si>
    <t xml:space="preserve">D-9119    </t>
  </si>
  <si>
    <t xml:space="preserve">D-9120    </t>
  </si>
  <si>
    <t xml:space="preserve">D-9121    </t>
  </si>
  <si>
    <t xml:space="preserve">D-9122    </t>
  </si>
  <si>
    <t xml:space="preserve">D-9123    </t>
  </si>
  <si>
    <t xml:space="preserve">D-9124    </t>
  </si>
  <si>
    <t xml:space="preserve">D-9125    </t>
  </si>
  <si>
    <t xml:space="preserve">D-9126    </t>
  </si>
  <si>
    <t xml:space="preserve">D-9127    </t>
  </si>
  <si>
    <t xml:space="preserve">D-9128    </t>
  </si>
  <si>
    <t xml:space="preserve">D-9129    </t>
  </si>
  <si>
    <t xml:space="preserve">D-9130    </t>
  </si>
  <si>
    <t xml:space="preserve">D-9131    </t>
  </si>
  <si>
    <t xml:space="preserve">D-9132    </t>
  </si>
  <si>
    <t xml:space="preserve">D-9133    </t>
  </si>
  <si>
    <t xml:space="preserve">D-9134    </t>
  </si>
  <si>
    <t xml:space="preserve">D-9135    </t>
  </si>
  <si>
    <t xml:space="preserve">D-9136    </t>
  </si>
  <si>
    <t xml:space="preserve">D-9137    </t>
  </si>
  <si>
    <t xml:space="preserve">D-9138    </t>
  </si>
  <si>
    <t xml:space="preserve">D-9139    </t>
  </si>
  <si>
    <t xml:space="preserve">D-9140    </t>
  </si>
  <si>
    <t xml:space="preserve">D-9141    </t>
  </si>
  <si>
    <t xml:space="preserve">D-9142    </t>
  </si>
  <si>
    <t xml:space="preserve">D-9143    </t>
  </si>
  <si>
    <t xml:space="preserve">D-9144    </t>
  </si>
  <si>
    <t xml:space="preserve">D-9145    </t>
  </si>
  <si>
    <t xml:space="preserve">D-9146    </t>
  </si>
  <si>
    <t xml:space="preserve">D-9147    </t>
  </si>
  <si>
    <t xml:space="preserve">D-9148    </t>
  </si>
  <si>
    <t xml:space="preserve">D-9149    </t>
  </si>
  <si>
    <t xml:space="preserve">D-9150    </t>
  </si>
  <si>
    <t xml:space="preserve">D-9151    </t>
  </si>
  <si>
    <t xml:space="preserve">D-9152    </t>
  </si>
  <si>
    <t xml:space="preserve">D-9153    </t>
  </si>
  <si>
    <t xml:space="preserve">D-9154    </t>
  </si>
  <si>
    <t xml:space="preserve">D-9155    </t>
  </si>
  <si>
    <t xml:space="preserve">D-9156    </t>
  </si>
  <si>
    <t xml:space="preserve">D-9157    </t>
  </si>
  <si>
    <t xml:space="preserve">D-9158    </t>
  </si>
  <si>
    <t xml:space="preserve">D-9159    </t>
  </si>
  <si>
    <t xml:space="preserve">D-9160    </t>
  </si>
  <si>
    <t xml:space="preserve">D-9161    </t>
  </si>
  <si>
    <t xml:space="preserve">D-9162    </t>
  </si>
  <si>
    <t xml:space="preserve">D-9163    </t>
  </si>
  <si>
    <t xml:space="preserve">D-9164    </t>
  </si>
  <si>
    <t xml:space="preserve">D-9165    </t>
  </si>
  <si>
    <t xml:space="preserve">D-9166    </t>
  </si>
  <si>
    <t xml:space="preserve">D-9167    </t>
  </si>
  <si>
    <t xml:space="preserve">D-9168    </t>
  </si>
  <si>
    <t xml:space="preserve">D-9169    </t>
  </si>
  <si>
    <t xml:space="preserve">D-9170    </t>
  </si>
  <si>
    <t xml:space="preserve">D-9171    </t>
  </si>
  <si>
    <t xml:space="preserve">D-9172    </t>
  </si>
  <si>
    <t xml:space="preserve">D-9173    </t>
  </si>
  <si>
    <t xml:space="preserve">D-9174    </t>
  </si>
  <si>
    <t xml:space="preserve">D-9175    </t>
  </si>
  <si>
    <t xml:space="preserve">D-9176    </t>
  </si>
  <si>
    <t xml:space="preserve">D-9177    </t>
  </si>
  <si>
    <t xml:space="preserve">D-9178    </t>
  </si>
  <si>
    <t xml:space="preserve">D-9179    </t>
  </si>
  <si>
    <t xml:space="preserve">D-9180    </t>
  </si>
  <si>
    <t xml:space="preserve">D-9181    </t>
  </si>
  <si>
    <t xml:space="preserve">D-9182    </t>
  </si>
  <si>
    <t xml:space="preserve">D-9183    </t>
  </si>
  <si>
    <t xml:space="preserve">D-9184    </t>
  </si>
  <si>
    <t>27-Abr-17--28-Abr-17</t>
  </si>
  <si>
    <t xml:space="preserve">D-9185    </t>
  </si>
  <si>
    <t xml:space="preserve">D-9186    </t>
  </si>
  <si>
    <t xml:space="preserve">D-9187    </t>
  </si>
  <si>
    <t xml:space="preserve">D-9188    </t>
  </si>
  <si>
    <t xml:space="preserve">D-9189    </t>
  </si>
  <si>
    <t xml:space="preserve">D-9190    </t>
  </si>
  <si>
    <t xml:space="preserve">D-9191    </t>
  </si>
  <si>
    <t xml:space="preserve">D-9192    </t>
  </si>
  <si>
    <t xml:space="preserve">D-9193    </t>
  </si>
  <si>
    <t xml:space="preserve">D-9194    </t>
  </si>
  <si>
    <t xml:space="preserve">D-9195    </t>
  </si>
  <si>
    <t xml:space="preserve">D-9196    </t>
  </si>
  <si>
    <t xml:space="preserve">D-9197    </t>
  </si>
  <si>
    <t xml:space="preserve">D-9198    </t>
  </si>
  <si>
    <t xml:space="preserve">D-9199    </t>
  </si>
  <si>
    <t xml:space="preserve">D-9200    </t>
  </si>
  <si>
    <t xml:space="preserve">D-9201    </t>
  </si>
  <si>
    <t xml:space="preserve">D-9202    </t>
  </si>
  <si>
    <t xml:space="preserve">D-9203    </t>
  </si>
  <si>
    <t xml:space="preserve">D-9204    </t>
  </si>
  <si>
    <t xml:space="preserve">D-9205    </t>
  </si>
  <si>
    <t xml:space="preserve">D-9206    </t>
  </si>
  <si>
    <t xml:space="preserve">D-9207    </t>
  </si>
  <si>
    <t xml:space="preserve">D-9208    </t>
  </si>
  <si>
    <t xml:space="preserve">D-9209    </t>
  </si>
  <si>
    <t xml:space="preserve">D-9210    </t>
  </si>
  <si>
    <t xml:space="preserve">D-9211    </t>
  </si>
  <si>
    <t xml:space="preserve">D-9212    </t>
  </si>
  <si>
    <t xml:space="preserve">D-9213    </t>
  </si>
  <si>
    <t xml:space="preserve">D-9214    </t>
  </si>
  <si>
    <t xml:space="preserve">D-9215    </t>
  </si>
  <si>
    <t xml:space="preserve">D-9216    </t>
  </si>
  <si>
    <t xml:space="preserve">D-9217    </t>
  </si>
  <si>
    <t xml:space="preserve">D-9218    </t>
  </si>
  <si>
    <t xml:space="preserve">D-9219    </t>
  </si>
  <si>
    <t xml:space="preserve">D-9220    </t>
  </si>
  <si>
    <t xml:space="preserve">D-9221    </t>
  </si>
  <si>
    <t xml:space="preserve">D-9222    </t>
  </si>
  <si>
    <t xml:space="preserve">D-9223    </t>
  </si>
  <si>
    <t xml:space="preserve">D-9224    </t>
  </si>
  <si>
    <t xml:space="preserve">D-9225    </t>
  </si>
  <si>
    <t xml:space="preserve">D-9226    </t>
  </si>
  <si>
    <t xml:space="preserve">D-9227    </t>
  </si>
  <si>
    <t xml:space="preserve">D-9228    </t>
  </si>
  <si>
    <t xml:space="preserve">D-9229    </t>
  </si>
  <si>
    <t xml:space="preserve">D-9230    </t>
  </si>
  <si>
    <t xml:space="preserve">D-9231    </t>
  </si>
  <si>
    <t xml:space="preserve">D-9232    </t>
  </si>
  <si>
    <t xml:space="preserve">D-9233    </t>
  </si>
  <si>
    <t xml:space="preserve">D-9234    </t>
  </si>
  <si>
    <t xml:space="preserve">D-9235    </t>
  </si>
  <si>
    <t xml:space="preserve">D-9236    </t>
  </si>
  <si>
    <t xml:space="preserve">D-9237    </t>
  </si>
  <si>
    <t xml:space="preserve">D-9238    </t>
  </si>
  <si>
    <t xml:space="preserve">D-9239    </t>
  </si>
  <si>
    <t xml:space="preserve">D-9240    </t>
  </si>
  <si>
    <t xml:space="preserve">D-9241    </t>
  </si>
  <si>
    <t xml:space="preserve">D-9242    </t>
  </si>
  <si>
    <t xml:space="preserve">D-9243    </t>
  </si>
  <si>
    <t xml:space="preserve">D-9244    </t>
  </si>
  <si>
    <t xml:space="preserve">D-9245    </t>
  </si>
  <si>
    <t xml:space="preserve">D-9246    </t>
  </si>
  <si>
    <t xml:space="preserve">D-9247    </t>
  </si>
  <si>
    <t xml:space="preserve">D-9248    </t>
  </si>
  <si>
    <t xml:space="preserve">D-9249    </t>
  </si>
  <si>
    <t xml:space="preserve">D-9250    </t>
  </si>
  <si>
    <t xml:space="preserve">D-9251    </t>
  </si>
  <si>
    <t xml:space="preserve">D-9252    </t>
  </si>
  <si>
    <t xml:space="preserve">D-9253    </t>
  </si>
  <si>
    <t xml:space="preserve">D-9254    </t>
  </si>
  <si>
    <t xml:space="preserve">D-9255    </t>
  </si>
  <si>
    <t xml:space="preserve">D-9256    </t>
  </si>
  <si>
    <t xml:space="preserve">D-9257    </t>
  </si>
  <si>
    <t xml:space="preserve">D-9258    </t>
  </si>
  <si>
    <t xml:space="preserve">D-9259    </t>
  </si>
  <si>
    <t xml:space="preserve">D-9260    </t>
  </si>
  <si>
    <t xml:space="preserve">D-9261    </t>
  </si>
  <si>
    <t xml:space="preserve">D-9262    </t>
  </si>
  <si>
    <t xml:space="preserve">D-9263    </t>
  </si>
  <si>
    <t xml:space="preserve">D-9264    </t>
  </si>
  <si>
    <t xml:space="preserve">D-9265    </t>
  </si>
  <si>
    <t xml:space="preserve">D-9266    </t>
  </si>
  <si>
    <t xml:space="preserve">D-9267    </t>
  </si>
  <si>
    <t xml:space="preserve">D-9268    </t>
  </si>
  <si>
    <t xml:space="preserve">D-9269    </t>
  </si>
  <si>
    <t xml:space="preserve">D-9270    </t>
  </si>
  <si>
    <t xml:space="preserve">D-9271    </t>
  </si>
  <si>
    <t xml:space="preserve">D-9272    </t>
  </si>
  <si>
    <t xml:space="preserve">D-9273    </t>
  </si>
  <si>
    <t xml:space="preserve">D-9274    </t>
  </si>
  <si>
    <t xml:space="preserve">D-9275    </t>
  </si>
  <si>
    <t xml:space="preserve">D-9276    </t>
  </si>
  <si>
    <t xml:space="preserve">D-9277    </t>
  </si>
  <si>
    <t xml:space="preserve">D-9278    </t>
  </si>
  <si>
    <t xml:space="preserve">D-9279    </t>
  </si>
  <si>
    <t xml:space="preserve">D-9280    </t>
  </si>
  <si>
    <t xml:space="preserve">D-9281    </t>
  </si>
  <si>
    <t xml:space="preserve">D-9282    </t>
  </si>
  <si>
    <t xml:space="preserve">D-9283    </t>
  </si>
  <si>
    <t xml:space="preserve">D-9284    </t>
  </si>
  <si>
    <t xml:space="preserve">D-9285    </t>
  </si>
  <si>
    <t xml:space="preserve">D-9286    </t>
  </si>
  <si>
    <t xml:space="preserve">D-9287    </t>
  </si>
  <si>
    <t xml:space="preserve">D-9288    </t>
  </si>
  <si>
    <t xml:space="preserve">D-9289    </t>
  </si>
  <si>
    <t xml:space="preserve">D-9290    </t>
  </si>
  <si>
    <t xml:space="preserve">D-9291    </t>
  </si>
  <si>
    <t xml:space="preserve">D-9292    </t>
  </si>
  <si>
    <t xml:space="preserve">D-9293    </t>
  </si>
  <si>
    <t xml:space="preserve">D-9294    </t>
  </si>
  <si>
    <t xml:space="preserve">D-9295    </t>
  </si>
  <si>
    <t xml:space="preserve">D-9296    </t>
  </si>
  <si>
    <t xml:space="preserve">D-9297    </t>
  </si>
  <si>
    <t xml:space="preserve">D-9298    </t>
  </si>
  <si>
    <t xml:space="preserve">D-9299    </t>
  </si>
  <si>
    <t xml:space="preserve">D-9300    </t>
  </si>
  <si>
    <t xml:space="preserve">D-9301    </t>
  </si>
  <si>
    <t xml:space="preserve">D-9302    </t>
  </si>
  <si>
    <t xml:space="preserve">D-9303    </t>
  </si>
  <si>
    <t xml:space="preserve">D-9304    </t>
  </si>
  <si>
    <t xml:space="preserve">D-9305    </t>
  </si>
  <si>
    <t xml:space="preserve">D-9306    </t>
  </si>
  <si>
    <t xml:space="preserve">D-9307    </t>
  </si>
  <si>
    <t xml:space="preserve">D-9308    </t>
  </si>
  <si>
    <t xml:space="preserve">D-9309    </t>
  </si>
  <si>
    <t xml:space="preserve">D-9310    </t>
  </si>
  <si>
    <t xml:space="preserve">D-9311    </t>
  </si>
  <si>
    <t xml:space="preserve">D-9312    </t>
  </si>
  <si>
    <t xml:space="preserve">D-9313    </t>
  </si>
  <si>
    <t xml:space="preserve">D-9314    </t>
  </si>
  <si>
    <t xml:space="preserve">D-9315    </t>
  </si>
  <si>
    <t xml:space="preserve">D-9316    </t>
  </si>
  <si>
    <t xml:space="preserve">D-9317    </t>
  </si>
  <si>
    <t xml:space="preserve">D-9318    </t>
  </si>
  <si>
    <t xml:space="preserve">D-9319    </t>
  </si>
  <si>
    <t xml:space="preserve">D-9320    </t>
  </si>
  <si>
    <t xml:space="preserve">D-9321    </t>
  </si>
  <si>
    <t xml:space="preserve">D-9322    </t>
  </si>
  <si>
    <t xml:space="preserve">D-9323    </t>
  </si>
  <si>
    <t xml:space="preserve">D-9324    </t>
  </si>
  <si>
    <t xml:space="preserve">D-9325    </t>
  </si>
  <si>
    <t xml:space="preserve">D-9326    </t>
  </si>
  <si>
    <t xml:space="preserve">D-9327    </t>
  </si>
  <si>
    <t xml:space="preserve">D-9328    </t>
  </si>
  <si>
    <t xml:space="preserve">D-9329    </t>
  </si>
  <si>
    <t xml:space="preserve">D-9330    </t>
  </si>
  <si>
    <t xml:space="preserve">D-9331    </t>
  </si>
  <si>
    <t xml:space="preserve">D-9332    </t>
  </si>
  <si>
    <t xml:space="preserve">D-9333    </t>
  </si>
  <si>
    <t xml:space="preserve">D-9334    </t>
  </si>
  <si>
    <t xml:space="preserve">D-9335    </t>
  </si>
  <si>
    <t xml:space="preserve">D-9336    </t>
  </si>
  <si>
    <t xml:space="preserve">D-9337    </t>
  </si>
  <si>
    <t xml:space="preserve">D-9338    </t>
  </si>
  <si>
    <t xml:space="preserve">D-9339    </t>
  </si>
  <si>
    <t xml:space="preserve">D-9340    </t>
  </si>
  <si>
    <t xml:space="preserve">D-9341    </t>
  </si>
  <si>
    <t xml:space="preserve">D-9342    </t>
  </si>
  <si>
    <t xml:space="preserve">D-9343    </t>
  </si>
  <si>
    <t xml:space="preserve">D-9344    </t>
  </si>
  <si>
    <t xml:space="preserve">D-9345    </t>
  </si>
  <si>
    <t xml:space="preserve">D-9346    </t>
  </si>
  <si>
    <t xml:space="preserve">D-9347    </t>
  </si>
  <si>
    <t xml:space="preserve">D-9348    </t>
  </si>
  <si>
    <t xml:space="preserve">D-9349    </t>
  </si>
  <si>
    <t xml:space="preserve">D-9350    </t>
  </si>
  <si>
    <t xml:space="preserve">D-9351    </t>
  </si>
  <si>
    <t xml:space="preserve">D-9352    </t>
  </si>
  <si>
    <t xml:space="preserve">D-9353    </t>
  </si>
  <si>
    <t xml:space="preserve">D-9354    </t>
  </si>
  <si>
    <t xml:space="preserve">D-9355    </t>
  </si>
  <si>
    <t xml:space="preserve">(583)JAVIER  LOS PERICOS                                                   </t>
  </si>
  <si>
    <t xml:space="preserve">D-9356    </t>
  </si>
  <si>
    <t xml:space="preserve">D-9357    </t>
  </si>
  <si>
    <t xml:space="preserve">D-9358    </t>
  </si>
  <si>
    <t xml:space="preserve">D-9359    </t>
  </si>
  <si>
    <t xml:space="preserve">D-9360    </t>
  </si>
  <si>
    <t xml:space="preserve">D-9361    </t>
  </si>
  <si>
    <t xml:space="preserve">D-9362    </t>
  </si>
  <si>
    <t xml:space="preserve">D-9363    </t>
  </si>
  <si>
    <t xml:space="preserve">D-9364    </t>
  </si>
  <si>
    <t xml:space="preserve">D-9365    </t>
  </si>
  <si>
    <t xml:space="preserve">D-9366    </t>
  </si>
  <si>
    <t xml:space="preserve">D-9367    </t>
  </si>
  <si>
    <t xml:space="preserve">D-9368    </t>
  </si>
  <si>
    <t xml:space="preserve">D-9369    </t>
  </si>
  <si>
    <t xml:space="preserve">D-9370    </t>
  </si>
  <si>
    <t xml:space="preserve">D-9371    </t>
  </si>
  <si>
    <t xml:space="preserve">D-9372    </t>
  </si>
  <si>
    <t xml:space="preserve">D-9373    </t>
  </si>
  <si>
    <t xml:space="preserve">D-9374    </t>
  </si>
  <si>
    <t xml:space="preserve">D-9375    </t>
  </si>
  <si>
    <t xml:space="preserve">D-9376    </t>
  </si>
  <si>
    <t xml:space="preserve">D-9377    </t>
  </si>
  <si>
    <t xml:space="preserve">D-9378    </t>
  </si>
  <si>
    <t xml:space="preserve">D-9379    </t>
  </si>
  <si>
    <t xml:space="preserve">D-9380    </t>
  </si>
  <si>
    <t xml:space="preserve">D-9381    </t>
  </si>
  <si>
    <t xml:space="preserve">D-9382    </t>
  </si>
  <si>
    <t xml:space="preserve">D-9383    </t>
  </si>
  <si>
    <t xml:space="preserve">D-9384    </t>
  </si>
  <si>
    <t xml:space="preserve">D-9385    </t>
  </si>
  <si>
    <t xml:space="preserve">D-9386    </t>
  </si>
  <si>
    <t xml:space="preserve">D-9387    </t>
  </si>
  <si>
    <t xml:space="preserve">D-9388    </t>
  </si>
  <si>
    <t xml:space="preserve">D-9389    </t>
  </si>
  <si>
    <t xml:space="preserve">D-9390    </t>
  </si>
  <si>
    <t xml:space="preserve">D-9391    </t>
  </si>
  <si>
    <t xml:space="preserve">D-9392    </t>
  </si>
  <si>
    <t xml:space="preserve">D-9393    </t>
  </si>
  <si>
    <t xml:space="preserve">D-9394    </t>
  </si>
  <si>
    <t xml:space="preserve">D-9395    </t>
  </si>
  <si>
    <t xml:space="preserve">D-9396    </t>
  </si>
  <si>
    <t xml:space="preserve">D-9397    </t>
  </si>
  <si>
    <t xml:space="preserve">D-9398    </t>
  </si>
  <si>
    <t xml:space="preserve">D-9399    </t>
  </si>
  <si>
    <t xml:space="preserve">D-9400    </t>
  </si>
  <si>
    <t xml:space="preserve">D-9401    </t>
  </si>
  <si>
    <t xml:space="preserve">D-9402    </t>
  </si>
  <si>
    <t xml:space="preserve">D-9403    </t>
  </si>
  <si>
    <t xml:space="preserve">D-9404    </t>
  </si>
  <si>
    <t xml:space="preserve">D-9405    </t>
  </si>
  <si>
    <t xml:space="preserve">D-9406    </t>
  </si>
  <si>
    <t xml:space="preserve">D-9407    </t>
  </si>
  <si>
    <t xml:space="preserve">D-9408    </t>
  </si>
  <si>
    <t xml:space="preserve">D-9409    </t>
  </si>
  <si>
    <t xml:space="preserve">D-9410    </t>
  </si>
  <si>
    <t xml:space="preserve">D-9411    </t>
  </si>
  <si>
    <t xml:space="preserve">D-9412    </t>
  </si>
  <si>
    <t xml:space="preserve">D-9413    </t>
  </si>
  <si>
    <t xml:space="preserve">D-9414    </t>
  </si>
  <si>
    <t xml:space="preserve">D-9415    </t>
  </si>
  <si>
    <t xml:space="preserve">D-9416    </t>
  </si>
  <si>
    <t xml:space="preserve">D-9417    </t>
  </si>
  <si>
    <t xml:space="preserve">D-9418    </t>
  </si>
  <si>
    <t xml:space="preserve">D-9419    </t>
  </si>
  <si>
    <t xml:space="preserve">D-9420    </t>
  </si>
  <si>
    <t xml:space="preserve">D-9421    </t>
  </si>
  <si>
    <t xml:space="preserve">D-9422    </t>
  </si>
  <si>
    <t xml:space="preserve">D-9423    </t>
  </si>
  <si>
    <t xml:space="preserve">D-9424    </t>
  </si>
  <si>
    <t xml:space="preserve">D-9425    </t>
  </si>
  <si>
    <t xml:space="preserve">D-9426    </t>
  </si>
  <si>
    <t xml:space="preserve">D-9427    </t>
  </si>
  <si>
    <t xml:space="preserve">D-9428    </t>
  </si>
  <si>
    <t xml:space="preserve">D-9429    </t>
  </si>
  <si>
    <t>26-abr-17--29-abr-17</t>
  </si>
  <si>
    <t xml:space="preserve">D-9430    </t>
  </si>
  <si>
    <t xml:space="preserve">D-9431    </t>
  </si>
  <si>
    <t xml:space="preserve">D-9432    </t>
  </si>
  <si>
    <t xml:space="preserve">D-9433    </t>
  </si>
  <si>
    <t xml:space="preserve">D-9434    </t>
  </si>
  <si>
    <t xml:space="preserve">D-9435    </t>
  </si>
  <si>
    <t xml:space="preserve">D-9436    </t>
  </si>
  <si>
    <t xml:space="preserve">D-9437    </t>
  </si>
  <si>
    <t xml:space="preserve">D-9438    </t>
  </si>
  <si>
    <t xml:space="preserve">D-9439    </t>
  </si>
  <si>
    <t xml:space="preserve">D-9440    </t>
  </si>
  <si>
    <t xml:space="preserve">D-9441    </t>
  </si>
  <si>
    <t xml:space="preserve">D-9442    </t>
  </si>
  <si>
    <t xml:space="preserve">D-9443    </t>
  </si>
  <si>
    <t xml:space="preserve">D-9444    </t>
  </si>
  <si>
    <t xml:space="preserve">D-9445    </t>
  </si>
  <si>
    <t xml:space="preserve">D-9446    </t>
  </si>
  <si>
    <t xml:space="preserve">D-9447    </t>
  </si>
  <si>
    <t xml:space="preserve">D-9448    </t>
  </si>
  <si>
    <t xml:space="preserve">D-9449    </t>
  </si>
  <si>
    <t xml:space="preserve">D-9450    </t>
  </si>
  <si>
    <t xml:space="preserve">D-9451    </t>
  </si>
  <si>
    <t xml:space="preserve">D-9452    </t>
  </si>
  <si>
    <t xml:space="preserve">D-9453    </t>
  </si>
  <si>
    <t xml:space="preserve">D-9454    </t>
  </si>
  <si>
    <t xml:space="preserve">D-9455    </t>
  </si>
  <si>
    <t xml:space="preserve">D-9456    </t>
  </si>
  <si>
    <t xml:space="preserve">D-9457    </t>
  </si>
  <si>
    <t xml:space="preserve">D-9458    </t>
  </si>
  <si>
    <t xml:space="preserve">D-9459    </t>
  </si>
  <si>
    <t xml:space="preserve">D-9460    </t>
  </si>
  <si>
    <t xml:space="preserve">D-9461    </t>
  </si>
  <si>
    <t xml:space="preserve">D-9462    </t>
  </si>
  <si>
    <t xml:space="preserve">D-9463    </t>
  </si>
  <si>
    <t xml:space="preserve">D-9464    </t>
  </si>
  <si>
    <t xml:space="preserve">D-9465    </t>
  </si>
  <si>
    <t xml:space="preserve">D-9466    </t>
  </si>
  <si>
    <t xml:space="preserve">D-9467    </t>
  </si>
  <si>
    <t xml:space="preserve">D-9468    </t>
  </si>
  <si>
    <t xml:space="preserve">D-9469    </t>
  </si>
  <si>
    <t xml:space="preserve">D-9470    </t>
  </si>
  <si>
    <t xml:space="preserve">D-9471    </t>
  </si>
  <si>
    <t xml:space="preserve">D-9472    </t>
  </si>
  <si>
    <t xml:space="preserve">D-9473    </t>
  </si>
  <si>
    <t xml:space="preserve">D-9474    </t>
  </si>
  <si>
    <t xml:space="preserve">D-9475    </t>
  </si>
  <si>
    <t xml:space="preserve">D-9476    </t>
  </si>
  <si>
    <t xml:space="preserve">D-9477    </t>
  </si>
  <si>
    <t xml:space="preserve">D-9478    </t>
  </si>
  <si>
    <t xml:space="preserve">D-9479    </t>
  </si>
  <si>
    <t xml:space="preserve">D-9480    </t>
  </si>
  <si>
    <t xml:space="preserve">D-9481    </t>
  </si>
  <si>
    <t xml:space="preserve">D-9482    </t>
  </si>
  <si>
    <t xml:space="preserve">D-9483    </t>
  </si>
  <si>
    <t xml:space="preserve">D-9484    </t>
  </si>
  <si>
    <t xml:space="preserve">D-9485    </t>
  </si>
  <si>
    <t xml:space="preserve">D-9486    </t>
  </si>
  <si>
    <t xml:space="preserve">D-9487    </t>
  </si>
  <si>
    <t xml:space="preserve">D-9488    </t>
  </si>
  <si>
    <t xml:space="preserve">D-9489    </t>
  </si>
  <si>
    <t xml:space="preserve">D-9490    </t>
  </si>
  <si>
    <t xml:space="preserve">D-9491    </t>
  </si>
  <si>
    <t xml:space="preserve">D-9492    </t>
  </si>
  <si>
    <t xml:space="preserve">D-9493    </t>
  </si>
  <si>
    <t xml:space="preserve">D-9494    </t>
  </si>
  <si>
    <t xml:space="preserve">D-9495    </t>
  </si>
  <si>
    <t xml:space="preserve">D-9496    </t>
  </si>
  <si>
    <t xml:space="preserve">D-9497    </t>
  </si>
  <si>
    <t xml:space="preserve">D-9498    </t>
  </si>
  <si>
    <t xml:space="preserve">D-9499    </t>
  </si>
  <si>
    <t xml:space="preserve">D-9500    </t>
  </si>
  <si>
    <t xml:space="preserve">D-9501    </t>
  </si>
  <si>
    <t xml:space="preserve">D-9502    </t>
  </si>
  <si>
    <t xml:space="preserve">D-9503    </t>
  </si>
  <si>
    <t xml:space="preserve">D-9504    </t>
  </si>
  <si>
    <t xml:space="preserve">D-9505    </t>
  </si>
  <si>
    <t xml:space="preserve">D-9506    </t>
  </si>
  <si>
    <t xml:space="preserve">D-9507    </t>
  </si>
  <si>
    <t xml:space="preserve">D-9508    </t>
  </si>
  <si>
    <t xml:space="preserve">D-9509    </t>
  </si>
  <si>
    <t xml:space="preserve">D-9510    </t>
  </si>
  <si>
    <t xml:space="preserve">D-9511    </t>
  </si>
  <si>
    <t xml:space="preserve">D-9512    </t>
  </si>
  <si>
    <t xml:space="preserve">D-9513    </t>
  </si>
  <si>
    <t xml:space="preserve">D-9514    </t>
  </si>
  <si>
    <t xml:space="preserve">D-9515    </t>
  </si>
  <si>
    <t xml:space="preserve">D-9516    </t>
  </si>
  <si>
    <t xml:space="preserve">D-9517    </t>
  </si>
  <si>
    <t xml:space="preserve">D-9518    </t>
  </si>
  <si>
    <t xml:space="preserve">D-9519    </t>
  </si>
  <si>
    <t xml:space="preserve">D-9520    </t>
  </si>
  <si>
    <t xml:space="preserve">D-9521    </t>
  </si>
  <si>
    <t xml:space="preserve">D-9522    </t>
  </si>
  <si>
    <t xml:space="preserve">D-9523    </t>
  </si>
  <si>
    <t xml:space="preserve">D-9524    </t>
  </si>
  <si>
    <t xml:space="preserve">D-9525    </t>
  </si>
  <si>
    <t xml:space="preserve">D-9526    </t>
  </si>
  <si>
    <t xml:space="preserve">D-9527    </t>
  </si>
  <si>
    <t xml:space="preserve">D-9528    </t>
  </si>
  <si>
    <t xml:space="preserve">D-9529    </t>
  </si>
  <si>
    <t xml:space="preserve">D-9530    </t>
  </si>
  <si>
    <t xml:space="preserve">D-9531    </t>
  </si>
  <si>
    <t xml:space="preserve">D-9532    </t>
  </si>
  <si>
    <t xml:space="preserve">D-9533    </t>
  </si>
  <si>
    <t xml:space="preserve">D-9534    </t>
  </si>
  <si>
    <t xml:space="preserve">D-9535    </t>
  </si>
  <si>
    <t xml:space="preserve">D-9536    </t>
  </si>
  <si>
    <t xml:space="preserve">D-9537    </t>
  </si>
  <si>
    <t xml:space="preserve">D-9538    </t>
  </si>
  <si>
    <t xml:space="preserve">D-9539    </t>
  </si>
  <si>
    <t xml:space="preserve">D-9540    </t>
  </si>
  <si>
    <t xml:space="preserve">D-9541    </t>
  </si>
  <si>
    <t xml:space="preserve">D-9542    </t>
  </si>
  <si>
    <t xml:space="preserve">D-9543    </t>
  </si>
  <si>
    <t>27-Abr-17--30-Abr-17</t>
  </si>
  <si>
    <t xml:space="preserve">D-9544    </t>
  </si>
  <si>
    <t xml:space="preserve">D-9545    </t>
  </si>
  <si>
    <t xml:space="preserve">D-9546    </t>
  </si>
  <si>
    <t xml:space="preserve">D-9547    </t>
  </si>
  <si>
    <t xml:space="preserve">D-9548    </t>
  </si>
  <si>
    <t xml:space="preserve">D-9549    </t>
  </si>
  <si>
    <t xml:space="preserve">D-9550    </t>
  </si>
  <si>
    <t xml:space="preserve">D-9551    </t>
  </si>
  <si>
    <t xml:space="preserve">D-9552    </t>
  </si>
  <si>
    <t xml:space="preserve">D-9553    </t>
  </si>
  <si>
    <t xml:space="preserve">D-9554    </t>
  </si>
  <si>
    <t xml:space="preserve">D-9555    </t>
  </si>
  <si>
    <t xml:space="preserve">D-9556    </t>
  </si>
  <si>
    <t xml:space="preserve">D-9557    </t>
  </si>
  <si>
    <t xml:space="preserve">D-9558    </t>
  </si>
  <si>
    <t xml:space="preserve">D-9559    </t>
  </si>
  <si>
    <t xml:space="preserve">D-9560    </t>
  </si>
  <si>
    <t xml:space="preserve">D-9561    </t>
  </si>
  <si>
    <t xml:space="preserve">D-9562    </t>
  </si>
  <si>
    <t xml:space="preserve">D-9563    </t>
  </si>
  <si>
    <t xml:space="preserve">D-9564    </t>
  </si>
  <si>
    <t xml:space="preserve">D-9565    </t>
  </si>
  <si>
    <t xml:space="preserve">D-9566    </t>
  </si>
  <si>
    <t xml:space="preserve">D-9567    </t>
  </si>
  <si>
    <t xml:space="preserve">D-9568    </t>
  </si>
  <si>
    <t xml:space="preserve">D-9569    </t>
  </si>
  <si>
    <t xml:space="preserve">D-9570    </t>
  </si>
  <si>
    <t xml:space="preserve">D-9571    </t>
  </si>
  <si>
    <t xml:space="preserve">D-9572    </t>
  </si>
  <si>
    <t xml:space="preserve">D-9573    </t>
  </si>
  <si>
    <t xml:space="preserve">D-9574    </t>
  </si>
  <si>
    <t xml:space="preserve">D-9575    </t>
  </si>
  <si>
    <t xml:space="preserve">D-9576    </t>
  </si>
  <si>
    <t xml:space="preserve">D-9577    </t>
  </si>
  <si>
    <t xml:space="preserve">D-9578    </t>
  </si>
  <si>
    <t xml:space="preserve">D-9579    </t>
  </si>
  <si>
    <t xml:space="preserve">D-9580    </t>
  </si>
  <si>
    <t xml:space="preserve">D-9581    </t>
  </si>
  <si>
    <t xml:space="preserve">D-9582    </t>
  </si>
  <si>
    <t xml:space="preserve">D-9583    </t>
  </si>
  <si>
    <t xml:space="preserve">D-9584    </t>
  </si>
  <si>
    <t xml:space="preserve">D-9585    </t>
  </si>
  <si>
    <t xml:space="preserve">D-9586    </t>
  </si>
  <si>
    <t xml:space="preserve">D-9587    </t>
  </si>
  <si>
    <t xml:space="preserve">D-9588    </t>
  </si>
  <si>
    <t xml:space="preserve">D-9589    </t>
  </si>
  <si>
    <t xml:space="preserve">D-9590    </t>
  </si>
  <si>
    <t xml:space="preserve">D-9591    </t>
  </si>
  <si>
    <t xml:space="preserve">D-9592    </t>
  </si>
  <si>
    <t xml:space="preserve">D-9593    </t>
  </si>
  <si>
    <t xml:space="preserve">D-9594    </t>
  </si>
  <si>
    <t xml:space="preserve">D-9595    </t>
  </si>
  <si>
    <t xml:space="preserve">D-9596    </t>
  </si>
  <si>
    <t xml:space="preserve">D-9597    </t>
  </si>
  <si>
    <t xml:space="preserve">D-9598    </t>
  </si>
  <si>
    <t xml:space="preserve">D-9599    </t>
  </si>
  <si>
    <t xml:space="preserve">D-9600    </t>
  </si>
  <si>
    <t xml:space="preserve">D-9601    </t>
  </si>
  <si>
    <t xml:space="preserve">D-9602    </t>
  </si>
  <si>
    <t xml:space="preserve">D-9603    </t>
  </si>
  <si>
    <t xml:space="preserve">D-9604    </t>
  </si>
  <si>
    <t xml:space="preserve">D-9605    </t>
  </si>
  <si>
    <t xml:space="preserve">D-9606    </t>
  </si>
  <si>
    <t xml:space="preserve">D-9607    </t>
  </si>
  <si>
    <t xml:space="preserve">D-9608    </t>
  </si>
  <si>
    <t xml:space="preserve">D-9609    </t>
  </si>
  <si>
    <t xml:space="preserve">D-9610    </t>
  </si>
  <si>
    <t xml:space="preserve">D-9611    </t>
  </si>
  <si>
    <t xml:space="preserve">D-9612    </t>
  </si>
  <si>
    <t xml:space="preserve">D-9613    </t>
  </si>
  <si>
    <t xml:space="preserve">D-9614    </t>
  </si>
  <si>
    <t xml:space="preserve">D-9615    </t>
  </si>
  <si>
    <t xml:space="preserve">D-9616    </t>
  </si>
  <si>
    <t xml:space="preserve">D-9617    </t>
  </si>
  <si>
    <t xml:space="preserve">D-9618    </t>
  </si>
  <si>
    <t xml:space="preserve">D-9619    </t>
  </si>
  <si>
    <t xml:space="preserve">D-9620    </t>
  </si>
  <si>
    <t xml:space="preserve">D-9621    </t>
  </si>
  <si>
    <t xml:space="preserve">D-9622    </t>
  </si>
  <si>
    <t xml:space="preserve">D-9623    </t>
  </si>
  <si>
    <t xml:space="preserve">D-9624    </t>
  </si>
  <si>
    <t xml:space="preserve">D-9625    </t>
  </si>
  <si>
    <t xml:space="preserve">D-9626    </t>
  </si>
  <si>
    <t xml:space="preserve">D-9627    </t>
  </si>
  <si>
    <t xml:space="preserve">D-9628    </t>
  </si>
  <si>
    <t xml:space="preserve">D-9629    </t>
  </si>
  <si>
    <t xml:space="preserve">D-9630    </t>
  </si>
  <si>
    <t xml:space="preserve">D-9631    </t>
  </si>
  <si>
    <t xml:space="preserve">D-9632    </t>
  </si>
  <si>
    <t xml:space="preserve">D-9633    </t>
  </si>
  <si>
    <t xml:space="preserve">D-9634    </t>
  </si>
  <si>
    <t xml:space="preserve">D-9635    </t>
  </si>
  <si>
    <t xml:space="preserve">D-9636    </t>
  </si>
  <si>
    <t xml:space="preserve">D-9637    </t>
  </si>
  <si>
    <t xml:space="preserve">D-9638    </t>
  </si>
  <si>
    <t xml:space="preserve">D-9639    </t>
  </si>
  <si>
    <t xml:space="preserve">D-9640    </t>
  </si>
  <si>
    <t xml:space="preserve">D-9641    </t>
  </si>
  <si>
    <t xml:space="preserve">D-9642    </t>
  </si>
  <si>
    <t xml:space="preserve">D-9643    </t>
  </si>
  <si>
    <t xml:space="preserve">D-9644    </t>
  </si>
  <si>
    <t xml:space="preserve">D-9645    </t>
  </si>
  <si>
    <t xml:space="preserve">D-9646    </t>
  </si>
  <si>
    <t xml:space="preserve">D-9647    </t>
  </si>
  <si>
    <t xml:space="preserve">D-9648    </t>
  </si>
  <si>
    <t xml:space="preserve">D-9649    </t>
  </si>
  <si>
    <t xml:space="preserve">D-9650    </t>
  </si>
  <si>
    <t xml:space="preserve">D-9651    </t>
  </si>
  <si>
    <t xml:space="preserve">D-9652    </t>
  </si>
  <si>
    <t xml:space="preserve">D-9653    </t>
  </si>
  <si>
    <t xml:space="preserve">D-9654    </t>
  </si>
  <si>
    <t xml:space="preserve">D-9655    </t>
  </si>
  <si>
    <t xml:space="preserve">D-9656    </t>
  </si>
  <si>
    <t xml:space="preserve">D-9657    </t>
  </si>
  <si>
    <t xml:space="preserve">D-9658    </t>
  </si>
  <si>
    <t xml:space="preserve">D-9659    </t>
  </si>
  <si>
    <t xml:space="preserve">D-9660    </t>
  </si>
  <si>
    <t xml:space="preserve">D-9661    </t>
  </si>
  <si>
    <t xml:space="preserve">D-9662    </t>
  </si>
  <si>
    <t xml:space="preserve">D-9663    </t>
  </si>
  <si>
    <t xml:space="preserve">D-9664    </t>
  </si>
  <si>
    <t xml:space="preserve">D-9665    </t>
  </si>
  <si>
    <t xml:space="preserve">D-9666    </t>
  </si>
  <si>
    <t xml:space="preserve">D-9667    </t>
  </si>
  <si>
    <t xml:space="preserve">D-9668    </t>
  </si>
  <si>
    <t xml:space="preserve">D-9669    </t>
  </si>
  <si>
    <t xml:space="preserve">D-9670    </t>
  </si>
  <si>
    <t xml:space="preserve">D-9671    </t>
  </si>
  <si>
    <t xml:space="preserve">D-9672    </t>
  </si>
  <si>
    <t xml:space="preserve">D-9673    </t>
  </si>
  <si>
    <t xml:space="preserve">D-9674    </t>
  </si>
  <si>
    <t xml:space="preserve">D-9675    </t>
  </si>
  <si>
    <t xml:space="preserve">D-9676    </t>
  </si>
  <si>
    <t xml:space="preserve">D-9677    </t>
  </si>
  <si>
    <t xml:space="preserve">D-9678    </t>
  </si>
  <si>
    <t xml:space="preserve">D-9679    </t>
  </si>
  <si>
    <t xml:space="preserve">D-9680    </t>
  </si>
  <si>
    <t xml:space="preserve">D-9681    </t>
  </si>
  <si>
    <t xml:space="preserve">D-9682    </t>
  </si>
  <si>
    <t xml:space="preserve">D-9683    </t>
  </si>
  <si>
    <t xml:space="preserve">D-9684    </t>
  </si>
  <si>
    <t xml:space="preserve">D-9685    </t>
  </si>
  <si>
    <t xml:space="preserve">D-9686    </t>
  </si>
  <si>
    <t xml:space="preserve">D-9687    </t>
  </si>
  <si>
    <t xml:space="preserve">D-9688    </t>
  </si>
  <si>
    <t xml:space="preserve">D-9689    </t>
  </si>
  <si>
    <t xml:space="preserve">D-9690    </t>
  </si>
  <si>
    <t xml:space="preserve">D-9691    </t>
  </si>
  <si>
    <t xml:space="preserve">D-9692    </t>
  </si>
  <si>
    <t xml:space="preserve">D-9693    </t>
  </si>
  <si>
    <t xml:space="preserve">D-9694    </t>
  </si>
  <si>
    <t xml:space="preserve">D-9695    </t>
  </si>
  <si>
    <t xml:space="preserve">D-9696    </t>
  </si>
  <si>
    <t xml:space="preserve">D-9697    </t>
  </si>
  <si>
    <t xml:space="preserve">D-9698    </t>
  </si>
  <si>
    <t xml:space="preserve">D-9699    </t>
  </si>
  <si>
    <t xml:space="preserve">D-9700    </t>
  </si>
  <si>
    <t xml:space="preserve">D-9701    </t>
  </si>
  <si>
    <t xml:space="preserve">D-9702    </t>
  </si>
  <si>
    <t xml:space="preserve">D-9703    </t>
  </si>
  <si>
    <t xml:space="preserve">D-9704    </t>
  </si>
  <si>
    <t xml:space="preserve">D-9705    </t>
  </si>
  <si>
    <t xml:space="preserve">D-9706    </t>
  </si>
  <si>
    <t xml:space="preserve">D-9707    </t>
  </si>
  <si>
    <t xml:space="preserve">D-9708    </t>
  </si>
  <si>
    <t xml:space="preserve">D-9709    </t>
  </si>
  <si>
    <t xml:space="preserve">D-9710    </t>
  </si>
  <si>
    <t xml:space="preserve">D-9711    </t>
  </si>
  <si>
    <t xml:space="preserve">D-9712    </t>
  </si>
  <si>
    <t xml:space="preserve">D-9713    </t>
  </si>
  <si>
    <t xml:space="preserve">D-9714    </t>
  </si>
  <si>
    <t xml:space="preserve">D-9715    </t>
  </si>
  <si>
    <t xml:space="preserve">D-9716    </t>
  </si>
  <si>
    <t xml:space="preserve">D-9717    </t>
  </si>
  <si>
    <t xml:space="preserve">D-9718    </t>
  </si>
  <si>
    <t xml:space="preserve">D-9719    </t>
  </si>
  <si>
    <t xml:space="preserve">D-9720    </t>
  </si>
  <si>
    <t xml:space="preserve">D-9721    </t>
  </si>
  <si>
    <t xml:space="preserve">D-9722    </t>
  </si>
  <si>
    <t xml:space="preserve">D-9723    </t>
  </si>
  <si>
    <t xml:space="preserve">D-9724    </t>
  </si>
  <si>
    <t xml:space="preserve">D-9725    </t>
  </si>
  <si>
    <t xml:space="preserve">D-9726    </t>
  </si>
  <si>
    <t xml:space="preserve">D-9727    </t>
  </si>
  <si>
    <t xml:space="preserve">D-9728    </t>
  </si>
  <si>
    <t xml:space="preserve">D-9729    </t>
  </si>
  <si>
    <t xml:space="preserve">D-9730    </t>
  </si>
  <si>
    <t xml:space="preserve">D-9731    </t>
  </si>
  <si>
    <t xml:space="preserve">D-9732    </t>
  </si>
  <si>
    <t xml:space="preserve">D-9733    </t>
  </si>
  <si>
    <t xml:space="preserve">D-9734    </t>
  </si>
  <si>
    <t xml:space="preserve">D-9735    </t>
  </si>
  <si>
    <t xml:space="preserve">D-9736    </t>
  </si>
  <si>
    <t xml:space="preserve">D-9737    </t>
  </si>
  <si>
    <t xml:space="preserve">D-9738    </t>
  </si>
  <si>
    <t xml:space="preserve">D-9739    </t>
  </si>
  <si>
    <t xml:space="preserve">D-9740    </t>
  </si>
  <si>
    <t xml:space="preserve">D-9741    </t>
  </si>
  <si>
    <t xml:space="preserve">D-9742    </t>
  </si>
  <si>
    <t xml:space="preserve">D-9743    </t>
  </si>
  <si>
    <t xml:space="preserve">D-9744    </t>
  </si>
  <si>
    <t xml:space="preserve">D-9745    </t>
  </si>
  <si>
    <t xml:space="preserve">D-9746    </t>
  </si>
  <si>
    <t xml:space="preserve">D-9747    </t>
  </si>
  <si>
    <t xml:space="preserve">D-9748    </t>
  </si>
  <si>
    <t xml:space="preserve">D-9749    </t>
  </si>
  <si>
    <t xml:space="preserve">D-9750    </t>
  </si>
  <si>
    <t xml:space="preserve">D-9751    </t>
  </si>
  <si>
    <t xml:space="preserve">D-9752    </t>
  </si>
  <si>
    <t xml:space="preserve">D-9753    </t>
  </si>
  <si>
    <t xml:space="preserve">(389)GONZALO                                                               </t>
  </si>
  <si>
    <t xml:space="preserve">D-9754    </t>
  </si>
  <si>
    <t xml:space="preserve">D-9755    </t>
  </si>
  <si>
    <t xml:space="preserve">D-9756    </t>
  </si>
  <si>
    <t xml:space="preserve">D-9757    </t>
  </si>
  <si>
    <t xml:space="preserve">D-9758    </t>
  </si>
  <si>
    <t xml:space="preserve">D-9759    </t>
  </si>
  <si>
    <t xml:space="preserve">D-9760    </t>
  </si>
  <si>
    <t xml:space="preserve">D-9761    </t>
  </si>
  <si>
    <t xml:space="preserve">D-9762    </t>
  </si>
  <si>
    <t xml:space="preserve">D-9763    </t>
  </si>
  <si>
    <t xml:space="preserve">D-9764    </t>
  </si>
  <si>
    <t xml:space="preserve">D-9765    </t>
  </si>
  <si>
    <t xml:space="preserve">D-9766    </t>
  </si>
  <si>
    <t xml:space="preserve">D-9767    </t>
  </si>
  <si>
    <t xml:space="preserve">D-9768    </t>
  </si>
  <si>
    <t xml:space="preserve">D-9769    </t>
  </si>
  <si>
    <t xml:space="preserve">D-9770    </t>
  </si>
  <si>
    <t xml:space="preserve">D-9771    </t>
  </si>
  <si>
    <t xml:space="preserve">D-9772    </t>
  </si>
  <si>
    <t xml:space="preserve">D-9773    </t>
  </si>
  <si>
    <t xml:space="preserve">D-9774    </t>
  </si>
  <si>
    <t xml:space="preserve">D-9775    </t>
  </si>
  <si>
    <t xml:space="preserve">D-9776    </t>
  </si>
  <si>
    <t xml:space="preserve">D-9777    </t>
  </si>
  <si>
    <t xml:space="preserve">D-9778    </t>
  </si>
  <si>
    <t xml:space="preserve">D-9779    </t>
  </si>
  <si>
    <t xml:space="preserve">D-9780    </t>
  </si>
  <si>
    <t xml:space="preserve">D-9781    </t>
  </si>
  <si>
    <t xml:space="preserve">D-9782    </t>
  </si>
  <si>
    <t xml:space="preserve">D-9783    </t>
  </si>
  <si>
    <t xml:space="preserve">D-9784    </t>
  </si>
  <si>
    <t xml:space="preserve">D-9785    </t>
  </si>
  <si>
    <t xml:space="preserve">D-9786    </t>
  </si>
  <si>
    <t xml:space="preserve">D-9787    </t>
  </si>
  <si>
    <t xml:space="preserve">D-9788    </t>
  </si>
  <si>
    <t xml:space="preserve">D-9789    </t>
  </si>
  <si>
    <t xml:space="preserve">D-9790    </t>
  </si>
  <si>
    <t xml:space="preserve">D-9791    </t>
  </si>
  <si>
    <t xml:space="preserve">D-9792    </t>
  </si>
  <si>
    <t xml:space="preserve">D-9793    </t>
  </si>
  <si>
    <t xml:space="preserve">D-9794    </t>
  </si>
  <si>
    <t xml:space="preserve">D-9795    </t>
  </si>
  <si>
    <t xml:space="preserve">D-9796    </t>
  </si>
  <si>
    <t xml:space="preserve">D-9797    </t>
  </si>
  <si>
    <t xml:space="preserve">D-9798    </t>
  </si>
  <si>
    <t xml:space="preserve">D-9799    </t>
  </si>
  <si>
    <t xml:space="preserve">D-9800    </t>
  </si>
  <si>
    <t xml:space="preserve">D-9801    </t>
  </si>
  <si>
    <t xml:space="preserve">D-9802    </t>
  </si>
  <si>
    <t xml:space="preserve">D-9803    </t>
  </si>
  <si>
    <t xml:space="preserve">D-9804    </t>
  </si>
  <si>
    <t xml:space="preserve">D-9805    </t>
  </si>
  <si>
    <t xml:space="preserve">D-9806    </t>
  </si>
  <si>
    <t xml:space="preserve">D-9807    </t>
  </si>
  <si>
    <t xml:space="preserve">D-9808    </t>
  </si>
  <si>
    <t xml:space="preserve">D-9809    </t>
  </si>
  <si>
    <t xml:space="preserve">D-9810    </t>
  </si>
  <si>
    <t xml:space="preserve">D-9811    </t>
  </si>
  <si>
    <t xml:space="preserve">D-9812    </t>
  </si>
  <si>
    <t xml:space="preserve">D-9813    </t>
  </si>
  <si>
    <t xml:space="preserve">D-9814    </t>
  </si>
  <si>
    <t xml:space="preserve">D-9815    </t>
  </si>
  <si>
    <t xml:space="preserve">D-9816    </t>
  </si>
  <si>
    <t xml:space="preserve">D-9817    </t>
  </si>
  <si>
    <t xml:space="preserve">D-9818    </t>
  </si>
  <si>
    <t xml:space="preserve">D-9819    </t>
  </si>
  <si>
    <t xml:space="preserve">D-9820    </t>
  </si>
  <si>
    <t xml:space="preserve">D-9821    </t>
  </si>
  <si>
    <t xml:space="preserve">D-9822    </t>
  </si>
  <si>
    <t xml:space="preserve">D-9823    </t>
  </si>
  <si>
    <t xml:space="preserve">D-9824    </t>
  </si>
  <si>
    <t xml:space="preserve">D-9825    </t>
  </si>
  <si>
    <t xml:space="preserve">D-9826    </t>
  </si>
  <si>
    <t xml:space="preserve">D-9827    </t>
  </si>
  <si>
    <t xml:space="preserve">D-9828    </t>
  </si>
  <si>
    <t xml:space="preserve">D-9829    </t>
  </si>
  <si>
    <t xml:space="preserve">D-9830    </t>
  </si>
  <si>
    <t xml:space="preserve">D-9831    </t>
  </si>
  <si>
    <t xml:space="preserve">D-9832    </t>
  </si>
  <si>
    <t xml:space="preserve">D-9833    </t>
  </si>
  <si>
    <t xml:space="preserve">D-9834    </t>
  </si>
  <si>
    <t xml:space="preserve">D-9835    </t>
  </si>
  <si>
    <t xml:space="preserve">D-9836    </t>
  </si>
  <si>
    <t xml:space="preserve">D-9837    </t>
  </si>
  <si>
    <t xml:space="preserve">D-9838    </t>
  </si>
  <si>
    <t xml:space="preserve">D-9839    </t>
  </si>
  <si>
    <t xml:space="preserve">D-9840    </t>
  </si>
  <si>
    <t xml:space="preserve">D-9841    </t>
  </si>
  <si>
    <t xml:space="preserve">D-9842    </t>
  </si>
  <si>
    <t xml:space="preserve">D-9843    </t>
  </si>
  <si>
    <t xml:space="preserve">D-9844    </t>
  </si>
  <si>
    <t xml:space="preserve">D-9845    </t>
  </si>
  <si>
    <t xml:space="preserve">D-9846    </t>
  </si>
  <si>
    <t xml:space="preserve">D-9847    </t>
  </si>
  <si>
    <t xml:space="preserve">D-9848    </t>
  </si>
  <si>
    <t xml:space="preserve">D-9849    </t>
  </si>
  <si>
    <t xml:space="preserve">D-9850    </t>
  </si>
  <si>
    <t xml:space="preserve">D-9851    </t>
  </si>
  <si>
    <t xml:space="preserve">D-9852    </t>
  </si>
  <si>
    <t xml:space="preserve">D-9853    </t>
  </si>
  <si>
    <t xml:space="preserve">D-9854    </t>
  </si>
  <si>
    <t xml:space="preserve">D-9855    </t>
  </si>
  <si>
    <t xml:space="preserve">D-9856    </t>
  </si>
  <si>
    <t xml:space="preserve">D-9857    </t>
  </si>
  <si>
    <t xml:space="preserve">D-9858    </t>
  </si>
  <si>
    <t xml:space="preserve">D-9859    </t>
  </si>
  <si>
    <t xml:space="preserve">D-9860    </t>
  </si>
  <si>
    <t xml:space="preserve">D-9861    </t>
  </si>
  <si>
    <t xml:space="preserve">D-9862    </t>
  </si>
  <si>
    <t xml:space="preserve">D-9863    </t>
  </si>
  <si>
    <t xml:space="preserve">D-9864    </t>
  </si>
  <si>
    <t xml:space="preserve">D-9865    </t>
  </si>
  <si>
    <t xml:space="preserve">D-9866    </t>
  </si>
  <si>
    <t xml:space="preserve">D-9867    </t>
  </si>
  <si>
    <t xml:space="preserve">D-9868    </t>
  </si>
  <si>
    <t xml:space="preserve">D-9869    </t>
  </si>
  <si>
    <t xml:space="preserve">D-9870    </t>
  </si>
  <si>
    <t xml:space="preserve">D-9871    </t>
  </si>
  <si>
    <t xml:space="preserve">D-9872    </t>
  </si>
  <si>
    <t xml:space="preserve">D-9873    </t>
  </si>
  <si>
    <t xml:space="preserve">D-9874    </t>
  </si>
  <si>
    <t xml:space="preserve">D-9875    </t>
  </si>
  <si>
    <t xml:space="preserve">D-9876    </t>
  </si>
  <si>
    <t xml:space="preserve">D-9877    </t>
  </si>
  <si>
    <t xml:space="preserve">D-9878    </t>
  </si>
  <si>
    <t xml:space="preserve">D-9879    </t>
  </si>
  <si>
    <t xml:space="preserve">D-9880    </t>
  </si>
  <si>
    <t xml:space="preserve">D-9881    </t>
  </si>
  <si>
    <t xml:space="preserve">D-9882    </t>
  </si>
  <si>
    <t xml:space="preserve">D-9883    </t>
  </si>
  <si>
    <t xml:space="preserve">D-9884    </t>
  </si>
  <si>
    <t xml:space="preserve">D-9885    </t>
  </si>
  <si>
    <t xml:space="preserve">D-9886    </t>
  </si>
  <si>
    <t xml:space="preserve">D-9887    </t>
  </si>
  <si>
    <t xml:space="preserve">D-9888    </t>
  </si>
  <si>
    <t xml:space="preserve">D-9889    </t>
  </si>
  <si>
    <t xml:space="preserve">D-9890    </t>
  </si>
  <si>
    <t xml:space="preserve">D-9891    </t>
  </si>
  <si>
    <t xml:space="preserve">D-9892    </t>
  </si>
  <si>
    <t xml:space="preserve">D-9893    </t>
  </si>
  <si>
    <t xml:space="preserve">D-9894    </t>
  </si>
  <si>
    <t xml:space="preserve">D-9895    </t>
  </si>
  <si>
    <t xml:space="preserve">D-9896    </t>
  </si>
  <si>
    <t xml:space="preserve">D-9897    </t>
  </si>
  <si>
    <t xml:space="preserve">D-9898    </t>
  </si>
  <si>
    <t xml:space="preserve">D-9899    </t>
  </si>
  <si>
    <t xml:space="preserve">D-9900    </t>
  </si>
  <si>
    <t xml:space="preserve">D-9901    </t>
  </si>
  <si>
    <t xml:space="preserve">D-9902    </t>
  </si>
  <si>
    <t xml:space="preserve">D-9903    </t>
  </si>
  <si>
    <t xml:space="preserve">D-9904    </t>
  </si>
  <si>
    <t>29-Abr-17--30-Abr-17</t>
  </si>
  <si>
    <t xml:space="preserve">D-9905    </t>
  </si>
  <si>
    <t xml:space="preserve">D-9906    </t>
  </si>
  <si>
    <t xml:space="preserve">D-9907    </t>
  </si>
  <si>
    <t xml:space="preserve">D-9908    </t>
  </si>
  <si>
    <t xml:space="preserve">D-9909    </t>
  </si>
  <si>
    <t xml:space="preserve">D-9910    </t>
  </si>
  <si>
    <t xml:space="preserve">D-9911    </t>
  </si>
  <si>
    <t xml:space="preserve">D-9912    </t>
  </si>
  <si>
    <t xml:space="preserve">D-9913    </t>
  </si>
  <si>
    <t xml:space="preserve">D-9914    </t>
  </si>
  <si>
    <t xml:space="preserve">D-9915    </t>
  </si>
  <si>
    <t xml:space="preserve">D-9916    </t>
  </si>
  <si>
    <t xml:space="preserve">D-9917    </t>
  </si>
  <si>
    <t xml:space="preserve">D-9918    </t>
  </si>
  <si>
    <t xml:space="preserve">D-9919    </t>
  </si>
  <si>
    <t xml:space="preserve">D-9920    </t>
  </si>
  <si>
    <t xml:space="preserve">D-9921    </t>
  </si>
  <si>
    <t xml:space="preserve">D-9922    </t>
  </si>
  <si>
    <t xml:space="preserve">D-9923    </t>
  </si>
  <si>
    <t xml:space="preserve">D-9924    </t>
  </si>
  <si>
    <t xml:space="preserve">D-9925    </t>
  </si>
  <si>
    <t xml:space="preserve">D-9926    </t>
  </si>
  <si>
    <t xml:space="preserve">D-9927    </t>
  </si>
  <si>
    <t xml:space="preserve">D-9928    </t>
  </si>
  <si>
    <t xml:space="preserve">D-9929    </t>
  </si>
  <si>
    <t xml:space="preserve">D-9930    </t>
  </si>
  <si>
    <t xml:space="preserve">D-9931    </t>
  </si>
  <si>
    <t xml:space="preserve">D-9932    </t>
  </si>
  <si>
    <t xml:space="preserve">D-9933    </t>
  </si>
  <si>
    <t xml:space="preserve">D-9934    </t>
  </si>
  <si>
    <t xml:space="preserve">D-9935    </t>
  </si>
  <si>
    <t xml:space="preserve">D-9936    </t>
  </si>
  <si>
    <t xml:space="preserve">D-9937    </t>
  </si>
  <si>
    <t xml:space="preserve">D-9938    </t>
  </si>
  <si>
    <t xml:space="preserve">D-9939    </t>
  </si>
  <si>
    <t xml:space="preserve">D-9940    </t>
  </si>
  <si>
    <t xml:space="preserve">D-9941    </t>
  </si>
  <si>
    <t xml:space="preserve">D-9942    </t>
  </si>
  <si>
    <t xml:space="preserve">D-9943    </t>
  </si>
  <si>
    <t xml:space="preserve">D-9944    </t>
  </si>
  <si>
    <t xml:space="preserve">D-9945    </t>
  </si>
  <si>
    <t xml:space="preserve">D-9946    </t>
  </si>
  <si>
    <t xml:space="preserve">D-9947    </t>
  </si>
  <si>
    <t xml:space="preserve">D-9948    </t>
  </si>
  <si>
    <t xml:space="preserve">D-9949    </t>
  </si>
  <si>
    <t xml:space="preserve">D-9950    </t>
  </si>
  <si>
    <t xml:space="preserve">D-9951    </t>
  </si>
  <si>
    <t xml:space="preserve">D-9952    </t>
  </si>
  <si>
    <t xml:space="preserve">D-9953    </t>
  </si>
  <si>
    <t xml:space="preserve">D-9954    </t>
  </si>
  <si>
    <t xml:space="preserve">D-9955    </t>
  </si>
  <si>
    <t xml:space="preserve">D-9956    </t>
  </si>
  <si>
    <t xml:space="preserve">D-9957    </t>
  </si>
  <si>
    <t xml:space="preserve">D-9958    </t>
  </si>
  <si>
    <t xml:space="preserve">D-9959    </t>
  </si>
  <si>
    <t xml:space="preserve">D-9960    </t>
  </si>
  <si>
    <t xml:space="preserve">D-9961    </t>
  </si>
  <si>
    <t xml:space="preserve">D-9962    </t>
  </si>
  <si>
    <t xml:space="preserve">D-9963    </t>
  </si>
  <si>
    <t xml:space="preserve">D-9964    </t>
  </si>
  <si>
    <t xml:space="preserve">D-9965    </t>
  </si>
  <si>
    <t xml:space="preserve">D-9966    </t>
  </si>
  <si>
    <t xml:space="preserve">D-9967    </t>
  </si>
  <si>
    <t xml:space="preserve">D-9968    </t>
  </si>
  <si>
    <t xml:space="preserve">D-9969    </t>
  </si>
  <si>
    <t xml:space="preserve">D-9970    </t>
  </si>
  <si>
    <t xml:space="preserve">D-9971    </t>
  </si>
  <si>
    <t xml:space="preserve">D-9972    </t>
  </si>
  <si>
    <t xml:space="preserve">D-9973    </t>
  </si>
  <si>
    <t xml:space="preserve">D-9974    </t>
  </si>
  <si>
    <t xml:space="preserve">D-9975    </t>
  </si>
  <si>
    <t xml:space="preserve">D-9976    </t>
  </si>
  <si>
    <t xml:space="preserve">D-9977    </t>
  </si>
  <si>
    <t xml:space="preserve">D-9978    </t>
  </si>
  <si>
    <t xml:space="preserve">D-9979    </t>
  </si>
  <si>
    <t xml:space="preserve">D-9980    </t>
  </si>
  <si>
    <t xml:space="preserve">D-9981    </t>
  </si>
  <si>
    <t xml:space="preserve">D-9982    </t>
  </si>
  <si>
    <t xml:space="preserve">D-9983    </t>
  </si>
  <si>
    <t xml:space="preserve">D-9984    </t>
  </si>
  <si>
    <t xml:space="preserve">D-9985    </t>
  </si>
  <si>
    <t xml:space="preserve">D-9986    </t>
  </si>
  <si>
    <t xml:space="preserve">D-9987    </t>
  </si>
  <si>
    <t xml:space="preserve">D-9988    </t>
  </si>
  <si>
    <t xml:space="preserve">D-9989    </t>
  </si>
  <si>
    <t xml:space="preserve">D-9990    </t>
  </si>
  <si>
    <t xml:space="preserve">D-9991    </t>
  </si>
  <si>
    <t xml:space="preserve">D-9992    </t>
  </si>
  <si>
    <t xml:space="preserve">D-9993    </t>
  </si>
  <si>
    <t xml:space="preserve">D-9994    </t>
  </si>
  <si>
    <t xml:space="preserve">D-9995    </t>
  </si>
  <si>
    <t xml:space="preserve">D-9996    </t>
  </si>
  <si>
    <t xml:space="preserve">D-9997    </t>
  </si>
  <si>
    <t xml:space="preserve">D-9998    </t>
  </si>
  <si>
    <t xml:space="preserve">D-9999    </t>
  </si>
  <si>
    <t xml:space="preserve">D-10000   </t>
  </si>
  <si>
    <t xml:space="preserve">D-10001   </t>
  </si>
  <si>
    <t xml:space="preserve">D-10002   </t>
  </si>
  <si>
    <t xml:space="preserve">D-10003   </t>
  </si>
  <si>
    <t xml:space="preserve">D-10004   </t>
  </si>
  <si>
    <t xml:space="preserve">D-10005   </t>
  </si>
  <si>
    <t xml:space="preserve">D-10006   </t>
  </si>
  <si>
    <t xml:space="preserve">D-10007   </t>
  </si>
  <si>
    <t xml:space="preserve">D-10008   </t>
  </si>
  <si>
    <t xml:space="preserve">D-10009   </t>
  </si>
  <si>
    <t xml:space="preserve">D-10010   </t>
  </si>
  <si>
    <t xml:space="preserve">D-10011   </t>
  </si>
  <si>
    <t xml:space="preserve">D-10012   </t>
  </si>
  <si>
    <t xml:space="preserve">D-10013   </t>
  </si>
  <si>
    <t xml:space="preserve">D-10014   </t>
  </si>
  <si>
    <t xml:space="preserve">D-10015   </t>
  </si>
  <si>
    <t xml:space="preserve">D-10016   </t>
  </si>
  <si>
    <t xml:space="preserve">D-10017   </t>
  </si>
  <si>
    <t xml:space="preserve">D-10018   </t>
  </si>
  <si>
    <t xml:space="preserve">D-10019   </t>
  </si>
  <si>
    <t xml:space="preserve">D-10020   </t>
  </si>
  <si>
    <t xml:space="preserve">D-10021   </t>
  </si>
  <si>
    <t xml:space="preserve">D-10022   </t>
  </si>
  <si>
    <t xml:space="preserve">D-10023   </t>
  </si>
  <si>
    <t xml:space="preserve">D-10024   </t>
  </si>
  <si>
    <t xml:space="preserve">D-10025   </t>
  </si>
  <si>
    <t xml:space="preserve">D-10026   </t>
  </si>
  <si>
    <t xml:space="preserve">D-10027   </t>
  </si>
  <si>
    <t xml:space="preserve">D-10028   </t>
  </si>
  <si>
    <t xml:space="preserve">D-10029   </t>
  </si>
  <si>
    <t xml:space="preserve">D-10030   </t>
  </si>
  <si>
    <t xml:space="preserve">D-10031   </t>
  </si>
  <si>
    <t xml:space="preserve">D-10032   </t>
  </si>
  <si>
    <t xml:space="preserve">D-10033   </t>
  </si>
  <si>
    <t xml:space="preserve">D-10034   </t>
  </si>
  <si>
    <t xml:space="preserve">D-10035   </t>
  </si>
  <si>
    <t xml:space="preserve">D-10036   </t>
  </si>
  <si>
    <t xml:space="preserve">D-10037   </t>
  </si>
  <si>
    <t xml:space="preserve">D-10038   </t>
  </si>
  <si>
    <t xml:space="preserve">D-10039   </t>
  </si>
  <si>
    <t xml:space="preserve">D-10040   </t>
  </si>
  <si>
    <t xml:space="preserve">D-10041   </t>
  </si>
  <si>
    <t xml:space="preserve">D-10042   </t>
  </si>
  <si>
    <t xml:space="preserve">D-10043   </t>
  </si>
  <si>
    <t xml:space="preserve">D-10044   </t>
  </si>
  <si>
    <t xml:space="preserve">D-10045   </t>
  </si>
  <si>
    <t xml:space="preserve">D-10046   </t>
  </si>
  <si>
    <t xml:space="preserve">D-10047   </t>
  </si>
  <si>
    <t xml:space="preserve">D-10048   </t>
  </si>
  <si>
    <t xml:space="preserve">D-10049   </t>
  </si>
  <si>
    <t xml:space="preserve">D-10050   </t>
  </si>
  <si>
    <t xml:space="preserve">D-10051   </t>
  </si>
  <si>
    <t>29-Abr-1-May-17</t>
  </si>
  <si>
    <t>16/02/2017  02/05/2017 24-Abr-17---29-Abr-17--2-May -17</t>
  </si>
  <si>
    <t>30-Abr-17---1-May-17--2-May -17</t>
  </si>
  <si>
    <t>01-May-17--2-May-17</t>
  </si>
  <si>
    <t>26-Abr -17   3-May -17</t>
  </si>
  <si>
    <t>03-May-17---4-May-17</t>
  </si>
  <si>
    <t>29-abr-17---4-May-17</t>
  </si>
  <si>
    <t>29-Abr--2017---4-May-17</t>
  </si>
  <si>
    <t>1-May -17---4-May-17</t>
  </si>
  <si>
    <t>03-May-17---5-May-17</t>
  </si>
  <si>
    <t>20-Abr-17--6-May-17</t>
  </si>
  <si>
    <t>26-Abr-17---6-May-17</t>
  </si>
  <si>
    <t>15-Abr-17---8-May-17</t>
  </si>
  <si>
    <t>02-May--17---6-May-17--8-May-17</t>
  </si>
  <si>
    <t>04-May-17--8-May-17</t>
  </si>
  <si>
    <t>4-May-17---9-May-17</t>
  </si>
  <si>
    <t>04-May-17--11-May-17</t>
  </si>
  <si>
    <t>01-May-17---11-May-17</t>
  </si>
  <si>
    <t>10-Mar-17---12-May-17</t>
  </si>
  <si>
    <t>29-Abril-17----13-May--17</t>
  </si>
  <si>
    <t>24/04/2017--15-May-17</t>
  </si>
  <si>
    <t>08-May-17--15-May-17--18-May-17</t>
  </si>
  <si>
    <t>13-May-17--20-May-17</t>
  </si>
  <si>
    <t>28-Abr-17---6-May-17--22-May-17</t>
  </si>
  <si>
    <t>08-Mar-17---29-May-17</t>
  </si>
  <si>
    <t>02-Mar-17---29-May-17</t>
  </si>
  <si>
    <t>REMISIONES DE     M A Y O               2 0 1 7</t>
  </si>
  <si>
    <t>D-10052</t>
  </si>
  <si>
    <t>(592)RENE</t>
  </si>
  <si>
    <t>PAGADA</t>
  </si>
  <si>
    <t>D-10053</t>
  </si>
  <si>
    <t>(276)LEONARDO LINARES</t>
  </si>
  <si>
    <t>D-10054</t>
  </si>
  <si>
    <t>2-May-17 ---4-May-17</t>
  </si>
  <si>
    <t>D-10055</t>
  </si>
  <si>
    <t>(346)EL GRAN TACO</t>
  </si>
  <si>
    <t>D-10056</t>
  </si>
  <si>
    <t>D-10057</t>
  </si>
  <si>
    <t>(125)ISRAEL LEDO</t>
  </si>
  <si>
    <t>11-May-17----15-May-17</t>
  </si>
  <si>
    <t>D-10058</t>
  </si>
  <si>
    <t>(110)SAGRADO CORAZON CENTRO</t>
  </si>
  <si>
    <t>D-10059</t>
  </si>
  <si>
    <t>(541)EDUARDO PICHARDO</t>
  </si>
  <si>
    <t>D-10060</t>
  </si>
  <si>
    <t>(520)SERGIO JUQUILITA</t>
  </si>
  <si>
    <t>D-10061</t>
  </si>
  <si>
    <t>(297)ZAPATA  JUQUILA</t>
  </si>
  <si>
    <t>D-10062</t>
  </si>
  <si>
    <t>(660)JOSE JUQUILA</t>
  </si>
  <si>
    <t>D-10063</t>
  </si>
  <si>
    <t>(138)FERNANDO DEL 5 DE MAYO</t>
  </si>
  <si>
    <t>D-10064</t>
  </si>
  <si>
    <t>(662)ROJO CENTENO</t>
  </si>
  <si>
    <t>D-10065</t>
  </si>
  <si>
    <t>(113)SAGRADO CORAZON HEROES</t>
  </si>
  <si>
    <t>D-10066</t>
  </si>
  <si>
    <t>(118)LUIS GUILLERMO ZALASAR ANDRADE</t>
  </si>
  <si>
    <t>D-10067</t>
  </si>
  <si>
    <t>(141)RODOLFO ZOQUIAPA</t>
  </si>
  <si>
    <t>D-10068</t>
  </si>
  <si>
    <t>(94)CIC-LA CENTRAL</t>
  </si>
  <si>
    <t>D-10069</t>
  </si>
  <si>
    <t>(494)OMAR REYES</t>
  </si>
  <si>
    <t>D-10070</t>
  </si>
  <si>
    <t>(225)CIC-HERRADURA</t>
  </si>
  <si>
    <t>D-10071</t>
  </si>
  <si>
    <t>(86)FLORES</t>
  </si>
  <si>
    <t>D-10072</t>
  </si>
  <si>
    <t>(250)CORTES FINOS LA MORENA</t>
  </si>
  <si>
    <t>D-10073</t>
  </si>
  <si>
    <t>(643)LA PRINCESA</t>
  </si>
  <si>
    <t>D-10074</t>
  </si>
  <si>
    <t>(633)DOÑA LETY</t>
  </si>
  <si>
    <t>3-May-17--5-May -17 ----06-May-17</t>
  </si>
  <si>
    <t>D-10075</t>
  </si>
  <si>
    <t>(360)MANUEL REYES</t>
  </si>
  <si>
    <t>D-10076</t>
  </si>
  <si>
    <t>(292)NERY</t>
  </si>
  <si>
    <t>D-10077</t>
  </si>
  <si>
    <t>(146)COCHINITO</t>
  </si>
  <si>
    <t>D-10078</t>
  </si>
  <si>
    <t>(266)CRISTIAN-GRACIELA</t>
  </si>
  <si>
    <t>D-10079</t>
  </si>
  <si>
    <t>3-May-17    04-May-2017</t>
  </si>
  <si>
    <t>D-10080</t>
  </si>
  <si>
    <t>D-10081</t>
  </si>
  <si>
    <t>(522)SR CORONA</t>
  </si>
  <si>
    <t>D-10082</t>
  </si>
  <si>
    <t>(625)TAQUITOS LA PAZ</t>
  </si>
  <si>
    <t>D-10083</t>
  </si>
  <si>
    <t>(10)EL PASTORCITO II</t>
  </si>
  <si>
    <t>D-10084</t>
  </si>
  <si>
    <t>(206)SAN BARTOLO</t>
  </si>
  <si>
    <t>D-10085</t>
  </si>
  <si>
    <t>(130)JUAN DE LA ROSA</t>
  </si>
  <si>
    <t>D-10086</t>
  </si>
  <si>
    <t>(91)ARTURO BERNAL</t>
  </si>
  <si>
    <t>D-10087</t>
  </si>
  <si>
    <t>(687)OMAR HERNANDEZ</t>
  </si>
  <si>
    <t>D-10088</t>
  </si>
  <si>
    <t>(685)VERONICA</t>
  </si>
  <si>
    <t>D-10089</t>
  </si>
  <si>
    <t>D-10090</t>
  </si>
  <si>
    <t>(681)PEDRO JIMENEZ</t>
  </si>
  <si>
    <t>D-10091</t>
  </si>
  <si>
    <t>(623)COMPAITO</t>
  </si>
  <si>
    <t>D-10092</t>
  </si>
  <si>
    <t>D-10093</t>
  </si>
  <si>
    <t>(106)ISRAEL TORRES</t>
  </si>
  <si>
    <t>D-10094</t>
  </si>
  <si>
    <t>(80)CAMPRA</t>
  </si>
  <si>
    <t>D-10095</t>
  </si>
  <si>
    <t>(120)MIGUEL ANGEL MORENO</t>
  </si>
  <si>
    <t>D-10096</t>
  </si>
  <si>
    <t>D-10097</t>
  </si>
  <si>
    <t>(415)VIKI</t>
  </si>
  <si>
    <t>D-10098</t>
  </si>
  <si>
    <t>(82)JULIO MC</t>
  </si>
  <si>
    <t>D-10099</t>
  </si>
  <si>
    <t>(470)PACO TREVIÑO</t>
  </si>
  <si>
    <t>D-10100</t>
  </si>
  <si>
    <t>(412)LUIS LUNA</t>
  </si>
  <si>
    <t>D-10101</t>
  </si>
  <si>
    <t>(363)ADRIAN JUAREZ</t>
  </si>
  <si>
    <t>D-10102</t>
  </si>
  <si>
    <t>(620)TIO LUPE</t>
  </si>
  <si>
    <t>D-10103</t>
  </si>
  <si>
    <t>(376)LA SORPRESA CHOLULA</t>
  </si>
  <si>
    <t>D-10104</t>
  </si>
  <si>
    <t>(533)VENTA DE MOSTRADOR</t>
  </si>
  <si>
    <t>D-10105</t>
  </si>
  <si>
    <t>(114)SAGRADO CORAZON ZAVALETA</t>
  </si>
  <si>
    <t>D-10106</t>
  </si>
  <si>
    <t>D-10107</t>
  </si>
  <si>
    <t>(74)TACOS JIRETH</t>
  </si>
  <si>
    <t>D-10108</t>
  </si>
  <si>
    <t>(247)SALOME</t>
  </si>
  <si>
    <t>D-10109</t>
  </si>
  <si>
    <t>(137)HARBANO</t>
  </si>
  <si>
    <t>D-10110</t>
  </si>
  <si>
    <t>(180)FELIX CEREZO</t>
  </si>
  <si>
    <t>D-10111</t>
  </si>
  <si>
    <t>(187)CIC-11 SUR</t>
  </si>
  <si>
    <t>D-10112</t>
  </si>
  <si>
    <t>(600)MIGUEL RAMIREZ</t>
  </si>
  <si>
    <t>D-10113</t>
  </si>
  <si>
    <t>(122)PATY FLORES</t>
  </si>
  <si>
    <t>D-10114</t>
  </si>
  <si>
    <t>(268)BURRO NORTEÑO</t>
  </si>
  <si>
    <t>D-10115</t>
  </si>
  <si>
    <t>(129)FOGONCITO</t>
  </si>
  <si>
    <t>D-10116</t>
  </si>
  <si>
    <t>(186)SR MARIO</t>
  </si>
  <si>
    <t>D-10117</t>
  </si>
  <si>
    <t>(271)SANTOS</t>
  </si>
  <si>
    <t>D-10118</t>
  </si>
  <si>
    <t>(245)GABRIEL CLEMENTE</t>
  </si>
  <si>
    <t>D-10119</t>
  </si>
  <si>
    <t>(124)MIGUEL XOCHIHUATL</t>
  </si>
  <si>
    <t>D-10120</t>
  </si>
  <si>
    <t>(649)VICTOR LOPEZ</t>
  </si>
  <si>
    <t>D-10121</t>
  </si>
  <si>
    <t>(144)SAGRADO 14 SUR</t>
  </si>
  <si>
    <t>D-10122</t>
  </si>
  <si>
    <t>(450)FOX</t>
  </si>
  <si>
    <t>D-10123</t>
  </si>
  <si>
    <t>(509)RUBEN CHISING</t>
  </si>
  <si>
    <t>D-10124</t>
  </si>
  <si>
    <t>(255)VALENTIN ARCE</t>
  </si>
  <si>
    <t>D-10125</t>
  </si>
  <si>
    <t>(458)SAGRADO 3 CRUCES</t>
  </si>
  <si>
    <t>D-10126</t>
  </si>
  <si>
    <t>(673)ADRIANA JUAREZ NERY</t>
  </si>
  <si>
    <t>D-10127</t>
  </si>
  <si>
    <t>D-10128</t>
  </si>
  <si>
    <t>(99)JAVIER ( LA FORTUNA)</t>
  </si>
  <si>
    <t>D-10129</t>
  </si>
  <si>
    <t>(583)JAVIER  LOS PERICOS</t>
  </si>
  <si>
    <t>D-10130</t>
  </si>
  <si>
    <t>(95)PROLEDO</t>
  </si>
  <si>
    <t>D-10131</t>
  </si>
  <si>
    <t>(325)CARLOS TEHUACAN</t>
  </si>
  <si>
    <t>D-10132</t>
  </si>
  <si>
    <t>(88)CENTRO COMERCIAL ALATRISTE</t>
  </si>
  <si>
    <t>D-10133</t>
  </si>
  <si>
    <t>(182)JAVIER 24</t>
  </si>
  <si>
    <t>D-10134</t>
  </si>
  <si>
    <t>(87)EMMANUEL ALFONSO SALAZAR</t>
  </si>
  <si>
    <t>D-10135</t>
  </si>
  <si>
    <t>D-10136</t>
  </si>
  <si>
    <t>(23)ALVARO MEZA</t>
  </si>
  <si>
    <t>D-10137</t>
  </si>
  <si>
    <t>(153)JUAN APANGO</t>
  </si>
  <si>
    <t>D-10138</t>
  </si>
  <si>
    <t>(38)SUPER SERVICIO</t>
  </si>
  <si>
    <t>D-10139</t>
  </si>
  <si>
    <t>(423)SUPER DESCUENTO VICTORINO</t>
  </si>
  <si>
    <t>D-10140</t>
  </si>
  <si>
    <t>D-10141</t>
  </si>
  <si>
    <t>(116)GERARDO FRAGOSO</t>
  </si>
  <si>
    <t>D-10142</t>
  </si>
  <si>
    <t>(575)CHEMA</t>
  </si>
  <si>
    <t>D-10143</t>
  </si>
  <si>
    <t>(208)SUPER DE LAS LOMAS VITORINO</t>
  </si>
  <si>
    <t>D-10144</t>
  </si>
  <si>
    <t>(365)K'BRIONES</t>
  </si>
  <si>
    <t>D-10145</t>
  </si>
  <si>
    <t>D-10146</t>
  </si>
  <si>
    <t>(31)JAVIER LUNA</t>
  </si>
  <si>
    <t>D-10147</t>
  </si>
  <si>
    <t>(678)MAURO LOPEZ XIMELLO</t>
  </si>
  <si>
    <t>D-10148</t>
  </si>
  <si>
    <t>(190)JAIME GASPARIANO</t>
  </si>
  <si>
    <t>D-10149</t>
  </si>
  <si>
    <t>D-10150</t>
  </si>
  <si>
    <t>(66)MICHOACANA (ELIAS)</t>
  </si>
  <si>
    <t>D-10151</t>
  </si>
  <si>
    <t>D-10152</t>
  </si>
  <si>
    <t>(614)MARTIN BAEZ</t>
  </si>
  <si>
    <t>D-10153</t>
  </si>
  <si>
    <t>D-10154</t>
  </si>
  <si>
    <t>(179)SERRANO</t>
  </si>
  <si>
    <t>D-10155</t>
  </si>
  <si>
    <t>(688)FINCA  REAL</t>
  </si>
  <si>
    <t>D-10156</t>
  </si>
  <si>
    <t>D-10157</t>
  </si>
  <si>
    <t>D-10158</t>
  </si>
  <si>
    <t>(264)FRANCISCO  SANCHEZ</t>
  </si>
  <si>
    <t>D-10159</t>
  </si>
  <si>
    <t>(111)SAGRADO CORAZON MORILLOTLA</t>
  </si>
  <si>
    <t>D-10160</t>
  </si>
  <si>
    <t>(9)EL PASTORCITO I</t>
  </si>
  <si>
    <t>D-10161</t>
  </si>
  <si>
    <t>(89)MAQUILA</t>
  </si>
  <si>
    <t>D-10162</t>
  </si>
  <si>
    <t>(515)RAUL LEDO RAMIREZ</t>
  </si>
  <si>
    <t>D-10163</t>
  </si>
  <si>
    <t>(433)FERNANDO ROMERO</t>
  </si>
  <si>
    <t>D-10164</t>
  </si>
  <si>
    <t>D-10165</t>
  </si>
  <si>
    <t>D-10166</t>
  </si>
  <si>
    <t>(34)HILDA LUNA</t>
  </si>
  <si>
    <t>D-10167</t>
  </si>
  <si>
    <t>D-10168</t>
  </si>
  <si>
    <t>D-10169</t>
  </si>
  <si>
    <t>(636)ANTONIIO HERRERA</t>
  </si>
  <si>
    <t>D-10170</t>
  </si>
  <si>
    <t>(359)JAIME MASTRANZO</t>
  </si>
  <si>
    <t>D-10171</t>
  </si>
  <si>
    <t>(85)JOSE LUIS JUAREZ</t>
  </si>
  <si>
    <t>D-10172</t>
  </si>
  <si>
    <t>D-10173</t>
  </si>
  <si>
    <t>(174)RAMON RUIZ</t>
  </si>
  <si>
    <t>D-10174</t>
  </si>
  <si>
    <t>D-10175</t>
  </si>
  <si>
    <t>D-10176</t>
  </si>
  <si>
    <t>(570)RAUL LEDO</t>
  </si>
  <si>
    <t>D-10177</t>
  </si>
  <si>
    <t>(512)MARCO ANTONIO GONZALEZ</t>
  </si>
  <si>
    <t>D-10178</t>
  </si>
  <si>
    <t>(418)ARTURO VERACRUZ</t>
  </si>
  <si>
    <t>D-10179</t>
  </si>
  <si>
    <t>(160)COSTA  DE ORO</t>
  </si>
  <si>
    <t>D-10180</t>
  </si>
  <si>
    <t>(164)ALEJANDRO HERNANDEZ (VER)</t>
  </si>
  <si>
    <t>D-10181</t>
  </si>
  <si>
    <t>(163)PEDRO JESUS VERA  MOLINA    VER.</t>
  </si>
  <si>
    <t>D-10182</t>
  </si>
  <si>
    <t>(172)MIGUEL VERACRUZ</t>
  </si>
  <si>
    <t>D-10183</t>
  </si>
  <si>
    <t>(168)VALERIO VERACRUZ</t>
  </si>
  <si>
    <t>D-10184</t>
  </si>
  <si>
    <t>(171)ALFREDO VERACRUZ</t>
  </si>
  <si>
    <t>D-10185</t>
  </si>
  <si>
    <t>(372)AIDA (VER)</t>
  </si>
  <si>
    <t>D-10186</t>
  </si>
  <si>
    <t>(162)SERGIO  HDEZ  VERACRUZ</t>
  </si>
  <si>
    <t>D-10187</t>
  </si>
  <si>
    <t>D-10188</t>
  </si>
  <si>
    <t>(634)GUADALUPE VER</t>
  </si>
  <si>
    <t>D-10189</t>
  </si>
  <si>
    <t>D-10190</t>
  </si>
  <si>
    <t>D-10191</t>
  </si>
  <si>
    <t>D-10192</t>
  </si>
  <si>
    <t>D-10193</t>
  </si>
  <si>
    <t>D-10194</t>
  </si>
  <si>
    <t>D-10195</t>
  </si>
  <si>
    <t>D-10196</t>
  </si>
  <si>
    <t>D-10197</t>
  </si>
  <si>
    <t>(686)RICARDO MACHORRO</t>
  </si>
  <si>
    <t>D-10198</t>
  </si>
  <si>
    <t>D-10199</t>
  </si>
  <si>
    <t>4-May-17---05-May -17</t>
  </si>
  <si>
    <t>D-10200</t>
  </si>
  <si>
    <t>(194)FABIAN MACHORRO</t>
  </si>
  <si>
    <t>5-May-17----06-May-17</t>
  </si>
  <si>
    <t>D-10201</t>
  </si>
  <si>
    <t>D-10202</t>
  </si>
  <si>
    <t>D-10203</t>
  </si>
  <si>
    <t>D-10204</t>
  </si>
  <si>
    <t>D-10205</t>
  </si>
  <si>
    <t>(505)ALAN</t>
  </si>
  <si>
    <t>D-10206</t>
  </si>
  <si>
    <t>D-10207</t>
  </si>
  <si>
    <t>D-10208</t>
  </si>
  <si>
    <t>D-10209</t>
  </si>
  <si>
    <t>D-10210</t>
  </si>
  <si>
    <t>D-10211</t>
  </si>
  <si>
    <t>D-10212</t>
  </si>
  <si>
    <t>D-10213</t>
  </si>
  <si>
    <t>D-10214</t>
  </si>
  <si>
    <t>D-10215</t>
  </si>
  <si>
    <t>D-10216</t>
  </si>
  <si>
    <t>(375)JAIME HERNANDEZ</t>
  </si>
  <si>
    <t>D-10217</t>
  </si>
  <si>
    <t>D-10218</t>
  </si>
  <si>
    <t>D-10219</t>
  </si>
  <si>
    <t>D-10220</t>
  </si>
  <si>
    <t>D-10221</t>
  </si>
  <si>
    <t>D-10222</t>
  </si>
  <si>
    <t>D-10223</t>
  </si>
  <si>
    <t>D-10224</t>
  </si>
  <si>
    <t>D-10225</t>
  </si>
  <si>
    <t>D-10226</t>
  </si>
  <si>
    <t>(525)FERNANDO CRUZ</t>
  </si>
  <si>
    <t>D-10227</t>
  </si>
  <si>
    <t>D-10228</t>
  </si>
  <si>
    <t>D-10229</t>
  </si>
  <si>
    <t>(289)JORGE</t>
  </si>
  <si>
    <t>5-May-17--10-May-17</t>
  </si>
  <si>
    <t>D-10230</t>
  </si>
  <si>
    <t>D-10231</t>
  </si>
  <si>
    <t>D-10232</t>
  </si>
  <si>
    <t>D-10233</t>
  </si>
  <si>
    <t>D-10234</t>
  </si>
  <si>
    <t>D-10235</t>
  </si>
  <si>
    <t>D-10236</t>
  </si>
  <si>
    <t>(123)BUHO</t>
  </si>
  <si>
    <t>D-10237</t>
  </si>
  <si>
    <t>D-10238</t>
  </si>
  <si>
    <t>(47)NOE COYOTL</t>
  </si>
  <si>
    <t>D-10239</t>
  </si>
  <si>
    <t>D-10240</t>
  </si>
  <si>
    <t>D-10241</t>
  </si>
  <si>
    <t>(117)NARCISO ROMERO CAMALEON</t>
  </si>
  <si>
    <t>D-10242</t>
  </si>
  <si>
    <t>D-10243</t>
  </si>
  <si>
    <t>D-10244</t>
  </si>
  <si>
    <t>D-10245</t>
  </si>
  <si>
    <t>D-10246</t>
  </si>
  <si>
    <t>D-10247</t>
  </si>
  <si>
    <t>(465)CARNICERIA SANTA ANA</t>
  </si>
  <si>
    <t>D-10248</t>
  </si>
  <si>
    <t>(591)JULIO</t>
  </si>
  <si>
    <t>D-10249</t>
  </si>
  <si>
    <t>(545)GINA</t>
  </si>
  <si>
    <t>D-10250</t>
  </si>
  <si>
    <t>D-10251</t>
  </si>
  <si>
    <t>(478)CARNICERIA BARBIE</t>
  </si>
  <si>
    <t>D-10252</t>
  </si>
  <si>
    <t>D-10253</t>
  </si>
  <si>
    <t>D-10254</t>
  </si>
  <si>
    <t>D-10255</t>
  </si>
  <si>
    <t>(629)IVONNE CASTILLO CORTES</t>
  </si>
  <si>
    <t>D-10256</t>
  </si>
  <si>
    <t>3-May-17   12-May-17</t>
  </si>
  <si>
    <t>D-10257</t>
  </si>
  <si>
    <t>(92)BEATRIZ LUNA</t>
  </si>
  <si>
    <t>D-10258</t>
  </si>
  <si>
    <t>(590)CARNICERIA HUGO´S</t>
  </si>
  <si>
    <t>D-10259</t>
  </si>
  <si>
    <t>(599)LA  UNION</t>
  </si>
  <si>
    <t>D-10260</t>
  </si>
  <si>
    <t>(595)LOMA VERDE</t>
  </si>
  <si>
    <t>D-10261</t>
  </si>
  <si>
    <t>D-10262</t>
  </si>
  <si>
    <t>(421)MARCO SANCHEZ</t>
  </si>
  <si>
    <t>D-10263</t>
  </si>
  <si>
    <t>D-10264</t>
  </si>
  <si>
    <t>D-10265</t>
  </si>
  <si>
    <t>(311)ALEJANDRO RAMIREZ</t>
  </si>
  <si>
    <t>D-10266</t>
  </si>
  <si>
    <t>(290)GABRIEL TUXPAN</t>
  </si>
  <si>
    <t>D-10267</t>
  </si>
  <si>
    <t>D-10268</t>
  </si>
  <si>
    <t>D-10269</t>
  </si>
  <si>
    <t>(658)POLLO A  LA LEÑA</t>
  </si>
  <si>
    <t>D-10270</t>
  </si>
  <si>
    <t>D-10271</t>
  </si>
  <si>
    <t>D-10272</t>
  </si>
  <si>
    <t>D-10273</t>
  </si>
  <si>
    <t>(384)MARIO MASTRANZO</t>
  </si>
  <si>
    <t>D-10274</t>
  </si>
  <si>
    <t>D-10275</t>
  </si>
  <si>
    <t>D-10276</t>
  </si>
  <si>
    <t>(618)CORAZON DE BRASIL SANTA ANA</t>
  </si>
  <si>
    <t>D-10277</t>
  </si>
  <si>
    <t>(562)SAGRADO CORAZON ZAPATA</t>
  </si>
  <si>
    <t>D-10278</t>
  </si>
  <si>
    <t>D-10279</t>
  </si>
  <si>
    <t>D-10280</t>
  </si>
  <si>
    <t>(622)TOÑO CHOLULA</t>
  </si>
  <si>
    <t>D-10281</t>
  </si>
  <si>
    <t>D-10282</t>
  </si>
  <si>
    <t>(115)LUIS HERRERA</t>
  </si>
  <si>
    <t>D-10283</t>
  </si>
  <si>
    <t>(199)ANGEL CRUZ</t>
  </si>
  <si>
    <t>D-10284</t>
  </si>
  <si>
    <t>(219)GIOVANNI RIOS</t>
  </si>
  <si>
    <t>D-10285</t>
  </si>
  <si>
    <t>(551)MARIO VILLA POSADAS</t>
  </si>
  <si>
    <t>D-10286</t>
  </si>
  <si>
    <t>D-10287</t>
  </si>
  <si>
    <t>D-10288</t>
  </si>
  <si>
    <t>(2)LUIS LOPEZ</t>
  </si>
  <si>
    <t>D-10289</t>
  </si>
  <si>
    <t>D-10290</t>
  </si>
  <si>
    <t>D-10291</t>
  </si>
  <si>
    <t>D-10292</t>
  </si>
  <si>
    <t>D-10293</t>
  </si>
  <si>
    <t>D-10294</t>
  </si>
  <si>
    <t>D-10295</t>
  </si>
  <si>
    <t>D-10296</t>
  </si>
  <si>
    <t>D-10297</t>
  </si>
  <si>
    <t>D-10298</t>
  </si>
  <si>
    <t>D-10299</t>
  </si>
  <si>
    <t>(287)MARCO ANTONIO TECHALOTZI</t>
  </si>
  <si>
    <t>D-10300</t>
  </si>
  <si>
    <t>(305)CORAZON DE BRASIL ATLIXCO</t>
  </si>
  <si>
    <t>D-10301</t>
  </si>
  <si>
    <t>D-10302</t>
  </si>
  <si>
    <t>(293)JUDITH URBY</t>
  </si>
  <si>
    <t>D-10303</t>
  </si>
  <si>
    <t>D-10304</t>
  </si>
  <si>
    <t>D-10305</t>
  </si>
  <si>
    <t>D-10306</t>
  </si>
  <si>
    <t>D-10307</t>
  </si>
  <si>
    <t>D-10308</t>
  </si>
  <si>
    <t>(40)LA SORPRESA</t>
  </si>
  <si>
    <t>D-10309</t>
  </si>
  <si>
    <t>(205)DON JULIO</t>
  </si>
  <si>
    <t>D-10310</t>
  </si>
  <si>
    <t>(71)ARCADIO LEDO RAMOS</t>
  </si>
  <si>
    <t>D-10311</t>
  </si>
  <si>
    <t>D-10312</t>
  </si>
  <si>
    <t>D-10313</t>
  </si>
  <si>
    <t>(556)BRAZILIAN BUFFET</t>
  </si>
  <si>
    <t>D-10314</t>
  </si>
  <si>
    <t>D-10315</t>
  </si>
  <si>
    <t>D-10316</t>
  </si>
  <si>
    <t>(613)BASILIO BAEZ</t>
  </si>
  <si>
    <t>D-10317</t>
  </si>
  <si>
    <t>D-10318</t>
  </si>
  <si>
    <t>D-10319</t>
  </si>
  <si>
    <t>D-10320</t>
  </si>
  <si>
    <t>D-10321</t>
  </si>
  <si>
    <t>(569)LEONARDO SAUZA CORONA</t>
  </si>
  <si>
    <t>D-10322</t>
  </si>
  <si>
    <t>(176)CERRITOS</t>
  </si>
  <si>
    <t>D-10323</t>
  </si>
  <si>
    <t>D-10324</t>
  </si>
  <si>
    <t>D-10325</t>
  </si>
  <si>
    <t>D-10326</t>
  </si>
  <si>
    <t>D-10327</t>
  </si>
  <si>
    <t>D-10328</t>
  </si>
  <si>
    <t>D-10329</t>
  </si>
  <si>
    <t>D-10330</t>
  </si>
  <si>
    <t>D-10331</t>
  </si>
  <si>
    <t>D-10332</t>
  </si>
  <si>
    <t>(93)ALB&amp;CIA</t>
  </si>
  <si>
    <t>D-10333</t>
  </si>
  <si>
    <t>D-10334</t>
  </si>
  <si>
    <t>D-10335</t>
  </si>
  <si>
    <t>D-10336</t>
  </si>
  <si>
    <t>D-10337</t>
  </si>
  <si>
    <t>D-10338</t>
  </si>
  <si>
    <t>(243)RAFAEL LEDO</t>
  </si>
  <si>
    <t>D-10339</t>
  </si>
  <si>
    <t>D-10340</t>
  </si>
  <si>
    <t>(221)JUANA PORTILLO</t>
  </si>
  <si>
    <t>D-10341</t>
  </si>
  <si>
    <t>D-10342</t>
  </si>
  <si>
    <t>(472)GUILLERMINA ZOQUIAPAN</t>
  </si>
  <si>
    <t>D-10343</t>
  </si>
  <si>
    <t>D-10344</t>
  </si>
  <si>
    <t>D-10345</t>
  </si>
  <si>
    <t>D-10346</t>
  </si>
  <si>
    <t>(441)MIGUEL HUERTA</t>
  </si>
  <si>
    <t>D-10347</t>
  </si>
  <si>
    <t>D-10348</t>
  </si>
  <si>
    <t>D-10349</t>
  </si>
  <si>
    <t>D-10350</t>
  </si>
  <si>
    <t>D-10351</t>
  </si>
  <si>
    <t>D-10352</t>
  </si>
  <si>
    <t>D-10353</t>
  </si>
  <si>
    <t>(466)GERMAN CEBADA SALAMANCA</t>
  </si>
  <si>
    <t>D-10354</t>
  </si>
  <si>
    <t>D-10355</t>
  </si>
  <si>
    <t>D-10356</t>
  </si>
  <si>
    <t>D-10357</t>
  </si>
  <si>
    <t>D-10358</t>
  </si>
  <si>
    <t>D-10359</t>
  </si>
  <si>
    <t>D-10360</t>
  </si>
  <si>
    <t>(20)CARNICERIA CANO</t>
  </si>
  <si>
    <t>D-10361</t>
  </si>
  <si>
    <t>D-10362</t>
  </si>
  <si>
    <t>D-10363</t>
  </si>
  <si>
    <t>D-10364</t>
  </si>
  <si>
    <t>D-10365</t>
  </si>
  <si>
    <t>D-10366</t>
  </si>
  <si>
    <t>(589)PACO DIAZ</t>
  </si>
  <si>
    <t>D-10367</t>
  </si>
  <si>
    <t>D-10368</t>
  </si>
  <si>
    <t>(519)FELIX SANCHEZ</t>
  </si>
  <si>
    <t>D-10369</t>
  </si>
  <si>
    <t>D-10370</t>
  </si>
  <si>
    <t>D-10371</t>
  </si>
  <si>
    <t>D-10372</t>
  </si>
  <si>
    <t>D-10373</t>
  </si>
  <si>
    <t>D-10374</t>
  </si>
  <si>
    <t>(449)MOISES ARCE</t>
  </si>
  <si>
    <t>D-10375</t>
  </si>
  <si>
    <t>D-10376</t>
  </si>
  <si>
    <t>D-10377</t>
  </si>
  <si>
    <t>D-10378</t>
  </si>
  <si>
    <t>D-10379</t>
  </si>
  <si>
    <t>D-10380</t>
  </si>
  <si>
    <t>D-10381</t>
  </si>
  <si>
    <t>(269)CAMACHO</t>
  </si>
  <si>
    <t>D-10382</t>
  </si>
  <si>
    <t>(572)MORALES DIAZ</t>
  </si>
  <si>
    <t>D-10383</t>
  </si>
  <si>
    <t>D-10384</t>
  </si>
  <si>
    <t>D-10385</t>
  </si>
  <si>
    <t>D-10386</t>
  </si>
  <si>
    <t>D-10387</t>
  </si>
  <si>
    <t>D-10388</t>
  </si>
  <si>
    <t>D-10389</t>
  </si>
  <si>
    <t>D-10390</t>
  </si>
  <si>
    <t>(98)FERNANDO GALICIA</t>
  </si>
  <si>
    <t>D-10391</t>
  </si>
  <si>
    <t>D-10392</t>
  </si>
  <si>
    <t>(542)HUGO HERNANDEZ</t>
  </si>
  <si>
    <t>D-10393</t>
  </si>
  <si>
    <t>D-10394</t>
  </si>
  <si>
    <t>D-10395</t>
  </si>
  <si>
    <t>(139)ISIDORO  COYOLT</t>
  </si>
  <si>
    <t>D-10396</t>
  </si>
  <si>
    <t>D-10397</t>
  </si>
  <si>
    <t>D-10398</t>
  </si>
  <si>
    <t>D-10399</t>
  </si>
  <si>
    <t>D-10400</t>
  </si>
  <si>
    <t>D-10401</t>
  </si>
  <si>
    <t>D-10402</t>
  </si>
  <si>
    <t>D-10403</t>
  </si>
  <si>
    <t>D-10404</t>
  </si>
  <si>
    <t>(229)JOSE LUIS CANTERO</t>
  </si>
  <si>
    <t>D-10405</t>
  </si>
  <si>
    <t>D-10406</t>
  </si>
  <si>
    <t>(488)TONANZINTLA</t>
  </si>
  <si>
    <t>D-10407</t>
  </si>
  <si>
    <t>D-10408</t>
  </si>
  <si>
    <t>(136)RICARDO DELEITA</t>
  </si>
  <si>
    <t>D-10409</t>
  </si>
  <si>
    <t>D-10410</t>
  </si>
  <si>
    <t>(627)GUSTAVO CHAMORROS</t>
  </si>
  <si>
    <t>D-10411</t>
  </si>
  <si>
    <t>D-10412</t>
  </si>
  <si>
    <t>D-10413</t>
  </si>
  <si>
    <t>D-10414</t>
  </si>
  <si>
    <t>D-10415</t>
  </si>
  <si>
    <t>(626)CARNES ALI</t>
  </si>
  <si>
    <t>D-10416</t>
  </si>
  <si>
    <t>(285)ERASMO</t>
  </si>
  <si>
    <t>D-10417</t>
  </si>
  <si>
    <t>D-10418</t>
  </si>
  <si>
    <t>D-10419</t>
  </si>
  <si>
    <t>D-10420</t>
  </si>
  <si>
    <t>4-May-17--05-May-17</t>
  </si>
  <si>
    <t>D-10421</t>
  </si>
  <si>
    <t>4-May-17--08/05/2017</t>
  </si>
  <si>
    <t>D-10422</t>
  </si>
  <si>
    <t>D-10423</t>
  </si>
  <si>
    <t>D-10424</t>
  </si>
  <si>
    <t>D-10425</t>
  </si>
  <si>
    <t>D-10426</t>
  </si>
  <si>
    <t>D-10427</t>
  </si>
  <si>
    <t>D-10428</t>
  </si>
  <si>
    <t>D-10429</t>
  </si>
  <si>
    <t>D-10430</t>
  </si>
  <si>
    <t>D-10431</t>
  </si>
  <si>
    <t>D-10432</t>
  </si>
  <si>
    <t>D-10433</t>
  </si>
  <si>
    <t>D-10434</t>
  </si>
  <si>
    <t>D-10435</t>
  </si>
  <si>
    <t>D-10436</t>
  </si>
  <si>
    <t>(64)CARBONCITO</t>
  </si>
  <si>
    <t>D-10437</t>
  </si>
  <si>
    <t>D-10438</t>
  </si>
  <si>
    <t>D-10439</t>
  </si>
  <si>
    <t>(256)CHINOS TLAXCALA</t>
  </si>
  <si>
    <t>D-10440</t>
  </si>
  <si>
    <t>D-10441</t>
  </si>
  <si>
    <t>(263)LEONARDO SANCHEZ</t>
  </si>
  <si>
    <t>D-10442</t>
  </si>
  <si>
    <t>D-10443</t>
  </si>
  <si>
    <t>D-10444</t>
  </si>
  <si>
    <t>D-10445</t>
  </si>
  <si>
    <t>D-10446</t>
  </si>
  <si>
    <t>D-10447</t>
  </si>
  <si>
    <t>D-10448</t>
  </si>
  <si>
    <t>D-10449</t>
  </si>
  <si>
    <t>D-10450</t>
  </si>
  <si>
    <t>D-10451</t>
  </si>
  <si>
    <t>D-10452</t>
  </si>
  <si>
    <t>D-10453</t>
  </si>
  <si>
    <t>D-10454</t>
  </si>
  <si>
    <t>D-10455</t>
  </si>
  <si>
    <t>D-10456</t>
  </si>
  <si>
    <t>D-10457</t>
  </si>
  <si>
    <t>D-10458</t>
  </si>
  <si>
    <t>6-May-17---08/05/2017</t>
  </si>
  <si>
    <t>D-10459</t>
  </si>
  <si>
    <t>D-10460</t>
  </si>
  <si>
    <t>(473)OMAR CONTRERAS</t>
  </si>
  <si>
    <t>D-10461</t>
  </si>
  <si>
    <t>D-10462</t>
  </si>
  <si>
    <t>D-10463</t>
  </si>
  <si>
    <t>D-10464</t>
  </si>
  <si>
    <t>D-10465</t>
  </si>
  <si>
    <t>D-10466</t>
  </si>
  <si>
    <t>D-10467</t>
  </si>
  <si>
    <t>(544)ANTONIO ROLDAN</t>
  </si>
  <si>
    <t>D-10468</t>
  </si>
  <si>
    <t>D-10469</t>
  </si>
  <si>
    <t>D-10470</t>
  </si>
  <si>
    <t>D-10471</t>
  </si>
  <si>
    <t>13-May-17----25-May-17</t>
  </si>
  <si>
    <t>D-10472</t>
  </si>
  <si>
    <t>D-10473</t>
  </si>
  <si>
    <t>D-10474</t>
  </si>
  <si>
    <t>D-10475</t>
  </si>
  <si>
    <t>D-10476</t>
  </si>
  <si>
    <t>D-10477</t>
  </si>
  <si>
    <t>D-10478</t>
  </si>
  <si>
    <t>D-10479</t>
  </si>
  <si>
    <t>D-10480</t>
  </si>
  <si>
    <t>(588)CARNES DIAZ</t>
  </si>
  <si>
    <t>D-10481</t>
  </si>
  <si>
    <t>(684)TLAXLANCINGO</t>
  </si>
  <si>
    <t>D-10482</t>
  </si>
  <si>
    <t>D-10483</t>
  </si>
  <si>
    <t>D-10484</t>
  </si>
  <si>
    <t>D-10485</t>
  </si>
  <si>
    <t>D-10486</t>
  </si>
  <si>
    <t>D-10487</t>
  </si>
  <si>
    <t>D-10488</t>
  </si>
  <si>
    <t>D-10489</t>
  </si>
  <si>
    <t>D-10490</t>
  </si>
  <si>
    <t>D-10491</t>
  </si>
  <si>
    <t>D-10492</t>
  </si>
  <si>
    <t>D-10493</t>
  </si>
  <si>
    <t>D-10494</t>
  </si>
  <si>
    <t>D-10495</t>
  </si>
  <si>
    <t>D-10496</t>
  </si>
  <si>
    <t>D-10497</t>
  </si>
  <si>
    <t>D-10498</t>
  </si>
  <si>
    <t>D-10499</t>
  </si>
  <si>
    <t>(682)TAQUERIA OYUTLA</t>
  </si>
  <si>
    <t>D-10500</t>
  </si>
  <si>
    <t>(200)JESUS TUXPAN</t>
  </si>
  <si>
    <t>D-10501</t>
  </si>
  <si>
    <t>(534)VISCERAS MIKE</t>
  </si>
  <si>
    <t>D-10502</t>
  </si>
  <si>
    <t>D-10503</t>
  </si>
  <si>
    <t>(586)FERNANDO 14 SUR</t>
  </si>
  <si>
    <t>D-10504</t>
  </si>
  <si>
    <t>D-10505</t>
  </si>
  <si>
    <t>D-10506</t>
  </si>
  <si>
    <t>D-10507</t>
  </si>
  <si>
    <t>D-10508</t>
  </si>
  <si>
    <t>D-10509</t>
  </si>
  <si>
    <t>(427)ROGELIO ESCOBAR TLAXCO</t>
  </si>
  <si>
    <t>D-10510</t>
  </si>
  <si>
    <t>D-10511</t>
  </si>
  <si>
    <t>D-10512</t>
  </si>
  <si>
    <t>D-10513</t>
  </si>
  <si>
    <t>D-10514</t>
  </si>
  <si>
    <t>D-10515</t>
  </si>
  <si>
    <t>(417)JOSE CORDERO</t>
  </si>
  <si>
    <t>D-10516</t>
  </si>
  <si>
    <t>D-10517</t>
  </si>
  <si>
    <t>D-10518</t>
  </si>
  <si>
    <t>D-10519</t>
  </si>
  <si>
    <t>D-10520</t>
  </si>
  <si>
    <t>D-10521</t>
  </si>
  <si>
    <t>D-10522</t>
  </si>
  <si>
    <t>D-10523</t>
  </si>
  <si>
    <t>(409)JOVANY CUATEPOTZO</t>
  </si>
  <si>
    <t>D-10524</t>
  </si>
  <si>
    <t>D-10525</t>
  </si>
  <si>
    <t>D-10526</t>
  </si>
  <si>
    <t>D-10527</t>
  </si>
  <si>
    <t>D-10528</t>
  </si>
  <si>
    <t>(657)CORAZON DE BRASIL CENTRO</t>
  </si>
  <si>
    <t>D-10529</t>
  </si>
  <si>
    <t>D-10530</t>
  </si>
  <si>
    <t>D-10531</t>
  </si>
  <si>
    <t>D-10532</t>
  </si>
  <si>
    <t>D-10533</t>
  </si>
  <si>
    <t>D-10534</t>
  </si>
  <si>
    <t>D-10535</t>
  </si>
  <si>
    <t>D-10536</t>
  </si>
  <si>
    <t>D-10537</t>
  </si>
  <si>
    <t>D-10538</t>
  </si>
  <si>
    <t>D-10539</t>
  </si>
  <si>
    <t>D-10540</t>
  </si>
  <si>
    <t>(128)HUGO LOPEZ</t>
  </si>
  <si>
    <t>D-10541</t>
  </si>
  <si>
    <t>D-10542</t>
  </si>
  <si>
    <t>D-10543</t>
  </si>
  <si>
    <t>D-10544</t>
  </si>
  <si>
    <t>D-10545</t>
  </si>
  <si>
    <t>D-10546</t>
  </si>
  <si>
    <t>D-10547</t>
  </si>
  <si>
    <t>D-10548</t>
  </si>
  <si>
    <t>(443)PERLA RIOS</t>
  </si>
  <si>
    <t>D-10549</t>
  </si>
  <si>
    <t>D-10550</t>
  </si>
  <si>
    <t>D-10551</t>
  </si>
  <si>
    <t>D-10552</t>
  </si>
  <si>
    <t>D-10553</t>
  </si>
  <si>
    <t>D-10554</t>
  </si>
  <si>
    <t>D-10555</t>
  </si>
  <si>
    <t>(181)DARIO TIRO</t>
  </si>
  <si>
    <t>5-May-17----17/05/2017</t>
  </si>
  <si>
    <t>D-10556</t>
  </si>
  <si>
    <t>CANCELADA   FALTA Original y copia azul</t>
  </si>
  <si>
    <t>D-10557</t>
  </si>
  <si>
    <t>D-10558</t>
  </si>
  <si>
    <t>D-10559</t>
  </si>
  <si>
    <t>D-10560</t>
  </si>
  <si>
    <t>D-10561</t>
  </si>
  <si>
    <t>D-10562</t>
  </si>
  <si>
    <t>(196)OMAR  ATLIXCO</t>
  </si>
  <si>
    <t>D-10563</t>
  </si>
  <si>
    <t>D-10564</t>
  </si>
  <si>
    <t>D-10565</t>
  </si>
  <si>
    <t>(391)CARNICERIA RENDON</t>
  </si>
  <si>
    <t>D-10566</t>
  </si>
  <si>
    <t>(388)CHALCO</t>
  </si>
  <si>
    <t>D-10567</t>
  </si>
  <si>
    <t>D-10568</t>
  </si>
  <si>
    <t>(242)IGNACIO GOMEZ MARTINEZ</t>
  </si>
  <si>
    <t>D-10569</t>
  </si>
  <si>
    <t>(167)GUILLERMO VERACRUZ</t>
  </si>
  <si>
    <t>D-10570</t>
  </si>
  <si>
    <t>D-10571</t>
  </si>
  <si>
    <t>D-10572</t>
  </si>
  <si>
    <t>D-10573</t>
  </si>
  <si>
    <t>D-10574</t>
  </si>
  <si>
    <t>D-10575</t>
  </si>
  <si>
    <t>D-10576</t>
  </si>
  <si>
    <t>D-10577</t>
  </si>
  <si>
    <t>D-10578</t>
  </si>
  <si>
    <t>D-10579</t>
  </si>
  <si>
    <t>D-10580</t>
  </si>
  <si>
    <t>D-10581</t>
  </si>
  <si>
    <t>D-10582</t>
  </si>
  <si>
    <t>D-10583</t>
  </si>
  <si>
    <t>(647)ANGEL LEDO</t>
  </si>
  <si>
    <t>D-10584</t>
  </si>
  <si>
    <t>D-10585</t>
  </si>
  <si>
    <t>D-10586</t>
  </si>
  <si>
    <t>D-10587</t>
  </si>
  <si>
    <t>(178)GERARDO VERACRUZ</t>
  </si>
  <si>
    <t>D-10588</t>
  </si>
  <si>
    <t>D-10589</t>
  </si>
  <si>
    <t>D-10590</t>
  </si>
  <si>
    <t>D-10591</t>
  </si>
  <si>
    <t>D-10592</t>
  </si>
  <si>
    <t>D-10593</t>
  </si>
  <si>
    <t>D-10594</t>
  </si>
  <si>
    <t>D-10595</t>
  </si>
  <si>
    <t>D-10596</t>
  </si>
  <si>
    <t>D-10597</t>
  </si>
  <si>
    <t>D-10598</t>
  </si>
  <si>
    <t>D-10599</t>
  </si>
  <si>
    <t>D-10600</t>
  </si>
  <si>
    <t>D-10601</t>
  </si>
  <si>
    <t>D-10602</t>
  </si>
  <si>
    <t>D-10603</t>
  </si>
  <si>
    <t>D-10604</t>
  </si>
  <si>
    <t>D-10605</t>
  </si>
  <si>
    <t>D-10606</t>
  </si>
  <si>
    <t>5-May-17---06-May-17</t>
  </si>
  <si>
    <t>D-10607</t>
  </si>
  <si>
    <t>D-10608</t>
  </si>
  <si>
    <t>D-10609</t>
  </si>
  <si>
    <t>D-10610</t>
  </si>
  <si>
    <t>D-10611</t>
  </si>
  <si>
    <t>(639)LUIS PEREZ LEDO</t>
  </si>
  <si>
    <t>D-10612</t>
  </si>
  <si>
    <t>D-10613</t>
  </si>
  <si>
    <t>D-10614</t>
  </si>
  <si>
    <t>D-10615</t>
  </si>
  <si>
    <t>D-10616</t>
  </si>
  <si>
    <t>D-10617</t>
  </si>
  <si>
    <t>D-10618</t>
  </si>
  <si>
    <t>8-May-17--09-May-17</t>
  </si>
  <si>
    <t>D-10619</t>
  </si>
  <si>
    <t>D-10620</t>
  </si>
  <si>
    <t>D-10621</t>
  </si>
  <si>
    <t>D-10622</t>
  </si>
  <si>
    <t>D-10623</t>
  </si>
  <si>
    <t>D-10624</t>
  </si>
  <si>
    <t>D-10625</t>
  </si>
  <si>
    <t>D-10626</t>
  </si>
  <si>
    <t>D-10627</t>
  </si>
  <si>
    <t>D-10628</t>
  </si>
  <si>
    <t>D-10629</t>
  </si>
  <si>
    <t>D-10630</t>
  </si>
  <si>
    <t>D-10631</t>
  </si>
  <si>
    <t>D-10632</t>
  </si>
  <si>
    <t>D-10633</t>
  </si>
  <si>
    <t>D-10634</t>
  </si>
  <si>
    <t>D-10635</t>
  </si>
  <si>
    <t>D-10636</t>
  </si>
  <si>
    <t>D-10637</t>
  </si>
  <si>
    <t>D-10638</t>
  </si>
  <si>
    <t>D-10639</t>
  </si>
  <si>
    <t>D-10640</t>
  </si>
  <si>
    <t>D-10641</t>
  </si>
  <si>
    <t>D-10642</t>
  </si>
  <si>
    <t>15-May-17---19-May-17</t>
  </si>
  <si>
    <t>D-10643</t>
  </si>
  <si>
    <t>D-10644</t>
  </si>
  <si>
    <t>(244)MARIA LUISA</t>
  </si>
  <si>
    <t>D-10645</t>
  </si>
  <si>
    <t>D-10646</t>
  </si>
  <si>
    <t>D-10647</t>
  </si>
  <si>
    <t>D-10648</t>
  </si>
  <si>
    <t>5-May-17---08/05/2017</t>
  </si>
  <si>
    <t>D-10649</t>
  </si>
  <si>
    <t>D-10650</t>
  </si>
  <si>
    <t>(547)BALDEMAR GONZALEZ GARRIDO</t>
  </si>
  <si>
    <t>D-10651</t>
  </si>
  <si>
    <t>D-10652</t>
  </si>
  <si>
    <t>D-10653</t>
  </si>
  <si>
    <t>D-10654</t>
  </si>
  <si>
    <t>D-10655</t>
  </si>
  <si>
    <t>D-10656</t>
  </si>
  <si>
    <t>D-10657</t>
  </si>
  <si>
    <t>D-10658</t>
  </si>
  <si>
    <t>(593)CARNES SELECTAS</t>
  </si>
  <si>
    <t>D-10659</t>
  </si>
  <si>
    <t>D-10660</t>
  </si>
  <si>
    <t>D-10661</t>
  </si>
  <si>
    <t>D-10662</t>
  </si>
  <si>
    <t>D-10663</t>
  </si>
  <si>
    <t>D-10664</t>
  </si>
  <si>
    <t>D-10665</t>
  </si>
  <si>
    <t>(42)JESUS RUIZ</t>
  </si>
  <si>
    <t>D-10666</t>
  </si>
  <si>
    <t>D-10667</t>
  </si>
  <si>
    <t>D-10668</t>
  </si>
  <si>
    <t>D-10669</t>
  </si>
  <si>
    <t>D-10670</t>
  </si>
  <si>
    <t>D-10671</t>
  </si>
  <si>
    <t>D-10672</t>
  </si>
  <si>
    <t>D-10673</t>
  </si>
  <si>
    <t>D-10674</t>
  </si>
  <si>
    <t>D-10675</t>
  </si>
  <si>
    <t>D-10676</t>
  </si>
  <si>
    <t>D-10677</t>
  </si>
  <si>
    <t>D-10678</t>
  </si>
  <si>
    <t>D-10679</t>
  </si>
  <si>
    <t>D-10680</t>
  </si>
  <si>
    <t>(683)KARINA MARTINEZ</t>
  </si>
  <si>
    <t>D-10681</t>
  </si>
  <si>
    <t>D-10682</t>
  </si>
  <si>
    <t>D-10683</t>
  </si>
  <si>
    <t>D-10684</t>
  </si>
  <si>
    <t>D-10685</t>
  </si>
  <si>
    <t>D-10686</t>
  </si>
  <si>
    <t>D-10687</t>
  </si>
  <si>
    <t>D-10688</t>
  </si>
  <si>
    <t>D-10689</t>
  </si>
  <si>
    <t>D-10690</t>
  </si>
  <si>
    <t>D-10691</t>
  </si>
  <si>
    <t>D-10692</t>
  </si>
  <si>
    <t>D-10693</t>
  </si>
  <si>
    <t>D-10694</t>
  </si>
  <si>
    <t>D-10695</t>
  </si>
  <si>
    <t>D-10696</t>
  </si>
  <si>
    <t>D-10697</t>
  </si>
  <si>
    <t>D-10698</t>
  </si>
  <si>
    <t>D-10699</t>
  </si>
  <si>
    <t>D-10700</t>
  </si>
  <si>
    <t>D-10701</t>
  </si>
  <si>
    <t>D-10702</t>
  </si>
  <si>
    <t>D-10703</t>
  </si>
  <si>
    <t>D-10704</t>
  </si>
  <si>
    <t>D-10705</t>
  </si>
  <si>
    <t>D-10706</t>
  </si>
  <si>
    <t>D-10707</t>
  </si>
  <si>
    <t>D-10708</t>
  </si>
  <si>
    <t>(663)AMADO DIAZ</t>
  </si>
  <si>
    <t>D-10709</t>
  </si>
  <si>
    <t>9-May-17 ----11-May-17</t>
  </si>
  <si>
    <t>D-10710</t>
  </si>
  <si>
    <t>D-10711</t>
  </si>
  <si>
    <t>D-10712</t>
  </si>
  <si>
    <t>D-10713</t>
  </si>
  <si>
    <t>D-10714</t>
  </si>
  <si>
    <t>D-10715</t>
  </si>
  <si>
    <t>D-10716</t>
  </si>
  <si>
    <t>D-10717</t>
  </si>
  <si>
    <t>D-10718</t>
  </si>
  <si>
    <t>D-10719</t>
  </si>
  <si>
    <t>D-10720</t>
  </si>
  <si>
    <t>D-10721</t>
  </si>
  <si>
    <t>(252)ROBERTO FLORES</t>
  </si>
  <si>
    <t>D-10722</t>
  </si>
  <si>
    <t>D-10723</t>
  </si>
  <si>
    <t>D-10724</t>
  </si>
  <si>
    <t>D-10725</t>
  </si>
  <si>
    <t>D-10726</t>
  </si>
  <si>
    <t>D-10727</t>
  </si>
  <si>
    <t>D-10728</t>
  </si>
  <si>
    <t>(474)SERGIO</t>
  </si>
  <si>
    <t>D-10729</t>
  </si>
  <si>
    <t>D-10730</t>
  </si>
  <si>
    <t>D-10731</t>
  </si>
  <si>
    <t>D-10732</t>
  </si>
  <si>
    <t>D-10733</t>
  </si>
  <si>
    <t>D-10734</t>
  </si>
  <si>
    <t>D-10735</t>
  </si>
  <si>
    <t>D-10736</t>
  </si>
  <si>
    <t>D-10737</t>
  </si>
  <si>
    <t>(303)SRA CORONA</t>
  </si>
  <si>
    <t>D-10738</t>
  </si>
  <si>
    <t>D-10739</t>
  </si>
  <si>
    <t>(610)BRAULIO APANGO</t>
  </si>
  <si>
    <t>D-10740</t>
  </si>
  <si>
    <t>D-10741</t>
  </si>
  <si>
    <t>D-10742</t>
  </si>
  <si>
    <t>D-10743</t>
  </si>
  <si>
    <t>D-10744</t>
  </si>
  <si>
    <t>D-10745</t>
  </si>
  <si>
    <t>D-10746</t>
  </si>
  <si>
    <t>D-10747</t>
  </si>
  <si>
    <t>D-10748</t>
  </si>
  <si>
    <t>(594)JAVIER</t>
  </si>
  <si>
    <t>D-10749</t>
  </si>
  <si>
    <t>D-10750</t>
  </si>
  <si>
    <t>D-10751</t>
  </si>
  <si>
    <t>D-10752</t>
  </si>
  <si>
    <t>D-10753</t>
  </si>
  <si>
    <t>D-10754</t>
  </si>
  <si>
    <t>D-10755</t>
  </si>
  <si>
    <t>D-10756</t>
  </si>
  <si>
    <t>D-10757</t>
  </si>
  <si>
    <t>D-10758</t>
  </si>
  <si>
    <t>D-10759</t>
  </si>
  <si>
    <t>8-May-17---12-May-17</t>
  </si>
  <si>
    <t>D-10760</t>
  </si>
  <si>
    <t>D-10761</t>
  </si>
  <si>
    <t>D-10762</t>
  </si>
  <si>
    <t>D-10763</t>
  </si>
  <si>
    <t>D-10764</t>
  </si>
  <si>
    <t>D-10765</t>
  </si>
  <si>
    <t>D-10766</t>
  </si>
  <si>
    <t>D-10767</t>
  </si>
  <si>
    <t>D-10768</t>
  </si>
  <si>
    <t>D-10769</t>
  </si>
  <si>
    <t>D-10770</t>
  </si>
  <si>
    <t>D-10771</t>
  </si>
  <si>
    <t>D-10772</t>
  </si>
  <si>
    <t>D-10773</t>
  </si>
  <si>
    <t>D-10774</t>
  </si>
  <si>
    <t>D-10775</t>
  </si>
  <si>
    <t>D-10776</t>
  </si>
  <si>
    <t>D-10777</t>
  </si>
  <si>
    <t>D-10778</t>
  </si>
  <si>
    <t>(185)MIRIAM</t>
  </si>
  <si>
    <t>D-10779</t>
  </si>
  <si>
    <t>D-10780</t>
  </si>
  <si>
    <t>D-10781</t>
  </si>
  <si>
    <t>D-10782</t>
  </si>
  <si>
    <t>D-10783</t>
  </si>
  <si>
    <t>D-10784</t>
  </si>
  <si>
    <t>D-10785</t>
  </si>
  <si>
    <t>9-May-17----10-May-17--11-May-17</t>
  </si>
  <si>
    <t>D-10786</t>
  </si>
  <si>
    <t>D-10787</t>
  </si>
  <si>
    <t>D-10788</t>
  </si>
  <si>
    <t>9-May--17----10-MAY-17</t>
  </si>
  <si>
    <t>D-10789</t>
  </si>
  <si>
    <t>D-10790</t>
  </si>
  <si>
    <t>D-10791</t>
  </si>
  <si>
    <t>D-10792</t>
  </si>
  <si>
    <t>8-May-17---10-May-17</t>
  </si>
  <si>
    <t>D-10793</t>
  </si>
  <si>
    <t>D-10794</t>
  </si>
  <si>
    <t>D-10795</t>
  </si>
  <si>
    <t>D-10796</t>
  </si>
  <si>
    <t>D-10797</t>
  </si>
  <si>
    <t>D-10798</t>
  </si>
  <si>
    <t>9-May-17----11-May-17</t>
  </si>
  <si>
    <t>D-10799</t>
  </si>
  <si>
    <t>D-10800</t>
  </si>
  <si>
    <t>D-10801</t>
  </si>
  <si>
    <t>D-10802</t>
  </si>
  <si>
    <t>D-10803</t>
  </si>
  <si>
    <t>D-10804</t>
  </si>
  <si>
    <t>D-10805</t>
  </si>
  <si>
    <t>D-10806</t>
  </si>
  <si>
    <t>D-10807</t>
  </si>
  <si>
    <t>9-May-17---11-May-17--12-May-17</t>
  </si>
  <si>
    <t>D-10808</t>
  </si>
  <si>
    <t>D-10809</t>
  </si>
  <si>
    <t>D-10810</t>
  </si>
  <si>
    <t>D-10811</t>
  </si>
  <si>
    <t>D-10812</t>
  </si>
  <si>
    <t>D-10813</t>
  </si>
  <si>
    <t>D-10814</t>
  </si>
  <si>
    <t>D-10815</t>
  </si>
  <si>
    <t>D-10816</t>
  </si>
  <si>
    <t>D-10817</t>
  </si>
  <si>
    <t>D-10818</t>
  </si>
  <si>
    <t>(612)CANDIDO PEREZ</t>
  </si>
  <si>
    <t>D-10819</t>
  </si>
  <si>
    <t>D-10820</t>
  </si>
  <si>
    <t>D-10821</t>
  </si>
  <si>
    <t>D-10822</t>
  </si>
  <si>
    <t>D-10823</t>
  </si>
  <si>
    <t>D-10824</t>
  </si>
  <si>
    <t>D-10825</t>
  </si>
  <si>
    <t>D-10826</t>
  </si>
  <si>
    <t>D-10827</t>
  </si>
  <si>
    <t>D-10828</t>
  </si>
  <si>
    <t>D-10829</t>
  </si>
  <si>
    <t>(195)WELMER</t>
  </si>
  <si>
    <t>D-10830</t>
  </si>
  <si>
    <t>D-10831</t>
  </si>
  <si>
    <t>D-10832</t>
  </si>
  <si>
    <t>D-10833</t>
  </si>
  <si>
    <t>D-10834</t>
  </si>
  <si>
    <t>D-10835</t>
  </si>
  <si>
    <t>D-10836</t>
  </si>
  <si>
    <t>D-10837</t>
  </si>
  <si>
    <t>D-10838</t>
  </si>
  <si>
    <t>D-10839</t>
  </si>
  <si>
    <t>D-10840</t>
  </si>
  <si>
    <t>D-10841</t>
  </si>
  <si>
    <t>D-10842</t>
  </si>
  <si>
    <t>10-May-17----12-May-17</t>
  </si>
  <si>
    <t>D-10843</t>
  </si>
  <si>
    <t>D-10844</t>
  </si>
  <si>
    <t>D-10845</t>
  </si>
  <si>
    <t>D-10846</t>
  </si>
  <si>
    <t>D-10847</t>
  </si>
  <si>
    <t>(578)SEBASTIAN PEREZ VALDEZ</t>
  </si>
  <si>
    <t>D-10848</t>
  </si>
  <si>
    <t>D-10849</t>
  </si>
  <si>
    <t>D-10850</t>
  </si>
  <si>
    <t>D-10851</t>
  </si>
  <si>
    <t>D-10852</t>
  </si>
  <si>
    <t>D-10853</t>
  </si>
  <si>
    <t>D-10854</t>
  </si>
  <si>
    <t>D-10855</t>
  </si>
  <si>
    <t>D-10856</t>
  </si>
  <si>
    <t>D-10857</t>
  </si>
  <si>
    <t>D-10858</t>
  </si>
  <si>
    <t>(597)FRANCO MORALES PEREZ</t>
  </si>
  <si>
    <t>D-10859</t>
  </si>
  <si>
    <t>(510)JAVIER APIZACO</t>
  </si>
  <si>
    <t>D-10860</t>
  </si>
  <si>
    <t>D-10861</t>
  </si>
  <si>
    <t>D-10862</t>
  </si>
  <si>
    <t>D-10863</t>
  </si>
  <si>
    <t>D-10864</t>
  </si>
  <si>
    <t>D-10865</t>
  </si>
  <si>
    <t>D-10866</t>
  </si>
  <si>
    <t>D-10867</t>
  </si>
  <si>
    <t>D-10868</t>
  </si>
  <si>
    <t>D-10869</t>
  </si>
  <si>
    <t>D-10870</t>
  </si>
  <si>
    <t>D-10871</t>
  </si>
  <si>
    <t>D-10872</t>
  </si>
  <si>
    <t>(12)VICENTE ZAMBRANO</t>
  </si>
  <si>
    <t>D-10873</t>
  </si>
  <si>
    <t>D-10874</t>
  </si>
  <si>
    <t>D-10875</t>
  </si>
  <si>
    <t>D-10876</t>
  </si>
  <si>
    <t>D-10877</t>
  </si>
  <si>
    <t>D-10878</t>
  </si>
  <si>
    <t>D-10879</t>
  </si>
  <si>
    <t>D-10880</t>
  </si>
  <si>
    <t>(344)ALEJANDRO HERNANDEZ PEREZ</t>
  </si>
  <si>
    <t>D-10881</t>
  </si>
  <si>
    <t>(261)PIZZAS LALO</t>
  </si>
  <si>
    <t>D-10882</t>
  </si>
  <si>
    <t>D-10883</t>
  </si>
  <si>
    <t>D-10884</t>
  </si>
  <si>
    <t>D-10885</t>
  </si>
  <si>
    <t>D-10886</t>
  </si>
  <si>
    <t>D-10887</t>
  </si>
  <si>
    <t>D-10888</t>
  </si>
  <si>
    <t>D-10889</t>
  </si>
  <si>
    <t>(79)GUSTAVO JIMENEZ</t>
  </si>
  <si>
    <t>D-10890</t>
  </si>
  <si>
    <t>D-10891</t>
  </si>
  <si>
    <t>D-10892</t>
  </si>
  <si>
    <t>D-10893</t>
  </si>
  <si>
    <t>D-10894</t>
  </si>
  <si>
    <t>D-10895</t>
  </si>
  <si>
    <t>D-10896</t>
  </si>
  <si>
    <t>D-10897</t>
  </si>
  <si>
    <t>(223)DIONICIO TLAXCO</t>
  </si>
  <si>
    <t>D-10898</t>
  </si>
  <si>
    <t>D-10899</t>
  </si>
  <si>
    <t>D-10900</t>
  </si>
  <si>
    <t>D-10901</t>
  </si>
  <si>
    <t>D-10902</t>
  </si>
  <si>
    <t>D-10903</t>
  </si>
  <si>
    <t>(528)EMILIO LOPEZ</t>
  </si>
  <si>
    <t>D-10904</t>
  </si>
  <si>
    <t>D-10905</t>
  </si>
  <si>
    <t>D-10906</t>
  </si>
  <si>
    <t>D-10907</t>
  </si>
  <si>
    <t>D-10908</t>
  </si>
  <si>
    <t>D-10909</t>
  </si>
  <si>
    <t>D-10910</t>
  </si>
  <si>
    <t>D-10911</t>
  </si>
  <si>
    <t>D-10912</t>
  </si>
  <si>
    <t>D-10913</t>
  </si>
  <si>
    <t>7-May-17---08/05/2017</t>
  </si>
  <si>
    <t>D-10914</t>
  </si>
  <si>
    <t>D-10915</t>
  </si>
  <si>
    <t>D-10916</t>
  </si>
  <si>
    <t>D-10917</t>
  </si>
  <si>
    <t>D-10918</t>
  </si>
  <si>
    <t>D-10919</t>
  </si>
  <si>
    <t>D-10920</t>
  </si>
  <si>
    <t>D-10921</t>
  </si>
  <si>
    <t>D-10922</t>
  </si>
  <si>
    <t>D-10923</t>
  </si>
  <si>
    <t>D-10924</t>
  </si>
  <si>
    <t>D-10925</t>
  </si>
  <si>
    <t>D-10926</t>
  </si>
  <si>
    <t>(536)SALON SOLEI</t>
  </si>
  <si>
    <t>D-10927</t>
  </si>
  <si>
    <t>D-10928</t>
  </si>
  <si>
    <t>D-10929</t>
  </si>
  <si>
    <t>D-10930</t>
  </si>
  <si>
    <t>D-10931</t>
  </si>
  <si>
    <t>D-10932</t>
  </si>
  <si>
    <t>D-10933</t>
  </si>
  <si>
    <t>D-10934</t>
  </si>
  <si>
    <t>D-10935</t>
  </si>
  <si>
    <t>D-10936</t>
  </si>
  <si>
    <t>D-10937</t>
  </si>
  <si>
    <t>D-10938</t>
  </si>
  <si>
    <t>D-10939</t>
  </si>
  <si>
    <t>D-10940</t>
  </si>
  <si>
    <t>D-10941</t>
  </si>
  <si>
    <t>D-10942</t>
  </si>
  <si>
    <t>D-10943</t>
  </si>
  <si>
    <t>9-May--17--13-May-17</t>
  </si>
  <si>
    <t>D-10944</t>
  </si>
  <si>
    <t>D-10945</t>
  </si>
  <si>
    <t>D-10946</t>
  </si>
  <si>
    <t>D-10947</t>
  </si>
  <si>
    <t>D-10948</t>
  </si>
  <si>
    <t>D-10949</t>
  </si>
  <si>
    <t>D-10950</t>
  </si>
  <si>
    <t>D-10951</t>
  </si>
  <si>
    <t>D-10952</t>
  </si>
  <si>
    <t>D-10953</t>
  </si>
  <si>
    <t>D-10954</t>
  </si>
  <si>
    <t>D-10955</t>
  </si>
  <si>
    <t>D-10956</t>
  </si>
  <si>
    <t>D-10957</t>
  </si>
  <si>
    <t>D-10958</t>
  </si>
  <si>
    <t>D-10959</t>
  </si>
  <si>
    <t>D-10960</t>
  </si>
  <si>
    <t>D-10961</t>
  </si>
  <si>
    <t>D-10962</t>
  </si>
  <si>
    <t>D-10963</t>
  </si>
  <si>
    <t>D-10964</t>
  </si>
  <si>
    <t>D-10965</t>
  </si>
  <si>
    <t>D-10966</t>
  </si>
  <si>
    <t>D-10967</t>
  </si>
  <si>
    <t>D-10968</t>
  </si>
  <si>
    <t>D-10969</t>
  </si>
  <si>
    <t>(650)DULCE MARIA TORRES</t>
  </si>
  <si>
    <t>D-10970</t>
  </si>
  <si>
    <t>D-10971</t>
  </si>
  <si>
    <t>D-10972</t>
  </si>
  <si>
    <t>D-10973</t>
  </si>
  <si>
    <t>D-10974</t>
  </si>
  <si>
    <t>D-10975</t>
  </si>
  <si>
    <t>D-10976</t>
  </si>
  <si>
    <t>D-10977</t>
  </si>
  <si>
    <t>12/05/2017</t>
  </si>
  <si>
    <t>D-10978</t>
  </si>
  <si>
    <t>D-10979</t>
  </si>
  <si>
    <t>D-10980</t>
  </si>
  <si>
    <t>D-10981</t>
  </si>
  <si>
    <t>D-10982</t>
  </si>
  <si>
    <t>D-10983</t>
  </si>
  <si>
    <t>D-10984</t>
  </si>
  <si>
    <t>D-10985</t>
  </si>
  <si>
    <t>D-10986</t>
  </si>
  <si>
    <t>D-10987</t>
  </si>
  <si>
    <t>D-10988</t>
  </si>
  <si>
    <t>D-10989</t>
  </si>
  <si>
    <t>D-10990</t>
  </si>
  <si>
    <t>D-10991</t>
  </si>
  <si>
    <t>D-10992</t>
  </si>
  <si>
    <t>D-10993</t>
  </si>
  <si>
    <t>(240)OSCAR PONCE</t>
  </si>
  <si>
    <t>D-10994</t>
  </si>
  <si>
    <t>D-10995</t>
  </si>
  <si>
    <t>D-10996</t>
  </si>
  <si>
    <t>D-10997</t>
  </si>
  <si>
    <t>D-10998</t>
  </si>
  <si>
    <t>D-10999</t>
  </si>
  <si>
    <t>D-11000</t>
  </si>
  <si>
    <t>D-11001</t>
  </si>
  <si>
    <t>D-11002</t>
  </si>
  <si>
    <t>D-11003</t>
  </si>
  <si>
    <t>D-11004</t>
  </si>
  <si>
    <t>D-11005</t>
  </si>
  <si>
    <t>D-11006</t>
  </si>
  <si>
    <t>D-11007</t>
  </si>
  <si>
    <t>D-11008</t>
  </si>
  <si>
    <t>D-11009</t>
  </si>
  <si>
    <t>D-11010</t>
  </si>
  <si>
    <t>D-11011</t>
  </si>
  <si>
    <t>D-11012</t>
  </si>
  <si>
    <t>D-11013</t>
  </si>
  <si>
    <t>D-11014</t>
  </si>
  <si>
    <t>D-11015</t>
  </si>
  <si>
    <t>D-11016</t>
  </si>
  <si>
    <t>D-11017</t>
  </si>
  <si>
    <t>D-11018</t>
  </si>
  <si>
    <t>D-11019</t>
  </si>
  <si>
    <t>D-11020</t>
  </si>
  <si>
    <t>D-11021</t>
  </si>
  <si>
    <t>D-11022</t>
  </si>
  <si>
    <t>D-11023</t>
  </si>
  <si>
    <t>D-11024</t>
  </si>
  <si>
    <t>D-11025</t>
  </si>
  <si>
    <t>D-11026</t>
  </si>
  <si>
    <t>D-11027</t>
  </si>
  <si>
    <t>D-11028</t>
  </si>
  <si>
    <t>D-11029</t>
  </si>
  <si>
    <t>D-11030</t>
  </si>
  <si>
    <t>D-11031</t>
  </si>
  <si>
    <t>D-11032</t>
  </si>
  <si>
    <t>D-11033</t>
  </si>
  <si>
    <t>D-11034</t>
  </si>
  <si>
    <t>D-11035</t>
  </si>
  <si>
    <t>D-11036</t>
  </si>
  <si>
    <t>D-11037</t>
  </si>
  <si>
    <t>D-11038</t>
  </si>
  <si>
    <t>D-11039</t>
  </si>
  <si>
    <t>D-11040</t>
  </si>
  <si>
    <t>D-11041</t>
  </si>
  <si>
    <t>D-11042</t>
  </si>
  <si>
    <t>D-11043</t>
  </si>
  <si>
    <t>D-11044</t>
  </si>
  <si>
    <t>D-11045</t>
  </si>
  <si>
    <t>D-11046</t>
  </si>
  <si>
    <t>(383)DORMIDO</t>
  </si>
  <si>
    <t>D-11047</t>
  </si>
  <si>
    <t>D-11048</t>
  </si>
  <si>
    <t>D-11049</t>
  </si>
  <si>
    <t>D-11050</t>
  </si>
  <si>
    <t>D-11051</t>
  </si>
  <si>
    <t>D-11052</t>
  </si>
  <si>
    <t>D-11053</t>
  </si>
  <si>
    <t>D-11054</t>
  </si>
  <si>
    <t>D-11055</t>
  </si>
  <si>
    <t>D-11056</t>
  </si>
  <si>
    <t>D-11057</t>
  </si>
  <si>
    <t>D-11058</t>
  </si>
  <si>
    <t>D-11059</t>
  </si>
  <si>
    <t>D-11060</t>
  </si>
  <si>
    <t>D-11061</t>
  </si>
  <si>
    <t>D-11062</t>
  </si>
  <si>
    <t>D-11063</t>
  </si>
  <si>
    <t>D-11064</t>
  </si>
  <si>
    <t>(270)MELITON CUAUTENCOS</t>
  </si>
  <si>
    <t>D-11065</t>
  </si>
  <si>
    <t>(630)GUILLERMO FLORES</t>
  </si>
  <si>
    <t>D-11066</t>
  </si>
  <si>
    <t>D-11067</t>
  </si>
  <si>
    <t>D-11068</t>
  </si>
  <si>
    <t>D-11069</t>
  </si>
  <si>
    <t>D-11070</t>
  </si>
  <si>
    <t>D-11071</t>
  </si>
  <si>
    <t>D-11072</t>
  </si>
  <si>
    <t>D-11073</t>
  </si>
  <si>
    <t>D-11074</t>
  </si>
  <si>
    <t>D-11075</t>
  </si>
  <si>
    <t>D-11076</t>
  </si>
  <si>
    <t>D-11077</t>
  </si>
  <si>
    <t>D-11078</t>
  </si>
  <si>
    <t>D-11079</t>
  </si>
  <si>
    <t>D-11080</t>
  </si>
  <si>
    <t>D-11081</t>
  </si>
  <si>
    <t>D-11082</t>
  </si>
  <si>
    <t>D-11083</t>
  </si>
  <si>
    <t>D-11084</t>
  </si>
  <si>
    <t>D-11085</t>
  </si>
  <si>
    <t>D-11086</t>
  </si>
  <si>
    <t>D-11087</t>
  </si>
  <si>
    <t>D-11088</t>
  </si>
  <si>
    <t>D-11089</t>
  </si>
  <si>
    <t>D-11090</t>
  </si>
  <si>
    <t>D-11091</t>
  </si>
  <si>
    <t>D-11092</t>
  </si>
  <si>
    <t>D-11093</t>
  </si>
  <si>
    <t>D-11094</t>
  </si>
  <si>
    <t>D-11095</t>
  </si>
  <si>
    <t>D-11096</t>
  </si>
  <si>
    <t>D-11097</t>
  </si>
  <si>
    <t>D-11098</t>
  </si>
  <si>
    <t>D-11099</t>
  </si>
  <si>
    <t>D-11100</t>
  </si>
  <si>
    <t>D-11101</t>
  </si>
  <si>
    <t>D-11102</t>
  </si>
  <si>
    <t>(203)ALIMENTOS SUPREMOS DE ORIENTE SA DE CV</t>
  </si>
  <si>
    <t>D-11103</t>
  </si>
  <si>
    <t>D-11104</t>
  </si>
  <si>
    <t>19-May-17----21-May-17</t>
  </si>
  <si>
    <t>D-11105</t>
  </si>
  <si>
    <t>D-11106</t>
  </si>
  <si>
    <t>D-11107</t>
  </si>
  <si>
    <t>D-11108</t>
  </si>
  <si>
    <t>D-11109</t>
  </si>
  <si>
    <t>D-11110</t>
  </si>
  <si>
    <t>D-11111</t>
  </si>
  <si>
    <t>D-11112</t>
  </si>
  <si>
    <t>D-11113</t>
  </si>
  <si>
    <t>D-11114</t>
  </si>
  <si>
    <t>D-11115</t>
  </si>
  <si>
    <t>D-11116</t>
  </si>
  <si>
    <t>D-11117</t>
  </si>
  <si>
    <t>D-11118</t>
  </si>
  <si>
    <t>D-11119</t>
  </si>
  <si>
    <t>D-11120</t>
  </si>
  <si>
    <t>(670)VICTOR ROLDAN</t>
  </si>
  <si>
    <t>D-11121</t>
  </si>
  <si>
    <t>D-11122</t>
  </si>
  <si>
    <t>D-11123</t>
  </si>
  <si>
    <t>D-11124</t>
  </si>
  <si>
    <t>D-11125</t>
  </si>
  <si>
    <t>D-11126</t>
  </si>
  <si>
    <t>D-11127</t>
  </si>
  <si>
    <t>D-11128</t>
  </si>
  <si>
    <t>D-11129</t>
  </si>
  <si>
    <t>D-11130</t>
  </si>
  <si>
    <t>D-11131</t>
  </si>
  <si>
    <t>D-11132</t>
  </si>
  <si>
    <t>D-11133</t>
  </si>
  <si>
    <t>D-11134</t>
  </si>
  <si>
    <t>D-11135</t>
  </si>
  <si>
    <t>12-May-17---15-May-17</t>
  </si>
  <si>
    <t>D-11136</t>
  </si>
  <si>
    <t>D-11137</t>
  </si>
  <si>
    <t>D-11138</t>
  </si>
  <si>
    <t>D-11139</t>
  </si>
  <si>
    <t>D-11140</t>
  </si>
  <si>
    <t>D-11141</t>
  </si>
  <si>
    <t>D-11142</t>
  </si>
  <si>
    <t>D-11143</t>
  </si>
  <si>
    <t>D-11144</t>
  </si>
  <si>
    <t>D-11145</t>
  </si>
  <si>
    <t>D-11146</t>
  </si>
  <si>
    <t>D-11147</t>
  </si>
  <si>
    <t>D-11148</t>
  </si>
  <si>
    <t>D-11149</t>
  </si>
  <si>
    <t>D-11150</t>
  </si>
  <si>
    <t>D-11151</t>
  </si>
  <si>
    <t>D-11152</t>
  </si>
  <si>
    <t>D-11153</t>
  </si>
  <si>
    <t>D-11154</t>
  </si>
  <si>
    <t>D-11155</t>
  </si>
  <si>
    <t>D-11156</t>
  </si>
  <si>
    <t>D-11157</t>
  </si>
  <si>
    <t>10-May-17---11-May-17----12-May-17</t>
  </si>
  <si>
    <t>D-11158</t>
  </si>
  <si>
    <t>D-11159</t>
  </si>
  <si>
    <t>D-11160</t>
  </si>
  <si>
    <t>D-11161</t>
  </si>
  <si>
    <t>D-11162</t>
  </si>
  <si>
    <t>D-11163</t>
  </si>
  <si>
    <t>D-11164</t>
  </si>
  <si>
    <t>D-11165</t>
  </si>
  <si>
    <t>D-11166</t>
  </si>
  <si>
    <t>D-11167</t>
  </si>
  <si>
    <t>D-11168</t>
  </si>
  <si>
    <t>D-11169</t>
  </si>
  <si>
    <t>D-11170</t>
  </si>
  <si>
    <t>D-11171</t>
  </si>
  <si>
    <t>D-11172</t>
  </si>
  <si>
    <t>D-11173</t>
  </si>
  <si>
    <t>D-11174</t>
  </si>
  <si>
    <t>D-11175</t>
  </si>
  <si>
    <t>D-11176</t>
  </si>
  <si>
    <t>D-11177</t>
  </si>
  <si>
    <t>D-11178</t>
  </si>
  <si>
    <t>D-11179</t>
  </si>
  <si>
    <t>(267)JULIO ACATZINGO</t>
  </si>
  <si>
    <t>D-11180</t>
  </si>
  <si>
    <t>D-11181</t>
  </si>
  <si>
    <t>D-11182</t>
  </si>
  <si>
    <t>D-11183</t>
  </si>
  <si>
    <t>D-11184</t>
  </si>
  <si>
    <t>D-11185</t>
  </si>
  <si>
    <t>D-11186</t>
  </si>
  <si>
    <t>D-11187</t>
  </si>
  <si>
    <t>D-11188</t>
  </si>
  <si>
    <t>D-11189</t>
  </si>
  <si>
    <t>D-11190</t>
  </si>
  <si>
    <t>D-11191</t>
  </si>
  <si>
    <t>D-11192</t>
  </si>
  <si>
    <t>D-11193</t>
  </si>
  <si>
    <t>D-11194</t>
  </si>
  <si>
    <t>D-11195</t>
  </si>
  <si>
    <t>D-11196</t>
  </si>
  <si>
    <t>D-11197</t>
  </si>
  <si>
    <t>D-11198</t>
  </si>
  <si>
    <t>D-11199</t>
  </si>
  <si>
    <t>10-May-17----19-May-17</t>
  </si>
  <si>
    <t>D-11200</t>
  </si>
  <si>
    <t>D-11201</t>
  </si>
  <si>
    <t>D-11202</t>
  </si>
  <si>
    <t>D-11203</t>
  </si>
  <si>
    <t>D-11204</t>
  </si>
  <si>
    <t>D-11205</t>
  </si>
  <si>
    <t>D-11206</t>
  </si>
  <si>
    <t>D-11207</t>
  </si>
  <si>
    <t>D-11208</t>
  </si>
  <si>
    <t>D-11209</t>
  </si>
  <si>
    <t>D-11210</t>
  </si>
  <si>
    <t>D-11211</t>
  </si>
  <si>
    <t>D-11212</t>
  </si>
  <si>
    <t>D-11213</t>
  </si>
  <si>
    <t>D-11214</t>
  </si>
  <si>
    <t>D-11215</t>
  </si>
  <si>
    <t>D-11216</t>
  </si>
  <si>
    <t>D-11217</t>
  </si>
  <si>
    <t>D-11218</t>
  </si>
  <si>
    <t>D-11219</t>
  </si>
  <si>
    <t>(617)CRISTIAN ZARATE</t>
  </si>
  <si>
    <t>D-11220</t>
  </si>
  <si>
    <t>D-11221</t>
  </si>
  <si>
    <t>D-11222</t>
  </si>
  <si>
    <t>D-11223</t>
  </si>
  <si>
    <t>D-11224</t>
  </si>
  <si>
    <t>D-11225</t>
  </si>
  <si>
    <t>D-11226</t>
  </si>
  <si>
    <t>D-11227</t>
  </si>
  <si>
    <t>D-11228</t>
  </si>
  <si>
    <t>D-11229</t>
  </si>
  <si>
    <t>D-11230</t>
  </si>
  <si>
    <t>D-11231</t>
  </si>
  <si>
    <t>D-11232</t>
  </si>
  <si>
    <t>D-11233</t>
  </si>
  <si>
    <t>(431)ADRIAN</t>
  </si>
  <si>
    <t>D-11234</t>
  </si>
  <si>
    <t>D-11235</t>
  </si>
  <si>
    <t>D-11236</t>
  </si>
  <si>
    <t>D-11237</t>
  </si>
  <si>
    <t>D-11238</t>
  </si>
  <si>
    <t>D-11239</t>
  </si>
  <si>
    <t>D-11240</t>
  </si>
  <si>
    <t>D-11241</t>
  </si>
  <si>
    <t>D-11242</t>
  </si>
  <si>
    <t>D-11243</t>
  </si>
  <si>
    <t>D-11244</t>
  </si>
  <si>
    <t>D-11245</t>
  </si>
  <si>
    <t>D-11246</t>
  </si>
  <si>
    <t>D-11247</t>
  </si>
  <si>
    <t>D-11248</t>
  </si>
  <si>
    <t>D-11249</t>
  </si>
  <si>
    <t>D-11250</t>
  </si>
  <si>
    <t>D-11251</t>
  </si>
  <si>
    <t>D-11252</t>
  </si>
  <si>
    <t>D-11253</t>
  </si>
  <si>
    <t>D-11254</t>
  </si>
  <si>
    <t>D-11255</t>
  </si>
  <si>
    <t>D-11256</t>
  </si>
  <si>
    <t>D-11257</t>
  </si>
  <si>
    <t>(608)JOAQUIN ARISTA</t>
  </si>
  <si>
    <t>D-11258</t>
  </si>
  <si>
    <t>D-11259</t>
  </si>
  <si>
    <t>D-11260</t>
  </si>
  <si>
    <t>D-11261</t>
  </si>
  <si>
    <t>D-11262</t>
  </si>
  <si>
    <t>D-11263</t>
  </si>
  <si>
    <t>D-11264</t>
  </si>
  <si>
    <t>D-11265</t>
  </si>
  <si>
    <t>D-11266</t>
  </si>
  <si>
    <t>D-11267</t>
  </si>
  <si>
    <t>D-11268</t>
  </si>
  <si>
    <t>D-11269</t>
  </si>
  <si>
    <t>D-11270</t>
  </si>
  <si>
    <t>D-11271</t>
  </si>
  <si>
    <t>D-11272</t>
  </si>
  <si>
    <t>D-11273</t>
  </si>
  <si>
    <t>12-May-17--15-May-17</t>
  </si>
  <si>
    <t>D-11274</t>
  </si>
  <si>
    <t>D-11275</t>
  </si>
  <si>
    <t>D-11276</t>
  </si>
  <si>
    <t>D-11277</t>
  </si>
  <si>
    <t>D-11278</t>
  </si>
  <si>
    <t>D-11279</t>
  </si>
  <si>
    <t>D-11280</t>
  </si>
  <si>
    <t>D-11281</t>
  </si>
  <si>
    <t>D-11282</t>
  </si>
  <si>
    <t>D-11283</t>
  </si>
  <si>
    <t>D-11284</t>
  </si>
  <si>
    <t>D-11285</t>
  </si>
  <si>
    <t>D-11286</t>
  </si>
  <si>
    <t>D-11287</t>
  </si>
  <si>
    <t>D-11288</t>
  </si>
  <si>
    <t>D-11289</t>
  </si>
  <si>
    <t>D-11290</t>
  </si>
  <si>
    <t>D-11291</t>
  </si>
  <si>
    <t>D-11292</t>
  </si>
  <si>
    <t>D-11293</t>
  </si>
  <si>
    <t>D-11294</t>
  </si>
  <si>
    <t>D-11295</t>
  </si>
  <si>
    <t>D-11296</t>
  </si>
  <si>
    <t>D-11297</t>
  </si>
  <si>
    <t>D-11298</t>
  </si>
  <si>
    <t>D-11299</t>
  </si>
  <si>
    <t>D-11300</t>
  </si>
  <si>
    <t>D-11301</t>
  </si>
  <si>
    <t>(104)ROGELIO  HERRERIAS</t>
  </si>
  <si>
    <t>D-11302</t>
  </si>
  <si>
    <t>D-11303</t>
  </si>
  <si>
    <t>D-11304</t>
  </si>
  <si>
    <t>D-11305</t>
  </si>
  <si>
    <t>D-11306</t>
  </si>
  <si>
    <t>D-11307</t>
  </si>
  <si>
    <t>D-11308</t>
  </si>
  <si>
    <t>(308)AUSENCIO</t>
  </si>
  <si>
    <t>D-11309</t>
  </si>
  <si>
    <t>D-11310</t>
  </si>
  <si>
    <t>D-11311</t>
  </si>
  <si>
    <t>D-11312</t>
  </si>
  <si>
    <t>D-11313</t>
  </si>
  <si>
    <t>D-11314</t>
  </si>
  <si>
    <t>D-11315</t>
  </si>
  <si>
    <t>D-11316</t>
  </si>
  <si>
    <t>D-11317</t>
  </si>
  <si>
    <t>D-11318</t>
  </si>
  <si>
    <t>D-11319</t>
  </si>
  <si>
    <t>D-11320</t>
  </si>
  <si>
    <t>D-11321</t>
  </si>
  <si>
    <t>D-11322</t>
  </si>
  <si>
    <t>D-11323</t>
  </si>
  <si>
    <t>D-11324</t>
  </si>
  <si>
    <t>D-11325</t>
  </si>
  <si>
    <t>D-11326</t>
  </si>
  <si>
    <t>D-11327</t>
  </si>
  <si>
    <t>D-11328</t>
  </si>
  <si>
    <t>D-11329</t>
  </si>
  <si>
    <t>D-11330</t>
  </si>
  <si>
    <t>D-11331</t>
  </si>
  <si>
    <t>D-11332</t>
  </si>
  <si>
    <t>D-11333</t>
  </si>
  <si>
    <t>D-11334</t>
  </si>
  <si>
    <t>D-11335</t>
  </si>
  <si>
    <t>D-11336</t>
  </si>
  <si>
    <t>D-11337</t>
  </si>
  <si>
    <t>12-May-17---19-May-17</t>
  </si>
  <si>
    <t>D-11338</t>
  </si>
  <si>
    <t>D-11339</t>
  </si>
  <si>
    <t>D-11340</t>
  </si>
  <si>
    <t>D-11341</t>
  </si>
  <si>
    <t>D-11342</t>
  </si>
  <si>
    <t>D-11343</t>
  </si>
  <si>
    <t>D-11344</t>
  </si>
  <si>
    <t>D-11345</t>
  </si>
  <si>
    <t>D-11346</t>
  </si>
  <si>
    <t>D-11347</t>
  </si>
  <si>
    <t>D-11348</t>
  </si>
  <si>
    <t>D-11349</t>
  </si>
  <si>
    <t>D-11350</t>
  </si>
  <si>
    <t>D-11351</t>
  </si>
  <si>
    <t>D-11352</t>
  </si>
  <si>
    <t>D-11353</t>
  </si>
  <si>
    <t>D-11354</t>
  </si>
  <si>
    <t>D-11355</t>
  </si>
  <si>
    <t>D-11356</t>
  </si>
  <si>
    <t>D-11357</t>
  </si>
  <si>
    <t>D-11358</t>
  </si>
  <si>
    <t>(370)CHINOS INDEPENDENCIA</t>
  </si>
  <si>
    <t>D-11359</t>
  </si>
  <si>
    <t>D-11360</t>
  </si>
  <si>
    <t>D-11361</t>
  </si>
  <si>
    <t>D-11362</t>
  </si>
  <si>
    <t>D-11363</t>
  </si>
  <si>
    <t>D-11364</t>
  </si>
  <si>
    <t>11-May-17----14-May-17</t>
  </si>
  <si>
    <t>D-11365</t>
  </si>
  <si>
    <t>D-11366</t>
  </si>
  <si>
    <t>D-11367</t>
  </si>
  <si>
    <t>D-11368</t>
  </si>
  <si>
    <t>D-11369</t>
  </si>
  <si>
    <t>D-11370</t>
  </si>
  <si>
    <t>D-11371</t>
  </si>
  <si>
    <t>D-11372</t>
  </si>
  <si>
    <t>D-11373</t>
  </si>
  <si>
    <t>D-11374</t>
  </si>
  <si>
    <t>D-11375</t>
  </si>
  <si>
    <t>D-11376</t>
  </si>
  <si>
    <t>D-11377</t>
  </si>
  <si>
    <t>12-May-17---13-May-17</t>
  </si>
  <si>
    <t>D-11378</t>
  </si>
  <si>
    <t>D-11379</t>
  </si>
  <si>
    <t>D-11380</t>
  </si>
  <si>
    <t>12-May--17-----15-May-17</t>
  </si>
  <si>
    <t>D-11381</t>
  </si>
  <si>
    <t>D-11382</t>
  </si>
  <si>
    <t>D-11383</t>
  </si>
  <si>
    <t>D-11384</t>
  </si>
  <si>
    <t>D-11385</t>
  </si>
  <si>
    <t>D-11386</t>
  </si>
  <si>
    <t>D-11387</t>
  </si>
  <si>
    <t>D-11388</t>
  </si>
  <si>
    <t>D-11389</t>
  </si>
  <si>
    <t>D-11390</t>
  </si>
  <si>
    <t>D-11391</t>
  </si>
  <si>
    <t>D-11392</t>
  </si>
  <si>
    <t>D-11393</t>
  </si>
  <si>
    <t>D-11394</t>
  </si>
  <si>
    <t>D-11395</t>
  </si>
  <si>
    <t>D-11396</t>
  </si>
  <si>
    <t>D-11397</t>
  </si>
  <si>
    <t>D-11398</t>
  </si>
  <si>
    <t>D-11399</t>
  </si>
  <si>
    <t>D-11400</t>
  </si>
  <si>
    <t>D-11401</t>
  </si>
  <si>
    <t>D-11402</t>
  </si>
  <si>
    <t>D-11403</t>
  </si>
  <si>
    <t>D-11404</t>
  </si>
  <si>
    <t>D-11405</t>
  </si>
  <si>
    <t>D-11406</t>
  </si>
  <si>
    <t>D-11407</t>
  </si>
  <si>
    <t>D-11408</t>
  </si>
  <si>
    <t>D-11409</t>
  </si>
  <si>
    <t>D-11410</t>
  </si>
  <si>
    <t>15-May-17----16-May-17</t>
  </si>
  <si>
    <t>D-11411</t>
  </si>
  <si>
    <t>D-11412</t>
  </si>
  <si>
    <t>11-May-17-----15-May-17</t>
  </si>
  <si>
    <t>D-11413</t>
  </si>
  <si>
    <t>D-11414</t>
  </si>
  <si>
    <t>D-11415</t>
  </si>
  <si>
    <t>D-11416</t>
  </si>
  <si>
    <t>D-11417</t>
  </si>
  <si>
    <t>D-11418</t>
  </si>
  <si>
    <t>D-11419</t>
  </si>
  <si>
    <t>D-11420</t>
  </si>
  <si>
    <t>D-11421</t>
  </si>
  <si>
    <t>D-11422</t>
  </si>
  <si>
    <t>D-11423</t>
  </si>
  <si>
    <t>D-11424</t>
  </si>
  <si>
    <t>D-11425</t>
  </si>
  <si>
    <t>D-11426</t>
  </si>
  <si>
    <t>D-11427</t>
  </si>
  <si>
    <t>D-11428</t>
  </si>
  <si>
    <t>D-11429</t>
  </si>
  <si>
    <t>D-11430</t>
  </si>
  <si>
    <t>D-11431</t>
  </si>
  <si>
    <t>D-11432</t>
  </si>
  <si>
    <t>D-11433</t>
  </si>
  <si>
    <t>D-11434</t>
  </si>
  <si>
    <t>D-11435</t>
  </si>
  <si>
    <t>D-11436</t>
  </si>
  <si>
    <t>D-11437</t>
  </si>
  <si>
    <t>D-11438</t>
  </si>
  <si>
    <t>D-11439</t>
  </si>
  <si>
    <t>D-11440</t>
  </si>
  <si>
    <t>13-May-17--22-May-17</t>
  </si>
  <si>
    <t>D-11441</t>
  </si>
  <si>
    <t>D-11442</t>
  </si>
  <si>
    <t>D-11443</t>
  </si>
  <si>
    <t>D-11444</t>
  </si>
  <si>
    <t>D-11445</t>
  </si>
  <si>
    <t>D-11446</t>
  </si>
  <si>
    <t>D-11447</t>
  </si>
  <si>
    <t>D-11448</t>
  </si>
  <si>
    <t>D-11449</t>
  </si>
  <si>
    <t>D-11450</t>
  </si>
  <si>
    <t>D-11451</t>
  </si>
  <si>
    <t>D-11452</t>
  </si>
  <si>
    <t>D-11453</t>
  </si>
  <si>
    <t>D-11454</t>
  </si>
  <si>
    <t>D-11455</t>
  </si>
  <si>
    <t>D-11456</t>
  </si>
  <si>
    <t>D-11457</t>
  </si>
  <si>
    <t>D-11458</t>
  </si>
  <si>
    <t>D-11459</t>
  </si>
  <si>
    <t>D-11460</t>
  </si>
  <si>
    <t>D-11461</t>
  </si>
  <si>
    <t>D-11462</t>
  </si>
  <si>
    <t>D-11463</t>
  </si>
  <si>
    <t>D-11464</t>
  </si>
  <si>
    <t>D-11465</t>
  </si>
  <si>
    <t>D-11466</t>
  </si>
  <si>
    <t>D-11467</t>
  </si>
  <si>
    <t>D-11468</t>
  </si>
  <si>
    <t>D-11469</t>
  </si>
  <si>
    <t>D-11470</t>
  </si>
  <si>
    <t>D-11471</t>
  </si>
  <si>
    <t>D-11472</t>
  </si>
  <si>
    <t>D-11473</t>
  </si>
  <si>
    <t>D-11474</t>
  </si>
  <si>
    <t>D-11475</t>
  </si>
  <si>
    <t>D-11476</t>
  </si>
  <si>
    <t>D-11477</t>
  </si>
  <si>
    <t>D-11478</t>
  </si>
  <si>
    <t>D-11479</t>
  </si>
  <si>
    <t>D-11480</t>
  </si>
  <si>
    <t>D-11481</t>
  </si>
  <si>
    <t>D-11482</t>
  </si>
  <si>
    <t>D-11483</t>
  </si>
  <si>
    <t>D-11484</t>
  </si>
  <si>
    <t>D-11485</t>
  </si>
  <si>
    <t>D-11486</t>
  </si>
  <si>
    <t>D-11487</t>
  </si>
  <si>
    <t>D-11488</t>
  </si>
  <si>
    <t>D-11489</t>
  </si>
  <si>
    <t>D-11490</t>
  </si>
  <si>
    <t>D-11491</t>
  </si>
  <si>
    <t>D-11492</t>
  </si>
  <si>
    <t>D-11493</t>
  </si>
  <si>
    <t>D-11494</t>
  </si>
  <si>
    <t>D-11495</t>
  </si>
  <si>
    <t>D-11496</t>
  </si>
  <si>
    <t>D-11497</t>
  </si>
  <si>
    <t>D-11498</t>
  </si>
  <si>
    <t>D-11499</t>
  </si>
  <si>
    <t>D-11500</t>
  </si>
  <si>
    <t>D-11501</t>
  </si>
  <si>
    <t>D-11502</t>
  </si>
  <si>
    <t>D-11503</t>
  </si>
  <si>
    <t>D-11504</t>
  </si>
  <si>
    <t>D-11505</t>
  </si>
  <si>
    <t>D-11506</t>
  </si>
  <si>
    <t>D-11507</t>
  </si>
  <si>
    <t>D-11508</t>
  </si>
  <si>
    <t>D-11509</t>
  </si>
  <si>
    <t>D-11510</t>
  </si>
  <si>
    <t>D-11511</t>
  </si>
  <si>
    <t>D-11512</t>
  </si>
  <si>
    <t>D-11513</t>
  </si>
  <si>
    <t>D-11514</t>
  </si>
  <si>
    <t>D-11515</t>
  </si>
  <si>
    <t>D-11516</t>
  </si>
  <si>
    <t>D-11517</t>
  </si>
  <si>
    <t>(233)DON ERNESTO</t>
  </si>
  <si>
    <t>D-11518</t>
  </si>
  <si>
    <t>D-11519</t>
  </si>
  <si>
    <t>D-11520</t>
  </si>
  <si>
    <t>D-11521</t>
  </si>
  <si>
    <t>D-11522</t>
  </si>
  <si>
    <t>D-11523</t>
  </si>
  <si>
    <t>(422)FELIX JUSTO ALARCON (VER)</t>
  </si>
  <si>
    <t>D-11524</t>
  </si>
  <si>
    <t>D-11525</t>
  </si>
  <si>
    <t>D-11526</t>
  </si>
  <si>
    <t>D-11527</t>
  </si>
  <si>
    <t>D-11528</t>
  </si>
  <si>
    <t>D-11529</t>
  </si>
  <si>
    <t>D-11530</t>
  </si>
  <si>
    <t>D-11531</t>
  </si>
  <si>
    <t>D-11532</t>
  </si>
  <si>
    <t>D-11533</t>
  </si>
  <si>
    <t>D-11534</t>
  </si>
  <si>
    <t>D-11535</t>
  </si>
  <si>
    <t>D-11536</t>
  </si>
  <si>
    <t>D-11537</t>
  </si>
  <si>
    <t>D-11538</t>
  </si>
  <si>
    <t>D-11539</t>
  </si>
  <si>
    <t>D-11540</t>
  </si>
  <si>
    <t>D-11541</t>
  </si>
  <si>
    <t>D-11542</t>
  </si>
  <si>
    <t>D-11543</t>
  </si>
  <si>
    <t>D-11544</t>
  </si>
  <si>
    <t>19-May-17-----27-May-17</t>
  </si>
  <si>
    <t>D-11545</t>
  </si>
  <si>
    <t>D-11546</t>
  </si>
  <si>
    <t>D-11547</t>
  </si>
  <si>
    <t>D-11548</t>
  </si>
  <si>
    <t>D-11549</t>
  </si>
  <si>
    <t>D-11550</t>
  </si>
  <si>
    <t>16-May-17--19-May-17    --25-May-17</t>
  </si>
  <si>
    <t>D-11551</t>
  </si>
  <si>
    <t>D-11552</t>
  </si>
  <si>
    <t>D-11553</t>
  </si>
  <si>
    <t>D-11554</t>
  </si>
  <si>
    <t>D-11555</t>
  </si>
  <si>
    <t>D-11556</t>
  </si>
  <si>
    <t>D-11557</t>
  </si>
  <si>
    <t>D-11558</t>
  </si>
  <si>
    <t>D-11559</t>
  </si>
  <si>
    <t>D-11560</t>
  </si>
  <si>
    <t>D-11561</t>
  </si>
  <si>
    <t>D-11562</t>
  </si>
  <si>
    <t>D-11563</t>
  </si>
  <si>
    <t>D-11564</t>
  </si>
  <si>
    <t>D-11565</t>
  </si>
  <si>
    <t>D-11566</t>
  </si>
  <si>
    <t>D-11567</t>
  </si>
  <si>
    <t>D-11568</t>
  </si>
  <si>
    <t>D-11569</t>
  </si>
  <si>
    <t>D-11570</t>
  </si>
  <si>
    <t>D-11571</t>
  </si>
  <si>
    <t>D-11572</t>
  </si>
  <si>
    <t>D-11573</t>
  </si>
  <si>
    <t>D-11574</t>
  </si>
  <si>
    <t>D-11575</t>
  </si>
  <si>
    <t>D-11576</t>
  </si>
  <si>
    <t>D-11577</t>
  </si>
  <si>
    <t>D-11578</t>
  </si>
  <si>
    <t>D-11579</t>
  </si>
  <si>
    <t>D-11580</t>
  </si>
  <si>
    <t>D-11581</t>
  </si>
  <si>
    <t>D-11582</t>
  </si>
  <si>
    <t>D-11583</t>
  </si>
  <si>
    <t>D-11584</t>
  </si>
  <si>
    <t>D-11585</t>
  </si>
  <si>
    <t>D-11586</t>
  </si>
  <si>
    <t>D-11587</t>
  </si>
  <si>
    <t>D-11588</t>
  </si>
  <si>
    <t>D-11589</t>
  </si>
  <si>
    <t>D-11590</t>
  </si>
  <si>
    <t>D-11591</t>
  </si>
  <si>
    <t>D-11592</t>
  </si>
  <si>
    <t>D-11593</t>
  </si>
  <si>
    <t>D-11594</t>
  </si>
  <si>
    <t>D-11595</t>
  </si>
  <si>
    <t>D-11596</t>
  </si>
  <si>
    <t>D-11597</t>
  </si>
  <si>
    <t>D-11598</t>
  </si>
  <si>
    <t>D-11599</t>
  </si>
  <si>
    <t>D-11600</t>
  </si>
  <si>
    <t>D-11601</t>
  </si>
  <si>
    <t>D-11602</t>
  </si>
  <si>
    <t>D-11603</t>
  </si>
  <si>
    <t>(21)CIBULET</t>
  </si>
  <si>
    <t>D-11604</t>
  </si>
  <si>
    <t>D-11605</t>
  </si>
  <si>
    <t>D-11606</t>
  </si>
  <si>
    <t>D-11607</t>
  </si>
  <si>
    <t>D-11608</t>
  </si>
  <si>
    <t>D-11609</t>
  </si>
  <si>
    <t>D-11610</t>
  </si>
  <si>
    <t>D-11611</t>
  </si>
  <si>
    <t>(638)EDGAR JIMENEZ</t>
  </si>
  <si>
    <t>D-11612</t>
  </si>
  <si>
    <t>D-11613</t>
  </si>
  <si>
    <t>D-11614</t>
  </si>
  <si>
    <t>D-11615</t>
  </si>
  <si>
    <t>D-11616</t>
  </si>
  <si>
    <t>D-11617</t>
  </si>
  <si>
    <t>D-11618</t>
  </si>
  <si>
    <t>D-11619</t>
  </si>
  <si>
    <t>D-11620</t>
  </si>
  <si>
    <t>D-11621</t>
  </si>
  <si>
    <t>D-11622</t>
  </si>
  <si>
    <t>D-11623</t>
  </si>
  <si>
    <t>D-11624</t>
  </si>
  <si>
    <t>D-11625</t>
  </si>
  <si>
    <t>D-11626</t>
  </si>
  <si>
    <t>D-11627</t>
  </si>
  <si>
    <t>D-11628</t>
  </si>
  <si>
    <t>D-11629</t>
  </si>
  <si>
    <t>D-11630</t>
  </si>
  <si>
    <t>D-11631</t>
  </si>
  <si>
    <t>D-11632</t>
  </si>
  <si>
    <t>D-11633</t>
  </si>
  <si>
    <t>D-11634</t>
  </si>
  <si>
    <t>D-11635</t>
  </si>
  <si>
    <t>D-11636</t>
  </si>
  <si>
    <t>D-11637</t>
  </si>
  <si>
    <t>D-11638</t>
  </si>
  <si>
    <t>D-11639</t>
  </si>
  <si>
    <t>D-11640</t>
  </si>
  <si>
    <t>D-11641</t>
  </si>
  <si>
    <t>D-11642</t>
  </si>
  <si>
    <t>14-May-17----16-May-17</t>
  </si>
  <si>
    <t>D-11643</t>
  </si>
  <si>
    <t>D-11644</t>
  </si>
  <si>
    <t>D-11645</t>
  </si>
  <si>
    <t>D-11646</t>
  </si>
  <si>
    <t>D-11647</t>
  </si>
  <si>
    <t>D-11648</t>
  </si>
  <si>
    <t>D-11649</t>
  </si>
  <si>
    <t>D-11650</t>
  </si>
  <si>
    <t>D-11651</t>
  </si>
  <si>
    <t>D-11652</t>
  </si>
  <si>
    <t>D-11653</t>
  </si>
  <si>
    <t>D-11654</t>
  </si>
  <si>
    <t>D-11655</t>
  </si>
  <si>
    <t>D-11656</t>
  </si>
  <si>
    <t>D-11657</t>
  </si>
  <si>
    <t>D-11658</t>
  </si>
  <si>
    <t>D-11659</t>
  </si>
  <si>
    <t>D-11660</t>
  </si>
  <si>
    <t>D-11661</t>
  </si>
  <si>
    <t>D-11662</t>
  </si>
  <si>
    <t>D-11663</t>
  </si>
  <si>
    <t>D-11664</t>
  </si>
  <si>
    <t>D-11665</t>
  </si>
  <si>
    <t>D-11666</t>
  </si>
  <si>
    <t>D-11667</t>
  </si>
  <si>
    <t>D-11668</t>
  </si>
  <si>
    <t>D-11669</t>
  </si>
  <si>
    <t>D-11670</t>
  </si>
  <si>
    <t>D-11671</t>
  </si>
  <si>
    <t>D-11672</t>
  </si>
  <si>
    <t>D-11673</t>
  </si>
  <si>
    <t>D-11674</t>
  </si>
  <si>
    <t>D-11675</t>
  </si>
  <si>
    <t>D-11676</t>
  </si>
  <si>
    <t>13-May-17--17-May-17</t>
  </si>
  <si>
    <t>D-11677</t>
  </si>
  <si>
    <t>D-11678</t>
  </si>
  <si>
    <t>D-11679</t>
  </si>
  <si>
    <t>14-May-17---15-May-17</t>
  </si>
  <si>
    <t>D-11680</t>
  </si>
  <si>
    <t>D-11681</t>
  </si>
  <si>
    <t>D-11682</t>
  </si>
  <si>
    <t>D-11683</t>
  </si>
  <si>
    <t>D-11684</t>
  </si>
  <si>
    <t>D-11685</t>
  </si>
  <si>
    <t>D-11686</t>
  </si>
  <si>
    <t>D-11687</t>
  </si>
  <si>
    <t>D-11688</t>
  </si>
  <si>
    <t>D-11689</t>
  </si>
  <si>
    <t>D-11690</t>
  </si>
  <si>
    <t>D-11691</t>
  </si>
  <si>
    <t>D-11692</t>
  </si>
  <si>
    <t>17-May-17-----18/05/2017</t>
  </si>
  <si>
    <t>D-11693</t>
  </si>
  <si>
    <t>D-11694</t>
  </si>
  <si>
    <t>16-May-17---18/05/2017</t>
  </si>
  <si>
    <t>D-11695</t>
  </si>
  <si>
    <t>D-11696</t>
  </si>
  <si>
    <t>15-May-17---17-May-17</t>
  </si>
  <si>
    <t>D-11697</t>
  </si>
  <si>
    <t>D-11698</t>
  </si>
  <si>
    <t>D-11699</t>
  </si>
  <si>
    <t>D-11700</t>
  </si>
  <si>
    <t>D-11701</t>
  </si>
  <si>
    <t>D-11702</t>
  </si>
  <si>
    <t>D-11703</t>
  </si>
  <si>
    <t>D-11704</t>
  </si>
  <si>
    <t>D-11705</t>
  </si>
  <si>
    <t>D-11706</t>
  </si>
  <si>
    <t>D-11707</t>
  </si>
  <si>
    <t>D-11708</t>
  </si>
  <si>
    <t>D-11709</t>
  </si>
  <si>
    <t>D-11710</t>
  </si>
  <si>
    <t>17-May-17----18/05/2017</t>
  </si>
  <si>
    <t>D-11711</t>
  </si>
  <si>
    <t>D-11712</t>
  </si>
  <si>
    <t>D-11713</t>
  </si>
  <si>
    <t>D-11714</t>
  </si>
  <si>
    <t>D-11715</t>
  </si>
  <si>
    <t>D-11716</t>
  </si>
  <si>
    <t>D-11717</t>
  </si>
  <si>
    <t>D-11718</t>
  </si>
  <si>
    <t>D-11719</t>
  </si>
  <si>
    <t>D-11720</t>
  </si>
  <si>
    <t>D-11721</t>
  </si>
  <si>
    <t>D-11722</t>
  </si>
  <si>
    <t>D-11723</t>
  </si>
  <si>
    <t>D-11724</t>
  </si>
  <si>
    <t>D-11725</t>
  </si>
  <si>
    <t>D-11726</t>
  </si>
  <si>
    <t>D-11727</t>
  </si>
  <si>
    <t>D-11728</t>
  </si>
  <si>
    <t>D-11729</t>
  </si>
  <si>
    <t>D-11730</t>
  </si>
  <si>
    <t>D-11731</t>
  </si>
  <si>
    <t>D-11732</t>
  </si>
  <si>
    <t>D-11733</t>
  </si>
  <si>
    <t>D-11734</t>
  </si>
  <si>
    <t>D-11735</t>
  </si>
  <si>
    <t>D-11736</t>
  </si>
  <si>
    <t>D-11737</t>
  </si>
  <si>
    <t>D-11738</t>
  </si>
  <si>
    <t>26-MaY-17----30-May-17</t>
  </si>
  <si>
    <t>D-11739</t>
  </si>
  <si>
    <t>D-11740</t>
  </si>
  <si>
    <t>D-11741</t>
  </si>
  <si>
    <t>D-11742</t>
  </si>
  <si>
    <t>D-11743</t>
  </si>
  <si>
    <t>D-11744</t>
  </si>
  <si>
    <t>D-11745</t>
  </si>
  <si>
    <t>D-11746</t>
  </si>
  <si>
    <t>D-11747</t>
  </si>
  <si>
    <t>D-11748</t>
  </si>
  <si>
    <t>D-11749</t>
  </si>
  <si>
    <t>D-11750</t>
  </si>
  <si>
    <t>D-11751</t>
  </si>
  <si>
    <t>D-11752</t>
  </si>
  <si>
    <t>D-11753</t>
  </si>
  <si>
    <t>D-11754</t>
  </si>
  <si>
    <t>D-11755</t>
  </si>
  <si>
    <t>(108)ARTURO COYOTL</t>
  </si>
  <si>
    <t>D-11756</t>
  </si>
  <si>
    <t>D-11757</t>
  </si>
  <si>
    <t>D-11758</t>
  </si>
  <si>
    <t>D-11759</t>
  </si>
  <si>
    <t>D-11760</t>
  </si>
  <si>
    <t>D-11761</t>
  </si>
  <si>
    <t>D-11762</t>
  </si>
  <si>
    <t>D-11763</t>
  </si>
  <si>
    <t>D-11764</t>
  </si>
  <si>
    <t>D-11765</t>
  </si>
  <si>
    <t>D-11766</t>
  </si>
  <si>
    <t>D-11767</t>
  </si>
  <si>
    <t>D-11768</t>
  </si>
  <si>
    <t>D-11769</t>
  </si>
  <si>
    <t>D-11770</t>
  </si>
  <si>
    <t>D-11771</t>
  </si>
  <si>
    <t>D-11772</t>
  </si>
  <si>
    <t>D-11773</t>
  </si>
  <si>
    <t>D-11774</t>
  </si>
  <si>
    <t>D-11775</t>
  </si>
  <si>
    <t>D-11776</t>
  </si>
  <si>
    <t>D-11777</t>
  </si>
  <si>
    <t>D-11778</t>
  </si>
  <si>
    <t>D-11779</t>
  </si>
  <si>
    <t>(549)JAIME</t>
  </si>
  <si>
    <t>D-11780</t>
  </si>
  <si>
    <t>D-11781</t>
  </si>
  <si>
    <t>D-11782</t>
  </si>
  <si>
    <t>D-11783</t>
  </si>
  <si>
    <t>D-11784</t>
  </si>
  <si>
    <t>D-11785</t>
  </si>
  <si>
    <t>D-11786</t>
  </si>
  <si>
    <t>D-11787</t>
  </si>
  <si>
    <t>D-11788</t>
  </si>
  <si>
    <t>D-11789</t>
  </si>
  <si>
    <t>D-11790</t>
  </si>
  <si>
    <t>D-11791</t>
  </si>
  <si>
    <t>D-11792</t>
  </si>
  <si>
    <t>D-11793</t>
  </si>
  <si>
    <t>D-11794</t>
  </si>
  <si>
    <t>D-11795</t>
  </si>
  <si>
    <t>D-11796</t>
  </si>
  <si>
    <t>D-11797</t>
  </si>
  <si>
    <t>D-11798</t>
  </si>
  <si>
    <t>D-11799</t>
  </si>
  <si>
    <t>D-11800</t>
  </si>
  <si>
    <t>D-11801</t>
  </si>
  <si>
    <t>D-11802</t>
  </si>
  <si>
    <t>D-11803</t>
  </si>
  <si>
    <t>D-11804</t>
  </si>
  <si>
    <t>D-11805</t>
  </si>
  <si>
    <t>D-11806</t>
  </si>
  <si>
    <t>D-11807</t>
  </si>
  <si>
    <t>D-11808</t>
  </si>
  <si>
    <t>D-11809</t>
  </si>
  <si>
    <t>D-11810</t>
  </si>
  <si>
    <t>D-11811</t>
  </si>
  <si>
    <t>D-11812</t>
  </si>
  <si>
    <t>D-11813</t>
  </si>
  <si>
    <t>D-11814</t>
  </si>
  <si>
    <t>D-11815</t>
  </si>
  <si>
    <t>D-11816</t>
  </si>
  <si>
    <t>D-11817</t>
  </si>
  <si>
    <t>D-11818</t>
  </si>
  <si>
    <t>D-11819</t>
  </si>
  <si>
    <t>D-11820</t>
  </si>
  <si>
    <t>(513)ARMANDO ESCUDERO</t>
  </si>
  <si>
    <t>D-11821</t>
  </si>
  <si>
    <t>D-11822</t>
  </si>
  <si>
    <t>D-11823</t>
  </si>
  <si>
    <t>D-11824</t>
  </si>
  <si>
    <t>D-11825</t>
  </si>
  <si>
    <t>D-11826</t>
  </si>
  <si>
    <t>D-11827</t>
  </si>
  <si>
    <t>D-11828</t>
  </si>
  <si>
    <t>D-11829</t>
  </si>
  <si>
    <t>D-11830</t>
  </si>
  <si>
    <t>D-11831</t>
  </si>
  <si>
    <t>D-11832</t>
  </si>
  <si>
    <t>14-May-17---17-May-17</t>
  </si>
  <si>
    <t>D-11833</t>
  </si>
  <si>
    <t>D-11834</t>
  </si>
  <si>
    <t>D-11835</t>
  </si>
  <si>
    <t>D-11836</t>
  </si>
  <si>
    <t>D-11837</t>
  </si>
  <si>
    <t>D-11838</t>
  </si>
  <si>
    <t>D-11839</t>
  </si>
  <si>
    <t>D-11840</t>
  </si>
  <si>
    <t>D-11841</t>
  </si>
  <si>
    <t>D-11842</t>
  </si>
  <si>
    <t>D-11843</t>
  </si>
  <si>
    <t>D-11844</t>
  </si>
  <si>
    <t>D-11845</t>
  </si>
  <si>
    <t>D-11846</t>
  </si>
  <si>
    <t>D-11847</t>
  </si>
  <si>
    <t>D-11848</t>
  </si>
  <si>
    <t>D-11849</t>
  </si>
  <si>
    <t>D-11850</t>
  </si>
  <si>
    <t>D-11851</t>
  </si>
  <si>
    <t>D-11852</t>
  </si>
  <si>
    <t>D-11853</t>
  </si>
  <si>
    <t>D-11854</t>
  </si>
  <si>
    <t>D-11855</t>
  </si>
  <si>
    <t>D-11856</t>
  </si>
  <si>
    <t>D-11857</t>
  </si>
  <si>
    <t>D-11858</t>
  </si>
  <si>
    <t>D-11859</t>
  </si>
  <si>
    <t>D-11860</t>
  </si>
  <si>
    <t>D-11861</t>
  </si>
  <si>
    <t>D-11862</t>
  </si>
  <si>
    <t>D-11863</t>
  </si>
  <si>
    <t>D-11864</t>
  </si>
  <si>
    <t>D-11865</t>
  </si>
  <si>
    <t>D-11866</t>
  </si>
  <si>
    <t>D-11867</t>
  </si>
  <si>
    <t>D-11868</t>
  </si>
  <si>
    <t>D-11869</t>
  </si>
  <si>
    <t>D-11870</t>
  </si>
  <si>
    <t>D-11871</t>
  </si>
  <si>
    <t>D-11872</t>
  </si>
  <si>
    <t>D-11873</t>
  </si>
  <si>
    <t>D-11874</t>
  </si>
  <si>
    <t>D-11875</t>
  </si>
  <si>
    <t>D-11876</t>
  </si>
  <si>
    <t>D-11877</t>
  </si>
  <si>
    <t>D-11878</t>
  </si>
  <si>
    <t>D-11879</t>
  </si>
  <si>
    <t>D-11880</t>
  </si>
  <si>
    <t>D-11881</t>
  </si>
  <si>
    <t>D-11882</t>
  </si>
  <si>
    <t>D-11883</t>
  </si>
  <si>
    <t>D-11884</t>
  </si>
  <si>
    <t>D-11885</t>
  </si>
  <si>
    <t>D-11886</t>
  </si>
  <si>
    <t>D-11887</t>
  </si>
  <si>
    <t>D-11888</t>
  </si>
  <si>
    <t>D-11889</t>
  </si>
  <si>
    <t>D-11890</t>
  </si>
  <si>
    <t>D-11891</t>
  </si>
  <si>
    <t>D-11892</t>
  </si>
  <si>
    <t>D-11893</t>
  </si>
  <si>
    <t>D-11894</t>
  </si>
  <si>
    <t>D-11895</t>
  </si>
  <si>
    <t>D-11896</t>
  </si>
  <si>
    <t>D-11897</t>
  </si>
  <si>
    <t>D-11898</t>
  </si>
  <si>
    <t>D-11899</t>
  </si>
  <si>
    <t>D-11900</t>
  </si>
  <si>
    <t>D-11901</t>
  </si>
  <si>
    <t>D-11902</t>
  </si>
  <si>
    <t>D-11903</t>
  </si>
  <si>
    <t>D-11904</t>
  </si>
  <si>
    <t>D-11905</t>
  </si>
  <si>
    <t>17-May-17 ----18/05/2017</t>
  </si>
  <si>
    <t>D-11906</t>
  </si>
  <si>
    <t>D-11907</t>
  </si>
  <si>
    <t>D-11908</t>
  </si>
  <si>
    <t>D-11909</t>
  </si>
  <si>
    <t>D-11910</t>
  </si>
  <si>
    <t>D-11911</t>
  </si>
  <si>
    <t>D-11912</t>
  </si>
  <si>
    <t>D-11913</t>
  </si>
  <si>
    <t>D-11914</t>
  </si>
  <si>
    <t>D-11915</t>
  </si>
  <si>
    <t>D-11916</t>
  </si>
  <si>
    <t>D-11917</t>
  </si>
  <si>
    <t>D-11918</t>
  </si>
  <si>
    <t>D-11919</t>
  </si>
  <si>
    <t>D-11920</t>
  </si>
  <si>
    <t>D-11921</t>
  </si>
  <si>
    <t>D-11922</t>
  </si>
  <si>
    <t>D-11923</t>
  </si>
  <si>
    <t>D-11924</t>
  </si>
  <si>
    <t>D-11925</t>
  </si>
  <si>
    <t>D-11926</t>
  </si>
  <si>
    <t>D-11927</t>
  </si>
  <si>
    <t>D-11928</t>
  </si>
  <si>
    <t>D-11929</t>
  </si>
  <si>
    <t>D-11930</t>
  </si>
  <si>
    <t>D-11931</t>
  </si>
  <si>
    <t>D-11932</t>
  </si>
  <si>
    <t>D-11933</t>
  </si>
  <si>
    <t>D-11934</t>
  </si>
  <si>
    <t>D-11935</t>
  </si>
  <si>
    <t>D-11936</t>
  </si>
  <si>
    <t>D-11937</t>
  </si>
  <si>
    <t>D-11938</t>
  </si>
  <si>
    <t>D-11939</t>
  </si>
  <si>
    <t>D-11940</t>
  </si>
  <si>
    <t>D-11941</t>
  </si>
  <si>
    <t>D-11942</t>
  </si>
  <si>
    <t>D-11943</t>
  </si>
  <si>
    <t>D-11944</t>
  </si>
  <si>
    <t>D-11945</t>
  </si>
  <si>
    <t>D-11946</t>
  </si>
  <si>
    <t>D-11947</t>
  </si>
  <si>
    <t>D-11948</t>
  </si>
  <si>
    <t>D-11949</t>
  </si>
  <si>
    <t>D-11950</t>
  </si>
  <si>
    <t>D-11951</t>
  </si>
  <si>
    <t>D-11952</t>
  </si>
  <si>
    <t>D-11953</t>
  </si>
  <si>
    <t>D-11954</t>
  </si>
  <si>
    <t>D-11955</t>
  </si>
  <si>
    <t>D-11956</t>
  </si>
  <si>
    <t>D-11957</t>
  </si>
  <si>
    <t>D-11958</t>
  </si>
  <si>
    <t>D-11959</t>
  </si>
  <si>
    <t>D-11960</t>
  </si>
  <si>
    <t>D-11961</t>
  </si>
  <si>
    <t>D-11962</t>
  </si>
  <si>
    <t>D-11963</t>
  </si>
  <si>
    <t>D-11964</t>
  </si>
  <si>
    <t>D-11965</t>
  </si>
  <si>
    <t>D-11966</t>
  </si>
  <si>
    <t>D-11967</t>
  </si>
  <si>
    <t>D-11968</t>
  </si>
  <si>
    <t>D-11969</t>
  </si>
  <si>
    <t>D-11970</t>
  </si>
  <si>
    <t>(554)HIGINIO MORALES</t>
  </si>
  <si>
    <t>D-11971</t>
  </si>
  <si>
    <t>D-11972</t>
  </si>
  <si>
    <t>D-11973</t>
  </si>
  <si>
    <t>D-11974</t>
  </si>
  <si>
    <t>D-11975</t>
  </si>
  <si>
    <t>D-11976</t>
  </si>
  <si>
    <t>D-11977</t>
  </si>
  <si>
    <t>D-11978</t>
  </si>
  <si>
    <t>D-11979</t>
  </si>
  <si>
    <t>D-11980</t>
  </si>
  <si>
    <t>D-11981</t>
  </si>
  <si>
    <t>D-11982</t>
  </si>
  <si>
    <t>D-11983</t>
  </si>
  <si>
    <t>D-11984</t>
  </si>
  <si>
    <t>D-11985</t>
  </si>
  <si>
    <t>D-11986</t>
  </si>
  <si>
    <t>D-11987</t>
  </si>
  <si>
    <t>D-11988</t>
  </si>
  <si>
    <t>D-11989</t>
  </si>
  <si>
    <t>D-11990</t>
  </si>
  <si>
    <t>D-11991</t>
  </si>
  <si>
    <t>(571)MARYCRUZ</t>
  </si>
  <si>
    <t>D-11992</t>
  </si>
  <si>
    <t>D-11993</t>
  </si>
  <si>
    <t>D-11994</t>
  </si>
  <si>
    <t>D-11995</t>
  </si>
  <si>
    <t>D-11996</t>
  </si>
  <si>
    <t>(26)EL RINCON DE LOS ANGELES</t>
  </si>
  <si>
    <t>D-11997</t>
  </si>
  <si>
    <t>D-11998</t>
  </si>
  <si>
    <t>D-11999</t>
  </si>
  <si>
    <t>(646)SANTIAGO HERRADURA</t>
  </si>
  <si>
    <t>D-12000</t>
  </si>
  <si>
    <t>D-12001</t>
  </si>
  <si>
    <t>D-12002</t>
  </si>
  <si>
    <t>D-12003</t>
  </si>
  <si>
    <t>D-12004</t>
  </si>
  <si>
    <t>D-12005</t>
  </si>
  <si>
    <t>D-12006</t>
  </si>
  <si>
    <t>D-12007</t>
  </si>
  <si>
    <t>D-12008</t>
  </si>
  <si>
    <t>D-12009</t>
  </si>
  <si>
    <t>D-12010</t>
  </si>
  <si>
    <t>D-12011</t>
  </si>
  <si>
    <t>D-12012</t>
  </si>
  <si>
    <t>D-12013</t>
  </si>
  <si>
    <t>D-12014</t>
  </si>
  <si>
    <t>D-12015</t>
  </si>
  <si>
    <t>D-12016</t>
  </si>
  <si>
    <t>D-12017</t>
  </si>
  <si>
    <t>D-12018</t>
  </si>
  <si>
    <t>D-12019</t>
  </si>
  <si>
    <t>D-12020</t>
  </si>
  <si>
    <t>D-12021</t>
  </si>
  <si>
    <t>D-12022</t>
  </si>
  <si>
    <t>D-12023</t>
  </si>
  <si>
    <t>D-12024</t>
  </si>
  <si>
    <t>D-12025</t>
  </si>
  <si>
    <t>D-12026</t>
  </si>
  <si>
    <t>D-12027</t>
  </si>
  <si>
    <t>D-12028</t>
  </si>
  <si>
    <t>D-12029</t>
  </si>
  <si>
    <t>D-12030</t>
  </si>
  <si>
    <t>D-12031</t>
  </si>
  <si>
    <t>D-12032</t>
  </si>
  <si>
    <t>D-12033</t>
  </si>
  <si>
    <t>D-12034</t>
  </si>
  <si>
    <t>D-12035</t>
  </si>
  <si>
    <t>D-12036</t>
  </si>
  <si>
    <t>D-12037</t>
  </si>
  <si>
    <t>17-May-17----22-May-17</t>
  </si>
  <si>
    <t>D-12038</t>
  </si>
  <si>
    <t>D-12039</t>
  </si>
  <si>
    <t>D-12040</t>
  </si>
  <si>
    <t>D-12041</t>
  </si>
  <si>
    <t>D-12042</t>
  </si>
  <si>
    <t>D-12043</t>
  </si>
  <si>
    <t>D-12044</t>
  </si>
  <si>
    <t>D-12045</t>
  </si>
  <si>
    <t>D-12046</t>
  </si>
  <si>
    <t>D-12047</t>
  </si>
  <si>
    <t>D-12048</t>
  </si>
  <si>
    <t>D-12049</t>
  </si>
  <si>
    <t>D-12050</t>
  </si>
  <si>
    <t>D-12051</t>
  </si>
  <si>
    <t>D-12052</t>
  </si>
  <si>
    <t>D-12053</t>
  </si>
  <si>
    <t>D-12054</t>
  </si>
  <si>
    <t>D-12055</t>
  </si>
  <si>
    <t>D-12056</t>
  </si>
  <si>
    <t>D-12057</t>
  </si>
  <si>
    <t>D-12058</t>
  </si>
  <si>
    <t>D-12059</t>
  </si>
  <si>
    <t>D-12060</t>
  </si>
  <si>
    <t>D-12061</t>
  </si>
  <si>
    <t>D-12062</t>
  </si>
  <si>
    <t>D-12063</t>
  </si>
  <si>
    <t>D-12064</t>
  </si>
  <si>
    <t>D-12065</t>
  </si>
  <si>
    <t>D-12066</t>
  </si>
  <si>
    <t>D-12067</t>
  </si>
  <si>
    <t>D-12068</t>
  </si>
  <si>
    <t>D-12069</t>
  </si>
  <si>
    <t>D-12070</t>
  </si>
  <si>
    <t>D-12071</t>
  </si>
  <si>
    <t>D-12072</t>
  </si>
  <si>
    <t>D-12073</t>
  </si>
  <si>
    <t>D-12074</t>
  </si>
  <si>
    <t>D-12075</t>
  </si>
  <si>
    <t>D-12076</t>
  </si>
  <si>
    <t>D-12077</t>
  </si>
  <si>
    <t>D-12078</t>
  </si>
  <si>
    <t>D-12079</t>
  </si>
  <si>
    <t>D-12080</t>
  </si>
  <si>
    <t>D-12081</t>
  </si>
  <si>
    <t>D-12082</t>
  </si>
  <si>
    <t>D-12083</t>
  </si>
  <si>
    <t>D-12084</t>
  </si>
  <si>
    <t>D-12085</t>
  </si>
  <si>
    <t>D-12086</t>
  </si>
  <si>
    <t>D-12087</t>
  </si>
  <si>
    <t>D-12088</t>
  </si>
  <si>
    <t>D-12089</t>
  </si>
  <si>
    <t>D-12090</t>
  </si>
  <si>
    <t>D-12091</t>
  </si>
  <si>
    <t>D-12092</t>
  </si>
  <si>
    <t>D-12093</t>
  </si>
  <si>
    <t>D-12094</t>
  </si>
  <si>
    <t>D-12095</t>
  </si>
  <si>
    <t>D-12096</t>
  </si>
  <si>
    <t>D-12097</t>
  </si>
  <si>
    <t>D-12098</t>
  </si>
  <si>
    <t>D-12099</t>
  </si>
  <si>
    <t>D-12100</t>
  </si>
  <si>
    <t>D-12101</t>
  </si>
  <si>
    <t>D-12102</t>
  </si>
  <si>
    <t>D-12103</t>
  </si>
  <si>
    <t>17-May---19-May-17</t>
  </si>
  <si>
    <t>D-12104</t>
  </si>
  <si>
    <t>D-12105</t>
  </si>
  <si>
    <t>D-12106</t>
  </si>
  <si>
    <t>D-12107</t>
  </si>
  <si>
    <t>D-12108</t>
  </si>
  <si>
    <t>D-12109</t>
  </si>
  <si>
    <t>D-12110</t>
  </si>
  <si>
    <t>D-12111</t>
  </si>
  <si>
    <t>D-12112</t>
  </si>
  <si>
    <t>D-12113</t>
  </si>
  <si>
    <t>D-12114</t>
  </si>
  <si>
    <t>D-12115</t>
  </si>
  <si>
    <t>D-12116</t>
  </si>
  <si>
    <t>D-12117</t>
  </si>
  <si>
    <t>D-12118</t>
  </si>
  <si>
    <t>D-12119</t>
  </si>
  <si>
    <t>D-12120</t>
  </si>
  <si>
    <t>D-12121</t>
  </si>
  <si>
    <t>D-12122</t>
  </si>
  <si>
    <t>D-12123</t>
  </si>
  <si>
    <t>D-12124</t>
  </si>
  <si>
    <t>D-12125</t>
  </si>
  <si>
    <t>D-12126</t>
  </si>
  <si>
    <t>D-12127</t>
  </si>
  <si>
    <t>D-12128</t>
  </si>
  <si>
    <t>D-12129</t>
  </si>
  <si>
    <t>(198)PEDRO TIRO</t>
  </si>
  <si>
    <t>D-12130</t>
  </si>
  <si>
    <t>D-12131</t>
  </si>
  <si>
    <t>D-12132</t>
  </si>
  <si>
    <t>D-12133</t>
  </si>
  <si>
    <t>D-12134</t>
  </si>
  <si>
    <t>D-12135</t>
  </si>
  <si>
    <t>D-12136</t>
  </si>
  <si>
    <t>D-12137</t>
  </si>
  <si>
    <t>D-12138</t>
  </si>
  <si>
    <t>D-12139</t>
  </si>
  <si>
    <t>D-12140</t>
  </si>
  <si>
    <t>D-12141</t>
  </si>
  <si>
    <t>D-12142</t>
  </si>
  <si>
    <t>D-12143</t>
  </si>
  <si>
    <t>D-12144</t>
  </si>
  <si>
    <t>D-12145</t>
  </si>
  <si>
    <t>D-12146</t>
  </si>
  <si>
    <t>D-12147</t>
  </si>
  <si>
    <t>D-12148</t>
  </si>
  <si>
    <t>D-12149</t>
  </si>
  <si>
    <t>D-12150</t>
  </si>
  <si>
    <t>D-12151</t>
  </si>
  <si>
    <t>D-12152</t>
  </si>
  <si>
    <t>17/05/2017</t>
  </si>
  <si>
    <t>D-12153</t>
  </si>
  <si>
    <t>D-12154</t>
  </si>
  <si>
    <t>D-12155</t>
  </si>
  <si>
    <t>D-12156</t>
  </si>
  <si>
    <t>(51)LA PERA</t>
  </si>
  <si>
    <t>D-12157</t>
  </si>
  <si>
    <t>D-12158</t>
  </si>
  <si>
    <t>D-12159</t>
  </si>
  <si>
    <t>D-12160</t>
  </si>
  <si>
    <t>D-12161</t>
  </si>
  <si>
    <t>D-12162</t>
  </si>
  <si>
    <t>D-12163</t>
  </si>
  <si>
    <t>D-12164</t>
  </si>
  <si>
    <t>D-12165</t>
  </si>
  <si>
    <t>(482)FERNANDO RAMIREZ</t>
  </si>
  <si>
    <t>D-12166</t>
  </si>
  <si>
    <t>D-12167</t>
  </si>
  <si>
    <t>D-12168</t>
  </si>
  <si>
    <t>D-12169</t>
  </si>
  <si>
    <t>D-12170</t>
  </si>
  <si>
    <t>D-12171</t>
  </si>
  <si>
    <t>22-May-17-----23-May-17</t>
  </si>
  <si>
    <t>D-12172</t>
  </si>
  <si>
    <t>D-12173</t>
  </si>
  <si>
    <t>D-12174</t>
  </si>
  <si>
    <t>D-12175</t>
  </si>
  <si>
    <t>D-12176</t>
  </si>
  <si>
    <t>D-12177</t>
  </si>
  <si>
    <t>D-12178</t>
  </si>
  <si>
    <t>D-12179</t>
  </si>
  <si>
    <t>D-12180</t>
  </si>
  <si>
    <t>D-12181</t>
  </si>
  <si>
    <t>D-12182</t>
  </si>
  <si>
    <t>18-May-17------19-May-17</t>
  </si>
  <si>
    <t>D-12183</t>
  </si>
  <si>
    <t>D-12184</t>
  </si>
  <si>
    <t>D-12185</t>
  </si>
  <si>
    <t>D-12186</t>
  </si>
  <si>
    <t>D-12187</t>
  </si>
  <si>
    <t>D-12188</t>
  </si>
  <si>
    <t>D-12189</t>
  </si>
  <si>
    <t>D-12190</t>
  </si>
  <si>
    <t>D-12191</t>
  </si>
  <si>
    <t>D-12192</t>
  </si>
  <si>
    <t>D-12193</t>
  </si>
  <si>
    <t>D-12194</t>
  </si>
  <si>
    <t>D-12195</t>
  </si>
  <si>
    <t>D-12196</t>
  </si>
  <si>
    <t>D-12197</t>
  </si>
  <si>
    <t>D-12198</t>
  </si>
  <si>
    <t>D-12199</t>
  </si>
  <si>
    <t>D-12200</t>
  </si>
  <si>
    <t>D-12201</t>
  </si>
  <si>
    <t>D-12202</t>
  </si>
  <si>
    <t>D-12203</t>
  </si>
  <si>
    <t>D-12204</t>
  </si>
  <si>
    <t>D-12205</t>
  </si>
  <si>
    <t>D-12206</t>
  </si>
  <si>
    <t>D-12207</t>
  </si>
  <si>
    <t>D-12208</t>
  </si>
  <si>
    <t>D-12209</t>
  </si>
  <si>
    <t>D-12210</t>
  </si>
  <si>
    <t>D-12211</t>
  </si>
  <si>
    <t>D-12212</t>
  </si>
  <si>
    <t>D-12213</t>
  </si>
  <si>
    <t>D-12214</t>
  </si>
  <si>
    <t>D-12215</t>
  </si>
  <si>
    <t>D-12216</t>
  </si>
  <si>
    <t>D-12217</t>
  </si>
  <si>
    <t>D-12218</t>
  </si>
  <si>
    <t>D-12219</t>
  </si>
  <si>
    <t>D-12220</t>
  </si>
  <si>
    <t>D-12221</t>
  </si>
  <si>
    <t>D-12222</t>
  </si>
  <si>
    <t>D-12223</t>
  </si>
  <si>
    <t>D-12224</t>
  </si>
  <si>
    <t>D-12225</t>
  </si>
  <si>
    <t>D-12226</t>
  </si>
  <si>
    <t>D-12227</t>
  </si>
  <si>
    <t>D-12228</t>
  </si>
  <si>
    <t>D-12229</t>
  </si>
  <si>
    <t>D-12230</t>
  </si>
  <si>
    <t>D-12231</t>
  </si>
  <si>
    <t>D-12232</t>
  </si>
  <si>
    <t>D-12233</t>
  </si>
  <si>
    <t>D-12234</t>
  </si>
  <si>
    <t>D-12235</t>
  </si>
  <si>
    <t>D-12236</t>
  </si>
  <si>
    <t>(44)JAVIER ROCHA</t>
  </si>
  <si>
    <t>D-12237</t>
  </si>
  <si>
    <t>D-12238</t>
  </si>
  <si>
    <t>D-12239</t>
  </si>
  <si>
    <t>D-12240</t>
  </si>
  <si>
    <t>D-12241</t>
  </si>
  <si>
    <t>D-12242</t>
  </si>
  <si>
    <t>D-12243</t>
  </si>
  <si>
    <t>D-12244</t>
  </si>
  <si>
    <t>D-12245</t>
  </si>
  <si>
    <t>D-12246</t>
  </si>
  <si>
    <t>D-12247</t>
  </si>
  <si>
    <t>D-12248</t>
  </si>
  <si>
    <t>D-12249</t>
  </si>
  <si>
    <t>(527)EDGAR ZOQUIAPA</t>
  </si>
  <si>
    <t>D-12250</t>
  </si>
  <si>
    <t>D-12251</t>
  </si>
  <si>
    <t>D-12252</t>
  </si>
  <si>
    <t>D-12253</t>
  </si>
  <si>
    <t>D-12254</t>
  </si>
  <si>
    <t>D-12255</t>
  </si>
  <si>
    <t>D-12256</t>
  </si>
  <si>
    <t>D-12257</t>
  </si>
  <si>
    <t>D-12258</t>
  </si>
  <si>
    <t>D-12259</t>
  </si>
  <si>
    <t>D-12260</t>
  </si>
  <si>
    <t>D-12261</t>
  </si>
  <si>
    <t>D-12262</t>
  </si>
  <si>
    <t>D-12263</t>
  </si>
  <si>
    <t>D-12264</t>
  </si>
  <si>
    <t>D-12265</t>
  </si>
  <si>
    <t>D-12266</t>
  </si>
  <si>
    <t>D-12267</t>
  </si>
  <si>
    <t>D-12268</t>
  </si>
  <si>
    <t>D-12269</t>
  </si>
  <si>
    <t>D-12270</t>
  </si>
  <si>
    <t>D-12271</t>
  </si>
  <si>
    <t>D-12272</t>
  </si>
  <si>
    <t>D-12273</t>
  </si>
  <si>
    <t>D-12274</t>
  </si>
  <si>
    <t>D-12275</t>
  </si>
  <si>
    <t>D-12276</t>
  </si>
  <si>
    <t>D-12277</t>
  </si>
  <si>
    <t>D-12278</t>
  </si>
  <si>
    <t>D-12279</t>
  </si>
  <si>
    <t>D-12280</t>
  </si>
  <si>
    <t>D-12281</t>
  </si>
  <si>
    <t>D-12282</t>
  </si>
  <si>
    <t>18-May-17--20-May-17</t>
  </si>
  <si>
    <t>18/05/2017</t>
  </si>
  <si>
    <t>D-12283</t>
  </si>
  <si>
    <t>D-12284</t>
  </si>
  <si>
    <t>D-12285</t>
  </si>
  <si>
    <t>19-May-17----20-May-17</t>
  </si>
  <si>
    <t>D-12286</t>
  </si>
  <si>
    <t>D-12287</t>
  </si>
  <si>
    <t>D-12288</t>
  </si>
  <si>
    <t>D-12289</t>
  </si>
  <si>
    <t>D-12290</t>
  </si>
  <si>
    <t>D-12291</t>
  </si>
  <si>
    <t>D-12292</t>
  </si>
  <si>
    <t>D-12293</t>
  </si>
  <si>
    <t>D-12294</t>
  </si>
  <si>
    <t>D-12295</t>
  </si>
  <si>
    <t>D-12296</t>
  </si>
  <si>
    <t>D-12297</t>
  </si>
  <si>
    <t>D-12298</t>
  </si>
  <si>
    <t>D-12299</t>
  </si>
  <si>
    <t>D-12300</t>
  </si>
  <si>
    <t>D-12301</t>
  </si>
  <si>
    <t>D-12302</t>
  </si>
  <si>
    <t>D-12303</t>
  </si>
  <si>
    <t>D-12304</t>
  </si>
  <si>
    <t>D-12305</t>
  </si>
  <si>
    <t>D-12306</t>
  </si>
  <si>
    <t>D-12307</t>
  </si>
  <si>
    <t>D-12308</t>
  </si>
  <si>
    <t>D-12309</t>
  </si>
  <si>
    <t>D-12310</t>
  </si>
  <si>
    <t>D-12311</t>
  </si>
  <si>
    <t>D-12312</t>
  </si>
  <si>
    <t>D-12313</t>
  </si>
  <si>
    <t>D-12314</t>
  </si>
  <si>
    <t>D-12315</t>
  </si>
  <si>
    <t>D-12316</t>
  </si>
  <si>
    <t>D-12317</t>
  </si>
  <si>
    <t>D-12318</t>
  </si>
  <si>
    <t>D-12319</t>
  </si>
  <si>
    <t>D-12320</t>
  </si>
  <si>
    <t>D-12321</t>
  </si>
  <si>
    <t>D-12322</t>
  </si>
  <si>
    <t>D-12323</t>
  </si>
  <si>
    <t>(234)ANTONIO JUAREZ</t>
  </si>
  <si>
    <t>D-12324</t>
  </si>
  <si>
    <t>D-12325</t>
  </si>
  <si>
    <t>D-12326</t>
  </si>
  <si>
    <t>D-12327</t>
  </si>
  <si>
    <t>D-12328</t>
  </si>
  <si>
    <t>D-12329</t>
  </si>
  <si>
    <t>22-May-17----31-May-17</t>
  </si>
  <si>
    <t>D-12330</t>
  </si>
  <si>
    <t>D-12331</t>
  </si>
  <si>
    <t>D-12332</t>
  </si>
  <si>
    <t>D-12333</t>
  </si>
  <si>
    <t>D-12334</t>
  </si>
  <si>
    <t>D-12335</t>
  </si>
  <si>
    <t>D-12336</t>
  </si>
  <si>
    <t>D-12337</t>
  </si>
  <si>
    <t>D-12338</t>
  </si>
  <si>
    <t>D-12339</t>
  </si>
  <si>
    <t>D-12340</t>
  </si>
  <si>
    <t>D-12341</t>
  </si>
  <si>
    <t>D-12342</t>
  </si>
  <si>
    <t>D-12343</t>
  </si>
  <si>
    <t>D-12344</t>
  </si>
  <si>
    <t>D-12345</t>
  </si>
  <si>
    <t>D-12346</t>
  </si>
  <si>
    <t>D-12347</t>
  </si>
  <si>
    <t>D-12348</t>
  </si>
  <si>
    <t>D-12349</t>
  </si>
  <si>
    <t>D-12350</t>
  </si>
  <si>
    <t>18-May-17 ----19-May-17</t>
  </si>
  <si>
    <t>D-12351</t>
  </si>
  <si>
    <t>D-12352</t>
  </si>
  <si>
    <t>D-12353</t>
  </si>
  <si>
    <t>D-12354</t>
  </si>
  <si>
    <t>D-12355</t>
  </si>
  <si>
    <t>D-12356</t>
  </si>
  <si>
    <t>D-12357</t>
  </si>
  <si>
    <t>D-12358</t>
  </si>
  <si>
    <t>D-12359</t>
  </si>
  <si>
    <t>D-12360</t>
  </si>
  <si>
    <t>D-12361</t>
  </si>
  <si>
    <t>D-12362</t>
  </si>
  <si>
    <t>D-12363</t>
  </si>
  <si>
    <t>D-12364</t>
  </si>
  <si>
    <t>D-12365</t>
  </si>
  <si>
    <t>D-12366</t>
  </si>
  <si>
    <t>D-12367</t>
  </si>
  <si>
    <t>D-12368</t>
  </si>
  <si>
    <t>D-12369</t>
  </si>
  <si>
    <t>D-12370</t>
  </si>
  <si>
    <t>D-12371</t>
  </si>
  <si>
    <t>D-12372</t>
  </si>
  <si>
    <t>D-12373</t>
  </si>
  <si>
    <t>D-12374</t>
  </si>
  <si>
    <t>D-12375</t>
  </si>
  <si>
    <t>D-12376</t>
  </si>
  <si>
    <t>D-12377</t>
  </si>
  <si>
    <t>D-12378</t>
  </si>
  <si>
    <t>D-12379</t>
  </si>
  <si>
    <t>D-12380</t>
  </si>
  <si>
    <t>D-12381</t>
  </si>
  <si>
    <t>D-12382</t>
  </si>
  <si>
    <t>(220)ANGEL RIOS</t>
  </si>
  <si>
    <t>D-12383</t>
  </si>
  <si>
    <t>D-12384</t>
  </si>
  <si>
    <t>D-12385</t>
  </si>
  <si>
    <t>D-12386</t>
  </si>
  <si>
    <t>D-12387</t>
  </si>
  <si>
    <t>D-12388</t>
  </si>
  <si>
    <t>D-12389</t>
  </si>
  <si>
    <t>D-12390</t>
  </si>
  <si>
    <t>D-12391</t>
  </si>
  <si>
    <t>D-12392</t>
  </si>
  <si>
    <t>D-12393</t>
  </si>
  <si>
    <t>D-12394</t>
  </si>
  <si>
    <t>D-12395</t>
  </si>
  <si>
    <t>D-12396</t>
  </si>
  <si>
    <t>D-12397</t>
  </si>
  <si>
    <t>D-12398</t>
  </si>
  <si>
    <t>D-12399</t>
  </si>
  <si>
    <t>D-12400</t>
  </si>
  <si>
    <t>D-12401</t>
  </si>
  <si>
    <t>D-12402</t>
  </si>
  <si>
    <t>D-12403</t>
  </si>
  <si>
    <t>D-12404</t>
  </si>
  <si>
    <t>D-12405</t>
  </si>
  <si>
    <t>D-12406</t>
  </si>
  <si>
    <t>D-12407</t>
  </si>
  <si>
    <t>D-12408</t>
  </si>
  <si>
    <t>D-12409</t>
  </si>
  <si>
    <t>D-12410</t>
  </si>
  <si>
    <t>D-12411</t>
  </si>
  <si>
    <t>D-12412</t>
  </si>
  <si>
    <t>D-12413</t>
  </si>
  <si>
    <t>D-12414</t>
  </si>
  <si>
    <t>20-May-17-----22-May-17</t>
  </si>
  <si>
    <t>D-12415</t>
  </si>
  <si>
    <t>D-12416</t>
  </si>
  <si>
    <t>D-12417</t>
  </si>
  <si>
    <t>D-12418</t>
  </si>
  <si>
    <t>19/05/2017</t>
  </si>
  <si>
    <t>D-12419</t>
  </si>
  <si>
    <t>D-12420</t>
  </si>
  <si>
    <t>D-12421</t>
  </si>
  <si>
    <t>D-12422</t>
  </si>
  <si>
    <t>D-12423</t>
  </si>
  <si>
    <t>D-12424</t>
  </si>
  <si>
    <t>D-12425</t>
  </si>
  <si>
    <t>D-12426</t>
  </si>
  <si>
    <t>D-12427</t>
  </si>
  <si>
    <t>D-12428</t>
  </si>
  <si>
    <t>D-12429</t>
  </si>
  <si>
    <t>D-12430</t>
  </si>
  <si>
    <t>D-12431</t>
  </si>
  <si>
    <t>D-12432</t>
  </si>
  <si>
    <t>D-12433</t>
  </si>
  <si>
    <t>D-12434</t>
  </si>
  <si>
    <t>D-12435</t>
  </si>
  <si>
    <t>D-12436</t>
  </si>
  <si>
    <t>D-12437</t>
  </si>
  <si>
    <t>D-12438</t>
  </si>
  <si>
    <t>D-12439</t>
  </si>
  <si>
    <t>D-12440</t>
  </si>
  <si>
    <t>D-12441</t>
  </si>
  <si>
    <t>D-12442</t>
  </si>
  <si>
    <t>D-12443</t>
  </si>
  <si>
    <t>D-12444</t>
  </si>
  <si>
    <t>D-12445</t>
  </si>
  <si>
    <t>D-12446</t>
  </si>
  <si>
    <t>(96)ALMA</t>
  </si>
  <si>
    <t>D-12447</t>
  </si>
  <si>
    <t>22-May-17---23-May-17</t>
  </si>
  <si>
    <t>D-12448</t>
  </si>
  <si>
    <t>D-12449</t>
  </si>
  <si>
    <t>D-12450</t>
  </si>
  <si>
    <t>D-12451</t>
  </si>
  <si>
    <t>D-12452</t>
  </si>
  <si>
    <t>D-12453</t>
  </si>
  <si>
    <t>D-12454</t>
  </si>
  <si>
    <t>D-12455</t>
  </si>
  <si>
    <t>D-12456</t>
  </si>
  <si>
    <t>D-12457</t>
  </si>
  <si>
    <t>D-12458</t>
  </si>
  <si>
    <t>D-12459</t>
  </si>
  <si>
    <t>D-12460</t>
  </si>
  <si>
    <t>D-12461</t>
  </si>
  <si>
    <t>D-12462</t>
  </si>
  <si>
    <t>D-12463</t>
  </si>
  <si>
    <t>D-12464</t>
  </si>
  <si>
    <t>D-12465</t>
  </si>
  <si>
    <t>(50)FRANCO MORALES</t>
  </si>
  <si>
    <t>D-12466</t>
  </si>
  <si>
    <t>D-12467</t>
  </si>
  <si>
    <t>D-12468</t>
  </si>
  <si>
    <t>D-12469</t>
  </si>
  <si>
    <t>D-12470</t>
  </si>
  <si>
    <t>D-12471</t>
  </si>
  <si>
    <t>D-12472</t>
  </si>
  <si>
    <t>D-12473</t>
  </si>
  <si>
    <t>D-12474</t>
  </si>
  <si>
    <t>D-12475</t>
  </si>
  <si>
    <t>D-12476</t>
  </si>
  <si>
    <t>D-12477</t>
  </si>
  <si>
    <t>D-12478</t>
  </si>
  <si>
    <t>D-12479</t>
  </si>
  <si>
    <t>D-12480</t>
  </si>
  <si>
    <t>D-12481</t>
  </si>
  <si>
    <t>D-12482</t>
  </si>
  <si>
    <t>D-12483</t>
  </si>
  <si>
    <t>D-12484</t>
  </si>
  <si>
    <t>D-12485</t>
  </si>
  <si>
    <t>D-12486</t>
  </si>
  <si>
    <t>D-12487</t>
  </si>
  <si>
    <t>D-12488</t>
  </si>
  <si>
    <t>D-12489</t>
  </si>
  <si>
    <t>D-12490</t>
  </si>
  <si>
    <t>D-12491</t>
  </si>
  <si>
    <t>D-12492</t>
  </si>
  <si>
    <t>D-12493</t>
  </si>
  <si>
    <t>D-12494</t>
  </si>
  <si>
    <t>D-12495</t>
  </si>
  <si>
    <t>D-12496</t>
  </si>
  <si>
    <t>D-12497</t>
  </si>
  <si>
    <t>D-12498</t>
  </si>
  <si>
    <t>D-12499</t>
  </si>
  <si>
    <t>D-12500</t>
  </si>
  <si>
    <t>D-12501</t>
  </si>
  <si>
    <t>D-12502</t>
  </si>
  <si>
    <t>D-12503</t>
  </si>
  <si>
    <t>D-12504</t>
  </si>
  <si>
    <t>D-12505</t>
  </si>
  <si>
    <t>D-12506</t>
  </si>
  <si>
    <t>D-12507</t>
  </si>
  <si>
    <t>D-12508</t>
  </si>
  <si>
    <t>D-12509</t>
  </si>
  <si>
    <t>D-12510</t>
  </si>
  <si>
    <t>D-12511</t>
  </si>
  <si>
    <t>D-12512</t>
  </si>
  <si>
    <t>D-12513</t>
  </si>
  <si>
    <t>D-12514</t>
  </si>
  <si>
    <t>D-12515</t>
  </si>
  <si>
    <t>D-12516</t>
  </si>
  <si>
    <t>D-12517</t>
  </si>
  <si>
    <t>D-12518</t>
  </si>
  <si>
    <t>D-12519</t>
  </si>
  <si>
    <t>D-12520</t>
  </si>
  <si>
    <t>D-12521</t>
  </si>
  <si>
    <t>D-12522</t>
  </si>
  <si>
    <t>D-12523</t>
  </si>
  <si>
    <t>D-12524</t>
  </si>
  <si>
    <t>D-12525</t>
  </si>
  <si>
    <t>D-12526</t>
  </si>
  <si>
    <t>D-12527</t>
  </si>
  <si>
    <t>D-12528</t>
  </si>
  <si>
    <t>D-12529</t>
  </si>
  <si>
    <t>D-12530</t>
  </si>
  <si>
    <t>D-12531</t>
  </si>
  <si>
    <t>D-12532</t>
  </si>
  <si>
    <t>D-12533</t>
  </si>
  <si>
    <t>D-12534</t>
  </si>
  <si>
    <t>D-12535</t>
  </si>
  <si>
    <t>D-12536</t>
  </si>
  <si>
    <t>D-12537</t>
  </si>
  <si>
    <t>D-12538</t>
  </si>
  <si>
    <t>D-12539</t>
  </si>
  <si>
    <t>D-12540</t>
  </si>
  <si>
    <t>D-12541</t>
  </si>
  <si>
    <t>D-12542</t>
  </si>
  <si>
    <t>D-12543</t>
  </si>
  <si>
    <t>D-12544</t>
  </si>
  <si>
    <t>D-12545</t>
  </si>
  <si>
    <t>D-12546</t>
  </si>
  <si>
    <t>D-12547</t>
  </si>
  <si>
    <t>(147)VALERIO FIGUEROA</t>
  </si>
  <si>
    <t>D-12548</t>
  </si>
  <si>
    <t>D-12549</t>
  </si>
  <si>
    <t>D-12550</t>
  </si>
  <si>
    <t>D-12551</t>
  </si>
  <si>
    <t>D-12552</t>
  </si>
  <si>
    <t>D-12553</t>
  </si>
  <si>
    <t>D-12554</t>
  </si>
  <si>
    <t>D-12555</t>
  </si>
  <si>
    <t>D-12556</t>
  </si>
  <si>
    <t>D-12557</t>
  </si>
  <si>
    <t>D-12558</t>
  </si>
  <si>
    <t>D-12559</t>
  </si>
  <si>
    <t>D-12560</t>
  </si>
  <si>
    <t>D-12561</t>
  </si>
  <si>
    <t>D-12562</t>
  </si>
  <si>
    <t>D-12563</t>
  </si>
  <si>
    <t>D-12564</t>
  </si>
  <si>
    <t>D-12565</t>
  </si>
  <si>
    <t>D-12566</t>
  </si>
  <si>
    <t>D-12567</t>
  </si>
  <si>
    <t>D-12568</t>
  </si>
  <si>
    <t>D-12569</t>
  </si>
  <si>
    <t>D-12570</t>
  </si>
  <si>
    <t>D-12571</t>
  </si>
  <si>
    <t>D-12572</t>
  </si>
  <si>
    <t>D-12573</t>
  </si>
  <si>
    <t>D-12574</t>
  </si>
  <si>
    <t>D-12575</t>
  </si>
  <si>
    <t>D-12576</t>
  </si>
  <si>
    <t>D-12577</t>
  </si>
  <si>
    <t>D-12578</t>
  </si>
  <si>
    <t>D-12579</t>
  </si>
  <si>
    <t>D-12580</t>
  </si>
  <si>
    <t>D-12581</t>
  </si>
  <si>
    <t>D-12582</t>
  </si>
  <si>
    <t>D-12583</t>
  </si>
  <si>
    <t>D-12584</t>
  </si>
  <si>
    <t>D-12585</t>
  </si>
  <si>
    <t>D-12586</t>
  </si>
  <si>
    <t>D-12587</t>
  </si>
  <si>
    <t>D-12588</t>
  </si>
  <si>
    <t>D-12589</t>
  </si>
  <si>
    <t>(192)ELEAN</t>
  </si>
  <si>
    <t>D-12590</t>
  </si>
  <si>
    <t>D-12591</t>
  </si>
  <si>
    <t>D-12592</t>
  </si>
  <si>
    <t>D-12593</t>
  </si>
  <si>
    <t>D-12594</t>
  </si>
  <si>
    <t>(438)ROBERTO MDO ZARAGOZA</t>
  </si>
  <si>
    <t>D-12595</t>
  </si>
  <si>
    <t>D-12596</t>
  </si>
  <si>
    <t>20/05/2017</t>
  </si>
  <si>
    <t>D-12597</t>
  </si>
  <si>
    <t>D-12598</t>
  </si>
  <si>
    <t>D-12599</t>
  </si>
  <si>
    <t>D-12600</t>
  </si>
  <si>
    <t>D-12601</t>
  </si>
  <si>
    <t>D-12602</t>
  </si>
  <si>
    <t>D-12603</t>
  </si>
  <si>
    <t>D-12604</t>
  </si>
  <si>
    <t>D-12605</t>
  </si>
  <si>
    <t>D-12606</t>
  </si>
  <si>
    <t>D-12607</t>
  </si>
  <si>
    <t>D-12608</t>
  </si>
  <si>
    <t>D-12609</t>
  </si>
  <si>
    <t>D-12610</t>
  </si>
  <si>
    <t>D-12611</t>
  </si>
  <si>
    <t>D-12612</t>
  </si>
  <si>
    <t>D-12613</t>
  </si>
  <si>
    <t>23-May-17----24-May-17</t>
  </si>
  <si>
    <t>D-12614</t>
  </si>
  <si>
    <t>D-12615</t>
  </si>
  <si>
    <t>22-May-17--23-May-17---25-May-17</t>
  </si>
  <si>
    <t>D-12616</t>
  </si>
  <si>
    <t>D-12617</t>
  </si>
  <si>
    <t>D-12618</t>
  </si>
  <si>
    <t>23-May-17---24-May-17</t>
  </si>
  <si>
    <t>D-12619</t>
  </si>
  <si>
    <t>D-12620</t>
  </si>
  <si>
    <t>D-12621</t>
  </si>
  <si>
    <t>D-12622</t>
  </si>
  <si>
    <t>D-12623</t>
  </si>
  <si>
    <t>D-12624</t>
  </si>
  <si>
    <t>D-12625</t>
  </si>
  <si>
    <t>D-12626</t>
  </si>
  <si>
    <t>D-12627</t>
  </si>
  <si>
    <t>D-12628</t>
  </si>
  <si>
    <t>D-12629</t>
  </si>
  <si>
    <t>D-12630</t>
  </si>
  <si>
    <t>D-12631</t>
  </si>
  <si>
    <t>D-12632</t>
  </si>
  <si>
    <t>D-12633</t>
  </si>
  <si>
    <t>D-12634</t>
  </si>
  <si>
    <t>D-12635</t>
  </si>
  <si>
    <t>D-12636</t>
  </si>
  <si>
    <t>D-12637</t>
  </si>
  <si>
    <t>D-12638</t>
  </si>
  <si>
    <t>D-12639</t>
  </si>
  <si>
    <t>D-12640</t>
  </si>
  <si>
    <t>D-12641</t>
  </si>
  <si>
    <t>D-12642</t>
  </si>
  <si>
    <t>22-May-17----24-May-17</t>
  </si>
  <si>
    <t>D-12643</t>
  </si>
  <si>
    <t>D-12644</t>
  </si>
  <si>
    <t>D-12645</t>
  </si>
  <si>
    <t>D-12646</t>
  </si>
  <si>
    <t>D-12647</t>
  </si>
  <si>
    <t>D-12648</t>
  </si>
  <si>
    <t>D-12649</t>
  </si>
  <si>
    <t>D-12650</t>
  </si>
  <si>
    <t>D-12651</t>
  </si>
  <si>
    <t>D-12652</t>
  </si>
  <si>
    <t>D-12653</t>
  </si>
  <si>
    <t>D-12654</t>
  </si>
  <si>
    <t>D-12655</t>
  </si>
  <si>
    <t>D-12656</t>
  </si>
  <si>
    <t>D-12657</t>
  </si>
  <si>
    <t>D-12658</t>
  </si>
  <si>
    <t>D-12659</t>
  </si>
  <si>
    <t>D-12660</t>
  </si>
  <si>
    <t>D-12661</t>
  </si>
  <si>
    <t>D-12662</t>
  </si>
  <si>
    <t>D-12663</t>
  </si>
  <si>
    <t>D-12664</t>
  </si>
  <si>
    <t>D-12665</t>
  </si>
  <si>
    <t>D-12666</t>
  </si>
  <si>
    <t>D-12667</t>
  </si>
  <si>
    <t>D-12668</t>
  </si>
  <si>
    <t>D-12669</t>
  </si>
  <si>
    <t>D-12670</t>
  </si>
  <si>
    <t>D-12671</t>
  </si>
  <si>
    <t>D-12672</t>
  </si>
  <si>
    <t>D-12673</t>
  </si>
  <si>
    <t>D-12674</t>
  </si>
  <si>
    <t>D-12675</t>
  </si>
  <si>
    <t>D-12676</t>
  </si>
  <si>
    <t>D-12677</t>
  </si>
  <si>
    <t>D-12678</t>
  </si>
  <si>
    <t>D-12679</t>
  </si>
  <si>
    <t>D-12680</t>
  </si>
  <si>
    <t>D-12681</t>
  </si>
  <si>
    <t>D-12682</t>
  </si>
  <si>
    <t>D-12683</t>
  </si>
  <si>
    <t>D-12684</t>
  </si>
  <si>
    <t>D-12685</t>
  </si>
  <si>
    <t>D-12686</t>
  </si>
  <si>
    <t>D-12687</t>
  </si>
  <si>
    <t>D-12688</t>
  </si>
  <si>
    <t>D-12689</t>
  </si>
  <si>
    <t>D-12690</t>
  </si>
  <si>
    <t>D-12691</t>
  </si>
  <si>
    <t>D-12692</t>
  </si>
  <si>
    <t>D-12693</t>
  </si>
  <si>
    <t>D-12694</t>
  </si>
  <si>
    <t>D-12695</t>
  </si>
  <si>
    <t>D-12696</t>
  </si>
  <si>
    <t>D-12697</t>
  </si>
  <si>
    <t>D-12698</t>
  </si>
  <si>
    <t>D-12699</t>
  </si>
  <si>
    <t>D-12700</t>
  </si>
  <si>
    <t>D-12701</t>
  </si>
  <si>
    <t>D-12702</t>
  </si>
  <si>
    <t>D-12703</t>
  </si>
  <si>
    <t>D-12704</t>
  </si>
  <si>
    <t>D-12705</t>
  </si>
  <si>
    <t>D-12706</t>
  </si>
  <si>
    <t>D-12707</t>
  </si>
  <si>
    <t>D-12708</t>
  </si>
  <si>
    <t>20-May-17----21-May-17</t>
  </si>
  <si>
    <t>D-12709</t>
  </si>
  <si>
    <t>D-12710</t>
  </si>
  <si>
    <t>D-12711</t>
  </si>
  <si>
    <t>D-12712</t>
  </si>
  <si>
    <t>D-12713</t>
  </si>
  <si>
    <t>D-12714</t>
  </si>
  <si>
    <t>D-12715</t>
  </si>
  <si>
    <t>D-12716</t>
  </si>
  <si>
    <t>D-12717</t>
  </si>
  <si>
    <t>D-12718</t>
  </si>
  <si>
    <t>D-12719</t>
  </si>
  <si>
    <t>D-12720</t>
  </si>
  <si>
    <t>D-12721</t>
  </si>
  <si>
    <t>D-12722</t>
  </si>
  <si>
    <t>D-12723</t>
  </si>
  <si>
    <t>D-12724</t>
  </si>
  <si>
    <t>D-12725</t>
  </si>
  <si>
    <t>D-12726</t>
  </si>
  <si>
    <t>D-12727</t>
  </si>
  <si>
    <t>D-12728</t>
  </si>
  <si>
    <t>D-12729</t>
  </si>
  <si>
    <t>D-12730</t>
  </si>
  <si>
    <t>D-12731</t>
  </si>
  <si>
    <t>D-12732</t>
  </si>
  <si>
    <t>D-12733</t>
  </si>
  <si>
    <t>D-12734</t>
  </si>
  <si>
    <t>21/05/2017</t>
  </si>
  <si>
    <t>D-12735</t>
  </si>
  <si>
    <t>D-12736</t>
  </si>
  <si>
    <t>D-12737</t>
  </si>
  <si>
    <t>D-12738</t>
  </si>
  <si>
    <t>D-12739</t>
  </si>
  <si>
    <t>D-12740</t>
  </si>
  <si>
    <t>D-12741</t>
  </si>
  <si>
    <t>D-12742</t>
  </si>
  <si>
    <t>D-12743</t>
  </si>
  <si>
    <t>D-12744</t>
  </si>
  <si>
    <t>D-12745</t>
  </si>
  <si>
    <t>D-12746</t>
  </si>
  <si>
    <t>D-12747</t>
  </si>
  <si>
    <t>D-12748</t>
  </si>
  <si>
    <t>D-12749</t>
  </si>
  <si>
    <t>D-12750</t>
  </si>
  <si>
    <t>D-12751</t>
  </si>
  <si>
    <t>D-12752</t>
  </si>
  <si>
    <t>D-12753</t>
  </si>
  <si>
    <t>D-12754</t>
  </si>
  <si>
    <t>D-12755</t>
  </si>
  <si>
    <t>D-12756</t>
  </si>
  <si>
    <t>D-12757</t>
  </si>
  <si>
    <t>D-12758</t>
  </si>
  <si>
    <t>D-12759</t>
  </si>
  <si>
    <t>D-12760</t>
  </si>
  <si>
    <t>D-12761</t>
  </si>
  <si>
    <t>D-12762</t>
  </si>
  <si>
    <t>(540)RODRIGO SILVA</t>
  </si>
  <si>
    <t>D-12763</t>
  </si>
  <si>
    <t>D-12764</t>
  </si>
  <si>
    <t>D-12765</t>
  </si>
  <si>
    <t>D-12766</t>
  </si>
  <si>
    <t>D-12767</t>
  </si>
  <si>
    <t>D-12768</t>
  </si>
  <si>
    <t>D-12769</t>
  </si>
  <si>
    <t>D-12770</t>
  </si>
  <si>
    <t>D-12771</t>
  </si>
  <si>
    <t>D-12772</t>
  </si>
  <si>
    <t>D-12773</t>
  </si>
  <si>
    <t>D-12774</t>
  </si>
  <si>
    <t>D-12775</t>
  </si>
  <si>
    <t>D-12776</t>
  </si>
  <si>
    <t>D-12777</t>
  </si>
  <si>
    <t>D-12778</t>
  </si>
  <si>
    <t>D-12779</t>
  </si>
  <si>
    <t>D-12780</t>
  </si>
  <si>
    <t>IMPRESA CON FOLIO 2781</t>
  </si>
  <si>
    <t>D-12781</t>
  </si>
  <si>
    <t>D-12782</t>
  </si>
  <si>
    <t>D-12783</t>
  </si>
  <si>
    <t>D-12784</t>
  </si>
  <si>
    <t>D-12785</t>
  </si>
  <si>
    <t>D-12786</t>
  </si>
  <si>
    <t>D-12787</t>
  </si>
  <si>
    <t>D-12788</t>
  </si>
  <si>
    <t>D-12789</t>
  </si>
  <si>
    <t>D-12790</t>
  </si>
  <si>
    <t>D-12791</t>
  </si>
  <si>
    <t>D-12792</t>
  </si>
  <si>
    <t>D-12793</t>
  </si>
  <si>
    <t>D-12794</t>
  </si>
  <si>
    <t>D-12795</t>
  </si>
  <si>
    <t>D-12796</t>
  </si>
  <si>
    <t>D-12797</t>
  </si>
  <si>
    <t>D-12798</t>
  </si>
  <si>
    <t>D-12799</t>
  </si>
  <si>
    <t>D-12800</t>
  </si>
  <si>
    <t>D-12801</t>
  </si>
  <si>
    <t>D-12802</t>
  </si>
  <si>
    <t>22/05/2017</t>
  </si>
  <si>
    <t>D-12803</t>
  </si>
  <si>
    <t>D-12804</t>
  </si>
  <si>
    <t>23-May-17---25-May-17</t>
  </si>
  <si>
    <t>D-12805</t>
  </si>
  <si>
    <t>D-12806</t>
  </si>
  <si>
    <t>D-12807</t>
  </si>
  <si>
    <t>D-12808</t>
  </si>
  <si>
    <t>D-12809</t>
  </si>
  <si>
    <t>D-12810</t>
  </si>
  <si>
    <t>D-12811</t>
  </si>
  <si>
    <t>D-12812</t>
  </si>
  <si>
    <t>D-12813</t>
  </si>
  <si>
    <t>D-12814</t>
  </si>
  <si>
    <t>D-12815</t>
  </si>
  <si>
    <t>D-12816</t>
  </si>
  <si>
    <t>D-12817</t>
  </si>
  <si>
    <t>D-12818</t>
  </si>
  <si>
    <t>D-12819</t>
  </si>
  <si>
    <t>D-12820</t>
  </si>
  <si>
    <t>24-May-17----25-May-17</t>
  </si>
  <si>
    <t>D-12821</t>
  </si>
  <si>
    <t>D-12822</t>
  </si>
  <si>
    <t>D-12823</t>
  </si>
  <si>
    <t>D-12824</t>
  </si>
  <si>
    <t>D-12825</t>
  </si>
  <si>
    <t>D-12826</t>
  </si>
  <si>
    <t>D-12827</t>
  </si>
  <si>
    <t>D-12828</t>
  </si>
  <si>
    <t>D-12829</t>
  </si>
  <si>
    <t>D-12830</t>
  </si>
  <si>
    <t>D-12831</t>
  </si>
  <si>
    <t>D-12832</t>
  </si>
  <si>
    <t>D-12833</t>
  </si>
  <si>
    <t>D-12834</t>
  </si>
  <si>
    <t>D-12835</t>
  </si>
  <si>
    <t>D-12836</t>
  </si>
  <si>
    <t>D-12837</t>
  </si>
  <si>
    <t>D-12838</t>
  </si>
  <si>
    <t>D-12839</t>
  </si>
  <si>
    <t>D-12840</t>
  </si>
  <si>
    <t>D-12841</t>
  </si>
  <si>
    <t>D-12842</t>
  </si>
  <si>
    <t>24-May-17----27-May-17</t>
  </si>
  <si>
    <t>D-12843</t>
  </si>
  <si>
    <t>D-12844</t>
  </si>
  <si>
    <t>D-12845</t>
  </si>
  <si>
    <t>D-12846</t>
  </si>
  <si>
    <t>D-12847</t>
  </si>
  <si>
    <t>D-12848</t>
  </si>
  <si>
    <t>D-12849</t>
  </si>
  <si>
    <t>D-12850</t>
  </si>
  <si>
    <t>D-12851</t>
  </si>
  <si>
    <t>D-12852</t>
  </si>
  <si>
    <t>D-12853</t>
  </si>
  <si>
    <t>D-12854</t>
  </si>
  <si>
    <t>D-12855</t>
  </si>
  <si>
    <t>D-12856</t>
  </si>
  <si>
    <t>D-12857</t>
  </si>
  <si>
    <t>D-12858</t>
  </si>
  <si>
    <t>D-12859</t>
  </si>
  <si>
    <t>D-12860</t>
  </si>
  <si>
    <t>D-12861</t>
  </si>
  <si>
    <t>D-12862</t>
  </si>
  <si>
    <t>D-12863</t>
  </si>
  <si>
    <t>D-12864</t>
  </si>
  <si>
    <t>D-12865</t>
  </si>
  <si>
    <t>D-12866</t>
  </si>
  <si>
    <t>D-12867</t>
  </si>
  <si>
    <t>D-12868</t>
  </si>
  <si>
    <t>D-12869</t>
  </si>
  <si>
    <t>D-12870</t>
  </si>
  <si>
    <t>D-12871</t>
  </si>
  <si>
    <t>D-12872</t>
  </si>
  <si>
    <t>D-12873</t>
  </si>
  <si>
    <t>D-12874</t>
  </si>
  <si>
    <t>D-12875</t>
  </si>
  <si>
    <t>D-12876</t>
  </si>
  <si>
    <t>D-12877</t>
  </si>
  <si>
    <t>D-12878</t>
  </si>
  <si>
    <t>D-12879</t>
  </si>
  <si>
    <t>D-12880</t>
  </si>
  <si>
    <t>D-12881</t>
  </si>
  <si>
    <t>D-12882</t>
  </si>
  <si>
    <t>D-12883</t>
  </si>
  <si>
    <t>D-12884</t>
  </si>
  <si>
    <t>D-12885</t>
  </si>
  <si>
    <t>D-12886</t>
  </si>
  <si>
    <t>D-12887</t>
  </si>
  <si>
    <t>D-12888</t>
  </si>
  <si>
    <t>D-12889</t>
  </si>
  <si>
    <t>D-12890</t>
  </si>
  <si>
    <t>D-12891</t>
  </si>
  <si>
    <t>D-12892</t>
  </si>
  <si>
    <t>D-12893</t>
  </si>
  <si>
    <t>D-12894</t>
  </si>
  <si>
    <t>D-12895</t>
  </si>
  <si>
    <t>D-12896</t>
  </si>
  <si>
    <t>D-12897</t>
  </si>
  <si>
    <t>D-12898</t>
  </si>
  <si>
    <t>D-12899</t>
  </si>
  <si>
    <t>D-12900</t>
  </si>
  <si>
    <t>D-12901</t>
  </si>
  <si>
    <t>D-12902</t>
  </si>
  <si>
    <t>D-12903</t>
  </si>
  <si>
    <t>D-12904</t>
  </si>
  <si>
    <t>D-12905</t>
  </si>
  <si>
    <t>D-12906</t>
  </si>
  <si>
    <t>D-12907</t>
  </si>
  <si>
    <t>D-12908</t>
  </si>
  <si>
    <t>D-12909</t>
  </si>
  <si>
    <t>D-12910</t>
  </si>
  <si>
    <t>D-12911</t>
  </si>
  <si>
    <t>D-12912</t>
  </si>
  <si>
    <t>D-12913</t>
  </si>
  <si>
    <t>D-12914</t>
  </si>
  <si>
    <t>D-12915</t>
  </si>
  <si>
    <t>D-12916</t>
  </si>
  <si>
    <t>D-12917</t>
  </si>
  <si>
    <t>(317)MAQUILA  FRANCISCO</t>
  </si>
  <si>
    <t>D-12918</t>
  </si>
  <si>
    <t>D-12919</t>
  </si>
  <si>
    <t>D-12920</t>
  </si>
  <si>
    <t>D-12921</t>
  </si>
  <si>
    <t>D-12922</t>
  </si>
  <si>
    <t>D-12923</t>
  </si>
  <si>
    <t>D-12924</t>
  </si>
  <si>
    <t>D-12925</t>
  </si>
  <si>
    <t>D-12926</t>
  </si>
  <si>
    <t>D-12927</t>
  </si>
  <si>
    <t>D-12928</t>
  </si>
  <si>
    <t>D-12929</t>
  </si>
  <si>
    <t>D-12930</t>
  </si>
  <si>
    <t>D-12931</t>
  </si>
  <si>
    <t>D-12932</t>
  </si>
  <si>
    <t>D-12933</t>
  </si>
  <si>
    <t>D-12934</t>
  </si>
  <si>
    <t>D-12935</t>
  </si>
  <si>
    <t>D-12936</t>
  </si>
  <si>
    <t>D-12937</t>
  </si>
  <si>
    <t>D-12938</t>
  </si>
  <si>
    <t>D-12939</t>
  </si>
  <si>
    <t>D-12940</t>
  </si>
  <si>
    <t>23/05/2017</t>
  </si>
  <si>
    <t>D-12941</t>
  </si>
  <si>
    <t>D-12942</t>
  </si>
  <si>
    <t>D-12943</t>
  </si>
  <si>
    <t>D-12944</t>
  </si>
  <si>
    <t>D-12945</t>
  </si>
  <si>
    <t>D-12946</t>
  </si>
  <si>
    <t>D-12947</t>
  </si>
  <si>
    <t>D-12948</t>
  </si>
  <si>
    <t>(395)CARNES FRIAS DE CALIDAD</t>
  </si>
  <si>
    <t>D-12949</t>
  </si>
  <si>
    <t>D-12950</t>
  </si>
  <si>
    <t>D-12951</t>
  </si>
  <si>
    <t>D-12952</t>
  </si>
  <si>
    <t>D-12953</t>
  </si>
  <si>
    <t>D-12954</t>
  </si>
  <si>
    <t>D-12955</t>
  </si>
  <si>
    <t>D-12956</t>
  </si>
  <si>
    <t>D-12957</t>
  </si>
  <si>
    <t>D-12958</t>
  </si>
  <si>
    <t>D-12959</t>
  </si>
  <si>
    <t>D-12960</t>
  </si>
  <si>
    <t>25-May-17----26-May-17</t>
  </si>
  <si>
    <t>D-12961</t>
  </si>
  <si>
    <t>D-12962</t>
  </si>
  <si>
    <t>D-12963</t>
  </si>
  <si>
    <t>D-12964</t>
  </si>
  <si>
    <t>D-12965</t>
  </si>
  <si>
    <t>D-12966</t>
  </si>
  <si>
    <t>D-12967</t>
  </si>
  <si>
    <t>D-12968</t>
  </si>
  <si>
    <t>D-12969</t>
  </si>
  <si>
    <t>D-12970</t>
  </si>
  <si>
    <t>D-12971</t>
  </si>
  <si>
    <t>D-12972</t>
  </si>
  <si>
    <t>D-12973</t>
  </si>
  <si>
    <t>D-12974</t>
  </si>
  <si>
    <t>24-May-17----29-May-17</t>
  </si>
  <si>
    <t>D-12975</t>
  </si>
  <si>
    <t>D-12976</t>
  </si>
  <si>
    <t>D-12977</t>
  </si>
  <si>
    <t>D-12978</t>
  </si>
  <si>
    <t>D-12979</t>
  </si>
  <si>
    <t>D-12980</t>
  </si>
  <si>
    <t>D-12981</t>
  </si>
  <si>
    <t>D-12982</t>
  </si>
  <si>
    <t>D-12983</t>
  </si>
  <si>
    <t>D-12984</t>
  </si>
  <si>
    <t>D-12985</t>
  </si>
  <si>
    <t>D-12986</t>
  </si>
  <si>
    <t>D-12987</t>
  </si>
  <si>
    <t>D-12988</t>
  </si>
  <si>
    <t>D-12989</t>
  </si>
  <si>
    <t>D-12990</t>
  </si>
  <si>
    <t>D-12991</t>
  </si>
  <si>
    <t>D-12992</t>
  </si>
  <si>
    <t>D-12993</t>
  </si>
  <si>
    <t>D-12994</t>
  </si>
  <si>
    <t>D-12995</t>
  </si>
  <si>
    <t>D-12996</t>
  </si>
  <si>
    <t>D-12997</t>
  </si>
  <si>
    <t>D-12998</t>
  </si>
  <si>
    <t>D-12999</t>
  </si>
  <si>
    <t>D-13000</t>
  </si>
  <si>
    <t>D-13001</t>
  </si>
  <si>
    <t>D-13002</t>
  </si>
  <si>
    <t>D-13003</t>
  </si>
  <si>
    <t>D-13004</t>
  </si>
  <si>
    <t>D-13005</t>
  </si>
  <si>
    <t>D-13006</t>
  </si>
  <si>
    <t>D-13007</t>
  </si>
  <si>
    <t>D-13008</t>
  </si>
  <si>
    <t>D-13009</t>
  </si>
  <si>
    <t>D-13010</t>
  </si>
  <si>
    <t>D-13011</t>
  </si>
  <si>
    <t>D-13012</t>
  </si>
  <si>
    <t>D-13013</t>
  </si>
  <si>
    <t>(236)CARMELO VAZQUEZ</t>
  </si>
  <si>
    <t>D-13014</t>
  </si>
  <si>
    <t>D-13015</t>
  </si>
  <si>
    <t>D-13016</t>
  </si>
  <si>
    <t>D-13017</t>
  </si>
  <si>
    <t>D-13018</t>
  </si>
  <si>
    <t>D-13019</t>
  </si>
  <si>
    <t>D-13020</t>
  </si>
  <si>
    <t>D-13021</t>
  </si>
  <si>
    <t>D-13022</t>
  </si>
  <si>
    <t>D-13023</t>
  </si>
  <si>
    <t>D-13024</t>
  </si>
  <si>
    <t>D-13025</t>
  </si>
  <si>
    <t>D-13026</t>
  </si>
  <si>
    <t>D-13027</t>
  </si>
  <si>
    <t>D-13028</t>
  </si>
  <si>
    <t>D-13029</t>
  </si>
  <si>
    <t>D-13030</t>
  </si>
  <si>
    <t>D-13031</t>
  </si>
  <si>
    <t>D-13032</t>
  </si>
  <si>
    <t>D-13033</t>
  </si>
  <si>
    <t>D-13034</t>
  </si>
  <si>
    <t>D-13035</t>
  </si>
  <si>
    <t>D-13036</t>
  </si>
  <si>
    <t>(691)ISMAEL MARTINEZ HERNANDEZ</t>
  </si>
  <si>
    <t>D-13037</t>
  </si>
  <si>
    <t>D-13038</t>
  </si>
  <si>
    <t>D-13039</t>
  </si>
  <si>
    <t>D-13040</t>
  </si>
  <si>
    <t>D-13041</t>
  </si>
  <si>
    <t>D-13042</t>
  </si>
  <si>
    <t>D-13043</t>
  </si>
  <si>
    <t>D-13044</t>
  </si>
  <si>
    <t>D-13045</t>
  </si>
  <si>
    <t>D-13046</t>
  </si>
  <si>
    <t>D-13047</t>
  </si>
  <si>
    <t>D-13048</t>
  </si>
  <si>
    <t>D-13049</t>
  </si>
  <si>
    <t>D-13050</t>
  </si>
  <si>
    <t>D-13051</t>
  </si>
  <si>
    <t>(342)ELSA MUÑOZ</t>
  </si>
  <si>
    <t>D-13052</t>
  </si>
  <si>
    <t>D-13053</t>
  </si>
  <si>
    <t>D-13054</t>
  </si>
  <si>
    <t>D-13055</t>
  </si>
  <si>
    <t>D-13056</t>
  </si>
  <si>
    <t>D-13057</t>
  </si>
  <si>
    <t>D-13058</t>
  </si>
  <si>
    <t>D-13059</t>
  </si>
  <si>
    <t>D-13060</t>
  </si>
  <si>
    <t>D-13061</t>
  </si>
  <si>
    <t>D-13062</t>
  </si>
  <si>
    <t>D-13063</t>
  </si>
  <si>
    <t>D-13064</t>
  </si>
  <si>
    <t>D-13065</t>
  </si>
  <si>
    <t>D-13066</t>
  </si>
  <si>
    <t>D-13067</t>
  </si>
  <si>
    <t>D-13068</t>
  </si>
  <si>
    <t>D-13069</t>
  </si>
  <si>
    <t>D-13070</t>
  </si>
  <si>
    <t>D-13071</t>
  </si>
  <si>
    <t>D-13072</t>
  </si>
  <si>
    <t>24/05/2017</t>
  </si>
  <si>
    <t>D-13073</t>
  </si>
  <si>
    <t>D-13074</t>
  </si>
  <si>
    <t>D-13075</t>
  </si>
  <si>
    <t>D-13076</t>
  </si>
  <si>
    <t>D-13077</t>
  </si>
  <si>
    <t>D-13078</t>
  </si>
  <si>
    <t>D-13079</t>
  </si>
  <si>
    <t>D-13080</t>
  </si>
  <si>
    <t>D-13081</t>
  </si>
  <si>
    <t>D-13082</t>
  </si>
  <si>
    <t>D-13083</t>
  </si>
  <si>
    <t>26-May-17---27-May-17</t>
  </si>
  <si>
    <t>D-13084</t>
  </si>
  <si>
    <t>D-13085</t>
  </si>
  <si>
    <t>D-13086</t>
  </si>
  <si>
    <t>D-13087</t>
  </si>
  <si>
    <t>D-13088</t>
  </si>
  <si>
    <t>D-13089</t>
  </si>
  <si>
    <t>D-13090</t>
  </si>
  <si>
    <t>D-13091</t>
  </si>
  <si>
    <t>D-13092</t>
  </si>
  <si>
    <t>D-13093</t>
  </si>
  <si>
    <t>D-13094</t>
  </si>
  <si>
    <t>D-13095</t>
  </si>
  <si>
    <t>D-13096</t>
  </si>
  <si>
    <t>D-13097</t>
  </si>
  <si>
    <t>D-13098</t>
  </si>
  <si>
    <t>D-13099</t>
  </si>
  <si>
    <t>D-13100</t>
  </si>
  <si>
    <t>D-13101</t>
  </si>
  <si>
    <t>D-13102</t>
  </si>
  <si>
    <t>D-13103</t>
  </si>
  <si>
    <t>D-13104</t>
  </si>
  <si>
    <t>24-May-17--25/05/2017</t>
  </si>
  <si>
    <t>D-13105</t>
  </si>
  <si>
    <t>D-13106</t>
  </si>
  <si>
    <t>D-13107</t>
  </si>
  <si>
    <t>D-13108</t>
  </si>
  <si>
    <t>D-13109</t>
  </si>
  <si>
    <t>D-13110</t>
  </si>
  <si>
    <t>D-13111</t>
  </si>
  <si>
    <t>D-13112</t>
  </si>
  <si>
    <t>D-13113</t>
  </si>
  <si>
    <t>D-13114</t>
  </si>
  <si>
    <t>D-13115</t>
  </si>
  <si>
    <t>D-13116</t>
  </si>
  <si>
    <t>D-13117</t>
  </si>
  <si>
    <t>D-13118</t>
  </si>
  <si>
    <t>D-13119</t>
  </si>
  <si>
    <t>D-13120</t>
  </si>
  <si>
    <t>D-13121</t>
  </si>
  <si>
    <t>D-13122</t>
  </si>
  <si>
    <t>D-13123</t>
  </si>
  <si>
    <t>D-13124</t>
  </si>
  <si>
    <t>D-13125</t>
  </si>
  <si>
    <t>D-13126</t>
  </si>
  <si>
    <t>D-13127</t>
  </si>
  <si>
    <t>D-13128</t>
  </si>
  <si>
    <t>D-13129</t>
  </si>
  <si>
    <t>D-13130</t>
  </si>
  <si>
    <t>D-13131</t>
  </si>
  <si>
    <t>D-13132</t>
  </si>
  <si>
    <t>D-13133</t>
  </si>
  <si>
    <t>D-13134</t>
  </si>
  <si>
    <t>D-13135</t>
  </si>
  <si>
    <t>D-13136</t>
  </si>
  <si>
    <t>D-13137</t>
  </si>
  <si>
    <t>D-13138</t>
  </si>
  <si>
    <t>D-13139</t>
  </si>
  <si>
    <t>D-13140</t>
  </si>
  <si>
    <t>D-13141</t>
  </si>
  <si>
    <t>D-13142</t>
  </si>
  <si>
    <t>D-13143</t>
  </si>
  <si>
    <t>D-13144</t>
  </si>
  <si>
    <t>D-13145</t>
  </si>
  <si>
    <t>D-13146</t>
  </si>
  <si>
    <t>D-13147</t>
  </si>
  <si>
    <t>D-13148</t>
  </si>
  <si>
    <t>D-13149</t>
  </si>
  <si>
    <t>D-13150</t>
  </si>
  <si>
    <t>D-13151</t>
  </si>
  <si>
    <t>D-13152</t>
  </si>
  <si>
    <t>D-13153</t>
  </si>
  <si>
    <t>D-13154</t>
  </si>
  <si>
    <t>D-13155</t>
  </si>
  <si>
    <t>D-13156</t>
  </si>
  <si>
    <t>D-13157</t>
  </si>
  <si>
    <t>D-13158</t>
  </si>
  <si>
    <t>D-13159</t>
  </si>
  <si>
    <t>D-13160</t>
  </si>
  <si>
    <t>D-13161</t>
  </si>
  <si>
    <t>D-13162</t>
  </si>
  <si>
    <t>24-May-17---26-May-17</t>
  </si>
  <si>
    <t>D-13163</t>
  </si>
  <si>
    <t>D-13164</t>
  </si>
  <si>
    <t>D-13165</t>
  </si>
  <si>
    <t>D-13166</t>
  </si>
  <si>
    <t>D-13167</t>
  </si>
  <si>
    <t>D-13168</t>
  </si>
  <si>
    <t>D-13169</t>
  </si>
  <si>
    <t>D-13170</t>
  </si>
  <si>
    <t>D-13171</t>
  </si>
  <si>
    <t>D-13172</t>
  </si>
  <si>
    <t>D-13173</t>
  </si>
  <si>
    <t>D-13174</t>
  </si>
  <si>
    <t>D-13175</t>
  </si>
  <si>
    <t>D-13176</t>
  </si>
  <si>
    <t>D-13177</t>
  </si>
  <si>
    <t>D-13178</t>
  </si>
  <si>
    <t>D-13179</t>
  </si>
  <si>
    <t>D-13180</t>
  </si>
  <si>
    <t>D-13181</t>
  </si>
  <si>
    <t>D-13182</t>
  </si>
  <si>
    <t>D-13183</t>
  </si>
  <si>
    <t>D-13184</t>
  </si>
  <si>
    <t>D-13185</t>
  </si>
  <si>
    <t>D-13186</t>
  </si>
  <si>
    <t>D-13187</t>
  </si>
  <si>
    <t>D-13188</t>
  </si>
  <si>
    <t>D-13189</t>
  </si>
  <si>
    <t>D-13190</t>
  </si>
  <si>
    <t>D-13191</t>
  </si>
  <si>
    <t>D-13192</t>
  </si>
  <si>
    <t>D-13193</t>
  </si>
  <si>
    <t>D-13194</t>
  </si>
  <si>
    <t>D-13195</t>
  </si>
  <si>
    <t>D-13196</t>
  </si>
  <si>
    <t>D-13197</t>
  </si>
  <si>
    <t>25/05/2017</t>
  </si>
  <si>
    <t>D-13198</t>
  </si>
  <si>
    <t>D-13199</t>
  </si>
  <si>
    <t>D-13200</t>
  </si>
  <si>
    <t>D-13201</t>
  </si>
  <si>
    <t>D-13202</t>
  </si>
  <si>
    <t>D-13203</t>
  </si>
  <si>
    <t>D-13204</t>
  </si>
  <si>
    <t>D-13205</t>
  </si>
  <si>
    <t>D-13206</t>
  </si>
  <si>
    <t>D-13207</t>
  </si>
  <si>
    <t>D-13208</t>
  </si>
  <si>
    <t>D-13209</t>
  </si>
  <si>
    <t>D-13210</t>
  </si>
  <si>
    <t>27-May-17----29-May-17</t>
  </si>
  <si>
    <t>D-13211</t>
  </si>
  <si>
    <t>26-May-17------27-May-17</t>
  </si>
  <si>
    <t>D-13212</t>
  </si>
  <si>
    <t>D-13213</t>
  </si>
  <si>
    <t>D-13214</t>
  </si>
  <si>
    <t>D-13215</t>
  </si>
  <si>
    <t>D-13216</t>
  </si>
  <si>
    <t>D-13217</t>
  </si>
  <si>
    <t>D-13218</t>
  </si>
  <si>
    <t>D-13219</t>
  </si>
  <si>
    <t>D-13220</t>
  </si>
  <si>
    <t>D-13221</t>
  </si>
  <si>
    <t>D-13222</t>
  </si>
  <si>
    <t>D-13223</t>
  </si>
  <si>
    <t>D-13224</t>
  </si>
  <si>
    <t>D-13225</t>
  </si>
  <si>
    <t>D-13226</t>
  </si>
  <si>
    <t>D-13227</t>
  </si>
  <si>
    <t>D-13228</t>
  </si>
  <si>
    <t>D-13229</t>
  </si>
  <si>
    <t>D-13230</t>
  </si>
  <si>
    <t>D-13231</t>
  </si>
  <si>
    <t>D-13232</t>
  </si>
  <si>
    <t>D-13233</t>
  </si>
  <si>
    <t>D-13234</t>
  </si>
  <si>
    <t>D-13235</t>
  </si>
  <si>
    <t>D-13236</t>
  </si>
  <si>
    <t>D-13237</t>
  </si>
  <si>
    <t>D-13238</t>
  </si>
  <si>
    <t>D-13239</t>
  </si>
  <si>
    <t>D-13240</t>
  </si>
  <si>
    <t>D-13241</t>
  </si>
  <si>
    <t>D-13242</t>
  </si>
  <si>
    <t>D-13243</t>
  </si>
  <si>
    <t>D-13244</t>
  </si>
  <si>
    <t>D-13245</t>
  </si>
  <si>
    <t>D-13246</t>
  </si>
  <si>
    <t>D-13247</t>
  </si>
  <si>
    <t>D-13248</t>
  </si>
  <si>
    <t>D-13249</t>
  </si>
  <si>
    <t>D-13250</t>
  </si>
  <si>
    <t>D-13251</t>
  </si>
  <si>
    <t>D-13252</t>
  </si>
  <si>
    <t>(524)JOSE LUIS PEREZ VALDEZ</t>
  </si>
  <si>
    <t>D-13253</t>
  </si>
  <si>
    <t>D-13254</t>
  </si>
  <si>
    <t>D-13255</t>
  </si>
  <si>
    <t>(411)GABRIEL DOROTEO</t>
  </si>
  <si>
    <t>D-13256</t>
  </si>
  <si>
    <t>D-13257</t>
  </si>
  <si>
    <t>D-13258</t>
  </si>
  <si>
    <t>D-13259</t>
  </si>
  <si>
    <t>D-13260</t>
  </si>
  <si>
    <t>D-13261</t>
  </si>
  <si>
    <t>D-13262</t>
  </si>
  <si>
    <t>D-13263</t>
  </si>
  <si>
    <t>D-13264</t>
  </si>
  <si>
    <t>D-13265</t>
  </si>
  <si>
    <t>D-13266</t>
  </si>
  <si>
    <t>D-13267</t>
  </si>
  <si>
    <t>D-13268</t>
  </si>
  <si>
    <t>D-13269</t>
  </si>
  <si>
    <t>D-13270</t>
  </si>
  <si>
    <t>D-13271</t>
  </si>
  <si>
    <t>D-13272</t>
  </si>
  <si>
    <t>D-13273</t>
  </si>
  <si>
    <t>D-13274</t>
  </si>
  <si>
    <t>D-13275</t>
  </si>
  <si>
    <t>D-13276</t>
  </si>
  <si>
    <t>D-13277</t>
  </si>
  <si>
    <t>D-13278</t>
  </si>
  <si>
    <t>D-13279</t>
  </si>
  <si>
    <t>D-13280</t>
  </si>
  <si>
    <t>D-13281</t>
  </si>
  <si>
    <t>D-13282</t>
  </si>
  <si>
    <t>D-13283</t>
  </si>
  <si>
    <t>D-13284</t>
  </si>
  <si>
    <t>D-13285</t>
  </si>
  <si>
    <t>D-13286</t>
  </si>
  <si>
    <t>D-13287</t>
  </si>
  <si>
    <t>D-13288</t>
  </si>
  <si>
    <t>D-13289</t>
  </si>
  <si>
    <t>D-13290</t>
  </si>
  <si>
    <t>D-13291</t>
  </si>
  <si>
    <t>D-13292</t>
  </si>
  <si>
    <t>D-13293</t>
  </si>
  <si>
    <t>D-13294</t>
  </si>
  <si>
    <t>D-13295</t>
  </si>
  <si>
    <t>D-13296</t>
  </si>
  <si>
    <t>D-13297</t>
  </si>
  <si>
    <t>D-13298</t>
  </si>
  <si>
    <t>D-13299</t>
  </si>
  <si>
    <t>D-13300</t>
  </si>
  <si>
    <t>D-13301</t>
  </si>
  <si>
    <t>D-13302</t>
  </si>
  <si>
    <t>D-13303</t>
  </si>
  <si>
    <t>D-13304</t>
  </si>
  <si>
    <t>D-13305</t>
  </si>
  <si>
    <t>D-13306</t>
  </si>
  <si>
    <t>D-13307</t>
  </si>
  <si>
    <t>D-13308</t>
  </si>
  <si>
    <t>D-13309</t>
  </si>
  <si>
    <t>D-13310</t>
  </si>
  <si>
    <t>D-13311</t>
  </si>
  <si>
    <t>D-13312</t>
  </si>
  <si>
    <t>D-13313</t>
  </si>
  <si>
    <t>D-13314</t>
  </si>
  <si>
    <t>D-13315</t>
  </si>
  <si>
    <t>26/05/2017</t>
  </si>
  <si>
    <t>D-13316</t>
  </si>
  <si>
    <t>D-13317</t>
  </si>
  <si>
    <t>D-13318</t>
  </si>
  <si>
    <t>D-13319</t>
  </si>
  <si>
    <t>D-13320</t>
  </si>
  <si>
    <t>D-13321</t>
  </si>
  <si>
    <t>D-13322</t>
  </si>
  <si>
    <t>D-13323</t>
  </si>
  <si>
    <t>D-13324</t>
  </si>
  <si>
    <t>D-13325</t>
  </si>
  <si>
    <t>D-13326</t>
  </si>
  <si>
    <t>D-13327</t>
  </si>
  <si>
    <t>D-13328</t>
  </si>
  <si>
    <t>29-May-17---31-May-17</t>
  </si>
  <si>
    <t>D-13329</t>
  </si>
  <si>
    <t>D-13330</t>
  </si>
  <si>
    <t>D-13331</t>
  </si>
  <si>
    <t>D-13332</t>
  </si>
  <si>
    <t>D-13333</t>
  </si>
  <si>
    <t>D-13334</t>
  </si>
  <si>
    <t>D-13335</t>
  </si>
  <si>
    <t>D-13336</t>
  </si>
  <si>
    <t>29-May-17----31-May-17</t>
  </si>
  <si>
    <t>D-13337</t>
  </si>
  <si>
    <t>D-13338</t>
  </si>
  <si>
    <t>D-13339</t>
  </si>
  <si>
    <t>D-13340</t>
  </si>
  <si>
    <t>D-13341</t>
  </si>
  <si>
    <t>D-13342</t>
  </si>
  <si>
    <t>D-13343</t>
  </si>
  <si>
    <t>D-13344</t>
  </si>
  <si>
    <t>D-13345</t>
  </si>
  <si>
    <t>D-13346</t>
  </si>
  <si>
    <t>D-13347</t>
  </si>
  <si>
    <t>D-13348</t>
  </si>
  <si>
    <t>D-13349</t>
  </si>
  <si>
    <t>D-13350</t>
  </si>
  <si>
    <t>D-13351</t>
  </si>
  <si>
    <t>D-13352</t>
  </si>
  <si>
    <t>D-13353</t>
  </si>
  <si>
    <t>D-13354</t>
  </si>
  <si>
    <t>D-13355</t>
  </si>
  <si>
    <t>D-13356</t>
  </si>
  <si>
    <t>D-13357</t>
  </si>
  <si>
    <t>D-13358</t>
  </si>
  <si>
    <t>D-13359</t>
  </si>
  <si>
    <t>D-13360</t>
  </si>
  <si>
    <t>D-13361</t>
  </si>
  <si>
    <t>D-13362</t>
  </si>
  <si>
    <t>D-13363</t>
  </si>
  <si>
    <t>D-13364</t>
  </si>
  <si>
    <t>D-13365</t>
  </si>
  <si>
    <t>D-13366</t>
  </si>
  <si>
    <t>D-13367</t>
  </si>
  <si>
    <t>D-13368</t>
  </si>
  <si>
    <t>(259)SALVADOR VALVERDE</t>
  </si>
  <si>
    <t>D-13369</t>
  </si>
  <si>
    <t>D-13370</t>
  </si>
  <si>
    <t>D-13371</t>
  </si>
  <si>
    <t>D-13372</t>
  </si>
  <si>
    <t>D-13373</t>
  </si>
  <si>
    <t>D-13374</t>
  </si>
  <si>
    <t>D-13375</t>
  </si>
  <si>
    <t>D-13376</t>
  </si>
  <si>
    <t>D-13377</t>
  </si>
  <si>
    <t>D-13378</t>
  </si>
  <si>
    <t>D-13379</t>
  </si>
  <si>
    <t>D-13380</t>
  </si>
  <si>
    <t>D-13381</t>
  </si>
  <si>
    <t>D-13382</t>
  </si>
  <si>
    <t>D-13383</t>
  </si>
  <si>
    <t>D-13384</t>
  </si>
  <si>
    <t>D-13385</t>
  </si>
  <si>
    <t>D-13386</t>
  </si>
  <si>
    <t>D-13387</t>
  </si>
  <si>
    <t>D-13388</t>
  </si>
  <si>
    <t>D-13389</t>
  </si>
  <si>
    <t>D-13390</t>
  </si>
  <si>
    <t>D-13391</t>
  </si>
  <si>
    <t>D-13392</t>
  </si>
  <si>
    <t>D-13393</t>
  </si>
  <si>
    <t>D-13394</t>
  </si>
  <si>
    <t>D-13395</t>
  </si>
  <si>
    <t>D-13396</t>
  </si>
  <si>
    <t>D-13397</t>
  </si>
  <si>
    <t>D-13398</t>
  </si>
  <si>
    <t>D-13399</t>
  </si>
  <si>
    <t>D-13400</t>
  </si>
  <si>
    <t>D-13401</t>
  </si>
  <si>
    <t>D-13402</t>
  </si>
  <si>
    <t>D-13403</t>
  </si>
  <si>
    <t>D-13404</t>
  </si>
  <si>
    <t>D-13405</t>
  </si>
  <si>
    <t>D-13406</t>
  </si>
  <si>
    <t>D-13407</t>
  </si>
  <si>
    <t>D-13408</t>
  </si>
  <si>
    <t>D-13409</t>
  </si>
  <si>
    <t>D-13410</t>
  </si>
  <si>
    <t>D-13411</t>
  </si>
  <si>
    <t>D-13412</t>
  </si>
  <si>
    <t>D-13413</t>
  </si>
  <si>
    <t>D-13414</t>
  </si>
  <si>
    <t>D-13415</t>
  </si>
  <si>
    <t>D-13416</t>
  </si>
  <si>
    <t>D-13417</t>
  </si>
  <si>
    <t>D-13418</t>
  </si>
  <si>
    <t>D-13419</t>
  </si>
  <si>
    <t>D-13420</t>
  </si>
  <si>
    <t>D-13421</t>
  </si>
  <si>
    <t>D-13422</t>
  </si>
  <si>
    <t>D-13423</t>
  </si>
  <si>
    <t>D-13424</t>
  </si>
  <si>
    <t>D-13425</t>
  </si>
  <si>
    <t>D-13426</t>
  </si>
  <si>
    <t>D-13427</t>
  </si>
  <si>
    <t>D-13428</t>
  </si>
  <si>
    <t>D-13429</t>
  </si>
  <si>
    <t>D-13430</t>
  </si>
  <si>
    <t>D-13431</t>
  </si>
  <si>
    <t>D-13432</t>
  </si>
  <si>
    <t>D-13433</t>
  </si>
  <si>
    <t>D-13434</t>
  </si>
  <si>
    <t>D-13435</t>
  </si>
  <si>
    <t>D-13436</t>
  </si>
  <si>
    <t>D-13437</t>
  </si>
  <si>
    <t>D-13438</t>
  </si>
  <si>
    <t>D-13439</t>
  </si>
  <si>
    <t>D-13440</t>
  </si>
  <si>
    <t>D-13441</t>
  </si>
  <si>
    <t>D-13442</t>
  </si>
  <si>
    <t>D-13443</t>
  </si>
  <si>
    <t>D-13444</t>
  </si>
  <si>
    <t>D-13445</t>
  </si>
  <si>
    <t>D-13446</t>
  </si>
  <si>
    <t>D-13447</t>
  </si>
  <si>
    <t>D-13448</t>
  </si>
  <si>
    <t>D-13449</t>
  </si>
  <si>
    <t>D-13450</t>
  </si>
  <si>
    <t>D-13451</t>
  </si>
  <si>
    <t>D-13452</t>
  </si>
  <si>
    <t>D-13453</t>
  </si>
  <si>
    <t>D-13454</t>
  </si>
  <si>
    <t>D-13455</t>
  </si>
  <si>
    <t>D-13456</t>
  </si>
  <si>
    <t>D-13457</t>
  </si>
  <si>
    <t>D-13458</t>
  </si>
  <si>
    <t>D-13459</t>
  </si>
  <si>
    <t>D-13460</t>
  </si>
  <si>
    <t>D-13461</t>
  </si>
  <si>
    <t>D-13462</t>
  </si>
  <si>
    <t>D-13463</t>
  </si>
  <si>
    <t>D-13464</t>
  </si>
  <si>
    <t>D-13465</t>
  </si>
  <si>
    <t>D-13466</t>
  </si>
  <si>
    <t>D-13467</t>
  </si>
  <si>
    <t>D-13468</t>
  </si>
  <si>
    <t>D-13469</t>
  </si>
  <si>
    <t>D-13470</t>
  </si>
  <si>
    <t>D-13471</t>
  </si>
  <si>
    <t>D-13472</t>
  </si>
  <si>
    <t>D-13473</t>
  </si>
  <si>
    <t>D-13474</t>
  </si>
  <si>
    <t>D-13475</t>
  </si>
  <si>
    <t>D-13476</t>
  </si>
  <si>
    <t>D-13477</t>
  </si>
  <si>
    <t>D-13478</t>
  </si>
  <si>
    <t>D-13479</t>
  </si>
  <si>
    <t>D-13480</t>
  </si>
  <si>
    <t>D-13481</t>
  </si>
  <si>
    <t>D-13482</t>
  </si>
  <si>
    <t>D-13483</t>
  </si>
  <si>
    <t>D-13484</t>
  </si>
  <si>
    <t>D-13485</t>
  </si>
  <si>
    <t>D-13486</t>
  </si>
  <si>
    <t>D-13487</t>
  </si>
  <si>
    <t>D-13488</t>
  </si>
  <si>
    <t>27/05/2017</t>
  </si>
  <si>
    <t>D-13489</t>
  </si>
  <si>
    <t>D-13490</t>
  </si>
  <si>
    <t>D-13491</t>
  </si>
  <si>
    <t>D-13492</t>
  </si>
  <si>
    <t>D-13493</t>
  </si>
  <si>
    <t>D-13494</t>
  </si>
  <si>
    <t>D-13495</t>
  </si>
  <si>
    <t>D-13496</t>
  </si>
  <si>
    <t>D-13497</t>
  </si>
  <si>
    <t>D-13498</t>
  </si>
  <si>
    <t>D-13499</t>
  </si>
  <si>
    <t>D-13500</t>
  </si>
  <si>
    <t>D-13501</t>
  </si>
  <si>
    <t>27-May-17--29-May-17-----30-May-17</t>
  </si>
  <si>
    <t>D-13502</t>
  </si>
  <si>
    <t>D-13503</t>
  </si>
  <si>
    <t>D-13504</t>
  </si>
  <si>
    <t>D-13505</t>
  </si>
  <si>
    <t>D-13506</t>
  </si>
  <si>
    <t>D-13507</t>
  </si>
  <si>
    <t>D-13508</t>
  </si>
  <si>
    <t>D-13509</t>
  </si>
  <si>
    <t>D-13510</t>
  </si>
  <si>
    <t>D-13511</t>
  </si>
  <si>
    <t>D-13512</t>
  </si>
  <si>
    <t>D-13513</t>
  </si>
  <si>
    <t>D-13514</t>
  </si>
  <si>
    <t>D-13515</t>
  </si>
  <si>
    <t>D-13516</t>
  </si>
  <si>
    <t>D-13517</t>
  </si>
  <si>
    <t>D-13518</t>
  </si>
  <si>
    <t>D-13519</t>
  </si>
  <si>
    <t>D-13520</t>
  </si>
  <si>
    <t>D-13521</t>
  </si>
  <si>
    <t>D-13522</t>
  </si>
  <si>
    <t>D-13523</t>
  </si>
  <si>
    <t>D-13524</t>
  </si>
  <si>
    <t>D-13525</t>
  </si>
  <si>
    <t>D-13526</t>
  </si>
  <si>
    <t>D-13527</t>
  </si>
  <si>
    <t>D-13528</t>
  </si>
  <si>
    <t>D-13529</t>
  </si>
  <si>
    <t>D-13530</t>
  </si>
  <si>
    <t>D-13531</t>
  </si>
  <si>
    <t>D-13532</t>
  </si>
  <si>
    <t>D-13533</t>
  </si>
  <si>
    <t>D-13534</t>
  </si>
  <si>
    <t>D-13535</t>
  </si>
  <si>
    <t>D-13536</t>
  </si>
  <si>
    <t>D-13537</t>
  </si>
  <si>
    <t>D-13538</t>
  </si>
  <si>
    <t>D-13539</t>
  </si>
  <si>
    <t>D-13540</t>
  </si>
  <si>
    <t>D-13541</t>
  </si>
  <si>
    <t>D-13542</t>
  </si>
  <si>
    <t>D-13543</t>
  </si>
  <si>
    <t>D-13544</t>
  </si>
  <si>
    <t>D-13545</t>
  </si>
  <si>
    <t>D-13546</t>
  </si>
  <si>
    <t>D-13547</t>
  </si>
  <si>
    <t>D-13548</t>
  </si>
  <si>
    <t>D-13549</t>
  </si>
  <si>
    <t>D-13550</t>
  </si>
  <si>
    <t>D-13551</t>
  </si>
  <si>
    <t>D-13552</t>
  </si>
  <si>
    <t>D-13553</t>
  </si>
  <si>
    <t>D-13554</t>
  </si>
  <si>
    <t>D-13555</t>
  </si>
  <si>
    <t>D-13556</t>
  </si>
  <si>
    <t>D-13557</t>
  </si>
  <si>
    <t>D-13558</t>
  </si>
  <si>
    <t>D-13559</t>
  </si>
  <si>
    <t>D-13560</t>
  </si>
  <si>
    <t>D-13561</t>
  </si>
  <si>
    <t>D-13562</t>
  </si>
  <si>
    <t>D-13563</t>
  </si>
  <si>
    <t>D-13564</t>
  </si>
  <si>
    <t>D-13565</t>
  </si>
  <si>
    <t>D-13566</t>
  </si>
  <si>
    <t>D-13567</t>
  </si>
  <si>
    <t>D-13568</t>
  </si>
  <si>
    <t>D-13569</t>
  </si>
  <si>
    <t>D-13570</t>
  </si>
  <si>
    <t>D-13571</t>
  </si>
  <si>
    <t>D-13572</t>
  </si>
  <si>
    <t>D-13573</t>
  </si>
  <si>
    <t>D-13574</t>
  </si>
  <si>
    <t>D-13575</t>
  </si>
  <si>
    <t>D-13576</t>
  </si>
  <si>
    <t>D-13577</t>
  </si>
  <si>
    <t>D-13578</t>
  </si>
  <si>
    <t>D-13579</t>
  </si>
  <si>
    <t>D-13580</t>
  </si>
  <si>
    <t>D-13581</t>
  </si>
  <si>
    <t>D-13582</t>
  </si>
  <si>
    <t>D-13583</t>
  </si>
  <si>
    <t>D-13584</t>
  </si>
  <si>
    <t>D-13585</t>
  </si>
  <si>
    <t>D-13586</t>
  </si>
  <si>
    <t>D-13587</t>
  </si>
  <si>
    <t>D-13588</t>
  </si>
  <si>
    <t>D-13589</t>
  </si>
  <si>
    <t>D-13590</t>
  </si>
  <si>
    <t>D-13591</t>
  </si>
  <si>
    <t>D-13592</t>
  </si>
  <si>
    <t>D-13593</t>
  </si>
  <si>
    <t>D-13594</t>
  </si>
  <si>
    <t>D-13595</t>
  </si>
  <si>
    <t>D-13596</t>
  </si>
  <si>
    <t>D-13597</t>
  </si>
  <si>
    <t>D-13598</t>
  </si>
  <si>
    <t>D-13599</t>
  </si>
  <si>
    <t>D-13600</t>
  </si>
  <si>
    <t>D-13601</t>
  </si>
  <si>
    <t>D-13602</t>
  </si>
  <si>
    <t>D-13603</t>
  </si>
  <si>
    <t>D-13604</t>
  </si>
  <si>
    <t>D-13605</t>
  </si>
  <si>
    <t>D-13606</t>
  </si>
  <si>
    <t>D-13607</t>
  </si>
  <si>
    <t>D-13608</t>
  </si>
  <si>
    <t>D-13609</t>
  </si>
  <si>
    <t>D-13610</t>
  </si>
  <si>
    <t>D-13611</t>
  </si>
  <si>
    <t>D-13612</t>
  </si>
  <si>
    <t>D-13613</t>
  </si>
  <si>
    <t>D-13614</t>
  </si>
  <si>
    <t>D-13615</t>
  </si>
  <si>
    <t>D-13616</t>
  </si>
  <si>
    <t>27-May--17-----28/05/2017</t>
  </si>
  <si>
    <t>D-13617</t>
  </si>
  <si>
    <t>D-13618</t>
  </si>
  <si>
    <t>D-13619</t>
  </si>
  <si>
    <t>D-13620</t>
  </si>
  <si>
    <t>D-13621</t>
  </si>
  <si>
    <t>D-13622</t>
  </si>
  <si>
    <t>D-13623</t>
  </si>
  <si>
    <t>D-13624</t>
  </si>
  <si>
    <t>D-13625</t>
  </si>
  <si>
    <t>D-13626</t>
  </si>
  <si>
    <t>D-13627</t>
  </si>
  <si>
    <t>D-13628</t>
  </si>
  <si>
    <t>D-13629</t>
  </si>
  <si>
    <t>D-13630</t>
  </si>
  <si>
    <t>D-13631</t>
  </si>
  <si>
    <t>D-13632</t>
  </si>
  <si>
    <t>D-13633</t>
  </si>
  <si>
    <t>D-13634</t>
  </si>
  <si>
    <t>D-13635</t>
  </si>
  <si>
    <t>D-13636</t>
  </si>
  <si>
    <t>D-13637</t>
  </si>
  <si>
    <t>28/05/2017</t>
  </si>
  <si>
    <t>D-13638</t>
  </si>
  <si>
    <t>D-13639</t>
  </si>
  <si>
    <t>D-13640</t>
  </si>
  <si>
    <t>D-13641</t>
  </si>
  <si>
    <t>D-13642</t>
  </si>
  <si>
    <t>D-13643</t>
  </si>
  <si>
    <t>D-13644</t>
  </si>
  <si>
    <t>D-13645</t>
  </si>
  <si>
    <t>D-13646</t>
  </si>
  <si>
    <t>D-13647</t>
  </si>
  <si>
    <t>D-13648</t>
  </si>
  <si>
    <t>D-13649</t>
  </si>
  <si>
    <t>D-13650</t>
  </si>
  <si>
    <t>D-13651</t>
  </si>
  <si>
    <t>D-13652</t>
  </si>
  <si>
    <t>D-13653</t>
  </si>
  <si>
    <t>D-13654</t>
  </si>
  <si>
    <t>D-13655</t>
  </si>
  <si>
    <t>D-13656</t>
  </si>
  <si>
    <t>D-13657</t>
  </si>
  <si>
    <t>D-13658</t>
  </si>
  <si>
    <t>D-13659</t>
  </si>
  <si>
    <t>D-13660</t>
  </si>
  <si>
    <t>D-13661</t>
  </si>
  <si>
    <t>D-13662</t>
  </si>
  <si>
    <t>D-13663</t>
  </si>
  <si>
    <t>D-13664</t>
  </si>
  <si>
    <t>D-13665</t>
  </si>
  <si>
    <t>D-13666</t>
  </si>
  <si>
    <t>D-13667</t>
  </si>
  <si>
    <t>D-13668</t>
  </si>
  <si>
    <t>D-13669</t>
  </si>
  <si>
    <t>D-13670</t>
  </si>
  <si>
    <t>D-13671</t>
  </si>
  <si>
    <t>D-13672</t>
  </si>
  <si>
    <t>D-13673</t>
  </si>
  <si>
    <t>D-13674</t>
  </si>
  <si>
    <t>D-13675</t>
  </si>
  <si>
    <t>D-13676</t>
  </si>
  <si>
    <t>D-13677</t>
  </si>
  <si>
    <t>D-13678</t>
  </si>
  <si>
    <t>D-13679</t>
  </si>
  <si>
    <t>D-13680</t>
  </si>
  <si>
    <t>D-13681</t>
  </si>
  <si>
    <t>D-13682</t>
  </si>
  <si>
    <t>D-13683</t>
  </si>
  <si>
    <t>D-13684</t>
  </si>
  <si>
    <t>D-13685</t>
  </si>
  <si>
    <t>D-13686</t>
  </si>
  <si>
    <t>D-13687</t>
  </si>
  <si>
    <t>D-13688</t>
  </si>
  <si>
    <t>D-13689</t>
  </si>
  <si>
    <t>D-13690</t>
  </si>
  <si>
    <t>D-13691</t>
  </si>
  <si>
    <t>D-13692</t>
  </si>
  <si>
    <t>D-13693</t>
  </si>
  <si>
    <t>D-13694</t>
  </si>
  <si>
    <t>D-13695</t>
  </si>
  <si>
    <t>D-13696</t>
  </si>
  <si>
    <t>D-13697</t>
  </si>
  <si>
    <t>29/05/2017</t>
  </si>
  <si>
    <t>D-13698</t>
  </si>
  <si>
    <t>D-13699</t>
  </si>
  <si>
    <t>D-13700</t>
  </si>
  <si>
    <t>D-13701</t>
  </si>
  <si>
    <t>D-13702</t>
  </si>
  <si>
    <t>D-13703</t>
  </si>
  <si>
    <t>D-13704</t>
  </si>
  <si>
    <t>D-13705</t>
  </si>
  <si>
    <t>D-13706</t>
  </si>
  <si>
    <t>D-13707</t>
  </si>
  <si>
    <t>D-13708</t>
  </si>
  <si>
    <t>D-13709</t>
  </si>
  <si>
    <t>D-13710</t>
  </si>
  <si>
    <t>D-13711</t>
  </si>
  <si>
    <t>D-13712</t>
  </si>
  <si>
    <t>D-13713</t>
  </si>
  <si>
    <t>D-13714</t>
  </si>
  <si>
    <t>D-13715</t>
  </si>
  <si>
    <t>D-13716</t>
  </si>
  <si>
    <t>D-13717</t>
  </si>
  <si>
    <t>D-13718</t>
  </si>
  <si>
    <t>D-13719</t>
  </si>
  <si>
    <t>D-13720</t>
  </si>
  <si>
    <t>D-13721</t>
  </si>
  <si>
    <t>D-13722</t>
  </si>
  <si>
    <t>D-13723</t>
  </si>
  <si>
    <t>D-13724</t>
  </si>
  <si>
    <t>D-13725</t>
  </si>
  <si>
    <t>D-13726</t>
  </si>
  <si>
    <t>D-13727</t>
  </si>
  <si>
    <t>D-13728</t>
  </si>
  <si>
    <t>D-13729</t>
  </si>
  <si>
    <t>D-13730</t>
  </si>
  <si>
    <t>D-13731</t>
  </si>
  <si>
    <t>D-13732</t>
  </si>
  <si>
    <t>D-13733</t>
  </si>
  <si>
    <t>D-13734</t>
  </si>
  <si>
    <t>D-13735</t>
  </si>
  <si>
    <t>D-13736</t>
  </si>
  <si>
    <t>D-13737</t>
  </si>
  <si>
    <t>D-13738</t>
  </si>
  <si>
    <t>D-13739</t>
  </si>
  <si>
    <t>D-13740</t>
  </si>
  <si>
    <t>D-13741</t>
  </si>
  <si>
    <t>D-13742</t>
  </si>
  <si>
    <t>D-13743</t>
  </si>
  <si>
    <t>D-13744</t>
  </si>
  <si>
    <t>D-13745</t>
  </si>
  <si>
    <t>D-13746</t>
  </si>
  <si>
    <t>D-13747</t>
  </si>
  <si>
    <t>D-13748</t>
  </si>
  <si>
    <t>D-13749</t>
  </si>
  <si>
    <t>D-13750</t>
  </si>
  <si>
    <t>D-13751</t>
  </si>
  <si>
    <t>D-13752</t>
  </si>
  <si>
    <t>D-13753</t>
  </si>
  <si>
    <t>D-13754</t>
  </si>
  <si>
    <t>D-13755</t>
  </si>
  <si>
    <t>D-13756</t>
  </si>
  <si>
    <t>D-13757</t>
  </si>
  <si>
    <t>D-13758</t>
  </si>
  <si>
    <t>D-13759</t>
  </si>
  <si>
    <t>D-13760</t>
  </si>
  <si>
    <t>D-13761</t>
  </si>
  <si>
    <t>D-13762</t>
  </si>
  <si>
    <t>D-13763</t>
  </si>
  <si>
    <t>D-13764</t>
  </si>
  <si>
    <t>D-13765</t>
  </si>
  <si>
    <t>D-13766</t>
  </si>
  <si>
    <t>D-13767</t>
  </si>
  <si>
    <t>D-13768</t>
  </si>
  <si>
    <t>D-13769</t>
  </si>
  <si>
    <t>D-13770</t>
  </si>
  <si>
    <t>D-13771</t>
  </si>
  <si>
    <t>D-13772</t>
  </si>
  <si>
    <t>D-13773</t>
  </si>
  <si>
    <t>D-13774</t>
  </si>
  <si>
    <t>(641)JAIME TLACOMULCO</t>
  </si>
  <si>
    <t>D-13775</t>
  </si>
  <si>
    <t>D-13776</t>
  </si>
  <si>
    <t>D-13777</t>
  </si>
  <si>
    <t>D-13778</t>
  </si>
  <si>
    <t>D-13779</t>
  </si>
  <si>
    <t>D-13780</t>
  </si>
  <si>
    <t>D-13781</t>
  </si>
  <si>
    <t>D-13782</t>
  </si>
  <si>
    <t>D-13783</t>
  </si>
  <si>
    <t>D-13784</t>
  </si>
  <si>
    <t>(331)ROBERTO ALONSO</t>
  </si>
  <si>
    <t>D-13785</t>
  </si>
  <si>
    <t>D-13786</t>
  </si>
  <si>
    <t>D-13787</t>
  </si>
  <si>
    <t>D-13788</t>
  </si>
  <si>
    <t>D-13789</t>
  </si>
  <si>
    <t>D-13790</t>
  </si>
  <si>
    <t>D-13791</t>
  </si>
  <si>
    <t>D-13792</t>
  </si>
  <si>
    <t>D-13793</t>
  </si>
  <si>
    <t>D-13794</t>
  </si>
  <si>
    <t>D-13795</t>
  </si>
  <si>
    <t>D-13796</t>
  </si>
  <si>
    <t>D-13797</t>
  </si>
  <si>
    <t>D-13798</t>
  </si>
  <si>
    <t>D-13799</t>
  </si>
  <si>
    <t>D-13800</t>
  </si>
  <si>
    <t>D-13801</t>
  </si>
  <si>
    <t>D-13802</t>
  </si>
  <si>
    <t>D-13803</t>
  </si>
  <si>
    <t>D-13804</t>
  </si>
  <si>
    <t>D-13805</t>
  </si>
  <si>
    <t>D-13806</t>
  </si>
  <si>
    <t>D-13807</t>
  </si>
  <si>
    <t>D-13808</t>
  </si>
  <si>
    <t>D-13809</t>
  </si>
  <si>
    <t>D-13810</t>
  </si>
  <si>
    <t>D-13811</t>
  </si>
  <si>
    <t>D-13812</t>
  </si>
  <si>
    <t>D-13813</t>
  </si>
  <si>
    <t>D-13814</t>
  </si>
  <si>
    <t>D-13815</t>
  </si>
  <si>
    <t>D-13816</t>
  </si>
  <si>
    <t>D-13817</t>
  </si>
  <si>
    <t>D-13818</t>
  </si>
  <si>
    <t>D-13819</t>
  </si>
  <si>
    <t>D-13820</t>
  </si>
  <si>
    <t>D-13821</t>
  </si>
  <si>
    <t>D-13822</t>
  </si>
  <si>
    <t>D-13823</t>
  </si>
  <si>
    <t>D-13824</t>
  </si>
  <si>
    <t>D-13825</t>
  </si>
  <si>
    <t>D-13826</t>
  </si>
  <si>
    <t>D-13827</t>
  </si>
  <si>
    <t>D-13828</t>
  </si>
  <si>
    <t>D-13829</t>
  </si>
  <si>
    <t>D-13830</t>
  </si>
  <si>
    <t>D-13831</t>
  </si>
  <si>
    <t>D-13832</t>
  </si>
  <si>
    <t>D-13833</t>
  </si>
  <si>
    <t>D-13834</t>
  </si>
  <si>
    <t>D-13835</t>
  </si>
  <si>
    <t>D-13836</t>
  </si>
  <si>
    <t>D-13837</t>
  </si>
  <si>
    <t>D-13838</t>
  </si>
  <si>
    <t>D-13839</t>
  </si>
  <si>
    <t>D-13840</t>
  </si>
  <si>
    <t>D-13841</t>
  </si>
  <si>
    <t>D-13842</t>
  </si>
  <si>
    <t>D-13843</t>
  </si>
  <si>
    <t>D-13844</t>
  </si>
  <si>
    <t>D-13845</t>
  </si>
  <si>
    <t>D-13846</t>
  </si>
  <si>
    <t>D-13847</t>
  </si>
  <si>
    <t>D-13848</t>
  </si>
  <si>
    <t>D-13849</t>
  </si>
  <si>
    <t>D-13850</t>
  </si>
  <si>
    <t>(580)GERARDO CARMONA  VER</t>
  </si>
  <si>
    <t>D-13851</t>
  </si>
  <si>
    <t>D-13852</t>
  </si>
  <si>
    <t>D-13853</t>
  </si>
  <si>
    <t>30/05/2017</t>
  </si>
  <si>
    <t>D-13854</t>
  </si>
  <si>
    <t>D-13855</t>
  </si>
  <si>
    <t>D-13856</t>
  </si>
  <si>
    <t>D-13857</t>
  </si>
  <si>
    <t>D-13858</t>
  </si>
  <si>
    <t>D-13859</t>
  </si>
  <si>
    <t>D-13860</t>
  </si>
  <si>
    <t>D-13861</t>
  </si>
  <si>
    <t>D-13862</t>
  </si>
  <si>
    <t>D-13863</t>
  </si>
  <si>
    <t>D-13864</t>
  </si>
  <si>
    <t>D-13865</t>
  </si>
  <si>
    <t>D-13866</t>
  </si>
  <si>
    <t>D-13867</t>
  </si>
  <si>
    <t>D-13868</t>
  </si>
  <si>
    <t>D-13869</t>
  </si>
  <si>
    <t>D-13870</t>
  </si>
  <si>
    <t>D-13871</t>
  </si>
  <si>
    <t>D-13872</t>
  </si>
  <si>
    <t>D-13873</t>
  </si>
  <si>
    <t>D-13874</t>
  </si>
  <si>
    <t>D-13875</t>
  </si>
  <si>
    <t>D-13876</t>
  </si>
  <si>
    <t>D-13877</t>
  </si>
  <si>
    <t>D-13878</t>
  </si>
  <si>
    <t>D-13879</t>
  </si>
  <si>
    <t>D-13880</t>
  </si>
  <si>
    <t>D-13881</t>
  </si>
  <si>
    <t>D-13882</t>
  </si>
  <si>
    <t>D-13883</t>
  </si>
  <si>
    <t>D-13884</t>
  </si>
  <si>
    <t>D-13885</t>
  </si>
  <si>
    <t>D-13886</t>
  </si>
  <si>
    <t>D-13887</t>
  </si>
  <si>
    <t>D-13888</t>
  </si>
  <si>
    <t>D-13889</t>
  </si>
  <si>
    <t>D-13890</t>
  </si>
  <si>
    <t>D-13891</t>
  </si>
  <si>
    <t>D-13892</t>
  </si>
  <si>
    <t>D-13893</t>
  </si>
  <si>
    <t>D-13894</t>
  </si>
  <si>
    <t>D-13895</t>
  </si>
  <si>
    <t>D-13896</t>
  </si>
  <si>
    <t>D-13897</t>
  </si>
  <si>
    <t>D-13898</t>
  </si>
  <si>
    <t>D-13899</t>
  </si>
  <si>
    <t>D-13900</t>
  </si>
  <si>
    <t>D-13901</t>
  </si>
  <si>
    <t>D-13902</t>
  </si>
  <si>
    <t>D-13903</t>
  </si>
  <si>
    <t>D-13904</t>
  </si>
  <si>
    <t>D-13905</t>
  </si>
  <si>
    <t>D-13906</t>
  </si>
  <si>
    <t>D-13907</t>
  </si>
  <si>
    <t>D-13908</t>
  </si>
  <si>
    <t>D-13909</t>
  </si>
  <si>
    <t>D-13910</t>
  </si>
  <si>
    <t>D-13911</t>
  </si>
  <si>
    <t>D-13912</t>
  </si>
  <si>
    <t>D-13913</t>
  </si>
  <si>
    <t>D-13914</t>
  </si>
  <si>
    <t>D-13915</t>
  </si>
  <si>
    <t>D-13916</t>
  </si>
  <si>
    <t>D-13917</t>
  </si>
  <si>
    <t>D-13918</t>
  </si>
  <si>
    <t>D-13919</t>
  </si>
  <si>
    <t>D-13920</t>
  </si>
  <si>
    <t>D-13921</t>
  </si>
  <si>
    <t>D-13922</t>
  </si>
  <si>
    <t>D-13923</t>
  </si>
  <si>
    <t>D-13924</t>
  </si>
  <si>
    <t>D-13925</t>
  </si>
  <si>
    <t>D-13926</t>
  </si>
  <si>
    <t>D-13927</t>
  </si>
  <si>
    <t>D-13928</t>
  </si>
  <si>
    <t>D-13929</t>
  </si>
  <si>
    <t>(455)SAGRADO SAN MANUEL</t>
  </si>
  <si>
    <t>D-13930</t>
  </si>
  <si>
    <t>D-13931</t>
  </si>
  <si>
    <t>D-13932</t>
  </si>
  <si>
    <t>D-13933</t>
  </si>
  <si>
    <t>D-13934</t>
  </si>
  <si>
    <t>D-13935</t>
  </si>
  <si>
    <t>D-13936</t>
  </si>
  <si>
    <t>D-13937</t>
  </si>
  <si>
    <t>D-13938</t>
  </si>
  <si>
    <t>D-13939</t>
  </si>
  <si>
    <t>D-13940</t>
  </si>
  <si>
    <t>D-13941</t>
  </si>
  <si>
    <t>D-13942</t>
  </si>
  <si>
    <t>D-13943</t>
  </si>
  <si>
    <t>D-13944</t>
  </si>
  <si>
    <t>D-13945</t>
  </si>
  <si>
    <t>D-13946</t>
  </si>
  <si>
    <t>D-13947</t>
  </si>
  <si>
    <t>D-13948</t>
  </si>
  <si>
    <t>D-13949</t>
  </si>
  <si>
    <t>D-13950</t>
  </si>
  <si>
    <t>D-13951</t>
  </si>
  <si>
    <t>D-13952</t>
  </si>
  <si>
    <t>D-13953</t>
  </si>
  <si>
    <t>D-13954</t>
  </si>
  <si>
    <t>D-13955</t>
  </si>
  <si>
    <t>D-13956</t>
  </si>
  <si>
    <t>D-13957</t>
  </si>
  <si>
    <t>D-13958</t>
  </si>
  <si>
    <t>D-13959</t>
  </si>
  <si>
    <t>D-13960</t>
  </si>
  <si>
    <t>D-13961</t>
  </si>
  <si>
    <t>D-13962</t>
  </si>
  <si>
    <t>D-13963</t>
  </si>
  <si>
    <t>D-13964</t>
  </si>
  <si>
    <t>D-13965</t>
  </si>
  <si>
    <t>D-13966</t>
  </si>
  <si>
    <t>D-13967</t>
  </si>
  <si>
    <t>D-13968</t>
  </si>
  <si>
    <t>D-13969</t>
  </si>
  <si>
    <t>D-13970</t>
  </si>
  <si>
    <t>D-13971</t>
  </si>
  <si>
    <t>D-13972</t>
  </si>
  <si>
    <t>D-13973</t>
  </si>
  <si>
    <t>D-13974</t>
  </si>
  <si>
    <t>D-13975</t>
  </si>
  <si>
    <t>D-13976</t>
  </si>
  <si>
    <t>D-13977</t>
  </si>
  <si>
    <t>D-13978</t>
  </si>
  <si>
    <t>D-13979</t>
  </si>
  <si>
    <t>31/05/2017</t>
  </si>
  <si>
    <t>D-13980</t>
  </si>
  <si>
    <t>D-13981</t>
  </si>
  <si>
    <t>D-13982</t>
  </si>
  <si>
    <t>D-13983</t>
  </si>
  <si>
    <t>D-13984</t>
  </si>
  <si>
    <t>D-13985</t>
  </si>
  <si>
    <t>D-13986</t>
  </si>
  <si>
    <t>D-13987</t>
  </si>
  <si>
    <t>D-13988</t>
  </si>
  <si>
    <t>D-13989</t>
  </si>
  <si>
    <t>D-13990</t>
  </si>
  <si>
    <t>D-13991</t>
  </si>
  <si>
    <t>D-13992</t>
  </si>
  <si>
    <t>D-13993</t>
  </si>
  <si>
    <t>D-13994</t>
  </si>
  <si>
    <t>D-13995</t>
  </si>
  <si>
    <t>D-13996</t>
  </si>
  <si>
    <t>D-13997</t>
  </si>
  <si>
    <t>D-13998</t>
  </si>
  <si>
    <t>D-13999</t>
  </si>
  <si>
    <t>D-14000</t>
  </si>
  <si>
    <t>D-14001</t>
  </si>
  <si>
    <t>D-14002</t>
  </si>
  <si>
    <t>D-14003</t>
  </si>
  <si>
    <t>D-14004</t>
  </si>
  <si>
    <t>D-14005</t>
  </si>
  <si>
    <t>D-14006</t>
  </si>
  <si>
    <t>D-14007</t>
  </si>
  <si>
    <t>D-14008</t>
  </si>
  <si>
    <t>D-14009</t>
  </si>
  <si>
    <t>D-14010</t>
  </si>
  <si>
    <t>D-14011</t>
  </si>
  <si>
    <t>D-14012</t>
  </si>
  <si>
    <t>D-14013</t>
  </si>
  <si>
    <t>D-14014</t>
  </si>
  <si>
    <t>D-14015</t>
  </si>
  <si>
    <t>(37)JUAN ARRIAGA</t>
  </si>
  <si>
    <t>D-14016</t>
  </si>
  <si>
    <t>D-14017</t>
  </si>
  <si>
    <t>D-14018</t>
  </si>
  <si>
    <t>D-14019</t>
  </si>
  <si>
    <t>D-14020</t>
  </si>
  <si>
    <t>D-14021</t>
  </si>
  <si>
    <t>D-14022</t>
  </si>
  <si>
    <t>D-14023</t>
  </si>
  <si>
    <t>D-14024</t>
  </si>
  <si>
    <t>D-14025</t>
  </si>
  <si>
    <t>D-14026</t>
  </si>
  <si>
    <t>D-14027</t>
  </si>
  <si>
    <t>D-14028</t>
  </si>
  <si>
    <t>D-14029</t>
  </si>
  <si>
    <t>D-14030</t>
  </si>
  <si>
    <t>D-14031</t>
  </si>
  <si>
    <t>D-14032</t>
  </si>
  <si>
    <t>D-14033</t>
  </si>
  <si>
    <t>D-14034</t>
  </si>
  <si>
    <t>D-14035</t>
  </si>
  <si>
    <t>D-14036</t>
  </si>
  <si>
    <t>D-14037</t>
  </si>
  <si>
    <t>D-14038</t>
  </si>
  <si>
    <t>D-14039</t>
  </si>
  <si>
    <t>D-14040</t>
  </si>
  <si>
    <t>D-14041</t>
  </si>
  <si>
    <t>D-14042</t>
  </si>
  <si>
    <t>D-14043</t>
  </si>
  <si>
    <t>D-14044</t>
  </si>
  <si>
    <t>D-14045</t>
  </si>
  <si>
    <t>D-14046</t>
  </si>
  <si>
    <t>D-14047</t>
  </si>
  <si>
    <t>D-14048</t>
  </si>
  <si>
    <t>D-14049</t>
  </si>
  <si>
    <t>D-14050</t>
  </si>
  <si>
    <t>D-14051</t>
  </si>
  <si>
    <t>D-14052</t>
  </si>
  <si>
    <t>D-14053</t>
  </si>
  <si>
    <t>D-14054</t>
  </si>
  <si>
    <t>D-14055</t>
  </si>
  <si>
    <t>D-14056</t>
  </si>
  <si>
    <t>D-14057</t>
  </si>
  <si>
    <t>D-14058</t>
  </si>
  <si>
    <t>D-14059</t>
  </si>
  <si>
    <t>D-14060</t>
  </si>
  <si>
    <t>D-14061</t>
  </si>
  <si>
    <t>D-14062</t>
  </si>
  <si>
    <t>D-14063</t>
  </si>
  <si>
    <t>D-14064</t>
  </si>
  <si>
    <t>D-14065</t>
  </si>
  <si>
    <t>D-14066</t>
  </si>
  <si>
    <t>D-14067</t>
  </si>
  <si>
    <t>D-14068</t>
  </si>
  <si>
    <t>D-14069</t>
  </si>
  <si>
    <t>D-14070</t>
  </si>
  <si>
    <t>D-14071</t>
  </si>
  <si>
    <t>D-14072</t>
  </si>
  <si>
    <t>D-14073</t>
  </si>
  <si>
    <t>D-14074</t>
  </si>
  <si>
    <t>D-14075</t>
  </si>
  <si>
    <t>D-14076</t>
  </si>
  <si>
    <t>D-14077</t>
  </si>
  <si>
    <t>D-14078</t>
  </si>
  <si>
    <t>D-14079</t>
  </si>
  <si>
    <t>D-14080</t>
  </si>
  <si>
    <t>D-14081</t>
  </si>
  <si>
    <t>D-14082</t>
  </si>
  <si>
    <t>D-14083</t>
  </si>
  <si>
    <t>D-14084</t>
  </si>
  <si>
    <t>D-14085</t>
  </si>
  <si>
    <t>D-14086</t>
  </si>
  <si>
    <t>D-14087</t>
  </si>
  <si>
    <t>D-14088</t>
  </si>
  <si>
    <t>D-14089</t>
  </si>
  <si>
    <t>D-14090</t>
  </si>
  <si>
    <t>D-14091</t>
  </si>
  <si>
    <t>D-14092</t>
  </si>
  <si>
    <t>D-14093</t>
  </si>
  <si>
    <t>D-14094</t>
  </si>
  <si>
    <t>D-14095</t>
  </si>
  <si>
    <t>D-14096</t>
  </si>
  <si>
    <t>D-14097</t>
  </si>
  <si>
    <t>D-14098</t>
  </si>
  <si>
    <t>D-14099</t>
  </si>
  <si>
    <t>D-14100</t>
  </si>
  <si>
    <t>D-14101</t>
  </si>
  <si>
    <t>D-14102</t>
  </si>
  <si>
    <t>D-14103</t>
  </si>
  <si>
    <t>D-14104</t>
  </si>
  <si>
    <t>D-14105</t>
  </si>
  <si>
    <t>25-May-17----01-Jun-17</t>
  </si>
  <si>
    <t>30-May-17-----01-jun-17</t>
  </si>
  <si>
    <t>31-May-17-----01-Jun-17</t>
  </si>
  <si>
    <t>31-May-17----01-Jun-17</t>
  </si>
  <si>
    <t>29-May9-17------01-Jun-17</t>
  </si>
  <si>
    <t>15-May-17----02-Jun-17</t>
  </si>
  <si>
    <t>26-May-17-----02-Jun-17</t>
  </si>
  <si>
    <t>26-MAY-17----02-Jun-17</t>
  </si>
  <si>
    <t>31-May-17---1-Jun-17---02-Jun-17</t>
  </si>
  <si>
    <t>31-May-17----02-Jun-17</t>
  </si>
  <si>
    <t>1-Jun-17----02-Jun-17</t>
  </si>
  <si>
    <t>2-Jun-17----03-Jun-17</t>
  </si>
  <si>
    <t>1-Jun-17----03-Jun-17</t>
  </si>
  <si>
    <t>1-Jun-17--2-Jun-17----04-Jun-17</t>
  </si>
  <si>
    <t>27-May-17-----05-Jun-17</t>
  </si>
  <si>
    <t>29-May-17----05-Jun-17</t>
  </si>
  <si>
    <t>2-Jun-17-----05-Jun-17</t>
  </si>
  <si>
    <t>11-May-17---06-Jun-17</t>
  </si>
  <si>
    <t>5-Jun-17--06-Jun-17</t>
  </si>
  <si>
    <t xml:space="preserve">     </t>
  </si>
  <si>
    <t>2-Jun-17----07-Jun-17</t>
  </si>
  <si>
    <t>6-Jun-17----08-Jun-17</t>
  </si>
  <si>
    <t>7-Jun-17--09-Jun-17</t>
  </si>
  <si>
    <t>10/03/2017 25/02/2017 19/04/2017--26-Abr-17--05-May-17--12-May-17--19-May-17--24-May-17--28-May-17--31-May-17--1-JUN-17---3-Jun-17--8-Jun-17-15-Jun-17</t>
  </si>
  <si>
    <t>8-Jun-17----15-Jun-17</t>
  </si>
  <si>
    <t>1-jun-17---16-Jun-17</t>
  </si>
  <si>
    <t>31-May-17----16-Jun-17</t>
  </si>
  <si>
    <t>28/03/2017 03/04/2017 18/04/2017 24/04/2017--1-JUN-17--17-Jun-17</t>
  </si>
  <si>
    <t>Fecha-Compra</t>
  </si>
  <si>
    <t>Rem.Cred.</t>
  </si>
  <si>
    <t>SERIE</t>
  </si>
  <si>
    <t>Nombre-Cliente</t>
  </si>
  <si>
    <t>Importe</t>
  </si>
  <si>
    <t>FECHA DE PAGO</t>
  </si>
  <si>
    <t>IMPORTE PAGADO</t>
  </si>
  <si>
    <t>Estado</t>
  </si>
  <si>
    <t>27/06/2017</t>
  </si>
  <si>
    <t>D</t>
  </si>
  <si>
    <t>CAN</t>
  </si>
  <si>
    <t>28/06/2017</t>
  </si>
  <si>
    <t>(28)CARTON</t>
  </si>
  <si>
    <t>(0)MOSTRADOR MENUDEO</t>
  </si>
  <si>
    <t>Liq</t>
  </si>
  <si>
    <t>01-Jun-17---2-Jun-17</t>
  </si>
  <si>
    <t>(135)LUIS MANUEL GOMEZ</t>
  </si>
  <si>
    <t>04-Jun-17--5-Jun-17</t>
  </si>
  <si>
    <t>6-Jun-17--15-Jun-17</t>
  </si>
  <si>
    <t>02-Jun-17--5-Jun-17</t>
  </si>
  <si>
    <t>5-Jun-17---6-Jun-17</t>
  </si>
  <si>
    <t>5-Jun-17--14-Jun-17</t>
  </si>
  <si>
    <t>03-Jun-17--4-Jun-17</t>
  </si>
  <si>
    <t>(690)CARNES Y EMBUTIDOS DELEITA</t>
  </si>
  <si>
    <t>Par</t>
  </si>
  <si>
    <t>09-Jun-17--12-Jun-17</t>
  </si>
  <si>
    <t>6-Jun-17--7-Jun-17</t>
  </si>
  <si>
    <t>03-Jun-17--12-Jun-17</t>
  </si>
  <si>
    <t>07-Jun-17--8-Jun-17</t>
  </si>
  <si>
    <t>(150)CELEDONIO</t>
  </si>
  <si>
    <t>6-JUN-17--8-JuN-17</t>
  </si>
  <si>
    <t>(560)JOSE REFUGIO</t>
  </si>
  <si>
    <t>(521)JOSE HERNANDEZ</t>
  </si>
  <si>
    <t>15-Jun-17--25-Jun-17</t>
  </si>
  <si>
    <t>08-Jun-17--10-Jun-17</t>
  </si>
  <si>
    <t>9-Jun-17--10-Jun-17</t>
  </si>
  <si>
    <t>(279)JOVANI JIMENEZ</t>
  </si>
  <si>
    <t>(32)ANGEL ALFONSO</t>
  </si>
  <si>
    <t>sin original sin azul</t>
  </si>
  <si>
    <t>(406)FRANCISCO OCHOA</t>
  </si>
  <si>
    <t>8-Jun-17--10-Jun-17</t>
  </si>
  <si>
    <t>impresa en la 15049 FISICA LA 15050  CANCELADA</t>
  </si>
  <si>
    <t>COSTA DE ORO</t>
  </si>
  <si>
    <t>Tengo el juego completo de la remision</t>
  </si>
  <si>
    <t>08-Jun-17--9-Jun-17--10-Jun-17--11-Jun-17--12-Jun-17</t>
  </si>
  <si>
    <t>12-Jun-17--19-Jun-17</t>
  </si>
  <si>
    <t>19-Jun-17--25-Jun-17--26-Jun-17</t>
  </si>
  <si>
    <t>9-Jun-17--16-Jun-17</t>
  </si>
  <si>
    <t>(241)CONSUELO PADILLA</t>
  </si>
  <si>
    <t>10-Jun-17---11-Jun-17</t>
  </si>
  <si>
    <t>12-Jun-17--13-Jun-17</t>
  </si>
  <si>
    <t>13-Jun-17--14-Jun-17</t>
  </si>
  <si>
    <t>16-Jun-17---23-Jun-17</t>
  </si>
  <si>
    <t>16-Jun-17--23-Jun-17</t>
  </si>
  <si>
    <t>FALTO COPIA AZUL</t>
  </si>
  <si>
    <t>10-Jun-17--12-Jun-17</t>
  </si>
  <si>
    <t>12-Jun-17--15-Jun-17</t>
  </si>
  <si>
    <t>(302)GUARNEROS</t>
  </si>
  <si>
    <t>(127)JOSE MANUEL</t>
  </si>
  <si>
    <t>14-Jun-17--17-Jun-17</t>
  </si>
  <si>
    <t>15-Jun-17--16-Jun-17</t>
  </si>
  <si>
    <t>14-Jun-17--15-Jun-17</t>
  </si>
  <si>
    <t>15-Jun-17--16-Jun-17--17-Jun-17</t>
  </si>
  <si>
    <t>16-Jun-17--17-Jun-17</t>
  </si>
  <si>
    <t>15-Jun-17--26-Jun-17</t>
  </si>
  <si>
    <t>15-Jun-17--17-Jun-17</t>
  </si>
  <si>
    <t>14-Jun-17--16-Jun-17</t>
  </si>
  <si>
    <t>13-Jun-17--15-Jun-17</t>
  </si>
  <si>
    <t>16-Jun-17--19-Jun-17</t>
  </si>
  <si>
    <t>24-Jun-17--27-Jun-17</t>
  </si>
  <si>
    <t>17-Jun-17--22-Jun-17</t>
  </si>
  <si>
    <t>17-Jun-17--19-Jun-17</t>
  </si>
  <si>
    <t>19-Jun-17--29-Jun-17</t>
  </si>
  <si>
    <t>19-Jun-17--20-Jun-17</t>
  </si>
  <si>
    <t>(601)RAUL ROCHA</t>
  </si>
  <si>
    <t>23-Jun-17--29-Jun-17</t>
  </si>
  <si>
    <t>17-Jun-17--18-Jun-17</t>
  </si>
  <si>
    <t>17-Jun-17--23-Jun-17</t>
  </si>
  <si>
    <t>Fisicamente la D-16289  Igual CANCELADA</t>
  </si>
  <si>
    <r>
      <t xml:space="preserve">(592)RENE  </t>
    </r>
    <r>
      <rPr>
        <b/>
        <sz val="12"/>
        <color rgb="FF3333FF"/>
        <rFont val="Calibri"/>
        <family val="2"/>
        <scheme val="minor"/>
      </rPr>
      <t xml:space="preserve"> IMPRESA EN LA D-16290</t>
    </r>
  </si>
  <si>
    <r>
      <t xml:space="preserve">(533)VENTA DE MOSTRADOR  </t>
    </r>
    <r>
      <rPr>
        <b/>
        <sz val="12"/>
        <color rgb="FF3333FF"/>
        <rFont val="Calibri"/>
        <family val="2"/>
        <scheme val="minor"/>
      </rPr>
      <t>VALOR DE LA D-16289</t>
    </r>
  </si>
  <si>
    <t>20-Jun-17--21-Jun-17</t>
  </si>
  <si>
    <t>18-Jun-17--19-Jun-19</t>
  </si>
  <si>
    <t>22-Jun-17--23-Jun-17</t>
  </si>
  <si>
    <t>20-Jun-17--23-Jun-17</t>
  </si>
  <si>
    <t>(692)ROCIO VEGA</t>
  </si>
  <si>
    <t>(30)FERNANDO  TENORIO</t>
  </si>
  <si>
    <t>(60)SEBASTIAN NEATITLAN</t>
  </si>
  <si>
    <t>(142)ARMANDO UROZA</t>
  </si>
  <si>
    <t>(574)CARNES SELECTAS AXAPUSCO S.A. DE C.V</t>
  </si>
  <si>
    <t>(676)BENJAMIN ALVA</t>
  </si>
  <si>
    <t>23-Jun-17--24-Jun-17</t>
  </si>
  <si>
    <t>(339)CHINOS MALASIA</t>
  </si>
  <si>
    <t>(315)BERNARDO JIMENEZ MARTINEZ</t>
  </si>
  <si>
    <t>26-Jun-17--28-Jun-17</t>
  </si>
  <si>
    <t>26-Jun-17--27-Jun-17</t>
  </si>
  <si>
    <t>23-Jun-17--30-Jun-17</t>
  </si>
  <si>
    <t>(661)SERVICIO ALATRISTE SA DE CV</t>
  </si>
  <si>
    <t>23-Jun-17--24-Jun-17-25-Jun-17--26-Jun -17--27-Jun-17</t>
  </si>
  <si>
    <t>(18)RAY LOPEZ</t>
  </si>
  <si>
    <t>(668)TAQUERIA SANTA CLARA</t>
  </si>
  <si>
    <t>(644)BRAYAN RAMIREZ</t>
  </si>
  <si>
    <t>24-Jun-17--26-Jun-17</t>
  </si>
  <si>
    <t>27-Jun-17--28-Jun-17--29-Jun-17--30-Jun-17</t>
  </si>
  <si>
    <t>27-Jun-17--28-Jun-17</t>
  </si>
  <si>
    <t>(218)PROSUBCA S.A DE C.V</t>
  </si>
  <si>
    <t>(257)ALFONSO RUIZ</t>
  </si>
  <si>
    <t>(119)JUAN MORALES</t>
  </si>
  <si>
    <t>(83)LOS PRIMOS</t>
  </si>
  <si>
    <t>28-Jun-17--30-Jun-17</t>
  </si>
  <si>
    <t>29-Jun-17--30-Jun-17</t>
  </si>
  <si>
    <t>(389)GONZALO</t>
  </si>
  <si>
    <t>(493)GIL 5 MAYO</t>
  </si>
  <si>
    <t>(170)FELIX  VERACRUZ</t>
  </si>
  <si>
    <t xml:space="preserve">T O T A L E S  </t>
  </si>
  <si>
    <t xml:space="preserve">  </t>
  </si>
  <si>
    <t>27-May-17--3-Jun-17--10-Jun -17----01-Jul-17</t>
  </si>
  <si>
    <t>TOTAL</t>
  </si>
  <si>
    <t>22-Jun-17--1-Jul-17</t>
  </si>
  <si>
    <t>26-Jun-17--1-Jul-17</t>
  </si>
  <si>
    <t>27-Jun-17--30-Jun-17--1-Jul-17</t>
  </si>
  <si>
    <t>30-Jun-17--1-Jul-17</t>
  </si>
  <si>
    <t>29-Jun-17--30-Jun-17--1-Jul-17--2-Jul-17</t>
  </si>
  <si>
    <t>30-Jun-17--3-Jul-17</t>
  </si>
  <si>
    <t>1-Jul-17--3-Jul-17</t>
  </si>
  <si>
    <t>28-Jun-17--4-Jul-17</t>
  </si>
  <si>
    <t>26-Jun-17--4-Jul-17</t>
  </si>
  <si>
    <t>3-Jul-17--4-Jul-17</t>
  </si>
  <si>
    <t>14-Jun-17--16-Jun-17--21-Jun-17--5-Jul-17</t>
  </si>
  <si>
    <t>1-Jul-17--5-Jul-17</t>
  </si>
  <si>
    <t>4-Jul-17--6-Jul-17</t>
  </si>
  <si>
    <t>4-Jul-17--8-Jul-17</t>
  </si>
  <si>
    <t>6-Jul-17--10-Jul-17</t>
  </si>
  <si>
    <t>10-Jul-17--13-Jul-17</t>
  </si>
  <si>
    <t>30-Jun-17--14-Jul-17</t>
  </si>
  <si>
    <t>28-Jun-17--29-Jun-17--14-Jul-17</t>
  </si>
  <si>
    <t>29-Jun-17--15-Jul-17</t>
  </si>
  <si>
    <t>13-Jul-17--17-Jul-17</t>
  </si>
  <si>
    <t>29-Jun-17--18-Jul-17</t>
  </si>
  <si>
    <t>10-Jul-17--22-jul-17</t>
  </si>
  <si>
    <t>24-Jul-17  20-Ene, 2018</t>
  </si>
  <si>
    <t>28-Jul-17---22/08/2018</t>
  </si>
  <si>
    <t>22-Jul-17--28-Jul-17</t>
  </si>
  <si>
    <t>Fecha</t>
  </si>
  <si>
    <t>Folio-Serie</t>
  </si>
  <si>
    <t>Folio-Remision</t>
  </si>
  <si>
    <t>Fecha-Pago</t>
  </si>
  <si>
    <t>Pagado</t>
  </si>
  <si>
    <t>Saldo</t>
  </si>
  <si>
    <t>D-18156</t>
  </si>
  <si>
    <t>D-18157</t>
  </si>
  <si>
    <t>D-18158</t>
  </si>
  <si>
    <t>D-18159</t>
  </si>
  <si>
    <t>D-18160</t>
  </si>
  <si>
    <t>D-18161</t>
  </si>
  <si>
    <t>D-18162</t>
  </si>
  <si>
    <t>D-18163</t>
  </si>
  <si>
    <t>4-Jul-17--05-Jul-17</t>
  </si>
  <si>
    <t>D-18164</t>
  </si>
  <si>
    <t>D-18165</t>
  </si>
  <si>
    <t>D-18166</t>
  </si>
  <si>
    <t>D-18167</t>
  </si>
  <si>
    <t>D-18168</t>
  </si>
  <si>
    <t>D-18169</t>
  </si>
  <si>
    <t>D-18170</t>
  </si>
  <si>
    <t>D-18171</t>
  </si>
  <si>
    <t>D-18172</t>
  </si>
  <si>
    <t>1-Jul-17--04-Jul-17</t>
  </si>
  <si>
    <t>D-18173</t>
  </si>
  <si>
    <t>D-18174</t>
  </si>
  <si>
    <t>D-18175</t>
  </si>
  <si>
    <t>17-Jul-17--23-Jul-17</t>
  </si>
  <si>
    <t>D-18176</t>
  </si>
  <si>
    <t>D-18177</t>
  </si>
  <si>
    <t>D-18178</t>
  </si>
  <si>
    <t>D-18179</t>
  </si>
  <si>
    <t>D-18180</t>
  </si>
  <si>
    <t>D-18181</t>
  </si>
  <si>
    <t>/  /</t>
  </si>
  <si>
    <t>D-18182</t>
  </si>
  <si>
    <t>D-18183</t>
  </si>
  <si>
    <t>D-18184</t>
  </si>
  <si>
    <t>D-18185</t>
  </si>
  <si>
    <t>D-18186</t>
  </si>
  <si>
    <t>D-18187</t>
  </si>
  <si>
    <t>D-18188</t>
  </si>
  <si>
    <t>D-18189</t>
  </si>
  <si>
    <t>D-18190</t>
  </si>
  <si>
    <t>D-18191</t>
  </si>
  <si>
    <t>D-18192</t>
  </si>
  <si>
    <t>D-18193</t>
  </si>
  <si>
    <t>D-18194</t>
  </si>
  <si>
    <t>D-18195</t>
  </si>
  <si>
    <t>D-18196</t>
  </si>
  <si>
    <t>D-18197</t>
  </si>
  <si>
    <t>D-18198</t>
  </si>
  <si>
    <t>D-18199</t>
  </si>
  <si>
    <t>D-18200</t>
  </si>
  <si>
    <t>D-18201</t>
  </si>
  <si>
    <t>D-18202</t>
  </si>
  <si>
    <t>D-18203</t>
  </si>
  <si>
    <t>D-18204</t>
  </si>
  <si>
    <t>D-18205</t>
  </si>
  <si>
    <t>D-18206</t>
  </si>
  <si>
    <t>D-18207</t>
  </si>
  <si>
    <t>D-18208</t>
  </si>
  <si>
    <t>D-18209</t>
  </si>
  <si>
    <t>D-18210</t>
  </si>
  <si>
    <t>D-18211</t>
  </si>
  <si>
    <t>D-18212</t>
  </si>
  <si>
    <t>D-18213</t>
  </si>
  <si>
    <t>D-18214</t>
  </si>
  <si>
    <t>D-18215</t>
  </si>
  <si>
    <t>D-18216</t>
  </si>
  <si>
    <t>D-18217</t>
  </si>
  <si>
    <t>D-18218</t>
  </si>
  <si>
    <t>D-18219</t>
  </si>
  <si>
    <t>D-18220</t>
  </si>
  <si>
    <t>D-18221</t>
  </si>
  <si>
    <t>D-18222</t>
  </si>
  <si>
    <t>D-18223</t>
  </si>
  <si>
    <t>D-18224</t>
  </si>
  <si>
    <t>D-18225</t>
  </si>
  <si>
    <t>D-18226</t>
  </si>
  <si>
    <t>D-18227</t>
  </si>
  <si>
    <t>D-18228</t>
  </si>
  <si>
    <t>D-18229</t>
  </si>
  <si>
    <t>D-18230</t>
  </si>
  <si>
    <t>D-18231</t>
  </si>
  <si>
    <t>D-18232</t>
  </si>
  <si>
    <t>D-18233</t>
  </si>
  <si>
    <t>D-18234</t>
  </si>
  <si>
    <t>D-18235</t>
  </si>
  <si>
    <t>D-18236</t>
  </si>
  <si>
    <t>D-18237</t>
  </si>
  <si>
    <t>D-18238</t>
  </si>
  <si>
    <t>D-18239</t>
  </si>
  <si>
    <t>D-18240</t>
  </si>
  <si>
    <t>D-18241</t>
  </si>
  <si>
    <t>3-717</t>
  </si>
  <si>
    <t>D-18242</t>
  </si>
  <si>
    <t>D-18243</t>
  </si>
  <si>
    <t>D-18244</t>
  </si>
  <si>
    <t>D-18245</t>
  </si>
  <si>
    <t>D-18246</t>
  </si>
  <si>
    <t>D-18247</t>
  </si>
  <si>
    <t>D-18248</t>
  </si>
  <si>
    <t>D-18249</t>
  </si>
  <si>
    <t>D-18250</t>
  </si>
  <si>
    <t>D-18251</t>
  </si>
  <si>
    <t>D-18252</t>
  </si>
  <si>
    <t>D-18253</t>
  </si>
  <si>
    <t>D-18254</t>
  </si>
  <si>
    <t>D-18255</t>
  </si>
  <si>
    <t>D-18256</t>
  </si>
  <si>
    <t>D-18257</t>
  </si>
  <si>
    <t>D-18258</t>
  </si>
  <si>
    <t>D-18259</t>
  </si>
  <si>
    <t>D-18260</t>
  </si>
  <si>
    <t>D-18261</t>
  </si>
  <si>
    <t>D-18262</t>
  </si>
  <si>
    <t>D-18263</t>
  </si>
  <si>
    <t>D-18264</t>
  </si>
  <si>
    <t>D-18265</t>
  </si>
  <si>
    <t>D-18266</t>
  </si>
  <si>
    <t>(306)JAVIER HERRERA</t>
  </si>
  <si>
    <t>D-18267</t>
  </si>
  <si>
    <t>D-18268</t>
  </si>
  <si>
    <t>D-18269</t>
  </si>
  <si>
    <t>D-18270</t>
  </si>
  <si>
    <t>D-18271</t>
  </si>
  <si>
    <t>D-18272</t>
  </si>
  <si>
    <t>D-18273</t>
  </si>
  <si>
    <t>D-18274</t>
  </si>
  <si>
    <t>D-18275</t>
  </si>
  <si>
    <t>D-18276</t>
  </si>
  <si>
    <t>D-18277</t>
  </si>
  <si>
    <t>D-18278</t>
  </si>
  <si>
    <t>D-18279</t>
  </si>
  <si>
    <t>D-18280</t>
  </si>
  <si>
    <t>D-18281</t>
  </si>
  <si>
    <t>D-18282</t>
  </si>
  <si>
    <t>D-18283</t>
  </si>
  <si>
    <t>D-18284</t>
  </si>
  <si>
    <t>D-18285</t>
  </si>
  <si>
    <t>D-18286</t>
  </si>
  <si>
    <t>23/07/2017</t>
  </si>
  <si>
    <t>D-18287</t>
  </si>
  <si>
    <t>D-18288</t>
  </si>
  <si>
    <t>D-18289</t>
  </si>
  <si>
    <t>D-18290</t>
  </si>
  <si>
    <t>(110)SAGRADO CORAZON CENTRO  $  24,405.00</t>
  </si>
  <si>
    <t>falto original y copia azul</t>
  </si>
  <si>
    <t>D-18291</t>
  </si>
  <si>
    <t>D-18292</t>
  </si>
  <si>
    <t>D-18293</t>
  </si>
  <si>
    <t>(451)SERGIO LEDO</t>
  </si>
  <si>
    <t>D-18294</t>
  </si>
  <si>
    <t>D-18295</t>
  </si>
  <si>
    <t>D-18296</t>
  </si>
  <si>
    <t>D-18297</t>
  </si>
  <si>
    <t>D-18298</t>
  </si>
  <si>
    <t>D-18299</t>
  </si>
  <si>
    <t>D-18300</t>
  </si>
  <si>
    <t>D-18301</t>
  </si>
  <si>
    <t>D-18302</t>
  </si>
  <si>
    <t>D-18303</t>
  </si>
  <si>
    <t>D-18304</t>
  </si>
  <si>
    <t>D-18305</t>
  </si>
  <si>
    <t>D-18306</t>
  </si>
  <si>
    <t>D-18307</t>
  </si>
  <si>
    <t>D-18308</t>
  </si>
  <si>
    <t>D-18309</t>
  </si>
  <si>
    <t>D-18310</t>
  </si>
  <si>
    <t>D-18311</t>
  </si>
  <si>
    <t>D-18312</t>
  </si>
  <si>
    <t>D-18313</t>
  </si>
  <si>
    <t>D-18314</t>
  </si>
  <si>
    <t>D-18315</t>
  </si>
  <si>
    <t>D-18316</t>
  </si>
  <si>
    <t>D-18317</t>
  </si>
  <si>
    <t>D-18318</t>
  </si>
  <si>
    <t>D-18319</t>
  </si>
  <si>
    <t>D-18320</t>
  </si>
  <si>
    <t>D-18321</t>
  </si>
  <si>
    <t>D-18322</t>
  </si>
  <si>
    <t>D-18323</t>
  </si>
  <si>
    <t>D-18324</t>
  </si>
  <si>
    <t>D-18325</t>
  </si>
  <si>
    <t>D-18326</t>
  </si>
  <si>
    <t>D-18327</t>
  </si>
  <si>
    <t>D-18328</t>
  </si>
  <si>
    <t>D-18329</t>
  </si>
  <si>
    <t>D-18330</t>
  </si>
  <si>
    <t>D-18331</t>
  </si>
  <si>
    <t>D-18332</t>
  </si>
  <si>
    <t>D-18333</t>
  </si>
  <si>
    <t>D-18334</t>
  </si>
  <si>
    <t>D-18335</t>
  </si>
  <si>
    <t>D-18336</t>
  </si>
  <si>
    <t>D-18337</t>
  </si>
  <si>
    <t>D-18338</t>
  </si>
  <si>
    <t>2-Jul-17--06-Jul-17</t>
  </si>
  <si>
    <t>D-18339</t>
  </si>
  <si>
    <t>D-18340</t>
  </si>
  <si>
    <t>D-18341</t>
  </si>
  <si>
    <t>D-18342</t>
  </si>
  <si>
    <t>D-18343</t>
  </si>
  <si>
    <t>D-18344</t>
  </si>
  <si>
    <t>D-18345</t>
  </si>
  <si>
    <t>D-18346</t>
  </si>
  <si>
    <t>D-18347</t>
  </si>
  <si>
    <t>D-18348</t>
  </si>
  <si>
    <t>D-18349</t>
  </si>
  <si>
    <t>D-18350</t>
  </si>
  <si>
    <t>D-18351</t>
  </si>
  <si>
    <t>D-18352</t>
  </si>
  <si>
    <t>D-18353</t>
  </si>
  <si>
    <t>D-18354</t>
  </si>
  <si>
    <t>D-18355</t>
  </si>
  <si>
    <t>D-18356</t>
  </si>
  <si>
    <t>D-18357</t>
  </si>
  <si>
    <t>D-18358</t>
  </si>
  <si>
    <t>D-18359</t>
  </si>
  <si>
    <t>D-18360</t>
  </si>
  <si>
    <t>D-18361</t>
  </si>
  <si>
    <t>D-18362</t>
  </si>
  <si>
    <t>D-18363</t>
  </si>
  <si>
    <t>D-18364</t>
  </si>
  <si>
    <t>D-18365</t>
  </si>
  <si>
    <t>D-18366</t>
  </si>
  <si>
    <t>D-18367</t>
  </si>
  <si>
    <t>D-18368</t>
  </si>
  <si>
    <t>D-18369</t>
  </si>
  <si>
    <t>D-18370</t>
  </si>
  <si>
    <t>D-18371</t>
  </si>
  <si>
    <t>D-18372</t>
  </si>
  <si>
    <t>D-18373</t>
  </si>
  <si>
    <t>D-18374</t>
  </si>
  <si>
    <t>D-18375</t>
  </si>
  <si>
    <t>D-18376</t>
  </si>
  <si>
    <t>D-18377</t>
  </si>
  <si>
    <t>D-18378</t>
  </si>
  <si>
    <t>D-18379</t>
  </si>
  <si>
    <t>D-18380</t>
  </si>
  <si>
    <t>D-18381</t>
  </si>
  <si>
    <t>D-18382</t>
  </si>
  <si>
    <t>D-18383</t>
  </si>
  <si>
    <t>D-18384</t>
  </si>
  <si>
    <t>D-18385</t>
  </si>
  <si>
    <t>D-18386</t>
  </si>
  <si>
    <t>D-18387</t>
  </si>
  <si>
    <t>D-18388</t>
  </si>
  <si>
    <t>D-18389</t>
  </si>
  <si>
    <t>D-18390</t>
  </si>
  <si>
    <t>D-18391</t>
  </si>
  <si>
    <t>D-18392</t>
  </si>
  <si>
    <t>D-18393</t>
  </si>
  <si>
    <t>D-18394</t>
  </si>
  <si>
    <t>D-18395</t>
  </si>
  <si>
    <t>D-18396</t>
  </si>
  <si>
    <t>D-18397</t>
  </si>
  <si>
    <t>D-18398</t>
  </si>
  <si>
    <t>5-Jul-17--06-Jul-17</t>
  </si>
  <si>
    <t>D-18399</t>
  </si>
  <si>
    <t>D-18400</t>
  </si>
  <si>
    <t>D-18401</t>
  </si>
  <si>
    <t>D-18402</t>
  </si>
  <si>
    <t>D-18403</t>
  </si>
  <si>
    <t>D-18404</t>
  </si>
  <si>
    <t>D-18405</t>
  </si>
  <si>
    <t>D-18406</t>
  </si>
  <si>
    <t>D-18407</t>
  </si>
  <si>
    <t>D-18408</t>
  </si>
  <si>
    <t>D-18409</t>
  </si>
  <si>
    <t>D-18410</t>
  </si>
  <si>
    <t>D-18411</t>
  </si>
  <si>
    <t>22/08/2018</t>
  </si>
  <si>
    <t>D-18412</t>
  </si>
  <si>
    <t>D-18413</t>
  </si>
  <si>
    <t>D-18414</t>
  </si>
  <si>
    <t>D-18415</t>
  </si>
  <si>
    <t>5-Jul-17--6-Jul-17--08-Jul-17</t>
  </si>
  <si>
    <t>D-18416</t>
  </si>
  <si>
    <t>D-18417</t>
  </si>
  <si>
    <t>D-18418</t>
  </si>
  <si>
    <t>D-18419</t>
  </si>
  <si>
    <t>D-18420</t>
  </si>
  <si>
    <t>D-18421</t>
  </si>
  <si>
    <t>D-18422</t>
  </si>
  <si>
    <t>D-18423</t>
  </si>
  <si>
    <t>D-18424</t>
  </si>
  <si>
    <t>D-18425</t>
  </si>
  <si>
    <t>D-18426</t>
  </si>
  <si>
    <t>D-18427</t>
  </si>
  <si>
    <t>D-18428</t>
  </si>
  <si>
    <t>D-18429</t>
  </si>
  <si>
    <t>D-18430</t>
  </si>
  <si>
    <t>D-18431</t>
  </si>
  <si>
    <t>D-18432</t>
  </si>
  <si>
    <t>D-18433</t>
  </si>
  <si>
    <t>D-18434</t>
  </si>
  <si>
    <t>D-18435</t>
  </si>
  <si>
    <t>D-18436</t>
  </si>
  <si>
    <t>D-18437</t>
  </si>
  <si>
    <t>D-18438</t>
  </si>
  <si>
    <t>D-18439</t>
  </si>
  <si>
    <t>D-18440</t>
  </si>
  <si>
    <t>D-18441</t>
  </si>
  <si>
    <t>D-18442</t>
  </si>
  <si>
    <t>D-18443</t>
  </si>
  <si>
    <t>D-18444</t>
  </si>
  <si>
    <t>D-18445</t>
  </si>
  <si>
    <t>D-18446</t>
  </si>
  <si>
    <t>D-18447</t>
  </si>
  <si>
    <t>D-18448</t>
  </si>
  <si>
    <t>D-18449</t>
  </si>
  <si>
    <t>D-18450</t>
  </si>
  <si>
    <t>D-18451</t>
  </si>
  <si>
    <t>D-18452</t>
  </si>
  <si>
    <t>D-18453</t>
  </si>
  <si>
    <t>D-18454</t>
  </si>
  <si>
    <t>D-18455</t>
  </si>
  <si>
    <t>D-18456</t>
  </si>
  <si>
    <t>D-18457</t>
  </si>
  <si>
    <t>D-18458</t>
  </si>
  <si>
    <t>D-18459</t>
  </si>
  <si>
    <t>D-18460</t>
  </si>
  <si>
    <t>D-18461</t>
  </si>
  <si>
    <t>D-18462</t>
  </si>
  <si>
    <t>D-18463</t>
  </si>
  <si>
    <t>D-18464</t>
  </si>
  <si>
    <t>D-18465</t>
  </si>
  <si>
    <t>D-18466</t>
  </si>
  <si>
    <t>D-18467</t>
  </si>
  <si>
    <t>D-18468</t>
  </si>
  <si>
    <t>5-Jul-17--07-Jul-17</t>
  </si>
  <si>
    <t>D-18469</t>
  </si>
  <si>
    <t>D-18470</t>
  </si>
  <si>
    <t>D-18471</t>
  </si>
  <si>
    <t>D-18472</t>
  </si>
  <si>
    <t>D-18473</t>
  </si>
  <si>
    <t>D-18474</t>
  </si>
  <si>
    <t>D-18475</t>
  </si>
  <si>
    <t>D-18476</t>
  </si>
  <si>
    <t>D-18477</t>
  </si>
  <si>
    <t>D-18478</t>
  </si>
  <si>
    <t>D-18479</t>
  </si>
  <si>
    <t>D-18480</t>
  </si>
  <si>
    <t>D-18481</t>
  </si>
  <si>
    <t>D-18482</t>
  </si>
  <si>
    <t>D-18483</t>
  </si>
  <si>
    <t>D-18484</t>
  </si>
  <si>
    <t>D-18485</t>
  </si>
  <si>
    <t>D-18486</t>
  </si>
  <si>
    <t>D-18487</t>
  </si>
  <si>
    <t>D-18488</t>
  </si>
  <si>
    <t>D-18489</t>
  </si>
  <si>
    <t>D-18490</t>
  </si>
  <si>
    <t>D-18491</t>
  </si>
  <si>
    <t>D-18492</t>
  </si>
  <si>
    <t>D-18493</t>
  </si>
  <si>
    <t>D-18494</t>
  </si>
  <si>
    <t>D-18495</t>
  </si>
  <si>
    <t>D-18496</t>
  </si>
  <si>
    <t>D-18497</t>
  </si>
  <si>
    <t>D-18498</t>
  </si>
  <si>
    <t>D-18499</t>
  </si>
  <si>
    <t>D-18500</t>
  </si>
  <si>
    <t>D-18501</t>
  </si>
  <si>
    <t>D-18502</t>
  </si>
  <si>
    <t>D-18503</t>
  </si>
  <si>
    <t>D-18504</t>
  </si>
  <si>
    <t>D-18505</t>
  </si>
  <si>
    <t>D-18506</t>
  </si>
  <si>
    <t>D-18507</t>
  </si>
  <si>
    <t>D-18508</t>
  </si>
  <si>
    <t>D-18509</t>
  </si>
  <si>
    <t>D-18510</t>
  </si>
  <si>
    <t>D-18511</t>
  </si>
  <si>
    <t>D-18512</t>
  </si>
  <si>
    <t>D-18513</t>
  </si>
  <si>
    <t>D-18514</t>
  </si>
  <si>
    <t>D-18515</t>
  </si>
  <si>
    <t>D-18516</t>
  </si>
  <si>
    <t>D-18517</t>
  </si>
  <si>
    <t>D-18518</t>
  </si>
  <si>
    <t>D-18519</t>
  </si>
  <si>
    <t>D-18520</t>
  </si>
  <si>
    <t>D-18521</t>
  </si>
  <si>
    <t>D-18522</t>
  </si>
  <si>
    <t>D-18523</t>
  </si>
  <si>
    <t>D-18524</t>
  </si>
  <si>
    <t>D-18525</t>
  </si>
  <si>
    <t>D-18526</t>
  </si>
  <si>
    <t>D-18527</t>
  </si>
  <si>
    <t>D-18528</t>
  </si>
  <si>
    <t>D-18529</t>
  </si>
  <si>
    <t>D-18530</t>
  </si>
  <si>
    <t>D-18531</t>
  </si>
  <si>
    <t>D-18532</t>
  </si>
  <si>
    <t>D-18533</t>
  </si>
  <si>
    <t>D-18534</t>
  </si>
  <si>
    <t>D-18535</t>
  </si>
  <si>
    <t>D-18536</t>
  </si>
  <si>
    <t>D-18537</t>
  </si>
  <si>
    <t>D-18538</t>
  </si>
  <si>
    <t>D-18539</t>
  </si>
  <si>
    <t>D-18540</t>
  </si>
  <si>
    <t>D-18541</t>
  </si>
  <si>
    <t>D-18542</t>
  </si>
  <si>
    <t>D-18543</t>
  </si>
  <si>
    <t>D-18544</t>
  </si>
  <si>
    <t>D-18545</t>
  </si>
  <si>
    <t>D-18546</t>
  </si>
  <si>
    <t>D-18547</t>
  </si>
  <si>
    <t>D-18548</t>
  </si>
  <si>
    <t>D-18549</t>
  </si>
  <si>
    <t>D-18550</t>
  </si>
  <si>
    <t>D-18551</t>
  </si>
  <si>
    <t>D-18552</t>
  </si>
  <si>
    <t>D-18553</t>
  </si>
  <si>
    <t>D-18554</t>
  </si>
  <si>
    <t>D-18555</t>
  </si>
  <si>
    <t>D-18556</t>
  </si>
  <si>
    <t>D-18557</t>
  </si>
  <si>
    <t>D-18558</t>
  </si>
  <si>
    <t>D-18559</t>
  </si>
  <si>
    <t>8-Jul-17--10-Jul-17</t>
  </si>
  <si>
    <t>D-18560</t>
  </si>
  <si>
    <t>D-18561</t>
  </si>
  <si>
    <t>D-18562</t>
  </si>
  <si>
    <t>D-18563</t>
  </si>
  <si>
    <t>D-18564</t>
  </si>
  <si>
    <t>D-18565</t>
  </si>
  <si>
    <t>D-18566</t>
  </si>
  <si>
    <t>D-18567</t>
  </si>
  <si>
    <t>D-18568</t>
  </si>
  <si>
    <t>D-18569</t>
  </si>
  <si>
    <t>D-18570</t>
  </si>
  <si>
    <t>D-18571</t>
  </si>
  <si>
    <t>D-18572</t>
  </si>
  <si>
    <t>D-18573</t>
  </si>
  <si>
    <t>D-18574</t>
  </si>
  <si>
    <t>D-18575</t>
  </si>
  <si>
    <t>D-18576</t>
  </si>
  <si>
    <t>D-18577</t>
  </si>
  <si>
    <t>D-18578</t>
  </si>
  <si>
    <t>D-18579</t>
  </si>
  <si>
    <t>D-18580</t>
  </si>
  <si>
    <t>D-18581</t>
  </si>
  <si>
    <t>D-18582</t>
  </si>
  <si>
    <t>D-18583</t>
  </si>
  <si>
    <t>D-18584</t>
  </si>
  <si>
    <t>D-18585</t>
  </si>
  <si>
    <t>D-18586</t>
  </si>
  <si>
    <t>D-18587</t>
  </si>
  <si>
    <t>D-18588</t>
  </si>
  <si>
    <t>D-18589</t>
  </si>
  <si>
    <t>D-18590</t>
  </si>
  <si>
    <t>D-18591</t>
  </si>
  <si>
    <t>D-18592</t>
  </si>
  <si>
    <t>D-18593</t>
  </si>
  <si>
    <t>D-18594</t>
  </si>
  <si>
    <t>D-18595</t>
  </si>
  <si>
    <t>D-18596</t>
  </si>
  <si>
    <t>D-18597</t>
  </si>
  <si>
    <t>D-18598</t>
  </si>
  <si>
    <t>D-18599</t>
  </si>
  <si>
    <t>D-18600</t>
  </si>
  <si>
    <t>D-18601</t>
  </si>
  <si>
    <t>D-18602</t>
  </si>
  <si>
    <t>D-18603</t>
  </si>
  <si>
    <t>D-18604</t>
  </si>
  <si>
    <t>D-18605</t>
  </si>
  <si>
    <t>D-18606</t>
  </si>
  <si>
    <t>D-18607</t>
  </si>
  <si>
    <t>D-18608</t>
  </si>
  <si>
    <t>D-18609</t>
  </si>
  <si>
    <t>D-18610</t>
  </si>
  <si>
    <t>D-18611</t>
  </si>
  <si>
    <t>D-18612</t>
  </si>
  <si>
    <t>D-18613</t>
  </si>
  <si>
    <t>D-18614</t>
  </si>
  <si>
    <t>D-18615</t>
  </si>
  <si>
    <t>D-18616</t>
  </si>
  <si>
    <t>D-18617</t>
  </si>
  <si>
    <t>D-18618</t>
  </si>
  <si>
    <t>D-18619</t>
  </si>
  <si>
    <t>D-18620</t>
  </si>
  <si>
    <t>D-18621</t>
  </si>
  <si>
    <t>5-Jul-17--08-Jul-17</t>
  </si>
  <si>
    <t>D-18622</t>
  </si>
  <si>
    <t>D-18623</t>
  </si>
  <si>
    <t>D-18624</t>
  </si>
  <si>
    <t>D-18625</t>
  </si>
  <si>
    <t>D-18626</t>
  </si>
  <si>
    <t>D-18627</t>
  </si>
  <si>
    <t>D-18628</t>
  </si>
  <si>
    <t>D-18629</t>
  </si>
  <si>
    <t>D-18630</t>
  </si>
  <si>
    <t>D-18631</t>
  </si>
  <si>
    <t>D-18632</t>
  </si>
  <si>
    <t>D-18633</t>
  </si>
  <si>
    <t>D-18634</t>
  </si>
  <si>
    <t>D-18635</t>
  </si>
  <si>
    <t>D-18636</t>
  </si>
  <si>
    <t>D-18637</t>
  </si>
  <si>
    <t>D-18638</t>
  </si>
  <si>
    <t>D-18639</t>
  </si>
  <si>
    <t>D-18640</t>
  </si>
  <si>
    <t>D-18641</t>
  </si>
  <si>
    <t>D-18642</t>
  </si>
  <si>
    <t>D-18643</t>
  </si>
  <si>
    <t>D-18644</t>
  </si>
  <si>
    <t>D-18645</t>
  </si>
  <si>
    <t>D-18646</t>
  </si>
  <si>
    <t>D-18647</t>
  </si>
  <si>
    <t>D-18648</t>
  </si>
  <si>
    <t>D-18649</t>
  </si>
  <si>
    <t>D-18650</t>
  </si>
  <si>
    <t>D-18651</t>
  </si>
  <si>
    <t>D-18652</t>
  </si>
  <si>
    <t>D-18653</t>
  </si>
  <si>
    <t>D-18654</t>
  </si>
  <si>
    <t>D-18655</t>
  </si>
  <si>
    <t>D-18656</t>
  </si>
  <si>
    <t>D-18657</t>
  </si>
  <si>
    <t>D-18658</t>
  </si>
  <si>
    <t>D-18659</t>
  </si>
  <si>
    <t>D-18660</t>
  </si>
  <si>
    <t>8-Jul-17--13-Jul-17</t>
  </si>
  <si>
    <t>D-18661</t>
  </si>
  <si>
    <t>D-18662</t>
  </si>
  <si>
    <t>D-18663</t>
  </si>
  <si>
    <t>D-18664</t>
  </si>
  <si>
    <t>D-18665</t>
  </si>
  <si>
    <t>D-18666</t>
  </si>
  <si>
    <t>D-18667</t>
  </si>
  <si>
    <t>D-18668</t>
  </si>
  <si>
    <t>D-18669</t>
  </si>
  <si>
    <t>D-18670</t>
  </si>
  <si>
    <t>D-18671</t>
  </si>
  <si>
    <t>D-18672</t>
  </si>
  <si>
    <t>D-18673</t>
  </si>
  <si>
    <t>D-18674</t>
  </si>
  <si>
    <t>D-18675</t>
  </si>
  <si>
    <t>D-18676</t>
  </si>
  <si>
    <t>D-18677</t>
  </si>
  <si>
    <t>D-18678</t>
  </si>
  <si>
    <t>D-18679</t>
  </si>
  <si>
    <t>D-18680</t>
  </si>
  <si>
    <t>D-18681</t>
  </si>
  <si>
    <t>D-18682</t>
  </si>
  <si>
    <t>6-Jul-17--08-Jul-17</t>
  </si>
  <si>
    <t>D-18683</t>
  </si>
  <si>
    <t>D-18684</t>
  </si>
  <si>
    <t>D-18685</t>
  </si>
  <si>
    <t>D-18686</t>
  </si>
  <si>
    <t>D-18687</t>
  </si>
  <si>
    <t>D-18688</t>
  </si>
  <si>
    <t>D-18689</t>
  </si>
  <si>
    <t>D-18690</t>
  </si>
  <si>
    <t>D-18691</t>
  </si>
  <si>
    <t>D-18692</t>
  </si>
  <si>
    <t>D-18693</t>
  </si>
  <si>
    <t>D-18694</t>
  </si>
  <si>
    <t>D-18695</t>
  </si>
  <si>
    <t>D-18696</t>
  </si>
  <si>
    <t>D-18697</t>
  </si>
  <si>
    <t>D-18698</t>
  </si>
  <si>
    <t>D-18699</t>
  </si>
  <si>
    <t>D-18700</t>
  </si>
  <si>
    <t>D-18701</t>
  </si>
  <si>
    <t>D-18702</t>
  </si>
  <si>
    <t>D-18703</t>
  </si>
  <si>
    <t>D-18704</t>
  </si>
  <si>
    <t>D-18705</t>
  </si>
  <si>
    <t>D-18706</t>
  </si>
  <si>
    <t>D-18707</t>
  </si>
  <si>
    <t>D-18708</t>
  </si>
  <si>
    <t>D-18709</t>
  </si>
  <si>
    <t>D-18710</t>
  </si>
  <si>
    <t>D-18711</t>
  </si>
  <si>
    <t>D-18712</t>
  </si>
  <si>
    <t>D-18713</t>
  </si>
  <si>
    <t>D-18714</t>
  </si>
  <si>
    <t>D-18715</t>
  </si>
  <si>
    <t>D-18716</t>
  </si>
  <si>
    <t>D-18717</t>
  </si>
  <si>
    <t>D-18718</t>
  </si>
  <si>
    <t>D-18719</t>
  </si>
  <si>
    <t>D-18720</t>
  </si>
  <si>
    <t>D-18721</t>
  </si>
  <si>
    <t>D-18722</t>
  </si>
  <si>
    <t>D-18723</t>
  </si>
  <si>
    <t>D-18724</t>
  </si>
  <si>
    <t>D-18725</t>
  </si>
  <si>
    <t>D-18726</t>
  </si>
  <si>
    <t>D-18727</t>
  </si>
  <si>
    <t>D-18728</t>
  </si>
  <si>
    <t>D-18729</t>
  </si>
  <si>
    <t>D-18730</t>
  </si>
  <si>
    <t>D-18731</t>
  </si>
  <si>
    <t>D-18732</t>
  </si>
  <si>
    <t>D-18733</t>
  </si>
  <si>
    <t>D-18734</t>
  </si>
  <si>
    <t>D-18735</t>
  </si>
  <si>
    <t>D-18736</t>
  </si>
  <si>
    <t>D-18737</t>
  </si>
  <si>
    <t>D-18738</t>
  </si>
  <si>
    <t>D-18739</t>
  </si>
  <si>
    <t>D-18740</t>
  </si>
  <si>
    <t>D-18741</t>
  </si>
  <si>
    <t>D-18742</t>
  </si>
  <si>
    <t>D-18743</t>
  </si>
  <si>
    <t>D-18744</t>
  </si>
  <si>
    <t>D-18745</t>
  </si>
  <si>
    <t>D-18746</t>
  </si>
  <si>
    <t>D-18747</t>
  </si>
  <si>
    <t>D-18748</t>
  </si>
  <si>
    <t>D-18749</t>
  </si>
  <si>
    <t>D-18750</t>
  </si>
  <si>
    <t>D-18751</t>
  </si>
  <si>
    <t>D-18752</t>
  </si>
  <si>
    <t>D-18753</t>
  </si>
  <si>
    <t>D-18754</t>
  </si>
  <si>
    <t>11--7-17</t>
  </si>
  <si>
    <t>D-18755</t>
  </si>
  <si>
    <t>D-18756</t>
  </si>
  <si>
    <t>D-18757</t>
  </si>
  <si>
    <t>D-18758</t>
  </si>
  <si>
    <t>D-18759</t>
  </si>
  <si>
    <t>D-18760</t>
  </si>
  <si>
    <t>D-18761</t>
  </si>
  <si>
    <t>D-18762</t>
  </si>
  <si>
    <t>D-18763</t>
  </si>
  <si>
    <t>D-18764</t>
  </si>
  <si>
    <t>D-18765</t>
  </si>
  <si>
    <t>D-18766</t>
  </si>
  <si>
    <t>D-18767</t>
  </si>
  <si>
    <t>D-18768</t>
  </si>
  <si>
    <t>D-18769</t>
  </si>
  <si>
    <t>D-18770</t>
  </si>
  <si>
    <t>D-18771</t>
  </si>
  <si>
    <t>D-18772</t>
  </si>
  <si>
    <t>D-18773</t>
  </si>
  <si>
    <t>D-18774</t>
  </si>
  <si>
    <t>D-18775</t>
  </si>
  <si>
    <t>D-18776</t>
  </si>
  <si>
    <t>D-18777</t>
  </si>
  <si>
    <t>D-18778</t>
  </si>
  <si>
    <t>D-18779</t>
  </si>
  <si>
    <t>D-18780</t>
  </si>
  <si>
    <t>D-18781</t>
  </si>
  <si>
    <t>D-18782</t>
  </si>
  <si>
    <t>D-18783</t>
  </si>
  <si>
    <t>D-18784</t>
  </si>
  <si>
    <t>D-18785</t>
  </si>
  <si>
    <t>D-18786</t>
  </si>
  <si>
    <t>D-18787</t>
  </si>
  <si>
    <t>D-18788</t>
  </si>
  <si>
    <t>D-18789</t>
  </si>
  <si>
    <t>D-18790</t>
  </si>
  <si>
    <t>D-18791</t>
  </si>
  <si>
    <t>D-18792</t>
  </si>
  <si>
    <t>D-18793</t>
  </si>
  <si>
    <t>D-18794</t>
  </si>
  <si>
    <t>D-18795</t>
  </si>
  <si>
    <t>D-18796</t>
  </si>
  <si>
    <t>D-18797</t>
  </si>
  <si>
    <t>D-18798</t>
  </si>
  <si>
    <t>D-18799</t>
  </si>
  <si>
    <t>8J-ul-17--10-Jul-17</t>
  </si>
  <si>
    <t>D-18800</t>
  </si>
  <si>
    <t>D-18801</t>
  </si>
  <si>
    <t>D-18802</t>
  </si>
  <si>
    <t>D-18803</t>
  </si>
  <si>
    <t>D-18804</t>
  </si>
  <si>
    <t>D-18805</t>
  </si>
  <si>
    <t>8-Jul-17--11-Jul-17</t>
  </si>
  <si>
    <t>D-18806</t>
  </si>
  <si>
    <t>D-18807</t>
  </si>
  <si>
    <t>D-18808</t>
  </si>
  <si>
    <t>D-18809</t>
  </si>
  <si>
    <t>D-18810</t>
  </si>
  <si>
    <t>D-18811</t>
  </si>
  <si>
    <t>D-18812</t>
  </si>
  <si>
    <t>D-18813</t>
  </si>
  <si>
    <t>D-18814</t>
  </si>
  <si>
    <t>D-18815</t>
  </si>
  <si>
    <t>D-18816</t>
  </si>
  <si>
    <t>D-18817</t>
  </si>
  <si>
    <t>D-18818</t>
  </si>
  <si>
    <t>D-18819</t>
  </si>
  <si>
    <t>D-18820</t>
  </si>
  <si>
    <t>D-18821</t>
  </si>
  <si>
    <t>D-18822</t>
  </si>
  <si>
    <t>D-18823</t>
  </si>
  <si>
    <t>D-18824</t>
  </si>
  <si>
    <t>D-18825</t>
  </si>
  <si>
    <t>D-18826</t>
  </si>
  <si>
    <t>D-18827</t>
  </si>
  <si>
    <t>D-18828</t>
  </si>
  <si>
    <t>D-18829</t>
  </si>
  <si>
    <t>D-18830</t>
  </si>
  <si>
    <t>D-18831</t>
  </si>
  <si>
    <t>D-18832</t>
  </si>
  <si>
    <t>D-18833</t>
  </si>
  <si>
    <t>D-18834</t>
  </si>
  <si>
    <t>D-18835</t>
  </si>
  <si>
    <t>D-18836</t>
  </si>
  <si>
    <t>D-18837</t>
  </si>
  <si>
    <t>D-18838</t>
  </si>
  <si>
    <t>D-18839</t>
  </si>
  <si>
    <t>D-18840</t>
  </si>
  <si>
    <t>D-18841</t>
  </si>
  <si>
    <t>D-18842</t>
  </si>
  <si>
    <t>D-18843</t>
  </si>
  <si>
    <t>D-18844</t>
  </si>
  <si>
    <t>D-18845</t>
  </si>
  <si>
    <t>D-18846</t>
  </si>
  <si>
    <t>D-18847</t>
  </si>
  <si>
    <t>D-18848</t>
  </si>
  <si>
    <t>D-18849</t>
  </si>
  <si>
    <t>D-18850</t>
  </si>
  <si>
    <t>6-Jul-17--7-Jul-17--8-Jul-17---09-Jul-17</t>
  </si>
  <si>
    <t>D-18851</t>
  </si>
  <si>
    <t>D-18852</t>
  </si>
  <si>
    <t>D-18853</t>
  </si>
  <si>
    <t>D-18854</t>
  </si>
  <si>
    <t>D-18855</t>
  </si>
  <si>
    <t>D-18856</t>
  </si>
  <si>
    <t>D-18857</t>
  </si>
  <si>
    <t>D-18858</t>
  </si>
  <si>
    <t>D-18859</t>
  </si>
  <si>
    <t>D-18860</t>
  </si>
  <si>
    <t>D-18861</t>
  </si>
  <si>
    <t>D-18862</t>
  </si>
  <si>
    <t>D-18863</t>
  </si>
  <si>
    <t>D-18864</t>
  </si>
  <si>
    <t>D-18865</t>
  </si>
  <si>
    <t>D-18866</t>
  </si>
  <si>
    <t>D-18867</t>
  </si>
  <si>
    <t>D-18868</t>
  </si>
  <si>
    <t>D-18869</t>
  </si>
  <si>
    <t>D-18870</t>
  </si>
  <si>
    <t>D-18871</t>
  </si>
  <si>
    <t>D-18872</t>
  </si>
  <si>
    <t>D-18873</t>
  </si>
  <si>
    <t>D-18874</t>
  </si>
  <si>
    <t>D-18875</t>
  </si>
  <si>
    <t>D-18876</t>
  </si>
  <si>
    <t>D-18877</t>
  </si>
  <si>
    <t>D-18878</t>
  </si>
  <si>
    <t>D-18879</t>
  </si>
  <si>
    <t>D-18880</t>
  </si>
  <si>
    <t>D-18881</t>
  </si>
  <si>
    <t>D-18882</t>
  </si>
  <si>
    <t>D-18883</t>
  </si>
  <si>
    <t>D-18884</t>
  </si>
  <si>
    <t>D-18885</t>
  </si>
  <si>
    <t>D-18886</t>
  </si>
  <si>
    <t>D-18887</t>
  </si>
  <si>
    <t>D-18888</t>
  </si>
  <si>
    <t>D-18889</t>
  </si>
  <si>
    <t>8-Jul-17--12-Jul-17</t>
  </si>
  <si>
    <t>D-18890</t>
  </si>
  <si>
    <t>D-18891</t>
  </si>
  <si>
    <t>D-18892</t>
  </si>
  <si>
    <t>D-18893</t>
  </si>
  <si>
    <t>D-18894</t>
  </si>
  <si>
    <t>D-18895</t>
  </si>
  <si>
    <t>D-18896</t>
  </si>
  <si>
    <t>D-18897</t>
  </si>
  <si>
    <t>D-18898</t>
  </si>
  <si>
    <t>D-18899</t>
  </si>
  <si>
    <t>D-18900</t>
  </si>
  <si>
    <t>D-18901</t>
  </si>
  <si>
    <t>D-18902</t>
  </si>
  <si>
    <t>D-18903</t>
  </si>
  <si>
    <t>D-18904</t>
  </si>
  <si>
    <t>D-18905</t>
  </si>
  <si>
    <t>D-18906</t>
  </si>
  <si>
    <t>D-18907</t>
  </si>
  <si>
    <t>D-18908</t>
  </si>
  <si>
    <t>D-18909</t>
  </si>
  <si>
    <t>D-18910</t>
  </si>
  <si>
    <t>D-18911</t>
  </si>
  <si>
    <t>D-18912</t>
  </si>
  <si>
    <t>D-18913</t>
  </si>
  <si>
    <t>D-18914</t>
  </si>
  <si>
    <t>D-18915</t>
  </si>
  <si>
    <t>D-18916</t>
  </si>
  <si>
    <t>D-18917</t>
  </si>
  <si>
    <t>D-18918</t>
  </si>
  <si>
    <t>D-18919</t>
  </si>
  <si>
    <t>D-18920</t>
  </si>
  <si>
    <t>D-18921</t>
  </si>
  <si>
    <t>D-18922</t>
  </si>
  <si>
    <t>D-18923</t>
  </si>
  <si>
    <t>D-18924</t>
  </si>
  <si>
    <t>D-18925</t>
  </si>
  <si>
    <t>11-Jul-17--13-Jul-17</t>
  </si>
  <si>
    <t>D-18926</t>
  </si>
  <si>
    <t>D-18927</t>
  </si>
  <si>
    <t>D-18928</t>
  </si>
  <si>
    <t>D-18929</t>
  </si>
  <si>
    <t>D-18930</t>
  </si>
  <si>
    <t>D-18931</t>
  </si>
  <si>
    <t>D-18932</t>
  </si>
  <si>
    <t>D-18933</t>
  </si>
  <si>
    <t>D-18934</t>
  </si>
  <si>
    <t>D-18935</t>
  </si>
  <si>
    <t>D-18936</t>
  </si>
  <si>
    <t>D-18937</t>
  </si>
  <si>
    <t>D-18938</t>
  </si>
  <si>
    <t>D-18939</t>
  </si>
  <si>
    <t>D-18940</t>
  </si>
  <si>
    <t>D-18941</t>
  </si>
  <si>
    <t>D-18942</t>
  </si>
  <si>
    <t>D-18943</t>
  </si>
  <si>
    <t>D-18944</t>
  </si>
  <si>
    <t>D-18945</t>
  </si>
  <si>
    <t>D-18946</t>
  </si>
  <si>
    <t>D-18947</t>
  </si>
  <si>
    <t>D-18948</t>
  </si>
  <si>
    <t>D-18949</t>
  </si>
  <si>
    <t>D-18950</t>
  </si>
  <si>
    <t>D-18951</t>
  </si>
  <si>
    <t>D-18952</t>
  </si>
  <si>
    <t>D-18953</t>
  </si>
  <si>
    <t>D-18954</t>
  </si>
  <si>
    <t>D-18955</t>
  </si>
  <si>
    <t>D-18956</t>
  </si>
  <si>
    <t>D-18957</t>
  </si>
  <si>
    <t>10-Jul-17--11-Jul-17</t>
  </si>
  <si>
    <t>D-18958</t>
  </si>
  <si>
    <t>D-18959</t>
  </si>
  <si>
    <t>D-18960</t>
  </si>
  <si>
    <t>D-18961</t>
  </si>
  <si>
    <t>D-18962</t>
  </si>
  <si>
    <t>D-18963</t>
  </si>
  <si>
    <t>D-18964</t>
  </si>
  <si>
    <t>D-18965</t>
  </si>
  <si>
    <t>D-18966</t>
  </si>
  <si>
    <t>D-18967</t>
  </si>
  <si>
    <t>D-18968</t>
  </si>
  <si>
    <t>D-18969</t>
  </si>
  <si>
    <t>D-18970</t>
  </si>
  <si>
    <t>D-18971</t>
  </si>
  <si>
    <t>D-18972</t>
  </si>
  <si>
    <t>D-18973</t>
  </si>
  <si>
    <t>D-18974</t>
  </si>
  <si>
    <t>D-18975</t>
  </si>
  <si>
    <t>D-18976</t>
  </si>
  <si>
    <t>D-18977</t>
  </si>
  <si>
    <t>D-18978</t>
  </si>
  <si>
    <t>D-18979</t>
  </si>
  <si>
    <t>D-18980</t>
  </si>
  <si>
    <t>D-18981</t>
  </si>
  <si>
    <t>D-18982</t>
  </si>
  <si>
    <t>D-18983</t>
  </si>
  <si>
    <t>D-18984</t>
  </si>
  <si>
    <t>D-18985</t>
  </si>
  <si>
    <t>D-18986</t>
  </si>
  <si>
    <t>D-18987</t>
  </si>
  <si>
    <t>D-18988</t>
  </si>
  <si>
    <t>D-18989</t>
  </si>
  <si>
    <t>D-18990</t>
  </si>
  <si>
    <t>D-18991</t>
  </si>
  <si>
    <t>D-18992</t>
  </si>
  <si>
    <t>D-18993</t>
  </si>
  <si>
    <t>D-18994</t>
  </si>
  <si>
    <t>D-18995</t>
  </si>
  <si>
    <t>D-18996</t>
  </si>
  <si>
    <t>D-18997</t>
  </si>
  <si>
    <t>D-18998</t>
  </si>
  <si>
    <t>D-18999</t>
  </si>
  <si>
    <t>D-19000</t>
  </si>
  <si>
    <t>D-19001</t>
  </si>
  <si>
    <t>D-19002</t>
  </si>
  <si>
    <t>D-19003</t>
  </si>
  <si>
    <t>D-19004</t>
  </si>
  <si>
    <t>D-19005</t>
  </si>
  <si>
    <t>D-19006</t>
  </si>
  <si>
    <t>D-19007</t>
  </si>
  <si>
    <t>D-19008</t>
  </si>
  <si>
    <t>D-19009</t>
  </si>
  <si>
    <t>D-19010</t>
  </si>
  <si>
    <t>D-19011</t>
  </si>
  <si>
    <t>D-19012</t>
  </si>
  <si>
    <t>D-19013</t>
  </si>
  <si>
    <t>D-19014</t>
  </si>
  <si>
    <t>D-19015</t>
  </si>
  <si>
    <t>D-19016</t>
  </si>
  <si>
    <t>D-19017</t>
  </si>
  <si>
    <t>D-19018</t>
  </si>
  <si>
    <t>D-19019</t>
  </si>
  <si>
    <t>D-19020</t>
  </si>
  <si>
    <t>D-19021</t>
  </si>
  <si>
    <t>12-Jul-17--14-Jul-17</t>
  </si>
  <si>
    <t>D-19022</t>
  </si>
  <si>
    <t>D-19023</t>
  </si>
  <si>
    <t>D-19024</t>
  </si>
  <si>
    <t>D-19025</t>
  </si>
  <si>
    <t>D-19026</t>
  </si>
  <si>
    <t>D-19027</t>
  </si>
  <si>
    <t>D-19028</t>
  </si>
  <si>
    <t>D-19029</t>
  </si>
  <si>
    <t>D-19030</t>
  </si>
  <si>
    <t>D-19031</t>
  </si>
  <si>
    <t>D-19032</t>
  </si>
  <si>
    <t>D-19033</t>
  </si>
  <si>
    <t>D-19034</t>
  </si>
  <si>
    <t>D-19035</t>
  </si>
  <si>
    <t>D-19036</t>
  </si>
  <si>
    <t>D-19037</t>
  </si>
  <si>
    <t>D-19038</t>
  </si>
  <si>
    <t>D-19039</t>
  </si>
  <si>
    <t>D-19040</t>
  </si>
  <si>
    <t>D-19041</t>
  </si>
  <si>
    <t>D-19042</t>
  </si>
  <si>
    <t>D-19043</t>
  </si>
  <si>
    <t>D-19044</t>
  </si>
  <si>
    <t>D-19045</t>
  </si>
  <si>
    <t>D-19046</t>
  </si>
  <si>
    <t>D-19047</t>
  </si>
  <si>
    <t>D-19048</t>
  </si>
  <si>
    <t>D-19049</t>
  </si>
  <si>
    <t>D-19050</t>
  </si>
  <si>
    <t>D-19051</t>
  </si>
  <si>
    <t>D-19052</t>
  </si>
  <si>
    <t>D-19053</t>
  </si>
  <si>
    <t>D-19054</t>
  </si>
  <si>
    <t>D-19055</t>
  </si>
  <si>
    <t>D-19056</t>
  </si>
  <si>
    <t>D-19057</t>
  </si>
  <si>
    <t>D-19058</t>
  </si>
  <si>
    <t>D-19059</t>
  </si>
  <si>
    <t>D-19060</t>
  </si>
  <si>
    <t>D-19061</t>
  </si>
  <si>
    <t>D-19062</t>
  </si>
  <si>
    <t>D-19063</t>
  </si>
  <si>
    <t>D-19064</t>
  </si>
  <si>
    <t>D-19065</t>
  </si>
  <si>
    <t>D-19066</t>
  </si>
  <si>
    <t>D-19067</t>
  </si>
  <si>
    <t>D-19068</t>
  </si>
  <si>
    <t>D-19069</t>
  </si>
  <si>
    <t>D-19070</t>
  </si>
  <si>
    <t>D-19071</t>
  </si>
  <si>
    <t>D-19072</t>
  </si>
  <si>
    <t>D-19073</t>
  </si>
  <si>
    <t>14/07/2017</t>
  </si>
  <si>
    <t>D-19074</t>
  </si>
  <si>
    <t>D-19075</t>
  </si>
  <si>
    <t>D-19076</t>
  </si>
  <si>
    <t>D-19077</t>
  </si>
  <si>
    <t>D-19078</t>
  </si>
  <si>
    <t>D-19079</t>
  </si>
  <si>
    <t>D-19080</t>
  </si>
  <si>
    <t>D-19081</t>
  </si>
  <si>
    <t>D-19082</t>
  </si>
  <si>
    <t>D-19083</t>
  </si>
  <si>
    <t>D-19084</t>
  </si>
  <si>
    <t>D-19085</t>
  </si>
  <si>
    <t>D-19086</t>
  </si>
  <si>
    <t>D-19087</t>
  </si>
  <si>
    <t>D-19088</t>
  </si>
  <si>
    <t>D-19089</t>
  </si>
  <si>
    <t>D-19090</t>
  </si>
  <si>
    <t>11-Jul-17--12-Jul-17</t>
  </si>
  <si>
    <t>D-19091</t>
  </si>
  <si>
    <t>D-19092</t>
  </si>
  <si>
    <t>D-19093</t>
  </si>
  <si>
    <t>D-19094</t>
  </si>
  <si>
    <t>D-19095</t>
  </si>
  <si>
    <t>D-19096</t>
  </si>
  <si>
    <t>D-19097</t>
  </si>
  <si>
    <t>D-19098</t>
  </si>
  <si>
    <t>D-19099</t>
  </si>
  <si>
    <t>D-19100</t>
  </si>
  <si>
    <t>D-19101</t>
  </si>
  <si>
    <t>D-19102</t>
  </si>
  <si>
    <t>D-19103</t>
  </si>
  <si>
    <t>D-19104</t>
  </si>
  <si>
    <t>D-19105</t>
  </si>
  <si>
    <t>D-19106</t>
  </si>
  <si>
    <t>D-19107</t>
  </si>
  <si>
    <t>D-19108</t>
  </si>
  <si>
    <t>D-19109</t>
  </si>
  <si>
    <t>D-19110</t>
  </si>
  <si>
    <t>D-19111</t>
  </si>
  <si>
    <t>D-19112</t>
  </si>
  <si>
    <t>D-19113</t>
  </si>
  <si>
    <t>D-19114</t>
  </si>
  <si>
    <t>D-19115</t>
  </si>
  <si>
    <t>D-19116</t>
  </si>
  <si>
    <t>D-19117</t>
  </si>
  <si>
    <t>11-Jul-17--17-Jul-17</t>
  </si>
  <si>
    <t>D-19118</t>
  </si>
  <si>
    <t>D-19119</t>
  </si>
  <si>
    <t>D-19120</t>
  </si>
  <si>
    <t>D-19121</t>
  </si>
  <si>
    <t>D-19122</t>
  </si>
  <si>
    <t>D-19123</t>
  </si>
  <si>
    <t>D-19124</t>
  </si>
  <si>
    <t>D-19125</t>
  </si>
  <si>
    <t>D-19126</t>
  </si>
  <si>
    <t>D-19127</t>
  </si>
  <si>
    <t>D-19128</t>
  </si>
  <si>
    <t>D-19129</t>
  </si>
  <si>
    <t>D-19130</t>
  </si>
  <si>
    <t>D-19131</t>
  </si>
  <si>
    <t>D-19132</t>
  </si>
  <si>
    <t>D-19133</t>
  </si>
  <si>
    <t>D-19134</t>
  </si>
  <si>
    <t>D-19135</t>
  </si>
  <si>
    <t>D-19136</t>
  </si>
  <si>
    <t>D-19137</t>
  </si>
  <si>
    <t>D-19138</t>
  </si>
  <si>
    <t>D-19139</t>
  </si>
  <si>
    <t>D-19140</t>
  </si>
  <si>
    <t>D-19141</t>
  </si>
  <si>
    <t>D-19142</t>
  </si>
  <si>
    <t>D-19143</t>
  </si>
  <si>
    <t>D-19144</t>
  </si>
  <si>
    <t>D-19145</t>
  </si>
  <si>
    <t>D-19146</t>
  </si>
  <si>
    <t>D-19147</t>
  </si>
  <si>
    <t>D-19148</t>
  </si>
  <si>
    <t>D-19149</t>
  </si>
  <si>
    <t>D-19150</t>
  </si>
  <si>
    <t>D-19151</t>
  </si>
  <si>
    <t>D-19152</t>
  </si>
  <si>
    <t>D-19153</t>
  </si>
  <si>
    <t>D-19154</t>
  </si>
  <si>
    <t>D-19155</t>
  </si>
  <si>
    <t>D-19156</t>
  </si>
  <si>
    <t>D-19157</t>
  </si>
  <si>
    <t>D-19158</t>
  </si>
  <si>
    <t>D-19159</t>
  </si>
  <si>
    <t>D-19160</t>
  </si>
  <si>
    <t>D-19161</t>
  </si>
  <si>
    <t>D-19162</t>
  </si>
  <si>
    <t>D-19163</t>
  </si>
  <si>
    <t>D-19164</t>
  </si>
  <si>
    <t>D-19165</t>
  </si>
  <si>
    <t>D-19166</t>
  </si>
  <si>
    <t>D-19167</t>
  </si>
  <si>
    <t>D-19168</t>
  </si>
  <si>
    <t>D-19169</t>
  </si>
  <si>
    <t>D-19170</t>
  </si>
  <si>
    <t>D-19171</t>
  </si>
  <si>
    <t>D-19172</t>
  </si>
  <si>
    <t>D-19173</t>
  </si>
  <si>
    <t>D-19174</t>
  </si>
  <si>
    <t>D-19175</t>
  </si>
  <si>
    <t>D-19176</t>
  </si>
  <si>
    <t>D-19177</t>
  </si>
  <si>
    <t>D-19178</t>
  </si>
  <si>
    <t>D-19179</t>
  </si>
  <si>
    <t>D-19180</t>
  </si>
  <si>
    <t>D-19181</t>
  </si>
  <si>
    <t>D-19182</t>
  </si>
  <si>
    <t>D-19183</t>
  </si>
  <si>
    <t>D-19184</t>
  </si>
  <si>
    <t>D-19185</t>
  </si>
  <si>
    <t>D-19186</t>
  </si>
  <si>
    <t>D-19187</t>
  </si>
  <si>
    <t>D-19188</t>
  </si>
  <si>
    <t>D-19189</t>
  </si>
  <si>
    <t>D-19190</t>
  </si>
  <si>
    <t>D-19191</t>
  </si>
  <si>
    <t>D-19192</t>
  </si>
  <si>
    <t>D-19193</t>
  </si>
  <si>
    <t>D-19194</t>
  </si>
  <si>
    <t>D-19195</t>
  </si>
  <si>
    <t>D-19196</t>
  </si>
  <si>
    <t>D-19197</t>
  </si>
  <si>
    <t>D-19198</t>
  </si>
  <si>
    <t>D-19199</t>
  </si>
  <si>
    <t>D-19200</t>
  </si>
  <si>
    <t>D-19201</t>
  </si>
  <si>
    <t>D-19202</t>
  </si>
  <si>
    <t>D-19203</t>
  </si>
  <si>
    <t>D-19204</t>
  </si>
  <si>
    <t>D-19205</t>
  </si>
  <si>
    <t>D-19206</t>
  </si>
  <si>
    <t>D-19207</t>
  </si>
  <si>
    <t>D-19208</t>
  </si>
  <si>
    <t>D-19209</t>
  </si>
  <si>
    <t>D-19210</t>
  </si>
  <si>
    <t>D-19211</t>
  </si>
  <si>
    <t>D-19212</t>
  </si>
  <si>
    <t>D-19213</t>
  </si>
  <si>
    <t>D-19214</t>
  </si>
  <si>
    <t>D-19215</t>
  </si>
  <si>
    <t>D-19216</t>
  </si>
  <si>
    <t>D-19217</t>
  </si>
  <si>
    <t>D-19218</t>
  </si>
  <si>
    <t>D-19219</t>
  </si>
  <si>
    <t>D-19220</t>
  </si>
  <si>
    <t>D-19221</t>
  </si>
  <si>
    <t>D-19222</t>
  </si>
  <si>
    <t>D-19223</t>
  </si>
  <si>
    <t>D-19224</t>
  </si>
  <si>
    <t>D-19225</t>
  </si>
  <si>
    <t>D-19226</t>
  </si>
  <si>
    <t>D-19227</t>
  </si>
  <si>
    <t>D-19228</t>
  </si>
  <si>
    <t>D-19229</t>
  </si>
  <si>
    <t>D-19230</t>
  </si>
  <si>
    <t>D-19231</t>
  </si>
  <si>
    <t>D-19232</t>
  </si>
  <si>
    <t>D-19233</t>
  </si>
  <si>
    <t>D-19234</t>
  </si>
  <si>
    <t>D-19235</t>
  </si>
  <si>
    <t>D-19236</t>
  </si>
  <si>
    <t>D-19237</t>
  </si>
  <si>
    <t>D-19238</t>
  </si>
  <si>
    <t>D-19239</t>
  </si>
  <si>
    <t>9-Jul-17--11-Jul-17</t>
  </si>
  <si>
    <t>D-19240</t>
  </si>
  <si>
    <t>D-19241</t>
  </si>
  <si>
    <t>D-19242</t>
  </si>
  <si>
    <t>D-19243</t>
  </si>
  <si>
    <t>D-19244</t>
  </si>
  <si>
    <t>D-19245</t>
  </si>
  <si>
    <t>D-19246</t>
  </si>
  <si>
    <t>D-19247</t>
  </si>
  <si>
    <t>D-19248</t>
  </si>
  <si>
    <t>D-19249</t>
  </si>
  <si>
    <t>D-19250</t>
  </si>
  <si>
    <t>D-19251</t>
  </si>
  <si>
    <t>D-19252</t>
  </si>
  <si>
    <t>D-19253</t>
  </si>
  <si>
    <t>D-19254</t>
  </si>
  <si>
    <t>D-19255</t>
  </si>
  <si>
    <t>D-19256</t>
  </si>
  <si>
    <t>D-19257</t>
  </si>
  <si>
    <t>D-19258</t>
  </si>
  <si>
    <t>D-19259</t>
  </si>
  <si>
    <t>D-19260</t>
  </si>
  <si>
    <t>D-19261</t>
  </si>
  <si>
    <t>D-19262</t>
  </si>
  <si>
    <t>D-19263</t>
  </si>
  <si>
    <t>D-19264</t>
  </si>
  <si>
    <t>D-19265</t>
  </si>
  <si>
    <t>09/07/2017</t>
  </si>
  <si>
    <t>D-19266</t>
  </si>
  <si>
    <t>D-19267</t>
  </si>
  <si>
    <t>D-19268</t>
  </si>
  <si>
    <t>D-19269</t>
  </si>
  <si>
    <t>D-19270</t>
  </si>
  <si>
    <t>D-19271</t>
  </si>
  <si>
    <t>D-19272</t>
  </si>
  <si>
    <t>D-19273</t>
  </si>
  <si>
    <t>9-Jul-17---10-Jul-17</t>
  </si>
  <si>
    <t>D-19274</t>
  </si>
  <si>
    <t>D-19275</t>
  </si>
  <si>
    <t>D-19276</t>
  </si>
  <si>
    <t>D-19277</t>
  </si>
  <si>
    <t>D-19278</t>
  </si>
  <si>
    <t>D-19279</t>
  </si>
  <si>
    <t>D-19280</t>
  </si>
  <si>
    <t>D-19281</t>
  </si>
  <si>
    <t>D-19282</t>
  </si>
  <si>
    <t>D-19283</t>
  </si>
  <si>
    <t>D-19284</t>
  </si>
  <si>
    <t>D-19285</t>
  </si>
  <si>
    <t>D-19286</t>
  </si>
  <si>
    <t>D-19287</t>
  </si>
  <si>
    <t>D-19288</t>
  </si>
  <si>
    <t>D-19289</t>
  </si>
  <si>
    <t>D-19290</t>
  </si>
  <si>
    <t>D-19291</t>
  </si>
  <si>
    <t>D-19292</t>
  </si>
  <si>
    <t>D-19293</t>
  </si>
  <si>
    <t>D-19294</t>
  </si>
  <si>
    <t>D-19295</t>
  </si>
  <si>
    <t>D-19296</t>
  </si>
  <si>
    <t>12-JUL-17--13-Jul-17</t>
  </si>
  <si>
    <t>D-19297</t>
  </si>
  <si>
    <t>D-19298</t>
  </si>
  <si>
    <t>D-19299</t>
  </si>
  <si>
    <t>D-19300</t>
  </si>
  <si>
    <t>D-19301</t>
  </si>
  <si>
    <t>D-19302</t>
  </si>
  <si>
    <t>D-19303</t>
  </si>
  <si>
    <t>D-19304</t>
  </si>
  <si>
    <t>D-19305</t>
  </si>
  <si>
    <t>D-19306</t>
  </si>
  <si>
    <t>D-19307</t>
  </si>
  <si>
    <t>D-19308</t>
  </si>
  <si>
    <t>D-19309</t>
  </si>
  <si>
    <t>D-19310</t>
  </si>
  <si>
    <t>D-19311</t>
  </si>
  <si>
    <t>D-19312</t>
  </si>
  <si>
    <t>D-19313</t>
  </si>
  <si>
    <t>D-19314</t>
  </si>
  <si>
    <t>13-Jul-17--20-Jul-17</t>
  </si>
  <si>
    <t>D-19315</t>
  </si>
  <si>
    <t>D-19316</t>
  </si>
  <si>
    <t>D-19317</t>
  </si>
  <si>
    <t>D-19318</t>
  </si>
  <si>
    <t>D-19319</t>
  </si>
  <si>
    <t>D-19320</t>
  </si>
  <si>
    <t>D-19321</t>
  </si>
  <si>
    <t>D-19322</t>
  </si>
  <si>
    <t>D-19323</t>
  </si>
  <si>
    <t>D-19324</t>
  </si>
  <si>
    <t>D-19325</t>
  </si>
  <si>
    <t>D-19326</t>
  </si>
  <si>
    <t>D-19327</t>
  </si>
  <si>
    <t>D-19328</t>
  </si>
  <si>
    <t>D-19329</t>
  </si>
  <si>
    <t>D-19330</t>
  </si>
  <si>
    <t>D-19331</t>
  </si>
  <si>
    <t>D-19332</t>
  </si>
  <si>
    <t>D-19333</t>
  </si>
  <si>
    <t>D-19334</t>
  </si>
  <si>
    <t>D-19335</t>
  </si>
  <si>
    <t>D-19336</t>
  </si>
  <si>
    <t>D-19337</t>
  </si>
  <si>
    <t>D-19338</t>
  </si>
  <si>
    <t>D-19339</t>
  </si>
  <si>
    <t>D-19340</t>
  </si>
  <si>
    <t>D-19341</t>
  </si>
  <si>
    <t>D-19342</t>
  </si>
  <si>
    <t>D-19343</t>
  </si>
  <si>
    <t>D-19344</t>
  </si>
  <si>
    <t>D-19345</t>
  </si>
  <si>
    <t>D-19346</t>
  </si>
  <si>
    <t>D-19347</t>
  </si>
  <si>
    <t>D-19348</t>
  </si>
  <si>
    <t>D-19349</t>
  </si>
  <si>
    <t>D-19350</t>
  </si>
  <si>
    <t>D-19351</t>
  </si>
  <si>
    <t>D-19352</t>
  </si>
  <si>
    <t>D-19353</t>
  </si>
  <si>
    <t>D-19354</t>
  </si>
  <si>
    <t>D-19355</t>
  </si>
  <si>
    <t>D-19356</t>
  </si>
  <si>
    <t>D-19357</t>
  </si>
  <si>
    <t>D-19358</t>
  </si>
  <si>
    <t>D-19359</t>
  </si>
  <si>
    <t>D-19360</t>
  </si>
  <si>
    <t>D-19361</t>
  </si>
  <si>
    <t>D-19362</t>
  </si>
  <si>
    <t>D-19363</t>
  </si>
  <si>
    <t>D-19364</t>
  </si>
  <si>
    <t>D-19365</t>
  </si>
  <si>
    <t>D-19366</t>
  </si>
  <si>
    <t>D-19367</t>
  </si>
  <si>
    <t>D-19368</t>
  </si>
  <si>
    <t>D-19369</t>
  </si>
  <si>
    <t>D-19370</t>
  </si>
  <si>
    <t>D-19371</t>
  </si>
  <si>
    <t>D-19372</t>
  </si>
  <si>
    <t>D-19373</t>
  </si>
  <si>
    <t>D-19374</t>
  </si>
  <si>
    <t>D-19375</t>
  </si>
  <si>
    <t>D-19376</t>
  </si>
  <si>
    <t>D-19377</t>
  </si>
  <si>
    <t>D-19378</t>
  </si>
  <si>
    <t>D-19379</t>
  </si>
  <si>
    <t>D-19380</t>
  </si>
  <si>
    <t>D-19381</t>
  </si>
  <si>
    <t>D-19382</t>
  </si>
  <si>
    <t>D-19383</t>
  </si>
  <si>
    <t>D-19384</t>
  </si>
  <si>
    <t>D-19385</t>
  </si>
  <si>
    <t>D-19386</t>
  </si>
  <si>
    <t>D-19387</t>
  </si>
  <si>
    <t>18-Jul-17---23-Jul-17</t>
  </si>
  <si>
    <t>D-19388</t>
  </si>
  <si>
    <t>D-19389</t>
  </si>
  <si>
    <t>D-19390</t>
  </si>
  <si>
    <t>(329)NERY RUEDA</t>
  </si>
  <si>
    <t>D-19391</t>
  </si>
  <si>
    <t>D-19392</t>
  </si>
  <si>
    <t>D-19393</t>
  </si>
  <si>
    <t>D-19394</t>
  </si>
  <si>
    <t>D-19395</t>
  </si>
  <si>
    <t>D-19396</t>
  </si>
  <si>
    <t>D-19397</t>
  </si>
  <si>
    <t>D-19398</t>
  </si>
  <si>
    <t>D-19399</t>
  </si>
  <si>
    <t>D-19400</t>
  </si>
  <si>
    <t>D-19401</t>
  </si>
  <si>
    <t>D-19402</t>
  </si>
  <si>
    <t>D-19403</t>
  </si>
  <si>
    <t>D-19404</t>
  </si>
  <si>
    <t>D-19405</t>
  </si>
  <si>
    <t>D-19406</t>
  </si>
  <si>
    <t>D-19407</t>
  </si>
  <si>
    <t>D-19408</t>
  </si>
  <si>
    <t>D-19409</t>
  </si>
  <si>
    <t>D-19410</t>
  </si>
  <si>
    <t>D-19411</t>
  </si>
  <si>
    <t>D-19412</t>
  </si>
  <si>
    <t>D-19413</t>
  </si>
  <si>
    <t>D-19414</t>
  </si>
  <si>
    <t>D-19415</t>
  </si>
  <si>
    <t>D-19416</t>
  </si>
  <si>
    <t>D-19417</t>
  </si>
  <si>
    <t>D-19418</t>
  </si>
  <si>
    <t>D-19419</t>
  </si>
  <si>
    <t>D-19420</t>
  </si>
  <si>
    <t>15-Jul-17--23-Jul-17</t>
  </si>
  <si>
    <t>D-19421</t>
  </si>
  <si>
    <t>D-19422</t>
  </si>
  <si>
    <t>D-19423</t>
  </si>
  <si>
    <t>D-19424</t>
  </si>
  <si>
    <t>D-19425</t>
  </si>
  <si>
    <t>D-19426</t>
  </si>
  <si>
    <t>D-19427</t>
  </si>
  <si>
    <t>D-19428</t>
  </si>
  <si>
    <t>D-19429</t>
  </si>
  <si>
    <t>D-19430</t>
  </si>
  <si>
    <t>D-19431</t>
  </si>
  <si>
    <t>D-19432</t>
  </si>
  <si>
    <t>D-19433</t>
  </si>
  <si>
    <t>D-19434</t>
  </si>
  <si>
    <t>D-19435</t>
  </si>
  <si>
    <t>D-19436</t>
  </si>
  <si>
    <t>D-19437</t>
  </si>
  <si>
    <t>D-19438</t>
  </si>
  <si>
    <t>D-19439</t>
  </si>
  <si>
    <t>D-19440</t>
  </si>
  <si>
    <t>D-19441</t>
  </si>
  <si>
    <t>D-19442</t>
  </si>
  <si>
    <t>D-19443</t>
  </si>
  <si>
    <t>D-19444</t>
  </si>
  <si>
    <t>D-19445</t>
  </si>
  <si>
    <t>D-19446</t>
  </si>
  <si>
    <t>D-19447</t>
  </si>
  <si>
    <t>D-19448</t>
  </si>
  <si>
    <t>D-19449</t>
  </si>
  <si>
    <t>D-19450</t>
  </si>
  <si>
    <t>D-19451</t>
  </si>
  <si>
    <t>D-19452</t>
  </si>
  <si>
    <t>D-19453</t>
  </si>
  <si>
    <t>D-19454</t>
  </si>
  <si>
    <t>D-19455</t>
  </si>
  <si>
    <t>D-19456</t>
  </si>
  <si>
    <t>D-19457</t>
  </si>
  <si>
    <t>D-19458</t>
  </si>
  <si>
    <t>D-19459</t>
  </si>
  <si>
    <t>D-19460</t>
  </si>
  <si>
    <t>D-19461</t>
  </si>
  <si>
    <t>D-19462</t>
  </si>
  <si>
    <t>D-19463</t>
  </si>
  <si>
    <t>13-Jul-17--14-Jul-17</t>
  </si>
  <si>
    <t>D-19464</t>
  </si>
  <si>
    <t>D-19465</t>
  </si>
  <si>
    <t>D-19466</t>
  </si>
  <si>
    <t>D-19467</t>
  </si>
  <si>
    <t>D-19468</t>
  </si>
  <si>
    <t>D-19469</t>
  </si>
  <si>
    <t>D-19470</t>
  </si>
  <si>
    <t>D-19471</t>
  </si>
  <si>
    <t>D-19472</t>
  </si>
  <si>
    <t>D-19473</t>
  </si>
  <si>
    <t>D-19474</t>
  </si>
  <si>
    <t>D-19475</t>
  </si>
  <si>
    <t>D-19476</t>
  </si>
  <si>
    <t>13-Jul-17---14-Jul-17</t>
  </si>
  <si>
    <t>D-19477</t>
  </si>
  <si>
    <t>D-19478</t>
  </si>
  <si>
    <t>D-19479</t>
  </si>
  <si>
    <t>D-19480</t>
  </si>
  <si>
    <t>D-19481</t>
  </si>
  <si>
    <t>D-19482</t>
  </si>
  <si>
    <t>D-19483</t>
  </si>
  <si>
    <t>D-19484</t>
  </si>
  <si>
    <t>D-19485</t>
  </si>
  <si>
    <t>D-19486</t>
  </si>
  <si>
    <t>D-19487</t>
  </si>
  <si>
    <t>D-19488</t>
  </si>
  <si>
    <t>D-19489</t>
  </si>
  <si>
    <t>D-19490</t>
  </si>
  <si>
    <t>D-19491</t>
  </si>
  <si>
    <t>D-19492</t>
  </si>
  <si>
    <t>D-19493</t>
  </si>
  <si>
    <t>D-19494</t>
  </si>
  <si>
    <t>D-19495</t>
  </si>
  <si>
    <t>D-19496</t>
  </si>
  <si>
    <t>D-19497</t>
  </si>
  <si>
    <t>D-19498</t>
  </si>
  <si>
    <t>D-19499</t>
  </si>
  <si>
    <t>D-19500</t>
  </si>
  <si>
    <t>D-19501</t>
  </si>
  <si>
    <t>D-19502</t>
  </si>
  <si>
    <t>D-19503</t>
  </si>
  <si>
    <t>D-19504</t>
  </si>
  <si>
    <t>D-19505</t>
  </si>
  <si>
    <t>D-19506</t>
  </si>
  <si>
    <t>D-19507</t>
  </si>
  <si>
    <t>D-19508</t>
  </si>
  <si>
    <t>D-19509</t>
  </si>
  <si>
    <t>D-19510</t>
  </si>
  <si>
    <t>D-19511</t>
  </si>
  <si>
    <t>D-19512</t>
  </si>
  <si>
    <t>D-19513</t>
  </si>
  <si>
    <t>D-19514</t>
  </si>
  <si>
    <t>D-19515</t>
  </si>
  <si>
    <t>D-19516</t>
  </si>
  <si>
    <t>D-19517</t>
  </si>
  <si>
    <t>D-19518</t>
  </si>
  <si>
    <t>D-19519</t>
  </si>
  <si>
    <t>D-19520</t>
  </si>
  <si>
    <t>D-19521</t>
  </si>
  <si>
    <t>D-19522</t>
  </si>
  <si>
    <t>D-19523</t>
  </si>
  <si>
    <t>D-19524</t>
  </si>
  <si>
    <t>D-19525</t>
  </si>
  <si>
    <t>D-19526</t>
  </si>
  <si>
    <t>D-19527</t>
  </si>
  <si>
    <t>D-19528</t>
  </si>
  <si>
    <t>D-19529</t>
  </si>
  <si>
    <t>D-19530</t>
  </si>
  <si>
    <t>D-19531</t>
  </si>
  <si>
    <t>D-19532</t>
  </si>
  <si>
    <t>D-19533</t>
  </si>
  <si>
    <t>D-19534</t>
  </si>
  <si>
    <t>D-19535</t>
  </si>
  <si>
    <t>12-Jul-17--17-Jul-17</t>
  </si>
  <si>
    <t>D-19536</t>
  </si>
  <si>
    <t>D-19537</t>
  </si>
  <si>
    <t>D-19538</t>
  </si>
  <si>
    <t>D-19539</t>
  </si>
  <si>
    <t>D-19540</t>
  </si>
  <si>
    <t>D-19541</t>
  </si>
  <si>
    <t>D-19542</t>
  </si>
  <si>
    <t>D-19543</t>
  </si>
  <si>
    <t>D-19544</t>
  </si>
  <si>
    <t>D-19545</t>
  </si>
  <si>
    <t>D-19546</t>
  </si>
  <si>
    <t>D-19547</t>
  </si>
  <si>
    <t>D-19548</t>
  </si>
  <si>
    <t>D-19549</t>
  </si>
  <si>
    <t>D-19550</t>
  </si>
  <si>
    <t>D-19551</t>
  </si>
  <si>
    <t>D-19552</t>
  </si>
  <si>
    <t>D-19553</t>
  </si>
  <si>
    <t>D-19554</t>
  </si>
  <si>
    <t>D-19555</t>
  </si>
  <si>
    <t>D-19556</t>
  </si>
  <si>
    <t>D-19557</t>
  </si>
  <si>
    <t>D-19558</t>
  </si>
  <si>
    <t>D-19559</t>
  </si>
  <si>
    <t>D-19560</t>
  </si>
  <si>
    <t>D-19561</t>
  </si>
  <si>
    <t>D-19562</t>
  </si>
  <si>
    <t>D-19563</t>
  </si>
  <si>
    <t>D-19564</t>
  </si>
  <si>
    <t>D-19565</t>
  </si>
  <si>
    <t>D-19566</t>
  </si>
  <si>
    <t>D-19567</t>
  </si>
  <si>
    <t>D-19568</t>
  </si>
  <si>
    <t>D-19569</t>
  </si>
  <si>
    <t>D-19570</t>
  </si>
  <si>
    <t>D-19571</t>
  </si>
  <si>
    <t>D-19572</t>
  </si>
  <si>
    <t>D-19573</t>
  </si>
  <si>
    <t>D-19574</t>
  </si>
  <si>
    <t>D-19575</t>
  </si>
  <si>
    <t>D-19576</t>
  </si>
  <si>
    <t>D-19577</t>
  </si>
  <si>
    <t>D-19578</t>
  </si>
  <si>
    <t>D-19579</t>
  </si>
  <si>
    <t>D-19580</t>
  </si>
  <si>
    <t>D-19581</t>
  </si>
  <si>
    <t>D-19582</t>
  </si>
  <si>
    <t>D-19583</t>
  </si>
  <si>
    <t>D-19584</t>
  </si>
  <si>
    <t>D-19585</t>
  </si>
  <si>
    <t>D-19586</t>
  </si>
  <si>
    <t>D-19587</t>
  </si>
  <si>
    <t>D-19588</t>
  </si>
  <si>
    <t>D-19589</t>
  </si>
  <si>
    <t>D-19590</t>
  </si>
  <si>
    <t>D-19591</t>
  </si>
  <si>
    <t>D-19592</t>
  </si>
  <si>
    <t>D-19593</t>
  </si>
  <si>
    <t>D-19594</t>
  </si>
  <si>
    <t>D-19595</t>
  </si>
  <si>
    <t>D-19596</t>
  </si>
  <si>
    <t>D-19597</t>
  </si>
  <si>
    <t>D-19598</t>
  </si>
  <si>
    <t>D-19599</t>
  </si>
  <si>
    <t>D-19600</t>
  </si>
  <si>
    <t>D-19601</t>
  </si>
  <si>
    <t>D-19602</t>
  </si>
  <si>
    <t>15-Jul-17--18-Jul-17</t>
  </si>
  <si>
    <t>D-19603</t>
  </si>
  <si>
    <t>D-19604</t>
  </si>
  <si>
    <t>D-19605</t>
  </si>
  <si>
    <t>D-19606</t>
  </si>
  <si>
    <t>D-19607</t>
  </si>
  <si>
    <t>D-19608</t>
  </si>
  <si>
    <t>D-19609</t>
  </si>
  <si>
    <t>D-19610</t>
  </si>
  <si>
    <t>D-19611</t>
  </si>
  <si>
    <t>D-19612</t>
  </si>
  <si>
    <t>D-19613</t>
  </si>
  <si>
    <t>D-19614</t>
  </si>
  <si>
    <t>D-19615</t>
  </si>
  <si>
    <t>D-19616</t>
  </si>
  <si>
    <t>D-19617</t>
  </si>
  <si>
    <t>D-19618</t>
  </si>
  <si>
    <t>D-19619</t>
  </si>
  <si>
    <t>D-19620</t>
  </si>
  <si>
    <t>D-19621</t>
  </si>
  <si>
    <t>D-19622</t>
  </si>
  <si>
    <t>D-19623</t>
  </si>
  <si>
    <t>D-19624</t>
  </si>
  <si>
    <t>D-19625</t>
  </si>
  <si>
    <t>D-19626</t>
  </si>
  <si>
    <t>D-19627</t>
  </si>
  <si>
    <t>D-19628</t>
  </si>
  <si>
    <t>D-19629</t>
  </si>
  <si>
    <t>D-19630</t>
  </si>
  <si>
    <t>D-19631</t>
  </si>
  <si>
    <t>D-19632</t>
  </si>
  <si>
    <t>D-19633</t>
  </si>
  <si>
    <t>D-19634</t>
  </si>
  <si>
    <t>D-19635</t>
  </si>
  <si>
    <t>D-19636</t>
  </si>
  <si>
    <t>D-19637</t>
  </si>
  <si>
    <t>D-19638</t>
  </si>
  <si>
    <t>D-19639</t>
  </si>
  <si>
    <t>D-19640</t>
  </si>
  <si>
    <t>D-19641</t>
  </si>
  <si>
    <t>D-19642</t>
  </si>
  <si>
    <t>D-19643</t>
  </si>
  <si>
    <t>D-19644</t>
  </si>
  <si>
    <t>D-19645</t>
  </si>
  <si>
    <t>D-19646</t>
  </si>
  <si>
    <t>D-19647</t>
  </si>
  <si>
    <t>D-19648</t>
  </si>
  <si>
    <t>D-19649</t>
  </si>
  <si>
    <t>D-19650</t>
  </si>
  <si>
    <t>D-19651</t>
  </si>
  <si>
    <t>D-19652</t>
  </si>
  <si>
    <t>D-19653</t>
  </si>
  <si>
    <t>D-19654</t>
  </si>
  <si>
    <t>D-19655</t>
  </si>
  <si>
    <t>D-19656</t>
  </si>
  <si>
    <t>D-19657</t>
  </si>
  <si>
    <t>D-19658</t>
  </si>
  <si>
    <t>D-19659</t>
  </si>
  <si>
    <t>D-19660</t>
  </si>
  <si>
    <t>D-19661</t>
  </si>
  <si>
    <t>D-19662</t>
  </si>
  <si>
    <t>D-19663</t>
  </si>
  <si>
    <t>D-19664</t>
  </si>
  <si>
    <t>D-19665</t>
  </si>
  <si>
    <t>D-19666</t>
  </si>
  <si>
    <t>D-19667</t>
  </si>
  <si>
    <t>D-19668</t>
  </si>
  <si>
    <t>D-19669</t>
  </si>
  <si>
    <t>D-19670</t>
  </si>
  <si>
    <t>D-19671</t>
  </si>
  <si>
    <t>D-19672</t>
  </si>
  <si>
    <t>D-19673</t>
  </si>
  <si>
    <t>D-19674</t>
  </si>
  <si>
    <t>D-19675</t>
  </si>
  <si>
    <t>D-19676</t>
  </si>
  <si>
    <t>D-19677</t>
  </si>
  <si>
    <t>D-19678</t>
  </si>
  <si>
    <t>D-19679</t>
  </si>
  <si>
    <t>D-19680</t>
  </si>
  <si>
    <t>D-19681</t>
  </si>
  <si>
    <t>D-19682</t>
  </si>
  <si>
    <t>(693)DESIDERIO ZOQUIAPA</t>
  </si>
  <si>
    <t>D-19683</t>
  </si>
  <si>
    <t>D-19684</t>
  </si>
  <si>
    <t>D-19685</t>
  </si>
  <si>
    <t>D-19686</t>
  </si>
  <si>
    <t>D-19687</t>
  </si>
  <si>
    <t>D-19688</t>
  </si>
  <si>
    <t>D-19689</t>
  </si>
  <si>
    <t>17-Jul-17---18-Jul-17</t>
  </si>
  <si>
    <t>D-19690</t>
  </si>
  <si>
    <t>D-19691</t>
  </si>
  <si>
    <t>D-19692</t>
  </si>
  <si>
    <t>D-19693</t>
  </si>
  <si>
    <t>D-19694</t>
  </si>
  <si>
    <t>D-19695</t>
  </si>
  <si>
    <t>D-19696</t>
  </si>
  <si>
    <t>D-19697</t>
  </si>
  <si>
    <t>D-19698</t>
  </si>
  <si>
    <t>D-19699</t>
  </si>
  <si>
    <t>D-19700</t>
  </si>
  <si>
    <t>D-19701</t>
  </si>
  <si>
    <t>D-19702</t>
  </si>
  <si>
    <t>D-19703</t>
  </si>
  <si>
    <t>D-19704</t>
  </si>
  <si>
    <t>D-19705</t>
  </si>
  <si>
    <t>D-19706</t>
  </si>
  <si>
    <t>D-19707</t>
  </si>
  <si>
    <t>D-19708</t>
  </si>
  <si>
    <t>D-19709</t>
  </si>
  <si>
    <t>D-19710</t>
  </si>
  <si>
    <t>D-19711</t>
  </si>
  <si>
    <t>D-19712</t>
  </si>
  <si>
    <t>D-19713</t>
  </si>
  <si>
    <t>D-19714</t>
  </si>
  <si>
    <t>D-19715</t>
  </si>
  <si>
    <t>D-19716</t>
  </si>
  <si>
    <t>D-19717</t>
  </si>
  <si>
    <t>D-19718</t>
  </si>
  <si>
    <t>D-19719</t>
  </si>
  <si>
    <t>D-19720</t>
  </si>
  <si>
    <t>D-19721</t>
  </si>
  <si>
    <t>D-19722</t>
  </si>
  <si>
    <t>D-19723</t>
  </si>
  <si>
    <t>D-19724</t>
  </si>
  <si>
    <t>D-19725</t>
  </si>
  <si>
    <t>D-19726</t>
  </si>
  <si>
    <t>D-19727</t>
  </si>
  <si>
    <t>D-19728</t>
  </si>
  <si>
    <t>D-19729</t>
  </si>
  <si>
    <t>D-19730</t>
  </si>
  <si>
    <t>D-19731</t>
  </si>
  <si>
    <t>D-19732</t>
  </si>
  <si>
    <t>D-19733</t>
  </si>
  <si>
    <t>D-19734</t>
  </si>
  <si>
    <t>D-19735</t>
  </si>
  <si>
    <t>(158)MINERVA  PEREZ HERNANDEZ</t>
  </si>
  <si>
    <t>D-19736</t>
  </si>
  <si>
    <t>D-19737</t>
  </si>
  <si>
    <t>D-19738</t>
  </si>
  <si>
    <t>(215)PABLO BAUTISTA</t>
  </si>
  <si>
    <t>D-19739</t>
  </si>
  <si>
    <t>D-19740</t>
  </si>
  <si>
    <t>D-19741</t>
  </si>
  <si>
    <t>D-19742</t>
  </si>
  <si>
    <t>D-19743</t>
  </si>
  <si>
    <t>D-19744</t>
  </si>
  <si>
    <t>D-19745</t>
  </si>
  <si>
    <t>D-19746</t>
  </si>
  <si>
    <t>D-19747</t>
  </si>
  <si>
    <t>D-19748</t>
  </si>
  <si>
    <t>D-19749</t>
  </si>
  <si>
    <t>D-19750</t>
  </si>
  <si>
    <t>D-19751</t>
  </si>
  <si>
    <t>D-19752</t>
  </si>
  <si>
    <t>D-19753</t>
  </si>
  <si>
    <t>D-19754</t>
  </si>
  <si>
    <t>D-19755</t>
  </si>
  <si>
    <t>D-19756</t>
  </si>
  <si>
    <t>D-19757</t>
  </si>
  <si>
    <t>D-19758</t>
  </si>
  <si>
    <t>D-19759</t>
  </si>
  <si>
    <t>D-19760</t>
  </si>
  <si>
    <t>D-19761</t>
  </si>
  <si>
    <t>D-19762</t>
  </si>
  <si>
    <t>D-19763</t>
  </si>
  <si>
    <t>D-19764</t>
  </si>
  <si>
    <t>D-19765</t>
  </si>
  <si>
    <t>D-19766</t>
  </si>
  <si>
    <t>D-19767</t>
  </si>
  <si>
    <t>D-19768</t>
  </si>
  <si>
    <t>D-19769</t>
  </si>
  <si>
    <t>D-19770</t>
  </si>
  <si>
    <t>D-19771</t>
  </si>
  <si>
    <t>D-19772</t>
  </si>
  <si>
    <t>D-19773</t>
  </si>
  <si>
    <t>D-19774</t>
  </si>
  <si>
    <t>D-19775</t>
  </si>
  <si>
    <t>D-19776</t>
  </si>
  <si>
    <t>D-19777</t>
  </si>
  <si>
    <t>D-19778</t>
  </si>
  <si>
    <t>D-19779</t>
  </si>
  <si>
    <t>D-19780</t>
  </si>
  <si>
    <t>D-19781</t>
  </si>
  <si>
    <t>D-19782</t>
  </si>
  <si>
    <t>D-19783</t>
  </si>
  <si>
    <t>D-19784</t>
  </si>
  <si>
    <t>D-19785</t>
  </si>
  <si>
    <t>D-19786</t>
  </si>
  <si>
    <t>D-19787</t>
  </si>
  <si>
    <t>D-19788</t>
  </si>
  <si>
    <t>D-19789</t>
  </si>
  <si>
    <t>D-19790</t>
  </si>
  <si>
    <t>D-19791</t>
  </si>
  <si>
    <t>D-19792</t>
  </si>
  <si>
    <t>D-19793</t>
  </si>
  <si>
    <t>D-19794</t>
  </si>
  <si>
    <t>D-19795</t>
  </si>
  <si>
    <t>D-19796</t>
  </si>
  <si>
    <t>D-19797</t>
  </si>
  <si>
    <t>D-19798</t>
  </si>
  <si>
    <t>D-19799</t>
  </si>
  <si>
    <t>D-19800</t>
  </si>
  <si>
    <t>D-19801</t>
  </si>
  <si>
    <t>D-19802</t>
  </si>
  <si>
    <t>D-19803</t>
  </si>
  <si>
    <t>D-19804</t>
  </si>
  <si>
    <t>D-19805</t>
  </si>
  <si>
    <t>D-19806</t>
  </si>
  <si>
    <t>D-19807</t>
  </si>
  <si>
    <t>D-19808</t>
  </si>
  <si>
    <t>D-19809</t>
  </si>
  <si>
    <t>D-19810</t>
  </si>
  <si>
    <t>D-19811</t>
  </si>
  <si>
    <t>D-19812</t>
  </si>
  <si>
    <t>D-19813</t>
  </si>
  <si>
    <t>D-19814</t>
  </si>
  <si>
    <t>D-19815</t>
  </si>
  <si>
    <t>D-19816</t>
  </si>
  <si>
    <t>D-19817</t>
  </si>
  <si>
    <t>D-19818</t>
  </si>
  <si>
    <t>D-19819</t>
  </si>
  <si>
    <t>D-19820</t>
  </si>
  <si>
    <t>D-19821</t>
  </si>
  <si>
    <t>D-19822</t>
  </si>
  <si>
    <t>D-19823</t>
  </si>
  <si>
    <t>D-19824</t>
  </si>
  <si>
    <t>D-19825</t>
  </si>
  <si>
    <t>D-19826</t>
  </si>
  <si>
    <t>D-19827</t>
  </si>
  <si>
    <t>17-Jul-17---20-Jul-17</t>
  </si>
  <si>
    <t>D-19828</t>
  </si>
  <si>
    <t>D-19829</t>
  </si>
  <si>
    <t>D-19830</t>
  </si>
  <si>
    <t>D-19831</t>
  </si>
  <si>
    <t>D-19832</t>
  </si>
  <si>
    <t>14--Jul-17--17-Jul-17</t>
  </si>
  <si>
    <t>D-19833</t>
  </si>
  <si>
    <t>D-19834</t>
  </si>
  <si>
    <t>D-19835</t>
  </si>
  <si>
    <t>D-19836</t>
  </si>
  <si>
    <t>D-19837</t>
  </si>
  <si>
    <t>D-19838</t>
  </si>
  <si>
    <t>D-19839</t>
  </si>
  <si>
    <t>D-19840</t>
  </si>
  <si>
    <t>D-19841</t>
  </si>
  <si>
    <t>D-19842</t>
  </si>
  <si>
    <t>D-19843</t>
  </si>
  <si>
    <t>D-19844</t>
  </si>
  <si>
    <t>D-19845</t>
  </si>
  <si>
    <t>D-19846</t>
  </si>
  <si>
    <t>D-19847</t>
  </si>
  <si>
    <t>D-19848</t>
  </si>
  <si>
    <t>D-19849</t>
  </si>
  <si>
    <t>18-Jul-17--20-Jul-17</t>
  </si>
  <si>
    <t>D-19850</t>
  </si>
  <si>
    <t>D-19851</t>
  </si>
  <si>
    <t>D-19852</t>
  </si>
  <si>
    <t>D-19853</t>
  </si>
  <si>
    <t>D-19854</t>
  </si>
  <si>
    <t>D-19855</t>
  </si>
  <si>
    <t>D-19856</t>
  </si>
  <si>
    <t>D-19857</t>
  </si>
  <si>
    <t>D-19858</t>
  </si>
  <si>
    <t>D-19859</t>
  </si>
  <si>
    <t>D-19860</t>
  </si>
  <si>
    <t>D-19861</t>
  </si>
  <si>
    <t>D-19862</t>
  </si>
  <si>
    <t>D-19863</t>
  </si>
  <si>
    <t>D-19864</t>
  </si>
  <si>
    <t>D-19865</t>
  </si>
  <si>
    <t>D-19866</t>
  </si>
  <si>
    <t>D-19867</t>
  </si>
  <si>
    <t>D-19868</t>
  </si>
  <si>
    <t>D-19869</t>
  </si>
  <si>
    <t>D-19870</t>
  </si>
  <si>
    <t>D-19871</t>
  </si>
  <si>
    <t>D-19872</t>
  </si>
  <si>
    <t>D-19873</t>
  </si>
  <si>
    <t>D-19874</t>
  </si>
  <si>
    <t>D-19875</t>
  </si>
  <si>
    <t>D-19876</t>
  </si>
  <si>
    <t>D-19877</t>
  </si>
  <si>
    <t>D-19878</t>
  </si>
  <si>
    <t>D-19879</t>
  </si>
  <si>
    <t>D-19880</t>
  </si>
  <si>
    <t>D-19881</t>
  </si>
  <si>
    <t>D-19882</t>
  </si>
  <si>
    <t>D-19883</t>
  </si>
  <si>
    <t>D-19884</t>
  </si>
  <si>
    <t>D-19885</t>
  </si>
  <si>
    <t>D-19886</t>
  </si>
  <si>
    <t>D-19887</t>
  </si>
  <si>
    <t>D-19888</t>
  </si>
  <si>
    <t>D-19889</t>
  </si>
  <si>
    <t>D-19890</t>
  </si>
  <si>
    <t>D-19891</t>
  </si>
  <si>
    <t>D-19892</t>
  </si>
  <si>
    <t>D-19893</t>
  </si>
  <si>
    <t>D-19894</t>
  </si>
  <si>
    <t>D-19895</t>
  </si>
  <si>
    <t>D-19896</t>
  </si>
  <si>
    <t>D-19897</t>
  </si>
  <si>
    <t>D-19898</t>
  </si>
  <si>
    <t>D-19899</t>
  </si>
  <si>
    <t>D-19900</t>
  </si>
  <si>
    <t>D-19901</t>
  </si>
  <si>
    <t>D-19902</t>
  </si>
  <si>
    <t>D-19903</t>
  </si>
  <si>
    <t>D-19904</t>
  </si>
  <si>
    <t>D-19905</t>
  </si>
  <si>
    <t>D-19906</t>
  </si>
  <si>
    <t>D-19907</t>
  </si>
  <si>
    <t>D-19908</t>
  </si>
  <si>
    <t>D-19909</t>
  </si>
  <si>
    <t>D-19910</t>
  </si>
  <si>
    <t>D-19911</t>
  </si>
  <si>
    <t>D-19912</t>
  </si>
  <si>
    <t>D-19913</t>
  </si>
  <si>
    <t>D-19914</t>
  </si>
  <si>
    <t>D-19915</t>
  </si>
  <si>
    <t>D-19916</t>
  </si>
  <si>
    <t>D-19917</t>
  </si>
  <si>
    <t>D-19918</t>
  </si>
  <si>
    <t>D-19919</t>
  </si>
  <si>
    <t>D-19920</t>
  </si>
  <si>
    <t>D-19921</t>
  </si>
  <si>
    <t>D-19922</t>
  </si>
  <si>
    <t>D-19923</t>
  </si>
  <si>
    <t>D-19924</t>
  </si>
  <si>
    <t>D-19925</t>
  </si>
  <si>
    <t>D-19926</t>
  </si>
  <si>
    <t>D-19927</t>
  </si>
  <si>
    <t>D-19928</t>
  </si>
  <si>
    <t>D-19929</t>
  </si>
  <si>
    <t>D-19930</t>
  </si>
  <si>
    <t>D-19931</t>
  </si>
  <si>
    <t>D-19932</t>
  </si>
  <si>
    <t>D-19933</t>
  </si>
  <si>
    <t>D-19934</t>
  </si>
  <si>
    <t>D-19935</t>
  </si>
  <si>
    <t>D-19936</t>
  </si>
  <si>
    <t>D-19937</t>
  </si>
  <si>
    <t>D-19938</t>
  </si>
  <si>
    <t>D-19939</t>
  </si>
  <si>
    <t>D-19940</t>
  </si>
  <si>
    <t>D-19941</t>
  </si>
  <si>
    <t>D-19942</t>
  </si>
  <si>
    <t>D-19943</t>
  </si>
  <si>
    <t>D-19944</t>
  </si>
  <si>
    <t>D-19945</t>
  </si>
  <si>
    <t>D-19946</t>
  </si>
  <si>
    <t>D-19947</t>
  </si>
  <si>
    <t>D-19948</t>
  </si>
  <si>
    <t>D-19949</t>
  </si>
  <si>
    <t>D-19950</t>
  </si>
  <si>
    <t>D-19951</t>
  </si>
  <si>
    <t>D-19952</t>
  </si>
  <si>
    <t>D-19953</t>
  </si>
  <si>
    <t>D-19954</t>
  </si>
  <si>
    <t>D-19955</t>
  </si>
  <si>
    <t>D-19956</t>
  </si>
  <si>
    <t>D-19957</t>
  </si>
  <si>
    <t>D-19958</t>
  </si>
  <si>
    <t>D-19959</t>
  </si>
  <si>
    <t>D-19960</t>
  </si>
  <si>
    <t>D-19961</t>
  </si>
  <si>
    <t>D-19962</t>
  </si>
  <si>
    <t>D-19963</t>
  </si>
  <si>
    <t>D-19964</t>
  </si>
  <si>
    <t>D-19965</t>
  </si>
  <si>
    <t>D-19966</t>
  </si>
  <si>
    <t>D-19967</t>
  </si>
  <si>
    <t>D-19968</t>
  </si>
  <si>
    <t>D-19969</t>
  </si>
  <si>
    <t>D-19970</t>
  </si>
  <si>
    <t>D-19971</t>
  </si>
  <si>
    <t>D-19972</t>
  </si>
  <si>
    <t>D-19973</t>
  </si>
  <si>
    <t>D-19974</t>
  </si>
  <si>
    <t>D-19975</t>
  </si>
  <si>
    <t>D-19976</t>
  </si>
  <si>
    <t>D-19977</t>
  </si>
  <si>
    <t>D-19978</t>
  </si>
  <si>
    <t>D-19979</t>
  </si>
  <si>
    <t>D-19980</t>
  </si>
  <si>
    <t>D-19981</t>
  </si>
  <si>
    <t>D-19982</t>
  </si>
  <si>
    <t>D-19983</t>
  </si>
  <si>
    <t>D-19984</t>
  </si>
  <si>
    <t>D-19985</t>
  </si>
  <si>
    <t>D-19986</t>
  </si>
  <si>
    <t>D-19987</t>
  </si>
  <si>
    <t>D-19988</t>
  </si>
  <si>
    <t>D-19989</t>
  </si>
  <si>
    <t>D-19990</t>
  </si>
  <si>
    <t>D-19991</t>
  </si>
  <si>
    <t>D-19992</t>
  </si>
  <si>
    <t>D-19993</t>
  </si>
  <si>
    <t>D-19994</t>
  </si>
  <si>
    <t>22-Jul-17---24-Jul-17</t>
  </si>
  <si>
    <t>D-19995</t>
  </si>
  <si>
    <t>D-19996</t>
  </si>
  <si>
    <t>D-19997</t>
  </si>
  <si>
    <t>D-19998</t>
  </si>
  <si>
    <t>19-Jul-17--20-JUL-17---21-Jul-17</t>
  </si>
  <si>
    <t>D-19999</t>
  </si>
  <si>
    <t>18-Jul-17---19-Jul-17</t>
  </si>
  <si>
    <t>D-20000</t>
  </si>
  <si>
    <t>D-20001</t>
  </si>
  <si>
    <t>D-20002</t>
  </si>
  <si>
    <t>18-Jul-17---21-Jul-17</t>
  </si>
  <si>
    <t>D-20003</t>
  </si>
  <si>
    <t>D-20004</t>
  </si>
  <si>
    <t>D-20005</t>
  </si>
  <si>
    <t>D-20006</t>
  </si>
  <si>
    <t>D-20007</t>
  </si>
  <si>
    <t>D-20008</t>
  </si>
  <si>
    <t>D-20009</t>
  </si>
  <si>
    <t>D-20010</t>
  </si>
  <si>
    <t>D-20011</t>
  </si>
  <si>
    <t>D-20012</t>
  </si>
  <si>
    <t>D-20013</t>
  </si>
  <si>
    <t>D-20014</t>
  </si>
  <si>
    <t>D-20015</t>
  </si>
  <si>
    <t>D-20016</t>
  </si>
  <si>
    <t>D-20017</t>
  </si>
  <si>
    <t>D-20018</t>
  </si>
  <si>
    <t>D-20019</t>
  </si>
  <si>
    <t>D-20020</t>
  </si>
  <si>
    <t>D-20021</t>
  </si>
  <si>
    <t>D-20022</t>
  </si>
  <si>
    <t>D-20023</t>
  </si>
  <si>
    <t>D-20024</t>
  </si>
  <si>
    <t>D-20025</t>
  </si>
  <si>
    <t>D-20026</t>
  </si>
  <si>
    <t>D-20027</t>
  </si>
  <si>
    <t>D-20028</t>
  </si>
  <si>
    <t>D-20029</t>
  </si>
  <si>
    <t>D-20030</t>
  </si>
  <si>
    <t>D-20031</t>
  </si>
  <si>
    <t>D-20032</t>
  </si>
  <si>
    <t>D-20033</t>
  </si>
  <si>
    <t>D-20034</t>
  </si>
  <si>
    <t>D-20035</t>
  </si>
  <si>
    <t>D-20036</t>
  </si>
  <si>
    <t>D-20037</t>
  </si>
  <si>
    <t>D-20038</t>
  </si>
  <si>
    <t>D-20039</t>
  </si>
  <si>
    <t>D-20040</t>
  </si>
  <si>
    <t>D-20041</t>
  </si>
  <si>
    <t>D-20042</t>
  </si>
  <si>
    <t>D-20043</t>
  </si>
  <si>
    <t>D-20044</t>
  </si>
  <si>
    <t>D-20045</t>
  </si>
  <si>
    <t>D-20046</t>
  </si>
  <si>
    <t>D-20047</t>
  </si>
  <si>
    <t>D-20048</t>
  </si>
  <si>
    <t>D-20049</t>
  </si>
  <si>
    <t>D-20050</t>
  </si>
  <si>
    <t>D-20051</t>
  </si>
  <si>
    <t>D-20052</t>
  </si>
  <si>
    <t>D-20053</t>
  </si>
  <si>
    <t>D-20054</t>
  </si>
  <si>
    <t>D-20055</t>
  </si>
  <si>
    <t>D-20056</t>
  </si>
  <si>
    <t>D-20057</t>
  </si>
  <si>
    <t>D-20058</t>
  </si>
  <si>
    <t>D-20059</t>
  </si>
  <si>
    <t>D-20060</t>
  </si>
  <si>
    <t>D-20061</t>
  </si>
  <si>
    <t>D-20062</t>
  </si>
  <si>
    <t>D-20063</t>
  </si>
  <si>
    <t>D-20064</t>
  </si>
  <si>
    <t>D-20065</t>
  </si>
  <si>
    <t>D-20066</t>
  </si>
  <si>
    <t>D-20067</t>
  </si>
  <si>
    <t>D-20068</t>
  </si>
  <si>
    <t>D-20069</t>
  </si>
  <si>
    <t>D-20070</t>
  </si>
  <si>
    <t>D-20071</t>
  </si>
  <si>
    <t>D-20072</t>
  </si>
  <si>
    <t>D-20073</t>
  </si>
  <si>
    <t>D-20074</t>
  </si>
  <si>
    <t>D-20075</t>
  </si>
  <si>
    <t>D-20076</t>
  </si>
  <si>
    <t>D-20077</t>
  </si>
  <si>
    <t>D-20078</t>
  </si>
  <si>
    <t>D-20079</t>
  </si>
  <si>
    <t>D-20080</t>
  </si>
  <si>
    <t>D-20081</t>
  </si>
  <si>
    <t>D-20082</t>
  </si>
  <si>
    <t>D-20083</t>
  </si>
  <si>
    <t>D-20084</t>
  </si>
  <si>
    <t>D-20085</t>
  </si>
  <si>
    <t>D-20086</t>
  </si>
  <si>
    <t>D-20087</t>
  </si>
  <si>
    <t>D-20088</t>
  </si>
  <si>
    <t>D-20089</t>
  </si>
  <si>
    <t>D-20090</t>
  </si>
  <si>
    <t>D-20091</t>
  </si>
  <si>
    <t>D-20092</t>
  </si>
  <si>
    <t>D-20093</t>
  </si>
  <si>
    <t>D-20094</t>
  </si>
  <si>
    <t>D-20095</t>
  </si>
  <si>
    <t>D-20096</t>
  </si>
  <si>
    <t>D-20097</t>
  </si>
  <si>
    <t>D-20098</t>
  </si>
  <si>
    <t>D-20099</t>
  </si>
  <si>
    <t>D-20100</t>
  </si>
  <si>
    <t>D-20101</t>
  </si>
  <si>
    <t>D-20102</t>
  </si>
  <si>
    <t>D-20103</t>
  </si>
  <si>
    <t>D-20104</t>
  </si>
  <si>
    <t>D-20105</t>
  </si>
  <si>
    <t>D-20106</t>
  </si>
  <si>
    <t>D-20107</t>
  </si>
  <si>
    <t>D-20108</t>
  </si>
  <si>
    <t>D-20109</t>
  </si>
  <si>
    <t>D-20110</t>
  </si>
  <si>
    <t>17-Jul-17----20-Jul-17</t>
  </si>
  <si>
    <t>D-20111</t>
  </si>
  <si>
    <t>D-20112</t>
  </si>
  <si>
    <t>D-20113</t>
  </si>
  <si>
    <t>D-20114</t>
  </si>
  <si>
    <t>D-20115</t>
  </si>
  <si>
    <t>D-20116</t>
  </si>
  <si>
    <t>D-20117</t>
  </si>
  <si>
    <t>D-20118</t>
  </si>
  <si>
    <t>D-20119</t>
  </si>
  <si>
    <t>D-20120</t>
  </si>
  <si>
    <t>D-20121</t>
  </si>
  <si>
    <t>D-20122</t>
  </si>
  <si>
    <t>D-20123</t>
  </si>
  <si>
    <t>D-20124</t>
  </si>
  <si>
    <t>D-20125</t>
  </si>
  <si>
    <t>Sin ORIGINAL NI COPIA AZUL</t>
  </si>
  <si>
    <t>D-20126</t>
  </si>
  <si>
    <t>D-20127</t>
  </si>
  <si>
    <t>D-20128</t>
  </si>
  <si>
    <t>D-20129</t>
  </si>
  <si>
    <t>D-20130</t>
  </si>
  <si>
    <t>D-20131</t>
  </si>
  <si>
    <t>D-20132</t>
  </si>
  <si>
    <t>D-20133</t>
  </si>
  <si>
    <t>D-20134</t>
  </si>
  <si>
    <t>D-20135</t>
  </si>
  <si>
    <t>D-20136</t>
  </si>
  <si>
    <t>D-20137</t>
  </si>
  <si>
    <t>D-20138</t>
  </si>
  <si>
    <t>D-20139</t>
  </si>
  <si>
    <t>D-20140</t>
  </si>
  <si>
    <t>D-20141</t>
  </si>
  <si>
    <t>D-20142</t>
  </si>
  <si>
    <t>D-20143</t>
  </si>
  <si>
    <t>D-20144</t>
  </si>
  <si>
    <t>D-20145</t>
  </si>
  <si>
    <t>D-20146</t>
  </si>
  <si>
    <t>D-20147</t>
  </si>
  <si>
    <t>D-20148</t>
  </si>
  <si>
    <t>D-20149</t>
  </si>
  <si>
    <t>D-20150</t>
  </si>
  <si>
    <t>D-20151</t>
  </si>
  <si>
    <t>D-20152</t>
  </si>
  <si>
    <t>D-20153</t>
  </si>
  <si>
    <t>D-20154</t>
  </si>
  <si>
    <t>D-20155</t>
  </si>
  <si>
    <t>D-20156</t>
  </si>
  <si>
    <t>D-20157</t>
  </si>
  <si>
    <t>D-20158</t>
  </si>
  <si>
    <t>D-20159</t>
  </si>
  <si>
    <t>D-20160</t>
  </si>
  <si>
    <t>D-20161</t>
  </si>
  <si>
    <t>D-20162</t>
  </si>
  <si>
    <t>D-20163</t>
  </si>
  <si>
    <t>D-20164</t>
  </si>
  <si>
    <t>D-20165</t>
  </si>
  <si>
    <t>D-20166</t>
  </si>
  <si>
    <t>D-20167</t>
  </si>
  <si>
    <t>D-20168</t>
  </si>
  <si>
    <t>D-20169</t>
  </si>
  <si>
    <t>D-20170</t>
  </si>
  <si>
    <t>D-20171</t>
  </si>
  <si>
    <t>D-20172</t>
  </si>
  <si>
    <t>D-20173</t>
  </si>
  <si>
    <t>D-20174</t>
  </si>
  <si>
    <t>D-20175</t>
  </si>
  <si>
    <t>D-20176</t>
  </si>
  <si>
    <t>D-20177</t>
  </si>
  <si>
    <t>19-Jul-17--21-Jul-17</t>
  </si>
  <si>
    <t>D-20178</t>
  </si>
  <si>
    <t>D-20179</t>
  </si>
  <si>
    <t>D-20180</t>
  </si>
  <si>
    <t>D-20181</t>
  </si>
  <si>
    <t>D-20182</t>
  </si>
  <si>
    <t>D-20183</t>
  </si>
  <si>
    <t>D-20184</t>
  </si>
  <si>
    <t>D-20185</t>
  </si>
  <si>
    <t>D-20186</t>
  </si>
  <si>
    <t>D-20187</t>
  </si>
  <si>
    <t>D-20188</t>
  </si>
  <si>
    <t>D-20189</t>
  </si>
  <si>
    <t>D-20190</t>
  </si>
  <si>
    <t>D-20191</t>
  </si>
  <si>
    <t>D-20192</t>
  </si>
  <si>
    <t>D-20193</t>
  </si>
  <si>
    <t>D-20194</t>
  </si>
  <si>
    <t>D-20195</t>
  </si>
  <si>
    <t>D-20196</t>
  </si>
  <si>
    <t>D-20197</t>
  </si>
  <si>
    <t>D-20198</t>
  </si>
  <si>
    <t>D-20199</t>
  </si>
  <si>
    <t>D-20200</t>
  </si>
  <si>
    <t>D-20201</t>
  </si>
  <si>
    <t>D-20202</t>
  </si>
  <si>
    <t>19-Jul-17--20-JUL-17</t>
  </si>
  <si>
    <t>D-20203</t>
  </si>
  <si>
    <t>D-20204</t>
  </si>
  <si>
    <t>D-20205</t>
  </si>
  <si>
    <t>D-20206</t>
  </si>
  <si>
    <t>D-20207</t>
  </si>
  <si>
    <t>D-20208</t>
  </si>
  <si>
    <t>D-20209</t>
  </si>
  <si>
    <t>D-20210</t>
  </si>
  <si>
    <t>D-20211</t>
  </si>
  <si>
    <t>D-20212</t>
  </si>
  <si>
    <t>D-20213</t>
  </si>
  <si>
    <t>D-20214</t>
  </si>
  <si>
    <t>D-20215</t>
  </si>
  <si>
    <t>D-20216</t>
  </si>
  <si>
    <t>D-20217</t>
  </si>
  <si>
    <t>D-20218</t>
  </si>
  <si>
    <t>D-20219</t>
  </si>
  <si>
    <t>D-20220</t>
  </si>
  <si>
    <t>D-20221</t>
  </si>
  <si>
    <t>D-20222</t>
  </si>
  <si>
    <t>D-20223</t>
  </si>
  <si>
    <t>D-20224</t>
  </si>
  <si>
    <t>D-20225</t>
  </si>
  <si>
    <t>D-20226</t>
  </si>
  <si>
    <t>18-Jul-17---20-Jul-17</t>
  </si>
  <si>
    <t>D-20227</t>
  </si>
  <si>
    <t>D-20228</t>
  </si>
  <si>
    <t>D-20229</t>
  </si>
  <si>
    <t>D-20230</t>
  </si>
  <si>
    <t>D-20231</t>
  </si>
  <si>
    <t>D-20232</t>
  </si>
  <si>
    <t>D-20233</t>
  </si>
  <si>
    <t>D-20234</t>
  </si>
  <si>
    <t>D-20235</t>
  </si>
  <si>
    <t>D-20236</t>
  </si>
  <si>
    <t>D-20237</t>
  </si>
  <si>
    <t>D-20238</t>
  </si>
  <si>
    <t>D-20239</t>
  </si>
  <si>
    <t>D-20240</t>
  </si>
  <si>
    <t>D-20241</t>
  </si>
  <si>
    <t>D-20242</t>
  </si>
  <si>
    <t>D-20243</t>
  </si>
  <si>
    <t>D-20244</t>
  </si>
  <si>
    <t>D-20245</t>
  </si>
  <si>
    <t>D-20246</t>
  </si>
  <si>
    <t>20-Jul-17----22-Jul-17</t>
  </si>
  <si>
    <t>D-20247</t>
  </si>
  <si>
    <t>D-20248</t>
  </si>
  <si>
    <t>D-20249</t>
  </si>
  <si>
    <t>D-20250</t>
  </si>
  <si>
    <t>D-20251</t>
  </si>
  <si>
    <t>D-20252</t>
  </si>
  <si>
    <t>D-20253</t>
  </si>
  <si>
    <t>D-20254</t>
  </si>
  <si>
    <t>D-20255</t>
  </si>
  <si>
    <t>D-20256</t>
  </si>
  <si>
    <t>23-Jul-17---29-Jul-17</t>
  </si>
  <si>
    <t>D-20257</t>
  </si>
  <si>
    <t>D-20258</t>
  </si>
  <si>
    <t>D-20259</t>
  </si>
  <si>
    <t>D-20260</t>
  </si>
  <si>
    <t>D-20261</t>
  </si>
  <si>
    <t>D-20262</t>
  </si>
  <si>
    <t>D-20263</t>
  </si>
  <si>
    <t>19-Jul-17---28-Jul-17</t>
  </si>
  <si>
    <t>D-20264</t>
  </si>
  <si>
    <t>D-20265</t>
  </si>
  <si>
    <t>D-20266</t>
  </si>
  <si>
    <t>D-20267</t>
  </si>
  <si>
    <t>D-20268</t>
  </si>
  <si>
    <t>D-20269</t>
  </si>
  <si>
    <t>D-20270</t>
  </si>
  <si>
    <t>D-20271</t>
  </si>
  <si>
    <t>D-20272</t>
  </si>
  <si>
    <t>D-20273</t>
  </si>
  <si>
    <t>D-20274</t>
  </si>
  <si>
    <t>D-20275</t>
  </si>
  <si>
    <t>D-20276</t>
  </si>
  <si>
    <t>D-20277</t>
  </si>
  <si>
    <t>D-20278</t>
  </si>
  <si>
    <t>D-20279</t>
  </si>
  <si>
    <t>D-20280</t>
  </si>
  <si>
    <t>D-20281</t>
  </si>
  <si>
    <t>D-20282</t>
  </si>
  <si>
    <t>D-20283</t>
  </si>
  <si>
    <t>D-20284</t>
  </si>
  <si>
    <t>D-20285</t>
  </si>
  <si>
    <t>D-20286</t>
  </si>
  <si>
    <t>D-20287</t>
  </si>
  <si>
    <t>D-20288</t>
  </si>
  <si>
    <t>D-20289</t>
  </si>
  <si>
    <t>D-20290</t>
  </si>
  <si>
    <t>D-20291</t>
  </si>
  <si>
    <t>D-20292</t>
  </si>
  <si>
    <t>D-20293</t>
  </si>
  <si>
    <t>D-20294</t>
  </si>
  <si>
    <t>D-20295</t>
  </si>
  <si>
    <t>D-20296</t>
  </si>
  <si>
    <t>D-20297</t>
  </si>
  <si>
    <t>D-20298</t>
  </si>
  <si>
    <t>D-20299</t>
  </si>
  <si>
    <t>D-20300</t>
  </si>
  <si>
    <t>D-20301</t>
  </si>
  <si>
    <t>D-20302</t>
  </si>
  <si>
    <t>D-20303</t>
  </si>
  <si>
    <t>D-20304</t>
  </si>
  <si>
    <t>D-20305</t>
  </si>
  <si>
    <t>D-20306</t>
  </si>
  <si>
    <t>D-20307</t>
  </si>
  <si>
    <t>D-20308</t>
  </si>
  <si>
    <t>D-20309</t>
  </si>
  <si>
    <t>D-20310</t>
  </si>
  <si>
    <t>D-20311</t>
  </si>
  <si>
    <t>D-20312</t>
  </si>
  <si>
    <t>D-20313</t>
  </si>
  <si>
    <t>D-20314</t>
  </si>
  <si>
    <t>D-20315</t>
  </si>
  <si>
    <t>D-20316</t>
  </si>
  <si>
    <t>D-20317</t>
  </si>
  <si>
    <t>D-20318</t>
  </si>
  <si>
    <t>D-20319</t>
  </si>
  <si>
    <t>D-20320</t>
  </si>
  <si>
    <t>D-20321</t>
  </si>
  <si>
    <t>D-20322</t>
  </si>
  <si>
    <t>D-20323</t>
  </si>
  <si>
    <t>D-20324</t>
  </si>
  <si>
    <t>D-20325</t>
  </si>
  <si>
    <t>D-20326</t>
  </si>
  <si>
    <t>D-20327</t>
  </si>
  <si>
    <t>D-20328</t>
  </si>
  <si>
    <t>D-20329</t>
  </si>
  <si>
    <t>D-20330</t>
  </si>
  <si>
    <t>D-20331</t>
  </si>
  <si>
    <t>D-20332</t>
  </si>
  <si>
    <t>D-20333</t>
  </si>
  <si>
    <t>D-20334</t>
  </si>
  <si>
    <t>19-Jul-17--20-Jul-17</t>
  </si>
  <si>
    <t>D-20335</t>
  </si>
  <si>
    <t>D-20336</t>
  </si>
  <si>
    <t>D-20337</t>
  </si>
  <si>
    <t>D-20338</t>
  </si>
  <si>
    <t>D-20339</t>
  </si>
  <si>
    <t>D-20340</t>
  </si>
  <si>
    <t>D-20341</t>
  </si>
  <si>
    <t>D-20342</t>
  </si>
  <si>
    <t>D-20343</t>
  </si>
  <si>
    <t>D-20344</t>
  </si>
  <si>
    <t>D-20345</t>
  </si>
  <si>
    <t>D-20346</t>
  </si>
  <si>
    <t>D-20347</t>
  </si>
  <si>
    <t>D-20348</t>
  </si>
  <si>
    <t>D-20349</t>
  </si>
  <si>
    <t>D-20350</t>
  </si>
  <si>
    <t>D-20351</t>
  </si>
  <si>
    <t>D-20352</t>
  </si>
  <si>
    <t>D-20353</t>
  </si>
  <si>
    <t>D-20354</t>
  </si>
  <si>
    <t>D-20355</t>
  </si>
  <si>
    <t>D-20356</t>
  </si>
  <si>
    <t>D-20357</t>
  </si>
  <si>
    <t>20-Jul-17---21-Jul-17</t>
  </si>
  <si>
    <t>D-20358</t>
  </si>
  <si>
    <t>D-20359</t>
  </si>
  <si>
    <t>D-20360</t>
  </si>
  <si>
    <t>D-20361</t>
  </si>
  <si>
    <t>21-Jul-17---24-Jul-17</t>
  </si>
  <si>
    <t>D-20362</t>
  </si>
  <si>
    <t>21-Jul-17---22-Jul-17</t>
  </si>
  <si>
    <t>D-20363</t>
  </si>
  <si>
    <t>19-Jul-17---20-Jul-17</t>
  </si>
  <si>
    <t>D-20364</t>
  </si>
  <si>
    <t>D-20365</t>
  </si>
  <si>
    <t>D-20366</t>
  </si>
  <si>
    <t>D-20367</t>
  </si>
  <si>
    <t>18-Jul-17--19-Jul-17</t>
  </si>
  <si>
    <t>D-20368</t>
  </si>
  <si>
    <t>D-20369</t>
  </si>
  <si>
    <t>D-20370</t>
  </si>
  <si>
    <t>D-20371</t>
  </si>
  <si>
    <t>D-20372</t>
  </si>
  <si>
    <t>D-20373</t>
  </si>
  <si>
    <t>D-20374</t>
  </si>
  <si>
    <t>D-20375</t>
  </si>
  <si>
    <t>D-20376</t>
  </si>
  <si>
    <t>D-20377</t>
  </si>
  <si>
    <t>D-20378</t>
  </si>
  <si>
    <t>D-20379</t>
  </si>
  <si>
    <t>D-20380</t>
  </si>
  <si>
    <t>D-20381</t>
  </si>
  <si>
    <t>D-20382</t>
  </si>
  <si>
    <t>D-20383</t>
  </si>
  <si>
    <t>D-20384</t>
  </si>
  <si>
    <t>D-20385</t>
  </si>
  <si>
    <t>D-20386</t>
  </si>
  <si>
    <t>D-20387</t>
  </si>
  <si>
    <t>D-20388</t>
  </si>
  <si>
    <t>D-20389</t>
  </si>
  <si>
    <t>D-20390</t>
  </si>
  <si>
    <t>D-20391</t>
  </si>
  <si>
    <t>D-20392</t>
  </si>
  <si>
    <t>D-20393</t>
  </si>
  <si>
    <t>D-20394</t>
  </si>
  <si>
    <t>D-20395</t>
  </si>
  <si>
    <t>D-20396</t>
  </si>
  <si>
    <t>D-20397</t>
  </si>
  <si>
    <t>D-20398</t>
  </si>
  <si>
    <t>D-20399</t>
  </si>
  <si>
    <t>D-20400</t>
  </si>
  <si>
    <t>D-20401</t>
  </si>
  <si>
    <t>D-20402</t>
  </si>
  <si>
    <t>D-20403</t>
  </si>
  <si>
    <t>D-20404</t>
  </si>
  <si>
    <t>D-20405</t>
  </si>
  <si>
    <t>D-20406</t>
  </si>
  <si>
    <t>D-20407</t>
  </si>
  <si>
    <t>D-20408</t>
  </si>
  <si>
    <t>D-20409</t>
  </si>
  <si>
    <t>D-20410</t>
  </si>
  <si>
    <t>D-20411</t>
  </si>
  <si>
    <t>D-20412</t>
  </si>
  <si>
    <t>D-20413</t>
  </si>
  <si>
    <t>D-20414</t>
  </si>
  <si>
    <t>D-20415</t>
  </si>
  <si>
    <t>D-20416</t>
  </si>
  <si>
    <t>D-20417</t>
  </si>
  <si>
    <t>D-20418</t>
  </si>
  <si>
    <t>D-20419</t>
  </si>
  <si>
    <t>D-20420</t>
  </si>
  <si>
    <t>D-20421</t>
  </si>
  <si>
    <t>D-20422</t>
  </si>
  <si>
    <t>D-20423</t>
  </si>
  <si>
    <t>D-20424</t>
  </si>
  <si>
    <t>D-20425</t>
  </si>
  <si>
    <t>D-20426</t>
  </si>
  <si>
    <t>D-20427</t>
  </si>
  <si>
    <t>D-20428</t>
  </si>
  <si>
    <t>20-Jul-17---22-Jul-17</t>
  </si>
  <si>
    <t>D-20429</t>
  </si>
  <si>
    <t>D-20430</t>
  </si>
  <si>
    <t>D-20431</t>
  </si>
  <si>
    <t>D-20432</t>
  </si>
  <si>
    <t>D-20433</t>
  </si>
  <si>
    <t>D-20434</t>
  </si>
  <si>
    <t>D-20435</t>
  </si>
  <si>
    <t>D-20436</t>
  </si>
  <si>
    <t>D-20437</t>
  </si>
  <si>
    <t>D-20438</t>
  </si>
  <si>
    <t>D-20439</t>
  </si>
  <si>
    <t>D-20440</t>
  </si>
  <si>
    <t>D-20441</t>
  </si>
  <si>
    <t>D-20442</t>
  </si>
  <si>
    <t>D-20443</t>
  </si>
  <si>
    <t>D-20444</t>
  </si>
  <si>
    <t>D-20445</t>
  </si>
  <si>
    <t>D-20446</t>
  </si>
  <si>
    <t>D-20447</t>
  </si>
  <si>
    <t>D-20448</t>
  </si>
  <si>
    <t>D-20449</t>
  </si>
  <si>
    <t>D-20450</t>
  </si>
  <si>
    <t>D-20451</t>
  </si>
  <si>
    <t>D-20452</t>
  </si>
  <si>
    <t>D-20453</t>
  </si>
  <si>
    <t>D-20454</t>
  </si>
  <si>
    <t>D-20455</t>
  </si>
  <si>
    <t>D-20456</t>
  </si>
  <si>
    <t>D-20457</t>
  </si>
  <si>
    <t>D-20458</t>
  </si>
  <si>
    <t>D-20459</t>
  </si>
  <si>
    <t>D-20460</t>
  </si>
  <si>
    <t>D-20461</t>
  </si>
  <si>
    <t>D-20462</t>
  </si>
  <si>
    <t>D-20463</t>
  </si>
  <si>
    <t>D-20464</t>
  </si>
  <si>
    <t>D-20465</t>
  </si>
  <si>
    <t>23-Jul-17--29-Jul-17</t>
  </si>
  <si>
    <t>D-20466</t>
  </si>
  <si>
    <t>D-20467</t>
  </si>
  <si>
    <t>21-Jul-17----22-Jul-17</t>
  </si>
  <si>
    <t>D-20468</t>
  </si>
  <si>
    <t>D-20469</t>
  </si>
  <si>
    <t>D-20470</t>
  </si>
  <si>
    <t>D-20471</t>
  </si>
  <si>
    <t>D-20472</t>
  </si>
  <si>
    <t>D-20473</t>
  </si>
  <si>
    <t>D-20474</t>
  </si>
  <si>
    <t>D-20475</t>
  </si>
  <si>
    <t>D-20476</t>
  </si>
  <si>
    <t>22-Jul-17--25-Jul-17</t>
  </si>
  <si>
    <t>D-20477</t>
  </si>
  <si>
    <t>D-20478</t>
  </si>
  <si>
    <t>D-20479</t>
  </si>
  <si>
    <t>D-20480</t>
  </si>
  <si>
    <t>D-20481</t>
  </si>
  <si>
    <t>D-20482</t>
  </si>
  <si>
    <t>D-20483</t>
  </si>
  <si>
    <t>D-20484</t>
  </si>
  <si>
    <t>D-20485</t>
  </si>
  <si>
    <t>D-20486</t>
  </si>
  <si>
    <t>D-20487</t>
  </si>
  <si>
    <t>D-20488</t>
  </si>
  <si>
    <t>D-20489</t>
  </si>
  <si>
    <t>D-20490</t>
  </si>
  <si>
    <t>D-20491</t>
  </si>
  <si>
    <t>D-20492</t>
  </si>
  <si>
    <t>D-20493</t>
  </si>
  <si>
    <t>D-20494</t>
  </si>
  <si>
    <t>D-20495</t>
  </si>
  <si>
    <t>D-20496</t>
  </si>
  <si>
    <t>D-20497</t>
  </si>
  <si>
    <t>D-20498</t>
  </si>
  <si>
    <t>D-20499</t>
  </si>
  <si>
    <t>D-20500</t>
  </si>
  <si>
    <t>D-20501</t>
  </si>
  <si>
    <t>D-20502</t>
  </si>
  <si>
    <t>D-20503</t>
  </si>
  <si>
    <t>D-20504</t>
  </si>
  <si>
    <t>D-20505</t>
  </si>
  <si>
    <t>D-20506</t>
  </si>
  <si>
    <t>D-20507</t>
  </si>
  <si>
    <t>D-20508</t>
  </si>
  <si>
    <t>D-20509</t>
  </si>
  <si>
    <t>D-20510</t>
  </si>
  <si>
    <t>D-20511</t>
  </si>
  <si>
    <t>D-20512</t>
  </si>
  <si>
    <t>D-20513</t>
  </si>
  <si>
    <t>D-20514</t>
  </si>
  <si>
    <t>D-20515</t>
  </si>
  <si>
    <t>D-20516</t>
  </si>
  <si>
    <t>D-20517</t>
  </si>
  <si>
    <t>D-20518</t>
  </si>
  <si>
    <t>D-20519</t>
  </si>
  <si>
    <t>D-20520</t>
  </si>
  <si>
    <t>D-20521</t>
  </si>
  <si>
    <t>D-20522</t>
  </si>
  <si>
    <t>D-20523</t>
  </si>
  <si>
    <t>D-20524</t>
  </si>
  <si>
    <t>D-20525</t>
  </si>
  <si>
    <t>D-20526</t>
  </si>
  <si>
    <t>D-20527</t>
  </si>
  <si>
    <t>D-20528</t>
  </si>
  <si>
    <t>D-20529</t>
  </si>
  <si>
    <t>D-20530</t>
  </si>
  <si>
    <t>D-20531</t>
  </si>
  <si>
    <t>D-20532</t>
  </si>
  <si>
    <t>D-20533</t>
  </si>
  <si>
    <t>D-20534</t>
  </si>
  <si>
    <t>D-20535</t>
  </si>
  <si>
    <t>D-20536</t>
  </si>
  <si>
    <t>D-20537</t>
  </si>
  <si>
    <t>D-20538</t>
  </si>
  <si>
    <t>D-20539</t>
  </si>
  <si>
    <t>D-20540</t>
  </si>
  <si>
    <t>D-20541</t>
  </si>
  <si>
    <t>D-20542</t>
  </si>
  <si>
    <t>D-20543</t>
  </si>
  <si>
    <t>D-20544</t>
  </si>
  <si>
    <t>D-20545</t>
  </si>
  <si>
    <t>D-20546</t>
  </si>
  <si>
    <t>D-20547</t>
  </si>
  <si>
    <t>D-20548</t>
  </si>
  <si>
    <t>D-20549</t>
  </si>
  <si>
    <t>D-20550</t>
  </si>
  <si>
    <t>D-20551</t>
  </si>
  <si>
    <t>D-20552</t>
  </si>
  <si>
    <t>D-20553</t>
  </si>
  <si>
    <t>D-20554</t>
  </si>
  <si>
    <t>D-20555</t>
  </si>
  <si>
    <t>D-20556</t>
  </si>
  <si>
    <t>D-20557</t>
  </si>
  <si>
    <t>D-20558</t>
  </si>
  <si>
    <t>D-20559</t>
  </si>
  <si>
    <t>D-20560</t>
  </si>
  <si>
    <t>D-20561</t>
  </si>
  <si>
    <t>D-20562</t>
  </si>
  <si>
    <t>D-20563</t>
  </si>
  <si>
    <t>D-20564</t>
  </si>
  <si>
    <t>D-20565</t>
  </si>
  <si>
    <t>D-20566</t>
  </si>
  <si>
    <t>D-20567</t>
  </si>
  <si>
    <t>D-20568</t>
  </si>
  <si>
    <t>D-20569</t>
  </si>
  <si>
    <t>D-20570</t>
  </si>
  <si>
    <t>D-20571</t>
  </si>
  <si>
    <t>D-20572</t>
  </si>
  <si>
    <t>D-20573</t>
  </si>
  <si>
    <t>D-20574</t>
  </si>
  <si>
    <t>D-20575</t>
  </si>
  <si>
    <t>D-20576</t>
  </si>
  <si>
    <t>D-20577</t>
  </si>
  <si>
    <t>D-20578</t>
  </si>
  <si>
    <t>D-20579</t>
  </si>
  <si>
    <t>D-20580</t>
  </si>
  <si>
    <t>D-20581</t>
  </si>
  <si>
    <t>D-20582</t>
  </si>
  <si>
    <t>D-20583</t>
  </si>
  <si>
    <t>D-20584</t>
  </si>
  <si>
    <t>D-20585</t>
  </si>
  <si>
    <t>D-20586</t>
  </si>
  <si>
    <t>D-20587</t>
  </si>
  <si>
    <t>D-20588</t>
  </si>
  <si>
    <t>D-20589</t>
  </si>
  <si>
    <t>D-20590</t>
  </si>
  <si>
    <t>D-20591</t>
  </si>
  <si>
    <t>D-20592</t>
  </si>
  <si>
    <t>D-20593</t>
  </si>
  <si>
    <t>D-20594</t>
  </si>
  <si>
    <t>D-20595</t>
  </si>
  <si>
    <t>D-20596</t>
  </si>
  <si>
    <t>D-20597</t>
  </si>
  <si>
    <t>D-20598</t>
  </si>
  <si>
    <t>D-20599</t>
  </si>
  <si>
    <t>D-20600</t>
  </si>
  <si>
    <t>D-20601</t>
  </si>
  <si>
    <t>D-20602</t>
  </si>
  <si>
    <t>D-20603</t>
  </si>
  <si>
    <t>D-20604</t>
  </si>
  <si>
    <t>D-20605</t>
  </si>
  <si>
    <t>D-20606</t>
  </si>
  <si>
    <t>D-20607</t>
  </si>
  <si>
    <t>D-20608</t>
  </si>
  <si>
    <t>D-20609</t>
  </si>
  <si>
    <t>D-20610</t>
  </si>
  <si>
    <t>D-20611</t>
  </si>
  <si>
    <t>D-20612</t>
  </si>
  <si>
    <t>D-20613</t>
  </si>
  <si>
    <t>D-20614</t>
  </si>
  <si>
    <t>D-20615</t>
  </si>
  <si>
    <t>D-20616</t>
  </si>
  <si>
    <t>D-20617</t>
  </si>
  <si>
    <t>D-20618</t>
  </si>
  <si>
    <t>D-20619</t>
  </si>
  <si>
    <t>D-20620</t>
  </si>
  <si>
    <t>D-20621</t>
  </si>
  <si>
    <t>D-20622</t>
  </si>
  <si>
    <t>D-20623</t>
  </si>
  <si>
    <t>D-20624</t>
  </si>
  <si>
    <t>D-20625</t>
  </si>
  <si>
    <t>D-20626</t>
  </si>
  <si>
    <t>D-20627</t>
  </si>
  <si>
    <t>D-20628</t>
  </si>
  <si>
    <t>D-20629</t>
  </si>
  <si>
    <t>D-20630</t>
  </si>
  <si>
    <t>D-20631</t>
  </si>
  <si>
    <t>D-20632</t>
  </si>
  <si>
    <t>D-20633</t>
  </si>
  <si>
    <t>D-20634</t>
  </si>
  <si>
    <t>D-20635</t>
  </si>
  <si>
    <t>D-20636</t>
  </si>
  <si>
    <t>D-20637</t>
  </si>
  <si>
    <t>D-20638</t>
  </si>
  <si>
    <t>D-20639</t>
  </si>
  <si>
    <t>D-20640</t>
  </si>
  <si>
    <t>D-20641</t>
  </si>
  <si>
    <t>D-20642</t>
  </si>
  <si>
    <t>D-20643</t>
  </si>
  <si>
    <t>D-20644</t>
  </si>
  <si>
    <t>D-20645</t>
  </si>
  <si>
    <t>D-20646</t>
  </si>
  <si>
    <t>D-20647</t>
  </si>
  <si>
    <t>D-20648</t>
  </si>
  <si>
    <t>D-20649</t>
  </si>
  <si>
    <t>D-20650</t>
  </si>
  <si>
    <t>D-20651</t>
  </si>
  <si>
    <t>D-20652</t>
  </si>
  <si>
    <t>D-20653</t>
  </si>
  <si>
    <t>D-20654</t>
  </si>
  <si>
    <t>D-20655</t>
  </si>
  <si>
    <t>D-20656</t>
  </si>
  <si>
    <t>D-20657</t>
  </si>
  <si>
    <t>D-20658</t>
  </si>
  <si>
    <t>D-20659</t>
  </si>
  <si>
    <t>D-20660</t>
  </si>
  <si>
    <t>D-20661</t>
  </si>
  <si>
    <t>D-20662</t>
  </si>
  <si>
    <t>D-20663</t>
  </si>
  <si>
    <t>D-20664</t>
  </si>
  <si>
    <t>D-20665</t>
  </si>
  <si>
    <t>D-20666</t>
  </si>
  <si>
    <t>D-20667</t>
  </si>
  <si>
    <t>D-20668</t>
  </si>
  <si>
    <t>D-20669</t>
  </si>
  <si>
    <t>D-20670</t>
  </si>
  <si>
    <t>22-Jul-17---26-Jul-17</t>
  </si>
  <si>
    <t>D-20671</t>
  </si>
  <si>
    <t>D-20672</t>
  </si>
  <si>
    <t>D-20673</t>
  </si>
  <si>
    <t>D-20674</t>
  </si>
  <si>
    <t>D-20675</t>
  </si>
  <si>
    <t>D-20676</t>
  </si>
  <si>
    <t>D-20677</t>
  </si>
  <si>
    <t>D-20678</t>
  </si>
  <si>
    <t>D-20679</t>
  </si>
  <si>
    <t>D-20680</t>
  </si>
  <si>
    <t>D-20681</t>
  </si>
  <si>
    <t>D-20682</t>
  </si>
  <si>
    <t>D-20683</t>
  </si>
  <si>
    <t>D-20684</t>
  </si>
  <si>
    <t>D-20685</t>
  </si>
  <si>
    <t>D-20686</t>
  </si>
  <si>
    <t>D-20687</t>
  </si>
  <si>
    <t>D-20688</t>
  </si>
  <si>
    <t>D-20689</t>
  </si>
  <si>
    <t>D-20690</t>
  </si>
  <si>
    <t>D-20691</t>
  </si>
  <si>
    <t>D-20692</t>
  </si>
  <si>
    <t>D-20693</t>
  </si>
  <si>
    <t>D-20694</t>
  </si>
  <si>
    <t>D-20695</t>
  </si>
  <si>
    <t>D-20696</t>
  </si>
  <si>
    <t>D-20697</t>
  </si>
  <si>
    <t>D-20698</t>
  </si>
  <si>
    <t>D-20699</t>
  </si>
  <si>
    <t>D-20700</t>
  </si>
  <si>
    <t>D-20701</t>
  </si>
  <si>
    <t>D-20702</t>
  </si>
  <si>
    <t>D-20703</t>
  </si>
  <si>
    <t>D-20704</t>
  </si>
  <si>
    <t>D-20705</t>
  </si>
  <si>
    <t>D-20706</t>
  </si>
  <si>
    <t>D-20707</t>
  </si>
  <si>
    <t>21-Jul-17--22-Jul-17----23-Jul-17---24-Jul--17---25-Jul-17</t>
  </si>
  <si>
    <t>D-20708</t>
  </si>
  <si>
    <t>D-20709</t>
  </si>
  <si>
    <t>D-20710</t>
  </si>
  <si>
    <t>D-20711</t>
  </si>
  <si>
    <t>D-20712</t>
  </si>
  <si>
    <t>D-20713</t>
  </si>
  <si>
    <t>D-20714</t>
  </si>
  <si>
    <t>D-20715</t>
  </si>
  <si>
    <t>24-Jul-17---25-Jul-17</t>
  </si>
  <si>
    <t>D-20716</t>
  </si>
  <si>
    <t>D-20717</t>
  </si>
  <si>
    <t>D-20718</t>
  </si>
  <si>
    <t>D-20719</t>
  </si>
  <si>
    <t>D-20720</t>
  </si>
  <si>
    <t>D-20721</t>
  </si>
  <si>
    <t>D-20722</t>
  </si>
  <si>
    <t>D-20723</t>
  </si>
  <si>
    <t>25-Jul-17----27-Jul-17</t>
  </si>
  <si>
    <t>D-20724</t>
  </si>
  <si>
    <t>D-20725</t>
  </si>
  <si>
    <t>D-20726</t>
  </si>
  <si>
    <t>D-20727</t>
  </si>
  <si>
    <t>D-20728</t>
  </si>
  <si>
    <t>D-20729</t>
  </si>
  <si>
    <t>D-20730</t>
  </si>
  <si>
    <t>24-Jul-17---26-Jul-17</t>
  </si>
  <si>
    <t>D-20731</t>
  </si>
  <si>
    <t>22-Jul-17---25-Jul-17</t>
  </si>
  <si>
    <t>D-20732</t>
  </si>
  <si>
    <t>D-20733</t>
  </si>
  <si>
    <t>D-20734</t>
  </si>
  <si>
    <t>D-20735</t>
  </si>
  <si>
    <t>D-20736</t>
  </si>
  <si>
    <t>D-20737</t>
  </si>
  <si>
    <t>D-20738</t>
  </si>
  <si>
    <t>D-20739</t>
  </si>
  <si>
    <t>D-20740</t>
  </si>
  <si>
    <t>D-20741</t>
  </si>
  <si>
    <t>D-20742</t>
  </si>
  <si>
    <t>D-20743</t>
  </si>
  <si>
    <t>D-20744</t>
  </si>
  <si>
    <t>D-20745</t>
  </si>
  <si>
    <t>D-20746</t>
  </si>
  <si>
    <t>D-20747</t>
  </si>
  <si>
    <t>D-20748</t>
  </si>
  <si>
    <t>D-20749</t>
  </si>
  <si>
    <t>D-20750</t>
  </si>
  <si>
    <t>D-20751</t>
  </si>
  <si>
    <t>D-20752</t>
  </si>
  <si>
    <t>D-20753</t>
  </si>
  <si>
    <t>D-20754</t>
  </si>
  <si>
    <t>D-20755</t>
  </si>
  <si>
    <t>D-20756</t>
  </si>
  <si>
    <t>D-20757</t>
  </si>
  <si>
    <t>D-20758</t>
  </si>
  <si>
    <t>D-20759</t>
  </si>
  <si>
    <t>D-20760</t>
  </si>
  <si>
    <t>D-20761</t>
  </si>
  <si>
    <t>22-Jul-17---28-Jul-17</t>
  </si>
  <si>
    <t>D-20762</t>
  </si>
  <si>
    <t>D-20763</t>
  </si>
  <si>
    <t>D-20764</t>
  </si>
  <si>
    <t>D-20765</t>
  </si>
  <si>
    <t>D-20766</t>
  </si>
  <si>
    <t>D-20767</t>
  </si>
  <si>
    <t>D-20768</t>
  </si>
  <si>
    <t>D-20769</t>
  </si>
  <si>
    <t>D-20770</t>
  </si>
  <si>
    <t>D-20771</t>
  </si>
  <si>
    <t>D-20772</t>
  </si>
  <si>
    <t>D-20773</t>
  </si>
  <si>
    <t>D-20774</t>
  </si>
  <si>
    <t>D-20775</t>
  </si>
  <si>
    <t>D-20776</t>
  </si>
  <si>
    <t>D-20777</t>
  </si>
  <si>
    <t>(203)ALIMENTOS SUPREMOS DE ORIENTE SA DE CV   1,960.20</t>
  </si>
  <si>
    <t>D-20778</t>
  </si>
  <si>
    <t>D-20779</t>
  </si>
  <si>
    <t>D-20780</t>
  </si>
  <si>
    <t>D-20781</t>
  </si>
  <si>
    <t>D-20782</t>
  </si>
  <si>
    <t>D-20783</t>
  </si>
  <si>
    <t>D-20784</t>
  </si>
  <si>
    <t>D-20785</t>
  </si>
  <si>
    <t>D-20786</t>
  </si>
  <si>
    <t>D-20787</t>
  </si>
  <si>
    <t>D-20788</t>
  </si>
  <si>
    <t>D-20789</t>
  </si>
  <si>
    <t>D-20790</t>
  </si>
  <si>
    <t>D-20791</t>
  </si>
  <si>
    <t>D-20792</t>
  </si>
  <si>
    <t>D-20793</t>
  </si>
  <si>
    <t>D-20794</t>
  </si>
  <si>
    <t>D-20795</t>
  </si>
  <si>
    <t>D-20796</t>
  </si>
  <si>
    <t>D-20797</t>
  </si>
  <si>
    <t>D-20798</t>
  </si>
  <si>
    <t>D-20799</t>
  </si>
  <si>
    <t>D-20800</t>
  </si>
  <si>
    <t>D-20801</t>
  </si>
  <si>
    <t>D-20802</t>
  </si>
  <si>
    <t>D-20803</t>
  </si>
  <si>
    <t>D-20804</t>
  </si>
  <si>
    <t>D-20805</t>
  </si>
  <si>
    <t>D-20806</t>
  </si>
  <si>
    <t>D-20807</t>
  </si>
  <si>
    <t>D-20808</t>
  </si>
  <si>
    <t>D-20809</t>
  </si>
  <si>
    <t>D-20810</t>
  </si>
  <si>
    <t>D-20811</t>
  </si>
  <si>
    <t>D-20812</t>
  </si>
  <si>
    <t>D-20813</t>
  </si>
  <si>
    <t>D-20814</t>
  </si>
  <si>
    <t>D-20815</t>
  </si>
  <si>
    <t>D-20816</t>
  </si>
  <si>
    <t>D-20817</t>
  </si>
  <si>
    <t>D-20818</t>
  </si>
  <si>
    <t>D-20819</t>
  </si>
  <si>
    <t>D-20820</t>
  </si>
  <si>
    <t>D-20821</t>
  </si>
  <si>
    <t>D-20822</t>
  </si>
  <si>
    <t>(3)ECONOMICA</t>
  </si>
  <si>
    <t>D-20823</t>
  </si>
  <si>
    <t>D-20824</t>
  </si>
  <si>
    <t>D-20825</t>
  </si>
  <si>
    <t>D-20826</t>
  </si>
  <si>
    <t>D-20827</t>
  </si>
  <si>
    <t>D-20828</t>
  </si>
  <si>
    <t>D-20829</t>
  </si>
  <si>
    <t>D-20830</t>
  </si>
  <si>
    <t>D-20831</t>
  </si>
  <si>
    <t>D-20832</t>
  </si>
  <si>
    <t>D-20833</t>
  </si>
  <si>
    <t>D-20834</t>
  </si>
  <si>
    <t>D-20835</t>
  </si>
  <si>
    <t>D-20836</t>
  </si>
  <si>
    <t>D-20837</t>
  </si>
  <si>
    <t>D-20838</t>
  </si>
  <si>
    <t>D-20839</t>
  </si>
  <si>
    <t>D-20840</t>
  </si>
  <si>
    <t>D-20841</t>
  </si>
  <si>
    <t>D-20842</t>
  </si>
  <si>
    <t>D-20843</t>
  </si>
  <si>
    <t>D-20844</t>
  </si>
  <si>
    <t>D-20845</t>
  </si>
  <si>
    <t>D-20846</t>
  </si>
  <si>
    <t>D-20847</t>
  </si>
  <si>
    <t>D-20848</t>
  </si>
  <si>
    <t>D-20849</t>
  </si>
  <si>
    <t>D-20850</t>
  </si>
  <si>
    <t>D-20851</t>
  </si>
  <si>
    <t>D-20852</t>
  </si>
  <si>
    <t>D-20853</t>
  </si>
  <si>
    <t>25-Jul-17---27-Jul-17</t>
  </si>
  <si>
    <t>D-20854</t>
  </si>
  <si>
    <t>D-20855</t>
  </si>
  <si>
    <t>D-20856</t>
  </si>
  <si>
    <t>D-20857</t>
  </si>
  <si>
    <t>D-20858</t>
  </si>
  <si>
    <t>D-20859</t>
  </si>
  <si>
    <t>D-20860</t>
  </si>
  <si>
    <t>D-20861</t>
  </si>
  <si>
    <t>25-Jul-17---27-Jul-17---28-Jul-17</t>
  </si>
  <si>
    <t>D-20862</t>
  </si>
  <si>
    <t>D-20863</t>
  </si>
  <si>
    <t>D-20864</t>
  </si>
  <si>
    <t>24-Jul--17---26-Jul-17</t>
  </si>
  <si>
    <t>D-20865</t>
  </si>
  <si>
    <t>D-20866</t>
  </si>
  <si>
    <t>D-20867</t>
  </si>
  <si>
    <t>D-20868</t>
  </si>
  <si>
    <t>D-20869</t>
  </si>
  <si>
    <t>D-20870</t>
  </si>
  <si>
    <t>D-20871</t>
  </si>
  <si>
    <t>D-20872</t>
  </si>
  <si>
    <t>D-20873</t>
  </si>
  <si>
    <t>D-20874</t>
  </si>
  <si>
    <t>D-20875</t>
  </si>
  <si>
    <t>D-20876</t>
  </si>
  <si>
    <t>D-20877</t>
  </si>
  <si>
    <t>D-20878</t>
  </si>
  <si>
    <t>D-20879</t>
  </si>
  <si>
    <t>D-20880</t>
  </si>
  <si>
    <t>D-20881</t>
  </si>
  <si>
    <t>D-20882</t>
  </si>
  <si>
    <t>D-20883</t>
  </si>
  <si>
    <t>D-20884</t>
  </si>
  <si>
    <t>D-20885</t>
  </si>
  <si>
    <t>D-20886</t>
  </si>
  <si>
    <t>D-20887</t>
  </si>
  <si>
    <t>D-20888</t>
  </si>
  <si>
    <t>D-20889</t>
  </si>
  <si>
    <t>D-20890</t>
  </si>
  <si>
    <t>D-20891</t>
  </si>
  <si>
    <t>D-20892</t>
  </si>
  <si>
    <t>D-20893</t>
  </si>
  <si>
    <t>D-20894</t>
  </si>
  <si>
    <t>D-20895</t>
  </si>
  <si>
    <t>D-20896</t>
  </si>
  <si>
    <t>D-20897</t>
  </si>
  <si>
    <t>D-20898</t>
  </si>
  <si>
    <t>D-20899</t>
  </si>
  <si>
    <t>D-20900</t>
  </si>
  <si>
    <t>D-20901</t>
  </si>
  <si>
    <t>D-20902</t>
  </si>
  <si>
    <t>(480)BENITO FOX</t>
  </si>
  <si>
    <t>D-20903</t>
  </si>
  <si>
    <t>D-20904</t>
  </si>
  <si>
    <t>D-20905</t>
  </si>
  <si>
    <t>D-20906</t>
  </si>
  <si>
    <t>D-20907</t>
  </si>
  <si>
    <t>D-20908</t>
  </si>
  <si>
    <t>D-20909</t>
  </si>
  <si>
    <t>D-20910</t>
  </si>
  <si>
    <t>D-20911</t>
  </si>
  <si>
    <t>D-20912</t>
  </si>
  <si>
    <t>D-20913</t>
  </si>
  <si>
    <t>D-20914</t>
  </si>
  <si>
    <t>D-20915</t>
  </si>
  <si>
    <t>D-20916</t>
  </si>
  <si>
    <t>D-20917</t>
  </si>
  <si>
    <t>D-20918</t>
  </si>
  <si>
    <t>D-20919</t>
  </si>
  <si>
    <t>D-20920</t>
  </si>
  <si>
    <t>D-20921</t>
  </si>
  <si>
    <t>D-20922</t>
  </si>
  <si>
    <t>D-20923</t>
  </si>
  <si>
    <t>D-20924</t>
  </si>
  <si>
    <t>D-20925</t>
  </si>
  <si>
    <t>D-20926</t>
  </si>
  <si>
    <t>D-20927</t>
  </si>
  <si>
    <t>D-20928</t>
  </si>
  <si>
    <t>D-20929</t>
  </si>
  <si>
    <t>D-20930</t>
  </si>
  <si>
    <t>D-20931</t>
  </si>
  <si>
    <t>D-20932</t>
  </si>
  <si>
    <t>D-20933</t>
  </si>
  <si>
    <t>D-20934</t>
  </si>
  <si>
    <t>D-20935</t>
  </si>
  <si>
    <t>D-20936</t>
  </si>
  <si>
    <t>D-20937</t>
  </si>
  <si>
    <t>D-20938</t>
  </si>
  <si>
    <t>D-20939</t>
  </si>
  <si>
    <t>D-20940</t>
  </si>
  <si>
    <t>D-20941</t>
  </si>
  <si>
    <t>D-20942</t>
  </si>
  <si>
    <t>D-20943</t>
  </si>
  <si>
    <t>D-20944</t>
  </si>
  <si>
    <t>D-20945</t>
  </si>
  <si>
    <t>D-20946</t>
  </si>
  <si>
    <t>D-20947</t>
  </si>
  <si>
    <t>D-20948</t>
  </si>
  <si>
    <t>D-20949</t>
  </si>
  <si>
    <t>D-20950</t>
  </si>
  <si>
    <t>D-20951</t>
  </si>
  <si>
    <t>D-20952</t>
  </si>
  <si>
    <t>D-20953</t>
  </si>
  <si>
    <t>D-20954</t>
  </si>
  <si>
    <t>D-20955</t>
  </si>
  <si>
    <t>D-20956</t>
  </si>
  <si>
    <t>D-20957</t>
  </si>
  <si>
    <t>D-20958</t>
  </si>
  <si>
    <t>D-20959</t>
  </si>
  <si>
    <t>D-20960</t>
  </si>
  <si>
    <t>D-20961</t>
  </si>
  <si>
    <t>D-20962</t>
  </si>
  <si>
    <t>D-20963</t>
  </si>
  <si>
    <t>D-20964</t>
  </si>
  <si>
    <t>D-20965</t>
  </si>
  <si>
    <t>D-20966</t>
  </si>
  <si>
    <t>D-20967</t>
  </si>
  <si>
    <t>D-20968</t>
  </si>
  <si>
    <t>D-20969</t>
  </si>
  <si>
    <t>D-20970</t>
  </si>
  <si>
    <t>D-20971</t>
  </si>
  <si>
    <t>D-20972</t>
  </si>
  <si>
    <t>D-20973</t>
  </si>
  <si>
    <t>D-20974</t>
  </si>
  <si>
    <t>26-Jul-17---28-Jul-17---29/07/2017</t>
  </si>
  <si>
    <t>D-20975</t>
  </si>
  <si>
    <t>D-20976</t>
  </si>
  <si>
    <t>15/12/2017</t>
  </si>
  <si>
    <t>D-20977</t>
  </si>
  <si>
    <t>D-20978</t>
  </si>
  <si>
    <t>D-20979</t>
  </si>
  <si>
    <t>D-20980</t>
  </si>
  <si>
    <t>D-20981</t>
  </si>
  <si>
    <t>D-20982</t>
  </si>
  <si>
    <t>D-20983</t>
  </si>
  <si>
    <t>D-20984</t>
  </si>
  <si>
    <t>D-20985</t>
  </si>
  <si>
    <t>(288)FABIAN XOCHIHUA</t>
  </si>
  <si>
    <t>D-20986</t>
  </si>
  <si>
    <t>D-20987</t>
  </si>
  <si>
    <t>D-20988</t>
  </si>
  <si>
    <t>D-20989</t>
  </si>
  <si>
    <t>D-20990</t>
  </si>
  <si>
    <t>28-Jul-17--29/07/2017</t>
  </si>
  <si>
    <t>D-20991</t>
  </si>
  <si>
    <t>D-20992</t>
  </si>
  <si>
    <t>D-20993</t>
  </si>
  <si>
    <t>D-20994</t>
  </si>
  <si>
    <t>D-20995</t>
  </si>
  <si>
    <t>D-20996</t>
  </si>
  <si>
    <t>D-20997</t>
  </si>
  <si>
    <t>D-20998</t>
  </si>
  <si>
    <t>D-20999</t>
  </si>
  <si>
    <t>D-21000</t>
  </si>
  <si>
    <t>D-21001</t>
  </si>
  <si>
    <t>D-21002</t>
  </si>
  <si>
    <t>D-21003</t>
  </si>
  <si>
    <t>D-21004</t>
  </si>
  <si>
    <t>D-21005</t>
  </si>
  <si>
    <t>D-21006</t>
  </si>
  <si>
    <t>D-21007</t>
  </si>
  <si>
    <t>D-21008</t>
  </si>
  <si>
    <t>D-21009</t>
  </si>
  <si>
    <t>D-21010</t>
  </si>
  <si>
    <t>D-21011</t>
  </si>
  <si>
    <t>D-21012</t>
  </si>
  <si>
    <t>D-21013</t>
  </si>
  <si>
    <t>D-21014</t>
  </si>
  <si>
    <t>D-21015</t>
  </si>
  <si>
    <t>D-21016</t>
  </si>
  <si>
    <t>D-21017</t>
  </si>
  <si>
    <t>D-21018</t>
  </si>
  <si>
    <t>D-21019</t>
  </si>
  <si>
    <t>D-21020</t>
  </si>
  <si>
    <t>D-21021</t>
  </si>
  <si>
    <t>D-21022</t>
  </si>
  <si>
    <t>D-21023</t>
  </si>
  <si>
    <t>D-21024</t>
  </si>
  <si>
    <t>D-21025</t>
  </si>
  <si>
    <t>D-21026</t>
  </si>
  <si>
    <t>D-21027</t>
  </si>
  <si>
    <t>D-21028</t>
  </si>
  <si>
    <t>D-21029</t>
  </si>
  <si>
    <t>28-Jul-17---29/07/2017</t>
  </si>
  <si>
    <t>D-21030</t>
  </si>
  <si>
    <t>D-21031</t>
  </si>
  <si>
    <t>28-Jul-17----29/07/2017</t>
  </si>
  <si>
    <t>D-21032</t>
  </si>
  <si>
    <t>D-21033</t>
  </si>
  <si>
    <t>D-21034</t>
  </si>
  <si>
    <t>D-21035</t>
  </si>
  <si>
    <t>D-21036</t>
  </si>
  <si>
    <t>D-21037</t>
  </si>
  <si>
    <t>D-21038</t>
  </si>
  <si>
    <t>D-21039</t>
  </si>
  <si>
    <t>D-21040</t>
  </si>
  <si>
    <t>D-21041</t>
  </si>
  <si>
    <t>D-21042</t>
  </si>
  <si>
    <t>D-21043</t>
  </si>
  <si>
    <t>D-21044</t>
  </si>
  <si>
    <t>D-21045</t>
  </si>
  <si>
    <t>(545)GINA   CANCELADA</t>
  </si>
  <si>
    <t>D-21046</t>
  </si>
  <si>
    <t>D-21047</t>
  </si>
  <si>
    <t>Sin copia azul</t>
  </si>
  <si>
    <t>D-21048</t>
  </si>
  <si>
    <t>D-21049</t>
  </si>
  <si>
    <t>D-21050</t>
  </si>
  <si>
    <t>D-21051</t>
  </si>
  <si>
    <t>D-21052</t>
  </si>
  <si>
    <t>D-21053</t>
  </si>
  <si>
    <t>D-21054</t>
  </si>
  <si>
    <t>D-21055</t>
  </si>
  <si>
    <t>D-21056</t>
  </si>
  <si>
    <t>D-21057</t>
  </si>
  <si>
    <t>D-21058</t>
  </si>
  <si>
    <t>D-21059</t>
  </si>
  <si>
    <t>D-21060</t>
  </si>
  <si>
    <t>26-Jul-17---27-Jul-17</t>
  </si>
  <si>
    <t>D-21061</t>
  </si>
  <si>
    <t>D-21062</t>
  </si>
  <si>
    <t>D-21063</t>
  </si>
  <si>
    <t>D-21064</t>
  </si>
  <si>
    <t>D-21065</t>
  </si>
  <si>
    <t>D-21066</t>
  </si>
  <si>
    <t>D-21067</t>
  </si>
  <si>
    <t>D-21068</t>
  </si>
  <si>
    <t>D-21069</t>
  </si>
  <si>
    <t>D-21070</t>
  </si>
  <si>
    <t>D-21071</t>
  </si>
  <si>
    <t>D-21072</t>
  </si>
  <si>
    <t>D-21073</t>
  </si>
  <si>
    <t>D-21074</t>
  </si>
  <si>
    <t>D-21075</t>
  </si>
  <si>
    <t>D-21076</t>
  </si>
  <si>
    <t>D-21077</t>
  </si>
  <si>
    <t>D-21078</t>
  </si>
  <si>
    <t>D-21079</t>
  </si>
  <si>
    <t>D-21080</t>
  </si>
  <si>
    <t>D-21081</t>
  </si>
  <si>
    <t>D-21082</t>
  </si>
  <si>
    <t>D-21083</t>
  </si>
  <si>
    <t>D-21084</t>
  </si>
  <si>
    <t>D-21085</t>
  </si>
  <si>
    <t>D-21086</t>
  </si>
  <si>
    <t>D-21087</t>
  </si>
  <si>
    <t>D-21088</t>
  </si>
  <si>
    <t>D-21089</t>
  </si>
  <si>
    <t>D-21090</t>
  </si>
  <si>
    <t>D-21091</t>
  </si>
  <si>
    <t>D-21092</t>
  </si>
  <si>
    <t>D-21093</t>
  </si>
  <si>
    <t>D-21094</t>
  </si>
  <si>
    <t>D-21095</t>
  </si>
  <si>
    <t>D-21096</t>
  </si>
  <si>
    <t>D-21097</t>
  </si>
  <si>
    <t>D-21098</t>
  </si>
  <si>
    <t>D-21099</t>
  </si>
  <si>
    <t>D-21100</t>
  </si>
  <si>
    <t>D-21101</t>
  </si>
  <si>
    <t>D-21102</t>
  </si>
  <si>
    <t>25/07/2017</t>
  </si>
  <si>
    <t>D-21103</t>
  </si>
  <si>
    <t>D-21104</t>
  </si>
  <si>
    <t>D-21105</t>
  </si>
  <si>
    <t>D-21106</t>
  </si>
  <si>
    <t>D-21107</t>
  </si>
  <si>
    <t>D-21108</t>
  </si>
  <si>
    <t>D-21109</t>
  </si>
  <si>
    <t>D-21110</t>
  </si>
  <si>
    <t>D-21111</t>
  </si>
  <si>
    <t>D-21112</t>
  </si>
  <si>
    <t>D-21113</t>
  </si>
  <si>
    <t>D-21114</t>
  </si>
  <si>
    <t>D-21115</t>
  </si>
  <si>
    <t>D-21116</t>
  </si>
  <si>
    <t>D-21117</t>
  </si>
  <si>
    <t>D-21118</t>
  </si>
  <si>
    <t>D-21119</t>
  </si>
  <si>
    <t>D-21120</t>
  </si>
  <si>
    <t>D-21121</t>
  </si>
  <si>
    <t>D-21122</t>
  </si>
  <si>
    <t>D-21123</t>
  </si>
  <si>
    <t>D-21124</t>
  </si>
  <si>
    <t>D-21125</t>
  </si>
  <si>
    <t>D-21126</t>
  </si>
  <si>
    <t>D-21127</t>
  </si>
  <si>
    <t>D-21128</t>
  </si>
  <si>
    <t>D-21129</t>
  </si>
  <si>
    <t>D-21130</t>
  </si>
  <si>
    <t>D-21131</t>
  </si>
  <si>
    <t>D-21132</t>
  </si>
  <si>
    <t>D-21133</t>
  </si>
  <si>
    <t>D-21134</t>
  </si>
  <si>
    <t>D-21135</t>
  </si>
  <si>
    <t>D-21136</t>
  </si>
  <si>
    <t>D-21137</t>
  </si>
  <si>
    <t>D-21138</t>
  </si>
  <si>
    <t>D-21139</t>
  </si>
  <si>
    <t>D-21140</t>
  </si>
  <si>
    <t>D-21141</t>
  </si>
  <si>
    <t>D-21142</t>
  </si>
  <si>
    <t>D-21143</t>
  </si>
  <si>
    <t>D-21144</t>
  </si>
  <si>
    <t>D-21145</t>
  </si>
  <si>
    <t>D-21146</t>
  </si>
  <si>
    <t>(532)ENCARNACION FERNANDEZ</t>
  </si>
  <si>
    <t>D-21147</t>
  </si>
  <si>
    <t>D-21148</t>
  </si>
  <si>
    <t>D-21149</t>
  </si>
  <si>
    <t>D-21150</t>
  </si>
  <si>
    <t>D-21151</t>
  </si>
  <si>
    <t>D-21152</t>
  </si>
  <si>
    <t>D-21153</t>
  </si>
  <si>
    <t>D-21154</t>
  </si>
  <si>
    <t>D-21155</t>
  </si>
  <si>
    <t>D-21156</t>
  </si>
  <si>
    <t>D-21157</t>
  </si>
  <si>
    <t>D-21158</t>
  </si>
  <si>
    <t>D-21159</t>
  </si>
  <si>
    <t>D-21160</t>
  </si>
  <si>
    <t>D-21161</t>
  </si>
  <si>
    <t>D-21162</t>
  </si>
  <si>
    <t>D-21163</t>
  </si>
  <si>
    <t>D-21164</t>
  </si>
  <si>
    <t>D-21165</t>
  </si>
  <si>
    <t>D-21166</t>
  </si>
  <si>
    <t>D-21167</t>
  </si>
  <si>
    <t>D-21168</t>
  </si>
  <si>
    <t>D-21169</t>
  </si>
  <si>
    <t>D-21170</t>
  </si>
  <si>
    <t>D-21171</t>
  </si>
  <si>
    <t>D-21172</t>
  </si>
  <si>
    <t>27-Jul-17--28-Jul-17</t>
  </si>
  <si>
    <t>D-21173</t>
  </si>
  <si>
    <t>D-21174</t>
  </si>
  <si>
    <t>D-21175</t>
  </si>
  <si>
    <t>D-21176</t>
  </si>
  <si>
    <t>D-21177</t>
  </si>
  <si>
    <t>D-21178</t>
  </si>
  <si>
    <t>D-21179</t>
  </si>
  <si>
    <t>D-21180</t>
  </si>
  <si>
    <t>D-21181</t>
  </si>
  <si>
    <t>D-21182</t>
  </si>
  <si>
    <t>D-21183</t>
  </si>
  <si>
    <t>D-21184</t>
  </si>
  <si>
    <t>D-21185</t>
  </si>
  <si>
    <t>D-21186</t>
  </si>
  <si>
    <t>D-21187</t>
  </si>
  <si>
    <t>D-21188</t>
  </si>
  <si>
    <t>D-21189</t>
  </si>
  <si>
    <t>D-21190</t>
  </si>
  <si>
    <t>D-21191</t>
  </si>
  <si>
    <t>25-Jul-17---31-Jul-17</t>
  </si>
  <si>
    <t>D-21192</t>
  </si>
  <si>
    <t>D-21193</t>
  </si>
  <si>
    <t>D-21194</t>
  </si>
  <si>
    <t>D-21195</t>
  </si>
  <si>
    <t>D-21196</t>
  </si>
  <si>
    <t>D-21197</t>
  </si>
  <si>
    <t>D-21198</t>
  </si>
  <si>
    <t>D-21199</t>
  </si>
  <si>
    <t>D-21200</t>
  </si>
  <si>
    <t>D-21201</t>
  </si>
  <si>
    <t>D-21202</t>
  </si>
  <si>
    <t>D-21203</t>
  </si>
  <si>
    <t>D-21204</t>
  </si>
  <si>
    <t>D-21205</t>
  </si>
  <si>
    <t>D-21206</t>
  </si>
  <si>
    <t>D-21207</t>
  </si>
  <si>
    <t>D-21208</t>
  </si>
  <si>
    <t>D-21209</t>
  </si>
  <si>
    <t>D-21210</t>
  </si>
  <si>
    <t>D-21211</t>
  </si>
  <si>
    <t>D-21212</t>
  </si>
  <si>
    <t>D-21213</t>
  </si>
  <si>
    <t>D-21214</t>
  </si>
  <si>
    <t>D-21215</t>
  </si>
  <si>
    <t>D-21216</t>
  </si>
  <si>
    <t>D-21217</t>
  </si>
  <si>
    <t>D-21218</t>
  </si>
  <si>
    <t>D-21219</t>
  </si>
  <si>
    <t>D-21220</t>
  </si>
  <si>
    <t>D-21221</t>
  </si>
  <si>
    <t>D-21222</t>
  </si>
  <si>
    <t>D-21223</t>
  </si>
  <si>
    <t>D-21224</t>
  </si>
  <si>
    <t>D-21225</t>
  </si>
  <si>
    <t>D-21226</t>
  </si>
  <si>
    <t>D-21227</t>
  </si>
  <si>
    <t>D-21228</t>
  </si>
  <si>
    <t>D-21229</t>
  </si>
  <si>
    <t>D-21230</t>
  </si>
  <si>
    <t>D-21231</t>
  </si>
  <si>
    <t>D-21232</t>
  </si>
  <si>
    <t>D-21233</t>
  </si>
  <si>
    <t>D-21234</t>
  </si>
  <si>
    <t>D-21235</t>
  </si>
  <si>
    <t>D-21236</t>
  </si>
  <si>
    <t>D-21237</t>
  </si>
  <si>
    <t>D-21238</t>
  </si>
  <si>
    <t>D-21239</t>
  </si>
  <si>
    <t>D-21240</t>
  </si>
  <si>
    <t>D-21241</t>
  </si>
  <si>
    <t>D-21242</t>
  </si>
  <si>
    <t>D-21243</t>
  </si>
  <si>
    <t>D-21244</t>
  </si>
  <si>
    <t>D-21245</t>
  </si>
  <si>
    <t>D-21246</t>
  </si>
  <si>
    <t>D-21247</t>
  </si>
  <si>
    <t>D-21248</t>
  </si>
  <si>
    <t>D-21249</t>
  </si>
  <si>
    <t>D-21250</t>
  </si>
  <si>
    <t>D-21251</t>
  </si>
  <si>
    <t>D-21252</t>
  </si>
  <si>
    <t>D-21253</t>
  </si>
  <si>
    <t>D-21254</t>
  </si>
  <si>
    <t>D-21255</t>
  </si>
  <si>
    <t>D-21256</t>
  </si>
  <si>
    <t>D-21257</t>
  </si>
  <si>
    <t>D-21258</t>
  </si>
  <si>
    <t>D-21259</t>
  </si>
  <si>
    <t>D-21260</t>
  </si>
  <si>
    <t>D-21261</t>
  </si>
  <si>
    <t>D-21262</t>
  </si>
  <si>
    <t>D-21263</t>
  </si>
  <si>
    <t>D-21264</t>
  </si>
  <si>
    <t>D-21265</t>
  </si>
  <si>
    <t>D-21266</t>
  </si>
  <si>
    <t>D-21267</t>
  </si>
  <si>
    <t>D-21268</t>
  </si>
  <si>
    <t>28-JUL-17---29/07/2017</t>
  </si>
  <si>
    <t>D-21269</t>
  </si>
  <si>
    <t>D-21270</t>
  </si>
  <si>
    <t>D-21271</t>
  </si>
  <si>
    <t>D-21272</t>
  </si>
  <si>
    <t>D-21273</t>
  </si>
  <si>
    <t>D-21274</t>
  </si>
  <si>
    <t>D-21275</t>
  </si>
  <si>
    <t>D-21276</t>
  </si>
  <si>
    <t>D-21277</t>
  </si>
  <si>
    <t>D-21278</t>
  </si>
  <si>
    <t>D-21279</t>
  </si>
  <si>
    <t>D-21280</t>
  </si>
  <si>
    <t>D-21281</t>
  </si>
  <si>
    <t>D-21282</t>
  </si>
  <si>
    <t>D-21283</t>
  </si>
  <si>
    <t>D-21284</t>
  </si>
  <si>
    <t>D-21285</t>
  </si>
  <si>
    <t>D-21286</t>
  </si>
  <si>
    <t>D-21287</t>
  </si>
  <si>
    <t>D-21288</t>
  </si>
  <si>
    <t>28-JUL-17----29-Jul-17</t>
  </si>
  <si>
    <t>D-21289</t>
  </si>
  <si>
    <t>D-21290</t>
  </si>
  <si>
    <t>D-21291</t>
  </si>
  <si>
    <t>D-21292</t>
  </si>
  <si>
    <t>D-21293</t>
  </si>
  <si>
    <t>D-21294</t>
  </si>
  <si>
    <t>D-21295</t>
  </si>
  <si>
    <t>D-21296</t>
  </si>
  <si>
    <t>D-21297</t>
  </si>
  <si>
    <t>D-21298</t>
  </si>
  <si>
    <t>D-21299</t>
  </si>
  <si>
    <t>D-21300</t>
  </si>
  <si>
    <t>D-21301</t>
  </si>
  <si>
    <t>D-21302</t>
  </si>
  <si>
    <t>D-21303</t>
  </si>
  <si>
    <t>28-Jul-17---29-Jul-17</t>
  </si>
  <si>
    <t>D-21304</t>
  </si>
  <si>
    <t>D-21305</t>
  </si>
  <si>
    <t>D-21306</t>
  </si>
  <si>
    <t>D-21307</t>
  </si>
  <si>
    <t>D-21308</t>
  </si>
  <si>
    <t>D-21309</t>
  </si>
  <si>
    <t>D-21310</t>
  </si>
  <si>
    <t>D-21311</t>
  </si>
  <si>
    <t>D-21312</t>
  </si>
  <si>
    <t>D-21313</t>
  </si>
  <si>
    <t>D-21314</t>
  </si>
  <si>
    <t>D-21315</t>
  </si>
  <si>
    <t>D-21316</t>
  </si>
  <si>
    <t>D-21317</t>
  </si>
  <si>
    <t>D-21318</t>
  </si>
  <si>
    <t>D-21319</t>
  </si>
  <si>
    <t>D-21320</t>
  </si>
  <si>
    <t>D-21321</t>
  </si>
  <si>
    <t>D-21322</t>
  </si>
  <si>
    <t>D-21323</t>
  </si>
  <si>
    <t>D-21324</t>
  </si>
  <si>
    <t>26-jul-17---27-Jul-17--28-Jul-17----29-Jul-17</t>
  </si>
  <si>
    <t>D-21325</t>
  </si>
  <si>
    <t>D-21326</t>
  </si>
  <si>
    <t>D-21327</t>
  </si>
  <si>
    <t>D-21328</t>
  </si>
  <si>
    <t>D-21329</t>
  </si>
  <si>
    <t>D-21330</t>
  </si>
  <si>
    <t>D-21331</t>
  </si>
  <si>
    <t>D-21332</t>
  </si>
  <si>
    <t>D-21333</t>
  </si>
  <si>
    <t>D-21334</t>
  </si>
  <si>
    <t>D-21335</t>
  </si>
  <si>
    <t>D-21336</t>
  </si>
  <si>
    <t>D-21337</t>
  </si>
  <si>
    <t>D-21338</t>
  </si>
  <si>
    <t>D-21339</t>
  </si>
  <si>
    <t>D-21340</t>
  </si>
  <si>
    <t>D-21341</t>
  </si>
  <si>
    <t>D-21342</t>
  </si>
  <si>
    <t>D-21343</t>
  </si>
  <si>
    <t>D-21344</t>
  </si>
  <si>
    <t>D-21345</t>
  </si>
  <si>
    <t>D-21346</t>
  </si>
  <si>
    <t>D-21347</t>
  </si>
  <si>
    <t>D-21348</t>
  </si>
  <si>
    <t>D-21349</t>
  </si>
  <si>
    <t>D-21350</t>
  </si>
  <si>
    <t>28-Jul-17--07/2017</t>
  </si>
  <si>
    <t>D-21351</t>
  </si>
  <si>
    <t>D-21352</t>
  </si>
  <si>
    <t>D-21353</t>
  </si>
  <si>
    <t>D-21354</t>
  </si>
  <si>
    <t>D-21355</t>
  </si>
  <si>
    <t>D-21356</t>
  </si>
  <si>
    <t>D-21357</t>
  </si>
  <si>
    <t>D-21358</t>
  </si>
  <si>
    <t>D-21359</t>
  </si>
  <si>
    <t>D-21360</t>
  </si>
  <si>
    <t>D-21361</t>
  </si>
  <si>
    <t>D-21362</t>
  </si>
  <si>
    <t>D-21363</t>
  </si>
  <si>
    <t>D-21364</t>
  </si>
  <si>
    <t>D-21365</t>
  </si>
  <si>
    <t>D-21366</t>
  </si>
  <si>
    <t>D-21367</t>
  </si>
  <si>
    <t>D-21368</t>
  </si>
  <si>
    <t>D-21369</t>
  </si>
  <si>
    <t>D-21370</t>
  </si>
  <si>
    <t>D-21371</t>
  </si>
  <si>
    <t>D-21372</t>
  </si>
  <si>
    <t>D-21373</t>
  </si>
  <si>
    <t>(694)SONATA</t>
  </si>
  <si>
    <t>D-21374</t>
  </si>
  <si>
    <t>D-21375</t>
  </si>
  <si>
    <t>D-21376</t>
  </si>
  <si>
    <t>D-21377</t>
  </si>
  <si>
    <t>D-21378</t>
  </si>
  <si>
    <t>D-21379</t>
  </si>
  <si>
    <t>28-Jul-17--29-Jul-17</t>
  </si>
  <si>
    <t>D-21380</t>
  </si>
  <si>
    <t>D-21381</t>
  </si>
  <si>
    <t>D-21382</t>
  </si>
  <si>
    <t>D-21383</t>
  </si>
  <si>
    <t>D-21384</t>
  </si>
  <si>
    <t>D-21385</t>
  </si>
  <si>
    <t>D-21386</t>
  </si>
  <si>
    <t>D-21387</t>
  </si>
  <si>
    <t>D-21388</t>
  </si>
  <si>
    <t>D-21389</t>
  </si>
  <si>
    <t>D-21390</t>
  </si>
  <si>
    <t>28-Jul-17---31-Jul-17</t>
  </si>
  <si>
    <t>D-21391</t>
  </si>
  <si>
    <t>D-21392</t>
  </si>
  <si>
    <t>D-21393</t>
  </si>
  <si>
    <t>D-21394</t>
  </si>
  <si>
    <t>D-21395</t>
  </si>
  <si>
    <t>D-21396</t>
  </si>
  <si>
    <t>D-21397</t>
  </si>
  <si>
    <t>D-21398</t>
  </si>
  <si>
    <t>D-21399</t>
  </si>
  <si>
    <t>D-21400</t>
  </si>
  <si>
    <t>29-Jul-17---31-Jul-17</t>
  </si>
  <si>
    <t>D-21401</t>
  </si>
  <si>
    <t>D-21402</t>
  </si>
  <si>
    <t>D-21403</t>
  </si>
  <si>
    <t>D-21404</t>
  </si>
  <si>
    <t>D-21405</t>
  </si>
  <si>
    <t>D-21406</t>
  </si>
  <si>
    <t>D-21407</t>
  </si>
  <si>
    <t>D-21408</t>
  </si>
  <si>
    <t>D-21409</t>
  </si>
  <si>
    <t>D-21410</t>
  </si>
  <si>
    <t>D-21411</t>
  </si>
  <si>
    <t>D-21412</t>
  </si>
  <si>
    <t>D-21413</t>
  </si>
  <si>
    <t>D-21414</t>
  </si>
  <si>
    <t>D-21415</t>
  </si>
  <si>
    <t>D-21416</t>
  </si>
  <si>
    <t>D-21417</t>
  </si>
  <si>
    <t>D-21418</t>
  </si>
  <si>
    <t>D-21419</t>
  </si>
  <si>
    <t>D-21420</t>
  </si>
  <si>
    <t>D-21421</t>
  </si>
  <si>
    <t>D-21422</t>
  </si>
  <si>
    <t>D-21423</t>
  </si>
  <si>
    <t>D-21424</t>
  </si>
  <si>
    <t>D-21425</t>
  </si>
  <si>
    <t>D-21426</t>
  </si>
  <si>
    <t>D-21427</t>
  </si>
  <si>
    <t>D-21428</t>
  </si>
  <si>
    <t>D-21429</t>
  </si>
  <si>
    <t>D-21430</t>
  </si>
  <si>
    <t>D-21431</t>
  </si>
  <si>
    <t>D-21432</t>
  </si>
  <si>
    <t>D-21433</t>
  </si>
  <si>
    <t>D-21434</t>
  </si>
  <si>
    <t>D-21435</t>
  </si>
  <si>
    <t>D-21436</t>
  </si>
  <si>
    <t>D-21437</t>
  </si>
  <si>
    <t>D-21438</t>
  </si>
  <si>
    <t>(226)RODOLFO LINARES</t>
  </si>
  <si>
    <t>D-21439</t>
  </si>
  <si>
    <t>D-21440</t>
  </si>
  <si>
    <t>D-21441</t>
  </si>
  <si>
    <t>D-21442</t>
  </si>
  <si>
    <t>D-21443</t>
  </si>
  <si>
    <t>D-21444</t>
  </si>
  <si>
    <t>D-21445</t>
  </si>
  <si>
    <t>D-21446</t>
  </si>
  <si>
    <t>(228)OCTAVIO LINARES</t>
  </si>
  <si>
    <t>D-21447</t>
  </si>
  <si>
    <t>D-21448</t>
  </si>
  <si>
    <t>(495)RODOLFO LINARES JR</t>
  </si>
  <si>
    <t>D-21449</t>
  </si>
  <si>
    <t>D-21450</t>
  </si>
  <si>
    <t>D-21451</t>
  </si>
  <si>
    <t>D-21452</t>
  </si>
  <si>
    <t>D-21453</t>
  </si>
  <si>
    <t>D-21454</t>
  </si>
  <si>
    <t>D-21455</t>
  </si>
  <si>
    <t>D-21456</t>
  </si>
  <si>
    <t>D-21457</t>
  </si>
  <si>
    <t>D-21458</t>
  </si>
  <si>
    <t>D-21459</t>
  </si>
  <si>
    <t>D-21460</t>
  </si>
  <si>
    <t>D-21461</t>
  </si>
  <si>
    <t>D-21462</t>
  </si>
  <si>
    <t>D-21463</t>
  </si>
  <si>
    <t>D-21464</t>
  </si>
  <si>
    <t>D-21465</t>
  </si>
  <si>
    <t>(131)VERO</t>
  </si>
  <si>
    <t>D-21466</t>
  </si>
  <si>
    <t>D-21467</t>
  </si>
  <si>
    <t>D-21468</t>
  </si>
  <si>
    <t>D-21469</t>
  </si>
  <si>
    <t>D-21470</t>
  </si>
  <si>
    <t>D-21471</t>
  </si>
  <si>
    <t>D-21472</t>
  </si>
  <si>
    <t>D-21473</t>
  </si>
  <si>
    <t>D-21474</t>
  </si>
  <si>
    <t>D-21475</t>
  </si>
  <si>
    <t>D-21476</t>
  </si>
  <si>
    <t>D-21477</t>
  </si>
  <si>
    <t>D-21478</t>
  </si>
  <si>
    <t>D-21479</t>
  </si>
  <si>
    <t>D-21480</t>
  </si>
  <si>
    <t>D-21481</t>
  </si>
  <si>
    <t>D-21482</t>
  </si>
  <si>
    <t>D-21483</t>
  </si>
  <si>
    <t>D-21484</t>
  </si>
  <si>
    <t>D-21485</t>
  </si>
  <si>
    <t>D-21486</t>
  </si>
  <si>
    <t>D-21487</t>
  </si>
  <si>
    <t>D-21488</t>
  </si>
  <si>
    <t>D-21489</t>
  </si>
  <si>
    <t>D-21490</t>
  </si>
  <si>
    <t>D-21491</t>
  </si>
  <si>
    <t>D-21492</t>
  </si>
  <si>
    <t>D-21493</t>
  </si>
  <si>
    <t>D-21494</t>
  </si>
  <si>
    <t>D-21495</t>
  </si>
  <si>
    <t>D-21496</t>
  </si>
  <si>
    <t>D-21497</t>
  </si>
  <si>
    <t>D-21498</t>
  </si>
  <si>
    <t>D-21499</t>
  </si>
  <si>
    <t>D-21500</t>
  </si>
  <si>
    <t>D-21501</t>
  </si>
  <si>
    <t>D-21502</t>
  </si>
  <si>
    <t>D-21503</t>
  </si>
  <si>
    <t>D-21504</t>
  </si>
  <si>
    <t>D-21505</t>
  </si>
  <si>
    <t>D-21506</t>
  </si>
  <si>
    <t>D-21507</t>
  </si>
  <si>
    <t>D-21508</t>
  </si>
  <si>
    <t>D-21509</t>
  </si>
  <si>
    <t>D-21510</t>
  </si>
  <si>
    <t>D-21511</t>
  </si>
  <si>
    <t>D-21512</t>
  </si>
  <si>
    <t>D-21513</t>
  </si>
  <si>
    <t>(297)ZAPATA  JUQUILA  CANCELADA</t>
  </si>
  <si>
    <t>D-21514</t>
  </si>
  <si>
    <t>D-21515</t>
  </si>
  <si>
    <t>D-21516</t>
  </si>
  <si>
    <t>D-21517</t>
  </si>
  <si>
    <t>D-21518</t>
  </si>
  <si>
    <t>D-21519</t>
  </si>
  <si>
    <t>D-21520</t>
  </si>
  <si>
    <t>D-21521</t>
  </si>
  <si>
    <t>D-21522</t>
  </si>
  <si>
    <t>D-21523</t>
  </si>
  <si>
    <t>D-21524</t>
  </si>
  <si>
    <t>D-21525</t>
  </si>
  <si>
    <t>D-21526</t>
  </si>
  <si>
    <t>D-21527</t>
  </si>
  <si>
    <t>D-21528</t>
  </si>
  <si>
    <t>D-21529</t>
  </si>
  <si>
    <t>D-21530</t>
  </si>
  <si>
    <t>D-21531</t>
  </si>
  <si>
    <t>D-21532</t>
  </si>
  <si>
    <t>D-21533</t>
  </si>
  <si>
    <t>D-21534</t>
  </si>
  <si>
    <t>D-21535</t>
  </si>
  <si>
    <t>D-21536</t>
  </si>
  <si>
    <t>D-21537</t>
  </si>
  <si>
    <t>D-21538</t>
  </si>
  <si>
    <t>D-21539</t>
  </si>
  <si>
    <t>D-21540</t>
  </si>
  <si>
    <t>D-21541</t>
  </si>
  <si>
    <t>D-21542</t>
  </si>
  <si>
    <t>D-21543</t>
  </si>
  <si>
    <t>D-21544</t>
  </si>
  <si>
    <t>D-21545</t>
  </si>
  <si>
    <t>D-21546</t>
  </si>
  <si>
    <t>D-21547</t>
  </si>
  <si>
    <t>D-21548</t>
  </si>
  <si>
    <t>D-21549</t>
  </si>
  <si>
    <t>D-21550</t>
  </si>
  <si>
    <t>D-21551</t>
  </si>
  <si>
    <t>D-21552</t>
  </si>
  <si>
    <t>D-21553</t>
  </si>
  <si>
    <t>D-21554</t>
  </si>
  <si>
    <t>D-21555</t>
  </si>
  <si>
    <t>D-21556</t>
  </si>
  <si>
    <t>D-21557</t>
  </si>
  <si>
    <t>D-21558</t>
  </si>
  <si>
    <t>D-21559</t>
  </si>
  <si>
    <t>D-21560</t>
  </si>
  <si>
    <t>D-21561</t>
  </si>
  <si>
    <t>D-21562</t>
  </si>
  <si>
    <t>D-21563</t>
  </si>
  <si>
    <t>D-21564</t>
  </si>
  <si>
    <t>D-21565</t>
  </si>
  <si>
    <t>D-21566</t>
  </si>
  <si>
    <t>D-21567</t>
  </si>
  <si>
    <t>D-21568</t>
  </si>
  <si>
    <t>D-21569</t>
  </si>
  <si>
    <t>D-21570</t>
  </si>
  <si>
    <t>D-21571</t>
  </si>
  <si>
    <t>D-21572</t>
  </si>
  <si>
    <t>D-21573</t>
  </si>
  <si>
    <t>D-21574</t>
  </si>
  <si>
    <t>D-21575</t>
  </si>
  <si>
    <t>D-21576</t>
  </si>
  <si>
    <t>D-21577</t>
  </si>
  <si>
    <t>D-21578</t>
  </si>
  <si>
    <t>D-21579</t>
  </si>
  <si>
    <t>D-21580</t>
  </si>
  <si>
    <t>D-21581</t>
  </si>
  <si>
    <t>D-21582</t>
  </si>
  <si>
    <t>D-21583</t>
  </si>
  <si>
    <t>D-21584</t>
  </si>
  <si>
    <t>D-21585</t>
  </si>
  <si>
    <t>D-21586</t>
  </si>
  <si>
    <t>D-21587</t>
  </si>
  <si>
    <t>D-21588</t>
  </si>
  <si>
    <t>D-21589</t>
  </si>
  <si>
    <t>D-21590</t>
  </si>
  <si>
    <t>D-21591</t>
  </si>
  <si>
    <t>D-21592</t>
  </si>
  <si>
    <t>D-21593</t>
  </si>
  <si>
    <t>D-21594</t>
  </si>
  <si>
    <t>D-21595</t>
  </si>
  <si>
    <t>D-21596</t>
  </si>
  <si>
    <t>D-21597</t>
  </si>
  <si>
    <t>D-21598</t>
  </si>
  <si>
    <t>D-21599</t>
  </si>
  <si>
    <t>D-21600</t>
  </si>
  <si>
    <t>D-21601</t>
  </si>
  <si>
    <t>D-21602</t>
  </si>
  <si>
    <t>D-21603</t>
  </si>
  <si>
    <t>D-21604</t>
  </si>
  <si>
    <t>D-21605</t>
  </si>
  <si>
    <t>D-21606</t>
  </si>
  <si>
    <t>D-21607</t>
  </si>
  <si>
    <t>D-21608</t>
  </si>
  <si>
    <t>D-21609</t>
  </si>
  <si>
    <t>D-21610</t>
  </si>
  <si>
    <t>D-21611</t>
  </si>
  <si>
    <t>D-21612</t>
  </si>
  <si>
    <t>D-21613</t>
  </si>
  <si>
    <t>D-21614</t>
  </si>
  <si>
    <t>D-21615</t>
  </si>
  <si>
    <t>D-21616</t>
  </si>
  <si>
    <t>D-21617</t>
  </si>
  <si>
    <t>D-21618</t>
  </si>
  <si>
    <t>D-21619</t>
  </si>
  <si>
    <t>D-21620</t>
  </si>
  <si>
    <t>D-21621</t>
  </si>
  <si>
    <t>D-21622</t>
  </si>
  <si>
    <t>D-21623</t>
  </si>
  <si>
    <t>D-21624</t>
  </si>
  <si>
    <t>28-Jul-17--30-Jul-17---31/07/2017</t>
  </si>
  <si>
    <t>D-21625</t>
  </si>
  <si>
    <t>D-21626</t>
  </si>
  <si>
    <t>D-21627</t>
  </si>
  <si>
    <t>D-21628</t>
  </si>
  <si>
    <t>D-21629</t>
  </si>
  <si>
    <t>D-21630</t>
  </si>
  <si>
    <t>D-21631</t>
  </si>
  <si>
    <t>D-21632</t>
  </si>
  <si>
    <t>D-21633</t>
  </si>
  <si>
    <t>D-21634</t>
  </si>
  <si>
    <t>D-21635</t>
  </si>
  <si>
    <t>D-21636</t>
  </si>
  <si>
    <t>D-21637</t>
  </si>
  <si>
    <t>D-21638</t>
  </si>
  <si>
    <t>D-21639</t>
  </si>
  <si>
    <t>D-21640</t>
  </si>
  <si>
    <t>D-21641</t>
  </si>
  <si>
    <t>D-21642</t>
  </si>
  <si>
    <t>D-21643</t>
  </si>
  <si>
    <t>D-21644</t>
  </si>
  <si>
    <t>D-21645</t>
  </si>
  <si>
    <t>D-21646</t>
  </si>
  <si>
    <t>D-21647</t>
  </si>
  <si>
    <t>D-21648</t>
  </si>
  <si>
    <t>D-21649</t>
  </si>
  <si>
    <t>D-21650</t>
  </si>
  <si>
    <t>D-21651</t>
  </si>
  <si>
    <t>D-21652</t>
  </si>
  <si>
    <t>D-21653</t>
  </si>
  <si>
    <t>D-21654</t>
  </si>
  <si>
    <t>D-21655</t>
  </si>
  <si>
    <t>D-21656</t>
  </si>
  <si>
    <t>D-21657</t>
  </si>
  <si>
    <t>D-21658</t>
  </si>
  <si>
    <t>D-21659</t>
  </si>
  <si>
    <t>D-21660</t>
  </si>
  <si>
    <t>D-21661</t>
  </si>
  <si>
    <t>D-21662</t>
  </si>
  <si>
    <t>D-21663</t>
  </si>
  <si>
    <t>D-21664</t>
  </si>
  <si>
    <t>D-21665</t>
  </si>
  <si>
    <t>D-21666</t>
  </si>
  <si>
    <t>D-21667</t>
  </si>
  <si>
    <t>D-21668</t>
  </si>
  <si>
    <t>D-21669</t>
  </si>
  <si>
    <t>D-21670</t>
  </si>
  <si>
    <t>D-21671</t>
  </si>
  <si>
    <t>D-21672</t>
  </si>
  <si>
    <t>D-21673</t>
  </si>
  <si>
    <t>D-21674</t>
  </si>
  <si>
    <t>D-21675</t>
  </si>
  <si>
    <t>D-21676</t>
  </si>
  <si>
    <t>D-21677</t>
  </si>
  <si>
    <t>D-21678</t>
  </si>
  <si>
    <t>D-21679</t>
  </si>
  <si>
    <t>D-21680</t>
  </si>
  <si>
    <t>D-21681</t>
  </si>
  <si>
    <t>D-21682</t>
  </si>
  <si>
    <t>D-21683</t>
  </si>
  <si>
    <t>D-21684</t>
  </si>
  <si>
    <t>D-21685</t>
  </si>
  <si>
    <t>D-21686</t>
  </si>
  <si>
    <t>D-21687</t>
  </si>
  <si>
    <t>D-21688</t>
  </si>
  <si>
    <t>D-21689</t>
  </si>
  <si>
    <t>D-21690</t>
  </si>
  <si>
    <t>D-21691</t>
  </si>
  <si>
    <t>D-21692</t>
  </si>
  <si>
    <t>D-21693</t>
  </si>
  <si>
    <t>D-21694</t>
  </si>
  <si>
    <t>D-21695</t>
  </si>
  <si>
    <t>D-21696</t>
  </si>
  <si>
    <t>D-21697</t>
  </si>
  <si>
    <t>D-21698</t>
  </si>
  <si>
    <t>D-21699</t>
  </si>
  <si>
    <t>D-21700</t>
  </si>
  <si>
    <t>D-21701</t>
  </si>
  <si>
    <t>D-21702</t>
  </si>
  <si>
    <t>D-21703</t>
  </si>
  <si>
    <t>D-21704</t>
  </si>
  <si>
    <t>D-21705</t>
  </si>
  <si>
    <t>D-21706</t>
  </si>
  <si>
    <t>D-21707</t>
  </si>
  <si>
    <t>D-21708</t>
  </si>
  <si>
    <t>D-21709</t>
  </si>
  <si>
    <t>D-21710</t>
  </si>
  <si>
    <t>D-21711</t>
  </si>
  <si>
    <t>D-21712</t>
  </si>
  <si>
    <t>29-Jul-17---30-Jul-17</t>
  </si>
  <si>
    <t>D-21713</t>
  </si>
  <si>
    <t>D-21714</t>
  </si>
  <si>
    <t>D-21715</t>
  </si>
  <si>
    <t>D-21716</t>
  </si>
  <si>
    <t>D-21717</t>
  </si>
  <si>
    <t>D-21718</t>
  </si>
  <si>
    <t>D-21719</t>
  </si>
  <si>
    <t>D-21720</t>
  </si>
  <si>
    <t>D-21721</t>
  </si>
  <si>
    <t>29/07/2017</t>
  </si>
  <si>
    <t>D-21722</t>
  </si>
  <si>
    <t>D-21723</t>
  </si>
  <si>
    <t>D-21724</t>
  </si>
  <si>
    <t>D-21725</t>
  </si>
  <si>
    <t>D-21726</t>
  </si>
  <si>
    <t>D-21727</t>
  </si>
  <si>
    <t>D-21728</t>
  </si>
  <si>
    <t>D-21729</t>
  </si>
  <si>
    <t>D-21730</t>
  </si>
  <si>
    <t>D-21731</t>
  </si>
  <si>
    <t>D-21732</t>
  </si>
  <si>
    <t>D-21733</t>
  </si>
  <si>
    <t>D-21734</t>
  </si>
  <si>
    <t>D-21735</t>
  </si>
  <si>
    <t>D-21736</t>
  </si>
  <si>
    <t>D-21737</t>
  </si>
  <si>
    <t>D-21738</t>
  </si>
  <si>
    <t>D-21739</t>
  </si>
  <si>
    <t>D-21740</t>
  </si>
  <si>
    <t>D-21741</t>
  </si>
  <si>
    <t>D-21742</t>
  </si>
  <si>
    <t>D-21743</t>
  </si>
  <si>
    <t>D-21744</t>
  </si>
  <si>
    <t>D-21745</t>
  </si>
  <si>
    <t>D-21746</t>
  </si>
  <si>
    <t>D-21747</t>
  </si>
  <si>
    <t>D-21748</t>
  </si>
  <si>
    <t>D-21749</t>
  </si>
  <si>
    <t>D-21750</t>
  </si>
  <si>
    <t>D-21751</t>
  </si>
  <si>
    <t>D-21752</t>
  </si>
  <si>
    <t>D-21753</t>
  </si>
  <si>
    <t>D-21754</t>
  </si>
  <si>
    <t>D-21755</t>
  </si>
  <si>
    <t>D-21756</t>
  </si>
  <si>
    <t>D-21757</t>
  </si>
  <si>
    <t>D-21758</t>
  </si>
  <si>
    <t>D-21759</t>
  </si>
  <si>
    <t>D-21760</t>
  </si>
  <si>
    <t>D-21761</t>
  </si>
  <si>
    <t>D-21762</t>
  </si>
  <si>
    <t>D-21763</t>
  </si>
  <si>
    <t>D-21764</t>
  </si>
  <si>
    <t>D-21765</t>
  </si>
  <si>
    <t>D-21766</t>
  </si>
  <si>
    <t>D-21767</t>
  </si>
  <si>
    <t>D-21768</t>
  </si>
  <si>
    <t>D-21769</t>
  </si>
  <si>
    <t>D-21770</t>
  </si>
  <si>
    <t>D-21771</t>
  </si>
  <si>
    <t>D-21772</t>
  </si>
  <si>
    <t>D-21773</t>
  </si>
  <si>
    <t>D-21774</t>
  </si>
  <si>
    <t>D-21775</t>
  </si>
  <si>
    <t>D-21776</t>
  </si>
  <si>
    <t>D-21777</t>
  </si>
  <si>
    <t>D-21778</t>
  </si>
  <si>
    <t>D-21779</t>
  </si>
  <si>
    <t>D-21780</t>
  </si>
  <si>
    <t>D-21781</t>
  </si>
  <si>
    <t>D-21782</t>
  </si>
  <si>
    <t>D-21783</t>
  </si>
  <si>
    <t>D-21784</t>
  </si>
  <si>
    <t>D-21785</t>
  </si>
  <si>
    <t>D-21786</t>
  </si>
  <si>
    <t>D-21787</t>
  </si>
  <si>
    <t>D-21788</t>
  </si>
  <si>
    <t>D-21789</t>
  </si>
  <si>
    <t>D-21790</t>
  </si>
  <si>
    <t>D-21791</t>
  </si>
  <si>
    <t>D-21792</t>
  </si>
  <si>
    <t>D-21793</t>
  </si>
  <si>
    <t>D-21794</t>
  </si>
  <si>
    <t>D-21795</t>
  </si>
  <si>
    <t>D-21796</t>
  </si>
  <si>
    <t>D-21797</t>
  </si>
  <si>
    <t>D-21798</t>
  </si>
  <si>
    <t>D-21799</t>
  </si>
  <si>
    <t>D-21800</t>
  </si>
  <si>
    <t>D-21801</t>
  </si>
  <si>
    <t>D-21802</t>
  </si>
  <si>
    <t>D-21803</t>
  </si>
  <si>
    <t>D-21804</t>
  </si>
  <si>
    <t>D-21805</t>
  </si>
  <si>
    <t>D-21806</t>
  </si>
  <si>
    <t>D-21807</t>
  </si>
  <si>
    <t>D-21808</t>
  </si>
  <si>
    <t>D-21809</t>
  </si>
  <si>
    <t>D-21810</t>
  </si>
  <si>
    <t>D-21811</t>
  </si>
  <si>
    <t>D-21812</t>
  </si>
  <si>
    <t>D-21813</t>
  </si>
  <si>
    <t>D-21814</t>
  </si>
  <si>
    <t>D-21815</t>
  </si>
  <si>
    <t>D-21816</t>
  </si>
  <si>
    <t>D-21817</t>
  </si>
  <si>
    <t>D-21818</t>
  </si>
  <si>
    <t>D-21819</t>
  </si>
  <si>
    <t>D-21820</t>
  </si>
  <si>
    <t>D-21821</t>
  </si>
  <si>
    <t>D-21822</t>
  </si>
  <si>
    <t>D-21823</t>
  </si>
  <si>
    <t>D-21824</t>
  </si>
  <si>
    <t>30/07/2017</t>
  </si>
  <si>
    <t>D-21825</t>
  </si>
  <si>
    <t>D-21826</t>
  </si>
  <si>
    <t>D-21827</t>
  </si>
  <si>
    <t>D-21828</t>
  </si>
  <si>
    <t>D-21829</t>
  </si>
  <si>
    <t>D-21830</t>
  </si>
  <si>
    <t>D-21831</t>
  </si>
  <si>
    <t>30-Jul-17---31-Jul-17</t>
  </si>
  <si>
    <t>D-21832</t>
  </si>
  <si>
    <t>D-21833</t>
  </si>
  <si>
    <t>D-21834</t>
  </si>
  <si>
    <t>D-21835</t>
  </si>
  <si>
    <t>D-21836</t>
  </si>
  <si>
    <t>D-21837</t>
  </si>
  <si>
    <t>D-21838</t>
  </si>
  <si>
    <t>D-21839</t>
  </si>
  <si>
    <t>D-21840</t>
  </si>
  <si>
    <t>D-21841</t>
  </si>
  <si>
    <t>D-21842</t>
  </si>
  <si>
    <t>D-21843</t>
  </si>
  <si>
    <t>D-21844</t>
  </si>
  <si>
    <t>D-21845</t>
  </si>
  <si>
    <t>D-21846</t>
  </si>
  <si>
    <t>D-21847</t>
  </si>
  <si>
    <t>D-21848</t>
  </si>
  <si>
    <t>D-21849</t>
  </si>
  <si>
    <t>D-21850</t>
  </si>
  <si>
    <t>D-21851</t>
  </si>
  <si>
    <t>D-21852</t>
  </si>
  <si>
    <t>D-21853</t>
  </si>
  <si>
    <t>D-21854</t>
  </si>
  <si>
    <t>D-21855</t>
  </si>
  <si>
    <t>D-21856</t>
  </si>
  <si>
    <t>D-21857</t>
  </si>
  <si>
    <t>D-21858</t>
  </si>
  <si>
    <t>D-21859</t>
  </si>
  <si>
    <t>D-21860</t>
  </si>
  <si>
    <t>D-21861</t>
  </si>
  <si>
    <t>D-21862</t>
  </si>
  <si>
    <t>D-21863</t>
  </si>
  <si>
    <t>D-21864</t>
  </si>
  <si>
    <t>D-21865</t>
  </si>
  <si>
    <t>D-21866</t>
  </si>
  <si>
    <t>D-21867</t>
  </si>
  <si>
    <t>D-21868</t>
  </si>
  <si>
    <t>D-21869</t>
  </si>
  <si>
    <t>D-21870</t>
  </si>
  <si>
    <t>D-21871</t>
  </si>
  <si>
    <t>D-21872</t>
  </si>
  <si>
    <t>D-21873</t>
  </si>
  <si>
    <t>D-21874</t>
  </si>
  <si>
    <t>D-21875</t>
  </si>
  <si>
    <t>D-21876</t>
  </si>
  <si>
    <t>D-21877</t>
  </si>
  <si>
    <t>D-21878</t>
  </si>
  <si>
    <t>D-21879</t>
  </si>
  <si>
    <t>D-21880</t>
  </si>
  <si>
    <t>D-21881</t>
  </si>
  <si>
    <t>D-21882</t>
  </si>
  <si>
    <t>D-21883</t>
  </si>
  <si>
    <t>D-21884</t>
  </si>
  <si>
    <t>D-21885</t>
  </si>
  <si>
    <t>D-21886</t>
  </si>
  <si>
    <t>D-21887</t>
  </si>
  <si>
    <t>D-21888</t>
  </si>
  <si>
    <t>D-21889</t>
  </si>
  <si>
    <t>D-21890</t>
  </si>
  <si>
    <t>D-21891</t>
  </si>
  <si>
    <t>D-21892</t>
  </si>
  <si>
    <t>D-21893</t>
  </si>
  <si>
    <t>D-21894</t>
  </si>
  <si>
    <t>D-21895</t>
  </si>
  <si>
    <t>D-21896</t>
  </si>
  <si>
    <t>D-21897</t>
  </si>
  <si>
    <t>D-21898</t>
  </si>
  <si>
    <t>D-21899</t>
  </si>
  <si>
    <t>D-21900</t>
  </si>
  <si>
    <t>D-21901</t>
  </si>
  <si>
    <t>D-21902</t>
  </si>
  <si>
    <t>D-21903</t>
  </si>
  <si>
    <t>D-21904</t>
  </si>
  <si>
    <t>D-21905</t>
  </si>
  <si>
    <t>D-21906</t>
  </si>
  <si>
    <t>D-21907</t>
  </si>
  <si>
    <t>D-21908</t>
  </si>
  <si>
    <t>D-21909</t>
  </si>
  <si>
    <t>D-21910</t>
  </si>
  <si>
    <t>D-21911</t>
  </si>
  <si>
    <t>D-21912</t>
  </si>
  <si>
    <t>D-21913</t>
  </si>
  <si>
    <t>D-21914</t>
  </si>
  <si>
    <t>D-21915</t>
  </si>
  <si>
    <t>D-21916</t>
  </si>
  <si>
    <t>D-21917</t>
  </si>
  <si>
    <t>D-21918</t>
  </si>
  <si>
    <t>D-21919</t>
  </si>
  <si>
    <t>D-21920</t>
  </si>
  <si>
    <t>D-21921</t>
  </si>
  <si>
    <t>D-21922</t>
  </si>
  <si>
    <t>D-21923</t>
  </si>
  <si>
    <t>D-21924</t>
  </si>
  <si>
    <t>D-21925</t>
  </si>
  <si>
    <t>D-21926</t>
  </si>
  <si>
    <t>D-21927</t>
  </si>
  <si>
    <t>D-21928</t>
  </si>
  <si>
    <t>D-21929</t>
  </si>
  <si>
    <t>D-21930</t>
  </si>
  <si>
    <t>D-21931</t>
  </si>
  <si>
    <t>D-21932</t>
  </si>
  <si>
    <t>D-21933</t>
  </si>
  <si>
    <t>D-21934</t>
  </si>
  <si>
    <t>D-21935</t>
  </si>
  <si>
    <t>D-21936</t>
  </si>
  <si>
    <t>D-21937</t>
  </si>
  <si>
    <t>D-21938</t>
  </si>
  <si>
    <t>D-21939</t>
  </si>
  <si>
    <t>D-21940</t>
  </si>
  <si>
    <t>D-21941</t>
  </si>
  <si>
    <t>D-21942</t>
  </si>
  <si>
    <t>D-21943</t>
  </si>
  <si>
    <t>D-21944</t>
  </si>
  <si>
    <t>D-21945</t>
  </si>
  <si>
    <t>D-21946</t>
  </si>
  <si>
    <t>D-21947</t>
  </si>
  <si>
    <t>D-21948</t>
  </si>
  <si>
    <t>D-21949</t>
  </si>
  <si>
    <t>D-21950</t>
  </si>
  <si>
    <t>D-21951</t>
  </si>
  <si>
    <t>D-21952</t>
  </si>
  <si>
    <t>D-21953</t>
  </si>
  <si>
    <t>D-21954</t>
  </si>
  <si>
    <t>D-21955</t>
  </si>
  <si>
    <t>D-21956</t>
  </si>
  <si>
    <t>D-21957</t>
  </si>
  <si>
    <t>D-21958</t>
  </si>
  <si>
    <t>D-21959</t>
  </si>
  <si>
    <t>D-21960</t>
  </si>
  <si>
    <t>D-21961</t>
  </si>
  <si>
    <t>D-21962</t>
  </si>
  <si>
    <t>D-21963</t>
  </si>
  <si>
    <t>D-21964</t>
  </si>
  <si>
    <t>D-21965</t>
  </si>
  <si>
    <t>D-21966</t>
  </si>
  <si>
    <t>D-21967</t>
  </si>
  <si>
    <t>D-21968</t>
  </si>
  <si>
    <t>D-21969</t>
  </si>
  <si>
    <t>D-21970</t>
  </si>
  <si>
    <t>D-21971</t>
  </si>
  <si>
    <t>D-21972</t>
  </si>
  <si>
    <t>D-21973</t>
  </si>
  <si>
    <t xml:space="preserve">TOTAL </t>
  </si>
  <si>
    <t>29-Jul-17---01-Ago-17</t>
  </si>
  <si>
    <t>31-Jul-17----01-Ago-17</t>
  </si>
  <si>
    <t>29-Jul-17----01-Ago-17</t>
  </si>
  <si>
    <t>1-Ago-17----02-Ago-17</t>
  </si>
  <si>
    <t>1-Ago-17---02-Ago-17</t>
  </si>
  <si>
    <t>1-Ago-17---03-Ago-17</t>
  </si>
  <si>
    <t>2-Ago-17----03-Ago-17</t>
  </si>
  <si>
    <t>31-Jul-17----03-Ago-17</t>
  </si>
  <si>
    <t>2-Ago-17---04-Ago-17</t>
  </si>
  <si>
    <t>20-Abroñ-17---5-Ago-17</t>
  </si>
  <si>
    <t>1-Ago-17--2-Ago-17--3-Ago-17---5-Ago-17-----06/08/2017</t>
  </si>
  <si>
    <t>31-Jul-17---05-Ago-17</t>
  </si>
  <si>
    <t>5-Ago-17----06/08/2017</t>
  </si>
  <si>
    <t>5-Ago-17---06/08/2017</t>
  </si>
  <si>
    <t>31-Jul-17----07-Ago-17</t>
  </si>
  <si>
    <t>3-Ago-17---07-Ago-17</t>
  </si>
  <si>
    <t>9-Ago-17---11-Ago-17</t>
  </si>
  <si>
    <t>29-Jul-17--12-Ago-17</t>
  </si>
  <si>
    <t>30-Abril -17---13-Ago-17</t>
  </si>
  <si>
    <t>23-Jul-17--28-Jul-17---13-Ago-17</t>
  </si>
  <si>
    <t>31-Jul-17---13-Ago-17</t>
  </si>
  <si>
    <t>29-Jul-17---14-Ago-17</t>
  </si>
  <si>
    <t>20-Jul-17--22-Jul-17--24-Jul-17--27-Jul-17--30-Jul-17--3-Ago-17--6-Ago-17--16-Ago-17</t>
  </si>
  <si>
    <t>11-Ago-17----19-Ago-17</t>
  </si>
  <si>
    <t>13-Ago-17----20-Ago-17</t>
  </si>
  <si>
    <t>D-21974</t>
  </si>
  <si>
    <t>D-21975</t>
  </si>
  <si>
    <t>D-21976</t>
  </si>
  <si>
    <t>D-21977</t>
  </si>
  <si>
    <t>D-21978</t>
  </si>
  <si>
    <t>D-21979</t>
  </si>
  <si>
    <t>D-21980</t>
  </si>
  <si>
    <t>D-21981</t>
  </si>
  <si>
    <t>D-21982</t>
  </si>
  <si>
    <t>D-21983</t>
  </si>
  <si>
    <t>D-21984</t>
  </si>
  <si>
    <t>D-21985</t>
  </si>
  <si>
    <t>D-21986</t>
  </si>
  <si>
    <t>D-21987</t>
  </si>
  <si>
    <t>2-Ago-17---03-Ago-17</t>
  </si>
  <si>
    <t>D-21988</t>
  </si>
  <si>
    <t>D-21989</t>
  </si>
  <si>
    <t>SIN ORIGINAL NI COPIA AZUL</t>
  </si>
  <si>
    <t>D-21990</t>
  </si>
  <si>
    <t>D-21991</t>
  </si>
  <si>
    <t>D-21992</t>
  </si>
  <si>
    <t>D-21993</t>
  </si>
  <si>
    <t>D-21994</t>
  </si>
  <si>
    <t>D-21995</t>
  </si>
  <si>
    <t>D-21996</t>
  </si>
  <si>
    <t>D-21997</t>
  </si>
  <si>
    <t>D-21998</t>
  </si>
  <si>
    <t>D-21999</t>
  </si>
  <si>
    <t>D-22000</t>
  </si>
  <si>
    <t>D-22001</t>
  </si>
  <si>
    <t>D-22002</t>
  </si>
  <si>
    <t>D-22003</t>
  </si>
  <si>
    <t>D-22004</t>
  </si>
  <si>
    <t>D-22005</t>
  </si>
  <si>
    <t>D-22006</t>
  </si>
  <si>
    <t>D-22007</t>
  </si>
  <si>
    <t>D-22008</t>
  </si>
  <si>
    <t>D-22009</t>
  </si>
  <si>
    <t>D-22010</t>
  </si>
  <si>
    <t>D-22011</t>
  </si>
  <si>
    <t>D-22012</t>
  </si>
  <si>
    <t>D-22013</t>
  </si>
  <si>
    <t>D-22014</t>
  </si>
  <si>
    <t>D-22015</t>
  </si>
  <si>
    <t>D-22016</t>
  </si>
  <si>
    <t>D-22017</t>
  </si>
  <si>
    <t>D-22018</t>
  </si>
  <si>
    <t>D-22019</t>
  </si>
  <si>
    <t>D-22020</t>
  </si>
  <si>
    <t>20-Ago-17-----29-Ago-17</t>
  </si>
  <si>
    <t>D-22021</t>
  </si>
  <si>
    <t>D-22022</t>
  </si>
  <si>
    <t>D-22023</t>
  </si>
  <si>
    <t>D-22024</t>
  </si>
  <si>
    <t>D-22025</t>
  </si>
  <si>
    <t>D-22026</t>
  </si>
  <si>
    <t>D-22027</t>
  </si>
  <si>
    <t>D-22028</t>
  </si>
  <si>
    <t>D-22029</t>
  </si>
  <si>
    <t>D-22030</t>
  </si>
  <si>
    <t>D-22031</t>
  </si>
  <si>
    <t>D-22032</t>
  </si>
  <si>
    <t>3-Ago-17---04-Ago-17</t>
  </si>
  <si>
    <t>D-22033</t>
  </si>
  <si>
    <t>D-22034</t>
  </si>
  <si>
    <t>D-22035</t>
  </si>
  <si>
    <t>D-22036</t>
  </si>
  <si>
    <t>D-22037</t>
  </si>
  <si>
    <t>D-22038</t>
  </si>
  <si>
    <t>D-22039</t>
  </si>
  <si>
    <t>D-22040</t>
  </si>
  <si>
    <t>D-22041</t>
  </si>
  <si>
    <t>D-22042</t>
  </si>
  <si>
    <t>D-22043</t>
  </si>
  <si>
    <t>D-22044</t>
  </si>
  <si>
    <t>D-22045</t>
  </si>
  <si>
    <t>D-22046</t>
  </si>
  <si>
    <t>D-22047</t>
  </si>
  <si>
    <t>D-22048</t>
  </si>
  <si>
    <t>D-22049</t>
  </si>
  <si>
    <t>D-22050</t>
  </si>
  <si>
    <t>D-22051</t>
  </si>
  <si>
    <t>D-22052</t>
  </si>
  <si>
    <t>D-22053</t>
  </si>
  <si>
    <t>D-22054</t>
  </si>
  <si>
    <t>D-22055</t>
  </si>
  <si>
    <t>D-22056</t>
  </si>
  <si>
    <t>D-22057</t>
  </si>
  <si>
    <t>D-22058</t>
  </si>
  <si>
    <t>D-22059</t>
  </si>
  <si>
    <t>D-22060</t>
  </si>
  <si>
    <t>D-22061</t>
  </si>
  <si>
    <t>D-22062</t>
  </si>
  <si>
    <t>D-22063</t>
  </si>
  <si>
    <t>D-22064</t>
  </si>
  <si>
    <t>D-22065</t>
  </si>
  <si>
    <t>D-22066</t>
  </si>
  <si>
    <t>D-22067</t>
  </si>
  <si>
    <t>D-22068</t>
  </si>
  <si>
    <t>D-22069</t>
  </si>
  <si>
    <t>D-22070</t>
  </si>
  <si>
    <t>D-22071</t>
  </si>
  <si>
    <t>D-22072</t>
  </si>
  <si>
    <t>D-22073</t>
  </si>
  <si>
    <t>D-22074</t>
  </si>
  <si>
    <t>D-22075</t>
  </si>
  <si>
    <t>D-22076</t>
  </si>
  <si>
    <t>D-22077</t>
  </si>
  <si>
    <t>D-22078</t>
  </si>
  <si>
    <t>D-22079</t>
  </si>
  <si>
    <t>D-22080</t>
  </si>
  <si>
    <t>D-22081</t>
  </si>
  <si>
    <t>D-22082</t>
  </si>
  <si>
    <t>D-22083</t>
  </si>
  <si>
    <t>D-22084</t>
  </si>
  <si>
    <t>D-22085</t>
  </si>
  <si>
    <t>D-22086</t>
  </si>
  <si>
    <t>D-22087</t>
  </si>
  <si>
    <t>D-22088</t>
  </si>
  <si>
    <t>D-22089</t>
  </si>
  <si>
    <t>D-22090</t>
  </si>
  <si>
    <t>D-22091</t>
  </si>
  <si>
    <t>D-22092</t>
  </si>
  <si>
    <t>D-22093</t>
  </si>
  <si>
    <t>D-22094</t>
  </si>
  <si>
    <t>D-22095</t>
  </si>
  <si>
    <t>D-22096</t>
  </si>
  <si>
    <t>D-22097</t>
  </si>
  <si>
    <t>D-22098</t>
  </si>
  <si>
    <t>D-22099</t>
  </si>
  <si>
    <t>4-Ago-17---5-Ago-17-----06/08/2017</t>
  </si>
  <si>
    <t>D-22100</t>
  </si>
  <si>
    <t>D-22101</t>
  </si>
  <si>
    <t>D-22102</t>
  </si>
  <si>
    <t>D-22103</t>
  </si>
  <si>
    <t>D-22104</t>
  </si>
  <si>
    <t>D-22105</t>
  </si>
  <si>
    <t>D-22106</t>
  </si>
  <si>
    <t>D-22107</t>
  </si>
  <si>
    <t>D-22108</t>
  </si>
  <si>
    <t>D-22109</t>
  </si>
  <si>
    <t>D-22110</t>
  </si>
  <si>
    <t>D-22111</t>
  </si>
  <si>
    <t>D-22112</t>
  </si>
  <si>
    <t>D-22113</t>
  </si>
  <si>
    <t>D-22114</t>
  </si>
  <si>
    <t>D-22115</t>
  </si>
  <si>
    <t>D-22116</t>
  </si>
  <si>
    <t>D-22117</t>
  </si>
  <si>
    <t>D-22118</t>
  </si>
  <si>
    <t>D-22119</t>
  </si>
  <si>
    <t>D-22120</t>
  </si>
  <si>
    <t>D-22121</t>
  </si>
  <si>
    <t>D-22122</t>
  </si>
  <si>
    <t>D-22123</t>
  </si>
  <si>
    <t>D-22124</t>
  </si>
  <si>
    <t>D-22125</t>
  </si>
  <si>
    <t>D-22126</t>
  </si>
  <si>
    <t>D-22127</t>
  </si>
  <si>
    <t>D-22128</t>
  </si>
  <si>
    <t>(277)RUBEN GALICIA</t>
  </si>
  <si>
    <t>D-22129</t>
  </si>
  <si>
    <t>D-22130</t>
  </si>
  <si>
    <t>5-Ago-17---08-Ago-17</t>
  </si>
  <si>
    <t>D-22131</t>
  </si>
  <si>
    <t>D-22132</t>
  </si>
  <si>
    <t>D-22133</t>
  </si>
  <si>
    <t>D-22134</t>
  </si>
  <si>
    <t>D-22135</t>
  </si>
  <si>
    <t>D-22136</t>
  </si>
  <si>
    <t>D-22137</t>
  </si>
  <si>
    <t>D-22138</t>
  </si>
  <si>
    <t>D-22139</t>
  </si>
  <si>
    <t>D-22140</t>
  </si>
  <si>
    <t>D-22141</t>
  </si>
  <si>
    <t>3-Ago-17---10-Ago-17</t>
  </si>
  <si>
    <t>D-22142</t>
  </si>
  <si>
    <t>D-22143</t>
  </si>
  <si>
    <t>D-22144</t>
  </si>
  <si>
    <t>D-22145</t>
  </si>
  <si>
    <t>D-22146</t>
  </si>
  <si>
    <t>D-22147</t>
  </si>
  <si>
    <t>D-22148</t>
  </si>
  <si>
    <t>D-22149</t>
  </si>
  <si>
    <t>D-22150</t>
  </si>
  <si>
    <t>D-22151</t>
  </si>
  <si>
    <t>D-22152</t>
  </si>
  <si>
    <t>D-22153</t>
  </si>
  <si>
    <t>D-22154</t>
  </si>
  <si>
    <t>D-22155</t>
  </si>
  <si>
    <t>D-22156</t>
  </si>
  <si>
    <t>D-22157</t>
  </si>
  <si>
    <t>D-22158</t>
  </si>
  <si>
    <t>D-22159</t>
  </si>
  <si>
    <t>D-22160</t>
  </si>
  <si>
    <t>D-22161</t>
  </si>
  <si>
    <t>2-Ago-17--3-Ago-17--4-Ago-17--5-Ago-17--7-Ago-17</t>
  </si>
  <si>
    <t>D-22162</t>
  </si>
  <si>
    <t>D-22163</t>
  </si>
  <si>
    <t>D-22164</t>
  </si>
  <si>
    <t>D-22165</t>
  </si>
  <si>
    <t>D-22166</t>
  </si>
  <si>
    <t>D-22167</t>
  </si>
  <si>
    <t>D-22168</t>
  </si>
  <si>
    <t>D-22169</t>
  </si>
  <si>
    <t>D-22170</t>
  </si>
  <si>
    <t>D-22171</t>
  </si>
  <si>
    <t>D-22172</t>
  </si>
  <si>
    <t>D-22173</t>
  </si>
  <si>
    <t>D-22174</t>
  </si>
  <si>
    <t>FISICAMENTE ESTA CANCELADA JUEGO COMPLETO</t>
  </si>
  <si>
    <t>D-22175</t>
  </si>
  <si>
    <t>D-22176</t>
  </si>
  <si>
    <t>D-22177</t>
  </si>
  <si>
    <t>D-22178</t>
  </si>
  <si>
    <t>D-22179</t>
  </si>
  <si>
    <t>D-22180</t>
  </si>
  <si>
    <t>D-22181</t>
  </si>
  <si>
    <t>D-22182</t>
  </si>
  <si>
    <t>D-22183</t>
  </si>
  <si>
    <t>D-22184</t>
  </si>
  <si>
    <t>D-22185</t>
  </si>
  <si>
    <t>D-22186</t>
  </si>
  <si>
    <t>D-22187</t>
  </si>
  <si>
    <t>D-22188</t>
  </si>
  <si>
    <t>D-22189</t>
  </si>
  <si>
    <t>D-22190</t>
  </si>
  <si>
    <t>D-22191</t>
  </si>
  <si>
    <t>D-22192</t>
  </si>
  <si>
    <t>3-Ago-17--4-Ago-17---5-Ago-17--11-Ago-17</t>
  </si>
  <si>
    <t>D-22193</t>
  </si>
  <si>
    <t>D-22194</t>
  </si>
  <si>
    <t>D-22195</t>
  </si>
  <si>
    <t>D-22196</t>
  </si>
  <si>
    <t>D-22197</t>
  </si>
  <si>
    <t>D-22198</t>
  </si>
  <si>
    <t>D-22199</t>
  </si>
  <si>
    <t>D-22200</t>
  </si>
  <si>
    <t>D-22201</t>
  </si>
  <si>
    <t>D-22202</t>
  </si>
  <si>
    <t>D-22203</t>
  </si>
  <si>
    <t>D-22204</t>
  </si>
  <si>
    <t>5-Ago-17-----06/08/2017</t>
  </si>
  <si>
    <t>D-22205</t>
  </si>
  <si>
    <t>D-22206</t>
  </si>
  <si>
    <t>D-22207</t>
  </si>
  <si>
    <t>D-22208</t>
  </si>
  <si>
    <t>D-22209</t>
  </si>
  <si>
    <t>D-22210</t>
  </si>
  <si>
    <t>D-22211</t>
  </si>
  <si>
    <t>D-22212</t>
  </si>
  <si>
    <t>D-22213</t>
  </si>
  <si>
    <t>D-22214</t>
  </si>
  <si>
    <t>D-22215</t>
  </si>
  <si>
    <t>D-22216</t>
  </si>
  <si>
    <t>D-22217</t>
  </si>
  <si>
    <t>D-22218</t>
  </si>
  <si>
    <t>D-22219</t>
  </si>
  <si>
    <t>D-22220</t>
  </si>
  <si>
    <t>3-Ago-17---05-Ago-17</t>
  </si>
  <si>
    <t>D-22221</t>
  </si>
  <si>
    <t>D-22222</t>
  </si>
  <si>
    <t>D-22223</t>
  </si>
  <si>
    <t>D-22224</t>
  </si>
  <si>
    <t>D-22225</t>
  </si>
  <si>
    <t>D-22226</t>
  </si>
  <si>
    <t>D-22227</t>
  </si>
  <si>
    <t>D-22228</t>
  </si>
  <si>
    <t>5-Ago-17--07-Ago-17</t>
  </si>
  <si>
    <t>D-22229</t>
  </si>
  <si>
    <t>D-22230</t>
  </si>
  <si>
    <t>D-22231</t>
  </si>
  <si>
    <t>D-22232</t>
  </si>
  <si>
    <t>D-22233</t>
  </si>
  <si>
    <t>D-22234</t>
  </si>
  <si>
    <t>D-22235</t>
  </si>
  <si>
    <t>5-Ago-17-----07-Ago-17</t>
  </si>
  <si>
    <t>D-22236</t>
  </si>
  <si>
    <t>D-22237</t>
  </si>
  <si>
    <t>D-22238</t>
  </si>
  <si>
    <t>D-22239</t>
  </si>
  <si>
    <t>D-22240</t>
  </si>
  <si>
    <t>D-22241</t>
  </si>
  <si>
    <t>D-22242</t>
  </si>
  <si>
    <t>D-22243</t>
  </si>
  <si>
    <t>D-22244</t>
  </si>
  <si>
    <t>D-22245</t>
  </si>
  <si>
    <t>D-22246</t>
  </si>
  <si>
    <t>D-22247</t>
  </si>
  <si>
    <t>D-22248</t>
  </si>
  <si>
    <t>4-Ago-17--5-Ago-17-----06/08/2017</t>
  </si>
  <si>
    <t>D-22249</t>
  </si>
  <si>
    <t>D-22250</t>
  </si>
  <si>
    <t>D-22251</t>
  </si>
  <si>
    <t>D-22252</t>
  </si>
  <si>
    <t>D-22253</t>
  </si>
  <si>
    <t>D-22254</t>
  </si>
  <si>
    <t>D-22255</t>
  </si>
  <si>
    <t>D-22256</t>
  </si>
  <si>
    <t>D-22257</t>
  </si>
  <si>
    <t>D-22258</t>
  </si>
  <si>
    <t>D-22259</t>
  </si>
  <si>
    <t>D-22260</t>
  </si>
  <si>
    <t>D-22261</t>
  </si>
  <si>
    <t>D-22262</t>
  </si>
  <si>
    <t>D-22263</t>
  </si>
  <si>
    <t>D-22264</t>
  </si>
  <si>
    <t>D-22265</t>
  </si>
  <si>
    <t>D-22266</t>
  </si>
  <si>
    <t>D-22267</t>
  </si>
  <si>
    <t>D-22268</t>
  </si>
  <si>
    <t>D-22269</t>
  </si>
  <si>
    <t>D-22270</t>
  </si>
  <si>
    <t>D-22271</t>
  </si>
  <si>
    <t>D-22272</t>
  </si>
  <si>
    <t>D-22273</t>
  </si>
  <si>
    <t>D-22274</t>
  </si>
  <si>
    <t>D-22275</t>
  </si>
  <si>
    <t>D-22276</t>
  </si>
  <si>
    <t>D-22277</t>
  </si>
  <si>
    <t>D-22278</t>
  </si>
  <si>
    <t>D-22279</t>
  </si>
  <si>
    <t>D-22280</t>
  </si>
  <si>
    <t>D-22281</t>
  </si>
  <si>
    <t>D-22282</t>
  </si>
  <si>
    <t>D-22283</t>
  </si>
  <si>
    <t>D-22284</t>
  </si>
  <si>
    <t>D-22285</t>
  </si>
  <si>
    <t>D-22286</t>
  </si>
  <si>
    <t>D-22287</t>
  </si>
  <si>
    <t>D-22288</t>
  </si>
  <si>
    <t>D-22289</t>
  </si>
  <si>
    <t>D-22290</t>
  </si>
  <si>
    <t>D-22291</t>
  </si>
  <si>
    <t>D-22292</t>
  </si>
  <si>
    <t>D-22293</t>
  </si>
  <si>
    <t>D-22294</t>
  </si>
  <si>
    <t>D-22295</t>
  </si>
  <si>
    <t>D-22296</t>
  </si>
  <si>
    <t>D-22297</t>
  </si>
  <si>
    <t>D-22298</t>
  </si>
  <si>
    <t>D-22299</t>
  </si>
  <si>
    <t>D-22300</t>
  </si>
  <si>
    <t>D-22301</t>
  </si>
  <si>
    <t>D-22302</t>
  </si>
  <si>
    <t>D-22303</t>
  </si>
  <si>
    <t>D-22304</t>
  </si>
  <si>
    <t>D-22305</t>
  </si>
  <si>
    <t>D-22306</t>
  </si>
  <si>
    <t>D-22307</t>
  </si>
  <si>
    <t>D-22308</t>
  </si>
  <si>
    <t>D-22309</t>
  </si>
  <si>
    <t>D-22310</t>
  </si>
  <si>
    <t>D-22311</t>
  </si>
  <si>
    <t>D-22312</t>
  </si>
  <si>
    <t>D-22313</t>
  </si>
  <si>
    <t>D-22314</t>
  </si>
  <si>
    <t>D-22315</t>
  </si>
  <si>
    <t>D-22316</t>
  </si>
  <si>
    <t>D-22317</t>
  </si>
  <si>
    <t>D-22318</t>
  </si>
  <si>
    <t>D-22319</t>
  </si>
  <si>
    <t>D-22320</t>
  </si>
  <si>
    <t>D-22321</t>
  </si>
  <si>
    <t>D-22322</t>
  </si>
  <si>
    <t>D-22323</t>
  </si>
  <si>
    <t>D-22324</t>
  </si>
  <si>
    <t>D-22325</t>
  </si>
  <si>
    <t>D-22326</t>
  </si>
  <si>
    <t>D-22327</t>
  </si>
  <si>
    <t>D-22328</t>
  </si>
  <si>
    <t>D-22329</t>
  </si>
  <si>
    <t>D-22330</t>
  </si>
  <si>
    <t>D-22331</t>
  </si>
  <si>
    <t>D-22332</t>
  </si>
  <si>
    <t>D-22333</t>
  </si>
  <si>
    <t>D-22334</t>
  </si>
  <si>
    <t>D-22335</t>
  </si>
  <si>
    <t>D-22336</t>
  </si>
  <si>
    <t>D-22337</t>
  </si>
  <si>
    <t>D-22338</t>
  </si>
  <si>
    <t>D-22339</t>
  </si>
  <si>
    <t>D-22340</t>
  </si>
  <si>
    <t>D-22341</t>
  </si>
  <si>
    <t>D-22342</t>
  </si>
  <si>
    <t>D-22343</t>
  </si>
  <si>
    <t>D-22344</t>
  </si>
  <si>
    <t>D-22345</t>
  </si>
  <si>
    <t>D-22346</t>
  </si>
  <si>
    <t>D-22347</t>
  </si>
  <si>
    <t>D-22348</t>
  </si>
  <si>
    <t>D-22349</t>
  </si>
  <si>
    <t>D-22350</t>
  </si>
  <si>
    <t>D-22351</t>
  </si>
  <si>
    <t>D-22352</t>
  </si>
  <si>
    <t>D-22353</t>
  </si>
  <si>
    <t>D-22354</t>
  </si>
  <si>
    <t>D-22355</t>
  </si>
  <si>
    <t>D-22356</t>
  </si>
  <si>
    <t>D-22357</t>
  </si>
  <si>
    <t>D-22358</t>
  </si>
  <si>
    <t>7-Ago-17---10-Ago-17--11-Ago-17</t>
  </si>
  <si>
    <t>D-22359</t>
  </si>
  <si>
    <t>7-Ago-17----08-Ago-17</t>
  </si>
  <si>
    <t>D-22360</t>
  </si>
  <si>
    <t>D-22361</t>
  </si>
  <si>
    <t>D-22362</t>
  </si>
  <si>
    <t>D-22363</t>
  </si>
  <si>
    <t>D-22364</t>
  </si>
  <si>
    <t>D-22365</t>
  </si>
  <si>
    <t>D-22366</t>
  </si>
  <si>
    <t>D-22367</t>
  </si>
  <si>
    <t>D-22368</t>
  </si>
  <si>
    <t>D-22369</t>
  </si>
  <si>
    <t>D-22370</t>
  </si>
  <si>
    <t>D-22371</t>
  </si>
  <si>
    <t>D-22372</t>
  </si>
  <si>
    <t>D-22373</t>
  </si>
  <si>
    <t>D-22374</t>
  </si>
  <si>
    <t>D-22375</t>
  </si>
  <si>
    <t>D-22376</t>
  </si>
  <si>
    <t>D-22377</t>
  </si>
  <si>
    <t>D-22378</t>
  </si>
  <si>
    <t>D-22379</t>
  </si>
  <si>
    <t>D-22380</t>
  </si>
  <si>
    <t>D-22381</t>
  </si>
  <si>
    <t>D-22382</t>
  </si>
  <si>
    <t>D-22383</t>
  </si>
  <si>
    <t>D-22384</t>
  </si>
  <si>
    <t>D-22385</t>
  </si>
  <si>
    <t>D-22386</t>
  </si>
  <si>
    <t>D-22387</t>
  </si>
  <si>
    <t>D-22388</t>
  </si>
  <si>
    <t>D-22389</t>
  </si>
  <si>
    <t>D-22390</t>
  </si>
  <si>
    <t>D-22391</t>
  </si>
  <si>
    <t>D-22392</t>
  </si>
  <si>
    <t>D-22393</t>
  </si>
  <si>
    <t>D-22394</t>
  </si>
  <si>
    <t>D-22395</t>
  </si>
  <si>
    <t>D-22396</t>
  </si>
  <si>
    <t>D-22397</t>
  </si>
  <si>
    <t>D-22398</t>
  </si>
  <si>
    <t>D-22399</t>
  </si>
  <si>
    <t>D-22400</t>
  </si>
  <si>
    <t>5-Ago-17----08-Ago-17</t>
  </si>
  <si>
    <t>D-22401</t>
  </si>
  <si>
    <t>D-22402</t>
  </si>
  <si>
    <t>D-22403</t>
  </si>
  <si>
    <t>D-22404</t>
  </si>
  <si>
    <t>D-22405</t>
  </si>
  <si>
    <t>D-22406</t>
  </si>
  <si>
    <t>D-22407</t>
  </si>
  <si>
    <t>4-Ago-17---08-Ago-17</t>
  </si>
  <si>
    <t>D-22408</t>
  </si>
  <si>
    <t>D-22409</t>
  </si>
  <si>
    <t>D-22410</t>
  </si>
  <si>
    <t>D-22411</t>
  </si>
  <si>
    <t>D-22412</t>
  </si>
  <si>
    <t>D-22413</t>
  </si>
  <si>
    <t>D-22414</t>
  </si>
  <si>
    <t>D-22415</t>
  </si>
  <si>
    <t>D-22416</t>
  </si>
  <si>
    <t>D-22417</t>
  </si>
  <si>
    <t>D-22418</t>
  </si>
  <si>
    <t>D-22419</t>
  </si>
  <si>
    <t>D-22420</t>
  </si>
  <si>
    <t>D-22421</t>
  </si>
  <si>
    <t>D-22422</t>
  </si>
  <si>
    <t>D-22423</t>
  </si>
  <si>
    <t>D-22424</t>
  </si>
  <si>
    <t>D-22425</t>
  </si>
  <si>
    <t>D-22426</t>
  </si>
  <si>
    <t>D-22427</t>
  </si>
  <si>
    <t>D-22428</t>
  </si>
  <si>
    <t>D-22429</t>
  </si>
  <si>
    <t>D-22430</t>
  </si>
  <si>
    <t>D-22431</t>
  </si>
  <si>
    <t>D-22432</t>
  </si>
  <si>
    <t>D-22433</t>
  </si>
  <si>
    <t>D-22434</t>
  </si>
  <si>
    <t>D-22435</t>
  </si>
  <si>
    <t>D-22436</t>
  </si>
  <si>
    <t>D-22437</t>
  </si>
  <si>
    <t>D-22438</t>
  </si>
  <si>
    <t>D-22439</t>
  </si>
  <si>
    <t>D-22440</t>
  </si>
  <si>
    <t>D-22441</t>
  </si>
  <si>
    <t>D-22442</t>
  </si>
  <si>
    <t>D-22443</t>
  </si>
  <si>
    <t>D-22444</t>
  </si>
  <si>
    <t>D-22445</t>
  </si>
  <si>
    <t>D-22446</t>
  </si>
  <si>
    <t>D-22447</t>
  </si>
  <si>
    <t>D-22448</t>
  </si>
  <si>
    <t>D-22449</t>
  </si>
  <si>
    <t>D-22450</t>
  </si>
  <si>
    <t>D-22451</t>
  </si>
  <si>
    <t>D-22452</t>
  </si>
  <si>
    <t>D-22453</t>
  </si>
  <si>
    <t>D-22454</t>
  </si>
  <si>
    <t>D-22455</t>
  </si>
  <si>
    <t>D-22456</t>
  </si>
  <si>
    <t>D-22457</t>
  </si>
  <si>
    <t>D-22458</t>
  </si>
  <si>
    <t>D-22459</t>
  </si>
  <si>
    <t>D-22460</t>
  </si>
  <si>
    <t>D-22461</t>
  </si>
  <si>
    <t>D-22462</t>
  </si>
  <si>
    <t>D-22463</t>
  </si>
  <si>
    <t>D-22464</t>
  </si>
  <si>
    <t>D-22465</t>
  </si>
  <si>
    <t>D-22466</t>
  </si>
  <si>
    <t>D-22467</t>
  </si>
  <si>
    <t>D-22468</t>
  </si>
  <si>
    <t>D-22469</t>
  </si>
  <si>
    <t>D-22470</t>
  </si>
  <si>
    <t>D-22471</t>
  </si>
  <si>
    <t>D-22472</t>
  </si>
  <si>
    <t>D-22473</t>
  </si>
  <si>
    <t>D-22474</t>
  </si>
  <si>
    <t>D-22475</t>
  </si>
  <si>
    <t>D-22476</t>
  </si>
  <si>
    <t>D-22477</t>
  </si>
  <si>
    <t>D-22478</t>
  </si>
  <si>
    <t>D-22479</t>
  </si>
  <si>
    <t>D-22480</t>
  </si>
  <si>
    <t>D-22481</t>
  </si>
  <si>
    <t>D-22482</t>
  </si>
  <si>
    <t>D-22483</t>
  </si>
  <si>
    <t>D-22484</t>
  </si>
  <si>
    <t>D-22485</t>
  </si>
  <si>
    <t>D-22486</t>
  </si>
  <si>
    <t>D-22487</t>
  </si>
  <si>
    <t>D-22488</t>
  </si>
  <si>
    <t>D-22489</t>
  </si>
  <si>
    <t>D-22490</t>
  </si>
  <si>
    <t>D-22491</t>
  </si>
  <si>
    <t>D-22492</t>
  </si>
  <si>
    <t>D-22493</t>
  </si>
  <si>
    <t>D-22494</t>
  </si>
  <si>
    <t>D-22495</t>
  </si>
  <si>
    <t>D-22496</t>
  </si>
  <si>
    <t>D-22497</t>
  </si>
  <si>
    <t>D-22498</t>
  </si>
  <si>
    <t>D-22499</t>
  </si>
  <si>
    <t>D-22500</t>
  </si>
  <si>
    <t>D-22501</t>
  </si>
  <si>
    <t>D-22502</t>
  </si>
  <si>
    <t>D-22503</t>
  </si>
  <si>
    <t>D-22504</t>
  </si>
  <si>
    <t>D-22505</t>
  </si>
  <si>
    <t>D-22506</t>
  </si>
  <si>
    <t>D-22507</t>
  </si>
  <si>
    <t>7-Ago-17----10-Ago-17</t>
  </si>
  <si>
    <t>D-22508</t>
  </si>
  <si>
    <t>D-22509</t>
  </si>
  <si>
    <t>D-22510</t>
  </si>
  <si>
    <t>D-22511</t>
  </si>
  <si>
    <t>D-22512</t>
  </si>
  <si>
    <t>D-22513</t>
  </si>
  <si>
    <t>D-22514</t>
  </si>
  <si>
    <t>8-Ago-17---10-Ago-17--12-Ago-17</t>
  </si>
  <si>
    <t>D-22515</t>
  </si>
  <si>
    <t>D-22516</t>
  </si>
  <si>
    <t>D-22517</t>
  </si>
  <si>
    <t>D-22518</t>
  </si>
  <si>
    <t>D-22519</t>
  </si>
  <si>
    <t>8-Ago-17----09-Ago-17</t>
  </si>
  <si>
    <t>D-22520</t>
  </si>
  <si>
    <t>D-22521</t>
  </si>
  <si>
    <t>D-22522</t>
  </si>
  <si>
    <t>D-22523</t>
  </si>
  <si>
    <t>D-22524</t>
  </si>
  <si>
    <t>D-22525</t>
  </si>
  <si>
    <t>9-Ago-17---10-Ago-17------10/08/2017</t>
  </si>
  <si>
    <t>D-22526</t>
  </si>
  <si>
    <t>D-22527</t>
  </si>
  <si>
    <t>D-22528</t>
  </si>
  <si>
    <t>D-22529</t>
  </si>
  <si>
    <t>D-22530</t>
  </si>
  <si>
    <t>8-Ago-17-----09-Ago-17</t>
  </si>
  <si>
    <t>D-22531</t>
  </si>
  <si>
    <t>D-22532</t>
  </si>
  <si>
    <t>D-22533</t>
  </si>
  <si>
    <t>D-22534</t>
  </si>
  <si>
    <t>D-22535</t>
  </si>
  <si>
    <t>D-22536</t>
  </si>
  <si>
    <t>D-22537</t>
  </si>
  <si>
    <t>D-22538</t>
  </si>
  <si>
    <t>D-22539</t>
  </si>
  <si>
    <t>D-22540</t>
  </si>
  <si>
    <t>D-22541</t>
  </si>
  <si>
    <t>D-22542</t>
  </si>
  <si>
    <t>D-22543</t>
  </si>
  <si>
    <t>D-22544</t>
  </si>
  <si>
    <t>D-22545</t>
  </si>
  <si>
    <t>D-22546</t>
  </si>
  <si>
    <t>D-22547</t>
  </si>
  <si>
    <t>D-22548</t>
  </si>
  <si>
    <t>D-22549</t>
  </si>
  <si>
    <t>D-22550</t>
  </si>
  <si>
    <t>D-22551</t>
  </si>
  <si>
    <t>D-22552</t>
  </si>
  <si>
    <t>D-22553</t>
  </si>
  <si>
    <t>D-22554</t>
  </si>
  <si>
    <t>D-22555</t>
  </si>
  <si>
    <t>D-22556</t>
  </si>
  <si>
    <t>D-22557</t>
  </si>
  <si>
    <t>D-22558</t>
  </si>
  <si>
    <t>D-22559</t>
  </si>
  <si>
    <t>D-22560</t>
  </si>
  <si>
    <t>D-22561</t>
  </si>
  <si>
    <t>D-22562</t>
  </si>
  <si>
    <t>D-22563</t>
  </si>
  <si>
    <t>D-22564</t>
  </si>
  <si>
    <t>D-22565</t>
  </si>
  <si>
    <t>D-22566</t>
  </si>
  <si>
    <t>D-22567</t>
  </si>
  <si>
    <t>D-22568</t>
  </si>
  <si>
    <t>D-22569</t>
  </si>
  <si>
    <t>D-22570</t>
  </si>
  <si>
    <t>D-22571</t>
  </si>
  <si>
    <t>D-22572</t>
  </si>
  <si>
    <t>D-22573</t>
  </si>
  <si>
    <t>D-22574</t>
  </si>
  <si>
    <t>D-22575</t>
  </si>
  <si>
    <t>D-22576</t>
  </si>
  <si>
    <t>D-22577</t>
  </si>
  <si>
    <t>D-22578</t>
  </si>
  <si>
    <t>D-22579</t>
  </si>
  <si>
    <t>D-22580</t>
  </si>
  <si>
    <t>D-22581</t>
  </si>
  <si>
    <t>D-22582</t>
  </si>
  <si>
    <t>D-22583</t>
  </si>
  <si>
    <t>D-22584</t>
  </si>
  <si>
    <t>D-22585</t>
  </si>
  <si>
    <t>D-22586</t>
  </si>
  <si>
    <t>D-22587</t>
  </si>
  <si>
    <t>D-22588</t>
  </si>
  <si>
    <t>D-22589</t>
  </si>
  <si>
    <t>D-22590</t>
  </si>
  <si>
    <t>D-22591</t>
  </si>
  <si>
    <t>D-22592</t>
  </si>
  <si>
    <t>D-22593</t>
  </si>
  <si>
    <t>D-22594</t>
  </si>
  <si>
    <t>D-22595</t>
  </si>
  <si>
    <t>D-22596</t>
  </si>
  <si>
    <t>D-22597</t>
  </si>
  <si>
    <t>D-22598</t>
  </si>
  <si>
    <t>D-22599</t>
  </si>
  <si>
    <t>D-22600</t>
  </si>
  <si>
    <t>D-22601</t>
  </si>
  <si>
    <t>D-22602</t>
  </si>
  <si>
    <t>D-22603</t>
  </si>
  <si>
    <t>D-22604</t>
  </si>
  <si>
    <t>D-22605</t>
  </si>
  <si>
    <t>D-22606</t>
  </si>
  <si>
    <t>D-22607</t>
  </si>
  <si>
    <t>D-22608</t>
  </si>
  <si>
    <t>D-22609</t>
  </si>
  <si>
    <t>D-22610</t>
  </si>
  <si>
    <t>D-22611</t>
  </si>
  <si>
    <t>D-22612</t>
  </si>
  <si>
    <t>D-22613</t>
  </si>
  <si>
    <t>D-22614</t>
  </si>
  <si>
    <t>D-22615</t>
  </si>
  <si>
    <t>D-22616</t>
  </si>
  <si>
    <t>D-22617</t>
  </si>
  <si>
    <t>D-22618</t>
  </si>
  <si>
    <t>D-22619</t>
  </si>
  <si>
    <t>D-22620</t>
  </si>
  <si>
    <t>D-22621</t>
  </si>
  <si>
    <t>D-22622</t>
  </si>
  <si>
    <t>D-22623</t>
  </si>
  <si>
    <t>D-22624</t>
  </si>
  <si>
    <t>D-22625</t>
  </si>
  <si>
    <t>D-22626</t>
  </si>
  <si>
    <t>D-22627</t>
  </si>
  <si>
    <t>D-22628</t>
  </si>
  <si>
    <t>D-22629</t>
  </si>
  <si>
    <t>D-22630</t>
  </si>
  <si>
    <t>D-22631</t>
  </si>
  <si>
    <t>D-22632</t>
  </si>
  <si>
    <t>D-22633</t>
  </si>
  <si>
    <t>D-22634</t>
  </si>
  <si>
    <t>D-22635</t>
  </si>
  <si>
    <t>D-22636</t>
  </si>
  <si>
    <t>D-22637</t>
  </si>
  <si>
    <t>D-22638</t>
  </si>
  <si>
    <t>D-22639</t>
  </si>
  <si>
    <t>D-22640</t>
  </si>
  <si>
    <t>D-22641</t>
  </si>
  <si>
    <t>D-22642</t>
  </si>
  <si>
    <t>D-22643</t>
  </si>
  <si>
    <t>D-22644</t>
  </si>
  <si>
    <t>D-22645</t>
  </si>
  <si>
    <t>5-Ago-17----06-Ago-17</t>
  </si>
  <si>
    <t>D-22646</t>
  </si>
  <si>
    <t>D-22647</t>
  </si>
  <si>
    <t>D-22648</t>
  </si>
  <si>
    <t>D-22649</t>
  </si>
  <si>
    <t>D-22650</t>
  </si>
  <si>
    <t>D-22651</t>
  </si>
  <si>
    <t>D-22652</t>
  </si>
  <si>
    <t>D-22653</t>
  </si>
  <si>
    <t>D-22654</t>
  </si>
  <si>
    <t>D-22655</t>
  </si>
  <si>
    <t>D-22656</t>
  </si>
  <si>
    <t>D-22657</t>
  </si>
  <si>
    <t>D-22658</t>
  </si>
  <si>
    <t>D-22659</t>
  </si>
  <si>
    <t>D-22660</t>
  </si>
  <si>
    <t>D-22661</t>
  </si>
  <si>
    <t>D-22662</t>
  </si>
  <si>
    <t>D-22663</t>
  </si>
  <si>
    <t>D-22664</t>
  </si>
  <si>
    <t>D-22665</t>
  </si>
  <si>
    <t>D-22666</t>
  </si>
  <si>
    <t>D-22667</t>
  </si>
  <si>
    <t>D-22668</t>
  </si>
  <si>
    <t>D-22669</t>
  </si>
  <si>
    <t>D-22670</t>
  </si>
  <si>
    <t>D-22671</t>
  </si>
  <si>
    <t>D-22672</t>
  </si>
  <si>
    <t>D-22673</t>
  </si>
  <si>
    <t>D-22674</t>
  </si>
  <si>
    <t>D-22675</t>
  </si>
  <si>
    <t>D-22676</t>
  </si>
  <si>
    <t>D-22677</t>
  </si>
  <si>
    <t>D-22678</t>
  </si>
  <si>
    <t>D-22679</t>
  </si>
  <si>
    <t>D-22680</t>
  </si>
  <si>
    <t>D-22681</t>
  </si>
  <si>
    <t>D-22682</t>
  </si>
  <si>
    <t>D-22683</t>
  </si>
  <si>
    <t>D-22684</t>
  </si>
  <si>
    <t>D-22685</t>
  </si>
  <si>
    <t>D-22686</t>
  </si>
  <si>
    <t>D-22687</t>
  </si>
  <si>
    <t>D-22688</t>
  </si>
  <si>
    <t>D-22689</t>
  </si>
  <si>
    <t>D-22690</t>
  </si>
  <si>
    <t>D-22691</t>
  </si>
  <si>
    <t>D-22692</t>
  </si>
  <si>
    <t>D-22693</t>
  </si>
  <si>
    <t>D-22694</t>
  </si>
  <si>
    <t>D-22695</t>
  </si>
  <si>
    <t>D-22696</t>
  </si>
  <si>
    <t>D-22697</t>
  </si>
  <si>
    <t>D-22698</t>
  </si>
  <si>
    <t>D-22699</t>
  </si>
  <si>
    <t>D-22700</t>
  </si>
  <si>
    <t>D-22701</t>
  </si>
  <si>
    <t>D-22702</t>
  </si>
  <si>
    <t>D-22703</t>
  </si>
  <si>
    <t>D-22704</t>
  </si>
  <si>
    <t>D-22705</t>
  </si>
  <si>
    <t>D-22706</t>
  </si>
  <si>
    <t>D-22707</t>
  </si>
  <si>
    <t>D-22708</t>
  </si>
  <si>
    <t>D-22709</t>
  </si>
  <si>
    <t>D-22710</t>
  </si>
  <si>
    <t>D-22711</t>
  </si>
  <si>
    <t>D-22712</t>
  </si>
  <si>
    <t>D-22713</t>
  </si>
  <si>
    <t>D-22714</t>
  </si>
  <si>
    <t>D-22715</t>
  </si>
  <si>
    <t>D-22716</t>
  </si>
  <si>
    <t>D-22717</t>
  </si>
  <si>
    <t>D-22718</t>
  </si>
  <si>
    <t>D-22719</t>
  </si>
  <si>
    <t>D-22720</t>
  </si>
  <si>
    <t>D-22721</t>
  </si>
  <si>
    <t>D-22722</t>
  </si>
  <si>
    <t>D-22723</t>
  </si>
  <si>
    <t>D-22724</t>
  </si>
  <si>
    <t>D-22725</t>
  </si>
  <si>
    <t>D-22726</t>
  </si>
  <si>
    <t>D-22727</t>
  </si>
  <si>
    <t>D-22728</t>
  </si>
  <si>
    <t>D-22729</t>
  </si>
  <si>
    <t>D-22730</t>
  </si>
  <si>
    <t>D-22731</t>
  </si>
  <si>
    <t>D-22732</t>
  </si>
  <si>
    <t>D-22733</t>
  </si>
  <si>
    <t>D-22734</t>
  </si>
  <si>
    <t>D-22735</t>
  </si>
  <si>
    <t>D-22736</t>
  </si>
  <si>
    <t>D-22737</t>
  </si>
  <si>
    <t>D-22738</t>
  </si>
  <si>
    <t>D-22739</t>
  </si>
  <si>
    <t>D-22740</t>
  </si>
  <si>
    <t>D-22741</t>
  </si>
  <si>
    <t>D-22742</t>
  </si>
  <si>
    <t>D-22743</t>
  </si>
  <si>
    <t>D-22744</t>
  </si>
  <si>
    <t>D-22745</t>
  </si>
  <si>
    <t>D-22746</t>
  </si>
  <si>
    <t>D-22747</t>
  </si>
  <si>
    <t>D-22748</t>
  </si>
  <si>
    <t>D-22749</t>
  </si>
  <si>
    <t>D-22750</t>
  </si>
  <si>
    <t>D-22751</t>
  </si>
  <si>
    <t>D-22752</t>
  </si>
  <si>
    <t>D-22753</t>
  </si>
  <si>
    <t>D-22754</t>
  </si>
  <si>
    <t>D-22755</t>
  </si>
  <si>
    <t>D-22756</t>
  </si>
  <si>
    <t>12-Ago-17-----22-Ago-17</t>
  </si>
  <si>
    <t>D-22757</t>
  </si>
  <si>
    <t>9-Ago-17-----10-Ago-17</t>
  </si>
  <si>
    <t>D-22758</t>
  </si>
  <si>
    <t>D-22759</t>
  </si>
  <si>
    <t>D-22760</t>
  </si>
  <si>
    <t>D-22761</t>
  </si>
  <si>
    <t>D-22762</t>
  </si>
  <si>
    <t>D-22763</t>
  </si>
  <si>
    <t>D-22764</t>
  </si>
  <si>
    <t>D-22765</t>
  </si>
  <si>
    <t>D-22766</t>
  </si>
  <si>
    <t>D-22767</t>
  </si>
  <si>
    <t>D-22768</t>
  </si>
  <si>
    <t>D-22769</t>
  </si>
  <si>
    <t>D-22770</t>
  </si>
  <si>
    <t>D-22771</t>
  </si>
  <si>
    <t>D-22772</t>
  </si>
  <si>
    <t>D-22773</t>
  </si>
  <si>
    <t>D-22774</t>
  </si>
  <si>
    <t>D-22775</t>
  </si>
  <si>
    <t>D-22776</t>
  </si>
  <si>
    <t>D-22777</t>
  </si>
  <si>
    <t>D-22778</t>
  </si>
  <si>
    <t>D-22779</t>
  </si>
  <si>
    <t>D-22780</t>
  </si>
  <si>
    <t>D-22781</t>
  </si>
  <si>
    <t>D-22782</t>
  </si>
  <si>
    <t>D-22783</t>
  </si>
  <si>
    <t>D-22784</t>
  </si>
  <si>
    <t>D-22785</t>
  </si>
  <si>
    <t>D-22786</t>
  </si>
  <si>
    <t>D-22787</t>
  </si>
  <si>
    <t>D-22788</t>
  </si>
  <si>
    <t>8-Ago-17----18-Ago-17</t>
  </si>
  <si>
    <t>D-22789</t>
  </si>
  <si>
    <t>D-22790</t>
  </si>
  <si>
    <t>D-22791</t>
  </si>
  <si>
    <t>D-22792</t>
  </si>
  <si>
    <t>D-22793</t>
  </si>
  <si>
    <t>D-22794</t>
  </si>
  <si>
    <t>D-22795</t>
  </si>
  <si>
    <t>D-22796</t>
  </si>
  <si>
    <t>D-22797</t>
  </si>
  <si>
    <t>D-22798</t>
  </si>
  <si>
    <t>11-Ago-17----17-Ago-17</t>
  </si>
  <si>
    <t>D-22799</t>
  </si>
  <si>
    <t>D-22800</t>
  </si>
  <si>
    <t>D-22801</t>
  </si>
  <si>
    <t>D-22802</t>
  </si>
  <si>
    <t>D-22803</t>
  </si>
  <si>
    <t>D-22804</t>
  </si>
  <si>
    <t>D-22805</t>
  </si>
  <si>
    <t>D-22806</t>
  </si>
  <si>
    <t>D-22807</t>
  </si>
  <si>
    <t>D-22808</t>
  </si>
  <si>
    <t>D-22809</t>
  </si>
  <si>
    <t>D-22810</t>
  </si>
  <si>
    <t>D-22811</t>
  </si>
  <si>
    <t>D-22812</t>
  </si>
  <si>
    <t>D-22813</t>
  </si>
  <si>
    <t>D-22814</t>
  </si>
  <si>
    <t>D-22815</t>
  </si>
  <si>
    <t>D-22816</t>
  </si>
  <si>
    <t>D-22817</t>
  </si>
  <si>
    <t>D-22818</t>
  </si>
  <si>
    <t>D-22819</t>
  </si>
  <si>
    <t>D-22820</t>
  </si>
  <si>
    <t>D-22821</t>
  </si>
  <si>
    <t>D-22822</t>
  </si>
  <si>
    <t>D-22823</t>
  </si>
  <si>
    <t>D-22824</t>
  </si>
  <si>
    <t>D-22825</t>
  </si>
  <si>
    <t>D-22826</t>
  </si>
  <si>
    <t>D-22827</t>
  </si>
  <si>
    <t>D-22828</t>
  </si>
  <si>
    <t>D-22829</t>
  </si>
  <si>
    <t>D-22830</t>
  </si>
  <si>
    <t>D-22831</t>
  </si>
  <si>
    <t>D-22832</t>
  </si>
  <si>
    <t>D-22833</t>
  </si>
  <si>
    <t>14-Ago-17--16-Ago-17---23-Ago-17---26-Ago-17</t>
  </si>
  <si>
    <t>D-22834</t>
  </si>
  <si>
    <t>D-22835</t>
  </si>
  <si>
    <t>D-22836</t>
  </si>
  <si>
    <t>D-22837</t>
  </si>
  <si>
    <t>D-22838</t>
  </si>
  <si>
    <t>D-22839</t>
  </si>
  <si>
    <t>D-22840</t>
  </si>
  <si>
    <t>D-22841</t>
  </si>
  <si>
    <t>D-22842</t>
  </si>
  <si>
    <t>D-22843</t>
  </si>
  <si>
    <t>D-22844</t>
  </si>
  <si>
    <t>D-22845</t>
  </si>
  <si>
    <t>D-22846</t>
  </si>
  <si>
    <t>D-22847</t>
  </si>
  <si>
    <t>D-22848</t>
  </si>
  <si>
    <t>D-22849</t>
  </si>
  <si>
    <t>D-22850</t>
  </si>
  <si>
    <t>D-22851</t>
  </si>
  <si>
    <t>D-22852</t>
  </si>
  <si>
    <t>D-22853</t>
  </si>
  <si>
    <t>D-22854</t>
  </si>
  <si>
    <t>D-22855</t>
  </si>
  <si>
    <t>D-22856</t>
  </si>
  <si>
    <t>D-22857</t>
  </si>
  <si>
    <t>D-22858</t>
  </si>
  <si>
    <t>D-22859</t>
  </si>
  <si>
    <t>12-Ago-17--14-Ago-17</t>
  </si>
  <si>
    <t>D-22860</t>
  </si>
  <si>
    <t>D-22861</t>
  </si>
  <si>
    <t>D-22862</t>
  </si>
  <si>
    <t>D-22863</t>
  </si>
  <si>
    <t>D-22864</t>
  </si>
  <si>
    <t>D-22865</t>
  </si>
  <si>
    <t>D-22866</t>
  </si>
  <si>
    <t>D-22867</t>
  </si>
  <si>
    <t>D-22868</t>
  </si>
  <si>
    <t>10-Ago-17-----11-Ago-17</t>
  </si>
  <si>
    <t>D-22869</t>
  </si>
  <si>
    <t>D-22870</t>
  </si>
  <si>
    <t>D-22871</t>
  </si>
  <si>
    <t>D-22872</t>
  </si>
  <si>
    <t>D-22873</t>
  </si>
  <si>
    <t>D-22874</t>
  </si>
  <si>
    <t>D-22875</t>
  </si>
  <si>
    <t>12-Ago-17----14-Ago-17</t>
  </si>
  <si>
    <t>D-22876</t>
  </si>
  <si>
    <t>D-22877</t>
  </si>
  <si>
    <t>D-22878</t>
  </si>
  <si>
    <t>D-22879</t>
  </si>
  <si>
    <t>D-22880</t>
  </si>
  <si>
    <t>D-22881</t>
  </si>
  <si>
    <t>D-22882</t>
  </si>
  <si>
    <t>D-22883</t>
  </si>
  <si>
    <t>D-22884</t>
  </si>
  <si>
    <t>D-22885</t>
  </si>
  <si>
    <t>D-22886</t>
  </si>
  <si>
    <t>D-22887</t>
  </si>
  <si>
    <t>D-22888</t>
  </si>
  <si>
    <t>D-22889</t>
  </si>
  <si>
    <t>D-22890</t>
  </si>
  <si>
    <t>D-22891</t>
  </si>
  <si>
    <t>D-22892</t>
  </si>
  <si>
    <t>D-22893</t>
  </si>
  <si>
    <t>D-22894</t>
  </si>
  <si>
    <t>D-22895</t>
  </si>
  <si>
    <t>D-22896</t>
  </si>
  <si>
    <t>D-22897</t>
  </si>
  <si>
    <t>D-22898</t>
  </si>
  <si>
    <t>D-22899</t>
  </si>
  <si>
    <t>D-22900</t>
  </si>
  <si>
    <t>D-22901</t>
  </si>
  <si>
    <t>D-22902</t>
  </si>
  <si>
    <t>D-22903</t>
  </si>
  <si>
    <t>D-22904</t>
  </si>
  <si>
    <t>D-22905</t>
  </si>
  <si>
    <t>D-22906</t>
  </si>
  <si>
    <t>D-22907</t>
  </si>
  <si>
    <t>D-22908</t>
  </si>
  <si>
    <t>D-22909</t>
  </si>
  <si>
    <t>D-22910</t>
  </si>
  <si>
    <t>D-22911</t>
  </si>
  <si>
    <t>9-Ago-17------10-Ago-17</t>
  </si>
  <si>
    <t>D-22912</t>
  </si>
  <si>
    <t>D-22913</t>
  </si>
  <si>
    <t>D-22914</t>
  </si>
  <si>
    <t>D-22915</t>
  </si>
  <si>
    <t>D-22916</t>
  </si>
  <si>
    <t>D-22917</t>
  </si>
  <si>
    <t>D-22918</t>
  </si>
  <si>
    <t>D-22919</t>
  </si>
  <si>
    <t>D-22920</t>
  </si>
  <si>
    <t>D-22921</t>
  </si>
  <si>
    <t>D-22922</t>
  </si>
  <si>
    <t>D-22923</t>
  </si>
  <si>
    <t>D-22924</t>
  </si>
  <si>
    <t>D-22925</t>
  </si>
  <si>
    <t>D-22926</t>
  </si>
  <si>
    <t>D-22927</t>
  </si>
  <si>
    <t>D-22928</t>
  </si>
  <si>
    <t>8-Ago-17--9-Ago-17--10-Ago-17---11-Ago-17---12-Ago-17</t>
  </si>
  <si>
    <t>D-22929</t>
  </si>
  <si>
    <t>D-22930</t>
  </si>
  <si>
    <t>D-22931</t>
  </si>
  <si>
    <t>D-22932</t>
  </si>
  <si>
    <t>D-22933</t>
  </si>
  <si>
    <t>D-22934</t>
  </si>
  <si>
    <t>D-22935</t>
  </si>
  <si>
    <t>D-22936</t>
  </si>
  <si>
    <t>D-22937</t>
  </si>
  <si>
    <t>D-22938</t>
  </si>
  <si>
    <t>D-22939</t>
  </si>
  <si>
    <t>D-22940</t>
  </si>
  <si>
    <t>D-22941</t>
  </si>
  <si>
    <t>D-22942</t>
  </si>
  <si>
    <t>D-22943</t>
  </si>
  <si>
    <t>D-22944</t>
  </si>
  <si>
    <t>D-22945</t>
  </si>
  <si>
    <t>D-22946</t>
  </si>
  <si>
    <t>D-22947</t>
  </si>
  <si>
    <t>D-22948</t>
  </si>
  <si>
    <t>D-22949</t>
  </si>
  <si>
    <t>D-22950</t>
  </si>
  <si>
    <t>D-22951</t>
  </si>
  <si>
    <t>D-22952</t>
  </si>
  <si>
    <t>D-22953</t>
  </si>
  <si>
    <t>D-22954</t>
  </si>
  <si>
    <t>D-22955</t>
  </si>
  <si>
    <t>D-22956</t>
  </si>
  <si>
    <t>D-22957</t>
  </si>
  <si>
    <t>D-22958</t>
  </si>
  <si>
    <t>D-22959</t>
  </si>
  <si>
    <t>D-22960</t>
  </si>
  <si>
    <t>D-22961</t>
  </si>
  <si>
    <t>D-22962</t>
  </si>
  <si>
    <t>D-22963</t>
  </si>
  <si>
    <t>D-22964</t>
  </si>
  <si>
    <t>D-22965</t>
  </si>
  <si>
    <t>D-22966</t>
  </si>
  <si>
    <t>D-22967</t>
  </si>
  <si>
    <t>D-22968</t>
  </si>
  <si>
    <t>D-22969</t>
  </si>
  <si>
    <t>D-22970</t>
  </si>
  <si>
    <t>D-22971</t>
  </si>
  <si>
    <t>D-22972</t>
  </si>
  <si>
    <t>D-22973</t>
  </si>
  <si>
    <t>D-22974</t>
  </si>
  <si>
    <t>D-22975</t>
  </si>
  <si>
    <t>D-22976</t>
  </si>
  <si>
    <t>D-22977</t>
  </si>
  <si>
    <t>D-22978</t>
  </si>
  <si>
    <t>D-22979</t>
  </si>
  <si>
    <t>D-22980</t>
  </si>
  <si>
    <t>D-22981</t>
  </si>
  <si>
    <t>D-22982</t>
  </si>
  <si>
    <t>D-22983</t>
  </si>
  <si>
    <t>D-22984</t>
  </si>
  <si>
    <t>D-22985</t>
  </si>
  <si>
    <t>D-22986</t>
  </si>
  <si>
    <t>D-22987</t>
  </si>
  <si>
    <t>D-22988</t>
  </si>
  <si>
    <t>D-22989</t>
  </si>
  <si>
    <t>D-22990</t>
  </si>
  <si>
    <t>D-22991</t>
  </si>
  <si>
    <t>D-22992</t>
  </si>
  <si>
    <t>D-22993</t>
  </si>
  <si>
    <t>D-22994</t>
  </si>
  <si>
    <t>D-22995</t>
  </si>
  <si>
    <t>D-22996</t>
  </si>
  <si>
    <t>D-22997</t>
  </si>
  <si>
    <t>D-22998</t>
  </si>
  <si>
    <t>D-22999</t>
  </si>
  <si>
    <t>D-23000</t>
  </si>
  <si>
    <t>D-23001</t>
  </si>
  <si>
    <t>D-23002</t>
  </si>
  <si>
    <t>D-23003</t>
  </si>
  <si>
    <t>D-23004</t>
  </si>
  <si>
    <t>D-23005</t>
  </si>
  <si>
    <t>D-23006</t>
  </si>
  <si>
    <t>D-23007</t>
  </si>
  <si>
    <t>D-23008</t>
  </si>
  <si>
    <t>D-23009</t>
  </si>
  <si>
    <t>D-23010</t>
  </si>
  <si>
    <t>D-23011</t>
  </si>
  <si>
    <t>D-23012</t>
  </si>
  <si>
    <t>D-23013</t>
  </si>
  <si>
    <t>D-23014</t>
  </si>
  <si>
    <t>D-23015</t>
  </si>
  <si>
    <t>D-23016</t>
  </si>
  <si>
    <t>D-23017</t>
  </si>
  <si>
    <t>D-23018</t>
  </si>
  <si>
    <t>D-23019</t>
  </si>
  <si>
    <t>D-23020</t>
  </si>
  <si>
    <t>D-23021</t>
  </si>
  <si>
    <t>D-23022</t>
  </si>
  <si>
    <t>D-23023</t>
  </si>
  <si>
    <t>D-23024</t>
  </si>
  <si>
    <t>D-23025</t>
  </si>
  <si>
    <t>D-23026</t>
  </si>
  <si>
    <t>D-23027</t>
  </si>
  <si>
    <t>D-23028</t>
  </si>
  <si>
    <t>D-23029</t>
  </si>
  <si>
    <t>D-23030</t>
  </si>
  <si>
    <t>D-23031</t>
  </si>
  <si>
    <t>D-23032</t>
  </si>
  <si>
    <t>D-23033</t>
  </si>
  <si>
    <t>D-23034</t>
  </si>
  <si>
    <t>D-23035</t>
  </si>
  <si>
    <t>D-23036</t>
  </si>
  <si>
    <t>D-23037</t>
  </si>
  <si>
    <t>D-23038</t>
  </si>
  <si>
    <t>D-23039</t>
  </si>
  <si>
    <t>D-23040</t>
  </si>
  <si>
    <t>D-23041</t>
  </si>
  <si>
    <t>D-23042</t>
  </si>
  <si>
    <t>D-23043</t>
  </si>
  <si>
    <t>D-23044</t>
  </si>
  <si>
    <t>D-23045</t>
  </si>
  <si>
    <t>D-23046</t>
  </si>
  <si>
    <t>D-23047</t>
  </si>
  <si>
    <t>D-23048</t>
  </si>
  <si>
    <t>D-23049</t>
  </si>
  <si>
    <t>D-23050</t>
  </si>
  <si>
    <t>D-23051</t>
  </si>
  <si>
    <t>D-23052</t>
  </si>
  <si>
    <t>D-23053</t>
  </si>
  <si>
    <t>D-23054</t>
  </si>
  <si>
    <t>D-23055</t>
  </si>
  <si>
    <t>D-23056</t>
  </si>
  <si>
    <t>D-23057</t>
  </si>
  <si>
    <t>D-23058</t>
  </si>
  <si>
    <t>D-23059</t>
  </si>
  <si>
    <t>D-23060</t>
  </si>
  <si>
    <t>D-23061</t>
  </si>
  <si>
    <t>D-23062</t>
  </si>
  <si>
    <t>D-23063</t>
  </si>
  <si>
    <t>D-23064</t>
  </si>
  <si>
    <t>D-23065</t>
  </si>
  <si>
    <t>D-23066</t>
  </si>
  <si>
    <t>D-23067</t>
  </si>
  <si>
    <t>D-23068</t>
  </si>
  <si>
    <t>D-23069</t>
  </si>
  <si>
    <t>D-23070</t>
  </si>
  <si>
    <t>D-23071</t>
  </si>
  <si>
    <t>D-23072</t>
  </si>
  <si>
    <t>D-23073</t>
  </si>
  <si>
    <t>D-23074</t>
  </si>
  <si>
    <t>D-23075</t>
  </si>
  <si>
    <t>D-23076</t>
  </si>
  <si>
    <t>D-23077</t>
  </si>
  <si>
    <t>D-23078</t>
  </si>
  <si>
    <t>D-23079</t>
  </si>
  <si>
    <t>D-23080</t>
  </si>
  <si>
    <t>D-23081</t>
  </si>
  <si>
    <t>D-23082</t>
  </si>
  <si>
    <t>D-23083</t>
  </si>
  <si>
    <t>D-23084</t>
  </si>
  <si>
    <t>D-23085</t>
  </si>
  <si>
    <t>D-23086</t>
  </si>
  <si>
    <t>D-23087</t>
  </si>
  <si>
    <t>D-23088</t>
  </si>
  <si>
    <t>D-23089</t>
  </si>
  <si>
    <t>D-23090</t>
  </si>
  <si>
    <t>D-23091</t>
  </si>
  <si>
    <t>D-23092</t>
  </si>
  <si>
    <t>10-Ago-17----14-Ago-17</t>
  </si>
  <si>
    <t>D-23093</t>
  </si>
  <si>
    <t>D-23094</t>
  </si>
  <si>
    <t>D-23095</t>
  </si>
  <si>
    <t>D-23096</t>
  </si>
  <si>
    <t>D-23097</t>
  </si>
  <si>
    <t>D-23098</t>
  </si>
  <si>
    <t>D-23099</t>
  </si>
  <si>
    <t>D-23100</t>
  </si>
  <si>
    <t>D-23101</t>
  </si>
  <si>
    <t>D-23102</t>
  </si>
  <si>
    <t>D-23103</t>
  </si>
  <si>
    <t>D-23104</t>
  </si>
  <si>
    <t>D-23105</t>
  </si>
  <si>
    <t>18-Ago-17-----24-Ago-17</t>
  </si>
  <si>
    <t>D-23106</t>
  </si>
  <si>
    <t>D-23107</t>
  </si>
  <si>
    <t>D-23108</t>
  </si>
  <si>
    <t>D-23109</t>
  </si>
  <si>
    <t>D-23110</t>
  </si>
  <si>
    <t>D-23111</t>
  </si>
  <si>
    <t>D-23112</t>
  </si>
  <si>
    <t>D-23113</t>
  </si>
  <si>
    <t>D-23114</t>
  </si>
  <si>
    <t>D-23115</t>
  </si>
  <si>
    <t>D-23116</t>
  </si>
  <si>
    <t>D-23117</t>
  </si>
  <si>
    <t>D-23118</t>
  </si>
  <si>
    <t>D-23119</t>
  </si>
  <si>
    <t>D-23120</t>
  </si>
  <si>
    <t>D-23121</t>
  </si>
  <si>
    <t>D-23122</t>
  </si>
  <si>
    <t>D-23123</t>
  </si>
  <si>
    <t>D-23124</t>
  </si>
  <si>
    <t>D-23125</t>
  </si>
  <si>
    <t>D-23126</t>
  </si>
  <si>
    <t>D-23127</t>
  </si>
  <si>
    <t>D-23128</t>
  </si>
  <si>
    <t>D-23129</t>
  </si>
  <si>
    <t>D-23130</t>
  </si>
  <si>
    <t>D-23131</t>
  </si>
  <si>
    <t>D-23132</t>
  </si>
  <si>
    <t>D-23133</t>
  </si>
  <si>
    <t>D-23134</t>
  </si>
  <si>
    <t>D-23135</t>
  </si>
  <si>
    <t>D-23136</t>
  </si>
  <si>
    <t>D-23137</t>
  </si>
  <si>
    <t>D-23138</t>
  </si>
  <si>
    <t>D-23139</t>
  </si>
  <si>
    <t>D-23140</t>
  </si>
  <si>
    <t>D-23141</t>
  </si>
  <si>
    <t>D-23142</t>
  </si>
  <si>
    <t>D-23143</t>
  </si>
  <si>
    <t>D-23144</t>
  </si>
  <si>
    <t>D-23145</t>
  </si>
  <si>
    <t>D-23146</t>
  </si>
  <si>
    <t>D-23147</t>
  </si>
  <si>
    <t>D-23148</t>
  </si>
  <si>
    <t>D-23149</t>
  </si>
  <si>
    <t>D-23150</t>
  </si>
  <si>
    <t>D-23151</t>
  </si>
  <si>
    <t>D-23152</t>
  </si>
  <si>
    <t>D-23153</t>
  </si>
  <si>
    <t>D-23154</t>
  </si>
  <si>
    <t>D-23155</t>
  </si>
  <si>
    <t>D-23156</t>
  </si>
  <si>
    <t>D-23157</t>
  </si>
  <si>
    <t>D-23158</t>
  </si>
  <si>
    <t>D-23159</t>
  </si>
  <si>
    <t>D-23160</t>
  </si>
  <si>
    <t>D-23161</t>
  </si>
  <si>
    <t>D-23162</t>
  </si>
  <si>
    <t>D-23163</t>
  </si>
  <si>
    <t>D-23164</t>
  </si>
  <si>
    <t>D-23165</t>
  </si>
  <si>
    <t>D-23166</t>
  </si>
  <si>
    <t>D-23167</t>
  </si>
  <si>
    <t>D-23168</t>
  </si>
  <si>
    <t>D-23169</t>
  </si>
  <si>
    <t>D-23170</t>
  </si>
  <si>
    <t>D-23171</t>
  </si>
  <si>
    <t>D-23172</t>
  </si>
  <si>
    <t>D-23173</t>
  </si>
  <si>
    <t>D-23174</t>
  </si>
  <si>
    <t>D-23175</t>
  </si>
  <si>
    <t>D-23176</t>
  </si>
  <si>
    <t>D-23177</t>
  </si>
  <si>
    <t>D-23178</t>
  </si>
  <si>
    <t>D-23179</t>
  </si>
  <si>
    <t>D-23180</t>
  </si>
  <si>
    <t>D-23181</t>
  </si>
  <si>
    <t>D-23182</t>
  </si>
  <si>
    <t>D-23183</t>
  </si>
  <si>
    <t>D-23184</t>
  </si>
  <si>
    <t>D-23185</t>
  </si>
  <si>
    <t>D-23186</t>
  </si>
  <si>
    <t>D-23187</t>
  </si>
  <si>
    <t>D-23188</t>
  </si>
  <si>
    <t>D-23189</t>
  </si>
  <si>
    <t>D-23190</t>
  </si>
  <si>
    <t>D-23191</t>
  </si>
  <si>
    <t>D-23192</t>
  </si>
  <si>
    <t>D-23193</t>
  </si>
  <si>
    <t>D-23194</t>
  </si>
  <si>
    <t>D-23195</t>
  </si>
  <si>
    <t>D-23196</t>
  </si>
  <si>
    <t>D-23197</t>
  </si>
  <si>
    <t>D-23198</t>
  </si>
  <si>
    <t>D-23199</t>
  </si>
  <si>
    <t>D-23200</t>
  </si>
  <si>
    <t>D-23201</t>
  </si>
  <si>
    <t>D-23202</t>
  </si>
  <si>
    <t>D-23203</t>
  </si>
  <si>
    <t>D-23204</t>
  </si>
  <si>
    <t>D-23205</t>
  </si>
  <si>
    <t>D-23206</t>
  </si>
  <si>
    <t>D-23207</t>
  </si>
  <si>
    <t>D-23208</t>
  </si>
  <si>
    <t>12-Ago-17----15-Ago-17-</t>
  </si>
  <si>
    <t>D-23209</t>
  </si>
  <si>
    <t>D-23210</t>
  </si>
  <si>
    <t>D-23211</t>
  </si>
  <si>
    <t>D-23212</t>
  </si>
  <si>
    <t>D-23213</t>
  </si>
  <si>
    <t>D-23214</t>
  </si>
  <si>
    <t>D-23215</t>
  </si>
  <si>
    <t>D-23216</t>
  </si>
  <si>
    <t>D-23217</t>
  </si>
  <si>
    <t>D-23218</t>
  </si>
  <si>
    <t>D-23219</t>
  </si>
  <si>
    <t>D-23220</t>
  </si>
  <si>
    <t>D-23221</t>
  </si>
  <si>
    <t>D-23222</t>
  </si>
  <si>
    <t>14-Ago-17-----15-Ago-17</t>
  </si>
  <si>
    <t>D-23223</t>
  </si>
  <si>
    <t>D-23224</t>
  </si>
  <si>
    <t>D-23225</t>
  </si>
  <si>
    <t>14-Ago-17----23-Ago-17</t>
  </si>
  <si>
    <t>D-23226</t>
  </si>
  <si>
    <t>D-23227</t>
  </si>
  <si>
    <t>D-23228</t>
  </si>
  <si>
    <t>D-23229</t>
  </si>
  <si>
    <t>D-23230</t>
  </si>
  <si>
    <t>D-23231</t>
  </si>
  <si>
    <t>D-23232</t>
  </si>
  <si>
    <t>D-23233</t>
  </si>
  <si>
    <t>D-23234</t>
  </si>
  <si>
    <t>D-23235</t>
  </si>
  <si>
    <t>D-23236</t>
  </si>
  <si>
    <t>D-23237</t>
  </si>
  <si>
    <t>D-23238</t>
  </si>
  <si>
    <t>D-23239</t>
  </si>
  <si>
    <t>D-23240</t>
  </si>
  <si>
    <t>D-23241</t>
  </si>
  <si>
    <t>D-23242</t>
  </si>
  <si>
    <t>D-23243</t>
  </si>
  <si>
    <t>D-23244</t>
  </si>
  <si>
    <t>D-23245</t>
  </si>
  <si>
    <t>D-23246</t>
  </si>
  <si>
    <t>D-23247</t>
  </si>
  <si>
    <t>D-23248</t>
  </si>
  <si>
    <t>D-23249</t>
  </si>
  <si>
    <t>D-23250</t>
  </si>
  <si>
    <t>D-23251</t>
  </si>
  <si>
    <t>D-23252</t>
  </si>
  <si>
    <t>D-23253</t>
  </si>
  <si>
    <t>D-23254</t>
  </si>
  <si>
    <t>D-23255</t>
  </si>
  <si>
    <t>D-23256</t>
  </si>
  <si>
    <t>D-23257</t>
  </si>
  <si>
    <t>D-23258</t>
  </si>
  <si>
    <t>D-23259</t>
  </si>
  <si>
    <t>D-23260</t>
  </si>
  <si>
    <t>D-23261</t>
  </si>
  <si>
    <t>D-23262</t>
  </si>
  <si>
    <t>21-Ago-17----30-Ago-17</t>
  </si>
  <si>
    <t>D-23263</t>
  </si>
  <si>
    <t>D-23264</t>
  </si>
  <si>
    <t>D-23265</t>
  </si>
  <si>
    <t>D-23266</t>
  </si>
  <si>
    <t>D-23267</t>
  </si>
  <si>
    <t>D-23268</t>
  </si>
  <si>
    <t>D-23269</t>
  </si>
  <si>
    <t>D-23270</t>
  </si>
  <si>
    <t>D-23271</t>
  </si>
  <si>
    <t>D-23272</t>
  </si>
  <si>
    <t>D-23273</t>
  </si>
  <si>
    <t>D-23274</t>
  </si>
  <si>
    <t>D-23275</t>
  </si>
  <si>
    <t>D-23276</t>
  </si>
  <si>
    <t>D-23277</t>
  </si>
  <si>
    <t>D-23278</t>
  </si>
  <si>
    <t>D-23279</t>
  </si>
  <si>
    <t>D-23280</t>
  </si>
  <si>
    <t>D-23281</t>
  </si>
  <si>
    <t>12-Ago-17-----15-Ago-17</t>
  </si>
  <si>
    <t>D-23282</t>
  </si>
  <si>
    <t>D-23283</t>
  </si>
  <si>
    <t>D-23284</t>
  </si>
  <si>
    <t>D-23285</t>
  </si>
  <si>
    <t>D-23286</t>
  </si>
  <si>
    <t>D-23287</t>
  </si>
  <si>
    <t>D-23288</t>
  </si>
  <si>
    <t>D-23289</t>
  </si>
  <si>
    <t>D-23290</t>
  </si>
  <si>
    <t>D-23291</t>
  </si>
  <si>
    <t>D-23292</t>
  </si>
  <si>
    <t>D-23293</t>
  </si>
  <si>
    <t>D-23294</t>
  </si>
  <si>
    <t>D-23295</t>
  </si>
  <si>
    <t>D-23296</t>
  </si>
  <si>
    <t>D-23297</t>
  </si>
  <si>
    <t>D-23298</t>
  </si>
  <si>
    <t>D-23299</t>
  </si>
  <si>
    <t>D-23300</t>
  </si>
  <si>
    <t>D-23301</t>
  </si>
  <si>
    <t>D-23302</t>
  </si>
  <si>
    <t>D-23303</t>
  </si>
  <si>
    <t>D-23304</t>
  </si>
  <si>
    <t>D-23305</t>
  </si>
  <si>
    <t>D-23306</t>
  </si>
  <si>
    <t>D-23307</t>
  </si>
  <si>
    <t>D-23308</t>
  </si>
  <si>
    <t>D-23309</t>
  </si>
  <si>
    <t>D-23310</t>
  </si>
  <si>
    <t>D-23311</t>
  </si>
  <si>
    <t>D-23312</t>
  </si>
  <si>
    <t>D-23313</t>
  </si>
  <si>
    <t>D-23314</t>
  </si>
  <si>
    <t>D-23315</t>
  </si>
  <si>
    <t>D-23316</t>
  </si>
  <si>
    <t>D-23317</t>
  </si>
  <si>
    <t>D-23318</t>
  </si>
  <si>
    <t>D-23319</t>
  </si>
  <si>
    <t>D-23320</t>
  </si>
  <si>
    <t>D-23321</t>
  </si>
  <si>
    <t>D-23322</t>
  </si>
  <si>
    <t>D-23323</t>
  </si>
  <si>
    <t>D-23324</t>
  </si>
  <si>
    <t>D-23325</t>
  </si>
  <si>
    <t>D-23326</t>
  </si>
  <si>
    <t>D-23327</t>
  </si>
  <si>
    <t>D-23328</t>
  </si>
  <si>
    <t>D-23329</t>
  </si>
  <si>
    <t>D-23330</t>
  </si>
  <si>
    <t>D-23331</t>
  </si>
  <si>
    <t>D-23332</t>
  </si>
  <si>
    <t>D-23333</t>
  </si>
  <si>
    <t>D-23334</t>
  </si>
  <si>
    <t>D-23335</t>
  </si>
  <si>
    <t>D-23336</t>
  </si>
  <si>
    <t>D-23337</t>
  </si>
  <si>
    <t>D-23338</t>
  </si>
  <si>
    <t>D-23339</t>
  </si>
  <si>
    <t>D-23340</t>
  </si>
  <si>
    <t>D-23341</t>
  </si>
  <si>
    <t>D-23342</t>
  </si>
  <si>
    <t>D-23343</t>
  </si>
  <si>
    <t>D-23344</t>
  </si>
  <si>
    <t>D-23345</t>
  </si>
  <si>
    <t>D-23346</t>
  </si>
  <si>
    <t>D-23347</t>
  </si>
  <si>
    <t>D-23348</t>
  </si>
  <si>
    <t>D-23349</t>
  </si>
  <si>
    <t>D-23350</t>
  </si>
  <si>
    <t>D-23351</t>
  </si>
  <si>
    <t>D-23352</t>
  </si>
  <si>
    <t>D-23353</t>
  </si>
  <si>
    <t>D-23354</t>
  </si>
  <si>
    <t>D-23355</t>
  </si>
  <si>
    <t>D-23356</t>
  </si>
  <si>
    <t>D-23357</t>
  </si>
  <si>
    <t>D-23358</t>
  </si>
  <si>
    <t>D-23359</t>
  </si>
  <si>
    <t>D-23360</t>
  </si>
  <si>
    <t>D-23361</t>
  </si>
  <si>
    <t>D-23362</t>
  </si>
  <si>
    <t>D-23363</t>
  </si>
  <si>
    <t>D-23364</t>
  </si>
  <si>
    <t>D-23365</t>
  </si>
  <si>
    <t>D-23366</t>
  </si>
  <si>
    <t>D-23367</t>
  </si>
  <si>
    <t>D-23368</t>
  </si>
  <si>
    <t>D-23369</t>
  </si>
  <si>
    <t>D-23370</t>
  </si>
  <si>
    <t>D-23371</t>
  </si>
  <si>
    <t>D-23372</t>
  </si>
  <si>
    <t>D-23373</t>
  </si>
  <si>
    <t>D-23374</t>
  </si>
  <si>
    <t>D-23375</t>
  </si>
  <si>
    <t>D-23376</t>
  </si>
  <si>
    <t>D-23377</t>
  </si>
  <si>
    <t>D-23378</t>
  </si>
  <si>
    <t>D-23379</t>
  </si>
  <si>
    <t>D-23380</t>
  </si>
  <si>
    <t>15-Ago-17---16-Ago-17---17-Ago-17---18-Ago-17</t>
  </si>
  <si>
    <t>D-23381</t>
  </si>
  <si>
    <t>D-23382</t>
  </si>
  <si>
    <t>D-23383</t>
  </si>
  <si>
    <t>D-23384</t>
  </si>
  <si>
    <t>D-23385</t>
  </si>
  <si>
    <t>D-23386</t>
  </si>
  <si>
    <t>D-23387</t>
  </si>
  <si>
    <t>15-Ago-17---16-Ago-17----17-Ago-17</t>
  </si>
  <si>
    <t>D-23388</t>
  </si>
  <si>
    <t>238-17</t>
  </si>
  <si>
    <t>D-23389</t>
  </si>
  <si>
    <t>D-23390</t>
  </si>
  <si>
    <t>D-23391</t>
  </si>
  <si>
    <t>12-Ago-17--13-Ago-17--14-Ago-17--15-Ago-17--16-Ago-17</t>
  </si>
  <si>
    <t>D-23392</t>
  </si>
  <si>
    <t>D-23393</t>
  </si>
  <si>
    <t>D-23394</t>
  </si>
  <si>
    <t>15-Ago-17--16-Ago-17</t>
  </si>
  <si>
    <t>D-23395</t>
  </si>
  <si>
    <t>D-23396</t>
  </si>
  <si>
    <t>D-23397</t>
  </si>
  <si>
    <t>D-23398</t>
  </si>
  <si>
    <t>D-23399</t>
  </si>
  <si>
    <t>D-23400</t>
  </si>
  <si>
    <t>D-23401</t>
  </si>
  <si>
    <t>D-23402</t>
  </si>
  <si>
    <t>D-23403</t>
  </si>
  <si>
    <t>D-23404</t>
  </si>
  <si>
    <t>D-23405</t>
  </si>
  <si>
    <t>D-23406</t>
  </si>
  <si>
    <t>D-23407</t>
  </si>
  <si>
    <t>D-23408</t>
  </si>
  <si>
    <t>D-23409</t>
  </si>
  <si>
    <t>D-23410</t>
  </si>
  <si>
    <t>D-23411</t>
  </si>
  <si>
    <t>D-23412</t>
  </si>
  <si>
    <t>D-23413</t>
  </si>
  <si>
    <t>D-23414</t>
  </si>
  <si>
    <t>12-Ago-17----13-Ago-17</t>
  </si>
  <si>
    <t>D-23415</t>
  </si>
  <si>
    <t>D-23416</t>
  </si>
  <si>
    <t>D-23417</t>
  </si>
  <si>
    <t>D-23418</t>
  </si>
  <si>
    <t>D-23419</t>
  </si>
  <si>
    <t>D-23420</t>
  </si>
  <si>
    <t>D-23421</t>
  </si>
  <si>
    <t>D-23422</t>
  </si>
  <si>
    <t>D-23423</t>
  </si>
  <si>
    <t>D-23424</t>
  </si>
  <si>
    <t>D-23425</t>
  </si>
  <si>
    <t>D-23426</t>
  </si>
  <si>
    <t>D-23427</t>
  </si>
  <si>
    <t>D-23428</t>
  </si>
  <si>
    <t>D-23429</t>
  </si>
  <si>
    <t>D-23430</t>
  </si>
  <si>
    <t>D-23431</t>
  </si>
  <si>
    <t>D-23432</t>
  </si>
  <si>
    <t>D-23433</t>
  </si>
  <si>
    <t>D-23434</t>
  </si>
  <si>
    <t>D-23435</t>
  </si>
  <si>
    <t>D-23436</t>
  </si>
  <si>
    <t>D-23437</t>
  </si>
  <si>
    <t>D-23438</t>
  </si>
  <si>
    <t>D-23439</t>
  </si>
  <si>
    <t>D-23440</t>
  </si>
  <si>
    <t>12-Ago-17-------14-Ago-17</t>
  </si>
  <si>
    <t>D-23441</t>
  </si>
  <si>
    <t>D-23442</t>
  </si>
  <si>
    <t>D-23443</t>
  </si>
  <si>
    <t>D-23444</t>
  </si>
  <si>
    <t>D-23445</t>
  </si>
  <si>
    <t>D-23446</t>
  </si>
  <si>
    <t>D-23447</t>
  </si>
  <si>
    <t>D-23448</t>
  </si>
  <si>
    <t>D-23449</t>
  </si>
  <si>
    <t>D-23450</t>
  </si>
  <si>
    <t>D-23451</t>
  </si>
  <si>
    <t>D-23452</t>
  </si>
  <si>
    <t>D-23453</t>
  </si>
  <si>
    <t>D-23454</t>
  </si>
  <si>
    <t>D-23455</t>
  </si>
  <si>
    <t>D-23456</t>
  </si>
  <si>
    <t>D-23457</t>
  </si>
  <si>
    <t>D-23458</t>
  </si>
  <si>
    <t>D-23459</t>
  </si>
  <si>
    <t>D-23460</t>
  </si>
  <si>
    <t>D-23461</t>
  </si>
  <si>
    <t>D-23462</t>
  </si>
  <si>
    <t>D-23463</t>
  </si>
  <si>
    <t>D-23464</t>
  </si>
  <si>
    <t>D-23465</t>
  </si>
  <si>
    <t>D-23466</t>
  </si>
  <si>
    <t>D-23467</t>
  </si>
  <si>
    <t>D-23468</t>
  </si>
  <si>
    <t>D-23469</t>
  </si>
  <si>
    <t>D-23470</t>
  </si>
  <si>
    <t>D-23471</t>
  </si>
  <si>
    <t>D-23472</t>
  </si>
  <si>
    <t>D-23473</t>
  </si>
  <si>
    <t>D-23474</t>
  </si>
  <si>
    <t>D-23475</t>
  </si>
  <si>
    <t>D-23476</t>
  </si>
  <si>
    <t>D-23477</t>
  </si>
  <si>
    <t>D-23478</t>
  </si>
  <si>
    <t>D-23479</t>
  </si>
  <si>
    <t>D-23480</t>
  </si>
  <si>
    <t>D-23481</t>
  </si>
  <si>
    <t>D-23482</t>
  </si>
  <si>
    <t>D-23483</t>
  </si>
  <si>
    <t>D-23484</t>
  </si>
  <si>
    <t>D-23485</t>
  </si>
  <si>
    <t>D-23486</t>
  </si>
  <si>
    <t>D-23487</t>
  </si>
  <si>
    <t xml:space="preserve">14-Ago-17--16-Ago-17 </t>
  </si>
  <si>
    <t>D-23488</t>
  </si>
  <si>
    <t>D-23489</t>
  </si>
  <si>
    <t>D-23490</t>
  </si>
  <si>
    <t>D-23491</t>
  </si>
  <si>
    <t>D-23492</t>
  </si>
  <si>
    <t>D-23493</t>
  </si>
  <si>
    <t>D-23494</t>
  </si>
  <si>
    <t>D-23495</t>
  </si>
  <si>
    <t>D-23496</t>
  </si>
  <si>
    <t>D-23497</t>
  </si>
  <si>
    <t>D-23498</t>
  </si>
  <si>
    <t>D-23499</t>
  </si>
  <si>
    <t>D-23500</t>
  </si>
  <si>
    <t>D-23501</t>
  </si>
  <si>
    <t>D-23502</t>
  </si>
  <si>
    <t>D-23503</t>
  </si>
  <si>
    <t>D-23504</t>
  </si>
  <si>
    <t>D-23505</t>
  </si>
  <si>
    <t>D-23506</t>
  </si>
  <si>
    <t>D-23507</t>
  </si>
  <si>
    <t>D-23508</t>
  </si>
  <si>
    <t>D-23509</t>
  </si>
  <si>
    <t>D-23510</t>
  </si>
  <si>
    <t>D-23511</t>
  </si>
  <si>
    <t>D-23512</t>
  </si>
  <si>
    <t>D-23513</t>
  </si>
  <si>
    <t>D-23514</t>
  </si>
  <si>
    <t>D-23515</t>
  </si>
  <si>
    <t>D-23516</t>
  </si>
  <si>
    <t>D-23517</t>
  </si>
  <si>
    <t>D-23518</t>
  </si>
  <si>
    <t>D-23519</t>
  </si>
  <si>
    <t>D-23520</t>
  </si>
  <si>
    <t>D-23521</t>
  </si>
  <si>
    <t>D-23522</t>
  </si>
  <si>
    <t>D-23523</t>
  </si>
  <si>
    <t>D-23524</t>
  </si>
  <si>
    <t>D-23525</t>
  </si>
  <si>
    <t>D-23526</t>
  </si>
  <si>
    <t>D-23527</t>
  </si>
  <si>
    <t>D-23528</t>
  </si>
  <si>
    <t>D-23529</t>
  </si>
  <si>
    <t>D-23530</t>
  </si>
  <si>
    <t>D-23531</t>
  </si>
  <si>
    <t>D-23532</t>
  </si>
  <si>
    <t>D-23533</t>
  </si>
  <si>
    <t>D-23534</t>
  </si>
  <si>
    <t>D-23535</t>
  </si>
  <si>
    <t>D-23536</t>
  </si>
  <si>
    <t>D-23537</t>
  </si>
  <si>
    <t>D-23538</t>
  </si>
  <si>
    <t>D-23539</t>
  </si>
  <si>
    <t>D-23540</t>
  </si>
  <si>
    <t>D-23541</t>
  </si>
  <si>
    <t>D-23542</t>
  </si>
  <si>
    <t>D-23543</t>
  </si>
  <si>
    <t>D-23544</t>
  </si>
  <si>
    <t>D-23545</t>
  </si>
  <si>
    <t>D-23546</t>
  </si>
  <si>
    <t>D-23547</t>
  </si>
  <si>
    <t>D-23548</t>
  </si>
  <si>
    <t>D-23549</t>
  </si>
  <si>
    <t>D-23550</t>
  </si>
  <si>
    <t>D-23551</t>
  </si>
  <si>
    <t>D-23552</t>
  </si>
  <si>
    <t>D-23553</t>
  </si>
  <si>
    <t>D-23554</t>
  </si>
  <si>
    <t>D-23555</t>
  </si>
  <si>
    <t>D-23556</t>
  </si>
  <si>
    <t>D-23557</t>
  </si>
  <si>
    <t>D-23558</t>
  </si>
  <si>
    <t>D-23559</t>
  </si>
  <si>
    <t>D-23560</t>
  </si>
  <si>
    <t>D-23561</t>
  </si>
  <si>
    <t>D-23562</t>
  </si>
  <si>
    <t>D-23563</t>
  </si>
  <si>
    <t>D-23564</t>
  </si>
  <si>
    <t>D-23565</t>
  </si>
  <si>
    <t>D-23566</t>
  </si>
  <si>
    <t>D-23567</t>
  </si>
  <si>
    <t>D-23568</t>
  </si>
  <si>
    <t>D-23569</t>
  </si>
  <si>
    <t>D-23570</t>
  </si>
  <si>
    <t>D-23571</t>
  </si>
  <si>
    <t>D-23572</t>
  </si>
  <si>
    <t>D-23573</t>
  </si>
  <si>
    <t>D-23574</t>
  </si>
  <si>
    <t>D-23575</t>
  </si>
  <si>
    <t>D-23576</t>
  </si>
  <si>
    <t>D-23577</t>
  </si>
  <si>
    <t>D-23578</t>
  </si>
  <si>
    <t>D-23579</t>
  </si>
  <si>
    <t>D-23580</t>
  </si>
  <si>
    <t>D-23581</t>
  </si>
  <si>
    <t>D-23582</t>
  </si>
  <si>
    <t>D-23583</t>
  </si>
  <si>
    <t>D-23584</t>
  </si>
  <si>
    <t>D-23585</t>
  </si>
  <si>
    <t>D-23586</t>
  </si>
  <si>
    <t>D-23587</t>
  </si>
  <si>
    <t>D-23588</t>
  </si>
  <si>
    <t>D-23589</t>
  </si>
  <si>
    <t>D-23590</t>
  </si>
  <si>
    <t>D-23591</t>
  </si>
  <si>
    <t>D-23592</t>
  </si>
  <si>
    <t>D-23593</t>
  </si>
  <si>
    <t>17-Ago-17----19-Ago-17</t>
  </si>
  <si>
    <t>D-23594</t>
  </si>
  <si>
    <t>D-23595</t>
  </si>
  <si>
    <t>D-23596</t>
  </si>
  <si>
    <t>D-23597</t>
  </si>
  <si>
    <t>D-23598</t>
  </si>
  <si>
    <t>D-23599</t>
  </si>
  <si>
    <t>13/12/2017</t>
  </si>
  <si>
    <t>D-23600</t>
  </si>
  <si>
    <t>D-23601</t>
  </si>
  <si>
    <t>D-23602</t>
  </si>
  <si>
    <t>D-23603</t>
  </si>
  <si>
    <t>D-23604</t>
  </si>
  <si>
    <t>D-23605</t>
  </si>
  <si>
    <t>D-23606</t>
  </si>
  <si>
    <t>D-23607</t>
  </si>
  <si>
    <t>D-23608</t>
  </si>
  <si>
    <t>D-23609</t>
  </si>
  <si>
    <t>D-23610</t>
  </si>
  <si>
    <t>D-23611</t>
  </si>
  <si>
    <t>D-23612</t>
  </si>
  <si>
    <t>D-23613</t>
  </si>
  <si>
    <t>D-23614</t>
  </si>
  <si>
    <t>D-23615</t>
  </si>
  <si>
    <t>D-23616</t>
  </si>
  <si>
    <t>D-23617</t>
  </si>
  <si>
    <t>D-23618</t>
  </si>
  <si>
    <t>D-23619</t>
  </si>
  <si>
    <t>D-23620</t>
  </si>
  <si>
    <t>D-23621</t>
  </si>
  <si>
    <t>D-23622</t>
  </si>
  <si>
    <t>D-23623</t>
  </si>
  <si>
    <t>D-23624</t>
  </si>
  <si>
    <t>D-23625</t>
  </si>
  <si>
    <t>D-23626</t>
  </si>
  <si>
    <t>D-23627</t>
  </si>
  <si>
    <t>D-23628</t>
  </si>
  <si>
    <t>D-23629</t>
  </si>
  <si>
    <t>D-23630</t>
  </si>
  <si>
    <t>D-23631</t>
  </si>
  <si>
    <t>D-23632</t>
  </si>
  <si>
    <t>D-23633</t>
  </si>
  <si>
    <t>D-23634</t>
  </si>
  <si>
    <t>D-23635</t>
  </si>
  <si>
    <t>D-23636</t>
  </si>
  <si>
    <t>D-23637</t>
  </si>
  <si>
    <t>D-23638</t>
  </si>
  <si>
    <t>15-Ago-17-----17-Ago-17</t>
  </si>
  <si>
    <t>D-23639</t>
  </si>
  <si>
    <t>D-23640</t>
  </si>
  <si>
    <t>D-23641</t>
  </si>
  <si>
    <t>D-23642</t>
  </si>
  <si>
    <t>19-Ago-17---23-Ago-17</t>
  </si>
  <si>
    <t>D-23643</t>
  </si>
  <si>
    <t>D-23644</t>
  </si>
  <si>
    <t>14-Ago------17-Ago-17</t>
  </si>
  <si>
    <t>D-23645</t>
  </si>
  <si>
    <t>D-23646</t>
  </si>
  <si>
    <t>D-23647</t>
  </si>
  <si>
    <t>D-23648</t>
  </si>
  <si>
    <t>D-23649</t>
  </si>
  <si>
    <t>D-23650</t>
  </si>
  <si>
    <t>D-23651</t>
  </si>
  <si>
    <t>15-Ago-17-----16-Ago-17</t>
  </si>
  <si>
    <t>D-23652</t>
  </si>
  <si>
    <t>D-23653</t>
  </si>
  <si>
    <t>D-23654</t>
  </si>
  <si>
    <t>D-23655</t>
  </si>
  <si>
    <t>D-23656</t>
  </si>
  <si>
    <t>D-23657</t>
  </si>
  <si>
    <t>D-23658</t>
  </si>
  <si>
    <t>D-23659</t>
  </si>
  <si>
    <t>D-23660</t>
  </si>
  <si>
    <t>D-23661</t>
  </si>
  <si>
    <t>D-23662</t>
  </si>
  <si>
    <t>D-23663</t>
  </si>
  <si>
    <t>D-23664</t>
  </si>
  <si>
    <t>D-23665</t>
  </si>
  <si>
    <t>D-23666</t>
  </si>
  <si>
    <t>D-23667</t>
  </si>
  <si>
    <t>D-23668</t>
  </si>
  <si>
    <t>D-23669</t>
  </si>
  <si>
    <t>D-23670</t>
  </si>
  <si>
    <t>D-23671</t>
  </si>
  <si>
    <t>D-23672</t>
  </si>
  <si>
    <t>D-23673</t>
  </si>
  <si>
    <t>D-23674</t>
  </si>
  <si>
    <t>D-23675</t>
  </si>
  <si>
    <t>D-23676</t>
  </si>
  <si>
    <t>D-23677</t>
  </si>
  <si>
    <t>D-23678</t>
  </si>
  <si>
    <t>D-23679</t>
  </si>
  <si>
    <t>D-23680</t>
  </si>
  <si>
    <t>D-23681</t>
  </si>
  <si>
    <t>D-23682</t>
  </si>
  <si>
    <t>D-23683</t>
  </si>
  <si>
    <t>D-23684</t>
  </si>
  <si>
    <t>D-23685</t>
  </si>
  <si>
    <t>D-23686</t>
  </si>
  <si>
    <t>D-23687</t>
  </si>
  <si>
    <t>D-23688</t>
  </si>
  <si>
    <t>D-23689</t>
  </si>
  <si>
    <t>D-23690</t>
  </si>
  <si>
    <t>D-23691</t>
  </si>
  <si>
    <t>D-23692</t>
  </si>
  <si>
    <t>D-23693</t>
  </si>
  <si>
    <t>D-23694</t>
  </si>
  <si>
    <t>D-23695</t>
  </si>
  <si>
    <t>D-23696</t>
  </si>
  <si>
    <t>D-23697</t>
  </si>
  <si>
    <t>D-23698</t>
  </si>
  <si>
    <t>D-23699</t>
  </si>
  <si>
    <t>D-23700</t>
  </si>
  <si>
    <t>D-23701</t>
  </si>
  <si>
    <t>D-23702</t>
  </si>
  <si>
    <t>16-Ago-17----18-Ago-17</t>
  </si>
  <si>
    <t>D-23703</t>
  </si>
  <si>
    <t>D-23704</t>
  </si>
  <si>
    <t>D-23705</t>
  </si>
  <si>
    <t>D-23706</t>
  </si>
  <si>
    <t>D-23707</t>
  </si>
  <si>
    <t>D-23708</t>
  </si>
  <si>
    <t>D-23709</t>
  </si>
  <si>
    <t>D-23710</t>
  </si>
  <si>
    <t>D-23711</t>
  </si>
  <si>
    <t>D-23712</t>
  </si>
  <si>
    <t>D-23713</t>
  </si>
  <si>
    <t>D-23714</t>
  </si>
  <si>
    <t>D-23715</t>
  </si>
  <si>
    <t>D-23716</t>
  </si>
  <si>
    <t>D-23717</t>
  </si>
  <si>
    <t>D-23718</t>
  </si>
  <si>
    <t>D-23719</t>
  </si>
  <si>
    <t>D-23720</t>
  </si>
  <si>
    <t>D-23721</t>
  </si>
  <si>
    <t>D-23722</t>
  </si>
  <si>
    <t>D-23723</t>
  </si>
  <si>
    <t>D-23724</t>
  </si>
  <si>
    <t>D-23725</t>
  </si>
  <si>
    <t>D-23726</t>
  </si>
  <si>
    <t>D-23727</t>
  </si>
  <si>
    <t>D-23728</t>
  </si>
  <si>
    <t>D-23729</t>
  </si>
  <si>
    <t>D-23730</t>
  </si>
  <si>
    <t>D-23731</t>
  </si>
  <si>
    <t>D-23732</t>
  </si>
  <si>
    <t>D-23733</t>
  </si>
  <si>
    <t>D-23734</t>
  </si>
  <si>
    <t>D-23735</t>
  </si>
  <si>
    <t>D-23736</t>
  </si>
  <si>
    <t>D-23737</t>
  </si>
  <si>
    <t>D-23738</t>
  </si>
  <si>
    <t>D-23739</t>
  </si>
  <si>
    <t>D-23740</t>
  </si>
  <si>
    <t>D-23741</t>
  </si>
  <si>
    <t>D-23742</t>
  </si>
  <si>
    <t>D-23743</t>
  </si>
  <si>
    <t>D-23744</t>
  </si>
  <si>
    <t>D-23745</t>
  </si>
  <si>
    <t>D-23746</t>
  </si>
  <si>
    <t>D-23747</t>
  </si>
  <si>
    <t>D-23748</t>
  </si>
  <si>
    <t>D-23749</t>
  </si>
  <si>
    <t>D-23750</t>
  </si>
  <si>
    <t>D-23751</t>
  </si>
  <si>
    <t>17-Ago-17-----18-Ago-17</t>
  </si>
  <si>
    <t>D-23752</t>
  </si>
  <si>
    <t>D-23753</t>
  </si>
  <si>
    <t>D-23754</t>
  </si>
  <si>
    <t>16-Ago-17----17-Ago-17</t>
  </si>
  <si>
    <t>D-23755</t>
  </si>
  <si>
    <t>D-23756</t>
  </si>
  <si>
    <t>D-23757</t>
  </si>
  <si>
    <t>D-23758</t>
  </si>
  <si>
    <t>D-23759</t>
  </si>
  <si>
    <t>D-23760</t>
  </si>
  <si>
    <t>D-23761</t>
  </si>
  <si>
    <t>D-23762</t>
  </si>
  <si>
    <t>D-23763</t>
  </si>
  <si>
    <t>D-23764</t>
  </si>
  <si>
    <t>D-23765</t>
  </si>
  <si>
    <t>D-23766</t>
  </si>
  <si>
    <t>D-23767</t>
  </si>
  <si>
    <t>D-23768</t>
  </si>
  <si>
    <t>D-23769</t>
  </si>
  <si>
    <t>D-23770</t>
  </si>
  <si>
    <t>D-23771</t>
  </si>
  <si>
    <t>D-23772</t>
  </si>
  <si>
    <t>D-23773</t>
  </si>
  <si>
    <t>D-23774</t>
  </si>
  <si>
    <t>D-23775</t>
  </si>
  <si>
    <t>D-23776</t>
  </si>
  <si>
    <t>D-23777</t>
  </si>
  <si>
    <t>D-23778</t>
  </si>
  <si>
    <t>D-23779</t>
  </si>
  <si>
    <t>D-23780</t>
  </si>
  <si>
    <t>D-23781</t>
  </si>
  <si>
    <t>D-23782</t>
  </si>
  <si>
    <t>D-23783</t>
  </si>
  <si>
    <t>D-23784</t>
  </si>
  <si>
    <t>D-23785</t>
  </si>
  <si>
    <t>D-23786</t>
  </si>
  <si>
    <t>D-23787</t>
  </si>
  <si>
    <t>D-23788</t>
  </si>
  <si>
    <t>D-23789</t>
  </si>
  <si>
    <t>D-23790</t>
  </si>
  <si>
    <t>D-23791</t>
  </si>
  <si>
    <t>D-23792</t>
  </si>
  <si>
    <t>D-23793</t>
  </si>
  <si>
    <t>D-23794</t>
  </si>
  <si>
    <t>D-23795</t>
  </si>
  <si>
    <t>D-23796</t>
  </si>
  <si>
    <t>D-23797</t>
  </si>
  <si>
    <t>D-23798</t>
  </si>
  <si>
    <t>D-23799</t>
  </si>
  <si>
    <t>D-23800</t>
  </si>
  <si>
    <t>D-23801</t>
  </si>
  <si>
    <t>D-23802</t>
  </si>
  <si>
    <t>D-23803</t>
  </si>
  <si>
    <t>D-23804</t>
  </si>
  <si>
    <t>D-23805</t>
  </si>
  <si>
    <t>D-23806</t>
  </si>
  <si>
    <t>D-23807</t>
  </si>
  <si>
    <t>D-23808</t>
  </si>
  <si>
    <t>D-23809</t>
  </si>
  <si>
    <t>D-23810</t>
  </si>
  <si>
    <t>D-23811</t>
  </si>
  <si>
    <t>D-23812</t>
  </si>
  <si>
    <t>D-23813</t>
  </si>
  <si>
    <t>D-23814</t>
  </si>
  <si>
    <t>D-23815</t>
  </si>
  <si>
    <t>D-23816</t>
  </si>
  <si>
    <t>D-23817</t>
  </si>
  <si>
    <t>D-23818</t>
  </si>
  <si>
    <t>D-23819</t>
  </si>
  <si>
    <t>18-Ago-17-------19-Ago-17</t>
  </si>
  <si>
    <t>D-23820</t>
  </si>
  <si>
    <t>D-23821</t>
  </si>
  <si>
    <t>D-23822</t>
  </si>
  <si>
    <t>D-23823</t>
  </si>
  <si>
    <t>D-23824</t>
  </si>
  <si>
    <t>D-23825</t>
  </si>
  <si>
    <t>D-23826</t>
  </si>
  <si>
    <t>D-23827</t>
  </si>
  <si>
    <t>D-23828</t>
  </si>
  <si>
    <t>D-23829</t>
  </si>
  <si>
    <t>D-23830</t>
  </si>
  <si>
    <t>D-23831</t>
  </si>
  <si>
    <t>D-23832</t>
  </si>
  <si>
    <t>D-23833</t>
  </si>
  <si>
    <t>16-Ago-17---18-Ago-17</t>
  </si>
  <si>
    <t>D-23834</t>
  </si>
  <si>
    <t>D-23835</t>
  </si>
  <si>
    <t>D-23836</t>
  </si>
  <si>
    <t>D-23837</t>
  </si>
  <si>
    <t>D-23838</t>
  </si>
  <si>
    <t>D-23839</t>
  </si>
  <si>
    <t>D-23840</t>
  </si>
  <si>
    <t>D-23841</t>
  </si>
  <si>
    <t>D-23842</t>
  </si>
  <si>
    <t>D-23843</t>
  </si>
  <si>
    <t>D-23844</t>
  </si>
  <si>
    <t>D-23845</t>
  </si>
  <si>
    <t>D-23846</t>
  </si>
  <si>
    <t>D-23847</t>
  </si>
  <si>
    <t>D-23848</t>
  </si>
  <si>
    <t>D-23849</t>
  </si>
  <si>
    <t>17-Ago-17----18-Ago-17</t>
  </si>
  <si>
    <t>D-23850</t>
  </si>
  <si>
    <t>18-Ago-17------19-Ago-17</t>
  </si>
  <si>
    <t>D-23851</t>
  </si>
  <si>
    <t>D-23852</t>
  </si>
  <si>
    <t>D-23853</t>
  </si>
  <si>
    <t>D-23854</t>
  </si>
  <si>
    <t>D-23855</t>
  </si>
  <si>
    <t>D-23856</t>
  </si>
  <si>
    <t>D-23857</t>
  </si>
  <si>
    <t>D-23858</t>
  </si>
  <si>
    <t>D-23859</t>
  </si>
  <si>
    <t>D-23860</t>
  </si>
  <si>
    <t>D-23861</t>
  </si>
  <si>
    <t>16/08/2017</t>
  </si>
  <si>
    <t>D-23862</t>
  </si>
  <si>
    <t>D-23863</t>
  </si>
  <si>
    <t>D-23864</t>
  </si>
  <si>
    <t>D-23865</t>
  </si>
  <si>
    <t>D-23866</t>
  </si>
  <si>
    <t>D-23867</t>
  </si>
  <si>
    <t>D-23868</t>
  </si>
  <si>
    <t>D-23869</t>
  </si>
  <si>
    <t>D-23870</t>
  </si>
  <si>
    <t>D-23871</t>
  </si>
  <si>
    <t>D-23872</t>
  </si>
  <si>
    <t>D-23873</t>
  </si>
  <si>
    <t>D-23874</t>
  </si>
  <si>
    <t>D-23875</t>
  </si>
  <si>
    <t>D-23876</t>
  </si>
  <si>
    <t>D-23877</t>
  </si>
  <si>
    <t>D-23878</t>
  </si>
  <si>
    <t>D-23879</t>
  </si>
  <si>
    <t>16-Ago-17---17-Ago-17--18-Ago-17---19-Ago-17</t>
  </si>
  <si>
    <t>D-23880</t>
  </si>
  <si>
    <t>D-23881</t>
  </si>
  <si>
    <t>D-23882</t>
  </si>
  <si>
    <t>D-23883</t>
  </si>
  <si>
    <t>D-23884</t>
  </si>
  <si>
    <t>D-23885</t>
  </si>
  <si>
    <t>D-23886</t>
  </si>
  <si>
    <t>D-23887</t>
  </si>
  <si>
    <t>D-23888</t>
  </si>
  <si>
    <t>D-23889</t>
  </si>
  <si>
    <t>D-23890</t>
  </si>
  <si>
    <t>D-23891</t>
  </si>
  <si>
    <t>19-Ago-17----22-Ago-17</t>
  </si>
  <si>
    <t>D-23892</t>
  </si>
  <si>
    <t>D-23893</t>
  </si>
  <si>
    <t>D-23894</t>
  </si>
  <si>
    <t>D-23895</t>
  </si>
  <si>
    <t>D-23896</t>
  </si>
  <si>
    <t>D-23897</t>
  </si>
  <si>
    <t>D-23898</t>
  </si>
  <si>
    <t>D-23899</t>
  </si>
  <si>
    <t>D-23900</t>
  </si>
  <si>
    <t>D-23901</t>
  </si>
  <si>
    <t>D-23902</t>
  </si>
  <si>
    <t>D-23903</t>
  </si>
  <si>
    <t>D-23904</t>
  </si>
  <si>
    <t>D-23905</t>
  </si>
  <si>
    <t>D-23906</t>
  </si>
  <si>
    <t>D-23907</t>
  </si>
  <si>
    <t>D-23908</t>
  </si>
  <si>
    <t>D-23909</t>
  </si>
  <si>
    <t>D-23910</t>
  </si>
  <si>
    <t>D-23911</t>
  </si>
  <si>
    <t>D-23912</t>
  </si>
  <si>
    <t>D-23913</t>
  </si>
  <si>
    <t>D-23914</t>
  </si>
  <si>
    <t>D-23915</t>
  </si>
  <si>
    <t>D-23916</t>
  </si>
  <si>
    <t>D-23917</t>
  </si>
  <si>
    <t>D-23918</t>
  </si>
  <si>
    <t>D-23919</t>
  </si>
  <si>
    <t>D-23920</t>
  </si>
  <si>
    <t>D-23921</t>
  </si>
  <si>
    <t>D-23922</t>
  </si>
  <si>
    <t>D-23923</t>
  </si>
  <si>
    <t>D-23924</t>
  </si>
  <si>
    <t>D-23925</t>
  </si>
  <si>
    <t>D-23926</t>
  </si>
  <si>
    <t>D-23927</t>
  </si>
  <si>
    <t>D-23928</t>
  </si>
  <si>
    <t>D-23929</t>
  </si>
  <si>
    <t>D-23930</t>
  </si>
  <si>
    <t>D-23931</t>
  </si>
  <si>
    <t>D-23932</t>
  </si>
  <si>
    <t>D-23933</t>
  </si>
  <si>
    <t>D-23934</t>
  </si>
  <si>
    <t>D-23935</t>
  </si>
  <si>
    <t>D-23936</t>
  </si>
  <si>
    <t>D-23937</t>
  </si>
  <si>
    <t>D-23938</t>
  </si>
  <si>
    <t>D-23939</t>
  </si>
  <si>
    <t>D-23940</t>
  </si>
  <si>
    <t>D-23941</t>
  </si>
  <si>
    <t>D-23942</t>
  </si>
  <si>
    <t>D-23943</t>
  </si>
  <si>
    <t>D-23944</t>
  </si>
  <si>
    <t>D-23945</t>
  </si>
  <si>
    <t>D-23946</t>
  </si>
  <si>
    <t>D-23947</t>
  </si>
  <si>
    <t>D-23948</t>
  </si>
  <si>
    <t>D-23949</t>
  </si>
  <si>
    <t>D-23950</t>
  </si>
  <si>
    <t>D-23951</t>
  </si>
  <si>
    <t>D-23952</t>
  </si>
  <si>
    <t>D-23953</t>
  </si>
  <si>
    <t>D-23954</t>
  </si>
  <si>
    <t>D-23955</t>
  </si>
  <si>
    <t>D-23956</t>
  </si>
  <si>
    <t>D-23957</t>
  </si>
  <si>
    <t>D-23958</t>
  </si>
  <si>
    <t>D-23959</t>
  </si>
  <si>
    <t>D-23960</t>
  </si>
  <si>
    <t>D-23961</t>
  </si>
  <si>
    <t>D-23962</t>
  </si>
  <si>
    <t>D-23963</t>
  </si>
  <si>
    <t>D-23964</t>
  </si>
  <si>
    <t>D-23965</t>
  </si>
  <si>
    <t>D-23966</t>
  </si>
  <si>
    <t>D-23967</t>
  </si>
  <si>
    <t>D-23968</t>
  </si>
  <si>
    <t>D-23969</t>
  </si>
  <si>
    <t>D-23970</t>
  </si>
  <si>
    <t>D-23971</t>
  </si>
  <si>
    <t>D-23972</t>
  </si>
  <si>
    <t>D-23973</t>
  </si>
  <si>
    <t>D-23974</t>
  </si>
  <si>
    <t>D-23975</t>
  </si>
  <si>
    <t>D-23976</t>
  </si>
  <si>
    <t>D-23977</t>
  </si>
  <si>
    <t>D-23978</t>
  </si>
  <si>
    <t>D-23979</t>
  </si>
  <si>
    <t>D-23980</t>
  </si>
  <si>
    <t>D-23981</t>
  </si>
  <si>
    <t>D-23982</t>
  </si>
  <si>
    <t>D-23983</t>
  </si>
  <si>
    <t>D-23984</t>
  </si>
  <si>
    <t>D-23985</t>
  </si>
  <si>
    <t>D-23986</t>
  </si>
  <si>
    <t>D-23987</t>
  </si>
  <si>
    <t>17-Ago-17------18-Ago-17</t>
  </si>
  <si>
    <t>D-23988</t>
  </si>
  <si>
    <t>D-23989</t>
  </si>
  <si>
    <t>D-23990</t>
  </si>
  <si>
    <t>D-23991</t>
  </si>
  <si>
    <t>D-23992</t>
  </si>
  <si>
    <t>D-23993</t>
  </si>
  <si>
    <t>D-23994</t>
  </si>
  <si>
    <t>D-23995</t>
  </si>
  <si>
    <t>D-23996</t>
  </si>
  <si>
    <t>D-23997</t>
  </si>
  <si>
    <t>D-23998</t>
  </si>
  <si>
    <t>D-23999</t>
  </si>
  <si>
    <t>23-Ago-17-----26-Ago-17</t>
  </si>
  <si>
    <t>D-24000</t>
  </si>
  <si>
    <t>D-24001</t>
  </si>
  <si>
    <t>D-24002</t>
  </si>
  <si>
    <t>D-24003</t>
  </si>
  <si>
    <t>D-24004</t>
  </si>
  <si>
    <t>D-24005</t>
  </si>
  <si>
    <t>19-Ago-17----21-Ago-17</t>
  </si>
  <si>
    <t>D-24006</t>
  </si>
  <si>
    <t>D-24007</t>
  </si>
  <si>
    <t>D-24008</t>
  </si>
  <si>
    <t>D-24009</t>
  </si>
  <si>
    <t>D-24010</t>
  </si>
  <si>
    <t>19-Ago-17----.21-Ago-17</t>
  </si>
  <si>
    <t>D-24011</t>
  </si>
  <si>
    <t>D-24012</t>
  </si>
  <si>
    <t>D-24013</t>
  </si>
  <si>
    <t>D-24014</t>
  </si>
  <si>
    <t>D-24015</t>
  </si>
  <si>
    <t>D-24016</t>
  </si>
  <si>
    <t>D-24017</t>
  </si>
  <si>
    <t>D-24018</t>
  </si>
  <si>
    <t>D-24019</t>
  </si>
  <si>
    <t>D-24020</t>
  </si>
  <si>
    <t>D-24021</t>
  </si>
  <si>
    <t>D-24022</t>
  </si>
  <si>
    <t>D-24023</t>
  </si>
  <si>
    <t>D-24024</t>
  </si>
  <si>
    <t>D-24025</t>
  </si>
  <si>
    <t>D-24026</t>
  </si>
  <si>
    <t>D-24027</t>
  </si>
  <si>
    <t>D-24028</t>
  </si>
  <si>
    <t>D-24029</t>
  </si>
  <si>
    <t>D-24030</t>
  </si>
  <si>
    <t>D-24031</t>
  </si>
  <si>
    <t>D-24032</t>
  </si>
  <si>
    <t>D-24033</t>
  </si>
  <si>
    <t>D-24034</t>
  </si>
  <si>
    <t>D-24035</t>
  </si>
  <si>
    <t>D-24036</t>
  </si>
  <si>
    <t>D-24037</t>
  </si>
  <si>
    <t>D-24038</t>
  </si>
  <si>
    <t>D-24039</t>
  </si>
  <si>
    <t>D-24040</t>
  </si>
  <si>
    <t>D-24041</t>
  </si>
  <si>
    <t>D-24042</t>
  </si>
  <si>
    <t>D-24043</t>
  </si>
  <si>
    <t>D-24044</t>
  </si>
  <si>
    <t>D-24045</t>
  </si>
  <si>
    <t>D-24046</t>
  </si>
  <si>
    <t>D-24047</t>
  </si>
  <si>
    <t>D-24048</t>
  </si>
  <si>
    <t>D-24049</t>
  </si>
  <si>
    <t>D-24050</t>
  </si>
  <si>
    <t>D-24051</t>
  </si>
  <si>
    <t>D-24052</t>
  </si>
  <si>
    <t>D-24053</t>
  </si>
  <si>
    <t>D-24054</t>
  </si>
  <si>
    <t>D-24055</t>
  </si>
  <si>
    <t>D-24056</t>
  </si>
  <si>
    <t>D-24057</t>
  </si>
  <si>
    <t>D-24058</t>
  </si>
  <si>
    <t>D-24059</t>
  </si>
  <si>
    <t>D-24060</t>
  </si>
  <si>
    <t>D-24061</t>
  </si>
  <si>
    <t>D-24062</t>
  </si>
  <si>
    <t>D-24063</t>
  </si>
  <si>
    <t>D-24064</t>
  </si>
  <si>
    <t>D-24065</t>
  </si>
  <si>
    <t>D-24066</t>
  </si>
  <si>
    <t>D-24067</t>
  </si>
  <si>
    <t>D-24068</t>
  </si>
  <si>
    <t>D-24069</t>
  </si>
  <si>
    <t>D-24070</t>
  </si>
  <si>
    <t>D-24071</t>
  </si>
  <si>
    <t>D-24072</t>
  </si>
  <si>
    <t>D-24073</t>
  </si>
  <si>
    <t>D-24074</t>
  </si>
  <si>
    <t>D-24075</t>
  </si>
  <si>
    <t>D-24076</t>
  </si>
  <si>
    <t>D-24077</t>
  </si>
  <si>
    <t>D-24078</t>
  </si>
  <si>
    <t>D-24079</t>
  </si>
  <si>
    <t>D-24080</t>
  </si>
  <si>
    <t>D-24081</t>
  </si>
  <si>
    <t>D-24082</t>
  </si>
  <si>
    <t>D-24083</t>
  </si>
  <si>
    <t>D-24084</t>
  </si>
  <si>
    <t>D-24085</t>
  </si>
  <si>
    <t>D-24086</t>
  </si>
  <si>
    <t>D-24087</t>
  </si>
  <si>
    <t>D-24088</t>
  </si>
  <si>
    <t>D-24089</t>
  </si>
  <si>
    <t>D-24090</t>
  </si>
  <si>
    <t>D-24091</t>
  </si>
  <si>
    <t>D-24092</t>
  </si>
  <si>
    <t>D-24093</t>
  </si>
  <si>
    <t>D-24094</t>
  </si>
  <si>
    <t>D-24095</t>
  </si>
  <si>
    <t>D-24096</t>
  </si>
  <si>
    <t>D-24097</t>
  </si>
  <si>
    <t>19-Ago-17-----21-Ago-17</t>
  </si>
  <si>
    <t>D-24098</t>
  </si>
  <si>
    <t>D-24099</t>
  </si>
  <si>
    <t>D-24100</t>
  </si>
  <si>
    <t>D-24101</t>
  </si>
  <si>
    <t>D-24102</t>
  </si>
  <si>
    <t>D-24103</t>
  </si>
  <si>
    <t>D-24104</t>
  </si>
  <si>
    <t>D-24105</t>
  </si>
  <si>
    <t>D-24106</t>
  </si>
  <si>
    <t>D-24107</t>
  </si>
  <si>
    <t>D-24108</t>
  </si>
  <si>
    <t>D-24109</t>
  </si>
  <si>
    <t>D-24110</t>
  </si>
  <si>
    <t>D-24111</t>
  </si>
  <si>
    <t>D-24112</t>
  </si>
  <si>
    <t>D-24113</t>
  </si>
  <si>
    <t>218-17</t>
  </si>
  <si>
    <t>D-24114</t>
  </si>
  <si>
    <t>D-24115</t>
  </si>
  <si>
    <t>D-24116</t>
  </si>
  <si>
    <t>D-24117</t>
  </si>
  <si>
    <t>D-24118</t>
  </si>
  <si>
    <t>D-24119</t>
  </si>
  <si>
    <t>D-24120</t>
  </si>
  <si>
    <t>D-24121</t>
  </si>
  <si>
    <t>D-24122</t>
  </si>
  <si>
    <t>D-24123</t>
  </si>
  <si>
    <t>D-24124</t>
  </si>
  <si>
    <t>D-24125</t>
  </si>
  <si>
    <t>D-24126</t>
  </si>
  <si>
    <t>D-24127</t>
  </si>
  <si>
    <t>D-24128</t>
  </si>
  <si>
    <t>D-24129</t>
  </si>
  <si>
    <t>D-24130</t>
  </si>
  <si>
    <t>D-24131</t>
  </si>
  <si>
    <t>D-24132</t>
  </si>
  <si>
    <t>D-24133</t>
  </si>
  <si>
    <t>D-24134</t>
  </si>
  <si>
    <t>D-24135</t>
  </si>
  <si>
    <t>D-24136</t>
  </si>
  <si>
    <t>D-24137</t>
  </si>
  <si>
    <t>D-24138</t>
  </si>
  <si>
    <t>D-24139</t>
  </si>
  <si>
    <t>D-24140</t>
  </si>
  <si>
    <t>D-24141</t>
  </si>
  <si>
    <t>D-24142</t>
  </si>
  <si>
    <t>D-24143</t>
  </si>
  <si>
    <t>D-24144</t>
  </si>
  <si>
    <t>D-24145</t>
  </si>
  <si>
    <t>D-24146</t>
  </si>
  <si>
    <t>D-24147</t>
  </si>
  <si>
    <t>D-24148</t>
  </si>
  <si>
    <t>D-24149</t>
  </si>
  <si>
    <t>D-24150</t>
  </si>
  <si>
    <t>D-24151</t>
  </si>
  <si>
    <t>D-24152</t>
  </si>
  <si>
    <t>D-24153</t>
  </si>
  <si>
    <t>D-24154</t>
  </si>
  <si>
    <t>D-24155</t>
  </si>
  <si>
    <t>21-Ago-17-----22-Ago-17</t>
  </si>
  <si>
    <t>D-24156</t>
  </si>
  <si>
    <t>D-24157</t>
  </si>
  <si>
    <t>D-24158</t>
  </si>
  <si>
    <t>D-24159</t>
  </si>
  <si>
    <t>D-24160</t>
  </si>
  <si>
    <t>D-24161</t>
  </si>
  <si>
    <t>D-24162</t>
  </si>
  <si>
    <t>D-24163</t>
  </si>
  <si>
    <t>D-24164</t>
  </si>
  <si>
    <t>D-24165</t>
  </si>
  <si>
    <t>D-24166</t>
  </si>
  <si>
    <t>D-24167</t>
  </si>
  <si>
    <t>D-24168</t>
  </si>
  <si>
    <t>D-24169</t>
  </si>
  <si>
    <t>D-24170</t>
  </si>
  <si>
    <t>D-24171</t>
  </si>
  <si>
    <t>D-24172</t>
  </si>
  <si>
    <t>D-24173</t>
  </si>
  <si>
    <t>D-24174</t>
  </si>
  <si>
    <t>D-24175</t>
  </si>
  <si>
    <t>D-24176</t>
  </si>
  <si>
    <t>D-24177</t>
  </si>
  <si>
    <t>D-24178</t>
  </si>
  <si>
    <t>19-Ago-17-----26-Ago-17</t>
  </si>
  <si>
    <t>D-24179</t>
  </si>
  <si>
    <t>D-24180</t>
  </si>
  <si>
    <t>D-24181</t>
  </si>
  <si>
    <t>D-24182</t>
  </si>
  <si>
    <t>D-24183</t>
  </si>
  <si>
    <t>D-24184</t>
  </si>
  <si>
    <t>D-24185</t>
  </si>
  <si>
    <t>D-24186</t>
  </si>
  <si>
    <t>D-24187</t>
  </si>
  <si>
    <t>D-24188</t>
  </si>
  <si>
    <t>D-24189</t>
  </si>
  <si>
    <t>D-24190</t>
  </si>
  <si>
    <t>D-24191</t>
  </si>
  <si>
    <t>D-24192</t>
  </si>
  <si>
    <t>D-24193</t>
  </si>
  <si>
    <t>D-24194</t>
  </si>
  <si>
    <t>D-24195</t>
  </si>
  <si>
    <t>D-24196</t>
  </si>
  <si>
    <t>D-24197</t>
  </si>
  <si>
    <t>D-24198</t>
  </si>
  <si>
    <t>D-24199</t>
  </si>
  <si>
    <t>D-24200</t>
  </si>
  <si>
    <t>D-24201</t>
  </si>
  <si>
    <t>D-24202</t>
  </si>
  <si>
    <t>D-24203</t>
  </si>
  <si>
    <t>D-24204</t>
  </si>
  <si>
    <t>D-24205</t>
  </si>
  <si>
    <t>D-24206</t>
  </si>
  <si>
    <t>D-24207</t>
  </si>
  <si>
    <t>D-24208</t>
  </si>
  <si>
    <t>D-24209</t>
  </si>
  <si>
    <t>D-24210</t>
  </si>
  <si>
    <t>21-Ago-17------22-Ago-17</t>
  </si>
  <si>
    <t>D-24211</t>
  </si>
  <si>
    <t>D-24212</t>
  </si>
  <si>
    <t>D-24213</t>
  </si>
  <si>
    <t>D-24214</t>
  </si>
  <si>
    <t>D-24215</t>
  </si>
  <si>
    <t>D-24216</t>
  </si>
  <si>
    <t>D-24217</t>
  </si>
  <si>
    <t>D-24218</t>
  </si>
  <si>
    <t>D-24219</t>
  </si>
  <si>
    <t>D-24220</t>
  </si>
  <si>
    <t>D-24221</t>
  </si>
  <si>
    <t>D-24222</t>
  </si>
  <si>
    <t>D-24223</t>
  </si>
  <si>
    <t>D-24224</t>
  </si>
  <si>
    <t>D-24225</t>
  </si>
  <si>
    <t>D-24226</t>
  </si>
  <si>
    <t>D-24227</t>
  </si>
  <si>
    <t>D-24228</t>
  </si>
  <si>
    <t>D-24229</t>
  </si>
  <si>
    <t>D-24230</t>
  </si>
  <si>
    <t>D-24231</t>
  </si>
  <si>
    <t>D-24232</t>
  </si>
  <si>
    <t>D-24233</t>
  </si>
  <si>
    <t>D-24234</t>
  </si>
  <si>
    <t>D-24235</t>
  </si>
  <si>
    <t>D-24236</t>
  </si>
  <si>
    <t>D-24237</t>
  </si>
  <si>
    <t>D-24238</t>
  </si>
  <si>
    <t>D-24239</t>
  </si>
  <si>
    <t>D-24240</t>
  </si>
  <si>
    <t>D-24241</t>
  </si>
  <si>
    <t>D-24242</t>
  </si>
  <si>
    <t>D-24243</t>
  </si>
  <si>
    <t>D-24244</t>
  </si>
  <si>
    <t>D-24245</t>
  </si>
  <si>
    <t>D-24246</t>
  </si>
  <si>
    <t>D-24247</t>
  </si>
  <si>
    <t>D-24248</t>
  </si>
  <si>
    <t>D-24249</t>
  </si>
  <si>
    <t>D-24250</t>
  </si>
  <si>
    <t>D-24251</t>
  </si>
  <si>
    <t>D-24252</t>
  </si>
  <si>
    <t>D-24253</t>
  </si>
  <si>
    <t>D-24254</t>
  </si>
  <si>
    <t>D-24255</t>
  </si>
  <si>
    <t>D-24256</t>
  </si>
  <si>
    <t>D-24257</t>
  </si>
  <si>
    <t>D-24258</t>
  </si>
  <si>
    <t>D-24259</t>
  </si>
  <si>
    <t>D-24260</t>
  </si>
  <si>
    <t>D-24261</t>
  </si>
  <si>
    <t>D-24262</t>
  </si>
  <si>
    <t>D-24263</t>
  </si>
  <si>
    <t>22-Ago-17----23-Ago-17</t>
  </si>
  <si>
    <t>D-24264</t>
  </si>
  <si>
    <t>D-24265</t>
  </si>
  <si>
    <t>D-24266</t>
  </si>
  <si>
    <t>D-24267</t>
  </si>
  <si>
    <t>D-24268</t>
  </si>
  <si>
    <t>D-24269</t>
  </si>
  <si>
    <t>D-24270</t>
  </si>
  <si>
    <t>D-24271</t>
  </si>
  <si>
    <t>D-24272</t>
  </si>
  <si>
    <t>D-24273</t>
  </si>
  <si>
    <t>23-Ago-17--31-Ago-17</t>
  </si>
  <si>
    <t>D-24274</t>
  </si>
  <si>
    <t>D-24275</t>
  </si>
  <si>
    <t>D-24276</t>
  </si>
  <si>
    <t>D-24277</t>
  </si>
  <si>
    <t>D-24278</t>
  </si>
  <si>
    <t>D-24279</t>
  </si>
  <si>
    <t>D-24280</t>
  </si>
  <si>
    <t>D-24281</t>
  </si>
  <si>
    <t>D-24282</t>
  </si>
  <si>
    <t>D-24283</t>
  </si>
  <si>
    <t>D-24284</t>
  </si>
  <si>
    <t>D-24285</t>
  </si>
  <si>
    <t>D-24286</t>
  </si>
  <si>
    <t>D-24287</t>
  </si>
  <si>
    <t>D-24288</t>
  </si>
  <si>
    <t>D-24289</t>
  </si>
  <si>
    <t>D-24290</t>
  </si>
  <si>
    <t>D-24291</t>
  </si>
  <si>
    <t>D-24292</t>
  </si>
  <si>
    <t>D-24293</t>
  </si>
  <si>
    <t>D-24294</t>
  </si>
  <si>
    <t>22-Ago-17---24-Ago-17---25-Ago-17</t>
  </si>
  <si>
    <t>D-24295</t>
  </si>
  <si>
    <t>D-24296</t>
  </si>
  <si>
    <t>22-Ago-17---25-Ago-17</t>
  </si>
  <si>
    <t>D-24297</t>
  </si>
  <si>
    <t>D-24298</t>
  </si>
  <si>
    <t>D-24299</t>
  </si>
  <si>
    <t>22-Ago-17--29-Ago-17</t>
  </si>
  <si>
    <t>D-24300</t>
  </si>
  <si>
    <t>D-24301</t>
  </si>
  <si>
    <t>D-24302</t>
  </si>
  <si>
    <t xml:space="preserve">22-Ago-17---24-Ago-17  </t>
  </si>
  <si>
    <t>D-24303</t>
  </si>
  <si>
    <t>D-24304</t>
  </si>
  <si>
    <t>D-24305</t>
  </si>
  <si>
    <t>D-24306</t>
  </si>
  <si>
    <t>D-24307</t>
  </si>
  <si>
    <t>D-24308</t>
  </si>
  <si>
    <t>D-24309</t>
  </si>
  <si>
    <t>D-24310</t>
  </si>
  <si>
    <t>D-24311</t>
  </si>
  <si>
    <t>D-24312</t>
  </si>
  <si>
    <t>D-24313</t>
  </si>
  <si>
    <t>D-24314</t>
  </si>
  <si>
    <t>D-24315</t>
  </si>
  <si>
    <t>D-24316</t>
  </si>
  <si>
    <t>D-24317</t>
  </si>
  <si>
    <t>D-24318</t>
  </si>
  <si>
    <t>D-24319</t>
  </si>
  <si>
    <t>D-24320</t>
  </si>
  <si>
    <t>D-24321</t>
  </si>
  <si>
    <t>D-24322</t>
  </si>
  <si>
    <t>D-24323</t>
  </si>
  <si>
    <t>D-24324</t>
  </si>
  <si>
    <t>D-24325</t>
  </si>
  <si>
    <t>D-24326</t>
  </si>
  <si>
    <t>D-24327</t>
  </si>
  <si>
    <t>D-24328</t>
  </si>
  <si>
    <t>D-24329</t>
  </si>
  <si>
    <t>D-24330</t>
  </si>
  <si>
    <t>D-24331</t>
  </si>
  <si>
    <t>D-24332</t>
  </si>
  <si>
    <t>D-24333</t>
  </si>
  <si>
    <t>D-24334</t>
  </si>
  <si>
    <t>D-24335</t>
  </si>
  <si>
    <t>D-24336</t>
  </si>
  <si>
    <t>D-24337</t>
  </si>
  <si>
    <t>D-24338</t>
  </si>
  <si>
    <t>D-24339</t>
  </si>
  <si>
    <t>D-24340</t>
  </si>
  <si>
    <t>D-24341</t>
  </si>
  <si>
    <t>D-24342</t>
  </si>
  <si>
    <t>29-Ago-17----31-Ago-17</t>
  </si>
  <si>
    <t>D-24343</t>
  </si>
  <si>
    <t>D-24344</t>
  </si>
  <si>
    <t>D-24345</t>
  </si>
  <si>
    <t>D-24346</t>
  </si>
  <si>
    <t>D-24347</t>
  </si>
  <si>
    <t>D-24348</t>
  </si>
  <si>
    <t>D-24349</t>
  </si>
  <si>
    <t>D-24350</t>
  </si>
  <si>
    <t>D-24351</t>
  </si>
  <si>
    <t>D-24352</t>
  </si>
  <si>
    <t>D-24353</t>
  </si>
  <si>
    <t>D-24354</t>
  </si>
  <si>
    <t>D-24355</t>
  </si>
  <si>
    <t>D-24356</t>
  </si>
  <si>
    <t>D-24357</t>
  </si>
  <si>
    <t>D-24358</t>
  </si>
  <si>
    <t>D-24359</t>
  </si>
  <si>
    <t>D-24360</t>
  </si>
  <si>
    <t>D-24361</t>
  </si>
  <si>
    <t>D-24362</t>
  </si>
  <si>
    <t>D-24363</t>
  </si>
  <si>
    <t>D-24364</t>
  </si>
  <si>
    <t>D-24365</t>
  </si>
  <si>
    <t>D-24366</t>
  </si>
  <si>
    <t>D-24367</t>
  </si>
  <si>
    <t>D-24368</t>
  </si>
  <si>
    <t>D-24369</t>
  </si>
  <si>
    <t>D-24370</t>
  </si>
  <si>
    <t>D-24371</t>
  </si>
  <si>
    <t>D-24372</t>
  </si>
  <si>
    <t>D-24373</t>
  </si>
  <si>
    <t>D-24374</t>
  </si>
  <si>
    <t>D-24375</t>
  </si>
  <si>
    <t>D-24376</t>
  </si>
  <si>
    <t>D-24377</t>
  </si>
  <si>
    <t>D-24378</t>
  </si>
  <si>
    <t>D-24379</t>
  </si>
  <si>
    <t>D-24380</t>
  </si>
  <si>
    <t>D-24381</t>
  </si>
  <si>
    <t>D-24382</t>
  </si>
  <si>
    <t>D-24383</t>
  </si>
  <si>
    <t>D-24384</t>
  </si>
  <si>
    <t>D-24385</t>
  </si>
  <si>
    <t>D-24386</t>
  </si>
  <si>
    <t>D-24387</t>
  </si>
  <si>
    <t>D-24388</t>
  </si>
  <si>
    <t>D-24389</t>
  </si>
  <si>
    <t>D-24390</t>
  </si>
  <si>
    <t>D-24391</t>
  </si>
  <si>
    <t>D-24392</t>
  </si>
  <si>
    <t>D-24393</t>
  </si>
  <si>
    <t>D-24394</t>
  </si>
  <si>
    <t>D-24395</t>
  </si>
  <si>
    <t>D-24396</t>
  </si>
  <si>
    <t>D-24397</t>
  </si>
  <si>
    <t>D-24398</t>
  </si>
  <si>
    <t>D-24399</t>
  </si>
  <si>
    <t>D-24400</t>
  </si>
  <si>
    <t>D-24401</t>
  </si>
  <si>
    <t>D-24402</t>
  </si>
  <si>
    <t>D-24403</t>
  </si>
  <si>
    <t>D-24404</t>
  </si>
  <si>
    <t>D-24405</t>
  </si>
  <si>
    <t>D-24406</t>
  </si>
  <si>
    <t>D-24407</t>
  </si>
  <si>
    <t>D-24408</t>
  </si>
  <si>
    <t>D-24409</t>
  </si>
  <si>
    <t>D-24410</t>
  </si>
  <si>
    <t>D-24411</t>
  </si>
  <si>
    <t>D-24412</t>
  </si>
  <si>
    <t>D-24413</t>
  </si>
  <si>
    <t>D-24414</t>
  </si>
  <si>
    <t>D-24415</t>
  </si>
  <si>
    <t>D-24416</t>
  </si>
  <si>
    <t>D-24417</t>
  </si>
  <si>
    <t>D-24418</t>
  </si>
  <si>
    <t>D-24419</t>
  </si>
  <si>
    <t>D-24420</t>
  </si>
  <si>
    <t>20-Ago-17---21-Ago-17---22-Ago-17--23-Ago-17--24-Ago-17---25-Ago-17</t>
  </si>
  <si>
    <t>D-24421</t>
  </si>
  <si>
    <t>D-24422</t>
  </si>
  <si>
    <t>D-24423</t>
  </si>
  <si>
    <t>D-24424</t>
  </si>
  <si>
    <t>D-24425</t>
  </si>
  <si>
    <t>D-24426</t>
  </si>
  <si>
    <t>D-24427</t>
  </si>
  <si>
    <t>D-24428</t>
  </si>
  <si>
    <t>D-24429</t>
  </si>
  <si>
    <t>D-24430</t>
  </si>
  <si>
    <t>D-24431</t>
  </si>
  <si>
    <t>D-24432</t>
  </si>
  <si>
    <t>D-24433</t>
  </si>
  <si>
    <t>D-24434</t>
  </si>
  <si>
    <t>D-24435</t>
  </si>
  <si>
    <t>D-24436</t>
  </si>
  <si>
    <t>D-24437</t>
  </si>
  <si>
    <t>21-Ago-17-----24-Ago-17</t>
  </si>
  <si>
    <t>D-24438</t>
  </si>
  <si>
    <t>D-24439</t>
  </si>
  <si>
    <t>D-24440</t>
  </si>
  <si>
    <t>D-24441</t>
  </si>
  <si>
    <t>D-24442</t>
  </si>
  <si>
    <t>D-24443</t>
  </si>
  <si>
    <t>D-24444</t>
  </si>
  <si>
    <t>D-24445</t>
  </si>
  <si>
    <t>D-24446</t>
  </si>
  <si>
    <t>D-24447</t>
  </si>
  <si>
    <t>D-24448</t>
  </si>
  <si>
    <t>D-24449</t>
  </si>
  <si>
    <t>D-24450</t>
  </si>
  <si>
    <t>D-24451</t>
  </si>
  <si>
    <t>D-24452</t>
  </si>
  <si>
    <t>D-24453</t>
  </si>
  <si>
    <t>D-24454</t>
  </si>
  <si>
    <t>D-24455</t>
  </si>
  <si>
    <t>D-24456</t>
  </si>
  <si>
    <t>D-24457</t>
  </si>
  <si>
    <t>D-24458</t>
  </si>
  <si>
    <t>D-24459</t>
  </si>
  <si>
    <t>D-24460</t>
  </si>
  <si>
    <t>D-24461</t>
  </si>
  <si>
    <t>D-24462</t>
  </si>
  <si>
    <t>D-24463</t>
  </si>
  <si>
    <t>D-24464</t>
  </si>
  <si>
    <t>D-24465</t>
  </si>
  <si>
    <t>D-24466</t>
  </si>
  <si>
    <t>D-24467</t>
  </si>
  <si>
    <t>D-24468</t>
  </si>
  <si>
    <t>D-24469</t>
  </si>
  <si>
    <t>D-24470</t>
  </si>
  <si>
    <t>D-24471</t>
  </si>
  <si>
    <t>D-24472</t>
  </si>
  <si>
    <t>D-24473</t>
  </si>
  <si>
    <t>D-24474</t>
  </si>
  <si>
    <t>D-24475</t>
  </si>
  <si>
    <t>D-24476</t>
  </si>
  <si>
    <t>D-24477</t>
  </si>
  <si>
    <t>D-24478</t>
  </si>
  <si>
    <t>D-24479</t>
  </si>
  <si>
    <t>D-24480</t>
  </si>
  <si>
    <t>D-24481</t>
  </si>
  <si>
    <t>D-24482</t>
  </si>
  <si>
    <t>D-24483</t>
  </si>
  <si>
    <t>D-24484</t>
  </si>
  <si>
    <t>D-24485</t>
  </si>
  <si>
    <t>D-24486</t>
  </si>
  <si>
    <t>D-24487</t>
  </si>
  <si>
    <t>D-24488</t>
  </si>
  <si>
    <t>D-24489</t>
  </si>
  <si>
    <t>D-24490</t>
  </si>
  <si>
    <t>D-24491</t>
  </si>
  <si>
    <t>D-24492</t>
  </si>
  <si>
    <t>D-24493</t>
  </si>
  <si>
    <t>D-24494</t>
  </si>
  <si>
    <t>D-24495</t>
  </si>
  <si>
    <t>D-24496</t>
  </si>
  <si>
    <t>D-24497</t>
  </si>
  <si>
    <t>D-24498</t>
  </si>
  <si>
    <t>D-24499</t>
  </si>
  <si>
    <t>D-24500</t>
  </si>
  <si>
    <t>D-24501</t>
  </si>
  <si>
    <t>D-24502</t>
  </si>
  <si>
    <t>D-24503</t>
  </si>
  <si>
    <t>D-24504</t>
  </si>
  <si>
    <t>D-24505</t>
  </si>
  <si>
    <t>23-Ago-17-----24-Ago-17</t>
  </si>
  <si>
    <t>D-24506</t>
  </si>
  <si>
    <t>D-24507</t>
  </si>
  <si>
    <t>D-24508</t>
  </si>
  <si>
    <t>D-24509</t>
  </si>
  <si>
    <t>D-24510</t>
  </si>
  <si>
    <t>D-24511</t>
  </si>
  <si>
    <t>D-24512</t>
  </si>
  <si>
    <t>D-24513</t>
  </si>
  <si>
    <t>D-24514</t>
  </si>
  <si>
    <t>D-24515</t>
  </si>
  <si>
    <t>D-24516</t>
  </si>
  <si>
    <t>D-24517</t>
  </si>
  <si>
    <t>D-24518</t>
  </si>
  <si>
    <t>D-24519</t>
  </si>
  <si>
    <t>D-24520</t>
  </si>
  <si>
    <t>D-24521</t>
  </si>
  <si>
    <t>D-24522</t>
  </si>
  <si>
    <t>D-24523</t>
  </si>
  <si>
    <t>D-24524</t>
  </si>
  <si>
    <t>D-24525</t>
  </si>
  <si>
    <t>D-24526</t>
  </si>
  <si>
    <t>D-24527</t>
  </si>
  <si>
    <t>D-24528</t>
  </si>
  <si>
    <t>D-24529</t>
  </si>
  <si>
    <t>D-24530</t>
  </si>
  <si>
    <t>D-24531</t>
  </si>
  <si>
    <t>D-24532</t>
  </si>
  <si>
    <t>D-24533</t>
  </si>
  <si>
    <t>D-24534</t>
  </si>
  <si>
    <t>D-24535</t>
  </si>
  <si>
    <t>D-24536</t>
  </si>
  <si>
    <t>D-24537</t>
  </si>
  <si>
    <t>D-24538</t>
  </si>
  <si>
    <t>D-24539</t>
  </si>
  <si>
    <t>D-24540</t>
  </si>
  <si>
    <t>D-24541</t>
  </si>
  <si>
    <t>D-24542</t>
  </si>
  <si>
    <t>D-24543</t>
  </si>
  <si>
    <t>D-24544</t>
  </si>
  <si>
    <t>D-24545</t>
  </si>
  <si>
    <t>D-24546</t>
  </si>
  <si>
    <t>D-24547</t>
  </si>
  <si>
    <t>D-24548</t>
  </si>
  <si>
    <t>D-24549</t>
  </si>
  <si>
    <t>D-24550</t>
  </si>
  <si>
    <t>D-24551</t>
  </si>
  <si>
    <t>D-24552</t>
  </si>
  <si>
    <t>D-24553</t>
  </si>
  <si>
    <t>D-24554</t>
  </si>
  <si>
    <t>D-24555</t>
  </si>
  <si>
    <t>D-24556</t>
  </si>
  <si>
    <t>D-24557</t>
  </si>
  <si>
    <t>D-24558</t>
  </si>
  <si>
    <t>D-24559</t>
  </si>
  <si>
    <t>D-24560</t>
  </si>
  <si>
    <t>D-24561</t>
  </si>
  <si>
    <t>D-24562</t>
  </si>
  <si>
    <t>D-24563</t>
  </si>
  <si>
    <t>D-24564</t>
  </si>
  <si>
    <t>D-24565</t>
  </si>
  <si>
    <t>D-24566</t>
  </si>
  <si>
    <t>D-24567</t>
  </si>
  <si>
    <t>D-24568</t>
  </si>
  <si>
    <t>D-24569</t>
  </si>
  <si>
    <t>D-24570</t>
  </si>
  <si>
    <t>D-24571</t>
  </si>
  <si>
    <t>D-24572</t>
  </si>
  <si>
    <t>D-24573</t>
  </si>
  <si>
    <t>D-24574</t>
  </si>
  <si>
    <t>D-24575</t>
  </si>
  <si>
    <t>D-24576</t>
  </si>
  <si>
    <t>D-24577</t>
  </si>
  <si>
    <t>D-24578</t>
  </si>
  <si>
    <t>D-24579</t>
  </si>
  <si>
    <t>D-24580</t>
  </si>
  <si>
    <t>D-24581</t>
  </si>
  <si>
    <t>D-24582</t>
  </si>
  <si>
    <t>D-24583</t>
  </si>
  <si>
    <t>D-24584</t>
  </si>
  <si>
    <t>D-24585</t>
  </si>
  <si>
    <t>D-24586</t>
  </si>
  <si>
    <t>D-24587</t>
  </si>
  <si>
    <t>D-24588</t>
  </si>
  <si>
    <t>D-24589</t>
  </si>
  <si>
    <t>D-24590</t>
  </si>
  <si>
    <t>D-24591</t>
  </si>
  <si>
    <t>D-24592</t>
  </si>
  <si>
    <t>D-24593</t>
  </si>
  <si>
    <t>D-24594</t>
  </si>
  <si>
    <t>23-Ago-17--25-Ago-17</t>
  </si>
  <si>
    <t>D-24595</t>
  </si>
  <si>
    <t>D-24596</t>
  </si>
  <si>
    <t>D-24597</t>
  </si>
  <si>
    <t>D-24598</t>
  </si>
  <si>
    <t>D-24599</t>
  </si>
  <si>
    <t>D-24600</t>
  </si>
  <si>
    <t>D-24601</t>
  </si>
  <si>
    <t>D-24602</t>
  </si>
  <si>
    <t>D-24603</t>
  </si>
  <si>
    <t>D-24604</t>
  </si>
  <si>
    <t>D-24605</t>
  </si>
  <si>
    <t>D-24606</t>
  </si>
  <si>
    <t>D-24607</t>
  </si>
  <si>
    <t>D-24608</t>
  </si>
  <si>
    <t>D-24609</t>
  </si>
  <si>
    <t>D-24610</t>
  </si>
  <si>
    <t>D-24611</t>
  </si>
  <si>
    <t>D-24612</t>
  </si>
  <si>
    <t>D-24613</t>
  </si>
  <si>
    <t>D-24614</t>
  </si>
  <si>
    <t>D-24615</t>
  </si>
  <si>
    <t>D-24616</t>
  </si>
  <si>
    <t>D-24617</t>
  </si>
  <si>
    <t>D-24618</t>
  </si>
  <si>
    <t>D-24619</t>
  </si>
  <si>
    <t>D-24620</t>
  </si>
  <si>
    <t>D-24621</t>
  </si>
  <si>
    <t>D-24622</t>
  </si>
  <si>
    <t>D-24623</t>
  </si>
  <si>
    <t>D-24624</t>
  </si>
  <si>
    <t>D-24625</t>
  </si>
  <si>
    <t>D-24626</t>
  </si>
  <si>
    <t>D-24627</t>
  </si>
  <si>
    <t>D-24628</t>
  </si>
  <si>
    <t>D-24629</t>
  </si>
  <si>
    <t>D-24630</t>
  </si>
  <si>
    <t>D-24631</t>
  </si>
  <si>
    <t>D-24632</t>
  </si>
  <si>
    <t>D-24633</t>
  </si>
  <si>
    <t>D-24634</t>
  </si>
  <si>
    <t>D-24635</t>
  </si>
  <si>
    <t>D-24636</t>
  </si>
  <si>
    <t>D-24637</t>
  </si>
  <si>
    <t>D-24638</t>
  </si>
  <si>
    <t>D-24639</t>
  </si>
  <si>
    <t>D-24640</t>
  </si>
  <si>
    <t>D-24641</t>
  </si>
  <si>
    <t>D-24642</t>
  </si>
  <si>
    <t>D-24643</t>
  </si>
  <si>
    <t>D-24644</t>
  </si>
  <si>
    <t>D-24645</t>
  </si>
  <si>
    <t>D-24646</t>
  </si>
  <si>
    <t>D-24647</t>
  </si>
  <si>
    <t>D-24648</t>
  </si>
  <si>
    <t>D-24649</t>
  </si>
  <si>
    <t>D-24650</t>
  </si>
  <si>
    <t>D-24651</t>
  </si>
  <si>
    <t>D-24652</t>
  </si>
  <si>
    <t>D-24653</t>
  </si>
  <si>
    <t>D-24654</t>
  </si>
  <si>
    <t>D-24655</t>
  </si>
  <si>
    <t>D-24656</t>
  </si>
  <si>
    <t>D-24657</t>
  </si>
  <si>
    <t>D-24658</t>
  </si>
  <si>
    <t>D-24659</t>
  </si>
  <si>
    <t>D-24660</t>
  </si>
  <si>
    <t>D-24661</t>
  </si>
  <si>
    <t>D-24662</t>
  </si>
  <si>
    <t>D-24663</t>
  </si>
  <si>
    <t>D-24664</t>
  </si>
  <si>
    <t>D-24665</t>
  </si>
  <si>
    <t>D-24666</t>
  </si>
  <si>
    <t>D-24667</t>
  </si>
  <si>
    <t>D-24668</t>
  </si>
  <si>
    <t>D-24669</t>
  </si>
  <si>
    <t>D-24670</t>
  </si>
  <si>
    <t>D-24671</t>
  </si>
  <si>
    <t>D-24672</t>
  </si>
  <si>
    <t>D-24673</t>
  </si>
  <si>
    <t>D-24674</t>
  </si>
  <si>
    <t>D-24675</t>
  </si>
  <si>
    <t>D-24676</t>
  </si>
  <si>
    <t>D-24677</t>
  </si>
  <si>
    <t>D-24678</t>
  </si>
  <si>
    <t>D-24679</t>
  </si>
  <si>
    <t>D-24680</t>
  </si>
  <si>
    <t>D-24681</t>
  </si>
  <si>
    <t>D-24682</t>
  </si>
  <si>
    <t>D-24683</t>
  </si>
  <si>
    <t>D-24684</t>
  </si>
  <si>
    <t>D-24685</t>
  </si>
  <si>
    <t>D-24686</t>
  </si>
  <si>
    <t>D-24687</t>
  </si>
  <si>
    <t>D-24688</t>
  </si>
  <si>
    <t>D-24689</t>
  </si>
  <si>
    <t>D-24690</t>
  </si>
  <si>
    <t>D-24691</t>
  </si>
  <si>
    <t>D-24692</t>
  </si>
  <si>
    <t>D-24693</t>
  </si>
  <si>
    <t>D-24694</t>
  </si>
  <si>
    <t>D-24695</t>
  </si>
  <si>
    <t>D-24696</t>
  </si>
  <si>
    <t>D-24697</t>
  </si>
  <si>
    <t>D-24698</t>
  </si>
  <si>
    <t>D-24699</t>
  </si>
  <si>
    <t>D-24700</t>
  </si>
  <si>
    <t>D-24701</t>
  </si>
  <si>
    <t>D-24702</t>
  </si>
  <si>
    <t>D-24703</t>
  </si>
  <si>
    <t>D-24704</t>
  </si>
  <si>
    <t>D-24705</t>
  </si>
  <si>
    <t>D-24706</t>
  </si>
  <si>
    <t>D-24707</t>
  </si>
  <si>
    <t>D-24708</t>
  </si>
  <si>
    <t>D-24709</t>
  </si>
  <si>
    <t>D-24710</t>
  </si>
  <si>
    <t>D-24711</t>
  </si>
  <si>
    <t>D-24712</t>
  </si>
  <si>
    <t>D-24713</t>
  </si>
  <si>
    <t>D-24714</t>
  </si>
  <si>
    <t>D-24715</t>
  </si>
  <si>
    <t>D-24716</t>
  </si>
  <si>
    <t>D-24717</t>
  </si>
  <si>
    <t>D-24718</t>
  </si>
  <si>
    <t>D-24719</t>
  </si>
  <si>
    <t>D-24720</t>
  </si>
  <si>
    <t>25-Ago-17--27-Ago-17</t>
  </si>
  <si>
    <t>D-24721</t>
  </si>
  <si>
    <t>D-24722</t>
  </si>
  <si>
    <t>D-24723</t>
  </si>
  <si>
    <t>D-24724</t>
  </si>
  <si>
    <t>D-24725</t>
  </si>
  <si>
    <t>D-24726</t>
  </si>
  <si>
    <t>D-24727</t>
  </si>
  <si>
    <t>D-24728</t>
  </si>
  <si>
    <t>D-24729</t>
  </si>
  <si>
    <t>D-24730</t>
  </si>
  <si>
    <t>D-24731</t>
  </si>
  <si>
    <t>D-24732</t>
  </si>
  <si>
    <t>25-Ago-17----29-Ago-17</t>
  </si>
  <si>
    <t>D-24733</t>
  </si>
  <si>
    <t>D-24734</t>
  </si>
  <si>
    <t>D-24735</t>
  </si>
  <si>
    <t>D-24736</t>
  </si>
  <si>
    <t>D-24737</t>
  </si>
  <si>
    <t>D-24738</t>
  </si>
  <si>
    <t>D-24739</t>
  </si>
  <si>
    <t>D-24740</t>
  </si>
  <si>
    <t>D-24741</t>
  </si>
  <si>
    <t>D-24742</t>
  </si>
  <si>
    <t>D-24743</t>
  </si>
  <si>
    <t>D-24744</t>
  </si>
  <si>
    <t>D-24745</t>
  </si>
  <si>
    <t>D-24746</t>
  </si>
  <si>
    <t>D-24747</t>
  </si>
  <si>
    <t>D-24748</t>
  </si>
  <si>
    <t>D-24749</t>
  </si>
  <si>
    <t>24-Ago-17---25-Ago-17</t>
  </si>
  <si>
    <t>D-24750</t>
  </si>
  <si>
    <t>D-24751</t>
  </si>
  <si>
    <t>D-24752</t>
  </si>
  <si>
    <t>D-24753</t>
  </si>
  <si>
    <t>D-24754</t>
  </si>
  <si>
    <t>D-24755</t>
  </si>
  <si>
    <t>25-Ago-17---26-Ago-17</t>
  </si>
  <si>
    <t>D-24756</t>
  </si>
  <si>
    <t>D-24757</t>
  </si>
  <si>
    <t>D-24758</t>
  </si>
  <si>
    <t>D-24759</t>
  </si>
  <si>
    <t>D-24760</t>
  </si>
  <si>
    <t>D-24761</t>
  </si>
  <si>
    <t>D-24762</t>
  </si>
  <si>
    <t>D-24763</t>
  </si>
  <si>
    <t>D-24764</t>
  </si>
  <si>
    <t>D-24765</t>
  </si>
  <si>
    <t>D-24766</t>
  </si>
  <si>
    <t>D-24767</t>
  </si>
  <si>
    <t>D-24768</t>
  </si>
  <si>
    <t>D-24769</t>
  </si>
  <si>
    <t>D-24770</t>
  </si>
  <si>
    <t>D-24771</t>
  </si>
  <si>
    <t>D-24772</t>
  </si>
  <si>
    <t>D-24773</t>
  </si>
  <si>
    <t>D-24774</t>
  </si>
  <si>
    <t>D-24775</t>
  </si>
  <si>
    <t>D-24776</t>
  </si>
  <si>
    <t>D-24777</t>
  </si>
  <si>
    <t>D-24778</t>
  </si>
  <si>
    <t>D-24779</t>
  </si>
  <si>
    <t>D-24780</t>
  </si>
  <si>
    <t>D-24781</t>
  </si>
  <si>
    <t>D-24782</t>
  </si>
  <si>
    <t>D-24783</t>
  </si>
  <si>
    <t>D-24784</t>
  </si>
  <si>
    <t>D-24785</t>
  </si>
  <si>
    <t>D-24786</t>
  </si>
  <si>
    <t>D-24787</t>
  </si>
  <si>
    <t>D-24788</t>
  </si>
  <si>
    <t>D-24789</t>
  </si>
  <si>
    <t>D-24790</t>
  </si>
  <si>
    <t>D-24791</t>
  </si>
  <si>
    <t>D-24792</t>
  </si>
  <si>
    <t>D-24793</t>
  </si>
  <si>
    <t>D-24794</t>
  </si>
  <si>
    <t>D-24795</t>
  </si>
  <si>
    <t>(148)ANTONIO HERNANDEZ</t>
  </si>
  <si>
    <t>D-24796</t>
  </si>
  <si>
    <t>D-24797</t>
  </si>
  <si>
    <t>D-24798</t>
  </si>
  <si>
    <t>D-24799</t>
  </si>
  <si>
    <t>D-24800</t>
  </si>
  <si>
    <t>D-24801</t>
  </si>
  <si>
    <t>D-24802</t>
  </si>
  <si>
    <t>D-24803</t>
  </si>
  <si>
    <t>D-24804</t>
  </si>
  <si>
    <t>D-24805</t>
  </si>
  <si>
    <t>D-24806</t>
  </si>
  <si>
    <t>D-24807</t>
  </si>
  <si>
    <t>D-24808</t>
  </si>
  <si>
    <t>D-24809</t>
  </si>
  <si>
    <t>D-24810</t>
  </si>
  <si>
    <t>D-24811</t>
  </si>
  <si>
    <t>D-24812</t>
  </si>
  <si>
    <t>D-24813</t>
  </si>
  <si>
    <t>D-24814</t>
  </si>
  <si>
    <t>D-24815</t>
  </si>
  <si>
    <t>D-24816</t>
  </si>
  <si>
    <t>D-24817</t>
  </si>
  <si>
    <t>D-24818</t>
  </si>
  <si>
    <t>D-24819</t>
  </si>
  <si>
    <t>D-24820</t>
  </si>
  <si>
    <t>D-24821</t>
  </si>
  <si>
    <t>D-24822</t>
  </si>
  <si>
    <t>D-24823</t>
  </si>
  <si>
    <t>D-24824</t>
  </si>
  <si>
    <t>D-24825</t>
  </si>
  <si>
    <t>D-24826</t>
  </si>
  <si>
    <t>D-24827</t>
  </si>
  <si>
    <t>D-24828</t>
  </si>
  <si>
    <t>D-24829</t>
  </si>
  <si>
    <t>D-24830</t>
  </si>
  <si>
    <t>D-24831</t>
  </si>
  <si>
    <t>D-24832</t>
  </si>
  <si>
    <t>D-24833</t>
  </si>
  <si>
    <t>D-24834</t>
  </si>
  <si>
    <t>D-24835</t>
  </si>
  <si>
    <t>D-24836</t>
  </si>
  <si>
    <t>D-24837</t>
  </si>
  <si>
    <t>D-24838</t>
  </si>
  <si>
    <t>D-24839</t>
  </si>
  <si>
    <t>D-24840</t>
  </si>
  <si>
    <t>D-24841</t>
  </si>
  <si>
    <t>D-24842</t>
  </si>
  <si>
    <t>D-24843</t>
  </si>
  <si>
    <t>D-24844</t>
  </si>
  <si>
    <t>D-24845</t>
  </si>
  <si>
    <t>D-24846</t>
  </si>
  <si>
    <t>D-24847</t>
  </si>
  <si>
    <t>D-24848</t>
  </si>
  <si>
    <t>D-24849</t>
  </si>
  <si>
    <t>29-Ago-17---30-Ago-17</t>
  </si>
  <si>
    <t>D-24850</t>
  </si>
  <si>
    <t>D-24851</t>
  </si>
  <si>
    <t>D-24852</t>
  </si>
  <si>
    <t>D-24853</t>
  </si>
  <si>
    <t>D-24854</t>
  </si>
  <si>
    <t>D-24855</t>
  </si>
  <si>
    <t>D-24856</t>
  </si>
  <si>
    <t>D-24857</t>
  </si>
  <si>
    <t>D-24858</t>
  </si>
  <si>
    <t>D-24859</t>
  </si>
  <si>
    <t>D-24860</t>
  </si>
  <si>
    <t>D-24861</t>
  </si>
  <si>
    <t>D-24862</t>
  </si>
  <si>
    <t>D-24863</t>
  </si>
  <si>
    <t>D-24864</t>
  </si>
  <si>
    <t>D-24865</t>
  </si>
  <si>
    <t>D-24866</t>
  </si>
  <si>
    <t>D-24867</t>
  </si>
  <si>
    <t>D-24868</t>
  </si>
  <si>
    <t>D-24869</t>
  </si>
  <si>
    <t>D-24870</t>
  </si>
  <si>
    <t>D-24871</t>
  </si>
  <si>
    <t>D-24872</t>
  </si>
  <si>
    <t>D-24873</t>
  </si>
  <si>
    <t>D-24874</t>
  </si>
  <si>
    <t>D-24875</t>
  </si>
  <si>
    <t>D-24876</t>
  </si>
  <si>
    <t>D-24877</t>
  </si>
  <si>
    <t>D-24878</t>
  </si>
  <si>
    <t>D-24879</t>
  </si>
  <si>
    <t>D-24880</t>
  </si>
  <si>
    <t>D-24881</t>
  </si>
  <si>
    <t>D-24882</t>
  </si>
  <si>
    <t>D-24883</t>
  </si>
  <si>
    <t>D-24884</t>
  </si>
  <si>
    <t>D-24885</t>
  </si>
  <si>
    <t>D-24886</t>
  </si>
  <si>
    <t>D-24887</t>
  </si>
  <si>
    <t>D-24888</t>
  </si>
  <si>
    <t>D-24889</t>
  </si>
  <si>
    <t>D-24890</t>
  </si>
  <si>
    <t>D-24891</t>
  </si>
  <si>
    <t>D-24892</t>
  </si>
  <si>
    <t>D-24893</t>
  </si>
  <si>
    <t>D-24894</t>
  </si>
  <si>
    <t>D-24895</t>
  </si>
  <si>
    <t>D-24896</t>
  </si>
  <si>
    <t>D-24897</t>
  </si>
  <si>
    <t>D-24898</t>
  </si>
  <si>
    <t>D-24899</t>
  </si>
  <si>
    <t>D-24900</t>
  </si>
  <si>
    <t>D-24901</t>
  </si>
  <si>
    <t>D-24902</t>
  </si>
  <si>
    <t>D-24903</t>
  </si>
  <si>
    <t>D-24904</t>
  </si>
  <si>
    <t>D-24905</t>
  </si>
  <si>
    <t>D-24906</t>
  </si>
  <si>
    <t>D-24907</t>
  </si>
  <si>
    <t>D-24908</t>
  </si>
  <si>
    <t>D-24909</t>
  </si>
  <si>
    <t>D-24910</t>
  </si>
  <si>
    <t>D-24911</t>
  </si>
  <si>
    <t>D-24912</t>
  </si>
  <si>
    <t>D-24913</t>
  </si>
  <si>
    <t>D-24914</t>
  </si>
  <si>
    <t>D-24915</t>
  </si>
  <si>
    <t>D-24916</t>
  </si>
  <si>
    <t>24-Ago-17----27-Ago-17</t>
  </si>
  <si>
    <t>D-24917</t>
  </si>
  <si>
    <t>D-24918</t>
  </si>
  <si>
    <t>D-24919</t>
  </si>
  <si>
    <t>D-24920</t>
  </si>
  <si>
    <t>D-24921</t>
  </si>
  <si>
    <t>D-24922</t>
  </si>
  <si>
    <t>D-24923</t>
  </si>
  <si>
    <t>D-24924</t>
  </si>
  <si>
    <t>D-24925</t>
  </si>
  <si>
    <t>D-24926</t>
  </si>
  <si>
    <t>D-24927</t>
  </si>
  <si>
    <t>D-24928</t>
  </si>
  <si>
    <t>D-24929</t>
  </si>
  <si>
    <t>D-24930</t>
  </si>
  <si>
    <t>D-24931</t>
  </si>
  <si>
    <t>D-24932</t>
  </si>
  <si>
    <t>D-24933</t>
  </si>
  <si>
    <t>D-24934</t>
  </si>
  <si>
    <t>D-24935</t>
  </si>
  <si>
    <t>D-24936</t>
  </si>
  <si>
    <t>D-24937</t>
  </si>
  <si>
    <t>D-24938</t>
  </si>
  <si>
    <t>D-24939</t>
  </si>
  <si>
    <t>D-24940</t>
  </si>
  <si>
    <t>D-24941</t>
  </si>
  <si>
    <t>D-24942</t>
  </si>
  <si>
    <t>D-24943</t>
  </si>
  <si>
    <t>D-24944</t>
  </si>
  <si>
    <t>D-24945</t>
  </si>
  <si>
    <t>D-24946</t>
  </si>
  <si>
    <t>D-24947</t>
  </si>
  <si>
    <t>D-24948</t>
  </si>
  <si>
    <t>D-24949</t>
  </si>
  <si>
    <t>D-24950</t>
  </si>
  <si>
    <t>D-24951</t>
  </si>
  <si>
    <t>D-24952</t>
  </si>
  <si>
    <t>D-24953</t>
  </si>
  <si>
    <t>D-24954</t>
  </si>
  <si>
    <t>D-24955</t>
  </si>
  <si>
    <t>D-24956</t>
  </si>
  <si>
    <t>D-24957</t>
  </si>
  <si>
    <t>D-24958</t>
  </si>
  <si>
    <t>D-24959</t>
  </si>
  <si>
    <t>D-24960</t>
  </si>
  <si>
    <t>D-24961</t>
  </si>
  <si>
    <t>D-24962</t>
  </si>
  <si>
    <t>D-24963</t>
  </si>
  <si>
    <t>D-24964</t>
  </si>
  <si>
    <t>D-24965</t>
  </si>
  <si>
    <t>D-24966</t>
  </si>
  <si>
    <t>D-24967</t>
  </si>
  <si>
    <t>D-24968</t>
  </si>
  <si>
    <t>D-24969</t>
  </si>
  <si>
    <t>D-24970</t>
  </si>
  <si>
    <t>D-24971</t>
  </si>
  <si>
    <t>D-24972</t>
  </si>
  <si>
    <t>D-24973</t>
  </si>
  <si>
    <t>D-24974</t>
  </si>
  <si>
    <t>D-24975</t>
  </si>
  <si>
    <t>D-24976</t>
  </si>
  <si>
    <t>D-24977</t>
  </si>
  <si>
    <t>D-24978</t>
  </si>
  <si>
    <t>D-24979</t>
  </si>
  <si>
    <t>D-24980</t>
  </si>
  <si>
    <t>D-24981</t>
  </si>
  <si>
    <t>D-24982</t>
  </si>
  <si>
    <t>D-24983</t>
  </si>
  <si>
    <t>D-24984</t>
  </si>
  <si>
    <t>D-24985</t>
  </si>
  <si>
    <t>D-24986</t>
  </si>
  <si>
    <t>D-24987</t>
  </si>
  <si>
    <t>D-24988</t>
  </si>
  <si>
    <t>D-24989</t>
  </si>
  <si>
    <t>D-24990</t>
  </si>
  <si>
    <t>D-24991</t>
  </si>
  <si>
    <t>D-24992</t>
  </si>
  <si>
    <t>D-24993</t>
  </si>
  <si>
    <t>D-24994</t>
  </si>
  <si>
    <t>D-24995</t>
  </si>
  <si>
    <t>D-24996</t>
  </si>
  <si>
    <t>D-24997</t>
  </si>
  <si>
    <t>D-24998</t>
  </si>
  <si>
    <t>D-24999</t>
  </si>
  <si>
    <t>D-25000</t>
  </si>
  <si>
    <t>E-1</t>
  </si>
  <si>
    <t>E-2</t>
  </si>
  <si>
    <t>E-3</t>
  </si>
  <si>
    <t>E-4</t>
  </si>
  <si>
    <t>E-5</t>
  </si>
  <si>
    <t>E-6</t>
  </si>
  <si>
    <t>E-7</t>
  </si>
  <si>
    <t>28-Ago-17-----30-Ago-17</t>
  </si>
  <si>
    <t>E-8</t>
  </si>
  <si>
    <t>E-9</t>
  </si>
  <si>
    <t>26-Ago-17--28-Ago-17</t>
  </si>
  <si>
    <t>E-10</t>
  </si>
  <si>
    <t>E-11</t>
  </si>
  <si>
    <t>E-12</t>
  </si>
  <si>
    <t>E-13</t>
  </si>
  <si>
    <t>E-14</t>
  </si>
  <si>
    <t>E-15</t>
  </si>
  <si>
    <t>E-16</t>
  </si>
  <si>
    <t>E-17</t>
  </si>
  <si>
    <t>25-Ago-17---29-Ago-17--30-Ago-17---31-Ago-17</t>
  </si>
  <si>
    <t>E-18</t>
  </si>
  <si>
    <t>E-19</t>
  </si>
  <si>
    <t>E-20</t>
  </si>
  <si>
    <t>E-21</t>
  </si>
  <si>
    <t>E-22</t>
  </si>
  <si>
    <t>E-23</t>
  </si>
  <si>
    <t>E-24</t>
  </si>
  <si>
    <t>E-25</t>
  </si>
  <si>
    <t>E-26</t>
  </si>
  <si>
    <t>27-Ago-17--30-Ago-17</t>
  </si>
  <si>
    <t>E-27</t>
  </si>
  <si>
    <t>E-28</t>
  </si>
  <si>
    <t>E-29</t>
  </si>
  <si>
    <t>E-30</t>
  </si>
  <si>
    <t>E-31</t>
  </si>
  <si>
    <t>E-32</t>
  </si>
  <si>
    <t>E-33</t>
  </si>
  <si>
    <t>E-34</t>
  </si>
  <si>
    <t>E-35</t>
  </si>
  <si>
    <t>E-36</t>
  </si>
  <si>
    <t>E-37</t>
  </si>
  <si>
    <t>E-38</t>
  </si>
  <si>
    <t>E-39</t>
  </si>
  <si>
    <t>E-40</t>
  </si>
  <si>
    <t>E-41</t>
  </si>
  <si>
    <t>26-Ago-17---29-Ago-17--31-Ago-17</t>
  </si>
  <si>
    <t>E-42</t>
  </si>
  <si>
    <t>E-43</t>
  </si>
  <si>
    <t>E-44</t>
  </si>
  <si>
    <t>E-45</t>
  </si>
  <si>
    <t>E-46</t>
  </si>
  <si>
    <t>E-47</t>
  </si>
  <si>
    <t>E-48</t>
  </si>
  <si>
    <t>E-49</t>
  </si>
  <si>
    <t>E-50</t>
  </si>
  <si>
    <t>E-51</t>
  </si>
  <si>
    <t>E-52</t>
  </si>
  <si>
    <t>E-53</t>
  </si>
  <si>
    <t>E-54</t>
  </si>
  <si>
    <t>E-55</t>
  </si>
  <si>
    <t>E-56</t>
  </si>
  <si>
    <t>E-57</t>
  </si>
  <si>
    <t>E-58</t>
  </si>
  <si>
    <t>E-59</t>
  </si>
  <si>
    <t>E-60</t>
  </si>
  <si>
    <t>E-61</t>
  </si>
  <si>
    <t>E-62</t>
  </si>
  <si>
    <t>E-63</t>
  </si>
  <si>
    <t>E-64</t>
  </si>
  <si>
    <t>E-65</t>
  </si>
  <si>
    <t>E-66</t>
  </si>
  <si>
    <t>E-67</t>
  </si>
  <si>
    <t>E-68</t>
  </si>
  <si>
    <t>E-69</t>
  </si>
  <si>
    <t>E-70</t>
  </si>
  <si>
    <t>E-71</t>
  </si>
  <si>
    <t>E-72</t>
  </si>
  <si>
    <t>E-73</t>
  </si>
  <si>
    <t>E-74</t>
  </si>
  <si>
    <t>E-75</t>
  </si>
  <si>
    <t>E-76</t>
  </si>
  <si>
    <t>E-77</t>
  </si>
  <si>
    <t>E-78</t>
  </si>
  <si>
    <t>E-79</t>
  </si>
  <si>
    <t>E-80</t>
  </si>
  <si>
    <t>E-81</t>
  </si>
  <si>
    <t>E-82</t>
  </si>
  <si>
    <t>E-83</t>
  </si>
  <si>
    <t>E-84</t>
  </si>
  <si>
    <t>E-85</t>
  </si>
  <si>
    <t>E-86</t>
  </si>
  <si>
    <t>E-87</t>
  </si>
  <si>
    <t>E-88</t>
  </si>
  <si>
    <t>E-89</t>
  </si>
  <si>
    <t>E-90</t>
  </si>
  <si>
    <t>E-91</t>
  </si>
  <si>
    <t>E-92</t>
  </si>
  <si>
    <t>E-93</t>
  </si>
  <si>
    <t>E-94</t>
  </si>
  <si>
    <t>E-95</t>
  </si>
  <si>
    <t>E-96</t>
  </si>
  <si>
    <t>E-97</t>
  </si>
  <si>
    <t>E-98</t>
  </si>
  <si>
    <t>E-99</t>
  </si>
  <si>
    <t>E-100</t>
  </si>
  <si>
    <t>E-101</t>
  </si>
  <si>
    <t>E-102</t>
  </si>
  <si>
    <t>E-103</t>
  </si>
  <si>
    <t>E-104</t>
  </si>
  <si>
    <t>E-105</t>
  </si>
  <si>
    <t>E-106</t>
  </si>
  <si>
    <t>E-107</t>
  </si>
  <si>
    <t>E-108</t>
  </si>
  <si>
    <t>E-109</t>
  </si>
  <si>
    <t>E-110</t>
  </si>
  <si>
    <t>E-111</t>
  </si>
  <si>
    <t>E-112</t>
  </si>
  <si>
    <t>E-113</t>
  </si>
  <si>
    <t>E-114</t>
  </si>
  <si>
    <t>E-115</t>
  </si>
  <si>
    <t>E-116</t>
  </si>
  <si>
    <t>E-117</t>
  </si>
  <si>
    <t>E-118</t>
  </si>
  <si>
    <t>E-119</t>
  </si>
  <si>
    <t>E-120</t>
  </si>
  <si>
    <t>E-121</t>
  </si>
  <si>
    <t>E-122</t>
  </si>
  <si>
    <t>E-123</t>
  </si>
  <si>
    <t>E-124</t>
  </si>
  <si>
    <t>E-125</t>
  </si>
  <si>
    <t>E-126</t>
  </si>
  <si>
    <t>E-127</t>
  </si>
  <si>
    <t>E-128</t>
  </si>
  <si>
    <t>E-129</t>
  </si>
  <si>
    <t>E-130</t>
  </si>
  <si>
    <t>29-Ago-17--30-Ago-17--31-Ago-17</t>
  </si>
  <si>
    <t>E-131</t>
  </si>
  <si>
    <t>E-132</t>
  </si>
  <si>
    <t>E-133</t>
  </si>
  <si>
    <t>E-134</t>
  </si>
  <si>
    <t>E-135</t>
  </si>
  <si>
    <t>E-136</t>
  </si>
  <si>
    <t>E-137</t>
  </si>
  <si>
    <t>E-138</t>
  </si>
  <si>
    <t>E-139</t>
  </si>
  <si>
    <t>E-140</t>
  </si>
  <si>
    <t>E-141</t>
  </si>
  <si>
    <t>E-142</t>
  </si>
  <si>
    <t>E-143</t>
  </si>
  <si>
    <t>E-144</t>
  </si>
  <si>
    <t>E-145</t>
  </si>
  <si>
    <t>E-146</t>
  </si>
  <si>
    <t>E-147</t>
  </si>
  <si>
    <t>E-148</t>
  </si>
  <si>
    <t>E-149</t>
  </si>
  <si>
    <t>E-150</t>
  </si>
  <si>
    <t>E-151</t>
  </si>
  <si>
    <t>E-152</t>
  </si>
  <si>
    <t>E-153</t>
  </si>
  <si>
    <t>E-154</t>
  </si>
  <si>
    <t>E-155</t>
  </si>
  <si>
    <t>E-156</t>
  </si>
  <si>
    <t>E-157</t>
  </si>
  <si>
    <t>E-158</t>
  </si>
  <si>
    <t>E-159</t>
  </si>
  <si>
    <t>E-160</t>
  </si>
  <si>
    <t>E-161</t>
  </si>
  <si>
    <t>E-162</t>
  </si>
  <si>
    <t>E-163</t>
  </si>
  <si>
    <t>E-164</t>
  </si>
  <si>
    <t>E-165</t>
  </si>
  <si>
    <t>E-166</t>
  </si>
  <si>
    <t>E-167</t>
  </si>
  <si>
    <t>E-168</t>
  </si>
  <si>
    <t>E-169</t>
  </si>
  <si>
    <t>E-170</t>
  </si>
  <si>
    <t>E-171</t>
  </si>
  <si>
    <t>E-172</t>
  </si>
  <si>
    <t>E-173</t>
  </si>
  <si>
    <t>E-174</t>
  </si>
  <si>
    <t>E-175</t>
  </si>
  <si>
    <t>E-176</t>
  </si>
  <si>
    <t>E-177</t>
  </si>
  <si>
    <t>E-178</t>
  </si>
  <si>
    <t>E-179</t>
  </si>
  <si>
    <t>E-180</t>
  </si>
  <si>
    <t>E-181</t>
  </si>
  <si>
    <t>E-182</t>
  </si>
  <si>
    <t>E-183</t>
  </si>
  <si>
    <t>E-184</t>
  </si>
  <si>
    <t>E-185</t>
  </si>
  <si>
    <t>E-186</t>
  </si>
  <si>
    <t>E-187</t>
  </si>
  <si>
    <t>E-188</t>
  </si>
  <si>
    <t>E-189</t>
  </si>
  <si>
    <t>E-190</t>
  </si>
  <si>
    <t>E-191</t>
  </si>
  <si>
    <t>E-192</t>
  </si>
  <si>
    <t>E-193</t>
  </si>
  <si>
    <t>E-194</t>
  </si>
  <si>
    <t>E-195</t>
  </si>
  <si>
    <t>E-196</t>
  </si>
  <si>
    <t>E-197</t>
  </si>
  <si>
    <t>E-198</t>
  </si>
  <si>
    <t>E-199</t>
  </si>
  <si>
    <t>E-200</t>
  </si>
  <si>
    <t>E-201</t>
  </si>
  <si>
    <t>E-202</t>
  </si>
  <si>
    <t>E-203</t>
  </si>
  <si>
    <t>E-204</t>
  </si>
  <si>
    <t>E-205</t>
  </si>
  <si>
    <t>E-206</t>
  </si>
  <si>
    <t>E-207</t>
  </si>
  <si>
    <t>E-208</t>
  </si>
  <si>
    <t>E-209</t>
  </si>
  <si>
    <t>E-210</t>
  </si>
  <si>
    <t>E-211</t>
  </si>
  <si>
    <t>E-212</t>
  </si>
  <si>
    <t>E-213</t>
  </si>
  <si>
    <t>E-214</t>
  </si>
  <si>
    <t>E-215</t>
  </si>
  <si>
    <t>E-216</t>
  </si>
  <si>
    <t>E-217</t>
  </si>
  <si>
    <t>E-218</t>
  </si>
  <si>
    <t>E-219</t>
  </si>
  <si>
    <t>E-220</t>
  </si>
  <si>
    <t>E-221</t>
  </si>
  <si>
    <t>E-222</t>
  </si>
  <si>
    <t>E-223</t>
  </si>
  <si>
    <t>E-224</t>
  </si>
  <si>
    <t>E-225</t>
  </si>
  <si>
    <t>E-226</t>
  </si>
  <si>
    <t>E-227</t>
  </si>
  <si>
    <t>E-228</t>
  </si>
  <si>
    <t>E-229</t>
  </si>
  <si>
    <t>E-230</t>
  </si>
  <si>
    <t>E-231</t>
  </si>
  <si>
    <t>E-232</t>
  </si>
  <si>
    <t>E-233</t>
  </si>
  <si>
    <t>E-234</t>
  </si>
  <si>
    <t>E-235</t>
  </si>
  <si>
    <t>E-236</t>
  </si>
  <si>
    <t>E-237</t>
  </si>
  <si>
    <t>E-238</t>
  </si>
  <si>
    <t>E-239</t>
  </si>
  <si>
    <t>E-240</t>
  </si>
  <si>
    <t>E-241</t>
  </si>
  <si>
    <t>E-242</t>
  </si>
  <si>
    <t>E-243</t>
  </si>
  <si>
    <t>E-244</t>
  </si>
  <si>
    <t>E-245</t>
  </si>
  <si>
    <t>E-246</t>
  </si>
  <si>
    <t>E-247</t>
  </si>
  <si>
    <t>E-248</t>
  </si>
  <si>
    <t>E-249</t>
  </si>
  <si>
    <t>E-250</t>
  </si>
  <si>
    <t>E-251</t>
  </si>
  <si>
    <t>E-252</t>
  </si>
  <si>
    <t>E-253</t>
  </si>
  <si>
    <t>E-254</t>
  </si>
  <si>
    <t>E-255</t>
  </si>
  <si>
    <t>E-256</t>
  </si>
  <si>
    <t>27-Ago-17--29-Ago-17</t>
  </si>
  <si>
    <t>E-257</t>
  </si>
  <si>
    <t>E-258</t>
  </si>
  <si>
    <t>E-259</t>
  </si>
  <si>
    <t>E-260</t>
  </si>
  <si>
    <t>E-261</t>
  </si>
  <si>
    <t>E-262</t>
  </si>
  <si>
    <t>E-263</t>
  </si>
  <si>
    <t>E-264</t>
  </si>
  <si>
    <t>E-265</t>
  </si>
  <si>
    <t>E-266</t>
  </si>
  <si>
    <t>E-267</t>
  </si>
  <si>
    <t>E-268</t>
  </si>
  <si>
    <t>E-269</t>
  </si>
  <si>
    <t>E-270</t>
  </si>
  <si>
    <t>E-271</t>
  </si>
  <si>
    <t>E-272</t>
  </si>
  <si>
    <t>E-273</t>
  </si>
  <si>
    <t>E-274</t>
  </si>
  <si>
    <t>27-Ago-17--28-Ago-17</t>
  </si>
  <si>
    <t>E-275</t>
  </si>
  <si>
    <t>E-276</t>
  </si>
  <si>
    <t>E-277</t>
  </si>
  <si>
    <t>E-278</t>
  </si>
  <si>
    <t>E-279</t>
  </si>
  <si>
    <t>E-280</t>
  </si>
  <si>
    <t>E-281</t>
  </si>
  <si>
    <t>E-282</t>
  </si>
  <si>
    <t>E-283</t>
  </si>
  <si>
    <t>E-284</t>
  </si>
  <si>
    <t>E-285</t>
  </si>
  <si>
    <t>E-286</t>
  </si>
  <si>
    <t>E-287</t>
  </si>
  <si>
    <t>E-288</t>
  </si>
  <si>
    <t>E-289</t>
  </si>
  <si>
    <t>E-290</t>
  </si>
  <si>
    <t>E-291</t>
  </si>
  <si>
    <t>E-292</t>
  </si>
  <si>
    <t>E-293</t>
  </si>
  <si>
    <t>E-294</t>
  </si>
  <si>
    <t>E-295</t>
  </si>
  <si>
    <t>E-296</t>
  </si>
  <si>
    <t>E-297</t>
  </si>
  <si>
    <t>E-298</t>
  </si>
  <si>
    <t>E-299</t>
  </si>
  <si>
    <t>E-300</t>
  </si>
  <si>
    <t>E-301</t>
  </si>
  <si>
    <t>E-302</t>
  </si>
  <si>
    <t>E-303</t>
  </si>
  <si>
    <t>E-304</t>
  </si>
  <si>
    <t>E-305</t>
  </si>
  <si>
    <t>E-306</t>
  </si>
  <si>
    <t>E-307</t>
  </si>
  <si>
    <t>E-308</t>
  </si>
  <si>
    <t>E-309</t>
  </si>
  <si>
    <t>E-310</t>
  </si>
  <si>
    <t>E-311</t>
  </si>
  <si>
    <t>E-312</t>
  </si>
  <si>
    <t>E-313</t>
  </si>
  <si>
    <t>E-314</t>
  </si>
  <si>
    <t>E-315</t>
  </si>
  <si>
    <t>E-316</t>
  </si>
  <si>
    <t>E-317</t>
  </si>
  <si>
    <t>E-318</t>
  </si>
  <si>
    <t>(156)JOSE LUIS LUCERO</t>
  </si>
  <si>
    <t>E-319</t>
  </si>
  <si>
    <t>E-320</t>
  </si>
  <si>
    <t>E-321</t>
  </si>
  <si>
    <t>E-322</t>
  </si>
  <si>
    <t>E-323</t>
  </si>
  <si>
    <t>E-324</t>
  </si>
  <si>
    <t>E-325</t>
  </si>
  <si>
    <t>E-326</t>
  </si>
  <si>
    <t>E-327</t>
  </si>
  <si>
    <t>E-328</t>
  </si>
  <si>
    <t>E-329</t>
  </si>
  <si>
    <t>E-330</t>
  </si>
  <si>
    <t>E-331</t>
  </si>
  <si>
    <t>E-332</t>
  </si>
  <si>
    <t>28/08/2017</t>
  </si>
  <si>
    <t>E-333</t>
  </si>
  <si>
    <t>E-334</t>
  </si>
  <si>
    <t>E-335</t>
  </si>
  <si>
    <t>E-336</t>
  </si>
  <si>
    <t>E-337</t>
  </si>
  <si>
    <t>E-338</t>
  </si>
  <si>
    <t>E-339</t>
  </si>
  <si>
    <t>E-340</t>
  </si>
  <si>
    <t>E-341</t>
  </si>
  <si>
    <t>E-342</t>
  </si>
  <si>
    <t>E-343</t>
  </si>
  <si>
    <t>E-344</t>
  </si>
  <si>
    <t>E-345</t>
  </si>
  <si>
    <t>E-346</t>
  </si>
  <si>
    <t>E-347</t>
  </si>
  <si>
    <t>E-348</t>
  </si>
  <si>
    <t>E-349</t>
  </si>
  <si>
    <t>E-350</t>
  </si>
  <si>
    <t>30-Ago-17--31-Ago-17</t>
  </si>
  <si>
    <t>E-351</t>
  </si>
  <si>
    <t>E-352</t>
  </si>
  <si>
    <t>E-353</t>
  </si>
  <si>
    <t>E-354</t>
  </si>
  <si>
    <t>E-355</t>
  </si>
  <si>
    <t>E-356</t>
  </si>
  <si>
    <t>E-357</t>
  </si>
  <si>
    <t>E-358</t>
  </si>
  <si>
    <t>E-359</t>
  </si>
  <si>
    <t>E-360</t>
  </si>
  <si>
    <t>E-361</t>
  </si>
  <si>
    <t>E-362</t>
  </si>
  <si>
    <t>E-363</t>
  </si>
  <si>
    <t>E-364</t>
  </si>
  <si>
    <t>E-365</t>
  </si>
  <si>
    <t>E-366</t>
  </si>
  <si>
    <t>E-367</t>
  </si>
  <si>
    <t>E-368</t>
  </si>
  <si>
    <t>E-369</t>
  </si>
  <si>
    <t>E-370</t>
  </si>
  <si>
    <t>E-371</t>
  </si>
  <si>
    <t>E-372</t>
  </si>
  <si>
    <t>E-373</t>
  </si>
  <si>
    <t>E-374</t>
  </si>
  <si>
    <t>E-375</t>
  </si>
  <si>
    <t>E-376</t>
  </si>
  <si>
    <t>E-377</t>
  </si>
  <si>
    <t>E-378</t>
  </si>
  <si>
    <t>E-379</t>
  </si>
  <si>
    <t>E-380</t>
  </si>
  <si>
    <t>E-381</t>
  </si>
  <si>
    <t>E-382</t>
  </si>
  <si>
    <t>E-383</t>
  </si>
  <si>
    <t>E-384</t>
  </si>
  <si>
    <t>E-385</t>
  </si>
  <si>
    <t>E-386</t>
  </si>
  <si>
    <t>E-387</t>
  </si>
  <si>
    <t>E-388</t>
  </si>
  <si>
    <t>E-389</t>
  </si>
  <si>
    <t>E-390</t>
  </si>
  <si>
    <t>E-391</t>
  </si>
  <si>
    <t>E-392</t>
  </si>
  <si>
    <t>E-393</t>
  </si>
  <si>
    <t>E-394</t>
  </si>
  <si>
    <t>E-395</t>
  </si>
  <si>
    <t>E-396</t>
  </si>
  <si>
    <t>E-397</t>
  </si>
  <si>
    <t>E-398</t>
  </si>
  <si>
    <t>E-399</t>
  </si>
  <si>
    <t>E-400</t>
  </si>
  <si>
    <t>E-401</t>
  </si>
  <si>
    <t>E-402</t>
  </si>
  <si>
    <t>E-403</t>
  </si>
  <si>
    <t>E-404</t>
  </si>
  <si>
    <t>E-405</t>
  </si>
  <si>
    <t>E-406</t>
  </si>
  <si>
    <t>E-407</t>
  </si>
  <si>
    <t>E-408</t>
  </si>
  <si>
    <t>E-409</t>
  </si>
  <si>
    <t>E-410</t>
  </si>
  <si>
    <t>E-411</t>
  </si>
  <si>
    <t>E-412</t>
  </si>
  <si>
    <t>E-413</t>
  </si>
  <si>
    <t>E-414</t>
  </si>
  <si>
    <t>E-415</t>
  </si>
  <si>
    <t>E-416</t>
  </si>
  <si>
    <t>E-417</t>
  </si>
  <si>
    <t>E-418</t>
  </si>
  <si>
    <t>E-419</t>
  </si>
  <si>
    <t>E-420</t>
  </si>
  <si>
    <t>E-421</t>
  </si>
  <si>
    <t>E-422</t>
  </si>
  <si>
    <t>E-423</t>
  </si>
  <si>
    <t>E-424</t>
  </si>
  <si>
    <t>E-425</t>
  </si>
  <si>
    <t>E-426</t>
  </si>
  <si>
    <t>E-427</t>
  </si>
  <si>
    <t>E-428</t>
  </si>
  <si>
    <t>E-429</t>
  </si>
  <si>
    <t>E-430</t>
  </si>
  <si>
    <t>E-431</t>
  </si>
  <si>
    <t>E-432</t>
  </si>
  <si>
    <t>E-433</t>
  </si>
  <si>
    <t>E-434</t>
  </si>
  <si>
    <t>E-435</t>
  </si>
  <si>
    <t>E-436</t>
  </si>
  <si>
    <t>E-437</t>
  </si>
  <si>
    <t>E-438</t>
  </si>
  <si>
    <t>E-439</t>
  </si>
  <si>
    <t>E-440</t>
  </si>
  <si>
    <t>E-441</t>
  </si>
  <si>
    <t>E-442</t>
  </si>
  <si>
    <t>E-443</t>
  </si>
  <si>
    <t>E-444</t>
  </si>
  <si>
    <t>E-445</t>
  </si>
  <si>
    <t>E-446</t>
  </si>
  <si>
    <t>E-447</t>
  </si>
  <si>
    <t>E-448</t>
  </si>
  <si>
    <t>E-449</t>
  </si>
  <si>
    <t>E-450</t>
  </si>
  <si>
    <t>E-451</t>
  </si>
  <si>
    <t>E-452</t>
  </si>
  <si>
    <t>E-453</t>
  </si>
  <si>
    <t>E-454</t>
  </si>
  <si>
    <t>E-455</t>
  </si>
  <si>
    <t>E-456</t>
  </si>
  <si>
    <t>E-457</t>
  </si>
  <si>
    <t>E-458</t>
  </si>
  <si>
    <t>E-459</t>
  </si>
  <si>
    <t>E-460</t>
  </si>
  <si>
    <t>E-461</t>
  </si>
  <si>
    <t>E-462</t>
  </si>
  <si>
    <t>E-463</t>
  </si>
  <si>
    <t>E-464</t>
  </si>
  <si>
    <t>E-465</t>
  </si>
  <si>
    <t>E-466</t>
  </si>
  <si>
    <t>E-467</t>
  </si>
  <si>
    <t>E-468</t>
  </si>
  <si>
    <t>E-469</t>
  </si>
  <si>
    <t>E-470</t>
  </si>
  <si>
    <t>E-471</t>
  </si>
  <si>
    <t>E-472</t>
  </si>
  <si>
    <t>E-473</t>
  </si>
  <si>
    <t>E-474</t>
  </si>
  <si>
    <t>E-475</t>
  </si>
  <si>
    <t>E-476</t>
  </si>
  <si>
    <t>E-477</t>
  </si>
  <si>
    <t>E-478</t>
  </si>
  <si>
    <t>E-479</t>
  </si>
  <si>
    <t>E-480</t>
  </si>
  <si>
    <t>E-481</t>
  </si>
  <si>
    <t>E-482</t>
  </si>
  <si>
    <t>E-483</t>
  </si>
  <si>
    <t>E-484</t>
  </si>
  <si>
    <t>E-485</t>
  </si>
  <si>
    <t>E-486</t>
  </si>
  <si>
    <t>E-487</t>
  </si>
  <si>
    <t>E-488</t>
  </si>
  <si>
    <t>E-489</t>
  </si>
  <si>
    <t>E-490</t>
  </si>
  <si>
    <t>E-491</t>
  </si>
  <si>
    <t>E-492</t>
  </si>
  <si>
    <t>E-493</t>
  </si>
  <si>
    <t>E-494</t>
  </si>
  <si>
    <t>E-495</t>
  </si>
  <si>
    <t>E-496</t>
  </si>
  <si>
    <t>E-497</t>
  </si>
  <si>
    <t>E-498</t>
  </si>
  <si>
    <t>E-499</t>
  </si>
  <si>
    <t>E-500</t>
  </si>
  <si>
    <t>E-501</t>
  </si>
  <si>
    <t>E-502</t>
  </si>
  <si>
    <t>E-503</t>
  </si>
  <si>
    <t>E-504</t>
  </si>
  <si>
    <t>E-505</t>
  </si>
  <si>
    <t>E-506</t>
  </si>
  <si>
    <t>E-507</t>
  </si>
  <si>
    <t>E-508</t>
  </si>
  <si>
    <t>E-509</t>
  </si>
  <si>
    <t>E-510</t>
  </si>
  <si>
    <t>E-511</t>
  </si>
  <si>
    <t>E-512</t>
  </si>
  <si>
    <t>E-513</t>
  </si>
  <si>
    <t>E-514</t>
  </si>
  <si>
    <t>E-515</t>
  </si>
  <si>
    <t>E-516</t>
  </si>
  <si>
    <t>E-517</t>
  </si>
  <si>
    <t>E-518</t>
  </si>
  <si>
    <t>E-519</t>
  </si>
  <si>
    <t>E-520</t>
  </si>
  <si>
    <t>E-521</t>
  </si>
  <si>
    <t>E-522</t>
  </si>
  <si>
    <t>E-523</t>
  </si>
  <si>
    <t>E-524</t>
  </si>
  <si>
    <t>E-525</t>
  </si>
  <si>
    <t>E-526</t>
  </si>
  <si>
    <t>E-527</t>
  </si>
  <si>
    <t>E-528</t>
  </si>
  <si>
    <t>E-529</t>
  </si>
  <si>
    <t>E-530</t>
  </si>
  <si>
    <t>E-531</t>
  </si>
  <si>
    <t>E-532</t>
  </si>
  <si>
    <t>E-533</t>
  </si>
  <si>
    <t>E-534</t>
  </si>
  <si>
    <t>E-535</t>
  </si>
  <si>
    <t>E-536</t>
  </si>
  <si>
    <t>E-537</t>
  </si>
  <si>
    <t>E-538</t>
  </si>
  <si>
    <t>E-539</t>
  </si>
  <si>
    <t>E-540</t>
  </si>
  <si>
    <t>E-541</t>
  </si>
  <si>
    <t>E-542</t>
  </si>
  <si>
    <t>E-543</t>
  </si>
  <si>
    <t>E-544</t>
  </si>
  <si>
    <t>E-545</t>
  </si>
  <si>
    <t>E-546</t>
  </si>
  <si>
    <t>E-547</t>
  </si>
  <si>
    <t>E-548</t>
  </si>
  <si>
    <t>E-549</t>
  </si>
  <si>
    <t>E-550</t>
  </si>
  <si>
    <t>E-551</t>
  </si>
  <si>
    <t>E-552</t>
  </si>
  <si>
    <t>E-553</t>
  </si>
  <si>
    <t>E-554</t>
  </si>
  <si>
    <t>E-555</t>
  </si>
  <si>
    <t>E-556</t>
  </si>
  <si>
    <t>E-557</t>
  </si>
  <si>
    <t>E-558</t>
  </si>
  <si>
    <t>E-559</t>
  </si>
  <si>
    <t>E-560</t>
  </si>
  <si>
    <t>E-561</t>
  </si>
  <si>
    <t>E-562</t>
  </si>
  <si>
    <t>E-563</t>
  </si>
  <si>
    <t>E-564</t>
  </si>
  <si>
    <t>E-565</t>
  </si>
  <si>
    <t>E-566</t>
  </si>
  <si>
    <t>E-567</t>
  </si>
  <si>
    <t>E-568</t>
  </si>
  <si>
    <t>E-569</t>
  </si>
  <si>
    <t>E-570</t>
  </si>
  <si>
    <t>E-571</t>
  </si>
  <si>
    <t>E-572</t>
  </si>
  <si>
    <t>E-573</t>
  </si>
  <si>
    <t>E-574</t>
  </si>
  <si>
    <t>E-575</t>
  </si>
  <si>
    <t>E-576</t>
  </si>
  <si>
    <t>E-577</t>
  </si>
  <si>
    <t>E-578</t>
  </si>
  <si>
    <t>E-579</t>
  </si>
  <si>
    <t>E-580</t>
  </si>
  <si>
    <t>E-581</t>
  </si>
  <si>
    <t>E-582</t>
  </si>
  <si>
    <t>E-583</t>
  </si>
  <si>
    <t>E-584</t>
  </si>
  <si>
    <t>E-585</t>
  </si>
  <si>
    <t>E-586</t>
  </si>
  <si>
    <t>E-587</t>
  </si>
  <si>
    <t>E-588</t>
  </si>
  <si>
    <t>E-589</t>
  </si>
  <si>
    <t>E-590</t>
  </si>
  <si>
    <t>E-591</t>
  </si>
  <si>
    <t>E-592</t>
  </si>
  <si>
    <t>E-593</t>
  </si>
  <si>
    <t>E-594</t>
  </si>
  <si>
    <t>E-595</t>
  </si>
  <si>
    <t>E-596</t>
  </si>
  <si>
    <t>E-597</t>
  </si>
  <si>
    <t>E-598</t>
  </si>
  <si>
    <t>E-599</t>
  </si>
  <si>
    <t>E-600</t>
  </si>
  <si>
    <t>E-601</t>
  </si>
  <si>
    <t>E-602</t>
  </si>
  <si>
    <t>E-603</t>
  </si>
  <si>
    <t>E-604</t>
  </si>
  <si>
    <t>E-605</t>
  </si>
  <si>
    <t>E-606</t>
  </si>
  <si>
    <t>E-607</t>
  </si>
  <si>
    <t>E-608</t>
  </si>
  <si>
    <t>E-609</t>
  </si>
  <si>
    <t>E-610</t>
  </si>
  <si>
    <t>E-611</t>
  </si>
  <si>
    <t>E-612</t>
  </si>
  <si>
    <t>E-613</t>
  </si>
  <si>
    <t>E-614</t>
  </si>
  <si>
    <t>E-615</t>
  </si>
  <si>
    <t>E-616</t>
  </si>
  <si>
    <t>E-617</t>
  </si>
  <si>
    <t>E-618</t>
  </si>
  <si>
    <t>E-619</t>
  </si>
  <si>
    <t>E-620</t>
  </si>
  <si>
    <t>E-621</t>
  </si>
  <si>
    <t>E-622</t>
  </si>
  <si>
    <t>E-623</t>
  </si>
  <si>
    <t>E-624</t>
  </si>
  <si>
    <t>E-625</t>
  </si>
  <si>
    <t>E-626</t>
  </si>
  <si>
    <t>E-627</t>
  </si>
  <si>
    <t>E-628</t>
  </si>
  <si>
    <t>E-629</t>
  </si>
  <si>
    <t>E-630</t>
  </si>
  <si>
    <t>E-631</t>
  </si>
  <si>
    <t>E-632</t>
  </si>
  <si>
    <t>E-633</t>
  </si>
  <si>
    <t>E-634</t>
  </si>
  <si>
    <t>E-635</t>
  </si>
  <si>
    <t>E-636</t>
  </si>
  <si>
    <t>E-637</t>
  </si>
  <si>
    <t>E-638</t>
  </si>
  <si>
    <t>E-639</t>
  </si>
  <si>
    <t>E-640</t>
  </si>
  <si>
    <t>E-641</t>
  </si>
  <si>
    <t>E-642</t>
  </si>
  <si>
    <t>E-643</t>
  </si>
  <si>
    <t>E-644</t>
  </si>
  <si>
    <t>E-645</t>
  </si>
  <si>
    <t>E-646</t>
  </si>
  <si>
    <t>E-647</t>
  </si>
  <si>
    <t>E-648</t>
  </si>
  <si>
    <t>E-649</t>
  </si>
  <si>
    <t>E-650</t>
  </si>
  <si>
    <t>E-651</t>
  </si>
  <si>
    <t>E-652</t>
  </si>
  <si>
    <t>E-653</t>
  </si>
  <si>
    <t>E-654</t>
  </si>
  <si>
    <t>E-655</t>
  </si>
  <si>
    <t>E-656</t>
  </si>
  <si>
    <t>E-657</t>
  </si>
  <si>
    <t>E-658</t>
  </si>
  <si>
    <t>E-659</t>
  </si>
  <si>
    <t>E-660</t>
  </si>
  <si>
    <t>E-661</t>
  </si>
  <si>
    <t>E-662</t>
  </si>
  <si>
    <t>E-663</t>
  </si>
  <si>
    <t>E-664</t>
  </si>
  <si>
    <t>E-665</t>
  </si>
  <si>
    <t>E-666</t>
  </si>
  <si>
    <t>E-667</t>
  </si>
  <si>
    <t>E-668</t>
  </si>
  <si>
    <t>E-669</t>
  </si>
  <si>
    <t>E-670</t>
  </si>
  <si>
    <t>E-671</t>
  </si>
  <si>
    <t>E-672</t>
  </si>
  <si>
    <t>E-673</t>
  </si>
  <si>
    <t>E-674</t>
  </si>
  <si>
    <t>E-675</t>
  </si>
  <si>
    <t>E-676</t>
  </si>
  <si>
    <t>E-677</t>
  </si>
  <si>
    <t>E-678</t>
  </si>
  <si>
    <t>E-679</t>
  </si>
  <si>
    <t>E-680</t>
  </si>
  <si>
    <t>E-681</t>
  </si>
  <si>
    <t>E-682</t>
  </si>
  <si>
    <t>E-683</t>
  </si>
  <si>
    <t>E-684</t>
  </si>
  <si>
    <t>E-685</t>
  </si>
  <si>
    <t>E-686</t>
  </si>
  <si>
    <t>E-687</t>
  </si>
  <si>
    <t>E-688</t>
  </si>
  <si>
    <t>E-689</t>
  </si>
  <si>
    <t>E-690</t>
  </si>
  <si>
    <t>E-691</t>
  </si>
  <si>
    <t>E-692</t>
  </si>
  <si>
    <t>E-693</t>
  </si>
  <si>
    <t>E-694</t>
  </si>
  <si>
    <t>E-695</t>
  </si>
  <si>
    <t>E-696</t>
  </si>
  <si>
    <t>E-697</t>
  </si>
  <si>
    <t>E-698</t>
  </si>
  <si>
    <t>E-699</t>
  </si>
  <si>
    <t>E-700</t>
  </si>
  <si>
    <t>E-701</t>
  </si>
  <si>
    <t>E-702</t>
  </si>
  <si>
    <t>E-703</t>
  </si>
  <si>
    <t>E-704</t>
  </si>
  <si>
    <t>E-705</t>
  </si>
  <si>
    <t>E-706</t>
  </si>
  <si>
    <t>E-707</t>
  </si>
  <si>
    <t>E-708</t>
  </si>
  <si>
    <t>E-709</t>
  </si>
  <si>
    <t>E-710</t>
  </si>
  <si>
    <t>E-711</t>
  </si>
  <si>
    <t>E-712</t>
  </si>
  <si>
    <t>(695)GUSTAVO COYOTL</t>
  </si>
  <si>
    <t>E-713</t>
  </si>
  <si>
    <t>E-714</t>
  </si>
  <si>
    <t>E-715</t>
  </si>
  <si>
    <t>E-716</t>
  </si>
  <si>
    <t>E-717</t>
  </si>
  <si>
    <t>E-718</t>
  </si>
  <si>
    <t>E-719</t>
  </si>
  <si>
    <t>E-720</t>
  </si>
  <si>
    <t>E-721</t>
  </si>
  <si>
    <t>E-722</t>
  </si>
  <si>
    <t>E-723</t>
  </si>
  <si>
    <t>E-724</t>
  </si>
  <si>
    <t>E-725</t>
  </si>
  <si>
    <t>E-726</t>
  </si>
  <si>
    <t>E-727</t>
  </si>
  <si>
    <t>E-728</t>
  </si>
  <si>
    <t>E-729</t>
  </si>
  <si>
    <t>E-730</t>
  </si>
  <si>
    <t>E-731</t>
  </si>
  <si>
    <t>E-732</t>
  </si>
  <si>
    <t>E-733</t>
  </si>
  <si>
    <t>E-734</t>
  </si>
  <si>
    <t>E-735</t>
  </si>
  <si>
    <t>E-736</t>
  </si>
  <si>
    <t>E-737</t>
  </si>
  <si>
    <t>E-738</t>
  </si>
  <si>
    <t>E-739</t>
  </si>
  <si>
    <t>E-740</t>
  </si>
  <si>
    <t>E-741</t>
  </si>
  <si>
    <t>E-742</t>
  </si>
  <si>
    <t>E-743</t>
  </si>
  <si>
    <t>E-744</t>
  </si>
  <si>
    <t>E-745</t>
  </si>
  <si>
    <t>E-746</t>
  </si>
  <si>
    <t>E-747</t>
  </si>
  <si>
    <t>E-748</t>
  </si>
  <si>
    <t>E-749</t>
  </si>
  <si>
    <t>E-750</t>
  </si>
  <si>
    <t>E-751</t>
  </si>
  <si>
    <t>E-752</t>
  </si>
  <si>
    <t>E-753</t>
  </si>
  <si>
    <t>E-754</t>
  </si>
  <si>
    <t>E-755</t>
  </si>
  <si>
    <t>E-756</t>
  </si>
  <si>
    <t>E-757</t>
  </si>
  <si>
    <t>E-758</t>
  </si>
  <si>
    <t>(484)EMPACADORA DE CARNES FINAS LA ROTONDA SA DE CV</t>
  </si>
  <si>
    <t>E-759</t>
  </si>
  <si>
    <t>E-760</t>
  </si>
  <si>
    <t>E-761</t>
  </si>
  <si>
    <t>19-Ago-17---26-Ago-17---01-Sept-17</t>
  </si>
  <si>
    <t>29-Ago-17--1-Sept-17</t>
  </si>
  <si>
    <t>31-Ago-17----01-Sept-17</t>
  </si>
  <si>
    <t>31-Ago-17--1-Sept-17</t>
  </si>
  <si>
    <t>30-Ago-17----01-Sept-17</t>
  </si>
  <si>
    <t>30-Ago-17----02-Sept-17</t>
  </si>
  <si>
    <t>1-Sept-17----02-Sept-17</t>
  </si>
  <si>
    <t>31-Ago-17--2-Sept-17</t>
  </si>
  <si>
    <t>1-Sept-17--2-Sept-17-------03-Sept-17</t>
  </si>
  <si>
    <t>2-Sept-17----04-Sept-17</t>
  </si>
  <si>
    <t>2-Sept-17----05-Sep-17</t>
  </si>
  <si>
    <t>4-Sept-17----05-Sep-17</t>
  </si>
  <si>
    <t>1-Sept-17--6-Sep-17</t>
  </si>
  <si>
    <t>19-Ago-17--6-Sep-17</t>
  </si>
  <si>
    <t>30-Ago-17--1-Sept-17--6-Sep-17</t>
  </si>
  <si>
    <t>31-Ago-17--6-Sep-17</t>
  </si>
  <si>
    <t>2-Sept-17----06-Sep-17</t>
  </si>
  <si>
    <t>28-Ago-17--7-Sep-17</t>
  </si>
  <si>
    <t>31-Ago-17--9-Sep-17</t>
  </si>
  <si>
    <t>29-Ago-17---9-Sep-17</t>
  </si>
  <si>
    <t>9-Sep-17----12-Sep-17</t>
  </si>
  <si>
    <t>9-Sep-17-----12-Sep-17</t>
  </si>
  <si>
    <t>28-Ago-17--7-Sep-17---12-Sep-17</t>
  </si>
  <si>
    <t>6-Sep-17----12-Sep-17</t>
  </si>
  <si>
    <t>6-Sep-17--13-Sep-17</t>
  </si>
  <si>
    <t>21-Jun-17--24-Jun-17--1-Jul-17--7-Jul-174--15-Jul-17--22-Jul-17--27-Jul-17--12-Ago-17--16-Ago-17--23-Ago-17--25-Ago-17--6-Sept-17--7-Sep-17--12-Sep-17--15-Sep-17</t>
  </si>
  <si>
    <t>13-Sep-17--16-Sep-17</t>
  </si>
  <si>
    <t>2-Sept-17--19-Sep-17</t>
  </si>
  <si>
    <t>16-Sep-17--22-Sep-17</t>
  </si>
  <si>
    <t>21-Jun-17--28-Jun-17--5-Jul-17--19-Ago-17--29-Ago-17--9-Sep-17--14-Sep-17--15-Sep-17--20-Sep-17--23-Sep-17</t>
  </si>
  <si>
    <t>E-762</t>
  </si>
  <si>
    <t>E-763</t>
  </si>
  <si>
    <t>E-764</t>
  </si>
  <si>
    <t>E-765</t>
  </si>
  <si>
    <t>E-766</t>
  </si>
  <si>
    <t>E-767</t>
  </si>
  <si>
    <t>E-768</t>
  </si>
  <si>
    <t>E-769</t>
  </si>
  <si>
    <t>E-770</t>
  </si>
  <si>
    <t>E-771</t>
  </si>
  <si>
    <t>4-Sept-17--11-Sep-17</t>
  </si>
  <si>
    <t>E-772</t>
  </si>
  <si>
    <t>E-773</t>
  </si>
  <si>
    <t>E-774</t>
  </si>
  <si>
    <t>E-775</t>
  </si>
  <si>
    <t>E-776</t>
  </si>
  <si>
    <t>E-777</t>
  </si>
  <si>
    <t>E-778</t>
  </si>
  <si>
    <t>E-779</t>
  </si>
  <si>
    <t>E-780</t>
  </si>
  <si>
    <t>E-781</t>
  </si>
  <si>
    <t>E-782</t>
  </si>
  <si>
    <t>E-783</t>
  </si>
  <si>
    <t>E-784</t>
  </si>
  <si>
    <t>E-785</t>
  </si>
  <si>
    <t>E-786</t>
  </si>
  <si>
    <t>E-787</t>
  </si>
  <si>
    <t>E-788</t>
  </si>
  <si>
    <t>E-789</t>
  </si>
  <si>
    <t>E-790</t>
  </si>
  <si>
    <t>E-791</t>
  </si>
  <si>
    <t>E-792</t>
  </si>
  <si>
    <t>E-793</t>
  </si>
  <si>
    <t>E-794</t>
  </si>
  <si>
    <t>E-795</t>
  </si>
  <si>
    <t>E-796</t>
  </si>
  <si>
    <t>E-797</t>
  </si>
  <si>
    <t>E-798</t>
  </si>
  <si>
    <t>E-799</t>
  </si>
  <si>
    <t>E-800</t>
  </si>
  <si>
    <t>E-801</t>
  </si>
  <si>
    <t>E-802</t>
  </si>
  <si>
    <t>E-803</t>
  </si>
  <si>
    <t>E-804</t>
  </si>
  <si>
    <t>E-805</t>
  </si>
  <si>
    <t>E-806</t>
  </si>
  <si>
    <t>E-807</t>
  </si>
  <si>
    <t>E-808</t>
  </si>
  <si>
    <t>E-809</t>
  </si>
  <si>
    <t>E-810</t>
  </si>
  <si>
    <t>E-811</t>
  </si>
  <si>
    <t>E-812</t>
  </si>
  <si>
    <t>E-813</t>
  </si>
  <si>
    <t>E-814</t>
  </si>
  <si>
    <t>E-815</t>
  </si>
  <si>
    <t>E-816</t>
  </si>
  <si>
    <t>E-817</t>
  </si>
  <si>
    <t>E-818</t>
  </si>
  <si>
    <t>E-819</t>
  </si>
  <si>
    <t>E-820</t>
  </si>
  <si>
    <t>E-821</t>
  </si>
  <si>
    <t>E-822</t>
  </si>
  <si>
    <t>E-823</t>
  </si>
  <si>
    <t>E-824</t>
  </si>
  <si>
    <t>E-825</t>
  </si>
  <si>
    <t>E-826</t>
  </si>
  <si>
    <t>E-827</t>
  </si>
  <si>
    <t>E-828</t>
  </si>
  <si>
    <t>E-829</t>
  </si>
  <si>
    <t>E-830</t>
  </si>
  <si>
    <t>E-831</t>
  </si>
  <si>
    <t>E-832</t>
  </si>
  <si>
    <t>E-833</t>
  </si>
  <si>
    <t>E-834</t>
  </si>
  <si>
    <t>E-835</t>
  </si>
  <si>
    <t>E-836</t>
  </si>
  <si>
    <t>E-837</t>
  </si>
  <si>
    <t>E-838</t>
  </si>
  <si>
    <t>E-839</t>
  </si>
  <si>
    <t>5-Sept-17--7-Sep-17</t>
  </si>
  <si>
    <t>E-840</t>
  </si>
  <si>
    <t>E-841</t>
  </si>
  <si>
    <t>E-842</t>
  </si>
  <si>
    <t>E-843</t>
  </si>
  <si>
    <t>E-844</t>
  </si>
  <si>
    <t>E-845</t>
  </si>
  <si>
    <t>E-846</t>
  </si>
  <si>
    <t>E-847</t>
  </si>
  <si>
    <t>E-848</t>
  </si>
  <si>
    <t>E-849</t>
  </si>
  <si>
    <t>E-850</t>
  </si>
  <si>
    <t>E-851</t>
  </si>
  <si>
    <t>E-852</t>
  </si>
  <si>
    <t>E-853</t>
  </si>
  <si>
    <t>26-Sep-17--------24/01/2018</t>
  </si>
  <si>
    <t>E-854</t>
  </si>
  <si>
    <t>E-855</t>
  </si>
  <si>
    <t>24/01/2018</t>
  </si>
  <si>
    <t>E-856</t>
  </si>
  <si>
    <t>E-857</t>
  </si>
  <si>
    <t>E-858</t>
  </si>
  <si>
    <t>E-859</t>
  </si>
  <si>
    <t>E-860</t>
  </si>
  <si>
    <t>E-861</t>
  </si>
  <si>
    <t>E-862</t>
  </si>
  <si>
    <t>E-863</t>
  </si>
  <si>
    <t>E-864</t>
  </si>
  <si>
    <t>E-865</t>
  </si>
  <si>
    <t>E-866</t>
  </si>
  <si>
    <t>E-867</t>
  </si>
  <si>
    <t>E-868</t>
  </si>
  <si>
    <t>E-869</t>
  </si>
  <si>
    <t>E-870</t>
  </si>
  <si>
    <t>E-871</t>
  </si>
  <si>
    <t>E-872</t>
  </si>
  <si>
    <t>E-873</t>
  </si>
  <si>
    <t>E-874</t>
  </si>
  <si>
    <t>E-875</t>
  </si>
  <si>
    <t>E-876</t>
  </si>
  <si>
    <t>E-877</t>
  </si>
  <si>
    <t>E-878</t>
  </si>
  <si>
    <t>E-879</t>
  </si>
  <si>
    <t>E-880</t>
  </si>
  <si>
    <t>E-881</t>
  </si>
  <si>
    <t>E-882</t>
  </si>
  <si>
    <t>E-883</t>
  </si>
  <si>
    <t>E-884</t>
  </si>
  <si>
    <t>E-885</t>
  </si>
  <si>
    <t>E-886</t>
  </si>
  <si>
    <t>E-887</t>
  </si>
  <si>
    <t>E-888</t>
  </si>
  <si>
    <t>E-889</t>
  </si>
  <si>
    <t>E-890</t>
  </si>
  <si>
    <t>E-891</t>
  </si>
  <si>
    <t>E-892</t>
  </si>
  <si>
    <t>E-893</t>
  </si>
  <si>
    <t>E-894</t>
  </si>
  <si>
    <t>E-895</t>
  </si>
  <si>
    <t>E-896</t>
  </si>
  <si>
    <t>E-897</t>
  </si>
  <si>
    <t>E-898</t>
  </si>
  <si>
    <t>E-899</t>
  </si>
  <si>
    <t>E-900</t>
  </si>
  <si>
    <t>E-901</t>
  </si>
  <si>
    <t>E-902</t>
  </si>
  <si>
    <t>E-903</t>
  </si>
  <si>
    <t>E-904</t>
  </si>
  <si>
    <t>E-905</t>
  </si>
  <si>
    <t>E-906</t>
  </si>
  <si>
    <t>E-907</t>
  </si>
  <si>
    <t>E-908</t>
  </si>
  <si>
    <t>E-909</t>
  </si>
  <si>
    <t>E-910</t>
  </si>
  <si>
    <t>E-911</t>
  </si>
  <si>
    <t>6-Sep-17--7-Sep-17</t>
  </si>
  <si>
    <t>E-912</t>
  </si>
  <si>
    <t>E-913</t>
  </si>
  <si>
    <t>E-914</t>
  </si>
  <si>
    <t>E-915</t>
  </si>
  <si>
    <t>E-916</t>
  </si>
  <si>
    <t>E-917</t>
  </si>
  <si>
    <t>E-918</t>
  </si>
  <si>
    <t>E-919</t>
  </si>
  <si>
    <t>E-920</t>
  </si>
  <si>
    <t>E-921</t>
  </si>
  <si>
    <t>E-922</t>
  </si>
  <si>
    <t>E-923</t>
  </si>
  <si>
    <t>E-924</t>
  </si>
  <si>
    <t>E-925</t>
  </si>
  <si>
    <t>5-Sep-17---6-Sep-17--7-Sep-17-----08-Sep-17</t>
  </si>
  <si>
    <t>E-926</t>
  </si>
  <si>
    <t>E-927</t>
  </si>
  <si>
    <t>E-928</t>
  </si>
  <si>
    <t>E-929</t>
  </si>
  <si>
    <t>E-930</t>
  </si>
  <si>
    <t>E-931</t>
  </si>
  <si>
    <t>E-932</t>
  </si>
  <si>
    <t>E-933</t>
  </si>
  <si>
    <t>E-934</t>
  </si>
  <si>
    <t>E-935</t>
  </si>
  <si>
    <t>E-936</t>
  </si>
  <si>
    <t>E-937</t>
  </si>
  <si>
    <t>E-938</t>
  </si>
  <si>
    <t>E-939</t>
  </si>
  <si>
    <t>E-940</t>
  </si>
  <si>
    <t>E-941</t>
  </si>
  <si>
    <t>E-942</t>
  </si>
  <si>
    <t>E-943</t>
  </si>
  <si>
    <t>E-944</t>
  </si>
  <si>
    <t>E-945</t>
  </si>
  <si>
    <t>E-946</t>
  </si>
  <si>
    <t>E-947</t>
  </si>
  <si>
    <t>E-948</t>
  </si>
  <si>
    <t>E-949</t>
  </si>
  <si>
    <t>E-950</t>
  </si>
  <si>
    <t>E-951</t>
  </si>
  <si>
    <t>E-952</t>
  </si>
  <si>
    <t>E-953</t>
  </si>
  <si>
    <t>E-954</t>
  </si>
  <si>
    <t>E-955</t>
  </si>
  <si>
    <t>E-956</t>
  </si>
  <si>
    <t>E-957</t>
  </si>
  <si>
    <t>E-958</t>
  </si>
  <si>
    <t>E-959</t>
  </si>
  <si>
    <t>E-960</t>
  </si>
  <si>
    <t>E-961</t>
  </si>
  <si>
    <t>E-962</t>
  </si>
  <si>
    <t>E-963</t>
  </si>
  <si>
    <t>E-964</t>
  </si>
  <si>
    <t>E-965</t>
  </si>
  <si>
    <t>E-966</t>
  </si>
  <si>
    <t>E-967</t>
  </si>
  <si>
    <t>E-968</t>
  </si>
  <si>
    <t>E-969</t>
  </si>
  <si>
    <t>E-970</t>
  </si>
  <si>
    <t>E-971</t>
  </si>
  <si>
    <t>E-972</t>
  </si>
  <si>
    <t>E-973</t>
  </si>
  <si>
    <t>E-974</t>
  </si>
  <si>
    <t>E-975</t>
  </si>
  <si>
    <t>E-976</t>
  </si>
  <si>
    <t>E-977</t>
  </si>
  <si>
    <t>E-978</t>
  </si>
  <si>
    <t>E-979</t>
  </si>
  <si>
    <t>E-980</t>
  </si>
  <si>
    <t>E-981</t>
  </si>
  <si>
    <t>E-982</t>
  </si>
  <si>
    <t>E-983</t>
  </si>
  <si>
    <t>E-984</t>
  </si>
  <si>
    <t>E-985</t>
  </si>
  <si>
    <t>E-986</t>
  </si>
  <si>
    <t>E-987</t>
  </si>
  <si>
    <t>E-988</t>
  </si>
  <si>
    <t>E-989</t>
  </si>
  <si>
    <t>E-990</t>
  </si>
  <si>
    <t>E-991</t>
  </si>
  <si>
    <t>E-992</t>
  </si>
  <si>
    <t>E-993</t>
  </si>
  <si>
    <t>E-994</t>
  </si>
  <si>
    <t>E-995</t>
  </si>
  <si>
    <t>E-996</t>
  </si>
  <si>
    <t>E-997</t>
  </si>
  <si>
    <t>E-998</t>
  </si>
  <si>
    <t>E-999</t>
  </si>
  <si>
    <t>E-1000</t>
  </si>
  <si>
    <t>E-1001</t>
  </si>
  <si>
    <t>E-1002</t>
  </si>
  <si>
    <t>E-1003</t>
  </si>
  <si>
    <t>E-1004</t>
  </si>
  <si>
    <t>E-1005</t>
  </si>
  <si>
    <t>E-1006</t>
  </si>
  <si>
    <t>E-1007</t>
  </si>
  <si>
    <t>E-1008</t>
  </si>
  <si>
    <t>E-1009</t>
  </si>
  <si>
    <t>E-1010</t>
  </si>
  <si>
    <t>E-1011</t>
  </si>
  <si>
    <t>E-1012</t>
  </si>
  <si>
    <t>E-1013</t>
  </si>
  <si>
    <t>E-1014</t>
  </si>
  <si>
    <t>E-1015</t>
  </si>
  <si>
    <t>E-1016</t>
  </si>
  <si>
    <t>E-1017</t>
  </si>
  <si>
    <t>E-1018</t>
  </si>
  <si>
    <t>E-1019</t>
  </si>
  <si>
    <t>E-1020</t>
  </si>
  <si>
    <t>E-1021</t>
  </si>
  <si>
    <t>E-1022</t>
  </si>
  <si>
    <t>E-1023</t>
  </si>
  <si>
    <t>E-1024</t>
  </si>
  <si>
    <t>E-1025</t>
  </si>
  <si>
    <t>E-1026</t>
  </si>
  <si>
    <t>E-1027</t>
  </si>
  <si>
    <t>E-1028</t>
  </si>
  <si>
    <t>E-1029</t>
  </si>
  <si>
    <t>E-1030</t>
  </si>
  <si>
    <t>E-1031</t>
  </si>
  <si>
    <t>E-1032</t>
  </si>
  <si>
    <t>E-1033</t>
  </si>
  <si>
    <t>E-1034</t>
  </si>
  <si>
    <t>E-1035</t>
  </si>
  <si>
    <t>E-1036</t>
  </si>
  <si>
    <t>E-1037</t>
  </si>
  <si>
    <t>E-1038</t>
  </si>
  <si>
    <t>E-1039</t>
  </si>
  <si>
    <t>E-1040</t>
  </si>
  <si>
    <t>E-1041</t>
  </si>
  <si>
    <t>E-1042</t>
  </si>
  <si>
    <t>E-1043</t>
  </si>
  <si>
    <t>E-1044</t>
  </si>
  <si>
    <t>E-1045</t>
  </si>
  <si>
    <t>E-1046</t>
  </si>
  <si>
    <t>E-1047</t>
  </si>
  <si>
    <t>E-1048</t>
  </si>
  <si>
    <t>E-1049</t>
  </si>
  <si>
    <t>E-1050</t>
  </si>
  <si>
    <t>E-1051</t>
  </si>
  <si>
    <t>E-1052</t>
  </si>
  <si>
    <t>E-1053</t>
  </si>
  <si>
    <t>E-1054</t>
  </si>
  <si>
    <t>E-1055</t>
  </si>
  <si>
    <t>E-1056</t>
  </si>
  <si>
    <t>E-1057</t>
  </si>
  <si>
    <t>E-1058</t>
  </si>
  <si>
    <t>E-1059</t>
  </si>
  <si>
    <t>E-1060</t>
  </si>
  <si>
    <t>E-1061</t>
  </si>
  <si>
    <t>E-1062</t>
  </si>
  <si>
    <t>E-1063</t>
  </si>
  <si>
    <t>E-1064</t>
  </si>
  <si>
    <t>E-1065</t>
  </si>
  <si>
    <t>E-1066</t>
  </si>
  <si>
    <t>E-1067</t>
  </si>
  <si>
    <t>E-1068</t>
  </si>
  <si>
    <t>E-1069</t>
  </si>
  <si>
    <t>E-1070</t>
  </si>
  <si>
    <t>E-1071</t>
  </si>
  <si>
    <t>3-Sept-17-----04-Sept-17</t>
  </si>
  <si>
    <t>E-1072</t>
  </si>
  <si>
    <t>E-1073</t>
  </si>
  <si>
    <t>E-1074</t>
  </si>
  <si>
    <t>E-1075</t>
  </si>
  <si>
    <t>E-1076</t>
  </si>
  <si>
    <t>E-1077</t>
  </si>
  <si>
    <t>E-1078</t>
  </si>
  <si>
    <t>E-1079</t>
  </si>
  <si>
    <t>E-1080</t>
  </si>
  <si>
    <t>E-1081</t>
  </si>
  <si>
    <t>E-1082</t>
  </si>
  <si>
    <t>E-1083</t>
  </si>
  <si>
    <t>E-1084</t>
  </si>
  <si>
    <t>E-1085</t>
  </si>
  <si>
    <t>E-1086</t>
  </si>
  <si>
    <t>E-1087</t>
  </si>
  <si>
    <t>E-1088</t>
  </si>
  <si>
    <t>E-1089</t>
  </si>
  <si>
    <t>E-1090</t>
  </si>
  <si>
    <t>E-1091</t>
  </si>
  <si>
    <t>E-1092</t>
  </si>
  <si>
    <t>E-1093</t>
  </si>
  <si>
    <t>E-1094</t>
  </si>
  <si>
    <t>E-1095</t>
  </si>
  <si>
    <t>E-1096</t>
  </si>
  <si>
    <t>E-1097</t>
  </si>
  <si>
    <t>E-1098</t>
  </si>
  <si>
    <t>E-1099</t>
  </si>
  <si>
    <t>E-1100</t>
  </si>
  <si>
    <t>E-1101</t>
  </si>
  <si>
    <t>E-1102</t>
  </si>
  <si>
    <t>E-1103</t>
  </si>
  <si>
    <t>E-1104</t>
  </si>
  <si>
    <t>E-1105</t>
  </si>
  <si>
    <t>E-1106</t>
  </si>
  <si>
    <t>E-1107</t>
  </si>
  <si>
    <t>E-1108</t>
  </si>
  <si>
    <t>E-1109</t>
  </si>
  <si>
    <t>E-1110</t>
  </si>
  <si>
    <t>E-1111</t>
  </si>
  <si>
    <t>E-1112</t>
  </si>
  <si>
    <t>E-1113</t>
  </si>
  <si>
    <t>E-1114</t>
  </si>
  <si>
    <t>E-1115</t>
  </si>
  <si>
    <t>E-1116</t>
  </si>
  <si>
    <t>E-1117</t>
  </si>
  <si>
    <t>E-1118</t>
  </si>
  <si>
    <t>E-1119</t>
  </si>
  <si>
    <t>E-1120</t>
  </si>
  <si>
    <t>E-1121</t>
  </si>
  <si>
    <t>E-1122</t>
  </si>
  <si>
    <t>E-1123</t>
  </si>
  <si>
    <t>E-1124</t>
  </si>
  <si>
    <t>E-1125</t>
  </si>
  <si>
    <t>E-1126</t>
  </si>
  <si>
    <t>E-1127</t>
  </si>
  <si>
    <t>E-1128</t>
  </si>
  <si>
    <t>E-1129</t>
  </si>
  <si>
    <t>E-1130</t>
  </si>
  <si>
    <t>E-1131</t>
  </si>
  <si>
    <t>E-1132</t>
  </si>
  <si>
    <t>E-1133</t>
  </si>
  <si>
    <t>E-1134</t>
  </si>
  <si>
    <t>E-1135</t>
  </si>
  <si>
    <t>E-1136</t>
  </si>
  <si>
    <t>4-Sept-17--07-Sep-17</t>
  </si>
  <si>
    <t>E-1137</t>
  </si>
  <si>
    <t>E-1138</t>
  </si>
  <si>
    <t>E-1139</t>
  </si>
  <si>
    <t>E-1140</t>
  </si>
  <si>
    <t>E-1141</t>
  </si>
  <si>
    <t>E-1142</t>
  </si>
  <si>
    <t>E-1143</t>
  </si>
  <si>
    <t>E-1144</t>
  </si>
  <si>
    <t>E-1145</t>
  </si>
  <si>
    <t>E-1146</t>
  </si>
  <si>
    <t>E-1147</t>
  </si>
  <si>
    <t>E-1148</t>
  </si>
  <si>
    <t>7-Sep-17--9-Sep-17</t>
  </si>
  <si>
    <t>E-1149</t>
  </si>
  <si>
    <t>E-1150</t>
  </si>
  <si>
    <t>E-1151</t>
  </si>
  <si>
    <t>E-1152</t>
  </si>
  <si>
    <t>E-1153</t>
  </si>
  <si>
    <t>E-1154</t>
  </si>
  <si>
    <t>E-1155</t>
  </si>
  <si>
    <t>E-1156</t>
  </si>
  <si>
    <t>E-1157</t>
  </si>
  <si>
    <t>E-1158</t>
  </si>
  <si>
    <t>6-Sep-17---7-Sep-17</t>
  </si>
  <si>
    <t>E-1159</t>
  </si>
  <si>
    <t>E-1160</t>
  </si>
  <si>
    <t>E-1161</t>
  </si>
  <si>
    <t>7-Sep-17--08-Sep-17</t>
  </si>
  <si>
    <t>E-1162</t>
  </si>
  <si>
    <t>E-1163</t>
  </si>
  <si>
    <t>E-1164</t>
  </si>
  <si>
    <t>E-1165</t>
  </si>
  <si>
    <t>E-1166</t>
  </si>
  <si>
    <t>E-1167</t>
  </si>
  <si>
    <t>E-1168</t>
  </si>
  <si>
    <t>E-1169</t>
  </si>
  <si>
    <t>E-1170</t>
  </si>
  <si>
    <t>E-1171</t>
  </si>
  <si>
    <t>E-1172</t>
  </si>
  <si>
    <t>E-1173</t>
  </si>
  <si>
    <t>E-1174</t>
  </si>
  <si>
    <t>E-1175</t>
  </si>
  <si>
    <t>E-1176</t>
  </si>
  <si>
    <t>E-1177</t>
  </si>
  <si>
    <t>E-1178</t>
  </si>
  <si>
    <t>E-1179</t>
  </si>
  <si>
    <t>E-1180</t>
  </si>
  <si>
    <t>E-1181</t>
  </si>
  <si>
    <t>E-1182</t>
  </si>
  <si>
    <t>E-1183</t>
  </si>
  <si>
    <t>E-1184</t>
  </si>
  <si>
    <t>E-1185</t>
  </si>
  <si>
    <t>E-1186</t>
  </si>
  <si>
    <t>E-1187</t>
  </si>
  <si>
    <t>E-1188</t>
  </si>
  <si>
    <t>E-1189</t>
  </si>
  <si>
    <t>E-1190</t>
  </si>
  <si>
    <t>E-1191</t>
  </si>
  <si>
    <t>E-1192</t>
  </si>
  <si>
    <t>E-1193</t>
  </si>
  <si>
    <t>E-1194</t>
  </si>
  <si>
    <t>E-1195</t>
  </si>
  <si>
    <t>E-1196</t>
  </si>
  <si>
    <t>E-1197</t>
  </si>
  <si>
    <t>E-1198</t>
  </si>
  <si>
    <t>E-1199</t>
  </si>
  <si>
    <t>E-1200</t>
  </si>
  <si>
    <t>E-1201</t>
  </si>
  <si>
    <t>E-1202</t>
  </si>
  <si>
    <t>E-1203</t>
  </si>
  <si>
    <t>E-1204</t>
  </si>
  <si>
    <t>E-1205</t>
  </si>
  <si>
    <t>E-1206</t>
  </si>
  <si>
    <t>E-1207</t>
  </si>
  <si>
    <t>E-1208</t>
  </si>
  <si>
    <t>E-1209</t>
  </si>
  <si>
    <t>E-1210</t>
  </si>
  <si>
    <t>E-1211</t>
  </si>
  <si>
    <t>E-1212</t>
  </si>
  <si>
    <t>E-1213</t>
  </si>
  <si>
    <t>E-1214</t>
  </si>
  <si>
    <t>E-1215</t>
  </si>
  <si>
    <t>E-1216</t>
  </si>
  <si>
    <t>E-1217</t>
  </si>
  <si>
    <t>E-1218</t>
  </si>
  <si>
    <t>E-1219</t>
  </si>
  <si>
    <t>E-1220</t>
  </si>
  <si>
    <t>E-1221</t>
  </si>
  <si>
    <t>E-1222</t>
  </si>
  <si>
    <t>E-1223</t>
  </si>
  <si>
    <t>E-1224</t>
  </si>
  <si>
    <t>7-Sep-17---09-Sep-17</t>
  </si>
  <si>
    <t>E-1225</t>
  </si>
  <si>
    <t>E-1226</t>
  </si>
  <si>
    <t>(537)TAQUERIA SANTA ANA</t>
  </si>
  <si>
    <t>E-1227</t>
  </si>
  <si>
    <t>E-1228</t>
  </si>
  <si>
    <t>E-1229</t>
  </si>
  <si>
    <t>E-1230</t>
  </si>
  <si>
    <t>E-1231</t>
  </si>
  <si>
    <t>E-1232</t>
  </si>
  <si>
    <t>E-1233</t>
  </si>
  <si>
    <t>E-1234</t>
  </si>
  <si>
    <t>E-1235</t>
  </si>
  <si>
    <t>E-1236</t>
  </si>
  <si>
    <t>E-1237</t>
  </si>
  <si>
    <t>E-1238</t>
  </si>
  <si>
    <t>E-1239</t>
  </si>
  <si>
    <t>E-1240</t>
  </si>
  <si>
    <t>E-1241</t>
  </si>
  <si>
    <t>E-1242</t>
  </si>
  <si>
    <t>E-1243</t>
  </si>
  <si>
    <t>E-1244</t>
  </si>
  <si>
    <t>E-1245</t>
  </si>
  <si>
    <t>E-1246</t>
  </si>
  <si>
    <t>E-1247</t>
  </si>
  <si>
    <t>E-1248</t>
  </si>
  <si>
    <t>E-1249</t>
  </si>
  <si>
    <t>E-1250</t>
  </si>
  <si>
    <t>E-1251</t>
  </si>
  <si>
    <t>E-1252</t>
  </si>
  <si>
    <t>E-1253</t>
  </si>
  <si>
    <t>E-1254</t>
  </si>
  <si>
    <t>E-1255</t>
  </si>
  <si>
    <t>E-1256</t>
  </si>
  <si>
    <t>E-1257</t>
  </si>
  <si>
    <t>E-1258</t>
  </si>
  <si>
    <t>E-1259</t>
  </si>
  <si>
    <t>E-1260</t>
  </si>
  <si>
    <t>E-1261</t>
  </si>
  <si>
    <t>E-1262</t>
  </si>
  <si>
    <t>E-1263</t>
  </si>
  <si>
    <t>E-1264</t>
  </si>
  <si>
    <t>E-1265</t>
  </si>
  <si>
    <t>E-1266</t>
  </si>
  <si>
    <t>E-1267</t>
  </si>
  <si>
    <t>E-1268</t>
  </si>
  <si>
    <t>E-1269</t>
  </si>
  <si>
    <t>E-1270</t>
  </si>
  <si>
    <t>E-1271</t>
  </si>
  <si>
    <t>E-1272</t>
  </si>
  <si>
    <t>E-1273</t>
  </si>
  <si>
    <t>E-1274</t>
  </si>
  <si>
    <t>E-1275</t>
  </si>
  <si>
    <t>E-1276</t>
  </si>
  <si>
    <t>E-1277</t>
  </si>
  <si>
    <t>E-1278</t>
  </si>
  <si>
    <t>E-1279</t>
  </si>
  <si>
    <t>E-1280</t>
  </si>
  <si>
    <t>E-1281</t>
  </si>
  <si>
    <t>E-1282</t>
  </si>
  <si>
    <t>E-1283</t>
  </si>
  <si>
    <t>E-1284</t>
  </si>
  <si>
    <t>E-1285</t>
  </si>
  <si>
    <t>E-1286</t>
  </si>
  <si>
    <t>E-1287</t>
  </si>
  <si>
    <t>E-1288</t>
  </si>
  <si>
    <t>E-1289</t>
  </si>
  <si>
    <t>E-1290</t>
  </si>
  <si>
    <t>E-1291</t>
  </si>
  <si>
    <t>E-1292</t>
  </si>
  <si>
    <t>E-1293</t>
  </si>
  <si>
    <t>E-1294</t>
  </si>
  <si>
    <t>E-1295</t>
  </si>
  <si>
    <t>E-1296</t>
  </si>
  <si>
    <t>E-1297</t>
  </si>
  <si>
    <t>E-1298</t>
  </si>
  <si>
    <t>E-1299</t>
  </si>
  <si>
    <t>E-1300</t>
  </si>
  <si>
    <t>E-1301</t>
  </si>
  <si>
    <t>E-1302</t>
  </si>
  <si>
    <t>E-1303</t>
  </si>
  <si>
    <t>E-1304</t>
  </si>
  <si>
    <t>E-1305</t>
  </si>
  <si>
    <t>E-1306</t>
  </si>
  <si>
    <t>E-1307</t>
  </si>
  <si>
    <t>E-1308</t>
  </si>
  <si>
    <t>E-1309</t>
  </si>
  <si>
    <t>E-1310</t>
  </si>
  <si>
    <t>E-1311</t>
  </si>
  <si>
    <t>E-1312</t>
  </si>
  <si>
    <t>E-1313</t>
  </si>
  <si>
    <t>E-1314</t>
  </si>
  <si>
    <t>E-1315</t>
  </si>
  <si>
    <t>E-1316</t>
  </si>
  <si>
    <t>E-1317</t>
  </si>
  <si>
    <t>E-1318</t>
  </si>
  <si>
    <t>E-1319</t>
  </si>
  <si>
    <t>E-1320</t>
  </si>
  <si>
    <t>E-1321</t>
  </si>
  <si>
    <t>E-1322</t>
  </si>
  <si>
    <t>E-1323</t>
  </si>
  <si>
    <t>E-1324</t>
  </si>
  <si>
    <t>E-1325</t>
  </si>
  <si>
    <t>E-1326</t>
  </si>
  <si>
    <t>E-1327</t>
  </si>
  <si>
    <t>E-1328</t>
  </si>
  <si>
    <t>E-1329</t>
  </si>
  <si>
    <t>E-1330</t>
  </si>
  <si>
    <t>E-1331</t>
  </si>
  <si>
    <t>E-1332</t>
  </si>
  <si>
    <t>E-1333</t>
  </si>
  <si>
    <t>E-1334</t>
  </si>
  <si>
    <t>E-1335</t>
  </si>
  <si>
    <t>E-1336</t>
  </si>
  <si>
    <t>E-1337</t>
  </si>
  <si>
    <t>E-1338</t>
  </si>
  <si>
    <t>E-1339</t>
  </si>
  <si>
    <t>E-1340</t>
  </si>
  <si>
    <t>E-1341</t>
  </si>
  <si>
    <t>E-1342</t>
  </si>
  <si>
    <t>E-1343</t>
  </si>
  <si>
    <t>E-1344</t>
  </si>
  <si>
    <t>E-1345</t>
  </si>
  <si>
    <t>E-1346</t>
  </si>
  <si>
    <t>E-1347</t>
  </si>
  <si>
    <t>E-1348</t>
  </si>
  <si>
    <t>E-1349</t>
  </si>
  <si>
    <t>E-1350</t>
  </si>
  <si>
    <t>E-1351</t>
  </si>
  <si>
    <t>E-1352</t>
  </si>
  <si>
    <t>E-1353</t>
  </si>
  <si>
    <t>E-1354</t>
  </si>
  <si>
    <t>E-1355</t>
  </si>
  <si>
    <t>E-1356</t>
  </si>
  <si>
    <t>E-1357</t>
  </si>
  <si>
    <t>E-1358</t>
  </si>
  <si>
    <t>E-1359</t>
  </si>
  <si>
    <t>E-1360</t>
  </si>
  <si>
    <t>E-1361</t>
  </si>
  <si>
    <t>E-1362</t>
  </si>
  <si>
    <t>E-1363</t>
  </si>
  <si>
    <t>E-1364</t>
  </si>
  <si>
    <t>E-1365</t>
  </si>
  <si>
    <t>E-1366</t>
  </si>
  <si>
    <t>E-1367</t>
  </si>
  <si>
    <t>E-1368</t>
  </si>
  <si>
    <t>E-1369</t>
  </si>
  <si>
    <t>E-1370</t>
  </si>
  <si>
    <t>E-1371</t>
  </si>
  <si>
    <t>E-1372</t>
  </si>
  <si>
    <t>E-1373</t>
  </si>
  <si>
    <t>E-1374</t>
  </si>
  <si>
    <t>E-1375</t>
  </si>
  <si>
    <t>E-1376</t>
  </si>
  <si>
    <t>E-1377</t>
  </si>
  <si>
    <t>E-1378</t>
  </si>
  <si>
    <t>E-1379</t>
  </si>
  <si>
    <t>E-1380</t>
  </si>
  <si>
    <t>E-1381</t>
  </si>
  <si>
    <t>E-1382</t>
  </si>
  <si>
    <t>E-1383</t>
  </si>
  <si>
    <t>E-1384</t>
  </si>
  <si>
    <t>E-1385</t>
  </si>
  <si>
    <t>E-1386</t>
  </si>
  <si>
    <t>E-1387</t>
  </si>
  <si>
    <t>E-1388</t>
  </si>
  <si>
    <t>E-1389</t>
  </si>
  <si>
    <t>E-1390</t>
  </si>
  <si>
    <t>E-1391</t>
  </si>
  <si>
    <t>E-1392</t>
  </si>
  <si>
    <t>E-1393</t>
  </si>
  <si>
    <t>E-1394</t>
  </si>
  <si>
    <t>E-1395</t>
  </si>
  <si>
    <t>E-1396</t>
  </si>
  <si>
    <t>E-1397</t>
  </si>
  <si>
    <t>E-1398</t>
  </si>
  <si>
    <t>E-1399</t>
  </si>
  <si>
    <t>E-1400</t>
  </si>
  <si>
    <t>E-1401</t>
  </si>
  <si>
    <t>E-1402</t>
  </si>
  <si>
    <t>E-1403</t>
  </si>
  <si>
    <t>E-1404</t>
  </si>
  <si>
    <t>E-1405</t>
  </si>
  <si>
    <t>E-1406</t>
  </si>
  <si>
    <t>E-1407</t>
  </si>
  <si>
    <t>E-1408</t>
  </si>
  <si>
    <t>E-1409</t>
  </si>
  <si>
    <t>E-1410</t>
  </si>
  <si>
    <t>E-1411</t>
  </si>
  <si>
    <t>E-1412</t>
  </si>
  <si>
    <t>E-1413</t>
  </si>
  <si>
    <t>E-1414</t>
  </si>
  <si>
    <t>E-1415</t>
  </si>
  <si>
    <t>E-1416</t>
  </si>
  <si>
    <t>E-1417</t>
  </si>
  <si>
    <t>E-1418</t>
  </si>
  <si>
    <t>E-1419</t>
  </si>
  <si>
    <t>E-1420</t>
  </si>
  <si>
    <t>E-1421</t>
  </si>
  <si>
    <t>E-1422</t>
  </si>
  <si>
    <t>E-1423</t>
  </si>
  <si>
    <t>E-1424</t>
  </si>
  <si>
    <t>E-1425</t>
  </si>
  <si>
    <t>E-1426</t>
  </si>
  <si>
    <t>E-1427</t>
  </si>
  <si>
    <t>E-1428</t>
  </si>
  <si>
    <t>9-Sep-17--23-Sep-17</t>
  </si>
  <si>
    <t>E-1429</t>
  </si>
  <si>
    <t>E-1430</t>
  </si>
  <si>
    <t>E-1431</t>
  </si>
  <si>
    <t>E-1432</t>
  </si>
  <si>
    <t>E-1433</t>
  </si>
  <si>
    <t>E-1434</t>
  </si>
  <si>
    <t>E-1435</t>
  </si>
  <si>
    <t>E-1436</t>
  </si>
  <si>
    <t>E-1437</t>
  </si>
  <si>
    <t>E-1438</t>
  </si>
  <si>
    <t>E-1439</t>
  </si>
  <si>
    <t>E-1440</t>
  </si>
  <si>
    <t>E-1441</t>
  </si>
  <si>
    <t>E-1442</t>
  </si>
  <si>
    <t>E-1443</t>
  </si>
  <si>
    <t>E-1444</t>
  </si>
  <si>
    <t>E-1445</t>
  </si>
  <si>
    <t>E-1446</t>
  </si>
  <si>
    <t>E-1447</t>
  </si>
  <si>
    <t>E-1448</t>
  </si>
  <si>
    <t>E-1449</t>
  </si>
  <si>
    <t>E-1450</t>
  </si>
  <si>
    <t>E-1451</t>
  </si>
  <si>
    <t>E-1452</t>
  </si>
  <si>
    <t>E-1453</t>
  </si>
  <si>
    <t>E-1454</t>
  </si>
  <si>
    <t>E-1455</t>
  </si>
  <si>
    <t>E-1456</t>
  </si>
  <si>
    <t>E-1457</t>
  </si>
  <si>
    <t>E-1458</t>
  </si>
  <si>
    <t>E-1459</t>
  </si>
  <si>
    <t>E-1460</t>
  </si>
  <si>
    <t>E-1461</t>
  </si>
  <si>
    <t>E-1462</t>
  </si>
  <si>
    <t>E-1463</t>
  </si>
  <si>
    <t>E-1464</t>
  </si>
  <si>
    <t>E-1465</t>
  </si>
  <si>
    <t>E-1466</t>
  </si>
  <si>
    <t>E-1467</t>
  </si>
  <si>
    <t>E-1468</t>
  </si>
  <si>
    <t>E-1469</t>
  </si>
  <si>
    <t>E-1470</t>
  </si>
  <si>
    <t>E-1471</t>
  </si>
  <si>
    <t>E-1472</t>
  </si>
  <si>
    <t>E-1473</t>
  </si>
  <si>
    <t>E-1474</t>
  </si>
  <si>
    <t>E-1475</t>
  </si>
  <si>
    <t>E-1476</t>
  </si>
  <si>
    <t>E-1477</t>
  </si>
  <si>
    <t>E-1478</t>
  </si>
  <si>
    <t>E-1479</t>
  </si>
  <si>
    <t>E-1480</t>
  </si>
  <si>
    <t>E-1481</t>
  </si>
  <si>
    <t>E-1482</t>
  </si>
  <si>
    <t>E-1483</t>
  </si>
  <si>
    <t>E-1484</t>
  </si>
  <si>
    <t>E-1485</t>
  </si>
  <si>
    <t>E-1486</t>
  </si>
  <si>
    <t>E-1487</t>
  </si>
  <si>
    <t>E-1488</t>
  </si>
  <si>
    <t>E-1489</t>
  </si>
  <si>
    <t>E-1490</t>
  </si>
  <si>
    <t>E-1491</t>
  </si>
  <si>
    <t>E-1492</t>
  </si>
  <si>
    <t>E-1493</t>
  </si>
  <si>
    <t>E-1494</t>
  </si>
  <si>
    <t>E-1495</t>
  </si>
  <si>
    <t>E-1496</t>
  </si>
  <si>
    <t>E-1497</t>
  </si>
  <si>
    <t>E-1498</t>
  </si>
  <si>
    <t>E-1499</t>
  </si>
  <si>
    <t>E-1500</t>
  </si>
  <si>
    <t>E-1501</t>
  </si>
  <si>
    <t>E-1502</t>
  </si>
  <si>
    <t>E-1503</t>
  </si>
  <si>
    <t>E-1504</t>
  </si>
  <si>
    <t>E-1505</t>
  </si>
  <si>
    <t>E-1506</t>
  </si>
  <si>
    <t>E-1507</t>
  </si>
  <si>
    <t>E-1508</t>
  </si>
  <si>
    <t>E-1509</t>
  </si>
  <si>
    <t>E-1510</t>
  </si>
  <si>
    <t>E-1511</t>
  </si>
  <si>
    <t>E-1512</t>
  </si>
  <si>
    <t>E-1513</t>
  </si>
  <si>
    <t>E-1514</t>
  </si>
  <si>
    <t>E-1515</t>
  </si>
  <si>
    <t>E-1516</t>
  </si>
  <si>
    <t>E-1517</t>
  </si>
  <si>
    <t>E-1518</t>
  </si>
  <si>
    <t>E-1519</t>
  </si>
  <si>
    <t>E-1520</t>
  </si>
  <si>
    <t>E-1521</t>
  </si>
  <si>
    <t>E-1522</t>
  </si>
  <si>
    <t>E-1523</t>
  </si>
  <si>
    <t>E-1524</t>
  </si>
  <si>
    <t>E-1525</t>
  </si>
  <si>
    <t>E-1526</t>
  </si>
  <si>
    <t>E-1527</t>
  </si>
  <si>
    <t>E-1528</t>
  </si>
  <si>
    <t>E-1529</t>
  </si>
  <si>
    <t>E-1530</t>
  </si>
  <si>
    <t>E-1531</t>
  </si>
  <si>
    <t>E-1532</t>
  </si>
  <si>
    <t>E-1533</t>
  </si>
  <si>
    <t>(696)CORAZON DE BRASIL SERDAN</t>
  </si>
  <si>
    <t>E-1534</t>
  </si>
  <si>
    <t>E-1535</t>
  </si>
  <si>
    <t>E-1536</t>
  </si>
  <si>
    <t>E-1537</t>
  </si>
  <si>
    <t>E-1538</t>
  </si>
  <si>
    <t>E-1539</t>
  </si>
  <si>
    <t>E-1540</t>
  </si>
  <si>
    <t>E-1541</t>
  </si>
  <si>
    <t>E-1542</t>
  </si>
  <si>
    <t>E-1543</t>
  </si>
  <si>
    <t>E-1544</t>
  </si>
  <si>
    <t>E-1545</t>
  </si>
  <si>
    <t>E-1546</t>
  </si>
  <si>
    <t>E-1547</t>
  </si>
  <si>
    <t>E-1548</t>
  </si>
  <si>
    <t>E-1549</t>
  </si>
  <si>
    <t>E-1550</t>
  </si>
  <si>
    <t>E-1551</t>
  </si>
  <si>
    <t>E-1552</t>
  </si>
  <si>
    <t>E-1553</t>
  </si>
  <si>
    <t>E-1554</t>
  </si>
  <si>
    <t>E-1555</t>
  </si>
  <si>
    <t>E-1556</t>
  </si>
  <si>
    <t>E-1557</t>
  </si>
  <si>
    <t>E-1558</t>
  </si>
  <si>
    <t>E-1559</t>
  </si>
  <si>
    <t>E-1560</t>
  </si>
  <si>
    <t>E-1561</t>
  </si>
  <si>
    <t>8-Sept-17-----09-Sep-17</t>
  </si>
  <si>
    <t>E-1562</t>
  </si>
  <si>
    <t>E-1563</t>
  </si>
  <si>
    <t>9-Sep-17----11-Sep-17</t>
  </si>
  <si>
    <t>E-1564</t>
  </si>
  <si>
    <t>E-1565</t>
  </si>
  <si>
    <t>E-1566</t>
  </si>
  <si>
    <t>E-1567</t>
  </si>
  <si>
    <t>E-1568</t>
  </si>
  <si>
    <t>E-1569</t>
  </si>
  <si>
    <t>E-1570</t>
  </si>
  <si>
    <t>E-1571</t>
  </si>
  <si>
    <t>E-1572</t>
  </si>
  <si>
    <t>E-1573</t>
  </si>
  <si>
    <t>E-1574</t>
  </si>
  <si>
    <t>E-1575</t>
  </si>
  <si>
    <t>E-1576</t>
  </si>
  <si>
    <t>E-1577</t>
  </si>
  <si>
    <t>E-1578</t>
  </si>
  <si>
    <t>E-1579</t>
  </si>
  <si>
    <t>E-1580</t>
  </si>
  <si>
    <t>E-1581</t>
  </si>
  <si>
    <t>E-1582</t>
  </si>
  <si>
    <t>E-1583</t>
  </si>
  <si>
    <t>E-1584</t>
  </si>
  <si>
    <t>E-1585</t>
  </si>
  <si>
    <t>E-1586</t>
  </si>
  <si>
    <t>E-1587</t>
  </si>
  <si>
    <t>E-1588</t>
  </si>
  <si>
    <t>E-1589</t>
  </si>
  <si>
    <t>E-1590</t>
  </si>
  <si>
    <t>E-1591</t>
  </si>
  <si>
    <t>E-1592</t>
  </si>
  <si>
    <t>E-1593</t>
  </si>
  <si>
    <t>E-1594</t>
  </si>
  <si>
    <t>E-1595</t>
  </si>
  <si>
    <t>E-1596</t>
  </si>
  <si>
    <t>E-1597</t>
  </si>
  <si>
    <t>E-1598</t>
  </si>
  <si>
    <t>E-1599</t>
  </si>
  <si>
    <t>E-1600</t>
  </si>
  <si>
    <t>E-1601</t>
  </si>
  <si>
    <t>E-1602</t>
  </si>
  <si>
    <t>E-1603</t>
  </si>
  <si>
    <t>E-1604</t>
  </si>
  <si>
    <t>E-1605</t>
  </si>
  <si>
    <t>E-1606</t>
  </si>
  <si>
    <t>E-1607</t>
  </si>
  <si>
    <t>E-1608</t>
  </si>
  <si>
    <t>E-1609</t>
  </si>
  <si>
    <t>E-1610</t>
  </si>
  <si>
    <t>E-1611</t>
  </si>
  <si>
    <t>E-1612</t>
  </si>
  <si>
    <t>E-1613</t>
  </si>
  <si>
    <t>E-1614</t>
  </si>
  <si>
    <t>E-1615</t>
  </si>
  <si>
    <t>E-1616</t>
  </si>
  <si>
    <t>E-1617</t>
  </si>
  <si>
    <t>E-1618</t>
  </si>
  <si>
    <t>E-1619</t>
  </si>
  <si>
    <t>(697)COMISION DEL MERCADO</t>
  </si>
  <si>
    <t>E-1620</t>
  </si>
  <si>
    <t>E-1621</t>
  </si>
  <si>
    <t>E-1622</t>
  </si>
  <si>
    <t>E-1623</t>
  </si>
  <si>
    <t>E-1624</t>
  </si>
  <si>
    <t>E-1625</t>
  </si>
  <si>
    <t>E-1626</t>
  </si>
  <si>
    <t>E-1627</t>
  </si>
  <si>
    <t>E-1628</t>
  </si>
  <si>
    <t>E-1629</t>
  </si>
  <si>
    <t>E-1630</t>
  </si>
  <si>
    <t>E-1631</t>
  </si>
  <si>
    <t>E-1632</t>
  </si>
  <si>
    <t>E-1633</t>
  </si>
  <si>
    <t>E-1634</t>
  </si>
  <si>
    <t>E-1635</t>
  </si>
  <si>
    <t>E-1636</t>
  </si>
  <si>
    <t>E-1637</t>
  </si>
  <si>
    <t>E-1638</t>
  </si>
  <si>
    <t>E-1639</t>
  </si>
  <si>
    <t>E-1640</t>
  </si>
  <si>
    <t>E-1641</t>
  </si>
  <si>
    <t>E-1642</t>
  </si>
  <si>
    <t>E-1643</t>
  </si>
  <si>
    <t>E-1644</t>
  </si>
  <si>
    <t>E-1645</t>
  </si>
  <si>
    <t>E-1646</t>
  </si>
  <si>
    <t>E-1647</t>
  </si>
  <si>
    <t>E-1648</t>
  </si>
  <si>
    <t>E-1649</t>
  </si>
  <si>
    <t>E-1650</t>
  </si>
  <si>
    <t>E-1651</t>
  </si>
  <si>
    <t>E-1652</t>
  </si>
  <si>
    <t>E-1653</t>
  </si>
  <si>
    <t>08/09/2017</t>
  </si>
  <si>
    <t>E-1654</t>
  </si>
  <si>
    <t>E-1655</t>
  </si>
  <si>
    <t>E-1656</t>
  </si>
  <si>
    <t>E-1657</t>
  </si>
  <si>
    <t>E-1658</t>
  </si>
  <si>
    <t>E-1659</t>
  </si>
  <si>
    <t>E-1660</t>
  </si>
  <si>
    <t>E-1661</t>
  </si>
  <si>
    <t>E-1662</t>
  </si>
  <si>
    <t>E-1663</t>
  </si>
  <si>
    <t>E-1664</t>
  </si>
  <si>
    <t>E-1665</t>
  </si>
  <si>
    <t>E-1666</t>
  </si>
  <si>
    <t>E-1667</t>
  </si>
  <si>
    <t>E-1668</t>
  </si>
  <si>
    <t>E-1669</t>
  </si>
  <si>
    <t>11-Sep-17--13-Sep-17</t>
  </si>
  <si>
    <t>E-1670</t>
  </si>
  <si>
    <t>8-Sep-17----09-Sep-17</t>
  </si>
  <si>
    <t>E-1671</t>
  </si>
  <si>
    <t>E-1672</t>
  </si>
  <si>
    <t>E-1673</t>
  </si>
  <si>
    <t>E-1674</t>
  </si>
  <si>
    <t>E-1675</t>
  </si>
  <si>
    <t>E-1676</t>
  </si>
  <si>
    <t>E-1677</t>
  </si>
  <si>
    <t>E-1678</t>
  </si>
  <si>
    <t>E-1679</t>
  </si>
  <si>
    <t>E-1680</t>
  </si>
  <si>
    <t>E-1681</t>
  </si>
  <si>
    <t>E-1682</t>
  </si>
  <si>
    <t>E-1683</t>
  </si>
  <si>
    <t>E-1684</t>
  </si>
  <si>
    <t>E-1685</t>
  </si>
  <si>
    <t>9-Sep-17--18-Sep-17</t>
  </si>
  <si>
    <t>E-1686</t>
  </si>
  <si>
    <t>E-1687</t>
  </si>
  <si>
    <t>E-1688</t>
  </si>
  <si>
    <t>(609)GIL LEDO</t>
  </si>
  <si>
    <t>E-1689</t>
  </si>
  <si>
    <t>11-Sep-17--12-Sep-17</t>
  </si>
  <si>
    <t>E-1690</t>
  </si>
  <si>
    <t>E-1691</t>
  </si>
  <si>
    <t>E-1692</t>
  </si>
  <si>
    <t>9-Sep-17--12-Sep-17</t>
  </si>
  <si>
    <t>E-1693</t>
  </si>
  <si>
    <t>E-1694</t>
  </si>
  <si>
    <t>E-1695</t>
  </si>
  <si>
    <t>E-1696</t>
  </si>
  <si>
    <t>E-1697</t>
  </si>
  <si>
    <t>E-1698</t>
  </si>
  <si>
    <t>E-1699</t>
  </si>
  <si>
    <t>E-1700</t>
  </si>
  <si>
    <t>E-1701</t>
  </si>
  <si>
    <t>E-1702</t>
  </si>
  <si>
    <t>E-1703</t>
  </si>
  <si>
    <t>E-1704</t>
  </si>
  <si>
    <t>E-1705</t>
  </si>
  <si>
    <t>E-1706</t>
  </si>
  <si>
    <t>E-1707</t>
  </si>
  <si>
    <t>E-1708</t>
  </si>
  <si>
    <t>E-1709</t>
  </si>
  <si>
    <t>E-1710</t>
  </si>
  <si>
    <t>E-1711</t>
  </si>
  <si>
    <t>E-1712</t>
  </si>
  <si>
    <t>E-1713</t>
  </si>
  <si>
    <t>E-1714</t>
  </si>
  <si>
    <t>E-1715</t>
  </si>
  <si>
    <t>E-1716</t>
  </si>
  <si>
    <t>E-1717</t>
  </si>
  <si>
    <t>E-1718</t>
  </si>
  <si>
    <t>E-1719</t>
  </si>
  <si>
    <t>E-1720</t>
  </si>
  <si>
    <t>E-1721</t>
  </si>
  <si>
    <t>E-1722</t>
  </si>
  <si>
    <t>E-1723</t>
  </si>
  <si>
    <t>E-1724</t>
  </si>
  <si>
    <t>E-1725</t>
  </si>
  <si>
    <t>E-1726</t>
  </si>
  <si>
    <t>E-1727</t>
  </si>
  <si>
    <t>E-1728</t>
  </si>
  <si>
    <t>E-1729</t>
  </si>
  <si>
    <t>E-1730</t>
  </si>
  <si>
    <t>E-1731</t>
  </si>
  <si>
    <t>E-1732</t>
  </si>
  <si>
    <t>E-1733</t>
  </si>
  <si>
    <t>E-1734</t>
  </si>
  <si>
    <t>E-1735</t>
  </si>
  <si>
    <t>E-1736</t>
  </si>
  <si>
    <t>E-1737</t>
  </si>
  <si>
    <t>E-1738</t>
  </si>
  <si>
    <t>E-1739</t>
  </si>
  <si>
    <t>E-1740</t>
  </si>
  <si>
    <t>E-1741</t>
  </si>
  <si>
    <t>E-1742</t>
  </si>
  <si>
    <t>E-1743</t>
  </si>
  <si>
    <t>E-1744</t>
  </si>
  <si>
    <t>E-1745</t>
  </si>
  <si>
    <t>E-1746</t>
  </si>
  <si>
    <t>11*9-17</t>
  </si>
  <si>
    <t>E-1747</t>
  </si>
  <si>
    <t>E-1748</t>
  </si>
  <si>
    <t>E-1749</t>
  </si>
  <si>
    <t>E-1750</t>
  </si>
  <si>
    <t>E-1751</t>
  </si>
  <si>
    <t>E-1752</t>
  </si>
  <si>
    <t>E-1753</t>
  </si>
  <si>
    <t>E-1754</t>
  </si>
  <si>
    <t>E-1755</t>
  </si>
  <si>
    <t>E-1756</t>
  </si>
  <si>
    <t>E-1757</t>
  </si>
  <si>
    <t>E-1758</t>
  </si>
  <si>
    <t>E-1759</t>
  </si>
  <si>
    <t>E-1760</t>
  </si>
  <si>
    <t>E-1761</t>
  </si>
  <si>
    <t>E-1762</t>
  </si>
  <si>
    <t>E-1763</t>
  </si>
  <si>
    <t>E-1764</t>
  </si>
  <si>
    <t>E-1765</t>
  </si>
  <si>
    <t>E-1766</t>
  </si>
  <si>
    <t>E-1767</t>
  </si>
  <si>
    <t>E-1768</t>
  </si>
  <si>
    <t>E-1769</t>
  </si>
  <si>
    <t>E-1770</t>
  </si>
  <si>
    <t>E-1771</t>
  </si>
  <si>
    <t>E-1772</t>
  </si>
  <si>
    <t>E-1773</t>
  </si>
  <si>
    <t>E-1774</t>
  </si>
  <si>
    <t>E-1775</t>
  </si>
  <si>
    <t>E-1776</t>
  </si>
  <si>
    <t>E-1777</t>
  </si>
  <si>
    <t>E-1778</t>
  </si>
  <si>
    <t>E-1779</t>
  </si>
  <si>
    <t>E-1780</t>
  </si>
  <si>
    <t>E-1781</t>
  </si>
  <si>
    <t>E-1782</t>
  </si>
  <si>
    <t>E-1783</t>
  </si>
  <si>
    <t>E-1784</t>
  </si>
  <si>
    <t>E-1785</t>
  </si>
  <si>
    <t>E-1786</t>
  </si>
  <si>
    <t>E-1787</t>
  </si>
  <si>
    <t>E-1788</t>
  </si>
  <si>
    <t>E-1789</t>
  </si>
  <si>
    <t>E-1790</t>
  </si>
  <si>
    <t>E-1791</t>
  </si>
  <si>
    <t>E-1792</t>
  </si>
  <si>
    <t>E-1793</t>
  </si>
  <si>
    <t>E-1794</t>
  </si>
  <si>
    <t>8-Sep---12-Sep-17</t>
  </si>
  <si>
    <t>E-1795</t>
  </si>
  <si>
    <t>E-1796</t>
  </si>
  <si>
    <t>E-1797</t>
  </si>
  <si>
    <t>E-1798</t>
  </si>
  <si>
    <t>E-1799</t>
  </si>
  <si>
    <t>E-1800</t>
  </si>
  <si>
    <t>E-1801</t>
  </si>
  <si>
    <t>E-1802</t>
  </si>
  <si>
    <t>E-1803</t>
  </si>
  <si>
    <t>E-1804</t>
  </si>
  <si>
    <t>E-1805</t>
  </si>
  <si>
    <t>E-1806</t>
  </si>
  <si>
    <t>E-1807</t>
  </si>
  <si>
    <t>E-1808</t>
  </si>
  <si>
    <t>E-1809</t>
  </si>
  <si>
    <t>E-1810</t>
  </si>
  <si>
    <t>E-1811</t>
  </si>
  <si>
    <t>E-1812</t>
  </si>
  <si>
    <t>E-1813</t>
  </si>
  <si>
    <t>E-1814</t>
  </si>
  <si>
    <t>E-1815</t>
  </si>
  <si>
    <t>Sin original ni copia azul</t>
  </si>
  <si>
    <t>E-1816</t>
  </si>
  <si>
    <t>E-1817</t>
  </si>
  <si>
    <t>E-1818</t>
  </si>
  <si>
    <t>E-1819</t>
  </si>
  <si>
    <t>E-1820</t>
  </si>
  <si>
    <t>E-1821</t>
  </si>
  <si>
    <t>E-1822</t>
  </si>
  <si>
    <t>E-1823</t>
  </si>
  <si>
    <t>E-1824</t>
  </si>
  <si>
    <t>E-1825</t>
  </si>
  <si>
    <t>E-1826</t>
  </si>
  <si>
    <t>E-1827</t>
  </si>
  <si>
    <t>E-1828</t>
  </si>
  <si>
    <t>E-1829</t>
  </si>
  <si>
    <t>E-1830</t>
  </si>
  <si>
    <t>E-1831</t>
  </si>
  <si>
    <t>12-Sep-17--18-Sep-17</t>
  </si>
  <si>
    <t>E-1832</t>
  </si>
  <si>
    <t>E-1833</t>
  </si>
  <si>
    <t>E-1834</t>
  </si>
  <si>
    <t>E-1835</t>
  </si>
  <si>
    <t>E-1836</t>
  </si>
  <si>
    <t>E-1837</t>
  </si>
  <si>
    <t>E-1838</t>
  </si>
  <si>
    <t>E-1839</t>
  </si>
  <si>
    <t>E-1840</t>
  </si>
  <si>
    <t>E-1841</t>
  </si>
  <si>
    <t>E-1842</t>
  </si>
  <si>
    <t>E-1843</t>
  </si>
  <si>
    <t>E-1844</t>
  </si>
  <si>
    <t>E-1845</t>
  </si>
  <si>
    <t>E-1846</t>
  </si>
  <si>
    <t>E-1847</t>
  </si>
  <si>
    <t>E-1848</t>
  </si>
  <si>
    <t>E-1849</t>
  </si>
  <si>
    <t>E-1850</t>
  </si>
  <si>
    <t>13-Sep-17--14-Sep-17</t>
  </si>
  <si>
    <t>E-1851</t>
  </si>
  <si>
    <t>E-1852</t>
  </si>
  <si>
    <t>E-1853</t>
  </si>
  <si>
    <t>12-Sep-17--14-Sep-17</t>
  </si>
  <si>
    <t>E-1854</t>
  </si>
  <si>
    <t>E-1855</t>
  </si>
  <si>
    <t>E-1856</t>
  </si>
  <si>
    <t>E-1857</t>
  </si>
  <si>
    <t>E-1858</t>
  </si>
  <si>
    <t>E-1859</t>
  </si>
  <si>
    <t>E-1860</t>
  </si>
  <si>
    <t>E-1861</t>
  </si>
  <si>
    <t>E-1862</t>
  </si>
  <si>
    <t>E-1863</t>
  </si>
  <si>
    <t>E-1864</t>
  </si>
  <si>
    <t>E-1865</t>
  </si>
  <si>
    <t>E-1866</t>
  </si>
  <si>
    <t>E-1867</t>
  </si>
  <si>
    <t>E-1868</t>
  </si>
  <si>
    <t>E-1869</t>
  </si>
  <si>
    <t>E-1870</t>
  </si>
  <si>
    <t>E-1871</t>
  </si>
  <si>
    <t>E-1872</t>
  </si>
  <si>
    <t>E-1873</t>
  </si>
  <si>
    <t>E-1874</t>
  </si>
  <si>
    <t>E-1875</t>
  </si>
  <si>
    <t>E-1876</t>
  </si>
  <si>
    <t>E-1877</t>
  </si>
  <si>
    <t>E-1878</t>
  </si>
  <si>
    <t>E-1879</t>
  </si>
  <si>
    <t>E-1880</t>
  </si>
  <si>
    <t>E-1881</t>
  </si>
  <si>
    <t>E-1882</t>
  </si>
  <si>
    <t>E-1883</t>
  </si>
  <si>
    <t>E-1884</t>
  </si>
  <si>
    <t>E-1885</t>
  </si>
  <si>
    <t>E-1886</t>
  </si>
  <si>
    <t>E-1887</t>
  </si>
  <si>
    <t>E-1888</t>
  </si>
  <si>
    <t>E-1889</t>
  </si>
  <si>
    <t>E-1890</t>
  </si>
  <si>
    <t>E-1891</t>
  </si>
  <si>
    <t>E-1892</t>
  </si>
  <si>
    <t>E-1893</t>
  </si>
  <si>
    <t>E-1894</t>
  </si>
  <si>
    <t>E-1895</t>
  </si>
  <si>
    <t>E-1896</t>
  </si>
  <si>
    <t>E-1897</t>
  </si>
  <si>
    <t>E-1898</t>
  </si>
  <si>
    <t>E-1899</t>
  </si>
  <si>
    <t>E-1900</t>
  </si>
  <si>
    <t>E-1901</t>
  </si>
  <si>
    <t>E-1902</t>
  </si>
  <si>
    <t>E-1903</t>
  </si>
  <si>
    <t>E-1904</t>
  </si>
  <si>
    <t>E-1905</t>
  </si>
  <si>
    <t>E-1906</t>
  </si>
  <si>
    <t>E-1907</t>
  </si>
  <si>
    <t>E-1908</t>
  </si>
  <si>
    <t>E-1909</t>
  </si>
  <si>
    <t>E-1910</t>
  </si>
  <si>
    <t>E-1911</t>
  </si>
  <si>
    <t>E-1912</t>
  </si>
  <si>
    <t>E-1913</t>
  </si>
  <si>
    <t>E-1914</t>
  </si>
  <si>
    <t>E-1915</t>
  </si>
  <si>
    <t>E-1916</t>
  </si>
  <si>
    <t>E-1917</t>
  </si>
  <si>
    <t>E-1918</t>
  </si>
  <si>
    <t>E-1919</t>
  </si>
  <si>
    <t>E-1920</t>
  </si>
  <si>
    <t>E-1921</t>
  </si>
  <si>
    <t>11-Sep17--13-Sep-17</t>
  </si>
  <si>
    <t>E-1922</t>
  </si>
  <si>
    <t>E-1923</t>
  </si>
  <si>
    <t>E-1924</t>
  </si>
  <si>
    <t>E-1925</t>
  </si>
  <si>
    <t>E-1926</t>
  </si>
  <si>
    <t>E-1927</t>
  </si>
  <si>
    <t>E-1928</t>
  </si>
  <si>
    <t>E-1929</t>
  </si>
  <si>
    <t>E-1930</t>
  </si>
  <si>
    <t>E-1931</t>
  </si>
  <si>
    <t>E-1932</t>
  </si>
  <si>
    <t>E-1933</t>
  </si>
  <si>
    <t>E-1934</t>
  </si>
  <si>
    <t>E-1935</t>
  </si>
  <si>
    <t>(410)CELSO</t>
  </si>
  <si>
    <t>E-1936</t>
  </si>
  <si>
    <t>E-1937</t>
  </si>
  <si>
    <t>E-1938</t>
  </si>
  <si>
    <t>E-1939</t>
  </si>
  <si>
    <t>E-1940</t>
  </si>
  <si>
    <t>E-1941</t>
  </si>
  <si>
    <t>E-1942</t>
  </si>
  <si>
    <t>E-1943</t>
  </si>
  <si>
    <t>E-1944</t>
  </si>
  <si>
    <t>E-1945</t>
  </si>
  <si>
    <t>E-1946</t>
  </si>
  <si>
    <t>E-1947</t>
  </si>
  <si>
    <t>9-Sep--17--12-Sep-17</t>
  </si>
  <si>
    <t>E-1948</t>
  </si>
  <si>
    <t>E-1949</t>
  </si>
  <si>
    <t>E-1950</t>
  </si>
  <si>
    <t>E-1951</t>
  </si>
  <si>
    <t>E-1952</t>
  </si>
  <si>
    <t>E-1953</t>
  </si>
  <si>
    <t>E-1954</t>
  </si>
  <si>
    <t>E-1955</t>
  </si>
  <si>
    <t>E-1956</t>
  </si>
  <si>
    <t>E-1957</t>
  </si>
  <si>
    <t>E-1958</t>
  </si>
  <si>
    <t>E-1959</t>
  </si>
  <si>
    <t>E-1960</t>
  </si>
  <si>
    <t>E-1961</t>
  </si>
  <si>
    <t>E-1962</t>
  </si>
  <si>
    <t>E-1963</t>
  </si>
  <si>
    <t>E-1964</t>
  </si>
  <si>
    <t>E-1965</t>
  </si>
  <si>
    <t>E-1966</t>
  </si>
  <si>
    <t>E-1967</t>
  </si>
  <si>
    <t>E-1968</t>
  </si>
  <si>
    <t>E-1969</t>
  </si>
  <si>
    <t>E-1970</t>
  </si>
  <si>
    <t>E-1971</t>
  </si>
  <si>
    <t>E-1972</t>
  </si>
  <si>
    <t>E-1973</t>
  </si>
  <si>
    <t>E-1974</t>
  </si>
  <si>
    <t>E-1975</t>
  </si>
  <si>
    <t>E-1976</t>
  </si>
  <si>
    <t>E-1977</t>
  </si>
  <si>
    <t>E-1978</t>
  </si>
  <si>
    <t>E-1979</t>
  </si>
  <si>
    <t>E-1980</t>
  </si>
  <si>
    <t>E-1981</t>
  </si>
  <si>
    <t>E-1982</t>
  </si>
  <si>
    <t>E-1983</t>
  </si>
  <si>
    <t>E-1984</t>
  </si>
  <si>
    <t>E-1985</t>
  </si>
  <si>
    <t>E-1986</t>
  </si>
  <si>
    <t>E-1987</t>
  </si>
  <si>
    <t>E-1988</t>
  </si>
  <si>
    <t>E-1989</t>
  </si>
  <si>
    <t>E-1990</t>
  </si>
  <si>
    <t>E-1991</t>
  </si>
  <si>
    <t>E-1992</t>
  </si>
  <si>
    <t>E-1993</t>
  </si>
  <si>
    <t>E-1994</t>
  </si>
  <si>
    <t>E-1995</t>
  </si>
  <si>
    <t>E-1996</t>
  </si>
  <si>
    <t>E-1997</t>
  </si>
  <si>
    <t>E-1998</t>
  </si>
  <si>
    <t>E-1999</t>
  </si>
  <si>
    <t>E-2000</t>
  </si>
  <si>
    <t>E-2001</t>
  </si>
  <si>
    <t>E-2002</t>
  </si>
  <si>
    <t>E-2003</t>
  </si>
  <si>
    <t>E-2004</t>
  </si>
  <si>
    <t>E-2005</t>
  </si>
  <si>
    <t>E-2006</t>
  </si>
  <si>
    <t>E-2007</t>
  </si>
  <si>
    <t>E-2008</t>
  </si>
  <si>
    <t>E-2009</t>
  </si>
  <si>
    <t>E-2010</t>
  </si>
  <si>
    <t>E-2011</t>
  </si>
  <si>
    <t>E-2012</t>
  </si>
  <si>
    <t>E-2013</t>
  </si>
  <si>
    <t>E-2014</t>
  </si>
  <si>
    <t>E-2015</t>
  </si>
  <si>
    <t>E-2016</t>
  </si>
  <si>
    <t>E-2017</t>
  </si>
  <si>
    <t>E-2018</t>
  </si>
  <si>
    <t>E-2019</t>
  </si>
  <si>
    <t>E-2020</t>
  </si>
  <si>
    <t>E-2021</t>
  </si>
  <si>
    <t>E-2022</t>
  </si>
  <si>
    <t>E-2023</t>
  </si>
  <si>
    <t>E-2024</t>
  </si>
  <si>
    <t>E-2025</t>
  </si>
  <si>
    <t>E-2026</t>
  </si>
  <si>
    <t>E-2027</t>
  </si>
  <si>
    <t>E-2028</t>
  </si>
  <si>
    <t>E-2029</t>
  </si>
  <si>
    <t>E-2030</t>
  </si>
  <si>
    <t>E-2031</t>
  </si>
  <si>
    <t>E-2032</t>
  </si>
  <si>
    <t>E-2033</t>
  </si>
  <si>
    <t>E-2034</t>
  </si>
  <si>
    <t>E-2035</t>
  </si>
  <si>
    <t>E-2036</t>
  </si>
  <si>
    <t>E-2037</t>
  </si>
  <si>
    <t>E-2038</t>
  </si>
  <si>
    <t>E-2039</t>
  </si>
  <si>
    <t>E-2040</t>
  </si>
  <si>
    <t>E-2041</t>
  </si>
  <si>
    <t>E-2042</t>
  </si>
  <si>
    <t>E-2043</t>
  </si>
  <si>
    <t>E-2044</t>
  </si>
  <si>
    <t>E-2045</t>
  </si>
  <si>
    <t>E-2046</t>
  </si>
  <si>
    <t>E-2047</t>
  </si>
  <si>
    <t>E-2048</t>
  </si>
  <si>
    <t>E-2049</t>
  </si>
  <si>
    <t>E-2050</t>
  </si>
  <si>
    <t>E-2051</t>
  </si>
  <si>
    <t>E-2052</t>
  </si>
  <si>
    <t>E-2053</t>
  </si>
  <si>
    <t>E-2054</t>
  </si>
  <si>
    <t>E-2055</t>
  </si>
  <si>
    <t>E-2056</t>
  </si>
  <si>
    <t>E-2057</t>
  </si>
  <si>
    <t>E-2058</t>
  </si>
  <si>
    <t>E-2059</t>
  </si>
  <si>
    <t>E-2060</t>
  </si>
  <si>
    <t>E-2061</t>
  </si>
  <si>
    <t>E-2062</t>
  </si>
  <si>
    <t>E-2063</t>
  </si>
  <si>
    <t>E-2064</t>
  </si>
  <si>
    <t>E-2065</t>
  </si>
  <si>
    <t>E-2066</t>
  </si>
  <si>
    <t>E-2067</t>
  </si>
  <si>
    <t>E-2068</t>
  </si>
  <si>
    <t>E-2069</t>
  </si>
  <si>
    <t>E-2070</t>
  </si>
  <si>
    <t>E-2071</t>
  </si>
  <si>
    <t>E-2072</t>
  </si>
  <si>
    <t>E-2073</t>
  </si>
  <si>
    <t>E-2074</t>
  </si>
  <si>
    <t>E-2075</t>
  </si>
  <si>
    <t>E-2076</t>
  </si>
  <si>
    <t>E-2077</t>
  </si>
  <si>
    <t>E-2078</t>
  </si>
  <si>
    <t>E-2079</t>
  </si>
  <si>
    <t>E-2080</t>
  </si>
  <si>
    <t>E-2081</t>
  </si>
  <si>
    <t>E-2082</t>
  </si>
  <si>
    <t>E-2083</t>
  </si>
  <si>
    <t>14-Sep-17--16-Sep-17</t>
  </si>
  <si>
    <t>E-2084</t>
  </si>
  <si>
    <t>E-2085</t>
  </si>
  <si>
    <t>E-2086</t>
  </si>
  <si>
    <t>E-2087</t>
  </si>
  <si>
    <t>E-2088</t>
  </si>
  <si>
    <t>E-2089</t>
  </si>
  <si>
    <t>E-2090</t>
  </si>
  <si>
    <t>E-2091</t>
  </si>
  <si>
    <t>E-2092</t>
  </si>
  <si>
    <t>E-2093</t>
  </si>
  <si>
    <t>E-2094</t>
  </si>
  <si>
    <t>E-2095</t>
  </si>
  <si>
    <t>E-2096</t>
  </si>
  <si>
    <t>E-2097</t>
  </si>
  <si>
    <t>E-2098</t>
  </si>
  <si>
    <t>E-2099</t>
  </si>
  <si>
    <t>E-2100</t>
  </si>
  <si>
    <t>E-2101</t>
  </si>
  <si>
    <t>E-2102</t>
  </si>
  <si>
    <t>E-2103</t>
  </si>
  <si>
    <t>E-2104</t>
  </si>
  <si>
    <t>11-Sep-17--19-Sep-17</t>
  </si>
  <si>
    <t>E-2105</t>
  </si>
  <si>
    <t>E-2106</t>
  </si>
  <si>
    <t>E-2107</t>
  </si>
  <si>
    <t>E-2108</t>
  </si>
  <si>
    <t>E-2109</t>
  </si>
  <si>
    <t>E-2110</t>
  </si>
  <si>
    <t>E-2111</t>
  </si>
  <si>
    <t>E-2112</t>
  </si>
  <si>
    <t>E-2113</t>
  </si>
  <si>
    <t>E-2114</t>
  </si>
  <si>
    <t>E-2115</t>
  </si>
  <si>
    <t>E-2116</t>
  </si>
  <si>
    <t>E-2117</t>
  </si>
  <si>
    <t>E-2118</t>
  </si>
  <si>
    <t>E-2119</t>
  </si>
  <si>
    <t>E-2120</t>
  </si>
  <si>
    <t>E-2121</t>
  </si>
  <si>
    <t>E-2122</t>
  </si>
  <si>
    <t>E-2123</t>
  </si>
  <si>
    <t>E-2124</t>
  </si>
  <si>
    <t>E-2125</t>
  </si>
  <si>
    <t>E-2126</t>
  </si>
  <si>
    <t>E-2127</t>
  </si>
  <si>
    <t>E-2128</t>
  </si>
  <si>
    <t>E-2129</t>
  </si>
  <si>
    <t>E-2130</t>
  </si>
  <si>
    <t>E-2131</t>
  </si>
  <si>
    <t>E-2132</t>
  </si>
  <si>
    <t>E-2133</t>
  </si>
  <si>
    <t>E-2134</t>
  </si>
  <si>
    <t>E-2135</t>
  </si>
  <si>
    <t>E-2136</t>
  </si>
  <si>
    <t>E-2137</t>
  </si>
  <si>
    <t>E-2138</t>
  </si>
  <si>
    <t>E-2139</t>
  </si>
  <si>
    <t>E-2140</t>
  </si>
  <si>
    <t>E-2141</t>
  </si>
  <si>
    <t>E-2142</t>
  </si>
  <si>
    <t>E-2143</t>
  </si>
  <si>
    <t>E-2144</t>
  </si>
  <si>
    <t>E-2145</t>
  </si>
  <si>
    <t>E-2146</t>
  </si>
  <si>
    <t>E-2147</t>
  </si>
  <si>
    <t>E-2148</t>
  </si>
  <si>
    <t>E-2149</t>
  </si>
  <si>
    <t>E-2150</t>
  </si>
  <si>
    <t>E-2151</t>
  </si>
  <si>
    <t>E-2152</t>
  </si>
  <si>
    <t>E-2153</t>
  </si>
  <si>
    <t>E-2154</t>
  </si>
  <si>
    <t>E-2155</t>
  </si>
  <si>
    <t>E-2156</t>
  </si>
  <si>
    <t>E-2157</t>
  </si>
  <si>
    <t>E-2158</t>
  </si>
  <si>
    <t>E-2159</t>
  </si>
  <si>
    <t>E-2160</t>
  </si>
  <si>
    <t>E-2161</t>
  </si>
  <si>
    <t>E-2162</t>
  </si>
  <si>
    <t>E-2163</t>
  </si>
  <si>
    <t>E-2164</t>
  </si>
  <si>
    <t>E-2165</t>
  </si>
  <si>
    <t>E-2166</t>
  </si>
  <si>
    <t>E-2167</t>
  </si>
  <si>
    <t>E-2168</t>
  </si>
  <si>
    <t>E-2169</t>
  </si>
  <si>
    <t>E-2170</t>
  </si>
  <si>
    <t>E-2171</t>
  </si>
  <si>
    <t>E-2172</t>
  </si>
  <si>
    <t>E-2173</t>
  </si>
  <si>
    <t>(313)ISMAEL MACHORRO</t>
  </si>
  <si>
    <t>E-2174</t>
  </si>
  <si>
    <t>E-2175</t>
  </si>
  <si>
    <t>E-2176</t>
  </si>
  <si>
    <t>E-2177</t>
  </si>
  <si>
    <t>E-2178</t>
  </si>
  <si>
    <t>E-2179</t>
  </si>
  <si>
    <t>E-2180</t>
  </si>
  <si>
    <t>E-2181</t>
  </si>
  <si>
    <t>E-2182</t>
  </si>
  <si>
    <t>14-Sep-17--15-Sep-17</t>
  </si>
  <si>
    <t>E-2183</t>
  </si>
  <si>
    <t>E-2184</t>
  </si>
  <si>
    <t>E-2185</t>
  </si>
  <si>
    <t>E-2186</t>
  </si>
  <si>
    <t>E-2187</t>
  </si>
  <si>
    <t>E-2188</t>
  </si>
  <si>
    <t>E-2189</t>
  </si>
  <si>
    <t>E-2190</t>
  </si>
  <si>
    <t>E-2191</t>
  </si>
  <si>
    <t>E-2192</t>
  </si>
  <si>
    <t>E-2193</t>
  </si>
  <si>
    <t>E-2194</t>
  </si>
  <si>
    <t>E-2195</t>
  </si>
  <si>
    <t>E-2196</t>
  </si>
  <si>
    <t>E-2197</t>
  </si>
  <si>
    <t>E-2198</t>
  </si>
  <si>
    <t>E-2199</t>
  </si>
  <si>
    <t>E-2200</t>
  </si>
  <si>
    <t>E-2201</t>
  </si>
  <si>
    <t>E-2202</t>
  </si>
  <si>
    <t>E-2203</t>
  </si>
  <si>
    <t>E-2204</t>
  </si>
  <si>
    <t>E-2205</t>
  </si>
  <si>
    <t>E-2206</t>
  </si>
  <si>
    <t>E-2207</t>
  </si>
  <si>
    <t>E-2208</t>
  </si>
  <si>
    <t>E-2209</t>
  </si>
  <si>
    <t>E-2210</t>
  </si>
  <si>
    <t>E-2211</t>
  </si>
  <si>
    <t>E-2212</t>
  </si>
  <si>
    <t>E-2213</t>
  </si>
  <si>
    <t>E-2214</t>
  </si>
  <si>
    <t>E-2215</t>
  </si>
  <si>
    <t>E-2216</t>
  </si>
  <si>
    <t>E-2217</t>
  </si>
  <si>
    <t>E-2218</t>
  </si>
  <si>
    <t>E-2219</t>
  </si>
  <si>
    <t>E-2220</t>
  </si>
  <si>
    <t>E-2221</t>
  </si>
  <si>
    <t>E-2222</t>
  </si>
  <si>
    <t>E-2223</t>
  </si>
  <si>
    <t>E-2224</t>
  </si>
  <si>
    <t>E-2225</t>
  </si>
  <si>
    <t>E-2226</t>
  </si>
  <si>
    <t>E-2227</t>
  </si>
  <si>
    <t>E-2228</t>
  </si>
  <si>
    <t>E-2229</t>
  </si>
  <si>
    <t>E-2230</t>
  </si>
  <si>
    <t>E-2231</t>
  </si>
  <si>
    <t>E-2232</t>
  </si>
  <si>
    <t>E-2233</t>
  </si>
  <si>
    <t>E-2234</t>
  </si>
  <si>
    <t>E-2235</t>
  </si>
  <si>
    <t>E-2236</t>
  </si>
  <si>
    <t>E-2237</t>
  </si>
  <si>
    <t>E-2238</t>
  </si>
  <si>
    <t>E-2239</t>
  </si>
  <si>
    <t>E-2240</t>
  </si>
  <si>
    <t>E-2241</t>
  </si>
  <si>
    <t>E-2242</t>
  </si>
  <si>
    <t>E-2243</t>
  </si>
  <si>
    <t>E-2244</t>
  </si>
  <si>
    <t>E-2245</t>
  </si>
  <si>
    <t>E-2246</t>
  </si>
  <si>
    <t>E-2247</t>
  </si>
  <si>
    <t>E-2248</t>
  </si>
  <si>
    <t>E-2249</t>
  </si>
  <si>
    <t>E-2250</t>
  </si>
  <si>
    <t>E-2251</t>
  </si>
  <si>
    <t>E-2252</t>
  </si>
  <si>
    <t>E-2253</t>
  </si>
  <si>
    <t>E-2254</t>
  </si>
  <si>
    <t>E-2255</t>
  </si>
  <si>
    <t>E-2256</t>
  </si>
  <si>
    <t>E-2257</t>
  </si>
  <si>
    <t>E-2258</t>
  </si>
  <si>
    <t>E-2259</t>
  </si>
  <si>
    <t>E-2260</t>
  </si>
  <si>
    <t>E-2261</t>
  </si>
  <si>
    <t>E-2262</t>
  </si>
  <si>
    <t>E-2263</t>
  </si>
  <si>
    <t>E-2264</t>
  </si>
  <si>
    <t>E-2265</t>
  </si>
  <si>
    <t>E-2266</t>
  </si>
  <si>
    <t>E-2267</t>
  </si>
  <si>
    <t>E-2268</t>
  </si>
  <si>
    <t>E-2269</t>
  </si>
  <si>
    <t>E-2270</t>
  </si>
  <si>
    <t>13-Sep-17--15-Sep-17</t>
  </si>
  <si>
    <t>E-2271</t>
  </si>
  <si>
    <t>E-2272</t>
  </si>
  <si>
    <t>E-2273</t>
  </si>
  <si>
    <t>E-2274</t>
  </si>
  <si>
    <t>E-2275</t>
  </si>
  <si>
    <t>E-2276</t>
  </si>
  <si>
    <t>E-2277</t>
  </si>
  <si>
    <t>E-2278</t>
  </si>
  <si>
    <t>E-2279</t>
  </si>
  <si>
    <t>E-2280</t>
  </si>
  <si>
    <t>E-2281</t>
  </si>
  <si>
    <t>E-2282</t>
  </si>
  <si>
    <t>E-2283</t>
  </si>
  <si>
    <t>E-2284</t>
  </si>
  <si>
    <t>E-2285</t>
  </si>
  <si>
    <t>E-2286</t>
  </si>
  <si>
    <t>E-2287</t>
  </si>
  <si>
    <t>13-Sep-17--20-Sep-17</t>
  </si>
  <si>
    <t>E-2288</t>
  </si>
  <si>
    <t>E-2289</t>
  </si>
  <si>
    <t>E-2290</t>
  </si>
  <si>
    <t>E-2291</t>
  </si>
  <si>
    <t>14-Sep-17--19-Sep-17</t>
  </si>
  <si>
    <t>E-2292</t>
  </si>
  <si>
    <t>E-2293</t>
  </si>
  <si>
    <t>E-2294</t>
  </si>
  <si>
    <t>E-2295</t>
  </si>
  <si>
    <t>E-2296</t>
  </si>
  <si>
    <t>E-2297</t>
  </si>
  <si>
    <t>E-2298</t>
  </si>
  <si>
    <t>E-2299</t>
  </si>
  <si>
    <t>E-2300</t>
  </si>
  <si>
    <t>E-2301</t>
  </si>
  <si>
    <t>E-2302</t>
  </si>
  <si>
    <t>15-Sep-17--19-Sep-17</t>
  </si>
  <si>
    <t>E-2303</t>
  </si>
  <si>
    <t>E-2304</t>
  </si>
  <si>
    <t>E-2305</t>
  </si>
  <si>
    <t>E-2306</t>
  </si>
  <si>
    <t>E-2307</t>
  </si>
  <si>
    <t>E-2308</t>
  </si>
  <si>
    <t>15-Sep-17--18-Sep-17</t>
  </si>
  <si>
    <t>E-2309</t>
  </si>
  <si>
    <t>E-2310</t>
  </si>
  <si>
    <t>E-2311</t>
  </si>
  <si>
    <t>E-2312</t>
  </si>
  <si>
    <t>E-2313</t>
  </si>
  <si>
    <t>E-2314</t>
  </si>
  <si>
    <t>E-2315</t>
  </si>
  <si>
    <t>E-2316</t>
  </si>
  <si>
    <t>E-2317</t>
  </si>
  <si>
    <t>E-2318</t>
  </si>
  <si>
    <t>E-2319</t>
  </si>
  <si>
    <t>E-2320</t>
  </si>
  <si>
    <t>E-2321</t>
  </si>
  <si>
    <t>E-2322</t>
  </si>
  <si>
    <t>E-2323</t>
  </si>
  <si>
    <t>E-2324</t>
  </si>
  <si>
    <t>E-2325</t>
  </si>
  <si>
    <t>E-2326</t>
  </si>
  <si>
    <t>E-2327</t>
  </si>
  <si>
    <t>E-2328</t>
  </si>
  <si>
    <t>E-2329</t>
  </si>
  <si>
    <t>E-2330</t>
  </si>
  <si>
    <t>14-Sep-17--15-Sep-17--17-Sep-17--20-Sep-17</t>
  </si>
  <si>
    <t>E-2331</t>
  </si>
  <si>
    <t>E-2332</t>
  </si>
  <si>
    <t>E-2333</t>
  </si>
  <si>
    <t>E-2334</t>
  </si>
  <si>
    <t>E-2335</t>
  </si>
  <si>
    <t>E-2336</t>
  </si>
  <si>
    <t>E-2337</t>
  </si>
  <si>
    <t>E-2338</t>
  </si>
  <si>
    <t>E-2339</t>
  </si>
  <si>
    <t>E-2340</t>
  </si>
  <si>
    <t>E-2341</t>
  </si>
  <si>
    <t>E-2342</t>
  </si>
  <si>
    <t>E-2343</t>
  </si>
  <si>
    <t>E-2344</t>
  </si>
  <si>
    <t>E-2345</t>
  </si>
  <si>
    <t>E-2346</t>
  </si>
  <si>
    <t>E-2347</t>
  </si>
  <si>
    <t>E-2348</t>
  </si>
  <si>
    <t>E-2349</t>
  </si>
  <si>
    <t>E-2350</t>
  </si>
  <si>
    <t>E-2351</t>
  </si>
  <si>
    <t>E-2352</t>
  </si>
  <si>
    <t>E-2353</t>
  </si>
  <si>
    <t>E-2354</t>
  </si>
  <si>
    <t>E-2355</t>
  </si>
  <si>
    <t>E-2356</t>
  </si>
  <si>
    <t>E-2357</t>
  </si>
  <si>
    <t>E-2358</t>
  </si>
  <si>
    <t>E-2359</t>
  </si>
  <si>
    <t>E-2360</t>
  </si>
  <si>
    <t>E-2361</t>
  </si>
  <si>
    <t>E-2362</t>
  </si>
  <si>
    <t>E-2363</t>
  </si>
  <si>
    <t>E-2364</t>
  </si>
  <si>
    <t>E-2365</t>
  </si>
  <si>
    <t>E-2366</t>
  </si>
  <si>
    <t>E-2367</t>
  </si>
  <si>
    <t>E-2368</t>
  </si>
  <si>
    <t>E-2369</t>
  </si>
  <si>
    <t>E-2370</t>
  </si>
  <si>
    <t>E-2371</t>
  </si>
  <si>
    <t>E-2372</t>
  </si>
  <si>
    <t>E-2373</t>
  </si>
  <si>
    <t>E-2374</t>
  </si>
  <si>
    <t>E-2375</t>
  </si>
  <si>
    <t>E-2376</t>
  </si>
  <si>
    <t>E-2377</t>
  </si>
  <si>
    <t>E-2378</t>
  </si>
  <si>
    <t>E-2379</t>
  </si>
  <si>
    <t>E-2380</t>
  </si>
  <si>
    <t>E-2381</t>
  </si>
  <si>
    <t>E-2382</t>
  </si>
  <si>
    <t>E-2383</t>
  </si>
  <si>
    <t>E-2384</t>
  </si>
  <si>
    <t>E-2385</t>
  </si>
  <si>
    <t>E-2386</t>
  </si>
  <si>
    <t>E-2387</t>
  </si>
  <si>
    <t>E-2388</t>
  </si>
  <si>
    <t>E-2389</t>
  </si>
  <si>
    <t>E-2390</t>
  </si>
  <si>
    <t>E-2391</t>
  </si>
  <si>
    <t>E-2392</t>
  </si>
  <si>
    <t>E-2393</t>
  </si>
  <si>
    <t>E-2394</t>
  </si>
  <si>
    <t>E-2395</t>
  </si>
  <si>
    <t>E-2396</t>
  </si>
  <si>
    <t>E-2397</t>
  </si>
  <si>
    <t>E-2398</t>
  </si>
  <si>
    <t>E-2399</t>
  </si>
  <si>
    <t>E-2400</t>
  </si>
  <si>
    <t>E-2401</t>
  </si>
  <si>
    <t>E-2402</t>
  </si>
  <si>
    <t>E-2403</t>
  </si>
  <si>
    <t>E-2404</t>
  </si>
  <si>
    <t>E-2405</t>
  </si>
  <si>
    <t>E-2406</t>
  </si>
  <si>
    <t>E-2407</t>
  </si>
  <si>
    <t>E-2408</t>
  </si>
  <si>
    <t>E-2409</t>
  </si>
  <si>
    <t>E-2410</t>
  </si>
  <si>
    <t>E-2411</t>
  </si>
  <si>
    <t>E-2412</t>
  </si>
  <si>
    <t>E-2413</t>
  </si>
  <si>
    <t>E-2414</t>
  </si>
  <si>
    <t>E-2415</t>
  </si>
  <si>
    <t>E-2416</t>
  </si>
  <si>
    <t>E-2417</t>
  </si>
  <si>
    <t>E-2418</t>
  </si>
  <si>
    <t>E-2419</t>
  </si>
  <si>
    <t>E-2420</t>
  </si>
  <si>
    <t>E-2421</t>
  </si>
  <si>
    <t>E-2422</t>
  </si>
  <si>
    <t>E-2423</t>
  </si>
  <si>
    <t>E-2424</t>
  </si>
  <si>
    <t>E-2425</t>
  </si>
  <si>
    <t>E-2426</t>
  </si>
  <si>
    <t>E-2427</t>
  </si>
  <si>
    <t>E-2428</t>
  </si>
  <si>
    <t>E-2429</t>
  </si>
  <si>
    <t>E-2430</t>
  </si>
  <si>
    <t>E-2431</t>
  </si>
  <si>
    <t>E-2432</t>
  </si>
  <si>
    <t>E-2433</t>
  </si>
  <si>
    <t>E-2434</t>
  </si>
  <si>
    <t>E-2435</t>
  </si>
  <si>
    <t>E-2436</t>
  </si>
  <si>
    <t>E-2437</t>
  </si>
  <si>
    <t>E-2438</t>
  </si>
  <si>
    <t>E-2439</t>
  </si>
  <si>
    <t>E-2440</t>
  </si>
  <si>
    <t>E-2441</t>
  </si>
  <si>
    <t>E-2442</t>
  </si>
  <si>
    <t>E-2443</t>
  </si>
  <si>
    <t>E-2444</t>
  </si>
  <si>
    <t>E-2445</t>
  </si>
  <si>
    <t>E-2446</t>
  </si>
  <si>
    <t>E-2447</t>
  </si>
  <si>
    <t>E-2448</t>
  </si>
  <si>
    <t>E-2449</t>
  </si>
  <si>
    <t>E-2450</t>
  </si>
  <si>
    <t>E-2451</t>
  </si>
  <si>
    <t>E-2452</t>
  </si>
  <si>
    <t>E-2453</t>
  </si>
  <si>
    <t>E-2454</t>
  </si>
  <si>
    <t>E-2455</t>
  </si>
  <si>
    <t>E-2456</t>
  </si>
  <si>
    <t>E-2457</t>
  </si>
  <si>
    <t>E-2458</t>
  </si>
  <si>
    <t>E-2459</t>
  </si>
  <si>
    <t>E-2460</t>
  </si>
  <si>
    <t>E-2461</t>
  </si>
  <si>
    <t>E-2462</t>
  </si>
  <si>
    <t>E-2463</t>
  </si>
  <si>
    <t>E-2464</t>
  </si>
  <si>
    <t>E-2465</t>
  </si>
  <si>
    <t>E-2466</t>
  </si>
  <si>
    <t>E-2467</t>
  </si>
  <si>
    <t>E-2468</t>
  </si>
  <si>
    <t>E-2469</t>
  </si>
  <si>
    <t>E-2470</t>
  </si>
  <si>
    <t>E-2471</t>
  </si>
  <si>
    <t>E-2472</t>
  </si>
  <si>
    <t>E-2473</t>
  </si>
  <si>
    <t>E-2474</t>
  </si>
  <si>
    <t>E-2475</t>
  </si>
  <si>
    <t>E-2476</t>
  </si>
  <si>
    <t>E-2477</t>
  </si>
  <si>
    <t>E-2478</t>
  </si>
  <si>
    <t>E-2479</t>
  </si>
  <si>
    <t>E-2480</t>
  </si>
  <si>
    <t>E-2481</t>
  </si>
  <si>
    <t>E-2482</t>
  </si>
  <si>
    <t>E-2483</t>
  </si>
  <si>
    <t>18-Sep-17--19-Sep-17</t>
  </si>
  <si>
    <t>E-2484</t>
  </si>
  <si>
    <t>E-2485</t>
  </si>
  <si>
    <t>E-2486</t>
  </si>
  <si>
    <t>18-Sep-17--19-Sep-17--20-Sep-17</t>
  </si>
  <si>
    <t>E-2487</t>
  </si>
  <si>
    <t>19-Sep-17--22-Sep-17--23-Sep-17</t>
  </si>
  <si>
    <t>E-2488</t>
  </si>
  <si>
    <t>E-2489</t>
  </si>
  <si>
    <t>E-2490</t>
  </si>
  <si>
    <t>E-2491</t>
  </si>
  <si>
    <t>E-2492</t>
  </si>
  <si>
    <t>E-2493</t>
  </si>
  <si>
    <t>E-2494</t>
  </si>
  <si>
    <t>E-2495</t>
  </si>
  <si>
    <t>E-2496</t>
  </si>
  <si>
    <t>E-2497</t>
  </si>
  <si>
    <t>E-2498</t>
  </si>
  <si>
    <t>E-2499</t>
  </si>
  <si>
    <t>E-2500</t>
  </si>
  <si>
    <t>E-2501</t>
  </si>
  <si>
    <t>E-2502</t>
  </si>
  <si>
    <t>E-2503</t>
  </si>
  <si>
    <t>E-2504</t>
  </si>
  <si>
    <t>E-2505</t>
  </si>
  <si>
    <t>E-2506</t>
  </si>
  <si>
    <t>E-2507</t>
  </si>
  <si>
    <t>E-2508</t>
  </si>
  <si>
    <t>E-2509</t>
  </si>
  <si>
    <t>E-2510</t>
  </si>
  <si>
    <t>E-2511</t>
  </si>
  <si>
    <t>E-2512</t>
  </si>
  <si>
    <t>(698)LA PRINCESITA DE CHOLULA</t>
  </si>
  <si>
    <t>E-2513</t>
  </si>
  <si>
    <t>E-2514</t>
  </si>
  <si>
    <t>E-2515</t>
  </si>
  <si>
    <t>E-2516</t>
  </si>
  <si>
    <t>E-2517</t>
  </si>
  <si>
    <t>E-2518</t>
  </si>
  <si>
    <t>E-2519</t>
  </si>
  <si>
    <t>E-2520</t>
  </si>
  <si>
    <t>E-2521</t>
  </si>
  <si>
    <t>E-2522</t>
  </si>
  <si>
    <t>E-2523</t>
  </si>
  <si>
    <t>E-2524</t>
  </si>
  <si>
    <t>E-2525</t>
  </si>
  <si>
    <t>E-2526</t>
  </si>
  <si>
    <t>E-2527</t>
  </si>
  <si>
    <t>E-2528</t>
  </si>
  <si>
    <t>E-2529</t>
  </si>
  <si>
    <t>E-2530</t>
  </si>
  <si>
    <t>E-2531</t>
  </si>
  <si>
    <t>E-2532</t>
  </si>
  <si>
    <t>E-2533</t>
  </si>
  <si>
    <t>E-2534</t>
  </si>
  <si>
    <t>E-2535</t>
  </si>
  <si>
    <t>E-2536</t>
  </si>
  <si>
    <t>E-2537</t>
  </si>
  <si>
    <t>E-2538</t>
  </si>
  <si>
    <t>E-2539</t>
  </si>
  <si>
    <t>E-2540</t>
  </si>
  <si>
    <t>E-2541</t>
  </si>
  <si>
    <t>E-2542</t>
  </si>
  <si>
    <t>E-2543</t>
  </si>
  <si>
    <t>E-2544</t>
  </si>
  <si>
    <t>E-2545</t>
  </si>
  <si>
    <t>E-2546</t>
  </si>
  <si>
    <t>E-2547</t>
  </si>
  <si>
    <t>E-2548</t>
  </si>
  <si>
    <t>E-2549</t>
  </si>
  <si>
    <t>E-2550</t>
  </si>
  <si>
    <t>14-Sep-17--20-Sep-17</t>
  </si>
  <si>
    <t>E-2551</t>
  </si>
  <si>
    <t>E-2552</t>
  </si>
  <si>
    <t>E-2553</t>
  </si>
  <si>
    <t>E-2554</t>
  </si>
  <si>
    <t>E-2555</t>
  </si>
  <si>
    <t>E-2556</t>
  </si>
  <si>
    <t>E-2557</t>
  </si>
  <si>
    <t>E-2558</t>
  </si>
  <si>
    <t>E-2559</t>
  </si>
  <si>
    <t>E-2560</t>
  </si>
  <si>
    <t>E-2561</t>
  </si>
  <si>
    <t>E-2562</t>
  </si>
  <si>
    <t>E-2563</t>
  </si>
  <si>
    <t>E-2564</t>
  </si>
  <si>
    <t>E-2565</t>
  </si>
  <si>
    <t>15-Sep-17--30-Sep-17</t>
  </si>
  <si>
    <t>E-2566</t>
  </si>
  <si>
    <t>E-2567</t>
  </si>
  <si>
    <t>E-2568</t>
  </si>
  <si>
    <t>E-2569</t>
  </si>
  <si>
    <t>E-2570</t>
  </si>
  <si>
    <t>E-2571</t>
  </si>
  <si>
    <t>E-2572</t>
  </si>
  <si>
    <t>E-2573</t>
  </si>
  <si>
    <t>E-2574</t>
  </si>
  <si>
    <t>E-2575</t>
  </si>
  <si>
    <t>E-2576</t>
  </si>
  <si>
    <t>E-2577</t>
  </si>
  <si>
    <t>E-2578</t>
  </si>
  <si>
    <t>E-2579</t>
  </si>
  <si>
    <t>E-2580</t>
  </si>
  <si>
    <t>E-2581</t>
  </si>
  <si>
    <t>E-2582</t>
  </si>
  <si>
    <t>E-2583</t>
  </si>
  <si>
    <t>E-2584</t>
  </si>
  <si>
    <t>E-2585</t>
  </si>
  <si>
    <t>E-2586</t>
  </si>
  <si>
    <t>E-2587</t>
  </si>
  <si>
    <t>E-2588</t>
  </si>
  <si>
    <t>E-2589</t>
  </si>
  <si>
    <t>E-2590</t>
  </si>
  <si>
    <t>E-2591</t>
  </si>
  <si>
    <t>E-2592</t>
  </si>
  <si>
    <t>E-2593</t>
  </si>
  <si>
    <t>E-2594</t>
  </si>
  <si>
    <t>E-2595</t>
  </si>
  <si>
    <t>E-2596</t>
  </si>
  <si>
    <t>E-2597</t>
  </si>
  <si>
    <t>E-2598</t>
  </si>
  <si>
    <t>juego completo cancelado</t>
  </si>
  <si>
    <t>E-2599</t>
  </si>
  <si>
    <t>E-2600</t>
  </si>
  <si>
    <t>E-2601</t>
  </si>
  <si>
    <t>E-2602</t>
  </si>
  <si>
    <t>E-2603</t>
  </si>
  <si>
    <t>E-2604</t>
  </si>
  <si>
    <t>E-2605</t>
  </si>
  <si>
    <t>E-2606</t>
  </si>
  <si>
    <t>E-2607</t>
  </si>
  <si>
    <t>E-2608</t>
  </si>
  <si>
    <t>E-2609</t>
  </si>
  <si>
    <t>E-2610</t>
  </si>
  <si>
    <t>E-2611</t>
  </si>
  <si>
    <t>E-2612</t>
  </si>
  <si>
    <t>E-2613</t>
  </si>
  <si>
    <t>E-2614</t>
  </si>
  <si>
    <t>E-2615</t>
  </si>
  <si>
    <t>E-2616</t>
  </si>
  <si>
    <t>E-2617</t>
  </si>
  <si>
    <t>E-2618</t>
  </si>
  <si>
    <t>E-2619</t>
  </si>
  <si>
    <t>E-2620</t>
  </si>
  <si>
    <t>E-2621</t>
  </si>
  <si>
    <t>E-2622</t>
  </si>
  <si>
    <t>E-2623</t>
  </si>
  <si>
    <t>E-2624</t>
  </si>
  <si>
    <t>E-2625</t>
  </si>
  <si>
    <t>E-2626</t>
  </si>
  <si>
    <t>E-2627</t>
  </si>
  <si>
    <t>E-2628</t>
  </si>
  <si>
    <t>E-2629</t>
  </si>
  <si>
    <t>E-2630</t>
  </si>
  <si>
    <t>E-2631</t>
  </si>
  <si>
    <t>E-2632</t>
  </si>
  <si>
    <t>E-2633</t>
  </si>
  <si>
    <t>E-2634</t>
  </si>
  <si>
    <t>E-2635</t>
  </si>
  <si>
    <t>E-2636</t>
  </si>
  <si>
    <t>E-2637</t>
  </si>
  <si>
    <t>E-2638</t>
  </si>
  <si>
    <t>E-2639</t>
  </si>
  <si>
    <t>E-2640</t>
  </si>
  <si>
    <t>E-2641</t>
  </si>
  <si>
    <t>E-2642</t>
  </si>
  <si>
    <t>E-2643</t>
  </si>
  <si>
    <t>E-2644</t>
  </si>
  <si>
    <t>E-2645</t>
  </si>
  <si>
    <t>E-2646</t>
  </si>
  <si>
    <t>E-2647</t>
  </si>
  <si>
    <t>E-2648</t>
  </si>
  <si>
    <t>E-2649</t>
  </si>
  <si>
    <t>E-2650</t>
  </si>
  <si>
    <t>E-2651</t>
  </si>
  <si>
    <t>E-2652</t>
  </si>
  <si>
    <t>E-2653</t>
  </si>
  <si>
    <t>E-2654</t>
  </si>
  <si>
    <t>E-2655</t>
  </si>
  <si>
    <t>E-2656</t>
  </si>
  <si>
    <t>E-2657</t>
  </si>
  <si>
    <t>E-2658</t>
  </si>
  <si>
    <t>E-2659</t>
  </si>
  <si>
    <t>E-2660</t>
  </si>
  <si>
    <t>E-2661</t>
  </si>
  <si>
    <t>E-2662</t>
  </si>
  <si>
    <t>E-2663</t>
  </si>
  <si>
    <t>E-2664</t>
  </si>
  <si>
    <t>E-2665</t>
  </si>
  <si>
    <t>E-2666</t>
  </si>
  <si>
    <t>E-2667</t>
  </si>
  <si>
    <t>E-2668</t>
  </si>
  <si>
    <t>E-2669</t>
  </si>
  <si>
    <t>15-Se-17--18-Sep-17</t>
  </si>
  <si>
    <t>E-2670</t>
  </si>
  <si>
    <t>E-2671</t>
  </si>
  <si>
    <t>E-2672</t>
  </si>
  <si>
    <t>E-2673</t>
  </si>
  <si>
    <t>E-2674</t>
  </si>
  <si>
    <t>E-2675</t>
  </si>
  <si>
    <t>E-2676</t>
  </si>
  <si>
    <t>E-2677</t>
  </si>
  <si>
    <t>E-2678</t>
  </si>
  <si>
    <t>E-2679</t>
  </si>
  <si>
    <t>E-2680</t>
  </si>
  <si>
    <t>E-2681</t>
  </si>
  <si>
    <t>E-2682</t>
  </si>
  <si>
    <t>E-2683</t>
  </si>
  <si>
    <t>E-2684</t>
  </si>
  <si>
    <t>E-2685</t>
  </si>
  <si>
    <t>E-2686</t>
  </si>
  <si>
    <t>E-2687</t>
  </si>
  <si>
    <t>E-2688</t>
  </si>
  <si>
    <t>E-2689</t>
  </si>
  <si>
    <t>E-2690</t>
  </si>
  <si>
    <t>E-2691</t>
  </si>
  <si>
    <t>16-Sep-17--19-Sep-17</t>
  </si>
  <si>
    <t>E-2692</t>
  </si>
  <si>
    <t>E-2693</t>
  </si>
  <si>
    <t>E-2694</t>
  </si>
  <si>
    <t>E-2695</t>
  </si>
  <si>
    <t>E-2696</t>
  </si>
  <si>
    <t>E-2697</t>
  </si>
  <si>
    <t>E-2698</t>
  </si>
  <si>
    <t>E-2699</t>
  </si>
  <si>
    <t>E-2700</t>
  </si>
  <si>
    <t>E-2701</t>
  </si>
  <si>
    <t>E-2702</t>
  </si>
  <si>
    <t>E-2703</t>
  </si>
  <si>
    <t>E-2704</t>
  </si>
  <si>
    <t>E-2705</t>
  </si>
  <si>
    <t>E-2706</t>
  </si>
  <si>
    <t>E-2707</t>
  </si>
  <si>
    <t>E-2708</t>
  </si>
  <si>
    <t>E-2709</t>
  </si>
  <si>
    <t>E-2710</t>
  </si>
  <si>
    <t>E-2711</t>
  </si>
  <si>
    <t>E-2712</t>
  </si>
  <si>
    <t>E-2713</t>
  </si>
  <si>
    <t>E-2714</t>
  </si>
  <si>
    <t>E-2715</t>
  </si>
  <si>
    <t>E-2716</t>
  </si>
  <si>
    <t>E-2717</t>
  </si>
  <si>
    <t>E-2718</t>
  </si>
  <si>
    <t>E-2719</t>
  </si>
  <si>
    <t>E-2720</t>
  </si>
  <si>
    <t>E-2721</t>
  </si>
  <si>
    <t>E-2722</t>
  </si>
  <si>
    <t>E-2723</t>
  </si>
  <si>
    <t>E-2724</t>
  </si>
  <si>
    <t>E-2725</t>
  </si>
  <si>
    <t>E-2726</t>
  </si>
  <si>
    <t>E-2727</t>
  </si>
  <si>
    <t>E-2728</t>
  </si>
  <si>
    <t>E-2729</t>
  </si>
  <si>
    <t>E-2730</t>
  </si>
  <si>
    <t>E-2731</t>
  </si>
  <si>
    <t>E-2732</t>
  </si>
  <si>
    <t>E-2733</t>
  </si>
  <si>
    <t>E-2734</t>
  </si>
  <si>
    <t>19-Sep-17--21-Sep-17</t>
  </si>
  <si>
    <t>E-2735</t>
  </si>
  <si>
    <t>E-2736</t>
  </si>
  <si>
    <t>E-2737</t>
  </si>
  <si>
    <t>E-2738</t>
  </si>
  <si>
    <t>E-2739</t>
  </si>
  <si>
    <t>E-2740</t>
  </si>
  <si>
    <t>E-2741</t>
  </si>
  <si>
    <t>E-2742</t>
  </si>
  <si>
    <t>E-2743</t>
  </si>
  <si>
    <t>E-2744</t>
  </si>
  <si>
    <t>E-2745</t>
  </si>
  <si>
    <t>E-2746</t>
  </si>
  <si>
    <t>E-2747</t>
  </si>
  <si>
    <t>E-2748</t>
  </si>
  <si>
    <t>E-2749</t>
  </si>
  <si>
    <t>E-2750</t>
  </si>
  <si>
    <t>E-2751</t>
  </si>
  <si>
    <t>E-2752</t>
  </si>
  <si>
    <t>E-2753</t>
  </si>
  <si>
    <t>E-2754</t>
  </si>
  <si>
    <t>E-2755</t>
  </si>
  <si>
    <t>E-2756</t>
  </si>
  <si>
    <t>E-2757</t>
  </si>
  <si>
    <t>E-2758</t>
  </si>
  <si>
    <t>E-2759</t>
  </si>
  <si>
    <t>E-2760</t>
  </si>
  <si>
    <t>E-2761</t>
  </si>
  <si>
    <t>E-2762</t>
  </si>
  <si>
    <t>E-2763</t>
  </si>
  <si>
    <t>E-2764</t>
  </si>
  <si>
    <t>E-2765</t>
  </si>
  <si>
    <t>E-2766</t>
  </si>
  <si>
    <t>E-2767</t>
  </si>
  <si>
    <t>E-2768</t>
  </si>
  <si>
    <t>E-2769</t>
  </si>
  <si>
    <t>E-2770</t>
  </si>
  <si>
    <t>E-2771</t>
  </si>
  <si>
    <t>E-2772</t>
  </si>
  <si>
    <t>E-2773</t>
  </si>
  <si>
    <t>E-2774</t>
  </si>
  <si>
    <t>E-2775</t>
  </si>
  <si>
    <t>E-2776</t>
  </si>
  <si>
    <t>E-2777</t>
  </si>
  <si>
    <t>E-2778</t>
  </si>
  <si>
    <t>E-2779</t>
  </si>
  <si>
    <t>E-2780</t>
  </si>
  <si>
    <t>E-2781</t>
  </si>
  <si>
    <t>E-2782</t>
  </si>
  <si>
    <t>20-Sep-17--22-Sep-17--23-Sep-17</t>
  </si>
  <si>
    <t>E-2783</t>
  </si>
  <si>
    <t>E-2784</t>
  </si>
  <si>
    <t>E-2785</t>
  </si>
  <si>
    <t>E-2786</t>
  </si>
  <si>
    <t>21-Sep-17--26-Sep-17</t>
  </si>
  <si>
    <t>E-2787</t>
  </si>
  <si>
    <t>E-2788</t>
  </si>
  <si>
    <t>E-2789</t>
  </si>
  <si>
    <t>E-2790</t>
  </si>
  <si>
    <t>E-2791</t>
  </si>
  <si>
    <t>E-2792</t>
  </si>
  <si>
    <t>E-2793</t>
  </si>
  <si>
    <t>E-2794</t>
  </si>
  <si>
    <t>E-2795</t>
  </si>
  <si>
    <t>E-2796</t>
  </si>
  <si>
    <t>E-2797</t>
  </si>
  <si>
    <t>E-2798</t>
  </si>
  <si>
    <t>E-2799</t>
  </si>
  <si>
    <t>E-2800</t>
  </si>
  <si>
    <t>E-2801</t>
  </si>
  <si>
    <t>E-2802</t>
  </si>
  <si>
    <t>E-2803</t>
  </si>
  <si>
    <t>E-2804</t>
  </si>
  <si>
    <t>E-2805</t>
  </si>
  <si>
    <t>E-2806</t>
  </si>
  <si>
    <t>E-2807</t>
  </si>
  <si>
    <t>E-2808</t>
  </si>
  <si>
    <t>E-2809</t>
  </si>
  <si>
    <t>E-2810</t>
  </si>
  <si>
    <t>E-2811</t>
  </si>
  <si>
    <t>E-2812</t>
  </si>
  <si>
    <t>E-2813</t>
  </si>
  <si>
    <t>E-2814</t>
  </si>
  <si>
    <t>E-2815</t>
  </si>
  <si>
    <t>E-2816</t>
  </si>
  <si>
    <t>E-2817</t>
  </si>
  <si>
    <t>E-2818</t>
  </si>
  <si>
    <t>E-2819</t>
  </si>
  <si>
    <t>E-2820</t>
  </si>
  <si>
    <t>E-2821</t>
  </si>
  <si>
    <t>E-2822</t>
  </si>
  <si>
    <t>E-2823</t>
  </si>
  <si>
    <t>E-2824</t>
  </si>
  <si>
    <t>E-2825</t>
  </si>
  <si>
    <t>E-2826</t>
  </si>
  <si>
    <t>E-2827</t>
  </si>
  <si>
    <t>E-2828</t>
  </si>
  <si>
    <t>E-2829</t>
  </si>
  <si>
    <t>E-2830</t>
  </si>
  <si>
    <t>E-2831</t>
  </si>
  <si>
    <t>E-2832</t>
  </si>
  <si>
    <t>E-2833</t>
  </si>
  <si>
    <t>E-2834</t>
  </si>
  <si>
    <t>E-2835</t>
  </si>
  <si>
    <t>E-2836</t>
  </si>
  <si>
    <t>E-2837</t>
  </si>
  <si>
    <t>E-2838</t>
  </si>
  <si>
    <t>E-2839</t>
  </si>
  <si>
    <t>17-Sep-17--23-Sep-17</t>
  </si>
  <si>
    <t>E-2840</t>
  </si>
  <si>
    <t>16-Sep-17--17-Sep-17</t>
  </si>
  <si>
    <t>E-2841</t>
  </si>
  <si>
    <t>E-2842</t>
  </si>
  <si>
    <t>E-2843</t>
  </si>
  <si>
    <t>E-2844</t>
  </si>
  <si>
    <t>E-2845</t>
  </si>
  <si>
    <t>E-2846</t>
  </si>
  <si>
    <t>E-2847</t>
  </si>
  <si>
    <t>E-2848</t>
  </si>
  <si>
    <t>E-2849</t>
  </si>
  <si>
    <t>E-2850</t>
  </si>
  <si>
    <t>E-2851</t>
  </si>
  <si>
    <t>E-2852</t>
  </si>
  <si>
    <t>E-2853</t>
  </si>
  <si>
    <t>E-2854</t>
  </si>
  <si>
    <t>E-2855</t>
  </si>
  <si>
    <t>E-2856</t>
  </si>
  <si>
    <t>E-2857</t>
  </si>
  <si>
    <t>E-2858</t>
  </si>
  <si>
    <t>E-2859</t>
  </si>
  <si>
    <t>E-2860</t>
  </si>
  <si>
    <t>E-2861</t>
  </si>
  <si>
    <t>17-Sep-17--18-Sep-17</t>
  </si>
  <si>
    <t>E-2862</t>
  </si>
  <si>
    <t>E-2863</t>
  </si>
  <si>
    <t>E-2864</t>
  </si>
  <si>
    <t>E-2865</t>
  </si>
  <si>
    <t>E-2866</t>
  </si>
  <si>
    <t>E-2867</t>
  </si>
  <si>
    <t>E-2868</t>
  </si>
  <si>
    <t>E-2869</t>
  </si>
  <si>
    <t>E-2870</t>
  </si>
  <si>
    <t>E-2871</t>
  </si>
  <si>
    <t>E-2872</t>
  </si>
  <si>
    <t>E-2873</t>
  </si>
  <si>
    <t>E-2874</t>
  </si>
  <si>
    <t>E-2875</t>
  </si>
  <si>
    <t>E-2876</t>
  </si>
  <si>
    <t>E-2877</t>
  </si>
  <si>
    <t>E-2878</t>
  </si>
  <si>
    <t>E-2879</t>
  </si>
  <si>
    <t>E-2880</t>
  </si>
  <si>
    <t>E-2881</t>
  </si>
  <si>
    <t>E-2882</t>
  </si>
  <si>
    <t>E-2883</t>
  </si>
  <si>
    <t>E-2884</t>
  </si>
  <si>
    <t>E-2885</t>
  </si>
  <si>
    <t>E-2886</t>
  </si>
  <si>
    <t>E-2887</t>
  </si>
  <si>
    <t>E-2888</t>
  </si>
  <si>
    <t>17-Sep-17--20-Sep-17</t>
  </si>
  <si>
    <t>E-2889</t>
  </si>
  <si>
    <t>E-2890</t>
  </si>
  <si>
    <t>E-2891</t>
  </si>
  <si>
    <t>E-2892</t>
  </si>
  <si>
    <t>E-2893</t>
  </si>
  <si>
    <t>E-2894</t>
  </si>
  <si>
    <t>E-2895</t>
  </si>
  <si>
    <t>E-2896</t>
  </si>
  <si>
    <t>E-2897</t>
  </si>
  <si>
    <t>E-2898</t>
  </si>
  <si>
    <t>E-2899</t>
  </si>
  <si>
    <t>E-2900</t>
  </si>
  <si>
    <t>E-2901</t>
  </si>
  <si>
    <t>E-2902</t>
  </si>
  <si>
    <t>E-2903</t>
  </si>
  <si>
    <t>E-2904</t>
  </si>
  <si>
    <t>E-2905</t>
  </si>
  <si>
    <t>E-2906</t>
  </si>
  <si>
    <t>E-2907</t>
  </si>
  <si>
    <t>E-2908</t>
  </si>
  <si>
    <t>E-2909</t>
  </si>
  <si>
    <t>E-2910</t>
  </si>
  <si>
    <t>E-2911</t>
  </si>
  <si>
    <t>E-2912</t>
  </si>
  <si>
    <t>E-2913</t>
  </si>
  <si>
    <t>E-2914</t>
  </si>
  <si>
    <t>E-2915</t>
  </si>
  <si>
    <t>E-2916</t>
  </si>
  <si>
    <t>E-2917</t>
  </si>
  <si>
    <t>E-2918</t>
  </si>
  <si>
    <t>E-2919</t>
  </si>
  <si>
    <t>E-2920</t>
  </si>
  <si>
    <t>E-2921</t>
  </si>
  <si>
    <t>E-2922</t>
  </si>
  <si>
    <t>E-2923</t>
  </si>
  <si>
    <t>E-2924</t>
  </si>
  <si>
    <t>E-2925</t>
  </si>
  <si>
    <t>E-2926</t>
  </si>
  <si>
    <t>E-2927</t>
  </si>
  <si>
    <t>E-2928</t>
  </si>
  <si>
    <t>E-2929</t>
  </si>
  <si>
    <t>E-2930</t>
  </si>
  <si>
    <t>E-2931</t>
  </si>
  <si>
    <t>E-2932</t>
  </si>
  <si>
    <t>E-2933</t>
  </si>
  <si>
    <t>E-2934</t>
  </si>
  <si>
    <t>E-2935</t>
  </si>
  <si>
    <t>E-2936</t>
  </si>
  <si>
    <t>E-2937</t>
  </si>
  <si>
    <t>E-2938</t>
  </si>
  <si>
    <t>E-2939</t>
  </si>
  <si>
    <t>E-2940</t>
  </si>
  <si>
    <t>E-2941</t>
  </si>
  <si>
    <t>E-2942</t>
  </si>
  <si>
    <t>E-2943</t>
  </si>
  <si>
    <t>E-2944</t>
  </si>
  <si>
    <t>E-2945</t>
  </si>
  <si>
    <t>E-2946</t>
  </si>
  <si>
    <t>E-2947</t>
  </si>
  <si>
    <t>E-2948</t>
  </si>
  <si>
    <t>E-2949</t>
  </si>
  <si>
    <t>E-2950</t>
  </si>
  <si>
    <t>E-2951</t>
  </si>
  <si>
    <t>E-2952</t>
  </si>
  <si>
    <t>E-2953</t>
  </si>
  <si>
    <t>E-2954</t>
  </si>
  <si>
    <t>E-2955</t>
  </si>
  <si>
    <t>E-2956</t>
  </si>
  <si>
    <t>E-2957</t>
  </si>
  <si>
    <t>E-2958</t>
  </si>
  <si>
    <t>E-2959</t>
  </si>
  <si>
    <t>E-2960</t>
  </si>
  <si>
    <t>E-2961</t>
  </si>
  <si>
    <t>E-2962</t>
  </si>
  <si>
    <t>E-2963</t>
  </si>
  <si>
    <t>E-2964</t>
  </si>
  <si>
    <t>E-2965</t>
  </si>
  <si>
    <t>E-2966</t>
  </si>
  <si>
    <t>E-2967</t>
  </si>
  <si>
    <t>E-2968</t>
  </si>
  <si>
    <t>E-2969</t>
  </si>
  <si>
    <t>E-2970</t>
  </si>
  <si>
    <t>E-2971</t>
  </si>
  <si>
    <t>21-Sep-17--23-Sep-17</t>
  </si>
  <si>
    <t>E-2972</t>
  </si>
  <si>
    <t>E-2973</t>
  </si>
  <si>
    <t>E-2974</t>
  </si>
  <si>
    <t>E-2975</t>
  </si>
  <si>
    <t>E-2976</t>
  </si>
  <si>
    <t>E-2977</t>
  </si>
  <si>
    <t>E-2978</t>
  </si>
  <si>
    <t>E-2979</t>
  </si>
  <si>
    <t>E-2980</t>
  </si>
  <si>
    <t>E-2981</t>
  </si>
  <si>
    <t>E-2982</t>
  </si>
  <si>
    <t>E-2983</t>
  </si>
  <si>
    <t>E-2984</t>
  </si>
  <si>
    <t>E-2985</t>
  </si>
  <si>
    <t>E-2986</t>
  </si>
  <si>
    <t>E-2987</t>
  </si>
  <si>
    <t>E-2988</t>
  </si>
  <si>
    <t>E-2989</t>
  </si>
  <si>
    <t>E-2990</t>
  </si>
  <si>
    <t>E-2991</t>
  </si>
  <si>
    <t>E-2992</t>
  </si>
  <si>
    <t>E-2993</t>
  </si>
  <si>
    <t>E-2994</t>
  </si>
  <si>
    <t>E-2995</t>
  </si>
  <si>
    <t>E-2996</t>
  </si>
  <si>
    <t>E-2997</t>
  </si>
  <si>
    <t>E-2998</t>
  </si>
  <si>
    <t>E-2999</t>
  </si>
  <si>
    <t>E-3000</t>
  </si>
  <si>
    <t>E-3001</t>
  </si>
  <si>
    <t>E-3002</t>
  </si>
  <si>
    <t>E-3003</t>
  </si>
  <si>
    <t>E-3004</t>
  </si>
  <si>
    <t>E-3005</t>
  </si>
  <si>
    <t>E-3006</t>
  </si>
  <si>
    <t>E-3007</t>
  </si>
  <si>
    <t>E-3008</t>
  </si>
  <si>
    <t>E-3009</t>
  </si>
  <si>
    <t>E-3010</t>
  </si>
  <si>
    <t>E-3011</t>
  </si>
  <si>
    <t>E-3012</t>
  </si>
  <si>
    <t>E-3013</t>
  </si>
  <si>
    <t>E-3014</t>
  </si>
  <si>
    <t>E-3015</t>
  </si>
  <si>
    <t>E-3016</t>
  </si>
  <si>
    <t>E-3017</t>
  </si>
  <si>
    <t>E-3018</t>
  </si>
  <si>
    <t>E-3019</t>
  </si>
  <si>
    <t>E-3020</t>
  </si>
  <si>
    <t>E-3021</t>
  </si>
  <si>
    <t>E-3022</t>
  </si>
  <si>
    <t>E-3023</t>
  </si>
  <si>
    <t>E-3024</t>
  </si>
  <si>
    <t>E-3025</t>
  </si>
  <si>
    <t>E-3026</t>
  </si>
  <si>
    <t>E-3027</t>
  </si>
  <si>
    <t>E-3028</t>
  </si>
  <si>
    <t>E-3029</t>
  </si>
  <si>
    <t>E-3030</t>
  </si>
  <si>
    <t>E-3031</t>
  </si>
  <si>
    <t>E-3032</t>
  </si>
  <si>
    <t>E-3033</t>
  </si>
  <si>
    <t>E-3034</t>
  </si>
  <si>
    <t>E-3035</t>
  </si>
  <si>
    <t>E-3036</t>
  </si>
  <si>
    <t>E-3037</t>
  </si>
  <si>
    <t>E-3038</t>
  </si>
  <si>
    <t>E-3039</t>
  </si>
  <si>
    <t>E-3040</t>
  </si>
  <si>
    <t>E-3041</t>
  </si>
  <si>
    <t>E-3042</t>
  </si>
  <si>
    <t>E-3043</t>
  </si>
  <si>
    <t>E-3044</t>
  </si>
  <si>
    <t>E-3045</t>
  </si>
  <si>
    <t>E-3046</t>
  </si>
  <si>
    <t>E-3047</t>
  </si>
  <si>
    <t>E-3048</t>
  </si>
  <si>
    <t>E-3049</t>
  </si>
  <si>
    <t>E-3050</t>
  </si>
  <si>
    <t>E-3051</t>
  </si>
  <si>
    <t>E-3052</t>
  </si>
  <si>
    <t>E-3053</t>
  </si>
  <si>
    <t>E-3054</t>
  </si>
  <si>
    <t>E-3055</t>
  </si>
  <si>
    <t>(699)ISRAEL PADILLA  HABANA</t>
  </si>
  <si>
    <t>E-3056</t>
  </si>
  <si>
    <t>23-Sep-17--25-Sep-17</t>
  </si>
  <si>
    <t>E-3057</t>
  </si>
  <si>
    <t>E-3058</t>
  </si>
  <si>
    <t>E-3059</t>
  </si>
  <si>
    <t>E-3060</t>
  </si>
  <si>
    <t>E-3061</t>
  </si>
  <si>
    <t>E-3062</t>
  </si>
  <si>
    <t>E-3063</t>
  </si>
  <si>
    <t>E-3064</t>
  </si>
  <si>
    <t>E-3065</t>
  </si>
  <si>
    <t>E-3066</t>
  </si>
  <si>
    <t>E-3067</t>
  </si>
  <si>
    <t>E-3068</t>
  </si>
  <si>
    <t>E-3069</t>
  </si>
  <si>
    <t>E-3070</t>
  </si>
  <si>
    <t>E-3071</t>
  </si>
  <si>
    <t>20-Sep-17--21-Sep-17</t>
  </si>
  <si>
    <t>E-3072</t>
  </si>
  <si>
    <t>E-3073</t>
  </si>
  <si>
    <t>E-3074</t>
  </si>
  <si>
    <t>E-3075</t>
  </si>
  <si>
    <t>E-3076</t>
  </si>
  <si>
    <t>E-3077</t>
  </si>
  <si>
    <t>E-3078</t>
  </si>
  <si>
    <t>E-3079</t>
  </si>
  <si>
    <t>E-3080</t>
  </si>
  <si>
    <t>E-3081</t>
  </si>
  <si>
    <t>E-3082</t>
  </si>
  <si>
    <t>E-3083</t>
  </si>
  <si>
    <t>E-3084</t>
  </si>
  <si>
    <t>23-Sep-17--30-Sep-17</t>
  </si>
  <si>
    <t>E-3085</t>
  </si>
  <si>
    <t>E-3086</t>
  </si>
  <si>
    <t>E-3087</t>
  </si>
  <si>
    <t>E-3088</t>
  </si>
  <si>
    <t>E-3089</t>
  </si>
  <si>
    <t>E-3090</t>
  </si>
  <si>
    <t>E-3091</t>
  </si>
  <si>
    <t>21-Sep-17--22-Sep-17</t>
  </si>
  <si>
    <t>E-3092</t>
  </si>
  <si>
    <t>E-3093</t>
  </si>
  <si>
    <t>E-3094</t>
  </si>
  <si>
    <t>E-3095</t>
  </si>
  <si>
    <t>E-3096</t>
  </si>
  <si>
    <t>E-3097</t>
  </si>
  <si>
    <t>E-3098</t>
  </si>
  <si>
    <t>E-3099</t>
  </si>
  <si>
    <t>E-3100</t>
  </si>
  <si>
    <t>E-3101</t>
  </si>
  <si>
    <t>E-3102</t>
  </si>
  <si>
    <t>E-3103</t>
  </si>
  <si>
    <t>E-3104</t>
  </si>
  <si>
    <t>E-3105</t>
  </si>
  <si>
    <t>E-3106</t>
  </si>
  <si>
    <t>E-3107</t>
  </si>
  <si>
    <t>E-3108</t>
  </si>
  <si>
    <t>E-3109</t>
  </si>
  <si>
    <t>E-3110</t>
  </si>
  <si>
    <t>E-3111</t>
  </si>
  <si>
    <t>E-3112</t>
  </si>
  <si>
    <t>E-3113</t>
  </si>
  <si>
    <t>E-3114</t>
  </si>
  <si>
    <t>E-3115</t>
  </si>
  <si>
    <t>E-3116</t>
  </si>
  <si>
    <t>E-3117</t>
  </si>
  <si>
    <t>E-3118</t>
  </si>
  <si>
    <t>E-3119</t>
  </si>
  <si>
    <t>E-3120</t>
  </si>
  <si>
    <t>E-3121</t>
  </si>
  <si>
    <t>E-3122</t>
  </si>
  <si>
    <t>E-3123</t>
  </si>
  <si>
    <t>E-3124</t>
  </si>
  <si>
    <t>E-3125</t>
  </si>
  <si>
    <t>E-3126</t>
  </si>
  <si>
    <t>E-3127</t>
  </si>
  <si>
    <t>E-3128</t>
  </si>
  <si>
    <t>E-3129</t>
  </si>
  <si>
    <t>E-3130</t>
  </si>
  <si>
    <t>E-3131</t>
  </si>
  <si>
    <t>E-3132</t>
  </si>
  <si>
    <t>E-3133</t>
  </si>
  <si>
    <t>E-3134</t>
  </si>
  <si>
    <t>E-3135</t>
  </si>
  <si>
    <t>E-3136</t>
  </si>
  <si>
    <t>E-3137</t>
  </si>
  <si>
    <t>E-3138</t>
  </si>
  <si>
    <t>E-3139</t>
  </si>
  <si>
    <t>E-3140</t>
  </si>
  <si>
    <t>E-3141</t>
  </si>
  <si>
    <t>E-3142</t>
  </si>
  <si>
    <t>E-3143</t>
  </si>
  <si>
    <t>E-3144</t>
  </si>
  <si>
    <t>E-3145</t>
  </si>
  <si>
    <t>E-3146</t>
  </si>
  <si>
    <t>E-3147</t>
  </si>
  <si>
    <t>E-3148</t>
  </si>
  <si>
    <t>E-3149</t>
  </si>
  <si>
    <t>E-3150</t>
  </si>
  <si>
    <t>E-3151</t>
  </si>
  <si>
    <t>E-3152</t>
  </si>
  <si>
    <t>E-3153</t>
  </si>
  <si>
    <t>E-3154</t>
  </si>
  <si>
    <t>E-3155</t>
  </si>
  <si>
    <t>E-3156</t>
  </si>
  <si>
    <t>E-3157</t>
  </si>
  <si>
    <t>E-3158</t>
  </si>
  <si>
    <t>E-3159</t>
  </si>
  <si>
    <t>21-Sep-17--25-Sep-17</t>
  </si>
  <si>
    <t>E-3160</t>
  </si>
  <si>
    <t>E-3161</t>
  </si>
  <si>
    <t>E-3162</t>
  </si>
  <si>
    <t>E-3163</t>
  </si>
  <si>
    <t>E-3164</t>
  </si>
  <si>
    <t>E-3165</t>
  </si>
  <si>
    <t>E-3166</t>
  </si>
  <si>
    <t>E-3167</t>
  </si>
  <si>
    <t>E-3168</t>
  </si>
  <si>
    <t>E-3169</t>
  </si>
  <si>
    <t>E-3170</t>
  </si>
  <si>
    <t>E-3171</t>
  </si>
  <si>
    <t>E-3172</t>
  </si>
  <si>
    <t>E-3173</t>
  </si>
  <si>
    <t>E-3174</t>
  </si>
  <si>
    <t>E-3175</t>
  </si>
  <si>
    <t>E-3176</t>
  </si>
  <si>
    <t>E-3177</t>
  </si>
  <si>
    <t>E-3178</t>
  </si>
  <si>
    <t>E-3179</t>
  </si>
  <si>
    <t>E-3180</t>
  </si>
  <si>
    <t>E-3181</t>
  </si>
  <si>
    <t>E-3182</t>
  </si>
  <si>
    <t>E-3183</t>
  </si>
  <si>
    <t>E-3184</t>
  </si>
  <si>
    <t>E-3185</t>
  </si>
  <si>
    <t>E-3186</t>
  </si>
  <si>
    <t>209-17</t>
  </si>
  <si>
    <t>E-3187</t>
  </si>
  <si>
    <t>E-3188</t>
  </si>
  <si>
    <t>E-3189</t>
  </si>
  <si>
    <t>E-3190</t>
  </si>
  <si>
    <t>E-3191</t>
  </si>
  <si>
    <t>E-3192</t>
  </si>
  <si>
    <t>E-3193</t>
  </si>
  <si>
    <t>E-3194</t>
  </si>
  <si>
    <t>E-3195</t>
  </si>
  <si>
    <t>E-3196</t>
  </si>
  <si>
    <t>E-3197</t>
  </si>
  <si>
    <t>E-3198</t>
  </si>
  <si>
    <t>E-3199</t>
  </si>
  <si>
    <t>E-3200</t>
  </si>
  <si>
    <t>E-3201</t>
  </si>
  <si>
    <t>E-3202</t>
  </si>
  <si>
    <t>E-3203</t>
  </si>
  <si>
    <t>E-3204</t>
  </si>
  <si>
    <t>E-3205</t>
  </si>
  <si>
    <t>E-3206</t>
  </si>
  <si>
    <t>E-3207</t>
  </si>
  <si>
    <t>E-3208</t>
  </si>
  <si>
    <t>E-3209</t>
  </si>
  <si>
    <t>E-3210</t>
  </si>
  <si>
    <t>E-3211</t>
  </si>
  <si>
    <t>E-3212</t>
  </si>
  <si>
    <t>E-3213</t>
  </si>
  <si>
    <t>E-3214</t>
  </si>
  <si>
    <t>E-3215</t>
  </si>
  <si>
    <t>20-Sep-17--25-Sep-17</t>
  </si>
  <si>
    <t>E-3216</t>
  </si>
  <si>
    <t>E-3217</t>
  </si>
  <si>
    <t>E-3218</t>
  </si>
  <si>
    <t>E-3219</t>
  </si>
  <si>
    <t>E-3220</t>
  </si>
  <si>
    <t>E-3221</t>
  </si>
  <si>
    <t>E-3222</t>
  </si>
  <si>
    <t>E-3223</t>
  </si>
  <si>
    <t>E-3224</t>
  </si>
  <si>
    <t>E-3225</t>
  </si>
  <si>
    <t>E-3226</t>
  </si>
  <si>
    <t>E-3227</t>
  </si>
  <si>
    <t>E-3228</t>
  </si>
  <si>
    <t>E-3229</t>
  </si>
  <si>
    <t>E-3230</t>
  </si>
  <si>
    <t>E-3231</t>
  </si>
  <si>
    <t>SIN COPIA AZUL</t>
  </si>
  <si>
    <t>E-3232</t>
  </si>
  <si>
    <t>E-3233</t>
  </si>
  <si>
    <t>E-3234</t>
  </si>
  <si>
    <t>E-3235</t>
  </si>
  <si>
    <t>E-3236</t>
  </si>
  <si>
    <t>E-3237</t>
  </si>
  <si>
    <t>E-3238</t>
  </si>
  <si>
    <t>E-3239</t>
  </si>
  <si>
    <t>E-3240</t>
  </si>
  <si>
    <t>E-3241</t>
  </si>
  <si>
    <t>E-3242</t>
  </si>
  <si>
    <t>E-3243</t>
  </si>
  <si>
    <t>E-3244</t>
  </si>
  <si>
    <t>(22)DELI RICO</t>
  </si>
  <si>
    <t>E-3245</t>
  </si>
  <si>
    <t>E-3246</t>
  </si>
  <si>
    <t>E-3247</t>
  </si>
  <si>
    <t>E-3248</t>
  </si>
  <si>
    <t>E-3249</t>
  </si>
  <si>
    <t>22-Sep-17--26-Sep-17</t>
  </si>
  <si>
    <t>E-3250</t>
  </si>
  <si>
    <t>E-3251</t>
  </si>
  <si>
    <t>E-3252</t>
  </si>
  <si>
    <t>E-3253</t>
  </si>
  <si>
    <t>E-3254</t>
  </si>
  <si>
    <t>E-3255</t>
  </si>
  <si>
    <t>E-3256</t>
  </si>
  <si>
    <t>E-3257</t>
  </si>
  <si>
    <t>E-3258</t>
  </si>
  <si>
    <t>E-3259</t>
  </si>
  <si>
    <t>E-3260</t>
  </si>
  <si>
    <t>E-3261</t>
  </si>
  <si>
    <t>E-3262</t>
  </si>
  <si>
    <t>E-3263</t>
  </si>
  <si>
    <t>E-3264</t>
  </si>
  <si>
    <t>E-3265</t>
  </si>
  <si>
    <t>17/01/2018</t>
  </si>
  <si>
    <t>E-3266</t>
  </si>
  <si>
    <t>E-3267</t>
  </si>
  <si>
    <t>E-3268</t>
  </si>
  <si>
    <t>E-3269</t>
  </si>
  <si>
    <t>E-3270</t>
  </si>
  <si>
    <t>E-3271</t>
  </si>
  <si>
    <t>E-3272</t>
  </si>
  <si>
    <t>E-3273</t>
  </si>
  <si>
    <t>E-3274</t>
  </si>
  <si>
    <t>E-3275</t>
  </si>
  <si>
    <t>E-3276</t>
  </si>
  <si>
    <t>E-3277</t>
  </si>
  <si>
    <t>E-3278</t>
  </si>
  <si>
    <t>E-3279</t>
  </si>
  <si>
    <t>E-3280</t>
  </si>
  <si>
    <t>E-3281</t>
  </si>
  <si>
    <t>E-3282</t>
  </si>
  <si>
    <t>E-3283</t>
  </si>
  <si>
    <t>E-3284</t>
  </si>
  <si>
    <t>E-3285</t>
  </si>
  <si>
    <t>E-3286</t>
  </si>
  <si>
    <t>E-3287</t>
  </si>
  <si>
    <t>E-3288</t>
  </si>
  <si>
    <t>E-3289</t>
  </si>
  <si>
    <t>E-3290</t>
  </si>
  <si>
    <t>22-Sep-17--23-Sep-17</t>
  </si>
  <si>
    <t>E-3291</t>
  </si>
  <si>
    <t>E-3292</t>
  </si>
  <si>
    <t>E-3293</t>
  </si>
  <si>
    <t>E-3294</t>
  </si>
  <si>
    <t>E-3295</t>
  </si>
  <si>
    <t>E-3296</t>
  </si>
  <si>
    <t>E-3297</t>
  </si>
  <si>
    <t>E-3298</t>
  </si>
  <si>
    <t>E-3299</t>
  </si>
  <si>
    <t>E-3300</t>
  </si>
  <si>
    <t>E-3301</t>
  </si>
  <si>
    <t>E-3302</t>
  </si>
  <si>
    <t>E-3303</t>
  </si>
  <si>
    <t>E-3304</t>
  </si>
  <si>
    <t>E-3305</t>
  </si>
  <si>
    <t>E-3306</t>
  </si>
  <si>
    <t>E-3307</t>
  </si>
  <si>
    <t>E-3308</t>
  </si>
  <si>
    <t>E-3309</t>
  </si>
  <si>
    <t>E-3310</t>
  </si>
  <si>
    <t>E-3311</t>
  </si>
  <si>
    <t>E-3312</t>
  </si>
  <si>
    <t>E-3313</t>
  </si>
  <si>
    <t>E-3314</t>
  </si>
  <si>
    <t>E-3315</t>
  </si>
  <si>
    <t>E-3316</t>
  </si>
  <si>
    <t>E-3317</t>
  </si>
  <si>
    <t>E-3318</t>
  </si>
  <si>
    <t>E-3319</t>
  </si>
  <si>
    <t>E-3320</t>
  </si>
  <si>
    <t>E-3321</t>
  </si>
  <si>
    <t>E-3322</t>
  </si>
  <si>
    <t>E-3323</t>
  </si>
  <si>
    <t>E-3324</t>
  </si>
  <si>
    <t>E-3325</t>
  </si>
  <si>
    <t>E-3326</t>
  </si>
  <si>
    <t>E-3327</t>
  </si>
  <si>
    <t>E-3328</t>
  </si>
  <si>
    <t>E-3329</t>
  </si>
  <si>
    <t>E-3330</t>
  </si>
  <si>
    <t>E-3331</t>
  </si>
  <si>
    <t>E-3332</t>
  </si>
  <si>
    <t>E-3333</t>
  </si>
  <si>
    <t>E-3334</t>
  </si>
  <si>
    <t>E-3335</t>
  </si>
  <si>
    <t>21-Sep-17--22-Sep-17--23-Sep-17</t>
  </si>
  <si>
    <t>E-3336</t>
  </si>
  <si>
    <t>E-3337</t>
  </si>
  <si>
    <t>E-3338</t>
  </si>
  <si>
    <t>E-3339</t>
  </si>
  <si>
    <t>E-3340</t>
  </si>
  <si>
    <t>E-3341</t>
  </si>
  <si>
    <t>E-3342</t>
  </si>
  <si>
    <t>E-3343</t>
  </si>
  <si>
    <t>E-3344</t>
  </si>
  <si>
    <t>E-3345</t>
  </si>
  <si>
    <t>E-3346</t>
  </si>
  <si>
    <t>E-3347</t>
  </si>
  <si>
    <t>E-3348</t>
  </si>
  <si>
    <t>E-3349</t>
  </si>
  <si>
    <t>E-3350</t>
  </si>
  <si>
    <t>E-3351</t>
  </si>
  <si>
    <t>E-3352</t>
  </si>
  <si>
    <t>E-3353</t>
  </si>
  <si>
    <t>E-3354</t>
  </si>
  <si>
    <t>E-3355</t>
  </si>
  <si>
    <t>E-3356</t>
  </si>
  <si>
    <t>E-3357</t>
  </si>
  <si>
    <t>E-3358</t>
  </si>
  <si>
    <t>E-3359</t>
  </si>
  <si>
    <t>E-3360</t>
  </si>
  <si>
    <t>E-3361</t>
  </si>
  <si>
    <t>E-3362</t>
  </si>
  <si>
    <t>E-3363</t>
  </si>
  <si>
    <t>E-3364</t>
  </si>
  <si>
    <t>E-3365</t>
  </si>
  <si>
    <t>E-3366</t>
  </si>
  <si>
    <t>E-3367</t>
  </si>
  <si>
    <t>E-3368</t>
  </si>
  <si>
    <t>E-3369</t>
  </si>
  <si>
    <t>E-3370</t>
  </si>
  <si>
    <t>E-3371</t>
  </si>
  <si>
    <t>E-3372</t>
  </si>
  <si>
    <t>E-3373</t>
  </si>
  <si>
    <t>E-3374</t>
  </si>
  <si>
    <t>E-3375</t>
  </si>
  <si>
    <t>E-3376</t>
  </si>
  <si>
    <t>E-3377</t>
  </si>
  <si>
    <t>E-3378</t>
  </si>
  <si>
    <t>E-3379</t>
  </si>
  <si>
    <t>E-3380</t>
  </si>
  <si>
    <t>E-3381</t>
  </si>
  <si>
    <t>E-3382</t>
  </si>
  <si>
    <t>E-3383</t>
  </si>
  <si>
    <t>E-3384</t>
  </si>
  <si>
    <t>E-3385</t>
  </si>
  <si>
    <t>E-3386</t>
  </si>
  <si>
    <t>E-3387</t>
  </si>
  <si>
    <t>E-3388</t>
  </si>
  <si>
    <t>E-3389</t>
  </si>
  <si>
    <t>E-3390</t>
  </si>
  <si>
    <t>E-3391</t>
  </si>
  <si>
    <t>E-3392</t>
  </si>
  <si>
    <t>E-3393</t>
  </si>
  <si>
    <t>E-3394</t>
  </si>
  <si>
    <t>E-3395</t>
  </si>
  <si>
    <t>E-3396</t>
  </si>
  <si>
    <t>E-3397</t>
  </si>
  <si>
    <t>E-3398</t>
  </si>
  <si>
    <t>E-3399</t>
  </si>
  <si>
    <t>E-3400</t>
  </si>
  <si>
    <t>E-3401</t>
  </si>
  <si>
    <t>E-3402</t>
  </si>
  <si>
    <t>E-3403</t>
  </si>
  <si>
    <t>E-3404</t>
  </si>
  <si>
    <t>E-3405</t>
  </si>
  <si>
    <t>E-3406</t>
  </si>
  <si>
    <t>E-3407</t>
  </si>
  <si>
    <t>E-3408</t>
  </si>
  <si>
    <t>E-3409</t>
  </si>
  <si>
    <t>E-3410</t>
  </si>
  <si>
    <t>E-3411</t>
  </si>
  <si>
    <t>E-3412</t>
  </si>
  <si>
    <t>E-3413</t>
  </si>
  <si>
    <t>E-3414</t>
  </si>
  <si>
    <t>25-Sep-17--26-Sep-17</t>
  </si>
  <si>
    <t>E-3415</t>
  </si>
  <si>
    <t>E-3416</t>
  </si>
  <si>
    <t>E-3417</t>
  </si>
  <si>
    <t>E-3418</t>
  </si>
  <si>
    <t>E-3419</t>
  </si>
  <si>
    <t>E-3420</t>
  </si>
  <si>
    <t>E-3421</t>
  </si>
  <si>
    <t>E-3422</t>
  </si>
  <si>
    <t>E-3423</t>
  </si>
  <si>
    <t>E-3424</t>
  </si>
  <si>
    <t>E-3425</t>
  </si>
  <si>
    <t>E-3426</t>
  </si>
  <si>
    <t>E-3427</t>
  </si>
  <si>
    <t>E-3428</t>
  </si>
  <si>
    <t>E-3429</t>
  </si>
  <si>
    <t>E-3430</t>
  </si>
  <si>
    <t>E-3431</t>
  </si>
  <si>
    <t>E-3432</t>
  </si>
  <si>
    <t>E-3433</t>
  </si>
  <si>
    <t>E-3434</t>
  </si>
  <si>
    <t>E-3435</t>
  </si>
  <si>
    <t>E-3436</t>
  </si>
  <si>
    <t>E-3437</t>
  </si>
  <si>
    <t>E-3438</t>
  </si>
  <si>
    <t>E-3439</t>
  </si>
  <si>
    <t>E-3440</t>
  </si>
  <si>
    <t>E-3441</t>
  </si>
  <si>
    <t>E-3442</t>
  </si>
  <si>
    <t>E-3443</t>
  </si>
  <si>
    <t>E-3444</t>
  </si>
  <si>
    <t>E-3445</t>
  </si>
  <si>
    <t>E-3446</t>
  </si>
  <si>
    <t>E-3447</t>
  </si>
  <si>
    <t>E-3448</t>
  </si>
  <si>
    <t>E-3449</t>
  </si>
  <si>
    <t>E-3450</t>
  </si>
  <si>
    <t>E-3451</t>
  </si>
  <si>
    <t>E-3452</t>
  </si>
  <si>
    <t>E-3453</t>
  </si>
  <si>
    <t>E-3454</t>
  </si>
  <si>
    <t>E-3455</t>
  </si>
  <si>
    <t>E-3456</t>
  </si>
  <si>
    <t>E-3457</t>
  </si>
  <si>
    <t>E-3458</t>
  </si>
  <si>
    <t>E-3459</t>
  </si>
  <si>
    <t>E-3460</t>
  </si>
  <si>
    <t>E-3461</t>
  </si>
  <si>
    <t>E-3462</t>
  </si>
  <si>
    <t>E-3463</t>
  </si>
  <si>
    <t>E-3464</t>
  </si>
  <si>
    <t>E-3465</t>
  </si>
  <si>
    <t>E-3466</t>
  </si>
  <si>
    <t>E-3467</t>
  </si>
  <si>
    <t>E-3468</t>
  </si>
  <si>
    <t>23-Sep-17--26-Sep-17--28-Sep-17</t>
  </si>
  <si>
    <t>E-3469</t>
  </si>
  <si>
    <t>E-3470</t>
  </si>
  <si>
    <t>E-3471</t>
  </si>
  <si>
    <t>E-3472</t>
  </si>
  <si>
    <t>E-3473</t>
  </si>
  <si>
    <t>26-Sep-17--28-Sep-17</t>
  </si>
  <si>
    <t>E-3474</t>
  </si>
  <si>
    <t>E-3475</t>
  </si>
  <si>
    <t>E-3476</t>
  </si>
  <si>
    <t>E-3477</t>
  </si>
  <si>
    <t>E-3478</t>
  </si>
  <si>
    <t>E-3479</t>
  </si>
  <si>
    <t>E-3480</t>
  </si>
  <si>
    <t>E-3481</t>
  </si>
  <si>
    <t>E-3482</t>
  </si>
  <si>
    <t>E-3483</t>
  </si>
  <si>
    <t>E-3484</t>
  </si>
  <si>
    <t>E-3485</t>
  </si>
  <si>
    <t>E-3486</t>
  </si>
  <si>
    <t>E-3487</t>
  </si>
  <si>
    <t>E-3488</t>
  </si>
  <si>
    <t>E-3489</t>
  </si>
  <si>
    <t>E-3490</t>
  </si>
  <si>
    <t>E-3491</t>
  </si>
  <si>
    <t>E-3492</t>
  </si>
  <si>
    <t>E-3493</t>
  </si>
  <si>
    <t>E-3494</t>
  </si>
  <si>
    <t>E-3495</t>
  </si>
  <si>
    <t>E-3496</t>
  </si>
  <si>
    <t>E-3497</t>
  </si>
  <si>
    <t>E-3498</t>
  </si>
  <si>
    <t>E-3499</t>
  </si>
  <si>
    <t>(531)ANTONIO</t>
  </si>
  <si>
    <t>E-3500</t>
  </si>
  <si>
    <t>E-3501</t>
  </si>
  <si>
    <t>E-3502</t>
  </si>
  <si>
    <t>E-3503</t>
  </si>
  <si>
    <t>E-3504</t>
  </si>
  <si>
    <t>E-3505</t>
  </si>
  <si>
    <t>E-3506</t>
  </si>
  <si>
    <t>E-3507</t>
  </si>
  <si>
    <t>E-3508</t>
  </si>
  <si>
    <t>E-3509</t>
  </si>
  <si>
    <t>E-3510</t>
  </si>
  <si>
    <t>E-3511</t>
  </si>
  <si>
    <t>E-3512</t>
  </si>
  <si>
    <t>E-3513</t>
  </si>
  <si>
    <t>E-3514</t>
  </si>
  <si>
    <t>E-3515</t>
  </si>
  <si>
    <t>E-3516</t>
  </si>
  <si>
    <t>E-3517</t>
  </si>
  <si>
    <t>E-3518</t>
  </si>
  <si>
    <t>E-3519</t>
  </si>
  <si>
    <t>E-3520</t>
  </si>
  <si>
    <t>E-3521</t>
  </si>
  <si>
    <t>E-3522</t>
  </si>
  <si>
    <t>E-3523</t>
  </si>
  <si>
    <t>E-3524</t>
  </si>
  <si>
    <t>E-3525</t>
  </si>
  <si>
    <t>E-3526</t>
  </si>
  <si>
    <t>E-3527</t>
  </si>
  <si>
    <t>E-3528</t>
  </si>
  <si>
    <t>E-3529</t>
  </si>
  <si>
    <t>E-3530</t>
  </si>
  <si>
    <t>E-3531</t>
  </si>
  <si>
    <t>E-3532</t>
  </si>
  <si>
    <t>E-3533</t>
  </si>
  <si>
    <t>E-3534</t>
  </si>
  <si>
    <t>E-3535</t>
  </si>
  <si>
    <t>E-3536</t>
  </si>
  <si>
    <t>E-3537</t>
  </si>
  <si>
    <t>E-3538</t>
  </si>
  <si>
    <t>E-3539</t>
  </si>
  <si>
    <t>E-3540</t>
  </si>
  <si>
    <t>E-3541</t>
  </si>
  <si>
    <t>E-3542</t>
  </si>
  <si>
    <t>E-3543</t>
  </si>
  <si>
    <t>E-3544</t>
  </si>
  <si>
    <t>E-3545</t>
  </si>
  <si>
    <t>E-3546</t>
  </si>
  <si>
    <t>E-3547</t>
  </si>
  <si>
    <t>E-3548</t>
  </si>
  <si>
    <t>E-3549</t>
  </si>
  <si>
    <t>E-3550</t>
  </si>
  <si>
    <t>E-3551</t>
  </si>
  <si>
    <t>E-3552</t>
  </si>
  <si>
    <t>E-3553</t>
  </si>
  <si>
    <t>E-3554</t>
  </si>
  <si>
    <t>E-3555</t>
  </si>
  <si>
    <t>E-3556</t>
  </si>
  <si>
    <t>E-3557</t>
  </si>
  <si>
    <t>E-3558</t>
  </si>
  <si>
    <t>E-3559</t>
  </si>
  <si>
    <t>E-3560</t>
  </si>
  <si>
    <t>E-3561</t>
  </si>
  <si>
    <t>E-3562</t>
  </si>
  <si>
    <t>24-Sep-17--25-Sep-17</t>
  </si>
  <si>
    <t>E-3563</t>
  </si>
  <si>
    <t>E-3564</t>
  </si>
  <si>
    <t>E-3565</t>
  </si>
  <si>
    <t>E-3566</t>
  </si>
  <si>
    <t>E-3567</t>
  </si>
  <si>
    <t>E-3568</t>
  </si>
  <si>
    <t>E-3569</t>
  </si>
  <si>
    <t>E-3570</t>
  </si>
  <si>
    <t>25-Sep-17--26-Sep-17--28-Sep-17</t>
  </si>
  <si>
    <t>E-3571</t>
  </si>
  <si>
    <t>E-3572</t>
  </si>
  <si>
    <t>E-3573</t>
  </si>
  <si>
    <t>E-3574</t>
  </si>
  <si>
    <t>E-3575</t>
  </si>
  <si>
    <t>E-3576</t>
  </si>
  <si>
    <t>E-3577</t>
  </si>
  <si>
    <t>E-3578</t>
  </si>
  <si>
    <t>E-3579</t>
  </si>
  <si>
    <t>E-3580</t>
  </si>
  <si>
    <t>E-3581</t>
  </si>
  <si>
    <t>26-Sep-17--27-Sep-17--28-Sep-17</t>
  </si>
  <si>
    <t>E-3582</t>
  </si>
  <si>
    <t>E-3583</t>
  </si>
  <si>
    <t>E-3584</t>
  </si>
  <si>
    <t>E-3585</t>
  </si>
  <si>
    <t>E-3586</t>
  </si>
  <si>
    <t>E-3587</t>
  </si>
  <si>
    <t xml:space="preserve">26-Sep-17--27-Sep-17   </t>
  </si>
  <si>
    <t>E-3588</t>
  </si>
  <si>
    <t>E-3589</t>
  </si>
  <si>
    <t>E-3590</t>
  </si>
  <si>
    <t>E-3591</t>
  </si>
  <si>
    <t>E-3592</t>
  </si>
  <si>
    <t>E-3593</t>
  </si>
  <si>
    <t>26-Sep-17--29-Sep-17</t>
  </si>
  <si>
    <t>E-3594</t>
  </si>
  <si>
    <t>26-Sep-17--27-Sep-17</t>
  </si>
  <si>
    <t>E-3595</t>
  </si>
  <si>
    <t>E-3596</t>
  </si>
  <si>
    <t>E-3597</t>
  </si>
  <si>
    <t>E-3598</t>
  </si>
  <si>
    <t>E-3599</t>
  </si>
  <si>
    <t>E-3600</t>
  </si>
  <si>
    <t>E-3601</t>
  </si>
  <si>
    <t>E-3602</t>
  </si>
  <si>
    <t>E-3603</t>
  </si>
  <si>
    <t>E-3604</t>
  </si>
  <si>
    <t>E-3605</t>
  </si>
  <si>
    <t>E-3606</t>
  </si>
  <si>
    <t>E-3607</t>
  </si>
  <si>
    <t>E-3608</t>
  </si>
  <si>
    <t>E-3609</t>
  </si>
  <si>
    <t>E-3610</t>
  </si>
  <si>
    <t>E-3611</t>
  </si>
  <si>
    <t>E-3612</t>
  </si>
  <si>
    <t>E-3613</t>
  </si>
  <si>
    <t>E-3614</t>
  </si>
  <si>
    <t>E-3615</t>
  </si>
  <si>
    <t>E-3616</t>
  </si>
  <si>
    <t>E-3617</t>
  </si>
  <si>
    <t>E-3618</t>
  </si>
  <si>
    <t>E-3619</t>
  </si>
  <si>
    <t>E-3620</t>
  </si>
  <si>
    <t>E-3621</t>
  </si>
  <si>
    <t>E-3622</t>
  </si>
  <si>
    <t>E-3623</t>
  </si>
  <si>
    <t>E-3624</t>
  </si>
  <si>
    <t>E-3625</t>
  </si>
  <si>
    <t>23-Sep-17--24-Sep-17</t>
  </si>
  <si>
    <t>E-3626</t>
  </si>
  <si>
    <t>E-3627</t>
  </si>
  <si>
    <t>E-3628</t>
  </si>
  <si>
    <t>E-3629</t>
  </si>
  <si>
    <t>E-3630</t>
  </si>
  <si>
    <t>E-3631</t>
  </si>
  <si>
    <t>E-3632</t>
  </si>
  <si>
    <t>E-3633</t>
  </si>
  <si>
    <t>E-3634</t>
  </si>
  <si>
    <t>E-3635</t>
  </si>
  <si>
    <t>E-3636</t>
  </si>
  <si>
    <t>E-3637</t>
  </si>
  <si>
    <t>E-3638</t>
  </si>
  <si>
    <t>E-3639</t>
  </si>
  <si>
    <t>E-3640</t>
  </si>
  <si>
    <t>E-3641</t>
  </si>
  <si>
    <t>E-3642</t>
  </si>
  <si>
    <t>E-3643</t>
  </si>
  <si>
    <t>E-3644</t>
  </si>
  <si>
    <t>E-3645</t>
  </si>
  <si>
    <t>E-3646</t>
  </si>
  <si>
    <t>E-3647</t>
  </si>
  <si>
    <t>E-3648</t>
  </si>
  <si>
    <t>E-3649</t>
  </si>
  <si>
    <t>E-3650</t>
  </si>
  <si>
    <t>E-3651</t>
  </si>
  <si>
    <t>E-3652</t>
  </si>
  <si>
    <t>E-3653</t>
  </si>
  <si>
    <t>E-3654</t>
  </si>
  <si>
    <t>E-3655</t>
  </si>
  <si>
    <t>E-3656</t>
  </si>
  <si>
    <t>E-3657</t>
  </si>
  <si>
    <t>E-3658</t>
  </si>
  <si>
    <t>E-3659</t>
  </si>
  <si>
    <t>E-3660</t>
  </si>
  <si>
    <t>E-3661</t>
  </si>
  <si>
    <t>E-3662</t>
  </si>
  <si>
    <t>E-3663</t>
  </si>
  <si>
    <t>E-3664</t>
  </si>
  <si>
    <t>E-3665</t>
  </si>
  <si>
    <t>E-3666</t>
  </si>
  <si>
    <t>E-3667</t>
  </si>
  <si>
    <t>E-3668</t>
  </si>
  <si>
    <t>E-3669</t>
  </si>
  <si>
    <t>E-3670</t>
  </si>
  <si>
    <t>E-3671</t>
  </si>
  <si>
    <t>E-3672</t>
  </si>
  <si>
    <t>E-3673</t>
  </si>
  <si>
    <t>E-3674</t>
  </si>
  <si>
    <t>E-3675</t>
  </si>
  <si>
    <t>E-3676</t>
  </si>
  <si>
    <t>E-3677</t>
  </si>
  <si>
    <t>E-3678</t>
  </si>
  <si>
    <t>E-3679</t>
  </si>
  <si>
    <t>E-3680</t>
  </si>
  <si>
    <t>E-3681</t>
  </si>
  <si>
    <t>E-3682</t>
  </si>
  <si>
    <t>E-3683</t>
  </si>
  <si>
    <t>E-3684</t>
  </si>
  <si>
    <t>E-3685</t>
  </si>
  <si>
    <t>E-3686</t>
  </si>
  <si>
    <t>E-3687</t>
  </si>
  <si>
    <t>E-3688</t>
  </si>
  <si>
    <t>E-3689</t>
  </si>
  <si>
    <t>E-3690</t>
  </si>
  <si>
    <t>E-3691</t>
  </si>
  <si>
    <t>E-3692</t>
  </si>
  <si>
    <t>E-3693</t>
  </si>
  <si>
    <t>E-3694</t>
  </si>
  <si>
    <t>E-3695</t>
  </si>
  <si>
    <t>E-3696</t>
  </si>
  <si>
    <t>E-3697</t>
  </si>
  <si>
    <t>E-3698</t>
  </si>
  <si>
    <t>E-3699</t>
  </si>
  <si>
    <t>E-3700</t>
  </si>
  <si>
    <t>E-3701</t>
  </si>
  <si>
    <t>E-3702</t>
  </si>
  <si>
    <t>E-3703</t>
  </si>
  <si>
    <t>(238)RUBEN SALAZAR</t>
  </si>
  <si>
    <t>E-3704</t>
  </si>
  <si>
    <t>E-3705</t>
  </si>
  <si>
    <t>E-3706</t>
  </si>
  <si>
    <t>(445)SERGIO HERRERIAS</t>
  </si>
  <si>
    <t>E-3707</t>
  </si>
  <si>
    <t>E-3708</t>
  </si>
  <si>
    <t>E-3709</t>
  </si>
  <si>
    <t>E-3710</t>
  </si>
  <si>
    <t>E-3711</t>
  </si>
  <si>
    <t>E-3712</t>
  </si>
  <si>
    <t>E-3713</t>
  </si>
  <si>
    <t>27-Sep-17--28-Sep-17</t>
  </si>
  <si>
    <t>E-3714</t>
  </si>
  <si>
    <t>E-3715</t>
  </si>
  <si>
    <t>E-3716</t>
  </si>
  <si>
    <t>24-Sep-17--25-Sep-17--26-Sep-17--27-Sep-17--28-Sep-17</t>
  </si>
  <si>
    <t>E-3717</t>
  </si>
  <si>
    <t>E-3718</t>
  </si>
  <si>
    <t>E-3719</t>
  </si>
  <si>
    <t>E-3720</t>
  </si>
  <si>
    <t>E-3721</t>
  </si>
  <si>
    <t>E-3722</t>
  </si>
  <si>
    <t>E-3723</t>
  </si>
  <si>
    <t>E-3724</t>
  </si>
  <si>
    <t>E-3725</t>
  </si>
  <si>
    <t>E-3726</t>
  </si>
  <si>
    <t>E-3727</t>
  </si>
  <si>
    <t>E-3728</t>
  </si>
  <si>
    <t>E-3729</t>
  </si>
  <si>
    <t>E-3730</t>
  </si>
  <si>
    <t>E-3731</t>
  </si>
  <si>
    <t>E-3732</t>
  </si>
  <si>
    <t>E-3733</t>
  </si>
  <si>
    <t>E-3734</t>
  </si>
  <si>
    <t>E-3735</t>
  </si>
  <si>
    <t>E-3736</t>
  </si>
  <si>
    <t>E-3737</t>
  </si>
  <si>
    <t>E-3738</t>
  </si>
  <si>
    <t>E-3739</t>
  </si>
  <si>
    <t>E-3740</t>
  </si>
  <si>
    <t>E-3741</t>
  </si>
  <si>
    <t>E-3742</t>
  </si>
  <si>
    <t>E-3743</t>
  </si>
  <si>
    <t>E-3744</t>
  </si>
  <si>
    <t>E-3745</t>
  </si>
  <si>
    <t>E-3746</t>
  </si>
  <si>
    <t>E-3747</t>
  </si>
  <si>
    <t>E-3748</t>
  </si>
  <si>
    <t>E-3749</t>
  </si>
  <si>
    <t>E-3750</t>
  </si>
  <si>
    <t>E-3751</t>
  </si>
  <si>
    <t>E-3752</t>
  </si>
  <si>
    <t>E-3753</t>
  </si>
  <si>
    <t>E-3754</t>
  </si>
  <si>
    <t>E-3755</t>
  </si>
  <si>
    <t>E-3756</t>
  </si>
  <si>
    <t>impresa en hoja en blanco no existe el formato de remision Original JUEGO</t>
  </si>
  <si>
    <t>E-3757</t>
  </si>
  <si>
    <t>E-3758</t>
  </si>
  <si>
    <t>E-3759</t>
  </si>
  <si>
    <t>E-3760</t>
  </si>
  <si>
    <t>E-3761</t>
  </si>
  <si>
    <t>E-3762</t>
  </si>
  <si>
    <t>E-3763</t>
  </si>
  <si>
    <t>E-3764</t>
  </si>
  <si>
    <t>E-3765</t>
  </si>
  <si>
    <t>E-3766</t>
  </si>
  <si>
    <t>E-3767</t>
  </si>
  <si>
    <t>E-3768</t>
  </si>
  <si>
    <t>E-3769</t>
  </si>
  <si>
    <t>E-3770</t>
  </si>
  <si>
    <t>E-3771</t>
  </si>
  <si>
    <t>E-3772</t>
  </si>
  <si>
    <t>E-3773</t>
  </si>
  <si>
    <t>E-3774</t>
  </si>
  <si>
    <t>E-3775</t>
  </si>
  <si>
    <t>E-3776</t>
  </si>
  <si>
    <t>E-3777</t>
  </si>
  <si>
    <t>E-3778</t>
  </si>
  <si>
    <t>E-3779</t>
  </si>
  <si>
    <t>E-3780</t>
  </si>
  <si>
    <t>E-3781</t>
  </si>
  <si>
    <t>E-3782</t>
  </si>
  <si>
    <t>E-3783</t>
  </si>
  <si>
    <t>E-3784</t>
  </si>
  <si>
    <t>E-3785</t>
  </si>
  <si>
    <t>E-3786</t>
  </si>
  <si>
    <t>E-3787</t>
  </si>
  <si>
    <t>E-3788</t>
  </si>
  <si>
    <t>E-3789</t>
  </si>
  <si>
    <t>E-3790</t>
  </si>
  <si>
    <t>E-3791</t>
  </si>
  <si>
    <t>E-3792</t>
  </si>
  <si>
    <t>E-3793</t>
  </si>
  <si>
    <t>E-3794</t>
  </si>
  <si>
    <t>E-3795</t>
  </si>
  <si>
    <t>E-3796</t>
  </si>
  <si>
    <t>E-3797</t>
  </si>
  <si>
    <t>E-3798</t>
  </si>
  <si>
    <t>E-3799</t>
  </si>
  <si>
    <t>E-3800</t>
  </si>
  <si>
    <t>E-3801</t>
  </si>
  <si>
    <t>E-3802</t>
  </si>
  <si>
    <t>E-3803</t>
  </si>
  <si>
    <t>E-3804</t>
  </si>
  <si>
    <t>E-3805</t>
  </si>
  <si>
    <t>E-3806</t>
  </si>
  <si>
    <t>E-3807</t>
  </si>
  <si>
    <t>E-3808</t>
  </si>
  <si>
    <t>E-3809</t>
  </si>
  <si>
    <t>E-3810</t>
  </si>
  <si>
    <t>E-3811</t>
  </si>
  <si>
    <t>E-3812</t>
  </si>
  <si>
    <t>E-3813</t>
  </si>
  <si>
    <t>E-3814</t>
  </si>
  <si>
    <t>E-3815</t>
  </si>
  <si>
    <t>E-3816</t>
  </si>
  <si>
    <t>E-3817</t>
  </si>
  <si>
    <t>E-3818</t>
  </si>
  <si>
    <t>E-3819</t>
  </si>
  <si>
    <t>E-3820</t>
  </si>
  <si>
    <t>E-3821</t>
  </si>
  <si>
    <t>E-3822</t>
  </si>
  <si>
    <t>E-3823</t>
  </si>
  <si>
    <t>E-3824</t>
  </si>
  <si>
    <t>E-3825</t>
  </si>
  <si>
    <t>E-3826</t>
  </si>
  <si>
    <t>25-Sep-17--30-Sep-17</t>
  </si>
  <si>
    <t>E-3827</t>
  </si>
  <si>
    <t>E-3828</t>
  </si>
  <si>
    <t>E-3829</t>
  </si>
  <si>
    <t>E-3830</t>
  </si>
  <si>
    <t>E-3831</t>
  </si>
  <si>
    <t>E-3832</t>
  </si>
  <si>
    <t>E-3833</t>
  </si>
  <si>
    <t>E-3834</t>
  </si>
  <si>
    <t>E-3835</t>
  </si>
  <si>
    <t>E-3836</t>
  </si>
  <si>
    <t>E-3837</t>
  </si>
  <si>
    <t>E-3838</t>
  </si>
  <si>
    <t>E-3839</t>
  </si>
  <si>
    <t>E-3840</t>
  </si>
  <si>
    <t>E-3841</t>
  </si>
  <si>
    <t>E-3842</t>
  </si>
  <si>
    <t>E-3843</t>
  </si>
  <si>
    <t>E-3844</t>
  </si>
  <si>
    <t>E-3845</t>
  </si>
  <si>
    <t>28-Se´-17--29-Sep-17</t>
  </si>
  <si>
    <t>E-3846</t>
  </si>
  <si>
    <t>E-3847</t>
  </si>
  <si>
    <t>E-3848</t>
  </si>
  <si>
    <t>E-3849</t>
  </si>
  <si>
    <t>E-3850</t>
  </si>
  <si>
    <t>E-3851</t>
  </si>
  <si>
    <t>E-3852</t>
  </si>
  <si>
    <t>E-3853</t>
  </si>
  <si>
    <t>E-3854</t>
  </si>
  <si>
    <t>E-3855</t>
  </si>
  <si>
    <t>E-3856</t>
  </si>
  <si>
    <t>E-3857</t>
  </si>
  <si>
    <t>E-3858</t>
  </si>
  <si>
    <t>E-3859</t>
  </si>
  <si>
    <t>E-3860</t>
  </si>
  <si>
    <t>E-3861</t>
  </si>
  <si>
    <t>E-3862</t>
  </si>
  <si>
    <t>E-3863</t>
  </si>
  <si>
    <t>E-3864</t>
  </si>
  <si>
    <t>E-3865</t>
  </si>
  <si>
    <t>E-3866</t>
  </si>
  <si>
    <t>E-3867</t>
  </si>
  <si>
    <t>E-3868</t>
  </si>
  <si>
    <t>E-3869</t>
  </si>
  <si>
    <t>E-3870</t>
  </si>
  <si>
    <t>E-3871</t>
  </si>
  <si>
    <t>E-3872</t>
  </si>
  <si>
    <t>E-3873</t>
  </si>
  <si>
    <t>E-3874</t>
  </si>
  <si>
    <t>E-3875</t>
  </si>
  <si>
    <t>E-3876</t>
  </si>
  <si>
    <t>E-3877</t>
  </si>
  <si>
    <t>E-3878</t>
  </si>
  <si>
    <t>E-3879</t>
  </si>
  <si>
    <t>E-3880</t>
  </si>
  <si>
    <t>E-3881</t>
  </si>
  <si>
    <t>E-3882</t>
  </si>
  <si>
    <t>E-3883</t>
  </si>
  <si>
    <t>E-3884</t>
  </si>
  <si>
    <t>E-3885</t>
  </si>
  <si>
    <t>E-3886</t>
  </si>
  <si>
    <t>E-3887</t>
  </si>
  <si>
    <t>E-3888</t>
  </si>
  <si>
    <t>E-3889</t>
  </si>
  <si>
    <t>E-3890</t>
  </si>
  <si>
    <t>E-3891</t>
  </si>
  <si>
    <t>25-Sep-17--27-Sep-17</t>
  </si>
  <si>
    <t>E-3892</t>
  </si>
  <si>
    <t>E-3893</t>
  </si>
  <si>
    <t>E-3894</t>
  </si>
  <si>
    <t>E-3895</t>
  </si>
  <si>
    <t>E-3896</t>
  </si>
  <si>
    <t>E-3897</t>
  </si>
  <si>
    <t>E-3898</t>
  </si>
  <si>
    <t>E-3899</t>
  </si>
  <si>
    <t>E-3900</t>
  </si>
  <si>
    <t>26-Sep-17-----27/09/2017</t>
  </si>
  <si>
    <t>E-3901</t>
  </si>
  <si>
    <t>E-3902</t>
  </si>
  <si>
    <t>E-3903</t>
  </si>
  <si>
    <t>(248)FRANCISCO MACHORRO</t>
  </si>
  <si>
    <t>E-3904</t>
  </si>
  <si>
    <t>E-3905</t>
  </si>
  <si>
    <t>E-3906</t>
  </si>
  <si>
    <t>E-3907</t>
  </si>
  <si>
    <t>E-3908</t>
  </si>
  <si>
    <t>E-3909</t>
  </si>
  <si>
    <t>E-3910</t>
  </si>
  <si>
    <t>E-3911</t>
  </si>
  <si>
    <t>E-3912</t>
  </si>
  <si>
    <t>E-3913</t>
  </si>
  <si>
    <t>(216)LA IMPERIAL</t>
  </si>
  <si>
    <t>E-3914</t>
  </si>
  <si>
    <t>E-3915</t>
  </si>
  <si>
    <t>E-3916</t>
  </si>
  <si>
    <t>E-3917</t>
  </si>
  <si>
    <t>E-3918</t>
  </si>
  <si>
    <t>E-3919</t>
  </si>
  <si>
    <t>E-3920</t>
  </si>
  <si>
    <t>E-3921</t>
  </si>
  <si>
    <t>28-Sep-17--29-Sep-17</t>
  </si>
  <si>
    <t>E-3922</t>
  </si>
  <si>
    <t>E-3923</t>
  </si>
  <si>
    <t>E-3924</t>
  </si>
  <si>
    <t>E-3925</t>
  </si>
  <si>
    <t>E-3926</t>
  </si>
  <si>
    <t>E-3927</t>
  </si>
  <si>
    <t>E-3928</t>
  </si>
  <si>
    <t>E-3929</t>
  </si>
  <si>
    <t>E-3930</t>
  </si>
  <si>
    <t>E-3931</t>
  </si>
  <si>
    <t>E-3932</t>
  </si>
  <si>
    <t>E-3933</t>
  </si>
  <si>
    <t>E-3934</t>
  </si>
  <si>
    <t>E-3935</t>
  </si>
  <si>
    <t>E-3936</t>
  </si>
  <si>
    <t>E-3937</t>
  </si>
  <si>
    <t>E-3938</t>
  </si>
  <si>
    <t>E-3939</t>
  </si>
  <si>
    <t>E-3940</t>
  </si>
  <si>
    <t>E-3941</t>
  </si>
  <si>
    <t>E-3942</t>
  </si>
  <si>
    <t>E-3943</t>
  </si>
  <si>
    <t>E-3944</t>
  </si>
  <si>
    <t>E-3945</t>
  </si>
  <si>
    <t>E-3946</t>
  </si>
  <si>
    <t>E-3947</t>
  </si>
  <si>
    <t>E-3948</t>
  </si>
  <si>
    <t>E-3949</t>
  </si>
  <si>
    <t>E-3950</t>
  </si>
  <si>
    <t>E-3951</t>
  </si>
  <si>
    <t>E-3952</t>
  </si>
  <si>
    <t>E-3953</t>
  </si>
  <si>
    <t>E-3954</t>
  </si>
  <si>
    <t>E-3955</t>
  </si>
  <si>
    <t>E-3956</t>
  </si>
  <si>
    <t>E-3957</t>
  </si>
  <si>
    <t>E-3958</t>
  </si>
  <si>
    <t>E-3959</t>
  </si>
  <si>
    <t>E-3960</t>
  </si>
  <si>
    <t>E-3961</t>
  </si>
  <si>
    <t>E-3962</t>
  </si>
  <si>
    <t>E-3963</t>
  </si>
  <si>
    <t>E-3964</t>
  </si>
  <si>
    <t>E-3965</t>
  </si>
  <si>
    <t>E-3966</t>
  </si>
  <si>
    <t>E-3967</t>
  </si>
  <si>
    <t>E-3968</t>
  </si>
  <si>
    <t>E-3969</t>
  </si>
  <si>
    <t>E-3970</t>
  </si>
  <si>
    <t>E-3971</t>
  </si>
  <si>
    <t>E-3972</t>
  </si>
  <si>
    <t>E-3973</t>
  </si>
  <si>
    <t>E-3974</t>
  </si>
  <si>
    <t>E-3975</t>
  </si>
  <si>
    <t>E-3976</t>
  </si>
  <si>
    <t>E-3977</t>
  </si>
  <si>
    <t>E-3978</t>
  </si>
  <si>
    <t>E-3979</t>
  </si>
  <si>
    <t>E-3980</t>
  </si>
  <si>
    <t>E-3981</t>
  </si>
  <si>
    <t>E-3982</t>
  </si>
  <si>
    <t>E-3983</t>
  </si>
  <si>
    <t>E-3984</t>
  </si>
  <si>
    <t>E-3985</t>
  </si>
  <si>
    <t>E-3986</t>
  </si>
  <si>
    <t>E-3987</t>
  </si>
  <si>
    <t>E-3988</t>
  </si>
  <si>
    <t>E-3989</t>
  </si>
  <si>
    <t>E-3990</t>
  </si>
  <si>
    <t>E-3991</t>
  </si>
  <si>
    <t>E-3992</t>
  </si>
  <si>
    <t>E-3993</t>
  </si>
  <si>
    <t>E-3994</t>
  </si>
  <si>
    <t>E-3995</t>
  </si>
  <si>
    <t>E-3996</t>
  </si>
  <si>
    <t>E-3997</t>
  </si>
  <si>
    <t>E-3998</t>
  </si>
  <si>
    <t>E-3999</t>
  </si>
  <si>
    <t>E-4000</t>
  </si>
  <si>
    <t>E-4001</t>
  </si>
  <si>
    <t>E-4002</t>
  </si>
  <si>
    <t>E-4003</t>
  </si>
  <si>
    <t>E-4004</t>
  </si>
  <si>
    <t>E-4005</t>
  </si>
  <si>
    <t>E-4006</t>
  </si>
  <si>
    <t>E-4007</t>
  </si>
  <si>
    <t>E-4008</t>
  </si>
  <si>
    <t>E-4009</t>
  </si>
  <si>
    <t>E-4010</t>
  </si>
  <si>
    <t>E-4011</t>
  </si>
  <si>
    <t>E-4012</t>
  </si>
  <si>
    <t>E-4013</t>
  </si>
  <si>
    <t>E-4014</t>
  </si>
  <si>
    <t>E-4015</t>
  </si>
  <si>
    <t>E-4016</t>
  </si>
  <si>
    <t>E-4017</t>
  </si>
  <si>
    <t>E-4018</t>
  </si>
  <si>
    <t>E-4019</t>
  </si>
  <si>
    <t>E-4020</t>
  </si>
  <si>
    <t>E-4021</t>
  </si>
  <si>
    <t>E-4022</t>
  </si>
  <si>
    <t>E-4023</t>
  </si>
  <si>
    <t>E-4024</t>
  </si>
  <si>
    <t>E-4025</t>
  </si>
  <si>
    <t>E-4026</t>
  </si>
  <si>
    <t>E-4027</t>
  </si>
  <si>
    <t>E-4028</t>
  </si>
  <si>
    <t>E-4029</t>
  </si>
  <si>
    <t>E-4030</t>
  </si>
  <si>
    <t>E-4031</t>
  </si>
  <si>
    <t>E-4032</t>
  </si>
  <si>
    <t>E-4033</t>
  </si>
  <si>
    <t>E-4034</t>
  </si>
  <si>
    <t>E-4035</t>
  </si>
  <si>
    <t>E-4036</t>
  </si>
  <si>
    <t>E-4037</t>
  </si>
  <si>
    <t>E-4038</t>
  </si>
  <si>
    <t>E-4039</t>
  </si>
  <si>
    <t>E-4040</t>
  </si>
  <si>
    <t>E-4041</t>
  </si>
  <si>
    <t>E-4042</t>
  </si>
  <si>
    <t>E-4043</t>
  </si>
  <si>
    <t>29-Sep-17--30-Sep-17</t>
  </si>
  <si>
    <t>E-4044</t>
  </si>
  <si>
    <t>E-4045</t>
  </si>
  <si>
    <t>E-4046</t>
  </si>
  <si>
    <t>E-4047</t>
  </si>
  <si>
    <t>E-4048</t>
  </si>
  <si>
    <t>E-4049</t>
  </si>
  <si>
    <t>E-4050</t>
  </si>
  <si>
    <t>E-4051</t>
  </si>
  <si>
    <t>E-4052</t>
  </si>
  <si>
    <t>E-4053</t>
  </si>
  <si>
    <t>E-4054</t>
  </si>
  <si>
    <t>E-4055</t>
  </si>
  <si>
    <t>E-4056</t>
  </si>
  <si>
    <t>E-4057</t>
  </si>
  <si>
    <t>E-4058</t>
  </si>
  <si>
    <t>E-4059</t>
  </si>
  <si>
    <t>E-4060</t>
  </si>
  <si>
    <t>E-4061</t>
  </si>
  <si>
    <t>E-4062</t>
  </si>
  <si>
    <t>E-4063</t>
  </si>
  <si>
    <t>E-4064</t>
  </si>
  <si>
    <t>E-4065</t>
  </si>
  <si>
    <t>E-4066</t>
  </si>
  <si>
    <t>E-4067</t>
  </si>
  <si>
    <t>E-4068</t>
  </si>
  <si>
    <t>E-4069</t>
  </si>
  <si>
    <t>E-4070</t>
  </si>
  <si>
    <t>E-4071</t>
  </si>
  <si>
    <t>E-4072</t>
  </si>
  <si>
    <t>E-4073</t>
  </si>
  <si>
    <t>E-4074</t>
  </si>
  <si>
    <t>E-4075</t>
  </si>
  <si>
    <t>E-4076</t>
  </si>
  <si>
    <t>E-4077</t>
  </si>
  <si>
    <t>E-4078</t>
  </si>
  <si>
    <t>E-4079</t>
  </si>
  <si>
    <t>E-4080</t>
  </si>
  <si>
    <t>E-4081</t>
  </si>
  <si>
    <t>E-4082</t>
  </si>
  <si>
    <t>E-4083</t>
  </si>
  <si>
    <t>E-4084</t>
  </si>
  <si>
    <t>E-4085</t>
  </si>
  <si>
    <t>E-4086</t>
  </si>
  <si>
    <t>E-4087</t>
  </si>
  <si>
    <t>E-4088</t>
  </si>
  <si>
    <t>E-4089</t>
  </si>
  <si>
    <t>E-4090</t>
  </si>
  <si>
    <t>E-4091</t>
  </si>
  <si>
    <t>E-4092</t>
  </si>
  <si>
    <t>E-4093</t>
  </si>
  <si>
    <t>E-4094</t>
  </si>
  <si>
    <t>E-4095</t>
  </si>
  <si>
    <t>E-4096</t>
  </si>
  <si>
    <t>E-4097</t>
  </si>
  <si>
    <t>E-4098</t>
  </si>
  <si>
    <t>E-4099</t>
  </si>
  <si>
    <t>E-4100</t>
  </si>
  <si>
    <t>E-4101</t>
  </si>
  <si>
    <t>E-4102</t>
  </si>
  <si>
    <t>E-4103</t>
  </si>
  <si>
    <t>E-4104</t>
  </si>
  <si>
    <t>E-4105</t>
  </si>
  <si>
    <t>E-4106</t>
  </si>
  <si>
    <t>E-4107</t>
  </si>
  <si>
    <t>E-4108</t>
  </si>
  <si>
    <t>E-4109</t>
  </si>
  <si>
    <t>E-4110</t>
  </si>
  <si>
    <t>E-4111</t>
  </si>
  <si>
    <t>E-4112</t>
  </si>
  <si>
    <t>E-4113</t>
  </si>
  <si>
    <t>E-4114</t>
  </si>
  <si>
    <t>E-4115</t>
  </si>
  <si>
    <t>E-4116</t>
  </si>
  <si>
    <t>E-4117</t>
  </si>
  <si>
    <t>E-4118</t>
  </si>
  <si>
    <t>E-4119</t>
  </si>
  <si>
    <t>E-4120</t>
  </si>
  <si>
    <t>E-4121</t>
  </si>
  <si>
    <t>E-4122</t>
  </si>
  <si>
    <t>E-4123</t>
  </si>
  <si>
    <t>E-4124</t>
  </si>
  <si>
    <t>E-4125</t>
  </si>
  <si>
    <t>E-4126</t>
  </si>
  <si>
    <t>E-4127</t>
  </si>
  <si>
    <t>E-4128</t>
  </si>
  <si>
    <t>E-4129</t>
  </si>
  <si>
    <t>E-4130</t>
  </si>
  <si>
    <t>E-4131</t>
  </si>
  <si>
    <t>E-4132</t>
  </si>
  <si>
    <t>E-4133</t>
  </si>
  <si>
    <t>E-4134</t>
  </si>
  <si>
    <t>E-4135</t>
  </si>
  <si>
    <t>E-4136</t>
  </si>
  <si>
    <t>E-4137</t>
  </si>
  <si>
    <t>E-4138</t>
  </si>
  <si>
    <t>E-4139</t>
  </si>
  <si>
    <t>E-4140</t>
  </si>
  <si>
    <t>E-4141</t>
  </si>
  <si>
    <t>E-4142</t>
  </si>
  <si>
    <t>E-4143</t>
  </si>
  <si>
    <t>E-4144</t>
  </si>
  <si>
    <t>E-4145</t>
  </si>
  <si>
    <t>E-4146</t>
  </si>
  <si>
    <t>E-4147</t>
  </si>
  <si>
    <t>E-4148</t>
  </si>
  <si>
    <t>E-4149</t>
  </si>
  <si>
    <t>E-4150</t>
  </si>
  <si>
    <t>E-4151</t>
  </si>
  <si>
    <t>E-4152</t>
  </si>
  <si>
    <t>E-4153</t>
  </si>
  <si>
    <t>E-4154</t>
  </si>
  <si>
    <t>E-4155</t>
  </si>
  <si>
    <t>E-4156</t>
  </si>
  <si>
    <t>E-4157</t>
  </si>
  <si>
    <t>E-4158</t>
  </si>
  <si>
    <t>E-4159</t>
  </si>
  <si>
    <t>E-4160</t>
  </si>
  <si>
    <t>E-4161</t>
  </si>
  <si>
    <t>E-4162</t>
  </si>
  <si>
    <t>E-4163</t>
  </si>
  <si>
    <t>E-4164</t>
  </si>
  <si>
    <t>E-4165</t>
  </si>
  <si>
    <t>E-4166</t>
  </si>
  <si>
    <t>E-4167</t>
  </si>
  <si>
    <t>E-4168</t>
  </si>
  <si>
    <t>E-4169</t>
  </si>
  <si>
    <t>E-4170</t>
  </si>
  <si>
    <t>E-4171</t>
  </si>
  <si>
    <t>E-4172</t>
  </si>
  <si>
    <t>E-4173</t>
  </si>
  <si>
    <t>E-4174</t>
  </si>
  <si>
    <t>E-4175</t>
  </si>
  <si>
    <t>E-4176</t>
  </si>
  <si>
    <t>E-4177</t>
  </si>
  <si>
    <t>E-4178</t>
  </si>
  <si>
    <t>E-4179</t>
  </si>
  <si>
    <t>E-4180</t>
  </si>
  <si>
    <t>E-4181</t>
  </si>
  <si>
    <t>E-4182</t>
  </si>
  <si>
    <t>E-4183</t>
  </si>
  <si>
    <t>E-4184</t>
  </si>
  <si>
    <t>E-4185</t>
  </si>
  <si>
    <t>E-4186</t>
  </si>
  <si>
    <t>E-4187</t>
  </si>
  <si>
    <t>E-4188</t>
  </si>
  <si>
    <t>E-4189</t>
  </si>
  <si>
    <t>E-4190</t>
  </si>
  <si>
    <t>E-4191</t>
  </si>
  <si>
    <t>E-4192</t>
  </si>
  <si>
    <t>E-4193</t>
  </si>
  <si>
    <t>E-4194</t>
  </si>
  <si>
    <t>E-4195</t>
  </si>
  <si>
    <t>E-4196</t>
  </si>
  <si>
    <t>E-4197</t>
  </si>
  <si>
    <t>E-4198</t>
  </si>
  <si>
    <t>E-4199</t>
  </si>
  <si>
    <t>E-4200</t>
  </si>
  <si>
    <t>E-4201</t>
  </si>
  <si>
    <t>E-4202</t>
  </si>
  <si>
    <t>E-4203</t>
  </si>
  <si>
    <t>E-4204</t>
  </si>
  <si>
    <t>E-4205</t>
  </si>
  <si>
    <t>E-4206</t>
  </si>
  <si>
    <t>E-4207</t>
  </si>
  <si>
    <t>E-4208</t>
  </si>
  <si>
    <t>E-4209</t>
  </si>
  <si>
    <t>E-4210</t>
  </si>
  <si>
    <t>E-4211</t>
  </si>
  <si>
    <t>E-4212</t>
  </si>
  <si>
    <t>E-4213</t>
  </si>
  <si>
    <t>E-4214</t>
  </si>
  <si>
    <t>E-4215</t>
  </si>
  <si>
    <t>E-4216</t>
  </si>
  <si>
    <t>E-4217</t>
  </si>
  <si>
    <t>E-4218</t>
  </si>
  <si>
    <t>E-4219</t>
  </si>
  <si>
    <t>E-4220</t>
  </si>
  <si>
    <t>E-4221</t>
  </si>
  <si>
    <t>E-4222</t>
  </si>
  <si>
    <t>E-4223</t>
  </si>
  <si>
    <t>E-4224</t>
  </si>
  <si>
    <t>E-4225</t>
  </si>
  <si>
    <t>E-4226</t>
  </si>
  <si>
    <t>E-4227</t>
  </si>
  <si>
    <t>E-4228</t>
  </si>
  <si>
    <t>E-4229</t>
  </si>
  <si>
    <t>E-4230</t>
  </si>
  <si>
    <t>E-4231</t>
  </si>
  <si>
    <t>E-4232</t>
  </si>
  <si>
    <t>E-4233</t>
  </si>
  <si>
    <t>E-4234</t>
  </si>
  <si>
    <t>E-4235</t>
  </si>
  <si>
    <t>E-4236</t>
  </si>
  <si>
    <t>E-4237</t>
  </si>
  <si>
    <t>E-4238</t>
  </si>
  <si>
    <t>E-4239</t>
  </si>
  <si>
    <t>E-4240</t>
  </si>
  <si>
    <t>E-4241</t>
  </si>
  <si>
    <t>E-4242</t>
  </si>
  <si>
    <t>E-4243</t>
  </si>
  <si>
    <t>E-4244</t>
  </si>
  <si>
    <t>E-4245</t>
  </si>
  <si>
    <t>E-4246</t>
  </si>
  <si>
    <t>(63)ALFREDO ALDUCIN</t>
  </si>
  <si>
    <t>E-4247</t>
  </si>
  <si>
    <t>E-4248</t>
  </si>
  <si>
    <t>E-4249</t>
  </si>
  <si>
    <t>E-4250</t>
  </si>
  <si>
    <t>E-4251</t>
  </si>
  <si>
    <t>E-4252</t>
  </si>
  <si>
    <t>E-4253</t>
  </si>
  <si>
    <t>E-4254</t>
  </si>
  <si>
    <t>E-4255</t>
  </si>
  <si>
    <t>E-4256</t>
  </si>
  <si>
    <t>E-4257</t>
  </si>
  <si>
    <t>E-4258</t>
  </si>
  <si>
    <t>E-4259</t>
  </si>
  <si>
    <t>E-4260</t>
  </si>
  <si>
    <t>E-4261</t>
  </si>
  <si>
    <t>E-4262</t>
  </si>
  <si>
    <t>E-4263</t>
  </si>
  <si>
    <t>E-4264</t>
  </si>
  <si>
    <t>E-4265</t>
  </si>
  <si>
    <t>E-4266</t>
  </si>
  <si>
    <t>E-4267</t>
  </si>
  <si>
    <t>E-4268</t>
  </si>
  <si>
    <t>E-4269</t>
  </si>
  <si>
    <t>E-4270</t>
  </si>
  <si>
    <t>E-4271</t>
  </si>
  <si>
    <t>E-4272</t>
  </si>
  <si>
    <t>E-4273</t>
  </si>
  <si>
    <t>E-4274</t>
  </si>
  <si>
    <t>E-4275</t>
  </si>
  <si>
    <t>E-4276</t>
  </si>
  <si>
    <t>E-4277</t>
  </si>
  <si>
    <t>E-4278</t>
  </si>
  <si>
    <t>E-4279</t>
  </si>
  <si>
    <t>E-4280</t>
  </si>
  <si>
    <t>E-4281</t>
  </si>
  <si>
    <t>E-4282</t>
  </si>
  <si>
    <t>E-4283</t>
  </si>
  <si>
    <t>E-4284</t>
  </si>
  <si>
    <t>E-4285</t>
  </si>
  <si>
    <t>E-4286</t>
  </si>
  <si>
    <t>E-4287</t>
  </si>
  <si>
    <t>E-4288</t>
  </si>
  <si>
    <t>E-4289</t>
  </si>
  <si>
    <t>E-4290</t>
  </si>
  <si>
    <t>E-4291</t>
  </si>
  <si>
    <t>E-4292</t>
  </si>
  <si>
    <t>E-4293</t>
  </si>
  <si>
    <t>E-4294</t>
  </si>
  <si>
    <t>E-4295</t>
  </si>
  <si>
    <t>E-4296</t>
  </si>
  <si>
    <t>E-4297</t>
  </si>
  <si>
    <t>E-4298</t>
  </si>
  <si>
    <t>E-4299</t>
  </si>
  <si>
    <t>E-4300</t>
  </si>
  <si>
    <t>E-4301</t>
  </si>
  <si>
    <t>E-4302</t>
  </si>
  <si>
    <t>E-4303</t>
  </si>
  <si>
    <t>E-4304</t>
  </si>
  <si>
    <t>E-4305</t>
  </si>
  <si>
    <t>E-4306</t>
  </si>
  <si>
    <t>E-4307</t>
  </si>
  <si>
    <t>E-4308</t>
  </si>
  <si>
    <t>E-4309</t>
  </si>
  <si>
    <t>E-4310</t>
  </si>
  <si>
    <t>E-4311</t>
  </si>
  <si>
    <t>E-4312</t>
  </si>
  <si>
    <t>E-4313</t>
  </si>
  <si>
    <t>E-4314</t>
  </si>
  <si>
    <t>E-4315</t>
  </si>
  <si>
    <t>E-4316</t>
  </si>
  <si>
    <t>E-4317</t>
  </si>
  <si>
    <t>E-4318</t>
  </si>
  <si>
    <t>E-4319</t>
  </si>
  <si>
    <t>E-4320</t>
  </si>
  <si>
    <t>E-4321</t>
  </si>
  <si>
    <t>E-4322</t>
  </si>
  <si>
    <t>E-4323</t>
  </si>
  <si>
    <t>E-4324</t>
  </si>
  <si>
    <t>E-4325</t>
  </si>
  <si>
    <t>E-4326</t>
  </si>
  <si>
    <t>E-4327</t>
  </si>
  <si>
    <t>E-4328</t>
  </si>
  <si>
    <t>E-4329</t>
  </si>
  <si>
    <t>E-4330</t>
  </si>
  <si>
    <t>E-4331</t>
  </si>
  <si>
    <t>E-4332</t>
  </si>
  <si>
    <t>E-4333</t>
  </si>
  <si>
    <t>E-4334</t>
  </si>
  <si>
    <t>E-4335</t>
  </si>
  <si>
    <t>E-4336</t>
  </si>
  <si>
    <t>E-4337</t>
  </si>
  <si>
    <t>E-4338</t>
  </si>
  <si>
    <t>E-4339</t>
  </si>
  <si>
    <t>E-4340</t>
  </si>
  <si>
    <t>E-4341</t>
  </si>
  <si>
    <t>E-4342</t>
  </si>
  <si>
    <t>E-4343</t>
  </si>
  <si>
    <t>E-4344</t>
  </si>
  <si>
    <t>E-4345</t>
  </si>
  <si>
    <t>E-4346</t>
  </si>
  <si>
    <t>E-4347</t>
  </si>
  <si>
    <t>E-4348</t>
  </si>
  <si>
    <t>E-4349</t>
  </si>
  <si>
    <t>E-4350</t>
  </si>
  <si>
    <t>E-4351</t>
  </si>
  <si>
    <t>E-4352</t>
  </si>
  <si>
    <t>E-4353</t>
  </si>
  <si>
    <t>E-4354</t>
  </si>
  <si>
    <t>E-4355</t>
  </si>
  <si>
    <t>E-4356</t>
  </si>
  <si>
    <t>E-4357</t>
  </si>
  <si>
    <t>E-4358</t>
  </si>
  <si>
    <t>E-4359</t>
  </si>
  <si>
    <t>E-4360</t>
  </si>
  <si>
    <t>E-4361</t>
  </si>
  <si>
    <t>E-4362</t>
  </si>
  <si>
    <t>E-4363</t>
  </si>
  <si>
    <t>E-4364</t>
  </si>
  <si>
    <t>E-4365</t>
  </si>
  <si>
    <t>E-4366</t>
  </si>
  <si>
    <t>E-4367</t>
  </si>
  <si>
    <t>E-4368</t>
  </si>
  <si>
    <t>E-4369</t>
  </si>
  <si>
    <t>E-4370</t>
  </si>
  <si>
    <t>E-4371</t>
  </si>
  <si>
    <t>E-4372</t>
  </si>
  <si>
    <t>E-4373</t>
  </si>
  <si>
    <t>E-4374</t>
  </si>
  <si>
    <t>E-4375</t>
  </si>
  <si>
    <t>E-4376</t>
  </si>
  <si>
    <t>E-4377</t>
  </si>
  <si>
    <t>E-4378</t>
  </si>
  <si>
    <t>E-4379</t>
  </si>
  <si>
    <t>E-4380</t>
  </si>
  <si>
    <t>E-4381</t>
  </si>
  <si>
    <t>E-4382</t>
  </si>
  <si>
    <t>E-4383</t>
  </si>
  <si>
    <t>E-4384</t>
  </si>
  <si>
    <t>E-4385</t>
  </si>
  <si>
    <t>E-4386</t>
  </si>
  <si>
    <t>E-4387</t>
  </si>
  <si>
    <t>E-4388</t>
  </si>
  <si>
    <t>E-4389</t>
  </si>
  <si>
    <t>E-4390</t>
  </si>
  <si>
    <t>E-4391</t>
  </si>
  <si>
    <t>E-4392</t>
  </si>
  <si>
    <t>E-4393</t>
  </si>
  <si>
    <t>E-4394</t>
  </si>
  <si>
    <t>E-4395</t>
  </si>
  <si>
    <t>E-4396</t>
  </si>
  <si>
    <t>E-4397</t>
  </si>
  <si>
    <t>E-4398</t>
  </si>
  <si>
    <t>E-4399</t>
  </si>
  <si>
    <t>E-4400</t>
  </si>
  <si>
    <t>E-4401</t>
  </si>
  <si>
    <t>E-4402</t>
  </si>
  <si>
    <t>E-4403</t>
  </si>
  <si>
    <t>E-4404</t>
  </si>
  <si>
    <t>E-4405</t>
  </si>
  <si>
    <t>E-4406</t>
  </si>
  <si>
    <t>E-4407</t>
  </si>
  <si>
    <t>E-4408</t>
  </si>
  <si>
    <t>E-4409</t>
  </si>
  <si>
    <t>E-4410</t>
  </si>
  <si>
    <t>E-4411</t>
  </si>
  <si>
    <t>E-4412</t>
  </si>
  <si>
    <t>E-4413</t>
  </si>
  <si>
    <t>E-4414</t>
  </si>
  <si>
    <t>E-4415</t>
  </si>
  <si>
    <t>E-4416</t>
  </si>
  <si>
    <t>E-4417</t>
  </si>
  <si>
    <t>E-4418</t>
  </si>
  <si>
    <t>E-4419</t>
  </si>
  <si>
    <t>E-4420</t>
  </si>
  <si>
    <t>E-4421</t>
  </si>
  <si>
    <t>E-4422</t>
  </si>
  <si>
    <t>E-4423</t>
  </si>
  <si>
    <t>E-4424</t>
  </si>
  <si>
    <t>E-4425</t>
  </si>
  <si>
    <t>E-4426</t>
  </si>
  <si>
    <t>E-4427</t>
  </si>
  <si>
    <t>E-4428</t>
  </si>
  <si>
    <t>E-4429</t>
  </si>
  <si>
    <t>E-4430</t>
  </si>
  <si>
    <t>E-4431</t>
  </si>
  <si>
    <t>E-4432</t>
  </si>
  <si>
    <t>E-4433</t>
  </si>
  <si>
    <t>E-4434</t>
  </si>
  <si>
    <t>E-4435</t>
  </si>
  <si>
    <t>E-4436</t>
  </si>
  <si>
    <t>E-4437</t>
  </si>
  <si>
    <t>E-4438</t>
  </si>
  <si>
    <t>E-4439</t>
  </si>
  <si>
    <t>E-4440</t>
  </si>
  <si>
    <t>E-4441</t>
  </si>
  <si>
    <t>E-4442</t>
  </si>
  <si>
    <t>E-4443</t>
  </si>
  <si>
    <t>E-4444</t>
  </si>
  <si>
    <t>E-4445</t>
  </si>
  <si>
    <t>E-4446</t>
  </si>
  <si>
    <t>E-4447</t>
  </si>
  <si>
    <t>E-4448</t>
  </si>
  <si>
    <t>E-4449</t>
  </si>
  <si>
    <t>E-4450</t>
  </si>
  <si>
    <t>E-4451</t>
  </si>
  <si>
    <t>E-4452</t>
  </si>
  <si>
    <t>E-4453</t>
  </si>
  <si>
    <t>E-4454</t>
  </si>
  <si>
    <t>E-4455</t>
  </si>
  <si>
    <t>E-4456</t>
  </si>
  <si>
    <t>E-4457</t>
  </si>
  <si>
    <t>E-4458</t>
  </si>
  <si>
    <t>E-4459</t>
  </si>
  <si>
    <t>E-4460</t>
  </si>
  <si>
    <t>E-4461</t>
  </si>
  <si>
    <t>E-4462</t>
  </si>
  <si>
    <t>E-4463</t>
  </si>
  <si>
    <t>E-4464</t>
  </si>
  <si>
    <t>E-4465</t>
  </si>
  <si>
    <t>E-4466</t>
  </si>
  <si>
    <t>E-4467</t>
  </si>
  <si>
    <t>E-4468</t>
  </si>
  <si>
    <t>E-4469</t>
  </si>
  <si>
    <t>E-4470</t>
  </si>
  <si>
    <t>E-4471</t>
  </si>
  <si>
    <t>E-4472</t>
  </si>
  <si>
    <t>E-4473</t>
  </si>
  <si>
    <t>E-4474</t>
  </si>
  <si>
    <t>E-4475</t>
  </si>
  <si>
    <t>E-4476</t>
  </si>
  <si>
    <t>E-4477</t>
  </si>
  <si>
    <t>E-4478</t>
  </si>
  <si>
    <t>E-4479</t>
  </si>
  <si>
    <t>E-4480</t>
  </si>
  <si>
    <t>E-4481</t>
  </si>
  <si>
    <t>E-4482</t>
  </si>
  <si>
    <t>E-4483</t>
  </si>
  <si>
    <t>E-4484</t>
  </si>
  <si>
    <t>E-4485</t>
  </si>
  <si>
    <t>E-4486</t>
  </si>
  <si>
    <t>E-4487</t>
  </si>
  <si>
    <t>E-4488</t>
  </si>
  <si>
    <t>E-4489</t>
  </si>
  <si>
    <t>E-4490</t>
  </si>
  <si>
    <t>E-4491</t>
  </si>
  <si>
    <t>E-4492</t>
  </si>
  <si>
    <t>E-4493</t>
  </si>
  <si>
    <t>E-4494</t>
  </si>
  <si>
    <t>E-4495</t>
  </si>
  <si>
    <t>E-4496</t>
  </si>
  <si>
    <t>E-4497</t>
  </si>
  <si>
    <t>E-4498</t>
  </si>
  <si>
    <t>E-4499</t>
  </si>
  <si>
    <t>E-4500</t>
  </si>
  <si>
    <t>E-4501</t>
  </si>
  <si>
    <t>E-4502</t>
  </si>
  <si>
    <t>E-4503</t>
  </si>
  <si>
    <t>E-4504</t>
  </si>
  <si>
    <t>E-4505</t>
  </si>
  <si>
    <t>E-4506</t>
  </si>
  <si>
    <t>E-4507</t>
  </si>
  <si>
    <t>E-4508</t>
  </si>
  <si>
    <t>E-4509</t>
  </si>
  <si>
    <t>E-4510</t>
  </si>
  <si>
    <t>E-4511</t>
  </si>
  <si>
    <t>E-4512</t>
  </si>
  <si>
    <t>E-4513</t>
  </si>
  <si>
    <t>E-4514</t>
  </si>
  <si>
    <t>E-4515</t>
  </si>
  <si>
    <t>E-4516</t>
  </si>
  <si>
    <t>E-4517</t>
  </si>
  <si>
    <t>E-4518</t>
  </si>
  <si>
    <t>E-4519</t>
  </si>
  <si>
    <t>E-4520</t>
  </si>
  <si>
    <t>E-4521</t>
  </si>
  <si>
    <t>E-4522</t>
  </si>
  <si>
    <t>E-4523</t>
  </si>
  <si>
    <t>E-4524</t>
  </si>
  <si>
    <t>E-4525</t>
  </si>
  <si>
    <t>E-4526</t>
  </si>
  <si>
    <t>E-4527</t>
  </si>
  <si>
    <t>E-4528</t>
  </si>
  <si>
    <t>E-4529</t>
  </si>
  <si>
    <t>E-4530</t>
  </si>
  <si>
    <t>E-4531</t>
  </si>
  <si>
    <t>E-4532</t>
  </si>
  <si>
    <t>E-4533</t>
  </si>
  <si>
    <t>E-4534</t>
  </si>
  <si>
    <t>E-4535</t>
  </si>
  <si>
    <t>E-4536</t>
  </si>
  <si>
    <t>E-4537</t>
  </si>
  <si>
    <t>E-4538</t>
  </si>
  <si>
    <t>E-4539</t>
  </si>
  <si>
    <t>E-4540</t>
  </si>
  <si>
    <t>E-4541</t>
  </si>
  <si>
    <t>E-4542</t>
  </si>
  <si>
    <t>E-4543</t>
  </si>
  <si>
    <t>E-4544</t>
  </si>
  <si>
    <t>E-4545</t>
  </si>
  <si>
    <t>E-4546</t>
  </si>
  <si>
    <t>E-4547</t>
  </si>
  <si>
    <t>E-4548</t>
  </si>
  <si>
    <t>E-4549</t>
  </si>
  <si>
    <t>E-4550</t>
  </si>
  <si>
    <t>E-4551</t>
  </si>
  <si>
    <t>E-4552</t>
  </si>
  <si>
    <t>E-4553</t>
  </si>
  <si>
    <t>E-4554</t>
  </si>
  <si>
    <t>E-4555</t>
  </si>
  <si>
    <t>E-4556</t>
  </si>
  <si>
    <t>E-4557</t>
  </si>
  <si>
    <t>E-4558</t>
  </si>
  <si>
    <t>E-4559</t>
  </si>
  <si>
    <t>E-4560</t>
  </si>
  <si>
    <t>E-4561</t>
  </si>
  <si>
    <t>E-4562</t>
  </si>
  <si>
    <t>E-4563</t>
  </si>
  <si>
    <t>E-4564</t>
  </si>
  <si>
    <t>29-Sep-17--30-Sep-17--1-Oct-17</t>
  </si>
  <si>
    <t>22-Sep-17--2-Oct-17</t>
  </si>
  <si>
    <t>8-Sep-17-------09-Sep-17</t>
  </si>
  <si>
    <t>28-Sep-17--2-Oct-17</t>
  </si>
  <si>
    <t>30-Sep-17--2-Oct-17</t>
  </si>
  <si>
    <t>28-Se-17--2-Oct-17</t>
  </si>
  <si>
    <t>28-Sep-17--29-Sep-17---3-Oct-17</t>
  </si>
  <si>
    <t>2-Oct-17--3-Oct-17</t>
  </si>
  <si>
    <t>3-Oct-17--4-Oct-17</t>
  </si>
  <si>
    <t>30-Sep-17--4-Oct-17</t>
  </si>
  <si>
    <t>3-Oct-17--5-Oct-17</t>
  </si>
  <si>
    <t>22-Sep-17--6-Oct-17</t>
  </si>
  <si>
    <t>26-Ago-17--7-Oct-17</t>
  </si>
  <si>
    <t>26-Ago-17--30-Ago-17--7-Oct-17</t>
  </si>
  <si>
    <t>5-Oct-17--7-Oct-17</t>
  </si>
  <si>
    <t>2-Oct-17--11-Oct-17</t>
  </si>
  <si>
    <t>11-Oct-17--12-Oct-17</t>
  </si>
  <si>
    <t>30-Sep-17--13-Oct-17</t>
  </si>
  <si>
    <t>30-Sep-17--14-Oct-17</t>
  </si>
  <si>
    <t>12-Oct-17--16-Oct-17</t>
  </si>
  <si>
    <t>17-Jun-17--24-Jun-17--1-Jul-17--19-Ago-17--2-Sept-17--9-Sep-17--15-Sep-17--30-Sep-17--3-Oct-17--6-Oct-17--11-Oct-17--18-Oct-17</t>
  </si>
  <si>
    <t>16-Oct-17--18-Oct-17</t>
  </si>
  <si>
    <t>18-Oct-17--21-Oct-17</t>
  </si>
  <si>
    <t>21-Ago-17--4-Sept-17--19-Sep-17--27-Oct-17</t>
  </si>
  <si>
    <t>E-4565</t>
  </si>
  <si>
    <t>E-4566</t>
  </si>
  <si>
    <t>E-4567</t>
  </si>
  <si>
    <t>E-4568</t>
  </si>
  <si>
    <t>E-4569</t>
  </si>
  <si>
    <t>E-4570</t>
  </si>
  <si>
    <t>E-4571</t>
  </si>
  <si>
    <t>E-4572</t>
  </si>
  <si>
    <t>E-4573</t>
  </si>
  <si>
    <t>E-4574</t>
  </si>
  <si>
    <t>E-4575</t>
  </si>
  <si>
    <t>E-4576</t>
  </si>
  <si>
    <t>E-4577</t>
  </si>
  <si>
    <t>E-4578</t>
  </si>
  <si>
    <t>E-4579</t>
  </si>
  <si>
    <t>E-4580</t>
  </si>
  <si>
    <t>E-4581</t>
  </si>
  <si>
    <t>1-Oct-17--2-Oct-17</t>
  </si>
  <si>
    <t>E-4582</t>
  </si>
  <si>
    <t>E-4583</t>
  </si>
  <si>
    <t>E-4584</t>
  </si>
  <si>
    <t>E-4585</t>
  </si>
  <si>
    <t>E-4586</t>
  </si>
  <si>
    <t>E-4587</t>
  </si>
  <si>
    <t>E-4588</t>
  </si>
  <si>
    <t>E-4589</t>
  </si>
  <si>
    <t>E-4590</t>
  </si>
  <si>
    <t>E-4591</t>
  </si>
  <si>
    <t>E-4592</t>
  </si>
  <si>
    <t>E-4593</t>
  </si>
  <si>
    <t>E-4594</t>
  </si>
  <si>
    <t>E-4595</t>
  </si>
  <si>
    <t>E-4596</t>
  </si>
  <si>
    <t>E-4597</t>
  </si>
  <si>
    <t>E-4598</t>
  </si>
  <si>
    <t>E-4599</t>
  </si>
  <si>
    <t>E-4600</t>
  </si>
  <si>
    <t>E-4601</t>
  </si>
  <si>
    <t>E-4602</t>
  </si>
  <si>
    <t>E-4603</t>
  </si>
  <si>
    <t>E-4604</t>
  </si>
  <si>
    <t>E-4605</t>
  </si>
  <si>
    <t>E-4606</t>
  </si>
  <si>
    <t>E-4607</t>
  </si>
  <si>
    <t>E-4608</t>
  </si>
  <si>
    <t>E-4609</t>
  </si>
  <si>
    <t>E-4610</t>
  </si>
  <si>
    <t>E-4611</t>
  </si>
  <si>
    <t>E-4612</t>
  </si>
  <si>
    <t>E-4613</t>
  </si>
  <si>
    <t>E-4614</t>
  </si>
  <si>
    <t>E-4615</t>
  </si>
  <si>
    <t>E-4616</t>
  </si>
  <si>
    <t>E-4617</t>
  </si>
  <si>
    <t>E-4618</t>
  </si>
  <si>
    <t>E-4619</t>
  </si>
  <si>
    <t>E-4620</t>
  </si>
  <si>
    <t>E-4621</t>
  </si>
  <si>
    <t>E-4622</t>
  </si>
  <si>
    <t>E-4623</t>
  </si>
  <si>
    <t>E-4624</t>
  </si>
  <si>
    <t>E-4625</t>
  </si>
  <si>
    <t>E-4626</t>
  </si>
  <si>
    <t>E-4627</t>
  </si>
  <si>
    <t>E-4628</t>
  </si>
  <si>
    <t>E-4629</t>
  </si>
  <si>
    <t>E-4630</t>
  </si>
  <si>
    <t>E-4631</t>
  </si>
  <si>
    <t>E-4632</t>
  </si>
  <si>
    <t>E-4633</t>
  </si>
  <si>
    <t>E-4634</t>
  </si>
  <si>
    <t>E-4635</t>
  </si>
  <si>
    <t>E-4636</t>
  </si>
  <si>
    <t>4-Oct-17--5-Oct-17</t>
  </si>
  <si>
    <t>E-4637</t>
  </si>
  <si>
    <t>E-4638</t>
  </si>
  <si>
    <t>E-4639</t>
  </si>
  <si>
    <t>E-4640</t>
  </si>
  <si>
    <t>E-4641</t>
  </si>
  <si>
    <t>E-4642</t>
  </si>
  <si>
    <t>E-4643</t>
  </si>
  <si>
    <t>E-4644</t>
  </si>
  <si>
    <t>E-4645</t>
  </si>
  <si>
    <t>E-4646</t>
  </si>
  <si>
    <t>E-4647</t>
  </si>
  <si>
    <t>E-4648</t>
  </si>
  <si>
    <t>E-4649</t>
  </si>
  <si>
    <t>E-4650</t>
  </si>
  <si>
    <t>E-4651</t>
  </si>
  <si>
    <t>E-4652</t>
  </si>
  <si>
    <t>E-4653</t>
  </si>
  <si>
    <t>E-4654</t>
  </si>
  <si>
    <t>E-4655</t>
  </si>
  <si>
    <t>E-4656</t>
  </si>
  <si>
    <t>E-4657</t>
  </si>
  <si>
    <t>E-4658</t>
  </si>
  <si>
    <t>E-4659</t>
  </si>
  <si>
    <t>E-4660</t>
  </si>
  <si>
    <t>2-Oct-17--6-Oct-17</t>
  </si>
  <si>
    <t>E-4661</t>
  </si>
  <si>
    <t>E-4662</t>
  </si>
  <si>
    <t>E-4663</t>
  </si>
  <si>
    <t>E-4664</t>
  </si>
  <si>
    <t>E-4665</t>
  </si>
  <si>
    <t>E-4666</t>
  </si>
  <si>
    <t>E-4667</t>
  </si>
  <si>
    <t>E-4668</t>
  </si>
  <si>
    <t>E-4669</t>
  </si>
  <si>
    <t>E-4670</t>
  </si>
  <si>
    <t>E-4671</t>
  </si>
  <si>
    <t>E-4672</t>
  </si>
  <si>
    <t>E-4673</t>
  </si>
  <si>
    <t>E-4674</t>
  </si>
  <si>
    <t>E-4675</t>
  </si>
  <si>
    <t>E-4676</t>
  </si>
  <si>
    <t>E-4677</t>
  </si>
  <si>
    <t>E-4678</t>
  </si>
  <si>
    <t>E-4679</t>
  </si>
  <si>
    <t>E-4680</t>
  </si>
  <si>
    <t>E-4681</t>
  </si>
  <si>
    <t>E-4682</t>
  </si>
  <si>
    <t>E-4683</t>
  </si>
  <si>
    <t>E-4684</t>
  </si>
  <si>
    <t>E-4685</t>
  </si>
  <si>
    <t>E-4686</t>
  </si>
  <si>
    <t>E-4687</t>
  </si>
  <si>
    <t>E-4688</t>
  </si>
  <si>
    <t>E-4689</t>
  </si>
  <si>
    <t>E-4690</t>
  </si>
  <si>
    <t>E-4691</t>
  </si>
  <si>
    <t>E-4692</t>
  </si>
  <si>
    <t>E-4693</t>
  </si>
  <si>
    <t>E-4694</t>
  </si>
  <si>
    <t>E-4695</t>
  </si>
  <si>
    <t>E-4696</t>
  </si>
  <si>
    <t>E-4697</t>
  </si>
  <si>
    <t>E-4698</t>
  </si>
  <si>
    <t>E-4699</t>
  </si>
  <si>
    <t>21-Oct-17--28-Oct-17</t>
  </si>
  <si>
    <t>E-4700</t>
  </si>
  <si>
    <t>E-4701</t>
  </si>
  <si>
    <t>E-4702</t>
  </si>
  <si>
    <t>E-4703</t>
  </si>
  <si>
    <t>E-4704</t>
  </si>
  <si>
    <t>E-4705</t>
  </si>
  <si>
    <t>E-4706</t>
  </si>
  <si>
    <t>E-4707</t>
  </si>
  <si>
    <t>E-4708</t>
  </si>
  <si>
    <t>E-4709</t>
  </si>
  <si>
    <t>E-4710</t>
  </si>
  <si>
    <t>E-4711</t>
  </si>
  <si>
    <t>E-4712</t>
  </si>
  <si>
    <t>E-4713</t>
  </si>
  <si>
    <t>E-4714</t>
  </si>
  <si>
    <t>E-4715</t>
  </si>
  <si>
    <t>E-4716</t>
  </si>
  <si>
    <t>E-4717</t>
  </si>
  <si>
    <t>E-4718</t>
  </si>
  <si>
    <t>E-4719</t>
  </si>
  <si>
    <t>E-4720</t>
  </si>
  <si>
    <t>E-4721</t>
  </si>
  <si>
    <t>E-4722</t>
  </si>
  <si>
    <t>E-4723</t>
  </si>
  <si>
    <t>E-4724</t>
  </si>
  <si>
    <t>E-4725</t>
  </si>
  <si>
    <t>E-4726</t>
  </si>
  <si>
    <t>E-4727</t>
  </si>
  <si>
    <t>E-4728</t>
  </si>
  <si>
    <t>E-4729</t>
  </si>
  <si>
    <t>E-4730</t>
  </si>
  <si>
    <t>E-4731</t>
  </si>
  <si>
    <t>E-4732</t>
  </si>
  <si>
    <t>E-4733</t>
  </si>
  <si>
    <t>E-4734</t>
  </si>
  <si>
    <t>E-4735</t>
  </si>
  <si>
    <t>E-4736</t>
  </si>
  <si>
    <t>E-4737</t>
  </si>
  <si>
    <t>E-4738</t>
  </si>
  <si>
    <t>E-4739</t>
  </si>
  <si>
    <t>E-4740</t>
  </si>
  <si>
    <t>E-4741</t>
  </si>
  <si>
    <t>E-4742</t>
  </si>
  <si>
    <t>E-4743</t>
  </si>
  <si>
    <t>E-4744</t>
  </si>
  <si>
    <t>E-4745</t>
  </si>
  <si>
    <t>E-4746</t>
  </si>
  <si>
    <t>E-4747</t>
  </si>
  <si>
    <t>E-4748</t>
  </si>
  <si>
    <t>E-4749</t>
  </si>
  <si>
    <t>E-4750</t>
  </si>
  <si>
    <t>E-4751</t>
  </si>
  <si>
    <t>E-4752</t>
  </si>
  <si>
    <t>E-4753</t>
  </si>
  <si>
    <t>E-4754</t>
  </si>
  <si>
    <t>E-4755</t>
  </si>
  <si>
    <t>E-4756</t>
  </si>
  <si>
    <t>E-4757</t>
  </si>
  <si>
    <t>E-4758</t>
  </si>
  <si>
    <t>2-Oct-17--5-Oct-17</t>
  </si>
  <si>
    <t>E-4759</t>
  </si>
  <si>
    <t>E-4760</t>
  </si>
  <si>
    <t>E-4761</t>
  </si>
  <si>
    <t>E-4762</t>
  </si>
  <si>
    <t>E-4763</t>
  </si>
  <si>
    <t>E-4764</t>
  </si>
  <si>
    <t>E-4765</t>
  </si>
  <si>
    <t>6-Oct-17--10-Oct-17</t>
  </si>
  <si>
    <t>E-4766</t>
  </si>
  <si>
    <t>9-10--17</t>
  </si>
  <si>
    <t>E-4767</t>
  </si>
  <si>
    <t>E-4768</t>
  </si>
  <si>
    <t>E-4769</t>
  </si>
  <si>
    <t>E-4770</t>
  </si>
  <si>
    <t>E-4771</t>
  </si>
  <si>
    <t>E-4772</t>
  </si>
  <si>
    <t>E-4773</t>
  </si>
  <si>
    <t>E-4774</t>
  </si>
  <si>
    <t>E-4775</t>
  </si>
  <si>
    <t>E-4776</t>
  </si>
  <si>
    <t>E-4777</t>
  </si>
  <si>
    <t>E-4778</t>
  </si>
  <si>
    <t>E-4779</t>
  </si>
  <si>
    <t>E-4780</t>
  </si>
  <si>
    <t>E-4781</t>
  </si>
  <si>
    <t>E-4782</t>
  </si>
  <si>
    <t>E-4783</t>
  </si>
  <si>
    <t>5-Oct-17--6-Oct-17</t>
  </si>
  <si>
    <t>E-4784</t>
  </si>
  <si>
    <t>E-4785</t>
  </si>
  <si>
    <t>E-4786</t>
  </si>
  <si>
    <t>E-4787</t>
  </si>
  <si>
    <t>E-4788</t>
  </si>
  <si>
    <t>E-4789</t>
  </si>
  <si>
    <t>E-4790</t>
  </si>
  <si>
    <t>E-4791</t>
  </si>
  <si>
    <t>E-4792</t>
  </si>
  <si>
    <t>E-4793</t>
  </si>
  <si>
    <t>E-4794</t>
  </si>
  <si>
    <t>E-4795</t>
  </si>
  <si>
    <t>E-4796</t>
  </si>
  <si>
    <t>E-4797</t>
  </si>
  <si>
    <t>E-4798</t>
  </si>
  <si>
    <t>E-4799</t>
  </si>
  <si>
    <t>E-4800</t>
  </si>
  <si>
    <t>E-4801</t>
  </si>
  <si>
    <t>E-4802</t>
  </si>
  <si>
    <t>E-4803</t>
  </si>
  <si>
    <t>E-4804</t>
  </si>
  <si>
    <t>E-4805</t>
  </si>
  <si>
    <t>E-4806</t>
  </si>
  <si>
    <t>E-4807</t>
  </si>
  <si>
    <t>E-4808</t>
  </si>
  <si>
    <t>E-4809</t>
  </si>
  <si>
    <t>E-4810</t>
  </si>
  <si>
    <t>E-4811</t>
  </si>
  <si>
    <t>E-4812</t>
  </si>
  <si>
    <t>Sin Original ni copia azul</t>
  </si>
  <si>
    <t>E-4813</t>
  </si>
  <si>
    <t>E-4814</t>
  </si>
  <si>
    <t>E-4815</t>
  </si>
  <si>
    <t>E-4816</t>
  </si>
  <si>
    <t>E-4817</t>
  </si>
  <si>
    <t>E-4818</t>
  </si>
  <si>
    <t>E-4819</t>
  </si>
  <si>
    <t>E-4820</t>
  </si>
  <si>
    <t>E-4821</t>
  </si>
  <si>
    <t>E-4822</t>
  </si>
  <si>
    <t>E-4823</t>
  </si>
  <si>
    <t>E-4824</t>
  </si>
  <si>
    <t>E-4825</t>
  </si>
  <si>
    <t>E-4826</t>
  </si>
  <si>
    <t>E-4827</t>
  </si>
  <si>
    <t>E-4828</t>
  </si>
  <si>
    <t>E-4829</t>
  </si>
  <si>
    <t>E-4830</t>
  </si>
  <si>
    <t>E-4831</t>
  </si>
  <si>
    <t>E-4832</t>
  </si>
  <si>
    <t>E-4833</t>
  </si>
  <si>
    <t>E-4834</t>
  </si>
  <si>
    <t>E-4835</t>
  </si>
  <si>
    <t>E-4836</t>
  </si>
  <si>
    <t>E-4837</t>
  </si>
  <si>
    <t>E-4838</t>
  </si>
  <si>
    <t>E-4839</t>
  </si>
  <si>
    <t>E-4840</t>
  </si>
  <si>
    <t>E-4841</t>
  </si>
  <si>
    <t>E-4842</t>
  </si>
  <si>
    <t>E-4843</t>
  </si>
  <si>
    <t>E-4844</t>
  </si>
  <si>
    <t>E-4845</t>
  </si>
  <si>
    <t>E-4846</t>
  </si>
  <si>
    <t>E-4847</t>
  </si>
  <si>
    <t>E-4848</t>
  </si>
  <si>
    <t>E-4849</t>
  </si>
  <si>
    <t>E-4850</t>
  </si>
  <si>
    <t>E-4851</t>
  </si>
  <si>
    <t>E-4852</t>
  </si>
  <si>
    <t>E-4853</t>
  </si>
  <si>
    <t>E-4854</t>
  </si>
  <si>
    <t>E-4855</t>
  </si>
  <si>
    <t>E-4856</t>
  </si>
  <si>
    <t>E-4857</t>
  </si>
  <si>
    <t>E-4858</t>
  </si>
  <si>
    <t>E-4859</t>
  </si>
  <si>
    <t>E-4860</t>
  </si>
  <si>
    <t>E-4861</t>
  </si>
  <si>
    <t>E-4862</t>
  </si>
  <si>
    <t>E-4863</t>
  </si>
  <si>
    <t>E-4864</t>
  </si>
  <si>
    <t>E-4865</t>
  </si>
  <si>
    <t>E-4866</t>
  </si>
  <si>
    <t>E-4867</t>
  </si>
  <si>
    <t>E-4868</t>
  </si>
  <si>
    <t>E-4869</t>
  </si>
  <si>
    <t>E-4870</t>
  </si>
  <si>
    <t>E-4871</t>
  </si>
  <si>
    <t>E-4872</t>
  </si>
  <si>
    <t>E-4873</t>
  </si>
  <si>
    <t>E-4874</t>
  </si>
  <si>
    <t>E-4875</t>
  </si>
  <si>
    <t>E-4876</t>
  </si>
  <si>
    <t>E-4877</t>
  </si>
  <si>
    <t>E-4878</t>
  </si>
  <si>
    <t>E-4879</t>
  </si>
  <si>
    <t>E-4880</t>
  </si>
  <si>
    <t>E-4881</t>
  </si>
  <si>
    <t>E-4882</t>
  </si>
  <si>
    <t>E-4883</t>
  </si>
  <si>
    <t>E-4884</t>
  </si>
  <si>
    <t>E-4885</t>
  </si>
  <si>
    <t>E-4886</t>
  </si>
  <si>
    <t>E-4887</t>
  </si>
  <si>
    <t>E-4888</t>
  </si>
  <si>
    <t>E-4889</t>
  </si>
  <si>
    <t>E-4890</t>
  </si>
  <si>
    <t>E-4891</t>
  </si>
  <si>
    <t>E-4892</t>
  </si>
  <si>
    <t>E-4893</t>
  </si>
  <si>
    <t>E-4894</t>
  </si>
  <si>
    <t>E-4895</t>
  </si>
  <si>
    <t>E-4896</t>
  </si>
  <si>
    <t>E-4897</t>
  </si>
  <si>
    <t>E-4898</t>
  </si>
  <si>
    <t>E-4899</t>
  </si>
  <si>
    <t>E-4900</t>
  </si>
  <si>
    <t>E-4901</t>
  </si>
  <si>
    <t>E-4902</t>
  </si>
  <si>
    <t>E-4903</t>
  </si>
  <si>
    <t>E-4904</t>
  </si>
  <si>
    <t>E-4905</t>
  </si>
  <si>
    <t>E-4906</t>
  </si>
  <si>
    <t>E-4907</t>
  </si>
  <si>
    <t>E-4908</t>
  </si>
  <si>
    <t>E-4909</t>
  </si>
  <si>
    <t>E-4910</t>
  </si>
  <si>
    <t>E-4911</t>
  </si>
  <si>
    <t>E-4912</t>
  </si>
  <si>
    <t>E-4913</t>
  </si>
  <si>
    <t>E-4914</t>
  </si>
  <si>
    <t>E-4915</t>
  </si>
  <si>
    <t>E-4916</t>
  </si>
  <si>
    <t>E-4917</t>
  </si>
  <si>
    <t>6-Oct-17--7-10-17</t>
  </si>
  <si>
    <t>E-4918</t>
  </si>
  <si>
    <t>E-4919</t>
  </si>
  <si>
    <t>E-4920</t>
  </si>
  <si>
    <t>E-4921</t>
  </si>
  <si>
    <t>E-4922</t>
  </si>
  <si>
    <t>E-4923</t>
  </si>
  <si>
    <t>E-4924</t>
  </si>
  <si>
    <t>E-4925</t>
  </si>
  <si>
    <t>E-4926</t>
  </si>
  <si>
    <t>E-4927</t>
  </si>
  <si>
    <t>E-4928</t>
  </si>
  <si>
    <t>E-4929</t>
  </si>
  <si>
    <t>E-4930</t>
  </si>
  <si>
    <t>E-4931</t>
  </si>
  <si>
    <t>E-4932</t>
  </si>
  <si>
    <t>E-4933</t>
  </si>
  <si>
    <t>E-4934</t>
  </si>
  <si>
    <t>E-4935</t>
  </si>
  <si>
    <t>E-4936</t>
  </si>
  <si>
    <t>E-4937</t>
  </si>
  <si>
    <t>E-4938</t>
  </si>
  <si>
    <t>E-4939</t>
  </si>
  <si>
    <t>E-4940</t>
  </si>
  <si>
    <t>E-4941</t>
  </si>
  <si>
    <t>E-4942</t>
  </si>
  <si>
    <t>E-4943</t>
  </si>
  <si>
    <t>E-4944</t>
  </si>
  <si>
    <t>E-4945</t>
  </si>
  <si>
    <t>E-4946</t>
  </si>
  <si>
    <t>E-4947</t>
  </si>
  <si>
    <t>E-4948</t>
  </si>
  <si>
    <t>E-4949</t>
  </si>
  <si>
    <t>E-4950</t>
  </si>
  <si>
    <t>E-4951</t>
  </si>
  <si>
    <t>E-4952</t>
  </si>
  <si>
    <t>E-4953</t>
  </si>
  <si>
    <t>E-4954</t>
  </si>
  <si>
    <t>E-4955</t>
  </si>
  <si>
    <t>E-4956</t>
  </si>
  <si>
    <t>E-4957</t>
  </si>
  <si>
    <t>E-4958</t>
  </si>
  <si>
    <t>E-4959</t>
  </si>
  <si>
    <t>E-4960</t>
  </si>
  <si>
    <t>E-4961</t>
  </si>
  <si>
    <t>E-4962</t>
  </si>
  <si>
    <t>E-4963</t>
  </si>
  <si>
    <t>E-4964</t>
  </si>
  <si>
    <t>E-4965</t>
  </si>
  <si>
    <t>E-4966</t>
  </si>
  <si>
    <t>E-4967</t>
  </si>
  <si>
    <t>E-4968</t>
  </si>
  <si>
    <t>E-4969</t>
  </si>
  <si>
    <t>E-4970</t>
  </si>
  <si>
    <t>E-4971</t>
  </si>
  <si>
    <t>E-4972</t>
  </si>
  <si>
    <t>E-4973</t>
  </si>
  <si>
    <t>E-4974</t>
  </si>
  <si>
    <t>E-4975</t>
  </si>
  <si>
    <t>E-4976</t>
  </si>
  <si>
    <t>E-4977</t>
  </si>
  <si>
    <t>E-4978</t>
  </si>
  <si>
    <t>E-4979</t>
  </si>
  <si>
    <t>E-4980</t>
  </si>
  <si>
    <t>E-4981</t>
  </si>
  <si>
    <t>E-4982</t>
  </si>
  <si>
    <t>E-4983</t>
  </si>
  <si>
    <t>E-4984</t>
  </si>
  <si>
    <t>E-4985</t>
  </si>
  <si>
    <t>E-4986</t>
  </si>
  <si>
    <t>E-4987</t>
  </si>
  <si>
    <t>E-4988</t>
  </si>
  <si>
    <t>E-4989</t>
  </si>
  <si>
    <t>E-4990</t>
  </si>
  <si>
    <t>E-4991</t>
  </si>
  <si>
    <t>E-4992</t>
  </si>
  <si>
    <t>E-4993</t>
  </si>
  <si>
    <t>E-4994</t>
  </si>
  <si>
    <t>E-4995</t>
  </si>
  <si>
    <t>E-4996</t>
  </si>
  <si>
    <t>E-4997</t>
  </si>
  <si>
    <t>E-4998</t>
  </si>
  <si>
    <t>E-4999</t>
  </si>
  <si>
    <t>E-5000</t>
  </si>
  <si>
    <t>E-5001</t>
  </si>
  <si>
    <t>E-5002</t>
  </si>
  <si>
    <t>E-5003</t>
  </si>
  <si>
    <t>E-5004</t>
  </si>
  <si>
    <t>E-5005</t>
  </si>
  <si>
    <t>E-5006</t>
  </si>
  <si>
    <t>E-5007</t>
  </si>
  <si>
    <t>E-5008</t>
  </si>
  <si>
    <t>5-Oct-17--7-Oct-17--10-Oct-17</t>
  </si>
  <si>
    <t>E-5009</t>
  </si>
  <si>
    <t>E-5010</t>
  </si>
  <si>
    <t>E-5011</t>
  </si>
  <si>
    <t>E-5012</t>
  </si>
  <si>
    <t>E-5013</t>
  </si>
  <si>
    <t>E-5014</t>
  </si>
  <si>
    <t>E-5015</t>
  </si>
  <si>
    <t>E-5016</t>
  </si>
  <si>
    <t>E-5017</t>
  </si>
  <si>
    <t>E-5018</t>
  </si>
  <si>
    <t>E-5019</t>
  </si>
  <si>
    <t>E-5020</t>
  </si>
  <si>
    <t>E-5021</t>
  </si>
  <si>
    <t>E-5022</t>
  </si>
  <si>
    <t>E-5023</t>
  </si>
  <si>
    <t>E-5024</t>
  </si>
  <si>
    <t>E-5025</t>
  </si>
  <si>
    <t>E-5026</t>
  </si>
  <si>
    <t>E-5027</t>
  </si>
  <si>
    <t>E-5028</t>
  </si>
  <si>
    <t>E-5029</t>
  </si>
  <si>
    <t>E-5030</t>
  </si>
  <si>
    <t>E-5031</t>
  </si>
  <si>
    <t>E-5032</t>
  </si>
  <si>
    <t>E-5033</t>
  </si>
  <si>
    <t>E-5034</t>
  </si>
  <si>
    <t>E-5035</t>
  </si>
  <si>
    <t>E-5036</t>
  </si>
  <si>
    <t>E-5037</t>
  </si>
  <si>
    <t>E-5038</t>
  </si>
  <si>
    <t>E-5039</t>
  </si>
  <si>
    <t>E-5040</t>
  </si>
  <si>
    <t>E-5041</t>
  </si>
  <si>
    <t>E-5042</t>
  </si>
  <si>
    <t>E-5043</t>
  </si>
  <si>
    <t>E-5044</t>
  </si>
  <si>
    <t>E-5045</t>
  </si>
  <si>
    <t>E-5046</t>
  </si>
  <si>
    <t>E-5047</t>
  </si>
  <si>
    <t>E-5048</t>
  </si>
  <si>
    <t>E-5049</t>
  </si>
  <si>
    <t>E-5050</t>
  </si>
  <si>
    <t>E-5051</t>
  </si>
  <si>
    <t>E-5052</t>
  </si>
  <si>
    <t>E-5053</t>
  </si>
  <si>
    <t>E-5054</t>
  </si>
  <si>
    <t>E-5055</t>
  </si>
  <si>
    <t>7-Oct-17--9-Oct-17</t>
  </si>
  <si>
    <t>E-5056</t>
  </si>
  <si>
    <t>E-5057</t>
  </si>
  <si>
    <t>E-5058</t>
  </si>
  <si>
    <t>E-5059</t>
  </si>
  <si>
    <t>E-5060</t>
  </si>
  <si>
    <t>E-5061</t>
  </si>
  <si>
    <t>E-5062</t>
  </si>
  <si>
    <t>E-5063</t>
  </si>
  <si>
    <t>E-5064</t>
  </si>
  <si>
    <t>E-5065</t>
  </si>
  <si>
    <t>9-Oct-17--10-Oct-17</t>
  </si>
  <si>
    <t>E-5066</t>
  </si>
  <si>
    <t>E-5067</t>
  </si>
  <si>
    <t>E-5068</t>
  </si>
  <si>
    <t>E-5069</t>
  </si>
  <si>
    <t>E-5070</t>
  </si>
  <si>
    <t>E-5071</t>
  </si>
  <si>
    <t>E-5072</t>
  </si>
  <si>
    <t>E-5073</t>
  </si>
  <si>
    <t>E-5074</t>
  </si>
  <si>
    <t>E-5075</t>
  </si>
  <si>
    <t>E-5076</t>
  </si>
  <si>
    <t>E-5077</t>
  </si>
  <si>
    <t>E-5078</t>
  </si>
  <si>
    <t>E-5079</t>
  </si>
  <si>
    <t>E-5080</t>
  </si>
  <si>
    <t>E-5081</t>
  </si>
  <si>
    <t>E-5082</t>
  </si>
  <si>
    <t>E-5083</t>
  </si>
  <si>
    <t>E-5084</t>
  </si>
  <si>
    <t>E-5085</t>
  </si>
  <si>
    <t>E-5086</t>
  </si>
  <si>
    <t>E-5087</t>
  </si>
  <si>
    <t>E-5088</t>
  </si>
  <si>
    <t>E-5089</t>
  </si>
  <si>
    <t>E-5090</t>
  </si>
  <si>
    <t>E-5091</t>
  </si>
  <si>
    <t>E-5092</t>
  </si>
  <si>
    <t>E-5093</t>
  </si>
  <si>
    <t>E-5094</t>
  </si>
  <si>
    <t>E-5095</t>
  </si>
  <si>
    <t>E-5096</t>
  </si>
  <si>
    <t>E-5097</t>
  </si>
  <si>
    <t>E-5098</t>
  </si>
  <si>
    <t>E-5099</t>
  </si>
  <si>
    <t>E-5100</t>
  </si>
  <si>
    <t>E-5101</t>
  </si>
  <si>
    <t>E-5102</t>
  </si>
  <si>
    <t>E-5103</t>
  </si>
  <si>
    <t>E-5104</t>
  </si>
  <si>
    <t>E-5105</t>
  </si>
  <si>
    <t>E-5106</t>
  </si>
  <si>
    <t>E-5107</t>
  </si>
  <si>
    <t>E-5108</t>
  </si>
  <si>
    <t>E-5109</t>
  </si>
  <si>
    <t>E-5110</t>
  </si>
  <si>
    <t>E-5111</t>
  </si>
  <si>
    <t>E-5112</t>
  </si>
  <si>
    <t>E-5113</t>
  </si>
  <si>
    <t>E-5114</t>
  </si>
  <si>
    <t>E-5115</t>
  </si>
  <si>
    <t>E-5116</t>
  </si>
  <si>
    <t>E-5117</t>
  </si>
  <si>
    <t>E-5118</t>
  </si>
  <si>
    <t>E-5119</t>
  </si>
  <si>
    <t>E-5120</t>
  </si>
  <si>
    <t>E-5121</t>
  </si>
  <si>
    <t>E-5122</t>
  </si>
  <si>
    <t>E-5123</t>
  </si>
  <si>
    <t>E-5124</t>
  </si>
  <si>
    <t>E-5125</t>
  </si>
  <si>
    <t>E-5126</t>
  </si>
  <si>
    <t>E-5127</t>
  </si>
  <si>
    <t>E-5128</t>
  </si>
  <si>
    <t>E-5129</t>
  </si>
  <si>
    <t>E-5130</t>
  </si>
  <si>
    <t>E-5131</t>
  </si>
  <si>
    <t>E-5132</t>
  </si>
  <si>
    <t>E-5133</t>
  </si>
  <si>
    <t>E-5134</t>
  </si>
  <si>
    <t>E-5135</t>
  </si>
  <si>
    <t>E-5136</t>
  </si>
  <si>
    <t>E-5137</t>
  </si>
  <si>
    <t>E-5138</t>
  </si>
  <si>
    <t>E-5139</t>
  </si>
  <si>
    <t>E-5140</t>
  </si>
  <si>
    <t>E-5141</t>
  </si>
  <si>
    <t>E-5142</t>
  </si>
  <si>
    <t>E-5143</t>
  </si>
  <si>
    <t>E-5144</t>
  </si>
  <si>
    <t>E-5145</t>
  </si>
  <si>
    <t>E-5146</t>
  </si>
  <si>
    <t>5-Oct-17--14-Oct-17</t>
  </si>
  <si>
    <t>E-5147</t>
  </si>
  <si>
    <t>6-Oct-17--7-Oct-17</t>
  </si>
  <si>
    <t>E-5148</t>
  </si>
  <si>
    <t>E-5149</t>
  </si>
  <si>
    <t>E-5150</t>
  </si>
  <si>
    <t>E-5151</t>
  </si>
  <si>
    <t>E-5152</t>
  </si>
  <si>
    <t>E-5153</t>
  </si>
  <si>
    <t>E-5154</t>
  </si>
  <si>
    <t>E-5155</t>
  </si>
  <si>
    <t>E-5156</t>
  </si>
  <si>
    <t>E-5157</t>
  </si>
  <si>
    <t>E-5158</t>
  </si>
  <si>
    <t>E-5159</t>
  </si>
  <si>
    <t>E-5160</t>
  </si>
  <si>
    <t>E-5161</t>
  </si>
  <si>
    <t>E-5162</t>
  </si>
  <si>
    <t>E-5163</t>
  </si>
  <si>
    <t>E-5164</t>
  </si>
  <si>
    <t>E-5165</t>
  </si>
  <si>
    <t>E-5166</t>
  </si>
  <si>
    <t>E-5167</t>
  </si>
  <si>
    <t>E-5168</t>
  </si>
  <si>
    <t>E-5169</t>
  </si>
  <si>
    <t>E-5170</t>
  </si>
  <si>
    <t>E-5171</t>
  </si>
  <si>
    <t>E-5172</t>
  </si>
  <si>
    <t>E-5173</t>
  </si>
  <si>
    <t>E-5174</t>
  </si>
  <si>
    <t>E-5175</t>
  </si>
  <si>
    <t>E-5176</t>
  </si>
  <si>
    <t>E-5177</t>
  </si>
  <si>
    <t>E-5178</t>
  </si>
  <si>
    <t>E-5179</t>
  </si>
  <si>
    <t>E-5180</t>
  </si>
  <si>
    <t>E-5181</t>
  </si>
  <si>
    <t>9-Oct-17--12-Oct-17</t>
  </si>
  <si>
    <t>E-5182</t>
  </si>
  <si>
    <t>E-5183</t>
  </si>
  <si>
    <t>E-5184</t>
  </si>
  <si>
    <t>E-5185</t>
  </si>
  <si>
    <t>E-5186</t>
  </si>
  <si>
    <t>E-5187</t>
  </si>
  <si>
    <t>E-5188</t>
  </si>
  <si>
    <t>E-5189</t>
  </si>
  <si>
    <t>E-5190</t>
  </si>
  <si>
    <t>E-5191</t>
  </si>
  <si>
    <t>E-5192</t>
  </si>
  <si>
    <t>E-5193</t>
  </si>
  <si>
    <t>E-5194</t>
  </si>
  <si>
    <t>E-5195</t>
  </si>
  <si>
    <t>E-5196</t>
  </si>
  <si>
    <t>E-5197</t>
  </si>
  <si>
    <t>E-5198</t>
  </si>
  <si>
    <t>E-5199</t>
  </si>
  <si>
    <t>E-5200</t>
  </si>
  <si>
    <t>E-5201</t>
  </si>
  <si>
    <t>E-5202</t>
  </si>
  <si>
    <t>E-5203</t>
  </si>
  <si>
    <t>E-5204</t>
  </si>
  <si>
    <t>E-5205</t>
  </si>
  <si>
    <t>E-5206</t>
  </si>
  <si>
    <t>E-5207</t>
  </si>
  <si>
    <t>E-5208</t>
  </si>
  <si>
    <t>10-Oct-17--11-Oct-17</t>
  </si>
  <si>
    <t>E-5209</t>
  </si>
  <si>
    <t>E-5210</t>
  </si>
  <si>
    <t>E-5211</t>
  </si>
  <si>
    <t>7-Oct-17--10-Oct-17</t>
  </si>
  <si>
    <t>E-5212</t>
  </si>
  <si>
    <t>E-5213</t>
  </si>
  <si>
    <t>E-5214</t>
  </si>
  <si>
    <t>E-5215</t>
  </si>
  <si>
    <t>E-5216</t>
  </si>
  <si>
    <t>E-5217</t>
  </si>
  <si>
    <t>E-5218</t>
  </si>
  <si>
    <t>E-5219</t>
  </si>
  <si>
    <t>E-5220</t>
  </si>
  <si>
    <t>6-Oct-17--7-Oct-17--9-Oct-17</t>
  </si>
  <si>
    <t>E-5221</t>
  </si>
  <si>
    <t>E-5222</t>
  </si>
  <si>
    <t>E-5223</t>
  </si>
  <si>
    <t>E-5224</t>
  </si>
  <si>
    <t>E-5225</t>
  </si>
  <si>
    <t>E-5226</t>
  </si>
  <si>
    <t>E-5227</t>
  </si>
  <si>
    <t>E-5228</t>
  </si>
  <si>
    <t>E-5229</t>
  </si>
  <si>
    <t>E-5230</t>
  </si>
  <si>
    <t>E-5231</t>
  </si>
  <si>
    <t>E-5232</t>
  </si>
  <si>
    <t>E-5233</t>
  </si>
  <si>
    <t>E-5234</t>
  </si>
  <si>
    <t>E-5235</t>
  </si>
  <si>
    <t>E-5236</t>
  </si>
  <si>
    <t>E-5237</t>
  </si>
  <si>
    <t>E-5238</t>
  </si>
  <si>
    <t>E-5239</t>
  </si>
  <si>
    <t>E-5240</t>
  </si>
  <si>
    <t>E-5241</t>
  </si>
  <si>
    <t>E-5242</t>
  </si>
  <si>
    <t>E-5243</t>
  </si>
  <si>
    <t>E-5244</t>
  </si>
  <si>
    <t>E-5245</t>
  </si>
  <si>
    <t>E-5246</t>
  </si>
  <si>
    <t>E-5247</t>
  </si>
  <si>
    <t>E-5248</t>
  </si>
  <si>
    <t>E-5249</t>
  </si>
  <si>
    <t>E-5250</t>
  </si>
  <si>
    <t>E-5251</t>
  </si>
  <si>
    <t>E-5252</t>
  </si>
  <si>
    <t>E-5253</t>
  </si>
  <si>
    <t>E-5254</t>
  </si>
  <si>
    <t>E-5255</t>
  </si>
  <si>
    <t>E-5256</t>
  </si>
  <si>
    <t>E-5257</t>
  </si>
  <si>
    <t>E-5258</t>
  </si>
  <si>
    <t>E-5259</t>
  </si>
  <si>
    <t>E-5260</t>
  </si>
  <si>
    <t>E-5261</t>
  </si>
  <si>
    <t>E-5262</t>
  </si>
  <si>
    <t>E-5263</t>
  </si>
  <si>
    <t>E-5264</t>
  </si>
  <si>
    <t>E-5265</t>
  </si>
  <si>
    <t>E-5266</t>
  </si>
  <si>
    <t>E-5267</t>
  </si>
  <si>
    <t>E-5268</t>
  </si>
  <si>
    <t>E-5269</t>
  </si>
  <si>
    <t>E-5270</t>
  </si>
  <si>
    <t>E-5271</t>
  </si>
  <si>
    <t>E-5272</t>
  </si>
  <si>
    <t>E-5273</t>
  </si>
  <si>
    <t>E-5274</t>
  </si>
  <si>
    <t>E-5275</t>
  </si>
  <si>
    <t>E-5276</t>
  </si>
  <si>
    <t>E-5277</t>
  </si>
  <si>
    <t>E-5278</t>
  </si>
  <si>
    <t>E-5279</t>
  </si>
  <si>
    <t>E-5280</t>
  </si>
  <si>
    <t>E-5281</t>
  </si>
  <si>
    <t>E-5282</t>
  </si>
  <si>
    <t>E-5283</t>
  </si>
  <si>
    <t>E-5284</t>
  </si>
  <si>
    <t>E-5285</t>
  </si>
  <si>
    <t>E-5286</t>
  </si>
  <si>
    <t>E-5287</t>
  </si>
  <si>
    <t>E-5288</t>
  </si>
  <si>
    <t>E-5289</t>
  </si>
  <si>
    <t>E-5290</t>
  </si>
  <si>
    <t>E-5291</t>
  </si>
  <si>
    <t>E-5292</t>
  </si>
  <si>
    <t>E-5293</t>
  </si>
  <si>
    <t>E-5294</t>
  </si>
  <si>
    <t>E-5295</t>
  </si>
  <si>
    <t>E-5296</t>
  </si>
  <si>
    <t>E-5297</t>
  </si>
  <si>
    <t>E-5298</t>
  </si>
  <si>
    <t>E-5299</t>
  </si>
  <si>
    <t>E-5300</t>
  </si>
  <si>
    <t>E-5301</t>
  </si>
  <si>
    <t>E-5302</t>
  </si>
  <si>
    <t>E-5303</t>
  </si>
  <si>
    <t>E-5304</t>
  </si>
  <si>
    <t>E-5305</t>
  </si>
  <si>
    <t>E-5306</t>
  </si>
  <si>
    <t>E-5307</t>
  </si>
  <si>
    <t>E-5308</t>
  </si>
  <si>
    <t>E-5309</t>
  </si>
  <si>
    <t>E-5310</t>
  </si>
  <si>
    <t>E-5311</t>
  </si>
  <si>
    <t>E-5312</t>
  </si>
  <si>
    <t>E-5313</t>
  </si>
  <si>
    <t>E-5314</t>
  </si>
  <si>
    <t>E-5315</t>
  </si>
  <si>
    <t>E-5316</t>
  </si>
  <si>
    <t>E-5317</t>
  </si>
  <si>
    <t>E-5318</t>
  </si>
  <si>
    <t>E-5319</t>
  </si>
  <si>
    <t>E-5320</t>
  </si>
  <si>
    <t>E-5321</t>
  </si>
  <si>
    <t>E-5322</t>
  </si>
  <si>
    <t>E-5323</t>
  </si>
  <si>
    <t>E-5324</t>
  </si>
  <si>
    <t>E-5325</t>
  </si>
  <si>
    <t>E-5326</t>
  </si>
  <si>
    <t>E-5327</t>
  </si>
  <si>
    <t>E-5328</t>
  </si>
  <si>
    <t>E-5329</t>
  </si>
  <si>
    <t>E-5330</t>
  </si>
  <si>
    <t>E-5331</t>
  </si>
  <si>
    <t>E-5332</t>
  </si>
  <si>
    <t>E-5333</t>
  </si>
  <si>
    <t>E-5334</t>
  </si>
  <si>
    <t>6-Oct-17--14-Oct-17-</t>
  </si>
  <si>
    <t>E-5335</t>
  </si>
  <si>
    <t>E-5336</t>
  </si>
  <si>
    <t>E-5337</t>
  </si>
  <si>
    <t>E-5338</t>
  </si>
  <si>
    <t>E-5339</t>
  </si>
  <si>
    <t>E-5340</t>
  </si>
  <si>
    <t>E-5341</t>
  </si>
  <si>
    <t>E-5342</t>
  </si>
  <si>
    <t>E-5343</t>
  </si>
  <si>
    <t>E-5344</t>
  </si>
  <si>
    <t>E-5345</t>
  </si>
  <si>
    <t>E-5346</t>
  </si>
  <si>
    <t>E-5347</t>
  </si>
  <si>
    <t>E-5348</t>
  </si>
  <si>
    <t>E-5349</t>
  </si>
  <si>
    <t>E-5350</t>
  </si>
  <si>
    <t>E-5351</t>
  </si>
  <si>
    <t>E-5352</t>
  </si>
  <si>
    <t>E-5353</t>
  </si>
  <si>
    <t>E-5354</t>
  </si>
  <si>
    <t>E-5355</t>
  </si>
  <si>
    <t>E-5356</t>
  </si>
  <si>
    <t>E-5357</t>
  </si>
  <si>
    <t>E-5358</t>
  </si>
  <si>
    <t>E-5359</t>
  </si>
  <si>
    <t>E-5360</t>
  </si>
  <si>
    <t>10-Oct-17--12-Oct-17</t>
  </si>
  <si>
    <t>E-5361</t>
  </si>
  <si>
    <t>E-5362</t>
  </si>
  <si>
    <t>E-5363</t>
  </si>
  <si>
    <t>E-5364</t>
  </si>
  <si>
    <t>E-5365</t>
  </si>
  <si>
    <t>E-5366</t>
  </si>
  <si>
    <t>11-Oct-17--13-Oct-17--14-Oct-17</t>
  </si>
  <si>
    <t>E-5367</t>
  </si>
  <si>
    <t>E-5368</t>
  </si>
  <si>
    <t>E-5369</t>
  </si>
  <si>
    <t>E-5370</t>
  </si>
  <si>
    <t>E-5371</t>
  </si>
  <si>
    <t>E-5372</t>
  </si>
  <si>
    <t>E-5373</t>
  </si>
  <si>
    <t>E-5374</t>
  </si>
  <si>
    <t>E-5375</t>
  </si>
  <si>
    <t>E-5376</t>
  </si>
  <si>
    <t>E-5377</t>
  </si>
  <si>
    <t>E-5378</t>
  </si>
  <si>
    <t>E-5379</t>
  </si>
  <si>
    <t>E-5380</t>
  </si>
  <si>
    <t>E-5381</t>
  </si>
  <si>
    <t>E-5382</t>
  </si>
  <si>
    <t>E-5383</t>
  </si>
  <si>
    <t>E-5384</t>
  </si>
  <si>
    <t>E-5385</t>
  </si>
  <si>
    <t>E-5386</t>
  </si>
  <si>
    <t>E-5387</t>
  </si>
  <si>
    <t>E-5388</t>
  </si>
  <si>
    <t>E-5389</t>
  </si>
  <si>
    <t>E-5390</t>
  </si>
  <si>
    <t>E-5391</t>
  </si>
  <si>
    <t>E-5392</t>
  </si>
  <si>
    <t>E-5393</t>
  </si>
  <si>
    <t>E-5394</t>
  </si>
  <si>
    <t>E-5395</t>
  </si>
  <si>
    <t>E-5396</t>
  </si>
  <si>
    <t>E-5397</t>
  </si>
  <si>
    <t>E-5398</t>
  </si>
  <si>
    <t>E-5399</t>
  </si>
  <si>
    <t>E-5400</t>
  </si>
  <si>
    <t>E-5401</t>
  </si>
  <si>
    <t>E-5402</t>
  </si>
  <si>
    <t>E-5403</t>
  </si>
  <si>
    <t>E-5404</t>
  </si>
  <si>
    <t>E-5405</t>
  </si>
  <si>
    <t>E-5406</t>
  </si>
  <si>
    <t>E-5407</t>
  </si>
  <si>
    <t>E-5408</t>
  </si>
  <si>
    <t>E-5409</t>
  </si>
  <si>
    <t>E-5410</t>
  </si>
  <si>
    <t>E-5411</t>
  </si>
  <si>
    <t>E-5412</t>
  </si>
  <si>
    <t>E-5413</t>
  </si>
  <si>
    <t>E-5414</t>
  </si>
  <si>
    <t>E-5415</t>
  </si>
  <si>
    <t>E-5416</t>
  </si>
  <si>
    <t>E-5417</t>
  </si>
  <si>
    <t>E-5418</t>
  </si>
  <si>
    <t>E-5419</t>
  </si>
  <si>
    <t>E-5420</t>
  </si>
  <si>
    <t>E-5421</t>
  </si>
  <si>
    <t>E-5422</t>
  </si>
  <si>
    <t>E-5423</t>
  </si>
  <si>
    <t>E-5424</t>
  </si>
  <si>
    <t>E-5425</t>
  </si>
  <si>
    <t>E-5426</t>
  </si>
  <si>
    <t>E-5427</t>
  </si>
  <si>
    <t>E-5428</t>
  </si>
  <si>
    <t>E-5429</t>
  </si>
  <si>
    <t>E-5430</t>
  </si>
  <si>
    <t>E-5431</t>
  </si>
  <si>
    <t>E-5432</t>
  </si>
  <si>
    <t>E-5433</t>
  </si>
  <si>
    <t>E-5434</t>
  </si>
  <si>
    <t>E-5435</t>
  </si>
  <si>
    <t>E-5436</t>
  </si>
  <si>
    <t>E-5437</t>
  </si>
  <si>
    <t>E-5438</t>
  </si>
  <si>
    <t>E-5439</t>
  </si>
  <si>
    <t>E-5440</t>
  </si>
  <si>
    <t>E-5441</t>
  </si>
  <si>
    <t>E-5442</t>
  </si>
  <si>
    <t>E-5443</t>
  </si>
  <si>
    <t>E-5444</t>
  </si>
  <si>
    <t>E-5445</t>
  </si>
  <si>
    <t>E-5446</t>
  </si>
  <si>
    <t>E-5447</t>
  </si>
  <si>
    <t>E-5448</t>
  </si>
  <si>
    <t>E-5449</t>
  </si>
  <si>
    <t>E-5450</t>
  </si>
  <si>
    <t>E-5451</t>
  </si>
  <si>
    <t>E-5452</t>
  </si>
  <si>
    <t>E-5453</t>
  </si>
  <si>
    <t>E-5454</t>
  </si>
  <si>
    <t>E-5455</t>
  </si>
  <si>
    <t>E-5456</t>
  </si>
  <si>
    <t>E-5457</t>
  </si>
  <si>
    <t>E-5458</t>
  </si>
  <si>
    <t>E-5459</t>
  </si>
  <si>
    <t>E-5460</t>
  </si>
  <si>
    <t>E-5461</t>
  </si>
  <si>
    <t>E-5462</t>
  </si>
  <si>
    <t>E-5463</t>
  </si>
  <si>
    <t>E-5464</t>
  </si>
  <si>
    <t>E-5465</t>
  </si>
  <si>
    <t>E-5466</t>
  </si>
  <si>
    <t>E-5467</t>
  </si>
  <si>
    <t>E-5468</t>
  </si>
  <si>
    <t>E-5469</t>
  </si>
  <si>
    <t>E-5470</t>
  </si>
  <si>
    <t>E-5471</t>
  </si>
  <si>
    <t>E-5472</t>
  </si>
  <si>
    <t>E-5473</t>
  </si>
  <si>
    <t>E-5474</t>
  </si>
  <si>
    <t>E-5475</t>
  </si>
  <si>
    <t>E-5476</t>
  </si>
  <si>
    <t>E-5477</t>
  </si>
  <si>
    <t>E-5478</t>
  </si>
  <si>
    <t>E-5479</t>
  </si>
  <si>
    <t>E-5480</t>
  </si>
  <si>
    <t>E-5481</t>
  </si>
  <si>
    <t>E-5482</t>
  </si>
  <si>
    <t>E-5483</t>
  </si>
  <si>
    <t>E-5484</t>
  </si>
  <si>
    <t>E-5485</t>
  </si>
  <si>
    <t>E-5486</t>
  </si>
  <si>
    <t>E-5487</t>
  </si>
  <si>
    <t>E-5488</t>
  </si>
  <si>
    <t>E-5489</t>
  </si>
  <si>
    <t>E-5490</t>
  </si>
  <si>
    <t>E-5491</t>
  </si>
  <si>
    <t>E-5492</t>
  </si>
  <si>
    <t>E-5493</t>
  </si>
  <si>
    <t>E-5494</t>
  </si>
  <si>
    <t>E-5495</t>
  </si>
  <si>
    <t>E-5496</t>
  </si>
  <si>
    <t>E-5497</t>
  </si>
  <si>
    <t>E-5498</t>
  </si>
  <si>
    <t>E-5499</t>
  </si>
  <si>
    <t>E-5500</t>
  </si>
  <si>
    <t>E-5501</t>
  </si>
  <si>
    <t>E-5502</t>
  </si>
  <si>
    <t>E-5503</t>
  </si>
  <si>
    <t>E-5504</t>
  </si>
  <si>
    <t>8-Oct-17--9-Oct-17</t>
  </si>
  <si>
    <t>E-5505</t>
  </si>
  <si>
    <t>E-5506</t>
  </si>
  <si>
    <t>E-5507</t>
  </si>
  <si>
    <t>E-5508</t>
  </si>
  <si>
    <t>E-5509</t>
  </si>
  <si>
    <t>E-5510</t>
  </si>
  <si>
    <t>E-5511</t>
  </si>
  <si>
    <t>E-5512</t>
  </si>
  <si>
    <t>E-5513</t>
  </si>
  <si>
    <t>E-5514</t>
  </si>
  <si>
    <t>E-5515</t>
  </si>
  <si>
    <t>E-5516</t>
  </si>
  <si>
    <t>E-5517</t>
  </si>
  <si>
    <t>E-5518</t>
  </si>
  <si>
    <t>E-5519</t>
  </si>
  <si>
    <t>E-5520</t>
  </si>
  <si>
    <t>E-5521</t>
  </si>
  <si>
    <t>E-5522</t>
  </si>
  <si>
    <t>E-5523</t>
  </si>
  <si>
    <t>E-5524</t>
  </si>
  <si>
    <t>E-5525</t>
  </si>
  <si>
    <t>E-5526</t>
  </si>
  <si>
    <t>E-5527</t>
  </si>
  <si>
    <t>E-5528</t>
  </si>
  <si>
    <t>E-5529</t>
  </si>
  <si>
    <t>E-5530</t>
  </si>
  <si>
    <t>E-5531</t>
  </si>
  <si>
    <t>E-5532</t>
  </si>
  <si>
    <t>E-5533</t>
  </si>
  <si>
    <t>E-5534</t>
  </si>
  <si>
    <t>E-5535</t>
  </si>
  <si>
    <t>E-5536</t>
  </si>
  <si>
    <t>E-5537</t>
  </si>
  <si>
    <t>E-5538</t>
  </si>
  <si>
    <t>E-5539</t>
  </si>
  <si>
    <t>E-5540</t>
  </si>
  <si>
    <t>E-5541</t>
  </si>
  <si>
    <t>E-5542</t>
  </si>
  <si>
    <t>E-5543</t>
  </si>
  <si>
    <t>E-5544</t>
  </si>
  <si>
    <t>E-5545</t>
  </si>
  <si>
    <t>E-5546</t>
  </si>
  <si>
    <t>E-5547</t>
  </si>
  <si>
    <t>E-5548</t>
  </si>
  <si>
    <t>E-5549</t>
  </si>
  <si>
    <t>E-5550</t>
  </si>
  <si>
    <t>E-5551</t>
  </si>
  <si>
    <t>E-5552</t>
  </si>
  <si>
    <t>E-5553</t>
  </si>
  <si>
    <t>E-5554</t>
  </si>
  <si>
    <t>E-5555</t>
  </si>
  <si>
    <t>E-5556</t>
  </si>
  <si>
    <t>E-5557</t>
  </si>
  <si>
    <t>E-5558</t>
  </si>
  <si>
    <t>E-5559</t>
  </si>
  <si>
    <t>E-5560</t>
  </si>
  <si>
    <t>E-5561</t>
  </si>
  <si>
    <t>E-5562</t>
  </si>
  <si>
    <t>13-Oct-17--23-Oct-17</t>
  </si>
  <si>
    <t>E-5563</t>
  </si>
  <si>
    <t>E-5564</t>
  </si>
  <si>
    <t>E-5565</t>
  </si>
  <si>
    <t>E-5566</t>
  </si>
  <si>
    <t>E-5567</t>
  </si>
  <si>
    <t>E-5568</t>
  </si>
  <si>
    <t>E-5569</t>
  </si>
  <si>
    <t>E-5570</t>
  </si>
  <si>
    <t>E-5571</t>
  </si>
  <si>
    <t>E-5572</t>
  </si>
  <si>
    <t>E-5573</t>
  </si>
  <si>
    <t>E-5574</t>
  </si>
  <si>
    <t>E-5575</t>
  </si>
  <si>
    <t>E-5576</t>
  </si>
  <si>
    <t>E-5577</t>
  </si>
  <si>
    <t>E-5578</t>
  </si>
  <si>
    <t>E-5579</t>
  </si>
  <si>
    <t>E-5580</t>
  </si>
  <si>
    <t>11-Oct-17--14-Oct-17</t>
  </si>
  <si>
    <t>E-5581</t>
  </si>
  <si>
    <t>E-5582</t>
  </si>
  <si>
    <t>E-5583</t>
  </si>
  <si>
    <t>E-5584</t>
  </si>
  <si>
    <t>E-5585</t>
  </si>
  <si>
    <t>E-5586</t>
  </si>
  <si>
    <t>E-5587</t>
  </si>
  <si>
    <t>E-5588</t>
  </si>
  <si>
    <t>E-5589</t>
  </si>
  <si>
    <t>E-5590</t>
  </si>
  <si>
    <t>E-5591</t>
  </si>
  <si>
    <t>E-5592</t>
  </si>
  <si>
    <t>E-5593</t>
  </si>
  <si>
    <t>E-5594</t>
  </si>
  <si>
    <t>E-5595</t>
  </si>
  <si>
    <t>E-5596</t>
  </si>
  <si>
    <t>E-5597</t>
  </si>
  <si>
    <t>E-5598</t>
  </si>
  <si>
    <t>E-5599</t>
  </si>
  <si>
    <t>14-Oct-17--19-Oct-17</t>
  </si>
  <si>
    <t>E-5600</t>
  </si>
  <si>
    <t>E-5601</t>
  </si>
  <si>
    <t>E-5602</t>
  </si>
  <si>
    <t>E-5603</t>
  </si>
  <si>
    <t>E-5604</t>
  </si>
  <si>
    <t>E-5605</t>
  </si>
  <si>
    <t>E-5606</t>
  </si>
  <si>
    <t>E-5607</t>
  </si>
  <si>
    <t>9-Oct-17--11-Oct-17</t>
  </si>
  <si>
    <t>E-5608</t>
  </si>
  <si>
    <t>E-5609</t>
  </si>
  <si>
    <t>E-5610</t>
  </si>
  <si>
    <t>E-5611</t>
  </si>
  <si>
    <t>E-5612</t>
  </si>
  <si>
    <t>E-5613</t>
  </si>
  <si>
    <t>E-5614</t>
  </si>
  <si>
    <t>E-5615</t>
  </si>
  <si>
    <t>E-5616</t>
  </si>
  <si>
    <t>E-5617</t>
  </si>
  <si>
    <t>12-Oct-17--14-Oct-17</t>
  </si>
  <si>
    <t>E-5618</t>
  </si>
  <si>
    <t>E-5619</t>
  </si>
  <si>
    <t>E-5620</t>
  </si>
  <si>
    <t>E-5621</t>
  </si>
  <si>
    <t>E-5622</t>
  </si>
  <si>
    <t>E-5623</t>
  </si>
  <si>
    <t>E-5624</t>
  </si>
  <si>
    <t>E-5625</t>
  </si>
  <si>
    <t>E-5626</t>
  </si>
  <si>
    <t>E-5627</t>
  </si>
  <si>
    <t>E-5628</t>
  </si>
  <si>
    <t>E-5629</t>
  </si>
  <si>
    <t>E-5630</t>
  </si>
  <si>
    <t>E-5631</t>
  </si>
  <si>
    <t>E-5632</t>
  </si>
  <si>
    <t>E-5633</t>
  </si>
  <si>
    <t>E-5634</t>
  </si>
  <si>
    <t>E-5635</t>
  </si>
  <si>
    <t>E-5636</t>
  </si>
  <si>
    <t>E-5637</t>
  </si>
  <si>
    <t>E-5638</t>
  </si>
  <si>
    <t>E-5639</t>
  </si>
  <si>
    <t>E-5640</t>
  </si>
  <si>
    <t>E-5641</t>
  </si>
  <si>
    <t>E-5642</t>
  </si>
  <si>
    <t>E-5643</t>
  </si>
  <si>
    <t>E-5644</t>
  </si>
  <si>
    <t>E-5645</t>
  </si>
  <si>
    <t>E-5646</t>
  </si>
  <si>
    <t>E-5647</t>
  </si>
  <si>
    <t>E-5648</t>
  </si>
  <si>
    <t>E-5649</t>
  </si>
  <si>
    <t>E-5650</t>
  </si>
  <si>
    <t>E-5651</t>
  </si>
  <si>
    <t>E-5652</t>
  </si>
  <si>
    <t>E-5653</t>
  </si>
  <si>
    <t>E-5654</t>
  </si>
  <si>
    <t>E-5655</t>
  </si>
  <si>
    <t>E-5656</t>
  </si>
  <si>
    <t>E-5657</t>
  </si>
  <si>
    <t>E-5658</t>
  </si>
  <si>
    <t>E-5659</t>
  </si>
  <si>
    <t>E-5660</t>
  </si>
  <si>
    <t>E-5661</t>
  </si>
  <si>
    <t>E-5662</t>
  </si>
  <si>
    <t>23-Oct-17--26-Oct-17</t>
  </si>
  <si>
    <t>E-5663</t>
  </si>
  <si>
    <t>E-5664</t>
  </si>
  <si>
    <t>E-5665</t>
  </si>
  <si>
    <t>E-5666</t>
  </si>
  <si>
    <t>E-5667</t>
  </si>
  <si>
    <t>E-5668</t>
  </si>
  <si>
    <t>E-5669</t>
  </si>
  <si>
    <t>E-5670</t>
  </si>
  <si>
    <t>E-5671</t>
  </si>
  <si>
    <t>E-5672</t>
  </si>
  <si>
    <t>E-5673</t>
  </si>
  <si>
    <t>E-5674</t>
  </si>
  <si>
    <t>E-5675</t>
  </si>
  <si>
    <t>E-5676</t>
  </si>
  <si>
    <t>E-5677</t>
  </si>
  <si>
    <t>E-5678</t>
  </si>
  <si>
    <t>E-5679</t>
  </si>
  <si>
    <t>E-5680</t>
  </si>
  <si>
    <t>E-5681</t>
  </si>
  <si>
    <t>E-5682</t>
  </si>
  <si>
    <t>E-5683</t>
  </si>
  <si>
    <t>E-5684</t>
  </si>
  <si>
    <t>E-5685</t>
  </si>
  <si>
    <t>E-5686</t>
  </si>
  <si>
    <t>E-5687</t>
  </si>
  <si>
    <t>E-5688</t>
  </si>
  <si>
    <t>E-5689</t>
  </si>
  <si>
    <t>E-5690</t>
  </si>
  <si>
    <t>E-5691</t>
  </si>
  <si>
    <t>E-5692</t>
  </si>
  <si>
    <t>E-5693</t>
  </si>
  <si>
    <t>E-5694</t>
  </si>
  <si>
    <t>E-5695</t>
  </si>
  <si>
    <t>E-5696</t>
  </si>
  <si>
    <t>E-5697</t>
  </si>
  <si>
    <t>E-5698</t>
  </si>
  <si>
    <t>E-5699</t>
  </si>
  <si>
    <t>E-5700</t>
  </si>
  <si>
    <t>E-5701</t>
  </si>
  <si>
    <t>E-5702</t>
  </si>
  <si>
    <t>E-5703</t>
  </si>
  <si>
    <t>E-5704</t>
  </si>
  <si>
    <t>E-5705</t>
  </si>
  <si>
    <t>E-5706</t>
  </si>
  <si>
    <t>E-5707</t>
  </si>
  <si>
    <t>E-5708</t>
  </si>
  <si>
    <t>E-5709</t>
  </si>
  <si>
    <t xml:space="preserve">11-Oct-17--13-Oct-17  </t>
  </si>
  <si>
    <t>E-5710</t>
  </si>
  <si>
    <t>E-5711</t>
  </si>
  <si>
    <t>E-5712</t>
  </si>
  <si>
    <t>E-5713</t>
  </si>
  <si>
    <t>E-5714</t>
  </si>
  <si>
    <t>E-5715</t>
  </si>
  <si>
    <t>E-5716</t>
  </si>
  <si>
    <t>E-5717</t>
  </si>
  <si>
    <t>E-5718</t>
  </si>
  <si>
    <t>(224)TARCILA</t>
  </si>
  <si>
    <t>E-5719</t>
  </si>
  <si>
    <t>E-5720</t>
  </si>
  <si>
    <t>E-5721</t>
  </si>
  <si>
    <t>E-5722</t>
  </si>
  <si>
    <t>E-5723</t>
  </si>
  <si>
    <t>E-5724</t>
  </si>
  <si>
    <t>E-5725</t>
  </si>
  <si>
    <t>E-5726</t>
  </si>
  <si>
    <t>E-5727</t>
  </si>
  <si>
    <t>E-5728</t>
  </si>
  <si>
    <t>E-5729</t>
  </si>
  <si>
    <t>E-5730</t>
  </si>
  <si>
    <t>E-5731</t>
  </si>
  <si>
    <t>E-5732</t>
  </si>
  <si>
    <t>E-5733</t>
  </si>
  <si>
    <t>E-5734</t>
  </si>
  <si>
    <t>E-5735</t>
  </si>
  <si>
    <t>E-5736</t>
  </si>
  <si>
    <t>12-Oct-17-----13-Oct-17</t>
  </si>
  <si>
    <t>E-5737</t>
  </si>
  <si>
    <t>E-5738</t>
  </si>
  <si>
    <t>E-5739</t>
  </si>
  <si>
    <t>E-5740</t>
  </si>
  <si>
    <t>E-5741</t>
  </si>
  <si>
    <t>E-5742</t>
  </si>
  <si>
    <t>E-5743</t>
  </si>
  <si>
    <t>E-5744</t>
  </si>
  <si>
    <t>E-5745</t>
  </si>
  <si>
    <t>E-5746</t>
  </si>
  <si>
    <t>E-5747</t>
  </si>
  <si>
    <t>E-5748</t>
  </si>
  <si>
    <t>E-5749</t>
  </si>
  <si>
    <t>E-5750</t>
  </si>
  <si>
    <t>E-5751</t>
  </si>
  <si>
    <t>E-5752</t>
  </si>
  <si>
    <t>E-5753</t>
  </si>
  <si>
    <t>E-5754</t>
  </si>
  <si>
    <t>E-5755</t>
  </si>
  <si>
    <t>E-5756</t>
  </si>
  <si>
    <t>E-5757</t>
  </si>
  <si>
    <t>E-5758</t>
  </si>
  <si>
    <t>E-5759</t>
  </si>
  <si>
    <t>E-5760</t>
  </si>
  <si>
    <t>E-5761</t>
  </si>
  <si>
    <t>E-5762</t>
  </si>
  <si>
    <t>E-5763</t>
  </si>
  <si>
    <t>E-5764</t>
  </si>
  <si>
    <t>E-5765</t>
  </si>
  <si>
    <t>E-5766</t>
  </si>
  <si>
    <t>E-5767</t>
  </si>
  <si>
    <t>E-5768</t>
  </si>
  <si>
    <t>E-5769</t>
  </si>
  <si>
    <t>E-5770</t>
  </si>
  <si>
    <t>E-5771</t>
  </si>
  <si>
    <t>E-5772</t>
  </si>
  <si>
    <t>E-5773</t>
  </si>
  <si>
    <t>E-5774</t>
  </si>
  <si>
    <t>E-5775</t>
  </si>
  <si>
    <t>E-5776</t>
  </si>
  <si>
    <t>E-5777</t>
  </si>
  <si>
    <t>E-5778</t>
  </si>
  <si>
    <t>E-5779</t>
  </si>
  <si>
    <t>E-5780</t>
  </si>
  <si>
    <t>E-5781</t>
  </si>
  <si>
    <t>E-5782</t>
  </si>
  <si>
    <t>E-5783</t>
  </si>
  <si>
    <t>E-5784</t>
  </si>
  <si>
    <t>E-5785</t>
  </si>
  <si>
    <t>E-5786</t>
  </si>
  <si>
    <t>E-5787</t>
  </si>
  <si>
    <t>E-5788</t>
  </si>
  <si>
    <t>E-5789</t>
  </si>
  <si>
    <t>E-5790</t>
  </si>
  <si>
    <t>E-5791</t>
  </si>
  <si>
    <t>E-5792</t>
  </si>
  <si>
    <t>E-5793</t>
  </si>
  <si>
    <t>E-5794</t>
  </si>
  <si>
    <t>E-5795</t>
  </si>
  <si>
    <t>E-5796</t>
  </si>
  <si>
    <t>E-5797</t>
  </si>
  <si>
    <t>E-5798</t>
  </si>
  <si>
    <t>E-5799</t>
  </si>
  <si>
    <t>E-5800</t>
  </si>
  <si>
    <t>E-5801</t>
  </si>
  <si>
    <t>E-5802</t>
  </si>
  <si>
    <t>E-5803</t>
  </si>
  <si>
    <t>11-10-178</t>
  </si>
  <si>
    <t>E-5804</t>
  </si>
  <si>
    <t>E-5805</t>
  </si>
  <si>
    <t>E-5806</t>
  </si>
  <si>
    <t>E-5807</t>
  </si>
  <si>
    <t>E-5808</t>
  </si>
  <si>
    <t>E-5809</t>
  </si>
  <si>
    <t>E-5810</t>
  </si>
  <si>
    <t>E-5811</t>
  </si>
  <si>
    <t>E-5812</t>
  </si>
  <si>
    <t>E-5813</t>
  </si>
  <si>
    <t>E-5814</t>
  </si>
  <si>
    <t>E-5815</t>
  </si>
  <si>
    <t>E-5816</t>
  </si>
  <si>
    <t>E-5817</t>
  </si>
  <si>
    <t>E-5818</t>
  </si>
  <si>
    <t>E-5819</t>
  </si>
  <si>
    <t>E-5820</t>
  </si>
  <si>
    <t>E-5821</t>
  </si>
  <si>
    <t>E-5822</t>
  </si>
  <si>
    <t>E-5823</t>
  </si>
  <si>
    <t>E-5824</t>
  </si>
  <si>
    <t>E-5825</t>
  </si>
  <si>
    <t>E-5826</t>
  </si>
  <si>
    <t>E-5827</t>
  </si>
  <si>
    <t>E-5828</t>
  </si>
  <si>
    <t>E-5829</t>
  </si>
  <si>
    <t>E-5830</t>
  </si>
  <si>
    <t>E-5831</t>
  </si>
  <si>
    <t>E-5832</t>
  </si>
  <si>
    <t>E-5833</t>
  </si>
  <si>
    <t>E-5834</t>
  </si>
  <si>
    <t>E-5835</t>
  </si>
  <si>
    <t>E-5836</t>
  </si>
  <si>
    <t>E-5837</t>
  </si>
  <si>
    <t>E-5838</t>
  </si>
  <si>
    <t>E-5839</t>
  </si>
  <si>
    <t>E-5840</t>
  </si>
  <si>
    <t>E-5841</t>
  </si>
  <si>
    <t>E-5842</t>
  </si>
  <si>
    <t>E-5843</t>
  </si>
  <si>
    <t>E-5844</t>
  </si>
  <si>
    <t>E-5845</t>
  </si>
  <si>
    <t>E-5846</t>
  </si>
  <si>
    <t>E-5847</t>
  </si>
  <si>
    <t>E-5848</t>
  </si>
  <si>
    <t>16-Oct-17--23-Oct-17</t>
  </si>
  <si>
    <t>E-5849</t>
  </si>
  <si>
    <t>E-5850</t>
  </si>
  <si>
    <t>E-5851</t>
  </si>
  <si>
    <t>E-5852</t>
  </si>
  <si>
    <t>E-5853</t>
  </si>
  <si>
    <t>E-5854</t>
  </si>
  <si>
    <t>E-5855</t>
  </si>
  <si>
    <t>E-5856</t>
  </si>
  <si>
    <t>E-5857</t>
  </si>
  <si>
    <t>E-5858</t>
  </si>
  <si>
    <t>E-5859</t>
  </si>
  <si>
    <t>E-5860</t>
  </si>
  <si>
    <t>E-5861</t>
  </si>
  <si>
    <t>E-5862</t>
  </si>
  <si>
    <t>E-5863</t>
  </si>
  <si>
    <t>E-5864</t>
  </si>
  <si>
    <t>E-5865</t>
  </si>
  <si>
    <t>E-5866</t>
  </si>
  <si>
    <t>E-5867</t>
  </si>
  <si>
    <t>E-5868</t>
  </si>
  <si>
    <t>E-5869</t>
  </si>
  <si>
    <t>E-5870</t>
  </si>
  <si>
    <t>14-Oct-17--10-Oct-17</t>
  </si>
  <si>
    <t>E-5871</t>
  </si>
  <si>
    <t>E-5872</t>
  </si>
  <si>
    <t>E-5873</t>
  </si>
  <si>
    <t>E-5874</t>
  </si>
  <si>
    <t>E-5875</t>
  </si>
  <si>
    <t>E-5876</t>
  </si>
  <si>
    <t>E-5877</t>
  </si>
  <si>
    <t>E-5878</t>
  </si>
  <si>
    <t>E-5879</t>
  </si>
  <si>
    <t>E-5880</t>
  </si>
  <si>
    <t>E-5881</t>
  </si>
  <si>
    <t>E-5882</t>
  </si>
  <si>
    <t>E-5883</t>
  </si>
  <si>
    <t>E-5884</t>
  </si>
  <si>
    <t>E-5885</t>
  </si>
  <si>
    <t>E-5886</t>
  </si>
  <si>
    <t>E-5887</t>
  </si>
  <si>
    <t>E-5888</t>
  </si>
  <si>
    <t>E-5889</t>
  </si>
  <si>
    <t>E-5890</t>
  </si>
  <si>
    <t>E-5891</t>
  </si>
  <si>
    <t>E-5892</t>
  </si>
  <si>
    <t>E-5893</t>
  </si>
  <si>
    <t>E-5894</t>
  </si>
  <si>
    <t>E-5895</t>
  </si>
  <si>
    <t>E-5896</t>
  </si>
  <si>
    <t>E-5897</t>
  </si>
  <si>
    <t>E-5898</t>
  </si>
  <si>
    <t>E-5899</t>
  </si>
  <si>
    <t>E-5900</t>
  </si>
  <si>
    <t>(25)ERASMO ROSAS (SANTA MARIA)</t>
  </si>
  <si>
    <t>E-5901</t>
  </si>
  <si>
    <t>E-5902</t>
  </si>
  <si>
    <t>E-5903</t>
  </si>
  <si>
    <t>E-5904</t>
  </si>
  <si>
    <t>E-5905</t>
  </si>
  <si>
    <t>E-5906</t>
  </si>
  <si>
    <t>E-5907</t>
  </si>
  <si>
    <t>E-5908</t>
  </si>
  <si>
    <t>E-5909</t>
  </si>
  <si>
    <t>E-5910</t>
  </si>
  <si>
    <t>E-5911</t>
  </si>
  <si>
    <t>E-5912</t>
  </si>
  <si>
    <t>E-5913</t>
  </si>
  <si>
    <t>E-5914</t>
  </si>
  <si>
    <t>E-5915</t>
  </si>
  <si>
    <t>E-5916</t>
  </si>
  <si>
    <t>E-5917</t>
  </si>
  <si>
    <t>E-5918</t>
  </si>
  <si>
    <t>E-5919</t>
  </si>
  <si>
    <t>12-Oct-17--13-Oct-17</t>
  </si>
  <si>
    <t>E-5920</t>
  </si>
  <si>
    <t>E-5921</t>
  </si>
  <si>
    <t>E-5922</t>
  </si>
  <si>
    <t>E-5923</t>
  </si>
  <si>
    <t>E-5924</t>
  </si>
  <si>
    <t>E-5925</t>
  </si>
  <si>
    <t>E-5926</t>
  </si>
  <si>
    <t>E-5927</t>
  </si>
  <si>
    <t>E-5928</t>
  </si>
  <si>
    <t>E-5929</t>
  </si>
  <si>
    <t>E-5930</t>
  </si>
  <si>
    <t>E-5931</t>
  </si>
  <si>
    <t>E-5932</t>
  </si>
  <si>
    <t>E-5933</t>
  </si>
  <si>
    <t>E-5934</t>
  </si>
  <si>
    <t>E-5935</t>
  </si>
  <si>
    <t>E-5936</t>
  </si>
  <si>
    <t>E-5937</t>
  </si>
  <si>
    <t>E-5938</t>
  </si>
  <si>
    <t>E-5939</t>
  </si>
  <si>
    <t>E-5940</t>
  </si>
  <si>
    <t>E-5941</t>
  </si>
  <si>
    <t>13-Oct-17--17-Oct-17</t>
  </si>
  <si>
    <t>E-5942</t>
  </si>
  <si>
    <t>E-5943</t>
  </si>
  <si>
    <t>E-5944</t>
  </si>
  <si>
    <t>E-5945</t>
  </si>
  <si>
    <t>E-5946</t>
  </si>
  <si>
    <t>E-5947</t>
  </si>
  <si>
    <t>E-5948</t>
  </si>
  <si>
    <t>E-5949</t>
  </si>
  <si>
    <t>E-5950</t>
  </si>
  <si>
    <t>E-5951</t>
  </si>
  <si>
    <t>E-5952</t>
  </si>
  <si>
    <t>E-5953</t>
  </si>
  <si>
    <t>E-5954</t>
  </si>
  <si>
    <t>E-5955</t>
  </si>
  <si>
    <t>E-5956</t>
  </si>
  <si>
    <t>E-5957</t>
  </si>
  <si>
    <t>E-5958</t>
  </si>
  <si>
    <t>E-5959</t>
  </si>
  <si>
    <t>E-5960</t>
  </si>
  <si>
    <t>E-5961</t>
  </si>
  <si>
    <t>E-5962</t>
  </si>
  <si>
    <t>E-5963</t>
  </si>
  <si>
    <t>E-5964</t>
  </si>
  <si>
    <t>E-5965</t>
  </si>
  <si>
    <t>E-5966</t>
  </si>
  <si>
    <t>E-5967</t>
  </si>
  <si>
    <t>E-5968</t>
  </si>
  <si>
    <t>E-5969</t>
  </si>
  <si>
    <t>E-5970</t>
  </si>
  <si>
    <t>13-Oct-17--14-Oct-17</t>
  </si>
  <si>
    <t>E-5971</t>
  </si>
  <si>
    <t>14-Oct-17--16-Oct-17</t>
  </si>
  <si>
    <t>E-5972</t>
  </si>
  <si>
    <t>E-5973</t>
  </si>
  <si>
    <t>E-5974</t>
  </si>
  <si>
    <t>13-Oct-17--14-Oct-17--16-Oct-17</t>
  </si>
  <si>
    <t>E-5975</t>
  </si>
  <si>
    <t>E-5976</t>
  </si>
  <si>
    <t>E-5977</t>
  </si>
  <si>
    <t>E-5978</t>
  </si>
  <si>
    <t>E-5979</t>
  </si>
  <si>
    <t>E-5980</t>
  </si>
  <si>
    <t>E-5981</t>
  </si>
  <si>
    <t>E-5982</t>
  </si>
  <si>
    <t>E-5983</t>
  </si>
  <si>
    <t>E-5984</t>
  </si>
  <si>
    <t>E-5985</t>
  </si>
  <si>
    <t>E-5986</t>
  </si>
  <si>
    <t>E-5987</t>
  </si>
  <si>
    <t>E-5988</t>
  </si>
  <si>
    <t>E-5989</t>
  </si>
  <si>
    <t>E-5990</t>
  </si>
  <si>
    <t>E-5991</t>
  </si>
  <si>
    <t>E-5992</t>
  </si>
  <si>
    <t>E-5993</t>
  </si>
  <si>
    <t>E-5994</t>
  </si>
  <si>
    <t>E-5995</t>
  </si>
  <si>
    <t>E-5996</t>
  </si>
  <si>
    <t>E-5997</t>
  </si>
  <si>
    <t>E-5998</t>
  </si>
  <si>
    <t>E-5999</t>
  </si>
  <si>
    <t>E-6000</t>
  </si>
  <si>
    <t>E-6001</t>
  </si>
  <si>
    <t>E-6002</t>
  </si>
  <si>
    <t>E-6003</t>
  </si>
  <si>
    <t>E-6004</t>
  </si>
  <si>
    <t>E-6005</t>
  </si>
  <si>
    <t>12-Oct-17--13-Oct-17--14-Oct-17</t>
  </si>
  <si>
    <t>E-6006</t>
  </si>
  <si>
    <t>E-6007</t>
  </si>
  <si>
    <t>E-6008</t>
  </si>
  <si>
    <t>E-6009</t>
  </si>
  <si>
    <t>E-6010</t>
  </si>
  <si>
    <t>E-6011</t>
  </si>
  <si>
    <t>E-6012</t>
  </si>
  <si>
    <t>E-6013</t>
  </si>
  <si>
    <t>E-6014</t>
  </si>
  <si>
    <t>E-6015</t>
  </si>
  <si>
    <t>E-6016</t>
  </si>
  <si>
    <t>E-6017</t>
  </si>
  <si>
    <t>E-6018</t>
  </si>
  <si>
    <t>E-6019</t>
  </si>
  <si>
    <t>E-6020</t>
  </si>
  <si>
    <t>E-6021</t>
  </si>
  <si>
    <t>E-6022</t>
  </si>
  <si>
    <t>E-6023</t>
  </si>
  <si>
    <t>E-6024</t>
  </si>
  <si>
    <t>E-6025</t>
  </si>
  <si>
    <t>E-6026</t>
  </si>
  <si>
    <t>E-6027</t>
  </si>
  <si>
    <t>E-6028</t>
  </si>
  <si>
    <t>E-6029</t>
  </si>
  <si>
    <t>E-6030</t>
  </si>
  <si>
    <t>E-6031</t>
  </si>
  <si>
    <t>E-6032</t>
  </si>
  <si>
    <t>E-6033</t>
  </si>
  <si>
    <t>E-6034</t>
  </si>
  <si>
    <t>E-6035</t>
  </si>
  <si>
    <t>E-6036</t>
  </si>
  <si>
    <t>E-6037</t>
  </si>
  <si>
    <t>E-6038</t>
  </si>
  <si>
    <t>E-6039</t>
  </si>
  <si>
    <t>E-6040</t>
  </si>
  <si>
    <t>E-6041</t>
  </si>
  <si>
    <t>E-6042</t>
  </si>
  <si>
    <t>E-6043</t>
  </si>
  <si>
    <t>E-6044</t>
  </si>
  <si>
    <t>E-6045</t>
  </si>
  <si>
    <t>E-6046</t>
  </si>
  <si>
    <t>E-6047</t>
  </si>
  <si>
    <t>E-6048</t>
  </si>
  <si>
    <t>E-6049</t>
  </si>
  <si>
    <t>E-6050</t>
  </si>
  <si>
    <t>E-6051</t>
  </si>
  <si>
    <t>E-6052</t>
  </si>
  <si>
    <t>E-6053</t>
  </si>
  <si>
    <t>E-6054</t>
  </si>
  <si>
    <t>E-6055</t>
  </si>
  <si>
    <t>E-6056</t>
  </si>
  <si>
    <t>E-6057</t>
  </si>
  <si>
    <t>E-6058</t>
  </si>
  <si>
    <t>E-6059</t>
  </si>
  <si>
    <t>E-6060</t>
  </si>
  <si>
    <t>E-6061</t>
  </si>
  <si>
    <t>E-6062</t>
  </si>
  <si>
    <t>E-6063</t>
  </si>
  <si>
    <t>E-6064</t>
  </si>
  <si>
    <t>E-6065</t>
  </si>
  <si>
    <t>E-6066</t>
  </si>
  <si>
    <t>E-6067</t>
  </si>
  <si>
    <t>E-6068</t>
  </si>
  <si>
    <t>E-6069</t>
  </si>
  <si>
    <t>E-6070</t>
  </si>
  <si>
    <t>E-6071</t>
  </si>
  <si>
    <t>E-6072</t>
  </si>
  <si>
    <t>E-6073</t>
  </si>
  <si>
    <t>E-6074</t>
  </si>
  <si>
    <t>E-6075</t>
  </si>
  <si>
    <t>E-6076</t>
  </si>
  <si>
    <t>E-6077</t>
  </si>
  <si>
    <t>E-6078</t>
  </si>
  <si>
    <t>E-6079</t>
  </si>
  <si>
    <t>E-6080</t>
  </si>
  <si>
    <t>E-6081</t>
  </si>
  <si>
    <t>E-6082</t>
  </si>
  <si>
    <t>E-6083</t>
  </si>
  <si>
    <t>E-6084</t>
  </si>
  <si>
    <t>E-6085</t>
  </si>
  <si>
    <t>E-6086</t>
  </si>
  <si>
    <t>E-6087</t>
  </si>
  <si>
    <t>E-6088</t>
  </si>
  <si>
    <t>13-OCT-17--15-Oct-17</t>
  </si>
  <si>
    <t>E-6089</t>
  </si>
  <si>
    <t>E-6090</t>
  </si>
  <si>
    <t>E-6091</t>
  </si>
  <si>
    <t>E-6092</t>
  </si>
  <si>
    <t>E-6093</t>
  </si>
  <si>
    <t>E-6094</t>
  </si>
  <si>
    <t>E-6095</t>
  </si>
  <si>
    <t>E-6096</t>
  </si>
  <si>
    <t>E-6097</t>
  </si>
  <si>
    <t>E-6098</t>
  </si>
  <si>
    <t>E-6099</t>
  </si>
  <si>
    <t>E-6100</t>
  </si>
  <si>
    <t>E-6101</t>
  </si>
  <si>
    <t>E-6102</t>
  </si>
  <si>
    <t>E-6103</t>
  </si>
  <si>
    <t>E-6104</t>
  </si>
  <si>
    <t>E-6105</t>
  </si>
  <si>
    <t>E-6106</t>
  </si>
  <si>
    <t>E-6107</t>
  </si>
  <si>
    <t>E-6108</t>
  </si>
  <si>
    <t>E-6109</t>
  </si>
  <si>
    <t>E-6110</t>
  </si>
  <si>
    <t>E-6111</t>
  </si>
  <si>
    <t>E-6112</t>
  </si>
  <si>
    <t>E-6113</t>
  </si>
  <si>
    <t>E-6114</t>
  </si>
  <si>
    <t>E-6115</t>
  </si>
  <si>
    <t>E-6116</t>
  </si>
  <si>
    <t>E-6117</t>
  </si>
  <si>
    <t>E-6118</t>
  </si>
  <si>
    <t>E-6119</t>
  </si>
  <si>
    <t>E-6120</t>
  </si>
  <si>
    <t>E-6121</t>
  </si>
  <si>
    <t>E-6122</t>
  </si>
  <si>
    <t>E-6123</t>
  </si>
  <si>
    <t>E-6124</t>
  </si>
  <si>
    <t>E-6125</t>
  </si>
  <si>
    <t>E-6126</t>
  </si>
  <si>
    <t>E-6127</t>
  </si>
  <si>
    <t>E-6128</t>
  </si>
  <si>
    <t>E-6129</t>
  </si>
  <si>
    <t>E-6130</t>
  </si>
  <si>
    <t>E-6131</t>
  </si>
  <si>
    <t>E-6132</t>
  </si>
  <si>
    <t>16-Oct-17--17-Oct-17</t>
  </si>
  <si>
    <t>E-6133</t>
  </si>
  <si>
    <t>E-6134</t>
  </si>
  <si>
    <t>E-6135</t>
  </si>
  <si>
    <t>E-6136</t>
  </si>
  <si>
    <t>E-6137</t>
  </si>
  <si>
    <t>E-6138</t>
  </si>
  <si>
    <t>E-6139</t>
  </si>
  <si>
    <t>E-6140</t>
  </si>
  <si>
    <t>E-6141</t>
  </si>
  <si>
    <t>E-6142</t>
  </si>
  <si>
    <t>E-6143</t>
  </si>
  <si>
    <t>E-6144</t>
  </si>
  <si>
    <t>E-6145</t>
  </si>
  <si>
    <t>E-6146</t>
  </si>
  <si>
    <t>E-6147</t>
  </si>
  <si>
    <t>E-6148</t>
  </si>
  <si>
    <t>E-6149</t>
  </si>
  <si>
    <t>E-6150</t>
  </si>
  <si>
    <t>E-6151</t>
  </si>
  <si>
    <t>E-6152</t>
  </si>
  <si>
    <t>E-6153</t>
  </si>
  <si>
    <t>E-6154</t>
  </si>
  <si>
    <t>E-6155</t>
  </si>
  <si>
    <t>E-6156</t>
  </si>
  <si>
    <t>E-6157</t>
  </si>
  <si>
    <t>E-6158</t>
  </si>
  <si>
    <t>E-6159</t>
  </si>
  <si>
    <t>E-6160</t>
  </si>
  <si>
    <t>E-6161</t>
  </si>
  <si>
    <t>E-6162</t>
  </si>
  <si>
    <t>E-6163</t>
  </si>
  <si>
    <t>E-6164</t>
  </si>
  <si>
    <t>E-6165</t>
  </si>
  <si>
    <t>E-6166</t>
  </si>
  <si>
    <t>E-6167</t>
  </si>
  <si>
    <t>E-6168</t>
  </si>
  <si>
    <t>E-6169</t>
  </si>
  <si>
    <t>E-6170</t>
  </si>
  <si>
    <t>E-6171</t>
  </si>
  <si>
    <t>E-6172</t>
  </si>
  <si>
    <t>E-6173</t>
  </si>
  <si>
    <t>E-6174</t>
  </si>
  <si>
    <t>E-6175</t>
  </si>
  <si>
    <t>E-6176</t>
  </si>
  <si>
    <t>E-6177</t>
  </si>
  <si>
    <t>E-6178</t>
  </si>
  <si>
    <t>E-6179</t>
  </si>
  <si>
    <t>E-6180</t>
  </si>
  <si>
    <t>17-Oct-17--19-Oct-17</t>
  </si>
  <si>
    <t>E-6181</t>
  </si>
  <si>
    <t>E-6182</t>
  </si>
  <si>
    <t>E-6183</t>
  </si>
  <si>
    <t>E-6184</t>
  </si>
  <si>
    <t>E-6185</t>
  </si>
  <si>
    <t>E-6186</t>
  </si>
  <si>
    <t>E-6187</t>
  </si>
  <si>
    <t>E-6188</t>
  </si>
  <si>
    <t>E-6189</t>
  </si>
  <si>
    <t>E-6190</t>
  </si>
  <si>
    <t>E-6191</t>
  </si>
  <si>
    <t>E-6192</t>
  </si>
  <si>
    <t>E-6193</t>
  </si>
  <si>
    <t>E-6194</t>
  </si>
  <si>
    <t>E-6195</t>
  </si>
  <si>
    <t>E-6196</t>
  </si>
  <si>
    <t>E-6197</t>
  </si>
  <si>
    <t>E-6198</t>
  </si>
  <si>
    <t>E-6199</t>
  </si>
  <si>
    <t>E-6200</t>
  </si>
  <si>
    <t>E-6201</t>
  </si>
  <si>
    <t>E-6202</t>
  </si>
  <si>
    <t>E-6203</t>
  </si>
  <si>
    <t>E-6204</t>
  </si>
  <si>
    <t>E-6205</t>
  </si>
  <si>
    <t>E-6206</t>
  </si>
  <si>
    <t>E-6207</t>
  </si>
  <si>
    <t>E-6208</t>
  </si>
  <si>
    <t>E-6209</t>
  </si>
  <si>
    <t>E-6210</t>
  </si>
  <si>
    <t>E-6211</t>
  </si>
  <si>
    <t>E-6212</t>
  </si>
  <si>
    <t>E-6213</t>
  </si>
  <si>
    <t>E-6214</t>
  </si>
  <si>
    <t>E-6215</t>
  </si>
  <si>
    <t>E-6216</t>
  </si>
  <si>
    <t>E-6217</t>
  </si>
  <si>
    <t>E-6218</t>
  </si>
  <si>
    <t>E-6219</t>
  </si>
  <si>
    <t>E-6220</t>
  </si>
  <si>
    <t>E-6221</t>
  </si>
  <si>
    <t>E-6222</t>
  </si>
  <si>
    <t>E-6223</t>
  </si>
  <si>
    <t>E-6224</t>
  </si>
  <si>
    <t>E-6225</t>
  </si>
  <si>
    <t>E-6226</t>
  </si>
  <si>
    <t>E-6227</t>
  </si>
  <si>
    <t>E-6228</t>
  </si>
  <si>
    <t>E-6229</t>
  </si>
  <si>
    <t>E-6230</t>
  </si>
  <si>
    <t>E-6231</t>
  </si>
  <si>
    <t>E-6232</t>
  </si>
  <si>
    <t>E-6233</t>
  </si>
  <si>
    <t>E-6234</t>
  </si>
  <si>
    <t>E-6235</t>
  </si>
  <si>
    <t>E-6236</t>
  </si>
  <si>
    <t>E-6237</t>
  </si>
  <si>
    <t>E-6238</t>
  </si>
  <si>
    <t>E-6239</t>
  </si>
  <si>
    <t>E-6240</t>
  </si>
  <si>
    <t>E-6241</t>
  </si>
  <si>
    <t>E-6242</t>
  </si>
  <si>
    <t>E-6243</t>
  </si>
  <si>
    <t>E-6244</t>
  </si>
  <si>
    <t>E-6245</t>
  </si>
  <si>
    <t>E-6246</t>
  </si>
  <si>
    <t>E-6247</t>
  </si>
  <si>
    <t>E-6248</t>
  </si>
  <si>
    <t>E-6249</t>
  </si>
  <si>
    <t>E-6250</t>
  </si>
  <si>
    <t>17-Oct-17--18-Oct-17</t>
  </si>
  <si>
    <t>E-6251</t>
  </si>
  <si>
    <t>E-6252</t>
  </si>
  <si>
    <t>E-6253</t>
  </si>
  <si>
    <t>E-6254</t>
  </si>
  <si>
    <t>E-6255</t>
  </si>
  <si>
    <t>E-6256</t>
  </si>
  <si>
    <t>E-6257</t>
  </si>
  <si>
    <t>E-6258</t>
  </si>
  <si>
    <t>E-6259</t>
  </si>
  <si>
    <t>E-6260</t>
  </si>
  <si>
    <t>E-6261</t>
  </si>
  <si>
    <t>E-6262</t>
  </si>
  <si>
    <t>E-6263</t>
  </si>
  <si>
    <t>E-6264</t>
  </si>
  <si>
    <t>E-6265</t>
  </si>
  <si>
    <t>E-6266</t>
  </si>
  <si>
    <t>E-6267</t>
  </si>
  <si>
    <t>E-6268</t>
  </si>
  <si>
    <t>E-6269</t>
  </si>
  <si>
    <t>E-6270</t>
  </si>
  <si>
    <t>E-6271</t>
  </si>
  <si>
    <t>E-6272</t>
  </si>
  <si>
    <t>E-6273</t>
  </si>
  <si>
    <t>E-6274</t>
  </si>
  <si>
    <t>E-6275</t>
  </si>
  <si>
    <t>E-6276</t>
  </si>
  <si>
    <t>E-6277</t>
  </si>
  <si>
    <t>E-6278</t>
  </si>
  <si>
    <t>E-6279</t>
  </si>
  <si>
    <t>E-6280</t>
  </si>
  <si>
    <t>E-6281</t>
  </si>
  <si>
    <t>E-6282</t>
  </si>
  <si>
    <t>E-6283</t>
  </si>
  <si>
    <t>E-6284</t>
  </si>
  <si>
    <t>E-6285</t>
  </si>
  <si>
    <t>E-6286</t>
  </si>
  <si>
    <t>E-6287</t>
  </si>
  <si>
    <t>E-6288</t>
  </si>
  <si>
    <t>E-6289</t>
  </si>
  <si>
    <t>E-6290</t>
  </si>
  <si>
    <t>E-6291</t>
  </si>
  <si>
    <t>E-6292</t>
  </si>
  <si>
    <t>E-6293</t>
  </si>
  <si>
    <t>E-6294</t>
  </si>
  <si>
    <t>E-6295</t>
  </si>
  <si>
    <t>E-6296</t>
  </si>
  <si>
    <t>E-6297</t>
  </si>
  <si>
    <t>E-6298</t>
  </si>
  <si>
    <t>E-6299</t>
  </si>
  <si>
    <t>E-6300</t>
  </si>
  <si>
    <t>14-Oct-17--24-Oct-17</t>
  </si>
  <si>
    <t>E-6301</t>
  </si>
  <si>
    <t>E-6302</t>
  </si>
  <si>
    <t>E-6303</t>
  </si>
  <si>
    <t>E-6304</t>
  </si>
  <si>
    <t>E-6305</t>
  </si>
  <si>
    <t>E-6306</t>
  </si>
  <si>
    <t>E-6307</t>
  </si>
  <si>
    <t>E-6308</t>
  </si>
  <si>
    <t>E-6309</t>
  </si>
  <si>
    <t>E-6310</t>
  </si>
  <si>
    <t>E-6311</t>
  </si>
  <si>
    <t>E-6312</t>
  </si>
  <si>
    <t>E-6313</t>
  </si>
  <si>
    <t>E-6314</t>
  </si>
  <si>
    <t>E-6315</t>
  </si>
  <si>
    <t>E-6316</t>
  </si>
  <si>
    <t>E-6317</t>
  </si>
  <si>
    <t>E-6318</t>
  </si>
  <si>
    <t>E-6319</t>
  </si>
  <si>
    <t>E-6320</t>
  </si>
  <si>
    <t>E-6321</t>
  </si>
  <si>
    <t>E-6322</t>
  </si>
  <si>
    <t>E-6323</t>
  </si>
  <si>
    <t>E-6324</t>
  </si>
  <si>
    <t>E-6325</t>
  </si>
  <si>
    <t>E-6326</t>
  </si>
  <si>
    <t>E-6327</t>
  </si>
  <si>
    <t>E-6328</t>
  </si>
  <si>
    <t>E-6329</t>
  </si>
  <si>
    <t>E-6330</t>
  </si>
  <si>
    <t>E-6331</t>
  </si>
  <si>
    <t>E-6332</t>
  </si>
  <si>
    <t>E-6333</t>
  </si>
  <si>
    <t>E-6334</t>
  </si>
  <si>
    <t>E-6335</t>
  </si>
  <si>
    <t>E-6336</t>
  </si>
  <si>
    <t>E-6337</t>
  </si>
  <si>
    <t>E-6338</t>
  </si>
  <si>
    <t>E-6339</t>
  </si>
  <si>
    <t>E-6340</t>
  </si>
  <si>
    <t>E-6341</t>
  </si>
  <si>
    <t>E-6342</t>
  </si>
  <si>
    <t>E-6343</t>
  </si>
  <si>
    <t>E-6344</t>
  </si>
  <si>
    <t>E-6345</t>
  </si>
  <si>
    <t>E-6346</t>
  </si>
  <si>
    <t>E-6347</t>
  </si>
  <si>
    <t>E-6348</t>
  </si>
  <si>
    <t>E-6349</t>
  </si>
  <si>
    <t>E-6350</t>
  </si>
  <si>
    <t>E-6351</t>
  </si>
  <si>
    <t>E-6352</t>
  </si>
  <si>
    <t>E-6353</t>
  </si>
  <si>
    <t>E-6354</t>
  </si>
  <si>
    <t>E-6355</t>
  </si>
  <si>
    <t>E-6356</t>
  </si>
  <si>
    <t>E-6357</t>
  </si>
  <si>
    <t>E-6358</t>
  </si>
  <si>
    <t>E-6359</t>
  </si>
  <si>
    <t>E-6360</t>
  </si>
  <si>
    <t>E-6361</t>
  </si>
  <si>
    <t>E-6362</t>
  </si>
  <si>
    <t>E-6363</t>
  </si>
  <si>
    <t>E-6364</t>
  </si>
  <si>
    <t>E-6365</t>
  </si>
  <si>
    <t>E-6366</t>
  </si>
  <si>
    <t>E-6367</t>
  </si>
  <si>
    <t>E-6368</t>
  </si>
  <si>
    <t>E-6369</t>
  </si>
  <si>
    <t>E-6370</t>
  </si>
  <si>
    <t>E-6371</t>
  </si>
  <si>
    <t>E-6372</t>
  </si>
  <si>
    <t>E-6373</t>
  </si>
  <si>
    <t>E-6374</t>
  </si>
  <si>
    <t>E-6375</t>
  </si>
  <si>
    <t>E-6376</t>
  </si>
  <si>
    <t>E-6377</t>
  </si>
  <si>
    <t>E-6378</t>
  </si>
  <si>
    <t>E-6379</t>
  </si>
  <si>
    <t>E-6380</t>
  </si>
  <si>
    <t>E-6381</t>
  </si>
  <si>
    <t>E-6382</t>
  </si>
  <si>
    <t>E-6383</t>
  </si>
  <si>
    <t>E-6384</t>
  </si>
  <si>
    <t>E-6385</t>
  </si>
  <si>
    <t>E-6386</t>
  </si>
  <si>
    <t>E-6387</t>
  </si>
  <si>
    <t>E-6388</t>
  </si>
  <si>
    <t>E-6389</t>
  </si>
  <si>
    <t>E-6390</t>
  </si>
  <si>
    <t>E-6391</t>
  </si>
  <si>
    <t>E-6392</t>
  </si>
  <si>
    <t>E-6393</t>
  </si>
  <si>
    <t>E-6394</t>
  </si>
  <si>
    <t>E-6395</t>
  </si>
  <si>
    <t>E-6396</t>
  </si>
  <si>
    <t>E-6397</t>
  </si>
  <si>
    <t>E-6398</t>
  </si>
  <si>
    <t>E-6399</t>
  </si>
  <si>
    <t>E-6400</t>
  </si>
  <si>
    <t>E-6401</t>
  </si>
  <si>
    <t>E-6402</t>
  </si>
  <si>
    <t>E-6403</t>
  </si>
  <si>
    <t>E-6404</t>
  </si>
  <si>
    <t>E-6405</t>
  </si>
  <si>
    <t>E-6406</t>
  </si>
  <si>
    <t>E-6407</t>
  </si>
  <si>
    <t>E-6408</t>
  </si>
  <si>
    <t>E-6409</t>
  </si>
  <si>
    <t>E-6410</t>
  </si>
  <si>
    <t>E-6411</t>
  </si>
  <si>
    <t>E-6412</t>
  </si>
  <si>
    <t>E-6413</t>
  </si>
  <si>
    <t>14-Oct-17--20-Oct-17</t>
  </si>
  <si>
    <t>E-6414</t>
  </si>
  <si>
    <t>E-6415</t>
  </si>
  <si>
    <t>E-6416</t>
  </si>
  <si>
    <t>E-6417</t>
  </si>
  <si>
    <t>E-6418</t>
  </si>
  <si>
    <t>E-6419</t>
  </si>
  <si>
    <t>E-6420</t>
  </si>
  <si>
    <t>E-6421</t>
  </si>
  <si>
    <t>E-6422</t>
  </si>
  <si>
    <t>E-6423</t>
  </si>
  <si>
    <t>E-6424</t>
  </si>
  <si>
    <t>E-6425</t>
  </si>
  <si>
    <t>E-6426</t>
  </si>
  <si>
    <t>E-6427</t>
  </si>
  <si>
    <t>E-6428</t>
  </si>
  <si>
    <t>E-6429</t>
  </si>
  <si>
    <t>E-6430</t>
  </si>
  <si>
    <t>E-6431</t>
  </si>
  <si>
    <t>E-6432</t>
  </si>
  <si>
    <t>E-6433</t>
  </si>
  <si>
    <t>E-6434</t>
  </si>
  <si>
    <t>15-Oct-17--16-Oct-17--18-Oct-17--20-Oct-17</t>
  </si>
  <si>
    <t>E-6435</t>
  </si>
  <si>
    <t>E-6436</t>
  </si>
  <si>
    <t>E-6437</t>
  </si>
  <si>
    <t>E-6438</t>
  </si>
  <si>
    <t>E-6439</t>
  </si>
  <si>
    <t>E-6440</t>
  </si>
  <si>
    <t>E-6441</t>
  </si>
  <si>
    <t>E-6442</t>
  </si>
  <si>
    <t>E-6443</t>
  </si>
  <si>
    <t>E-6444</t>
  </si>
  <si>
    <t>E-6445</t>
  </si>
  <si>
    <t>E-6446</t>
  </si>
  <si>
    <t>E-6447</t>
  </si>
  <si>
    <t>E-6448</t>
  </si>
  <si>
    <t>E-6449</t>
  </si>
  <si>
    <t>E-6450</t>
  </si>
  <si>
    <t>E-6451</t>
  </si>
  <si>
    <t>E-6452</t>
  </si>
  <si>
    <t>E-6453</t>
  </si>
  <si>
    <t>E-6454</t>
  </si>
  <si>
    <t>E-6455</t>
  </si>
  <si>
    <t>E-6456</t>
  </si>
  <si>
    <t>E-6457</t>
  </si>
  <si>
    <t>E-6458</t>
  </si>
  <si>
    <t>E-6459</t>
  </si>
  <si>
    <t>E-6460</t>
  </si>
  <si>
    <t>E-6461</t>
  </si>
  <si>
    <t>E-6462</t>
  </si>
  <si>
    <t>E-6463</t>
  </si>
  <si>
    <t>E-6464</t>
  </si>
  <si>
    <t>E-6465</t>
  </si>
  <si>
    <t>E-6466</t>
  </si>
  <si>
    <t>E-6467</t>
  </si>
  <si>
    <t>E-6468</t>
  </si>
  <si>
    <t>E-6469</t>
  </si>
  <si>
    <t>E-6470</t>
  </si>
  <si>
    <t>E-6471</t>
  </si>
  <si>
    <t>E-6472</t>
  </si>
  <si>
    <t>E-6473</t>
  </si>
  <si>
    <t>E-6474</t>
  </si>
  <si>
    <t>E-6475</t>
  </si>
  <si>
    <t>E-6476</t>
  </si>
  <si>
    <t>E-6477</t>
  </si>
  <si>
    <t>E-6478</t>
  </si>
  <si>
    <t>E-6479</t>
  </si>
  <si>
    <t>E-6480</t>
  </si>
  <si>
    <t>E-6481</t>
  </si>
  <si>
    <t>E-6482</t>
  </si>
  <si>
    <t>E-6483</t>
  </si>
  <si>
    <t>E-6484</t>
  </si>
  <si>
    <t>E-6485</t>
  </si>
  <si>
    <t>E-6486</t>
  </si>
  <si>
    <t>E-6487</t>
  </si>
  <si>
    <t>E-6488</t>
  </si>
  <si>
    <t>E-6489</t>
  </si>
  <si>
    <t>E-6490</t>
  </si>
  <si>
    <t>E-6491</t>
  </si>
  <si>
    <t>E-6492</t>
  </si>
  <si>
    <t>(39)NOE MADRID</t>
  </si>
  <si>
    <t>E-6493</t>
  </si>
  <si>
    <t>E-6494</t>
  </si>
  <si>
    <t>E-6495</t>
  </si>
  <si>
    <t>E-6496</t>
  </si>
  <si>
    <t>E-6497</t>
  </si>
  <si>
    <t>E-6498</t>
  </si>
  <si>
    <t>E-6499</t>
  </si>
  <si>
    <t>E-6500</t>
  </si>
  <si>
    <t>E-6501</t>
  </si>
  <si>
    <t>E-6502</t>
  </si>
  <si>
    <t>E-6503</t>
  </si>
  <si>
    <t>E-6504</t>
  </si>
  <si>
    <t>E-6505</t>
  </si>
  <si>
    <t>E-6506</t>
  </si>
  <si>
    <t>E-6507</t>
  </si>
  <si>
    <t>E-6508</t>
  </si>
  <si>
    <t>E-6509</t>
  </si>
  <si>
    <t>E-6510</t>
  </si>
  <si>
    <t>E-6511</t>
  </si>
  <si>
    <t>E-6512</t>
  </si>
  <si>
    <t>E-6513</t>
  </si>
  <si>
    <t>E-6514</t>
  </si>
  <si>
    <t>E-6515</t>
  </si>
  <si>
    <t>E-6516</t>
  </si>
  <si>
    <t>E-6517</t>
  </si>
  <si>
    <t>E-6518</t>
  </si>
  <si>
    <t>E-6519</t>
  </si>
  <si>
    <t>E-6520</t>
  </si>
  <si>
    <t>E-6521</t>
  </si>
  <si>
    <t>E-6522</t>
  </si>
  <si>
    <t>E-6523</t>
  </si>
  <si>
    <t>E-6524</t>
  </si>
  <si>
    <t>E-6525</t>
  </si>
  <si>
    <t>E-6526</t>
  </si>
  <si>
    <t>E-6527</t>
  </si>
  <si>
    <t>E-6528</t>
  </si>
  <si>
    <t>E-6529</t>
  </si>
  <si>
    <t>E-6530</t>
  </si>
  <si>
    <t>E-6531</t>
  </si>
  <si>
    <t>E-6532</t>
  </si>
  <si>
    <t>E-6533</t>
  </si>
  <si>
    <t>E-6534</t>
  </si>
  <si>
    <t>E-6535</t>
  </si>
  <si>
    <t>E-6536</t>
  </si>
  <si>
    <t>E-6537</t>
  </si>
  <si>
    <t>E-6538</t>
  </si>
  <si>
    <t>E-6539</t>
  </si>
  <si>
    <t>E-6540</t>
  </si>
  <si>
    <t>E-6541</t>
  </si>
  <si>
    <t>E-6542</t>
  </si>
  <si>
    <t>E-6543</t>
  </si>
  <si>
    <t>E-6544</t>
  </si>
  <si>
    <t>E-6545</t>
  </si>
  <si>
    <t>E-6546</t>
  </si>
  <si>
    <t>E-6547</t>
  </si>
  <si>
    <t>E-6548</t>
  </si>
  <si>
    <t>E-6549</t>
  </si>
  <si>
    <t>E-6550</t>
  </si>
  <si>
    <t>E-6551</t>
  </si>
  <si>
    <t>E-6552</t>
  </si>
  <si>
    <t>E-6553</t>
  </si>
  <si>
    <t>E-6554</t>
  </si>
  <si>
    <t>E-6555</t>
  </si>
  <si>
    <t>E-6556</t>
  </si>
  <si>
    <t>E-6557</t>
  </si>
  <si>
    <t>E-6558</t>
  </si>
  <si>
    <t>E-6559</t>
  </si>
  <si>
    <t>E-6560</t>
  </si>
  <si>
    <t>E-6561</t>
  </si>
  <si>
    <t>E-6562</t>
  </si>
  <si>
    <t>E-6563</t>
  </si>
  <si>
    <t>E-6564</t>
  </si>
  <si>
    <t>E-6565</t>
  </si>
  <si>
    <t>E-6566</t>
  </si>
  <si>
    <t>E-6567</t>
  </si>
  <si>
    <t>E-6568</t>
  </si>
  <si>
    <t>E-6569</t>
  </si>
  <si>
    <t>E-6570</t>
  </si>
  <si>
    <t>E-6571</t>
  </si>
  <si>
    <t>E-6572</t>
  </si>
  <si>
    <t>E-6573</t>
  </si>
  <si>
    <t>E-6574</t>
  </si>
  <si>
    <t>E-6575</t>
  </si>
  <si>
    <t>E-6576</t>
  </si>
  <si>
    <t>E-6577</t>
  </si>
  <si>
    <t>E-6578</t>
  </si>
  <si>
    <t>E-6579</t>
  </si>
  <si>
    <t>E-6580</t>
  </si>
  <si>
    <t>E-6581</t>
  </si>
  <si>
    <t>E-6582</t>
  </si>
  <si>
    <t>E-6583</t>
  </si>
  <si>
    <t>E-6584</t>
  </si>
  <si>
    <t>E-6585</t>
  </si>
  <si>
    <t>E-6586</t>
  </si>
  <si>
    <t>E-6587</t>
  </si>
  <si>
    <t>E-6588</t>
  </si>
  <si>
    <t>E-6589</t>
  </si>
  <si>
    <t>E-6590</t>
  </si>
  <si>
    <t>E-6591</t>
  </si>
  <si>
    <t>E-6592</t>
  </si>
  <si>
    <t>E-6593</t>
  </si>
  <si>
    <t>E-6594</t>
  </si>
  <si>
    <t>E-6595</t>
  </si>
  <si>
    <t>E-6596</t>
  </si>
  <si>
    <t>19-Oct-17--21-Oct-17</t>
  </si>
  <si>
    <t>E-6597</t>
  </si>
  <si>
    <t>E-6598</t>
  </si>
  <si>
    <t>E-6599</t>
  </si>
  <si>
    <t>E-6600</t>
  </si>
  <si>
    <t>E-6601</t>
  </si>
  <si>
    <t>E-6602</t>
  </si>
  <si>
    <t>E-6603</t>
  </si>
  <si>
    <t>E-6604</t>
  </si>
  <si>
    <t>E-6605</t>
  </si>
  <si>
    <t>E-6606</t>
  </si>
  <si>
    <t>E-6607</t>
  </si>
  <si>
    <t>E-6608</t>
  </si>
  <si>
    <t>E-6609</t>
  </si>
  <si>
    <t>E-6610</t>
  </si>
  <si>
    <t>E-6611</t>
  </si>
  <si>
    <t>E-6612</t>
  </si>
  <si>
    <t>E-6613</t>
  </si>
  <si>
    <t>E-6614</t>
  </si>
  <si>
    <t>E-6615</t>
  </si>
  <si>
    <t>E-6616</t>
  </si>
  <si>
    <t>E-6617</t>
  </si>
  <si>
    <t>E-6618</t>
  </si>
  <si>
    <t>E-6619</t>
  </si>
  <si>
    <t>E-6620</t>
  </si>
  <si>
    <t>E-6621</t>
  </si>
  <si>
    <t>E-6622</t>
  </si>
  <si>
    <t>E-6623</t>
  </si>
  <si>
    <t>E-6624</t>
  </si>
  <si>
    <t>E-6625</t>
  </si>
  <si>
    <t>E-6626</t>
  </si>
  <si>
    <t>E-6627</t>
  </si>
  <si>
    <t>E-6628</t>
  </si>
  <si>
    <t>E-6629</t>
  </si>
  <si>
    <t>18-Oct-17--23-Oct-17</t>
  </si>
  <si>
    <t>E-6630</t>
  </si>
  <si>
    <t>E-6631</t>
  </si>
  <si>
    <t>E-6632</t>
  </si>
  <si>
    <t>E-6633</t>
  </si>
  <si>
    <t>E-6634</t>
  </si>
  <si>
    <t>E-6635</t>
  </si>
  <si>
    <t>E-6636</t>
  </si>
  <si>
    <t>E-6637</t>
  </si>
  <si>
    <t>E-6638</t>
  </si>
  <si>
    <t>E-6639</t>
  </si>
  <si>
    <t>E-6640</t>
  </si>
  <si>
    <t>E-6641</t>
  </si>
  <si>
    <t>E-6642</t>
  </si>
  <si>
    <t>E-6643</t>
  </si>
  <si>
    <t>E-6644</t>
  </si>
  <si>
    <t>E-6645</t>
  </si>
  <si>
    <t>E-6646</t>
  </si>
  <si>
    <t>E-6647</t>
  </si>
  <si>
    <t>E-6648</t>
  </si>
  <si>
    <t>E-6649</t>
  </si>
  <si>
    <t>E-6650</t>
  </si>
  <si>
    <t>E-6651</t>
  </si>
  <si>
    <t>E-6652</t>
  </si>
  <si>
    <t>E-6653</t>
  </si>
  <si>
    <t>E-6654</t>
  </si>
  <si>
    <t>E-6655</t>
  </si>
  <si>
    <t>E-6656</t>
  </si>
  <si>
    <t>E-6657</t>
  </si>
  <si>
    <t>E-6658</t>
  </si>
  <si>
    <t>E-6659</t>
  </si>
  <si>
    <t>E-6660</t>
  </si>
  <si>
    <t>E-6661</t>
  </si>
  <si>
    <t>E-6662</t>
  </si>
  <si>
    <t>E-6663</t>
  </si>
  <si>
    <t>E-6664</t>
  </si>
  <si>
    <t>E-6665</t>
  </si>
  <si>
    <t>E-6666</t>
  </si>
  <si>
    <t>E-6667</t>
  </si>
  <si>
    <t>E-6668</t>
  </si>
  <si>
    <t>E-6669</t>
  </si>
  <si>
    <t>E-6670</t>
  </si>
  <si>
    <t>E-6671</t>
  </si>
  <si>
    <t>E-6672</t>
  </si>
  <si>
    <t>E-6673</t>
  </si>
  <si>
    <t>E-6674</t>
  </si>
  <si>
    <t>E-6675</t>
  </si>
  <si>
    <t>E-6676</t>
  </si>
  <si>
    <t>19-Oct-17--20-Oct-17</t>
  </si>
  <si>
    <t>E-6677</t>
  </si>
  <si>
    <t>E-6678</t>
  </si>
  <si>
    <t>E-6679</t>
  </si>
  <si>
    <t>E-6680</t>
  </si>
  <si>
    <t>E-6681</t>
  </si>
  <si>
    <t>18-Oct-17--19-Oct-17</t>
  </si>
  <si>
    <t>E-6682</t>
  </si>
  <si>
    <t>E-6683</t>
  </si>
  <si>
    <t>E-6684</t>
  </si>
  <si>
    <t>E-6685</t>
  </si>
  <si>
    <t>E-6686</t>
  </si>
  <si>
    <t>E-6687</t>
  </si>
  <si>
    <t>E-6688</t>
  </si>
  <si>
    <t>E-6689</t>
  </si>
  <si>
    <t>E-6690</t>
  </si>
  <si>
    <t>E-6691</t>
  </si>
  <si>
    <t>E-6692</t>
  </si>
  <si>
    <t>E-6693</t>
  </si>
  <si>
    <t>E-6694</t>
  </si>
  <si>
    <t>E-6695</t>
  </si>
  <si>
    <t>E-6696</t>
  </si>
  <si>
    <t>E-6697</t>
  </si>
  <si>
    <t>E-6698</t>
  </si>
  <si>
    <t>E-6699</t>
  </si>
  <si>
    <t>E-6700</t>
  </si>
  <si>
    <t>E-6701</t>
  </si>
  <si>
    <t>E-6702</t>
  </si>
  <si>
    <t>E-6703</t>
  </si>
  <si>
    <t>E-6704</t>
  </si>
  <si>
    <t>E-6705</t>
  </si>
  <si>
    <t>E-6706</t>
  </si>
  <si>
    <t>E-6707</t>
  </si>
  <si>
    <t>E-6708</t>
  </si>
  <si>
    <t>E-6709</t>
  </si>
  <si>
    <t>E-6710</t>
  </si>
  <si>
    <t>E-6711</t>
  </si>
  <si>
    <t>E-6712</t>
  </si>
  <si>
    <t>E-6713</t>
  </si>
  <si>
    <t>E-6714</t>
  </si>
  <si>
    <t>E-6715</t>
  </si>
  <si>
    <t>E-6716</t>
  </si>
  <si>
    <t>E-6717</t>
  </si>
  <si>
    <t>E-6718</t>
  </si>
  <si>
    <t>E-6719</t>
  </si>
  <si>
    <t>E-6720</t>
  </si>
  <si>
    <t>E-6721</t>
  </si>
  <si>
    <t>E-6722</t>
  </si>
  <si>
    <t>E-6723</t>
  </si>
  <si>
    <t>E-6724</t>
  </si>
  <si>
    <t>E-6725</t>
  </si>
  <si>
    <t>E-6726</t>
  </si>
  <si>
    <t>E-6727</t>
  </si>
  <si>
    <t>E-6728</t>
  </si>
  <si>
    <t>E-6729</t>
  </si>
  <si>
    <t>E-6730</t>
  </si>
  <si>
    <t>E-6731</t>
  </si>
  <si>
    <t>E-6732</t>
  </si>
  <si>
    <t>E-6733</t>
  </si>
  <si>
    <t>E-6734</t>
  </si>
  <si>
    <t>E-6735</t>
  </si>
  <si>
    <t>E-6736</t>
  </si>
  <si>
    <t>E-6737</t>
  </si>
  <si>
    <t>E-6738</t>
  </si>
  <si>
    <t>E-6739</t>
  </si>
  <si>
    <t>E-6740</t>
  </si>
  <si>
    <t>E-6741</t>
  </si>
  <si>
    <t>E-6742</t>
  </si>
  <si>
    <t>E-6743</t>
  </si>
  <si>
    <t>E-6744</t>
  </si>
  <si>
    <t>E-6745</t>
  </si>
  <si>
    <t>E-6746</t>
  </si>
  <si>
    <t>E-6747</t>
  </si>
  <si>
    <t>E-6748</t>
  </si>
  <si>
    <t>E-6749</t>
  </si>
  <si>
    <t>E-6750</t>
  </si>
  <si>
    <t>E-6751</t>
  </si>
  <si>
    <t>E-6752</t>
  </si>
  <si>
    <t>E-6753</t>
  </si>
  <si>
    <t>E-6754</t>
  </si>
  <si>
    <t>E-6755</t>
  </si>
  <si>
    <t>E-6756</t>
  </si>
  <si>
    <t>(573)NOE MASIAS</t>
  </si>
  <si>
    <t>E-6757</t>
  </si>
  <si>
    <t>E-6758</t>
  </si>
  <si>
    <t>E-6759</t>
  </si>
  <si>
    <t>E-6760</t>
  </si>
  <si>
    <t>E-6761</t>
  </si>
  <si>
    <t>E-6762</t>
  </si>
  <si>
    <t>19-Oct-17--30-Oct-17</t>
  </si>
  <si>
    <t>E-6763</t>
  </si>
  <si>
    <t>E-6764</t>
  </si>
  <si>
    <t>E-6765</t>
  </si>
  <si>
    <t>E-6766</t>
  </si>
  <si>
    <t>E-6767</t>
  </si>
  <si>
    <t>E-6768</t>
  </si>
  <si>
    <t>E-6769</t>
  </si>
  <si>
    <t>E-6770</t>
  </si>
  <si>
    <t>E-6771</t>
  </si>
  <si>
    <t>E-6772</t>
  </si>
  <si>
    <t>E-6773</t>
  </si>
  <si>
    <t>E-6774</t>
  </si>
  <si>
    <t>E-6775</t>
  </si>
  <si>
    <t>E-6776</t>
  </si>
  <si>
    <t>E-6777</t>
  </si>
  <si>
    <t>E-6778</t>
  </si>
  <si>
    <t>E-6779</t>
  </si>
  <si>
    <t>E-6780</t>
  </si>
  <si>
    <t>E-6781</t>
  </si>
  <si>
    <t>E-6782</t>
  </si>
  <si>
    <t>E-6783</t>
  </si>
  <si>
    <t>E-6784</t>
  </si>
  <si>
    <t>E-6785</t>
  </si>
  <si>
    <t>E-6786</t>
  </si>
  <si>
    <t>E-6787</t>
  </si>
  <si>
    <t>E-6788</t>
  </si>
  <si>
    <t>E-6789</t>
  </si>
  <si>
    <t>E-6790</t>
  </si>
  <si>
    <t>E-6791</t>
  </si>
  <si>
    <t>E-6792</t>
  </si>
  <si>
    <t>E-6793</t>
  </si>
  <si>
    <t>E-6794</t>
  </si>
  <si>
    <t>E-6795</t>
  </si>
  <si>
    <t>E-6796</t>
  </si>
  <si>
    <t>E-6797</t>
  </si>
  <si>
    <t>E-6798</t>
  </si>
  <si>
    <t>E-6799</t>
  </si>
  <si>
    <t>E-6800</t>
  </si>
  <si>
    <t>E-6801</t>
  </si>
  <si>
    <t>E-6802</t>
  </si>
  <si>
    <t>E-6803</t>
  </si>
  <si>
    <t>E-6804</t>
  </si>
  <si>
    <t>E-6805</t>
  </si>
  <si>
    <t>E-6806</t>
  </si>
  <si>
    <t>E-6807</t>
  </si>
  <si>
    <t>E-6808</t>
  </si>
  <si>
    <t>E-6809</t>
  </si>
  <si>
    <t>E-6810</t>
  </si>
  <si>
    <t>E-6811</t>
  </si>
  <si>
    <t>E-6812</t>
  </si>
  <si>
    <t>E-6813</t>
  </si>
  <si>
    <t>E-6814</t>
  </si>
  <si>
    <t>E-6815</t>
  </si>
  <si>
    <t>E-6816</t>
  </si>
  <si>
    <t>E-6817</t>
  </si>
  <si>
    <t>E-6818</t>
  </si>
  <si>
    <t>E-6819</t>
  </si>
  <si>
    <t>E-6820</t>
  </si>
  <si>
    <t>E-6821</t>
  </si>
  <si>
    <t>E-6822</t>
  </si>
  <si>
    <t>E-6823</t>
  </si>
  <si>
    <t>E-6824</t>
  </si>
  <si>
    <t>E-6825</t>
  </si>
  <si>
    <t>E-6826</t>
  </si>
  <si>
    <t>E-6827</t>
  </si>
  <si>
    <t>E-6828</t>
  </si>
  <si>
    <t>E-6829</t>
  </si>
  <si>
    <t>E-6830</t>
  </si>
  <si>
    <t>E-6831</t>
  </si>
  <si>
    <t>E-6832</t>
  </si>
  <si>
    <t>E-6833</t>
  </si>
  <si>
    <t>E-6834</t>
  </si>
  <si>
    <t>E-6835</t>
  </si>
  <si>
    <t>E-6836</t>
  </si>
  <si>
    <t>E-6837</t>
  </si>
  <si>
    <t>E-6838</t>
  </si>
  <si>
    <t>E-6839</t>
  </si>
  <si>
    <t>E-6840</t>
  </si>
  <si>
    <t>E-6841</t>
  </si>
  <si>
    <t>E-6842</t>
  </si>
  <si>
    <t>E-6843</t>
  </si>
  <si>
    <t>E-6844</t>
  </si>
  <si>
    <t>E-6845</t>
  </si>
  <si>
    <t>E-6846</t>
  </si>
  <si>
    <t>E-6847</t>
  </si>
  <si>
    <t>E-6848</t>
  </si>
  <si>
    <t>E-6849</t>
  </si>
  <si>
    <t>E-6850</t>
  </si>
  <si>
    <t>E-6851</t>
  </si>
  <si>
    <t>E-6852</t>
  </si>
  <si>
    <t>E-6853</t>
  </si>
  <si>
    <t>E-6854</t>
  </si>
  <si>
    <t>21-Oct-17--24-Oct-17</t>
  </si>
  <si>
    <t>E-6855</t>
  </si>
  <si>
    <t>E-6856</t>
  </si>
  <si>
    <t>E-6857</t>
  </si>
  <si>
    <t>E-6858</t>
  </si>
  <si>
    <t>E-6859</t>
  </si>
  <si>
    <t>E-6860</t>
  </si>
  <si>
    <t>E-6861</t>
  </si>
  <si>
    <t>E-6862</t>
  </si>
  <si>
    <t>E-6863</t>
  </si>
  <si>
    <t>E-6864</t>
  </si>
  <si>
    <t>E-6865</t>
  </si>
  <si>
    <t>E-6866</t>
  </si>
  <si>
    <t>E-6867</t>
  </si>
  <si>
    <t>E-6868</t>
  </si>
  <si>
    <t>E-6869</t>
  </si>
  <si>
    <t>E-6870</t>
  </si>
  <si>
    <t>E-6871</t>
  </si>
  <si>
    <t>E-6872</t>
  </si>
  <si>
    <t>E-6873</t>
  </si>
  <si>
    <t>E-6874</t>
  </si>
  <si>
    <t>E-6875</t>
  </si>
  <si>
    <t>E-6876</t>
  </si>
  <si>
    <t>E-6877</t>
  </si>
  <si>
    <t>E-6878</t>
  </si>
  <si>
    <t>E-6879</t>
  </si>
  <si>
    <t>E-6880</t>
  </si>
  <si>
    <t>E-6881</t>
  </si>
  <si>
    <t>E-6882</t>
  </si>
  <si>
    <t>E-6883</t>
  </si>
  <si>
    <t>E-6884</t>
  </si>
  <si>
    <t>E-6885</t>
  </si>
  <si>
    <t>E-6886</t>
  </si>
  <si>
    <t>E-6887</t>
  </si>
  <si>
    <t>E-6888</t>
  </si>
  <si>
    <t>E-6889</t>
  </si>
  <si>
    <t>E-6890</t>
  </si>
  <si>
    <t>E-6891</t>
  </si>
  <si>
    <t>E-6892</t>
  </si>
  <si>
    <t>E-6893</t>
  </si>
  <si>
    <t>E-6894</t>
  </si>
  <si>
    <t>E-6895</t>
  </si>
  <si>
    <t>E-6896</t>
  </si>
  <si>
    <t>E-6897</t>
  </si>
  <si>
    <t>E-6898</t>
  </si>
  <si>
    <t>E-6899</t>
  </si>
  <si>
    <t>E-6900</t>
  </si>
  <si>
    <t>E-6901</t>
  </si>
  <si>
    <t>E-6902</t>
  </si>
  <si>
    <t>E-6903</t>
  </si>
  <si>
    <t>E-6904</t>
  </si>
  <si>
    <t>E-6905</t>
  </si>
  <si>
    <t>E-6906</t>
  </si>
  <si>
    <t>E-6907</t>
  </si>
  <si>
    <t>E-6908</t>
  </si>
  <si>
    <t>E-6909</t>
  </si>
  <si>
    <t>E-6910</t>
  </si>
  <si>
    <t>E-6911</t>
  </si>
  <si>
    <t>E-6912</t>
  </si>
  <si>
    <t>E-6913</t>
  </si>
  <si>
    <t>E-6914</t>
  </si>
  <si>
    <t>E-6915</t>
  </si>
  <si>
    <t>E-6916</t>
  </si>
  <si>
    <t>E-6917</t>
  </si>
  <si>
    <t>E-6918</t>
  </si>
  <si>
    <t>E-6919</t>
  </si>
  <si>
    <t>E-6920</t>
  </si>
  <si>
    <t>E-6921</t>
  </si>
  <si>
    <t>E-6922</t>
  </si>
  <si>
    <t>E-6923</t>
  </si>
  <si>
    <t>E-6924</t>
  </si>
  <si>
    <t>E-6925</t>
  </si>
  <si>
    <t>E-6926</t>
  </si>
  <si>
    <t>E-6927</t>
  </si>
  <si>
    <t>E-6928</t>
  </si>
  <si>
    <t>E-6929</t>
  </si>
  <si>
    <t>E-6930</t>
  </si>
  <si>
    <t>E-6931</t>
  </si>
  <si>
    <t>E-6932</t>
  </si>
  <si>
    <t>E-6933</t>
  </si>
  <si>
    <t>E-6934</t>
  </si>
  <si>
    <t>E-6935</t>
  </si>
  <si>
    <t>E-6936</t>
  </si>
  <si>
    <t>(207)ROLANDO 14 SUR</t>
  </si>
  <si>
    <t>E-6937</t>
  </si>
  <si>
    <t>E-6938</t>
  </si>
  <si>
    <t>E-6939</t>
  </si>
  <si>
    <t>E-6940</t>
  </si>
  <si>
    <t>E-6941</t>
  </si>
  <si>
    <t>E-6942</t>
  </si>
  <si>
    <t>E-6943</t>
  </si>
  <si>
    <t>E-6944</t>
  </si>
  <si>
    <t>E-6945</t>
  </si>
  <si>
    <t>E-6946</t>
  </si>
  <si>
    <t>E-6947</t>
  </si>
  <si>
    <t>E-6948</t>
  </si>
  <si>
    <t>E-6949</t>
  </si>
  <si>
    <t>E-6950</t>
  </si>
  <si>
    <t>E-6951</t>
  </si>
  <si>
    <t>20-Oct-17--21-Oct-17</t>
  </si>
  <si>
    <t>E-6952</t>
  </si>
  <si>
    <t>E-6953</t>
  </si>
  <si>
    <t>E-6954</t>
  </si>
  <si>
    <t>E-6955</t>
  </si>
  <si>
    <t>E-6956</t>
  </si>
  <si>
    <t>E-6957</t>
  </si>
  <si>
    <t>E-6958</t>
  </si>
  <si>
    <t>E-6959</t>
  </si>
  <si>
    <t>E-6960</t>
  </si>
  <si>
    <t>E-6961</t>
  </si>
  <si>
    <t>E-6962</t>
  </si>
  <si>
    <t>E-6963</t>
  </si>
  <si>
    <t>E-6964</t>
  </si>
  <si>
    <t>E-6965</t>
  </si>
  <si>
    <t>E-6966</t>
  </si>
  <si>
    <t>E-6967</t>
  </si>
  <si>
    <t>E-6968</t>
  </si>
  <si>
    <t>E-6969</t>
  </si>
  <si>
    <t>E-6970</t>
  </si>
  <si>
    <t>E-6971</t>
  </si>
  <si>
    <t>E-6972</t>
  </si>
  <si>
    <t>E-6973</t>
  </si>
  <si>
    <t>19-Oct-17--23-Oct-17</t>
  </si>
  <si>
    <t>E-6974</t>
  </si>
  <si>
    <t>E-6975</t>
  </si>
  <si>
    <t>E-6976</t>
  </si>
  <si>
    <t>E-6977</t>
  </si>
  <si>
    <t>E-6978</t>
  </si>
  <si>
    <t>E-6979</t>
  </si>
  <si>
    <t>E-6980</t>
  </si>
  <si>
    <t>E-6981</t>
  </si>
  <si>
    <t>E-6982</t>
  </si>
  <si>
    <t>E-6983</t>
  </si>
  <si>
    <t>E-6984</t>
  </si>
  <si>
    <t>E-6985</t>
  </si>
  <si>
    <t>E-6986</t>
  </si>
  <si>
    <t>E-6987</t>
  </si>
  <si>
    <t>E-6988</t>
  </si>
  <si>
    <t>E-6989</t>
  </si>
  <si>
    <t>E-6990</t>
  </si>
  <si>
    <t>E-6991</t>
  </si>
  <si>
    <t>E-6992</t>
  </si>
  <si>
    <t>E-6993</t>
  </si>
  <si>
    <t>E-6994</t>
  </si>
  <si>
    <t>E-6995</t>
  </si>
  <si>
    <t>E-6996</t>
  </si>
  <si>
    <t>E-6997</t>
  </si>
  <si>
    <t>E-6998</t>
  </si>
  <si>
    <t>E-6999</t>
  </si>
  <si>
    <t>E-7000</t>
  </si>
  <si>
    <t>E-7001</t>
  </si>
  <si>
    <t>E-7002</t>
  </si>
  <si>
    <t>E-7003</t>
  </si>
  <si>
    <t>E-7004</t>
  </si>
  <si>
    <t>E-7005</t>
  </si>
  <si>
    <t>E-7006</t>
  </si>
  <si>
    <t>E-7007</t>
  </si>
  <si>
    <t>E-7008</t>
  </si>
  <si>
    <t>E-7009</t>
  </si>
  <si>
    <t>E-7010</t>
  </si>
  <si>
    <t>E-7011</t>
  </si>
  <si>
    <t>E-7012</t>
  </si>
  <si>
    <t>E-7013</t>
  </si>
  <si>
    <t>E-7014</t>
  </si>
  <si>
    <t>E-7015</t>
  </si>
  <si>
    <t>E-7016</t>
  </si>
  <si>
    <t>E-7017</t>
  </si>
  <si>
    <t>E-7018</t>
  </si>
  <si>
    <t>E-7019</t>
  </si>
  <si>
    <t>E-7020</t>
  </si>
  <si>
    <t>E-7021</t>
  </si>
  <si>
    <t>E-7022</t>
  </si>
  <si>
    <t>E-7023</t>
  </si>
  <si>
    <t>E-7024</t>
  </si>
  <si>
    <t>E-7025</t>
  </si>
  <si>
    <t>E-7026</t>
  </si>
  <si>
    <t>E-7027</t>
  </si>
  <si>
    <t>E-7028</t>
  </si>
  <si>
    <t>E-7029</t>
  </si>
  <si>
    <t>E-7030</t>
  </si>
  <si>
    <t>E-7031</t>
  </si>
  <si>
    <t>E-7032</t>
  </si>
  <si>
    <t>E-7033</t>
  </si>
  <si>
    <t>E-7034</t>
  </si>
  <si>
    <t>E-7035</t>
  </si>
  <si>
    <t>23-Oct-17--24-Oct-17</t>
  </si>
  <si>
    <t>E-7036</t>
  </si>
  <si>
    <t>E-7037</t>
  </si>
  <si>
    <t>E-7038</t>
  </si>
  <si>
    <t>E-7039</t>
  </si>
  <si>
    <t>E-7040</t>
  </si>
  <si>
    <t>E-7041</t>
  </si>
  <si>
    <t>E-7042</t>
  </si>
  <si>
    <t>E-7043</t>
  </si>
  <si>
    <t>E-7044</t>
  </si>
  <si>
    <t>E-7045</t>
  </si>
  <si>
    <t>E-7046</t>
  </si>
  <si>
    <t>E-7047</t>
  </si>
  <si>
    <t>E-7048</t>
  </si>
  <si>
    <t>E-7049</t>
  </si>
  <si>
    <t>E-7050</t>
  </si>
  <si>
    <t>E-7051</t>
  </si>
  <si>
    <t>E-7052</t>
  </si>
  <si>
    <t>E-7053</t>
  </si>
  <si>
    <t>E-7054</t>
  </si>
  <si>
    <t>E-7055</t>
  </si>
  <si>
    <t>E-7056</t>
  </si>
  <si>
    <t>E-7057</t>
  </si>
  <si>
    <t>E-7058</t>
  </si>
  <si>
    <t>E-7059</t>
  </si>
  <si>
    <t>E-7060</t>
  </si>
  <si>
    <t>E-7061</t>
  </si>
  <si>
    <t>E-7062</t>
  </si>
  <si>
    <t>E-7063</t>
  </si>
  <si>
    <t>E-7064</t>
  </si>
  <si>
    <t>E-7065</t>
  </si>
  <si>
    <t>E-7066</t>
  </si>
  <si>
    <t>E-7067</t>
  </si>
  <si>
    <t>E-7068</t>
  </si>
  <si>
    <t>E-7069</t>
  </si>
  <si>
    <t>E-7070</t>
  </si>
  <si>
    <t>E-7071</t>
  </si>
  <si>
    <t>E-7072</t>
  </si>
  <si>
    <t>E-7073</t>
  </si>
  <si>
    <t>E-7074</t>
  </si>
  <si>
    <t>E-7075</t>
  </si>
  <si>
    <t>E-7076</t>
  </si>
  <si>
    <t>E-7077</t>
  </si>
  <si>
    <t>E-7078</t>
  </si>
  <si>
    <t>E-7079</t>
  </si>
  <si>
    <t>24-Oct-7--25-Oct-17</t>
  </si>
  <si>
    <t>E-7080</t>
  </si>
  <si>
    <t>E-7081</t>
  </si>
  <si>
    <t>E-7082</t>
  </si>
  <si>
    <t>E-7083</t>
  </si>
  <si>
    <t>24-Oct-17--26-Oct-17</t>
  </si>
  <si>
    <t>E-7084</t>
  </si>
  <si>
    <t>E-7085</t>
  </si>
  <si>
    <t>E-7086</t>
  </si>
  <si>
    <t>E-7087</t>
  </si>
  <si>
    <t>E-7088</t>
  </si>
  <si>
    <t>E-7089</t>
  </si>
  <si>
    <t>E-7090</t>
  </si>
  <si>
    <t>E-7091</t>
  </si>
  <si>
    <t>E-7092</t>
  </si>
  <si>
    <t>E-7093</t>
  </si>
  <si>
    <t>E-7094</t>
  </si>
  <si>
    <t>E-7095</t>
  </si>
  <si>
    <t>E-7096</t>
  </si>
  <si>
    <t>E-7097</t>
  </si>
  <si>
    <t>E-7098</t>
  </si>
  <si>
    <t>20-Oct-17--21-Oct-17--22-Oct-17----23-Oct-17</t>
  </si>
  <si>
    <t>E-7099</t>
  </si>
  <si>
    <t>E-7100</t>
  </si>
  <si>
    <t>E-7101</t>
  </si>
  <si>
    <t>E-7102</t>
  </si>
  <si>
    <t>E-7103</t>
  </si>
  <si>
    <t>E-7104</t>
  </si>
  <si>
    <t>E-7105</t>
  </si>
  <si>
    <t>E-7106</t>
  </si>
  <si>
    <t>E-7107</t>
  </si>
  <si>
    <t>E-7108</t>
  </si>
  <si>
    <t>E-7109</t>
  </si>
  <si>
    <t>E-7110</t>
  </si>
  <si>
    <t>E-7111</t>
  </si>
  <si>
    <t>E-7112</t>
  </si>
  <si>
    <t>E-7113</t>
  </si>
  <si>
    <t>E-7114</t>
  </si>
  <si>
    <t>E-7115</t>
  </si>
  <si>
    <t>E-7116</t>
  </si>
  <si>
    <t>E-7117</t>
  </si>
  <si>
    <t>E-7118</t>
  </si>
  <si>
    <t>E-7119</t>
  </si>
  <si>
    <t>E-7120</t>
  </si>
  <si>
    <t>E-7121</t>
  </si>
  <si>
    <t>E-7122</t>
  </si>
  <si>
    <t>E-7123</t>
  </si>
  <si>
    <t>E-7124</t>
  </si>
  <si>
    <t>E-7125</t>
  </si>
  <si>
    <t>E-7126</t>
  </si>
  <si>
    <t>E-7127</t>
  </si>
  <si>
    <t>E-7128</t>
  </si>
  <si>
    <t>E-7129</t>
  </si>
  <si>
    <t>E-7130</t>
  </si>
  <si>
    <t>E-7131</t>
  </si>
  <si>
    <t>E-7132</t>
  </si>
  <si>
    <t>E-7133</t>
  </si>
  <si>
    <t>E-7134</t>
  </si>
  <si>
    <t>23-Oct-17--30-Oct-17</t>
  </si>
  <si>
    <t>E-7135</t>
  </si>
  <si>
    <t>E-7136</t>
  </si>
  <si>
    <t>E-7137</t>
  </si>
  <si>
    <t>E-7138</t>
  </si>
  <si>
    <t>E-7139</t>
  </si>
  <si>
    <t>E-7140</t>
  </si>
  <si>
    <t>E-7141</t>
  </si>
  <si>
    <t>E-7142</t>
  </si>
  <si>
    <t>E-7143</t>
  </si>
  <si>
    <t>E-7144</t>
  </si>
  <si>
    <t>E-7145</t>
  </si>
  <si>
    <t>E-7146</t>
  </si>
  <si>
    <t>E-7147</t>
  </si>
  <si>
    <t>E-7148</t>
  </si>
  <si>
    <t>E-7149</t>
  </si>
  <si>
    <t>E-7150</t>
  </si>
  <si>
    <t>E-7151</t>
  </si>
  <si>
    <t>E-7152</t>
  </si>
  <si>
    <t>E-7153</t>
  </si>
  <si>
    <t>E-7154</t>
  </si>
  <si>
    <t>E-7155</t>
  </si>
  <si>
    <t>E-7156</t>
  </si>
  <si>
    <t>E-7157</t>
  </si>
  <si>
    <t>E-7158</t>
  </si>
  <si>
    <t>E-7159</t>
  </si>
  <si>
    <t>E-7160</t>
  </si>
  <si>
    <t>E-7161</t>
  </si>
  <si>
    <t>E-7162</t>
  </si>
  <si>
    <t>E-7163</t>
  </si>
  <si>
    <t>E-7164</t>
  </si>
  <si>
    <t>E-7165</t>
  </si>
  <si>
    <t>E-7166</t>
  </si>
  <si>
    <t>E-7167</t>
  </si>
  <si>
    <t>E-7168</t>
  </si>
  <si>
    <t>E-7169</t>
  </si>
  <si>
    <t>E-7170</t>
  </si>
  <si>
    <t>E-7171</t>
  </si>
  <si>
    <t>E-7172</t>
  </si>
  <si>
    <t>E-7173</t>
  </si>
  <si>
    <t>E-7174</t>
  </si>
  <si>
    <t>E-7175</t>
  </si>
  <si>
    <t>E-7176</t>
  </si>
  <si>
    <t>E-7177</t>
  </si>
  <si>
    <t>E-7178</t>
  </si>
  <si>
    <t>E-7179</t>
  </si>
  <si>
    <t>E-7180</t>
  </si>
  <si>
    <t>E-7181</t>
  </si>
  <si>
    <t>E-7182</t>
  </si>
  <si>
    <t>E-7183</t>
  </si>
  <si>
    <t>E-7184</t>
  </si>
  <si>
    <t>E-7185</t>
  </si>
  <si>
    <t>E-7186</t>
  </si>
  <si>
    <t>E-7187</t>
  </si>
  <si>
    <t>E-7188</t>
  </si>
  <si>
    <t>E-7189</t>
  </si>
  <si>
    <t>E-7190</t>
  </si>
  <si>
    <t>E-7191</t>
  </si>
  <si>
    <t>E-7192</t>
  </si>
  <si>
    <t>E-7193</t>
  </si>
  <si>
    <t>E-7194</t>
  </si>
  <si>
    <t>E-7195</t>
  </si>
  <si>
    <t>E-7196</t>
  </si>
  <si>
    <t>E-7197</t>
  </si>
  <si>
    <t>E-7198</t>
  </si>
  <si>
    <t>E-7199</t>
  </si>
  <si>
    <t>E-7200</t>
  </si>
  <si>
    <t>E-7201</t>
  </si>
  <si>
    <t>E-7202</t>
  </si>
  <si>
    <t>E-7203</t>
  </si>
  <si>
    <t>E-7204</t>
  </si>
  <si>
    <t>E-7205</t>
  </si>
  <si>
    <t>E-7206</t>
  </si>
  <si>
    <t>(330)FRANCISCO HUINATL</t>
  </si>
  <si>
    <t>E-7207</t>
  </si>
  <si>
    <t>E-7208</t>
  </si>
  <si>
    <t>E-7209</t>
  </si>
  <si>
    <t>E-7210</t>
  </si>
  <si>
    <t>E-7211</t>
  </si>
  <si>
    <t>E-7212</t>
  </si>
  <si>
    <t>E-7213</t>
  </si>
  <si>
    <t>E-7214</t>
  </si>
  <si>
    <t>E-7215</t>
  </si>
  <si>
    <t>E-7216</t>
  </si>
  <si>
    <t>E-7217</t>
  </si>
  <si>
    <t>E-7218</t>
  </si>
  <si>
    <t>E-7219</t>
  </si>
  <si>
    <t>E-7220</t>
  </si>
  <si>
    <t>E-7221</t>
  </si>
  <si>
    <t>E-7222</t>
  </si>
  <si>
    <t>E-7223</t>
  </si>
  <si>
    <t>E-7224</t>
  </si>
  <si>
    <t>E-7225</t>
  </si>
  <si>
    <t>E-7226</t>
  </si>
  <si>
    <t>E-7227</t>
  </si>
  <si>
    <t>E-7228</t>
  </si>
  <si>
    <t>24-Oct-17--27-Oct-17</t>
  </si>
  <si>
    <t>E-7229</t>
  </si>
  <si>
    <t>E-7230</t>
  </si>
  <si>
    <t>E-7231</t>
  </si>
  <si>
    <t>E-7232</t>
  </si>
  <si>
    <t>E-7233</t>
  </si>
  <si>
    <t>E-7234</t>
  </si>
  <si>
    <t>E-7235</t>
  </si>
  <si>
    <t>E-7236</t>
  </si>
  <si>
    <t>E-7237</t>
  </si>
  <si>
    <t>E-7238</t>
  </si>
  <si>
    <t>E-7239</t>
  </si>
  <si>
    <t>E-7240</t>
  </si>
  <si>
    <t>E-7241</t>
  </si>
  <si>
    <t>E-7242</t>
  </si>
  <si>
    <t>E-7243</t>
  </si>
  <si>
    <t>E-7244</t>
  </si>
  <si>
    <t>26-Oct-17--27-Oct-17</t>
  </si>
  <si>
    <t>E-7245</t>
  </si>
  <si>
    <t>E-7246</t>
  </si>
  <si>
    <t>E-7247</t>
  </si>
  <si>
    <t>E-7248</t>
  </si>
  <si>
    <t>E-7249</t>
  </si>
  <si>
    <t>E-7250</t>
  </si>
  <si>
    <t>E-7251</t>
  </si>
  <si>
    <t>E-7252</t>
  </si>
  <si>
    <t>E-7253</t>
  </si>
  <si>
    <t>E-7254</t>
  </si>
  <si>
    <t>E-7255</t>
  </si>
  <si>
    <t>24-Oct-17--25-Oct-17--31-Oct-17</t>
  </si>
  <si>
    <t>E-7256</t>
  </si>
  <si>
    <t>E-7257</t>
  </si>
  <si>
    <t>E-7258</t>
  </si>
  <si>
    <t>E-7259</t>
  </si>
  <si>
    <t>E-7260</t>
  </si>
  <si>
    <t>E-7261</t>
  </si>
  <si>
    <t>E-7262</t>
  </si>
  <si>
    <t>E-7263</t>
  </si>
  <si>
    <t>E-7264</t>
  </si>
  <si>
    <t>E-7265</t>
  </si>
  <si>
    <t>E-7266</t>
  </si>
  <si>
    <t>E-7267</t>
  </si>
  <si>
    <t>E-7268</t>
  </si>
  <si>
    <t>E-7269</t>
  </si>
  <si>
    <t>E-7270</t>
  </si>
  <si>
    <t>E-7271</t>
  </si>
  <si>
    <t>E-7272</t>
  </si>
  <si>
    <t>E-7273</t>
  </si>
  <si>
    <t>E-7274</t>
  </si>
  <si>
    <t>E-7275</t>
  </si>
  <si>
    <t>E-7276</t>
  </si>
  <si>
    <t>E-7277</t>
  </si>
  <si>
    <t>E-7278</t>
  </si>
  <si>
    <t>E-7279</t>
  </si>
  <si>
    <t>E-7280</t>
  </si>
  <si>
    <t>E-7281</t>
  </si>
  <si>
    <t>E-7282</t>
  </si>
  <si>
    <t>E-7283</t>
  </si>
  <si>
    <t>E-7284</t>
  </si>
  <si>
    <t>E-7285</t>
  </si>
  <si>
    <t>E-7286</t>
  </si>
  <si>
    <t>E-7287</t>
  </si>
  <si>
    <t>E-7288</t>
  </si>
  <si>
    <t>E-7289</t>
  </si>
  <si>
    <t>E-7290</t>
  </si>
  <si>
    <t>E-7291</t>
  </si>
  <si>
    <t>E-7292</t>
  </si>
  <si>
    <t>E-7293</t>
  </si>
  <si>
    <t>E-7294</t>
  </si>
  <si>
    <t>E-7295</t>
  </si>
  <si>
    <t>E-7296</t>
  </si>
  <si>
    <t>E-7297</t>
  </si>
  <si>
    <t>E-7298</t>
  </si>
  <si>
    <t>E-7299</t>
  </si>
  <si>
    <t>E-7300</t>
  </si>
  <si>
    <t>E-7301</t>
  </si>
  <si>
    <t>E-7302</t>
  </si>
  <si>
    <t>E-7303</t>
  </si>
  <si>
    <t>E-7304</t>
  </si>
  <si>
    <t>E-7305</t>
  </si>
  <si>
    <t>E-7306</t>
  </si>
  <si>
    <t>E-7307</t>
  </si>
  <si>
    <t>E-7308</t>
  </si>
  <si>
    <t>E-7309</t>
  </si>
  <si>
    <t>E-7310</t>
  </si>
  <si>
    <t>E-7311</t>
  </si>
  <si>
    <t>E-7312</t>
  </si>
  <si>
    <t>E-7313</t>
  </si>
  <si>
    <t>E-7314</t>
  </si>
  <si>
    <t>E-7315</t>
  </si>
  <si>
    <t>E-7316</t>
  </si>
  <si>
    <t>E-7317</t>
  </si>
  <si>
    <t>E-7318</t>
  </si>
  <si>
    <t>E-7319</t>
  </si>
  <si>
    <t>E-7320</t>
  </si>
  <si>
    <t>E-7321</t>
  </si>
  <si>
    <t>E-7322</t>
  </si>
  <si>
    <t>E-7323</t>
  </si>
  <si>
    <t>E-7324</t>
  </si>
  <si>
    <t>E-7325</t>
  </si>
  <si>
    <t>E-7326</t>
  </si>
  <si>
    <t>E-7327</t>
  </si>
  <si>
    <t>E-7328</t>
  </si>
  <si>
    <t>E-7329</t>
  </si>
  <si>
    <t>E-7330</t>
  </si>
  <si>
    <t>E-7331</t>
  </si>
  <si>
    <t>E-7332</t>
  </si>
  <si>
    <t>E-7333</t>
  </si>
  <si>
    <t>E-7334</t>
  </si>
  <si>
    <t>E-7335</t>
  </si>
  <si>
    <t>E-7336</t>
  </si>
  <si>
    <t>E-7337</t>
  </si>
  <si>
    <t>E-7338</t>
  </si>
  <si>
    <t>E-7339</t>
  </si>
  <si>
    <t>E-7340</t>
  </si>
  <si>
    <t>E-7341</t>
  </si>
  <si>
    <t>E-7342</t>
  </si>
  <si>
    <t>E-7343</t>
  </si>
  <si>
    <t>E-7344</t>
  </si>
  <si>
    <t>E-7345</t>
  </si>
  <si>
    <t>E-7346</t>
  </si>
  <si>
    <t>E-7347</t>
  </si>
  <si>
    <t>E-7348</t>
  </si>
  <si>
    <t>E-7349</t>
  </si>
  <si>
    <t>E-7350</t>
  </si>
  <si>
    <t>E-7351</t>
  </si>
  <si>
    <t>E-7352</t>
  </si>
  <si>
    <t>E-7353</t>
  </si>
  <si>
    <t>E-7354</t>
  </si>
  <si>
    <t>E-7355</t>
  </si>
  <si>
    <t>E-7356</t>
  </si>
  <si>
    <t>E-7357</t>
  </si>
  <si>
    <t>E-7358</t>
  </si>
  <si>
    <t xml:space="preserve">24-Oct-17--25-Oct-17 </t>
  </si>
  <si>
    <t>E-7359</t>
  </si>
  <si>
    <t>E-7360</t>
  </si>
  <si>
    <t>E-7361</t>
  </si>
  <si>
    <t>E-7362</t>
  </si>
  <si>
    <t>E-7363</t>
  </si>
  <si>
    <t>E-7364</t>
  </si>
  <si>
    <t>E-7365</t>
  </si>
  <si>
    <t>E-7366</t>
  </si>
  <si>
    <t>E-7367</t>
  </si>
  <si>
    <t>E-7368</t>
  </si>
  <si>
    <t>E-7369</t>
  </si>
  <si>
    <t>E-7370</t>
  </si>
  <si>
    <t>E-7371</t>
  </si>
  <si>
    <t>E-7372</t>
  </si>
  <si>
    <t>E-7373</t>
  </si>
  <si>
    <t>E-7374</t>
  </si>
  <si>
    <t>E-7375</t>
  </si>
  <si>
    <t>E-7376</t>
  </si>
  <si>
    <t>E-7377</t>
  </si>
  <si>
    <t>E-7378</t>
  </si>
  <si>
    <t>E-7379</t>
  </si>
  <si>
    <t>E-7380</t>
  </si>
  <si>
    <t>E-7381</t>
  </si>
  <si>
    <t>E-7382</t>
  </si>
  <si>
    <t>E-7383</t>
  </si>
  <si>
    <t>E-7384</t>
  </si>
  <si>
    <t>E-7385</t>
  </si>
  <si>
    <t>E-7386</t>
  </si>
  <si>
    <t>E-7387</t>
  </si>
  <si>
    <t>E-7388</t>
  </si>
  <si>
    <t>E-7389</t>
  </si>
  <si>
    <t>E-7390</t>
  </si>
  <si>
    <t>E-7391</t>
  </si>
  <si>
    <t>E-7392</t>
  </si>
  <si>
    <t>E-7393</t>
  </si>
  <si>
    <t>E-7394</t>
  </si>
  <si>
    <t>E-7395</t>
  </si>
  <si>
    <t>E-7396</t>
  </si>
  <si>
    <t>E-7397</t>
  </si>
  <si>
    <t>E-7398</t>
  </si>
  <si>
    <t>E-7399</t>
  </si>
  <si>
    <t>E-7400</t>
  </si>
  <si>
    <t>E-7401</t>
  </si>
  <si>
    <t>E-7402</t>
  </si>
  <si>
    <t>E-7403</t>
  </si>
  <si>
    <t>E-7404</t>
  </si>
  <si>
    <t>E-7405</t>
  </si>
  <si>
    <t>E-7406</t>
  </si>
  <si>
    <t>E-7407</t>
  </si>
  <si>
    <t>E-7408</t>
  </si>
  <si>
    <t>E-7409</t>
  </si>
  <si>
    <t>E-7410</t>
  </si>
  <si>
    <t>E-7411</t>
  </si>
  <si>
    <t>E-7412</t>
  </si>
  <si>
    <t>E-7413</t>
  </si>
  <si>
    <t>E-7414</t>
  </si>
  <si>
    <t>E-7415</t>
  </si>
  <si>
    <t>E-7416</t>
  </si>
  <si>
    <t>E-7417</t>
  </si>
  <si>
    <t>E-7418</t>
  </si>
  <si>
    <t>E-7419</t>
  </si>
  <si>
    <t>E-7420</t>
  </si>
  <si>
    <t>E-7421</t>
  </si>
  <si>
    <t>E-7422</t>
  </si>
  <si>
    <t>E-7423</t>
  </si>
  <si>
    <t>E-7424</t>
  </si>
  <si>
    <t>E-7425</t>
  </si>
  <si>
    <t>E-7426</t>
  </si>
  <si>
    <t>E-7427</t>
  </si>
  <si>
    <t>E-7428</t>
  </si>
  <si>
    <t>E-7429</t>
  </si>
  <si>
    <t>E-7430</t>
  </si>
  <si>
    <t>E-7431</t>
  </si>
  <si>
    <t>E-7432</t>
  </si>
  <si>
    <t>E-7433</t>
  </si>
  <si>
    <t>E-7434</t>
  </si>
  <si>
    <t>E-7435</t>
  </si>
  <si>
    <t>E-7436</t>
  </si>
  <si>
    <t>E-7437</t>
  </si>
  <si>
    <t>E-7438</t>
  </si>
  <si>
    <t>E-7439</t>
  </si>
  <si>
    <t>E-7440</t>
  </si>
  <si>
    <t>E-7441</t>
  </si>
  <si>
    <t>E-7442</t>
  </si>
  <si>
    <t>E-7443</t>
  </si>
  <si>
    <t>E-7444</t>
  </si>
  <si>
    <t>E-7445</t>
  </si>
  <si>
    <t>E-7446</t>
  </si>
  <si>
    <t>E-7447</t>
  </si>
  <si>
    <t>E-7448</t>
  </si>
  <si>
    <t>E-7449</t>
  </si>
  <si>
    <t>E-7450</t>
  </si>
  <si>
    <t>E-7451</t>
  </si>
  <si>
    <t>E-7452</t>
  </si>
  <si>
    <t>E-7453</t>
  </si>
  <si>
    <t>E-7454</t>
  </si>
  <si>
    <t>E-7455</t>
  </si>
  <si>
    <t>E-7456</t>
  </si>
  <si>
    <t>E-7457</t>
  </si>
  <si>
    <t>E-7458</t>
  </si>
  <si>
    <t>E-7459</t>
  </si>
  <si>
    <t>E-7460</t>
  </si>
  <si>
    <t>E-7461</t>
  </si>
  <si>
    <t>E-7462</t>
  </si>
  <si>
    <t>E-7463</t>
  </si>
  <si>
    <t>E-7464</t>
  </si>
  <si>
    <t>E-7465</t>
  </si>
  <si>
    <t>E-7466</t>
  </si>
  <si>
    <t>E-7467</t>
  </si>
  <si>
    <t>E-7468</t>
  </si>
  <si>
    <t>E-7469</t>
  </si>
  <si>
    <t>E-7470</t>
  </si>
  <si>
    <t>E-7471</t>
  </si>
  <si>
    <t>E-7472</t>
  </si>
  <si>
    <t>E-7473</t>
  </si>
  <si>
    <t>E-7474</t>
  </si>
  <si>
    <t>E-7475</t>
  </si>
  <si>
    <t>E-7476</t>
  </si>
  <si>
    <t>E-7477</t>
  </si>
  <si>
    <t>E-7478</t>
  </si>
  <si>
    <t>E-7479</t>
  </si>
  <si>
    <t>E-7480</t>
  </si>
  <si>
    <t>E-7481</t>
  </si>
  <si>
    <t>E-7482</t>
  </si>
  <si>
    <t>E-7483</t>
  </si>
  <si>
    <t>E-7484</t>
  </si>
  <si>
    <t>E-7485</t>
  </si>
  <si>
    <t>E-7486</t>
  </si>
  <si>
    <t>E-7487</t>
  </si>
  <si>
    <t>E-7488</t>
  </si>
  <si>
    <t>E-7489</t>
  </si>
  <si>
    <t>E-7490</t>
  </si>
  <si>
    <t>E-7491</t>
  </si>
  <si>
    <t>E-7492</t>
  </si>
  <si>
    <t>E-7493</t>
  </si>
  <si>
    <t>E-7494</t>
  </si>
  <si>
    <t>E-7495</t>
  </si>
  <si>
    <t>E-7496</t>
  </si>
  <si>
    <t>E-7497</t>
  </si>
  <si>
    <t>E-7498</t>
  </si>
  <si>
    <t>E-7499</t>
  </si>
  <si>
    <t>E-7500</t>
  </si>
  <si>
    <t>E-7501</t>
  </si>
  <si>
    <t>E-7502</t>
  </si>
  <si>
    <t>E-7503</t>
  </si>
  <si>
    <t>E-7504</t>
  </si>
  <si>
    <t>E-7505</t>
  </si>
  <si>
    <t>E-7506</t>
  </si>
  <si>
    <t>E-7507</t>
  </si>
  <si>
    <t>E-7508</t>
  </si>
  <si>
    <t>E-7509</t>
  </si>
  <si>
    <t>E-7510</t>
  </si>
  <si>
    <t>E-7511</t>
  </si>
  <si>
    <t>26-Oct-17--28-Oct-17</t>
  </si>
  <si>
    <t>E-7512</t>
  </si>
  <si>
    <t>E-7513</t>
  </si>
  <si>
    <t>E-7514</t>
  </si>
  <si>
    <t>E-7515</t>
  </si>
  <si>
    <t>E-7516</t>
  </si>
  <si>
    <t>E-7517</t>
  </si>
  <si>
    <t>E-7518</t>
  </si>
  <si>
    <t>E-7519</t>
  </si>
  <si>
    <t>E-7520</t>
  </si>
  <si>
    <t>E-7521</t>
  </si>
  <si>
    <t>E-7522</t>
  </si>
  <si>
    <t>E-7523</t>
  </si>
  <si>
    <t>E-7524</t>
  </si>
  <si>
    <t>E-7525</t>
  </si>
  <si>
    <t>E-7526</t>
  </si>
  <si>
    <t>E-7527</t>
  </si>
  <si>
    <t>E-7528</t>
  </si>
  <si>
    <t>E-7529</t>
  </si>
  <si>
    <t>E-7530</t>
  </si>
  <si>
    <t>E-7531</t>
  </si>
  <si>
    <t>E-7532</t>
  </si>
  <si>
    <t>E-7533</t>
  </si>
  <si>
    <t>E-7534</t>
  </si>
  <si>
    <t>E-7535</t>
  </si>
  <si>
    <t>E-7536</t>
  </si>
  <si>
    <t>E-7537</t>
  </si>
  <si>
    <t>E-7538</t>
  </si>
  <si>
    <t>E-7539</t>
  </si>
  <si>
    <t>E-7540</t>
  </si>
  <si>
    <t>E-7541</t>
  </si>
  <si>
    <t>E-7542</t>
  </si>
  <si>
    <t>E-7543</t>
  </si>
  <si>
    <t>27-Oct-17--31-Oct-17</t>
  </si>
  <si>
    <t>E-7544</t>
  </si>
  <si>
    <t>E-7545</t>
  </si>
  <si>
    <t>E-7546</t>
  </si>
  <si>
    <t>E-7547</t>
  </si>
  <si>
    <t>E-7548</t>
  </si>
  <si>
    <t>E-7549</t>
  </si>
  <si>
    <t>E-7550</t>
  </si>
  <si>
    <t>E-7551</t>
  </si>
  <si>
    <t>E-7552</t>
  </si>
  <si>
    <t>E-7553</t>
  </si>
  <si>
    <t>E-7554</t>
  </si>
  <si>
    <t>E-7555</t>
  </si>
  <si>
    <t>E-7556</t>
  </si>
  <si>
    <t>E-7557</t>
  </si>
  <si>
    <t>E-7558</t>
  </si>
  <si>
    <t>E-7559</t>
  </si>
  <si>
    <t>E-7560</t>
  </si>
  <si>
    <t>E-7561</t>
  </si>
  <si>
    <t>E-7562</t>
  </si>
  <si>
    <t>E-7563</t>
  </si>
  <si>
    <t>E-7564</t>
  </si>
  <si>
    <t>E-7565</t>
  </si>
  <si>
    <t>E-7566</t>
  </si>
  <si>
    <t>E-7567</t>
  </si>
  <si>
    <t>E-7568</t>
  </si>
  <si>
    <t>E-7569</t>
  </si>
  <si>
    <t>E-7570</t>
  </si>
  <si>
    <t>E-7571</t>
  </si>
  <si>
    <t>E-7572</t>
  </si>
  <si>
    <t>E-7573</t>
  </si>
  <si>
    <t>E-7574</t>
  </si>
  <si>
    <t>E-7575</t>
  </si>
  <si>
    <t>E-7576</t>
  </si>
  <si>
    <t>E-7577</t>
  </si>
  <si>
    <t>E-7578</t>
  </si>
  <si>
    <t>E-7579</t>
  </si>
  <si>
    <t>E-7580</t>
  </si>
  <si>
    <t>E-7581</t>
  </si>
  <si>
    <t>E-7582</t>
  </si>
  <si>
    <t>E-7583</t>
  </si>
  <si>
    <t>E-7584</t>
  </si>
  <si>
    <t>E-7585</t>
  </si>
  <si>
    <t>E-7586</t>
  </si>
  <si>
    <t>E-7587</t>
  </si>
  <si>
    <t>E-7588</t>
  </si>
  <si>
    <t>E-7589</t>
  </si>
  <si>
    <t>E-7590</t>
  </si>
  <si>
    <t>25-Oct-17--26-Oct-17</t>
  </si>
  <si>
    <t>E-7591</t>
  </si>
  <si>
    <t>E-7592</t>
  </si>
  <si>
    <t>E-7593</t>
  </si>
  <si>
    <t>E-7594</t>
  </si>
  <si>
    <t>E-7595</t>
  </si>
  <si>
    <t>E-7596</t>
  </si>
  <si>
    <t>E-7597</t>
  </si>
  <si>
    <t>E-7598</t>
  </si>
  <si>
    <t>E-7599</t>
  </si>
  <si>
    <t>E-7600</t>
  </si>
  <si>
    <t>E-7601</t>
  </si>
  <si>
    <t>E-7602</t>
  </si>
  <si>
    <t>E-7603</t>
  </si>
  <si>
    <t>E-7604</t>
  </si>
  <si>
    <t>E-7605</t>
  </si>
  <si>
    <t>E-7606</t>
  </si>
  <si>
    <t>E-7607</t>
  </si>
  <si>
    <t>E-7608</t>
  </si>
  <si>
    <t>E-7609</t>
  </si>
  <si>
    <t>E-7610</t>
  </si>
  <si>
    <t>E-7611</t>
  </si>
  <si>
    <t>E-7612</t>
  </si>
  <si>
    <t>E-7613</t>
  </si>
  <si>
    <t>E-7614</t>
  </si>
  <si>
    <t>E-7615</t>
  </si>
  <si>
    <t>E-7616</t>
  </si>
  <si>
    <t>E-7617</t>
  </si>
  <si>
    <t>E-7618</t>
  </si>
  <si>
    <t>E-7619</t>
  </si>
  <si>
    <t>E-7620</t>
  </si>
  <si>
    <t>E-7621</t>
  </si>
  <si>
    <t>E-7622</t>
  </si>
  <si>
    <t>E-7623</t>
  </si>
  <si>
    <t>E-7624</t>
  </si>
  <si>
    <t>E-7625</t>
  </si>
  <si>
    <t>E-7626</t>
  </si>
  <si>
    <t>E-7627</t>
  </si>
  <si>
    <t>E-7628</t>
  </si>
  <si>
    <t>E-7629</t>
  </si>
  <si>
    <t>E-7630</t>
  </si>
  <si>
    <t>E-7631</t>
  </si>
  <si>
    <t>E-7632</t>
  </si>
  <si>
    <t>E-7633</t>
  </si>
  <si>
    <t>E-7634</t>
  </si>
  <si>
    <t>E-7635</t>
  </si>
  <si>
    <t>E-7636</t>
  </si>
  <si>
    <t>E-7637</t>
  </si>
  <si>
    <t>E-7638</t>
  </si>
  <si>
    <t>25-Oc t-17--26-Oct-17</t>
  </si>
  <si>
    <t>E-7639</t>
  </si>
  <si>
    <t>E-7640</t>
  </si>
  <si>
    <t>E-7641</t>
  </si>
  <si>
    <t>E-7642</t>
  </si>
  <si>
    <t>E-7643</t>
  </si>
  <si>
    <t>E-7644</t>
  </si>
  <si>
    <t>E-7645</t>
  </si>
  <si>
    <t>E-7646</t>
  </si>
  <si>
    <t>E-7647</t>
  </si>
  <si>
    <t>E-7648</t>
  </si>
  <si>
    <t>E-7649</t>
  </si>
  <si>
    <t>E-7650</t>
  </si>
  <si>
    <t>E-7651</t>
  </si>
  <si>
    <t>E-7652</t>
  </si>
  <si>
    <t>E-7653</t>
  </si>
  <si>
    <t>E-7654</t>
  </si>
  <si>
    <t>E-7655</t>
  </si>
  <si>
    <t>E-7656</t>
  </si>
  <si>
    <t>E-7657</t>
  </si>
  <si>
    <t>E-7658</t>
  </si>
  <si>
    <t>E-7659</t>
  </si>
  <si>
    <t>E-7660</t>
  </si>
  <si>
    <t>E-7661</t>
  </si>
  <si>
    <t>E-7662</t>
  </si>
  <si>
    <t>E-7663</t>
  </si>
  <si>
    <t>E-7664</t>
  </si>
  <si>
    <t>E-7665</t>
  </si>
  <si>
    <t>E-7666</t>
  </si>
  <si>
    <t>E-7667</t>
  </si>
  <si>
    <t>E-7668</t>
  </si>
  <si>
    <t>E-7669</t>
  </si>
  <si>
    <t>E-7670</t>
  </si>
  <si>
    <t>E-7671</t>
  </si>
  <si>
    <t>E-7672</t>
  </si>
  <si>
    <t>E-7673</t>
  </si>
  <si>
    <t>E-7674</t>
  </si>
  <si>
    <t>E-7675</t>
  </si>
  <si>
    <t>E-7676</t>
  </si>
  <si>
    <t>E-7677</t>
  </si>
  <si>
    <t>E-7678</t>
  </si>
  <si>
    <t>E-7679</t>
  </si>
  <si>
    <t>E-7680</t>
  </si>
  <si>
    <t>E-7681</t>
  </si>
  <si>
    <t>E-7682</t>
  </si>
  <si>
    <t>E-7683</t>
  </si>
  <si>
    <t>E-7684</t>
  </si>
  <si>
    <t>E-7685</t>
  </si>
  <si>
    <t>E-7686</t>
  </si>
  <si>
    <t>E-7687</t>
  </si>
  <si>
    <t>E-7688</t>
  </si>
  <si>
    <t>E-7689</t>
  </si>
  <si>
    <t>E-7690</t>
  </si>
  <si>
    <t>E-7691</t>
  </si>
  <si>
    <t>E-7692</t>
  </si>
  <si>
    <t>E-7693</t>
  </si>
  <si>
    <t>E-7694</t>
  </si>
  <si>
    <t>27-Oct-17--30-Oct-17</t>
  </si>
  <si>
    <t>E-7695</t>
  </si>
  <si>
    <t>E-7696</t>
  </si>
  <si>
    <t>E-7697</t>
  </si>
  <si>
    <t>E-7698</t>
  </si>
  <si>
    <t>E-7699</t>
  </si>
  <si>
    <t>E-7700</t>
  </si>
  <si>
    <t>E-7701</t>
  </si>
  <si>
    <t>E-7702</t>
  </si>
  <si>
    <t>E-7703</t>
  </si>
  <si>
    <t>E-7704</t>
  </si>
  <si>
    <t>E-7705</t>
  </si>
  <si>
    <t>E-7706</t>
  </si>
  <si>
    <t>E-7707</t>
  </si>
  <si>
    <t>E-7708</t>
  </si>
  <si>
    <t>E-7709</t>
  </si>
  <si>
    <t>E-7710</t>
  </si>
  <si>
    <t>E-7711</t>
  </si>
  <si>
    <t>E-7712</t>
  </si>
  <si>
    <t>E-7713</t>
  </si>
  <si>
    <t>E-7714</t>
  </si>
  <si>
    <t>E-7715</t>
  </si>
  <si>
    <t>E-7716</t>
  </si>
  <si>
    <t>E-7717</t>
  </si>
  <si>
    <t>E-7718</t>
  </si>
  <si>
    <t>E-7719</t>
  </si>
  <si>
    <t>E-7720</t>
  </si>
  <si>
    <t>E-7721</t>
  </si>
  <si>
    <t>E-7722</t>
  </si>
  <si>
    <t>E-7723</t>
  </si>
  <si>
    <t>E-7724</t>
  </si>
  <si>
    <t>E-7725</t>
  </si>
  <si>
    <t>E-7726</t>
  </si>
  <si>
    <t>E-7727</t>
  </si>
  <si>
    <t>E-7728</t>
  </si>
  <si>
    <t>E-7729</t>
  </si>
  <si>
    <t>E-7730</t>
  </si>
  <si>
    <t>E-7731</t>
  </si>
  <si>
    <t>E-7732</t>
  </si>
  <si>
    <t>E-7733</t>
  </si>
  <si>
    <t>E-7734</t>
  </si>
  <si>
    <t>28-Oct-17--30-Oct-17</t>
  </si>
  <si>
    <t>E-7735</t>
  </si>
  <si>
    <t>E-7736</t>
  </si>
  <si>
    <t>E-7737</t>
  </si>
  <si>
    <t>E-7738</t>
  </si>
  <si>
    <t>E-7739</t>
  </si>
  <si>
    <t>E-7740</t>
  </si>
  <si>
    <t>E-7741</t>
  </si>
  <si>
    <t>25-Oct-17--27-Oct-17--28-Oct-17</t>
  </si>
  <si>
    <t>E-7742</t>
  </si>
  <si>
    <t>E-7743</t>
  </si>
  <si>
    <t>E-7744</t>
  </si>
  <si>
    <t>E-7745</t>
  </si>
  <si>
    <t>E-7746</t>
  </si>
  <si>
    <t>E-7747</t>
  </si>
  <si>
    <t>E-7748</t>
  </si>
  <si>
    <t>E-7749</t>
  </si>
  <si>
    <t>E-7750</t>
  </si>
  <si>
    <t>E-7751</t>
  </si>
  <si>
    <t>E-7752</t>
  </si>
  <si>
    <t>E-7753</t>
  </si>
  <si>
    <t>E-7754</t>
  </si>
  <si>
    <t>E-7755</t>
  </si>
  <si>
    <t>E-7756</t>
  </si>
  <si>
    <t>E-7757</t>
  </si>
  <si>
    <t>E-7758</t>
  </si>
  <si>
    <t>E-7759</t>
  </si>
  <si>
    <t>E-7760</t>
  </si>
  <si>
    <t>E-7761</t>
  </si>
  <si>
    <t>E-7762</t>
  </si>
  <si>
    <t>E-7763</t>
  </si>
  <si>
    <t>E-7764</t>
  </si>
  <si>
    <t>E-7765</t>
  </si>
  <si>
    <t>E-7766</t>
  </si>
  <si>
    <t>E-7767</t>
  </si>
  <si>
    <t>E-7768</t>
  </si>
  <si>
    <t>E-7769</t>
  </si>
  <si>
    <t>E-7770</t>
  </si>
  <si>
    <t>E-7771</t>
  </si>
  <si>
    <t>E-7772</t>
  </si>
  <si>
    <t>E-7773</t>
  </si>
  <si>
    <t>E-7774</t>
  </si>
  <si>
    <t>E-7775</t>
  </si>
  <si>
    <t>28-Oct-17--31-Oct-17</t>
  </si>
  <si>
    <t>E-7776</t>
  </si>
  <si>
    <t>E-7777</t>
  </si>
  <si>
    <t>E-7778</t>
  </si>
  <si>
    <t>E-7779</t>
  </si>
  <si>
    <t>E-7780</t>
  </si>
  <si>
    <t>E-7781</t>
  </si>
  <si>
    <t>E-7782</t>
  </si>
  <si>
    <t>E-7783</t>
  </si>
  <si>
    <t>E-7784</t>
  </si>
  <si>
    <t>E-7785</t>
  </si>
  <si>
    <t>E-7786</t>
  </si>
  <si>
    <t>E-7787</t>
  </si>
  <si>
    <t>E-7788</t>
  </si>
  <si>
    <t>E-7789</t>
  </si>
  <si>
    <t>E-7790</t>
  </si>
  <si>
    <t>E-7791</t>
  </si>
  <si>
    <t>E-7792</t>
  </si>
  <si>
    <t>E-7793</t>
  </si>
  <si>
    <t>E-7794</t>
  </si>
  <si>
    <t>E-7795</t>
  </si>
  <si>
    <t>E-7796</t>
  </si>
  <si>
    <t>E-7797</t>
  </si>
  <si>
    <t>E-7798</t>
  </si>
  <si>
    <t>E-7799</t>
  </si>
  <si>
    <t>E-7800</t>
  </si>
  <si>
    <t>E-7801</t>
  </si>
  <si>
    <t>E-7802</t>
  </si>
  <si>
    <t>E-7803</t>
  </si>
  <si>
    <t>E-7804</t>
  </si>
  <si>
    <t>E-7805</t>
  </si>
  <si>
    <t>E-7806</t>
  </si>
  <si>
    <t>E-7807</t>
  </si>
  <si>
    <t>E-7808</t>
  </si>
  <si>
    <t>E-7809</t>
  </si>
  <si>
    <t>E-7810</t>
  </si>
  <si>
    <t>E-7811</t>
  </si>
  <si>
    <t>E-7812</t>
  </si>
  <si>
    <t>E-7813</t>
  </si>
  <si>
    <t>E-7814</t>
  </si>
  <si>
    <t>E-7815</t>
  </si>
  <si>
    <t>E-7816</t>
  </si>
  <si>
    <t>E-7817</t>
  </si>
  <si>
    <t>E-7818</t>
  </si>
  <si>
    <t>E-7819</t>
  </si>
  <si>
    <t>E-7820</t>
  </si>
  <si>
    <t>E-7821</t>
  </si>
  <si>
    <t>E-7822</t>
  </si>
  <si>
    <t>E-7823</t>
  </si>
  <si>
    <t>E-7824</t>
  </si>
  <si>
    <t>E-7825</t>
  </si>
  <si>
    <t>E-7826</t>
  </si>
  <si>
    <t>E-7827</t>
  </si>
  <si>
    <t>E-7828</t>
  </si>
  <si>
    <t>E-7829</t>
  </si>
  <si>
    <t>E-7830</t>
  </si>
  <si>
    <t>E-7831</t>
  </si>
  <si>
    <t>E-7832</t>
  </si>
  <si>
    <t>E-7833</t>
  </si>
  <si>
    <t>E-7834</t>
  </si>
  <si>
    <t>E-7835</t>
  </si>
  <si>
    <t>E-7836</t>
  </si>
  <si>
    <t>E-7837</t>
  </si>
  <si>
    <t>E-7838</t>
  </si>
  <si>
    <t>E-7839</t>
  </si>
  <si>
    <t>E-7840</t>
  </si>
  <si>
    <t>E-7841</t>
  </si>
  <si>
    <t>E-7842</t>
  </si>
  <si>
    <t>E-7843</t>
  </si>
  <si>
    <t>E-7844</t>
  </si>
  <si>
    <t>E-7845</t>
  </si>
  <si>
    <t>E-7846</t>
  </si>
  <si>
    <t>E-7847</t>
  </si>
  <si>
    <t>E-7848</t>
  </si>
  <si>
    <t>E-7849</t>
  </si>
  <si>
    <t>E-7850</t>
  </si>
  <si>
    <t>E-7851</t>
  </si>
  <si>
    <t>E-7852</t>
  </si>
  <si>
    <t>E-7853</t>
  </si>
  <si>
    <t>30-Oct-17--31-Oct-17</t>
  </si>
  <si>
    <t>E-7854</t>
  </si>
  <si>
    <t>28/10/2017</t>
  </si>
  <si>
    <t>E-7855</t>
  </si>
  <si>
    <t>E-7856</t>
  </si>
  <si>
    <t>E-7857</t>
  </si>
  <si>
    <t>E-7858</t>
  </si>
  <si>
    <t>E-7859</t>
  </si>
  <si>
    <t>E-7860</t>
  </si>
  <si>
    <t>E-7861</t>
  </si>
  <si>
    <t>E-7862</t>
  </si>
  <si>
    <t>E-7863</t>
  </si>
  <si>
    <t>E-7864</t>
  </si>
  <si>
    <t>E-7865</t>
  </si>
  <si>
    <t>E-7866</t>
  </si>
  <si>
    <t>E-7867</t>
  </si>
  <si>
    <t>E-7868</t>
  </si>
  <si>
    <t>E-7869</t>
  </si>
  <si>
    <t>E-7870</t>
  </si>
  <si>
    <t>E-7871</t>
  </si>
  <si>
    <t>E-7872</t>
  </si>
  <si>
    <t>E-7873</t>
  </si>
  <si>
    <t>E-7874</t>
  </si>
  <si>
    <t>E-7875</t>
  </si>
  <si>
    <t>E-7876</t>
  </si>
  <si>
    <t>E-7877</t>
  </si>
  <si>
    <t>E-7878</t>
  </si>
  <si>
    <t>E-7879</t>
  </si>
  <si>
    <t>E-7880</t>
  </si>
  <si>
    <t>E-7881</t>
  </si>
  <si>
    <t>E-7882</t>
  </si>
  <si>
    <t>E-7883</t>
  </si>
  <si>
    <t>E-7884</t>
  </si>
  <si>
    <t>E-7885</t>
  </si>
  <si>
    <t>E-7886</t>
  </si>
  <si>
    <t>E-7887</t>
  </si>
  <si>
    <t>E-7888</t>
  </si>
  <si>
    <t>E-7889</t>
  </si>
  <si>
    <t>E-7890</t>
  </si>
  <si>
    <t>E-7891</t>
  </si>
  <si>
    <t>E-7892</t>
  </si>
  <si>
    <t>E-7893</t>
  </si>
  <si>
    <t>E-7894</t>
  </si>
  <si>
    <t>E-7895</t>
  </si>
  <si>
    <t>E-7896</t>
  </si>
  <si>
    <t>E-7897</t>
  </si>
  <si>
    <t>E-7898</t>
  </si>
  <si>
    <t>E-7899</t>
  </si>
  <si>
    <t>26-Oct-17--30-Oct-17</t>
  </si>
  <si>
    <t>E-7900</t>
  </si>
  <si>
    <t>E-7901</t>
  </si>
  <si>
    <t>E-7902</t>
  </si>
  <si>
    <t>E-7903</t>
  </si>
  <si>
    <t>E-7904</t>
  </si>
  <si>
    <t>E-7905</t>
  </si>
  <si>
    <t>E-7906</t>
  </si>
  <si>
    <t>E-7907</t>
  </si>
  <si>
    <t>E-7908</t>
  </si>
  <si>
    <t>E-7909</t>
  </si>
  <si>
    <t>E-7910</t>
  </si>
  <si>
    <t>E-7911</t>
  </si>
  <si>
    <t>E-7912</t>
  </si>
  <si>
    <t>E-7913</t>
  </si>
  <si>
    <t>E-7914</t>
  </si>
  <si>
    <t>E-7915</t>
  </si>
  <si>
    <t>E-7916</t>
  </si>
  <si>
    <t>E-7917</t>
  </si>
  <si>
    <t>E-7918</t>
  </si>
  <si>
    <t>E-7919</t>
  </si>
  <si>
    <t>E-7920</t>
  </si>
  <si>
    <t>E-7921</t>
  </si>
  <si>
    <t>E-7922</t>
  </si>
  <si>
    <t>E-7923</t>
  </si>
  <si>
    <t>E-7924</t>
  </si>
  <si>
    <t>E-7925</t>
  </si>
  <si>
    <t>E-7926</t>
  </si>
  <si>
    <t>E-7927</t>
  </si>
  <si>
    <t>E-7928</t>
  </si>
  <si>
    <t>E-7929</t>
  </si>
  <si>
    <t>E-7930</t>
  </si>
  <si>
    <t>E-7931</t>
  </si>
  <si>
    <t>E-7932</t>
  </si>
  <si>
    <t>E-7933</t>
  </si>
  <si>
    <t>E-7934</t>
  </si>
  <si>
    <t>E-7935</t>
  </si>
  <si>
    <t>E-7936</t>
  </si>
  <si>
    <t>E-7937</t>
  </si>
  <si>
    <t>E-7938</t>
  </si>
  <si>
    <t>E-7939</t>
  </si>
  <si>
    <t>E-7940</t>
  </si>
  <si>
    <t>E-7941</t>
  </si>
  <si>
    <t>E-7942</t>
  </si>
  <si>
    <t>E-7943</t>
  </si>
  <si>
    <t>E-7944</t>
  </si>
  <si>
    <t>E-7945</t>
  </si>
  <si>
    <t>E-7946</t>
  </si>
  <si>
    <t>E-7947</t>
  </si>
  <si>
    <t>E-7948</t>
  </si>
  <si>
    <t>E-7949</t>
  </si>
  <si>
    <t>E-7950</t>
  </si>
  <si>
    <t>E-7951</t>
  </si>
  <si>
    <t>E-7952</t>
  </si>
  <si>
    <t>E-7953</t>
  </si>
  <si>
    <t>E-7954</t>
  </si>
  <si>
    <t>E-7955</t>
  </si>
  <si>
    <t>E-7956</t>
  </si>
  <si>
    <t>E-7957</t>
  </si>
  <si>
    <t>E-7958</t>
  </si>
  <si>
    <t>E-7959</t>
  </si>
  <si>
    <t>E-7960</t>
  </si>
  <si>
    <t>E-7961</t>
  </si>
  <si>
    <t>E-7962</t>
  </si>
  <si>
    <t>E-7963</t>
  </si>
  <si>
    <t>E-7964</t>
  </si>
  <si>
    <t>E-7965</t>
  </si>
  <si>
    <t>E-7966</t>
  </si>
  <si>
    <t>E-7967</t>
  </si>
  <si>
    <t>E-7968</t>
  </si>
  <si>
    <t>E-7969</t>
  </si>
  <si>
    <t>E-7970</t>
  </si>
  <si>
    <t>E-7971</t>
  </si>
  <si>
    <t>E-7972</t>
  </si>
  <si>
    <t>E-7973</t>
  </si>
  <si>
    <t>E-7974</t>
  </si>
  <si>
    <t>E-7975</t>
  </si>
  <si>
    <t>E-7976</t>
  </si>
  <si>
    <t>E-7977</t>
  </si>
  <si>
    <t>E-7978</t>
  </si>
  <si>
    <t>E-7979</t>
  </si>
  <si>
    <t>E-7980</t>
  </si>
  <si>
    <t>E-7981</t>
  </si>
  <si>
    <t>E-7982</t>
  </si>
  <si>
    <t>E-7983</t>
  </si>
  <si>
    <t>E-7984</t>
  </si>
  <si>
    <t>E-7985</t>
  </si>
  <si>
    <t>E-7986</t>
  </si>
  <si>
    <t>E-7987</t>
  </si>
  <si>
    <t>E-7988</t>
  </si>
  <si>
    <t>E-7989</t>
  </si>
  <si>
    <t>E-7990</t>
  </si>
  <si>
    <t>E-7991</t>
  </si>
  <si>
    <t>E-7992</t>
  </si>
  <si>
    <t>E-7993</t>
  </si>
  <si>
    <t>E-7994</t>
  </si>
  <si>
    <t>E-7995</t>
  </si>
  <si>
    <t>E-7996</t>
  </si>
  <si>
    <t>E-7997</t>
  </si>
  <si>
    <t>E-7998</t>
  </si>
  <si>
    <t>E-7999</t>
  </si>
  <si>
    <t>E-8000</t>
  </si>
  <si>
    <t>E-8001</t>
  </si>
  <si>
    <t>E-8002</t>
  </si>
  <si>
    <t>E-8003</t>
  </si>
  <si>
    <t>E-8004</t>
  </si>
  <si>
    <t>E-8005</t>
  </si>
  <si>
    <t>E-8006</t>
  </si>
  <si>
    <t>E-8007</t>
  </si>
  <si>
    <t>E-8008</t>
  </si>
  <si>
    <t>E-8009</t>
  </si>
  <si>
    <t>E-8010</t>
  </si>
  <si>
    <t>E-8011</t>
  </si>
  <si>
    <t>E-8012</t>
  </si>
  <si>
    <t>E-8013</t>
  </si>
  <si>
    <t>E-8014</t>
  </si>
  <si>
    <t>E-8015</t>
  </si>
  <si>
    <t>E-8016</t>
  </si>
  <si>
    <t>E-8017</t>
  </si>
  <si>
    <t>E-8018</t>
  </si>
  <si>
    <t>E-8019</t>
  </si>
  <si>
    <t>E-8020</t>
  </si>
  <si>
    <t>E-8021</t>
  </si>
  <si>
    <t>E-8022</t>
  </si>
  <si>
    <t>E-8023</t>
  </si>
  <si>
    <t>E-8024</t>
  </si>
  <si>
    <t>E-8025</t>
  </si>
  <si>
    <t>E-8026</t>
  </si>
  <si>
    <t>E-8027</t>
  </si>
  <si>
    <t>E-8028</t>
  </si>
  <si>
    <t>E-8029</t>
  </si>
  <si>
    <t>E-8030</t>
  </si>
  <si>
    <t>E-8031</t>
  </si>
  <si>
    <t>E-8032</t>
  </si>
  <si>
    <t>E-8033</t>
  </si>
  <si>
    <t>E-8034</t>
  </si>
  <si>
    <t>E-8035</t>
  </si>
  <si>
    <t>E-8036</t>
  </si>
  <si>
    <t>E-8037</t>
  </si>
  <si>
    <t>E-8038</t>
  </si>
  <si>
    <t>E-8039</t>
  </si>
  <si>
    <t>E-8040</t>
  </si>
  <si>
    <t>E-8041</t>
  </si>
  <si>
    <t>E-8042</t>
  </si>
  <si>
    <t>E-8043</t>
  </si>
  <si>
    <t>E-8044</t>
  </si>
  <si>
    <t>E-8045</t>
  </si>
  <si>
    <t>E-8046</t>
  </si>
  <si>
    <t>E-8047</t>
  </si>
  <si>
    <t>E-8048</t>
  </si>
  <si>
    <t>E-8049</t>
  </si>
  <si>
    <t>E-8050</t>
  </si>
  <si>
    <t>E-8051</t>
  </si>
  <si>
    <t>E-8052</t>
  </si>
  <si>
    <t>E-8053</t>
  </si>
  <si>
    <t>E-8054</t>
  </si>
  <si>
    <t>E-8055</t>
  </si>
  <si>
    <t>E-8056</t>
  </si>
  <si>
    <t>E-8057</t>
  </si>
  <si>
    <t>E-8058</t>
  </si>
  <si>
    <t>E-8059</t>
  </si>
  <si>
    <t>E-8060</t>
  </si>
  <si>
    <t>E-8061</t>
  </si>
  <si>
    <t>E-8062</t>
  </si>
  <si>
    <t>E-8063</t>
  </si>
  <si>
    <t>E-8064</t>
  </si>
  <si>
    <t>E-8065</t>
  </si>
  <si>
    <t>E-8066</t>
  </si>
  <si>
    <t>E-8067</t>
  </si>
  <si>
    <t>E-8068</t>
  </si>
  <si>
    <t>E-8069</t>
  </si>
  <si>
    <t>E-8070</t>
  </si>
  <si>
    <t>E-8071</t>
  </si>
  <si>
    <t>E-8072</t>
  </si>
  <si>
    <t>E-8073</t>
  </si>
  <si>
    <t>E-8074</t>
  </si>
  <si>
    <t>E-8075</t>
  </si>
  <si>
    <t>E-8076</t>
  </si>
  <si>
    <t>E-8077</t>
  </si>
  <si>
    <t>E-8078</t>
  </si>
  <si>
    <t>E-8079</t>
  </si>
  <si>
    <t>E-8080</t>
  </si>
  <si>
    <t>E-8081</t>
  </si>
  <si>
    <t>E-8082</t>
  </si>
  <si>
    <t>E-8083</t>
  </si>
  <si>
    <t>E-8084</t>
  </si>
  <si>
    <t>E-8085</t>
  </si>
  <si>
    <t>E-8086</t>
  </si>
  <si>
    <t>E-8087</t>
  </si>
  <si>
    <t>E-8088</t>
  </si>
  <si>
    <t>E-8089</t>
  </si>
  <si>
    <t>E-8090</t>
  </si>
  <si>
    <t>E-8091</t>
  </si>
  <si>
    <t>E-8092</t>
  </si>
  <si>
    <t>E-8093</t>
  </si>
  <si>
    <t>E-8094</t>
  </si>
  <si>
    <t>E-8095</t>
  </si>
  <si>
    <t>E-8096</t>
  </si>
  <si>
    <t>E-8097</t>
  </si>
  <si>
    <t>E-8098</t>
  </si>
  <si>
    <t>E-8099</t>
  </si>
  <si>
    <t>E-8100</t>
  </si>
  <si>
    <t>E-8101</t>
  </si>
  <si>
    <t>E-8102</t>
  </si>
  <si>
    <t>E-8103</t>
  </si>
  <si>
    <t>E-8104</t>
  </si>
  <si>
    <t>E-8105</t>
  </si>
  <si>
    <t>E-8106</t>
  </si>
  <si>
    <t>E-8107</t>
  </si>
  <si>
    <t>E-8108</t>
  </si>
  <si>
    <t>E-8109</t>
  </si>
  <si>
    <t>E-8110</t>
  </si>
  <si>
    <t>E-8111</t>
  </si>
  <si>
    <t>E-8112</t>
  </si>
  <si>
    <t>E-8113</t>
  </si>
  <si>
    <t>E-8114</t>
  </si>
  <si>
    <t>E-8115</t>
  </si>
  <si>
    <t>E-8116</t>
  </si>
  <si>
    <t>E-8117</t>
  </si>
  <si>
    <t>E-8118</t>
  </si>
  <si>
    <t>E-8119</t>
  </si>
  <si>
    <t>E-8120</t>
  </si>
  <si>
    <t>E-8121</t>
  </si>
  <si>
    <t>E-8122</t>
  </si>
  <si>
    <t>E-8123</t>
  </si>
  <si>
    <t>E-8124</t>
  </si>
  <si>
    <t>E-8125</t>
  </si>
  <si>
    <t>E-8126</t>
  </si>
  <si>
    <t>E-8127</t>
  </si>
  <si>
    <t>E-8128</t>
  </si>
  <si>
    <t>E-8129</t>
  </si>
  <si>
    <t>E-8130</t>
  </si>
  <si>
    <t>E-8131</t>
  </si>
  <si>
    <t>E-8132</t>
  </si>
  <si>
    <t>E-8133</t>
  </si>
  <si>
    <t>E-8134</t>
  </si>
  <si>
    <t>E-8135</t>
  </si>
  <si>
    <t>E-8136</t>
  </si>
  <si>
    <t>E-8137</t>
  </si>
  <si>
    <t>E-8138</t>
  </si>
  <si>
    <t>E-8139</t>
  </si>
  <si>
    <t>E-8140</t>
  </si>
  <si>
    <t>E-8141</t>
  </si>
  <si>
    <t>E-8142</t>
  </si>
  <si>
    <t>E-8143</t>
  </si>
  <si>
    <t>E-8144</t>
  </si>
  <si>
    <t>E-8145</t>
  </si>
  <si>
    <t>E-8146</t>
  </si>
  <si>
    <t>E-8147</t>
  </si>
  <si>
    <t>E-8148</t>
  </si>
  <si>
    <t>E-8149</t>
  </si>
  <si>
    <t>E-8150</t>
  </si>
  <si>
    <t>E-8151</t>
  </si>
  <si>
    <t>E-8152</t>
  </si>
  <si>
    <t>E-8153</t>
  </si>
  <si>
    <t>E-8154</t>
  </si>
  <si>
    <t>E-8155</t>
  </si>
  <si>
    <t>E-8156</t>
  </si>
  <si>
    <t>E-8157</t>
  </si>
  <si>
    <t>E-8158</t>
  </si>
  <si>
    <t>E-8159</t>
  </si>
  <si>
    <t>E-8160</t>
  </si>
  <si>
    <t>E-8161</t>
  </si>
  <si>
    <t>E-8162</t>
  </si>
  <si>
    <t>E-8163</t>
  </si>
  <si>
    <t>E-8164</t>
  </si>
  <si>
    <t>E-8165</t>
  </si>
  <si>
    <t>E-8166</t>
  </si>
  <si>
    <t>E-8167</t>
  </si>
  <si>
    <t>E-8168</t>
  </si>
  <si>
    <t>E-8169</t>
  </si>
  <si>
    <t>E-8170</t>
  </si>
  <si>
    <t>E-8171</t>
  </si>
  <si>
    <t>E-8172</t>
  </si>
  <si>
    <t>E-8173</t>
  </si>
  <si>
    <t>E-8174</t>
  </si>
  <si>
    <t>E-8175</t>
  </si>
  <si>
    <t>E-8176</t>
  </si>
  <si>
    <t>E-8177</t>
  </si>
  <si>
    <t>E-8178</t>
  </si>
  <si>
    <t>E-8179</t>
  </si>
  <si>
    <t>E-8180</t>
  </si>
  <si>
    <t>E-8181</t>
  </si>
  <si>
    <t>E-8182</t>
  </si>
  <si>
    <t>E-8183</t>
  </si>
  <si>
    <t>E-8184</t>
  </si>
  <si>
    <t>E-8185</t>
  </si>
  <si>
    <t>E-8186</t>
  </si>
  <si>
    <t>E-8187</t>
  </si>
  <si>
    <t>E-8188</t>
  </si>
  <si>
    <t>E-8189</t>
  </si>
  <si>
    <t>E-8190</t>
  </si>
  <si>
    <t>E-8191</t>
  </si>
  <si>
    <t>E-8192</t>
  </si>
  <si>
    <t>E-8193</t>
  </si>
  <si>
    <t>E-8194</t>
  </si>
  <si>
    <t>E-8195</t>
  </si>
  <si>
    <t>E-8196</t>
  </si>
  <si>
    <t>E-8197</t>
  </si>
  <si>
    <t>E-8198</t>
  </si>
  <si>
    <t>E-8199</t>
  </si>
  <si>
    <t>E-8200</t>
  </si>
  <si>
    <t>E-8201</t>
  </si>
  <si>
    <t>E-8202</t>
  </si>
  <si>
    <t>E-8203</t>
  </si>
  <si>
    <t>E-8204</t>
  </si>
  <si>
    <t>E-8205</t>
  </si>
  <si>
    <t>E-8206</t>
  </si>
  <si>
    <t>E-8207</t>
  </si>
  <si>
    <t>E-8208</t>
  </si>
  <si>
    <t>E-8209</t>
  </si>
  <si>
    <t>E-8210</t>
  </si>
  <si>
    <t>E-8211</t>
  </si>
  <si>
    <t>E-8212</t>
  </si>
  <si>
    <t>E-8213</t>
  </si>
  <si>
    <t>E-8214</t>
  </si>
  <si>
    <t>E-8215</t>
  </si>
  <si>
    <t>E-8216</t>
  </si>
  <si>
    <t>E-8217</t>
  </si>
  <si>
    <t>E-8218</t>
  </si>
  <si>
    <t>E-8219</t>
  </si>
  <si>
    <t>E-8220</t>
  </si>
  <si>
    <t>E-8221</t>
  </si>
  <si>
    <t>E-8222</t>
  </si>
  <si>
    <t>E-8223</t>
  </si>
  <si>
    <t>E-8224</t>
  </si>
  <si>
    <t>E-8225</t>
  </si>
  <si>
    <t>E-8226</t>
  </si>
  <si>
    <t>E-8227</t>
  </si>
  <si>
    <t>E-8228</t>
  </si>
  <si>
    <t>E-8229</t>
  </si>
  <si>
    <t>30/10/2017</t>
  </si>
  <si>
    <t>E-8230</t>
  </si>
  <si>
    <t>E-8231</t>
  </si>
  <si>
    <t>E-8232</t>
  </si>
  <si>
    <t>E-8233</t>
  </si>
  <si>
    <t>E-8234</t>
  </si>
  <si>
    <t>E-8235</t>
  </si>
  <si>
    <t>E-8236</t>
  </si>
  <si>
    <t>E-8237</t>
  </si>
  <si>
    <t>E-8238</t>
  </si>
  <si>
    <t>E-8239</t>
  </si>
  <si>
    <t>E-8240</t>
  </si>
  <si>
    <t>E-8241</t>
  </si>
  <si>
    <t>E-8242</t>
  </si>
  <si>
    <t>E-8243</t>
  </si>
  <si>
    <t>E-8244</t>
  </si>
  <si>
    <t>E-8245</t>
  </si>
  <si>
    <t>E-8246</t>
  </si>
  <si>
    <t>E-8247</t>
  </si>
  <si>
    <t>E-8248</t>
  </si>
  <si>
    <t>E-8249</t>
  </si>
  <si>
    <t>E-8250</t>
  </si>
  <si>
    <t>E-8251</t>
  </si>
  <si>
    <t>E-8252</t>
  </si>
  <si>
    <t>E-8253</t>
  </si>
  <si>
    <t>E-8254</t>
  </si>
  <si>
    <t>E-8255</t>
  </si>
  <si>
    <t>E-8256</t>
  </si>
  <si>
    <t>E-8257</t>
  </si>
  <si>
    <t>E-8258</t>
  </si>
  <si>
    <t>E-8259</t>
  </si>
  <si>
    <t>E-8260</t>
  </si>
  <si>
    <t>E-8261</t>
  </si>
  <si>
    <t>E-8262</t>
  </si>
  <si>
    <t>E-8263</t>
  </si>
  <si>
    <t>E-8264</t>
  </si>
  <si>
    <t>E-8265</t>
  </si>
  <si>
    <t>E-8266</t>
  </si>
  <si>
    <t>E-8267</t>
  </si>
  <si>
    <t>E-8268</t>
  </si>
  <si>
    <t>E-8269</t>
  </si>
  <si>
    <t>E-8270</t>
  </si>
  <si>
    <t>E-8271</t>
  </si>
  <si>
    <t>E-8272</t>
  </si>
  <si>
    <t>E-8273</t>
  </si>
  <si>
    <t>E-8274</t>
  </si>
  <si>
    <t>E-8275</t>
  </si>
  <si>
    <t>E-8276</t>
  </si>
  <si>
    <t>E-8277</t>
  </si>
  <si>
    <t>E-8278</t>
  </si>
  <si>
    <t>E-8279</t>
  </si>
  <si>
    <t>E-8280</t>
  </si>
  <si>
    <t>E-8281</t>
  </si>
  <si>
    <t>E-8282</t>
  </si>
  <si>
    <t>E-8283</t>
  </si>
  <si>
    <t>E-8284</t>
  </si>
  <si>
    <t>E-8285</t>
  </si>
  <si>
    <t>E-8286</t>
  </si>
  <si>
    <t>E-8287</t>
  </si>
  <si>
    <t>E-8288</t>
  </si>
  <si>
    <t>E-8289</t>
  </si>
  <si>
    <t>E-8290</t>
  </si>
  <si>
    <t>E-8291</t>
  </si>
  <si>
    <t>E-8292</t>
  </si>
  <si>
    <t>E-8293</t>
  </si>
  <si>
    <t>E-8294</t>
  </si>
  <si>
    <t>E-8295</t>
  </si>
  <si>
    <t>E-8296</t>
  </si>
  <si>
    <t>E-8297</t>
  </si>
  <si>
    <t>E-8298</t>
  </si>
  <si>
    <t>E-8299</t>
  </si>
  <si>
    <t>E-8300</t>
  </si>
  <si>
    <t>E-8301</t>
  </si>
  <si>
    <t>E-8302</t>
  </si>
  <si>
    <t>E-8303</t>
  </si>
  <si>
    <t>E-8304</t>
  </si>
  <si>
    <t>E-8305</t>
  </si>
  <si>
    <t>E-8306</t>
  </si>
  <si>
    <t>E-8307</t>
  </si>
  <si>
    <t>E-8308</t>
  </si>
  <si>
    <t>E-8309</t>
  </si>
  <si>
    <t>E-8310</t>
  </si>
  <si>
    <t>E-8311</t>
  </si>
  <si>
    <t>E-8312</t>
  </si>
  <si>
    <t>E-8313</t>
  </si>
  <si>
    <t>E-8314</t>
  </si>
  <si>
    <t>E-8315</t>
  </si>
  <si>
    <t>E-8316</t>
  </si>
  <si>
    <t>E-8317</t>
  </si>
  <si>
    <t>E-8318</t>
  </si>
  <si>
    <t>E-8319</t>
  </si>
  <si>
    <t>E-8320</t>
  </si>
  <si>
    <t>E-8321</t>
  </si>
  <si>
    <t>E-8322</t>
  </si>
  <si>
    <t>E-8323</t>
  </si>
  <si>
    <t>E-8324</t>
  </si>
  <si>
    <t>E-8325</t>
  </si>
  <si>
    <t>E-8326</t>
  </si>
  <si>
    <t>E-8327</t>
  </si>
  <si>
    <t>E-8328</t>
  </si>
  <si>
    <t>E-8329</t>
  </si>
  <si>
    <t>E-8330</t>
  </si>
  <si>
    <t>E-8331</t>
  </si>
  <si>
    <t>E-8332</t>
  </si>
  <si>
    <t>E-8333</t>
  </si>
  <si>
    <t>E-8334</t>
  </si>
  <si>
    <t>E-8335</t>
  </si>
  <si>
    <t>E-8336</t>
  </si>
  <si>
    <t>E-8337</t>
  </si>
  <si>
    <t>E-8338</t>
  </si>
  <si>
    <t>E-8339</t>
  </si>
  <si>
    <t>E-8340</t>
  </si>
  <si>
    <t>E-8341</t>
  </si>
  <si>
    <t>E-8342</t>
  </si>
  <si>
    <t>E-8343</t>
  </si>
  <si>
    <t>E-8344</t>
  </si>
  <si>
    <t>E-8345</t>
  </si>
  <si>
    <t>E-8346</t>
  </si>
  <si>
    <t>E-8347</t>
  </si>
  <si>
    <t>E-8348</t>
  </si>
  <si>
    <t>E-8349</t>
  </si>
  <si>
    <t>E-8350</t>
  </si>
  <si>
    <t>E-8351</t>
  </si>
  <si>
    <t>E-8352</t>
  </si>
  <si>
    <t>E-8353</t>
  </si>
  <si>
    <t>E-8354</t>
  </si>
  <si>
    <t>E-8355</t>
  </si>
  <si>
    <t>E-8356</t>
  </si>
  <si>
    <t>E-8357</t>
  </si>
  <si>
    <t>E-8358</t>
  </si>
  <si>
    <t>E-8359</t>
  </si>
  <si>
    <t>E-8360</t>
  </si>
  <si>
    <t>E-8361</t>
  </si>
  <si>
    <t>E-8362</t>
  </si>
  <si>
    <t>E-8363</t>
  </si>
  <si>
    <t>E-8364</t>
  </si>
  <si>
    <t>E-8365</t>
  </si>
  <si>
    <t>E-8366</t>
  </si>
  <si>
    <t>E-8367</t>
  </si>
  <si>
    <t>E-8368</t>
  </si>
  <si>
    <t>E-8369</t>
  </si>
  <si>
    <t>E-8370</t>
  </si>
  <si>
    <t>E-8371</t>
  </si>
  <si>
    <t>E-8372</t>
  </si>
  <si>
    <t>E-8373</t>
  </si>
  <si>
    <t>E-8374</t>
  </si>
  <si>
    <t>E-8375</t>
  </si>
  <si>
    <t>E-8376</t>
  </si>
  <si>
    <t>E-8377</t>
  </si>
  <si>
    <t>E-8378</t>
  </si>
  <si>
    <t>E-8379</t>
  </si>
  <si>
    <t>E-8380</t>
  </si>
  <si>
    <t>E-8381</t>
  </si>
  <si>
    <t>E-8382</t>
  </si>
  <si>
    <t>E-8383</t>
  </si>
  <si>
    <t>E-8384</t>
  </si>
  <si>
    <t>E-8385</t>
  </si>
  <si>
    <t>E-8386</t>
  </si>
  <si>
    <t>E-8387</t>
  </si>
  <si>
    <t>E-8388</t>
  </si>
  <si>
    <t>E-8389</t>
  </si>
  <si>
    <t>E-8390</t>
  </si>
  <si>
    <t>E-8391</t>
  </si>
  <si>
    <t>E-8392</t>
  </si>
  <si>
    <t>E-8393</t>
  </si>
  <si>
    <t>E-8394</t>
  </si>
  <si>
    <t>E-8395</t>
  </si>
  <si>
    <t>E-8396</t>
  </si>
  <si>
    <t>E-8397</t>
  </si>
  <si>
    <t>E-8398</t>
  </si>
  <si>
    <t>E-8399</t>
  </si>
  <si>
    <t>E-8400</t>
  </si>
  <si>
    <t>E-8401</t>
  </si>
  <si>
    <t>E-8402</t>
  </si>
  <si>
    <t>E-8403</t>
  </si>
  <si>
    <t>E-8404</t>
  </si>
  <si>
    <t>E-8405</t>
  </si>
  <si>
    <t>E-8406</t>
  </si>
  <si>
    <t>E-8407</t>
  </si>
  <si>
    <t>E-8408</t>
  </si>
  <si>
    <t>E-8409</t>
  </si>
  <si>
    <t>E-8410</t>
  </si>
  <si>
    <t>E-8411</t>
  </si>
  <si>
    <t>E-8412</t>
  </si>
  <si>
    <t>E-8413</t>
  </si>
  <si>
    <t>E-8414</t>
  </si>
  <si>
    <t>E-8415</t>
  </si>
  <si>
    <t>E-8416</t>
  </si>
  <si>
    <t>E-8417</t>
  </si>
  <si>
    <t>E-8418</t>
  </si>
  <si>
    <t>E-8419</t>
  </si>
  <si>
    <t>E-8420</t>
  </si>
  <si>
    <t>E-8421</t>
  </si>
  <si>
    <t>E-8422</t>
  </si>
  <si>
    <t>E-8423</t>
  </si>
  <si>
    <t>E-8424</t>
  </si>
  <si>
    <t>E-8425</t>
  </si>
  <si>
    <t>E-8426</t>
  </si>
  <si>
    <t>E-8427</t>
  </si>
  <si>
    <t>E-8428</t>
  </si>
  <si>
    <t>E-8429</t>
  </si>
  <si>
    <t>E-8430</t>
  </si>
  <si>
    <t>E-8431</t>
  </si>
  <si>
    <t>E-8432</t>
  </si>
  <si>
    <t>E-8433</t>
  </si>
  <si>
    <t>E-8434</t>
  </si>
  <si>
    <t>E-8435</t>
  </si>
  <si>
    <t>E-8436</t>
  </si>
  <si>
    <t>E-8437</t>
  </si>
  <si>
    <t>E-8438</t>
  </si>
  <si>
    <t>E-8439</t>
  </si>
  <si>
    <t>E-8440</t>
  </si>
  <si>
    <t>E-8441</t>
  </si>
  <si>
    <t>E-8442</t>
  </si>
  <si>
    <t>E-8443</t>
  </si>
  <si>
    <t>E-8444</t>
  </si>
  <si>
    <t>E-8445</t>
  </si>
  <si>
    <t>E-8446</t>
  </si>
  <si>
    <t>E-8447</t>
  </si>
  <si>
    <t>E-8448</t>
  </si>
  <si>
    <t>E-8449</t>
  </si>
  <si>
    <t>E-8450</t>
  </si>
  <si>
    <t>E-8451</t>
  </si>
  <si>
    <t>E-8452</t>
  </si>
  <si>
    <t>E-8453</t>
  </si>
  <si>
    <t>E-8454</t>
  </si>
  <si>
    <t>E-8455</t>
  </si>
  <si>
    <t>E-8456</t>
  </si>
  <si>
    <t>E-8457</t>
  </si>
  <si>
    <t>E-8458</t>
  </si>
  <si>
    <t>E-8459</t>
  </si>
  <si>
    <t>E-8460</t>
  </si>
  <si>
    <t>E-8461</t>
  </si>
  <si>
    <t>E-8462</t>
  </si>
  <si>
    <t>E-8463</t>
  </si>
  <si>
    <t>E-8464</t>
  </si>
  <si>
    <t>E-8465</t>
  </si>
  <si>
    <t>E-8466</t>
  </si>
  <si>
    <t>E-8467</t>
  </si>
  <si>
    <t>E-8468</t>
  </si>
  <si>
    <t>E-8469</t>
  </si>
  <si>
    <t>E-8470</t>
  </si>
  <si>
    <t>E-8471</t>
  </si>
  <si>
    <t>E-8472</t>
  </si>
  <si>
    <t>E-8473</t>
  </si>
  <si>
    <t>E-8474</t>
  </si>
  <si>
    <t>E-8475</t>
  </si>
  <si>
    <t>E-8476</t>
  </si>
  <si>
    <t>E-8477</t>
  </si>
  <si>
    <t>E-8478</t>
  </si>
  <si>
    <t>E-8479</t>
  </si>
  <si>
    <t>E-8480</t>
  </si>
  <si>
    <t>E-8481</t>
  </si>
  <si>
    <t>E-8482</t>
  </si>
  <si>
    <t>E-8483</t>
  </si>
  <si>
    <t>E-8484</t>
  </si>
  <si>
    <t>E-8485</t>
  </si>
  <si>
    <t>E-8486</t>
  </si>
  <si>
    <t>E-8487</t>
  </si>
  <si>
    <t>E-8488</t>
  </si>
  <si>
    <t>E-8489</t>
  </si>
  <si>
    <t>E-8490</t>
  </si>
  <si>
    <t>E-8491</t>
  </si>
  <si>
    <t>E-8492</t>
  </si>
  <si>
    <t>E-8493</t>
  </si>
  <si>
    <t>E-8494</t>
  </si>
  <si>
    <t>E-8495</t>
  </si>
  <si>
    <t>E-8496</t>
  </si>
  <si>
    <t>E-8497</t>
  </si>
  <si>
    <t>E-8498</t>
  </si>
  <si>
    <t>E-8499</t>
  </si>
  <si>
    <t>E-8500</t>
  </si>
  <si>
    <t>E-8501</t>
  </si>
  <si>
    <t>E-8502</t>
  </si>
  <si>
    <t>E-8503</t>
  </si>
  <si>
    <t>E-8504</t>
  </si>
  <si>
    <t>E-8505</t>
  </si>
  <si>
    <t>E-8506</t>
  </si>
  <si>
    <t>E-8507</t>
  </si>
  <si>
    <t>E-8508</t>
  </si>
  <si>
    <t>E-8509</t>
  </si>
  <si>
    <t>E-8510</t>
  </si>
  <si>
    <t>E-8511</t>
  </si>
  <si>
    <t>E-8512</t>
  </si>
  <si>
    <t>E-8513</t>
  </si>
  <si>
    <t>E-8514</t>
  </si>
  <si>
    <t>E-8515</t>
  </si>
  <si>
    <t>E-8516</t>
  </si>
  <si>
    <t>E-8517</t>
  </si>
  <si>
    <t>E-8518</t>
  </si>
  <si>
    <t>E-8519</t>
  </si>
  <si>
    <t>E-8520</t>
  </si>
  <si>
    <t>E-8521</t>
  </si>
  <si>
    <t>E-8522</t>
  </si>
  <si>
    <t>E-8523</t>
  </si>
  <si>
    <t>E-8524</t>
  </si>
  <si>
    <t>E-8525</t>
  </si>
  <si>
    <t>E-8526</t>
  </si>
  <si>
    <t>E-8527</t>
  </si>
  <si>
    <t>E-8528</t>
  </si>
  <si>
    <t>E-8529</t>
  </si>
  <si>
    <t>E-8530</t>
  </si>
  <si>
    <t>E-8531</t>
  </si>
  <si>
    <t>E-8532</t>
  </si>
  <si>
    <t>E-8533</t>
  </si>
  <si>
    <t>E-8534</t>
  </si>
  <si>
    <t>E-8535</t>
  </si>
  <si>
    <t>E-8536</t>
  </si>
  <si>
    <t>E-8537</t>
  </si>
  <si>
    <t>E-8538</t>
  </si>
  <si>
    <t>E-8539</t>
  </si>
  <si>
    <t>E-8540</t>
  </si>
  <si>
    <t>E-8541</t>
  </si>
  <si>
    <t>E-8542</t>
  </si>
  <si>
    <t>E-8543</t>
  </si>
  <si>
    <t>E-8544</t>
  </si>
  <si>
    <t>E-8545</t>
  </si>
  <si>
    <t>E-8546</t>
  </si>
  <si>
    <t>E-8547</t>
  </si>
  <si>
    <t>E-8548</t>
  </si>
  <si>
    <t>E-8549</t>
  </si>
  <si>
    <t>E-8550</t>
  </si>
  <si>
    <t>E-8551</t>
  </si>
  <si>
    <t>E-8552</t>
  </si>
  <si>
    <t>E-8553</t>
  </si>
  <si>
    <t>E-8554</t>
  </si>
  <si>
    <t>E-8555</t>
  </si>
  <si>
    <t>E-8556</t>
  </si>
  <si>
    <t>E-8557</t>
  </si>
  <si>
    <t>E-8558</t>
  </si>
  <si>
    <t>E-8559</t>
  </si>
  <si>
    <t>E-8560</t>
  </si>
  <si>
    <t>E-8561</t>
  </si>
  <si>
    <t>19-Sep-17--4-Oct-17--1-Nov-17-------24/01/2018</t>
  </si>
  <si>
    <t>19-Oct-17--1-Nov-17</t>
  </si>
  <si>
    <t>27-Oct-17--1-Nov-17</t>
  </si>
  <si>
    <t>30-Oct-17--1-Nov-17</t>
  </si>
  <si>
    <t>31-Oct-17--1-Nov-17</t>
  </si>
  <si>
    <t>1-Nov-17--2-Nov-17</t>
  </si>
  <si>
    <t>31-Oct-17--2-Nov-17</t>
  </si>
  <si>
    <t>31-Oct-17--1-Nov-17--2-Nov-17</t>
  </si>
  <si>
    <t>1-Nov-17--4-Nov-17</t>
  </si>
  <si>
    <t>2-Nov-17--4-Nov-17</t>
  </si>
  <si>
    <t>28-Oct-17--6-Nov-17</t>
  </si>
  <si>
    <t>2-Nov-17--7-Nov-17</t>
  </si>
  <si>
    <t>30-Oct-17--9-Nov-17</t>
  </si>
  <si>
    <t>7-Nov-17--9-Nov-17</t>
  </si>
  <si>
    <t>6-Nov-17--10-Nov-17</t>
  </si>
  <si>
    <t>10-Nov-17--13-Nov-17</t>
  </si>
  <si>
    <t>20-Sep-17--23-Sep-17--2-Oct-17--4-Oct-17--11-Oct-17--16-Oct-17--18-Oct-17--24-Oct-17--30-Oct-17--3-Nov-17--6-Nov-17--11-Nov-17--14-Nov-17</t>
  </si>
  <si>
    <t>13-Nov-17--16-Nov-17</t>
  </si>
  <si>
    <t>5-Oct-17--23-Nov-17</t>
  </si>
  <si>
    <t>16-Nov-17--23-Nov-17</t>
  </si>
  <si>
    <t>7-Nov-17--14-Nov-17--22-Nov-17--29-Nov-17---07/12/2017</t>
  </si>
  <si>
    <t>1-Nov-17--7-Nov-17--14-Nov-17--23-Nov-17--29-Nov-17---07/02/2018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</si>
</sst>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$&quot;* #,##0.00_-;\-&quot;$&quot;* #,##0.00_-;_-&quot;$&quot;* &quot;-&quot;??_-;_-@_-"/>
    <numFmt numFmtId="164" formatCode="[$-C0A]d\-mmm\-yy;@"/>
    <numFmt numFmtId="165" formatCode="[$$-80A]#,##0.00"/>
    <numFmt numFmtId="166" formatCode="&quot;$&quot;#,##0.00"/>
    <numFmt numFmtId="167" formatCode="[$$-80A]#,##0.00;\-[$$-80A]#,##0.00"/>
    <numFmt numFmtId="168" formatCode="[$-C0A]dd\-mmm\-yy;@"/>
  </numFmts>
  <fonts count="5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5" tint="-0.249977111117893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1"/>
      <color theme="1"/>
      <name val="Arial"/>
      <family val="2"/>
    </font>
    <font>
      <b/>
      <i/>
      <sz val="12"/>
      <color theme="1"/>
      <name val="Arial"/>
      <family val="2"/>
    </font>
    <font>
      <b/>
      <i/>
      <sz val="11"/>
      <color theme="5" tint="-0.249977111117893"/>
      <name val="Arial"/>
      <family val="2"/>
    </font>
    <font>
      <b/>
      <i/>
      <sz val="11"/>
      <color rgb="FF0000FF"/>
      <name val="Arial"/>
      <family val="2"/>
    </font>
    <font>
      <b/>
      <sz val="20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u/>
      <sz val="12"/>
      <color rgb="FF0000CC"/>
      <name val="Calibri"/>
      <family val="2"/>
      <scheme val="minor"/>
    </font>
    <font>
      <b/>
      <sz val="12"/>
      <color theme="1"/>
      <name val="Calibri"/>
      <family val="2"/>
    </font>
    <font>
      <b/>
      <sz val="12"/>
      <color theme="5" tint="-0.249977111117893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2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rgb="FF0000FF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rgb="FF3333FF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2"/>
      <color rgb="FF3333FF"/>
      <name val="Calibri"/>
      <family val="2"/>
      <scheme val="minor"/>
    </font>
    <font>
      <sz val="14"/>
      <color theme="1"/>
      <name val="Calibri"/>
      <family val="2"/>
      <scheme val="minor"/>
    </font>
    <font>
      <b/>
      <i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10"/>
      <color rgb="FF0000FF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9"/>
      <color theme="5" tint="-0.499984740745262"/>
      <name val="Calibri"/>
      <family val="2"/>
      <scheme val="minor"/>
    </font>
    <font>
      <b/>
      <sz val="12"/>
      <color theme="5" tint="-0.499984740745262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FF0000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rgb="FF00B0F0"/>
        <bgColor theme="4" tint="0.7999816888943144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79998168889431442"/>
        <bgColor theme="4" tint="0.79998168889431442"/>
      </patternFill>
    </fill>
    <fill>
      <patternFill patternType="solid">
        <fgColor rgb="FF00FFFF"/>
        <bgColor indexed="64"/>
      </patternFill>
    </fill>
  </fills>
  <borders count="3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Dashed">
        <color auto="1"/>
      </left>
      <right/>
      <top style="mediumDashed">
        <color auto="1"/>
      </top>
      <bottom style="mediumDashed">
        <color auto="1"/>
      </bottom>
      <diagonal/>
    </border>
    <border>
      <left/>
      <right/>
      <top style="mediumDashed">
        <color auto="1"/>
      </top>
      <bottom style="mediumDashed">
        <color auto="1"/>
      </bottom>
      <diagonal/>
    </border>
    <border>
      <left/>
      <right style="mediumDashed">
        <color auto="1"/>
      </right>
      <top style="mediumDashed">
        <color auto="1"/>
      </top>
      <bottom style="mediumDashed">
        <color auto="1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Dashed">
        <color auto="1"/>
      </left>
      <right style="mediumDashed">
        <color auto="1"/>
      </right>
      <top style="mediumDashed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Dashed">
        <color auto="1"/>
      </left>
      <right style="mediumDashed">
        <color auto="1"/>
      </right>
      <top/>
      <bottom style="mediumDashed">
        <color auto="1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auto="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Dashed">
        <color auto="1"/>
      </left>
      <right/>
      <top style="medium">
        <color auto="1"/>
      </top>
      <bottom/>
      <diagonal/>
    </border>
    <border>
      <left style="mediumDashed">
        <color auto="1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double">
        <color indexed="64"/>
      </bottom>
      <diagonal/>
    </border>
    <border>
      <left/>
      <right/>
      <top style="thin">
        <color theme="4" tint="0.39997558519241921"/>
      </top>
      <bottom style="double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449">
    <xf numFmtId="0" fontId="0" fillId="0" borderId="0" xfId="0"/>
    <xf numFmtId="0" fontId="2" fillId="0" borderId="1" xfId="0" applyFont="1" applyBorder="1"/>
    <xf numFmtId="0" fontId="2" fillId="0" borderId="0" xfId="0" applyFont="1"/>
    <xf numFmtId="164" fontId="2" fillId="0" borderId="2" xfId="0" applyNumberFormat="1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5" fillId="0" borderId="2" xfId="0" applyFont="1" applyBorder="1" applyAlignment="1">
      <alignment horizontal="center" wrapText="1"/>
    </xf>
    <xf numFmtId="44" fontId="2" fillId="0" borderId="2" xfId="1" applyFont="1" applyBorder="1" applyAlignment="1">
      <alignment horizontal="center"/>
    </xf>
    <xf numFmtId="165" fontId="8" fillId="0" borderId="0" xfId="1" applyNumberFormat="1" applyFont="1"/>
    <xf numFmtId="0" fontId="3" fillId="0" borderId="4" xfId="0" applyFont="1" applyBorder="1" applyAlignment="1">
      <alignment horizontal="center"/>
    </xf>
    <xf numFmtId="164" fontId="2" fillId="2" borderId="0" xfId="0" applyNumberFormat="1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44" fontId="2" fillId="2" borderId="0" xfId="1" applyFont="1" applyFill="1"/>
    <xf numFmtId="44" fontId="2" fillId="0" borderId="0" xfId="1" applyFont="1"/>
    <xf numFmtId="164" fontId="2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0" fillId="0" borderId="0" xfId="0" applyFont="1"/>
    <xf numFmtId="44" fontId="11" fillId="0" borderId="0" xfId="1" applyFont="1"/>
    <xf numFmtId="166" fontId="2" fillId="0" borderId="0" xfId="0" applyNumberFormat="1" applyFont="1"/>
    <xf numFmtId="44" fontId="3" fillId="0" borderId="0" xfId="1" applyFont="1"/>
    <xf numFmtId="44" fontId="13" fillId="3" borderId="0" xfId="1" applyFont="1" applyFill="1"/>
    <xf numFmtId="0" fontId="11" fillId="2" borderId="0" xfId="0" applyFont="1" applyFill="1"/>
    <xf numFmtId="44" fontId="11" fillId="2" borderId="0" xfId="1" applyFont="1" applyFill="1"/>
    <xf numFmtId="166" fontId="10" fillId="0" borderId="0" xfId="0" applyNumberFormat="1" applyFont="1"/>
    <xf numFmtId="44" fontId="2" fillId="4" borderId="0" xfId="1" applyFont="1" applyFill="1"/>
    <xf numFmtId="44" fontId="2" fillId="5" borderId="0" xfId="1" applyFont="1" applyFill="1"/>
    <xf numFmtId="0" fontId="13" fillId="0" borderId="0" xfId="0" applyFont="1"/>
    <xf numFmtId="0" fontId="14" fillId="0" borderId="0" xfId="0" applyFont="1" applyAlignment="1">
      <alignment horizontal="right"/>
    </xf>
    <xf numFmtId="44" fontId="3" fillId="0" borderId="5" xfId="1" applyFont="1" applyBorder="1"/>
    <xf numFmtId="165" fontId="3" fillId="0" borderId="6" xfId="1" applyNumberFormat="1" applyFont="1" applyBorder="1"/>
    <xf numFmtId="44" fontId="3" fillId="0" borderId="6" xfId="0" applyNumberFormat="1" applyFont="1" applyBorder="1"/>
    <xf numFmtId="165" fontId="2" fillId="0" borderId="0" xfId="1" applyNumberFormat="1" applyFont="1"/>
    <xf numFmtId="44" fontId="13" fillId="0" borderId="0" xfId="1" applyFont="1"/>
    <xf numFmtId="15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right"/>
    </xf>
    <xf numFmtId="164" fontId="17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/>
    <xf numFmtId="164" fontId="2" fillId="0" borderId="0" xfId="0" applyNumberFormat="1" applyFont="1" applyAlignment="1">
      <alignment horizontal="right" vertical="center" wrapText="1"/>
    </xf>
    <xf numFmtId="164" fontId="2" fillId="0" borderId="6" xfId="0" applyNumberFormat="1" applyFont="1" applyBorder="1" applyAlignment="1">
      <alignment horizontal="right" vertical="center" wrapText="1"/>
    </xf>
    <xf numFmtId="44" fontId="2" fillId="2" borderId="1" xfId="1" applyFont="1" applyFill="1" applyBorder="1"/>
    <xf numFmtId="168" fontId="4" fillId="0" borderId="2" xfId="0" applyNumberFormat="1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22" fillId="0" borderId="2" xfId="0" applyFont="1" applyBorder="1" applyAlignment="1">
      <alignment horizontal="center" vertical="center" wrapText="1"/>
    </xf>
    <xf numFmtId="44" fontId="4" fillId="0" borderId="2" xfId="1" applyFont="1" applyBorder="1" applyAlignment="1">
      <alignment horizontal="center" vertical="center"/>
    </xf>
    <xf numFmtId="168" fontId="4" fillId="0" borderId="3" xfId="0" applyNumberFormat="1" applyFont="1" applyBorder="1" applyAlignment="1">
      <alignment horizontal="center" vertical="center" wrapText="1"/>
    </xf>
    <xf numFmtId="44" fontId="24" fillId="0" borderId="10" xfId="1" applyFont="1" applyBorder="1" applyAlignment="1">
      <alignment horizontal="center" vertical="center"/>
    </xf>
    <xf numFmtId="44" fontId="3" fillId="0" borderId="4" xfId="1" applyFont="1" applyBorder="1" applyAlignment="1">
      <alignment horizontal="center"/>
    </xf>
    <xf numFmtId="168" fontId="2" fillId="0" borderId="0" xfId="0" applyNumberFormat="1" applyFont="1" applyAlignment="1">
      <alignment horizontal="center"/>
    </xf>
    <xf numFmtId="0" fontId="25" fillId="0" borderId="0" xfId="0" applyFont="1" applyAlignment="1">
      <alignment horizontal="center"/>
    </xf>
    <xf numFmtId="0" fontId="25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44" fontId="2" fillId="0" borderId="0" xfId="1" applyFont="1" applyAlignment="1">
      <alignment vertical="center"/>
    </xf>
    <xf numFmtId="44" fontId="13" fillId="3" borderId="0" xfId="1" applyFont="1" applyFill="1" applyAlignment="1">
      <alignment vertical="center"/>
    </xf>
    <xf numFmtId="0" fontId="25" fillId="8" borderId="0" xfId="0" applyFont="1" applyFill="1" applyAlignment="1">
      <alignment horizontal="center"/>
    </xf>
    <xf numFmtId="168" fontId="2" fillId="0" borderId="0" xfId="0" applyNumberFormat="1" applyFont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44" fontId="2" fillId="0" borderId="0" xfId="1" applyFont="1" applyAlignment="1">
      <alignment vertical="center" wrapText="1"/>
    </xf>
    <xf numFmtId="168" fontId="11" fillId="0" borderId="0" xfId="0" applyNumberFormat="1" applyFont="1" applyAlignment="1">
      <alignment horizontal="center" vertical="center" wrapText="1"/>
    </xf>
    <xf numFmtId="44" fontId="11" fillId="0" borderId="0" xfId="1" applyFont="1" applyAlignment="1">
      <alignment vertical="center" wrapText="1"/>
    </xf>
    <xf numFmtId="44" fontId="11" fillId="3" borderId="0" xfId="1" applyFont="1" applyFill="1"/>
    <xf numFmtId="0" fontId="11" fillId="0" borderId="0" xfId="0" applyFont="1"/>
    <xf numFmtId="44" fontId="2" fillId="0" borderId="0" xfId="1" applyFont="1" applyAlignment="1">
      <alignment horizontal="center" vertical="center" wrapText="1"/>
    </xf>
    <xf numFmtId="44" fontId="11" fillId="0" borderId="0" xfId="1" applyFont="1" applyAlignment="1">
      <alignment horizontal="center" vertical="center" wrapText="1"/>
    </xf>
    <xf numFmtId="168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44" fontId="3" fillId="0" borderId="6" xfId="1" applyFont="1" applyBorder="1"/>
    <xf numFmtId="0" fontId="18" fillId="0" borderId="17" xfId="0" applyFont="1" applyBorder="1"/>
    <xf numFmtId="0" fontId="4" fillId="7" borderId="17" xfId="0" applyFont="1" applyFill="1" applyBorder="1" applyAlignment="1">
      <alignment horizontal="center" wrapText="1"/>
    </xf>
    <xf numFmtId="0" fontId="4" fillId="0" borderId="17" xfId="0" applyFont="1" applyBorder="1" applyAlignment="1">
      <alignment horizontal="center"/>
    </xf>
    <xf numFmtId="0" fontId="5" fillId="0" borderId="0" xfId="0" applyFont="1" applyAlignment="1">
      <alignment horizontal="center" wrapText="1"/>
    </xf>
    <xf numFmtId="44" fontId="2" fillId="0" borderId="0" xfId="1" applyFont="1" applyAlignment="1">
      <alignment horizontal="center"/>
    </xf>
    <xf numFmtId="164" fontId="2" fillId="0" borderId="17" xfId="0" applyNumberFormat="1" applyFont="1" applyBorder="1" applyAlignment="1">
      <alignment horizontal="right" vertical="center" wrapText="1"/>
    </xf>
    <xf numFmtId="165" fontId="8" fillId="0" borderId="18" xfId="1" applyNumberFormat="1" applyFont="1" applyBorder="1"/>
    <xf numFmtId="0" fontId="3" fillId="0" borderId="19" xfId="0" applyFont="1" applyBorder="1" applyAlignment="1">
      <alignment horizontal="center"/>
    </xf>
    <xf numFmtId="15" fontId="17" fillId="0" borderId="0" xfId="0" applyNumberFormat="1" applyFont="1" applyAlignment="1">
      <alignment horizontal="center"/>
    </xf>
    <xf numFmtId="0" fontId="17" fillId="0" borderId="0" xfId="0" applyFont="1"/>
    <xf numFmtId="0" fontId="2" fillId="7" borderId="0" xfId="0" applyFont="1" applyFill="1" applyAlignment="1">
      <alignment wrapText="1"/>
    </xf>
    <xf numFmtId="0" fontId="2" fillId="7" borderId="0" xfId="0" applyFont="1" applyFill="1"/>
    <xf numFmtId="164" fontId="13" fillId="3" borderId="0" xfId="0" applyNumberFormat="1" applyFont="1" applyFill="1" applyAlignment="1">
      <alignment horizontal="right" vertical="center" wrapText="1"/>
    </xf>
    <xf numFmtId="164" fontId="11" fillId="0" borderId="0" xfId="0" applyNumberFormat="1" applyFont="1" applyAlignment="1">
      <alignment horizontal="right" vertical="center" wrapText="1"/>
    </xf>
    <xf numFmtId="164" fontId="2" fillId="2" borderId="0" xfId="0" applyNumberFormat="1" applyFont="1" applyFill="1" applyAlignment="1">
      <alignment horizontal="right" vertical="center" wrapText="1"/>
    </xf>
    <xf numFmtId="0" fontId="9" fillId="7" borderId="0" xfId="0" applyFont="1" applyFill="1" applyAlignment="1">
      <alignment horizontal="center"/>
    </xf>
    <xf numFmtId="0" fontId="19" fillId="0" borderId="0" xfId="0" applyFont="1" applyAlignment="1">
      <alignment horizontal="center" vertical="center" wrapText="1"/>
    </xf>
    <xf numFmtId="0" fontId="9" fillId="7" borderId="0" xfId="0" applyFont="1" applyFill="1" applyAlignment="1">
      <alignment horizontal="center" vertical="center" wrapText="1"/>
    </xf>
    <xf numFmtId="0" fontId="16" fillId="0" borderId="0" xfId="0" applyFont="1"/>
    <xf numFmtId="164" fontId="11" fillId="2" borderId="0" xfId="0" applyNumberFormat="1" applyFont="1" applyFill="1" applyAlignment="1">
      <alignment horizontal="right" vertical="center" wrapText="1"/>
    </xf>
    <xf numFmtId="14" fontId="2" fillId="0" borderId="0" xfId="1" applyNumberFormat="1" applyFont="1" applyAlignment="1">
      <alignment vertical="center" wrapText="1"/>
    </xf>
    <xf numFmtId="0" fontId="19" fillId="0" borderId="0" xfId="0" applyFont="1" applyAlignment="1">
      <alignment horizontal="center" vertical="center"/>
    </xf>
    <xf numFmtId="0" fontId="9" fillId="7" borderId="0" xfId="0" applyFont="1" applyFill="1" applyAlignment="1">
      <alignment horizontal="center" vertical="center"/>
    </xf>
    <xf numFmtId="44" fontId="11" fillId="0" borderId="0" xfId="1" applyFont="1" applyAlignment="1">
      <alignment vertical="center"/>
    </xf>
    <xf numFmtId="0" fontId="13" fillId="3" borderId="0" xfId="0" applyFont="1" applyFill="1"/>
    <xf numFmtId="0" fontId="16" fillId="2" borderId="0" xfId="0" applyFont="1" applyFill="1"/>
    <xf numFmtId="14" fontId="13" fillId="3" borderId="0" xfId="1" applyNumberFormat="1" applyFont="1" applyFill="1"/>
    <xf numFmtId="168" fontId="13" fillId="3" borderId="0" xfId="0" applyNumberFormat="1" applyFont="1" applyFill="1" applyAlignment="1">
      <alignment horizontal="center" vertical="center" wrapText="1"/>
    </xf>
    <xf numFmtId="168" fontId="2" fillId="2" borderId="0" xfId="0" applyNumberFormat="1" applyFont="1" applyFill="1" applyAlignment="1">
      <alignment horizontal="center" vertical="center" wrapText="1"/>
    </xf>
    <xf numFmtId="168" fontId="11" fillId="2" borderId="0" xfId="0" applyNumberFormat="1" applyFont="1" applyFill="1" applyAlignment="1">
      <alignment horizontal="center" vertical="center" wrapText="1"/>
    </xf>
    <xf numFmtId="168" fontId="11" fillId="3" borderId="0" xfId="0" applyNumberFormat="1" applyFont="1" applyFill="1" applyAlignment="1">
      <alignment horizontal="center" vertical="center" wrapText="1"/>
    </xf>
    <xf numFmtId="168" fontId="2" fillId="0" borderId="6" xfId="0" applyNumberFormat="1" applyFont="1" applyBorder="1" applyAlignment="1">
      <alignment horizontal="center" vertical="center" wrapText="1"/>
    </xf>
    <xf numFmtId="15" fontId="13" fillId="2" borderId="0" xfId="0" applyNumberFormat="1" applyFont="1" applyFill="1" applyAlignment="1">
      <alignment horizontal="center"/>
    </xf>
    <xf numFmtId="44" fontId="13" fillId="2" borderId="0" xfId="1" applyFont="1" applyFill="1"/>
    <xf numFmtId="164" fontId="13" fillId="2" borderId="0" xfId="0" applyNumberFormat="1" applyFont="1" applyFill="1" applyAlignment="1">
      <alignment horizontal="right" vertical="center" wrapText="1"/>
    </xf>
    <xf numFmtId="164" fontId="27" fillId="0" borderId="0" xfId="0" applyNumberFormat="1" applyFont="1" applyAlignment="1">
      <alignment horizontal="right" vertical="center" wrapText="1"/>
    </xf>
    <xf numFmtId="168" fontId="13" fillId="0" borderId="0" xfId="0" applyNumberFormat="1" applyFont="1" applyAlignment="1">
      <alignment horizontal="center" vertical="center" wrapText="1"/>
    </xf>
    <xf numFmtId="168" fontId="4" fillId="0" borderId="0" xfId="0" applyNumberFormat="1" applyFont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44" fontId="4" fillId="0" borderId="0" xfId="1" applyFont="1" applyAlignment="1">
      <alignment horizontal="center" vertical="center"/>
    </xf>
    <xf numFmtId="44" fontId="24" fillId="0" borderId="18" xfId="1" applyFont="1" applyBorder="1" applyAlignment="1">
      <alignment horizontal="center" vertical="center"/>
    </xf>
    <xf numFmtId="44" fontId="3" fillId="0" borderId="19" xfId="1" applyFont="1" applyBorder="1" applyAlignment="1">
      <alignment horizontal="center"/>
    </xf>
    <xf numFmtId="168" fontId="2" fillId="0" borderId="0" xfId="0" applyNumberFormat="1" applyFont="1" applyAlignment="1">
      <alignment horizontal="center" vertical="center"/>
    </xf>
    <xf numFmtId="168" fontId="2" fillId="0" borderId="6" xfId="0" applyNumberFormat="1" applyFont="1" applyBorder="1" applyAlignment="1">
      <alignment horizontal="center" vertical="center"/>
    </xf>
    <xf numFmtId="168" fontId="32" fillId="0" borderId="0" xfId="0" applyNumberFormat="1" applyFont="1" applyAlignment="1">
      <alignment horizontal="center" vertical="center"/>
    </xf>
    <xf numFmtId="168" fontId="13" fillId="2" borderId="0" xfId="0" applyNumberFormat="1" applyFont="1" applyFill="1" applyAlignment="1">
      <alignment horizontal="center" vertical="center" wrapText="1"/>
    </xf>
    <xf numFmtId="164" fontId="13" fillId="0" borderId="0" xfId="0" applyNumberFormat="1" applyFont="1" applyAlignment="1">
      <alignment horizontal="right" vertical="center" wrapText="1"/>
    </xf>
    <xf numFmtId="15" fontId="2" fillId="0" borderId="3" xfId="0" applyNumberFormat="1" applyFont="1" applyBorder="1" applyAlignment="1">
      <alignment horizontal="center" vertical="center" wrapText="1"/>
    </xf>
    <xf numFmtId="15" fontId="2" fillId="2" borderId="0" xfId="0" applyNumberFormat="1" applyFont="1" applyFill="1" applyAlignment="1">
      <alignment horizontal="center"/>
    </xf>
    <xf numFmtId="15" fontId="11" fillId="0" borderId="0" xfId="0" applyNumberFormat="1" applyFont="1" applyAlignment="1">
      <alignment horizontal="center"/>
    </xf>
    <xf numFmtId="15" fontId="12" fillId="0" borderId="0" xfId="0" applyNumberFormat="1" applyFont="1" applyAlignment="1">
      <alignment horizontal="center"/>
    </xf>
    <xf numFmtId="15" fontId="13" fillId="3" borderId="0" xfId="0" applyNumberFormat="1" applyFont="1" applyFill="1" applyAlignment="1">
      <alignment horizontal="center"/>
    </xf>
    <xf numFmtId="15" fontId="11" fillId="2" borderId="0" xfId="0" applyNumberFormat="1" applyFont="1" applyFill="1" applyAlignment="1">
      <alignment horizontal="center"/>
    </xf>
    <xf numFmtId="15" fontId="28" fillId="0" borderId="0" xfId="0" applyNumberFormat="1" applyFont="1" applyAlignment="1">
      <alignment horizontal="center" wrapText="1"/>
    </xf>
    <xf numFmtId="15" fontId="27" fillId="2" borderId="0" xfId="0" applyNumberFormat="1" applyFont="1" applyFill="1" applyAlignment="1">
      <alignment horizontal="center"/>
    </xf>
    <xf numFmtId="15" fontId="2" fillId="5" borderId="0" xfId="0" applyNumberFormat="1" applyFont="1" applyFill="1" applyAlignment="1">
      <alignment horizontal="center"/>
    </xf>
    <xf numFmtId="15" fontId="13" fillId="0" borderId="0" xfId="0" applyNumberFormat="1" applyFont="1" applyAlignment="1">
      <alignment horizontal="center"/>
    </xf>
    <xf numFmtId="15" fontId="2" fillId="0" borderId="6" xfId="0" applyNumberFormat="1" applyFont="1" applyBorder="1" applyAlignment="1">
      <alignment horizontal="center"/>
    </xf>
    <xf numFmtId="44" fontId="13" fillId="0" borderId="0" xfId="1" applyFont="1" applyFill="1"/>
    <xf numFmtId="168" fontId="4" fillId="0" borderId="17" xfId="0" applyNumberFormat="1" applyFont="1" applyBorder="1" applyAlignment="1">
      <alignment horizontal="center" vertical="center" wrapText="1"/>
    </xf>
    <xf numFmtId="164" fontId="2" fillId="10" borderId="20" xfId="0" applyNumberFormat="1" applyFont="1" applyFill="1" applyBorder="1" applyAlignment="1">
      <alignment horizontal="center"/>
    </xf>
    <xf numFmtId="49" fontId="2" fillId="10" borderId="21" xfId="0" applyNumberFormat="1" applyFont="1" applyFill="1" applyBorder="1"/>
    <xf numFmtId="0" fontId="2" fillId="10" borderId="21" xfId="0" applyFont="1" applyFill="1" applyBorder="1"/>
    <xf numFmtId="44" fontId="2" fillId="10" borderId="21" xfId="1" applyFont="1" applyFill="1" applyBorder="1"/>
    <xf numFmtId="168" fontId="2" fillId="11" borderId="21" xfId="0" applyNumberFormat="1" applyFont="1" applyFill="1" applyBorder="1"/>
    <xf numFmtId="44" fontId="2" fillId="11" borderId="21" xfId="1" applyFont="1" applyFill="1" applyBorder="1"/>
    <xf numFmtId="49" fontId="2" fillId="10" borderId="22" xfId="0" applyNumberFormat="1" applyFont="1" applyFill="1" applyBorder="1"/>
    <xf numFmtId="49" fontId="2" fillId="0" borderId="21" xfId="0" applyNumberFormat="1" applyFont="1" applyBorder="1"/>
    <xf numFmtId="0" fontId="2" fillId="0" borderId="21" xfId="0" applyFont="1" applyBorder="1"/>
    <xf numFmtId="44" fontId="2" fillId="0" borderId="21" xfId="1" applyFont="1" applyBorder="1"/>
    <xf numFmtId="168" fontId="2" fillId="2" borderId="21" xfId="0" applyNumberFormat="1" applyFont="1" applyFill="1" applyBorder="1"/>
    <xf numFmtId="44" fontId="2" fillId="2" borderId="21" xfId="1" applyFont="1" applyFill="1" applyBorder="1"/>
    <xf numFmtId="49" fontId="2" fillId="0" borderId="22" xfId="0" applyNumberFormat="1" applyFont="1" applyBorder="1"/>
    <xf numFmtId="168" fontId="13" fillId="2" borderId="21" xfId="0" applyNumberFormat="1" applyFont="1" applyFill="1" applyBorder="1"/>
    <xf numFmtId="44" fontId="13" fillId="2" borderId="21" xfId="1" applyFont="1" applyFill="1" applyBorder="1"/>
    <xf numFmtId="168" fontId="2" fillId="11" borderId="21" xfId="0" applyNumberFormat="1" applyFont="1" applyFill="1" applyBorder="1" applyAlignment="1">
      <alignment wrapText="1"/>
    </xf>
    <xf numFmtId="168" fontId="30" fillId="0" borderId="21" xfId="0" applyNumberFormat="1" applyFont="1" applyBorder="1" applyAlignment="1">
      <alignment horizontal="center"/>
    </xf>
    <xf numFmtId="44" fontId="2" fillId="4" borderId="21" xfId="1" applyFont="1" applyFill="1" applyBorder="1"/>
    <xf numFmtId="168" fontId="30" fillId="10" borderId="21" xfId="0" applyNumberFormat="1" applyFont="1" applyFill="1" applyBorder="1"/>
    <xf numFmtId="49" fontId="2" fillId="2" borderId="21" xfId="0" applyNumberFormat="1" applyFont="1" applyFill="1" applyBorder="1"/>
    <xf numFmtId="44" fontId="13" fillId="0" borderId="21" xfId="1" applyFont="1" applyBorder="1"/>
    <xf numFmtId="168" fontId="30" fillId="0" borderId="21" xfId="0" applyNumberFormat="1" applyFont="1" applyBorder="1"/>
    <xf numFmtId="168" fontId="13" fillId="11" borderId="21" xfId="0" applyNumberFormat="1" applyFont="1" applyFill="1" applyBorder="1"/>
    <xf numFmtId="44" fontId="13" fillId="11" borderId="21" xfId="1" applyFont="1" applyFill="1" applyBorder="1"/>
    <xf numFmtId="168" fontId="2" fillId="10" borderId="21" xfId="0" applyNumberFormat="1" applyFont="1" applyFill="1" applyBorder="1"/>
    <xf numFmtId="168" fontId="2" fillId="11" borderId="21" xfId="0" applyNumberFormat="1" applyFont="1" applyFill="1" applyBorder="1" applyAlignment="1">
      <alignment horizontal="right"/>
    </xf>
    <xf numFmtId="168" fontId="2" fillId="0" borderId="21" xfId="0" applyNumberFormat="1" applyFont="1" applyBorder="1"/>
    <xf numFmtId="168" fontId="27" fillId="10" borderId="21" xfId="0" applyNumberFormat="1" applyFont="1" applyFill="1" applyBorder="1"/>
    <xf numFmtId="44" fontId="2" fillId="0" borderId="21" xfId="1" applyFont="1" applyFill="1" applyBorder="1"/>
    <xf numFmtId="168" fontId="2" fillId="12" borderId="21" xfId="0" applyNumberFormat="1" applyFont="1" applyFill="1" applyBorder="1" applyAlignment="1">
      <alignment wrapText="1"/>
    </xf>
    <xf numFmtId="44" fontId="2" fillId="13" borderId="21" xfId="1" applyFont="1" applyFill="1" applyBorder="1"/>
    <xf numFmtId="164" fontId="2" fillId="0" borderId="20" xfId="0" applyNumberFormat="1" applyFont="1" applyBorder="1" applyAlignment="1">
      <alignment horizontal="center"/>
    </xf>
    <xf numFmtId="49" fontId="2" fillId="0" borderId="20" xfId="0" applyNumberFormat="1" applyFont="1" applyBorder="1"/>
    <xf numFmtId="49" fontId="2" fillId="10" borderId="20" xfId="0" applyNumberFormat="1" applyFont="1" applyFill="1" applyBorder="1"/>
    <xf numFmtId="168" fontId="2" fillId="2" borderId="21" xfId="0" applyNumberFormat="1" applyFont="1" applyFill="1" applyBorder="1" applyAlignment="1">
      <alignment wrapText="1"/>
    </xf>
    <xf numFmtId="49" fontId="2" fillId="14" borderId="22" xfId="0" applyNumberFormat="1" applyFont="1" applyFill="1" applyBorder="1"/>
    <xf numFmtId="0" fontId="2" fillId="15" borderId="0" xfId="0" applyFont="1" applyFill="1"/>
    <xf numFmtId="168" fontId="13" fillId="11" borderId="21" xfId="0" applyNumberFormat="1" applyFont="1" applyFill="1" applyBorder="1" applyAlignment="1">
      <alignment wrapText="1"/>
    </xf>
    <xf numFmtId="168" fontId="13" fillId="2" borderId="21" xfId="0" applyNumberFormat="1" applyFont="1" applyFill="1" applyBorder="1" applyAlignment="1">
      <alignment wrapText="1"/>
    </xf>
    <xf numFmtId="0" fontId="2" fillId="16" borderId="25" xfId="0" applyFont="1" applyFill="1" applyBorder="1" applyAlignment="1">
      <alignment horizontal="center"/>
    </xf>
    <xf numFmtId="168" fontId="2" fillId="16" borderId="25" xfId="0" applyNumberFormat="1" applyFont="1" applyFill="1" applyBorder="1" applyAlignment="1">
      <alignment horizontal="center"/>
    </xf>
    <xf numFmtId="0" fontId="2" fillId="0" borderId="25" xfId="0" applyFont="1" applyBorder="1" applyAlignment="1">
      <alignment horizontal="center"/>
    </xf>
    <xf numFmtId="0" fontId="2" fillId="0" borderId="25" xfId="0" applyFont="1" applyBorder="1"/>
    <xf numFmtId="44" fontId="2" fillId="0" borderId="25" xfId="1" applyFont="1" applyBorder="1"/>
    <xf numFmtId="168" fontId="2" fillId="0" borderId="25" xfId="0" applyNumberFormat="1" applyFont="1" applyBorder="1" applyAlignment="1">
      <alignment horizontal="center" vertical="center"/>
    </xf>
    <xf numFmtId="168" fontId="11" fillId="0" borderId="25" xfId="0" applyNumberFormat="1" applyFont="1" applyBorder="1" applyAlignment="1">
      <alignment horizontal="center" vertical="center"/>
    </xf>
    <xf numFmtId="44" fontId="11" fillId="0" borderId="25" xfId="1" applyFont="1" applyBorder="1"/>
    <xf numFmtId="0" fontId="2" fillId="2" borderId="25" xfId="0" applyFont="1" applyFill="1" applyBorder="1"/>
    <xf numFmtId="44" fontId="2" fillId="2" borderId="25" xfId="1" applyFont="1" applyFill="1" applyBorder="1"/>
    <xf numFmtId="168" fontId="2" fillId="2" borderId="25" xfId="0" applyNumberFormat="1" applyFont="1" applyFill="1" applyBorder="1" applyAlignment="1">
      <alignment horizontal="center" vertical="center"/>
    </xf>
    <xf numFmtId="168" fontId="30" fillId="2" borderId="25" xfId="0" applyNumberFormat="1" applyFont="1" applyFill="1" applyBorder="1" applyAlignment="1">
      <alignment horizontal="center" vertical="center"/>
    </xf>
    <xf numFmtId="168" fontId="13" fillId="2" borderId="25" xfId="0" applyNumberFormat="1" applyFont="1" applyFill="1" applyBorder="1" applyAlignment="1">
      <alignment horizontal="center" vertical="center"/>
    </xf>
    <xf numFmtId="44" fontId="13" fillId="2" borderId="25" xfId="1" applyFont="1" applyFill="1" applyBorder="1"/>
    <xf numFmtId="44" fontId="13" fillId="0" borderId="25" xfId="1" applyFont="1" applyBorder="1"/>
    <xf numFmtId="0" fontId="11" fillId="2" borderId="25" xfId="0" applyFont="1" applyFill="1" applyBorder="1"/>
    <xf numFmtId="44" fontId="11" fillId="2" borderId="25" xfId="1" applyFont="1" applyFill="1" applyBorder="1"/>
    <xf numFmtId="168" fontId="11" fillId="2" borderId="25" xfId="0" applyNumberFormat="1" applyFont="1" applyFill="1" applyBorder="1" applyAlignment="1">
      <alignment horizontal="center" vertical="center"/>
    </xf>
    <xf numFmtId="0" fontId="13" fillId="3" borderId="25" xfId="0" applyFont="1" applyFill="1" applyBorder="1"/>
    <xf numFmtId="44" fontId="13" fillId="3" borderId="25" xfId="1" applyFont="1" applyFill="1" applyBorder="1"/>
    <xf numFmtId="168" fontId="13" fillId="3" borderId="25" xfId="0" applyNumberFormat="1" applyFont="1" applyFill="1" applyBorder="1" applyAlignment="1">
      <alignment horizontal="center" vertical="center"/>
    </xf>
    <xf numFmtId="44" fontId="2" fillId="0" borderId="25" xfId="1" applyFont="1" applyBorder="1" applyAlignment="1">
      <alignment vertical="center" wrapText="1"/>
    </xf>
    <xf numFmtId="168" fontId="11" fillId="0" borderId="25" xfId="0" applyNumberFormat="1" applyFont="1" applyBorder="1" applyAlignment="1">
      <alignment horizontal="center" vertical="center" wrapText="1"/>
    </xf>
    <xf numFmtId="44" fontId="11" fillId="0" borderId="25" xfId="1" applyFont="1" applyBorder="1" applyAlignment="1">
      <alignment vertical="center"/>
    </xf>
    <xf numFmtId="14" fontId="31" fillId="0" borderId="25" xfId="0" applyNumberFormat="1" applyFont="1" applyBorder="1" applyAlignment="1">
      <alignment horizontal="center" vertical="center"/>
    </xf>
    <xf numFmtId="14" fontId="11" fillId="0" borderId="25" xfId="0" applyNumberFormat="1" applyFont="1" applyBorder="1" applyAlignment="1">
      <alignment horizontal="center" vertical="center"/>
    </xf>
    <xf numFmtId="168" fontId="27" fillId="0" borderId="25" xfId="0" applyNumberFormat="1" applyFont="1" applyBorder="1" applyAlignment="1">
      <alignment horizontal="center" vertical="center"/>
    </xf>
    <xf numFmtId="168" fontId="13" fillId="0" borderId="25" xfId="0" applyNumberFormat="1" applyFont="1" applyBorder="1" applyAlignment="1">
      <alignment horizontal="center" vertical="center"/>
    </xf>
    <xf numFmtId="14" fontId="2" fillId="0" borderId="25" xfId="0" applyNumberFormat="1" applyFont="1" applyBorder="1" applyAlignment="1">
      <alignment horizontal="center" vertical="center"/>
    </xf>
    <xf numFmtId="44" fontId="2" fillId="9" borderId="25" xfId="1" applyFont="1" applyFill="1" applyBorder="1"/>
    <xf numFmtId="44" fontId="2" fillId="0" borderId="25" xfId="1" applyFont="1" applyFill="1" applyBorder="1"/>
    <xf numFmtId="168" fontId="2" fillId="3" borderId="25" xfId="0" applyNumberFormat="1" applyFont="1" applyFill="1" applyBorder="1" applyAlignment="1">
      <alignment horizontal="center" vertical="center"/>
    </xf>
    <xf numFmtId="44" fontId="2" fillId="3" borderId="25" xfId="1" applyFont="1" applyFill="1" applyBorder="1"/>
    <xf numFmtId="168" fontId="30" fillId="0" borderId="25" xfId="0" applyNumberFormat="1" applyFont="1" applyBorder="1" applyAlignment="1">
      <alignment horizontal="center" vertical="center"/>
    </xf>
    <xf numFmtId="168" fontId="13" fillId="2" borderId="25" xfId="0" applyNumberFormat="1" applyFont="1" applyFill="1" applyBorder="1" applyAlignment="1">
      <alignment horizontal="center" vertical="center" wrapText="1"/>
    </xf>
    <xf numFmtId="0" fontId="2" fillId="16" borderId="27" xfId="0" applyFont="1" applyFill="1" applyBorder="1" applyAlignment="1">
      <alignment horizontal="center"/>
    </xf>
    <xf numFmtId="168" fontId="2" fillId="16" borderId="27" xfId="0" applyNumberFormat="1" applyFont="1" applyFill="1" applyBorder="1" applyAlignment="1">
      <alignment horizontal="center"/>
    </xf>
    <xf numFmtId="0" fontId="2" fillId="0" borderId="27" xfId="0" applyFont="1" applyBorder="1" applyAlignment="1">
      <alignment horizontal="center"/>
    </xf>
    <xf numFmtId="0" fontId="2" fillId="0" borderId="27" xfId="0" applyFont="1" applyBorder="1"/>
    <xf numFmtId="44" fontId="2" fillId="0" borderId="27" xfId="1" applyFont="1" applyBorder="1"/>
    <xf numFmtId="168" fontId="2" fillId="0" borderId="27" xfId="0" applyNumberFormat="1" applyFont="1" applyBorder="1" applyAlignment="1">
      <alignment horizontal="center" vertical="center"/>
    </xf>
    <xf numFmtId="0" fontId="4" fillId="16" borderId="26" xfId="0" applyFont="1" applyFill="1" applyBorder="1" applyAlignment="1">
      <alignment horizontal="center" vertical="center"/>
    </xf>
    <xf numFmtId="168" fontId="4" fillId="16" borderId="26" xfId="0" applyNumberFormat="1" applyFont="1" applyFill="1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22" fillId="0" borderId="26" xfId="0" applyFont="1" applyBorder="1" applyAlignment="1">
      <alignment horizontal="center" vertical="center" wrapText="1"/>
    </xf>
    <xf numFmtId="44" fontId="4" fillId="0" borderId="26" xfId="1" applyFont="1" applyBorder="1" applyAlignment="1">
      <alignment horizontal="center" vertical="center"/>
    </xf>
    <xf numFmtId="168" fontId="2" fillId="0" borderId="26" xfId="0" applyNumberFormat="1" applyFont="1" applyBorder="1" applyAlignment="1">
      <alignment horizontal="center" vertical="center" wrapText="1"/>
    </xf>
    <xf numFmtId="44" fontId="24" fillId="0" borderId="26" xfId="1" applyFont="1" applyBorder="1" applyAlignment="1">
      <alignment horizontal="center" vertical="center"/>
    </xf>
    <xf numFmtId="44" fontId="3" fillId="0" borderId="26" xfId="1" applyFont="1" applyBorder="1" applyAlignment="1">
      <alignment horizontal="center"/>
    </xf>
    <xf numFmtId="168" fontId="33" fillId="2" borderId="0" xfId="0" applyNumberFormat="1" applyFont="1" applyFill="1" applyAlignment="1">
      <alignment horizontal="center" vertical="center" wrapText="1"/>
    </xf>
    <xf numFmtId="168" fontId="13" fillId="0" borderId="0" xfId="0" applyNumberFormat="1" applyFont="1" applyFill="1" applyAlignment="1">
      <alignment horizontal="center" vertical="center" wrapText="1"/>
    </xf>
    <xf numFmtId="168" fontId="34" fillId="0" borderId="0" xfId="0" applyNumberFormat="1" applyFont="1" applyAlignment="1">
      <alignment horizontal="center" vertical="center" wrapText="1"/>
    </xf>
    <xf numFmtId="44" fontId="34" fillId="0" borderId="0" xfId="1" applyFont="1"/>
    <xf numFmtId="15" fontId="35" fillId="17" borderId="2" xfId="0" applyNumberFormat="1" applyFont="1" applyFill="1" applyBorder="1" applyAlignment="1">
      <alignment horizontal="center" wrapText="1"/>
    </xf>
    <xf numFmtId="0" fontId="35" fillId="17" borderId="2" xfId="0" applyFont="1" applyFill="1" applyBorder="1" applyAlignment="1">
      <alignment horizontal="center" wrapText="1"/>
    </xf>
    <xf numFmtId="0" fontId="36" fillId="17" borderId="2" xfId="0" applyFont="1" applyFill="1" applyBorder="1" applyAlignment="1">
      <alignment wrapText="1"/>
    </xf>
    <xf numFmtId="44" fontId="35" fillId="17" borderId="2" xfId="1" applyFont="1" applyFill="1" applyBorder="1" applyAlignment="1">
      <alignment wrapText="1"/>
    </xf>
    <xf numFmtId="15" fontId="35" fillId="17" borderId="2" xfId="0" applyNumberFormat="1" applyFont="1" applyFill="1" applyBorder="1" applyAlignment="1">
      <alignment wrapText="1"/>
    </xf>
    <xf numFmtId="44" fontId="35" fillId="17" borderId="2" xfId="1" applyFont="1" applyFill="1" applyBorder="1" applyAlignment="1">
      <alignment horizontal="center" wrapText="1"/>
    </xf>
    <xf numFmtId="0" fontId="35" fillId="17" borderId="2" xfId="0" applyFont="1" applyFill="1" applyBorder="1" applyAlignment="1">
      <alignment wrapText="1"/>
    </xf>
    <xf numFmtId="15" fontId="2" fillId="0" borderId="21" xfId="0" applyNumberFormat="1" applyFont="1" applyBorder="1" applyAlignment="1">
      <alignment horizontal="center"/>
    </xf>
    <xf numFmtId="0" fontId="37" fillId="0" borderId="0" xfId="0" applyFont="1" applyAlignment="1">
      <alignment horizontal="center"/>
    </xf>
    <xf numFmtId="49" fontId="2" fillId="0" borderId="0" xfId="0" applyNumberFormat="1" applyFont="1"/>
    <xf numFmtId="15" fontId="2" fillId="0" borderId="0" xfId="0" applyNumberFormat="1" applyFont="1" applyAlignment="1">
      <alignment wrapText="1"/>
    </xf>
    <xf numFmtId="15" fontId="2" fillId="10" borderId="21" xfId="0" applyNumberFormat="1" applyFont="1" applyFill="1" applyBorder="1" applyAlignment="1">
      <alignment horizontal="center"/>
    </xf>
    <xf numFmtId="49" fontId="30" fillId="0" borderId="0" xfId="0" applyNumberFormat="1" applyFont="1" applyAlignment="1">
      <alignment horizontal="center"/>
    </xf>
    <xf numFmtId="15" fontId="30" fillId="0" borderId="0" xfId="0" applyNumberFormat="1" applyFont="1" applyAlignment="1">
      <alignment horizontal="center" wrapText="1"/>
    </xf>
    <xf numFmtId="44" fontId="2" fillId="0" borderId="0" xfId="1" applyFont="1" applyFill="1"/>
    <xf numFmtId="15" fontId="2" fillId="10" borderId="0" xfId="0" applyNumberFormat="1" applyFont="1" applyFill="1" applyAlignment="1">
      <alignment horizontal="center"/>
    </xf>
    <xf numFmtId="15" fontId="30" fillId="0" borderId="0" xfId="0" applyNumberFormat="1" applyFont="1" applyAlignment="1">
      <alignment wrapText="1"/>
    </xf>
    <xf numFmtId="15" fontId="27" fillId="0" borderId="0" xfId="0" applyNumberFormat="1" applyFont="1" applyAlignment="1">
      <alignment horizontal="center" wrapText="1"/>
    </xf>
    <xf numFmtId="49" fontId="27" fillId="0" borderId="0" xfId="0" applyNumberFormat="1" applyFont="1" applyAlignment="1">
      <alignment horizontal="center" wrapText="1"/>
    </xf>
    <xf numFmtId="15" fontId="2" fillId="2" borderId="0" xfId="0" applyNumberFormat="1" applyFont="1" applyFill="1" applyAlignment="1">
      <alignment wrapText="1"/>
    </xf>
    <xf numFmtId="15" fontId="30" fillId="0" borderId="0" xfId="0" applyNumberFormat="1" applyFont="1" applyAlignment="1">
      <alignment horizontal="right" wrapText="1"/>
    </xf>
    <xf numFmtId="49" fontId="30" fillId="0" borderId="0" xfId="0" applyNumberFormat="1" applyFont="1"/>
    <xf numFmtId="15" fontId="30" fillId="15" borderId="0" xfId="0" applyNumberFormat="1" applyFont="1" applyFill="1" applyAlignment="1">
      <alignment horizontal="center" wrapText="1"/>
    </xf>
    <xf numFmtId="15" fontId="2" fillId="0" borderId="0" xfId="0" applyNumberFormat="1" applyFont="1" applyAlignment="1">
      <alignment horizontal="center" wrapText="1"/>
    </xf>
    <xf numFmtId="0" fontId="2" fillId="15" borderId="0" xfId="0" applyFont="1" applyFill="1" applyAlignment="1">
      <alignment horizontal="center"/>
    </xf>
    <xf numFmtId="15" fontId="38" fillId="0" borderId="0" xfId="0" applyNumberFormat="1" applyFont="1" applyAlignment="1">
      <alignment wrapText="1"/>
    </xf>
    <xf numFmtId="49" fontId="2" fillId="15" borderId="0" xfId="0" applyNumberFormat="1" applyFont="1" applyFill="1"/>
    <xf numFmtId="15" fontId="27" fillId="0" borderId="0" xfId="0" applyNumberFormat="1" applyFont="1" applyAlignment="1">
      <alignment wrapText="1"/>
    </xf>
    <xf numFmtId="49" fontId="30" fillId="0" borderId="0" xfId="0" applyNumberFormat="1" applyFont="1" applyAlignment="1">
      <alignment horizontal="left"/>
    </xf>
    <xf numFmtId="0" fontId="14" fillId="0" borderId="28" xfId="0" applyFont="1" applyBorder="1" applyAlignment="1">
      <alignment horizontal="right"/>
    </xf>
    <xf numFmtId="44" fontId="3" fillId="2" borderId="29" xfId="0" applyNumberFormat="1" applyFont="1" applyFill="1" applyBorder="1" applyAlignment="1">
      <alignment horizontal="center" vertical="center"/>
    </xf>
    <xf numFmtId="0" fontId="3" fillId="2" borderId="30" xfId="0" applyFont="1" applyFill="1" applyBorder="1" applyAlignment="1">
      <alignment horizontal="center" vertical="center" wrapText="1"/>
    </xf>
    <xf numFmtId="44" fontId="3" fillId="2" borderId="30" xfId="0" applyNumberFormat="1" applyFont="1" applyFill="1" applyBorder="1" applyAlignment="1">
      <alignment horizontal="center" vertical="center"/>
    </xf>
    <xf numFmtId="44" fontId="3" fillId="2" borderId="31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wrapText="1"/>
    </xf>
    <xf numFmtId="168" fontId="2" fillId="0" borderId="0" xfId="0" applyNumberFormat="1" applyFont="1" applyAlignment="1"/>
    <xf numFmtId="44" fontId="14" fillId="0" borderId="29" xfId="1" applyFont="1" applyBorder="1" applyAlignment="1">
      <alignment horizontal="right"/>
    </xf>
    <xf numFmtId="164" fontId="2" fillId="0" borderId="0" xfId="0" applyNumberFormat="1" applyFont="1" applyFill="1" applyAlignment="1">
      <alignment horizontal="right" vertical="center" wrapText="1"/>
    </xf>
    <xf numFmtId="164" fontId="13" fillId="0" borderId="0" xfId="0" applyNumberFormat="1" applyFont="1" applyFill="1" applyAlignment="1">
      <alignment horizontal="right" vertical="center" wrapText="1"/>
    </xf>
    <xf numFmtId="15" fontId="13" fillId="0" borderId="0" xfId="0" applyNumberFormat="1" applyFont="1" applyAlignment="1">
      <alignment wrapText="1"/>
    </xf>
    <xf numFmtId="15" fontId="38" fillId="0" borderId="0" xfId="0" applyNumberFormat="1" applyFont="1" applyAlignment="1">
      <alignment horizontal="center" wrapText="1"/>
    </xf>
    <xf numFmtId="168" fontId="13" fillId="10" borderId="21" xfId="0" applyNumberFormat="1" applyFont="1" applyFill="1" applyBorder="1"/>
    <xf numFmtId="164" fontId="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 wrapText="1"/>
    </xf>
    <xf numFmtId="0" fontId="40" fillId="0" borderId="0" xfId="0" applyFont="1" applyAlignment="1">
      <alignment horizontal="center" wrapText="1"/>
    </xf>
    <xf numFmtId="44" fontId="3" fillId="0" borderId="0" xfId="1" applyFont="1" applyAlignment="1">
      <alignment horizontal="center" wrapText="1"/>
    </xf>
    <xf numFmtId="49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 wrapText="1"/>
    </xf>
    <xf numFmtId="49" fontId="0" fillId="0" borderId="0" xfId="0" applyNumberFormat="1"/>
    <xf numFmtId="164" fontId="2" fillId="0" borderId="0" xfId="0" applyNumberFormat="1" applyFont="1" applyAlignment="1">
      <alignment horizontal="left" wrapText="1"/>
    </xf>
    <xf numFmtId="164" fontId="30" fillId="0" borderId="0" xfId="0" applyNumberFormat="1" applyFont="1" applyAlignment="1">
      <alignment horizontal="center" wrapText="1"/>
    </xf>
    <xf numFmtId="49" fontId="41" fillId="0" borderId="0" xfId="0" applyNumberFormat="1" applyFont="1"/>
    <xf numFmtId="164" fontId="13" fillId="0" borderId="0" xfId="0" applyNumberFormat="1" applyFont="1" applyAlignment="1">
      <alignment horizontal="center" wrapText="1"/>
    </xf>
    <xf numFmtId="49" fontId="30" fillId="0" borderId="0" xfId="0" applyNumberFormat="1" applyFont="1" applyAlignment="1">
      <alignment wrapText="1"/>
    </xf>
    <xf numFmtId="44" fontId="2" fillId="13" borderId="0" xfId="1" applyFont="1" applyFill="1"/>
    <xf numFmtId="49" fontId="27" fillId="0" borderId="0" xfId="0" applyNumberFormat="1" applyFont="1"/>
    <xf numFmtId="164" fontId="27" fillId="0" borderId="0" xfId="0" applyNumberFormat="1" applyFont="1" applyAlignment="1">
      <alignment horizontal="center" wrapText="1"/>
    </xf>
    <xf numFmtId="164" fontId="38" fillId="0" borderId="0" xfId="0" applyNumberFormat="1" applyFont="1" applyAlignment="1">
      <alignment horizontal="center" wrapText="1"/>
    </xf>
    <xf numFmtId="49" fontId="2" fillId="0" borderId="0" xfId="0" applyNumberFormat="1" applyFont="1" applyAlignment="1">
      <alignment wrapText="1"/>
    </xf>
    <xf numFmtId="49" fontId="42" fillId="0" borderId="0" xfId="0" applyNumberFormat="1" applyFont="1"/>
    <xf numFmtId="44" fontId="4" fillId="0" borderId="29" xfId="0" applyNumberFormat="1" applyFont="1" applyBorder="1"/>
    <xf numFmtId="164" fontId="4" fillId="0" borderId="30" xfId="0" applyNumberFormat="1" applyFont="1" applyBorder="1" applyAlignment="1">
      <alignment horizontal="center" wrapText="1"/>
    </xf>
    <xf numFmtId="44" fontId="4" fillId="0" borderId="30" xfId="0" applyNumberFormat="1" applyFont="1" applyBorder="1"/>
    <xf numFmtId="44" fontId="4" fillId="0" borderId="31" xfId="0" applyNumberFormat="1" applyFont="1" applyBorder="1"/>
    <xf numFmtId="44" fontId="21" fillId="0" borderId="0" xfId="1" applyFont="1" applyAlignment="1">
      <alignment horizontal="right"/>
    </xf>
    <xf numFmtId="164" fontId="13" fillId="2" borderId="0" xfId="0" applyNumberFormat="1" applyFont="1" applyFill="1" applyAlignment="1">
      <alignment horizontal="center" wrapText="1"/>
    </xf>
    <xf numFmtId="15" fontId="13" fillId="2" borderId="0" xfId="0" applyNumberFormat="1" applyFont="1" applyFill="1" applyAlignment="1">
      <alignment wrapText="1"/>
    </xf>
    <xf numFmtId="164" fontId="2" fillId="2" borderId="0" xfId="0" applyNumberFormat="1" applyFont="1" applyFill="1" applyAlignment="1">
      <alignment horizontal="center" wrapText="1"/>
    </xf>
    <xf numFmtId="164" fontId="2" fillId="0" borderId="0" xfId="0" applyNumberFormat="1" applyFont="1" applyAlignment="1">
      <alignment horizontal="center" vertical="center" wrapText="1"/>
    </xf>
    <xf numFmtId="164" fontId="33" fillId="2" borderId="0" xfId="0" applyNumberFormat="1" applyFont="1" applyFill="1" applyAlignment="1">
      <alignment horizontal="center" wrapText="1"/>
    </xf>
    <xf numFmtId="164" fontId="2" fillId="19" borderId="0" xfId="0" applyNumberFormat="1" applyFont="1" applyFill="1" applyAlignment="1">
      <alignment horizontal="center" wrapText="1"/>
    </xf>
    <xf numFmtId="15" fontId="28" fillId="0" borderId="0" xfId="0" applyNumberFormat="1" applyFont="1" applyAlignment="1">
      <alignment wrapText="1"/>
    </xf>
    <xf numFmtId="15" fontId="0" fillId="0" borderId="0" xfId="0" applyNumberFormat="1"/>
    <xf numFmtId="0" fontId="0" fillId="0" borderId="0" xfId="0" applyAlignment="1">
      <alignment wrapText="1"/>
    </xf>
    <xf numFmtId="44" fontId="0" fillId="0" borderId="0" xfId="1" applyFont="1"/>
    <xf numFmtId="49" fontId="0" fillId="0" borderId="0" xfId="0" applyNumberFormat="1" applyAlignment="1">
      <alignment horizontal="center"/>
    </xf>
    <xf numFmtId="15" fontId="0" fillId="0" borderId="0" xfId="0" applyNumberFormat="1" applyAlignment="1">
      <alignment wrapText="1"/>
    </xf>
    <xf numFmtId="44" fontId="0" fillId="0" borderId="0" xfId="0" applyNumberFormat="1"/>
    <xf numFmtId="44" fontId="0" fillId="0" borderId="0" xfId="1" applyFont="1" applyFill="1"/>
    <xf numFmtId="49" fontId="13" fillId="0" borderId="0" xfId="0" applyNumberFormat="1" applyFont="1"/>
    <xf numFmtId="15" fontId="0" fillId="2" borderId="0" xfId="0" applyNumberFormat="1" applyFill="1" applyAlignment="1">
      <alignment wrapText="1"/>
    </xf>
    <xf numFmtId="15" fontId="0" fillId="0" borderId="0" xfId="0" applyNumberFormat="1" applyAlignment="1">
      <alignment horizontal="center" wrapText="1"/>
    </xf>
    <xf numFmtId="15" fontId="43" fillId="0" borderId="0" xfId="0" applyNumberFormat="1" applyFont="1" applyAlignment="1">
      <alignment wrapText="1"/>
    </xf>
    <xf numFmtId="44" fontId="0" fillId="2" borderId="0" xfId="1" applyFont="1" applyFill="1"/>
    <xf numFmtId="44" fontId="0" fillId="2" borderId="0" xfId="0" applyNumberFormat="1" applyFill="1"/>
    <xf numFmtId="15" fontId="0" fillId="15" borderId="0" xfId="0" applyNumberFormat="1" applyFill="1" applyAlignment="1">
      <alignment wrapText="1"/>
    </xf>
    <xf numFmtId="44" fontId="1" fillId="0" borderId="0" xfId="1" applyFont="1" applyFill="1"/>
    <xf numFmtId="44" fontId="1" fillId="0" borderId="0" xfId="0" applyNumberFormat="1" applyFont="1"/>
    <xf numFmtId="15" fontId="44" fillId="0" borderId="0" xfId="0" applyNumberFormat="1" applyFont="1" applyAlignment="1">
      <alignment wrapText="1"/>
    </xf>
    <xf numFmtId="49" fontId="45" fillId="0" borderId="0" xfId="0" applyNumberFormat="1" applyFont="1"/>
    <xf numFmtId="15" fontId="34" fillId="2" borderId="0" xfId="0" applyNumberFormat="1" applyFont="1" applyFill="1" applyAlignment="1">
      <alignment wrapText="1"/>
    </xf>
    <xf numFmtId="15" fontId="34" fillId="0" borderId="0" xfId="0" applyNumberFormat="1" applyFont="1" applyAlignment="1">
      <alignment wrapText="1"/>
    </xf>
    <xf numFmtId="15" fontId="0" fillId="0" borderId="20" xfId="0" applyNumberFormat="1" applyBorder="1"/>
    <xf numFmtId="49" fontId="0" fillId="0" borderId="21" xfId="0" applyNumberFormat="1" applyBorder="1" applyAlignment="1">
      <alignment horizontal="center"/>
    </xf>
    <xf numFmtId="0" fontId="0" fillId="0" borderId="21" xfId="0" applyBorder="1"/>
    <xf numFmtId="44" fontId="0" fillId="0" borderId="21" xfId="1" applyFont="1" applyBorder="1"/>
    <xf numFmtId="15" fontId="0" fillId="0" borderId="21" xfId="0" applyNumberFormat="1" applyBorder="1" applyAlignment="1">
      <alignment wrapText="1"/>
    </xf>
    <xf numFmtId="44" fontId="0" fillId="0" borderId="21" xfId="0" applyNumberFormat="1" applyBorder="1"/>
    <xf numFmtId="49" fontId="0" fillId="0" borderId="22" xfId="0" applyNumberFormat="1" applyBorder="1"/>
    <xf numFmtId="49" fontId="0" fillId="10" borderId="21" xfId="0" applyNumberFormat="1" applyFill="1" applyBorder="1" applyAlignment="1">
      <alignment horizontal="center"/>
    </xf>
    <xf numFmtId="0" fontId="0" fillId="10" borderId="21" xfId="0" applyFill="1" applyBorder="1"/>
    <xf numFmtId="44" fontId="0" fillId="10" borderId="21" xfId="1" applyFont="1" applyFill="1" applyBorder="1"/>
    <xf numFmtId="15" fontId="0" fillId="10" borderId="21" xfId="0" applyNumberFormat="1" applyFill="1" applyBorder="1" applyAlignment="1">
      <alignment wrapText="1"/>
    </xf>
    <xf numFmtId="44" fontId="0" fillId="10" borderId="21" xfId="0" applyNumberFormat="1" applyFill="1" applyBorder="1"/>
    <xf numFmtId="49" fontId="0" fillId="10" borderId="22" xfId="0" applyNumberFormat="1" applyFill="1" applyBorder="1"/>
    <xf numFmtId="49" fontId="30" fillId="0" borderId="21" xfId="0" applyNumberFormat="1" applyFont="1" applyBorder="1"/>
    <xf numFmtId="15" fontId="30" fillId="0" borderId="21" xfId="0" applyNumberFormat="1" applyFont="1" applyBorder="1" applyAlignment="1">
      <alignment wrapText="1"/>
    </xf>
    <xf numFmtId="44" fontId="0" fillId="0" borderId="21" xfId="1" applyFont="1" applyFill="1" applyBorder="1"/>
    <xf numFmtId="15" fontId="0" fillId="20" borderId="20" xfId="0" applyNumberFormat="1" applyFill="1" applyBorder="1"/>
    <xf numFmtId="49" fontId="0" fillId="21" borderId="21" xfId="0" applyNumberFormat="1" applyFill="1" applyBorder="1" applyAlignment="1">
      <alignment horizontal="center"/>
    </xf>
    <xf numFmtId="0" fontId="0" fillId="21" borderId="21" xfId="0" applyFill="1" applyBorder="1"/>
    <xf numFmtId="49" fontId="2" fillId="21" borderId="21" xfId="0" applyNumberFormat="1" applyFont="1" applyFill="1" applyBorder="1"/>
    <xf numFmtId="44" fontId="0" fillId="21" borderId="21" xfId="1" applyFont="1" applyFill="1" applyBorder="1"/>
    <xf numFmtId="15" fontId="0" fillId="21" borderId="21" xfId="0" applyNumberFormat="1" applyFill="1" applyBorder="1" applyAlignment="1">
      <alignment wrapText="1"/>
    </xf>
    <xf numFmtId="44" fontId="0" fillId="21" borderId="21" xfId="0" applyNumberFormat="1" applyFill="1" applyBorder="1"/>
    <xf numFmtId="49" fontId="0" fillId="21" borderId="22" xfId="0" applyNumberFormat="1" applyFill="1" applyBorder="1"/>
    <xf numFmtId="15" fontId="0" fillId="20" borderId="21" xfId="0" applyNumberFormat="1" applyFill="1" applyBorder="1" applyAlignment="1">
      <alignment wrapText="1"/>
    </xf>
    <xf numFmtId="49" fontId="27" fillId="0" borderId="22" xfId="0" applyNumberFormat="1" applyFont="1" applyBorder="1"/>
    <xf numFmtId="49" fontId="30" fillId="10" borderId="21" xfId="0" applyNumberFormat="1" applyFont="1" applyFill="1" applyBorder="1"/>
    <xf numFmtId="15" fontId="30" fillId="10" borderId="21" xfId="0" applyNumberFormat="1" applyFont="1" applyFill="1" applyBorder="1" applyAlignment="1">
      <alignment wrapText="1"/>
    </xf>
    <xf numFmtId="44" fontId="0" fillId="13" borderId="21" xfId="1" applyFont="1" applyFill="1" applyBorder="1"/>
    <xf numFmtId="44" fontId="0" fillId="13" borderId="21" xfId="0" applyNumberFormat="1" applyFill="1" applyBorder="1"/>
    <xf numFmtId="15" fontId="0" fillId="13" borderId="21" xfId="0" applyNumberFormat="1" applyFill="1" applyBorder="1" applyAlignment="1">
      <alignment wrapText="1"/>
    </xf>
    <xf numFmtId="44" fontId="0" fillId="11" borderId="21" xfId="1" applyFont="1" applyFill="1" applyBorder="1"/>
    <xf numFmtId="49" fontId="30" fillId="21" borderId="21" xfId="0" applyNumberFormat="1" applyFont="1" applyFill="1" applyBorder="1"/>
    <xf numFmtId="15" fontId="30" fillId="21" borderId="21" xfId="0" applyNumberFormat="1" applyFont="1" applyFill="1" applyBorder="1" applyAlignment="1">
      <alignment wrapText="1"/>
    </xf>
    <xf numFmtId="15" fontId="0" fillId="21" borderId="20" xfId="0" applyNumberFormat="1" applyFill="1" applyBorder="1"/>
    <xf numFmtId="15" fontId="34" fillId="0" borderId="21" xfId="0" applyNumberFormat="1" applyFont="1" applyBorder="1" applyAlignment="1">
      <alignment wrapText="1"/>
    </xf>
    <xf numFmtId="49" fontId="0" fillId="13" borderId="21" xfId="0" applyNumberFormat="1" applyFill="1" applyBorder="1" applyAlignment="1">
      <alignment horizontal="center"/>
    </xf>
    <xf numFmtId="0" fontId="0" fillId="13" borderId="21" xfId="0" applyFill="1" applyBorder="1"/>
    <xf numFmtId="49" fontId="2" fillId="13" borderId="21" xfId="0" applyNumberFormat="1" applyFont="1" applyFill="1" applyBorder="1"/>
    <xf numFmtId="49" fontId="0" fillId="13" borderId="22" xfId="0" applyNumberFormat="1" applyFill="1" applyBorder="1"/>
    <xf numFmtId="15" fontId="0" fillId="10" borderId="20" xfId="0" applyNumberFormat="1" applyFill="1" applyBorder="1"/>
    <xf numFmtId="44" fontId="0" fillId="0" borderId="0" xfId="0" applyNumberFormat="1" applyFill="1"/>
    <xf numFmtId="15" fontId="13" fillId="10" borderId="21" xfId="0" applyNumberFormat="1" applyFont="1" applyFill="1" applyBorder="1" applyAlignment="1">
      <alignment wrapText="1"/>
    </xf>
    <xf numFmtId="44" fontId="13" fillId="10" borderId="21" xfId="1" applyFont="1" applyFill="1" applyBorder="1"/>
    <xf numFmtId="15" fontId="13" fillId="0" borderId="21" xfId="0" applyNumberFormat="1" applyFont="1" applyBorder="1" applyAlignment="1">
      <alignment wrapText="1"/>
    </xf>
    <xf numFmtId="44" fontId="13" fillId="0" borderId="21" xfId="1" applyFont="1" applyFill="1" applyBorder="1"/>
    <xf numFmtId="44" fontId="0" fillId="0" borderId="21" xfId="0" applyNumberFormat="1" applyFill="1" applyBorder="1"/>
    <xf numFmtId="44" fontId="13" fillId="13" borderId="21" xfId="1" applyFont="1" applyFill="1" applyBorder="1"/>
    <xf numFmtId="15" fontId="13" fillId="13" borderId="21" xfId="0" applyNumberFormat="1" applyFont="1" applyFill="1" applyBorder="1" applyAlignment="1">
      <alignment wrapText="1"/>
    </xf>
    <xf numFmtId="15" fontId="46" fillId="0" borderId="0" xfId="0" applyNumberFormat="1" applyFont="1" applyAlignment="1">
      <alignment wrapText="1"/>
    </xf>
    <xf numFmtId="44" fontId="46" fillId="0" borderId="0" xfId="1" applyFont="1"/>
    <xf numFmtId="15" fontId="13" fillId="20" borderId="21" xfId="0" applyNumberFormat="1" applyFont="1" applyFill="1" applyBorder="1" applyAlignment="1">
      <alignment wrapText="1"/>
    </xf>
    <xf numFmtId="44" fontId="13" fillId="21" borderId="21" xfId="1" applyFont="1" applyFill="1" applyBorder="1"/>
    <xf numFmtId="15" fontId="13" fillId="21" borderId="21" xfId="0" applyNumberFormat="1" applyFont="1" applyFill="1" applyBorder="1" applyAlignment="1">
      <alignment wrapText="1"/>
    </xf>
    <xf numFmtId="15" fontId="13" fillId="0" borderId="21" xfId="0" applyNumberFormat="1" applyFont="1" applyFill="1" applyBorder="1" applyAlignment="1">
      <alignment wrapText="1"/>
    </xf>
    <xf numFmtId="44" fontId="0" fillId="10" borderId="34" xfId="1" applyFont="1" applyFill="1" applyBorder="1"/>
    <xf numFmtId="15" fontId="13" fillId="0" borderId="34" xfId="0" applyNumberFormat="1" applyFont="1" applyBorder="1" applyAlignment="1">
      <alignment wrapText="1"/>
    </xf>
    <xf numFmtId="44" fontId="13" fillId="10" borderId="34" xfId="1" applyFont="1" applyFill="1" applyBorder="1"/>
    <xf numFmtId="44" fontId="0" fillId="10" borderId="34" xfId="0" applyNumberFormat="1" applyFill="1" applyBorder="1"/>
    <xf numFmtId="49" fontId="0" fillId="10" borderId="33" xfId="0" applyNumberFormat="1" applyFill="1" applyBorder="1"/>
    <xf numFmtId="44" fontId="0" fillId="0" borderId="0" xfId="0" applyNumberFormat="1" applyFont="1"/>
    <xf numFmtId="15" fontId="13" fillId="2" borderId="21" xfId="0" applyNumberFormat="1" applyFont="1" applyFill="1" applyBorder="1" applyAlignment="1">
      <alignment wrapText="1"/>
    </xf>
    <xf numFmtId="49" fontId="0" fillId="0" borderId="21" xfId="0" applyNumberFormat="1" applyFill="1" applyBorder="1" applyAlignment="1">
      <alignment horizontal="center"/>
    </xf>
    <xf numFmtId="0" fontId="0" fillId="0" borderId="21" xfId="0" applyFill="1" applyBorder="1"/>
    <xf numFmtId="49" fontId="2" fillId="0" borderId="21" xfId="0" applyNumberFormat="1" applyFont="1" applyFill="1" applyBorder="1"/>
    <xf numFmtId="49" fontId="0" fillId="0" borderId="22" xfId="0" applyNumberFormat="1" applyFill="1" applyBorder="1"/>
    <xf numFmtId="44" fontId="37" fillId="0" borderId="0" xfId="1" applyFont="1" applyFill="1"/>
    <xf numFmtId="15" fontId="0" fillId="22" borderId="20" xfId="0" applyNumberFormat="1" applyFill="1" applyBorder="1"/>
    <xf numFmtId="0" fontId="0" fillId="8" borderId="0" xfId="0" applyFill="1"/>
    <xf numFmtId="44" fontId="0" fillId="8" borderId="0" xfId="1" applyFont="1" applyFill="1"/>
    <xf numFmtId="15" fontId="0" fillId="8" borderId="0" xfId="0" applyNumberFormat="1" applyFill="1" applyAlignment="1">
      <alignment wrapText="1"/>
    </xf>
    <xf numFmtId="49" fontId="0" fillId="0" borderId="21" xfId="0" applyNumberFormat="1" applyBorder="1"/>
    <xf numFmtId="49" fontId="0" fillId="10" borderId="21" xfId="0" applyNumberFormat="1" applyFill="1" applyBorder="1"/>
    <xf numFmtId="15" fontId="0" fillId="21" borderId="20" xfId="0" applyNumberFormat="1" applyFill="1" applyBorder="1" applyAlignment="1">
      <alignment wrapText="1"/>
    </xf>
    <xf numFmtId="44" fontId="0" fillId="2" borderId="21" xfId="1" applyFont="1" applyFill="1" applyBorder="1"/>
    <xf numFmtId="49" fontId="0" fillId="21" borderId="21" xfId="0" applyNumberFormat="1" applyFill="1" applyBorder="1"/>
    <xf numFmtId="44" fontId="0" fillId="20" borderId="21" xfId="1" applyFont="1" applyFill="1" applyBorder="1"/>
    <xf numFmtId="15" fontId="2" fillId="10" borderId="21" xfId="0" applyNumberFormat="1" applyFont="1" applyFill="1" applyBorder="1" applyAlignment="1">
      <alignment wrapText="1"/>
    </xf>
    <xf numFmtId="49" fontId="27" fillId="0" borderId="21" xfId="0" applyNumberFormat="1" applyFont="1" applyBorder="1"/>
    <xf numFmtId="49" fontId="30" fillId="0" borderId="22" xfId="0" applyNumberFormat="1" applyFont="1" applyBorder="1"/>
    <xf numFmtId="49" fontId="27" fillId="10" borderId="22" xfId="0" applyNumberFormat="1" applyFont="1" applyFill="1" applyBorder="1"/>
    <xf numFmtId="49" fontId="27" fillId="10" borderId="21" xfId="0" applyNumberFormat="1" applyFont="1" applyFill="1" applyBorder="1"/>
    <xf numFmtId="44" fontId="0" fillId="23" borderId="21" xfId="1" applyFont="1" applyFill="1" applyBorder="1"/>
    <xf numFmtId="44" fontId="0" fillId="24" borderId="21" xfId="1" applyFont="1" applyFill="1" applyBorder="1"/>
    <xf numFmtId="44" fontId="1" fillId="13" borderId="21" xfId="1" applyFont="1" applyFill="1" applyBorder="1"/>
    <xf numFmtId="15" fontId="44" fillId="10" borderId="21" xfId="0" applyNumberFormat="1" applyFont="1" applyFill="1" applyBorder="1" applyAlignment="1">
      <alignment wrapText="1"/>
    </xf>
    <xf numFmtId="15" fontId="13" fillId="11" borderId="21" xfId="0" applyNumberFormat="1" applyFont="1" applyFill="1" applyBorder="1" applyAlignment="1">
      <alignment wrapText="1"/>
    </xf>
    <xf numFmtId="15" fontId="47" fillId="0" borderId="21" xfId="0" applyNumberFormat="1" applyFont="1" applyBorder="1" applyAlignment="1">
      <alignment wrapText="1"/>
    </xf>
    <xf numFmtId="44" fontId="3" fillId="0" borderId="0" xfId="0" applyNumberFormat="1" applyFont="1"/>
    <xf numFmtId="15" fontId="3" fillId="0" borderId="0" xfId="0" applyNumberFormat="1" applyFont="1" applyAlignment="1">
      <alignment wrapText="1"/>
    </xf>
    <xf numFmtId="0" fontId="48" fillId="2" borderId="5" xfId="0" applyFont="1" applyFill="1" applyBorder="1"/>
    <xf numFmtId="15" fontId="28" fillId="0" borderId="21" xfId="0" applyNumberFormat="1" applyFont="1" applyBorder="1" applyAlignment="1">
      <alignment wrapText="1"/>
    </xf>
    <xf numFmtId="49" fontId="0" fillId="10" borderId="34" xfId="0" applyNumberFormat="1" applyFill="1" applyBorder="1"/>
    <xf numFmtId="0" fontId="0" fillId="10" borderId="34" xfId="0" applyFill="1" applyBorder="1"/>
    <xf numFmtId="15" fontId="0" fillId="10" borderId="34" xfId="0" applyNumberFormat="1" applyFill="1" applyBorder="1" applyAlignment="1">
      <alignment wrapText="1"/>
    </xf>
    <xf numFmtId="44" fontId="0" fillId="13" borderId="34" xfId="1" applyFont="1" applyFill="1" applyBorder="1"/>
    <xf numFmtId="164" fontId="34" fillId="0" borderId="0" xfId="0" applyNumberFormat="1" applyFont="1" applyAlignment="1">
      <alignment horizontal="right" vertical="center" wrapText="1"/>
    </xf>
    <xf numFmtId="15" fontId="49" fillId="0" borderId="0" xfId="0" applyNumberFormat="1" applyFont="1" applyAlignment="1">
      <alignment wrapText="1"/>
    </xf>
    <xf numFmtId="44" fontId="50" fillId="0" borderId="0" xfId="1" applyFont="1" applyFill="1"/>
    <xf numFmtId="0" fontId="0" fillId="8" borderId="0" xfId="0" applyFill="1" applyAlignment="1">
      <alignment horizontal="center"/>
    </xf>
    <xf numFmtId="49" fontId="0" fillId="10" borderId="34" xfId="0" applyNumberFormat="1" applyFill="1" applyBorder="1" applyAlignment="1">
      <alignment horizontal="center"/>
    </xf>
    <xf numFmtId="15" fontId="0" fillId="0" borderId="0" xfId="0" applyNumberFormat="1" applyAlignment="1">
      <alignment horizontal="center"/>
    </xf>
    <xf numFmtId="44" fontId="0" fillId="13" borderId="0" xfId="1" applyFont="1" applyFill="1"/>
    <xf numFmtId="44" fontId="30" fillId="0" borderId="0" xfId="1" applyFont="1"/>
    <xf numFmtId="15" fontId="0" fillId="0" borderId="21" xfId="0" applyNumberFormat="1" applyBorder="1" applyAlignment="1">
      <alignment horizontal="center" wrapText="1"/>
    </xf>
    <xf numFmtId="44" fontId="4" fillId="25" borderId="0" xfId="1" applyFont="1" applyFill="1"/>
    <xf numFmtId="15" fontId="4" fillId="25" borderId="0" xfId="0" applyNumberFormat="1" applyFont="1" applyFill="1" applyAlignment="1">
      <alignment wrapText="1"/>
    </xf>
    <xf numFmtId="15" fontId="0" fillId="0" borderId="0" xfId="0" applyNumberFormat="1" applyFill="1" applyAlignment="1">
      <alignment wrapText="1"/>
    </xf>
    <xf numFmtId="0" fontId="3" fillId="2" borderId="1" xfId="0" applyFont="1" applyFill="1" applyBorder="1" applyAlignment="1">
      <alignment horizontal="center"/>
    </xf>
    <xf numFmtId="167" fontId="15" fillId="6" borderId="7" xfId="1" applyNumberFormat="1" applyFont="1" applyFill="1" applyBorder="1" applyAlignment="1">
      <alignment horizontal="center" wrapText="1"/>
    </xf>
    <xf numFmtId="167" fontId="15" fillId="6" borderId="8" xfId="1" applyNumberFormat="1" applyFont="1" applyFill="1" applyBorder="1" applyAlignment="1">
      <alignment horizontal="center" wrapText="1"/>
    </xf>
    <xf numFmtId="167" fontId="15" fillId="6" borderId="9" xfId="1" applyNumberFormat="1" applyFont="1" applyFill="1" applyBorder="1" applyAlignment="1">
      <alignment horizontal="center" wrapText="1"/>
    </xf>
    <xf numFmtId="0" fontId="21" fillId="2" borderId="1" xfId="0" applyFont="1" applyFill="1" applyBorder="1" applyAlignment="1">
      <alignment horizontal="center"/>
    </xf>
    <xf numFmtId="44" fontId="26" fillId="0" borderId="11" xfId="1" applyFont="1" applyBorder="1" applyAlignment="1">
      <alignment horizontal="center" wrapText="1"/>
    </xf>
    <xf numFmtId="44" fontId="26" fillId="0" borderId="14" xfId="1" applyFont="1" applyBorder="1" applyAlignment="1">
      <alignment horizontal="center" wrapText="1"/>
    </xf>
    <xf numFmtId="167" fontId="21" fillId="2" borderId="12" xfId="1" applyNumberFormat="1" applyFont="1" applyFill="1" applyBorder="1" applyAlignment="1">
      <alignment horizontal="center"/>
    </xf>
    <xf numFmtId="167" fontId="21" fillId="2" borderId="13" xfId="1" applyNumberFormat="1" applyFont="1" applyFill="1" applyBorder="1" applyAlignment="1">
      <alignment horizontal="center"/>
    </xf>
    <xf numFmtId="167" fontId="21" fillId="2" borderId="15" xfId="1" applyNumberFormat="1" applyFont="1" applyFill="1" applyBorder="1" applyAlignment="1">
      <alignment horizontal="center"/>
    </xf>
    <xf numFmtId="167" fontId="21" fillId="2" borderId="16" xfId="1" applyNumberFormat="1" applyFont="1" applyFill="1" applyBorder="1" applyAlignment="1">
      <alignment horizontal="center"/>
    </xf>
    <xf numFmtId="0" fontId="29" fillId="2" borderId="1" xfId="0" applyFont="1" applyFill="1" applyBorder="1" applyAlignment="1">
      <alignment horizontal="center"/>
    </xf>
    <xf numFmtId="167" fontId="21" fillId="2" borderId="23" xfId="1" applyNumberFormat="1" applyFont="1" applyFill="1" applyBorder="1" applyAlignment="1">
      <alignment horizontal="center"/>
    </xf>
    <xf numFmtId="167" fontId="21" fillId="2" borderId="24" xfId="1" applyNumberFormat="1" applyFont="1" applyFill="1" applyBorder="1" applyAlignment="1">
      <alignment horizontal="center"/>
    </xf>
    <xf numFmtId="2" fontId="14" fillId="18" borderId="30" xfId="0" applyNumberFormat="1" applyFont="1" applyFill="1" applyBorder="1" applyAlignment="1">
      <alignment horizontal="center"/>
    </xf>
    <xf numFmtId="2" fontId="14" fillId="18" borderId="31" xfId="0" applyNumberFormat="1" applyFont="1" applyFill="1" applyBorder="1" applyAlignment="1">
      <alignment horizontal="center"/>
    </xf>
    <xf numFmtId="4" fontId="14" fillId="0" borderId="5" xfId="0" applyNumberFormat="1" applyFont="1" applyBorder="1" applyAlignment="1">
      <alignment horizontal="center"/>
    </xf>
    <xf numFmtId="4" fontId="14" fillId="0" borderId="32" xfId="0" applyNumberFormat="1" applyFont="1" applyBorder="1" applyAlignment="1">
      <alignment horizontal="center"/>
    </xf>
    <xf numFmtId="44" fontId="21" fillId="2" borderId="6" xfId="0" applyNumberFormat="1" applyFont="1" applyFill="1" applyBorder="1" applyAlignment="1">
      <alignment horizontal="center" wrapText="1"/>
    </xf>
    <xf numFmtId="44" fontId="21" fillId="2" borderId="32" xfId="0" applyNumberFormat="1" applyFont="1" applyFill="1" applyBorder="1" applyAlignment="1">
      <alignment horizontal="center" wrapText="1"/>
    </xf>
    <xf numFmtId="44" fontId="48" fillId="25" borderId="0" xfId="0" applyNumberFormat="1" applyFont="1" applyFill="1" applyAlignment="1">
      <alignment horizontal="center" wrapText="1"/>
    </xf>
    <xf numFmtId="15" fontId="48" fillId="25" borderId="0" xfId="0" applyNumberFormat="1" applyFont="1" applyFill="1" applyAlignment="1">
      <alignment horizontal="center" wrapText="1"/>
    </xf>
  </cellXfs>
  <cellStyles count="2">
    <cellStyle name="Moneda" xfId="1" builtinId="4"/>
    <cellStyle name="Normal" xfId="0" builtinId="0"/>
  </cellStyles>
  <dxfs count="32">
    <dxf>
      <numFmt numFmtId="20" formatCode="dd\-mmm\-yy"/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0" formatCode="dd\-mmm\-yy"/>
      <alignment horizontal="center" vertical="bottom" textRotation="0" wrapText="0" indent="0" justifyLastLine="0" shrinkToFit="0" readingOrder="0"/>
    </dxf>
    <dxf>
      <numFmt numFmtId="20" formatCode="dd\-mmm\-yy"/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0" formatCode="dd\-mmm\-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</dxf>
    <dxf>
      <numFmt numFmtId="20" formatCode="dd\-mmm\-yy"/>
      <alignment horizontal="general" vertical="bottom" textRotation="0" wrapText="1" indent="0" justifyLastLine="0" shrinkToFit="0" readingOrder="0"/>
    </dxf>
    <dxf>
      <numFmt numFmtId="20" formatCode="dd\-mmm\-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0" formatCode="dd\-mmm\-yy"/>
    </dxf>
    <dxf>
      <numFmt numFmtId="20" formatCode="dd\-mmm\-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4" formatCode="_-&quot;$&quot;* #,##0.00_-;\-&quot;$&quot;* #,##0.00_-;_-&quot;$&quot;* &quot;-&quot;??_-;_-@_-"/>
      <border diagonalUp="0" diagonalDown="0" outline="0">
        <left style="thin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4" formatCode="_-&quot;$&quot;* #,##0.00_-;\-&quot;$&quot;* #,##0.00_-;_-&quot;$&quot;* &quot;-&quot;??_-;_-@_-"/>
      <border diagonalUp="0" diagonalDown="0" outline="0">
        <left style="thin">
          <color indexed="64"/>
        </left>
        <right style="thin">
          <color indexed="64"/>
        </right>
        <top style="medium">
          <color indexed="64"/>
        </top>
        <bottom style="medium">
          <color indexed="64"/>
        </bottom>
      </border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[$-C0A]d\-mmm\-yy;@"/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indexed="64"/>
        </top>
        <bottom style="medium">
          <color indexed="64"/>
        </bottom>
      </border>
    </dxf>
    <dxf>
      <font>
        <b/>
      </font>
      <numFmt numFmtId="164" formatCode="[$-C0A]d\-mmm\-yy;@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4" formatCode="_-&quot;$&quot;* #,##0.00_-;\-&quot;$&quot;* #,##0.00_-;_-&quot;$&quot;* &quot;-&quot;??_-;_-@_-"/>
      <border diagonalUp="0" diagonalDown="0" outline="0">
        <left style="medium">
          <color indexed="64"/>
        </left>
        <right style="thin">
          <color indexed="64"/>
        </right>
        <top style="medium">
          <color indexed="64"/>
        </top>
        <bottom style="medium">
          <color indexed="64"/>
        </bottom>
      </border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C0A]d\-mmm\-yy;@"/>
      <alignment horizontal="center" vertical="bottom" textRotation="0" wrapText="0" indent="0" justifyLastLine="0" shrinkToFit="0" readingOrder="0"/>
    </dxf>
    <dxf>
      <font>
        <b/>
      </font>
      <numFmt numFmtId="164" formatCode="[$-C0A]d\-mmm\-yy;@"/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colors>
    <mruColors>
      <color rgb="FF00FFFF"/>
      <color rgb="FF0000FF"/>
      <color rgb="FF99CCFF"/>
      <color rgb="FFFF99FF"/>
      <color rgb="FF00FF99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1012034</xdr:colOff>
      <xdr:row>3742</xdr:row>
      <xdr:rowOff>85044</xdr:rowOff>
    </xdr:from>
    <xdr:to>
      <xdr:col>6</xdr:col>
      <xdr:colOff>1301185</xdr:colOff>
      <xdr:row>3745</xdr:row>
      <xdr:rowOff>170088</xdr:rowOff>
    </xdr:to>
    <xdr:sp macro="" textlink="">
      <xdr:nvSpPr>
        <xdr:cNvPr id="6" name="Abrir llav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 rot="16200000">
          <a:off x="8248313" y="712005315"/>
          <a:ext cx="656544" cy="3318101"/>
        </a:xfrm>
        <a:prstGeom prst="leftBrace">
          <a:avLst>
            <a:gd name="adj1" fmla="val 8333"/>
            <a:gd name="adj2" fmla="val 44444"/>
          </a:avLst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923928</xdr:colOff>
      <xdr:row>3662</xdr:row>
      <xdr:rowOff>66674</xdr:rowOff>
    </xdr:from>
    <xdr:to>
      <xdr:col>7</xdr:col>
      <xdr:colOff>533400</xdr:colOff>
      <xdr:row>3667</xdr:row>
      <xdr:rowOff>85725</xdr:rowOff>
    </xdr:to>
    <xdr:sp macro="" textlink="">
      <xdr:nvSpPr>
        <xdr:cNvPr id="2" name="Abrir llav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 rot="16200000">
          <a:off x="9510714" y="731924813"/>
          <a:ext cx="981076" cy="4419597"/>
        </a:xfrm>
        <a:prstGeom prst="lef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923928</xdr:colOff>
      <xdr:row>3622</xdr:row>
      <xdr:rowOff>66674</xdr:rowOff>
    </xdr:from>
    <xdr:to>
      <xdr:col>9</xdr:col>
      <xdr:colOff>533400</xdr:colOff>
      <xdr:row>3627</xdr:row>
      <xdr:rowOff>85725</xdr:rowOff>
    </xdr:to>
    <xdr:sp macro="" textlink="">
      <xdr:nvSpPr>
        <xdr:cNvPr id="2" name="Abrir llav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 rot="16200000">
          <a:off x="9510714" y="689500463"/>
          <a:ext cx="981076" cy="4419597"/>
        </a:xfrm>
        <a:prstGeom prst="lef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1014088</xdr:colOff>
      <xdr:row>4059</xdr:row>
      <xdr:rowOff>9525</xdr:rowOff>
    </xdr:from>
    <xdr:to>
      <xdr:col>6</xdr:col>
      <xdr:colOff>1457323</xdr:colOff>
      <xdr:row>4062</xdr:row>
      <xdr:rowOff>11654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A7C1DA30-1276-49C4-81A3-3230CD039D9C}"/>
            </a:ext>
          </a:extLst>
        </xdr:cNvPr>
        <xdr:cNvSpPr/>
      </xdr:nvSpPr>
      <xdr:spPr>
        <a:xfrm rot="5400000">
          <a:off x="9330891" y="775495447"/>
          <a:ext cx="573629" cy="3472185"/>
        </a:xfrm>
        <a:prstGeom prst="rightBrace">
          <a:avLst>
            <a:gd name="adj1" fmla="val 8333"/>
            <a:gd name="adj2" fmla="val 50274"/>
          </a:avLst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r>
            <a:rPr lang="es-MX" sz="1100"/>
            <a:t>=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647700</xdr:colOff>
      <xdr:row>3820</xdr:row>
      <xdr:rowOff>19053</xdr:rowOff>
    </xdr:from>
    <xdr:to>
      <xdr:col>7</xdr:col>
      <xdr:colOff>852810</xdr:colOff>
      <xdr:row>3823</xdr:row>
      <xdr:rowOff>30707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BD373B30-1340-4758-9937-148548304118}"/>
            </a:ext>
          </a:extLst>
        </xdr:cNvPr>
        <xdr:cNvSpPr/>
      </xdr:nvSpPr>
      <xdr:spPr>
        <a:xfrm rot="5400000">
          <a:off x="7188090" y="753630813"/>
          <a:ext cx="592679" cy="4110360"/>
        </a:xfrm>
        <a:prstGeom prst="rightBrace">
          <a:avLst>
            <a:gd name="adj1" fmla="val 8333"/>
            <a:gd name="adj2" fmla="val 50274"/>
          </a:avLst>
        </a:prstGeom>
        <a:noFill/>
        <a:ln w="19050" cap="flat" cmpd="sng" algn="ctr">
          <a:solidFill>
            <a:srgbClr val="4472C4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s-MX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=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3789</xdr:row>
      <xdr:rowOff>0</xdr:rowOff>
    </xdr:from>
    <xdr:to>
      <xdr:col>8</xdr:col>
      <xdr:colOff>5085</xdr:colOff>
      <xdr:row>3792</xdr:row>
      <xdr:rowOff>21179</xdr:rowOff>
    </xdr:to>
    <xdr:sp macro="" textlink="">
      <xdr:nvSpPr>
        <xdr:cNvPr id="3" name="Cerrar llave 2">
          <a:extLst>
            <a:ext uri="{FF2B5EF4-FFF2-40B4-BE49-F238E27FC236}">
              <a16:creationId xmlns:a16="http://schemas.microsoft.com/office/drawing/2014/main" id="{D8DF8A23-C4EB-4AD9-91E5-6832680D51DE}"/>
            </a:ext>
          </a:extLst>
        </xdr:cNvPr>
        <xdr:cNvSpPr/>
      </xdr:nvSpPr>
      <xdr:spPr>
        <a:xfrm rot="5400000">
          <a:off x="6940440" y="753116460"/>
          <a:ext cx="592679" cy="3919860"/>
        </a:xfrm>
        <a:prstGeom prst="rightBrace">
          <a:avLst>
            <a:gd name="adj1" fmla="val 8333"/>
            <a:gd name="adj2" fmla="val 50274"/>
          </a:avLst>
        </a:prstGeom>
        <a:noFill/>
        <a:ln w="19050" cap="flat" cmpd="sng" algn="ctr">
          <a:solidFill>
            <a:srgbClr val="4472C4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s-MX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=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419100</xdr:colOff>
      <xdr:row>3805</xdr:row>
      <xdr:rowOff>219076</xdr:rowOff>
    </xdr:from>
    <xdr:to>
      <xdr:col>7</xdr:col>
      <xdr:colOff>748035</xdr:colOff>
      <xdr:row>3809</xdr:row>
      <xdr:rowOff>11655</xdr:rowOff>
    </xdr:to>
    <xdr:sp macro="" textlink="">
      <xdr:nvSpPr>
        <xdr:cNvPr id="3" name="Cerrar llave 2">
          <a:extLst>
            <a:ext uri="{FF2B5EF4-FFF2-40B4-BE49-F238E27FC236}">
              <a16:creationId xmlns:a16="http://schemas.microsoft.com/office/drawing/2014/main" id="{DD83058C-2804-4EFF-9E4F-585CB0168644}"/>
            </a:ext>
          </a:extLst>
        </xdr:cNvPr>
        <xdr:cNvSpPr/>
      </xdr:nvSpPr>
      <xdr:spPr>
        <a:xfrm rot="5400000">
          <a:off x="6702316" y="753478410"/>
          <a:ext cx="602204" cy="4024635"/>
        </a:xfrm>
        <a:prstGeom prst="rightBrace">
          <a:avLst>
            <a:gd name="adj1" fmla="val 8333"/>
            <a:gd name="adj2" fmla="val 50274"/>
          </a:avLst>
        </a:prstGeom>
        <a:noFill/>
        <a:ln w="19050" cap="flat" cmpd="sng" algn="ctr">
          <a:solidFill>
            <a:srgbClr val="4472C4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s-MX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=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490538</xdr:colOff>
      <xdr:row>3999</xdr:row>
      <xdr:rowOff>19050</xdr:rowOff>
    </xdr:from>
    <xdr:to>
      <xdr:col>7</xdr:col>
      <xdr:colOff>1047750</xdr:colOff>
      <xdr:row>4001</xdr:row>
      <xdr:rowOff>119064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05F659AC-8D96-49C3-9A5F-EC62070324EA}"/>
            </a:ext>
          </a:extLst>
        </xdr:cNvPr>
        <xdr:cNvSpPr/>
      </xdr:nvSpPr>
      <xdr:spPr>
        <a:xfrm rot="5400000">
          <a:off x="7405687" y="788336626"/>
          <a:ext cx="481014" cy="3757612"/>
        </a:xfrm>
        <a:prstGeom prst="rightBrace">
          <a:avLst>
            <a:gd name="adj1" fmla="val 8333"/>
            <a:gd name="adj2" fmla="val 47973"/>
          </a:avLst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8FD53F-F833-453F-AC17-199C11EFB288}" name="Tabla1" displayName="Tabla1" ref="A1:I3820" totalsRowCount="1" headerRowDxfId="31">
  <autoFilter ref="A1:I3819" xr:uid="{370099B0-119F-4762-96EA-13042AFF793C}"/>
  <tableColumns count="9">
    <tableColumn id="1" xr3:uid="{98C336C1-134D-44E8-8EF4-BC3053F944DF}" name="Fecha" dataDxfId="30" totalsRowDxfId="29"/>
    <tableColumn id="2" xr3:uid="{B9190D45-21FA-423F-8FD8-5EC55456E050}" name="Folio-Serie" dataDxfId="28" totalsRowDxfId="27"/>
    <tableColumn id="3" xr3:uid="{2E518921-F788-4A0F-A146-AC4A121AC5B2}" name="Folio-Remision"/>
    <tableColumn id="4" xr3:uid="{0D68C514-EC3D-4872-A705-6030C556CEDD}" name="Nombre-Cliente" dataDxfId="26" totalsRowDxfId="25"/>
    <tableColumn id="5" xr3:uid="{8DED5768-2E7B-40BB-9365-CB95FB787488}" name="Importe" totalsRowFunction="sum" dataDxfId="24" totalsRowDxfId="23" dataCellStyle="Moneda"/>
    <tableColumn id="6" xr3:uid="{95F8AD63-68A0-4097-B682-90EB2D692D80}" name="Fecha-Pago" dataDxfId="22" totalsRowDxfId="21"/>
    <tableColumn id="7" xr3:uid="{FAD6015C-4A60-4B5E-946F-435202E5CA09}" name="Pagado" totalsRowFunction="sum" dataDxfId="20" totalsRowDxfId="19" dataCellStyle="Moneda"/>
    <tableColumn id="8" xr3:uid="{C2371507-AEC8-4047-9059-053327869C3D}" name="Saldo" totalsRowFunction="sum" dataDxfId="18" totalsRowDxfId="17" dataCellStyle="Moneda">
      <calculatedColumnFormula>Tabla1[[#This Row],[Importe]]-Tabla1[[#This Row],[Pagado]]</calculatedColumnFormula>
    </tableColumn>
    <tableColumn id="9" xr3:uid="{56BF3738-A2B2-44AB-8B0A-60BB55EFDDF8}" name="Estad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745C783-3EB0-471D-AD42-26B98ECB43B1}" name="Tabla13" displayName="Tabla13" ref="A1:I3790" totalsRowCount="1">
  <autoFilter ref="A1:I3789" xr:uid="{0196EAFE-B198-44AB-8CFD-1D902C0005C7}"/>
  <tableColumns count="9">
    <tableColumn id="1" xr3:uid="{CD22D7D4-563D-47F6-A034-884C03F64EB9}" name="Fecha" dataDxfId="16" totalsRowDxfId="15"/>
    <tableColumn id="2" xr3:uid="{CA2EF1DD-6CB1-4C63-ABD1-798370A5BF8E}" name="Folio-Serie" dataDxfId="14" totalsRowDxfId="13"/>
    <tableColumn id="3" xr3:uid="{76E09CAB-202A-437B-8BBE-6BA3A1E4D080}" name="Folio-Remision"/>
    <tableColumn id="4" xr3:uid="{90815CFD-AE44-4FD0-897E-A7AD982B7F36}" name="Nombre-Cliente" dataDxfId="12" totalsRowDxfId="11"/>
    <tableColumn id="5" xr3:uid="{8C33EB66-E449-41A4-9DFB-608B709F8283}" name="Importe" totalsRowFunction="sum" totalsRowDxfId="10" dataCellStyle="Moneda"/>
    <tableColumn id="6" xr3:uid="{5ED99757-6530-4680-922B-0D2D22226FD1}" name="Fecha-Pago" dataDxfId="9" totalsRowDxfId="8"/>
    <tableColumn id="7" xr3:uid="{CBBA58D7-FDC4-4BBF-A51B-BCDA46C11C92}" name="Pagado" totalsRowFunction="sum" totalsRowDxfId="7" dataCellStyle="Moneda"/>
    <tableColumn id="8" xr3:uid="{68C1BC11-43AA-44C1-B2C2-AD09EA8869F7}" name="Saldo" totalsRowFunction="sum" totalsRowDxfId="6"/>
    <tableColumn id="9" xr3:uid="{52350C0F-D6DD-4850-9F4C-C7A4667C8762}" name="Estad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33074B8-95D5-4E6C-9511-BB322C9E8EFD}" name="Tabla14" displayName="Tabla14" ref="A1:I239" totalsRowShown="0">
  <autoFilter ref="A1:I239" xr:uid="{37EA8A0B-BCFE-42E7-BD58-35A9740099DE}"/>
  <tableColumns count="9">
    <tableColumn id="1" xr3:uid="{1255F791-1F7A-46F3-BB0A-AB0FEC9883E6}" name="Fecha" dataDxfId="5"/>
    <tableColumn id="2" xr3:uid="{77C06CB5-A881-4196-9A36-1C1ADE9FB3FB}" name="Folio-Serie" dataDxfId="4"/>
    <tableColumn id="3" xr3:uid="{ECDC5DAD-C569-48D8-8E10-752AE5C4CCC7}" name="Folio-Remision"/>
    <tableColumn id="4" xr3:uid="{28CA36A8-A9BE-42FC-A022-BE0C635F85FA}" name="Nombre-Cliente"/>
    <tableColumn id="5" xr3:uid="{47AAA3C5-F16B-4285-A298-4EEC6C8A90D7}" name="Importe" dataCellStyle="Moneda"/>
    <tableColumn id="6" xr3:uid="{F7FBAE61-D710-40F6-B0AE-F814D0AD30F1}" name="Fecha-Pago" dataDxfId="3"/>
    <tableColumn id="7" xr3:uid="{5EA5FD71-F768-42F5-9E07-6F6093E3BCFC}" name="Pagado" dataCellStyle="Moneda"/>
    <tableColumn id="8" xr3:uid="{9B1763BC-6607-4FFB-A2D2-DCB45E4ADA5B}" name="Saldo" dataCellStyle="Moneda"/>
    <tableColumn id="9" xr3:uid="{D7B84C4A-5357-4385-9CB6-2E08AA8F91CF}" name="Estado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B15FA1D-96B9-4DB2-A0BD-9AD93EA1CB0A}" name="Tabla15" displayName="Tabla15" ref="A1:I3999" totalsRowShown="0">
  <autoFilter ref="A1:I3999" xr:uid="{A388DCB3-EF0F-4807-937E-A7A72E5339FB}"/>
  <tableColumns count="9">
    <tableColumn id="1" xr3:uid="{3591A2BE-5405-4228-8060-52638AB6CED9}" name="Fecha" dataDxfId="2"/>
    <tableColumn id="2" xr3:uid="{42FF1CED-78B1-440C-A1E7-F56A0D3B8CF3}" name="Folio-Serie" dataDxfId="1"/>
    <tableColumn id="3" xr3:uid="{68E7B0E9-681E-4DFD-BA12-89A45FE03F93}" name="Folio-Remision"/>
    <tableColumn id="4" xr3:uid="{6CBBCF71-6590-4FA2-9F41-9F1D88FC9A62}" name="Nombre-Cliente"/>
    <tableColumn id="5" xr3:uid="{0E7DEBBE-76BD-40AE-A52E-29DABBA8B6E8}" name="Importe" dataCellStyle="Moneda"/>
    <tableColumn id="6" xr3:uid="{2A81B349-54AE-428A-B4B0-7075DB7828C3}" name="Fecha-Pago" dataDxfId="0"/>
    <tableColumn id="7" xr3:uid="{B201904D-293F-459C-AA76-3308E7425306}" name="Pagado" dataCellStyle="Moneda"/>
    <tableColumn id="8" xr3:uid="{71B648DF-3997-488E-95CE-4901C9628B82}" name="Saldo" dataCellStyle="Moneda">
      <calculatedColumnFormula>Tabla15[[#This Row],[Importe]]-Tabla15[[#This Row],[Pagado]]</calculatedColumnFormula>
    </tableColumn>
    <tableColumn id="9" xr3:uid="{EDCC39E9-3B13-4702-91AB-82664B9A465A}" name="Est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L3747"/>
  <sheetViews>
    <sheetView topLeftCell="A3705" zoomScale="110" zoomScaleNormal="110" workbookViewId="0">
      <pane xSplit="2" topLeftCell="E1" activePane="topRight" state="frozen"/>
      <selection activeCell="A219" sqref="A219"/>
      <selection pane="topRight" activeCell="B3723" sqref="B3723"/>
    </sheetView>
  </sheetViews>
  <sheetFormatPr baseColWidth="10" defaultRowHeight="15" x14ac:dyDescent="0.25"/>
  <cols>
    <col min="1" max="1" width="14.85546875" style="16" customWidth="1"/>
    <col min="2" max="2" width="12.28515625" style="29" customWidth="1"/>
    <col min="3" max="3" width="16" style="29" customWidth="1"/>
    <col min="4" max="4" width="45.42578125" style="2" customWidth="1"/>
    <col min="5" max="5" width="21" style="15" bestFit="1" customWidth="1"/>
    <col min="6" max="6" width="24.42578125" style="36" customWidth="1"/>
    <col min="7" max="7" width="26.7109375" style="34" bestFit="1" customWidth="1"/>
    <col min="8" max="8" width="19.5703125" style="2" bestFit="1" customWidth="1"/>
    <col min="9" max="9" width="11.42578125" style="2"/>
    <col min="10" max="10" width="14.140625" style="2" bestFit="1" customWidth="1"/>
    <col min="11" max="16384" width="11.42578125" style="2"/>
  </cols>
  <sheetData>
    <row r="1" spans="1:9" ht="18.75" x14ac:dyDescent="0.3">
      <c r="A1" s="427" t="s">
        <v>0</v>
      </c>
      <c r="B1" s="427"/>
      <c r="C1" s="427"/>
      <c r="D1" s="427"/>
      <c r="E1" s="427"/>
      <c r="F1" s="427"/>
      <c r="G1" s="427"/>
      <c r="H1" s="1"/>
    </row>
    <row r="2" spans="1:9" ht="19.5" thickBot="1" x14ac:dyDescent="0.35">
      <c r="A2" s="3" t="s">
        <v>1</v>
      </c>
      <c r="B2" s="4" t="s">
        <v>2</v>
      </c>
      <c r="C2" s="5" t="s">
        <v>3</v>
      </c>
      <c r="D2" s="6" t="s">
        <v>4</v>
      </c>
      <c r="E2" s="7" t="s">
        <v>5</v>
      </c>
      <c r="F2" s="122" t="s">
        <v>6</v>
      </c>
      <c r="G2" s="8" t="str">
        <f t="shared" ref="G2" si="0">E2</f>
        <v>IMPORTE</v>
      </c>
      <c r="H2" s="9" t="s">
        <v>7</v>
      </c>
    </row>
    <row r="3" spans="1:9" ht="15.75" thickTop="1" x14ac:dyDescent="0.25">
      <c r="A3" s="10">
        <v>42742</v>
      </c>
      <c r="B3" s="11"/>
      <c r="C3" s="12">
        <v>0</v>
      </c>
      <c r="D3" s="13" t="s">
        <v>8</v>
      </c>
      <c r="E3" s="14">
        <v>7144</v>
      </c>
      <c r="F3" s="123">
        <v>0</v>
      </c>
      <c r="G3" s="14">
        <v>7144</v>
      </c>
      <c r="H3" s="15">
        <f>E3-G3</f>
        <v>0</v>
      </c>
    </row>
    <row r="4" spans="1:9" x14ac:dyDescent="0.25">
      <c r="A4" s="10">
        <v>42748</v>
      </c>
      <c r="B4" s="11"/>
      <c r="C4" s="12">
        <v>0</v>
      </c>
      <c r="D4" s="13" t="s">
        <v>9</v>
      </c>
      <c r="E4" s="14">
        <v>0</v>
      </c>
      <c r="F4" s="123">
        <v>0</v>
      </c>
      <c r="G4" s="14">
        <v>0</v>
      </c>
      <c r="H4" s="15">
        <f>E4-G4</f>
        <v>0</v>
      </c>
    </row>
    <row r="5" spans="1:9" x14ac:dyDescent="0.25">
      <c r="A5" s="10">
        <v>42748</v>
      </c>
      <c r="B5" s="11"/>
      <c r="C5" s="12">
        <v>0</v>
      </c>
      <c r="D5" s="13" t="s">
        <v>10</v>
      </c>
      <c r="E5" s="14">
        <v>0</v>
      </c>
      <c r="F5" s="123">
        <v>0</v>
      </c>
      <c r="G5" s="14">
        <v>0</v>
      </c>
      <c r="H5" s="15">
        <f>E5-G5</f>
        <v>0</v>
      </c>
    </row>
    <row r="6" spans="1:9" x14ac:dyDescent="0.25">
      <c r="A6" s="16">
        <v>42737</v>
      </c>
      <c r="B6" s="17" t="s">
        <v>11</v>
      </c>
      <c r="C6" s="18">
        <v>95603</v>
      </c>
      <c r="D6" s="2" t="s">
        <v>12</v>
      </c>
      <c r="E6" s="15">
        <v>660</v>
      </c>
      <c r="F6" s="36">
        <v>42737</v>
      </c>
      <c r="G6" s="15">
        <v>660</v>
      </c>
      <c r="H6" s="15">
        <f t="shared" ref="H6:H69" si="1">E6-G6</f>
        <v>0</v>
      </c>
      <c r="I6" s="19"/>
    </row>
    <row r="7" spans="1:9" x14ac:dyDescent="0.25">
      <c r="A7" s="16">
        <v>42737</v>
      </c>
      <c r="B7" s="17" t="s">
        <v>13</v>
      </c>
      <c r="C7" s="18">
        <v>95604</v>
      </c>
      <c r="D7" s="2" t="s">
        <v>14</v>
      </c>
      <c r="E7" s="15">
        <v>12940.4</v>
      </c>
      <c r="F7" s="36" t="s">
        <v>15</v>
      </c>
      <c r="G7" s="15">
        <v>12940.4</v>
      </c>
      <c r="H7" s="15">
        <f t="shared" si="1"/>
        <v>0</v>
      </c>
      <c r="I7" s="19"/>
    </row>
    <row r="8" spans="1:9" x14ac:dyDescent="0.25">
      <c r="A8" s="16">
        <v>42737</v>
      </c>
      <c r="B8" s="17" t="s">
        <v>16</v>
      </c>
      <c r="C8" s="18">
        <v>95605</v>
      </c>
      <c r="D8" s="2" t="s">
        <v>17</v>
      </c>
      <c r="E8" s="15">
        <v>2750</v>
      </c>
      <c r="F8" s="36" t="s">
        <v>15</v>
      </c>
      <c r="G8" s="15">
        <v>2750</v>
      </c>
      <c r="H8" s="15">
        <f t="shared" si="1"/>
        <v>0</v>
      </c>
      <c r="I8" s="19"/>
    </row>
    <row r="9" spans="1:9" ht="15" customHeight="1" x14ac:dyDescent="0.25">
      <c r="A9" s="16">
        <v>42737</v>
      </c>
      <c r="B9" s="17" t="s">
        <v>18</v>
      </c>
      <c r="C9" s="18">
        <v>95606</v>
      </c>
      <c r="D9" s="2" t="s">
        <v>19</v>
      </c>
      <c r="E9" s="15">
        <v>1100</v>
      </c>
      <c r="F9" s="36" t="s">
        <v>15</v>
      </c>
      <c r="G9" s="15">
        <v>1100</v>
      </c>
      <c r="H9" s="15">
        <f t="shared" si="1"/>
        <v>0</v>
      </c>
      <c r="I9" s="19"/>
    </row>
    <row r="10" spans="1:9" ht="15" customHeight="1" x14ac:dyDescent="0.25">
      <c r="A10" s="16">
        <v>42737</v>
      </c>
      <c r="B10" s="17" t="s">
        <v>20</v>
      </c>
      <c r="C10" s="18">
        <v>95607</v>
      </c>
      <c r="D10" s="2" t="s">
        <v>21</v>
      </c>
      <c r="E10" s="15">
        <v>46716.800000000003</v>
      </c>
      <c r="F10" s="124" t="s">
        <v>22</v>
      </c>
      <c r="G10" s="20">
        <f>19728+26988.8</f>
        <v>46716.800000000003</v>
      </c>
      <c r="H10" s="20">
        <f t="shared" si="1"/>
        <v>0</v>
      </c>
      <c r="I10" s="19"/>
    </row>
    <row r="11" spans="1:9" ht="15" customHeight="1" x14ac:dyDescent="0.25">
      <c r="A11" s="16">
        <v>42737</v>
      </c>
      <c r="B11" s="17" t="s">
        <v>23</v>
      </c>
      <c r="C11" s="18">
        <v>95608</v>
      </c>
      <c r="D11" s="2" t="s">
        <v>24</v>
      </c>
      <c r="E11" s="15">
        <v>7430.4</v>
      </c>
      <c r="F11" s="36" t="s">
        <v>15</v>
      </c>
      <c r="G11" s="15">
        <v>7430.4</v>
      </c>
      <c r="H11" s="15">
        <f t="shared" si="1"/>
        <v>0</v>
      </c>
      <c r="I11" s="19"/>
    </row>
    <row r="12" spans="1:9" ht="15" customHeight="1" x14ac:dyDescent="0.25">
      <c r="A12" s="16">
        <v>42737</v>
      </c>
      <c r="B12" s="17" t="s">
        <v>25</v>
      </c>
      <c r="C12" s="18">
        <v>95609</v>
      </c>
      <c r="D12" s="2" t="s">
        <v>26</v>
      </c>
      <c r="E12" s="15">
        <v>18587.8</v>
      </c>
      <c r="F12" s="36" t="s">
        <v>15</v>
      </c>
      <c r="G12" s="15">
        <v>18587.8</v>
      </c>
      <c r="H12" s="15">
        <f t="shared" si="1"/>
        <v>0</v>
      </c>
      <c r="I12" s="19"/>
    </row>
    <row r="13" spans="1:9" ht="15" customHeight="1" x14ac:dyDescent="0.25">
      <c r="A13" s="16">
        <v>42737</v>
      </c>
      <c r="B13" s="17" t="s">
        <v>27</v>
      </c>
      <c r="C13" s="18">
        <v>95610</v>
      </c>
      <c r="D13" s="2" t="s">
        <v>28</v>
      </c>
      <c r="E13" s="15">
        <v>11242.4</v>
      </c>
      <c r="F13" s="36" t="s">
        <v>15</v>
      </c>
      <c r="G13" s="15">
        <v>11242.4</v>
      </c>
      <c r="H13" s="15">
        <f t="shared" si="1"/>
        <v>0</v>
      </c>
      <c r="I13" s="19"/>
    </row>
    <row r="14" spans="1:9" ht="15" customHeight="1" x14ac:dyDescent="0.25">
      <c r="A14" s="16">
        <v>42737</v>
      </c>
      <c r="B14" s="17" t="s">
        <v>29</v>
      </c>
      <c r="C14" s="18">
        <v>95611</v>
      </c>
      <c r="D14" s="2" t="s">
        <v>30</v>
      </c>
      <c r="E14" s="15">
        <v>4561.2</v>
      </c>
      <c r="F14" s="36" t="s">
        <v>15</v>
      </c>
      <c r="G14" s="15">
        <v>4561.2</v>
      </c>
      <c r="H14" s="15">
        <f t="shared" si="1"/>
        <v>0</v>
      </c>
      <c r="I14" s="19"/>
    </row>
    <row r="15" spans="1:9" ht="15" customHeight="1" x14ac:dyDescent="0.25">
      <c r="A15" s="16">
        <v>42737</v>
      </c>
      <c r="B15" s="17" t="s">
        <v>31</v>
      </c>
      <c r="C15" s="18">
        <v>95612</v>
      </c>
      <c r="D15" s="2" t="s">
        <v>32</v>
      </c>
      <c r="E15" s="15">
        <v>8243.9</v>
      </c>
      <c r="F15" s="36" t="s">
        <v>33</v>
      </c>
      <c r="G15" s="15">
        <v>8243.9</v>
      </c>
      <c r="H15" s="15">
        <f t="shared" si="1"/>
        <v>0</v>
      </c>
      <c r="I15" s="19"/>
    </row>
    <row r="16" spans="1:9" ht="15" customHeight="1" x14ac:dyDescent="0.25">
      <c r="A16" s="16">
        <v>42737</v>
      </c>
      <c r="B16" s="17" t="s">
        <v>34</v>
      </c>
      <c r="C16" s="18">
        <v>95613</v>
      </c>
      <c r="D16" s="2" t="s">
        <v>35</v>
      </c>
      <c r="E16" s="15">
        <v>10877.5</v>
      </c>
      <c r="F16" s="36" t="s">
        <v>36</v>
      </c>
      <c r="G16" s="15">
        <v>10877.5</v>
      </c>
      <c r="H16" s="15">
        <f t="shared" si="1"/>
        <v>0</v>
      </c>
      <c r="I16" s="19"/>
    </row>
    <row r="17" spans="1:9" ht="15" customHeight="1" x14ac:dyDescent="0.25">
      <c r="A17" s="16">
        <v>42737</v>
      </c>
      <c r="B17" s="17" t="s">
        <v>37</v>
      </c>
      <c r="C17" s="18">
        <v>95614</v>
      </c>
      <c r="D17" s="2" t="s">
        <v>38</v>
      </c>
      <c r="E17" s="15">
        <v>3847.5</v>
      </c>
      <c r="F17" s="36" t="s">
        <v>33</v>
      </c>
      <c r="G17" s="15">
        <v>3847.5</v>
      </c>
      <c r="H17" s="15">
        <f t="shared" si="1"/>
        <v>0</v>
      </c>
      <c r="I17" s="19"/>
    </row>
    <row r="18" spans="1:9" ht="15" customHeight="1" x14ac:dyDescent="0.25">
      <c r="A18" s="16">
        <v>42737</v>
      </c>
      <c r="B18" s="17" t="s">
        <v>39</v>
      </c>
      <c r="C18" s="18">
        <v>95615</v>
      </c>
      <c r="D18" s="2" t="s">
        <v>40</v>
      </c>
      <c r="E18" s="15">
        <v>3086.4</v>
      </c>
      <c r="F18" s="36" t="s">
        <v>41</v>
      </c>
      <c r="G18" s="15">
        <v>3086.4</v>
      </c>
      <c r="H18" s="15">
        <f t="shared" si="1"/>
        <v>0</v>
      </c>
      <c r="I18" s="19"/>
    </row>
    <row r="19" spans="1:9" ht="15" customHeight="1" x14ac:dyDescent="0.25">
      <c r="A19" s="16">
        <v>42737</v>
      </c>
      <c r="B19" s="17" t="s">
        <v>42</v>
      </c>
      <c r="C19" s="18">
        <v>95616</v>
      </c>
      <c r="D19" s="2" t="s">
        <v>43</v>
      </c>
      <c r="E19" s="15">
        <v>1794</v>
      </c>
      <c r="F19" s="36" t="s">
        <v>36</v>
      </c>
      <c r="G19" s="15">
        <v>1794</v>
      </c>
      <c r="H19" s="15">
        <f t="shared" si="1"/>
        <v>0</v>
      </c>
      <c r="I19" s="19"/>
    </row>
    <row r="20" spans="1:9" ht="15" customHeight="1" x14ac:dyDescent="0.25">
      <c r="A20" s="16">
        <v>42737</v>
      </c>
      <c r="B20" s="17" t="s">
        <v>44</v>
      </c>
      <c r="C20" s="18">
        <v>95617</v>
      </c>
      <c r="D20" s="2" t="s">
        <v>45</v>
      </c>
      <c r="E20" s="15">
        <v>2201.6</v>
      </c>
      <c r="F20" s="36" t="s">
        <v>41</v>
      </c>
      <c r="G20" s="15">
        <v>2201.6</v>
      </c>
      <c r="H20" s="15">
        <f t="shared" si="1"/>
        <v>0</v>
      </c>
      <c r="I20" s="19"/>
    </row>
    <row r="21" spans="1:9" ht="15" customHeight="1" x14ac:dyDescent="0.25">
      <c r="A21" s="16">
        <v>42737</v>
      </c>
      <c r="B21" s="17" t="s">
        <v>46</v>
      </c>
      <c r="C21" s="18">
        <v>95618</v>
      </c>
      <c r="D21" s="2" t="s">
        <v>47</v>
      </c>
      <c r="E21" s="15">
        <v>4147.2</v>
      </c>
      <c r="F21" s="36" t="s">
        <v>15</v>
      </c>
      <c r="G21" s="15">
        <v>4147.2</v>
      </c>
      <c r="H21" s="15">
        <f t="shared" si="1"/>
        <v>0</v>
      </c>
      <c r="I21" s="19"/>
    </row>
    <row r="22" spans="1:9" ht="15" customHeight="1" x14ac:dyDescent="0.25">
      <c r="A22" s="16">
        <v>42737</v>
      </c>
      <c r="B22" s="17" t="s">
        <v>48</v>
      </c>
      <c r="C22" s="18">
        <v>95619</v>
      </c>
      <c r="D22" s="2" t="s">
        <v>49</v>
      </c>
      <c r="E22" s="15">
        <v>10877.5</v>
      </c>
      <c r="F22" s="36" t="s">
        <v>36</v>
      </c>
      <c r="G22" s="15">
        <v>10877.5</v>
      </c>
      <c r="H22" s="15">
        <f t="shared" si="1"/>
        <v>0</v>
      </c>
      <c r="I22" s="19"/>
    </row>
    <row r="23" spans="1:9" ht="15" customHeight="1" x14ac:dyDescent="0.25">
      <c r="A23" s="16">
        <v>42737</v>
      </c>
      <c r="B23" s="17" t="s">
        <v>50</v>
      </c>
      <c r="C23" s="18">
        <v>95620</v>
      </c>
      <c r="D23" s="2" t="s">
        <v>51</v>
      </c>
      <c r="E23" s="15">
        <v>3731.8</v>
      </c>
      <c r="F23" s="36" t="s">
        <v>41</v>
      </c>
      <c r="G23" s="15">
        <v>3731.8</v>
      </c>
      <c r="H23" s="15">
        <f t="shared" si="1"/>
        <v>0</v>
      </c>
      <c r="I23" s="19"/>
    </row>
    <row r="24" spans="1:9" ht="15" customHeight="1" x14ac:dyDescent="0.25">
      <c r="A24" s="16">
        <v>42737</v>
      </c>
      <c r="B24" s="17" t="s">
        <v>52</v>
      </c>
      <c r="C24" s="18">
        <v>95621</v>
      </c>
      <c r="D24" s="2" t="s">
        <v>53</v>
      </c>
      <c r="E24" s="15">
        <v>6010.2</v>
      </c>
      <c r="F24" s="36" t="s">
        <v>41</v>
      </c>
      <c r="G24" s="15">
        <v>6010.2</v>
      </c>
      <c r="H24" s="15">
        <f t="shared" si="1"/>
        <v>0</v>
      </c>
      <c r="I24" s="19"/>
    </row>
    <row r="25" spans="1:9" ht="15" customHeight="1" x14ac:dyDescent="0.25">
      <c r="A25" s="16">
        <v>42737</v>
      </c>
      <c r="B25" s="17" t="s">
        <v>54</v>
      </c>
      <c r="C25" s="18">
        <v>95622</v>
      </c>
      <c r="D25" s="2" t="s">
        <v>55</v>
      </c>
      <c r="E25" s="15">
        <v>21164.9</v>
      </c>
      <c r="F25" s="36" t="s">
        <v>15</v>
      </c>
      <c r="G25" s="15">
        <v>21164.9</v>
      </c>
      <c r="H25" s="15">
        <f t="shared" si="1"/>
        <v>0</v>
      </c>
      <c r="I25" s="19"/>
    </row>
    <row r="26" spans="1:9" x14ac:dyDescent="0.25">
      <c r="A26" s="16">
        <v>42737</v>
      </c>
      <c r="B26" s="17" t="s">
        <v>56</v>
      </c>
      <c r="C26" s="18">
        <v>95623</v>
      </c>
      <c r="D26" s="2" t="s">
        <v>57</v>
      </c>
      <c r="E26" s="15">
        <v>660</v>
      </c>
      <c r="F26" s="36" t="s">
        <v>41</v>
      </c>
      <c r="G26" s="15">
        <v>660</v>
      </c>
      <c r="H26" s="15">
        <f t="shared" si="1"/>
        <v>0</v>
      </c>
      <c r="I26" s="19"/>
    </row>
    <row r="27" spans="1:9" x14ac:dyDescent="0.25">
      <c r="A27" s="16">
        <v>42737</v>
      </c>
      <c r="B27" s="17" t="s">
        <v>58</v>
      </c>
      <c r="C27" s="18">
        <v>95624</v>
      </c>
      <c r="D27" s="2" t="s">
        <v>59</v>
      </c>
      <c r="E27" s="15">
        <v>782.7</v>
      </c>
      <c r="F27" s="36" t="s">
        <v>15</v>
      </c>
      <c r="G27" s="15">
        <v>782.7</v>
      </c>
      <c r="H27" s="15">
        <f t="shared" si="1"/>
        <v>0</v>
      </c>
      <c r="I27" s="19"/>
    </row>
    <row r="28" spans="1:9" x14ac:dyDescent="0.25">
      <c r="A28" s="16">
        <v>42737</v>
      </c>
      <c r="B28" s="17" t="s">
        <v>60</v>
      </c>
      <c r="C28" s="18">
        <v>95625</v>
      </c>
      <c r="D28" s="2" t="s">
        <v>61</v>
      </c>
      <c r="E28" s="15">
        <v>10910.4</v>
      </c>
      <c r="F28" s="36" t="s">
        <v>41</v>
      </c>
      <c r="G28" s="15">
        <v>10910.4</v>
      </c>
      <c r="H28" s="15">
        <f t="shared" si="1"/>
        <v>0</v>
      </c>
      <c r="I28" s="19"/>
    </row>
    <row r="29" spans="1:9" x14ac:dyDescent="0.25">
      <c r="A29" s="16">
        <v>42737</v>
      </c>
      <c r="B29" s="17" t="s">
        <v>62</v>
      </c>
      <c r="C29" s="18">
        <v>95626</v>
      </c>
      <c r="D29" s="2" t="s">
        <v>63</v>
      </c>
      <c r="E29" s="15">
        <v>1070.7</v>
      </c>
      <c r="F29" s="36" t="s">
        <v>41</v>
      </c>
      <c r="G29" s="15">
        <v>1070.7</v>
      </c>
      <c r="H29" s="15">
        <f t="shared" si="1"/>
        <v>0</v>
      </c>
      <c r="I29" s="19"/>
    </row>
    <row r="30" spans="1:9" x14ac:dyDescent="0.25">
      <c r="A30" s="16">
        <v>42737</v>
      </c>
      <c r="B30" s="17" t="s">
        <v>64</v>
      </c>
      <c r="C30" s="18">
        <v>95627</v>
      </c>
      <c r="D30" s="2" t="s">
        <v>65</v>
      </c>
      <c r="E30" s="15">
        <v>3753.6</v>
      </c>
      <c r="F30" s="36" t="s">
        <v>15</v>
      </c>
      <c r="G30" s="15">
        <v>3753.6</v>
      </c>
      <c r="H30" s="15">
        <f t="shared" si="1"/>
        <v>0</v>
      </c>
      <c r="I30" s="19"/>
    </row>
    <row r="31" spans="1:9" x14ac:dyDescent="0.25">
      <c r="A31" s="16">
        <v>42737</v>
      </c>
      <c r="B31" s="17" t="s">
        <v>66</v>
      </c>
      <c r="C31" s="18">
        <v>95628</v>
      </c>
      <c r="D31" s="2" t="s">
        <v>67</v>
      </c>
      <c r="E31" s="15">
        <v>18720.900000000001</v>
      </c>
      <c r="F31" s="36" t="s">
        <v>36</v>
      </c>
      <c r="G31" s="15">
        <v>18720.900000000001</v>
      </c>
      <c r="H31" s="15">
        <f t="shared" si="1"/>
        <v>0</v>
      </c>
      <c r="I31" s="19"/>
    </row>
    <row r="32" spans="1:9" x14ac:dyDescent="0.25">
      <c r="A32" s="16">
        <v>42737</v>
      </c>
      <c r="B32" s="17" t="s">
        <v>68</v>
      </c>
      <c r="C32" s="18">
        <v>95629</v>
      </c>
      <c r="D32" s="2" t="s">
        <v>69</v>
      </c>
      <c r="E32" s="15">
        <v>2818</v>
      </c>
      <c r="F32" s="36" t="s">
        <v>15</v>
      </c>
      <c r="G32" s="15">
        <v>2818</v>
      </c>
      <c r="H32" s="15">
        <f t="shared" si="1"/>
        <v>0</v>
      </c>
      <c r="I32" s="19"/>
    </row>
    <row r="33" spans="1:9" x14ac:dyDescent="0.25">
      <c r="A33" s="16">
        <v>42737</v>
      </c>
      <c r="B33" s="17" t="s">
        <v>70</v>
      </c>
      <c r="C33" s="18">
        <v>95630</v>
      </c>
      <c r="D33" s="2" t="s">
        <v>71</v>
      </c>
      <c r="E33" s="15">
        <v>2590</v>
      </c>
      <c r="F33" s="36" t="s">
        <v>15</v>
      </c>
      <c r="G33" s="15">
        <v>2590</v>
      </c>
      <c r="H33" s="15">
        <f t="shared" si="1"/>
        <v>0</v>
      </c>
      <c r="I33" s="19"/>
    </row>
    <row r="34" spans="1:9" x14ac:dyDescent="0.25">
      <c r="A34" s="16">
        <v>42737</v>
      </c>
      <c r="B34" s="17" t="s">
        <v>72</v>
      </c>
      <c r="C34" s="18">
        <v>95631</v>
      </c>
      <c r="D34" s="2" t="s">
        <v>30</v>
      </c>
      <c r="E34" s="15">
        <v>5644.4</v>
      </c>
      <c r="F34" s="36" t="s">
        <v>36</v>
      </c>
      <c r="G34" s="15">
        <v>5644.4</v>
      </c>
      <c r="H34" s="15">
        <f t="shared" si="1"/>
        <v>0</v>
      </c>
      <c r="I34" s="19"/>
    </row>
    <row r="35" spans="1:9" x14ac:dyDescent="0.25">
      <c r="A35" s="16">
        <v>42737</v>
      </c>
      <c r="B35" s="17" t="s">
        <v>73</v>
      </c>
      <c r="C35" s="18">
        <v>95632</v>
      </c>
      <c r="D35" s="2" t="s">
        <v>74</v>
      </c>
      <c r="E35" s="15">
        <v>3820.8</v>
      </c>
      <c r="F35" s="36" t="s">
        <v>15</v>
      </c>
      <c r="G35" s="15">
        <v>3820.8</v>
      </c>
      <c r="H35" s="15">
        <f t="shared" si="1"/>
        <v>0</v>
      </c>
      <c r="I35" s="19"/>
    </row>
    <row r="36" spans="1:9" x14ac:dyDescent="0.25">
      <c r="A36" s="16">
        <v>42737</v>
      </c>
      <c r="B36" s="17" t="s">
        <v>75</v>
      </c>
      <c r="C36" s="18">
        <v>95633</v>
      </c>
      <c r="D36" s="2" t="s">
        <v>30</v>
      </c>
      <c r="E36" s="15">
        <v>4578.6000000000004</v>
      </c>
      <c r="F36" s="36" t="s">
        <v>15</v>
      </c>
      <c r="G36" s="15">
        <v>4578.6000000000004</v>
      </c>
      <c r="H36" s="15">
        <f t="shared" si="1"/>
        <v>0</v>
      </c>
      <c r="I36" s="19"/>
    </row>
    <row r="37" spans="1:9" x14ac:dyDescent="0.25">
      <c r="A37" s="16">
        <v>42737</v>
      </c>
      <c r="B37" s="17" t="s">
        <v>76</v>
      </c>
      <c r="C37" s="18">
        <v>95634</v>
      </c>
      <c r="D37" s="2" t="s">
        <v>77</v>
      </c>
      <c r="E37" s="15">
        <v>399</v>
      </c>
      <c r="F37" s="36" t="s">
        <v>15</v>
      </c>
      <c r="G37" s="15">
        <v>399</v>
      </c>
      <c r="H37" s="15">
        <f t="shared" si="1"/>
        <v>0</v>
      </c>
      <c r="I37" s="19"/>
    </row>
    <row r="38" spans="1:9" x14ac:dyDescent="0.25">
      <c r="A38" s="16">
        <v>42737</v>
      </c>
      <c r="B38" s="17" t="s">
        <v>78</v>
      </c>
      <c r="C38" s="18">
        <v>95635</v>
      </c>
      <c r="D38" s="2" t="s">
        <v>79</v>
      </c>
      <c r="E38" s="15">
        <v>4846.6000000000004</v>
      </c>
      <c r="F38" s="36" t="s">
        <v>15</v>
      </c>
      <c r="G38" s="15">
        <v>4846.6000000000004</v>
      </c>
      <c r="H38" s="15">
        <f t="shared" si="1"/>
        <v>0</v>
      </c>
      <c r="I38" s="19"/>
    </row>
    <row r="39" spans="1:9" x14ac:dyDescent="0.25">
      <c r="A39" s="16">
        <v>42737</v>
      </c>
      <c r="B39" s="17" t="s">
        <v>80</v>
      </c>
      <c r="C39" s="18">
        <v>95636</v>
      </c>
      <c r="D39" s="2" t="s">
        <v>81</v>
      </c>
      <c r="E39" s="15">
        <v>6032.2</v>
      </c>
      <c r="F39" s="36" t="s">
        <v>15</v>
      </c>
      <c r="G39" s="15">
        <v>6032.2</v>
      </c>
      <c r="H39" s="15">
        <f t="shared" si="1"/>
        <v>0</v>
      </c>
      <c r="I39" s="19"/>
    </row>
    <row r="40" spans="1:9" x14ac:dyDescent="0.25">
      <c r="A40" s="16">
        <v>42737</v>
      </c>
      <c r="B40" s="17" t="s">
        <v>82</v>
      </c>
      <c r="C40" s="18">
        <v>95637</v>
      </c>
      <c r="D40" s="2" t="s">
        <v>83</v>
      </c>
      <c r="E40" s="15">
        <v>6949.8</v>
      </c>
      <c r="F40" s="36" t="s">
        <v>15</v>
      </c>
      <c r="G40" s="15">
        <v>6949.8</v>
      </c>
      <c r="H40" s="15">
        <f t="shared" si="1"/>
        <v>0</v>
      </c>
      <c r="I40" s="19"/>
    </row>
    <row r="41" spans="1:9" x14ac:dyDescent="0.25">
      <c r="A41" s="16">
        <v>42737</v>
      </c>
      <c r="B41" s="17" t="s">
        <v>84</v>
      </c>
      <c r="C41" s="18">
        <v>95638</v>
      </c>
      <c r="D41" s="2" t="s">
        <v>85</v>
      </c>
      <c r="E41" s="15">
        <v>23361.3</v>
      </c>
      <c r="F41" s="124" t="s">
        <v>86</v>
      </c>
      <c r="G41" s="20">
        <f>12000+11361.3</f>
        <v>23361.3</v>
      </c>
      <c r="H41" s="20">
        <f t="shared" si="1"/>
        <v>0</v>
      </c>
      <c r="I41" s="19"/>
    </row>
    <row r="42" spans="1:9" x14ac:dyDescent="0.25">
      <c r="A42" s="16">
        <v>42737</v>
      </c>
      <c r="B42" s="17" t="s">
        <v>87</v>
      </c>
      <c r="C42" s="18">
        <v>95639</v>
      </c>
      <c r="D42" s="2" t="s">
        <v>88</v>
      </c>
      <c r="E42" s="15">
        <v>6987.6</v>
      </c>
      <c r="F42" s="36" t="s">
        <v>15</v>
      </c>
      <c r="G42" s="15">
        <v>6987.6</v>
      </c>
      <c r="H42" s="15">
        <f t="shared" si="1"/>
        <v>0</v>
      </c>
      <c r="I42" s="19"/>
    </row>
    <row r="43" spans="1:9" x14ac:dyDescent="0.25">
      <c r="A43" s="16">
        <v>42737</v>
      </c>
      <c r="B43" s="17" t="s">
        <v>89</v>
      </c>
      <c r="C43" s="18">
        <v>95640</v>
      </c>
      <c r="D43" s="2" t="s">
        <v>88</v>
      </c>
      <c r="E43" s="15">
        <v>1771.2</v>
      </c>
      <c r="F43" s="36" t="s">
        <v>15</v>
      </c>
      <c r="G43" s="15">
        <v>1771.2</v>
      </c>
      <c r="H43" s="15">
        <f t="shared" si="1"/>
        <v>0</v>
      </c>
      <c r="I43" s="19"/>
    </row>
    <row r="44" spans="1:9" x14ac:dyDescent="0.25">
      <c r="A44" s="16">
        <v>42737</v>
      </c>
      <c r="B44" s="17" t="s">
        <v>90</v>
      </c>
      <c r="C44" s="18">
        <v>95641</v>
      </c>
      <c r="D44" s="2" t="s">
        <v>30</v>
      </c>
      <c r="E44" s="15">
        <v>1416.48</v>
      </c>
      <c r="F44" s="36" t="s">
        <v>15</v>
      </c>
      <c r="G44" s="15">
        <v>1416.48</v>
      </c>
      <c r="H44" s="15">
        <f t="shared" si="1"/>
        <v>0</v>
      </c>
      <c r="I44" s="19"/>
    </row>
    <row r="45" spans="1:9" x14ac:dyDescent="0.25">
      <c r="A45" s="16">
        <v>42737</v>
      </c>
      <c r="B45" s="17" t="s">
        <v>91</v>
      </c>
      <c r="C45" s="18">
        <v>95642</v>
      </c>
      <c r="D45" s="2" t="s">
        <v>92</v>
      </c>
      <c r="E45" s="15">
        <v>4004.2</v>
      </c>
      <c r="F45" s="36" t="s">
        <v>15</v>
      </c>
      <c r="G45" s="15">
        <v>4004.2</v>
      </c>
      <c r="H45" s="15">
        <f t="shared" si="1"/>
        <v>0</v>
      </c>
      <c r="I45" s="19"/>
    </row>
    <row r="46" spans="1:9" x14ac:dyDescent="0.25">
      <c r="A46" s="16">
        <v>42737</v>
      </c>
      <c r="B46" s="17" t="s">
        <v>93</v>
      </c>
      <c r="C46" s="18">
        <v>95643</v>
      </c>
      <c r="D46" s="2" t="s">
        <v>94</v>
      </c>
      <c r="E46" s="15">
        <v>1543.5</v>
      </c>
      <c r="F46" s="36" t="s">
        <v>95</v>
      </c>
      <c r="G46" s="15">
        <v>0</v>
      </c>
      <c r="H46" s="15">
        <f t="shared" si="1"/>
        <v>1543.5</v>
      </c>
      <c r="I46" s="19"/>
    </row>
    <row r="47" spans="1:9" x14ac:dyDescent="0.25">
      <c r="A47" s="16">
        <v>42737</v>
      </c>
      <c r="B47" s="17" t="s">
        <v>96</v>
      </c>
      <c r="C47" s="18">
        <v>95644</v>
      </c>
      <c r="D47" s="2" t="s">
        <v>30</v>
      </c>
      <c r="E47" s="15">
        <v>464.4</v>
      </c>
      <c r="F47" s="36" t="s">
        <v>15</v>
      </c>
      <c r="G47" s="15">
        <v>464.4</v>
      </c>
      <c r="H47" s="15">
        <f t="shared" si="1"/>
        <v>0</v>
      </c>
      <c r="I47" s="19"/>
    </row>
    <row r="48" spans="1:9" x14ac:dyDescent="0.25">
      <c r="A48" s="16">
        <v>42737</v>
      </c>
      <c r="B48" s="17" t="s">
        <v>97</v>
      </c>
      <c r="C48" s="18">
        <v>95645</v>
      </c>
      <c r="D48" s="2" t="s">
        <v>94</v>
      </c>
      <c r="E48" s="15">
        <v>4485.6000000000004</v>
      </c>
      <c r="F48" s="36" t="s">
        <v>15</v>
      </c>
      <c r="G48" s="15">
        <v>4485.6000000000004</v>
      </c>
      <c r="H48" s="15">
        <f t="shared" si="1"/>
        <v>0</v>
      </c>
      <c r="I48" s="19"/>
    </row>
    <row r="49" spans="1:9" x14ac:dyDescent="0.25">
      <c r="A49" s="16">
        <v>42737</v>
      </c>
      <c r="B49" s="17" t="s">
        <v>98</v>
      </c>
      <c r="C49" s="18">
        <v>95646</v>
      </c>
      <c r="D49" s="2" t="s">
        <v>99</v>
      </c>
      <c r="E49" s="15">
        <v>2205.5</v>
      </c>
      <c r="F49" s="36" t="s">
        <v>15</v>
      </c>
      <c r="G49" s="15">
        <v>2205.5</v>
      </c>
      <c r="H49" s="15">
        <f t="shared" si="1"/>
        <v>0</v>
      </c>
      <c r="I49" s="19"/>
    </row>
    <row r="50" spans="1:9" x14ac:dyDescent="0.25">
      <c r="A50" s="16">
        <v>42737</v>
      </c>
      <c r="B50" s="17" t="s">
        <v>100</v>
      </c>
      <c r="C50" s="18">
        <v>95647</v>
      </c>
      <c r="D50" s="2" t="s">
        <v>101</v>
      </c>
      <c r="E50" s="15">
        <v>1820.5</v>
      </c>
      <c r="F50" s="36" t="s">
        <v>15</v>
      </c>
      <c r="G50" s="15">
        <v>1820.5</v>
      </c>
      <c r="H50" s="15">
        <f t="shared" si="1"/>
        <v>0</v>
      </c>
      <c r="I50" s="19"/>
    </row>
    <row r="51" spans="1:9" x14ac:dyDescent="0.25">
      <c r="A51" s="16">
        <v>42737</v>
      </c>
      <c r="B51" s="17" t="s">
        <v>102</v>
      </c>
      <c r="C51" s="18">
        <v>95648</v>
      </c>
      <c r="D51" s="2" t="s">
        <v>103</v>
      </c>
      <c r="E51" s="15">
        <v>4077.4</v>
      </c>
      <c r="F51" s="36" t="s">
        <v>41</v>
      </c>
      <c r="G51" s="15">
        <v>4077.4</v>
      </c>
      <c r="H51" s="15">
        <f t="shared" si="1"/>
        <v>0</v>
      </c>
      <c r="I51" s="19"/>
    </row>
    <row r="52" spans="1:9" x14ac:dyDescent="0.25">
      <c r="A52" s="16">
        <v>42737</v>
      </c>
      <c r="B52" s="17" t="s">
        <v>104</v>
      </c>
      <c r="C52" s="18">
        <v>95649</v>
      </c>
      <c r="D52" s="2" t="s">
        <v>105</v>
      </c>
      <c r="E52" s="15">
        <v>4047</v>
      </c>
      <c r="F52" s="36" t="s">
        <v>41</v>
      </c>
      <c r="G52" s="15">
        <v>4047</v>
      </c>
      <c r="H52" s="15">
        <f t="shared" si="1"/>
        <v>0</v>
      </c>
      <c r="I52" s="19"/>
    </row>
    <row r="53" spans="1:9" x14ac:dyDescent="0.25">
      <c r="A53" s="16">
        <v>42737</v>
      </c>
      <c r="B53" s="17" t="s">
        <v>106</v>
      </c>
      <c r="C53" s="18">
        <v>95650</v>
      </c>
      <c r="D53" s="2" t="s">
        <v>10</v>
      </c>
      <c r="E53" s="15">
        <v>20304.599999999999</v>
      </c>
      <c r="F53" s="36" t="s">
        <v>107</v>
      </c>
      <c r="G53" s="15">
        <v>20304.599999999999</v>
      </c>
      <c r="H53" s="15">
        <f t="shared" si="1"/>
        <v>0</v>
      </c>
      <c r="I53" s="19"/>
    </row>
    <row r="54" spans="1:9" x14ac:dyDescent="0.25">
      <c r="A54" s="16">
        <v>42737</v>
      </c>
      <c r="B54" s="17" t="s">
        <v>108</v>
      </c>
      <c r="C54" s="18">
        <v>95651</v>
      </c>
      <c r="D54" s="2" t="s">
        <v>109</v>
      </c>
      <c r="E54" s="15">
        <v>5017.6000000000004</v>
      </c>
      <c r="F54" s="36" t="s">
        <v>15</v>
      </c>
      <c r="G54" s="15">
        <v>5017.6000000000004</v>
      </c>
      <c r="H54" s="15">
        <f t="shared" si="1"/>
        <v>0</v>
      </c>
      <c r="I54" s="19"/>
    </row>
    <row r="55" spans="1:9" x14ac:dyDescent="0.25">
      <c r="A55" s="16">
        <v>42737</v>
      </c>
      <c r="B55" s="17" t="s">
        <v>110</v>
      </c>
      <c r="C55" s="18">
        <v>95652</v>
      </c>
      <c r="D55" s="2" t="s">
        <v>111</v>
      </c>
      <c r="E55" s="15">
        <v>5120</v>
      </c>
      <c r="F55" s="36" t="s">
        <v>15</v>
      </c>
      <c r="G55" s="15">
        <v>5120</v>
      </c>
      <c r="H55" s="15">
        <f t="shared" si="1"/>
        <v>0</v>
      </c>
      <c r="I55" s="19"/>
    </row>
    <row r="56" spans="1:9" x14ac:dyDescent="0.25">
      <c r="A56" s="16">
        <v>42737</v>
      </c>
      <c r="B56" s="17" t="s">
        <v>112</v>
      </c>
      <c r="C56" s="18">
        <v>95653</v>
      </c>
      <c r="D56" s="2" t="s">
        <v>113</v>
      </c>
      <c r="E56" s="15">
        <v>1492.4</v>
      </c>
      <c r="F56" s="36" t="s">
        <v>15</v>
      </c>
      <c r="G56" s="15">
        <v>1492.4</v>
      </c>
      <c r="H56" s="15">
        <f t="shared" si="1"/>
        <v>0</v>
      </c>
      <c r="I56" s="19"/>
    </row>
    <row r="57" spans="1:9" x14ac:dyDescent="0.25">
      <c r="A57" s="16">
        <v>42737</v>
      </c>
      <c r="B57" s="17" t="s">
        <v>114</v>
      </c>
      <c r="C57" s="18">
        <v>95654</v>
      </c>
      <c r="D57" s="2" t="s">
        <v>115</v>
      </c>
      <c r="E57" s="15">
        <v>1565</v>
      </c>
      <c r="F57" s="36" t="s">
        <v>15</v>
      </c>
      <c r="G57" s="15">
        <v>1565</v>
      </c>
      <c r="H57" s="15">
        <f t="shared" si="1"/>
        <v>0</v>
      </c>
      <c r="I57" s="19"/>
    </row>
    <row r="58" spans="1:9" x14ac:dyDescent="0.25">
      <c r="A58" s="16">
        <v>42737</v>
      </c>
      <c r="B58" s="17" t="s">
        <v>116</v>
      </c>
      <c r="C58" s="18">
        <v>95655</v>
      </c>
      <c r="D58" s="2" t="s">
        <v>115</v>
      </c>
      <c r="E58" s="15">
        <v>40</v>
      </c>
      <c r="F58" s="36" t="s">
        <v>15</v>
      </c>
      <c r="G58" s="15">
        <v>40</v>
      </c>
      <c r="H58" s="15">
        <f t="shared" si="1"/>
        <v>0</v>
      </c>
      <c r="I58" s="19"/>
    </row>
    <row r="59" spans="1:9" x14ac:dyDescent="0.25">
      <c r="A59" s="16">
        <v>42737</v>
      </c>
      <c r="B59" s="17" t="s">
        <v>117</v>
      </c>
      <c r="C59" s="18">
        <v>95656</v>
      </c>
      <c r="D59" s="2" t="s">
        <v>118</v>
      </c>
      <c r="E59" s="15">
        <v>38619.949999999997</v>
      </c>
      <c r="F59" s="36" t="s">
        <v>15</v>
      </c>
      <c r="G59" s="15">
        <v>38619.949999999997</v>
      </c>
      <c r="H59" s="15">
        <f t="shared" si="1"/>
        <v>0</v>
      </c>
      <c r="I59" s="19"/>
    </row>
    <row r="60" spans="1:9" x14ac:dyDescent="0.25">
      <c r="A60" s="16">
        <v>42737</v>
      </c>
      <c r="B60" s="17" t="s">
        <v>119</v>
      </c>
      <c r="C60" s="18">
        <v>95657</v>
      </c>
      <c r="D60" s="2" t="s">
        <v>120</v>
      </c>
      <c r="E60" s="15">
        <v>1144.8</v>
      </c>
      <c r="F60" s="36" t="s">
        <v>15</v>
      </c>
      <c r="G60" s="15">
        <v>1144.8</v>
      </c>
      <c r="H60" s="15">
        <f t="shared" si="1"/>
        <v>0</v>
      </c>
      <c r="I60" s="19"/>
    </row>
    <row r="61" spans="1:9" x14ac:dyDescent="0.25">
      <c r="A61" s="16">
        <v>42737</v>
      </c>
      <c r="B61" s="17" t="s">
        <v>121</v>
      </c>
      <c r="C61" s="18">
        <v>95658</v>
      </c>
      <c r="D61" s="2" t="s">
        <v>122</v>
      </c>
      <c r="E61" s="15">
        <v>4365</v>
      </c>
      <c r="F61" s="36" t="s">
        <v>123</v>
      </c>
      <c r="G61" s="15">
        <v>4365</v>
      </c>
      <c r="H61" s="15">
        <f t="shared" si="1"/>
        <v>0</v>
      </c>
      <c r="I61" s="19"/>
    </row>
    <row r="62" spans="1:9" x14ac:dyDescent="0.25">
      <c r="A62" s="16">
        <v>42737</v>
      </c>
      <c r="B62" s="17" t="s">
        <v>124</v>
      </c>
      <c r="C62" s="18">
        <v>95659</v>
      </c>
      <c r="D62" s="2" t="s">
        <v>125</v>
      </c>
      <c r="E62" s="15">
        <v>37162.019999999997</v>
      </c>
      <c r="F62" s="36" t="s">
        <v>126</v>
      </c>
      <c r="G62" s="15">
        <v>37162.019999999997</v>
      </c>
      <c r="H62" s="15">
        <f t="shared" si="1"/>
        <v>0</v>
      </c>
      <c r="I62" s="19"/>
    </row>
    <row r="63" spans="1:9" x14ac:dyDescent="0.25">
      <c r="A63" s="16">
        <v>42737</v>
      </c>
      <c r="B63" s="17" t="s">
        <v>127</v>
      </c>
      <c r="C63" s="18">
        <v>95660</v>
      </c>
      <c r="D63" s="2" t="s">
        <v>128</v>
      </c>
      <c r="E63" s="15">
        <v>26881.599999999999</v>
      </c>
      <c r="F63" s="36" t="s">
        <v>129</v>
      </c>
      <c r="G63" s="15">
        <v>26881.599999999999</v>
      </c>
      <c r="H63" s="15">
        <f t="shared" si="1"/>
        <v>0</v>
      </c>
      <c r="I63" s="19"/>
    </row>
    <row r="64" spans="1:9" x14ac:dyDescent="0.25">
      <c r="A64" s="16">
        <v>42737</v>
      </c>
      <c r="B64" s="17" t="s">
        <v>130</v>
      </c>
      <c r="C64" s="18">
        <v>95661</v>
      </c>
      <c r="D64" s="2" t="s">
        <v>131</v>
      </c>
      <c r="E64" s="15">
        <v>3596</v>
      </c>
      <c r="F64" s="36" t="s">
        <v>15</v>
      </c>
      <c r="G64" s="15">
        <v>3596</v>
      </c>
      <c r="H64" s="15">
        <f t="shared" si="1"/>
        <v>0</v>
      </c>
      <c r="I64" s="19"/>
    </row>
    <row r="65" spans="1:9" x14ac:dyDescent="0.25">
      <c r="A65" s="16">
        <v>42737</v>
      </c>
      <c r="B65" s="17" t="s">
        <v>132</v>
      </c>
      <c r="C65" s="18">
        <v>95662</v>
      </c>
      <c r="D65" s="2" t="s">
        <v>133</v>
      </c>
      <c r="E65" s="15">
        <v>7940</v>
      </c>
      <c r="F65" s="36" t="s">
        <v>123</v>
      </c>
      <c r="G65" s="15">
        <v>7940</v>
      </c>
      <c r="H65" s="15">
        <f t="shared" si="1"/>
        <v>0</v>
      </c>
      <c r="I65" s="19"/>
    </row>
    <row r="66" spans="1:9" x14ac:dyDescent="0.25">
      <c r="A66" s="16">
        <v>42737</v>
      </c>
      <c r="B66" s="17" t="s">
        <v>134</v>
      </c>
      <c r="C66" s="18">
        <v>95663</v>
      </c>
      <c r="D66" s="2" t="s">
        <v>135</v>
      </c>
      <c r="E66" s="15">
        <v>1056</v>
      </c>
      <c r="F66" s="36" t="s">
        <v>15</v>
      </c>
      <c r="G66" s="15">
        <v>1056</v>
      </c>
      <c r="H66" s="15">
        <f t="shared" si="1"/>
        <v>0</v>
      </c>
      <c r="I66" s="19"/>
    </row>
    <row r="67" spans="1:9" x14ac:dyDescent="0.25">
      <c r="A67" s="16">
        <v>42737</v>
      </c>
      <c r="B67" s="17" t="s">
        <v>136</v>
      </c>
      <c r="C67" s="18">
        <v>95664</v>
      </c>
      <c r="D67" s="2" t="s">
        <v>137</v>
      </c>
      <c r="E67" s="15">
        <v>525.20000000000005</v>
      </c>
      <c r="F67" s="36" t="s">
        <v>15</v>
      </c>
      <c r="G67" s="15">
        <v>525.20000000000005</v>
      </c>
      <c r="H67" s="15">
        <f t="shared" si="1"/>
        <v>0</v>
      </c>
      <c r="I67" s="19"/>
    </row>
    <row r="68" spans="1:9" x14ac:dyDescent="0.25">
      <c r="A68" s="16">
        <v>42737</v>
      </c>
      <c r="B68" s="17" t="s">
        <v>138</v>
      </c>
      <c r="C68" s="18">
        <v>95665</v>
      </c>
      <c r="D68" s="2" t="s">
        <v>139</v>
      </c>
      <c r="E68" s="15">
        <v>1457.7</v>
      </c>
      <c r="F68" s="36" t="s">
        <v>15</v>
      </c>
      <c r="G68" s="15">
        <v>1457.7</v>
      </c>
      <c r="H68" s="15">
        <f t="shared" si="1"/>
        <v>0</v>
      </c>
      <c r="I68" s="19"/>
    </row>
    <row r="69" spans="1:9" x14ac:dyDescent="0.25">
      <c r="A69" s="16">
        <v>42737</v>
      </c>
      <c r="B69" s="17" t="s">
        <v>140</v>
      </c>
      <c r="C69" s="18">
        <v>95666</v>
      </c>
      <c r="D69" s="2" t="s">
        <v>141</v>
      </c>
      <c r="E69" s="15">
        <v>15546</v>
      </c>
      <c r="F69" s="36" t="s">
        <v>15</v>
      </c>
      <c r="G69" s="15">
        <v>15546</v>
      </c>
      <c r="H69" s="15">
        <f t="shared" si="1"/>
        <v>0</v>
      </c>
      <c r="I69" s="19"/>
    </row>
    <row r="70" spans="1:9" x14ac:dyDescent="0.25">
      <c r="A70" s="16">
        <v>42737</v>
      </c>
      <c r="B70" s="17" t="s">
        <v>142</v>
      </c>
      <c r="C70" s="18">
        <v>95667</v>
      </c>
      <c r="D70" s="13" t="s">
        <v>143</v>
      </c>
      <c r="E70" s="14">
        <v>0</v>
      </c>
      <c r="F70" s="123" t="s">
        <v>95</v>
      </c>
      <c r="G70" s="14">
        <v>0</v>
      </c>
      <c r="H70" s="14">
        <f t="shared" ref="H70:H133" si="2">E70-G70</f>
        <v>0</v>
      </c>
      <c r="I70" s="19"/>
    </row>
    <row r="71" spans="1:9" x14ac:dyDescent="0.25">
      <c r="A71" s="16">
        <v>42737</v>
      </c>
      <c r="B71" s="17" t="s">
        <v>144</v>
      </c>
      <c r="C71" s="18">
        <v>95668</v>
      </c>
      <c r="D71" s="2" t="s">
        <v>145</v>
      </c>
      <c r="E71" s="15">
        <v>18264</v>
      </c>
      <c r="F71" s="36" t="s">
        <v>41</v>
      </c>
      <c r="G71" s="15">
        <v>18264</v>
      </c>
      <c r="H71" s="15">
        <f t="shared" si="2"/>
        <v>0</v>
      </c>
      <c r="I71" s="19"/>
    </row>
    <row r="72" spans="1:9" x14ac:dyDescent="0.25">
      <c r="A72" s="16">
        <v>42737</v>
      </c>
      <c r="B72" s="17" t="s">
        <v>146</v>
      </c>
      <c r="C72" s="18">
        <v>95669</v>
      </c>
      <c r="D72" s="2" t="s">
        <v>147</v>
      </c>
      <c r="E72" s="15">
        <v>30652.5</v>
      </c>
      <c r="F72" s="36" t="s">
        <v>41</v>
      </c>
      <c r="G72" s="15">
        <v>30652.5</v>
      </c>
      <c r="H72" s="15">
        <f t="shared" si="2"/>
        <v>0</v>
      </c>
      <c r="I72" s="19"/>
    </row>
    <row r="73" spans="1:9" x14ac:dyDescent="0.25">
      <c r="A73" s="16">
        <v>42737</v>
      </c>
      <c r="B73" s="17" t="s">
        <v>148</v>
      </c>
      <c r="C73" s="18">
        <v>95670</v>
      </c>
      <c r="D73" s="2" t="s">
        <v>149</v>
      </c>
      <c r="E73" s="15">
        <v>1630.6</v>
      </c>
      <c r="F73" s="36" t="s">
        <v>15</v>
      </c>
      <c r="G73" s="15">
        <v>1630.6</v>
      </c>
      <c r="H73" s="15">
        <f t="shared" si="2"/>
        <v>0</v>
      </c>
      <c r="I73" s="19"/>
    </row>
    <row r="74" spans="1:9" x14ac:dyDescent="0.25">
      <c r="A74" s="16">
        <v>42737</v>
      </c>
      <c r="B74" s="17" t="s">
        <v>150</v>
      </c>
      <c r="C74" s="18">
        <v>95671</v>
      </c>
      <c r="D74" s="2" t="s">
        <v>151</v>
      </c>
      <c r="E74" s="15">
        <v>18476.12</v>
      </c>
      <c r="F74" s="36" t="s">
        <v>15</v>
      </c>
      <c r="G74" s="15">
        <v>18476.12</v>
      </c>
      <c r="H74" s="15">
        <f t="shared" si="2"/>
        <v>0</v>
      </c>
      <c r="I74" s="19"/>
    </row>
    <row r="75" spans="1:9" x14ac:dyDescent="0.25">
      <c r="A75" s="16">
        <v>42737</v>
      </c>
      <c r="B75" s="17" t="s">
        <v>152</v>
      </c>
      <c r="C75" s="18">
        <v>95672</v>
      </c>
      <c r="D75" s="2" t="s">
        <v>153</v>
      </c>
      <c r="E75" s="15">
        <v>5194.3999999999996</v>
      </c>
      <c r="F75" s="36" t="s">
        <v>41</v>
      </c>
      <c r="G75" s="15">
        <v>5194.3999999999996</v>
      </c>
      <c r="H75" s="15">
        <f t="shared" si="2"/>
        <v>0</v>
      </c>
      <c r="I75" s="19"/>
    </row>
    <row r="76" spans="1:9" x14ac:dyDescent="0.25">
      <c r="A76" s="16">
        <v>42737</v>
      </c>
      <c r="B76" s="17" t="s">
        <v>154</v>
      </c>
      <c r="C76" s="18">
        <v>95673</v>
      </c>
      <c r="D76" s="2" t="s">
        <v>155</v>
      </c>
      <c r="E76" s="15">
        <v>12183.2</v>
      </c>
      <c r="F76" s="36" t="s">
        <v>33</v>
      </c>
      <c r="G76" s="15">
        <v>12183.2</v>
      </c>
      <c r="H76" s="15">
        <f t="shared" si="2"/>
        <v>0</v>
      </c>
      <c r="I76" s="19"/>
    </row>
    <row r="77" spans="1:9" x14ac:dyDescent="0.25">
      <c r="A77" s="16">
        <v>42737</v>
      </c>
      <c r="B77" s="17" t="s">
        <v>156</v>
      </c>
      <c r="C77" s="18">
        <v>95674</v>
      </c>
      <c r="D77" s="2" t="s">
        <v>157</v>
      </c>
      <c r="E77" s="15">
        <v>20073.2</v>
      </c>
      <c r="F77" s="36" t="s">
        <v>15</v>
      </c>
      <c r="G77" s="15">
        <v>20073.2</v>
      </c>
      <c r="H77" s="15">
        <f t="shared" si="2"/>
        <v>0</v>
      </c>
      <c r="I77" s="19"/>
    </row>
    <row r="78" spans="1:9" x14ac:dyDescent="0.25">
      <c r="A78" s="16">
        <v>42737</v>
      </c>
      <c r="B78" s="17" t="s">
        <v>158</v>
      </c>
      <c r="C78" s="18">
        <v>95675</v>
      </c>
      <c r="D78" s="2" t="s">
        <v>159</v>
      </c>
      <c r="E78" s="15">
        <v>6299.1</v>
      </c>
      <c r="F78" s="36" t="s">
        <v>15</v>
      </c>
      <c r="G78" s="15">
        <v>6299.1</v>
      </c>
      <c r="H78" s="15">
        <f t="shared" si="2"/>
        <v>0</v>
      </c>
      <c r="I78" s="19"/>
    </row>
    <row r="79" spans="1:9" x14ac:dyDescent="0.25">
      <c r="A79" s="16">
        <v>42737</v>
      </c>
      <c r="B79" s="17" t="s">
        <v>160</v>
      </c>
      <c r="C79" s="18">
        <v>95676</v>
      </c>
      <c r="D79" s="13" t="s">
        <v>161</v>
      </c>
      <c r="E79" s="14">
        <v>0</v>
      </c>
      <c r="F79" s="123" t="s">
        <v>95</v>
      </c>
      <c r="G79" s="14">
        <v>0</v>
      </c>
      <c r="H79" s="14">
        <f t="shared" si="2"/>
        <v>0</v>
      </c>
      <c r="I79" s="19"/>
    </row>
    <row r="80" spans="1:9" x14ac:dyDescent="0.25">
      <c r="A80" s="16">
        <v>42737</v>
      </c>
      <c r="B80" s="17" t="s">
        <v>162</v>
      </c>
      <c r="C80" s="18">
        <v>95677</v>
      </c>
      <c r="D80" s="13" t="s">
        <v>163</v>
      </c>
      <c r="E80" s="14">
        <v>0</v>
      </c>
      <c r="F80" s="123" t="s">
        <v>95</v>
      </c>
      <c r="G80" s="14">
        <v>0</v>
      </c>
      <c r="H80" s="14">
        <f t="shared" si="2"/>
        <v>0</v>
      </c>
      <c r="I80" s="19"/>
    </row>
    <row r="81" spans="1:9" x14ac:dyDescent="0.25">
      <c r="A81" s="16">
        <v>42737</v>
      </c>
      <c r="B81" s="17" t="s">
        <v>164</v>
      </c>
      <c r="C81" s="18">
        <v>95678</v>
      </c>
      <c r="D81" s="2" t="s">
        <v>165</v>
      </c>
      <c r="E81" s="15">
        <v>1874.4</v>
      </c>
      <c r="F81" s="36" t="s">
        <v>166</v>
      </c>
      <c r="G81" s="15">
        <v>1874.4</v>
      </c>
      <c r="H81" s="15">
        <f t="shared" si="2"/>
        <v>0</v>
      </c>
      <c r="I81" s="19"/>
    </row>
    <row r="82" spans="1:9" x14ac:dyDescent="0.25">
      <c r="A82" s="16">
        <v>42737</v>
      </c>
      <c r="B82" s="17" t="s">
        <v>167</v>
      </c>
      <c r="C82" s="18">
        <v>95679</v>
      </c>
      <c r="D82" s="2" t="s">
        <v>168</v>
      </c>
      <c r="E82" s="15">
        <v>460.1</v>
      </c>
      <c r="F82" s="36" t="s">
        <v>15</v>
      </c>
      <c r="G82" s="15">
        <v>460.1</v>
      </c>
      <c r="H82" s="15">
        <f t="shared" si="2"/>
        <v>0</v>
      </c>
      <c r="I82" s="19"/>
    </row>
    <row r="83" spans="1:9" x14ac:dyDescent="0.25">
      <c r="A83" s="16">
        <v>42737</v>
      </c>
      <c r="B83" s="17" t="s">
        <v>169</v>
      </c>
      <c r="C83" s="18">
        <v>95680</v>
      </c>
      <c r="D83" s="2" t="s">
        <v>168</v>
      </c>
      <c r="E83" s="15">
        <v>132</v>
      </c>
      <c r="F83" s="36" t="s">
        <v>15</v>
      </c>
      <c r="G83" s="15">
        <v>132</v>
      </c>
      <c r="H83" s="15">
        <f t="shared" si="2"/>
        <v>0</v>
      </c>
      <c r="I83" s="19"/>
    </row>
    <row r="84" spans="1:9" x14ac:dyDescent="0.25">
      <c r="A84" s="16">
        <v>42737</v>
      </c>
      <c r="B84" s="17" t="s">
        <v>170</v>
      </c>
      <c r="C84" s="18">
        <v>95681</v>
      </c>
      <c r="D84" s="13" t="s">
        <v>163</v>
      </c>
      <c r="E84" s="14">
        <v>0</v>
      </c>
      <c r="F84" s="123" t="s">
        <v>95</v>
      </c>
      <c r="G84" s="14">
        <v>0</v>
      </c>
      <c r="H84" s="14">
        <f t="shared" si="2"/>
        <v>0</v>
      </c>
      <c r="I84" s="19"/>
    </row>
    <row r="85" spans="1:9" x14ac:dyDescent="0.25">
      <c r="A85" s="16">
        <v>42737</v>
      </c>
      <c r="B85" s="17" t="s">
        <v>171</v>
      </c>
      <c r="C85" s="18">
        <v>95682</v>
      </c>
      <c r="D85" s="2" t="s">
        <v>172</v>
      </c>
      <c r="E85" s="15">
        <v>24193.3</v>
      </c>
      <c r="F85" s="36" t="s">
        <v>173</v>
      </c>
      <c r="G85" s="15">
        <v>24193.3</v>
      </c>
      <c r="H85" s="15">
        <f t="shared" si="2"/>
        <v>0</v>
      </c>
      <c r="I85" s="19"/>
    </row>
    <row r="86" spans="1:9" x14ac:dyDescent="0.25">
      <c r="A86" s="16">
        <v>42737</v>
      </c>
      <c r="B86" s="17" t="s">
        <v>174</v>
      </c>
      <c r="C86" s="18">
        <v>95683</v>
      </c>
      <c r="D86" s="2" t="s">
        <v>163</v>
      </c>
      <c r="E86" s="15">
        <v>16142.6</v>
      </c>
      <c r="F86" s="36" t="s">
        <v>173</v>
      </c>
      <c r="G86" s="15">
        <v>16142.6</v>
      </c>
      <c r="H86" s="15">
        <f t="shared" si="2"/>
        <v>0</v>
      </c>
      <c r="I86" s="19"/>
    </row>
    <row r="87" spans="1:9" x14ac:dyDescent="0.25">
      <c r="A87" s="16">
        <v>42737</v>
      </c>
      <c r="B87" s="17" t="s">
        <v>175</v>
      </c>
      <c r="C87" s="18">
        <v>95684</v>
      </c>
      <c r="D87" s="2" t="s">
        <v>176</v>
      </c>
      <c r="E87" s="15">
        <v>3357.3</v>
      </c>
      <c r="F87" s="36" t="s">
        <v>15</v>
      </c>
      <c r="G87" s="15">
        <v>3357.3</v>
      </c>
      <c r="H87" s="15">
        <f t="shared" si="2"/>
        <v>0</v>
      </c>
      <c r="I87" s="19"/>
    </row>
    <row r="88" spans="1:9" x14ac:dyDescent="0.25">
      <c r="A88" s="16">
        <v>42737</v>
      </c>
      <c r="B88" s="17" t="s">
        <v>177</v>
      </c>
      <c r="C88" s="18">
        <v>95685</v>
      </c>
      <c r="D88" s="2" t="s">
        <v>178</v>
      </c>
      <c r="E88" s="15">
        <v>3625</v>
      </c>
      <c r="F88" s="36" t="s">
        <v>15</v>
      </c>
      <c r="G88" s="15">
        <v>3625</v>
      </c>
      <c r="H88" s="15">
        <f t="shared" si="2"/>
        <v>0</v>
      </c>
      <c r="I88" s="19"/>
    </row>
    <row r="89" spans="1:9" x14ac:dyDescent="0.25">
      <c r="A89" s="16">
        <v>42737</v>
      </c>
      <c r="B89" s="17" t="s">
        <v>179</v>
      </c>
      <c r="C89" s="18">
        <v>95686</v>
      </c>
      <c r="D89" s="2" t="s">
        <v>10</v>
      </c>
      <c r="E89" s="15">
        <v>162159.54</v>
      </c>
      <c r="F89" s="36" t="s">
        <v>107</v>
      </c>
      <c r="G89" s="15">
        <v>162159.54</v>
      </c>
      <c r="H89" s="15">
        <f t="shared" si="2"/>
        <v>0</v>
      </c>
      <c r="I89" s="19"/>
    </row>
    <row r="90" spans="1:9" x14ac:dyDescent="0.25">
      <c r="A90" s="16">
        <v>42737</v>
      </c>
      <c r="B90" s="17" t="s">
        <v>180</v>
      </c>
      <c r="C90" s="18">
        <v>95687</v>
      </c>
      <c r="D90" s="2" t="s">
        <v>161</v>
      </c>
      <c r="E90" s="15">
        <v>46391.6</v>
      </c>
      <c r="F90" s="36" t="s">
        <v>166</v>
      </c>
      <c r="G90" s="15">
        <v>46391.6</v>
      </c>
      <c r="H90" s="15">
        <f t="shared" si="2"/>
        <v>0</v>
      </c>
      <c r="I90" s="19"/>
    </row>
    <row r="91" spans="1:9" x14ac:dyDescent="0.25">
      <c r="A91" s="16">
        <v>42737</v>
      </c>
      <c r="B91" s="17" t="s">
        <v>181</v>
      </c>
      <c r="C91" s="18">
        <v>95688</v>
      </c>
      <c r="D91" s="2" t="s">
        <v>182</v>
      </c>
      <c r="E91" s="15">
        <v>4400</v>
      </c>
      <c r="F91" s="36" t="s">
        <v>41</v>
      </c>
      <c r="G91" s="15">
        <v>4400</v>
      </c>
      <c r="H91" s="15">
        <f t="shared" si="2"/>
        <v>0</v>
      </c>
      <c r="I91" s="19"/>
    </row>
    <row r="92" spans="1:9" x14ac:dyDescent="0.25">
      <c r="A92" s="16">
        <v>42737</v>
      </c>
      <c r="B92" s="17" t="s">
        <v>183</v>
      </c>
      <c r="C92" s="18">
        <v>95689</v>
      </c>
      <c r="D92" s="2" t="s">
        <v>184</v>
      </c>
      <c r="E92" s="15">
        <v>3448.5</v>
      </c>
      <c r="F92" s="36" t="s">
        <v>41</v>
      </c>
      <c r="G92" s="15">
        <v>3448.5</v>
      </c>
      <c r="H92" s="15">
        <f t="shared" si="2"/>
        <v>0</v>
      </c>
      <c r="I92" s="19"/>
    </row>
    <row r="93" spans="1:9" x14ac:dyDescent="0.25">
      <c r="A93" s="16">
        <v>42737</v>
      </c>
      <c r="B93" s="17" t="s">
        <v>185</v>
      </c>
      <c r="C93" s="18">
        <v>95690</v>
      </c>
      <c r="D93" s="2" t="s">
        <v>186</v>
      </c>
      <c r="E93" s="15">
        <v>4326.3</v>
      </c>
      <c r="F93" s="36" t="s">
        <v>41</v>
      </c>
      <c r="G93" s="15">
        <v>4326.3</v>
      </c>
      <c r="H93" s="15">
        <f t="shared" si="2"/>
        <v>0</v>
      </c>
      <c r="I93" s="19"/>
    </row>
    <row r="94" spans="1:9" x14ac:dyDescent="0.25">
      <c r="A94" s="16">
        <v>42737</v>
      </c>
      <c r="B94" s="17" t="s">
        <v>187</v>
      </c>
      <c r="C94" s="18">
        <v>95691</v>
      </c>
      <c r="D94" s="2" t="s">
        <v>188</v>
      </c>
      <c r="E94" s="15">
        <v>6282.64</v>
      </c>
      <c r="F94" s="36" t="s">
        <v>41</v>
      </c>
      <c r="G94" s="15">
        <v>6282.64</v>
      </c>
      <c r="H94" s="15">
        <f t="shared" si="2"/>
        <v>0</v>
      </c>
      <c r="I94" s="19"/>
    </row>
    <row r="95" spans="1:9" x14ac:dyDescent="0.25">
      <c r="A95" s="16">
        <v>42737</v>
      </c>
      <c r="B95" s="17" t="s">
        <v>189</v>
      </c>
      <c r="C95" s="18">
        <v>95692</v>
      </c>
      <c r="D95" s="2" t="s">
        <v>184</v>
      </c>
      <c r="E95" s="15">
        <v>792</v>
      </c>
      <c r="F95" s="36" t="s">
        <v>41</v>
      </c>
      <c r="G95" s="15">
        <v>792</v>
      </c>
      <c r="H95" s="15">
        <f t="shared" si="2"/>
        <v>0</v>
      </c>
      <c r="I95" s="19"/>
    </row>
    <row r="96" spans="1:9" x14ac:dyDescent="0.25">
      <c r="A96" s="16">
        <v>42737</v>
      </c>
      <c r="B96" s="17" t="s">
        <v>190</v>
      </c>
      <c r="C96" s="18">
        <v>95693</v>
      </c>
      <c r="D96" s="2" t="s">
        <v>30</v>
      </c>
      <c r="E96" s="15">
        <v>2295</v>
      </c>
      <c r="F96" s="36" t="s">
        <v>41</v>
      </c>
      <c r="G96" s="15">
        <v>2295</v>
      </c>
      <c r="H96" s="15">
        <f t="shared" si="2"/>
        <v>0</v>
      </c>
      <c r="I96" s="19"/>
    </row>
    <row r="97" spans="1:9" x14ac:dyDescent="0.25">
      <c r="A97" s="16">
        <v>42737</v>
      </c>
      <c r="B97" s="17" t="s">
        <v>191</v>
      </c>
      <c r="C97" s="18">
        <v>95694</v>
      </c>
      <c r="D97" s="2" t="s">
        <v>30</v>
      </c>
      <c r="E97" s="15">
        <v>1656</v>
      </c>
      <c r="F97" s="36" t="s">
        <v>41</v>
      </c>
      <c r="G97" s="15">
        <v>1656</v>
      </c>
      <c r="H97" s="15">
        <f t="shared" si="2"/>
        <v>0</v>
      </c>
      <c r="I97" s="19"/>
    </row>
    <row r="98" spans="1:9" x14ac:dyDescent="0.25">
      <c r="A98" s="16">
        <v>42737</v>
      </c>
      <c r="B98" s="17" t="s">
        <v>192</v>
      </c>
      <c r="C98" s="18">
        <v>95695</v>
      </c>
      <c r="D98" s="2" t="s">
        <v>193</v>
      </c>
      <c r="E98" s="15">
        <v>2284.1999999999998</v>
      </c>
      <c r="F98" s="36" t="s">
        <v>41</v>
      </c>
      <c r="G98" s="15">
        <v>2284.1999999999998</v>
      </c>
      <c r="H98" s="15">
        <f t="shared" si="2"/>
        <v>0</v>
      </c>
      <c r="I98" s="19"/>
    </row>
    <row r="99" spans="1:9" x14ac:dyDescent="0.25">
      <c r="A99" s="16">
        <v>42737</v>
      </c>
      <c r="B99" s="17" t="s">
        <v>194</v>
      </c>
      <c r="C99" s="18">
        <v>95696</v>
      </c>
      <c r="D99" s="2" t="s">
        <v>61</v>
      </c>
      <c r="E99" s="15">
        <v>7363.2</v>
      </c>
      <c r="F99" s="36" t="s">
        <v>41</v>
      </c>
      <c r="G99" s="15">
        <v>7363.2</v>
      </c>
      <c r="H99" s="15">
        <f t="shared" si="2"/>
        <v>0</v>
      </c>
      <c r="I99" s="19"/>
    </row>
    <row r="100" spans="1:9" x14ac:dyDescent="0.25">
      <c r="A100" s="16">
        <v>42737</v>
      </c>
      <c r="B100" s="17" t="s">
        <v>195</v>
      </c>
      <c r="C100" s="18">
        <v>95697</v>
      </c>
      <c r="D100" s="2" t="s">
        <v>196</v>
      </c>
      <c r="E100" s="15">
        <v>4988.6000000000004</v>
      </c>
      <c r="F100" s="36" t="s">
        <v>15</v>
      </c>
      <c r="G100" s="15">
        <v>4988.6000000000004</v>
      </c>
      <c r="H100" s="15">
        <f t="shared" si="2"/>
        <v>0</v>
      </c>
      <c r="I100" s="19"/>
    </row>
    <row r="101" spans="1:9" x14ac:dyDescent="0.25">
      <c r="A101" s="16">
        <v>42737</v>
      </c>
      <c r="B101" s="17" t="s">
        <v>197</v>
      </c>
      <c r="C101" s="18">
        <v>95698</v>
      </c>
      <c r="D101" s="2" t="s">
        <v>198</v>
      </c>
      <c r="E101" s="15">
        <v>3073.6</v>
      </c>
      <c r="F101" s="36" t="s">
        <v>41</v>
      </c>
      <c r="G101" s="15">
        <v>3073.6</v>
      </c>
      <c r="H101" s="15">
        <f t="shared" si="2"/>
        <v>0</v>
      </c>
      <c r="I101" s="19"/>
    </row>
    <row r="102" spans="1:9" x14ac:dyDescent="0.25">
      <c r="A102" s="16">
        <v>42737</v>
      </c>
      <c r="B102" s="17" t="s">
        <v>199</v>
      </c>
      <c r="C102" s="18">
        <v>95699</v>
      </c>
      <c r="D102" s="2" t="s">
        <v>30</v>
      </c>
      <c r="E102" s="15">
        <v>277.2</v>
      </c>
      <c r="F102" s="36" t="s">
        <v>15</v>
      </c>
      <c r="G102" s="15">
        <v>277.2</v>
      </c>
      <c r="H102" s="15">
        <f t="shared" si="2"/>
        <v>0</v>
      </c>
      <c r="I102" s="19"/>
    </row>
    <row r="103" spans="1:9" x14ac:dyDescent="0.25">
      <c r="A103" s="16">
        <v>42737</v>
      </c>
      <c r="B103" s="17" t="s">
        <v>200</v>
      </c>
      <c r="C103" s="18">
        <v>95700</v>
      </c>
      <c r="D103" s="2" t="s">
        <v>201</v>
      </c>
      <c r="E103" s="15">
        <v>33952.92</v>
      </c>
      <c r="F103" s="36" t="s">
        <v>15</v>
      </c>
      <c r="G103" s="15">
        <v>33952.92</v>
      </c>
      <c r="H103" s="15">
        <f t="shared" si="2"/>
        <v>0</v>
      </c>
      <c r="I103" s="19"/>
    </row>
    <row r="104" spans="1:9" x14ac:dyDescent="0.25">
      <c r="A104" s="16">
        <v>42737</v>
      </c>
      <c r="B104" s="17" t="s">
        <v>202</v>
      </c>
      <c r="C104" s="18">
        <v>95701</v>
      </c>
      <c r="D104" s="2" t="s">
        <v>201</v>
      </c>
      <c r="E104" s="15">
        <v>1490.4</v>
      </c>
      <c r="F104" s="36" t="s">
        <v>15</v>
      </c>
      <c r="G104" s="15">
        <v>1490.4</v>
      </c>
      <c r="H104" s="15">
        <f t="shared" si="2"/>
        <v>0</v>
      </c>
      <c r="I104" s="19"/>
    </row>
    <row r="105" spans="1:9" x14ac:dyDescent="0.25">
      <c r="A105" s="16">
        <v>42737</v>
      </c>
      <c r="B105" s="17" t="s">
        <v>203</v>
      </c>
      <c r="C105" s="18">
        <v>95702</v>
      </c>
      <c r="D105" s="2" t="s">
        <v>17</v>
      </c>
      <c r="E105" s="15">
        <v>550</v>
      </c>
      <c r="F105" s="36" t="s">
        <v>36</v>
      </c>
      <c r="G105" s="15">
        <v>550</v>
      </c>
      <c r="H105" s="15">
        <f t="shared" si="2"/>
        <v>0</v>
      </c>
      <c r="I105" s="19"/>
    </row>
    <row r="106" spans="1:9" x14ac:dyDescent="0.25">
      <c r="A106" s="16">
        <v>42737</v>
      </c>
      <c r="B106" s="17" t="s">
        <v>204</v>
      </c>
      <c r="C106" s="18">
        <v>95703</v>
      </c>
      <c r="D106" s="13" t="s">
        <v>205</v>
      </c>
      <c r="E106" s="14">
        <v>0</v>
      </c>
      <c r="F106" s="123" t="s">
        <v>95</v>
      </c>
      <c r="G106" s="14">
        <v>0</v>
      </c>
      <c r="H106" s="14">
        <f t="shared" si="2"/>
        <v>0</v>
      </c>
      <c r="I106" s="19"/>
    </row>
    <row r="107" spans="1:9" x14ac:dyDescent="0.25">
      <c r="A107" s="16">
        <v>42737</v>
      </c>
      <c r="B107" s="17" t="s">
        <v>206</v>
      </c>
      <c r="C107" s="18">
        <v>95704</v>
      </c>
      <c r="D107" s="2" t="s">
        <v>30</v>
      </c>
      <c r="E107" s="15">
        <v>11731.7</v>
      </c>
      <c r="F107" s="36" t="s">
        <v>41</v>
      </c>
      <c r="G107" s="15">
        <v>11731.7</v>
      </c>
      <c r="H107" s="15">
        <f t="shared" si="2"/>
        <v>0</v>
      </c>
      <c r="I107" s="19"/>
    </row>
    <row r="108" spans="1:9" x14ac:dyDescent="0.25">
      <c r="A108" s="16">
        <v>42737</v>
      </c>
      <c r="B108" s="17" t="s">
        <v>207</v>
      </c>
      <c r="C108" s="18">
        <v>95705</v>
      </c>
      <c r="D108" s="2" t="s">
        <v>208</v>
      </c>
      <c r="E108" s="15">
        <v>1307.52</v>
      </c>
      <c r="F108" s="36" t="s">
        <v>41</v>
      </c>
      <c r="G108" s="15">
        <v>1307.52</v>
      </c>
      <c r="H108" s="15">
        <f t="shared" si="2"/>
        <v>0</v>
      </c>
      <c r="I108" s="19"/>
    </row>
    <row r="109" spans="1:9" x14ac:dyDescent="0.25">
      <c r="A109" s="16">
        <v>42737</v>
      </c>
      <c r="B109" s="17" t="s">
        <v>209</v>
      </c>
      <c r="C109" s="18">
        <v>95706</v>
      </c>
      <c r="D109" s="13" t="s">
        <v>30</v>
      </c>
      <c r="E109" s="14">
        <v>0</v>
      </c>
      <c r="F109" s="123" t="s">
        <v>95</v>
      </c>
      <c r="G109" s="14">
        <v>0</v>
      </c>
      <c r="H109" s="14">
        <f t="shared" si="2"/>
        <v>0</v>
      </c>
      <c r="I109" s="19"/>
    </row>
    <row r="110" spans="1:9" x14ac:dyDescent="0.25">
      <c r="A110" s="16">
        <v>42737</v>
      </c>
      <c r="B110" s="17" t="s">
        <v>210</v>
      </c>
      <c r="C110" s="18">
        <v>95707</v>
      </c>
      <c r="D110" s="2" t="s">
        <v>211</v>
      </c>
      <c r="E110" s="15">
        <v>8829.7999999999993</v>
      </c>
      <c r="F110" s="36" t="s">
        <v>15</v>
      </c>
      <c r="G110" s="15">
        <v>8829.7999999999993</v>
      </c>
      <c r="H110" s="15">
        <f t="shared" si="2"/>
        <v>0</v>
      </c>
      <c r="I110" s="19"/>
    </row>
    <row r="111" spans="1:9" x14ac:dyDescent="0.25">
      <c r="A111" s="16">
        <v>42737</v>
      </c>
      <c r="B111" s="17" t="s">
        <v>212</v>
      </c>
      <c r="C111" s="18">
        <v>95708</v>
      </c>
      <c r="D111" s="2" t="s">
        <v>205</v>
      </c>
      <c r="E111" s="15">
        <v>35460.699999999997</v>
      </c>
      <c r="F111" s="36" t="s">
        <v>173</v>
      </c>
      <c r="G111" s="15">
        <v>35460.699999999997</v>
      </c>
      <c r="H111" s="15">
        <f t="shared" si="2"/>
        <v>0</v>
      </c>
      <c r="I111" s="19"/>
    </row>
    <row r="112" spans="1:9" x14ac:dyDescent="0.25">
      <c r="A112" s="16">
        <v>42737</v>
      </c>
      <c r="B112" s="17" t="s">
        <v>213</v>
      </c>
      <c r="C112" s="18">
        <v>95709</v>
      </c>
      <c r="D112" s="2" t="s">
        <v>214</v>
      </c>
      <c r="E112" s="15">
        <v>4000</v>
      </c>
      <c r="F112" s="36" t="s">
        <v>215</v>
      </c>
      <c r="G112" s="15">
        <v>4000</v>
      </c>
      <c r="H112" s="15">
        <f t="shared" si="2"/>
        <v>0</v>
      </c>
      <c r="I112" s="19"/>
    </row>
    <row r="113" spans="1:9" x14ac:dyDescent="0.25">
      <c r="A113" s="16">
        <v>42737</v>
      </c>
      <c r="B113" s="17" t="s">
        <v>216</v>
      </c>
      <c r="C113" s="18">
        <v>95710</v>
      </c>
      <c r="D113" s="2" t="s">
        <v>85</v>
      </c>
      <c r="E113" s="15">
        <v>5353.3</v>
      </c>
      <c r="F113" s="36" t="s">
        <v>41</v>
      </c>
      <c r="G113" s="15">
        <v>5353.3</v>
      </c>
      <c r="H113" s="15">
        <f t="shared" si="2"/>
        <v>0</v>
      </c>
      <c r="I113" s="19"/>
    </row>
    <row r="114" spans="1:9" x14ac:dyDescent="0.25">
      <c r="A114" s="16">
        <v>42737</v>
      </c>
      <c r="B114" s="17" t="s">
        <v>217</v>
      </c>
      <c r="C114" s="18">
        <v>95711</v>
      </c>
      <c r="D114" s="13" t="s">
        <v>218</v>
      </c>
      <c r="E114" s="14">
        <v>0</v>
      </c>
      <c r="F114" s="123" t="s">
        <v>95</v>
      </c>
      <c r="G114" s="14">
        <v>0</v>
      </c>
      <c r="H114" s="14">
        <f t="shared" si="2"/>
        <v>0</v>
      </c>
      <c r="I114" s="19"/>
    </row>
    <row r="115" spans="1:9" x14ac:dyDescent="0.25">
      <c r="A115" s="16">
        <v>42737</v>
      </c>
      <c r="B115" s="17" t="s">
        <v>219</v>
      </c>
      <c r="C115" s="18">
        <v>95712</v>
      </c>
      <c r="D115" s="2" t="s">
        <v>220</v>
      </c>
      <c r="E115" s="15">
        <v>1699.2</v>
      </c>
      <c r="F115" s="36" t="s">
        <v>15</v>
      </c>
      <c r="G115" s="15">
        <v>1699.2</v>
      </c>
      <c r="H115" s="15">
        <f t="shared" si="2"/>
        <v>0</v>
      </c>
      <c r="I115" s="19"/>
    </row>
    <row r="116" spans="1:9" x14ac:dyDescent="0.25">
      <c r="A116" s="16">
        <v>42737</v>
      </c>
      <c r="B116" s="17" t="s">
        <v>221</v>
      </c>
      <c r="C116" s="18">
        <v>95713</v>
      </c>
      <c r="D116" s="2" t="s">
        <v>222</v>
      </c>
      <c r="E116" s="15">
        <v>112426.96</v>
      </c>
      <c r="F116" s="36" t="s">
        <v>215</v>
      </c>
      <c r="G116" s="15">
        <v>112426.96</v>
      </c>
      <c r="H116" s="15">
        <f t="shared" si="2"/>
        <v>0</v>
      </c>
      <c r="I116" s="19"/>
    </row>
    <row r="117" spans="1:9" x14ac:dyDescent="0.25">
      <c r="A117" s="16">
        <v>42737</v>
      </c>
      <c r="B117" s="17" t="s">
        <v>223</v>
      </c>
      <c r="C117" s="18">
        <v>95714</v>
      </c>
      <c r="D117" s="2" t="s">
        <v>30</v>
      </c>
      <c r="E117" s="15">
        <v>7.0000000000000007E-2</v>
      </c>
      <c r="F117" s="36" t="s">
        <v>224</v>
      </c>
      <c r="G117" s="15">
        <v>7.0000000000000007E-2</v>
      </c>
      <c r="H117" s="15">
        <f t="shared" si="2"/>
        <v>0</v>
      </c>
      <c r="I117" s="19"/>
    </row>
    <row r="118" spans="1:9" x14ac:dyDescent="0.25">
      <c r="A118" s="16">
        <v>42737</v>
      </c>
      <c r="B118" s="17" t="s">
        <v>225</v>
      </c>
      <c r="C118" s="18">
        <v>95715</v>
      </c>
      <c r="D118" s="2" t="s">
        <v>226</v>
      </c>
      <c r="E118" s="15">
        <v>2955.9</v>
      </c>
      <c r="F118" s="36" t="s">
        <v>41</v>
      </c>
      <c r="G118" s="15">
        <v>2955.9</v>
      </c>
      <c r="H118" s="15">
        <f t="shared" si="2"/>
        <v>0</v>
      </c>
      <c r="I118" s="19"/>
    </row>
    <row r="119" spans="1:9" x14ac:dyDescent="0.25">
      <c r="A119" s="16">
        <v>42737</v>
      </c>
      <c r="B119" s="17" t="s">
        <v>227</v>
      </c>
      <c r="C119" s="18">
        <v>95716</v>
      </c>
      <c r="D119" s="2" t="s">
        <v>214</v>
      </c>
      <c r="E119" s="15">
        <v>4000</v>
      </c>
      <c r="F119" s="36" t="s">
        <v>215</v>
      </c>
      <c r="G119" s="15">
        <v>4000</v>
      </c>
      <c r="H119" s="15">
        <f t="shared" si="2"/>
        <v>0</v>
      </c>
      <c r="I119" s="19"/>
    </row>
    <row r="120" spans="1:9" x14ac:dyDescent="0.25">
      <c r="A120" s="16">
        <v>42737</v>
      </c>
      <c r="B120" s="17" t="s">
        <v>228</v>
      </c>
      <c r="C120" s="18">
        <v>95717</v>
      </c>
      <c r="D120" s="13" t="s">
        <v>229</v>
      </c>
      <c r="E120" s="14">
        <v>0</v>
      </c>
      <c r="F120" s="123" t="s">
        <v>95</v>
      </c>
      <c r="G120" s="14">
        <v>0</v>
      </c>
      <c r="H120" s="14">
        <f t="shared" si="2"/>
        <v>0</v>
      </c>
      <c r="I120" s="19"/>
    </row>
    <row r="121" spans="1:9" x14ac:dyDescent="0.25">
      <c r="A121" s="16">
        <v>42738</v>
      </c>
      <c r="B121" s="17" t="s">
        <v>230</v>
      </c>
      <c r="C121" s="18">
        <v>95718</v>
      </c>
      <c r="D121" s="2" t="s">
        <v>231</v>
      </c>
      <c r="E121" s="15">
        <v>36134.800000000003</v>
      </c>
      <c r="F121" s="36" t="s">
        <v>33</v>
      </c>
      <c r="G121" s="15">
        <v>36134.800000000003</v>
      </c>
      <c r="H121" s="15">
        <f t="shared" si="2"/>
        <v>0</v>
      </c>
      <c r="I121" s="19"/>
    </row>
    <row r="122" spans="1:9" x14ac:dyDescent="0.25">
      <c r="A122" s="16">
        <v>42738</v>
      </c>
      <c r="B122" s="17" t="s">
        <v>232</v>
      </c>
      <c r="C122" s="18">
        <v>95719</v>
      </c>
      <c r="D122" s="2" t="s">
        <v>32</v>
      </c>
      <c r="E122" s="15">
        <v>7353.6</v>
      </c>
      <c r="F122" s="36" t="s">
        <v>107</v>
      </c>
      <c r="G122" s="15">
        <v>7353.6</v>
      </c>
      <c r="H122" s="15">
        <f t="shared" si="2"/>
        <v>0</v>
      </c>
      <c r="I122" s="19"/>
    </row>
    <row r="123" spans="1:9" x14ac:dyDescent="0.25">
      <c r="A123" s="16">
        <v>42738</v>
      </c>
      <c r="B123" s="17" t="s">
        <v>233</v>
      </c>
      <c r="C123" s="18">
        <v>95720</v>
      </c>
      <c r="D123" s="2" t="s">
        <v>231</v>
      </c>
      <c r="E123" s="15">
        <v>3348.8</v>
      </c>
      <c r="F123" s="36" t="s">
        <v>33</v>
      </c>
      <c r="G123" s="15">
        <v>3348.8</v>
      </c>
      <c r="H123" s="15">
        <f t="shared" si="2"/>
        <v>0</v>
      </c>
      <c r="I123" s="19"/>
    </row>
    <row r="124" spans="1:9" x14ac:dyDescent="0.25">
      <c r="A124" s="16">
        <v>42738</v>
      </c>
      <c r="B124" s="17" t="s">
        <v>234</v>
      </c>
      <c r="C124" s="18">
        <v>95721</v>
      </c>
      <c r="D124" s="2" t="s">
        <v>38</v>
      </c>
      <c r="E124" s="15">
        <v>3857</v>
      </c>
      <c r="F124" s="36">
        <v>42741</v>
      </c>
      <c r="G124" s="15">
        <v>3857</v>
      </c>
      <c r="H124" s="15">
        <f t="shared" si="2"/>
        <v>0</v>
      </c>
      <c r="I124" s="19"/>
    </row>
    <row r="125" spans="1:9" x14ac:dyDescent="0.25">
      <c r="A125" s="16">
        <v>42738</v>
      </c>
      <c r="B125" s="17" t="s">
        <v>235</v>
      </c>
      <c r="C125" s="18">
        <v>95722</v>
      </c>
      <c r="D125" s="2" t="s">
        <v>236</v>
      </c>
      <c r="E125" s="15">
        <v>77107.899999999994</v>
      </c>
      <c r="F125" s="36" t="s">
        <v>237</v>
      </c>
      <c r="G125" s="15">
        <v>77107.899999999994</v>
      </c>
      <c r="H125" s="15">
        <f t="shared" si="2"/>
        <v>0</v>
      </c>
      <c r="I125" s="19"/>
    </row>
    <row r="126" spans="1:9" x14ac:dyDescent="0.25">
      <c r="A126" s="16">
        <v>42738</v>
      </c>
      <c r="B126" s="17" t="s">
        <v>238</v>
      </c>
      <c r="C126" s="18">
        <v>95723</v>
      </c>
      <c r="D126" s="2" t="s">
        <v>35</v>
      </c>
      <c r="E126" s="15">
        <v>13407.7</v>
      </c>
      <c r="F126" s="36">
        <v>42741</v>
      </c>
      <c r="G126" s="15">
        <v>13407.7</v>
      </c>
      <c r="H126" s="15">
        <f t="shared" si="2"/>
        <v>0</v>
      </c>
      <c r="I126" s="19"/>
    </row>
    <row r="127" spans="1:9" x14ac:dyDescent="0.25">
      <c r="A127" s="16">
        <v>42738</v>
      </c>
      <c r="B127" s="17" t="s">
        <v>239</v>
      </c>
      <c r="C127" s="18">
        <v>95724</v>
      </c>
      <c r="D127" s="2" t="s">
        <v>240</v>
      </c>
      <c r="E127" s="15">
        <v>3926.4</v>
      </c>
      <c r="F127" s="36" t="s">
        <v>36</v>
      </c>
      <c r="G127" s="15">
        <v>3926.4</v>
      </c>
      <c r="H127" s="15">
        <f t="shared" si="2"/>
        <v>0</v>
      </c>
      <c r="I127" s="19"/>
    </row>
    <row r="128" spans="1:9" x14ac:dyDescent="0.25">
      <c r="A128" s="16">
        <v>42738</v>
      </c>
      <c r="B128" s="17" t="s">
        <v>241</v>
      </c>
      <c r="C128" s="18">
        <v>95725</v>
      </c>
      <c r="D128" s="2" t="s">
        <v>17</v>
      </c>
      <c r="E128" s="15">
        <v>3300</v>
      </c>
      <c r="F128" s="36" t="s">
        <v>41</v>
      </c>
      <c r="G128" s="15">
        <v>3300</v>
      </c>
      <c r="H128" s="15">
        <f t="shared" si="2"/>
        <v>0</v>
      </c>
      <c r="I128" s="21"/>
    </row>
    <row r="129" spans="1:9" x14ac:dyDescent="0.25">
      <c r="A129" s="16">
        <v>42738</v>
      </c>
      <c r="B129" s="17" t="s">
        <v>242</v>
      </c>
      <c r="C129" s="18">
        <v>95726</v>
      </c>
      <c r="D129" s="2" t="s">
        <v>26</v>
      </c>
      <c r="E129" s="15">
        <v>22215</v>
      </c>
      <c r="F129" s="36" t="s">
        <v>41</v>
      </c>
      <c r="G129" s="15">
        <v>22215</v>
      </c>
      <c r="H129" s="15">
        <f t="shared" si="2"/>
        <v>0</v>
      </c>
      <c r="I129" s="21"/>
    </row>
    <row r="130" spans="1:9" x14ac:dyDescent="0.25">
      <c r="A130" s="16">
        <v>42738</v>
      </c>
      <c r="B130" s="17" t="s">
        <v>243</v>
      </c>
      <c r="C130" s="18">
        <v>95727</v>
      </c>
      <c r="D130" s="2" t="s">
        <v>229</v>
      </c>
      <c r="E130" s="15">
        <v>23146.1</v>
      </c>
      <c r="F130" s="36" t="s">
        <v>129</v>
      </c>
      <c r="G130" s="15">
        <v>23146.1</v>
      </c>
      <c r="H130" s="15">
        <f t="shared" si="2"/>
        <v>0</v>
      </c>
      <c r="I130" s="21"/>
    </row>
    <row r="131" spans="1:9" x14ac:dyDescent="0.25">
      <c r="A131" s="16">
        <v>42738</v>
      </c>
      <c r="B131" s="17" t="s">
        <v>244</v>
      </c>
      <c r="C131" s="18">
        <v>95728</v>
      </c>
      <c r="D131" s="2" t="s">
        <v>40</v>
      </c>
      <c r="E131" s="15">
        <v>3590.8</v>
      </c>
      <c r="F131" s="36" t="s">
        <v>33</v>
      </c>
      <c r="G131" s="15">
        <v>3590.8</v>
      </c>
      <c r="H131" s="15">
        <f t="shared" si="2"/>
        <v>0</v>
      </c>
      <c r="I131" s="21"/>
    </row>
    <row r="132" spans="1:9" x14ac:dyDescent="0.25">
      <c r="A132" s="16">
        <v>42738</v>
      </c>
      <c r="B132" s="17" t="s">
        <v>245</v>
      </c>
      <c r="C132" s="18">
        <v>95729</v>
      </c>
      <c r="D132" s="2" t="s">
        <v>143</v>
      </c>
      <c r="E132" s="15">
        <v>8019</v>
      </c>
      <c r="F132" s="36" t="s">
        <v>41</v>
      </c>
      <c r="G132" s="15">
        <v>8019</v>
      </c>
      <c r="H132" s="15">
        <f t="shared" si="2"/>
        <v>0</v>
      </c>
      <c r="I132" s="21"/>
    </row>
    <row r="133" spans="1:9" x14ac:dyDescent="0.25">
      <c r="A133" s="16">
        <v>42738</v>
      </c>
      <c r="B133" s="17" t="s">
        <v>246</v>
      </c>
      <c r="C133" s="18">
        <v>95730</v>
      </c>
      <c r="D133" s="2" t="s">
        <v>51</v>
      </c>
      <c r="E133" s="15">
        <v>6222.8</v>
      </c>
      <c r="F133" s="36" t="s">
        <v>36</v>
      </c>
      <c r="G133" s="15">
        <v>6222.8</v>
      </c>
      <c r="H133" s="15">
        <f t="shared" si="2"/>
        <v>0</v>
      </c>
      <c r="I133" s="21"/>
    </row>
    <row r="134" spans="1:9" x14ac:dyDescent="0.25">
      <c r="A134" s="16">
        <v>42738</v>
      </c>
      <c r="B134" s="17" t="s">
        <v>247</v>
      </c>
      <c r="C134" s="18">
        <v>95731</v>
      </c>
      <c r="D134" s="2" t="s">
        <v>51</v>
      </c>
      <c r="E134" s="15">
        <v>3750.6</v>
      </c>
      <c r="F134" s="36">
        <v>42741</v>
      </c>
      <c r="G134" s="15">
        <v>3750.6</v>
      </c>
      <c r="H134" s="15">
        <f t="shared" ref="H134:H197" si="3">E134-G134</f>
        <v>0</v>
      </c>
      <c r="I134" s="21"/>
    </row>
    <row r="135" spans="1:9" x14ac:dyDescent="0.25">
      <c r="A135" s="16">
        <v>42738</v>
      </c>
      <c r="B135" s="17" t="s">
        <v>248</v>
      </c>
      <c r="C135" s="18">
        <v>95732</v>
      </c>
      <c r="D135" s="2" t="s">
        <v>28</v>
      </c>
      <c r="E135" s="15">
        <v>10639.2</v>
      </c>
      <c r="F135" s="36" t="s">
        <v>41</v>
      </c>
      <c r="G135" s="15">
        <v>10639.2</v>
      </c>
      <c r="H135" s="15">
        <f t="shared" si="3"/>
        <v>0</v>
      </c>
      <c r="I135" s="21"/>
    </row>
    <row r="136" spans="1:9" x14ac:dyDescent="0.25">
      <c r="A136" s="16">
        <v>42738</v>
      </c>
      <c r="B136" s="17" t="s">
        <v>249</v>
      </c>
      <c r="C136" s="18">
        <v>95733</v>
      </c>
      <c r="D136" s="2" t="s">
        <v>250</v>
      </c>
      <c r="E136" s="15">
        <v>7772.2</v>
      </c>
      <c r="F136" s="36" t="s">
        <v>36</v>
      </c>
      <c r="G136" s="15">
        <v>7772.2</v>
      </c>
      <c r="H136" s="15">
        <f t="shared" si="3"/>
        <v>0</v>
      </c>
      <c r="I136" s="21"/>
    </row>
    <row r="137" spans="1:9" x14ac:dyDescent="0.25">
      <c r="A137" s="16">
        <v>42738</v>
      </c>
      <c r="B137" s="17" t="s">
        <v>251</v>
      </c>
      <c r="C137" s="18">
        <v>95734</v>
      </c>
      <c r="D137" s="2" t="s">
        <v>47</v>
      </c>
      <c r="E137" s="15">
        <v>3950.2</v>
      </c>
      <c r="F137" s="36" t="s">
        <v>41</v>
      </c>
      <c r="G137" s="15">
        <v>3950.2</v>
      </c>
      <c r="H137" s="15">
        <f t="shared" si="3"/>
        <v>0</v>
      </c>
      <c r="I137" s="21"/>
    </row>
    <row r="138" spans="1:9" x14ac:dyDescent="0.25">
      <c r="A138" s="16">
        <v>42738</v>
      </c>
      <c r="B138" s="17" t="s">
        <v>252</v>
      </c>
      <c r="C138" s="18">
        <v>95735</v>
      </c>
      <c r="D138" s="2" t="s">
        <v>253</v>
      </c>
      <c r="E138" s="15">
        <v>835.8</v>
      </c>
      <c r="F138" s="36" t="s">
        <v>33</v>
      </c>
      <c r="G138" s="15">
        <v>835.8</v>
      </c>
      <c r="H138" s="15">
        <f t="shared" si="3"/>
        <v>0</v>
      </c>
      <c r="I138" s="21"/>
    </row>
    <row r="139" spans="1:9" x14ac:dyDescent="0.25">
      <c r="A139" s="16">
        <v>42738</v>
      </c>
      <c r="B139" s="17" t="s">
        <v>254</v>
      </c>
      <c r="C139" s="18">
        <v>95736</v>
      </c>
      <c r="D139" s="2" t="s">
        <v>71</v>
      </c>
      <c r="E139" s="15">
        <v>3885</v>
      </c>
      <c r="F139" s="36" t="s">
        <v>41</v>
      </c>
      <c r="G139" s="15">
        <v>3885</v>
      </c>
      <c r="H139" s="15">
        <f t="shared" si="3"/>
        <v>0</v>
      </c>
      <c r="I139" s="21"/>
    </row>
    <row r="140" spans="1:9" x14ac:dyDescent="0.25">
      <c r="A140" s="16">
        <v>42738</v>
      </c>
      <c r="B140" s="17" t="s">
        <v>255</v>
      </c>
      <c r="C140" s="18">
        <v>95737</v>
      </c>
      <c r="D140" s="2" t="s">
        <v>43</v>
      </c>
      <c r="E140" s="15">
        <v>4238.6000000000004</v>
      </c>
      <c r="F140" s="36" t="s">
        <v>33</v>
      </c>
      <c r="G140" s="15">
        <v>4238.6000000000004</v>
      </c>
      <c r="H140" s="15">
        <f t="shared" si="3"/>
        <v>0</v>
      </c>
      <c r="I140" s="21"/>
    </row>
    <row r="141" spans="1:9" x14ac:dyDescent="0.25">
      <c r="A141" s="16">
        <v>42738</v>
      </c>
      <c r="B141" s="17" t="s">
        <v>256</v>
      </c>
      <c r="C141" s="18">
        <v>95738</v>
      </c>
      <c r="D141" s="2" t="s">
        <v>67</v>
      </c>
      <c r="E141" s="15">
        <v>4119.3999999999996</v>
      </c>
      <c r="F141" s="36" t="s">
        <v>36</v>
      </c>
      <c r="G141" s="15">
        <v>4119.3999999999996</v>
      </c>
      <c r="H141" s="15">
        <f t="shared" si="3"/>
        <v>0</v>
      </c>
      <c r="I141" s="21"/>
    </row>
    <row r="142" spans="1:9" x14ac:dyDescent="0.25">
      <c r="A142" s="16">
        <v>42738</v>
      </c>
      <c r="B142" s="17" t="s">
        <v>257</v>
      </c>
      <c r="C142" s="18">
        <v>95739</v>
      </c>
      <c r="D142" s="2" t="s">
        <v>69</v>
      </c>
      <c r="E142" s="15">
        <v>7706.4</v>
      </c>
      <c r="F142" s="36" t="s">
        <v>41</v>
      </c>
      <c r="G142" s="15">
        <v>7706.4</v>
      </c>
      <c r="H142" s="15">
        <f t="shared" si="3"/>
        <v>0</v>
      </c>
      <c r="I142" s="21"/>
    </row>
    <row r="143" spans="1:9" x14ac:dyDescent="0.25">
      <c r="A143" s="16">
        <v>42738</v>
      </c>
      <c r="B143" s="17" t="s">
        <v>258</v>
      </c>
      <c r="C143" s="18">
        <v>95740</v>
      </c>
      <c r="D143" s="2" t="s">
        <v>10</v>
      </c>
      <c r="E143" s="15">
        <v>426258.28</v>
      </c>
      <c r="F143" s="36" t="s">
        <v>126</v>
      </c>
      <c r="G143" s="15">
        <v>426258.28</v>
      </c>
      <c r="H143" s="15">
        <f t="shared" si="3"/>
        <v>0</v>
      </c>
      <c r="I143" s="21"/>
    </row>
    <row r="144" spans="1:9" x14ac:dyDescent="0.25">
      <c r="A144" s="16">
        <v>42738</v>
      </c>
      <c r="B144" s="17" t="s">
        <v>259</v>
      </c>
      <c r="C144" s="18">
        <v>95741</v>
      </c>
      <c r="D144" s="2" t="s">
        <v>49</v>
      </c>
      <c r="E144" s="15">
        <v>15124.6</v>
      </c>
      <c r="F144" s="36">
        <v>42741</v>
      </c>
      <c r="G144" s="15">
        <v>15124.6</v>
      </c>
      <c r="H144" s="15">
        <f t="shared" si="3"/>
        <v>0</v>
      </c>
      <c r="I144" s="21"/>
    </row>
    <row r="145" spans="1:9" x14ac:dyDescent="0.25">
      <c r="A145" s="16">
        <v>42738</v>
      </c>
      <c r="B145" s="17" t="s">
        <v>260</v>
      </c>
      <c r="C145" s="18">
        <v>95742</v>
      </c>
      <c r="D145" s="2" t="s">
        <v>30</v>
      </c>
      <c r="E145" s="15">
        <v>841.5</v>
      </c>
      <c r="F145" s="36" t="s">
        <v>41</v>
      </c>
      <c r="G145" s="15">
        <v>841.5</v>
      </c>
      <c r="H145" s="15">
        <f t="shared" si="3"/>
        <v>0</v>
      </c>
      <c r="I145" s="21"/>
    </row>
    <row r="146" spans="1:9" x14ac:dyDescent="0.25">
      <c r="A146" s="16">
        <v>42738</v>
      </c>
      <c r="B146" s="17" t="s">
        <v>261</v>
      </c>
      <c r="C146" s="18">
        <v>95743</v>
      </c>
      <c r="D146" s="2" t="s">
        <v>157</v>
      </c>
      <c r="E146" s="15">
        <v>30944.12</v>
      </c>
      <c r="F146" s="36" t="s">
        <v>41</v>
      </c>
      <c r="G146" s="15">
        <v>30944.12</v>
      </c>
      <c r="H146" s="15">
        <f t="shared" si="3"/>
        <v>0</v>
      </c>
      <c r="I146" s="21"/>
    </row>
    <row r="147" spans="1:9" x14ac:dyDescent="0.25">
      <c r="A147" s="16">
        <v>42738</v>
      </c>
      <c r="B147" s="17" t="s">
        <v>262</v>
      </c>
      <c r="C147" s="18">
        <v>95744</v>
      </c>
      <c r="D147" s="2" t="s">
        <v>79</v>
      </c>
      <c r="E147" s="15">
        <v>4324</v>
      </c>
      <c r="F147" s="36" t="s">
        <v>41</v>
      </c>
      <c r="G147" s="15">
        <v>4324</v>
      </c>
      <c r="H147" s="15">
        <f t="shared" si="3"/>
        <v>0</v>
      </c>
      <c r="I147" s="21"/>
    </row>
    <row r="148" spans="1:9" x14ac:dyDescent="0.25">
      <c r="A148" s="16">
        <v>42738</v>
      </c>
      <c r="B148" s="17" t="s">
        <v>263</v>
      </c>
      <c r="C148" s="18">
        <v>95745</v>
      </c>
      <c r="D148" s="2" t="s">
        <v>264</v>
      </c>
      <c r="E148" s="15">
        <v>8388</v>
      </c>
      <c r="F148" s="36" t="s">
        <v>41</v>
      </c>
      <c r="G148" s="15">
        <v>8388</v>
      </c>
      <c r="H148" s="15">
        <f t="shared" si="3"/>
        <v>0</v>
      </c>
      <c r="I148" s="21"/>
    </row>
    <row r="149" spans="1:9" x14ac:dyDescent="0.25">
      <c r="A149" s="16">
        <v>42738</v>
      </c>
      <c r="B149" s="17" t="s">
        <v>265</v>
      </c>
      <c r="C149" s="18">
        <v>95746</v>
      </c>
      <c r="D149" s="2" t="s">
        <v>266</v>
      </c>
      <c r="E149" s="15">
        <v>3468.4</v>
      </c>
      <c r="F149" s="36" t="s">
        <v>41</v>
      </c>
      <c r="G149" s="15">
        <v>3468.4</v>
      </c>
      <c r="H149" s="15">
        <f t="shared" si="3"/>
        <v>0</v>
      </c>
      <c r="I149" s="21"/>
    </row>
    <row r="150" spans="1:9" x14ac:dyDescent="0.25">
      <c r="A150" s="16">
        <v>42738</v>
      </c>
      <c r="B150" s="17" t="s">
        <v>267</v>
      </c>
      <c r="C150" s="18">
        <v>95747</v>
      </c>
      <c r="D150" s="2" t="s">
        <v>268</v>
      </c>
      <c r="E150" s="15">
        <v>15961.2</v>
      </c>
      <c r="F150" s="36" t="s">
        <v>215</v>
      </c>
      <c r="G150" s="15">
        <v>15961.2</v>
      </c>
      <c r="H150" s="15">
        <f t="shared" si="3"/>
        <v>0</v>
      </c>
      <c r="I150" s="21"/>
    </row>
    <row r="151" spans="1:9" x14ac:dyDescent="0.25">
      <c r="A151" s="16">
        <v>42738</v>
      </c>
      <c r="B151" s="17" t="s">
        <v>269</v>
      </c>
      <c r="C151" s="18">
        <v>95748</v>
      </c>
      <c r="D151" s="2" t="s">
        <v>270</v>
      </c>
      <c r="E151" s="15">
        <v>18965.5</v>
      </c>
      <c r="F151" s="36" t="s">
        <v>215</v>
      </c>
      <c r="G151" s="15">
        <v>18965.5</v>
      </c>
      <c r="H151" s="15">
        <f t="shared" si="3"/>
        <v>0</v>
      </c>
      <c r="I151" s="21"/>
    </row>
    <row r="152" spans="1:9" x14ac:dyDescent="0.25">
      <c r="A152" s="16">
        <v>42738</v>
      </c>
      <c r="B152" s="17" t="s">
        <v>271</v>
      </c>
      <c r="C152" s="18">
        <v>95749</v>
      </c>
      <c r="D152" s="2" t="s">
        <v>272</v>
      </c>
      <c r="E152" s="15">
        <v>6862</v>
      </c>
      <c r="F152" s="36" t="s">
        <v>36</v>
      </c>
      <c r="G152" s="15">
        <v>6862</v>
      </c>
      <c r="H152" s="15">
        <f t="shared" si="3"/>
        <v>0</v>
      </c>
      <c r="I152" s="21"/>
    </row>
    <row r="153" spans="1:9" x14ac:dyDescent="0.25">
      <c r="A153" s="16">
        <v>42738</v>
      </c>
      <c r="B153" s="17" t="s">
        <v>273</v>
      </c>
      <c r="C153" s="18">
        <v>95750</v>
      </c>
      <c r="D153" s="2" t="s">
        <v>274</v>
      </c>
      <c r="E153" s="15">
        <v>8840.7000000000007</v>
      </c>
      <c r="F153" s="36" t="s">
        <v>275</v>
      </c>
      <c r="G153" s="15">
        <v>8840.7000000000007</v>
      </c>
      <c r="H153" s="15">
        <f t="shared" si="3"/>
        <v>0</v>
      </c>
      <c r="I153" s="21"/>
    </row>
    <row r="154" spans="1:9" x14ac:dyDescent="0.25">
      <c r="A154" s="16">
        <v>42738</v>
      </c>
      <c r="B154" s="17" t="s">
        <v>276</v>
      </c>
      <c r="C154" s="18">
        <v>95751</v>
      </c>
      <c r="D154" s="2" t="s">
        <v>277</v>
      </c>
      <c r="E154" s="15">
        <v>3022</v>
      </c>
      <c r="F154" s="36" t="s">
        <v>36</v>
      </c>
      <c r="G154" s="15">
        <v>3022</v>
      </c>
      <c r="H154" s="15">
        <f t="shared" si="3"/>
        <v>0</v>
      </c>
      <c r="I154" s="21"/>
    </row>
    <row r="155" spans="1:9" x14ac:dyDescent="0.25">
      <c r="A155" s="16">
        <v>42738</v>
      </c>
      <c r="B155" s="17" t="s">
        <v>278</v>
      </c>
      <c r="C155" s="18">
        <v>95752</v>
      </c>
      <c r="D155" s="2" t="s">
        <v>99</v>
      </c>
      <c r="E155" s="15">
        <v>2205.5</v>
      </c>
      <c r="F155" s="36" t="s">
        <v>41</v>
      </c>
      <c r="G155" s="15">
        <v>2205.5</v>
      </c>
      <c r="H155" s="15">
        <f t="shared" si="3"/>
        <v>0</v>
      </c>
      <c r="I155" s="21"/>
    </row>
    <row r="156" spans="1:9" x14ac:dyDescent="0.25">
      <c r="A156" s="16">
        <v>42738</v>
      </c>
      <c r="B156" s="17" t="s">
        <v>279</v>
      </c>
      <c r="C156" s="18">
        <v>95753</v>
      </c>
      <c r="D156" s="2" t="s">
        <v>30</v>
      </c>
      <c r="E156" s="15">
        <v>1512.2</v>
      </c>
      <c r="F156" s="36" t="s">
        <v>41</v>
      </c>
      <c r="G156" s="15">
        <v>1512.2</v>
      </c>
      <c r="H156" s="15">
        <f t="shared" si="3"/>
        <v>0</v>
      </c>
      <c r="I156" s="21"/>
    </row>
    <row r="157" spans="1:9" x14ac:dyDescent="0.25">
      <c r="A157" s="16">
        <v>42738</v>
      </c>
      <c r="B157" s="17" t="s">
        <v>280</v>
      </c>
      <c r="C157" s="18">
        <v>95754</v>
      </c>
      <c r="D157" s="2" t="s">
        <v>281</v>
      </c>
      <c r="E157" s="15">
        <v>950.5</v>
      </c>
      <c r="F157" s="36" t="s">
        <v>41</v>
      </c>
      <c r="G157" s="15">
        <v>950.5</v>
      </c>
      <c r="H157" s="15">
        <f t="shared" si="3"/>
        <v>0</v>
      </c>
      <c r="I157" s="21"/>
    </row>
    <row r="158" spans="1:9" x14ac:dyDescent="0.25">
      <c r="A158" s="16">
        <v>42738</v>
      </c>
      <c r="B158" s="17" t="s">
        <v>282</v>
      </c>
      <c r="C158" s="18">
        <v>95755</v>
      </c>
      <c r="D158" s="2" t="s">
        <v>139</v>
      </c>
      <c r="E158" s="15">
        <v>1230.3</v>
      </c>
      <c r="F158" s="36" t="s">
        <v>41</v>
      </c>
      <c r="G158" s="15">
        <v>1230.3</v>
      </c>
      <c r="H158" s="15">
        <f t="shared" si="3"/>
        <v>0</v>
      </c>
      <c r="I158" s="21"/>
    </row>
    <row r="159" spans="1:9" x14ac:dyDescent="0.25">
      <c r="A159" s="16">
        <v>42738</v>
      </c>
      <c r="B159" s="17" t="s">
        <v>283</v>
      </c>
      <c r="C159" s="18">
        <v>95756</v>
      </c>
      <c r="D159" s="2" t="s">
        <v>94</v>
      </c>
      <c r="E159" s="15">
        <v>4161.6000000000004</v>
      </c>
      <c r="F159" s="36" t="s">
        <v>41</v>
      </c>
      <c r="G159" s="15">
        <v>4161.6000000000004</v>
      </c>
      <c r="H159" s="15">
        <f t="shared" si="3"/>
        <v>0</v>
      </c>
      <c r="I159" s="21"/>
    </row>
    <row r="160" spans="1:9" x14ac:dyDescent="0.25">
      <c r="A160" s="16">
        <v>42738</v>
      </c>
      <c r="B160" s="17" t="s">
        <v>284</v>
      </c>
      <c r="C160" s="18">
        <v>95757</v>
      </c>
      <c r="D160" s="2" t="s">
        <v>285</v>
      </c>
      <c r="E160" s="15">
        <v>2152.42</v>
      </c>
      <c r="F160" s="36" t="s">
        <v>41</v>
      </c>
      <c r="G160" s="15">
        <v>2152.42</v>
      </c>
      <c r="H160" s="15">
        <f t="shared" si="3"/>
        <v>0</v>
      </c>
      <c r="I160" s="21"/>
    </row>
    <row r="161" spans="1:9" x14ac:dyDescent="0.25">
      <c r="A161" s="16">
        <v>42738</v>
      </c>
      <c r="B161" s="17" t="s">
        <v>286</v>
      </c>
      <c r="C161" s="18">
        <v>95758</v>
      </c>
      <c r="D161" s="2" t="s">
        <v>30</v>
      </c>
      <c r="E161" s="15">
        <v>519.20000000000005</v>
      </c>
      <c r="F161" s="36" t="s">
        <v>41</v>
      </c>
      <c r="G161" s="15">
        <v>519.20000000000005</v>
      </c>
      <c r="H161" s="15">
        <f t="shared" si="3"/>
        <v>0</v>
      </c>
      <c r="I161" s="21"/>
    </row>
    <row r="162" spans="1:9" x14ac:dyDescent="0.25">
      <c r="A162" s="16">
        <v>42738</v>
      </c>
      <c r="B162" s="17" t="s">
        <v>287</v>
      </c>
      <c r="C162" s="18">
        <v>95759</v>
      </c>
      <c r="D162" s="2" t="s">
        <v>103</v>
      </c>
      <c r="E162" s="15">
        <v>3442.8</v>
      </c>
      <c r="F162" s="36" t="s">
        <v>33</v>
      </c>
      <c r="G162" s="15">
        <v>3442.8</v>
      </c>
      <c r="H162" s="15">
        <f t="shared" si="3"/>
        <v>0</v>
      </c>
      <c r="I162" s="21"/>
    </row>
    <row r="163" spans="1:9" x14ac:dyDescent="0.25">
      <c r="A163" s="16">
        <v>42738</v>
      </c>
      <c r="B163" s="17" t="s">
        <v>288</v>
      </c>
      <c r="C163" s="18">
        <v>95760</v>
      </c>
      <c r="D163" s="2" t="s">
        <v>289</v>
      </c>
      <c r="E163" s="15">
        <v>33648.699999999997</v>
      </c>
      <c r="F163" s="36" t="s">
        <v>126</v>
      </c>
      <c r="G163" s="15">
        <v>33648.699999999997</v>
      </c>
      <c r="H163" s="15">
        <f t="shared" si="3"/>
        <v>0</v>
      </c>
      <c r="I163" s="21"/>
    </row>
    <row r="164" spans="1:9" x14ac:dyDescent="0.25">
      <c r="A164" s="16">
        <v>42738</v>
      </c>
      <c r="B164" s="17" t="s">
        <v>290</v>
      </c>
      <c r="C164" s="18">
        <v>95761</v>
      </c>
      <c r="D164" s="2" t="s">
        <v>291</v>
      </c>
      <c r="E164" s="15">
        <v>2627.7</v>
      </c>
      <c r="F164" s="36" t="s">
        <v>41</v>
      </c>
      <c r="G164" s="15">
        <v>2627.7</v>
      </c>
      <c r="H164" s="15">
        <f t="shared" si="3"/>
        <v>0</v>
      </c>
      <c r="I164" s="21"/>
    </row>
    <row r="165" spans="1:9" x14ac:dyDescent="0.25">
      <c r="A165" s="16">
        <v>42738</v>
      </c>
      <c r="B165" s="17" t="s">
        <v>292</v>
      </c>
      <c r="C165" s="18">
        <v>95762</v>
      </c>
      <c r="D165" s="2" t="s">
        <v>293</v>
      </c>
      <c r="E165" s="15">
        <v>370.5</v>
      </c>
      <c r="F165" s="36" t="s">
        <v>41</v>
      </c>
      <c r="G165" s="15">
        <v>370.5</v>
      </c>
      <c r="H165" s="15">
        <f t="shared" si="3"/>
        <v>0</v>
      </c>
      <c r="I165" s="21"/>
    </row>
    <row r="166" spans="1:9" x14ac:dyDescent="0.25">
      <c r="A166" s="16">
        <v>42738</v>
      </c>
      <c r="B166" s="17" t="s">
        <v>294</v>
      </c>
      <c r="C166" s="18">
        <v>95763</v>
      </c>
      <c r="D166" s="2" t="s">
        <v>83</v>
      </c>
      <c r="E166" s="15">
        <v>4280.7</v>
      </c>
      <c r="F166" s="36" t="s">
        <v>41</v>
      </c>
      <c r="G166" s="15">
        <v>4280.7</v>
      </c>
      <c r="H166" s="15">
        <f t="shared" si="3"/>
        <v>0</v>
      </c>
      <c r="I166" s="21"/>
    </row>
    <row r="167" spans="1:9" x14ac:dyDescent="0.25">
      <c r="A167" s="16">
        <v>42738</v>
      </c>
      <c r="B167" s="17" t="s">
        <v>295</v>
      </c>
      <c r="C167" s="18">
        <v>95764</v>
      </c>
      <c r="D167" s="2" t="s">
        <v>88</v>
      </c>
      <c r="E167" s="15">
        <v>1312.2</v>
      </c>
      <c r="F167" s="36" t="s">
        <v>41</v>
      </c>
      <c r="G167" s="15">
        <v>1312.2</v>
      </c>
      <c r="H167" s="15">
        <f t="shared" si="3"/>
        <v>0</v>
      </c>
      <c r="I167" s="21"/>
    </row>
    <row r="168" spans="1:9" x14ac:dyDescent="0.25">
      <c r="A168" s="16">
        <v>42738</v>
      </c>
      <c r="B168" s="17" t="s">
        <v>296</v>
      </c>
      <c r="C168" s="18">
        <v>95765</v>
      </c>
      <c r="D168" s="2" t="s">
        <v>105</v>
      </c>
      <c r="E168" s="15">
        <v>205.2</v>
      </c>
      <c r="F168" s="36" t="s">
        <v>41</v>
      </c>
      <c r="G168" s="15">
        <v>205.2</v>
      </c>
      <c r="H168" s="15">
        <f t="shared" si="3"/>
        <v>0</v>
      </c>
      <c r="I168" s="21"/>
    </row>
    <row r="169" spans="1:9" x14ac:dyDescent="0.25">
      <c r="A169" s="16">
        <v>42738</v>
      </c>
      <c r="B169" s="17" t="s">
        <v>297</v>
      </c>
      <c r="C169" s="18">
        <v>95766</v>
      </c>
      <c r="D169" s="2" t="s">
        <v>298</v>
      </c>
      <c r="E169" s="15">
        <v>3590.2</v>
      </c>
      <c r="F169" s="36" t="s">
        <v>41</v>
      </c>
      <c r="G169" s="15">
        <v>3590.2</v>
      </c>
      <c r="H169" s="15">
        <f t="shared" si="3"/>
        <v>0</v>
      </c>
      <c r="I169" s="21"/>
    </row>
    <row r="170" spans="1:9" x14ac:dyDescent="0.25">
      <c r="A170" s="16">
        <v>42738</v>
      </c>
      <c r="B170" s="17" t="s">
        <v>299</v>
      </c>
      <c r="C170" s="18">
        <v>95767</v>
      </c>
      <c r="D170" s="2" t="s">
        <v>92</v>
      </c>
      <c r="E170" s="15">
        <v>2133.6</v>
      </c>
      <c r="F170" s="36" t="s">
        <v>41</v>
      </c>
      <c r="G170" s="15">
        <v>2133.6</v>
      </c>
      <c r="H170" s="15">
        <f t="shared" si="3"/>
        <v>0</v>
      </c>
      <c r="I170" s="21"/>
    </row>
    <row r="171" spans="1:9" x14ac:dyDescent="0.25">
      <c r="A171" s="16">
        <v>42738</v>
      </c>
      <c r="B171" s="17" t="s">
        <v>300</v>
      </c>
      <c r="C171" s="18">
        <v>95768</v>
      </c>
      <c r="D171" s="2" t="s">
        <v>101</v>
      </c>
      <c r="E171" s="15">
        <v>1380.5</v>
      </c>
      <c r="F171" s="36" t="s">
        <v>41</v>
      </c>
      <c r="G171" s="15">
        <v>1380.5</v>
      </c>
      <c r="H171" s="15">
        <f t="shared" si="3"/>
        <v>0</v>
      </c>
      <c r="I171" s="21"/>
    </row>
    <row r="172" spans="1:9" x14ac:dyDescent="0.25">
      <c r="A172" s="16">
        <v>42738</v>
      </c>
      <c r="B172" s="17" t="s">
        <v>301</v>
      </c>
      <c r="C172" s="18">
        <v>95769</v>
      </c>
      <c r="D172" s="2" t="s">
        <v>302</v>
      </c>
      <c r="E172" s="15">
        <v>5719.04</v>
      </c>
      <c r="F172" s="36" t="s">
        <v>41</v>
      </c>
      <c r="G172" s="15">
        <v>5719.04</v>
      </c>
      <c r="H172" s="15">
        <f t="shared" si="3"/>
        <v>0</v>
      </c>
      <c r="I172" s="21"/>
    </row>
    <row r="173" spans="1:9" x14ac:dyDescent="0.25">
      <c r="A173" s="16">
        <v>42738</v>
      </c>
      <c r="B173" s="17" t="s">
        <v>303</v>
      </c>
      <c r="C173" s="18">
        <v>95770</v>
      </c>
      <c r="D173" s="2" t="s">
        <v>109</v>
      </c>
      <c r="E173" s="15">
        <v>4541.6000000000004</v>
      </c>
      <c r="F173" s="36" t="s">
        <v>41</v>
      </c>
      <c r="G173" s="15">
        <v>4541.6000000000004</v>
      </c>
      <c r="H173" s="15">
        <f t="shared" si="3"/>
        <v>0</v>
      </c>
      <c r="I173" s="21"/>
    </row>
    <row r="174" spans="1:9" x14ac:dyDescent="0.25">
      <c r="A174" s="16">
        <v>42738</v>
      </c>
      <c r="B174" s="17" t="s">
        <v>304</v>
      </c>
      <c r="C174" s="18">
        <v>95771</v>
      </c>
      <c r="D174" s="2" t="s">
        <v>305</v>
      </c>
      <c r="E174" s="15">
        <v>2523.9</v>
      </c>
      <c r="F174" s="36" t="s">
        <v>36</v>
      </c>
      <c r="G174" s="15">
        <v>2523.9</v>
      </c>
      <c r="H174" s="15">
        <f t="shared" si="3"/>
        <v>0</v>
      </c>
      <c r="I174" s="21"/>
    </row>
    <row r="175" spans="1:9" x14ac:dyDescent="0.25">
      <c r="A175" s="16">
        <v>42738</v>
      </c>
      <c r="B175" s="17" t="s">
        <v>306</v>
      </c>
      <c r="C175" s="18">
        <v>95772</v>
      </c>
      <c r="D175" s="2" t="s">
        <v>218</v>
      </c>
      <c r="E175" s="15">
        <v>40605.300000000003</v>
      </c>
      <c r="F175" s="36" t="s">
        <v>307</v>
      </c>
      <c r="G175" s="15">
        <v>40605.300000000003</v>
      </c>
      <c r="H175" s="15">
        <f t="shared" si="3"/>
        <v>0</v>
      </c>
      <c r="I175" s="21"/>
    </row>
    <row r="176" spans="1:9" x14ac:dyDescent="0.25">
      <c r="A176" s="16">
        <v>42738</v>
      </c>
      <c r="B176" s="17" t="s">
        <v>308</v>
      </c>
      <c r="C176" s="18">
        <v>95773</v>
      </c>
      <c r="D176" s="2" t="s">
        <v>309</v>
      </c>
      <c r="E176" s="15">
        <v>3880.8</v>
      </c>
      <c r="F176" s="36" t="s">
        <v>41</v>
      </c>
      <c r="G176" s="15">
        <v>3880.8</v>
      </c>
      <c r="H176" s="15">
        <f t="shared" si="3"/>
        <v>0</v>
      </c>
      <c r="I176" s="21"/>
    </row>
    <row r="177" spans="1:9" x14ac:dyDescent="0.25">
      <c r="A177" s="16">
        <v>42738</v>
      </c>
      <c r="B177" s="17" t="s">
        <v>310</v>
      </c>
      <c r="C177" s="18">
        <v>95774</v>
      </c>
      <c r="D177" s="2" t="s">
        <v>222</v>
      </c>
      <c r="E177" s="15">
        <v>78776.479999999996</v>
      </c>
      <c r="F177" s="36" t="s">
        <v>215</v>
      </c>
      <c r="G177" s="15">
        <v>78776.479999999996</v>
      </c>
      <c r="H177" s="15">
        <f t="shared" si="3"/>
        <v>0</v>
      </c>
      <c r="I177" s="21"/>
    </row>
    <row r="178" spans="1:9" x14ac:dyDescent="0.25">
      <c r="A178" s="16">
        <v>42738</v>
      </c>
      <c r="B178" s="17" t="s">
        <v>311</v>
      </c>
      <c r="C178" s="18">
        <v>95775</v>
      </c>
      <c r="D178" s="2" t="s">
        <v>312</v>
      </c>
      <c r="E178" s="15">
        <v>5051.2</v>
      </c>
      <c r="F178" s="36" t="s">
        <v>313</v>
      </c>
      <c r="G178" s="15">
        <v>5051.2</v>
      </c>
      <c r="H178" s="15">
        <f t="shared" si="3"/>
        <v>0</v>
      </c>
      <c r="I178" s="21"/>
    </row>
    <row r="179" spans="1:9" x14ac:dyDescent="0.25">
      <c r="A179" s="16">
        <v>42738</v>
      </c>
      <c r="B179" s="17" t="s">
        <v>314</v>
      </c>
      <c r="C179" s="18">
        <v>95776</v>
      </c>
      <c r="D179" s="2" t="s">
        <v>137</v>
      </c>
      <c r="E179" s="15">
        <v>1622.4</v>
      </c>
      <c r="F179" s="36" t="s">
        <v>41</v>
      </c>
      <c r="G179" s="15">
        <v>1622.4</v>
      </c>
      <c r="H179" s="15">
        <f t="shared" si="3"/>
        <v>0</v>
      </c>
      <c r="I179" s="21"/>
    </row>
    <row r="180" spans="1:9" x14ac:dyDescent="0.25">
      <c r="A180" s="16">
        <v>42738</v>
      </c>
      <c r="B180" s="17" t="s">
        <v>315</v>
      </c>
      <c r="C180" s="18">
        <v>95777</v>
      </c>
      <c r="D180" s="2" t="s">
        <v>316</v>
      </c>
      <c r="E180" s="15">
        <v>32218.68</v>
      </c>
      <c r="F180" s="36" t="s">
        <v>317</v>
      </c>
      <c r="G180" s="15">
        <v>32218.68</v>
      </c>
      <c r="H180" s="15">
        <f t="shared" si="3"/>
        <v>0</v>
      </c>
      <c r="I180" s="21"/>
    </row>
    <row r="181" spans="1:9" x14ac:dyDescent="0.25">
      <c r="A181" s="16">
        <v>42738</v>
      </c>
      <c r="B181" s="17" t="s">
        <v>318</v>
      </c>
      <c r="C181" s="18">
        <v>95778</v>
      </c>
      <c r="D181" s="2" t="s">
        <v>319</v>
      </c>
      <c r="E181" s="15">
        <v>3551</v>
      </c>
      <c r="F181" s="36" t="s">
        <v>36</v>
      </c>
      <c r="G181" s="15">
        <v>3551</v>
      </c>
      <c r="H181" s="15">
        <f t="shared" si="3"/>
        <v>0</v>
      </c>
      <c r="I181" s="21"/>
    </row>
    <row r="182" spans="1:9" x14ac:dyDescent="0.25">
      <c r="A182" s="16">
        <v>42738</v>
      </c>
      <c r="B182" s="17" t="s">
        <v>320</v>
      </c>
      <c r="C182" s="18">
        <v>95779</v>
      </c>
      <c r="D182" s="2" t="s">
        <v>321</v>
      </c>
      <c r="E182" s="15">
        <v>1116.9000000000001</v>
      </c>
      <c r="F182" s="36" t="s">
        <v>41</v>
      </c>
      <c r="G182" s="15">
        <v>1116.9000000000001</v>
      </c>
      <c r="H182" s="15">
        <f t="shared" si="3"/>
        <v>0</v>
      </c>
      <c r="I182" s="21"/>
    </row>
    <row r="183" spans="1:9" x14ac:dyDescent="0.25">
      <c r="A183" s="16">
        <v>42738</v>
      </c>
      <c r="B183" s="17" t="s">
        <v>322</v>
      </c>
      <c r="C183" s="18">
        <v>95780</v>
      </c>
      <c r="D183" s="2" t="s">
        <v>111</v>
      </c>
      <c r="E183" s="15">
        <v>3862.5</v>
      </c>
      <c r="F183" s="36" t="s">
        <v>41</v>
      </c>
      <c r="G183" s="15">
        <v>3862.5</v>
      </c>
      <c r="H183" s="15">
        <f t="shared" si="3"/>
        <v>0</v>
      </c>
      <c r="I183" s="21"/>
    </row>
    <row r="184" spans="1:9" x14ac:dyDescent="0.25">
      <c r="A184" s="16">
        <v>42738</v>
      </c>
      <c r="B184" s="17" t="s">
        <v>323</v>
      </c>
      <c r="C184" s="18">
        <v>95781</v>
      </c>
      <c r="D184" s="2" t="s">
        <v>208</v>
      </c>
      <c r="E184" s="15">
        <v>3107.7</v>
      </c>
      <c r="F184" s="36" t="s">
        <v>41</v>
      </c>
      <c r="G184" s="15">
        <v>3107.7</v>
      </c>
      <c r="H184" s="15">
        <f t="shared" si="3"/>
        <v>0</v>
      </c>
      <c r="I184" s="21"/>
    </row>
    <row r="185" spans="1:9" x14ac:dyDescent="0.25">
      <c r="A185" s="16">
        <v>42738</v>
      </c>
      <c r="B185" s="17" t="s">
        <v>324</v>
      </c>
      <c r="C185" s="18">
        <v>95782</v>
      </c>
      <c r="D185" s="2" t="s">
        <v>184</v>
      </c>
      <c r="E185" s="15">
        <v>3380.1</v>
      </c>
      <c r="F185" s="36" t="s">
        <v>41</v>
      </c>
      <c r="G185" s="15">
        <v>3380.1</v>
      </c>
      <c r="H185" s="15">
        <f t="shared" si="3"/>
        <v>0</v>
      </c>
      <c r="I185" s="21"/>
    </row>
    <row r="186" spans="1:9" x14ac:dyDescent="0.25">
      <c r="A186" s="16">
        <v>42738</v>
      </c>
      <c r="B186" s="17" t="s">
        <v>325</v>
      </c>
      <c r="C186" s="18">
        <v>95783</v>
      </c>
      <c r="D186" s="2" t="s">
        <v>186</v>
      </c>
      <c r="E186" s="15">
        <v>3528.3</v>
      </c>
      <c r="F186" s="36" t="s">
        <v>123</v>
      </c>
      <c r="G186" s="15">
        <v>3528.3</v>
      </c>
      <c r="H186" s="15">
        <f t="shared" si="3"/>
        <v>0</v>
      </c>
      <c r="I186" s="21"/>
    </row>
    <row r="187" spans="1:9" x14ac:dyDescent="0.25">
      <c r="A187" s="16">
        <v>42738</v>
      </c>
      <c r="B187" s="17" t="s">
        <v>326</v>
      </c>
      <c r="C187" s="18">
        <v>95784</v>
      </c>
      <c r="D187" s="2" t="s">
        <v>85</v>
      </c>
      <c r="E187" s="15">
        <v>12283.2</v>
      </c>
      <c r="F187" s="36" t="s">
        <v>41</v>
      </c>
      <c r="G187" s="15">
        <v>12283.2</v>
      </c>
      <c r="H187" s="15">
        <f t="shared" si="3"/>
        <v>0</v>
      </c>
      <c r="I187" s="19"/>
    </row>
    <row r="188" spans="1:9" x14ac:dyDescent="0.25">
      <c r="A188" s="16">
        <v>42738</v>
      </c>
      <c r="B188" s="17" t="s">
        <v>327</v>
      </c>
      <c r="C188" s="18">
        <v>95785</v>
      </c>
      <c r="D188" s="2" t="s">
        <v>45</v>
      </c>
      <c r="E188" s="15">
        <v>2184.5</v>
      </c>
      <c r="F188" s="36" t="s">
        <v>41</v>
      </c>
      <c r="G188" s="15">
        <v>2184.5</v>
      </c>
      <c r="H188" s="15">
        <f t="shared" si="3"/>
        <v>0</v>
      </c>
      <c r="I188" s="21"/>
    </row>
    <row r="189" spans="1:9" x14ac:dyDescent="0.25">
      <c r="A189" s="16">
        <v>42738</v>
      </c>
      <c r="B189" s="17" t="s">
        <v>328</v>
      </c>
      <c r="C189" s="18">
        <v>95786</v>
      </c>
      <c r="D189" s="2" t="s">
        <v>329</v>
      </c>
      <c r="E189" s="15">
        <v>692.4</v>
      </c>
      <c r="F189" s="36" t="s">
        <v>41</v>
      </c>
      <c r="G189" s="15">
        <v>692.4</v>
      </c>
      <c r="H189" s="15">
        <f t="shared" si="3"/>
        <v>0</v>
      </c>
      <c r="I189" s="21"/>
    </row>
    <row r="190" spans="1:9" x14ac:dyDescent="0.25">
      <c r="A190" s="16">
        <v>42738</v>
      </c>
      <c r="B190" s="17" t="s">
        <v>330</v>
      </c>
      <c r="C190" s="18">
        <v>95787</v>
      </c>
      <c r="D190" s="2" t="s">
        <v>331</v>
      </c>
      <c r="E190" s="15">
        <v>4146.8</v>
      </c>
      <c r="F190" s="36" t="s">
        <v>41</v>
      </c>
      <c r="G190" s="15">
        <v>4146.8</v>
      </c>
      <c r="H190" s="15">
        <f t="shared" si="3"/>
        <v>0</v>
      </c>
      <c r="I190" s="21"/>
    </row>
    <row r="191" spans="1:9" x14ac:dyDescent="0.25">
      <c r="A191" s="16">
        <v>42738</v>
      </c>
      <c r="B191" s="17" t="s">
        <v>332</v>
      </c>
      <c r="C191" s="18">
        <v>95788</v>
      </c>
      <c r="D191" s="2" t="s">
        <v>53</v>
      </c>
      <c r="E191" s="15">
        <v>3021</v>
      </c>
      <c r="F191" s="36" t="s">
        <v>36</v>
      </c>
      <c r="G191" s="15">
        <v>3021</v>
      </c>
      <c r="H191" s="15">
        <f t="shared" si="3"/>
        <v>0</v>
      </c>
      <c r="I191" s="21"/>
    </row>
    <row r="192" spans="1:9" x14ac:dyDescent="0.25">
      <c r="A192" s="16">
        <v>42738</v>
      </c>
      <c r="B192" s="17" t="s">
        <v>333</v>
      </c>
      <c r="C192" s="18">
        <v>95789</v>
      </c>
      <c r="D192" s="2" t="s">
        <v>57</v>
      </c>
      <c r="E192" s="15">
        <v>660</v>
      </c>
      <c r="F192" s="36" t="s">
        <v>41</v>
      </c>
      <c r="G192" s="15">
        <v>660</v>
      </c>
      <c r="H192" s="15">
        <f t="shared" si="3"/>
        <v>0</v>
      </c>
      <c r="I192" s="21"/>
    </row>
    <row r="193" spans="1:9" x14ac:dyDescent="0.25">
      <c r="A193" s="16">
        <v>42738</v>
      </c>
      <c r="B193" s="17" t="s">
        <v>334</v>
      </c>
      <c r="C193" s="18">
        <v>95790</v>
      </c>
      <c r="D193" s="2" t="s">
        <v>335</v>
      </c>
      <c r="E193" s="15">
        <v>1807.5</v>
      </c>
      <c r="F193" s="36" t="s">
        <v>336</v>
      </c>
      <c r="G193" s="15">
        <v>1807.5</v>
      </c>
      <c r="H193" s="15">
        <f t="shared" si="3"/>
        <v>0</v>
      </c>
      <c r="I193" s="21"/>
    </row>
    <row r="194" spans="1:9" x14ac:dyDescent="0.25">
      <c r="A194" s="16">
        <v>42738</v>
      </c>
      <c r="B194" s="17" t="s">
        <v>337</v>
      </c>
      <c r="C194" s="18">
        <v>95791</v>
      </c>
      <c r="D194" s="2" t="s">
        <v>188</v>
      </c>
      <c r="E194" s="15">
        <v>2775.6</v>
      </c>
      <c r="F194" s="36" t="s">
        <v>41</v>
      </c>
      <c r="G194" s="15">
        <v>2775.6</v>
      </c>
      <c r="H194" s="15">
        <f t="shared" si="3"/>
        <v>0</v>
      </c>
      <c r="I194" s="21"/>
    </row>
    <row r="195" spans="1:9" x14ac:dyDescent="0.25">
      <c r="A195" s="16">
        <v>42738</v>
      </c>
      <c r="B195" s="17" t="s">
        <v>338</v>
      </c>
      <c r="C195" s="18">
        <v>95792</v>
      </c>
      <c r="D195" s="2" t="s">
        <v>10</v>
      </c>
      <c r="E195" s="15">
        <v>28175.599999999999</v>
      </c>
      <c r="F195" s="36" t="s">
        <v>107</v>
      </c>
      <c r="G195" s="15">
        <v>28175.599999999999</v>
      </c>
      <c r="H195" s="15">
        <f t="shared" si="3"/>
        <v>0</v>
      </c>
      <c r="I195" s="21"/>
    </row>
    <row r="196" spans="1:9" x14ac:dyDescent="0.25">
      <c r="A196" s="16">
        <v>42738</v>
      </c>
      <c r="B196" s="17" t="s">
        <v>339</v>
      </c>
      <c r="C196" s="18">
        <v>95793</v>
      </c>
      <c r="D196" s="2" t="s">
        <v>168</v>
      </c>
      <c r="E196" s="15">
        <v>524.6</v>
      </c>
      <c r="F196" s="36" t="s">
        <v>41</v>
      </c>
      <c r="G196" s="15">
        <v>524.6</v>
      </c>
      <c r="H196" s="15">
        <f t="shared" si="3"/>
        <v>0</v>
      </c>
      <c r="I196" s="21"/>
    </row>
    <row r="197" spans="1:9" x14ac:dyDescent="0.25">
      <c r="A197" s="16">
        <v>42738</v>
      </c>
      <c r="B197" s="17" t="s">
        <v>340</v>
      </c>
      <c r="C197" s="18">
        <v>95794</v>
      </c>
      <c r="D197" s="2" t="s">
        <v>341</v>
      </c>
      <c r="E197" s="15">
        <v>17958.900000000001</v>
      </c>
      <c r="F197" s="36" t="s">
        <v>41</v>
      </c>
      <c r="G197" s="15">
        <v>17958.900000000001</v>
      </c>
      <c r="H197" s="15">
        <f t="shared" si="3"/>
        <v>0</v>
      </c>
      <c r="I197" s="21"/>
    </row>
    <row r="198" spans="1:9" x14ac:dyDescent="0.25">
      <c r="A198" s="16">
        <v>42738</v>
      </c>
      <c r="B198" s="17" t="s">
        <v>342</v>
      </c>
      <c r="C198" s="18">
        <v>95795</v>
      </c>
      <c r="D198" s="13" t="s">
        <v>205</v>
      </c>
      <c r="E198" s="14">
        <v>0</v>
      </c>
      <c r="F198" s="123" t="s">
        <v>95</v>
      </c>
      <c r="G198" s="14">
        <v>0</v>
      </c>
      <c r="H198" s="14">
        <f t="shared" ref="H198:H261" si="4">E198-G198</f>
        <v>0</v>
      </c>
      <c r="I198" s="21"/>
    </row>
    <row r="199" spans="1:9" x14ac:dyDescent="0.25">
      <c r="A199" s="16">
        <v>42738</v>
      </c>
      <c r="B199" s="17" t="s">
        <v>343</v>
      </c>
      <c r="C199" s="18">
        <v>95796</v>
      </c>
      <c r="D199" s="2" t="s">
        <v>205</v>
      </c>
      <c r="E199" s="15">
        <v>24712</v>
      </c>
      <c r="F199" s="36" t="s">
        <v>173</v>
      </c>
      <c r="G199" s="15">
        <v>24712</v>
      </c>
      <c r="H199" s="15">
        <f t="shared" si="4"/>
        <v>0</v>
      </c>
      <c r="I199" s="21"/>
    </row>
    <row r="200" spans="1:9" x14ac:dyDescent="0.25">
      <c r="A200" s="16">
        <v>42738</v>
      </c>
      <c r="B200" s="17" t="s">
        <v>344</v>
      </c>
      <c r="C200" s="18">
        <v>95797</v>
      </c>
      <c r="D200" s="2" t="s">
        <v>302</v>
      </c>
      <c r="E200" s="15">
        <v>4422</v>
      </c>
      <c r="F200" s="36" t="s">
        <v>41</v>
      </c>
      <c r="G200" s="15">
        <v>4422</v>
      </c>
      <c r="H200" s="15">
        <f t="shared" si="4"/>
        <v>0</v>
      </c>
      <c r="I200" s="21"/>
    </row>
    <row r="201" spans="1:9" x14ac:dyDescent="0.25">
      <c r="A201" s="16">
        <v>42738</v>
      </c>
      <c r="B201" s="17" t="s">
        <v>345</v>
      </c>
      <c r="C201" s="18">
        <v>95798</v>
      </c>
      <c r="D201" s="2" t="s">
        <v>12</v>
      </c>
      <c r="E201" s="15">
        <v>1652.4</v>
      </c>
      <c r="F201" s="36" t="s">
        <v>41</v>
      </c>
      <c r="G201" s="15">
        <v>1652.4</v>
      </c>
      <c r="H201" s="15">
        <f t="shared" si="4"/>
        <v>0</v>
      </c>
      <c r="I201" s="21"/>
    </row>
    <row r="202" spans="1:9" x14ac:dyDescent="0.25">
      <c r="A202" s="16">
        <v>42738</v>
      </c>
      <c r="B202" s="17" t="s">
        <v>346</v>
      </c>
      <c r="C202" s="18">
        <v>95799</v>
      </c>
      <c r="D202" s="2" t="s">
        <v>193</v>
      </c>
      <c r="E202" s="15">
        <v>2111.4</v>
      </c>
      <c r="F202" s="36" t="s">
        <v>41</v>
      </c>
      <c r="G202" s="15">
        <v>2111.4</v>
      </c>
      <c r="H202" s="15">
        <f t="shared" si="4"/>
        <v>0</v>
      </c>
      <c r="I202" s="21"/>
    </row>
    <row r="203" spans="1:9" x14ac:dyDescent="0.25">
      <c r="A203" s="16">
        <v>42738</v>
      </c>
      <c r="B203" s="17" t="s">
        <v>347</v>
      </c>
      <c r="C203" s="18">
        <v>95800</v>
      </c>
      <c r="D203" s="2" t="s">
        <v>182</v>
      </c>
      <c r="E203" s="15">
        <v>2750</v>
      </c>
      <c r="F203" s="36" t="s">
        <v>41</v>
      </c>
      <c r="G203" s="15">
        <v>2750</v>
      </c>
      <c r="H203" s="15">
        <f t="shared" si="4"/>
        <v>0</v>
      </c>
      <c r="I203" s="21"/>
    </row>
    <row r="204" spans="1:9" x14ac:dyDescent="0.25">
      <c r="A204" s="16">
        <v>42738</v>
      </c>
      <c r="B204" s="17" t="s">
        <v>348</v>
      </c>
      <c r="C204" s="18">
        <v>95801</v>
      </c>
      <c r="D204" s="2" t="s">
        <v>349</v>
      </c>
      <c r="E204" s="15">
        <v>13025.4</v>
      </c>
      <c r="F204" s="36" t="s">
        <v>41</v>
      </c>
      <c r="G204" s="15">
        <v>13025.4</v>
      </c>
      <c r="H204" s="15">
        <f t="shared" si="4"/>
        <v>0</v>
      </c>
      <c r="I204" s="21"/>
    </row>
    <row r="205" spans="1:9" x14ac:dyDescent="0.25">
      <c r="A205" s="16">
        <v>42738</v>
      </c>
      <c r="B205" s="17" t="s">
        <v>350</v>
      </c>
      <c r="C205" s="18">
        <v>95802</v>
      </c>
      <c r="D205" s="2" t="s">
        <v>103</v>
      </c>
      <c r="E205" s="15">
        <v>3408.6</v>
      </c>
      <c r="F205" s="36" t="s">
        <v>33</v>
      </c>
      <c r="G205" s="15">
        <v>3408.6</v>
      </c>
      <c r="H205" s="15">
        <f t="shared" si="4"/>
        <v>0</v>
      </c>
      <c r="I205" s="21"/>
    </row>
    <row r="206" spans="1:9" x14ac:dyDescent="0.25">
      <c r="A206" s="16">
        <v>42738</v>
      </c>
      <c r="B206" s="17" t="s">
        <v>351</v>
      </c>
      <c r="C206" s="18">
        <v>95803</v>
      </c>
      <c r="D206" s="2" t="s">
        <v>352</v>
      </c>
      <c r="E206" s="15">
        <v>3494.4</v>
      </c>
      <c r="F206" s="36" t="s">
        <v>41</v>
      </c>
      <c r="G206" s="15">
        <v>3494.4</v>
      </c>
      <c r="H206" s="15">
        <f t="shared" si="4"/>
        <v>0</v>
      </c>
      <c r="I206" s="21"/>
    </row>
    <row r="207" spans="1:9" x14ac:dyDescent="0.25">
      <c r="A207" s="16">
        <v>42738</v>
      </c>
      <c r="B207" s="17" t="s">
        <v>353</v>
      </c>
      <c r="C207" s="18">
        <v>95804</v>
      </c>
      <c r="D207" s="2" t="s">
        <v>354</v>
      </c>
      <c r="E207" s="15">
        <v>1950.4</v>
      </c>
      <c r="F207" s="36" t="s">
        <v>41</v>
      </c>
      <c r="G207" s="15">
        <v>1950.4</v>
      </c>
      <c r="H207" s="15">
        <f t="shared" si="4"/>
        <v>0</v>
      </c>
      <c r="I207" s="21"/>
    </row>
    <row r="208" spans="1:9" x14ac:dyDescent="0.25">
      <c r="A208" s="16">
        <v>42738</v>
      </c>
      <c r="B208" s="17" t="s">
        <v>355</v>
      </c>
      <c r="C208" s="18">
        <v>95805</v>
      </c>
      <c r="D208" s="2" t="s">
        <v>356</v>
      </c>
      <c r="E208" s="15">
        <v>12209.4</v>
      </c>
      <c r="F208" s="36" t="s">
        <v>33</v>
      </c>
      <c r="G208" s="15">
        <v>12209.4</v>
      </c>
      <c r="H208" s="15">
        <f t="shared" si="4"/>
        <v>0</v>
      </c>
      <c r="I208" s="21"/>
    </row>
    <row r="209" spans="1:9" x14ac:dyDescent="0.25">
      <c r="A209" s="16">
        <v>42738</v>
      </c>
      <c r="B209" s="17" t="s">
        <v>357</v>
      </c>
      <c r="C209" s="18">
        <v>95806</v>
      </c>
      <c r="D209" s="2" t="s">
        <v>358</v>
      </c>
      <c r="E209" s="15">
        <v>33180.81</v>
      </c>
      <c r="F209" s="36" t="s">
        <v>33</v>
      </c>
      <c r="G209" s="15">
        <v>33180.81</v>
      </c>
      <c r="H209" s="15">
        <f t="shared" si="4"/>
        <v>0</v>
      </c>
      <c r="I209" s="21"/>
    </row>
    <row r="210" spans="1:9" x14ac:dyDescent="0.25">
      <c r="A210" s="16">
        <v>42738</v>
      </c>
      <c r="B210" s="17" t="s">
        <v>359</v>
      </c>
      <c r="C210" s="18">
        <v>95807</v>
      </c>
      <c r="D210" s="2" t="s">
        <v>360</v>
      </c>
      <c r="E210" s="15">
        <v>12906</v>
      </c>
      <c r="F210" s="36" t="s">
        <v>361</v>
      </c>
      <c r="G210" s="15">
        <v>12906</v>
      </c>
      <c r="H210" s="15">
        <f t="shared" si="4"/>
        <v>0</v>
      </c>
      <c r="I210" s="21"/>
    </row>
    <row r="211" spans="1:9" x14ac:dyDescent="0.25">
      <c r="A211" s="16">
        <v>42738</v>
      </c>
      <c r="B211" s="17" t="s">
        <v>362</v>
      </c>
      <c r="C211" s="18">
        <v>95808</v>
      </c>
      <c r="D211" s="2" t="s">
        <v>133</v>
      </c>
      <c r="E211" s="15">
        <v>4600</v>
      </c>
      <c r="F211" s="36" t="s">
        <v>107</v>
      </c>
      <c r="G211" s="15">
        <v>4600</v>
      </c>
      <c r="H211" s="15">
        <f t="shared" si="4"/>
        <v>0</v>
      </c>
      <c r="I211" s="21"/>
    </row>
    <row r="212" spans="1:9" x14ac:dyDescent="0.25">
      <c r="A212" s="16">
        <v>42738</v>
      </c>
      <c r="B212" s="17" t="s">
        <v>363</v>
      </c>
      <c r="C212" s="18">
        <v>95809</v>
      </c>
      <c r="D212" s="13" t="s">
        <v>222</v>
      </c>
      <c r="E212" s="14">
        <v>0</v>
      </c>
      <c r="F212" s="123" t="s">
        <v>95</v>
      </c>
      <c r="G212" s="14">
        <v>0</v>
      </c>
      <c r="H212" s="14">
        <f t="shared" si="4"/>
        <v>0</v>
      </c>
      <c r="I212" s="21"/>
    </row>
    <row r="213" spans="1:9" x14ac:dyDescent="0.25">
      <c r="A213" s="16">
        <v>42738</v>
      </c>
      <c r="B213" s="17" t="s">
        <v>364</v>
      </c>
      <c r="C213" s="18">
        <v>95810</v>
      </c>
      <c r="D213" s="2" t="s">
        <v>211</v>
      </c>
      <c r="E213" s="15">
        <v>8571.4</v>
      </c>
      <c r="F213" s="36" t="s">
        <v>41</v>
      </c>
      <c r="G213" s="15">
        <v>8571.4</v>
      </c>
      <c r="H213" s="15">
        <f t="shared" si="4"/>
        <v>0</v>
      </c>
      <c r="I213" s="21"/>
    </row>
    <row r="214" spans="1:9" x14ac:dyDescent="0.25">
      <c r="A214" s="16">
        <v>42738</v>
      </c>
      <c r="B214" s="17" t="s">
        <v>365</v>
      </c>
      <c r="C214" s="18">
        <v>95811</v>
      </c>
      <c r="D214" s="2" t="s">
        <v>10</v>
      </c>
      <c r="E214" s="15">
        <v>29774.799999999999</v>
      </c>
      <c r="F214" s="36" t="s">
        <v>107</v>
      </c>
      <c r="G214" s="15">
        <v>29774.799999999999</v>
      </c>
      <c r="H214" s="15">
        <f t="shared" si="4"/>
        <v>0</v>
      </c>
      <c r="I214" s="21"/>
    </row>
    <row r="215" spans="1:9" x14ac:dyDescent="0.25">
      <c r="A215" s="16">
        <v>42738</v>
      </c>
      <c r="B215" s="17" t="s">
        <v>366</v>
      </c>
      <c r="C215" s="18">
        <v>95812</v>
      </c>
      <c r="D215" s="2" t="s">
        <v>367</v>
      </c>
      <c r="E215" s="15">
        <v>2250</v>
      </c>
      <c r="F215" s="36" t="s">
        <v>41</v>
      </c>
      <c r="G215" s="15">
        <v>2250</v>
      </c>
      <c r="H215" s="15">
        <f t="shared" si="4"/>
        <v>0</v>
      </c>
      <c r="I215" s="21"/>
    </row>
    <row r="216" spans="1:9" x14ac:dyDescent="0.25">
      <c r="A216" s="16">
        <v>42738</v>
      </c>
      <c r="B216" s="17" t="s">
        <v>368</v>
      </c>
      <c r="C216" s="18">
        <v>95813</v>
      </c>
      <c r="D216" s="2" t="s">
        <v>220</v>
      </c>
      <c r="E216" s="15">
        <v>1705.1</v>
      </c>
      <c r="F216" s="36" t="s">
        <v>41</v>
      </c>
      <c r="G216" s="15">
        <v>1705.1</v>
      </c>
      <c r="H216" s="15">
        <f t="shared" si="4"/>
        <v>0</v>
      </c>
      <c r="I216" s="21"/>
    </row>
    <row r="217" spans="1:9" x14ac:dyDescent="0.25">
      <c r="A217" s="16">
        <v>42738</v>
      </c>
      <c r="B217" s="17" t="s">
        <v>369</v>
      </c>
      <c r="C217" s="18">
        <v>95814</v>
      </c>
      <c r="D217" s="2" t="s">
        <v>370</v>
      </c>
      <c r="E217" s="15">
        <v>2779.1</v>
      </c>
      <c r="F217" s="36" t="s">
        <v>41</v>
      </c>
      <c r="G217" s="15">
        <v>2779.1</v>
      </c>
      <c r="H217" s="15">
        <f t="shared" si="4"/>
        <v>0</v>
      </c>
      <c r="I217" s="21"/>
    </row>
    <row r="218" spans="1:9" x14ac:dyDescent="0.25">
      <c r="A218" s="16">
        <v>42739</v>
      </c>
      <c r="B218" s="17" t="s">
        <v>371</v>
      </c>
      <c r="C218" s="18">
        <v>95815</v>
      </c>
      <c r="D218" s="2" t="s">
        <v>231</v>
      </c>
      <c r="E218" s="15">
        <v>8745.2000000000007</v>
      </c>
      <c r="F218" s="36" t="s">
        <v>33</v>
      </c>
      <c r="G218" s="15">
        <v>8745.2000000000007</v>
      </c>
      <c r="H218" s="15">
        <f t="shared" si="4"/>
        <v>0</v>
      </c>
      <c r="I218" s="21"/>
    </row>
    <row r="219" spans="1:9" x14ac:dyDescent="0.25">
      <c r="A219" s="16">
        <v>42739</v>
      </c>
      <c r="B219" s="17" t="s">
        <v>372</v>
      </c>
      <c r="C219" s="18">
        <v>95816</v>
      </c>
      <c r="D219" s="2" t="s">
        <v>231</v>
      </c>
      <c r="E219" s="15">
        <v>40928.400000000001</v>
      </c>
      <c r="F219" s="36" t="s">
        <v>33</v>
      </c>
      <c r="G219" s="15">
        <v>40928.400000000001</v>
      </c>
      <c r="H219" s="15">
        <f t="shared" si="4"/>
        <v>0</v>
      </c>
      <c r="I219" s="21"/>
    </row>
    <row r="220" spans="1:9" x14ac:dyDescent="0.25">
      <c r="A220" s="16">
        <v>42739</v>
      </c>
      <c r="B220" s="17" t="s">
        <v>373</v>
      </c>
      <c r="C220" s="18">
        <v>95817</v>
      </c>
      <c r="D220" s="2" t="s">
        <v>374</v>
      </c>
      <c r="E220" s="15">
        <v>2108.4</v>
      </c>
      <c r="F220" s="36" t="s">
        <v>36</v>
      </c>
      <c r="G220" s="15">
        <v>2108.4</v>
      </c>
      <c r="H220" s="15">
        <f t="shared" si="4"/>
        <v>0</v>
      </c>
      <c r="I220" s="21"/>
    </row>
    <row r="221" spans="1:9" x14ac:dyDescent="0.25">
      <c r="A221" s="16">
        <v>42739</v>
      </c>
      <c r="B221" s="17" t="s">
        <v>375</v>
      </c>
      <c r="C221" s="18">
        <v>95818</v>
      </c>
      <c r="D221" s="2" t="s">
        <v>374</v>
      </c>
      <c r="E221" s="15">
        <v>3900</v>
      </c>
      <c r="F221" s="36" t="s">
        <v>36</v>
      </c>
      <c r="G221" s="15">
        <v>3900</v>
      </c>
      <c r="H221" s="15">
        <f t="shared" si="4"/>
        <v>0</v>
      </c>
      <c r="I221" s="21"/>
    </row>
    <row r="222" spans="1:9" x14ac:dyDescent="0.25">
      <c r="A222" s="16">
        <v>42739</v>
      </c>
      <c r="B222" s="17" t="s">
        <v>376</v>
      </c>
      <c r="C222" s="18">
        <v>95819</v>
      </c>
      <c r="D222" s="2" t="s">
        <v>377</v>
      </c>
      <c r="E222" s="15">
        <v>12500.1</v>
      </c>
      <c r="F222" s="36" t="s">
        <v>36</v>
      </c>
      <c r="G222" s="15">
        <v>12500.1</v>
      </c>
      <c r="H222" s="15">
        <f t="shared" si="4"/>
        <v>0</v>
      </c>
      <c r="I222" s="21"/>
    </row>
    <row r="223" spans="1:9" x14ac:dyDescent="0.25">
      <c r="A223" s="16">
        <v>42739</v>
      </c>
      <c r="B223" s="17" t="s">
        <v>378</v>
      </c>
      <c r="C223" s="18">
        <v>95820</v>
      </c>
      <c r="D223" s="2" t="s">
        <v>379</v>
      </c>
      <c r="E223" s="15">
        <v>249.6</v>
      </c>
      <c r="F223" s="36" t="s">
        <v>36</v>
      </c>
      <c r="G223" s="15">
        <v>249.6</v>
      </c>
      <c r="H223" s="15">
        <f t="shared" si="4"/>
        <v>0</v>
      </c>
      <c r="I223" s="21"/>
    </row>
    <row r="224" spans="1:9" x14ac:dyDescent="0.25">
      <c r="A224" s="16">
        <v>42739</v>
      </c>
      <c r="B224" s="17" t="s">
        <v>380</v>
      </c>
      <c r="C224" s="18">
        <v>95821</v>
      </c>
      <c r="D224" s="2" t="s">
        <v>30</v>
      </c>
      <c r="E224" s="15">
        <v>3198.7</v>
      </c>
      <c r="F224" s="36" t="s">
        <v>36</v>
      </c>
      <c r="G224" s="15">
        <v>3198.7</v>
      </c>
      <c r="H224" s="15">
        <f t="shared" si="4"/>
        <v>0</v>
      </c>
      <c r="I224" s="21"/>
    </row>
    <row r="225" spans="1:9" x14ac:dyDescent="0.25">
      <c r="A225" s="16">
        <v>42739</v>
      </c>
      <c r="B225" s="17" t="s">
        <v>381</v>
      </c>
      <c r="C225" s="18">
        <v>95822</v>
      </c>
      <c r="D225" s="2" t="s">
        <v>17</v>
      </c>
      <c r="E225" s="15">
        <v>2475</v>
      </c>
      <c r="F225" s="36" t="s">
        <v>33</v>
      </c>
      <c r="G225" s="15">
        <v>2475</v>
      </c>
      <c r="H225" s="15">
        <f t="shared" si="4"/>
        <v>0</v>
      </c>
      <c r="I225" s="21"/>
    </row>
    <row r="226" spans="1:9" x14ac:dyDescent="0.25">
      <c r="A226" s="16">
        <v>42739</v>
      </c>
      <c r="B226" s="17" t="s">
        <v>382</v>
      </c>
      <c r="C226" s="18">
        <v>95823</v>
      </c>
      <c r="D226" s="2" t="s">
        <v>19</v>
      </c>
      <c r="E226" s="15">
        <v>1650</v>
      </c>
      <c r="F226" s="36" t="s">
        <v>33</v>
      </c>
      <c r="G226" s="15">
        <v>1650</v>
      </c>
      <c r="H226" s="15">
        <f t="shared" si="4"/>
        <v>0</v>
      </c>
      <c r="I226" s="21"/>
    </row>
    <row r="227" spans="1:9" x14ac:dyDescent="0.25">
      <c r="A227" s="16">
        <v>42739</v>
      </c>
      <c r="B227" s="17" t="s">
        <v>383</v>
      </c>
      <c r="C227" s="18">
        <v>95824</v>
      </c>
      <c r="D227" s="2" t="s">
        <v>30</v>
      </c>
      <c r="E227" s="15">
        <v>5436.6</v>
      </c>
      <c r="F227" s="36" t="s">
        <v>36</v>
      </c>
      <c r="G227" s="15">
        <v>5436.6</v>
      </c>
      <c r="H227" s="15">
        <f t="shared" si="4"/>
        <v>0</v>
      </c>
      <c r="I227" s="21"/>
    </row>
    <row r="228" spans="1:9" x14ac:dyDescent="0.25">
      <c r="A228" s="16">
        <v>42739</v>
      </c>
      <c r="B228" s="17" t="s">
        <v>384</v>
      </c>
      <c r="C228" s="18">
        <v>95825</v>
      </c>
      <c r="D228" s="2" t="s">
        <v>26</v>
      </c>
      <c r="E228" s="15">
        <v>28939</v>
      </c>
      <c r="F228" s="36" t="s">
        <v>36</v>
      </c>
      <c r="G228" s="15">
        <v>28939</v>
      </c>
      <c r="H228" s="15">
        <f t="shared" si="4"/>
        <v>0</v>
      </c>
      <c r="I228" s="21"/>
    </row>
    <row r="229" spans="1:9" x14ac:dyDescent="0.25">
      <c r="A229" s="16">
        <v>42739</v>
      </c>
      <c r="B229" s="17" t="s">
        <v>385</v>
      </c>
      <c r="C229" s="18">
        <v>95826</v>
      </c>
      <c r="D229" s="2" t="s">
        <v>386</v>
      </c>
      <c r="E229" s="15">
        <v>3423.5</v>
      </c>
      <c r="F229" s="36" t="s">
        <v>36</v>
      </c>
      <c r="G229" s="15">
        <v>3423.5</v>
      </c>
      <c r="H229" s="15">
        <f t="shared" si="4"/>
        <v>0</v>
      </c>
      <c r="I229" s="21"/>
    </row>
    <row r="230" spans="1:9" x14ac:dyDescent="0.25">
      <c r="A230" s="16">
        <v>42739</v>
      </c>
      <c r="B230" s="17" t="s">
        <v>387</v>
      </c>
      <c r="C230" s="18">
        <v>95827</v>
      </c>
      <c r="D230" s="2" t="s">
        <v>28</v>
      </c>
      <c r="E230" s="15">
        <v>5709.6</v>
      </c>
      <c r="F230" s="36" t="s">
        <v>36</v>
      </c>
      <c r="G230" s="15">
        <v>5709.6</v>
      </c>
      <c r="H230" s="15">
        <f t="shared" si="4"/>
        <v>0</v>
      </c>
      <c r="I230" s="21"/>
    </row>
    <row r="231" spans="1:9" x14ac:dyDescent="0.25">
      <c r="A231" s="16">
        <v>42739</v>
      </c>
      <c r="B231" s="17" t="s">
        <v>388</v>
      </c>
      <c r="C231" s="18">
        <v>95828</v>
      </c>
      <c r="D231" s="2" t="s">
        <v>30</v>
      </c>
      <c r="E231" s="15">
        <v>153.4</v>
      </c>
      <c r="F231" s="36" t="s">
        <v>36</v>
      </c>
      <c r="G231" s="15">
        <v>153.4</v>
      </c>
      <c r="H231" s="15">
        <f t="shared" si="4"/>
        <v>0</v>
      </c>
      <c r="I231" s="21"/>
    </row>
    <row r="232" spans="1:9" x14ac:dyDescent="0.25">
      <c r="A232" s="16">
        <v>42739</v>
      </c>
      <c r="B232" s="17" t="s">
        <v>389</v>
      </c>
      <c r="C232" s="18">
        <v>95829</v>
      </c>
      <c r="D232" s="13" t="s">
        <v>69</v>
      </c>
      <c r="E232" s="14">
        <v>0</v>
      </c>
      <c r="F232" s="123" t="s">
        <v>95</v>
      </c>
      <c r="G232" s="14">
        <v>0</v>
      </c>
      <c r="H232" s="14">
        <f t="shared" si="4"/>
        <v>0</v>
      </c>
      <c r="I232" s="21"/>
    </row>
    <row r="233" spans="1:9" x14ac:dyDescent="0.25">
      <c r="A233" s="16">
        <v>42739</v>
      </c>
      <c r="B233" s="17" t="s">
        <v>390</v>
      </c>
      <c r="C233" s="18">
        <v>95830</v>
      </c>
      <c r="D233" s="2" t="s">
        <v>69</v>
      </c>
      <c r="E233" s="15">
        <v>4573.5</v>
      </c>
      <c r="F233" s="36" t="s">
        <v>36</v>
      </c>
      <c r="G233" s="15">
        <v>4573.5</v>
      </c>
      <c r="H233" s="15">
        <f t="shared" si="4"/>
        <v>0</v>
      </c>
      <c r="I233" s="21"/>
    </row>
    <row r="234" spans="1:9" x14ac:dyDescent="0.25">
      <c r="A234" s="16">
        <v>42739</v>
      </c>
      <c r="B234" s="17" t="s">
        <v>391</v>
      </c>
      <c r="C234" s="18">
        <v>95831</v>
      </c>
      <c r="D234" s="2" t="s">
        <v>59</v>
      </c>
      <c r="E234" s="15">
        <v>3738.2</v>
      </c>
      <c r="F234" s="36" t="s">
        <v>307</v>
      </c>
      <c r="G234" s="15">
        <v>3738.2</v>
      </c>
      <c r="H234" s="15">
        <f t="shared" si="4"/>
        <v>0</v>
      </c>
      <c r="I234" s="21"/>
    </row>
    <row r="235" spans="1:9" x14ac:dyDescent="0.25">
      <c r="A235" s="16">
        <v>42739</v>
      </c>
      <c r="B235" s="17" t="s">
        <v>392</v>
      </c>
      <c r="C235" s="18">
        <v>95832</v>
      </c>
      <c r="D235" s="2" t="s">
        <v>35</v>
      </c>
      <c r="E235" s="15">
        <v>15337.75</v>
      </c>
      <c r="F235" s="124" t="s">
        <v>393</v>
      </c>
      <c r="G235" s="20">
        <f>10000+5337.75</f>
        <v>15337.75</v>
      </c>
      <c r="H235" s="20">
        <f t="shared" si="4"/>
        <v>0</v>
      </c>
      <c r="I235" s="21"/>
    </row>
    <row r="236" spans="1:9" x14ac:dyDescent="0.25">
      <c r="A236" s="16">
        <v>42739</v>
      </c>
      <c r="B236" s="17" t="s">
        <v>394</v>
      </c>
      <c r="C236" s="18">
        <v>95833</v>
      </c>
      <c r="D236" s="2" t="s">
        <v>47</v>
      </c>
      <c r="E236" s="15">
        <v>3587.1</v>
      </c>
      <c r="F236" s="36" t="s">
        <v>36</v>
      </c>
      <c r="G236" s="15">
        <v>3587.1</v>
      </c>
      <c r="H236" s="15">
        <f t="shared" si="4"/>
        <v>0</v>
      </c>
      <c r="I236" s="21"/>
    </row>
    <row r="237" spans="1:9" x14ac:dyDescent="0.25">
      <c r="A237" s="16">
        <v>42739</v>
      </c>
      <c r="B237" s="17" t="s">
        <v>395</v>
      </c>
      <c r="C237" s="18">
        <v>95834</v>
      </c>
      <c r="D237" s="2" t="s">
        <v>40</v>
      </c>
      <c r="E237" s="15">
        <v>4074.9</v>
      </c>
      <c r="F237" s="36" t="s">
        <v>123</v>
      </c>
      <c r="G237" s="15">
        <v>4074.9</v>
      </c>
      <c r="H237" s="15">
        <f t="shared" si="4"/>
        <v>0</v>
      </c>
      <c r="I237" s="21"/>
    </row>
    <row r="238" spans="1:9" x14ac:dyDescent="0.25">
      <c r="A238" s="16">
        <v>42739</v>
      </c>
      <c r="B238" s="17" t="s">
        <v>396</v>
      </c>
      <c r="C238" s="18">
        <v>95835</v>
      </c>
      <c r="D238" s="2" t="s">
        <v>250</v>
      </c>
      <c r="E238" s="15">
        <v>4173.6000000000004</v>
      </c>
      <c r="F238" s="36" t="s">
        <v>33</v>
      </c>
      <c r="G238" s="15">
        <v>4173.6000000000004</v>
      </c>
      <c r="H238" s="15">
        <f t="shared" si="4"/>
        <v>0</v>
      </c>
      <c r="I238" s="21"/>
    </row>
    <row r="239" spans="1:9" x14ac:dyDescent="0.25">
      <c r="A239" s="16">
        <v>42739</v>
      </c>
      <c r="B239" s="17" t="s">
        <v>397</v>
      </c>
      <c r="C239" s="18">
        <v>95836</v>
      </c>
      <c r="D239" s="2" t="s">
        <v>51</v>
      </c>
      <c r="E239" s="15">
        <v>3990.3</v>
      </c>
      <c r="F239" s="124" t="s">
        <v>398</v>
      </c>
      <c r="G239" s="20">
        <f>2000+1990.3</f>
        <v>3990.3</v>
      </c>
      <c r="H239" s="20">
        <f t="shared" si="4"/>
        <v>0</v>
      </c>
      <c r="I239" s="21"/>
    </row>
    <row r="240" spans="1:9" x14ac:dyDescent="0.25">
      <c r="A240" s="16">
        <v>42739</v>
      </c>
      <c r="B240" s="17" t="s">
        <v>399</v>
      </c>
      <c r="C240" s="18">
        <v>95837</v>
      </c>
      <c r="D240" s="2" t="s">
        <v>38</v>
      </c>
      <c r="E240" s="15">
        <v>3268.8</v>
      </c>
      <c r="F240" s="36" t="s">
        <v>107</v>
      </c>
      <c r="G240" s="15">
        <v>3268.8</v>
      </c>
      <c r="H240" s="15">
        <f t="shared" si="4"/>
        <v>0</v>
      </c>
      <c r="I240" s="21"/>
    </row>
    <row r="241" spans="1:9" x14ac:dyDescent="0.25">
      <c r="A241" s="16">
        <v>42739</v>
      </c>
      <c r="B241" s="17" t="s">
        <v>400</v>
      </c>
      <c r="C241" s="18">
        <v>95838</v>
      </c>
      <c r="D241" s="2" t="s">
        <v>32</v>
      </c>
      <c r="E241" s="15">
        <v>3372.5</v>
      </c>
      <c r="F241" s="36" t="s">
        <v>107</v>
      </c>
      <c r="G241" s="15">
        <v>3372.5</v>
      </c>
      <c r="H241" s="15">
        <f t="shared" si="4"/>
        <v>0</v>
      </c>
      <c r="I241" s="21"/>
    </row>
    <row r="242" spans="1:9" x14ac:dyDescent="0.25">
      <c r="A242" s="16">
        <v>42739</v>
      </c>
      <c r="B242" s="17" t="s">
        <v>401</v>
      </c>
      <c r="C242" s="18">
        <v>95839</v>
      </c>
      <c r="D242" s="2" t="s">
        <v>253</v>
      </c>
      <c r="E242" s="15">
        <v>8046.4</v>
      </c>
      <c r="F242" s="36" t="s">
        <v>123</v>
      </c>
      <c r="G242" s="15">
        <v>8046.4</v>
      </c>
      <c r="H242" s="15">
        <f t="shared" si="4"/>
        <v>0</v>
      </c>
      <c r="I242" s="21"/>
    </row>
    <row r="243" spans="1:9" x14ac:dyDescent="0.25">
      <c r="A243" s="16">
        <v>42739</v>
      </c>
      <c r="B243" s="17" t="s">
        <v>402</v>
      </c>
      <c r="C243" s="18">
        <v>95840</v>
      </c>
      <c r="D243" s="2" t="s">
        <v>157</v>
      </c>
      <c r="E243" s="15">
        <v>36946.9</v>
      </c>
      <c r="F243" s="36" t="s">
        <v>36</v>
      </c>
      <c r="G243" s="15">
        <v>36946.9</v>
      </c>
      <c r="H243" s="15">
        <f t="shared" si="4"/>
        <v>0</v>
      </c>
      <c r="I243" s="21"/>
    </row>
    <row r="244" spans="1:9" x14ac:dyDescent="0.25">
      <c r="A244" s="16">
        <v>42739</v>
      </c>
      <c r="B244" s="17" t="s">
        <v>403</v>
      </c>
      <c r="C244" s="18">
        <v>95841</v>
      </c>
      <c r="D244" s="2" t="s">
        <v>49</v>
      </c>
      <c r="E244" s="15">
        <v>15796.7</v>
      </c>
      <c r="F244" s="36" t="s">
        <v>123</v>
      </c>
      <c r="G244" s="15">
        <v>15796.7</v>
      </c>
      <c r="H244" s="15">
        <f t="shared" si="4"/>
        <v>0</v>
      </c>
      <c r="I244" s="21"/>
    </row>
    <row r="245" spans="1:9" x14ac:dyDescent="0.25">
      <c r="A245" s="16">
        <v>42739</v>
      </c>
      <c r="B245" s="17" t="s">
        <v>404</v>
      </c>
      <c r="C245" s="18">
        <v>95842</v>
      </c>
      <c r="D245" s="2" t="s">
        <v>405</v>
      </c>
      <c r="E245" s="15">
        <v>1334.76</v>
      </c>
      <c r="F245" s="36" t="s">
        <v>36</v>
      </c>
      <c r="G245" s="15">
        <v>1334.76</v>
      </c>
      <c r="H245" s="15">
        <f t="shared" si="4"/>
        <v>0</v>
      </c>
      <c r="I245" s="21"/>
    </row>
    <row r="246" spans="1:9" x14ac:dyDescent="0.25">
      <c r="A246" s="16">
        <v>42739</v>
      </c>
      <c r="B246" s="17" t="s">
        <v>406</v>
      </c>
      <c r="C246" s="18">
        <v>95843</v>
      </c>
      <c r="D246" s="2" t="s">
        <v>85</v>
      </c>
      <c r="E246" s="15">
        <v>31104</v>
      </c>
      <c r="F246" s="124" t="s">
        <v>407</v>
      </c>
      <c r="G246" s="20">
        <f>20000+11104</f>
        <v>31104</v>
      </c>
      <c r="H246" s="20">
        <f t="shared" si="4"/>
        <v>0</v>
      </c>
      <c r="I246" s="21"/>
    </row>
    <row r="247" spans="1:9" x14ac:dyDescent="0.25">
      <c r="A247" s="16">
        <v>42739</v>
      </c>
      <c r="B247" s="17" t="s">
        <v>408</v>
      </c>
      <c r="C247" s="18">
        <v>95844</v>
      </c>
      <c r="D247" s="2" t="s">
        <v>409</v>
      </c>
      <c r="E247" s="15">
        <v>7823.4</v>
      </c>
      <c r="F247" s="36" t="s">
        <v>33</v>
      </c>
      <c r="G247" s="15">
        <v>7823.4</v>
      </c>
      <c r="H247" s="15">
        <f t="shared" si="4"/>
        <v>0</v>
      </c>
      <c r="I247" s="21"/>
    </row>
    <row r="248" spans="1:9" x14ac:dyDescent="0.25">
      <c r="A248" s="16">
        <v>42739</v>
      </c>
      <c r="B248" s="17" t="s">
        <v>410</v>
      </c>
      <c r="C248" s="18">
        <v>95845</v>
      </c>
      <c r="D248" s="2" t="s">
        <v>289</v>
      </c>
      <c r="E248" s="15">
        <v>36932.800000000003</v>
      </c>
      <c r="F248" s="36" t="s">
        <v>126</v>
      </c>
      <c r="G248" s="15">
        <v>36932.800000000003</v>
      </c>
      <c r="H248" s="15">
        <f t="shared" si="4"/>
        <v>0</v>
      </c>
      <c r="I248" s="21"/>
    </row>
    <row r="249" spans="1:9" x14ac:dyDescent="0.25">
      <c r="A249" s="16">
        <v>42739</v>
      </c>
      <c r="B249" s="17" t="s">
        <v>411</v>
      </c>
      <c r="C249" s="18">
        <v>95846</v>
      </c>
      <c r="D249" s="2" t="s">
        <v>412</v>
      </c>
      <c r="E249" s="15">
        <v>4205.6000000000004</v>
      </c>
      <c r="F249" s="36" t="s">
        <v>36</v>
      </c>
      <c r="G249" s="15">
        <v>4205.6000000000004</v>
      </c>
      <c r="H249" s="15">
        <f t="shared" si="4"/>
        <v>0</v>
      </c>
      <c r="I249" s="21"/>
    </row>
    <row r="250" spans="1:9" x14ac:dyDescent="0.25">
      <c r="A250" s="16">
        <v>42739</v>
      </c>
      <c r="B250" s="17" t="s">
        <v>413</v>
      </c>
      <c r="C250" s="18">
        <v>95847</v>
      </c>
      <c r="D250" s="2" t="s">
        <v>414</v>
      </c>
      <c r="E250" s="15">
        <v>5996.6</v>
      </c>
      <c r="F250" s="36" t="s">
        <v>36</v>
      </c>
      <c r="G250" s="15">
        <v>5996.6</v>
      </c>
      <c r="H250" s="15">
        <f t="shared" si="4"/>
        <v>0</v>
      </c>
      <c r="I250" s="21"/>
    </row>
    <row r="251" spans="1:9" x14ac:dyDescent="0.25">
      <c r="A251" s="16">
        <v>42739</v>
      </c>
      <c r="B251" s="17" t="s">
        <v>415</v>
      </c>
      <c r="C251" s="18">
        <v>95848</v>
      </c>
      <c r="D251" s="2" t="s">
        <v>10</v>
      </c>
      <c r="E251" s="15">
        <v>11350.8</v>
      </c>
      <c r="F251" s="36" t="s">
        <v>107</v>
      </c>
      <c r="G251" s="15">
        <v>11350.8</v>
      </c>
      <c r="H251" s="15">
        <f t="shared" si="4"/>
        <v>0</v>
      </c>
      <c r="I251" s="21"/>
    </row>
    <row r="252" spans="1:9" x14ac:dyDescent="0.25">
      <c r="A252" s="16">
        <v>42739</v>
      </c>
      <c r="B252" s="17" t="s">
        <v>416</v>
      </c>
      <c r="C252" s="18">
        <v>95849</v>
      </c>
      <c r="D252" s="2" t="s">
        <v>218</v>
      </c>
      <c r="E252" s="15">
        <v>129730.8</v>
      </c>
      <c r="F252" s="36" t="s">
        <v>307</v>
      </c>
      <c r="G252" s="15">
        <v>129730.8</v>
      </c>
      <c r="H252" s="15">
        <f t="shared" si="4"/>
        <v>0</v>
      </c>
      <c r="I252" s="21"/>
    </row>
    <row r="253" spans="1:9" x14ac:dyDescent="0.25">
      <c r="A253" s="16">
        <v>42739</v>
      </c>
      <c r="B253" s="17" t="s">
        <v>417</v>
      </c>
      <c r="C253" s="18">
        <v>95850</v>
      </c>
      <c r="D253" s="2" t="s">
        <v>250</v>
      </c>
      <c r="E253" s="15">
        <v>4435.6000000000004</v>
      </c>
      <c r="F253" s="36" t="s">
        <v>33</v>
      </c>
      <c r="G253" s="15">
        <v>4435.6000000000004</v>
      </c>
      <c r="H253" s="15">
        <f t="shared" si="4"/>
        <v>0</v>
      </c>
      <c r="I253" s="21"/>
    </row>
    <row r="254" spans="1:9" x14ac:dyDescent="0.25">
      <c r="A254" s="16">
        <v>42739</v>
      </c>
      <c r="B254" s="17" t="s">
        <v>418</v>
      </c>
      <c r="C254" s="18">
        <v>95851</v>
      </c>
      <c r="D254" s="2" t="s">
        <v>43</v>
      </c>
      <c r="E254" s="15">
        <v>3474.8</v>
      </c>
      <c r="F254" s="36" t="s">
        <v>215</v>
      </c>
      <c r="G254" s="15">
        <v>3474.8</v>
      </c>
      <c r="H254" s="15">
        <f t="shared" si="4"/>
        <v>0</v>
      </c>
      <c r="I254" s="21"/>
    </row>
    <row r="255" spans="1:9" x14ac:dyDescent="0.25">
      <c r="A255" s="16">
        <v>42739</v>
      </c>
      <c r="B255" s="17" t="s">
        <v>419</v>
      </c>
      <c r="C255" s="18">
        <v>95852</v>
      </c>
      <c r="D255" s="2" t="s">
        <v>253</v>
      </c>
      <c r="E255" s="15">
        <v>372</v>
      </c>
      <c r="F255" s="36" t="s">
        <v>33</v>
      </c>
      <c r="G255" s="15">
        <v>372</v>
      </c>
      <c r="H255" s="15">
        <f t="shared" si="4"/>
        <v>0</v>
      </c>
      <c r="I255" s="21"/>
    </row>
    <row r="256" spans="1:9" x14ac:dyDescent="0.25">
      <c r="A256" s="16">
        <v>42739</v>
      </c>
      <c r="B256" s="17" t="s">
        <v>420</v>
      </c>
      <c r="C256" s="18">
        <v>95853</v>
      </c>
      <c r="D256" s="2" t="s">
        <v>67</v>
      </c>
      <c r="E256" s="15">
        <v>24050.1</v>
      </c>
      <c r="F256" s="36" t="s">
        <v>215</v>
      </c>
      <c r="G256" s="15">
        <v>24050.1</v>
      </c>
      <c r="H256" s="15">
        <f t="shared" si="4"/>
        <v>0</v>
      </c>
      <c r="I256" s="21"/>
    </row>
    <row r="257" spans="1:9" x14ac:dyDescent="0.25">
      <c r="A257" s="16">
        <v>42739</v>
      </c>
      <c r="B257" s="17" t="s">
        <v>421</v>
      </c>
      <c r="C257" s="18">
        <v>95854</v>
      </c>
      <c r="D257" s="2" t="s">
        <v>422</v>
      </c>
      <c r="E257" s="15">
        <v>604.79999999999995</v>
      </c>
      <c r="F257" s="36" t="s">
        <v>36</v>
      </c>
      <c r="G257" s="15">
        <v>604.79999999999995</v>
      </c>
      <c r="H257" s="15">
        <f t="shared" si="4"/>
        <v>0</v>
      </c>
      <c r="I257" s="21"/>
    </row>
    <row r="258" spans="1:9" x14ac:dyDescent="0.25">
      <c r="A258" s="16">
        <v>42739</v>
      </c>
      <c r="B258" s="17" t="s">
        <v>423</v>
      </c>
      <c r="C258" s="18">
        <v>95855</v>
      </c>
      <c r="D258" s="2" t="s">
        <v>79</v>
      </c>
      <c r="E258" s="15">
        <v>780</v>
      </c>
      <c r="F258" s="36" t="s">
        <v>36</v>
      </c>
      <c r="G258" s="15">
        <v>780</v>
      </c>
      <c r="H258" s="15">
        <f t="shared" si="4"/>
        <v>0</v>
      </c>
      <c r="I258" s="21"/>
    </row>
    <row r="259" spans="1:9" x14ac:dyDescent="0.25">
      <c r="A259" s="16">
        <v>42739</v>
      </c>
      <c r="B259" s="17" t="s">
        <v>424</v>
      </c>
      <c r="C259" s="18">
        <v>95856</v>
      </c>
      <c r="D259" s="2" t="s">
        <v>302</v>
      </c>
      <c r="E259" s="15">
        <v>11671</v>
      </c>
      <c r="F259" s="36" t="s">
        <v>33</v>
      </c>
      <c r="G259" s="15">
        <v>11671</v>
      </c>
      <c r="H259" s="15">
        <f t="shared" si="4"/>
        <v>0</v>
      </c>
      <c r="I259" s="21"/>
    </row>
    <row r="260" spans="1:9" x14ac:dyDescent="0.25">
      <c r="A260" s="16">
        <v>42739</v>
      </c>
      <c r="B260" s="17" t="s">
        <v>425</v>
      </c>
      <c r="C260" s="18">
        <v>95857</v>
      </c>
      <c r="D260" s="2" t="s">
        <v>426</v>
      </c>
      <c r="E260" s="15">
        <v>6435.2</v>
      </c>
      <c r="F260" s="36" t="s">
        <v>107</v>
      </c>
      <c r="G260" s="15">
        <v>6435.2</v>
      </c>
      <c r="H260" s="15">
        <f t="shared" si="4"/>
        <v>0</v>
      </c>
      <c r="I260" s="21"/>
    </row>
    <row r="261" spans="1:9" x14ac:dyDescent="0.25">
      <c r="A261" s="16">
        <v>42739</v>
      </c>
      <c r="B261" s="17" t="s">
        <v>427</v>
      </c>
      <c r="C261" s="18">
        <v>95858</v>
      </c>
      <c r="D261" s="2" t="s">
        <v>428</v>
      </c>
      <c r="E261" s="15">
        <v>2366.5</v>
      </c>
      <c r="F261" s="36" t="s">
        <v>123</v>
      </c>
      <c r="G261" s="15">
        <v>2366.5</v>
      </c>
      <c r="H261" s="15">
        <f t="shared" si="4"/>
        <v>0</v>
      </c>
      <c r="I261" s="21"/>
    </row>
    <row r="262" spans="1:9" x14ac:dyDescent="0.25">
      <c r="A262" s="16">
        <v>42739</v>
      </c>
      <c r="B262" s="17" t="s">
        <v>429</v>
      </c>
      <c r="C262" s="18">
        <v>95859</v>
      </c>
      <c r="D262" s="2" t="s">
        <v>430</v>
      </c>
      <c r="E262" s="15">
        <v>1534.1</v>
      </c>
      <c r="F262" s="36" t="s">
        <v>36</v>
      </c>
      <c r="G262" s="15">
        <v>1534.1</v>
      </c>
      <c r="H262" s="15">
        <f t="shared" ref="H262:H325" si="5">E262-G262</f>
        <v>0</v>
      </c>
      <c r="I262" s="21"/>
    </row>
    <row r="263" spans="1:9" x14ac:dyDescent="0.25">
      <c r="A263" s="16">
        <v>42739</v>
      </c>
      <c r="B263" s="17" t="s">
        <v>431</v>
      </c>
      <c r="C263" s="18">
        <v>95860</v>
      </c>
      <c r="D263" s="2" t="s">
        <v>432</v>
      </c>
      <c r="E263" s="15">
        <v>19495.599999999999</v>
      </c>
      <c r="F263" s="36" t="s">
        <v>215</v>
      </c>
      <c r="G263" s="15">
        <v>19495.599999999999</v>
      </c>
      <c r="H263" s="15">
        <f t="shared" si="5"/>
        <v>0</v>
      </c>
      <c r="I263" s="21"/>
    </row>
    <row r="264" spans="1:9" x14ac:dyDescent="0.25">
      <c r="A264" s="16">
        <v>42739</v>
      </c>
      <c r="B264" s="17" t="s">
        <v>433</v>
      </c>
      <c r="C264" s="18">
        <v>95861</v>
      </c>
      <c r="D264" s="2" t="s">
        <v>270</v>
      </c>
      <c r="E264" s="15">
        <v>16249.75</v>
      </c>
      <c r="F264" s="36" t="s">
        <v>215</v>
      </c>
      <c r="G264" s="15">
        <v>16249.75</v>
      </c>
      <c r="H264" s="15">
        <f t="shared" si="5"/>
        <v>0</v>
      </c>
      <c r="I264" s="21"/>
    </row>
    <row r="265" spans="1:9" x14ac:dyDescent="0.25">
      <c r="A265" s="16">
        <v>42739</v>
      </c>
      <c r="B265" s="17" t="s">
        <v>434</v>
      </c>
      <c r="C265" s="18">
        <v>95862</v>
      </c>
      <c r="D265" s="2" t="s">
        <v>435</v>
      </c>
      <c r="E265" s="15">
        <v>1945</v>
      </c>
      <c r="F265" s="36" t="s">
        <v>215</v>
      </c>
      <c r="G265" s="15">
        <v>1945</v>
      </c>
      <c r="H265" s="15">
        <f t="shared" si="5"/>
        <v>0</v>
      </c>
      <c r="I265" s="21"/>
    </row>
    <row r="266" spans="1:9" x14ac:dyDescent="0.25">
      <c r="A266" s="16">
        <v>42739</v>
      </c>
      <c r="B266" s="17" t="s">
        <v>436</v>
      </c>
      <c r="C266" s="18">
        <v>95863</v>
      </c>
      <c r="D266" s="2" t="s">
        <v>139</v>
      </c>
      <c r="E266" s="15">
        <v>1480.1</v>
      </c>
      <c r="F266" s="36" t="s">
        <v>36</v>
      </c>
      <c r="G266" s="15">
        <v>1480.1</v>
      </c>
      <c r="H266" s="15">
        <f t="shared" si="5"/>
        <v>0</v>
      </c>
      <c r="I266" s="21"/>
    </row>
    <row r="267" spans="1:9" x14ac:dyDescent="0.25">
      <c r="A267" s="16">
        <v>42739</v>
      </c>
      <c r="B267" s="17" t="s">
        <v>437</v>
      </c>
      <c r="C267" s="18">
        <v>95864</v>
      </c>
      <c r="D267" s="2" t="s">
        <v>281</v>
      </c>
      <c r="E267" s="15">
        <v>1225.5</v>
      </c>
      <c r="F267" s="36" t="s">
        <v>36</v>
      </c>
      <c r="G267" s="15">
        <v>1225.5</v>
      </c>
      <c r="H267" s="15">
        <f t="shared" si="5"/>
        <v>0</v>
      </c>
      <c r="I267" s="21"/>
    </row>
    <row r="268" spans="1:9" x14ac:dyDescent="0.25">
      <c r="A268" s="16">
        <v>42739</v>
      </c>
      <c r="B268" s="17" t="s">
        <v>438</v>
      </c>
      <c r="C268" s="18">
        <v>95865</v>
      </c>
      <c r="D268" s="2" t="s">
        <v>99</v>
      </c>
      <c r="E268" s="15">
        <v>2205.5</v>
      </c>
      <c r="F268" s="36" t="s">
        <v>36</v>
      </c>
      <c r="G268" s="15">
        <v>2205.5</v>
      </c>
      <c r="H268" s="15">
        <f t="shared" si="5"/>
        <v>0</v>
      </c>
      <c r="I268" s="21"/>
    </row>
    <row r="269" spans="1:9" x14ac:dyDescent="0.25">
      <c r="A269" s="16">
        <v>42739</v>
      </c>
      <c r="B269" s="17" t="s">
        <v>439</v>
      </c>
      <c r="C269" s="18">
        <v>95866</v>
      </c>
      <c r="D269" s="2" t="s">
        <v>274</v>
      </c>
      <c r="E269" s="15">
        <v>2655.5</v>
      </c>
      <c r="F269" s="36" t="s">
        <v>215</v>
      </c>
      <c r="G269" s="15">
        <v>2655.5</v>
      </c>
      <c r="H269" s="15">
        <f t="shared" si="5"/>
        <v>0</v>
      </c>
      <c r="I269" s="21"/>
    </row>
    <row r="270" spans="1:9" x14ac:dyDescent="0.25">
      <c r="A270" s="16">
        <v>42739</v>
      </c>
      <c r="B270" s="17" t="s">
        <v>440</v>
      </c>
      <c r="C270" s="18">
        <v>95867</v>
      </c>
      <c r="D270" s="2" t="s">
        <v>272</v>
      </c>
      <c r="E270" s="15">
        <v>2974.2</v>
      </c>
      <c r="F270" s="36" t="s">
        <v>215</v>
      </c>
      <c r="G270" s="15">
        <v>2974.2</v>
      </c>
      <c r="H270" s="15">
        <f t="shared" si="5"/>
        <v>0</v>
      </c>
      <c r="I270" s="21"/>
    </row>
    <row r="271" spans="1:9" x14ac:dyDescent="0.25">
      <c r="A271" s="16">
        <v>42739</v>
      </c>
      <c r="B271" s="17" t="s">
        <v>441</v>
      </c>
      <c r="C271" s="18">
        <v>95868</v>
      </c>
      <c r="D271" s="2" t="s">
        <v>442</v>
      </c>
      <c r="E271" s="15">
        <v>4722.92</v>
      </c>
      <c r="F271" s="36" t="s">
        <v>215</v>
      </c>
      <c r="G271" s="15">
        <v>4722.92</v>
      </c>
      <c r="H271" s="15">
        <f t="shared" si="5"/>
        <v>0</v>
      </c>
      <c r="I271" s="21"/>
    </row>
    <row r="272" spans="1:9" x14ac:dyDescent="0.25">
      <c r="A272" s="16">
        <v>42739</v>
      </c>
      <c r="B272" s="17" t="s">
        <v>443</v>
      </c>
      <c r="C272" s="18">
        <v>95869</v>
      </c>
      <c r="D272" s="2" t="s">
        <v>168</v>
      </c>
      <c r="E272" s="15">
        <v>5236.8</v>
      </c>
      <c r="F272" s="36" t="s">
        <v>129</v>
      </c>
      <c r="G272" s="15">
        <v>5236.8</v>
      </c>
      <c r="H272" s="15">
        <f t="shared" si="5"/>
        <v>0</v>
      </c>
      <c r="I272" s="21"/>
    </row>
    <row r="273" spans="1:9" x14ac:dyDescent="0.25">
      <c r="A273" s="16">
        <v>42739</v>
      </c>
      <c r="B273" s="17" t="s">
        <v>444</v>
      </c>
      <c r="C273" s="18">
        <v>95870</v>
      </c>
      <c r="D273" s="2" t="s">
        <v>445</v>
      </c>
      <c r="E273" s="15">
        <v>2315.8000000000002</v>
      </c>
      <c r="F273" s="36" t="s">
        <v>36</v>
      </c>
      <c r="G273" s="15">
        <v>2315.8000000000002</v>
      </c>
      <c r="H273" s="15">
        <f t="shared" si="5"/>
        <v>0</v>
      </c>
      <c r="I273" s="21"/>
    </row>
    <row r="274" spans="1:9" x14ac:dyDescent="0.25">
      <c r="A274" s="16">
        <v>42739</v>
      </c>
      <c r="B274" s="17" t="s">
        <v>446</v>
      </c>
      <c r="C274" s="18">
        <v>95871</v>
      </c>
      <c r="D274" s="2" t="s">
        <v>268</v>
      </c>
      <c r="E274" s="15">
        <v>25458.7</v>
      </c>
      <c r="F274" s="36" t="s">
        <v>215</v>
      </c>
      <c r="G274" s="15">
        <v>25458.7</v>
      </c>
      <c r="H274" s="15">
        <f t="shared" si="5"/>
        <v>0</v>
      </c>
      <c r="I274" s="21"/>
    </row>
    <row r="275" spans="1:9" x14ac:dyDescent="0.25">
      <c r="A275" s="16">
        <v>42739</v>
      </c>
      <c r="B275" s="17" t="s">
        <v>447</v>
      </c>
      <c r="C275" s="18">
        <v>95872</v>
      </c>
      <c r="D275" s="2" t="s">
        <v>448</v>
      </c>
      <c r="E275" s="15">
        <v>361.4</v>
      </c>
      <c r="F275" s="36" t="s">
        <v>36</v>
      </c>
      <c r="G275" s="15">
        <v>361.4</v>
      </c>
      <c r="H275" s="15">
        <f t="shared" si="5"/>
        <v>0</v>
      </c>
      <c r="I275" s="21"/>
    </row>
    <row r="276" spans="1:9" x14ac:dyDescent="0.25">
      <c r="A276" s="16">
        <v>42739</v>
      </c>
      <c r="B276" s="17" t="s">
        <v>449</v>
      </c>
      <c r="C276" s="18">
        <v>95873</v>
      </c>
      <c r="D276" s="2" t="s">
        <v>450</v>
      </c>
      <c r="E276" s="15">
        <v>3189.3</v>
      </c>
      <c r="F276" s="36" t="s">
        <v>36</v>
      </c>
      <c r="G276" s="15">
        <v>3189.3</v>
      </c>
      <c r="H276" s="15">
        <f t="shared" si="5"/>
        <v>0</v>
      </c>
      <c r="I276" s="21"/>
    </row>
    <row r="277" spans="1:9" x14ac:dyDescent="0.25">
      <c r="A277" s="16">
        <v>42739</v>
      </c>
      <c r="B277" s="17" t="s">
        <v>451</v>
      </c>
      <c r="C277" s="18">
        <v>95874</v>
      </c>
      <c r="D277" s="2" t="s">
        <v>291</v>
      </c>
      <c r="E277" s="15">
        <v>2468.1</v>
      </c>
      <c r="F277" s="36" t="s">
        <v>36</v>
      </c>
      <c r="G277" s="15">
        <v>2468.1</v>
      </c>
      <c r="H277" s="15">
        <f t="shared" si="5"/>
        <v>0</v>
      </c>
      <c r="I277" s="21"/>
    </row>
    <row r="278" spans="1:9" x14ac:dyDescent="0.25">
      <c r="A278" s="16">
        <v>42739</v>
      </c>
      <c r="B278" s="17" t="s">
        <v>452</v>
      </c>
      <c r="C278" s="18">
        <v>95875</v>
      </c>
      <c r="D278" s="2" t="s">
        <v>83</v>
      </c>
      <c r="E278" s="15">
        <v>6275.7</v>
      </c>
      <c r="F278" s="36" t="s">
        <v>36</v>
      </c>
      <c r="G278" s="15">
        <v>6275.7</v>
      </c>
      <c r="H278" s="15">
        <f t="shared" si="5"/>
        <v>0</v>
      </c>
      <c r="I278" s="21"/>
    </row>
    <row r="279" spans="1:9" x14ac:dyDescent="0.25">
      <c r="A279" s="16">
        <v>42739</v>
      </c>
      <c r="B279" s="17" t="s">
        <v>453</v>
      </c>
      <c r="C279" s="18">
        <v>95876</v>
      </c>
      <c r="D279" s="2" t="s">
        <v>88</v>
      </c>
      <c r="E279" s="15">
        <v>1420.2</v>
      </c>
      <c r="F279" s="36" t="s">
        <v>36</v>
      </c>
      <c r="G279" s="15">
        <v>1420.2</v>
      </c>
      <c r="H279" s="15">
        <f t="shared" si="5"/>
        <v>0</v>
      </c>
      <c r="I279" s="21"/>
    </row>
    <row r="280" spans="1:9" x14ac:dyDescent="0.25">
      <c r="A280" s="16">
        <v>42739</v>
      </c>
      <c r="B280" s="17" t="s">
        <v>454</v>
      </c>
      <c r="C280" s="18">
        <v>95877</v>
      </c>
      <c r="D280" s="2" t="s">
        <v>88</v>
      </c>
      <c r="E280" s="15">
        <v>7738.2</v>
      </c>
      <c r="F280" s="36" t="s">
        <v>36</v>
      </c>
      <c r="G280" s="15">
        <v>7738.2</v>
      </c>
      <c r="H280" s="15">
        <f t="shared" si="5"/>
        <v>0</v>
      </c>
      <c r="I280" s="21"/>
    </row>
    <row r="281" spans="1:9" x14ac:dyDescent="0.25">
      <c r="A281" s="16">
        <v>42739</v>
      </c>
      <c r="B281" s="17" t="s">
        <v>455</v>
      </c>
      <c r="C281" s="18">
        <v>95878</v>
      </c>
      <c r="D281" s="2" t="s">
        <v>109</v>
      </c>
      <c r="E281" s="15">
        <v>4396</v>
      </c>
      <c r="F281" s="36" t="s">
        <v>36</v>
      </c>
      <c r="G281" s="15">
        <v>4396</v>
      </c>
      <c r="H281" s="15">
        <f t="shared" si="5"/>
        <v>0</v>
      </c>
      <c r="I281" s="21"/>
    </row>
    <row r="282" spans="1:9" x14ac:dyDescent="0.25">
      <c r="A282" s="16">
        <v>42739</v>
      </c>
      <c r="B282" s="17" t="s">
        <v>456</v>
      </c>
      <c r="C282" s="18">
        <v>95879</v>
      </c>
      <c r="D282" s="2" t="s">
        <v>457</v>
      </c>
      <c r="E282" s="15">
        <v>1998.8</v>
      </c>
      <c r="F282" s="36">
        <v>42741</v>
      </c>
      <c r="G282" s="15">
        <v>1998.8</v>
      </c>
      <c r="H282" s="15">
        <f t="shared" si="5"/>
        <v>0</v>
      </c>
      <c r="I282" s="21"/>
    </row>
    <row r="283" spans="1:9" x14ac:dyDescent="0.25">
      <c r="A283" s="16">
        <v>42739</v>
      </c>
      <c r="B283" s="17" t="s">
        <v>458</v>
      </c>
      <c r="C283" s="18">
        <v>95880</v>
      </c>
      <c r="D283" s="2" t="s">
        <v>459</v>
      </c>
      <c r="E283" s="15">
        <v>1372.9</v>
      </c>
      <c r="F283" s="36" t="s">
        <v>36</v>
      </c>
      <c r="G283" s="15">
        <v>1372.9</v>
      </c>
      <c r="H283" s="15">
        <f t="shared" si="5"/>
        <v>0</v>
      </c>
      <c r="I283" s="21"/>
    </row>
    <row r="284" spans="1:9" x14ac:dyDescent="0.25">
      <c r="A284" s="16">
        <v>42739</v>
      </c>
      <c r="B284" s="17" t="s">
        <v>460</v>
      </c>
      <c r="C284" s="18">
        <v>95881</v>
      </c>
      <c r="D284" s="2" t="s">
        <v>122</v>
      </c>
      <c r="E284" s="15">
        <v>1584</v>
      </c>
      <c r="F284" s="36" t="s">
        <v>123</v>
      </c>
      <c r="G284" s="15">
        <v>1584</v>
      </c>
      <c r="H284" s="15">
        <f t="shared" si="5"/>
        <v>0</v>
      </c>
      <c r="I284" s="21"/>
    </row>
    <row r="285" spans="1:9" x14ac:dyDescent="0.25">
      <c r="A285" s="16">
        <v>42739</v>
      </c>
      <c r="B285" s="17" t="s">
        <v>461</v>
      </c>
      <c r="C285" s="18">
        <v>95882</v>
      </c>
      <c r="D285" s="2" t="s">
        <v>462</v>
      </c>
      <c r="E285" s="15">
        <v>4204.8</v>
      </c>
      <c r="F285" s="36" t="s">
        <v>36</v>
      </c>
      <c r="G285" s="15">
        <v>4204.8</v>
      </c>
      <c r="H285" s="15">
        <f t="shared" si="5"/>
        <v>0</v>
      </c>
      <c r="I285" s="21"/>
    </row>
    <row r="286" spans="1:9" x14ac:dyDescent="0.25">
      <c r="A286" s="16">
        <v>42739</v>
      </c>
      <c r="B286" s="17" t="s">
        <v>463</v>
      </c>
      <c r="C286" s="18">
        <v>95883</v>
      </c>
      <c r="D286" s="2" t="s">
        <v>94</v>
      </c>
      <c r="E286" s="15">
        <v>1395</v>
      </c>
      <c r="F286" s="36" t="s">
        <v>36</v>
      </c>
      <c r="G286" s="15">
        <v>1395</v>
      </c>
      <c r="H286" s="15">
        <f t="shared" si="5"/>
        <v>0</v>
      </c>
      <c r="I286" s="21"/>
    </row>
    <row r="287" spans="1:9" x14ac:dyDescent="0.25">
      <c r="A287" s="16">
        <v>42739</v>
      </c>
      <c r="B287" s="17" t="s">
        <v>464</v>
      </c>
      <c r="C287" s="18">
        <v>95884</v>
      </c>
      <c r="D287" s="2" t="s">
        <v>465</v>
      </c>
      <c r="E287" s="15">
        <v>4822.8</v>
      </c>
      <c r="F287" s="36" t="s">
        <v>107</v>
      </c>
      <c r="G287" s="15">
        <v>4822.8</v>
      </c>
      <c r="H287" s="15">
        <f t="shared" si="5"/>
        <v>0</v>
      </c>
      <c r="I287" s="21"/>
    </row>
    <row r="288" spans="1:9" x14ac:dyDescent="0.25">
      <c r="A288" s="16">
        <v>42739</v>
      </c>
      <c r="B288" s="17" t="s">
        <v>466</v>
      </c>
      <c r="C288" s="18">
        <v>95885</v>
      </c>
      <c r="D288" s="2" t="s">
        <v>81</v>
      </c>
      <c r="E288" s="15">
        <v>8682.6</v>
      </c>
      <c r="F288" s="36" t="s">
        <v>36</v>
      </c>
      <c r="G288" s="15">
        <v>8682.6</v>
      </c>
      <c r="H288" s="15">
        <f t="shared" si="5"/>
        <v>0</v>
      </c>
      <c r="I288" s="21"/>
    </row>
    <row r="289" spans="1:9" x14ac:dyDescent="0.25">
      <c r="A289" s="16">
        <v>42739</v>
      </c>
      <c r="B289" s="17" t="s">
        <v>467</v>
      </c>
      <c r="C289" s="18">
        <v>95886</v>
      </c>
      <c r="D289" s="2" t="s">
        <v>468</v>
      </c>
      <c r="E289" s="15">
        <v>12842</v>
      </c>
      <c r="F289" s="36" t="s">
        <v>107</v>
      </c>
      <c r="G289" s="15">
        <v>12842</v>
      </c>
      <c r="H289" s="15">
        <f t="shared" si="5"/>
        <v>0</v>
      </c>
      <c r="I289" s="21"/>
    </row>
    <row r="290" spans="1:9" x14ac:dyDescent="0.25">
      <c r="A290" s="16">
        <v>42739</v>
      </c>
      <c r="B290" s="17" t="s">
        <v>469</v>
      </c>
      <c r="C290" s="18">
        <v>95887</v>
      </c>
      <c r="D290" s="2" t="s">
        <v>470</v>
      </c>
      <c r="E290" s="15">
        <v>12180</v>
      </c>
      <c r="F290" s="36" t="s">
        <v>36</v>
      </c>
      <c r="G290" s="15">
        <v>12180</v>
      </c>
      <c r="H290" s="15">
        <f t="shared" si="5"/>
        <v>0</v>
      </c>
      <c r="I290" s="21"/>
    </row>
    <row r="291" spans="1:9" x14ac:dyDescent="0.25">
      <c r="A291" s="16">
        <v>42739</v>
      </c>
      <c r="B291" s="17" t="s">
        <v>471</v>
      </c>
      <c r="C291" s="18">
        <v>95888</v>
      </c>
      <c r="D291" s="2" t="s">
        <v>472</v>
      </c>
      <c r="E291" s="15">
        <v>19719.8</v>
      </c>
      <c r="F291" s="36" t="s">
        <v>33</v>
      </c>
      <c r="G291" s="15">
        <v>19719.8</v>
      </c>
      <c r="H291" s="15">
        <f t="shared" si="5"/>
        <v>0</v>
      </c>
      <c r="I291" s="21"/>
    </row>
    <row r="292" spans="1:9" x14ac:dyDescent="0.25">
      <c r="A292" s="16">
        <v>42739</v>
      </c>
      <c r="B292" s="17" t="s">
        <v>473</v>
      </c>
      <c r="C292" s="18">
        <v>95889</v>
      </c>
      <c r="D292" s="2" t="s">
        <v>305</v>
      </c>
      <c r="E292" s="15">
        <v>2188.6</v>
      </c>
      <c r="F292" s="36" t="s">
        <v>123</v>
      </c>
      <c r="G292" s="15">
        <v>2188.6</v>
      </c>
      <c r="H292" s="15">
        <f t="shared" si="5"/>
        <v>0</v>
      </c>
      <c r="I292" s="21"/>
    </row>
    <row r="293" spans="1:9" x14ac:dyDescent="0.25">
      <c r="A293" s="16">
        <v>42739</v>
      </c>
      <c r="B293" s="17" t="s">
        <v>474</v>
      </c>
      <c r="C293" s="18">
        <v>95890</v>
      </c>
      <c r="D293" s="2" t="s">
        <v>159</v>
      </c>
      <c r="E293" s="15">
        <v>3927.3</v>
      </c>
      <c r="F293" s="36" t="s">
        <v>36</v>
      </c>
      <c r="G293" s="15">
        <v>3927.3</v>
      </c>
      <c r="H293" s="15">
        <f t="shared" si="5"/>
        <v>0</v>
      </c>
      <c r="I293" s="21"/>
    </row>
    <row r="294" spans="1:9" x14ac:dyDescent="0.25">
      <c r="A294" s="16">
        <v>42739</v>
      </c>
      <c r="B294" s="17" t="s">
        <v>475</v>
      </c>
      <c r="C294" s="18">
        <v>95891</v>
      </c>
      <c r="D294" s="2" t="s">
        <v>476</v>
      </c>
      <c r="E294" s="15">
        <v>3295.4</v>
      </c>
      <c r="F294" s="36" t="s">
        <v>123</v>
      </c>
      <c r="G294" s="15">
        <v>3295.4</v>
      </c>
      <c r="H294" s="15">
        <f t="shared" si="5"/>
        <v>0</v>
      </c>
      <c r="I294" s="21"/>
    </row>
    <row r="295" spans="1:9" x14ac:dyDescent="0.25">
      <c r="A295" s="16">
        <v>42739</v>
      </c>
      <c r="B295" s="17" t="s">
        <v>477</v>
      </c>
      <c r="C295" s="18">
        <v>95892</v>
      </c>
      <c r="D295" s="2" t="s">
        <v>159</v>
      </c>
      <c r="E295" s="15">
        <v>846.4</v>
      </c>
      <c r="F295" s="36" t="s">
        <v>36</v>
      </c>
      <c r="G295" s="15">
        <v>846.4</v>
      </c>
      <c r="H295" s="15">
        <f t="shared" si="5"/>
        <v>0</v>
      </c>
      <c r="I295" s="21"/>
    </row>
    <row r="296" spans="1:9" x14ac:dyDescent="0.25">
      <c r="A296" s="16">
        <v>42739</v>
      </c>
      <c r="B296" s="17" t="s">
        <v>478</v>
      </c>
      <c r="C296" s="18">
        <v>95893</v>
      </c>
      <c r="D296" s="2" t="s">
        <v>149</v>
      </c>
      <c r="E296" s="15">
        <v>1773.2</v>
      </c>
      <c r="F296" s="36" t="s">
        <v>36</v>
      </c>
      <c r="G296" s="15">
        <v>1773.2</v>
      </c>
      <c r="H296" s="15">
        <f t="shared" si="5"/>
        <v>0</v>
      </c>
      <c r="I296" s="21"/>
    </row>
    <row r="297" spans="1:9" x14ac:dyDescent="0.25">
      <c r="A297" s="16">
        <v>42739</v>
      </c>
      <c r="B297" s="17" t="s">
        <v>479</v>
      </c>
      <c r="C297" s="18">
        <v>95894</v>
      </c>
      <c r="D297" s="2" t="s">
        <v>480</v>
      </c>
      <c r="E297" s="15">
        <v>1796.76</v>
      </c>
      <c r="F297" s="36" t="s">
        <v>36</v>
      </c>
      <c r="G297" s="15">
        <v>1796.76</v>
      </c>
      <c r="H297" s="15">
        <f t="shared" si="5"/>
        <v>0</v>
      </c>
      <c r="I297" s="19"/>
    </row>
    <row r="298" spans="1:9" x14ac:dyDescent="0.25">
      <c r="A298" s="16">
        <v>42739</v>
      </c>
      <c r="B298" s="17" t="s">
        <v>481</v>
      </c>
      <c r="C298" s="18">
        <v>95895</v>
      </c>
      <c r="D298" s="2" t="s">
        <v>188</v>
      </c>
      <c r="E298" s="15">
        <v>4141.2</v>
      </c>
      <c r="F298" s="36" t="s">
        <v>36</v>
      </c>
      <c r="G298" s="15">
        <v>4141.2</v>
      </c>
      <c r="H298" s="15">
        <f t="shared" si="5"/>
        <v>0</v>
      </c>
      <c r="I298" s="19"/>
    </row>
    <row r="299" spans="1:9" x14ac:dyDescent="0.25">
      <c r="A299" s="16">
        <v>42739</v>
      </c>
      <c r="B299" s="17" t="s">
        <v>482</v>
      </c>
      <c r="C299" s="18">
        <v>95896</v>
      </c>
      <c r="D299" s="2" t="s">
        <v>483</v>
      </c>
      <c r="E299" s="15">
        <v>8366.4</v>
      </c>
      <c r="F299" s="36" t="s">
        <v>36</v>
      </c>
      <c r="G299" s="15">
        <v>8366.4</v>
      </c>
      <c r="H299" s="15">
        <f t="shared" si="5"/>
        <v>0</v>
      </c>
      <c r="I299" s="19"/>
    </row>
    <row r="300" spans="1:9" x14ac:dyDescent="0.25">
      <c r="A300" s="16">
        <v>42739</v>
      </c>
      <c r="B300" s="17" t="s">
        <v>484</v>
      </c>
      <c r="C300" s="18">
        <v>95897</v>
      </c>
      <c r="D300" s="2" t="s">
        <v>196</v>
      </c>
      <c r="E300" s="15">
        <v>1850.2</v>
      </c>
      <c r="F300" s="36" t="s">
        <v>36</v>
      </c>
      <c r="G300" s="15">
        <v>1850.2</v>
      </c>
      <c r="H300" s="15">
        <f t="shared" si="5"/>
        <v>0</v>
      </c>
      <c r="I300" s="19"/>
    </row>
    <row r="301" spans="1:9" x14ac:dyDescent="0.25">
      <c r="A301" s="16">
        <v>42739</v>
      </c>
      <c r="B301" s="17" t="s">
        <v>485</v>
      </c>
      <c r="C301" s="18">
        <v>95898</v>
      </c>
      <c r="D301" s="2" t="s">
        <v>486</v>
      </c>
      <c r="E301" s="15">
        <v>3249.6</v>
      </c>
      <c r="F301" s="36" t="s">
        <v>36</v>
      </c>
      <c r="G301" s="15">
        <v>3249.6</v>
      </c>
      <c r="H301" s="15">
        <f t="shared" si="5"/>
        <v>0</v>
      </c>
      <c r="I301" s="19"/>
    </row>
    <row r="302" spans="1:9" x14ac:dyDescent="0.25">
      <c r="A302" s="16">
        <v>42739</v>
      </c>
      <c r="B302" s="17" t="s">
        <v>487</v>
      </c>
      <c r="C302" s="18">
        <v>95899</v>
      </c>
      <c r="D302" s="2" t="s">
        <v>45</v>
      </c>
      <c r="E302" s="15">
        <v>2165.9</v>
      </c>
      <c r="F302" s="36" t="s">
        <v>36</v>
      </c>
      <c r="G302" s="15">
        <v>2165.9</v>
      </c>
      <c r="H302" s="15">
        <f t="shared" si="5"/>
        <v>0</v>
      </c>
      <c r="I302" s="19"/>
    </row>
    <row r="303" spans="1:9" x14ac:dyDescent="0.25">
      <c r="A303" s="16">
        <v>42739</v>
      </c>
      <c r="B303" s="17" t="s">
        <v>488</v>
      </c>
      <c r="C303" s="18">
        <v>95900</v>
      </c>
      <c r="D303" s="2" t="s">
        <v>30</v>
      </c>
      <c r="E303" s="15">
        <v>786.6</v>
      </c>
      <c r="F303" s="36" t="s">
        <v>36</v>
      </c>
      <c r="G303" s="15">
        <v>786.6</v>
      </c>
      <c r="H303" s="15">
        <f t="shared" si="5"/>
        <v>0</v>
      </c>
      <c r="I303" s="19"/>
    </row>
    <row r="304" spans="1:9" x14ac:dyDescent="0.25">
      <c r="A304" s="16">
        <v>42739</v>
      </c>
      <c r="B304" s="17" t="s">
        <v>489</v>
      </c>
      <c r="C304" s="18">
        <v>95901</v>
      </c>
      <c r="D304" s="2" t="s">
        <v>71</v>
      </c>
      <c r="E304" s="15">
        <v>3885</v>
      </c>
      <c r="F304" s="36" t="s">
        <v>36</v>
      </c>
      <c r="G304" s="15">
        <v>3885</v>
      </c>
      <c r="H304" s="15">
        <f t="shared" si="5"/>
        <v>0</v>
      </c>
      <c r="I304" s="19"/>
    </row>
    <row r="305" spans="1:9" x14ac:dyDescent="0.25">
      <c r="A305" s="16">
        <v>42739</v>
      </c>
      <c r="B305" s="17" t="s">
        <v>490</v>
      </c>
      <c r="C305" s="18">
        <v>95902</v>
      </c>
      <c r="D305" s="13" t="s">
        <v>115</v>
      </c>
      <c r="E305" s="14">
        <v>0</v>
      </c>
      <c r="F305" s="123" t="s">
        <v>95</v>
      </c>
      <c r="G305" s="14">
        <v>0</v>
      </c>
      <c r="H305" s="14">
        <f t="shared" si="5"/>
        <v>0</v>
      </c>
      <c r="I305" s="19"/>
    </row>
    <row r="306" spans="1:9" x14ac:dyDescent="0.25">
      <c r="A306" s="16">
        <v>42739</v>
      </c>
      <c r="B306" s="17" t="s">
        <v>491</v>
      </c>
      <c r="C306" s="18">
        <v>95903</v>
      </c>
      <c r="D306" s="2" t="s">
        <v>492</v>
      </c>
      <c r="E306" s="15">
        <v>18951.400000000001</v>
      </c>
      <c r="F306" s="36" t="s">
        <v>493</v>
      </c>
      <c r="G306" s="15">
        <v>18951.400000000001</v>
      </c>
      <c r="H306" s="15">
        <f t="shared" si="5"/>
        <v>0</v>
      </c>
      <c r="I306" s="19"/>
    </row>
    <row r="307" spans="1:9" x14ac:dyDescent="0.25">
      <c r="A307" s="16">
        <v>42739</v>
      </c>
      <c r="B307" s="17" t="s">
        <v>494</v>
      </c>
      <c r="C307" s="18">
        <v>95904</v>
      </c>
      <c r="D307" s="2" t="s">
        <v>459</v>
      </c>
      <c r="E307" s="15">
        <v>2436</v>
      </c>
      <c r="F307" s="36" t="s">
        <v>36</v>
      </c>
      <c r="G307" s="15">
        <v>2436</v>
      </c>
      <c r="H307" s="15">
        <f t="shared" si="5"/>
        <v>0</v>
      </c>
      <c r="I307" s="19"/>
    </row>
    <row r="308" spans="1:9" x14ac:dyDescent="0.25">
      <c r="A308" s="16">
        <v>42739</v>
      </c>
      <c r="B308" s="17" t="s">
        <v>495</v>
      </c>
      <c r="C308" s="18">
        <v>95905</v>
      </c>
      <c r="D308" s="2" t="s">
        <v>176</v>
      </c>
      <c r="E308" s="15">
        <v>3477</v>
      </c>
      <c r="F308" s="36" t="s">
        <v>215</v>
      </c>
      <c r="G308" s="15">
        <v>3477</v>
      </c>
      <c r="H308" s="15">
        <f t="shared" si="5"/>
        <v>0</v>
      </c>
      <c r="I308" s="19"/>
    </row>
    <row r="309" spans="1:9" x14ac:dyDescent="0.25">
      <c r="A309" s="16">
        <v>42739</v>
      </c>
      <c r="B309" s="17" t="s">
        <v>496</v>
      </c>
      <c r="C309" s="18">
        <v>95906</v>
      </c>
      <c r="D309" s="2" t="s">
        <v>176</v>
      </c>
      <c r="E309" s="15">
        <v>475.8</v>
      </c>
      <c r="F309" s="36" t="s">
        <v>215</v>
      </c>
      <c r="G309" s="15">
        <v>475.8</v>
      </c>
      <c r="H309" s="15">
        <f t="shared" si="5"/>
        <v>0</v>
      </c>
      <c r="I309" s="19"/>
    </row>
    <row r="310" spans="1:9" x14ac:dyDescent="0.25">
      <c r="A310" s="16">
        <v>42739</v>
      </c>
      <c r="B310" s="17" t="s">
        <v>497</v>
      </c>
      <c r="C310" s="18">
        <v>95907</v>
      </c>
      <c r="D310" s="2" t="s">
        <v>155</v>
      </c>
      <c r="E310" s="15">
        <v>25308.5</v>
      </c>
      <c r="F310" s="124" t="s">
        <v>498</v>
      </c>
      <c r="G310" s="20">
        <f>6308.5+19000</f>
        <v>25308.5</v>
      </c>
      <c r="H310" s="20">
        <f t="shared" si="5"/>
        <v>0</v>
      </c>
      <c r="I310" s="19"/>
    </row>
    <row r="311" spans="1:9" x14ac:dyDescent="0.25">
      <c r="A311" s="16">
        <v>42739</v>
      </c>
      <c r="B311" s="17" t="s">
        <v>499</v>
      </c>
      <c r="C311" s="18">
        <v>95908</v>
      </c>
      <c r="D311" s="2" t="s">
        <v>145</v>
      </c>
      <c r="E311" s="15">
        <v>29325</v>
      </c>
      <c r="F311" s="36" t="s">
        <v>33</v>
      </c>
      <c r="G311" s="15">
        <v>29325</v>
      </c>
      <c r="H311" s="15">
        <f t="shared" si="5"/>
        <v>0</v>
      </c>
      <c r="I311" s="19"/>
    </row>
    <row r="312" spans="1:9" x14ac:dyDescent="0.25">
      <c r="A312" s="16">
        <v>42739</v>
      </c>
      <c r="B312" s="17" t="s">
        <v>500</v>
      </c>
      <c r="C312" s="18">
        <v>95909</v>
      </c>
      <c r="D312" s="13" t="s">
        <v>161</v>
      </c>
      <c r="E312" s="14">
        <v>0</v>
      </c>
      <c r="F312" s="123" t="s">
        <v>95</v>
      </c>
      <c r="G312" s="14">
        <v>0</v>
      </c>
      <c r="H312" s="14">
        <f t="shared" si="5"/>
        <v>0</v>
      </c>
      <c r="I312" s="19"/>
    </row>
    <row r="313" spans="1:9" x14ac:dyDescent="0.25">
      <c r="A313" s="16">
        <v>42739</v>
      </c>
      <c r="B313" s="17" t="s">
        <v>501</v>
      </c>
      <c r="C313" s="18">
        <v>95910</v>
      </c>
      <c r="D313" s="2" t="s">
        <v>163</v>
      </c>
      <c r="E313" s="15">
        <v>8122.5</v>
      </c>
      <c r="F313" s="36" t="s">
        <v>173</v>
      </c>
      <c r="G313" s="15">
        <v>8122.5</v>
      </c>
      <c r="H313" s="15">
        <f t="shared" si="5"/>
        <v>0</v>
      </c>
      <c r="I313" s="19"/>
    </row>
    <row r="314" spans="1:9" x14ac:dyDescent="0.25">
      <c r="A314" s="16">
        <v>42739</v>
      </c>
      <c r="B314" s="17" t="s">
        <v>502</v>
      </c>
      <c r="C314" s="18">
        <v>95911</v>
      </c>
      <c r="D314" s="13" t="s">
        <v>165</v>
      </c>
      <c r="E314" s="14">
        <v>0</v>
      </c>
      <c r="F314" s="123" t="s">
        <v>95</v>
      </c>
      <c r="G314" s="14">
        <v>0</v>
      </c>
      <c r="H314" s="14">
        <f t="shared" si="5"/>
        <v>0</v>
      </c>
      <c r="I314" s="19"/>
    </row>
    <row r="315" spans="1:9" x14ac:dyDescent="0.25">
      <c r="A315" s="16">
        <v>42739</v>
      </c>
      <c r="B315" s="17" t="s">
        <v>503</v>
      </c>
      <c r="C315" s="18">
        <v>95912</v>
      </c>
      <c r="D315" s="2" t="s">
        <v>172</v>
      </c>
      <c r="E315" s="15">
        <v>25729.599999999999</v>
      </c>
      <c r="F315" s="36" t="s">
        <v>173</v>
      </c>
      <c r="G315" s="15">
        <v>25729.599999999999</v>
      </c>
      <c r="H315" s="15">
        <f t="shared" si="5"/>
        <v>0</v>
      </c>
      <c r="I315" s="19"/>
    </row>
    <row r="316" spans="1:9" x14ac:dyDescent="0.25">
      <c r="A316" s="16">
        <v>42739</v>
      </c>
      <c r="B316" s="17" t="s">
        <v>504</v>
      </c>
      <c r="C316" s="18">
        <v>95913</v>
      </c>
      <c r="D316" s="2" t="s">
        <v>505</v>
      </c>
      <c r="E316" s="15">
        <v>17457</v>
      </c>
      <c r="F316" s="36" t="s">
        <v>33</v>
      </c>
      <c r="G316" s="15">
        <v>17457</v>
      </c>
      <c r="H316" s="15">
        <f t="shared" si="5"/>
        <v>0</v>
      </c>
      <c r="I316" s="19"/>
    </row>
    <row r="317" spans="1:9" x14ac:dyDescent="0.25">
      <c r="A317" s="16">
        <v>42739</v>
      </c>
      <c r="B317" s="17" t="s">
        <v>506</v>
      </c>
      <c r="C317" s="18">
        <v>95914</v>
      </c>
      <c r="D317" s="2" t="s">
        <v>30</v>
      </c>
      <c r="E317" s="15">
        <v>5500</v>
      </c>
      <c r="F317" s="36" t="s">
        <v>33</v>
      </c>
      <c r="G317" s="15">
        <v>5500</v>
      </c>
      <c r="H317" s="15">
        <f t="shared" si="5"/>
        <v>0</v>
      </c>
      <c r="I317" s="19"/>
    </row>
    <row r="318" spans="1:9" x14ac:dyDescent="0.25">
      <c r="A318" s="16">
        <v>42739</v>
      </c>
      <c r="B318" s="17" t="s">
        <v>507</v>
      </c>
      <c r="C318" s="18">
        <v>95915</v>
      </c>
      <c r="D318" s="2" t="s">
        <v>319</v>
      </c>
      <c r="E318" s="15">
        <v>3801.6</v>
      </c>
      <c r="F318" s="36" t="s">
        <v>215</v>
      </c>
      <c r="G318" s="15">
        <v>3801.6</v>
      </c>
      <c r="H318" s="15">
        <f t="shared" si="5"/>
        <v>0</v>
      </c>
      <c r="I318" s="19"/>
    </row>
    <row r="319" spans="1:9" x14ac:dyDescent="0.25">
      <c r="A319" s="16">
        <v>42739</v>
      </c>
      <c r="B319" s="17" t="s">
        <v>508</v>
      </c>
      <c r="C319" s="18">
        <v>95916</v>
      </c>
      <c r="D319" s="2" t="s">
        <v>509</v>
      </c>
      <c r="E319" s="15">
        <v>16712.8</v>
      </c>
      <c r="F319" s="36" t="s">
        <v>129</v>
      </c>
      <c r="G319" s="15">
        <v>16712.8</v>
      </c>
      <c r="H319" s="15">
        <f t="shared" si="5"/>
        <v>0</v>
      </c>
      <c r="I319" s="19"/>
    </row>
    <row r="320" spans="1:9" x14ac:dyDescent="0.25">
      <c r="A320" s="16">
        <v>42739</v>
      </c>
      <c r="B320" s="17" t="s">
        <v>510</v>
      </c>
      <c r="C320" s="18">
        <v>95917</v>
      </c>
      <c r="D320" s="2" t="s">
        <v>21</v>
      </c>
      <c r="E320" s="15">
        <v>30960.799999999999</v>
      </c>
      <c r="F320" s="36" t="s">
        <v>511</v>
      </c>
      <c r="G320" s="15">
        <v>30960.799999999999</v>
      </c>
      <c r="H320" s="15">
        <f t="shared" si="5"/>
        <v>0</v>
      </c>
      <c r="I320" s="19"/>
    </row>
    <row r="321" spans="1:9" x14ac:dyDescent="0.25">
      <c r="A321" s="16">
        <v>42739</v>
      </c>
      <c r="B321" s="17" t="s">
        <v>512</v>
      </c>
      <c r="C321" s="18">
        <v>95918</v>
      </c>
      <c r="D321" s="2" t="s">
        <v>12</v>
      </c>
      <c r="E321" s="15">
        <v>1020</v>
      </c>
      <c r="F321" s="36" t="s">
        <v>36</v>
      </c>
      <c r="G321" s="15">
        <v>1020</v>
      </c>
      <c r="H321" s="15">
        <f t="shared" si="5"/>
        <v>0</v>
      </c>
      <c r="I321" s="19"/>
    </row>
    <row r="322" spans="1:9" x14ac:dyDescent="0.25">
      <c r="A322" s="16">
        <v>42739</v>
      </c>
      <c r="B322" s="17" t="s">
        <v>513</v>
      </c>
      <c r="C322" s="18">
        <v>95919</v>
      </c>
      <c r="D322" s="2" t="s">
        <v>509</v>
      </c>
      <c r="E322" s="15">
        <v>4500</v>
      </c>
      <c r="F322" s="36" t="s">
        <v>129</v>
      </c>
      <c r="G322" s="15">
        <v>4500</v>
      </c>
      <c r="H322" s="15">
        <f t="shared" si="5"/>
        <v>0</v>
      </c>
      <c r="I322" s="19"/>
    </row>
    <row r="323" spans="1:9" x14ac:dyDescent="0.25">
      <c r="A323" s="16">
        <v>42739</v>
      </c>
      <c r="B323" s="17" t="s">
        <v>514</v>
      </c>
      <c r="C323" s="18">
        <v>95920</v>
      </c>
      <c r="D323" s="2" t="s">
        <v>165</v>
      </c>
      <c r="E323" s="15">
        <v>7305.4</v>
      </c>
      <c r="F323" s="36" t="s">
        <v>166</v>
      </c>
      <c r="G323" s="15">
        <v>7305.4</v>
      </c>
      <c r="H323" s="15">
        <f t="shared" si="5"/>
        <v>0</v>
      </c>
      <c r="I323" s="19"/>
    </row>
    <row r="324" spans="1:9" x14ac:dyDescent="0.25">
      <c r="A324" s="16">
        <v>42739</v>
      </c>
      <c r="B324" s="17" t="s">
        <v>515</v>
      </c>
      <c r="C324" s="18">
        <v>95921</v>
      </c>
      <c r="D324" s="2" t="s">
        <v>161</v>
      </c>
      <c r="E324" s="15">
        <v>16359</v>
      </c>
      <c r="F324" s="36" t="s">
        <v>166</v>
      </c>
      <c r="G324" s="15">
        <v>16359</v>
      </c>
      <c r="H324" s="15">
        <f t="shared" si="5"/>
        <v>0</v>
      </c>
      <c r="I324" s="19"/>
    </row>
    <row r="325" spans="1:9" x14ac:dyDescent="0.25">
      <c r="A325" s="16">
        <v>42739</v>
      </c>
      <c r="B325" s="17" t="s">
        <v>516</v>
      </c>
      <c r="C325" s="18">
        <v>95922</v>
      </c>
      <c r="D325" s="2" t="s">
        <v>205</v>
      </c>
      <c r="E325" s="15">
        <v>69515.600000000006</v>
      </c>
      <c r="F325" s="36" t="s">
        <v>173</v>
      </c>
      <c r="G325" s="15">
        <v>69515.600000000006</v>
      </c>
      <c r="H325" s="15">
        <f t="shared" si="5"/>
        <v>0</v>
      </c>
      <c r="I325" s="19"/>
    </row>
    <row r="326" spans="1:9" x14ac:dyDescent="0.25">
      <c r="A326" s="16">
        <v>42739</v>
      </c>
      <c r="B326" s="17" t="s">
        <v>517</v>
      </c>
      <c r="C326" s="18">
        <v>95923</v>
      </c>
      <c r="D326" s="2" t="s">
        <v>222</v>
      </c>
      <c r="E326" s="15">
        <v>71502.600000000006</v>
      </c>
      <c r="F326" s="36" t="s">
        <v>215</v>
      </c>
      <c r="G326" s="15">
        <v>71502.600000000006</v>
      </c>
      <c r="H326" s="15">
        <f t="shared" ref="H326:H389" si="6">E326-G326</f>
        <v>0</v>
      </c>
      <c r="I326" s="19"/>
    </row>
    <row r="327" spans="1:9" x14ac:dyDescent="0.25">
      <c r="A327" s="16">
        <v>42739</v>
      </c>
      <c r="B327" s="17" t="s">
        <v>518</v>
      </c>
      <c r="C327" s="18">
        <v>95924</v>
      </c>
      <c r="D327" s="2" t="s">
        <v>10</v>
      </c>
      <c r="E327" s="15">
        <v>159673.66</v>
      </c>
      <c r="F327" s="36" t="s">
        <v>107</v>
      </c>
      <c r="G327" s="15">
        <v>159673.66</v>
      </c>
      <c r="H327" s="15">
        <f t="shared" si="6"/>
        <v>0</v>
      </c>
      <c r="I327" s="19"/>
    </row>
    <row r="328" spans="1:9" x14ac:dyDescent="0.25">
      <c r="A328" s="16">
        <v>42739</v>
      </c>
      <c r="B328" s="17" t="s">
        <v>519</v>
      </c>
      <c r="C328" s="18">
        <v>95925</v>
      </c>
      <c r="D328" s="2" t="s">
        <v>10</v>
      </c>
      <c r="E328" s="15">
        <v>4997.2</v>
      </c>
      <c r="F328" s="36" t="s">
        <v>107</v>
      </c>
      <c r="G328" s="15">
        <v>4997.2</v>
      </c>
      <c r="H328" s="15">
        <f t="shared" si="6"/>
        <v>0</v>
      </c>
      <c r="I328" s="19"/>
    </row>
    <row r="329" spans="1:9" x14ac:dyDescent="0.25">
      <c r="A329" s="16">
        <v>42739</v>
      </c>
      <c r="B329" s="17" t="s">
        <v>520</v>
      </c>
      <c r="C329" s="18">
        <v>95926</v>
      </c>
      <c r="D329" s="2" t="s">
        <v>10</v>
      </c>
      <c r="E329" s="15">
        <v>864</v>
      </c>
      <c r="F329" s="36" t="s">
        <v>107</v>
      </c>
      <c r="G329" s="15">
        <v>864</v>
      </c>
      <c r="H329" s="15">
        <f t="shared" si="6"/>
        <v>0</v>
      </c>
      <c r="I329" s="19"/>
    </row>
    <row r="330" spans="1:9" x14ac:dyDescent="0.25">
      <c r="A330" s="16">
        <v>42739</v>
      </c>
      <c r="B330" s="17" t="s">
        <v>521</v>
      </c>
      <c r="C330" s="18">
        <v>95927</v>
      </c>
      <c r="D330" s="2" t="s">
        <v>222</v>
      </c>
      <c r="E330" s="15">
        <v>21000</v>
      </c>
      <c r="F330" s="36" t="s">
        <v>129</v>
      </c>
      <c r="G330" s="15">
        <v>21000</v>
      </c>
      <c r="H330" s="15">
        <f t="shared" si="6"/>
        <v>0</v>
      </c>
      <c r="I330" s="19"/>
    </row>
    <row r="331" spans="1:9" x14ac:dyDescent="0.25">
      <c r="A331" s="16">
        <v>42739</v>
      </c>
      <c r="B331" s="17" t="s">
        <v>522</v>
      </c>
      <c r="C331" s="18">
        <v>95928</v>
      </c>
      <c r="D331" s="2" t="s">
        <v>523</v>
      </c>
      <c r="E331" s="15">
        <v>15743.2</v>
      </c>
      <c r="F331" s="36" t="s">
        <v>126</v>
      </c>
      <c r="G331" s="15">
        <v>15743.2</v>
      </c>
      <c r="H331" s="15">
        <f t="shared" si="6"/>
        <v>0</v>
      </c>
      <c r="I331" s="19"/>
    </row>
    <row r="332" spans="1:9" x14ac:dyDescent="0.25">
      <c r="A332" s="16">
        <v>42739</v>
      </c>
      <c r="B332" s="17" t="s">
        <v>524</v>
      </c>
      <c r="C332" s="18">
        <v>95929</v>
      </c>
      <c r="D332" s="2" t="s">
        <v>250</v>
      </c>
      <c r="E332" s="15">
        <v>1669.2</v>
      </c>
      <c r="F332" s="36" t="s">
        <v>33</v>
      </c>
      <c r="G332" s="15">
        <v>1669.2</v>
      </c>
      <c r="H332" s="15">
        <f t="shared" si="6"/>
        <v>0</v>
      </c>
      <c r="I332" s="19"/>
    </row>
    <row r="333" spans="1:9" x14ac:dyDescent="0.25">
      <c r="A333" s="16">
        <v>42739</v>
      </c>
      <c r="B333" s="17" t="s">
        <v>525</v>
      </c>
      <c r="C333" s="18">
        <v>95930</v>
      </c>
      <c r="D333" s="2" t="s">
        <v>193</v>
      </c>
      <c r="E333" s="15">
        <v>2354.4</v>
      </c>
      <c r="F333" s="36" t="s">
        <v>215</v>
      </c>
      <c r="G333" s="15">
        <v>2354.4</v>
      </c>
      <c r="H333" s="15">
        <f t="shared" si="6"/>
        <v>0</v>
      </c>
      <c r="I333" s="19"/>
    </row>
    <row r="334" spans="1:9" x14ac:dyDescent="0.25">
      <c r="A334" s="16">
        <v>42739</v>
      </c>
      <c r="B334" s="17" t="s">
        <v>526</v>
      </c>
      <c r="C334" s="18">
        <v>95931</v>
      </c>
      <c r="D334" s="2" t="s">
        <v>182</v>
      </c>
      <c r="E334" s="15">
        <v>2750</v>
      </c>
      <c r="F334" s="36" t="s">
        <v>215</v>
      </c>
      <c r="G334" s="15">
        <v>2750</v>
      </c>
      <c r="H334" s="15">
        <f t="shared" si="6"/>
        <v>0</v>
      </c>
      <c r="I334" s="19"/>
    </row>
    <row r="335" spans="1:9" x14ac:dyDescent="0.25">
      <c r="A335" s="16">
        <v>42739</v>
      </c>
      <c r="B335" s="17" t="s">
        <v>527</v>
      </c>
      <c r="C335" s="18">
        <v>95932</v>
      </c>
      <c r="D335" s="2" t="s">
        <v>528</v>
      </c>
      <c r="E335" s="15">
        <v>3125.6</v>
      </c>
      <c r="F335" s="36" t="s">
        <v>215</v>
      </c>
      <c r="G335" s="15">
        <v>3125.6</v>
      </c>
      <c r="H335" s="15">
        <f t="shared" si="6"/>
        <v>0</v>
      </c>
      <c r="I335" s="19"/>
    </row>
    <row r="336" spans="1:9" x14ac:dyDescent="0.25">
      <c r="A336" s="16">
        <v>42739</v>
      </c>
      <c r="B336" s="17" t="s">
        <v>529</v>
      </c>
      <c r="C336" s="18">
        <v>95933</v>
      </c>
      <c r="D336" s="2" t="s">
        <v>220</v>
      </c>
      <c r="E336" s="15">
        <v>702.1</v>
      </c>
      <c r="F336" s="36" t="s">
        <v>36</v>
      </c>
      <c r="G336" s="15">
        <v>702.1</v>
      </c>
      <c r="H336" s="15">
        <f t="shared" si="6"/>
        <v>0</v>
      </c>
      <c r="I336" s="19"/>
    </row>
    <row r="337" spans="1:12" x14ac:dyDescent="0.25">
      <c r="A337" s="16">
        <v>42739</v>
      </c>
      <c r="B337" s="17" t="s">
        <v>530</v>
      </c>
      <c r="C337" s="18">
        <v>95934</v>
      </c>
      <c r="D337" s="2" t="s">
        <v>531</v>
      </c>
      <c r="E337" s="15">
        <v>33481.300000000003</v>
      </c>
      <c r="F337" s="36" t="s">
        <v>33</v>
      </c>
      <c r="G337" s="15">
        <v>33481.300000000003</v>
      </c>
      <c r="H337" s="15">
        <f t="shared" si="6"/>
        <v>0</v>
      </c>
      <c r="I337" s="19"/>
    </row>
    <row r="338" spans="1:12" x14ac:dyDescent="0.25">
      <c r="A338" s="16">
        <v>42739</v>
      </c>
      <c r="B338" s="17" t="s">
        <v>532</v>
      </c>
      <c r="C338" s="18">
        <v>95935</v>
      </c>
      <c r="D338" s="2" t="s">
        <v>53</v>
      </c>
      <c r="E338" s="15">
        <v>3720.6</v>
      </c>
      <c r="F338" s="36" t="s">
        <v>533</v>
      </c>
      <c r="G338" s="15">
        <v>3720.6</v>
      </c>
      <c r="H338" s="15">
        <f t="shared" si="6"/>
        <v>0</v>
      </c>
      <c r="I338" s="19"/>
    </row>
    <row r="339" spans="1:12" x14ac:dyDescent="0.25">
      <c r="A339" s="16">
        <v>42739</v>
      </c>
      <c r="B339" s="17" t="s">
        <v>534</v>
      </c>
      <c r="C339" s="18">
        <v>95936</v>
      </c>
      <c r="D339" s="2" t="s">
        <v>10</v>
      </c>
      <c r="E339" s="15">
        <v>116903.34</v>
      </c>
      <c r="F339" s="36" t="s">
        <v>107</v>
      </c>
      <c r="G339" s="15">
        <v>116903.34</v>
      </c>
      <c r="H339" s="15">
        <f t="shared" si="6"/>
        <v>0</v>
      </c>
      <c r="I339" s="19"/>
    </row>
    <row r="340" spans="1:12" x14ac:dyDescent="0.25">
      <c r="A340" s="16">
        <v>42739</v>
      </c>
      <c r="B340" s="17" t="s">
        <v>535</v>
      </c>
      <c r="C340" s="18">
        <v>95937</v>
      </c>
      <c r="D340" s="2" t="s">
        <v>536</v>
      </c>
      <c r="E340" s="15">
        <v>1389.2</v>
      </c>
      <c r="F340" s="36" t="s">
        <v>36</v>
      </c>
      <c r="G340" s="15">
        <v>1389.2</v>
      </c>
      <c r="H340" s="15">
        <f t="shared" si="6"/>
        <v>0</v>
      </c>
      <c r="I340" s="19"/>
    </row>
    <row r="341" spans="1:12" x14ac:dyDescent="0.25">
      <c r="A341" s="16">
        <v>42739</v>
      </c>
      <c r="B341" s="17" t="s">
        <v>537</v>
      </c>
      <c r="C341" s="18">
        <v>95938</v>
      </c>
      <c r="D341" s="2" t="s">
        <v>229</v>
      </c>
      <c r="E341" s="15">
        <v>104991.2</v>
      </c>
      <c r="F341" s="36" t="s">
        <v>129</v>
      </c>
      <c r="G341" s="15">
        <v>104991.2</v>
      </c>
      <c r="H341" s="15">
        <f t="shared" si="6"/>
        <v>0</v>
      </c>
      <c r="I341" s="19"/>
    </row>
    <row r="342" spans="1:12" x14ac:dyDescent="0.25">
      <c r="A342" s="16">
        <v>42739</v>
      </c>
      <c r="B342" s="17" t="s">
        <v>538</v>
      </c>
      <c r="C342" s="18">
        <v>95939</v>
      </c>
      <c r="D342" s="2" t="s">
        <v>211</v>
      </c>
      <c r="E342" s="15">
        <v>8566.2999999999993</v>
      </c>
      <c r="F342" s="36" t="s">
        <v>36</v>
      </c>
      <c r="G342" s="15">
        <v>8566.2999999999993</v>
      </c>
      <c r="H342" s="15">
        <f t="shared" si="6"/>
        <v>0</v>
      </c>
      <c r="I342" s="19"/>
    </row>
    <row r="343" spans="1:12" x14ac:dyDescent="0.25">
      <c r="A343" s="16">
        <v>42739</v>
      </c>
      <c r="B343" s="17" t="s">
        <v>539</v>
      </c>
      <c r="C343" s="18">
        <v>95940</v>
      </c>
      <c r="D343" s="2" t="s">
        <v>208</v>
      </c>
      <c r="E343" s="15">
        <v>5699</v>
      </c>
      <c r="F343" s="36" t="s">
        <v>36</v>
      </c>
      <c r="G343" s="15">
        <v>5699</v>
      </c>
      <c r="H343" s="15">
        <f t="shared" si="6"/>
        <v>0</v>
      </c>
      <c r="I343" s="19"/>
    </row>
    <row r="344" spans="1:12" x14ac:dyDescent="0.25">
      <c r="A344" s="16">
        <v>42739</v>
      </c>
      <c r="B344" s="17" t="s">
        <v>540</v>
      </c>
      <c r="C344" s="18">
        <v>95941</v>
      </c>
      <c r="D344" s="2" t="s">
        <v>541</v>
      </c>
      <c r="E344" s="15">
        <v>3772.8</v>
      </c>
      <c r="F344" s="36">
        <v>42741</v>
      </c>
      <c r="G344" s="15">
        <v>3772.8</v>
      </c>
      <c r="H344" s="15">
        <f t="shared" si="6"/>
        <v>0</v>
      </c>
      <c r="I344" s="19"/>
    </row>
    <row r="345" spans="1:12" x14ac:dyDescent="0.25">
      <c r="A345" s="16">
        <v>42739</v>
      </c>
      <c r="B345" s="17" t="s">
        <v>542</v>
      </c>
      <c r="C345" s="18">
        <v>95942</v>
      </c>
      <c r="D345" s="2" t="s">
        <v>472</v>
      </c>
      <c r="E345" s="15">
        <v>4924.8</v>
      </c>
      <c r="F345" s="36" t="s">
        <v>33</v>
      </c>
      <c r="G345" s="15">
        <v>4924.8</v>
      </c>
      <c r="H345" s="15">
        <f t="shared" si="6"/>
        <v>0</v>
      </c>
      <c r="I345" s="19"/>
    </row>
    <row r="346" spans="1:12" x14ac:dyDescent="0.25">
      <c r="A346" s="16">
        <v>42739</v>
      </c>
      <c r="B346" s="17" t="s">
        <v>543</v>
      </c>
      <c r="C346" s="18">
        <v>95943</v>
      </c>
      <c r="D346" s="2" t="s">
        <v>544</v>
      </c>
      <c r="E346" s="15">
        <v>5400</v>
      </c>
      <c r="F346" s="36" t="s">
        <v>33</v>
      </c>
      <c r="G346" s="15">
        <v>5400</v>
      </c>
      <c r="H346" s="15">
        <f t="shared" si="6"/>
        <v>0</v>
      </c>
      <c r="I346" s="19"/>
    </row>
    <row r="347" spans="1:12" x14ac:dyDescent="0.25">
      <c r="A347" s="16">
        <v>42740</v>
      </c>
      <c r="B347" s="17" t="s">
        <v>545</v>
      </c>
      <c r="C347" s="18">
        <v>95944</v>
      </c>
      <c r="D347" s="2" t="s">
        <v>231</v>
      </c>
      <c r="E347" s="15">
        <v>11522.5</v>
      </c>
      <c r="F347" s="36" t="s">
        <v>533</v>
      </c>
      <c r="G347" s="15">
        <v>11522.5</v>
      </c>
      <c r="H347" s="15">
        <f t="shared" si="6"/>
        <v>0</v>
      </c>
      <c r="I347" s="19"/>
    </row>
    <row r="348" spans="1:12" x14ac:dyDescent="0.25">
      <c r="A348" s="16">
        <v>42740</v>
      </c>
      <c r="B348" s="17" t="s">
        <v>546</v>
      </c>
      <c r="C348" s="18">
        <v>95945</v>
      </c>
      <c r="D348" s="2" t="s">
        <v>231</v>
      </c>
      <c r="E348" s="15">
        <v>42115.199999999997</v>
      </c>
      <c r="F348" s="36" t="s">
        <v>533</v>
      </c>
      <c r="G348" s="15">
        <v>42115.199999999997</v>
      </c>
      <c r="H348" s="15">
        <f t="shared" si="6"/>
        <v>0</v>
      </c>
      <c r="I348" s="19"/>
    </row>
    <row r="349" spans="1:12" x14ac:dyDescent="0.25">
      <c r="A349" s="16">
        <v>42740</v>
      </c>
      <c r="B349" s="17" t="s">
        <v>547</v>
      </c>
      <c r="C349" s="18">
        <v>95946</v>
      </c>
      <c r="D349" s="2" t="s">
        <v>55</v>
      </c>
      <c r="E349" s="15">
        <v>16747.2</v>
      </c>
      <c r="F349" s="36" t="s">
        <v>33</v>
      </c>
      <c r="G349" s="15">
        <v>16747.2</v>
      </c>
      <c r="H349" s="15">
        <f t="shared" si="6"/>
        <v>0</v>
      </c>
      <c r="I349" s="19"/>
    </row>
    <row r="350" spans="1:12" x14ac:dyDescent="0.25">
      <c r="A350" s="16">
        <v>42740</v>
      </c>
      <c r="B350" s="17" t="s">
        <v>548</v>
      </c>
      <c r="C350" s="18">
        <v>95947</v>
      </c>
      <c r="D350" s="2" t="s">
        <v>14</v>
      </c>
      <c r="E350" s="15">
        <v>5861.6</v>
      </c>
      <c r="F350" s="36" t="s">
        <v>33</v>
      </c>
      <c r="G350" s="15">
        <v>5861.6</v>
      </c>
      <c r="H350" s="15">
        <f t="shared" si="6"/>
        <v>0</v>
      </c>
      <c r="I350" s="19"/>
    </row>
    <row r="351" spans="1:12" x14ac:dyDescent="0.25">
      <c r="A351" s="16">
        <v>42740</v>
      </c>
      <c r="B351" s="17" t="s">
        <v>549</v>
      </c>
      <c r="C351" s="18">
        <v>95948</v>
      </c>
      <c r="D351" s="2" t="s">
        <v>509</v>
      </c>
      <c r="E351" s="15">
        <v>29179.4</v>
      </c>
      <c r="F351" s="36" t="s">
        <v>129</v>
      </c>
      <c r="G351" s="15">
        <v>29179.4</v>
      </c>
      <c r="H351" s="15">
        <f t="shared" si="6"/>
        <v>0</v>
      </c>
      <c r="I351" s="19"/>
    </row>
    <row r="352" spans="1:12" ht="18.75" x14ac:dyDescent="0.3">
      <c r="A352" s="16">
        <v>42740</v>
      </c>
      <c r="B352" s="17" t="s">
        <v>550</v>
      </c>
      <c r="C352" s="18">
        <v>95949</v>
      </c>
      <c r="D352" s="2" t="s">
        <v>30</v>
      </c>
      <c r="E352" s="15">
        <v>2496.6</v>
      </c>
      <c r="F352" s="36" t="s">
        <v>33</v>
      </c>
      <c r="G352" s="15">
        <v>2496.6</v>
      </c>
      <c r="H352" s="15">
        <f t="shared" si="6"/>
        <v>0</v>
      </c>
      <c r="I352" s="19"/>
      <c r="K352" s="22"/>
      <c r="L352" s="22"/>
    </row>
    <row r="353" spans="1:9" x14ac:dyDescent="0.25">
      <c r="A353" s="16">
        <v>42740</v>
      </c>
      <c r="B353" s="17" t="s">
        <v>551</v>
      </c>
      <c r="C353" s="18">
        <v>95950</v>
      </c>
      <c r="D353" s="2" t="s">
        <v>12</v>
      </c>
      <c r="E353" s="15">
        <v>3121.2</v>
      </c>
      <c r="F353" s="36" t="s">
        <v>533</v>
      </c>
      <c r="G353" s="15">
        <v>3121.2</v>
      </c>
      <c r="H353" s="15">
        <f t="shared" si="6"/>
        <v>0</v>
      </c>
      <c r="I353" s="19"/>
    </row>
    <row r="354" spans="1:9" x14ac:dyDescent="0.25">
      <c r="A354" s="16">
        <v>42740</v>
      </c>
      <c r="B354" s="17" t="s">
        <v>552</v>
      </c>
      <c r="C354" s="18">
        <v>95951</v>
      </c>
      <c r="D354" s="13" t="s">
        <v>229</v>
      </c>
      <c r="E354" s="14">
        <v>0</v>
      </c>
      <c r="F354" s="123" t="s">
        <v>95</v>
      </c>
      <c r="G354" s="14">
        <v>0</v>
      </c>
      <c r="H354" s="14">
        <f t="shared" si="6"/>
        <v>0</v>
      </c>
      <c r="I354" s="19"/>
    </row>
    <row r="355" spans="1:9" x14ac:dyDescent="0.25">
      <c r="A355" s="16">
        <v>42740</v>
      </c>
      <c r="B355" s="17" t="s">
        <v>553</v>
      </c>
      <c r="C355" s="18">
        <v>95952</v>
      </c>
      <c r="D355" s="2" t="s">
        <v>229</v>
      </c>
      <c r="E355" s="15">
        <v>10420</v>
      </c>
      <c r="F355" s="36" t="s">
        <v>129</v>
      </c>
      <c r="G355" s="15">
        <v>10420</v>
      </c>
      <c r="H355" s="15">
        <f t="shared" si="6"/>
        <v>0</v>
      </c>
      <c r="I355" s="19"/>
    </row>
    <row r="356" spans="1:9" x14ac:dyDescent="0.25">
      <c r="A356" s="16">
        <v>42740</v>
      </c>
      <c r="B356" s="17" t="s">
        <v>554</v>
      </c>
      <c r="C356" s="18">
        <v>95953</v>
      </c>
      <c r="D356" s="2" t="s">
        <v>28</v>
      </c>
      <c r="E356" s="15">
        <v>19555.2</v>
      </c>
      <c r="F356" s="36" t="s">
        <v>33</v>
      </c>
      <c r="G356" s="15">
        <v>19555.2</v>
      </c>
      <c r="H356" s="15">
        <f t="shared" si="6"/>
        <v>0</v>
      </c>
      <c r="I356" s="19"/>
    </row>
    <row r="357" spans="1:9" x14ac:dyDescent="0.25">
      <c r="A357" s="16">
        <v>42740</v>
      </c>
      <c r="B357" s="17" t="s">
        <v>555</v>
      </c>
      <c r="C357" s="18">
        <v>95954</v>
      </c>
      <c r="D357" s="2" t="s">
        <v>69</v>
      </c>
      <c r="E357" s="15">
        <v>4484.6000000000004</v>
      </c>
      <c r="F357" s="36" t="s">
        <v>533</v>
      </c>
      <c r="G357" s="15">
        <v>4484.6000000000004</v>
      </c>
      <c r="H357" s="15">
        <f t="shared" si="6"/>
        <v>0</v>
      </c>
      <c r="I357" s="19"/>
    </row>
    <row r="358" spans="1:9" x14ac:dyDescent="0.25">
      <c r="A358" s="16">
        <v>42740</v>
      </c>
      <c r="B358" s="17" t="s">
        <v>556</v>
      </c>
      <c r="C358" s="18">
        <v>95955</v>
      </c>
      <c r="D358" s="2" t="s">
        <v>26</v>
      </c>
      <c r="E358" s="15">
        <v>16163.3</v>
      </c>
      <c r="F358" s="36" t="s">
        <v>33</v>
      </c>
      <c r="G358" s="15">
        <v>16163.3</v>
      </c>
      <c r="H358" s="15">
        <f t="shared" si="6"/>
        <v>0</v>
      </c>
      <c r="I358" s="19"/>
    </row>
    <row r="359" spans="1:9" x14ac:dyDescent="0.25">
      <c r="A359" s="16">
        <v>42740</v>
      </c>
      <c r="B359" s="17" t="s">
        <v>557</v>
      </c>
      <c r="C359" s="18">
        <v>95956</v>
      </c>
      <c r="D359" s="2" t="s">
        <v>47</v>
      </c>
      <c r="E359" s="15">
        <v>3827.6</v>
      </c>
      <c r="F359" s="36" t="s">
        <v>33</v>
      </c>
      <c r="G359" s="15">
        <v>3827.6</v>
      </c>
      <c r="H359" s="15">
        <f t="shared" si="6"/>
        <v>0</v>
      </c>
      <c r="I359" s="19"/>
    </row>
    <row r="360" spans="1:9" x14ac:dyDescent="0.25">
      <c r="A360" s="16">
        <v>42740</v>
      </c>
      <c r="B360" s="17" t="s">
        <v>558</v>
      </c>
      <c r="C360" s="18">
        <v>95957</v>
      </c>
      <c r="D360" s="2" t="s">
        <v>218</v>
      </c>
      <c r="E360" s="15">
        <v>118161.15</v>
      </c>
      <c r="F360" s="36" t="s">
        <v>307</v>
      </c>
      <c r="G360" s="15">
        <v>118161.15</v>
      </c>
      <c r="H360" s="15">
        <f t="shared" si="6"/>
        <v>0</v>
      </c>
      <c r="I360" s="19"/>
    </row>
    <row r="361" spans="1:9" x14ac:dyDescent="0.25">
      <c r="A361" s="16">
        <v>42740</v>
      </c>
      <c r="B361" s="17" t="s">
        <v>559</v>
      </c>
      <c r="C361" s="18">
        <v>95958</v>
      </c>
      <c r="D361" s="2" t="s">
        <v>236</v>
      </c>
      <c r="E361" s="15">
        <v>75399.679999999993</v>
      </c>
      <c r="F361" s="36" t="s">
        <v>237</v>
      </c>
      <c r="G361" s="15">
        <v>75399.679999999993</v>
      </c>
      <c r="H361" s="15">
        <f t="shared" si="6"/>
        <v>0</v>
      </c>
      <c r="I361" s="19"/>
    </row>
    <row r="362" spans="1:9" x14ac:dyDescent="0.25">
      <c r="A362" s="16">
        <v>42740</v>
      </c>
      <c r="B362" s="17" t="s">
        <v>560</v>
      </c>
      <c r="C362" s="18">
        <v>95959</v>
      </c>
      <c r="D362" s="2" t="s">
        <v>298</v>
      </c>
      <c r="E362" s="15">
        <v>3687.9</v>
      </c>
      <c r="F362" s="36" t="s">
        <v>33</v>
      </c>
      <c r="G362" s="15">
        <v>3687.9</v>
      </c>
      <c r="H362" s="15">
        <f t="shared" si="6"/>
        <v>0</v>
      </c>
      <c r="I362" s="19"/>
    </row>
    <row r="363" spans="1:9" x14ac:dyDescent="0.25">
      <c r="A363" s="16">
        <v>42740</v>
      </c>
      <c r="B363" s="17" t="s">
        <v>561</v>
      </c>
      <c r="C363" s="18">
        <v>95960</v>
      </c>
      <c r="D363" s="2" t="s">
        <v>67</v>
      </c>
      <c r="E363" s="15">
        <v>18332.8</v>
      </c>
      <c r="F363" s="36" t="s">
        <v>215</v>
      </c>
      <c r="G363" s="15">
        <v>18332.8</v>
      </c>
      <c r="H363" s="15">
        <f t="shared" si="6"/>
        <v>0</v>
      </c>
      <c r="I363" s="19"/>
    </row>
    <row r="364" spans="1:9" x14ac:dyDescent="0.25">
      <c r="A364" s="16">
        <v>42740</v>
      </c>
      <c r="B364" s="17" t="s">
        <v>562</v>
      </c>
      <c r="C364" s="18">
        <v>95961</v>
      </c>
      <c r="D364" s="13" t="s">
        <v>563</v>
      </c>
      <c r="E364" s="14">
        <v>0</v>
      </c>
      <c r="F364" s="123" t="s">
        <v>95</v>
      </c>
      <c r="G364" s="14">
        <v>0</v>
      </c>
      <c r="H364" s="14">
        <f t="shared" si="6"/>
        <v>0</v>
      </c>
      <c r="I364" s="19"/>
    </row>
    <row r="365" spans="1:9" ht="15.75" customHeight="1" x14ac:dyDescent="0.25">
      <c r="A365" s="16">
        <v>42740</v>
      </c>
      <c r="B365" s="17" t="s">
        <v>564</v>
      </c>
      <c r="C365" s="18">
        <v>95962</v>
      </c>
      <c r="D365" s="2" t="s">
        <v>35</v>
      </c>
      <c r="E365" s="15">
        <v>15649.7</v>
      </c>
      <c r="F365" s="36" t="s">
        <v>123</v>
      </c>
      <c r="G365" s="15">
        <v>15649.7</v>
      </c>
      <c r="H365" s="15">
        <f t="shared" si="6"/>
        <v>0</v>
      </c>
      <c r="I365" s="19"/>
    </row>
    <row r="366" spans="1:9" x14ac:dyDescent="0.25">
      <c r="A366" s="16">
        <v>42740</v>
      </c>
      <c r="B366" s="17" t="s">
        <v>565</v>
      </c>
      <c r="C366" s="18">
        <v>95963</v>
      </c>
      <c r="D366" s="2" t="s">
        <v>38</v>
      </c>
      <c r="E366" s="15">
        <v>5575.2</v>
      </c>
      <c r="F366" s="36" t="s">
        <v>123</v>
      </c>
      <c r="G366" s="15">
        <v>5575.2</v>
      </c>
      <c r="H366" s="15">
        <f t="shared" si="6"/>
        <v>0</v>
      </c>
      <c r="I366" s="19"/>
    </row>
    <row r="367" spans="1:9" x14ac:dyDescent="0.25">
      <c r="A367" s="16">
        <v>42740</v>
      </c>
      <c r="B367" s="17" t="s">
        <v>566</v>
      </c>
      <c r="C367" s="18">
        <v>95964</v>
      </c>
      <c r="D367" s="2" t="s">
        <v>240</v>
      </c>
      <c r="E367" s="15">
        <v>3891.6</v>
      </c>
      <c r="F367" s="36">
        <v>42741</v>
      </c>
      <c r="G367" s="15">
        <v>3891.6</v>
      </c>
      <c r="H367" s="15">
        <f t="shared" si="6"/>
        <v>0</v>
      </c>
      <c r="I367" s="19"/>
    </row>
    <row r="368" spans="1:9" x14ac:dyDescent="0.25">
      <c r="A368" s="16">
        <v>42740</v>
      </c>
      <c r="B368" s="17" t="s">
        <v>567</v>
      </c>
      <c r="C368" s="18">
        <v>95965</v>
      </c>
      <c r="D368" s="2" t="s">
        <v>43</v>
      </c>
      <c r="E368" s="15">
        <v>1235</v>
      </c>
      <c r="F368" s="36" t="s">
        <v>123</v>
      </c>
      <c r="G368" s="15">
        <v>1235</v>
      </c>
      <c r="H368" s="15">
        <f t="shared" si="6"/>
        <v>0</v>
      </c>
      <c r="I368" s="19"/>
    </row>
    <row r="369" spans="1:9" x14ac:dyDescent="0.25">
      <c r="A369" s="16">
        <v>42740</v>
      </c>
      <c r="B369" s="17" t="s">
        <v>568</v>
      </c>
      <c r="C369" s="18">
        <v>95966</v>
      </c>
      <c r="D369" s="2" t="s">
        <v>40</v>
      </c>
      <c r="E369" s="15">
        <v>4038.8</v>
      </c>
      <c r="F369" s="36" t="s">
        <v>123</v>
      </c>
      <c r="G369" s="15">
        <v>4038.8</v>
      </c>
      <c r="H369" s="15">
        <f t="shared" si="6"/>
        <v>0</v>
      </c>
      <c r="I369" s="19"/>
    </row>
    <row r="370" spans="1:9" x14ac:dyDescent="0.25">
      <c r="A370" s="16">
        <v>42740</v>
      </c>
      <c r="B370" s="17" t="s">
        <v>569</v>
      </c>
      <c r="C370" s="18">
        <v>95967</v>
      </c>
      <c r="D370" s="2" t="s">
        <v>49</v>
      </c>
      <c r="E370" s="15">
        <v>13478</v>
      </c>
      <c r="F370" s="36" t="s">
        <v>123</v>
      </c>
      <c r="G370" s="15">
        <v>13478</v>
      </c>
      <c r="H370" s="15">
        <f t="shared" si="6"/>
        <v>0</v>
      </c>
      <c r="I370" s="19"/>
    </row>
    <row r="371" spans="1:9" x14ac:dyDescent="0.25">
      <c r="A371" s="16">
        <v>42740</v>
      </c>
      <c r="B371" s="17" t="s">
        <v>570</v>
      </c>
      <c r="C371" s="18">
        <v>95968</v>
      </c>
      <c r="D371" s="13" t="s">
        <v>67</v>
      </c>
      <c r="E371" s="14">
        <v>0</v>
      </c>
      <c r="F371" s="123" t="s">
        <v>95</v>
      </c>
      <c r="G371" s="14">
        <v>0</v>
      </c>
      <c r="H371" s="14">
        <f t="shared" si="6"/>
        <v>0</v>
      </c>
      <c r="I371" s="19"/>
    </row>
    <row r="372" spans="1:9" x14ac:dyDescent="0.25">
      <c r="A372" s="16">
        <v>42740</v>
      </c>
      <c r="B372" s="17" t="s">
        <v>571</v>
      </c>
      <c r="C372" s="18">
        <v>95969</v>
      </c>
      <c r="D372" s="2" t="s">
        <v>32</v>
      </c>
      <c r="E372" s="15">
        <v>7932.9</v>
      </c>
      <c r="F372" s="36" t="s">
        <v>107</v>
      </c>
      <c r="G372" s="15">
        <v>7932.9</v>
      </c>
      <c r="H372" s="15">
        <f t="shared" si="6"/>
        <v>0</v>
      </c>
      <c r="I372" s="19"/>
    </row>
    <row r="373" spans="1:9" x14ac:dyDescent="0.25">
      <c r="A373" s="16">
        <v>42740</v>
      </c>
      <c r="B373" s="17" t="s">
        <v>572</v>
      </c>
      <c r="C373" s="18">
        <v>95970</v>
      </c>
      <c r="D373" s="2" t="s">
        <v>67</v>
      </c>
      <c r="E373" s="15">
        <v>3161.6</v>
      </c>
      <c r="F373" s="36" t="s">
        <v>215</v>
      </c>
      <c r="G373" s="15">
        <v>3161.6</v>
      </c>
      <c r="H373" s="15">
        <f t="shared" si="6"/>
        <v>0</v>
      </c>
      <c r="I373" s="19"/>
    </row>
    <row r="374" spans="1:9" x14ac:dyDescent="0.25">
      <c r="A374" s="16">
        <v>42740</v>
      </c>
      <c r="B374" s="17" t="s">
        <v>573</v>
      </c>
      <c r="C374" s="18">
        <v>95971</v>
      </c>
      <c r="D374" s="2" t="s">
        <v>253</v>
      </c>
      <c r="E374" s="15">
        <v>8404.6</v>
      </c>
      <c r="F374" s="124" t="s">
        <v>574</v>
      </c>
      <c r="G374" s="20">
        <f>5700+2704.6</f>
        <v>8404.6</v>
      </c>
      <c r="H374" s="20">
        <f t="shared" si="6"/>
        <v>0</v>
      </c>
      <c r="I374" s="19"/>
    </row>
    <row r="375" spans="1:9" x14ac:dyDescent="0.25">
      <c r="A375" s="16">
        <v>42740</v>
      </c>
      <c r="B375" s="17" t="s">
        <v>575</v>
      </c>
      <c r="C375" s="18">
        <v>95972</v>
      </c>
      <c r="D375" s="2" t="s">
        <v>576</v>
      </c>
      <c r="E375" s="15">
        <v>5004.6000000000004</v>
      </c>
      <c r="F375" s="36">
        <v>42741</v>
      </c>
      <c r="G375" s="15">
        <v>5004.6000000000004</v>
      </c>
      <c r="H375" s="15">
        <f t="shared" si="6"/>
        <v>0</v>
      </c>
      <c r="I375" s="19"/>
    </row>
    <row r="376" spans="1:9" x14ac:dyDescent="0.25">
      <c r="A376" s="16">
        <v>42740</v>
      </c>
      <c r="B376" s="17" t="s">
        <v>577</v>
      </c>
      <c r="C376" s="18">
        <v>95973</v>
      </c>
      <c r="D376" s="2" t="s">
        <v>409</v>
      </c>
      <c r="E376" s="15">
        <v>7054</v>
      </c>
      <c r="F376" s="36" t="s">
        <v>123</v>
      </c>
      <c r="G376" s="15">
        <v>7054</v>
      </c>
      <c r="H376" s="15">
        <f t="shared" si="6"/>
        <v>0</v>
      </c>
      <c r="I376" s="19"/>
    </row>
    <row r="377" spans="1:9" x14ac:dyDescent="0.25">
      <c r="A377" s="16">
        <v>42740</v>
      </c>
      <c r="B377" s="17" t="s">
        <v>578</v>
      </c>
      <c r="C377" s="18">
        <v>95974</v>
      </c>
      <c r="D377" s="2" t="s">
        <v>428</v>
      </c>
      <c r="E377" s="15">
        <v>1499.9</v>
      </c>
      <c r="F377" s="36" t="s">
        <v>123</v>
      </c>
      <c r="G377" s="15">
        <v>1499.9</v>
      </c>
      <c r="H377" s="15">
        <f t="shared" si="6"/>
        <v>0</v>
      </c>
      <c r="I377" s="19"/>
    </row>
    <row r="378" spans="1:9" x14ac:dyDescent="0.25">
      <c r="A378" s="16">
        <v>42740</v>
      </c>
      <c r="B378" s="17" t="s">
        <v>579</v>
      </c>
      <c r="C378" s="18">
        <v>95975</v>
      </c>
      <c r="D378" s="2" t="s">
        <v>71</v>
      </c>
      <c r="E378" s="15">
        <v>1890</v>
      </c>
      <c r="F378" s="36" t="s">
        <v>33</v>
      </c>
      <c r="G378" s="15">
        <v>1890</v>
      </c>
      <c r="H378" s="15">
        <f t="shared" si="6"/>
        <v>0</v>
      </c>
      <c r="I378" s="19"/>
    </row>
    <row r="379" spans="1:9" x14ac:dyDescent="0.25">
      <c r="A379" s="16">
        <v>42740</v>
      </c>
      <c r="B379" s="17" t="s">
        <v>580</v>
      </c>
      <c r="C379" s="18">
        <v>95976</v>
      </c>
      <c r="D379" s="2" t="s">
        <v>17</v>
      </c>
      <c r="E379" s="15">
        <v>2500</v>
      </c>
      <c r="F379" s="36" t="s">
        <v>33</v>
      </c>
      <c r="G379" s="15">
        <v>2500</v>
      </c>
      <c r="H379" s="15">
        <f t="shared" si="6"/>
        <v>0</v>
      </c>
      <c r="I379" s="19"/>
    </row>
    <row r="380" spans="1:9" x14ac:dyDescent="0.25">
      <c r="A380" s="16">
        <v>42740</v>
      </c>
      <c r="B380" s="17" t="s">
        <v>581</v>
      </c>
      <c r="C380" s="18">
        <v>95977</v>
      </c>
      <c r="D380" s="2" t="s">
        <v>250</v>
      </c>
      <c r="E380" s="15">
        <v>868.4</v>
      </c>
      <c r="F380" s="36">
        <v>42741</v>
      </c>
      <c r="G380" s="15">
        <v>868.4</v>
      </c>
      <c r="H380" s="15">
        <f t="shared" si="6"/>
        <v>0</v>
      </c>
      <c r="I380" s="19"/>
    </row>
    <row r="381" spans="1:9" x14ac:dyDescent="0.25">
      <c r="A381" s="16">
        <v>42740</v>
      </c>
      <c r="B381" s="17" t="s">
        <v>582</v>
      </c>
      <c r="C381" s="18">
        <v>95978</v>
      </c>
      <c r="D381" s="2" t="s">
        <v>432</v>
      </c>
      <c r="E381" s="15">
        <v>15377.8</v>
      </c>
      <c r="F381" s="36" t="s">
        <v>275</v>
      </c>
      <c r="G381" s="15">
        <v>15377.8</v>
      </c>
      <c r="H381" s="15">
        <f t="shared" si="6"/>
        <v>0</v>
      </c>
      <c r="I381" s="19"/>
    </row>
    <row r="382" spans="1:9" x14ac:dyDescent="0.25">
      <c r="A382" s="16">
        <v>42740</v>
      </c>
      <c r="B382" s="17" t="s">
        <v>583</v>
      </c>
      <c r="C382" s="18">
        <v>95979</v>
      </c>
      <c r="D382" s="2" t="s">
        <v>268</v>
      </c>
      <c r="E382" s="15">
        <v>14411.8</v>
      </c>
      <c r="F382" s="36" t="s">
        <v>275</v>
      </c>
      <c r="G382" s="15">
        <v>14411.8</v>
      </c>
      <c r="H382" s="15">
        <f t="shared" si="6"/>
        <v>0</v>
      </c>
      <c r="I382" s="19"/>
    </row>
    <row r="383" spans="1:9" x14ac:dyDescent="0.25">
      <c r="A383" s="16">
        <v>42740</v>
      </c>
      <c r="B383" s="17" t="s">
        <v>584</v>
      </c>
      <c r="C383" s="18">
        <v>95980</v>
      </c>
      <c r="D383" s="2" t="s">
        <v>274</v>
      </c>
      <c r="E383" s="15">
        <v>2963.8</v>
      </c>
      <c r="F383" s="36" t="s">
        <v>215</v>
      </c>
      <c r="G383" s="15">
        <v>2963.8</v>
      </c>
      <c r="H383" s="15">
        <f t="shared" si="6"/>
        <v>0</v>
      </c>
      <c r="I383" s="19"/>
    </row>
    <row r="384" spans="1:9" x14ac:dyDescent="0.25">
      <c r="A384" s="16">
        <v>42740</v>
      </c>
      <c r="B384" s="17" t="s">
        <v>585</v>
      </c>
      <c r="C384" s="18">
        <v>95981</v>
      </c>
      <c r="D384" s="2" t="s">
        <v>79</v>
      </c>
      <c r="E384" s="15">
        <v>4209.2</v>
      </c>
      <c r="F384" s="36" t="s">
        <v>33</v>
      </c>
      <c r="G384" s="15">
        <v>4209.2</v>
      </c>
      <c r="H384" s="15">
        <f t="shared" si="6"/>
        <v>0</v>
      </c>
      <c r="I384" s="19"/>
    </row>
    <row r="385" spans="1:9" x14ac:dyDescent="0.25">
      <c r="A385" s="16">
        <v>42740</v>
      </c>
      <c r="B385" s="17" t="s">
        <v>586</v>
      </c>
      <c r="C385" s="18">
        <v>95982</v>
      </c>
      <c r="D385" s="2" t="s">
        <v>430</v>
      </c>
      <c r="E385" s="15">
        <v>1069.5</v>
      </c>
      <c r="F385" s="36" t="s">
        <v>33</v>
      </c>
      <c r="G385" s="15">
        <v>1069.5</v>
      </c>
      <c r="H385" s="15">
        <f t="shared" si="6"/>
        <v>0</v>
      </c>
      <c r="I385" s="19"/>
    </row>
    <row r="386" spans="1:9" x14ac:dyDescent="0.25">
      <c r="A386" s="16">
        <v>42740</v>
      </c>
      <c r="B386" s="17" t="s">
        <v>587</v>
      </c>
      <c r="C386" s="18">
        <v>95983</v>
      </c>
      <c r="D386" s="2" t="s">
        <v>103</v>
      </c>
      <c r="E386" s="15">
        <v>3746.4</v>
      </c>
      <c r="F386" s="36" t="s">
        <v>215</v>
      </c>
      <c r="G386" s="15">
        <v>3746.4</v>
      </c>
      <c r="H386" s="15">
        <f t="shared" si="6"/>
        <v>0</v>
      </c>
      <c r="I386" s="19"/>
    </row>
    <row r="387" spans="1:9" x14ac:dyDescent="0.25">
      <c r="A387" s="16">
        <v>42740</v>
      </c>
      <c r="B387" s="17" t="s">
        <v>588</v>
      </c>
      <c r="C387" s="18">
        <v>95984</v>
      </c>
      <c r="D387" s="2" t="s">
        <v>442</v>
      </c>
      <c r="E387" s="15">
        <v>1307.52</v>
      </c>
      <c r="F387" s="36" t="s">
        <v>215</v>
      </c>
      <c r="G387" s="15">
        <v>1307.52</v>
      </c>
      <c r="H387" s="15">
        <f t="shared" si="6"/>
        <v>0</v>
      </c>
      <c r="I387" s="19"/>
    </row>
    <row r="388" spans="1:9" x14ac:dyDescent="0.25">
      <c r="A388" s="16">
        <v>42740</v>
      </c>
      <c r="B388" s="17" t="s">
        <v>589</v>
      </c>
      <c r="C388" s="18">
        <v>95985</v>
      </c>
      <c r="D388" s="2" t="s">
        <v>590</v>
      </c>
      <c r="E388" s="15">
        <v>4836.8</v>
      </c>
      <c r="F388" s="36" t="s">
        <v>215</v>
      </c>
      <c r="G388" s="15">
        <v>4836.8</v>
      </c>
      <c r="H388" s="15">
        <f t="shared" si="6"/>
        <v>0</v>
      </c>
      <c r="I388" s="19"/>
    </row>
    <row r="389" spans="1:9" x14ac:dyDescent="0.25">
      <c r="A389" s="16">
        <v>42740</v>
      </c>
      <c r="B389" s="17" t="s">
        <v>591</v>
      </c>
      <c r="C389" s="18">
        <v>95986</v>
      </c>
      <c r="D389" s="2" t="s">
        <v>590</v>
      </c>
      <c r="E389" s="15">
        <v>3639.4</v>
      </c>
      <c r="F389" s="36" t="s">
        <v>215</v>
      </c>
      <c r="G389" s="15">
        <v>3639.4</v>
      </c>
      <c r="H389" s="15">
        <f t="shared" si="6"/>
        <v>0</v>
      </c>
      <c r="I389" s="19"/>
    </row>
    <row r="390" spans="1:9" x14ac:dyDescent="0.25">
      <c r="A390" s="16">
        <v>42740</v>
      </c>
      <c r="B390" s="17" t="s">
        <v>592</v>
      </c>
      <c r="C390" s="18">
        <v>95987</v>
      </c>
      <c r="D390" s="2" t="s">
        <v>462</v>
      </c>
      <c r="E390" s="15">
        <v>7468.3</v>
      </c>
      <c r="F390" s="36" t="s">
        <v>33</v>
      </c>
      <c r="G390" s="15">
        <v>7468.3</v>
      </c>
      <c r="H390" s="15">
        <f t="shared" ref="H390:H453" si="7">E390-G390</f>
        <v>0</v>
      </c>
      <c r="I390" s="19"/>
    </row>
    <row r="391" spans="1:9" x14ac:dyDescent="0.25">
      <c r="A391" s="16">
        <v>42740</v>
      </c>
      <c r="B391" s="17" t="s">
        <v>593</v>
      </c>
      <c r="C391" s="18">
        <v>95988</v>
      </c>
      <c r="D391" s="2" t="s">
        <v>111</v>
      </c>
      <c r="E391" s="15">
        <v>37485.58</v>
      </c>
      <c r="F391" s="36" t="s">
        <v>33</v>
      </c>
      <c r="G391" s="15">
        <v>37485.58</v>
      </c>
      <c r="H391" s="15">
        <f t="shared" si="7"/>
        <v>0</v>
      </c>
      <c r="I391" s="19"/>
    </row>
    <row r="392" spans="1:9" x14ac:dyDescent="0.25">
      <c r="A392" s="16">
        <v>42740</v>
      </c>
      <c r="B392" s="17" t="s">
        <v>594</v>
      </c>
      <c r="C392" s="18">
        <v>95989</v>
      </c>
      <c r="D392" s="2" t="s">
        <v>184</v>
      </c>
      <c r="E392" s="15">
        <v>3701.6</v>
      </c>
      <c r="F392" s="36" t="s">
        <v>237</v>
      </c>
      <c r="G392" s="15">
        <v>3701.6</v>
      </c>
      <c r="H392" s="15">
        <f t="shared" si="7"/>
        <v>0</v>
      </c>
      <c r="I392" s="19"/>
    </row>
    <row r="393" spans="1:9" x14ac:dyDescent="0.25">
      <c r="A393" s="16">
        <v>42740</v>
      </c>
      <c r="B393" s="17" t="s">
        <v>595</v>
      </c>
      <c r="C393" s="18">
        <v>95990</v>
      </c>
      <c r="D393" s="2" t="s">
        <v>270</v>
      </c>
      <c r="E393" s="15">
        <v>2070.6999999999998</v>
      </c>
      <c r="F393" s="36" t="s">
        <v>215</v>
      </c>
      <c r="G393" s="15">
        <v>2070.6999999999998</v>
      </c>
      <c r="H393" s="15">
        <f t="shared" si="7"/>
        <v>0</v>
      </c>
      <c r="I393" s="19"/>
    </row>
    <row r="394" spans="1:9" x14ac:dyDescent="0.25">
      <c r="A394" s="16">
        <v>42740</v>
      </c>
      <c r="B394" s="17" t="s">
        <v>596</v>
      </c>
      <c r="C394" s="18">
        <v>95991</v>
      </c>
      <c r="D394" s="2" t="s">
        <v>472</v>
      </c>
      <c r="E394" s="15">
        <v>16804.8</v>
      </c>
      <c r="F394" s="36" t="s">
        <v>33</v>
      </c>
      <c r="G394" s="15">
        <v>16804.8</v>
      </c>
      <c r="H394" s="15">
        <f t="shared" si="7"/>
        <v>0</v>
      </c>
      <c r="I394" s="19"/>
    </row>
    <row r="395" spans="1:9" x14ac:dyDescent="0.25">
      <c r="A395" s="16">
        <v>42740</v>
      </c>
      <c r="B395" s="17" t="s">
        <v>597</v>
      </c>
      <c r="C395" s="18">
        <v>95992</v>
      </c>
      <c r="D395" s="2" t="s">
        <v>492</v>
      </c>
      <c r="E395" s="15">
        <v>27475.4</v>
      </c>
      <c r="F395" s="36" t="s">
        <v>493</v>
      </c>
      <c r="G395" s="15">
        <v>27475.4</v>
      </c>
      <c r="H395" s="15">
        <f t="shared" si="7"/>
        <v>0</v>
      </c>
      <c r="I395" s="19"/>
    </row>
    <row r="396" spans="1:9" x14ac:dyDescent="0.25">
      <c r="A396" s="16">
        <v>42740</v>
      </c>
      <c r="B396" s="17" t="s">
        <v>598</v>
      </c>
      <c r="C396" s="18">
        <v>95993</v>
      </c>
      <c r="D396" s="2" t="s">
        <v>277</v>
      </c>
      <c r="E396" s="15">
        <v>4241.3999999999996</v>
      </c>
      <c r="F396" s="36" t="s">
        <v>33</v>
      </c>
      <c r="G396" s="15">
        <v>4241.3999999999996</v>
      </c>
      <c r="H396" s="15">
        <f t="shared" si="7"/>
        <v>0</v>
      </c>
      <c r="I396" s="19"/>
    </row>
    <row r="397" spans="1:9" x14ac:dyDescent="0.25">
      <c r="A397" s="16">
        <v>42740</v>
      </c>
      <c r="B397" s="17" t="s">
        <v>599</v>
      </c>
      <c r="C397" s="18">
        <v>95994</v>
      </c>
      <c r="D397" s="2" t="s">
        <v>302</v>
      </c>
      <c r="E397" s="15">
        <v>7667.2</v>
      </c>
      <c r="F397" s="36" t="s">
        <v>33</v>
      </c>
      <c r="G397" s="15">
        <v>7667.2</v>
      </c>
      <c r="H397" s="15">
        <f t="shared" si="7"/>
        <v>0</v>
      </c>
      <c r="I397" s="19"/>
    </row>
    <row r="398" spans="1:9" x14ac:dyDescent="0.25">
      <c r="A398" s="16">
        <v>42740</v>
      </c>
      <c r="B398" s="17" t="s">
        <v>600</v>
      </c>
      <c r="C398" s="18">
        <v>95995</v>
      </c>
      <c r="D398" s="2" t="s">
        <v>291</v>
      </c>
      <c r="E398" s="15">
        <v>2678.4</v>
      </c>
      <c r="F398" s="36" t="s">
        <v>33</v>
      </c>
      <c r="G398" s="15">
        <v>2678.4</v>
      </c>
      <c r="H398" s="15">
        <f t="shared" si="7"/>
        <v>0</v>
      </c>
      <c r="I398" s="19"/>
    </row>
    <row r="399" spans="1:9" x14ac:dyDescent="0.25">
      <c r="A399" s="16">
        <v>42740</v>
      </c>
      <c r="B399" s="17" t="s">
        <v>601</v>
      </c>
      <c r="C399" s="18">
        <v>95996</v>
      </c>
      <c r="D399" s="2" t="s">
        <v>105</v>
      </c>
      <c r="E399" s="15">
        <v>757.9</v>
      </c>
      <c r="F399" s="36" t="s">
        <v>33</v>
      </c>
      <c r="G399" s="15">
        <v>757.9</v>
      </c>
      <c r="H399" s="15">
        <f t="shared" si="7"/>
        <v>0</v>
      </c>
      <c r="I399" s="19"/>
    </row>
    <row r="400" spans="1:9" x14ac:dyDescent="0.25">
      <c r="A400" s="16">
        <v>42740</v>
      </c>
      <c r="B400" s="17" t="s">
        <v>602</v>
      </c>
      <c r="C400" s="18">
        <v>95997</v>
      </c>
      <c r="D400" s="2" t="s">
        <v>88</v>
      </c>
      <c r="E400" s="15">
        <v>1610</v>
      </c>
      <c r="F400" s="36" t="s">
        <v>33</v>
      </c>
      <c r="G400" s="15">
        <v>1610</v>
      </c>
      <c r="H400" s="15">
        <f t="shared" si="7"/>
        <v>0</v>
      </c>
      <c r="I400" s="19"/>
    </row>
    <row r="401" spans="1:9" x14ac:dyDescent="0.25">
      <c r="A401" s="16">
        <v>42740</v>
      </c>
      <c r="B401" s="17" t="s">
        <v>603</v>
      </c>
      <c r="C401" s="18">
        <v>95998</v>
      </c>
      <c r="D401" s="2" t="s">
        <v>88</v>
      </c>
      <c r="E401" s="15">
        <v>2106</v>
      </c>
      <c r="F401" s="36" t="s">
        <v>33</v>
      </c>
      <c r="G401" s="15">
        <v>2106</v>
      </c>
      <c r="H401" s="15">
        <f t="shared" si="7"/>
        <v>0</v>
      </c>
      <c r="I401" s="19"/>
    </row>
    <row r="402" spans="1:9" x14ac:dyDescent="0.25">
      <c r="A402" s="16">
        <v>42740</v>
      </c>
      <c r="B402" s="17" t="s">
        <v>604</v>
      </c>
      <c r="C402" s="18">
        <v>95999</v>
      </c>
      <c r="D402" s="2" t="s">
        <v>122</v>
      </c>
      <c r="E402" s="15">
        <v>33214.9</v>
      </c>
      <c r="F402" s="36" t="s">
        <v>123</v>
      </c>
      <c r="G402" s="15">
        <v>33214.9</v>
      </c>
      <c r="H402" s="15">
        <f t="shared" si="7"/>
        <v>0</v>
      </c>
      <c r="I402" s="19"/>
    </row>
    <row r="403" spans="1:9" x14ac:dyDescent="0.25">
      <c r="A403" s="16">
        <v>42740</v>
      </c>
      <c r="B403" s="17" t="s">
        <v>605</v>
      </c>
      <c r="C403" s="18">
        <v>96000</v>
      </c>
      <c r="D403" s="2" t="s">
        <v>281</v>
      </c>
      <c r="E403" s="15">
        <v>1370</v>
      </c>
      <c r="F403" s="36" t="s">
        <v>33</v>
      </c>
      <c r="G403" s="15">
        <v>1370</v>
      </c>
      <c r="H403" s="15">
        <f t="shared" si="7"/>
        <v>0</v>
      </c>
      <c r="I403" s="19"/>
    </row>
    <row r="404" spans="1:9" x14ac:dyDescent="0.25">
      <c r="A404" s="16">
        <v>42740</v>
      </c>
      <c r="B404" s="17" t="s">
        <v>606</v>
      </c>
      <c r="C404" s="18">
        <v>96001</v>
      </c>
      <c r="D404" s="2" t="s">
        <v>99</v>
      </c>
      <c r="E404" s="15">
        <v>2990</v>
      </c>
      <c r="F404" s="36" t="s">
        <v>33</v>
      </c>
      <c r="G404" s="15">
        <v>2990</v>
      </c>
      <c r="H404" s="15">
        <f t="shared" si="7"/>
        <v>0</v>
      </c>
      <c r="I404" s="19"/>
    </row>
    <row r="405" spans="1:9" x14ac:dyDescent="0.25">
      <c r="A405" s="16">
        <v>42740</v>
      </c>
      <c r="B405" s="17" t="s">
        <v>607</v>
      </c>
      <c r="C405" s="18">
        <v>96002</v>
      </c>
      <c r="D405" s="2" t="s">
        <v>103</v>
      </c>
      <c r="E405" s="15">
        <v>129.19999999999999</v>
      </c>
      <c r="F405" s="36" t="s">
        <v>215</v>
      </c>
      <c r="G405" s="15">
        <v>129.19999999999999</v>
      </c>
      <c r="H405" s="15">
        <f t="shared" si="7"/>
        <v>0</v>
      </c>
      <c r="I405" s="19"/>
    </row>
    <row r="406" spans="1:9" x14ac:dyDescent="0.25">
      <c r="A406" s="16">
        <v>42740</v>
      </c>
      <c r="B406" s="17" t="s">
        <v>608</v>
      </c>
      <c r="C406" s="18">
        <v>96003</v>
      </c>
      <c r="D406" s="2" t="s">
        <v>609</v>
      </c>
      <c r="E406" s="15">
        <v>57491.199999999997</v>
      </c>
      <c r="F406" s="36" t="s">
        <v>107</v>
      </c>
      <c r="G406" s="15">
        <v>57491.199999999997</v>
      </c>
      <c r="H406" s="15">
        <f t="shared" si="7"/>
        <v>0</v>
      </c>
      <c r="I406" s="19"/>
    </row>
    <row r="407" spans="1:9" x14ac:dyDescent="0.25">
      <c r="A407" s="16">
        <v>42740</v>
      </c>
      <c r="B407" s="17" t="s">
        <v>610</v>
      </c>
      <c r="C407" s="18">
        <v>96004</v>
      </c>
      <c r="D407" s="2" t="s">
        <v>118</v>
      </c>
      <c r="E407" s="15">
        <v>33329.599999999999</v>
      </c>
      <c r="F407" s="36" t="s">
        <v>33</v>
      </c>
      <c r="G407" s="15">
        <v>33329.599999999999</v>
      </c>
      <c r="H407" s="15">
        <f t="shared" si="7"/>
        <v>0</v>
      </c>
      <c r="I407" s="19"/>
    </row>
    <row r="408" spans="1:9" x14ac:dyDescent="0.25">
      <c r="A408" s="16">
        <v>42740</v>
      </c>
      <c r="B408" s="17" t="s">
        <v>611</v>
      </c>
      <c r="C408" s="18">
        <v>96005</v>
      </c>
      <c r="D408" s="2" t="s">
        <v>83</v>
      </c>
      <c r="E408" s="15">
        <v>12678.2</v>
      </c>
      <c r="F408" s="36" t="s">
        <v>33</v>
      </c>
      <c r="G408" s="15">
        <v>12678.2</v>
      </c>
      <c r="H408" s="15">
        <f t="shared" si="7"/>
        <v>0</v>
      </c>
      <c r="I408" s="19"/>
    </row>
    <row r="409" spans="1:9" x14ac:dyDescent="0.25">
      <c r="A409" s="16">
        <v>42740</v>
      </c>
      <c r="B409" s="17" t="s">
        <v>612</v>
      </c>
      <c r="C409" s="18">
        <v>96006</v>
      </c>
      <c r="D409" s="2" t="s">
        <v>613</v>
      </c>
      <c r="E409" s="15">
        <v>5659.2</v>
      </c>
      <c r="F409" s="36" t="s">
        <v>33</v>
      </c>
      <c r="G409" s="15">
        <v>5659.2</v>
      </c>
      <c r="H409" s="15">
        <f t="shared" si="7"/>
        <v>0</v>
      </c>
      <c r="I409" s="19"/>
    </row>
    <row r="410" spans="1:9" x14ac:dyDescent="0.25">
      <c r="A410" s="16">
        <v>42740</v>
      </c>
      <c r="B410" s="17" t="s">
        <v>614</v>
      </c>
      <c r="C410" s="18">
        <v>96007</v>
      </c>
      <c r="D410" s="2" t="s">
        <v>92</v>
      </c>
      <c r="E410" s="15">
        <v>3407.9</v>
      </c>
      <c r="F410" s="36" t="s">
        <v>33</v>
      </c>
      <c r="G410" s="15">
        <v>3407.9</v>
      </c>
      <c r="H410" s="15">
        <f t="shared" si="7"/>
        <v>0</v>
      </c>
      <c r="I410" s="19"/>
    </row>
    <row r="411" spans="1:9" x14ac:dyDescent="0.25">
      <c r="A411" s="16">
        <v>42740</v>
      </c>
      <c r="B411" s="17" t="s">
        <v>615</v>
      </c>
      <c r="C411" s="18">
        <v>96008</v>
      </c>
      <c r="D411" s="13" t="s">
        <v>149</v>
      </c>
      <c r="E411" s="14">
        <v>0</v>
      </c>
      <c r="F411" s="123" t="s">
        <v>95</v>
      </c>
      <c r="G411" s="14">
        <v>0</v>
      </c>
      <c r="H411" s="14">
        <f t="shared" si="7"/>
        <v>0</v>
      </c>
      <c r="I411" s="19"/>
    </row>
    <row r="412" spans="1:9" x14ac:dyDescent="0.25">
      <c r="A412" s="16">
        <v>42740</v>
      </c>
      <c r="B412" s="17" t="s">
        <v>616</v>
      </c>
      <c r="C412" s="18">
        <v>96009</v>
      </c>
      <c r="D412" s="13" t="s">
        <v>149</v>
      </c>
      <c r="E412" s="14">
        <v>0</v>
      </c>
      <c r="F412" s="123" t="s">
        <v>95</v>
      </c>
      <c r="G412" s="14">
        <v>0</v>
      </c>
      <c r="H412" s="14">
        <f t="shared" si="7"/>
        <v>0</v>
      </c>
      <c r="I412" s="19"/>
    </row>
    <row r="413" spans="1:9" x14ac:dyDescent="0.25">
      <c r="A413" s="16">
        <v>42740</v>
      </c>
      <c r="B413" s="17" t="s">
        <v>617</v>
      </c>
      <c r="C413" s="18">
        <v>96010</v>
      </c>
      <c r="D413" s="2" t="s">
        <v>149</v>
      </c>
      <c r="E413" s="15">
        <v>1314.5</v>
      </c>
      <c r="F413" s="36" t="s">
        <v>33</v>
      </c>
      <c r="G413" s="15">
        <v>1314.5</v>
      </c>
      <c r="H413" s="15">
        <f t="shared" si="7"/>
        <v>0</v>
      </c>
      <c r="I413" s="19"/>
    </row>
    <row r="414" spans="1:9" x14ac:dyDescent="0.25">
      <c r="A414" s="16">
        <v>42740</v>
      </c>
      <c r="B414" s="17" t="s">
        <v>618</v>
      </c>
      <c r="C414" s="18">
        <v>96011</v>
      </c>
      <c r="D414" s="2" t="s">
        <v>109</v>
      </c>
      <c r="E414" s="15">
        <v>5632</v>
      </c>
      <c r="F414" s="36" t="s">
        <v>33</v>
      </c>
      <c r="G414" s="15">
        <v>5632</v>
      </c>
      <c r="H414" s="15">
        <f t="shared" si="7"/>
        <v>0</v>
      </c>
      <c r="I414" s="19"/>
    </row>
    <row r="415" spans="1:9" x14ac:dyDescent="0.25">
      <c r="A415" s="16">
        <v>42740</v>
      </c>
      <c r="B415" s="17" t="s">
        <v>619</v>
      </c>
      <c r="C415" s="18">
        <v>96012</v>
      </c>
      <c r="D415" s="2" t="s">
        <v>120</v>
      </c>
      <c r="E415" s="15">
        <v>2393.8000000000002</v>
      </c>
      <c r="F415" s="36" t="s">
        <v>33</v>
      </c>
      <c r="G415" s="15">
        <v>2393.8000000000002</v>
      </c>
      <c r="H415" s="15">
        <f t="shared" si="7"/>
        <v>0</v>
      </c>
      <c r="I415" s="19"/>
    </row>
    <row r="416" spans="1:9" x14ac:dyDescent="0.25">
      <c r="A416" s="16">
        <v>42740</v>
      </c>
      <c r="B416" s="17" t="s">
        <v>620</v>
      </c>
      <c r="C416" s="18">
        <v>96013</v>
      </c>
      <c r="D416" s="2" t="s">
        <v>159</v>
      </c>
      <c r="E416" s="15">
        <v>1352.7</v>
      </c>
      <c r="F416" s="36" t="s">
        <v>215</v>
      </c>
      <c r="G416" s="15">
        <v>1352.7</v>
      </c>
      <c r="H416" s="15">
        <f t="shared" si="7"/>
        <v>0</v>
      </c>
      <c r="I416" s="19"/>
    </row>
    <row r="417" spans="1:9" x14ac:dyDescent="0.25">
      <c r="A417" s="16">
        <v>42740</v>
      </c>
      <c r="B417" s="17" t="s">
        <v>621</v>
      </c>
      <c r="C417" s="18">
        <v>96014</v>
      </c>
      <c r="D417" s="2" t="s">
        <v>622</v>
      </c>
      <c r="E417" s="15">
        <v>2823.8</v>
      </c>
      <c r="F417" s="36" t="s">
        <v>33</v>
      </c>
      <c r="G417" s="15">
        <v>2823.8</v>
      </c>
      <c r="H417" s="15">
        <f t="shared" si="7"/>
        <v>0</v>
      </c>
      <c r="I417" s="19"/>
    </row>
    <row r="418" spans="1:9" x14ac:dyDescent="0.25">
      <c r="A418" s="16">
        <v>42740</v>
      </c>
      <c r="B418" s="17" t="s">
        <v>623</v>
      </c>
      <c r="C418" s="18">
        <v>96015</v>
      </c>
      <c r="D418" s="2" t="s">
        <v>305</v>
      </c>
      <c r="E418" s="15">
        <v>4837</v>
      </c>
      <c r="F418" s="36" t="s">
        <v>215</v>
      </c>
      <c r="G418" s="15">
        <v>4837</v>
      </c>
      <c r="H418" s="15">
        <f t="shared" si="7"/>
        <v>0</v>
      </c>
      <c r="I418" s="19"/>
    </row>
    <row r="419" spans="1:9" x14ac:dyDescent="0.25">
      <c r="A419" s="16">
        <v>42740</v>
      </c>
      <c r="B419" s="17" t="s">
        <v>624</v>
      </c>
      <c r="C419" s="18">
        <v>96016</v>
      </c>
      <c r="D419" s="2" t="s">
        <v>476</v>
      </c>
      <c r="E419" s="15">
        <v>6952.3</v>
      </c>
      <c r="F419" s="36" t="s">
        <v>33</v>
      </c>
      <c r="G419" s="15">
        <v>6952.3</v>
      </c>
      <c r="H419" s="15">
        <f t="shared" si="7"/>
        <v>0</v>
      </c>
      <c r="I419" s="19"/>
    </row>
    <row r="420" spans="1:9" x14ac:dyDescent="0.25">
      <c r="A420" s="16">
        <v>42740</v>
      </c>
      <c r="B420" s="17" t="s">
        <v>625</v>
      </c>
      <c r="C420" s="18">
        <v>96017</v>
      </c>
      <c r="D420" s="2" t="s">
        <v>476</v>
      </c>
      <c r="E420" s="15">
        <v>215.8</v>
      </c>
      <c r="F420" s="36" t="s">
        <v>33</v>
      </c>
      <c r="G420" s="15">
        <v>215.8</v>
      </c>
      <c r="H420" s="15">
        <f t="shared" si="7"/>
        <v>0</v>
      </c>
      <c r="I420" s="19"/>
    </row>
    <row r="421" spans="1:9" x14ac:dyDescent="0.25">
      <c r="A421" s="16">
        <v>42740</v>
      </c>
      <c r="B421" s="17" t="s">
        <v>626</v>
      </c>
      <c r="C421" s="18">
        <v>96018</v>
      </c>
      <c r="D421" s="2" t="s">
        <v>627</v>
      </c>
      <c r="E421" s="15">
        <v>503.1</v>
      </c>
      <c r="F421" s="36" t="s">
        <v>33</v>
      </c>
      <c r="G421" s="15">
        <v>503.1</v>
      </c>
      <c r="H421" s="15">
        <f t="shared" si="7"/>
        <v>0</v>
      </c>
      <c r="I421" s="19"/>
    </row>
    <row r="422" spans="1:9" x14ac:dyDescent="0.25">
      <c r="A422" s="16">
        <v>42740</v>
      </c>
      <c r="B422" s="17" t="s">
        <v>628</v>
      </c>
      <c r="C422" s="18">
        <v>96019</v>
      </c>
      <c r="D422" s="2" t="s">
        <v>356</v>
      </c>
      <c r="E422" s="15">
        <v>29707.8</v>
      </c>
      <c r="F422" s="36" t="s">
        <v>533</v>
      </c>
      <c r="G422" s="15">
        <v>29707.8</v>
      </c>
      <c r="H422" s="15">
        <f t="shared" si="7"/>
        <v>0</v>
      </c>
      <c r="I422" s="19"/>
    </row>
    <row r="423" spans="1:9" x14ac:dyDescent="0.25">
      <c r="A423" s="16">
        <v>42740</v>
      </c>
      <c r="B423" s="17" t="s">
        <v>629</v>
      </c>
      <c r="C423" s="18">
        <v>96020</v>
      </c>
      <c r="D423" s="2" t="s">
        <v>630</v>
      </c>
      <c r="E423" s="15">
        <v>5404.2</v>
      </c>
      <c r="F423" s="36" t="s">
        <v>533</v>
      </c>
      <c r="G423" s="15">
        <v>5404.2</v>
      </c>
      <c r="H423" s="15">
        <f t="shared" si="7"/>
        <v>0</v>
      </c>
      <c r="I423" s="19"/>
    </row>
    <row r="424" spans="1:9" x14ac:dyDescent="0.25">
      <c r="A424" s="16">
        <v>42740</v>
      </c>
      <c r="B424" s="17" t="s">
        <v>631</v>
      </c>
      <c r="C424" s="18">
        <v>96021</v>
      </c>
      <c r="D424" s="2" t="s">
        <v>61</v>
      </c>
      <c r="E424" s="15">
        <v>3963</v>
      </c>
      <c r="F424" s="36" t="s">
        <v>533</v>
      </c>
      <c r="G424" s="15">
        <v>3963</v>
      </c>
      <c r="H424" s="15">
        <f t="shared" si="7"/>
        <v>0</v>
      </c>
      <c r="I424" s="19"/>
    </row>
    <row r="425" spans="1:9" x14ac:dyDescent="0.25">
      <c r="A425" s="16">
        <v>42740</v>
      </c>
      <c r="B425" s="17" t="s">
        <v>632</v>
      </c>
      <c r="C425" s="18">
        <v>96022</v>
      </c>
      <c r="D425" s="2" t="s">
        <v>633</v>
      </c>
      <c r="E425" s="15">
        <v>351</v>
      </c>
      <c r="F425" s="36" t="s">
        <v>533</v>
      </c>
      <c r="G425" s="15">
        <v>351</v>
      </c>
      <c r="H425" s="15">
        <f t="shared" si="7"/>
        <v>0</v>
      </c>
      <c r="I425" s="19"/>
    </row>
    <row r="426" spans="1:9" x14ac:dyDescent="0.25">
      <c r="A426" s="16">
        <v>42740</v>
      </c>
      <c r="B426" s="17" t="s">
        <v>634</v>
      </c>
      <c r="C426" s="18">
        <v>96023</v>
      </c>
      <c r="D426" s="2" t="s">
        <v>45</v>
      </c>
      <c r="E426" s="15">
        <v>1483.7</v>
      </c>
      <c r="F426" s="36" t="s">
        <v>533</v>
      </c>
      <c r="G426" s="15">
        <v>1483.7</v>
      </c>
      <c r="H426" s="15">
        <f t="shared" si="7"/>
        <v>0</v>
      </c>
      <c r="I426" s="19"/>
    </row>
    <row r="427" spans="1:9" x14ac:dyDescent="0.25">
      <c r="A427" s="16">
        <v>42740</v>
      </c>
      <c r="B427" s="17" t="s">
        <v>635</v>
      </c>
      <c r="C427" s="18">
        <v>96024</v>
      </c>
      <c r="D427" s="2" t="s">
        <v>30</v>
      </c>
      <c r="E427" s="15">
        <v>442.8</v>
      </c>
      <c r="F427" s="36" t="s">
        <v>33</v>
      </c>
      <c r="G427" s="15">
        <v>442.8</v>
      </c>
      <c r="H427" s="15">
        <f t="shared" si="7"/>
        <v>0</v>
      </c>
      <c r="I427" s="19"/>
    </row>
    <row r="428" spans="1:9" x14ac:dyDescent="0.25">
      <c r="A428" s="16">
        <v>42740</v>
      </c>
      <c r="B428" s="17" t="s">
        <v>636</v>
      </c>
      <c r="C428" s="18">
        <v>96025</v>
      </c>
      <c r="D428" s="2" t="s">
        <v>483</v>
      </c>
      <c r="E428" s="15">
        <v>2871.2</v>
      </c>
      <c r="F428" s="36" t="s">
        <v>533</v>
      </c>
      <c r="G428" s="15">
        <v>2871.2</v>
      </c>
      <c r="H428" s="15">
        <f t="shared" si="7"/>
        <v>0</v>
      </c>
      <c r="I428" s="19"/>
    </row>
    <row r="429" spans="1:9" x14ac:dyDescent="0.25">
      <c r="A429" s="16">
        <v>42740</v>
      </c>
      <c r="B429" s="17" t="s">
        <v>637</v>
      </c>
      <c r="C429" s="18">
        <v>96026</v>
      </c>
      <c r="D429" s="2" t="s">
        <v>289</v>
      </c>
      <c r="E429" s="15">
        <v>120457.54</v>
      </c>
      <c r="F429" s="124" t="s">
        <v>638</v>
      </c>
      <c r="G429" s="20">
        <f>5489.44+114968.1</f>
        <v>120457.54000000001</v>
      </c>
      <c r="H429" s="20">
        <f t="shared" si="7"/>
        <v>0</v>
      </c>
      <c r="I429" s="19"/>
    </row>
    <row r="430" spans="1:9" x14ac:dyDescent="0.25">
      <c r="A430" s="16">
        <v>42740</v>
      </c>
      <c r="B430" s="17" t="s">
        <v>639</v>
      </c>
      <c r="C430" s="18">
        <v>96027</v>
      </c>
      <c r="D430" s="2" t="s">
        <v>335</v>
      </c>
      <c r="E430" s="15">
        <v>1647.3</v>
      </c>
      <c r="F430" s="36" t="s">
        <v>275</v>
      </c>
      <c r="G430" s="15">
        <v>1647.3</v>
      </c>
      <c r="H430" s="15">
        <f t="shared" si="7"/>
        <v>0</v>
      </c>
      <c r="I430" s="19"/>
    </row>
    <row r="431" spans="1:9" x14ac:dyDescent="0.25">
      <c r="A431" s="16">
        <v>42740</v>
      </c>
      <c r="B431" s="17" t="s">
        <v>640</v>
      </c>
      <c r="C431" s="18">
        <v>96028</v>
      </c>
      <c r="D431" s="2" t="s">
        <v>30</v>
      </c>
      <c r="E431" s="15">
        <v>1334.76</v>
      </c>
      <c r="F431" s="36" t="s">
        <v>533</v>
      </c>
      <c r="G431" s="15">
        <v>1334.76</v>
      </c>
      <c r="H431" s="15">
        <f t="shared" si="7"/>
        <v>0</v>
      </c>
      <c r="I431" s="19"/>
    </row>
    <row r="432" spans="1:9" x14ac:dyDescent="0.25">
      <c r="A432" s="16">
        <v>42740</v>
      </c>
      <c r="B432" s="17" t="s">
        <v>641</v>
      </c>
      <c r="C432" s="18">
        <v>96029</v>
      </c>
      <c r="D432" s="2" t="s">
        <v>57</v>
      </c>
      <c r="E432" s="15">
        <v>640</v>
      </c>
      <c r="F432" s="36" t="s">
        <v>533</v>
      </c>
      <c r="G432" s="15">
        <v>640</v>
      </c>
      <c r="H432" s="15">
        <f t="shared" si="7"/>
        <v>0</v>
      </c>
      <c r="I432" s="19"/>
    </row>
    <row r="433" spans="1:9" x14ac:dyDescent="0.25">
      <c r="A433" s="16">
        <v>42740</v>
      </c>
      <c r="B433" s="17" t="s">
        <v>642</v>
      </c>
      <c r="C433" s="18">
        <v>96030</v>
      </c>
      <c r="D433" s="2" t="s">
        <v>53</v>
      </c>
      <c r="E433" s="15">
        <v>2539.8000000000002</v>
      </c>
      <c r="F433" s="36" t="s">
        <v>533</v>
      </c>
      <c r="G433" s="15">
        <v>2539.8000000000002</v>
      </c>
      <c r="H433" s="15">
        <f t="shared" si="7"/>
        <v>0</v>
      </c>
      <c r="I433" s="19"/>
    </row>
    <row r="434" spans="1:9" x14ac:dyDescent="0.25">
      <c r="A434" s="16">
        <v>42740</v>
      </c>
      <c r="B434" s="17" t="s">
        <v>643</v>
      </c>
      <c r="C434" s="18">
        <v>96031</v>
      </c>
      <c r="D434" s="2" t="s">
        <v>186</v>
      </c>
      <c r="E434" s="15">
        <v>3214.4</v>
      </c>
      <c r="F434" s="36" t="s">
        <v>533</v>
      </c>
      <c r="G434" s="15">
        <v>3214.4</v>
      </c>
      <c r="H434" s="15">
        <f t="shared" si="7"/>
        <v>0</v>
      </c>
      <c r="I434" s="19"/>
    </row>
    <row r="435" spans="1:9" x14ac:dyDescent="0.25">
      <c r="A435" s="16">
        <v>42740</v>
      </c>
      <c r="B435" s="17" t="s">
        <v>644</v>
      </c>
      <c r="C435" s="18">
        <v>96032</v>
      </c>
      <c r="D435" s="2" t="s">
        <v>30</v>
      </c>
      <c r="E435" s="15">
        <v>3477.6</v>
      </c>
      <c r="F435" s="36" t="s">
        <v>533</v>
      </c>
      <c r="G435" s="15">
        <v>3477.6</v>
      </c>
      <c r="H435" s="15">
        <f t="shared" si="7"/>
        <v>0</v>
      </c>
      <c r="I435" s="19"/>
    </row>
    <row r="436" spans="1:9" x14ac:dyDescent="0.25">
      <c r="A436" s="16">
        <v>42740</v>
      </c>
      <c r="B436" s="17" t="s">
        <v>645</v>
      </c>
      <c r="C436" s="18">
        <v>96033</v>
      </c>
      <c r="D436" s="2" t="s">
        <v>30</v>
      </c>
      <c r="E436" s="15">
        <v>975</v>
      </c>
      <c r="F436" s="36" t="s">
        <v>533</v>
      </c>
      <c r="G436" s="15">
        <v>975</v>
      </c>
      <c r="H436" s="15">
        <f t="shared" si="7"/>
        <v>0</v>
      </c>
      <c r="I436" s="19"/>
    </row>
    <row r="437" spans="1:9" x14ac:dyDescent="0.25">
      <c r="A437" s="16">
        <v>42740</v>
      </c>
      <c r="B437" s="17" t="s">
        <v>646</v>
      </c>
      <c r="C437" s="18">
        <v>96034</v>
      </c>
      <c r="D437" s="2" t="s">
        <v>30</v>
      </c>
      <c r="E437" s="15">
        <v>959.4</v>
      </c>
      <c r="F437" s="36" t="s">
        <v>33</v>
      </c>
      <c r="G437" s="15">
        <v>959.4</v>
      </c>
      <c r="H437" s="15">
        <f t="shared" si="7"/>
        <v>0</v>
      </c>
      <c r="I437" s="19"/>
    </row>
    <row r="438" spans="1:9" x14ac:dyDescent="0.25">
      <c r="A438" s="16">
        <v>42740</v>
      </c>
      <c r="B438" s="17" t="s">
        <v>647</v>
      </c>
      <c r="C438" s="18">
        <v>96035</v>
      </c>
      <c r="D438" s="2" t="s">
        <v>229</v>
      </c>
      <c r="E438" s="15">
        <v>77636</v>
      </c>
      <c r="F438" s="36" t="s">
        <v>129</v>
      </c>
      <c r="G438" s="15">
        <v>77636</v>
      </c>
      <c r="H438" s="15">
        <f t="shared" si="7"/>
        <v>0</v>
      </c>
      <c r="I438" s="19"/>
    </row>
    <row r="439" spans="1:9" x14ac:dyDescent="0.25">
      <c r="A439" s="16">
        <v>42740</v>
      </c>
      <c r="B439" s="17" t="s">
        <v>648</v>
      </c>
      <c r="C439" s="18">
        <v>96036</v>
      </c>
      <c r="D439" s="13" t="s">
        <v>133</v>
      </c>
      <c r="E439" s="14">
        <v>0</v>
      </c>
      <c r="F439" s="123" t="s">
        <v>95</v>
      </c>
      <c r="G439" s="14">
        <v>0</v>
      </c>
      <c r="H439" s="14">
        <f t="shared" si="7"/>
        <v>0</v>
      </c>
      <c r="I439" s="19"/>
    </row>
    <row r="440" spans="1:9" x14ac:dyDescent="0.25">
      <c r="A440" s="16">
        <v>42740</v>
      </c>
      <c r="B440" s="17" t="s">
        <v>649</v>
      </c>
      <c r="C440" s="18">
        <v>96037</v>
      </c>
      <c r="D440" s="2" t="s">
        <v>133</v>
      </c>
      <c r="E440" s="15">
        <v>14741.2</v>
      </c>
      <c r="F440" s="124" t="s">
        <v>173</v>
      </c>
      <c r="G440" s="20">
        <f>4000+10741.2</f>
        <v>14741.2</v>
      </c>
      <c r="H440" s="20">
        <f t="shared" si="7"/>
        <v>0</v>
      </c>
      <c r="I440" s="19"/>
    </row>
    <row r="441" spans="1:9" x14ac:dyDescent="0.25">
      <c r="A441" s="16">
        <v>42740</v>
      </c>
      <c r="B441" s="17" t="s">
        <v>650</v>
      </c>
      <c r="C441" s="18">
        <v>96038</v>
      </c>
      <c r="D441" s="2" t="s">
        <v>651</v>
      </c>
      <c r="E441" s="15">
        <v>18051.599999999999</v>
      </c>
      <c r="F441" s="36" t="s">
        <v>33</v>
      </c>
      <c r="G441" s="15">
        <v>18051.599999999999</v>
      </c>
      <c r="H441" s="15">
        <f t="shared" si="7"/>
        <v>0</v>
      </c>
      <c r="I441" s="19"/>
    </row>
    <row r="442" spans="1:9" x14ac:dyDescent="0.25">
      <c r="A442" s="16">
        <v>42740</v>
      </c>
      <c r="B442" s="17" t="s">
        <v>652</v>
      </c>
      <c r="C442" s="18">
        <v>96039</v>
      </c>
      <c r="D442" s="2" t="s">
        <v>428</v>
      </c>
      <c r="E442" s="15">
        <v>912.8</v>
      </c>
      <c r="F442" s="36" t="s">
        <v>123</v>
      </c>
      <c r="G442" s="15">
        <v>912.8</v>
      </c>
      <c r="H442" s="15">
        <f t="shared" si="7"/>
        <v>0</v>
      </c>
      <c r="I442" s="19"/>
    </row>
    <row r="443" spans="1:9" x14ac:dyDescent="0.25">
      <c r="A443" s="16">
        <v>42740</v>
      </c>
      <c r="B443" s="17" t="s">
        <v>653</v>
      </c>
      <c r="C443" s="18">
        <v>96040</v>
      </c>
      <c r="D443" s="2" t="s">
        <v>10</v>
      </c>
      <c r="E443" s="15">
        <v>341295.4</v>
      </c>
      <c r="F443" s="36" t="s">
        <v>654</v>
      </c>
      <c r="G443" s="15">
        <f>126333.02+214962.38</f>
        <v>341295.4</v>
      </c>
      <c r="H443" s="15">
        <f t="shared" si="7"/>
        <v>0</v>
      </c>
      <c r="I443" s="19"/>
    </row>
    <row r="444" spans="1:9" x14ac:dyDescent="0.25">
      <c r="A444" s="16">
        <v>42740</v>
      </c>
      <c r="B444" s="17" t="s">
        <v>655</v>
      </c>
      <c r="C444" s="18">
        <v>96041</v>
      </c>
      <c r="D444" s="2" t="s">
        <v>656</v>
      </c>
      <c r="E444" s="15">
        <v>6559.8</v>
      </c>
      <c r="F444" s="36" t="s">
        <v>215</v>
      </c>
      <c r="G444" s="15">
        <v>6559.8</v>
      </c>
      <c r="H444" s="15">
        <f t="shared" si="7"/>
        <v>0</v>
      </c>
      <c r="I444" s="19"/>
    </row>
    <row r="445" spans="1:9" x14ac:dyDescent="0.25">
      <c r="A445" s="16">
        <v>42740</v>
      </c>
      <c r="B445" s="17" t="s">
        <v>657</v>
      </c>
      <c r="C445" s="18">
        <v>96042</v>
      </c>
      <c r="D445" s="2" t="s">
        <v>193</v>
      </c>
      <c r="E445" s="15">
        <v>2319.1999999999998</v>
      </c>
      <c r="F445" s="36" t="s">
        <v>215</v>
      </c>
      <c r="G445" s="15">
        <v>2319.1999999999998</v>
      </c>
      <c r="H445" s="15">
        <f t="shared" si="7"/>
        <v>0</v>
      </c>
      <c r="I445" s="19"/>
    </row>
    <row r="446" spans="1:9" x14ac:dyDescent="0.25">
      <c r="A446" s="16">
        <v>42740</v>
      </c>
      <c r="B446" s="17" t="s">
        <v>658</v>
      </c>
      <c r="C446" s="18">
        <v>96043</v>
      </c>
      <c r="D446" s="2" t="s">
        <v>182</v>
      </c>
      <c r="E446" s="15">
        <v>2500</v>
      </c>
      <c r="F446" s="36" t="s">
        <v>215</v>
      </c>
      <c r="G446" s="15">
        <v>2500</v>
      </c>
      <c r="H446" s="15">
        <f t="shared" si="7"/>
        <v>0</v>
      </c>
      <c r="I446" s="19"/>
    </row>
    <row r="447" spans="1:9" x14ac:dyDescent="0.25">
      <c r="A447" s="16">
        <v>42740</v>
      </c>
      <c r="B447" s="17" t="s">
        <v>659</v>
      </c>
      <c r="C447" s="18">
        <v>96044</v>
      </c>
      <c r="D447" s="2" t="s">
        <v>660</v>
      </c>
      <c r="E447" s="15">
        <v>2035.8</v>
      </c>
      <c r="F447" s="36" t="s">
        <v>493</v>
      </c>
      <c r="G447" s="15">
        <v>2035.8</v>
      </c>
      <c r="H447" s="15">
        <f t="shared" si="7"/>
        <v>0</v>
      </c>
      <c r="I447" s="19"/>
    </row>
    <row r="448" spans="1:9" x14ac:dyDescent="0.25">
      <c r="A448" s="16">
        <v>42740</v>
      </c>
      <c r="B448" s="17" t="s">
        <v>661</v>
      </c>
      <c r="C448" s="18">
        <v>96045</v>
      </c>
      <c r="D448" s="2" t="s">
        <v>264</v>
      </c>
      <c r="E448" s="15">
        <v>3432</v>
      </c>
      <c r="F448" s="36" t="s">
        <v>33</v>
      </c>
      <c r="G448" s="15">
        <v>3432</v>
      </c>
      <c r="H448" s="15">
        <f t="shared" si="7"/>
        <v>0</v>
      </c>
      <c r="I448" s="19"/>
    </row>
    <row r="449" spans="1:9" x14ac:dyDescent="0.25">
      <c r="A449" s="16">
        <v>42740</v>
      </c>
      <c r="B449" s="17" t="s">
        <v>662</v>
      </c>
      <c r="C449" s="18">
        <v>96046</v>
      </c>
      <c r="D449" s="2" t="s">
        <v>128</v>
      </c>
      <c r="E449" s="15">
        <v>2333.7600000000002</v>
      </c>
      <c r="F449" s="36" t="s">
        <v>33</v>
      </c>
      <c r="G449" s="15">
        <v>2333.7600000000002</v>
      </c>
      <c r="H449" s="15">
        <f t="shared" si="7"/>
        <v>0</v>
      </c>
      <c r="I449" s="19"/>
    </row>
    <row r="450" spans="1:9" x14ac:dyDescent="0.25">
      <c r="A450" s="16">
        <v>42740</v>
      </c>
      <c r="B450" s="17" t="s">
        <v>663</v>
      </c>
      <c r="C450" s="18">
        <v>96047</v>
      </c>
      <c r="D450" s="13" t="s">
        <v>10</v>
      </c>
      <c r="E450" s="14">
        <v>0</v>
      </c>
      <c r="F450" s="123" t="s">
        <v>95</v>
      </c>
      <c r="G450" s="14">
        <v>0</v>
      </c>
      <c r="H450" s="14">
        <f t="shared" si="7"/>
        <v>0</v>
      </c>
      <c r="I450" s="19"/>
    </row>
    <row r="451" spans="1:9" x14ac:dyDescent="0.25">
      <c r="A451" s="16">
        <v>42740</v>
      </c>
      <c r="B451" s="17" t="s">
        <v>664</v>
      </c>
      <c r="C451" s="18">
        <v>96048</v>
      </c>
      <c r="D451" s="2" t="s">
        <v>665</v>
      </c>
      <c r="E451" s="15">
        <v>68417.48</v>
      </c>
      <c r="F451" s="36" t="s">
        <v>126</v>
      </c>
      <c r="G451" s="15">
        <v>68417.48</v>
      </c>
      <c r="H451" s="15">
        <f t="shared" si="7"/>
        <v>0</v>
      </c>
      <c r="I451" s="19"/>
    </row>
    <row r="452" spans="1:9" x14ac:dyDescent="0.25">
      <c r="A452" s="16">
        <v>42740</v>
      </c>
      <c r="B452" s="17" t="s">
        <v>666</v>
      </c>
      <c r="C452" s="18">
        <v>96049</v>
      </c>
      <c r="D452" s="2" t="s">
        <v>10</v>
      </c>
      <c r="E452" s="15">
        <v>30676.6</v>
      </c>
      <c r="F452" s="36" t="s">
        <v>275</v>
      </c>
      <c r="G452" s="15">
        <v>30676.6</v>
      </c>
      <c r="H452" s="15">
        <f t="shared" si="7"/>
        <v>0</v>
      </c>
      <c r="I452" s="19"/>
    </row>
    <row r="453" spans="1:9" x14ac:dyDescent="0.25">
      <c r="A453" s="16">
        <v>42740</v>
      </c>
      <c r="B453" s="17" t="s">
        <v>667</v>
      </c>
      <c r="C453" s="18">
        <v>96050</v>
      </c>
      <c r="D453" s="2" t="s">
        <v>10</v>
      </c>
      <c r="E453" s="15">
        <v>187517.6</v>
      </c>
      <c r="F453" s="36" t="s">
        <v>275</v>
      </c>
      <c r="G453" s="15">
        <v>187517.6</v>
      </c>
      <c r="H453" s="15">
        <f t="shared" si="7"/>
        <v>0</v>
      </c>
      <c r="I453" s="19"/>
    </row>
    <row r="454" spans="1:9" x14ac:dyDescent="0.25">
      <c r="A454" s="16">
        <v>42740</v>
      </c>
      <c r="B454" s="17" t="s">
        <v>668</v>
      </c>
      <c r="C454" s="18">
        <v>96051</v>
      </c>
      <c r="D454" s="2" t="s">
        <v>10</v>
      </c>
      <c r="E454" s="15">
        <v>9806.4</v>
      </c>
      <c r="F454" s="36" t="s">
        <v>275</v>
      </c>
      <c r="G454" s="15">
        <v>9806.4</v>
      </c>
      <c r="H454" s="15">
        <f t="shared" ref="H454:H517" si="8">E454-G454</f>
        <v>0</v>
      </c>
      <c r="I454" s="19"/>
    </row>
    <row r="455" spans="1:9" x14ac:dyDescent="0.25">
      <c r="A455" s="16">
        <v>42740</v>
      </c>
      <c r="B455" s="17" t="s">
        <v>669</v>
      </c>
      <c r="C455" s="18">
        <v>96052</v>
      </c>
      <c r="D455" s="2" t="s">
        <v>670</v>
      </c>
      <c r="E455" s="15">
        <v>218175.34</v>
      </c>
      <c r="F455" s="36" t="s">
        <v>107</v>
      </c>
      <c r="G455" s="15">
        <v>218175.34</v>
      </c>
      <c r="H455" s="15">
        <f t="shared" si="8"/>
        <v>0</v>
      </c>
      <c r="I455" s="19"/>
    </row>
    <row r="456" spans="1:9" x14ac:dyDescent="0.25">
      <c r="A456" s="16">
        <v>42740</v>
      </c>
      <c r="B456" s="17" t="s">
        <v>671</v>
      </c>
      <c r="C456" s="18">
        <v>96053</v>
      </c>
      <c r="D456" s="13" t="s">
        <v>236</v>
      </c>
      <c r="E456" s="14">
        <v>0</v>
      </c>
      <c r="F456" s="123" t="s">
        <v>95</v>
      </c>
      <c r="G456" s="14">
        <v>0</v>
      </c>
      <c r="H456" s="14">
        <f t="shared" si="8"/>
        <v>0</v>
      </c>
      <c r="I456" s="19"/>
    </row>
    <row r="457" spans="1:9" x14ac:dyDescent="0.25">
      <c r="A457" s="16">
        <v>42740</v>
      </c>
      <c r="B457" s="17" t="s">
        <v>672</v>
      </c>
      <c r="C457" s="18">
        <v>96054</v>
      </c>
      <c r="D457" s="2" t="s">
        <v>673</v>
      </c>
      <c r="E457" s="15">
        <v>2627.2</v>
      </c>
      <c r="F457" s="36" t="s">
        <v>215</v>
      </c>
      <c r="G457" s="15">
        <v>2627.2</v>
      </c>
      <c r="H457" s="15">
        <f t="shared" si="8"/>
        <v>0</v>
      </c>
      <c r="I457" s="19"/>
    </row>
    <row r="458" spans="1:9" x14ac:dyDescent="0.25">
      <c r="A458" s="16">
        <v>42740</v>
      </c>
      <c r="B458" s="17" t="s">
        <v>674</v>
      </c>
      <c r="C458" s="18">
        <v>96055</v>
      </c>
      <c r="D458" s="2" t="s">
        <v>675</v>
      </c>
      <c r="E458" s="15">
        <v>1641.6</v>
      </c>
      <c r="F458" s="36" t="s">
        <v>215</v>
      </c>
      <c r="G458" s="15">
        <v>1641.6</v>
      </c>
      <c r="H458" s="15">
        <f t="shared" si="8"/>
        <v>0</v>
      </c>
      <c r="I458" s="19"/>
    </row>
    <row r="459" spans="1:9" x14ac:dyDescent="0.25">
      <c r="A459" s="16">
        <v>42740</v>
      </c>
      <c r="B459" s="17" t="s">
        <v>676</v>
      </c>
      <c r="C459" s="18">
        <v>96056</v>
      </c>
      <c r="D459" s="2" t="s">
        <v>677</v>
      </c>
      <c r="E459" s="15">
        <v>2499.6</v>
      </c>
      <c r="F459" s="36" t="s">
        <v>215</v>
      </c>
      <c r="G459" s="15">
        <v>2499.6</v>
      </c>
      <c r="H459" s="15">
        <f t="shared" si="8"/>
        <v>0</v>
      </c>
      <c r="I459" s="19"/>
    </row>
    <row r="460" spans="1:9" x14ac:dyDescent="0.25">
      <c r="A460" s="16">
        <v>42740</v>
      </c>
      <c r="B460" s="17" t="s">
        <v>678</v>
      </c>
      <c r="C460" s="18">
        <v>96057</v>
      </c>
      <c r="D460" s="2" t="s">
        <v>677</v>
      </c>
      <c r="E460" s="15">
        <v>1817.2</v>
      </c>
      <c r="F460" s="36" t="s">
        <v>215</v>
      </c>
      <c r="G460" s="15">
        <v>1817.2</v>
      </c>
      <c r="H460" s="15">
        <f t="shared" si="8"/>
        <v>0</v>
      </c>
      <c r="I460" s="19"/>
    </row>
    <row r="461" spans="1:9" x14ac:dyDescent="0.25">
      <c r="A461" s="16">
        <v>42740</v>
      </c>
      <c r="B461" s="17" t="s">
        <v>679</v>
      </c>
      <c r="C461" s="18">
        <v>96058</v>
      </c>
      <c r="D461" s="2" t="s">
        <v>680</v>
      </c>
      <c r="E461" s="15">
        <v>3178.6</v>
      </c>
      <c r="F461" s="36" t="s">
        <v>215</v>
      </c>
      <c r="G461" s="15">
        <v>3178.6</v>
      </c>
      <c r="H461" s="15">
        <f t="shared" si="8"/>
        <v>0</v>
      </c>
      <c r="I461" s="19"/>
    </row>
    <row r="462" spans="1:9" x14ac:dyDescent="0.25">
      <c r="A462" s="16">
        <v>42740</v>
      </c>
      <c r="B462" s="17" t="s">
        <v>681</v>
      </c>
      <c r="C462" s="18">
        <v>96059</v>
      </c>
      <c r="D462" s="2" t="s">
        <v>682</v>
      </c>
      <c r="E462" s="15">
        <v>5606.4</v>
      </c>
      <c r="F462" s="36" t="s">
        <v>215</v>
      </c>
      <c r="G462" s="15">
        <v>5606.4</v>
      </c>
      <c r="H462" s="15">
        <f t="shared" si="8"/>
        <v>0</v>
      </c>
      <c r="I462" s="19"/>
    </row>
    <row r="463" spans="1:9" x14ac:dyDescent="0.25">
      <c r="A463" s="16">
        <v>42740</v>
      </c>
      <c r="B463" s="17" t="s">
        <v>683</v>
      </c>
      <c r="C463" s="18">
        <v>96060</v>
      </c>
      <c r="D463" s="2" t="s">
        <v>222</v>
      </c>
      <c r="E463" s="15">
        <v>239568</v>
      </c>
      <c r="F463" s="36" t="s">
        <v>129</v>
      </c>
      <c r="G463" s="15">
        <v>239568</v>
      </c>
      <c r="H463" s="15">
        <f t="shared" si="8"/>
        <v>0</v>
      </c>
      <c r="I463" s="19"/>
    </row>
    <row r="464" spans="1:9" x14ac:dyDescent="0.25">
      <c r="A464" s="16">
        <v>42740</v>
      </c>
      <c r="B464" s="17" t="s">
        <v>684</v>
      </c>
      <c r="C464" s="18">
        <v>96061</v>
      </c>
      <c r="D464" s="2" t="s">
        <v>222</v>
      </c>
      <c r="E464" s="15">
        <v>248534</v>
      </c>
      <c r="F464" s="36" t="s">
        <v>129</v>
      </c>
      <c r="G464" s="15">
        <v>248534</v>
      </c>
      <c r="H464" s="15">
        <f t="shared" si="8"/>
        <v>0</v>
      </c>
      <c r="I464" s="19"/>
    </row>
    <row r="465" spans="1:9" x14ac:dyDescent="0.25">
      <c r="A465" s="16">
        <v>42740</v>
      </c>
      <c r="B465" s="17" t="s">
        <v>685</v>
      </c>
      <c r="C465" s="18">
        <v>96062</v>
      </c>
      <c r="D465" s="2" t="s">
        <v>686</v>
      </c>
      <c r="E465" s="15">
        <v>22130.400000000001</v>
      </c>
      <c r="F465" s="36" t="s">
        <v>215</v>
      </c>
      <c r="G465" s="15">
        <v>22130.400000000001</v>
      </c>
      <c r="H465" s="15">
        <f t="shared" si="8"/>
        <v>0</v>
      </c>
      <c r="I465" s="19"/>
    </row>
    <row r="466" spans="1:9" x14ac:dyDescent="0.25">
      <c r="A466" s="16">
        <v>42740</v>
      </c>
      <c r="B466" s="17" t="s">
        <v>687</v>
      </c>
      <c r="C466" s="18">
        <v>96063</v>
      </c>
      <c r="D466" s="2" t="s">
        <v>688</v>
      </c>
      <c r="E466" s="15">
        <v>24392.240000000002</v>
      </c>
      <c r="F466" s="36" t="s">
        <v>215</v>
      </c>
      <c r="G466" s="15">
        <v>24392.240000000002</v>
      </c>
      <c r="H466" s="15">
        <f t="shared" si="8"/>
        <v>0</v>
      </c>
      <c r="I466" s="19"/>
    </row>
    <row r="467" spans="1:9" x14ac:dyDescent="0.25">
      <c r="A467" s="16">
        <v>42740</v>
      </c>
      <c r="B467" s="17" t="s">
        <v>689</v>
      </c>
      <c r="C467" s="18">
        <v>96064</v>
      </c>
      <c r="D467" s="2" t="s">
        <v>21</v>
      </c>
      <c r="E467" s="15">
        <v>50290</v>
      </c>
      <c r="F467" s="124" t="s">
        <v>690</v>
      </c>
      <c r="G467" s="20">
        <f>3039.2+7076+40174.8</f>
        <v>50290</v>
      </c>
      <c r="H467" s="20">
        <f t="shared" si="8"/>
        <v>0</v>
      </c>
      <c r="I467" s="19"/>
    </row>
    <row r="468" spans="1:9" x14ac:dyDescent="0.25">
      <c r="A468" s="16">
        <v>42740</v>
      </c>
      <c r="B468" s="17" t="s">
        <v>691</v>
      </c>
      <c r="C468" s="18">
        <v>96065</v>
      </c>
      <c r="D468" s="2" t="s">
        <v>220</v>
      </c>
      <c r="E468" s="15">
        <v>2537</v>
      </c>
      <c r="F468" s="36" t="s">
        <v>33</v>
      </c>
      <c r="G468" s="15">
        <v>2537</v>
      </c>
      <c r="H468" s="15">
        <f t="shared" si="8"/>
        <v>0</v>
      </c>
      <c r="I468" s="19"/>
    </row>
    <row r="469" spans="1:9" x14ac:dyDescent="0.25">
      <c r="A469" s="16">
        <v>42740</v>
      </c>
      <c r="B469" s="17" t="s">
        <v>692</v>
      </c>
      <c r="C469" s="18">
        <v>96066</v>
      </c>
      <c r="D469" s="2" t="s">
        <v>693</v>
      </c>
      <c r="E469" s="15">
        <v>2567.4</v>
      </c>
      <c r="F469" s="36" t="s">
        <v>215</v>
      </c>
      <c r="G469" s="15">
        <v>2567.4</v>
      </c>
      <c r="H469" s="15">
        <f t="shared" si="8"/>
        <v>0</v>
      </c>
      <c r="I469" s="19"/>
    </row>
    <row r="470" spans="1:9" x14ac:dyDescent="0.25">
      <c r="A470" s="16">
        <v>42740</v>
      </c>
      <c r="B470" s="17" t="s">
        <v>694</v>
      </c>
      <c r="C470" s="18">
        <v>96067</v>
      </c>
      <c r="D470" s="2" t="s">
        <v>211</v>
      </c>
      <c r="E470" s="15">
        <v>8486.4</v>
      </c>
      <c r="F470" s="36" t="s">
        <v>33</v>
      </c>
      <c r="G470" s="15">
        <v>8486.4</v>
      </c>
      <c r="H470" s="15">
        <f t="shared" si="8"/>
        <v>0</v>
      </c>
      <c r="I470" s="19"/>
    </row>
    <row r="471" spans="1:9" x14ac:dyDescent="0.25">
      <c r="A471" s="16">
        <v>42740</v>
      </c>
      <c r="B471" s="17" t="s">
        <v>695</v>
      </c>
      <c r="C471" s="18">
        <v>96068</v>
      </c>
      <c r="D471" s="2" t="s">
        <v>426</v>
      </c>
      <c r="E471" s="15">
        <v>21714.6</v>
      </c>
      <c r="F471" s="36" t="s">
        <v>107</v>
      </c>
      <c r="G471" s="15">
        <v>21714.6</v>
      </c>
      <c r="H471" s="15">
        <f t="shared" si="8"/>
        <v>0</v>
      </c>
      <c r="I471" s="19"/>
    </row>
    <row r="472" spans="1:9" x14ac:dyDescent="0.25">
      <c r="A472" s="16">
        <v>42740</v>
      </c>
      <c r="B472" s="17" t="s">
        <v>696</v>
      </c>
      <c r="C472" s="18">
        <v>96069</v>
      </c>
      <c r="D472" s="2" t="s">
        <v>697</v>
      </c>
      <c r="E472" s="15">
        <v>33501.4</v>
      </c>
      <c r="F472" s="36" t="s">
        <v>129</v>
      </c>
      <c r="G472" s="15">
        <v>33501.4</v>
      </c>
      <c r="H472" s="15">
        <f t="shared" si="8"/>
        <v>0</v>
      </c>
      <c r="I472" s="19"/>
    </row>
    <row r="473" spans="1:9" x14ac:dyDescent="0.25">
      <c r="A473" s="16">
        <v>42740</v>
      </c>
      <c r="B473" s="17" t="s">
        <v>698</v>
      </c>
      <c r="C473" s="18">
        <v>96070</v>
      </c>
      <c r="D473" s="2" t="s">
        <v>426</v>
      </c>
      <c r="E473" s="15">
        <v>1462</v>
      </c>
      <c r="F473" s="36" t="s">
        <v>107</v>
      </c>
      <c r="G473" s="15">
        <v>1462</v>
      </c>
      <c r="H473" s="15">
        <f t="shared" si="8"/>
        <v>0</v>
      </c>
      <c r="I473" s="19"/>
    </row>
    <row r="474" spans="1:9" x14ac:dyDescent="0.25">
      <c r="A474" s="16">
        <v>42740</v>
      </c>
      <c r="B474" s="17" t="s">
        <v>699</v>
      </c>
      <c r="C474" s="18">
        <v>96071</v>
      </c>
      <c r="D474" s="2" t="s">
        <v>122</v>
      </c>
      <c r="E474" s="15">
        <v>2109</v>
      </c>
      <c r="F474" s="36" t="s">
        <v>123</v>
      </c>
      <c r="G474" s="15">
        <v>2109</v>
      </c>
      <c r="H474" s="15">
        <f t="shared" si="8"/>
        <v>0</v>
      </c>
      <c r="I474" s="19"/>
    </row>
    <row r="475" spans="1:9" x14ac:dyDescent="0.25">
      <c r="A475" s="16">
        <v>42740</v>
      </c>
      <c r="B475" s="17" t="s">
        <v>700</v>
      </c>
      <c r="C475" s="18">
        <v>96072</v>
      </c>
      <c r="D475" s="2" t="s">
        <v>236</v>
      </c>
      <c r="E475" s="15">
        <v>69576.800000000003</v>
      </c>
      <c r="F475" s="36" t="s">
        <v>237</v>
      </c>
      <c r="G475" s="15">
        <v>69576.800000000003</v>
      </c>
      <c r="H475" s="15">
        <f t="shared" si="8"/>
        <v>0</v>
      </c>
      <c r="I475" s="19"/>
    </row>
    <row r="476" spans="1:9" x14ac:dyDescent="0.25">
      <c r="A476" s="16">
        <v>42740</v>
      </c>
      <c r="B476" s="17" t="s">
        <v>701</v>
      </c>
      <c r="C476" s="18">
        <v>96073</v>
      </c>
      <c r="D476" s="2" t="s">
        <v>30</v>
      </c>
      <c r="E476" s="15">
        <v>372.6</v>
      </c>
      <c r="F476" s="36" t="s">
        <v>224</v>
      </c>
      <c r="G476" s="15">
        <v>372.6</v>
      </c>
      <c r="H476" s="15">
        <f t="shared" si="8"/>
        <v>0</v>
      </c>
      <c r="I476" s="19"/>
    </row>
    <row r="477" spans="1:9" x14ac:dyDescent="0.25">
      <c r="A477" s="16">
        <v>42740</v>
      </c>
      <c r="B477" s="17" t="s">
        <v>702</v>
      </c>
      <c r="C477" s="18">
        <v>96074</v>
      </c>
      <c r="D477" s="2" t="s">
        <v>30</v>
      </c>
      <c r="E477" s="15">
        <v>7.0000000000000007E-2</v>
      </c>
      <c r="F477" s="36" t="s">
        <v>224</v>
      </c>
      <c r="G477" s="15">
        <v>7.0000000000000007E-2</v>
      </c>
      <c r="H477" s="15">
        <f t="shared" si="8"/>
        <v>0</v>
      </c>
      <c r="I477" s="19"/>
    </row>
    <row r="478" spans="1:9" x14ac:dyDescent="0.25">
      <c r="A478" s="16">
        <v>42741</v>
      </c>
      <c r="B478" s="17" t="s">
        <v>703</v>
      </c>
      <c r="C478" s="18">
        <v>96075</v>
      </c>
      <c r="D478" s="2" t="s">
        <v>231</v>
      </c>
      <c r="E478" s="15">
        <v>42705.4</v>
      </c>
      <c r="F478" s="36" t="s">
        <v>215</v>
      </c>
      <c r="G478" s="15">
        <v>42705.4</v>
      </c>
      <c r="H478" s="15">
        <f t="shared" si="8"/>
        <v>0</v>
      </c>
      <c r="I478" s="19"/>
    </row>
    <row r="479" spans="1:9" x14ac:dyDescent="0.25">
      <c r="A479" s="16">
        <v>42741</v>
      </c>
      <c r="B479" s="17" t="s">
        <v>704</v>
      </c>
      <c r="C479" s="18">
        <v>96076</v>
      </c>
      <c r="D479" s="2" t="s">
        <v>28</v>
      </c>
      <c r="E479" s="15">
        <v>10480</v>
      </c>
      <c r="F479" s="36" t="s">
        <v>533</v>
      </c>
      <c r="G479" s="15">
        <v>10480</v>
      </c>
      <c r="H479" s="15">
        <f t="shared" si="8"/>
        <v>0</v>
      </c>
      <c r="I479" s="19"/>
    </row>
    <row r="480" spans="1:9" x14ac:dyDescent="0.25">
      <c r="A480" s="16">
        <v>42741</v>
      </c>
      <c r="B480" s="17" t="s">
        <v>705</v>
      </c>
      <c r="C480" s="18">
        <v>96077</v>
      </c>
      <c r="D480" s="2" t="s">
        <v>55</v>
      </c>
      <c r="E480" s="15">
        <v>23297.8</v>
      </c>
      <c r="F480" s="36" t="s">
        <v>533</v>
      </c>
      <c r="G480" s="15">
        <v>23297.8</v>
      </c>
      <c r="H480" s="15">
        <f t="shared" si="8"/>
        <v>0</v>
      </c>
      <c r="I480" s="19"/>
    </row>
    <row r="481" spans="1:9" x14ac:dyDescent="0.25">
      <c r="A481" s="16">
        <v>42741</v>
      </c>
      <c r="B481" s="17" t="s">
        <v>706</v>
      </c>
      <c r="C481" s="18">
        <v>96078</v>
      </c>
      <c r="D481" s="2" t="s">
        <v>55</v>
      </c>
      <c r="E481" s="15">
        <v>316.39999999999998</v>
      </c>
      <c r="F481" s="36" t="s">
        <v>533</v>
      </c>
      <c r="G481" s="15">
        <v>316.39999999999998</v>
      </c>
      <c r="H481" s="15">
        <f t="shared" si="8"/>
        <v>0</v>
      </c>
      <c r="I481" s="19"/>
    </row>
    <row r="482" spans="1:9" x14ac:dyDescent="0.25">
      <c r="A482" s="16">
        <v>42741</v>
      </c>
      <c r="B482" s="17" t="s">
        <v>707</v>
      </c>
      <c r="C482" s="18">
        <v>96079</v>
      </c>
      <c r="D482" s="2" t="s">
        <v>30</v>
      </c>
      <c r="E482" s="15">
        <v>5622.4</v>
      </c>
      <c r="F482" s="36" t="s">
        <v>533</v>
      </c>
      <c r="G482" s="15">
        <v>5622.4</v>
      </c>
      <c r="H482" s="15">
        <f t="shared" si="8"/>
        <v>0</v>
      </c>
      <c r="I482" s="19"/>
    </row>
    <row r="483" spans="1:9" x14ac:dyDescent="0.25">
      <c r="A483" s="16">
        <v>42741</v>
      </c>
      <c r="B483" s="17" t="s">
        <v>708</v>
      </c>
      <c r="C483" s="18">
        <v>96080</v>
      </c>
      <c r="D483" s="2" t="s">
        <v>71</v>
      </c>
      <c r="E483" s="15">
        <v>4410</v>
      </c>
      <c r="F483" s="36" t="s">
        <v>215</v>
      </c>
      <c r="G483" s="15">
        <v>4410</v>
      </c>
      <c r="H483" s="15">
        <f t="shared" si="8"/>
        <v>0</v>
      </c>
      <c r="I483" s="19"/>
    </row>
    <row r="484" spans="1:9" x14ac:dyDescent="0.25">
      <c r="A484" s="16">
        <v>42741</v>
      </c>
      <c r="B484" s="17" t="s">
        <v>709</v>
      </c>
      <c r="C484" s="18">
        <v>96081</v>
      </c>
      <c r="D484" s="2" t="s">
        <v>17</v>
      </c>
      <c r="E484" s="15">
        <v>2750</v>
      </c>
      <c r="F484" s="36" t="s">
        <v>215</v>
      </c>
      <c r="G484" s="15">
        <v>2750</v>
      </c>
      <c r="H484" s="15">
        <f t="shared" si="8"/>
        <v>0</v>
      </c>
      <c r="I484" s="19"/>
    </row>
    <row r="485" spans="1:9" x14ac:dyDescent="0.25">
      <c r="A485" s="16">
        <v>42741</v>
      </c>
      <c r="B485" s="17" t="s">
        <v>710</v>
      </c>
      <c r="C485" s="18">
        <v>96082</v>
      </c>
      <c r="D485" s="2" t="s">
        <v>19</v>
      </c>
      <c r="E485" s="15">
        <v>2500</v>
      </c>
      <c r="F485" s="36" t="s">
        <v>215</v>
      </c>
      <c r="G485" s="15">
        <v>2500</v>
      </c>
      <c r="H485" s="15">
        <f t="shared" si="8"/>
        <v>0</v>
      </c>
      <c r="I485" s="19"/>
    </row>
    <row r="486" spans="1:9" x14ac:dyDescent="0.25">
      <c r="A486" s="16">
        <v>42741</v>
      </c>
      <c r="B486" s="17" t="s">
        <v>711</v>
      </c>
      <c r="C486" s="18">
        <v>96083</v>
      </c>
      <c r="D486" s="2" t="s">
        <v>712</v>
      </c>
      <c r="E486" s="15">
        <v>10675.9</v>
      </c>
      <c r="F486" s="36" t="s">
        <v>533</v>
      </c>
      <c r="G486" s="15">
        <v>10675.9</v>
      </c>
      <c r="H486" s="15">
        <f t="shared" si="8"/>
        <v>0</v>
      </c>
      <c r="I486" s="19"/>
    </row>
    <row r="487" spans="1:9" x14ac:dyDescent="0.25">
      <c r="A487" s="16">
        <v>42741</v>
      </c>
      <c r="B487" s="17" t="s">
        <v>713</v>
      </c>
      <c r="C487" s="18">
        <v>96084</v>
      </c>
      <c r="D487" s="13" t="s">
        <v>358</v>
      </c>
      <c r="E487" s="14">
        <v>0</v>
      </c>
      <c r="F487" s="123" t="s">
        <v>95</v>
      </c>
      <c r="G487" s="14">
        <v>0</v>
      </c>
      <c r="H487" s="14">
        <f t="shared" si="8"/>
        <v>0</v>
      </c>
      <c r="I487" s="19"/>
    </row>
    <row r="488" spans="1:9" x14ac:dyDescent="0.25">
      <c r="A488" s="16">
        <v>42741</v>
      </c>
      <c r="B488" s="17" t="s">
        <v>714</v>
      </c>
      <c r="C488" s="18">
        <v>96085</v>
      </c>
      <c r="D488" s="2" t="s">
        <v>143</v>
      </c>
      <c r="E488" s="15">
        <v>12368.1</v>
      </c>
      <c r="F488" s="36" t="s">
        <v>533</v>
      </c>
      <c r="G488" s="15">
        <v>12368.1</v>
      </c>
      <c r="H488" s="15">
        <f t="shared" si="8"/>
        <v>0</v>
      </c>
      <c r="I488" s="19"/>
    </row>
    <row r="489" spans="1:9" x14ac:dyDescent="0.25">
      <c r="A489" s="16">
        <v>42741</v>
      </c>
      <c r="B489" s="17" t="s">
        <v>715</v>
      </c>
      <c r="C489" s="18">
        <v>96086</v>
      </c>
      <c r="D489" s="2" t="s">
        <v>69</v>
      </c>
      <c r="E489" s="15">
        <v>3140.7</v>
      </c>
      <c r="F489" s="36" t="s">
        <v>533</v>
      </c>
      <c r="G489" s="15">
        <v>3140.7</v>
      </c>
      <c r="H489" s="15">
        <f t="shared" si="8"/>
        <v>0</v>
      </c>
      <c r="I489" s="19"/>
    </row>
    <row r="490" spans="1:9" x14ac:dyDescent="0.25">
      <c r="A490" s="16">
        <v>42741</v>
      </c>
      <c r="B490" s="17" t="s">
        <v>716</v>
      </c>
      <c r="C490" s="18">
        <v>96087</v>
      </c>
      <c r="D490" s="2" t="s">
        <v>712</v>
      </c>
      <c r="E490" s="15">
        <v>285.60000000000002</v>
      </c>
      <c r="F490" s="36" t="s">
        <v>533</v>
      </c>
      <c r="G490" s="15">
        <v>285.60000000000002</v>
      </c>
      <c r="H490" s="15">
        <f t="shared" si="8"/>
        <v>0</v>
      </c>
      <c r="I490" s="19"/>
    </row>
    <row r="491" spans="1:9" x14ac:dyDescent="0.25">
      <c r="A491" s="16">
        <v>42741</v>
      </c>
      <c r="B491" s="17" t="s">
        <v>717</v>
      </c>
      <c r="C491" s="18">
        <v>96088</v>
      </c>
      <c r="D491" s="2" t="s">
        <v>218</v>
      </c>
      <c r="E491" s="15">
        <v>118677.3</v>
      </c>
      <c r="F491" s="36" t="s">
        <v>307</v>
      </c>
      <c r="G491" s="15">
        <v>118677.3</v>
      </c>
      <c r="H491" s="15">
        <f t="shared" si="8"/>
        <v>0</v>
      </c>
      <c r="I491" s="19"/>
    </row>
    <row r="492" spans="1:9" x14ac:dyDescent="0.25">
      <c r="A492" s="16">
        <v>42741</v>
      </c>
      <c r="B492" s="17" t="s">
        <v>718</v>
      </c>
      <c r="C492" s="18">
        <v>96089</v>
      </c>
      <c r="D492" s="2" t="s">
        <v>30</v>
      </c>
      <c r="E492" s="15">
        <v>4111.6000000000004</v>
      </c>
      <c r="F492" s="36" t="s">
        <v>533</v>
      </c>
      <c r="G492" s="15">
        <v>4111.6000000000004</v>
      </c>
      <c r="H492" s="15">
        <f t="shared" si="8"/>
        <v>0</v>
      </c>
      <c r="I492" s="19"/>
    </row>
    <row r="493" spans="1:9" x14ac:dyDescent="0.25">
      <c r="A493" s="16">
        <v>42741</v>
      </c>
      <c r="B493" s="17" t="s">
        <v>719</v>
      </c>
      <c r="C493" s="18">
        <v>96090</v>
      </c>
      <c r="D493" s="2" t="s">
        <v>26</v>
      </c>
      <c r="E493" s="15">
        <v>30266.9</v>
      </c>
      <c r="F493" s="36" t="s">
        <v>533</v>
      </c>
      <c r="G493" s="15">
        <v>30266.9</v>
      </c>
      <c r="H493" s="15">
        <f t="shared" si="8"/>
        <v>0</v>
      </c>
      <c r="I493" s="19"/>
    </row>
    <row r="494" spans="1:9" x14ac:dyDescent="0.25">
      <c r="A494" s="16">
        <v>42741</v>
      </c>
      <c r="B494" s="17" t="s">
        <v>720</v>
      </c>
      <c r="C494" s="18">
        <v>96091</v>
      </c>
      <c r="D494" s="2" t="s">
        <v>721</v>
      </c>
      <c r="E494" s="15">
        <v>9005.7000000000007</v>
      </c>
      <c r="F494" s="36" t="s">
        <v>533</v>
      </c>
      <c r="G494" s="15">
        <v>9005.7000000000007</v>
      </c>
      <c r="H494" s="15">
        <f t="shared" si="8"/>
        <v>0</v>
      </c>
      <c r="I494" s="19"/>
    </row>
    <row r="495" spans="1:9" x14ac:dyDescent="0.25">
      <c r="A495" s="16">
        <v>42741</v>
      </c>
      <c r="B495" s="17" t="s">
        <v>722</v>
      </c>
      <c r="C495" s="18">
        <v>96092</v>
      </c>
      <c r="D495" s="2" t="s">
        <v>92</v>
      </c>
      <c r="E495" s="15">
        <v>3466.2</v>
      </c>
      <c r="F495" s="36" t="s">
        <v>215</v>
      </c>
      <c r="G495" s="15">
        <v>3466.2</v>
      </c>
      <c r="H495" s="15">
        <f t="shared" si="8"/>
        <v>0</v>
      </c>
      <c r="I495" s="19"/>
    </row>
    <row r="496" spans="1:9" x14ac:dyDescent="0.25">
      <c r="A496" s="16">
        <v>42741</v>
      </c>
      <c r="B496" s="17" t="s">
        <v>723</v>
      </c>
      <c r="C496" s="18">
        <v>96093</v>
      </c>
      <c r="D496" s="2" t="s">
        <v>293</v>
      </c>
      <c r="E496" s="15">
        <v>1156.3</v>
      </c>
      <c r="F496" s="36" t="s">
        <v>215</v>
      </c>
      <c r="G496" s="15">
        <v>1156.3</v>
      </c>
      <c r="H496" s="15">
        <f t="shared" si="8"/>
        <v>0</v>
      </c>
      <c r="I496" s="19"/>
    </row>
    <row r="497" spans="1:9" x14ac:dyDescent="0.25">
      <c r="A497" s="16">
        <v>42741</v>
      </c>
      <c r="B497" s="17" t="s">
        <v>724</v>
      </c>
      <c r="C497" s="18">
        <v>96094</v>
      </c>
      <c r="D497" s="2" t="s">
        <v>111</v>
      </c>
      <c r="E497" s="15">
        <v>3100.7</v>
      </c>
      <c r="F497" s="36" t="s">
        <v>215</v>
      </c>
      <c r="G497" s="15">
        <v>3100.7</v>
      </c>
      <c r="H497" s="15">
        <f t="shared" si="8"/>
        <v>0</v>
      </c>
      <c r="I497" s="19"/>
    </row>
    <row r="498" spans="1:9" x14ac:dyDescent="0.25">
      <c r="A498" s="16">
        <v>42741</v>
      </c>
      <c r="B498" s="17" t="s">
        <v>725</v>
      </c>
      <c r="C498" s="18">
        <v>96095</v>
      </c>
      <c r="D498" s="2" t="s">
        <v>291</v>
      </c>
      <c r="E498" s="15">
        <v>1690.7</v>
      </c>
      <c r="F498" s="36" t="s">
        <v>215</v>
      </c>
      <c r="G498" s="15">
        <v>1690.7</v>
      </c>
      <c r="H498" s="15">
        <f t="shared" si="8"/>
        <v>0</v>
      </c>
      <c r="I498" s="19"/>
    </row>
    <row r="499" spans="1:9" x14ac:dyDescent="0.25">
      <c r="A499" s="16">
        <v>42741</v>
      </c>
      <c r="B499" s="17" t="s">
        <v>726</v>
      </c>
      <c r="C499" s="18">
        <v>96096</v>
      </c>
      <c r="D499" s="2" t="s">
        <v>30</v>
      </c>
      <c r="E499" s="15">
        <v>1405</v>
      </c>
      <c r="F499" s="36" t="s">
        <v>215</v>
      </c>
      <c r="G499" s="15">
        <v>1405</v>
      </c>
      <c r="H499" s="15">
        <f t="shared" si="8"/>
        <v>0</v>
      </c>
      <c r="I499" s="19"/>
    </row>
    <row r="500" spans="1:9" x14ac:dyDescent="0.25">
      <c r="A500" s="16">
        <v>42741</v>
      </c>
      <c r="B500" s="17" t="s">
        <v>727</v>
      </c>
      <c r="C500" s="18">
        <v>96097</v>
      </c>
      <c r="D500" s="2" t="s">
        <v>101</v>
      </c>
      <c r="E500" s="15">
        <v>2005</v>
      </c>
      <c r="F500" s="36" t="s">
        <v>215</v>
      </c>
      <c r="G500" s="15">
        <v>2005</v>
      </c>
      <c r="H500" s="15">
        <f t="shared" si="8"/>
        <v>0</v>
      </c>
      <c r="I500" s="19"/>
    </row>
    <row r="501" spans="1:9" x14ac:dyDescent="0.25">
      <c r="A501" s="16">
        <v>42741</v>
      </c>
      <c r="B501" s="17" t="s">
        <v>728</v>
      </c>
      <c r="C501" s="18">
        <v>96098</v>
      </c>
      <c r="D501" s="2" t="s">
        <v>445</v>
      </c>
      <c r="E501" s="15">
        <v>2007.8</v>
      </c>
      <c r="F501" s="36" t="s">
        <v>215</v>
      </c>
      <c r="G501" s="15">
        <v>2007.8</v>
      </c>
      <c r="H501" s="15">
        <f t="shared" si="8"/>
        <v>0</v>
      </c>
      <c r="I501" s="19"/>
    </row>
    <row r="502" spans="1:9" x14ac:dyDescent="0.25">
      <c r="A502" s="16">
        <v>42741</v>
      </c>
      <c r="B502" s="17" t="s">
        <v>729</v>
      </c>
      <c r="C502" s="18">
        <v>96099</v>
      </c>
      <c r="D502" s="2" t="s">
        <v>109</v>
      </c>
      <c r="E502" s="15">
        <v>6077.2</v>
      </c>
      <c r="F502" s="36" t="s">
        <v>215</v>
      </c>
      <c r="G502" s="15">
        <v>6077.2</v>
      </c>
      <c r="H502" s="15">
        <f t="shared" si="8"/>
        <v>0</v>
      </c>
      <c r="I502" s="19"/>
    </row>
    <row r="503" spans="1:9" x14ac:dyDescent="0.25">
      <c r="A503" s="16">
        <v>42741</v>
      </c>
      <c r="B503" s="17" t="s">
        <v>730</v>
      </c>
      <c r="C503" s="18">
        <v>96100</v>
      </c>
      <c r="D503" s="2" t="s">
        <v>208</v>
      </c>
      <c r="E503" s="15">
        <v>16384.14</v>
      </c>
      <c r="F503" s="36" t="s">
        <v>533</v>
      </c>
      <c r="G503" s="15">
        <v>16384.14</v>
      </c>
      <c r="H503" s="15">
        <f t="shared" si="8"/>
        <v>0</v>
      </c>
      <c r="I503" s="19"/>
    </row>
    <row r="504" spans="1:9" x14ac:dyDescent="0.25">
      <c r="A504" s="16">
        <v>42741</v>
      </c>
      <c r="B504" s="17" t="s">
        <v>731</v>
      </c>
      <c r="C504" s="18">
        <v>96101</v>
      </c>
      <c r="D504" s="2" t="s">
        <v>83</v>
      </c>
      <c r="E504" s="15">
        <v>3358.8</v>
      </c>
      <c r="F504" s="36" t="s">
        <v>215</v>
      </c>
      <c r="G504" s="15">
        <v>3358.8</v>
      </c>
      <c r="H504" s="15">
        <f t="shared" si="8"/>
        <v>0</v>
      </c>
      <c r="I504" s="19"/>
    </row>
    <row r="505" spans="1:9" x14ac:dyDescent="0.25">
      <c r="A505" s="16">
        <v>42741</v>
      </c>
      <c r="B505" s="17" t="s">
        <v>732</v>
      </c>
      <c r="C505" s="18">
        <v>96102</v>
      </c>
      <c r="D505" s="2" t="s">
        <v>208</v>
      </c>
      <c r="E505" s="15">
        <v>2162.6999999999998</v>
      </c>
      <c r="F505" s="36" t="s">
        <v>533</v>
      </c>
      <c r="G505" s="15">
        <v>2162.6999999999998</v>
      </c>
      <c r="H505" s="15">
        <f t="shared" si="8"/>
        <v>0</v>
      </c>
      <c r="I505" s="19"/>
    </row>
    <row r="506" spans="1:9" x14ac:dyDescent="0.25">
      <c r="A506" s="16">
        <v>42741</v>
      </c>
      <c r="B506" s="17" t="s">
        <v>733</v>
      </c>
      <c r="C506" s="18">
        <v>96103</v>
      </c>
      <c r="D506" s="2" t="s">
        <v>428</v>
      </c>
      <c r="E506" s="15">
        <v>1711.9</v>
      </c>
      <c r="F506" s="36" t="s">
        <v>275</v>
      </c>
      <c r="G506" s="15">
        <v>1711.9</v>
      </c>
      <c r="H506" s="15">
        <f t="shared" si="8"/>
        <v>0</v>
      </c>
      <c r="I506" s="19"/>
    </row>
    <row r="507" spans="1:9" x14ac:dyDescent="0.25">
      <c r="A507" s="16">
        <v>42741</v>
      </c>
      <c r="B507" s="17" t="s">
        <v>734</v>
      </c>
      <c r="C507" s="18">
        <v>96104</v>
      </c>
      <c r="D507" s="2" t="s">
        <v>208</v>
      </c>
      <c r="E507" s="15">
        <v>306.8</v>
      </c>
      <c r="F507" s="36" t="s">
        <v>533</v>
      </c>
      <c r="G507" s="15">
        <v>306.8</v>
      </c>
      <c r="H507" s="15">
        <f t="shared" si="8"/>
        <v>0</v>
      </c>
      <c r="I507" s="19"/>
    </row>
    <row r="508" spans="1:9" x14ac:dyDescent="0.25">
      <c r="A508" s="16">
        <v>42741</v>
      </c>
      <c r="B508" s="17" t="s">
        <v>735</v>
      </c>
      <c r="C508" s="18">
        <v>96105</v>
      </c>
      <c r="D508" s="2" t="s">
        <v>105</v>
      </c>
      <c r="E508" s="15">
        <v>8436</v>
      </c>
      <c r="F508" s="36" t="s">
        <v>123</v>
      </c>
      <c r="G508" s="15">
        <v>8436</v>
      </c>
      <c r="H508" s="15">
        <f t="shared" si="8"/>
        <v>0</v>
      </c>
      <c r="I508" s="19"/>
    </row>
    <row r="509" spans="1:9" x14ac:dyDescent="0.25">
      <c r="A509" s="16">
        <v>42741</v>
      </c>
      <c r="B509" s="17" t="s">
        <v>736</v>
      </c>
      <c r="C509" s="18">
        <v>96106</v>
      </c>
      <c r="D509" s="2" t="s">
        <v>105</v>
      </c>
      <c r="E509" s="15">
        <v>3528</v>
      </c>
      <c r="F509" s="36" t="s">
        <v>123</v>
      </c>
      <c r="G509" s="15">
        <v>3528</v>
      </c>
      <c r="H509" s="15">
        <f t="shared" si="8"/>
        <v>0</v>
      </c>
      <c r="I509" s="19"/>
    </row>
    <row r="510" spans="1:9" x14ac:dyDescent="0.25">
      <c r="A510" s="16">
        <v>42741</v>
      </c>
      <c r="B510" s="17" t="s">
        <v>737</v>
      </c>
      <c r="C510" s="18">
        <v>96107</v>
      </c>
      <c r="D510" s="2" t="s">
        <v>103</v>
      </c>
      <c r="E510" s="15">
        <v>3752</v>
      </c>
      <c r="F510" s="36" t="s">
        <v>123</v>
      </c>
      <c r="G510" s="15">
        <v>3752</v>
      </c>
      <c r="H510" s="15">
        <f t="shared" si="8"/>
        <v>0</v>
      </c>
      <c r="I510" s="19"/>
    </row>
    <row r="511" spans="1:9" x14ac:dyDescent="0.25">
      <c r="A511" s="16">
        <v>42741</v>
      </c>
      <c r="B511" s="17" t="s">
        <v>738</v>
      </c>
      <c r="C511" s="18">
        <v>96108</v>
      </c>
      <c r="D511" s="2" t="s">
        <v>79</v>
      </c>
      <c r="E511" s="15">
        <v>2936.2</v>
      </c>
      <c r="F511" s="36" t="s">
        <v>533</v>
      </c>
      <c r="G511" s="15">
        <v>2936.2</v>
      </c>
      <c r="H511" s="15">
        <f t="shared" si="8"/>
        <v>0</v>
      </c>
      <c r="I511" s="19"/>
    </row>
    <row r="512" spans="1:9" x14ac:dyDescent="0.25">
      <c r="A512" s="16">
        <v>42741</v>
      </c>
      <c r="B512" s="17" t="s">
        <v>739</v>
      </c>
      <c r="C512" s="18">
        <v>96109</v>
      </c>
      <c r="D512" s="2" t="s">
        <v>229</v>
      </c>
      <c r="E512" s="15">
        <v>1665</v>
      </c>
      <c r="F512" s="36" t="s">
        <v>129</v>
      </c>
      <c r="G512" s="15">
        <v>1665</v>
      </c>
      <c r="H512" s="15">
        <f t="shared" si="8"/>
        <v>0</v>
      </c>
      <c r="I512" s="19"/>
    </row>
    <row r="513" spans="1:9" x14ac:dyDescent="0.25">
      <c r="A513" s="16">
        <v>42741</v>
      </c>
      <c r="B513" s="17" t="s">
        <v>740</v>
      </c>
      <c r="C513" s="18">
        <v>96110</v>
      </c>
      <c r="D513" s="2" t="s">
        <v>30</v>
      </c>
      <c r="E513" s="15">
        <v>1710</v>
      </c>
      <c r="F513" s="36" t="s">
        <v>533</v>
      </c>
      <c r="G513" s="15">
        <v>1710</v>
      </c>
      <c r="H513" s="15">
        <f t="shared" si="8"/>
        <v>0</v>
      </c>
      <c r="I513" s="19"/>
    </row>
    <row r="514" spans="1:9" x14ac:dyDescent="0.25">
      <c r="A514" s="16">
        <v>42741</v>
      </c>
      <c r="B514" s="17" t="s">
        <v>741</v>
      </c>
      <c r="C514" s="18">
        <v>96111</v>
      </c>
      <c r="D514" s="2" t="s">
        <v>30</v>
      </c>
      <c r="E514" s="15">
        <v>2128</v>
      </c>
      <c r="F514" s="36" t="s">
        <v>533</v>
      </c>
      <c r="G514" s="15">
        <v>2128</v>
      </c>
      <c r="H514" s="15">
        <f t="shared" si="8"/>
        <v>0</v>
      </c>
      <c r="I514" s="19"/>
    </row>
    <row r="515" spans="1:9" x14ac:dyDescent="0.25">
      <c r="A515" s="16">
        <v>42741</v>
      </c>
      <c r="B515" s="17" t="s">
        <v>742</v>
      </c>
      <c r="C515" s="18">
        <v>96112</v>
      </c>
      <c r="D515" s="2" t="s">
        <v>35</v>
      </c>
      <c r="E515" s="15">
        <v>16458.400000000001</v>
      </c>
      <c r="F515" s="36" t="s">
        <v>123</v>
      </c>
      <c r="G515" s="15">
        <v>16458.400000000001</v>
      </c>
      <c r="H515" s="15">
        <f t="shared" si="8"/>
        <v>0</v>
      </c>
      <c r="I515" s="19"/>
    </row>
    <row r="516" spans="1:9" x14ac:dyDescent="0.25">
      <c r="A516" s="16">
        <v>42741</v>
      </c>
      <c r="B516" s="17" t="s">
        <v>743</v>
      </c>
      <c r="C516" s="18">
        <v>96113</v>
      </c>
      <c r="D516" s="2" t="s">
        <v>32</v>
      </c>
      <c r="E516" s="15">
        <v>8258.4</v>
      </c>
      <c r="F516" s="36" t="s">
        <v>107</v>
      </c>
      <c r="G516" s="15">
        <v>8258.4</v>
      </c>
      <c r="H516" s="15">
        <f t="shared" si="8"/>
        <v>0</v>
      </c>
      <c r="I516" s="19"/>
    </row>
    <row r="517" spans="1:9" x14ac:dyDescent="0.25">
      <c r="A517" s="16">
        <v>42741</v>
      </c>
      <c r="B517" s="17" t="s">
        <v>744</v>
      </c>
      <c r="C517" s="18">
        <v>96114</v>
      </c>
      <c r="D517" s="2" t="s">
        <v>49</v>
      </c>
      <c r="E517" s="15">
        <v>17562.8</v>
      </c>
      <c r="F517" s="36" t="s">
        <v>107</v>
      </c>
      <c r="G517" s="15">
        <v>17562.8</v>
      </c>
      <c r="H517" s="15">
        <f t="shared" si="8"/>
        <v>0</v>
      </c>
      <c r="I517" s="19"/>
    </row>
    <row r="518" spans="1:9" x14ac:dyDescent="0.25">
      <c r="A518" s="16">
        <v>42741</v>
      </c>
      <c r="B518" s="17" t="s">
        <v>745</v>
      </c>
      <c r="C518" s="18">
        <v>96115</v>
      </c>
      <c r="D518" s="2" t="s">
        <v>35</v>
      </c>
      <c r="E518" s="15">
        <v>1372.8</v>
      </c>
      <c r="F518" s="36" t="s">
        <v>123</v>
      </c>
      <c r="G518" s="15">
        <v>1372.8</v>
      </c>
      <c r="H518" s="15">
        <f t="shared" ref="H518:H581" si="9">E518-G518</f>
        <v>0</v>
      </c>
      <c r="I518" s="19"/>
    </row>
    <row r="519" spans="1:9" x14ac:dyDescent="0.25">
      <c r="A519" s="16">
        <v>42741</v>
      </c>
      <c r="B519" s="17" t="s">
        <v>746</v>
      </c>
      <c r="C519" s="18">
        <v>96116</v>
      </c>
      <c r="D519" s="2" t="s">
        <v>40</v>
      </c>
      <c r="E519" s="15">
        <v>4370</v>
      </c>
      <c r="F519" s="36" t="s">
        <v>129</v>
      </c>
      <c r="G519" s="15">
        <v>4370</v>
      </c>
      <c r="H519" s="15">
        <f t="shared" si="9"/>
        <v>0</v>
      </c>
      <c r="I519" s="19"/>
    </row>
    <row r="520" spans="1:9" x14ac:dyDescent="0.25">
      <c r="A520" s="16">
        <v>42741</v>
      </c>
      <c r="B520" s="17" t="s">
        <v>747</v>
      </c>
      <c r="C520" s="18">
        <v>96117</v>
      </c>
      <c r="D520" s="2" t="s">
        <v>250</v>
      </c>
      <c r="E520" s="15">
        <v>11717.8</v>
      </c>
      <c r="F520" s="36" t="s">
        <v>107</v>
      </c>
      <c r="G520" s="15">
        <v>11717.8</v>
      </c>
      <c r="H520" s="15">
        <f t="shared" si="9"/>
        <v>0</v>
      </c>
      <c r="I520" s="19"/>
    </row>
    <row r="521" spans="1:9" x14ac:dyDescent="0.25">
      <c r="A521" s="16">
        <v>42741</v>
      </c>
      <c r="B521" s="17" t="s">
        <v>748</v>
      </c>
      <c r="C521" s="18">
        <v>96118</v>
      </c>
      <c r="D521" s="2" t="s">
        <v>145</v>
      </c>
      <c r="E521" s="15">
        <v>37713.800000000003</v>
      </c>
      <c r="F521" s="36" t="s">
        <v>107</v>
      </c>
      <c r="G521" s="15">
        <v>37713.800000000003</v>
      </c>
      <c r="H521" s="15">
        <f t="shared" si="9"/>
        <v>0</v>
      </c>
      <c r="I521" s="19"/>
    </row>
    <row r="522" spans="1:9" x14ac:dyDescent="0.25">
      <c r="A522" s="16">
        <v>42741</v>
      </c>
      <c r="B522" s="17" t="s">
        <v>749</v>
      </c>
      <c r="C522" s="18">
        <v>96119</v>
      </c>
      <c r="D522" s="2" t="s">
        <v>38</v>
      </c>
      <c r="E522" s="15">
        <v>2603</v>
      </c>
      <c r="F522" s="124" t="s">
        <v>750</v>
      </c>
      <c r="G522" s="20">
        <f>1000+1603</f>
        <v>2603</v>
      </c>
      <c r="H522" s="20">
        <f t="shared" si="9"/>
        <v>0</v>
      </c>
      <c r="I522" s="19"/>
    </row>
    <row r="523" spans="1:9" x14ac:dyDescent="0.25">
      <c r="A523" s="16">
        <v>42741</v>
      </c>
      <c r="B523" s="17" t="s">
        <v>751</v>
      </c>
      <c r="C523" s="18">
        <v>96120</v>
      </c>
      <c r="D523" s="2" t="s">
        <v>43</v>
      </c>
      <c r="E523" s="15">
        <v>5931</v>
      </c>
      <c r="F523" s="36" t="s">
        <v>123</v>
      </c>
      <c r="G523" s="15">
        <v>5931</v>
      </c>
      <c r="H523" s="15">
        <f t="shared" si="9"/>
        <v>0</v>
      </c>
      <c r="I523" s="19"/>
    </row>
    <row r="524" spans="1:9" x14ac:dyDescent="0.25">
      <c r="A524" s="16">
        <v>42741</v>
      </c>
      <c r="B524" s="17" t="s">
        <v>752</v>
      </c>
      <c r="C524" s="18">
        <v>96121</v>
      </c>
      <c r="D524" s="2" t="s">
        <v>576</v>
      </c>
      <c r="E524" s="15">
        <v>4757</v>
      </c>
      <c r="F524" s="36" t="s">
        <v>123</v>
      </c>
      <c r="G524" s="15">
        <v>4757</v>
      </c>
      <c r="H524" s="15">
        <f t="shared" si="9"/>
        <v>0</v>
      </c>
      <c r="I524" s="19"/>
    </row>
    <row r="525" spans="1:9" x14ac:dyDescent="0.25">
      <c r="A525" s="16">
        <v>42741</v>
      </c>
      <c r="B525" s="17" t="s">
        <v>753</v>
      </c>
      <c r="C525" s="18">
        <v>96122</v>
      </c>
      <c r="D525" s="2" t="s">
        <v>67</v>
      </c>
      <c r="E525" s="15">
        <v>10700.8</v>
      </c>
      <c r="F525" s="36" t="s">
        <v>123</v>
      </c>
      <c r="G525" s="15">
        <v>10700.8</v>
      </c>
      <c r="H525" s="15">
        <f t="shared" si="9"/>
        <v>0</v>
      </c>
      <c r="I525" s="19"/>
    </row>
    <row r="526" spans="1:9" x14ac:dyDescent="0.25">
      <c r="A526" s="16">
        <v>42741</v>
      </c>
      <c r="B526" s="17" t="s">
        <v>754</v>
      </c>
      <c r="C526" s="18">
        <v>96123</v>
      </c>
      <c r="D526" s="2" t="s">
        <v>47</v>
      </c>
      <c r="E526" s="15">
        <v>2570.4</v>
      </c>
      <c r="F526" s="36" t="s">
        <v>533</v>
      </c>
      <c r="G526" s="15">
        <v>2570.4</v>
      </c>
      <c r="H526" s="15">
        <f t="shared" si="9"/>
        <v>0</v>
      </c>
      <c r="I526" s="19"/>
    </row>
    <row r="527" spans="1:9" x14ac:dyDescent="0.25">
      <c r="A527" s="16">
        <v>42741</v>
      </c>
      <c r="B527" s="17" t="s">
        <v>755</v>
      </c>
      <c r="C527" s="18">
        <v>96124</v>
      </c>
      <c r="D527" s="2" t="s">
        <v>155</v>
      </c>
      <c r="E527" s="15">
        <v>18110.2</v>
      </c>
      <c r="F527" s="124" t="s">
        <v>756</v>
      </c>
      <c r="G527" s="20">
        <f>4110.2+14000</f>
        <v>18110.2</v>
      </c>
      <c r="H527" s="20">
        <f t="shared" si="9"/>
        <v>0</v>
      </c>
      <c r="I527" s="19"/>
    </row>
    <row r="528" spans="1:9" x14ac:dyDescent="0.25">
      <c r="A528" s="16">
        <v>42741</v>
      </c>
      <c r="B528" s="17" t="s">
        <v>757</v>
      </c>
      <c r="C528" s="18">
        <v>96125</v>
      </c>
      <c r="D528" s="2" t="s">
        <v>270</v>
      </c>
      <c r="E528" s="15">
        <v>38677.160000000003</v>
      </c>
      <c r="F528" s="36" t="s">
        <v>275</v>
      </c>
      <c r="G528" s="15">
        <v>38677.160000000003</v>
      </c>
      <c r="H528" s="15">
        <f t="shared" si="9"/>
        <v>0</v>
      </c>
      <c r="I528" s="19"/>
    </row>
    <row r="529" spans="1:9" x14ac:dyDescent="0.25">
      <c r="A529" s="16">
        <v>42741</v>
      </c>
      <c r="B529" s="17" t="s">
        <v>758</v>
      </c>
      <c r="C529" s="18">
        <v>96126</v>
      </c>
      <c r="D529" s="2" t="s">
        <v>268</v>
      </c>
      <c r="E529" s="15">
        <v>19885.8</v>
      </c>
      <c r="F529" s="36" t="s">
        <v>275</v>
      </c>
      <c r="G529" s="15">
        <v>19885.8</v>
      </c>
      <c r="H529" s="15">
        <f t="shared" si="9"/>
        <v>0</v>
      </c>
      <c r="I529" s="19"/>
    </row>
    <row r="530" spans="1:9" x14ac:dyDescent="0.25">
      <c r="A530" s="16">
        <v>42741</v>
      </c>
      <c r="B530" s="17" t="s">
        <v>759</v>
      </c>
      <c r="C530" s="18">
        <v>96127</v>
      </c>
      <c r="D530" s="2" t="s">
        <v>432</v>
      </c>
      <c r="E530" s="15">
        <v>18749.599999999999</v>
      </c>
      <c r="F530" s="36" t="s">
        <v>275</v>
      </c>
      <c r="G530" s="15">
        <v>18749.599999999999</v>
      </c>
      <c r="H530" s="15">
        <f t="shared" si="9"/>
        <v>0</v>
      </c>
      <c r="I530" s="19"/>
    </row>
    <row r="531" spans="1:9" x14ac:dyDescent="0.25">
      <c r="A531" s="16">
        <v>42741</v>
      </c>
      <c r="B531" s="17" t="s">
        <v>760</v>
      </c>
      <c r="C531" s="18">
        <v>96128</v>
      </c>
      <c r="D531" s="2" t="s">
        <v>590</v>
      </c>
      <c r="E531" s="15">
        <v>8017.8</v>
      </c>
      <c r="F531" s="36" t="s">
        <v>275</v>
      </c>
      <c r="G531" s="15">
        <v>8017.8</v>
      </c>
      <c r="H531" s="15">
        <f t="shared" si="9"/>
        <v>0</v>
      </c>
      <c r="I531" s="19"/>
    </row>
    <row r="532" spans="1:9" x14ac:dyDescent="0.25">
      <c r="A532" s="16">
        <v>42741</v>
      </c>
      <c r="B532" s="17" t="s">
        <v>761</v>
      </c>
      <c r="C532" s="18">
        <v>96129</v>
      </c>
      <c r="D532" s="2" t="s">
        <v>272</v>
      </c>
      <c r="E532" s="15">
        <v>1990.2</v>
      </c>
      <c r="F532" s="36" t="s">
        <v>275</v>
      </c>
      <c r="G532" s="15">
        <v>1990.2</v>
      </c>
      <c r="H532" s="15">
        <f t="shared" si="9"/>
        <v>0</v>
      </c>
      <c r="I532" s="19"/>
    </row>
    <row r="533" spans="1:9" x14ac:dyDescent="0.25">
      <c r="A533" s="16">
        <v>42741</v>
      </c>
      <c r="B533" s="17" t="s">
        <v>762</v>
      </c>
      <c r="C533" s="18">
        <v>96130</v>
      </c>
      <c r="D533" s="2" t="s">
        <v>435</v>
      </c>
      <c r="E533" s="15">
        <v>5197.5</v>
      </c>
      <c r="F533" s="36" t="s">
        <v>275</v>
      </c>
      <c r="G533" s="15">
        <v>5197.5</v>
      </c>
      <c r="H533" s="15">
        <f t="shared" si="9"/>
        <v>0</v>
      </c>
      <c r="I533" s="19"/>
    </row>
    <row r="534" spans="1:9" x14ac:dyDescent="0.25">
      <c r="A534" s="16">
        <v>42741</v>
      </c>
      <c r="B534" s="17" t="s">
        <v>763</v>
      </c>
      <c r="C534" s="18">
        <v>96131</v>
      </c>
      <c r="D534" s="2" t="s">
        <v>274</v>
      </c>
      <c r="E534" s="15">
        <v>21925.7</v>
      </c>
      <c r="F534" s="36" t="s">
        <v>275</v>
      </c>
      <c r="G534" s="15">
        <v>21925.7</v>
      </c>
      <c r="H534" s="15">
        <f t="shared" si="9"/>
        <v>0</v>
      </c>
      <c r="I534" s="19"/>
    </row>
    <row r="535" spans="1:9" x14ac:dyDescent="0.25">
      <c r="A535" s="16">
        <v>42741</v>
      </c>
      <c r="B535" s="17" t="s">
        <v>764</v>
      </c>
      <c r="C535" s="18">
        <v>96132</v>
      </c>
      <c r="D535" s="2" t="s">
        <v>161</v>
      </c>
      <c r="E535" s="15">
        <v>56376</v>
      </c>
      <c r="F535" s="36" t="s">
        <v>765</v>
      </c>
      <c r="G535" s="15">
        <v>56376</v>
      </c>
      <c r="H535" s="15">
        <f t="shared" si="9"/>
        <v>0</v>
      </c>
      <c r="I535" s="19"/>
    </row>
    <row r="536" spans="1:9" x14ac:dyDescent="0.25">
      <c r="A536" s="16">
        <v>42741</v>
      </c>
      <c r="B536" s="17" t="s">
        <v>766</v>
      </c>
      <c r="C536" s="18">
        <v>96133</v>
      </c>
      <c r="D536" s="2" t="s">
        <v>163</v>
      </c>
      <c r="E536" s="15">
        <v>14515.2</v>
      </c>
      <c r="F536" s="36" t="s">
        <v>173</v>
      </c>
      <c r="G536" s="15">
        <v>14515.2</v>
      </c>
      <c r="H536" s="15">
        <f t="shared" si="9"/>
        <v>0</v>
      </c>
      <c r="I536" s="19"/>
    </row>
    <row r="537" spans="1:9" x14ac:dyDescent="0.25">
      <c r="A537" s="16">
        <v>42741</v>
      </c>
      <c r="B537" s="17" t="s">
        <v>767</v>
      </c>
      <c r="C537" s="18">
        <v>96134</v>
      </c>
      <c r="D537" s="2" t="s">
        <v>590</v>
      </c>
      <c r="E537" s="15">
        <v>3465.8</v>
      </c>
      <c r="F537" s="36" t="s">
        <v>275</v>
      </c>
      <c r="G537" s="15">
        <v>3465.8</v>
      </c>
      <c r="H537" s="15">
        <f t="shared" si="9"/>
        <v>0</v>
      </c>
      <c r="I537" s="19"/>
    </row>
    <row r="538" spans="1:9" x14ac:dyDescent="0.25">
      <c r="A538" s="16">
        <v>42741</v>
      </c>
      <c r="B538" s="17" t="s">
        <v>768</v>
      </c>
      <c r="C538" s="18">
        <v>96135</v>
      </c>
      <c r="D538" s="13" t="s">
        <v>590</v>
      </c>
      <c r="E538" s="14">
        <v>0</v>
      </c>
      <c r="F538" s="123" t="s">
        <v>95</v>
      </c>
      <c r="G538" s="14">
        <v>0</v>
      </c>
      <c r="H538" s="14">
        <f t="shared" si="9"/>
        <v>0</v>
      </c>
      <c r="I538" s="19"/>
    </row>
    <row r="539" spans="1:9" x14ac:dyDescent="0.25">
      <c r="A539" s="16">
        <v>42741</v>
      </c>
      <c r="B539" s="17" t="s">
        <v>769</v>
      </c>
      <c r="C539" s="18">
        <v>96136</v>
      </c>
      <c r="D539" s="2" t="s">
        <v>442</v>
      </c>
      <c r="E539" s="15">
        <v>4103.2</v>
      </c>
      <c r="F539" s="36" t="s">
        <v>275</v>
      </c>
      <c r="G539" s="15">
        <v>4103.2</v>
      </c>
      <c r="H539" s="15">
        <f t="shared" si="9"/>
        <v>0</v>
      </c>
      <c r="I539" s="19"/>
    </row>
    <row r="540" spans="1:9" x14ac:dyDescent="0.25">
      <c r="A540" s="16">
        <v>42741</v>
      </c>
      <c r="B540" s="17" t="s">
        <v>770</v>
      </c>
      <c r="C540" s="18">
        <v>96137</v>
      </c>
      <c r="D540" s="2" t="s">
        <v>590</v>
      </c>
      <c r="E540" s="15">
        <v>3751</v>
      </c>
      <c r="F540" s="36" t="s">
        <v>275</v>
      </c>
      <c r="G540" s="15">
        <v>3751</v>
      </c>
      <c r="H540" s="15">
        <f t="shared" si="9"/>
        <v>0</v>
      </c>
      <c r="I540" s="19"/>
    </row>
    <row r="541" spans="1:9" x14ac:dyDescent="0.25">
      <c r="A541" s="16">
        <v>42741</v>
      </c>
      <c r="B541" s="17" t="s">
        <v>771</v>
      </c>
      <c r="C541" s="18">
        <v>96138</v>
      </c>
      <c r="D541" s="2" t="s">
        <v>274</v>
      </c>
      <c r="E541" s="15">
        <v>286</v>
      </c>
      <c r="F541" s="36" t="s">
        <v>275</v>
      </c>
      <c r="G541" s="15">
        <v>286</v>
      </c>
      <c r="H541" s="15">
        <f t="shared" si="9"/>
        <v>0</v>
      </c>
      <c r="I541" s="19"/>
    </row>
    <row r="542" spans="1:9" x14ac:dyDescent="0.25">
      <c r="A542" s="16">
        <v>42741</v>
      </c>
      <c r="B542" s="17" t="s">
        <v>772</v>
      </c>
      <c r="C542" s="18">
        <v>96139</v>
      </c>
      <c r="D542" s="2" t="s">
        <v>773</v>
      </c>
      <c r="E542" s="15">
        <v>6318</v>
      </c>
      <c r="F542" s="36" t="s">
        <v>533</v>
      </c>
      <c r="G542" s="15">
        <v>6318</v>
      </c>
      <c r="H542" s="15">
        <f t="shared" si="9"/>
        <v>0</v>
      </c>
      <c r="I542" s="19"/>
    </row>
    <row r="543" spans="1:9" x14ac:dyDescent="0.25">
      <c r="A543" s="16">
        <v>42741</v>
      </c>
      <c r="B543" s="17" t="s">
        <v>774</v>
      </c>
      <c r="C543" s="18">
        <v>96140</v>
      </c>
      <c r="D543" s="2" t="s">
        <v>773</v>
      </c>
      <c r="E543" s="15">
        <v>1350</v>
      </c>
      <c r="F543" s="36" t="s">
        <v>533</v>
      </c>
      <c r="G543" s="15">
        <v>1350</v>
      </c>
      <c r="H543" s="15">
        <f t="shared" si="9"/>
        <v>0</v>
      </c>
      <c r="I543" s="19"/>
    </row>
    <row r="544" spans="1:9" x14ac:dyDescent="0.25">
      <c r="A544" s="16">
        <v>42741</v>
      </c>
      <c r="B544" s="17" t="s">
        <v>775</v>
      </c>
      <c r="C544" s="18">
        <v>96141</v>
      </c>
      <c r="D544" s="2" t="s">
        <v>172</v>
      </c>
      <c r="E544" s="15">
        <v>46300</v>
      </c>
      <c r="F544" s="36" t="s">
        <v>765</v>
      </c>
      <c r="G544" s="15">
        <v>46300</v>
      </c>
      <c r="H544" s="15">
        <f t="shared" si="9"/>
        <v>0</v>
      </c>
      <c r="I544" s="19"/>
    </row>
    <row r="545" spans="1:9" x14ac:dyDescent="0.25">
      <c r="A545" s="16">
        <v>42741</v>
      </c>
      <c r="B545" s="17" t="s">
        <v>776</v>
      </c>
      <c r="C545" s="18">
        <v>96142</v>
      </c>
      <c r="D545" s="2" t="s">
        <v>165</v>
      </c>
      <c r="E545" s="15">
        <v>13501.6</v>
      </c>
      <c r="F545" s="36" t="s">
        <v>166</v>
      </c>
      <c r="G545" s="15">
        <v>13501.6</v>
      </c>
      <c r="H545" s="15">
        <f t="shared" si="9"/>
        <v>0</v>
      </c>
      <c r="I545" s="19"/>
    </row>
    <row r="546" spans="1:9" x14ac:dyDescent="0.25">
      <c r="A546" s="16">
        <v>42741</v>
      </c>
      <c r="B546" s="17" t="s">
        <v>777</v>
      </c>
      <c r="C546" s="18">
        <v>96143</v>
      </c>
      <c r="D546" s="2" t="s">
        <v>305</v>
      </c>
      <c r="E546" s="15">
        <v>4432.1000000000004</v>
      </c>
      <c r="F546" s="36" t="s">
        <v>123</v>
      </c>
      <c r="G546" s="15">
        <v>4432.1000000000004</v>
      </c>
      <c r="H546" s="15">
        <f t="shared" si="9"/>
        <v>0</v>
      </c>
      <c r="I546" s="19"/>
    </row>
    <row r="547" spans="1:9" x14ac:dyDescent="0.25">
      <c r="A547" s="16">
        <v>42741</v>
      </c>
      <c r="B547" s="17" t="s">
        <v>778</v>
      </c>
      <c r="C547" s="18">
        <v>96144</v>
      </c>
      <c r="D547" s="2" t="s">
        <v>476</v>
      </c>
      <c r="E547" s="15">
        <v>19414.400000000001</v>
      </c>
      <c r="F547" s="36" t="s">
        <v>123</v>
      </c>
      <c r="G547" s="15">
        <v>19414.400000000001</v>
      </c>
      <c r="H547" s="15">
        <f t="shared" si="9"/>
        <v>0</v>
      </c>
      <c r="I547" s="19"/>
    </row>
    <row r="548" spans="1:9" x14ac:dyDescent="0.25">
      <c r="A548" s="16">
        <v>42741</v>
      </c>
      <c r="B548" s="17" t="s">
        <v>779</v>
      </c>
      <c r="C548" s="18">
        <v>96145</v>
      </c>
      <c r="D548" s="2" t="s">
        <v>492</v>
      </c>
      <c r="E548" s="15">
        <v>25308.400000000001</v>
      </c>
      <c r="F548" s="36" t="s">
        <v>493</v>
      </c>
      <c r="G548" s="15">
        <v>25308.400000000001</v>
      </c>
      <c r="H548" s="15">
        <f t="shared" si="9"/>
        <v>0</v>
      </c>
      <c r="I548" s="19"/>
    </row>
    <row r="549" spans="1:9" x14ac:dyDescent="0.25">
      <c r="A549" s="16">
        <v>42741</v>
      </c>
      <c r="B549" s="17" t="s">
        <v>780</v>
      </c>
      <c r="C549" s="18">
        <v>96146</v>
      </c>
      <c r="D549" s="13" t="s">
        <v>12</v>
      </c>
      <c r="E549" s="14">
        <v>0</v>
      </c>
      <c r="F549" s="123" t="s">
        <v>95</v>
      </c>
      <c r="G549" s="14">
        <v>0</v>
      </c>
      <c r="H549" s="14">
        <f t="shared" si="9"/>
        <v>0</v>
      </c>
      <c r="I549" s="19"/>
    </row>
    <row r="550" spans="1:9" x14ac:dyDescent="0.25">
      <c r="A550" s="16">
        <v>42741</v>
      </c>
      <c r="B550" s="17" t="s">
        <v>781</v>
      </c>
      <c r="C550" s="18">
        <v>96147</v>
      </c>
      <c r="D550" s="2" t="s">
        <v>277</v>
      </c>
      <c r="E550" s="15">
        <v>3198</v>
      </c>
      <c r="F550" s="36" t="s">
        <v>215</v>
      </c>
      <c r="G550" s="15">
        <v>3198</v>
      </c>
      <c r="H550" s="15">
        <f t="shared" si="9"/>
        <v>0</v>
      </c>
      <c r="I550" s="19"/>
    </row>
    <row r="551" spans="1:9" x14ac:dyDescent="0.25">
      <c r="A551" s="16">
        <v>42741</v>
      </c>
      <c r="B551" s="17" t="s">
        <v>782</v>
      </c>
      <c r="C551" s="18">
        <v>96148</v>
      </c>
      <c r="D551" s="2" t="s">
        <v>115</v>
      </c>
      <c r="E551" s="15">
        <v>4224.8</v>
      </c>
      <c r="F551" s="36" t="s">
        <v>533</v>
      </c>
      <c r="G551" s="15">
        <v>4224.8</v>
      </c>
      <c r="H551" s="15">
        <f t="shared" si="9"/>
        <v>0</v>
      </c>
      <c r="I551" s="19"/>
    </row>
    <row r="552" spans="1:9" x14ac:dyDescent="0.25">
      <c r="A552" s="16">
        <v>42741</v>
      </c>
      <c r="B552" s="17" t="s">
        <v>783</v>
      </c>
      <c r="C552" s="18">
        <v>96149</v>
      </c>
      <c r="D552" s="2" t="s">
        <v>131</v>
      </c>
      <c r="E552" s="15">
        <v>12948</v>
      </c>
      <c r="F552" s="36" t="s">
        <v>215</v>
      </c>
      <c r="G552" s="15">
        <v>12948</v>
      </c>
      <c r="H552" s="15">
        <f t="shared" si="9"/>
        <v>0</v>
      </c>
      <c r="I552" s="19"/>
    </row>
    <row r="553" spans="1:9" x14ac:dyDescent="0.25">
      <c r="A553" s="16">
        <v>42741</v>
      </c>
      <c r="B553" s="17" t="s">
        <v>784</v>
      </c>
      <c r="C553" s="18">
        <v>96150</v>
      </c>
      <c r="D553" s="2" t="s">
        <v>785</v>
      </c>
      <c r="E553" s="15">
        <v>19675.900000000001</v>
      </c>
      <c r="F553" s="36" t="s">
        <v>215</v>
      </c>
      <c r="G553" s="15">
        <v>19675.900000000001</v>
      </c>
      <c r="H553" s="15">
        <f t="shared" si="9"/>
        <v>0</v>
      </c>
      <c r="I553" s="19"/>
    </row>
    <row r="554" spans="1:9" x14ac:dyDescent="0.25">
      <c r="A554" s="16">
        <v>42741</v>
      </c>
      <c r="B554" s="17" t="s">
        <v>786</v>
      </c>
      <c r="C554" s="18">
        <v>96151</v>
      </c>
      <c r="D554" s="2" t="s">
        <v>459</v>
      </c>
      <c r="E554" s="15">
        <v>2007.4</v>
      </c>
      <c r="F554" s="36" t="s">
        <v>215</v>
      </c>
      <c r="G554" s="15">
        <v>2007.4</v>
      </c>
      <c r="H554" s="15">
        <f t="shared" si="9"/>
        <v>0</v>
      </c>
      <c r="I554" s="19"/>
    </row>
    <row r="555" spans="1:9" x14ac:dyDescent="0.25">
      <c r="A555" s="16">
        <v>42741</v>
      </c>
      <c r="B555" s="17" t="s">
        <v>787</v>
      </c>
      <c r="C555" s="18">
        <v>96152</v>
      </c>
      <c r="D555" s="2" t="s">
        <v>633</v>
      </c>
      <c r="E555" s="15">
        <v>440.7</v>
      </c>
      <c r="F555" s="36" t="s">
        <v>215</v>
      </c>
      <c r="G555" s="15">
        <v>440.7</v>
      </c>
      <c r="H555" s="15">
        <f t="shared" si="9"/>
        <v>0</v>
      </c>
      <c r="I555" s="19"/>
    </row>
    <row r="556" spans="1:9" x14ac:dyDescent="0.25">
      <c r="A556" s="16">
        <v>42741</v>
      </c>
      <c r="B556" s="17" t="s">
        <v>788</v>
      </c>
      <c r="C556" s="18">
        <v>96153</v>
      </c>
      <c r="D556" s="2" t="s">
        <v>45</v>
      </c>
      <c r="E556" s="15">
        <v>2668</v>
      </c>
      <c r="F556" s="36" t="s">
        <v>215</v>
      </c>
      <c r="G556" s="15">
        <v>2668</v>
      </c>
      <c r="H556" s="15">
        <f t="shared" si="9"/>
        <v>0</v>
      </c>
      <c r="I556" s="19"/>
    </row>
    <row r="557" spans="1:9" x14ac:dyDescent="0.25">
      <c r="A557" s="16">
        <v>42741</v>
      </c>
      <c r="B557" s="17" t="s">
        <v>789</v>
      </c>
      <c r="C557" s="18">
        <v>96154</v>
      </c>
      <c r="D557" s="2" t="s">
        <v>198</v>
      </c>
      <c r="E557" s="15">
        <v>3919.5</v>
      </c>
      <c r="F557" s="36" t="s">
        <v>215</v>
      </c>
      <c r="G557" s="15">
        <v>3919.5</v>
      </c>
      <c r="H557" s="15">
        <f t="shared" si="9"/>
        <v>0</v>
      </c>
      <c r="I557" s="19"/>
    </row>
    <row r="558" spans="1:9" x14ac:dyDescent="0.25">
      <c r="A558" s="16">
        <v>42741</v>
      </c>
      <c r="B558" s="17" t="s">
        <v>790</v>
      </c>
      <c r="C558" s="18">
        <v>96155</v>
      </c>
      <c r="D558" s="2" t="s">
        <v>57</v>
      </c>
      <c r="E558" s="15">
        <v>800</v>
      </c>
      <c r="F558" s="36" t="s">
        <v>215</v>
      </c>
      <c r="G558" s="15">
        <v>800</v>
      </c>
      <c r="H558" s="15">
        <f t="shared" si="9"/>
        <v>0</v>
      </c>
      <c r="I558" s="19"/>
    </row>
    <row r="559" spans="1:9" x14ac:dyDescent="0.25">
      <c r="A559" s="16">
        <v>42741</v>
      </c>
      <c r="B559" s="17" t="s">
        <v>791</v>
      </c>
      <c r="C559" s="18">
        <v>96156</v>
      </c>
      <c r="D559" s="2" t="s">
        <v>53</v>
      </c>
      <c r="E559" s="15">
        <v>3524.1</v>
      </c>
      <c r="F559" s="36" t="s">
        <v>215</v>
      </c>
      <c r="G559" s="15">
        <v>3524.1</v>
      </c>
      <c r="H559" s="15">
        <f t="shared" si="9"/>
        <v>0</v>
      </c>
      <c r="I559" s="19"/>
    </row>
    <row r="560" spans="1:9" x14ac:dyDescent="0.25">
      <c r="A560" s="16">
        <v>42741</v>
      </c>
      <c r="B560" s="17" t="s">
        <v>792</v>
      </c>
      <c r="C560" s="18">
        <v>96157</v>
      </c>
      <c r="D560" s="2" t="s">
        <v>793</v>
      </c>
      <c r="E560" s="15">
        <v>2040</v>
      </c>
      <c r="F560" s="36" t="s">
        <v>215</v>
      </c>
      <c r="G560" s="15">
        <v>2040</v>
      </c>
      <c r="H560" s="15">
        <f t="shared" si="9"/>
        <v>0</v>
      </c>
      <c r="I560" s="19"/>
    </row>
    <row r="561" spans="1:9" x14ac:dyDescent="0.25">
      <c r="A561" s="16">
        <v>42741</v>
      </c>
      <c r="B561" s="17" t="s">
        <v>794</v>
      </c>
      <c r="C561" s="18">
        <v>96158</v>
      </c>
      <c r="D561" s="2" t="s">
        <v>30</v>
      </c>
      <c r="E561" s="15">
        <v>1800</v>
      </c>
      <c r="F561" s="36" t="s">
        <v>215</v>
      </c>
      <c r="G561" s="15">
        <v>1800</v>
      </c>
      <c r="H561" s="15">
        <f t="shared" si="9"/>
        <v>0</v>
      </c>
      <c r="I561" s="19"/>
    </row>
    <row r="562" spans="1:9" x14ac:dyDescent="0.25">
      <c r="A562" s="16">
        <v>42741</v>
      </c>
      <c r="B562" s="17" t="s">
        <v>795</v>
      </c>
      <c r="C562" s="18">
        <v>96159</v>
      </c>
      <c r="D562" s="2" t="s">
        <v>30</v>
      </c>
      <c r="E562" s="15">
        <v>1334.76</v>
      </c>
      <c r="F562" s="36" t="s">
        <v>215</v>
      </c>
      <c r="G562" s="15">
        <v>1334.76</v>
      </c>
      <c r="H562" s="15">
        <f t="shared" si="9"/>
        <v>0</v>
      </c>
      <c r="I562" s="19"/>
    </row>
    <row r="563" spans="1:9" x14ac:dyDescent="0.25">
      <c r="A563" s="16">
        <v>42741</v>
      </c>
      <c r="B563" s="17" t="s">
        <v>796</v>
      </c>
      <c r="C563" s="18">
        <v>96160</v>
      </c>
      <c r="D563" s="2" t="s">
        <v>193</v>
      </c>
      <c r="E563" s="15">
        <v>2225.6</v>
      </c>
      <c r="F563" s="36" t="s">
        <v>215</v>
      </c>
      <c r="G563" s="15">
        <v>2225.6</v>
      </c>
      <c r="H563" s="15">
        <f t="shared" si="9"/>
        <v>0</v>
      </c>
      <c r="I563" s="19"/>
    </row>
    <row r="564" spans="1:9" x14ac:dyDescent="0.25">
      <c r="A564" s="16">
        <v>42741</v>
      </c>
      <c r="B564" s="17" t="s">
        <v>797</v>
      </c>
      <c r="C564" s="18">
        <v>96161</v>
      </c>
      <c r="D564" s="2" t="s">
        <v>182</v>
      </c>
      <c r="E564" s="15">
        <v>5000</v>
      </c>
      <c r="F564" s="36" t="s">
        <v>215</v>
      </c>
      <c r="G564" s="15">
        <v>5000</v>
      </c>
      <c r="H564" s="15">
        <f t="shared" si="9"/>
        <v>0</v>
      </c>
      <c r="I564" s="19"/>
    </row>
    <row r="565" spans="1:9" x14ac:dyDescent="0.25">
      <c r="A565" s="16">
        <v>42741</v>
      </c>
      <c r="B565" s="17" t="s">
        <v>798</v>
      </c>
      <c r="C565" s="18">
        <v>96162</v>
      </c>
      <c r="D565" s="2" t="s">
        <v>10</v>
      </c>
      <c r="E565" s="15">
        <v>66593.100000000006</v>
      </c>
      <c r="F565" s="36" t="s">
        <v>275</v>
      </c>
      <c r="G565" s="15">
        <v>66593.100000000006</v>
      </c>
      <c r="H565" s="15">
        <f t="shared" si="9"/>
        <v>0</v>
      </c>
      <c r="I565" s="19"/>
    </row>
    <row r="566" spans="1:9" x14ac:dyDescent="0.25">
      <c r="A566" s="16">
        <v>42741</v>
      </c>
      <c r="B566" s="17" t="s">
        <v>799</v>
      </c>
      <c r="C566" s="18">
        <v>96163</v>
      </c>
      <c r="D566" s="2" t="s">
        <v>800</v>
      </c>
      <c r="E566" s="15">
        <v>6858.9</v>
      </c>
      <c r="F566" s="124" t="s">
        <v>801</v>
      </c>
      <c r="G566" s="20">
        <f>6375.5+483.4</f>
        <v>6858.9</v>
      </c>
      <c r="H566" s="20">
        <f t="shared" si="9"/>
        <v>0</v>
      </c>
      <c r="I566" s="19"/>
    </row>
    <row r="567" spans="1:9" x14ac:dyDescent="0.25">
      <c r="A567" s="16">
        <v>42741</v>
      </c>
      <c r="B567" s="17" t="s">
        <v>802</v>
      </c>
      <c r="C567" s="18">
        <v>96164</v>
      </c>
      <c r="D567" s="2" t="s">
        <v>30</v>
      </c>
      <c r="E567" s="15">
        <v>754.8</v>
      </c>
      <c r="F567" s="36" t="s">
        <v>533</v>
      </c>
      <c r="G567" s="15">
        <v>754.8</v>
      </c>
      <c r="H567" s="15">
        <f t="shared" si="9"/>
        <v>0</v>
      </c>
      <c r="I567" s="19"/>
    </row>
    <row r="568" spans="1:9" x14ac:dyDescent="0.25">
      <c r="A568" s="16">
        <v>42741</v>
      </c>
      <c r="B568" s="17" t="s">
        <v>803</v>
      </c>
      <c r="C568" s="18">
        <v>96165</v>
      </c>
      <c r="D568" s="2" t="s">
        <v>30</v>
      </c>
      <c r="E568" s="15">
        <v>1200</v>
      </c>
      <c r="F568" s="36" t="s">
        <v>533</v>
      </c>
      <c r="G568" s="15">
        <v>1200</v>
      </c>
      <c r="H568" s="15">
        <f t="shared" si="9"/>
        <v>0</v>
      </c>
      <c r="I568" s="19"/>
    </row>
    <row r="569" spans="1:9" x14ac:dyDescent="0.25">
      <c r="A569" s="16">
        <v>42741</v>
      </c>
      <c r="B569" s="17" t="s">
        <v>804</v>
      </c>
      <c r="C569" s="18">
        <v>96166</v>
      </c>
      <c r="D569" s="2" t="s">
        <v>149</v>
      </c>
      <c r="E569" s="15">
        <v>3939.5</v>
      </c>
      <c r="F569" s="36" t="s">
        <v>215</v>
      </c>
      <c r="G569" s="15">
        <v>3939.5</v>
      </c>
      <c r="H569" s="15">
        <f t="shared" si="9"/>
        <v>0</v>
      </c>
      <c r="I569" s="19"/>
    </row>
    <row r="570" spans="1:9" x14ac:dyDescent="0.25">
      <c r="A570" s="16">
        <v>42741</v>
      </c>
      <c r="B570" s="17" t="s">
        <v>805</v>
      </c>
      <c r="C570" s="18">
        <v>96167</v>
      </c>
      <c r="D570" s="2" t="s">
        <v>806</v>
      </c>
      <c r="E570" s="15">
        <v>5936.4</v>
      </c>
      <c r="F570" s="36">
        <v>42741</v>
      </c>
      <c r="G570" s="15">
        <v>5936.4</v>
      </c>
      <c r="H570" s="15">
        <f t="shared" si="9"/>
        <v>0</v>
      </c>
      <c r="I570" s="19"/>
    </row>
    <row r="571" spans="1:9" x14ac:dyDescent="0.25">
      <c r="A571" s="16">
        <v>42741</v>
      </c>
      <c r="B571" s="17" t="s">
        <v>807</v>
      </c>
      <c r="C571" s="18">
        <v>96168</v>
      </c>
      <c r="D571" s="2" t="s">
        <v>10</v>
      </c>
      <c r="E571" s="15">
        <v>338601.8</v>
      </c>
      <c r="F571" s="36" t="s">
        <v>275</v>
      </c>
      <c r="G571" s="15">
        <v>338601.8</v>
      </c>
      <c r="H571" s="15">
        <f t="shared" si="9"/>
        <v>0</v>
      </c>
      <c r="I571" s="19"/>
    </row>
    <row r="572" spans="1:9" x14ac:dyDescent="0.25">
      <c r="A572" s="16">
        <v>42741</v>
      </c>
      <c r="B572" s="17" t="s">
        <v>808</v>
      </c>
      <c r="C572" s="18">
        <v>96169</v>
      </c>
      <c r="D572" s="2" t="s">
        <v>30</v>
      </c>
      <c r="E572" s="15">
        <v>8108.4</v>
      </c>
      <c r="F572" s="36" t="s">
        <v>215</v>
      </c>
      <c r="G572" s="15">
        <v>8108.4</v>
      </c>
      <c r="H572" s="15">
        <f t="shared" si="9"/>
        <v>0</v>
      </c>
      <c r="I572" s="19"/>
    </row>
    <row r="573" spans="1:9" x14ac:dyDescent="0.25">
      <c r="A573" s="16">
        <v>42742</v>
      </c>
      <c r="B573" s="17" t="s">
        <v>809</v>
      </c>
      <c r="C573" s="18">
        <v>96170</v>
      </c>
      <c r="D573" s="2" t="s">
        <v>231</v>
      </c>
      <c r="E573" s="15">
        <v>51021.5</v>
      </c>
      <c r="F573" s="124" t="s">
        <v>810</v>
      </c>
      <c r="G573" s="20">
        <f>47400+3621.5</f>
        <v>51021.5</v>
      </c>
      <c r="H573" s="20">
        <f t="shared" si="9"/>
        <v>0</v>
      </c>
      <c r="I573" s="19"/>
    </row>
    <row r="574" spans="1:9" x14ac:dyDescent="0.25">
      <c r="A574" s="16">
        <v>42742</v>
      </c>
      <c r="B574" s="17" t="s">
        <v>811</v>
      </c>
      <c r="C574" s="18">
        <v>96171</v>
      </c>
      <c r="D574" s="2" t="s">
        <v>231</v>
      </c>
      <c r="E574" s="15">
        <v>7311.8</v>
      </c>
      <c r="F574" s="36" t="s">
        <v>123</v>
      </c>
      <c r="G574" s="15">
        <v>7311.8</v>
      </c>
      <c r="H574" s="15">
        <f t="shared" si="9"/>
        <v>0</v>
      </c>
      <c r="I574" s="19"/>
    </row>
    <row r="575" spans="1:9" x14ac:dyDescent="0.25">
      <c r="A575" s="16">
        <v>42742</v>
      </c>
      <c r="B575" s="17" t="s">
        <v>812</v>
      </c>
      <c r="C575" s="18">
        <v>96172</v>
      </c>
      <c r="D575" s="2" t="s">
        <v>813</v>
      </c>
      <c r="E575" s="15">
        <v>12254.5</v>
      </c>
      <c r="F575" s="36" t="s">
        <v>215</v>
      </c>
      <c r="G575" s="15">
        <v>12254.5</v>
      </c>
      <c r="H575" s="15">
        <f t="shared" si="9"/>
        <v>0</v>
      </c>
      <c r="I575" s="19"/>
    </row>
    <row r="576" spans="1:9" x14ac:dyDescent="0.25">
      <c r="A576" s="16">
        <v>42742</v>
      </c>
      <c r="B576" s="17" t="s">
        <v>814</v>
      </c>
      <c r="C576" s="18">
        <v>96173</v>
      </c>
      <c r="D576" s="2" t="s">
        <v>111</v>
      </c>
      <c r="E576" s="15">
        <v>3017.2</v>
      </c>
      <c r="F576" s="36" t="s">
        <v>215</v>
      </c>
      <c r="G576" s="15">
        <v>3017.2</v>
      </c>
      <c r="H576" s="15">
        <f t="shared" si="9"/>
        <v>0</v>
      </c>
      <c r="I576" s="19"/>
    </row>
    <row r="577" spans="1:9" x14ac:dyDescent="0.25">
      <c r="A577" s="16">
        <v>42742</v>
      </c>
      <c r="B577" s="17" t="s">
        <v>815</v>
      </c>
      <c r="C577" s="18">
        <v>96174</v>
      </c>
      <c r="D577" s="13" t="s">
        <v>26</v>
      </c>
      <c r="E577" s="14">
        <v>0</v>
      </c>
      <c r="F577" s="123" t="s">
        <v>95</v>
      </c>
      <c r="G577" s="14">
        <v>0</v>
      </c>
      <c r="H577" s="14">
        <f t="shared" si="9"/>
        <v>0</v>
      </c>
      <c r="I577" s="19"/>
    </row>
    <row r="578" spans="1:9" x14ac:dyDescent="0.25">
      <c r="A578" s="16">
        <v>42742</v>
      </c>
      <c r="B578" s="17" t="s">
        <v>816</v>
      </c>
      <c r="C578" s="18">
        <v>96175</v>
      </c>
      <c r="D578" s="2" t="s">
        <v>26</v>
      </c>
      <c r="E578" s="15">
        <v>30545.3</v>
      </c>
      <c r="F578" s="36" t="s">
        <v>215</v>
      </c>
      <c r="G578" s="15">
        <v>30545.3</v>
      </c>
      <c r="H578" s="15">
        <f t="shared" si="9"/>
        <v>0</v>
      </c>
      <c r="I578" s="19"/>
    </row>
    <row r="579" spans="1:9" x14ac:dyDescent="0.25">
      <c r="A579" s="16">
        <v>42742</v>
      </c>
      <c r="B579" s="17" t="s">
        <v>817</v>
      </c>
      <c r="C579" s="18">
        <v>96176</v>
      </c>
      <c r="D579" s="2" t="s">
        <v>17</v>
      </c>
      <c r="E579" s="15">
        <v>5500</v>
      </c>
      <c r="F579" s="36" t="s">
        <v>215</v>
      </c>
      <c r="G579" s="15">
        <v>5500</v>
      </c>
      <c r="H579" s="15">
        <f t="shared" si="9"/>
        <v>0</v>
      </c>
      <c r="I579" s="19"/>
    </row>
    <row r="580" spans="1:9" x14ac:dyDescent="0.25">
      <c r="A580" s="16">
        <v>42742</v>
      </c>
      <c r="B580" s="17" t="s">
        <v>818</v>
      </c>
      <c r="C580" s="18">
        <v>96177</v>
      </c>
      <c r="D580" s="2" t="s">
        <v>509</v>
      </c>
      <c r="E580" s="15">
        <v>16105.8</v>
      </c>
      <c r="F580" s="36" t="s">
        <v>129</v>
      </c>
      <c r="G580" s="15">
        <v>16105.8</v>
      </c>
      <c r="H580" s="15">
        <f t="shared" si="9"/>
        <v>0</v>
      </c>
      <c r="I580" s="19"/>
    </row>
    <row r="581" spans="1:9" x14ac:dyDescent="0.25">
      <c r="A581" s="16">
        <v>42742</v>
      </c>
      <c r="B581" s="17" t="s">
        <v>819</v>
      </c>
      <c r="C581" s="18">
        <v>96178</v>
      </c>
      <c r="D581" s="2" t="s">
        <v>26</v>
      </c>
      <c r="E581" s="15">
        <v>1007.5</v>
      </c>
      <c r="F581" s="36" t="s">
        <v>215</v>
      </c>
      <c r="G581" s="15">
        <v>1007.5</v>
      </c>
      <c r="H581" s="15">
        <f t="shared" si="9"/>
        <v>0</v>
      </c>
      <c r="I581" s="19"/>
    </row>
    <row r="582" spans="1:9" x14ac:dyDescent="0.25">
      <c r="A582" s="16">
        <v>42742</v>
      </c>
      <c r="B582" s="17" t="s">
        <v>820</v>
      </c>
      <c r="C582" s="18">
        <v>96179</v>
      </c>
      <c r="D582" s="2" t="s">
        <v>30</v>
      </c>
      <c r="E582" s="15">
        <v>3602.4</v>
      </c>
      <c r="F582" s="36" t="s">
        <v>215</v>
      </c>
      <c r="G582" s="15">
        <v>3602.4</v>
      </c>
      <c r="H582" s="15">
        <f t="shared" ref="H582:H645" si="10">E582-G582</f>
        <v>0</v>
      </c>
      <c r="I582" s="19"/>
    </row>
    <row r="583" spans="1:9" x14ac:dyDescent="0.25">
      <c r="A583" s="16">
        <v>42742</v>
      </c>
      <c r="B583" s="17" t="s">
        <v>821</v>
      </c>
      <c r="C583" s="18">
        <v>96180</v>
      </c>
      <c r="D583" s="2" t="s">
        <v>302</v>
      </c>
      <c r="E583" s="15">
        <v>23666.400000000001</v>
      </c>
      <c r="F583" s="36" t="s">
        <v>215</v>
      </c>
      <c r="G583" s="15">
        <v>23666.400000000001</v>
      </c>
      <c r="H583" s="15">
        <f t="shared" si="10"/>
        <v>0</v>
      </c>
      <c r="I583" s="19"/>
    </row>
    <row r="584" spans="1:9" x14ac:dyDescent="0.25">
      <c r="A584" s="16">
        <v>42742</v>
      </c>
      <c r="B584" s="17" t="s">
        <v>822</v>
      </c>
      <c r="C584" s="18">
        <v>96181</v>
      </c>
      <c r="D584" s="2" t="s">
        <v>28</v>
      </c>
      <c r="E584" s="15">
        <v>10444.799999999999</v>
      </c>
      <c r="F584" s="36" t="s">
        <v>215</v>
      </c>
      <c r="G584" s="15">
        <v>10444.799999999999</v>
      </c>
      <c r="H584" s="15">
        <f t="shared" si="10"/>
        <v>0</v>
      </c>
      <c r="I584" s="19"/>
    </row>
    <row r="585" spans="1:9" x14ac:dyDescent="0.25">
      <c r="A585" s="16">
        <v>42742</v>
      </c>
      <c r="B585" s="17" t="s">
        <v>823</v>
      </c>
      <c r="C585" s="18">
        <v>96182</v>
      </c>
      <c r="D585" s="2" t="s">
        <v>430</v>
      </c>
      <c r="E585" s="15">
        <v>1679</v>
      </c>
      <c r="F585" s="36" t="s">
        <v>215</v>
      </c>
      <c r="G585" s="15">
        <v>1679</v>
      </c>
      <c r="H585" s="15">
        <f t="shared" si="10"/>
        <v>0</v>
      </c>
      <c r="I585" s="19"/>
    </row>
    <row r="586" spans="1:9" x14ac:dyDescent="0.25">
      <c r="A586" s="16">
        <v>42742</v>
      </c>
      <c r="B586" s="17" t="s">
        <v>824</v>
      </c>
      <c r="C586" s="18">
        <v>96183</v>
      </c>
      <c r="D586" s="2" t="s">
        <v>67</v>
      </c>
      <c r="E586" s="15">
        <v>48959.8</v>
      </c>
      <c r="F586" s="36" t="s">
        <v>275</v>
      </c>
      <c r="G586" s="15">
        <v>48959.8</v>
      </c>
      <c r="H586" s="15">
        <f t="shared" si="10"/>
        <v>0</v>
      </c>
      <c r="I586" s="19"/>
    </row>
    <row r="587" spans="1:9" x14ac:dyDescent="0.25">
      <c r="A587" s="16">
        <v>42742</v>
      </c>
      <c r="B587" s="17" t="s">
        <v>825</v>
      </c>
      <c r="C587" s="18">
        <v>96184</v>
      </c>
      <c r="D587" s="13" t="s">
        <v>358</v>
      </c>
      <c r="E587" s="14">
        <v>0</v>
      </c>
      <c r="F587" s="123" t="s">
        <v>95</v>
      </c>
      <c r="G587" s="14">
        <v>0</v>
      </c>
      <c r="H587" s="14">
        <f t="shared" si="10"/>
        <v>0</v>
      </c>
      <c r="I587" s="19"/>
    </row>
    <row r="588" spans="1:9" x14ac:dyDescent="0.25">
      <c r="A588" s="16">
        <v>42742</v>
      </c>
      <c r="B588" s="17" t="s">
        <v>826</v>
      </c>
      <c r="C588" s="18">
        <v>96185</v>
      </c>
      <c r="D588" s="2" t="s">
        <v>32</v>
      </c>
      <c r="E588" s="15">
        <v>11383.2</v>
      </c>
      <c r="F588" s="36" t="s">
        <v>107</v>
      </c>
      <c r="G588" s="15">
        <v>11383.2</v>
      </c>
      <c r="H588" s="15">
        <f t="shared" si="10"/>
        <v>0</v>
      </c>
      <c r="I588" s="19"/>
    </row>
    <row r="589" spans="1:9" x14ac:dyDescent="0.25">
      <c r="A589" s="16">
        <v>42742</v>
      </c>
      <c r="B589" s="17" t="s">
        <v>827</v>
      </c>
      <c r="C589" s="18">
        <v>96186</v>
      </c>
      <c r="D589" s="2" t="s">
        <v>38</v>
      </c>
      <c r="E589" s="15">
        <v>7774.8</v>
      </c>
      <c r="F589" s="36" t="s">
        <v>107</v>
      </c>
      <c r="G589" s="15">
        <v>7774.8</v>
      </c>
      <c r="H589" s="15">
        <f t="shared" si="10"/>
        <v>0</v>
      </c>
      <c r="I589" s="19"/>
    </row>
    <row r="590" spans="1:9" x14ac:dyDescent="0.25">
      <c r="A590" s="16">
        <v>42742</v>
      </c>
      <c r="B590" s="17" t="s">
        <v>828</v>
      </c>
      <c r="C590" s="18">
        <v>96187</v>
      </c>
      <c r="D590" s="2" t="s">
        <v>115</v>
      </c>
      <c r="E590" s="15">
        <v>784.7</v>
      </c>
      <c r="F590" s="36" t="s">
        <v>215</v>
      </c>
      <c r="G590" s="15">
        <v>784.7</v>
      </c>
      <c r="H590" s="15">
        <f t="shared" si="10"/>
        <v>0</v>
      </c>
      <c r="I590" s="19"/>
    </row>
    <row r="591" spans="1:9" x14ac:dyDescent="0.25">
      <c r="A591" s="16">
        <v>42742</v>
      </c>
      <c r="B591" s="17" t="s">
        <v>829</v>
      </c>
      <c r="C591" s="18">
        <v>96188</v>
      </c>
      <c r="D591" s="2" t="s">
        <v>47</v>
      </c>
      <c r="E591" s="15">
        <v>3950.2</v>
      </c>
      <c r="F591" s="36" t="s">
        <v>215</v>
      </c>
      <c r="G591" s="15">
        <v>3950.2</v>
      </c>
      <c r="H591" s="15">
        <f t="shared" si="10"/>
        <v>0</v>
      </c>
      <c r="I591" s="19"/>
    </row>
    <row r="592" spans="1:9" x14ac:dyDescent="0.25">
      <c r="A592" s="16">
        <v>42742</v>
      </c>
      <c r="B592" s="17" t="s">
        <v>830</v>
      </c>
      <c r="C592" s="18">
        <v>96189</v>
      </c>
      <c r="D592" s="2" t="s">
        <v>541</v>
      </c>
      <c r="E592" s="15">
        <v>3643.2</v>
      </c>
      <c r="F592" s="124" t="s">
        <v>831</v>
      </c>
      <c r="G592" s="20">
        <f>3000+643.2</f>
        <v>3643.2</v>
      </c>
      <c r="H592" s="20">
        <f t="shared" si="10"/>
        <v>0</v>
      </c>
      <c r="I592" s="19"/>
    </row>
    <row r="593" spans="1:9" x14ac:dyDescent="0.25">
      <c r="A593" s="16">
        <v>42742</v>
      </c>
      <c r="B593" s="17" t="s">
        <v>832</v>
      </c>
      <c r="C593" s="18">
        <v>96190</v>
      </c>
      <c r="D593" s="2" t="s">
        <v>240</v>
      </c>
      <c r="E593" s="15">
        <v>3882.4</v>
      </c>
      <c r="F593" s="36" t="s">
        <v>123</v>
      </c>
      <c r="G593" s="15">
        <v>3882.4</v>
      </c>
      <c r="H593" s="15">
        <f t="shared" si="10"/>
        <v>0</v>
      </c>
      <c r="I593" s="19"/>
    </row>
    <row r="594" spans="1:9" x14ac:dyDescent="0.25">
      <c r="A594" s="16">
        <v>42742</v>
      </c>
      <c r="B594" s="17" t="s">
        <v>833</v>
      </c>
      <c r="C594" s="18">
        <v>96191</v>
      </c>
      <c r="D594" s="2" t="s">
        <v>40</v>
      </c>
      <c r="E594" s="15">
        <v>8086.8</v>
      </c>
      <c r="F594" s="36" t="s">
        <v>107</v>
      </c>
      <c r="G594" s="15">
        <v>8086.8</v>
      </c>
      <c r="H594" s="15">
        <f t="shared" si="10"/>
        <v>0</v>
      </c>
      <c r="I594" s="19"/>
    </row>
    <row r="595" spans="1:9" x14ac:dyDescent="0.25">
      <c r="A595" s="16">
        <v>42742</v>
      </c>
      <c r="B595" s="17" t="s">
        <v>834</v>
      </c>
      <c r="C595" s="18">
        <v>96192</v>
      </c>
      <c r="D595" s="2" t="s">
        <v>218</v>
      </c>
      <c r="E595" s="15">
        <v>124978.05</v>
      </c>
      <c r="F595" s="36" t="s">
        <v>307</v>
      </c>
      <c r="G595" s="15">
        <v>124978.05</v>
      </c>
      <c r="H595" s="15">
        <f t="shared" si="10"/>
        <v>0</v>
      </c>
      <c r="I595" s="19"/>
    </row>
    <row r="596" spans="1:9" x14ac:dyDescent="0.25">
      <c r="A596" s="16">
        <v>42742</v>
      </c>
      <c r="B596" s="17" t="s">
        <v>835</v>
      </c>
      <c r="C596" s="18">
        <v>96193</v>
      </c>
      <c r="D596" s="2" t="s">
        <v>139</v>
      </c>
      <c r="E596" s="15">
        <v>1648.4</v>
      </c>
      <c r="F596" s="36" t="s">
        <v>215</v>
      </c>
      <c r="G596" s="15">
        <v>1648.4</v>
      </c>
      <c r="H596" s="15">
        <f t="shared" si="10"/>
        <v>0</v>
      </c>
      <c r="I596" s="19"/>
    </row>
    <row r="597" spans="1:9" x14ac:dyDescent="0.25">
      <c r="A597" s="16">
        <v>42742</v>
      </c>
      <c r="B597" s="17" t="s">
        <v>836</v>
      </c>
      <c r="C597" s="18">
        <v>96194</v>
      </c>
      <c r="D597" s="2" t="s">
        <v>101</v>
      </c>
      <c r="E597" s="15">
        <v>1764</v>
      </c>
      <c r="F597" s="36" t="s">
        <v>215</v>
      </c>
      <c r="G597" s="15">
        <v>1764</v>
      </c>
      <c r="H597" s="15">
        <f t="shared" si="10"/>
        <v>0</v>
      </c>
      <c r="I597" s="19"/>
    </row>
    <row r="598" spans="1:9" x14ac:dyDescent="0.25">
      <c r="A598" s="16">
        <v>42742</v>
      </c>
      <c r="B598" s="17" t="s">
        <v>837</v>
      </c>
      <c r="C598" s="18">
        <v>96195</v>
      </c>
      <c r="D598" s="2" t="s">
        <v>838</v>
      </c>
      <c r="E598" s="15">
        <v>3360.2</v>
      </c>
      <c r="F598" s="36" t="s">
        <v>215</v>
      </c>
      <c r="G598" s="15">
        <v>3360.2</v>
      </c>
      <c r="H598" s="15">
        <f t="shared" si="10"/>
        <v>0</v>
      </c>
      <c r="I598" s="19"/>
    </row>
    <row r="599" spans="1:9" x14ac:dyDescent="0.25">
      <c r="A599" s="16">
        <v>42742</v>
      </c>
      <c r="B599" s="17" t="s">
        <v>839</v>
      </c>
      <c r="C599" s="18">
        <v>96196</v>
      </c>
      <c r="D599" s="13" t="s">
        <v>712</v>
      </c>
      <c r="E599" s="14">
        <v>0</v>
      </c>
      <c r="F599" s="123" t="s">
        <v>95</v>
      </c>
      <c r="G599" s="14">
        <v>0</v>
      </c>
      <c r="H599" s="14">
        <f t="shared" si="10"/>
        <v>0</v>
      </c>
      <c r="I599" s="19"/>
    </row>
    <row r="600" spans="1:9" x14ac:dyDescent="0.25">
      <c r="A600" s="16">
        <v>42742</v>
      </c>
      <c r="B600" s="17" t="s">
        <v>840</v>
      </c>
      <c r="C600" s="18">
        <v>96197</v>
      </c>
      <c r="D600" s="2" t="s">
        <v>83</v>
      </c>
      <c r="E600" s="15">
        <v>5550.5</v>
      </c>
      <c r="F600" s="36" t="s">
        <v>215</v>
      </c>
      <c r="G600" s="15">
        <v>5550.5</v>
      </c>
      <c r="H600" s="15">
        <f t="shared" si="10"/>
        <v>0</v>
      </c>
      <c r="I600" s="19"/>
    </row>
    <row r="601" spans="1:9" x14ac:dyDescent="0.25">
      <c r="A601" s="16">
        <v>42742</v>
      </c>
      <c r="B601" s="17" t="s">
        <v>841</v>
      </c>
      <c r="C601" s="18">
        <v>96198</v>
      </c>
      <c r="D601" s="2" t="s">
        <v>71</v>
      </c>
      <c r="E601" s="15">
        <v>1890</v>
      </c>
      <c r="F601" s="36" t="s">
        <v>215</v>
      </c>
      <c r="G601" s="15">
        <v>1890</v>
      </c>
      <c r="H601" s="15">
        <f t="shared" si="10"/>
        <v>0</v>
      </c>
      <c r="I601" s="19"/>
    </row>
    <row r="602" spans="1:9" x14ac:dyDescent="0.25">
      <c r="A602" s="16">
        <v>42742</v>
      </c>
      <c r="B602" s="17" t="s">
        <v>842</v>
      </c>
      <c r="C602" s="18">
        <v>96199</v>
      </c>
      <c r="D602" s="2" t="s">
        <v>105</v>
      </c>
      <c r="E602" s="15">
        <v>816.2</v>
      </c>
      <c r="F602" s="36" t="s">
        <v>123</v>
      </c>
      <c r="G602" s="15">
        <v>816.2</v>
      </c>
      <c r="H602" s="15">
        <f t="shared" si="10"/>
        <v>0</v>
      </c>
      <c r="I602" s="19"/>
    </row>
    <row r="603" spans="1:9" x14ac:dyDescent="0.25">
      <c r="A603" s="16">
        <v>42742</v>
      </c>
      <c r="B603" s="17" t="s">
        <v>843</v>
      </c>
      <c r="C603" s="18">
        <v>96200</v>
      </c>
      <c r="D603" s="2" t="s">
        <v>109</v>
      </c>
      <c r="E603" s="15">
        <v>6732</v>
      </c>
      <c r="F603" s="36" t="s">
        <v>215</v>
      </c>
      <c r="G603" s="15">
        <v>6732</v>
      </c>
      <c r="H603" s="15">
        <f t="shared" si="10"/>
        <v>0</v>
      </c>
      <c r="I603" s="19"/>
    </row>
    <row r="604" spans="1:9" x14ac:dyDescent="0.25">
      <c r="A604" s="16">
        <v>42742</v>
      </c>
      <c r="B604" s="17" t="s">
        <v>844</v>
      </c>
      <c r="C604" s="18">
        <v>96201</v>
      </c>
      <c r="D604" s="2" t="s">
        <v>712</v>
      </c>
      <c r="E604" s="15">
        <v>11537.5</v>
      </c>
      <c r="F604" s="36" t="s">
        <v>215</v>
      </c>
      <c r="G604" s="15">
        <v>11537.5</v>
      </c>
      <c r="H604" s="15">
        <f t="shared" si="10"/>
        <v>0</v>
      </c>
      <c r="I604" s="19"/>
    </row>
    <row r="605" spans="1:9" x14ac:dyDescent="0.25">
      <c r="A605" s="16">
        <v>42742</v>
      </c>
      <c r="B605" s="17" t="s">
        <v>845</v>
      </c>
      <c r="C605" s="18">
        <v>96202</v>
      </c>
      <c r="D605" s="2" t="s">
        <v>69</v>
      </c>
      <c r="E605" s="15">
        <v>4250.1000000000004</v>
      </c>
      <c r="F605" s="36" t="s">
        <v>215</v>
      </c>
      <c r="G605" s="15">
        <v>4250.1000000000004</v>
      </c>
      <c r="H605" s="15">
        <f t="shared" si="10"/>
        <v>0</v>
      </c>
      <c r="I605" s="19"/>
    </row>
    <row r="606" spans="1:9" x14ac:dyDescent="0.25">
      <c r="A606" s="16">
        <v>42742</v>
      </c>
      <c r="B606" s="17" t="s">
        <v>846</v>
      </c>
      <c r="C606" s="18">
        <v>96203</v>
      </c>
      <c r="D606" s="2" t="s">
        <v>79</v>
      </c>
      <c r="E606" s="15">
        <v>4499.8</v>
      </c>
      <c r="F606" s="36" t="s">
        <v>215</v>
      </c>
      <c r="G606" s="15">
        <v>4499.8</v>
      </c>
      <c r="H606" s="15">
        <f t="shared" si="10"/>
        <v>0</v>
      </c>
      <c r="I606" s="19"/>
    </row>
    <row r="607" spans="1:9" x14ac:dyDescent="0.25">
      <c r="A607" s="16">
        <v>42742</v>
      </c>
      <c r="B607" s="17" t="s">
        <v>847</v>
      </c>
      <c r="C607" s="18">
        <v>96204</v>
      </c>
      <c r="D607" s="2" t="s">
        <v>341</v>
      </c>
      <c r="E607" s="15">
        <v>6926.4</v>
      </c>
      <c r="F607" s="36" t="s">
        <v>215</v>
      </c>
      <c r="G607" s="15">
        <v>6926.4</v>
      </c>
      <c r="H607" s="15">
        <f t="shared" si="10"/>
        <v>0</v>
      </c>
      <c r="I607" s="19"/>
    </row>
    <row r="608" spans="1:9" x14ac:dyDescent="0.25">
      <c r="A608" s="16">
        <v>42742</v>
      </c>
      <c r="B608" s="17" t="s">
        <v>848</v>
      </c>
      <c r="C608" s="18">
        <v>96205</v>
      </c>
      <c r="D608" s="2" t="s">
        <v>30</v>
      </c>
      <c r="E608" s="15">
        <v>7168.2</v>
      </c>
      <c r="F608" s="36" t="s">
        <v>215</v>
      </c>
      <c r="G608" s="15">
        <v>7168.2</v>
      </c>
      <c r="H608" s="15">
        <f t="shared" si="10"/>
        <v>0</v>
      </c>
      <c r="I608" s="19"/>
    </row>
    <row r="609" spans="1:9" x14ac:dyDescent="0.25">
      <c r="A609" s="16">
        <v>42742</v>
      </c>
      <c r="B609" s="17" t="s">
        <v>849</v>
      </c>
      <c r="C609" s="18">
        <v>96206</v>
      </c>
      <c r="D609" s="2" t="s">
        <v>30</v>
      </c>
      <c r="E609" s="15">
        <v>397.5</v>
      </c>
      <c r="F609" s="36" t="s">
        <v>215</v>
      </c>
      <c r="G609" s="15">
        <v>397.5</v>
      </c>
      <c r="H609" s="15">
        <f t="shared" si="10"/>
        <v>0</v>
      </c>
      <c r="I609" s="19"/>
    </row>
    <row r="610" spans="1:9" x14ac:dyDescent="0.25">
      <c r="A610" s="16">
        <v>42742</v>
      </c>
      <c r="B610" s="17" t="s">
        <v>850</v>
      </c>
      <c r="C610" s="18">
        <v>96207</v>
      </c>
      <c r="D610" s="2" t="s">
        <v>291</v>
      </c>
      <c r="E610" s="15">
        <v>2480.4</v>
      </c>
      <c r="F610" s="36" t="s">
        <v>215</v>
      </c>
      <c r="G610" s="15">
        <v>2480.4</v>
      </c>
      <c r="H610" s="15">
        <f t="shared" si="10"/>
        <v>0</v>
      </c>
      <c r="I610" s="19"/>
    </row>
    <row r="611" spans="1:9" x14ac:dyDescent="0.25">
      <c r="A611" s="16">
        <v>42742</v>
      </c>
      <c r="B611" s="17" t="s">
        <v>851</v>
      </c>
      <c r="C611" s="18">
        <v>96208</v>
      </c>
      <c r="D611" s="2" t="s">
        <v>281</v>
      </c>
      <c r="E611" s="15">
        <v>2130</v>
      </c>
      <c r="F611" s="36" t="s">
        <v>215</v>
      </c>
      <c r="G611" s="15">
        <v>2130</v>
      </c>
      <c r="H611" s="15">
        <f t="shared" si="10"/>
        <v>0</v>
      </c>
      <c r="I611" s="19"/>
    </row>
    <row r="612" spans="1:9" x14ac:dyDescent="0.25">
      <c r="A612" s="16">
        <v>42742</v>
      </c>
      <c r="B612" s="17" t="s">
        <v>852</v>
      </c>
      <c r="C612" s="18">
        <v>96209</v>
      </c>
      <c r="D612" s="2" t="s">
        <v>30</v>
      </c>
      <c r="E612" s="15">
        <v>515.1</v>
      </c>
      <c r="F612" s="36" t="s">
        <v>123</v>
      </c>
      <c r="G612" s="15">
        <v>515.1</v>
      </c>
      <c r="H612" s="15">
        <f t="shared" si="10"/>
        <v>0</v>
      </c>
      <c r="I612" s="19"/>
    </row>
    <row r="613" spans="1:9" x14ac:dyDescent="0.25">
      <c r="A613" s="16">
        <v>42742</v>
      </c>
      <c r="B613" s="17" t="s">
        <v>853</v>
      </c>
      <c r="C613" s="18">
        <v>96210</v>
      </c>
      <c r="D613" s="2" t="s">
        <v>49</v>
      </c>
      <c r="E613" s="15">
        <v>22944.799999999999</v>
      </c>
      <c r="F613" s="124" t="s">
        <v>854</v>
      </c>
      <c r="G613" s="20">
        <f>15000+7944.8</f>
        <v>22944.799999999999</v>
      </c>
      <c r="H613" s="20">
        <f t="shared" si="10"/>
        <v>0</v>
      </c>
      <c r="I613" s="19"/>
    </row>
    <row r="614" spans="1:9" x14ac:dyDescent="0.25">
      <c r="A614" s="16">
        <v>42742</v>
      </c>
      <c r="B614" s="17" t="s">
        <v>855</v>
      </c>
      <c r="C614" s="18">
        <v>96211</v>
      </c>
      <c r="D614" s="2" t="s">
        <v>43</v>
      </c>
      <c r="E614" s="15">
        <v>10735.4</v>
      </c>
      <c r="F614" s="36" t="s">
        <v>123</v>
      </c>
      <c r="G614" s="15">
        <v>10735.4</v>
      </c>
      <c r="H614" s="15">
        <f t="shared" si="10"/>
        <v>0</v>
      </c>
      <c r="I614" s="19"/>
    </row>
    <row r="615" spans="1:9" x14ac:dyDescent="0.25">
      <c r="A615" s="16">
        <v>42742</v>
      </c>
      <c r="B615" s="17" t="s">
        <v>856</v>
      </c>
      <c r="C615" s="18">
        <v>96212</v>
      </c>
      <c r="D615" s="2" t="s">
        <v>30</v>
      </c>
      <c r="E615" s="15">
        <v>2265.9</v>
      </c>
      <c r="F615" s="36" t="s">
        <v>215</v>
      </c>
      <c r="G615" s="15">
        <v>2265.9</v>
      </c>
      <c r="H615" s="15">
        <f t="shared" si="10"/>
        <v>0</v>
      </c>
      <c r="I615" s="19"/>
    </row>
    <row r="616" spans="1:9" x14ac:dyDescent="0.25">
      <c r="A616" s="16">
        <v>42742</v>
      </c>
      <c r="B616" s="17" t="s">
        <v>857</v>
      </c>
      <c r="C616" s="18">
        <v>96213</v>
      </c>
      <c r="D616" s="2" t="s">
        <v>858</v>
      </c>
      <c r="E616" s="15">
        <v>2364.6</v>
      </c>
      <c r="F616" s="36" t="s">
        <v>215</v>
      </c>
      <c r="G616" s="15">
        <v>2364.6</v>
      </c>
      <c r="H616" s="15">
        <f t="shared" si="10"/>
        <v>0</v>
      </c>
      <c r="I616" s="19"/>
    </row>
    <row r="617" spans="1:9" x14ac:dyDescent="0.25">
      <c r="A617" s="16">
        <v>42742</v>
      </c>
      <c r="B617" s="17" t="s">
        <v>859</v>
      </c>
      <c r="C617" s="18">
        <v>96214</v>
      </c>
      <c r="D617" s="13" t="s">
        <v>115</v>
      </c>
      <c r="E617" s="14">
        <v>0</v>
      </c>
      <c r="F617" s="123" t="s">
        <v>95</v>
      </c>
      <c r="G617" s="14">
        <v>0</v>
      </c>
      <c r="H617" s="14">
        <f t="shared" si="10"/>
        <v>0</v>
      </c>
      <c r="I617" s="19"/>
    </row>
    <row r="618" spans="1:9" x14ac:dyDescent="0.25">
      <c r="A618" s="16">
        <v>42742</v>
      </c>
      <c r="B618" s="17" t="s">
        <v>860</v>
      </c>
      <c r="C618" s="18">
        <v>96215</v>
      </c>
      <c r="D618" s="2" t="s">
        <v>115</v>
      </c>
      <c r="E618" s="15">
        <v>4136.25</v>
      </c>
      <c r="F618" s="36" t="s">
        <v>215</v>
      </c>
      <c r="G618" s="15">
        <v>4136.25</v>
      </c>
      <c r="H618" s="15">
        <f t="shared" si="10"/>
        <v>0</v>
      </c>
      <c r="I618" s="19"/>
    </row>
    <row r="619" spans="1:9" x14ac:dyDescent="0.25">
      <c r="A619" s="16">
        <v>42742</v>
      </c>
      <c r="B619" s="17" t="s">
        <v>861</v>
      </c>
      <c r="C619" s="18">
        <v>96216</v>
      </c>
      <c r="D619" s="2" t="s">
        <v>862</v>
      </c>
      <c r="E619" s="15">
        <v>12499</v>
      </c>
      <c r="F619" s="36" t="s">
        <v>215</v>
      </c>
      <c r="G619" s="15">
        <v>12499</v>
      </c>
      <c r="H619" s="15">
        <f t="shared" si="10"/>
        <v>0</v>
      </c>
      <c r="I619" s="19"/>
    </row>
    <row r="620" spans="1:9" x14ac:dyDescent="0.25">
      <c r="A620" s="16">
        <v>42742</v>
      </c>
      <c r="B620" s="17" t="s">
        <v>863</v>
      </c>
      <c r="C620" s="18">
        <v>96217</v>
      </c>
      <c r="D620" s="2" t="s">
        <v>773</v>
      </c>
      <c r="E620" s="15">
        <v>702.6</v>
      </c>
      <c r="F620" s="36" t="s">
        <v>215</v>
      </c>
      <c r="G620" s="15">
        <v>702.6</v>
      </c>
      <c r="H620" s="15">
        <f t="shared" si="10"/>
        <v>0</v>
      </c>
      <c r="I620" s="19"/>
    </row>
    <row r="621" spans="1:9" x14ac:dyDescent="0.25">
      <c r="A621" s="16">
        <v>42742</v>
      </c>
      <c r="B621" s="17" t="s">
        <v>864</v>
      </c>
      <c r="C621" s="18">
        <v>96218</v>
      </c>
      <c r="D621" s="2" t="s">
        <v>266</v>
      </c>
      <c r="E621" s="15">
        <v>3990</v>
      </c>
      <c r="F621" s="36" t="s">
        <v>215</v>
      </c>
      <c r="G621" s="15">
        <v>3990</v>
      </c>
      <c r="H621" s="15">
        <f t="shared" si="10"/>
        <v>0</v>
      </c>
      <c r="I621" s="19"/>
    </row>
    <row r="622" spans="1:9" x14ac:dyDescent="0.25">
      <c r="A622" s="16">
        <v>42742</v>
      </c>
      <c r="B622" s="17" t="s">
        <v>865</v>
      </c>
      <c r="C622" s="18">
        <v>96219</v>
      </c>
      <c r="D622" s="2" t="s">
        <v>866</v>
      </c>
      <c r="E622" s="15">
        <v>2384</v>
      </c>
      <c r="F622" s="36" t="s">
        <v>215</v>
      </c>
      <c r="G622" s="15">
        <v>2384</v>
      </c>
      <c r="H622" s="15">
        <f t="shared" si="10"/>
        <v>0</v>
      </c>
      <c r="I622" s="19"/>
    </row>
    <row r="623" spans="1:9" x14ac:dyDescent="0.25">
      <c r="A623" s="16">
        <v>42742</v>
      </c>
      <c r="B623" s="17" t="s">
        <v>867</v>
      </c>
      <c r="C623" s="18">
        <v>96220</v>
      </c>
      <c r="D623" s="2" t="s">
        <v>268</v>
      </c>
      <c r="E623" s="15">
        <v>18172.2</v>
      </c>
      <c r="F623" s="36" t="s">
        <v>275</v>
      </c>
      <c r="G623" s="15">
        <v>18172.2</v>
      </c>
      <c r="H623" s="15">
        <f t="shared" si="10"/>
        <v>0</v>
      </c>
      <c r="I623" s="19"/>
    </row>
    <row r="624" spans="1:9" x14ac:dyDescent="0.25">
      <c r="A624" s="16">
        <v>42742</v>
      </c>
      <c r="B624" s="17" t="s">
        <v>868</v>
      </c>
      <c r="C624" s="18">
        <v>96221</v>
      </c>
      <c r="D624" s="2" t="s">
        <v>168</v>
      </c>
      <c r="E624" s="15">
        <v>623.70000000000005</v>
      </c>
      <c r="F624" s="36" t="s">
        <v>215</v>
      </c>
      <c r="G624" s="15">
        <v>623.70000000000005</v>
      </c>
      <c r="H624" s="15">
        <f t="shared" si="10"/>
        <v>0</v>
      </c>
      <c r="I624" s="19"/>
    </row>
    <row r="625" spans="1:9" x14ac:dyDescent="0.25">
      <c r="A625" s="16">
        <v>42742</v>
      </c>
      <c r="B625" s="17" t="s">
        <v>869</v>
      </c>
      <c r="C625" s="18">
        <v>96222</v>
      </c>
      <c r="D625" s="2" t="s">
        <v>432</v>
      </c>
      <c r="E625" s="15">
        <v>14996</v>
      </c>
      <c r="F625" s="36" t="s">
        <v>275</v>
      </c>
      <c r="G625" s="15">
        <v>14996</v>
      </c>
      <c r="H625" s="15">
        <f t="shared" si="10"/>
        <v>0</v>
      </c>
      <c r="I625" s="19"/>
    </row>
    <row r="626" spans="1:9" x14ac:dyDescent="0.25">
      <c r="A626" s="16">
        <v>42742</v>
      </c>
      <c r="B626" s="17" t="s">
        <v>870</v>
      </c>
      <c r="C626" s="18">
        <v>96223</v>
      </c>
      <c r="D626" s="2" t="s">
        <v>590</v>
      </c>
      <c r="E626" s="15">
        <v>21958</v>
      </c>
      <c r="F626" s="36" t="s">
        <v>275</v>
      </c>
      <c r="G626" s="15">
        <v>21958</v>
      </c>
      <c r="H626" s="15">
        <f t="shared" si="10"/>
        <v>0</v>
      </c>
      <c r="I626" s="19"/>
    </row>
    <row r="627" spans="1:9" x14ac:dyDescent="0.25">
      <c r="A627" s="16">
        <v>42742</v>
      </c>
      <c r="B627" s="17" t="s">
        <v>871</v>
      </c>
      <c r="C627" s="18">
        <v>96224</v>
      </c>
      <c r="D627" s="2" t="s">
        <v>442</v>
      </c>
      <c r="E627" s="15">
        <v>4798</v>
      </c>
      <c r="F627" s="36" t="s">
        <v>275</v>
      </c>
      <c r="G627" s="15">
        <v>4798</v>
      </c>
      <c r="H627" s="15">
        <f t="shared" si="10"/>
        <v>0</v>
      </c>
      <c r="I627" s="19"/>
    </row>
    <row r="628" spans="1:9" x14ac:dyDescent="0.25">
      <c r="A628" s="16">
        <v>42742</v>
      </c>
      <c r="B628" s="17" t="s">
        <v>872</v>
      </c>
      <c r="C628" s="18">
        <v>96225</v>
      </c>
      <c r="D628" s="2" t="s">
        <v>272</v>
      </c>
      <c r="E628" s="15">
        <v>5423.6</v>
      </c>
      <c r="F628" s="36" t="s">
        <v>275</v>
      </c>
      <c r="G628" s="15">
        <v>5423.6</v>
      </c>
      <c r="H628" s="15">
        <f t="shared" si="10"/>
        <v>0</v>
      </c>
      <c r="I628" s="19"/>
    </row>
    <row r="629" spans="1:9" x14ac:dyDescent="0.25">
      <c r="A629" s="16">
        <v>42742</v>
      </c>
      <c r="B629" s="17" t="s">
        <v>873</v>
      </c>
      <c r="C629" s="18">
        <v>96226</v>
      </c>
      <c r="D629" s="2" t="s">
        <v>590</v>
      </c>
      <c r="E629" s="15">
        <v>10662.8</v>
      </c>
      <c r="F629" s="36" t="s">
        <v>275</v>
      </c>
      <c r="G629" s="15">
        <v>10662.8</v>
      </c>
      <c r="H629" s="15">
        <f t="shared" si="10"/>
        <v>0</v>
      </c>
      <c r="I629" s="19"/>
    </row>
    <row r="630" spans="1:9" x14ac:dyDescent="0.25">
      <c r="A630" s="16">
        <v>42742</v>
      </c>
      <c r="B630" s="17" t="s">
        <v>874</v>
      </c>
      <c r="C630" s="18">
        <v>96227</v>
      </c>
      <c r="D630" s="2" t="s">
        <v>274</v>
      </c>
      <c r="E630" s="15">
        <v>3845.6</v>
      </c>
      <c r="F630" s="36" t="s">
        <v>275</v>
      </c>
      <c r="G630" s="15">
        <v>3845.6</v>
      </c>
      <c r="H630" s="15">
        <f t="shared" si="10"/>
        <v>0</v>
      </c>
      <c r="I630" s="19"/>
    </row>
    <row r="631" spans="1:9" x14ac:dyDescent="0.25">
      <c r="A631" s="16">
        <v>42742</v>
      </c>
      <c r="B631" s="17" t="s">
        <v>875</v>
      </c>
      <c r="C631" s="18">
        <v>96228</v>
      </c>
      <c r="D631" s="2" t="s">
        <v>876</v>
      </c>
      <c r="E631" s="15">
        <v>10076</v>
      </c>
      <c r="F631" s="36" t="s">
        <v>173</v>
      </c>
      <c r="G631" s="15">
        <v>10076</v>
      </c>
      <c r="H631" s="15">
        <f t="shared" si="10"/>
        <v>0</v>
      </c>
      <c r="I631" s="19"/>
    </row>
    <row r="632" spans="1:9" x14ac:dyDescent="0.25">
      <c r="A632" s="16">
        <v>42742</v>
      </c>
      <c r="B632" s="17" t="s">
        <v>877</v>
      </c>
      <c r="C632" s="18">
        <v>96229</v>
      </c>
      <c r="D632" s="2" t="s">
        <v>270</v>
      </c>
      <c r="E632" s="15">
        <v>2256.4</v>
      </c>
      <c r="F632" s="36" t="s">
        <v>275</v>
      </c>
      <c r="G632" s="15">
        <v>2256.4</v>
      </c>
      <c r="H632" s="15">
        <f t="shared" si="10"/>
        <v>0</v>
      </c>
      <c r="I632" s="19"/>
    </row>
    <row r="633" spans="1:9" x14ac:dyDescent="0.25">
      <c r="A633" s="16">
        <v>42742</v>
      </c>
      <c r="B633" s="17" t="s">
        <v>878</v>
      </c>
      <c r="C633" s="18">
        <v>96230</v>
      </c>
      <c r="D633" s="2" t="s">
        <v>879</v>
      </c>
      <c r="E633" s="15">
        <v>3427.2</v>
      </c>
      <c r="F633" s="36" t="s">
        <v>215</v>
      </c>
      <c r="G633" s="15">
        <v>3427.2</v>
      </c>
      <c r="H633" s="15">
        <f t="shared" si="10"/>
        <v>0</v>
      </c>
      <c r="I633" s="19"/>
    </row>
    <row r="634" spans="1:9" x14ac:dyDescent="0.25">
      <c r="A634" s="16">
        <v>42742</v>
      </c>
      <c r="B634" s="17" t="s">
        <v>880</v>
      </c>
      <c r="C634" s="18">
        <v>96231</v>
      </c>
      <c r="D634" s="2" t="s">
        <v>305</v>
      </c>
      <c r="E634" s="15">
        <v>6022.4</v>
      </c>
      <c r="F634" s="36" t="s">
        <v>123</v>
      </c>
      <c r="G634" s="15">
        <v>6022.4</v>
      </c>
      <c r="H634" s="15">
        <f t="shared" si="10"/>
        <v>0</v>
      </c>
      <c r="I634" s="19"/>
    </row>
    <row r="635" spans="1:9" x14ac:dyDescent="0.25">
      <c r="A635" s="16">
        <v>42742</v>
      </c>
      <c r="B635" s="17" t="s">
        <v>881</v>
      </c>
      <c r="C635" s="18">
        <v>96232</v>
      </c>
      <c r="D635" s="2" t="s">
        <v>476</v>
      </c>
      <c r="E635" s="15">
        <v>16394.900000000001</v>
      </c>
      <c r="F635" s="36" t="s">
        <v>107</v>
      </c>
      <c r="G635" s="15">
        <v>16394.900000000001</v>
      </c>
      <c r="H635" s="15">
        <f t="shared" si="10"/>
        <v>0</v>
      </c>
      <c r="I635" s="19"/>
    </row>
    <row r="636" spans="1:9" x14ac:dyDescent="0.25">
      <c r="A636" s="16">
        <v>42742</v>
      </c>
      <c r="B636" s="17" t="s">
        <v>882</v>
      </c>
      <c r="C636" s="18">
        <v>96233</v>
      </c>
      <c r="D636" s="2" t="s">
        <v>277</v>
      </c>
      <c r="E636" s="15">
        <v>1785</v>
      </c>
      <c r="F636" s="36" t="s">
        <v>215</v>
      </c>
      <c r="G636" s="15">
        <v>1785</v>
      </c>
      <c r="H636" s="15">
        <f t="shared" si="10"/>
        <v>0</v>
      </c>
      <c r="I636" s="19"/>
    </row>
    <row r="637" spans="1:9" x14ac:dyDescent="0.25">
      <c r="A637" s="16">
        <v>42742</v>
      </c>
      <c r="B637" s="17" t="s">
        <v>883</v>
      </c>
      <c r="C637" s="18">
        <v>96234</v>
      </c>
      <c r="D637" s="2" t="s">
        <v>609</v>
      </c>
      <c r="E637" s="15">
        <v>62487.199999999997</v>
      </c>
      <c r="F637" s="36" t="s">
        <v>107</v>
      </c>
      <c r="G637" s="15">
        <v>62487.199999999997</v>
      </c>
      <c r="H637" s="15">
        <f t="shared" si="10"/>
        <v>0</v>
      </c>
      <c r="I637" s="19"/>
    </row>
    <row r="638" spans="1:9" x14ac:dyDescent="0.25">
      <c r="A638" s="16">
        <v>42742</v>
      </c>
      <c r="B638" s="17" t="s">
        <v>884</v>
      </c>
      <c r="C638" s="18">
        <v>96235</v>
      </c>
      <c r="D638" s="2" t="s">
        <v>157</v>
      </c>
      <c r="E638" s="15">
        <v>38323.440000000002</v>
      </c>
      <c r="F638" s="36" t="s">
        <v>215</v>
      </c>
      <c r="G638" s="15">
        <v>38323.440000000002</v>
      </c>
      <c r="H638" s="15">
        <f t="shared" si="10"/>
        <v>0</v>
      </c>
      <c r="I638" s="19"/>
    </row>
    <row r="639" spans="1:9" x14ac:dyDescent="0.25">
      <c r="A639" s="16">
        <v>42742</v>
      </c>
      <c r="B639" s="17" t="s">
        <v>885</v>
      </c>
      <c r="C639" s="18">
        <v>96236</v>
      </c>
      <c r="D639" s="2" t="s">
        <v>151</v>
      </c>
      <c r="E639" s="15">
        <v>21065</v>
      </c>
      <c r="F639" s="36" t="s">
        <v>215</v>
      </c>
      <c r="G639" s="15">
        <v>21065</v>
      </c>
      <c r="H639" s="15">
        <f t="shared" si="10"/>
        <v>0</v>
      </c>
      <c r="I639" s="19"/>
    </row>
    <row r="640" spans="1:9" x14ac:dyDescent="0.25">
      <c r="A640" s="16">
        <v>42742</v>
      </c>
      <c r="B640" s="17" t="s">
        <v>886</v>
      </c>
      <c r="C640" s="18">
        <v>96237</v>
      </c>
      <c r="D640" s="2" t="s">
        <v>379</v>
      </c>
      <c r="E640" s="15">
        <v>1424.8</v>
      </c>
      <c r="F640" s="36" t="s">
        <v>173</v>
      </c>
      <c r="G640" s="15">
        <v>1424.8</v>
      </c>
      <c r="H640" s="15">
        <f t="shared" si="10"/>
        <v>0</v>
      </c>
      <c r="I640" s="19"/>
    </row>
    <row r="641" spans="1:9" x14ac:dyDescent="0.25">
      <c r="A641" s="16">
        <v>42742</v>
      </c>
      <c r="B641" s="17" t="s">
        <v>887</v>
      </c>
      <c r="C641" s="18">
        <v>96238</v>
      </c>
      <c r="D641" s="2" t="s">
        <v>563</v>
      </c>
      <c r="E641" s="15">
        <v>4137.7</v>
      </c>
      <c r="F641" s="36" t="s">
        <v>215</v>
      </c>
      <c r="G641" s="15">
        <v>4137.7</v>
      </c>
      <c r="H641" s="15">
        <f t="shared" si="10"/>
        <v>0</v>
      </c>
      <c r="I641" s="19"/>
    </row>
    <row r="642" spans="1:9" x14ac:dyDescent="0.25">
      <c r="A642" s="16">
        <v>42742</v>
      </c>
      <c r="B642" s="17" t="s">
        <v>888</v>
      </c>
      <c r="C642" s="18">
        <v>96239</v>
      </c>
      <c r="D642" s="2" t="s">
        <v>793</v>
      </c>
      <c r="E642" s="15">
        <v>2064</v>
      </c>
      <c r="F642" s="36" t="s">
        <v>493</v>
      </c>
      <c r="G642" s="15">
        <v>2064</v>
      </c>
      <c r="H642" s="15">
        <f t="shared" si="10"/>
        <v>0</v>
      </c>
      <c r="I642" s="19"/>
    </row>
    <row r="643" spans="1:9" x14ac:dyDescent="0.25">
      <c r="A643" s="16">
        <v>42742</v>
      </c>
      <c r="B643" s="17" t="s">
        <v>889</v>
      </c>
      <c r="C643" s="18">
        <v>96240</v>
      </c>
      <c r="D643" s="2" t="s">
        <v>188</v>
      </c>
      <c r="E643" s="15">
        <v>3824.7</v>
      </c>
      <c r="F643" s="36" t="s">
        <v>493</v>
      </c>
      <c r="G643" s="15">
        <v>3824.7</v>
      </c>
      <c r="H643" s="15">
        <f t="shared" si="10"/>
        <v>0</v>
      </c>
      <c r="I643" s="19"/>
    </row>
    <row r="644" spans="1:9" x14ac:dyDescent="0.25">
      <c r="A644" s="16">
        <v>42742</v>
      </c>
      <c r="B644" s="17" t="s">
        <v>890</v>
      </c>
      <c r="C644" s="18">
        <v>96241</v>
      </c>
      <c r="D644" s="2" t="s">
        <v>30</v>
      </c>
      <c r="E644" s="15">
        <v>1334.76</v>
      </c>
      <c r="F644" s="36" t="s">
        <v>493</v>
      </c>
      <c r="G644" s="15">
        <v>1334.76</v>
      </c>
      <c r="H644" s="15">
        <f t="shared" si="10"/>
        <v>0</v>
      </c>
      <c r="I644" s="19"/>
    </row>
    <row r="645" spans="1:9" x14ac:dyDescent="0.25">
      <c r="A645" s="16">
        <v>42742</v>
      </c>
      <c r="B645" s="17" t="s">
        <v>891</v>
      </c>
      <c r="C645" s="18">
        <v>96242</v>
      </c>
      <c r="D645" s="2" t="s">
        <v>57</v>
      </c>
      <c r="E645" s="15">
        <v>918</v>
      </c>
      <c r="F645" s="36" t="s">
        <v>493</v>
      </c>
      <c r="G645" s="15">
        <v>918</v>
      </c>
      <c r="H645" s="15">
        <f t="shared" si="10"/>
        <v>0</v>
      </c>
      <c r="I645" s="19"/>
    </row>
    <row r="646" spans="1:9" x14ac:dyDescent="0.25">
      <c r="A646" s="16">
        <v>42742</v>
      </c>
      <c r="B646" s="17" t="s">
        <v>892</v>
      </c>
      <c r="C646" s="18">
        <v>96243</v>
      </c>
      <c r="D646" s="2" t="s">
        <v>19</v>
      </c>
      <c r="E646" s="15">
        <v>1020</v>
      </c>
      <c r="F646" s="36" t="s">
        <v>107</v>
      </c>
      <c r="G646" s="15">
        <v>1020</v>
      </c>
      <c r="H646" s="15">
        <f t="shared" ref="H646:H709" si="11">E646-G646</f>
        <v>0</v>
      </c>
      <c r="I646" s="19"/>
    </row>
    <row r="647" spans="1:9" x14ac:dyDescent="0.25">
      <c r="A647" s="16">
        <v>42742</v>
      </c>
      <c r="B647" s="17" t="s">
        <v>893</v>
      </c>
      <c r="C647" s="18">
        <v>96244</v>
      </c>
      <c r="D647" s="2" t="s">
        <v>422</v>
      </c>
      <c r="E647" s="15">
        <v>2280</v>
      </c>
      <c r="F647" s="36" t="s">
        <v>215</v>
      </c>
      <c r="G647" s="15">
        <v>2280</v>
      </c>
      <c r="H647" s="15">
        <f t="shared" si="11"/>
        <v>0</v>
      </c>
      <c r="I647" s="19"/>
    </row>
    <row r="648" spans="1:9" x14ac:dyDescent="0.25">
      <c r="A648" s="16">
        <v>42742</v>
      </c>
      <c r="B648" s="17" t="s">
        <v>894</v>
      </c>
      <c r="C648" s="18">
        <v>96245</v>
      </c>
      <c r="D648" s="2" t="s">
        <v>125</v>
      </c>
      <c r="E648" s="15">
        <v>34743.019999999997</v>
      </c>
      <c r="F648" s="36">
        <v>42756</v>
      </c>
      <c r="G648" s="15">
        <v>34743.019999999997</v>
      </c>
      <c r="H648" s="15">
        <f t="shared" si="11"/>
        <v>0</v>
      </c>
      <c r="I648" s="19"/>
    </row>
    <row r="649" spans="1:9" x14ac:dyDescent="0.25">
      <c r="A649" s="16">
        <v>42742</v>
      </c>
      <c r="B649" s="17" t="s">
        <v>895</v>
      </c>
      <c r="C649" s="18">
        <v>96246</v>
      </c>
      <c r="D649" s="2" t="s">
        <v>141</v>
      </c>
      <c r="E649" s="15">
        <v>13039.6</v>
      </c>
      <c r="F649" s="36" t="s">
        <v>493</v>
      </c>
      <c r="G649" s="15">
        <v>13039.6</v>
      </c>
      <c r="H649" s="15">
        <f t="shared" si="11"/>
        <v>0</v>
      </c>
      <c r="I649" s="19"/>
    </row>
    <row r="650" spans="1:9" x14ac:dyDescent="0.25">
      <c r="A650" s="16">
        <v>42742</v>
      </c>
      <c r="B650" s="17" t="s">
        <v>896</v>
      </c>
      <c r="C650" s="18">
        <v>96247</v>
      </c>
      <c r="D650" s="2" t="s">
        <v>30</v>
      </c>
      <c r="E650" s="15">
        <v>1560</v>
      </c>
      <c r="F650" s="36" t="s">
        <v>493</v>
      </c>
      <c r="G650" s="15">
        <v>1560</v>
      </c>
      <c r="H650" s="15">
        <f t="shared" si="11"/>
        <v>0</v>
      </c>
      <c r="I650" s="19"/>
    </row>
    <row r="651" spans="1:9" x14ac:dyDescent="0.25">
      <c r="A651" s="16">
        <v>42742</v>
      </c>
      <c r="B651" s="17" t="s">
        <v>897</v>
      </c>
      <c r="C651" s="18">
        <v>96248</v>
      </c>
      <c r="D651" s="2" t="s">
        <v>176</v>
      </c>
      <c r="E651" s="15">
        <v>5335</v>
      </c>
      <c r="F651" s="36" t="s">
        <v>215</v>
      </c>
      <c r="G651" s="15">
        <v>5335</v>
      </c>
      <c r="H651" s="15">
        <f t="shared" si="11"/>
        <v>0</v>
      </c>
      <c r="I651" s="19"/>
    </row>
    <row r="652" spans="1:9" x14ac:dyDescent="0.25">
      <c r="A652" s="16">
        <v>42742</v>
      </c>
      <c r="B652" s="17" t="s">
        <v>898</v>
      </c>
      <c r="C652" s="18">
        <v>96249</v>
      </c>
      <c r="D652" s="2" t="s">
        <v>128</v>
      </c>
      <c r="E652" s="15">
        <v>770</v>
      </c>
      <c r="F652" s="36" t="s">
        <v>493</v>
      </c>
      <c r="G652" s="15">
        <v>770</v>
      </c>
      <c r="H652" s="15">
        <f t="shared" si="11"/>
        <v>0</v>
      </c>
      <c r="I652" s="19"/>
    </row>
    <row r="653" spans="1:9" x14ac:dyDescent="0.25">
      <c r="A653" s="16">
        <v>42742</v>
      </c>
      <c r="B653" s="17" t="s">
        <v>899</v>
      </c>
      <c r="C653" s="18">
        <v>96250</v>
      </c>
      <c r="D653" s="2" t="s">
        <v>900</v>
      </c>
      <c r="E653" s="15">
        <v>2080</v>
      </c>
      <c r="F653" s="36" t="s">
        <v>493</v>
      </c>
      <c r="G653" s="15">
        <v>2080</v>
      </c>
      <c r="H653" s="15">
        <f t="shared" si="11"/>
        <v>0</v>
      </c>
      <c r="I653" s="19"/>
    </row>
    <row r="654" spans="1:9" x14ac:dyDescent="0.25">
      <c r="A654" s="16">
        <v>42742</v>
      </c>
      <c r="B654" s="17" t="s">
        <v>901</v>
      </c>
      <c r="C654" s="18">
        <v>96251</v>
      </c>
      <c r="D654" s="2" t="s">
        <v>492</v>
      </c>
      <c r="E654" s="15">
        <v>27131.200000000001</v>
      </c>
      <c r="F654" s="36" t="s">
        <v>493</v>
      </c>
      <c r="G654" s="15">
        <v>27131.200000000001</v>
      </c>
      <c r="H654" s="15">
        <f t="shared" si="11"/>
        <v>0</v>
      </c>
      <c r="I654" s="19"/>
    </row>
    <row r="655" spans="1:9" x14ac:dyDescent="0.25">
      <c r="A655" s="16">
        <v>42742</v>
      </c>
      <c r="B655" s="17" t="s">
        <v>902</v>
      </c>
      <c r="C655" s="18">
        <v>96252</v>
      </c>
      <c r="D655" s="2" t="s">
        <v>113</v>
      </c>
      <c r="E655" s="15">
        <v>1929.2</v>
      </c>
      <c r="F655" s="36" t="s">
        <v>493</v>
      </c>
      <c r="G655" s="15">
        <v>1929.2</v>
      </c>
      <c r="H655" s="15">
        <f t="shared" si="11"/>
        <v>0</v>
      </c>
      <c r="I655" s="19"/>
    </row>
    <row r="656" spans="1:9" x14ac:dyDescent="0.25">
      <c r="A656" s="16">
        <v>42742</v>
      </c>
      <c r="B656" s="17" t="s">
        <v>903</v>
      </c>
      <c r="C656" s="18">
        <v>96253</v>
      </c>
      <c r="D656" s="2" t="s">
        <v>61</v>
      </c>
      <c r="E656" s="15">
        <v>10229.200000000001</v>
      </c>
      <c r="F656" s="36" t="s">
        <v>493</v>
      </c>
      <c r="G656" s="15">
        <v>10229.200000000001</v>
      </c>
      <c r="H656" s="15">
        <f t="shared" si="11"/>
        <v>0</v>
      </c>
      <c r="I656" s="19"/>
    </row>
    <row r="657" spans="1:9" x14ac:dyDescent="0.25">
      <c r="A657" s="16">
        <v>42742</v>
      </c>
      <c r="B657" s="17" t="s">
        <v>904</v>
      </c>
      <c r="C657" s="18">
        <v>96254</v>
      </c>
      <c r="D657" s="2" t="s">
        <v>131</v>
      </c>
      <c r="E657" s="15">
        <v>14060.8</v>
      </c>
      <c r="F657" s="36" t="s">
        <v>493</v>
      </c>
      <c r="G657" s="15">
        <v>14060.8</v>
      </c>
      <c r="H657" s="15">
        <f t="shared" si="11"/>
        <v>0</v>
      </c>
      <c r="I657" s="19"/>
    </row>
    <row r="658" spans="1:9" x14ac:dyDescent="0.25">
      <c r="A658" s="16">
        <v>42742</v>
      </c>
      <c r="B658" s="17" t="s">
        <v>905</v>
      </c>
      <c r="C658" s="18">
        <v>96255</v>
      </c>
      <c r="D658" s="2" t="s">
        <v>118</v>
      </c>
      <c r="E658" s="15">
        <v>33288.9</v>
      </c>
      <c r="F658" s="36" t="s">
        <v>493</v>
      </c>
      <c r="G658" s="15">
        <v>33288.9</v>
      </c>
      <c r="H658" s="15">
        <f t="shared" si="11"/>
        <v>0</v>
      </c>
      <c r="I658" s="19"/>
    </row>
    <row r="659" spans="1:9" x14ac:dyDescent="0.25">
      <c r="A659" s="16">
        <v>42742</v>
      </c>
      <c r="B659" s="17" t="s">
        <v>906</v>
      </c>
      <c r="C659" s="18">
        <v>96256</v>
      </c>
      <c r="D659" s="2" t="s">
        <v>184</v>
      </c>
      <c r="E659" s="15">
        <v>1869.6</v>
      </c>
      <c r="F659" s="36" t="s">
        <v>493</v>
      </c>
      <c r="G659" s="15">
        <v>1869.6</v>
      </c>
      <c r="H659" s="15">
        <f t="shared" si="11"/>
        <v>0</v>
      </c>
      <c r="I659" s="19"/>
    </row>
    <row r="660" spans="1:9" x14ac:dyDescent="0.25">
      <c r="A660" s="16">
        <v>42742</v>
      </c>
      <c r="B660" s="17" t="s">
        <v>907</v>
      </c>
      <c r="C660" s="18">
        <v>96257</v>
      </c>
      <c r="D660" s="2" t="s">
        <v>45</v>
      </c>
      <c r="E660" s="15">
        <v>3673.8</v>
      </c>
      <c r="F660" s="36" t="s">
        <v>493</v>
      </c>
      <c r="G660" s="15">
        <v>3673.8</v>
      </c>
      <c r="H660" s="15">
        <f t="shared" si="11"/>
        <v>0</v>
      </c>
      <c r="I660" s="19"/>
    </row>
    <row r="661" spans="1:9" x14ac:dyDescent="0.25">
      <c r="A661" s="16">
        <v>42742</v>
      </c>
      <c r="B661" s="17" t="s">
        <v>908</v>
      </c>
      <c r="C661" s="18">
        <v>96258</v>
      </c>
      <c r="D661" s="2" t="s">
        <v>909</v>
      </c>
      <c r="E661" s="15">
        <v>4560</v>
      </c>
      <c r="F661" s="36" t="s">
        <v>493</v>
      </c>
      <c r="G661" s="15">
        <v>4560</v>
      </c>
      <c r="H661" s="15">
        <f t="shared" si="11"/>
        <v>0</v>
      </c>
      <c r="I661" s="19"/>
    </row>
    <row r="662" spans="1:9" x14ac:dyDescent="0.25">
      <c r="A662" s="16">
        <v>42742</v>
      </c>
      <c r="B662" s="17" t="s">
        <v>910</v>
      </c>
      <c r="C662" s="18">
        <v>96259</v>
      </c>
      <c r="D662" s="2" t="s">
        <v>193</v>
      </c>
      <c r="E662" s="15">
        <v>3073.2</v>
      </c>
      <c r="F662" s="36" t="s">
        <v>493</v>
      </c>
      <c r="G662" s="15">
        <v>3073.2</v>
      </c>
      <c r="H662" s="15">
        <f t="shared" si="11"/>
        <v>0</v>
      </c>
      <c r="I662" s="19"/>
    </row>
    <row r="663" spans="1:9" x14ac:dyDescent="0.25">
      <c r="A663" s="16">
        <v>42742</v>
      </c>
      <c r="B663" s="17" t="s">
        <v>911</v>
      </c>
      <c r="C663" s="18">
        <v>96260</v>
      </c>
      <c r="D663" s="2" t="s">
        <v>53</v>
      </c>
      <c r="E663" s="15">
        <v>2223.6</v>
      </c>
      <c r="F663" s="36" t="s">
        <v>493</v>
      </c>
      <c r="G663" s="15">
        <v>2223.6</v>
      </c>
      <c r="H663" s="15">
        <f t="shared" si="11"/>
        <v>0</v>
      </c>
      <c r="I663" s="19"/>
    </row>
    <row r="664" spans="1:9" x14ac:dyDescent="0.25">
      <c r="A664" s="16">
        <v>42742</v>
      </c>
      <c r="B664" s="17" t="s">
        <v>912</v>
      </c>
      <c r="C664" s="18">
        <v>96261</v>
      </c>
      <c r="D664" s="2" t="s">
        <v>785</v>
      </c>
      <c r="E664" s="15">
        <v>10200</v>
      </c>
      <c r="F664" s="36" t="s">
        <v>493</v>
      </c>
      <c r="G664" s="15">
        <v>10200</v>
      </c>
      <c r="H664" s="15">
        <f t="shared" si="11"/>
        <v>0</v>
      </c>
      <c r="I664" s="19"/>
    </row>
    <row r="665" spans="1:9" x14ac:dyDescent="0.25">
      <c r="A665" s="16">
        <v>42742</v>
      </c>
      <c r="B665" s="17" t="s">
        <v>913</v>
      </c>
      <c r="C665" s="18">
        <v>96262</v>
      </c>
      <c r="D665" s="2" t="s">
        <v>470</v>
      </c>
      <c r="E665" s="15">
        <v>15979</v>
      </c>
      <c r="F665" s="36" t="s">
        <v>493</v>
      </c>
      <c r="G665" s="15">
        <v>15979</v>
      </c>
      <c r="H665" s="15">
        <f t="shared" si="11"/>
        <v>0</v>
      </c>
      <c r="I665" s="19"/>
    </row>
    <row r="666" spans="1:9" x14ac:dyDescent="0.25">
      <c r="A666" s="16">
        <v>42742</v>
      </c>
      <c r="B666" s="17" t="s">
        <v>914</v>
      </c>
      <c r="C666" s="18">
        <v>96263</v>
      </c>
      <c r="D666" s="2" t="s">
        <v>468</v>
      </c>
      <c r="E666" s="15">
        <v>3740</v>
      </c>
      <c r="F666" s="36" t="s">
        <v>107</v>
      </c>
      <c r="G666" s="15">
        <v>3740</v>
      </c>
      <c r="H666" s="15">
        <f t="shared" si="11"/>
        <v>0</v>
      </c>
      <c r="I666" s="19"/>
    </row>
    <row r="667" spans="1:9" x14ac:dyDescent="0.25">
      <c r="A667" s="16">
        <v>42742</v>
      </c>
      <c r="B667" s="17" t="s">
        <v>915</v>
      </c>
      <c r="C667" s="18">
        <v>96264</v>
      </c>
      <c r="D667" s="2" t="s">
        <v>35</v>
      </c>
      <c r="E667" s="15">
        <v>23818.799999999999</v>
      </c>
      <c r="F667" s="36" t="s">
        <v>275</v>
      </c>
      <c r="G667" s="15">
        <v>23818.799999999999</v>
      </c>
      <c r="H667" s="15">
        <f t="shared" si="11"/>
        <v>0</v>
      </c>
      <c r="I667" s="19"/>
    </row>
    <row r="668" spans="1:9" x14ac:dyDescent="0.25">
      <c r="A668" s="16">
        <v>42742</v>
      </c>
      <c r="B668" s="17" t="s">
        <v>916</v>
      </c>
      <c r="C668" s="18">
        <v>96265</v>
      </c>
      <c r="D668" s="2" t="s">
        <v>917</v>
      </c>
      <c r="E668" s="15">
        <v>3515.2</v>
      </c>
      <c r="F668" s="36" t="s">
        <v>493</v>
      </c>
      <c r="G668" s="15">
        <v>3515.2</v>
      </c>
      <c r="H668" s="15">
        <f t="shared" si="11"/>
        <v>0</v>
      </c>
      <c r="I668" s="19"/>
    </row>
    <row r="669" spans="1:9" x14ac:dyDescent="0.25">
      <c r="A669" s="16">
        <v>42742</v>
      </c>
      <c r="B669" s="17" t="s">
        <v>918</v>
      </c>
      <c r="C669" s="18">
        <v>96266</v>
      </c>
      <c r="D669" s="2" t="s">
        <v>9</v>
      </c>
      <c r="E669" s="15">
        <v>6355.6</v>
      </c>
      <c r="F669" s="36" t="s">
        <v>107</v>
      </c>
      <c r="G669" s="15">
        <v>6355.6</v>
      </c>
      <c r="H669" s="15">
        <f t="shared" si="11"/>
        <v>0</v>
      </c>
      <c r="I669" s="19"/>
    </row>
    <row r="670" spans="1:9" x14ac:dyDescent="0.25">
      <c r="A670" s="16">
        <v>42742</v>
      </c>
      <c r="B670" s="17" t="s">
        <v>919</v>
      </c>
      <c r="C670" s="18">
        <v>96267</v>
      </c>
      <c r="D670" s="2" t="s">
        <v>30</v>
      </c>
      <c r="E670" s="15">
        <v>1065.5999999999999</v>
      </c>
      <c r="F670" s="36" t="s">
        <v>215</v>
      </c>
      <c r="G670" s="15">
        <v>1065.5999999999999</v>
      </c>
      <c r="H670" s="15">
        <f t="shared" si="11"/>
        <v>0</v>
      </c>
      <c r="I670" s="19"/>
    </row>
    <row r="671" spans="1:9" x14ac:dyDescent="0.25">
      <c r="A671" s="16">
        <v>42742</v>
      </c>
      <c r="B671" s="17" t="s">
        <v>920</v>
      </c>
      <c r="C671" s="18">
        <v>96268</v>
      </c>
      <c r="D671" s="2" t="s">
        <v>921</v>
      </c>
      <c r="E671" s="15">
        <v>7530</v>
      </c>
      <c r="F671" s="36" t="s">
        <v>215</v>
      </c>
      <c r="G671" s="15">
        <v>7530</v>
      </c>
      <c r="H671" s="15">
        <f t="shared" si="11"/>
        <v>0</v>
      </c>
      <c r="I671" s="19"/>
    </row>
    <row r="672" spans="1:9" x14ac:dyDescent="0.25">
      <c r="A672" s="16">
        <v>42742</v>
      </c>
      <c r="B672" s="17" t="s">
        <v>922</v>
      </c>
      <c r="C672" s="18">
        <v>96269</v>
      </c>
      <c r="D672" s="2" t="s">
        <v>923</v>
      </c>
      <c r="E672" s="15">
        <v>26557</v>
      </c>
      <c r="F672" s="36" t="s">
        <v>275</v>
      </c>
      <c r="G672" s="15">
        <v>26557</v>
      </c>
      <c r="H672" s="15">
        <f t="shared" si="11"/>
        <v>0</v>
      </c>
      <c r="I672" s="19"/>
    </row>
    <row r="673" spans="1:9" x14ac:dyDescent="0.25">
      <c r="A673" s="16">
        <v>42742</v>
      </c>
      <c r="B673" s="17" t="s">
        <v>924</v>
      </c>
      <c r="C673" s="18">
        <v>96270</v>
      </c>
      <c r="D673" s="2" t="s">
        <v>226</v>
      </c>
      <c r="E673" s="15">
        <v>3392.5</v>
      </c>
      <c r="F673" s="36" t="s">
        <v>215</v>
      </c>
      <c r="G673" s="15">
        <v>3392.5</v>
      </c>
      <c r="H673" s="15">
        <f t="shared" si="11"/>
        <v>0</v>
      </c>
      <c r="I673" s="19"/>
    </row>
    <row r="674" spans="1:9" x14ac:dyDescent="0.25">
      <c r="A674" s="16">
        <v>42742</v>
      </c>
      <c r="B674" s="17" t="s">
        <v>925</v>
      </c>
      <c r="C674" s="18">
        <v>96271</v>
      </c>
      <c r="D674" s="2" t="s">
        <v>319</v>
      </c>
      <c r="E674" s="15">
        <v>6456.6</v>
      </c>
      <c r="F674" s="36" t="s">
        <v>107</v>
      </c>
      <c r="G674" s="15">
        <v>6456.6</v>
      </c>
      <c r="H674" s="15">
        <f t="shared" si="11"/>
        <v>0</v>
      </c>
      <c r="I674" s="19"/>
    </row>
    <row r="675" spans="1:9" x14ac:dyDescent="0.25">
      <c r="A675" s="16">
        <v>42742</v>
      </c>
      <c r="B675" s="17" t="s">
        <v>926</v>
      </c>
      <c r="C675" s="18">
        <v>96272</v>
      </c>
      <c r="D675" s="2" t="s">
        <v>21</v>
      </c>
      <c r="E675" s="15">
        <v>49490</v>
      </c>
      <c r="F675" s="36" t="s">
        <v>927</v>
      </c>
      <c r="G675" s="15">
        <v>49490</v>
      </c>
      <c r="H675" s="15">
        <f t="shared" si="11"/>
        <v>0</v>
      </c>
      <c r="I675" s="19"/>
    </row>
    <row r="676" spans="1:9" x14ac:dyDescent="0.25">
      <c r="A676" s="16">
        <v>42742</v>
      </c>
      <c r="B676" s="17" t="s">
        <v>928</v>
      </c>
      <c r="C676" s="18">
        <v>96273</v>
      </c>
      <c r="D676" s="2" t="s">
        <v>358</v>
      </c>
      <c r="E676" s="15">
        <v>16418.919999999998</v>
      </c>
      <c r="F676" s="36" t="s">
        <v>215</v>
      </c>
      <c r="G676" s="15">
        <v>16418.919999999998</v>
      </c>
      <c r="H676" s="15">
        <f t="shared" si="11"/>
        <v>0</v>
      </c>
      <c r="I676" s="19"/>
    </row>
    <row r="677" spans="1:9" x14ac:dyDescent="0.25">
      <c r="A677" s="16">
        <v>42742</v>
      </c>
      <c r="B677" s="17" t="s">
        <v>929</v>
      </c>
      <c r="C677" s="18">
        <v>96274</v>
      </c>
      <c r="D677" s="2" t="s">
        <v>930</v>
      </c>
      <c r="E677" s="15">
        <v>32939.25</v>
      </c>
      <c r="F677" s="36" t="s">
        <v>107</v>
      </c>
      <c r="G677" s="15">
        <v>32939.25</v>
      </c>
      <c r="H677" s="15">
        <f t="shared" si="11"/>
        <v>0</v>
      </c>
      <c r="I677" s="19"/>
    </row>
    <row r="678" spans="1:9" x14ac:dyDescent="0.25">
      <c r="A678" s="16">
        <v>42742</v>
      </c>
      <c r="B678" s="17" t="s">
        <v>931</v>
      </c>
      <c r="C678" s="18">
        <v>96275</v>
      </c>
      <c r="D678" s="2" t="s">
        <v>409</v>
      </c>
      <c r="E678" s="15">
        <v>7284</v>
      </c>
      <c r="F678" s="36" t="s">
        <v>123</v>
      </c>
      <c r="G678" s="15">
        <v>7284</v>
      </c>
      <c r="H678" s="15">
        <f t="shared" si="11"/>
        <v>0</v>
      </c>
      <c r="I678" s="19"/>
    </row>
    <row r="679" spans="1:9" x14ac:dyDescent="0.25">
      <c r="A679" s="16">
        <v>42742</v>
      </c>
      <c r="B679" s="17" t="s">
        <v>932</v>
      </c>
      <c r="C679" s="18">
        <v>96276</v>
      </c>
      <c r="D679" s="2" t="s">
        <v>250</v>
      </c>
      <c r="E679" s="15">
        <v>3470</v>
      </c>
      <c r="F679" s="36" t="s">
        <v>123</v>
      </c>
      <c r="G679" s="15">
        <v>3470</v>
      </c>
      <c r="H679" s="15">
        <f t="shared" si="11"/>
        <v>0</v>
      </c>
      <c r="I679" s="19"/>
    </row>
    <row r="680" spans="1:9" x14ac:dyDescent="0.25">
      <c r="A680" s="16">
        <v>42742</v>
      </c>
      <c r="B680" s="17" t="s">
        <v>933</v>
      </c>
      <c r="C680" s="18">
        <v>96277</v>
      </c>
      <c r="D680" s="13" t="s">
        <v>12</v>
      </c>
      <c r="E680" s="14">
        <v>0</v>
      </c>
      <c r="F680" s="123" t="s">
        <v>95</v>
      </c>
      <c r="G680" s="14">
        <v>0</v>
      </c>
      <c r="H680" s="14">
        <f t="shared" si="11"/>
        <v>0</v>
      </c>
      <c r="I680" s="19"/>
    </row>
    <row r="681" spans="1:9" x14ac:dyDescent="0.25">
      <c r="A681" s="16">
        <v>42742</v>
      </c>
      <c r="B681" s="17" t="s">
        <v>934</v>
      </c>
      <c r="C681" s="18">
        <v>96278</v>
      </c>
      <c r="D681" s="2" t="s">
        <v>523</v>
      </c>
      <c r="E681" s="15">
        <v>22176.400000000001</v>
      </c>
      <c r="F681" s="36" t="s">
        <v>317</v>
      </c>
      <c r="G681" s="15">
        <v>22176.400000000001</v>
      </c>
      <c r="H681" s="15">
        <f t="shared" si="11"/>
        <v>0</v>
      </c>
      <c r="I681" s="19"/>
    </row>
    <row r="682" spans="1:9" x14ac:dyDescent="0.25">
      <c r="A682" s="16">
        <v>42742</v>
      </c>
      <c r="B682" s="17" t="s">
        <v>935</v>
      </c>
      <c r="C682" s="18">
        <v>96279</v>
      </c>
      <c r="D682" s="2" t="s">
        <v>236</v>
      </c>
      <c r="E682" s="15">
        <v>37778.47</v>
      </c>
      <c r="F682" s="36" t="s">
        <v>237</v>
      </c>
      <c r="G682" s="15">
        <v>37778.47</v>
      </c>
      <c r="H682" s="15">
        <f t="shared" si="11"/>
        <v>0</v>
      </c>
      <c r="I682" s="19"/>
    </row>
    <row r="683" spans="1:9" x14ac:dyDescent="0.25">
      <c r="A683" s="16">
        <v>42742</v>
      </c>
      <c r="B683" s="17" t="s">
        <v>936</v>
      </c>
      <c r="C683" s="18">
        <v>96280</v>
      </c>
      <c r="D683" s="2" t="s">
        <v>937</v>
      </c>
      <c r="E683" s="15">
        <v>3667.6</v>
      </c>
      <c r="F683" s="36" t="s">
        <v>123</v>
      </c>
      <c r="G683" s="15">
        <v>3667.6</v>
      </c>
      <c r="H683" s="15">
        <f t="shared" si="11"/>
        <v>0</v>
      </c>
      <c r="I683" s="19"/>
    </row>
    <row r="684" spans="1:9" x14ac:dyDescent="0.25">
      <c r="A684" s="16">
        <v>42742</v>
      </c>
      <c r="B684" s="17" t="s">
        <v>938</v>
      </c>
      <c r="C684" s="18">
        <v>96281</v>
      </c>
      <c r="D684" s="2" t="s">
        <v>205</v>
      </c>
      <c r="E684" s="15">
        <v>47785.1</v>
      </c>
      <c r="F684" s="36" t="s">
        <v>173</v>
      </c>
      <c r="G684" s="15">
        <v>47785.1</v>
      </c>
      <c r="H684" s="15">
        <f t="shared" si="11"/>
        <v>0</v>
      </c>
      <c r="I684" s="19"/>
    </row>
    <row r="685" spans="1:9" x14ac:dyDescent="0.25">
      <c r="A685" s="16">
        <v>42742</v>
      </c>
      <c r="B685" s="17" t="s">
        <v>939</v>
      </c>
      <c r="C685" s="18">
        <v>96282</v>
      </c>
      <c r="D685" s="2" t="s">
        <v>622</v>
      </c>
      <c r="E685" s="15">
        <v>9587.2000000000007</v>
      </c>
      <c r="F685" s="36" t="s">
        <v>123</v>
      </c>
      <c r="G685" s="15">
        <v>9587.2000000000007</v>
      </c>
      <c r="H685" s="15">
        <f t="shared" si="11"/>
        <v>0</v>
      </c>
      <c r="I685" s="19"/>
    </row>
    <row r="686" spans="1:9" x14ac:dyDescent="0.25">
      <c r="A686" s="16">
        <v>42742</v>
      </c>
      <c r="B686" s="17" t="s">
        <v>940</v>
      </c>
      <c r="C686" s="18">
        <v>96283</v>
      </c>
      <c r="D686" s="2" t="s">
        <v>358</v>
      </c>
      <c r="E686" s="15">
        <v>34197.620000000003</v>
      </c>
      <c r="F686" s="36" t="s">
        <v>215</v>
      </c>
      <c r="G686" s="15">
        <v>34197.620000000003</v>
      </c>
      <c r="H686" s="15">
        <f t="shared" si="11"/>
        <v>0</v>
      </c>
      <c r="I686" s="19"/>
    </row>
    <row r="687" spans="1:9" x14ac:dyDescent="0.25">
      <c r="A687" s="16">
        <v>42742</v>
      </c>
      <c r="B687" s="17" t="s">
        <v>941</v>
      </c>
      <c r="C687" s="18">
        <v>96284</v>
      </c>
      <c r="D687" s="2" t="s">
        <v>457</v>
      </c>
      <c r="E687" s="15">
        <v>1664.2</v>
      </c>
      <c r="F687" s="36" t="s">
        <v>215</v>
      </c>
      <c r="G687" s="15">
        <v>1664.2</v>
      </c>
      <c r="H687" s="15">
        <f t="shared" si="11"/>
        <v>0</v>
      </c>
      <c r="I687" s="19"/>
    </row>
    <row r="688" spans="1:9" x14ac:dyDescent="0.25">
      <c r="A688" s="16">
        <v>42742</v>
      </c>
      <c r="B688" s="17" t="s">
        <v>942</v>
      </c>
      <c r="C688" s="18">
        <v>96285</v>
      </c>
      <c r="D688" s="2" t="s">
        <v>115</v>
      </c>
      <c r="E688" s="15">
        <v>8468.6</v>
      </c>
      <c r="F688" s="36" t="s">
        <v>275</v>
      </c>
      <c r="G688" s="15">
        <v>8468.6</v>
      </c>
      <c r="H688" s="15">
        <f t="shared" si="11"/>
        <v>0</v>
      </c>
      <c r="I688" s="19"/>
    </row>
    <row r="689" spans="1:9" x14ac:dyDescent="0.25">
      <c r="A689" s="16">
        <v>42742</v>
      </c>
      <c r="B689" s="17" t="s">
        <v>943</v>
      </c>
      <c r="C689" s="18">
        <v>96286</v>
      </c>
      <c r="D689" s="2" t="s">
        <v>229</v>
      </c>
      <c r="E689" s="15">
        <v>68043</v>
      </c>
      <c r="F689" s="36" t="s">
        <v>129</v>
      </c>
      <c r="G689" s="15">
        <v>68043</v>
      </c>
      <c r="H689" s="15">
        <f t="shared" si="11"/>
        <v>0</v>
      </c>
      <c r="I689" s="19"/>
    </row>
    <row r="690" spans="1:9" x14ac:dyDescent="0.25">
      <c r="A690" s="16">
        <v>42742</v>
      </c>
      <c r="B690" s="17" t="s">
        <v>944</v>
      </c>
      <c r="C690" s="18">
        <v>96287</v>
      </c>
      <c r="D690" s="2" t="s">
        <v>220</v>
      </c>
      <c r="E690" s="15">
        <v>3681.6</v>
      </c>
      <c r="F690" s="36" t="s">
        <v>215</v>
      </c>
      <c r="G690" s="15">
        <v>3681.6</v>
      </c>
      <c r="H690" s="15">
        <f t="shared" si="11"/>
        <v>0</v>
      </c>
      <c r="I690" s="19"/>
    </row>
    <row r="691" spans="1:9" x14ac:dyDescent="0.25">
      <c r="A691" s="16">
        <v>42742</v>
      </c>
      <c r="B691" s="17" t="s">
        <v>945</v>
      </c>
      <c r="C691" s="18">
        <v>96288</v>
      </c>
      <c r="D691" s="2" t="s">
        <v>222</v>
      </c>
      <c r="E691" s="15">
        <v>512028</v>
      </c>
      <c r="F691" s="36" t="s">
        <v>129</v>
      </c>
      <c r="G691" s="15">
        <v>512028</v>
      </c>
      <c r="H691" s="15">
        <f t="shared" si="11"/>
        <v>0</v>
      </c>
      <c r="I691" s="19"/>
    </row>
    <row r="692" spans="1:9" x14ac:dyDescent="0.25">
      <c r="A692" s="16">
        <v>42742</v>
      </c>
      <c r="B692" s="17" t="s">
        <v>946</v>
      </c>
      <c r="C692" s="18">
        <v>96289</v>
      </c>
      <c r="D692" s="2" t="s">
        <v>222</v>
      </c>
      <c r="E692" s="15">
        <v>509328</v>
      </c>
      <c r="F692" s="36" t="s">
        <v>237</v>
      </c>
      <c r="G692" s="15">
        <v>509328</v>
      </c>
      <c r="H692" s="15">
        <f t="shared" si="11"/>
        <v>0</v>
      </c>
      <c r="I692" s="19"/>
    </row>
    <row r="693" spans="1:9" x14ac:dyDescent="0.25">
      <c r="A693" s="16">
        <v>42742</v>
      </c>
      <c r="B693" s="17" t="s">
        <v>947</v>
      </c>
      <c r="C693" s="18">
        <v>96290</v>
      </c>
      <c r="D693" s="2" t="s">
        <v>352</v>
      </c>
      <c r="E693" s="15">
        <v>2671.8</v>
      </c>
      <c r="F693" s="36" t="s">
        <v>215</v>
      </c>
      <c r="G693" s="15">
        <v>2671.8</v>
      </c>
      <c r="H693" s="15">
        <f t="shared" si="11"/>
        <v>0</v>
      </c>
      <c r="I693" s="19"/>
    </row>
    <row r="694" spans="1:9" x14ac:dyDescent="0.25">
      <c r="A694" s="16">
        <v>42742</v>
      </c>
      <c r="B694" s="17" t="s">
        <v>948</v>
      </c>
      <c r="C694" s="18">
        <v>96291</v>
      </c>
      <c r="D694" s="2" t="s">
        <v>12</v>
      </c>
      <c r="E694" s="15">
        <v>2080</v>
      </c>
      <c r="F694" s="36" t="s">
        <v>215</v>
      </c>
      <c r="G694" s="15">
        <v>2080</v>
      </c>
      <c r="H694" s="15">
        <f t="shared" si="11"/>
        <v>0</v>
      </c>
      <c r="I694" s="19"/>
    </row>
    <row r="695" spans="1:9" x14ac:dyDescent="0.25">
      <c r="A695" s="16">
        <v>42742</v>
      </c>
      <c r="B695" s="17" t="s">
        <v>949</v>
      </c>
      <c r="C695" s="18">
        <v>96292</v>
      </c>
      <c r="D695" s="2" t="s">
        <v>266</v>
      </c>
      <c r="E695" s="15">
        <v>11580.4</v>
      </c>
      <c r="F695" s="36" t="s">
        <v>123</v>
      </c>
      <c r="G695" s="15">
        <v>11580.4</v>
      </c>
      <c r="H695" s="15">
        <f t="shared" si="11"/>
        <v>0</v>
      </c>
      <c r="I695" s="19"/>
    </row>
    <row r="696" spans="1:9" x14ac:dyDescent="0.25">
      <c r="A696" s="16">
        <v>42742</v>
      </c>
      <c r="B696" s="17" t="s">
        <v>950</v>
      </c>
      <c r="C696" s="18">
        <v>96293</v>
      </c>
      <c r="D696" s="2" t="s">
        <v>229</v>
      </c>
      <c r="E696" s="15">
        <v>568.79999999999995</v>
      </c>
      <c r="F696" s="36" t="s">
        <v>129</v>
      </c>
      <c r="G696" s="15">
        <v>568.79999999999995</v>
      </c>
      <c r="H696" s="15">
        <f t="shared" si="11"/>
        <v>0</v>
      </c>
      <c r="I696" s="19"/>
    </row>
    <row r="697" spans="1:9" x14ac:dyDescent="0.25">
      <c r="A697" s="16">
        <v>42742</v>
      </c>
      <c r="B697" s="17" t="s">
        <v>951</v>
      </c>
      <c r="C697" s="18">
        <v>96294</v>
      </c>
      <c r="D697" s="2" t="s">
        <v>47</v>
      </c>
      <c r="E697" s="15">
        <v>444.6</v>
      </c>
      <c r="F697" s="36" t="s">
        <v>215</v>
      </c>
      <c r="G697" s="15">
        <v>444.6</v>
      </c>
      <c r="H697" s="15">
        <f t="shared" si="11"/>
        <v>0</v>
      </c>
      <c r="I697" s="19"/>
    </row>
    <row r="698" spans="1:9" x14ac:dyDescent="0.25">
      <c r="A698" s="16">
        <v>42742</v>
      </c>
      <c r="B698" s="17" t="s">
        <v>952</v>
      </c>
      <c r="C698" s="18">
        <v>96295</v>
      </c>
      <c r="D698" s="2" t="s">
        <v>858</v>
      </c>
      <c r="E698" s="15">
        <v>2072.6999999999998</v>
      </c>
      <c r="F698" s="36" t="s">
        <v>215</v>
      </c>
      <c r="G698" s="15">
        <v>2072.6999999999998</v>
      </c>
      <c r="H698" s="15">
        <f t="shared" si="11"/>
        <v>0</v>
      </c>
      <c r="I698" s="19"/>
    </row>
    <row r="699" spans="1:9" x14ac:dyDescent="0.25">
      <c r="A699" s="16">
        <v>42742</v>
      </c>
      <c r="B699" s="17" t="s">
        <v>953</v>
      </c>
      <c r="C699" s="18">
        <v>96296</v>
      </c>
      <c r="D699" s="2" t="s">
        <v>10</v>
      </c>
      <c r="E699" s="15">
        <v>97530.54</v>
      </c>
      <c r="F699" s="36" t="s">
        <v>275</v>
      </c>
      <c r="G699" s="15">
        <v>97530.54</v>
      </c>
      <c r="H699" s="15">
        <f t="shared" si="11"/>
        <v>0</v>
      </c>
      <c r="I699" s="19"/>
    </row>
    <row r="700" spans="1:9" x14ac:dyDescent="0.25">
      <c r="A700" s="16">
        <v>42742</v>
      </c>
      <c r="B700" s="17" t="s">
        <v>954</v>
      </c>
      <c r="C700" s="18">
        <v>96297</v>
      </c>
      <c r="D700" s="2" t="s">
        <v>10</v>
      </c>
      <c r="E700" s="15">
        <v>55331.56</v>
      </c>
      <c r="F700" s="36" t="s">
        <v>275</v>
      </c>
      <c r="G700" s="15">
        <v>55331.56</v>
      </c>
      <c r="H700" s="15">
        <f t="shared" si="11"/>
        <v>0</v>
      </c>
      <c r="I700" s="19"/>
    </row>
    <row r="701" spans="1:9" x14ac:dyDescent="0.25">
      <c r="A701" s="16">
        <v>42742</v>
      </c>
      <c r="B701" s="17" t="s">
        <v>955</v>
      </c>
      <c r="C701" s="18">
        <v>96298</v>
      </c>
      <c r="D701" s="2" t="s">
        <v>47</v>
      </c>
      <c r="E701" s="15">
        <v>568</v>
      </c>
      <c r="F701" s="36" t="s">
        <v>215</v>
      </c>
      <c r="G701" s="15">
        <v>568</v>
      </c>
      <c r="H701" s="15">
        <f t="shared" si="11"/>
        <v>0</v>
      </c>
      <c r="I701" s="19"/>
    </row>
    <row r="702" spans="1:9" x14ac:dyDescent="0.25">
      <c r="A702" s="16">
        <v>42742</v>
      </c>
      <c r="B702" s="17" t="s">
        <v>956</v>
      </c>
      <c r="C702" s="18">
        <v>96299</v>
      </c>
      <c r="D702" s="2" t="s">
        <v>430</v>
      </c>
      <c r="E702" s="15">
        <v>2976.2</v>
      </c>
      <c r="F702" s="36" t="s">
        <v>215</v>
      </c>
      <c r="G702" s="15">
        <v>2976.2</v>
      </c>
      <c r="H702" s="15">
        <f t="shared" si="11"/>
        <v>0</v>
      </c>
      <c r="I702" s="19"/>
    </row>
    <row r="703" spans="1:9" x14ac:dyDescent="0.25">
      <c r="A703" s="16">
        <v>42742</v>
      </c>
      <c r="B703" s="17" t="s">
        <v>957</v>
      </c>
      <c r="C703" s="18">
        <v>96300</v>
      </c>
      <c r="D703" s="2" t="s">
        <v>422</v>
      </c>
      <c r="E703" s="15">
        <v>2292</v>
      </c>
      <c r="F703" s="36" t="s">
        <v>215</v>
      </c>
      <c r="G703" s="15">
        <v>2292</v>
      </c>
      <c r="H703" s="15">
        <f t="shared" si="11"/>
        <v>0</v>
      </c>
      <c r="I703" s="19"/>
    </row>
    <row r="704" spans="1:9" x14ac:dyDescent="0.25">
      <c r="A704" s="16">
        <v>42742</v>
      </c>
      <c r="B704" s="17" t="s">
        <v>958</v>
      </c>
      <c r="C704" s="18">
        <v>96301</v>
      </c>
      <c r="D704" s="2" t="s">
        <v>236</v>
      </c>
      <c r="E704" s="15">
        <v>34012.99</v>
      </c>
      <c r="F704" s="36" t="s">
        <v>237</v>
      </c>
      <c r="G704" s="15">
        <v>34012.99</v>
      </c>
      <c r="H704" s="15">
        <f t="shared" si="11"/>
        <v>0</v>
      </c>
      <c r="I704" s="19"/>
    </row>
    <row r="705" spans="1:9" x14ac:dyDescent="0.25">
      <c r="A705" s="16">
        <v>42742</v>
      </c>
      <c r="B705" s="17" t="s">
        <v>959</v>
      </c>
      <c r="C705" s="18">
        <v>96302</v>
      </c>
      <c r="D705" s="2" t="s">
        <v>222</v>
      </c>
      <c r="E705" s="15">
        <v>22900.6</v>
      </c>
      <c r="F705" s="36" t="s">
        <v>129</v>
      </c>
      <c r="G705" s="15">
        <v>22900.6</v>
      </c>
      <c r="H705" s="15">
        <f t="shared" si="11"/>
        <v>0</v>
      </c>
      <c r="I705" s="19"/>
    </row>
    <row r="706" spans="1:9" x14ac:dyDescent="0.25">
      <c r="A706" s="16">
        <v>42742</v>
      </c>
      <c r="B706" s="17" t="s">
        <v>960</v>
      </c>
      <c r="C706" s="18">
        <v>96303</v>
      </c>
      <c r="D706" s="2" t="s">
        <v>8</v>
      </c>
      <c r="E706" s="15">
        <v>6786.8</v>
      </c>
      <c r="F706" s="36" t="s">
        <v>493</v>
      </c>
      <c r="G706" s="15">
        <v>6786.8</v>
      </c>
      <c r="H706" s="15">
        <f t="shared" si="11"/>
        <v>0</v>
      </c>
      <c r="I706" s="19"/>
    </row>
    <row r="707" spans="1:9" x14ac:dyDescent="0.25">
      <c r="A707" s="16">
        <v>42742</v>
      </c>
      <c r="B707" s="17" t="s">
        <v>961</v>
      </c>
      <c r="C707" s="18">
        <v>96304</v>
      </c>
      <c r="D707" s="2" t="s">
        <v>457</v>
      </c>
      <c r="E707" s="15">
        <v>1075.2</v>
      </c>
      <c r="F707" s="36" t="s">
        <v>493</v>
      </c>
      <c r="G707" s="15">
        <v>1075.2</v>
      </c>
      <c r="H707" s="15">
        <f t="shared" si="11"/>
        <v>0</v>
      </c>
      <c r="I707" s="19"/>
    </row>
    <row r="708" spans="1:9" x14ac:dyDescent="0.25">
      <c r="A708" s="16">
        <v>42743</v>
      </c>
      <c r="B708" s="17" t="s">
        <v>962</v>
      </c>
      <c r="C708" s="18">
        <v>96305</v>
      </c>
      <c r="D708" s="2" t="s">
        <v>231</v>
      </c>
      <c r="E708" s="15">
        <v>7377.2</v>
      </c>
      <c r="F708" s="36" t="s">
        <v>123</v>
      </c>
      <c r="G708" s="15">
        <v>7377.2</v>
      </c>
      <c r="H708" s="15">
        <f t="shared" si="11"/>
        <v>0</v>
      </c>
      <c r="I708" s="19"/>
    </row>
    <row r="709" spans="1:9" x14ac:dyDescent="0.25">
      <c r="A709" s="16">
        <v>42743</v>
      </c>
      <c r="B709" s="17" t="s">
        <v>963</v>
      </c>
      <c r="C709" s="18">
        <v>96306</v>
      </c>
      <c r="D709" s="13" t="s">
        <v>231</v>
      </c>
      <c r="E709" s="14">
        <v>0</v>
      </c>
      <c r="F709" s="123" t="s">
        <v>95</v>
      </c>
      <c r="G709" s="14">
        <v>0</v>
      </c>
      <c r="H709" s="14">
        <f t="shared" si="11"/>
        <v>0</v>
      </c>
      <c r="I709" s="19"/>
    </row>
    <row r="710" spans="1:9" x14ac:dyDescent="0.25">
      <c r="A710" s="16">
        <v>42743</v>
      </c>
      <c r="B710" s="17" t="s">
        <v>964</v>
      </c>
      <c r="C710" s="18">
        <v>96307</v>
      </c>
      <c r="D710" s="2" t="s">
        <v>231</v>
      </c>
      <c r="E710" s="15">
        <v>45588.4</v>
      </c>
      <c r="F710" s="36" t="s">
        <v>123</v>
      </c>
      <c r="G710" s="15">
        <v>45588.4</v>
      </c>
      <c r="H710" s="15">
        <f t="shared" ref="H710:H773" si="12">E710-G710</f>
        <v>0</v>
      </c>
      <c r="I710" s="19"/>
    </row>
    <row r="711" spans="1:9" x14ac:dyDescent="0.25">
      <c r="A711" s="16">
        <v>42743</v>
      </c>
      <c r="B711" s="17" t="s">
        <v>965</v>
      </c>
      <c r="C711" s="18">
        <v>96308</v>
      </c>
      <c r="D711" s="2" t="s">
        <v>55</v>
      </c>
      <c r="E711" s="15">
        <v>8650.2000000000007</v>
      </c>
      <c r="F711" s="36" t="s">
        <v>493</v>
      </c>
      <c r="G711" s="15">
        <v>8650.2000000000007</v>
      </c>
      <c r="H711" s="15">
        <f t="shared" si="12"/>
        <v>0</v>
      </c>
      <c r="I711" s="19"/>
    </row>
    <row r="712" spans="1:9" x14ac:dyDescent="0.25">
      <c r="A712" s="16">
        <v>42743</v>
      </c>
      <c r="B712" s="17" t="s">
        <v>966</v>
      </c>
      <c r="C712" s="18">
        <v>96309</v>
      </c>
      <c r="D712" s="2" t="s">
        <v>24</v>
      </c>
      <c r="E712" s="15">
        <v>4977.6000000000004</v>
      </c>
      <c r="F712" s="36" t="s">
        <v>493</v>
      </c>
      <c r="G712" s="15">
        <v>4977.6000000000004</v>
      </c>
      <c r="H712" s="15">
        <f t="shared" si="12"/>
        <v>0</v>
      </c>
      <c r="I712" s="19"/>
    </row>
    <row r="713" spans="1:9" x14ac:dyDescent="0.25">
      <c r="A713" s="16">
        <v>42743</v>
      </c>
      <c r="B713" s="17" t="s">
        <v>967</v>
      </c>
      <c r="C713" s="18">
        <v>96310</v>
      </c>
      <c r="D713" s="2" t="s">
        <v>59</v>
      </c>
      <c r="E713" s="15">
        <v>1457.3</v>
      </c>
      <c r="F713" s="36" t="s">
        <v>493</v>
      </c>
      <c r="G713" s="15">
        <v>1457.3</v>
      </c>
      <c r="H713" s="15">
        <f t="shared" si="12"/>
        <v>0</v>
      </c>
      <c r="I713" s="19"/>
    </row>
    <row r="714" spans="1:9" x14ac:dyDescent="0.25">
      <c r="A714" s="16">
        <v>42743</v>
      </c>
      <c r="B714" s="17" t="s">
        <v>968</v>
      </c>
      <c r="C714" s="18">
        <v>96311</v>
      </c>
      <c r="D714" s="2" t="s">
        <v>17</v>
      </c>
      <c r="E714" s="15">
        <v>5250</v>
      </c>
      <c r="F714" s="36" t="s">
        <v>493</v>
      </c>
      <c r="G714" s="15">
        <v>5250</v>
      </c>
      <c r="H714" s="15">
        <f t="shared" si="12"/>
        <v>0</v>
      </c>
      <c r="I714" s="19"/>
    </row>
    <row r="715" spans="1:9" x14ac:dyDescent="0.25">
      <c r="A715" s="16">
        <v>42743</v>
      </c>
      <c r="B715" s="17" t="s">
        <v>969</v>
      </c>
      <c r="C715" s="18">
        <v>96312</v>
      </c>
      <c r="D715" s="2" t="s">
        <v>236</v>
      </c>
      <c r="E715" s="15">
        <v>32737.97</v>
      </c>
      <c r="F715" s="36" t="s">
        <v>237</v>
      </c>
      <c r="G715" s="15">
        <v>32737.97</v>
      </c>
      <c r="H715" s="15">
        <f t="shared" si="12"/>
        <v>0</v>
      </c>
      <c r="I715" s="19"/>
    </row>
    <row r="716" spans="1:9" x14ac:dyDescent="0.25">
      <c r="A716" s="16">
        <v>42743</v>
      </c>
      <c r="B716" s="17" t="s">
        <v>970</v>
      </c>
      <c r="C716" s="18">
        <v>96313</v>
      </c>
      <c r="D716" s="2" t="s">
        <v>321</v>
      </c>
      <c r="E716" s="15">
        <v>988.5</v>
      </c>
      <c r="F716" s="36" t="s">
        <v>493</v>
      </c>
      <c r="G716" s="15">
        <v>988.5</v>
      </c>
      <c r="H716" s="15">
        <f t="shared" si="12"/>
        <v>0</v>
      </c>
      <c r="I716" s="19"/>
    </row>
    <row r="717" spans="1:9" x14ac:dyDescent="0.25">
      <c r="A717" s="16">
        <v>42743</v>
      </c>
      <c r="B717" s="17" t="s">
        <v>971</v>
      </c>
      <c r="C717" s="18">
        <v>96314</v>
      </c>
      <c r="D717" s="13" t="s">
        <v>972</v>
      </c>
      <c r="E717" s="14">
        <v>0</v>
      </c>
      <c r="F717" s="123" t="s">
        <v>95</v>
      </c>
      <c r="G717" s="14">
        <v>0</v>
      </c>
      <c r="H717" s="14">
        <f t="shared" si="12"/>
        <v>0</v>
      </c>
      <c r="I717" s="19"/>
    </row>
    <row r="718" spans="1:9" x14ac:dyDescent="0.25">
      <c r="A718" s="16">
        <v>42743</v>
      </c>
      <c r="B718" s="17" t="s">
        <v>973</v>
      </c>
      <c r="C718" s="18">
        <v>96315</v>
      </c>
      <c r="D718" s="2" t="s">
        <v>974</v>
      </c>
      <c r="E718" s="15">
        <v>7600</v>
      </c>
      <c r="F718" s="36" t="s">
        <v>493</v>
      </c>
      <c r="G718" s="15">
        <v>7600</v>
      </c>
      <c r="H718" s="15">
        <f t="shared" si="12"/>
        <v>0</v>
      </c>
      <c r="I718" s="19"/>
    </row>
    <row r="719" spans="1:9" x14ac:dyDescent="0.25">
      <c r="A719" s="16">
        <v>42743</v>
      </c>
      <c r="B719" s="17" t="s">
        <v>975</v>
      </c>
      <c r="C719" s="18">
        <v>96316</v>
      </c>
      <c r="D719" s="2" t="s">
        <v>236</v>
      </c>
      <c r="E719" s="15">
        <v>34443.879999999997</v>
      </c>
      <c r="F719" s="36" t="s">
        <v>237</v>
      </c>
      <c r="G719" s="15">
        <v>34443.879999999997</v>
      </c>
      <c r="H719" s="15">
        <f t="shared" si="12"/>
        <v>0</v>
      </c>
      <c r="I719" s="19"/>
    </row>
    <row r="720" spans="1:9" x14ac:dyDescent="0.25">
      <c r="A720" s="16">
        <v>42743</v>
      </c>
      <c r="B720" s="17" t="s">
        <v>976</v>
      </c>
      <c r="C720" s="18">
        <v>96317</v>
      </c>
      <c r="D720" s="2" t="s">
        <v>67</v>
      </c>
      <c r="E720" s="15">
        <v>7144</v>
      </c>
      <c r="F720" s="36" t="s">
        <v>275</v>
      </c>
      <c r="G720" s="15">
        <v>7144</v>
      </c>
      <c r="H720" s="15">
        <f t="shared" si="12"/>
        <v>0</v>
      </c>
      <c r="I720" s="19"/>
    </row>
    <row r="721" spans="1:9" x14ac:dyDescent="0.25">
      <c r="A721" s="16">
        <v>42743</v>
      </c>
      <c r="B721" s="17" t="s">
        <v>977</v>
      </c>
      <c r="C721" s="18">
        <v>96318</v>
      </c>
      <c r="D721" s="2" t="s">
        <v>289</v>
      </c>
      <c r="E721" s="15">
        <v>102030.76</v>
      </c>
      <c r="F721" s="36" t="s">
        <v>336</v>
      </c>
      <c r="G721" s="15">
        <v>102030.76</v>
      </c>
      <c r="H721" s="15">
        <f t="shared" si="12"/>
        <v>0</v>
      </c>
      <c r="I721" s="19"/>
    </row>
    <row r="722" spans="1:9" x14ac:dyDescent="0.25">
      <c r="A722" s="16">
        <v>42743</v>
      </c>
      <c r="B722" s="17" t="s">
        <v>978</v>
      </c>
      <c r="C722" s="18">
        <v>96319</v>
      </c>
      <c r="D722" s="2" t="s">
        <v>298</v>
      </c>
      <c r="E722" s="15">
        <v>4817.5</v>
      </c>
      <c r="F722" s="36" t="s">
        <v>493</v>
      </c>
      <c r="G722" s="15">
        <v>4817.5</v>
      </c>
      <c r="H722" s="15">
        <f t="shared" si="12"/>
        <v>0</v>
      </c>
      <c r="I722" s="19"/>
    </row>
    <row r="723" spans="1:9" x14ac:dyDescent="0.25">
      <c r="A723" s="16">
        <v>42743</v>
      </c>
      <c r="B723" s="17" t="s">
        <v>979</v>
      </c>
      <c r="C723" s="18">
        <v>96320</v>
      </c>
      <c r="D723" s="2" t="s">
        <v>71</v>
      </c>
      <c r="E723" s="15">
        <v>1729.5</v>
      </c>
      <c r="F723" s="36" t="s">
        <v>493</v>
      </c>
      <c r="G723" s="15">
        <v>1729.5</v>
      </c>
      <c r="H723" s="15">
        <f t="shared" si="12"/>
        <v>0</v>
      </c>
      <c r="I723" s="19"/>
    </row>
    <row r="724" spans="1:9" x14ac:dyDescent="0.25">
      <c r="A724" s="16">
        <v>42743</v>
      </c>
      <c r="B724" s="17" t="s">
        <v>980</v>
      </c>
      <c r="C724" s="18">
        <v>96321</v>
      </c>
      <c r="D724" s="2" t="s">
        <v>509</v>
      </c>
      <c r="E724" s="15">
        <v>28674.2</v>
      </c>
      <c r="F724" s="36" t="s">
        <v>129</v>
      </c>
      <c r="G724" s="15">
        <v>28674.2</v>
      </c>
      <c r="H724" s="15">
        <f t="shared" si="12"/>
        <v>0</v>
      </c>
      <c r="I724" s="19"/>
    </row>
    <row r="725" spans="1:9" x14ac:dyDescent="0.25">
      <c r="A725" s="16">
        <v>42743</v>
      </c>
      <c r="B725" s="17" t="s">
        <v>981</v>
      </c>
      <c r="C725" s="18">
        <v>96322</v>
      </c>
      <c r="D725" s="2" t="s">
        <v>79</v>
      </c>
      <c r="E725" s="15">
        <v>3724.6</v>
      </c>
      <c r="F725" s="36" t="s">
        <v>493</v>
      </c>
      <c r="G725" s="15">
        <v>3724.6</v>
      </c>
      <c r="H725" s="15">
        <f t="shared" si="12"/>
        <v>0</v>
      </c>
      <c r="I725" s="19"/>
    </row>
    <row r="726" spans="1:9" x14ac:dyDescent="0.25">
      <c r="A726" s="16">
        <v>42743</v>
      </c>
      <c r="B726" s="17" t="s">
        <v>982</v>
      </c>
      <c r="C726" s="18">
        <v>96323</v>
      </c>
      <c r="D726" s="2" t="s">
        <v>457</v>
      </c>
      <c r="E726" s="15">
        <v>2915</v>
      </c>
      <c r="F726" s="36" t="s">
        <v>493</v>
      </c>
      <c r="G726" s="15">
        <v>2915</v>
      </c>
      <c r="H726" s="15">
        <f t="shared" si="12"/>
        <v>0</v>
      </c>
      <c r="I726" s="19"/>
    </row>
    <row r="727" spans="1:9" x14ac:dyDescent="0.25">
      <c r="A727" s="16">
        <v>42743</v>
      </c>
      <c r="B727" s="17" t="s">
        <v>983</v>
      </c>
      <c r="C727" s="18">
        <v>96324</v>
      </c>
      <c r="D727" s="2" t="s">
        <v>47</v>
      </c>
      <c r="E727" s="15">
        <v>3427.2</v>
      </c>
      <c r="F727" s="36" t="s">
        <v>493</v>
      </c>
      <c r="G727" s="15">
        <v>3427.2</v>
      </c>
      <c r="H727" s="15">
        <f t="shared" si="12"/>
        <v>0</v>
      </c>
      <c r="I727" s="19"/>
    </row>
    <row r="728" spans="1:9" x14ac:dyDescent="0.25">
      <c r="A728" s="16">
        <v>42743</v>
      </c>
      <c r="B728" s="17" t="s">
        <v>984</v>
      </c>
      <c r="C728" s="18">
        <v>96325</v>
      </c>
      <c r="D728" s="2" t="s">
        <v>30</v>
      </c>
      <c r="E728" s="15">
        <v>1890</v>
      </c>
      <c r="F728" s="36" t="s">
        <v>493</v>
      </c>
      <c r="G728" s="15">
        <v>1890</v>
      </c>
      <c r="H728" s="15">
        <f t="shared" si="12"/>
        <v>0</v>
      </c>
      <c r="I728" s="19"/>
    </row>
    <row r="729" spans="1:9" x14ac:dyDescent="0.25">
      <c r="A729" s="16">
        <v>42743</v>
      </c>
      <c r="B729" s="17" t="s">
        <v>985</v>
      </c>
      <c r="C729" s="18">
        <v>96326</v>
      </c>
      <c r="D729" s="2" t="s">
        <v>30</v>
      </c>
      <c r="E729" s="15">
        <v>1377</v>
      </c>
      <c r="F729" s="36" t="s">
        <v>493</v>
      </c>
      <c r="G729" s="15">
        <v>1377</v>
      </c>
      <c r="H729" s="15">
        <f t="shared" si="12"/>
        <v>0</v>
      </c>
      <c r="I729" s="19"/>
    </row>
    <row r="730" spans="1:9" x14ac:dyDescent="0.25">
      <c r="A730" s="16">
        <v>42743</v>
      </c>
      <c r="B730" s="17" t="s">
        <v>986</v>
      </c>
      <c r="C730" s="18">
        <v>96327</v>
      </c>
      <c r="D730" s="2" t="s">
        <v>143</v>
      </c>
      <c r="E730" s="15">
        <v>3190.2</v>
      </c>
      <c r="F730" s="36" t="s">
        <v>493</v>
      </c>
      <c r="G730" s="15">
        <v>3190.2</v>
      </c>
      <c r="H730" s="15">
        <f t="shared" si="12"/>
        <v>0</v>
      </c>
      <c r="I730" s="19"/>
    </row>
    <row r="731" spans="1:9" x14ac:dyDescent="0.25">
      <c r="A731" s="16">
        <v>42743</v>
      </c>
      <c r="B731" s="17" t="s">
        <v>987</v>
      </c>
      <c r="C731" s="18">
        <v>96328</v>
      </c>
      <c r="D731" s="2" t="s">
        <v>157</v>
      </c>
      <c r="E731" s="15">
        <v>27263.599999999999</v>
      </c>
      <c r="F731" s="36" t="s">
        <v>493</v>
      </c>
      <c r="G731" s="15">
        <v>27263.599999999999</v>
      </c>
      <c r="H731" s="15">
        <f t="shared" si="12"/>
        <v>0</v>
      </c>
      <c r="I731" s="19"/>
    </row>
    <row r="732" spans="1:9" x14ac:dyDescent="0.25">
      <c r="A732" s="16">
        <v>42743</v>
      </c>
      <c r="B732" s="17" t="s">
        <v>988</v>
      </c>
      <c r="C732" s="18">
        <v>96329</v>
      </c>
      <c r="D732" s="2" t="s">
        <v>111</v>
      </c>
      <c r="E732" s="15">
        <v>1745.2</v>
      </c>
      <c r="F732" s="36" t="s">
        <v>493</v>
      </c>
      <c r="G732" s="15">
        <v>1745.2</v>
      </c>
      <c r="H732" s="15">
        <f t="shared" si="12"/>
        <v>0</v>
      </c>
      <c r="I732" s="19"/>
    </row>
    <row r="733" spans="1:9" x14ac:dyDescent="0.25">
      <c r="A733" s="16">
        <v>42743</v>
      </c>
      <c r="B733" s="17" t="s">
        <v>989</v>
      </c>
      <c r="C733" s="18">
        <v>96330</v>
      </c>
      <c r="D733" s="2" t="s">
        <v>81</v>
      </c>
      <c r="E733" s="15">
        <v>11744.6</v>
      </c>
      <c r="F733" s="36" t="s">
        <v>123</v>
      </c>
      <c r="G733" s="15">
        <v>11744.6</v>
      </c>
      <c r="H733" s="15">
        <f t="shared" si="12"/>
        <v>0</v>
      </c>
      <c r="I733" s="19"/>
    </row>
    <row r="734" spans="1:9" x14ac:dyDescent="0.25">
      <c r="A734" s="16">
        <v>42743</v>
      </c>
      <c r="B734" s="17" t="s">
        <v>990</v>
      </c>
      <c r="C734" s="18">
        <v>96331</v>
      </c>
      <c r="D734" s="2" t="s">
        <v>99</v>
      </c>
      <c r="E734" s="15">
        <v>1500</v>
      </c>
      <c r="F734" s="36" t="s">
        <v>123</v>
      </c>
      <c r="G734" s="15">
        <v>1500</v>
      </c>
      <c r="H734" s="15">
        <f t="shared" si="12"/>
        <v>0</v>
      </c>
      <c r="I734" s="19"/>
    </row>
    <row r="735" spans="1:9" x14ac:dyDescent="0.25">
      <c r="A735" s="16">
        <v>42743</v>
      </c>
      <c r="B735" s="17" t="s">
        <v>991</v>
      </c>
      <c r="C735" s="18">
        <v>96332</v>
      </c>
      <c r="D735" s="2" t="s">
        <v>99</v>
      </c>
      <c r="E735" s="15">
        <v>3500</v>
      </c>
      <c r="F735" s="36" t="s">
        <v>123</v>
      </c>
      <c r="G735" s="15">
        <v>3500</v>
      </c>
      <c r="H735" s="15">
        <f t="shared" si="12"/>
        <v>0</v>
      </c>
      <c r="I735" s="19"/>
    </row>
    <row r="736" spans="1:9" x14ac:dyDescent="0.25">
      <c r="A736" s="16">
        <v>42743</v>
      </c>
      <c r="B736" s="17" t="s">
        <v>992</v>
      </c>
      <c r="C736" s="18">
        <v>96333</v>
      </c>
      <c r="D736" s="2" t="s">
        <v>88</v>
      </c>
      <c r="E736" s="15">
        <v>2168.4</v>
      </c>
      <c r="F736" s="36" t="s">
        <v>123</v>
      </c>
      <c r="G736" s="15">
        <v>2168.4</v>
      </c>
      <c r="H736" s="15">
        <f t="shared" si="12"/>
        <v>0</v>
      </c>
      <c r="I736" s="19"/>
    </row>
    <row r="737" spans="1:9" x14ac:dyDescent="0.25">
      <c r="A737" s="16">
        <v>42743</v>
      </c>
      <c r="B737" s="17" t="s">
        <v>993</v>
      </c>
      <c r="C737" s="18">
        <v>96334</v>
      </c>
      <c r="D737" s="2" t="s">
        <v>88</v>
      </c>
      <c r="E737" s="15">
        <v>10254.4</v>
      </c>
      <c r="F737" s="36" t="s">
        <v>123</v>
      </c>
      <c r="G737" s="15">
        <v>10254.4</v>
      </c>
      <c r="H737" s="15">
        <f t="shared" si="12"/>
        <v>0</v>
      </c>
      <c r="I737" s="19"/>
    </row>
    <row r="738" spans="1:9" x14ac:dyDescent="0.25">
      <c r="A738" s="16">
        <v>42743</v>
      </c>
      <c r="B738" s="17" t="s">
        <v>994</v>
      </c>
      <c r="C738" s="18">
        <v>96335</v>
      </c>
      <c r="D738" s="2" t="s">
        <v>109</v>
      </c>
      <c r="E738" s="15">
        <v>4814.8999999999996</v>
      </c>
      <c r="F738" s="36" t="s">
        <v>123</v>
      </c>
      <c r="G738" s="15">
        <v>4814.8999999999996</v>
      </c>
      <c r="H738" s="15">
        <f t="shared" si="12"/>
        <v>0</v>
      </c>
      <c r="I738" s="19"/>
    </row>
    <row r="739" spans="1:9" x14ac:dyDescent="0.25">
      <c r="A739" s="16">
        <v>42743</v>
      </c>
      <c r="B739" s="17" t="s">
        <v>995</v>
      </c>
      <c r="C739" s="18">
        <v>96336</v>
      </c>
      <c r="D739" s="2" t="s">
        <v>472</v>
      </c>
      <c r="E739" s="15">
        <v>6232.8</v>
      </c>
      <c r="F739" s="36" t="s">
        <v>123</v>
      </c>
      <c r="G739" s="15">
        <v>6232.8</v>
      </c>
      <c r="H739" s="15">
        <f t="shared" si="12"/>
        <v>0</v>
      </c>
      <c r="I739" s="19"/>
    </row>
    <row r="740" spans="1:9" x14ac:dyDescent="0.25">
      <c r="A740" s="16">
        <v>42743</v>
      </c>
      <c r="B740" s="17" t="s">
        <v>996</v>
      </c>
      <c r="C740" s="18">
        <v>96337</v>
      </c>
      <c r="D740" s="2" t="s">
        <v>305</v>
      </c>
      <c r="E740" s="15">
        <v>7877.5</v>
      </c>
      <c r="F740" s="36" t="s">
        <v>123</v>
      </c>
      <c r="G740" s="15">
        <v>7877.5</v>
      </c>
      <c r="H740" s="15">
        <f t="shared" si="12"/>
        <v>0</v>
      </c>
      <c r="I740" s="19"/>
    </row>
    <row r="741" spans="1:9" x14ac:dyDescent="0.25">
      <c r="A741" s="16">
        <v>42743</v>
      </c>
      <c r="B741" s="17" t="s">
        <v>997</v>
      </c>
      <c r="C741" s="18">
        <v>96338</v>
      </c>
      <c r="D741" s="2" t="s">
        <v>476</v>
      </c>
      <c r="E741" s="15">
        <v>12617.2</v>
      </c>
      <c r="F741" s="36" t="s">
        <v>107</v>
      </c>
      <c r="G741" s="15">
        <v>12617.2</v>
      </c>
      <c r="H741" s="15">
        <f t="shared" si="12"/>
        <v>0</v>
      </c>
      <c r="I741" s="19"/>
    </row>
    <row r="742" spans="1:9" x14ac:dyDescent="0.25">
      <c r="A742" s="16">
        <v>42743</v>
      </c>
      <c r="B742" s="17" t="s">
        <v>998</v>
      </c>
      <c r="C742" s="18">
        <v>96339</v>
      </c>
      <c r="D742" s="2" t="s">
        <v>930</v>
      </c>
      <c r="E742" s="15">
        <v>6673.8</v>
      </c>
      <c r="F742" s="36" t="s">
        <v>107</v>
      </c>
      <c r="G742" s="15">
        <v>6673.8</v>
      </c>
      <c r="H742" s="15">
        <f t="shared" si="12"/>
        <v>0</v>
      </c>
      <c r="I742" s="19"/>
    </row>
    <row r="743" spans="1:9" x14ac:dyDescent="0.25">
      <c r="A743" s="16">
        <v>42743</v>
      </c>
      <c r="B743" s="17" t="s">
        <v>999</v>
      </c>
      <c r="C743" s="18">
        <v>96340</v>
      </c>
      <c r="D743" s="2" t="s">
        <v>57</v>
      </c>
      <c r="E743" s="15">
        <v>800</v>
      </c>
      <c r="F743" s="36" t="s">
        <v>493</v>
      </c>
      <c r="G743" s="15">
        <v>800</v>
      </c>
      <c r="H743" s="15">
        <f t="shared" si="12"/>
        <v>0</v>
      </c>
      <c r="I743" s="19"/>
    </row>
    <row r="744" spans="1:9" x14ac:dyDescent="0.25">
      <c r="A744" s="16">
        <v>42743</v>
      </c>
      <c r="B744" s="17" t="s">
        <v>1000</v>
      </c>
      <c r="C744" s="18">
        <v>96341</v>
      </c>
      <c r="D744" s="2" t="s">
        <v>480</v>
      </c>
      <c r="E744" s="15">
        <v>2092.96</v>
      </c>
      <c r="F744" s="36" t="s">
        <v>493</v>
      </c>
      <c r="G744" s="15">
        <v>2092.96</v>
      </c>
      <c r="H744" s="15">
        <f t="shared" si="12"/>
        <v>0</v>
      </c>
      <c r="I744" s="19"/>
    </row>
    <row r="745" spans="1:9" x14ac:dyDescent="0.25">
      <c r="A745" s="16">
        <v>42743</v>
      </c>
      <c r="B745" s="17" t="s">
        <v>1001</v>
      </c>
      <c r="C745" s="18">
        <v>96342</v>
      </c>
      <c r="D745" s="2" t="s">
        <v>83</v>
      </c>
      <c r="E745" s="15">
        <v>5999.6</v>
      </c>
      <c r="F745" s="36" t="s">
        <v>123</v>
      </c>
      <c r="G745" s="15">
        <v>5999.6</v>
      </c>
      <c r="H745" s="15">
        <f t="shared" si="12"/>
        <v>0</v>
      </c>
      <c r="I745" s="19"/>
    </row>
    <row r="746" spans="1:9" x14ac:dyDescent="0.25">
      <c r="A746" s="16">
        <v>42743</v>
      </c>
      <c r="B746" s="17" t="s">
        <v>1002</v>
      </c>
      <c r="C746" s="18">
        <v>96343</v>
      </c>
      <c r="D746" s="2" t="s">
        <v>63</v>
      </c>
      <c r="E746" s="15">
        <v>1064.5</v>
      </c>
      <c r="F746" s="36" t="s">
        <v>493</v>
      </c>
      <c r="G746" s="15">
        <v>1064.5</v>
      </c>
      <c r="H746" s="15">
        <f t="shared" si="12"/>
        <v>0</v>
      </c>
      <c r="I746" s="19"/>
    </row>
    <row r="747" spans="1:9" x14ac:dyDescent="0.25">
      <c r="A747" s="16">
        <v>42743</v>
      </c>
      <c r="B747" s="17" t="s">
        <v>1003</v>
      </c>
      <c r="C747" s="18">
        <v>96344</v>
      </c>
      <c r="D747" s="2" t="s">
        <v>285</v>
      </c>
      <c r="E747" s="15">
        <v>2388</v>
      </c>
      <c r="F747" s="36" t="s">
        <v>224</v>
      </c>
      <c r="G747" s="15">
        <v>2388</v>
      </c>
      <c r="H747" s="15">
        <f t="shared" si="12"/>
        <v>0</v>
      </c>
      <c r="I747" s="19"/>
    </row>
    <row r="748" spans="1:9" x14ac:dyDescent="0.25">
      <c r="A748" s="16">
        <v>42743</v>
      </c>
      <c r="B748" s="17" t="s">
        <v>1004</v>
      </c>
      <c r="C748" s="18">
        <v>96345</v>
      </c>
      <c r="D748" s="2" t="s">
        <v>143</v>
      </c>
      <c r="E748" s="15">
        <v>3351.6</v>
      </c>
      <c r="F748" s="36" t="s">
        <v>493</v>
      </c>
      <c r="G748" s="15">
        <v>3351.6</v>
      </c>
      <c r="H748" s="15">
        <f t="shared" si="12"/>
        <v>0</v>
      </c>
      <c r="I748" s="19"/>
    </row>
    <row r="749" spans="1:9" x14ac:dyDescent="0.25">
      <c r="A749" s="16">
        <v>42743</v>
      </c>
      <c r="B749" s="17" t="s">
        <v>1005</v>
      </c>
      <c r="C749" s="18">
        <v>96346</v>
      </c>
      <c r="D749" s="2" t="s">
        <v>35</v>
      </c>
      <c r="E749" s="15">
        <v>4560</v>
      </c>
      <c r="F749" s="36" t="s">
        <v>275</v>
      </c>
      <c r="G749" s="15">
        <v>4560</v>
      </c>
      <c r="H749" s="15">
        <f t="shared" si="12"/>
        <v>0</v>
      </c>
      <c r="I749" s="19"/>
    </row>
    <row r="750" spans="1:9" x14ac:dyDescent="0.25">
      <c r="A750" s="16">
        <v>42743</v>
      </c>
      <c r="B750" s="17" t="s">
        <v>1006</v>
      </c>
      <c r="C750" s="18">
        <v>96347</v>
      </c>
      <c r="D750" s="2" t="s">
        <v>115</v>
      </c>
      <c r="E750" s="15">
        <v>4142.8999999999996</v>
      </c>
      <c r="F750" s="36" t="s">
        <v>493</v>
      </c>
      <c r="G750" s="15">
        <v>4142.8999999999996</v>
      </c>
      <c r="H750" s="15">
        <f t="shared" si="12"/>
        <v>0</v>
      </c>
      <c r="I750" s="19"/>
    </row>
    <row r="751" spans="1:9" x14ac:dyDescent="0.25">
      <c r="A751" s="16">
        <v>42743</v>
      </c>
      <c r="B751" s="17" t="s">
        <v>1007</v>
      </c>
      <c r="C751" s="18">
        <v>96348</v>
      </c>
      <c r="D751" s="2" t="s">
        <v>77</v>
      </c>
      <c r="E751" s="15">
        <v>371</v>
      </c>
      <c r="F751" s="36" t="s">
        <v>493</v>
      </c>
      <c r="G751" s="15">
        <v>371</v>
      </c>
      <c r="H751" s="15">
        <f t="shared" si="12"/>
        <v>0</v>
      </c>
      <c r="I751" s="19"/>
    </row>
    <row r="752" spans="1:9" x14ac:dyDescent="0.25">
      <c r="A752" s="16">
        <v>42743</v>
      </c>
      <c r="B752" s="17" t="s">
        <v>1008</v>
      </c>
      <c r="C752" s="18">
        <v>96349</v>
      </c>
      <c r="D752" s="2" t="s">
        <v>168</v>
      </c>
      <c r="E752" s="15">
        <v>663</v>
      </c>
      <c r="F752" s="36" t="s">
        <v>493</v>
      </c>
      <c r="G752" s="15">
        <v>663</v>
      </c>
      <c r="H752" s="15">
        <f t="shared" si="12"/>
        <v>0</v>
      </c>
      <c r="I752" s="19"/>
    </row>
    <row r="753" spans="1:9" x14ac:dyDescent="0.25">
      <c r="A753" s="16">
        <v>42743</v>
      </c>
      <c r="B753" s="17" t="s">
        <v>1009</v>
      </c>
      <c r="C753" s="18">
        <v>96350</v>
      </c>
      <c r="D753" s="2" t="s">
        <v>277</v>
      </c>
      <c r="E753" s="15">
        <v>2968.04</v>
      </c>
      <c r="F753" s="36" t="s">
        <v>493</v>
      </c>
      <c r="G753" s="15">
        <v>2968.04</v>
      </c>
      <c r="H753" s="15">
        <f t="shared" si="12"/>
        <v>0</v>
      </c>
      <c r="I753" s="19"/>
    </row>
    <row r="754" spans="1:9" x14ac:dyDescent="0.25">
      <c r="A754" s="16">
        <v>42743</v>
      </c>
      <c r="B754" s="17" t="s">
        <v>1010</v>
      </c>
      <c r="C754" s="18">
        <v>96351</v>
      </c>
      <c r="D754" s="2" t="s">
        <v>492</v>
      </c>
      <c r="E754" s="15">
        <v>5374.8</v>
      </c>
      <c r="F754" s="36" t="s">
        <v>126</v>
      </c>
      <c r="G754" s="15">
        <v>5374.8</v>
      </c>
      <c r="H754" s="15">
        <f t="shared" si="12"/>
        <v>0</v>
      </c>
      <c r="I754" s="19"/>
    </row>
    <row r="755" spans="1:9" x14ac:dyDescent="0.25">
      <c r="A755" s="16">
        <v>42743</v>
      </c>
      <c r="B755" s="17" t="s">
        <v>1011</v>
      </c>
      <c r="C755" s="18">
        <v>96352</v>
      </c>
      <c r="D755" s="2" t="s">
        <v>30</v>
      </c>
      <c r="E755" s="15">
        <v>1083.8</v>
      </c>
      <c r="F755" s="36" t="s">
        <v>493</v>
      </c>
      <c r="G755" s="15">
        <v>1083.8</v>
      </c>
      <c r="H755" s="15">
        <f t="shared" si="12"/>
        <v>0</v>
      </c>
      <c r="I755" s="19"/>
    </row>
    <row r="756" spans="1:9" x14ac:dyDescent="0.25">
      <c r="A756" s="16">
        <v>42743</v>
      </c>
      <c r="B756" s="17" t="s">
        <v>1012</v>
      </c>
      <c r="C756" s="18">
        <v>96353</v>
      </c>
      <c r="D756" s="2" t="s">
        <v>122</v>
      </c>
      <c r="E756" s="15">
        <v>4807</v>
      </c>
      <c r="F756" s="36" t="s">
        <v>123</v>
      </c>
      <c r="G756" s="15">
        <v>4807</v>
      </c>
      <c r="H756" s="15">
        <f t="shared" si="12"/>
        <v>0</v>
      </c>
      <c r="I756" s="19"/>
    </row>
    <row r="757" spans="1:9" x14ac:dyDescent="0.25">
      <c r="A757" s="16">
        <v>42743</v>
      </c>
      <c r="B757" s="17" t="s">
        <v>1013</v>
      </c>
      <c r="C757" s="18">
        <v>96354</v>
      </c>
      <c r="D757" s="2" t="s">
        <v>379</v>
      </c>
      <c r="E757" s="15">
        <v>450.06</v>
      </c>
      <c r="F757" s="36" t="s">
        <v>493</v>
      </c>
      <c r="G757" s="15">
        <v>450.06</v>
      </c>
      <c r="H757" s="15">
        <f t="shared" si="12"/>
        <v>0</v>
      </c>
      <c r="I757" s="19"/>
    </row>
    <row r="758" spans="1:9" x14ac:dyDescent="0.25">
      <c r="A758" s="16">
        <v>42743</v>
      </c>
      <c r="B758" s="17" t="s">
        <v>1014</v>
      </c>
      <c r="C758" s="18">
        <v>96355</v>
      </c>
      <c r="D758" s="2" t="s">
        <v>149</v>
      </c>
      <c r="E758" s="15">
        <v>2108</v>
      </c>
      <c r="F758" s="36" t="s">
        <v>493</v>
      </c>
      <c r="G758" s="15">
        <v>2108</v>
      </c>
      <c r="H758" s="15">
        <f t="shared" si="12"/>
        <v>0</v>
      </c>
      <c r="I758" s="19"/>
    </row>
    <row r="759" spans="1:9" x14ac:dyDescent="0.25">
      <c r="A759" s="16">
        <v>42743</v>
      </c>
      <c r="B759" s="17" t="s">
        <v>1015</v>
      </c>
      <c r="C759" s="18">
        <v>96356</v>
      </c>
      <c r="D759" s="2" t="s">
        <v>149</v>
      </c>
      <c r="E759" s="15">
        <v>1551</v>
      </c>
      <c r="F759" s="36" t="s">
        <v>493</v>
      </c>
      <c r="G759" s="15">
        <v>1551</v>
      </c>
      <c r="H759" s="15">
        <f t="shared" si="12"/>
        <v>0</v>
      </c>
      <c r="I759" s="19"/>
    </row>
    <row r="760" spans="1:9" x14ac:dyDescent="0.25">
      <c r="A760" s="16">
        <v>42743</v>
      </c>
      <c r="B760" s="17" t="s">
        <v>1016</v>
      </c>
      <c r="C760" s="18">
        <v>96357</v>
      </c>
      <c r="D760" s="2" t="s">
        <v>26</v>
      </c>
      <c r="E760" s="15">
        <v>1273</v>
      </c>
      <c r="F760" s="36" t="s">
        <v>493</v>
      </c>
      <c r="G760" s="15">
        <v>1273</v>
      </c>
      <c r="H760" s="15">
        <f t="shared" si="12"/>
        <v>0</v>
      </c>
      <c r="I760" s="19"/>
    </row>
    <row r="761" spans="1:9" x14ac:dyDescent="0.25">
      <c r="A761" s="16">
        <v>42743</v>
      </c>
      <c r="B761" s="17" t="s">
        <v>1017</v>
      </c>
      <c r="C761" s="18">
        <v>96358</v>
      </c>
      <c r="D761" s="2" t="s">
        <v>21</v>
      </c>
      <c r="E761" s="15">
        <v>30475</v>
      </c>
      <c r="F761" s="36" t="s">
        <v>927</v>
      </c>
      <c r="G761" s="15">
        <v>30475</v>
      </c>
      <c r="H761" s="15">
        <f t="shared" si="12"/>
        <v>0</v>
      </c>
      <c r="I761" s="19"/>
    </row>
    <row r="762" spans="1:9" x14ac:dyDescent="0.25">
      <c r="A762" s="16">
        <v>42743</v>
      </c>
      <c r="B762" s="17" t="s">
        <v>1018</v>
      </c>
      <c r="C762" s="18">
        <v>96359</v>
      </c>
      <c r="D762" s="2" t="s">
        <v>627</v>
      </c>
      <c r="E762" s="15">
        <v>440.7</v>
      </c>
      <c r="F762" s="36" t="s">
        <v>493</v>
      </c>
      <c r="G762" s="15">
        <v>440.7</v>
      </c>
      <c r="H762" s="15">
        <f t="shared" si="12"/>
        <v>0</v>
      </c>
      <c r="I762" s="19"/>
    </row>
    <row r="763" spans="1:9" x14ac:dyDescent="0.25">
      <c r="A763" s="16">
        <v>42743</v>
      </c>
      <c r="B763" s="17" t="s">
        <v>1019</v>
      </c>
      <c r="C763" s="18">
        <v>96360</v>
      </c>
      <c r="D763" s="13" t="s">
        <v>222</v>
      </c>
      <c r="E763" s="14">
        <v>0</v>
      </c>
      <c r="F763" s="123" t="s">
        <v>95</v>
      </c>
      <c r="G763" s="14">
        <v>0</v>
      </c>
      <c r="H763" s="14">
        <f t="shared" si="12"/>
        <v>0</v>
      </c>
      <c r="I763" s="19"/>
    </row>
    <row r="764" spans="1:9" x14ac:dyDescent="0.25">
      <c r="A764" s="16">
        <v>42743</v>
      </c>
      <c r="B764" s="17" t="s">
        <v>1020</v>
      </c>
      <c r="C764" s="18">
        <v>96361</v>
      </c>
      <c r="D764" s="2" t="s">
        <v>236</v>
      </c>
      <c r="E764" s="15">
        <v>34180.97</v>
      </c>
      <c r="F764" s="36" t="s">
        <v>237</v>
      </c>
      <c r="G764" s="15">
        <v>34180.97</v>
      </c>
      <c r="H764" s="15">
        <f t="shared" si="12"/>
        <v>0</v>
      </c>
      <c r="I764" s="19"/>
    </row>
    <row r="765" spans="1:9" x14ac:dyDescent="0.25">
      <c r="A765" s="16">
        <v>42743</v>
      </c>
      <c r="B765" s="17" t="s">
        <v>1021</v>
      </c>
      <c r="C765" s="18">
        <v>96362</v>
      </c>
      <c r="D765" s="2" t="s">
        <v>370</v>
      </c>
      <c r="E765" s="15">
        <v>440.8</v>
      </c>
      <c r="F765" s="36" t="s">
        <v>493</v>
      </c>
      <c r="G765" s="15">
        <v>440.8</v>
      </c>
      <c r="H765" s="15">
        <f t="shared" si="12"/>
        <v>0</v>
      </c>
      <c r="I765" s="19"/>
    </row>
    <row r="766" spans="1:9" x14ac:dyDescent="0.25">
      <c r="A766" s="16">
        <v>42743</v>
      </c>
      <c r="B766" s="17" t="s">
        <v>1022</v>
      </c>
      <c r="C766" s="18">
        <v>96363</v>
      </c>
      <c r="D766" s="2" t="s">
        <v>211</v>
      </c>
      <c r="E766" s="15">
        <v>3168.8</v>
      </c>
      <c r="F766" s="36" t="s">
        <v>493</v>
      </c>
      <c r="G766" s="15">
        <v>3168.8</v>
      </c>
      <c r="H766" s="15">
        <f t="shared" si="12"/>
        <v>0</v>
      </c>
      <c r="I766" s="19"/>
    </row>
    <row r="767" spans="1:9" x14ac:dyDescent="0.25">
      <c r="A767" s="16">
        <v>42743</v>
      </c>
      <c r="B767" s="17" t="s">
        <v>1023</v>
      </c>
      <c r="C767" s="18">
        <v>96364</v>
      </c>
      <c r="D767" s="2" t="s">
        <v>627</v>
      </c>
      <c r="E767" s="15">
        <v>1337.7</v>
      </c>
      <c r="F767" s="36" t="s">
        <v>493</v>
      </c>
      <c r="G767" s="15">
        <v>1337.7</v>
      </c>
      <c r="H767" s="15">
        <f t="shared" si="12"/>
        <v>0</v>
      </c>
      <c r="I767" s="19"/>
    </row>
    <row r="768" spans="1:9" x14ac:dyDescent="0.25">
      <c r="A768" s="16">
        <v>42743</v>
      </c>
      <c r="B768" s="17" t="s">
        <v>1024</v>
      </c>
      <c r="C768" s="18">
        <v>96365</v>
      </c>
      <c r="D768" s="2" t="s">
        <v>10</v>
      </c>
      <c r="E768" s="15">
        <v>8707.6</v>
      </c>
      <c r="F768" s="36" t="s">
        <v>275</v>
      </c>
      <c r="G768" s="15">
        <v>8707.6</v>
      </c>
      <c r="H768" s="15">
        <f t="shared" si="12"/>
        <v>0</v>
      </c>
      <c r="I768" s="19"/>
    </row>
    <row r="769" spans="1:9" x14ac:dyDescent="0.25">
      <c r="A769" s="16">
        <v>42743</v>
      </c>
      <c r="B769" s="17" t="s">
        <v>1025</v>
      </c>
      <c r="C769" s="18">
        <v>96366</v>
      </c>
      <c r="D769" s="2" t="s">
        <v>30</v>
      </c>
      <c r="E769" s="15">
        <v>828</v>
      </c>
      <c r="F769" s="36" t="s">
        <v>493</v>
      </c>
      <c r="G769" s="15">
        <v>828</v>
      </c>
      <c r="H769" s="15">
        <f t="shared" si="12"/>
        <v>0</v>
      </c>
      <c r="I769" s="19"/>
    </row>
    <row r="770" spans="1:9" x14ac:dyDescent="0.25">
      <c r="A770" s="16">
        <v>42743</v>
      </c>
      <c r="B770" s="17" t="s">
        <v>1026</v>
      </c>
      <c r="C770" s="18">
        <v>96367</v>
      </c>
      <c r="D770" s="2" t="s">
        <v>208</v>
      </c>
      <c r="E770" s="15">
        <v>10115.92</v>
      </c>
      <c r="F770" s="124" t="s">
        <v>237</v>
      </c>
      <c r="G770" s="20">
        <f>8700+1415.92</f>
        <v>10115.92</v>
      </c>
      <c r="H770" s="20">
        <f t="shared" si="12"/>
        <v>0</v>
      </c>
      <c r="I770" s="19"/>
    </row>
    <row r="771" spans="1:9" x14ac:dyDescent="0.25">
      <c r="A771" s="16">
        <v>42743</v>
      </c>
      <c r="B771" s="17" t="s">
        <v>1027</v>
      </c>
      <c r="C771" s="18">
        <v>96368</v>
      </c>
      <c r="D771" s="2" t="s">
        <v>10</v>
      </c>
      <c r="E771" s="15">
        <v>342930.8</v>
      </c>
      <c r="F771" s="125" t="s">
        <v>1028</v>
      </c>
      <c r="G771" s="20">
        <f>114444.6+228486.2</f>
        <v>342930.80000000005</v>
      </c>
      <c r="H771" s="20">
        <f t="shared" si="12"/>
        <v>0</v>
      </c>
      <c r="I771" s="19"/>
    </row>
    <row r="772" spans="1:9" x14ac:dyDescent="0.25">
      <c r="A772" s="16">
        <v>42743</v>
      </c>
      <c r="B772" s="17" t="s">
        <v>1029</v>
      </c>
      <c r="C772" s="18">
        <v>96369</v>
      </c>
      <c r="D772" s="2" t="s">
        <v>26</v>
      </c>
      <c r="E772" s="15">
        <v>847.4</v>
      </c>
      <c r="F772" s="36" t="s">
        <v>493</v>
      </c>
      <c r="G772" s="15">
        <v>847.4</v>
      </c>
      <c r="H772" s="15">
        <f t="shared" si="12"/>
        <v>0</v>
      </c>
      <c r="I772" s="19"/>
    </row>
    <row r="773" spans="1:9" x14ac:dyDescent="0.25">
      <c r="A773" s="16">
        <v>42743</v>
      </c>
      <c r="B773" s="17" t="s">
        <v>1030</v>
      </c>
      <c r="C773" s="18">
        <v>96370</v>
      </c>
      <c r="D773" s="2" t="s">
        <v>281</v>
      </c>
      <c r="E773" s="15">
        <v>1870</v>
      </c>
      <c r="F773" s="36" t="s">
        <v>107</v>
      </c>
      <c r="G773" s="15">
        <v>1870</v>
      </c>
      <c r="H773" s="15">
        <f t="shared" si="12"/>
        <v>0</v>
      </c>
      <c r="I773" s="19"/>
    </row>
    <row r="774" spans="1:9" x14ac:dyDescent="0.25">
      <c r="A774" s="16">
        <v>42743</v>
      </c>
      <c r="B774" s="17" t="s">
        <v>1031</v>
      </c>
      <c r="C774" s="18">
        <v>96371</v>
      </c>
      <c r="D774" s="2" t="s">
        <v>422</v>
      </c>
      <c r="E774" s="15">
        <v>1058.4000000000001</v>
      </c>
      <c r="F774" s="36" t="s">
        <v>123</v>
      </c>
      <c r="G774" s="15">
        <v>1058.4000000000001</v>
      </c>
      <c r="H774" s="15">
        <f t="shared" ref="H774:H837" si="13">E774-G774</f>
        <v>0</v>
      </c>
      <c r="I774" s="19"/>
    </row>
    <row r="775" spans="1:9" x14ac:dyDescent="0.25">
      <c r="A775" s="16">
        <v>42743</v>
      </c>
      <c r="B775" s="17" t="s">
        <v>1032</v>
      </c>
      <c r="C775" s="18">
        <v>96372</v>
      </c>
      <c r="D775" s="13" t="s">
        <v>281</v>
      </c>
      <c r="E775" s="14">
        <v>0</v>
      </c>
      <c r="F775" s="123" t="s">
        <v>95</v>
      </c>
      <c r="G775" s="14">
        <v>0</v>
      </c>
      <c r="H775" s="14">
        <f t="shared" si="13"/>
        <v>0</v>
      </c>
      <c r="I775" s="19"/>
    </row>
    <row r="776" spans="1:9" x14ac:dyDescent="0.25">
      <c r="A776" s="16">
        <v>42743</v>
      </c>
      <c r="B776" s="17" t="s">
        <v>1033</v>
      </c>
      <c r="C776" s="18">
        <v>96373</v>
      </c>
      <c r="D776" s="2" t="s">
        <v>12</v>
      </c>
      <c r="E776" s="15">
        <v>2600.4</v>
      </c>
      <c r="F776" s="36" t="s">
        <v>123</v>
      </c>
      <c r="G776" s="15">
        <v>2600.4</v>
      </c>
      <c r="H776" s="15">
        <f t="shared" si="13"/>
        <v>0</v>
      </c>
      <c r="I776" s="19"/>
    </row>
    <row r="777" spans="1:9" x14ac:dyDescent="0.25">
      <c r="A777" s="16">
        <v>42743</v>
      </c>
      <c r="B777" s="17" t="s">
        <v>1034</v>
      </c>
      <c r="C777" s="18">
        <v>96374</v>
      </c>
      <c r="D777" s="2" t="s">
        <v>10</v>
      </c>
      <c r="E777" s="15">
        <v>139437.1</v>
      </c>
      <c r="F777" s="36" t="s">
        <v>126</v>
      </c>
      <c r="G777" s="15">
        <v>139437.1</v>
      </c>
      <c r="H777" s="15">
        <f t="shared" si="13"/>
        <v>0</v>
      </c>
      <c r="I777" s="19"/>
    </row>
    <row r="778" spans="1:9" x14ac:dyDescent="0.25">
      <c r="A778" s="16">
        <v>42744</v>
      </c>
      <c r="B778" s="17" t="s">
        <v>1035</v>
      </c>
      <c r="C778" s="18">
        <v>96375</v>
      </c>
      <c r="D778" s="2" t="s">
        <v>374</v>
      </c>
      <c r="E778" s="15">
        <v>2352</v>
      </c>
      <c r="F778" s="36" t="s">
        <v>123</v>
      </c>
      <c r="G778" s="15">
        <v>2352</v>
      </c>
      <c r="H778" s="15">
        <f t="shared" si="13"/>
        <v>0</v>
      </c>
      <c r="I778" s="19"/>
    </row>
    <row r="779" spans="1:9" x14ac:dyDescent="0.25">
      <c r="A779" s="16">
        <v>42744</v>
      </c>
      <c r="B779" s="17" t="s">
        <v>1036</v>
      </c>
      <c r="C779" s="18">
        <v>96376</v>
      </c>
      <c r="D779" s="2" t="s">
        <v>231</v>
      </c>
      <c r="E779" s="15">
        <v>7886.5</v>
      </c>
      <c r="F779" s="36" t="s">
        <v>107</v>
      </c>
      <c r="G779" s="15">
        <v>7886.5</v>
      </c>
      <c r="H779" s="15">
        <f t="shared" si="13"/>
        <v>0</v>
      </c>
      <c r="I779" s="19"/>
    </row>
    <row r="780" spans="1:9" x14ac:dyDescent="0.25">
      <c r="A780" s="16">
        <v>42744</v>
      </c>
      <c r="B780" s="17" t="s">
        <v>1037</v>
      </c>
      <c r="C780" s="18">
        <v>96377</v>
      </c>
      <c r="D780" s="2" t="s">
        <v>231</v>
      </c>
      <c r="E780" s="15">
        <v>38220.800000000003</v>
      </c>
      <c r="F780" s="36" t="s">
        <v>107</v>
      </c>
      <c r="G780" s="15">
        <v>38220.800000000003</v>
      </c>
      <c r="H780" s="15">
        <f t="shared" si="13"/>
        <v>0</v>
      </c>
      <c r="I780" s="19"/>
    </row>
    <row r="781" spans="1:9" x14ac:dyDescent="0.25">
      <c r="A781" s="16">
        <v>42744</v>
      </c>
      <c r="B781" s="17" t="s">
        <v>1038</v>
      </c>
      <c r="C781" s="18">
        <v>96378</v>
      </c>
      <c r="D781" s="2" t="s">
        <v>26</v>
      </c>
      <c r="E781" s="15">
        <v>25210.2</v>
      </c>
      <c r="F781" s="36" t="s">
        <v>123</v>
      </c>
      <c r="G781" s="15">
        <v>25210.2</v>
      </c>
      <c r="H781" s="15">
        <f t="shared" si="13"/>
        <v>0</v>
      </c>
      <c r="I781" s="19"/>
    </row>
    <row r="782" spans="1:9" x14ac:dyDescent="0.25">
      <c r="A782" s="16">
        <v>42744</v>
      </c>
      <c r="B782" s="17" t="s">
        <v>1039</v>
      </c>
      <c r="C782" s="18">
        <v>96379</v>
      </c>
      <c r="D782" s="2" t="s">
        <v>30</v>
      </c>
      <c r="E782" s="15">
        <v>10609.6</v>
      </c>
      <c r="F782" s="124" t="s">
        <v>107</v>
      </c>
      <c r="G782" s="20">
        <f>9800+809.6</f>
        <v>10609.6</v>
      </c>
      <c r="H782" s="20">
        <f t="shared" si="13"/>
        <v>0</v>
      </c>
      <c r="I782" s="19"/>
    </row>
    <row r="783" spans="1:9" x14ac:dyDescent="0.25">
      <c r="A783" s="16">
        <v>42744</v>
      </c>
      <c r="B783" s="17" t="s">
        <v>1040</v>
      </c>
      <c r="C783" s="18">
        <v>96380</v>
      </c>
      <c r="D783" s="2" t="s">
        <v>55</v>
      </c>
      <c r="E783" s="15">
        <v>12452.1</v>
      </c>
      <c r="F783" s="36" t="s">
        <v>123</v>
      </c>
      <c r="G783" s="15">
        <v>12452.1</v>
      </c>
      <c r="H783" s="15">
        <f t="shared" si="13"/>
        <v>0</v>
      </c>
      <c r="I783" s="19"/>
    </row>
    <row r="784" spans="1:9" x14ac:dyDescent="0.25">
      <c r="A784" s="16">
        <v>42744</v>
      </c>
      <c r="B784" s="17" t="s">
        <v>1041</v>
      </c>
      <c r="C784" s="18">
        <v>96381</v>
      </c>
      <c r="D784" s="2" t="s">
        <v>30</v>
      </c>
      <c r="E784" s="15">
        <v>3718.4</v>
      </c>
      <c r="F784" s="36" t="s">
        <v>123</v>
      </c>
      <c r="G784" s="15">
        <v>3718.4</v>
      </c>
      <c r="H784" s="15">
        <f t="shared" si="13"/>
        <v>0</v>
      </c>
      <c r="I784" s="19"/>
    </row>
    <row r="785" spans="1:9" x14ac:dyDescent="0.25">
      <c r="A785" s="16">
        <v>42744</v>
      </c>
      <c r="B785" s="17" t="s">
        <v>1042</v>
      </c>
      <c r="C785" s="18">
        <v>96382</v>
      </c>
      <c r="D785" s="2" t="s">
        <v>111</v>
      </c>
      <c r="E785" s="15">
        <v>2796.3</v>
      </c>
      <c r="F785" s="36" t="s">
        <v>123</v>
      </c>
      <c r="G785" s="15">
        <v>2796.3</v>
      </c>
      <c r="H785" s="15">
        <f t="shared" si="13"/>
        <v>0</v>
      </c>
      <c r="I785" s="19"/>
    </row>
    <row r="786" spans="1:9" x14ac:dyDescent="0.25">
      <c r="A786" s="16">
        <v>42744</v>
      </c>
      <c r="B786" s="17" t="s">
        <v>1043</v>
      </c>
      <c r="C786" s="18">
        <v>96383</v>
      </c>
      <c r="D786" s="2" t="s">
        <v>974</v>
      </c>
      <c r="E786" s="15">
        <v>9631.6</v>
      </c>
      <c r="F786" s="36" t="s">
        <v>123</v>
      </c>
      <c r="G786" s="15">
        <v>9631.6</v>
      </c>
      <c r="H786" s="15">
        <f t="shared" si="13"/>
        <v>0</v>
      </c>
      <c r="I786" s="19"/>
    </row>
    <row r="787" spans="1:9" x14ac:dyDescent="0.25">
      <c r="A787" s="16">
        <v>42744</v>
      </c>
      <c r="B787" s="17" t="s">
        <v>1044</v>
      </c>
      <c r="C787" s="18">
        <v>96384</v>
      </c>
      <c r="D787" s="2" t="s">
        <v>143</v>
      </c>
      <c r="E787" s="15">
        <v>6862.8</v>
      </c>
      <c r="F787" s="36" t="s">
        <v>123</v>
      </c>
      <c r="G787" s="15">
        <v>6862.8</v>
      </c>
      <c r="H787" s="15">
        <f t="shared" si="13"/>
        <v>0</v>
      </c>
      <c r="I787" s="19"/>
    </row>
    <row r="788" spans="1:9" x14ac:dyDescent="0.25">
      <c r="A788" s="16">
        <v>42744</v>
      </c>
      <c r="B788" s="17" t="s">
        <v>1045</v>
      </c>
      <c r="C788" s="18">
        <v>96385</v>
      </c>
      <c r="D788" s="13" t="s">
        <v>143</v>
      </c>
      <c r="E788" s="14">
        <v>0</v>
      </c>
      <c r="F788" s="123" t="s">
        <v>95</v>
      </c>
      <c r="G788" s="14">
        <v>0</v>
      </c>
      <c r="H788" s="14">
        <f t="shared" si="13"/>
        <v>0</v>
      </c>
      <c r="I788" s="19"/>
    </row>
    <row r="789" spans="1:9" x14ac:dyDescent="0.25">
      <c r="A789" s="16">
        <v>42744</v>
      </c>
      <c r="B789" s="17" t="s">
        <v>1046</v>
      </c>
      <c r="C789" s="18">
        <v>96386</v>
      </c>
      <c r="D789" s="2" t="s">
        <v>143</v>
      </c>
      <c r="E789" s="15">
        <v>6727.8</v>
      </c>
      <c r="F789" s="36" t="s">
        <v>123</v>
      </c>
      <c r="G789" s="15">
        <v>6727.8</v>
      </c>
      <c r="H789" s="15">
        <f t="shared" si="13"/>
        <v>0</v>
      </c>
      <c r="I789" s="19"/>
    </row>
    <row r="790" spans="1:9" x14ac:dyDescent="0.25">
      <c r="A790" s="16">
        <v>42744</v>
      </c>
      <c r="B790" s="17" t="s">
        <v>1047</v>
      </c>
      <c r="C790" s="18">
        <v>96387</v>
      </c>
      <c r="D790" s="2" t="s">
        <v>28</v>
      </c>
      <c r="E790" s="15">
        <v>7650</v>
      </c>
      <c r="F790" s="36" t="s">
        <v>123</v>
      </c>
      <c r="G790" s="15">
        <v>7650</v>
      </c>
      <c r="H790" s="15">
        <f t="shared" si="13"/>
        <v>0</v>
      </c>
      <c r="I790" s="19"/>
    </row>
    <row r="791" spans="1:9" x14ac:dyDescent="0.25">
      <c r="A791" s="16">
        <v>42744</v>
      </c>
      <c r="B791" s="17" t="s">
        <v>1048</v>
      </c>
      <c r="C791" s="18">
        <v>96388</v>
      </c>
      <c r="D791" s="2" t="s">
        <v>32</v>
      </c>
      <c r="E791" s="15">
        <v>7533</v>
      </c>
      <c r="F791" s="36" t="s">
        <v>129</v>
      </c>
      <c r="G791" s="15">
        <v>7533</v>
      </c>
      <c r="H791" s="15">
        <f t="shared" si="13"/>
        <v>0</v>
      </c>
      <c r="I791" s="19"/>
    </row>
    <row r="792" spans="1:9" x14ac:dyDescent="0.25">
      <c r="A792" s="16">
        <v>42744</v>
      </c>
      <c r="B792" s="17" t="s">
        <v>1049</v>
      </c>
      <c r="C792" s="18">
        <v>96389</v>
      </c>
      <c r="D792" s="2" t="s">
        <v>38</v>
      </c>
      <c r="E792" s="15">
        <v>3840.9</v>
      </c>
      <c r="F792" s="124" t="s">
        <v>1050</v>
      </c>
      <c r="G792" s="20">
        <f>1500+2340.9</f>
        <v>3840.9</v>
      </c>
      <c r="H792" s="20">
        <f t="shared" si="13"/>
        <v>0</v>
      </c>
      <c r="I792" s="19"/>
    </row>
    <row r="793" spans="1:9" x14ac:dyDescent="0.25">
      <c r="A793" s="16">
        <v>42744</v>
      </c>
      <c r="B793" s="17" t="s">
        <v>1051</v>
      </c>
      <c r="C793" s="18">
        <v>96390</v>
      </c>
      <c r="D793" s="2" t="s">
        <v>71</v>
      </c>
      <c r="E793" s="15">
        <v>2520</v>
      </c>
      <c r="F793" s="36" t="s">
        <v>123</v>
      </c>
      <c r="G793" s="15">
        <v>2520</v>
      </c>
      <c r="H793" s="15">
        <f t="shared" si="13"/>
        <v>0</v>
      </c>
      <c r="I793" s="19"/>
    </row>
    <row r="794" spans="1:9" x14ac:dyDescent="0.25">
      <c r="A794" s="16">
        <v>42744</v>
      </c>
      <c r="B794" s="17" t="s">
        <v>1052</v>
      </c>
      <c r="C794" s="18">
        <v>96391</v>
      </c>
      <c r="D794" s="2" t="s">
        <v>17</v>
      </c>
      <c r="E794" s="15">
        <v>2500</v>
      </c>
      <c r="F794" s="36" t="s">
        <v>123</v>
      </c>
      <c r="G794" s="15">
        <v>2500</v>
      </c>
      <c r="H794" s="15">
        <f t="shared" si="13"/>
        <v>0</v>
      </c>
      <c r="I794" s="19"/>
    </row>
    <row r="795" spans="1:9" x14ac:dyDescent="0.25">
      <c r="A795" s="16">
        <v>42744</v>
      </c>
      <c r="B795" s="17" t="s">
        <v>1053</v>
      </c>
      <c r="C795" s="18">
        <v>96392</v>
      </c>
      <c r="D795" s="2" t="s">
        <v>386</v>
      </c>
      <c r="E795" s="15">
        <v>4641</v>
      </c>
      <c r="F795" s="36" t="s">
        <v>123</v>
      </c>
      <c r="G795" s="15">
        <v>4641</v>
      </c>
      <c r="H795" s="15">
        <f t="shared" si="13"/>
        <v>0</v>
      </c>
      <c r="I795" s="19"/>
    </row>
    <row r="796" spans="1:9" x14ac:dyDescent="0.25">
      <c r="A796" s="16">
        <v>42744</v>
      </c>
      <c r="B796" s="17" t="s">
        <v>1054</v>
      </c>
      <c r="C796" s="18">
        <v>96393</v>
      </c>
      <c r="D796" s="2" t="s">
        <v>69</v>
      </c>
      <c r="E796" s="15">
        <v>3431.4</v>
      </c>
      <c r="F796" s="36" t="s">
        <v>107</v>
      </c>
      <c r="G796" s="15">
        <v>3431.4</v>
      </c>
      <c r="H796" s="15">
        <f t="shared" si="13"/>
        <v>0</v>
      </c>
      <c r="I796" s="19"/>
    </row>
    <row r="797" spans="1:9" x14ac:dyDescent="0.25">
      <c r="A797" s="16">
        <v>42744</v>
      </c>
      <c r="B797" s="17" t="s">
        <v>1055</v>
      </c>
      <c r="C797" s="18">
        <v>96394</v>
      </c>
      <c r="D797" s="2" t="s">
        <v>19</v>
      </c>
      <c r="E797" s="15">
        <v>1750</v>
      </c>
      <c r="F797" s="36" t="s">
        <v>107</v>
      </c>
      <c r="G797" s="15">
        <v>1750</v>
      </c>
      <c r="H797" s="15">
        <f t="shared" si="13"/>
        <v>0</v>
      </c>
      <c r="I797" s="19"/>
    </row>
    <row r="798" spans="1:9" x14ac:dyDescent="0.25">
      <c r="A798" s="16">
        <v>42744</v>
      </c>
      <c r="B798" s="17" t="s">
        <v>1056</v>
      </c>
      <c r="C798" s="18">
        <v>96395</v>
      </c>
      <c r="D798" s="2" t="s">
        <v>21</v>
      </c>
      <c r="E798" s="15">
        <v>54470</v>
      </c>
      <c r="F798" s="36" t="s">
        <v>927</v>
      </c>
      <c r="G798" s="15">
        <v>54470</v>
      </c>
      <c r="H798" s="15">
        <f t="shared" si="13"/>
        <v>0</v>
      </c>
      <c r="I798" s="19"/>
    </row>
    <row r="799" spans="1:9" x14ac:dyDescent="0.25">
      <c r="A799" s="16">
        <v>42744</v>
      </c>
      <c r="B799" s="17" t="s">
        <v>1057</v>
      </c>
      <c r="C799" s="18">
        <v>96396</v>
      </c>
      <c r="D799" s="2" t="s">
        <v>47</v>
      </c>
      <c r="E799" s="15">
        <v>4025.2</v>
      </c>
      <c r="F799" s="36" t="s">
        <v>123</v>
      </c>
      <c r="G799" s="15">
        <v>4025.2</v>
      </c>
      <c r="H799" s="15">
        <f t="shared" si="13"/>
        <v>0</v>
      </c>
      <c r="I799" s="19"/>
    </row>
    <row r="800" spans="1:9" x14ac:dyDescent="0.25">
      <c r="A800" s="16">
        <v>42744</v>
      </c>
      <c r="B800" s="17" t="s">
        <v>1058</v>
      </c>
      <c r="C800" s="18">
        <v>96397</v>
      </c>
      <c r="D800" s="2" t="s">
        <v>14</v>
      </c>
      <c r="E800" s="15">
        <v>17032.3</v>
      </c>
      <c r="F800" s="36" t="s">
        <v>123</v>
      </c>
      <c r="G800" s="15">
        <v>17032.3</v>
      </c>
      <c r="H800" s="15">
        <f t="shared" si="13"/>
        <v>0</v>
      </c>
      <c r="I800" s="19"/>
    </row>
    <row r="801" spans="1:9" x14ac:dyDescent="0.25">
      <c r="A801" s="16">
        <v>42744</v>
      </c>
      <c r="B801" s="17" t="s">
        <v>1059</v>
      </c>
      <c r="C801" s="18">
        <v>96398</v>
      </c>
      <c r="D801" s="2" t="s">
        <v>49</v>
      </c>
      <c r="E801" s="15">
        <v>16118.4</v>
      </c>
      <c r="F801" s="36" t="s">
        <v>275</v>
      </c>
      <c r="G801" s="15">
        <v>16118.4</v>
      </c>
      <c r="H801" s="15">
        <f t="shared" si="13"/>
        <v>0</v>
      </c>
      <c r="I801" s="19"/>
    </row>
    <row r="802" spans="1:9" x14ac:dyDescent="0.25">
      <c r="A802" s="16">
        <v>42744</v>
      </c>
      <c r="B802" s="17" t="s">
        <v>1060</v>
      </c>
      <c r="C802" s="18">
        <v>96399</v>
      </c>
      <c r="D802" s="2" t="s">
        <v>24</v>
      </c>
      <c r="E802" s="15">
        <v>2407.1999999999998</v>
      </c>
      <c r="F802" s="36" t="s">
        <v>123</v>
      </c>
      <c r="G802" s="15">
        <v>2407.1999999999998</v>
      </c>
      <c r="H802" s="15">
        <f t="shared" si="13"/>
        <v>0</v>
      </c>
      <c r="I802" s="19"/>
    </row>
    <row r="803" spans="1:9" x14ac:dyDescent="0.25">
      <c r="A803" s="16">
        <v>42744</v>
      </c>
      <c r="B803" s="17" t="s">
        <v>1061</v>
      </c>
      <c r="C803" s="18">
        <v>96400</v>
      </c>
      <c r="D803" s="2" t="s">
        <v>1062</v>
      </c>
      <c r="E803" s="15">
        <v>6664.2</v>
      </c>
      <c r="F803" s="36" t="s">
        <v>123</v>
      </c>
      <c r="G803" s="15">
        <v>6664.2</v>
      </c>
      <c r="H803" s="15">
        <f t="shared" si="13"/>
        <v>0</v>
      </c>
      <c r="I803" s="19"/>
    </row>
    <row r="804" spans="1:9" x14ac:dyDescent="0.25">
      <c r="A804" s="16">
        <v>42744</v>
      </c>
      <c r="B804" s="17" t="s">
        <v>1063</v>
      </c>
      <c r="C804" s="18">
        <v>96401</v>
      </c>
      <c r="D804" s="2" t="s">
        <v>35</v>
      </c>
      <c r="E804" s="15">
        <v>12226.6</v>
      </c>
      <c r="F804" s="36" t="s">
        <v>275</v>
      </c>
      <c r="G804" s="15">
        <v>12226.6</v>
      </c>
      <c r="H804" s="15">
        <f t="shared" si="13"/>
        <v>0</v>
      </c>
      <c r="I804" s="19"/>
    </row>
    <row r="805" spans="1:9" x14ac:dyDescent="0.25">
      <c r="A805" s="16">
        <v>42744</v>
      </c>
      <c r="B805" s="17" t="s">
        <v>1064</v>
      </c>
      <c r="C805" s="18">
        <v>96402</v>
      </c>
      <c r="D805" s="2" t="s">
        <v>576</v>
      </c>
      <c r="E805" s="15">
        <v>8920.4</v>
      </c>
      <c r="F805" s="36" t="s">
        <v>107</v>
      </c>
      <c r="G805" s="15">
        <v>8920.4</v>
      </c>
      <c r="H805" s="15">
        <f t="shared" si="13"/>
        <v>0</v>
      </c>
      <c r="I805" s="19"/>
    </row>
    <row r="806" spans="1:9" x14ac:dyDescent="0.25">
      <c r="A806" s="16">
        <v>42744</v>
      </c>
      <c r="B806" s="17" t="s">
        <v>1065</v>
      </c>
      <c r="C806" s="18">
        <v>96403</v>
      </c>
      <c r="D806" s="2" t="s">
        <v>253</v>
      </c>
      <c r="E806" s="15">
        <v>7648.8</v>
      </c>
      <c r="F806" s="36" t="s">
        <v>237</v>
      </c>
      <c r="G806" s="15">
        <v>7648.8</v>
      </c>
      <c r="H806" s="15">
        <f t="shared" si="13"/>
        <v>0</v>
      </c>
      <c r="I806" s="19"/>
    </row>
    <row r="807" spans="1:9" x14ac:dyDescent="0.25">
      <c r="A807" s="16">
        <v>42744</v>
      </c>
      <c r="B807" s="17" t="s">
        <v>1066</v>
      </c>
      <c r="C807" s="18">
        <v>96404</v>
      </c>
      <c r="D807" s="2" t="s">
        <v>236</v>
      </c>
      <c r="E807" s="15">
        <v>141113.29999999999</v>
      </c>
      <c r="F807" s="36" t="s">
        <v>237</v>
      </c>
      <c r="G807" s="15">
        <v>141113.29999999999</v>
      </c>
      <c r="H807" s="15">
        <f t="shared" si="13"/>
        <v>0</v>
      </c>
      <c r="I807" s="19"/>
    </row>
    <row r="808" spans="1:9" x14ac:dyDescent="0.25">
      <c r="A808" s="16">
        <v>42744</v>
      </c>
      <c r="B808" s="17" t="s">
        <v>1067</v>
      </c>
      <c r="C808" s="18">
        <v>96405</v>
      </c>
      <c r="D808" s="2" t="s">
        <v>43</v>
      </c>
      <c r="E808" s="15">
        <v>6316.2</v>
      </c>
      <c r="F808" s="124" t="s">
        <v>1068</v>
      </c>
      <c r="G808" s="20">
        <f>4000+2316.2</f>
        <v>6316.2</v>
      </c>
      <c r="H808" s="20">
        <f t="shared" si="13"/>
        <v>0</v>
      </c>
      <c r="I808" s="19"/>
    </row>
    <row r="809" spans="1:9" x14ac:dyDescent="0.25">
      <c r="A809" s="16">
        <v>42744</v>
      </c>
      <c r="B809" s="17" t="s">
        <v>1069</v>
      </c>
      <c r="C809" s="18">
        <v>96406</v>
      </c>
      <c r="D809" s="2" t="s">
        <v>428</v>
      </c>
      <c r="E809" s="15">
        <v>6274.6</v>
      </c>
      <c r="F809" s="36" t="s">
        <v>173</v>
      </c>
      <c r="G809" s="15">
        <v>6274.6</v>
      </c>
      <c r="H809" s="15">
        <f t="shared" si="13"/>
        <v>0</v>
      </c>
      <c r="I809" s="19"/>
    </row>
    <row r="810" spans="1:9" x14ac:dyDescent="0.25">
      <c r="A810" s="16">
        <v>42744</v>
      </c>
      <c r="B810" s="17" t="s">
        <v>1070</v>
      </c>
      <c r="C810" s="18">
        <v>96407</v>
      </c>
      <c r="D810" s="2" t="s">
        <v>250</v>
      </c>
      <c r="E810" s="15">
        <v>4645.8</v>
      </c>
      <c r="F810" s="36" t="s">
        <v>107</v>
      </c>
      <c r="G810" s="15">
        <v>4645.8</v>
      </c>
      <c r="H810" s="15">
        <f t="shared" si="13"/>
        <v>0</v>
      </c>
      <c r="I810" s="19"/>
    </row>
    <row r="811" spans="1:9" x14ac:dyDescent="0.25">
      <c r="A811" s="16">
        <v>42744</v>
      </c>
      <c r="B811" s="17" t="s">
        <v>1071</v>
      </c>
      <c r="C811" s="18">
        <v>96408</v>
      </c>
      <c r="D811" s="2" t="s">
        <v>79</v>
      </c>
      <c r="E811" s="15">
        <v>1468.8</v>
      </c>
      <c r="F811" s="36" t="s">
        <v>123</v>
      </c>
      <c r="G811" s="15">
        <v>1468.8</v>
      </c>
      <c r="H811" s="15">
        <f t="shared" si="13"/>
        <v>0</v>
      </c>
      <c r="I811" s="19"/>
    </row>
    <row r="812" spans="1:9" x14ac:dyDescent="0.25">
      <c r="A812" s="16">
        <v>42744</v>
      </c>
      <c r="B812" s="17" t="s">
        <v>1072</v>
      </c>
      <c r="C812" s="18">
        <v>96409</v>
      </c>
      <c r="D812" s="2" t="s">
        <v>67</v>
      </c>
      <c r="E812" s="15">
        <v>27338.400000000001</v>
      </c>
      <c r="F812" s="36" t="s">
        <v>275</v>
      </c>
      <c r="G812" s="15">
        <v>27338.400000000001</v>
      </c>
      <c r="H812" s="15">
        <f t="shared" si="13"/>
        <v>0</v>
      </c>
      <c r="I812" s="19"/>
    </row>
    <row r="813" spans="1:9" x14ac:dyDescent="0.25">
      <c r="A813" s="16">
        <v>42744</v>
      </c>
      <c r="B813" s="17" t="s">
        <v>1073</v>
      </c>
      <c r="C813" s="18">
        <v>96410</v>
      </c>
      <c r="D813" s="2" t="s">
        <v>40</v>
      </c>
      <c r="E813" s="15">
        <v>1770.8</v>
      </c>
      <c r="F813" s="36" t="s">
        <v>107</v>
      </c>
      <c r="G813" s="15">
        <v>1770.8</v>
      </c>
      <c r="H813" s="15">
        <f t="shared" si="13"/>
        <v>0</v>
      </c>
      <c r="I813" s="19"/>
    </row>
    <row r="814" spans="1:9" x14ac:dyDescent="0.25">
      <c r="A814" s="16">
        <v>42744</v>
      </c>
      <c r="B814" s="17" t="s">
        <v>1074</v>
      </c>
      <c r="C814" s="18">
        <v>96411</v>
      </c>
      <c r="D814" s="2" t="s">
        <v>133</v>
      </c>
      <c r="E814" s="15">
        <v>11689.6</v>
      </c>
      <c r="F814" s="36" t="s">
        <v>237</v>
      </c>
      <c r="G814" s="15">
        <v>11689.6</v>
      </c>
      <c r="H814" s="15">
        <f t="shared" si="13"/>
        <v>0</v>
      </c>
      <c r="I814" s="19"/>
    </row>
    <row r="815" spans="1:9" x14ac:dyDescent="0.25">
      <c r="A815" s="16">
        <v>42744</v>
      </c>
      <c r="B815" s="17" t="s">
        <v>1075</v>
      </c>
      <c r="C815" s="18">
        <v>96412</v>
      </c>
      <c r="D815" s="2" t="s">
        <v>302</v>
      </c>
      <c r="E815" s="15">
        <v>12431.2</v>
      </c>
      <c r="F815" s="36" t="s">
        <v>123</v>
      </c>
      <c r="G815" s="15">
        <v>12431.2</v>
      </c>
      <c r="H815" s="15">
        <f t="shared" si="13"/>
        <v>0</v>
      </c>
      <c r="I815" s="19"/>
    </row>
    <row r="816" spans="1:9" x14ac:dyDescent="0.25">
      <c r="A816" s="16">
        <v>42744</v>
      </c>
      <c r="B816" s="17" t="s">
        <v>1076</v>
      </c>
      <c r="C816" s="18">
        <v>96413</v>
      </c>
      <c r="D816" s="2" t="s">
        <v>291</v>
      </c>
      <c r="E816" s="15">
        <v>2464.5</v>
      </c>
      <c r="F816" s="36" t="s">
        <v>123</v>
      </c>
      <c r="G816" s="15">
        <v>2464.5</v>
      </c>
      <c r="H816" s="15">
        <f t="shared" si="13"/>
        <v>0</v>
      </c>
      <c r="I816" s="19"/>
    </row>
    <row r="817" spans="1:9" x14ac:dyDescent="0.25">
      <c r="A817" s="16">
        <v>42744</v>
      </c>
      <c r="B817" s="17" t="s">
        <v>1077</v>
      </c>
      <c r="C817" s="18">
        <v>96414</v>
      </c>
      <c r="D817" s="2" t="s">
        <v>281</v>
      </c>
      <c r="E817" s="15">
        <v>760</v>
      </c>
      <c r="F817" s="36" t="s">
        <v>123</v>
      </c>
      <c r="G817" s="15">
        <v>760</v>
      </c>
      <c r="H817" s="15">
        <f t="shared" si="13"/>
        <v>0</v>
      </c>
      <c r="I817" s="19"/>
    </row>
    <row r="818" spans="1:9" x14ac:dyDescent="0.25">
      <c r="A818" s="16">
        <v>42744</v>
      </c>
      <c r="B818" s="17" t="s">
        <v>1078</v>
      </c>
      <c r="C818" s="18">
        <v>96415</v>
      </c>
      <c r="D818" s="2" t="s">
        <v>101</v>
      </c>
      <c r="E818" s="15">
        <v>1010</v>
      </c>
      <c r="F818" s="36" t="s">
        <v>123</v>
      </c>
      <c r="G818" s="15">
        <v>1010</v>
      </c>
      <c r="H818" s="15">
        <f t="shared" si="13"/>
        <v>0</v>
      </c>
      <c r="I818" s="19"/>
    </row>
    <row r="819" spans="1:9" x14ac:dyDescent="0.25">
      <c r="A819" s="16">
        <v>42744</v>
      </c>
      <c r="B819" s="17" t="s">
        <v>1079</v>
      </c>
      <c r="C819" s="18">
        <v>96416</v>
      </c>
      <c r="D819" s="2" t="s">
        <v>99</v>
      </c>
      <c r="E819" s="15">
        <v>2005</v>
      </c>
      <c r="F819" s="36" t="s">
        <v>123</v>
      </c>
      <c r="G819" s="15">
        <v>2005</v>
      </c>
      <c r="H819" s="15">
        <f t="shared" si="13"/>
        <v>0</v>
      </c>
      <c r="I819" s="19"/>
    </row>
    <row r="820" spans="1:9" x14ac:dyDescent="0.25">
      <c r="A820" s="16">
        <v>42744</v>
      </c>
      <c r="B820" s="17" t="s">
        <v>1080</v>
      </c>
      <c r="C820" s="18">
        <v>96417</v>
      </c>
      <c r="D820" s="2" t="s">
        <v>1081</v>
      </c>
      <c r="E820" s="15">
        <v>3385.04</v>
      </c>
      <c r="F820" s="36" t="s">
        <v>123</v>
      </c>
      <c r="G820" s="15">
        <v>3385.04</v>
      </c>
      <c r="H820" s="15">
        <f t="shared" si="13"/>
        <v>0</v>
      </c>
      <c r="I820" s="19"/>
    </row>
    <row r="821" spans="1:9" x14ac:dyDescent="0.25">
      <c r="A821" s="16">
        <v>42744</v>
      </c>
      <c r="B821" s="17" t="s">
        <v>1082</v>
      </c>
      <c r="C821" s="18">
        <v>96418</v>
      </c>
      <c r="D821" s="2" t="s">
        <v>409</v>
      </c>
      <c r="E821" s="15">
        <v>9118</v>
      </c>
      <c r="F821" s="124" t="s">
        <v>1083</v>
      </c>
      <c r="G821" s="20">
        <f>7900+1218</f>
        <v>9118</v>
      </c>
      <c r="H821" s="20">
        <f t="shared" si="13"/>
        <v>0</v>
      </c>
      <c r="I821" s="19"/>
    </row>
    <row r="822" spans="1:9" x14ac:dyDescent="0.25">
      <c r="A822" s="16">
        <v>42744</v>
      </c>
      <c r="B822" s="17" t="s">
        <v>1084</v>
      </c>
      <c r="C822" s="18">
        <v>96419</v>
      </c>
      <c r="D822" s="2" t="s">
        <v>188</v>
      </c>
      <c r="E822" s="15">
        <v>3363</v>
      </c>
      <c r="F822" s="36" t="s">
        <v>123</v>
      </c>
      <c r="G822" s="15">
        <v>3363</v>
      </c>
      <c r="H822" s="15">
        <f t="shared" si="13"/>
        <v>0</v>
      </c>
      <c r="I822" s="19"/>
    </row>
    <row r="823" spans="1:9" x14ac:dyDescent="0.25">
      <c r="A823" s="16">
        <v>42744</v>
      </c>
      <c r="B823" s="17" t="s">
        <v>1085</v>
      </c>
      <c r="C823" s="18">
        <v>96420</v>
      </c>
      <c r="D823" s="2" t="s">
        <v>186</v>
      </c>
      <c r="E823" s="15">
        <v>4524.8</v>
      </c>
      <c r="F823" s="36" t="s">
        <v>237</v>
      </c>
      <c r="G823" s="15">
        <v>4524.8</v>
      </c>
      <c r="H823" s="15">
        <f t="shared" si="13"/>
        <v>0</v>
      </c>
      <c r="I823" s="19"/>
    </row>
    <row r="824" spans="1:9" x14ac:dyDescent="0.25">
      <c r="A824" s="16">
        <v>42744</v>
      </c>
      <c r="B824" s="17" t="s">
        <v>1086</v>
      </c>
      <c r="C824" s="18">
        <v>96421</v>
      </c>
      <c r="D824" s="2" t="s">
        <v>184</v>
      </c>
      <c r="E824" s="15">
        <v>3449.6</v>
      </c>
      <c r="F824" s="36" t="s">
        <v>123</v>
      </c>
      <c r="G824" s="15">
        <v>3449.6</v>
      </c>
      <c r="H824" s="15">
        <f t="shared" si="13"/>
        <v>0</v>
      </c>
      <c r="I824" s="19"/>
    </row>
    <row r="825" spans="1:9" x14ac:dyDescent="0.25">
      <c r="A825" s="16">
        <v>42744</v>
      </c>
      <c r="B825" s="17" t="s">
        <v>1087</v>
      </c>
      <c r="C825" s="18">
        <v>96422</v>
      </c>
      <c r="D825" s="2" t="s">
        <v>793</v>
      </c>
      <c r="E825" s="15">
        <v>2088</v>
      </c>
      <c r="F825" s="36" t="s">
        <v>123</v>
      </c>
      <c r="G825" s="15">
        <v>2088</v>
      </c>
      <c r="H825" s="15">
        <f t="shared" si="13"/>
        <v>0</v>
      </c>
      <c r="I825" s="19"/>
    </row>
    <row r="826" spans="1:9" x14ac:dyDescent="0.25">
      <c r="A826" s="16">
        <v>42744</v>
      </c>
      <c r="B826" s="17" t="s">
        <v>1088</v>
      </c>
      <c r="C826" s="18">
        <v>96423</v>
      </c>
      <c r="D826" s="2" t="s">
        <v>445</v>
      </c>
      <c r="E826" s="15">
        <v>1539.9</v>
      </c>
      <c r="F826" s="36" t="s">
        <v>123</v>
      </c>
      <c r="G826" s="15">
        <v>1539.9</v>
      </c>
      <c r="H826" s="15">
        <f t="shared" si="13"/>
        <v>0</v>
      </c>
      <c r="I826" s="19"/>
    </row>
    <row r="827" spans="1:9" x14ac:dyDescent="0.25">
      <c r="A827" s="16">
        <v>42744</v>
      </c>
      <c r="B827" s="17" t="s">
        <v>1089</v>
      </c>
      <c r="C827" s="18">
        <v>96424</v>
      </c>
      <c r="D827" s="2" t="s">
        <v>1090</v>
      </c>
      <c r="E827" s="15">
        <v>5983.67</v>
      </c>
      <c r="F827" s="36" t="s">
        <v>123</v>
      </c>
      <c r="G827" s="15">
        <v>5983.67</v>
      </c>
      <c r="H827" s="15">
        <f t="shared" si="13"/>
        <v>0</v>
      </c>
      <c r="I827" s="19"/>
    </row>
    <row r="828" spans="1:9" x14ac:dyDescent="0.25">
      <c r="A828" s="16">
        <v>42744</v>
      </c>
      <c r="B828" s="17" t="s">
        <v>1091</v>
      </c>
      <c r="C828" s="18">
        <v>96425</v>
      </c>
      <c r="D828" s="2" t="s">
        <v>88</v>
      </c>
      <c r="E828" s="15">
        <v>1825.2</v>
      </c>
      <c r="F828" s="36" t="s">
        <v>123</v>
      </c>
      <c r="G828" s="15">
        <v>1825.2</v>
      </c>
      <c r="H828" s="15">
        <f t="shared" si="13"/>
        <v>0</v>
      </c>
      <c r="I828" s="19"/>
    </row>
    <row r="829" spans="1:9" x14ac:dyDescent="0.25">
      <c r="A829" s="16">
        <v>42744</v>
      </c>
      <c r="B829" s="17" t="s">
        <v>1092</v>
      </c>
      <c r="C829" s="18">
        <v>96426</v>
      </c>
      <c r="D829" s="2" t="s">
        <v>92</v>
      </c>
      <c r="E829" s="15">
        <v>3237.1</v>
      </c>
      <c r="F829" s="36" t="s">
        <v>123</v>
      </c>
      <c r="G829" s="15">
        <v>3237.1</v>
      </c>
      <c r="H829" s="15">
        <f t="shared" si="13"/>
        <v>0</v>
      </c>
      <c r="I829" s="19"/>
    </row>
    <row r="830" spans="1:9" x14ac:dyDescent="0.25">
      <c r="A830" s="16">
        <v>42744</v>
      </c>
      <c r="B830" s="17" t="s">
        <v>1093</v>
      </c>
      <c r="C830" s="18">
        <v>96427</v>
      </c>
      <c r="D830" s="2" t="s">
        <v>448</v>
      </c>
      <c r="E830" s="15">
        <v>169</v>
      </c>
      <c r="F830" s="36" t="s">
        <v>123</v>
      </c>
      <c r="G830" s="15">
        <v>169</v>
      </c>
      <c r="H830" s="15">
        <f t="shared" si="13"/>
        <v>0</v>
      </c>
      <c r="I830" s="19"/>
    </row>
    <row r="831" spans="1:9" x14ac:dyDescent="0.25">
      <c r="A831" s="16">
        <v>42744</v>
      </c>
      <c r="B831" s="17" t="s">
        <v>1094</v>
      </c>
      <c r="C831" s="18">
        <v>96428</v>
      </c>
      <c r="D831" s="2" t="s">
        <v>61</v>
      </c>
      <c r="E831" s="15">
        <v>11601.2</v>
      </c>
      <c r="F831" s="36" t="s">
        <v>123</v>
      </c>
      <c r="G831" s="15">
        <v>11601.2</v>
      </c>
      <c r="H831" s="15">
        <f t="shared" si="13"/>
        <v>0</v>
      </c>
      <c r="I831" s="19"/>
    </row>
    <row r="832" spans="1:9" x14ac:dyDescent="0.25">
      <c r="A832" s="16">
        <v>42744</v>
      </c>
      <c r="B832" s="17" t="s">
        <v>1095</v>
      </c>
      <c r="C832" s="18">
        <v>96429</v>
      </c>
      <c r="D832" s="2" t="s">
        <v>103</v>
      </c>
      <c r="E832" s="15">
        <v>3734.8</v>
      </c>
      <c r="F832" s="36" t="s">
        <v>275</v>
      </c>
      <c r="G832" s="15">
        <v>3734.8</v>
      </c>
      <c r="H832" s="15">
        <f t="shared" si="13"/>
        <v>0</v>
      </c>
      <c r="I832" s="19"/>
    </row>
    <row r="833" spans="1:9" x14ac:dyDescent="0.25">
      <c r="A833" s="16">
        <v>42744</v>
      </c>
      <c r="B833" s="17" t="s">
        <v>1096</v>
      </c>
      <c r="C833" s="18">
        <v>96430</v>
      </c>
      <c r="D833" s="2" t="s">
        <v>184</v>
      </c>
      <c r="E833" s="15">
        <v>594</v>
      </c>
      <c r="F833" s="36" t="s">
        <v>123</v>
      </c>
      <c r="G833" s="15">
        <v>594</v>
      </c>
      <c r="H833" s="15">
        <f t="shared" si="13"/>
        <v>0</v>
      </c>
      <c r="I833" s="19"/>
    </row>
    <row r="834" spans="1:9" x14ac:dyDescent="0.25">
      <c r="A834" s="16">
        <v>42744</v>
      </c>
      <c r="B834" s="17" t="s">
        <v>1097</v>
      </c>
      <c r="C834" s="18">
        <v>96431</v>
      </c>
      <c r="D834" s="2" t="s">
        <v>335</v>
      </c>
      <c r="E834" s="15">
        <v>1747.8</v>
      </c>
      <c r="F834" s="36" t="s">
        <v>237</v>
      </c>
      <c r="G834" s="15">
        <v>1747.8</v>
      </c>
      <c r="H834" s="15">
        <f t="shared" si="13"/>
        <v>0</v>
      </c>
      <c r="I834" s="19"/>
    </row>
    <row r="835" spans="1:9" x14ac:dyDescent="0.25">
      <c r="A835" s="16">
        <v>42744</v>
      </c>
      <c r="B835" s="17" t="s">
        <v>1098</v>
      </c>
      <c r="C835" s="18">
        <v>96432</v>
      </c>
      <c r="D835" s="2" t="s">
        <v>63</v>
      </c>
      <c r="E835" s="15">
        <v>924.3</v>
      </c>
      <c r="F835" s="36" t="s">
        <v>123</v>
      </c>
      <c r="G835" s="15">
        <v>924.3</v>
      </c>
      <c r="H835" s="15">
        <f t="shared" si="13"/>
        <v>0</v>
      </c>
      <c r="I835" s="19"/>
    </row>
    <row r="836" spans="1:9" x14ac:dyDescent="0.25">
      <c r="A836" s="16">
        <v>42744</v>
      </c>
      <c r="B836" s="17" t="s">
        <v>1099</v>
      </c>
      <c r="C836" s="18">
        <v>96433</v>
      </c>
      <c r="D836" s="13" t="s">
        <v>486</v>
      </c>
      <c r="E836" s="14">
        <v>0</v>
      </c>
      <c r="F836" s="123" t="s">
        <v>95</v>
      </c>
      <c r="G836" s="14">
        <v>0</v>
      </c>
      <c r="H836" s="14">
        <f t="shared" si="13"/>
        <v>0</v>
      </c>
      <c r="I836" s="19"/>
    </row>
    <row r="837" spans="1:9" x14ac:dyDescent="0.25">
      <c r="A837" s="16">
        <v>42744</v>
      </c>
      <c r="B837" s="17" t="s">
        <v>1100</v>
      </c>
      <c r="C837" s="18">
        <v>96434</v>
      </c>
      <c r="D837" s="2" t="s">
        <v>721</v>
      </c>
      <c r="E837" s="15">
        <v>5851.2</v>
      </c>
      <c r="F837" s="36" t="s">
        <v>123</v>
      </c>
      <c r="G837" s="15">
        <v>5851.2</v>
      </c>
      <c r="H837" s="15">
        <f t="shared" si="13"/>
        <v>0</v>
      </c>
      <c r="I837" s="19"/>
    </row>
    <row r="838" spans="1:9" x14ac:dyDescent="0.25">
      <c r="A838" s="16">
        <v>42744</v>
      </c>
      <c r="B838" s="17" t="s">
        <v>1101</v>
      </c>
      <c r="C838" s="18">
        <v>96435</v>
      </c>
      <c r="D838" s="2" t="s">
        <v>53</v>
      </c>
      <c r="E838" s="15">
        <v>3131.4</v>
      </c>
      <c r="F838" s="36" t="s">
        <v>123</v>
      </c>
      <c r="G838" s="15">
        <v>3131.4</v>
      </c>
      <c r="H838" s="15">
        <f t="shared" ref="H838:H901" si="14">E838-G838</f>
        <v>0</v>
      </c>
      <c r="I838" s="19"/>
    </row>
    <row r="839" spans="1:9" x14ac:dyDescent="0.25">
      <c r="A839" s="16">
        <v>42744</v>
      </c>
      <c r="B839" s="17" t="s">
        <v>1102</v>
      </c>
      <c r="C839" s="18">
        <v>96436</v>
      </c>
      <c r="D839" s="2" t="s">
        <v>270</v>
      </c>
      <c r="E839" s="15">
        <v>2819.4</v>
      </c>
      <c r="F839" s="36" t="s">
        <v>275</v>
      </c>
      <c r="G839" s="15">
        <v>2819.4</v>
      </c>
      <c r="H839" s="15">
        <f t="shared" si="14"/>
        <v>0</v>
      </c>
      <c r="I839" s="19"/>
    </row>
    <row r="840" spans="1:9" x14ac:dyDescent="0.25">
      <c r="A840" s="16">
        <v>42744</v>
      </c>
      <c r="B840" s="17" t="s">
        <v>1103</v>
      </c>
      <c r="C840" s="18">
        <v>96437</v>
      </c>
      <c r="D840" s="2" t="s">
        <v>268</v>
      </c>
      <c r="E840" s="15">
        <v>7026.1</v>
      </c>
      <c r="F840" s="36" t="s">
        <v>275</v>
      </c>
      <c r="G840" s="15">
        <v>7026.1</v>
      </c>
      <c r="H840" s="15">
        <f t="shared" si="14"/>
        <v>0</v>
      </c>
      <c r="I840" s="19"/>
    </row>
    <row r="841" spans="1:9" x14ac:dyDescent="0.25">
      <c r="A841" s="16">
        <v>42744</v>
      </c>
      <c r="B841" s="17" t="s">
        <v>1104</v>
      </c>
      <c r="C841" s="18">
        <v>96438</v>
      </c>
      <c r="D841" s="2" t="s">
        <v>105</v>
      </c>
      <c r="E841" s="15">
        <v>3684.8</v>
      </c>
      <c r="F841" s="36" t="s">
        <v>275</v>
      </c>
      <c r="G841" s="15">
        <v>3684.8</v>
      </c>
      <c r="H841" s="15">
        <f t="shared" si="14"/>
        <v>0</v>
      </c>
      <c r="I841" s="19"/>
    </row>
    <row r="842" spans="1:9" x14ac:dyDescent="0.25">
      <c r="A842" s="16">
        <v>42744</v>
      </c>
      <c r="B842" s="17" t="s">
        <v>1105</v>
      </c>
      <c r="C842" s="18">
        <v>96439</v>
      </c>
      <c r="D842" s="2" t="s">
        <v>109</v>
      </c>
      <c r="E842" s="15">
        <v>5910.3</v>
      </c>
      <c r="F842" s="36" t="s">
        <v>123</v>
      </c>
      <c r="G842" s="15">
        <v>5910.3</v>
      </c>
      <c r="H842" s="15">
        <f t="shared" si="14"/>
        <v>0</v>
      </c>
      <c r="I842" s="19"/>
    </row>
    <row r="843" spans="1:9" x14ac:dyDescent="0.25">
      <c r="A843" s="16">
        <v>42744</v>
      </c>
      <c r="B843" s="17" t="s">
        <v>1106</v>
      </c>
      <c r="C843" s="18">
        <v>96440</v>
      </c>
      <c r="D843" s="2" t="s">
        <v>331</v>
      </c>
      <c r="E843" s="15">
        <v>4194.6000000000004</v>
      </c>
      <c r="F843" s="36" t="s">
        <v>123</v>
      </c>
      <c r="G843" s="15">
        <v>4194.6000000000004</v>
      </c>
      <c r="H843" s="15">
        <f t="shared" si="14"/>
        <v>0</v>
      </c>
      <c r="I843" s="19"/>
    </row>
    <row r="844" spans="1:9" x14ac:dyDescent="0.25">
      <c r="A844" s="16">
        <v>42744</v>
      </c>
      <c r="B844" s="17" t="s">
        <v>1107</v>
      </c>
      <c r="C844" s="18">
        <v>96441</v>
      </c>
      <c r="D844" s="2" t="s">
        <v>94</v>
      </c>
      <c r="E844" s="15">
        <v>3760</v>
      </c>
      <c r="F844" s="36" t="s">
        <v>123</v>
      </c>
      <c r="G844" s="15">
        <v>3760</v>
      </c>
      <c r="H844" s="15">
        <f t="shared" si="14"/>
        <v>0</v>
      </c>
      <c r="I844" s="19"/>
    </row>
    <row r="845" spans="1:9" x14ac:dyDescent="0.25">
      <c r="A845" s="16">
        <v>42744</v>
      </c>
      <c r="B845" s="17" t="s">
        <v>1108</v>
      </c>
      <c r="C845" s="18">
        <v>96442</v>
      </c>
      <c r="D845" s="2" t="s">
        <v>462</v>
      </c>
      <c r="E845" s="15">
        <v>7820.8</v>
      </c>
      <c r="F845" s="36" t="s">
        <v>123</v>
      </c>
      <c r="G845" s="15">
        <v>7820.8</v>
      </c>
      <c r="H845" s="15">
        <f t="shared" si="14"/>
        <v>0</v>
      </c>
      <c r="I845" s="19"/>
    </row>
    <row r="846" spans="1:9" x14ac:dyDescent="0.25">
      <c r="A846" s="16">
        <v>42744</v>
      </c>
      <c r="B846" s="17" t="s">
        <v>1109</v>
      </c>
      <c r="C846" s="18">
        <v>96443</v>
      </c>
      <c r="D846" s="2" t="s">
        <v>94</v>
      </c>
      <c r="E846" s="15">
        <v>3214.8</v>
      </c>
      <c r="F846" s="36" t="s">
        <v>123</v>
      </c>
      <c r="G846" s="15">
        <v>3214.8</v>
      </c>
      <c r="H846" s="15">
        <f t="shared" si="14"/>
        <v>0</v>
      </c>
      <c r="I846" s="19"/>
    </row>
    <row r="847" spans="1:9" x14ac:dyDescent="0.25">
      <c r="A847" s="16">
        <v>42744</v>
      </c>
      <c r="B847" s="17" t="s">
        <v>1110</v>
      </c>
      <c r="C847" s="18">
        <v>96444</v>
      </c>
      <c r="D847" s="2" t="s">
        <v>81</v>
      </c>
      <c r="E847" s="15">
        <v>2760.8</v>
      </c>
      <c r="F847" s="36" t="s">
        <v>123</v>
      </c>
      <c r="G847" s="15">
        <v>2760.8</v>
      </c>
      <c r="H847" s="15">
        <f t="shared" si="14"/>
        <v>0</v>
      </c>
      <c r="I847" s="19"/>
    </row>
    <row r="848" spans="1:9" x14ac:dyDescent="0.25">
      <c r="A848" s="16">
        <v>42744</v>
      </c>
      <c r="B848" s="17" t="s">
        <v>1111</v>
      </c>
      <c r="C848" s="18">
        <v>96445</v>
      </c>
      <c r="D848" s="2" t="s">
        <v>457</v>
      </c>
      <c r="E848" s="15">
        <v>6068.4</v>
      </c>
      <c r="F848" s="36" t="s">
        <v>123</v>
      </c>
      <c r="G848" s="15">
        <v>6068.4</v>
      </c>
      <c r="H848" s="15">
        <f t="shared" si="14"/>
        <v>0</v>
      </c>
      <c r="I848" s="19"/>
    </row>
    <row r="849" spans="1:9" x14ac:dyDescent="0.25">
      <c r="A849" s="16">
        <v>42744</v>
      </c>
      <c r="B849" s="17" t="s">
        <v>1112</v>
      </c>
      <c r="C849" s="18">
        <v>96446</v>
      </c>
      <c r="D849" s="2" t="s">
        <v>442</v>
      </c>
      <c r="E849" s="15">
        <v>7479.6</v>
      </c>
      <c r="F849" s="36" t="s">
        <v>275</v>
      </c>
      <c r="G849" s="15">
        <v>7479.6</v>
      </c>
      <c r="H849" s="15">
        <f t="shared" si="14"/>
        <v>0</v>
      </c>
      <c r="I849" s="19"/>
    </row>
    <row r="850" spans="1:9" x14ac:dyDescent="0.25">
      <c r="A850" s="16">
        <v>42744</v>
      </c>
      <c r="B850" s="17" t="s">
        <v>1113</v>
      </c>
      <c r="C850" s="18">
        <v>96447</v>
      </c>
      <c r="D850" s="2" t="s">
        <v>272</v>
      </c>
      <c r="E850" s="15">
        <v>3891.6</v>
      </c>
      <c r="F850" s="36" t="s">
        <v>275</v>
      </c>
      <c r="G850" s="15">
        <v>3891.6</v>
      </c>
      <c r="H850" s="15">
        <f t="shared" si="14"/>
        <v>0</v>
      </c>
      <c r="I850" s="19"/>
    </row>
    <row r="851" spans="1:9" x14ac:dyDescent="0.25">
      <c r="A851" s="16">
        <v>42744</v>
      </c>
      <c r="B851" s="17" t="s">
        <v>1114</v>
      </c>
      <c r="C851" s="18">
        <v>96448</v>
      </c>
      <c r="D851" s="2" t="s">
        <v>509</v>
      </c>
      <c r="E851" s="15">
        <v>5291.1</v>
      </c>
      <c r="F851" s="36" t="s">
        <v>123</v>
      </c>
      <c r="G851" s="15">
        <v>5291.1</v>
      </c>
      <c r="H851" s="15">
        <f t="shared" si="14"/>
        <v>0</v>
      </c>
      <c r="I851" s="19"/>
    </row>
    <row r="852" spans="1:9" x14ac:dyDescent="0.25">
      <c r="A852" s="16">
        <v>42744</v>
      </c>
      <c r="B852" s="17" t="s">
        <v>1115</v>
      </c>
      <c r="C852" s="18">
        <v>96449</v>
      </c>
      <c r="D852" s="2" t="s">
        <v>1116</v>
      </c>
      <c r="E852" s="15">
        <v>3635.3</v>
      </c>
      <c r="F852" s="36" t="s">
        <v>123</v>
      </c>
      <c r="G852" s="15">
        <v>3635.3</v>
      </c>
      <c r="H852" s="15">
        <f t="shared" si="14"/>
        <v>0</v>
      </c>
      <c r="I852" s="19"/>
    </row>
    <row r="853" spans="1:9" x14ac:dyDescent="0.25">
      <c r="A853" s="16">
        <v>42744</v>
      </c>
      <c r="B853" s="17" t="s">
        <v>1117</v>
      </c>
      <c r="C853" s="18">
        <v>96450</v>
      </c>
      <c r="D853" s="2" t="s">
        <v>858</v>
      </c>
      <c r="E853" s="15">
        <v>1694.7</v>
      </c>
      <c r="F853" s="36" t="s">
        <v>123</v>
      </c>
      <c r="G853" s="15">
        <v>1694.7</v>
      </c>
      <c r="H853" s="15">
        <f t="shared" si="14"/>
        <v>0</v>
      </c>
      <c r="I853" s="19"/>
    </row>
    <row r="854" spans="1:9" x14ac:dyDescent="0.25">
      <c r="A854" s="16">
        <v>42744</v>
      </c>
      <c r="B854" s="17" t="s">
        <v>1118</v>
      </c>
      <c r="C854" s="18">
        <v>96451</v>
      </c>
      <c r="D854" s="2" t="s">
        <v>30</v>
      </c>
      <c r="E854" s="15">
        <v>2356.2600000000002</v>
      </c>
      <c r="F854" s="36" t="s">
        <v>123</v>
      </c>
      <c r="G854" s="15">
        <v>2356.2600000000002</v>
      </c>
      <c r="H854" s="15">
        <f t="shared" si="14"/>
        <v>0</v>
      </c>
      <c r="I854" s="19"/>
    </row>
    <row r="855" spans="1:9" x14ac:dyDescent="0.25">
      <c r="A855" s="16">
        <v>42744</v>
      </c>
      <c r="B855" s="17" t="s">
        <v>1119</v>
      </c>
      <c r="C855" s="18">
        <v>96452</v>
      </c>
      <c r="D855" s="13" t="s">
        <v>30</v>
      </c>
      <c r="E855" s="14">
        <v>0</v>
      </c>
      <c r="F855" s="123" t="s">
        <v>95</v>
      </c>
      <c r="G855" s="14">
        <v>0</v>
      </c>
      <c r="H855" s="14">
        <f t="shared" si="14"/>
        <v>0</v>
      </c>
      <c r="I855" s="19"/>
    </row>
    <row r="856" spans="1:9" x14ac:dyDescent="0.25">
      <c r="A856" s="16">
        <v>42744</v>
      </c>
      <c r="B856" s="17" t="s">
        <v>1120</v>
      </c>
      <c r="C856" s="18">
        <v>96453</v>
      </c>
      <c r="D856" s="2" t="s">
        <v>205</v>
      </c>
      <c r="E856" s="20">
        <v>90286.61</v>
      </c>
      <c r="F856" s="124" t="s">
        <v>1121</v>
      </c>
      <c r="G856" s="20">
        <f>46645.21+43641.4</f>
        <v>90286.61</v>
      </c>
      <c r="H856" s="20">
        <f t="shared" si="14"/>
        <v>0</v>
      </c>
      <c r="I856" s="19"/>
    </row>
    <row r="857" spans="1:9" x14ac:dyDescent="0.25">
      <c r="A857" s="16">
        <v>42744</v>
      </c>
      <c r="B857" s="17" t="s">
        <v>1122</v>
      </c>
      <c r="C857" s="18">
        <v>96454</v>
      </c>
      <c r="D857" s="2" t="s">
        <v>159</v>
      </c>
      <c r="E857" s="15">
        <v>3405.2</v>
      </c>
      <c r="F857" s="36" t="s">
        <v>107</v>
      </c>
      <c r="G857" s="15">
        <v>3405.2</v>
      </c>
      <c r="H857" s="15">
        <f t="shared" si="14"/>
        <v>0</v>
      </c>
      <c r="I857" s="19"/>
    </row>
    <row r="858" spans="1:9" x14ac:dyDescent="0.25">
      <c r="A858" s="16">
        <v>42744</v>
      </c>
      <c r="B858" s="17" t="s">
        <v>1123</v>
      </c>
      <c r="C858" s="18">
        <v>96455</v>
      </c>
      <c r="D858" s="2" t="s">
        <v>305</v>
      </c>
      <c r="E858" s="15">
        <v>8067.4</v>
      </c>
      <c r="F858" s="36" t="s">
        <v>237</v>
      </c>
      <c r="G858" s="15">
        <v>8067.4</v>
      </c>
      <c r="H858" s="15">
        <f t="shared" si="14"/>
        <v>0</v>
      </c>
      <c r="I858" s="19"/>
    </row>
    <row r="859" spans="1:9" x14ac:dyDescent="0.25">
      <c r="A859" s="16">
        <v>42744</v>
      </c>
      <c r="B859" s="17" t="s">
        <v>1124</v>
      </c>
      <c r="C859" s="18">
        <v>96456</v>
      </c>
      <c r="D859" s="2" t="s">
        <v>476</v>
      </c>
      <c r="E859" s="15">
        <v>26153.599999999999</v>
      </c>
      <c r="F859" s="36" t="s">
        <v>317</v>
      </c>
      <c r="G859" s="15">
        <v>26153.599999999999</v>
      </c>
      <c r="H859" s="15">
        <f t="shared" si="14"/>
        <v>0</v>
      </c>
      <c r="I859" s="19"/>
    </row>
    <row r="860" spans="1:9" x14ac:dyDescent="0.25">
      <c r="A860" s="16">
        <v>42744</v>
      </c>
      <c r="B860" s="17" t="s">
        <v>1125</v>
      </c>
      <c r="C860" s="18">
        <v>96457</v>
      </c>
      <c r="D860" s="13" t="s">
        <v>1126</v>
      </c>
      <c r="E860" s="14">
        <v>0</v>
      </c>
      <c r="F860" s="123" t="s">
        <v>95</v>
      </c>
      <c r="G860" s="14">
        <v>0</v>
      </c>
      <c r="H860" s="14">
        <f t="shared" si="14"/>
        <v>0</v>
      </c>
      <c r="I860" s="19"/>
    </row>
    <row r="861" spans="1:9" x14ac:dyDescent="0.25">
      <c r="A861" s="16">
        <v>42744</v>
      </c>
      <c r="B861" s="17" t="s">
        <v>1127</v>
      </c>
      <c r="C861" s="18">
        <v>96458</v>
      </c>
      <c r="D861" s="2" t="s">
        <v>1126</v>
      </c>
      <c r="E861" s="15">
        <v>41706.9</v>
      </c>
      <c r="F861" s="36" t="s">
        <v>107</v>
      </c>
      <c r="G861" s="15">
        <v>41706.9</v>
      </c>
      <c r="H861" s="15">
        <f t="shared" si="14"/>
        <v>0</v>
      </c>
      <c r="I861" s="19"/>
    </row>
    <row r="862" spans="1:9" x14ac:dyDescent="0.25">
      <c r="A862" s="16">
        <v>42744</v>
      </c>
      <c r="B862" s="17" t="s">
        <v>1128</v>
      </c>
      <c r="C862" s="18">
        <v>96459</v>
      </c>
      <c r="D862" s="2" t="s">
        <v>367</v>
      </c>
      <c r="E862" s="15">
        <v>900</v>
      </c>
      <c r="F862" s="36" t="s">
        <v>123</v>
      </c>
      <c r="G862" s="15">
        <v>900</v>
      </c>
      <c r="H862" s="15">
        <f t="shared" si="14"/>
        <v>0</v>
      </c>
      <c r="I862" s="19"/>
    </row>
    <row r="863" spans="1:9" x14ac:dyDescent="0.25">
      <c r="A863" s="16">
        <v>42744</v>
      </c>
      <c r="B863" s="17" t="s">
        <v>1129</v>
      </c>
      <c r="C863" s="18">
        <v>96460</v>
      </c>
      <c r="D863" s="2" t="s">
        <v>115</v>
      </c>
      <c r="E863" s="15">
        <v>3861.1</v>
      </c>
      <c r="F863" s="36" t="s">
        <v>123</v>
      </c>
      <c r="G863" s="15">
        <v>3861.1</v>
      </c>
      <c r="H863" s="15">
        <f t="shared" si="14"/>
        <v>0</v>
      </c>
      <c r="I863" s="19"/>
    </row>
    <row r="864" spans="1:9" x14ac:dyDescent="0.25">
      <c r="A864" s="16">
        <v>42744</v>
      </c>
      <c r="B864" s="17" t="s">
        <v>1130</v>
      </c>
      <c r="C864" s="18">
        <v>96461</v>
      </c>
      <c r="D864" s="2" t="s">
        <v>30</v>
      </c>
      <c r="E864" s="15">
        <v>2114.6999999999998</v>
      </c>
      <c r="F864" s="36" t="s">
        <v>123</v>
      </c>
      <c r="G864" s="15">
        <v>2114.6999999999998</v>
      </c>
      <c r="H864" s="15">
        <f t="shared" si="14"/>
        <v>0</v>
      </c>
      <c r="I864" s="19"/>
    </row>
    <row r="865" spans="1:9" x14ac:dyDescent="0.25">
      <c r="A865" s="16">
        <v>42744</v>
      </c>
      <c r="B865" s="17" t="s">
        <v>1131</v>
      </c>
      <c r="C865" s="18">
        <v>96462</v>
      </c>
      <c r="D865" s="2" t="s">
        <v>147</v>
      </c>
      <c r="E865" s="15">
        <v>43691.199999999997</v>
      </c>
      <c r="F865" s="36" t="s">
        <v>123</v>
      </c>
      <c r="G865" s="15">
        <v>43691.199999999997</v>
      </c>
      <c r="H865" s="15">
        <f t="shared" si="14"/>
        <v>0</v>
      </c>
      <c r="I865" s="19"/>
    </row>
    <row r="866" spans="1:9" x14ac:dyDescent="0.25">
      <c r="A866" s="16">
        <v>42744</v>
      </c>
      <c r="B866" s="17" t="s">
        <v>1132</v>
      </c>
      <c r="C866" s="18">
        <v>96463</v>
      </c>
      <c r="D866" s="2" t="s">
        <v>509</v>
      </c>
      <c r="E866" s="15">
        <v>22134</v>
      </c>
      <c r="F866" s="36" t="s">
        <v>129</v>
      </c>
      <c r="G866" s="15">
        <v>22134</v>
      </c>
      <c r="H866" s="15">
        <f t="shared" si="14"/>
        <v>0</v>
      </c>
      <c r="I866" s="19"/>
    </row>
    <row r="867" spans="1:9" x14ac:dyDescent="0.25">
      <c r="A867" s="16">
        <v>42744</v>
      </c>
      <c r="B867" s="17" t="s">
        <v>1133</v>
      </c>
      <c r="C867" s="18">
        <v>96464</v>
      </c>
      <c r="D867" s="13" t="s">
        <v>157</v>
      </c>
      <c r="E867" s="14">
        <v>0</v>
      </c>
      <c r="F867" s="123" t="s">
        <v>95</v>
      </c>
      <c r="G867" s="14">
        <v>0</v>
      </c>
      <c r="H867" s="14">
        <f t="shared" si="14"/>
        <v>0</v>
      </c>
      <c r="I867" s="19"/>
    </row>
    <row r="868" spans="1:9" x14ac:dyDescent="0.25">
      <c r="A868" s="16">
        <v>42744</v>
      </c>
      <c r="B868" s="17" t="s">
        <v>1134</v>
      </c>
      <c r="C868" s="18">
        <v>96465</v>
      </c>
      <c r="D868" s="2" t="s">
        <v>155</v>
      </c>
      <c r="E868" s="15">
        <v>13020.8</v>
      </c>
      <c r="F868" s="36" t="s">
        <v>107</v>
      </c>
      <c r="G868" s="15">
        <v>13020.8</v>
      </c>
      <c r="H868" s="15">
        <f t="shared" si="14"/>
        <v>0</v>
      </c>
      <c r="I868" s="19"/>
    </row>
    <row r="869" spans="1:9" x14ac:dyDescent="0.25">
      <c r="A869" s="16">
        <v>42744</v>
      </c>
      <c r="B869" s="17" t="s">
        <v>1135</v>
      </c>
      <c r="C869" s="18">
        <v>96466</v>
      </c>
      <c r="D869" s="2" t="s">
        <v>145</v>
      </c>
      <c r="E869" s="15">
        <v>15885.8</v>
      </c>
      <c r="F869" s="36" t="s">
        <v>107</v>
      </c>
      <c r="G869" s="15">
        <v>15885.8</v>
      </c>
      <c r="H869" s="15">
        <f t="shared" si="14"/>
        <v>0</v>
      </c>
      <c r="I869" s="19"/>
    </row>
    <row r="870" spans="1:9" x14ac:dyDescent="0.25">
      <c r="A870" s="16">
        <v>42744</v>
      </c>
      <c r="B870" s="17" t="s">
        <v>1136</v>
      </c>
      <c r="C870" s="18">
        <v>96467</v>
      </c>
      <c r="D870" s="2" t="s">
        <v>145</v>
      </c>
      <c r="E870" s="15">
        <v>780</v>
      </c>
      <c r="F870" s="36" t="s">
        <v>107</v>
      </c>
      <c r="G870" s="15">
        <v>780</v>
      </c>
      <c r="H870" s="15">
        <f t="shared" si="14"/>
        <v>0</v>
      </c>
      <c r="I870" s="19"/>
    </row>
    <row r="871" spans="1:9" x14ac:dyDescent="0.25">
      <c r="A871" s="16">
        <v>42744</v>
      </c>
      <c r="B871" s="17" t="s">
        <v>1137</v>
      </c>
      <c r="C871" s="18">
        <v>96468</v>
      </c>
      <c r="D871" s="2" t="s">
        <v>165</v>
      </c>
      <c r="E871" s="15">
        <v>4075.3</v>
      </c>
      <c r="F871" s="36" t="s">
        <v>1138</v>
      </c>
      <c r="G871" s="15">
        <v>4075.3</v>
      </c>
      <c r="H871" s="15">
        <f t="shared" si="14"/>
        <v>0</v>
      </c>
      <c r="I871" s="19"/>
    </row>
    <row r="872" spans="1:9" x14ac:dyDescent="0.25">
      <c r="A872" s="16">
        <v>42744</v>
      </c>
      <c r="B872" s="17" t="s">
        <v>1139</v>
      </c>
      <c r="C872" s="18">
        <v>96469</v>
      </c>
      <c r="D872" s="2" t="s">
        <v>172</v>
      </c>
      <c r="E872" s="15">
        <v>24201.200000000001</v>
      </c>
      <c r="F872" s="36" t="s">
        <v>765</v>
      </c>
      <c r="G872" s="15">
        <v>24201.200000000001</v>
      </c>
      <c r="H872" s="15">
        <f t="shared" si="14"/>
        <v>0</v>
      </c>
      <c r="I872" s="19"/>
    </row>
    <row r="873" spans="1:9" x14ac:dyDescent="0.25">
      <c r="A873" s="16">
        <v>42744</v>
      </c>
      <c r="B873" s="17" t="s">
        <v>1140</v>
      </c>
      <c r="C873" s="18">
        <v>96470</v>
      </c>
      <c r="D873" s="2" t="s">
        <v>1141</v>
      </c>
      <c r="E873" s="15">
        <v>5397.6</v>
      </c>
      <c r="F873" s="36" t="s">
        <v>173</v>
      </c>
      <c r="G873" s="15">
        <v>5397.6</v>
      </c>
      <c r="H873" s="15">
        <f t="shared" si="14"/>
        <v>0</v>
      </c>
      <c r="I873" s="19"/>
    </row>
    <row r="874" spans="1:9" x14ac:dyDescent="0.25">
      <c r="A874" s="16">
        <v>42744</v>
      </c>
      <c r="B874" s="17" t="s">
        <v>1142</v>
      </c>
      <c r="C874" s="18">
        <v>96471</v>
      </c>
      <c r="D874" s="2" t="s">
        <v>161</v>
      </c>
      <c r="E874" s="15">
        <v>51241.3</v>
      </c>
      <c r="F874" s="36" t="s">
        <v>765</v>
      </c>
      <c r="G874" s="15">
        <v>51241.3</v>
      </c>
      <c r="H874" s="15">
        <f t="shared" si="14"/>
        <v>0</v>
      </c>
      <c r="I874" s="19"/>
    </row>
    <row r="875" spans="1:9" x14ac:dyDescent="0.25">
      <c r="A875" s="16">
        <v>42744</v>
      </c>
      <c r="B875" s="17" t="s">
        <v>1143</v>
      </c>
      <c r="C875" s="18">
        <v>96472</v>
      </c>
      <c r="D875" s="2" t="s">
        <v>163</v>
      </c>
      <c r="E875" s="15">
        <v>19258.400000000001</v>
      </c>
      <c r="F875" s="36" t="s">
        <v>166</v>
      </c>
      <c r="G875" s="15">
        <v>19258.400000000001</v>
      </c>
      <c r="H875" s="15">
        <f t="shared" si="14"/>
        <v>0</v>
      </c>
      <c r="I875" s="19"/>
    </row>
    <row r="876" spans="1:9" x14ac:dyDescent="0.25">
      <c r="A876" s="16">
        <v>42744</v>
      </c>
      <c r="B876" s="17" t="s">
        <v>1144</v>
      </c>
      <c r="C876" s="18">
        <v>96473</v>
      </c>
      <c r="D876" s="2" t="s">
        <v>131</v>
      </c>
      <c r="E876" s="15">
        <v>7852</v>
      </c>
      <c r="F876" s="36" t="s">
        <v>123</v>
      </c>
      <c r="G876" s="15">
        <v>7852</v>
      </c>
      <c r="H876" s="15">
        <f t="shared" si="14"/>
        <v>0</v>
      </c>
      <c r="I876" s="19"/>
    </row>
    <row r="877" spans="1:9" x14ac:dyDescent="0.25">
      <c r="A877" s="16">
        <v>42744</v>
      </c>
      <c r="B877" s="17" t="s">
        <v>1145</v>
      </c>
      <c r="C877" s="18">
        <v>96474</v>
      </c>
      <c r="D877" s="2" t="s">
        <v>329</v>
      </c>
      <c r="E877" s="15">
        <v>256</v>
      </c>
      <c r="F877" s="36" t="s">
        <v>123</v>
      </c>
      <c r="G877" s="15">
        <v>256</v>
      </c>
      <c r="H877" s="15">
        <f t="shared" si="14"/>
        <v>0</v>
      </c>
      <c r="I877" s="19"/>
    </row>
    <row r="878" spans="1:9" x14ac:dyDescent="0.25">
      <c r="A878" s="16">
        <v>42744</v>
      </c>
      <c r="B878" s="17" t="s">
        <v>1146</v>
      </c>
      <c r="C878" s="18">
        <v>96475</v>
      </c>
      <c r="D878" s="2" t="s">
        <v>329</v>
      </c>
      <c r="E878" s="15">
        <v>655.20000000000005</v>
      </c>
      <c r="F878" s="36" t="s">
        <v>123</v>
      </c>
      <c r="G878" s="15">
        <v>655.20000000000005</v>
      </c>
      <c r="H878" s="15">
        <f t="shared" si="14"/>
        <v>0</v>
      </c>
      <c r="I878" s="19"/>
    </row>
    <row r="879" spans="1:9" x14ac:dyDescent="0.25">
      <c r="A879" s="16">
        <v>42744</v>
      </c>
      <c r="B879" s="17" t="s">
        <v>1147</v>
      </c>
      <c r="C879" s="18">
        <v>96476</v>
      </c>
      <c r="D879" s="2" t="s">
        <v>135</v>
      </c>
      <c r="E879" s="15">
        <v>16694.400000000001</v>
      </c>
      <c r="F879" s="36" t="s">
        <v>123</v>
      </c>
      <c r="G879" s="15">
        <v>16694.400000000001</v>
      </c>
      <c r="H879" s="15">
        <f t="shared" si="14"/>
        <v>0</v>
      </c>
      <c r="I879" s="19"/>
    </row>
    <row r="880" spans="1:9" x14ac:dyDescent="0.25">
      <c r="A880" s="16">
        <v>42744</v>
      </c>
      <c r="B880" s="17" t="s">
        <v>1148</v>
      </c>
      <c r="C880" s="18">
        <v>96477</v>
      </c>
      <c r="D880" s="13" t="s">
        <v>930</v>
      </c>
      <c r="E880" s="14">
        <v>0</v>
      </c>
      <c r="F880" s="123" t="s">
        <v>95</v>
      </c>
      <c r="G880" s="14">
        <v>0</v>
      </c>
      <c r="H880" s="14">
        <f t="shared" si="14"/>
        <v>0</v>
      </c>
      <c r="I880" s="19"/>
    </row>
    <row r="881" spans="1:9" x14ac:dyDescent="0.25">
      <c r="A881" s="16">
        <v>42744</v>
      </c>
      <c r="B881" s="17" t="s">
        <v>1149</v>
      </c>
      <c r="C881" s="18">
        <v>96478</v>
      </c>
      <c r="D881" s="2" t="s">
        <v>531</v>
      </c>
      <c r="E881" s="15">
        <v>34572.800000000003</v>
      </c>
      <c r="F881" s="36" t="s">
        <v>107</v>
      </c>
      <c r="G881" s="15">
        <v>34572.800000000003</v>
      </c>
      <c r="H881" s="15">
        <f t="shared" si="14"/>
        <v>0</v>
      </c>
      <c r="I881" s="19"/>
    </row>
    <row r="882" spans="1:9" x14ac:dyDescent="0.25">
      <c r="A882" s="16">
        <v>42744</v>
      </c>
      <c r="B882" s="17" t="s">
        <v>1150</v>
      </c>
      <c r="C882" s="18">
        <v>96479</v>
      </c>
      <c r="D882" s="2" t="s">
        <v>168</v>
      </c>
      <c r="E882" s="15">
        <v>879.3</v>
      </c>
      <c r="F882" s="36" t="s">
        <v>123</v>
      </c>
      <c r="G882" s="15">
        <v>879.3</v>
      </c>
      <c r="H882" s="15">
        <f t="shared" si="14"/>
        <v>0</v>
      </c>
      <c r="I882" s="19"/>
    </row>
    <row r="883" spans="1:9" x14ac:dyDescent="0.25">
      <c r="A883" s="16">
        <v>42744</v>
      </c>
      <c r="B883" s="17" t="s">
        <v>1151</v>
      </c>
      <c r="C883" s="18">
        <v>96480</v>
      </c>
      <c r="D883" s="2" t="s">
        <v>785</v>
      </c>
      <c r="E883" s="15">
        <v>14470</v>
      </c>
      <c r="F883" s="36" t="s">
        <v>123</v>
      </c>
      <c r="G883" s="15">
        <v>14470</v>
      </c>
      <c r="H883" s="15">
        <f t="shared" si="14"/>
        <v>0</v>
      </c>
      <c r="I883" s="19"/>
    </row>
    <row r="884" spans="1:9" x14ac:dyDescent="0.25">
      <c r="A884" s="16">
        <v>42744</v>
      </c>
      <c r="B884" s="17" t="s">
        <v>1152</v>
      </c>
      <c r="C884" s="18">
        <v>96481</v>
      </c>
      <c r="D884" s="2" t="s">
        <v>135</v>
      </c>
      <c r="E884" s="15">
        <v>767.6</v>
      </c>
      <c r="F884" s="36" t="s">
        <v>123</v>
      </c>
      <c r="G884" s="15">
        <v>767.6</v>
      </c>
      <c r="H884" s="15">
        <f t="shared" si="14"/>
        <v>0</v>
      </c>
      <c r="I884" s="19"/>
    </row>
    <row r="885" spans="1:9" x14ac:dyDescent="0.25">
      <c r="A885" s="16">
        <v>42744</v>
      </c>
      <c r="B885" s="17" t="s">
        <v>1153</v>
      </c>
      <c r="C885" s="18">
        <v>96482</v>
      </c>
      <c r="D885" s="2" t="s">
        <v>879</v>
      </c>
      <c r="E885" s="15">
        <v>471.9</v>
      </c>
      <c r="F885" s="36" t="s">
        <v>123</v>
      </c>
      <c r="G885" s="15">
        <v>471.9</v>
      </c>
      <c r="H885" s="15">
        <f t="shared" si="14"/>
        <v>0</v>
      </c>
      <c r="I885" s="19"/>
    </row>
    <row r="886" spans="1:9" x14ac:dyDescent="0.25">
      <c r="A886" s="16">
        <v>42744</v>
      </c>
      <c r="B886" s="17" t="s">
        <v>1154</v>
      </c>
      <c r="C886" s="18">
        <v>96483</v>
      </c>
      <c r="D886" s="2" t="s">
        <v>30</v>
      </c>
      <c r="E886" s="15">
        <v>1788.3</v>
      </c>
      <c r="F886" s="36" t="s">
        <v>123</v>
      </c>
      <c r="G886" s="15">
        <v>1788.3</v>
      </c>
      <c r="H886" s="15">
        <f t="shared" si="14"/>
        <v>0</v>
      </c>
      <c r="I886" s="19"/>
    </row>
    <row r="887" spans="1:9" x14ac:dyDescent="0.25">
      <c r="A887" s="16">
        <v>42744</v>
      </c>
      <c r="B887" s="17" t="s">
        <v>1155</v>
      </c>
      <c r="C887" s="18">
        <v>96484</v>
      </c>
      <c r="D887" s="2" t="s">
        <v>205</v>
      </c>
      <c r="E887" s="15">
        <v>12243</v>
      </c>
      <c r="F887" s="36" t="s">
        <v>1156</v>
      </c>
      <c r="G887" s="15">
        <v>12243</v>
      </c>
      <c r="H887" s="15">
        <f t="shared" si="14"/>
        <v>0</v>
      </c>
      <c r="I887" s="19"/>
    </row>
    <row r="888" spans="1:9" x14ac:dyDescent="0.25">
      <c r="A888" s="16">
        <v>42744</v>
      </c>
      <c r="B888" s="17" t="s">
        <v>1157</v>
      </c>
      <c r="C888" s="18">
        <v>96485</v>
      </c>
      <c r="D888" s="2" t="s">
        <v>30</v>
      </c>
      <c r="E888" s="15">
        <v>5305.5</v>
      </c>
      <c r="F888" s="36" t="s">
        <v>123</v>
      </c>
      <c r="G888" s="15">
        <v>5305.5</v>
      </c>
      <c r="H888" s="15">
        <f t="shared" si="14"/>
        <v>0</v>
      </c>
      <c r="I888" s="19"/>
    </row>
    <row r="889" spans="1:9" x14ac:dyDescent="0.25">
      <c r="A889" s="16">
        <v>42744</v>
      </c>
      <c r="B889" s="17" t="s">
        <v>1158</v>
      </c>
      <c r="C889" s="18">
        <v>96486</v>
      </c>
      <c r="D889" s="2" t="s">
        <v>218</v>
      </c>
      <c r="E889" s="15">
        <v>11167.1</v>
      </c>
      <c r="F889" s="36" t="s">
        <v>307</v>
      </c>
      <c r="G889" s="15">
        <v>11167.1</v>
      </c>
      <c r="H889" s="15">
        <f t="shared" si="14"/>
        <v>0</v>
      </c>
      <c r="I889" s="19"/>
    </row>
    <row r="890" spans="1:9" x14ac:dyDescent="0.25">
      <c r="A890" s="16">
        <v>42744</v>
      </c>
      <c r="B890" s="17" t="s">
        <v>1159</v>
      </c>
      <c r="C890" s="18">
        <v>96487</v>
      </c>
      <c r="D890" s="2" t="s">
        <v>1160</v>
      </c>
      <c r="E890" s="15">
        <v>3598.6</v>
      </c>
      <c r="F890" s="36" t="s">
        <v>123</v>
      </c>
      <c r="G890" s="15">
        <v>3598.6</v>
      </c>
      <c r="H890" s="15">
        <f t="shared" si="14"/>
        <v>0</v>
      </c>
      <c r="I890" s="19"/>
    </row>
    <row r="891" spans="1:9" x14ac:dyDescent="0.25">
      <c r="A891" s="16">
        <v>42744</v>
      </c>
      <c r="B891" s="17" t="s">
        <v>1161</v>
      </c>
      <c r="C891" s="18">
        <v>96488</v>
      </c>
      <c r="D891" s="2" t="s">
        <v>1160</v>
      </c>
      <c r="E891" s="15">
        <v>370</v>
      </c>
      <c r="F891" s="36" t="s">
        <v>123</v>
      </c>
      <c r="G891" s="15">
        <v>370</v>
      </c>
      <c r="H891" s="15">
        <f t="shared" si="14"/>
        <v>0</v>
      </c>
      <c r="I891" s="19"/>
    </row>
    <row r="892" spans="1:9" x14ac:dyDescent="0.25">
      <c r="A892" s="16">
        <v>42744</v>
      </c>
      <c r="B892" s="17" t="s">
        <v>1162</v>
      </c>
      <c r="C892" s="18">
        <v>96489</v>
      </c>
      <c r="D892" s="2" t="s">
        <v>1163</v>
      </c>
      <c r="E892" s="15">
        <v>16005.6</v>
      </c>
      <c r="F892" s="36" t="s">
        <v>107</v>
      </c>
      <c r="G892" s="15">
        <v>16005.6</v>
      </c>
      <c r="H892" s="15">
        <f t="shared" si="14"/>
        <v>0</v>
      </c>
      <c r="I892" s="19"/>
    </row>
    <row r="893" spans="1:9" x14ac:dyDescent="0.25">
      <c r="A893" s="16">
        <v>42744</v>
      </c>
      <c r="B893" s="17" t="s">
        <v>1164</v>
      </c>
      <c r="C893" s="18">
        <v>96490</v>
      </c>
      <c r="D893" s="2" t="s">
        <v>528</v>
      </c>
      <c r="E893" s="15">
        <v>1637</v>
      </c>
      <c r="F893" s="36" t="s">
        <v>107</v>
      </c>
      <c r="G893" s="15">
        <v>1637</v>
      </c>
      <c r="H893" s="15">
        <f t="shared" si="14"/>
        <v>0</v>
      </c>
      <c r="I893" s="19"/>
    </row>
    <row r="894" spans="1:9" x14ac:dyDescent="0.25">
      <c r="A894" s="16">
        <v>42744</v>
      </c>
      <c r="B894" s="17" t="s">
        <v>1165</v>
      </c>
      <c r="C894" s="18">
        <v>96491</v>
      </c>
      <c r="D894" s="2" t="s">
        <v>1166</v>
      </c>
      <c r="E894" s="15">
        <v>1177.4000000000001</v>
      </c>
      <c r="F894" s="36" t="s">
        <v>107</v>
      </c>
      <c r="G894" s="15">
        <v>1177.4000000000001</v>
      </c>
      <c r="H894" s="15">
        <f t="shared" si="14"/>
        <v>0</v>
      </c>
      <c r="I894" s="19"/>
    </row>
    <row r="895" spans="1:9" x14ac:dyDescent="0.25">
      <c r="A895" s="16">
        <v>42744</v>
      </c>
      <c r="B895" s="17" t="s">
        <v>1167</v>
      </c>
      <c r="C895" s="18">
        <v>96492</v>
      </c>
      <c r="D895" s="2" t="s">
        <v>182</v>
      </c>
      <c r="E895" s="15">
        <v>2500</v>
      </c>
      <c r="F895" s="36" t="s">
        <v>107</v>
      </c>
      <c r="G895" s="15">
        <v>2500</v>
      </c>
      <c r="H895" s="15">
        <f t="shared" si="14"/>
        <v>0</v>
      </c>
      <c r="I895" s="19"/>
    </row>
    <row r="896" spans="1:9" x14ac:dyDescent="0.25">
      <c r="A896" s="16">
        <v>42744</v>
      </c>
      <c r="B896" s="17" t="s">
        <v>1168</v>
      </c>
      <c r="C896" s="18">
        <v>96493</v>
      </c>
      <c r="D896" s="2" t="s">
        <v>656</v>
      </c>
      <c r="E896" s="15">
        <v>5666.6</v>
      </c>
      <c r="F896" s="36" t="s">
        <v>107</v>
      </c>
      <c r="G896" s="15">
        <v>5666.6</v>
      </c>
      <c r="H896" s="15">
        <f t="shared" si="14"/>
        <v>0</v>
      </c>
      <c r="I896" s="19"/>
    </row>
    <row r="897" spans="1:9" x14ac:dyDescent="0.25">
      <c r="A897" s="16">
        <v>42744</v>
      </c>
      <c r="B897" s="17" t="s">
        <v>1169</v>
      </c>
      <c r="C897" s="18">
        <v>96494</v>
      </c>
      <c r="D897" s="2" t="s">
        <v>193</v>
      </c>
      <c r="E897" s="15">
        <v>3120</v>
      </c>
      <c r="F897" s="36" t="s">
        <v>107</v>
      </c>
      <c r="G897" s="15">
        <v>3120</v>
      </c>
      <c r="H897" s="15">
        <f t="shared" si="14"/>
        <v>0</v>
      </c>
      <c r="I897" s="19"/>
    </row>
    <row r="898" spans="1:9" x14ac:dyDescent="0.25">
      <c r="A898" s="16">
        <v>42744</v>
      </c>
      <c r="B898" s="17" t="s">
        <v>1170</v>
      </c>
      <c r="C898" s="18">
        <v>96495</v>
      </c>
      <c r="D898" s="2" t="s">
        <v>352</v>
      </c>
      <c r="E898" s="15">
        <v>3180</v>
      </c>
      <c r="F898" s="36" t="s">
        <v>123</v>
      </c>
      <c r="G898" s="15">
        <v>3180</v>
      </c>
      <c r="H898" s="15">
        <f t="shared" si="14"/>
        <v>0</v>
      </c>
      <c r="I898" s="19"/>
    </row>
    <row r="899" spans="1:9" x14ac:dyDescent="0.25">
      <c r="A899" s="16">
        <v>42744</v>
      </c>
      <c r="B899" s="17" t="s">
        <v>1171</v>
      </c>
      <c r="C899" s="18">
        <v>96496</v>
      </c>
      <c r="D899" s="2" t="s">
        <v>356</v>
      </c>
      <c r="E899" s="15">
        <v>15427.8</v>
      </c>
      <c r="F899" s="36" t="s">
        <v>107</v>
      </c>
      <c r="G899" s="15">
        <v>15427.8</v>
      </c>
      <c r="H899" s="15">
        <f t="shared" si="14"/>
        <v>0</v>
      </c>
      <c r="I899" s="19"/>
    </row>
    <row r="900" spans="1:9" x14ac:dyDescent="0.25">
      <c r="A900" s="16">
        <v>42744</v>
      </c>
      <c r="B900" s="17" t="s">
        <v>1172</v>
      </c>
      <c r="C900" s="18">
        <v>96497</v>
      </c>
      <c r="D900" s="2" t="s">
        <v>122</v>
      </c>
      <c r="E900" s="15">
        <v>1092.5</v>
      </c>
      <c r="F900" s="36" t="s">
        <v>1173</v>
      </c>
      <c r="G900" s="15">
        <v>1092.5</v>
      </c>
      <c r="H900" s="15">
        <f t="shared" si="14"/>
        <v>0</v>
      </c>
      <c r="I900" s="19"/>
    </row>
    <row r="901" spans="1:9" x14ac:dyDescent="0.25">
      <c r="A901" s="16">
        <v>42744</v>
      </c>
      <c r="B901" s="17" t="s">
        <v>1174</v>
      </c>
      <c r="C901" s="18">
        <v>96498</v>
      </c>
      <c r="D901" s="2" t="s">
        <v>422</v>
      </c>
      <c r="E901" s="15">
        <v>1246.0999999999999</v>
      </c>
      <c r="F901" s="36" t="s">
        <v>123</v>
      </c>
      <c r="G901" s="15">
        <v>1246.0999999999999</v>
      </c>
      <c r="H901" s="15">
        <f t="shared" si="14"/>
        <v>0</v>
      </c>
      <c r="I901" s="19"/>
    </row>
    <row r="902" spans="1:9" x14ac:dyDescent="0.25">
      <c r="A902" s="16">
        <v>42744</v>
      </c>
      <c r="B902" s="17" t="s">
        <v>1175</v>
      </c>
      <c r="C902" s="18">
        <v>96499</v>
      </c>
      <c r="D902" s="13" t="s">
        <v>222</v>
      </c>
      <c r="E902" s="14">
        <v>0</v>
      </c>
      <c r="F902" s="123" t="s">
        <v>95</v>
      </c>
      <c r="G902" s="14">
        <v>0</v>
      </c>
      <c r="H902" s="14">
        <f t="shared" ref="H902:H965" si="15">E902-G902</f>
        <v>0</v>
      </c>
      <c r="I902" s="19"/>
    </row>
    <row r="903" spans="1:9" x14ac:dyDescent="0.25">
      <c r="A903" s="16">
        <v>42744</v>
      </c>
      <c r="B903" s="17" t="s">
        <v>1176</v>
      </c>
      <c r="C903" s="18">
        <v>96500</v>
      </c>
      <c r="D903" s="2" t="s">
        <v>205</v>
      </c>
      <c r="E903" s="15">
        <v>8752</v>
      </c>
      <c r="F903" s="36" t="s">
        <v>107</v>
      </c>
      <c r="G903" s="15">
        <v>8752</v>
      </c>
      <c r="H903" s="15">
        <f t="shared" si="15"/>
        <v>0</v>
      </c>
      <c r="I903" s="19"/>
    </row>
    <row r="904" spans="1:9" x14ac:dyDescent="0.25">
      <c r="A904" s="16">
        <v>42744</v>
      </c>
      <c r="B904" s="17" t="s">
        <v>1177</v>
      </c>
      <c r="C904" s="18">
        <v>96501</v>
      </c>
      <c r="D904" s="2" t="s">
        <v>30</v>
      </c>
      <c r="E904" s="15">
        <v>13517</v>
      </c>
      <c r="F904" s="36" t="s">
        <v>123</v>
      </c>
      <c r="G904" s="15">
        <v>13517</v>
      </c>
      <c r="H904" s="15">
        <f t="shared" si="15"/>
        <v>0</v>
      </c>
      <c r="I904" s="19"/>
    </row>
    <row r="905" spans="1:9" x14ac:dyDescent="0.25">
      <c r="A905" s="16">
        <v>42744</v>
      </c>
      <c r="B905" s="17" t="s">
        <v>1178</v>
      </c>
      <c r="C905" s="18">
        <v>96502</v>
      </c>
      <c r="D905" s="2" t="s">
        <v>30</v>
      </c>
      <c r="E905" s="15">
        <v>3517.8</v>
      </c>
      <c r="F905" s="36" t="s">
        <v>123</v>
      </c>
      <c r="G905" s="15">
        <v>3517.8</v>
      </c>
      <c r="H905" s="15">
        <f t="shared" si="15"/>
        <v>0</v>
      </c>
      <c r="I905" s="19"/>
    </row>
    <row r="906" spans="1:9" x14ac:dyDescent="0.25">
      <c r="A906" s="16">
        <v>42744</v>
      </c>
      <c r="B906" s="17" t="s">
        <v>1179</v>
      </c>
      <c r="C906" s="18">
        <v>96503</v>
      </c>
      <c r="D906" s="2" t="s">
        <v>800</v>
      </c>
      <c r="E906" s="15">
        <v>13183</v>
      </c>
      <c r="F906" s="124" t="s">
        <v>1180</v>
      </c>
      <c r="G906" s="20">
        <f>9500+3683</f>
        <v>13183</v>
      </c>
      <c r="H906" s="20">
        <f t="shared" si="15"/>
        <v>0</v>
      </c>
      <c r="I906" s="19"/>
    </row>
    <row r="907" spans="1:9" x14ac:dyDescent="0.25">
      <c r="A907" s="16">
        <v>42744</v>
      </c>
      <c r="B907" s="17" t="s">
        <v>1181</v>
      </c>
      <c r="C907" s="18">
        <v>96504</v>
      </c>
      <c r="D907" s="2" t="s">
        <v>800</v>
      </c>
      <c r="E907" s="15">
        <v>1706.4</v>
      </c>
      <c r="F907" s="36" t="s">
        <v>801</v>
      </c>
      <c r="G907" s="15">
        <v>1706.4</v>
      </c>
      <c r="H907" s="15">
        <f t="shared" si="15"/>
        <v>0</v>
      </c>
      <c r="I907" s="19"/>
    </row>
    <row r="908" spans="1:9" x14ac:dyDescent="0.25">
      <c r="A908" s="16">
        <v>42744</v>
      </c>
      <c r="B908" s="17" t="s">
        <v>1182</v>
      </c>
      <c r="C908" s="18">
        <v>96505</v>
      </c>
      <c r="D908" s="2" t="s">
        <v>30</v>
      </c>
      <c r="E908" s="15">
        <v>3710</v>
      </c>
      <c r="F908" s="36" t="s">
        <v>123</v>
      </c>
      <c r="G908" s="15">
        <v>3710</v>
      </c>
      <c r="H908" s="15">
        <f t="shared" si="15"/>
        <v>0</v>
      </c>
      <c r="I908" s="19"/>
    </row>
    <row r="909" spans="1:9" x14ac:dyDescent="0.25">
      <c r="A909" s="16">
        <v>42744</v>
      </c>
      <c r="B909" s="17" t="s">
        <v>1183</v>
      </c>
      <c r="C909" s="18">
        <v>96506</v>
      </c>
      <c r="D909" s="2" t="s">
        <v>10</v>
      </c>
      <c r="E909" s="15">
        <v>112743.1</v>
      </c>
      <c r="F909" s="36" t="s">
        <v>126</v>
      </c>
      <c r="G909" s="15">
        <v>112743.1</v>
      </c>
      <c r="H909" s="15">
        <f t="shared" si="15"/>
        <v>0</v>
      </c>
      <c r="I909" s="19"/>
    </row>
    <row r="910" spans="1:9" x14ac:dyDescent="0.25">
      <c r="A910" s="16">
        <v>42744</v>
      </c>
      <c r="B910" s="17" t="s">
        <v>1184</v>
      </c>
      <c r="C910" s="18">
        <v>96507</v>
      </c>
      <c r="D910" s="2" t="s">
        <v>10</v>
      </c>
      <c r="E910" s="15">
        <v>28836.3</v>
      </c>
      <c r="F910" s="36" t="s">
        <v>126</v>
      </c>
      <c r="G910" s="15">
        <v>28836.3</v>
      </c>
      <c r="H910" s="15">
        <f t="shared" si="15"/>
        <v>0</v>
      </c>
      <c r="I910" s="19"/>
    </row>
    <row r="911" spans="1:9" x14ac:dyDescent="0.25">
      <c r="A911" s="16">
        <v>42744</v>
      </c>
      <c r="B911" s="17" t="s">
        <v>1185</v>
      </c>
      <c r="C911" s="18">
        <v>96508</v>
      </c>
      <c r="D911" s="13" t="s">
        <v>30</v>
      </c>
      <c r="E911" s="14">
        <v>0</v>
      </c>
      <c r="F911" s="123" t="s">
        <v>95</v>
      </c>
      <c r="G911" s="14">
        <v>0</v>
      </c>
      <c r="H911" s="14">
        <f t="shared" si="15"/>
        <v>0</v>
      </c>
      <c r="I911" s="19"/>
    </row>
    <row r="912" spans="1:9" x14ac:dyDescent="0.25">
      <c r="A912" s="16">
        <v>42744</v>
      </c>
      <c r="B912" s="17" t="s">
        <v>1186</v>
      </c>
      <c r="C912" s="18">
        <v>96509</v>
      </c>
      <c r="D912" s="2" t="s">
        <v>10</v>
      </c>
      <c r="E912" s="15">
        <v>13601.2</v>
      </c>
      <c r="F912" s="36" t="s">
        <v>126</v>
      </c>
      <c r="G912" s="15">
        <v>13601.2</v>
      </c>
      <c r="H912" s="15">
        <f t="shared" si="15"/>
        <v>0</v>
      </c>
      <c r="I912" s="19"/>
    </row>
    <row r="913" spans="1:9" x14ac:dyDescent="0.25">
      <c r="A913" s="16">
        <v>42744</v>
      </c>
      <c r="B913" s="17" t="s">
        <v>1187</v>
      </c>
      <c r="C913" s="18">
        <v>96510</v>
      </c>
      <c r="D913" s="2" t="s">
        <v>211</v>
      </c>
      <c r="E913" s="15">
        <v>8494.9</v>
      </c>
      <c r="F913" s="36" t="s">
        <v>123</v>
      </c>
      <c r="G913" s="15">
        <v>8494.9</v>
      </c>
      <c r="H913" s="15">
        <f t="shared" si="15"/>
        <v>0</v>
      </c>
      <c r="I913" s="19"/>
    </row>
    <row r="914" spans="1:9" x14ac:dyDescent="0.25">
      <c r="A914" s="16">
        <v>42744</v>
      </c>
      <c r="B914" s="17" t="s">
        <v>1188</v>
      </c>
      <c r="C914" s="18">
        <v>96511</v>
      </c>
      <c r="D914" s="2" t="s">
        <v>316</v>
      </c>
      <c r="E914" s="15">
        <v>21309.64</v>
      </c>
      <c r="F914" s="36" t="s">
        <v>317</v>
      </c>
      <c r="G914" s="15">
        <v>21309.64</v>
      </c>
      <c r="H914" s="15">
        <f t="shared" si="15"/>
        <v>0</v>
      </c>
      <c r="I914" s="19"/>
    </row>
    <row r="915" spans="1:9" x14ac:dyDescent="0.25">
      <c r="A915" s="16">
        <v>42744</v>
      </c>
      <c r="B915" s="17" t="s">
        <v>1189</v>
      </c>
      <c r="C915" s="18">
        <v>96512</v>
      </c>
      <c r="D915" s="2" t="s">
        <v>214</v>
      </c>
      <c r="E915" s="15">
        <v>4000</v>
      </c>
      <c r="F915" s="36" t="s">
        <v>107</v>
      </c>
      <c r="G915" s="15">
        <v>4000</v>
      </c>
      <c r="H915" s="15">
        <f t="shared" si="15"/>
        <v>0</v>
      </c>
      <c r="I915" s="19"/>
    </row>
    <row r="916" spans="1:9" x14ac:dyDescent="0.25">
      <c r="A916" s="16">
        <v>42744</v>
      </c>
      <c r="B916" s="17" t="s">
        <v>1190</v>
      </c>
      <c r="C916" s="18">
        <v>96513</v>
      </c>
      <c r="D916" s="2" t="s">
        <v>214</v>
      </c>
      <c r="E916" s="15">
        <v>4000</v>
      </c>
      <c r="F916" s="36" t="s">
        <v>107</v>
      </c>
      <c r="G916" s="15">
        <v>4000</v>
      </c>
      <c r="H916" s="15">
        <f t="shared" si="15"/>
        <v>0</v>
      </c>
      <c r="I916" s="19"/>
    </row>
    <row r="917" spans="1:9" x14ac:dyDescent="0.25">
      <c r="A917" s="16">
        <v>42744</v>
      </c>
      <c r="B917" s="17" t="s">
        <v>1191</v>
      </c>
      <c r="C917" s="18">
        <v>96514</v>
      </c>
      <c r="D917" s="2" t="s">
        <v>220</v>
      </c>
      <c r="E917" s="15">
        <v>1102</v>
      </c>
      <c r="F917" s="36" t="s">
        <v>123</v>
      </c>
      <c r="G917" s="15">
        <v>1102</v>
      </c>
      <c r="H917" s="15">
        <f t="shared" si="15"/>
        <v>0</v>
      </c>
      <c r="I917" s="19"/>
    </row>
    <row r="918" spans="1:9" x14ac:dyDescent="0.25">
      <c r="A918" s="16">
        <v>42744</v>
      </c>
      <c r="B918" s="17" t="s">
        <v>1192</v>
      </c>
      <c r="C918" s="18">
        <v>96515</v>
      </c>
      <c r="D918" s="2" t="s">
        <v>688</v>
      </c>
      <c r="E918" s="15">
        <v>8471.2000000000007</v>
      </c>
      <c r="F918" s="36" t="s">
        <v>107</v>
      </c>
      <c r="G918" s="15">
        <v>8471.2000000000007</v>
      </c>
      <c r="H918" s="15">
        <f t="shared" si="15"/>
        <v>0</v>
      </c>
      <c r="I918" s="19"/>
    </row>
    <row r="919" spans="1:9" x14ac:dyDescent="0.25">
      <c r="A919" s="16">
        <v>42744</v>
      </c>
      <c r="B919" s="17" t="s">
        <v>1193</v>
      </c>
      <c r="C919" s="18">
        <v>96516</v>
      </c>
      <c r="D919" s="2" t="s">
        <v>686</v>
      </c>
      <c r="E919" s="15">
        <v>17959.599999999999</v>
      </c>
      <c r="F919" s="36" t="s">
        <v>107</v>
      </c>
      <c r="G919" s="15">
        <v>17959.599999999999</v>
      </c>
      <c r="H919" s="15">
        <f t="shared" si="15"/>
        <v>0</v>
      </c>
      <c r="I919" s="19"/>
    </row>
    <row r="920" spans="1:9" x14ac:dyDescent="0.25">
      <c r="A920" s="16">
        <v>42744</v>
      </c>
      <c r="B920" s="17" t="s">
        <v>1194</v>
      </c>
      <c r="C920" s="18">
        <v>96517</v>
      </c>
      <c r="D920" s="2" t="s">
        <v>670</v>
      </c>
      <c r="E920" s="15">
        <v>56625.599999999999</v>
      </c>
      <c r="F920" s="36" t="s">
        <v>107</v>
      </c>
      <c r="G920" s="15">
        <v>56625.599999999999</v>
      </c>
      <c r="H920" s="15">
        <f t="shared" si="15"/>
        <v>0</v>
      </c>
      <c r="I920" s="19"/>
    </row>
    <row r="921" spans="1:9" x14ac:dyDescent="0.25">
      <c r="A921" s="16">
        <v>42744</v>
      </c>
      <c r="B921" s="17" t="s">
        <v>1195</v>
      </c>
      <c r="C921" s="18">
        <v>96518</v>
      </c>
      <c r="D921" s="2" t="s">
        <v>680</v>
      </c>
      <c r="E921" s="15">
        <v>5340.6</v>
      </c>
      <c r="F921" s="36" t="s">
        <v>107</v>
      </c>
      <c r="G921" s="15">
        <v>5340.6</v>
      </c>
      <c r="H921" s="15">
        <f t="shared" si="15"/>
        <v>0</v>
      </c>
      <c r="I921" s="19"/>
    </row>
    <row r="922" spans="1:9" x14ac:dyDescent="0.25">
      <c r="A922" s="16">
        <v>42744</v>
      </c>
      <c r="B922" s="17" t="s">
        <v>1196</v>
      </c>
      <c r="C922" s="18">
        <v>96519</v>
      </c>
      <c r="D922" s="2" t="s">
        <v>1197</v>
      </c>
      <c r="E922" s="15">
        <v>2883.3</v>
      </c>
      <c r="F922" s="36" t="s">
        <v>107</v>
      </c>
      <c r="G922" s="15">
        <v>2883.3</v>
      </c>
      <c r="H922" s="15">
        <f t="shared" si="15"/>
        <v>0</v>
      </c>
      <c r="I922" s="19"/>
    </row>
    <row r="923" spans="1:9" x14ac:dyDescent="0.25">
      <c r="A923" s="16">
        <v>42744</v>
      </c>
      <c r="B923" s="17" t="s">
        <v>1198</v>
      </c>
      <c r="C923" s="18">
        <v>96520</v>
      </c>
      <c r="D923" s="2" t="s">
        <v>1199</v>
      </c>
      <c r="E923" s="15">
        <v>19110.419999999998</v>
      </c>
      <c r="F923" s="36" t="s">
        <v>224</v>
      </c>
      <c r="G923" s="15">
        <v>19110.419999999998</v>
      </c>
      <c r="H923" s="15">
        <f t="shared" si="15"/>
        <v>0</v>
      </c>
      <c r="I923" s="19"/>
    </row>
    <row r="924" spans="1:9" x14ac:dyDescent="0.25">
      <c r="A924" s="16">
        <v>42744</v>
      </c>
      <c r="B924" s="17" t="s">
        <v>1200</v>
      </c>
      <c r="C924" s="18">
        <v>96521</v>
      </c>
      <c r="D924" s="2" t="s">
        <v>673</v>
      </c>
      <c r="E924" s="15">
        <v>8209.7999999999993</v>
      </c>
      <c r="F924" s="36" t="s">
        <v>107</v>
      </c>
      <c r="G924" s="15">
        <v>8209.7999999999993</v>
      </c>
      <c r="H924" s="15">
        <f t="shared" si="15"/>
        <v>0</v>
      </c>
      <c r="I924" s="19"/>
    </row>
    <row r="925" spans="1:9" x14ac:dyDescent="0.25">
      <c r="A925" s="16">
        <v>42744</v>
      </c>
      <c r="B925" s="17" t="s">
        <v>1201</v>
      </c>
      <c r="C925" s="18">
        <v>96522</v>
      </c>
      <c r="D925" s="2" t="s">
        <v>1197</v>
      </c>
      <c r="E925" s="15">
        <v>529.20000000000005</v>
      </c>
      <c r="F925" s="36" t="s">
        <v>107</v>
      </c>
      <c r="G925" s="15">
        <v>529.20000000000005</v>
      </c>
      <c r="H925" s="15">
        <f t="shared" si="15"/>
        <v>0</v>
      </c>
      <c r="I925" s="19"/>
    </row>
    <row r="926" spans="1:9" x14ac:dyDescent="0.25">
      <c r="A926" s="16">
        <v>42744</v>
      </c>
      <c r="B926" s="17" t="s">
        <v>1202</v>
      </c>
      <c r="C926" s="18">
        <v>96523</v>
      </c>
      <c r="D926" s="2" t="s">
        <v>30</v>
      </c>
      <c r="E926" s="15">
        <v>7.0000000000000007E-2</v>
      </c>
      <c r="F926" s="36" t="s">
        <v>224</v>
      </c>
      <c r="G926" s="15">
        <v>7.0000000000000007E-2</v>
      </c>
      <c r="H926" s="15">
        <f t="shared" si="15"/>
        <v>0</v>
      </c>
      <c r="I926" s="19"/>
    </row>
    <row r="927" spans="1:9" x14ac:dyDescent="0.25">
      <c r="A927" s="16">
        <v>42745</v>
      </c>
      <c r="B927" s="17" t="s">
        <v>1203</v>
      </c>
      <c r="C927" s="18">
        <v>96524</v>
      </c>
      <c r="D927" s="2" t="s">
        <v>231</v>
      </c>
      <c r="E927" s="15">
        <v>10833.2</v>
      </c>
      <c r="F927" s="36" t="s">
        <v>275</v>
      </c>
      <c r="G927" s="15">
        <v>10833.2</v>
      </c>
      <c r="H927" s="15">
        <f t="shared" si="15"/>
        <v>0</v>
      </c>
      <c r="I927" s="19"/>
    </row>
    <row r="928" spans="1:9" x14ac:dyDescent="0.25">
      <c r="A928" s="16">
        <v>42745</v>
      </c>
      <c r="B928" s="17" t="s">
        <v>1204</v>
      </c>
      <c r="C928" s="18">
        <v>96525</v>
      </c>
      <c r="D928" s="2" t="s">
        <v>231</v>
      </c>
      <c r="E928" s="15">
        <v>38180.400000000001</v>
      </c>
      <c r="F928" s="36" t="s">
        <v>107</v>
      </c>
      <c r="G928" s="15">
        <v>38180.400000000001</v>
      </c>
      <c r="H928" s="15">
        <f t="shared" si="15"/>
        <v>0</v>
      </c>
      <c r="I928" s="19"/>
    </row>
    <row r="929" spans="1:9" x14ac:dyDescent="0.25">
      <c r="A929" s="16">
        <v>42745</v>
      </c>
      <c r="B929" s="17" t="s">
        <v>1205</v>
      </c>
      <c r="C929" s="18">
        <v>96526</v>
      </c>
      <c r="D929" s="2" t="s">
        <v>26</v>
      </c>
      <c r="E929" s="15">
        <v>21223.4</v>
      </c>
      <c r="F929" s="36" t="s">
        <v>107</v>
      </c>
      <c r="G929" s="15">
        <v>21223.4</v>
      </c>
      <c r="H929" s="15">
        <f t="shared" si="15"/>
        <v>0</v>
      </c>
      <c r="I929" s="19"/>
    </row>
    <row r="930" spans="1:9" x14ac:dyDescent="0.25">
      <c r="A930" s="16">
        <v>42745</v>
      </c>
      <c r="B930" s="17" t="s">
        <v>1206</v>
      </c>
      <c r="C930" s="18">
        <v>96527</v>
      </c>
      <c r="D930" s="2" t="s">
        <v>17</v>
      </c>
      <c r="E930" s="15">
        <v>2250</v>
      </c>
      <c r="F930" s="36" t="s">
        <v>107</v>
      </c>
      <c r="G930" s="15">
        <v>2250</v>
      </c>
      <c r="H930" s="15">
        <f t="shared" si="15"/>
        <v>0</v>
      </c>
      <c r="I930" s="19"/>
    </row>
    <row r="931" spans="1:9" x14ac:dyDescent="0.25">
      <c r="A931" s="16">
        <v>42745</v>
      </c>
      <c r="B931" s="17" t="s">
        <v>1207</v>
      </c>
      <c r="C931" s="18">
        <v>96528</v>
      </c>
      <c r="D931" s="2" t="s">
        <v>576</v>
      </c>
      <c r="E931" s="15">
        <v>4558.6000000000004</v>
      </c>
      <c r="F931" s="36" t="s">
        <v>275</v>
      </c>
      <c r="G931" s="15">
        <v>4558.6000000000004</v>
      </c>
      <c r="H931" s="15">
        <f t="shared" si="15"/>
        <v>0</v>
      </c>
      <c r="I931" s="19"/>
    </row>
    <row r="932" spans="1:9" x14ac:dyDescent="0.25">
      <c r="A932" s="16">
        <v>42745</v>
      </c>
      <c r="B932" s="17" t="s">
        <v>1208</v>
      </c>
      <c r="C932" s="18">
        <v>96529</v>
      </c>
      <c r="D932" s="13" t="s">
        <v>1209</v>
      </c>
      <c r="E932" s="14">
        <v>0</v>
      </c>
      <c r="F932" s="123" t="s">
        <v>95</v>
      </c>
      <c r="G932" s="14">
        <v>0</v>
      </c>
      <c r="H932" s="14">
        <f t="shared" si="15"/>
        <v>0</v>
      </c>
      <c r="I932" s="19"/>
    </row>
    <row r="933" spans="1:9" x14ac:dyDescent="0.25">
      <c r="A933" s="16">
        <v>42745</v>
      </c>
      <c r="B933" s="17" t="s">
        <v>1210</v>
      </c>
      <c r="C933" s="18">
        <v>96530</v>
      </c>
      <c r="D933" s="2" t="s">
        <v>218</v>
      </c>
      <c r="E933" s="15">
        <v>70857.149999999994</v>
      </c>
      <c r="F933" s="36" t="s">
        <v>307</v>
      </c>
      <c r="G933" s="15">
        <v>70857.149999999994</v>
      </c>
      <c r="H933" s="15">
        <f t="shared" si="15"/>
        <v>0</v>
      </c>
      <c r="I933" s="19"/>
    </row>
    <row r="934" spans="1:9" x14ac:dyDescent="0.25">
      <c r="A934" s="16">
        <v>42745</v>
      </c>
      <c r="B934" s="17" t="s">
        <v>1211</v>
      </c>
      <c r="C934" s="18">
        <v>96531</v>
      </c>
      <c r="D934" s="2" t="s">
        <v>30</v>
      </c>
      <c r="E934" s="15">
        <v>8088.2</v>
      </c>
      <c r="F934" s="36" t="s">
        <v>107</v>
      </c>
      <c r="G934" s="15">
        <v>8088.2</v>
      </c>
      <c r="H934" s="15">
        <f t="shared" si="15"/>
        <v>0</v>
      </c>
      <c r="I934" s="19"/>
    </row>
    <row r="935" spans="1:9" x14ac:dyDescent="0.25">
      <c r="A935" s="16">
        <v>42745</v>
      </c>
      <c r="B935" s="17" t="s">
        <v>1212</v>
      </c>
      <c r="C935" s="18">
        <v>96532</v>
      </c>
      <c r="D935" s="2" t="s">
        <v>30</v>
      </c>
      <c r="E935" s="15">
        <v>1895.7</v>
      </c>
      <c r="F935" s="36" t="s">
        <v>107</v>
      </c>
      <c r="G935" s="15">
        <v>1895.7</v>
      </c>
      <c r="H935" s="15">
        <f t="shared" si="15"/>
        <v>0</v>
      </c>
      <c r="I935" s="19"/>
    </row>
    <row r="936" spans="1:9" x14ac:dyDescent="0.25">
      <c r="A936" s="16">
        <v>42745</v>
      </c>
      <c r="B936" s="17" t="s">
        <v>1213</v>
      </c>
      <c r="C936" s="18">
        <v>96533</v>
      </c>
      <c r="D936" s="2" t="s">
        <v>59</v>
      </c>
      <c r="E936" s="15">
        <v>1200.5999999999999</v>
      </c>
      <c r="F936" s="36" t="s">
        <v>107</v>
      </c>
      <c r="G936" s="15">
        <v>1200.5999999999999</v>
      </c>
      <c r="H936" s="15">
        <f t="shared" si="15"/>
        <v>0</v>
      </c>
      <c r="I936" s="19"/>
    </row>
    <row r="937" spans="1:9" x14ac:dyDescent="0.25">
      <c r="A937" s="16">
        <v>42745</v>
      </c>
      <c r="B937" s="17" t="s">
        <v>1214</v>
      </c>
      <c r="C937" s="18">
        <v>96534</v>
      </c>
      <c r="D937" s="2" t="s">
        <v>250</v>
      </c>
      <c r="E937" s="15">
        <v>5690.76</v>
      </c>
      <c r="F937" s="36" t="s">
        <v>275</v>
      </c>
      <c r="G937" s="15">
        <v>5690.76</v>
      </c>
      <c r="H937" s="15">
        <f t="shared" si="15"/>
        <v>0</v>
      </c>
      <c r="I937" s="19"/>
    </row>
    <row r="938" spans="1:9" x14ac:dyDescent="0.25">
      <c r="A938" s="16">
        <v>42745</v>
      </c>
      <c r="B938" s="17" t="s">
        <v>1215</v>
      </c>
      <c r="C938" s="18">
        <v>96535</v>
      </c>
      <c r="D938" s="2" t="s">
        <v>40</v>
      </c>
      <c r="E938" s="15">
        <v>7560</v>
      </c>
      <c r="F938" s="124" t="s">
        <v>1083</v>
      </c>
      <c r="G938" s="20">
        <f>2500+5060</f>
        <v>7560</v>
      </c>
      <c r="H938" s="20">
        <f t="shared" si="15"/>
        <v>0</v>
      </c>
      <c r="I938" s="19"/>
    </row>
    <row r="939" spans="1:9" x14ac:dyDescent="0.25">
      <c r="A939" s="16">
        <v>42745</v>
      </c>
      <c r="B939" s="17" t="s">
        <v>1216</v>
      </c>
      <c r="C939" s="18">
        <v>96536</v>
      </c>
      <c r="D939" s="13" t="s">
        <v>94</v>
      </c>
      <c r="E939" s="14">
        <v>2994.6</v>
      </c>
      <c r="F939" s="123" t="s">
        <v>95</v>
      </c>
      <c r="G939" s="14">
        <v>0</v>
      </c>
      <c r="H939" s="14">
        <f t="shared" si="15"/>
        <v>2994.6</v>
      </c>
      <c r="I939" s="19"/>
    </row>
    <row r="940" spans="1:9" x14ac:dyDescent="0.25">
      <c r="A940" s="16">
        <v>42745</v>
      </c>
      <c r="B940" s="17" t="s">
        <v>1217</v>
      </c>
      <c r="C940" s="18">
        <v>96537</v>
      </c>
      <c r="D940" s="13" t="s">
        <v>28</v>
      </c>
      <c r="E940" s="14">
        <v>5395</v>
      </c>
      <c r="F940" s="123" t="s">
        <v>95</v>
      </c>
      <c r="G940" s="14">
        <v>0</v>
      </c>
      <c r="H940" s="14">
        <f t="shared" si="15"/>
        <v>5395</v>
      </c>
      <c r="I940" s="19"/>
    </row>
    <row r="941" spans="1:9" x14ac:dyDescent="0.25">
      <c r="A941" s="16">
        <v>42745</v>
      </c>
      <c r="B941" s="17" t="s">
        <v>1218</v>
      </c>
      <c r="C941" s="18">
        <v>96538</v>
      </c>
      <c r="D941" s="2" t="s">
        <v>32</v>
      </c>
      <c r="E941" s="15">
        <v>10566.4</v>
      </c>
      <c r="F941" s="36" t="s">
        <v>129</v>
      </c>
      <c r="G941" s="15">
        <v>10566.4</v>
      </c>
      <c r="H941" s="15">
        <f t="shared" si="15"/>
        <v>0</v>
      </c>
      <c r="I941" s="19"/>
    </row>
    <row r="942" spans="1:9" x14ac:dyDescent="0.25">
      <c r="A942" s="16">
        <v>42745</v>
      </c>
      <c r="B942" s="17" t="s">
        <v>1219</v>
      </c>
      <c r="C942" s="18">
        <v>96539</v>
      </c>
      <c r="D942" s="2" t="s">
        <v>47</v>
      </c>
      <c r="E942" s="15">
        <v>4383.8</v>
      </c>
      <c r="F942" s="36" t="s">
        <v>107</v>
      </c>
      <c r="G942" s="15">
        <v>4383.8</v>
      </c>
      <c r="H942" s="15">
        <f t="shared" si="15"/>
        <v>0</v>
      </c>
      <c r="I942" s="19"/>
    </row>
    <row r="943" spans="1:9" x14ac:dyDescent="0.25">
      <c r="A943" s="16">
        <v>42745</v>
      </c>
      <c r="B943" s="17" t="s">
        <v>1220</v>
      </c>
      <c r="C943" s="18">
        <v>96540</v>
      </c>
      <c r="D943" s="2" t="s">
        <v>71</v>
      </c>
      <c r="E943" s="15">
        <v>2520</v>
      </c>
      <c r="F943" s="36" t="s">
        <v>107</v>
      </c>
      <c r="G943" s="15">
        <v>2520</v>
      </c>
      <c r="H943" s="15">
        <f t="shared" si="15"/>
        <v>0</v>
      </c>
      <c r="I943" s="19"/>
    </row>
    <row r="944" spans="1:9" x14ac:dyDescent="0.25">
      <c r="A944" s="16">
        <v>42745</v>
      </c>
      <c r="B944" s="17" t="s">
        <v>1221</v>
      </c>
      <c r="C944" s="18">
        <v>96541</v>
      </c>
      <c r="D944" s="2" t="s">
        <v>49</v>
      </c>
      <c r="E944" s="15">
        <v>18045</v>
      </c>
      <c r="F944" s="126" t="s">
        <v>1222</v>
      </c>
      <c r="G944" s="23">
        <f>5000+13045</f>
        <v>18045</v>
      </c>
      <c r="H944" s="23">
        <f t="shared" si="15"/>
        <v>0</v>
      </c>
      <c r="I944" s="19"/>
    </row>
    <row r="945" spans="1:9" x14ac:dyDescent="0.25">
      <c r="A945" s="16">
        <v>42745</v>
      </c>
      <c r="B945" s="17" t="s">
        <v>1223</v>
      </c>
      <c r="C945" s="18">
        <v>96542</v>
      </c>
      <c r="D945" s="2" t="s">
        <v>67</v>
      </c>
      <c r="E945" s="15">
        <v>3617.6</v>
      </c>
      <c r="F945" s="36" t="s">
        <v>275</v>
      </c>
      <c r="G945" s="15">
        <v>3617.6</v>
      </c>
      <c r="H945" s="15">
        <f t="shared" si="15"/>
        <v>0</v>
      </c>
      <c r="I945" s="19"/>
    </row>
    <row r="946" spans="1:9" x14ac:dyDescent="0.25">
      <c r="A946" s="16">
        <v>42745</v>
      </c>
      <c r="B946" s="17" t="s">
        <v>1224</v>
      </c>
      <c r="C946" s="18">
        <v>96543</v>
      </c>
      <c r="D946" s="13" t="s">
        <v>1116</v>
      </c>
      <c r="E946" s="14">
        <v>0</v>
      </c>
      <c r="F946" s="123" t="s">
        <v>95</v>
      </c>
      <c r="G946" s="14">
        <v>0</v>
      </c>
      <c r="H946" s="14">
        <f t="shared" si="15"/>
        <v>0</v>
      </c>
      <c r="I946" s="19"/>
    </row>
    <row r="947" spans="1:9" x14ac:dyDescent="0.25">
      <c r="A947" s="16">
        <v>42745</v>
      </c>
      <c r="B947" s="17" t="s">
        <v>1225</v>
      </c>
      <c r="C947" s="18">
        <v>96544</v>
      </c>
      <c r="D947" s="2" t="s">
        <v>1116</v>
      </c>
      <c r="E947" s="15">
        <v>3774.6</v>
      </c>
      <c r="F947" s="36" t="s">
        <v>275</v>
      </c>
      <c r="G947" s="15">
        <v>3774.6</v>
      </c>
      <c r="H947" s="15">
        <f t="shared" si="15"/>
        <v>0</v>
      </c>
      <c r="I947" s="19"/>
    </row>
    <row r="948" spans="1:9" x14ac:dyDescent="0.25">
      <c r="A948" s="16">
        <v>42745</v>
      </c>
      <c r="B948" s="17" t="s">
        <v>1226</v>
      </c>
      <c r="C948" s="18">
        <v>96545</v>
      </c>
      <c r="D948" s="2" t="s">
        <v>253</v>
      </c>
      <c r="E948" s="15">
        <v>3564</v>
      </c>
      <c r="F948" s="36" t="s">
        <v>173</v>
      </c>
      <c r="G948" s="15">
        <f>1223.1+2340.9</f>
        <v>3564</v>
      </c>
      <c r="H948" s="15">
        <f t="shared" si="15"/>
        <v>0</v>
      </c>
      <c r="I948" s="19"/>
    </row>
    <row r="949" spans="1:9" x14ac:dyDescent="0.25">
      <c r="A949" s="16">
        <v>42745</v>
      </c>
      <c r="B949" s="17" t="s">
        <v>1227</v>
      </c>
      <c r="C949" s="18">
        <v>96546</v>
      </c>
      <c r="D949" s="2" t="s">
        <v>268</v>
      </c>
      <c r="E949" s="15">
        <v>17968.5</v>
      </c>
      <c r="F949" s="36" t="s">
        <v>173</v>
      </c>
      <c r="G949" s="15">
        <v>17968.5</v>
      </c>
      <c r="H949" s="15">
        <f t="shared" si="15"/>
        <v>0</v>
      </c>
      <c r="I949" s="19"/>
    </row>
    <row r="950" spans="1:9" x14ac:dyDescent="0.25">
      <c r="A950" s="16">
        <v>42745</v>
      </c>
      <c r="B950" s="17" t="s">
        <v>1228</v>
      </c>
      <c r="C950" s="18">
        <v>96547</v>
      </c>
      <c r="D950" s="2" t="s">
        <v>272</v>
      </c>
      <c r="E950" s="15">
        <v>3681</v>
      </c>
      <c r="F950" s="36" t="s">
        <v>275</v>
      </c>
      <c r="G950" s="15">
        <v>3681</v>
      </c>
      <c r="H950" s="15">
        <f t="shared" si="15"/>
        <v>0</v>
      </c>
      <c r="I950" s="19"/>
    </row>
    <row r="951" spans="1:9" x14ac:dyDescent="0.25">
      <c r="A951" s="16">
        <v>42745</v>
      </c>
      <c r="B951" s="17" t="s">
        <v>1229</v>
      </c>
      <c r="C951" s="18">
        <v>96548</v>
      </c>
      <c r="D951" s="2" t="s">
        <v>270</v>
      </c>
      <c r="E951" s="15">
        <v>20326.2</v>
      </c>
      <c r="F951" s="36" t="s">
        <v>173</v>
      </c>
      <c r="G951" s="15">
        <v>20326.2</v>
      </c>
      <c r="H951" s="15">
        <f t="shared" si="15"/>
        <v>0</v>
      </c>
      <c r="I951" s="19"/>
    </row>
    <row r="952" spans="1:9" x14ac:dyDescent="0.25">
      <c r="A952" s="16">
        <v>42745</v>
      </c>
      <c r="B952" s="17" t="s">
        <v>1230</v>
      </c>
      <c r="C952" s="18">
        <v>96549</v>
      </c>
      <c r="D952" s="2" t="s">
        <v>435</v>
      </c>
      <c r="E952" s="15">
        <v>2382</v>
      </c>
      <c r="F952" s="36" t="s">
        <v>275</v>
      </c>
      <c r="G952" s="15">
        <v>2382</v>
      </c>
      <c r="H952" s="15">
        <f t="shared" si="15"/>
        <v>0</v>
      </c>
      <c r="I952" s="19"/>
    </row>
    <row r="953" spans="1:9" x14ac:dyDescent="0.25">
      <c r="A953" s="16">
        <v>42745</v>
      </c>
      <c r="B953" s="17" t="s">
        <v>1231</v>
      </c>
      <c r="C953" s="18">
        <v>96550</v>
      </c>
      <c r="D953" s="2" t="s">
        <v>876</v>
      </c>
      <c r="E953" s="15">
        <v>9410.2000000000007</v>
      </c>
      <c r="F953" s="36" t="s">
        <v>275</v>
      </c>
      <c r="G953" s="15">
        <v>9410.2000000000007</v>
      </c>
      <c r="H953" s="15">
        <f t="shared" si="15"/>
        <v>0</v>
      </c>
      <c r="I953" s="19"/>
    </row>
    <row r="954" spans="1:9" x14ac:dyDescent="0.25">
      <c r="A954" s="16">
        <v>42745</v>
      </c>
      <c r="B954" s="17" t="s">
        <v>1232</v>
      </c>
      <c r="C954" s="18">
        <v>96551</v>
      </c>
      <c r="D954" s="2" t="s">
        <v>43</v>
      </c>
      <c r="E954" s="15">
        <v>4067</v>
      </c>
      <c r="F954" s="36" t="s">
        <v>129</v>
      </c>
      <c r="G954" s="15">
        <v>4067</v>
      </c>
      <c r="H954" s="15">
        <f t="shared" si="15"/>
        <v>0</v>
      </c>
      <c r="I954" s="19"/>
    </row>
    <row r="955" spans="1:9" x14ac:dyDescent="0.25">
      <c r="A955" s="16">
        <v>42745</v>
      </c>
      <c r="B955" s="17" t="s">
        <v>1233</v>
      </c>
      <c r="C955" s="18">
        <v>96552</v>
      </c>
      <c r="D955" s="2" t="s">
        <v>422</v>
      </c>
      <c r="E955" s="15">
        <v>1842.3</v>
      </c>
      <c r="F955" s="36" t="s">
        <v>107</v>
      </c>
      <c r="G955" s="15">
        <v>1842.3</v>
      </c>
      <c r="H955" s="15">
        <f t="shared" si="15"/>
        <v>0</v>
      </c>
      <c r="I955" s="19"/>
    </row>
    <row r="956" spans="1:9" x14ac:dyDescent="0.25">
      <c r="A956" s="16">
        <v>42745</v>
      </c>
      <c r="B956" s="17" t="s">
        <v>1234</v>
      </c>
      <c r="C956" s="18">
        <v>96553</v>
      </c>
      <c r="D956" s="2" t="s">
        <v>133</v>
      </c>
      <c r="E956" s="15">
        <v>8328.7999999999993</v>
      </c>
      <c r="F956" s="36" t="s">
        <v>173</v>
      </c>
      <c r="G956" s="15">
        <v>8328.7999999999993</v>
      </c>
      <c r="H956" s="15">
        <f t="shared" si="15"/>
        <v>0</v>
      </c>
      <c r="I956" s="19"/>
    </row>
    <row r="957" spans="1:9" x14ac:dyDescent="0.25">
      <c r="A957" s="16">
        <v>42745</v>
      </c>
      <c r="B957" s="17" t="s">
        <v>1235</v>
      </c>
      <c r="C957" s="18">
        <v>96554</v>
      </c>
      <c r="D957" s="2" t="s">
        <v>35</v>
      </c>
      <c r="E957" s="15">
        <v>9959.2000000000007</v>
      </c>
      <c r="F957" s="36" t="s">
        <v>129</v>
      </c>
      <c r="G957" s="15">
        <v>9959.2000000000007</v>
      </c>
      <c r="H957" s="15">
        <f t="shared" si="15"/>
        <v>0</v>
      </c>
      <c r="I957" s="19"/>
    </row>
    <row r="958" spans="1:9" x14ac:dyDescent="0.25">
      <c r="A958" s="16">
        <v>42745</v>
      </c>
      <c r="B958" s="17" t="s">
        <v>1236</v>
      </c>
      <c r="C958" s="18">
        <v>96555</v>
      </c>
      <c r="D958" s="2" t="s">
        <v>79</v>
      </c>
      <c r="E958" s="15">
        <v>4173.2</v>
      </c>
      <c r="F958" s="36" t="s">
        <v>107</v>
      </c>
      <c r="G958" s="15">
        <v>4173.2</v>
      </c>
      <c r="H958" s="15">
        <f t="shared" si="15"/>
        <v>0</v>
      </c>
      <c r="I958" s="19"/>
    </row>
    <row r="959" spans="1:9" x14ac:dyDescent="0.25">
      <c r="A959" s="16">
        <v>42745</v>
      </c>
      <c r="B959" s="17" t="s">
        <v>1237</v>
      </c>
      <c r="C959" s="18">
        <v>96556</v>
      </c>
      <c r="D959" s="2" t="s">
        <v>341</v>
      </c>
      <c r="E959" s="15">
        <v>9999.9599999999991</v>
      </c>
      <c r="F959" s="36" t="s">
        <v>107</v>
      </c>
      <c r="G959" s="15">
        <v>9999.9599999999991</v>
      </c>
      <c r="H959" s="15">
        <f t="shared" si="15"/>
        <v>0</v>
      </c>
      <c r="I959" s="19"/>
    </row>
    <row r="960" spans="1:9" x14ac:dyDescent="0.25">
      <c r="A960" s="16">
        <v>42745</v>
      </c>
      <c r="B960" s="17" t="s">
        <v>1238</v>
      </c>
      <c r="C960" s="18">
        <v>96557</v>
      </c>
      <c r="D960" s="2" t="s">
        <v>149</v>
      </c>
      <c r="E960" s="15">
        <v>3139.8</v>
      </c>
      <c r="F960" s="36" t="s">
        <v>107</v>
      </c>
      <c r="G960" s="15">
        <v>3139.8</v>
      </c>
      <c r="H960" s="15">
        <f t="shared" si="15"/>
        <v>0</v>
      </c>
      <c r="I960" s="19"/>
    </row>
    <row r="961" spans="1:9" x14ac:dyDescent="0.25">
      <c r="A961" s="16">
        <v>42745</v>
      </c>
      <c r="B961" s="17" t="s">
        <v>1239</v>
      </c>
      <c r="C961" s="18">
        <v>96558</v>
      </c>
      <c r="D961" s="2" t="s">
        <v>21</v>
      </c>
      <c r="E961" s="15">
        <v>54450</v>
      </c>
      <c r="F961" s="126" t="s">
        <v>1240</v>
      </c>
      <c r="G961" s="23">
        <f>30390.2+12360+11699.8</f>
        <v>54450</v>
      </c>
      <c r="H961" s="23">
        <f t="shared" si="15"/>
        <v>0</v>
      </c>
      <c r="I961" s="19"/>
    </row>
    <row r="962" spans="1:9" x14ac:dyDescent="0.25">
      <c r="A962" s="16">
        <v>42745</v>
      </c>
      <c r="B962" s="17" t="s">
        <v>1241</v>
      </c>
      <c r="C962" s="18">
        <v>96559</v>
      </c>
      <c r="D962" s="2" t="s">
        <v>151</v>
      </c>
      <c r="E962" s="15">
        <v>21232.02</v>
      </c>
      <c r="F962" s="36" t="s">
        <v>107</v>
      </c>
      <c r="G962" s="15">
        <v>21232.02</v>
      </c>
      <c r="H962" s="15">
        <f t="shared" si="15"/>
        <v>0</v>
      </c>
      <c r="I962" s="19"/>
    </row>
    <row r="963" spans="1:9" x14ac:dyDescent="0.25">
      <c r="A963" s="16">
        <v>42745</v>
      </c>
      <c r="B963" s="17" t="s">
        <v>1242</v>
      </c>
      <c r="C963" s="18">
        <v>96560</v>
      </c>
      <c r="D963" s="2" t="s">
        <v>509</v>
      </c>
      <c r="E963" s="15">
        <v>24134.01</v>
      </c>
      <c r="F963" s="36" t="s">
        <v>317</v>
      </c>
      <c r="G963" s="15">
        <v>24134.01</v>
      </c>
      <c r="H963" s="15">
        <f t="shared" si="15"/>
        <v>0</v>
      </c>
      <c r="I963" s="19"/>
    </row>
    <row r="964" spans="1:9" x14ac:dyDescent="0.25">
      <c r="A964" s="16">
        <v>42745</v>
      </c>
      <c r="B964" s="17" t="s">
        <v>1243</v>
      </c>
      <c r="C964" s="18">
        <v>96561</v>
      </c>
      <c r="D964" s="2" t="s">
        <v>428</v>
      </c>
      <c r="E964" s="15">
        <v>3228</v>
      </c>
      <c r="F964" s="36" t="s">
        <v>173</v>
      </c>
      <c r="G964" s="15">
        <v>3228</v>
      </c>
      <c r="H964" s="15">
        <f t="shared" si="15"/>
        <v>0</v>
      </c>
      <c r="I964" s="19"/>
    </row>
    <row r="965" spans="1:9" x14ac:dyDescent="0.25">
      <c r="A965" s="16">
        <v>42745</v>
      </c>
      <c r="B965" s="17" t="s">
        <v>1244</v>
      </c>
      <c r="C965" s="18">
        <v>96562</v>
      </c>
      <c r="D965" s="2" t="s">
        <v>319</v>
      </c>
      <c r="E965" s="15">
        <v>3381.3</v>
      </c>
      <c r="F965" s="36" t="s">
        <v>275</v>
      </c>
      <c r="G965" s="15">
        <v>3381.3</v>
      </c>
      <c r="H965" s="15">
        <f t="shared" si="15"/>
        <v>0</v>
      </c>
      <c r="I965" s="19"/>
    </row>
    <row r="966" spans="1:9" x14ac:dyDescent="0.25">
      <c r="A966" s="16">
        <v>42745</v>
      </c>
      <c r="B966" s="17" t="s">
        <v>1245</v>
      </c>
      <c r="C966" s="18">
        <v>96563</v>
      </c>
      <c r="D966" s="2" t="s">
        <v>321</v>
      </c>
      <c r="E966" s="15">
        <v>1050.9000000000001</v>
      </c>
      <c r="F966" s="36" t="s">
        <v>107</v>
      </c>
      <c r="G966" s="15">
        <v>1050.9000000000001</v>
      </c>
      <c r="H966" s="15">
        <f t="shared" ref="H966:H1029" si="16">E966-G966</f>
        <v>0</v>
      </c>
      <c r="I966" s="19"/>
    </row>
    <row r="967" spans="1:9" x14ac:dyDescent="0.25">
      <c r="A967" s="16">
        <v>42745</v>
      </c>
      <c r="B967" s="17" t="s">
        <v>1246</v>
      </c>
      <c r="C967" s="18">
        <v>96564</v>
      </c>
      <c r="D967" s="2" t="s">
        <v>99</v>
      </c>
      <c r="E967" s="15">
        <v>2010</v>
      </c>
      <c r="F967" s="36" t="s">
        <v>107</v>
      </c>
      <c r="G967" s="15">
        <v>2010</v>
      </c>
      <c r="H967" s="15">
        <f t="shared" si="16"/>
        <v>0</v>
      </c>
      <c r="I967" s="19"/>
    </row>
    <row r="968" spans="1:9" x14ac:dyDescent="0.25">
      <c r="A968" s="16">
        <v>42745</v>
      </c>
      <c r="B968" s="17" t="s">
        <v>1247</v>
      </c>
      <c r="C968" s="18">
        <v>96565</v>
      </c>
      <c r="D968" s="2" t="s">
        <v>30</v>
      </c>
      <c r="E968" s="15">
        <v>1380</v>
      </c>
      <c r="F968" s="36" t="s">
        <v>107</v>
      </c>
      <c r="G968" s="15">
        <v>1380</v>
      </c>
      <c r="H968" s="15">
        <f t="shared" si="16"/>
        <v>0</v>
      </c>
      <c r="I968" s="19"/>
    </row>
    <row r="969" spans="1:9" x14ac:dyDescent="0.25">
      <c r="A969" s="16">
        <v>42745</v>
      </c>
      <c r="B969" s="17" t="s">
        <v>1248</v>
      </c>
      <c r="C969" s="18">
        <v>96566</v>
      </c>
      <c r="D969" s="2" t="s">
        <v>101</v>
      </c>
      <c r="E969" s="15">
        <v>500</v>
      </c>
      <c r="F969" s="36" t="s">
        <v>107</v>
      </c>
      <c r="G969" s="15">
        <v>500</v>
      </c>
      <c r="H969" s="15">
        <f t="shared" si="16"/>
        <v>0</v>
      </c>
      <c r="I969" s="19"/>
    </row>
    <row r="970" spans="1:9" x14ac:dyDescent="0.25">
      <c r="A970" s="16">
        <v>42745</v>
      </c>
      <c r="B970" s="17" t="s">
        <v>1249</v>
      </c>
      <c r="C970" s="18">
        <v>96567</v>
      </c>
      <c r="D970" s="2" t="s">
        <v>445</v>
      </c>
      <c r="E970" s="15">
        <v>1508</v>
      </c>
      <c r="F970" s="36" t="s">
        <v>107</v>
      </c>
      <c r="G970" s="15">
        <v>1508</v>
      </c>
      <c r="H970" s="15">
        <f t="shared" si="16"/>
        <v>0</v>
      </c>
      <c r="I970" s="19"/>
    </row>
    <row r="971" spans="1:9" x14ac:dyDescent="0.25">
      <c r="A971" s="16">
        <v>42745</v>
      </c>
      <c r="B971" s="17" t="s">
        <v>1250</v>
      </c>
      <c r="C971" s="18">
        <v>96568</v>
      </c>
      <c r="D971" s="2" t="s">
        <v>30</v>
      </c>
      <c r="E971" s="15">
        <v>1509.1</v>
      </c>
      <c r="F971" s="36" t="s">
        <v>107</v>
      </c>
      <c r="G971" s="15">
        <v>1509.1</v>
      </c>
      <c r="H971" s="15">
        <f t="shared" si="16"/>
        <v>0</v>
      </c>
      <c r="I971" s="19"/>
    </row>
    <row r="972" spans="1:9" x14ac:dyDescent="0.25">
      <c r="A972" s="16">
        <v>42745</v>
      </c>
      <c r="B972" s="17" t="s">
        <v>1251</v>
      </c>
      <c r="C972" s="18">
        <v>96569</v>
      </c>
      <c r="D972" s="2" t="s">
        <v>302</v>
      </c>
      <c r="E972" s="15">
        <v>11871.2</v>
      </c>
      <c r="F972" s="36" t="s">
        <v>107</v>
      </c>
      <c r="G972" s="15">
        <v>11871.2</v>
      </c>
      <c r="H972" s="15">
        <f t="shared" si="16"/>
        <v>0</v>
      </c>
      <c r="I972" s="19"/>
    </row>
    <row r="973" spans="1:9" x14ac:dyDescent="0.25">
      <c r="A973" s="16">
        <v>42745</v>
      </c>
      <c r="B973" s="17" t="s">
        <v>1252</v>
      </c>
      <c r="C973" s="18">
        <v>96570</v>
      </c>
      <c r="D973" s="2" t="s">
        <v>94</v>
      </c>
      <c r="E973" s="15">
        <v>4166.3999999999996</v>
      </c>
      <c r="F973" s="36" t="s">
        <v>107</v>
      </c>
      <c r="G973" s="15">
        <v>4166.3999999999996</v>
      </c>
      <c r="H973" s="15">
        <f t="shared" si="16"/>
        <v>0</v>
      </c>
      <c r="I973" s="19"/>
    </row>
    <row r="974" spans="1:9" x14ac:dyDescent="0.25">
      <c r="A974" s="16">
        <v>42745</v>
      </c>
      <c r="B974" s="17" t="s">
        <v>1253</v>
      </c>
      <c r="C974" s="18">
        <v>96571</v>
      </c>
      <c r="D974" s="2" t="s">
        <v>448</v>
      </c>
      <c r="E974" s="15">
        <v>722.8</v>
      </c>
      <c r="F974" s="36" t="s">
        <v>107</v>
      </c>
      <c r="G974" s="15">
        <v>722.8</v>
      </c>
      <c r="H974" s="15">
        <f t="shared" si="16"/>
        <v>0</v>
      </c>
      <c r="I974" s="19"/>
    </row>
    <row r="975" spans="1:9" x14ac:dyDescent="0.25">
      <c r="A975" s="16">
        <v>42745</v>
      </c>
      <c r="B975" s="17" t="s">
        <v>1254</v>
      </c>
      <c r="C975" s="18">
        <v>96572</v>
      </c>
      <c r="D975" s="2" t="s">
        <v>92</v>
      </c>
      <c r="E975" s="15">
        <v>1976.9</v>
      </c>
      <c r="F975" s="36" t="s">
        <v>107</v>
      </c>
      <c r="G975" s="15">
        <v>1976.9</v>
      </c>
      <c r="H975" s="15">
        <f t="shared" si="16"/>
        <v>0</v>
      </c>
      <c r="I975" s="19"/>
    </row>
    <row r="976" spans="1:9" x14ac:dyDescent="0.25">
      <c r="A976" s="16">
        <v>42745</v>
      </c>
      <c r="B976" s="17" t="s">
        <v>1255</v>
      </c>
      <c r="C976" s="18">
        <v>96573</v>
      </c>
      <c r="D976" s="2" t="s">
        <v>1256</v>
      </c>
      <c r="E976" s="15">
        <v>925.4</v>
      </c>
      <c r="F976" s="36" t="s">
        <v>107</v>
      </c>
      <c r="G976" s="15">
        <v>925.4</v>
      </c>
      <c r="H976" s="15">
        <f t="shared" si="16"/>
        <v>0</v>
      </c>
      <c r="I976" s="19"/>
    </row>
    <row r="977" spans="1:9" x14ac:dyDescent="0.25">
      <c r="A977" s="16">
        <v>42745</v>
      </c>
      <c r="B977" s="17" t="s">
        <v>1257</v>
      </c>
      <c r="C977" s="18">
        <v>96574</v>
      </c>
      <c r="D977" s="2" t="s">
        <v>309</v>
      </c>
      <c r="E977" s="15">
        <v>4012.8</v>
      </c>
      <c r="F977" s="36" t="s">
        <v>107</v>
      </c>
      <c r="G977" s="15">
        <v>4012.8</v>
      </c>
      <c r="H977" s="15">
        <f t="shared" si="16"/>
        <v>0</v>
      </c>
      <c r="I977" s="19"/>
    </row>
    <row r="978" spans="1:9" x14ac:dyDescent="0.25">
      <c r="A978" s="16">
        <v>42745</v>
      </c>
      <c r="B978" s="17" t="s">
        <v>1258</v>
      </c>
      <c r="C978" s="18">
        <v>96575</v>
      </c>
      <c r="D978" s="2" t="s">
        <v>1259</v>
      </c>
      <c r="E978" s="15">
        <v>1336.4</v>
      </c>
      <c r="F978" s="36" t="s">
        <v>107</v>
      </c>
      <c r="G978" s="15">
        <v>1336.4</v>
      </c>
      <c r="H978" s="15">
        <f t="shared" si="16"/>
        <v>0</v>
      </c>
      <c r="I978" s="19"/>
    </row>
    <row r="979" spans="1:9" x14ac:dyDescent="0.25">
      <c r="A979" s="16">
        <v>42745</v>
      </c>
      <c r="B979" s="17" t="s">
        <v>1260</v>
      </c>
      <c r="C979" s="18">
        <v>96576</v>
      </c>
      <c r="D979" s="2" t="s">
        <v>88</v>
      </c>
      <c r="E979" s="15">
        <v>6188</v>
      </c>
      <c r="F979" s="36" t="s">
        <v>107</v>
      </c>
      <c r="G979" s="15">
        <v>6188</v>
      </c>
      <c r="H979" s="15">
        <f t="shared" si="16"/>
        <v>0</v>
      </c>
      <c r="I979" s="19"/>
    </row>
    <row r="980" spans="1:9" x14ac:dyDescent="0.25">
      <c r="A980" s="16">
        <v>42745</v>
      </c>
      <c r="B980" s="17" t="s">
        <v>1261</v>
      </c>
      <c r="C980" s="18">
        <v>96577</v>
      </c>
      <c r="D980" s="13" t="s">
        <v>231</v>
      </c>
      <c r="E980" s="14">
        <v>0</v>
      </c>
      <c r="F980" s="123" t="s">
        <v>95</v>
      </c>
      <c r="G980" s="14">
        <v>0</v>
      </c>
      <c r="H980" s="14">
        <f t="shared" si="16"/>
        <v>0</v>
      </c>
      <c r="I980" s="19"/>
    </row>
    <row r="981" spans="1:9" x14ac:dyDescent="0.25">
      <c r="A981" s="16">
        <v>42745</v>
      </c>
      <c r="B981" s="17" t="s">
        <v>1262</v>
      </c>
      <c r="C981" s="18">
        <v>96578</v>
      </c>
      <c r="D981" s="2" t="s">
        <v>103</v>
      </c>
      <c r="E981" s="15">
        <v>3355</v>
      </c>
      <c r="F981" s="36" t="s">
        <v>275</v>
      </c>
      <c r="G981" s="15">
        <v>3355</v>
      </c>
      <c r="H981" s="15">
        <f t="shared" si="16"/>
        <v>0</v>
      </c>
      <c r="I981" s="19"/>
    </row>
    <row r="982" spans="1:9" x14ac:dyDescent="0.25">
      <c r="A982" s="16">
        <v>42745</v>
      </c>
      <c r="B982" s="17" t="s">
        <v>1263</v>
      </c>
      <c r="C982" s="18">
        <v>96579</v>
      </c>
      <c r="D982" s="2" t="s">
        <v>157</v>
      </c>
      <c r="E982" s="15">
        <v>36274.5</v>
      </c>
      <c r="F982" s="36" t="s">
        <v>107</v>
      </c>
      <c r="G982" s="15">
        <v>36274.5</v>
      </c>
      <c r="H982" s="15">
        <f t="shared" si="16"/>
        <v>0</v>
      </c>
      <c r="I982" s="19"/>
    </row>
    <row r="983" spans="1:9" x14ac:dyDescent="0.25">
      <c r="A983" s="16">
        <v>42745</v>
      </c>
      <c r="B983" s="17" t="s">
        <v>1264</v>
      </c>
      <c r="C983" s="18">
        <v>96580</v>
      </c>
      <c r="D983" s="2" t="s">
        <v>83</v>
      </c>
      <c r="E983" s="15">
        <v>4404.3</v>
      </c>
      <c r="F983" s="36" t="s">
        <v>107</v>
      </c>
      <c r="G983" s="15">
        <v>4404.3</v>
      </c>
      <c r="H983" s="15">
        <f t="shared" si="16"/>
        <v>0</v>
      </c>
      <c r="I983" s="19"/>
    </row>
    <row r="984" spans="1:9" x14ac:dyDescent="0.25">
      <c r="A984" s="16">
        <v>42745</v>
      </c>
      <c r="B984" s="17" t="s">
        <v>1265</v>
      </c>
      <c r="C984" s="18">
        <v>96581</v>
      </c>
      <c r="D984" s="2" t="s">
        <v>291</v>
      </c>
      <c r="E984" s="15">
        <v>2300.1999999999998</v>
      </c>
      <c r="F984" s="36" t="s">
        <v>107</v>
      </c>
      <c r="G984" s="15">
        <v>2300.1999999999998</v>
      </c>
      <c r="H984" s="15">
        <f t="shared" si="16"/>
        <v>0</v>
      </c>
      <c r="I984" s="19"/>
    </row>
    <row r="985" spans="1:9" x14ac:dyDescent="0.25">
      <c r="A985" s="16">
        <v>42745</v>
      </c>
      <c r="B985" s="17" t="s">
        <v>1266</v>
      </c>
      <c r="C985" s="18">
        <v>96582</v>
      </c>
      <c r="D985" s="2" t="s">
        <v>1267</v>
      </c>
      <c r="E985" s="15">
        <v>8884.7999999999993</v>
      </c>
      <c r="F985" s="36" t="s">
        <v>107</v>
      </c>
      <c r="G985" s="15">
        <v>8884.7999999999993</v>
      </c>
      <c r="H985" s="15">
        <f t="shared" si="16"/>
        <v>0</v>
      </c>
      <c r="I985" s="19"/>
    </row>
    <row r="986" spans="1:9" x14ac:dyDescent="0.25">
      <c r="A986" s="16">
        <v>42745</v>
      </c>
      <c r="B986" s="17" t="s">
        <v>1268</v>
      </c>
      <c r="C986" s="18">
        <v>96583</v>
      </c>
      <c r="D986" s="2" t="s">
        <v>1269</v>
      </c>
      <c r="E986" s="15">
        <v>4392</v>
      </c>
      <c r="F986" s="36" t="s">
        <v>107</v>
      </c>
      <c r="G986" s="15">
        <v>4392</v>
      </c>
      <c r="H986" s="15">
        <f t="shared" si="16"/>
        <v>0</v>
      </c>
      <c r="I986" s="19"/>
    </row>
    <row r="987" spans="1:9" x14ac:dyDescent="0.25">
      <c r="A987" s="16">
        <v>42745</v>
      </c>
      <c r="B987" s="17" t="s">
        <v>1270</v>
      </c>
      <c r="C987" s="18">
        <v>96584</v>
      </c>
      <c r="D987" s="13" t="s">
        <v>159</v>
      </c>
      <c r="E987" s="14">
        <v>0</v>
      </c>
      <c r="F987" s="123" t="s">
        <v>95</v>
      </c>
      <c r="G987" s="14">
        <v>0</v>
      </c>
      <c r="H987" s="14">
        <f t="shared" si="16"/>
        <v>0</v>
      </c>
      <c r="I987" s="19"/>
    </row>
    <row r="988" spans="1:9" x14ac:dyDescent="0.25">
      <c r="A988" s="16">
        <v>42745</v>
      </c>
      <c r="B988" s="17" t="s">
        <v>1271</v>
      </c>
      <c r="C988" s="18">
        <v>96585</v>
      </c>
      <c r="D988" s="2" t="s">
        <v>109</v>
      </c>
      <c r="E988" s="15">
        <v>6711.9</v>
      </c>
      <c r="F988" s="36" t="s">
        <v>107</v>
      </c>
      <c r="G988" s="15">
        <v>6711.9</v>
      </c>
      <c r="H988" s="15">
        <f t="shared" si="16"/>
        <v>0</v>
      </c>
      <c r="I988" s="19"/>
    </row>
    <row r="989" spans="1:9" x14ac:dyDescent="0.25">
      <c r="A989" s="16">
        <v>42745</v>
      </c>
      <c r="B989" s="17" t="s">
        <v>1272</v>
      </c>
      <c r="C989" s="18">
        <v>96586</v>
      </c>
      <c r="D989" s="2" t="s">
        <v>298</v>
      </c>
      <c r="E989" s="15">
        <v>4272.8</v>
      </c>
      <c r="F989" s="36" t="s">
        <v>107</v>
      </c>
      <c r="G989" s="15">
        <v>4272.8</v>
      </c>
      <c r="H989" s="15">
        <f t="shared" si="16"/>
        <v>0</v>
      </c>
      <c r="I989" s="19"/>
    </row>
    <row r="990" spans="1:9" x14ac:dyDescent="0.25">
      <c r="A990" s="16">
        <v>42745</v>
      </c>
      <c r="B990" s="17" t="s">
        <v>1273</v>
      </c>
      <c r="C990" s="18">
        <v>96587</v>
      </c>
      <c r="D990" s="2" t="s">
        <v>94</v>
      </c>
      <c r="E990" s="15">
        <v>434</v>
      </c>
      <c r="F990" s="36" t="s">
        <v>107</v>
      </c>
      <c r="G990" s="15">
        <v>434</v>
      </c>
      <c r="H990" s="15">
        <f t="shared" si="16"/>
        <v>0</v>
      </c>
      <c r="I990" s="19"/>
    </row>
    <row r="991" spans="1:9" x14ac:dyDescent="0.25">
      <c r="A991" s="16">
        <v>42745</v>
      </c>
      <c r="B991" s="17" t="s">
        <v>1274</v>
      </c>
      <c r="C991" s="18">
        <v>96588</v>
      </c>
      <c r="D991" s="2" t="s">
        <v>30</v>
      </c>
      <c r="E991" s="15">
        <v>6537.6</v>
      </c>
      <c r="F991" s="36" t="s">
        <v>107</v>
      </c>
      <c r="G991" s="15">
        <v>6537.6</v>
      </c>
      <c r="H991" s="15">
        <f t="shared" si="16"/>
        <v>0</v>
      </c>
      <c r="I991" s="19"/>
    </row>
    <row r="992" spans="1:9" x14ac:dyDescent="0.25">
      <c r="A992" s="16">
        <v>42745</v>
      </c>
      <c r="B992" s="17" t="s">
        <v>1275</v>
      </c>
      <c r="C992" s="18">
        <v>96589</v>
      </c>
      <c r="D992" s="13" t="s">
        <v>159</v>
      </c>
      <c r="E992" s="14">
        <v>0</v>
      </c>
      <c r="F992" s="123" t="s">
        <v>95</v>
      </c>
      <c r="G992" s="14">
        <v>0</v>
      </c>
      <c r="H992" s="14">
        <f t="shared" si="16"/>
        <v>0</v>
      </c>
      <c r="I992" s="19"/>
    </row>
    <row r="993" spans="1:9" x14ac:dyDescent="0.25">
      <c r="A993" s="16">
        <v>42745</v>
      </c>
      <c r="B993" s="17" t="s">
        <v>1276</v>
      </c>
      <c r="C993" s="18">
        <v>96590</v>
      </c>
      <c r="D993" s="2" t="s">
        <v>168</v>
      </c>
      <c r="E993" s="15">
        <v>1031.7</v>
      </c>
      <c r="F993" s="36" t="s">
        <v>107</v>
      </c>
      <c r="G993" s="15">
        <v>1031.7</v>
      </c>
      <c r="H993" s="15">
        <f t="shared" si="16"/>
        <v>0</v>
      </c>
      <c r="I993" s="19"/>
    </row>
    <row r="994" spans="1:9" x14ac:dyDescent="0.25">
      <c r="A994" s="16">
        <v>42745</v>
      </c>
      <c r="B994" s="17" t="s">
        <v>1277</v>
      </c>
      <c r="C994" s="18">
        <v>96591</v>
      </c>
      <c r="D994" s="2" t="s">
        <v>305</v>
      </c>
      <c r="E994" s="15">
        <v>1843.5</v>
      </c>
      <c r="F994" s="36" t="s">
        <v>237</v>
      </c>
      <c r="G994" s="15">
        <v>1843.5</v>
      </c>
      <c r="H994" s="15">
        <f t="shared" si="16"/>
        <v>0</v>
      </c>
      <c r="I994" s="19"/>
    </row>
    <row r="995" spans="1:9" x14ac:dyDescent="0.25">
      <c r="A995" s="16">
        <v>42745</v>
      </c>
      <c r="B995" s="17" t="s">
        <v>1278</v>
      </c>
      <c r="C995" s="18">
        <v>96592</v>
      </c>
      <c r="D995" s="2" t="s">
        <v>472</v>
      </c>
      <c r="E995" s="15">
        <v>11903.8</v>
      </c>
      <c r="F995" s="36" t="s">
        <v>129</v>
      </c>
      <c r="G995" s="15">
        <v>11903.8</v>
      </c>
      <c r="H995" s="15">
        <f t="shared" si="16"/>
        <v>0</v>
      </c>
      <c r="I995" s="19"/>
    </row>
    <row r="996" spans="1:9" x14ac:dyDescent="0.25">
      <c r="A996" s="16">
        <v>42745</v>
      </c>
      <c r="B996" s="17" t="s">
        <v>1279</v>
      </c>
      <c r="C996" s="18">
        <v>96593</v>
      </c>
      <c r="D996" s="2" t="s">
        <v>476</v>
      </c>
      <c r="E996" s="15">
        <v>7490.7</v>
      </c>
      <c r="F996" s="36" t="s">
        <v>173</v>
      </c>
      <c r="G996" s="15">
        <v>7490.7</v>
      </c>
      <c r="H996" s="15">
        <f t="shared" si="16"/>
        <v>0</v>
      </c>
      <c r="I996" s="19"/>
    </row>
    <row r="997" spans="1:9" x14ac:dyDescent="0.25">
      <c r="A997" s="16">
        <v>42745</v>
      </c>
      <c r="B997" s="17" t="s">
        <v>1280</v>
      </c>
      <c r="C997" s="18">
        <v>96594</v>
      </c>
      <c r="D997" s="2" t="s">
        <v>222</v>
      </c>
      <c r="E997" s="15">
        <v>62828.6</v>
      </c>
      <c r="F997" s="36" t="s">
        <v>237</v>
      </c>
      <c r="G997" s="15">
        <v>62828.6</v>
      </c>
      <c r="H997" s="15">
        <f t="shared" si="16"/>
        <v>0</v>
      </c>
      <c r="I997" s="19"/>
    </row>
    <row r="998" spans="1:9" x14ac:dyDescent="0.25">
      <c r="A998" s="16">
        <v>42745</v>
      </c>
      <c r="B998" s="17" t="s">
        <v>1281</v>
      </c>
      <c r="C998" s="18">
        <v>96595</v>
      </c>
      <c r="D998" s="2" t="s">
        <v>1062</v>
      </c>
      <c r="E998" s="15">
        <v>2690.4</v>
      </c>
      <c r="F998" s="36" t="s">
        <v>107</v>
      </c>
      <c r="G998" s="15">
        <v>2690.4</v>
      </c>
      <c r="H998" s="15">
        <f t="shared" si="16"/>
        <v>0</v>
      </c>
      <c r="I998" s="19"/>
    </row>
    <row r="999" spans="1:9" x14ac:dyDescent="0.25">
      <c r="A999" s="16">
        <v>42745</v>
      </c>
      <c r="B999" s="17" t="s">
        <v>1282</v>
      </c>
      <c r="C999" s="18">
        <v>96596</v>
      </c>
      <c r="D999" s="2" t="s">
        <v>329</v>
      </c>
      <c r="E999" s="15">
        <v>716</v>
      </c>
      <c r="F999" s="36" t="s">
        <v>107</v>
      </c>
      <c r="G999" s="15">
        <v>716</v>
      </c>
      <c r="H999" s="15">
        <f t="shared" si="16"/>
        <v>0</v>
      </c>
      <c r="I999" s="19"/>
    </row>
    <row r="1000" spans="1:9" x14ac:dyDescent="0.25">
      <c r="A1000" s="16">
        <v>42745</v>
      </c>
      <c r="B1000" s="17" t="s">
        <v>1283</v>
      </c>
      <c r="C1000" s="18">
        <v>96597</v>
      </c>
      <c r="D1000" s="2" t="s">
        <v>85</v>
      </c>
      <c r="E1000" s="15">
        <v>11175.2</v>
      </c>
      <c r="F1000" s="36" t="s">
        <v>107</v>
      </c>
      <c r="G1000" s="15">
        <v>11175.2</v>
      </c>
      <c r="H1000" s="15">
        <f t="shared" si="16"/>
        <v>0</v>
      </c>
      <c r="I1000" s="19"/>
    </row>
    <row r="1001" spans="1:9" x14ac:dyDescent="0.25">
      <c r="A1001" s="16">
        <v>42745</v>
      </c>
      <c r="B1001" s="17" t="s">
        <v>1284</v>
      </c>
      <c r="C1001" s="18">
        <v>96598</v>
      </c>
      <c r="D1001" s="2" t="s">
        <v>218</v>
      </c>
      <c r="E1001" s="15">
        <v>42905.3</v>
      </c>
      <c r="F1001" s="36" t="s">
        <v>307</v>
      </c>
      <c r="G1001" s="15">
        <v>42905.3</v>
      </c>
      <c r="H1001" s="15">
        <f t="shared" si="16"/>
        <v>0</v>
      </c>
      <c r="I1001" s="19"/>
    </row>
    <row r="1002" spans="1:9" x14ac:dyDescent="0.25">
      <c r="A1002" s="16">
        <v>42745</v>
      </c>
      <c r="B1002" s="17" t="s">
        <v>1285</v>
      </c>
      <c r="C1002" s="18">
        <v>96599</v>
      </c>
      <c r="D1002" s="2" t="s">
        <v>10</v>
      </c>
      <c r="E1002" s="15">
        <v>196254.9</v>
      </c>
      <c r="F1002" s="36" t="s">
        <v>126</v>
      </c>
      <c r="G1002" s="15">
        <v>196254.9</v>
      </c>
      <c r="H1002" s="15">
        <f t="shared" si="16"/>
        <v>0</v>
      </c>
      <c r="I1002" s="19"/>
    </row>
    <row r="1003" spans="1:9" x14ac:dyDescent="0.25">
      <c r="A1003" s="16">
        <v>42745</v>
      </c>
      <c r="B1003" s="17" t="s">
        <v>1286</v>
      </c>
      <c r="C1003" s="18">
        <v>96600</v>
      </c>
      <c r="D1003" s="2" t="s">
        <v>176</v>
      </c>
      <c r="E1003" s="15">
        <v>5640.2</v>
      </c>
      <c r="F1003" s="36" t="s">
        <v>107</v>
      </c>
      <c r="G1003" s="15">
        <v>5640.2</v>
      </c>
      <c r="H1003" s="15">
        <f t="shared" si="16"/>
        <v>0</v>
      </c>
      <c r="I1003" s="19"/>
    </row>
    <row r="1004" spans="1:9" x14ac:dyDescent="0.25">
      <c r="A1004" s="16">
        <v>42745</v>
      </c>
      <c r="B1004" s="17" t="s">
        <v>1287</v>
      </c>
      <c r="C1004" s="18">
        <v>96601</v>
      </c>
      <c r="D1004" s="2" t="s">
        <v>486</v>
      </c>
      <c r="E1004" s="15">
        <v>3316.8</v>
      </c>
      <c r="F1004" s="36" t="s">
        <v>107</v>
      </c>
      <c r="G1004" s="15">
        <v>3316.8</v>
      </c>
      <c r="H1004" s="15">
        <f t="shared" si="16"/>
        <v>0</v>
      </c>
      <c r="I1004" s="19"/>
    </row>
    <row r="1005" spans="1:9" x14ac:dyDescent="0.25">
      <c r="A1005" s="16">
        <v>42745</v>
      </c>
      <c r="B1005" s="17" t="s">
        <v>1288</v>
      </c>
      <c r="C1005" s="18">
        <v>96602</v>
      </c>
      <c r="D1005" s="2" t="s">
        <v>53</v>
      </c>
      <c r="E1005" s="15">
        <v>2983.5</v>
      </c>
      <c r="F1005" s="36" t="s">
        <v>107</v>
      </c>
      <c r="G1005" s="15">
        <v>2983.5</v>
      </c>
      <c r="H1005" s="15">
        <f t="shared" si="16"/>
        <v>0</v>
      </c>
      <c r="I1005" s="19"/>
    </row>
    <row r="1006" spans="1:9" x14ac:dyDescent="0.25">
      <c r="A1006" s="16">
        <v>42745</v>
      </c>
      <c r="B1006" s="17" t="s">
        <v>1289</v>
      </c>
      <c r="C1006" s="18">
        <v>96603</v>
      </c>
      <c r="D1006" s="2" t="s">
        <v>61</v>
      </c>
      <c r="E1006" s="15">
        <v>8599.5</v>
      </c>
      <c r="F1006" s="36" t="s">
        <v>107</v>
      </c>
      <c r="G1006" s="15">
        <v>8599.5</v>
      </c>
      <c r="H1006" s="15">
        <f t="shared" si="16"/>
        <v>0</v>
      </c>
      <c r="I1006" s="19"/>
    </row>
    <row r="1007" spans="1:9" x14ac:dyDescent="0.25">
      <c r="A1007" s="16">
        <v>42745</v>
      </c>
      <c r="B1007" s="17" t="s">
        <v>1290</v>
      </c>
      <c r="C1007" s="18">
        <v>96604</v>
      </c>
      <c r="D1007" s="2" t="s">
        <v>793</v>
      </c>
      <c r="E1007" s="15">
        <v>1968</v>
      </c>
      <c r="F1007" s="36" t="s">
        <v>107</v>
      </c>
      <c r="G1007" s="15">
        <v>1968</v>
      </c>
      <c r="H1007" s="15">
        <f t="shared" si="16"/>
        <v>0</v>
      </c>
      <c r="I1007" s="19"/>
    </row>
    <row r="1008" spans="1:9" x14ac:dyDescent="0.25">
      <c r="A1008" s="16">
        <v>42745</v>
      </c>
      <c r="B1008" s="17" t="s">
        <v>1291</v>
      </c>
      <c r="C1008" s="18">
        <v>96605</v>
      </c>
      <c r="D1008" s="2" t="s">
        <v>633</v>
      </c>
      <c r="E1008" s="15">
        <v>448.5</v>
      </c>
      <c r="F1008" s="36" t="s">
        <v>129</v>
      </c>
      <c r="G1008" s="15">
        <v>448.5</v>
      </c>
      <c r="H1008" s="15">
        <f t="shared" si="16"/>
        <v>0</v>
      </c>
      <c r="I1008" s="19"/>
    </row>
    <row r="1009" spans="1:9" x14ac:dyDescent="0.25">
      <c r="A1009" s="16">
        <v>42745</v>
      </c>
      <c r="B1009" s="17" t="s">
        <v>1292</v>
      </c>
      <c r="C1009" s="18">
        <v>96606</v>
      </c>
      <c r="D1009" s="2" t="s">
        <v>1293</v>
      </c>
      <c r="E1009" s="15">
        <v>811.6</v>
      </c>
      <c r="F1009" s="36" t="s">
        <v>107</v>
      </c>
      <c r="G1009" s="15">
        <v>811.6</v>
      </c>
      <c r="H1009" s="15">
        <f t="shared" si="16"/>
        <v>0</v>
      </c>
      <c r="I1009" s="19"/>
    </row>
    <row r="1010" spans="1:9" x14ac:dyDescent="0.25">
      <c r="A1010" s="16">
        <v>42745</v>
      </c>
      <c r="B1010" s="17" t="s">
        <v>1294</v>
      </c>
      <c r="C1010" s="18">
        <v>96607</v>
      </c>
      <c r="D1010" s="2" t="s">
        <v>45</v>
      </c>
      <c r="E1010" s="15">
        <v>2559.8000000000002</v>
      </c>
      <c r="F1010" s="36" t="s">
        <v>107</v>
      </c>
      <c r="G1010" s="15">
        <v>2559.8000000000002</v>
      </c>
      <c r="H1010" s="15">
        <f t="shared" si="16"/>
        <v>0</v>
      </c>
      <c r="I1010" s="19"/>
    </row>
    <row r="1011" spans="1:9" x14ac:dyDescent="0.25">
      <c r="A1011" s="16">
        <v>42745</v>
      </c>
      <c r="B1011" s="17" t="s">
        <v>1295</v>
      </c>
      <c r="C1011" s="18">
        <v>96608</v>
      </c>
      <c r="D1011" s="2" t="s">
        <v>222</v>
      </c>
      <c r="E1011" s="15">
        <v>272636</v>
      </c>
      <c r="F1011" s="36" t="s">
        <v>129</v>
      </c>
      <c r="G1011" s="15">
        <v>272636</v>
      </c>
      <c r="H1011" s="15">
        <f t="shared" si="16"/>
        <v>0</v>
      </c>
      <c r="I1011" s="19"/>
    </row>
    <row r="1012" spans="1:9" x14ac:dyDescent="0.25">
      <c r="A1012" s="16">
        <v>42745</v>
      </c>
      <c r="B1012" s="17" t="s">
        <v>1296</v>
      </c>
      <c r="C1012" s="18">
        <v>96609</v>
      </c>
      <c r="D1012" s="2" t="s">
        <v>61</v>
      </c>
      <c r="E1012" s="15">
        <v>9362.7999999999993</v>
      </c>
      <c r="F1012" s="36" t="s">
        <v>107</v>
      </c>
      <c r="G1012" s="15">
        <v>9362.7999999999993</v>
      </c>
      <c r="H1012" s="15">
        <f t="shared" si="16"/>
        <v>0</v>
      </c>
      <c r="I1012" s="19"/>
    </row>
    <row r="1013" spans="1:9" x14ac:dyDescent="0.25">
      <c r="A1013" s="16">
        <v>42745</v>
      </c>
      <c r="B1013" s="17" t="s">
        <v>1297</v>
      </c>
      <c r="C1013" s="18">
        <v>96610</v>
      </c>
      <c r="D1013" s="13" t="s">
        <v>198</v>
      </c>
      <c r="E1013" s="14">
        <v>0</v>
      </c>
      <c r="F1013" s="123" t="s">
        <v>95</v>
      </c>
      <c r="G1013" s="14">
        <v>0</v>
      </c>
      <c r="H1013" s="14">
        <f t="shared" si="16"/>
        <v>0</v>
      </c>
      <c r="I1013" s="19"/>
    </row>
    <row r="1014" spans="1:9" x14ac:dyDescent="0.25">
      <c r="A1014" s="16">
        <v>42745</v>
      </c>
      <c r="B1014" s="17" t="s">
        <v>1298</v>
      </c>
      <c r="C1014" s="18">
        <v>96611</v>
      </c>
      <c r="D1014" s="2" t="s">
        <v>1299</v>
      </c>
      <c r="E1014" s="15">
        <v>4391.1000000000004</v>
      </c>
      <c r="F1014" s="36" t="s">
        <v>275</v>
      </c>
      <c r="G1014" s="15">
        <v>4391.1000000000004</v>
      </c>
      <c r="H1014" s="15">
        <f t="shared" si="16"/>
        <v>0</v>
      </c>
      <c r="I1014" s="19"/>
    </row>
    <row r="1015" spans="1:9" x14ac:dyDescent="0.25">
      <c r="A1015" s="16">
        <v>42745</v>
      </c>
      <c r="B1015" s="17" t="s">
        <v>1300</v>
      </c>
      <c r="C1015" s="18">
        <v>96612</v>
      </c>
      <c r="D1015" s="2" t="s">
        <v>231</v>
      </c>
      <c r="E1015" s="15">
        <v>7143.8</v>
      </c>
      <c r="F1015" s="36" t="s">
        <v>129</v>
      </c>
      <c r="G1015" s="15">
        <v>7143.8</v>
      </c>
      <c r="H1015" s="15">
        <f t="shared" si="16"/>
        <v>0</v>
      </c>
      <c r="I1015" s="19"/>
    </row>
    <row r="1016" spans="1:9" x14ac:dyDescent="0.25">
      <c r="A1016" s="16">
        <v>42745</v>
      </c>
      <c r="B1016" s="17" t="s">
        <v>1301</v>
      </c>
      <c r="C1016" s="18">
        <v>96613</v>
      </c>
      <c r="D1016" s="2" t="s">
        <v>30</v>
      </c>
      <c r="E1016" s="15">
        <v>1624.5</v>
      </c>
      <c r="F1016" s="36" t="s">
        <v>107</v>
      </c>
      <c r="G1016" s="15">
        <v>1624.5</v>
      </c>
      <c r="H1016" s="15">
        <f t="shared" si="16"/>
        <v>0</v>
      </c>
      <c r="I1016" s="19"/>
    </row>
    <row r="1017" spans="1:9" x14ac:dyDescent="0.25">
      <c r="A1017" s="16">
        <v>42745</v>
      </c>
      <c r="B1017" s="17" t="s">
        <v>1302</v>
      </c>
      <c r="C1017" s="18">
        <v>96614</v>
      </c>
      <c r="D1017" s="2" t="s">
        <v>509</v>
      </c>
      <c r="E1017" s="15">
        <v>2250</v>
      </c>
      <c r="F1017" s="36" t="s">
        <v>107</v>
      </c>
      <c r="G1017" s="15">
        <v>2250</v>
      </c>
      <c r="H1017" s="15">
        <f t="shared" si="16"/>
        <v>0</v>
      </c>
      <c r="I1017" s="19"/>
    </row>
    <row r="1018" spans="1:9" x14ac:dyDescent="0.25">
      <c r="A1018" s="16">
        <v>42745</v>
      </c>
      <c r="B1018" s="17" t="s">
        <v>1303</v>
      </c>
      <c r="C1018" s="18">
        <v>96615</v>
      </c>
      <c r="D1018" s="2" t="s">
        <v>115</v>
      </c>
      <c r="E1018" s="15">
        <v>226.2</v>
      </c>
      <c r="F1018" s="36" t="s">
        <v>107</v>
      </c>
      <c r="G1018" s="15">
        <v>226.2</v>
      </c>
      <c r="H1018" s="15">
        <f t="shared" si="16"/>
        <v>0</v>
      </c>
      <c r="I1018" s="19"/>
    </row>
    <row r="1019" spans="1:9" x14ac:dyDescent="0.25">
      <c r="A1019" s="16">
        <v>42745</v>
      </c>
      <c r="B1019" s="17" t="s">
        <v>1304</v>
      </c>
      <c r="C1019" s="18">
        <v>96616</v>
      </c>
      <c r="D1019" s="2" t="s">
        <v>900</v>
      </c>
      <c r="E1019" s="15">
        <v>2356</v>
      </c>
      <c r="F1019" s="36" t="s">
        <v>275</v>
      </c>
      <c r="G1019" s="15">
        <v>2356</v>
      </c>
      <c r="H1019" s="15">
        <f t="shared" si="16"/>
        <v>0</v>
      </c>
      <c r="I1019" s="19"/>
    </row>
    <row r="1020" spans="1:9" x14ac:dyDescent="0.25">
      <c r="A1020" s="16">
        <v>42745</v>
      </c>
      <c r="B1020" s="17" t="s">
        <v>1305</v>
      </c>
      <c r="C1020" s="18">
        <v>96617</v>
      </c>
      <c r="D1020" s="2" t="s">
        <v>1306</v>
      </c>
      <c r="E1020" s="15">
        <v>463.6</v>
      </c>
      <c r="F1020" s="36" t="s">
        <v>275</v>
      </c>
      <c r="G1020" s="15">
        <v>463.6</v>
      </c>
      <c r="H1020" s="15">
        <f t="shared" si="16"/>
        <v>0</v>
      </c>
      <c r="I1020" s="19"/>
    </row>
    <row r="1021" spans="1:9" x14ac:dyDescent="0.25">
      <c r="A1021" s="16">
        <v>42745</v>
      </c>
      <c r="B1021" s="17" t="s">
        <v>1307</v>
      </c>
      <c r="C1021" s="18">
        <v>96618</v>
      </c>
      <c r="D1021" s="2" t="s">
        <v>193</v>
      </c>
      <c r="E1021" s="15">
        <v>2444</v>
      </c>
      <c r="F1021" s="36" t="s">
        <v>275</v>
      </c>
      <c r="G1021" s="15">
        <v>2444</v>
      </c>
      <c r="H1021" s="15">
        <f t="shared" si="16"/>
        <v>0</v>
      </c>
      <c r="I1021" s="19"/>
    </row>
    <row r="1022" spans="1:9" x14ac:dyDescent="0.25">
      <c r="A1022" s="16">
        <v>42745</v>
      </c>
      <c r="B1022" s="17" t="s">
        <v>1308</v>
      </c>
      <c r="C1022" s="18">
        <v>96619</v>
      </c>
      <c r="D1022" s="2" t="s">
        <v>182</v>
      </c>
      <c r="E1022" s="15">
        <v>2500</v>
      </c>
      <c r="F1022" s="36" t="s">
        <v>275</v>
      </c>
      <c r="G1022" s="15">
        <v>2500</v>
      </c>
      <c r="H1022" s="15">
        <f t="shared" si="16"/>
        <v>0</v>
      </c>
      <c r="I1022" s="19"/>
    </row>
    <row r="1023" spans="1:9" x14ac:dyDescent="0.25">
      <c r="A1023" s="16">
        <v>42745</v>
      </c>
      <c r="B1023" s="17" t="s">
        <v>1309</v>
      </c>
      <c r="C1023" s="18">
        <v>96620</v>
      </c>
      <c r="D1023" s="2" t="s">
        <v>1310</v>
      </c>
      <c r="E1023" s="15">
        <v>1950.4</v>
      </c>
      <c r="F1023" s="36" t="s">
        <v>275</v>
      </c>
      <c r="G1023" s="15">
        <v>1950.4</v>
      </c>
      <c r="H1023" s="15">
        <f t="shared" si="16"/>
        <v>0</v>
      </c>
    </row>
    <row r="1024" spans="1:9" x14ac:dyDescent="0.25">
      <c r="A1024" s="16">
        <v>42745</v>
      </c>
      <c r="B1024" s="17" t="s">
        <v>1311</v>
      </c>
      <c r="C1024" s="18">
        <v>96621</v>
      </c>
      <c r="D1024" s="2" t="s">
        <v>159</v>
      </c>
      <c r="E1024" s="15">
        <v>4308.6000000000004</v>
      </c>
      <c r="F1024" s="36" t="s">
        <v>129</v>
      </c>
      <c r="G1024" s="15">
        <v>4308.6000000000004</v>
      </c>
      <c r="H1024" s="15">
        <f t="shared" si="16"/>
        <v>0</v>
      </c>
      <c r="I1024" s="19"/>
    </row>
    <row r="1025" spans="1:8" x14ac:dyDescent="0.25">
      <c r="A1025" s="16">
        <v>42745</v>
      </c>
      <c r="B1025" s="17" t="s">
        <v>1312</v>
      </c>
      <c r="C1025" s="18">
        <v>96622</v>
      </c>
      <c r="D1025" s="2" t="s">
        <v>536</v>
      </c>
      <c r="E1025" s="15">
        <v>3432</v>
      </c>
      <c r="F1025" s="36" t="s">
        <v>107</v>
      </c>
      <c r="G1025" s="15">
        <v>3432</v>
      </c>
      <c r="H1025" s="15">
        <f t="shared" si="16"/>
        <v>0</v>
      </c>
    </row>
    <row r="1026" spans="1:8" x14ac:dyDescent="0.25">
      <c r="A1026" s="16">
        <v>42745</v>
      </c>
      <c r="B1026" s="17" t="s">
        <v>1313</v>
      </c>
      <c r="C1026" s="18">
        <v>96623</v>
      </c>
      <c r="D1026" s="2" t="s">
        <v>28</v>
      </c>
      <c r="E1026" s="15">
        <v>5179.2</v>
      </c>
      <c r="F1026" s="36" t="s">
        <v>275</v>
      </c>
      <c r="G1026" s="15">
        <v>5179.2</v>
      </c>
      <c r="H1026" s="15">
        <f t="shared" si="16"/>
        <v>0</v>
      </c>
    </row>
    <row r="1027" spans="1:8" x14ac:dyDescent="0.25">
      <c r="A1027" s="16">
        <v>42745</v>
      </c>
      <c r="B1027" s="17" t="s">
        <v>1314</v>
      </c>
      <c r="C1027" s="18">
        <v>96624</v>
      </c>
      <c r="D1027" s="2" t="s">
        <v>10</v>
      </c>
      <c r="E1027" s="15">
        <v>1402.5</v>
      </c>
      <c r="F1027" s="36" t="s">
        <v>126</v>
      </c>
      <c r="G1027" s="15">
        <v>1402.5</v>
      </c>
      <c r="H1027" s="15">
        <f t="shared" si="16"/>
        <v>0</v>
      </c>
    </row>
    <row r="1028" spans="1:8" x14ac:dyDescent="0.25">
      <c r="A1028" s="16">
        <v>42745</v>
      </c>
      <c r="B1028" s="17" t="s">
        <v>1315</v>
      </c>
      <c r="C1028" s="18">
        <v>96625</v>
      </c>
      <c r="D1028" s="2" t="s">
        <v>30</v>
      </c>
      <c r="E1028" s="15">
        <v>4555.2</v>
      </c>
      <c r="F1028" s="36" t="s">
        <v>107</v>
      </c>
      <c r="G1028" s="15">
        <v>4555.2</v>
      </c>
      <c r="H1028" s="15">
        <f t="shared" si="16"/>
        <v>0</v>
      </c>
    </row>
    <row r="1029" spans="1:8" x14ac:dyDescent="0.25">
      <c r="A1029" s="16">
        <v>42745</v>
      </c>
      <c r="B1029" s="17" t="s">
        <v>1316</v>
      </c>
      <c r="C1029" s="18">
        <v>96626</v>
      </c>
      <c r="D1029" s="2" t="s">
        <v>354</v>
      </c>
      <c r="E1029" s="15">
        <v>1348</v>
      </c>
      <c r="F1029" s="36" t="s">
        <v>107</v>
      </c>
      <c r="G1029" s="15">
        <v>1348</v>
      </c>
      <c r="H1029" s="15">
        <f t="shared" si="16"/>
        <v>0</v>
      </c>
    </row>
    <row r="1030" spans="1:8" x14ac:dyDescent="0.25">
      <c r="A1030" s="16">
        <v>42745</v>
      </c>
      <c r="B1030" s="17" t="s">
        <v>1317</v>
      </c>
      <c r="C1030" s="18">
        <v>96627</v>
      </c>
      <c r="D1030" s="2" t="s">
        <v>277</v>
      </c>
      <c r="E1030" s="15">
        <v>3693.38</v>
      </c>
      <c r="F1030" s="36" t="s">
        <v>275</v>
      </c>
      <c r="G1030" s="15">
        <v>3693.38</v>
      </c>
      <c r="H1030" s="15">
        <f t="shared" ref="H1030:H1093" si="17">E1030-G1030</f>
        <v>0</v>
      </c>
    </row>
    <row r="1031" spans="1:8" x14ac:dyDescent="0.25">
      <c r="A1031" s="16">
        <v>42745</v>
      </c>
      <c r="B1031" s="17" t="s">
        <v>1318</v>
      </c>
      <c r="C1031" s="18">
        <v>96628</v>
      </c>
      <c r="D1031" s="2" t="s">
        <v>459</v>
      </c>
      <c r="E1031" s="15">
        <v>2337.6</v>
      </c>
      <c r="F1031" s="36" t="s">
        <v>275</v>
      </c>
      <c r="G1031" s="15">
        <v>2337.6</v>
      </c>
      <c r="H1031" s="15">
        <f t="shared" si="17"/>
        <v>0</v>
      </c>
    </row>
    <row r="1032" spans="1:8" x14ac:dyDescent="0.25">
      <c r="A1032" s="16">
        <v>42745</v>
      </c>
      <c r="B1032" s="17" t="s">
        <v>1319</v>
      </c>
      <c r="C1032" s="18">
        <v>96629</v>
      </c>
      <c r="D1032" s="2" t="s">
        <v>10</v>
      </c>
      <c r="E1032" s="15">
        <v>241844.84</v>
      </c>
      <c r="F1032" s="36" t="s">
        <v>126</v>
      </c>
      <c r="G1032" s="15">
        <v>241844.84</v>
      </c>
      <c r="H1032" s="15">
        <f t="shared" si="17"/>
        <v>0</v>
      </c>
    </row>
    <row r="1033" spans="1:8" x14ac:dyDescent="0.25">
      <c r="A1033" s="16">
        <v>42745</v>
      </c>
      <c r="B1033" s="17" t="s">
        <v>1320</v>
      </c>
      <c r="C1033" s="18">
        <v>96630</v>
      </c>
      <c r="D1033" s="2" t="s">
        <v>30</v>
      </c>
      <c r="E1033" s="15">
        <v>15300</v>
      </c>
      <c r="F1033" s="36" t="s">
        <v>107</v>
      </c>
      <c r="G1033" s="15">
        <v>15300</v>
      </c>
      <c r="H1033" s="15">
        <f t="shared" si="17"/>
        <v>0</v>
      </c>
    </row>
    <row r="1034" spans="1:8" x14ac:dyDescent="0.25">
      <c r="A1034" s="16">
        <v>42745</v>
      </c>
      <c r="B1034" s="17" t="s">
        <v>1321</v>
      </c>
      <c r="C1034" s="18">
        <v>96631</v>
      </c>
      <c r="D1034" s="2" t="s">
        <v>879</v>
      </c>
      <c r="E1034" s="15">
        <v>3283.2</v>
      </c>
      <c r="F1034" s="36" t="s">
        <v>107</v>
      </c>
      <c r="G1034" s="15">
        <v>3283.2</v>
      </c>
      <c r="H1034" s="15">
        <f t="shared" si="17"/>
        <v>0</v>
      </c>
    </row>
    <row r="1035" spans="1:8" x14ac:dyDescent="0.25">
      <c r="A1035" s="16">
        <v>42745</v>
      </c>
      <c r="B1035" s="17" t="s">
        <v>1322</v>
      </c>
      <c r="C1035" s="18">
        <v>96632</v>
      </c>
      <c r="D1035" s="2" t="s">
        <v>930</v>
      </c>
      <c r="E1035" s="15">
        <v>4715.2</v>
      </c>
      <c r="F1035" s="36" t="s">
        <v>129</v>
      </c>
      <c r="G1035" s="15">
        <v>4715.2</v>
      </c>
      <c r="H1035" s="15">
        <f t="shared" si="17"/>
        <v>0</v>
      </c>
    </row>
    <row r="1036" spans="1:8" x14ac:dyDescent="0.25">
      <c r="A1036" s="16">
        <v>42745</v>
      </c>
      <c r="B1036" s="17" t="s">
        <v>1323</v>
      </c>
      <c r="C1036" s="18">
        <v>96633</v>
      </c>
      <c r="D1036" s="2" t="s">
        <v>222</v>
      </c>
      <c r="E1036" s="15">
        <v>254646</v>
      </c>
      <c r="F1036" s="36" t="s">
        <v>129</v>
      </c>
      <c r="G1036" s="15">
        <v>254646</v>
      </c>
      <c r="H1036" s="15">
        <f t="shared" si="17"/>
        <v>0</v>
      </c>
    </row>
    <row r="1037" spans="1:8" x14ac:dyDescent="0.25">
      <c r="A1037" s="16">
        <v>42745</v>
      </c>
      <c r="B1037" s="17" t="s">
        <v>1324</v>
      </c>
      <c r="C1037" s="18">
        <v>96634</v>
      </c>
      <c r="D1037" s="2" t="s">
        <v>1325</v>
      </c>
      <c r="E1037" s="15">
        <v>3195.8</v>
      </c>
      <c r="F1037" s="36" t="s">
        <v>275</v>
      </c>
      <c r="G1037" s="15">
        <v>3195.8</v>
      </c>
      <c r="H1037" s="15">
        <f t="shared" si="17"/>
        <v>0</v>
      </c>
    </row>
    <row r="1038" spans="1:8" x14ac:dyDescent="0.25">
      <c r="A1038" s="16">
        <v>42745</v>
      </c>
      <c r="B1038" s="17" t="s">
        <v>1326</v>
      </c>
      <c r="C1038" s="18">
        <v>96635</v>
      </c>
      <c r="D1038" s="2" t="s">
        <v>211</v>
      </c>
      <c r="E1038" s="15">
        <v>8469.4</v>
      </c>
      <c r="F1038" s="36" t="s">
        <v>107</v>
      </c>
      <c r="G1038" s="15">
        <v>8469.4</v>
      </c>
      <c r="H1038" s="15">
        <f t="shared" si="17"/>
        <v>0</v>
      </c>
    </row>
    <row r="1039" spans="1:8" x14ac:dyDescent="0.25">
      <c r="A1039" s="16">
        <v>42745</v>
      </c>
      <c r="B1039" s="17" t="s">
        <v>1327</v>
      </c>
      <c r="C1039" s="18">
        <v>96636</v>
      </c>
      <c r="D1039" s="2" t="s">
        <v>220</v>
      </c>
      <c r="E1039" s="15">
        <v>754</v>
      </c>
      <c r="F1039" s="36" t="s">
        <v>107</v>
      </c>
      <c r="G1039" s="15">
        <v>754</v>
      </c>
      <c r="H1039" s="15">
        <f t="shared" si="17"/>
        <v>0</v>
      </c>
    </row>
    <row r="1040" spans="1:8" x14ac:dyDescent="0.25">
      <c r="A1040" s="16">
        <v>42745</v>
      </c>
      <c r="B1040" s="17" t="s">
        <v>1328</v>
      </c>
      <c r="C1040" s="18">
        <v>96637</v>
      </c>
      <c r="D1040" s="2" t="s">
        <v>55</v>
      </c>
      <c r="E1040" s="15">
        <v>11850.1</v>
      </c>
      <c r="F1040" s="36" t="s">
        <v>107</v>
      </c>
      <c r="G1040" s="15">
        <v>11850.1</v>
      </c>
      <c r="H1040" s="15">
        <f t="shared" si="17"/>
        <v>0</v>
      </c>
    </row>
    <row r="1041" spans="1:8" x14ac:dyDescent="0.25">
      <c r="A1041" s="16">
        <v>42746</v>
      </c>
      <c r="B1041" s="17" t="s">
        <v>1329</v>
      </c>
      <c r="C1041" s="18">
        <v>96638</v>
      </c>
      <c r="D1041" s="2" t="s">
        <v>231</v>
      </c>
      <c r="E1041" s="15">
        <v>11741.9</v>
      </c>
      <c r="F1041" s="36" t="s">
        <v>129</v>
      </c>
      <c r="G1041" s="15">
        <v>11741.9</v>
      </c>
      <c r="H1041" s="15">
        <f t="shared" si="17"/>
        <v>0</v>
      </c>
    </row>
    <row r="1042" spans="1:8" x14ac:dyDescent="0.25">
      <c r="A1042" s="16">
        <v>42746</v>
      </c>
      <c r="B1042" s="17" t="s">
        <v>1330</v>
      </c>
      <c r="C1042" s="18">
        <v>96639</v>
      </c>
      <c r="D1042" s="2" t="s">
        <v>26</v>
      </c>
      <c r="E1042" s="15">
        <v>15841</v>
      </c>
      <c r="F1042" s="36" t="s">
        <v>275</v>
      </c>
      <c r="G1042" s="15">
        <v>15841</v>
      </c>
      <c r="H1042" s="15">
        <f t="shared" si="17"/>
        <v>0</v>
      </c>
    </row>
    <row r="1043" spans="1:8" x14ac:dyDescent="0.25">
      <c r="A1043" s="16">
        <v>42746</v>
      </c>
      <c r="B1043" s="17" t="s">
        <v>1331</v>
      </c>
      <c r="C1043" s="18">
        <v>96640</v>
      </c>
      <c r="D1043" s="2" t="s">
        <v>30</v>
      </c>
      <c r="E1043" s="15">
        <v>5194</v>
      </c>
      <c r="F1043" s="36" t="s">
        <v>275</v>
      </c>
      <c r="G1043" s="15">
        <v>5194</v>
      </c>
      <c r="H1043" s="15">
        <f t="shared" si="17"/>
        <v>0</v>
      </c>
    </row>
    <row r="1044" spans="1:8" x14ac:dyDescent="0.25">
      <c r="A1044" s="16">
        <v>42746</v>
      </c>
      <c r="B1044" s="17" t="s">
        <v>1332</v>
      </c>
      <c r="C1044" s="18">
        <v>96641</v>
      </c>
      <c r="D1044" s="2" t="s">
        <v>231</v>
      </c>
      <c r="E1044" s="15">
        <v>37664.1</v>
      </c>
      <c r="F1044" s="36" t="s">
        <v>129</v>
      </c>
      <c r="G1044" s="15">
        <v>37664.1</v>
      </c>
      <c r="H1044" s="15">
        <f t="shared" si="17"/>
        <v>0</v>
      </c>
    </row>
    <row r="1045" spans="1:8" x14ac:dyDescent="0.25">
      <c r="A1045" s="16">
        <v>42746</v>
      </c>
      <c r="B1045" s="17" t="s">
        <v>1333</v>
      </c>
      <c r="C1045" s="18">
        <v>96642</v>
      </c>
      <c r="D1045" s="2" t="s">
        <v>30</v>
      </c>
      <c r="E1045" s="15">
        <v>2746.2</v>
      </c>
      <c r="F1045" s="36" t="s">
        <v>275</v>
      </c>
      <c r="G1045" s="15">
        <v>2746.2</v>
      </c>
      <c r="H1045" s="15">
        <f t="shared" si="17"/>
        <v>0</v>
      </c>
    </row>
    <row r="1046" spans="1:8" x14ac:dyDescent="0.25">
      <c r="A1046" s="16">
        <v>42746</v>
      </c>
      <c r="B1046" s="17" t="s">
        <v>1334</v>
      </c>
      <c r="C1046" s="18">
        <v>96643</v>
      </c>
      <c r="D1046" s="2" t="s">
        <v>1335</v>
      </c>
      <c r="E1046" s="15">
        <v>15156.4</v>
      </c>
      <c r="F1046" s="36" t="s">
        <v>275</v>
      </c>
      <c r="G1046" s="15">
        <v>15156.4</v>
      </c>
      <c r="H1046" s="15">
        <f t="shared" si="17"/>
        <v>0</v>
      </c>
    </row>
    <row r="1047" spans="1:8" x14ac:dyDescent="0.25">
      <c r="A1047" s="16">
        <v>42746</v>
      </c>
      <c r="B1047" s="17" t="s">
        <v>1336</v>
      </c>
      <c r="C1047" s="18">
        <v>96644</v>
      </c>
      <c r="D1047" s="2" t="s">
        <v>17</v>
      </c>
      <c r="E1047" s="15">
        <v>2070</v>
      </c>
      <c r="F1047" s="36" t="s">
        <v>275</v>
      </c>
      <c r="G1047" s="15">
        <v>2070</v>
      </c>
      <c r="H1047" s="15">
        <f t="shared" si="17"/>
        <v>0</v>
      </c>
    </row>
    <row r="1048" spans="1:8" x14ac:dyDescent="0.25">
      <c r="A1048" s="16">
        <v>42746</v>
      </c>
      <c r="B1048" s="17" t="s">
        <v>1337</v>
      </c>
      <c r="C1048" s="18">
        <v>96645</v>
      </c>
      <c r="D1048" s="13" t="s">
        <v>35</v>
      </c>
      <c r="E1048" s="14">
        <v>0</v>
      </c>
      <c r="F1048" s="123" t="s">
        <v>95</v>
      </c>
      <c r="G1048" s="14">
        <v>0</v>
      </c>
      <c r="H1048" s="14">
        <f t="shared" si="17"/>
        <v>0</v>
      </c>
    </row>
    <row r="1049" spans="1:8" x14ac:dyDescent="0.25">
      <c r="A1049" s="16">
        <v>42746</v>
      </c>
      <c r="B1049" s="17" t="s">
        <v>1338</v>
      </c>
      <c r="C1049" s="18">
        <v>96646</v>
      </c>
      <c r="D1049" s="2" t="s">
        <v>32</v>
      </c>
      <c r="E1049" s="15">
        <v>7452.9</v>
      </c>
      <c r="F1049" s="36" t="s">
        <v>224</v>
      </c>
      <c r="G1049" s="15">
        <v>7452.9</v>
      </c>
      <c r="H1049" s="15">
        <f t="shared" si="17"/>
        <v>0</v>
      </c>
    </row>
    <row r="1050" spans="1:8" x14ac:dyDescent="0.25">
      <c r="A1050" s="16">
        <v>42746</v>
      </c>
      <c r="B1050" s="17" t="s">
        <v>1339</v>
      </c>
      <c r="C1050" s="18">
        <v>96647</v>
      </c>
      <c r="D1050" s="2" t="s">
        <v>35</v>
      </c>
      <c r="E1050" s="15">
        <v>11334.7</v>
      </c>
      <c r="F1050" s="36" t="s">
        <v>173</v>
      </c>
      <c r="G1050" s="15">
        <v>11334.7</v>
      </c>
      <c r="H1050" s="15">
        <f t="shared" si="17"/>
        <v>0</v>
      </c>
    </row>
    <row r="1051" spans="1:8" x14ac:dyDescent="0.25">
      <c r="A1051" s="16">
        <v>42746</v>
      </c>
      <c r="B1051" s="17" t="s">
        <v>1340</v>
      </c>
      <c r="C1051" s="18">
        <v>96648</v>
      </c>
      <c r="D1051" s="2" t="s">
        <v>38</v>
      </c>
      <c r="E1051" s="15">
        <v>4569.5</v>
      </c>
      <c r="F1051" s="36" t="s">
        <v>237</v>
      </c>
      <c r="G1051" s="15">
        <v>4569.5</v>
      </c>
      <c r="H1051" s="15">
        <f t="shared" si="17"/>
        <v>0</v>
      </c>
    </row>
    <row r="1052" spans="1:8" x14ac:dyDescent="0.25">
      <c r="A1052" s="16">
        <v>42746</v>
      </c>
      <c r="B1052" s="17" t="s">
        <v>1341</v>
      </c>
      <c r="C1052" s="18">
        <v>96649</v>
      </c>
      <c r="D1052" s="2" t="s">
        <v>1335</v>
      </c>
      <c r="E1052" s="15">
        <v>441.6</v>
      </c>
      <c r="F1052" s="36" t="s">
        <v>275</v>
      </c>
      <c r="G1052" s="15">
        <v>441.6</v>
      </c>
      <c r="H1052" s="15">
        <f t="shared" si="17"/>
        <v>0</v>
      </c>
    </row>
    <row r="1053" spans="1:8" x14ac:dyDescent="0.25">
      <c r="A1053" s="16">
        <v>42746</v>
      </c>
      <c r="B1053" s="17" t="s">
        <v>1342</v>
      </c>
      <c r="C1053" s="18">
        <v>96650</v>
      </c>
      <c r="D1053" s="2" t="s">
        <v>428</v>
      </c>
      <c r="E1053" s="15">
        <v>3260</v>
      </c>
      <c r="F1053" s="36" t="s">
        <v>173</v>
      </c>
      <c r="G1053" s="15">
        <v>3260</v>
      </c>
      <c r="H1053" s="15">
        <f t="shared" si="17"/>
        <v>0</v>
      </c>
    </row>
    <row r="1054" spans="1:8" x14ac:dyDescent="0.25">
      <c r="A1054" s="16">
        <v>42746</v>
      </c>
      <c r="B1054" s="17" t="s">
        <v>1343</v>
      </c>
      <c r="C1054" s="18">
        <v>96651</v>
      </c>
      <c r="D1054" s="2" t="s">
        <v>71</v>
      </c>
      <c r="E1054" s="15">
        <v>2464</v>
      </c>
      <c r="F1054" s="36" t="s">
        <v>275</v>
      </c>
      <c r="G1054" s="15">
        <v>2464</v>
      </c>
      <c r="H1054" s="15">
        <f t="shared" si="17"/>
        <v>0</v>
      </c>
    </row>
    <row r="1055" spans="1:8" x14ac:dyDescent="0.25">
      <c r="A1055" s="16">
        <v>42746</v>
      </c>
      <c r="B1055" s="17" t="s">
        <v>1344</v>
      </c>
      <c r="C1055" s="18">
        <v>96652</v>
      </c>
      <c r="D1055" s="2" t="s">
        <v>974</v>
      </c>
      <c r="E1055" s="15">
        <v>9359</v>
      </c>
      <c r="F1055" s="36" t="s">
        <v>275</v>
      </c>
      <c r="G1055" s="15">
        <v>9359</v>
      </c>
      <c r="H1055" s="15">
        <f t="shared" si="17"/>
        <v>0</v>
      </c>
    </row>
    <row r="1056" spans="1:8" x14ac:dyDescent="0.25">
      <c r="A1056" s="16">
        <v>42746</v>
      </c>
      <c r="B1056" s="17" t="s">
        <v>1345</v>
      </c>
      <c r="C1056" s="18">
        <v>96653</v>
      </c>
      <c r="D1056" s="2" t="s">
        <v>49</v>
      </c>
      <c r="E1056" s="15">
        <v>12159</v>
      </c>
      <c r="F1056" s="124" t="s">
        <v>1346</v>
      </c>
      <c r="G1056" s="20">
        <f>4200+7959</f>
        <v>12159</v>
      </c>
      <c r="H1056" s="20">
        <f t="shared" si="17"/>
        <v>0</v>
      </c>
    </row>
    <row r="1057" spans="1:9" x14ac:dyDescent="0.25">
      <c r="A1057" s="16">
        <v>42746</v>
      </c>
      <c r="B1057" s="17" t="s">
        <v>1347</v>
      </c>
      <c r="C1057" s="18">
        <v>96654</v>
      </c>
      <c r="D1057" s="2" t="s">
        <v>609</v>
      </c>
      <c r="E1057" s="15">
        <v>45072</v>
      </c>
      <c r="F1057" s="36" t="s">
        <v>129</v>
      </c>
      <c r="G1057" s="15">
        <v>45072</v>
      </c>
      <c r="H1057" s="15">
        <f t="shared" si="17"/>
        <v>0</v>
      </c>
    </row>
    <row r="1058" spans="1:9" x14ac:dyDescent="0.25">
      <c r="A1058" s="16">
        <v>42746</v>
      </c>
      <c r="B1058" s="17" t="s">
        <v>1348</v>
      </c>
      <c r="C1058" s="18">
        <v>96655</v>
      </c>
      <c r="D1058" s="2" t="s">
        <v>576</v>
      </c>
      <c r="E1058" s="15">
        <v>4961.6000000000004</v>
      </c>
      <c r="F1058" s="36" t="s">
        <v>129</v>
      </c>
      <c r="G1058" s="15">
        <v>4961.6000000000004</v>
      </c>
      <c r="H1058" s="15">
        <f t="shared" si="17"/>
        <v>0</v>
      </c>
    </row>
    <row r="1059" spans="1:9" x14ac:dyDescent="0.25">
      <c r="A1059" s="16">
        <v>42746</v>
      </c>
      <c r="B1059" s="17" t="s">
        <v>1349</v>
      </c>
      <c r="C1059" s="18">
        <v>96656</v>
      </c>
      <c r="D1059" s="2" t="s">
        <v>218</v>
      </c>
      <c r="E1059" s="15">
        <v>74933.95</v>
      </c>
      <c r="F1059" s="36" t="s">
        <v>307</v>
      </c>
      <c r="G1059" s="15">
        <v>74933.95</v>
      </c>
      <c r="H1059" s="15">
        <f t="shared" si="17"/>
        <v>0</v>
      </c>
    </row>
    <row r="1060" spans="1:9" x14ac:dyDescent="0.25">
      <c r="A1060" s="16">
        <v>42746</v>
      </c>
      <c r="B1060" s="17" t="s">
        <v>1350</v>
      </c>
      <c r="C1060" s="18">
        <v>96657</v>
      </c>
      <c r="D1060" s="2" t="s">
        <v>28</v>
      </c>
      <c r="E1060" s="15">
        <v>9804</v>
      </c>
      <c r="F1060" s="36" t="s">
        <v>275</v>
      </c>
      <c r="G1060" s="15">
        <v>9804</v>
      </c>
      <c r="H1060" s="15">
        <f t="shared" si="17"/>
        <v>0</v>
      </c>
    </row>
    <row r="1061" spans="1:9" x14ac:dyDescent="0.25">
      <c r="A1061" s="16">
        <v>42746</v>
      </c>
      <c r="B1061" s="17" t="s">
        <v>1351</v>
      </c>
      <c r="C1061" s="18">
        <v>96658</v>
      </c>
      <c r="D1061" s="2" t="s">
        <v>379</v>
      </c>
      <c r="E1061" s="15">
        <v>626.6</v>
      </c>
      <c r="F1061" s="36" t="s">
        <v>275</v>
      </c>
      <c r="G1061" s="15">
        <v>626.6</v>
      </c>
      <c r="H1061" s="15">
        <f t="shared" si="17"/>
        <v>0</v>
      </c>
    </row>
    <row r="1062" spans="1:9" x14ac:dyDescent="0.25">
      <c r="A1062" s="16">
        <v>42746</v>
      </c>
      <c r="B1062" s="17" t="s">
        <v>1352</v>
      </c>
      <c r="C1062" s="18">
        <v>96659</v>
      </c>
      <c r="D1062" s="2" t="s">
        <v>30</v>
      </c>
      <c r="E1062" s="15">
        <v>2548</v>
      </c>
      <c r="F1062" s="36" t="s">
        <v>275</v>
      </c>
      <c r="G1062" s="15">
        <v>2548</v>
      </c>
      <c r="H1062" s="15">
        <f t="shared" si="17"/>
        <v>0</v>
      </c>
    </row>
    <row r="1063" spans="1:9" x14ac:dyDescent="0.25">
      <c r="A1063" s="16">
        <v>42746</v>
      </c>
      <c r="B1063" s="17" t="s">
        <v>1353</v>
      </c>
      <c r="C1063" s="18">
        <v>96660</v>
      </c>
      <c r="D1063" s="2" t="s">
        <v>414</v>
      </c>
      <c r="E1063" s="15">
        <v>1889.6</v>
      </c>
      <c r="F1063" s="36" t="s">
        <v>275</v>
      </c>
      <c r="G1063" s="15">
        <v>1889.6</v>
      </c>
      <c r="H1063" s="15">
        <f t="shared" si="17"/>
        <v>0</v>
      </c>
    </row>
    <row r="1064" spans="1:9" x14ac:dyDescent="0.25">
      <c r="A1064" s="16">
        <v>42746</v>
      </c>
      <c r="B1064" s="17" t="s">
        <v>1354</v>
      </c>
      <c r="C1064" s="18">
        <v>96661</v>
      </c>
      <c r="D1064" s="2" t="s">
        <v>374</v>
      </c>
      <c r="E1064" s="15">
        <v>5062.3999999999996</v>
      </c>
      <c r="F1064" s="36" t="s">
        <v>275</v>
      </c>
      <c r="G1064" s="15">
        <v>5062.3999999999996</v>
      </c>
      <c r="H1064" s="15">
        <f t="shared" si="17"/>
        <v>0</v>
      </c>
    </row>
    <row r="1065" spans="1:9" x14ac:dyDescent="0.25">
      <c r="A1065" s="16">
        <v>42746</v>
      </c>
      <c r="B1065" s="17" t="s">
        <v>1355</v>
      </c>
      <c r="C1065" s="18">
        <v>96662</v>
      </c>
      <c r="D1065" s="2" t="s">
        <v>30</v>
      </c>
      <c r="E1065" s="15">
        <v>4553.8</v>
      </c>
      <c r="F1065" s="36" t="s">
        <v>275</v>
      </c>
      <c r="G1065" s="15">
        <v>4553.8</v>
      </c>
      <c r="H1065" s="15">
        <f t="shared" si="17"/>
        <v>0</v>
      </c>
    </row>
    <row r="1066" spans="1:9" x14ac:dyDescent="0.25">
      <c r="A1066" s="16">
        <v>42746</v>
      </c>
      <c r="B1066" s="17" t="s">
        <v>1356</v>
      </c>
      <c r="C1066" s="18">
        <v>96663</v>
      </c>
      <c r="D1066" s="2" t="s">
        <v>59</v>
      </c>
      <c r="E1066" s="15">
        <v>455.4</v>
      </c>
      <c r="F1066" s="36" t="s">
        <v>275</v>
      </c>
      <c r="G1066" s="15">
        <v>455.4</v>
      </c>
      <c r="H1066" s="15">
        <f t="shared" si="17"/>
        <v>0</v>
      </c>
    </row>
    <row r="1067" spans="1:9" x14ac:dyDescent="0.25">
      <c r="A1067" s="16">
        <v>42746</v>
      </c>
      <c r="B1067" s="17" t="s">
        <v>1357</v>
      </c>
      <c r="C1067" s="18">
        <v>96664</v>
      </c>
      <c r="D1067" s="2" t="s">
        <v>105</v>
      </c>
      <c r="E1067" s="15">
        <v>3954.5</v>
      </c>
      <c r="F1067" s="36" t="s">
        <v>126</v>
      </c>
      <c r="G1067" s="15">
        <v>3954.5</v>
      </c>
      <c r="H1067" s="15">
        <f t="shared" si="17"/>
        <v>0</v>
      </c>
    </row>
    <row r="1068" spans="1:9" x14ac:dyDescent="0.25">
      <c r="A1068" s="16">
        <v>42746</v>
      </c>
      <c r="B1068" s="17" t="s">
        <v>1358</v>
      </c>
      <c r="C1068" s="18">
        <v>96665</v>
      </c>
      <c r="D1068" s="2" t="s">
        <v>103</v>
      </c>
      <c r="E1068" s="15">
        <v>3789.5</v>
      </c>
      <c r="F1068" s="36" t="s">
        <v>129</v>
      </c>
      <c r="G1068" s="15">
        <v>3789.5</v>
      </c>
      <c r="H1068" s="15">
        <f t="shared" si="17"/>
        <v>0</v>
      </c>
    </row>
    <row r="1069" spans="1:9" x14ac:dyDescent="0.25">
      <c r="A1069" s="16">
        <v>42746</v>
      </c>
      <c r="B1069" s="17" t="s">
        <v>1359</v>
      </c>
      <c r="C1069" s="18">
        <v>96666</v>
      </c>
      <c r="D1069" s="13" t="s">
        <v>47</v>
      </c>
      <c r="E1069" s="14">
        <v>0</v>
      </c>
      <c r="F1069" s="123" t="s">
        <v>95</v>
      </c>
      <c r="G1069" s="14">
        <v>0</v>
      </c>
      <c r="H1069" s="14">
        <f t="shared" si="17"/>
        <v>0</v>
      </c>
      <c r="I1069" s="19"/>
    </row>
    <row r="1070" spans="1:9" x14ac:dyDescent="0.25">
      <c r="A1070" s="16">
        <v>42746</v>
      </c>
      <c r="B1070" s="17" t="s">
        <v>1360</v>
      </c>
      <c r="C1070" s="18">
        <v>96667</v>
      </c>
      <c r="D1070" s="13" t="s">
        <v>47</v>
      </c>
      <c r="E1070" s="14">
        <v>0</v>
      </c>
      <c r="F1070" s="123" t="s">
        <v>95</v>
      </c>
      <c r="G1070" s="14">
        <v>0</v>
      </c>
      <c r="H1070" s="14">
        <f t="shared" si="17"/>
        <v>0</v>
      </c>
      <c r="I1070" s="19"/>
    </row>
    <row r="1071" spans="1:9" x14ac:dyDescent="0.25">
      <c r="A1071" s="16">
        <v>42746</v>
      </c>
      <c r="B1071" s="17" t="s">
        <v>1361</v>
      </c>
      <c r="C1071" s="18">
        <v>96668</v>
      </c>
      <c r="D1071" s="2" t="s">
        <v>450</v>
      </c>
      <c r="E1071" s="15">
        <v>902.2</v>
      </c>
      <c r="F1071" s="36" t="s">
        <v>275</v>
      </c>
      <c r="G1071" s="15">
        <v>902.2</v>
      </c>
      <c r="H1071" s="15">
        <f t="shared" si="17"/>
        <v>0</v>
      </c>
      <c r="I1071" s="19"/>
    </row>
    <row r="1072" spans="1:9" x14ac:dyDescent="0.25">
      <c r="A1072" s="16">
        <v>42746</v>
      </c>
      <c r="B1072" s="17" t="s">
        <v>1362</v>
      </c>
      <c r="C1072" s="18">
        <v>96669</v>
      </c>
      <c r="D1072" s="2" t="s">
        <v>47</v>
      </c>
      <c r="E1072" s="15">
        <v>4201</v>
      </c>
      <c r="F1072" s="36" t="s">
        <v>275</v>
      </c>
      <c r="G1072" s="15">
        <v>4201</v>
      </c>
      <c r="H1072" s="15">
        <f t="shared" si="17"/>
        <v>0</v>
      </c>
      <c r="I1072" s="19"/>
    </row>
    <row r="1073" spans="1:9" x14ac:dyDescent="0.25">
      <c r="A1073" s="16">
        <v>42746</v>
      </c>
      <c r="B1073" s="17" t="s">
        <v>1363</v>
      </c>
      <c r="C1073" s="18">
        <v>96670</v>
      </c>
      <c r="D1073" s="2" t="s">
        <v>30</v>
      </c>
      <c r="E1073" s="15">
        <v>768</v>
      </c>
      <c r="F1073" s="36" t="s">
        <v>275</v>
      </c>
      <c r="G1073" s="15">
        <v>768</v>
      </c>
      <c r="H1073" s="15">
        <f t="shared" si="17"/>
        <v>0</v>
      </c>
      <c r="I1073" s="19"/>
    </row>
    <row r="1074" spans="1:9" x14ac:dyDescent="0.25">
      <c r="A1074" s="16">
        <v>42746</v>
      </c>
      <c r="B1074" s="17" t="s">
        <v>1364</v>
      </c>
      <c r="C1074" s="18">
        <v>96671</v>
      </c>
      <c r="D1074" s="2" t="s">
        <v>99</v>
      </c>
      <c r="E1074" s="15">
        <v>924.6</v>
      </c>
      <c r="F1074" s="36" t="s">
        <v>275</v>
      </c>
      <c r="G1074" s="15">
        <v>924.6</v>
      </c>
      <c r="H1074" s="15">
        <f t="shared" si="17"/>
        <v>0</v>
      </c>
      <c r="I1074" s="19"/>
    </row>
    <row r="1075" spans="1:9" x14ac:dyDescent="0.25">
      <c r="A1075" s="16">
        <v>42746</v>
      </c>
      <c r="B1075" s="17" t="s">
        <v>1365</v>
      </c>
      <c r="C1075" s="18">
        <v>96672</v>
      </c>
      <c r="D1075" s="2" t="s">
        <v>281</v>
      </c>
      <c r="E1075" s="15">
        <v>1500</v>
      </c>
      <c r="F1075" s="36" t="s">
        <v>275</v>
      </c>
      <c r="G1075" s="15">
        <v>1500</v>
      </c>
      <c r="H1075" s="15">
        <f t="shared" si="17"/>
        <v>0</v>
      </c>
      <c r="I1075" s="19"/>
    </row>
    <row r="1076" spans="1:9" x14ac:dyDescent="0.25">
      <c r="A1076" s="16">
        <v>42746</v>
      </c>
      <c r="B1076" s="17" t="s">
        <v>1366</v>
      </c>
      <c r="C1076" s="18">
        <v>96673</v>
      </c>
      <c r="D1076" s="2" t="s">
        <v>21</v>
      </c>
      <c r="E1076" s="15">
        <v>48658.8</v>
      </c>
      <c r="F1076" s="36" t="s">
        <v>336</v>
      </c>
      <c r="G1076" s="15">
        <v>48658.8</v>
      </c>
      <c r="H1076" s="15">
        <f t="shared" si="17"/>
        <v>0</v>
      </c>
      <c r="I1076" s="19"/>
    </row>
    <row r="1077" spans="1:9" x14ac:dyDescent="0.25">
      <c r="A1077" s="16">
        <v>42746</v>
      </c>
      <c r="B1077" s="17" t="s">
        <v>1367</v>
      </c>
      <c r="C1077" s="18">
        <v>96674</v>
      </c>
      <c r="D1077" s="2" t="s">
        <v>1259</v>
      </c>
      <c r="E1077" s="15">
        <v>1048.5</v>
      </c>
      <c r="F1077" s="36" t="s">
        <v>275</v>
      </c>
      <c r="G1077" s="15">
        <v>1048.5</v>
      </c>
      <c r="H1077" s="15">
        <f t="shared" si="17"/>
        <v>0</v>
      </c>
      <c r="I1077" s="19"/>
    </row>
    <row r="1078" spans="1:9" x14ac:dyDescent="0.25">
      <c r="A1078" s="16">
        <v>42746</v>
      </c>
      <c r="B1078" s="17" t="s">
        <v>1368</v>
      </c>
      <c r="C1078" s="18">
        <v>96675</v>
      </c>
      <c r="D1078" s="2" t="s">
        <v>83</v>
      </c>
      <c r="E1078" s="15">
        <v>4004.4</v>
      </c>
      <c r="F1078" s="36" t="s">
        <v>275</v>
      </c>
      <c r="G1078" s="15">
        <v>4004.4</v>
      </c>
      <c r="H1078" s="15">
        <f t="shared" si="17"/>
        <v>0</v>
      </c>
      <c r="I1078" s="19"/>
    </row>
    <row r="1079" spans="1:9" x14ac:dyDescent="0.25">
      <c r="A1079" s="16">
        <v>42746</v>
      </c>
      <c r="B1079" s="17" t="s">
        <v>1369</v>
      </c>
      <c r="C1079" s="18">
        <v>96676</v>
      </c>
      <c r="D1079" s="2" t="s">
        <v>1090</v>
      </c>
      <c r="E1079" s="15">
        <v>8079.4</v>
      </c>
      <c r="F1079" s="36" t="s">
        <v>275</v>
      </c>
      <c r="G1079" s="15">
        <v>8079.4</v>
      </c>
      <c r="H1079" s="15">
        <f t="shared" si="17"/>
        <v>0</v>
      </c>
      <c r="I1079" s="19"/>
    </row>
    <row r="1080" spans="1:9" x14ac:dyDescent="0.25">
      <c r="A1080" s="16">
        <v>42746</v>
      </c>
      <c r="B1080" s="17" t="s">
        <v>1370</v>
      </c>
      <c r="C1080" s="18">
        <v>96677</v>
      </c>
      <c r="D1080" s="2" t="s">
        <v>291</v>
      </c>
      <c r="E1080" s="15">
        <v>1969.3</v>
      </c>
      <c r="F1080" s="36" t="s">
        <v>275</v>
      </c>
      <c r="G1080" s="15">
        <v>1969.3</v>
      </c>
      <c r="H1080" s="15">
        <f t="shared" si="17"/>
        <v>0</v>
      </c>
      <c r="I1080" s="19"/>
    </row>
    <row r="1081" spans="1:9" x14ac:dyDescent="0.25">
      <c r="A1081" s="16">
        <v>42746</v>
      </c>
      <c r="B1081" s="17" t="s">
        <v>1371</v>
      </c>
      <c r="C1081" s="18">
        <v>96678</v>
      </c>
      <c r="D1081" s="2" t="s">
        <v>430</v>
      </c>
      <c r="E1081" s="15">
        <v>1973.4</v>
      </c>
      <c r="F1081" s="36" t="s">
        <v>275</v>
      </c>
      <c r="G1081" s="15">
        <v>1973.4</v>
      </c>
      <c r="H1081" s="15">
        <f t="shared" si="17"/>
        <v>0</v>
      </c>
      <c r="I1081" s="19"/>
    </row>
    <row r="1082" spans="1:9" x14ac:dyDescent="0.25">
      <c r="A1082" s="16">
        <v>42746</v>
      </c>
      <c r="B1082" s="17" t="s">
        <v>1372</v>
      </c>
      <c r="C1082" s="18">
        <v>96679</v>
      </c>
      <c r="D1082" s="2" t="s">
        <v>149</v>
      </c>
      <c r="E1082" s="15">
        <v>1364</v>
      </c>
      <c r="F1082" s="36" t="s">
        <v>275</v>
      </c>
      <c r="G1082" s="15">
        <v>1364</v>
      </c>
      <c r="H1082" s="15">
        <f t="shared" si="17"/>
        <v>0</v>
      </c>
      <c r="I1082" s="19"/>
    </row>
    <row r="1083" spans="1:9" x14ac:dyDescent="0.25">
      <c r="A1083" s="16">
        <v>42746</v>
      </c>
      <c r="B1083" s="17" t="s">
        <v>1373</v>
      </c>
      <c r="C1083" s="18">
        <v>96680</v>
      </c>
      <c r="D1083" s="2" t="s">
        <v>94</v>
      </c>
      <c r="E1083" s="15">
        <v>1635.6</v>
      </c>
      <c r="F1083" s="36" t="s">
        <v>275</v>
      </c>
      <c r="G1083" s="15">
        <v>1635.6</v>
      </c>
      <c r="H1083" s="15">
        <f t="shared" si="17"/>
        <v>0</v>
      </c>
      <c r="I1083" s="19"/>
    </row>
    <row r="1084" spans="1:9" x14ac:dyDescent="0.25">
      <c r="A1084" s="16">
        <v>42746</v>
      </c>
      <c r="B1084" s="17" t="s">
        <v>1374</v>
      </c>
      <c r="C1084" s="18">
        <v>96681</v>
      </c>
      <c r="D1084" s="2" t="s">
        <v>445</v>
      </c>
      <c r="E1084" s="15">
        <v>1763.2</v>
      </c>
      <c r="F1084" s="36" t="s">
        <v>275</v>
      </c>
      <c r="G1084" s="15">
        <v>1763.2</v>
      </c>
      <c r="H1084" s="15">
        <f t="shared" si="17"/>
        <v>0</v>
      </c>
      <c r="I1084" s="19"/>
    </row>
    <row r="1085" spans="1:9" x14ac:dyDescent="0.25">
      <c r="A1085" s="16">
        <v>42746</v>
      </c>
      <c r="B1085" s="17" t="s">
        <v>1375</v>
      </c>
      <c r="C1085" s="18">
        <v>96682</v>
      </c>
      <c r="D1085" s="2" t="s">
        <v>92</v>
      </c>
      <c r="E1085" s="15">
        <v>1453.6</v>
      </c>
      <c r="F1085" s="36" t="s">
        <v>275</v>
      </c>
      <c r="G1085" s="15">
        <v>1453.6</v>
      </c>
      <c r="H1085" s="15">
        <f t="shared" si="17"/>
        <v>0</v>
      </c>
      <c r="I1085" s="19"/>
    </row>
    <row r="1086" spans="1:9" x14ac:dyDescent="0.25">
      <c r="A1086" s="16">
        <v>42746</v>
      </c>
      <c r="B1086" s="17" t="s">
        <v>1376</v>
      </c>
      <c r="C1086" s="18">
        <v>96683</v>
      </c>
      <c r="D1086" s="2" t="s">
        <v>109</v>
      </c>
      <c r="E1086" s="15">
        <v>4851</v>
      </c>
      <c r="F1086" s="36" t="s">
        <v>275</v>
      </c>
      <c r="G1086" s="15">
        <v>4851</v>
      </c>
      <c r="H1086" s="15">
        <f t="shared" si="17"/>
        <v>0</v>
      </c>
      <c r="I1086" s="19"/>
    </row>
    <row r="1087" spans="1:9" x14ac:dyDescent="0.25">
      <c r="A1087" s="16">
        <v>42746</v>
      </c>
      <c r="B1087" s="17" t="s">
        <v>1377</v>
      </c>
      <c r="C1087" s="18">
        <v>96684</v>
      </c>
      <c r="D1087" s="2" t="s">
        <v>79</v>
      </c>
      <c r="E1087" s="15">
        <v>3286.8</v>
      </c>
      <c r="F1087" s="36" t="s">
        <v>275</v>
      </c>
      <c r="G1087" s="15">
        <v>3286.8</v>
      </c>
      <c r="H1087" s="15">
        <f t="shared" si="17"/>
        <v>0</v>
      </c>
      <c r="I1087" s="19"/>
    </row>
    <row r="1088" spans="1:9" x14ac:dyDescent="0.25">
      <c r="A1088" s="16">
        <v>42746</v>
      </c>
      <c r="B1088" s="17" t="s">
        <v>1378</v>
      </c>
      <c r="C1088" s="18">
        <v>96685</v>
      </c>
      <c r="D1088" s="2" t="s">
        <v>1116</v>
      </c>
      <c r="E1088" s="15">
        <v>2737.6</v>
      </c>
      <c r="F1088" s="36" t="s">
        <v>129</v>
      </c>
      <c r="G1088" s="15">
        <v>2737.6</v>
      </c>
      <c r="H1088" s="15">
        <f t="shared" si="17"/>
        <v>0</v>
      </c>
      <c r="I1088" s="19"/>
    </row>
    <row r="1089" spans="1:9" x14ac:dyDescent="0.25">
      <c r="A1089" s="16">
        <v>42746</v>
      </c>
      <c r="B1089" s="17" t="s">
        <v>1379</v>
      </c>
      <c r="C1089" s="18">
        <v>96686</v>
      </c>
      <c r="D1089" s="2" t="s">
        <v>1380</v>
      </c>
      <c r="E1089" s="15">
        <v>36754.800000000003</v>
      </c>
      <c r="F1089" s="36" t="s">
        <v>275</v>
      </c>
      <c r="G1089" s="15">
        <v>36754.800000000003</v>
      </c>
      <c r="H1089" s="15">
        <f t="shared" si="17"/>
        <v>0</v>
      </c>
      <c r="I1089" s="19"/>
    </row>
    <row r="1090" spans="1:9" x14ac:dyDescent="0.25">
      <c r="A1090" s="16">
        <v>42746</v>
      </c>
      <c r="B1090" s="17" t="s">
        <v>1381</v>
      </c>
      <c r="C1090" s="18">
        <v>96687</v>
      </c>
      <c r="D1090" s="2" t="s">
        <v>77</v>
      </c>
      <c r="E1090" s="15">
        <v>657</v>
      </c>
      <c r="F1090" s="36" t="s">
        <v>275</v>
      </c>
      <c r="G1090" s="15">
        <v>657</v>
      </c>
      <c r="H1090" s="15">
        <f t="shared" si="17"/>
        <v>0</v>
      </c>
      <c r="I1090" s="19"/>
    </row>
    <row r="1091" spans="1:9" x14ac:dyDescent="0.25">
      <c r="A1091" s="16">
        <v>42746</v>
      </c>
      <c r="B1091" s="17" t="s">
        <v>1382</v>
      </c>
      <c r="C1091" s="18">
        <v>96688</v>
      </c>
      <c r="D1091" s="2" t="s">
        <v>10</v>
      </c>
      <c r="E1091" s="15">
        <v>376</v>
      </c>
      <c r="F1091" s="36" t="s">
        <v>126</v>
      </c>
      <c r="G1091" s="15">
        <v>376</v>
      </c>
      <c r="H1091" s="15">
        <f t="shared" si="17"/>
        <v>0</v>
      </c>
      <c r="I1091" s="19"/>
    </row>
    <row r="1092" spans="1:9" x14ac:dyDescent="0.25">
      <c r="A1092" s="16">
        <v>42746</v>
      </c>
      <c r="B1092" s="17" t="s">
        <v>1383</v>
      </c>
      <c r="C1092" s="18">
        <v>96689</v>
      </c>
      <c r="D1092" s="2" t="s">
        <v>115</v>
      </c>
      <c r="E1092" s="15">
        <v>7531.7</v>
      </c>
      <c r="F1092" s="36" t="s">
        <v>317</v>
      </c>
      <c r="G1092" s="15">
        <v>7531.7</v>
      </c>
      <c r="H1092" s="15">
        <f t="shared" si="17"/>
        <v>0</v>
      </c>
      <c r="I1092" s="19"/>
    </row>
    <row r="1093" spans="1:9" x14ac:dyDescent="0.25">
      <c r="A1093" s="16">
        <v>42746</v>
      </c>
      <c r="B1093" s="17" t="s">
        <v>1384</v>
      </c>
      <c r="C1093" s="18">
        <v>96690</v>
      </c>
      <c r="D1093" s="2" t="s">
        <v>302</v>
      </c>
      <c r="E1093" s="15">
        <v>11097.6</v>
      </c>
      <c r="F1093" s="36" t="s">
        <v>275</v>
      </c>
      <c r="G1093" s="15">
        <v>11097.6</v>
      </c>
      <c r="H1093" s="15">
        <f t="shared" si="17"/>
        <v>0</v>
      </c>
      <c r="I1093" s="19"/>
    </row>
    <row r="1094" spans="1:9" x14ac:dyDescent="0.25">
      <c r="A1094" s="16">
        <v>42746</v>
      </c>
      <c r="B1094" s="17" t="s">
        <v>1385</v>
      </c>
      <c r="C1094" s="18">
        <v>96691</v>
      </c>
      <c r="D1094" s="2" t="s">
        <v>218</v>
      </c>
      <c r="E1094" s="15">
        <v>44813.15</v>
      </c>
      <c r="F1094" s="36" t="s">
        <v>307</v>
      </c>
      <c r="G1094" s="15">
        <v>44813.15</v>
      </c>
      <c r="H1094" s="15">
        <f t="shared" ref="H1094:H1157" si="18">E1094-G1094</f>
        <v>0</v>
      </c>
      <c r="I1094" s="19"/>
    </row>
    <row r="1095" spans="1:9" x14ac:dyDescent="0.25">
      <c r="A1095" s="16">
        <v>42746</v>
      </c>
      <c r="B1095" s="17" t="s">
        <v>1386</v>
      </c>
      <c r="C1095" s="18">
        <v>96692</v>
      </c>
      <c r="D1095" s="2" t="s">
        <v>476</v>
      </c>
      <c r="E1095" s="15">
        <v>4410.5</v>
      </c>
      <c r="F1095" s="36" t="s">
        <v>275</v>
      </c>
      <c r="G1095" s="15">
        <v>4410.5</v>
      </c>
      <c r="H1095" s="15">
        <f t="shared" si="18"/>
        <v>0</v>
      </c>
      <c r="I1095" s="19"/>
    </row>
    <row r="1096" spans="1:9" x14ac:dyDescent="0.25">
      <c r="A1096" s="16">
        <v>42746</v>
      </c>
      <c r="B1096" s="17" t="s">
        <v>1387</v>
      </c>
      <c r="C1096" s="18">
        <v>96693</v>
      </c>
      <c r="D1096" s="2" t="s">
        <v>305</v>
      </c>
      <c r="E1096" s="15">
        <v>5405.5</v>
      </c>
      <c r="F1096" s="36" t="s">
        <v>237</v>
      </c>
      <c r="G1096" s="15">
        <v>5405.5</v>
      </c>
      <c r="H1096" s="15">
        <f t="shared" si="18"/>
        <v>0</v>
      </c>
      <c r="I1096" s="19"/>
    </row>
    <row r="1097" spans="1:9" x14ac:dyDescent="0.25">
      <c r="A1097" s="16">
        <v>42746</v>
      </c>
      <c r="B1097" s="17" t="s">
        <v>1388</v>
      </c>
      <c r="C1097" s="18">
        <v>96694</v>
      </c>
      <c r="D1097" s="2" t="s">
        <v>186</v>
      </c>
      <c r="E1097" s="15">
        <v>3872</v>
      </c>
      <c r="F1097" s="36" t="s">
        <v>173</v>
      </c>
      <c r="G1097" s="15">
        <v>3872</v>
      </c>
      <c r="H1097" s="15">
        <f t="shared" si="18"/>
        <v>0</v>
      </c>
      <c r="I1097" s="19"/>
    </row>
    <row r="1098" spans="1:9" x14ac:dyDescent="0.25">
      <c r="A1098" s="16">
        <v>42746</v>
      </c>
      <c r="B1098" s="17" t="s">
        <v>1389</v>
      </c>
      <c r="C1098" s="18">
        <v>96695</v>
      </c>
      <c r="D1098" s="2" t="s">
        <v>184</v>
      </c>
      <c r="E1098" s="15">
        <v>3421</v>
      </c>
      <c r="F1098" s="36" t="s">
        <v>275</v>
      </c>
      <c r="G1098" s="15">
        <v>3421</v>
      </c>
      <c r="H1098" s="15">
        <f t="shared" si="18"/>
        <v>0</v>
      </c>
      <c r="I1098" s="19"/>
    </row>
    <row r="1099" spans="1:9" x14ac:dyDescent="0.25">
      <c r="A1099" s="16">
        <v>42746</v>
      </c>
      <c r="B1099" s="17" t="s">
        <v>1390</v>
      </c>
      <c r="C1099" s="18">
        <v>96696</v>
      </c>
      <c r="D1099" s="2" t="s">
        <v>465</v>
      </c>
      <c r="E1099" s="15">
        <v>10164.799999999999</v>
      </c>
      <c r="F1099" s="36" t="s">
        <v>1391</v>
      </c>
      <c r="G1099" s="15">
        <v>10164.799999999999</v>
      </c>
      <c r="H1099" s="15">
        <f t="shared" si="18"/>
        <v>0</v>
      </c>
      <c r="I1099" s="19"/>
    </row>
    <row r="1100" spans="1:9" x14ac:dyDescent="0.25">
      <c r="A1100" s="16">
        <v>42746</v>
      </c>
      <c r="B1100" s="17" t="s">
        <v>1392</v>
      </c>
      <c r="C1100" s="18">
        <v>96697</v>
      </c>
      <c r="D1100" s="2" t="s">
        <v>168</v>
      </c>
      <c r="E1100" s="15">
        <v>689.94</v>
      </c>
      <c r="F1100" s="36" t="s">
        <v>275</v>
      </c>
      <c r="G1100" s="15">
        <v>689.94</v>
      </c>
      <c r="H1100" s="15">
        <f t="shared" si="18"/>
        <v>0</v>
      </c>
      <c r="I1100" s="19"/>
    </row>
    <row r="1101" spans="1:9" x14ac:dyDescent="0.25">
      <c r="A1101" s="16">
        <v>42746</v>
      </c>
      <c r="B1101" s="17" t="s">
        <v>1393</v>
      </c>
      <c r="C1101" s="18">
        <v>96698</v>
      </c>
      <c r="D1101" s="2" t="s">
        <v>468</v>
      </c>
      <c r="E1101" s="15">
        <v>17812.599999999999</v>
      </c>
      <c r="F1101" s="36" t="s">
        <v>166</v>
      </c>
      <c r="G1101" s="15">
        <v>17812.599999999999</v>
      </c>
      <c r="H1101" s="15">
        <f t="shared" si="18"/>
        <v>0</v>
      </c>
      <c r="I1101" s="19"/>
    </row>
    <row r="1102" spans="1:9" x14ac:dyDescent="0.25">
      <c r="A1102" s="16">
        <v>42746</v>
      </c>
      <c r="B1102" s="17" t="s">
        <v>1394</v>
      </c>
      <c r="C1102" s="18">
        <v>96699</v>
      </c>
      <c r="D1102" s="2" t="s">
        <v>268</v>
      </c>
      <c r="E1102" s="15">
        <v>18603</v>
      </c>
      <c r="F1102" s="36" t="s">
        <v>173</v>
      </c>
      <c r="G1102" s="15">
        <v>18603</v>
      </c>
      <c r="H1102" s="15">
        <f t="shared" si="18"/>
        <v>0</v>
      </c>
      <c r="I1102" s="19"/>
    </row>
    <row r="1103" spans="1:9" x14ac:dyDescent="0.25">
      <c r="A1103" s="16">
        <v>42746</v>
      </c>
      <c r="B1103" s="17" t="s">
        <v>1395</v>
      </c>
      <c r="C1103" s="18">
        <v>96700</v>
      </c>
      <c r="D1103" s="2" t="s">
        <v>270</v>
      </c>
      <c r="E1103" s="15">
        <v>17160.3</v>
      </c>
      <c r="F1103" s="36" t="s">
        <v>173</v>
      </c>
      <c r="G1103" s="15">
        <v>17160.3</v>
      </c>
      <c r="H1103" s="15">
        <f t="shared" si="18"/>
        <v>0</v>
      </c>
      <c r="I1103" s="19"/>
    </row>
    <row r="1104" spans="1:9" x14ac:dyDescent="0.25">
      <c r="A1104" s="16">
        <v>42746</v>
      </c>
      <c r="B1104" s="17" t="s">
        <v>1396</v>
      </c>
      <c r="C1104" s="18">
        <v>96701</v>
      </c>
      <c r="D1104" s="2" t="s">
        <v>118</v>
      </c>
      <c r="E1104" s="15">
        <v>29488.2</v>
      </c>
      <c r="F1104" s="36" t="s">
        <v>129</v>
      </c>
      <c r="G1104" s="15">
        <v>29488.2</v>
      </c>
      <c r="H1104" s="15">
        <f t="shared" si="18"/>
        <v>0</v>
      </c>
      <c r="I1104" s="19"/>
    </row>
    <row r="1105" spans="1:9" x14ac:dyDescent="0.25">
      <c r="A1105" s="16">
        <v>42746</v>
      </c>
      <c r="B1105" s="17" t="s">
        <v>1397</v>
      </c>
      <c r="C1105" s="18">
        <v>96702</v>
      </c>
      <c r="D1105" s="2" t="s">
        <v>118</v>
      </c>
      <c r="E1105" s="15">
        <v>4926.6000000000004</v>
      </c>
      <c r="F1105" s="36" t="s">
        <v>129</v>
      </c>
      <c r="G1105" s="15">
        <v>4926.6000000000004</v>
      </c>
      <c r="H1105" s="15">
        <f t="shared" si="18"/>
        <v>0</v>
      </c>
      <c r="I1105" s="19"/>
    </row>
    <row r="1106" spans="1:9" x14ac:dyDescent="0.25">
      <c r="A1106" s="16">
        <v>42746</v>
      </c>
      <c r="B1106" s="17" t="s">
        <v>1398</v>
      </c>
      <c r="C1106" s="18">
        <v>96703</v>
      </c>
      <c r="D1106" s="2" t="s">
        <v>470</v>
      </c>
      <c r="E1106" s="15">
        <v>12443.2</v>
      </c>
      <c r="F1106" s="36" t="s">
        <v>129</v>
      </c>
      <c r="G1106" s="15">
        <v>12443.2</v>
      </c>
      <c r="H1106" s="15">
        <f t="shared" si="18"/>
        <v>0</v>
      </c>
      <c r="I1106" s="19"/>
    </row>
    <row r="1107" spans="1:9" x14ac:dyDescent="0.25">
      <c r="A1107" s="16">
        <v>42746</v>
      </c>
      <c r="B1107" s="17" t="s">
        <v>1399</v>
      </c>
      <c r="C1107" s="18">
        <v>96704</v>
      </c>
      <c r="D1107" s="2" t="s">
        <v>544</v>
      </c>
      <c r="E1107" s="15">
        <v>4910.3999999999996</v>
      </c>
      <c r="F1107" s="36" t="s">
        <v>317</v>
      </c>
      <c r="G1107" s="15">
        <v>4910.3999999999996</v>
      </c>
      <c r="H1107" s="15">
        <f t="shared" si="18"/>
        <v>0</v>
      </c>
      <c r="I1107" s="19"/>
    </row>
    <row r="1108" spans="1:9" x14ac:dyDescent="0.25">
      <c r="A1108" s="16">
        <v>42746</v>
      </c>
      <c r="B1108" s="17" t="s">
        <v>1400</v>
      </c>
      <c r="C1108" s="18">
        <v>96705</v>
      </c>
      <c r="D1108" s="2" t="s">
        <v>274</v>
      </c>
      <c r="E1108" s="15">
        <v>6675.2</v>
      </c>
      <c r="F1108" s="36" t="s">
        <v>173</v>
      </c>
      <c r="G1108" s="15">
        <v>6675.2</v>
      </c>
      <c r="H1108" s="15">
        <f t="shared" si="18"/>
        <v>0</v>
      </c>
      <c r="I1108" s="19"/>
    </row>
    <row r="1109" spans="1:9" x14ac:dyDescent="0.25">
      <c r="A1109" s="16">
        <v>42746</v>
      </c>
      <c r="B1109" s="17" t="s">
        <v>1401</v>
      </c>
      <c r="C1109" s="18">
        <v>96706</v>
      </c>
      <c r="D1109" s="2" t="s">
        <v>492</v>
      </c>
      <c r="E1109" s="15">
        <v>20707.8</v>
      </c>
      <c r="F1109" s="36" t="s">
        <v>126</v>
      </c>
      <c r="G1109" s="15">
        <v>20707.8</v>
      </c>
      <c r="H1109" s="15">
        <f t="shared" si="18"/>
        <v>0</v>
      </c>
      <c r="I1109" s="19"/>
    </row>
    <row r="1110" spans="1:9" x14ac:dyDescent="0.25">
      <c r="A1110" s="16">
        <v>42746</v>
      </c>
      <c r="B1110" s="17" t="s">
        <v>1402</v>
      </c>
      <c r="C1110" s="18">
        <v>96707</v>
      </c>
      <c r="D1110" s="2" t="s">
        <v>128</v>
      </c>
      <c r="E1110" s="15">
        <v>10736</v>
      </c>
      <c r="F1110" s="36" t="s">
        <v>129</v>
      </c>
      <c r="G1110" s="15">
        <v>10736</v>
      </c>
      <c r="H1110" s="15">
        <f t="shared" si="18"/>
        <v>0</v>
      </c>
      <c r="I1110" s="19"/>
    </row>
    <row r="1111" spans="1:9" x14ac:dyDescent="0.25">
      <c r="A1111" s="16">
        <v>42746</v>
      </c>
      <c r="B1111" s="17" t="s">
        <v>1403</v>
      </c>
      <c r="C1111" s="18">
        <v>96708</v>
      </c>
      <c r="D1111" s="2" t="s">
        <v>122</v>
      </c>
      <c r="E1111" s="15">
        <v>31970.2</v>
      </c>
      <c r="F1111" s="36" t="s">
        <v>1173</v>
      </c>
      <c r="G1111" s="15">
        <v>31970.2</v>
      </c>
      <c r="H1111" s="15">
        <f t="shared" si="18"/>
        <v>0</v>
      </c>
      <c r="I1111" s="19"/>
    </row>
    <row r="1112" spans="1:9" x14ac:dyDescent="0.25">
      <c r="A1112" s="16">
        <v>42746</v>
      </c>
      <c r="B1112" s="17" t="s">
        <v>1404</v>
      </c>
      <c r="C1112" s="18">
        <v>96709</v>
      </c>
      <c r="D1112" s="2" t="s">
        <v>122</v>
      </c>
      <c r="E1112" s="15">
        <v>6182.4</v>
      </c>
      <c r="F1112" s="36" t="s">
        <v>1173</v>
      </c>
      <c r="G1112" s="15">
        <v>6182.4</v>
      </c>
      <c r="H1112" s="15">
        <f t="shared" si="18"/>
        <v>0</v>
      </c>
      <c r="I1112" s="19"/>
    </row>
    <row r="1113" spans="1:9" x14ac:dyDescent="0.25">
      <c r="A1113" s="16">
        <v>42746</v>
      </c>
      <c r="B1113" s="17" t="s">
        <v>1405</v>
      </c>
      <c r="C1113" s="18">
        <v>96710</v>
      </c>
      <c r="D1113" s="2" t="s">
        <v>1160</v>
      </c>
      <c r="E1113" s="15">
        <v>2152.8000000000002</v>
      </c>
      <c r="F1113" s="36" t="s">
        <v>129</v>
      </c>
      <c r="G1113" s="15">
        <v>2152.8000000000002</v>
      </c>
      <c r="H1113" s="15">
        <f t="shared" si="18"/>
        <v>0</v>
      </c>
      <c r="I1113" s="19"/>
    </row>
    <row r="1114" spans="1:9" x14ac:dyDescent="0.25">
      <c r="A1114" s="16">
        <v>42746</v>
      </c>
      <c r="B1114" s="17" t="s">
        <v>1406</v>
      </c>
      <c r="C1114" s="18">
        <v>96711</v>
      </c>
      <c r="D1114" s="2" t="s">
        <v>459</v>
      </c>
      <c r="E1114" s="15">
        <v>1739.1</v>
      </c>
      <c r="F1114" s="36" t="s">
        <v>129</v>
      </c>
      <c r="G1114" s="15">
        <v>1739.1</v>
      </c>
      <c r="H1114" s="15">
        <f t="shared" si="18"/>
        <v>0</v>
      </c>
      <c r="I1114" s="19"/>
    </row>
    <row r="1115" spans="1:9" x14ac:dyDescent="0.25">
      <c r="A1115" s="16">
        <v>42746</v>
      </c>
      <c r="B1115" s="17" t="s">
        <v>1407</v>
      </c>
      <c r="C1115" s="18">
        <v>96712</v>
      </c>
      <c r="D1115" s="2" t="s">
        <v>1408</v>
      </c>
      <c r="E1115" s="15">
        <v>3451.2</v>
      </c>
      <c r="F1115" s="36" t="s">
        <v>129</v>
      </c>
      <c r="G1115" s="15">
        <v>3451.2</v>
      </c>
      <c r="H1115" s="15">
        <f t="shared" si="18"/>
        <v>0</v>
      </c>
      <c r="I1115" s="19"/>
    </row>
    <row r="1116" spans="1:9" x14ac:dyDescent="0.25">
      <c r="A1116" s="16">
        <v>42746</v>
      </c>
      <c r="B1116" s="17" t="s">
        <v>1409</v>
      </c>
      <c r="C1116" s="18">
        <v>96713</v>
      </c>
      <c r="D1116" s="2" t="s">
        <v>1293</v>
      </c>
      <c r="E1116" s="15">
        <v>760.8</v>
      </c>
      <c r="F1116" s="36" t="s">
        <v>275</v>
      </c>
      <c r="G1116" s="15">
        <v>760.8</v>
      </c>
      <c r="H1116" s="15">
        <f t="shared" si="18"/>
        <v>0</v>
      </c>
      <c r="I1116" s="19"/>
    </row>
    <row r="1117" spans="1:9" x14ac:dyDescent="0.25">
      <c r="A1117" s="16">
        <v>42746</v>
      </c>
      <c r="B1117" s="17" t="s">
        <v>1410</v>
      </c>
      <c r="C1117" s="18">
        <v>96714</v>
      </c>
      <c r="D1117" s="2" t="s">
        <v>57</v>
      </c>
      <c r="E1117" s="15">
        <v>736</v>
      </c>
      <c r="F1117" s="36" t="s">
        <v>275</v>
      </c>
      <c r="G1117" s="15">
        <v>736</v>
      </c>
      <c r="H1117" s="15">
        <f t="shared" si="18"/>
        <v>0</v>
      </c>
      <c r="I1117" s="19"/>
    </row>
    <row r="1118" spans="1:9" x14ac:dyDescent="0.25">
      <c r="A1118" s="16">
        <v>42746</v>
      </c>
      <c r="B1118" s="17" t="s">
        <v>1411</v>
      </c>
      <c r="C1118" s="18">
        <v>96715</v>
      </c>
      <c r="D1118" s="2" t="s">
        <v>793</v>
      </c>
      <c r="E1118" s="15">
        <v>1464</v>
      </c>
      <c r="F1118" s="36" t="s">
        <v>275</v>
      </c>
      <c r="G1118" s="15">
        <v>1464</v>
      </c>
      <c r="H1118" s="15">
        <f t="shared" si="18"/>
        <v>0</v>
      </c>
      <c r="I1118" s="19"/>
    </row>
    <row r="1119" spans="1:9" x14ac:dyDescent="0.25">
      <c r="A1119" s="16">
        <v>42746</v>
      </c>
      <c r="B1119" s="17" t="s">
        <v>1412</v>
      </c>
      <c r="C1119" s="18">
        <v>96716</v>
      </c>
      <c r="D1119" s="2" t="s">
        <v>53</v>
      </c>
      <c r="E1119" s="15">
        <v>2512.4</v>
      </c>
      <c r="F1119" s="36" t="s">
        <v>275</v>
      </c>
      <c r="G1119" s="15">
        <v>2512.4</v>
      </c>
      <c r="H1119" s="15">
        <f t="shared" si="18"/>
        <v>0</v>
      </c>
      <c r="I1119" s="19"/>
    </row>
    <row r="1120" spans="1:9" x14ac:dyDescent="0.25">
      <c r="A1120" s="16">
        <v>42746</v>
      </c>
      <c r="B1120" s="17" t="s">
        <v>1413</v>
      </c>
      <c r="C1120" s="18">
        <v>96717</v>
      </c>
      <c r="D1120" s="2" t="s">
        <v>61</v>
      </c>
      <c r="E1120" s="15">
        <v>4784.1000000000004</v>
      </c>
      <c r="F1120" s="36" t="s">
        <v>275</v>
      </c>
      <c r="G1120" s="15">
        <v>4784.1000000000004</v>
      </c>
      <c r="H1120" s="15">
        <f t="shared" si="18"/>
        <v>0</v>
      </c>
      <c r="I1120" s="19"/>
    </row>
    <row r="1121" spans="1:9" x14ac:dyDescent="0.25">
      <c r="A1121" s="16">
        <v>42746</v>
      </c>
      <c r="B1121" s="17" t="s">
        <v>1414</v>
      </c>
      <c r="C1121" s="18">
        <v>96718</v>
      </c>
      <c r="D1121" s="2" t="s">
        <v>45</v>
      </c>
      <c r="E1121" s="15">
        <v>1862.6</v>
      </c>
      <c r="F1121" s="36" t="s">
        <v>275</v>
      </c>
      <c r="G1121" s="15">
        <v>1862.6</v>
      </c>
      <c r="H1121" s="15">
        <f t="shared" si="18"/>
        <v>0</v>
      </c>
      <c r="I1121" s="19"/>
    </row>
    <row r="1122" spans="1:9" x14ac:dyDescent="0.25">
      <c r="A1122" s="16">
        <v>42746</v>
      </c>
      <c r="B1122" s="17" t="s">
        <v>1415</v>
      </c>
      <c r="C1122" s="18">
        <v>96719</v>
      </c>
      <c r="D1122" s="13" t="s">
        <v>30</v>
      </c>
      <c r="E1122" s="14">
        <v>0</v>
      </c>
      <c r="F1122" s="123" t="s">
        <v>95</v>
      </c>
      <c r="G1122" s="14">
        <v>0</v>
      </c>
      <c r="H1122" s="14">
        <f t="shared" si="18"/>
        <v>0</v>
      </c>
      <c r="I1122" s="19"/>
    </row>
    <row r="1123" spans="1:9" x14ac:dyDescent="0.25">
      <c r="A1123" s="16">
        <v>42746</v>
      </c>
      <c r="B1123" s="17" t="s">
        <v>1416</v>
      </c>
      <c r="C1123" s="18">
        <v>96720</v>
      </c>
      <c r="D1123" s="2" t="s">
        <v>63</v>
      </c>
      <c r="E1123" s="15">
        <v>903.6</v>
      </c>
      <c r="F1123" s="36" t="s">
        <v>275</v>
      </c>
      <c r="G1123" s="15">
        <v>903.6</v>
      </c>
      <c r="H1123" s="15">
        <f t="shared" si="18"/>
        <v>0</v>
      </c>
      <c r="I1123" s="19"/>
    </row>
    <row r="1124" spans="1:9" x14ac:dyDescent="0.25">
      <c r="A1124" s="16">
        <v>42746</v>
      </c>
      <c r="B1124" s="17" t="s">
        <v>1417</v>
      </c>
      <c r="C1124" s="18">
        <v>96721</v>
      </c>
      <c r="D1124" s="2" t="s">
        <v>335</v>
      </c>
      <c r="E1124" s="15">
        <v>1735.8</v>
      </c>
      <c r="F1124" s="36" t="s">
        <v>237</v>
      </c>
      <c r="G1124" s="15">
        <v>1735.8</v>
      </c>
      <c r="H1124" s="15">
        <f t="shared" si="18"/>
        <v>0</v>
      </c>
      <c r="I1124" s="19"/>
    </row>
    <row r="1125" spans="1:9" x14ac:dyDescent="0.25">
      <c r="A1125" s="16">
        <v>42746</v>
      </c>
      <c r="B1125" s="17" t="s">
        <v>1418</v>
      </c>
      <c r="C1125" s="18">
        <v>96722</v>
      </c>
      <c r="D1125" s="2" t="s">
        <v>930</v>
      </c>
      <c r="E1125" s="15">
        <v>7873.6</v>
      </c>
      <c r="F1125" s="36" t="s">
        <v>129</v>
      </c>
      <c r="G1125" s="15">
        <v>7873.6</v>
      </c>
      <c r="H1125" s="15">
        <f t="shared" si="18"/>
        <v>0</v>
      </c>
      <c r="I1125" s="19"/>
    </row>
    <row r="1126" spans="1:9" x14ac:dyDescent="0.25">
      <c r="A1126" s="16">
        <v>42746</v>
      </c>
      <c r="B1126" s="17" t="s">
        <v>1419</v>
      </c>
      <c r="C1126" s="18">
        <v>96723</v>
      </c>
      <c r="D1126" s="2" t="s">
        <v>30</v>
      </c>
      <c r="E1126" s="15">
        <v>780.2</v>
      </c>
      <c r="F1126" s="36" t="s">
        <v>275</v>
      </c>
      <c r="G1126" s="15">
        <v>780.2</v>
      </c>
      <c r="H1126" s="15">
        <f t="shared" si="18"/>
        <v>0</v>
      </c>
      <c r="I1126" s="19"/>
    </row>
    <row r="1127" spans="1:9" x14ac:dyDescent="0.25">
      <c r="A1127" s="16">
        <v>42746</v>
      </c>
      <c r="B1127" s="17" t="s">
        <v>1420</v>
      </c>
      <c r="C1127" s="18">
        <v>96724</v>
      </c>
      <c r="D1127" s="2" t="s">
        <v>1421</v>
      </c>
      <c r="E1127" s="15">
        <v>40560</v>
      </c>
      <c r="F1127" s="36" t="s">
        <v>129</v>
      </c>
      <c r="G1127" s="15">
        <v>40560</v>
      </c>
      <c r="H1127" s="15">
        <f t="shared" si="18"/>
        <v>0</v>
      </c>
      <c r="I1127" s="19"/>
    </row>
    <row r="1128" spans="1:9" x14ac:dyDescent="0.25">
      <c r="A1128" s="16">
        <v>42746</v>
      </c>
      <c r="B1128" s="17" t="s">
        <v>1422</v>
      </c>
      <c r="C1128" s="18">
        <v>96725</v>
      </c>
      <c r="D1128" s="13" t="s">
        <v>505</v>
      </c>
      <c r="E1128" s="14">
        <v>0</v>
      </c>
      <c r="F1128" s="123" t="s">
        <v>95</v>
      </c>
      <c r="G1128" s="14">
        <v>0</v>
      </c>
      <c r="H1128" s="14">
        <f t="shared" si="18"/>
        <v>0</v>
      </c>
      <c r="I1128" s="19"/>
    </row>
    <row r="1129" spans="1:9" x14ac:dyDescent="0.25">
      <c r="A1129" s="16">
        <v>42746</v>
      </c>
      <c r="B1129" s="17" t="s">
        <v>1423</v>
      </c>
      <c r="C1129" s="18">
        <v>96726</v>
      </c>
      <c r="D1129" s="2" t="s">
        <v>505</v>
      </c>
      <c r="E1129" s="15">
        <v>23291.599999999999</v>
      </c>
      <c r="F1129" s="36" t="s">
        <v>129</v>
      </c>
      <c r="G1129" s="15">
        <v>23291.599999999999</v>
      </c>
      <c r="H1129" s="15">
        <f t="shared" si="18"/>
        <v>0</v>
      </c>
      <c r="I1129" s="19"/>
    </row>
    <row r="1130" spans="1:9" x14ac:dyDescent="0.25">
      <c r="A1130" s="16">
        <v>42746</v>
      </c>
      <c r="B1130" s="17" t="s">
        <v>1424</v>
      </c>
      <c r="C1130" s="18">
        <v>96727</v>
      </c>
      <c r="D1130" s="2" t="s">
        <v>319</v>
      </c>
      <c r="E1130" s="15">
        <v>3132.8</v>
      </c>
      <c r="F1130" s="36" t="s">
        <v>237</v>
      </c>
      <c r="G1130" s="15">
        <v>3132.8</v>
      </c>
      <c r="H1130" s="15">
        <f t="shared" si="18"/>
        <v>0</v>
      </c>
      <c r="I1130" s="19"/>
    </row>
    <row r="1131" spans="1:9" x14ac:dyDescent="0.25">
      <c r="A1131" s="16">
        <v>42746</v>
      </c>
      <c r="B1131" s="17" t="s">
        <v>1425</v>
      </c>
      <c r="C1131" s="18">
        <v>96728</v>
      </c>
      <c r="D1131" s="2" t="s">
        <v>289</v>
      </c>
      <c r="E1131" s="15">
        <v>37947.9</v>
      </c>
      <c r="F1131" s="36" t="s">
        <v>336</v>
      </c>
      <c r="G1131" s="15">
        <v>37947.9</v>
      </c>
      <c r="H1131" s="15">
        <f t="shared" si="18"/>
        <v>0</v>
      </c>
      <c r="I1131" s="19"/>
    </row>
    <row r="1132" spans="1:9" x14ac:dyDescent="0.25">
      <c r="A1132" s="16">
        <v>42746</v>
      </c>
      <c r="B1132" s="17" t="s">
        <v>1426</v>
      </c>
      <c r="C1132" s="18">
        <v>96729</v>
      </c>
      <c r="D1132" s="2" t="s">
        <v>81</v>
      </c>
      <c r="E1132" s="15">
        <v>10741.2</v>
      </c>
      <c r="F1132" s="36" t="s">
        <v>275</v>
      </c>
      <c r="G1132" s="15">
        <v>10741.2</v>
      </c>
      <c r="H1132" s="15">
        <f t="shared" si="18"/>
        <v>0</v>
      </c>
      <c r="I1132" s="19"/>
    </row>
    <row r="1133" spans="1:9" x14ac:dyDescent="0.25">
      <c r="A1133" s="16">
        <v>42746</v>
      </c>
      <c r="B1133" s="17" t="s">
        <v>1427</v>
      </c>
      <c r="C1133" s="18">
        <v>96730</v>
      </c>
      <c r="D1133" s="2" t="s">
        <v>457</v>
      </c>
      <c r="E1133" s="15">
        <v>3718.4</v>
      </c>
      <c r="F1133" s="36" t="s">
        <v>275</v>
      </c>
      <c r="G1133" s="15">
        <v>3718.4</v>
      </c>
      <c r="H1133" s="15">
        <f t="shared" si="18"/>
        <v>0</v>
      </c>
      <c r="I1133" s="19"/>
    </row>
    <row r="1134" spans="1:9" x14ac:dyDescent="0.25">
      <c r="A1134" s="16">
        <v>42746</v>
      </c>
      <c r="B1134" s="17" t="s">
        <v>1428</v>
      </c>
      <c r="C1134" s="18">
        <v>96731</v>
      </c>
      <c r="D1134" s="2" t="s">
        <v>155</v>
      </c>
      <c r="E1134" s="15">
        <v>18464</v>
      </c>
      <c r="F1134" s="36" t="s">
        <v>1429</v>
      </c>
      <c r="G1134" s="15">
        <v>18464</v>
      </c>
      <c r="H1134" s="15">
        <f t="shared" si="18"/>
        <v>0</v>
      </c>
      <c r="I1134" s="19"/>
    </row>
    <row r="1135" spans="1:9" x14ac:dyDescent="0.25">
      <c r="A1135" s="16">
        <v>42746</v>
      </c>
      <c r="B1135" s="17" t="s">
        <v>1430</v>
      </c>
      <c r="C1135" s="18">
        <v>96732</v>
      </c>
      <c r="D1135" s="2" t="s">
        <v>329</v>
      </c>
      <c r="E1135" s="15">
        <v>618.4</v>
      </c>
      <c r="F1135" s="36" t="s">
        <v>275</v>
      </c>
      <c r="G1135" s="15">
        <v>618.4</v>
      </c>
      <c r="H1135" s="15">
        <f t="shared" si="18"/>
        <v>0</v>
      </c>
      <c r="I1135" s="19"/>
    </row>
    <row r="1136" spans="1:9" x14ac:dyDescent="0.25">
      <c r="A1136" s="16">
        <v>42746</v>
      </c>
      <c r="B1136" s="17" t="s">
        <v>1431</v>
      </c>
      <c r="C1136" s="18">
        <v>96733</v>
      </c>
      <c r="D1136" s="24" t="s">
        <v>161</v>
      </c>
      <c r="E1136" s="25">
        <v>0</v>
      </c>
      <c r="F1136" s="127" t="s">
        <v>95</v>
      </c>
      <c r="G1136" s="25">
        <v>0</v>
      </c>
      <c r="H1136" s="25">
        <f t="shared" si="18"/>
        <v>0</v>
      </c>
      <c r="I1136" s="19"/>
    </row>
    <row r="1137" spans="1:9" x14ac:dyDescent="0.25">
      <c r="A1137" s="16">
        <v>42746</v>
      </c>
      <c r="B1137" s="17" t="s">
        <v>1432</v>
      </c>
      <c r="C1137" s="18">
        <v>96734</v>
      </c>
      <c r="D1137" s="2" t="s">
        <v>266</v>
      </c>
      <c r="E1137" s="15">
        <v>3332</v>
      </c>
      <c r="F1137" s="36" t="s">
        <v>129</v>
      </c>
      <c r="G1137" s="15">
        <v>3332</v>
      </c>
      <c r="H1137" s="15">
        <f t="shared" si="18"/>
        <v>0</v>
      </c>
      <c r="I1137" s="19"/>
    </row>
    <row r="1138" spans="1:9" x14ac:dyDescent="0.25">
      <c r="A1138" s="16">
        <v>42746</v>
      </c>
      <c r="B1138" s="17" t="s">
        <v>1433</v>
      </c>
      <c r="C1138" s="18">
        <v>96735</v>
      </c>
      <c r="D1138" s="2" t="s">
        <v>145</v>
      </c>
      <c r="E1138" s="15">
        <v>22467.4</v>
      </c>
      <c r="F1138" s="36" t="s">
        <v>129</v>
      </c>
      <c r="G1138" s="15">
        <v>22467.4</v>
      </c>
      <c r="H1138" s="15">
        <f t="shared" si="18"/>
        <v>0</v>
      </c>
      <c r="I1138" s="19"/>
    </row>
    <row r="1139" spans="1:9" x14ac:dyDescent="0.25">
      <c r="A1139" s="16">
        <v>42746</v>
      </c>
      <c r="B1139" s="17" t="s">
        <v>1434</v>
      </c>
      <c r="C1139" s="18">
        <v>96736</v>
      </c>
      <c r="D1139" s="2" t="s">
        <v>231</v>
      </c>
      <c r="E1139" s="15">
        <v>1790.6</v>
      </c>
      <c r="F1139" s="36" t="s">
        <v>129</v>
      </c>
      <c r="G1139" s="15">
        <v>1790.6</v>
      </c>
      <c r="H1139" s="15">
        <f t="shared" si="18"/>
        <v>0</v>
      </c>
      <c r="I1139" s="19"/>
    </row>
    <row r="1140" spans="1:9" x14ac:dyDescent="0.25">
      <c r="A1140" s="16">
        <v>42746</v>
      </c>
      <c r="B1140" s="17" t="s">
        <v>1435</v>
      </c>
      <c r="C1140" s="18">
        <v>96737</v>
      </c>
      <c r="D1140" s="2" t="s">
        <v>172</v>
      </c>
      <c r="E1140" s="15">
        <v>26622.2</v>
      </c>
      <c r="F1140" s="36" t="s">
        <v>765</v>
      </c>
      <c r="G1140" s="15">
        <v>26622.2</v>
      </c>
      <c r="H1140" s="15">
        <f t="shared" si="18"/>
        <v>0</v>
      </c>
      <c r="I1140" s="19"/>
    </row>
    <row r="1141" spans="1:9" x14ac:dyDescent="0.25">
      <c r="A1141" s="16">
        <v>42746</v>
      </c>
      <c r="B1141" s="17" t="s">
        <v>1436</v>
      </c>
      <c r="C1141" s="18">
        <v>96738</v>
      </c>
      <c r="D1141" s="2" t="s">
        <v>163</v>
      </c>
      <c r="E1141" s="15">
        <v>13461.4</v>
      </c>
      <c r="F1141" s="36" t="s">
        <v>166</v>
      </c>
      <c r="G1141" s="15">
        <v>13461.4</v>
      </c>
      <c r="H1141" s="15">
        <f t="shared" si="18"/>
        <v>0</v>
      </c>
      <c r="I1141" s="19"/>
    </row>
    <row r="1142" spans="1:9" x14ac:dyDescent="0.25">
      <c r="A1142" s="16">
        <v>42746</v>
      </c>
      <c r="B1142" s="17" t="s">
        <v>1437</v>
      </c>
      <c r="C1142" s="18">
        <v>96739</v>
      </c>
      <c r="D1142" s="2" t="s">
        <v>165</v>
      </c>
      <c r="E1142" s="15">
        <v>13154.7</v>
      </c>
      <c r="F1142" s="36" t="s">
        <v>765</v>
      </c>
      <c r="G1142" s="15">
        <v>13154.7</v>
      </c>
      <c r="H1142" s="15">
        <f t="shared" si="18"/>
        <v>0</v>
      </c>
      <c r="I1142" s="19"/>
    </row>
    <row r="1143" spans="1:9" x14ac:dyDescent="0.25">
      <c r="A1143" s="16">
        <v>42746</v>
      </c>
      <c r="B1143" s="17" t="s">
        <v>1438</v>
      </c>
      <c r="C1143" s="18">
        <v>96740</v>
      </c>
      <c r="D1143" s="2" t="s">
        <v>161</v>
      </c>
      <c r="E1143" s="15">
        <v>29744.5</v>
      </c>
      <c r="F1143" s="36" t="s">
        <v>765</v>
      </c>
      <c r="G1143" s="15">
        <v>29744.5</v>
      </c>
      <c r="H1143" s="15">
        <f t="shared" si="18"/>
        <v>0</v>
      </c>
      <c r="I1143" s="19"/>
    </row>
    <row r="1144" spans="1:9" x14ac:dyDescent="0.25">
      <c r="A1144" s="16">
        <v>42746</v>
      </c>
      <c r="B1144" s="17" t="s">
        <v>1439</v>
      </c>
      <c r="C1144" s="18">
        <v>96741</v>
      </c>
      <c r="D1144" s="2" t="s">
        <v>1440</v>
      </c>
      <c r="E1144" s="15">
        <v>4004.28</v>
      </c>
      <c r="F1144" s="36" t="s">
        <v>129</v>
      </c>
      <c r="G1144" s="15">
        <v>4004.28</v>
      </c>
      <c r="H1144" s="15">
        <f t="shared" si="18"/>
        <v>0</v>
      </c>
      <c r="I1144" s="19"/>
    </row>
    <row r="1145" spans="1:9" x14ac:dyDescent="0.25">
      <c r="A1145" s="16">
        <v>42746</v>
      </c>
      <c r="B1145" s="17" t="s">
        <v>1441</v>
      </c>
      <c r="C1145" s="18">
        <v>96742</v>
      </c>
      <c r="D1145" s="2" t="s">
        <v>879</v>
      </c>
      <c r="E1145" s="15">
        <v>373.5</v>
      </c>
      <c r="F1145" s="36" t="s">
        <v>275</v>
      </c>
      <c r="G1145" s="15">
        <v>373.5</v>
      </c>
      <c r="H1145" s="15">
        <f t="shared" si="18"/>
        <v>0</v>
      </c>
      <c r="I1145" s="19"/>
    </row>
    <row r="1146" spans="1:9" x14ac:dyDescent="0.25">
      <c r="A1146" s="16">
        <v>42746</v>
      </c>
      <c r="B1146" s="17" t="s">
        <v>1442</v>
      </c>
      <c r="C1146" s="18">
        <v>96743</v>
      </c>
      <c r="D1146" s="2" t="s">
        <v>30</v>
      </c>
      <c r="E1146" s="15">
        <v>3484.1</v>
      </c>
      <c r="F1146" s="36" t="s">
        <v>275</v>
      </c>
      <c r="G1146" s="15">
        <v>3484.1</v>
      </c>
      <c r="H1146" s="15">
        <f t="shared" si="18"/>
        <v>0</v>
      </c>
      <c r="I1146" s="19"/>
    </row>
    <row r="1147" spans="1:9" x14ac:dyDescent="0.25">
      <c r="A1147" s="16">
        <v>42746</v>
      </c>
      <c r="B1147" s="17" t="s">
        <v>1443</v>
      </c>
      <c r="C1147" s="18">
        <v>96744</v>
      </c>
      <c r="D1147" s="2" t="s">
        <v>352</v>
      </c>
      <c r="E1147" s="15">
        <v>2051.6</v>
      </c>
      <c r="F1147" s="36" t="s">
        <v>275</v>
      </c>
      <c r="G1147" s="15">
        <v>2051.6</v>
      </c>
      <c r="H1147" s="15">
        <f t="shared" si="18"/>
        <v>0</v>
      </c>
      <c r="I1147" s="19"/>
    </row>
    <row r="1148" spans="1:9" x14ac:dyDescent="0.25">
      <c r="A1148" s="16">
        <v>42746</v>
      </c>
      <c r="B1148" s="17" t="s">
        <v>1444</v>
      </c>
      <c r="C1148" s="18">
        <v>96745</v>
      </c>
      <c r="D1148" s="2" t="s">
        <v>10</v>
      </c>
      <c r="E1148" s="15">
        <v>27658.6</v>
      </c>
      <c r="F1148" s="36" t="s">
        <v>126</v>
      </c>
      <c r="G1148" s="15">
        <v>27658.6</v>
      </c>
      <c r="H1148" s="15">
        <f t="shared" si="18"/>
        <v>0</v>
      </c>
      <c r="I1148" s="19"/>
    </row>
    <row r="1149" spans="1:9" x14ac:dyDescent="0.25">
      <c r="A1149" s="16">
        <v>42746</v>
      </c>
      <c r="B1149" s="17" t="s">
        <v>1445</v>
      </c>
      <c r="C1149" s="18">
        <v>96746</v>
      </c>
      <c r="D1149" s="2" t="s">
        <v>360</v>
      </c>
      <c r="E1149" s="15">
        <v>18972</v>
      </c>
      <c r="F1149" s="36" t="s">
        <v>361</v>
      </c>
      <c r="G1149" s="15">
        <v>18972</v>
      </c>
      <c r="H1149" s="15">
        <f t="shared" si="18"/>
        <v>0</v>
      </c>
      <c r="I1149" s="19"/>
    </row>
    <row r="1150" spans="1:9" x14ac:dyDescent="0.25">
      <c r="A1150" s="16">
        <v>42746</v>
      </c>
      <c r="B1150" s="17" t="s">
        <v>1446</v>
      </c>
      <c r="C1150" s="18">
        <v>96747</v>
      </c>
      <c r="D1150" s="2" t="s">
        <v>10</v>
      </c>
      <c r="E1150" s="15">
        <v>165658.9</v>
      </c>
      <c r="F1150" s="124" t="s">
        <v>22</v>
      </c>
      <c r="G1150" s="20">
        <f>105842.8+59816.1</f>
        <v>165658.9</v>
      </c>
      <c r="H1150" s="20">
        <f t="shared" si="18"/>
        <v>0</v>
      </c>
      <c r="I1150" s="19"/>
    </row>
    <row r="1151" spans="1:9" x14ac:dyDescent="0.25">
      <c r="A1151" s="16">
        <v>42746</v>
      </c>
      <c r="B1151" s="17" t="s">
        <v>1447</v>
      </c>
      <c r="C1151" s="18">
        <v>96748</v>
      </c>
      <c r="D1151" s="2" t="s">
        <v>1448</v>
      </c>
      <c r="E1151" s="15">
        <v>17903.400000000001</v>
      </c>
      <c r="F1151" s="36" t="s">
        <v>275</v>
      </c>
      <c r="G1151" s="15">
        <v>17903.400000000001</v>
      </c>
      <c r="H1151" s="15">
        <f t="shared" si="18"/>
        <v>0</v>
      </c>
      <c r="I1151" s="19"/>
    </row>
    <row r="1152" spans="1:9" x14ac:dyDescent="0.25">
      <c r="A1152" s="16">
        <v>42746</v>
      </c>
      <c r="B1152" s="17" t="s">
        <v>1449</v>
      </c>
      <c r="C1152" s="18">
        <v>96749</v>
      </c>
      <c r="D1152" s="2" t="s">
        <v>10</v>
      </c>
      <c r="E1152" s="15">
        <v>59117.2</v>
      </c>
      <c r="F1152" s="36" t="s">
        <v>511</v>
      </c>
      <c r="G1152" s="15">
        <v>59117.2</v>
      </c>
      <c r="H1152" s="15">
        <f t="shared" si="18"/>
        <v>0</v>
      </c>
      <c r="I1152" s="19"/>
    </row>
    <row r="1153" spans="1:9" x14ac:dyDescent="0.25">
      <c r="A1153" s="16">
        <v>42746</v>
      </c>
      <c r="B1153" s="17" t="s">
        <v>1450</v>
      </c>
      <c r="C1153" s="18">
        <v>96750</v>
      </c>
      <c r="D1153" s="2" t="s">
        <v>358</v>
      </c>
      <c r="E1153" s="15">
        <v>34190.92</v>
      </c>
      <c r="F1153" s="36" t="s">
        <v>129</v>
      </c>
      <c r="G1153" s="15">
        <v>34190.92</v>
      </c>
      <c r="H1153" s="15">
        <f t="shared" si="18"/>
        <v>0</v>
      </c>
      <c r="I1153" s="19"/>
    </row>
    <row r="1154" spans="1:9" x14ac:dyDescent="0.25">
      <c r="A1154" s="16">
        <v>42746</v>
      </c>
      <c r="B1154" s="17" t="s">
        <v>1451</v>
      </c>
      <c r="C1154" s="18">
        <v>96751</v>
      </c>
      <c r="D1154" s="2" t="s">
        <v>563</v>
      </c>
      <c r="E1154" s="15">
        <v>1026</v>
      </c>
      <c r="F1154" s="36" t="s">
        <v>275</v>
      </c>
      <c r="G1154" s="15">
        <v>1026</v>
      </c>
      <c r="H1154" s="15">
        <f t="shared" si="18"/>
        <v>0</v>
      </c>
      <c r="I1154" s="19"/>
    </row>
    <row r="1155" spans="1:9" x14ac:dyDescent="0.25">
      <c r="A1155" s="16">
        <v>42746</v>
      </c>
      <c r="B1155" s="17" t="s">
        <v>1452</v>
      </c>
      <c r="C1155" s="18">
        <v>96752</v>
      </c>
      <c r="D1155" s="2" t="s">
        <v>30</v>
      </c>
      <c r="E1155" s="15">
        <v>4324</v>
      </c>
      <c r="F1155" s="36" t="s">
        <v>275</v>
      </c>
      <c r="G1155" s="15">
        <v>4324</v>
      </c>
      <c r="H1155" s="15">
        <f t="shared" si="18"/>
        <v>0</v>
      </c>
      <c r="I1155" s="19"/>
    </row>
    <row r="1156" spans="1:9" x14ac:dyDescent="0.25">
      <c r="A1156" s="16">
        <v>42746</v>
      </c>
      <c r="B1156" s="17" t="s">
        <v>1453</v>
      </c>
      <c r="C1156" s="18">
        <v>96753</v>
      </c>
      <c r="D1156" s="2" t="s">
        <v>523</v>
      </c>
      <c r="E1156" s="15">
        <v>16130.4</v>
      </c>
      <c r="F1156" s="36" t="s">
        <v>927</v>
      </c>
      <c r="G1156" s="15">
        <v>16130.4</v>
      </c>
      <c r="H1156" s="15">
        <f t="shared" si="18"/>
        <v>0</v>
      </c>
      <c r="I1156" s="19"/>
    </row>
    <row r="1157" spans="1:9" x14ac:dyDescent="0.25">
      <c r="A1157" s="16">
        <v>42746</v>
      </c>
      <c r="B1157" s="17" t="s">
        <v>1454</v>
      </c>
      <c r="C1157" s="18">
        <v>96754</v>
      </c>
      <c r="D1157" s="2" t="s">
        <v>220</v>
      </c>
      <c r="E1157" s="15">
        <v>1015</v>
      </c>
      <c r="F1157" s="36" t="s">
        <v>275</v>
      </c>
      <c r="G1157" s="15">
        <v>1015</v>
      </c>
      <c r="H1157" s="15">
        <f t="shared" si="18"/>
        <v>0</v>
      </c>
      <c r="I1157" s="19"/>
    </row>
    <row r="1158" spans="1:9" x14ac:dyDescent="0.25">
      <c r="A1158" s="16">
        <v>42746</v>
      </c>
      <c r="B1158" s="17" t="s">
        <v>1455</v>
      </c>
      <c r="C1158" s="18">
        <v>96755</v>
      </c>
      <c r="D1158" s="2" t="s">
        <v>211</v>
      </c>
      <c r="E1158" s="15">
        <v>8479.6</v>
      </c>
      <c r="F1158" s="36" t="s">
        <v>275</v>
      </c>
      <c r="G1158" s="15">
        <v>8479.6</v>
      </c>
      <c r="H1158" s="15">
        <f t="shared" ref="H1158:H1221" si="19">E1158-G1158</f>
        <v>0</v>
      </c>
      <c r="I1158" s="19"/>
    </row>
    <row r="1159" spans="1:9" x14ac:dyDescent="0.25">
      <c r="A1159" s="16">
        <v>42746</v>
      </c>
      <c r="B1159" s="17" t="s">
        <v>1456</v>
      </c>
      <c r="C1159" s="18">
        <v>96756</v>
      </c>
      <c r="D1159" s="2" t="s">
        <v>236</v>
      </c>
      <c r="E1159" s="15">
        <v>69876.600000000006</v>
      </c>
      <c r="F1159" s="36" t="s">
        <v>927</v>
      </c>
      <c r="G1159" s="15">
        <f>1589.43+68287.17</f>
        <v>69876.599999999991</v>
      </c>
      <c r="H1159" s="15">
        <f t="shared" si="19"/>
        <v>0</v>
      </c>
      <c r="I1159" s="19"/>
    </row>
    <row r="1160" spans="1:9" x14ac:dyDescent="0.25">
      <c r="A1160" s="16">
        <v>42746</v>
      </c>
      <c r="B1160" s="17" t="s">
        <v>1457</v>
      </c>
      <c r="C1160" s="18">
        <v>96757</v>
      </c>
      <c r="D1160" s="2" t="s">
        <v>208</v>
      </c>
      <c r="E1160" s="15">
        <v>11643.72</v>
      </c>
      <c r="F1160" s="36" t="s">
        <v>237</v>
      </c>
      <c r="G1160" s="15">
        <v>11643.72</v>
      </c>
      <c r="H1160" s="15">
        <f t="shared" si="19"/>
        <v>0</v>
      </c>
      <c r="I1160" s="19"/>
    </row>
    <row r="1161" spans="1:9" x14ac:dyDescent="0.25">
      <c r="A1161" s="16">
        <v>42747</v>
      </c>
      <c r="B1161" s="17" t="s">
        <v>1458</v>
      </c>
      <c r="C1161" s="18">
        <v>96758</v>
      </c>
      <c r="D1161" s="2" t="s">
        <v>231</v>
      </c>
      <c r="E1161" s="15">
        <v>10324.1</v>
      </c>
      <c r="F1161" s="36" t="s">
        <v>173</v>
      </c>
      <c r="G1161" s="15">
        <v>10324.1</v>
      </c>
      <c r="H1161" s="15">
        <f t="shared" si="19"/>
        <v>0</v>
      </c>
      <c r="I1161" s="19"/>
    </row>
    <row r="1162" spans="1:9" x14ac:dyDescent="0.25">
      <c r="A1162" s="16">
        <v>42747</v>
      </c>
      <c r="B1162" s="17" t="s">
        <v>1459</v>
      </c>
      <c r="C1162" s="18">
        <v>96759</v>
      </c>
      <c r="D1162" s="2" t="s">
        <v>374</v>
      </c>
      <c r="E1162" s="15">
        <v>5665.2</v>
      </c>
      <c r="F1162" s="36" t="s">
        <v>129</v>
      </c>
      <c r="G1162" s="15">
        <v>5665.2</v>
      </c>
      <c r="H1162" s="15">
        <f t="shared" si="19"/>
        <v>0</v>
      </c>
      <c r="I1162" s="19"/>
    </row>
    <row r="1163" spans="1:9" x14ac:dyDescent="0.25">
      <c r="A1163" s="16">
        <v>42747</v>
      </c>
      <c r="B1163" s="17" t="s">
        <v>1460</v>
      </c>
      <c r="C1163" s="18">
        <v>96760</v>
      </c>
      <c r="D1163" s="2" t="s">
        <v>231</v>
      </c>
      <c r="E1163" s="15">
        <v>37092.1</v>
      </c>
      <c r="F1163" s="36" t="s">
        <v>126</v>
      </c>
      <c r="G1163" s="15">
        <v>37092.1</v>
      </c>
      <c r="H1163" s="15">
        <f t="shared" si="19"/>
        <v>0</v>
      </c>
      <c r="I1163" s="19"/>
    </row>
    <row r="1164" spans="1:9" x14ac:dyDescent="0.25">
      <c r="A1164" s="16">
        <v>42747</v>
      </c>
      <c r="B1164" s="17" t="s">
        <v>1461</v>
      </c>
      <c r="C1164" s="18">
        <v>96761</v>
      </c>
      <c r="D1164" s="2" t="s">
        <v>26</v>
      </c>
      <c r="E1164" s="15">
        <v>24907.4</v>
      </c>
      <c r="F1164" s="36" t="s">
        <v>129</v>
      </c>
      <c r="G1164" s="15">
        <v>24907.4</v>
      </c>
      <c r="H1164" s="15">
        <f t="shared" si="19"/>
        <v>0</v>
      </c>
      <c r="I1164" s="19"/>
    </row>
    <row r="1165" spans="1:9" x14ac:dyDescent="0.25">
      <c r="A1165" s="16">
        <v>42747</v>
      </c>
      <c r="B1165" s="17" t="s">
        <v>1462</v>
      </c>
      <c r="C1165" s="18">
        <v>96762</v>
      </c>
      <c r="D1165" s="2" t="s">
        <v>71</v>
      </c>
      <c r="E1165" s="15">
        <v>2464</v>
      </c>
      <c r="F1165" s="36" t="s">
        <v>129</v>
      </c>
      <c r="G1165" s="15">
        <v>2464</v>
      </c>
      <c r="H1165" s="15">
        <f t="shared" si="19"/>
        <v>0</v>
      </c>
      <c r="I1165" s="19"/>
    </row>
    <row r="1166" spans="1:9" x14ac:dyDescent="0.25">
      <c r="A1166" s="16">
        <v>42747</v>
      </c>
      <c r="B1166" s="17" t="s">
        <v>1463</v>
      </c>
      <c r="C1166" s="18">
        <v>96763</v>
      </c>
      <c r="D1166" s="2" t="s">
        <v>30</v>
      </c>
      <c r="E1166" s="15">
        <v>5481</v>
      </c>
      <c r="F1166" s="36" t="s">
        <v>129</v>
      </c>
      <c r="G1166" s="15">
        <v>5481</v>
      </c>
      <c r="H1166" s="15">
        <f t="shared" si="19"/>
        <v>0</v>
      </c>
      <c r="I1166" s="19"/>
    </row>
    <row r="1167" spans="1:9" x14ac:dyDescent="0.25">
      <c r="A1167" s="16">
        <v>42747</v>
      </c>
      <c r="B1167" s="17" t="s">
        <v>1464</v>
      </c>
      <c r="C1167" s="18">
        <v>96764</v>
      </c>
      <c r="D1167" s="2" t="s">
        <v>222</v>
      </c>
      <c r="E1167" s="15">
        <v>121930.27</v>
      </c>
      <c r="F1167" s="36" t="s">
        <v>237</v>
      </c>
      <c r="G1167" s="15">
        <v>121930.27</v>
      </c>
      <c r="H1167" s="15">
        <f t="shared" si="19"/>
        <v>0</v>
      </c>
      <c r="I1167" s="19"/>
    </row>
    <row r="1168" spans="1:9" x14ac:dyDescent="0.25">
      <c r="A1168" s="16">
        <v>42747</v>
      </c>
      <c r="B1168" s="17" t="s">
        <v>1465</v>
      </c>
      <c r="C1168" s="18">
        <v>96765</v>
      </c>
      <c r="D1168" s="2" t="s">
        <v>157</v>
      </c>
      <c r="E1168" s="15">
        <v>26039.200000000001</v>
      </c>
      <c r="F1168" s="36" t="s">
        <v>129</v>
      </c>
      <c r="G1168" s="15">
        <v>26039.200000000001</v>
      </c>
      <c r="H1168" s="15">
        <f t="shared" si="19"/>
        <v>0</v>
      </c>
      <c r="I1168" s="19"/>
    </row>
    <row r="1169" spans="1:9" x14ac:dyDescent="0.25">
      <c r="A1169" s="16">
        <v>42747</v>
      </c>
      <c r="B1169" s="17" t="s">
        <v>1466</v>
      </c>
      <c r="C1169" s="18">
        <v>96766</v>
      </c>
      <c r="D1169" s="2" t="s">
        <v>19</v>
      </c>
      <c r="E1169" s="15">
        <v>920</v>
      </c>
      <c r="F1169" s="36" t="s">
        <v>129</v>
      </c>
      <c r="G1169" s="15">
        <v>920</v>
      </c>
      <c r="H1169" s="15">
        <f t="shared" si="19"/>
        <v>0</v>
      </c>
      <c r="I1169" s="19"/>
    </row>
    <row r="1170" spans="1:9" x14ac:dyDescent="0.25">
      <c r="A1170" s="16">
        <v>42747</v>
      </c>
      <c r="B1170" s="17" t="s">
        <v>1467</v>
      </c>
      <c r="C1170" s="18">
        <v>96767</v>
      </c>
      <c r="D1170" s="2" t="s">
        <v>28</v>
      </c>
      <c r="E1170" s="15">
        <v>13029</v>
      </c>
      <c r="F1170" s="36" t="s">
        <v>129</v>
      </c>
      <c r="G1170" s="15">
        <v>13029</v>
      </c>
      <c r="H1170" s="15">
        <f t="shared" si="19"/>
        <v>0</v>
      </c>
      <c r="I1170" s="19"/>
    </row>
    <row r="1171" spans="1:9" x14ac:dyDescent="0.25">
      <c r="A1171" s="16">
        <v>42747</v>
      </c>
      <c r="B1171" s="17" t="s">
        <v>1468</v>
      </c>
      <c r="C1171" s="18">
        <v>96768</v>
      </c>
      <c r="D1171" s="13" t="s">
        <v>19</v>
      </c>
      <c r="E1171" s="14">
        <v>0</v>
      </c>
      <c r="F1171" s="123" t="s">
        <v>95</v>
      </c>
      <c r="G1171" s="14">
        <v>0</v>
      </c>
      <c r="H1171" s="14">
        <f t="shared" si="19"/>
        <v>0</v>
      </c>
      <c r="I1171" s="19"/>
    </row>
    <row r="1172" spans="1:9" x14ac:dyDescent="0.25">
      <c r="A1172" s="16">
        <v>42747</v>
      </c>
      <c r="B1172" s="17" t="s">
        <v>1469</v>
      </c>
      <c r="C1172" s="18">
        <v>96769</v>
      </c>
      <c r="D1172" s="2" t="s">
        <v>17</v>
      </c>
      <c r="E1172" s="15">
        <v>2300</v>
      </c>
      <c r="F1172" s="36" t="s">
        <v>129</v>
      </c>
      <c r="G1172" s="15">
        <v>2300</v>
      </c>
      <c r="H1172" s="15">
        <f t="shared" si="19"/>
        <v>0</v>
      </c>
      <c r="I1172" s="19"/>
    </row>
    <row r="1173" spans="1:9" x14ac:dyDescent="0.25">
      <c r="A1173" s="16">
        <v>42747</v>
      </c>
      <c r="B1173" s="17" t="s">
        <v>1470</v>
      </c>
      <c r="C1173" s="18">
        <v>96770</v>
      </c>
      <c r="D1173" s="2" t="s">
        <v>67</v>
      </c>
      <c r="E1173" s="15">
        <v>6457.6</v>
      </c>
      <c r="F1173" s="36" t="s">
        <v>801</v>
      </c>
      <c r="G1173" s="15">
        <v>6457.6</v>
      </c>
      <c r="H1173" s="15">
        <f t="shared" si="19"/>
        <v>0</v>
      </c>
      <c r="I1173" s="19"/>
    </row>
    <row r="1174" spans="1:9" x14ac:dyDescent="0.25">
      <c r="A1174" s="16">
        <v>42747</v>
      </c>
      <c r="B1174" s="17" t="s">
        <v>1471</v>
      </c>
      <c r="C1174" s="18">
        <v>96771</v>
      </c>
      <c r="D1174" s="2" t="s">
        <v>253</v>
      </c>
      <c r="E1174" s="15">
        <v>3626.6</v>
      </c>
      <c r="F1174" s="36" t="s">
        <v>511</v>
      </c>
      <c r="G1174" s="15">
        <v>3626.6</v>
      </c>
      <c r="H1174" s="15">
        <f t="shared" si="19"/>
        <v>0</v>
      </c>
      <c r="I1174" s="19"/>
    </row>
    <row r="1175" spans="1:9" x14ac:dyDescent="0.25">
      <c r="A1175" s="16">
        <v>42747</v>
      </c>
      <c r="B1175" s="17" t="s">
        <v>1472</v>
      </c>
      <c r="C1175" s="18">
        <v>96772</v>
      </c>
      <c r="D1175" s="2" t="s">
        <v>509</v>
      </c>
      <c r="E1175" s="15">
        <v>22589.599999999999</v>
      </c>
      <c r="F1175" s="36" t="s">
        <v>317</v>
      </c>
      <c r="G1175" s="15">
        <v>22589.599999999999</v>
      </c>
      <c r="H1175" s="15">
        <f t="shared" si="19"/>
        <v>0</v>
      </c>
      <c r="I1175" s="19"/>
    </row>
    <row r="1176" spans="1:9" x14ac:dyDescent="0.25">
      <c r="A1176" s="16">
        <v>42747</v>
      </c>
      <c r="B1176" s="17" t="s">
        <v>1473</v>
      </c>
      <c r="C1176" s="18">
        <v>96773</v>
      </c>
      <c r="D1176" s="2" t="s">
        <v>576</v>
      </c>
      <c r="E1176" s="15">
        <v>3616.8</v>
      </c>
      <c r="F1176" s="36" t="s">
        <v>173</v>
      </c>
      <c r="G1176" s="15">
        <v>3616.8</v>
      </c>
      <c r="H1176" s="15">
        <f t="shared" si="19"/>
        <v>0</v>
      </c>
      <c r="I1176" s="19"/>
    </row>
    <row r="1177" spans="1:9" x14ac:dyDescent="0.25">
      <c r="A1177" s="16">
        <v>42747</v>
      </c>
      <c r="B1177" s="17" t="s">
        <v>1474</v>
      </c>
      <c r="C1177" s="18">
        <v>96774</v>
      </c>
      <c r="D1177" s="2" t="s">
        <v>49</v>
      </c>
      <c r="E1177" s="15">
        <v>17960.8</v>
      </c>
      <c r="F1177" s="124" t="s">
        <v>1475</v>
      </c>
      <c r="G1177" s="20">
        <f>5000+12960.8</f>
        <v>17960.8</v>
      </c>
      <c r="H1177" s="20">
        <f t="shared" si="19"/>
        <v>0</v>
      </c>
      <c r="I1177" s="19"/>
    </row>
    <row r="1178" spans="1:9" x14ac:dyDescent="0.25">
      <c r="A1178" s="16">
        <v>42747</v>
      </c>
      <c r="B1178" s="17" t="s">
        <v>1476</v>
      </c>
      <c r="C1178" s="18">
        <v>96775</v>
      </c>
      <c r="D1178" s="2" t="s">
        <v>428</v>
      </c>
      <c r="E1178" s="15">
        <v>2278.1999999999998</v>
      </c>
      <c r="F1178" s="36" t="s">
        <v>173</v>
      </c>
      <c r="G1178" s="15">
        <v>2278.1999999999998</v>
      </c>
      <c r="H1178" s="15">
        <f t="shared" si="19"/>
        <v>0</v>
      </c>
      <c r="I1178" s="19"/>
    </row>
    <row r="1179" spans="1:9" x14ac:dyDescent="0.25">
      <c r="A1179" s="16">
        <v>42747</v>
      </c>
      <c r="B1179" s="17" t="s">
        <v>1477</v>
      </c>
      <c r="C1179" s="18">
        <v>96776</v>
      </c>
      <c r="D1179" s="2" t="s">
        <v>69</v>
      </c>
      <c r="E1179" s="15">
        <v>4445.7</v>
      </c>
      <c r="F1179" s="36" t="s">
        <v>129</v>
      </c>
      <c r="G1179" s="15">
        <v>4445.7</v>
      </c>
      <c r="H1179" s="15">
        <f t="shared" si="19"/>
        <v>0</v>
      </c>
      <c r="I1179" s="19"/>
    </row>
    <row r="1180" spans="1:9" x14ac:dyDescent="0.25">
      <c r="A1180" s="16">
        <v>42747</v>
      </c>
      <c r="B1180" s="17" t="s">
        <v>1478</v>
      </c>
      <c r="C1180" s="18">
        <v>96777</v>
      </c>
      <c r="D1180" s="2" t="s">
        <v>250</v>
      </c>
      <c r="E1180" s="15">
        <v>3203.2</v>
      </c>
      <c r="F1180" s="36" t="s">
        <v>173</v>
      </c>
      <c r="G1180" s="15">
        <v>3203.2</v>
      </c>
      <c r="H1180" s="15">
        <f t="shared" si="19"/>
        <v>0</v>
      </c>
      <c r="I1180" s="19"/>
    </row>
    <row r="1181" spans="1:9" x14ac:dyDescent="0.25">
      <c r="A1181" s="16">
        <v>42747</v>
      </c>
      <c r="B1181" s="17" t="s">
        <v>1479</v>
      </c>
      <c r="C1181" s="18">
        <v>96778</v>
      </c>
      <c r="D1181" s="2" t="s">
        <v>40</v>
      </c>
      <c r="E1181" s="15">
        <v>4144.8</v>
      </c>
      <c r="F1181" s="36" t="s">
        <v>237</v>
      </c>
      <c r="G1181" s="15">
        <v>4144.8</v>
      </c>
      <c r="H1181" s="15">
        <f t="shared" si="19"/>
        <v>0</v>
      </c>
      <c r="I1181" s="19"/>
    </row>
    <row r="1182" spans="1:9" x14ac:dyDescent="0.25">
      <c r="A1182" s="16">
        <v>42747</v>
      </c>
      <c r="B1182" s="17" t="s">
        <v>1480</v>
      </c>
      <c r="C1182" s="18">
        <v>96779</v>
      </c>
      <c r="D1182" s="13" t="s">
        <v>32</v>
      </c>
      <c r="E1182" s="14">
        <v>0</v>
      </c>
      <c r="F1182" s="123" t="s">
        <v>95</v>
      </c>
      <c r="G1182" s="14">
        <v>0</v>
      </c>
      <c r="H1182" s="14">
        <f t="shared" si="19"/>
        <v>0</v>
      </c>
      <c r="I1182" s="19"/>
    </row>
    <row r="1183" spans="1:9" x14ac:dyDescent="0.25">
      <c r="A1183" s="16">
        <v>42747</v>
      </c>
      <c r="B1183" s="17" t="s">
        <v>1481</v>
      </c>
      <c r="C1183" s="18">
        <v>96780</v>
      </c>
      <c r="D1183" s="2" t="s">
        <v>32</v>
      </c>
      <c r="E1183" s="15">
        <v>6336.8</v>
      </c>
      <c r="F1183" s="36" t="s">
        <v>317</v>
      </c>
      <c r="G1183" s="15">
        <v>6336.8</v>
      </c>
      <c r="H1183" s="15">
        <f t="shared" si="19"/>
        <v>0</v>
      </c>
      <c r="I1183" s="19"/>
    </row>
    <row r="1184" spans="1:9" x14ac:dyDescent="0.25">
      <c r="A1184" s="16">
        <v>42747</v>
      </c>
      <c r="B1184" s="17" t="s">
        <v>1482</v>
      </c>
      <c r="C1184" s="18">
        <v>96781</v>
      </c>
      <c r="D1184" s="2" t="s">
        <v>59</v>
      </c>
      <c r="E1184" s="15">
        <v>1276</v>
      </c>
      <c r="F1184" s="36" t="s">
        <v>129</v>
      </c>
      <c r="G1184" s="15">
        <v>1276</v>
      </c>
      <c r="H1184" s="15">
        <f t="shared" si="19"/>
        <v>0</v>
      </c>
      <c r="I1184" s="19"/>
    </row>
    <row r="1185" spans="1:9" x14ac:dyDescent="0.25">
      <c r="A1185" s="16">
        <v>42747</v>
      </c>
      <c r="B1185" s="17" t="s">
        <v>1483</v>
      </c>
      <c r="C1185" s="18">
        <v>96782</v>
      </c>
      <c r="D1185" s="2" t="s">
        <v>38</v>
      </c>
      <c r="E1185" s="15">
        <v>1991.5</v>
      </c>
      <c r="F1185" s="124" t="s">
        <v>1475</v>
      </c>
      <c r="G1185" s="20">
        <f>1000+991.5</f>
        <v>1991.5</v>
      </c>
      <c r="H1185" s="20">
        <f t="shared" si="19"/>
        <v>0</v>
      </c>
      <c r="I1185" s="19"/>
    </row>
    <row r="1186" spans="1:9" x14ac:dyDescent="0.25">
      <c r="A1186" s="16">
        <v>42747</v>
      </c>
      <c r="B1186" s="17" t="s">
        <v>1484</v>
      </c>
      <c r="C1186" s="18">
        <v>96783</v>
      </c>
      <c r="D1186" s="2" t="s">
        <v>30</v>
      </c>
      <c r="E1186" s="15">
        <v>6799.7</v>
      </c>
      <c r="F1186" s="36" t="s">
        <v>129</v>
      </c>
      <c r="G1186" s="15">
        <v>6799.7</v>
      </c>
      <c r="H1186" s="15">
        <f t="shared" si="19"/>
        <v>0</v>
      </c>
      <c r="I1186" s="19"/>
    </row>
    <row r="1187" spans="1:9" x14ac:dyDescent="0.25">
      <c r="A1187" s="16">
        <v>42747</v>
      </c>
      <c r="B1187" s="17" t="s">
        <v>1485</v>
      </c>
      <c r="C1187" s="18">
        <v>96784</v>
      </c>
      <c r="D1187" s="2" t="s">
        <v>21</v>
      </c>
      <c r="E1187" s="15">
        <v>35595.4</v>
      </c>
      <c r="F1187" s="36" t="s">
        <v>336</v>
      </c>
      <c r="G1187" s="15">
        <v>35595.4</v>
      </c>
      <c r="H1187" s="15">
        <f t="shared" si="19"/>
        <v>0</v>
      </c>
      <c r="I1187" s="19"/>
    </row>
    <row r="1188" spans="1:9" x14ac:dyDescent="0.25">
      <c r="A1188" s="16">
        <v>42747</v>
      </c>
      <c r="B1188" s="17" t="s">
        <v>1486</v>
      </c>
      <c r="C1188" s="18">
        <v>96785</v>
      </c>
      <c r="D1188" s="2" t="s">
        <v>35</v>
      </c>
      <c r="E1188" s="15">
        <v>11656.2</v>
      </c>
      <c r="F1188" s="36" t="s">
        <v>126</v>
      </c>
      <c r="G1188" s="15">
        <v>11656.2</v>
      </c>
      <c r="H1188" s="15">
        <f t="shared" si="19"/>
        <v>0</v>
      </c>
      <c r="I1188" s="19"/>
    </row>
    <row r="1189" spans="1:9" x14ac:dyDescent="0.25">
      <c r="A1189" s="16">
        <v>42747</v>
      </c>
      <c r="B1189" s="17" t="s">
        <v>1487</v>
      </c>
      <c r="C1189" s="18">
        <v>96786</v>
      </c>
      <c r="D1189" s="2" t="s">
        <v>30</v>
      </c>
      <c r="E1189" s="15">
        <v>210</v>
      </c>
      <c r="F1189" s="36" t="s">
        <v>129</v>
      </c>
      <c r="G1189" s="15">
        <v>210</v>
      </c>
      <c r="H1189" s="15">
        <f t="shared" si="19"/>
        <v>0</v>
      </c>
      <c r="I1189" s="19"/>
    </row>
    <row r="1190" spans="1:9" x14ac:dyDescent="0.25">
      <c r="A1190" s="16">
        <v>42747</v>
      </c>
      <c r="B1190" s="17" t="s">
        <v>1488</v>
      </c>
      <c r="C1190" s="18">
        <v>96787</v>
      </c>
      <c r="D1190" s="2" t="s">
        <v>218</v>
      </c>
      <c r="E1190" s="15">
        <v>103422.45</v>
      </c>
      <c r="F1190" s="36" t="s">
        <v>307</v>
      </c>
      <c r="G1190" s="15">
        <v>103422.45</v>
      </c>
      <c r="H1190" s="15">
        <f t="shared" si="19"/>
        <v>0</v>
      </c>
      <c r="I1190" s="19"/>
    </row>
    <row r="1191" spans="1:9" x14ac:dyDescent="0.25">
      <c r="A1191" s="16">
        <v>42747</v>
      </c>
      <c r="B1191" s="17" t="s">
        <v>1489</v>
      </c>
      <c r="C1191" s="18">
        <v>96788</v>
      </c>
      <c r="D1191" s="2" t="s">
        <v>57</v>
      </c>
      <c r="E1191" s="15">
        <v>644</v>
      </c>
      <c r="F1191" s="36" t="s">
        <v>173</v>
      </c>
      <c r="G1191" s="15">
        <v>644</v>
      </c>
      <c r="H1191" s="15">
        <f t="shared" si="19"/>
        <v>0</v>
      </c>
      <c r="I1191" s="19"/>
    </row>
    <row r="1192" spans="1:9" x14ac:dyDescent="0.25">
      <c r="A1192" s="16">
        <v>42747</v>
      </c>
      <c r="B1192" s="17" t="s">
        <v>1490</v>
      </c>
      <c r="C1192" s="18">
        <v>96789</v>
      </c>
      <c r="D1192" s="2" t="s">
        <v>409</v>
      </c>
      <c r="E1192" s="15">
        <v>7653</v>
      </c>
      <c r="F1192" s="36" t="s">
        <v>126</v>
      </c>
      <c r="G1192" s="15">
        <v>7653</v>
      </c>
      <c r="H1192" s="15">
        <f t="shared" si="19"/>
        <v>0</v>
      </c>
      <c r="I1192" s="19"/>
    </row>
    <row r="1193" spans="1:9" x14ac:dyDescent="0.25">
      <c r="A1193" s="16">
        <v>42747</v>
      </c>
      <c r="B1193" s="17" t="s">
        <v>1491</v>
      </c>
      <c r="C1193" s="18">
        <v>96790</v>
      </c>
      <c r="D1193" s="2" t="s">
        <v>289</v>
      </c>
      <c r="E1193" s="15">
        <v>77436.039999999994</v>
      </c>
      <c r="F1193" s="124" t="s">
        <v>1492</v>
      </c>
      <c r="G1193" s="20">
        <f>14451.24+62984.8</f>
        <v>77436.040000000008</v>
      </c>
      <c r="H1193" s="20">
        <f t="shared" si="19"/>
        <v>0</v>
      </c>
      <c r="I1193" s="19"/>
    </row>
    <row r="1194" spans="1:9" x14ac:dyDescent="0.25">
      <c r="A1194" s="16">
        <v>42747</v>
      </c>
      <c r="B1194" s="17" t="s">
        <v>1493</v>
      </c>
      <c r="C1194" s="18">
        <v>96791</v>
      </c>
      <c r="D1194" s="2" t="s">
        <v>1256</v>
      </c>
      <c r="E1194" s="15">
        <v>1635.9</v>
      </c>
      <c r="F1194" s="36" t="s">
        <v>129</v>
      </c>
      <c r="G1194" s="15">
        <v>1635.9</v>
      </c>
      <c r="H1194" s="15">
        <f t="shared" si="19"/>
        <v>0</v>
      </c>
      <c r="I1194" s="19"/>
    </row>
    <row r="1195" spans="1:9" x14ac:dyDescent="0.25">
      <c r="A1195" s="16">
        <v>42747</v>
      </c>
      <c r="B1195" s="17" t="s">
        <v>1494</v>
      </c>
      <c r="C1195" s="18">
        <v>96792</v>
      </c>
      <c r="D1195" s="2" t="s">
        <v>14</v>
      </c>
      <c r="E1195" s="15">
        <v>8340.2000000000007</v>
      </c>
      <c r="F1195" s="36" t="s">
        <v>129</v>
      </c>
      <c r="G1195" s="15">
        <v>8340.2000000000007</v>
      </c>
      <c r="H1195" s="15">
        <f t="shared" si="19"/>
        <v>0</v>
      </c>
      <c r="I1195" s="19"/>
    </row>
    <row r="1196" spans="1:9" x14ac:dyDescent="0.25">
      <c r="A1196" s="16">
        <v>42747</v>
      </c>
      <c r="B1196" s="17" t="s">
        <v>1495</v>
      </c>
      <c r="C1196" s="18">
        <v>96793</v>
      </c>
      <c r="D1196" s="2" t="s">
        <v>289</v>
      </c>
      <c r="E1196" s="15">
        <v>4800</v>
      </c>
      <c r="F1196" s="36" t="s">
        <v>336</v>
      </c>
      <c r="G1196" s="15">
        <v>4800</v>
      </c>
      <c r="H1196" s="15">
        <f t="shared" si="19"/>
        <v>0</v>
      </c>
      <c r="I1196" s="19"/>
    </row>
    <row r="1197" spans="1:9" x14ac:dyDescent="0.25">
      <c r="A1197" s="16">
        <v>42747</v>
      </c>
      <c r="B1197" s="17" t="s">
        <v>1496</v>
      </c>
      <c r="C1197" s="18">
        <v>96794</v>
      </c>
      <c r="D1197" s="2" t="s">
        <v>1160</v>
      </c>
      <c r="E1197" s="15">
        <v>3078</v>
      </c>
      <c r="F1197" s="36" t="s">
        <v>129</v>
      </c>
      <c r="G1197" s="15">
        <v>3078</v>
      </c>
      <c r="H1197" s="15">
        <f t="shared" si="19"/>
        <v>0</v>
      </c>
      <c r="I1197" s="19"/>
    </row>
    <row r="1198" spans="1:9" x14ac:dyDescent="0.25">
      <c r="A1198" s="16">
        <v>42747</v>
      </c>
      <c r="B1198" s="17" t="s">
        <v>1497</v>
      </c>
      <c r="C1198" s="18">
        <v>96795</v>
      </c>
      <c r="D1198" s="2" t="s">
        <v>909</v>
      </c>
      <c r="E1198" s="15">
        <v>4135.3999999999996</v>
      </c>
      <c r="F1198" s="36" t="s">
        <v>129</v>
      </c>
      <c r="G1198" s="15">
        <v>4135.3999999999996</v>
      </c>
      <c r="H1198" s="15">
        <f t="shared" si="19"/>
        <v>0</v>
      </c>
      <c r="I1198" s="19"/>
    </row>
    <row r="1199" spans="1:9" x14ac:dyDescent="0.25">
      <c r="A1199" s="16">
        <v>42747</v>
      </c>
      <c r="B1199" s="17" t="s">
        <v>1498</v>
      </c>
      <c r="C1199" s="18">
        <v>96796</v>
      </c>
      <c r="D1199" s="2" t="s">
        <v>358</v>
      </c>
      <c r="E1199" s="15">
        <v>33126.199999999997</v>
      </c>
      <c r="F1199" s="36" t="s">
        <v>129</v>
      </c>
      <c r="G1199" s="15">
        <v>33126.199999999997</v>
      </c>
      <c r="H1199" s="15">
        <f t="shared" si="19"/>
        <v>0</v>
      </c>
      <c r="I1199" s="19"/>
    </row>
    <row r="1200" spans="1:9" x14ac:dyDescent="0.25">
      <c r="A1200" s="16">
        <v>42747</v>
      </c>
      <c r="B1200" s="17" t="s">
        <v>1499</v>
      </c>
      <c r="C1200" s="18">
        <v>96797</v>
      </c>
      <c r="D1200" s="2" t="s">
        <v>1116</v>
      </c>
      <c r="E1200" s="15">
        <v>7578.8</v>
      </c>
      <c r="F1200" s="36" t="s">
        <v>126</v>
      </c>
      <c r="G1200" s="15">
        <v>7578.8</v>
      </c>
      <c r="H1200" s="15">
        <f t="shared" si="19"/>
        <v>0</v>
      </c>
      <c r="I1200" s="19"/>
    </row>
    <row r="1201" spans="1:9" x14ac:dyDescent="0.25">
      <c r="A1201" s="16">
        <v>42747</v>
      </c>
      <c r="B1201" s="17" t="s">
        <v>1500</v>
      </c>
      <c r="C1201" s="18">
        <v>96798</v>
      </c>
      <c r="D1201" s="2" t="s">
        <v>457</v>
      </c>
      <c r="E1201" s="15">
        <v>1641.6</v>
      </c>
      <c r="F1201" s="36" t="s">
        <v>129</v>
      </c>
      <c r="G1201" s="15">
        <v>1641.6</v>
      </c>
      <c r="H1201" s="15">
        <f t="shared" si="19"/>
        <v>0</v>
      </c>
      <c r="I1201" s="19"/>
    </row>
    <row r="1202" spans="1:9" x14ac:dyDescent="0.25">
      <c r="A1202" s="16">
        <v>42747</v>
      </c>
      <c r="B1202" s="17" t="s">
        <v>1501</v>
      </c>
      <c r="C1202" s="18">
        <v>96799</v>
      </c>
      <c r="D1202" s="2" t="s">
        <v>10</v>
      </c>
      <c r="E1202" s="15">
        <v>4735.2</v>
      </c>
      <c r="F1202" s="36" t="s">
        <v>511</v>
      </c>
      <c r="G1202" s="15">
        <v>4735.2</v>
      </c>
      <c r="H1202" s="15">
        <f t="shared" si="19"/>
        <v>0</v>
      </c>
      <c r="I1202" s="19"/>
    </row>
    <row r="1203" spans="1:9" x14ac:dyDescent="0.25">
      <c r="A1203" s="16">
        <v>42747</v>
      </c>
      <c r="B1203" s="17" t="s">
        <v>1502</v>
      </c>
      <c r="C1203" s="18">
        <v>96800</v>
      </c>
      <c r="D1203" s="2" t="s">
        <v>61</v>
      </c>
      <c r="E1203" s="15">
        <v>27883.200000000001</v>
      </c>
      <c r="F1203" s="36" t="s">
        <v>511</v>
      </c>
      <c r="G1203" s="15">
        <v>27883.200000000001</v>
      </c>
      <c r="H1203" s="15">
        <f t="shared" si="19"/>
        <v>0</v>
      </c>
      <c r="I1203" s="19"/>
    </row>
    <row r="1204" spans="1:9" x14ac:dyDescent="0.25">
      <c r="A1204" s="16">
        <v>42747</v>
      </c>
      <c r="B1204" s="17" t="s">
        <v>1503</v>
      </c>
      <c r="C1204" s="18">
        <v>96801</v>
      </c>
      <c r="D1204" s="2" t="s">
        <v>63</v>
      </c>
      <c r="E1204" s="15">
        <v>396.8</v>
      </c>
      <c r="F1204" s="36" t="s">
        <v>129</v>
      </c>
      <c r="G1204" s="15">
        <v>396.8</v>
      </c>
      <c r="H1204" s="15">
        <f t="shared" si="19"/>
        <v>0</v>
      </c>
      <c r="I1204" s="19"/>
    </row>
    <row r="1205" spans="1:9" x14ac:dyDescent="0.25">
      <c r="A1205" s="16">
        <v>42747</v>
      </c>
      <c r="B1205" s="17" t="s">
        <v>1504</v>
      </c>
      <c r="C1205" s="18">
        <v>96802</v>
      </c>
      <c r="D1205" s="2" t="s">
        <v>47</v>
      </c>
      <c r="E1205" s="15">
        <v>4033.6</v>
      </c>
      <c r="F1205" s="36" t="s">
        <v>129</v>
      </c>
      <c r="G1205" s="15">
        <v>4033.6</v>
      </c>
      <c r="H1205" s="15">
        <f t="shared" si="19"/>
        <v>0</v>
      </c>
      <c r="I1205" s="19"/>
    </row>
    <row r="1206" spans="1:9" x14ac:dyDescent="0.25">
      <c r="A1206" s="16">
        <v>42747</v>
      </c>
      <c r="B1206" s="17" t="s">
        <v>1505</v>
      </c>
      <c r="C1206" s="18">
        <v>96803</v>
      </c>
      <c r="D1206" s="2" t="s">
        <v>268</v>
      </c>
      <c r="E1206" s="15">
        <v>18339.2</v>
      </c>
      <c r="F1206" s="36" t="s">
        <v>173</v>
      </c>
      <c r="G1206" s="15">
        <v>18339.2</v>
      </c>
      <c r="H1206" s="15">
        <f t="shared" si="19"/>
        <v>0</v>
      </c>
      <c r="I1206" s="19"/>
    </row>
    <row r="1207" spans="1:9" x14ac:dyDescent="0.25">
      <c r="A1207" s="16">
        <v>42747</v>
      </c>
      <c r="B1207" s="17" t="s">
        <v>1506</v>
      </c>
      <c r="C1207" s="18">
        <v>96804</v>
      </c>
      <c r="D1207" s="2" t="s">
        <v>79</v>
      </c>
      <c r="E1207" s="15">
        <v>1317.6</v>
      </c>
      <c r="F1207" s="36" t="s">
        <v>129</v>
      </c>
      <c r="G1207" s="15">
        <v>1317.6</v>
      </c>
      <c r="H1207" s="15">
        <f t="shared" si="19"/>
        <v>0</v>
      </c>
      <c r="I1207" s="19"/>
    </row>
    <row r="1208" spans="1:9" x14ac:dyDescent="0.25">
      <c r="A1208" s="16">
        <v>42747</v>
      </c>
      <c r="B1208" s="17" t="s">
        <v>1507</v>
      </c>
      <c r="C1208" s="18">
        <v>96805</v>
      </c>
      <c r="D1208" s="2" t="s">
        <v>236</v>
      </c>
      <c r="E1208" s="15">
        <v>103733</v>
      </c>
      <c r="F1208" s="36" t="s">
        <v>927</v>
      </c>
      <c r="G1208" s="15">
        <v>103733</v>
      </c>
      <c r="H1208" s="15">
        <f t="shared" si="19"/>
        <v>0</v>
      </c>
      <c r="I1208" s="19"/>
    </row>
    <row r="1209" spans="1:9" x14ac:dyDescent="0.25">
      <c r="A1209" s="16">
        <v>42747</v>
      </c>
      <c r="B1209" s="17" t="s">
        <v>1508</v>
      </c>
      <c r="C1209" s="18">
        <v>96806</v>
      </c>
      <c r="D1209" s="2" t="s">
        <v>432</v>
      </c>
      <c r="E1209" s="15">
        <v>17424</v>
      </c>
      <c r="F1209" s="36" t="s">
        <v>317</v>
      </c>
      <c r="G1209" s="15">
        <v>17424</v>
      </c>
      <c r="H1209" s="15">
        <f t="shared" si="19"/>
        <v>0</v>
      </c>
      <c r="I1209" s="19"/>
    </row>
    <row r="1210" spans="1:9" x14ac:dyDescent="0.25">
      <c r="A1210" s="16">
        <v>42747</v>
      </c>
      <c r="B1210" s="17" t="s">
        <v>1509</v>
      </c>
      <c r="C1210" s="18">
        <v>96807</v>
      </c>
      <c r="D1210" s="2" t="s">
        <v>120</v>
      </c>
      <c r="E1210" s="15">
        <v>2280</v>
      </c>
      <c r="F1210" s="36" t="s">
        <v>173</v>
      </c>
      <c r="G1210" s="15">
        <v>2280</v>
      </c>
      <c r="H1210" s="15">
        <f t="shared" si="19"/>
        <v>0</v>
      </c>
      <c r="I1210" s="19"/>
    </row>
    <row r="1211" spans="1:9" x14ac:dyDescent="0.25">
      <c r="A1211" s="16">
        <v>42747</v>
      </c>
      <c r="B1211" s="17" t="s">
        <v>1510</v>
      </c>
      <c r="C1211" s="18">
        <v>96808</v>
      </c>
      <c r="D1211" s="2" t="s">
        <v>128</v>
      </c>
      <c r="E1211" s="15">
        <v>13349.6</v>
      </c>
      <c r="F1211" s="36" t="s">
        <v>129</v>
      </c>
      <c r="G1211" s="15">
        <v>13349.6</v>
      </c>
      <c r="H1211" s="15">
        <f t="shared" si="19"/>
        <v>0</v>
      </c>
      <c r="I1211" s="19"/>
    </row>
    <row r="1212" spans="1:9" x14ac:dyDescent="0.25">
      <c r="A1212" s="16">
        <v>42747</v>
      </c>
      <c r="B1212" s="17" t="s">
        <v>1511</v>
      </c>
      <c r="C1212" s="18">
        <v>96809</v>
      </c>
      <c r="D1212" s="2" t="s">
        <v>270</v>
      </c>
      <c r="E1212" s="15">
        <v>2905</v>
      </c>
      <c r="F1212" s="36" t="s">
        <v>317</v>
      </c>
      <c r="G1212" s="15">
        <v>2905</v>
      </c>
      <c r="H1212" s="15">
        <f t="shared" si="19"/>
        <v>0</v>
      </c>
      <c r="I1212" s="19"/>
    </row>
    <row r="1213" spans="1:9" x14ac:dyDescent="0.25">
      <c r="A1213" s="16">
        <v>42747</v>
      </c>
      <c r="B1213" s="17" t="s">
        <v>1512</v>
      </c>
      <c r="C1213" s="18">
        <v>96810</v>
      </c>
      <c r="D1213" s="2" t="s">
        <v>876</v>
      </c>
      <c r="E1213" s="15">
        <v>7124.9</v>
      </c>
      <c r="F1213" s="36" t="s">
        <v>317</v>
      </c>
      <c r="G1213" s="15">
        <v>7124.9</v>
      </c>
      <c r="H1213" s="15">
        <f t="shared" si="19"/>
        <v>0</v>
      </c>
      <c r="I1213" s="19"/>
    </row>
    <row r="1214" spans="1:9" x14ac:dyDescent="0.25">
      <c r="A1214" s="16">
        <v>42747</v>
      </c>
      <c r="B1214" s="17" t="s">
        <v>1513</v>
      </c>
      <c r="C1214" s="18">
        <v>96811</v>
      </c>
      <c r="D1214" s="2" t="s">
        <v>178</v>
      </c>
      <c r="E1214" s="15">
        <v>1847.1</v>
      </c>
      <c r="F1214" s="36" t="s">
        <v>129</v>
      </c>
      <c r="G1214" s="15">
        <v>1847.1</v>
      </c>
      <c r="H1214" s="15">
        <f t="shared" si="19"/>
        <v>0</v>
      </c>
      <c r="I1214" s="19"/>
    </row>
    <row r="1215" spans="1:9" x14ac:dyDescent="0.25">
      <c r="A1215" s="16">
        <v>42747</v>
      </c>
      <c r="B1215" s="17" t="s">
        <v>1514</v>
      </c>
      <c r="C1215" s="18">
        <v>96812</v>
      </c>
      <c r="D1215" s="2" t="s">
        <v>274</v>
      </c>
      <c r="E1215" s="15">
        <v>1689.8</v>
      </c>
      <c r="F1215" s="36" t="s">
        <v>173</v>
      </c>
      <c r="G1215" s="15">
        <v>1689.8</v>
      </c>
      <c r="H1215" s="15">
        <f t="shared" si="19"/>
        <v>0</v>
      </c>
      <c r="I1215" s="19"/>
    </row>
    <row r="1216" spans="1:9" x14ac:dyDescent="0.25">
      <c r="A1216" s="16">
        <v>42747</v>
      </c>
      <c r="B1216" s="17" t="s">
        <v>1515</v>
      </c>
      <c r="C1216" s="18">
        <v>96813</v>
      </c>
      <c r="D1216" s="2" t="s">
        <v>274</v>
      </c>
      <c r="E1216" s="15">
        <v>1307.52</v>
      </c>
      <c r="F1216" s="36" t="s">
        <v>173</v>
      </c>
      <c r="G1216" s="15">
        <v>1307.52</v>
      </c>
      <c r="H1216" s="15">
        <f t="shared" si="19"/>
        <v>0</v>
      </c>
      <c r="I1216" s="19"/>
    </row>
    <row r="1217" spans="1:9" x14ac:dyDescent="0.25">
      <c r="A1217" s="16">
        <v>42747</v>
      </c>
      <c r="B1217" s="17" t="s">
        <v>1516</v>
      </c>
      <c r="C1217" s="18">
        <v>96814</v>
      </c>
      <c r="D1217" s="2" t="s">
        <v>272</v>
      </c>
      <c r="E1217" s="15">
        <v>1900</v>
      </c>
      <c r="F1217" s="36" t="s">
        <v>173</v>
      </c>
      <c r="G1217" s="15">
        <v>1900</v>
      </c>
      <c r="H1217" s="15">
        <f t="shared" si="19"/>
        <v>0</v>
      </c>
      <c r="I1217" s="19"/>
    </row>
    <row r="1218" spans="1:9" x14ac:dyDescent="0.25">
      <c r="A1218" s="16">
        <v>42747</v>
      </c>
      <c r="B1218" s="17" t="s">
        <v>1517</v>
      </c>
      <c r="C1218" s="18">
        <v>96815</v>
      </c>
      <c r="D1218" s="2" t="s">
        <v>462</v>
      </c>
      <c r="E1218" s="15">
        <v>7501.5</v>
      </c>
      <c r="F1218" s="36" t="s">
        <v>129</v>
      </c>
      <c r="G1218" s="15">
        <v>7501.5</v>
      </c>
      <c r="H1218" s="15">
        <f t="shared" si="19"/>
        <v>0</v>
      </c>
      <c r="I1218" s="19"/>
    </row>
    <row r="1219" spans="1:9" x14ac:dyDescent="0.25">
      <c r="A1219" s="16">
        <v>42747</v>
      </c>
      <c r="B1219" s="17" t="s">
        <v>1518</v>
      </c>
      <c r="C1219" s="18">
        <v>96816</v>
      </c>
      <c r="D1219" s="2" t="s">
        <v>103</v>
      </c>
      <c r="E1219" s="15">
        <v>3377.1</v>
      </c>
      <c r="F1219" s="36" t="s">
        <v>126</v>
      </c>
      <c r="G1219" s="15">
        <v>3377.1</v>
      </c>
      <c r="H1219" s="15">
        <f t="shared" si="19"/>
        <v>0</v>
      </c>
      <c r="I1219" s="19"/>
    </row>
    <row r="1220" spans="1:9" x14ac:dyDescent="0.25">
      <c r="A1220" s="16">
        <v>42747</v>
      </c>
      <c r="B1220" s="17" t="s">
        <v>1519</v>
      </c>
      <c r="C1220" s="18">
        <v>96817</v>
      </c>
      <c r="D1220" s="2" t="s">
        <v>281</v>
      </c>
      <c r="E1220" s="15">
        <v>1507</v>
      </c>
      <c r="F1220" s="36" t="s">
        <v>129</v>
      </c>
      <c r="G1220" s="15">
        <v>1507</v>
      </c>
      <c r="H1220" s="15">
        <f t="shared" si="19"/>
        <v>0</v>
      </c>
      <c r="I1220" s="19"/>
    </row>
    <row r="1221" spans="1:9" x14ac:dyDescent="0.25">
      <c r="A1221" s="16">
        <v>42747</v>
      </c>
      <c r="B1221" s="17" t="s">
        <v>1520</v>
      </c>
      <c r="C1221" s="18">
        <v>96818</v>
      </c>
      <c r="D1221" s="2" t="s">
        <v>430</v>
      </c>
      <c r="E1221" s="15">
        <v>1444.4</v>
      </c>
      <c r="F1221" s="36" t="s">
        <v>173</v>
      </c>
      <c r="G1221" s="15">
        <v>1444.4</v>
      </c>
      <c r="H1221" s="15">
        <f t="shared" si="19"/>
        <v>0</v>
      </c>
      <c r="I1221" s="19"/>
    </row>
    <row r="1222" spans="1:9" x14ac:dyDescent="0.25">
      <c r="A1222" s="16">
        <v>42747</v>
      </c>
      <c r="B1222" s="17" t="s">
        <v>1521</v>
      </c>
      <c r="C1222" s="18">
        <v>96819</v>
      </c>
      <c r="D1222" s="2" t="s">
        <v>721</v>
      </c>
      <c r="E1222" s="15">
        <v>7558.8</v>
      </c>
      <c r="F1222" s="36" t="s">
        <v>129</v>
      </c>
      <c r="G1222" s="15">
        <v>7558.8</v>
      </c>
      <c r="H1222" s="15">
        <f t="shared" ref="H1222:H1285" si="20">E1222-G1222</f>
        <v>0</v>
      </c>
      <c r="I1222" s="19"/>
    </row>
    <row r="1223" spans="1:9" x14ac:dyDescent="0.25">
      <c r="A1223" s="16">
        <v>42747</v>
      </c>
      <c r="B1223" s="17" t="s">
        <v>1522</v>
      </c>
      <c r="C1223" s="18">
        <v>96820</v>
      </c>
      <c r="D1223" s="2" t="s">
        <v>99</v>
      </c>
      <c r="E1223" s="15">
        <v>1853.8</v>
      </c>
      <c r="F1223" s="36" t="s">
        <v>129</v>
      </c>
      <c r="G1223" s="15">
        <v>1853.8</v>
      </c>
      <c r="H1223" s="15">
        <f t="shared" si="20"/>
        <v>0</v>
      </c>
      <c r="I1223" s="19"/>
    </row>
    <row r="1224" spans="1:9" x14ac:dyDescent="0.25">
      <c r="A1224" s="16">
        <v>42747</v>
      </c>
      <c r="B1224" s="17" t="s">
        <v>1523</v>
      </c>
      <c r="C1224" s="18">
        <v>96821</v>
      </c>
      <c r="D1224" s="2" t="s">
        <v>159</v>
      </c>
      <c r="E1224" s="15">
        <v>2286.9</v>
      </c>
      <c r="F1224" s="36" t="s">
        <v>129</v>
      </c>
      <c r="G1224" s="15">
        <v>2286.9</v>
      </c>
      <c r="H1224" s="15">
        <f t="shared" si="20"/>
        <v>0</v>
      </c>
      <c r="I1224" s="19"/>
    </row>
    <row r="1225" spans="1:9" x14ac:dyDescent="0.25">
      <c r="A1225" s="16">
        <v>42747</v>
      </c>
      <c r="B1225" s="17" t="s">
        <v>1524</v>
      </c>
      <c r="C1225" s="18">
        <v>96822</v>
      </c>
      <c r="D1225" s="2" t="s">
        <v>450</v>
      </c>
      <c r="E1225" s="15">
        <v>2044</v>
      </c>
      <c r="F1225" s="36" t="s">
        <v>129</v>
      </c>
      <c r="G1225" s="15">
        <v>2044</v>
      </c>
      <c r="H1225" s="15">
        <f t="shared" si="20"/>
        <v>0</v>
      </c>
      <c r="I1225" s="19"/>
    </row>
    <row r="1226" spans="1:9" x14ac:dyDescent="0.25">
      <c r="A1226" s="16">
        <v>42747</v>
      </c>
      <c r="B1226" s="17" t="s">
        <v>1525</v>
      </c>
      <c r="C1226" s="18">
        <v>96823</v>
      </c>
      <c r="D1226" s="2" t="s">
        <v>30</v>
      </c>
      <c r="E1226" s="15">
        <v>1058.5999999999999</v>
      </c>
      <c r="F1226" s="36" t="s">
        <v>129</v>
      </c>
      <c r="G1226" s="15">
        <v>1058.5999999999999</v>
      </c>
      <c r="H1226" s="15">
        <f t="shared" si="20"/>
        <v>0</v>
      </c>
      <c r="I1226" s="19"/>
    </row>
    <row r="1227" spans="1:9" x14ac:dyDescent="0.25">
      <c r="A1227" s="16">
        <v>42747</v>
      </c>
      <c r="B1227" s="17" t="s">
        <v>1526</v>
      </c>
      <c r="C1227" s="18">
        <v>96824</v>
      </c>
      <c r="D1227" s="2" t="s">
        <v>445</v>
      </c>
      <c r="E1227" s="15">
        <v>2236.1999999999998</v>
      </c>
      <c r="F1227" s="36" t="s">
        <v>129</v>
      </c>
      <c r="G1227" s="15">
        <v>2236.1999999999998</v>
      </c>
      <c r="H1227" s="15">
        <f t="shared" si="20"/>
        <v>0</v>
      </c>
      <c r="I1227" s="19"/>
    </row>
    <row r="1228" spans="1:9" x14ac:dyDescent="0.25">
      <c r="A1228" s="16">
        <v>42747</v>
      </c>
      <c r="B1228" s="17" t="s">
        <v>1527</v>
      </c>
      <c r="C1228" s="18">
        <v>96825</v>
      </c>
      <c r="D1228" s="2" t="s">
        <v>92</v>
      </c>
      <c r="E1228" s="15">
        <v>1803.2</v>
      </c>
      <c r="F1228" s="36" t="s">
        <v>129</v>
      </c>
      <c r="G1228" s="15">
        <v>1803.2</v>
      </c>
      <c r="H1228" s="15">
        <f t="shared" si="20"/>
        <v>0</v>
      </c>
      <c r="I1228" s="19"/>
    </row>
    <row r="1229" spans="1:9" x14ac:dyDescent="0.25">
      <c r="A1229" s="16">
        <v>42747</v>
      </c>
      <c r="B1229" s="17" t="s">
        <v>1528</v>
      </c>
      <c r="C1229" s="18">
        <v>96826</v>
      </c>
      <c r="D1229" s="2" t="s">
        <v>536</v>
      </c>
      <c r="E1229" s="15">
        <v>1268.8</v>
      </c>
      <c r="F1229" s="36" t="s">
        <v>129</v>
      </c>
      <c r="G1229" s="15">
        <v>1268.8</v>
      </c>
      <c r="H1229" s="15">
        <f t="shared" si="20"/>
        <v>0</v>
      </c>
      <c r="I1229" s="19"/>
    </row>
    <row r="1230" spans="1:9" x14ac:dyDescent="0.25">
      <c r="A1230" s="16">
        <v>42747</v>
      </c>
      <c r="B1230" s="17" t="s">
        <v>1529</v>
      </c>
      <c r="C1230" s="18">
        <v>96827</v>
      </c>
      <c r="D1230" s="2" t="s">
        <v>509</v>
      </c>
      <c r="E1230" s="15">
        <v>3378</v>
      </c>
      <c r="F1230" s="36" t="s">
        <v>129</v>
      </c>
      <c r="G1230" s="15">
        <v>3378</v>
      </c>
      <c r="H1230" s="15">
        <f t="shared" si="20"/>
        <v>0</v>
      </c>
      <c r="I1230" s="19"/>
    </row>
    <row r="1231" spans="1:9" x14ac:dyDescent="0.25">
      <c r="A1231" s="16">
        <v>42747</v>
      </c>
      <c r="B1231" s="17" t="s">
        <v>1530</v>
      </c>
      <c r="C1231" s="18">
        <v>96828</v>
      </c>
      <c r="D1231" s="13" t="s">
        <v>1531</v>
      </c>
      <c r="E1231" s="14">
        <v>0</v>
      </c>
      <c r="F1231" s="123" t="s">
        <v>95</v>
      </c>
      <c r="G1231" s="14">
        <v>0</v>
      </c>
      <c r="H1231" s="14">
        <f t="shared" si="20"/>
        <v>0</v>
      </c>
      <c r="I1231" s="19"/>
    </row>
    <row r="1232" spans="1:9" x14ac:dyDescent="0.25">
      <c r="A1232" s="16">
        <v>42747</v>
      </c>
      <c r="B1232" s="17" t="s">
        <v>1532</v>
      </c>
      <c r="C1232" s="18">
        <v>96829</v>
      </c>
      <c r="D1232" s="2" t="s">
        <v>293</v>
      </c>
      <c r="E1232" s="15">
        <v>366.6</v>
      </c>
      <c r="F1232" s="36" t="s">
        <v>129</v>
      </c>
      <c r="G1232" s="15">
        <v>366.6</v>
      </c>
      <c r="H1232" s="15">
        <f t="shared" si="20"/>
        <v>0</v>
      </c>
      <c r="I1232" s="19"/>
    </row>
    <row r="1233" spans="1:9" x14ac:dyDescent="0.25">
      <c r="A1233" s="16">
        <v>42747</v>
      </c>
      <c r="B1233" s="17" t="s">
        <v>1533</v>
      </c>
      <c r="C1233" s="18">
        <v>96830</v>
      </c>
      <c r="D1233" s="2" t="s">
        <v>291</v>
      </c>
      <c r="E1233" s="15">
        <v>2227.8000000000002</v>
      </c>
      <c r="F1233" s="36" t="s">
        <v>129</v>
      </c>
      <c r="G1233" s="15">
        <v>2227.8000000000002</v>
      </c>
      <c r="H1233" s="15">
        <f t="shared" si="20"/>
        <v>0</v>
      </c>
      <c r="I1233" s="19"/>
    </row>
    <row r="1234" spans="1:9" x14ac:dyDescent="0.25">
      <c r="A1234" s="16">
        <v>42747</v>
      </c>
      <c r="B1234" s="17" t="s">
        <v>1534</v>
      </c>
      <c r="C1234" s="18">
        <v>96831</v>
      </c>
      <c r="D1234" s="2" t="s">
        <v>30</v>
      </c>
      <c r="E1234" s="15">
        <v>11897.9</v>
      </c>
      <c r="F1234" s="36" t="s">
        <v>129</v>
      </c>
      <c r="G1234" s="15">
        <v>11897.9</v>
      </c>
      <c r="H1234" s="15">
        <f t="shared" si="20"/>
        <v>0</v>
      </c>
      <c r="I1234" s="19"/>
    </row>
    <row r="1235" spans="1:9" x14ac:dyDescent="0.25">
      <c r="A1235" s="16">
        <v>42747</v>
      </c>
      <c r="B1235" s="17" t="s">
        <v>1535</v>
      </c>
      <c r="C1235" s="18">
        <v>96832</v>
      </c>
      <c r="D1235" s="2" t="s">
        <v>83</v>
      </c>
      <c r="E1235" s="15">
        <v>3736.5</v>
      </c>
      <c r="F1235" s="36" t="s">
        <v>129</v>
      </c>
      <c r="G1235" s="15">
        <v>3736.5</v>
      </c>
      <c r="H1235" s="15">
        <f t="shared" si="20"/>
        <v>0</v>
      </c>
      <c r="I1235" s="19"/>
    </row>
    <row r="1236" spans="1:9" x14ac:dyDescent="0.25">
      <c r="A1236" s="16">
        <v>42747</v>
      </c>
      <c r="B1236" s="17" t="s">
        <v>1536</v>
      </c>
      <c r="C1236" s="18">
        <v>96833</v>
      </c>
      <c r="D1236" s="2" t="s">
        <v>88</v>
      </c>
      <c r="E1236" s="15">
        <v>9922.5</v>
      </c>
      <c r="F1236" s="36" t="s">
        <v>129</v>
      </c>
      <c r="G1236" s="15">
        <v>9922.5</v>
      </c>
      <c r="H1236" s="15">
        <f t="shared" si="20"/>
        <v>0</v>
      </c>
      <c r="I1236" s="19"/>
    </row>
    <row r="1237" spans="1:9" x14ac:dyDescent="0.25">
      <c r="A1237" s="16">
        <v>42747</v>
      </c>
      <c r="B1237" s="17" t="s">
        <v>1537</v>
      </c>
      <c r="C1237" s="18">
        <v>96834</v>
      </c>
      <c r="D1237" s="2" t="s">
        <v>1259</v>
      </c>
      <c r="E1237" s="15">
        <v>1215</v>
      </c>
      <c r="F1237" s="36" t="s">
        <v>129</v>
      </c>
      <c r="G1237" s="15">
        <v>1215</v>
      </c>
      <c r="H1237" s="15">
        <f t="shared" si="20"/>
        <v>0</v>
      </c>
      <c r="I1237" s="19"/>
    </row>
    <row r="1238" spans="1:9" x14ac:dyDescent="0.25">
      <c r="A1238" s="16">
        <v>42747</v>
      </c>
      <c r="B1238" s="17" t="s">
        <v>1538</v>
      </c>
      <c r="C1238" s="18">
        <v>96835</v>
      </c>
      <c r="D1238" s="2" t="s">
        <v>168</v>
      </c>
      <c r="E1238" s="15">
        <v>5035.2</v>
      </c>
      <c r="F1238" s="36" t="s">
        <v>1539</v>
      </c>
      <c r="G1238" s="15">
        <v>5035.2</v>
      </c>
      <c r="H1238" s="15">
        <f t="shared" si="20"/>
        <v>0</v>
      </c>
      <c r="I1238" s="19"/>
    </row>
    <row r="1239" spans="1:9" x14ac:dyDescent="0.25">
      <c r="A1239" s="16">
        <v>42747</v>
      </c>
      <c r="B1239" s="17" t="s">
        <v>1540</v>
      </c>
      <c r="C1239" s="18">
        <v>96836</v>
      </c>
      <c r="D1239" s="2" t="s">
        <v>613</v>
      </c>
      <c r="E1239" s="15">
        <v>4319.3</v>
      </c>
      <c r="F1239" s="36" t="s">
        <v>129</v>
      </c>
      <c r="G1239" s="15">
        <v>4319.3</v>
      </c>
      <c r="H1239" s="15">
        <f t="shared" si="20"/>
        <v>0</v>
      </c>
      <c r="I1239" s="19"/>
    </row>
    <row r="1240" spans="1:9" x14ac:dyDescent="0.25">
      <c r="A1240" s="16">
        <v>42747</v>
      </c>
      <c r="B1240" s="17" t="s">
        <v>1541</v>
      </c>
      <c r="C1240" s="18">
        <v>96837</v>
      </c>
      <c r="D1240" s="2" t="s">
        <v>149</v>
      </c>
      <c r="E1240" s="15">
        <v>1168.78</v>
      </c>
      <c r="F1240" s="36" t="s">
        <v>129</v>
      </c>
      <c r="G1240" s="15">
        <v>1168.78</v>
      </c>
      <c r="H1240" s="15">
        <f t="shared" si="20"/>
        <v>0</v>
      </c>
      <c r="I1240" s="19"/>
    </row>
    <row r="1241" spans="1:9" x14ac:dyDescent="0.25">
      <c r="A1241" s="16">
        <v>42747</v>
      </c>
      <c r="B1241" s="17" t="s">
        <v>1542</v>
      </c>
      <c r="C1241" s="18">
        <v>96838</v>
      </c>
      <c r="D1241" s="2" t="s">
        <v>109</v>
      </c>
      <c r="E1241" s="15">
        <v>4752</v>
      </c>
      <c r="F1241" s="36" t="s">
        <v>129</v>
      </c>
      <c r="G1241" s="15">
        <v>4752</v>
      </c>
      <c r="H1241" s="15">
        <f t="shared" si="20"/>
        <v>0</v>
      </c>
      <c r="I1241" s="19"/>
    </row>
    <row r="1242" spans="1:9" x14ac:dyDescent="0.25">
      <c r="A1242" s="16">
        <v>42747</v>
      </c>
      <c r="B1242" s="17" t="s">
        <v>1543</v>
      </c>
      <c r="C1242" s="18">
        <v>96839</v>
      </c>
      <c r="D1242" s="2" t="s">
        <v>712</v>
      </c>
      <c r="E1242" s="15">
        <v>8373.2999999999993</v>
      </c>
      <c r="F1242" s="36" t="s">
        <v>129</v>
      </c>
      <c r="G1242" s="15">
        <v>8373.2999999999993</v>
      </c>
      <c r="H1242" s="15">
        <f t="shared" si="20"/>
        <v>0</v>
      </c>
      <c r="I1242" s="19"/>
    </row>
    <row r="1243" spans="1:9" x14ac:dyDescent="0.25">
      <c r="A1243" s="16">
        <v>42747</v>
      </c>
      <c r="B1243" s="17" t="s">
        <v>1544</v>
      </c>
      <c r="C1243" s="18">
        <v>96840</v>
      </c>
      <c r="D1243" s="2" t="s">
        <v>109</v>
      </c>
      <c r="E1243" s="15">
        <v>199.8</v>
      </c>
      <c r="F1243" s="36" t="s">
        <v>129</v>
      </c>
      <c r="G1243" s="15">
        <v>199.8</v>
      </c>
      <c r="H1243" s="15">
        <f t="shared" si="20"/>
        <v>0</v>
      </c>
      <c r="I1243" s="19"/>
    </row>
    <row r="1244" spans="1:9" x14ac:dyDescent="0.25">
      <c r="A1244" s="16">
        <v>42747</v>
      </c>
      <c r="B1244" s="17" t="s">
        <v>1545</v>
      </c>
      <c r="C1244" s="18">
        <v>96841</v>
      </c>
      <c r="D1244" s="2" t="s">
        <v>426</v>
      </c>
      <c r="E1244" s="15">
        <v>22849.200000000001</v>
      </c>
      <c r="F1244" s="36" t="s">
        <v>1391</v>
      </c>
      <c r="G1244" s="15">
        <v>22849.200000000001</v>
      </c>
      <c r="H1244" s="15">
        <f t="shared" si="20"/>
        <v>0</v>
      </c>
      <c r="I1244" s="19"/>
    </row>
    <row r="1245" spans="1:9" x14ac:dyDescent="0.25">
      <c r="A1245" s="16">
        <v>42747</v>
      </c>
      <c r="B1245" s="17" t="s">
        <v>1546</v>
      </c>
      <c r="C1245" s="18">
        <v>96842</v>
      </c>
      <c r="D1245" s="2" t="s">
        <v>838</v>
      </c>
      <c r="E1245" s="15">
        <v>3833.5</v>
      </c>
      <c r="F1245" s="36" t="s">
        <v>129</v>
      </c>
      <c r="G1245" s="15">
        <v>3833.5</v>
      </c>
      <c r="H1245" s="15">
        <f t="shared" si="20"/>
        <v>0</v>
      </c>
      <c r="I1245" s="19"/>
    </row>
    <row r="1246" spans="1:9" x14ac:dyDescent="0.25">
      <c r="A1246" s="16">
        <v>42747</v>
      </c>
      <c r="B1246" s="17" t="s">
        <v>1547</v>
      </c>
      <c r="C1246" s="18">
        <v>96843</v>
      </c>
      <c r="D1246" s="2" t="s">
        <v>159</v>
      </c>
      <c r="E1246" s="15">
        <v>6282.7</v>
      </c>
      <c r="F1246" s="36" t="s">
        <v>126</v>
      </c>
      <c r="G1246" s="15">
        <v>6282.7</v>
      </c>
      <c r="H1246" s="15">
        <f t="shared" si="20"/>
        <v>0</v>
      </c>
      <c r="I1246" s="19"/>
    </row>
    <row r="1247" spans="1:9" x14ac:dyDescent="0.25">
      <c r="A1247" s="16">
        <v>42747</v>
      </c>
      <c r="B1247" s="17" t="s">
        <v>1548</v>
      </c>
      <c r="C1247" s="18">
        <v>96844</v>
      </c>
      <c r="D1247" s="2" t="s">
        <v>10</v>
      </c>
      <c r="E1247" s="15">
        <v>418615.86</v>
      </c>
      <c r="F1247" s="36" t="s">
        <v>511</v>
      </c>
      <c r="G1247" s="15">
        <v>418615.86</v>
      </c>
      <c r="H1247" s="15">
        <f t="shared" si="20"/>
        <v>0</v>
      </c>
      <c r="I1247" s="19"/>
    </row>
    <row r="1248" spans="1:9" x14ac:dyDescent="0.25">
      <c r="A1248" s="16">
        <v>42747</v>
      </c>
      <c r="B1248" s="17" t="s">
        <v>1549</v>
      </c>
      <c r="C1248" s="18">
        <v>96845</v>
      </c>
      <c r="D1248" s="2" t="s">
        <v>10</v>
      </c>
      <c r="E1248" s="15">
        <v>46865.84</v>
      </c>
      <c r="F1248" s="36" t="s">
        <v>511</v>
      </c>
      <c r="G1248" s="15">
        <v>46865.84</v>
      </c>
      <c r="H1248" s="15">
        <f t="shared" si="20"/>
        <v>0</v>
      </c>
      <c r="I1248" s="19"/>
    </row>
    <row r="1249" spans="1:9" x14ac:dyDescent="0.25">
      <c r="A1249" s="16">
        <v>42747</v>
      </c>
      <c r="B1249" s="17" t="s">
        <v>1550</v>
      </c>
      <c r="C1249" s="18">
        <v>96846</v>
      </c>
      <c r="D1249" s="2" t="s">
        <v>305</v>
      </c>
      <c r="E1249" s="15">
        <v>1980.6</v>
      </c>
      <c r="F1249" s="36" t="s">
        <v>237</v>
      </c>
      <c r="G1249" s="15">
        <v>1980.6</v>
      </c>
      <c r="H1249" s="15">
        <f t="shared" si="20"/>
        <v>0</v>
      </c>
      <c r="I1249" s="19"/>
    </row>
    <row r="1250" spans="1:9" x14ac:dyDescent="0.25">
      <c r="A1250" s="16">
        <v>42747</v>
      </c>
      <c r="B1250" s="17" t="s">
        <v>1551</v>
      </c>
      <c r="C1250" s="18">
        <v>96847</v>
      </c>
      <c r="D1250" s="2" t="s">
        <v>476</v>
      </c>
      <c r="E1250" s="15">
        <v>7911.5</v>
      </c>
      <c r="F1250" s="36" t="s">
        <v>173</v>
      </c>
      <c r="G1250" s="15">
        <v>7911.5</v>
      </c>
      <c r="H1250" s="15">
        <f t="shared" si="20"/>
        <v>0</v>
      </c>
      <c r="I1250" s="19"/>
    </row>
    <row r="1251" spans="1:9" x14ac:dyDescent="0.25">
      <c r="A1251" s="16">
        <v>42747</v>
      </c>
      <c r="B1251" s="17" t="s">
        <v>1552</v>
      </c>
      <c r="C1251" s="18">
        <v>96848</v>
      </c>
      <c r="D1251" s="2" t="s">
        <v>266</v>
      </c>
      <c r="E1251" s="15">
        <v>3192</v>
      </c>
      <c r="F1251" s="36" t="s">
        <v>129</v>
      </c>
      <c r="G1251" s="15">
        <v>3192</v>
      </c>
      <c r="H1251" s="15">
        <f t="shared" si="20"/>
        <v>0</v>
      </c>
      <c r="I1251" s="19"/>
    </row>
    <row r="1252" spans="1:9" x14ac:dyDescent="0.25">
      <c r="A1252" s="16">
        <v>42747</v>
      </c>
      <c r="B1252" s="17" t="s">
        <v>1553</v>
      </c>
      <c r="C1252" s="18">
        <v>96849</v>
      </c>
      <c r="D1252" s="2" t="s">
        <v>30</v>
      </c>
      <c r="E1252" s="15">
        <v>1800</v>
      </c>
      <c r="F1252" s="36" t="s">
        <v>173</v>
      </c>
      <c r="G1252" s="15">
        <v>1800</v>
      </c>
      <c r="H1252" s="15">
        <f t="shared" si="20"/>
        <v>0</v>
      </c>
      <c r="I1252" s="19"/>
    </row>
    <row r="1253" spans="1:9" x14ac:dyDescent="0.25">
      <c r="A1253" s="16">
        <v>42747</v>
      </c>
      <c r="B1253" s="17" t="s">
        <v>1554</v>
      </c>
      <c r="C1253" s="18">
        <v>96850</v>
      </c>
      <c r="D1253" s="2" t="s">
        <v>630</v>
      </c>
      <c r="E1253" s="15">
        <v>8077.16</v>
      </c>
      <c r="F1253" s="36" t="s">
        <v>173</v>
      </c>
      <c r="G1253" s="15">
        <v>8077.16</v>
      </c>
      <c r="H1253" s="15">
        <f t="shared" si="20"/>
        <v>0</v>
      </c>
      <c r="I1253" s="19"/>
    </row>
    <row r="1254" spans="1:9" x14ac:dyDescent="0.25">
      <c r="A1254" s="16">
        <v>42747</v>
      </c>
      <c r="B1254" s="17" t="s">
        <v>1555</v>
      </c>
      <c r="C1254" s="18">
        <v>96851</v>
      </c>
      <c r="D1254" s="2" t="s">
        <v>182</v>
      </c>
      <c r="E1254" s="15">
        <v>3684.6</v>
      </c>
      <c r="F1254" s="36" t="s">
        <v>173</v>
      </c>
      <c r="G1254" s="15">
        <v>3684.6</v>
      </c>
      <c r="H1254" s="15">
        <f t="shared" si="20"/>
        <v>0</v>
      </c>
      <c r="I1254" s="19"/>
    </row>
    <row r="1255" spans="1:9" x14ac:dyDescent="0.25">
      <c r="A1255" s="16">
        <v>42747</v>
      </c>
      <c r="B1255" s="17" t="s">
        <v>1556</v>
      </c>
      <c r="C1255" s="18">
        <v>96852</v>
      </c>
      <c r="D1255" s="2" t="s">
        <v>188</v>
      </c>
      <c r="E1255" s="15">
        <v>4765.2</v>
      </c>
      <c r="F1255" s="36" t="s">
        <v>173</v>
      </c>
      <c r="G1255" s="15">
        <v>4765.2</v>
      </c>
      <c r="H1255" s="15">
        <f t="shared" si="20"/>
        <v>0</v>
      </c>
      <c r="I1255" s="19"/>
    </row>
    <row r="1256" spans="1:9" x14ac:dyDescent="0.25">
      <c r="A1256" s="16">
        <v>42747</v>
      </c>
      <c r="B1256" s="17" t="s">
        <v>1557</v>
      </c>
      <c r="C1256" s="18">
        <v>96853</v>
      </c>
      <c r="D1256" s="2" t="s">
        <v>53</v>
      </c>
      <c r="E1256" s="15">
        <v>3102</v>
      </c>
      <c r="F1256" s="36" t="s">
        <v>173</v>
      </c>
      <c r="G1256" s="15">
        <v>3102</v>
      </c>
      <c r="H1256" s="15">
        <f t="shared" si="20"/>
        <v>0</v>
      </c>
      <c r="I1256" s="19"/>
    </row>
    <row r="1257" spans="1:9" x14ac:dyDescent="0.25">
      <c r="A1257" s="16">
        <v>42747</v>
      </c>
      <c r="B1257" s="17" t="s">
        <v>1558</v>
      </c>
      <c r="C1257" s="18">
        <v>96854</v>
      </c>
      <c r="D1257" s="2" t="s">
        <v>492</v>
      </c>
      <c r="E1257" s="15">
        <v>28152</v>
      </c>
      <c r="F1257" s="36" t="s">
        <v>126</v>
      </c>
      <c r="G1257" s="15">
        <v>28152</v>
      </c>
      <c r="H1257" s="15">
        <f t="shared" si="20"/>
        <v>0</v>
      </c>
      <c r="I1257" s="19"/>
    </row>
    <row r="1258" spans="1:9" x14ac:dyDescent="0.25">
      <c r="A1258" s="16">
        <v>42747</v>
      </c>
      <c r="B1258" s="17" t="s">
        <v>1559</v>
      </c>
      <c r="C1258" s="18">
        <v>96855</v>
      </c>
      <c r="D1258" s="2" t="s">
        <v>30</v>
      </c>
      <c r="E1258" s="15">
        <v>4004.28</v>
      </c>
      <c r="F1258" s="36" t="s">
        <v>173</v>
      </c>
      <c r="G1258" s="15">
        <v>4004.28</v>
      </c>
      <c r="H1258" s="15">
        <f t="shared" si="20"/>
        <v>0</v>
      </c>
      <c r="I1258" s="19"/>
    </row>
    <row r="1259" spans="1:9" x14ac:dyDescent="0.25">
      <c r="A1259" s="16">
        <v>42747</v>
      </c>
      <c r="B1259" s="17" t="s">
        <v>1560</v>
      </c>
      <c r="C1259" s="18">
        <v>96856</v>
      </c>
      <c r="D1259" s="2" t="s">
        <v>1293</v>
      </c>
      <c r="E1259" s="15">
        <v>6002.8</v>
      </c>
      <c r="F1259" s="36" t="s">
        <v>173</v>
      </c>
      <c r="G1259" s="15">
        <v>6002.8</v>
      </c>
      <c r="H1259" s="15">
        <f t="shared" si="20"/>
        <v>0</v>
      </c>
      <c r="I1259" s="19"/>
    </row>
    <row r="1260" spans="1:9" x14ac:dyDescent="0.25">
      <c r="A1260" s="16">
        <v>42747</v>
      </c>
      <c r="B1260" s="17" t="s">
        <v>1561</v>
      </c>
      <c r="C1260" s="18">
        <v>96857</v>
      </c>
      <c r="D1260" s="2" t="s">
        <v>218</v>
      </c>
      <c r="E1260" s="15">
        <v>3733.2</v>
      </c>
      <c r="F1260" s="36" t="s">
        <v>307</v>
      </c>
      <c r="G1260" s="15">
        <v>3733.2</v>
      </c>
      <c r="H1260" s="15">
        <f t="shared" si="20"/>
        <v>0</v>
      </c>
      <c r="I1260" s="19"/>
    </row>
    <row r="1261" spans="1:9" x14ac:dyDescent="0.25">
      <c r="A1261" s="16">
        <v>42747</v>
      </c>
      <c r="B1261" s="17" t="s">
        <v>1562</v>
      </c>
      <c r="C1261" s="18">
        <v>96858</v>
      </c>
      <c r="D1261" s="2" t="s">
        <v>193</v>
      </c>
      <c r="E1261" s="15">
        <v>2038.5</v>
      </c>
      <c r="F1261" s="36" t="s">
        <v>173</v>
      </c>
      <c r="G1261" s="15">
        <v>2038.5</v>
      </c>
      <c r="H1261" s="15">
        <f t="shared" si="20"/>
        <v>0</v>
      </c>
      <c r="I1261" s="19"/>
    </row>
    <row r="1262" spans="1:9" x14ac:dyDescent="0.25">
      <c r="A1262" s="16">
        <v>42747</v>
      </c>
      <c r="B1262" s="17" t="s">
        <v>1563</v>
      </c>
      <c r="C1262" s="18">
        <v>96859</v>
      </c>
      <c r="D1262" s="2" t="s">
        <v>302</v>
      </c>
      <c r="E1262" s="15">
        <v>11583.5</v>
      </c>
      <c r="F1262" s="36" t="s">
        <v>129</v>
      </c>
      <c r="G1262" s="15">
        <v>11583.5</v>
      </c>
      <c r="H1262" s="15">
        <f t="shared" si="20"/>
        <v>0</v>
      </c>
      <c r="I1262" s="19"/>
    </row>
    <row r="1263" spans="1:9" x14ac:dyDescent="0.25">
      <c r="A1263" s="16">
        <v>42747</v>
      </c>
      <c r="B1263" s="17" t="s">
        <v>1564</v>
      </c>
      <c r="C1263" s="18">
        <v>96860</v>
      </c>
      <c r="D1263" s="2" t="s">
        <v>141</v>
      </c>
      <c r="E1263" s="15">
        <v>14297.6</v>
      </c>
      <c r="F1263" s="36" t="s">
        <v>129</v>
      </c>
      <c r="G1263" s="15">
        <v>14297.6</v>
      </c>
      <c r="H1263" s="15">
        <f t="shared" si="20"/>
        <v>0</v>
      </c>
      <c r="I1263" s="19"/>
    </row>
    <row r="1264" spans="1:9" x14ac:dyDescent="0.25">
      <c r="A1264" s="16">
        <v>42747</v>
      </c>
      <c r="B1264" s="17" t="s">
        <v>1565</v>
      </c>
      <c r="C1264" s="18">
        <v>96861</v>
      </c>
      <c r="D1264" s="2" t="s">
        <v>331</v>
      </c>
      <c r="E1264" s="15">
        <v>2276.4</v>
      </c>
      <c r="F1264" s="36" t="s">
        <v>173</v>
      </c>
      <c r="G1264" s="15">
        <v>2276.4</v>
      </c>
      <c r="H1264" s="15">
        <f t="shared" si="20"/>
        <v>0</v>
      </c>
      <c r="I1264" s="19"/>
    </row>
    <row r="1265" spans="1:9" x14ac:dyDescent="0.25">
      <c r="A1265" s="16">
        <v>42747</v>
      </c>
      <c r="B1265" s="17" t="s">
        <v>1566</v>
      </c>
      <c r="C1265" s="18">
        <v>96862</v>
      </c>
      <c r="D1265" s="2" t="s">
        <v>45</v>
      </c>
      <c r="E1265" s="15">
        <v>892.8</v>
      </c>
      <c r="F1265" s="36" t="s">
        <v>173</v>
      </c>
      <c r="G1265" s="15">
        <v>892.8</v>
      </c>
      <c r="H1265" s="15">
        <f t="shared" si="20"/>
        <v>0</v>
      </c>
      <c r="I1265" s="19"/>
    </row>
    <row r="1266" spans="1:9" x14ac:dyDescent="0.25">
      <c r="A1266" s="16">
        <v>42747</v>
      </c>
      <c r="B1266" s="17" t="s">
        <v>1567</v>
      </c>
      <c r="C1266" s="18">
        <v>96863</v>
      </c>
      <c r="D1266" s="2" t="s">
        <v>30</v>
      </c>
      <c r="E1266" s="15">
        <v>3763.2</v>
      </c>
      <c r="F1266" s="36" t="s">
        <v>173</v>
      </c>
      <c r="G1266" s="15">
        <v>3763.2</v>
      </c>
      <c r="H1266" s="15">
        <f t="shared" si="20"/>
        <v>0</v>
      </c>
      <c r="I1266" s="19"/>
    </row>
    <row r="1267" spans="1:9" x14ac:dyDescent="0.25">
      <c r="A1267" s="16">
        <v>42747</v>
      </c>
      <c r="B1267" s="17" t="s">
        <v>1568</v>
      </c>
      <c r="C1267" s="18">
        <v>96864</v>
      </c>
      <c r="D1267" s="2" t="s">
        <v>785</v>
      </c>
      <c r="E1267" s="15">
        <v>9387</v>
      </c>
      <c r="F1267" s="36" t="s">
        <v>129</v>
      </c>
      <c r="G1267" s="15">
        <v>9387</v>
      </c>
      <c r="H1267" s="15">
        <f t="shared" si="20"/>
        <v>0</v>
      </c>
      <c r="I1267" s="19"/>
    </row>
    <row r="1268" spans="1:9" x14ac:dyDescent="0.25">
      <c r="A1268" s="16">
        <v>42747</v>
      </c>
      <c r="B1268" s="17" t="s">
        <v>1569</v>
      </c>
      <c r="C1268" s="18">
        <v>96865</v>
      </c>
      <c r="D1268" s="2" t="s">
        <v>128</v>
      </c>
      <c r="E1268" s="15">
        <v>1953</v>
      </c>
      <c r="F1268" s="36" t="s">
        <v>129</v>
      </c>
      <c r="G1268" s="15">
        <v>1953</v>
      </c>
      <c r="H1268" s="15">
        <f t="shared" si="20"/>
        <v>0</v>
      </c>
      <c r="I1268" s="19"/>
    </row>
    <row r="1269" spans="1:9" x14ac:dyDescent="0.25">
      <c r="A1269" s="16">
        <v>42747</v>
      </c>
      <c r="B1269" s="17" t="s">
        <v>1570</v>
      </c>
      <c r="C1269" s="18">
        <v>96866</v>
      </c>
      <c r="D1269" s="2" t="s">
        <v>472</v>
      </c>
      <c r="E1269" s="15">
        <v>6559.2</v>
      </c>
      <c r="F1269" s="36" t="s">
        <v>173</v>
      </c>
      <c r="G1269" s="15">
        <v>6559.2</v>
      </c>
      <c r="H1269" s="15">
        <f t="shared" si="20"/>
        <v>0</v>
      </c>
      <c r="I1269" s="19"/>
    </row>
    <row r="1270" spans="1:9" x14ac:dyDescent="0.25">
      <c r="A1270" s="16">
        <v>42747</v>
      </c>
      <c r="B1270" s="17" t="s">
        <v>1571</v>
      </c>
      <c r="C1270" s="18">
        <v>96867</v>
      </c>
      <c r="D1270" s="2" t="s">
        <v>879</v>
      </c>
      <c r="E1270" s="15">
        <v>3509.8</v>
      </c>
      <c r="F1270" s="36" t="s">
        <v>129</v>
      </c>
      <c r="G1270" s="15">
        <v>3509.8</v>
      </c>
      <c r="H1270" s="15">
        <f t="shared" si="20"/>
        <v>0</v>
      </c>
      <c r="I1270" s="19"/>
    </row>
    <row r="1271" spans="1:9" x14ac:dyDescent="0.25">
      <c r="A1271" s="16">
        <v>42747</v>
      </c>
      <c r="B1271" s="17" t="s">
        <v>1572</v>
      </c>
      <c r="C1271" s="18">
        <v>96868</v>
      </c>
      <c r="D1271" s="2" t="s">
        <v>1573</v>
      </c>
      <c r="E1271" s="15">
        <v>12074.5</v>
      </c>
      <c r="F1271" s="36" t="s">
        <v>129</v>
      </c>
      <c r="G1271" s="15">
        <v>12074.5</v>
      </c>
      <c r="H1271" s="15">
        <f t="shared" si="20"/>
        <v>0</v>
      </c>
      <c r="I1271" s="19"/>
    </row>
    <row r="1272" spans="1:9" x14ac:dyDescent="0.25">
      <c r="A1272" s="16">
        <v>42747</v>
      </c>
      <c r="B1272" s="17" t="s">
        <v>1574</v>
      </c>
      <c r="C1272" s="18">
        <v>96869</v>
      </c>
      <c r="D1272" s="2" t="s">
        <v>30</v>
      </c>
      <c r="E1272" s="15">
        <v>3288</v>
      </c>
      <c r="F1272" s="36" t="s">
        <v>129</v>
      </c>
      <c r="G1272" s="15">
        <v>3288</v>
      </c>
      <c r="H1272" s="15">
        <f t="shared" si="20"/>
        <v>0</v>
      </c>
      <c r="I1272" s="19"/>
    </row>
    <row r="1273" spans="1:9" x14ac:dyDescent="0.25">
      <c r="A1273" s="16">
        <v>42747</v>
      </c>
      <c r="B1273" s="17" t="s">
        <v>1575</v>
      </c>
      <c r="C1273" s="18">
        <v>96870</v>
      </c>
      <c r="D1273" s="2" t="s">
        <v>1380</v>
      </c>
      <c r="E1273" s="15">
        <v>32170.799999999999</v>
      </c>
      <c r="F1273" s="36" t="s">
        <v>173</v>
      </c>
      <c r="G1273" s="15">
        <v>32170.799999999999</v>
      </c>
      <c r="H1273" s="15">
        <f t="shared" si="20"/>
        <v>0</v>
      </c>
      <c r="I1273" s="19"/>
    </row>
    <row r="1274" spans="1:9" x14ac:dyDescent="0.25">
      <c r="A1274" s="16">
        <v>42747</v>
      </c>
      <c r="B1274" s="17" t="s">
        <v>1576</v>
      </c>
      <c r="C1274" s="18">
        <v>96871</v>
      </c>
      <c r="D1274" s="13" t="s">
        <v>285</v>
      </c>
      <c r="E1274" s="14">
        <v>0</v>
      </c>
      <c r="F1274" s="123" t="s">
        <v>95</v>
      </c>
      <c r="G1274" s="14">
        <v>0</v>
      </c>
      <c r="H1274" s="14">
        <f t="shared" si="20"/>
        <v>0</v>
      </c>
      <c r="I1274" s="19"/>
    </row>
    <row r="1275" spans="1:9" x14ac:dyDescent="0.25">
      <c r="A1275" s="16">
        <v>42747</v>
      </c>
      <c r="B1275" s="17" t="s">
        <v>1577</v>
      </c>
      <c r="C1275" s="18">
        <v>96872</v>
      </c>
      <c r="D1275" s="2" t="s">
        <v>1269</v>
      </c>
      <c r="E1275" s="15">
        <v>4532</v>
      </c>
      <c r="F1275" s="36" t="s">
        <v>173</v>
      </c>
      <c r="G1275" s="15">
        <v>4532</v>
      </c>
      <c r="H1275" s="15">
        <f t="shared" si="20"/>
        <v>0</v>
      </c>
      <c r="I1275" s="19"/>
    </row>
    <row r="1276" spans="1:9" x14ac:dyDescent="0.25">
      <c r="A1276" s="16">
        <v>42747</v>
      </c>
      <c r="B1276" s="17" t="s">
        <v>1578</v>
      </c>
      <c r="C1276" s="18">
        <v>96873</v>
      </c>
      <c r="D1276" s="2" t="s">
        <v>712</v>
      </c>
      <c r="E1276" s="15">
        <v>3879</v>
      </c>
      <c r="F1276" s="36" t="s">
        <v>173</v>
      </c>
      <c r="G1276" s="15">
        <v>3879</v>
      </c>
      <c r="H1276" s="15">
        <f t="shared" si="20"/>
        <v>0</v>
      </c>
      <c r="I1276" s="19"/>
    </row>
    <row r="1277" spans="1:9" x14ac:dyDescent="0.25">
      <c r="A1277" s="16">
        <v>42747</v>
      </c>
      <c r="B1277" s="17" t="s">
        <v>1579</v>
      </c>
      <c r="C1277" s="18">
        <v>96874</v>
      </c>
      <c r="D1277" s="2" t="s">
        <v>226</v>
      </c>
      <c r="E1277" s="15">
        <v>3567</v>
      </c>
      <c r="F1277" s="36" t="s">
        <v>173</v>
      </c>
      <c r="G1277" s="15">
        <v>3567</v>
      </c>
      <c r="H1277" s="15">
        <f t="shared" si="20"/>
        <v>0</v>
      </c>
      <c r="I1277" s="19"/>
    </row>
    <row r="1278" spans="1:9" x14ac:dyDescent="0.25">
      <c r="A1278" s="16">
        <v>42747</v>
      </c>
      <c r="B1278" s="17" t="s">
        <v>1580</v>
      </c>
      <c r="C1278" s="18">
        <v>96875</v>
      </c>
      <c r="D1278" s="2" t="s">
        <v>651</v>
      </c>
      <c r="E1278" s="15">
        <v>30097.200000000001</v>
      </c>
      <c r="F1278" s="36" t="s">
        <v>129</v>
      </c>
      <c r="G1278" s="15">
        <v>30097.200000000001</v>
      </c>
      <c r="H1278" s="15">
        <f t="shared" si="20"/>
        <v>0</v>
      </c>
      <c r="I1278" s="19"/>
    </row>
    <row r="1279" spans="1:9" x14ac:dyDescent="0.25">
      <c r="A1279" s="16">
        <v>42747</v>
      </c>
      <c r="B1279" s="17" t="s">
        <v>1581</v>
      </c>
      <c r="C1279" s="18">
        <v>96876</v>
      </c>
      <c r="D1279" s="2" t="s">
        <v>10</v>
      </c>
      <c r="E1279" s="15">
        <v>78461.399999999994</v>
      </c>
      <c r="F1279" s="124" t="s">
        <v>1582</v>
      </c>
      <c r="G1279" s="20">
        <f>56048.7+22412.7</f>
        <v>78461.399999999994</v>
      </c>
      <c r="H1279" s="20">
        <f t="shared" si="20"/>
        <v>0</v>
      </c>
      <c r="I1279" s="19"/>
    </row>
    <row r="1280" spans="1:9" x14ac:dyDescent="0.25">
      <c r="A1280" s="16">
        <v>42747</v>
      </c>
      <c r="B1280" s="17" t="s">
        <v>1583</v>
      </c>
      <c r="C1280" s="18">
        <v>96877</v>
      </c>
      <c r="D1280" s="2" t="s">
        <v>10</v>
      </c>
      <c r="E1280" s="15">
        <v>311211.86</v>
      </c>
      <c r="F1280" s="36" t="s">
        <v>317</v>
      </c>
      <c r="G1280" s="15">
        <v>311211.86</v>
      </c>
      <c r="H1280" s="15">
        <f t="shared" si="20"/>
        <v>0</v>
      </c>
      <c r="I1280" s="19"/>
    </row>
    <row r="1281" spans="1:9" x14ac:dyDescent="0.25">
      <c r="A1281" s="16">
        <v>42747</v>
      </c>
      <c r="B1281" s="17" t="s">
        <v>1584</v>
      </c>
      <c r="C1281" s="18">
        <v>96878</v>
      </c>
      <c r="D1281" s="2" t="s">
        <v>30</v>
      </c>
      <c r="E1281" s="15">
        <v>1104.4000000000001</v>
      </c>
      <c r="F1281" s="36" t="s">
        <v>129</v>
      </c>
      <c r="G1281" s="15">
        <v>1104.4000000000001</v>
      </c>
      <c r="H1281" s="15">
        <f t="shared" si="20"/>
        <v>0</v>
      </c>
      <c r="I1281" s="19"/>
    </row>
    <row r="1282" spans="1:9" x14ac:dyDescent="0.25">
      <c r="A1282" s="16">
        <v>42747</v>
      </c>
      <c r="B1282" s="17" t="s">
        <v>1585</v>
      </c>
      <c r="C1282" s="18">
        <v>96879</v>
      </c>
      <c r="D1282" s="2" t="s">
        <v>10</v>
      </c>
      <c r="E1282" s="15">
        <v>46661.599999999999</v>
      </c>
      <c r="F1282" s="36" t="s">
        <v>317</v>
      </c>
      <c r="G1282" s="15">
        <v>46661.599999999999</v>
      </c>
      <c r="H1282" s="15">
        <f t="shared" si="20"/>
        <v>0</v>
      </c>
      <c r="I1282" s="19"/>
    </row>
    <row r="1283" spans="1:9" x14ac:dyDescent="0.25">
      <c r="A1283" s="16">
        <v>42747</v>
      </c>
      <c r="B1283" s="17" t="s">
        <v>1586</v>
      </c>
      <c r="C1283" s="18">
        <v>96880</v>
      </c>
      <c r="D1283" s="2" t="s">
        <v>686</v>
      </c>
      <c r="E1283" s="15">
        <v>18492.8</v>
      </c>
      <c r="F1283" s="36" t="s">
        <v>126</v>
      </c>
      <c r="G1283" s="15">
        <v>18492.8</v>
      </c>
      <c r="H1283" s="15">
        <f t="shared" si="20"/>
        <v>0</v>
      </c>
      <c r="I1283" s="19"/>
    </row>
    <row r="1284" spans="1:9" x14ac:dyDescent="0.25">
      <c r="A1284" s="16">
        <v>42747</v>
      </c>
      <c r="B1284" s="17" t="s">
        <v>1587</v>
      </c>
      <c r="C1284" s="18">
        <v>96881</v>
      </c>
      <c r="D1284" s="2" t="s">
        <v>675</v>
      </c>
      <c r="E1284" s="15">
        <v>2265.4</v>
      </c>
      <c r="F1284" s="36" t="s">
        <v>126</v>
      </c>
      <c r="G1284" s="15">
        <v>2265.4</v>
      </c>
      <c r="H1284" s="15">
        <f t="shared" si="20"/>
        <v>0</v>
      </c>
      <c r="I1284" s="19"/>
    </row>
    <row r="1285" spans="1:9" x14ac:dyDescent="0.25">
      <c r="A1285" s="16">
        <v>42747</v>
      </c>
      <c r="B1285" s="17" t="s">
        <v>1588</v>
      </c>
      <c r="C1285" s="18">
        <v>96882</v>
      </c>
      <c r="D1285" s="2" t="s">
        <v>1589</v>
      </c>
      <c r="E1285" s="15">
        <v>8344.7999999999993</v>
      </c>
      <c r="F1285" s="36" t="s">
        <v>126</v>
      </c>
      <c r="G1285" s="15">
        <v>8344.7999999999993</v>
      </c>
      <c r="H1285" s="15">
        <f t="shared" si="20"/>
        <v>0</v>
      </c>
      <c r="I1285" s="19"/>
    </row>
    <row r="1286" spans="1:9" x14ac:dyDescent="0.25">
      <c r="A1286" s="16">
        <v>42747</v>
      </c>
      <c r="B1286" s="17" t="s">
        <v>1590</v>
      </c>
      <c r="C1286" s="18">
        <v>96883</v>
      </c>
      <c r="D1286" s="2" t="s">
        <v>677</v>
      </c>
      <c r="E1286" s="15">
        <v>2436</v>
      </c>
      <c r="F1286" s="36" t="s">
        <v>126</v>
      </c>
      <c r="G1286" s="15">
        <v>2436</v>
      </c>
      <c r="H1286" s="15">
        <f t="shared" ref="H1286:H1349" si="21">E1286-G1286</f>
        <v>0</v>
      </c>
      <c r="I1286" s="19"/>
    </row>
    <row r="1287" spans="1:9" x14ac:dyDescent="0.25">
      <c r="A1287" s="16">
        <v>42747</v>
      </c>
      <c r="B1287" s="17" t="s">
        <v>1591</v>
      </c>
      <c r="C1287" s="18">
        <v>96884</v>
      </c>
      <c r="D1287" s="2" t="s">
        <v>677</v>
      </c>
      <c r="E1287" s="15">
        <v>2219.1999999999998</v>
      </c>
      <c r="F1287" s="36" t="s">
        <v>126</v>
      </c>
      <c r="G1287" s="15">
        <v>2219.1999999999998</v>
      </c>
      <c r="H1287" s="15">
        <f t="shared" si="21"/>
        <v>0</v>
      </c>
      <c r="I1287" s="19"/>
    </row>
    <row r="1288" spans="1:9" x14ac:dyDescent="0.25">
      <c r="A1288" s="16">
        <v>42747</v>
      </c>
      <c r="B1288" s="17" t="s">
        <v>1592</v>
      </c>
      <c r="C1288" s="18">
        <v>96885</v>
      </c>
      <c r="D1288" s="2" t="s">
        <v>673</v>
      </c>
      <c r="E1288" s="15">
        <v>3860.1</v>
      </c>
      <c r="F1288" s="36" t="s">
        <v>126</v>
      </c>
      <c r="G1288" s="15">
        <v>3860.1</v>
      </c>
      <c r="H1288" s="15">
        <f t="shared" si="21"/>
        <v>0</v>
      </c>
      <c r="I1288" s="19"/>
    </row>
    <row r="1289" spans="1:9" x14ac:dyDescent="0.25">
      <c r="A1289" s="16">
        <v>42747</v>
      </c>
      <c r="B1289" s="17" t="s">
        <v>1593</v>
      </c>
      <c r="C1289" s="18">
        <v>96886</v>
      </c>
      <c r="D1289" s="2" t="s">
        <v>1594</v>
      </c>
      <c r="E1289" s="15">
        <v>32340.799999999999</v>
      </c>
      <c r="F1289" s="36" t="s">
        <v>927</v>
      </c>
      <c r="G1289" s="15">
        <v>32340.799999999999</v>
      </c>
      <c r="H1289" s="15">
        <f t="shared" si="21"/>
        <v>0</v>
      </c>
      <c r="I1289" s="19"/>
    </row>
    <row r="1290" spans="1:9" x14ac:dyDescent="0.25">
      <c r="A1290" s="16">
        <v>42747</v>
      </c>
      <c r="B1290" s="17" t="s">
        <v>1595</v>
      </c>
      <c r="C1290" s="18">
        <v>96887</v>
      </c>
      <c r="D1290" s="13" t="s">
        <v>665</v>
      </c>
      <c r="E1290" s="14">
        <v>0</v>
      </c>
      <c r="F1290" s="123" t="s">
        <v>95</v>
      </c>
      <c r="G1290" s="14">
        <v>0</v>
      </c>
      <c r="H1290" s="14">
        <f t="shared" si="21"/>
        <v>0</v>
      </c>
      <c r="I1290" s="19"/>
    </row>
    <row r="1291" spans="1:9" x14ac:dyDescent="0.25">
      <c r="A1291" s="16">
        <v>42747</v>
      </c>
      <c r="B1291" s="17" t="s">
        <v>1596</v>
      </c>
      <c r="C1291" s="18">
        <v>96888</v>
      </c>
      <c r="D1291" s="2" t="s">
        <v>670</v>
      </c>
      <c r="E1291" s="15">
        <v>23202.720000000001</v>
      </c>
      <c r="F1291" s="36" t="s">
        <v>317</v>
      </c>
      <c r="G1291" s="15">
        <v>23202.720000000001</v>
      </c>
      <c r="H1291" s="15">
        <f t="shared" si="21"/>
        <v>0</v>
      </c>
      <c r="I1291" s="19"/>
    </row>
    <row r="1292" spans="1:9" x14ac:dyDescent="0.25">
      <c r="A1292" s="16">
        <v>42747</v>
      </c>
      <c r="B1292" s="17" t="s">
        <v>1597</v>
      </c>
      <c r="C1292" s="18">
        <v>96889</v>
      </c>
      <c r="D1292" s="2" t="s">
        <v>1598</v>
      </c>
      <c r="E1292" s="15">
        <v>6029.7</v>
      </c>
      <c r="F1292" s="36" t="s">
        <v>126</v>
      </c>
      <c r="G1292" s="15">
        <v>6029.7</v>
      </c>
      <c r="H1292" s="15">
        <f t="shared" si="21"/>
        <v>0</v>
      </c>
      <c r="I1292" s="19"/>
    </row>
    <row r="1293" spans="1:9" x14ac:dyDescent="0.25">
      <c r="A1293" s="16">
        <v>42747</v>
      </c>
      <c r="B1293" s="17" t="s">
        <v>1599</v>
      </c>
      <c r="C1293" s="18">
        <v>96890</v>
      </c>
      <c r="D1293" s="2" t="s">
        <v>122</v>
      </c>
      <c r="E1293" s="15">
        <v>521.4</v>
      </c>
      <c r="F1293" s="36" t="s">
        <v>129</v>
      </c>
      <c r="G1293" s="15">
        <v>521.4</v>
      </c>
      <c r="H1293" s="15">
        <f t="shared" si="21"/>
        <v>0</v>
      </c>
      <c r="I1293" s="19"/>
    </row>
    <row r="1294" spans="1:9" x14ac:dyDescent="0.25">
      <c r="A1294" s="16">
        <v>42747</v>
      </c>
      <c r="B1294" s="17" t="s">
        <v>1600</v>
      </c>
      <c r="C1294" s="18">
        <v>96891</v>
      </c>
      <c r="D1294" s="2" t="s">
        <v>688</v>
      </c>
      <c r="E1294" s="15">
        <v>22074.400000000001</v>
      </c>
      <c r="F1294" s="36" t="s">
        <v>126</v>
      </c>
      <c r="G1294" s="15">
        <v>22074.400000000001</v>
      </c>
      <c r="H1294" s="15">
        <f t="shared" si="21"/>
        <v>0</v>
      </c>
      <c r="I1294" s="19"/>
    </row>
    <row r="1295" spans="1:9" x14ac:dyDescent="0.25">
      <c r="A1295" s="16">
        <v>42747</v>
      </c>
      <c r="B1295" s="17" t="s">
        <v>1601</v>
      </c>
      <c r="C1295" s="18">
        <v>96892</v>
      </c>
      <c r="D1295" s="2" t="s">
        <v>222</v>
      </c>
      <c r="E1295" s="15">
        <v>359550</v>
      </c>
      <c r="F1295" s="36" t="s">
        <v>237</v>
      </c>
      <c r="G1295" s="15">
        <v>359550</v>
      </c>
      <c r="H1295" s="15">
        <f t="shared" si="21"/>
        <v>0</v>
      </c>
      <c r="I1295" s="19"/>
    </row>
    <row r="1296" spans="1:9" x14ac:dyDescent="0.25">
      <c r="A1296" s="16">
        <v>42747</v>
      </c>
      <c r="B1296" s="17" t="s">
        <v>1602</v>
      </c>
      <c r="C1296" s="18">
        <v>96893</v>
      </c>
      <c r="D1296" s="2" t="s">
        <v>222</v>
      </c>
      <c r="E1296" s="15">
        <v>384442</v>
      </c>
      <c r="F1296" s="36" t="s">
        <v>224</v>
      </c>
      <c r="G1296" s="15">
        <v>384442</v>
      </c>
      <c r="H1296" s="15">
        <f t="shared" si="21"/>
        <v>0</v>
      </c>
      <c r="I1296" s="19"/>
    </row>
    <row r="1297" spans="1:9" x14ac:dyDescent="0.25">
      <c r="A1297" s="16">
        <v>42747</v>
      </c>
      <c r="B1297" s="17" t="s">
        <v>1603</v>
      </c>
      <c r="C1297" s="18">
        <v>96894</v>
      </c>
      <c r="D1297" s="2" t="s">
        <v>367</v>
      </c>
      <c r="E1297" s="15">
        <v>900</v>
      </c>
      <c r="F1297" s="36" t="s">
        <v>129</v>
      </c>
      <c r="G1297" s="15">
        <v>900</v>
      </c>
      <c r="H1297" s="15">
        <f t="shared" si="21"/>
        <v>0</v>
      </c>
      <c r="I1297" s="19"/>
    </row>
    <row r="1298" spans="1:9" x14ac:dyDescent="0.25">
      <c r="A1298" s="16">
        <v>42747</v>
      </c>
      <c r="B1298" s="17" t="s">
        <v>1604</v>
      </c>
      <c r="C1298" s="18">
        <v>96895</v>
      </c>
      <c r="D1298" s="2" t="s">
        <v>680</v>
      </c>
      <c r="E1298" s="15">
        <v>4468.3</v>
      </c>
      <c r="F1298" s="36" t="s">
        <v>126</v>
      </c>
      <c r="G1298" s="15">
        <v>4468.3</v>
      </c>
      <c r="H1298" s="15">
        <f t="shared" si="21"/>
        <v>0</v>
      </c>
      <c r="I1298" s="19"/>
    </row>
    <row r="1299" spans="1:9" x14ac:dyDescent="0.25">
      <c r="A1299" s="16">
        <v>42747</v>
      </c>
      <c r="B1299" s="17" t="s">
        <v>1605</v>
      </c>
      <c r="C1299" s="18">
        <v>96896</v>
      </c>
      <c r="D1299" s="2" t="s">
        <v>688</v>
      </c>
      <c r="E1299" s="15">
        <v>756.4</v>
      </c>
      <c r="F1299" s="36" t="s">
        <v>126</v>
      </c>
      <c r="G1299" s="15">
        <v>756.4</v>
      </c>
      <c r="H1299" s="15">
        <f t="shared" si="21"/>
        <v>0</v>
      </c>
      <c r="I1299" s="19"/>
    </row>
    <row r="1300" spans="1:9" x14ac:dyDescent="0.25">
      <c r="A1300" s="16">
        <v>42747</v>
      </c>
      <c r="B1300" s="17" t="s">
        <v>1606</v>
      </c>
      <c r="C1300" s="18">
        <v>96897</v>
      </c>
      <c r="D1300" s="2" t="s">
        <v>813</v>
      </c>
      <c r="E1300" s="15">
        <v>31983.8</v>
      </c>
      <c r="F1300" s="36" t="s">
        <v>129</v>
      </c>
      <c r="G1300" s="15">
        <v>31983.8</v>
      </c>
      <c r="H1300" s="15">
        <f t="shared" si="21"/>
        <v>0</v>
      </c>
      <c r="I1300" s="19"/>
    </row>
    <row r="1301" spans="1:9" x14ac:dyDescent="0.25">
      <c r="A1301" s="16">
        <v>42747</v>
      </c>
      <c r="B1301" s="17" t="s">
        <v>1607</v>
      </c>
      <c r="C1301" s="18">
        <v>96898</v>
      </c>
      <c r="D1301" s="2" t="s">
        <v>670</v>
      </c>
      <c r="E1301" s="15">
        <v>7416</v>
      </c>
      <c r="F1301" s="36" t="s">
        <v>317</v>
      </c>
      <c r="G1301" s="15">
        <v>7416</v>
      </c>
      <c r="H1301" s="15">
        <f t="shared" si="21"/>
        <v>0</v>
      </c>
      <c r="I1301" s="19"/>
    </row>
    <row r="1302" spans="1:9" x14ac:dyDescent="0.25">
      <c r="A1302" s="16">
        <v>42747</v>
      </c>
      <c r="B1302" s="17" t="s">
        <v>1608</v>
      </c>
      <c r="C1302" s="18">
        <v>96899</v>
      </c>
      <c r="D1302" s="2" t="s">
        <v>1197</v>
      </c>
      <c r="E1302" s="15">
        <v>249.2</v>
      </c>
      <c r="F1302" s="36" t="s">
        <v>126</v>
      </c>
      <c r="G1302" s="15">
        <v>249.2</v>
      </c>
      <c r="H1302" s="15">
        <f t="shared" si="21"/>
        <v>0</v>
      </c>
      <c r="I1302" s="19"/>
    </row>
    <row r="1303" spans="1:9" x14ac:dyDescent="0.25">
      <c r="A1303" s="16">
        <v>42747</v>
      </c>
      <c r="B1303" s="17" t="s">
        <v>1609</v>
      </c>
      <c r="C1303" s="18">
        <v>96900</v>
      </c>
      <c r="D1303" s="2" t="s">
        <v>531</v>
      </c>
      <c r="E1303" s="15">
        <v>31569</v>
      </c>
      <c r="F1303" s="36" t="s">
        <v>173</v>
      </c>
      <c r="G1303" s="15">
        <v>31569</v>
      </c>
      <c r="H1303" s="15">
        <f t="shared" si="21"/>
        <v>0</v>
      </c>
      <c r="I1303" s="19"/>
    </row>
    <row r="1304" spans="1:9" x14ac:dyDescent="0.25">
      <c r="A1304" s="16">
        <v>42747</v>
      </c>
      <c r="B1304" s="17" t="s">
        <v>1610</v>
      </c>
      <c r="C1304" s="18">
        <v>96901</v>
      </c>
      <c r="D1304" s="2" t="s">
        <v>930</v>
      </c>
      <c r="E1304" s="15">
        <v>6204</v>
      </c>
      <c r="F1304" s="36" t="s">
        <v>129</v>
      </c>
      <c r="G1304" s="15">
        <v>6204</v>
      </c>
      <c r="H1304" s="15">
        <f t="shared" si="21"/>
        <v>0</v>
      </c>
      <c r="I1304" s="19"/>
    </row>
    <row r="1305" spans="1:9" x14ac:dyDescent="0.25">
      <c r="A1305" s="16">
        <v>42747</v>
      </c>
      <c r="B1305" s="17" t="s">
        <v>1611</v>
      </c>
      <c r="C1305" s="18">
        <v>96902</v>
      </c>
      <c r="D1305" s="2" t="s">
        <v>10</v>
      </c>
      <c r="E1305" s="15">
        <v>148.19999999999999</v>
      </c>
      <c r="F1305" s="36" t="s">
        <v>129</v>
      </c>
      <c r="G1305" s="15">
        <v>148.19999999999999</v>
      </c>
      <c r="H1305" s="15">
        <f t="shared" si="21"/>
        <v>0</v>
      </c>
      <c r="I1305" s="19"/>
    </row>
    <row r="1306" spans="1:9" x14ac:dyDescent="0.25">
      <c r="A1306" s="16">
        <v>42747</v>
      </c>
      <c r="B1306" s="17" t="s">
        <v>1612</v>
      </c>
      <c r="C1306" s="18">
        <v>96903</v>
      </c>
      <c r="D1306" s="2" t="s">
        <v>937</v>
      </c>
      <c r="E1306" s="15">
        <v>2669.6</v>
      </c>
      <c r="F1306" s="36" t="s">
        <v>173</v>
      </c>
      <c r="G1306" s="15">
        <v>2669.6</v>
      </c>
      <c r="H1306" s="15">
        <f t="shared" si="21"/>
        <v>0</v>
      </c>
      <c r="I1306" s="19"/>
    </row>
    <row r="1307" spans="1:9" x14ac:dyDescent="0.25">
      <c r="A1307" s="16">
        <v>42747</v>
      </c>
      <c r="B1307" s="17" t="s">
        <v>1613</v>
      </c>
      <c r="C1307" s="18">
        <v>96904</v>
      </c>
      <c r="D1307" s="2" t="s">
        <v>1614</v>
      </c>
      <c r="E1307" s="15">
        <v>26745.599999999999</v>
      </c>
      <c r="F1307" s="36" t="s">
        <v>927</v>
      </c>
      <c r="G1307" s="15">
        <v>26745.599999999999</v>
      </c>
      <c r="H1307" s="15">
        <f t="shared" si="21"/>
        <v>0</v>
      </c>
      <c r="I1307" s="19"/>
    </row>
    <row r="1308" spans="1:9" x14ac:dyDescent="0.25">
      <c r="A1308" s="16">
        <v>42747</v>
      </c>
      <c r="B1308" s="17" t="s">
        <v>1615</v>
      </c>
      <c r="C1308" s="18">
        <v>96905</v>
      </c>
      <c r="D1308" s="2" t="s">
        <v>220</v>
      </c>
      <c r="E1308" s="15">
        <v>3404.6</v>
      </c>
      <c r="F1308" s="36" t="s">
        <v>129</v>
      </c>
      <c r="G1308" s="15">
        <v>3404.6</v>
      </c>
      <c r="H1308" s="15">
        <f t="shared" si="21"/>
        <v>0</v>
      </c>
      <c r="I1308" s="19"/>
    </row>
    <row r="1309" spans="1:9" x14ac:dyDescent="0.25">
      <c r="A1309" s="16">
        <v>42747</v>
      </c>
      <c r="B1309" s="17" t="s">
        <v>1616</v>
      </c>
      <c r="C1309" s="18">
        <v>96906</v>
      </c>
      <c r="D1309" s="2" t="s">
        <v>1197</v>
      </c>
      <c r="E1309" s="15">
        <v>1836</v>
      </c>
      <c r="F1309" s="36" t="s">
        <v>126</v>
      </c>
      <c r="G1309" s="15">
        <v>1836</v>
      </c>
      <c r="H1309" s="15">
        <f t="shared" si="21"/>
        <v>0</v>
      </c>
      <c r="I1309" s="19"/>
    </row>
    <row r="1310" spans="1:9" x14ac:dyDescent="0.25">
      <c r="A1310" s="16">
        <v>42747</v>
      </c>
      <c r="B1310" s="17" t="s">
        <v>1617</v>
      </c>
      <c r="C1310" s="18">
        <v>96907</v>
      </c>
      <c r="D1310" s="2" t="s">
        <v>211</v>
      </c>
      <c r="E1310" s="15">
        <v>8428.6</v>
      </c>
      <c r="F1310" s="36" t="s">
        <v>129</v>
      </c>
      <c r="G1310" s="15">
        <v>8428.6</v>
      </c>
      <c r="H1310" s="15">
        <f t="shared" si="21"/>
        <v>0</v>
      </c>
      <c r="I1310" s="19"/>
    </row>
    <row r="1311" spans="1:9" x14ac:dyDescent="0.25">
      <c r="A1311" s="16">
        <v>42747</v>
      </c>
      <c r="B1311" s="17" t="s">
        <v>1618</v>
      </c>
      <c r="C1311" s="18">
        <v>96908</v>
      </c>
      <c r="D1311" s="2" t="s">
        <v>214</v>
      </c>
      <c r="E1311" s="15">
        <v>4000</v>
      </c>
      <c r="F1311" s="36" t="s">
        <v>173</v>
      </c>
      <c r="G1311" s="15">
        <v>4000</v>
      </c>
      <c r="H1311" s="15">
        <f t="shared" si="21"/>
        <v>0</v>
      </c>
      <c r="I1311" s="19"/>
    </row>
    <row r="1312" spans="1:9" x14ac:dyDescent="0.25">
      <c r="A1312" s="16">
        <v>42748</v>
      </c>
      <c r="B1312" s="17" t="s">
        <v>1619</v>
      </c>
      <c r="C1312" s="18">
        <v>96909</v>
      </c>
      <c r="D1312" s="2" t="s">
        <v>231</v>
      </c>
      <c r="E1312" s="15">
        <v>11475</v>
      </c>
      <c r="F1312" s="36" t="s">
        <v>173</v>
      </c>
      <c r="G1312" s="15">
        <v>11475</v>
      </c>
      <c r="H1312" s="15">
        <f t="shared" si="21"/>
        <v>0</v>
      </c>
      <c r="I1312" s="19"/>
    </row>
    <row r="1313" spans="1:9" x14ac:dyDescent="0.25">
      <c r="A1313" s="16">
        <v>42748</v>
      </c>
      <c r="B1313" s="17" t="s">
        <v>1620</v>
      </c>
      <c r="C1313" s="18">
        <v>96910</v>
      </c>
      <c r="D1313" s="13" t="s">
        <v>231</v>
      </c>
      <c r="E1313" s="14">
        <v>0</v>
      </c>
      <c r="F1313" s="123" t="s">
        <v>95</v>
      </c>
      <c r="G1313" s="14">
        <v>0</v>
      </c>
      <c r="H1313" s="14">
        <f t="shared" si="21"/>
        <v>0</v>
      </c>
      <c r="I1313" s="19"/>
    </row>
    <row r="1314" spans="1:9" x14ac:dyDescent="0.25">
      <c r="A1314" s="16">
        <v>42748</v>
      </c>
      <c r="B1314" s="17" t="s">
        <v>1621</v>
      </c>
      <c r="C1314" s="18">
        <v>96911</v>
      </c>
      <c r="D1314" s="2" t="s">
        <v>231</v>
      </c>
      <c r="E1314" s="15">
        <v>49766.1</v>
      </c>
      <c r="F1314" s="36" t="s">
        <v>126</v>
      </c>
      <c r="G1314" s="15">
        <v>49766.1</v>
      </c>
      <c r="H1314" s="15">
        <f t="shared" si="21"/>
        <v>0</v>
      </c>
      <c r="I1314" s="26"/>
    </row>
    <row r="1315" spans="1:9" x14ac:dyDescent="0.25">
      <c r="A1315" s="16">
        <v>42748</v>
      </c>
      <c r="B1315" s="17" t="s">
        <v>1622</v>
      </c>
      <c r="C1315" s="18">
        <v>96912</v>
      </c>
      <c r="D1315" s="2" t="s">
        <v>26</v>
      </c>
      <c r="E1315" s="15">
        <v>17343.8</v>
      </c>
      <c r="F1315" s="36" t="s">
        <v>173</v>
      </c>
      <c r="G1315" s="15">
        <v>17343.8</v>
      </c>
      <c r="H1315" s="15">
        <f t="shared" si="21"/>
        <v>0</v>
      </c>
      <c r="I1315" s="19"/>
    </row>
    <row r="1316" spans="1:9" x14ac:dyDescent="0.25">
      <c r="A1316" s="16">
        <v>42748</v>
      </c>
      <c r="B1316" s="17" t="s">
        <v>1623</v>
      </c>
      <c r="C1316" s="18">
        <v>96913</v>
      </c>
      <c r="D1316" s="2" t="s">
        <v>55</v>
      </c>
      <c r="E1316" s="15">
        <v>10654</v>
      </c>
      <c r="F1316" s="126" t="s">
        <v>173</v>
      </c>
      <c r="G1316" s="23">
        <f>8000</f>
        <v>8000</v>
      </c>
      <c r="H1316" s="23">
        <f t="shared" si="21"/>
        <v>2654</v>
      </c>
      <c r="I1316" s="19"/>
    </row>
    <row r="1317" spans="1:9" x14ac:dyDescent="0.25">
      <c r="A1317" s="16">
        <v>42748</v>
      </c>
      <c r="B1317" s="17" t="s">
        <v>1624</v>
      </c>
      <c r="C1317" s="18">
        <v>96914</v>
      </c>
      <c r="D1317" s="2" t="s">
        <v>30</v>
      </c>
      <c r="E1317" s="15">
        <v>10843</v>
      </c>
      <c r="F1317" s="126" t="s">
        <v>126</v>
      </c>
      <c r="G1317" s="23">
        <f>2843</f>
        <v>2843</v>
      </c>
      <c r="H1317" s="23">
        <f t="shared" si="21"/>
        <v>8000</v>
      </c>
      <c r="I1317" s="19"/>
    </row>
    <row r="1318" spans="1:9" x14ac:dyDescent="0.25">
      <c r="A1318" s="16">
        <v>42748</v>
      </c>
      <c r="B1318" s="17" t="s">
        <v>1625</v>
      </c>
      <c r="C1318" s="18">
        <v>96915</v>
      </c>
      <c r="D1318" s="2" t="s">
        <v>30</v>
      </c>
      <c r="E1318" s="15">
        <v>15170</v>
      </c>
      <c r="F1318" s="36" t="s">
        <v>173</v>
      </c>
      <c r="G1318" s="15">
        <v>15170</v>
      </c>
      <c r="H1318" s="15">
        <f t="shared" si="21"/>
        <v>0</v>
      </c>
      <c r="I1318" s="19"/>
    </row>
    <row r="1319" spans="1:9" x14ac:dyDescent="0.25">
      <c r="A1319" s="16">
        <v>42748</v>
      </c>
      <c r="B1319" s="17" t="s">
        <v>1626</v>
      </c>
      <c r="C1319" s="18">
        <v>96916</v>
      </c>
      <c r="D1319" s="2" t="s">
        <v>40</v>
      </c>
      <c r="E1319" s="15">
        <v>3308.8</v>
      </c>
      <c r="F1319" s="36" t="s">
        <v>237</v>
      </c>
      <c r="G1319" s="15">
        <v>3308.8</v>
      </c>
      <c r="H1319" s="15">
        <f t="shared" si="21"/>
        <v>0</v>
      </c>
      <c r="I1319" s="19"/>
    </row>
    <row r="1320" spans="1:9" x14ac:dyDescent="0.25">
      <c r="A1320" s="16">
        <v>42748</v>
      </c>
      <c r="B1320" s="17" t="s">
        <v>1627</v>
      </c>
      <c r="C1320" s="18">
        <v>96917</v>
      </c>
      <c r="D1320" s="2" t="s">
        <v>32</v>
      </c>
      <c r="E1320" s="15">
        <v>6586</v>
      </c>
      <c r="F1320" s="36" t="s">
        <v>317</v>
      </c>
      <c r="G1320" s="15">
        <v>6586</v>
      </c>
      <c r="H1320" s="15">
        <f t="shared" si="21"/>
        <v>0</v>
      </c>
      <c r="I1320" s="19"/>
    </row>
    <row r="1321" spans="1:9" x14ac:dyDescent="0.25">
      <c r="A1321" s="16">
        <v>42748</v>
      </c>
      <c r="B1321" s="17" t="s">
        <v>1628</v>
      </c>
      <c r="C1321" s="18">
        <v>96918</v>
      </c>
      <c r="D1321" s="2" t="s">
        <v>541</v>
      </c>
      <c r="E1321" s="15">
        <v>3757.6</v>
      </c>
      <c r="F1321" s="126" t="s">
        <v>1346</v>
      </c>
      <c r="G1321" s="23">
        <f>1500+1000+1257.6</f>
        <v>3757.6</v>
      </c>
      <c r="H1321" s="23">
        <f t="shared" si="21"/>
        <v>0</v>
      </c>
      <c r="I1321" s="19"/>
    </row>
    <row r="1322" spans="1:9" x14ac:dyDescent="0.25">
      <c r="A1322" s="16">
        <v>42748</v>
      </c>
      <c r="B1322" s="17" t="s">
        <v>1629</v>
      </c>
      <c r="C1322" s="18">
        <v>96919</v>
      </c>
      <c r="D1322" s="2" t="s">
        <v>974</v>
      </c>
      <c r="E1322" s="15">
        <v>10185</v>
      </c>
      <c r="F1322" s="36" t="s">
        <v>173</v>
      </c>
      <c r="G1322" s="15">
        <v>10185</v>
      </c>
      <c r="H1322" s="15">
        <f t="shared" si="21"/>
        <v>0</v>
      </c>
      <c r="I1322" s="19"/>
    </row>
    <row r="1323" spans="1:9" x14ac:dyDescent="0.25">
      <c r="A1323" s="16">
        <v>42748</v>
      </c>
      <c r="B1323" s="17" t="s">
        <v>1630</v>
      </c>
      <c r="C1323" s="18">
        <v>96920</v>
      </c>
      <c r="D1323" s="2" t="s">
        <v>218</v>
      </c>
      <c r="E1323" s="15">
        <v>109750.35</v>
      </c>
      <c r="F1323" s="36" t="s">
        <v>307</v>
      </c>
      <c r="G1323" s="15">
        <v>109750.35</v>
      </c>
      <c r="H1323" s="15">
        <f t="shared" si="21"/>
        <v>0</v>
      </c>
      <c r="I1323" s="19"/>
    </row>
    <row r="1324" spans="1:9" x14ac:dyDescent="0.25">
      <c r="A1324" s="16">
        <v>42748</v>
      </c>
      <c r="B1324" s="17" t="s">
        <v>1631</v>
      </c>
      <c r="C1324" s="18">
        <v>96921</v>
      </c>
      <c r="D1324" s="2" t="s">
        <v>49</v>
      </c>
      <c r="E1324" s="15">
        <v>15725.6</v>
      </c>
      <c r="F1324" s="124" t="s">
        <v>1632</v>
      </c>
      <c r="G1324" s="20">
        <f>8999.6+6726</f>
        <v>15725.6</v>
      </c>
      <c r="H1324" s="20">
        <f t="shared" si="21"/>
        <v>0</v>
      </c>
      <c r="I1324" s="19"/>
    </row>
    <row r="1325" spans="1:9" x14ac:dyDescent="0.25">
      <c r="A1325" s="16">
        <v>42748</v>
      </c>
      <c r="B1325" s="17" t="s">
        <v>1633</v>
      </c>
      <c r="C1325" s="18">
        <v>96922</v>
      </c>
      <c r="D1325" s="2" t="s">
        <v>1634</v>
      </c>
      <c r="E1325" s="15">
        <v>3793.2</v>
      </c>
      <c r="F1325" s="36" t="s">
        <v>173</v>
      </c>
      <c r="G1325" s="15">
        <v>3793.2</v>
      </c>
      <c r="H1325" s="15">
        <f t="shared" si="21"/>
        <v>0</v>
      </c>
      <c r="I1325" s="19"/>
    </row>
    <row r="1326" spans="1:9" x14ac:dyDescent="0.25">
      <c r="A1326" s="16">
        <v>42748</v>
      </c>
      <c r="B1326" s="17" t="s">
        <v>1635</v>
      </c>
      <c r="C1326" s="18">
        <v>96923</v>
      </c>
      <c r="D1326" s="2" t="s">
        <v>51</v>
      </c>
      <c r="E1326" s="15">
        <v>2011.4</v>
      </c>
      <c r="F1326" s="36" t="s">
        <v>126</v>
      </c>
      <c r="G1326" s="15">
        <v>2011.4</v>
      </c>
      <c r="H1326" s="15">
        <f t="shared" si="21"/>
        <v>0</v>
      </c>
      <c r="I1326" s="19"/>
    </row>
    <row r="1327" spans="1:9" x14ac:dyDescent="0.25">
      <c r="A1327" s="16">
        <v>42748</v>
      </c>
      <c r="B1327" s="17" t="s">
        <v>1636</v>
      </c>
      <c r="C1327" s="18">
        <v>96924</v>
      </c>
      <c r="D1327" s="2" t="s">
        <v>28</v>
      </c>
      <c r="E1327" s="15">
        <v>18920</v>
      </c>
      <c r="F1327" s="36" t="s">
        <v>173</v>
      </c>
      <c r="G1327" s="15">
        <v>18920</v>
      </c>
      <c r="H1327" s="15">
        <f t="shared" si="21"/>
        <v>0</v>
      </c>
      <c r="I1327" s="19"/>
    </row>
    <row r="1328" spans="1:9" x14ac:dyDescent="0.25">
      <c r="A1328" s="16">
        <v>42748</v>
      </c>
      <c r="B1328" s="17" t="s">
        <v>1637</v>
      </c>
      <c r="C1328" s="18">
        <v>96925</v>
      </c>
      <c r="D1328" s="2" t="s">
        <v>253</v>
      </c>
      <c r="E1328" s="15">
        <v>800.6</v>
      </c>
      <c r="F1328" s="36" t="s">
        <v>511</v>
      </c>
      <c r="G1328" s="15">
        <v>800.6</v>
      </c>
      <c r="H1328" s="15">
        <f t="shared" si="21"/>
        <v>0</v>
      </c>
      <c r="I1328" s="19"/>
    </row>
    <row r="1329" spans="1:9" x14ac:dyDescent="0.25">
      <c r="A1329" s="16">
        <v>42748</v>
      </c>
      <c r="B1329" s="17" t="s">
        <v>1638</v>
      </c>
      <c r="C1329" s="18">
        <v>96926</v>
      </c>
      <c r="D1329" s="2" t="s">
        <v>428</v>
      </c>
      <c r="E1329" s="15">
        <v>5304.6</v>
      </c>
      <c r="F1329" s="36" t="s">
        <v>511</v>
      </c>
      <c r="G1329" s="15">
        <v>5304.6</v>
      </c>
      <c r="H1329" s="15">
        <f t="shared" si="21"/>
        <v>0</v>
      </c>
      <c r="I1329" s="19"/>
    </row>
    <row r="1330" spans="1:9" x14ac:dyDescent="0.25">
      <c r="A1330" s="16">
        <v>42748</v>
      </c>
      <c r="B1330" s="17" t="s">
        <v>1639</v>
      </c>
      <c r="C1330" s="18">
        <v>96927</v>
      </c>
      <c r="D1330" s="2" t="s">
        <v>457</v>
      </c>
      <c r="E1330" s="15">
        <v>4136</v>
      </c>
      <c r="F1330" s="36" t="s">
        <v>173</v>
      </c>
      <c r="G1330" s="15">
        <v>4136</v>
      </c>
      <c r="H1330" s="15">
        <f t="shared" si="21"/>
        <v>0</v>
      </c>
      <c r="I1330" s="19"/>
    </row>
    <row r="1331" spans="1:9" x14ac:dyDescent="0.25">
      <c r="A1331" s="16">
        <v>42748</v>
      </c>
      <c r="B1331" s="17" t="s">
        <v>1640</v>
      </c>
      <c r="C1331" s="18">
        <v>96928</v>
      </c>
      <c r="D1331" s="2" t="s">
        <v>69</v>
      </c>
      <c r="E1331" s="15">
        <v>3443</v>
      </c>
      <c r="F1331" s="36" t="s">
        <v>173</v>
      </c>
      <c r="G1331" s="15">
        <v>3443</v>
      </c>
      <c r="H1331" s="15">
        <f t="shared" si="21"/>
        <v>0</v>
      </c>
      <c r="I1331" s="19"/>
    </row>
    <row r="1332" spans="1:9" x14ac:dyDescent="0.25">
      <c r="A1332" s="16">
        <v>42748</v>
      </c>
      <c r="B1332" s="17" t="s">
        <v>1641</v>
      </c>
      <c r="C1332" s="18">
        <v>96929</v>
      </c>
      <c r="D1332" s="2" t="s">
        <v>186</v>
      </c>
      <c r="E1332" s="15">
        <v>3461.4</v>
      </c>
      <c r="F1332" s="36" t="s">
        <v>237</v>
      </c>
      <c r="G1332" s="15">
        <v>3461.4</v>
      </c>
      <c r="H1332" s="15">
        <f t="shared" si="21"/>
        <v>0</v>
      </c>
      <c r="I1332" s="19"/>
    </row>
    <row r="1333" spans="1:9" x14ac:dyDescent="0.25">
      <c r="A1333" s="16">
        <v>42748</v>
      </c>
      <c r="B1333" s="17" t="s">
        <v>1642</v>
      </c>
      <c r="C1333" s="18">
        <v>96930</v>
      </c>
      <c r="D1333" s="2" t="s">
        <v>184</v>
      </c>
      <c r="E1333" s="15">
        <v>1501.5</v>
      </c>
      <c r="F1333" s="36" t="s">
        <v>173</v>
      </c>
      <c r="G1333" s="15">
        <v>1501.5</v>
      </c>
      <c r="H1333" s="15">
        <f t="shared" si="21"/>
        <v>0</v>
      </c>
      <c r="I1333" s="19"/>
    </row>
    <row r="1334" spans="1:9" x14ac:dyDescent="0.25">
      <c r="A1334" s="16">
        <v>42748</v>
      </c>
      <c r="B1334" s="17" t="s">
        <v>1643</v>
      </c>
      <c r="C1334" s="18">
        <v>96931</v>
      </c>
      <c r="D1334" s="2" t="s">
        <v>35</v>
      </c>
      <c r="E1334" s="15">
        <v>18978.599999999999</v>
      </c>
      <c r="F1334" s="124" t="s">
        <v>1475</v>
      </c>
      <c r="G1334" s="20">
        <f>11000+1000+6978.6</f>
        <v>18978.599999999999</v>
      </c>
      <c r="H1334" s="20">
        <f t="shared" si="21"/>
        <v>0</v>
      </c>
      <c r="I1334" s="19"/>
    </row>
    <row r="1335" spans="1:9" x14ac:dyDescent="0.25">
      <c r="A1335" s="16">
        <v>42748</v>
      </c>
      <c r="B1335" s="17" t="s">
        <v>1644</v>
      </c>
      <c r="C1335" s="18">
        <v>96932</v>
      </c>
      <c r="D1335" s="2" t="s">
        <v>1645</v>
      </c>
      <c r="E1335" s="15">
        <v>2468.1999999999998</v>
      </c>
      <c r="F1335" s="36" t="s">
        <v>173</v>
      </c>
      <c r="G1335" s="15">
        <v>2468.1999999999998</v>
      </c>
      <c r="H1335" s="15">
        <f t="shared" si="21"/>
        <v>0</v>
      </c>
      <c r="I1335" s="19"/>
    </row>
    <row r="1336" spans="1:9" x14ac:dyDescent="0.25">
      <c r="A1336" s="16">
        <v>42748</v>
      </c>
      <c r="B1336" s="17" t="s">
        <v>1646</v>
      </c>
      <c r="C1336" s="18">
        <v>96933</v>
      </c>
      <c r="D1336" s="2" t="s">
        <v>43</v>
      </c>
      <c r="E1336" s="15">
        <v>2174</v>
      </c>
      <c r="F1336" s="36" t="s">
        <v>126</v>
      </c>
      <c r="G1336" s="15">
        <v>2174</v>
      </c>
      <c r="H1336" s="15">
        <f t="shared" si="21"/>
        <v>0</v>
      </c>
      <c r="I1336" s="19"/>
    </row>
    <row r="1337" spans="1:9" x14ac:dyDescent="0.25">
      <c r="A1337" s="16">
        <v>42748</v>
      </c>
      <c r="B1337" s="17" t="s">
        <v>1647</v>
      </c>
      <c r="C1337" s="18">
        <v>96934</v>
      </c>
      <c r="D1337" s="2" t="s">
        <v>793</v>
      </c>
      <c r="E1337" s="15">
        <v>1608</v>
      </c>
      <c r="F1337" s="36" t="s">
        <v>173</v>
      </c>
      <c r="G1337" s="15">
        <v>1608</v>
      </c>
      <c r="H1337" s="15">
        <f t="shared" si="21"/>
        <v>0</v>
      </c>
      <c r="I1337" s="19"/>
    </row>
    <row r="1338" spans="1:9" x14ac:dyDescent="0.25">
      <c r="A1338" s="16">
        <v>42748</v>
      </c>
      <c r="B1338" s="17" t="s">
        <v>1648</v>
      </c>
      <c r="C1338" s="18">
        <v>96935</v>
      </c>
      <c r="D1338" s="2" t="s">
        <v>576</v>
      </c>
      <c r="E1338" s="15">
        <v>4094</v>
      </c>
      <c r="F1338" s="36" t="s">
        <v>126</v>
      </c>
      <c r="G1338" s="15">
        <v>4094</v>
      </c>
      <c r="H1338" s="15">
        <f t="shared" si="21"/>
        <v>0</v>
      </c>
      <c r="I1338" s="19"/>
    </row>
    <row r="1339" spans="1:9" x14ac:dyDescent="0.25">
      <c r="A1339" s="16">
        <v>42748</v>
      </c>
      <c r="B1339" s="17" t="s">
        <v>1649</v>
      </c>
      <c r="C1339" s="18">
        <v>96936</v>
      </c>
      <c r="D1339" s="2" t="s">
        <v>17</v>
      </c>
      <c r="E1339" s="15">
        <v>1840</v>
      </c>
      <c r="F1339" s="124" t="s">
        <v>173</v>
      </c>
      <c r="G1339" s="20">
        <f>1500+340</f>
        <v>1840</v>
      </c>
      <c r="H1339" s="20">
        <f t="shared" si="21"/>
        <v>0</v>
      </c>
      <c r="I1339" s="19"/>
    </row>
    <row r="1340" spans="1:9" x14ac:dyDescent="0.25">
      <c r="A1340" s="16">
        <v>42748</v>
      </c>
      <c r="B1340" s="17" t="s">
        <v>1650</v>
      </c>
      <c r="C1340" s="18">
        <v>96937</v>
      </c>
      <c r="D1340" s="2" t="s">
        <v>71</v>
      </c>
      <c r="E1340" s="15">
        <v>3080</v>
      </c>
      <c r="F1340" s="36" t="s">
        <v>173</v>
      </c>
      <c r="G1340" s="15">
        <v>3080</v>
      </c>
      <c r="H1340" s="15">
        <f t="shared" si="21"/>
        <v>0</v>
      </c>
      <c r="I1340" s="19"/>
    </row>
    <row r="1341" spans="1:9" x14ac:dyDescent="0.25">
      <c r="A1341" s="16">
        <v>42748</v>
      </c>
      <c r="B1341" s="17" t="s">
        <v>1651</v>
      </c>
      <c r="C1341" s="18">
        <v>96938</v>
      </c>
      <c r="D1341" s="2" t="s">
        <v>19</v>
      </c>
      <c r="E1341" s="15">
        <v>2300</v>
      </c>
      <c r="F1341" s="36" t="s">
        <v>173</v>
      </c>
      <c r="G1341" s="15">
        <v>2300</v>
      </c>
      <c r="H1341" s="15">
        <f t="shared" si="21"/>
        <v>0</v>
      </c>
      <c r="I1341" s="19"/>
    </row>
    <row r="1342" spans="1:9" x14ac:dyDescent="0.25">
      <c r="A1342" s="16">
        <v>42748</v>
      </c>
      <c r="B1342" s="17" t="s">
        <v>1652</v>
      </c>
      <c r="C1342" s="18">
        <v>96939</v>
      </c>
      <c r="D1342" s="2" t="s">
        <v>57</v>
      </c>
      <c r="E1342" s="15">
        <v>552</v>
      </c>
      <c r="F1342" s="36" t="s">
        <v>173</v>
      </c>
      <c r="G1342" s="15">
        <v>552</v>
      </c>
      <c r="H1342" s="15">
        <f t="shared" si="21"/>
        <v>0</v>
      </c>
      <c r="I1342" s="19"/>
    </row>
    <row r="1343" spans="1:9" x14ac:dyDescent="0.25">
      <c r="A1343" s="16">
        <v>42748</v>
      </c>
      <c r="B1343" s="17" t="s">
        <v>1653</v>
      </c>
      <c r="C1343" s="18">
        <v>96940</v>
      </c>
      <c r="D1343" s="2" t="s">
        <v>67</v>
      </c>
      <c r="E1343" s="15">
        <v>4907</v>
      </c>
      <c r="F1343" s="36" t="s">
        <v>801</v>
      </c>
      <c r="G1343" s="15">
        <v>4907</v>
      </c>
      <c r="H1343" s="15">
        <f t="shared" si="21"/>
        <v>0</v>
      </c>
      <c r="I1343" s="19"/>
    </row>
    <row r="1344" spans="1:9" x14ac:dyDescent="0.25">
      <c r="A1344" s="16">
        <v>42748</v>
      </c>
      <c r="B1344" s="17" t="s">
        <v>1654</v>
      </c>
      <c r="C1344" s="18">
        <v>96941</v>
      </c>
      <c r="D1344" s="2" t="s">
        <v>1116</v>
      </c>
      <c r="E1344" s="15">
        <v>1286.7</v>
      </c>
      <c r="F1344" s="36" t="s">
        <v>173</v>
      </c>
      <c r="G1344" s="15">
        <v>1286.7</v>
      </c>
      <c r="H1344" s="15">
        <f t="shared" si="21"/>
        <v>0</v>
      </c>
      <c r="I1344" s="19"/>
    </row>
    <row r="1345" spans="1:9" x14ac:dyDescent="0.25">
      <c r="A1345" s="16">
        <v>42748</v>
      </c>
      <c r="B1345" s="17" t="s">
        <v>1655</v>
      </c>
      <c r="C1345" s="18">
        <v>96942</v>
      </c>
      <c r="D1345" s="13" t="s">
        <v>270</v>
      </c>
      <c r="E1345" s="14">
        <v>0</v>
      </c>
      <c r="F1345" s="123" t="s">
        <v>95</v>
      </c>
      <c r="G1345" s="14">
        <v>0</v>
      </c>
      <c r="H1345" s="14">
        <f t="shared" si="21"/>
        <v>0</v>
      </c>
      <c r="I1345" s="19"/>
    </row>
    <row r="1346" spans="1:9" x14ac:dyDescent="0.25">
      <c r="A1346" s="16">
        <v>42748</v>
      </c>
      <c r="B1346" s="17" t="s">
        <v>1656</v>
      </c>
      <c r="C1346" s="18">
        <v>96943</v>
      </c>
      <c r="D1346" s="2" t="s">
        <v>270</v>
      </c>
      <c r="E1346" s="15">
        <v>35418.699999999997</v>
      </c>
      <c r="F1346" s="36" t="s">
        <v>317</v>
      </c>
      <c r="G1346" s="15">
        <v>35418.699999999997</v>
      </c>
      <c r="H1346" s="15">
        <f t="shared" si="21"/>
        <v>0</v>
      </c>
      <c r="I1346" s="19"/>
    </row>
    <row r="1347" spans="1:9" x14ac:dyDescent="0.25">
      <c r="A1347" s="16">
        <v>42748</v>
      </c>
      <c r="B1347" s="17" t="s">
        <v>1657</v>
      </c>
      <c r="C1347" s="18">
        <v>96944</v>
      </c>
      <c r="D1347" s="2" t="s">
        <v>45</v>
      </c>
      <c r="E1347" s="15">
        <v>1368.4</v>
      </c>
      <c r="F1347" s="36" t="s">
        <v>173</v>
      </c>
      <c r="G1347" s="15">
        <v>1368.4</v>
      </c>
      <c r="H1347" s="15">
        <f t="shared" si="21"/>
        <v>0</v>
      </c>
      <c r="I1347" s="19"/>
    </row>
    <row r="1348" spans="1:9" x14ac:dyDescent="0.25">
      <c r="A1348" s="16">
        <v>42748</v>
      </c>
      <c r="B1348" s="17" t="s">
        <v>1658</v>
      </c>
      <c r="C1348" s="18">
        <v>96945</v>
      </c>
      <c r="D1348" s="2" t="s">
        <v>178</v>
      </c>
      <c r="E1348" s="15">
        <v>2923.4</v>
      </c>
      <c r="F1348" s="36" t="s">
        <v>173</v>
      </c>
      <c r="G1348" s="15">
        <v>2923.4</v>
      </c>
      <c r="H1348" s="15">
        <f t="shared" si="21"/>
        <v>0</v>
      </c>
      <c r="I1348" s="19"/>
    </row>
    <row r="1349" spans="1:9" x14ac:dyDescent="0.25">
      <c r="A1349" s="16">
        <v>42748</v>
      </c>
      <c r="B1349" s="17" t="s">
        <v>1659</v>
      </c>
      <c r="C1349" s="18">
        <v>96946</v>
      </c>
      <c r="D1349" s="2" t="s">
        <v>53</v>
      </c>
      <c r="E1349" s="15">
        <v>2631.2</v>
      </c>
      <c r="F1349" s="36" t="s">
        <v>173</v>
      </c>
      <c r="G1349" s="15">
        <v>2631.2</v>
      </c>
      <c r="H1349" s="15">
        <f t="shared" si="21"/>
        <v>0</v>
      </c>
      <c r="I1349" s="19"/>
    </row>
    <row r="1350" spans="1:9" x14ac:dyDescent="0.25">
      <c r="A1350" s="16">
        <v>42748</v>
      </c>
      <c r="B1350" s="17" t="s">
        <v>1660</v>
      </c>
      <c r="C1350" s="18">
        <v>96947</v>
      </c>
      <c r="D1350" s="2" t="s">
        <v>113</v>
      </c>
      <c r="E1350" s="15">
        <v>2060.4</v>
      </c>
      <c r="F1350" s="36" t="s">
        <v>173</v>
      </c>
      <c r="G1350" s="15">
        <v>2060.4</v>
      </c>
      <c r="H1350" s="15">
        <f t="shared" ref="H1350:H1413" si="22">E1350-G1350</f>
        <v>0</v>
      </c>
      <c r="I1350" s="19"/>
    </row>
    <row r="1351" spans="1:9" x14ac:dyDescent="0.25">
      <c r="A1351" s="16">
        <v>42748</v>
      </c>
      <c r="B1351" s="17" t="s">
        <v>1661</v>
      </c>
      <c r="C1351" s="18">
        <v>96948</v>
      </c>
      <c r="D1351" s="2" t="s">
        <v>79</v>
      </c>
      <c r="E1351" s="15">
        <v>3337.2</v>
      </c>
      <c r="F1351" s="36" t="s">
        <v>173</v>
      </c>
      <c r="G1351" s="15">
        <v>3337.2</v>
      </c>
      <c r="H1351" s="15">
        <f t="shared" si="22"/>
        <v>0</v>
      </c>
      <c r="I1351" s="19"/>
    </row>
    <row r="1352" spans="1:9" x14ac:dyDescent="0.25">
      <c r="A1352" s="16">
        <v>42748</v>
      </c>
      <c r="B1352" s="17" t="s">
        <v>1662</v>
      </c>
      <c r="C1352" s="18">
        <v>96949</v>
      </c>
      <c r="D1352" s="2" t="s">
        <v>1090</v>
      </c>
      <c r="E1352" s="15">
        <v>6411.8</v>
      </c>
      <c r="F1352" s="36" t="s">
        <v>173</v>
      </c>
      <c r="G1352" s="15">
        <v>6411.8</v>
      </c>
      <c r="H1352" s="15">
        <f t="shared" si="22"/>
        <v>0</v>
      </c>
      <c r="I1352" s="19"/>
    </row>
    <row r="1353" spans="1:9" x14ac:dyDescent="0.25">
      <c r="A1353" s="16">
        <v>42748</v>
      </c>
      <c r="B1353" s="17" t="s">
        <v>1663</v>
      </c>
      <c r="C1353" s="18">
        <v>96950</v>
      </c>
      <c r="D1353" s="2" t="s">
        <v>47</v>
      </c>
      <c r="E1353" s="15">
        <v>4068.3</v>
      </c>
      <c r="F1353" s="36" t="s">
        <v>173</v>
      </c>
      <c r="G1353" s="15">
        <v>4068.3</v>
      </c>
      <c r="H1353" s="15">
        <f t="shared" si="22"/>
        <v>0</v>
      </c>
      <c r="I1353" s="19"/>
    </row>
    <row r="1354" spans="1:9" x14ac:dyDescent="0.25">
      <c r="A1354" s="16">
        <v>42748</v>
      </c>
      <c r="B1354" s="17" t="s">
        <v>1664</v>
      </c>
      <c r="C1354" s="18">
        <v>96951</v>
      </c>
      <c r="D1354" s="2" t="s">
        <v>432</v>
      </c>
      <c r="E1354" s="15">
        <v>17581.5</v>
      </c>
      <c r="F1354" s="36" t="s">
        <v>317</v>
      </c>
      <c r="G1354" s="15">
        <v>17581.5</v>
      </c>
      <c r="H1354" s="15">
        <f t="shared" si="22"/>
        <v>0</v>
      </c>
      <c r="I1354" s="19"/>
    </row>
    <row r="1355" spans="1:9" x14ac:dyDescent="0.25">
      <c r="A1355" s="16">
        <v>42748</v>
      </c>
      <c r="B1355" s="17" t="s">
        <v>1665</v>
      </c>
      <c r="C1355" s="18">
        <v>96952</v>
      </c>
      <c r="D1355" s="2" t="s">
        <v>1666</v>
      </c>
      <c r="E1355" s="15">
        <v>17797.5</v>
      </c>
      <c r="F1355" s="36" t="s">
        <v>317</v>
      </c>
      <c r="G1355" s="15">
        <v>17797.5</v>
      </c>
      <c r="H1355" s="15">
        <f t="shared" si="22"/>
        <v>0</v>
      </c>
      <c r="I1355" s="19"/>
    </row>
    <row r="1356" spans="1:9" x14ac:dyDescent="0.25">
      <c r="A1356" s="16">
        <v>42748</v>
      </c>
      <c r="B1356" s="17" t="s">
        <v>1667</v>
      </c>
      <c r="C1356" s="18">
        <v>96953</v>
      </c>
      <c r="D1356" s="13" t="s">
        <v>430</v>
      </c>
      <c r="E1356" s="14">
        <v>0</v>
      </c>
      <c r="F1356" s="123" t="s">
        <v>95</v>
      </c>
      <c r="G1356" s="14">
        <v>0</v>
      </c>
      <c r="H1356" s="14">
        <f t="shared" si="22"/>
        <v>0</v>
      </c>
      <c r="I1356" s="19"/>
    </row>
    <row r="1357" spans="1:9" x14ac:dyDescent="0.25">
      <c r="A1357" s="16">
        <v>42748</v>
      </c>
      <c r="B1357" s="17" t="s">
        <v>1668</v>
      </c>
      <c r="C1357" s="18">
        <v>96954</v>
      </c>
      <c r="D1357" s="2" t="s">
        <v>430</v>
      </c>
      <c r="E1357" s="15">
        <v>1209.8</v>
      </c>
      <c r="F1357" s="36" t="s">
        <v>173</v>
      </c>
      <c r="G1357" s="15">
        <v>1209.8</v>
      </c>
      <c r="H1357" s="15">
        <f t="shared" si="22"/>
        <v>0</v>
      </c>
      <c r="I1357" s="19"/>
    </row>
    <row r="1358" spans="1:9" x14ac:dyDescent="0.25">
      <c r="A1358" s="16">
        <v>42748</v>
      </c>
      <c r="B1358" s="17" t="s">
        <v>1669</v>
      </c>
      <c r="C1358" s="18">
        <v>96955</v>
      </c>
      <c r="D1358" s="2" t="s">
        <v>272</v>
      </c>
      <c r="E1358" s="15">
        <v>3537.6</v>
      </c>
      <c r="F1358" s="36" t="s">
        <v>317</v>
      </c>
      <c r="G1358" s="15">
        <v>3537.6</v>
      </c>
      <c r="H1358" s="15">
        <f t="shared" si="22"/>
        <v>0</v>
      </c>
      <c r="I1358" s="19"/>
    </row>
    <row r="1359" spans="1:9" x14ac:dyDescent="0.25">
      <c r="A1359" s="16">
        <v>42748</v>
      </c>
      <c r="B1359" s="17" t="s">
        <v>1670</v>
      </c>
      <c r="C1359" s="18">
        <v>96956</v>
      </c>
      <c r="D1359" s="2" t="s">
        <v>876</v>
      </c>
      <c r="E1359" s="15">
        <v>3819.2</v>
      </c>
      <c r="F1359" s="36" t="s">
        <v>317</v>
      </c>
      <c r="G1359" s="15">
        <v>3819.2</v>
      </c>
      <c r="H1359" s="15">
        <f t="shared" si="22"/>
        <v>0</v>
      </c>
      <c r="I1359" s="19"/>
    </row>
    <row r="1360" spans="1:9" x14ac:dyDescent="0.25">
      <c r="A1360" s="16">
        <v>42748</v>
      </c>
      <c r="B1360" s="17" t="s">
        <v>1671</v>
      </c>
      <c r="C1360" s="18">
        <v>96957</v>
      </c>
      <c r="D1360" s="2" t="s">
        <v>442</v>
      </c>
      <c r="E1360" s="15">
        <v>15342.8</v>
      </c>
      <c r="F1360" s="36" t="s">
        <v>317</v>
      </c>
      <c r="G1360" s="15">
        <v>15342.8</v>
      </c>
      <c r="H1360" s="15">
        <f t="shared" si="22"/>
        <v>0</v>
      </c>
      <c r="I1360" s="19"/>
    </row>
    <row r="1361" spans="1:9" x14ac:dyDescent="0.25">
      <c r="A1361" s="16">
        <v>42748</v>
      </c>
      <c r="B1361" s="17" t="s">
        <v>1672</v>
      </c>
      <c r="C1361" s="18">
        <v>96958</v>
      </c>
      <c r="D1361" s="2" t="s">
        <v>285</v>
      </c>
      <c r="E1361" s="15">
        <v>5799.1</v>
      </c>
      <c r="F1361" s="36" t="s">
        <v>224</v>
      </c>
      <c r="G1361" s="15">
        <v>5799.1</v>
      </c>
      <c r="H1361" s="15">
        <f t="shared" si="22"/>
        <v>0</v>
      </c>
      <c r="I1361" s="19"/>
    </row>
    <row r="1362" spans="1:9" x14ac:dyDescent="0.25">
      <c r="A1362" s="16">
        <v>42748</v>
      </c>
      <c r="B1362" s="17" t="s">
        <v>1673</v>
      </c>
      <c r="C1362" s="18">
        <v>96959</v>
      </c>
      <c r="D1362" s="2" t="s">
        <v>862</v>
      </c>
      <c r="E1362" s="15">
        <v>4474.6000000000004</v>
      </c>
      <c r="F1362" s="36" t="s">
        <v>173</v>
      </c>
      <c r="G1362" s="15">
        <v>4474.6000000000004</v>
      </c>
      <c r="H1362" s="15">
        <f t="shared" si="22"/>
        <v>0</v>
      </c>
      <c r="I1362" s="19"/>
    </row>
    <row r="1363" spans="1:9" x14ac:dyDescent="0.25">
      <c r="A1363" s="16">
        <v>42748</v>
      </c>
      <c r="B1363" s="17" t="s">
        <v>1674</v>
      </c>
      <c r="C1363" s="18">
        <v>96960</v>
      </c>
      <c r="D1363" s="2" t="s">
        <v>356</v>
      </c>
      <c r="E1363" s="15">
        <v>8059.5</v>
      </c>
      <c r="F1363" s="36" t="s">
        <v>173</v>
      </c>
      <c r="G1363" s="15">
        <v>8059.5</v>
      </c>
      <c r="H1363" s="15">
        <f t="shared" si="22"/>
        <v>0</v>
      </c>
      <c r="I1363" s="19"/>
    </row>
    <row r="1364" spans="1:9" x14ac:dyDescent="0.25">
      <c r="A1364" s="16">
        <v>42748</v>
      </c>
      <c r="B1364" s="17" t="s">
        <v>1675</v>
      </c>
      <c r="C1364" s="18">
        <v>96961</v>
      </c>
      <c r="D1364" s="2" t="s">
        <v>268</v>
      </c>
      <c r="E1364" s="15">
        <v>37297.4</v>
      </c>
      <c r="F1364" s="36" t="s">
        <v>317</v>
      </c>
      <c r="G1364" s="15">
        <v>37297.4</v>
      </c>
      <c r="H1364" s="15">
        <f t="shared" si="22"/>
        <v>0</v>
      </c>
      <c r="I1364" s="19"/>
    </row>
    <row r="1365" spans="1:9" x14ac:dyDescent="0.25">
      <c r="A1365" s="16">
        <v>42748</v>
      </c>
      <c r="B1365" s="17" t="s">
        <v>1676</v>
      </c>
      <c r="C1365" s="18">
        <v>96962</v>
      </c>
      <c r="D1365" s="2" t="s">
        <v>30</v>
      </c>
      <c r="E1365" s="15">
        <v>1934</v>
      </c>
      <c r="F1365" s="36" t="s">
        <v>173</v>
      </c>
      <c r="G1365" s="15">
        <v>1934</v>
      </c>
      <c r="H1365" s="15">
        <f t="shared" si="22"/>
        <v>0</v>
      </c>
      <c r="I1365" s="19"/>
    </row>
    <row r="1366" spans="1:9" x14ac:dyDescent="0.25">
      <c r="A1366" s="16">
        <v>42748</v>
      </c>
      <c r="B1366" s="17" t="s">
        <v>1677</v>
      </c>
      <c r="C1366" s="18">
        <v>96963</v>
      </c>
      <c r="D1366" s="2" t="s">
        <v>30</v>
      </c>
      <c r="E1366" s="15">
        <v>1067.2</v>
      </c>
      <c r="F1366" s="36" t="s">
        <v>173</v>
      </c>
      <c r="G1366" s="15">
        <v>1067.2</v>
      </c>
      <c r="H1366" s="15">
        <f t="shared" si="22"/>
        <v>0</v>
      </c>
      <c r="I1366" s="19"/>
    </row>
    <row r="1367" spans="1:9" x14ac:dyDescent="0.25">
      <c r="A1367" s="16">
        <v>42748</v>
      </c>
      <c r="B1367" s="17" t="s">
        <v>1678</v>
      </c>
      <c r="C1367" s="18">
        <v>96964</v>
      </c>
      <c r="D1367" s="2" t="s">
        <v>30</v>
      </c>
      <c r="E1367" s="15">
        <v>607.20000000000005</v>
      </c>
      <c r="F1367" s="36" t="s">
        <v>173</v>
      </c>
      <c r="G1367" s="15">
        <v>607.20000000000005</v>
      </c>
      <c r="H1367" s="15">
        <f t="shared" si="22"/>
        <v>0</v>
      </c>
      <c r="I1367" s="19"/>
    </row>
    <row r="1368" spans="1:9" x14ac:dyDescent="0.25">
      <c r="A1368" s="16">
        <v>42748</v>
      </c>
      <c r="B1368" s="17" t="s">
        <v>1679</v>
      </c>
      <c r="C1368" s="18">
        <v>96965</v>
      </c>
      <c r="D1368" s="2" t="s">
        <v>590</v>
      </c>
      <c r="E1368" s="15">
        <v>7483.4</v>
      </c>
      <c r="F1368" s="36" t="s">
        <v>317</v>
      </c>
      <c r="G1368" s="15">
        <v>7483.4</v>
      </c>
      <c r="H1368" s="15">
        <f t="shared" si="22"/>
        <v>0</v>
      </c>
      <c r="I1368" s="19"/>
    </row>
    <row r="1369" spans="1:9" x14ac:dyDescent="0.25">
      <c r="A1369" s="16">
        <v>42748</v>
      </c>
      <c r="B1369" s="17" t="s">
        <v>1680</v>
      </c>
      <c r="C1369" s="18">
        <v>96966</v>
      </c>
      <c r="D1369" s="2" t="s">
        <v>773</v>
      </c>
      <c r="E1369" s="15">
        <v>6338.2</v>
      </c>
      <c r="F1369" s="36" t="s">
        <v>173</v>
      </c>
      <c r="G1369" s="15">
        <v>6338.2</v>
      </c>
      <c r="H1369" s="15">
        <f t="shared" si="22"/>
        <v>0</v>
      </c>
      <c r="I1369" s="19"/>
    </row>
    <row r="1370" spans="1:9" x14ac:dyDescent="0.25">
      <c r="A1370" s="16">
        <v>42748</v>
      </c>
      <c r="B1370" s="17" t="s">
        <v>1681</v>
      </c>
      <c r="C1370" s="18">
        <v>96967</v>
      </c>
      <c r="D1370" s="2" t="s">
        <v>151</v>
      </c>
      <c r="E1370" s="15">
        <v>19502</v>
      </c>
      <c r="F1370" s="36" t="s">
        <v>173</v>
      </c>
      <c r="G1370" s="15">
        <v>19502</v>
      </c>
      <c r="H1370" s="15">
        <f t="shared" si="22"/>
        <v>0</v>
      </c>
      <c r="I1370" s="19"/>
    </row>
    <row r="1371" spans="1:9" x14ac:dyDescent="0.25">
      <c r="A1371" s="16">
        <v>42748</v>
      </c>
      <c r="B1371" s="17" t="s">
        <v>1682</v>
      </c>
      <c r="C1371" s="18">
        <v>96968</v>
      </c>
      <c r="D1371" s="2" t="s">
        <v>30</v>
      </c>
      <c r="E1371" s="15">
        <v>2148.3000000000002</v>
      </c>
      <c r="F1371" s="36" t="s">
        <v>173</v>
      </c>
      <c r="G1371" s="15">
        <v>2148.3000000000002</v>
      </c>
      <c r="H1371" s="15">
        <f t="shared" si="22"/>
        <v>0</v>
      </c>
      <c r="I1371" s="19"/>
    </row>
    <row r="1372" spans="1:9" x14ac:dyDescent="0.25">
      <c r="A1372" s="16">
        <v>42748</v>
      </c>
      <c r="B1372" s="17" t="s">
        <v>1683</v>
      </c>
      <c r="C1372" s="18">
        <v>96969</v>
      </c>
      <c r="D1372" s="2" t="s">
        <v>10</v>
      </c>
      <c r="E1372" s="15">
        <v>349.6</v>
      </c>
      <c r="F1372" s="36" t="s">
        <v>317</v>
      </c>
      <c r="G1372" s="15">
        <v>349.6</v>
      </c>
      <c r="H1372" s="15">
        <f t="shared" si="22"/>
        <v>0</v>
      </c>
      <c r="I1372" s="19"/>
    </row>
    <row r="1373" spans="1:9" x14ac:dyDescent="0.25">
      <c r="A1373" s="16">
        <v>42748</v>
      </c>
      <c r="B1373" s="17" t="s">
        <v>1684</v>
      </c>
      <c r="C1373" s="18">
        <v>96970</v>
      </c>
      <c r="D1373" s="2" t="s">
        <v>590</v>
      </c>
      <c r="E1373" s="15">
        <v>7557.2</v>
      </c>
      <c r="F1373" s="36" t="s">
        <v>317</v>
      </c>
      <c r="G1373" s="15">
        <v>7557.2</v>
      </c>
      <c r="H1373" s="15">
        <f t="shared" si="22"/>
        <v>0</v>
      </c>
      <c r="I1373" s="19"/>
    </row>
    <row r="1374" spans="1:9" x14ac:dyDescent="0.25">
      <c r="A1374" s="16">
        <v>42748</v>
      </c>
      <c r="B1374" s="17" t="s">
        <v>1685</v>
      </c>
      <c r="C1374" s="18">
        <v>96971</v>
      </c>
      <c r="D1374" s="2" t="s">
        <v>21</v>
      </c>
      <c r="E1374" s="15">
        <v>37779.800000000003</v>
      </c>
      <c r="F1374" s="36" t="s">
        <v>336</v>
      </c>
      <c r="G1374" s="15">
        <v>37779.800000000003</v>
      </c>
      <c r="H1374" s="15">
        <f t="shared" si="22"/>
        <v>0</v>
      </c>
      <c r="I1374" s="19"/>
    </row>
    <row r="1375" spans="1:9" x14ac:dyDescent="0.25">
      <c r="A1375" s="16">
        <v>42748</v>
      </c>
      <c r="B1375" s="17" t="s">
        <v>1686</v>
      </c>
      <c r="C1375" s="18">
        <v>96972</v>
      </c>
      <c r="D1375" s="2" t="s">
        <v>274</v>
      </c>
      <c r="E1375" s="15">
        <v>15028.8</v>
      </c>
      <c r="F1375" s="36" t="s">
        <v>317</v>
      </c>
      <c r="G1375" s="15">
        <v>15028.8</v>
      </c>
      <c r="H1375" s="15">
        <f t="shared" si="22"/>
        <v>0</v>
      </c>
      <c r="I1375" s="19"/>
    </row>
    <row r="1376" spans="1:9" x14ac:dyDescent="0.25">
      <c r="A1376" s="16">
        <v>42748</v>
      </c>
      <c r="B1376" s="17" t="s">
        <v>1687</v>
      </c>
      <c r="C1376" s="18">
        <v>96973</v>
      </c>
      <c r="D1376" s="2" t="s">
        <v>590</v>
      </c>
      <c r="E1376" s="15">
        <v>5603.2</v>
      </c>
      <c r="F1376" s="36" t="s">
        <v>317</v>
      </c>
      <c r="G1376" s="15">
        <v>5603.2</v>
      </c>
      <c r="H1376" s="15">
        <f t="shared" si="22"/>
        <v>0</v>
      </c>
      <c r="I1376" s="19"/>
    </row>
    <row r="1377" spans="1:9" x14ac:dyDescent="0.25">
      <c r="A1377" s="16">
        <v>42748</v>
      </c>
      <c r="B1377" s="17" t="s">
        <v>1688</v>
      </c>
      <c r="C1377" s="18">
        <v>96974</v>
      </c>
      <c r="D1377" s="2" t="s">
        <v>157</v>
      </c>
      <c r="E1377" s="15">
        <v>33796.019999999997</v>
      </c>
      <c r="F1377" s="124" t="s">
        <v>1689</v>
      </c>
      <c r="G1377" s="20">
        <f>28800+4996.02</f>
        <v>33796.020000000004</v>
      </c>
      <c r="H1377" s="20">
        <f t="shared" si="22"/>
        <v>0</v>
      </c>
      <c r="I1377" s="19"/>
    </row>
    <row r="1378" spans="1:9" x14ac:dyDescent="0.25">
      <c r="A1378" s="16">
        <v>42748</v>
      </c>
      <c r="B1378" s="17" t="s">
        <v>1690</v>
      </c>
      <c r="C1378" s="18">
        <v>96975</v>
      </c>
      <c r="D1378" s="2" t="s">
        <v>590</v>
      </c>
      <c r="E1378" s="15">
        <v>3922</v>
      </c>
      <c r="F1378" s="36" t="s">
        <v>317</v>
      </c>
      <c r="G1378" s="15">
        <v>3922</v>
      </c>
      <c r="H1378" s="15">
        <f t="shared" si="22"/>
        <v>0</v>
      </c>
      <c r="I1378" s="19"/>
    </row>
    <row r="1379" spans="1:9" x14ac:dyDescent="0.25">
      <c r="A1379" s="16">
        <v>42748</v>
      </c>
      <c r="B1379" s="17" t="s">
        <v>1691</v>
      </c>
      <c r="C1379" s="18">
        <v>96976</v>
      </c>
      <c r="D1379" s="2" t="s">
        <v>435</v>
      </c>
      <c r="E1379" s="15">
        <v>5559.7</v>
      </c>
      <c r="F1379" s="36" t="s">
        <v>317</v>
      </c>
      <c r="G1379" s="15">
        <v>5559.7</v>
      </c>
      <c r="H1379" s="15">
        <f t="shared" si="22"/>
        <v>0</v>
      </c>
      <c r="I1379" s="19"/>
    </row>
    <row r="1380" spans="1:9" x14ac:dyDescent="0.25">
      <c r="A1380" s="16">
        <v>42748</v>
      </c>
      <c r="B1380" s="17" t="s">
        <v>1692</v>
      </c>
      <c r="C1380" s="18">
        <v>96977</v>
      </c>
      <c r="D1380" s="2" t="s">
        <v>208</v>
      </c>
      <c r="E1380" s="15">
        <v>10864.62</v>
      </c>
      <c r="F1380" s="36" t="s">
        <v>237</v>
      </c>
      <c r="G1380" s="15">
        <v>10864.62</v>
      </c>
      <c r="H1380" s="15">
        <f t="shared" si="22"/>
        <v>0</v>
      </c>
      <c r="I1380" s="19"/>
    </row>
    <row r="1381" spans="1:9" x14ac:dyDescent="0.25">
      <c r="A1381" s="16">
        <v>42748</v>
      </c>
      <c r="B1381" s="17" t="s">
        <v>1693</v>
      </c>
      <c r="C1381" s="18">
        <v>96978</v>
      </c>
      <c r="D1381" s="2" t="s">
        <v>149</v>
      </c>
      <c r="E1381" s="15">
        <v>3960.4</v>
      </c>
      <c r="F1381" s="36" t="s">
        <v>173</v>
      </c>
      <c r="G1381" s="15">
        <v>3960.4</v>
      </c>
      <c r="H1381" s="15">
        <f t="shared" si="22"/>
        <v>0</v>
      </c>
      <c r="I1381" s="19"/>
    </row>
    <row r="1382" spans="1:9" x14ac:dyDescent="0.25">
      <c r="A1382" s="16">
        <v>42748</v>
      </c>
      <c r="B1382" s="17" t="s">
        <v>1694</v>
      </c>
      <c r="C1382" s="18">
        <v>96979</v>
      </c>
      <c r="D1382" s="2" t="s">
        <v>462</v>
      </c>
      <c r="E1382" s="15">
        <v>8199</v>
      </c>
      <c r="F1382" s="36" t="s">
        <v>126</v>
      </c>
      <c r="G1382" s="15">
        <v>8199</v>
      </c>
      <c r="H1382" s="15">
        <f t="shared" si="22"/>
        <v>0</v>
      </c>
      <c r="I1382" s="19"/>
    </row>
    <row r="1383" spans="1:9" x14ac:dyDescent="0.25">
      <c r="A1383" s="16">
        <v>42748</v>
      </c>
      <c r="B1383" s="17" t="s">
        <v>1695</v>
      </c>
      <c r="C1383" s="18">
        <v>96980</v>
      </c>
      <c r="D1383" s="2" t="s">
        <v>94</v>
      </c>
      <c r="E1383" s="15">
        <v>3483</v>
      </c>
      <c r="F1383" s="36" t="s">
        <v>126</v>
      </c>
      <c r="G1383" s="15">
        <v>3483</v>
      </c>
      <c r="H1383" s="15">
        <f t="shared" si="22"/>
        <v>0</v>
      </c>
      <c r="I1383" s="19"/>
    </row>
    <row r="1384" spans="1:9" x14ac:dyDescent="0.25">
      <c r="A1384" s="16">
        <v>42748</v>
      </c>
      <c r="B1384" s="17" t="s">
        <v>1696</v>
      </c>
      <c r="C1384" s="18">
        <v>96981</v>
      </c>
      <c r="D1384" s="2" t="s">
        <v>30</v>
      </c>
      <c r="E1384" s="15">
        <v>56855.360000000001</v>
      </c>
      <c r="F1384" s="36" t="s">
        <v>173</v>
      </c>
      <c r="G1384" s="15">
        <v>56855.360000000001</v>
      </c>
      <c r="H1384" s="15">
        <f t="shared" si="22"/>
        <v>0</v>
      </c>
      <c r="I1384" s="19"/>
    </row>
    <row r="1385" spans="1:9" x14ac:dyDescent="0.25">
      <c r="A1385" s="16">
        <v>42748</v>
      </c>
      <c r="B1385" s="17" t="s">
        <v>1697</v>
      </c>
      <c r="C1385" s="18">
        <v>96982</v>
      </c>
      <c r="D1385" s="2" t="s">
        <v>81</v>
      </c>
      <c r="E1385" s="15">
        <v>3294.5</v>
      </c>
      <c r="F1385" s="36" t="s">
        <v>126</v>
      </c>
      <c r="G1385" s="15">
        <v>3294.5</v>
      </c>
      <c r="H1385" s="15">
        <f t="shared" si="22"/>
        <v>0</v>
      </c>
      <c r="I1385" s="19"/>
    </row>
    <row r="1386" spans="1:9" x14ac:dyDescent="0.25">
      <c r="A1386" s="16">
        <v>42748</v>
      </c>
      <c r="B1386" s="17" t="s">
        <v>1698</v>
      </c>
      <c r="C1386" s="18">
        <v>96983</v>
      </c>
      <c r="D1386" s="2" t="s">
        <v>103</v>
      </c>
      <c r="E1386" s="15">
        <v>3283.2</v>
      </c>
      <c r="F1386" s="36" t="s">
        <v>511</v>
      </c>
      <c r="G1386" s="15">
        <v>3283.2</v>
      </c>
      <c r="H1386" s="15">
        <f t="shared" si="22"/>
        <v>0</v>
      </c>
      <c r="I1386" s="19"/>
    </row>
    <row r="1387" spans="1:9" x14ac:dyDescent="0.25">
      <c r="A1387" s="16">
        <v>42748</v>
      </c>
      <c r="B1387" s="17" t="s">
        <v>1699</v>
      </c>
      <c r="C1387" s="18">
        <v>96984</v>
      </c>
      <c r="D1387" s="2" t="s">
        <v>105</v>
      </c>
      <c r="E1387" s="15">
        <v>3191.4</v>
      </c>
      <c r="F1387" s="36" t="s">
        <v>511</v>
      </c>
      <c r="G1387" s="15">
        <v>3191.4</v>
      </c>
      <c r="H1387" s="15">
        <f t="shared" si="22"/>
        <v>0</v>
      </c>
      <c r="I1387" s="19"/>
    </row>
    <row r="1388" spans="1:9" x14ac:dyDescent="0.25">
      <c r="A1388" s="16">
        <v>42748</v>
      </c>
      <c r="B1388" s="17" t="s">
        <v>1700</v>
      </c>
      <c r="C1388" s="18">
        <v>96985</v>
      </c>
      <c r="D1388" s="2" t="s">
        <v>492</v>
      </c>
      <c r="E1388" s="15">
        <v>23031</v>
      </c>
      <c r="F1388" s="36" t="s">
        <v>126</v>
      </c>
      <c r="G1388" s="15">
        <v>23031</v>
      </c>
      <c r="H1388" s="15">
        <f t="shared" si="22"/>
        <v>0</v>
      </c>
      <c r="I1388" s="19"/>
    </row>
    <row r="1389" spans="1:9" x14ac:dyDescent="0.25">
      <c r="A1389" s="16">
        <v>42748</v>
      </c>
      <c r="B1389" s="17" t="s">
        <v>1701</v>
      </c>
      <c r="C1389" s="18">
        <v>96986</v>
      </c>
      <c r="D1389" s="2" t="s">
        <v>329</v>
      </c>
      <c r="E1389" s="15">
        <v>594.4</v>
      </c>
      <c r="F1389" s="36" t="s">
        <v>173</v>
      </c>
      <c r="G1389" s="15">
        <v>594.4</v>
      </c>
      <c r="H1389" s="15">
        <f t="shared" si="22"/>
        <v>0</v>
      </c>
      <c r="I1389" s="19"/>
    </row>
    <row r="1390" spans="1:9" x14ac:dyDescent="0.25">
      <c r="A1390" s="16">
        <v>42748</v>
      </c>
      <c r="B1390" s="17" t="s">
        <v>1702</v>
      </c>
      <c r="C1390" s="18">
        <v>96987</v>
      </c>
      <c r="D1390" s="2" t="s">
        <v>305</v>
      </c>
      <c r="E1390" s="15">
        <v>6530.4</v>
      </c>
      <c r="F1390" s="36" t="s">
        <v>237</v>
      </c>
      <c r="G1390" s="15">
        <v>6530.4</v>
      </c>
      <c r="H1390" s="15">
        <f t="shared" si="22"/>
        <v>0</v>
      </c>
      <c r="I1390" s="19"/>
    </row>
    <row r="1391" spans="1:9" x14ac:dyDescent="0.25">
      <c r="A1391" s="16">
        <v>42748</v>
      </c>
      <c r="B1391" s="17" t="s">
        <v>1703</v>
      </c>
      <c r="C1391" s="18">
        <v>96988</v>
      </c>
      <c r="D1391" s="2" t="s">
        <v>459</v>
      </c>
      <c r="E1391" s="15">
        <v>1004.4</v>
      </c>
      <c r="F1391" s="36" t="s">
        <v>173</v>
      </c>
      <c r="G1391" s="15">
        <v>1004.4</v>
      </c>
      <c r="H1391" s="15">
        <f t="shared" si="22"/>
        <v>0</v>
      </c>
      <c r="I1391" s="19"/>
    </row>
    <row r="1392" spans="1:9" x14ac:dyDescent="0.25">
      <c r="A1392" s="16">
        <v>42748</v>
      </c>
      <c r="B1392" s="17" t="s">
        <v>1704</v>
      </c>
      <c r="C1392" s="18">
        <v>96989</v>
      </c>
      <c r="D1392" s="2" t="s">
        <v>476</v>
      </c>
      <c r="E1392" s="15">
        <v>21704.5</v>
      </c>
      <c r="F1392" s="36" t="s">
        <v>317</v>
      </c>
      <c r="G1392" s="15">
        <v>21704.5</v>
      </c>
      <c r="H1392" s="15">
        <f t="shared" si="22"/>
        <v>0</v>
      </c>
      <c r="I1392" s="19"/>
    </row>
    <row r="1393" spans="1:9" x14ac:dyDescent="0.25">
      <c r="A1393" s="16">
        <v>42748</v>
      </c>
      <c r="B1393" s="17" t="s">
        <v>1705</v>
      </c>
      <c r="C1393" s="18">
        <v>96990</v>
      </c>
      <c r="D1393" s="2" t="s">
        <v>277</v>
      </c>
      <c r="E1393" s="15">
        <v>4259.1400000000003</v>
      </c>
      <c r="F1393" s="36" t="s">
        <v>173</v>
      </c>
      <c r="G1393" s="15">
        <v>4259.1400000000003</v>
      </c>
      <c r="H1393" s="15">
        <f t="shared" si="22"/>
        <v>0</v>
      </c>
      <c r="I1393" s="19"/>
    </row>
    <row r="1394" spans="1:9" x14ac:dyDescent="0.25">
      <c r="A1394" s="16">
        <v>42748</v>
      </c>
      <c r="B1394" s="17" t="s">
        <v>1706</v>
      </c>
      <c r="C1394" s="18">
        <v>96991</v>
      </c>
      <c r="D1394" s="2" t="s">
        <v>205</v>
      </c>
      <c r="E1394" s="15">
        <v>97.61</v>
      </c>
      <c r="F1394" s="36" t="s">
        <v>173</v>
      </c>
      <c r="G1394" s="15">
        <v>97.61</v>
      </c>
      <c r="H1394" s="15">
        <f t="shared" si="22"/>
        <v>0</v>
      </c>
      <c r="I1394" s="19"/>
    </row>
    <row r="1395" spans="1:9" x14ac:dyDescent="0.25">
      <c r="A1395" s="16">
        <v>42748</v>
      </c>
      <c r="B1395" s="17" t="s">
        <v>1707</v>
      </c>
      <c r="C1395" s="18">
        <v>96992</v>
      </c>
      <c r="D1395" s="2" t="s">
        <v>459</v>
      </c>
      <c r="E1395" s="15">
        <v>1070.4000000000001</v>
      </c>
      <c r="F1395" s="36" t="s">
        <v>173</v>
      </c>
      <c r="G1395" s="15">
        <v>1070.4000000000001</v>
      </c>
      <c r="H1395" s="15">
        <f t="shared" si="22"/>
        <v>0</v>
      </c>
      <c r="I1395" s="19"/>
    </row>
    <row r="1396" spans="1:9" x14ac:dyDescent="0.25">
      <c r="A1396" s="16">
        <v>42748</v>
      </c>
      <c r="B1396" s="17" t="s">
        <v>1708</v>
      </c>
      <c r="C1396" s="18">
        <v>96993</v>
      </c>
      <c r="D1396" s="2" t="s">
        <v>131</v>
      </c>
      <c r="E1396" s="15">
        <v>8073</v>
      </c>
      <c r="F1396" s="36" t="s">
        <v>173</v>
      </c>
      <c r="G1396" s="15">
        <v>8073</v>
      </c>
      <c r="H1396" s="15">
        <f t="shared" si="22"/>
        <v>0</v>
      </c>
      <c r="I1396" s="19"/>
    </row>
    <row r="1397" spans="1:9" x14ac:dyDescent="0.25">
      <c r="A1397" s="16">
        <v>42748</v>
      </c>
      <c r="B1397" s="17" t="s">
        <v>1709</v>
      </c>
      <c r="C1397" s="18">
        <v>96994</v>
      </c>
      <c r="D1397" s="2" t="s">
        <v>131</v>
      </c>
      <c r="E1397" s="15">
        <v>1635.4</v>
      </c>
      <c r="F1397" s="36" t="s">
        <v>173</v>
      </c>
      <c r="G1397" s="15">
        <v>1635.4</v>
      </c>
      <c r="H1397" s="15">
        <f t="shared" si="22"/>
        <v>0</v>
      </c>
      <c r="I1397" s="19"/>
    </row>
    <row r="1398" spans="1:9" x14ac:dyDescent="0.25">
      <c r="A1398" s="16">
        <v>42748</v>
      </c>
      <c r="B1398" s="17" t="s">
        <v>1710</v>
      </c>
      <c r="C1398" s="18">
        <v>96995</v>
      </c>
      <c r="D1398" s="2" t="s">
        <v>289</v>
      </c>
      <c r="E1398" s="15">
        <v>13659.8</v>
      </c>
      <c r="F1398" s="36" t="s">
        <v>1173</v>
      </c>
      <c r="G1398" s="15">
        <v>13659.8</v>
      </c>
      <c r="H1398" s="15">
        <f t="shared" si="22"/>
        <v>0</v>
      </c>
      <c r="I1398" s="19"/>
    </row>
    <row r="1399" spans="1:9" x14ac:dyDescent="0.25">
      <c r="A1399" s="16">
        <v>42748</v>
      </c>
      <c r="B1399" s="17" t="s">
        <v>1711</v>
      </c>
      <c r="C1399" s="18">
        <v>96996</v>
      </c>
      <c r="D1399" s="2" t="s">
        <v>101</v>
      </c>
      <c r="E1399" s="15">
        <v>1614.6</v>
      </c>
      <c r="F1399" s="36" t="s">
        <v>126</v>
      </c>
      <c r="G1399" s="15">
        <v>1614.6</v>
      </c>
      <c r="H1399" s="15">
        <f t="shared" si="22"/>
        <v>0</v>
      </c>
      <c r="I1399" s="19"/>
    </row>
    <row r="1400" spans="1:9" x14ac:dyDescent="0.25">
      <c r="A1400" s="16">
        <v>42748</v>
      </c>
      <c r="B1400" s="17" t="s">
        <v>1712</v>
      </c>
      <c r="C1400" s="18">
        <v>96997</v>
      </c>
      <c r="D1400" s="2" t="s">
        <v>99</v>
      </c>
      <c r="E1400" s="15">
        <v>2760</v>
      </c>
      <c r="F1400" s="36" t="s">
        <v>126</v>
      </c>
      <c r="G1400" s="15">
        <v>2760</v>
      </c>
      <c r="H1400" s="15">
        <f t="shared" si="22"/>
        <v>0</v>
      </c>
      <c r="I1400" s="19"/>
    </row>
    <row r="1401" spans="1:9" x14ac:dyDescent="0.25">
      <c r="A1401" s="16">
        <v>42748</v>
      </c>
      <c r="B1401" s="17" t="s">
        <v>1713</v>
      </c>
      <c r="C1401" s="18">
        <v>96998</v>
      </c>
      <c r="D1401" s="2" t="s">
        <v>30</v>
      </c>
      <c r="E1401" s="15">
        <v>1280</v>
      </c>
      <c r="F1401" s="36" t="s">
        <v>126</v>
      </c>
      <c r="G1401" s="15">
        <v>1280</v>
      </c>
      <c r="H1401" s="15">
        <f t="shared" si="22"/>
        <v>0</v>
      </c>
      <c r="I1401" s="19"/>
    </row>
    <row r="1402" spans="1:9" x14ac:dyDescent="0.25">
      <c r="A1402" s="16">
        <v>42748</v>
      </c>
      <c r="B1402" s="17" t="s">
        <v>1714</v>
      </c>
      <c r="C1402" s="18">
        <v>96999</v>
      </c>
      <c r="D1402" s="2" t="s">
        <v>30</v>
      </c>
      <c r="E1402" s="15">
        <v>1384.6</v>
      </c>
      <c r="F1402" s="36" t="s">
        <v>511</v>
      </c>
      <c r="G1402" s="15">
        <v>1384.6</v>
      </c>
      <c r="H1402" s="15">
        <f t="shared" si="22"/>
        <v>0</v>
      </c>
      <c r="I1402" s="19"/>
    </row>
    <row r="1403" spans="1:9" x14ac:dyDescent="0.25">
      <c r="A1403" s="16">
        <v>42748</v>
      </c>
      <c r="B1403" s="17" t="s">
        <v>1715</v>
      </c>
      <c r="C1403" s="18">
        <v>97000</v>
      </c>
      <c r="D1403" s="2" t="s">
        <v>281</v>
      </c>
      <c r="E1403" s="15">
        <v>2792.6</v>
      </c>
      <c r="F1403" s="36" t="s">
        <v>126</v>
      </c>
      <c r="G1403" s="15">
        <v>2792.6</v>
      </c>
      <c r="H1403" s="15">
        <f t="shared" si="22"/>
        <v>0</v>
      </c>
      <c r="I1403" s="19"/>
    </row>
    <row r="1404" spans="1:9" x14ac:dyDescent="0.25">
      <c r="A1404" s="16">
        <v>42748</v>
      </c>
      <c r="B1404" s="17" t="s">
        <v>1716</v>
      </c>
      <c r="C1404" s="18">
        <v>97001</v>
      </c>
      <c r="D1404" s="2" t="s">
        <v>470</v>
      </c>
      <c r="E1404" s="15">
        <v>4850.3999999999996</v>
      </c>
      <c r="F1404" s="36" t="s">
        <v>173</v>
      </c>
      <c r="G1404" s="15">
        <v>4850.3999999999996</v>
      </c>
      <c r="H1404" s="15">
        <f t="shared" si="22"/>
        <v>0</v>
      </c>
      <c r="I1404" s="19"/>
    </row>
    <row r="1405" spans="1:9" x14ac:dyDescent="0.25">
      <c r="A1405" s="16">
        <v>42748</v>
      </c>
      <c r="B1405" s="17" t="s">
        <v>1717</v>
      </c>
      <c r="C1405" s="18">
        <v>97002</v>
      </c>
      <c r="D1405" s="2" t="s">
        <v>128</v>
      </c>
      <c r="E1405" s="15">
        <v>1307.52</v>
      </c>
      <c r="F1405" s="36" t="s">
        <v>173</v>
      </c>
      <c r="G1405" s="15">
        <v>1307.52</v>
      </c>
      <c r="H1405" s="15">
        <f t="shared" si="22"/>
        <v>0</v>
      </c>
      <c r="I1405" s="19"/>
    </row>
    <row r="1406" spans="1:9" x14ac:dyDescent="0.25">
      <c r="A1406" s="16">
        <v>42748</v>
      </c>
      <c r="B1406" s="17" t="s">
        <v>1718</v>
      </c>
      <c r="C1406" s="18">
        <v>97003</v>
      </c>
      <c r="D1406" s="2" t="s">
        <v>445</v>
      </c>
      <c r="E1406" s="15">
        <v>1455.8</v>
      </c>
      <c r="F1406" s="36" t="s">
        <v>126</v>
      </c>
      <c r="G1406" s="15">
        <v>1455.8</v>
      </c>
      <c r="H1406" s="15">
        <f t="shared" si="22"/>
        <v>0</v>
      </c>
      <c r="I1406" s="19"/>
    </row>
    <row r="1407" spans="1:9" x14ac:dyDescent="0.25">
      <c r="A1407" s="16">
        <v>42748</v>
      </c>
      <c r="B1407" s="17" t="s">
        <v>1719</v>
      </c>
      <c r="C1407" s="18">
        <v>97004</v>
      </c>
      <c r="D1407" s="13" t="s">
        <v>613</v>
      </c>
      <c r="E1407" s="14">
        <v>0</v>
      </c>
      <c r="F1407" s="123" t="s">
        <v>95</v>
      </c>
      <c r="G1407" s="14">
        <v>0</v>
      </c>
      <c r="H1407" s="14">
        <f t="shared" si="22"/>
        <v>0</v>
      </c>
      <c r="I1407" s="19"/>
    </row>
    <row r="1408" spans="1:9" x14ac:dyDescent="0.25">
      <c r="A1408" s="16">
        <v>42748</v>
      </c>
      <c r="B1408" s="17" t="s">
        <v>1720</v>
      </c>
      <c r="C1408" s="18">
        <v>97005</v>
      </c>
      <c r="D1408" s="2" t="s">
        <v>222</v>
      </c>
      <c r="E1408" s="15">
        <v>30115.8</v>
      </c>
      <c r="F1408" s="36" t="s">
        <v>237</v>
      </c>
      <c r="G1408" s="15">
        <v>30115.8</v>
      </c>
      <c r="H1408" s="15">
        <f t="shared" si="22"/>
        <v>0</v>
      </c>
      <c r="I1408" s="19"/>
    </row>
    <row r="1409" spans="1:9" x14ac:dyDescent="0.25">
      <c r="A1409" s="16">
        <v>42748</v>
      </c>
      <c r="B1409" s="17" t="s">
        <v>1721</v>
      </c>
      <c r="C1409" s="18">
        <v>97006</v>
      </c>
      <c r="D1409" s="2" t="s">
        <v>291</v>
      </c>
      <c r="E1409" s="15">
        <v>2058.6</v>
      </c>
      <c r="F1409" s="36" t="s">
        <v>126</v>
      </c>
      <c r="G1409" s="15">
        <v>2058.6</v>
      </c>
      <c r="H1409" s="15">
        <f t="shared" si="22"/>
        <v>0</v>
      </c>
      <c r="I1409" s="19"/>
    </row>
    <row r="1410" spans="1:9" x14ac:dyDescent="0.25">
      <c r="A1410" s="16">
        <v>42748</v>
      </c>
      <c r="B1410" s="17" t="s">
        <v>1722</v>
      </c>
      <c r="C1410" s="18">
        <v>97007</v>
      </c>
      <c r="D1410" s="2" t="s">
        <v>613</v>
      </c>
      <c r="E1410" s="15">
        <v>6073</v>
      </c>
      <c r="F1410" s="36" t="s">
        <v>126</v>
      </c>
      <c r="G1410" s="15">
        <v>6073</v>
      </c>
      <c r="H1410" s="15">
        <f t="shared" si="22"/>
        <v>0</v>
      </c>
      <c r="I1410" s="19"/>
    </row>
    <row r="1411" spans="1:9" x14ac:dyDescent="0.25">
      <c r="A1411" s="16">
        <v>42748</v>
      </c>
      <c r="B1411" s="17" t="s">
        <v>1723</v>
      </c>
      <c r="C1411" s="18">
        <v>97008</v>
      </c>
      <c r="D1411" s="2" t="s">
        <v>422</v>
      </c>
      <c r="E1411" s="15">
        <v>2476.8000000000002</v>
      </c>
      <c r="F1411" s="36" t="s">
        <v>173</v>
      </c>
      <c r="G1411" s="15">
        <v>2476.8000000000002</v>
      </c>
      <c r="H1411" s="15">
        <f t="shared" si="22"/>
        <v>0</v>
      </c>
      <c r="I1411" s="19"/>
    </row>
    <row r="1412" spans="1:9" x14ac:dyDescent="0.25">
      <c r="A1412" s="16">
        <v>42748</v>
      </c>
      <c r="B1412" s="17" t="s">
        <v>1724</v>
      </c>
      <c r="C1412" s="18">
        <v>97009</v>
      </c>
      <c r="D1412" s="2" t="s">
        <v>83</v>
      </c>
      <c r="E1412" s="15">
        <v>4160.1000000000004</v>
      </c>
      <c r="F1412" s="36" t="s">
        <v>126</v>
      </c>
      <c r="G1412" s="15">
        <v>4160.1000000000004</v>
      </c>
      <c r="H1412" s="15">
        <f t="shared" si="22"/>
        <v>0</v>
      </c>
      <c r="I1412" s="19"/>
    </row>
    <row r="1413" spans="1:9" x14ac:dyDescent="0.25">
      <c r="A1413" s="16">
        <v>42748</v>
      </c>
      <c r="B1413" s="17" t="s">
        <v>1725</v>
      </c>
      <c r="C1413" s="18">
        <v>97010</v>
      </c>
      <c r="D1413" s="2" t="s">
        <v>92</v>
      </c>
      <c r="E1413" s="15">
        <v>3634</v>
      </c>
      <c r="F1413" s="36" t="s">
        <v>126</v>
      </c>
      <c r="G1413" s="15">
        <v>3634</v>
      </c>
      <c r="H1413" s="15">
        <f t="shared" si="22"/>
        <v>0</v>
      </c>
      <c r="I1413" s="19"/>
    </row>
    <row r="1414" spans="1:9" x14ac:dyDescent="0.25">
      <c r="A1414" s="16">
        <v>42748</v>
      </c>
      <c r="B1414" s="17" t="s">
        <v>1726</v>
      </c>
      <c r="C1414" s="18">
        <v>97011</v>
      </c>
      <c r="D1414" s="2" t="s">
        <v>879</v>
      </c>
      <c r="E1414" s="15">
        <v>3459.2</v>
      </c>
      <c r="F1414" s="36" t="s">
        <v>173</v>
      </c>
      <c r="G1414" s="15">
        <v>3459.2</v>
      </c>
      <c r="H1414" s="15">
        <f t="shared" ref="H1414:H1477" si="23">E1414-G1414</f>
        <v>0</v>
      </c>
      <c r="I1414" s="19"/>
    </row>
    <row r="1415" spans="1:9" x14ac:dyDescent="0.25">
      <c r="A1415" s="16">
        <v>42748</v>
      </c>
      <c r="B1415" s="17" t="s">
        <v>1727</v>
      </c>
      <c r="C1415" s="18">
        <v>97012</v>
      </c>
      <c r="D1415" s="2" t="s">
        <v>30</v>
      </c>
      <c r="E1415" s="15">
        <v>8127</v>
      </c>
      <c r="F1415" s="36" t="s">
        <v>173</v>
      </c>
      <c r="G1415" s="15">
        <v>8127</v>
      </c>
      <c r="H1415" s="15">
        <f t="shared" si="23"/>
        <v>0</v>
      </c>
      <c r="I1415" s="19"/>
    </row>
    <row r="1416" spans="1:9" x14ac:dyDescent="0.25">
      <c r="A1416" s="16">
        <v>42748</v>
      </c>
      <c r="B1416" s="17" t="s">
        <v>1728</v>
      </c>
      <c r="C1416" s="18">
        <v>97013</v>
      </c>
      <c r="D1416" s="2" t="s">
        <v>172</v>
      </c>
      <c r="E1416" s="15">
        <v>37206.5</v>
      </c>
      <c r="F1416" s="36" t="s">
        <v>765</v>
      </c>
      <c r="G1416" s="15">
        <v>37206.5</v>
      </c>
      <c r="H1416" s="15">
        <f t="shared" si="23"/>
        <v>0</v>
      </c>
      <c r="I1416" s="19"/>
    </row>
    <row r="1417" spans="1:9" x14ac:dyDescent="0.25">
      <c r="A1417" s="16">
        <v>42748</v>
      </c>
      <c r="B1417" s="17" t="s">
        <v>1729</v>
      </c>
      <c r="C1417" s="18">
        <v>97014</v>
      </c>
      <c r="D1417" s="13" t="s">
        <v>92</v>
      </c>
      <c r="E1417" s="14">
        <v>0</v>
      </c>
      <c r="F1417" s="123" t="s">
        <v>95</v>
      </c>
      <c r="G1417" s="14">
        <v>0</v>
      </c>
      <c r="H1417" s="14">
        <f t="shared" si="23"/>
        <v>0</v>
      </c>
      <c r="I1417" s="19"/>
    </row>
    <row r="1418" spans="1:9" x14ac:dyDescent="0.25">
      <c r="A1418" s="16">
        <v>42748</v>
      </c>
      <c r="B1418" s="17" t="s">
        <v>1730</v>
      </c>
      <c r="C1418" s="18">
        <v>97015</v>
      </c>
      <c r="D1418" s="2" t="s">
        <v>109</v>
      </c>
      <c r="E1418" s="15">
        <v>5087.8999999999996</v>
      </c>
      <c r="F1418" s="36" t="s">
        <v>126</v>
      </c>
      <c r="G1418" s="15">
        <v>5087.8999999999996</v>
      </c>
      <c r="H1418" s="15">
        <f t="shared" si="23"/>
        <v>0</v>
      </c>
      <c r="I1418" s="19"/>
    </row>
    <row r="1419" spans="1:9" x14ac:dyDescent="0.25">
      <c r="A1419" s="16">
        <v>42748</v>
      </c>
      <c r="B1419" s="17" t="s">
        <v>1731</v>
      </c>
      <c r="C1419" s="18">
        <v>97016</v>
      </c>
      <c r="D1419" s="2" t="s">
        <v>509</v>
      </c>
      <c r="E1419" s="15">
        <v>31944.6</v>
      </c>
      <c r="F1419" s="36" t="s">
        <v>317</v>
      </c>
      <c r="G1419" s="15">
        <v>31944.6</v>
      </c>
      <c r="H1419" s="15">
        <f t="shared" si="23"/>
        <v>0</v>
      </c>
      <c r="I1419" s="19"/>
    </row>
    <row r="1420" spans="1:9" x14ac:dyDescent="0.25">
      <c r="A1420" s="16">
        <v>42748</v>
      </c>
      <c r="B1420" s="17" t="s">
        <v>1732</v>
      </c>
      <c r="C1420" s="18">
        <v>97017</v>
      </c>
      <c r="D1420" s="2" t="s">
        <v>1259</v>
      </c>
      <c r="E1420" s="15">
        <v>1791</v>
      </c>
      <c r="F1420" s="36" t="s">
        <v>126</v>
      </c>
      <c r="G1420" s="15">
        <v>1791</v>
      </c>
      <c r="H1420" s="15">
        <f t="shared" si="23"/>
        <v>0</v>
      </c>
      <c r="I1420" s="19"/>
    </row>
    <row r="1421" spans="1:9" x14ac:dyDescent="0.25">
      <c r="A1421" s="16">
        <v>42748</v>
      </c>
      <c r="B1421" s="17" t="s">
        <v>1733</v>
      </c>
      <c r="C1421" s="18">
        <v>97018</v>
      </c>
      <c r="D1421" s="2" t="s">
        <v>161</v>
      </c>
      <c r="E1421" s="15">
        <v>49222.8</v>
      </c>
      <c r="F1421" s="36" t="s">
        <v>765</v>
      </c>
      <c r="G1421" s="15">
        <v>49222.8</v>
      </c>
      <c r="H1421" s="15">
        <f t="shared" si="23"/>
        <v>0</v>
      </c>
      <c r="I1421" s="19"/>
    </row>
    <row r="1422" spans="1:9" x14ac:dyDescent="0.25">
      <c r="A1422" s="16">
        <v>42748</v>
      </c>
      <c r="B1422" s="17" t="s">
        <v>1734</v>
      </c>
      <c r="C1422" s="18">
        <v>97019</v>
      </c>
      <c r="D1422" s="2" t="s">
        <v>88</v>
      </c>
      <c r="E1422" s="15">
        <v>4072.5</v>
      </c>
      <c r="F1422" s="36" t="s">
        <v>126</v>
      </c>
      <c r="G1422" s="15">
        <v>4072.5</v>
      </c>
      <c r="H1422" s="15">
        <f t="shared" si="23"/>
        <v>0</v>
      </c>
      <c r="I1422" s="19"/>
    </row>
    <row r="1423" spans="1:9" x14ac:dyDescent="0.25">
      <c r="A1423" s="16">
        <v>42748</v>
      </c>
      <c r="B1423" s="17" t="s">
        <v>1735</v>
      </c>
      <c r="C1423" s="18">
        <v>97020</v>
      </c>
      <c r="D1423" s="2" t="s">
        <v>155</v>
      </c>
      <c r="E1423" s="15">
        <v>23061</v>
      </c>
      <c r="F1423" s="36" t="s">
        <v>224</v>
      </c>
      <c r="G1423" s="15">
        <v>23061</v>
      </c>
      <c r="H1423" s="15">
        <f t="shared" si="23"/>
        <v>0</v>
      </c>
      <c r="I1423" s="19"/>
    </row>
    <row r="1424" spans="1:9" x14ac:dyDescent="0.25">
      <c r="A1424" s="16">
        <v>42748</v>
      </c>
      <c r="B1424" s="17" t="s">
        <v>1736</v>
      </c>
      <c r="C1424" s="18">
        <v>97021</v>
      </c>
      <c r="D1424" s="2" t="s">
        <v>176</v>
      </c>
      <c r="E1424" s="15">
        <v>3358.8</v>
      </c>
      <c r="F1424" s="36" t="s">
        <v>173</v>
      </c>
      <c r="G1424" s="15">
        <v>3358.8</v>
      </c>
      <c r="H1424" s="15">
        <f t="shared" si="23"/>
        <v>0</v>
      </c>
      <c r="I1424" s="19"/>
    </row>
    <row r="1425" spans="1:9" x14ac:dyDescent="0.25">
      <c r="A1425" s="16">
        <v>42748</v>
      </c>
      <c r="B1425" s="17" t="s">
        <v>1737</v>
      </c>
      <c r="C1425" s="18">
        <v>97022</v>
      </c>
      <c r="D1425" s="2" t="s">
        <v>176</v>
      </c>
      <c r="E1425" s="15">
        <v>1648.5</v>
      </c>
      <c r="F1425" s="36" t="s">
        <v>173</v>
      </c>
      <c r="G1425" s="15">
        <v>1648.5</v>
      </c>
      <c r="H1425" s="15">
        <f t="shared" si="23"/>
        <v>0</v>
      </c>
      <c r="I1425" s="19"/>
    </row>
    <row r="1426" spans="1:9" x14ac:dyDescent="0.25">
      <c r="A1426" s="16">
        <v>42748</v>
      </c>
      <c r="B1426" s="17" t="s">
        <v>1738</v>
      </c>
      <c r="C1426" s="18">
        <v>97023</v>
      </c>
      <c r="D1426" s="2" t="s">
        <v>145</v>
      </c>
      <c r="E1426" s="15">
        <v>32228.5</v>
      </c>
      <c r="F1426" s="36" t="s">
        <v>1429</v>
      </c>
      <c r="G1426" s="15">
        <v>32228.5</v>
      </c>
      <c r="H1426" s="15">
        <f t="shared" si="23"/>
        <v>0</v>
      </c>
      <c r="I1426" s="19"/>
    </row>
    <row r="1427" spans="1:9" x14ac:dyDescent="0.25">
      <c r="A1427" s="16">
        <v>42748</v>
      </c>
      <c r="B1427" s="17" t="s">
        <v>1739</v>
      </c>
      <c r="C1427" s="18">
        <v>97024</v>
      </c>
      <c r="D1427" s="13" t="s">
        <v>163</v>
      </c>
      <c r="E1427" s="14">
        <v>0</v>
      </c>
      <c r="F1427" s="123" t="s">
        <v>95</v>
      </c>
      <c r="G1427" s="14">
        <v>0</v>
      </c>
      <c r="H1427" s="14">
        <f t="shared" si="23"/>
        <v>0</v>
      </c>
      <c r="I1427" s="19"/>
    </row>
    <row r="1428" spans="1:9" x14ac:dyDescent="0.25">
      <c r="A1428" s="16">
        <v>42748</v>
      </c>
      <c r="B1428" s="17" t="s">
        <v>1740</v>
      </c>
      <c r="C1428" s="18">
        <v>97025</v>
      </c>
      <c r="D1428" s="13" t="s">
        <v>165</v>
      </c>
      <c r="E1428" s="14">
        <v>0</v>
      </c>
      <c r="F1428" s="123" t="s">
        <v>95</v>
      </c>
      <c r="G1428" s="14">
        <v>0</v>
      </c>
      <c r="H1428" s="14">
        <f t="shared" si="23"/>
        <v>0</v>
      </c>
      <c r="I1428" s="19"/>
    </row>
    <row r="1429" spans="1:9" x14ac:dyDescent="0.25">
      <c r="A1429" s="16">
        <v>42748</v>
      </c>
      <c r="B1429" s="17" t="s">
        <v>1741</v>
      </c>
      <c r="C1429" s="18">
        <v>97026</v>
      </c>
      <c r="D1429" s="2" t="s">
        <v>806</v>
      </c>
      <c r="E1429" s="15">
        <v>6814.4</v>
      </c>
      <c r="F1429" s="36" t="s">
        <v>173</v>
      </c>
      <c r="G1429" s="15">
        <v>6814.4</v>
      </c>
      <c r="H1429" s="15">
        <f t="shared" si="23"/>
        <v>0</v>
      </c>
      <c r="I1429" s="19"/>
    </row>
    <row r="1430" spans="1:9" x14ac:dyDescent="0.25">
      <c r="A1430" s="16">
        <v>42748</v>
      </c>
      <c r="B1430" s="17" t="s">
        <v>1742</v>
      </c>
      <c r="C1430" s="18">
        <v>97027</v>
      </c>
      <c r="D1430" s="2" t="s">
        <v>165</v>
      </c>
      <c r="E1430" s="15">
        <v>8008.8</v>
      </c>
      <c r="F1430" s="36">
        <v>42818</v>
      </c>
      <c r="G1430" s="15">
        <v>8008.8</v>
      </c>
      <c r="H1430" s="15">
        <f t="shared" si="23"/>
        <v>0</v>
      </c>
      <c r="I1430" s="19"/>
    </row>
    <row r="1431" spans="1:9" x14ac:dyDescent="0.25">
      <c r="A1431" s="16">
        <v>42748</v>
      </c>
      <c r="B1431" s="17" t="s">
        <v>1744</v>
      </c>
      <c r="C1431" s="18">
        <v>97028</v>
      </c>
      <c r="D1431" s="2" t="s">
        <v>457</v>
      </c>
      <c r="E1431" s="15">
        <v>728.5</v>
      </c>
      <c r="F1431" s="36" t="s">
        <v>173</v>
      </c>
      <c r="G1431" s="15">
        <v>728.5</v>
      </c>
      <c r="H1431" s="15">
        <f t="shared" si="23"/>
        <v>0</v>
      </c>
      <c r="I1431" s="19"/>
    </row>
    <row r="1432" spans="1:9" x14ac:dyDescent="0.25">
      <c r="A1432" s="16">
        <v>42748</v>
      </c>
      <c r="B1432" s="17" t="s">
        <v>1745</v>
      </c>
      <c r="C1432" s="18">
        <v>97029</v>
      </c>
      <c r="D1432" s="2" t="s">
        <v>163</v>
      </c>
      <c r="E1432" s="15">
        <v>19151.16</v>
      </c>
      <c r="F1432" s="36" t="s">
        <v>166</v>
      </c>
      <c r="G1432" s="15">
        <v>19151.16</v>
      </c>
      <c r="H1432" s="15">
        <f t="shared" si="23"/>
        <v>0</v>
      </c>
      <c r="I1432" s="19"/>
    </row>
    <row r="1433" spans="1:9" x14ac:dyDescent="0.25">
      <c r="A1433" s="16">
        <v>42748</v>
      </c>
      <c r="B1433" s="17" t="s">
        <v>1746</v>
      </c>
      <c r="C1433" s="18">
        <v>97030</v>
      </c>
      <c r="D1433" s="2" t="s">
        <v>115</v>
      </c>
      <c r="E1433" s="15">
        <v>2350.8000000000002</v>
      </c>
      <c r="F1433" s="36" t="s">
        <v>173</v>
      </c>
      <c r="G1433" s="15">
        <v>2350.8000000000002</v>
      </c>
      <c r="H1433" s="15">
        <f t="shared" si="23"/>
        <v>0</v>
      </c>
      <c r="I1433" s="19"/>
    </row>
    <row r="1434" spans="1:9" x14ac:dyDescent="0.25">
      <c r="A1434" s="16">
        <v>42748</v>
      </c>
      <c r="B1434" s="17" t="s">
        <v>1747</v>
      </c>
      <c r="C1434" s="18">
        <v>97031</v>
      </c>
      <c r="D1434" s="2" t="s">
        <v>665</v>
      </c>
      <c r="E1434" s="15">
        <v>33135.4</v>
      </c>
      <c r="F1434" s="36" t="s">
        <v>927</v>
      </c>
      <c r="G1434" s="15">
        <v>33135.4</v>
      </c>
      <c r="H1434" s="15">
        <f t="shared" si="23"/>
        <v>0</v>
      </c>
      <c r="I1434" s="19"/>
    </row>
    <row r="1435" spans="1:9" x14ac:dyDescent="0.25">
      <c r="A1435" s="16">
        <v>42748</v>
      </c>
      <c r="B1435" s="17" t="s">
        <v>1748</v>
      </c>
      <c r="C1435" s="18">
        <v>97032</v>
      </c>
      <c r="D1435" s="2" t="s">
        <v>670</v>
      </c>
      <c r="E1435" s="15">
        <v>157919.79999999999</v>
      </c>
      <c r="F1435" s="36" t="s">
        <v>317</v>
      </c>
      <c r="G1435" s="15">
        <v>157919.79999999999</v>
      </c>
      <c r="H1435" s="15">
        <f t="shared" si="23"/>
        <v>0</v>
      </c>
      <c r="I1435" s="19"/>
    </row>
    <row r="1436" spans="1:9" x14ac:dyDescent="0.25">
      <c r="A1436" s="16">
        <v>42748</v>
      </c>
      <c r="B1436" s="17" t="s">
        <v>1749</v>
      </c>
      <c r="C1436" s="18">
        <v>97033</v>
      </c>
      <c r="D1436" s="2" t="s">
        <v>302</v>
      </c>
      <c r="E1436" s="15">
        <v>11417.3</v>
      </c>
      <c r="F1436" s="36" t="s">
        <v>173</v>
      </c>
      <c r="G1436" s="15">
        <v>11417.3</v>
      </c>
      <c r="H1436" s="15">
        <f t="shared" si="23"/>
        <v>0</v>
      </c>
      <c r="I1436" s="19"/>
    </row>
    <row r="1437" spans="1:9" x14ac:dyDescent="0.25">
      <c r="A1437" s="16">
        <v>42748</v>
      </c>
      <c r="B1437" s="17" t="s">
        <v>1750</v>
      </c>
      <c r="C1437" s="18">
        <v>97034</v>
      </c>
      <c r="D1437" s="2" t="s">
        <v>30</v>
      </c>
      <c r="E1437" s="15">
        <v>6268</v>
      </c>
      <c r="F1437" s="36" t="s">
        <v>173</v>
      </c>
      <c r="G1437" s="15">
        <v>6268</v>
      </c>
      <c r="H1437" s="15">
        <f t="shared" si="23"/>
        <v>0</v>
      </c>
      <c r="I1437" s="19"/>
    </row>
    <row r="1438" spans="1:9" x14ac:dyDescent="0.25">
      <c r="A1438" s="16">
        <v>42748</v>
      </c>
      <c r="B1438" s="17" t="s">
        <v>1751</v>
      </c>
      <c r="C1438" s="18">
        <v>97035</v>
      </c>
      <c r="D1438" s="2" t="s">
        <v>12</v>
      </c>
      <c r="E1438" s="15">
        <v>2318.5</v>
      </c>
      <c r="F1438" s="36" t="s">
        <v>173</v>
      </c>
      <c r="G1438" s="15">
        <v>2318.5</v>
      </c>
      <c r="H1438" s="15">
        <f t="shared" si="23"/>
        <v>0</v>
      </c>
      <c r="I1438" s="19"/>
    </row>
    <row r="1439" spans="1:9" x14ac:dyDescent="0.25">
      <c r="A1439" s="16">
        <v>42748</v>
      </c>
      <c r="B1439" s="17" t="s">
        <v>1752</v>
      </c>
      <c r="C1439" s="18">
        <v>97036</v>
      </c>
      <c r="D1439" s="2" t="s">
        <v>236</v>
      </c>
      <c r="E1439" s="15">
        <v>40986.1</v>
      </c>
      <c r="F1439" s="36" t="s">
        <v>927</v>
      </c>
      <c r="G1439" s="15">
        <v>40986.1</v>
      </c>
      <c r="H1439" s="15">
        <f t="shared" si="23"/>
        <v>0</v>
      </c>
      <c r="I1439" s="19"/>
    </row>
    <row r="1440" spans="1:9" x14ac:dyDescent="0.25">
      <c r="A1440" s="16">
        <v>42748</v>
      </c>
      <c r="B1440" s="17" t="s">
        <v>1753</v>
      </c>
      <c r="C1440" s="18">
        <v>97037</v>
      </c>
      <c r="D1440" s="2" t="s">
        <v>866</v>
      </c>
      <c r="E1440" s="15">
        <v>2628</v>
      </c>
      <c r="F1440" s="36" t="s">
        <v>173</v>
      </c>
      <c r="G1440" s="15">
        <v>2628</v>
      </c>
      <c r="H1440" s="15">
        <f t="shared" si="23"/>
        <v>0</v>
      </c>
      <c r="I1440" s="19"/>
    </row>
    <row r="1441" spans="1:9" x14ac:dyDescent="0.25">
      <c r="A1441" s="16">
        <v>42748</v>
      </c>
      <c r="B1441" s="17" t="s">
        <v>1754</v>
      </c>
      <c r="C1441" s="18">
        <v>97038</v>
      </c>
      <c r="D1441" s="2" t="s">
        <v>876</v>
      </c>
      <c r="E1441" s="15">
        <v>2632.5</v>
      </c>
      <c r="F1441" s="36" t="s">
        <v>317</v>
      </c>
      <c r="G1441" s="15">
        <v>2632.5</v>
      </c>
      <c r="H1441" s="15">
        <f t="shared" si="23"/>
        <v>0</v>
      </c>
      <c r="I1441" s="19"/>
    </row>
    <row r="1442" spans="1:9" x14ac:dyDescent="0.25">
      <c r="A1442" s="16">
        <v>42748</v>
      </c>
      <c r="B1442" s="17" t="s">
        <v>1755</v>
      </c>
      <c r="C1442" s="18">
        <v>97039</v>
      </c>
      <c r="D1442" s="2" t="s">
        <v>30</v>
      </c>
      <c r="E1442" s="15">
        <v>1132.7</v>
      </c>
      <c r="F1442" s="36" t="s">
        <v>173</v>
      </c>
      <c r="G1442" s="15">
        <v>1132.7</v>
      </c>
      <c r="H1442" s="15">
        <f t="shared" si="23"/>
        <v>0</v>
      </c>
      <c r="I1442" s="19"/>
    </row>
    <row r="1443" spans="1:9" x14ac:dyDescent="0.25">
      <c r="A1443" s="16">
        <v>42748</v>
      </c>
      <c r="B1443" s="17" t="s">
        <v>1756</v>
      </c>
      <c r="C1443" s="18">
        <v>97040</v>
      </c>
      <c r="D1443" s="2" t="s">
        <v>528</v>
      </c>
      <c r="E1443" s="15">
        <v>8268.6</v>
      </c>
      <c r="F1443" s="36" t="s">
        <v>126</v>
      </c>
      <c r="G1443" s="15">
        <v>8268.6</v>
      </c>
      <c r="H1443" s="15">
        <f t="shared" si="23"/>
        <v>0</v>
      </c>
      <c r="I1443" s="19"/>
    </row>
    <row r="1444" spans="1:9" x14ac:dyDescent="0.25">
      <c r="A1444" s="16">
        <v>42748</v>
      </c>
      <c r="B1444" s="17" t="s">
        <v>1757</v>
      </c>
      <c r="C1444" s="18">
        <v>97041</v>
      </c>
      <c r="D1444" s="2" t="s">
        <v>193</v>
      </c>
      <c r="E1444" s="15">
        <v>1881</v>
      </c>
      <c r="F1444" s="36" t="s">
        <v>126</v>
      </c>
      <c r="G1444" s="15">
        <v>1881</v>
      </c>
      <c r="H1444" s="15">
        <f t="shared" si="23"/>
        <v>0</v>
      </c>
      <c r="I1444" s="19"/>
    </row>
    <row r="1445" spans="1:9" x14ac:dyDescent="0.25">
      <c r="A1445" s="16">
        <v>42748</v>
      </c>
      <c r="B1445" s="17" t="s">
        <v>1758</v>
      </c>
      <c r="C1445" s="18">
        <v>97042</v>
      </c>
      <c r="D1445" s="2" t="s">
        <v>182</v>
      </c>
      <c r="E1445" s="15">
        <v>3680</v>
      </c>
      <c r="F1445" s="36" t="s">
        <v>126</v>
      </c>
      <c r="G1445" s="15">
        <v>3680</v>
      </c>
      <c r="H1445" s="15">
        <f t="shared" si="23"/>
        <v>0</v>
      </c>
      <c r="I1445" s="19"/>
    </row>
    <row r="1446" spans="1:9" x14ac:dyDescent="0.25">
      <c r="A1446" s="16">
        <v>42748</v>
      </c>
      <c r="B1446" s="17" t="s">
        <v>1759</v>
      </c>
      <c r="C1446" s="18">
        <v>97043</v>
      </c>
      <c r="D1446" s="2" t="s">
        <v>352</v>
      </c>
      <c r="E1446" s="15">
        <v>2497.8000000000002</v>
      </c>
      <c r="F1446" s="36" t="s">
        <v>173</v>
      </c>
      <c r="G1446" s="15">
        <v>2497.8000000000002</v>
      </c>
      <c r="H1446" s="15">
        <f t="shared" si="23"/>
        <v>0</v>
      </c>
      <c r="I1446" s="19"/>
    </row>
    <row r="1447" spans="1:9" x14ac:dyDescent="0.25">
      <c r="A1447" s="16">
        <v>42748</v>
      </c>
      <c r="B1447" s="17" t="s">
        <v>1760</v>
      </c>
      <c r="C1447" s="18">
        <v>97044</v>
      </c>
      <c r="D1447" s="2" t="s">
        <v>660</v>
      </c>
      <c r="E1447" s="15">
        <v>3314.6</v>
      </c>
      <c r="F1447" s="36" t="s">
        <v>126</v>
      </c>
      <c r="G1447" s="15">
        <v>3314.6</v>
      </c>
      <c r="H1447" s="15">
        <f t="shared" si="23"/>
        <v>0</v>
      </c>
      <c r="I1447" s="19"/>
    </row>
    <row r="1448" spans="1:9" x14ac:dyDescent="0.25">
      <c r="A1448" s="16">
        <v>42748</v>
      </c>
      <c r="B1448" s="17" t="s">
        <v>1761</v>
      </c>
      <c r="C1448" s="18">
        <v>97045</v>
      </c>
      <c r="D1448" s="2" t="s">
        <v>186</v>
      </c>
      <c r="E1448" s="15">
        <v>1225.5</v>
      </c>
      <c r="F1448" s="36" t="s">
        <v>237</v>
      </c>
      <c r="G1448" s="15">
        <v>1225.5</v>
      </c>
      <c r="H1448" s="15">
        <f t="shared" si="23"/>
        <v>0</v>
      </c>
      <c r="I1448" s="19"/>
    </row>
    <row r="1449" spans="1:9" x14ac:dyDescent="0.25">
      <c r="A1449" s="16">
        <v>42748</v>
      </c>
      <c r="B1449" s="17" t="s">
        <v>1762</v>
      </c>
      <c r="C1449" s="18">
        <v>97046</v>
      </c>
      <c r="D1449" s="2" t="s">
        <v>182</v>
      </c>
      <c r="E1449" s="15">
        <v>1380</v>
      </c>
      <c r="F1449" s="36" t="s">
        <v>126</v>
      </c>
      <c r="G1449" s="15">
        <v>1380</v>
      </c>
      <c r="H1449" s="15">
        <f t="shared" si="23"/>
        <v>0</v>
      </c>
      <c r="I1449" s="19"/>
    </row>
    <row r="1450" spans="1:9" x14ac:dyDescent="0.25">
      <c r="A1450" s="16">
        <v>42748</v>
      </c>
      <c r="B1450" s="17" t="s">
        <v>1763</v>
      </c>
      <c r="C1450" s="18">
        <v>97047</v>
      </c>
      <c r="D1450" s="2" t="s">
        <v>236</v>
      </c>
      <c r="E1450" s="15">
        <v>32170.799999999999</v>
      </c>
      <c r="F1450" s="36" t="s">
        <v>927</v>
      </c>
      <c r="G1450" s="15">
        <v>32170.799999999999</v>
      </c>
      <c r="H1450" s="15">
        <f t="shared" si="23"/>
        <v>0</v>
      </c>
      <c r="I1450" s="19"/>
    </row>
    <row r="1451" spans="1:9" x14ac:dyDescent="0.25">
      <c r="A1451" s="16">
        <v>42748</v>
      </c>
      <c r="B1451" s="17" t="s">
        <v>1764</v>
      </c>
      <c r="C1451" s="18">
        <v>97048</v>
      </c>
      <c r="D1451" s="2" t="s">
        <v>379</v>
      </c>
      <c r="E1451" s="15">
        <v>3769.4</v>
      </c>
      <c r="F1451" s="36" t="s">
        <v>1539</v>
      </c>
      <c r="G1451" s="15">
        <v>3769.4</v>
      </c>
      <c r="H1451" s="15">
        <f t="shared" si="23"/>
        <v>0</v>
      </c>
      <c r="I1451" s="19"/>
    </row>
    <row r="1452" spans="1:9" x14ac:dyDescent="0.25">
      <c r="A1452" s="16">
        <v>42748</v>
      </c>
      <c r="B1452" s="17" t="s">
        <v>1765</v>
      </c>
      <c r="C1452" s="18">
        <v>97049</v>
      </c>
      <c r="D1452" s="2" t="s">
        <v>800</v>
      </c>
      <c r="E1452" s="15">
        <v>8684.7999999999993</v>
      </c>
      <c r="F1452" s="36" t="s">
        <v>173</v>
      </c>
      <c r="G1452" s="15">
        <v>8684.7999999999993</v>
      </c>
      <c r="H1452" s="15">
        <f t="shared" si="23"/>
        <v>0</v>
      </c>
      <c r="I1452" s="19"/>
    </row>
    <row r="1453" spans="1:9" x14ac:dyDescent="0.25">
      <c r="A1453" s="16">
        <v>42748</v>
      </c>
      <c r="B1453" s="17" t="s">
        <v>1766</v>
      </c>
      <c r="C1453" s="18">
        <v>97050</v>
      </c>
      <c r="D1453" s="2" t="s">
        <v>133</v>
      </c>
      <c r="E1453" s="15">
        <v>11791.2</v>
      </c>
      <c r="F1453" s="36" t="s">
        <v>224</v>
      </c>
      <c r="G1453" s="15">
        <v>11791.2</v>
      </c>
      <c r="H1453" s="15">
        <f t="shared" si="23"/>
        <v>0</v>
      </c>
      <c r="I1453" s="19"/>
    </row>
    <row r="1454" spans="1:9" x14ac:dyDescent="0.25">
      <c r="A1454" s="16">
        <v>42748</v>
      </c>
      <c r="B1454" s="17" t="s">
        <v>1767</v>
      </c>
      <c r="C1454" s="18">
        <v>97051</v>
      </c>
      <c r="D1454" s="2" t="s">
        <v>367</v>
      </c>
      <c r="E1454" s="15">
        <v>1350</v>
      </c>
      <c r="F1454" s="36" t="s">
        <v>173</v>
      </c>
      <c r="G1454" s="15">
        <v>1350</v>
      </c>
      <c r="H1454" s="15">
        <f t="shared" si="23"/>
        <v>0</v>
      </c>
      <c r="I1454" s="19"/>
    </row>
    <row r="1455" spans="1:9" x14ac:dyDescent="0.25">
      <c r="A1455" s="16">
        <v>42748</v>
      </c>
      <c r="B1455" s="17" t="s">
        <v>1768</v>
      </c>
      <c r="C1455" s="18">
        <v>97052</v>
      </c>
      <c r="D1455" s="2" t="s">
        <v>409</v>
      </c>
      <c r="E1455" s="15">
        <v>9518.6</v>
      </c>
      <c r="F1455" s="124" t="s">
        <v>1769</v>
      </c>
      <c r="G1455" s="20">
        <f>6800+2718.6</f>
        <v>9518.6</v>
      </c>
      <c r="H1455" s="20">
        <f t="shared" si="23"/>
        <v>0</v>
      </c>
      <c r="I1455" s="19"/>
    </row>
    <row r="1456" spans="1:9" x14ac:dyDescent="0.25">
      <c r="A1456" s="16">
        <v>42748</v>
      </c>
      <c r="B1456" s="17" t="s">
        <v>1770</v>
      </c>
      <c r="C1456" s="18">
        <v>97053</v>
      </c>
      <c r="D1456" s="2" t="s">
        <v>405</v>
      </c>
      <c r="E1456" s="15">
        <v>7626</v>
      </c>
      <c r="F1456" s="36" t="s">
        <v>173</v>
      </c>
      <c r="G1456" s="15">
        <v>7626</v>
      </c>
      <c r="H1456" s="15">
        <f t="shared" si="23"/>
        <v>0</v>
      </c>
      <c r="I1456" s="19"/>
    </row>
    <row r="1457" spans="1:9" x14ac:dyDescent="0.25">
      <c r="A1457" s="16">
        <v>42748</v>
      </c>
      <c r="B1457" s="17" t="s">
        <v>1771</v>
      </c>
      <c r="C1457" s="18">
        <v>97054</v>
      </c>
      <c r="D1457" s="2" t="s">
        <v>1141</v>
      </c>
      <c r="E1457" s="15">
        <v>4075.3</v>
      </c>
      <c r="F1457" s="36" t="s">
        <v>224</v>
      </c>
      <c r="G1457" s="15">
        <v>4075.3</v>
      </c>
      <c r="H1457" s="15">
        <f t="shared" si="23"/>
        <v>0</v>
      </c>
      <c r="I1457" s="19"/>
    </row>
    <row r="1458" spans="1:9" x14ac:dyDescent="0.25">
      <c r="A1458" s="16">
        <v>42748</v>
      </c>
      <c r="B1458" s="17" t="s">
        <v>1772</v>
      </c>
      <c r="C1458" s="18">
        <v>97055</v>
      </c>
      <c r="D1458" s="2" t="s">
        <v>10</v>
      </c>
      <c r="E1458" s="15">
        <v>172253</v>
      </c>
      <c r="F1458" s="36" t="s">
        <v>317</v>
      </c>
      <c r="G1458" s="15">
        <v>172253</v>
      </c>
      <c r="H1458" s="15">
        <f t="shared" si="23"/>
        <v>0</v>
      </c>
      <c r="I1458" s="19"/>
    </row>
    <row r="1459" spans="1:9" x14ac:dyDescent="0.25">
      <c r="A1459" s="16">
        <v>42748</v>
      </c>
      <c r="B1459" s="17" t="s">
        <v>1773</v>
      </c>
      <c r="C1459" s="18">
        <v>97056</v>
      </c>
      <c r="D1459" s="2" t="s">
        <v>10</v>
      </c>
      <c r="E1459" s="15">
        <v>2778.8</v>
      </c>
      <c r="F1459" s="36" t="s">
        <v>317</v>
      </c>
      <c r="G1459" s="15">
        <v>2778.8</v>
      </c>
      <c r="H1459" s="15">
        <f t="shared" si="23"/>
        <v>0</v>
      </c>
      <c r="I1459" s="19"/>
    </row>
    <row r="1460" spans="1:9" x14ac:dyDescent="0.25">
      <c r="A1460" s="16">
        <v>42748</v>
      </c>
      <c r="B1460" s="17" t="s">
        <v>1774</v>
      </c>
      <c r="C1460" s="18">
        <v>97057</v>
      </c>
      <c r="D1460" s="2" t="s">
        <v>55</v>
      </c>
      <c r="E1460" s="15">
        <v>7855.6</v>
      </c>
      <c r="F1460" s="124" t="s">
        <v>1689</v>
      </c>
      <c r="G1460" s="20">
        <f>6000+1855.6</f>
        <v>7855.6</v>
      </c>
      <c r="H1460" s="20">
        <f t="shared" si="23"/>
        <v>0</v>
      </c>
      <c r="I1460" s="19"/>
    </row>
    <row r="1461" spans="1:9" x14ac:dyDescent="0.25">
      <c r="A1461" s="16">
        <v>42748</v>
      </c>
      <c r="B1461" s="17" t="s">
        <v>1775</v>
      </c>
      <c r="C1461" s="18">
        <v>97058</v>
      </c>
      <c r="D1461" s="2" t="s">
        <v>211</v>
      </c>
      <c r="E1461" s="15">
        <v>8517</v>
      </c>
      <c r="F1461" s="36" t="s">
        <v>173</v>
      </c>
      <c r="G1461" s="15">
        <v>8517</v>
      </c>
      <c r="H1461" s="15">
        <f t="shared" si="23"/>
        <v>0</v>
      </c>
      <c r="I1461" s="19"/>
    </row>
    <row r="1462" spans="1:9" x14ac:dyDescent="0.25">
      <c r="A1462" s="16">
        <v>42748</v>
      </c>
      <c r="B1462" s="17" t="s">
        <v>1776</v>
      </c>
      <c r="C1462" s="18">
        <v>97059</v>
      </c>
      <c r="D1462" s="2" t="s">
        <v>428</v>
      </c>
      <c r="E1462" s="15">
        <v>1875</v>
      </c>
      <c r="F1462" s="36" t="s">
        <v>511</v>
      </c>
      <c r="G1462" s="15">
        <v>1875</v>
      </c>
      <c r="H1462" s="15">
        <f t="shared" si="23"/>
        <v>0</v>
      </c>
      <c r="I1462" s="19"/>
    </row>
    <row r="1463" spans="1:9" x14ac:dyDescent="0.25">
      <c r="A1463" s="16">
        <v>42748</v>
      </c>
      <c r="B1463" s="17" t="s">
        <v>1777</v>
      </c>
      <c r="C1463" s="18">
        <v>97060</v>
      </c>
      <c r="D1463" s="2" t="s">
        <v>30</v>
      </c>
      <c r="E1463" s="15">
        <v>6325.1</v>
      </c>
      <c r="F1463" s="36" t="s">
        <v>173</v>
      </c>
      <c r="G1463" s="15">
        <v>6325.1</v>
      </c>
      <c r="H1463" s="15">
        <f t="shared" si="23"/>
        <v>0</v>
      </c>
      <c r="I1463" s="19"/>
    </row>
    <row r="1464" spans="1:9" x14ac:dyDescent="0.25">
      <c r="A1464" s="16">
        <v>42748</v>
      </c>
      <c r="B1464" s="17" t="s">
        <v>1778</v>
      </c>
      <c r="C1464" s="18">
        <v>97061</v>
      </c>
      <c r="D1464" s="2" t="s">
        <v>10</v>
      </c>
      <c r="E1464" s="15">
        <v>1800.4</v>
      </c>
      <c r="F1464" s="36" t="s">
        <v>317</v>
      </c>
      <c r="G1464" s="15">
        <v>1800.4</v>
      </c>
      <c r="H1464" s="15">
        <f t="shared" si="23"/>
        <v>0</v>
      </c>
      <c r="I1464" s="19"/>
    </row>
    <row r="1465" spans="1:9" x14ac:dyDescent="0.25">
      <c r="A1465" s="16">
        <v>42749</v>
      </c>
      <c r="B1465" s="17" t="s">
        <v>1779</v>
      </c>
      <c r="C1465" s="18">
        <v>97062</v>
      </c>
      <c r="D1465" s="2" t="s">
        <v>231</v>
      </c>
      <c r="E1465" s="15">
        <v>11413.7</v>
      </c>
      <c r="F1465" s="36" t="s">
        <v>801</v>
      </c>
      <c r="G1465" s="15">
        <v>11413.7</v>
      </c>
      <c r="H1465" s="15">
        <f t="shared" si="23"/>
        <v>0</v>
      </c>
      <c r="I1465" s="19"/>
    </row>
    <row r="1466" spans="1:9" x14ac:dyDescent="0.25">
      <c r="A1466" s="16">
        <v>42749</v>
      </c>
      <c r="B1466" s="17" t="s">
        <v>1780</v>
      </c>
      <c r="C1466" s="18">
        <v>97063</v>
      </c>
      <c r="D1466" s="2" t="s">
        <v>312</v>
      </c>
      <c r="E1466" s="15">
        <v>30212.400000000001</v>
      </c>
      <c r="F1466" s="36" t="s">
        <v>224</v>
      </c>
      <c r="G1466" s="15">
        <v>30212.400000000001</v>
      </c>
      <c r="H1466" s="15">
        <f t="shared" si="23"/>
        <v>0</v>
      </c>
      <c r="I1466" s="19"/>
    </row>
    <row r="1467" spans="1:9" x14ac:dyDescent="0.25">
      <c r="A1467" s="16">
        <v>42749</v>
      </c>
      <c r="B1467" s="17" t="s">
        <v>1781</v>
      </c>
      <c r="C1467" s="18">
        <v>97064</v>
      </c>
      <c r="D1467" s="2" t="s">
        <v>374</v>
      </c>
      <c r="E1467" s="15">
        <v>3068.8</v>
      </c>
      <c r="F1467" s="36" t="s">
        <v>126</v>
      </c>
      <c r="G1467" s="15">
        <v>3068.8</v>
      </c>
      <c r="H1467" s="15">
        <f t="shared" si="23"/>
        <v>0</v>
      </c>
      <c r="I1467" s="19"/>
    </row>
    <row r="1468" spans="1:9" x14ac:dyDescent="0.25">
      <c r="A1468" s="16">
        <v>42749</v>
      </c>
      <c r="B1468" s="17" t="s">
        <v>1782</v>
      </c>
      <c r="C1468" s="18">
        <v>97065</v>
      </c>
      <c r="D1468" s="2" t="s">
        <v>231</v>
      </c>
      <c r="E1468" s="15">
        <v>47537.7</v>
      </c>
      <c r="F1468" s="36" t="s">
        <v>237</v>
      </c>
      <c r="G1468" s="15">
        <v>47537.7</v>
      </c>
      <c r="H1468" s="15">
        <f t="shared" si="23"/>
        <v>0</v>
      </c>
      <c r="I1468" s="19"/>
    </row>
    <row r="1469" spans="1:9" x14ac:dyDescent="0.25">
      <c r="A1469" s="16">
        <v>42749</v>
      </c>
      <c r="B1469" s="17" t="s">
        <v>1783</v>
      </c>
      <c r="C1469" s="18">
        <v>97066</v>
      </c>
      <c r="D1469" s="2" t="s">
        <v>26</v>
      </c>
      <c r="E1469" s="15">
        <v>27312</v>
      </c>
      <c r="F1469" s="36" t="s">
        <v>126</v>
      </c>
      <c r="G1469" s="15">
        <v>27312</v>
      </c>
      <c r="H1469" s="15">
        <f t="shared" si="23"/>
        <v>0</v>
      </c>
      <c r="I1469" s="19"/>
    </row>
    <row r="1470" spans="1:9" x14ac:dyDescent="0.25">
      <c r="A1470" s="16">
        <v>42749</v>
      </c>
      <c r="B1470" s="17" t="s">
        <v>1784</v>
      </c>
      <c r="C1470" s="18">
        <v>97067</v>
      </c>
      <c r="D1470" s="2" t="s">
        <v>268</v>
      </c>
      <c r="E1470" s="15">
        <v>41580</v>
      </c>
      <c r="F1470" s="36" t="s">
        <v>317</v>
      </c>
      <c r="G1470" s="15">
        <v>41580</v>
      </c>
      <c r="H1470" s="15">
        <f t="shared" si="23"/>
        <v>0</v>
      </c>
      <c r="I1470" s="19"/>
    </row>
    <row r="1471" spans="1:9" x14ac:dyDescent="0.25">
      <c r="A1471" s="16">
        <v>42749</v>
      </c>
      <c r="B1471" s="17" t="s">
        <v>1785</v>
      </c>
      <c r="C1471" s="18">
        <v>97068</v>
      </c>
      <c r="D1471" s="2" t="s">
        <v>1786</v>
      </c>
      <c r="E1471" s="15">
        <v>10395</v>
      </c>
      <c r="F1471" s="126" t="s">
        <v>1787</v>
      </c>
      <c r="G1471" s="23">
        <f>6000+2395</f>
        <v>8395</v>
      </c>
      <c r="H1471" s="107">
        <f t="shared" si="23"/>
        <v>2000</v>
      </c>
      <c r="I1471" s="19"/>
    </row>
    <row r="1472" spans="1:9" x14ac:dyDescent="0.25">
      <c r="A1472" s="16">
        <v>42749</v>
      </c>
      <c r="B1472" s="17" t="s">
        <v>1788</v>
      </c>
      <c r="C1472" s="18">
        <v>97069</v>
      </c>
      <c r="D1472" s="2" t="s">
        <v>1789</v>
      </c>
      <c r="E1472" s="15">
        <v>3127.8</v>
      </c>
      <c r="F1472" s="36" t="s">
        <v>126</v>
      </c>
      <c r="G1472" s="15">
        <v>3127.8</v>
      </c>
      <c r="H1472" s="15">
        <f t="shared" si="23"/>
        <v>0</v>
      </c>
      <c r="I1472" s="19"/>
    </row>
    <row r="1473" spans="1:9" x14ac:dyDescent="0.25">
      <c r="A1473" s="16">
        <v>42749</v>
      </c>
      <c r="B1473" s="17" t="s">
        <v>1790</v>
      </c>
      <c r="C1473" s="18">
        <v>97070</v>
      </c>
      <c r="D1473" s="2" t="s">
        <v>1789</v>
      </c>
      <c r="E1473" s="15">
        <v>2615.04</v>
      </c>
      <c r="F1473" s="36" t="s">
        <v>126</v>
      </c>
      <c r="G1473" s="15">
        <v>2615.04</v>
      </c>
      <c r="H1473" s="15">
        <f t="shared" si="23"/>
        <v>0</v>
      </c>
      <c r="I1473" s="19"/>
    </row>
    <row r="1474" spans="1:9" x14ac:dyDescent="0.25">
      <c r="A1474" s="16">
        <v>42749</v>
      </c>
      <c r="B1474" s="17" t="s">
        <v>1791</v>
      </c>
      <c r="C1474" s="18">
        <v>97071</v>
      </c>
      <c r="D1474" s="2" t="s">
        <v>432</v>
      </c>
      <c r="E1474" s="15">
        <v>18774</v>
      </c>
      <c r="F1474" s="36" t="s">
        <v>317</v>
      </c>
      <c r="G1474" s="15">
        <v>18774</v>
      </c>
      <c r="H1474" s="15">
        <f t="shared" si="23"/>
        <v>0</v>
      </c>
      <c r="I1474" s="19"/>
    </row>
    <row r="1475" spans="1:9" x14ac:dyDescent="0.25">
      <c r="A1475" s="16">
        <v>42749</v>
      </c>
      <c r="B1475" s="17" t="s">
        <v>1792</v>
      </c>
      <c r="C1475" s="18">
        <v>97072</v>
      </c>
      <c r="D1475" s="2" t="s">
        <v>1335</v>
      </c>
      <c r="E1475" s="15">
        <v>8587.7999999999993</v>
      </c>
      <c r="F1475" s="36" t="s">
        <v>126</v>
      </c>
      <c r="G1475" s="15">
        <v>8587.7999999999993</v>
      </c>
      <c r="H1475" s="15">
        <f t="shared" si="23"/>
        <v>0</v>
      </c>
      <c r="I1475" s="19"/>
    </row>
    <row r="1476" spans="1:9" x14ac:dyDescent="0.25">
      <c r="A1476" s="16">
        <v>42749</v>
      </c>
      <c r="B1476" s="17" t="s">
        <v>1793</v>
      </c>
      <c r="C1476" s="18">
        <v>97073</v>
      </c>
      <c r="D1476" s="2" t="s">
        <v>1789</v>
      </c>
      <c r="E1476" s="15">
        <v>972.4</v>
      </c>
      <c r="F1476" s="36" t="s">
        <v>126</v>
      </c>
      <c r="G1476" s="15">
        <v>972.4</v>
      </c>
      <c r="H1476" s="15">
        <f t="shared" si="23"/>
        <v>0</v>
      </c>
      <c r="I1476" s="19"/>
    </row>
    <row r="1477" spans="1:9" x14ac:dyDescent="0.25">
      <c r="A1477" s="16">
        <v>42749</v>
      </c>
      <c r="B1477" s="17" t="s">
        <v>1794</v>
      </c>
      <c r="C1477" s="18">
        <v>97074</v>
      </c>
      <c r="D1477" s="2" t="s">
        <v>30</v>
      </c>
      <c r="E1477" s="15">
        <v>1963.2</v>
      </c>
      <c r="F1477" s="36" t="s">
        <v>126</v>
      </c>
      <c r="G1477" s="15">
        <v>1963.2</v>
      </c>
      <c r="H1477" s="15">
        <f t="shared" si="23"/>
        <v>0</v>
      </c>
      <c r="I1477" s="19"/>
    </row>
    <row r="1478" spans="1:9" x14ac:dyDescent="0.25">
      <c r="A1478" s="16">
        <v>42749</v>
      </c>
      <c r="B1478" s="17" t="s">
        <v>1795</v>
      </c>
      <c r="C1478" s="18">
        <v>97075</v>
      </c>
      <c r="D1478" s="2" t="s">
        <v>1666</v>
      </c>
      <c r="E1478" s="15">
        <v>18162</v>
      </c>
      <c r="F1478" s="36" t="s">
        <v>317</v>
      </c>
      <c r="G1478" s="15">
        <v>18162</v>
      </c>
      <c r="H1478" s="15">
        <f t="shared" ref="H1478:H1541" si="24">E1478-G1478</f>
        <v>0</v>
      </c>
      <c r="I1478" s="19"/>
    </row>
    <row r="1479" spans="1:9" x14ac:dyDescent="0.25">
      <c r="A1479" s="16">
        <v>42749</v>
      </c>
      <c r="B1479" s="17" t="s">
        <v>1796</v>
      </c>
      <c r="C1479" s="18">
        <v>97076</v>
      </c>
      <c r="D1479" s="2" t="s">
        <v>1797</v>
      </c>
      <c r="E1479" s="15">
        <v>21344.400000000001</v>
      </c>
      <c r="F1479" s="36" t="s">
        <v>317</v>
      </c>
      <c r="G1479" s="15">
        <v>21344.400000000001</v>
      </c>
      <c r="H1479" s="15">
        <f t="shared" si="24"/>
        <v>0</v>
      </c>
      <c r="I1479" s="19"/>
    </row>
    <row r="1480" spans="1:9" x14ac:dyDescent="0.25">
      <c r="A1480" s="16">
        <v>42749</v>
      </c>
      <c r="B1480" s="17" t="s">
        <v>1798</v>
      </c>
      <c r="C1480" s="18">
        <v>97077</v>
      </c>
      <c r="D1480" s="2" t="s">
        <v>272</v>
      </c>
      <c r="E1480" s="15">
        <v>2033.6</v>
      </c>
      <c r="F1480" s="36" t="s">
        <v>317</v>
      </c>
      <c r="G1480" s="15">
        <v>2033.6</v>
      </c>
      <c r="H1480" s="15">
        <f t="shared" si="24"/>
        <v>0</v>
      </c>
      <c r="I1480" s="19"/>
    </row>
    <row r="1481" spans="1:9" x14ac:dyDescent="0.25">
      <c r="A1481" s="16">
        <v>42749</v>
      </c>
      <c r="B1481" s="17" t="s">
        <v>1799</v>
      </c>
      <c r="C1481" s="18">
        <v>97078</v>
      </c>
      <c r="D1481" s="2" t="s">
        <v>274</v>
      </c>
      <c r="E1481" s="15">
        <v>4461.6000000000004</v>
      </c>
      <c r="F1481" s="36" t="s">
        <v>317</v>
      </c>
      <c r="G1481" s="15">
        <v>4461.6000000000004</v>
      </c>
      <c r="H1481" s="15">
        <f t="shared" si="24"/>
        <v>0</v>
      </c>
      <c r="I1481" s="19"/>
    </row>
    <row r="1482" spans="1:9" x14ac:dyDescent="0.25">
      <c r="A1482" s="16">
        <v>42749</v>
      </c>
      <c r="B1482" s="17" t="s">
        <v>1800</v>
      </c>
      <c r="C1482" s="18">
        <v>97079</v>
      </c>
      <c r="D1482" s="2" t="s">
        <v>67</v>
      </c>
      <c r="E1482" s="15">
        <v>8288</v>
      </c>
      <c r="F1482" s="36" t="s">
        <v>237</v>
      </c>
      <c r="G1482" s="15">
        <v>8288</v>
      </c>
      <c r="H1482" s="15">
        <f t="shared" si="24"/>
        <v>0</v>
      </c>
      <c r="I1482" s="19"/>
    </row>
    <row r="1483" spans="1:9" x14ac:dyDescent="0.25">
      <c r="A1483" s="16">
        <v>42749</v>
      </c>
      <c r="B1483" s="17" t="s">
        <v>1801</v>
      </c>
      <c r="C1483" s="18">
        <v>97080</v>
      </c>
      <c r="D1483" s="2" t="s">
        <v>28</v>
      </c>
      <c r="E1483" s="15">
        <v>9098.7999999999993</v>
      </c>
      <c r="F1483" s="36" t="s">
        <v>126</v>
      </c>
      <c r="G1483" s="15">
        <v>9098.7999999999993</v>
      </c>
      <c r="H1483" s="15">
        <f t="shared" si="24"/>
        <v>0</v>
      </c>
      <c r="I1483" s="19"/>
    </row>
    <row r="1484" spans="1:9" x14ac:dyDescent="0.25">
      <c r="A1484" s="16">
        <v>42749</v>
      </c>
      <c r="B1484" s="17" t="s">
        <v>1802</v>
      </c>
      <c r="C1484" s="18">
        <v>97081</v>
      </c>
      <c r="D1484" s="2" t="s">
        <v>430</v>
      </c>
      <c r="E1484" s="15">
        <v>1742.4</v>
      </c>
      <c r="F1484" s="36" t="s">
        <v>126</v>
      </c>
      <c r="G1484" s="15">
        <v>1742.4</v>
      </c>
      <c r="H1484" s="15">
        <f t="shared" si="24"/>
        <v>0</v>
      </c>
      <c r="I1484" s="19"/>
    </row>
    <row r="1485" spans="1:9" x14ac:dyDescent="0.25">
      <c r="A1485" s="16">
        <v>42749</v>
      </c>
      <c r="B1485" s="17" t="s">
        <v>1803</v>
      </c>
      <c r="C1485" s="18">
        <v>97082</v>
      </c>
      <c r="D1485" s="2" t="s">
        <v>30</v>
      </c>
      <c r="E1485" s="15">
        <v>4953.6000000000004</v>
      </c>
      <c r="F1485" s="36" t="s">
        <v>126</v>
      </c>
      <c r="G1485" s="15">
        <v>4953.6000000000004</v>
      </c>
      <c r="H1485" s="15">
        <f t="shared" si="24"/>
        <v>0</v>
      </c>
      <c r="I1485" s="19"/>
    </row>
    <row r="1486" spans="1:9" x14ac:dyDescent="0.25">
      <c r="A1486" s="16">
        <v>42749</v>
      </c>
      <c r="B1486" s="17" t="s">
        <v>1804</v>
      </c>
      <c r="C1486" s="18">
        <v>97083</v>
      </c>
      <c r="D1486" s="2" t="s">
        <v>270</v>
      </c>
      <c r="E1486" s="15">
        <v>873.6</v>
      </c>
      <c r="F1486" s="36" t="s">
        <v>317</v>
      </c>
      <c r="G1486" s="15">
        <v>873.6</v>
      </c>
      <c r="H1486" s="15">
        <f t="shared" si="24"/>
        <v>0</v>
      </c>
      <c r="I1486" s="19"/>
    </row>
    <row r="1487" spans="1:9" x14ac:dyDescent="0.25">
      <c r="A1487" s="16">
        <v>42749</v>
      </c>
      <c r="B1487" s="17" t="s">
        <v>1805</v>
      </c>
      <c r="C1487" s="18">
        <v>97084</v>
      </c>
      <c r="D1487" s="2" t="s">
        <v>1806</v>
      </c>
      <c r="E1487" s="15">
        <v>10570</v>
      </c>
      <c r="F1487" s="36" t="s">
        <v>126</v>
      </c>
      <c r="G1487" s="15">
        <v>10570</v>
      </c>
      <c r="H1487" s="15">
        <f t="shared" si="24"/>
        <v>0</v>
      </c>
      <c r="I1487" s="19"/>
    </row>
    <row r="1488" spans="1:9" x14ac:dyDescent="0.25">
      <c r="A1488" s="16">
        <v>42749</v>
      </c>
      <c r="B1488" s="17" t="s">
        <v>1807</v>
      </c>
      <c r="C1488" s="18">
        <v>97085</v>
      </c>
      <c r="D1488" s="2" t="s">
        <v>236</v>
      </c>
      <c r="E1488" s="15">
        <v>136438.9</v>
      </c>
      <c r="F1488" s="36" t="s">
        <v>927</v>
      </c>
      <c r="G1488" s="15">
        <v>136438.9</v>
      </c>
      <c r="H1488" s="15">
        <f t="shared" si="24"/>
        <v>0</v>
      </c>
      <c r="I1488" s="19"/>
    </row>
    <row r="1489" spans="1:9" x14ac:dyDescent="0.25">
      <c r="A1489" s="16">
        <v>42749</v>
      </c>
      <c r="B1489" s="17" t="s">
        <v>1808</v>
      </c>
      <c r="C1489" s="18">
        <v>97086</v>
      </c>
      <c r="D1489" s="2" t="s">
        <v>435</v>
      </c>
      <c r="E1489" s="15">
        <v>2282</v>
      </c>
      <c r="F1489" s="36" t="s">
        <v>317</v>
      </c>
      <c r="G1489" s="15">
        <v>2282</v>
      </c>
      <c r="H1489" s="15">
        <f t="shared" si="24"/>
        <v>0</v>
      </c>
      <c r="I1489" s="19"/>
    </row>
    <row r="1490" spans="1:9" x14ac:dyDescent="0.25">
      <c r="A1490" s="16">
        <v>42749</v>
      </c>
      <c r="B1490" s="17" t="s">
        <v>1809</v>
      </c>
      <c r="C1490" s="18">
        <v>97087</v>
      </c>
      <c r="D1490" s="2" t="s">
        <v>236</v>
      </c>
      <c r="E1490" s="15">
        <v>856.8</v>
      </c>
      <c r="F1490" s="36" t="s">
        <v>927</v>
      </c>
      <c r="G1490" s="15">
        <v>856.8</v>
      </c>
      <c r="H1490" s="15">
        <f t="shared" si="24"/>
        <v>0</v>
      </c>
      <c r="I1490" s="19"/>
    </row>
    <row r="1491" spans="1:9" x14ac:dyDescent="0.25">
      <c r="A1491" s="16">
        <v>42749</v>
      </c>
      <c r="B1491" s="17" t="s">
        <v>1810</v>
      </c>
      <c r="C1491" s="18">
        <v>97088</v>
      </c>
      <c r="D1491" s="2" t="s">
        <v>274</v>
      </c>
      <c r="E1491" s="15">
        <v>558.79999999999995</v>
      </c>
      <c r="F1491" s="36" t="s">
        <v>317</v>
      </c>
      <c r="G1491" s="15">
        <v>558.79999999999995</v>
      </c>
      <c r="H1491" s="15">
        <f t="shared" si="24"/>
        <v>0</v>
      </c>
      <c r="I1491" s="19"/>
    </row>
    <row r="1492" spans="1:9" x14ac:dyDescent="0.25">
      <c r="A1492" s="16">
        <v>42749</v>
      </c>
      <c r="B1492" s="17" t="s">
        <v>1811</v>
      </c>
      <c r="C1492" s="18">
        <v>97089</v>
      </c>
      <c r="D1492" s="2" t="s">
        <v>590</v>
      </c>
      <c r="E1492" s="15">
        <v>20439.400000000001</v>
      </c>
      <c r="F1492" s="36" t="s">
        <v>317</v>
      </c>
      <c r="G1492" s="15">
        <v>20439.400000000001</v>
      </c>
      <c r="H1492" s="15">
        <f t="shared" si="24"/>
        <v>0</v>
      </c>
      <c r="I1492" s="19"/>
    </row>
    <row r="1493" spans="1:9" x14ac:dyDescent="0.25">
      <c r="A1493" s="16">
        <v>42749</v>
      </c>
      <c r="B1493" s="17" t="s">
        <v>1812</v>
      </c>
      <c r="C1493" s="18">
        <v>97090</v>
      </c>
      <c r="D1493" s="2" t="s">
        <v>21</v>
      </c>
      <c r="E1493" s="15">
        <v>43086</v>
      </c>
      <c r="F1493" s="124" t="s">
        <v>1813</v>
      </c>
      <c r="G1493" s="20">
        <f>19711.2+6536.2+16838.6</f>
        <v>43086</v>
      </c>
      <c r="H1493" s="20">
        <f t="shared" si="24"/>
        <v>0</v>
      </c>
      <c r="I1493" s="19"/>
    </row>
    <row r="1494" spans="1:9" x14ac:dyDescent="0.25">
      <c r="A1494" s="16">
        <v>42749</v>
      </c>
      <c r="B1494" s="17" t="s">
        <v>1814</v>
      </c>
      <c r="C1494" s="18">
        <v>97091</v>
      </c>
      <c r="D1494" s="2" t="s">
        <v>17</v>
      </c>
      <c r="E1494" s="15">
        <v>920</v>
      </c>
      <c r="F1494" s="36" t="s">
        <v>126</v>
      </c>
      <c r="G1494" s="15">
        <v>920</v>
      </c>
      <c r="H1494" s="15">
        <f t="shared" si="24"/>
        <v>0</v>
      </c>
      <c r="I1494" s="19"/>
    </row>
    <row r="1495" spans="1:9" x14ac:dyDescent="0.25">
      <c r="A1495" s="16">
        <v>42749</v>
      </c>
      <c r="B1495" s="17" t="s">
        <v>1815</v>
      </c>
      <c r="C1495" s="18">
        <v>97092</v>
      </c>
      <c r="D1495" s="2" t="s">
        <v>17</v>
      </c>
      <c r="E1495" s="15">
        <v>5060</v>
      </c>
      <c r="F1495" s="36" t="s">
        <v>126</v>
      </c>
      <c r="G1495" s="15">
        <v>5060</v>
      </c>
      <c r="H1495" s="15">
        <f t="shared" si="24"/>
        <v>0</v>
      </c>
      <c r="I1495" s="19"/>
    </row>
    <row r="1496" spans="1:9" x14ac:dyDescent="0.25">
      <c r="A1496" s="16">
        <v>42749</v>
      </c>
      <c r="B1496" s="17" t="s">
        <v>1816</v>
      </c>
      <c r="C1496" s="18">
        <v>97093</v>
      </c>
      <c r="D1496" s="2" t="s">
        <v>71</v>
      </c>
      <c r="E1496" s="15">
        <v>2416</v>
      </c>
      <c r="F1496" s="36" t="s">
        <v>126</v>
      </c>
      <c r="G1496" s="15">
        <v>2416</v>
      </c>
      <c r="H1496" s="15">
        <f t="shared" si="24"/>
        <v>0</v>
      </c>
      <c r="I1496" s="19"/>
    </row>
    <row r="1497" spans="1:9" x14ac:dyDescent="0.25">
      <c r="A1497" s="16">
        <v>42749</v>
      </c>
      <c r="B1497" s="17" t="s">
        <v>1817</v>
      </c>
      <c r="C1497" s="18">
        <v>97094</v>
      </c>
      <c r="D1497" s="2" t="s">
        <v>38</v>
      </c>
      <c r="E1497" s="15">
        <v>6746.2</v>
      </c>
      <c r="F1497" s="36" t="s">
        <v>317</v>
      </c>
      <c r="G1497" s="15">
        <f>5500+1246.2</f>
        <v>6746.2</v>
      </c>
      <c r="H1497" s="15">
        <f t="shared" si="24"/>
        <v>0</v>
      </c>
      <c r="I1497" s="19"/>
    </row>
    <row r="1498" spans="1:9" x14ac:dyDescent="0.25">
      <c r="A1498" s="16">
        <v>42749</v>
      </c>
      <c r="B1498" s="17" t="s">
        <v>1818</v>
      </c>
      <c r="C1498" s="18">
        <v>97095</v>
      </c>
      <c r="D1498" s="2" t="s">
        <v>428</v>
      </c>
      <c r="E1498" s="15">
        <v>3400</v>
      </c>
      <c r="F1498" s="36" t="s">
        <v>317</v>
      </c>
      <c r="G1498" s="15">
        <v>3400</v>
      </c>
      <c r="H1498" s="15">
        <f t="shared" si="24"/>
        <v>0</v>
      </c>
      <c r="I1498" s="19"/>
    </row>
    <row r="1499" spans="1:9" x14ac:dyDescent="0.25">
      <c r="A1499" s="16">
        <v>42749</v>
      </c>
      <c r="B1499" s="17" t="s">
        <v>1819</v>
      </c>
      <c r="C1499" s="18">
        <v>97096</v>
      </c>
      <c r="D1499" s="2" t="s">
        <v>10</v>
      </c>
      <c r="E1499" s="15">
        <v>2957.4</v>
      </c>
      <c r="F1499" s="36" t="s">
        <v>317</v>
      </c>
      <c r="G1499" s="15">
        <v>2957.4</v>
      </c>
      <c r="H1499" s="15">
        <f t="shared" si="24"/>
        <v>0</v>
      </c>
      <c r="I1499" s="19"/>
    </row>
    <row r="1500" spans="1:9" x14ac:dyDescent="0.25">
      <c r="A1500" s="16">
        <v>42749</v>
      </c>
      <c r="B1500" s="17" t="s">
        <v>1820</v>
      </c>
      <c r="C1500" s="18">
        <v>97097</v>
      </c>
      <c r="D1500" s="2" t="s">
        <v>157</v>
      </c>
      <c r="E1500" s="15">
        <v>13770.2</v>
      </c>
      <c r="F1500" s="36" t="s">
        <v>126</v>
      </c>
      <c r="G1500" s="15">
        <v>13770.2</v>
      </c>
      <c r="H1500" s="15">
        <f t="shared" si="24"/>
        <v>0</v>
      </c>
      <c r="I1500" s="19"/>
    </row>
    <row r="1501" spans="1:9" x14ac:dyDescent="0.25">
      <c r="A1501" s="16">
        <v>42749</v>
      </c>
      <c r="B1501" s="17" t="s">
        <v>1821</v>
      </c>
      <c r="C1501" s="18">
        <v>97098</v>
      </c>
      <c r="D1501" s="2" t="s">
        <v>218</v>
      </c>
      <c r="E1501" s="15">
        <v>113394.9</v>
      </c>
      <c r="F1501" s="36" t="s">
        <v>307</v>
      </c>
      <c r="G1501" s="15">
        <v>113394.9</v>
      </c>
      <c r="H1501" s="15">
        <f t="shared" si="24"/>
        <v>0</v>
      </c>
      <c r="I1501" s="19"/>
    </row>
    <row r="1502" spans="1:9" x14ac:dyDescent="0.25">
      <c r="A1502" s="16">
        <v>42749</v>
      </c>
      <c r="B1502" s="17" t="s">
        <v>1822</v>
      </c>
      <c r="C1502" s="18">
        <v>97099</v>
      </c>
      <c r="D1502" s="2" t="s">
        <v>1116</v>
      </c>
      <c r="E1502" s="15">
        <v>4769.3</v>
      </c>
      <c r="F1502" s="36" t="s">
        <v>801</v>
      </c>
      <c r="G1502" s="15">
        <v>4769.3</v>
      </c>
      <c r="H1502" s="15">
        <f t="shared" si="24"/>
        <v>0</v>
      </c>
      <c r="I1502" s="19"/>
    </row>
    <row r="1503" spans="1:9" x14ac:dyDescent="0.25">
      <c r="A1503" s="16">
        <v>42749</v>
      </c>
      <c r="B1503" s="17" t="s">
        <v>1823</v>
      </c>
      <c r="C1503" s="18">
        <v>97100</v>
      </c>
      <c r="D1503" s="13" t="s">
        <v>49</v>
      </c>
      <c r="E1503" s="14">
        <v>0</v>
      </c>
      <c r="F1503" s="123" t="s">
        <v>95</v>
      </c>
      <c r="G1503" s="14">
        <v>0</v>
      </c>
      <c r="H1503" s="14">
        <f t="shared" si="24"/>
        <v>0</v>
      </c>
      <c r="I1503" s="19"/>
    </row>
    <row r="1504" spans="1:9" x14ac:dyDescent="0.25">
      <c r="A1504" s="16">
        <v>42749</v>
      </c>
      <c r="B1504" s="17" t="s">
        <v>1824</v>
      </c>
      <c r="C1504" s="18">
        <v>97101</v>
      </c>
      <c r="D1504" s="2" t="s">
        <v>32</v>
      </c>
      <c r="E1504" s="15">
        <v>19918.7</v>
      </c>
      <c r="F1504" s="36" t="s">
        <v>317</v>
      </c>
      <c r="G1504" s="15">
        <v>19918.7</v>
      </c>
      <c r="H1504" s="15">
        <f t="shared" si="24"/>
        <v>0</v>
      </c>
      <c r="I1504" s="19"/>
    </row>
    <row r="1505" spans="1:9" x14ac:dyDescent="0.25">
      <c r="A1505" s="16">
        <v>42749</v>
      </c>
      <c r="B1505" s="17" t="s">
        <v>1825</v>
      </c>
      <c r="C1505" s="18">
        <v>97102</v>
      </c>
      <c r="D1505" s="2" t="s">
        <v>49</v>
      </c>
      <c r="E1505" s="15">
        <v>20231.2</v>
      </c>
      <c r="F1505" s="124" t="s">
        <v>1826</v>
      </c>
      <c r="G1505" s="20">
        <f>10000+10231.2</f>
        <v>20231.2</v>
      </c>
      <c r="H1505" s="20">
        <f t="shared" si="24"/>
        <v>0</v>
      </c>
      <c r="I1505" s="19"/>
    </row>
    <row r="1506" spans="1:9" x14ac:dyDescent="0.25">
      <c r="A1506" s="16">
        <v>42749</v>
      </c>
      <c r="B1506" s="17" t="s">
        <v>1827</v>
      </c>
      <c r="C1506" s="18">
        <v>97103</v>
      </c>
      <c r="D1506" s="2" t="s">
        <v>51</v>
      </c>
      <c r="E1506" s="15">
        <v>8254.4</v>
      </c>
      <c r="F1506" s="36" t="s">
        <v>511</v>
      </c>
      <c r="G1506" s="15">
        <v>8254.4</v>
      </c>
      <c r="H1506" s="15">
        <f t="shared" si="24"/>
        <v>0</v>
      </c>
      <c r="I1506" s="19"/>
    </row>
    <row r="1507" spans="1:9" x14ac:dyDescent="0.25">
      <c r="A1507" s="16">
        <v>42749</v>
      </c>
      <c r="B1507" s="17" t="s">
        <v>1828</v>
      </c>
      <c r="C1507" s="18">
        <v>97104</v>
      </c>
      <c r="D1507" s="2" t="s">
        <v>250</v>
      </c>
      <c r="E1507" s="15">
        <v>12062.76</v>
      </c>
      <c r="F1507" s="36" t="s">
        <v>511</v>
      </c>
      <c r="G1507" s="15">
        <v>12062.76</v>
      </c>
      <c r="H1507" s="15">
        <f t="shared" si="24"/>
        <v>0</v>
      </c>
      <c r="I1507" s="19"/>
    </row>
    <row r="1508" spans="1:9" x14ac:dyDescent="0.25">
      <c r="A1508" s="16">
        <v>42749</v>
      </c>
      <c r="B1508" s="17" t="s">
        <v>1829</v>
      </c>
      <c r="C1508" s="18">
        <v>97105</v>
      </c>
      <c r="D1508" s="2" t="s">
        <v>1830</v>
      </c>
      <c r="E1508" s="15">
        <v>12947</v>
      </c>
      <c r="F1508" s="36" t="s">
        <v>126</v>
      </c>
      <c r="G1508" s="15">
        <v>12947</v>
      </c>
      <c r="H1508" s="15">
        <f t="shared" si="24"/>
        <v>0</v>
      </c>
      <c r="I1508" s="19"/>
    </row>
    <row r="1509" spans="1:9" x14ac:dyDescent="0.25">
      <c r="A1509" s="16">
        <v>42749</v>
      </c>
      <c r="B1509" s="17" t="s">
        <v>1831</v>
      </c>
      <c r="C1509" s="18">
        <v>97106</v>
      </c>
      <c r="D1509" s="2" t="s">
        <v>30</v>
      </c>
      <c r="E1509" s="15">
        <v>920</v>
      </c>
      <c r="F1509" s="36" t="s">
        <v>126</v>
      </c>
      <c r="G1509" s="15">
        <v>920</v>
      </c>
      <c r="H1509" s="15">
        <f t="shared" si="24"/>
        <v>0</v>
      </c>
      <c r="I1509" s="19"/>
    </row>
    <row r="1510" spans="1:9" x14ac:dyDescent="0.25">
      <c r="A1510" s="16">
        <v>42749</v>
      </c>
      <c r="B1510" s="17" t="s">
        <v>1832</v>
      </c>
      <c r="C1510" s="18">
        <v>97107</v>
      </c>
      <c r="D1510" s="2" t="s">
        <v>40</v>
      </c>
      <c r="E1510" s="15">
        <v>10919.9</v>
      </c>
      <c r="F1510" s="124" t="s">
        <v>1826</v>
      </c>
      <c r="G1510" s="20">
        <f>8920+1999.9</f>
        <v>10919.9</v>
      </c>
      <c r="H1510" s="20">
        <f t="shared" si="24"/>
        <v>0</v>
      </c>
      <c r="I1510" s="19"/>
    </row>
    <row r="1511" spans="1:9" x14ac:dyDescent="0.25">
      <c r="A1511" s="16">
        <v>42749</v>
      </c>
      <c r="B1511" s="17" t="s">
        <v>1833</v>
      </c>
      <c r="C1511" s="18">
        <v>97108</v>
      </c>
      <c r="D1511" s="13" t="s">
        <v>35</v>
      </c>
      <c r="E1511" s="14">
        <v>0</v>
      </c>
      <c r="F1511" s="123" t="s">
        <v>95</v>
      </c>
      <c r="G1511" s="14">
        <v>0</v>
      </c>
      <c r="H1511" s="14">
        <f t="shared" si="24"/>
        <v>0</v>
      </c>
      <c r="I1511" s="19"/>
    </row>
    <row r="1512" spans="1:9" x14ac:dyDescent="0.25">
      <c r="A1512" s="16">
        <v>42749</v>
      </c>
      <c r="B1512" s="17" t="s">
        <v>1834</v>
      </c>
      <c r="C1512" s="18">
        <v>97109</v>
      </c>
      <c r="D1512" s="2" t="s">
        <v>1830</v>
      </c>
      <c r="E1512" s="15">
        <v>4051.6</v>
      </c>
      <c r="F1512" s="36" t="s">
        <v>126</v>
      </c>
      <c r="G1512" s="15">
        <v>4051.6</v>
      </c>
      <c r="H1512" s="15">
        <f t="shared" si="24"/>
        <v>0</v>
      </c>
      <c r="I1512" s="19"/>
    </row>
    <row r="1513" spans="1:9" x14ac:dyDescent="0.25">
      <c r="A1513" s="16">
        <v>42749</v>
      </c>
      <c r="B1513" s="17" t="s">
        <v>1835</v>
      </c>
      <c r="C1513" s="18">
        <v>97110</v>
      </c>
      <c r="D1513" s="2" t="s">
        <v>43</v>
      </c>
      <c r="E1513" s="15">
        <v>5003</v>
      </c>
      <c r="F1513" s="36" t="s">
        <v>237</v>
      </c>
      <c r="G1513" s="15">
        <v>5003</v>
      </c>
      <c r="H1513" s="15">
        <f t="shared" si="24"/>
        <v>0</v>
      </c>
      <c r="I1513" s="19"/>
    </row>
    <row r="1514" spans="1:9" x14ac:dyDescent="0.25">
      <c r="A1514" s="16">
        <v>42749</v>
      </c>
      <c r="B1514" s="17" t="s">
        <v>1836</v>
      </c>
      <c r="C1514" s="18">
        <v>97111</v>
      </c>
      <c r="D1514" s="2" t="s">
        <v>250</v>
      </c>
      <c r="E1514" s="15">
        <v>2485.4</v>
      </c>
      <c r="F1514" s="36" t="s">
        <v>237</v>
      </c>
      <c r="G1514" s="15">
        <v>2485.4</v>
      </c>
      <c r="H1514" s="15">
        <f t="shared" si="24"/>
        <v>0</v>
      </c>
      <c r="I1514" s="19"/>
    </row>
    <row r="1515" spans="1:9" x14ac:dyDescent="0.25">
      <c r="A1515" s="16">
        <v>42749</v>
      </c>
      <c r="B1515" s="17" t="s">
        <v>1837</v>
      </c>
      <c r="C1515" s="18">
        <v>97112</v>
      </c>
      <c r="D1515" s="2" t="s">
        <v>47</v>
      </c>
      <c r="E1515" s="15">
        <v>1767.4</v>
      </c>
      <c r="F1515" s="36" t="s">
        <v>126</v>
      </c>
      <c r="G1515" s="15">
        <v>1767.4</v>
      </c>
      <c r="H1515" s="15">
        <f t="shared" si="24"/>
        <v>0</v>
      </c>
      <c r="I1515" s="19"/>
    </row>
    <row r="1516" spans="1:9" x14ac:dyDescent="0.25">
      <c r="A1516" s="16">
        <v>42749</v>
      </c>
      <c r="B1516" s="17" t="s">
        <v>1838</v>
      </c>
      <c r="C1516" s="18">
        <v>97113</v>
      </c>
      <c r="D1516" s="2" t="s">
        <v>576</v>
      </c>
      <c r="E1516" s="15">
        <v>3877.2</v>
      </c>
      <c r="F1516" s="36" t="s">
        <v>237</v>
      </c>
      <c r="G1516" s="15">
        <v>3877.2</v>
      </c>
      <c r="H1516" s="15">
        <f t="shared" si="24"/>
        <v>0</v>
      </c>
      <c r="I1516" s="19"/>
    </row>
    <row r="1517" spans="1:9" x14ac:dyDescent="0.25">
      <c r="A1517" s="16">
        <v>42749</v>
      </c>
      <c r="B1517" s="17" t="s">
        <v>1839</v>
      </c>
      <c r="C1517" s="18">
        <v>97114</v>
      </c>
      <c r="D1517" s="2" t="s">
        <v>79</v>
      </c>
      <c r="E1517" s="15">
        <v>3712.4</v>
      </c>
      <c r="F1517" s="36" t="s">
        <v>126</v>
      </c>
      <c r="G1517" s="15">
        <v>3712.4</v>
      </c>
      <c r="H1517" s="15">
        <f t="shared" si="24"/>
        <v>0</v>
      </c>
      <c r="I1517" s="19"/>
    </row>
    <row r="1518" spans="1:9" x14ac:dyDescent="0.25">
      <c r="A1518" s="16">
        <v>42749</v>
      </c>
      <c r="B1518" s="17" t="s">
        <v>1840</v>
      </c>
      <c r="C1518" s="18">
        <v>97115</v>
      </c>
      <c r="D1518" s="2" t="s">
        <v>462</v>
      </c>
      <c r="E1518" s="15">
        <v>8442</v>
      </c>
      <c r="F1518" s="36" t="s">
        <v>126</v>
      </c>
      <c r="G1518" s="15">
        <v>8442</v>
      </c>
      <c r="H1518" s="15">
        <f t="shared" si="24"/>
        <v>0</v>
      </c>
      <c r="I1518" s="19"/>
    </row>
    <row r="1519" spans="1:9" x14ac:dyDescent="0.25">
      <c r="A1519" s="16">
        <v>42749</v>
      </c>
      <c r="B1519" s="17" t="s">
        <v>1841</v>
      </c>
      <c r="C1519" s="18">
        <v>97116</v>
      </c>
      <c r="D1519" s="2" t="s">
        <v>30</v>
      </c>
      <c r="E1519" s="15">
        <v>11394.6</v>
      </c>
      <c r="F1519" s="36" t="s">
        <v>126</v>
      </c>
      <c r="G1519" s="15">
        <v>11394.6</v>
      </c>
      <c r="H1519" s="15">
        <f t="shared" si="24"/>
        <v>0</v>
      </c>
      <c r="I1519" s="19"/>
    </row>
    <row r="1520" spans="1:9" x14ac:dyDescent="0.25">
      <c r="A1520" s="16">
        <v>42749</v>
      </c>
      <c r="B1520" s="17" t="s">
        <v>1842</v>
      </c>
      <c r="C1520" s="18">
        <v>97117</v>
      </c>
      <c r="D1520" s="2" t="s">
        <v>30</v>
      </c>
      <c r="E1520" s="15">
        <v>9.4600000000000009</v>
      </c>
      <c r="F1520" s="36" t="s">
        <v>224</v>
      </c>
      <c r="G1520" s="15">
        <v>9.4600000000000009</v>
      </c>
      <c r="H1520" s="15">
        <f t="shared" si="24"/>
        <v>0</v>
      </c>
      <c r="I1520" s="19"/>
    </row>
    <row r="1521" spans="1:9" x14ac:dyDescent="0.25">
      <c r="A1521" s="16">
        <v>42749</v>
      </c>
      <c r="B1521" s="17" t="s">
        <v>1843</v>
      </c>
      <c r="C1521" s="18">
        <v>97118</v>
      </c>
      <c r="D1521" s="2" t="s">
        <v>319</v>
      </c>
      <c r="E1521" s="15">
        <v>3326.4</v>
      </c>
      <c r="F1521" s="36" t="s">
        <v>801</v>
      </c>
      <c r="G1521" s="15">
        <v>3326.4</v>
      </c>
      <c r="H1521" s="15">
        <f t="shared" si="24"/>
        <v>0</v>
      </c>
      <c r="I1521" s="19"/>
    </row>
    <row r="1522" spans="1:9" x14ac:dyDescent="0.25">
      <c r="A1522" s="16">
        <v>42749</v>
      </c>
      <c r="B1522" s="17" t="s">
        <v>1844</v>
      </c>
      <c r="C1522" s="18">
        <v>97119</v>
      </c>
      <c r="D1522" s="2" t="s">
        <v>627</v>
      </c>
      <c r="E1522" s="15">
        <v>2552.6999999999998</v>
      </c>
      <c r="F1522" s="36" t="s">
        <v>126</v>
      </c>
      <c r="G1522" s="15">
        <v>2552.6999999999998</v>
      </c>
      <c r="H1522" s="15">
        <f t="shared" si="24"/>
        <v>0</v>
      </c>
      <c r="I1522" s="19"/>
    </row>
    <row r="1523" spans="1:9" x14ac:dyDescent="0.25">
      <c r="A1523" s="16">
        <v>42749</v>
      </c>
      <c r="B1523" s="17" t="s">
        <v>1845</v>
      </c>
      <c r="C1523" s="18">
        <v>97120</v>
      </c>
      <c r="D1523" s="2" t="s">
        <v>298</v>
      </c>
      <c r="E1523" s="15">
        <v>3850</v>
      </c>
      <c r="F1523" s="36" t="s">
        <v>126</v>
      </c>
      <c r="G1523" s="15">
        <v>3850</v>
      </c>
      <c r="H1523" s="15">
        <f t="shared" si="24"/>
        <v>0</v>
      </c>
      <c r="I1523" s="19"/>
    </row>
    <row r="1524" spans="1:9" x14ac:dyDescent="0.25">
      <c r="A1524" s="16">
        <v>42749</v>
      </c>
      <c r="B1524" s="17" t="s">
        <v>1846</v>
      </c>
      <c r="C1524" s="18">
        <v>97121</v>
      </c>
      <c r="D1524" s="2" t="s">
        <v>111</v>
      </c>
      <c r="E1524" s="15">
        <v>2876.4</v>
      </c>
      <c r="F1524" s="36" t="s">
        <v>126</v>
      </c>
      <c r="G1524" s="15">
        <v>2876.4</v>
      </c>
      <c r="H1524" s="15">
        <f t="shared" si="24"/>
        <v>0</v>
      </c>
      <c r="I1524" s="19"/>
    </row>
    <row r="1525" spans="1:9" x14ac:dyDescent="0.25">
      <c r="A1525" s="16">
        <v>42749</v>
      </c>
      <c r="B1525" s="17" t="s">
        <v>1847</v>
      </c>
      <c r="C1525" s="18">
        <v>97122</v>
      </c>
      <c r="D1525" s="2" t="s">
        <v>101</v>
      </c>
      <c r="E1525" s="15">
        <v>1439.8</v>
      </c>
      <c r="F1525" s="36" t="s">
        <v>126</v>
      </c>
      <c r="G1525" s="15">
        <v>1439.8</v>
      </c>
      <c r="H1525" s="15">
        <f t="shared" si="24"/>
        <v>0</v>
      </c>
      <c r="I1525" s="19"/>
    </row>
    <row r="1526" spans="1:9" x14ac:dyDescent="0.25">
      <c r="A1526" s="16">
        <v>42749</v>
      </c>
      <c r="B1526" s="17" t="s">
        <v>1848</v>
      </c>
      <c r="C1526" s="18">
        <v>97123</v>
      </c>
      <c r="D1526" s="2" t="s">
        <v>281</v>
      </c>
      <c r="E1526" s="15">
        <v>1270</v>
      </c>
      <c r="F1526" s="36" t="s">
        <v>126</v>
      </c>
      <c r="G1526" s="15">
        <v>1270</v>
      </c>
      <c r="H1526" s="15">
        <f t="shared" si="24"/>
        <v>0</v>
      </c>
      <c r="I1526" s="19"/>
    </row>
    <row r="1527" spans="1:9" x14ac:dyDescent="0.25">
      <c r="A1527" s="16">
        <v>42749</v>
      </c>
      <c r="B1527" s="17" t="s">
        <v>1849</v>
      </c>
      <c r="C1527" s="18">
        <v>97124</v>
      </c>
      <c r="D1527" s="2" t="s">
        <v>92</v>
      </c>
      <c r="E1527" s="15">
        <v>3974.4</v>
      </c>
      <c r="F1527" s="36" t="s">
        <v>126</v>
      </c>
      <c r="G1527" s="15">
        <v>3974.4</v>
      </c>
      <c r="H1527" s="15">
        <f t="shared" si="24"/>
        <v>0</v>
      </c>
      <c r="I1527" s="19"/>
    </row>
    <row r="1528" spans="1:9" x14ac:dyDescent="0.25">
      <c r="A1528" s="16">
        <v>42749</v>
      </c>
      <c r="B1528" s="17" t="s">
        <v>1850</v>
      </c>
      <c r="C1528" s="18">
        <v>97125</v>
      </c>
      <c r="D1528" s="2" t="s">
        <v>135</v>
      </c>
      <c r="E1528" s="15">
        <v>1024</v>
      </c>
      <c r="F1528" s="36" t="s">
        <v>126</v>
      </c>
      <c r="G1528" s="15">
        <v>1024</v>
      </c>
      <c r="H1528" s="15">
        <f t="shared" si="24"/>
        <v>0</v>
      </c>
      <c r="I1528" s="19"/>
    </row>
    <row r="1529" spans="1:9" x14ac:dyDescent="0.25">
      <c r="A1529" s="16">
        <v>42749</v>
      </c>
      <c r="B1529" s="17" t="s">
        <v>1851</v>
      </c>
      <c r="C1529" s="18">
        <v>97126</v>
      </c>
      <c r="D1529" s="2" t="s">
        <v>30</v>
      </c>
      <c r="E1529" s="15">
        <v>786.2</v>
      </c>
      <c r="F1529" s="36" t="s">
        <v>126</v>
      </c>
      <c r="G1529" s="15">
        <v>786.2</v>
      </c>
      <c r="H1529" s="15">
        <f t="shared" si="24"/>
        <v>0</v>
      </c>
      <c r="I1529" s="19"/>
    </row>
    <row r="1530" spans="1:9" x14ac:dyDescent="0.25">
      <c r="A1530" s="16">
        <v>42749</v>
      </c>
      <c r="B1530" s="17" t="s">
        <v>1852</v>
      </c>
      <c r="C1530" s="18">
        <v>97127</v>
      </c>
      <c r="D1530" s="2" t="s">
        <v>448</v>
      </c>
      <c r="E1530" s="15">
        <v>366.6</v>
      </c>
      <c r="F1530" s="36" t="s">
        <v>126</v>
      </c>
      <c r="G1530" s="15">
        <v>366.6</v>
      </c>
      <c r="H1530" s="15">
        <f t="shared" si="24"/>
        <v>0</v>
      </c>
      <c r="I1530" s="19"/>
    </row>
    <row r="1531" spans="1:9" x14ac:dyDescent="0.25">
      <c r="A1531" s="16">
        <v>42749</v>
      </c>
      <c r="B1531" s="17" t="s">
        <v>1853</v>
      </c>
      <c r="C1531" s="18">
        <v>97128</v>
      </c>
      <c r="D1531" s="13" t="s">
        <v>1081</v>
      </c>
      <c r="E1531" s="14">
        <v>0</v>
      </c>
      <c r="F1531" s="123" t="s">
        <v>95</v>
      </c>
      <c r="G1531" s="14">
        <v>0</v>
      </c>
      <c r="H1531" s="14">
        <f t="shared" si="24"/>
        <v>0</v>
      </c>
      <c r="I1531" s="19"/>
    </row>
    <row r="1532" spans="1:9" x14ac:dyDescent="0.25">
      <c r="A1532" s="16">
        <v>42749</v>
      </c>
      <c r="B1532" s="17" t="s">
        <v>1854</v>
      </c>
      <c r="C1532" s="18">
        <v>97129</v>
      </c>
      <c r="D1532" s="2" t="s">
        <v>1081</v>
      </c>
      <c r="E1532" s="15">
        <v>1307.52</v>
      </c>
      <c r="F1532" s="36" t="s">
        <v>126</v>
      </c>
      <c r="G1532" s="15">
        <v>1307.52</v>
      </c>
      <c r="H1532" s="15">
        <f t="shared" si="24"/>
        <v>0</v>
      </c>
      <c r="I1532" s="19"/>
    </row>
    <row r="1533" spans="1:9" x14ac:dyDescent="0.25">
      <c r="A1533" s="16">
        <v>42749</v>
      </c>
      <c r="B1533" s="17" t="s">
        <v>1855</v>
      </c>
      <c r="C1533" s="18">
        <v>97130</v>
      </c>
      <c r="D1533" s="2" t="s">
        <v>293</v>
      </c>
      <c r="E1533" s="15">
        <v>780</v>
      </c>
      <c r="F1533" s="36" t="s">
        <v>126</v>
      </c>
      <c r="G1533" s="15">
        <v>780</v>
      </c>
      <c r="H1533" s="15">
        <f t="shared" si="24"/>
        <v>0</v>
      </c>
      <c r="I1533" s="19"/>
    </row>
    <row r="1534" spans="1:9" x14ac:dyDescent="0.25">
      <c r="A1534" s="16">
        <v>42749</v>
      </c>
      <c r="B1534" s="17" t="s">
        <v>1856</v>
      </c>
      <c r="C1534" s="18">
        <v>97131</v>
      </c>
      <c r="D1534" s="2" t="s">
        <v>99</v>
      </c>
      <c r="E1534" s="15">
        <v>4140</v>
      </c>
      <c r="F1534" s="36" t="s">
        <v>126</v>
      </c>
      <c r="G1534" s="15">
        <v>4140</v>
      </c>
      <c r="H1534" s="15">
        <f t="shared" si="24"/>
        <v>0</v>
      </c>
      <c r="I1534" s="19"/>
    </row>
    <row r="1535" spans="1:9" x14ac:dyDescent="0.25">
      <c r="A1535" s="16">
        <v>42749</v>
      </c>
      <c r="B1535" s="17" t="s">
        <v>1857</v>
      </c>
      <c r="C1535" s="18">
        <v>97132</v>
      </c>
      <c r="D1535" s="2" t="s">
        <v>291</v>
      </c>
      <c r="E1535" s="15">
        <v>1983.4</v>
      </c>
      <c r="F1535" s="36" t="s">
        <v>126</v>
      </c>
      <c r="G1535" s="15">
        <v>1983.4</v>
      </c>
      <c r="H1535" s="15">
        <f t="shared" si="24"/>
        <v>0</v>
      </c>
      <c r="I1535" s="19"/>
    </row>
    <row r="1536" spans="1:9" x14ac:dyDescent="0.25">
      <c r="A1536" s="16">
        <v>42749</v>
      </c>
      <c r="B1536" s="17" t="s">
        <v>1858</v>
      </c>
      <c r="C1536" s="18">
        <v>97133</v>
      </c>
      <c r="D1536" s="2" t="s">
        <v>188</v>
      </c>
      <c r="E1536" s="15">
        <v>6671.5</v>
      </c>
      <c r="F1536" s="36" t="s">
        <v>801</v>
      </c>
      <c r="G1536" s="15">
        <v>6671.5</v>
      </c>
      <c r="H1536" s="15">
        <f t="shared" si="24"/>
        <v>0</v>
      </c>
      <c r="I1536" s="19"/>
    </row>
    <row r="1537" spans="1:9" x14ac:dyDescent="0.25">
      <c r="A1537" s="16">
        <v>42749</v>
      </c>
      <c r="B1537" s="17" t="s">
        <v>1859</v>
      </c>
      <c r="C1537" s="18">
        <v>97134</v>
      </c>
      <c r="D1537" s="2" t="s">
        <v>168</v>
      </c>
      <c r="E1537" s="15">
        <v>664.2</v>
      </c>
      <c r="F1537" s="36" t="s">
        <v>126</v>
      </c>
      <c r="G1537" s="15">
        <v>664.2</v>
      </c>
      <c r="H1537" s="15">
        <f t="shared" si="24"/>
        <v>0</v>
      </c>
      <c r="I1537" s="19"/>
    </row>
    <row r="1538" spans="1:9" x14ac:dyDescent="0.25">
      <c r="A1538" s="16">
        <v>42749</v>
      </c>
      <c r="B1538" s="17" t="s">
        <v>1860</v>
      </c>
      <c r="C1538" s="18">
        <v>97135</v>
      </c>
      <c r="D1538" s="2" t="s">
        <v>83</v>
      </c>
      <c r="E1538" s="15">
        <v>5936.1</v>
      </c>
      <c r="F1538" s="36" t="s">
        <v>126</v>
      </c>
      <c r="G1538" s="15">
        <v>5936.1</v>
      </c>
      <c r="H1538" s="15">
        <f t="shared" si="24"/>
        <v>0</v>
      </c>
      <c r="I1538" s="19"/>
    </row>
    <row r="1539" spans="1:9" x14ac:dyDescent="0.25">
      <c r="A1539" s="16">
        <v>42749</v>
      </c>
      <c r="B1539" s="17" t="s">
        <v>1861</v>
      </c>
      <c r="C1539" s="18">
        <v>97136</v>
      </c>
      <c r="D1539" s="2" t="s">
        <v>88</v>
      </c>
      <c r="E1539" s="15">
        <v>2322</v>
      </c>
      <c r="F1539" s="36" t="s">
        <v>126</v>
      </c>
      <c r="G1539" s="15">
        <v>2322</v>
      </c>
      <c r="H1539" s="15">
        <f t="shared" si="24"/>
        <v>0</v>
      </c>
      <c r="I1539" s="19"/>
    </row>
    <row r="1540" spans="1:9" x14ac:dyDescent="0.25">
      <c r="A1540" s="16">
        <v>42749</v>
      </c>
      <c r="B1540" s="17" t="s">
        <v>1862</v>
      </c>
      <c r="C1540" s="18">
        <v>97137</v>
      </c>
      <c r="D1540" s="2" t="s">
        <v>81</v>
      </c>
      <c r="E1540" s="15">
        <v>1200.5</v>
      </c>
      <c r="F1540" s="36" t="s">
        <v>126</v>
      </c>
      <c r="G1540" s="15">
        <v>1200.5</v>
      </c>
      <c r="H1540" s="15">
        <f t="shared" si="24"/>
        <v>0</v>
      </c>
      <c r="I1540" s="19"/>
    </row>
    <row r="1541" spans="1:9" x14ac:dyDescent="0.25">
      <c r="A1541" s="16">
        <v>42749</v>
      </c>
      <c r="B1541" s="17" t="s">
        <v>1863</v>
      </c>
      <c r="C1541" s="18">
        <v>97138</v>
      </c>
      <c r="D1541" s="2" t="s">
        <v>445</v>
      </c>
      <c r="E1541" s="15">
        <v>1119.4000000000001</v>
      </c>
      <c r="F1541" s="36" t="s">
        <v>126</v>
      </c>
      <c r="G1541" s="15">
        <v>1119.4000000000001</v>
      </c>
      <c r="H1541" s="15">
        <f t="shared" si="24"/>
        <v>0</v>
      </c>
      <c r="I1541" s="19"/>
    </row>
    <row r="1542" spans="1:9" x14ac:dyDescent="0.25">
      <c r="A1542" s="16">
        <v>42749</v>
      </c>
      <c r="B1542" s="17" t="s">
        <v>1864</v>
      </c>
      <c r="C1542" s="18">
        <v>97139</v>
      </c>
      <c r="D1542" s="2" t="s">
        <v>92</v>
      </c>
      <c r="E1542" s="15">
        <v>3266</v>
      </c>
      <c r="F1542" s="36" t="s">
        <v>126</v>
      </c>
      <c r="G1542" s="15">
        <v>3266</v>
      </c>
      <c r="H1542" s="15">
        <f t="shared" ref="H1542:H1605" si="25">E1542-G1542</f>
        <v>0</v>
      </c>
      <c r="I1542" s="19"/>
    </row>
    <row r="1543" spans="1:9" x14ac:dyDescent="0.25">
      <c r="A1543" s="16">
        <v>42749</v>
      </c>
      <c r="B1543" s="17" t="s">
        <v>1865</v>
      </c>
      <c r="C1543" s="18">
        <v>97140</v>
      </c>
      <c r="D1543" s="2" t="s">
        <v>88</v>
      </c>
      <c r="E1543" s="15">
        <v>8589</v>
      </c>
      <c r="F1543" s="36" t="s">
        <v>126</v>
      </c>
      <c r="G1543" s="15">
        <v>8589</v>
      </c>
      <c r="H1543" s="15">
        <f t="shared" si="25"/>
        <v>0</v>
      </c>
      <c r="I1543" s="19"/>
    </row>
    <row r="1544" spans="1:9" x14ac:dyDescent="0.25">
      <c r="A1544" s="16">
        <v>42749</v>
      </c>
      <c r="B1544" s="17" t="s">
        <v>1866</v>
      </c>
      <c r="C1544" s="18">
        <v>97141</v>
      </c>
      <c r="D1544" s="2" t="s">
        <v>712</v>
      </c>
      <c r="E1544" s="15">
        <v>4640</v>
      </c>
      <c r="F1544" s="36" t="s">
        <v>126</v>
      </c>
      <c r="G1544" s="15">
        <v>4640</v>
      </c>
      <c r="H1544" s="15">
        <f t="shared" si="25"/>
        <v>0</v>
      </c>
      <c r="I1544" s="19"/>
    </row>
    <row r="1545" spans="1:9" x14ac:dyDescent="0.25">
      <c r="A1545" s="16">
        <v>42749</v>
      </c>
      <c r="B1545" s="17" t="s">
        <v>1867</v>
      </c>
      <c r="C1545" s="18">
        <v>97142</v>
      </c>
      <c r="D1545" s="2" t="s">
        <v>305</v>
      </c>
      <c r="E1545" s="15">
        <v>5460.6</v>
      </c>
      <c r="F1545" s="36" t="s">
        <v>317</v>
      </c>
      <c r="G1545" s="15">
        <v>5460.6</v>
      </c>
      <c r="H1545" s="15">
        <f t="shared" si="25"/>
        <v>0</v>
      </c>
      <c r="I1545" s="19"/>
    </row>
    <row r="1546" spans="1:9" x14ac:dyDescent="0.25">
      <c r="A1546" s="16">
        <v>42749</v>
      </c>
      <c r="B1546" s="17" t="s">
        <v>1868</v>
      </c>
      <c r="C1546" s="18">
        <v>97143</v>
      </c>
      <c r="D1546" s="2" t="s">
        <v>476</v>
      </c>
      <c r="E1546" s="15">
        <v>15434.6</v>
      </c>
      <c r="F1546" s="36" t="s">
        <v>317</v>
      </c>
      <c r="G1546" s="15">
        <v>15434.6</v>
      </c>
      <c r="H1546" s="15">
        <f t="shared" si="25"/>
        <v>0</v>
      </c>
      <c r="I1546" s="19"/>
    </row>
    <row r="1547" spans="1:9" x14ac:dyDescent="0.25">
      <c r="A1547" s="16">
        <v>42749</v>
      </c>
      <c r="B1547" s="17" t="s">
        <v>1869</v>
      </c>
      <c r="C1547" s="18">
        <v>97144</v>
      </c>
      <c r="D1547" s="2" t="s">
        <v>1870</v>
      </c>
      <c r="E1547" s="15">
        <v>232.8</v>
      </c>
      <c r="F1547" s="36" t="s">
        <v>126</v>
      </c>
      <c r="G1547" s="15">
        <v>232.8</v>
      </c>
      <c r="H1547" s="15">
        <f t="shared" si="25"/>
        <v>0</v>
      </c>
      <c r="I1547" s="19"/>
    </row>
    <row r="1548" spans="1:9" x14ac:dyDescent="0.25">
      <c r="A1548" s="16">
        <v>42749</v>
      </c>
      <c r="B1548" s="17" t="s">
        <v>1871</v>
      </c>
      <c r="C1548" s="18">
        <v>97145</v>
      </c>
      <c r="D1548" s="2" t="s">
        <v>159</v>
      </c>
      <c r="E1548" s="15">
        <v>5043.8</v>
      </c>
      <c r="F1548" s="36" t="s">
        <v>237</v>
      </c>
      <c r="G1548" s="15">
        <v>5043.8</v>
      </c>
      <c r="H1548" s="15">
        <f t="shared" si="25"/>
        <v>0</v>
      </c>
      <c r="I1548" s="19"/>
    </row>
    <row r="1549" spans="1:9" x14ac:dyDescent="0.25">
      <c r="A1549" s="16">
        <v>42749</v>
      </c>
      <c r="B1549" s="17" t="s">
        <v>1872</v>
      </c>
      <c r="C1549" s="18">
        <v>97146</v>
      </c>
      <c r="D1549" s="2" t="s">
        <v>109</v>
      </c>
      <c r="E1549" s="15">
        <v>2838</v>
      </c>
      <c r="F1549" s="36" t="s">
        <v>126</v>
      </c>
      <c r="G1549" s="15">
        <v>2838</v>
      </c>
      <c r="H1549" s="15">
        <f t="shared" si="25"/>
        <v>0</v>
      </c>
      <c r="I1549" s="19"/>
    </row>
    <row r="1550" spans="1:9" x14ac:dyDescent="0.25">
      <c r="A1550" s="16">
        <v>42749</v>
      </c>
      <c r="B1550" s="17" t="s">
        <v>1873</v>
      </c>
      <c r="C1550" s="18">
        <v>97147</v>
      </c>
      <c r="D1550" s="2" t="s">
        <v>476</v>
      </c>
      <c r="E1550" s="15">
        <v>369.6</v>
      </c>
      <c r="F1550" s="36" t="s">
        <v>317</v>
      </c>
      <c r="G1550" s="15">
        <v>369.6</v>
      </c>
      <c r="H1550" s="15">
        <f t="shared" si="25"/>
        <v>0</v>
      </c>
      <c r="I1550" s="19"/>
    </row>
    <row r="1551" spans="1:9" x14ac:dyDescent="0.25">
      <c r="A1551" s="16">
        <v>42749</v>
      </c>
      <c r="B1551" s="17" t="s">
        <v>1874</v>
      </c>
      <c r="C1551" s="18">
        <v>97148</v>
      </c>
      <c r="D1551" s="2" t="s">
        <v>1267</v>
      </c>
      <c r="E1551" s="15">
        <v>5529.6</v>
      </c>
      <c r="F1551" s="36" t="s">
        <v>126</v>
      </c>
      <c r="G1551" s="15">
        <v>5529.6</v>
      </c>
      <c r="H1551" s="15">
        <f t="shared" si="25"/>
        <v>0</v>
      </c>
      <c r="I1551" s="19"/>
    </row>
    <row r="1552" spans="1:9" x14ac:dyDescent="0.25">
      <c r="A1552" s="16">
        <v>42749</v>
      </c>
      <c r="B1552" s="17" t="s">
        <v>1875</v>
      </c>
      <c r="C1552" s="18">
        <v>97149</v>
      </c>
      <c r="D1552" s="2" t="s">
        <v>613</v>
      </c>
      <c r="E1552" s="15">
        <v>4620.1000000000004</v>
      </c>
      <c r="F1552" s="36" t="s">
        <v>126</v>
      </c>
      <c r="G1552" s="15">
        <v>4620.1000000000004</v>
      </c>
      <c r="H1552" s="15">
        <f t="shared" si="25"/>
        <v>0</v>
      </c>
      <c r="I1552" s="19"/>
    </row>
    <row r="1553" spans="1:9" x14ac:dyDescent="0.25">
      <c r="A1553" s="16">
        <v>42749</v>
      </c>
      <c r="B1553" s="17" t="s">
        <v>1876</v>
      </c>
      <c r="C1553" s="18">
        <v>97150</v>
      </c>
      <c r="D1553" s="2" t="s">
        <v>30</v>
      </c>
      <c r="E1553" s="15">
        <v>9254</v>
      </c>
      <c r="F1553" s="36" t="s">
        <v>801</v>
      </c>
      <c r="G1553" s="15">
        <v>9254</v>
      </c>
      <c r="H1553" s="15">
        <f t="shared" si="25"/>
        <v>0</v>
      </c>
      <c r="I1553" s="19"/>
    </row>
    <row r="1554" spans="1:9" x14ac:dyDescent="0.25">
      <c r="A1554" s="16">
        <v>42749</v>
      </c>
      <c r="B1554" s="17" t="s">
        <v>1877</v>
      </c>
      <c r="C1554" s="18">
        <v>97151</v>
      </c>
      <c r="D1554" s="2" t="s">
        <v>61</v>
      </c>
      <c r="E1554" s="15">
        <v>5311</v>
      </c>
      <c r="F1554" s="36" t="s">
        <v>801</v>
      </c>
      <c r="G1554" s="15">
        <v>5311</v>
      </c>
      <c r="H1554" s="15">
        <f t="shared" si="25"/>
        <v>0</v>
      </c>
      <c r="I1554" s="19"/>
    </row>
    <row r="1555" spans="1:9" x14ac:dyDescent="0.25">
      <c r="A1555" s="16">
        <v>42749</v>
      </c>
      <c r="B1555" s="17" t="s">
        <v>1878</v>
      </c>
      <c r="C1555" s="18">
        <v>97152</v>
      </c>
      <c r="D1555" s="2" t="s">
        <v>45</v>
      </c>
      <c r="E1555" s="15">
        <v>3116.2</v>
      </c>
      <c r="F1555" s="36" t="s">
        <v>801</v>
      </c>
      <c r="G1555" s="15">
        <v>3116.2</v>
      </c>
      <c r="H1555" s="15">
        <f t="shared" si="25"/>
        <v>0</v>
      </c>
      <c r="I1555" s="19"/>
    </row>
    <row r="1556" spans="1:9" x14ac:dyDescent="0.25">
      <c r="A1556" s="16">
        <v>42749</v>
      </c>
      <c r="B1556" s="17" t="s">
        <v>1879</v>
      </c>
      <c r="C1556" s="18">
        <v>97153</v>
      </c>
      <c r="D1556" s="2" t="s">
        <v>57</v>
      </c>
      <c r="E1556" s="15">
        <v>644</v>
      </c>
      <c r="F1556" s="36" t="s">
        <v>801</v>
      </c>
      <c r="G1556" s="15">
        <v>644</v>
      </c>
      <c r="H1556" s="15">
        <f t="shared" si="25"/>
        <v>0</v>
      </c>
      <c r="I1556" s="19"/>
    </row>
    <row r="1557" spans="1:9" x14ac:dyDescent="0.25">
      <c r="A1557" s="16">
        <v>42749</v>
      </c>
      <c r="B1557" s="17" t="s">
        <v>1880</v>
      </c>
      <c r="C1557" s="18">
        <v>97154</v>
      </c>
      <c r="D1557" s="2" t="s">
        <v>492</v>
      </c>
      <c r="E1557" s="15">
        <v>26541.599999999999</v>
      </c>
      <c r="F1557" s="36" t="s">
        <v>126</v>
      </c>
      <c r="G1557" s="15">
        <v>26541.599999999999</v>
      </c>
      <c r="H1557" s="15">
        <f t="shared" si="25"/>
        <v>0</v>
      </c>
      <c r="I1557" s="19"/>
    </row>
    <row r="1558" spans="1:9" x14ac:dyDescent="0.25">
      <c r="A1558" s="16">
        <v>42749</v>
      </c>
      <c r="B1558" s="17" t="s">
        <v>1881</v>
      </c>
      <c r="C1558" s="18">
        <v>97155</v>
      </c>
      <c r="D1558" s="2" t="s">
        <v>930</v>
      </c>
      <c r="E1558" s="15">
        <v>32201.4</v>
      </c>
      <c r="F1558" s="36" t="s">
        <v>237</v>
      </c>
      <c r="G1558" s="15">
        <v>32201.4</v>
      </c>
      <c r="H1558" s="15">
        <f t="shared" si="25"/>
        <v>0</v>
      </c>
      <c r="I1558" s="19"/>
    </row>
    <row r="1559" spans="1:9" x14ac:dyDescent="0.25">
      <c r="A1559" s="16">
        <v>42749</v>
      </c>
      <c r="B1559" s="17" t="s">
        <v>1882</v>
      </c>
      <c r="C1559" s="18">
        <v>97156</v>
      </c>
      <c r="D1559" s="2" t="s">
        <v>63</v>
      </c>
      <c r="E1559" s="15">
        <v>1104.4000000000001</v>
      </c>
      <c r="F1559" s="36" t="s">
        <v>801</v>
      </c>
      <c r="G1559" s="15">
        <v>1104.4000000000001</v>
      </c>
      <c r="H1559" s="15">
        <f t="shared" si="25"/>
        <v>0</v>
      </c>
      <c r="I1559" s="19"/>
    </row>
    <row r="1560" spans="1:9" x14ac:dyDescent="0.25">
      <c r="A1560" s="16">
        <v>42749</v>
      </c>
      <c r="B1560" s="17" t="s">
        <v>1883</v>
      </c>
      <c r="C1560" s="18">
        <v>97157</v>
      </c>
      <c r="D1560" s="2" t="s">
        <v>1293</v>
      </c>
      <c r="E1560" s="15">
        <v>3938.8</v>
      </c>
      <c r="F1560" s="36" t="s">
        <v>801</v>
      </c>
      <c r="G1560" s="15">
        <v>3938.8</v>
      </c>
      <c r="H1560" s="15">
        <f t="shared" si="25"/>
        <v>0</v>
      </c>
      <c r="I1560" s="19"/>
    </row>
    <row r="1561" spans="1:9" x14ac:dyDescent="0.25">
      <c r="A1561" s="16">
        <v>42749</v>
      </c>
      <c r="B1561" s="17" t="s">
        <v>1884</v>
      </c>
      <c r="C1561" s="18">
        <v>97158</v>
      </c>
      <c r="D1561" s="2" t="s">
        <v>1299</v>
      </c>
      <c r="E1561" s="15">
        <v>8826.4</v>
      </c>
      <c r="F1561" s="36" t="s">
        <v>126</v>
      </c>
      <c r="G1561" s="15">
        <v>8826.4</v>
      </c>
      <c r="H1561" s="15">
        <f t="shared" si="25"/>
        <v>0</v>
      </c>
      <c r="I1561" s="19"/>
    </row>
    <row r="1562" spans="1:9" x14ac:dyDescent="0.25">
      <c r="A1562" s="16">
        <v>42749</v>
      </c>
      <c r="B1562" s="17" t="s">
        <v>1885</v>
      </c>
      <c r="C1562" s="18">
        <v>97159</v>
      </c>
      <c r="D1562" s="2" t="s">
        <v>480</v>
      </c>
      <c r="E1562" s="15">
        <v>1929.56</v>
      </c>
      <c r="F1562" s="36" t="s">
        <v>801</v>
      </c>
      <c r="G1562" s="15">
        <v>1929.56</v>
      </c>
      <c r="H1562" s="15">
        <f t="shared" si="25"/>
        <v>0</v>
      </c>
      <c r="I1562" s="19"/>
    </row>
    <row r="1563" spans="1:9" x14ac:dyDescent="0.25">
      <c r="A1563" s="16">
        <v>42749</v>
      </c>
      <c r="B1563" s="17" t="s">
        <v>1886</v>
      </c>
      <c r="C1563" s="18">
        <v>97160</v>
      </c>
      <c r="D1563" s="2" t="s">
        <v>331</v>
      </c>
      <c r="E1563" s="15">
        <v>4489.2</v>
      </c>
      <c r="F1563" s="36" t="s">
        <v>801</v>
      </c>
      <c r="G1563" s="15">
        <v>4489.2</v>
      </c>
      <c r="H1563" s="15">
        <f t="shared" si="25"/>
        <v>0</v>
      </c>
      <c r="I1563" s="19"/>
    </row>
    <row r="1564" spans="1:9" x14ac:dyDescent="0.25">
      <c r="A1564" s="16">
        <v>42749</v>
      </c>
      <c r="B1564" s="17" t="s">
        <v>1887</v>
      </c>
      <c r="C1564" s="18">
        <v>97161</v>
      </c>
      <c r="D1564" s="2" t="s">
        <v>486</v>
      </c>
      <c r="E1564" s="15">
        <v>3292.8</v>
      </c>
      <c r="F1564" s="36" t="s">
        <v>801</v>
      </c>
      <c r="G1564" s="15">
        <v>3292.8</v>
      </c>
      <c r="H1564" s="15">
        <f t="shared" si="25"/>
        <v>0</v>
      </c>
      <c r="I1564" s="19"/>
    </row>
    <row r="1565" spans="1:9" x14ac:dyDescent="0.25">
      <c r="A1565" s="16">
        <v>42749</v>
      </c>
      <c r="B1565" s="17" t="s">
        <v>1888</v>
      </c>
      <c r="C1565" s="18">
        <v>97162</v>
      </c>
      <c r="D1565" s="2" t="s">
        <v>125</v>
      </c>
      <c r="E1565" s="15">
        <v>30670.5</v>
      </c>
      <c r="F1565" s="36" t="s">
        <v>1889</v>
      </c>
      <c r="G1565" s="15">
        <v>30670.5</v>
      </c>
      <c r="H1565" s="15">
        <f t="shared" si="25"/>
        <v>0</v>
      </c>
      <c r="I1565" s="19"/>
    </row>
    <row r="1566" spans="1:9" x14ac:dyDescent="0.25">
      <c r="A1566" s="16">
        <v>42749</v>
      </c>
      <c r="B1566" s="17" t="s">
        <v>1890</v>
      </c>
      <c r="C1566" s="18">
        <v>97163</v>
      </c>
      <c r="D1566" s="2" t="s">
        <v>53</v>
      </c>
      <c r="E1566" s="15">
        <v>3766.4</v>
      </c>
      <c r="F1566" s="36" t="s">
        <v>801</v>
      </c>
      <c r="G1566" s="15">
        <v>3766.4</v>
      </c>
      <c r="H1566" s="15">
        <f t="shared" si="25"/>
        <v>0</v>
      </c>
      <c r="I1566" s="19"/>
    </row>
    <row r="1567" spans="1:9" x14ac:dyDescent="0.25">
      <c r="A1567" s="16">
        <v>42749</v>
      </c>
      <c r="B1567" s="17" t="s">
        <v>1891</v>
      </c>
      <c r="C1567" s="18">
        <v>97164</v>
      </c>
      <c r="D1567" s="2" t="s">
        <v>61</v>
      </c>
      <c r="E1567" s="15">
        <v>1708.4</v>
      </c>
      <c r="F1567" s="36" t="s">
        <v>801</v>
      </c>
      <c r="G1567" s="15">
        <v>1708.4</v>
      </c>
      <c r="H1567" s="15">
        <f t="shared" si="25"/>
        <v>0</v>
      </c>
      <c r="I1567" s="19"/>
    </row>
    <row r="1568" spans="1:9" x14ac:dyDescent="0.25">
      <c r="A1568" s="16">
        <v>42749</v>
      </c>
      <c r="B1568" s="17" t="s">
        <v>1892</v>
      </c>
      <c r="C1568" s="18">
        <v>97165</v>
      </c>
      <c r="D1568" s="2" t="s">
        <v>193</v>
      </c>
      <c r="E1568" s="15">
        <v>2439</v>
      </c>
      <c r="F1568" s="36" t="s">
        <v>801</v>
      </c>
      <c r="G1568" s="15">
        <v>2439</v>
      </c>
      <c r="H1568" s="15">
        <f t="shared" si="25"/>
        <v>0</v>
      </c>
      <c r="I1568" s="19"/>
    </row>
    <row r="1569" spans="1:9" x14ac:dyDescent="0.25">
      <c r="A1569" s="16">
        <v>42749</v>
      </c>
      <c r="B1569" s="17" t="s">
        <v>1893</v>
      </c>
      <c r="C1569" s="18">
        <v>97166</v>
      </c>
      <c r="D1569" s="2" t="s">
        <v>131</v>
      </c>
      <c r="E1569" s="15">
        <v>4473</v>
      </c>
      <c r="F1569" s="36" t="s">
        <v>126</v>
      </c>
      <c r="G1569" s="15">
        <v>4473</v>
      </c>
      <c r="H1569" s="15">
        <f t="shared" si="25"/>
        <v>0</v>
      </c>
      <c r="I1569" s="19"/>
    </row>
    <row r="1570" spans="1:9" x14ac:dyDescent="0.25">
      <c r="A1570" s="16">
        <v>42749</v>
      </c>
      <c r="B1570" s="17" t="s">
        <v>1894</v>
      </c>
      <c r="C1570" s="18">
        <v>97167</v>
      </c>
      <c r="D1570" s="2" t="s">
        <v>30</v>
      </c>
      <c r="E1570" s="15">
        <v>1135.8</v>
      </c>
      <c r="F1570" s="36" t="s">
        <v>126</v>
      </c>
      <c r="G1570" s="15">
        <v>1135.8</v>
      </c>
      <c r="H1570" s="15">
        <f t="shared" si="25"/>
        <v>0</v>
      </c>
      <c r="I1570" s="19"/>
    </row>
    <row r="1571" spans="1:9" x14ac:dyDescent="0.25">
      <c r="A1571" s="16">
        <v>42749</v>
      </c>
      <c r="B1571" s="17" t="s">
        <v>1895</v>
      </c>
      <c r="C1571" s="18">
        <v>97168</v>
      </c>
      <c r="D1571" s="2" t="s">
        <v>277</v>
      </c>
      <c r="E1571" s="15">
        <v>2277</v>
      </c>
      <c r="F1571" s="36" t="s">
        <v>126</v>
      </c>
      <c r="G1571" s="15">
        <v>2277</v>
      </c>
      <c r="H1571" s="15">
        <f t="shared" si="25"/>
        <v>0</v>
      </c>
      <c r="I1571" s="19"/>
    </row>
    <row r="1572" spans="1:9" x14ac:dyDescent="0.25">
      <c r="A1572" s="16">
        <v>42749</v>
      </c>
      <c r="B1572" s="17" t="s">
        <v>1896</v>
      </c>
      <c r="C1572" s="18">
        <v>97169</v>
      </c>
      <c r="D1572" s="2" t="s">
        <v>122</v>
      </c>
      <c r="E1572" s="15">
        <v>9785</v>
      </c>
      <c r="F1572" s="36" t="s">
        <v>1173</v>
      </c>
      <c r="G1572" s="15">
        <v>9785</v>
      </c>
      <c r="H1572" s="15">
        <f t="shared" si="25"/>
        <v>0</v>
      </c>
      <c r="I1572" s="19"/>
    </row>
    <row r="1573" spans="1:9" x14ac:dyDescent="0.25">
      <c r="A1573" s="16">
        <v>42749</v>
      </c>
      <c r="B1573" s="17" t="s">
        <v>1897</v>
      </c>
      <c r="C1573" s="18">
        <v>97170</v>
      </c>
      <c r="D1573" s="13" t="s">
        <v>289</v>
      </c>
      <c r="E1573" s="14">
        <v>0</v>
      </c>
      <c r="F1573" s="123" t="s">
        <v>95</v>
      </c>
      <c r="G1573" s="14">
        <v>0</v>
      </c>
      <c r="H1573" s="14">
        <f t="shared" si="25"/>
        <v>0</v>
      </c>
      <c r="I1573" s="19"/>
    </row>
    <row r="1574" spans="1:9" x14ac:dyDescent="0.25">
      <c r="A1574" s="16">
        <v>42749</v>
      </c>
      <c r="B1574" s="17" t="s">
        <v>1898</v>
      </c>
      <c r="C1574" s="18">
        <v>97171</v>
      </c>
      <c r="D1574" s="2" t="s">
        <v>609</v>
      </c>
      <c r="E1574" s="15">
        <v>45171</v>
      </c>
      <c r="F1574" s="36" t="s">
        <v>224</v>
      </c>
      <c r="G1574" s="15">
        <v>45171</v>
      </c>
      <c r="H1574" s="15">
        <f t="shared" si="25"/>
        <v>0</v>
      </c>
      <c r="I1574" s="19"/>
    </row>
    <row r="1575" spans="1:9" x14ac:dyDescent="0.25">
      <c r="A1575" s="16">
        <v>42749</v>
      </c>
      <c r="B1575" s="17" t="s">
        <v>1899</v>
      </c>
      <c r="C1575" s="18">
        <v>97172</v>
      </c>
      <c r="D1575" s="2" t="s">
        <v>133</v>
      </c>
      <c r="E1575" s="15">
        <v>482.3</v>
      </c>
      <c r="F1575" s="36" t="s">
        <v>126</v>
      </c>
      <c r="G1575" s="15">
        <v>482.3</v>
      </c>
      <c r="H1575" s="15">
        <f t="shared" si="25"/>
        <v>0</v>
      </c>
      <c r="I1575" s="19"/>
    </row>
    <row r="1576" spans="1:9" x14ac:dyDescent="0.25">
      <c r="A1576" s="16">
        <v>42749</v>
      </c>
      <c r="B1576" s="17" t="s">
        <v>1900</v>
      </c>
      <c r="C1576" s="18">
        <v>97173</v>
      </c>
      <c r="D1576" s="2" t="s">
        <v>470</v>
      </c>
      <c r="E1576" s="15">
        <v>12229.4</v>
      </c>
      <c r="F1576" s="36" t="s">
        <v>126</v>
      </c>
      <c r="G1576" s="15">
        <v>12229.4</v>
      </c>
      <c r="H1576" s="15">
        <f t="shared" si="25"/>
        <v>0</v>
      </c>
      <c r="I1576" s="19"/>
    </row>
    <row r="1577" spans="1:9" x14ac:dyDescent="0.25">
      <c r="A1577" s="16">
        <v>42749</v>
      </c>
      <c r="B1577" s="17" t="s">
        <v>1901</v>
      </c>
      <c r="C1577" s="18">
        <v>97174</v>
      </c>
      <c r="D1577" s="2" t="s">
        <v>182</v>
      </c>
      <c r="E1577" s="15">
        <v>5060</v>
      </c>
      <c r="F1577" s="36" t="s">
        <v>801</v>
      </c>
      <c r="G1577" s="15">
        <v>5060</v>
      </c>
      <c r="H1577" s="15">
        <f t="shared" si="25"/>
        <v>0</v>
      </c>
      <c r="I1577" s="19"/>
    </row>
    <row r="1578" spans="1:9" x14ac:dyDescent="0.25">
      <c r="A1578" s="16">
        <v>42749</v>
      </c>
      <c r="B1578" s="17" t="s">
        <v>1902</v>
      </c>
      <c r="C1578" s="18">
        <v>97175</v>
      </c>
      <c r="D1578" s="2" t="s">
        <v>128</v>
      </c>
      <c r="E1578" s="15">
        <v>1872</v>
      </c>
      <c r="F1578" s="36" t="s">
        <v>126</v>
      </c>
      <c r="G1578" s="15">
        <v>1872</v>
      </c>
      <c r="H1578" s="15">
        <f t="shared" si="25"/>
        <v>0</v>
      </c>
      <c r="I1578" s="19"/>
    </row>
    <row r="1579" spans="1:9" x14ac:dyDescent="0.25">
      <c r="A1579" s="16">
        <v>42749</v>
      </c>
      <c r="B1579" s="17" t="s">
        <v>1903</v>
      </c>
      <c r="C1579" s="18">
        <v>97176</v>
      </c>
      <c r="D1579" s="2" t="s">
        <v>9</v>
      </c>
      <c r="E1579" s="15">
        <v>7223</v>
      </c>
      <c r="F1579" s="36" t="s">
        <v>1391</v>
      </c>
      <c r="G1579" s="15">
        <v>7223</v>
      </c>
      <c r="H1579" s="15">
        <f t="shared" si="25"/>
        <v>0</v>
      </c>
      <c r="I1579" s="19"/>
    </row>
    <row r="1580" spans="1:9" x14ac:dyDescent="0.25">
      <c r="A1580" s="16">
        <v>42749</v>
      </c>
      <c r="B1580" s="17" t="s">
        <v>1904</v>
      </c>
      <c r="C1580" s="18">
        <v>97177</v>
      </c>
      <c r="D1580" s="2" t="s">
        <v>509</v>
      </c>
      <c r="E1580" s="15">
        <v>22596.799999999999</v>
      </c>
      <c r="F1580" s="36" t="s">
        <v>317</v>
      </c>
      <c r="G1580" s="15">
        <v>22596.799999999999</v>
      </c>
      <c r="H1580" s="15">
        <f t="shared" si="25"/>
        <v>0</v>
      </c>
      <c r="I1580" s="19"/>
    </row>
    <row r="1581" spans="1:9" x14ac:dyDescent="0.25">
      <c r="A1581" s="16">
        <v>42749</v>
      </c>
      <c r="B1581" s="17" t="s">
        <v>1905</v>
      </c>
      <c r="C1581" s="18">
        <v>97178</v>
      </c>
      <c r="D1581" s="2" t="s">
        <v>879</v>
      </c>
      <c r="E1581" s="15">
        <v>874.8</v>
      </c>
      <c r="F1581" s="36" t="s">
        <v>126</v>
      </c>
      <c r="G1581" s="15">
        <v>874.8</v>
      </c>
      <c r="H1581" s="15">
        <f t="shared" si="25"/>
        <v>0</v>
      </c>
      <c r="I1581" s="19"/>
    </row>
    <row r="1582" spans="1:9" x14ac:dyDescent="0.25">
      <c r="A1582" s="16">
        <v>42749</v>
      </c>
      <c r="B1582" s="17" t="s">
        <v>1906</v>
      </c>
      <c r="C1582" s="18">
        <v>97179</v>
      </c>
      <c r="D1582" s="2" t="s">
        <v>1786</v>
      </c>
      <c r="E1582" s="15">
        <v>878.5</v>
      </c>
      <c r="F1582" s="36" t="s">
        <v>126</v>
      </c>
      <c r="G1582" s="15">
        <v>878.5</v>
      </c>
      <c r="H1582" s="15">
        <f t="shared" si="25"/>
        <v>0</v>
      </c>
      <c r="I1582" s="19"/>
    </row>
    <row r="1583" spans="1:9" x14ac:dyDescent="0.25">
      <c r="A1583" s="16">
        <v>42749</v>
      </c>
      <c r="B1583" s="17" t="s">
        <v>1907</v>
      </c>
      <c r="C1583" s="18">
        <v>97180</v>
      </c>
      <c r="D1583" s="13" t="s">
        <v>222</v>
      </c>
      <c r="E1583" s="14">
        <v>0</v>
      </c>
      <c r="F1583" s="123" t="s">
        <v>95</v>
      </c>
      <c r="G1583" s="14">
        <v>0</v>
      </c>
      <c r="H1583" s="14">
        <f t="shared" si="25"/>
        <v>0</v>
      </c>
      <c r="I1583" s="19"/>
    </row>
    <row r="1584" spans="1:9" x14ac:dyDescent="0.25">
      <c r="A1584" s="16">
        <v>42749</v>
      </c>
      <c r="B1584" s="17" t="s">
        <v>1908</v>
      </c>
      <c r="C1584" s="18">
        <v>97181</v>
      </c>
      <c r="D1584" s="2" t="s">
        <v>222</v>
      </c>
      <c r="E1584" s="15">
        <v>29518.5</v>
      </c>
      <c r="F1584" s="36" t="s">
        <v>317</v>
      </c>
      <c r="G1584" s="15">
        <v>29518.5</v>
      </c>
      <c r="H1584" s="15">
        <f t="shared" si="25"/>
        <v>0</v>
      </c>
      <c r="I1584" s="19"/>
    </row>
    <row r="1585" spans="1:9" x14ac:dyDescent="0.25">
      <c r="A1585" s="16">
        <v>42749</v>
      </c>
      <c r="B1585" s="17" t="s">
        <v>1909</v>
      </c>
      <c r="C1585" s="18">
        <v>97182</v>
      </c>
      <c r="D1585" s="2" t="s">
        <v>220</v>
      </c>
      <c r="E1585" s="15">
        <v>3062.4</v>
      </c>
      <c r="F1585" s="36" t="s">
        <v>237</v>
      </c>
      <c r="G1585" s="15">
        <v>3062.4</v>
      </c>
      <c r="H1585" s="15">
        <f t="shared" si="25"/>
        <v>0</v>
      </c>
      <c r="I1585" s="19"/>
    </row>
    <row r="1586" spans="1:9" x14ac:dyDescent="0.25">
      <c r="A1586" s="16">
        <v>42749</v>
      </c>
      <c r="B1586" s="17" t="s">
        <v>1910</v>
      </c>
      <c r="C1586" s="18">
        <v>97183</v>
      </c>
      <c r="D1586" s="2" t="s">
        <v>302</v>
      </c>
      <c r="E1586" s="15">
        <v>10832</v>
      </c>
      <c r="F1586" s="36" t="s">
        <v>237</v>
      </c>
      <c r="G1586" s="15">
        <v>10832</v>
      </c>
      <c r="H1586" s="15">
        <f t="shared" si="25"/>
        <v>0</v>
      </c>
      <c r="I1586" s="19"/>
    </row>
    <row r="1587" spans="1:9" x14ac:dyDescent="0.25">
      <c r="A1587" s="16">
        <v>42749</v>
      </c>
      <c r="B1587" s="17" t="s">
        <v>1911</v>
      </c>
      <c r="C1587" s="18">
        <v>97184</v>
      </c>
      <c r="D1587" s="2" t="s">
        <v>622</v>
      </c>
      <c r="E1587" s="15">
        <v>43233.82</v>
      </c>
      <c r="F1587" s="36" t="s">
        <v>237</v>
      </c>
      <c r="G1587" s="15">
        <v>43233.82</v>
      </c>
      <c r="H1587" s="15">
        <f t="shared" si="25"/>
        <v>0</v>
      </c>
      <c r="I1587" s="19"/>
    </row>
    <row r="1588" spans="1:9" x14ac:dyDescent="0.25">
      <c r="A1588" s="16">
        <v>42749</v>
      </c>
      <c r="B1588" s="17" t="s">
        <v>1912</v>
      </c>
      <c r="C1588" s="18">
        <v>97185</v>
      </c>
      <c r="D1588" s="2" t="s">
        <v>250</v>
      </c>
      <c r="E1588" s="15">
        <v>2208</v>
      </c>
      <c r="F1588" s="36" t="s">
        <v>237</v>
      </c>
      <c r="G1588" s="15">
        <v>2208</v>
      </c>
      <c r="H1588" s="15">
        <f t="shared" si="25"/>
        <v>0</v>
      </c>
      <c r="I1588" s="19"/>
    </row>
    <row r="1589" spans="1:9" x14ac:dyDescent="0.25">
      <c r="A1589" s="16">
        <v>42749</v>
      </c>
      <c r="B1589" s="17" t="s">
        <v>1913</v>
      </c>
      <c r="C1589" s="18">
        <v>97186</v>
      </c>
      <c r="D1589" s="2" t="s">
        <v>205</v>
      </c>
      <c r="E1589" s="15">
        <v>73405.45</v>
      </c>
      <c r="F1589" s="36" t="s">
        <v>1156</v>
      </c>
      <c r="G1589" s="15">
        <v>73405.45</v>
      </c>
      <c r="H1589" s="15">
        <f t="shared" si="25"/>
        <v>0</v>
      </c>
      <c r="I1589" s="19"/>
    </row>
    <row r="1590" spans="1:9" x14ac:dyDescent="0.25">
      <c r="A1590" s="16">
        <v>42749</v>
      </c>
      <c r="B1590" s="17" t="s">
        <v>1914</v>
      </c>
      <c r="C1590" s="18">
        <v>97187</v>
      </c>
      <c r="D1590" s="2" t="s">
        <v>218</v>
      </c>
      <c r="E1590" s="15">
        <v>25491.9</v>
      </c>
      <c r="F1590" s="36" t="s">
        <v>307</v>
      </c>
      <c r="G1590" s="15">
        <v>25491.9</v>
      </c>
      <c r="H1590" s="15">
        <f t="shared" si="25"/>
        <v>0</v>
      </c>
      <c r="I1590" s="19"/>
    </row>
    <row r="1591" spans="1:9" x14ac:dyDescent="0.25">
      <c r="A1591" s="16">
        <v>42749</v>
      </c>
      <c r="B1591" s="17" t="s">
        <v>1915</v>
      </c>
      <c r="C1591" s="18">
        <v>97188</v>
      </c>
      <c r="D1591" s="2" t="s">
        <v>115</v>
      </c>
      <c r="E1591" s="15">
        <v>3617.85</v>
      </c>
      <c r="F1591" s="36" t="s">
        <v>126</v>
      </c>
      <c r="G1591" s="15">
        <v>3617.85</v>
      </c>
      <c r="H1591" s="15">
        <f t="shared" si="25"/>
        <v>0</v>
      </c>
      <c r="I1591" s="19"/>
    </row>
    <row r="1592" spans="1:9" x14ac:dyDescent="0.25">
      <c r="A1592" s="16">
        <v>42749</v>
      </c>
      <c r="B1592" s="17" t="s">
        <v>1916</v>
      </c>
      <c r="C1592" s="18">
        <v>97189</v>
      </c>
      <c r="D1592" s="13" t="s">
        <v>523</v>
      </c>
      <c r="E1592" s="14">
        <v>0</v>
      </c>
      <c r="F1592" s="123" t="s">
        <v>95</v>
      </c>
      <c r="G1592" s="14">
        <v>0</v>
      </c>
      <c r="H1592" s="14">
        <f t="shared" si="25"/>
        <v>0</v>
      </c>
      <c r="I1592" s="19"/>
    </row>
    <row r="1593" spans="1:9" x14ac:dyDescent="0.25">
      <c r="A1593" s="16">
        <v>42749</v>
      </c>
      <c r="B1593" s="17" t="s">
        <v>1917</v>
      </c>
      <c r="C1593" s="18">
        <v>97190</v>
      </c>
      <c r="D1593" s="2" t="s">
        <v>137</v>
      </c>
      <c r="E1593" s="15">
        <v>1814.4</v>
      </c>
      <c r="F1593" s="36" t="s">
        <v>126</v>
      </c>
      <c r="G1593" s="15">
        <v>1814.4</v>
      </c>
      <c r="H1593" s="15">
        <f t="shared" si="25"/>
        <v>0</v>
      </c>
      <c r="I1593" s="19"/>
    </row>
    <row r="1594" spans="1:9" x14ac:dyDescent="0.25">
      <c r="A1594" s="16">
        <v>42749</v>
      </c>
      <c r="B1594" s="17" t="s">
        <v>1918</v>
      </c>
      <c r="C1594" s="18">
        <v>97191</v>
      </c>
      <c r="D1594" s="2" t="s">
        <v>523</v>
      </c>
      <c r="E1594" s="15">
        <v>29264.2</v>
      </c>
      <c r="F1594" s="36" t="s">
        <v>166</v>
      </c>
      <c r="G1594" s="15">
        <v>29264.2</v>
      </c>
      <c r="H1594" s="15">
        <f t="shared" si="25"/>
        <v>0</v>
      </c>
      <c r="I1594" s="19"/>
    </row>
    <row r="1595" spans="1:9" x14ac:dyDescent="0.25">
      <c r="A1595" s="16">
        <v>42749</v>
      </c>
      <c r="B1595" s="17" t="s">
        <v>1919</v>
      </c>
      <c r="C1595" s="18">
        <v>97192</v>
      </c>
      <c r="D1595" s="2" t="s">
        <v>289</v>
      </c>
      <c r="E1595" s="15">
        <v>35995.199999999997</v>
      </c>
      <c r="F1595" s="36" t="s">
        <v>1173</v>
      </c>
      <c r="G1595" s="15">
        <v>35995.199999999997</v>
      </c>
      <c r="H1595" s="15">
        <f t="shared" si="25"/>
        <v>0</v>
      </c>
      <c r="I1595" s="19"/>
    </row>
    <row r="1596" spans="1:9" x14ac:dyDescent="0.25">
      <c r="A1596" s="16">
        <v>42749</v>
      </c>
      <c r="B1596" s="17" t="s">
        <v>1920</v>
      </c>
      <c r="C1596" s="18">
        <v>97193</v>
      </c>
      <c r="D1596" s="2" t="s">
        <v>21</v>
      </c>
      <c r="E1596" s="15">
        <v>35522.300000000003</v>
      </c>
      <c r="F1596" s="36" t="s">
        <v>1889</v>
      </c>
      <c r="G1596" s="15">
        <v>35522.300000000003</v>
      </c>
      <c r="H1596" s="15">
        <f t="shared" si="25"/>
        <v>0</v>
      </c>
      <c r="I1596" s="19"/>
    </row>
    <row r="1597" spans="1:9" x14ac:dyDescent="0.25">
      <c r="A1597" s="16">
        <v>42749</v>
      </c>
      <c r="B1597" s="17" t="s">
        <v>1921</v>
      </c>
      <c r="C1597" s="18">
        <v>97194</v>
      </c>
      <c r="D1597" s="2" t="s">
        <v>422</v>
      </c>
      <c r="E1597" s="15">
        <v>3850.2</v>
      </c>
      <c r="F1597" s="36" t="s">
        <v>511</v>
      </c>
      <c r="G1597" s="15">
        <v>3850.2</v>
      </c>
      <c r="H1597" s="15">
        <f t="shared" si="25"/>
        <v>0</v>
      </c>
      <c r="I1597" s="19"/>
    </row>
    <row r="1598" spans="1:9" x14ac:dyDescent="0.25">
      <c r="A1598" s="16">
        <v>42749</v>
      </c>
      <c r="B1598" s="17" t="s">
        <v>1922</v>
      </c>
      <c r="C1598" s="18">
        <v>97195</v>
      </c>
      <c r="D1598" s="2" t="s">
        <v>10</v>
      </c>
      <c r="E1598" s="15">
        <v>328864.5</v>
      </c>
      <c r="F1598" s="36" t="s">
        <v>317</v>
      </c>
      <c r="G1598" s="15">
        <v>328864.5</v>
      </c>
      <c r="H1598" s="15">
        <f t="shared" si="25"/>
        <v>0</v>
      </c>
      <c r="I1598" s="19"/>
    </row>
    <row r="1599" spans="1:9" x14ac:dyDescent="0.25">
      <c r="A1599" s="16">
        <v>42749</v>
      </c>
      <c r="B1599" s="17" t="s">
        <v>1923</v>
      </c>
      <c r="C1599" s="18">
        <v>97196</v>
      </c>
      <c r="D1599" s="2" t="s">
        <v>10</v>
      </c>
      <c r="E1599" s="15">
        <v>10049.4</v>
      </c>
      <c r="F1599" s="36" t="s">
        <v>317</v>
      </c>
      <c r="G1599" s="15">
        <v>10049.4</v>
      </c>
      <c r="H1599" s="15">
        <f t="shared" si="25"/>
        <v>0</v>
      </c>
      <c r="I1599" s="19"/>
    </row>
    <row r="1600" spans="1:9" x14ac:dyDescent="0.25">
      <c r="A1600" s="16">
        <v>42749</v>
      </c>
      <c r="B1600" s="17" t="s">
        <v>1924</v>
      </c>
      <c r="C1600" s="18">
        <v>97197</v>
      </c>
      <c r="D1600" s="2" t="s">
        <v>1925</v>
      </c>
      <c r="E1600" s="15">
        <v>511.2</v>
      </c>
      <c r="F1600" s="36" t="s">
        <v>126</v>
      </c>
      <c r="G1600" s="15">
        <v>511.2</v>
      </c>
      <c r="H1600" s="15">
        <f t="shared" si="25"/>
        <v>0</v>
      </c>
      <c r="I1600" s="19"/>
    </row>
    <row r="1601" spans="1:9" x14ac:dyDescent="0.25">
      <c r="A1601" s="16">
        <v>42749</v>
      </c>
      <c r="B1601" s="17" t="s">
        <v>1926</v>
      </c>
      <c r="C1601" s="18">
        <v>97198</v>
      </c>
      <c r="D1601" s="2" t="s">
        <v>697</v>
      </c>
      <c r="E1601" s="15">
        <v>56940.6</v>
      </c>
      <c r="F1601" s="36" t="s">
        <v>1391</v>
      </c>
      <c r="G1601" s="15">
        <v>56940.6</v>
      </c>
      <c r="H1601" s="15">
        <f t="shared" si="25"/>
        <v>0</v>
      </c>
      <c r="I1601" s="19"/>
    </row>
    <row r="1602" spans="1:9" x14ac:dyDescent="0.25">
      <c r="A1602" s="16">
        <v>42749</v>
      </c>
      <c r="B1602" s="17" t="s">
        <v>1927</v>
      </c>
      <c r="C1602" s="18">
        <v>97199</v>
      </c>
      <c r="D1602" s="2" t="s">
        <v>1645</v>
      </c>
      <c r="E1602" s="15">
        <v>2163.1999999999998</v>
      </c>
      <c r="F1602" s="36" t="s">
        <v>126</v>
      </c>
      <c r="G1602" s="15">
        <v>2163.1999999999998</v>
      </c>
      <c r="H1602" s="15">
        <f t="shared" si="25"/>
        <v>0</v>
      </c>
      <c r="I1602" s="19"/>
    </row>
    <row r="1603" spans="1:9" x14ac:dyDescent="0.25">
      <c r="A1603" s="16">
        <v>42749</v>
      </c>
      <c r="B1603" s="17" t="s">
        <v>1928</v>
      </c>
      <c r="C1603" s="18">
        <v>97200</v>
      </c>
      <c r="D1603" s="2" t="s">
        <v>222</v>
      </c>
      <c r="E1603" s="15">
        <v>496601</v>
      </c>
      <c r="F1603" s="36" t="s">
        <v>927</v>
      </c>
      <c r="G1603" s="15">
        <v>496601</v>
      </c>
      <c r="H1603" s="15">
        <f t="shared" si="25"/>
        <v>0</v>
      </c>
      <c r="I1603" s="19"/>
    </row>
    <row r="1604" spans="1:9" x14ac:dyDescent="0.25">
      <c r="A1604" s="16">
        <v>42749</v>
      </c>
      <c r="B1604" s="17" t="s">
        <v>1929</v>
      </c>
      <c r="C1604" s="18">
        <v>97201</v>
      </c>
      <c r="D1604" s="2" t="s">
        <v>222</v>
      </c>
      <c r="E1604" s="15">
        <v>517164</v>
      </c>
      <c r="F1604" s="36" t="s">
        <v>317</v>
      </c>
      <c r="G1604" s="15">
        <v>517164</v>
      </c>
      <c r="H1604" s="15">
        <f t="shared" si="25"/>
        <v>0</v>
      </c>
      <c r="I1604" s="19"/>
    </row>
    <row r="1605" spans="1:9" x14ac:dyDescent="0.25">
      <c r="A1605" s="16">
        <v>42749</v>
      </c>
      <c r="B1605" s="17" t="s">
        <v>1930</v>
      </c>
      <c r="C1605" s="18">
        <v>97202</v>
      </c>
      <c r="D1605" s="2" t="s">
        <v>712</v>
      </c>
      <c r="E1605" s="15">
        <v>4782.6000000000004</v>
      </c>
      <c r="F1605" s="36" t="s">
        <v>126</v>
      </c>
      <c r="G1605" s="15">
        <v>4782.6000000000004</v>
      </c>
      <c r="H1605" s="15">
        <f t="shared" si="25"/>
        <v>0</v>
      </c>
      <c r="I1605" s="19"/>
    </row>
    <row r="1606" spans="1:9" x14ac:dyDescent="0.25">
      <c r="A1606" s="16">
        <v>42749</v>
      </c>
      <c r="B1606" s="17" t="s">
        <v>1931</v>
      </c>
      <c r="C1606" s="18">
        <v>97203</v>
      </c>
      <c r="D1606" s="2" t="s">
        <v>712</v>
      </c>
      <c r="E1606" s="15">
        <v>201.6</v>
      </c>
      <c r="F1606" s="36" t="s">
        <v>126</v>
      </c>
      <c r="G1606" s="15">
        <v>201.6</v>
      </c>
      <c r="H1606" s="15">
        <f t="shared" ref="H1606:H1669" si="26">E1606-G1606</f>
        <v>0</v>
      </c>
      <c r="I1606" s="19"/>
    </row>
    <row r="1607" spans="1:9" x14ac:dyDescent="0.25">
      <c r="A1607" s="16">
        <v>42749</v>
      </c>
      <c r="B1607" s="17" t="s">
        <v>1932</v>
      </c>
      <c r="C1607" s="18">
        <v>97204</v>
      </c>
      <c r="D1607" s="2" t="s">
        <v>222</v>
      </c>
      <c r="E1607" s="15">
        <v>23992.5</v>
      </c>
      <c r="F1607" s="36" t="s">
        <v>317</v>
      </c>
      <c r="G1607" s="15">
        <v>23992.5</v>
      </c>
      <c r="H1607" s="15">
        <f t="shared" si="26"/>
        <v>0</v>
      </c>
      <c r="I1607" s="19"/>
    </row>
    <row r="1608" spans="1:9" x14ac:dyDescent="0.25">
      <c r="A1608" s="16">
        <v>42749</v>
      </c>
      <c r="B1608" s="17" t="s">
        <v>1933</v>
      </c>
      <c r="C1608" s="18">
        <v>97205</v>
      </c>
      <c r="D1608" s="2" t="s">
        <v>536</v>
      </c>
      <c r="E1608" s="15">
        <v>1008.8</v>
      </c>
      <c r="F1608" s="36" t="s">
        <v>126</v>
      </c>
      <c r="G1608" s="15">
        <v>1008.8</v>
      </c>
      <c r="H1608" s="15">
        <f t="shared" si="26"/>
        <v>0</v>
      </c>
      <c r="I1608" s="19"/>
    </row>
    <row r="1609" spans="1:9" x14ac:dyDescent="0.25">
      <c r="A1609" s="16">
        <v>42749</v>
      </c>
      <c r="B1609" s="17" t="s">
        <v>1934</v>
      </c>
      <c r="C1609" s="18">
        <v>97206</v>
      </c>
      <c r="D1609" s="2" t="s">
        <v>536</v>
      </c>
      <c r="E1609" s="15">
        <v>2241.1999999999998</v>
      </c>
      <c r="F1609" s="36" t="s">
        <v>126</v>
      </c>
      <c r="G1609" s="15">
        <v>2241.1999999999998</v>
      </c>
      <c r="H1609" s="15">
        <f t="shared" si="26"/>
        <v>0</v>
      </c>
      <c r="I1609" s="19"/>
    </row>
    <row r="1610" spans="1:9" x14ac:dyDescent="0.25">
      <c r="A1610" s="16">
        <v>42749</v>
      </c>
      <c r="B1610" s="17" t="s">
        <v>1935</v>
      </c>
      <c r="C1610" s="18">
        <v>97207</v>
      </c>
      <c r="D1610" s="2" t="s">
        <v>35</v>
      </c>
      <c r="E1610" s="15">
        <v>29955.200000000001</v>
      </c>
      <c r="F1610" s="36" t="s">
        <v>224</v>
      </c>
      <c r="G1610" s="15">
        <v>29955.200000000001</v>
      </c>
      <c r="H1610" s="15">
        <f t="shared" si="26"/>
        <v>0</v>
      </c>
      <c r="I1610" s="19"/>
    </row>
    <row r="1611" spans="1:9" x14ac:dyDescent="0.25">
      <c r="A1611" s="16">
        <v>42749</v>
      </c>
      <c r="B1611" s="17" t="s">
        <v>1936</v>
      </c>
      <c r="C1611" s="18">
        <v>97208</v>
      </c>
      <c r="D1611" s="2" t="s">
        <v>30</v>
      </c>
      <c r="E1611" s="15">
        <v>2038.5</v>
      </c>
      <c r="F1611" s="36" t="s">
        <v>237</v>
      </c>
      <c r="G1611" s="15">
        <v>2038.5</v>
      </c>
      <c r="H1611" s="15">
        <f t="shared" si="26"/>
        <v>0</v>
      </c>
      <c r="I1611" s="19"/>
    </row>
    <row r="1612" spans="1:9" x14ac:dyDescent="0.25">
      <c r="A1612" s="16">
        <v>42749</v>
      </c>
      <c r="B1612" s="17" t="s">
        <v>1937</v>
      </c>
      <c r="C1612" s="18">
        <v>97209</v>
      </c>
      <c r="D1612" s="2" t="s">
        <v>430</v>
      </c>
      <c r="E1612" s="15">
        <v>2200.8000000000002</v>
      </c>
      <c r="F1612" s="36" t="s">
        <v>126</v>
      </c>
      <c r="G1612" s="15">
        <v>2200.8000000000002</v>
      </c>
      <c r="H1612" s="15">
        <f t="shared" si="26"/>
        <v>0</v>
      </c>
      <c r="I1612" s="19"/>
    </row>
    <row r="1613" spans="1:9" x14ac:dyDescent="0.25">
      <c r="A1613" s="16">
        <v>42749</v>
      </c>
      <c r="B1613" s="17" t="s">
        <v>1938</v>
      </c>
      <c r="C1613" s="18">
        <v>97210</v>
      </c>
      <c r="D1613" s="13" t="s">
        <v>10</v>
      </c>
      <c r="E1613" s="14">
        <v>0</v>
      </c>
      <c r="F1613" s="123" t="s">
        <v>95</v>
      </c>
      <c r="G1613" s="14">
        <v>0</v>
      </c>
      <c r="H1613" s="14">
        <f t="shared" si="26"/>
        <v>0</v>
      </c>
      <c r="I1613" s="19"/>
    </row>
    <row r="1614" spans="1:9" x14ac:dyDescent="0.25">
      <c r="A1614" s="16">
        <v>42749</v>
      </c>
      <c r="B1614" s="17" t="s">
        <v>1939</v>
      </c>
      <c r="C1614" s="18">
        <v>97211</v>
      </c>
      <c r="D1614" s="2" t="s">
        <v>422</v>
      </c>
      <c r="E1614" s="15">
        <v>1339.2</v>
      </c>
      <c r="F1614" s="36" t="s">
        <v>126</v>
      </c>
      <c r="G1614" s="15">
        <v>1339.2</v>
      </c>
      <c r="H1614" s="15">
        <f t="shared" si="26"/>
        <v>0</v>
      </c>
      <c r="I1614" s="19"/>
    </row>
    <row r="1615" spans="1:9" x14ac:dyDescent="0.25">
      <c r="A1615" s="16">
        <v>42749</v>
      </c>
      <c r="B1615" s="17" t="s">
        <v>1940</v>
      </c>
      <c r="C1615" s="18">
        <v>97212</v>
      </c>
      <c r="D1615" s="2" t="s">
        <v>10</v>
      </c>
      <c r="E1615" s="15">
        <v>114589.5</v>
      </c>
      <c r="F1615" s="36" t="s">
        <v>317</v>
      </c>
      <c r="G1615" s="15">
        <v>114589.5</v>
      </c>
      <c r="H1615" s="15">
        <f t="shared" si="26"/>
        <v>0</v>
      </c>
      <c r="I1615" s="19"/>
    </row>
    <row r="1616" spans="1:9" x14ac:dyDescent="0.25">
      <c r="A1616" s="16">
        <v>42749</v>
      </c>
      <c r="B1616" s="17" t="s">
        <v>1941</v>
      </c>
      <c r="C1616" s="18">
        <v>97213</v>
      </c>
      <c r="D1616" s="2" t="s">
        <v>30</v>
      </c>
      <c r="E1616" s="15">
        <v>7130</v>
      </c>
      <c r="F1616" s="36" t="s">
        <v>126</v>
      </c>
      <c r="G1616" s="15">
        <v>7130</v>
      </c>
      <c r="H1616" s="15">
        <f t="shared" si="26"/>
        <v>0</v>
      </c>
      <c r="I1616" s="19"/>
    </row>
    <row r="1617" spans="1:9" x14ac:dyDescent="0.25">
      <c r="A1617" s="16">
        <v>42749</v>
      </c>
      <c r="B1617" s="17" t="s">
        <v>1942</v>
      </c>
      <c r="C1617" s="18">
        <v>97214</v>
      </c>
      <c r="D1617" s="2" t="s">
        <v>1943</v>
      </c>
      <c r="E1617" s="15">
        <v>322.39999999999998</v>
      </c>
      <c r="F1617" s="36" t="s">
        <v>126</v>
      </c>
      <c r="G1617" s="15">
        <v>322.39999999999998</v>
      </c>
      <c r="H1617" s="15">
        <f t="shared" si="26"/>
        <v>0</v>
      </c>
      <c r="I1617" s="19"/>
    </row>
    <row r="1618" spans="1:9" x14ac:dyDescent="0.25">
      <c r="A1618" s="16">
        <v>42749</v>
      </c>
      <c r="B1618" s="17" t="s">
        <v>1944</v>
      </c>
      <c r="C1618" s="18">
        <v>97215</v>
      </c>
      <c r="D1618" s="2" t="s">
        <v>312</v>
      </c>
      <c r="E1618" s="15">
        <v>9144.7999999999993</v>
      </c>
      <c r="F1618" s="36" t="s">
        <v>313</v>
      </c>
      <c r="G1618" s="15">
        <v>9144.7999999999993</v>
      </c>
      <c r="H1618" s="15">
        <f t="shared" si="26"/>
        <v>0</v>
      </c>
      <c r="I1618" s="19"/>
    </row>
    <row r="1619" spans="1:9" x14ac:dyDescent="0.25">
      <c r="A1619" s="16">
        <v>42749</v>
      </c>
      <c r="B1619" s="17" t="s">
        <v>1945</v>
      </c>
      <c r="C1619" s="18">
        <v>97216</v>
      </c>
      <c r="D1619" s="2" t="s">
        <v>10</v>
      </c>
      <c r="E1619" s="15">
        <v>123705.7</v>
      </c>
      <c r="F1619" s="124" t="s">
        <v>1946</v>
      </c>
      <c r="G1619" s="20">
        <f>47902.44+75803.26</f>
        <v>123705.7</v>
      </c>
      <c r="H1619" s="20">
        <f t="shared" si="26"/>
        <v>0</v>
      </c>
      <c r="I1619" s="19"/>
    </row>
    <row r="1620" spans="1:9" x14ac:dyDescent="0.25">
      <c r="A1620" s="16">
        <v>42749</v>
      </c>
      <c r="B1620" s="17" t="s">
        <v>1947</v>
      </c>
      <c r="C1620" s="18">
        <v>97217</v>
      </c>
      <c r="D1620" s="2" t="s">
        <v>10</v>
      </c>
      <c r="E1620" s="15">
        <v>6817.2</v>
      </c>
      <c r="F1620" s="36" t="s">
        <v>1539</v>
      </c>
      <c r="G1620" s="15">
        <v>6817.2</v>
      </c>
      <c r="H1620" s="15">
        <f t="shared" si="26"/>
        <v>0</v>
      </c>
      <c r="I1620" s="19"/>
    </row>
    <row r="1621" spans="1:9" x14ac:dyDescent="0.25">
      <c r="A1621" s="16">
        <v>42749</v>
      </c>
      <c r="B1621" s="17" t="s">
        <v>1948</v>
      </c>
      <c r="C1621" s="18">
        <v>97218</v>
      </c>
      <c r="D1621" s="2" t="s">
        <v>12</v>
      </c>
      <c r="E1621" s="15">
        <v>2065.9</v>
      </c>
      <c r="F1621" s="36" t="s">
        <v>801</v>
      </c>
      <c r="G1621" s="15">
        <v>2065.9</v>
      </c>
      <c r="H1621" s="15">
        <f t="shared" si="26"/>
        <v>0</v>
      </c>
      <c r="I1621" s="19"/>
    </row>
    <row r="1622" spans="1:9" x14ac:dyDescent="0.25">
      <c r="A1622" s="16">
        <v>42750</v>
      </c>
      <c r="B1622" s="17" t="s">
        <v>1949</v>
      </c>
      <c r="C1622" s="18">
        <v>97219</v>
      </c>
      <c r="D1622" s="2" t="s">
        <v>231</v>
      </c>
      <c r="E1622" s="15">
        <v>11529.5</v>
      </c>
      <c r="F1622" s="36" t="s">
        <v>237</v>
      </c>
      <c r="G1622" s="15">
        <v>11529.5</v>
      </c>
      <c r="H1622" s="15">
        <f t="shared" si="26"/>
        <v>0</v>
      </c>
      <c r="I1622" s="19"/>
    </row>
    <row r="1623" spans="1:9" x14ac:dyDescent="0.25">
      <c r="A1623" s="16">
        <v>42750</v>
      </c>
      <c r="B1623" s="17" t="s">
        <v>1950</v>
      </c>
      <c r="C1623" s="18">
        <v>97220</v>
      </c>
      <c r="D1623" s="2" t="s">
        <v>1335</v>
      </c>
      <c r="E1623" s="15">
        <v>6191.2</v>
      </c>
      <c r="F1623" s="36" t="s">
        <v>801</v>
      </c>
      <c r="G1623" s="15">
        <v>6191.2</v>
      </c>
      <c r="H1623" s="15">
        <f t="shared" si="26"/>
        <v>0</v>
      </c>
      <c r="I1623" s="19"/>
    </row>
    <row r="1624" spans="1:9" x14ac:dyDescent="0.25">
      <c r="A1624" s="16">
        <v>42750</v>
      </c>
      <c r="B1624" s="17" t="s">
        <v>1951</v>
      </c>
      <c r="C1624" s="18">
        <v>97221</v>
      </c>
      <c r="D1624" s="2" t="s">
        <v>1786</v>
      </c>
      <c r="E1624" s="15">
        <v>11739</v>
      </c>
      <c r="F1624" s="36" t="s">
        <v>801</v>
      </c>
      <c r="G1624" s="15">
        <v>11739</v>
      </c>
      <c r="H1624" s="15">
        <f t="shared" si="26"/>
        <v>0</v>
      </c>
      <c r="I1624" s="19"/>
    </row>
    <row r="1625" spans="1:9" x14ac:dyDescent="0.25">
      <c r="A1625" s="16">
        <v>42750</v>
      </c>
      <c r="B1625" s="17" t="s">
        <v>1952</v>
      </c>
      <c r="C1625" s="18">
        <v>97222</v>
      </c>
      <c r="D1625" s="2" t="s">
        <v>321</v>
      </c>
      <c r="E1625" s="15">
        <v>925.2</v>
      </c>
      <c r="F1625" s="36" t="s">
        <v>801</v>
      </c>
      <c r="G1625" s="15">
        <v>925.2</v>
      </c>
      <c r="H1625" s="15">
        <f t="shared" si="26"/>
        <v>0</v>
      </c>
      <c r="I1625" s="19"/>
    </row>
    <row r="1626" spans="1:9" x14ac:dyDescent="0.25">
      <c r="A1626" s="16">
        <v>42750</v>
      </c>
      <c r="B1626" s="17" t="s">
        <v>1953</v>
      </c>
      <c r="C1626" s="18">
        <v>97223</v>
      </c>
      <c r="D1626" s="2" t="s">
        <v>28</v>
      </c>
      <c r="E1626" s="15">
        <v>8883.7999999999993</v>
      </c>
      <c r="F1626" s="36" t="s">
        <v>237</v>
      </c>
      <c r="G1626" s="15">
        <v>8883.7999999999993</v>
      </c>
      <c r="H1626" s="15">
        <f t="shared" si="26"/>
        <v>0</v>
      </c>
      <c r="I1626" s="19"/>
    </row>
    <row r="1627" spans="1:9" x14ac:dyDescent="0.25">
      <c r="A1627" s="16">
        <v>42750</v>
      </c>
      <c r="B1627" s="17" t="s">
        <v>1954</v>
      </c>
      <c r="C1627" s="18">
        <v>97224</v>
      </c>
      <c r="D1627" s="2" t="s">
        <v>972</v>
      </c>
      <c r="E1627" s="15">
        <v>9413</v>
      </c>
      <c r="F1627" s="36" t="s">
        <v>801</v>
      </c>
      <c r="G1627" s="15">
        <v>9413</v>
      </c>
      <c r="H1627" s="15">
        <f t="shared" si="26"/>
        <v>0</v>
      </c>
      <c r="I1627" s="19"/>
    </row>
    <row r="1628" spans="1:9" x14ac:dyDescent="0.25">
      <c r="A1628" s="16">
        <v>42750</v>
      </c>
      <c r="B1628" s="17" t="s">
        <v>1955</v>
      </c>
      <c r="C1628" s="18">
        <v>97225</v>
      </c>
      <c r="D1628" s="2" t="s">
        <v>30</v>
      </c>
      <c r="E1628" s="15">
        <v>1422.4</v>
      </c>
      <c r="F1628" s="36" t="s">
        <v>801</v>
      </c>
      <c r="G1628" s="15">
        <v>1422.4</v>
      </c>
      <c r="H1628" s="15">
        <f t="shared" si="26"/>
        <v>0</v>
      </c>
      <c r="I1628" s="19"/>
    </row>
    <row r="1629" spans="1:9" x14ac:dyDescent="0.25">
      <c r="A1629" s="16">
        <v>42750</v>
      </c>
      <c r="B1629" s="17" t="s">
        <v>1956</v>
      </c>
      <c r="C1629" s="18">
        <v>97226</v>
      </c>
      <c r="D1629" s="2" t="s">
        <v>1380</v>
      </c>
      <c r="E1629" s="15">
        <v>33916.199999999997</v>
      </c>
      <c r="F1629" s="36" t="s">
        <v>801</v>
      </c>
      <c r="G1629" s="15">
        <v>33916.199999999997</v>
      </c>
      <c r="H1629" s="15">
        <f t="shared" si="26"/>
        <v>0</v>
      </c>
      <c r="I1629" s="19"/>
    </row>
    <row r="1630" spans="1:9" x14ac:dyDescent="0.25">
      <c r="A1630" s="16">
        <v>42750</v>
      </c>
      <c r="B1630" s="17" t="s">
        <v>1957</v>
      </c>
      <c r="C1630" s="18">
        <v>97227</v>
      </c>
      <c r="D1630" s="2" t="s">
        <v>67</v>
      </c>
      <c r="E1630" s="15">
        <v>20040.2</v>
      </c>
      <c r="F1630" s="36" t="s">
        <v>237</v>
      </c>
      <c r="G1630" s="15">
        <v>20040.2</v>
      </c>
      <c r="H1630" s="15">
        <f t="shared" si="26"/>
        <v>0</v>
      </c>
      <c r="I1630" s="19"/>
    </row>
    <row r="1631" spans="1:9" x14ac:dyDescent="0.25">
      <c r="A1631" s="16">
        <v>42750</v>
      </c>
      <c r="B1631" s="17" t="s">
        <v>1958</v>
      </c>
      <c r="C1631" s="18">
        <v>97228</v>
      </c>
      <c r="D1631" s="2" t="s">
        <v>289</v>
      </c>
      <c r="E1631" s="15">
        <v>69561.22</v>
      </c>
      <c r="F1631" s="36" t="s">
        <v>1173</v>
      </c>
      <c r="G1631" s="15">
        <v>69561.22</v>
      </c>
      <c r="H1631" s="15">
        <f t="shared" si="26"/>
        <v>0</v>
      </c>
      <c r="I1631" s="19"/>
    </row>
    <row r="1632" spans="1:9" x14ac:dyDescent="0.25">
      <c r="A1632" s="16">
        <v>42750</v>
      </c>
      <c r="B1632" s="17" t="s">
        <v>1959</v>
      </c>
      <c r="C1632" s="18">
        <v>97229</v>
      </c>
      <c r="D1632" s="2" t="s">
        <v>1380</v>
      </c>
      <c r="E1632" s="15">
        <v>1002.4</v>
      </c>
      <c r="F1632" s="36" t="s">
        <v>801</v>
      </c>
      <c r="G1632" s="15">
        <v>1002.4</v>
      </c>
      <c r="H1632" s="15">
        <f t="shared" si="26"/>
        <v>0</v>
      </c>
      <c r="I1632" s="19"/>
    </row>
    <row r="1633" spans="1:9" x14ac:dyDescent="0.25">
      <c r="A1633" s="16">
        <v>42750</v>
      </c>
      <c r="B1633" s="17" t="s">
        <v>1960</v>
      </c>
      <c r="C1633" s="18">
        <v>97230</v>
      </c>
      <c r="D1633" s="2" t="s">
        <v>111</v>
      </c>
      <c r="E1633" s="15">
        <v>4041</v>
      </c>
      <c r="F1633" s="36" t="s">
        <v>801</v>
      </c>
      <c r="G1633" s="15">
        <v>4041</v>
      </c>
      <c r="H1633" s="15">
        <f t="shared" si="26"/>
        <v>0</v>
      </c>
      <c r="I1633" s="19"/>
    </row>
    <row r="1634" spans="1:9" x14ac:dyDescent="0.25">
      <c r="A1634" s="16">
        <v>42750</v>
      </c>
      <c r="B1634" s="17" t="s">
        <v>1961</v>
      </c>
      <c r="C1634" s="18">
        <v>97231</v>
      </c>
      <c r="D1634" s="2" t="s">
        <v>67</v>
      </c>
      <c r="E1634" s="15">
        <v>335.8</v>
      </c>
      <c r="F1634" s="36" t="s">
        <v>801</v>
      </c>
      <c r="G1634" s="15">
        <v>335.8</v>
      </c>
      <c r="H1634" s="15">
        <f t="shared" si="26"/>
        <v>0</v>
      </c>
      <c r="I1634" s="19"/>
    </row>
    <row r="1635" spans="1:9" x14ac:dyDescent="0.25">
      <c r="A1635" s="16">
        <v>42750</v>
      </c>
      <c r="B1635" s="17" t="s">
        <v>1962</v>
      </c>
      <c r="C1635" s="18">
        <v>97232</v>
      </c>
      <c r="D1635" s="2" t="s">
        <v>47</v>
      </c>
      <c r="E1635" s="15">
        <v>4022.2</v>
      </c>
      <c r="F1635" s="36" t="s">
        <v>801</v>
      </c>
      <c r="G1635" s="15">
        <v>4022.2</v>
      </c>
      <c r="H1635" s="15">
        <f t="shared" si="26"/>
        <v>0</v>
      </c>
      <c r="I1635" s="19"/>
    </row>
    <row r="1636" spans="1:9" x14ac:dyDescent="0.25">
      <c r="A1636" s="16">
        <v>42750</v>
      </c>
      <c r="B1636" s="17" t="s">
        <v>1963</v>
      </c>
      <c r="C1636" s="18">
        <v>97233</v>
      </c>
      <c r="D1636" s="2" t="s">
        <v>71</v>
      </c>
      <c r="E1636" s="15">
        <v>1632</v>
      </c>
      <c r="F1636" s="36" t="s">
        <v>801</v>
      </c>
      <c r="G1636" s="15">
        <v>1632</v>
      </c>
      <c r="H1636" s="15">
        <f t="shared" si="26"/>
        <v>0</v>
      </c>
      <c r="I1636" s="19"/>
    </row>
    <row r="1637" spans="1:9" x14ac:dyDescent="0.25">
      <c r="A1637" s="16">
        <v>42750</v>
      </c>
      <c r="B1637" s="17" t="s">
        <v>1964</v>
      </c>
      <c r="C1637" s="18">
        <v>97234</v>
      </c>
      <c r="D1637" s="2" t="s">
        <v>17</v>
      </c>
      <c r="E1637" s="15">
        <v>4834.6000000000004</v>
      </c>
      <c r="F1637" s="36" t="s">
        <v>801</v>
      </c>
      <c r="G1637" s="15">
        <v>4834.6000000000004</v>
      </c>
      <c r="H1637" s="15">
        <f t="shared" si="26"/>
        <v>0</v>
      </c>
      <c r="I1637" s="19"/>
    </row>
    <row r="1638" spans="1:9" x14ac:dyDescent="0.25">
      <c r="A1638" s="16">
        <v>42750</v>
      </c>
      <c r="B1638" s="17" t="s">
        <v>1965</v>
      </c>
      <c r="C1638" s="18">
        <v>97235</v>
      </c>
      <c r="D1638" s="2" t="s">
        <v>1090</v>
      </c>
      <c r="E1638" s="15">
        <v>3987.4</v>
      </c>
      <c r="F1638" s="36" t="s">
        <v>801</v>
      </c>
      <c r="G1638" s="15">
        <v>3987.4</v>
      </c>
      <c r="H1638" s="15">
        <f t="shared" si="26"/>
        <v>0</v>
      </c>
      <c r="I1638" s="19"/>
    </row>
    <row r="1639" spans="1:9" x14ac:dyDescent="0.25">
      <c r="A1639" s="16">
        <v>42750</v>
      </c>
      <c r="B1639" s="17" t="s">
        <v>1966</v>
      </c>
      <c r="C1639" s="18">
        <v>97236</v>
      </c>
      <c r="D1639" s="2" t="s">
        <v>143</v>
      </c>
      <c r="E1639" s="15">
        <v>11965.9</v>
      </c>
      <c r="F1639" s="36" t="s">
        <v>801</v>
      </c>
      <c r="G1639" s="15">
        <v>11965.9</v>
      </c>
      <c r="H1639" s="15">
        <f t="shared" si="26"/>
        <v>0</v>
      </c>
      <c r="I1639" s="19"/>
    </row>
    <row r="1640" spans="1:9" x14ac:dyDescent="0.25">
      <c r="A1640" s="16">
        <v>42750</v>
      </c>
      <c r="B1640" s="17" t="s">
        <v>1967</v>
      </c>
      <c r="C1640" s="18">
        <v>97237</v>
      </c>
      <c r="D1640" s="2" t="s">
        <v>1968</v>
      </c>
      <c r="E1640" s="15">
        <v>3514.5</v>
      </c>
      <c r="F1640" s="36" t="s">
        <v>801</v>
      </c>
      <c r="G1640" s="15">
        <v>3514.5</v>
      </c>
      <c r="H1640" s="15">
        <f t="shared" si="26"/>
        <v>0</v>
      </c>
      <c r="I1640" s="19"/>
    </row>
    <row r="1641" spans="1:9" x14ac:dyDescent="0.25">
      <c r="A1641" s="16">
        <v>42750</v>
      </c>
      <c r="B1641" s="17" t="s">
        <v>1969</v>
      </c>
      <c r="C1641" s="18">
        <v>97238</v>
      </c>
      <c r="D1641" s="2" t="s">
        <v>79</v>
      </c>
      <c r="E1641" s="15">
        <v>4687.3999999999996</v>
      </c>
      <c r="F1641" s="36" t="s">
        <v>801</v>
      </c>
      <c r="G1641" s="15">
        <v>4687.3999999999996</v>
      </c>
      <c r="H1641" s="15">
        <f t="shared" si="26"/>
        <v>0</v>
      </c>
      <c r="I1641" s="19"/>
    </row>
    <row r="1642" spans="1:9" x14ac:dyDescent="0.25">
      <c r="A1642" s="16">
        <v>42750</v>
      </c>
      <c r="B1642" s="17" t="s">
        <v>1970</v>
      </c>
      <c r="C1642" s="18">
        <v>97239</v>
      </c>
      <c r="D1642" s="2" t="s">
        <v>168</v>
      </c>
      <c r="E1642" s="15">
        <v>158.4</v>
      </c>
      <c r="F1642" s="36" t="s">
        <v>801</v>
      </c>
      <c r="G1642" s="15">
        <v>158.4</v>
      </c>
      <c r="H1642" s="15">
        <f t="shared" si="26"/>
        <v>0</v>
      </c>
      <c r="I1642" s="19"/>
    </row>
    <row r="1643" spans="1:9" x14ac:dyDescent="0.25">
      <c r="A1643" s="16">
        <v>42750</v>
      </c>
      <c r="B1643" s="17" t="s">
        <v>1971</v>
      </c>
      <c r="C1643" s="18">
        <v>97240</v>
      </c>
      <c r="D1643" s="2" t="s">
        <v>1116</v>
      </c>
      <c r="E1643" s="15">
        <v>4244.1000000000004</v>
      </c>
      <c r="F1643" s="36" t="s">
        <v>237</v>
      </c>
      <c r="G1643" s="15">
        <v>4244.1000000000004</v>
      </c>
      <c r="H1643" s="15">
        <f t="shared" si="26"/>
        <v>0</v>
      </c>
      <c r="I1643" s="19"/>
    </row>
    <row r="1644" spans="1:9" x14ac:dyDescent="0.25">
      <c r="A1644" s="16">
        <v>42750</v>
      </c>
      <c r="B1644" s="17" t="s">
        <v>1972</v>
      </c>
      <c r="C1644" s="18">
        <v>97241</v>
      </c>
      <c r="D1644" s="2" t="s">
        <v>26</v>
      </c>
      <c r="E1644" s="15">
        <v>2219</v>
      </c>
      <c r="F1644" s="36" t="s">
        <v>801</v>
      </c>
      <c r="G1644" s="15">
        <v>2219</v>
      </c>
      <c r="H1644" s="15">
        <f t="shared" si="26"/>
        <v>0</v>
      </c>
      <c r="I1644" s="19"/>
    </row>
    <row r="1645" spans="1:9" x14ac:dyDescent="0.25">
      <c r="A1645" s="16">
        <v>42750</v>
      </c>
      <c r="B1645" s="17" t="s">
        <v>1973</v>
      </c>
      <c r="C1645" s="18">
        <v>97242</v>
      </c>
      <c r="D1645" s="2" t="s">
        <v>201</v>
      </c>
      <c r="E1645" s="15">
        <v>35091.599999999999</v>
      </c>
      <c r="F1645" s="36" t="s">
        <v>317</v>
      </c>
      <c r="G1645" s="15">
        <v>35091.599999999999</v>
      </c>
      <c r="H1645" s="15">
        <f t="shared" si="26"/>
        <v>0</v>
      </c>
      <c r="I1645" s="19"/>
    </row>
    <row r="1646" spans="1:9" x14ac:dyDescent="0.25">
      <c r="A1646" s="16">
        <v>42750</v>
      </c>
      <c r="B1646" s="17" t="s">
        <v>1974</v>
      </c>
      <c r="C1646" s="18">
        <v>97243</v>
      </c>
      <c r="D1646" s="2" t="s">
        <v>115</v>
      </c>
      <c r="E1646" s="15">
        <v>515.79999999999995</v>
      </c>
      <c r="F1646" s="36" t="s">
        <v>801</v>
      </c>
      <c r="G1646" s="15">
        <v>515.79999999999995</v>
      </c>
      <c r="H1646" s="15">
        <f t="shared" si="26"/>
        <v>0</v>
      </c>
      <c r="I1646" s="19"/>
    </row>
    <row r="1647" spans="1:9" x14ac:dyDescent="0.25">
      <c r="A1647" s="16">
        <v>42750</v>
      </c>
      <c r="B1647" s="17" t="s">
        <v>1975</v>
      </c>
      <c r="C1647" s="18">
        <v>97244</v>
      </c>
      <c r="D1647" s="2" t="s">
        <v>1081</v>
      </c>
      <c r="E1647" s="15">
        <v>2615.04</v>
      </c>
      <c r="F1647" s="36" t="s">
        <v>237</v>
      </c>
      <c r="G1647" s="15">
        <v>2615.04</v>
      </c>
      <c r="H1647" s="15">
        <f t="shared" si="26"/>
        <v>0</v>
      </c>
      <c r="I1647" s="19"/>
    </row>
    <row r="1648" spans="1:9" x14ac:dyDescent="0.25">
      <c r="A1648" s="16">
        <v>42750</v>
      </c>
      <c r="B1648" s="17" t="s">
        <v>1976</v>
      </c>
      <c r="C1648" s="18">
        <v>97245</v>
      </c>
      <c r="D1648" s="2" t="s">
        <v>81</v>
      </c>
      <c r="E1648" s="15">
        <v>11117</v>
      </c>
      <c r="F1648" s="36" t="s">
        <v>237</v>
      </c>
      <c r="G1648" s="15">
        <v>11117</v>
      </c>
      <c r="H1648" s="15">
        <f t="shared" si="26"/>
        <v>0</v>
      </c>
      <c r="I1648" s="19"/>
    </row>
    <row r="1649" spans="1:9" x14ac:dyDescent="0.25">
      <c r="A1649" s="16">
        <v>42750</v>
      </c>
      <c r="B1649" s="17" t="s">
        <v>1977</v>
      </c>
      <c r="C1649" s="18">
        <v>97246</v>
      </c>
      <c r="D1649" s="2" t="s">
        <v>101</v>
      </c>
      <c r="E1649" s="15">
        <v>1242</v>
      </c>
      <c r="F1649" s="36" t="s">
        <v>237</v>
      </c>
      <c r="G1649" s="15">
        <v>1242</v>
      </c>
      <c r="H1649" s="15">
        <f t="shared" si="26"/>
        <v>0</v>
      </c>
      <c r="I1649" s="19"/>
    </row>
    <row r="1650" spans="1:9" x14ac:dyDescent="0.25">
      <c r="A1650" s="16">
        <v>42750</v>
      </c>
      <c r="B1650" s="17" t="s">
        <v>1978</v>
      </c>
      <c r="C1650" s="18">
        <v>97247</v>
      </c>
      <c r="D1650" s="2" t="s">
        <v>99</v>
      </c>
      <c r="E1650" s="15">
        <v>3220</v>
      </c>
      <c r="F1650" s="36" t="s">
        <v>237</v>
      </c>
      <c r="G1650" s="15">
        <v>3220</v>
      </c>
      <c r="H1650" s="15">
        <f t="shared" si="26"/>
        <v>0</v>
      </c>
      <c r="I1650" s="19"/>
    </row>
    <row r="1651" spans="1:9" x14ac:dyDescent="0.25">
      <c r="A1651" s="16">
        <v>42750</v>
      </c>
      <c r="B1651" s="17" t="s">
        <v>1979</v>
      </c>
      <c r="C1651" s="18">
        <v>97248</v>
      </c>
      <c r="D1651" s="2" t="s">
        <v>1259</v>
      </c>
      <c r="E1651" s="15">
        <v>2070</v>
      </c>
      <c r="F1651" s="36" t="s">
        <v>237</v>
      </c>
      <c r="G1651" s="15">
        <v>2070</v>
      </c>
      <c r="H1651" s="15">
        <f t="shared" si="26"/>
        <v>0</v>
      </c>
      <c r="I1651" s="19"/>
    </row>
    <row r="1652" spans="1:9" x14ac:dyDescent="0.25">
      <c r="A1652" s="16">
        <v>42750</v>
      </c>
      <c r="B1652" s="17" t="s">
        <v>1980</v>
      </c>
      <c r="C1652" s="18">
        <v>97249</v>
      </c>
      <c r="D1652" s="2" t="s">
        <v>30</v>
      </c>
      <c r="E1652" s="15">
        <v>644.4</v>
      </c>
      <c r="F1652" s="36" t="s">
        <v>237</v>
      </c>
      <c r="G1652" s="15">
        <v>644.4</v>
      </c>
      <c r="H1652" s="15">
        <f t="shared" si="26"/>
        <v>0</v>
      </c>
      <c r="I1652" s="19"/>
    </row>
    <row r="1653" spans="1:9" x14ac:dyDescent="0.25">
      <c r="A1653" s="16">
        <v>42750</v>
      </c>
      <c r="B1653" s="17" t="s">
        <v>1981</v>
      </c>
      <c r="C1653" s="18">
        <v>97250</v>
      </c>
      <c r="D1653" s="2" t="s">
        <v>937</v>
      </c>
      <c r="E1653" s="15">
        <v>2462.8000000000002</v>
      </c>
      <c r="F1653" s="36" t="s">
        <v>237</v>
      </c>
      <c r="G1653" s="15">
        <v>2462.8000000000002</v>
      </c>
      <c r="H1653" s="15">
        <f t="shared" si="26"/>
        <v>0</v>
      </c>
      <c r="I1653" s="19"/>
    </row>
    <row r="1654" spans="1:9" x14ac:dyDescent="0.25">
      <c r="A1654" s="16">
        <v>42750</v>
      </c>
      <c r="B1654" s="17" t="s">
        <v>1982</v>
      </c>
      <c r="C1654" s="18">
        <v>97251</v>
      </c>
      <c r="D1654" s="2" t="s">
        <v>291</v>
      </c>
      <c r="E1654" s="15">
        <v>1790.7</v>
      </c>
      <c r="F1654" s="36" t="s">
        <v>237</v>
      </c>
      <c r="G1654" s="15">
        <v>1790.7</v>
      </c>
      <c r="H1654" s="15">
        <f t="shared" si="26"/>
        <v>0</v>
      </c>
      <c r="I1654" s="19"/>
    </row>
    <row r="1655" spans="1:9" x14ac:dyDescent="0.25">
      <c r="A1655" s="16">
        <v>42750</v>
      </c>
      <c r="B1655" s="17" t="s">
        <v>1983</v>
      </c>
      <c r="C1655" s="18">
        <v>97252</v>
      </c>
      <c r="D1655" s="2" t="s">
        <v>77</v>
      </c>
      <c r="E1655" s="15">
        <v>616.79999999999995</v>
      </c>
      <c r="F1655" s="36" t="s">
        <v>801</v>
      </c>
      <c r="G1655" s="15">
        <v>616.79999999999995</v>
      </c>
      <c r="H1655" s="15">
        <f t="shared" si="26"/>
        <v>0</v>
      </c>
      <c r="I1655" s="19"/>
    </row>
    <row r="1656" spans="1:9" x14ac:dyDescent="0.25">
      <c r="A1656" s="16">
        <v>42750</v>
      </c>
      <c r="B1656" s="17" t="s">
        <v>1984</v>
      </c>
      <c r="C1656" s="18">
        <v>97253</v>
      </c>
      <c r="D1656" s="2" t="s">
        <v>613</v>
      </c>
      <c r="E1656" s="15">
        <v>2914</v>
      </c>
      <c r="F1656" s="36" t="s">
        <v>237</v>
      </c>
      <c r="G1656" s="15">
        <v>2914</v>
      </c>
      <c r="H1656" s="15">
        <f t="shared" si="26"/>
        <v>0</v>
      </c>
      <c r="I1656" s="19"/>
    </row>
    <row r="1657" spans="1:9" x14ac:dyDescent="0.25">
      <c r="A1657" s="16">
        <v>42750</v>
      </c>
      <c r="B1657" s="17" t="s">
        <v>1985</v>
      </c>
      <c r="C1657" s="18">
        <v>97254</v>
      </c>
      <c r="D1657" s="2" t="s">
        <v>1870</v>
      </c>
      <c r="E1657" s="15">
        <v>1172.5999999999999</v>
      </c>
      <c r="F1657" s="36" t="s">
        <v>237</v>
      </c>
      <c r="G1657" s="15">
        <v>1172.5999999999999</v>
      </c>
      <c r="H1657" s="15">
        <f t="shared" si="26"/>
        <v>0</v>
      </c>
      <c r="I1657" s="19"/>
    </row>
    <row r="1658" spans="1:9" x14ac:dyDescent="0.25">
      <c r="A1658" s="16">
        <v>42750</v>
      </c>
      <c r="B1658" s="17" t="s">
        <v>1986</v>
      </c>
      <c r="C1658" s="18">
        <v>97255</v>
      </c>
      <c r="D1658" s="2" t="s">
        <v>305</v>
      </c>
      <c r="E1658" s="15">
        <v>8075.7</v>
      </c>
      <c r="F1658" s="36" t="s">
        <v>317</v>
      </c>
      <c r="G1658" s="15">
        <v>8075.7</v>
      </c>
      <c r="H1658" s="15">
        <f t="shared" si="26"/>
        <v>0</v>
      </c>
      <c r="I1658" s="19"/>
    </row>
    <row r="1659" spans="1:9" x14ac:dyDescent="0.25">
      <c r="A1659" s="16">
        <v>42750</v>
      </c>
      <c r="B1659" s="17" t="s">
        <v>1987</v>
      </c>
      <c r="C1659" s="18">
        <v>97256</v>
      </c>
      <c r="D1659" s="2" t="s">
        <v>109</v>
      </c>
      <c r="E1659" s="15">
        <v>3168</v>
      </c>
      <c r="F1659" s="36" t="s">
        <v>237</v>
      </c>
      <c r="G1659" s="15">
        <v>3168</v>
      </c>
      <c r="H1659" s="15">
        <f t="shared" si="26"/>
        <v>0</v>
      </c>
      <c r="I1659" s="19"/>
    </row>
    <row r="1660" spans="1:9" x14ac:dyDescent="0.25">
      <c r="A1660" s="16">
        <v>42750</v>
      </c>
      <c r="B1660" s="17" t="s">
        <v>1988</v>
      </c>
      <c r="C1660" s="18">
        <v>97257</v>
      </c>
      <c r="D1660" s="2" t="s">
        <v>1989</v>
      </c>
      <c r="E1660" s="15">
        <v>1568.7</v>
      </c>
      <c r="F1660" s="36" t="s">
        <v>237</v>
      </c>
      <c r="G1660" s="15">
        <v>1568.7</v>
      </c>
      <c r="H1660" s="15">
        <f t="shared" si="26"/>
        <v>0</v>
      </c>
      <c r="I1660" s="19"/>
    </row>
    <row r="1661" spans="1:9" x14ac:dyDescent="0.25">
      <c r="A1661" s="16">
        <v>42750</v>
      </c>
      <c r="B1661" s="17" t="s">
        <v>1990</v>
      </c>
      <c r="C1661" s="18">
        <v>97258</v>
      </c>
      <c r="D1661" s="2" t="s">
        <v>476</v>
      </c>
      <c r="E1661" s="15">
        <v>2189.1999999999998</v>
      </c>
      <c r="F1661" s="36" t="s">
        <v>237</v>
      </c>
      <c r="G1661" s="15">
        <v>2189.1999999999998</v>
      </c>
      <c r="H1661" s="15">
        <f t="shared" si="26"/>
        <v>0</v>
      </c>
      <c r="I1661" s="19"/>
    </row>
    <row r="1662" spans="1:9" x14ac:dyDescent="0.25">
      <c r="A1662" s="16">
        <v>42750</v>
      </c>
      <c r="B1662" s="17" t="s">
        <v>1991</v>
      </c>
      <c r="C1662" s="18">
        <v>97259</v>
      </c>
      <c r="D1662" s="2" t="s">
        <v>57</v>
      </c>
      <c r="E1662" s="15">
        <v>690</v>
      </c>
      <c r="F1662" s="36" t="s">
        <v>801</v>
      </c>
      <c r="G1662" s="15">
        <v>690</v>
      </c>
      <c r="H1662" s="15">
        <f t="shared" si="26"/>
        <v>0</v>
      </c>
      <c r="I1662" s="19"/>
    </row>
    <row r="1663" spans="1:9" x14ac:dyDescent="0.25">
      <c r="A1663" s="16">
        <v>42750</v>
      </c>
      <c r="B1663" s="17" t="s">
        <v>1992</v>
      </c>
      <c r="C1663" s="18">
        <v>97260</v>
      </c>
      <c r="D1663" s="2" t="s">
        <v>319</v>
      </c>
      <c r="E1663" s="15">
        <v>3621.2</v>
      </c>
      <c r="F1663" s="36" t="s">
        <v>511</v>
      </c>
      <c r="G1663" s="15">
        <v>3621.2</v>
      </c>
      <c r="H1663" s="15">
        <f t="shared" si="26"/>
        <v>0</v>
      </c>
      <c r="I1663" s="19"/>
    </row>
    <row r="1664" spans="1:9" x14ac:dyDescent="0.25">
      <c r="A1664" s="16">
        <v>42750</v>
      </c>
      <c r="B1664" s="17" t="s">
        <v>1993</v>
      </c>
      <c r="C1664" s="18">
        <v>97261</v>
      </c>
      <c r="D1664" s="2" t="s">
        <v>10</v>
      </c>
      <c r="E1664" s="15">
        <v>8971.2000000000007</v>
      </c>
      <c r="F1664" s="36" t="s">
        <v>1539</v>
      </c>
      <c r="G1664" s="15">
        <v>8971.2000000000007</v>
      </c>
      <c r="H1664" s="15">
        <f t="shared" si="26"/>
        <v>0</v>
      </c>
      <c r="I1664" s="19"/>
    </row>
    <row r="1665" spans="1:9" x14ac:dyDescent="0.25">
      <c r="A1665" s="16">
        <v>42750</v>
      </c>
      <c r="B1665" s="17" t="s">
        <v>1994</v>
      </c>
      <c r="C1665" s="18">
        <v>97262</v>
      </c>
      <c r="D1665" s="2" t="s">
        <v>226</v>
      </c>
      <c r="E1665" s="15">
        <v>1838.6</v>
      </c>
      <c r="F1665" s="36" t="s">
        <v>801</v>
      </c>
      <c r="G1665" s="15">
        <v>1838.6</v>
      </c>
      <c r="H1665" s="15">
        <f t="shared" si="26"/>
        <v>0</v>
      </c>
      <c r="I1665" s="19"/>
    </row>
    <row r="1666" spans="1:9" x14ac:dyDescent="0.25">
      <c r="A1666" s="16">
        <v>42750</v>
      </c>
      <c r="B1666" s="17" t="s">
        <v>1995</v>
      </c>
      <c r="C1666" s="18">
        <v>97263</v>
      </c>
      <c r="D1666" s="2" t="s">
        <v>53</v>
      </c>
      <c r="E1666" s="15">
        <v>3537.6</v>
      </c>
      <c r="F1666" s="36" t="s">
        <v>801</v>
      </c>
      <c r="G1666" s="15">
        <v>3537.6</v>
      </c>
      <c r="H1666" s="15">
        <f t="shared" si="26"/>
        <v>0</v>
      </c>
      <c r="I1666" s="19"/>
    </row>
    <row r="1667" spans="1:9" x14ac:dyDescent="0.25">
      <c r="A1667" s="16">
        <v>42750</v>
      </c>
      <c r="B1667" s="17" t="s">
        <v>1996</v>
      </c>
      <c r="C1667" s="18">
        <v>97264</v>
      </c>
      <c r="D1667" s="2" t="s">
        <v>1299</v>
      </c>
      <c r="E1667" s="15">
        <v>4831.2</v>
      </c>
      <c r="F1667" s="36" t="s">
        <v>801</v>
      </c>
      <c r="G1667" s="15">
        <v>4831.2</v>
      </c>
      <c r="H1667" s="15">
        <f t="shared" si="26"/>
        <v>0</v>
      </c>
      <c r="I1667" s="19"/>
    </row>
    <row r="1668" spans="1:9" x14ac:dyDescent="0.25">
      <c r="A1668" s="16">
        <v>42750</v>
      </c>
      <c r="B1668" s="17" t="s">
        <v>1997</v>
      </c>
      <c r="C1668" s="18">
        <v>97265</v>
      </c>
      <c r="D1668" s="2" t="s">
        <v>30</v>
      </c>
      <c r="E1668" s="15">
        <v>1572</v>
      </c>
      <c r="F1668" s="36" t="s">
        <v>801</v>
      </c>
      <c r="G1668" s="15">
        <v>1572</v>
      </c>
      <c r="H1668" s="15">
        <f t="shared" si="26"/>
        <v>0</v>
      </c>
      <c r="I1668" s="19"/>
    </row>
    <row r="1669" spans="1:9" x14ac:dyDescent="0.25">
      <c r="A1669" s="16">
        <v>42750</v>
      </c>
      <c r="B1669" s="17" t="s">
        <v>1998</v>
      </c>
      <c r="C1669" s="18">
        <v>97266</v>
      </c>
      <c r="D1669" s="2" t="s">
        <v>793</v>
      </c>
      <c r="E1669" s="15">
        <v>2040</v>
      </c>
      <c r="F1669" s="36" t="s">
        <v>801</v>
      </c>
      <c r="G1669" s="15">
        <v>2040</v>
      </c>
      <c r="H1669" s="15">
        <f t="shared" si="26"/>
        <v>0</v>
      </c>
      <c r="I1669" s="19"/>
    </row>
    <row r="1670" spans="1:9" x14ac:dyDescent="0.25">
      <c r="A1670" s="16">
        <v>42750</v>
      </c>
      <c r="B1670" s="17" t="s">
        <v>1999</v>
      </c>
      <c r="C1670" s="18">
        <v>97267</v>
      </c>
      <c r="D1670" s="2" t="s">
        <v>30</v>
      </c>
      <c r="E1670" s="15">
        <v>925.2</v>
      </c>
      <c r="F1670" s="36" t="s">
        <v>801</v>
      </c>
      <c r="G1670" s="15">
        <v>925.2</v>
      </c>
      <c r="H1670" s="15">
        <f t="shared" ref="H1670:H1733" si="27">E1670-G1670</f>
        <v>0</v>
      </c>
      <c r="I1670" s="19"/>
    </row>
    <row r="1671" spans="1:9" x14ac:dyDescent="0.25">
      <c r="A1671" s="16">
        <v>42750</v>
      </c>
      <c r="B1671" s="17" t="s">
        <v>2000</v>
      </c>
      <c r="C1671" s="18">
        <v>97268</v>
      </c>
      <c r="D1671" s="2" t="s">
        <v>12</v>
      </c>
      <c r="E1671" s="15">
        <v>2131</v>
      </c>
      <c r="F1671" s="36" t="s">
        <v>511</v>
      </c>
      <c r="G1671" s="15">
        <v>2131</v>
      </c>
      <c r="H1671" s="15">
        <f t="shared" si="27"/>
        <v>0</v>
      </c>
      <c r="I1671" s="19"/>
    </row>
    <row r="1672" spans="1:9" x14ac:dyDescent="0.25">
      <c r="A1672" s="16">
        <v>42750</v>
      </c>
      <c r="B1672" s="17" t="s">
        <v>2001</v>
      </c>
      <c r="C1672" s="18">
        <v>97269</v>
      </c>
      <c r="D1672" s="2" t="s">
        <v>149</v>
      </c>
      <c r="E1672" s="15">
        <v>2036.4</v>
      </c>
      <c r="F1672" s="36" t="s">
        <v>801</v>
      </c>
      <c r="G1672" s="15">
        <v>2036.4</v>
      </c>
      <c r="H1672" s="15">
        <f t="shared" si="27"/>
        <v>0</v>
      </c>
      <c r="I1672" s="19"/>
    </row>
    <row r="1673" spans="1:9" x14ac:dyDescent="0.25">
      <c r="A1673" s="16">
        <v>42750</v>
      </c>
      <c r="B1673" s="17" t="s">
        <v>2002</v>
      </c>
      <c r="C1673" s="18">
        <v>97270</v>
      </c>
      <c r="D1673" s="2" t="s">
        <v>509</v>
      </c>
      <c r="E1673" s="15">
        <v>13631.2</v>
      </c>
      <c r="F1673" s="36" t="s">
        <v>317</v>
      </c>
      <c r="G1673" s="15">
        <v>13631.2</v>
      </c>
      <c r="H1673" s="15">
        <f t="shared" si="27"/>
        <v>0</v>
      </c>
      <c r="I1673" s="19"/>
    </row>
    <row r="1674" spans="1:9" x14ac:dyDescent="0.25">
      <c r="A1674" s="16">
        <v>42750</v>
      </c>
      <c r="B1674" s="17" t="s">
        <v>2003</v>
      </c>
      <c r="C1674" s="18">
        <v>97271</v>
      </c>
      <c r="D1674" s="2" t="s">
        <v>151</v>
      </c>
      <c r="E1674" s="15">
        <v>18944.5</v>
      </c>
      <c r="F1674" s="36" t="s">
        <v>511</v>
      </c>
      <c r="G1674" s="15">
        <v>18944.5</v>
      </c>
      <c r="H1674" s="15">
        <f t="shared" si="27"/>
        <v>0</v>
      </c>
      <c r="I1674" s="19"/>
    </row>
    <row r="1675" spans="1:9" x14ac:dyDescent="0.25">
      <c r="A1675" s="16">
        <v>42750</v>
      </c>
      <c r="B1675" s="17" t="s">
        <v>2004</v>
      </c>
      <c r="C1675" s="18">
        <v>97272</v>
      </c>
      <c r="D1675" s="2" t="s">
        <v>157</v>
      </c>
      <c r="E1675" s="15">
        <v>32720.6</v>
      </c>
      <c r="F1675" s="36" t="s">
        <v>511</v>
      </c>
      <c r="G1675" s="15">
        <v>32720.6</v>
      </c>
      <c r="H1675" s="15">
        <f t="shared" si="27"/>
        <v>0</v>
      </c>
      <c r="I1675" s="19"/>
    </row>
    <row r="1676" spans="1:9" x14ac:dyDescent="0.25">
      <c r="A1676" s="16">
        <v>42750</v>
      </c>
      <c r="B1676" s="17" t="s">
        <v>2005</v>
      </c>
      <c r="C1676" s="18">
        <v>97273</v>
      </c>
      <c r="D1676" s="2" t="s">
        <v>74</v>
      </c>
      <c r="E1676" s="15">
        <v>1582.8</v>
      </c>
      <c r="F1676" s="36" t="s">
        <v>801</v>
      </c>
      <c r="G1676" s="15">
        <v>1582.8</v>
      </c>
      <c r="H1676" s="15">
        <f t="shared" si="27"/>
        <v>0</v>
      </c>
      <c r="I1676" s="19"/>
    </row>
    <row r="1677" spans="1:9" x14ac:dyDescent="0.25">
      <c r="A1677" s="16">
        <v>42750</v>
      </c>
      <c r="B1677" s="17" t="s">
        <v>2006</v>
      </c>
      <c r="C1677" s="18">
        <v>97274</v>
      </c>
      <c r="D1677" s="2" t="s">
        <v>1141</v>
      </c>
      <c r="E1677" s="15">
        <v>694.2</v>
      </c>
      <c r="F1677" s="36" t="s">
        <v>801</v>
      </c>
      <c r="G1677" s="15">
        <v>694.2</v>
      </c>
      <c r="H1677" s="15">
        <f t="shared" si="27"/>
        <v>0</v>
      </c>
      <c r="I1677" s="19"/>
    </row>
    <row r="1678" spans="1:9" x14ac:dyDescent="0.25">
      <c r="A1678" s="16">
        <v>42750</v>
      </c>
      <c r="B1678" s="17" t="s">
        <v>2007</v>
      </c>
      <c r="C1678" s="18">
        <v>97275</v>
      </c>
      <c r="D1678" s="2" t="s">
        <v>492</v>
      </c>
      <c r="E1678" s="15">
        <v>5475.6</v>
      </c>
      <c r="F1678" s="36" t="s">
        <v>927</v>
      </c>
      <c r="G1678" s="15">
        <v>5475.6</v>
      </c>
      <c r="H1678" s="15">
        <f t="shared" si="27"/>
        <v>0</v>
      </c>
      <c r="I1678" s="19"/>
    </row>
    <row r="1679" spans="1:9" x14ac:dyDescent="0.25">
      <c r="A1679" s="16">
        <v>42750</v>
      </c>
      <c r="B1679" s="17" t="s">
        <v>2008</v>
      </c>
      <c r="C1679" s="18">
        <v>97276</v>
      </c>
      <c r="D1679" s="2" t="s">
        <v>205</v>
      </c>
      <c r="E1679" s="15">
        <v>22000.7</v>
      </c>
      <c r="F1679" s="36" t="s">
        <v>2009</v>
      </c>
      <c r="G1679" s="15">
        <f>5622.52+16378.18</f>
        <v>22000.7</v>
      </c>
      <c r="H1679" s="15">
        <f t="shared" si="27"/>
        <v>0</v>
      </c>
      <c r="I1679" s="19"/>
    </row>
    <row r="1680" spans="1:9" x14ac:dyDescent="0.25">
      <c r="A1680" s="16">
        <v>42750</v>
      </c>
      <c r="B1680" s="17" t="s">
        <v>2010</v>
      </c>
      <c r="C1680" s="18">
        <v>97277</v>
      </c>
      <c r="D1680" s="2" t="s">
        <v>470</v>
      </c>
      <c r="E1680" s="15">
        <v>10979.2</v>
      </c>
      <c r="F1680" s="36" t="s">
        <v>237</v>
      </c>
      <c r="G1680" s="15">
        <v>10979.2</v>
      </c>
      <c r="H1680" s="15">
        <f t="shared" si="27"/>
        <v>0</v>
      </c>
      <c r="I1680" s="19"/>
    </row>
    <row r="1681" spans="1:9" x14ac:dyDescent="0.25">
      <c r="A1681" s="16">
        <v>42750</v>
      </c>
      <c r="B1681" s="17" t="s">
        <v>2011</v>
      </c>
      <c r="C1681" s="18">
        <v>97278</v>
      </c>
      <c r="D1681" s="2" t="s">
        <v>1925</v>
      </c>
      <c r="E1681" s="15">
        <v>421.2</v>
      </c>
      <c r="F1681" s="36" t="s">
        <v>801</v>
      </c>
      <c r="G1681" s="15">
        <v>421.2</v>
      </c>
      <c r="H1681" s="15">
        <f t="shared" si="27"/>
        <v>0</v>
      </c>
      <c r="I1681" s="19"/>
    </row>
    <row r="1682" spans="1:9" x14ac:dyDescent="0.25">
      <c r="A1682" s="16">
        <v>42750</v>
      </c>
      <c r="B1682" s="17" t="s">
        <v>2012</v>
      </c>
      <c r="C1682" s="18">
        <v>97279</v>
      </c>
      <c r="D1682" s="2" t="s">
        <v>30</v>
      </c>
      <c r="E1682" s="15">
        <v>1053.5999999999999</v>
      </c>
      <c r="F1682" s="36" t="s">
        <v>801</v>
      </c>
      <c r="G1682" s="15">
        <v>1053.5999999999999</v>
      </c>
      <c r="H1682" s="15">
        <f t="shared" si="27"/>
        <v>0</v>
      </c>
      <c r="I1682" s="19"/>
    </row>
    <row r="1683" spans="1:9" x14ac:dyDescent="0.25">
      <c r="A1683" s="16">
        <v>42750</v>
      </c>
      <c r="B1683" s="17" t="s">
        <v>2013</v>
      </c>
      <c r="C1683" s="18">
        <v>97280</v>
      </c>
      <c r="D1683" s="2" t="s">
        <v>211</v>
      </c>
      <c r="E1683" s="15">
        <v>8636</v>
      </c>
      <c r="F1683" s="36" t="s">
        <v>801</v>
      </c>
      <c r="G1683" s="15">
        <v>8636</v>
      </c>
      <c r="H1683" s="15">
        <f t="shared" si="27"/>
        <v>0</v>
      </c>
      <c r="I1683" s="19"/>
    </row>
    <row r="1684" spans="1:9" x14ac:dyDescent="0.25">
      <c r="A1684" s="16">
        <v>42750</v>
      </c>
      <c r="B1684" s="17" t="s">
        <v>2014</v>
      </c>
      <c r="C1684" s="18">
        <v>97281</v>
      </c>
      <c r="D1684" s="2" t="s">
        <v>800</v>
      </c>
      <c r="E1684" s="15">
        <v>6649.32</v>
      </c>
      <c r="F1684" s="36" t="s">
        <v>1539</v>
      </c>
      <c r="G1684" s="15">
        <v>6649.32</v>
      </c>
      <c r="H1684" s="15">
        <f t="shared" si="27"/>
        <v>0</v>
      </c>
      <c r="I1684" s="19"/>
    </row>
    <row r="1685" spans="1:9" x14ac:dyDescent="0.25">
      <c r="A1685" s="16">
        <v>42750</v>
      </c>
      <c r="B1685" s="17" t="s">
        <v>2015</v>
      </c>
      <c r="C1685" s="18">
        <v>97282</v>
      </c>
      <c r="D1685" s="2" t="s">
        <v>379</v>
      </c>
      <c r="E1685" s="15">
        <v>363.6</v>
      </c>
      <c r="F1685" s="36" t="s">
        <v>801</v>
      </c>
      <c r="G1685" s="15">
        <v>363.6</v>
      </c>
      <c r="H1685" s="15">
        <f t="shared" si="27"/>
        <v>0</v>
      </c>
      <c r="I1685" s="19"/>
    </row>
    <row r="1686" spans="1:9" x14ac:dyDescent="0.25">
      <c r="A1686" s="16">
        <v>42751</v>
      </c>
      <c r="B1686" s="17" t="s">
        <v>2016</v>
      </c>
      <c r="C1686" s="18">
        <v>97283</v>
      </c>
      <c r="D1686" s="2" t="s">
        <v>17</v>
      </c>
      <c r="E1686" s="15">
        <v>2070</v>
      </c>
      <c r="F1686" s="36" t="s">
        <v>237</v>
      </c>
      <c r="G1686" s="15">
        <v>2070</v>
      </c>
      <c r="H1686" s="15">
        <f t="shared" si="27"/>
        <v>0</v>
      </c>
      <c r="I1686" s="19"/>
    </row>
    <row r="1687" spans="1:9" x14ac:dyDescent="0.25">
      <c r="A1687" s="16">
        <v>42751</v>
      </c>
      <c r="B1687" s="17" t="s">
        <v>2017</v>
      </c>
      <c r="C1687" s="18">
        <v>97284</v>
      </c>
      <c r="D1687" s="2" t="s">
        <v>231</v>
      </c>
      <c r="E1687" s="15">
        <v>10079</v>
      </c>
      <c r="F1687" s="36" t="s">
        <v>511</v>
      </c>
      <c r="G1687" s="15">
        <v>10079</v>
      </c>
      <c r="H1687" s="15">
        <f t="shared" si="27"/>
        <v>0</v>
      </c>
      <c r="I1687" s="19"/>
    </row>
    <row r="1688" spans="1:9" x14ac:dyDescent="0.25">
      <c r="A1688" s="16">
        <v>42751</v>
      </c>
      <c r="B1688" s="17" t="s">
        <v>2018</v>
      </c>
      <c r="C1688" s="18">
        <v>97285</v>
      </c>
      <c r="D1688" s="2" t="s">
        <v>71</v>
      </c>
      <c r="E1688" s="15">
        <v>2464</v>
      </c>
      <c r="F1688" s="36" t="s">
        <v>237</v>
      </c>
      <c r="G1688" s="15">
        <v>2464</v>
      </c>
      <c r="H1688" s="15">
        <f t="shared" si="27"/>
        <v>0</v>
      </c>
    </row>
    <row r="1689" spans="1:9" x14ac:dyDescent="0.25">
      <c r="A1689" s="16">
        <v>42751</v>
      </c>
      <c r="B1689" s="17" t="s">
        <v>2019</v>
      </c>
      <c r="C1689" s="18">
        <v>97286</v>
      </c>
      <c r="D1689" s="2" t="s">
        <v>231</v>
      </c>
      <c r="E1689" s="15">
        <v>35111.199999999997</v>
      </c>
      <c r="F1689" s="36" t="s">
        <v>511</v>
      </c>
      <c r="G1689" s="15">
        <v>35111.199999999997</v>
      </c>
      <c r="H1689" s="15">
        <f t="shared" si="27"/>
        <v>0</v>
      </c>
    </row>
    <row r="1690" spans="1:9" x14ac:dyDescent="0.25">
      <c r="A1690" s="16">
        <v>42751</v>
      </c>
      <c r="B1690" s="17" t="s">
        <v>2020</v>
      </c>
      <c r="C1690" s="18">
        <v>97287</v>
      </c>
      <c r="D1690" s="13" t="s">
        <v>1786</v>
      </c>
      <c r="E1690" s="14">
        <v>0</v>
      </c>
      <c r="F1690" s="123" t="s">
        <v>95</v>
      </c>
      <c r="G1690" s="14">
        <v>0</v>
      </c>
      <c r="H1690" s="14">
        <f t="shared" si="27"/>
        <v>0</v>
      </c>
    </row>
    <row r="1691" spans="1:9" x14ac:dyDescent="0.25">
      <c r="A1691" s="16">
        <v>42751</v>
      </c>
      <c r="B1691" s="17" t="s">
        <v>2021</v>
      </c>
      <c r="C1691" s="18">
        <v>97288</v>
      </c>
      <c r="D1691" s="2" t="s">
        <v>1786</v>
      </c>
      <c r="E1691" s="15">
        <v>6769</v>
      </c>
      <c r="F1691" s="36" t="s">
        <v>237</v>
      </c>
      <c r="G1691" s="15">
        <v>6769</v>
      </c>
      <c r="H1691" s="15">
        <f t="shared" si="27"/>
        <v>0</v>
      </c>
    </row>
    <row r="1692" spans="1:9" x14ac:dyDescent="0.25">
      <c r="A1692" s="16">
        <v>42751</v>
      </c>
      <c r="B1692" s="17" t="s">
        <v>2022</v>
      </c>
      <c r="C1692" s="18">
        <v>97289</v>
      </c>
      <c r="D1692" s="2" t="s">
        <v>32</v>
      </c>
      <c r="E1692" s="15">
        <v>6701.7</v>
      </c>
      <c r="F1692" s="36" t="s">
        <v>317</v>
      </c>
      <c r="G1692" s="15">
        <v>6701.7</v>
      </c>
      <c r="H1692" s="15">
        <f t="shared" si="27"/>
        <v>0</v>
      </c>
    </row>
    <row r="1693" spans="1:9" x14ac:dyDescent="0.25">
      <c r="A1693" s="16">
        <v>42751</v>
      </c>
      <c r="B1693" s="17" t="s">
        <v>2023</v>
      </c>
      <c r="C1693" s="18">
        <v>97290</v>
      </c>
      <c r="D1693" s="2" t="s">
        <v>236</v>
      </c>
      <c r="E1693" s="15">
        <v>20592.72</v>
      </c>
      <c r="F1693" s="36" t="s">
        <v>927</v>
      </c>
      <c r="G1693" s="15">
        <v>20592.72</v>
      </c>
      <c r="H1693" s="15">
        <f t="shared" si="27"/>
        <v>0</v>
      </c>
    </row>
    <row r="1694" spans="1:9" x14ac:dyDescent="0.25">
      <c r="A1694" s="16">
        <v>42751</v>
      </c>
      <c r="B1694" s="17" t="s">
        <v>2024</v>
      </c>
      <c r="C1694" s="18">
        <v>97291</v>
      </c>
      <c r="D1694" s="2" t="s">
        <v>26</v>
      </c>
      <c r="E1694" s="15">
        <v>33939.1</v>
      </c>
      <c r="F1694" s="36" t="s">
        <v>237</v>
      </c>
      <c r="G1694" s="15">
        <v>33939.1</v>
      </c>
      <c r="H1694" s="15">
        <f t="shared" si="27"/>
        <v>0</v>
      </c>
    </row>
    <row r="1695" spans="1:9" x14ac:dyDescent="0.25">
      <c r="A1695" s="16">
        <v>42751</v>
      </c>
      <c r="B1695" s="17" t="s">
        <v>2025</v>
      </c>
      <c r="C1695" s="18">
        <v>97292</v>
      </c>
      <c r="D1695" s="13" t="s">
        <v>55</v>
      </c>
      <c r="E1695" s="14">
        <v>0</v>
      </c>
      <c r="F1695" s="123" t="s">
        <v>95</v>
      </c>
      <c r="G1695" s="14">
        <v>0</v>
      </c>
      <c r="H1695" s="14">
        <f t="shared" si="27"/>
        <v>0</v>
      </c>
      <c r="I1695" s="19"/>
    </row>
    <row r="1696" spans="1:9" x14ac:dyDescent="0.25">
      <c r="A1696" s="16">
        <v>42751</v>
      </c>
      <c r="B1696" s="17" t="s">
        <v>2026</v>
      </c>
      <c r="C1696" s="18">
        <v>97293</v>
      </c>
      <c r="D1696" s="2" t="s">
        <v>55</v>
      </c>
      <c r="E1696" s="15">
        <v>9353.5</v>
      </c>
      <c r="F1696" s="36" t="s">
        <v>237</v>
      </c>
      <c r="G1696" s="15">
        <v>9353.5</v>
      </c>
      <c r="H1696" s="15">
        <f t="shared" si="27"/>
        <v>0</v>
      </c>
    </row>
    <row r="1697" spans="1:8" x14ac:dyDescent="0.25">
      <c r="A1697" s="16">
        <v>42751</v>
      </c>
      <c r="B1697" s="17" t="s">
        <v>2027</v>
      </c>
      <c r="C1697" s="18">
        <v>97294</v>
      </c>
      <c r="D1697" s="2" t="s">
        <v>47</v>
      </c>
      <c r="E1697" s="15">
        <v>5035.5</v>
      </c>
      <c r="F1697" s="36" t="s">
        <v>237</v>
      </c>
      <c r="G1697" s="15">
        <v>5035.5</v>
      </c>
      <c r="H1697" s="15">
        <f t="shared" si="27"/>
        <v>0</v>
      </c>
    </row>
    <row r="1698" spans="1:8" x14ac:dyDescent="0.25">
      <c r="A1698" s="16">
        <v>42751</v>
      </c>
      <c r="B1698" s="17" t="s">
        <v>2028</v>
      </c>
      <c r="C1698" s="18">
        <v>97295</v>
      </c>
      <c r="D1698" s="2" t="s">
        <v>38</v>
      </c>
      <c r="E1698" s="15">
        <v>3506.6</v>
      </c>
      <c r="F1698" s="36" t="s">
        <v>224</v>
      </c>
      <c r="G1698" s="15">
        <v>3506.6</v>
      </c>
      <c r="H1698" s="15">
        <f t="shared" si="27"/>
        <v>0</v>
      </c>
    </row>
    <row r="1699" spans="1:8" x14ac:dyDescent="0.25">
      <c r="A1699" s="16">
        <v>42751</v>
      </c>
      <c r="B1699" s="17" t="s">
        <v>2029</v>
      </c>
      <c r="C1699" s="18">
        <v>97296</v>
      </c>
      <c r="D1699" s="2" t="s">
        <v>28</v>
      </c>
      <c r="E1699" s="15">
        <v>5048.2</v>
      </c>
      <c r="F1699" s="36" t="s">
        <v>237</v>
      </c>
      <c r="G1699" s="15">
        <v>5048.2</v>
      </c>
      <c r="H1699" s="15">
        <f t="shared" si="27"/>
        <v>0</v>
      </c>
    </row>
    <row r="1700" spans="1:8" x14ac:dyDescent="0.25">
      <c r="A1700" s="16">
        <v>42751</v>
      </c>
      <c r="B1700" s="17" t="s">
        <v>2030</v>
      </c>
      <c r="C1700" s="18">
        <v>97297</v>
      </c>
      <c r="D1700" s="2" t="s">
        <v>541</v>
      </c>
      <c r="E1700" s="15">
        <v>3608</v>
      </c>
      <c r="F1700" s="36" t="s">
        <v>317</v>
      </c>
      <c r="G1700" s="15">
        <f>1800+1808</f>
        <v>3608</v>
      </c>
      <c r="H1700" s="15">
        <f t="shared" si="27"/>
        <v>0</v>
      </c>
    </row>
    <row r="1701" spans="1:8" x14ac:dyDescent="0.25">
      <c r="A1701" s="16">
        <v>42751</v>
      </c>
      <c r="B1701" s="17" t="s">
        <v>2031</v>
      </c>
      <c r="C1701" s="18">
        <v>97298</v>
      </c>
      <c r="D1701" s="2" t="s">
        <v>67</v>
      </c>
      <c r="E1701" s="15">
        <v>4206.6000000000004</v>
      </c>
      <c r="F1701" s="36" t="s">
        <v>237</v>
      </c>
      <c r="G1701" s="15">
        <v>4206.6000000000004</v>
      </c>
      <c r="H1701" s="15">
        <f t="shared" si="27"/>
        <v>0</v>
      </c>
    </row>
    <row r="1702" spans="1:8" x14ac:dyDescent="0.25">
      <c r="A1702" s="16">
        <v>42751</v>
      </c>
      <c r="B1702" s="17" t="s">
        <v>2032</v>
      </c>
      <c r="C1702" s="18">
        <v>97299</v>
      </c>
      <c r="D1702" s="2" t="s">
        <v>358</v>
      </c>
      <c r="E1702" s="15">
        <v>63158.400000000001</v>
      </c>
      <c r="F1702" s="36" t="s">
        <v>237</v>
      </c>
      <c r="G1702" s="15">
        <v>63158.400000000001</v>
      </c>
      <c r="H1702" s="15">
        <f t="shared" si="27"/>
        <v>0</v>
      </c>
    </row>
    <row r="1703" spans="1:8" x14ac:dyDescent="0.25">
      <c r="A1703" s="16">
        <v>42751</v>
      </c>
      <c r="B1703" s="17" t="s">
        <v>2033</v>
      </c>
      <c r="C1703" s="18">
        <v>97300</v>
      </c>
      <c r="D1703" s="2" t="s">
        <v>10</v>
      </c>
      <c r="E1703" s="15">
        <v>91712</v>
      </c>
      <c r="F1703" s="36" t="s">
        <v>1539</v>
      </c>
      <c r="G1703" s="15">
        <v>91712</v>
      </c>
      <c r="H1703" s="15">
        <f t="shared" si="27"/>
        <v>0</v>
      </c>
    </row>
    <row r="1704" spans="1:8" x14ac:dyDescent="0.25">
      <c r="A1704" s="16">
        <v>42751</v>
      </c>
      <c r="B1704" s="17" t="s">
        <v>2034</v>
      </c>
      <c r="C1704" s="18">
        <v>97301</v>
      </c>
      <c r="D1704" s="2" t="s">
        <v>428</v>
      </c>
      <c r="E1704" s="15">
        <v>1196</v>
      </c>
      <c r="F1704" s="36" t="s">
        <v>317</v>
      </c>
      <c r="G1704" s="15">
        <v>1196</v>
      </c>
      <c r="H1704" s="15">
        <f t="shared" si="27"/>
        <v>0</v>
      </c>
    </row>
    <row r="1705" spans="1:8" x14ac:dyDescent="0.25">
      <c r="A1705" s="16">
        <v>42751</v>
      </c>
      <c r="B1705" s="17" t="s">
        <v>2035</v>
      </c>
      <c r="C1705" s="18">
        <v>97302</v>
      </c>
      <c r="D1705" s="2" t="s">
        <v>231</v>
      </c>
      <c r="E1705" s="15">
        <v>2033.2</v>
      </c>
      <c r="F1705" s="36" t="s">
        <v>511</v>
      </c>
      <c r="G1705" s="15">
        <v>2033.2</v>
      </c>
      <c r="H1705" s="15">
        <f t="shared" si="27"/>
        <v>0</v>
      </c>
    </row>
    <row r="1706" spans="1:8" x14ac:dyDescent="0.25">
      <c r="A1706" s="16">
        <v>42751</v>
      </c>
      <c r="B1706" s="17" t="s">
        <v>2036</v>
      </c>
      <c r="C1706" s="18">
        <v>97303</v>
      </c>
      <c r="D1706" s="2" t="s">
        <v>69</v>
      </c>
      <c r="E1706" s="15">
        <v>1838.4</v>
      </c>
      <c r="F1706" s="36" t="s">
        <v>237</v>
      </c>
      <c r="G1706" s="15">
        <v>1838.4</v>
      </c>
      <c r="H1706" s="15">
        <f t="shared" si="27"/>
        <v>0</v>
      </c>
    </row>
    <row r="1707" spans="1:8" x14ac:dyDescent="0.25">
      <c r="A1707" s="16">
        <v>42751</v>
      </c>
      <c r="B1707" s="17" t="s">
        <v>2037</v>
      </c>
      <c r="C1707" s="18">
        <v>97304</v>
      </c>
      <c r="D1707" s="2" t="s">
        <v>30</v>
      </c>
      <c r="E1707" s="15">
        <v>2737.3</v>
      </c>
      <c r="F1707" s="36" t="s">
        <v>237</v>
      </c>
      <c r="G1707" s="15">
        <v>2737.3</v>
      </c>
      <c r="H1707" s="15">
        <f t="shared" si="27"/>
        <v>0</v>
      </c>
    </row>
    <row r="1708" spans="1:8" x14ac:dyDescent="0.25">
      <c r="A1708" s="16">
        <v>42751</v>
      </c>
      <c r="B1708" s="17" t="s">
        <v>2038</v>
      </c>
      <c r="C1708" s="18">
        <v>97305</v>
      </c>
      <c r="D1708" s="2" t="s">
        <v>49</v>
      </c>
      <c r="E1708" s="15">
        <v>11809.6</v>
      </c>
      <c r="F1708" s="124" t="s">
        <v>2039</v>
      </c>
      <c r="G1708" s="20">
        <f>5000+6809.6</f>
        <v>11809.6</v>
      </c>
      <c r="H1708" s="20">
        <f t="shared" si="27"/>
        <v>0</v>
      </c>
    </row>
    <row r="1709" spans="1:8" x14ac:dyDescent="0.25">
      <c r="A1709" s="16">
        <v>42751</v>
      </c>
      <c r="B1709" s="17" t="s">
        <v>2040</v>
      </c>
      <c r="C1709" s="18">
        <v>97306</v>
      </c>
      <c r="D1709" s="2" t="s">
        <v>133</v>
      </c>
      <c r="E1709" s="15">
        <v>15366.5</v>
      </c>
      <c r="F1709" s="36" t="s">
        <v>361</v>
      </c>
      <c r="G1709" s="15">
        <v>15366.5</v>
      </c>
      <c r="H1709" s="15">
        <f t="shared" si="27"/>
        <v>0</v>
      </c>
    </row>
    <row r="1710" spans="1:8" x14ac:dyDescent="0.25">
      <c r="A1710" s="16">
        <v>42751</v>
      </c>
      <c r="B1710" s="17" t="s">
        <v>2041</v>
      </c>
      <c r="C1710" s="18">
        <v>97307</v>
      </c>
      <c r="D1710" s="2" t="s">
        <v>218</v>
      </c>
      <c r="E1710" s="15">
        <v>106653.15</v>
      </c>
      <c r="F1710" s="36" t="s">
        <v>307</v>
      </c>
      <c r="G1710" s="15">
        <v>106653.15</v>
      </c>
      <c r="H1710" s="15">
        <f t="shared" si="27"/>
        <v>0</v>
      </c>
    </row>
    <row r="1711" spans="1:8" x14ac:dyDescent="0.25">
      <c r="A1711" s="16">
        <v>42751</v>
      </c>
      <c r="B1711" s="17" t="s">
        <v>2042</v>
      </c>
      <c r="C1711" s="18">
        <v>97308</v>
      </c>
      <c r="D1711" s="2" t="s">
        <v>184</v>
      </c>
      <c r="E1711" s="15">
        <v>4023</v>
      </c>
      <c r="F1711" s="36" t="s">
        <v>237</v>
      </c>
      <c r="G1711" s="15">
        <v>4023</v>
      </c>
      <c r="H1711" s="15">
        <f t="shared" si="27"/>
        <v>0</v>
      </c>
    </row>
    <row r="1712" spans="1:8" x14ac:dyDescent="0.25">
      <c r="A1712" s="16">
        <v>42751</v>
      </c>
      <c r="B1712" s="17" t="s">
        <v>2043</v>
      </c>
      <c r="C1712" s="18">
        <v>97309</v>
      </c>
      <c r="D1712" s="2" t="s">
        <v>186</v>
      </c>
      <c r="E1712" s="15">
        <v>2373.1</v>
      </c>
      <c r="F1712" s="36" t="s">
        <v>336</v>
      </c>
      <c r="G1712" s="15">
        <v>2373.1</v>
      </c>
      <c r="H1712" s="15">
        <f t="shared" si="27"/>
        <v>0</v>
      </c>
    </row>
    <row r="1713" spans="1:8" x14ac:dyDescent="0.25">
      <c r="A1713" s="16">
        <v>42751</v>
      </c>
      <c r="B1713" s="17" t="s">
        <v>2044</v>
      </c>
      <c r="C1713" s="18">
        <v>97310</v>
      </c>
      <c r="D1713" s="2" t="s">
        <v>335</v>
      </c>
      <c r="E1713" s="15">
        <v>1936</v>
      </c>
      <c r="F1713" s="36" t="s">
        <v>336</v>
      </c>
      <c r="G1713" s="15">
        <v>1936</v>
      </c>
      <c r="H1713" s="15">
        <f t="shared" si="27"/>
        <v>0</v>
      </c>
    </row>
    <row r="1714" spans="1:8" x14ac:dyDescent="0.25">
      <c r="A1714" s="16">
        <v>42751</v>
      </c>
      <c r="B1714" s="17" t="s">
        <v>2045</v>
      </c>
      <c r="C1714" s="18">
        <v>97311</v>
      </c>
      <c r="D1714" s="13" t="s">
        <v>1335</v>
      </c>
      <c r="E1714" s="14">
        <v>0</v>
      </c>
      <c r="F1714" s="123" t="s">
        <v>95</v>
      </c>
      <c r="G1714" s="14">
        <v>0</v>
      </c>
      <c r="H1714" s="14">
        <f t="shared" si="27"/>
        <v>0</v>
      </c>
    </row>
    <row r="1715" spans="1:8" x14ac:dyDescent="0.25">
      <c r="A1715" s="16">
        <v>42751</v>
      </c>
      <c r="B1715" s="17" t="s">
        <v>2046</v>
      </c>
      <c r="C1715" s="18">
        <v>97312</v>
      </c>
      <c r="D1715" s="2" t="s">
        <v>35</v>
      </c>
      <c r="E1715" s="15">
        <v>12102.8</v>
      </c>
      <c r="F1715" s="36" t="s">
        <v>317</v>
      </c>
      <c r="G1715" s="15">
        <v>12102.8</v>
      </c>
      <c r="H1715" s="15">
        <f t="shared" si="27"/>
        <v>0</v>
      </c>
    </row>
    <row r="1716" spans="1:8" x14ac:dyDescent="0.25">
      <c r="A1716" s="16">
        <v>42751</v>
      </c>
      <c r="B1716" s="17" t="s">
        <v>2047</v>
      </c>
      <c r="C1716" s="18">
        <v>97313</v>
      </c>
      <c r="D1716" s="2" t="s">
        <v>1335</v>
      </c>
      <c r="E1716" s="15">
        <v>10958.5</v>
      </c>
      <c r="F1716" s="36" t="s">
        <v>237</v>
      </c>
      <c r="G1716" s="15">
        <v>10958.5</v>
      </c>
      <c r="H1716" s="15">
        <f t="shared" si="27"/>
        <v>0</v>
      </c>
    </row>
    <row r="1717" spans="1:8" x14ac:dyDescent="0.25">
      <c r="A1717" s="16">
        <v>42751</v>
      </c>
      <c r="B1717" s="17" t="s">
        <v>2048</v>
      </c>
      <c r="C1717" s="18">
        <v>97314</v>
      </c>
      <c r="D1717" s="2" t="s">
        <v>253</v>
      </c>
      <c r="E1717" s="15">
        <v>8439</v>
      </c>
      <c r="F1717" s="124" t="s">
        <v>2049</v>
      </c>
      <c r="G1717" s="20">
        <f>6000+2439</f>
        <v>8439</v>
      </c>
      <c r="H1717" s="20">
        <f t="shared" si="27"/>
        <v>0</v>
      </c>
    </row>
    <row r="1718" spans="1:8" x14ac:dyDescent="0.25">
      <c r="A1718" s="16">
        <v>42751</v>
      </c>
      <c r="B1718" s="17" t="s">
        <v>2050</v>
      </c>
      <c r="C1718" s="18">
        <v>97315</v>
      </c>
      <c r="D1718" s="2" t="s">
        <v>250</v>
      </c>
      <c r="E1718" s="15">
        <v>3308.8</v>
      </c>
      <c r="F1718" s="36" t="s">
        <v>511</v>
      </c>
      <c r="G1718" s="15">
        <v>3308.8</v>
      </c>
      <c r="H1718" s="15">
        <f t="shared" si="27"/>
        <v>0</v>
      </c>
    </row>
    <row r="1719" spans="1:8" x14ac:dyDescent="0.25">
      <c r="A1719" s="16">
        <v>42751</v>
      </c>
      <c r="B1719" s="17" t="s">
        <v>2051</v>
      </c>
      <c r="C1719" s="18">
        <v>97316</v>
      </c>
      <c r="D1719" s="2" t="s">
        <v>14</v>
      </c>
      <c r="E1719" s="15">
        <v>21027.3</v>
      </c>
      <c r="F1719" s="36" t="s">
        <v>237</v>
      </c>
      <c r="G1719" s="15">
        <v>21027.3</v>
      </c>
      <c r="H1719" s="15">
        <f t="shared" si="27"/>
        <v>0</v>
      </c>
    </row>
    <row r="1720" spans="1:8" x14ac:dyDescent="0.25">
      <c r="A1720" s="16">
        <v>42751</v>
      </c>
      <c r="B1720" s="17" t="s">
        <v>2052</v>
      </c>
      <c r="C1720" s="18">
        <v>97317</v>
      </c>
      <c r="D1720" s="2" t="s">
        <v>250</v>
      </c>
      <c r="E1720" s="15">
        <v>650.9</v>
      </c>
      <c r="F1720" s="36" t="s">
        <v>511</v>
      </c>
      <c r="G1720" s="15">
        <v>650.9</v>
      </c>
      <c r="H1720" s="15">
        <f t="shared" si="27"/>
        <v>0</v>
      </c>
    </row>
    <row r="1721" spans="1:8" x14ac:dyDescent="0.25">
      <c r="A1721" s="16">
        <v>42751</v>
      </c>
      <c r="B1721" s="17" t="s">
        <v>2053</v>
      </c>
      <c r="C1721" s="18">
        <v>97318</v>
      </c>
      <c r="D1721" s="2" t="s">
        <v>2054</v>
      </c>
      <c r="E1721" s="15">
        <v>3596.4</v>
      </c>
      <c r="F1721" s="36" t="s">
        <v>237</v>
      </c>
      <c r="G1721" s="15">
        <v>3596.4</v>
      </c>
      <c r="H1721" s="15">
        <f t="shared" si="27"/>
        <v>0</v>
      </c>
    </row>
    <row r="1722" spans="1:8" x14ac:dyDescent="0.25">
      <c r="A1722" s="16">
        <v>42751</v>
      </c>
      <c r="B1722" s="17" t="s">
        <v>2055</v>
      </c>
      <c r="C1722" s="18">
        <v>97319</v>
      </c>
      <c r="D1722" s="2" t="s">
        <v>576</v>
      </c>
      <c r="E1722" s="15">
        <v>4703.6000000000004</v>
      </c>
      <c r="F1722" s="36" t="s">
        <v>511</v>
      </c>
      <c r="G1722" s="15">
        <v>4703.6000000000004</v>
      </c>
      <c r="H1722" s="15">
        <f t="shared" si="27"/>
        <v>0</v>
      </c>
    </row>
    <row r="1723" spans="1:8" x14ac:dyDescent="0.25">
      <c r="A1723" s="16">
        <v>42751</v>
      </c>
      <c r="B1723" s="17" t="s">
        <v>2056</v>
      </c>
      <c r="C1723" s="18">
        <v>97320</v>
      </c>
      <c r="D1723" s="2" t="s">
        <v>43</v>
      </c>
      <c r="E1723" s="15">
        <v>10597.9</v>
      </c>
      <c r="F1723" s="36" t="s">
        <v>1582</v>
      </c>
      <c r="G1723" s="15">
        <f>5000+5597.9</f>
        <v>10597.9</v>
      </c>
      <c r="H1723" s="15">
        <f t="shared" si="27"/>
        <v>0</v>
      </c>
    </row>
    <row r="1724" spans="1:8" x14ac:dyDescent="0.25">
      <c r="A1724" s="16">
        <v>42751</v>
      </c>
      <c r="B1724" s="17" t="s">
        <v>2057</v>
      </c>
      <c r="C1724" s="18">
        <v>97321</v>
      </c>
      <c r="D1724" s="2" t="s">
        <v>10</v>
      </c>
      <c r="E1724" s="15">
        <v>49941.2</v>
      </c>
      <c r="F1724" s="36" t="s">
        <v>1539</v>
      </c>
      <c r="G1724" s="15">
        <v>49941.2</v>
      </c>
      <c r="H1724" s="15">
        <f t="shared" si="27"/>
        <v>0</v>
      </c>
    </row>
    <row r="1725" spans="1:8" x14ac:dyDescent="0.25">
      <c r="A1725" s="16">
        <v>42751</v>
      </c>
      <c r="B1725" s="17" t="s">
        <v>2058</v>
      </c>
      <c r="C1725" s="18">
        <v>97322</v>
      </c>
      <c r="D1725" s="2" t="s">
        <v>268</v>
      </c>
      <c r="E1725" s="15">
        <v>13068</v>
      </c>
      <c r="F1725" s="36" t="s">
        <v>317</v>
      </c>
      <c r="G1725" s="15">
        <v>13068</v>
      </c>
      <c r="H1725" s="15">
        <f t="shared" si="27"/>
        <v>0</v>
      </c>
    </row>
    <row r="1726" spans="1:8" x14ac:dyDescent="0.25">
      <c r="A1726" s="16">
        <v>42751</v>
      </c>
      <c r="B1726" s="17" t="s">
        <v>2059</v>
      </c>
      <c r="C1726" s="18">
        <v>97323</v>
      </c>
      <c r="D1726" s="2" t="s">
        <v>432</v>
      </c>
      <c r="E1726" s="15">
        <v>13684</v>
      </c>
      <c r="F1726" s="36" t="s">
        <v>1539</v>
      </c>
      <c r="G1726" s="15">
        <v>13684</v>
      </c>
      <c r="H1726" s="15">
        <f t="shared" si="27"/>
        <v>0</v>
      </c>
    </row>
    <row r="1727" spans="1:8" x14ac:dyDescent="0.25">
      <c r="A1727" s="16">
        <v>42751</v>
      </c>
      <c r="B1727" s="17" t="s">
        <v>2060</v>
      </c>
      <c r="C1727" s="18">
        <v>97324</v>
      </c>
      <c r="D1727" s="2" t="s">
        <v>785</v>
      </c>
      <c r="E1727" s="15">
        <v>15485</v>
      </c>
      <c r="F1727" s="36" t="s">
        <v>237</v>
      </c>
      <c r="G1727" s="15">
        <v>15485</v>
      </c>
      <c r="H1727" s="15">
        <f t="shared" si="27"/>
        <v>0</v>
      </c>
    </row>
    <row r="1728" spans="1:8" x14ac:dyDescent="0.25">
      <c r="A1728" s="16">
        <v>42751</v>
      </c>
      <c r="B1728" s="17" t="s">
        <v>2061</v>
      </c>
      <c r="C1728" s="18">
        <v>97325</v>
      </c>
      <c r="D1728" s="2" t="s">
        <v>1116</v>
      </c>
      <c r="E1728" s="15">
        <v>4970.8</v>
      </c>
      <c r="F1728" s="36" t="s">
        <v>317</v>
      </c>
      <c r="G1728" s="15">
        <v>4970.8</v>
      </c>
      <c r="H1728" s="15">
        <f t="shared" si="27"/>
        <v>0</v>
      </c>
    </row>
    <row r="1729" spans="1:8" x14ac:dyDescent="0.25">
      <c r="A1729" s="16">
        <v>42751</v>
      </c>
      <c r="B1729" s="17" t="s">
        <v>2062</v>
      </c>
      <c r="C1729" s="18">
        <v>97326</v>
      </c>
      <c r="D1729" s="2" t="s">
        <v>10</v>
      </c>
      <c r="E1729" s="15">
        <v>16609.5</v>
      </c>
      <c r="F1729" s="36" t="s">
        <v>1539</v>
      </c>
      <c r="G1729" s="15">
        <v>16609.5</v>
      </c>
      <c r="H1729" s="15">
        <f t="shared" si="27"/>
        <v>0</v>
      </c>
    </row>
    <row r="1730" spans="1:8" x14ac:dyDescent="0.25">
      <c r="A1730" s="16">
        <v>42751</v>
      </c>
      <c r="B1730" s="17" t="s">
        <v>2063</v>
      </c>
      <c r="C1730" s="18">
        <v>97327</v>
      </c>
      <c r="D1730" s="2" t="s">
        <v>1830</v>
      </c>
      <c r="E1730" s="15">
        <v>19783.400000000001</v>
      </c>
      <c r="F1730" s="36" t="s">
        <v>237</v>
      </c>
      <c r="G1730" s="15">
        <v>19783.400000000001</v>
      </c>
      <c r="H1730" s="15">
        <f t="shared" si="27"/>
        <v>0</v>
      </c>
    </row>
    <row r="1731" spans="1:8" x14ac:dyDescent="0.25">
      <c r="A1731" s="16">
        <v>42751</v>
      </c>
      <c r="B1731" s="17" t="s">
        <v>2064</v>
      </c>
      <c r="C1731" s="18">
        <v>97328</v>
      </c>
      <c r="D1731" s="2" t="s">
        <v>272</v>
      </c>
      <c r="E1731" s="15">
        <v>4722.7</v>
      </c>
      <c r="F1731" s="36" t="s">
        <v>317</v>
      </c>
      <c r="G1731" s="15">
        <v>4722.7</v>
      </c>
      <c r="H1731" s="15">
        <f t="shared" si="27"/>
        <v>0</v>
      </c>
    </row>
    <row r="1732" spans="1:8" x14ac:dyDescent="0.25">
      <c r="A1732" s="16">
        <v>42751</v>
      </c>
      <c r="B1732" s="17" t="s">
        <v>2065</v>
      </c>
      <c r="C1732" s="18">
        <v>97329</v>
      </c>
      <c r="D1732" s="2" t="s">
        <v>590</v>
      </c>
      <c r="E1732" s="15">
        <v>1835.2</v>
      </c>
      <c r="F1732" s="36" t="s">
        <v>317</v>
      </c>
      <c r="G1732" s="15">
        <v>1835.2</v>
      </c>
      <c r="H1732" s="15">
        <f t="shared" si="27"/>
        <v>0</v>
      </c>
    </row>
    <row r="1733" spans="1:8" x14ac:dyDescent="0.25">
      <c r="A1733" s="16">
        <v>42751</v>
      </c>
      <c r="B1733" s="17" t="s">
        <v>2066</v>
      </c>
      <c r="C1733" s="18">
        <v>97330</v>
      </c>
      <c r="D1733" s="2" t="s">
        <v>457</v>
      </c>
      <c r="E1733" s="15">
        <v>7601.4</v>
      </c>
      <c r="F1733" s="36" t="s">
        <v>237</v>
      </c>
      <c r="G1733" s="15">
        <v>7601.4</v>
      </c>
      <c r="H1733" s="15">
        <f t="shared" si="27"/>
        <v>0</v>
      </c>
    </row>
    <row r="1734" spans="1:8" x14ac:dyDescent="0.25">
      <c r="A1734" s="16">
        <v>42751</v>
      </c>
      <c r="B1734" s="17" t="s">
        <v>2067</v>
      </c>
      <c r="C1734" s="18">
        <v>97331</v>
      </c>
      <c r="D1734" s="13" t="s">
        <v>590</v>
      </c>
      <c r="E1734" s="14">
        <v>0</v>
      </c>
      <c r="F1734" s="123" t="s">
        <v>95</v>
      </c>
      <c r="G1734" s="14">
        <v>0</v>
      </c>
      <c r="H1734" s="14">
        <f t="shared" ref="H1734:H1797" si="28">E1734-G1734</f>
        <v>0</v>
      </c>
    </row>
    <row r="1735" spans="1:8" x14ac:dyDescent="0.25">
      <c r="A1735" s="16">
        <v>42751</v>
      </c>
      <c r="B1735" s="17" t="s">
        <v>2068</v>
      </c>
      <c r="C1735" s="18">
        <v>97332</v>
      </c>
      <c r="D1735" s="2" t="s">
        <v>270</v>
      </c>
      <c r="E1735" s="15">
        <v>18564.2</v>
      </c>
      <c r="F1735" s="36" t="s">
        <v>317</v>
      </c>
      <c r="G1735" s="15">
        <v>18564.2</v>
      </c>
      <c r="H1735" s="15">
        <f t="shared" si="28"/>
        <v>0</v>
      </c>
    </row>
    <row r="1736" spans="1:8" x14ac:dyDescent="0.25">
      <c r="A1736" s="16">
        <v>42751</v>
      </c>
      <c r="B1736" s="17" t="s">
        <v>2069</v>
      </c>
      <c r="C1736" s="18">
        <v>97333</v>
      </c>
      <c r="D1736" s="2" t="s">
        <v>272</v>
      </c>
      <c r="E1736" s="15">
        <v>2008.8</v>
      </c>
      <c r="F1736" s="36" t="s">
        <v>317</v>
      </c>
      <c r="G1736" s="15">
        <v>2008.8</v>
      </c>
      <c r="H1736" s="15">
        <f t="shared" si="28"/>
        <v>0</v>
      </c>
    </row>
    <row r="1737" spans="1:8" x14ac:dyDescent="0.25">
      <c r="A1737" s="16">
        <v>42751</v>
      </c>
      <c r="B1737" s="17" t="s">
        <v>2070</v>
      </c>
      <c r="C1737" s="18">
        <v>97334</v>
      </c>
      <c r="D1737" s="2" t="s">
        <v>442</v>
      </c>
      <c r="E1737" s="15">
        <v>8076.8</v>
      </c>
      <c r="F1737" s="36" t="s">
        <v>1539</v>
      </c>
      <c r="G1737" s="15">
        <v>8076.8</v>
      </c>
      <c r="H1737" s="15">
        <f t="shared" si="28"/>
        <v>0</v>
      </c>
    </row>
    <row r="1738" spans="1:8" x14ac:dyDescent="0.25">
      <c r="A1738" s="16">
        <v>42751</v>
      </c>
      <c r="B1738" s="17" t="s">
        <v>2071</v>
      </c>
      <c r="C1738" s="18">
        <v>97335</v>
      </c>
      <c r="D1738" s="2" t="s">
        <v>149</v>
      </c>
      <c r="E1738" s="15">
        <v>1643</v>
      </c>
      <c r="F1738" s="36" t="s">
        <v>237</v>
      </c>
      <c r="G1738" s="15">
        <v>1643</v>
      </c>
      <c r="H1738" s="15">
        <f t="shared" si="28"/>
        <v>0</v>
      </c>
    </row>
    <row r="1739" spans="1:8" x14ac:dyDescent="0.25">
      <c r="A1739" s="16">
        <v>42751</v>
      </c>
      <c r="B1739" s="17" t="s">
        <v>2072</v>
      </c>
      <c r="C1739" s="18">
        <v>97336</v>
      </c>
      <c r="D1739" s="2" t="s">
        <v>923</v>
      </c>
      <c r="E1739" s="15">
        <v>7831</v>
      </c>
      <c r="F1739" s="36" t="s">
        <v>237</v>
      </c>
      <c r="G1739" s="15">
        <v>7831</v>
      </c>
      <c r="H1739" s="15">
        <f t="shared" si="28"/>
        <v>0</v>
      </c>
    </row>
    <row r="1740" spans="1:8" x14ac:dyDescent="0.25">
      <c r="A1740" s="16">
        <v>42751</v>
      </c>
      <c r="B1740" s="17" t="s">
        <v>2073</v>
      </c>
      <c r="C1740" s="18">
        <v>97337</v>
      </c>
      <c r="D1740" s="2" t="s">
        <v>149</v>
      </c>
      <c r="E1740" s="15">
        <v>1529</v>
      </c>
      <c r="F1740" s="36" t="s">
        <v>237</v>
      </c>
      <c r="G1740" s="15">
        <v>1529</v>
      </c>
      <c r="H1740" s="15">
        <f t="shared" si="28"/>
        <v>0</v>
      </c>
    </row>
    <row r="1741" spans="1:8" x14ac:dyDescent="0.25">
      <c r="A1741" s="16">
        <v>42751</v>
      </c>
      <c r="B1741" s="17" t="s">
        <v>2074</v>
      </c>
      <c r="C1741" s="18">
        <v>97338</v>
      </c>
      <c r="D1741" s="2" t="s">
        <v>61</v>
      </c>
      <c r="E1741" s="15">
        <v>16599.8</v>
      </c>
      <c r="F1741" s="36" t="s">
        <v>511</v>
      </c>
      <c r="G1741" s="15">
        <v>16599.8</v>
      </c>
      <c r="H1741" s="15">
        <f t="shared" si="28"/>
        <v>0</v>
      </c>
    </row>
    <row r="1742" spans="1:8" x14ac:dyDescent="0.25">
      <c r="A1742" s="16">
        <v>42751</v>
      </c>
      <c r="B1742" s="17" t="s">
        <v>2075</v>
      </c>
      <c r="C1742" s="18">
        <v>97339</v>
      </c>
      <c r="D1742" s="2" t="s">
        <v>57</v>
      </c>
      <c r="E1742" s="15">
        <v>552</v>
      </c>
      <c r="F1742" s="36" t="s">
        <v>511</v>
      </c>
      <c r="G1742" s="15">
        <v>552</v>
      </c>
      <c r="H1742" s="15">
        <f t="shared" si="28"/>
        <v>0</v>
      </c>
    </row>
    <row r="1743" spans="1:8" x14ac:dyDescent="0.25">
      <c r="A1743" s="16">
        <v>42751</v>
      </c>
      <c r="B1743" s="17" t="s">
        <v>2076</v>
      </c>
      <c r="C1743" s="18">
        <v>97340</v>
      </c>
      <c r="D1743" s="2" t="s">
        <v>141</v>
      </c>
      <c r="E1743" s="15">
        <v>9908.4</v>
      </c>
      <c r="F1743" s="36" t="s">
        <v>237</v>
      </c>
      <c r="G1743" s="15">
        <v>9908.4</v>
      </c>
      <c r="H1743" s="15">
        <f t="shared" si="28"/>
        <v>0</v>
      </c>
    </row>
    <row r="1744" spans="1:8" x14ac:dyDescent="0.25">
      <c r="A1744" s="16">
        <v>42751</v>
      </c>
      <c r="B1744" s="17" t="s">
        <v>2077</v>
      </c>
      <c r="C1744" s="18">
        <v>97341</v>
      </c>
      <c r="D1744" s="2" t="s">
        <v>182</v>
      </c>
      <c r="E1744" s="15">
        <v>2300</v>
      </c>
      <c r="F1744" s="36" t="s">
        <v>511</v>
      </c>
      <c r="G1744" s="15">
        <v>2300</v>
      </c>
      <c r="H1744" s="15">
        <f t="shared" si="28"/>
        <v>0</v>
      </c>
    </row>
    <row r="1745" spans="1:8" x14ac:dyDescent="0.25">
      <c r="A1745" s="16">
        <v>42751</v>
      </c>
      <c r="B1745" s="17" t="s">
        <v>2078</v>
      </c>
      <c r="C1745" s="18">
        <v>97342</v>
      </c>
      <c r="D1745" s="2" t="s">
        <v>128</v>
      </c>
      <c r="E1745" s="15">
        <v>2438.6</v>
      </c>
      <c r="F1745" s="36" t="s">
        <v>237</v>
      </c>
      <c r="G1745" s="15">
        <v>2438.6</v>
      </c>
      <c r="H1745" s="15">
        <f t="shared" si="28"/>
        <v>0</v>
      </c>
    </row>
    <row r="1746" spans="1:8" x14ac:dyDescent="0.25">
      <c r="A1746" s="16">
        <v>42751</v>
      </c>
      <c r="B1746" s="17" t="s">
        <v>2079</v>
      </c>
      <c r="C1746" s="18">
        <v>97343</v>
      </c>
      <c r="D1746" s="2" t="s">
        <v>193</v>
      </c>
      <c r="E1746" s="15">
        <v>2290.5</v>
      </c>
      <c r="F1746" s="36" t="s">
        <v>511</v>
      </c>
      <c r="G1746" s="15">
        <v>2290.5</v>
      </c>
      <c r="H1746" s="15">
        <f t="shared" si="28"/>
        <v>0</v>
      </c>
    </row>
    <row r="1747" spans="1:8" x14ac:dyDescent="0.25">
      <c r="A1747" s="16">
        <v>42751</v>
      </c>
      <c r="B1747" s="17" t="s">
        <v>2080</v>
      </c>
      <c r="C1747" s="18">
        <v>97344</v>
      </c>
      <c r="D1747" s="2" t="s">
        <v>281</v>
      </c>
      <c r="E1747" s="15">
        <v>1500</v>
      </c>
      <c r="F1747" s="36" t="s">
        <v>511</v>
      </c>
      <c r="G1747" s="15">
        <v>1500</v>
      </c>
      <c r="H1747" s="15">
        <f t="shared" si="28"/>
        <v>0</v>
      </c>
    </row>
    <row r="1748" spans="1:8" x14ac:dyDescent="0.25">
      <c r="A1748" s="16">
        <v>42751</v>
      </c>
      <c r="B1748" s="17" t="s">
        <v>2081</v>
      </c>
      <c r="C1748" s="18">
        <v>97345</v>
      </c>
      <c r="D1748" s="2" t="s">
        <v>101</v>
      </c>
      <c r="E1748" s="15">
        <v>1246.5999999999999</v>
      </c>
      <c r="F1748" s="36" t="s">
        <v>511</v>
      </c>
      <c r="G1748" s="15">
        <v>1246.5999999999999</v>
      </c>
      <c r="H1748" s="15">
        <f t="shared" si="28"/>
        <v>0</v>
      </c>
    </row>
    <row r="1749" spans="1:8" x14ac:dyDescent="0.25">
      <c r="A1749" s="16">
        <v>42751</v>
      </c>
      <c r="B1749" s="17" t="s">
        <v>2082</v>
      </c>
      <c r="C1749" s="18">
        <v>97346</v>
      </c>
      <c r="D1749" s="2" t="s">
        <v>1081</v>
      </c>
      <c r="E1749" s="15">
        <v>1523.32</v>
      </c>
      <c r="F1749" s="36" t="s">
        <v>511</v>
      </c>
      <c r="G1749" s="15">
        <v>1523.32</v>
      </c>
      <c r="H1749" s="15">
        <f t="shared" si="28"/>
        <v>0</v>
      </c>
    </row>
    <row r="1750" spans="1:8" x14ac:dyDescent="0.25">
      <c r="A1750" s="16">
        <v>42751</v>
      </c>
      <c r="B1750" s="17" t="s">
        <v>2083</v>
      </c>
      <c r="C1750" s="18">
        <v>97347</v>
      </c>
      <c r="D1750" s="2" t="s">
        <v>448</v>
      </c>
      <c r="E1750" s="15">
        <v>494</v>
      </c>
      <c r="F1750" s="36" t="s">
        <v>511</v>
      </c>
      <c r="G1750" s="15">
        <v>494</v>
      </c>
      <c r="H1750" s="15">
        <f t="shared" si="28"/>
        <v>0</v>
      </c>
    </row>
    <row r="1751" spans="1:8" x14ac:dyDescent="0.25">
      <c r="A1751" s="16">
        <v>42751</v>
      </c>
      <c r="B1751" s="17" t="s">
        <v>2084</v>
      </c>
      <c r="C1751" s="18">
        <v>97348</v>
      </c>
      <c r="D1751" s="2" t="s">
        <v>291</v>
      </c>
      <c r="E1751" s="15">
        <v>2458.1</v>
      </c>
      <c r="F1751" s="36" t="s">
        <v>511</v>
      </c>
      <c r="G1751" s="15">
        <v>2458.1</v>
      </c>
      <c r="H1751" s="15">
        <f t="shared" si="28"/>
        <v>0</v>
      </c>
    </row>
    <row r="1752" spans="1:8" x14ac:dyDescent="0.25">
      <c r="A1752" s="16">
        <v>42751</v>
      </c>
      <c r="B1752" s="17" t="s">
        <v>2085</v>
      </c>
      <c r="C1752" s="18">
        <v>97349</v>
      </c>
      <c r="D1752" s="2" t="s">
        <v>103</v>
      </c>
      <c r="E1752" s="15">
        <v>3672</v>
      </c>
      <c r="F1752" s="36" t="s">
        <v>224</v>
      </c>
      <c r="G1752" s="15">
        <v>3672</v>
      </c>
      <c r="H1752" s="15">
        <f t="shared" si="28"/>
        <v>0</v>
      </c>
    </row>
    <row r="1753" spans="1:8" x14ac:dyDescent="0.25">
      <c r="A1753" s="16">
        <v>42751</v>
      </c>
      <c r="B1753" s="17" t="s">
        <v>2086</v>
      </c>
      <c r="C1753" s="18">
        <v>97350</v>
      </c>
      <c r="D1753" s="2" t="s">
        <v>105</v>
      </c>
      <c r="E1753" s="15">
        <v>3801.6</v>
      </c>
      <c r="F1753" s="36" t="s">
        <v>224</v>
      </c>
      <c r="G1753" s="15">
        <v>3801.6</v>
      </c>
      <c r="H1753" s="15">
        <f t="shared" si="28"/>
        <v>0</v>
      </c>
    </row>
    <row r="1754" spans="1:8" x14ac:dyDescent="0.25">
      <c r="A1754" s="16">
        <v>42751</v>
      </c>
      <c r="B1754" s="17" t="s">
        <v>2087</v>
      </c>
      <c r="C1754" s="18">
        <v>97351</v>
      </c>
      <c r="D1754" s="2" t="s">
        <v>94</v>
      </c>
      <c r="E1754" s="15">
        <v>8012.9</v>
      </c>
      <c r="F1754" s="36" t="s">
        <v>511</v>
      </c>
      <c r="G1754" s="15">
        <v>8012.9</v>
      </c>
      <c r="H1754" s="15">
        <f t="shared" si="28"/>
        <v>0</v>
      </c>
    </row>
    <row r="1755" spans="1:8" x14ac:dyDescent="0.25">
      <c r="A1755" s="16">
        <v>42751</v>
      </c>
      <c r="B1755" s="17" t="s">
        <v>2088</v>
      </c>
      <c r="C1755" s="18">
        <v>97352</v>
      </c>
      <c r="D1755" s="2" t="s">
        <v>83</v>
      </c>
      <c r="E1755" s="15">
        <v>6585.6</v>
      </c>
      <c r="F1755" s="36" t="s">
        <v>511</v>
      </c>
      <c r="G1755" s="15">
        <v>6585.6</v>
      </c>
      <c r="H1755" s="15">
        <f t="shared" si="28"/>
        <v>0</v>
      </c>
    </row>
    <row r="1756" spans="1:8" x14ac:dyDescent="0.25">
      <c r="A1756" s="16">
        <v>42751</v>
      </c>
      <c r="B1756" s="17" t="s">
        <v>2089</v>
      </c>
      <c r="C1756" s="18">
        <v>97353</v>
      </c>
      <c r="D1756" s="2" t="s">
        <v>103</v>
      </c>
      <c r="E1756" s="15">
        <v>426</v>
      </c>
      <c r="F1756" s="36" t="s">
        <v>224</v>
      </c>
      <c r="G1756" s="15">
        <v>426</v>
      </c>
      <c r="H1756" s="15">
        <f t="shared" si="28"/>
        <v>0</v>
      </c>
    </row>
    <row r="1757" spans="1:8" x14ac:dyDescent="0.25">
      <c r="A1757" s="16">
        <v>42751</v>
      </c>
      <c r="B1757" s="17" t="s">
        <v>2090</v>
      </c>
      <c r="C1757" s="18">
        <v>97354</v>
      </c>
      <c r="D1757" s="2" t="s">
        <v>81</v>
      </c>
      <c r="E1757" s="15">
        <v>3455.2</v>
      </c>
      <c r="F1757" s="36" t="s">
        <v>511</v>
      </c>
      <c r="G1757" s="15">
        <v>3455.2</v>
      </c>
      <c r="H1757" s="15">
        <f t="shared" si="28"/>
        <v>0</v>
      </c>
    </row>
    <row r="1758" spans="1:8" x14ac:dyDescent="0.25">
      <c r="A1758" s="16">
        <v>42751</v>
      </c>
      <c r="B1758" s="17" t="s">
        <v>2091</v>
      </c>
      <c r="C1758" s="18">
        <v>97355</v>
      </c>
      <c r="D1758" s="2" t="s">
        <v>1259</v>
      </c>
      <c r="E1758" s="15">
        <v>1683</v>
      </c>
      <c r="F1758" s="36" t="s">
        <v>511</v>
      </c>
      <c r="G1758" s="15">
        <v>1683</v>
      </c>
      <c r="H1758" s="15">
        <f t="shared" si="28"/>
        <v>0</v>
      </c>
    </row>
    <row r="1759" spans="1:8" x14ac:dyDescent="0.25">
      <c r="A1759" s="16">
        <v>42751</v>
      </c>
      <c r="B1759" s="17" t="s">
        <v>2092</v>
      </c>
      <c r="C1759" s="18">
        <v>97356</v>
      </c>
      <c r="D1759" s="13" t="s">
        <v>88</v>
      </c>
      <c r="E1759" s="14">
        <v>0</v>
      </c>
      <c r="F1759" s="123" t="s">
        <v>95</v>
      </c>
      <c r="G1759" s="14">
        <v>0</v>
      </c>
      <c r="H1759" s="14">
        <f t="shared" si="28"/>
        <v>0</v>
      </c>
    </row>
    <row r="1760" spans="1:8" x14ac:dyDescent="0.25">
      <c r="A1760" s="16">
        <v>42751</v>
      </c>
      <c r="B1760" s="17" t="s">
        <v>2093</v>
      </c>
      <c r="C1760" s="18">
        <v>97357</v>
      </c>
      <c r="D1760" s="2" t="s">
        <v>88</v>
      </c>
      <c r="E1760" s="15">
        <v>5085</v>
      </c>
      <c r="F1760" s="36" t="s">
        <v>511</v>
      </c>
      <c r="G1760" s="15">
        <v>5085</v>
      </c>
      <c r="H1760" s="15">
        <f t="shared" si="28"/>
        <v>0</v>
      </c>
    </row>
    <row r="1761" spans="1:8" x14ac:dyDescent="0.25">
      <c r="A1761" s="16">
        <v>42751</v>
      </c>
      <c r="B1761" s="17" t="s">
        <v>2094</v>
      </c>
      <c r="C1761" s="18">
        <v>97358</v>
      </c>
      <c r="D1761" s="2" t="s">
        <v>92</v>
      </c>
      <c r="E1761" s="15">
        <v>3108.8</v>
      </c>
      <c r="F1761" s="36" t="s">
        <v>511</v>
      </c>
      <c r="G1761" s="15">
        <v>3108.8</v>
      </c>
      <c r="H1761" s="15">
        <f t="shared" si="28"/>
        <v>0</v>
      </c>
    </row>
    <row r="1762" spans="1:8" x14ac:dyDescent="0.25">
      <c r="A1762" s="16">
        <v>42751</v>
      </c>
      <c r="B1762" s="17" t="s">
        <v>2095</v>
      </c>
      <c r="C1762" s="18">
        <v>97359</v>
      </c>
      <c r="D1762" s="2" t="s">
        <v>1870</v>
      </c>
      <c r="E1762" s="15">
        <v>1538.2</v>
      </c>
      <c r="F1762" s="36" t="s">
        <v>237</v>
      </c>
      <c r="G1762" s="15">
        <v>1538.2</v>
      </c>
      <c r="H1762" s="15">
        <f t="shared" si="28"/>
        <v>0</v>
      </c>
    </row>
    <row r="1763" spans="1:8" x14ac:dyDescent="0.25">
      <c r="A1763" s="16">
        <v>42751</v>
      </c>
      <c r="B1763" s="17" t="s">
        <v>2096</v>
      </c>
      <c r="C1763" s="18">
        <v>97360</v>
      </c>
      <c r="D1763" s="2" t="s">
        <v>109</v>
      </c>
      <c r="E1763" s="15">
        <v>5335</v>
      </c>
      <c r="F1763" s="36" t="s">
        <v>511</v>
      </c>
      <c r="G1763" s="15">
        <v>5335</v>
      </c>
      <c r="H1763" s="15">
        <f t="shared" si="28"/>
        <v>0</v>
      </c>
    </row>
    <row r="1764" spans="1:8" x14ac:dyDescent="0.25">
      <c r="A1764" s="16">
        <v>42751</v>
      </c>
      <c r="B1764" s="17" t="s">
        <v>2097</v>
      </c>
      <c r="C1764" s="18">
        <v>97361</v>
      </c>
      <c r="D1764" s="2" t="s">
        <v>1256</v>
      </c>
      <c r="E1764" s="15">
        <v>3659.64</v>
      </c>
      <c r="F1764" s="36" t="s">
        <v>2098</v>
      </c>
      <c r="G1764" s="15">
        <f>659.64+300+2700</f>
        <v>3659.64</v>
      </c>
      <c r="H1764" s="15">
        <f t="shared" si="28"/>
        <v>0</v>
      </c>
    </row>
    <row r="1765" spans="1:8" x14ac:dyDescent="0.25">
      <c r="A1765" s="16">
        <v>42751</v>
      </c>
      <c r="B1765" s="17" t="s">
        <v>2099</v>
      </c>
      <c r="C1765" s="18">
        <v>97362</v>
      </c>
      <c r="D1765" s="2" t="s">
        <v>302</v>
      </c>
      <c r="E1765" s="15">
        <v>14451.6</v>
      </c>
      <c r="F1765" s="36" t="s">
        <v>237</v>
      </c>
      <c r="G1765" s="15">
        <v>14451.6</v>
      </c>
      <c r="H1765" s="15">
        <f t="shared" si="28"/>
        <v>0</v>
      </c>
    </row>
    <row r="1766" spans="1:8" x14ac:dyDescent="0.25">
      <c r="A1766" s="16">
        <v>42751</v>
      </c>
      <c r="B1766" s="17" t="s">
        <v>2100</v>
      </c>
      <c r="C1766" s="18">
        <v>97363</v>
      </c>
      <c r="D1766" s="13" t="s">
        <v>476</v>
      </c>
      <c r="E1766" s="14">
        <v>0</v>
      </c>
      <c r="F1766" s="123" t="s">
        <v>95</v>
      </c>
      <c r="G1766" s="14">
        <v>0</v>
      </c>
      <c r="H1766" s="14">
        <f t="shared" si="28"/>
        <v>0</v>
      </c>
    </row>
    <row r="1767" spans="1:8" x14ac:dyDescent="0.25">
      <c r="A1767" s="16">
        <v>42751</v>
      </c>
      <c r="B1767" s="17" t="s">
        <v>2101</v>
      </c>
      <c r="C1767" s="18">
        <v>97364</v>
      </c>
      <c r="D1767" s="2" t="s">
        <v>305</v>
      </c>
      <c r="E1767" s="15">
        <v>4716.3999999999996</v>
      </c>
      <c r="F1767" s="36" t="s">
        <v>317</v>
      </c>
      <c r="G1767" s="15">
        <v>4716.3999999999996</v>
      </c>
      <c r="H1767" s="15">
        <f t="shared" si="28"/>
        <v>0</v>
      </c>
    </row>
    <row r="1768" spans="1:8" x14ac:dyDescent="0.25">
      <c r="A1768" s="16">
        <v>42751</v>
      </c>
      <c r="B1768" s="17" t="s">
        <v>2102</v>
      </c>
      <c r="C1768" s="18">
        <v>97365</v>
      </c>
      <c r="D1768" s="2" t="s">
        <v>476</v>
      </c>
      <c r="E1768" s="15">
        <v>17721.7</v>
      </c>
      <c r="F1768" s="36" t="s">
        <v>166</v>
      </c>
      <c r="G1768" s="15">
        <v>17721.7</v>
      </c>
      <c r="H1768" s="15">
        <f t="shared" si="28"/>
        <v>0</v>
      </c>
    </row>
    <row r="1769" spans="1:8" x14ac:dyDescent="0.25">
      <c r="A1769" s="16">
        <v>42751</v>
      </c>
      <c r="B1769" s="17" t="s">
        <v>2103</v>
      </c>
      <c r="C1769" s="18">
        <v>97366</v>
      </c>
      <c r="D1769" s="2" t="s">
        <v>159</v>
      </c>
      <c r="E1769" s="15">
        <v>7064</v>
      </c>
      <c r="F1769" s="36" t="s">
        <v>317</v>
      </c>
      <c r="G1769" s="15">
        <v>7064</v>
      </c>
      <c r="H1769" s="15">
        <f t="shared" si="28"/>
        <v>0</v>
      </c>
    </row>
    <row r="1770" spans="1:8" x14ac:dyDescent="0.25">
      <c r="A1770" s="16">
        <v>42751</v>
      </c>
      <c r="B1770" s="17" t="s">
        <v>2104</v>
      </c>
      <c r="C1770" s="18">
        <v>97367</v>
      </c>
      <c r="D1770" s="2" t="s">
        <v>472</v>
      </c>
      <c r="E1770" s="15">
        <v>6319.7</v>
      </c>
      <c r="F1770" s="36" t="s">
        <v>317</v>
      </c>
      <c r="G1770" s="15">
        <v>6319.7</v>
      </c>
      <c r="H1770" s="15">
        <f t="shared" si="28"/>
        <v>0</v>
      </c>
    </row>
    <row r="1771" spans="1:8" x14ac:dyDescent="0.25">
      <c r="A1771" s="16">
        <v>42751</v>
      </c>
      <c r="B1771" s="17" t="s">
        <v>2105</v>
      </c>
      <c r="C1771" s="18">
        <v>97368</v>
      </c>
      <c r="D1771" s="2" t="s">
        <v>656</v>
      </c>
      <c r="E1771" s="15">
        <v>5236</v>
      </c>
      <c r="F1771" s="36" t="s">
        <v>511</v>
      </c>
      <c r="G1771" s="15">
        <v>5236</v>
      </c>
      <c r="H1771" s="15">
        <f t="shared" si="28"/>
        <v>0</v>
      </c>
    </row>
    <row r="1772" spans="1:8" x14ac:dyDescent="0.25">
      <c r="A1772" s="16">
        <v>42751</v>
      </c>
      <c r="B1772" s="17" t="s">
        <v>2106</v>
      </c>
      <c r="C1772" s="18">
        <v>97369</v>
      </c>
      <c r="D1772" s="2" t="s">
        <v>472</v>
      </c>
      <c r="E1772" s="15">
        <v>1552.8</v>
      </c>
      <c r="F1772" s="36" t="s">
        <v>317</v>
      </c>
      <c r="G1772" s="15">
        <v>1552.8</v>
      </c>
      <c r="H1772" s="15">
        <f t="shared" si="28"/>
        <v>0</v>
      </c>
    </row>
    <row r="1773" spans="1:8" x14ac:dyDescent="0.25">
      <c r="A1773" s="16">
        <v>42751</v>
      </c>
      <c r="B1773" s="17" t="s">
        <v>2107</v>
      </c>
      <c r="C1773" s="18">
        <v>97370</v>
      </c>
      <c r="D1773" s="2" t="s">
        <v>196</v>
      </c>
      <c r="E1773" s="15">
        <v>7366.2</v>
      </c>
      <c r="F1773" s="36" t="s">
        <v>237</v>
      </c>
      <c r="G1773" s="15">
        <v>7366.2</v>
      </c>
      <c r="H1773" s="15">
        <f t="shared" si="28"/>
        <v>0</v>
      </c>
    </row>
    <row r="1774" spans="1:8" x14ac:dyDescent="0.25">
      <c r="A1774" s="16">
        <v>42751</v>
      </c>
      <c r="B1774" s="17" t="s">
        <v>2108</v>
      </c>
      <c r="C1774" s="18">
        <v>97371</v>
      </c>
      <c r="D1774" s="2" t="s">
        <v>331</v>
      </c>
      <c r="E1774" s="15">
        <v>0</v>
      </c>
      <c r="F1774" s="36" t="s">
        <v>95</v>
      </c>
      <c r="G1774" s="15">
        <v>0</v>
      </c>
      <c r="H1774" s="15">
        <f t="shared" si="28"/>
        <v>0</v>
      </c>
    </row>
    <row r="1775" spans="1:8" x14ac:dyDescent="0.25">
      <c r="A1775" s="16">
        <v>42751</v>
      </c>
      <c r="B1775" s="17" t="s">
        <v>2109</v>
      </c>
      <c r="C1775" s="18">
        <v>97372</v>
      </c>
      <c r="D1775" s="2" t="s">
        <v>208</v>
      </c>
      <c r="E1775" s="15">
        <v>11243.8</v>
      </c>
      <c r="F1775" s="36" t="s">
        <v>237</v>
      </c>
      <c r="G1775" s="15">
        <v>11243.8</v>
      </c>
      <c r="H1775" s="15">
        <f t="shared" si="28"/>
        <v>0</v>
      </c>
    </row>
    <row r="1776" spans="1:8" x14ac:dyDescent="0.25">
      <c r="A1776" s="16">
        <v>42751</v>
      </c>
      <c r="B1776" s="17" t="s">
        <v>2110</v>
      </c>
      <c r="C1776" s="18">
        <v>97373</v>
      </c>
      <c r="D1776" s="2" t="s">
        <v>231</v>
      </c>
      <c r="E1776" s="15">
        <v>7357.5</v>
      </c>
      <c r="F1776" s="36" t="s">
        <v>511</v>
      </c>
      <c r="G1776" s="15">
        <v>7357.5</v>
      </c>
      <c r="H1776" s="15">
        <f t="shared" si="28"/>
        <v>0</v>
      </c>
    </row>
    <row r="1777" spans="1:8" x14ac:dyDescent="0.25">
      <c r="A1777" s="16">
        <v>42751</v>
      </c>
      <c r="B1777" s="17" t="s">
        <v>2111</v>
      </c>
      <c r="C1777" s="18">
        <v>97374</v>
      </c>
      <c r="D1777" s="2" t="s">
        <v>53</v>
      </c>
      <c r="E1777" s="15">
        <v>1676.4</v>
      </c>
      <c r="F1777" s="36" t="s">
        <v>511</v>
      </c>
      <c r="G1777" s="15">
        <v>1676.4</v>
      </c>
      <c r="H1777" s="15">
        <f t="shared" si="28"/>
        <v>0</v>
      </c>
    </row>
    <row r="1778" spans="1:8" x14ac:dyDescent="0.25">
      <c r="A1778" s="16">
        <v>42751</v>
      </c>
      <c r="B1778" s="17" t="s">
        <v>2112</v>
      </c>
      <c r="C1778" s="18">
        <v>97375</v>
      </c>
      <c r="D1778" s="2" t="s">
        <v>331</v>
      </c>
      <c r="E1778" s="15">
        <v>2246.8000000000002</v>
      </c>
      <c r="F1778" s="36" t="s">
        <v>511</v>
      </c>
      <c r="G1778" s="15">
        <v>2246.8000000000002</v>
      </c>
      <c r="H1778" s="15">
        <f t="shared" si="28"/>
        <v>0</v>
      </c>
    </row>
    <row r="1779" spans="1:8" x14ac:dyDescent="0.25">
      <c r="A1779" s="16">
        <v>42751</v>
      </c>
      <c r="B1779" s="17" t="s">
        <v>2113</v>
      </c>
      <c r="C1779" s="18">
        <v>97376</v>
      </c>
      <c r="D1779" s="2" t="s">
        <v>222</v>
      </c>
      <c r="E1779" s="15">
        <v>4498.8</v>
      </c>
      <c r="F1779" s="36" t="s">
        <v>224</v>
      </c>
      <c r="G1779" s="15">
        <v>4498.8</v>
      </c>
      <c r="H1779" s="15">
        <f t="shared" si="28"/>
        <v>0</v>
      </c>
    </row>
    <row r="1780" spans="1:8" x14ac:dyDescent="0.25">
      <c r="A1780" s="16">
        <v>42751</v>
      </c>
      <c r="B1780" s="17" t="s">
        <v>2114</v>
      </c>
      <c r="C1780" s="18">
        <v>97377</v>
      </c>
      <c r="D1780" s="2" t="s">
        <v>329</v>
      </c>
      <c r="E1780" s="15">
        <v>417.6</v>
      </c>
      <c r="F1780" s="36" t="s">
        <v>237</v>
      </c>
      <c r="G1780" s="15">
        <v>417.6</v>
      </c>
      <c r="H1780" s="15">
        <f t="shared" si="28"/>
        <v>0</v>
      </c>
    </row>
    <row r="1781" spans="1:8" x14ac:dyDescent="0.25">
      <c r="A1781" s="16">
        <v>42751</v>
      </c>
      <c r="B1781" s="17" t="s">
        <v>2115</v>
      </c>
      <c r="C1781" s="18">
        <v>97378</v>
      </c>
      <c r="D1781" s="2" t="s">
        <v>697</v>
      </c>
      <c r="E1781" s="15">
        <v>23142.6</v>
      </c>
      <c r="F1781" s="36" t="s">
        <v>166</v>
      </c>
      <c r="G1781" s="15">
        <v>23142.6</v>
      </c>
      <c r="H1781" s="15">
        <f t="shared" si="28"/>
        <v>0</v>
      </c>
    </row>
    <row r="1782" spans="1:8" x14ac:dyDescent="0.25">
      <c r="A1782" s="16">
        <v>42751</v>
      </c>
      <c r="B1782" s="17" t="s">
        <v>2116</v>
      </c>
      <c r="C1782" s="18">
        <v>97379</v>
      </c>
      <c r="D1782" s="2" t="s">
        <v>147</v>
      </c>
      <c r="E1782" s="15">
        <v>104991.6</v>
      </c>
      <c r="F1782" s="36" t="s">
        <v>511</v>
      </c>
      <c r="G1782" s="15">
        <v>104991.6</v>
      </c>
      <c r="H1782" s="15">
        <f t="shared" si="28"/>
        <v>0</v>
      </c>
    </row>
    <row r="1783" spans="1:8" x14ac:dyDescent="0.25">
      <c r="A1783" s="16">
        <v>42751</v>
      </c>
      <c r="B1783" s="17" t="s">
        <v>2117</v>
      </c>
      <c r="C1783" s="18">
        <v>97380</v>
      </c>
      <c r="D1783" s="2" t="s">
        <v>1299</v>
      </c>
      <c r="E1783" s="15">
        <v>4532</v>
      </c>
      <c r="F1783" s="36" t="s">
        <v>511</v>
      </c>
      <c r="G1783" s="15">
        <v>4532</v>
      </c>
      <c r="H1783" s="15">
        <f t="shared" si="28"/>
        <v>0</v>
      </c>
    </row>
    <row r="1784" spans="1:8" x14ac:dyDescent="0.25">
      <c r="A1784" s="16">
        <v>42751</v>
      </c>
      <c r="B1784" s="17" t="s">
        <v>2118</v>
      </c>
      <c r="C1784" s="18">
        <v>97381</v>
      </c>
      <c r="D1784" s="2" t="s">
        <v>428</v>
      </c>
      <c r="E1784" s="15">
        <v>896</v>
      </c>
      <c r="F1784" s="36" t="s">
        <v>317</v>
      </c>
      <c r="G1784" s="15">
        <v>896</v>
      </c>
      <c r="H1784" s="15">
        <f t="shared" si="28"/>
        <v>0</v>
      </c>
    </row>
    <row r="1785" spans="1:8" x14ac:dyDescent="0.25">
      <c r="A1785" s="16">
        <v>42751</v>
      </c>
      <c r="B1785" s="17" t="s">
        <v>2119</v>
      </c>
      <c r="C1785" s="18">
        <v>97382</v>
      </c>
      <c r="D1785" s="2" t="s">
        <v>176</v>
      </c>
      <c r="E1785" s="15">
        <v>4028.4</v>
      </c>
      <c r="F1785" s="36" t="s">
        <v>237</v>
      </c>
      <c r="G1785" s="15">
        <v>4028.4</v>
      </c>
      <c r="H1785" s="15">
        <f t="shared" si="28"/>
        <v>0</v>
      </c>
    </row>
    <row r="1786" spans="1:8" x14ac:dyDescent="0.25">
      <c r="A1786" s="16">
        <v>42751</v>
      </c>
      <c r="B1786" s="17" t="s">
        <v>2120</v>
      </c>
      <c r="C1786" s="18">
        <v>97383</v>
      </c>
      <c r="D1786" s="2" t="s">
        <v>21</v>
      </c>
      <c r="E1786" s="15">
        <v>47953.599999999999</v>
      </c>
      <c r="F1786" s="36" t="s">
        <v>1889</v>
      </c>
      <c r="G1786" s="15">
        <v>47953.599999999999</v>
      </c>
      <c r="H1786" s="15">
        <f t="shared" si="28"/>
        <v>0</v>
      </c>
    </row>
    <row r="1787" spans="1:8" x14ac:dyDescent="0.25">
      <c r="A1787" s="16">
        <v>42751</v>
      </c>
      <c r="B1787" s="17" t="s">
        <v>2121</v>
      </c>
      <c r="C1787" s="18">
        <v>97384</v>
      </c>
      <c r="D1787" s="2" t="s">
        <v>30</v>
      </c>
      <c r="E1787" s="15">
        <v>20406.400000000001</v>
      </c>
      <c r="F1787" s="36" t="s">
        <v>237</v>
      </c>
      <c r="G1787" s="15">
        <v>20406.400000000001</v>
      </c>
      <c r="H1787" s="15">
        <f t="shared" si="28"/>
        <v>0</v>
      </c>
    </row>
    <row r="1788" spans="1:8" x14ac:dyDescent="0.25">
      <c r="A1788" s="16">
        <v>42751</v>
      </c>
      <c r="B1788" s="17" t="s">
        <v>2122</v>
      </c>
      <c r="C1788" s="18">
        <v>97385</v>
      </c>
      <c r="D1788" s="2" t="s">
        <v>879</v>
      </c>
      <c r="E1788" s="15">
        <v>388.8</v>
      </c>
      <c r="F1788" s="36" t="s">
        <v>237</v>
      </c>
      <c r="G1788" s="15">
        <v>388.8</v>
      </c>
      <c r="H1788" s="15">
        <f t="shared" si="28"/>
        <v>0</v>
      </c>
    </row>
    <row r="1789" spans="1:8" x14ac:dyDescent="0.25">
      <c r="A1789" s="16">
        <v>42751</v>
      </c>
      <c r="B1789" s="17" t="s">
        <v>2123</v>
      </c>
      <c r="C1789" s="18">
        <v>97386</v>
      </c>
      <c r="D1789" s="2" t="s">
        <v>115</v>
      </c>
      <c r="E1789" s="15">
        <v>3982.3</v>
      </c>
      <c r="F1789" s="36" t="s">
        <v>237</v>
      </c>
      <c r="G1789" s="15">
        <v>3982.3</v>
      </c>
      <c r="H1789" s="15">
        <f t="shared" si="28"/>
        <v>0</v>
      </c>
    </row>
    <row r="1790" spans="1:8" x14ac:dyDescent="0.25">
      <c r="A1790" s="16">
        <v>42751</v>
      </c>
      <c r="B1790" s="17" t="s">
        <v>2124</v>
      </c>
      <c r="C1790" s="18">
        <v>97387</v>
      </c>
      <c r="D1790" s="2" t="s">
        <v>168</v>
      </c>
      <c r="E1790" s="15">
        <v>1087.2</v>
      </c>
      <c r="F1790" s="36" t="s">
        <v>237</v>
      </c>
      <c r="G1790" s="15">
        <v>1087.2</v>
      </c>
      <c r="H1790" s="15">
        <f t="shared" si="28"/>
        <v>0</v>
      </c>
    </row>
    <row r="1791" spans="1:8" x14ac:dyDescent="0.25">
      <c r="A1791" s="16">
        <v>42751</v>
      </c>
      <c r="B1791" s="17" t="s">
        <v>2125</v>
      </c>
      <c r="C1791" s="18">
        <v>97388</v>
      </c>
      <c r="D1791" s="2" t="s">
        <v>155</v>
      </c>
      <c r="E1791" s="15">
        <v>18724.2</v>
      </c>
      <c r="F1791" s="36" t="s">
        <v>511</v>
      </c>
      <c r="G1791" s="15">
        <v>18724.2</v>
      </c>
      <c r="H1791" s="15">
        <f t="shared" si="28"/>
        <v>0</v>
      </c>
    </row>
    <row r="1792" spans="1:8" x14ac:dyDescent="0.25">
      <c r="A1792" s="16">
        <v>42751</v>
      </c>
      <c r="B1792" s="17" t="s">
        <v>2126</v>
      </c>
      <c r="C1792" s="18">
        <v>97389</v>
      </c>
      <c r="D1792" s="2" t="s">
        <v>145</v>
      </c>
      <c r="E1792" s="15">
        <v>21873</v>
      </c>
      <c r="F1792" s="36" t="s">
        <v>511</v>
      </c>
      <c r="G1792" s="15">
        <v>21873</v>
      </c>
      <c r="H1792" s="15">
        <f t="shared" si="28"/>
        <v>0</v>
      </c>
    </row>
    <row r="1793" spans="1:8" x14ac:dyDescent="0.25">
      <c r="A1793" s="16">
        <v>42751</v>
      </c>
      <c r="B1793" s="17" t="s">
        <v>2127</v>
      </c>
      <c r="C1793" s="18">
        <v>97390</v>
      </c>
      <c r="D1793" s="2" t="s">
        <v>2128</v>
      </c>
      <c r="E1793" s="15">
        <v>3264.8</v>
      </c>
      <c r="F1793" s="36" t="s">
        <v>511</v>
      </c>
      <c r="G1793" s="15">
        <v>3264.8</v>
      </c>
      <c r="H1793" s="15">
        <f t="shared" si="28"/>
        <v>0</v>
      </c>
    </row>
    <row r="1794" spans="1:8" x14ac:dyDescent="0.25">
      <c r="A1794" s="16">
        <v>42751</v>
      </c>
      <c r="B1794" s="17" t="s">
        <v>2129</v>
      </c>
      <c r="C1794" s="18">
        <v>97391</v>
      </c>
      <c r="D1794" s="2" t="s">
        <v>30</v>
      </c>
      <c r="E1794" s="15">
        <v>1634.4</v>
      </c>
      <c r="F1794" s="36" t="s">
        <v>237</v>
      </c>
      <c r="G1794" s="15">
        <v>1634.4</v>
      </c>
      <c r="H1794" s="15">
        <f t="shared" si="28"/>
        <v>0</v>
      </c>
    </row>
    <row r="1795" spans="1:8" x14ac:dyDescent="0.25">
      <c r="A1795" s="16">
        <v>42751</v>
      </c>
      <c r="B1795" s="17" t="s">
        <v>2130</v>
      </c>
      <c r="C1795" s="18">
        <v>97392</v>
      </c>
      <c r="D1795" s="2" t="s">
        <v>161</v>
      </c>
      <c r="E1795" s="15">
        <v>41652</v>
      </c>
      <c r="F1795" s="36" t="s">
        <v>765</v>
      </c>
      <c r="G1795" s="15">
        <v>41652</v>
      </c>
      <c r="H1795" s="15">
        <f t="shared" si="28"/>
        <v>0</v>
      </c>
    </row>
    <row r="1796" spans="1:8" x14ac:dyDescent="0.25">
      <c r="A1796" s="16">
        <v>42751</v>
      </c>
      <c r="B1796" s="17" t="s">
        <v>2131</v>
      </c>
      <c r="C1796" s="18">
        <v>97393</v>
      </c>
      <c r="D1796" s="2" t="s">
        <v>30</v>
      </c>
      <c r="E1796" s="15">
        <v>7870.2</v>
      </c>
      <c r="F1796" s="36" t="s">
        <v>237</v>
      </c>
      <c r="G1796" s="15">
        <v>7870.2</v>
      </c>
      <c r="H1796" s="15">
        <f t="shared" si="28"/>
        <v>0</v>
      </c>
    </row>
    <row r="1797" spans="1:8" x14ac:dyDescent="0.25">
      <c r="A1797" s="16">
        <v>42751</v>
      </c>
      <c r="B1797" s="17" t="s">
        <v>2132</v>
      </c>
      <c r="C1797" s="18">
        <v>97394</v>
      </c>
      <c r="D1797" s="13" t="s">
        <v>30</v>
      </c>
      <c r="E1797" s="14">
        <v>0</v>
      </c>
      <c r="F1797" s="123" t="s">
        <v>95</v>
      </c>
      <c r="G1797" s="14">
        <v>0</v>
      </c>
      <c r="H1797" s="14">
        <f t="shared" si="28"/>
        <v>0</v>
      </c>
    </row>
    <row r="1798" spans="1:8" x14ac:dyDescent="0.25">
      <c r="A1798" s="16">
        <v>42751</v>
      </c>
      <c r="B1798" s="17" t="s">
        <v>2133</v>
      </c>
      <c r="C1798" s="18">
        <v>97395</v>
      </c>
      <c r="D1798" s="2" t="s">
        <v>163</v>
      </c>
      <c r="E1798" s="15">
        <v>10170.1</v>
      </c>
      <c r="F1798" s="36" t="s">
        <v>765</v>
      </c>
      <c r="G1798" s="15">
        <v>10170.1</v>
      </c>
      <c r="H1798" s="15">
        <f t="shared" ref="H1798:H1861" si="29">E1798-G1798</f>
        <v>0</v>
      </c>
    </row>
    <row r="1799" spans="1:8" x14ac:dyDescent="0.25">
      <c r="A1799" s="16">
        <v>42751</v>
      </c>
      <c r="B1799" s="17" t="s">
        <v>2134</v>
      </c>
      <c r="C1799" s="18">
        <v>97396</v>
      </c>
      <c r="D1799" s="2" t="s">
        <v>165</v>
      </c>
      <c r="E1799" s="15">
        <v>15401.4</v>
      </c>
      <c r="F1799" s="36" t="s">
        <v>765</v>
      </c>
      <c r="G1799" s="15">
        <v>15401.4</v>
      </c>
      <c r="H1799" s="15">
        <f t="shared" si="29"/>
        <v>0</v>
      </c>
    </row>
    <row r="1800" spans="1:8" x14ac:dyDescent="0.25">
      <c r="A1800" s="16">
        <v>42751</v>
      </c>
      <c r="B1800" s="17" t="s">
        <v>2135</v>
      </c>
      <c r="C1800" s="18">
        <v>97397</v>
      </c>
      <c r="D1800" s="2" t="s">
        <v>30</v>
      </c>
      <c r="E1800" s="15">
        <v>11173.6</v>
      </c>
      <c r="F1800" s="36" t="s">
        <v>511</v>
      </c>
      <c r="G1800" s="15">
        <v>11173.6</v>
      </c>
      <c r="H1800" s="15">
        <f t="shared" si="29"/>
        <v>0</v>
      </c>
    </row>
    <row r="1801" spans="1:8" x14ac:dyDescent="0.25">
      <c r="A1801" s="16">
        <v>42751</v>
      </c>
      <c r="B1801" s="17" t="s">
        <v>2136</v>
      </c>
      <c r="C1801" s="18">
        <v>97398</v>
      </c>
      <c r="D1801" s="2" t="s">
        <v>172</v>
      </c>
      <c r="E1801" s="15">
        <v>29154</v>
      </c>
      <c r="F1801" s="36" t="s">
        <v>765</v>
      </c>
      <c r="G1801" s="15">
        <v>29154</v>
      </c>
      <c r="H1801" s="15">
        <f t="shared" si="29"/>
        <v>0</v>
      </c>
    </row>
    <row r="1802" spans="1:8" x14ac:dyDescent="0.25">
      <c r="A1802" s="16">
        <v>42751</v>
      </c>
      <c r="B1802" s="17" t="s">
        <v>2137</v>
      </c>
      <c r="C1802" s="18">
        <v>97399</v>
      </c>
      <c r="D1802" s="2" t="s">
        <v>236</v>
      </c>
      <c r="E1802" s="15">
        <v>2025.9</v>
      </c>
      <c r="F1802" s="36" t="s">
        <v>927</v>
      </c>
      <c r="G1802" s="15">
        <v>2025.9</v>
      </c>
      <c r="H1802" s="15">
        <f t="shared" si="29"/>
        <v>0</v>
      </c>
    </row>
    <row r="1803" spans="1:8" x14ac:dyDescent="0.25">
      <c r="A1803" s="16">
        <v>42751</v>
      </c>
      <c r="B1803" s="17" t="s">
        <v>2138</v>
      </c>
      <c r="C1803" s="18">
        <v>97400</v>
      </c>
      <c r="D1803" s="2" t="s">
        <v>220</v>
      </c>
      <c r="E1803" s="15">
        <v>2818.8</v>
      </c>
      <c r="F1803" s="36" t="s">
        <v>511</v>
      </c>
      <c r="G1803" s="15">
        <v>2818.8</v>
      </c>
      <c r="H1803" s="15">
        <f t="shared" si="29"/>
        <v>0</v>
      </c>
    </row>
    <row r="1804" spans="1:8" x14ac:dyDescent="0.25">
      <c r="A1804" s="16">
        <v>42751</v>
      </c>
      <c r="B1804" s="17" t="s">
        <v>2139</v>
      </c>
      <c r="C1804" s="18">
        <v>97401</v>
      </c>
      <c r="D1804" s="2" t="s">
        <v>8</v>
      </c>
      <c r="E1804" s="15">
        <v>6064.8</v>
      </c>
      <c r="F1804" s="36" t="s">
        <v>511</v>
      </c>
      <c r="G1804" s="15">
        <v>6064.8</v>
      </c>
      <c r="H1804" s="15">
        <f t="shared" si="29"/>
        <v>0</v>
      </c>
    </row>
    <row r="1805" spans="1:8" x14ac:dyDescent="0.25">
      <c r="A1805" s="16">
        <v>42751</v>
      </c>
      <c r="B1805" s="17" t="s">
        <v>2140</v>
      </c>
      <c r="C1805" s="18">
        <v>97402</v>
      </c>
      <c r="D1805" s="2" t="s">
        <v>677</v>
      </c>
      <c r="E1805" s="15">
        <v>1641.6</v>
      </c>
      <c r="F1805" s="36" t="s">
        <v>317</v>
      </c>
      <c r="G1805" s="15">
        <v>1641.6</v>
      </c>
      <c r="H1805" s="15">
        <f t="shared" si="29"/>
        <v>0</v>
      </c>
    </row>
    <row r="1806" spans="1:8" x14ac:dyDescent="0.25">
      <c r="A1806" s="16">
        <v>42751</v>
      </c>
      <c r="B1806" s="17" t="s">
        <v>2141</v>
      </c>
      <c r="C1806" s="18">
        <v>97403</v>
      </c>
      <c r="D1806" s="2" t="s">
        <v>409</v>
      </c>
      <c r="E1806" s="15">
        <v>5473.4</v>
      </c>
      <c r="F1806" s="36" t="s">
        <v>336</v>
      </c>
      <c r="G1806" s="15">
        <v>5473.4</v>
      </c>
      <c r="H1806" s="15">
        <f t="shared" si="29"/>
        <v>0</v>
      </c>
    </row>
    <row r="1807" spans="1:8" x14ac:dyDescent="0.25">
      <c r="A1807" s="16">
        <v>42751</v>
      </c>
      <c r="B1807" s="17" t="s">
        <v>2142</v>
      </c>
      <c r="C1807" s="18">
        <v>97404</v>
      </c>
      <c r="D1807" s="2" t="s">
        <v>222</v>
      </c>
      <c r="E1807" s="15">
        <v>543900</v>
      </c>
      <c r="F1807" s="36" t="s">
        <v>2143</v>
      </c>
      <c r="G1807" s="15">
        <v>543900</v>
      </c>
      <c r="H1807" s="15">
        <f t="shared" si="29"/>
        <v>0</v>
      </c>
    </row>
    <row r="1808" spans="1:8" x14ac:dyDescent="0.25">
      <c r="A1808" s="16">
        <v>42751</v>
      </c>
      <c r="B1808" s="17" t="s">
        <v>2144</v>
      </c>
      <c r="C1808" s="18">
        <v>97405</v>
      </c>
      <c r="D1808" s="2" t="s">
        <v>675</v>
      </c>
      <c r="E1808" s="15">
        <v>1264.3</v>
      </c>
      <c r="F1808" s="36" t="s">
        <v>317</v>
      </c>
      <c r="G1808" s="15">
        <v>1264.3</v>
      </c>
      <c r="H1808" s="15">
        <f t="shared" si="29"/>
        <v>0</v>
      </c>
    </row>
    <row r="1809" spans="1:8" x14ac:dyDescent="0.25">
      <c r="A1809" s="16">
        <v>42751</v>
      </c>
      <c r="B1809" s="17" t="s">
        <v>2145</v>
      </c>
      <c r="C1809" s="18">
        <v>97406</v>
      </c>
      <c r="D1809" s="2" t="s">
        <v>673</v>
      </c>
      <c r="E1809" s="15">
        <v>10591</v>
      </c>
      <c r="F1809" s="36" t="s">
        <v>317</v>
      </c>
      <c r="G1809" s="15">
        <v>10591</v>
      </c>
      <c r="H1809" s="15">
        <f t="shared" si="29"/>
        <v>0</v>
      </c>
    </row>
    <row r="1810" spans="1:8" x14ac:dyDescent="0.25">
      <c r="A1810" s="16">
        <v>42751</v>
      </c>
      <c r="B1810" s="17" t="s">
        <v>2146</v>
      </c>
      <c r="C1810" s="18">
        <v>97407</v>
      </c>
      <c r="D1810" s="2" t="s">
        <v>1197</v>
      </c>
      <c r="E1810" s="15">
        <v>2289.9</v>
      </c>
      <c r="F1810" s="36" t="s">
        <v>317</v>
      </c>
      <c r="G1810" s="15">
        <v>2289.9</v>
      </c>
      <c r="H1810" s="15">
        <f t="shared" si="29"/>
        <v>0</v>
      </c>
    </row>
    <row r="1811" spans="1:8" x14ac:dyDescent="0.25">
      <c r="A1811" s="16">
        <v>42751</v>
      </c>
      <c r="B1811" s="17" t="s">
        <v>2147</v>
      </c>
      <c r="C1811" s="18">
        <v>97408</v>
      </c>
      <c r="D1811" s="13" t="s">
        <v>670</v>
      </c>
      <c r="E1811" s="14">
        <v>0</v>
      </c>
      <c r="F1811" s="123" t="s">
        <v>95</v>
      </c>
      <c r="G1811" s="14">
        <v>0</v>
      </c>
      <c r="H1811" s="14">
        <f t="shared" si="29"/>
        <v>0</v>
      </c>
    </row>
    <row r="1812" spans="1:8" x14ac:dyDescent="0.25">
      <c r="A1812" s="16">
        <v>42751</v>
      </c>
      <c r="B1812" s="17" t="s">
        <v>2148</v>
      </c>
      <c r="C1812" s="18">
        <v>97409</v>
      </c>
      <c r="D1812" s="2" t="s">
        <v>688</v>
      </c>
      <c r="E1812" s="15">
        <v>9042</v>
      </c>
      <c r="F1812" s="36" t="s">
        <v>317</v>
      </c>
      <c r="G1812" s="15">
        <v>9042</v>
      </c>
      <c r="H1812" s="15">
        <f t="shared" si="29"/>
        <v>0</v>
      </c>
    </row>
    <row r="1813" spans="1:8" x14ac:dyDescent="0.25">
      <c r="A1813" s="16">
        <v>42751</v>
      </c>
      <c r="B1813" s="17" t="s">
        <v>2149</v>
      </c>
      <c r="C1813" s="18">
        <v>97410</v>
      </c>
      <c r="D1813" s="2" t="s">
        <v>352</v>
      </c>
      <c r="E1813" s="15">
        <v>2695.6</v>
      </c>
      <c r="F1813" s="36" t="s">
        <v>237</v>
      </c>
      <c r="G1813" s="15">
        <v>2695.6</v>
      </c>
      <c r="H1813" s="15">
        <f t="shared" si="29"/>
        <v>0</v>
      </c>
    </row>
    <row r="1814" spans="1:8" x14ac:dyDescent="0.25">
      <c r="A1814" s="16">
        <v>42751</v>
      </c>
      <c r="B1814" s="17" t="s">
        <v>2150</v>
      </c>
      <c r="C1814" s="18">
        <v>97411</v>
      </c>
      <c r="D1814" s="2" t="s">
        <v>30</v>
      </c>
      <c r="E1814" s="15">
        <v>16308.6</v>
      </c>
      <c r="F1814" s="36" t="s">
        <v>237</v>
      </c>
      <c r="G1814" s="15">
        <v>16308.6</v>
      </c>
      <c r="H1814" s="15">
        <f t="shared" si="29"/>
        <v>0</v>
      </c>
    </row>
    <row r="1815" spans="1:8" x14ac:dyDescent="0.25">
      <c r="A1815" s="16">
        <v>42751</v>
      </c>
      <c r="B1815" s="17" t="s">
        <v>2151</v>
      </c>
      <c r="C1815" s="18">
        <v>97412</v>
      </c>
      <c r="D1815" s="2" t="s">
        <v>30</v>
      </c>
      <c r="E1815" s="15">
        <v>21218.400000000001</v>
      </c>
      <c r="F1815" s="36" t="s">
        <v>237</v>
      </c>
      <c r="G1815" s="15">
        <v>21218.400000000001</v>
      </c>
      <c r="H1815" s="15">
        <f t="shared" si="29"/>
        <v>0</v>
      </c>
    </row>
    <row r="1816" spans="1:8" x14ac:dyDescent="0.25">
      <c r="A1816" s="16">
        <v>42751</v>
      </c>
      <c r="B1816" s="17" t="s">
        <v>2152</v>
      </c>
      <c r="C1816" s="18">
        <v>97413</v>
      </c>
      <c r="D1816" s="2" t="s">
        <v>670</v>
      </c>
      <c r="E1816" s="15">
        <v>54122.5</v>
      </c>
      <c r="F1816" s="36" t="s">
        <v>317</v>
      </c>
      <c r="G1816" s="15">
        <v>54122.5</v>
      </c>
      <c r="H1816" s="15">
        <f t="shared" si="29"/>
        <v>0</v>
      </c>
    </row>
    <row r="1817" spans="1:8" x14ac:dyDescent="0.25">
      <c r="A1817" s="16">
        <v>42751</v>
      </c>
      <c r="B1817" s="17" t="s">
        <v>2153</v>
      </c>
      <c r="C1817" s="18">
        <v>97414</v>
      </c>
      <c r="D1817" s="2" t="s">
        <v>115</v>
      </c>
      <c r="E1817" s="15">
        <v>1718.1</v>
      </c>
      <c r="F1817" s="36" t="s">
        <v>237</v>
      </c>
      <c r="G1817" s="15">
        <v>1718.1</v>
      </c>
      <c r="H1817" s="15">
        <f t="shared" si="29"/>
        <v>0</v>
      </c>
    </row>
    <row r="1818" spans="1:8" x14ac:dyDescent="0.25">
      <c r="A1818" s="16">
        <v>42751</v>
      </c>
      <c r="B1818" s="17" t="s">
        <v>2154</v>
      </c>
      <c r="C1818" s="18">
        <v>97415</v>
      </c>
      <c r="D1818" s="2" t="s">
        <v>266</v>
      </c>
      <c r="E1818" s="15">
        <v>11621.2</v>
      </c>
      <c r="F1818" s="36" t="s">
        <v>511</v>
      </c>
      <c r="G1818" s="15">
        <v>11621.2</v>
      </c>
      <c r="H1818" s="15">
        <f t="shared" si="29"/>
        <v>0</v>
      </c>
    </row>
    <row r="1819" spans="1:8" x14ac:dyDescent="0.25">
      <c r="A1819" s="16">
        <v>42751</v>
      </c>
      <c r="B1819" s="17" t="s">
        <v>2155</v>
      </c>
      <c r="C1819" s="18">
        <v>97416</v>
      </c>
      <c r="D1819" s="2" t="s">
        <v>30</v>
      </c>
      <c r="E1819" s="15">
        <v>3276</v>
      </c>
      <c r="F1819" s="36" t="s">
        <v>237</v>
      </c>
      <c r="G1819" s="15">
        <v>3276</v>
      </c>
      <c r="H1819" s="15">
        <f t="shared" si="29"/>
        <v>0</v>
      </c>
    </row>
    <row r="1820" spans="1:8" x14ac:dyDescent="0.25">
      <c r="A1820" s="16">
        <v>42751</v>
      </c>
      <c r="B1820" s="17" t="s">
        <v>2156</v>
      </c>
      <c r="C1820" s="18">
        <v>97417</v>
      </c>
      <c r="D1820" s="2" t="s">
        <v>426</v>
      </c>
      <c r="E1820" s="15">
        <v>3435.8</v>
      </c>
      <c r="F1820" s="36" t="s">
        <v>1391</v>
      </c>
      <c r="G1820" s="15">
        <v>3435.8</v>
      </c>
      <c r="H1820" s="15">
        <f t="shared" si="29"/>
        <v>0</v>
      </c>
    </row>
    <row r="1821" spans="1:8" x14ac:dyDescent="0.25">
      <c r="A1821" s="16">
        <v>42751</v>
      </c>
      <c r="B1821" s="17" t="s">
        <v>2157</v>
      </c>
      <c r="C1821" s="18">
        <v>97418</v>
      </c>
      <c r="D1821" s="2" t="s">
        <v>686</v>
      </c>
      <c r="E1821" s="15">
        <v>20834.400000000001</v>
      </c>
      <c r="F1821" s="36" t="s">
        <v>317</v>
      </c>
      <c r="G1821" s="15">
        <v>20834.400000000001</v>
      </c>
      <c r="H1821" s="15">
        <f t="shared" si="29"/>
        <v>0</v>
      </c>
    </row>
    <row r="1822" spans="1:8" x14ac:dyDescent="0.25">
      <c r="A1822" s="16">
        <v>42751</v>
      </c>
      <c r="B1822" s="17" t="s">
        <v>2158</v>
      </c>
      <c r="C1822" s="18">
        <v>97419</v>
      </c>
      <c r="D1822" s="2" t="s">
        <v>670</v>
      </c>
      <c r="E1822" s="15">
        <v>58587.199999999997</v>
      </c>
      <c r="F1822" s="36" t="s">
        <v>317</v>
      </c>
      <c r="G1822" s="15">
        <v>58587.199999999997</v>
      </c>
      <c r="H1822" s="15">
        <f t="shared" si="29"/>
        <v>0</v>
      </c>
    </row>
    <row r="1823" spans="1:8" x14ac:dyDescent="0.25">
      <c r="A1823" s="16">
        <v>42751</v>
      </c>
      <c r="B1823" s="17" t="s">
        <v>2159</v>
      </c>
      <c r="C1823" s="18">
        <v>97420</v>
      </c>
      <c r="D1823" s="2" t="s">
        <v>10</v>
      </c>
      <c r="E1823" s="15">
        <v>348745.04</v>
      </c>
      <c r="F1823" s="36" t="s">
        <v>1539</v>
      </c>
      <c r="G1823" s="15">
        <v>348745.04</v>
      </c>
      <c r="H1823" s="15">
        <f t="shared" si="29"/>
        <v>0</v>
      </c>
    </row>
    <row r="1824" spans="1:8" x14ac:dyDescent="0.25">
      <c r="A1824" s="16">
        <v>42751</v>
      </c>
      <c r="B1824" s="17" t="s">
        <v>2160</v>
      </c>
      <c r="C1824" s="18">
        <v>97421</v>
      </c>
      <c r="D1824" s="2" t="s">
        <v>428</v>
      </c>
      <c r="E1824" s="15">
        <v>1815</v>
      </c>
      <c r="F1824" s="36" t="s">
        <v>317</v>
      </c>
      <c r="G1824" s="15">
        <v>1815</v>
      </c>
      <c r="H1824" s="15">
        <f t="shared" si="29"/>
        <v>0</v>
      </c>
    </row>
    <row r="1825" spans="1:8" x14ac:dyDescent="0.25">
      <c r="A1825" s="16">
        <v>42751</v>
      </c>
      <c r="B1825" s="17" t="s">
        <v>2161</v>
      </c>
      <c r="C1825" s="18">
        <v>97422</v>
      </c>
      <c r="D1825" s="2" t="s">
        <v>316</v>
      </c>
      <c r="E1825" s="15">
        <v>31851.22</v>
      </c>
      <c r="F1825" s="36" t="s">
        <v>307</v>
      </c>
      <c r="G1825" s="15">
        <v>31851.22</v>
      </c>
      <c r="H1825" s="15">
        <f t="shared" si="29"/>
        <v>0</v>
      </c>
    </row>
    <row r="1826" spans="1:8" x14ac:dyDescent="0.25">
      <c r="A1826" s="16">
        <v>42751</v>
      </c>
      <c r="B1826" s="17" t="s">
        <v>2162</v>
      </c>
      <c r="C1826" s="18">
        <v>97423</v>
      </c>
      <c r="D1826" s="2" t="s">
        <v>686</v>
      </c>
      <c r="E1826" s="15">
        <v>6926.4</v>
      </c>
      <c r="F1826" s="36" t="s">
        <v>317</v>
      </c>
      <c r="G1826" s="15">
        <v>6926.4</v>
      </c>
      <c r="H1826" s="15">
        <f t="shared" si="29"/>
        <v>0</v>
      </c>
    </row>
    <row r="1827" spans="1:8" x14ac:dyDescent="0.25">
      <c r="A1827" s="16">
        <v>42751</v>
      </c>
      <c r="B1827" s="17" t="s">
        <v>2163</v>
      </c>
      <c r="C1827" s="18">
        <v>97424</v>
      </c>
      <c r="D1827" s="2" t="s">
        <v>186</v>
      </c>
      <c r="E1827" s="15">
        <v>1067.2</v>
      </c>
      <c r="F1827" s="36" t="s">
        <v>336</v>
      </c>
      <c r="G1827" s="15">
        <v>1067.2</v>
      </c>
      <c r="H1827" s="15">
        <f t="shared" si="29"/>
        <v>0</v>
      </c>
    </row>
    <row r="1828" spans="1:8" x14ac:dyDescent="0.25">
      <c r="A1828" s="16">
        <v>42751</v>
      </c>
      <c r="B1828" s="17" t="s">
        <v>2164</v>
      </c>
      <c r="C1828" s="18">
        <v>97425</v>
      </c>
      <c r="D1828" s="2" t="s">
        <v>236</v>
      </c>
      <c r="E1828" s="15">
        <v>70529.320000000007</v>
      </c>
      <c r="F1828" s="36" t="s">
        <v>927</v>
      </c>
      <c r="G1828" s="15">
        <v>70529.320000000007</v>
      </c>
      <c r="H1828" s="15">
        <f t="shared" si="29"/>
        <v>0</v>
      </c>
    </row>
    <row r="1829" spans="1:8" x14ac:dyDescent="0.25">
      <c r="A1829" s="16">
        <v>42751</v>
      </c>
      <c r="B1829" s="17" t="s">
        <v>2165</v>
      </c>
      <c r="C1829" s="18">
        <v>97426</v>
      </c>
      <c r="D1829" s="2" t="s">
        <v>1141</v>
      </c>
      <c r="E1829" s="15">
        <v>9450</v>
      </c>
      <c r="F1829" s="36" t="s">
        <v>2166</v>
      </c>
      <c r="G1829" s="15">
        <v>9450</v>
      </c>
      <c r="H1829" s="15">
        <f t="shared" si="29"/>
        <v>0</v>
      </c>
    </row>
    <row r="1830" spans="1:8" x14ac:dyDescent="0.25">
      <c r="A1830" s="16">
        <v>42751</v>
      </c>
      <c r="B1830" s="17" t="s">
        <v>2167</v>
      </c>
      <c r="C1830" s="18">
        <v>97427</v>
      </c>
      <c r="D1830" s="2" t="s">
        <v>1197</v>
      </c>
      <c r="E1830" s="15">
        <v>936.9</v>
      </c>
      <c r="F1830" s="36" t="s">
        <v>317</v>
      </c>
      <c r="G1830" s="15">
        <v>936.9</v>
      </c>
      <c r="H1830" s="15">
        <f t="shared" si="29"/>
        <v>0</v>
      </c>
    </row>
    <row r="1831" spans="1:8" x14ac:dyDescent="0.25">
      <c r="A1831" s="16">
        <v>42751</v>
      </c>
      <c r="B1831" s="17" t="s">
        <v>2168</v>
      </c>
      <c r="C1831" s="18">
        <v>97428</v>
      </c>
      <c r="D1831" s="2" t="s">
        <v>211</v>
      </c>
      <c r="E1831" s="15">
        <v>8037.6</v>
      </c>
      <c r="F1831" s="36" t="s">
        <v>237</v>
      </c>
      <c r="G1831" s="15">
        <v>8037.6</v>
      </c>
      <c r="H1831" s="15">
        <f t="shared" si="29"/>
        <v>0</v>
      </c>
    </row>
    <row r="1832" spans="1:8" x14ac:dyDescent="0.25">
      <c r="A1832" s="16">
        <v>42751</v>
      </c>
      <c r="B1832" s="17" t="s">
        <v>2169</v>
      </c>
      <c r="C1832" s="18">
        <v>97429</v>
      </c>
      <c r="D1832" s="2" t="s">
        <v>1199</v>
      </c>
      <c r="E1832" s="15">
        <v>18261.52</v>
      </c>
      <c r="F1832" s="36" t="s">
        <v>2170</v>
      </c>
      <c r="G1832" s="15">
        <v>18261.52</v>
      </c>
      <c r="H1832" s="15">
        <f t="shared" si="29"/>
        <v>0</v>
      </c>
    </row>
    <row r="1833" spans="1:8" x14ac:dyDescent="0.25">
      <c r="A1833" s="16">
        <v>42751</v>
      </c>
      <c r="B1833" s="17" t="s">
        <v>2171</v>
      </c>
      <c r="C1833" s="18">
        <v>97430</v>
      </c>
      <c r="D1833" s="2" t="s">
        <v>1598</v>
      </c>
      <c r="E1833" s="15">
        <v>1449.6</v>
      </c>
      <c r="F1833" s="36" t="s">
        <v>317</v>
      </c>
      <c r="G1833" s="15">
        <v>1449.6</v>
      </c>
      <c r="H1833" s="15">
        <f t="shared" si="29"/>
        <v>0</v>
      </c>
    </row>
    <row r="1834" spans="1:8" x14ac:dyDescent="0.25">
      <c r="A1834" s="16">
        <v>42752</v>
      </c>
      <c r="B1834" s="17" t="s">
        <v>2172</v>
      </c>
      <c r="C1834" s="18">
        <v>97431</v>
      </c>
      <c r="D1834" s="2" t="s">
        <v>231</v>
      </c>
      <c r="E1834" s="15">
        <v>10014.6</v>
      </c>
      <c r="F1834" s="36" t="s">
        <v>317</v>
      </c>
      <c r="G1834" s="15">
        <v>10014.6</v>
      </c>
      <c r="H1834" s="15">
        <f t="shared" si="29"/>
        <v>0</v>
      </c>
    </row>
    <row r="1835" spans="1:8" x14ac:dyDescent="0.25">
      <c r="A1835" s="16">
        <v>42752</v>
      </c>
      <c r="B1835" s="17" t="s">
        <v>2173</v>
      </c>
      <c r="C1835" s="18">
        <v>97432</v>
      </c>
      <c r="D1835" s="2" t="s">
        <v>26</v>
      </c>
      <c r="E1835" s="15">
        <v>22531</v>
      </c>
      <c r="F1835" s="36" t="s">
        <v>511</v>
      </c>
      <c r="G1835" s="15">
        <v>22531</v>
      </c>
      <c r="H1835" s="15">
        <f t="shared" si="29"/>
        <v>0</v>
      </c>
    </row>
    <row r="1836" spans="1:8" x14ac:dyDescent="0.25">
      <c r="A1836" s="16">
        <v>42752</v>
      </c>
      <c r="B1836" s="17" t="s">
        <v>2174</v>
      </c>
      <c r="C1836" s="18">
        <v>97433</v>
      </c>
      <c r="D1836" s="2" t="s">
        <v>231</v>
      </c>
      <c r="E1836" s="15">
        <v>43122</v>
      </c>
      <c r="F1836" s="36" t="s">
        <v>317</v>
      </c>
      <c r="G1836" s="15">
        <v>43122</v>
      </c>
      <c r="H1836" s="15">
        <f t="shared" si="29"/>
        <v>0</v>
      </c>
    </row>
    <row r="1837" spans="1:8" x14ac:dyDescent="0.25">
      <c r="A1837" s="16">
        <v>42752</v>
      </c>
      <c r="B1837" s="17" t="s">
        <v>2175</v>
      </c>
      <c r="C1837" s="18">
        <v>97434</v>
      </c>
      <c r="D1837" s="2" t="s">
        <v>1786</v>
      </c>
      <c r="E1837" s="15">
        <v>8848</v>
      </c>
      <c r="F1837" s="36" t="s">
        <v>511</v>
      </c>
      <c r="G1837" s="15">
        <v>8848</v>
      </c>
      <c r="H1837" s="15">
        <f t="shared" si="29"/>
        <v>0</v>
      </c>
    </row>
    <row r="1838" spans="1:8" x14ac:dyDescent="0.25">
      <c r="A1838" s="16">
        <v>42752</v>
      </c>
      <c r="B1838" s="17" t="s">
        <v>2176</v>
      </c>
      <c r="C1838" s="18">
        <v>97435</v>
      </c>
      <c r="D1838" s="2" t="s">
        <v>55</v>
      </c>
      <c r="E1838" s="15">
        <v>5674.8</v>
      </c>
      <c r="F1838" s="36" t="s">
        <v>511</v>
      </c>
      <c r="G1838" s="15">
        <v>5674.8</v>
      </c>
      <c r="H1838" s="15">
        <f t="shared" si="29"/>
        <v>0</v>
      </c>
    </row>
    <row r="1839" spans="1:8" x14ac:dyDescent="0.25">
      <c r="A1839" s="16">
        <v>42752</v>
      </c>
      <c r="B1839" s="17" t="s">
        <v>2177</v>
      </c>
      <c r="C1839" s="18">
        <v>97436</v>
      </c>
      <c r="D1839" s="2" t="s">
        <v>231</v>
      </c>
      <c r="E1839" s="15">
        <v>1403</v>
      </c>
      <c r="F1839" s="36" t="s">
        <v>317</v>
      </c>
      <c r="G1839" s="15">
        <v>1403</v>
      </c>
      <c r="H1839" s="15">
        <f t="shared" si="29"/>
        <v>0</v>
      </c>
    </row>
    <row r="1840" spans="1:8" x14ac:dyDescent="0.25">
      <c r="A1840" s="16">
        <v>42752</v>
      </c>
      <c r="B1840" s="17" t="s">
        <v>2178</v>
      </c>
      <c r="C1840" s="18">
        <v>97437</v>
      </c>
      <c r="D1840" s="2" t="s">
        <v>67</v>
      </c>
      <c r="E1840" s="15">
        <v>4568.3999999999996</v>
      </c>
      <c r="F1840" s="36" t="s">
        <v>927</v>
      </c>
      <c r="G1840" s="15">
        <v>4568.3999999999996</v>
      </c>
      <c r="H1840" s="15">
        <f t="shared" si="29"/>
        <v>0</v>
      </c>
    </row>
    <row r="1841" spans="1:8" x14ac:dyDescent="0.25">
      <c r="A1841" s="16">
        <v>42752</v>
      </c>
      <c r="B1841" s="17" t="s">
        <v>2179</v>
      </c>
      <c r="C1841" s="18">
        <v>97438</v>
      </c>
      <c r="D1841" s="2" t="s">
        <v>135</v>
      </c>
      <c r="E1841" s="15">
        <v>4313.6000000000004</v>
      </c>
      <c r="F1841" s="36" t="s">
        <v>511</v>
      </c>
      <c r="G1841" s="15">
        <v>4313.6000000000004</v>
      </c>
      <c r="H1841" s="15">
        <f t="shared" si="29"/>
        <v>0</v>
      </c>
    </row>
    <row r="1842" spans="1:8" x14ac:dyDescent="0.25">
      <c r="A1842" s="16">
        <v>42752</v>
      </c>
      <c r="B1842" s="17" t="s">
        <v>2180</v>
      </c>
      <c r="C1842" s="18">
        <v>97439</v>
      </c>
      <c r="D1842" s="2" t="s">
        <v>30</v>
      </c>
      <c r="E1842" s="15">
        <v>3895.2</v>
      </c>
      <c r="F1842" s="36" t="s">
        <v>511</v>
      </c>
      <c r="G1842" s="15">
        <v>3895.2</v>
      </c>
      <c r="H1842" s="15">
        <f t="shared" si="29"/>
        <v>0</v>
      </c>
    </row>
    <row r="1843" spans="1:8" x14ac:dyDescent="0.25">
      <c r="A1843" s="16">
        <v>42752</v>
      </c>
      <c r="B1843" s="17" t="s">
        <v>2181</v>
      </c>
      <c r="C1843" s="18">
        <v>97440</v>
      </c>
      <c r="D1843" s="2" t="s">
        <v>253</v>
      </c>
      <c r="E1843" s="15">
        <v>5310.1</v>
      </c>
      <c r="F1843" s="36" t="s">
        <v>317</v>
      </c>
      <c r="G1843" s="15">
        <v>5310.1</v>
      </c>
      <c r="H1843" s="15">
        <f t="shared" si="29"/>
        <v>0</v>
      </c>
    </row>
    <row r="1844" spans="1:8" x14ac:dyDescent="0.25">
      <c r="A1844" s="16">
        <v>42752</v>
      </c>
      <c r="B1844" s="17" t="s">
        <v>2182</v>
      </c>
      <c r="C1844" s="18">
        <v>97441</v>
      </c>
      <c r="D1844" s="2" t="s">
        <v>28</v>
      </c>
      <c r="E1844" s="15">
        <v>4196.8</v>
      </c>
      <c r="F1844" s="36" t="s">
        <v>511</v>
      </c>
      <c r="G1844" s="15">
        <v>4196.8</v>
      </c>
      <c r="H1844" s="15">
        <f t="shared" si="29"/>
        <v>0</v>
      </c>
    </row>
    <row r="1845" spans="1:8" x14ac:dyDescent="0.25">
      <c r="A1845" s="16">
        <v>42752</v>
      </c>
      <c r="B1845" s="17" t="s">
        <v>2183</v>
      </c>
      <c r="C1845" s="18">
        <v>97442</v>
      </c>
      <c r="D1845" s="2" t="s">
        <v>49</v>
      </c>
      <c r="E1845" s="15">
        <v>15259.2</v>
      </c>
      <c r="F1845" s="124" t="s">
        <v>2184</v>
      </c>
      <c r="G1845" s="20">
        <f>5000+10259.2</f>
        <v>15259.2</v>
      </c>
      <c r="H1845" s="20">
        <f t="shared" si="29"/>
        <v>0</v>
      </c>
    </row>
    <row r="1846" spans="1:8" x14ac:dyDescent="0.25">
      <c r="A1846" s="16">
        <v>42752</v>
      </c>
      <c r="B1846" s="17" t="s">
        <v>2185</v>
      </c>
      <c r="C1846" s="18">
        <v>97443</v>
      </c>
      <c r="D1846" s="2" t="s">
        <v>32</v>
      </c>
      <c r="E1846" s="15">
        <v>7173.4</v>
      </c>
      <c r="F1846" s="36" t="s">
        <v>2143</v>
      </c>
      <c r="G1846" s="15">
        <v>7173.4</v>
      </c>
      <c r="H1846" s="15">
        <f t="shared" si="29"/>
        <v>0</v>
      </c>
    </row>
    <row r="1847" spans="1:8" x14ac:dyDescent="0.25">
      <c r="A1847" s="16">
        <v>42752</v>
      </c>
      <c r="B1847" s="17" t="s">
        <v>2186</v>
      </c>
      <c r="C1847" s="18">
        <v>97444</v>
      </c>
      <c r="D1847" s="2" t="s">
        <v>218</v>
      </c>
      <c r="E1847" s="15">
        <v>119620.45</v>
      </c>
      <c r="F1847" s="36" t="s">
        <v>307</v>
      </c>
      <c r="G1847" s="15">
        <v>119620.45</v>
      </c>
      <c r="H1847" s="15">
        <f t="shared" si="29"/>
        <v>0</v>
      </c>
    </row>
    <row r="1848" spans="1:8" x14ac:dyDescent="0.25">
      <c r="A1848" s="16">
        <v>42752</v>
      </c>
      <c r="B1848" s="17" t="s">
        <v>2187</v>
      </c>
      <c r="C1848" s="18">
        <v>97445</v>
      </c>
      <c r="D1848" s="2" t="s">
        <v>38</v>
      </c>
      <c r="E1848" s="15">
        <v>3782.5</v>
      </c>
      <c r="F1848" s="124" t="s">
        <v>2049</v>
      </c>
      <c r="G1848" s="20">
        <f>2000+1782.5</f>
        <v>3782.5</v>
      </c>
      <c r="H1848" s="20">
        <f t="shared" si="29"/>
        <v>0</v>
      </c>
    </row>
    <row r="1849" spans="1:8" x14ac:dyDescent="0.25">
      <c r="A1849" s="16">
        <v>42752</v>
      </c>
      <c r="B1849" s="17" t="s">
        <v>2188</v>
      </c>
      <c r="C1849" s="18">
        <v>97446</v>
      </c>
      <c r="D1849" s="2" t="s">
        <v>67</v>
      </c>
      <c r="E1849" s="15">
        <v>3430</v>
      </c>
      <c r="F1849" s="36" t="s">
        <v>927</v>
      </c>
      <c r="G1849" s="15">
        <v>3430</v>
      </c>
      <c r="H1849" s="15">
        <f t="shared" si="29"/>
        <v>0</v>
      </c>
    </row>
    <row r="1850" spans="1:8" x14ac:dyDescent="0.25">
      <c r="A1850" s="16">
        <v>42752</v>
      </c>
      <c r="B1850" s="17" t="s">
        <v>2189</v>
      </c>
      <c r="C1850" s="18">
        <v>97447</v>
      </c>
      <c r="D1850" s="2" t="s">
        <v>47</v>
      </c>
      <c r="E1850" s="15">
        <v>3998.7</v>
      </c>
      <c r="F1850" s="36" t="s">
        <v>511</v>
      </c>
      <c r="G1850" s="15">
        <v>3998.7</v>
      </c>
      <c r="H1850" s="15">
        <f t="shared" si="29"/>
        <v>0</v>
      </c>
    </row>
    <row r="1851" spans="1:8" x14ac:dyDescent="0.25">
      <c r="A1851" s="16">
        <v>42752</v>
      </c>
      <c r="B1851" s="17" t="s">
        <v>2190</v>
      </c>
      <c r="C1851" s="18">
        <v>97448</v>
      </c>
      <c r="D1851" s="2" t="s">
        <v>576</v>
      </c>
      <c r="E1851" s="15">
        <v>4677.8</v>
      </c>
      <c r="F1851" s="36" t="s">
        <v>317</v>
      </c>
      <c r="G1851" s="15">
        <v>4677.8</v>
      </c>
      <c r="H1851" s="15">
        <f t="shared" si="29"/>
        <v>0</v>
      </c>
    </row>
    <row r="1852" spans="1:8" x14ac:dyDescent="0.25">
      <c r="A1852" s="16">
        <v>42752</v>
      </c>
      <c r="B1852" s="17" t="s">
        <v>2191</v>
      </c>
      <c r="C1852" s="18">
        <v>97449</v>
      </c>
      <c r="D1852" s="2" t="s">
        <v>319</v>
      </c>
      <c r="E1852" s="15">
        <v>3872</v>
      </c>
      <c r="F1852" s="36" t="s">
        <v>1539</v>
      </c>
      <c r="G1852" s="15">
        <v>3872</v>
      </c>
      <c r="H1852" s="15">
        <f t="shared" si="29"/>
        <v>0</v>
      </c>
    </row>
    <row r="1853" spans="1:8" x14ac:dyDescent="0.25">
      <c r="A1853" s="16">
        <v>42752</v>
      </c>
      <c r="B1853" s="17" t="s">
        <v>2192</v>
      </c>
      <c r="C1853" s="18">
        <v>97450</v>
      </c>
      <c r="D1853" s="2" t="s">
        <v>250</v>
      </c>
      <c r="E1853" s="15">
        <v>5116.5</v>
      </c>
      <c r="F1853" s="36" t="s">
        <v>317</v>
      </c>
      <c r="G1853" s="15">
        <v>5116.5</v>
      </c>
      <c r="H1853" s="15">
        <f t="shared" si="29"/>
        <v>0</v>
      </c>
    </row>
    <row r="1854" spans="1:8" x14ac:dyDescent="0.25">
      <c r="A1854" s="16">
        <v>42752</v>
      </c>
      <c r="B1854" s="17" t="s">
        <v>2193</v>
      </c>
      <c r="C1854" s="18">
        <v>97451</v>
      </c>
      <c r="D1854" s="2" t="s">
        <v>428</v>
      </c>
      <c r="E1854" s="15">
        <v>1812.4</v>
      </c>
      <c r="F1854" s="36" t="s">
        <v>317</v>
      </c>
      <c r="G1854" s="15">
        <v>1812.4</v>
      </c>
      <c r="H1854" s="15">
        <f t="shared" si="29"/>
        <v>0</v>
      </c>
    </row>
    <row r="1855" spans="1:8" x14ac:dyDescent="0.25">
      <c r="A1855" s="16">
        <v>42752</v>
      </c>
      <c r="B1855" s="17" t="s">
        <v>2194</v>
      </c>
      <c r="C1855" s="18">
        <v>97452</v>
      </c>
      <c r="D1855" s="2" t="s">
        <v>43</v>
      </c>
      <c r="E1855" s="15">
        <v>2658.5</v>
      </c>
      <c r="F1855" s="36" t="s">
        <v>224</v>
      </c>
      <c r="G1855" s="15">
        <v>2658.5</v>
      </c>
      <c r="H1855" s="15">
        <f t="shared" si="29"/>
        <v>0</v>
      </c>
    </row>
    <row r="1856" spans="1:8" x14ac:dyDescent="0.25">
      <c r="A1856" s="16">
        <v>42752</v>
      </c>
      <c r="B1856" s="17" t="s">
        <v>2195</v>
      </c>
      <c r="C1856" s="18">
        <v>97453</v>
      </c>
      <c r="D1856" s="2" t="s">
        <v>35</v>
      </c>
      <c r="E1856" s="15">
        <v>11988.9</v>
      </c>
      <c r="F1856" s="36" t="s">
        <v>224</v>
      </c>
      <c r="G1856" s="15">
        <v>11988.9</v>
      </c>
      <c r="H1856" s="15">
        <f t="shared" si="29"/>
        <v>0</v>
      </c>
    </row>
    <row r="1857" spans="1:9" x14ac:dyDescent="0.25">
      <c r="A1857" s="16">
        <v>42752</v>
      </c>
      <c r="B1857" s="17" t="s">
        <v>2196</v>
      </c>
      <c r="C1857" s="18">
        <v>97454</v>
      </c>
      <c r="D1857" s="2" t="s">
        <v>222</v>
      </c>
      <c r="E1857" s="15">
        <v>9947.7000000000007</v>
      </c>
      <c r="F1857" s="36" t="s">
        <v>224</v>
      </c>
      <c r="G1857" s="15">
        <v>9947.7000000000007</v>
      </c>
      <c r="H1857" s="15">
        <f t="shared" si="29"/>
        <v>0</v>
      </c>
    </row>
    <row r="1858" spans="1:9" x14ac:dyDescent="0.25">
      <c r="A1858" s="16">
        <v>42752</v>
      </c>
      <c r="B1858" s="17" t="s">
        <v>2197</v>
      </c>
      <c r="C1858" s="18">
        <v>97455</v>
      </c>
      <c r="D1858" s="2" t="s">
        <v>79</v>
      </c>
      <c r="E1858" s="15">
        <v>3107.6</v>
      </c>
      <c r="F1858" s="36" t="s">
        <v>511</v>
      </c>
      <c r="G1858" s="15">
        <v>3107.6</v>
      </c>
      <c r="H1858" s="15">
        <f t="shared" si="29"/>
        <v>0</v>
      </c>
    </row>
    <row r="1859" spans="1:9" x14ac:dyDescent="0.25">
      <c r="A1859" s="16">
        <v>42752</v>
      </c>
      <c r="B1859" s="17" t="s">
        <v>2198</v>
      </c>
      <c r="C1859" s="18">
        <v>97456</v>
      </c>
      <c r="D1859" s="2" t="s">
        <v>1116</v>
      </c>
      <c r="E1859" s="15">
        <v>4699.08</v>
      </c>
      <c r="F1859" s="36" t="s">
        <v>511</v>
      </c>
      <c r="G1859" s="15">
        <v>4699.08</v>
      </c>
      <c r="H1859" s="15">
        <f t="shared" si="29"/>
        <v>0</v>
      </c>
    </row>
    <row r="1860" spans="1:9" x14ac:dyDescent="0.25">
      <c r="A1860" s="16">
        <v>42752</v>
      </c>
      <c r="B1860" s="17" t="s">
        <v>2199</v>
      </c>
      <c r="C1860" s="18">
        <v>97457</v>
      </c>
      <c r="D1860" s="2" t="s">
        <v>264</v>
      </c>
      <c r="E1860" s="15">
        <v>4945.5</v>
      </c>
      <c r="F1860" s="36" t="s">
        <v>317</v>
      </c>
      <c r="G1860" s="15">
        <v>4945.5</v>
      </c>
      <c r="H1860" s="15">
        <f t="shared" si="29"/>
        <v>0</v>
      </c>
    </row>
    <row r="1861" spans="1:9" x14ac:dyDescent="0.25">
      <c r="A1861" s="16">
        <v>42752</v>
      </c>
      <c r="B1861" s="17" t="s">
        <v>2200</v>
      </c>
      <c r="C1861" s="18">
        <v>97458</v>
      </c>
      <c r="D1861" s="2" t="s">
        <v>298</v>
      </c>
      <c r="E1861" s="15">
        <v>3877.5</v>
      </c>
      <c r="F1861" s="36" t="s">
        <v>511</v>
      </c>
      <c r="G1861" s="15">
        <v>3877.5</v>
      </c>
      <c r="H1861" s="15">
        <f t="shared" si="29"/>
        <v>0</v>
      </c>
    </row>
    <row r="1862" spans="1:9" x14ac:dyDescent="0.25">
      <c r="A1862" s="16">
        <v>42752</v>
      </c>
      <c r="B1862" s="17" t="s">
        <v>2201</v>
      </c>
      <c r="C1862" s="18">
        <v>97459</v>
      </c>
      <c r="D1862" s="2" t="s">
        <v>321</v>
      </c>
      <c r="E1862" s="15">
        <v>1026</v>
      </c>
      <c r="F1862" s="36" t="s">
        <v>511</v>
      </c>
      <c r="G1862" s="15">
        <v>1026</v>
      </c>
      <c r="H1862" s="15">
        <f t="shared" ref="H1862:H1925" si="30">E1862-G1862</f>
        <v>0</v>
      </c>
    </row>
    <row r="1863" spans="1:9" x14ac:dyDescent="0.25">
      <c r="A1863" s="16">
        <v>42752</v>
      </c>
      <c r="B1863" s="17" t="s">
        <v>2202</v>
      </c>
      <c r="C1863" s="18">
        <v>97460</v>
      </c>
      <c r="D1863" s="2" t="s">
        <v>470</v>
      </c>
      <c r="E1863" s="15">
        <v>15067</v>
      </c>
      <c r="F1863" s="124" t="s">
        <v>2203</v>
      </c>
      <c r="G1863" s="20">
        <f>12600+2467</f>
        <v>15067</v>
      </c>
      <c r="H1863" s="20">
        <f t="shared" si="30"/>
        <v>0</v>
      </c>
    </row>
    <row r="1864" spans="1:9" x14ac:dyDescent="0.25">
      <c r="A1864" s="16">
        <v>42752</v>
      </c>
      <c r="B1864" s="17" t="s">
        <v>2204</v>
      </c>
      <c r="C1864" s="18">
        <v>97461</v>
      </c>
      <c r="D1864" s="2" t="s">
        <v>302</v>
      </c>
      <c r="E1864" s="15">
        <v>12318</v>
      </c>
      <c r="F1864" s="36" t="s">
        <v>511</v>
      </c>
      <c r="G1864" s="15">
        <v>12318</v>
      </c>
      <c r="H1864" s="15">
        <f t="shared" si="30"/>
        <v>0</v>
      </c>
    </row>
    <row r="1865" spans="1:9" x14ac:dyDescent="0.25">
      <c r="A1865" s="16">
        <v>42752</v>
      </c>
      <c r="B1865" s="17" t="s">
        <v>2205</v>
      </c>
      <c r="C1865" s="18">
        <v>97462</v>
      </c>
      <c r="D1865" s="2" t="s">
        <v>17</v>
      </c>
      <c r="E1865" s="15">
        <v>2300</v>
      </c>
      <c r="F1865" s="36" t="s">
        <v>511</v>
      </c>
      <c r="G1865" s="15">
        <v>2300</v>
      </c>
      <c r="H1865" s="15">
        <f t="shared" si="30"/>
        <v>0</v>
      </c>
      <c r="I1865" s="19"/>
    </row>
    <row r="1866" spans="1:9" x14ac:dyDescent="0.25">
      <c r="A1866" s="16">
        <v>42752</v>
      </c>
      <c r="B1866" s="17" t="s">
        <v>2206</v>
      </c>
      <c r="C1866" s="18">
        <v>97463</v>
      </c>
      <c r="D1866" s="2" t="s">
        <v>14</v>
      </c>
      <c r="E1866" s="15">
        <v>8510.2000000000007</v>
      </c>
      <c r="F1866" s="36" t="s">
        <v>511</v>
      </c>
      <c r="G1866" s="15">
        <v>8510.2000000000007</v>
      </c>
      <c r="H1866" s="15">
        <f t="shared" si="30"/>
        <v>0</v>
      </c>
      <c r="I1866" s="19"/>
    </row>
    <row r="1867" spans="1:9" x14ac:dyDescent="0.25">
      <c r="A1867" s="16">
        <v>42752</v>
      </c>
      <c r="B1867" s="17" t="s">
        <v>2207</v>
      </c>
      <c r="C1867" s="18">
        <v>97464</v>
      </c>
      <c r="D1867" s="2" t="s">
        <v>457</v>
      </c>
      <c r="E1867" s="15">
        <v>306</v>
      </c>
      <c r="F1867" s="36" t="s">
        <v>511</v>
      </c>
      <c r="G1867" s="15">
        <v>306</v>
      </c>
      <c r="H1867" s="15">
        <f t="shared" si="30"/>
        <v>0</v>
      </c>
      <c r="I1867" s="19"/>
    </row>
    <row r="1868" spans="1:9" x14ac:dyDescent="0.25">
      <c r="A1868" s="16">
        <v>42752</v>
      </c>
      <c r="B1868" s="17" t="s">
        <v>2208</v>
      </c>
      <c r="C1868" s="18">
        <v>97465</v>
      </c>
      <c r="D1868" s="2" t="s">
        <v>367</v>
      </c>
      <c r="E1868" s="15">
        <v>900</v>
      </c>
      <c r="F1868" s="36" t="s">
        <v>511</v>
      </c>
      <c r="G1868" s="15">
        <v>900</v>
      </c>
      <c r="H1868" s="15">
        <f t="shared" si="30"/>
        <v>0</v>
      </c>
      <c r="I1868" s="19"/>
    </row>
    <row r="1869" spans="1:9" x14ac:dyDescent="0.25">
      <c r="A1869" s="16">
        <v>42752</v>
      </c>
      <c r="B1869" s="17" t="s">
        <v>2209</v>
      </c>
      <c r="C1869" s="18">
        <v>97466</v>
      </c>
      <c r="D1869" s="2" t="s">
        <v>30</v>
      </c>
      <c r="E1869" s="15">
        <v>5294.7</v>
      </c>
      <c r="F1869" s="36" t="s">
        <v>511</v>
      </c>
      <c r="G1869" s="15">
        <v>5294.7</v>
      </c>
      <c r="H1869" s="15">
        <f t="shared" si="30"/>
        <v>0</v>
      </c>
      <c r="I1869" s="19"/>
    </row>
    <row r="1870" spans="1:9" x14ac:dyDescent="0.25">
      <c r="A1870" s="16">
        <v>42752</v>
      </c>
      <c r="B1870" s="17" t="s">
        <v>2210</v>
      </c>
      <c r="C1870" s="18">
        <v>97467</v>
      </c>
      <c r="D1870" s="2" t="s">
        <v>923</v>
      </c>
      <c r="E1870" s="15">
        <v>22166</v>
      </c>
      <c r="F1870" s="36" t="s">
        <v>2143</v>
      </c>
      <c r="G1870" s="15">
        <v>22166</v>
      </c>
      <c r="H1870" s="15">
        <f t="shared" si="30"/>
        <v>0</v>
      </c>
      <c r="I1870" s="19"/>
    </row>
    <row r="1871" spans="1:9" x14ac:dyDescent="0.25">
      <c r="A1871" s="16">
        <v>42752</v>
      </c>
      <c r="B1871" s="17" t="s">
        <v>2211</v>
      </c>
      <c r="C1871" s="18">
        <v>97468</v>
      </c>
      <c r="D1871" s="2" t="s">
        <v>862</v>
      </c>
      <c r="E1871" s="15">
        <v>17613</v>
      </c>
      <c r="F1871" s="36" t="s">
        <v>511</v>
      </c>
      <c r="G1871" s="15">
        <v>17613</v>
      </c>
      <c r="H1871" s="15">
        <f t="shared" si="30"/>
        <v>0</v>
      </c>
      <c r="I1871" s="19"/>
    </row>
    <row r="1872" spans="1:9" x14ac:dyDescent="0.25">
      <c r="A1872" s="16">
        <v>42752</v>
      </c>
      <c r="B1872" s="17" t="s">
        <v>2212</v>
      </c>
      <c r="C1872" s="18">
        <v>97469</v>
      </c>
      <c r="D1872" s="2" t="s">
        <v>30</v>
      </c>
      <c r="E1872" s="15">
        <v>3638.6</v>
      </c>
      <c r="F1872" s="36" t="s">
        <v>511</v>
      </c>
      <c r="G1872" s="15">
        <v>3638.6</v>
      </c>
      <c r="H1872" s="15">
        <f t="shared" si="30"/>
        <v>0</v>
      </c>
      <c r="I1872" s="19"/>
    </row>
    <row r="1873" spans="1:9" x14ac:dyDescent="0.25">
      <c r="A1873" s="16">
        <v>42752</v>
      </c>
      <c r="B1873" s="17" t="s">
        <v>2213</v>
      </c>
      <c r="C1873" s="18">
        <v>97470</v>
      </c>
      <c r="D1873" s="2" t="s">
        <v>61</v>
      </c>
      <c r="E1873" s="15">
        <v>3792.8</v>
      </c>
      <c r="F1873" s="36" t="s">
        <v>317</v>
      </c>
      <c r="G1873" s="15">
        <v>3792.8</v>
      </c>
      <c r="H1873" s="15">
        <f t="shared" si="30"/>
        <v>0</v>
      </c>
      <c r="I1873" s="19"/>
    </row>
    <row r="1874" spans="1:9" x14ac:dyDescent="0.25">
      <c r="A1874" s="16">
        <v>42752</v>
      </c>
      <c r="B1874" s="17" t="s">
        <v>2214</v>
      </c>
      <c r="C1874" s="18">
        <v>97471</v>
      </c>
      <c r="D1874" s="2" t="s">
        <v>309</v>
      </c>
      <c r="E1874" s="15">
        <v>4262.3999999999996</v>
      </c>
      <c r="F1874" s="36" t="s">
        <v>511</v>
      </c>
      <c r="G1874" s="15">
        <v>4262.3999999999996</v>
      </c>
      <c r="H1874" s="15">
        <f t="shared" si="30"/>
        <v>0</v>
      </c>
      <c r="I1874" s="19"/>
    </row>
    <row r="1875" spans="1:9" x14ac:dyDescent="0.25">
      <c r="A1875" s="16">
        <v>42752</v>
      </c>
      <c r="B1875" s="17" t="s">
        <v>2215</v>
      </c>
      <c r="C1875" s="18">
        <v>97472</v>
      </c>
      <c r="D1875" s="2" t="s">
        <v>563</v>
      </c>
      <c r="E1875" s="15">
        <v>2926.8</v>
      </c>
      <c r="F1875" s="36" t="s">
        <v>511</v>
      </c>
      <c r="G1875" s="15">
        <v>2926.8</v>
      </c>
      <c r="H1875" s="15">
        <f t="shared" si="30"/>
        <v>0</v>
      </c>
      <c r="I1875" s="19"/>
    </row>
    <row r="1876" spans="1:9" x14ac:dyDescent="0.25">
      <c r="A1876" s="16">
        <v>42752</v>
      </c>
      <c r="B1876" s="17" t="s">
        <v>2216</v>
      </c>
      <c r="C1876" s="18">
        <v>97473</v>
      </c>
      <c r="D1876" s="2" t="s">
        <v>356</v>
      </c>
      <c r="E1876" s="15">
        <v>15136.2</v>
      </c>
      <c r="F1876" s="36" t="s">
        <v>317</v>
      </c>
      <c r="G1876" s="15">
        <v>15136.2</v>
      </c>
      <c r="H1876" s="15">
        <f t="shared" si="30"/>
        <v>0</v>
      </c>
      <c r="I1876" s="19"/>
    </row>
    <row r="1877" spans="1:9" x14ac:dyDescent="0.25">
      <c r="A1877" s="16">
        <v>42752</v>
      </c>
      <c r="B1877" s="17" t="s">
        <v>2217</v>
      </c>
      <c r="C1877" s="18">
        <v>97474</v>
      </c>
      <c r="D1877" s="2" t="s">
        <v>329</v>
      </c>
      <c r="E1877" s="15">
        <v>714.4</v>
      </c>
      <c r="F1877" s="36" t="s">
        <v>511</v>
      </c>
      <c r="G1877" s="15">
        <v>714.4</v>
      </c>
      <c r="H1877" s="15">
        <f t="shared" si="30"/>
        <v>0</v>
      </c>
      <c r="I1877" s="19"/>
    </row>
    <row r="1878" spans="1:9" x14ac:dyDescent="0.25">
      <c r="A1878" s="16">
        <v>42752</v>
      </c>
      <c r="B1878" s="17" t="s">
        <v>2218</v>
      </c>
      <c r="C1878" s="18">
        <v>97475</v>
      </c>
      <c r="D1878" s="2" t="s">
        <v>30</v>
      </c>
      <c r="E1878" s="15">
        <v>1334.76</v>
      </c>
      <c r="F1878" s="36" t="s">
        <v>317</v>
      </c>
      <c r="G1878" s="15">
        <v>1334.76</v>
      </c>
      <c r="H1878" s="15">
        <f t="shared" si="30"/>
        <v>0</v>
      </c>
      <c r="I1878" s="19"/>
    </row>
    <row r="1879" spans="1:9" x14ac:dyDescent="0.25">
      <c r="A1879" s="16">
        <v>42752</v>
      </c>
      <c r="B1879" s="17" t="s">
        <v>2219</v>
      </c>
      <c r="C1879" s="18">
        <v>97476</v>
      </c>
      <c r="D1879" s="2" t="s">
        <v>186</v>
      </c>
      <c r="E1879" s="15">
        <v>2937.6</v>
      </c>
      <c r="F1879" s="36" t="s">
        <v>336</v>
      </c>
      <c r="G1879" s="15">
        <v>2937.6</v>
      </c>
      <c r="H1879" s="15">
        <f t="shared" si="30"/>
        <v>0</v>
      </c>
      <c r="I1879" s="19"/>
    </row>
    <row r="1880" spans="1:9" x14ac:dyDescent="0.25">
      <c r="A1880" s="16">
        <v>42752</v>
      </c>
      <c r="B1880" s="17" t="s">
        <v>2220</v>
      </c>
      <c r="C1880" s="18">
        <v>97477</v>
      </c>
      <c r="D1880" s="2" t="s">
        <v>63</v>
      </c>
      <c r="E1880" s="15">
        <v>882</v>
      </c>
      <c r="F1880" s="36" t="s">
        <v>317</v>
      </c>
      <c r="G1880" s="15">
        <v>882</v>
      </c>
      <c r="H1880" s="15">
        <f t="shared" si="30"/>
        <v>0</v>
      </c>
      <c r="I1880" s="19"/>
    </row>
    <row r="1881" spans="1:9" x14ac:dyDescent="0.25">
      <c r="A1881" s="16">
        <v>42752</v>
      </c>
      <c r="B1881" s="17" t="s">
        <v>2221</v>
      </c>
      <c r="C1881" s="18">
        <v>97478</v>
      </c>
      <c r="D1881" s="2" t="s">
        <v>53</v>
      </c>
      <c r="E1881" s="15">
        <v>2637</v>
      </c>
      <c r="F1881" s="36" t="s">
        <v>317</v>
      </c>
      <c r="G1881" s="15">
        <v>2637</v>
      </c>
      <c r="H1881" s="15">
        <f t="shared" si="30"/>
        <v>0</v>
      </c>
      <c r="I1881" s="19"/>
    </row>
    <row r="1882" spans="1:9" x14ac:dyDescent="0.25">
      <c r="A1882" s="16">
        <v>42752</v>
      </c>
      <c r="B1882" s="17" t="s">
        <v>2222</v>
      </c>
      <c r="C1882" s="18">
        <v>97479</v>
      </c>
      <c r="D1882" s="2" t="s">
        <v>45</v>
      </c>
      <c r="E1882" s="15">
        <v>1641.6</v>
      </c>
      <c r="F1882" s="36" t="s">
        <v>317</v>
      </c>
      <c r="G1882" s="15">
        <v>1641.6</v>
      </c>
      <c r="H1882" s="15">
        <f t="shared" si="30"/>
        <v>0</v>
      </c>
      <c r="I1882" s="19"/>
    </row>
    <row r="1883" spans="1:9" x14ac:dyDescent="0.25">
      <c r="A1883" s="16">
        <v>42752</v>
      </c>
      <c r="B1883" s="17" t="s">
        <v>2223</v>
      </c>
      <c r="C1883" s="18">
        <v>97480</v>
      </c>
      <c r="D1883" s="2" t="s">
        <v>198</v>
      </c>
      <c r="E1883" s="15">
        <v>4375.3999999999996</v>
      </c>
      <c r="F1883" s="36" t="s">
        <v>317</v>
      </c>
      <c r="G1883" s="15">
        <v>4375.3999999999996</v>
      </c>
      <c r="H1883" s="15">
        <f t="shared" si="30"/>
        <v>0</v>
      </c>
      <c r="I1883" s="19"/>
    </row>
    <row r="1884" spans="1:9" x14ac:dyDescent="0.25">
      <c r="A1884" s="16">
        <v>42752</v>
      </c>
      <c r="B1884" s="17" t="s">
        <v>2224</v>
      </c>
      <c r="C1884" s="18">
        <v>97481</v>
      </c>
      <c r="D1884" s="2" t="s">
        <v>879</v>
      </c>
      <c r="E1884" s="15">
        <v>3562.2</v>
      </c>
      <c r="F1884" s="36" t="s">
        <v>511</v>
      </c>
      <c r="G1884" s="15">
        <v>3562.2</v>
      </c>
      <c r="H1884" s="15">
        <f t="shared" si="30"/>
        <v>0</v>
      </c>
      <c r="I1884" s="19"/>
    </row>
    <row r="1885" spans="1:9" x14ac:dyDescent="0.25">
      <c r="A1885" s="16">
        <v>42752</v>
      </c>
      <c r="B1885" s="17" t="s">
        <v>2225</v>
      </c>
      <c r="C1885" s="18">
        <v>97482</v>
      </c>
      <c r="D1885" s="2" t="s">
        <v>113</v>
      </c>
      <c r="E1885" s="15">
        <v>1692</v>
      </c>
      <c r="F1885" s="36" t="s">
        <v>317</v>
      </c>
      <c r="G1885" s="15">
        <v>1692</v>
      </c>
      <c r="H1885" s="15">
        <f t="shared" si="30"/>
        <v>0</v>
      </c>
      <c r="I1885" s="19"/>
    </row>
    <row r="1886" spans="1:9" x14ac:dyDescent="0.25">
      <c r="A1886" s="16">
        <v>42752</v>
      </c>
      <c r="B1886" s="17" t="s">
        <v>2226</v>
      </c>
      <c r="C1886" s="18">
        <v>97483</v>
      </c>
      <c r="D1886" s="2" t="s">
        <v>193</v>
      </c>
      <c r="E1886" s="15">
        <v>1890</v>
      </c>
      <c r="F1886" s="36" t="s">
        <v>1539</v>
      </c>
      <c r="G1886" s="15">
        <v>1890</v>
      </c>
      <c r="H1886" s="15">
        <f t="shared" si="30"/>
        <v>0</v>
      </c>
      <c r="I1886" s="19"/>
    </row>
    <row r="1887" spans="1:9" x14ac:dyDescent="0.25">
      <c r="A1887" s="16">
        <v>42752</v>
      </c>
      <c r="B1887" s="17" t="s">
        <v>2227</v>
      </c>
      <c r="C1887" s="18">
        <v>97484</v>
      </c>
      <c r="D1887" s="2" t="s">
        <v>281</v>
      </c>
      <c r="E1887" s="15">
        <v>1040</v>
      </c>
      <c r="F1887" s="36" t="s">
        <v>317</v>
      </c>
      <c r="G1887" s="15">
        <v>1040</v>
      </c>
      <c r="H1887" s="15">
        <f t="shared" si="30"/>
        <v>0</v>
      </c>
      <c r="I1887" s="19"/>
    </row>
    <row r="1888" spans="1:9" x14ac:dyDescent="0.25">
      <c r="A1888" s="16">
        <v>42752</v>
      </c>
      <c r="B1888" s="17" t="s">
        <v>2228</v>
      </c>
      <c r="C1888" s="18">
        <v>97485</v>
      </c>
      <c r="D1888" s="2" t="s">
        <v>30</v>
      </c>
      <c r="E1888" s="15">
        <v>1280</v>
      </c>
      <c r="F1888" s="36" t="s">
        <v>317</v>
      </c>
      <c r="G1888" s="15">
        <v>1280</v>
      </c>
      <c r="H1888" s="15">
        <f t="shared" si="30"/>
        <v>0</v>
      </c>
      <c r="I1888" s="19"/>
    </row>
    <row r="1889" spans="1:9" x14ac:dyDescent="0.25">
      <c r="A1889" s="16">
        <v>42752</v>
      </c>
      <c r="B1889" s="17" t="s">
        <v>2229</v>
      </c>
      <c r="C1889" s="18">
        <v>97486</v>
      </c>
      <c r="D1889" s="2" t="s">
        <v>99</v>
      </c>
      <c r="E1889" s="15">
        <v>2070</v>
      </c>
      <c r="F1889" s="36" t="s">
        <v>317</v>
      </c>
      <c r="G1889" s="15">
        <v>2070</v>
      </c>
      <c r="H1889" s="15">
        <f t="shared" si="30"/>
        <v>0</v>
      </c>
      <c r="I1889" s="19"/>
    </row>
    <row r="1890" spans="1:9" x14ac:dyDescent="0.25">
      <c r="A1890" s="16">
        <v>42752</v>
      </c>
      <c r="B1890" s="17" t="s">
        <v>2230</v>
      </c>
      <c r="C1890" s="18">
        <v>97487</v>
      </c>
      <c r="D1890" s="2" t="s">
        <v>101</v>
      </c>
      <c r="E1890" s="15">
        <v>460</v>
      </c>
      <c r="F1890" s="36" t="s">
        <v>317</v>
      </c>
      <c r="G1890" s="15">
        <v>460</v>
      </c>
      <c r="H1890" s="15">
        <f t="shared" si="30"/>
        <v>0</v>
      </c>
      <c r="I1890" s="19"/>
    </row>
    <row r="1891" spans="1:9" x14ac:dyDescent="0.25">
      <c r="A1891" s="16">
        <v>42752</v>
      </c>
      <c r="B1891" s="17" t="s">
        <v>2231</v>
      </c>
      <c r="C1891" s="18">
        <v>97488</v>
      </c>
      <c r="D1891" s="2" t="s">
        <v>448</v>
      </c>
      <c r="E1891" s="15">
        <v>3000.04</v>
      </c>
      <c r="F1891" s="36" t="s">
        <v>317</v>
      </c>
      <c r="G1891" s="15">
        <v>3000.04</v>
      </c>
      <c r="H1891" s="15">
        <f t="shared" si="30"/>
        <v>0</v>
      </c>
      <c r="I1891" s="19"/>
    </row>
    <row r="1892" spans="1:9" x14ac:dyDescent="0.25">
      <c r="A1892" s="16">
        <v>42752</v>
      </c>
      <c r="B1892" s="17" t="s">
        <v>2232</v>
      </c>
      <c r="C1892" s="18">
        <v>97489</v>
      </c>
      <c r="D1892" s="2" t="s">
        <v>103</v>
      </c>
      <c r="E1892" s="15">
        <v>667</v>
      </c>
      <c r="F1892" s="36" t="s">
        <v>317</v>
      </c>
      <c r="G1892" s="15">
        <v>667</v>
      </c>
      <c r="H1892" s="15">
        <f t="shared" si="30"/>
        <v>0</v>
      </c>
      <c r="I1892" s="19"/>
    </row>
    <row r="1893" spans="1:9" x14ac:dyDescent="0.25">
      <c r="A1893" s="16">
        <v>42752</v>
      </c>
      <c r="B1893" s="17" t="s">
        <v>2233</v>
      </c>
      <c r="C1893" s="18">
        <v>97490</v>
      </c>
      <c r="D1893" s="2" t="s">
        <v>838</v>
      </c>
      <c r="E1893" s="15">
        <v>3949</v>
      </c>
      <c r="F1893" s="36" t="s">
        <v>317</v>
      </c>
      <c r="G1893" s="15">
        <v>3949</v>
      </c>
      <c r="H1893" s="15">
        <f t="shared" si="30"/>
        <v>0</v>
      </c>
      <c r="I1893" s="19"/>
    </row>
    <row r="1894" spans="1:9" x14ac:dyDescent="0.25">
      <c r="A1894" s="16">
        <v>42752</v>
      </c>
      <c r="B1894" s="17" t="s">
        <v>2234</v>
      </c>
      <c r="C1894" s="18">
        <v>97491</v>
      </c>
      <c r="D1894" s="2" t="s">
        <v>472</v>
      </c>
      <c r="E1894" s="15">
        <v>644</v>
      </c>
      <c r="F1894" s="36" t="s">
        <v>317</v>
      </c>
      <c r="G1894" s="15">
        <v>644</v>
      </c>
      <c r="H1894" s="15">
        <f t="shared" si="30"/>
        <v>0</v>
      </c>
      <c r="I1894" s="19"/>
    </row>
    <row r="1895" spans="1:9" x14ac:dyDescent="0.25">
      <c r="A1895" s="16">
        <v>42752</v>
      </c>
      <c r="B1895" s="17" t="s">
        <v>2235</v>
      </c>
      <c r="C1895" s="18">
        <v>97492</v>
      </c>
      <c r="D1895" s="2" t="s">
        <v>88</v>
      </c>
      <c r="E1895" s="15">
        <v>972</v>
      </c>
      <c r="F1895" s="36" t="s">
        <v>317</v>
      </c>
      <c r="G1895" s="15">
        <v>972</v>
      </c>
      <c r="H1895" s="15">
        <f t="shared" si="30"/>
        <v>0</v>
      </c>
      <c r="I1895" s="19"/>
    </row>
    <row r="1896" spans="1:9" x14ac:dyDescent="0.25">
      <c r="A1896" s="16">
        <v>42752</v>
      </c>
      <c r="B1896" s="17" t="s">
        <v>2236</v>
      </c>
      <c r="C1896" s="18">
        <v>97493</v>
      </c>
      <c r="D1896" s="2" t="s">
        <v>92</v>
      </c>
      <c r="E1896" s="15">
        <v>1246.5999999999999</v>
      </c>
      <c r="F1896" s="36" t="s">
        <v>317</v>
      </c>
      <c r="G1896" s="15">
        <v>1246.5999999999999</v>
      </c>
      <c r="H1896" s="15">
        <f t="shared" si="30"/>
        <v>0</v>
      </c>
      <c r="I1896" s="19"/>
    </row>
    <row r="1897" spans="1:9" x14ac:dyDescent="0.25">
      <c r="A1897" s="16">
        <v>42752</v>
      </c>
      <c r="B1897" s="17" t="s">
        <v>2237</v>
      </c>
      <c r="C1897" s="18">
        <v>97494</v>
      </c>
      <c r="D1897" s="2" t="s">
        <v>462</v>
      </c>
      <c r="E1897" s="15">
        <v>8365.5</v>
      </c>
      <c r="F1897" s="36" t="s">
        <v>317</v>
      </c>
      <c r="G1897" s="15">
        <v>8365.5</v>
      </c>
      <c r="H1897" s="15">
        <f t="shared" si="30"/>
        <v>0</v>
      </c>
      <c r="I1897" s="19"/>
    </row>
    <row r="1898" spans="1:9" x14ac:dyDescent="0.25">
      <c r="A1898" s="16">
        <v>42752</v>
      </c>
      <c r="B1898" s="17" t="s">
        <v>2238</v>
      </c>
      <c r="C1898" s="18">
        <v>97495</v>
      </c>
      <c r="D1898" s="2" t="s">
        <v>109</v>
      </c>
      <c r="E1898" s="15">
        <v>5830</v>
      </c>
      <c r="F1898" s="36" t="s">
        <v>317</v>
      </c>
      <c r="G1898" s="15">
        <v>5830</v>
      </c>
      <c r="H1898" s="15">
        <f t="shared" si="30"/>
        <v>0</v>
      </c>
      <c r="I1898" s="19"/>
    </row>
    <row r="1899" spans="1:9" x14ac:dyDescent="0.25">
      <c r="A1899" s="16">
        <v>42752</v>
      </c>
      <c r="B1899" s="17" t="s">
        <v>2239</v>
      </c>
      <c r="C1899" s="18">
        <v>97496</v>
      </c>
      <c r="D1899" s="2" t="s">
        <v>2240</v>
      </c>
      <c r="E1899" s="15">
        <v>4349.7</v>
      </c>
      <c r="F1899" s="36" t="s">
        <v>511</v>
      </c>
      <c r="G1899" s="15">
        <v>4349.7</v>
      </c>
      <c r="H1899" s="15">
        <f t="shared" si="30"/>
        <v>0</v>
      </c>
      <c r="I1899" s="19"/>
    </row>
    <row r="1900" spans="1:9" x14ac:dyDescent="0.25">
      <c r="A1900" s="16">
        <v>42752</v>
      </c>
      <c r="B1900" s="17" t="s">
        <v>2241</v>
      </c>
      <c r="C1900" s="18">
        <v>97497</v>
      </c>
      <c r="D1900" s="2" t="s">
        <v>476</v>
      </c>
      <c r="E1900" s="15">
        <v>2450</v>
      </c>
      <c r="F1900" s="36" t="s">
        <v>317</v>
      </c>
      <c r="G1900" s="15">
        <v>2450</v>
      </c>
      <c r="H1900" s="15">
        <f t="shared" si="30"/>
        <v>0</v>
      </c>
      <c r="I1900" s="19"/>
    </row>
    <row r="1901" spans="1:9" x14ac:dyDescent="0.25">
      <c r="A1901" s="16">
        <v>42752</v>
      </c>
      <c r="B1901" s="17" t="s">
        <v>2242</v>
      </c>
      <c r="C1901" s="18">
        <v>97498</v>
      </c>
      <c r="D1901" s="2" t="s">
        <v>422</v>
      </c>
      <c r="E1901" s="15">
        <v>2379.6</v>
      </c>
      <c r="F1901" s="36" t="s">
        <v>511</v>
      </c>
      <c r="G1901" s="15">
        <v>2379.6</v>
      </c>
      <c r="H1901" s="15">
        <f t="shared" si="30"/>
        <v>0</v>
      </c>
      <c r="I1901" s="19"/>
    </row>
    <row r="1902" spans="1:9" x14ac:dyDescent="0.25">
      <c r="A1902" s="16">
        <v>42752</v>
      </c>
      <c r="B1902" s="17" t="s">
        <v>2243</v>
      </c>
      <c r="C1902" s="18">
        <v>97499</v>
      </c>
      <c r="D1902" s="2" t="s">
        <v>476</v>
      </c>
      <c r="E1902" s="15">
        <v>792.6</v>
      </c>
      <c r="F1902" s="36" t="s">
        <v>317</v>
      </c>
      <c r="G1902" s="15">
        <v>792.6</v>
      </c>
      <c r="H1902" s="15">
        <f t="shared" si="30"/>
        <v>0</v>
      </c>
      <c r="I1902" s="19"/>
    </row>
    <row r="1903" spans="1:9" x14ac:dyDescent="0.25">
      <c r="A1903" s="16">
        <v>42752</v>
      </c>
      <c r="B1903" s="17" t="s">
        <v>2244</v>
      </c>
      <c r="C1903" s="18">
        <v>97500</v>
      </c>
      <c r="D1903" s="2" t="s">
        <v>305</v>
      </c>
      <c r="E1903" s="15">
        <v>4956.3999999999996</v>
      </c>
      <c r="F1903" s="36" t="s">
        <v>224</v>
      </c>
      <c r="G1903" s="15">
        <v>4956.3999999999996</v>
      </c>
      <c r="H1903" s="15">
        <f t="shared" si="30"/>
        <v>0</v>
      </c>
      <c r="I1903" s="19"/>
    </row>
    <row r="1904" spans="1:9" x14ac:dyDescent="0.25">
      <c r="A1904" s="16">
        <v>42752</v>
      </c>
      <c r="B1904" s="17" t="s">
        <v>2245</v>
      </c>
      <c r="C1904" s="18">
        <v>97501</v>
      </c>
      <c r="D1904" s="2" t="s">
        <v>1870</v>
      </c>
      <c r="E1904" s="15">
        <v>1649.44</v>
      </c>
      <c r="F1904" s="36" t="s">
        <v>317</v>
      </c>
      <c r="G1904" s="15">
        <v>1649.44</v>
      </c>
      <c r="H1904" s="15">
        <f t="shared" si="30"/>
        <v>0</v>
      </c>
      <c r="I1904" s="19"/>
    </row>
    <row r="1905" spans="1:9" x14ac:dyDescent="0.25">
      <c r="A1905" s="16">
        <v>42752</v>
      </c>
      <c r="B1905" s="17" t="s">
        <v>2246</v>
      </c>
      <c r="C1905" s="18">
        <v>97502</v>
      </c>
      <c r="D1905" s="2" t="s">
        <v>122</v>
      </c>
      <c r="E1905" s="15">
        <v>9899.2000000000007</v>
      </c>
      <c r="F1905" s="36" t="s">
        <v>1173</v>
      </c>
      <c r="G1905" s="15">
        <v>9899.2000000000007</v>
      </c>
      <c r="H1905" s="15">
        <f t="shared" si="30"/>
        <v>0</v>
      </c>
      <c r="I1905" s="19"/>
    </row>
    <row r="1906" spans="1:9" x14ac:dyDescent="0.25">
      <c r="A1906" s="16">
        <v>42752</v>
      </c>
      <c r="B1906" s="17" t="s">
        <v>2247</v>
      </c>
      <c r="C1906" s="18">
        <v>97503</v>
      </c>
      <c r="D1906" s="2" t="s">
        <v>1968</v>
      </c>
      <c r="E1906" s="15">
        <v>3503.5</v>
      </c>
      <c r="F1906" s="36" t="s">
        <v>511</v>
      </c>
      <c r="G1906" s="15">
        <v>3503.5</v>
      </c>
      <c r="H1906" s="15">
        <f t="shared" si="30"/>
        <v>0</v>
      </c>
      <c r="I1906" s="19"/>
    </row>
    <row r="1907" spans="1:9" x14ac:dyDescent="0.25">
      <c r="A1907" s="16">
        <v>42752</v>
      </c>
      <c r="B1907" s="17" t="s">
        <v>2248</v>
      </c>
      <c r="C1907" s="18">
        <v>97504</v>
      </c>
      <c r="D1907" s="2" t="s">
        <v>316</v>
      </c>
      <c r="E1907" s="15">
        <v>32648.080000000002</v>
      </c>
      <c r="F1907" s="36" t="s">
        <v>307</v>
      </c>
      <c r="G1907" s="15">
        <v>32648.080000000002</v>
      </c>
      <c r="H1907" s="15">
        <f t="shared" si="30"/>
        <v>0</v>
      </c>
      <c r="I1907" s="19"/>
    </row>
    <row r="1908" spans="1:9" x14ac:dyDescent="0.25">
      <c r="A1908" s="16">
        <v>42752</v>
      </c>
      <c r="B1908" s="17" t="s">
        <v>2249</v>
      </c>
      <c r="C1908" s="18">
        <v>97505</v>
      </c>
      <c r="D1908" s="2" t="s">
        <v>30</v>
      </c>
      <c r="E1908" s="15">
        <v>16808.400000000001</v>
      </c>
      <c r="F1908" s="36" t="s">
        <v>511</v>
      </c>
      <c r="G1908" s="15">
        <v>16808.400000000001</v>
      </c>
      <c r="H1908" s="15">
        <f t="shared" si="30"/>
        <v>0</v>
      </c>
      <c r="I1908" s="19"/>
    </row>
    <row r="1909" spans="1:9" ht="16.5" customHeight="1" x14ac:dyDescent="0.25">
      <c r="A1909" s="16">
        <v>42752</v>
      </c>
      <c r="B1909" s="17" t="s">
        <v>2250</v>
      </c>
      <c r="C1909" s="18">
        <v>97506</v>
      </c>
      <c r="D1909" s="2" t="s">
        <v>30</v>
      </c>
      <c r="E1909" s="15">
        <v>7686</v>
      </c>
      <c r="F1909" s="36" t="s">
        <v>511</v>
      </c>
      <c r="G1909" s="15">
        <v>7686</v>
      </c>
      <c r="H1909" s="15">
        <f t="shared" si="30"/>
        <v>0</v>
      </c>
      <c r="I1909" s="19"/>
    </row>
    <row r="1910" spans="1:9" x14ac:dyDescent="0.25">
      <c r="A1910" s="16">
        <v>42752</v>
      </c>
      <c r="B1910" s="17" t="s">
        <v>2251</v>
      </c>
      <c r="C1910" s="18">
        <v>97507</v>
      </c>
      <c r="D1910" s="13" t="s">
        <v>21</v>
      </c>
      <c r="E1910" s="14">
        <v>0</v>
      </c>
      <c r="F1910" s="123" t="s">
        <v>95</v>
      </c>
      <c r="G1910" s="14">
        <v>0</v>
      </c>
      <c r="H1910" s="14">
        <f t="shared" si="30"/>
        <v>0</v>
      </c>
      <c r="I1910" s="19"/>
    </row>
    <row r="1911" spans="1:9" x14ac:dyDescent="0.25">
      <c r="A1911" s="16">
        <v>42752</v>
      </c>
      <c r="B1911" s="17" t="s">
        <v>2252</v>
      </c>
      <c r="C1911" s="18">
        <v>97508</v>
      </c>
      <c r="D1911" s="2" t="s">
        <v>21</v>
      </c>
      <c r="E1911" s="15">
        <v>42484</v>
      </c>
      <c r="F1911" s="36" t="s">
        <v>1889</v>
      </c>
      <c r="G1911" s="15">
        <v>42484</v>
      </c>
      <c r="H1911" s="15">
        <f t="shared" si="30"/>
        <v>0</v>
      </c>
      <c r="I1911" s="19"/>
    </row>
    <row r="1912" spans="1:9" x14ac:dyDescent="0.25">
      <c r="A1912" s="16">
        <v>42752</v>
      </c>
      <c r="B1912" s="17" t="s">
        <v>2253</v>
      </c>
      <c r="C1912" s="18">
        <v>97509</v>
      </c>
      <c r="D1912" s="2" t="s">
        <v>10</v>
      </c>
      <c r="E1912" s="15">
        <v>133784.1</v>
      </c>
      <c r="F1912" s="36" t="s">
        <v>1539</v>
      </c>
      <c r="G1912" s="15">
        <v>133784.1</v>
      </c>
      <c r="H1912" s="15">
        <f t="shared" si="30"/>
        <v>0</v>
      </c>
      <c r="I1912" s="19"/>
    </row>
    <row r="1913" spans="1:9" x14ac:dyDescent="0.25">
      <c r="A1913" s="16">
        <v>42752</v>
      </c>
      <c r="B1913" s="17" t="s">
        <v>2254</v>
      </c>
      <c r="C1913" s="18">
        <v>97510</v>
      </c>
      <c r="D1913" s="2" t="s">
        <v>10</v>
      </c>
      <c r="E1913" s="15">
        <v>7585.4</v>
      </c>
      <c r="F1913" s="36" t="s">
        <v>1539</v>
      </c>
      <c r="G1913" s="15">
        <v>7585.4</v>
      </c>
      <c r="H1913" s="15">
        <f t="shared" si="30"/>
        <v>0</v>
      </c>
      <c r="I1913" s="19"/>
    </row>
    <row r="1914" spans="1:9" x14ac:dyDescent="0.25">
      <c r="A1914" s="16">
        <v>42752</v>
      </c>
      <c r="B1914" s="17" t="s">
        <v>2255</v>
      </c>
      <c r="C1914" s="18">
        <v>97511</v>
      </c>
      <c r="D1914" s="2" t="s">
        <v>352</v>
      </c>
      <c r="E1914" s="15">
        <v>2488.6</v>
      </c>
      <c r="F1914" s="36" t="s">
        <v>511</v>
      </c>
      <c r="G1914" s="15">
        <v>2488.6</v>
      </c>
      <c r="H1914" s="15">
        <f t="shared" si="30"/>
        <v>0</v>
      </c>
      <c r="I1914" s="19"/>
    </row>
    <row r="1915" spans="1:9" x14ac:dyDescent="0.25">
      <c r="A1915" s="16">
        <v>42752</v>
      </c>
      <c r="B1915" s="17" t="s">
        <v>2256</v>
      </c>
      <c r="C1915" s="18">
        <v>97512</v>
      </c>
      <c r="D1915" s="2" t="s">
        <v>71</v>
      </c>
      <c r="E1915" s="15">
        <v>2464</v>
      </c>
      <c r="F1915" s="36" t="s">
        <v>511</v>
      </c>
      <c r="G1915" s="15">
        <v>2464</v>
      </c>
      <c r="H1915" s="15">
        <f t="shared" si="30"/>
        <v>0</v>
      </c>
      <c r="I1915" s="19"/>
    </row>
    <row r="1916" spans="1:9" x14ac:dyDescent="0.25">
      <c r="A1916" s="16">
        <v>42752</v>
      </c>
      <c r="B1916" s="17" t="s">
        <v>2257</v>
      </c>
      <c r="C1916" s="18">
        <v>97513</v>
      </c>
      <c r="D1916" s="2" t="s">
        <v>30</v>
      </c>
      <c r="E1916" s="15">
        <v>1391.2</v>
      </c>
      <c r="F1916" s="36" t="s">
        <v>511</v>
      </c>
      <c r="G1916" s="15">
        <v>1391.2</v>
      </c>
      <c r="H1916" s="15">
        <f t="shared" si="30"/>
        <v>0</v>
      </c>
      <c r="I1916" s="19"/>
    </row>
    <row r="1917" spans="1:9" x14ac:dyDescent="0.25">
      <c r="A1917" s="16">
        <v>42752</v>
      </c>
      <c r="B1917" s="17" t="s">
        <v>2258</v>
      </c>
      <c r="C1917" s="18">
        <v>97514</v>
      </c>
      <c r="D1917" s="2" t="s">
        <v>509</v>
      </c>
      <c r="E1917" s="15">
        <v>15061.2</v>
      </c>
      <c r="F1917" s="36" t="s">
        <v>1391</v>
      </c>
      <c r="G1917" s="15">
        <v>15061.2</v>
      </c>
      <c r="H1917" s="15">
        <f t="shared" si="30"/>
        <v>0</v>
      </c>
      <c r="I1917" s="19"/>
    </row>
    <row r="1918" spans="1:9" x14ac:dyDescent="0.25">
      <c r="A1918" s="16">
        <v>42752</v>
      </c>
      <c r="B1918" s="17" t="s">
        <v>2259</v>
      </c>
      <c r="C1918" s="18">
        <v>97515</v>
      </c>
      <c r="D1918" s="2" t="s">
        <v>1141</v>
      </c>
      <c r="E1918" s="15">
        <v>707.2</v>
      </c>
      <c r="F1918" s="36" t="s">
        <v>511</v>
      </c>
      <c r="G1918" s="15">
        <v>707.2</v>
      </c>
      <c r="H1918" s="15">
        <f t="shared" si="30"/>
        <v>0</v>
      </c>
      <c r="I1918" s="19"/>
    </row>
    <row r="1919" spans="1:9" x14ac:dyDescent="0.25">
      <c r="A1919" s="16">
        <v>42752</v>
      </c>
      <c r="B1919" s="17" t="s">
        <v>2260</v>
      </c>
      <c r="C1919" s="18">
        <v>97516</v>
      </c>
      <c r="D1919" s="2" t="s">
        <v>222</v>
      </c>
      <c r="E1919" s="15">
        <v>283712</v>
      </c>
      <c r="F1919" s="36" t="s">
        <v>224</v>
      </c>
      <c r="G1919" s="15">
        <v>283712</v>
      </c>
      <c r="H1919" s="15">
        <f t="shared" si="30"/>
        <v>0</v>
      </c>
      <c r="I1919" s="19"/>
    </row>
    <row r="1920" spans="1:9" x14ac:dyDescent="0.25">
      <c r="A1920" s="16">
        <v>42752</v>
      </c>
      <c r="B1920" s="17" t="s">
        <v>2261</v>
      </c>
      <c r="C1920" s="18">
        <v>97517</v>
      </c>
      <c r="D1920" s="2" t="s">
        <v>220</v>
      </c>
      <c r="E1920" s="15">
        <v>2134.4</v>
      </c>
      <c r="F1920" s="36" t="s">
        <v>317</v>
      </c>
      <c r="G1920" s="15">
        <v>2134.4</v>
      </c>
      <c r="H1920" s="15">
        <f t="shared" si="30"/>
        <v>0</v>
      </c>
      <c r="I1920" s="19"/>
    </row>
    <row r="1921" spans="1:9" x14ac:dyDescent="0.25">
      <c r="A1921" s="16">
        <v>42752</v>
      </c>
      <c r="B1921" s="17" t="s">
        <v>2262</v>
      </c>
      <c r="C1921" s="18">
        <v>97518</v>
      </c>
      <c r="D1921" s="2" t="s">
        <v>1789</v>
      </c>
      <c r="E1921" s="15">
        <v>5166.2</v>
      </c>
      <c r="F1921" s="36" t="s">
        <v>317</v>
      </c>
      <c r="G1921" s="15">
        <v>5166.2</v>
      </c>
      <c r="H1921" s="15">
        <f t="shared" si="30"/>
        <v>0</v>
      </c>
      <c r="I1921" s="19"/>
    </row>
    <row r="1922" spans="1:9" x14ac:dyDescent="0.25">
      <c r="A1922" s="16">
        <v>42753</v>
      </c>
      <c r="B1922" s="17" t="s">
        <v>2263</v>
      </c>
      <c r="C1922" s="18">
        <v>97519</v>
      </c>
      <c r="D1922" s="2" t="s">
        <v>231</v>
      </c>
      <c r="E1922" s="15">
        <v>11613.1</v>
      </c>
      <c r="F1922" s="36" t="s">
        <v>224</v>
      </c>
      <c r="G1922" s="15">
        <v>11613.1</v>
      </c>
      <c r="H1922" s="15">
        <f t="shared" si="30"/>
        <v>0</v>
      </c>
      <c r="I1922" s="19"/>
    </row>
    <row r="1923" spans="1:9" x14ac:dyDescent="0.25">
      <c r="A1923" s="16">
        <v>42753</v>
      </c>
      <c r="B1923" s="17" t="s">
        <v>2264</v>
      </c>
      <c r="C1923" s="18">
        <v>97520</v>
      </c>
      <c r="D1923" s="2" t="s">
        <v>374</v>
      </c>
      <c r="E1923" s="15">
        <v>2363.1999999999998</v>
      </c>
      <c r="F1923" s="36" t="s">
        <v>317</v>
      </c>
      <c r="G1923" s="15">
        <v>2363.1999999999998</v>
      </c>
      <c r="H1923" s="15">
        <f t="shared" si="30"/>
        <v>0</v>
      </c>
      <c r="I1923" s="19"/>
    </row>
    <row r="1924" spans="1:9" x14ac:dyDescent="0.25">
      <c r="A1924" s="16">
        <v>42753</v>
      </c>
      <c r="B1924" s="17" t="s">
        <v>2265</v>
      </c>
      <c r="C1924" s="18">
        <v>97521</v>
      </c>
      <c r="D1924" s="13" t="s">
        <v>236</v>
      </c>
      <c r="E1924" s="14">
        <v>0</v>
      </c>
      <c r="F1924" s="123" t="s">
        <v>95</v>
      </c>
      <c r="G1924" s="14">
        <v>0</v>
      </c>
      <c r="H1924" s="14">
        <f t="shared" si="30"/>
        <v>0</v>
      </c>
      <c r="I1924" s="19"/>
    </row>
    <row r="1925" spans="1:9" x14ac:dyDescent="0.25">
      <c r="A1925" s="16">
        <v>42753</v>
      </c>
      <c r="B1925" s="17" t="s">
        <v>2266</v>
      </c>
      <c r="C1925" s="18">
        <v>97522</v>
      </c>
      <c r="D1925" s="2" t="s">
        <v>231</v>
      </c>
      <c r="E1925" s="15">
        <v>42764.3</v>
      </c>
      <c r="F1925" s="36" t="s">
        <v>224</v>
      </c>
      <c r="G1925" s="15">
        <v>42764.3</v>
      </c>
      <c r="H1925" s="15">
        <f t="shared" si="30"/>
        <v>0</v>
      </c>
      <c r="I1925" s="19"/>
    </row>
    <row r="1926" spans="1:9" x14ac:dyDescent="0.25">
      <c r="A1926" s="16">
        <v>42753</v>
      </c>
      <c r="B1926" s="17" t="s">
        <v>2267</v>
      </c>
      <c r="C1926" s="18">
        <v>97523</v>
      </c>
      <c r="D1926" s="2" t="s">
        <v>30</v>
      </c>
      <c r="E1926" s="15">
        <v>4051.2</v>
      </c>
      <c r="F1926" s="36" t="s">
        <v>317</v>
      </c>
      <c r="G1926" s="15">
        <v>4051.2</v>
      </c>
      <c r="H1926" s="15">
        <f t="shared" ref="H1926:H1989" si="31">E1926-G1926</f>
        <v>0</v>
      </c>
      <c r="I1926" s="19"/>
    </row>
    <row r="1927" spans="1:9" x14ac:dyDescent="0.25">
      <c r="A1927" s="16">
        <v>42753</v>
      </c>
      <c r="B1927" s="17" t="s">
        <v>2268</v>
      </c>
      <c r="C1927" s="18">
        <v>97524</v>
      </c>
      <c r="D1927" s="13" t="s">
        <v>609</v>
      </c>
      <c r="E1927" s="14">
        <v>0</v>
      </c>
      <c r="F1927" s="123" t="s">
        <v>95</v>
      </c>
      <c r="G1927" s="14">
        <v>0</v>
      </c>
      <c r="H1927" s="14">
        <f t="shared" si="31"/>
        <v>0</v>
      </c>
      <c r="I1927" s="19"/>
    </row>
    <row r="1928" spans="1:9" x14ac:dyDescent="0.25">
      <c r="A1928" s="16">
        <v>42753</v>
      </c>
      <c r="B1928" s="17" t="s">
        <v>2269</v>
      </c>
      <c r="C1928" s="18">
        <v>97525</v>
      </c>
      <c r="D1928" s="2" t="s">
        <v>28</v>
      </c>
      <c r="E1928" s="15">
        <v>4712.3999999999996</v>
      </c>
      <c r="F1928" s="36" t="s">
        <v>317</v>
      </c>
      <c r="G1928" s="15">
        <v>4712.3999999999996</v>
      </c>
      <c r="H1928" s="15">
        <f t="shared" si="31"/>
        <v>0</v>
      </c>
      <c r="I1928" s="19"/>
    </row>
    <row r="1929" spans="1:9" x14ac:dyDescent="0.25">
      <c r="A1929" s="16">
        <v>42753</v>
      </c>
      <c r="B1929" s="17" t="s">
        <v>2270</v>
      </c>
      <c r="C1929" s="18">
        <v>97526</v>
      </c>
      <c r="D1929" s="2" t="s">
        <v>609</v>
      </c>
      <c r="E1929" s="15">
        <v>29632.68</v>
      </c>
      <c r="F1929" s="36" t="s">
        <v>224</v>
      </c>
      <c r="G1929" s="15">
        <v>29632.68</v>
      </c>
      <c r="H1929" s="15">
        <f t="shared" si="31"/>
        <v>0</v>
      </c>
      <c r="I1929" s="19"/>
    </row>
    <row r="1930" spans="1:9" x14ac:dyDescent="0.25">
      <c r="A1930" s="16">
        <v>42753</v>
      </c>
      <c r="B1930" s="17" t="s">
        <v>2271</v>
      </c>
      <c r="C1930" s="18">
        <v>97527</v>
      </c>
      <c r="D1930" s="2" t="s">
        <v>30</v>
      </c>
      <c r="E1930" s="15">
        <v>703.8</v>
      </c>
      <c r="F1930" s="36" t="s">
        <v>224</v>
      </c>
      <c r="G1930" s="15">
        <v>703.8</v>
      </c>
      <c r="H1930" s="15">
        <f t="shared" si="31"/>
        <v>0</v>
      </c>
      <c r="I1930" s="19"/>
    </row>
    <row r="1931" spans="1:9" x14ac:dyDescent="0.25">
      <c r="A1931" s="16">
        <v>42753</v>
      </c>
      <c r="B1931" s="17" t="s">
        <v>2272</v>
      </c>
      <c r="C1931" s="18">
        <v>97528</v>
      </c>
      <c r="D1931" s="2" t="s">
        <v>32</v>
      </c>
      <c r="E1931" s="15">
        <v>6794.7</v>
      </c>
      <c r="F1931" s="36" t="s">
        <v>2143</v>
      </c>
      <c r="G1931" s="15">
        <v>6794.7</v>
      </c>
      <c r="H1931" s="15">
        <f t="shared" si="31"/>
        <v>0</v>
      </c>
      <c r="I1931" s="19"/>
    </row>
    <row r="1932" spans="1:9" x14ac:dyDescent="0.25">
      <c r="A1932" s="16">
        <v>42753</v>
      </c>
      <c r="B1932" s="17" t="s">
        <v>2273</v>
      </c>
      <c r="C1932" s="18">
        <v>97529</v>
      </c>
      <c r="D1932" s="2" t="s">
        <v>253</v>
      </c>
      <c r="E1932" s="15">
        <v>4196.8</v>
      </c>
      <c r="F1932" s="36" t="s">
        <v>2274</v>
      </c>
      <c r="G1932" s="15">
        <v>4196.8</v>
      </c>
      <c r="H1932" s="15">
        <f t="shared" si="31"/>
        <v>0</v>
      </c>
      <c r="I1932" s="19"/>
    </row>
    <row r="1933" spans="1:9" x14ac:dyDescent="0.25">
      <c r="A1933" s="16">
        <v>42753</v>
      </c>
      <c r="B1933" s="17" t="s">
        <v>2275</v>
      </c>
      <c r="C1933" s="18">
        <v>97530</v>
      </c>
      <c r="D1933" s="2" t="s">
        <v>30</v>
      </c>
      <c r="E1933" s="15">
        <v>8736</v>
      </c>
      <c r="F1933" s="36" t="s">
        <v>317</v>
      </c>
      <c r="G1933" s="15">
        <v>8736</v>
      </c>
      <c r="H1933" s="15">
        <f t="shared" si="31"/>
        <v>0</v>
      </c>
      <c r="I1933" s="19"/>
    </row>
    <row r="1934" spans="1:9" x14ac:dyDescent="0.25">
      <c r="A1934" s="16">
        <v>42753</v>
      </c>
      <c r="B1934" s="17" t="s">
        <v>2276</v>
      </c>
      <c r="C1934" s="18">
        <v>97531</v>
      </c>
      <c r="D1934" s="2" t="s">
        <v>17</v>
      </c>
      <c r="E1934" s="15">
        <v>2070</v>
      </c>
      <c r="F1934" s="36" t="s">
        <v>317</v>
      </c>
      <c r="G1934" s="15">
        <v>2070</v>
      </c>
      <c r="H1934" s="15">
        <f t="shared" si="31"/>
        <v>0</v>
      </c>
      <c r="I1934" s="19"/>
    </row>
    <row r="1935" spans="1:9" x14ac:dyDescent="0.25">
      <c r="A1935" s="16">
        <v>42753</v>
      </c>
      <c r="B1935" s="17" t="s">
        <v>2277</v>
      </c>
      <c r="C1935" s="18">
        <v>97532</v>
      </c>
      <c r="D1935" s="2" t="s">
        <v>972</v>
      </c>
      <c r="E1935" s="15">
        <v>10514</v>
      </c>
      <c r="F1935" s="36" t="s">
        <v>317</v>
      </c>
      <c r="G1935" s="15">
        <v>10514</v>
      </c>
      <c r="H1935" s="15">
        <f t="shared" si="31"/>
        <v>0</v>
      </c>
      <c r="I1935" s="19"/>
    </row>
    <row r="1936" spans="1:9" x14ac:dyDescent="0.25">
      <c r="A1936" s="16">
        <v>42753</v>
      </c>
      <c r="B1936" s="17" t="s">
        <v>2278</v>
      </c>
      <c r="C1936" s="18">
        <v>97533</v>
      </c>
      <c r="D1936" s="2" t="s">
        <v>67</v>
      </c>
      <c r="E1936" s="15">
        <v>7387.4</v>
      </c>
      <c r="F1936" s="36" t="s">
        <v>927</v>
      </c>
      <c r="G1936" s="15">
        <v>7387.4</v>
      </c>
      <c r="H1936" s="15">
        <f t="shared" si="31"/>
        <v>0</v>
      </c>
      <c r="I1936" s="19"/>
    </row>
    <row r="1937" spans="1:9" x14ac:dyDescent="0.25">
      <c r="A1937" s="16">
        <v>42753</v>
      </c>
      <c r="B1937" s="17" t="s">
        <v>2279</v>
      </c>
      <c r="C1937" s="18">
        <v>97534</v>
      </c>
      <c r="D1937" s="2" t="s">
        <v>49</v>
      </c>
      <c r="E1937" s="15">
        <v>15419.8</v>
      </c>
      <c r="F1937" s="124" t="s">
        <v>2280</v>
      </c>
      <c r="G1937" s="20">
        <f>5000+10419.8</f>
        <v>15419.8</v>
      </c>
      <c r="H1937" s="20">
        <f t="shared" si="31"/>
        <v>0</v>
      </c>
      <c r="I1937" s="19"/>
    </row>
    <row r="1938" spans="1:9" x14ac:dyDescent="0.25">
      <c r="A1938" s="16">
        <v>42753</v>
      </c>
      <c r="B1938" s="17" t="s">
        <v>2281</v>
      </c>
      <c r="C1938" s="18">
        <v>97535</v>
      </c>
      <c r="D1938" s="13" t="s">
        <v>289</v>
      </c>
      <c r="E1938" s="14">
        <v>0</v>
      </c>
      <c r="F1938" s="123" t="s">
        <v>95</v>
      </c>
      <c r="G1938" s="14">
        <v>0</v>
      </c>
      <c r="H1938" s="14">
        <f t="shared" si="31"/>
        <v>0</v>
      </c>
      <c r="I1938" s="19"/>
    </row>
    <row r="1939" spans="1:9" x14ac:dyDescent="0.25">
      <c r="A1939" s="16">
        <v>42753</v>
      </c>
      <c r="B1939" s="17" t="s">
        <v>2282</v>
      </c>
      <c r="C1939" s="18">
        <v>97536</v>
      </c>
      <c r="D1939" s="2" t="s">
        <v>26</v>
      </c>
      <c r="E1939" s="15">
        <v>17798.8</v>
      </c>
      <c r="F1939" s="36" t="s">
        <v>317</v>
      </c>
      <c r="G1939" s="15">
        <v>17798.8</v>
      </c>
      <c r="H1939" s="15">
        <f t="shared" si="31"/>
        <v>0</v>
      </c>
      <c r="I1939" s="19"/>
    </row>
    <row r="1940" spans="1:9" x14ac:dyDescent="0.25">
      <c r="A1940" s="16">
        <v>42753</v>
      </c>
      <c r="B1940" s="17" t="s">
        <v>2283</v>
      </c>
      <c r="C1940" s="18">
        <v>97537</v>
      </c>
      <c r="D1940" s="2" t="s">
        <v>289</v>
      </c>
      <c r="E1940" s="15">
        <v>131798.07</v>
      </c>
      <c r="F1940" s="36" t="s">
        <v>1173</v>
      </c>
      <c r="G1940" s="15">
        <v>131798.07</v>
      </c>
      <c r="H1940" s="15">
        <f t="shared" si="31"/>
        <v>0</v>
      </c>
      <c r="I1940" s="19"/>
    </row>
    <row r="1941" spans="1:9" x14ac:dyDescent="0.25">
      <c r="A1941" s="16">
        <v>42753</v>
      </c>
      <c r="B1941" s="17" t="s">
        <v>2284</v>
      </c>
      <c r="C1941" s="18">
        <v>97538</v>
      </c>
      <c r="D1941" s="13" t="s">
        <v>236</v>
      </c>
      <c r="E1941" s="14">
        <v>0</v>
      </c>
      <c r="F1941" s="123" t="s">
        <v>95</v>
      </c>
      <c r="G1941" s="14">
        <v>0</v>
      </c>
      <c r="H1941" s="14">
        <f t="shared" si="31"/>
        <v>0</v>
      </c>
      <c r="I1941" s="19"/>
    </row>
    <row r="1942" spans="1:9" x14ac:dyDescent="0.25">
      <c r="A1942" s="16">
        <v>42753</v>
      </c>
      <c r="B1942" s="17" t="s">
        <v>2285</v>
      </c>
      <c r="C1942" s="18">
        <v>97539</v>
      </c>
      <c r="D1942" s="2" t="s">
        <v>236</v>
      </c>
      <c r="E1942" s="15">
        <v>63723.95</v>
      </c>
      <c r="F1942" s="124" t="s">
        <v>2286</v>
      </c>
      <c r="G1942" s="20">
        <f>45793.79+17930.16</f>
        <v>63723.95</v>
      </c>
      <c r="H1942" s="20">
        <f t="shared" si="31"/>
        <v>0</v>
      </c>
      <c r="I1942" s="19"/>
    </row>
    <row r="1943" spans="1:9" x14ac:dyDescent="0.25">
      <c r="A1943" s="16">
        <v>42753</v>
      </c>
      <c r="B1943" s="17" t="s">
        <v>2287</v>
      </c>
      <c r="C1943" s="18">
        <v>97540</v>
      </c>
      <c r="D1943" s="2" t="s">
        <v>428</v>
      </c>
      <c r="E1943" s="15">
        <v>1375</v>
      </c>
      <c r="F1943" s="36" t="s">
        <v>1539</v>
      </c>
      <c r="G1943" s="15">
        <v>1375</v>
      </c>
      <c r="H1943" s="15">
        <f t="shared" si="31"/>
        <v>0</v>
      </c>
      <c r="I1943" s="19"/>
    </row>
    <row r="1944" spans="1:9" x14ac:dyDescent="0.25">
      <c r="A1944" s="16">
        <v>42753</v>
      </c>
      <c r="B1944" s="17" t="s">
        <v>2288</v>
      </c>
      <c r="C1944" s="18">
        <v>97541</v>
      </c>
      <c r="D1944" s="2" t="s">
        <v>35</v>
      </c>
      <c r="E1944" s="15">
        <v>12364</v>
      </c>
      <c r="F1944" s="36" t="s">
        <v>1539</v>
      </c>
      <c r="G1944" s="15">
        <v>12364</v>
      </c>
      <c r="H1944" s="15">
        <f t="shared" si="31"/>
        <v>0</v>
      </c>
    </row>
    <row r="1945" spans="1:9" x14ac:dyDescent="0.25">
      <c r="A1945" s="16">
        <v>42753</v>
      </c>
      <c r="B1945" s="17" t="s">
        <v>2289</v>
      </c>
      <c r="C1945" s="18">
        <v>97542</v>
      </c>
      <c r="D1945" s="2" t="s">
        <v>432</v>
      </c>
      <c r="E1945" s="15">
        <v>18506.400000000001</v>
      </c>
      <c r="F1945" s="36" t="s">
        <v>1539</v>
      </c>
      <c r="G1945" s="15">
        <v>18506.400000000001</v>
      </c>
      <c r="H1945" s="15">
        <f t="shared" si="31"/>
        <v>0</v>
      </c>
    </row>
    <row r="1946" spans="1:9" x14ac:dyDescent="0.25">
      <c r="A1946" s="16">
        <v>42753</v>
      </c>
      <c r="B1946" s="17" t="s">
        <v>2290</v>
      </c>
      <c r="C1946" s="18">
        <v>97543</v>
      </c>
      <c r="D1946" s="2" t="s">
        <v>268</v>
      </c>
      <c r="E1946" s="15">
        <v>18971.599999999999</v>
      </c>
      <c r="F1946" s="36" t="s">
        <v>1539</v>
      </c>
      <c r="G1946" s="15">
        <v>18971.599999999999</v>
      </c>
      <c r="H1946" s="15">
        <f t="shared" si="31"/>
        <v>0</v>
      </c>
    </row>
    <row r="1947" spans="1:9" x14ac:dyDescent="0.25">
      <c r="A1947" s="16">
        <v>42753</v>
      </c>
      <c r="B1947" s="17" t="s">
        <v>2291</v>
      </c>
      <c r="C1947" s="18">
        <v>97544</v>
      </c>
      <c r="D1947" s="2" t="s">
        <v>1666</v>
      </c>
      <c r="E1947" s="15">
        <v>18810</v>
      </c>
      <c r="F1947" s="36" t="s">
        <v>1391</v>
      </c>
      <c r="G1947" s="15">
        <v>18810</v>
      </c>
      <c r="H1947" s="15">
        <f t="shared" si="31"/>
        <v>0</v>
      </c>
    </row>
    <row r="1948" spans="1:9" x14ac:dyDescent="0.25">
      <c r="A1948" s="16">
        <v>42753</v>
      </c>
      <c r="B1948" s="17" t="s">
        <v>2292</v>
      </c>
      <c r="C1948" s="18">
        <v>97545</v>
      </c>
      <c r="D1948" s="2" t="s">
        <v>442</v>
      </c>
      <c r="E1948" s="15">
        <v>11528.3</v>
      </c>
      <c r="F1948" s="36" t="s">
        <v>1539</v>
      </c>
      <c r="G1948" s="15">
        <v>11528.3</v>
      </c>
      <c r="H1948" s="15">
        <f t="shared" si="31"/>
        <v>0</v>
      </c>
    </row>
    <row r="1949" spans="1:9" x14ac:dyDescent="0.25">
      <c r="A1949" s="16">
        <v>42753</v>
      </c>
      <c r="B1949" s="17" t="s">
        <v>2293</v>
      </c>
      <c r="C1949" s="18">
        <v>97546</v>
      </c>
      <c r="D1949" s="2" t="s">
        <v>544</v>
      </c>
      <c r="E1949" s="15">
        <v>4862.3999999999996</v>
      </c>
      <c r="F1949" s="36" t="s">
        <v>166</v>
      </c>
      <c r="G1949" s="15">
        <v>4862.3999999999996</v>
      </c>
      <c r="H1949" s="15">
        <f t="shared" si="31"/>
        <v>0</v>
      </c>
    </row>
    <row r="1950" spans="1:9" x14ac:dyDescent="0.25">
      <c r="A1950" s="16">
        <v>42753</v>
      </c>
      <c r="B1950" s="17" t="s">
        <v>2294</v>
      </c>
      <c r="C1950" s="18">
        <v>97547</v>
      </c>
      <c r="D1950" s="2" t="s">
        <v>272</v>
      </c>
      <c r="E1950" s="15">
        <v>3736.7</v>
      </c>
      <c r="F1950" s="36" t="s">
        <v>1539</v>
      </c>
      <c r="G1950" s="15">
        <v>3736.7</v>
      </c>
      <c r="H1950" s="15">
        <f t="shared" si="31"/>
        <v>0</v>
      </c>
    </row>
    <row r="1951" spans="1:9" x14ac:dyDescent="0.25">
      <c r="A1951" s="16">
        <v>42753</v>
      </c>
      <c r="B1951" s="17" t="s">
        <v>2295</v>
      </c>
      <c r="C1951" s="18">
        <v>97548</v>
      </c>
      <c r="D1951" s="13" t="s">
        <v>51</v>
      </c>
      <c r="E1951" s="14">
        <v>0</v>
      </c>
      <c r="F1951" s="123" t="s">
        <v>95</v>
      </c>
      <c r="G1951" s="14">
        <v>0</v>
      </c>
      <c r="H1951" s="14">
        <f t="shared" si="31"/>
        <v>0</v>
      </c>
    </row>
    <row r="1952" spans="1:9" x14ac:dyDescent="0.25">
      <c r="A1952" s="16">
        <v>42753</v>
      </c>
      <c r="B1952" s="17" t="s">
        <v>2296</v>
      </c>
      <c r="C1952" s="18">
        <v>97549</v>
      </c>
      <c r="D1952" s="2" t="s">
        <v>576</v>
      </c>
      <c r="E1952" s="15">
        <v>3852.8</v>
      </c>
      <c r="F1952" s="36" t="s">
        <v>224</v>
      </c>
      <c r="G1952" s="15">
        <v>3852.8</v>
      </c>
      <c r="H1952" s="15">
        <f t="shared" si="31"/>
        <v>0</v>
      </c>
    </row>
    <row r="1953" spans="1:8" x14ac:dyDescent="0.25">
      <c r="A1953" s="16">
        <v>42753</v>
      </c>
      <c r="B1953" s="17" t="s">
        <v>2297</v>
      </c>
      <c r="C1953" s="18">
        <v>97550</v>
      </c>
      <c r="D1953" s="2" t="s">
        <v>51</v>
      </c>
      <c r="E1953" s="15">
        <v>1053.5</v>
      </c>
      <c r="F1953" s="36" t="s">
        <v>1539</v>
      </c>
      <c r="G1953" s="15">
        <v>1053.5</v>
      </c>
      <c r="H1953" s="15">
        <f t="shared" si="31"/>
        <v>0</v>
      </c>
    </row>
    <row r="1954" spans="1:8" x14ac:dyDescent="0.25">
      <c r="A1954" s="16">
        <v>42753</v>
      </c>
      <c r="B1954" s="17" t="s">
        <v>2298</v>
      </c>
      <c r="C1954" s="18">
        <v>97551</v>
      </c>
      <c r="D1954" s="2" t="s">
        <v>21</v>
      </c>
      <c r="E1954" s="15">
        <v>43310.400000000001</v>
      </c>
      <c r="F1954" s="36" t="s">
        <v>1889</v>
      </c>
      <c r="G1954" s="15">
        <v>43310.400000000001</v>
      </c>
      <c r="H1954" s="15">
        <f t="shared" si="31"/>
        <v>0</v>
      </c>
    </row>
    <row r="1955" spans="1:8" x14ac:dyDescent="0.25">
      <c r="A1955" s="16">
        <v>42753</v>
      </c>
      <c r="B1955" s="17" t="s">
        <v>2299</v>
      </c>
      <c r="C1955" s="18">
        <v>97552</v>
      </c>
      <c r="D1955" s="2" t="s">
        <v>250</v>
      </c>
      <c r="E1955" s="15">
        <v>2838.2</v>
      </c>
      <c r="F1955" s="36" t="s">
        <v>224</v>
      </c>
      <c r="G1955" s="15">
        <v>2838.2</v>
      </c>
      <c r="H1955" s="15">
        <f t="shared" si="31"/>
        <v>0</v>
      </c>
    </row>
    <row r="1956" spans="1:8" x14ac:dyDescent="0.25">
      <c r="A1956" s="16">
        <v>42753</v>
      </c>
      <c r="B1956" s="17" t="s">
        <v>2300</v>
      </c>
      <c r="C1956" s="18">
        <v>97553</v>
      </c>
      <c r="D1956" s="2" t="s">
        <v>38</v>
      </c>
      <c r="E1956" s="15">
        <v>2401</v>
      </c>
      <c r="F1956" s="36" t="s">
        <v>1539</v>
      </c>
      <c r="G1956" s="15">
        <v>2401</v>
      </c>
      <c r="H1956" s="15">
        <f t="shared" si="31"/>
        <v>0</v>
      </c>
    </row>
    <row r="1957" spans="1:8" x14ac:dyDescent="0.25">
      <c r="A1957" s="16">
        <v>42753</v>
      </c>
      <c r="B1957" s="17" t="s">
        <v>2301</v>
      </c>
      <c r="C1957" s="18">
        <v>97554</v>
      </c>
      <c r="D1957" s="2" t="s">
        <v>43</v>
      </c>
      <c r="E1957" s="15">
        <v>1192.8</v>
      </c>
      <c r="F1957" s="36" t="s">
        <v>224</v>
      </c>
      <c r="G1957" s="15">
        <v>1192.8</v>
      </c>
      <c r="H1957" s="15">
        <f t="shared" si="31"/>
        <v>0</v>
      </c>
    </row>
    <row r="1958" spans="1:8" x14ac:dyDescent="0.25">
      <c r="A1958" s="16">
        <v>42753</v>
      </c>
      <c r="B1958" s="17" t="s">
        <v>2302</v>
      </c>
      <c r="C1958" s="18">
        <v>97555</v>
      </c>
      <c r="D1958" s="2" t="s">
        <v>236</v>
      </c>
      <c r="E1958" s="15">
        <v>30564.6</v>
      </c>
      <c r="F1958" s="36" t="s">
        <v>2166</v>
      </c>
      <c r="G1958" s="15">
        <v>30564.6</v>
      </c>
      <c r="H1958" s="15">
        <f t="shared" si="31"/>
        <v>0</v>
      </c>
    </row>
    <row r="1959" spans="1:8" x14ac:dyDescent="0.25">
      <c r="A1959" s="16">
        <v>42753</v>
      </c>
      <c r="B1959" s="17" t="s">
        <v>2303</v>
      </c>
      <c r="C1959" s="18">
        <v>97556</v>
      </c>
      <c r="D1959" s="2" t="s">
        <v>412</v>
      </c>
      <c r="E1959" s="15">
        <v>5018</v>
      </c>
      <c r="F1959" s="36" t="s">
        <v>317</v>
      </c>
      <c r="G1959" s="15">
        <v>5018</v>
      </c>
      <c r="H1959" s="15">
        <f t="shared" si="31"/>
        <v>0</v>
      </c>
    </row>
    <row r="1960" spans="1:8" x14ac:dyDescent="0.25">
      <c r="A1960" s="16">
        <v>42753</v>
      </c>
      <c r="B1960" s="17" t="s">
        <v>2304</v>
      </c>
      <c r="C1960" s="18">
        <v>97557</v>
      </c>
      <c r="D1960" s="2" t="s">
        <v>71</v>
      </c>
      <c r="E1960" s="15">
        <v>1848</v>
      </c>
      <c r="F1960" s="36" t="s">
        <v>317</v>
      </c>
      <c r="G1960" s="15">
        <v>1848</v>
      </c>
      <c r="H1960" s="15">
        <f t="shared" si="31"/>
        <v>0</v>
      </c>
    </row>
    <row r="1961" spans="1:8" x14ac:dyDescent="0.25">
      <c r="A1961" s="16">
        <v>42753</v>
      </c>
      <c r="B1961" s="17" t="s">
        <v>2305</v>
      </c>
      <c r="C1961" s="18">
        <v>97558</v>
      </c>
      <c r="D1961" s="2" t="s">
        <v>47</v>
      </c>
      <c r="E1961" s="15">
        <v>3354</v>
      </c>
      <c r="F1961" s="36" t="s">
        <v>317</v>
      </c>
      <c r="G1961" s="15">
        <v>3354</v>
      </c>
      <c r="H1961" s="15">
        <f t="shared" si="31"/>
        <v>0</v>
      </c>
    </row>
    <row r="1962" spans="1:8" x14ac:dyDescent="0.25">
      <c r="A1962" s="16">
        <v>42753</v>
      </c>
      <c r="B1962" s="17" t="s">
        <v>2306</v>
      </c>
      <c r="C1962" s="18">
        <v>97559</v>
      </c>
      <c r="D1962" s="2" t="s">
        <v>85</v>
      </c>
      <c r="E1962" s="15">
        <v>3810.4</v>
      </c>
      <c r="F1962" s="36" t="s">
        <v>317</v>
      </c>
      <c r="G1962" s="15">
        <v>3810.4</v>
      </c>
      <c r="H1962" s="15">
        <f t="shared" si="31"/>
        <v>0</v>
      </c>
    </row>
    <row r="1963" spans="1:8" x14ac:dyDescent="0.25">
      <c r="A1963" s="16">
        <v>42753</v>
      </c>
      <c r="B1963" s="17" t="s">
        <v>2307</v>
      </c>
      <c r="C1963" s="18">
        <v>97560</v>
      </c>
      <c r="D1963" s="2" t="s">
        <v>30</v>
      </c>
      <c r="E1963" s="15">
        <v>3570</v>
      </c>
      <c r="F1963" s="36" t="s">
        <v>317</v>
      </c>
      <c r="G1963" s="15">
        <v>3570</v>
      </c>
      <c r="H1963" s="15">
        <f t="shared" si="31"/>
        <v>0</v>
      </c>
    </row>
    <row r="1964" spans="1:8" x14ac:dyDescent="0.25">
      <c r="A1964" s="16">
        <v>42753</v>
      </c>
      <c r="B1964" s="17" t="s">
        <v>2308</v>
      </c>
      <c r="C1964" s="18">
        <v>97561</v>
      </c>
      <c r="D1964" s="2" t="s">
        <v>270</v>
      </c>
      <c r="E1964" s="15">
        <v>36316.300000000003</v>
      </c>
      <c r="F1964" s="36" t="s">
        <v>1391</v>
      </c>
      <c r="G1964" s="15">
        <v>36316.300000000003</v>
      </c>
      <c r="H1964" s="15">
        <f t="shared" si="31"/>
        <v>0</v>
      </c>
    </row>
    <row r="1965" spans="1:8" x14ac:dyDescent="0.25">
      <c r="A1965" s="16">
        <v>42753</v>
      </c>
      <c r="B1965" s="17" t="s">
        <v>2309</v>
      </c>
      <c r="C1965" s="18">
        <v>97562</v>
      </c>
      <c r="D1965" s="2" t="s">
        <v>157</v>
      </c>
      <c r="E1965" s="15">
        <v>44024.52</v>
      </c>
      <c r="F1965" s="36" t="s">
        <v>317</v>
      </c>
      <c r="G1965" s="15">
        <v>44024.52</v>
      </c>
      <c r="H1965" s="15">
        <f t="shared" si="31"/>
        <v>0</v>
      </c>
    </row>
    <row r="1966" spans="1:8" x14ac:dyDescent="0.25">
      <c r="A1966" s="16">
        <v>42753</v>
      </c>
      <c r="B1966" s="17" t="s">
        <v>2310</v>
      </c>
      <c r="C1966" s="18">
        <v>97563</v>
      </c>
      <c r="D1966" s="2" t="s">
        <v>430</v>
      </c>
      <c r="E1966" s="15">
        <v>1760</v>
      </c>
      <c r="F1966" s="36" t="s">
        <v>317</v>
      </c>
      <c r="G1966" s="15">
        <v>1760</v>
      </c>
      <c r="H1966" s="15">
        <f t="shared" si="31"/>
        <v>0</v>
      </c>
    </row>
    <row r="1967" spans="1:8" x14ac:dyDescent="0.25">
      <c r="A1967" s="16">
        <v>42753</v>
      </c>
      <c r="B1967" s="17" t="s">
        <v>2311</v>
      </c>
      <c r="C1967" s="18">
        <v>97564</v>
      </c>
      <c r="D1967" s="2" t="s">
        <v>1090</v>
      </c>
      <c r="E1967" s="15">
        <v>7349.4</v>
      </c>
      <c r="F1967" s="36" t="s">
        <v>317</v>
      </c>
      <c r="G1967" s="15">
        <v>7349.4</v>
      </c>
      <c r="H1967" s="15">
        <f t="shared" si="31"/>
        <v>0</v>
      </c>
    </row>
    <row r="1968" spans="1:8" x14ac:dyDescent="0.25">
      <c r="A1968" s="16">
        <v>42753</v>
      </c>
      <c r="B1968" s="17" t="s">
        <v>2312</v>
      </c>
      <c r="C1968" s="18">
        <v>97565</v>
      </c>
      <c r="D1968" s="2" t="s">
        <v>30</v>
      </c>
      <c r="E1968" s="15">
        <v>317.39999999999998</v>
      </c>
      <c r="F1968" s="36" t="s">
        <v>317</v>
      </c>
      <c r="G1968" s="15">
        <v>317.39999999999998</v>
      </c>
      <c r="H1968" s="15">
        <f t="shared" si="31"/>
        <v>0</v>
      </c>
    </row>
    <row r="1969" spans="1:8" x14ac:dyDescent="0.25">
      <c r="A1969" s="16">
        <v>42753</v>
      </c>
      <c r="B1969" s="17" t="s">
        <v>2313</v>
      </c>
      <c r="C1969" s="18">
        <v>97566</v>
      </c>
      <c r="D1969" s="2" t="s">
        <v>590</v>
      </c>
      <c r="E1969" s="15">
        <v>2539</v>
      </c>
      <c r="F1969" s="36" t="s">
        <v>1539</v>
      </c>
      <c r="G1969" s="15">
        <v>2539</v>
      </c>
      <c r="H1969" s="15">
        <f t="shared" si="31"/>
        <v>0</v>
      </c>
    </row>
    <row r="1970" spans="1:8" x14ac:dyDescent="0.25">
      <c r="A1970" s="16">
        <v>42753</v>
      </c>
      <c r="B1970" s="17" t="s">
        <v>2314</v>
      </c>
      <c r="C1970" s="18">
        <v>97567</v>
      </c>
      <c r="D1970" s="2" t="s">
        <v>274</v>
      </c>
      <c r="E1970" s="15">
        <v>8561.4</v>
      </c>
      <c r="F1970" s="36" t="s">
        <v>1391</v>
      </c>
      <c r="G1970" s="15">
        <v>8561.4</v>
      </c>
      <c r="H1970" s="15">
        <f t="shared" si="31"/>
        <v>0</v>
      </c>
    </row>
    <row r="1971" spans="1:8" x14ac:dyDescent="0.25">
      <c r="A1971" s="16">
        <v>42753</v>
      </c>
      <c r="B1971" s="17" t="s">
        <v>2315</v>
      </c>
      <c r="C1971" s="18">
        <v>97568</v>
      </c>
      <c r="D1971" s="2" t="s">
        <v>268</v>
      </c>
      <c r="E1971" s="15">
        <v>745.2</v>
      </c>
      <c r="F1971" s="36" t="s">
        <v>1391</v>
      </c>
      <c r="G1971" s="15">
        <v>745.2</v>
      </c>
      <c r="H1971" s="15">
        <f t="shared" si="31"/>
        <v>0</v>
      </c>
    </row>
    <row r="1972" spans="1:8" x14ac:dyDescent="0.25">
      <c r="A1972" s="16">
        <v>42753</v>
      </c>
      <c r="B1972" s="17" t="s">
        <v>2316</v>
      </c>
      <c r="C1972" s="18">
        <v>97569</v>
      </c>
      <c r="D1972" s="2" t="s">
        <v>590</v>
      </c>
      <c r="E1972" s="15">
        <v>1854.3</v>
      </c>
      <c r="F1972" s="36" t="s">
        <v>1539</v>
      </c>
      <c r="G1972" s="15">
        <v>1854.3</v>
      </c>
      <c r="H1972" s="15">
        <f t="shared" si="31"/>
        <v>0</v>
      </c>
    </row>
    <row r="1973" spans="1:8" x14ac:dyDescent="0.25">
      <c r="A1973" s="16">
        <v>42753</v>
      </c>
      <c r="B1973" s="17" t="s">
        <v>2317</v>
      </c>
      <c r="C1973" s="18">
        <v>97570</v>
      </c>
      <c r="D1973" s="2" t="s">
        <v>149</v>
      </c>
      <c r="E1973" s="15">
        <v>1023</v>
      </c>
      <c r="F1973" s="36" t="s">
        <v>317</v>
      </c>
      <c r="G1973" s="15">
        <v>1023</v>
      </c>
      <c r="H1973" s="15">
        <f t="shared" si="31"/>
        <v>0</v>
      </c>
    </row>
    <row r="1974" spans="1:8" x14ac:dyDescent="0.25">
      <c r="A1974" s="16">
        <v>42753</v>
      </c>
      <c r="B1974" s="17" t="s">
        <v>2318</v>
      </c>
      <c r="C1974" s="18">
        <v>97571</v>
      </c>
      <c r="D1974" s="2" t="s">
        <v>149</v>
      </c>
      <c r="E1974" s="15">
        <v>1897.2</v>
      </c>
      <c r="F1974" s="36" t="s">
        <v>317</v>
      </c>
      <c r="G1974" s="15">
        <v>1897.2</v>
      </c>
      <c r="H1974" s="15">
        <f t="shared" si="31"/>
        <v>0</v>
      </c>
    </row>
    <row r="1975" spans="1:8" x14ac:dyDescent="0.25">
      <c r="A1975" s="16">
        <v>42753</v>
      </c>
      <c r="B1975" s="17" t="s">
        <v>2319</v>
      </c>
      <c r="C1975" s="18">
        <v>97572</v>
      </c>
      <c r="D1975" s="2" t="s">
        <v>1116</v>
      </c>
      <c r="E1975" s="15">
        <v>5357</v>
      </c>
      <c r="F1975" s="36" t="s">
        <v>224</v>
      </c>
      <c r="G1975" s="15">
        <v>5357</v>
      </c>
      <c r="H1975" s="15">
        <f t="shared" si="31"/>
        <v>0</v>
      </c>
    </row>
    <row r="1976" spans="1:8" x14ac:dyDescent="0.25">
      <c r="A1976" s="16">
        <v>42753</v>
      </c>
      <c r="B1976" s="17" t="s">
        <v>2320</v>
      </c>
      <c r="C1976" s="18">
        <v>97573</v>
      </c>
      <c r="D1976" s="2" t="s">
        <v>79</v>
      </c>
      <c r="E1976" s="15">
        <v>4530</v>
      </c>
      <c r="F1976" s="36" t="s">
        <v>317</v>
      </c>
      <c r="G1976" s="15">
        <v>4530</v>
      </c>
      <c r="H1976" s="15">
        <f t="shared" si="31"/>
        <v>0</v>
      </c>
    </row>
    <row r="1977" spans="1:8" x14ac:dyDescent="0.25">
      <c r="A1977" s="16">
        <v>42753</v>
      </c>
      <c r="B1977" s="17" t="s">
        <v>2321</v>
      </c>
      <c r="C1977" s="18">
        <v>97574</v>
      </c>
      <c r="D1977" s="13" t="s">
        <v>531</v>
      </c>
      <c r="E1977" s="14">
        <v>0</v>
      </c>
      <c r="F1977" s="123" t="s">
        <v>95</v>
      </c>
      <c r="G1977" s="14">
        <v>0</v>
      </c>
      <c r="H1977" s="14">
        <f t="shared" si="31"/>
        <v>0</v>
      </c>
    </row>
    <row r="1978" spans="1:8" x14ac:dyDescent="0.25">
      <c r="A1978" s="16">
        <v>42753</v>
      </c>
      <c r="B1978" s="17" t="s">
        <v>2322</v>
      </c>
      <c r="C1978" s="18">
        <v>97575</v>
      </c>
      <c r="D1978" s="2" t="s">
        <v>531</v>
      </c>
      <c r="E1978" s="15">
        <v>31128.13</v>
      </c>
      <c r="F1978" s="36" t="s">
        <v>224</v>
      </c>
      <c r="G1978" s="15">
        <v>31128.13</v>
      </c>
      <c r="H1978" s="15">
        <f t="shared" si="31"/>
        <v>0</v>
      </c>
    </row>
    <row r="1979" spans="1:8" x14ac:dyDescent="0.25">
      <c r="A1979" s="16">
        <v>42753</v>
      </c>
      <c r="B1979" s="17" t="s">
        <v>2323</v>
      </c>
      <c r="C1979" s="18">
        <v>97576</v>
      </c>
      <c r="D1979" s="2" t="s">
        <v>2054</v>
      </c>
      <c r="E1979" s="15">
        <v>4690.7</v>
      </c>
      <c r="F1979" s="36" t="s">
        <v>317</v>
      </c>
      <c r="G1979" s="15">
        <v>4690.7</v>
      </c>
      <c r="H1979" s="15">
        <f t="shared" si="31"/>
        <v>0</v>
      </c>
    </row>
    <row r="1980" spans="1:8" x14ac:dyDescent="0.25">
      <c r="A1980" s="16">
        <v>42753</v>
      </c>
      <c r="B1980" s="17" t="s">
        <v>2324</v>
      </c>
      <c r="C1980" s="18">
        <v>97577</v>
      </c>
      <c r="D1980" s="2" t="s">
        <v>10</v>
      </c>
      <c r="E1980" s="15">
        <v>5772.8</v>
      </c>
      <c r="F1980" s="36" t="s">
        <v>1539</v>
      </c>
      <c r="G1980" s="15">
        <v>5772.8</v>
      </c>
      <c r="H1980" s="15">
        <f t="shared" si="31"/>
        <v>0</v>
      </c>
    </row>
    <row r="1981" spans="1:8" x14ac:dyDescent="0.25">
      <c r="A1981" s="16">
        <v>42753</v>
      </c>
      <c r="B1981" s="17" t="s">
        <v>2325</v>
      </c>
      <c r="C1981" s="18">
        <v>97578</v>
      </c>
      <c r="D1981" s="2" t="s">
        <v>457</v>
      </c>
      <c r="E1981" s="15">
        <v>4808.2</v>
      </c>
      <c r="F1981" s="36" t="s">
        <v>317</v>
      </c>
      <c r="G1981" s="15">
        <v>4808.2</v>
      </c>
      <c r="H1981" s="15">
        <f t="shared" si="31"/>
        <v>0</v>
      </c>
    </row>
    <row r="1982" spans="1:8" x14ac:dyDescent="0.25">
      <c r="A1982" s="16">
        <v>42753</v>
      </c>
      <c r="B1982" s="17" t="s">
        <v>2326</v>
      </c>
      <c r="C1982" s="18">
        <v>97579</v>
      </c>
      <c r="D1982" s="2" t="s">
        <v>218</v>
      </c>
      <c r="E1982" s="15">
        <v>110572</v>
      </c>
      <c r="F1982" s="36" t="s">
        <v>307</v>
      </c>
      <c r="G1982" s="15">
        <v>110572</v>
      </c>
      <c r="H1982" s="15">
        <f t="shared" si="31"/>
        <v>0</v>
      </c>
    </row>
    <row r="1983" spans="1:8" x14ac:dyDescent="0.25">
      <c r="A1983" s="16">
        <v>42753</v>
      </c>
      <c r="B1983" s="17" t="s">
        <v>2327</v>
      </c>
      <c r="C1983" s="18">
        <v>97580</v>
      </c>
      <c r="D1983" s="2" t="s">
        <v>69</v>
      </c>
      <c r="E1983" s="15">
        <v>1853.4</v>
      </c>
      <c r="F1983" s="36" t="s">
        <v>317</v>
      </c>
      <c r="G1983" s="15">
        <v>1853.4</v>
      </c>
      <c r="H1983" s="15">
        <f t="shared" si="31"/>
        <v>0</v>
      </c>
    </row>
    <row r="1984" spans="1:8" x14ac:dyDescent="0.25">
      <c r="A1984" s="16">
        <v>42753</v>
      </c>
      <c r="B1984" s="17" t="s">
        <v>2328</v>
      </c>
      <c r="C1984" s="18">
        <v>97581</v>
      </c>
      <c r="D1984" s="2" t="s">
        <v>30</v>
      </c>
      <c r="E1984" s="15">
        <v>9082.7999999999993</v>
      </c>
      <c r="F1984" s="36" t="s">
        <v>317</v>
      </c>
      <c r="G1984" s="15">
        <v>9082.7999999999993</v>
      </c>
      <c r="H1984" s="15">
        <f t="shared" si="31"/>
        <v>0</v>
      </c>
    </row>
    <row r="1985" spans="1:8" x14ac:dyDescent="0.25">
      <c r="A1985" s="16">
        <v>42753</v>
      </c>
      <c r="B1985" s="17" t="s">
        <v>2329</v>
      </c>
      <c r="C1985" s="18">
        <v>97582</v>
      </c>
      <c r="D1985" s="2" t="s">
        <v>168</v>
      </c>
      <c r="E1985" s="15">
        <v>1338.8</v>
      </c>
      <c r="F1985" s="36" t="s">
        <v>317</v>
      </c>
      <c r="G1985" s="15">
        <v>1338.8</v>
      </c>
      <c r="H1985" s="15">
        <f t="shared" si="31"/>
        <v>0</v>
      </c>
    </row>
    <row r="1986" spans="1:8" x14ac:dyDescent="0.25">
      <c r="A1986" s="16">
        <v>42753</v>
      </c>
      <c r="B1986" s="17" t="s">
        <v>2330</v>
      </c>
      <c r="C1986" s="18">
        <v>97583</v>
      </c>
      <c r="D1986" s="2" t="s">
        <v>305</v>
      </c>
      <c r="E1986" s="15">
        <v>4409.3999999999996</v>
      </c>
      <c r="F1986" s="36" t="s">
        <v>224</v>
      </c>
      <c r="G1986" s="15">
        <v>4409.3999999999996</v>
      </c>
      <c r="H1986" s="15">
        <f t="shared" si="31"/>
        <v>0</v>
      </c>
    </row>
    <row r="1987" spans="1:8" x14ac:dyDescent="0.25">
      <c r="A1987" s="16">
        <v>42753</v>
      </c>
      <c r="B1987" s="17" t="s">
        <v>2331</v>
      </c>
      <c r="C1987" s="18">
        <v>97584</v>
      </c>
      <c r="D1987" s="2" t="s">
        <v>476</v>
      </c>
      <c r="E1987" s="15">
        <v>3898.4</v>
      </c>
      <c r="F1987" s="36" t="s">
        <v>224</v>
      </c>
      <c r="G1987" s="15">
        <v>3898.4</v>
      </c>
      <c r="H1987" s="15">
        <f t="shared" si="31"/>
        <v>0</v>
      </c>
    </row>
    <row r="1988" spans="1:8" x14ac:dyDescent="0.25">
      <c r="A1988" s="16">
        <v>42753</v>
      </c>
      <c r="B1988" s="17" t="s">
        <v>2332</v>
      </c>
      <c r="C1988" s="18">
        <v>97585</v>
      </c>
      <c r="D1988" s="2" t="s">
        <v>111</v>
      </c>
      <c r="E1988" s="15">
        <v>3101.4</v>
      </c>
      <c r="F1988" s="36" t="s">
        <v>317</v>
      </c>
      <c r="G1988" s="15">
        <v>3101.4</v>
      </c>
      <c r="H1988" s="15">
        <f t="shared" si="31"/>
        <v>0</v>
      </c>
    </row>
    <row r="1989" spans="1:8" x14ac:dyDescent="0.25">
      <c r="A1989" s="16">
        <v>42753</v>
      </c>
      <c r="B1989" s="17" t="s">
        <v>2333</v>
      </c>
      <c r="C1989" s="18">
        <v>97586</v>
      </c>
      <c r="D1989" s="2" t="s">
        <v>302</v>
      </c>
      <c r="E1989" s="15">
        <v>10757</v>
      </c>
      <c r="F1989" s="36" t="s">
        <v>317</v>
      </c>
      <c r="G1989" s="15">
        <v>10757</v>
      </c>
      <c r="H1989" s="15">
        <f t="shared" si="31"/>
        <v>0</v>
      </c>
    </row>
    <row r="1990" spans="1:8" x14ac:dyDescent="0.25">
      <c r="A1990" s="16">
        <v>42753</v>
      </c>
      <c r="B1990" s="17" t="s">
        <v>2334</v>
      </c>
      <c r="C1990" s="18">
        <v>97587</v>
      </c>
      <c r="D1990" s="2" t="s">
        <v>472</v>
      </c>
      <c r="E1990" s="15">
        <v>11042.8</v>
      </c>
      <c r="F1990" s="36" t="s">
        <v>317</v>
      </c>
      <c r="G1990" s="15">
        <v>11042.8</v>
      </c>
      <c r="H1990" s="15">
        <f t="shared" ref="H1990:H2053" si="32">E1990-G1990</f>
        <v>0</v>
      </c>
    </row>
    <row r="1991" spans="1:8" x14ac:dyDescent="0.25">
      <c r="A1991" s="16">
        <v>42753</v>
      </c>
      <c r="B1991" s="17" t="s">
        <v>2335</v>
      </c>
      <c r="C1991" s="18">
        <v>97588</v>
      </c>
      <c r="D1991" s="2" t="s">
        <v>159</v>
      </c>
      <c r="E1991" s="15">
        <v>5622.9</v>
      </c>
      <c r="F1991" s="36" t="s">
        <v>1539</v>
      </c>
      <c r="G1991" s="15">
        <v>5622.9</v>
      </c>
      <c r="H1991" s="15">
        <f t="shared" si="32"/>
        <v>0</v>
      </c>
    </row>
    <row r="1992" spans="1:8" x14ac:dyDescent="0.25">
      <c r="A1992" s="16">
        <v>42753</v>
      </c>
      <c r="B1992" s="17" t="s">
        <v>2336</v>
      </c>
      <c r="C1992" s="18">
        <v>97589</v>
      </c>
      <c r="D1992" s="2" t="s">
        <v>281</v>
      </c>
      <c r="E1992" s="15">
        <v>1040</v>
      </c>
      <c r="F1992" s="36" t="s">
        <v>224</v>
      </c>
      <c r="G1992" s="15">
        <v>1040</v>
      </c>
      <c r="H1992" s="15">
        <f t="shared" si="32"/>
        <v>0</v>
      </c>
    </row>
    <row r="1993" spans="1:8" x14ac:dyDescent="0.25">
      <c r="A1993" s="16">
        <v>42753</v>
      </c>
      <c r="B1993" s="17" t="s">
        <v>2337</v>
      </c>
      <c r="C1993" s="18">
        <v>97590</v>
      </c>
      <c r="D1993" s="2" t="s">
        <v>99</v>
      </c>
      <c r="E1993" s="15">
        <v>1380</v>
      </c>
      <c r="F1993" s="36" t="s">
        <v>224</v>
      </c>
      <c r="G1993" s="15">
        <v>1380</v>
      </c>
      <c r="H1993" s="15">
        <f t="shared" si="32"/>
        <v>0</v>
      </c>
    </row>
    <row r="1994" spans="1:8" x14ac:dyDescent="0.25">
      <c r="A1994" s="16">
        <v>42753</v>
      </c>
      <c r="B1994" s="17" t="s">
        <v>2338</v>
      </c>
      <c r="C1994" s="18">
        <v>97591</v>
      </c>
      <c r="D1994" s="2" t="s">
        <v>312</v>
      </c>
      <c r="E1994" s="15">
        <v>21552</v>
      </c>
      <c r="F1994" s="36" t="s">
        <v>313</v>
      </c>
      <c r="G1994" s="15">
        <v>21552</v>
      </c>
      <c r="H1994" s="15">
        <f t="shared" si="32"/>
        <v>0</v>
      </c>
    </row>
    <row r="1995" spans="1:8" x14ac:dyDescent="0.25">
      <c r="A1995" s="16">
        <v>42753</v>
      </c>
      <c r="B1995" s="17" t="s">
        <v>2339</v>
      </c>
      <c r="C1995" s="18">
        <v>97592</v>
      </c>
      <c r="D1995" s="2" t="s">
        <v>30</v>
      </c>
      <c r="E1995" s="15">
        <v>1063.8</v>
      </c>
      <c r="F1995" s="36" t="s">
        <v>224</v>
      </c>
      <c r="G1995" s="15">
        <v>1063.8</v>
      </c>
      <c r="H1995" s="15">
        <f t="shared" si="32"/>
        <v>0</v>
      </c>
    </row>
    <row r="1996" spans="1:8" x14ac:dyDescent="0.25">
      <c r="A1996" s="16">
        <v>42753</v>
      </c>
      <c r="B1996" s="17" t="s">
        <v>2340</v>
      </c>
      <c r="C1996" s="18">
        <v>97593</v>
      </c>
      <c r="D1996" s="2" t="s">
        <v>1269</v>
      </c>
      <c r="E1996" s="15">
        <v>5728.8</v>
      </c>
      <c r="F1996" s="36" t="s">
        <v>224</v>
      </c>
      <c r="G1996" s="15">
        <v>5728.8</v>
      </c>
      <c r="H1996" s="15">
        <f t="shared" si="32"/>
        <v>0</v>
      </c>
    </row>
    <row r="1997" spans="1:8" x14ac:dyDescent="0.25">
      <c r="A1997" s="16">
        <v>42753</v>
      </c>
      <c r="B1997" s="17" t="s">
        <v>2341</v>
      </c>
      <c r="C1997" s="18">
        <v>97594</v>
      </c>
      <c r="D1997" s="2" t="s">
        <v>293</v>
      </c>
      <c r="E1997" s="15">
        <v>280.60000000000002</v>
      </c>
      <c r="F1997" s="36" t="s">
        <v>224</v>
      </c>
      <c r="G1997" s="15">
        <v>280.60000000000002</v>
      </c>
      <c r="H1997" s="15">
        <f t="shared" si="32"/>
        <v>0</v>
      </c>
    </row>
    <row r="1998" spans="1:8" x14ac:dyDescent="0.25">
      <c r="A1998" s="16">
        <v>42753</v>
      </c>
      <c r="B1998" s="17" t="s">
        <v>2342</v>
      </c>
      <c r="C1998" s="18">
        <v>97595</v>
      </c>
      <c r="D1998" s="2" t="s">
        <v>105</v>
      </c>
      <c r="E1998" s="15">
        <v>513.20000000000005</v>
      </c>
      <c r="F1998" s="36" t="s">
        <v>224</v>
      </c>
      <c r="G1998" s="15">
        <v>513.20000000000005</v>
      </c>
      <c r="H1998" s="15">
        <f t="shared" si="32"/>
        <v>0</v>
      </c>
    </row>
    <row r="1999" spans="1:8" x14ac:dyDescent="0.25">
      <c r="A1999" s="16">
        <v>42753</v>
      </c>
      <c r="B1999" s="17" t="s">
        <v>2343</v>
      </c>
      <c r="C1999" s="18">
        <v>97596</v>
      </c>
      <c r="D1999" s="2" t="s">
        <v>450</v>
      </c>
      <c r="E1999" s="15">
        <v>3122.4</v>
      </c>
      <c r="F1999" s="36" t="s">
        <v>224</v>
      </c>
      <c r="G1999" s="15">
        <v>3122.4</v>
      </c>
      <c r="H1999" s="15">
        <f t="shared" si="32"/>
        <v>0</v>
      </c>
    </row>
    <row r="2000" spans="1:8" x14ac:dyDescent="0.25">
      <c r="A2000" s="16">
        <v>42753</v>
      </c>
      <c r="B2000" s="17" t="s">
        <v>2344</v>
      </c>
      <c r="C2000" s="18">
        <v>97597</v>
      </c>
      <c r="D2000" s="2" t="s">
        <v>83</v>
      </c>
      <c r="E2000" s="15">
        <v>5092.2</v>
      </c>
      <c r="F2000" s="36" t="s">
        <v>224</v>
      </c>
      <c r="G2000" s="15">
        <v>5092.2</v>
      </c>
      <c r="H2000" s="15">
        <f t="shared" si="32"/>
        <v>0</v>
      </c>
    </row>
    <row r="2001" spans="1:8" x14ac:dyDescent="0.25">
      <c r="A2001" s="16">
        <v>42753</v>
      </c>
      <c r="B2001" s="17" t="s">
        <v>2345</v>
      </c>
      <c r="C2001" s="18">
        <v>97598</v>
      </c>
      <c r="D2001" s="2" t="s">
        <v>83</v>
      </c>
      <c r="E2001" s="15">
        <v>648</v>
      </c>
      <c r="F2001" s="36" t="s">
        <v>224</v>
      </c>
      <c r="G2001" s="15">
        <v>648</v>
      </c>
      <c r="H2001" s="15">
        <f t="shared" si="32"/>
        <v>0</v>
      </c>
    </row>
    <row r="2002" spans="1:8" x14ac:dyDescent="0.25">
      <c r="A2002" s="16">
        <v>42753</v>
      </c>
      <c r="B2002" s="17" t="s">
        <v>2346</v>
      </c>
      <c r="C2002" s="18">
        <v>97599</v>
      </c>
      <c r="D2002" s="2" t="s">
        <v>1081</v>
      </c>
      <c r="E2002" s="15">
        <v>221</v>
      </c>
      <c r="F2002" s="36" t="s">
        <v>224</v>
      </c>
      <c r="G2002" s="15">
        <v>221</v>
      </c>
      <c r="H2002" s="15">
        <f t="shared" si="32"/>
        <v>0</v>
      </c>
    </row>
    <row r="2003" spans="1:8" x14ac:dyDescent="0.25">
      <c r="A2003" s="16">
        <v>42753</v>
      </c>
      <c r="B2003" s="17" t="s">
        <v>2347</v>
      </c>
      <c r="C2003" s="18">
        <v>97600</v>
      </c>
      <c r="D2003" s="2" t="s">
        <v>1259</v>
      </c>
      <c r="E2003" s="15">
        <v>1240.8</v>
      </c>
      <c r="F2003" s="36" t="s">
        <v>224</v>
      </c>
      <c r="G2003" s="15">
        <v>1240.8</v>
      </c>
      <c r="H2003" s="15">
        <f t="shared" si="32"/>
        <v>0</v>
      </c>
    </row>
    <row r="2004" spans="1:8" x14ac:dyDescent="0.25">
      <c r="A2004" s="16">
        <v>42753</v>
      </c>
      <c r="B2004" s="17" t="s">
        <v>2348</v>
      </c>
      <c r="C2004" s="18">
        <v>97601</v>
      </c>
      <c r="D2004" s="13" t="s">
        <v>92</v>
      </c>
      <c r="E2004" s="14">
        <v>0</v>
      </c>
      <c r="F2004" s="123" t="s">
        <v>95</v>
      </c>
      <c r="G2004" s="14">
        <v>0</v>
      </c>
      <c r="H2004" s="14">
        <f t="shared" si="32"/>
        <v>0</v>
      </c>
    </row>
    <row r="2005" spans="1:8" x14ac:dyDescent="0.25">
      <c r="A2005" s="16">
        <v>42753</v>
      </c>
      <c r="B2005" s="17" t="s">
        <v>2349</v>
      </c>
      <c r="C2005" s="18">
        <v>97602</v>
      </c>
      <c r="D2005" s="2" t="s">
        <v>92</v>
      </c>
      <c r="E2005" s="15">
        <v>1818</v>
      </c>
      <c r="F2005" s="36" t="s">
        <v>224</v>
      </c>
      <c r="G2005" s="15">
        <v>1818</v>
      </c>
      <c r="H2005" s="15">
        <f t="shared" si="32"/>
        <v>0</v>
      </c>
    </row>
    <row r="2006" spans="1:8" x14ac:dyDescent="0.25">
      <c r="A2006" s="16">
        <v>42753</v>
      </c>
      <c r="B2006" s="17" t="s">
        <v>2350</v>
      </c>
      <c r="C2006" s="18">
        <v>97603</v>
      </c>
      <c r="D2006" s="2" t="s">
        <v>103</v>
      </c>
      <c r="E2006" s="15">
        <v>3348</v>
      </c>
      <c r="F2006" s="36" t="s">
        <v>927</v>
      </c>
      <c r="G2006" s="15">
        <v>3348</v>
      </c>
      <c r="H2006" s="15">
        <f t="shared" si="32"/>
        <v>0</v>
      </c>
    </row>
    <row r="2007" spans="1:8" x14ac:dyDescent="0.25">
      <c r="A2007" s="16">
        <v>42753</v>
      </c>
      <c r="B2007" s="17" t="s">
        <v>2351</v>
      </c>
      <c r="C2007" s="18">
        <v>97604</v>
      </c>
      <c r="D2007" s="2" t="s">
        <v>721</v>
      </c>
      <c r="E2007" s="15">
        <v>3990.8</v>
      </c>
      <c r="F2007" s="36" t="s">
        <v>224</v>
      </c>
      <c r="G2007" s="15">
        <v>3990.8</v>
      </c>
      <c r="H2007" s="15">
        <f t="shared" si="32"/>
        <v>0</v>
      </c>
    </row>
    <row r="2008" spans="1:8" x14ac:dyDescent="0.25">
      <c r="A2008" s="16">
        <v>42753</v>
      </c>
      <c r="B2008" s="17" t="s">
        <v>2352</v>
      </c>
      <c r="C2008" s="18">
        <v>97605</v>
      </c>
      <c r="D2008" s="2" t="s">
        <v>81</v>
      </c>
      <c r="E2008" s="15">
        <v>12339.3</v>
      </c>
      <c r="F2008" s="36" t="s">
        <v>224</v>
      </c>
      <c r="G2008" s="15">
        <v>12339.3</v>
      </c>
      <c r="H2008" s="15">
        <f t="shared" si="32"/>
        <v>0</v>
      </c>
    </row>
    <row r="2009" spans="1:8" x14ac:dyDescent="0.25">
      <c r="A2009" s="16">
        <v>42753</v>
      </c>
      <c r="B2009" s="17" t="s">
        <v>2353</v>
      </c>
      <c r="C2009" s="18">
        <v>97606</v>
      </c>
      <c r="D2009" s="2" t="s">
        <v>88</v>
      </c>
      <c r="E2009" s="15">
        <v>6186.4</v>
      </c>
      <c r="F2009" s="36" t="s">
        <v>224</v>
      </c>
      <c r="G2009" s="15">
        <v>6186.4</v>
      </c>
      <c r="H2009" s="15">
        <f t="shared" si="32"/>
        <v>0</v>
      </c>
    </row>
    <row r="2010" spans="1:8" x14ac:dyDescent="0.25">
      <c r="A2010" s="16">
        <v>42753</v>
      </c>
      <c r="B2010" s="17" t="s">
        <v>2354</v>
      </c>
      <c r="C2010" s="18">
        <v>97607</v>
      </c>
      <c r="D2010" s="2" t="s">
        <v>492</v>
      </c>
      <c r="E2010" s="15">
        <v>21279.9</v>
      </c>
      <c r="F2010" s="36" t="s">
        <v>927</v>
      </c>
      <c r="G2010" s="15">
        <v>21279.9</v>
      </c>
      <c r="H2010" s="15">
        <f t="shared" si="32"/>
        <v>0</v>
      </c>
    </row>
    <row r="2011" spans="1:8" x14ac:dyDescent="0.25">
      <c r="A2011" s="16">
        <v>42753</v>
      </c>
      <c r="B2011" s="17" t="s">
        <v>2355</v>
      </c>
      <c r="C2011" s="18">
        <v>97608</v>
      </c>
      <c r="D2011" s="2" t="s">
        <v>109</v>
      </c>
      <c r="E2011" s="15">
        <v>5424.8</v>
      </c>
      <c r="F2011" s="36" t="s">
        <v>224</v>
      </c>
      <c r="G2011" s="15">
        <v>5424.8</v>
      </c>
      <c r="H2011" s="15">
        <f t="shared" si="32"/>
        <v>0</v>
      </c>
    </row>
    <row r="2012" spans="1:8" x14ac:dyDescent="0.25">
      <c r="A2012" s="16">
        <v>42753</v>
      </c>
      <c r="B2012" s="17" t="s">
        <v>2356</v>
      </c>
      <c r="C2012" s="18">
        <v>97609</v>
      </c>
      <c r="D2012" s="2" t="s">
        <v>94</v>
      </c>
      <c r="E2012" s="15">
        <v>1173</v>
      </c>
      <c r="F2012" s="36" t="s">
        <v>224</v>
      </c>
      <c r="G2012" s="15">
        <v>1173</v>
      </c>
      <c r="H2012" s="15">
        <f t="shared" si="32"/>
        <v>0</v>
      </c>
    </row>
    <row r="2013" spans="1:8" x14ac:dyDescent="0.25">
      <c r="A2013" s="16">
        <v>42753</v>
      </c>
      <c r="B2013" s="17" t="s">
        <v>2357</v>
      </c>
      <c r="C2013" s="18">
        <v>97610</v>
      </c>
      <c r="D2013" s="2" t="s">
        <v>103</v>
      </c>
      <c r="E2013" s="15">
        <v>163.4</v>
      </c>
      <c r="F2013" s="36" t="s">
        <v>927</v>
      </c>
      <c r="G2013" s="15">
        <v>163.4</v>
      </c>
      <c r="H2013" s="15">
        <f t="shared" si="32"/>
        <v>0</v>
      </c>
    </row>
    <row r="2014" spans="1:8" x14ac:dyDescent="0.25">
      <c r="A2014" s="16">
        <v>42753</v>
      </c>
      <c r="B2014" s="17" t="s">
        <v>2358</v>
      </c>
      <c r="C2014" s="18">
        <v>97611</v>
      </c>
      <c r="D2014" s="2" t="s">
        <v>19</v>
      </c>
      <c r="E2014" s="15">
        <v>1150</v>
      </c>
      <c r="F2014" s="36" t="s">
        <v>224</v>
      </c>
      <c r="G2014" s="15">
        <v>1150</v>
      </c>
      <c r="H2014" s="15">
        <f t="shared" si="32"/>
        <v>0</v>
      </c>
    </row>
    <row r="2015" spans="1:8" x14ac:dyDescent="0.25">
      <c r="A2015" s="16">
        <v>42753</v>
      </c>
      <c r="B2015" s="17" t="s">
        <v>2359</v>
      </c>
      <c r="C2015" s="18">
        <v>97612</v>
      </c>
      <c r="D2015" s="13" t="s">
        <v>115</v>
      </c>
      <c r="E2015" s="14">
        <v>0</v>
      </c>
      <c r="F2015" s="123" t="s">
        <v>95</v>
      </c>
      <c r="G2015" s="14">
        <v>0</v>
      </c>
      <c r="H2015" s="14">
        <f t="shared" si="32"/>
        <v>0</v>
      </c>
    </row>
    <row r="2016" spans="1:8" x14ac:dyDescent="0.25">
      <c r="A2016" s="16">
        <v>42753</v>
      </c>
      <c r="B2016" s="17" t="s">
        <v>2360</v>
      </c>
      <c r="C2016" s="18">
        <v>97613</v>
      </c>
      <c r="D2016" s="13" t="s">
        <v>115</v>
      </c>
      <c r="E2016" s="14">
        <v>0</v>
      </c>
      <c r="F2016" s="123" t="s">
        <v>95</v>
      </c>
      <c r="G2016" s="14">
        <v>0</v>
      </c>
      <c r="H2016" s="14">
        <f t="shared" si="32"/>
        <v>0</v>
      </c>
    </row>
    <row r="2017" spans="1:8" x14ac:dyDescent="0.25">
      <c r="A2017" s="16">
        <v>42753</v>
      </c>
      <c r="B2017" s="17" t="s">
        <v>2361</v>
      </c>
      <c r="C2017" s="18">
        <v>97614</v>
      </c>
      <c r="D2017" s="13" t="s">
        <v>115</v>
      </c>
      <c r="E2017" s="14">
        <v>0</v>
      </c>
      <c r="F2017" s="123" t="s">
        <v>95</v>
      </c>
      <c r="G2017" s="14">
        <v>0</v>
      </c>
      <c r="H2017" s="14">
        <f t="shared" si="32"/>
        <v>0</v>
      </c>
    </row>
    <row r="2018" spans="1:8" x14ac:dyDescent="0.25">
      <c r="A2018" s="16">
        <v>42753</v>
      </c>
      <c r="B2018" s="17" t="s">
        <v>2362</v>
      </c>
      <c r="C2018" s="18">
        <v>97615</v>
      </c>
      <c r="D2018" s="2" t="s">
        <v>341</v>
      </c>
      <c r="E2018" s="15">
        <v>9043.2000000000007</v>
      </c>
      <c r="F2018" s="36" t="s">
        <v>317</v>
      </c>
      <c r="G2018" s="15">
        <v>9043.2000000000007</v>
      </c>
      <c r="H2018" s="15">
        <f t="shared" si="32"/>
        <v>0</v>
      </c>
    </row>
    <row r="2019" spans="1:8" x14ac:dyDescent="0.25">
      <c r="A2019" s="16">
        <v>42753</v>
      </c>
      <c r="B2019" s="17" t="s">
        <v>2363</v>
      </c>
      <c r="C2019" s="18">
        <v>97616</v>
      </c>
      <c r="D2019" s="2" t="s">
        <v>285</v>
      </c>
      <c r="E2019" s="15">
        <v>36538.92</v>
      </c>
      <c r="F2019" s="124" t="s">
        <v>2364</v>
      </c>
      <c r="G2019" s="20">
        <f>603+35935.92</f>
        <v>36538.92</v>
      </c>
      <c r="H2019" s="20">
        <f t="shared" si="32"/>
        <v>0</v>
      </c>
    </row>
    <row r="2020" spans="1:8" x14ac:dyDescent="0.25">
      <c r="A2020" s="16">
        <v>42753</v>
      </c>
      <c r="B2020" s="17" t="s">
        <v>2365</v>
      </c>
      <c r="C2020" s="18">
        <v>97617</v>
      </c>
      <c r="D2020" s="2" t="s">
        <v>188</v>
      </c>
      <c r="E2020" s="15">
        <v>3806</v>
      </c>
      <c r="F2020" s="36" t="s">
        <v>224</v>
      </c>
      <c r="G2020" s="15">
        <v>3806</v>
      </c>
      <c r="H2020" s="15">
        <f t="shared" si="32"/>
        <v>0</v>
      </c>
    </row>
    <row r="2021" spans="1:8" x14ac:dyDescent="0.25">
      <c r="A2021" s="16">
        <v>42753</v>
      </c>
      <c r="B2021" s="17" t="s">
        <v>2366</v>
      </c>
      <c r="C2021" s="18">
        <v>97618</v>
      </c>
      <c r="D2021" s="2" t="s">
        <v>909</v>
      </c>
      <c r="E2021" s="15">
        <v>3865.5</v>
      </c>
      <c r="F2021" s="36" t="s">
        <v>224</v>
      </c>
      <c r="G2021" s="15">
        <v>3865.5</v>
      </c>
      <c r="H2021" s="15">
        <f t="shared" si="32"/>
        <v>0</v>
      </c>
    </row>
    <row r="2022" spans="1:8" x14ac:dyDescent="0.25">
      <c r="A2022" s="16">
        <v>42753</v>
      </c>
      <c r="B2022" s="17" t="s">
        <v>2367</v>
      </c>
      <c r="C2022" s="18">
        <v>97619</v>
      </c>
      <c r="D2022" s="2" t="s">
        <v>61</v>
      </c>
      <c r="E2022" s="15">
        <v>10860.6</v>
      </c>
      <c r="F2022" s="36" t="s">
        <v>224</v>
      </c>
      <c r="G2022" s="15">
        <v>10860.6</v>
      </c>
      <c r="H2022" s="15">
        <f t="shared" si="32"/>
        <v>0</v>
      </c>
    </row>
    <row r="2023" spans="1:8" x14ac:dyDescent="0.25">
      <c r="A2023" s="16">
        <v>42753</v>
      </c>
      <c r="B2023" s="17" t="s">
        <v>2368</v>
      </c>
      <c r="C2023" s="18">
        <v>97620</v>
      </c>
      <c r="D2023" s="2" t="s">
        <v>793</v>
      </c>
      <c r="E2023" s="15">
        <v>1711.5</v>
      </c>
      <c r="F2023" s="36" t="s">
        <v>224</v>
      </c>
      <c r="G2023" s="15">
        <v>1711.5</v>
      </c>
      <c r="H2023" s="15">
        <f t="shared" si="32"/>
        <v>0</v>
      </c>
    </row>
    <row r="2024" spans="1:8" x14ac:dyDescent="0.25">
      <c r="A2024" s="16">
        <v>42753</v>
      </c>
      <c r="B2024" s="17" t="s">
        <v>2369</v>
      </c>
      <c r="C2024" s="18">
        <v>97621</v>
      </c>
      <c r="D2024" s="2" t="s">
        <v>57</v>
      </c>
      <c r="E2024" s="15">
        <v>552</v>
      </c>
      <c r="F2024" s="36" t="s">
        <v>224</v>
      </c>
      <c r="G2024" s="15">
        <v>552</v>
      </c>
      <c r="H2024" s="15">
        <f t="shared" si="32"/>
        <v>0</v>
      </c>
    </row>
    <row r="2025" spans="1:8" x14ac:dyDescent="0.25">
      <c r="A2025" s="16">
        <v>42753</v>
      </c>
      <c r="B2025" s="17" t="s">
        <v>2370</v>
      </c>
      <c r="C2025" s="18">
        <v>97622</v>
      </c>
      <c r="D2025" s="2" t="s">
        <v>184</v>
      </c>
      <c r="E2025" s="15">
        <v>1552.8</v>
      </c>
      <c r="F2025" s="36" t="s">
        <v>224</v>
      </c>
      <c r="G2025" s="15">
        <v>1552.8</v>
      </c>
      <c r="H2025" s="15">
        <f t="shared" si="32"/>
        <v>0</v>
      </c>
    </row>
    <row r="2026" spans="1:8" x14ac:dyDescent="0.25">
      <c r="A2026" s="16">
        <v>42753</v>
      </c>
      <c r="B2026" s="17" t="s">
        <v>2371</v>
      </c>
      <c r="C2026" s="18">
        <v>97623</v>
      </c>
      <c r="D2026" s="2" t="s">
        <v>63</v>
      </c>
      <c r="E2026" s="15">
        <v>1047.5999999999999</v>
      </c>
      <c r="F2026" s="36" t="s">
        <v>224</v>
      </c>
      <c r="G2026" s="15">
        <v>1047.5999999999999</v>
      </c>
      <c r="H2026" s="15">
        <f t="shared" si="32"/>
        <v>0</v>
      </c>
    </row>
    <row r="2027" spans="1:8" x14ac:dyDescent="0.25">
      <c r="A2027" s="16">
        <v>42753</v>
      </c>
      <c r="B2027" s="17" t="s">
        <v>2372</v>
      </c>
      <c r="C2027" s="18">
        <v>97624</v>
      </c>
      <c r="D2027" s="2" t="s">
        <v>45</v>
      </c>
      <c r="E2027" s="15">
        <v>2227.1999999999998</v>
      </c>
      <c r="F2027" s="36" t="s">
        <v>224</v>
      </c>
      <c r="G2027" s="15">
        <v>2227.1999999999998</v>
      </c>
      <c r="H2027" s="15">
        <f t="shared" si="32"/>
        <v>0</v>
      </c>
    </row>
    <row r="2028" spans="1:8" x14ac:dyDescent="0.25">
      <c r="A2028" s="16">
        <v>42753</v>
      </c>
      <c r="B2028" s="17" t="s">
        <v>2373</v>
      </c>
      <c r="C2028" s="18">
        <v>97625</v>
      </c>
      <c r="D2028" s="2" t="s">
        <v>115</v>
      </c>
      <c r="E2028" s="15">
        <v>11134.55</v>
      </c>
      <c r="F2028" s="36" t="s">
        <v>1391</v>
      </c>
      <c r="G2028" s="15">
        <v>11134.55</v>
      </c>
      <c r="H2028" s="15">
        <f t="shared" si="32"/>
        <v>0</v>
      </c>
    </row>
    <row r="2029" spans="1:8" x14ac:dyDescent="0.25">
      <c r="A2029" s="16">
        <v>42753</v>
      </c>
      <c r="B2029" s="17" t="s">
        <v>2374</v>
      </c>
      <c r="C2029" s="18">
        <v>97626</v>
      </c>
      <c r="D2029" s="2" t="s">
        <v>53</v>
      </c>
      <c r="E2029" s="15">
        <v>1978</v>
      </c>
      <c r="F2029" s="36" t="s">
        <v>224</v>
      </c>
      <c r="G2029" s="15">
        <v>1978</v>
      </c>
      <c r="H2029" s="15">
        <f t="shared" si="32"/>
        <v>0</v>
      </c>
    </row>
    <row r="2030" spans="1:8" x14ac:dyDescent="0.25">
      <c r="A2030" s="16">
        <v>42753</v>
      </c>
      <c r="B2030" s="17" t="s">
        <v>2375</v>
      </c>
      <c r="C2030" s="18">
        <v>97627</v>
      </c>
      <c r="D2030" s="2" t="s">
        <v>480</v>
      </c>
      <c r="E2030" s="15">
        <v>1911.76</v>
      </c>
      <c r="F2030" s="36" t="s">
        <v>224</v>
      </c>
      <c r="G2030" s="15">
        <v>1911.76</v>
      </c>
      <c r="H2030" s="15">
        <f t="shared" si="32"/>
        <v>0</v>
      </c>
    </row>
    <row r="2031" spans="1:8" x14ac:dyDescent="0.25">
      <c r="A2031" s="16">
        <v>42753</v>
      </c>
      <c r="B2031" s="17" t="s">
        <v>2376</v>
      </c>
      <c r="C2031" s="18">
        <v>97628</v>
      </c>
      <c r="D2031" s="2" t="s">
        <v>428</v>
      </c>
      <c r="E2031" s="15">
        <v>1097.5999999999999</v>
      </c>
      <c r="F2031" s="36" t="s">
        <v>336</v>
      </c>
      <c r="G2031" s="15">
        <v>1097.5999999999999</v>
      </c>
      <c r="H2031" s="15">
        <f t="shared" si="32"/>
        <v>0</v>
      </c>
    </row>
    <row r="2032" spans="1:8" x14ac:dyDescent="0.25">
      <c r="A2032" s="16">
        <v>42753</v>
      </c>
      <c r="B2032" s="17" t="s">
        <v>2377</v>
      </c>
      <c r="C2032" s="18">
        <v>97629</v>
      </c>
      <c r="D2032" s="2" t="s">
        <v>1299</v>
      </c>
      <c r="E2032" s="15">
        <v>3358.3</v>
      </c>
      <c r="F2032" s="36" t="s">
        <v>317</v>
      </c>
      <c r="G2032" s="15">
        <v>3358.3</v>
      </c>
      <c r="H2032" s="15">
        <f t="shared" si="32"/>
        <v>0</v>
      </c>
    </row>
    <row r="2033" spans="1:8" x14ac:dyDescent="0.25">
      <c r="A2033" s="16">
        <v>42753</v>
      </c>
      <c r="B2033" s="17" t="s">
        <v>2378</v>
      </c>
      <c r="C2033" s="18">
        <v>97630</v>
      </c>
      <c r="D2033" s="2" t="s">
        <v>360</v>
      </c>
      <c r="E2033" s="15">
        <v>68505.78</v>
      </c>
      <c r="F2033" s="36" t="s">
        <v>361</v>
      </c>
      <c r="G2033" s="15">
        <v>68505.78</v>
      </c>
      <c r="H2033" s="15">
        <f t="shared" si="32"/>
        <v>0</v>
      </c>
    </row>
    <row r="2034" spans="1:8" x14ac:dyDescent="0.25">
      <c r="A2034" s="16">
        <v>42753</v>
      </c>
      <c r="B2034" s="17" t="s">
        <v>2379</v>
      </c>
      <c r="C2034" s="18">
        <v>97631</v>
      </c>
      <c r="D2034" s="2" t="s">
        <v>879</v>
      </c>
      <c r="E2034" s="15">
        <v>349.2</v>
      </c>
      <c r="F2034" s="36" t="s">
        <v>317</v>
      </c>
      <c r="G2034" s="15">
        <v>349.2</v>
      </c>
      <c r="H2034" s="15">
        <f t="shared" si="32"/>
        <v>0</v>
      </c>
    </row>
    <row r="2035" spans="1:8" x14ac:dyDescent="0.25">
      <c r="A2035" s="16">
        <v>42753</v>
      </c>
      <c r="B2035" s="17" t="s">
        <v>2380</v>
      </c>
      <c r="C2035" s="18">
        <v>97632</v>
      </c>
      <c r="D2035" s="2" t="s">
        <v>459</v>
      </c>
      <c r="E2035" s="15">
        <v>2129.8000000000002</v>
      </c>
      <c r="F2035" s="36" t="s">
        <v>317</v>
      </c>
      <c r="G2035" s="15">
        <v>2129.8000000000002</v>
      </c>
      <c r="H2035" s="15">
        <f t="shared" si="32"/>
        <v>0</v>
      </c>
    </row>
    <row r="2036" spans="1:8" x14ac:dyDescent="0.25">
      <c r="A2036" s="16">
        <v>42753</v>
      </c>
      <c r="B2036" s="17" t="s">
        <v>2381</v>
      </c>
      <c r="C2036" s="18">
        <v>97633</v>
      </c>
      <c r="D2036" s="2" t="s">
        <v>155</v>
      </c>
      <c r="E2036" s="15">
        <v>27403.5</v>
      </c>
      <c r="F2036" s="36" t="s">
        <v>927</v>
      </c>
      <c r="G2036" s="15">
        <v>27403.5</v>
      </c>
      <c r="H2036" s="15">
        <f t="shared" si="32"/>
        <v>0</v>
      </c>
    </row>
    <row r="2037" spans="1:8" x14ac:dyDescent="0.25">
      <c r="A2037" s="16">
        <v>42753</v>
      </c>
      <c r="B2037" s="17" t="s">
        <v>2382</v>
      </c>
      <c r="C2037" s="18">
        <v>97634</v>
      </c>
      <c r="D2037" s="2" t="s">
        <v>10</v>
      </c>
      <c r="E2037" s="15">
        <v>3161.6</v>
      </c>
      <c r="F2037" s="36" t="s">
        <v>1539</v>
      </c>
      <c r="G2037" s="15">
        <v>3161.6</v>
      </c>
      <c r="H2037" s="15">
        <f t="shared" si="32"/>
        <v>0</v>
      </c>
    </row>
    <row r="2038" spans="1:8" x14ac:dyDescent="0.25">
      <c r="A2038" s="16">
        <v>42753</v>
      </c>
      <c r="B2038" s="17" t="s">
        <v>2383</v>
      </c>
      <c r="C2038" s="18">
        <v>97635</v>
      </c>
      <c r="D2038" s="2" t="s">
        <v>172</v>
      </c>
      <c r="E2038" s="15">
        <v>20909.7</v>
      </c>
      <c r="F2038" s="36" t="s">
        <v>2384</v>
      </c>
      <c r="G2038" s="15">
        <v>20909.7</v>
      </c>
      <c r="H2038" s="15">
        <f t="shared" si="32"/>
        <v>0</v>
      </c>
    </row>
    <row r="2039" spans="1:8" x14ac:dyDescent="0.25">
      <c r="A2039" s="16">
        <v>42753</v>
      </c>
      <c r="B2039" s="17" t="s">
        <v>2385</v>
      </c>
      <c r="C2039" s="18">
        <v>97636</v>
      </c>
      <c r="D2039" s="2" t="s">
        <v>145</v>
      </c>
      <c r="E2039" s="15">
        <v>17538.400000000001</v>
      </c>
      <c r="F2039" s="36" t="s">
        <v>224</v>
      </c>
      <c r="G2039" s="15">
        <v>17538.400000000001</v>
      </c>
      <c r="H2039" s="15">
        <f t="shared" si="32"/>
        <v>0</v>
      </c>
    </row>
    <row r="2040" spans="1:8" x14ac:dyDescent="0.25">
      <c r="A2040" s="16">
        <v>42753</v>
      </c>
      <c r="B2040" s="17" t="s">
        <v>2386</v>
      </c>
      <c r="C2040" s="18">
        <v>97637</v>
      </c>
      <c r="D2040" s="2" t="s">
        <v>165</v>
      </c>
      <c r="E2040" s="15">
        <v>6464.7</v>
      </c>
      <c r="F2040" s="36" t="s">
        <v>765</v>
      </c>
      <c r="G2040" s="15">
        <v>6464.7</v>
      </c>
      <c r="H2040" s="15">
        <f t="shared" si="32"/>
        <v>0</v>
      </c>
    </row>
    <row r="2041" spans="1:8" x14ac:dyDescent="0.25">
      <c r="A2041" s="16">
        <v>42753</v>
      </c>
      <c r="B2041" s="17" t="s">
        <v>2387</v>
      </c>
      <c r="C2041" s="18">
        <v>97638</v>
      </c>
      <c r="D2041" s="2" t="s">
        <v>163</v>
      </c>
      <c r="E2041" s="15">
        <v>2893.5</v>
      </c>
      <c r="F2041" s="36" t="s">
        <v>765</v>
      </c>
      <c r="G2041" s="15">
        <v>2893.5</v>
      </c>
      <c r="H2041" s="15">
        <f t="shared" si="32"/>
        <v>0</v>
      </c>
    </row>
    <row r="2042" spans="1:8" x14ac:dyDescent="0.25">
      <c r="A2042" s="16">
        <v>42753</v>
      </c>
      <c r="B2042" s="17" t="s">
        <v>2388</v>
      </c>
      <c r="C2042" s="18">
        <v>97639</v>
      </c>
      <c r="D2042" s="2" t="s">
        <v>161</v>
      </c>
      <c r="E2042" s="15">
        <v>31410.5</v>
      </c>
      <c r="F2042" s="36" t="s">
        <v>765</v>
      </c>
      <c r="G2042" s="15">
        <v>31410.5</v>
      </c>
      <c r="H2042" s="15">
        <f t="shared" si="32"/>
        <v>0</v>
      </c>
    </row>
    <row r="2043" spans="1:8" x14ac:dyDescent="0.25">
      <c r="A2043" s="16">
        <v>42753</v>
      </c>
      <c r="B2043" s="17" t="s">
        <v>2389</v>
      </c>
      <c r="C2043" s="18">
        <v>97640</v>
      </c>
      <c r="D2043" s="2" t="s">
        <v>465</v>
      </c>
      <c r="E2043" s="15">
        <v>4478.3</v>
      </c>
      <c r="F2043" s="36" t="s">
        <v>166</v>
      </c>
      <c r="G2043" s="15">
        <v>4478.3</v>
      </c>
      <c r="H2043" s="15">
        <f t="shared" si="32"/>
        <v>0</v>
      </c>
    </row>
    <row r="2044" spans="1:8" x14ac:dyDescent="0.25">
      <c r="A2044" s="16">
        <v>42753</v>
      </c>
      <c r="B2044" s="17" t="s">
        <v>2390</v>
      </c>
      <c r="C2044" s="18">
        <v>97641</v>
      </c>
      <c r="D2044" s="2" t="s">
        <v>1160</v>
      </c>
      <c r="E2044" s="15">
        <v>1230</v>
      </c>
      <c r="F2044" s="36" t="s">
        <v>224</v>
      </c>
      <c r="G2044" s="15">
        <v>1230</v>
      </c>
      <c r="H2044" s="15">
        <f t="shared" si="32"/>
        <v>0</v>
      </c>
    </row>
    <row r="2045" spans="1:8" x14ac:dyDescent="0.25">
      <c r="A2045" s="16">
        <v>42753</v>
      </c>
      <c r="B2045" s="17" t="s">
        <v>2391</v>
      </c>
      <c r="C2045" s="18">
        <v>97642</v>
      </c>
      <c r="D2045" s="2" t="s">
        <v>2392</v>
      </c>
      <c r="E2045" s="15">
        <v>1651.4</v>
      </c>
      <c r="F2045" s="36" t="s">
        <v>224</v>
      </c>
      <c r="G2045" s="15">
        <v>1651.4</v>
      </c>
      <c r="H2045" s="15">
        <f t="shared" si="32"/>
        <v>0</v>
      </c>
    </row>
    <row r="2046" spans="1:8" x14ac:dyDescent="0.25">
      <c r="A2046" s="16">
        <v>42753</v>
      </c>
      <c r="B2046" s="17" t="s">
        <v>2393</v>
      </c>
      <c r="C2046" s="18">
        <v>97643</v>
      </c>
      <c r="D2046" s="2" t="s">
        <v>277</v>
      </c>
      <c r="E2046" s="15">
        <v>3072.6</v>
      </c>
      <c r="F2046" s="36" t="s">
        <v>224</v>
      </c>
      <c r="G2046" s="15">
        <v>3072.6</v>
      </c>
      <c r="H2046" s="15">
        <f t="shared" si="32"/>
        <v>0</v>
      </c>
    </row>
    <row r="2047" spans="1:8" x14ac:dyDescent="0.25">
      <c r="A2047" s="16">
        <v>42753</v>
      </c>
      <c r="B2047" s="17" t="s">
        <v>2394</v>
      </c>
      <c r="C2047" s="18">
        <v>97644</v>
      </c>
      <c r="D2047" s="2" t="s">
        <v>693</v>
      </c>
      <c r="E2047" s="15">
        <v>21368</v>
      </c>
      <c r="F2047" s="36" t="s">
        <v>166</v>
      </c>
      <c r="G2047" s="15">
        <v>21368</v>
      </c>
      <c r="H2047" s="15">
        <f t="shared" si="32"/>
        <v>0</v>
      </c>
    </row>
    <row r="2048" spans="1:8" x14ac:dyDescent="0.25">
      <c r="A2048" s="16">
        <v>42753</v>
      </c>
      <c r="B2048" s="17" t="s">
        <v>2395</v>
      </c>
      <c r="C2048" s="18">
        <v>97645</v>
      </c>
      <c r="D2048" s="2" t="s">
        <v>468</v>
      </c>
      <c r="E2048" s="15">
        <v>18264.8</v>
      </c>
      <c r="F2048" s="36" t="s">
        <v>1173</v>
      </c>
      <c r="G2048" s="15">
        <v>18264.8</v>
      </c>
      <c r="H2048" s="15">
        <f t="shared" si="32"/>
        <v>0</v>
      </c>
    </row>
    <row r="2049" spans="1:8" x14ac:dyDescent="0.25">
      <c r="A2049" s="16">
        <v>42753</v>
      </c>
      <c r="B2049" s="17" t="s">
        <v>2396</v>
      </c>
      <c r="C2049" s="18">
        <v>97646</v>
      </c>
      <c r="D2049" s="2" t="s">
        <v>30</v>
      </c>
      <c r="E2049" s="15">
        <v>2879.6</v>
      </c>
      <c r="F2049" s="36" t="s">
        <v>317</v>
      </c>
      <c r="G2049" s="15">
        <v>2879.6</v>
      </c>
      <c r="H2049" s="15">
        <f t="shared" si="32"/>
        <v>0</v>
      </c>
    </row>
    <row r="2050" spans="1:8" x14ac:dyDescent="0.25">
      <c r="A2050" s="16">
        <v>42753</v>
      </c>
      <c r="B2050" s="17" t="s">
        <v>2397</v>
      </c>
      <c r="C2050" s="18">
        <v>97647</v>
      </c>
      <c r="D2050" s="13" t="s">
        <v>122</v>
      </c>
      <c r="E2050" s="14">
        <v>0</v>
      </c>
      <c r="F2050" s="123" t="s">
        <v>95</v>
      </c>
      <c r="G2050" s="14">
        <v>0</v>
      </c>
      <c r="H2050" s="14">
        <f t="shared" si="32"/>
        <v>0</v>
      </c>
    </row>
    <row r="2051" spans="1:8" x14ac:dyDescent="0.25">
      <c r="A2051" s="16">
        <v>42753</v>
      </c>
      <c r="B2051" s="17" t="s">
        <v>2398</v>
      </c>
      <c r="C2051" s="18">
        <v>97648</v>
      </c>
      <c r="D2051" s="2" t="s">
        <v>122</v>
      </c>
      <c r="E2051" s="15">
        <v>11668.8</v>
      </c>
      <c r="F2051" s="36" t="s">
        <v>1173</v>
      </c>
      <c r="G2051" s="15">
        <v>11668.8</v>
      </c>
      <c r="H2051" s="15">
        <f t="shared" si="32"/>
        <v>0</v>
      </c>
    </row>
    <row r="2052" spans="1:8" x14ac:dyDescent="0.25">
      <c r="A2052" s="16">
        <v>42753</v>
      </c>
      <c r="B2052" s="17" t="s">
        <v>2399</v>
      </c>
      <c r="C2052" s="18">
        <v>97649</v>
      </c>
      <c r="D2052" s="2" t="s">
        <v>630</v>
      </c>
      <c r="E2052" s="15">
        <v>4208.45</v>
      </c>
      <c r="F2052" s="36" t="s">
        <v>224</v>
      </c>
      <c r="G2052" s="15">
        <v>4208.45</v>
      </c>
      <c r="H2052" s="15">
        <f t="shared" si="32"/>
        <v>0</v>
      </c>
    </row>
    <row r="2053" spans="1:8" x14ac:dyDescent="0.25">
      <c r="A2053" s="16">
        <v>42753</v>
      </c>
      <c r="B2053" s="17" t="s">
        <v>2400</v>
      </c>
      <c r="C2053" s="18">
        <v>97650</v>
      </c>
      <c r="D2053" s="2" t="s">
        <v>352</v>
      </c>
      <c r="E2053" s="15">
        <v>2061.4</v>
      </c>
      <c r="F2053" s="36" t="s">
        <v>317</v>
      </c>
      <c r="G2053" s="15">
        <v>2061.4</v>
      </c>
      <c r="H2053" s="15">
        <f t="shared" si="32"/>
        <v>0</v>
      </c>
    </row>
    <row r="2054" spans="1:8" x14ac:dyDescent="0.25">
      <c r="A2054" s="16">
        <v>42753</v>
      </c>
      <c r="B2054" s="17" t="s">
        <v>2401</v>
      </c>
      <c r="C2054" s="18">
        <v>97651</v>
      </c>
      <c r="D2054" s="2" t="s">
        <v>528</v>
      </c>
      <c r="E2054" s="15">
        <v>6044</v>
      </c>
      <c r="F2054" s="36" t="s">
        <v>1539</v>
      </c>
      <c r="G2054" s="15">
        <v>6044</v>
      </c>
      <c r="H2054" s="15">
        <f t="shared" ref="H2054:H2117" si="33">E2054-G2054</f>
        <v>0</v>
      </c>
    </row>
    <row r="2055" spans="1:8" x14ac:dyDescent="0.25">
      <c r="A2055" s="16">
        <v>42753</v>
      </c>
      <c r="B2055" s="17" t="s">
        <v>2402</v>
      </c>
      <c r="C2055" s="18">
        <v>97652</v>
      </c>
      <c r="D2055" s="2" t="s">
        <v>528</v>
      </c>
      <c r="E2055" s="15">
        <v>6519</v>
      </c>
      <c r="F2055" s="36" t="s">
        <v>1539</v>
      </c>
      <c r="G2055" s="15">
        <v>6519</v>
      </c>
      <c r="H2055" s="15">
        <f t="shared" si="33"/>
        <v>0</v>
      </c>
    </row>
    <row r="2056" spans="1:8" x14ac:dyDescent="0.25">
      <c r="A2056" s="16">
        <v>42753</v>
      </c>
      <c r="B2056" s="17" t="s">
        <v>2403</v>
      </c>
      <c r="C2056" s="18">
        <v>97653</v>
      </c>
      <c r="D2056" s="2" t="s">
        <v>182</v>
      </c>
      <c r="E2056" s="15">
        <v>4600</v>
      </c>
      <c r="F2056" s="36" t="s">
        <v>224</v>
      </c>
      <c r="G2056" s="15">
        <v>4600</v>
      </c>
      <c r="H2056" s="15">
        <f t="shared" si="33"/>
        <v>0</v>
      </c>
    </row>
    <row r="2057" spans="1:8" x14ac:dyDescent="0.25">
      <c r="A2057" s="16">
        <v>42753</v>
      </c>
      <c r="B2057" s="17" t="s">
        <v>2404</v>
      </c>
      <c r="C2057" s="18">
        <v>97654</v>
      </c>
      <c r="D2057" s="2" t="s">
        <v>9</v>
      </c>
      <c r="E2057" s="15">
        <v>5172.6000000000004</v>
      </c>
      <c r="F2057" s="36" t="s">
        <v>166</v>
      </c>
      <c r="G2057" s="15">
        <v>5172.6000000000004</v>
      </c>
      <c r="H2057" s="15">
        <f t="shared" si="33"/>
        <v>0</v>
      </c>
    </row>
    <row r="2058" spans="1:8" x14ac:dyDescent="0.25">
      <c r="A2058" s="16">
        <v>42753</v>
      </c>
      <c r="B2058" s="17" t="s">
        <v>2405</v>
      </c>
      <c r="C2058" s="18">
        <v>97655</v>
      </c>
      <c r="D2058" s="2" t="s">
        <v>1421</v>
      </c>
      <c r="E2058" s="15">
        <v>39495</v>
      </c>
      <c r="F2058" s="36" t="s">
        <v>224</v>
      </c>
      <c r="G2058" s="15">
        <v>39495</v>
      </c>
      <c r="H2058" s="15">
        <f t="shared" si="33"/>
        <v>0</v>
      </c>
    </row>
    <row r="2059" spans="1:8" x14ac:dyDescent="0.25">
      <c r="A2059" s="16">
        <v>42753</v>
      </c>
      <c r="B2059" s="17" t="s">
        <v>2406</v>
      </c>
      <c r="C2059" s="18">
        <v>97656</v>
      </c>
      <c r="D2059" s="2" t="s">
        <v>220</v>
      </c>
      <c r="E2059" s="15">
        <v>2755</v>
      </c>
      <c r="F2059" s="36" t="s">
        <v>224</v>
      </c>
      <c r="G2059" s="15">
        <v>2755</v>
      </c>
      <c r="H2059" s="15">
        <f t="shared" si="33"/>
        <v>0</v>
      </c>
    </row>
    <row r="2060" spans="1:8" x14ac:dyDescent="0.25">
      <c r="A2060" s="16">
        <v>42753</v>
      </c>
      <c r="B2060" s="17" t="s">
        <v>2407</v>
      </c>
      <c r="C2060" s="18">
        <v>97657</v>
      </c>
      <c r="D2060" s="2" t="s">
        <v>30</v>
      </c>
      <c r="E2060" s="15">
        <v>1504.8</v>
      </c>
      <c r="F2060" s="36" t="s">
        <v>224</v>
      </c>
      <c r="G2060" s="15">
        <v>1504.8</v>
      </c>
      <c r="H2060" s="15">
        <f t="shared" si="33"/>
        <v>0</v>
      </c>
    </row>
    <row r="2061" spans="1:8" x14ac:dyDescent="0.25">
      <c r="A2061" s="16">
        <v>42753</v>
      </c>
      <c r="B2061" s="17" t="s">
        <v>2408</v>
      </c>
      <c r="C2061" s="18">
        <v>97658</v>
      </c>
      <c r="D2061" s="2" t="s">
        <v>253</v>
      </c>
      <c r="E2061" s="15">
        <v>89.4</v>
      </c>
      <c r="F2061" s="36" t="s">
        <v>2274</v>
      </c>
      <c r="G2061" s="15">
        <v>89.4</v>
      </c>
      <c r="H2061" s="15">
        <f t="shared" si="33"/>
        <v>0</v>
      </c>
    </row>
    <row r="2062" spans="1:8" x14ac:dyDescent="0.25">
      <c r="A2062" s="16">
        <v>42753</v>
      </c>
      <c r="B2062" s="17" t="s">
        <v>2409</v>
      </c>
      <c r="C2062" s="18">
        <v>97659</v>
      </c>
      <c r="D2062" s="2" t="s">
        <v>576</v>
      </c>
      <c r="E2062" s="15">
        <v>129.6</v>
      </c>
      <c r="F2062" s="36" t="s">
        <v>224</v>
      </c>
      <c r="G2062" s="15">
        <v>129.6</v>
      </c>
      <c r="H2062" s="15">
        <f t="shared" si="33"/>
        <v>0</v>
      </c>
    </row>
    <row r="2063" spans="1:8" x14ac:dyDescent="0.25">
      <c r="A2063" s="16">
        <v>42753</v>
      </c>
      <c r="B2063" s="17" t="s">
        <v>2410</v>
      </c>
      <c r="C2063" s="18">
        <v>97660</v>
      </c>
      <c r="D2063" s="2" t="s">
        <v>523</v>
      </c>
      <c r="E2063" s="15">
        <v>23726.2</v>
      </c>
      <c r="F2063" s="36" t="s">
        <v>2009</v>
      </c>
      <c r="G2063" s="15">
        <v>23726.2</v>
      </c>
      <c r="H2063" s="15">
        <f t="shared" si="33"/>
        <v>0</v>
      </c>
    </row>
    <row r="2064" spans="1:8" x14ac:dyDescent="0.25">
      <c r="A2064" s="16">
        <v>42753</v>
      </c>
      <c r="B2064" s="17" t="s">
        <v>2411</v>
      </c>
      <c r="C2064" s="18">
        <v>97661</v>
      </c>
      <c r="D2064" s="2" t="s">
        <v>1786</v>
      </c>
      <c r="E2064" s="15">
        <v>5194</v>
      </c>
      <c r="F2064" s="36" t="s">
        <v>317</v>
      </c>
      <c r="G2064" s="15">
        <v>5194</v>
      </c>
      <c r="H2064" s="15">
        <f t="shared" si="33"/>
        <v>0</v>
      </c>
    </row>
    <row r="2065" spans="1:8" x14ac:dyDescent="0.25">
      <c r="A2065" s="16">
        <v>42753</v>
      </c>
      <c r="B2065" s="17" t="s">
        <v>2412</v>
      </c>
      <c r="C2065" s="18">
        <v>97662</v>
      </c>
      <c r="D2065" s="13" t="s">
        <v>43</v>
      </c>
      <c r="E2065" s="14">
        <v>0</v>
      </c>
      <c r="F2065" s="123" t="s">
        <v>95</v>
      </c>
      <c r="G2065" s="14">
        <v>0</v>
      </c>
      <c r="H2065" s="14">
        <f t="shared" si="33"/>
        <v>0</v>
      </c>
    </row>
    <row r="2066" spans="1:8" x14ac:dyDescent="0.25">
      <c r="A2066" s="16">
        <v>42753</v>
      </c>
      <c r="B2066" s="17" t="s">
        <v>2413</v>
      </c>
      <c r="C2066" s="18">
        <v>97663</v>
      </c>
      <c r="D2066" s="2" t="s">
        <v>196</v>
      </c>
      <c r="E2066" s="15">
        <v>3769.2</v>
      </c>
      <c r="F2066" s="36" t="s">
        <v>317</v>
      </c>
      <c r="G2066" s="15">
        <v>3769.2</v>
      </c>
      <c r="H2066" s="15">
        <f t="shared" si="33"/>
        <v>0</v>
      </c>
    </row>
    <row r="2067" spans="1:8" x14ac:dyDescent="0.25">
      <c r="A2067" s="16">
        <v>42753</v>
      </c>
      <c r="B2067" s="17" t="s">
        <v>2414</v>
      </c>
      <c r="C2067" s="18">
        <v>97664</v>
      </c>
      <c r="D2067" s="2" t="s">
        <v>30</v>
      </c>
      <c r="E2067" s="15">
        <v>5171.2</v>
      </c>
      <c r="F2067" s="36" t="s">
        <v>224</v>
      </c>
      <c r="G2067" s="15">
        <v>5171.2</v>
      </c>
      <c r="H2067" s="15">
        <f t="shared" si="33"/>
        <v>0</v>
      </c>
    </row>
    <row r="2068" spans="1:8" x14ac:dyDescent="0.25">
      <c r="A2068" s="16">
        <v>42753</v>
      </c>
      <c r="B2068" s="17" t="s">
        <v>2415</v>
      </c>
      <c r="C2068" s="18">
        <v>97665</v>
      </c>
      <c r="D2068" s="13" t="s">
        <v>2240</v>
      </c>
      <c r="E2068" s="14">
        <v>0</v>
      </c>
      <c r="F2068" s="123" t="s">
        <v>95</v>
      </c>
      <c r="G2068" s="14">
        <v>0</v>
      </c>
      <c r="H2068" s="14">
        <f t="shared" si="33"/>
        <v>0</v>
      </c>
    </row>
    <row r="2069" spans="1:8" x14ac:dyDescent="0.25">
      <c r="A2069" s="16">
        <v>42753</v>
      </c>
      <c r="B2069" s="17" t="s">
        <v>2416</v>
      </c>
      <c r="C2069" s="18">
        <v>97666</v>
      </c>
      <c r="D2069" s="2" t="s">
        <v>2240</v>
      </c>
      <c r="E2069" s="15">
        <v>7215.7</v>
      </c>
      <c r="F2069" s="36" t="s">
        <v>317</v>
      </c>
      <c r="G2069" s="15">
        <v>7215.7</v>
      </c>
      <c r="H2069" s="15">
        <f t="shared" si="33"/>
        <v>0</v>
      </c>
    </row>
    <row r="2070" spans="1:8" x14ac:dyDescent="0.25">
      <c r="A2070" s="16">
        <v>42753</v>
      </c>
      <c r="B2070" s="17" t="s">
        <v>2417</v>
      </c>
      <c r="C2070" s="18">
        <v>97667</v>
      </c>
      <c r="D2070" s="2" t="s">
        <v>208</v>
      </c>
      <c r="E2070" s="15">
        <v>6727</v>
      </c>
      <c r="F2070" s="36" t="s">
        <v>1539</v>
      </c>
      <c r="G2070" s="15">
        <v>6727</v>
      </c>
      <c r="H2070" s="15">
        <f t="shared" si="33"/>
        <v>0</v>
      </c>
    </row>
    <row r="2071" spans="1:8" x14ac:dyDescent="0.25">
      <c r="A2071" s="16">
        <v>42753</v>
      </c>
      <c r="B2071" s="17" t="s">
        <v>2418</v>
      </c>
      <c r="C2071" s="18">
        <v>97668</v>
      </c>
      <c r="D2071" s="2" t="s">
        <v>367</v>
      </c>
      <c r="E2071" s="15">
        <v>900</v>
      </c>
      <c r="F2071" s="36" t="s">
        <v>317</v>
      </c>
      <c r="G2071" s="15">
        <v>900</v>
      </c>
      <c r="H2071" s="15">
        <f t="shared" si="33"/>
        <v>0</v>
      </c>
    </row>
    <row r="2072" spans="1:8" x14ac:dyDescent="0.25">
      <c r="A2072" s="16">
        <v>42753</v>
      </c>
      <c r="B2072" s="17" t="s">
        <v>2419</v>
      </c>
      <c r="C2072" s="18">
        <v>97669</v>
      </c>
      <c r="D2072" s="2" t="s">
        <v>10</v>
      </c>
      <c r="E2072" s="15">
        <v>185479</v>
      </c>
      <c r="F2072" s="36" t="s">
        <v>927</v>
      </c>
      <c r="G2072" s="15">
        <v>185479</v>
      </c>
      <c r="H2072" s="15">
        <f t="shared" si="33"/>
        <v>0</v>
      </c>
    </row>
    <row r="2073" spans="1:8" x14ac:dyDescent="0.25">
      <c r="A2073" s="16">
        <v>42753</v>
      </c>
      <c r="B2073" s="17" t="s">
        <v>2420</v>
      </c>
      <c r="C2073" s="18">
        <v>97670</v>
      </c>
      <c r="D2073" s="2" t="s">
        <v>10</v>
      </c>
      <c r="E2073" s="15">
        <v>50584.6</v>
      </c>
      <c r="F2073" s="36" t="s">
        <v>927</v>
      </c>
      <c r="G2073" s="15">
        <v>50584.6</v>
      </c>
      <c r="H2073" s="15">
        <f t="shared" si="33"/>
        <v>0</v>
      </c>
    </row>
    <row r="2074" spans="1:8" x14ac:dyDescent="0.25">
      <c r="A2074" s="16">
        <v>42753</v>
      </c>
      <c r="B2074" s="17" t="s">
        <v>2421</v>
      </c>
      <c r="C2074" s="18">
        <v>97671</v>
      </c>
      <c r="D2074" s="13" t="s">
        <v>222</v>
      </c>
      <c r="E2074" s="14">
        <v>0</v>
      </c>
      <c r="F2074" s="123" t="s">
        <v>95</v>
      </c>
      <c r="G2074" s="14">
        <v>0</v>
      </c>
      <c r="H2074" s="14">
        <f t="shared" si="33"/>
        <v>0</v>
      </c>
    </row>
    <row r="2075" spans="1:8" x14ac:dyDescent="0.25">
      <c r="A2075" s="16">
        <v>42753</v>
      </c>
      <c r="B2075" s="17" t="s">
        <v>2422</v>
      </c>
      <c r="C2075" s="18">
        <v>97672</v>
      </c>
      <c r="D2075" s="2" t="s">
        <v>205</v>
      </c>
      <c r="E2075" s="15">
        <v>34262.400000000001</v>
      </c>
      <c r="F2075" s="36" t="s">
        <v>2009</v>
      </c>
      <c r="G2075" s="15">
        <v>34262.400000000001</v>
      </c>
      <c r="H2075" s="15">
        <f t="shared" si="33"/>
        <v>0</v>
      </c>
    </row>
    <row r="2076" spans="1:8" x14ac:dyDescent="0.25">
      <c r="A2076" s="16">
        <v>42753</v>
      </c>
      <c r="B2076" s="17" t="s">
        <v>2423</v>
      </c>
      <c r="C2076" s="18">
        <v>97673</v>
      </c>
      <c r="D2076" s="2" t="s">
        <v>358</v>
      </c>
      <c r="E2076" s="15">
        <v>59205.63</v>
      </c>
      <c r="F2076" s="36" t="s">
        <v>224</v>
      </c>
      <c r="G2076" s="15">
        <v>59205.63</v>
      </c>
      <c r="H2076" s="15">
        <f t="shared" si="33"/>
        <v>0</v>
      </c>
    </row>
    <row r="2077" spans="1:8" x14ac:dyDescent="0.25">
      <c r="A2077" s="16">
        <v>42754</v>
      </c>
      <c r="B2077" s="17" t="s">
        <v>2424</v>
      </c>
      <c r="C2077" s="18">
        <v>97674</v>
      </c>
      <c r="D2077" s="2" t="s">
        <v>231</v>
      </c>
      <c r="E2077" s="15">
        <v>12665.1</v>
      </c>
      <c r="F2077" s="36" t="s">
        <v>1539</v>
      </c>
      <c r="G2077" s="15">
        <v>12665.1</v>
      </c>
      <c r="H2077" s="15">
        <f t="shared" si="33"/>
        <v>0</v>
      </c>
    </row>
    <row r="2078" spans="1:8" x14ac:dyDescent="0.25">
      <c r="A2078" s="16">
        <v>42754</v>
      </c>
      <c r="B2078" s="17" t="s">
        <v>2425</v>
      </c>
      <c r="C2078" s="18">
        <v>97675</v>
      </c>
      <c r="D2078" s="2" t="s">
        <v>231</v>
      </c>
      <c r="E2078" s="15">
        <v>40152.5</v>
      </c>
      <c r="F2078" s="36" t="s">
        <v>224</v>
      </c>
      <c r="G2078" s="15">
        <v>40152.5</v>
      </c>
      <c r="H2078" s="15">
        <f t="shared" si="33"/>
        <v>0</v>
      </c>
    </row>
    <row r="2079" spans="1:8" x14ac:dyDescent="0.25">
      <c r="A2079" s="16">
        <v>42754</v>
      </c>
      <c r="B2079" s="17" t="s">
        <v>2426</v>
      </c>
      <c r="C2079" s="18">
        <v>97676</v>
      </c>
      <c r="D2079" s="2" t="s">
        <v>236</v>
      </c>
      <c r="E2079" s="15">
        <v>158826.79999999999</v>
      </c>
      <c r="F2079" s="36" t="s">
        <v>2166</v>
      </c>
      <c r="G2079" s="15">
        <v>158826.79999999999</v>
      </c>
      <c r="H2079" s="15">
        <f t="shared" si="33"/>
        <v>0</v>
      </c>
    </row>
    <row r="2080" spans="1:8" x14ac:dyDescent="0.25">
      <c r="A2080" s="16">
        <v>42754</v>
      </c>
      <c r="B2080" s="17" t="s">
        <v>2427</v>
      </c>
      <c r="C2080" s="18">
        <v>97677</v>
      </c>
      <c r="D2080" s="2" t="s">
        <v>26</v>
      </c>
      <c r="E2080" s="15">
        <v>26970</v>
      </c>
      <c r="F2080" s="36" t="s">
        <v>224</v>
      </c>
      <c r="G2080" s="15">
        <v>26970</v>
      </c>
      <c r="H2080" s="15">
        <f t="shared" si="33"/>
        <v>0</v>
      </c>
    </row>
    <row r="2081" spans="1:8" x14ac:dyDescent="0.25">
      <c r="A2081" s="16">
        <v>42754</v>
      </c>
      <c r="B2081" s="17" t="s">
        <v>2428</v>
      </c>
      <c r="C2081" s="18">
        <v>97678</v>
      </c>
      <c r="D2081" s="2" t="s">
        <v>222</v>
      </c>
      <c r="E2081" s="15">
        <v>63038.400000000001</v>
      </c>
      <c r="F2081" s="36" t="s">
        <v>927</v>
      </c>
      <c r="G2081" s="15">
        <v>63038.400000000001</v>
      </c>
      <c r="H2081" s="15">
        <f t="shared" si="33"/>
        <v>0</v>
      </c>
    </row>
    <row r="2082" spans="1:8" x14ac:dyDescent="0.25">
      <c r="A2082" s="16">
        <v>42754</v>
      </c>
      <c r="B2082" s="17" t="s">
        <v>2429</v>
      </c>
      <c r="C2082" s="18">
        <v>97679</v>
      </c>
      <c r="D2082" s="2" t="s">
        <v>55</v>
      </c>
      <c r="E2082" s="15">
        <v>6546.4</v>
      </c>
      <c r="F2082" s="36" t="s">
        <v>224</v>
      </c>
      <c r="G2082" s="15">
        <v>6546.4</v>
      </c>
      <c r="H2082" s="15">
        <f t="shared" si="33"/>
        <v>0</v>
      </c>
    </row>
    <row r="2083" spans="1:8" x14ac:dyDescent="0.25">
      <c r="A2083" s="16">
        <v>42754</v>
      </c>
      <c r="B2083" s="17" t="s">
        <v>2430</v>
      </c>
      <c r="C2083" s="18">
        <v>97680</v>
      </c>
      <c r="D2083" s="2" t="s">
        <v>49</v>
      </c>
      <c r="E2083" s="15">
        <v>14989.8</v>
      </c>
      <c r="F2083" s="36" t="s">
        <v>336</v>
      </c>
      <c r="G2083" s="15">
        <v>14989.8</v>
      </c>
      <c r="H2083" s="15">
        <f t="shared" si="33"/>
        <v>0</v>
      </c>
    </row>
    <row r="2084" spans="1:8" x14ac:dyDescent="0.25">
      <c r="A2084" s="16">
        <v>42754</v>
      </c>
      <c r="B2084" s="17" t="s">
        <v>2431</v>
      </c>
      <c r="C2084" s="18">
        <v>97681</v>
      </c>
      <c r="D2084" s="2" t="s">
        <v>143</v>
      </c>
      <c r="E2084" s="15">
        <v>3648.3</v>
      </c>
      <c r="F2084" s="36" t="s">
        <v>224</v>
      </c>
      <c r="G2084" s="15">
        <v>3648.3</v>
      </c>
      <c r="H2084" s="15">
        <f t="shared" si="33"/>
        <v>0</v>
      </c>
    </row>
    <row r="2085" spans="1:8" x14ac:dyDescent="0.25">
      <c r="A2085" s="16">
        <v>42754</v>
      </c>
      <c r="B2085" s="17" t="s">
        <v>2432</v>
      </c>
      <c r="C2085" s="18">
        <v>97682</v>
      </c>
      <c r="D2085" s="2" t="s">
        <v>35</v>
      </c>
      <c r="E2085" s="15">
        <v>12982.4</v>
      </c>
      <c r="F2085" s="36" t="s">
        <v>2274</v>
      </c>
      <c r="G2085" s="15">
        <v>12982.4</v>
      </c>
      <c r="H2085" s="15">
        <f t="shared" si="33"/>
        <v>0</v>
      </c>
    </row>
    <row r="2086" spans="1:8" x14ac:dyDescent="0.25">
      <c r="A2086" s="16">
        <v>42754</v>
      </c>
      <c r="B2086" s="17" t="s">
        <v>2433</v>
      </c>
      <c r="C2086" s="18">
        <v>97683</v>
      </c>
      <c r="D2086" s="2" t="s">
        <v>38</v>
      </c>
      <c r="E2086" s="15">
        <v>1942.5</v>
      </c>
      <c r="F2086" s="36" t="s">
        <v>2274</v>
      </c>
      <c r="G2086" s="15">
        <v>1942.5</v>
      </c>
      <c r="H2086" s="15">
        <f t="shared" si="33"/>
        <v>0</v>
      </c>
    </row>
    <row r="2087" spans="1:8" x14ac:dyDescent="0.25">
      <c r="A2087" s="16">
        <v>42754</v>
      </c>
      <c r="B2087" s="17" t="s">
        <v>2434</v>
      </c>
      <c r="C2087" s="18">
        <v>97684</v>
      </c>
      <c r="D2087" s="2" t="s">
        <v>28</v>
      </c>
      <c r="E2087" s="15">
        <v>14011.2</v>
      </c>
      <c r="F2087" s="36" t="s">
        <v>224</v>
      </c>
      <c r="G2087" s="15">
        <v>14011.2</v>
      </c>
      <c r="H2087" s="15">
        <f t="shared" si="33"/>
        <v>0</v>
      </c>
    </row>
    <row r="2088" spans="1:8" x14ac:dyDescent="0.25">
      <c r="A2088" s="16">
        <v>42754</v>
      </c>
      <c r="B2088" s="17" t="s">
        <v>2435</v>
      </c>
      <c r="C2088" s="18">
        <v>97685</v>
      </c>
      <c r="D2088" s="2" t="s">
        <v>250</v>
      </c>
      <c r="E2088" s="15">
        <v>7164.4</v>
      </c>
      <c r="F2088" s="36" t="s">
        <v>1539</v>
      </c>
      <c r="G2088" s="15">
        <v>7164.4</v>
      </c>
      <c r="H2088" s="15">
        <f t="shared" si="33"/>
        <v>0</v>
      </c>
    </row>
    <row r="2089" spans="1:8" x14ac:dyDescent="0.25">
      <c r="A2089" s="16">
        <v>42754</v>
      </c>
      <c r="B2089" s="17" t="s">
        <v>2436</v>
      </c>
      <c r="C2089" s="18">
        <v>97686</v>
      </c>
      <c r="D2089" s="2" t="s">
        <v>576</v>
      </c>
      <c r="E2089" s="15">
        <v>478.4</v>
      </c>
      <c r="F2089" s="36" t="s">
        <v>1539</v>
      </c>
      <c r="G2089" s="15">
        <v>478.4</v>
      </c>
      <c r="H2089" s="15">
        <f t="shared" si="33"/>
        <v>0</v>
      </c>
    </row>
    <row r="2090" spans="1:8" x14ac:dyDescent="0.25">
      <c r="A2090" s="16">
        <v>42754</v>
      </c>
      <c r="B2090" s="17" t="s">
        <v>2437</v>
      </c>
      <c r="C2090" s="18">
        <v>97687</v>
      </c>
      <c r="D2090" s="2" t="s">
        <v>67</v>
      </c>
      <c r="E2090" s="15">
        <v>4144.5</v>
      </c>
      <c r="F2090" s="36" t="s">
        <v>927</v>
      </c>
      <c r="G2090" s="15">
        <v>4144.5</v>
      </c>
      <c r="H2090" s="15">
        <f t="shared" si="33"/>
        <v>0</v>
      </c>
    </row>
    <row r="2091" spans="1:8" x14ac:dyDescent="0.25">
      <c r="A2091" s="16">
        <v>42754</v>
      </c>
      <c r="B2091" s="17" t="s">
        <v>2438</v>
      </c>
      <c r="C2091" s="18">
        <v>97688</v>
      </c>
      <c r="D2091" s="2" t="s">
        <v>32</v>
      </c>
      <c r="E2091" s="15">
        <v>7434.15</v>
      </c>
      <c r="F2091" s="36" t="s">
        <v>2143</v>
      </c>
      <c r="G2091" s="15">
        <v>7434.15</v>
      </c>
      <c r="H2091" s="15">
        <f t="shared" si="33"/>
        <v>0</v>
      </c>
    </row>
    <row r="2092" spans="1:8" x14ac:dyDescent="0.25">
      <c r="A2092" s="16">
        <v>42754</v>
      </c>
      <c r="B2092" s="17" t="s">
        <v>2439</v>
      </c>
      <c r="C2092" s="18">
        <v>97689</v>
      </c>
      <c r="D2092" s="2" t="s">
        <v>428</v>
      </c>
      <c r="E2092" s="15">
        <v>1759.5</v>
      </c>
      <c r="F2092" s="36" t="s">
        <v>1539</v>
      </c>
      <c r="G2092" s="15">
        <v>1759.5</v>
      </c>
      <c r="H2092" s="15">
        <f t="shared" si="33"/>
        <v>0</v>
      </c>
    </row>
    <row r="2093" spans="1:8" x14ac:dyDescent="0.25">
      <c r="A2093" s="16">
        <v>42754</v>
      </c>
      <c r="B2093" s="17" t="s">
        <v>2440</v>
      </c>
      <c r="C2093" s="18">
        <v>97690</v>
      </c>
      <c r="D2093" s="2" t="s">
        <v>40</v>
      </c>
      <c r="E2093" s="15">
        <v>4214</v>
      </c>
      <c r="F2093" s="36" t="s">
        <v>336</v>
      </c>
      <c r="G2093" s="15">
        <v>4214</v>
      </c>
      <c r="H2093" s="15">
        <f t="shared" si="33"/>
        <v>0</v>
      </c>
    </row>
    <row r="2094" spans="1:8" x14ac:dyDescent="0.25">
      <c r="A2094" s="16">
        <v>42754</v>
      </c>
      <c r="B2094" s="17" t="s">
        <v>2441</v>
      </c>
      <c r="C2094" s="18">
        <v>97691</v>
      </c>
      <c r="D2094" s="2" t="s">
        <v>51</v>
      </c>
      <c r="E2094" s="15">
        <v>524.9</v>
      </c>
      <c r="F2094" s="36" t="s">
        <v>2274</v>
      </c>
      <c r="G2094" s="15">
        <v>524.9</v>
      </c>
      <c r="H2094" s="15">
        <f t="shared" si="33"/>
        <v>0</v>
      </c>
    </row>
    <row r="2095" spans="1:8" x14ac:dyDescent="0.25">
      <c r="A2095" s="16">
        <v>42754</v>
      </c>
      <c r="B2095" s="17" t="s">
        <v>2442</v>
      </c>
      <c r="C2095" s="18">
        <v>97692</v>
      </c>
      <c r="D2095" s="2" t="s">
        <v>1306</v>
      </c>
      <c r="E2095" s="15">
        <v>886.6</v>
      </c>
      <c r="F2095" s="36" t="s">
        <v>224</v>
      </c>
      <c r="G2095" s="15">
        <v>886.6</v>
      </c>
      <c r="H2095" s="15">
        <f t="shared" si="33"/>
        <v>0</v>
      </c>
    </row>
    <row r="2096" spans="1:8" x14ac:dyDescent="0.25">
      <c r="A2096" s="16">
        <v>42754</v>
      </c>
      <c r="B2096" s="17" t="s">
        <v>2443</v>
      </c>
      <c r="C2096" s="18">
        <v>97693</v>
      </c>
      <c r="D2096" s="2" t="s">
        <v>205</v>
      </c>
      <c r="E2096" s="15">
        <v>35916.400000000001</v>
      </c>
      <c r="F2096" s="124" t="s">
        <v>2444</v>
      </c>
      <c r="G2096" s="20">
        <f>21000+14916.4</f>
        <v>35916.400000000001</v>
      </c>
      <c r="H2096" s="20">
        <f t="shared" si="33"/>
        <v>0</v>
      </c>
    </row>
    <row r="2097" spans="1:8" x14ac:dyDescent="0.25">
      <c r="A2097" s="16">
        <v>42754</v>
      </c>
      <c r="B2097" s="17" t="s">
        <v>2445</v>
      </c>
      <c r="C2097" s="18">
        <v>97694</v>
      </c>
      <c r="D2097" s="2" t="s">
        <v>509</v>
      </c>
      <c r="E2097" s="15">
        <v>26283.8</v>
      </c>
      <c r="F2097" s="36" t="s">
        <v>1391</v>
      </c>
      <c r="G2097" s="15">
        <v>26283.8</v>
      </c>
      <c r="H2097" s="15">
        <f t="shared" si="33"/>
        <v>0</v>
      </c>
    </row>
    <row r="2098" spans="1:8" x14ac:dyDescent="0.25">
      <c r="A2098" s="16">
        <v>42754</v>
      </c>
      <c r="B2098" s="17" t="s">
        <v>2446</v>
      </c>
      <c r="C2098" s="18">
        <v>97695</v>
      </c>
      <c r="D2098" s="2" t="s">
        <v>71</v>
      </c>
      <c r="E2098" s="15">
        <v>1848</v>
      </c>
      <c r="F2098" s="36" t="s">
        <v>224</v>
      </c>
      <c r="G2098" s="15">
        <v>1848</v>
      </c>
      <c r="H2098" s="15">
        <f t="shared" si="33"/>
        <v>0</v>
      </c>
    </row>
    <row r="2099" spans="1:8" x14ac:dyDescent="0.25">
      <c r="A2099" s="16">
        <v>42754</v>
      </c>
      <c r="B2099" s="17" t="s">
        <v>2447</v>
      </c>
      <c r="C2099" s="18">
        <v>97696</v>
      </c>
      <c r="D2099" s="2" t="s">
        <v>218</v>
      </c>
      <c r="E2099" s="15">
        <v>113639.2</v>
      </c>
      <c r="F2099" s="36" t="s">
        <v>307</v>
      </c>
      <c r="G2099" s="15">
        <v>113639.2</v>
      </c>
      <c r="H2099" s="15">
        <f t="shared" si="33"/>
        <v>0</v>
      </c>
    </row>
    <row r="2100" spans="1:8" x14ac:dyDescent="0.25">
      <c r="A2100" s="16">
        <v>42754</v>
      </c>
      <c r="B2100" s="17" t="s">
        <v>2448</v>
      </c>
      <c r="C2100" s="18">
        <v>97697</v>
      </c>
      <c r="D2100" s="2" t="s">
        <v>47</v>
      </c>
      <c r="E2100" s="15">
        <v>3846.3</v>
      </c>
      <c r="F2100" s="36" t="s">
        <v>224</v>
      </c>
      <c r="G2100" s="15">
        <v>3846.3</v>
      </c>
      <c r="H2100" s="15">
        <f t="shared" si="33"/>
        <v>0</v>
      </c>
    </row>
    <row r="2101" spans="1:8" x14ac:dyDescent="0.25">
      <c r="A2101" s="16">
        <v>42754</v>
      </c>
      <c r="B2101" s="17" t="s">
        <v>2449</v>
      </c>
      <c r="C2101" s="18">
        <v>97698</v>
      </c>
      <c r="D2101" s="2" t="s">
        <v>17</v>
      </c>
      <c r="E2101" s="15">
        <v>2070</v>
      </c>
      <c r="F2101" s="36" t="s">
        <v>224</v>
      </c>
      <c r="G2101" s="15">
        <v>2070</v>
      </c>
      <c r="H2101" s="15">
        <f t="shared" si="33"/>
        <v>0</v>
      </c>
    </row>
    <row r="2102" spans="1:8" x14ac:dyDescent="0.25">
      <c r="A2102" s="16">
        <v>42754</v>
      </c>
      <c r="B2102" s="17" t="s">
        <v>2450</v>
      </c>
      <c r="C2102" s="18">
        <v>97699</v>
      </c>
      <c r="D2102" s="2" t="s">
        <v>69</v>
      </c>
      <c r="E2102" s="15">
        <v>5313.1</v>
      </c>
      <c r="F2102" s="36" t="s">
        <v>224</v>
      </c>
      <c r="G2102" s="15">
        <v>5313.1</v>
      </c>
      <c r="H2102" s="15">
        <f t="shared" si="33"/>
        <v>0</v>
      </c>
    </row>
    <row r="2103" spans="1:8" x14ac:dyDescent="0.25">
      <c r="A2103" s="16">
        <v>42754</v>
      </c>
      <c r="B2103" s="17" t="s">
        <v>2451</v>
      </c>
      <c r="C2103" s="18">
        <v>97700</v>
      </c>
      <c r="D2103" s="2" t="s">
        <v>226</v>
      </c>
      <c r="E2103" s="15">
        <v>1763.2</v>
      </c>
      <c r="F2103" s="36" t="s">
        <v>224</v>
      </c>
      <c r="G2103" s="15">
        <v>1763.2</v>
      </c>
      <c r="H2103" s="15">
        <f t="shared" si="33"/>
        <v>0</v>
      </c>
    </row>
    <row r="2104" spans="1:8" x14ac:dyDescent="0.25">
      <c r="A2104" s="16">
        <v>42754</v>
      </c>
      <c r="B2104" s="17" t="s">
        <v>2452</v>
      </c>
      <c r="C2104" s="18">
        <v>97701</v>
      </c>
      <c r="D2104" s="2" t="s">
        <v>268</v>
      </c>
      <c r="E2104" s="15">
        <v>18287.900000000001</v>
      </c>
      <c r="F2104" s="36" t="s">
        <v>1391</v>
      </c>
      <c r="G2104" s="15">
        <v>18287.900000000001</v>
      </c>
      <c r="H2104" s="15">
        <f t="shared" si="33"/>
        <v>0</v>
      </c>
    </row>
    <row r="2105" spans="1:8" x14ac:dyDescent="0.25">
      <c r="A2105" s="16">
        <v>42754</v>
      </c>
      <c r="B2105" s="17" t="s">
        <v>2453</v>
      </c>
      <c r="C2105" s="18">
        <v>97702</v>
      </c>
      <c r="D2105" s="2" t="s">
        <v>432</v>
      </c>
      <c r="E2105" s="15">
        <v>18189</v>
      </c>
      <c r="F2105" s="36" t="s">
        <v>1391</v>
      </c>
      <c r="G2105" s="15">
        <v>18189</v>
      </c>
      <c r="H2105" s="15">
        <f t="shared" si="33"/>
        <v>0</v>
      </c>
    </row>
    <row r="2106" spans="1:8" x14ac:dyDescent="0.25">
      <c r="A2106" s="16">
        <v>42754</v>
      </c>
      <c r="B2106" s="17" t="s">
        <v>2454</v>
      </c>
      <c r="C2106" s="18">
        <v>97703</v>
      </c>
      <c r="D2106" s="2" t="s">
        <v>186</v>
      </c>
      <c r="E2106" s="15">
        <v>3710</v>
      </c>
      <c r="F2106" s="36" t="s">
        <v>336</v>
      </c>
      <c r="G2106" s="15">
        <v>3710</v>
      </c>
      <c r="H2106" s="15">
        <f t="shared" si="33"/>
        <v>0</v>
      </c>
    </row>
    <row r="2107" spans="1:8" x14ac:dyDescent="0.25">
      <c r="A2107" s="16">
        <v>42754</v>
      </c>
      <c r="B2107" s="17" t="s">
        <v>2455</v>
      </c>
      <c r="C2107" s="18">
        <v>97704</v>
      </c>
      <c r="D2107" s="2" t="s">
        <v>184</v>
      </c>
      <c r="E2107" s="15">
        <v>3553.2</v>
      </c>
      <c r="F2107" s="36" t="s">
        <v>336</v>
      </c>
      <c r="G2107" s="15">
        <v>3553.2</v>
      </c>
      <c r="H2107" s="15">
        <f t="shared" si="33"/>
        <v>0</v>
      </c>
    </row>
    <row r="2108" spans="1:8" x14ac:dyDescent="0.25">
      <c r="A2108" s="16">
        <v>42754</v>
      </c>
      <c r="B2108" s="17" t="s">
        <v>2456</v>
      </c>
      <c r="C2108" s="18">
        <v>97705</v>
      </c>
      <c r="D2108" s="2" t="s">
        <v>435</v>
      </c>
      <c r="E2108" s="15">
        <v>1291.8</v>
      </c>
      <c r="F2108" s="36" t="s">
        <v>1539</v>
      </c>
      <c r="G2108" s="15">
        <v>1291.8</v>
      </c>
      <c r="H2108" s="15">
        <f t="shared" si="33"/>
        <v>0</v>
      </c>
    </row>
    <row r="2109" spans="1:8" x14ac:dyDescent="0.25">
      <c r="A2109" s="16">
        <v>42754</v>
      </c>
      <c r="B2109" s="17" t="s">
        <v>2457</v>
      </c>
      <c r="C2109" s="18">
        <v>97706</v>
      </c>
      <c r="D2109" s="2" t="s">
        <v>272</v>
      </c>
      <c r="E2109" s="15">
        <v>994</v>
      </c>
      <c r="F2109" s="36" t="s">
        <v>1539</v>
      </c>
      <c r="G2109" s="15">
        <v>994</v>
      </c>
      <c r="H2109" s="15">
        <f t="shared" si="33"/>
        <v>0</v>
      </c>
    </row>
    <row r="2110" spans="1:8" x14ac:dyDescent="0.25">
      <c r="A2110" s="16">
        <v>42754</v>
      </c>
      <c r="B2110" s="17" t="s">
        <v>2458</v>
      </c>
      <c r="C2110" s="18">
        <v>97707</v>
      </c>
      <c r="D2110" s="2" t="s">
        <v>133</v>
      </c>
      <c r="E2110" s="15">
        <v>10423</v>
      </c>
      <c r="F2110" s="36" t="s">
        <v>336</v>
      </c>
      <c r="G2110" s="15">
        <v>10423</v>
      </c>
      <c r="H2110" s="15">
        <f t="shared" si="33"/>
        <v>0</v>
      </c>
    </row>
    <row r="2111" spans="1:8" x14ac:dyDescent="0.25">
      <c r="A2111" s="16">
        <v>42754</v>
      </c>
      <c r="B2111" s="17" t="s">
        <v>2459</v>
      </c>
      <c r="C2111" s="18">
        <v>97708</v>
      </c>
      <c r="D2111" s="2" t="s">
        <v>270</v>
      </c>
      <c r="E2111" s="15">
        <v>6669.1</v>
      </c>
      <c r="F2111" s="36" t="s">
        <v>1539</v>
      </c>
      <c r="G2111" s="15">
        <v>6669.1</v>
      </c>
      <c r="H2111" s="15">
        <f t="shared" si="33"/>
        <v>0</v>
      </c>
    </row>
    <row r="2112" spans="1:8" x14ac:dyDescent="0.25">
      <c r="A2112" s="16">
        <v>42754</v>
      </c>
      <c r="B2112" s="17" t="s">
        <v>2460</v>
      </c>
      <c r="C2112" s="18">
        <v>97709</v>
      </c>
      <c r="D2112" s="2" t="s">
        <v>590</v>
      </c>
      <c r="E2112" s="15">
        <v>2389.5</v>
      </c>
      <c r="F2112" s="36" t="s">
        <v>1539</v>
      </c>
      <c r="G2112" s="15">
        <v>2389.5</v>
      </c>
      <c r="H2112" s="15">
        <f t="shared" si="33"/>
        <v>0</v>
      </c>
    </row>
    <row r="2113" spans="1:9" x14ac:dyDescent="0.25">
      <c r="A2113" s="16">
        <v>42754</v>
      </c>
      <c r="B2113" s="17" t="s">
        <v>2461</v>
      </c>
      <c r="C2113" s="18">
        <v>97710</v>
      </c>
      <c r="D2113" s="2" t="s">
        <v>414</v>
      </c>
      <c r="E2113" s="15">
        <v>1798</v>
      </c>
      <c r="F2113" s="36" t="s">
        <v>224</v>
      </c>
      <c r="G2113" s="15">
        <v>1798</v>
      </c>
      <c r="H2113" s="15">
        <f t="shared" si="33"/>
        <v>0</v>
      </c>
    </row>
    <row r="2114" spans="1:9" x14ac:dyDescent="0.25">
      <c r="A2114" s="16">
        <v>42754</v>
      </c>
      <c r="B2114" s="17" t="s">
        <v>2462</v>
      </c>
      <c r="C2114" s="18">
        <v>97711</v>
      </c>
      <c r="D2114" s="2" t="s">
        <v>1116</v>
      </c>
      <c r="E2114" s="15">
        <v>4764.2</v>
      </c>
      <c r="F2114" s="36" t="s">
        <v>1539</v>
      </c>
      <c r="G2114" s="15">
        <v>4764.2</v>
      </c>
      <c r="H2114" s="15">
        <f t="shared" si="33"/>
        <v>0</v>
      </c>
    </row>
    <row r="2115" spans="1:9" x14ac:dyDescent="0.25">
      <c r="A2115" s="16">
        <v>42754</v>
      </c>
      <c r="B2115" s="17" t="s">
        <v>2463</v>
      </c>
      <c r="C2115" s="18">
        <v>97712</v>
      </c>
      <c r="D2115" s="2" t="s">
        <v>79</v>
      </c>
      <c r="E2115" s="15">
        <v>2434.5</v>
      </c>
      <c r="F2115" s="36" t="s">
        <v>224</v>
      </c>
      <c r="G2115" s="15">
        <v>2434.5</v>
      </c>
      <c r="H2115" s="15">
        <f t="shared" si="33"/>
        <v>0</v>
      </c>
    </row>
    <row r="2116" spans="1:9" x14ac:dyDescent="0.25">
      <c r="A2116" s="16">
        <v>42754</v>
      </c>
      <c r="B2116" s="17" t="s">
        <v>2464</v>
      </c>
      <c r="C2116" s="18">
        <v>97713</v>
      </c>
      <c r="D2116" s="2" t="s">
        <v>430</v>
      </c>
      <c r="E2116" s="15">
        <v>1421.2</v>
      </c>
      <c r="F2116" s="36" t="s">
        <v>224</v>
      </c>
      <c r="G2116" s="15">
        <v>1421.2</v>
      </c>
      <c r="H2116" s="15">
        <f t="shared" si="33"/>
        <v>0</v>
      </c>
    </row>
    <row r="2117" spans="1:9" x14ac:dyDescent="0.25">
      <c r="A2117" s="16">
        <v>42754</v>
      </c>
      <c r="B2117" s="17" t="s">
        <v>2465</v>
      </c>
      <c r="C2117" s="18">
        <v>97714</v>
      </c>
      <c r="D2117" s="2" t="s">
        <v>53</v>
      </c>
      <c r="E2117" s="15">
        <v>3005.7</v>
      </c>
      <c r="F2117" s="36" t="s">
        <v>224</v>
      </c>
      <c r="G2117" s="15">
        <v>3005.7</v>
      </c>
      <c r="H2117" s="15">
        <f t="shared" si="33"/>
        <v>0</v>
      </c>
    </row>
    <row r="2118" spans="1:9" x14ac:dyDescent="0.25">
      <c r="A2118" s="16">
        <v>42754</v>
      </c>
      <c r="B2118" s="17" t="s">
        <v>2466</v>
      </c>
      <c r="C2118" s="18">
        <v>97715</v>
      </c>
      <c r="D2118" s="2" t="s">
        <v>63</v>
      </c>
      <c r="E2118" s="15">
        <v>1217.2</v>
      </c>
      <c r="F2118" s="36" t="s">
        <v>224</v>
      </c>
      <c r="G2118" s="15">
        <v>1217.2</v>
      </c>
      <c r="H2118" s="15">
        <f t="shared" ref="H2118:H2181" si="34">E2118-G2118</f>
        <v>0</v>
      </c>
    </row>
    <row r="2119" spans="1:9" x14ac:dyDescent="0.25">
      <c r="A2119" s="16">
        <v>42754</v>
      </c>
      <c r="B2119" s="17" t="s">
        <v>2467</v>
      </c>
      <c r="C2119" s="18">
        <v>97716</v>
      </c>
      <c r="D2119" s="2" t="s">
        <v>61</v>
      </c>
      <c r="E2119" s="15">
        <v>19147.900000000001</v>
      </c>
      <c r="F2119" s="36" t="s">
        <v>927</v>
      </c>
      <c r="G2119" s="15">
        <v>19147.900000000001</v>
      </c>
      <c r="H2119" s="15">
        <f t="shared" si="34"/>
        <v>0</v>
      </c>
      <c r="I2119" s="19"/>
    </row>
    <row r="2120" spans="1:9" x14ac:dyDescent="0.25">
      <c r="A2120" s="16">
        <v>42754</v>
      </c>
      <c r="B2120" s="17" t="s">
        <v>2468</v>
      </c>
      <c r="C2120" s="18">
        <v>97717</v>
      </c>
      <c r="D2120" s="2" t="s">
        <v>61</v>
      </c>
      <c r="E2120" s="15">
        <v>2527.6</v>
      </c>
      <c r="F2120" s="36" t="s">
        <v>224</v>
      </c>
      <c r="G2120" s="15">
        <v>2527.6</v>
      </c>
      <c r="H2120" s="15">
        <f t="shared" si="34"/>
        <v>0</v>
      </c>
      <c r="I2120" s="19"/>
    </row>
    <row r="2121" spans="1:9" x14ac:dyDescent="0.25">
      <c r="A2121" s="16">
        <v>42754</v>
      </c>
      <c r="B2121" s="17" t="s">
        <v>2469</v>
      </c>
      <c r="C2121" s="18">
        <v>97718</v>
      </c>
      <c r="D2121" s="2" t="s">
        <v>264</v>
      </c>
      <c r="E2121" s="15">
        <v>13366.5</v>
      </c>
      <c r="F2121" s="36" t="s">
        <v>2274</v>
      </c>
      <c r="G2121" s="15">
        <v>13366.5</v>
      </c>
      <c r="H2121" s="15">
        <f t="shared" si="34"/>
        <v>0</v>
      </c>
      <c r="I2121" s="19"/>
    </row>
    <row r="2122" spans="1:9" x14ac:dyDescent="0.25">
      <c r="A2122" s="16">
        <v>42754</v>
      </c>
      <c r="B2122" s="17" t="s">
        <v>2470</v>
      </c>
      <c r="C2122" s="18">
        <v>97719</v>
      </c>
      <c r="D2122" s="2" t="s">
        <v>57</v>
      </c>
      <c r="E2122" s="15">
        <v>711</v>
      </c>
      <c r="F2122" s="36" t="s">
        <v>224</v>
      </c>
      <c r="G2122" s="15">
        <v>711</v>
      </c>
      <c r="H2122" s="15">
        <f t="shared" si="34"/>
        <v>0</v>
      </c>
      <c r="I2122" s="19"/>
    </row>
    <row r="2123" spans="1:9" x14ac:dyDescent="0.25">
      <c r="A2123" s="16">
        <v>42754</v>
      </c>
      <c r="B2123" s="17" t="s">
        <v>2471</v>
      </c>
      <c r="C2123" s="18">
        <v>97720</v>
      </c>
      <c r="D2123" s="2" t="s">
        <v>45</v>
      </c>
      <c r="E2123" s="15">
        <v>993.6</v>
      </c>
      <c r="F2123" s="36" t="s">
        <v>224</v>
      </c>
      <c r="G2123" s="15">
        <v>993.6</v>
      </c>
      <c r="H2123" s="15">
        <f t="shared" si="34"/>
        <v>0</v>
      </c>
      <c r="I2123" s="19"/>
    </row>
    <row r="2124" spans="1:9" x14ac:dyDescent="0.25">
      <c r="A2124" s="16">
        <v>42754</v>
      </c>
      <c r="B2124" s="17" t="s">
        <v>2472</v>
      </c>
      <c r="C2124" s="18">
        <v>97721</v>
      </c>
      <c r="D2124" s="2" t="s">
        <v>85</v>
      </c>
      <c r="E2124" s="15">
        <v>4074.4</v>
      </c>
      <c r="F2124" s="36" t="s">
        <v>224</v>
      </c>
      <c r="G2124" s="15">
        <v>4074.4</v>
      </c>
      <c r="H2124" s="15">
        <f t="shared" si="34"/>
        <v>0</v>
      </c>
      <c r="I2124" s="19"/>
    </row>
    <row r="2125" spans="1:9" x14ac:dyDescent="0.25">
      <c r="A2125" s="16">
        <v>42754</v>
      </c>
      <c r="B2125" s="17" t="s">
        <v>2473</v>
      </c>
      <c r="C2125" s="18">
        <v>97722</v>
      </c>
      <c r="D2125" s="2" t="s">
        <v>85</v>
      </c>
      <c r="E2125" s="15">
        <v>13940</v>
      </c>
      <c r="F2125" s="36" t="s">
        <v>224</v>
      </c>
      <c r="G2125" s="15">
        <v>13940</v>
      </c>
      <c r="H2125" s="15">
        <f t="shared" si="34"/>
        <v>0</v>
      </c>
      <c r="I2125" s="19"/>
    </row>
    <row r="2126" spans="1:9" x14ac:dyDescent="0.25">
      <c r="A2126" s="16">
        <v>42754</v>
      </c>
      <c r="B2126" s="17" t="s">
        <v>2474</v>
      </c>
      <c r="C2126" s="18">
        <v>97723</v>
      </c>
      <c r="D2126" s="2" t="s">
        <v>1380</v>
      </c>
      <c r="E2126" s="15">
        <v>31215.4</v>
      </c>
      <c r="F2126" s="36" t="s">
        <v>224</v>
      </c>
      <c r="G2126" s="15">
        <v>31215.4</v>
      </c>
      <c r="H2126" s="15">
        <f t="shared" si="34"/>
        <v>0</v>
      </c>
      <c r="I2126" s="19"/>
    </row>
    <row r="2127" spans="1:9" x14ac:dyDescent="0.25">
      <c r="A2127" s="16">
        <v>42754</v>
      </c>
      <c r="B2127" s="17" t="s">
        <v>2475</v>
      </c>
      <c r="C2127" s="18">
        <v>97724</v>
      </c>
      <c r="D2127" s="2" t="s">
        <v>281</v>
      </c>
      <c r="E2127" s="15">
        <v>1040</v>
      </c>
      <c r="F2127" s="36" t="s">
        <v>224</v>
      </c>
      <c r="G2127" s="15">
        <v>1040</v>
      </c>
      <c r="H2127" s="15">
        <f t="shared" si="34"/>
        <v>0</v>
      </c>
      <c r="I2127" s="19"/>
    </row>
    <row r="2128" spans="1:9" x14ac:dyDescent="0.25">
      <c r="A2128" s="16">
        <v>42754</v>
      </c>
      <c r="B2128" s="17" t="s">
        <v>2476</v>
      </c>
      <c r="C2128" s="18">
        <v>97725</v>
      </c>
      <c r="D2128" s="2" t="s">
        <v>30</v>
      </c>
      <c r="E2128" s="15">
        <v>15295.1</v>
      </c>
      <c r="F2128" s="36" t="s">
        <v>224</v>
      </c>
      <c r="G2128" s="15">
        <v>15295.1</v>
      </c>
      <c r="H2128" s="15">
        <f t="shared" si="34"/>
        <v>0</v>
      </c>
      <c r="I2128" s="19"/>
    </row>
    <row r="2129" spans="1:9" x14ac:dyDescent="0.25">
      <c r="A2129" s="16">
        <v>42754</v>
      </c>
      <c r="B2129" s="17" t="s">
        <v>2477</v>
      </c>
      <c r="C2129" s="18">
        <v>97726</v>
      </c>
      <c r="D2129" s="2" t="s">
        <v>2478</v>
      </c>
      <c r="E2129" s="15">
        <v>4114.2</v>
      </c>
      <c r="F2129" s="36" t="s">
        <v>224</v>
      </c>
      <c r="G2129" s="15">
        <v>4114.2</v>
      </c>
      <c r="H2129" s="15">
        <f t="shared" si="34"/>
        <v>0</v>
      </c>
      <c r="I2129" s="19"/>
    </row>
    <row r="2130" spans="1:9" x14ac:dyDescent="0.25">
      <c r="A2130" s="16">
        <v>42754</v>
      </c>
      <c r="B2130" s="17" t="s">
        <v>2479</v>
      </c>
      <c r="C2130" s="18">
        <v>97727</v>
      </c>
      <c r="D2130" s="2" t="s">
        <v>94</v>
      </c>
      <c r="E2130" s="15">
        <v>9476.4</v>
      </c>
      <c r="F2130" s="124" t="s">
        <v>2480</v>
      </c>
      <c r="G2130" s="20">
        <f>6000+3476.4</f>
        <v>9476.4</v>
      </c>
      <c r="H2130" s="20">
        <f t="shared" si="34"/>
        <v>0</v>
      </c>
      <c r="I2130" s="19"/>
    </row>
    <row r="2131" spans="1:9" x14ac:dyDescent="0.25">
      <c r="A2131" s="16">
        <v>42754</v>
      </c>
      <c r="B2131" s="17" t="s">
        <v>2481</v>
      </c>
      <c r="C2131" s="18">
        <v>97728</v>
      </c>
      <c r="D2131" s="2" t="s">
        <v>281</v>
      </c>
      <c r="E2131" s="15">
        <v>1610</v>
      </c>
      <c r="F2131" s="36" t="s">
        <v>927</v>
      </c>
      <c r="G2131" s="15">
        <v>1610</v>
      </c>
      <c r="H2131" s="15">
        <f t="shared" si="34"/>
        <v>0</v>
      </c>
      <c r="I2131" s="19"/>
    </row>
    <row r="2132" spans="1:9" x14ac:dyDescent="0.25">
      <c r="A2132" s="16">
        <v>42754</v>
      </c>
      <c r="B2132" s="17" t="s">
        <v>2482</v>
      </c>
      <c r="C2132" s="18">
        <v>97729</v>
      </c>
      <c r="D2132" s="2" t="s">
        <v>858</v>
      </c>
      <c r="E2132" s="15">
        <v>2640</v>
      </c>
      <c r="F2132" s="36" t="s">
        <v>224</v>
      </c>
      <c r="G2132" s="15">
        <v>2640</v>
      </c>
      <c r="H2132" s="15">
        <f t="shared" si="34"/>
        <v>0</v>
      </c>
      <c r="I2132" s="19"/>
    </row>
    <row r="2133" spans="1:9" x14ac:dyDescent="0.25">
      <c r="A2133" s="16">
        <v>42754</v>
      </c>
      <c r="B2133" s="17" t="s">
        <v>2483</v>
      </c>
      <c r="C2133" s="18">
        <v>97730</v>
      </c>
      <c r="D2133" s="2" t="s">
        <v>88</v>
      </c>
      <c r="E2133" s="15">
        <v>1540</v>
      </c>
      <c r="F2133" s="36" t="s">
        <v>224</v>
      </c>
      <c r="G2133" s="15">
        <v>1540</v>
      </c>
      <c r="H2133" s="15">
        <f t="shared" si="34"/>
        <v>0</v>
      </c>
      <c r="I2133" s="19"/>
    </row>
    <row r="2134" spans="1:9" x14ac:dyDescent="0.25">
      <c r="A2134" s="16">
        <v>42754</v>
      </c>
      <c r="B2134" s="17" t="s">
        <v>2484</v>
      </c>
      <c r="C2134" s="18">
        <v>97731</v>
      </c>
      <c r="D2134" s="2" t="s">
        <v>321</v>
      </c>
      <c r="E2134" s="15">
        <v>410.4</v>
      </c>
      <c r="F2134" s="36" t="s">
        <v>224</v>
      </c>
      <c r="G2134" s="15">
        <v>410.4</v>
      </c>
      <c r="H2134" s="15">
        <f t="shared" si="34"/>
        <v>0</v>
      </c>
      <c r="I2134" s="19"/>
    </row>
    <row r="2135" spans="1:9" x14ac:dyDescent="0.25">
      <c r="A2135" s="16">
        <v>42754</v>
      </c>
      <c r="B2135" s="17" t="s">
        <v>2485</v>
      </c>
      <c r="C2135" s="18">
        <v>97732</v>
      </c>
      <c r="D2135" s="2" t="s">
        <v>858</v>
      </c>
      <c r="E2135" s="15">
        <v>176.4</v>
      </c>
      <c r="F2135" s="36" t="s">
        <v>224</v>
      </c>
      <c r="G2135" s="15">
        <v>176.4</v>
      </c>
      <c r="H2135" s="15">
        <f t="shared" si="34"/>
        <v>0</v>
      </c>
      <c r="I2135" s="19"/>
    </row>
    <row r="2136" spans="1:9" x14ac:dyDescent="0.25">
      <c r="A2136" s="16">
        <v>42754</v>
      </c>
      <c r="B2136" s="17" t="s">
        <v>2486</v>
      </c>
      <c r="C2136" s="18">
        <v>97733</v>
      </c>
      <c r="D2136" s="2" t="s">
        <v>30</v>
      </c>
      <c r="E2136" s="15">
        <v>1650</v>
      </c>
      <c r="F2136" s="36" t="s">
        <v>224</v>
      </c>
      <c r="G2136" s="15">
        <v>1650</v>
      </c>
      <c r="H2136" s="15">
        <f t="shared" si="34"/>
        <v>0</v>
      </c>
      <c r="I2136" s="19"/>
    </row>
    <row r="2137" spans="1:9" x14ac:dyDescent="0.25">
      <c r="A2137" s="16">
        <v>42754</v>
      </c>
      <c r="B2137" s="17" t="s">
        <v>2487</v>
      </c>
      <c r="C2137" s="18">
        <v>97734</v>
      </c>
      <c r="D2137" s="2" t="s">
        <v>457</v>
      </c>
      <c r="E2137" s="15">
        <v>588.79999999999995</v>
      </c>
      <c r="F2137" s="36" t="s">
        <v>224</v>
      </c>
      <c r="G2137" s="15">
        <v>588.79999999999995</v>
      </c>
      <c r="H2137" s="15">
        <f t="shared" si="34"/>
        <v>0</v>
      </c>
      <c r="I2137" s="19"/>
    </row>
    <row r="2138" spans="1:9" x14ac:dyDescent="0.25">
      <c r="A2138" s="16">
        <v>42754</v>
      </c>
      <c r="B2138" s="17" t="s">
        <v>2488</v>
      </c>
      <c r="C2138" s="18">
        <v>97735</v>
      </c>
      <c r="D2138" s="2" t="s">
        <v>1081</v>
      </c>
      <c r="E2138" s="15">
        <v>6537.6</v>
      </c>
      <c r="F2138" s="36" t="s">
        <v>224</v>
      </c>
      <c r="G2138" s="15">
        <v>6537.6</v>
      </c>
      <c r="H2138" s="15">
        <f t="shared" si="34"/>
        <v>0</v>
      </c>
      <c r="I2138" s="19"/>
    </row>
    <row r="2139" spans="1:9" x14ac:dyDescent="0.25">
      <c r="A2139" s="16">
        <v>42754</v>
      </c>
      <c r="B2139" s="17" t="s">
        <v>2489</v>
      </c>
      <c r="C2139" s="18">
        <v>97736</v>
      </c>
      <c r="D2139" s="2" t="s">
        <v>92</v>
      </c>
      <c r="E2139" s="15">
        <v>1408.5</v>
      </c>
      <c r="F2139" s="36" t="s">
        <v>224</v>
      </c>
      <c r="G2139" s="15">
        <v>1408.5</v>
      </c>
      <c r="H2139" s="15">
        <f t="shared" si="34"/>
        <v>0</v>
      </c>
      <c r="I2139" s="19"/>
    </row>
    <row r="2140" spans="1:9" x14ac:dyDescent="0.25">
      <c r="A2140" s="16">
        <v>42754</v>
      </c>
      <c r="B2140" s="17" t="s">
        <v>2490</v>
      </c>
      <c r="C2140" s="18">
        <v>97737</v>
      </c>
      <c r="D2140" s="2" t="s">
        <v>289</v>
      </c>
      <c r="E2140" s="15">
        <v>10002.700000000001</v>
      </c>
      <c r="F2140" s="36" t="s">
        <v>1173</v>
      </c>
      <c r="G2140" s="15">
        <v>10002.700000000001</v>
      </c>
      <c r="H2140" s="15">
        <f t="shared" si="34"/>
        <v>0</v>
      </c>
      <c r="I2140" s="19"/>
    </row>
    <row r="2141" spans="1:9" x14ac:dyDescent="0.25">
      <c r="A2141" s="16">
        <v>42754</v>
      </c>
      <c r="B2141" s="17" t="s">
        <v>2491</v>
      </c>
      <c r="C2141" s="18">
        <v>97738</v>
      </c>
      <c r="D2141" s="2" t="s">
        <v>113</v>
      </c>
      <c r="E2141" s="15">
        <v>1100.2</v>
      </c>
      <c r="F2141" s="36" t="s">
        <v>224</v>
      </c>
      <c r="G2141" s="15">
        <v>1100.2</v>
      </c>
      <c r="H2141" s="15">
        <f t="shared" si="34"/>
        <v>0</v>
      </c>
      <c r="I2141" s="19"/>
    </row>
    <row r="2142" spans="1:9" x14ac:dyDescent="0.25">
      <c r="A2142" s="16">
        <v>42754</v>
      </c>
      <c r="B2142" s="17" t="s">
        <v>2492</v>
      </c>
      <c r="C2142" s="18">
        <v>97739</v>
      </c>
      <c r="D2142" s="2" t="s">
        <v>81</v>
      </c>
      <c r="E2142" s="15">
        <v>240.8</v>
      </c>
      <c r="F2142" s="36" t="s">
        <v>224</v>
      </c>
      <c r="G2142" s="15">
        <v>240.8</v>
      </c>
      <c r="H2142" s="15">
        <f t="shared" si="34"/>
        <v>0</v>
      </c>
      <c r="I2142" s="19"/>
    </row>
    <row r="2143" spans="1:9" x14ac:dyDescent="0.25">
      <c r="A2143" s="16">
        <v>42754</v>
      </c>
      <c r="B2143" s="17" t="s">
        <v>2493</v>
      </c>
      <c r="C2143" s="18">
        <v>97740</v>
      </c>
      <c r="D2143" s="2" t="s">
        <v>168</v>
      </c>
      <c r="E2143" s="15">
        <v>144</v>
      </c>
      <c r="F2143" s="36" t="s">
        <v>224</v>
      </c>
      <c r="G2143" s="15">
        <v>144</v>
      </c>
      <c r="H2143" s="15">
        <f t="shared" si="34"/>
        <v>0</v>
      </c>
      <c r="I2143" s="19"/>
    </row>
    <row r="2144" spans="1:9" x14ac:dyDescent="0.25">
      <c r="A2144" s="16">
        <v>42754</v>
      </c>
      <c r="B2144" s="17" t="s">
        <v>2494</v>
      </c>
      <c r="C2144" s="18">
        <v>97741</v>
      </c>
      <c r="D2144" s="2" t="s">
        <v>613</v>
      </c>
      <c r="E2144" s="15">
        <v>2801.4</v>
      </c>
      <c r="F2144" s="36" t="s">
        <v>224</v>
      </c>
      <c r="G2144" s="15">
        <v>2801.4</v>
      </c>
      <c r="H2144" s="15">
        <f t="shared" si="34"/>
        <v>0</v>
      </c>
      <c r="I2144" s="19"/>
    </row>
    <row r="2145" spans="1:9" x14ac:dyDescent="0.25">
      <c r="A2145" s="16">
        <v>42754</v>
      </c>
      <c r="B2145" s="17" t="s">
        <v>2495</v>
      </c>
      <c r="C2145" s="18">
        <v>97742</v>
      </c>
      <c r="D2145" s="2" t="s">
        <v>83</v>
      </c>
      <c r="E2145" s="15">
        <v>10744.8</v>
      </c>
      <c r="F2145" s="36" t="s">
        <v>224</v>
      </c>
      <c r="G2145" s="15">
        <v>10744.8</v>
      </c>
      <c r="H2145" s="15">
        <f t="shared" si="34"/>
        <v>0</v>
      </c>
      <c r="I2145" s="19"/>
    </row>
    <row r="2146" spans="1:9" x14ac:dyDescent="0.25">
      <c r="A2146" s="16">
        <v>42754</v>
      </c>
      <c r="B2146" s="17" t="s">
        <v>2496</v>
      </c>
      <c r="C2146" s="18">
        <v>97743</v>
      </c>
      <c r="D2146" s="2" t="s">
        <v>105</v>
      </c>
      <c r="E2146" s="15">
        <v>3596.4</v>
      </c>
      <c r="F2146" s="36" t="s">
        <v>927</v>
      </c>
      <c r="G2146" s="15">
        <v>3596.4</v>
      </c>
      <c r="H2146" s="15">
        <f t="shared" si="34"/>
        <v>0</v>
      </c>
      <c r="I2146" s="19"/>
    </row>
    <row r="2147" spans="1:9" x14ac:dyDescent="0.25">
      <c r="A2147" s="16">
        <v>42754</v>
      </c>
      <c r="B2147" s="17" t="s">
        <v>2497</v>
      </c>
      <c r="C2147" s="18">
        <v>97744</v>
      </c>
      <c r="D2147" s="2" t="s">
        <v>103</v>
      </c>
      <c r="E2147" s="15">
        <v>3553.2</v>
      </c>
      <c r="F2147" s="36" t="s">
        <v>927</v>
      </c>
      <c r="G2147" s="15">
        <v>3553.2</v>
      </c>
      <c r="H2147" s="15">
        <f t="shared" si="34"/>
        <v>0</v>
      </c>
      <c r="I2147" s="19"/>
    </row>
    <row r="2148" spans="1:9" x14ac:dyDescent="0.25">
      <c r="A2148" s="16">
        <v>42754</v>
      </c>
      <c r="B2148" s="17" t="s">
        <v>2498</v>
      </c>
      <c r="C2148" s="18">
        <v>97745</v>
      </c>
      <c r="D2148" s="13" t="s">
        <v>109</v>
      </c>
      <c r="E2148" s="14">
        <v>0</v>
      </c>
      <c r="F2148" s="123" t="s">
        <v>95</v>
      </c>
      <c r="G2148" s="14">
        <v>0</v>
      </c>
      <c r="H2148" s="14">
        <f t="shared" si="34"/>
        <v>0</v>
      </c>
      <c r="I2148" s="19"/>
    </row>
    <row r="2149" spans="1:9" x14ac:dyDescent="0.25">
      <c r="A2149" s="16">
        <v>42754</v>
      </c>
      <c r="B2149" s="17" t="s">
        <v>2499</v>
      </c>
      <c r="C2149" s="18">
        <v>97746</v>
      </c>
      <c r="D2149" s="2" t="s">
        <v>21</v>
      </c>
      <c r="E2149" s="15">
        <v>40782</v>
      </c>
      <c r="F2149" s="36" t="s">
        <v>1889</v>
      </c>
      <c r="G2149" s="15">
        <v>40782</v>
      </c>
      <c r="H2149" s="15">
        <f t="shared" si="34"/>
        <v>0</v>
      </c>
      <c r="I2149" s="19"/>
    </row>
    <row r="2150" spans="1:9" x14ac:dyDescent="0.25">
      <c r="A2150" s="16">
        <v>42754</v>
      </c>
      <c r="B2150" s="17" t="s">
        <v>2500</v>
      </c>
      <c r="C2150" s="18">
        <v>97747</v>
      </c>
      <c r="D2150" s="2" t="s">
        <v>109</v>
      </c>
      <c r="E2150" s="15">
        <v>4491</v>
      </c>
      <c r="F2150" s="36" t="s">
        <v>224</v>
      </c>
      <c r="G2150" s="15">
        <v>4491</v>
      </c>
      <c r="H2150" s="15">
        <f t="shared" si="34"/>
        <v>0</v>
      </c>
      <c r="I2150" s="19"/>
    </row>
    <row r="2151" spans="1:9" x14ac:dyDescent="0.25">
      <c r="A2151" s="16">
        <v>42754</v>
      </c>
      <c r="B2151" s="17" t="s">
        <v>2501</v>
      </c>
      <c r="C2151" s="18">
        <v>97748</v>
      </c>
      <c r="D2151" s="2" t="s">
        <v>151</v>
      </c>
      <c r="E2151" s="15">
        <v>30386.6</v>
      </c>
      <c r="F2151" s="36" t="s">
        <v>224</v>
      </c>
      <c r="G2151" s="15">
        <v>30386.6</v>
      </c>
      <c r="H2151" s="15">
        <f t="shared" si="34"/>
        <v>0</v>
      </c>
      <c r="I2151" s="19"/>
    </row>
    <row r="2152" spans="1:9" x14ac:dyDescent="0.25">
      <c r="A2152" s="16">
        <v>42754</v>
      </c>
      <c r="B2152" s="17" t="s">
        <v>2502</v>
      </c>
      <c r="C2152" s="18">
        <v>97749</v>
      </c>
      <c r="D2152" s="2" t="s">
        <v>773</v>
      </c>
      <c r="E2152" s="15">
        <v>12348</v>
      </c>
      <c r="F2152" s="36" t="s">
        <v>224</v>
      </c>
      <c r="G2152" s="15">
        <v>12348</v>
      </c>
      <c r="H2152" s="15">
        <f t="shared" si="34"/>
        <v>0</v>
      </c>
      <c r="I2152" s="19"/>
    </row>
    <row r="2153" spans="1:9" x14ac:dyDescent="0.25">
      <c r="A2153" s="16">
        <v>42754</v>
      </c>
      <c r="B2153" s="17" t="s">
        <v>2503</v>
      </c>
      <c r="C2153" s="18">
        <v>97750</v>
      </c>
      <c r="D2153" s="2" t="s">
        <v>305</v>
      </c>
      <c r="E2153" s="15">
        <v>6418.6</v>
      </c>
      <c r="F2153" s="36" t="s">
        <v>2143</v>
      </c>
      <c r="G2153" s="15">
        <v>6418.6</v>
      </c>
      <c r="H2153" s="15">
        <f t="shared" si="34"/>
        <v>0</v>
      </c>
      <c r="I2153" s="19"/>
    </row>
    <row r="2154" spans="1:9" x14ac:dyDescent="0.25">
      <c r="A2154" s="16">
        <v>42754</v>
      </c>
      <c r="B2154" s="17" t="s">
        <v>2504</v>
      </c>
      <c r="C2154" s="18">
        <v>97751</v>
      </c>
      <c r="D2154" s="2" t="s">
        <v>10</v>
      </c>
      <c r="E2154" s="15">
        <v>311785</v>
      </c>
      <c r="F2154" s="124" t="s">
        <v>2505</v>
      </c>
      <c r="G2154" s="20">
        <f>252607.22+59177.78</f>
        <v>311785</v>
      </c>
      <c r="H2154" s="20">
        <f t="shared" si="34"/>
        <v>0</v>
      </c>
      <c r="I2154" s="19"/>
    </row>
    <row r="2155" spans="1:9" x14ac:dyDescent="0.25">
      <c r="A2155" s="16">
        <v>42754</v>
      </c>
      <c r="B2155" s="17" t="s">
        <v>2506</v>
      </c>
      <c r="C2155" s="18">
        <v>97752</v>
      </c>
      <c r="D2155" s="2" t="s">
        <v>476</v>
      </c>
      <c r="E2155" s="15">
        <v>8302.6</v>
      </c>
      <c r="F2155" s="36" t="s">
        <v>224</v>
      </c>
      <c r="G2155" s="15">
        <v>8302.6</v>
      </c>
      <c r="H2155" s="15">
        <f t="shared" si="34"/>
        <v>0</v>
      </c>
      <c r="I2155" s="19"/>
    </row>
    <row r="2156" spans="1:9" x14ac:dyDescent="0.25">
      <c r="A2156" s="16">
        <v>42754</v>
      </c>
      <c r="B2156" s="17" t="s">
        <v>2507</v>
      </c>
      <c r="C2156" s="18">
        <v>97753</v>
      </c>
      <c r="D2156" s="2" t="s">
        <v>492</v>
      </c>
      <c r="E2156" s="15">
        <v>30913</v>
      </c>
      <c r="F2156" s="36" t="s">
        <v>927</v>
      </c>
      <c r="G2156" s="15">
        <v>30913</v>
      </c>
      <c r="H2156" s="15">
        <f t="shared" si="34"/>
        <v>0</v>
      </c>
      <c r="I2156" s="19"/>
    </row>
    <row r="2157" spans="1:9" x14ac:dyDescent="0.25">
      <c r="A2157" s="16">
        <v>42754</v>
      </c>
      <c r="B2157" s="17" t="s">
        <v>2508</v>
      </c>
      <c r="C2157" s="18">
        <v>97754</v>
      </c>
      <c r="D2157" s="2" t="s">
        <v>131</v>
      </c>
      <c r="E2157" s="15">
        <v>11556.1</v>
      </c>
      <c r="F2157" s="36" t="s">
        <v>224</v>
      </c>
      <c r="G2157" s="15">
        <v>11556.1</v>
      </c>
      <c r="H2157" s="15">
        <f t="shared" si="34"/>
        <v>0</v>
      </c>
      <c r="I2157" s="19"/>
    </row>
    <row r="2158" spans="1:9" x14ac:dyDescent="0.25">
      <c r="A2158" s="16">
        <v>42754</v>
      </c>
      <c r="B2158" s="17" t="s">
        <v>2509</v>
      </c>
      <c r="C2158" s="18">
        <v>97755</v>
      </c>
      <c r="D2158" s="2" t="s">
        <v>2510</v>
      </c>
      <c r="E2158" s="15">
        <v>626.4</v>
      </c>
      <c r="F2158" s="36" t="s">
        <v>224</v>
      </c>
      <c r="G2158" s="15">
        <v>626.4</v>
      </c>
      <c r="H2158" s="15">
        <f t="shared" si="34"/>
        <v>0</v>
      </c>
      <c r="I2158" s="19"/>
    </row>
    <row r="2159" spans="1:9" x14ac:dyDescent="0.25">
      <c r="A2159" s="16">
        <v>42754</v>
      </c>
      <c r="B2159" s="17" t="s">
        <v>2511</v>
      </c>
      <c r="C2159" s="18">
        <v>97756</v>
      </c>
      <c r="D2159" s="2" t="s">
        <v>459</v>
      </c>
      <c r="E2159" s="15">
        <v>914</v>
      </c>
      <c r="F2159" s="36" t="s">
        <v>224</v>
      </c>
      <c r="G2159" s="15">
        <v>914</v>
      </c>
      <c r="H2159" s="15">
        <f t="shared" si="34"/>
        <v>0</v>
      </c>
      <c r="I2159" s="19"/>
    </row>
    <row r="2160" spans="1:9" x14ac:dyDescent="0.25">
      <c r="A2160" s="16">
        <v>42754</v>
      </c>
      <c r="B2160" s="17" t="s">
        <v>2512</v>
      </c>
      <c r="C2160" s="18">
        <v>97757</v>
      </c>
      <c r="D2160" s="2" t="s">
        <v>30</v>
      </c>
      <c r="E2160" s="15">
        <v>895.5</v>
      </c>
      <c r="F2160" s="36" t="s">
        <v>224</v>
      </c>
      <c r="G2160" s="15">
        <v>895.5</v>
      </c>
      <c r="H2160" s="15">
        <f t="shared" si="34"/>
        <v>0</v>
      </c>
      <c r="I2160" s="19"/>
    </row>
    <row r="2161" spans="1:9" x14ac:dyDescent="0.25">
      <c r="A2161" s="16">
        <v>42754</v>
      </c>
      <c r="B2161" s="17" t="s">
        <v>2513</v>
      </c>
      <c r="C2161" s="18">
        <v>97758</v>
      </c>
      <c r="D2161" s="2" t="s">
        <v>329</v>
      </c>
      <c r="E2161" s="15">
        <v>432</v>
      </c>
      <c r="F2161" s="36" t="s">
        <v>224</v>
      </c>
      <c r="G2161" s="15">
        <v>432</v>
      </c>
      <c r="H2161" s="15">
        <f t="shared" si="34"/>
        <v>0</v>
      </c>
      <c r="I2161" s="19"/>
    </row>
    <row r="2162" spans="1:9" x14ac:dyDescent="0.25">
      <c r="A2162" s="16">
        <v>42754</v>
      </c>
      <c r="B2162" s="17" t="s">
        <v>2514</v>
      </c>
      <c r="C2162" s="18">
        <v>97759</v>
      </c>
      <c r="D2162" s="2" t="s">
        <v>122</v>
      </c>
      <c r="E2162" s="15">
        <v>2428.8000000000002</v>
      </c>
      <c r="F2162" s="36" t="s">
        <v>1173</v>
      </c>
      <c r="G2162" s="15">
        <v>2428.8000000000002</v>
      </c>
      <c r="H2162" s="15">
        <f t="shared" si="34"/>
        <v>0</v>
      </c>
      <c r="I2162" s="19"/>
    </row>
    <row r="2163" spans="1:9" x14ac:dyDescent="0.25">
      <c r="A2163" s="16">
        <v>42754</v>
      </c>
      <c r="B2163" s="17" t="s">
        <v>2515</v>
      </c>
      <c r="C2163" s="18">
        <v>97760</v>
      </c>
      <c r="D2163" s="2" t="s">
        <v>122</v>
      </c>
      <c r="E2163" s="15">
        <v>6513.6</v>
      </c>
      <c r="F2163" s="36" t="s">
        <v>1173</v>
      </c>
      <c r="G2163" s="15">
        <v>6513.6</v>
      </c>
      <c r="H2163" s="15">
        <f t="shared" si="34"/>
        <v>0</v>
      </c>
      <c r="I2163" s="19"/>
    </row>
    <row r="2164" spans="1:9" x14ac:dyDescent="0.25">
      <c r="A2164" s="16">
        <v>42754</v>
      </c>
      <c r="B2164" s="17" t="s">
        <v>2516</v>
      </c>
      <c r="C2164" s="18">
        <v>97761</v>
      </c>
      <c r="D2164" s="2" t="s">
        <v>222</v>
      </c>
      <c r="E2164" s="15">
        <v>29436.799999999999</v>
      </c>
      <c r="F2164" s="36" t="s">
        <v>927</v>
      </c>
      <c r="G2164" s="15">
        <v>29436.799999999999</v>
      </c>
      <c r="H2164" s="15">
        <f t="shared" si="34"/>
        <v>0</v>
      </c>
      <c r="I2164" s="19"/>
    </row>
    <row r="2165" spans="1:9" x14ac:dyDescent="0.25">
      <c r="A2165" s="16">
        <v>42754</v>
      </c>
      <c r="B2165" s="17" t="s">
        <v>2517</v>
      </c>
      <c r="C2165" s="18">
        <v>97762</v>
      </c>
      <c r="D2165" s="2" t="s">
        <v>302</v>
      </c>
      <c r="E2165" s="15">
        <v>4664</v>
      </c>
      <c r="F2165" s="36" t="s">
        <v>224</v>
      </c>
      <c r="G2165" s="15">
        <v>4664</v>
      </c>
      <c r="H2165" s="15">
        <f t="shared" si="34"/>
        <v>0</v>
      </c>
      <c r="I2165" s="19"/>
    </row>
    <row r="2166" spans="1:9" x14ac:dyDescent="0.25">
      <c r="A2166" s="16">
        <v>42754</v>
      </c>
      <c r="B2166" s="17" t="s">
        <v>2518</v>
      </c>
      <c r="C2166" s="18">
        <v>97763</v>
      </c>
      <c r="D2166" s="2" t="s">
        <v>2519</v>
      </c>
      <c r="E2166" s="15">
        <v>2354.8000000000002</v>
      </c>
      <c r="F2166" s="36" t="s">
        <v>224</v>
      </c>
      <c r="G2166" s="15">
        <v>2354.8000000000002</v>
      </c>
      <c r="H2166" s="15">
        <f t="shared" si="34"/>
        <v>0</v>
      </c>
      <c r="I2166" s="21"/>
    </row>
    <row r="2167" spans="1:9" x14ac:dyDescent="0.25">
      <c r="A2167" s="16">
        <v>42754</v>
      </c>
      <c r="B2167" s="17" t="s">
        <v>2520</v>
      </c>
      <c r="C2167" s="18">
        <v>97764</v>
      </c>
      <c r="D2167" s="2" t="s">
        <v>176</v>
      </c>
      <c r="E2167" s="15">
        <v>3979.8</v>
      </c>
      <c r="F2167" s="36" t="s">
        <v>224</v>
      </c>
      <c r="G2167" s="15">
        <v>3979.8</v>
      </c>
      <c r="H2167" s="15">
        <f t="shared" si="34"/>
        <v>0</v>
      </c>
      <c r="I2167" s="21"/>
    </row>
    <row r="2168" spans="1:9" x14ac:dyDescent="0.25">
      <c r="A2168" s="16">
        <v>42754</v>
      </c>
      <c r="B2168" s="17" t="s">
        <v>2521</v>
      </c>
      <c r="C2168" s="18">
        <v>97765</v>
      </c>
      <c r="D2168" s="2" t="s">
        <v>10</v>
      </c>
      <c r="E2168" s="15">
        <v>58701.5</v>
      </c>
      <c r="F2168" s="36" t="s">
        <v>927</v>
      </c>
      <c r="G2168" s="15">
        <v>58701.5</v>
      </c>
      <c r="H2168" s="15">
        <f t="shared" si="34"/>
        <v>0</v>
      </c>
      <c r="I2168" s="21"/>
    </row>
    <row r="2169" spans="1:9" x14ac:dyDescent="0.25">
      <c r="A2169" s="16">
        <v>42754</v>
      </c>
      <c r="B2169" s="17" t="s">
        <v>2522</v>
      </c>
      <c r="C2169" s="18">
        <v>97766</v>
      </c>
      <c r="D2169" s="2" t="s">
        <v>10</v>
      </c>
      <c r="E2169" s="15">
        <v>4320</v>
      </c>
      <c r="F2169" s="36" t="s">
        <v>927</v>
      </c>
      <c r="G2169" s="15">
        <v>4320</v>
      </c>
      <c r="H2169" s="15">
        <f t="shared" si="34"/>
        <v>0</v>
      </c>
      <c r="I2169" s="21"/>
    </row>
    <row r="2170" spans="1:9" x14ac:dyDescent="0.25">
      <c r="A2170" s="16">
        <v>42754</v>
      </c>
      <c r="B2170" s="17" t="s">
        <v>2523</v>
      </c>
      <c r="C2170" s="18">
        <v>97767</v>
      </c>
      <c r="D2170" s="2" t="s">
        <v>651</v>
      </c>
      <c r="E2170" s="15">
        <v>27240.400000000001</v>
      </c>
      <c r="F2170" s="36" t="s">
        <v>224</v>
      </c>
      <c r="G2170" s="15">
        <v>27240.400000000001</v>
      </c>
      <c r="H2170" s="15">
        <f t="shared" si="34"/>
        <v>0</v>
      </c>
      <c r="I2170" s="21"/>
    </row>
    <row r="2171" spans="1:9" x14ac:dyDescent="0.25">
      <c r="A2171" s="16">
        <v>42754</v>
      </c>
      <c r="B2171" s="17" t="s">
        <v>2524</v>
      </c>
      <c r="C2171" s="18">
        <v>97768</v>
      </c>
      <c r="D2171" s="2" t="s">
        <v>222</v>
      </c>
      <c r="E2171" s="15">
        <v>276224</v>
      </c>
      <c r="F2171" s="36" t="s">
        <v>224</v>
      </c>
      <c r="G2171" s="15">
        <v>276224</v>
      </c>
      <c r="H2171" s="15">
        <f t="shared" si="34"/>
        <v>0</v>
      </c>
      <c r="I2171" s="21"/>
    </row>
    <row r="2172" spans="1:9" x14ac:dyDescent="0.25">
      <c r="A2172" s="16">
        <v>42754</v>
      </c>
      <c r="B2172" s="17" t="s">
        <v>2525</v>
      </c>
      <c r="C2172" s="18">
        <v>97769</v>
      </c>
      <c r="D2172" s="2" t="s">
        <v>30</v>
      </c>
      <c r="E2172" s="15">
        <v>842</v>
      </c>
      <c r="F2172" s="36" t="s">
        <v>224</v>
      </c>
      <c r="G2172" s="15">
        <v>842</v>
      </c>
      <c r="H2172" s="15">
        <f t="shared" si="34"/>
        <v>0</v>
      </c>
      <c r="I2172" s="21"/>
    </row>
    <row r="2173" spans="1:9" x14ac:dyDescent="0.25">
      <c r="A2173" s="16">
        <v>42754</v>
      </c>
      <c r="B2173" s="17" t="s">
        <v>2526</v>
      </c>
      <c r="C2173" s="18">
        <v>97770</v>
      </c>
      <c r="D2173" s="2" t="s">
        <v>88</v>
      </c>
      <c r="E2173" s="15">
        <v>1404</v>
      </c>
      <c r="F2173" s="36" t="s">
        <v>224</v>
      </c>
      <c r="G2173" s="15">
        <v>1404</v>
      </c>
      <c r="H2173" s="15">
        <f t="shared" si="34"/>
        <v>0</v>
      </c>
      <c r="I2173" s="21"/>
    </row>
    <row r="2174" spans="1:9" x14ac:dyDescent="0.25">
      <c r="A2174" s="16">
        <v>42754</v>
      </c>
      <c r="B2174" s="17" t="s">
        <v>2527</v>
      </c>
      <c r="C2174" s="18">
        <v>97771</v>
      </c>
      <c r="D2174" s="2" t="s">
        <v>2528</v>
      </c>
      <c r="E2174" s="15">
        <v>1300.8</v>
      </c>
      <c r="F2174" s="36" t="s">
        <v>1539</v>
      </c>
      <c r="G2174" s="15">
        <v>1300.8</v>
      </c>
      <c r="H2174" s="15">
        <f t="shared" si="34"/>
        <v>0</v>
      </c>
      <c r="I2174" s="21"/>
    </row>
    <row r="2175" spans="1:9" x14ac:dyDescent="0.25">
      <c r="A2175" s="16">
        <v>42754</v>
      </c>
      <c r="B2175" s="17" t="s">
        <v>2529</v>
      </c>
      <c r="C2175" s="18">
        <v>97772</v>
      </c>
      <c r="D2175" s="2" t="s">
        <v>14</v>
      </c>
      <c r="E2175" s="15">
        <v>9254.7999999999993</v>
      </c>
      <c r="F2175" s="36" t="s">
        <v>224</v>
      </c>
      <c r="G2175" s="15">
        <v>9254.7999999999993</v>
      </c>
      <c r="H2175" s="15">
        <f t="shared" si="34"/>
        <v>0</v>
      </c>
      <c r="I2175" s="21"/>
    </row>
    <row r="2176" spans="1:9" x14ac:dyDescent="0.25">
      <c r="A2176" s="16">
        <v>42754</v>
      </c>
      <c r="B2176" s="17" t="s">
        <v>2530</v>
      </c>
      <c r="C2176" s="18">
        <v>97773</v>
      </c>
      <c r="D2176" s="2" t="s">
        <v>356</v>
      </c>
      <c r="E2176" s="15">
        <v>10012.799999999999</v>
      </c>
      <c r="F2176" s="36" t="s">
        <v>224</v>
      </c>
      <c r="G2176" s="15">
        <v>10012.799999999999</v>
      </c>
      <c r="H2176" s="15">
        <f t="shared" si="34"/>
        <v>0</v>
      </c>
      <c r="I2176" s="21"/>
    </row>
    <row r="2177" spans="1:9" x14ac:dyDescent="0.25">
      <c r="A2177" s="16">
        <v>42754</v>
      </c>
      <c r="B2177" s="17" t="s">
        <v>2531</v>
      </c>
      <c r="C2177" s="18">
        <v>97774</v>
      </c>
      <c r="D2177" s="2" t="s">
        <v>656</v>
      </c>
      <c r="E2177" s="15">
        <v>9331.2000000000007</v>
      </c>
      <c r="F2177" s="36" t="s">
        <v>224</v>
      </c>
      <c r="G2177" s="15">
        <v>9331.2000000000007</v>
      </c>
      <c r="H2177" s="15">
        <f t="shared" si="34"/>
        <v>0</v>
      </c>
      <c r="I2177" s="21"/>
    </row>
    <row r="2178" spans="1:9" x14ac:dyDescent="0.25">
      <c r="A2178" s="16">
        <v>42754</v>
      </c>
      <c r="B2178" s="17" t="s">
        <v>2532</v>
      </c>
      <c r="C2178" s="18">
        <v>97775</v>
      </c>
      <c r="D2178" s="2" t="s">
        <v>2533</v>
      </c>
      <c r="E2178" s="15">
        <v>2291.9</v>
      </c>
      <c r="F2178" s="36" t="s">
        <v>1539</v>
      </c>
      <c r="G2178" s="15">
        <v>2291.9</v>
      </c>
      <c r="H2178" s="15">
        <f t="shared" si="34"/>
        <v>0</v>
      </c>
      <c r="I2178" s="21"/>
    </row>
    <row r="2179" spans="1:9" x14ac:dyDescent="0.25">
      <c r="A2179" s="16">
        <v>42754</v>
      </c>
      <c r="B2179" s="17" t="s">
        <v>2534</v>
      </c>
      <c r="C2179" s="18">
        <v>97776</v>
      </c>
      <c r="D2179" s="2" t="s">
        <v>2535</v>
      </c>
      <c r="E2179" s="15">
        <v>897</v>
      </c>
      <c r="F2179" s="36" t="s">
        <v>1539</v>
      </c>
      <c r="G2179" s="15">
        <v>897</v>
      </c>
      <c r="H2179" s="15">
        <f t="shared" si="34"/>
        <v>0</v>
      </c>
      <c r="I2179" s="21"/>
    </row>
    <row r="2180" spans="1:9" x14ac:dyDescent="0.25">
      <c r="A2180" s="16">
        <v>42754</v>
      </c>
      <c r="B2180" s="17" t="s">
        <v>2536</v>
      </c>
      <c r="C2180" s="18">
        <v>97777</v>
      </c>
      <c r="D2180" s="2" t="s">
        <v>2535</v>
      </c>
      <c r="E2180" s="15">
        <v>2424.4</v>
      </c>
      <c r="F2180" s="36" t="s">
        <v>1539</v>
      </c>
      <c r="G2180" s="15">
        <v>2424.4</v>
      </c>
      <c r="H2180" s="15">
        <f t="shared" si="34"/>
        <v>0</v>
      </c>
      <c r="I2180" s="21"/>
    </row>
    <row r="2181" spans="1:9" x14ac:dyDescent="0.25">
      <c r="A2181" s="16">
        <v>42754</v>
      </c>
      <c r="B2181" s="17" t="s">
        <v>2537</v>
      </c>
      <c r="C2181" s="18">
        <v>97778</v>
      </c>
      <c r="D2181" s="2" t="s">
        <v>182</v>
      </c>
      <c r="E2181" s="15">
        <v>2300</v>
      </c>
      <c r="F2181" s="36" t="s">
        <v>1539</v>
      </c>
      <c r="G2181" s="15">
        <v>2300</v>
      </c>
      <c r="H2181" s="15">
        <f t="shared" si="34"/>
        <v>0</v>
      </c>
      <c r="I2181" s="21"/>
    </row>
    <row r="2182" spans="1:9" x14ac:dyDescent="0.25">
      <c r="A2182" s="16">
        <v>42754</v>
      </c>
      <c r="B2182" s="17" t="s">
        <v>2538</v>
      </c>
      <c r="C2182" s="18">
        <v>97779</v>
      </c>
      <c r="D2182" s="2" t="s">
        <v>193</v>
      </c>
      <c r="E2182" s="15">
        <v>1958</v>
      </c>
      <c r="F2182" s="36" t="s">
        <v>1539</v>
      </c>
      <c r="G2182" s="15">
        <v>1958</v>
      </c>
      <c r="H2182" s="15">
        <f t="shared" ref="H2182:H2245" si="35">E2182-G2182</f>
        <v>0</v>
      </c>
      <c r="I2182" s="21"/>
    </row>
    <row r="2183" spans="1:9" x14ac:dyDescent="0.25">
      <c r="A2183" s="16">
        <v>42754</v>
      </c>
      <c r="B2183" s="17" t="s">
        <v>2539</v>
      </c>
      <c r="C2183" s="18">
        <v>97780</v>
      </c>
      <c r="D2183" s="2" t="s">
        <v>1166</v>
      </c>
      <c r="E2183" s="15">
        <v>1189</v>
      </c>
      <c r="F2183" s="36" t="s">
        <v>1539</v>
      </c>
      <c r="G2183" s="15">
        <v>1189</v>
      </c>
      <c r="H2183" s="15">
        <f t="shared" si="35"/>
        <v>0</v>
      </c>
      <c r="I2183" s="21"/>
    </row>
    <row r="2184" spans="1:9" x14ac:dyDescent="0.25">
      <c r="A2184" s="16">
        <v>42754</v>
      </c>
      <c r="B2184" s="17" t="s">
        <v>2540</v>
      </c>
      <c r="C2184" s="18">
        <v>97781</v>
      </c>
      <c r="D2184" s="2" t="s">
        <v>122</v>
      </c>
      <c r="E2184" s="15">
        <v>446.2</v>
      </c>
      <c r="F2184" s="36" t="s">
        <v>1173</v>
      </c>
      <c r="G2184" s="15">
        <v>446.2</v>
      </c>
      <c r="H2184" s="15">
        <f t="shared" si="35"/>
        <v>0</v>
      </c>
      <c r="I2184" s="21"/>
    </row>
    <row r="2185" spans="1:9" x14ac:dyDescent="0.25">
      <c r="A2185" s="16">
        <v>42754</v>
      </c>
      <c r="B2185" s="17" t="s">
        <v>2541</v>
      </c>
      <c r="C2185" s="18">
        <v>97782</v>
      </c>
      <c r="D2185" s="2" t="s">
        <v>693</v>
      </c>
      <c r="E2185" s="15">
        <v>15799.2</v>
      </c>
      <c r="F2185" s="36" t="s">
        <v>224</v>
      </c>
      <c r="G2185" s="15">
        <v>15799.2</v>
      </c>
      <c r="H2185" s="15">
        <f t="shared" si="35"/>
        <v>0</v>
      </c>
      <c r="I2185" s="21"/>
    </row>
    <row r="2186" spans="1:9" x14ac:dyDescent="0.25">
      <c r="A2186" s="16">
        <v>42754</v>
      </c>
      <c r="B2186" s="17" t="s">
        <v>2542</v>
      </c>
      <c r="C2186" s="18">
        <v>97783</v>
      </c>
      <c r="D2186" s="2" t="s">
        <v>220</v>
      </c>
      <c r="E2186" s="15">
        <v>3102.4</v>
      </c>
      <c r="F2186" s="36" t="s">
        <v>1539</v>
      </c>
      <c r="G2186" s="15">
        <v>3102.4</v>
      </c>
      <c r="H2186" s="15">
        <f t="shared" si="35"/>
        <v>0</v>
      </c>
      <c r="I2186" s="21"/>
    </row>
    <row r="2187" spans="1:9" x14ac:dyDescent="0.25">
      <c r="A2187" s="16">
        <v>42754</v>
      </c>
      <c r="B2187" s="17" t="s">
        <v>2543</v>
      </c>
      <c r="C2187" s="18">
        <v>97784</v>
      </c>
      <c r="D2187" s="2" t="s">
        <v>186</v>
      </c>
      <c r="E2187" s="15">
        <v>1507</v>
      </c>
      <c r="F2187" s="36" t="s">
        <v>336</v>
      </c>
      <c r="G2187" s="15">
        <v>1507</v>
      </c>
      <c r="H2187" s="15">
        <f t="shared" si="35"/>
        <v>0</v>
      </c>
      <c r="I2187" s="21"/>
    </row>
    <row r="2188" spans="1:9" x14ac:dyDescent="0.25">
      <c r="A2188" s="16">
        <v>42754</v>
      </c>
      <c r="B2188" s="17" t="s">
        <v>2544</v>
      </c>
      <c r="C2188" s="18">
        <v>97785</v>
      </c>
      <c r="D2188" s="2" t="s">
        <v>2545</v>
      </c>
      <c r="E2188" s="15">
        <v>3412.8</v>
      </c>
      <c r="F2188" s="36" t="s">
        <v>224</v>
      </c>
      <c r="G2188" s="15">
        <v>3412.8</v>
      </c>
      <c r="H2188" s="15">
        <f t="shared" si="35"/>
        <v>0</v>
      </c>
      <c r="I2188" s="19"/>
    </row>
    <row r="2189" spans="1:9" x14ac:dyDescent="0.25">
      <c r="A2189" s="16">
        <v>42754</v>
      </c>
      <c r="B2189" s="17" t="s">
        <v>2546</v>
      </c>
      <c r="C2189" s="18">
        <v>97786</v>
      </c>
      <c r="D2189" s="2" t="s">
        <v>937</v>
      </c>
      <c r="E2189" s="15">
        <v>2589.8000000000002</v>
      </c>
      <c r="F2189" s="36" t="s">
        <v>224</v>
      </c>
      <c r="G2189" s="15">
        <v>2589.8000000000002</v>
      </c>
      <c r="H2189" s="15">
        <f t="shared" si="35"/>
        <v>0</v>
      </c>
      <c r="I2189" s="21"/>
    </row>
    <row r="2190" spans="1:9" x14ac:dyDescent="0.25">
      <c r="A2190" s="16">
        <v>42754</v>
      </c>
      <c r="B2190" s="17" t="s">
        <v>2547</v>
      </c>
      <c r="C2190" s="18">
        <v>97787</v>
      </c>
      <c r="D2190" s="2" t="s">
        <v>354</v>
      </c>
      <c r="E2190" s="15">
        <v>1579.9</v>
      </c>
      <c r="F2190" s="36" t="s">
        <v>224</v>
      </c>
      <c r="G2190" s="15">
        <v>1579.9</v>
      </c>
      <c r="H2190" s="15">
        <f t="shared" si="35"/>
        <v>0</v>
      </c>
      <c r="I2190" s="21"/>
    </row>
    <row r="2191" spans="1:9" x14ac:dyDescent="0.25">
      <c r="A2191" s="16">
        <v>42754</v>
      </c>
      <c r="B2191" s="17" t="s">
        <v>2548</v>
      </c>
      <c r="C2191" s="18">
        <v>97788</v>
      </c>
      <c r="D2191" s="2" t="s">
        <v>426</v>
      </c>
      <c r="E2191" s="15">
        <v>28235.4</v>
      </c>
      <c r="F2191" s="36" t="s">
        <v>166</v>
      </c>
      <c r="G2191" s="15">
        <v>28235.4</v>
      </c>
      <c r="H2191" s="15">
        <f t="shared" si="35"/>
        <v>0</v>
      </c>
      <c r="I2191" s="21"/>
    </row>
    <row r="2192" spans="1:9" x14ac:dyDescent="0.25">
      <c r="A2192" s="16">
        <v>42754</v>
      </c>
      <c r="B2192" s="17" t="s">
        <v>2549</v>
      </c>
      <c r="C2192" s="18">
        <v>97789</v>
      </c>
      <c r="D2192" s="2" t="s">
        <v>30</v>
      </c>
      <c r="E2192" s="15">
        <v>84.8</v>
      </c>
      <c r="F2192" s="36" t="s">
        <v>224</v>
      </c>
      <c r="G2192" s="15">
        <v>84.8</v>
      </c>
      <c r="H2192" s="15">
        <f t="shared" si="35"/>
        <v>0</v>
      </c>
      <c r="I2192" s="21"/>
    </row>
    <row r="2193" spans="1:9" x14ac:dyDescent="0.25">
      <c r="A2193" s="16">
        <v>42754</v>
      </c>
      <c r="B2193" s="17" t="s">
        <v>2550</v>
      </c>
      <c r="C2193" s="18">
        <v>97790</v>
      </c>
      <c r="D2193" s="13" t="s">
        <v>12</v>
      </c>
      <c r="E2193" s="14">
        <v>0</v>
      </c>
      <c r="F2193" s="123" t="s">
        <v>95</v>
      </c>
      <c r="G2193" s="14">
        <v>0</v>
      </c>
      <c r="H2193" s="14">
        <f t="shared" si="35"/>
        <v>0</v>
      </c>
      <c r="I2193" s="21"/>
    </row>
    <row r="2194" spans="1:9" x14ac:dyDescent="0.25">
      <c r="A2194" s="16">
        <v>42754</v>
      </c>
      <c r="B2194" s="17" t="s">
        <v>2551</v>
      </c>
      <c r="C2194" s="18">
        <v>97791</v>
      </c>
      <c r="D2194" s="2" t="s">
        <v>2552</v>
      </c>
      <c r="E2194" s="15">
        <v>1016.8</v>
      </c>
      <c r="F2194" s="36" t="s">
        <v>224</v>
      </c>
      <c r="G2194" s="15">
        <v>1016.8</v>
      </c>
      <c r="H2194" s="15">
        <f t="shared" si="35"/>
        <v>0</v>
      </c>
      <c r="I2194" s="21"/>
    </row>
    <row r="2195" spans="1:9" x14ac:dyDescent="0.25">
      <c r="A2195" s="16">
        <v>42754</v>
      </c>
      <c r="B2195" s="17" t="s">
        <v>2553</v>
      </c>
      <c r="C2195" s="18">
        <v>97792</v>
      </c>
      <c r="D2195" s="2" t="s">
        <v>665</v>
      </c>
      <c r="E2195" s="15">
        <v>66621.600000000006</v>
      </c>
      <c r="F2195" s="36" t="s">
        <v>2554</v>
      </c>
      <c r="G2195" s="15">
        <v>66621.600000000006</v>
      </c>
      <c r="H2195" s="15">
        <f t="shared" si="35"/>
        <v>0</v>
      </c>
      <c r="I2195" s="21"/>
    </row>
    <row r="2196" spans="1:9" x14ac:dyDescent="0.25">
      <c r="A2196" s="16">
        <v>42754</v>
      </c>
      <c r="B2196" s="17" t="s">
        <v>2555</v>
      </c>
      <c r="C2196" s="18">
        <v>97793</v>
      </c>
      <c r="D2196" s="2" t="s">
        <v>675</v>
      </c>
      <c r="E2196" s="15">
        <v>2819.8</v>
      </c>
      <c r="F2196" s="36" t="s">
        <v>927</v>
      </c>
      <c r="G2196" s="15">
        <v>2819.8</v>
      </c>
      <c r="H2196" s="15">
        <f t="shared" si="35"/>
        <v>0</v>
      </c>
      <c r="I2196" s="21"/>
    </row>
    <row r="2197" spans="1:9" x14ac:dyDescent="0.25">
      <c r="A2197" s="16">
        <v>42754</v>
      </c>
      <c r="B2197" s="17" t="s">
        <v>2556</v>
      </c>
      <c r="C2197" s="18">
        <v>97794</v>
      </c>
      <c r="D2197" s="2" t="s">
        <v>1598</v>
      </c>
      <c r="E2197" s="15">
        <v>817.2</v>
      </c>
      <c r="F2197" s="36" t="s">
        <v>927</v>
      </c>
      <c r="G2197" s="15">
        <v>817.2</v>
      </c>
      <c r="H2197" s="15">
        <f t="shared" si="35"/>
        <v>0</v>
      </c>
      <c r="I2197" s="21"/>
    </row>
    <row r="2198" spans="1:9" x14ac:dyDescent="0.25">
      <c r="A2198" s="16">
        <v>42754</v>
      </c>
      <c r="B2198" s="17" t="s">
        <v>2557</v>
      </c>
      <c r="C2198" s="18">
        <v>97795</v>
      </c>
      <c r="D2198" s="2" t="s">
        <v>688</v>
      </c>
      <c r="E2198" s="15">
        <v>10794.2</v>
      </c>
      <c r="F2198" s="36" t="s">
        <v>927</v>
      </c>
      <c r="G2198" s="15">
        <v>10794.2</v>
      </c>
      <c r="H2198" s="15">
        <f t="shared" si="35"/>
        <v>0</v>
      </c>
      <c r="I2198" s="21"/>
    </row>
    <row r="2199" spans="1:9" x14ac:dyDescent="0.25">
      <c r="A2199" s="16">
        <v>42754</v>
      </c>
      <c r="B2199" s="17" t="s">
        <v>2558</v>
      </c>
      <c r="C2199" s="18">
        <v>97796</v>
      </c>
      <c r="D2199" s="2" t="s">
        <v>1614</v>
      </c>
      <c r="E2199" s="15">
        <v>8728.5</v>
      </c>
      <c r="F2199" s="36" t="s">
        <v>2009</v>
      </c>
      <c r="G2199" s="15">
        <v>8728.5</v>
      </c>
      <c r="H2199" s="15">
        <f t="shared" si="35"/>
        <v>0</v>
      </c>
      <c r="I2199" s="21"/>
    </row>
    <row r="2200" spans="1:9" x14ac:dyDescent="0.25">
      <c r="A2200" s="16">
        <v>42754</v>
      </c>
      <c r="B2200" s="17" t="s">
        <v>2559</v>
      </c>
      <c r="C2200" s="18">
        <v>97797</v>
      </c>
      <c r="D2200" s="2" t="s">
        <v>670</v>
      </c>
      <c r="E2200" s="15">
        <v>53591.3</v>
      </c>
      <c r="F2200" s="36" t="s">
        <v>1391</v>
      </c>
      <c r="G2200" s="15">
        <v>53591.3</v>
      </c>
      <c r="H2200" s="15">
        <f t="shared" si="35"/>
        <v>0</v>
      </c>
      <c r="I2200" s="21"/>
    </row>
    <row r="2201" spans="1:9" x14ac:dyDescent="0.25">
      <c r="A2201" s="16">
        <v>42754</v>
      </c>
      <c r="B2201" s="17" t="s">
        <v>2560</v>
      </c>
      <c r="C2201" s="18">
        <v>97798</v>
      </c>
      <c r="D2201" s="2" t="s">
        <v>1594</v>
      </c>
      <c r="E2201" s="15">
        <v>33299.599999999999</v>
      </c>
      <c r="F2201" s="36" t="s">
        <v>1391</v>
      </c>
      <c r="G2201" s="15">
        <v>33299.599999999999</v>
      </c>
      <c r="H2201" s="15">
        <f t="shared" si="35"/>
        <v>0</v>
      </c>
      <c r="I2201" s="21"/>
    </row>
    <row r="2202" spans="1:9" x14ac:dyDescent="0.25">
      <c r="A2202" s="16">
        <v>42754</v>
      </c>
      <c r="B2202" s="17" t="s">
        <v>2561</v>
      </c>
      <c r="C2202" s="18">
        <v>97799</v>
      </c>
      <c r="D2202" s="2" t="s">
        <v>211</v>
      </c>
      <c r="E2202" s="15">
        <v>8619</v>
      </c>
      <c r="F2202" s="36" t="s">
        <v>224</v>
      </c>
      <c r="G2202" s="15">
        <v>8619</v>
      </c>
      <c r="H2202" s="15">
        <f t="shared" si="35"/>
        <v>0</v>
      </c>
      <c r="I2202" s="21"/>
    </row>
    <row r="2203" spans="1:9" x14ac:dyDescent="0.25">
      <c r="A2203" s="16">
        <v>42754</v>
      </c>
      <c r="B2203" s="17" t="s">
        <v>2562</v>
      </c>
      <c r="C2203" s="18">
        <v>97800</v>
      </c>
      <c r="D2203" s="2" t="s">
        <v>10</v>
      </c>
      <c r="E2203" s="15">
        <v>160854.28</v>
      </c>
      <c r="F2203" s="124" t="s">
        <v>2563</v>
      </c>
      <c r="G2203" s="20">
        <f>67550.76+93303.52</f>
        <v>160854.28</v>
      </c>
      <c r="H2203" s="20">
        <f t="shared" si="35"/>
        <v>0</v>
      </c>
      <c r="I2203" s="21"/>
    </row>
    <row r="2204" spans="1:9" x14ac:dyDescent="0.25">
      <c r="A2204" s="16">
        <v>42754</v>
      </c>
      <c r="B2204" s="17" t="s">
        <v>2564</v>
      </c>
      <c r="C2204" s="18">
        <v>97801</v>
      </c>
      <c r="D2204" s="2" t="s">
        <v>686</v>
      </c>
      <c r="E2204" s="15">
        <v>22893.4</v>
      </c>
      <c r="F2204" s="36" t="s">
        <v>224</v>
      </c>
      <c r="G2204" s="15">
        <v>22893.4</v>
      </c>
      <c r="H2204" s="15">
        <f t="shared" si="35"/>
        <v>0</v>
      </c>
      <c r="I2204" s="21"/>
    </row>
    <row r="2205" spans="1:9" x14ac:dyDescent="0.25">
      <c r="A2205" s="16">
        <v>42754</v>
      </c>
      <c r="B2205" s="17" t="s">
        <v>2565</v>
      </c>
      <c r="C2205" s="18">
        <v>97802</v>
      </c>
      <c r="D2205" s="2" t="s">
        <v>921</v>
      </c>
      <c r="E2205" s="15">
        <v>7724.2</v>
      </c>
      <c r="F2205" s="36" t="s">
        <v>224</v>
      </c>
      <c r="G2205" s="15">
        <v>7724.2</v>
      </c>
      <c r="H2205" s="15">
        <f t="shared" si="35"/>
        <v>0</v>
      </c>
      <c r="I2205" s="21"/>
    </row>
    <row r="2206" spans="1:9" x14ac:dyDescent="0.25">
      <c r="A2206" s="16">
        <v>42754</v>
      </c>
      <c r="B2206" s="17" t="s">
        <v>2566</v>
      </c>
      <c r="C2206" s="18">
        <v>97803</v>
      </c>
      <c r="D2206" s="2" t="s">
        <v>205</v>
      </c>
      <c r="E2206" s="15">
        <v>22515.599999999999</v>
      </c>
      <c r="F2206" s="36" t="s">
        <v>2009</v>
      </c>
      <c r="G2206" s="15">
        <v>22515.599999999999</v>
      </c>
      <c r="H2206" s="15">
        <f t="shared" si="35"/>
        <v>0</v>
      </c>
      <c r="I2206" s="21"/>
    </row>
    <row r="2207" spans="1:9" x14ac:dyDescent="0.25">
      <c r="A2207" s="16">
        <v>42754</v>
      </c>
      <c r="B2207" s="17" t="s">
        <v>2567</v>
      </c>
      <c r="C2207" s="18">
        <v>97804</v>
      </c>
      <c r="D2207" s="2" t="s">
        <v>686</v>
      </c>
      <c r="E2207" s="15">
        <v>291.2</v>
      </c>
      <c r="F2207" s="36" t="s">
        <v>224</v>
      </c>
      <c r="G2207" s="15">
        <v>291.2</v>
      </c>
      <c r="H2207" s="15">
        <f t="shared" si="35"/>
        <v>0</v>
      </c>
      <c r="I2207" s="21"/>
    </row>
    <row r="2208" spans="1:9" x14ac:dyDescent="0.25">
      <c r="A2208" s="16">
        <v>42754</v>
      </c>
      <c r="B2208" s="17" t="s">
        <v>2568</v>
      </c>
      <c r="C2208" s="18">
        <v>97805</v>
      </c>
      <c r="D2208" s="2" t="s">
        <v>1589</v>
      </c>
      <c r="E2208" s="15">
        <v>12486.4</v>
      </c>
      <c r="F2208" s="36" t="s">
        <v>927</v>
      </c>
      <c r="G2208" s="15">
        <v>12486.4</v>
      </c>
      <c r="H2208" s="15">
        <f t="shared" si="35"/>
        <v>0</v>
      </c>
      <c r="I2208" s="21"/>
    </row>
    <row r="2209" spans="1:9" x14ac:dyDescent="0.25">
      <c r="A2209" s="16">
        <v>42754</v>
      </c>
      <c r="B2209" s="17" t="s">
        <v>2569</v>
      </c>
      <c r="C2209" s="18">
        <v>97806</v>
      </c>
      <c r="D2209" s="2" t="s">
        <v>1197</v>
      </c>
      <c r="E2209" s="15">
        <v>6918.6</v>
      </c>
      <c r="F2209" s="36" t="s">
        <v>927</v>
      </c>
      <c r="G2209" s="15">
        <v>6918.6</v>
      </c>
      <c r="H2209" s="15">
        <f t="shared" si="35"/>
        <v>0</v>
      </c>
      <c r="I2209" s="21"/>
    </row>
    <row r="2210" spans="1:9" x14ac:dyDescent="0.25">
      <c r="A2210" s="16">
        <v>42754</v>
      </c>
      <c r="B2210" s="17" t="s">
        <v>2570</v>
      </c>
      <c r="C2210" s="18">
        <v>97807</v>
      </c>
      <c r="D2210" s="2" t="s">
        <v>673</v>
      </c>
      <c r="E2210" s="15">
        <v>2364.4</v>
      </c>
      <c r="F2210" s="36" t="s">
        <v>927</v>
      </c>
      <c r="G2210" s="15">
        <v>2364.4</v>
      </c>
      <c r="H2210" s="15">
        <f t="shared" si="35"/>
        <v>0</v>
      </c>
      <c r="I2210" s="21"/>
    </row>
    <row r="2211" spans="1:9" x14ac:dyDescent="0.25">
      <c r="A2211" s="16">
        <v>42754</v>
      </c>
      <c r="B2211" s="17" t="s">
        <v>2571</v>
      </c>
      <c r="C2211" s="18">
        <v>97808</v>
      </c>
      <c r="D2211" s="2" t="s">
        <v>680</v>
      </c>
      <c r="E2211" s="15">
        <v>3124</v>
      </c>
      <c r="F2211" s="36" t="s">
        <v>927</v>
      </c>
      <c r="G2211" s="15">
        <v>3124</v>
      </c>
      <c r="H2211" s="15">
        <f t="shared" si="35"/>
        <v>0</v>
      </c>
      <c r="I2211" s="21"/>
    </row>
    <row r="2212" spans="1:9" x14ac:dyDescent="0.25">
      <c r="A2212" s="16">
        <v>42754</v>
      </c>
      <c r="B2212" s="17" t="s">
        <v>2572</v>
      </c>
      <c r="C2212" s="18">
        <v>97809</v>
      </c>
      <c r="D2212" s="13" t="s">
        <v>879</v>
      </c>
      <c r="E2212" s="14">
        <v>0</v>
      </c>
      <c r="F2212" s="123" t="s">
        <v>95</v>
      </c>
      <c r="G2212" s="14">
        <v>0</v>
      </c>
      <c r="H2212" s="14">
        <f t="shared" si="35"/>
        <v>0</v>
      </c>
      <c r="I2212" s="21"/>
    </row>
    <row r="2213" spans="1:9" x14ac:dyDescent="0.25">
      <c r="A2213" s="16">
        <v>42754</v>
      </c>
      <c r="B2213" s="17" t="s">
        <v>2573</v>
      </c>
      <c r="C2213" s="18">
        <v>97810</v>
      </c>
      <c r="D2213" s="2" t="s">
        <v>677</v>
      </c>
      <c r="E2213" s="15">
        <v>2653.6</v>
      </c>
      <c r="F2213" s="36" t="s">
        <v>927</v>
      </c>
      <c r="G2213" s="15">
        <v>2653.6</v>
      </c>
      <c r="H2213" s="15">
        <f t="shared" si="35"/>
        <v>0</v>
      </c>
      <c r="I2213" s="21"/>
    </row>
    <row r="2214" spans="1:9" x14ac:dyDescent="0.25">
      <c r="A2214" s="16">
        <v>42754</v>
      </c>
      <c r="B2214" s="17" t="s">
        <v>2574</v>
      </c>
      <c r="C2214" s="18">
        <v>97811</v>
      </c>
      <c r="D2214" s="2" t="s">
        <v>670</v>
      </c>
      <c r="E2214" s="15">
        <v>24116</v>
      </c>
      <c r="F2214" s="36" t="s">
        <v>1391</v>
      </c>
      <c r="G2214" s="15">
        <v>24116</v>
      </c>
      <c r="H2214" s="15">
        <f t="shared" si="35"/>
        <v>0</v>
      </c>
      <c r="I2214" s="21"/>
    </row>
    <row r="2215" spans="1:9" x14ac:dyDescent="0.25">
      <c r="A2215" s="16">
        <v>42754</v>
      </c>
      <c r="B2215" s="17" t="s">
        <v>2575</v>
      </c>
      <c r="C2215" s="18">
        <v>97812</v>
      </c>
      <c r="D2215" s="2" t="s">
        <v>222</v>
      </c>
      <c r="E2215" s="15">
        <v>270355.5</v>
      </c>
      <c r="F2215" s="36" t="s">
        <v>927</v>
      </c>
      <c r="G2215" s="15">
        <v>270355.5</v>
      </c>
      <c r="H2215" s="15">
        <f t="shared" si="35"/>
        <v>0</v>
      </c>
      <c r="I2215" s="21"/>
    </row>
    <row r="2216" spans="1:9" x14ac:dyDescent="0.25">
      <c r="A2216" s="16">
        <v>42754</v>
      </c>
      <c r="B2216" s="17" t="s">
        <v>2576</v>
      </c>
      <c r="C2216" s="18">
        <v>97813</v>
      </c>
      <c r="D2216" s="2" t="s">
        <v>10</v>
      </c>
      <c r="E2216" s="15">
        <v>13820.4</v>
      </c>
      <c r="F2216" s="36" t="s">
        <v>2274</v>
      </c>
      <c r="G2216" s="15">
        <v>13820.4</v>
      </c>
      <c r="H2216" s="15">
        <f t="shared" si="35"/>
        <v>0</v>
      </c>
      <c r="I2216" s="21"/>
    </row>
    <row r="2217" spans="1:9" x14ac:dyDescent="0.25">
      <c r="A2217" s="16">
        <v>42754</v>
      </c>
      <c r="B2217" s="17" t="s">
        <v>2577</v>
      </c>
      <c r="C2217" s="18">
        <v>97814</v>
      </c>
      <c r="D2217" s="2" t="s">
        <v>218</v>
      </c>
      <c r="E2217" s="15">
        <v>3244.8</v>
      </c>
      <c r="F2217" s="36" t="s">
        <v>307</v>
      </c>
      <c r="G2217" s="15">
        <v>3244.8</v>
      </c>
      <c r="H2217" s="15">
        <f t="shared" si="35"/>
        <v>0</v>
      </c>
      <c r="I2217" s="21"/>
    </row>
    <row r="2218" spans="1:9" x14ac:dyDescent="0.25">
      <c r="A2218" s="16">
        <v>42755</v>
      </c>
      <c r="B2218" s="17" t="s">
        <v>2578</v>
      </c>
      <c r="C2218" s="18">
        <v>97815</v>
      </c>
      <c r="D2218" s="2" t="s">
        <v>231</v>
      </c>
      <c r="E2218" s="15">
        <v>13471.2</v>
      </c>
      <c r="F2218" s="36" t="s">
        <v>927</v>
      </c>
      <c r="G2218" s="15">
        <v>13471.2</v>
      </c>
      <c r="H2218" s="15">
        <f t="shared" si="35"/>
        <v>0</v>
      </c>
      <c r="I2218" s="21"/>
    </row>
    <row r="2219" spans="1:9" x14ac:dyDescent="0.25">
      <c r="A2219" s="16">
        <v>42755</v>
      </c>
      <c r="B2219" s="17" t="s">
        <v>2579</v>
      </c>
      <c r="C2219" s="18">
        <v>97816</v>
      </c>
      <c r="D2219" s="2" t="s">
        <v>231</v>
      </c>
      <c r="E2219" s="15">
        <v>61154.2</v>
      </c>
      <c r="F2219" s="124" t="s">
        <v>2580</v>
      </c>
      <c r="G2219" s="20">
        <f>47500+13654.2</f>
        <v>61154.2</v>
      </c>
      <c r="H2219" s="20">
        <f t="shared" si="35"/>
        <v>0</v>
      </c>
      <c r="I2219" s="21"/>
    </row>
    <row r="2220" spans="1:9" x14ac:dyDescent="0.25">
      <c r="A2220" s="16">
        <v>42755</v>
      </c>
      <c r="B2220" s="17" t="s">
        <v>2581</v>
      </c>
      <c r="C2220" s="18">
        <v>97817</v>
      </c>
      <c r="D2220" s="2" t="s">
        <v>55</v>
      </c>
      <c r="E2220" s="15">
        <v>3121.8</v>
      </c>
      <c r="F2220" s="36" t="s">
        <v>1539</v>
      </c>
      <c r="G2220" s="15">
        <v>3121.8</v>
      </c>
      <c r="H2220" s="15">
        <f t="shared" si="35"/>
        <v>0</v>
      </c>
      <c r="I2220" s="21"/>
    </row>
    <row r="2221" spans="1:9" x14ac:dyDescent="0.25">
      <c r="A2221" s="16">
        <v>42755</v>
      </c>
      <c r="B2221" s="17" t="s">
        <v>2582</v>
      </c>
      <c r="C2221" s="18">
        <v>97818</v>
      </c>
      <c r="D2221" s="2" t="s">
        <v>1786</v>
      </c>
      <c r="E2221" s="15">
        <v>9156</v>
      </c>
      <c r="F2221" s="36" t="s">
        <v>1539</v>
      </c>
      <c r="G2221" s="15">
        <v>9156</v>
      </c>
      <c r="H2221" s="15">
        <f t="shared" si="35"/>
        <v>0</v>
      </c>
      <c r="I2221" s="21"/>
    </row>
    <row r="2222" spans="1:9" x14ac:dyDescent="0.25">
      <c r="A2222" s="16">
        <v>42755</v>
      </c>
      <c r="B2222" s="17" t="s">
        <v>2583</v>
      </c>
      <c r="C2222" s="18">
        <v>97819</v>
      </c>
      <c r="D2222" s="2" t="s">
        <v>26</v>
      </c>
      <c r="E2222" s="15">
        <v>33948.6</v>
      </c>
      <c r="F2222" s="36" t="s">
        <v>1539</v>
      </c>
      <c r="G2222" s="15">
        <v>33948.6</v>
      </c>
      <c r="H2222" s="15">
        <f t="shared" si="35"/>
        <v>0</v>
      </c>
      <c r="I2222" s="21"/>
    </row>
    <row r="2223" spans="1:9" x14ac:dyDescent="0.25">
      <c r="A2223" s="16">
        <v>42755</v>
      </c>
      <c r="B2223" s="17" t="s">
        <v>2584</v>
      </c>
      <c r="C2223" s="18">
        <v>97820</v>
      </c>
      <c r="D2223" s="13" t="s">
        <v>17</v>
      </c>
      <c r="E2223" s="14">
        <v>0</v>
      </c>
      <c r="F2223" s="123" t="s">
        <v>95</v>
      </c>
      <c r="G2223" s="14">
        <v>0</v>
      </c>
      <c r="H2223" s="14">
        <f t="shared" si="35"/>
        <v>0</v>
      </c>
      <c r="I2223" s="21"/>
    </row>
    <row r="2224" spans="1:9" x14ac:dyDescent="0.25">
      <c r="A2224" s="16">
        <v>42755</v>
      </c>
      <c r="B2224" s="17" t="s">
        <v>2585</v>
      </c>
      <c r="C2224" s="18">
        <v>97821</v>
      </c>
      <c r="D2224" s="2" t="s">
        <v>71</v>
      </c>
      <c r="E2224" s="15">
        <v>4312</v>
      </c>
      <c r="F2224" s="36" t="s">
        <v>1539</v>
      </c>
      <c r="G2224" s="15">
        <v>4312</v>
      </c>
      <c r="H2224" s="15">
        <f t="shared" si="35"/>
        <v>0</v>
      </c>
      <c r="I2224" s="21"/>
    </row>
    <row r="2225" spans="1:9" x14ac:dyDescent="0.25">
      <c r="A2225" s="16">
        <v>42755</v>
      </c>
      <c r="B2225" s="17" t="s">
        <v>2586</v>
      </c>
      <c r="C2225" s="18">
        <v>97822</v>
      </c>
      <c r="D2225" s="2" t="s">
        <v>428</v>
      </c>
      <c r="E2225" s="15">
        <v>1471.5</v>
      </c>
      <c r="F2225" s="36" t="s">
        <v>336</v>
      </c>
      <c r="G2225" s="15">
        <v>1471.5</v>
      </c>
      <c r="H2225" s="15">
        <f t="shared" si="35"/>
        <v>0</v>
      </c>
      <c r="I2225" s="21"/>
    </row>
    <row r="2226" spans="1:9" x14ac:dyDescent="0.25">
      <c r="A2226" s="16">
        <v>42755</v>
      </c>
      <c r="B2226" s="17" t="s">
        <v>2587</v>
      </c>
      <c r="C2226" s="18">
        <v>97823</v>
      </c>
      <c r="D2226" s="2" t="s">
        <v>462</v>
      </c>
      <c r="E2226" s="15">
        <v>48118.400000000001</v>
      </c>
      <c r="F2226" s="36" t="s">
        <v>927</v>
      </c>
      <c r="G2226" s="15">
        <v>48118.400000000001</v>
      </c>
      <c r="H2226" s="15">
        <f t="shared" si="35"/>
        <v>0</v>
      </c>
      <c r="I2226" s="21"/>
    </row>
    <row r="2227" spans="1:9" x14ac:dyDescent="0.25">
      <c r="A2227" s="16">
        <v>42755</v>
      </c>
      <c r="B2227" s="17" t="s">
        <v>2588</v>
      </c>
      <c r="C2227" s="18">
        <v>97824</v>
      </c>
      <c r="D2227" s="2" t="s">
        <v>103</v>
      </c>
      <c r="E2227" s="15">
        <v>3942</v>
      </c>
      <c r="F2227" s="36" t="s">
        <v>927</v>
      </c>
      <c r="G2227" s="15">
        <v>3942</v>
      </c>
      <c r="H2227" s="15">
        <f t="shared" si="35"/>
        <v>0</v>
      </c>
      <c r="I2227" s="21"/>
    </row>
    <row r="2228" spans="1:9" x14ac:dyDescent="0.25">
      <c r="A2228" s="16">
        <v>42755</v>
      </c>
      <c r="B2228" s="17" t="s">
        <v>2589</v>
      </c>
      <c r="C2228" s="18">
        <v>97825</v>
      </c>
      <c r="D2228" s="2" t="s">
        <v>17</v>
      </c>
      <c r="E2228" s="15">
        <v>2300</v>
      </c>
      <c r="F2228" s="36" t="s">
        <v>1539</v>
      </c>
      <c r="G2228" s="15">
        <v>2300</v>
      </c>
      <c r="H2228" s="15">
        <f t="shared" si="35"/>
        <v>0</v>
      </c>
      <c r="I2228" s="21"/>
    </row>
    <row r="2229" spans="1:9" x14ac:dyDescent="0.25">
      <c r="A2229" s="16">
        <v>42755</v>
      </c>
      <c r="B2229" s="17" t="s">
        <v>2590</v>
      </c>
      <c r="C2229" s="18">
        <v>97826</v>
      </c>
      <c r="D2229" s="2" t="s">
        <v>28</v>
      </c>
      <c r="E2229" s="15">
        <v>8862</v>
      </c>
      <c r="F2229" s="36" t="s">
        <v>1539</v>
      </c>
      <c r="G2229" s="15">
        <v>8862</v>
      </c>
      <c r="H2229" s="15">
        <f t="shared" si="35"/>
        <v>0</v>
      </c>
      <c r="I2229" s="21"/>
    </row>
    <row r="2230" spans="1:9" x14ac:dyDescent="0.25">
      <c r="A2230" s="16">
        <v>42755</v>
      </c>
      <c r="B2230" s="17" t="s">
        <v>2591</v>
      </c>
      <c r="C2230" s="18">
        <v>97827</v>
      </c>
      <c r="D2230" s="2" t="s">
        <v>19</v>
      </c>
      <c r="E2230" s="15">
        <v>1840</v>
      </c>
      <c r="F2230" s="36" t="s">
        <v>1539</v>
      </c>
      <c r="G2230" s="15">
        <v>1840</v>
      </c>
      <c r="H2230" s="15">
        <f t="shared" si="35"/>
        <v>0</v>
      </c>
      <c r="I2230" s="21"/>
    </row>
    <row r="2231" spans="1:9" x14ac:dyDescent="0.25">
      <c r="A2231" s="16">
        <v>42755</v>
      </c>
      <c r="B2231" s="17" t="s">
        <v>2592</v>
      </c>
      <c r="C2231" s="18">
        <v>97828</v>
      </c>
      <c r="D2231" s="2" t="s">
        <v>67</v>
      </c>
      <c r="E2231" s="15">
        <v>7948</v>
      </c>
      <c r="F2231" s="36" t="s">
        <v>927</v>
      </c>
      <c r="G2231" s="15">
        <v>7948</v>
      </c>
      <c r="H2231" s="15">
        <f t="shared" si="35"/>
        <v>0</v>
      </c>
      <c r="I2231" s="21"/>
    </row>
    <row r="2232" spans="1:9" x14ac:dyDescent="0.25">
      <c r="A2232" s="16">
        <v>42755</v>
      </c>
      <c r="B2232" s="17" t="s">
        <v>2593</v>
      </c>
      <c r="C2232" s="18">
        <v>97829</v>
      </c>
      <c r="D2232" s="2" t="s">
        <v>49</v>
      </c>
      <c r="E2232" s="15">
        <v>12857</v>
      </c>
      <c r="F2232" s="36" t="s">
        <v>166</v>
      </c>
      <c r="G2232" s="15">
        <v>12857</v>
      </c>
      <c r="H2232" s="15">
        <f t="shared" si="35"/>
        <v>0</v>
      </c>
      <c r="I2232" s="21"/>
    </row>
    <row r="2233" spans="1:9" x14ac:dyDescent="0.25">
      <c r="A2233" s="16">
        <v>42755</v>
      </c>
      <c r="B2233" s="17" t="s">
        <v>2594</v>
      </c>
      <c r="C2233" s="18">
        <v>97830</v>
      </c>
      <c r="D2233" s="2" t="s">
        <v>30</v>
      </c>
      <c r="E2233" s="15">
        <v>2551.5</v>
      </c>
      <c r="F2233" s="36" t="s">
        <v>1539</v>
      </c>
      <c r="G2233" s="15">
        <v>2551.5</v>
      </c>
      <c r="H2233" s="15">
        <f t="shared" si="35"/>
        <v>0</v>
      </c>
      <c r="I2233" s="21"/>
    </row>
    <row r="2234" spans="1:9" x14ac:dyDescent="0.25">
      <c r="A2234" s="16">
        <v>42755</v>
      </c>
      <c r="B2234" s="17" t="s">
        <v>2595</v>
      </c>
      <c r="C2234" s="18">
        <v>97831</v>
      </c>
      <c r="D2234" s="13" t="s">
        <v>1209</v>
      </c>
      <c r="E2234" s="14">
        <v>0</v>
      </c>
      <c r="F2234" s="123" t="s">
        <v>95</v>
      </c>
      <c r="G2234" s="14">
        <v>0</v>
      </c>
      <c r="H2234" s="14">
        <f t="shared" si="35"/>
        <v>0</v>
      </c>
      <c r="I2234" s="21"/>
    </row>
    <row r="2235" spans="1:9" x14ac:dyDescent="0.25">
      <c r="A2235" s="16">
        <v>42755</v>
      </c>
      <c r="B2235" s="17" t="s">
        <v>2596</v>
      </c>
      <c r="C2235" s="18">
        <v>97832</v>
      </c>
      <c r="D2235" s="13" t="s">
        <v>609</v>
      </c>
      <c r="E2235" s="14">
        <v>0</v>
      </c>
      <c r="F2235" s="123" t="s">
        <v>95</v>
      </c>
      <c r="G2235" s="14">
        <v>0</v>
      </c>
      <c r="H2235" s="14">
        <f t="shared" si="35"/>
        <v>0</v>
      </c>
      <c r="I2235" s="21"/>
    </row>
    <row r="2236" spans="1:9" x14ac:dyDescent="0.25">
      <c r="A2236" s="16">
        <v>42755</v>
      </c>
      <c r="B2236" s="17" t="s">
        <v>2597</v>
      </c>
      <c r="C2236" s="18">
        <v>97833</v>
      </c>
      <c r="D2236" s="2" t="s">
        <v>609</v>
      </c>
      <c r="E2236" s="15">
        <v>68795.100000000006</v>
      </c>
      <c r="F2236" s="36" t="s">
        <v>2143</v>
      </c>
      <c r="G2236" s="15">
        <v>68795.100000000006</v>
      </c>
      <c r="H2236" s="15">
        <f t="shared" si="35"/>
        <v>0</v>
      </c>
      <c r="I2236" s="21"/>
    </row>
    <row r="2237" spans="1:9" x14ac:dyDescent="0.25">
      <c r="A2237" s="16">
        <v>42755</v>
      </c>
      <c r="B2237" s="17" t="s">
        <v>2598</v>
      </c>
      <c r="C2237" s="18">
        <v>97834</v>
      </c>
      <c r="D2237" s="2" t="s">
        <v>35</v>
      </c>
      <c r="E2237" s="15">
        <v>16259.1</v>
      </c>
      <c r="F2237" s="36" t="s">
        <v>2274</v>
      </c>
      <c r="G2237" s="15">
        <v>16259.1</v>
      </c>
      <c r="H2237" s="15">
        <f t="shared" si="35"/>
        <v>0</v>
      </c>
      <c r="I2237" s="21"/>
    </row>
    <row r="2238" spans="1:9" x14ac:dyDescent="0.25">
      <c r="A2238" s="16">
        <v>42755</v>
      </c>
      <c r="B2238" s="17" t="s">
        <v>2599</v>
      </c>
      <c r="C2238" s="18">
        <v>97835</v>
      </c>
      <c r="D2238" s="2" t="s">
        <v>47</v>
      </c>
      <c r="E2238" s="15">
        <v>3647.5</v>
      </c>
      <c r="F2238" s="36" t="s">
        <v>1539</v>
      </c>
      <c r="G2238" s="15">
        <v>3647.5</v>
      </c>
      <c r="H2238" s="15">
        <f t="shared" si="35"/>
        <v>0</v>
      </c>
      <c r="I2238" s="21"/>
    </row>
    <row r="2239" spans="1:9" x14ac:dyDescent="0.25">
      <c r="A2239" s="16">
        <v>42755</v>
      </c>
      <c r="B2239" s="17" t="s">
        <v>2600</v>
      </c>
      <c r="C2239" s="18">
        <v>97836</v>
      </c>
      <c r="D2239" s="2" t="s">
        <v>40</v>
      </c>
      <c r="E2239" s="15">
        <v>4446.2</v>
      </c>
      <c r="F2239" s="36" t="s">
        <v>336</v>
      </c>
      <c r="G2239" s="15">
        <v>4446.2</v>
      </c>
      <c r="H2239" s="15">
        <f t="shared" si="35"/>
        <v>0</v>
      </c>
      <c r="I2239" s="21"/>
    </row>
    <row r="2240" spans="1:9" x14ac:dyDescent="0.25">
      <c r="A2240" s="16">
        <v>42755</v>
      </c>
      <c r="B2240" s="17" t="s">
        <v>2601</v>
      </c>
      <c r="C2240" s="18">
        <v>97837</v>
      </c>
      <c r="D2240" s="2" t="s">
        <v>1645</v>
      </c>
      <c r="E2240" s="15">
        <v>2487.6</v>
      </c>
      <c r="F2240" s="36" t="s">
        <v>1539</v>
      </c>
      <c r="G2240" s="15">
        <v>2487.6</v>
      </c>
      <c r="H2240" s="15">
        <f t="shared" si="35"/>
        <v>0</v>
      </c>
      <c r="I2240" s="21"/>
    </row>
    <row r="2241" spans="1:9" x14ac:dyDescent="0.25">
      <c r="A2241" s="16">
        <v>42755</v>
      </c>
      <c r="B2241" s="17" t="s">
        <v>2602</v>
      </c>
      <c r="C2241" s="18">
        <v>97838</v>
      </c>
      <c r="D2241" s="2" t="s">
        <v>236</v>
      </c>
      <c r="E2241" s="15">
        <v>102944</v>
      </c>
      <c r="F2241" s="36" t="s">
        <v>2166</v>
      </c>
      <c r="G2241" s="15">
        <v>102944</v>
      </c>
      <c r="H2241" s="15">
        <f t="shared" si="35"/>
        <v>0</v>
      </c>
      <c r="I2241" s="21"/>
    </row>
    <row r="2242" spans="1:9" x14ac:dyDescent="0.25">
      <c r="A2242" s="16">
        <v>42755</v>
      </c>
      <c r="B2242" s="17" t="s">
        <v>2603</v>
      </c>
      <c r="C2242" s="18">
        <v>97839</v>
      </c>
      <c r="D2242" s="13" t="s">
        <v>218</v>
      </c>
      <c r="E2242" s="14">
        <v>0</v>
      </c>
      <c r="F2242" s="123" t="s">
        <v>95</v>
      </c>
      <c r="G2242" s="14">
        <v>0</v>
      </c>
      <c r="H2242" s="14">
        <f t="shared" si="35"/>
        <v>0</v>
      </c>
      <c r="I2242" s="21"/>
    </row>
    <row r="2243" spans="1:9" x14ac:dyDescent="0.25">
      <c r="A2243" s="16">
        <v>42755</v>
      </c>
      <c r="B2243" s="17" t="s">
        <v>2604</v>
      </c>
      <c r="C2243" s="18">
        <v>97840</v>
      </c>
      <c r="D2243" s="2" t="s">
        <v>712</v>
      </c>
      <c r="E2243" s="15">
        <v>5551.7</v>
      </c>
      <c r="F2243" s="36" t="s">
        <v>1539</v>
      </c>
      <c r="G2243" s="15">
        <v>5551.7</v>
      </c>
      <c r="H2243" s="15">
        <f t="shared" si="35"/>
        <v>0</v>
      </c>
      <c r="I2243" s="21"/>
    </row>
    <row r="2244" spans="1:9" x14ac:dyDescent="0.25">
      <c r="A2244" s="16">
        <v>42755</v>
      </c>
      <c r="B2244" s="17" t="s">
        <v>2605</v>
      </c>
      <c r="C2244" s="18">
        <v>97841</v>
      </c>
      <c r="D2244" s="13" t="s">
        <v>335</v>
      </c>
      <c r="E2244" s="14">
        <v>0</v>
      </c>
      <c r="F2244" s="123" t="s">
        <v>95</v>
      </c>
      <c r="G2244" s="14">
        <v>0</v>
      </c>
      <c r="H2244" s="14">
        <f t="shared" si="35"/>
        <v>0</v>
      </c>
      <c r="I2244" s="21"/>
    </row>
    <row r="2245" spans="1:9" x14ac:dyDescent="0.25">
      <c r="A2245" s="16">
        <v>42755</v>
      </c>
      <c r="B2245" s="17" t="s">
        <v>2606</v>
      </c>
      <c r="C2245" s="18">
        <v>97842</v>
      </c>
      <c r="D2245" s="2" t="s">
        <v>21</v>
      </c>
      <c r="E2245" s="15">
        <v>45133.2</v>
      </c>
      <c r="F2245" s="36" t="s">
        <v>1889</v>
      </c>
      <c r="G2245" s="15">
        <v>45133.2</v>
      </c>
      <c r="H2245" s="15">
        <f t="shared" si="35"/>
        <v>0</v>
      </c>
      <c r="I2245" s="21"/>
    </row>
    <row r="2246" spans="1:9" x14ac:dyDescent="0.25">
      <c r="A2246" s="16">
        <v>42755</v>
      </c>
      <c r="B2246" s="17" t="s">
        <v>2607</v>
      </c>
      <c r="C2246" s="18">
        <v>97843</v>
      </c>
      <c r="D2246" s="2" t="s">
        <v>38</v>
      </c>
      <c r="E2246" s="15">
        <v>5748.4</v>
      </c>
      <c r="F2246" s="36" t="s">
        <v>2274</v>
      </c>
      <c r="G2246" s="15">
        <v>5748.4</v>
      </c>
      <c r="H2246" s="15">
        <f t="shared" ref="H2246:H2309" si="36">E2246-G2246</f>
        <v>0</v>
      </c>
      <c r="I2246" s="21"/>
    </row>
    <row r="2247" spans="1:9" x14ac:dyDescent="0.25">
      <c r="A2247" s="16">
        <v>42755</v>
      </c>
      <c r="B2247" s="17" t="s">
        <v>2608</v>
      </c>
      <c r="C2247" s="18">
        <v>97844</v>
      </c>
      <c r="D2247" s="2" t="s">
        <v>2609</v>
      </c>
      <c r="E2247" s="15">
        <v>1795.6</v>
      </c>
      <c r="F2247" s="36" t="s">
        <v>1539</v>
      </c>
      <c r="G2247" s="15">
        <v>1795.6</v>
      </c>
      <c r="H2247" s="15">
        <f t="shared" si="36"/>
        <v>0</v>
      </c>
      <c r="I2247" s="21"/>
    </row>
    <row r="2248" spans="1:9" x14ac:dyDescent="0.25">
      <c r="A2248" s="16">
        <v>42755</v>
      </c>
      <c r="B2248" s="17" t="s">
        <v>2610</v>
      </c>
      <c r="C2248" s="18">
        <v>97845</v>
      </c>
      <c r="D2248" s="2" t="s">
        <v>250</v>
      </c>
      <c r="E2248" s="15">
        <v>8407.2000000000007</v>
      </c>
      <c r="F2248" s="36" t="s">
        <v>336</v>
      </c>
      <c r="G2248" s="15">
        <v>8407.2000000000007</v>
      </c>
      <c r="H2248" s="15">
        <f t="shared" si="36"/>
        <v>0</v>
      </c>
      <c r="I2248" s="21"/>
    </row>
    <row r="2249" spans="1:9" x14ac:dyDescent="0.25">
      <c r="A2249" s="16">
        <v>42755</v>
      </c>
      <c r="B2249" s="17" t="s">
        <v>2611</v>
      </c>
      <c r="C2249" s="18">
        <v>97846</v>
      </c>
      <c r="D2249" s="2" t="s">
        <v>32</v>
      </c>
      <c r="E2249" s="15">
        <v>9384.5499999999993</v>
      </c>
      <c r="F2249" s="36" t="s">
        <v>2143</v>
      </c>
      <c r="G2249" s="15">
        <v>9384.5499999999993</v>
      </c>
      <c r="H2249" s="15">
        <f t="shared" si="36"/>
        <v>0</v>
      </c>
      <c r="I2249" s="21"/>
    </row>
    <row r="2250" spans="1:9" x14ac:dyDescent="0.25">
      <c r="A2250" s="16">
        <v>42755</v>
      </c>
      <c r="B2250" s="17" t="s">
        <v>2612</v>
      </c>
      <c r="C2250" s="18">
        <v>97847</v>
      </c>
      <c r="D2250" s="2" t="s">
        <v>2609</v>
      </c>
      <c r="E2250" s="15">
        <v>500.4</v>
      </c>
      <c r="F2250" s="36" t="s">
        <v>1539</v>
      </c>
      <c r="G2250" s="15">
        <v>500.4</v>
      </c>
      <c r="H2250" s="15">
        <f t="shared" si="36"/>
        <v>0</v>
      </c>
      <c r="I2250" s="21"/>
    </row>
    <row r="2251" spans="1:9" x14ac:dyDescent="0.25">
      <c r="A2251" s="16">
        <v>42755</v>
      </c>
      <c r="B2251" s="17" t="s">
        <v>2613</v>
      </c>
      <c r="C2251" s="18">
        <v>97848</v>
      </c>
      <c r="D2251" s="2" t="s">
        <v>69</v>
      </c>
      <c r="E2251" s="15">
        <v>1874.8</v>
      </c>
      <c r="F2251" s="36" t="s">
        <v>1539</v>
      </c>
      <c r="G2251" s="15">
        <v>1874.8</v>
      </c>
      <c r="H2251" s="15">
        <f t="shared" si="36"/>
        <v>0</v>
      </c>
      <c r="I2251" s="21"/>
    </row>
    <row r="2252" spans="1:9" x14ac:dyDescent="0.25">
      <c r="A2252" s="16">
        <v>42755</v>
      </c>
      <c r="B2252" s="17" t="s">
        <v>2614</v>
      </c>
      <c r="C2252" s="18">
        <v>97849</v>
      </c>
      <c r="D2252" s="2" t="s">
        <v>430</v>
      </c>
      <c r="E2252" s="15">
        <v>1764.4</v>
      </c>
      <c r="F2252" s="36" t="s">
        <v>1539</v>
      </c>
      <c r="G2252" s="15">
        <v>1764.4</v>
      </c>
      <c r="H2252" s="15">
        <f t="shared" si="36"/>
        <v>0</v>
      </c>
      <c r="I2252" s="21"/>
    </row>
    <row r="2253" spans="1:9" x14ac:dyDescent="0.25">
      <c r="A2253" s="16">
        <v>42755</v>
      </c>
      <c r="B2253" s="17" t="s">
        <v>2615</v>
      </c>
      <c r="C2253" s="18">
        <v>97850</v>
      </c>
      <c r="D2253" s="13" t="s">
        <v>2616</v>
      </c>
      <c r="E2253" s="14">
        <v>0</v>
      </c>
      <c r="F2253" s="123" t="s">
        <v>95</v>
      </c>
      <c r="G2253" s="14">
        <v>0</v>
      </c>
      <c r="H2253" s="14">
        <f t="shared" si="36"/>
        <v>0</v>
      </c>
      <c r="I2253" s="21"/>
    </row>
    <row r="2254" spans="1:9" x14ac:dyDescent="0.25">
      <c r="A2254" s="16">
        <v>42755</v>
      </c>
      <c r="B2254" s="17" t="s">
        <v>2617</v>
      </c>
      <c r="C2254" s="18">
        <v>97851</v>
      </c>
      <c r="D2254" s="2" t="s">
        <v>51</v>
      </c>
      <c r="E2254" s="15">
        <v>980</v>
      </c>
      <c r="F2254" s="36" t="s">
        <v>2274</v>
      </c>
      <c r="G2254" s="15">
        <v>980</v>
      </c>
      <c r="H2254" s="15">
        <f t="shared" si="36"/>
        <v>0</v>
      </c>
      <c r="I2254" s="21"/>
    </row>
    <row r="2255" spans="1:9" x14ac:dyDescent="0.25">
      <c r="A2255" s="16">
        <v>42755</v>
      </c>
      <c r="B2255" s="17" t="s">
        <v>2618</v>
      </c>
      <c r="C2255" s="18">
        <v>97852</v>
      </c>
      <c r="D2255" s="2" t="s">
        <v>30</v>
      </c>
      <c r="E2255" s="15">
        <v>371.3</v>
      </c>
      <c r="F2255" s="36" t="s">
        <v>1539</v>
      </c>
      <c r="G2255" s="15">
        <v>371.3</v>
      </c>
      <c r="H2255" s="15">
        <f t="shared" si="36"/>
        <v>0</v>
      </c>
      <c r="I2255" s="21"/>
    </row>
    <row r="2256" spans="1:9" x14ac:dyDescent="0.25">
      <c r="A2256" s="16">
        <v>42755</v>
      </c>
      <c r="B2256" s="17" t="s">
        <v>2619</v>
      </c>
      <c r="C2256" s="18">
        <v>97853</v>
      </c>
      <c r="D2256" s="2" t="s">
        <v>157</v>
      </c>
      <c r="E2256" s="15">
        <v>14687</v>
      </c>
      <c r="F2256" s="36" t="s">
        <v>1539</v>
      </c>
      <c r="G2256" s="15">
        <v>14687</v>
      </c>
      <c r="H2256" s="15">
        <f t="shared" si="36"/>
        <v>0</v>
      </c>
      <c r="I2256" s="21"/>
    </row>
    <row r="2257" spans="1:9" x14ac:dyDescent="0.25">
      <c r="A2257" s="16">
        <v>42755</v>
      </c>
      <c r="B2257" s="17" t="s">
        <v>2620</v>
      </c>
      <c r="C2257" s="18">
        <v>97854</v>
      </c>
      <c r="D2257" s="2" t="s">
        <v>302</v>
      </c>
      <c r="E2257" s="15">
        <v>11860</v>
      </c>
      <c r="F2257" s="36" t="s">
        <v>1539</v>
      </c>
      <c r="G2257" s="15">
        <v>11860</v>
      </c>
      <c r="H2257" s="15">
        <f t="shared" si="36"/>
        <v>0</v>
      </c>
      <c r="I2257" s="21"/>
    </row>
    <row r="2258" spans="1:9" x14ac:dyDescent="0.25">
      <c r="A2258" s="16">
        <v>42755</v>
      </c>
      <c r="B2258" s="17" t="s">
        <v>2621</v>
      </c>
      <c r="C2258" s="18">
        <v>97855</v>
      </c>
      <c r="D2258" s="2" t="s">
        <v>43</v>
      </c>
      <c r="E2258" s="15">
        <v>2558.1999999999998</v>
      </c>
      <c r="F2258" s="36" t="s">
        <v>336</v>
      </c>
      <c r="G2258" s="15">
        <v>2558.1999999999998</v>
      </c>
      <c r="H2258" s="15">
        <f t="shared" si="36"/>
        <v>0</v>
      </c>
      <c r="I2258" s="21"/>
    </row>
    <row r="2259" spans="1:9" x14ac:dyDescent="0.25">
      <c r="A2259" s="16">
        <v>42755</v>
      </c>
      <c r="B2259" s="17" t="s">
        <v>2622</v>
      </c>
      <c r="C2259" s="18">
        <v>97856</v>
      </c>
      <c r="D2259" s="2" t="s">
        <v>576</v>
      </c>
      <c r="E2259" s="15">
        <v>4544</v>
      </c>
      <c r="F2259" s="36" t="s">
        <v>336</v>
      </c>
      <c r="G2259" s="15">
        <v>4544</v>
      </c>
      <c r="H2259" s="15">
        <f t="shared" si="36"/>
        <v>0</v>
      </c>
      <c r="I2259" s="21"/>
    </row>
    <row r="2260" spans="1:9" x14ac:dyDescent="0.25">
      <c r="A2260" s="16">
        <v>42755</v>
      </c>
      <c r="B2260" s="17" t="s">
        <v>2623</v>
      </c>
      <c r="C2260" s="18">
        <v>97857</v>
      </c>
      <c r="D2260" s="2" t="s">
        <v>253</v>
      </c>
      <c r="E2260" s="15">
        <v>4669.8</v>
      </c>
      <c r="F2260" s="36" t="s">
        <v>166</v>
      </c>
      <c r="G2260" s="15">
        <v>4669.8</v>
      </c>
      <c r="H2260" s="15">
        <f t="shared" si="36"/>
        <v>0</v>
      </c>
      <c r="I2260" s="21"/>
    </row>
    <row r="2261" spans="1:9" x14ac:dyDescent="0.25">
      <c r="A2261" s="16">
        <v>42755</v>
      </c>
      <c r="B2261" s="17" t="s">
        <v>2624</v>
      </c>
      <c r="C2261" s="18">
        <v>97858</v>
      </c>
      <c r="D2261" s="2" t="s">
        <v>79</v>
      </c>
      <c r="E2261" s="15">
        <v>3426</v>
      </c>
      <c r="F2261" s="36" t="s">
        <v>1539</v>
      </c>
      <c r="G2261" s="15">
        <v>3426</v>
      </c>
      <c r="H2261" s="15">
        <f t="shared" si="36"/>
        <v>0</v>
      </c>
      <c r="I2261" s="21"/>
    </row>
    <row r="2262" spans="1:9" x14ac:dyDescent="0.25">
      <c r="A2262" s="16">
        <v>42755</v>
      </c>
      <c r="B2262" s="17" t="s">
        <v>2625</v>
      </c>
      <c r="C2262" s="18">
        <v>97859</v>
      </c>
      <c r="D2262" s="2" t="s">
        <v>1299</v>
      </c>
      <c r="E2262" s="15">
        <v>6441.6</v>
      </c>
      <c r="F2262" s="36" t="s">
        <v>1539</v>
      </c>
      <c r="G2262" s="15">
        <v>6441.6</v>
      </c>
      <c r="H2262" s="15">
        <f t="shared" si="36"/>
        <v>0</v>
      </c>
      <c r="I2262" s="21"/>
    </row>
    <row r="2263" spans="1:9" x14ac:dyDescent="0.25">
      <c r="A2263" s="16">
        <v>42755</v>
      </c>
      <c r="B2263" s="17" t="s">
        <v>2626</v>
      </c>
      <c r="C2263" s="18">
        <v>97860</v>
      </c>
      <c r="D2263" s="2" t="s">
        <v>1116</v>
      </c>
      <c r="E2263" s="15">
        <v>4812.2</v>
      </c>
      <c r="F2263" s="36" t="s">
        <v>927</v>
      </c>
      <c r="G2263" s="15">
        <v>4812.2</v>
      </c>
      <c r="H2263" s="15">
        <f t="shared" si="36"/>
        <v>0</v>
      </c>
      <c r="I2263" s="21"/>
    </row>
    <row r="2264" spans="1:9" x14ac:dyDescent="0.25">
      <c r="A2264" s="16">
        <v>42755</v>
      </c>
      <c r="B2264" s="17" t="s">
        <v>2627</v>
      </c>
      <c r="C2264" s="18">
        <v>97861</v>
      </c>
      <c r="D2264" s="2" t="s">
        <v>1335</v>
      </c>
      <c r="E2264" s="15">
        <v>6874.3</v>
      </c>
      <c r="F2264" s="36" t="s">
        <v>1539</v>
      </c>
      <c r="G2264" s="15">
        <v>6874.3</v>
      </c>
      <c r="H2264" s="15">
        <f t="shared" si="36"/>
        <v>0</v>
      </c>
      <c r="I2264" s="21"/>
    </row>
    <row r="2265" spans="1:9" x14ac:dyDescent="0.25">
      <c r="A2265" s="16">
        <v>42755</v>
      </c>
      <c r="B2265" s="17" t="s">
        <v>2628</v>
      </c>
      <c r="C2265" s="18">
        <v>97862</v>
      </c>
      <c r="D2265" s="2" t="s">
        <v>168</v>
      </c>
      <c r="E2265" s="15">
        <v>5372.4</v>
      </c>
      <c r="F2265" s="36" t="s">
        <v>1391</v>
      </c>
      <c r="G2265" s="15">
        <v>5372.4</v>
      </c>
      <c r="H2265" s="15">
        <f t="shared" si="36"/>
        <v>0</v>
      </c>
      <c r="I2265" s="21"/>
    </row>
    <row r="2266" spans="1:9" x14ac:dyDescent="0.25">
      <c r="A2266" s="16">
        <v>42755</v>
      </c>
      <c r="B2266" s="17" t="s">
        <v>2629</v>
      </c>
      <c r="C2266" s="18">
        <v>97863</v>
      </c>
      <c r="D2266" s="2" t="s">
        <v>30</v>
      </c>
      <c r="E2266" s="15">
        <v>1980.16</v>
      </c>
      <c r="F2266" s="36" t="s">
        <v>1539</v>
      </c>
      <c r="G2266" s="15">
        <v>1980.16</v>
      </c>
      <c r="H2266" s="15">
        <f t="shared" si="36"/>
        <v>0</v>
      </c>
      <c r="I2266" s="21"/>
    </row>
    <row r="2267" spans="1:9" x14ac:dyDescent="0.25">
      <c r="A2267" s="16">
        <v>42755</v>
      </c>
      <c r="B2267" s="17" t="s">
        <v>2630</v>
      </c>
      <c r="C2267" s="18">
        <v>97864</v>
      </c>
      <c r="D2267" s="2" t="s">
        <v>866</v>
      </c>
      <c r="E2267" s="15">
        <v>6228.4</v>
      </c>
      <c r="F2267" s="36" t="s">
        <v>1539</v>
      </c>
      <c r="G2267" s="15">
        <v>6228.4</v>
      </c>
      <c r="H2267" s="15">
        <f t="shared" si="36"/>
        <v>0</v>
      </c>
      <c r="I2267" s="21"/>
    </row>
    <row r="2268" spans="1:9" x14ac:dyDescent="0.25">
      <c r="A2268" s="16">
        <v>42755</v>
      </c>
      <c r="B2268" s="17" t="s">
        <v>2631</v>
      </c>
      <c r="C2268" s="18">
        <v>97865</v>
      </c>
      <c r="D2268" s="2" t="s">
        <v>319</v>
      </c>
      <c r="E2268" s="15">
        <v>3185.6</v>
      </c>
      <c r="F2268" s="36" t="s">
        <v>927</v>
      </c>
      <c r="G2268" s="15">
        <v>3185.6</v>
      </c>
      <c r="H2268" s="15">
        <f t="shared" si="36"/>
        <v>0</v>
      </c>
      <c r="I2268" s="21"/>
    </row>
    <row r="2269" spans="1:9" x14ac:dyDescent="0.25">
      <c r="A2269" s="16">
        <v>42755</v>
      </c>
      <c r="B2269" s="17" t="s">
        <v>2632</v>
      </c>
      <c r="C2269" s="18">
        <v>97866</v>
      </c>
      <c r="D2269" s="2" t="s">
        <v>773</v>
      </c>
      <c r="E2269" s="15">
        <v>753.8</v>
      </c>
      <c r="F2269" s="36" t="s">
        <v>1539</v>
      </c>
      <c r="G2269" s="15">
        <v>753.8</v>
      </c>
      <c r="H2269" s="15">
        <f t="shared" si="36"/>
        <v>0</v>
      </c>
      <c r="I2269" s="21"/>
    </row>
    <row r="2270" spans="1:9" x14ac:dyDescent="0.25">
      <c r="A2270" s="16">
        <v>42755</v>
      </c>
      <c r="B2270" s="17" t="s">
        <v>2633</v>
      </c>
      <c r="C2270" s="18">
        <v>97867</v>
      </c>
      <c r="D2270" s="2" t="s">
        <v>509</v>
      </c>
      <c r="E2270" s="15">
        <v>19500.5</v>
      </c>
      <c r="F2270" s="36" t="s">
        <v>1391</v>
      </c>
      <c r="G2270" s="15">
        <v>19500.5</v>
      </c>
      <c r="H2270" s="15">
        <f t="shared" si="36"/>
        <v>0</v>
      </c>
      <c r="I2270" s="21"/>
    </row>
    <row r="2271" spans="1:9" x14ac:dyDescent="0.25">
      <c r="A2271" s="16">
        <v>42755</v>
      </c>
      <c r="B2271" s="17" t="s">
        <v>2634</v>
      </c>
      <c r="C2271" s="18">
        <v>97868</v>
      </c>
      <c r="D2271" s="2" t="s">
        <v>432</v>
      </c>
      <c r="E2271" s="15">
        <v>18717.599999999999</v>
      </c>
      <c r="F2271" s="36" t="s">
        <v>1391</v>
      </c>
      <c r="G2271" s="15">
        <v>18717.599999999999</v>
      </c>
      <c r="H2271" s="15">
        <f t="shared" si="36"/>
        <v>0</v>
      </c>
      <c r="I2271" s="21"/>
    </row>
    <row r="2272" spans="1:9" x14ac:dyDescent="0.25">
      <c r="A2272" s="16">
        <v>42755</v>
      </c>
      <c r="B2272" s="17" t="s">
        <v>2635</v>
      </c>
      <c r="C2272" s="18">
        <v>97869</v>
      </c>
      <c r="D2272" s="2" t="s">
        <v>1666</v>
      </c>
      <c r="E2272" s="15">
        <v>19364.400000000001</v>
      </c>
      <c r="F2272" s="36" t="s">
        <v>1391</v>
      </c>
      <c r="G2272" s="15">
        <v>19364.400000000001</v>
      </c>
      <c r="H2272" s="15">
        <f t="shared" si="36"/>
        <v>0</v>
      </c>
      <c r="I2272" s="21"/>
    </row>
    <row r="2273" spans="1:9" x14ac:dyDescent="0.25">
      <c r="A2273" s="16">
        <v>42755</v>
      </c>
      <c r="B2273" s="17" t="s">
        <v>2636</v>
      </c>
      <c r="C2273" s="18">
        <v>97870</v>
      </c>
      <c r="D2273" s="2" t="s">
        <v>1306</v>
      </c>
      <c r="E2273" s="15">
        <v>3407.4</v>
      </c>
      <c r="F2273" s="36" t="s">
        <v>1539</v>
      </c>
      <c r="G2273" s="15">
        <v>3407.4</v>
      </c>
      <c r="H2273" s="15">
        <f t="shared" si="36"/>
        <v>0</v>
      </c>
      <c r="I2273" s="21"/>
    </row>
    <row r="2274" spans="1:9" x14ac:dyDescent="0.25">
      <c r="A2274" s="16">
        <v>42755</v>
      </c>
      <c r="B2274" s="17" t="s">
        <v>2637</v>
      </c>
      <c r="C2274" s="18">
        <v>97871</v>
      </c>
      <c r="D2274" s="2" t="s">
        <v>876</v>
      </c>
      <c r="E2274" s="15">
        <v>4364.5</v>
      </c>
      <c r="F2274" s="36" t="s">
        <v>1391</v>
      </c>
      <c r="G2274" s="15">
        <v>4364.5</v>
      </c>
      <c r="H2274" s="15">
        <f t="shared" si="36"/>
        <v>0</v>
      </c>
      <c r="I2274" s="21"/>
    </row>
    <row r="2275" spans="1:9" x14ac:dyDescent="0.25">
      <c r="A2275" s="16">
        <v>42755</v>
      </c>
      <c r="B2275" s="17" t="s">
        <v>2638</v>
      </c>
      <c r="C2275" s="18">
        <v>97872</v>
      </c>
      <c r="D2275" s="2" t="s">
        <v>149</v>
      </c>
      <c r="E2275" s="15">
        <v>112.8</v>
      </c>
      <c r="F2275" s="36" t="s">
        <v>1539</v>
      </c>
      <c r="G2275" s="15">
        <v>112.8</v>
      </c>
      <c r="H2275" s="15">
        <f t="shared" si="36"/>
        <v>0</v>
      </c>
      <c r="I2275" s="21"/>
    </row>
    <row r="2276" spans="1:9" x14ac:dyDescent="0.25">
      <c r="A2276" s="16">
        <v>42755</v>
      </c>
      <c r="B2276" s="17" t="s">
        <v>2639</v>
      </c>
      <c r="C2276" s="18">
        <v>97873</v>
      </c>
      <c r="D2276" s="2" t="s">
        <v>149</v>
      </c>
      <c r="E2276" s="15">
        <v>4352</v>
      </c>
      <c r="F2276" s="36" t="s">
        <v>1539</v>
      </c>
      <c r="G2276" s="15">
        <v>4352</v>
      </c>
      <c r="H2276" s="15">
        <f t="shared" si="36"/>
        <v>0</v>
      </c>
      <c r="I2276" s="19"/>
    </row>
    <row r="2277" spans="1:9" x14ac:dyDescent="0.25">
      <c r="A2277" s="16">
        <v>42755</v>
      </c>
      <c r="B2277" s="17" t="s">
        <v>2640</v>
      </c>
      <c r="C2277" s="18">
        <v>97874</v>
      </c>
      <c r="D2277" s="2" t="s">
        <v>470</v>
      </c>
      <c r="E2277" s="15">
        <v>10340</v>
      </c>
      <c r="F2277" s="36" t="s">
        <v>1539</v>
      </c>
      <c r="G2277" s="15">
        <v>10340</v>
      </c>
      <c r="H2277" s="15">
        <f t="shared" si="36"/>
        <v>0</v>
      </c>
      <c r="I2277" s="19"/>
    </row>
    <row r="2278" spans="1:9" x14ac:dyDescent="0.25">
      <c r="A2278" s="16">
        <v>42755</v>
      </c>
      <c r="B2278" s="17" t="s">
        <v>2641</v>
      </c>
      <c r="C2278" s="18">
        <v>97875</v>
      </c>
      <c r="D2278" s="2" t="s">
        <v>12</v>
      </c>
      <c r="E2278" s="15">
        <v>1937.5</v>
      </c>
      <c r="F2278" s="36" t="s">
        <v>1539</v>
      </c>
      <c r="G2278" s="15">
        <v>1937.5</v>
      </c>
      <c r="H2278" s="15">
        <f t="shared" si="36"/>
        <v>0</v>
      </c>
      <c r="I2278" s="19"/>
    </row>
    <row r="2279" spans="1:9" x14ac:dyDescent="0.25">
      <c r="A2279" s="16">
        <v>42755</v>
      </c>
      <c r="B2279" s="17" t="s">
        <v>2642</v>
      </c>
      <c r="C2279" s="18">
        <v>97876</v>
      </c>
      <c r="D2279" s="2" t="s">
        <v>1380</v>
      </c>
      <c r="E2279" s="15">
        <v>36504.400000000001</v>
      </c>
      <c r="F2279" s="36" t="s">
        <v>1539</v>
      </c>
      <c r="G2279" s="15">
        <v>36504.400000000001</v>
      </c>
      <c r="H2279" s="15">
        <f t="shared" si="36"/>
        <v>0</v>
      </c>
      <c r="I2279" s="19"/>
    </row>
    <row r="2280" spans="1:9" x14ac:dyDescent="0.25">
      <c r="A2280" s="16">
        <v>42755</v>
      </c>
      <c r="B2280" s="17" t="s">
        <v>2643</v>
      </c>
      <c r="C2280" s="18">
        <v>97877</v>
      </c>
      <c r="D2280" s="2" t="s">
        <v>590</v>
      </c>
      <c r="E2280" s="15">
        <v>7881.7</v>
      </c>
      <c r="F2280" s="36" t="s">
        <v>1391</v>
      </c>
      <c r="G2280" s="15">
        <v>7881.7</v>
      </c>
      <c r="H2280" s="15">
        <f t="shared" si="36"/>
        <v>0</v>
      </c>
      <c r="I2280" s="19"/>
    </row>
    <row r="2281" spans="1:9" x14ac:dyDescent="0.25">
      <c r="A2281" s="16">
        <v>42755</v>
      </c>
      <c r="B2281" s="17" t="s">
        <v>2644</v>
      </c>
      <c r="C2281" s="18">
        <v>97878</v>
      </c>
      <c r="D2281" s="2" t="s">
        <v>876</v>
      </c>
      <c r="E2281" s="15">
        <v>663</v>
      </c>
      <c r="F2281" s="36" t="s">
        <v>1391</v>
      </c>
      <c r="G2281" s="15">
        <v>663</v>
      </c>
      <c r="H2281" s="15">
        <f t="shared" si="36"/>
        <v>0</v>
      </c>
      <c r="I2281" s="19"/>
    </row>
    <row r="2282" spans="1:9" x14ac:dyDescent="0.25">
      <c r="A2282" s="16">
        <v>42755</v>
      </c>
      <c r="B2282" s="17" t="s">
        <v>2645</v>
      </c>
      <c r="C2282" s="18">
        <v>97879</v>
      </c>
      <c r="D2282" s="2" t="s">
        <v>274</v>
      </c>
      <c r="E2282" s="15">
        <v>19703.900000000001</v>
      </c>
      <c r="F2282" s="36" t="s">
        <v>1391</v>
      </c>
      <c r="G2282" s="15">
        <v>19703.900000000001</v>
      </c>
      <c r="H2282" s="15">
        <f t="shared" si="36"/>
        <v>0</v>
      </c>
      <c r="I2282" s="19"/>
    </row>
    <row r="2283" spans="1:9" x14ac:dyDescent="0.25">
      <c r="A2283" s="16">
        <v>42755</v>
      </c>
      <c r="B2283" s="17" t="s">
        <v>2646</v>
      </c>
      <c r="C2283" s="18">
        <v>97880</v>
      </c>
      <c r="D2283" s="2" t="s">
        <v>268</v>
      </c>
      <c r="E2283" s="15">
        <v>24415.5</v>
      </c>
      <c r="F2283" s="36" t="s">
        <v>1391</v>
      </c>
      <c r="G2283" s="15">
        <v>24415.5</v>
      </c>
      <c r="H2283" s="15">
        <f t="shared" si="36"/>
        <v>0</v>
      </c>
      <c r="I2283" s="19"/>
    </row>
    <row r="2284" spans="1:9" x14ac:dyDescent="0.25">
      <c r="A2284" s="16">
        <v>42755</v>
      </c>
      <c r="B2284" s="17" t="s">
        <v>2647</v>
      </c>
      <c r="C2284" s="18">
        <v>97881</v>
      </c>
      <c r="D2284" s="2" t="s">
        <v>590</v>
      </c>
      <c r="E2284" s="15">
        <v>17993.599999999999</v>
      </c>
      <c r="F2284" s="36" t="s">
        <v>1391</v>
      </c>
      <c r="G2284" s="15">
        <v>17993.599999999999</v>
      </c>
      <c r="H2284" s="15">
        <f t="shared" si="36"/>
        <v>0</v>
      </c>
      <c r="I2284" s="19"/>
    </row>
    <row r="2285" spans="1:9" x14ac:dyDescent="0.25">
      <c r="A2285" s="16">
        <v>42755</v>
      </c>
      <c r="B2285" s="17" t="s">
        <v>2648</v>
      </c>
      <c r="C2285" s="18">
        <v>97882</v>
      </c>
      <c r="D2285" s="2" t="s">
        <v>442</v>
      </c>
      <c r="E2285" s="15">
        <v>14920.2</v>
      </c>
      <c r="F2285" s="36" t="s">
        <v>1391</v>
      </c>
      <c r="G2285" s="15">
        <v>14920.2</v>
      </c>
      <c r="H2285" s="15">
        <f t="shared" si="36"/>
        <v>0</v>
      </c>
      <c r="I2285" s="19"/>
    </row>
    <row r="2286" spans="1:9" x14ac:dyDescent="0.25">
      <c r="A2286" s="16">
        <v>42755</v>
      </c>
      <c r="B2286" s="17" t="s">
        <v>2649</v>
      </c>
      <c r="C2286" s="18">
        <v>97883</v>
      </c>
      <c r="D2286" s="2" t="s">
        <v>30</v>
      </c>
      <c r="E2286" s="15">
        <v>695.2</v>
      </c>
      <c r="F2286" s="36" t="s">
        <v>1539</v>
      </c>
      <c r="G2286" s="15">
        <v>695.2</v>
      </c>
      <c r="H2286" s="15">
        <f t="shared" si="36"/>
        <v>0</v>
      </c>
      <c r="I2286" s="19"/>
    </row>
    <row r="2287" spans="1:9" x14ac:dyDescent="0.25">
      <c r="A2287" s="16">
        <v>42755</v>
      </c>
      <c r="B2287" s="17" t="s">
        <v>2650</v>
      </c>
      <c r="C2287" s="18">
        <v>97884</v>
      </c>
      <c r="D2287" s="2" t="s">
        <v>30</v>
      </c>
      <c r="E2287" s="15">
        <v>1518</v>
      </c>
      <c r="F2287" s="36" t="s">
        <v>1539</v>
      </c>
      <c r="G2287" s="15">
        <v>1518</v>
      </c>
      <c r="H2287" s="15">
        <f t="shared" si="36"/>
        <v>0</v>
      </c>
      <c r="I2287" s="19"/>
    </row>
    <row r="2288" spans="1:9" x14ac:dyDescent="0.25">
      <c r="A2288" s="16">
        <v>42755</v>
      </c>
      <c r="B2288" s="17" t="s">
        <v>2651</v>
      </c>
      <c r="C2288" s="18">
        <v>97885</v>
      </c>
      <c r="D2288" s="2" t="s">
        <v>109</v>
      </c>
      <c r="E2288" s="15">
        <v>5667.4</v>
      </c>
      <c r="F2288" s="36" t="s">
        <v>1539</v>
      </c>
      <c r="G2288" s="15">
        <v>5667.4</v>
      </c>
      <c r="H2288" s="15">
        <f t="shared" si="36"/>
        <v>0</v>
      </c>
      <c r="I2288" s="19"/>
    </row>
    <row r="2289" spans="1:9" x14ac:dyDescent="0.25">
      <c r="A2289" s="16">
        <v>42755</v>
      </c>
      <c r="B2289" s="17" t="s">
        <v>2652</v>
      </c>
      <c r="C2289" s="18">
        <v>97886</v>
      </c>
      <c r="D2289" s="13" t="s">
        <v>159</v>
      </c>
      <c r="E2289" s="14">
        <v>0</v>
      </c>
      <c r="F2289" s="123" t="s">
        <v>95</v>
      </c>
      <c r="G2289" s="14">
        <v>0</v>
      </c>
      <c r="H2289" s="14">
        <f t="shared" si="36"/>
        <v>0</v>
      </c>
      <c r="I2289" s="19"/>
    </row>
    <row r="2290" spans="1:9" x14ac:dyDescent="0.25">
      <c r="A2290" s="16">
        <v>42755</v>
      </c>
      <c r="B2290" s="17" t="s">
        <v>2653</v>
      </c>
      <c r="C2290" s="18">
        <v>97887</v>
      </c>
      <c r="D2290" s="2" t="s">
        <v>367</v>
      </c>
      <c r="E2290" s="15">
        <v>900</v>
      </c>
      <c r="F2290" s="36" t="s">
        <v>1539</v>
      </c>
      <c r="G2290" s="15">
        <v>900</v>
      </c>
      <c r="H2290" s="15">
        <f t="shared" si="36"/>
        <v>0</v>
      </c>
      <c r="I2290" s="19"/>
    </row>
    <row r="2291" spans="1:9" x14ac:dyDescent="0.25">
      <c r="A2291" s="16">
        <v>42755</v>
      </c>
      <c r="B2291" s="17" t="s">
        <v>2654</v>
      </c>
      <c r="C2291" s="18">
        <v>97888</v>
      </c>
      <c r="D2291" s="2" t="s">
        <v>159</v>
      </c>
      <c r="E2291" s="15">
        <v>6806.36</v>
      </c>
      <c r="F2291" s="36" t="s">
        <v>1539</v>
      </c>
      <c r="G2291" s="15">
        <v>6806.36</v>
      </c>
      <c r="H2291" s="15">
        <f t="shared" si="36"/>
        <v>0</v>
      </c>
      <c r="I2291" s="19"/>
    </row>
    <row r="2292" spans="1:9" x14ac:dyDescent="0.25">
      <c r="A2292" s="16">
        <v>42755</v>
      </c>
      <c r="B2292" s="17" t="s">
        <v>2655</v>
      </c>
      <c r="C2292" s="18">
        <v>97889</v>
      </c>
      <c r="D2292" s="2" t="s">
        <v>305</v>
      </c>
      <c r="E2292" s="15">
        <v>4351.6000000000004</v>
      </c>
      <c r="F2292" s="36" t="s">
        <v>336</v>
      </c>
      <c r="G2292" s="15">
        <v>4351.6000000000004</v>
      </c>
      <c r="H2292" s="15">
        <f t="shared" si="36"/>
        <v>0</v>
      </c>
      <c r="I2292" s="19"/>
    </row>
    <row r="2293" spans="1:9" x14ac:dyDescent="0.25">
      <c r="A2293" s="16">
        <v>42755</v>
      </c>
      <c r="B2293" s="17" t="s">
        <v>2656</v>
      </c>
      <c r="C2293" s="18">
        <v>97890</v>
      </c>
      <c r="D2293" s="2" t="s">
        <v>208</v>
      </c>
      <c r="E2293" s="15">
        <v>10302.52</v>
      </c>
      <c r="F2293" s="36" t="s">
        <v>1539</v>
      </c>
      <c r="G2293" s="15">
        <v>10302.52</v>
      </c>
      <c r="H2293" s="15">
        <f t="shared" si="36"/>
        <v>0</v>
      </c>
      <c r="I2293" s="19"/>
    </row>
    <row r="2294" spans="1:9" x14ac:dyDescent="0.25">
      <c r="A2294" s="16">
        <v>42755</v>
      </c>
      <c r="B2294" s="17" t="s">
        <v>2657</v>
      </c>
      <c r="C2294" s="18">
        <v>97891</v>
      </c>
      <c r="D2294" s="2" t="s">
        <v>476</v>
      </c>
      <c r="E2294" s="15">
        <v>10873.4</v>
      </c>
      <c r="F2294" s="36" t="s">
        <v>336</v>
      </c>
      <c r="G2294" s="15">
        <v>10873.4</v>
      </c>
      <c r="H2294" s="15">
        <f t="shared" si="36"/>
        <v>0</v>
      </c>
      <c r="I2294" s="19"/>
    </row>
    <row r="2295" spans="1:9" x14ac:dyDescent="0.25">
      <c r="A2295" s="16">
        <v>42755</v>
      </c>
      <c r="B2295" s="17" t="s">
        <v>2658</v>
      </c>
      <c r="C2295" s="18">
        <v>97892</v>
      </c>
      <c r="D2295" s="2" t="s">
        <v>1830</v>
      </c>
      <c r="E2295" s="15">
        <v>11097.74</v>
      </c>
      <c r="F2295" s="36" t="s">
        <v>1539</v>
      </c>
      <c r="G2295" s="15">
        <v>11097.74</v>
      </c>
      <c r="H2295" s="15">
        <f t="shared" si="36"/>
        <v>0</v>
      </c>
      <c r="I2295" s="19"/>
    </row>
    <row r="2296" spans="1:9" x14ac:dyDescent="0.25">
      <c r="A2296" s="16">
        <v>42755</v>
      </c>
      <c r="B2296" s="17" t="s">
        <v>2659</v>
      </c>
      <c r="C2296" s="18">
        <v>97893</v>
      </c>
      <c r="D2296" s="2" t="s">
        <v>128</v>
      </c>
      <c r="E2296" s="15">
        <v>2615.04</v>
      </c>
      <c r="F2296" s="36" t="s">
        <v>1539</v>
      </c>
      <c r="G2296" s="15">
        <v>2615.04</v>
      </c>
      <c r="H2296" s="15">
        <f t="shared" si="36"/>
        <v>0</v>
      </c>
      <c r="I2296" s="19"/>
    </row>
    <row r="2297" spans="1:9" x14ac:dyDescent="0.25">
      <c r="A2297" s="16">
        <v>42755</v>
      </c>
      <c r="B2297" s="17" t="s">
        <v>2660</v>
      </c>
      <c r="C2297" s="18">
        <v>97894</v>
      </c>
      <c r="D2297" s="2" t="s">
        <v>531</v>
      </c>
      <c r="E2297" s="15">
        <v>31521.4</v>
      </c>
      <c r="F2297" s="36" t="s">
        <v>927</v>
      </c>
      <c r="G2297" s="15">
        <v>31521.4</v>
      </c>
      <c r="H2297" s="15">
        <f t="shared" si="36"/>
        <v>0</v>
      </c>
      <c r="I2297" s="19"/>
    </row>
    <row r="2298" spans="1:9" x14ac:dyDescent="0.25">
      <c r="A2298" s="16">
        <v>42755</v>
      </c>
      <c r="B2298" s="17" t="s">
        <v>2661</v>
      </c>
      <c r="C2298" s="18">
        <v>97895</v>
      </c>
      <c r="D2298" s="2" t="s">
        <v>2240</v>
      </c>
      <c r="E2298" s="15">
        <v>6933.1</v>
      </c>
      <c r="F2298" s="36" t="s">
        <v>1539</v>
      </c>
      <c r="G2298" s="15">
        <v>6933.1</v>
      </c>
      <c r="H2298" s="15">
        <f t="shared" si="36"/>
        <v>0</v>
      </c>
      <c r="I2298" s="19"/>
    </row>
    <row r="2299" spans="1:9" x14ac:dyDescent="0.25">
      <c r="A2299" s="16">
        <v>42755</v>
      </c>
      <c r="B2299" s="17" t="s">
        <v>2662</v>
      </c>
      <c r="C2299" s="18">
        <v>97896</v>
      </c>
      <c r="D2299" s="2" t="s">
        <v>298</v>
      </c>
      <c r="E2299" s="15">
        <v>4114</v>
      </c>
      <c r="F2299" s="36" t="s">
        <v>1539</v>
      </c>
      <c r="G2299" s="15">
        <v>4114</v>
      </c>
      <c r="H2299" s="15">
        <f t="shared" si="36"/>
        <v>0</v>
      </c>
      <c r="I2299" s="19"/>
    </row>
    <row r="2300" spans="1:9" x14ac:dyDescent="0.25">
      <c r="A2300" s="16">
        <v>42755</v>
      </c>
      <c r="B2300" s="17" t="s">
        <v>2663</v>
      </c>
      <c r="C2300" s="18">
        <v>97897</v>
      </c>
      <c r="D2300" s="2" t="s">
        <v>131</v>
      </c>
      <c r="E2300" s="15">
        <v>7070.4</v>
      </c>
      <c r="F2300" s="36" t="s">
        <v>1539</v>
      </c>
      <c r="G2300" s="15">
        <v>7070.4</v>
      </c>
      <c r="H2300" s="15">
        <f t="shared" si="36"/>
        <v>0</v>
      </c>
      <c r="I2300" s="19"/>
    </row>
    <row r="2301" spans="1:9" x14ac:dyDescent="0.25">
      <c r="A2301" s="16">
        <v>42755</v>
      </c>
      <c r="B2301" s="17" t="s">
        <v>2664</v>
      </c>
      <c r="C2301" s="18">
        <v>97898</v>
      </c>
      <c r="D2301" s="2" t="s">
        <v>879</v>
      </c>
      <c r="E2301" s="15">
        <v>3955.5</v>
      </c>
      <c r="F2301" s="36" t="s">
        <v>1539</v>
      </c>
      <c r="G2301" s="15">
        <v>3955.5</v>
      </c>
      <c r="H2301" s="15">
        <f t="shared" si="36"/>
        <v>0</v>
      </c>
      <c r="I2301" s="19"/>
    </row>
    <row r="2302" spans="1:9" x14ac:dyDescent="0.25">
      <c r="A2302" s="16">
        <v>42755</v>
      </c>
      <c r="B2302" s="17" t="s">
        <v>2665</v>
      </c>
      <c r="C2302" s="18">
        <v>97899</v>
      </c>
      <c r="D2302" s="2" t="s">
        <v>492</v>
      </c>
      <c r="E2302" s="15">
        <v>24113</v>
      </c>
      <c r="F2302" s="36" t="s">
        <v>927</v>
      </c>
      <c r="G2302" s="15">
        <v>24113</v>
      </c>
      <c r="H2302" s="15">
        <f t="shared" si="36"/>
        <v>0</v>
      </c>
      <c r="I2302" s="19"/>
    </row>
    <row r="2303" spans="1:9" x14ac:dyDescent="0.25">
      <c r="A2303" s="16">
        <v>42755</v>
      </c>
      <c r="B2303" s="17" t="s">
        <v>2666</v>
      </c>
      <c r="C2303" s="18">
        <v>97900</v>
      </c>
      <c r="D2303" s="2" t="s">
        <v>379</v>
      </c>
      <c r="E2303" s="15">
        <v>5134.7</v>
      </c>
      <c r="F2303" s="36" t="s">
        <v>2143</v>
      </c>
      <c r="G2303" s="15">
        <v>5134.7</v>
      </c>
      <c r="H2303" s="15">
        <f t="shared" si="36"/>
        <v>0</v>
      </c>
      <c r="I2303" s="19"/>
    </row>
    <row r="2304" spans="1:9" x14ac:dyDescent="0.25">
      <c r="A2304" s="16">
        <v>42755</v>
      </c>
      <c r="B2304" s="17" t="s">
        <v>2667</v>
      </c>
      <c r="C2304" s="18">
        <v>97901</v>
      </c>
      <c r="D2304" s="2" t="s">
        <v>785</v>
      </c>
      <c r="E2304" s="15">
        <v>9870.7999999999993</v>
      </c>
      <c r="F2304" s="36" t="s">
        <v>1539</v>
      </c>
      <c r="G2304" s="15">
        <v>9870.7999999999993</v>
      </c>
      <c r="H2304" s="15">
        <f t="shared" si="36"/>
        <v>0</v>
      </c>
      <c r="I2304" s="19"/>
    </row>
    <row r="2305" spans="1:9" x14ac:dyDescent="0.25">
      <c r="A2305" s="16">
        <v>42755</v>
      </c>
      <c r="B2305" s="17" t="s">
        <v>2668</v>
      </c>
      <c r="C2305" s="18">
        <v>97902</v>
      </c>
      <c r="D2305" s="2" t="s">
        <v>277</v>
      </c>
      <c r="E2305" s="15">
        <v>3445.2</v>
      </c>
      <c r="F2305" s="36" t="s">
        <v>1539</v>
      </c>
      <c r="G2305" s="15">
        <v>3445.2</v>
      </c>
      <c r="H2305" s="15">
        <f t="shared" si="36"/>
        <v>0</v>
      </c>
      <c r="I2305" s="19"/>
    </row>
    <row r="2306" spans="1:9" x14ac:dyDescent="0.25">
      <c r="A2306" s="16">
        <v>42755</v>
      </c>
      <c r="B2306" s="17" t="s">
        <v>2669</v>
      </c>
      <c r="C2306" s="18">
        <v>97903</v>
      </c>
      <c r="D2306" s="13" t="s">
        <v>2670</v>
      </c>
      <c r="E2306" s="14">
        <v>0</v>
      </c>
      <c r="F2306" s="123" t="s">
        <v>1743</v>
      </c>
      <c r="G2306" s="14">
        <v>0</v>
      </c>
      <c r="H2306" s="14">
        <f t="shared" si="36"/>
        <v>0</v>
      </c>
      <c r="I2306" s="19"/>
    </row>
    <row r="2307" spans="1:9" x14ac:dyDescent="0.25">
      <c r="A2307" s="16">
        <v>42755</v>
      </c>
      <c r="B2307" s="17" t="s">
        <v>2671</v>
      </c>
      <c r="C2307" s="18">
        <v>97904</v>
      </c>
      <c r="D2307" s="2" t="s">
        <v>793</v>
      </c>
      <c r="E2307" s="15">
        <v>2016</v>
      </c>
      <c r="F2307" s="36" t="s">
        <v>1539</v>
      </c>
      <c r="G2307" s="15">
        <v>2016</v>
      </c>
      <c r="H2307" s="15">
        <f t="shared" si="36"/>
        <v>0</v>
      </c>
      <c r="I2307" s="19"/>
    </row>
    <row r="2308" spans="1:9" x14ac:dyDescent="0.25">
      <c r="A2308" s="16">
        <v>42755</v>
      </c>
      <c r="B2308" s="17" t="s">
        <v>2672</v>
      </c>
      <c r="C2308" s="18">
        <v>97905</v>
      </c>
      <c r="D2308" s="2" t="s">
        <v>205</v>
      </c>
      <c r="E2308" s="15">
        <v>29099.4</v>
      </c>
      <c r="F2308" s="36" t="s">
        <v>1156</v>
      </c>
      <c r="G2308" s="15">
        <v>29099.4</v>
      </c>
      <c r="H2308" s="15">
        <f t="shared" si="36"/>
        <v>0</v>
      </c>
      <c r="I2308" s="19"/>
    </row>
    <row r="2309" spans="1:9" x14ac:dyDescent="0.25">
      <c r="A2309" s="16">
        <v>42755</v>
      </c>
      <c r="B2309" s="17" t="s">
        <v>2673</v>
      </c>
      <c r="C2309" s="18">
        <v>97906</v>
      </c>
      <c r="D2309" s="2" t="s">
        <v>120</v>
      </c>
      <c r="E2309" s="15">
        <v>2195.6</v>
      </c>
      <c r="F2309" s="36" t="s">
        <v>1539</v>
      </c>
      <c r="G2309" s="15">
        <v>2195.6</v>
      </c>
      <c r="H2309" s="15">
        <f t="shared" si="36"/>
        <v>0</v>
      </c>
      <c r="I2309" s="19"/>
    </row>
    <row r="2310" spans="1:9" x14ac:dyDescent="0.25">
      <c r="A2310" s="16">
        <v>42755</v>
      </c>
      <c r="B2310" s="17" t="s">
        <v>2674</v>
      </c>
      <c r="C2310" s="18">
        <v>97907</v>
      </c>
      <c r="D2310" s="2" t="s">
        <v>459</v>
      </c>
      <c r="E2310" s="15">
        <v>1282.5999999999999</v>
      </c>
      <c r="F2310" s="36" t="s">
        <v>1539</v>
      </c>
      <c r="G2310" s="15">
        <v>1282.5999999999999</v>
      </c>
      <c r="H2310" s="15">
        <f t="shared" ref="H2310:H2373" si="37">E2310-G2310</f>
        <v>0</v>
      </c>
      <c r="I2310" s="19"/>
    </row>
    <row r="2311" spans="1:9" x14ac:dyDescent="0.25">
      <c r="A2311" s="16">
        <v>42755</v>
      </c>
      <c r="B2311" s="17" t="s">
        <v>2675</v>
      </c>
      <c r="C2311" s="18">
        <v>97908</v>
      </c>
      <c r="D2311" s="2" t="s">
        <v>115</v>
      </c>
      <c r="E2311" s="15">
        <v>3717</v>
      </c>
      <c r="F2311" s="36" t="s">
        <v>1539</v>
      </c>
      <c r="G2311" s="15">
        <v>3717</v>
      </c>
      <c r="H2311" s="15">
        <f t="shared" si="37"/>
        <v>0</v>
      </c>
      <c r="I2311" s="19"/>
    </row>
    <row r="2312" spans="1:9" x14ac:dyDescent="0.25">
      <c r="A2312" s="16">
        <v>42755</v>
      </c>
      <c r="B2312" s="17" t="s">
        <v>2676</v>
      </c>
      <c r="C2312" s="18">
        <v>97909</v>
      </c>
      <c r="D2312" s="2" t="s">
        <v>10</v>
      </c>
      <c r="E2312" s="15">
        <v>69799.199999999997</v>
      </c>
      <c r="F2312" s="36" t="s">
        <v>2274</v>
      </c>
      <c r="G2312" s="15">
        <v>69799.199999999997</v>
      </c>
      <c r="H2312" s="15">
        <f t="shared" si="37"/>
        <v>0</v>
      </c>
      <c r="I2312" s="19"/>
    </row>
    <row r="2313" spans="1:9" x14ac:dyDescent="0.25">
      <c r="A2313" s="16">
        <v>42755</v>
      </c>
      <c r="B2313" s="17" t="s">
        <v>2677</v>
      </c>
      <c r="C2313" s="18">
        <v>97910</v>
      </c>
      <c r="D2313" s="2" t="s">
        <v>61</v>
      </c>
      <c r="E2313" s="15">
        <v>4024.8</v>
      </c>
      <c r="F2313" s="36" t="s">
        <v>927</v>
      </c>
      <c r="G2313" s="15">
        <v>4024.8</v>
      </c>
      <c r="H2313" s="15">
        <f t="shared" si="37"/>
        <v>0</v>
      </c>
      <c r="I2313" s="19"/>
    </row>
    <row r="2314" spans="1:9" x14ac:dyDescent="0.25">
      <c r="A2314" s="16">
        <v>42755</v>
      </c>
      <c r="B2314" s="17" t="s">
        <v>2678</v>
      </c>
      <c r="C2314" s="18">
        <v>97911</v>
      </c>
      <c r="D2314" s="2" t="s">
        <v>188</v>
      </c>
      <c r="E2314" s="15">
        <v>4141.5</v>
      </c>
      <c r="F2314" s="36" t="s">
        <v>927</v>
      </c>
      <c r="G2314" s="15">
        <v>4141.5</v>
      </c>
      <c r="H2314" s="15">
        <f t="shared" si="37"/>
        <v>0</v>
      </c>
      <c r="I2314" s="19"/>
    </row>
    <row r="2315" spans="1:9" x14ac:dyDescent="0.25">
      <c r="A2315" s="16">
        <v>42755</v>
      </c>
      <c r="B2315" s="17" t="s">
        <v>2679</v>
      </c>
      <c r="C2315" s="18">
        <v>97912</v>
      </c>
      <c r="D2315" s="2" t="s">
        <v>101</v>
      </c>
      <c r="E2315" s="15">
        <v>1840</v>
      </c>
      <c r="F2315" s="36" t="s">
        <v>927</v>
      </c>
      <c r="G2315" s="15">
        <v>1840</v>
      </c>
      <c r="H2315" s="15">
        <f t="shared" si="37"/>
        <v>0</v>
      </c>
      <c r="I2315" s="19"/>
    </row>
    <row r="2316" spans="1:9" x14ac:dyDescent="0.25">
      <c r="A2316" s="16">
        <v>42755</v>
      </c>
      <c r="B2316" s="17" t="s">
        <v>2680</v>
      </c>
      <c r="C2316" s="18">
        <v>97913</v>
      </c>
      <c r="D2316" s="2" t="s">
        <v>99</v>
      </c>
      <c r="E2316" s="15">
        <v>1614.6</v>
      </c>
      <c r="F2316" s="36" t="s">
        <v>927</v>
      </c>
      <c r="G2316" s="15">
        <v>1614.6</v>
      </c>
      <c r="H2316" s="15">
        <f t="shared" si="37"/>
        <v>0</v>
      </c>
      <c r="I2316" s="19"/>
    </row>
    <row r="2317" spans="1:9" x14ac:dyDescent="0.25">
      <c r="A2317" s="16">
        <v>42755</v>
      </c>
      <c r="B2317" s="17" t="s">
        <v>2681</v>
      </c>
      <c r="C2317" s="18">
        <v>97914</v>
      </c>
      <c r="D2317" s="2" t="s">
        <v>281</v>
      </c>
      <c r="E2317" s="15">
        <v>1500</v>
      </c>
      <c r="F2317" s="36" t="s">
        <v>927</v>
      </c>
      <c r="G2317" s="15">
        <v>1500</v>
      </c>
      <c r="H2317" s="15">
        <f t="shared" si="37"/>
        <v>0</v>
      </c>
      <c r="I2317" s="19"/>
    </row>
    <row r="2318" spans="1:9" x14ac:dyDescent="0.25">
      <c r="A2318" s="16">
        <v>42755</v>
      </c>
      <c r="B2318" s="17" t="s">
        <v>2682</v>
      </c>
      <c r="C2318" s="18">
        <v>97915</v>
      </c>
      <c r="D2318" s="2" t="s">
        <v>30</v>
      </c>
      <c r="E2318" s="15">
        <v>1289.2</v>
      </c>
      <c r="F2318" s="36" t="s">
        <v>927</v>
      </c>
      <c r="G2318" s="15">
        <v>1289.2</v>
      </c>
      <c r="H2318" s="15">
        <f t="shared" si="37"/>
        <v>0</v>
      </c>
      <c r="I2318" s="19"/>
    </row>
    <row r="2319" spans="1:9" x14ac:dyDescent="0.25">
      <c r="A2319" s="16">
        <v>42755</v>
      </c>
      <c r="B2319" s="17" t="s">
        <v>2683</v>
      </c>
      <c r="C2319" s="18">
        <v>97916</v>
      </c>
      <c r="D2319" s="2" t="s">
        <v>30</v>
      </c>
      <c r="E2319" s="15">
        <v>1619.2</v>
      </c>
      <c r="F2319" s="36" t="s">
        <v>336</v>
      </c>
      <c r="G2319" s="15">
        <v>1619.2</v>
      </c>
      <c r="H2319" s="15">
        <f t="shared" si="37"/>
        <v>0</v>
      </c>
      <c r="I2319" s="19"/>
    </row>
    <row r="2320" spans="1:9" x14ac:dyDescent="0.25">
      <c r="A2320" s="16">
        <v>42755</v>
      </c>
      <c r="B2320" s="17" t="s">
        <v>2684</v>
      </c>
      <c r="C2320" s="18">
        <v>97917</v>
      </c>
      <c r="D2320" s="2" t="s">
        <v>1081</v>
      </c>
      <c r="E2320" s="15">
        <v>3922.56</v>
      </c>
      <c r="F2320" s="36" t="s">
        <v>927</v>
      </c>
      <c r="G2320" s="15">
        <v>3922.56</v>
      </c>
      <c r="H2320" s="15">
        <f t="shared" si="37"/>
        <v>0</v>
      </c>
      <c r="I2320" s="19"/>
    </row>
    <row r="2321" spans="1:9" x14ac:dyDescent="0.25">
      <c r="A2321" s="16">
        <v>42755</v>
      </c>
      <c r="B2321" s="17" t="s">
        <v>2685</v>
      </c>
      <c r="C2321" s="18">
        <v>97918</v>
      </c>
      <c r="D2321" s="2" t="s">
        <v>291</v>
      </c>
      <c r="E2321" s="15">
        <v>2147.9</v>
      </c>
      <c r="F2321" s="36" t="s">
        <v>927</v>
      </c>
      <c r="G2321" s="15">
        <v>2147.9</v>
      </c>
      <c r="H2321" s="15">
        <f t="shared" si="37"/>
        <v>0</v>
      </c>
      <c r="I2321" s="19"/>
    </row>
    <row r="2322" spans="1:9" x14ac:dyDescent="0.25">
      <c r="A2322" s="16">
        <v>42755</v>
      </c>
      <c r="B2322" s="17" t="s">
        <v>2686</v>
      </c>
      <c r="C2322" s="18">
        <v>97919</v>
      </c>
      <c r="D2322" s="2" t="s">
        <v>1259</v>
      </c>
      <c r="E2322" s="15">
        <v>2097</v>
      </c>
      <c r="F2322" s="36" t="s">
        <v>927</v>
      </c>
      <c r="G2322" s="15">
        <v>2097</v>
      </c>
      <c r="H2322" s="15">
        <f t="shared" si="37"/>
        <v>0</v>
      </c>
      <c r="I2322" s="19"/>
    </row>
    <row r="2323" spans="1:9" x14ac:dyDescent="0.25">
      <c r="A2323" s="16">
        <v>42755</v>
      </c>
      <c r="B2323" s="17" t="s">
        <v>2687</v>
      </c>
      <c r="C2323" s="18">
        <v>97920</v>
      </c>
      <c r="D2323" s="2" t="s">
        <v>155</v>
      </c>
      <c r="E2323" s="15">
        <v>20768.3</v>
      </c>
      <c r="F2323" s="124" t="s">
        <v>2688</v>
      </c>
      <c r="G2323" s="20">
        <f>15768.3+5000</f>
        <v>20768.3</v>
      </c>
      <c r="H2323" s="20">
        <f t="shared" si="37"/>
        <v>0</v>
      </c>
      <c r="I2323" s="19"/>
    </row>
    <row r="2324" spans="1:9" x14ac:dyDescent="0.25">
      <c r="A2324" s="16">
        <v>42755</v>
      </c>
      <c r="B2324" s="17" t="s">
        <v>2689</v>
      </c>
      <c r="C2324" s="18">
        <v>97921</v>
      </c>
      <c r="D2324" s="13" t="s">
        <v>30</v>
      </c>
      <c r="E2324" s="14">
        <v>0</v>
      </c>
      <c r="F2324" s="123" t="s">
        <v>95</v>
      </c>
      <c r="G2324" s="14">
        <v>0</v>
      </c>
      <c r="H2324" s="14">
        <f t="shared" si="37"/>
        <v>0</v>
      </c>
      <c r="I2324" s="19"/>
    </row>
    <row r="2325" spans="1:9" x14ac:dyDescent="0.25">
      <c r="A2325" s="16">
        <v>42755</v>
      </c>
      <c r="B2325" s="17" t="s">
        <v>2690</v>
      </c>
      <c r="C2325" s="18">
        <v>97922</v>
      </c>
      <c r="D2325" s="2" t="s">
        <v>30</v>
      </c>
      <c r="E2325" s="15">
        <v>1297.4000000000001</v>
      </c>
      <c r="F2325" s="36" t="s">
        <v>927</v>
      </c>
      <c r="G2325" s="15">
        <v>1297.4000000000001</v>
      </c>
      <c r="H2325" s="15">
        <f t="shared" si="37"/>
        <v>0</v>
      </c>
      <c r="I2325" s="19"/>
    </row>
    <row r="2326" spans="1:9" x14ac:dyDescent="0.25">
      <c r="A2326" s="16">
        <v>42755</v>
      </c>
      <c r="B2326" s="17" t="s">
        <v>2691</v>
      </c>
      <c r="C2326" s="18">
        <v>97923</v>
      </c>
      <c r="D2326" s="2" t="s">
        <v>81</v>
      </c>
      <c r="E2326" s="15">
        <v>3744.8</v>
      </c>
      <c r="F2326" s="36" t="s">
        <v>927</v>
      </c>
      <c r="G2326" s="15">
        <v>3744.8</v>
      </c>
      <c r="H2326" s="15">
        <f t="shared" si="37"/>
        <v>0</v>
      </c>
      <c r="I2326" s="19"/>
    </row>
    <row r="2327" spans="1:9" x14ac:dyDescent="0.25">
      <c r="A2327" s="16">
        <v>42755</v>
      </c>
      <c r="B2327" s="17" t="s">
        <v>2692</v>
      </c>
      <c r="C2327" s="18">
        <v>97924</v>
      </c>
      <c r="D2327" s="2" t="s">
        <v>145</v>
      </c>
      <c r="E2327" s="15">
        <v>17849</v>
      </c>
      <c r="F2327" s="36" t="s">
        <v>927</v>
      </c>
      <c r="G2327" s="15">
        <v>17849</v>
      </c>
      <c r="H2327" s="15">
        <f t="shared" si="37"/>
        <v>0</v>
      </c>
      <c r="I2327" s="19"/>
    </row>
    <row r="2328" spans="1:9" x14ac:dyDescent="0.25">
      <c r="A2328" s="16">
        <v>42755</v>
      </c>
      <c r="B2328" s="17" t="s">
        <v>2693</v>
      </c>
      <c r="C2328" s="18">
        <v>97925</v>
      </c>
      <c r="D2328" s="2" t="s">
        <v>92</v>
      </c>
      <c r="E2328" s="15">
        <v>2771.1</v>
      </c>
      <c r="F2328" s="36" t="s">
        <v>927</v>
      </c>
      <c r="G2328" s="15">
        <v>2771.1</v>
      </c>
      <c r="H2328" s="15">
        <f t="shared" si="37"/>
        <v>0</v>
      </c>
      <c r="I2328" s="19"/>
    </row>
    <row r="2329" spans="1:9" x14ac:dyDescent="0.25">
      <c r="A2329" s="16">
        <v>42755</v>
      </c>
      <c r="B2329" s="17" t="s">
        <v>2694</v>
      </c>
      <c r="C2329" s="18">
        <v>97926</v>
      </c>
      <c r="D2329" s="2" t="s">
        <v>613</v>
      </c>
      <c r="E2329" s="15">
        <v>2961</v>
      </c>
      <c r="F2329" s="36" t="s">
        <v>927</v>
      </c>
      <c r="G2329" s="15">
        <v>2961</v>
      </c>
      <c r="H2329" s="15">
        <f t="shared" si="37"/>
        <v>0</v>
      </c>
      <c r="I2329" s="19"/>
    </row>
    <row r="2330" spans="1:9" x14ac:dyDescent="0.25">
      <c r="A2330" s="16">
        <v>42755</v>
      </c>
      <c r="B2330" s="17" t="s">
        <v>2695</v>
      </c>
      <c r="C2330" s="18">
        <v>97927</v>
      </c>
      <c r="D2330" s="13" t="s">
        <v>83</v>
      </c>
      <c r="E2330" s="14">
        <v>0</v>
      </c>
      <c r="F2330" s="123" t="s">
        <v>95</v>
      </c>
      <c r="G2330" s="14">
        <v>0</v>
      </c>
      <c r="H2330" s="14">
        <f t="shared" si="37"/>
        <v>0</v>
      </c>
      <c r="I2330" s="19"/>
    </row>
    <row r="2331" spans="1:9" x14ac:dyDescent="0.25">
      <c r="A2331" s="16">
        <v>42755</v>
      </c>
      <c r="B2331" s="17" t="s">
        <v>2696</v>
      </c>
      <c r="C2331" s="18">
        <v>97928</v>
      </c>
      <c r="D2331" s="2" t="s">
        <v>83</v>
      </c>
      <c r="E2331" s="15">
        <v>3830.5</v>
      </c>
      <c r="F2331" s="36" t="s">
        <v>927</v>
      </c>
      <c r="G2331" s="15">
        <v>3830.5</v>
      </c>
      <c r="H2331" s="15">
        <f t="shared" si="37"/>
        <v>0</v>
      </c>
      <c r="I2331" s="19"/>
    </row>
    <row r="2332" spans="1:9" x14ac:dyDescent="0.25">
      <c r="A2332" s="16">
        <v>42755</v>
      </c>
      <c r="B2332" s="17" t="s">
        <v>2697</v>
      </c>
      <c r="C2332" s="18">
        <v>97929</v>
      </c>
      <c r="D2332" s="2" t="s">
        <v>422</v>
      </c>
      <c r="E2332" s="15">
        <v>2341.4</v>
      </c>
      <c r="F2332" s="36" t="s">
        <v>1539</v>
      </c>
      <c r="G2332" s="15">
        <v>2341.4</v>
      </c>
      <c r="H2332" s="15">
        <f t="shared" si="37"/>
        <v>0</v>
      </c>
      <c r="I2332" s="19"/>
    </row>
    <row r="2333" spans="1:9" x14ac:dyDescent="0.25">
      <c r="A2333" s="16">
        <v>42755</v>
      </c>
      <c r="B2333" s="17" t="s">
        <v>2698</v>
      </c>
      <c r="C2333" s="18">
        <v>97930</v>
      </c>
      <c r="D2333" s="2" t="s">
        <v>218</v>
      </c>
      <c r="E2333" s="15">
        <v>156593.1</v>
      </c>
      <c r="F2333" s="36" t="s">
        <v>307</v>
      </c>
      <c r="G2333" s="15">
        <v>156593.1</v>
      </c>
      <c r="H2333" s="15">
        <f t="shared" si="37"/>
        <v>0</v>
      </c>
      <c r="I2333" s="19"/>
    </row>
    <row r="2334" spans="1:9" x14ac:dyDescent="0.25">
      <c r="A2334" s="16">
        <v>42755</v>
      </c>
      <c r="B2334" s="17" t="s">
        <v>2699</v>
      </c>
      <c r="C2334" s="18">
        <v>97931</v>
      </c>
      <c r="D2334" s="2" t="s">
        <v>806</v>
      </c>
      <c r="E2334" s="15">
        <v>6356.7</v>
      </c>
      <c r="F2334" s="36" t="s">
        <v>1539</v>
      </c>
      <c r="G2334" s="15">
        <v>6356.7</v>
      </c>
      <c r="H2334" s="15">
        <f t="shared" si="37"/>
        <v>0</v>
      </c>
      <c r="I2334" s="19"/>
    </row>
    <row r="2335" spans="1:9" x14ac:dyDescent="0.25">
      <c r="A2335" s="16">
        <v>42755</v>
      </c>
      <c r="B2335" s="17" t="s">
        <v>2700</v>
      </c>
      <c r="C2335" s="18">
        <v>97932</v>
      </c>
      <c r="D2335" s="2" t="s">
        <v>12</v>
      </c>
      <c r="E2335" s="15">
        <v>1093.4000000000001</v>
      </c>
      <c r="F2335" s="36" t="s">
        <v>1539</v>
      </c>
      <c r="G2335" s="15">
        <v>1093.4000000000001</v>
      </c>
      <c r="H2335" s="15">
        <f t="shared" si="37"/>
        <v>0</v>
      </c>
      <c r="I2335" s="19"/>
    </row>
    <row r="2336" spans="1:9" x14ac:dyDescent="0.25">
      <c r="A2336" s="16">
        <v>42755</v>
      </c>
      <c r="B2336" s="17" t="s">
        <v>2701</v>
      </c>
      <c r="C2336" s="18">
        <v>97933</v>
      </c>
      <c r="D2336" s="2" t="s">
        <v>88</v>
      </c>
      <c r="E2336" s="15">
        <v>11241</v>
      </c>
      <c r="F2336" s="36" t="s">
        <v>927</v>
      </c>
      <c r="G2336" s="15">
        <v>11241</v>
      </c>
      <c r="H2336" s="15">
        <f t="shared" si="37"/>
        <v>0</v>
      </c>
      <c r="I2336" s="19"/>
    </row>
    <row r="2337" spans="1:9" x14ac:dyDescent="0.25">
      <c r="A2337" s="16">
        <v>42755</v>
      </c>
      <c r="B2337" s="17" t="s">
        <v>2702</v>
      </c>
      <c r="C2337" s="18">
        <v>97934</v>
      </c>
      <c r="D2337" s="2" t="s">
        <v>176</v>
      </c>
      <c r="E2337" s="15">
        <v>3256.2</v>
      </c>
      <c r="F2337" s="36" t="s">
        <v>1539</v>
      </c>
      <c r="G2337" s="15">
        <v>3256.2</v>
      </c>
      <c r="H2337" s="15">
        <f t="shared" si="37"/>
        <v>0</v>
      </c>
      <c r="I2337" s="19"/>
    </row>
    <row r="2338" spans="1:9" x14ac:dyDescent="0.25">
      <c r="A2338" s="16">
        <v>42755</v>
      </c>
      <c r="B2338" s="17" t="s">
        <v>2703</v>
      </c>
      <c r="C2338" s="18">
        <v>97935</v>
      </c>
      <c r="D2338" s="2" t="s">
        <v>2704</v>
      </c>
      <c r="E2338" s="15">
        <v>21462.2</v>
      </c>
      <c r="F2338" s="36" t="s">
        <v>927</v>
      </c>
      <c r="G2338" s="15">
        <v>21462.2</v>
      </c>
      <c r="H2338" s="15">
        <f t="shared" si="37"/>
        <v>0</v>
      </c>
      <c r="I2338" s="19"/>
    </row>
    <row r="2339" spans="1:9" x14ac:dyDescent="0.25">
      <c r="A2339" s="16">
        <v>42755</v>
      </c>
      <c r="B2339" s="17" t="s">
        <v>2705</v>
      </c>
      <c r="C2339" s="18">
        <v>97936</v>
      </c>
      <c r="D2339" s="2" t="s">
        <v>163</v>
      </c>
      <c r="E2339" s="15">
        <v>19262.599999999999</v>
      </c>
      <c r="F2339" s="36" t="s">
        <v>765</v>
      </c>
      <c r="G2339" s="15">
        <v>19262.599999999999</v>
      </c>
      <c r="H2339" s="15">
        <f t="shared" si="37"/>
        <v>0</v>
      </c>
      <c r="I2339" s="19"/>
    </row>
    <row r="2340" spans="1:9" x14ac:dyDescent="0.25">
      <c r="A2340" s="16">
        <v>42755</v>
      </c>
      <c r="B2340" s="17" t="s">
        <v>2706</v>
      </c>
      <c r="C2340" s="18">
        <v>97937</v>
      </c>
      <c r="D2340" s="13" t="s">
        <v>61</v>
      </c>
      <c r="E2340" s="14">
        <v>0</v>
      </c>
      <c r="F2340" s="123" t="s">
        <v>95</v>
      </c>
      <c r="G2340" s="14">
        <v>0</v>
      </c>
      <c r="H2340" s="14">
        <f t="shared" si="37"/>
        <v>0</v>
      </c>
      <c r="I2340" s="19"/>
    </row>
    <row r="2341" spans="1:9" x14ac:dyDescent="0.25">
      <c r="A2341" s="16">
        <v>42755</v>
      </c>
      <c r="B2341" s="17" t="s">
        <v>2707</v>
      </c>
      <c r="C2341" s="18">
        <v>97938</v>
      </c>
      <c r="D2341" s="2" t="s">
        <v>61</v>
      </c>
      <c r="E2341" s="15">
        <v>9878.4</v>
      </c>
      <c r="F2341" s="36" t="s">
        <v>927</v>
      </c>
      <c r="G2341" s="15">
        <v>9878.4</v>
      </c>
      <c r="H2341" s="15">
        <f t="shared" si="37"/>
        <v>0</v>
      </c>
      <c r="I2341" s="19"/>
    </row>
    <row r="2342" spans="1:9" x14ac:dyDescent="0.25">
      <c r="A2342" s="16">
        <v>42755</v>
      </c>
      <c r="B2342" s="17" t="s">
        <v>2708</v>
      </c>
      <c r="C2342" s="18">
        <v>97939</v>
      </c>
      <c r="D2342" s="2" t="s">
        <v>528</v>
      </c>
      <c r="E2342" s="15">
        <v>8803.2000000000007</v>
      </c>
      <c r="F2342" s="36" t="s">
        <v>927</v>
      </c>
      <c r="G2342" s="15">
        <v>8803.2000000000007</v>
      </c>
      <c r="H2342" s="15">
        <f t="shared" si="37"/>
        <v>0</v>
      </c>
      <c r="I2342" s="19"/>
    </row>
    <row r="2343" spans="1:9" x14ac:dyDescent="0.25">
      <c r="A2343" s="16">
        <v>42755</v>
      </c>
      <c r="B2343" s="17" t="s">
        <v>2709</v>
      </c>
      <c r="C2343" s="18">
        <v>97940</v>
      </c>
      <c r="D2343" s="2" t="s">
        <v>172</v>
      </c>
      <c r="E2343" s="15">
        <v>39324</v>
      </c>
      <c r="F2343" s="36" t="s">
        <v>765</v>
      </c>
      <c r="G2343" s="15">
        <v>39324</v>
      </c>
      <c r="H2343" s="15">
        <f t="shared" si="37"/>
        <v>0</v>
      </c>
      <c r="I2343" s="19"/>
    </row>
    <row r="2344" spans="1:9" x14ac:dyDescent="0.25">
      <c r="A2344" s="16">
        <v>42755</v>
      </c>
      <c r="B2344" s="17" t="s">
        <v>2710</v>
      </c>
      <c r="C2344" s="18">
        <v>97941</v>
      </c>
      <c r="D2344" s="2" t="s">
        <v>660</v>
      </c>
      <c r="E2344" s="15">
        <v>3186.8</v>
      </c>
      <c r="F2344" s="36" t="s">
        <v>927</v>
      </c>
      <c r="G2344" s="15">
        <v>3186.8</v>
      </c>
      <c r="H2344" s="15">
        <f t="shared" si="37"/>
        <v>0</v>
      </c>
      <c r="I2344" s="19"/>
    </row>
    <row r="2345" spans="1:9" x14ac:dyDescent="0.25">
      <c r="A2345" s="16">
        <v>42755</v>
      </c>
      <c r="B2345" s="17" t="s">
        <v>2711</v>
      </c>
      <c r="C2345" s="18">
        <v>97942</v>
      </c>
      <c r="D2345" s="2" t="s">
        <v>182</v>
      </c>
      <c r="E2345" s="15">
        <v>2300</v>
      </c>
      <c r="F2345" s="36" t="s">
        <v>927</v>
      </c>
      <c r="G2345" s="15">
        <v>2300</v>
      </c>
      <c r="H2345" s="15">
        <f t="shared" si="37"/>
        <v>0</v>
      </c>
      <c r="I2345" s="19"/>
    </row>
    <row r="2346" spans="1:9" x14ac:dyDescent="0.25">
      <c r="A2346" s="16">
        <v>42755</v>
      </c>
      <c r="B2346" s="17" t="s">
        <v>2712</v>
      </c>
      <c r="C2346" s="18">
        <v>97943</v>
      </c>
      <c r="D2346" s="2" t="s">
        <v>188</v>
      </c>
      <c r="E2346" s="15">
        <v>817.2</v>
      </c>
      <c r="F2346" s="36" t="s">
        <v>927</v>
      </c>
      <c r="G2346" s="15">
        <v>817.2</v>
      </c>
      <c r="H2346" s="15">
        <f t="shared" si="37"/>
        <v>0</v>
      </c>
      <c r="I2346" s="19"/>
    </row>
    <row r="2347" spans="1:9" x14ac:dyDescent="0.25">
      <c r="A2347" s="16">
        <v>42755</v>
      </c>
      <c r="B2347" s="17" t="s">
        <v>2713</v>
      </c>
      <c r="C2347" s="18">
        <v>97944</v>
      </c>
      <c r="D2347" s="2" t="s">
        <v>193</v>
      </c>
      <c r="E2347" s="15">
        <v>1782</v>
      </c>
      <c r="F2347" s="36" t="s">
        <v>927</v>
      </c>
      <c r="G2347" s="15">
        <v>1782</v>
      </c>
      <c r="H2347" s="15">
        <f t="shared" si="37"/>
        <v>0</v>
      </c>
      <c r="I2347" s="19"/>
    </row>
    <row r="2348" spans="1:9" x14ac:dyDescent="0.25">
      <c r="A2348" s="16">
        <v>42755</v>
      </c>
      <c r="B2348" s="17" t="s">
        <v>2714</v>
      </c>
      <c r="C2348" s="18">
        <v>97945</v>
      </c>
      <c r="D2348" s="2" t="s">
        <v>57</v>
      </c>
      <c r="E2348" s="15">
        <v>828</v>
      </c>
      <c r="F2348" s="36" t="s">
        <v>927</v>
      </c>
      <c r="G2348" s="15">
        <v>828</v>
      </c>
      <c r="H2348" s="15">
        <f t="shared" si="37"/>
        <v>0</v>
      </c>
      <c r="I2348" s="19"/>
    </row>
    <row r="2349" spans="1:9" x14ac:dyDescent="0.25">
      <c r="A2349" s="16">
        <v>42755</v>
      </c>
      <c r="B2349" s="17" t="s">
        <v>2715</v>
      </c>
      <c r="C2349" s="18">
        <v>97946</v>
      </c>
      <c r="D2349" s="2" t="s">
        <v>53</v>
      </c>
      <c r="E2349" s="15">
        <v>2833.6</v>
      </c>
      <c r="F2349" s="36" t="s">
        <v>927</v>
      </c>
      <c r="G2349" s="15">
        <v>2833.6</v>
      </c>
      <c r="H2349" s="15">
        <f t="shared" si="37"/>
        <v>0</v>
      </c>
      <c r="I2349" s="19"/>
    </row>
    <row r="2350" spans="1:9" x14ac:dyDescent="0.25">
      <c r="A2350" s="16">
        <v>42755</v>
      </c>
      <c r="B2350" s="17" t="s">
        <v>2716</v>
      </c>
      <c r="C2350" s="18">
        <v>97947</v>
      </c>
      <c r="D2350" s="2" t="s">
        <v>331</v>
      </c>
      <c r="E2350" s="15">
        <v>2354.9</v>
      </c>
      <c r="F2350" s="36" t="s">
        <v>927</v>
      </c>
      <c r="G2350" s="15">
        <v>2354.9</v>
      </c>
      <c r="H2350" s="15">
        <f t="shared" si="37"/>
        <v>0</v>
      </c>
      <c r="I2350" s="19"/>
    </row>
    <row r="2351" spans="1:9" x14ac:dyDescent="0.25">
      <c r="A2351" s="16">
        <v>42755</v>
      </c>
      <c r="B2351" s="17" t="s">
        <v>2717</v>
      </c>
      <c r="C2351" s="18">
        <v>97948</v>
      </c>
      <c r="D2351" s="2" t="s">
        <v>45</v>
      </c>
      <c r="E2351" s="15">
        <v>1069.2</v>
      </c>
      <c r="F2351" s="36" t="s">
        <v>927</v>
      </c>
      <c r="G2351" s="15">
        <v>1069.2</v>
      </c>
      <c r="H2351" s="15">
        <f t="shared" si="37"/>
        <v>0</v>
      </c>
      <c r="I2351" s="19"/>
    </row>
    <row r="2352" spans="1:9" x14ac:dyDescent="0.25">
      <c r="A2352" s="16">
        <v>42755</v>
      </c>
      <c r="B2352" s="17" t="s">
        <v>2718</v>
      </c>
      <c r="C2352" s="18">
        <v>97949</v>
      </c>
      <c r="D2352" s="2" t="s">
        <v>10</v>
      </c>
      <c r="E2352" s="15">
        <v>102458.48</v>
      </c>
      <c r="F2352" s="36" t="s">
        <v>2274</v>
      </c>
      <c r="G2352" s="15">
        <v>102458.48</v>
      </c>
      <c r="H2352" s="15">
        <f t="shared" si="37"/>
        <v>0</v>
      </c>
      <c r="I2352" s="19"/>
    </row>
    <row r="2353" spans="1:9" x14ac:dyDescent="0.25">
      <c r="A2353" s="16">
        <v>42755</v>
      </c>
      <c r="B2353" s="17" t="s">
        <v>2719</v>
      </c>
      <c r="C2353" s="18">
        <v>97950</v>
      </c>
      <c r="D2353" s="2" t="s">
        <v>457</v>
      </c>
      <c r="E2353" s="15">
        <v>1062.2</v>
      </c>
      <c r="F2353" s="36" t="s">
        <v>1539</v>
      </c>
      <c r="G2353" s="15">
        <v>1062.2</v>
      </c>
      <c r="H2353" s="15">
        <f t="shared" si="37"/>
        <v>0</v>
      </c>
      <c r="I2353" s="19"/>
    </row>
    <row r="2354" spans="1:9" x14ac:dyDescent="0.25">
      <c r="A2354" s="16">
        <v>42755</v>
      </c>
      <c r="B2354" s="17" t="s">
        <v>2720</v>
      </c>
      <c r="C2354" s="18">
        <v>97951</v>
      </c>
      <c r="D2354" s="2" t="s">
        <v>161</v>
      </c>
      <c r="E2354" s="15">
        <v>55584.4</v>
      </c>
      <c r="F2354" s="36" t="s">
        <v>765</v>
      </c>
      <c r="G2354" s="15">
        <v>55584.4</v>
      </c>
      <c r="H2354" s="15">
        <f t="shared" si="37"/>
        <v>0</v>
      </c>
      <c r="I2354" s="19"/>
    </row>
    <row r="2355" spans="1:9" x14ac:dyDescent="0.25">
      <c r="A2355" s="16">
        <v>42755</v>
      </c>
      <c r="B2355" s="17" t="s">
        <v>2721</v>
      </c>
      <c r="C2355" s="18">
        <v>97952</v>
      </c>
      <c r="D2355" s="2" t="s">
        <v>1141</v>
      </c>
      <c r="E2355" s="15">
        <v>660.4</v>
      </c>
      <c r="F2355" s="36" t="s">
        <v>1539</v>
      </c>
      <c r="G2355" s="15">
        <v>660.4</v>
      </c>
      <c r="H2355" s="15">
        <f t="shared" si="37"/>
        <v>0</v>
      </c>
      <c r="I2355" s="19"/>
    </row>
    <row r="2356" spans="1:9" x14ac:dyDescent="0.25">
      <c r="A2356" s="16">
        <v>42755</v>
      </c>
      <c r="B2356" s="17" t="s">
        <v>2722</v>
      </c>
      <c r="C2356" s="18">
        <v>97953</v>
      </c>
      <c r="D2356" s="2" t="s">
        <v>2670</v>
      </c>
      <c r="E2356" s="15">
        <v>29667</v>
      </c>
      <c r="F2356" s="36">
        <v>42755</v>
      </c>
      <c r="G2356" s="15">
        <f>E2356</f>
        <v>29667</v>
      </c>
      <c r="H2356" s="15">
        <f t="shared" si="37"/>
        <v>0</v>
      </c>
      <c r="I2356" s="19"/>
    </row>
    <row r="2357" spans="1:9" x14ac:dyDescent="0.25">
      <c r="A2357" s="16">
        <v>42755</v>
      </c>
      <c r="B2357" s="17" t="s">
        <v>2723</v>
      </c>
      <c r="C2357" s="18">
        <v>97954</v>
      </c>
      <c r="D2357" s="2" t="s">
        <v>165</v>
      </c>
      <c r="E2357" s="15">
        <v>11827.5</v>
      </c>
      <c r="F2357" s="36" t="s">
        <v>2724</v>
      </c>
      <c r="G2357" s="15">
        <v>11827.5</v>
      </c>
      <c r="H2357" s="15">
        <f t="shared" si="37"/>
        <v>0</v>
      </c>
      <c r="I2357" s="19"/>
    </row>
    <row r="2358" spans="1:9" x14ac:dyDescent="0.25">
      <c r="A2358" s="16">
        <v>42755</v>
      </c>
      <c r="B2358" s="17" t="s">
        <v>2725</v>
      </c>
      <c r="C2358" s="18">
        <v>97955</v>
      </c>
      <c r="D2358" s="2" t="s">
        <v>2726</v>
      </c>
      <c r="E2358" s="15">
        <v>15500</v>
      </c>
      <c r="F2358" s="36" t="s">
        <v>927</v>
      </c>
      <c r="G2358" s="15">
        <v>15500</v>
      </c>
      <c r="H2358" s="15">
        <f t="shared" si="37"/>
        <v>0</v>
      </c>
      <c r="I2358" s="19"/>
    </row>
    <row r="2359" spans="1:9" x14ac:dyDescent="0.25">
      <c r="A2359" s="16">
        <v>42755</v>
      </c>
      <c r="B2359" s="17" t="s">
        <v>2727</v>
      </c>
      <c r="C2359" s="18">
        <v>97956</v>
      </c>
      <c r="D2359" s="2" t="s">
        <v>1925</v>
      </c>
      <c r="E2359" s="15">
        <v>475.2</v>
      </c>
      <c r="F2359" s="36" t="s">
        <v>1539</v>
      </c>
      <c r="G2359" s="15">
        <v>475.2</v>
      </c>
      <c r="H2359" s="15">
        <f t="shared" si="37"/>
        <v>0</v>
      </c>
      <c r="I2359" s="19"/>
    </row>
    <row r="2360" spans="1:9" x14ac:dyDescent="0.25">
      <c r="A2360" s="16">
        <v>42755</v>
      </c>
      <c r="B2360" s="17" t="s">
        <v>2728</v>
      </c>
      <c r="C2360" s="18">
        <v>97957</v>
      </c>
      <c r="D2360" s="2" t="s">
        <v>1421</v>
      </c>
      <c r="E2360" s="15">
        <v>40387</v>
      </c>
      <c r="F2360" s="36" t="s">
        <v>927</v>
      </c>
      <c r="G2360" s="15">
        <v>40387</v>
      </c>
      <c r="H2360" s="15">
        <f t="shared" si="37"/>
        <v>0</v>
      </c>
      <c r="I2360" s="19"/>
    </row>
    <row r="2361" spans="1:9" x14ac:dyDescent="0.25">
      <c r="A2361" s="16">
        <v>42755</v>
      </c>
      <c r="B2361" s="17" t="s">
        <v>2729</v>
      </c>
      <c r="C2361" s="18">
        <v>97958</v>
      </c>
      <c r="D2361" s="2" t="s">
        <v>30</v>
      </c>
      <c r="E2361" s="15">
        <v>780</v>
      </c>
      <c r="F2361" s="36" t="s">
        <v>1539</v>
      </c>
      <c r="G2361" s="15">
        <v>780</v>
      </c>
      <c r="H2361" s="15">
        <f t="shared" si="37"/>
        <v>0</v>
      </c>
      <c r="I2361" s="19"/>
    </row>
    <row r="2362" spans="1:9" x14ac:dyDescent="0.25">
      <c r="A2362" s="16">
        <v>42755</v>
      </c>
      <c r="B2362" s="17" t="s">
        <v>2730</v>
      </c>
      <c r="C2362" s="18">
        <v>97959</v>
      </c>
      <c r="D2362" s="2" t="s">
        <v>335</v>
      </c>
      <c r="E2362" s="15">
        <v>1523.5</v>
      </c>
      <c r="F2362" s="36" t="s">
        <v>2143</v>
      </c>
      <c r="G2362" s="15">
        <v>1523.5</v>
      </c>
      <c r="H2362" s="15">
        <f t="shared" si="37"/>
        <v>0</v>
      </c>
      <c r="I2362" s="19"/>
    </row>
    <row r="2363" spans="1:9" x14ac:dyDescent="0.25">
      <c r="A2363" s="16">
        <v>42755</v>
      </c>
      <c r="B2363" s="17" t="s">
        <v>2731</v>
      </c>
      <c r="C2363" s="18">
        <v>97960</v>
      </c>
      <c r="D2363" s="2" t="s">
        <v>800</v>
      </c>
      <c r="E2363" s="15">
        <v>15212.4</v>
      </c>
      <c r="F2363" s="124" t="s">
        <v>2732</v>
      </c>
      <c r="G2363" s="20">
        <f>9500+5712.4</f>
        <v>15212.4</v>
      </c>
      <c r="H2363" s="20">
        <f t="shared" si="37"/>
        <v>0</v>
      </c>
      <c r="I2363" s="19"/>
    </row>
    <row r="2364" spans="1:9" x14ac:dyDescent="0.25">
      <c r="A2364" s="16">
        <v>42755</v>
      </c>
      <c r="B2364" s="17" t="s">
        <v>2733</v>
      </c>
      <c r="C2364" s="18">
        <v>97961</v>
      </c>
      <c r="D2364" s="2" t="s">
        <v>137</v>
      </c>
      <c r="E2364" s="15">
        <v>151.19999999999999</v>
      </c>
      <c r="F2364" s="36" t="s">
        <v>1539</v>
      </c>
      <c r="G2364" s="15">
        <v>151.19999999999999</v>
      </c>
      <c r="H2364" s="15">
        <f t="shared" si="37"/>
        <v>0</v>
      </c>
      <c r="I2364" s="19"/>
    </row>
    <row r="2365" spans="1:9" x14ac:dyDescent="0.25">
      <c r="A2365" s="16">
        <v>42755</v>
      </c>
      <c r="B2365" s="17" t="s">
        <v>2734</v>
      </c>
      <c r="C2365" s="18">
        <v>97962</v>
      </c>
      <c r="D2365" s="2" t="s">
        <v>352</v>
      </c>
      <c r="E2365" s="15">
        <v>2286.1999999999998</v>
      </c>
      <c r="F2365" s="36" t="s">
        <v>1539</v>
      </c>
      <c r="G2365" s="15">
        <v>2286.1999999999998</v>
      </c>
      <c r="H2365" s="15">
        <f t="shared" si="37"/>
        <v>0</v>
      </c>
      <c r="I2365" s="19"/>
    </row>
    <row r="2366" spans="1:9" x14ac:dyDescent="0.25">
      <c r="A2366" s="16">
        <v>42755</v>
      </c>
      <c r="B2366" s="17" t="s">
        <v>2735</v>
      </c>
      <c r="C2366" s="18">
        <v>97963</v>
      </c>
      <c r="D2366" s="2" t="s">
        <v>2736</v>
      </c>
      <c r="E2366" s="15">
        <v>600</v>
      </c>
      <c r="F2366" s="36" t="s">
        <v>1539</v>
      </c>
      <c r="G2366" s="15">
        <v>600</v>
      </c>
      <c r="H2366" s="15">
        <f t="shared" si="37"/>
        <v>0</v>
      </c>
      <c r="I2366" s="19"/>
    </row>
    <row r="2367" spans="1:9" x14ac:dyDescent="0.25">
      <c r="A2367" s="16">
        <v>42755</v>
      </c>
      <c r="B2367" s="17" t="s">
        <v>2737</v>
      </c>
      <c r="C2367" s="18">
        <v>97964</v>
      </c>
      <c r="D2367" s="2" t="s">
        <v>10</v>
      </c>
      <c r="E2367" s="15">
        <v>75654.8</v>
      </c>
      <c r="F2367" s="36" t="s">
        <v>2274</v>
      </c>
      <c r="G2367" s="15">
        <v>75654.8</v>
      </c>
      <c r="H2367" s="15">
        <f t="shared" si="37"/>
        <v>0</v>
      </c>
      <c r="I2367" s="19"/>
    </row>
    <row r="2368" spans="1:9" x14ac:dyDescent="0.25">
      <c r="A2368" s="16">
        <v>42755</v>
      </c>
      <c r="B2368" s="17" t="s">
        <v>2738</v>
      </c>
      <c r="C2368" s="18">
        <v>97965</v>
      </c>
      <c r="D2368" s="2" t="s">
        <v>218</v>
      </c>
      <c r="E2368" s="15">
        <v>5187</v>
      </c>
      <c r="F2368" s="36" t="s">
        <v>307</v>
      </c>
      <c r="G2368" s="15">
        <v>5187</v>
      </c>
      <c r="H2368" s="15">
        <f t="shared" si="37"/>
        <v>0</v>
      </c>
      <c r="I2368" s="19"/>
    </row>
    <row r="2369" spans="1:9" x14ac:dyDescent="0.25">
      <c r="A2369" s="16">
        <v>42755</v>
      </c>
      <c r="B2369" s="17" t="s">
        <v>2739</v>
      </c>
      <c r="C2369" s="18">
        <v>97966</v>
      </c>
      <c r="D2369" s="2" t="s">
        <v>10</v>
      </c>
      <c r="E2369" s="15">
        <v>10768.2</v>
      </c>
      <c r="F2369" s="36" t="s">
        <v>2274</v>
      </c>
      <c r="G2369" s="15">
        <v>10768.2</v>
      </c>
      <c r="H2369" s="15">
        <f t="shared" si="37"/>
        <v>0</v>
      </c>
      <c r="I2369" s="19"/>
    </row>
    <row r="2370" spans="1:9" x14ac:dyDescent="0.25">
      <c r="A2370" s="16">
        <v>42755</v>
      </c>
      <c r="B2370" s="17" t="s">
        <v>2740</v>
      </c>
      <c r="C2370" s="18">
        <v>97967</v>
      </c>
      <c r="D2370" s="2" t="s">
        <v>218</v>
      </c>
      <c r="E2370" s="15">
        <v>6501.8</v>
      </c>
      <c r="F2370" s="36" t="s">
        <v>307</v>
      </c>
      <c r="G2370" s="15">
        <v>6501.8</v>
      </c>
      <c r="H2370" s="15">
        <f t="shared" si="37"/>
        <v>0</v>
      </c>
      <c r="I2370" s="19"/>
    </row>
    <row r="2371" spans="1:9" x14ac:dyDescent="0.25">
      <c r="A2371" s="16">
        <v>42755</v>
      </c>
      <c r="B2371" s="17" t="s">
        <v>2741</v>
      </c>
      <c r="C2371" s="18">
        <v>97968</v>
      </c>
      <c r="D2371" s="2" t="s">
        <v>358</v>
      </c>
      <c r="E2371" s="15">
        <v>30753</v>
      </c>
      <c r="F2371" s="36" t="s">
        <v>927</v>
      </c>
      <c r="G2371" s="15">
        <v>30753</v>
      </c>
      <c r="H2371" s="15">
        <f t="shared" si="37"/>
        <v>0</v>
      </c>
      <c r="I2371" s="19"/>
    </row>
    <row r="2372" spans="1:9" x14ac:dyDescent="0.25">
      <c r="A2372" s="16">
        <v>42755</v>
      </c>
      <c r="B2372" s="17" t="s">
        <v>2742</v>
      </c>
      <c r="C2372" s="18">
        <v>97969</v>
      </c>
      <c r="D2372" s="2" t="s">
        <v>231</v>
      </c>
      <c r="E2372" s="15">
        <v>2405.8000000000002</v>
      </c>
      <c r="F2372" s="36" t="s">
        <v>927</v>
      </c>
      <c r="G2372" s="15">
        <v>2405.8000000000002</v>
      </c>
      <c r="H2372" s="15">
        <f t="shared" si="37"/>
        <v>0</v>
      </c>
      <c r="I2372" s="19"/>
    </row>
    <row r="2373" spans="1:9" x14ac:dyDescent="0.25">
      <c r="A2373" s="16">
        <v>42755</v>
      </c>
      <c r="B2373" s="17" t="s">
        <v>2743</v>
      </c>
      <c r="C2373" s="18">
        <v>97970</v>
      </c>
      <c r="D2373" s="2" t="s">
        <v>693</v>
      </c>
      <c r="E2373" s="15">
        <v>38937.599999999999</v>
      </c>
      <c r="F2373" s="36" t="s">
        <v>2744</v>
      </c>
      <c r="G2373" s="15">
        <v>38937.599999999999</v>
      </c>
      <c r="H2373" s="15">
        <f t="shared" si="37"/>
        <v>0</v>
      </c>
      <c r="I2373" s="19"/>
    </row>
    <row r="2374" spans="1:9" x14ac:dyDescent="0.25">
      <c r="A2374" s="16">
        <v>42755</v>
      </c>
      <c r="B2374" s="17" t="s">
        <v>2745</v>
      </c>
      <c r="C2374" s="18">
        <v>97971</v>
      </c>
      <c r="D2374" s="2" t="s">
        <v>428</v>
      </c>
      <c r="E2374" s="15">
        <v>714</v>
      </c>
      <c r="F2374" s="36" t="s">
        <v>2143</v>
      </c>
      <c r="G2374" s="15">
        <v>714</v>
      </c>
      <c r="H2374" s="15">
        <f t="shared" ref="H2374:H2437" si="38">E2374-G2374</f>
        <v>0</v>
      </c>
      <c r="I2374" s="19"/>
    </row>
    <row r="2375" spans="1:9" x14ac:dyDescent="0.25">
      <c r="A2375" s="16">
        <v>42755</v>
      </c>
      <c r="B2375" s="17" t="s">
        <v>2746</v>
      </c>
      <c r="C2375" s="18">
        <v>97972</v>
      </c>
      <c r="D2375" s="2" t="s">
        <v>122</v>
      </c>
      <c r="E2375" s="15">
        <v>7442.8</v>
      </c>
      <c r="F2375" s="36" t="s">
        <v>1173</v>
      </c>
      <c r="G2375" s="15">
        <v>7442.8</v>
      </c>
      <c r="H2375" s="15">
        <f t="shared" si="38"/>
        <v>0</v>
      </c>
      <c r="I2375" s="19"/>
    </row>
    <row r="2376" spans="1:9" x14ac:dyDescent="0.25">
      <c r="A2376" s="16">
        <v>42755</v>
      </c>
      <c r="B2376" s="17" t="s">
        <v>2747</v>
      </c>
      <c r="C2376" s="18">
        <v>97973</v>
      </c>
      <c r="D2376" s="2" t="s">
        <v>354</v>
      </c>
      <c r="E2376" s="15">
        <v>2074.3000000000002</v>
      </c>
      <c r="F2376" s="36" t="s">
        <v>1539</v>
      </c>
      <c r="G2376" s="15">
        <v>2074.3000000000002</v>
      </c>
      <c r="H2376" s="15">
        <f t="shared" si="38"/>
        <v>0</v>
      </c>
      <c r="I2376" s="19"/>
    </row>
    <row r="2377" spans="1:9" x14ac:dyDescent="0.25">
      <c r="A2377" s="16">
        <v>42755</v>
      </c>
      <c r="B2377" s="17" t="s">
        <v>2748</v>
      </c>
      <c r="C2377" s="18">
        <v>97974</v>
      </c>
      <c r="D2377" s="2" t="s">
        <v>509</v>
      </c>
      <c r="E2377" s="15">
        <v>13050</v>
      </c>
      <c r="F2377" s="36" t="s">
        <v>1539</v>
      </c>
      <c r="G2377" s="15">
        <v>13050</v>
      </c>
      <c r="H2377" s="15">
        <f t="shared" si="38"/>
        <v>0</v>
      </c>
      <c r="I2377" s="19"/>
    </row>
    <row r="2378" spans="1:9" x14ac:dyDescent="0.25">
      <c r="A2378" s="16">
        <v>42755</v>
      </c>
      <c r="B2378" s="17" t="s">
        <v>2749</v>
      </c>
      <c r="C2378" s="18">
        <v>97975</v>
      </c>
      <c r="D2378" s="2" t="s">
        <v>10</v>
      </c>
      <c r="E2378" s="15">
        <v>367176.8</v>
      </c>
      <c r="F2378" s="36" t="s">
        <v>2274</v>
      </c>
      <c r="G2378" s="15">
        <v>367176.8</v>
      </c>
      <c r="H2378" s="15">
        <f t="shared" si="38"/>
        <v>0</v>
      </c>
      <c r="I2378" s="19"/>
    </row>
    <row r="2379" spans="1:9" x14ac:dyDescent="0.25">
      <c r="A2379" s="16">
        <v>42755</v>
      </c>
      <c r="B2379" s="17" t="s">
        <v>2750</v>
      </c>
      <c r="C2379" s="18">
        <v>97976</v>
      </c>
      <c r="D2379" s="2" t="s">
        <v>30</v>
      </c>
      <c r="E2379" s="15">
        <v>2953.9</v>
      </c>
      <c r="F2379" s="36" t="s">
        <v>1539</v>
      </c>
      <c r="G2379" s="15">
        <v>2953.9</v>
      </c>
      <c r="H2379" s="15">
        <f t="shared" si="38"/>
        <v>0</v>
      </c>
      <c r="I2379" s="19"/>
    </row>
    <row r="2380" spans="1:9" x14ac:dyDescent="0.25">
      <c r="A2380" s="16">
        <v>42755</v>
      </c>
      <c r="B2380" s="17" t="s">
        <v>2751</v>
      </c>
      <c r="C2380" s="18">
        <v>97977</v>
      </c>
      <c r="D2380" s="2" t="s">
        <v>30</v>
      </c>
      <c r="E2380" s="15">
        <v>343</v>
      </c>
      <c r="F2380" s="36" t="s">
        <v>927</v>
      </c>
      <c r="G2380" s="15">
        <v>343</v>
      </c>
      <c r="H2380" s="15">
        <f t="shared" si="38"/>
        <v>0</v>
      </c>
      <c r="I2380" s="19"/>
    </row>
    <row r="2381" spans="1:9" x14ac:dyDescent="0.25">
      <c r="A2381" s="16">
        <v>42755</v>
      </c>
      <c r="B2381" s="17" t="s">
        <v>2752</v>
      </c>
      <c r="C2381" s="18">
        <v>97978</v>
      </c>
      <c r="D2381" s="2" t="s">
        <v>921</v>
      </c>
      <c r="E2381" s="15">
        <v>7473.4</v>
      </c>
      <c r="F2381" s="36" t="s">
        <v>927</v>
      </c>
      <c r="G2381" s="15">
        <v>7473.4</v>
      </c>
      <c r="H2381" s="15">
        <f t="shared" si="38"/>
        <v>0</v>
      </c>
      <c r="I2381" s="19"/>
    </row>
    <row r="2382" spans="1:9" x14ac:dyDescent="0.25">
      <c r="A2382" s="16">
        <v>42756</v>
      </c>
      <c r="B2382" s="17" t="s">
        <v>2753</v>
      </c>
      <c r="C2382" s="18">
        <v>97979</v>
      </c>
      <c r="D2382" s="2" t="s">
        <v>231</v>
      </c>
      <c r="E2382" s="15">
        <v>11862.1</v>
      </c>
      <c r="F2382" s="36" t="s">
        <v>2754</v>
      </c>
      <c r="G2382" s="15">
        <v>11862.1</v>
      </c>
      <c r="H2382" s="15">
        <f t="shared" si="38"/>
        <v>0</v>
      </c>
      <c r="I2382" s="19"/>
    </row>
    <row r="2383" spans="1:9" x14ac:dyDescent="0.25">
      <c r="A2383" s="16">
        <v>42756</v>
      </c>
      <c r="B2383" s="17" t="s">
        <v>2755</v>
      </c>
      <c r="C2383" s="18">
        <v>97980</v>
      </c>
      <c r="D2383" s="2" t="s">
        <v>374</v>
      </c>
      <c r="E2383" s="15">
        <v>6421.6</v>
      </c>
      <c r="F2383" s="36" t="s">
        <v>927</v>
      </c>
      <c r="G2383" s="15">
        <v>6421.6</v>
      </c>
      <c r="H2383" s="15">
        <f t="shared" si="38"/>
        <v>0</v>
      </c>
      <c r="I2383" s="19"/>
    </row>
    <row r="2384" spans="1:9" x14ac:dyDescent="0.25">
      <c r="A2384" s="16">
        <v>42756</v>
      </c>
      <c r="B2384" s="17" t="s">
        <v>2756</v>
      </c>
      <c r="C2384" s="18">
        <v>97981</v>
      </c>
      <c r="D2384" s="2" t="s">
        <v>231</v>
      </c>
      <c r="E2384" s="15">
        <v>38640.800000000003</v>
      </c>
      <c r="F2384" s="36" t="s">
        <v>336</v>
      </c>
      <c r="G2384" s="27">
        <f>16000+22640.8</f>
        <v>38640.800000000003</v>
      </c>
      <c r="H2384" s="15">
        <f t="shared" si="38"/>
        <v>0</v>
      </c>
      <c r="I2384" s="19"/>
    </row>
    <row r="2385" spans="1:9" x14ac:dyDescent="0.25">
      <c r="A2385" s="16">
        <v>42756</v>
      </c>
      <c r="B2385" s="17" t="s">
        <v>2757</v>
      </c>
      <c r="C2385" s="18">
        <v>97982</v>
      </c>
      <c r="D2385" s="2" t="s">
        <v>1335</v>
      </c>
      <c r="E2385" s="15">
        <v>5285.7</v>
      </c>
      <c r="F2385" s="36" t="s">
        <v>927</v>
      </c>
      <c r="G2385" s="15">
        <v>5285.7</v>
      </c>
      <c r="H2385" s="15">
        <f t="shared" si="38"/>
        <v>0</v>
      </c>
      <c r="I2385" s="19"/>
    </row>
    <row r="2386" spans="1:9" x14ac:dyDescent="0.25">
      <c r="A2386" s="16">
        <v>42756</v>
      </c>
      <c r="B2386" s="17" t="s">
        <v>2758</v>
      </c>
      <c r="C2386" s="18">
        <v>97983</v>
      </c>
      <c r="D2386" s="2" t="s">
        <v>1786</v>
      </c>
      <c r="E2386" s="15">
        <v>11515</v>
      </c>
      <c r="F2386" s="36" t="s">
        <v>927</v>
      </c>
      <c r="G2386" s="15">
        <v>11515</v>
      </c>
      <c r="H2386" s="15">
        <f t="shared" si="38"/>
        <v>0</v>
      </c>
      <c r="I2386" s="19"/>
    </row>
    <row r="2387" spans="1:9" x14ac:dyDescent="0.25">
      <c r="A2387" s="16">
        <v>42756</v>
      </c>
      <c r="B2387" s="17" t="s">
        <v>2759</v>
      </c>
      <c r="C2387" s="18">
        <v>97984</v>
      </c>
      <c r="D2387" s="2" t="s">
        <v>26</v>
      </c>
      <c r="E2387" s="15">
        <v>30128.42</v>
      </c>
      <c r="F2387" s="36" t="s">
        <v>927</v>
      </c>
      <c r="G2387" s="15">
        <v>30128.42</v>
      </c>
      <c r="H2387" s="15">
        <f t="shared" si="38"/>
        <v>0</v>
      </c>
      <c r="I2387" s="19"/>
    </row>
    <row r="2388" spans="1:9" x14ac:dyDescent="0.25">
      <c r="A2388" s="16">
        <v>42756</v>
      </c>
      <c r="B2388" s="17" t="s">
        <v>2760</v>
      </c>
      <c r="C2388" s="18">
        <v>97985</v>
      </c>
      <c r="D2388" s="2" t="s">
        <v>428</v>
      </c>
      <c r="E2388" s="15">
        <v>1473.6</v>
      </c>
      <c r="F2388" s="36" t="s">
        <v>336</v>
      </c>
      <c r="G2388" s="15">
        <v>1473.6</v>
      </c>
      <c r="H2388" s="15">
        <f t="shared" si="38"/>
        <v>0</v>
      </c>
      <c r="I2388" s="19"/>
    </row>
    <row r="2389" spans="1:9" x14ac:dyDescent="0.25">
      <c r="A2389" s="16">
        <v>42756</v>
      </c>
      <c r="B2389" s="17" t="s">
        <v>2761</v>
      </c>
      <c r="C2389" s="18">
        <v>97986</v>
      </c>
      <c r="D2389" s="2" t="s">
        <v>509</v>
      </c>
      <c r="E2389" s="15">
        <v>23110.400000000001</v>
      </c>
      <c r="F2389" s="36" t="s">
        <v>1391</v>
      </c>
      <c r="G2389" s="15">
        <v>23110.400000000001</v>
      </c>
      <c r="H2389" s="15">
        <f t="shared" si="38"/>
        <v>0</v>
      </c>
      <c r="I2389" s="19"/>
    </row>
    <row r="2390" spans="1:9" x14ac:dyDescent="0.25">
      <c r="A2390" s="16">
        <v>42756</v>
      </c>
      <c r="B2390" s="17" t="s">
        <v>2762</v>
      </c>
      <c r="C2390" s="18">
        <v>97987</v>
      </c>
      <c r="D2390" s="2" t="s">
        <v>32</v>
      </c>
      <c r="E2390" s="15">
        <v>14538.9</v>
      </c>
      <c r="F2390" s="36" t="s">
        <v>2143</v>
      </c>
      <c r="G2390" s="15">
        <v>14538.9</v>
      </c>
      <c r="H2390" s="15">
        <f t="shared" si="38"/>
        <v>0</v>
      </c>
      <c r="I2390" s="19"/>
    </row>
    <row r="2391" spans="1:9" x14ac:dyDescent="0.25">
      <c r="A2391" s="16">
        <v>42756</v>
      </c>
      <c r="B2391" s="17" t="s">
        <v>2763</v>
      </c>
      <c r="C2391" s="18">
        <v>97988</v>
      </c>
      <c r="D2391" s="2" t="s">
        <v>430</v>
      </c>
      <c r="E2391" s="15">
        <v>1355.2</v>
      </c>
      <c r="F2391" s="36" t="s">
        <v>927</v>
      </c>
      <c r="G2391" s="15">
        <v>1355.2</v>
      </c>
      <c r="H2391" s="15">
        <f t="shared" si="38"/>
        <v>0</v>
      </c>
      <c r="I2391" s="19"/>
    </row>
    <row r="2392" spans="1:9" x14ac:dyDescent="0.25">
      <c r="A2392" s="16">
        <v>42756</v>
      </c>
      <c r="B2392" s="17" t="s">
        <v>2764</v>
      </c>
      <c r="C2392" s="18">
        <v>97989</v>
      </c>
      <c r="D2392" s="2" t="s">
        <v>28</v>
      </c>
      <c r="E2392" s="15">
        <v>9504</v>
      </c>
      <c r="F2392" s="36" t="s">
        <v>927</v>
      </c>
      <c r="G2392" s="15">
        <v>9504</v>
      </c>
      <c r="H2392" s="15">
        <f t="shared" si="38"/>
        <v>0</v>
      </c>
      <c r="I2392" s="19"/>
    </row>
    <row r="2393" spans="1:9" x14ac:dyDescent="0.25">
      <c r="A2393" s="16">
        <v>42756</v>
      </c>
      <c r="B2393" s="17" t="s">
        <v>2765</v>
      </c>
      <c r="C2393" s="18">
        <v>97990</v>
      </c>
      <c r="D2393" s="2" t="s">
        <v>143</v>
      </c>
      <c r="E2393" s="15">
        <v>6974.9</v>
      </c>
      <c r="F2393" s="36" t="s">
        <v>927</v>
      </c>
      <c r="G2393" s="15">
        <v>6974.9</v>
      </c>
      <c r="H2393" s="15">
        <f t="shared" si="38"/>
        <v>0</v>
      </c>
      <c r="I2393" s="19"/>
    </row>
    <row r="2394" spans="1:9" x14ac:dyDescent="0.25">
      <c r="A2394" s="16">
        <v>42756</v>
      </c>
      <c r="B2394" s="17" t="s">
        <v>2766</v>
      </c>
      <c r="C2394" s="18">
        <v>97991</v>
      </c>
      <c r="D2394" s="2" t="s">
        <v>69</v>
      </c>
      <c r="E2394" s="15">
        <v>2650.8</v>
      </c>
      <c r="F2394" s="36" t="s">
        <v>927</v>
      </c>
      <c r="G2394" s="15">
        <v>2650.8</v>
      </c>
      <c r="H2394" s="15">
        <f t="shared" si="38"/>
        <v>0</v>
      </c>
      <c r="I2394" s="19"/>
    </row>
    <row r="2395" spans="1:9" x14ac:dyDescent="0.25">
      <c r="A2395" s="16">
        <v>42756</v>
      </c>
      <c r="B2395" s="17" t="s">
        <v>2767</v>
      </c>
      <c r="C2395" s="18">
        <v>97992</v>
      </c>
      <c r="D2395" s="2" t="s">
        <v>40</v>
      </c>
      <c r="E2395" s="15">
        <v>7224</v>
      </c>
      <c r="F2395" s="124" t="s">
        <v>2768</v>
      </c>
      <c r="G2395" s="20">
        <f>2200+5024</f>
        <v>7224</v>
      </c>
      <c r="H2395" s="20">
        <f t="shared" si="38"/>
        <v>0</v>
      </c>
      <c r="I2395" s="19"/>
    </row>
    <row r="2396" spans="1:9" x14ac:dyDescent="0.25">
      <c r="A2396" s="16">
        <v>42756</v>
      </c>
      <c r="B2396" s="17" t="s">
        <v>2769</v>
      </c>
      <c r="C2396" s="18">
        <v>97993</v>
      </c>
      <c r="D2396" s="2" t="s">
        <v>67</v>
      </c>
      <c r="E2396" s="15">
        <v>10037.200000000001</v>
      </c>
      <c r="F2396" s="36" t="s">
        <v>2274</v>
      </c>
      <c r="G2396" s="15">
        <v>10037.200000000001</v>
      </c>
      <c r="H2396" s="15">
        <f t="shared" si="38"/>
        <v>0</v>
      </c>
      <c r="I2396" s="19"/>
    </row>
    <row r="2397" spans="1:9" x14ac:dyDescent="0.25">
      <c r="A2397" s="16">
        <v>42756</v>
      </c>
      <c r="B2397" s="17" t="s">
        <v>2770</v>
      </c>
      <c r="C2397" s="18">
        <v>97994</v>
      </c>
      <c r="D2397" s="2" t="s">
        <v>17</v>
      </c>
      <c r="E2397" s="15">
        <v>5280</v>
      </c>
      <c r="F2397" s="36" t="s">
        <v>927</v>
      </c>
      <c r="G2397" s="15">
        <v>5280</v>
      </c>
      <c r="H2397" s="15">
        <f t="shared" si="38"/>
        <v>0</v>
      </c>
      <c r="I2397" s="19"/>
    </row>
    <row r="2398" spans="1:9" x14ac:dyDescent="0.25">
      <c r="A2398" s="16">
        <v>42756</v>
      </c>
      <c r="B2398" s="17" t="s">
        <v>2771</v>
      </c>
      <c r="C2398" s="18">
        <v>97995</v>
      </c>
      <c r="D2398" s="13" t="s">
        <v>35</v>
      </c>
      <c r="E2398" s="14">
        <v>0</v>
      </c>
      <c r="F2398" s="123" t="s">
        <v>95</v>
      </c>
      <c r="G2398" s="14">
        <v>0</v>
      </c>
      <c r="H2398" s="14">
        <f t="shared" si="38"/>
        <v>0</v>
      </c>
      <c r="I2398" s="19"/>
    </row>
    <row r="2399" spans="1:9" x14ac:dyDescent="0.25">
      <c r="A2399" s="16">
        <v>42756</v>
      </c>
      <c r="B2399" s="17" t="s">
        <v>2772</v>
      </c>
      <c r="C2399" s="18">
        <v>97996</v>
      </c>
      <c r="D2399" s="2" t="s">
        <v>35</v>
      </c>
      <c r="E2399" s="15">
        <v>20150.8</v>
      </c>
      <c r="F2399" s="36" t="s">
        <v>2274</v>
      </c>
      <c r="G2399" s="15">
        <v>20150.8</v>
      </c>
      <c r="H2399" s="15">
        <f t="shared" si="38"/>
        <v>0</v>
      </c>
      <c r="I2399" s="19"/>
    </row>
    <row r="2400" spans="1:9" x14ac:dyDescent="0.25">
      <c r="A2400" s="16">
        <v>42756</v>
      </c>
      <c r="B2400" s="17" t="s">
        <v>2773</v>
      </c>
      <c r="C2400" s="18">
        <v>97997</v>
      </c>
      <c r="D2400" s="2" t="s">
        <v>49</v>
      </c>
      <c r="E2400" s="15">
        <v>25233.599999999999</v>
      </c>
      <c r="F2400" s="126" t="s">
        <v>2774</v>
      </c>
      <c r="G2400" s="23">
        <f>10010+15223.6</f>
        <v>25233.599999999999</v>
      </c>
      <c r="H2400" s="23">
        <f t="shared" si="38"/>
        <v>0</v>
      </c>
      <c r="I2400" s="19"/>
    </row>
    <row r="2401" spans="1:9" x14ac:dyDescent="0.25">
      <c r="A2401" s="16">
        <v>42756</v>
      </c>
      <c r="B2401" s="17" t="s">
        <v>2775</v>
      </c>
      <c r="C2401" s="18">
        <v>97998</v>
      </c>
      <c r="D2401" s="2" t="s">
        <v>268</v>
      </c>
      <c r="E2401" s="15">
        <v>13410.6</v>
      </c>
      <c r="F2401" s="36" t="s">
        <v>1391</v>
      </c>
      <c r="G2401" s="15">
        <v>13410.6</v>
      </c>
      <c r="H2401" s="15">
        <f t="shared" si="38"/>
        <v>0</v>
      </c>
      <c r="I2401" s="19"/>
    </row>
    <row r="2402" spans="1:9" x14ac:dyDescent="0.25">
      <c r="A2402" s="16">
        <v>42756</v>
      </c>
      <c r="B2402" s="17" t="s">
        <v>2776</v>
      </c>
      <c r="C2402" s="18">
        <v>97999</v>
      </c>
      <c r="D2402" s="2" t="s">
        <v>30</v>
      </c>
      <c r="E2402" s="15">
        <v>3204.2</v>
      </c>
      <c r="F2402" s="36" t="s">
        <v>927</v>
      </c>
      <c r="G2402" s="15">
        <v>3204.2</v>
      </c>
      <c r="H2402" s="15">
        <f t="shared" si="38"/>
        <v>0</v>
      </c>
      <c r="I2402" s="19"/>
    </row>
    <row r="2403" spans="1:9" x14ac:dyDescent="0.25">
      <c r="A2403" s="16">
        <v>42756</v>
      </c>
      <c r="B2403" s="17" t="s">
        <v>2777</v>
      </c>
      <c r="C2403" s="18">
        <v>98000</v>
      </c>
      <c r="D2403" s="2" t="s">
        <v>38</v>
      </c>
      <c r="E2403" s="15">
        <v>4755.6000000000004</v>
      </c>
      <c r="F2403" s="124" t="s">
        <v>2778</v>
      </c>
      <c r="G2403" s="20">
        <f>3055+1700.6</f>
        <v>4755.6000000000004</v>
      </c>
      <c r="H2403" s="20">
        <f t="shared" si="38"/>
        <v>0</v>
      </c>
      <c r="I2403" s="19"/>
    </row>
    <row r="2404" spans="1:9" x14ac:dyDescent="0.25">
      <c r="A2404" s="16">
        <v>42756</v>
      </c>
      <c r="B2404" s="17" t="s">
        <v>2779</v>
      </c>
      <c r="C2404" s="18">
        <v>98001</v>
      </c>
      <c r="D2404" s="2" t="s">
        <v>111</v>
      </c>
      <c r="E2404" s="15">
        <v>2760.2</v>
      </c>
      <c r="F2404" s="36" t="s">
        <v>927</v>
      </c>
      <c r="G2404" s="15">
        <v>2760.2</v>
      </c>
      <c r="H2404" s="15">
        <f t="shared" si="38"/>
        <v>0</v>
      </c>
      <c r="I2404" s="19"/>
    </row>
    <row r="2405" spans="1:9" x14ac:dyDescent="0.25">
      <c r="A2405" s="16">
        <v>42756</v>
      </c>
      <c r="B2405" s="17" t="s">
        <v>2780</v>
      </c>
      <c r="C2405" s="18">
        <v>98002</v>
      </c>
      <c r="D2405" s="2" t="s">
        <v>432</v>
      </c>
      <c r="E2405" s="15">
        <v>14141.4</v>
      </c>
      <c r="F2405" s="36" t="s">
        <v>1391</v>
      </c>
      <c r="G2405" s="15">
        <v>14141.4</v>
      </c>
      <c r="H2405" s="15">
        <f t="shared" si="38"/>
        <v>0</v>
      </c>
      <c r="I2405" s="19"/>
    </row>
    <row r="2406" spans="1:9" x14ac:dyDescent="0.25">
      <c r="A2406" s="16">
        <v>42756</v>
      </c>
      <c r="B2406" s="17" t="s">
        <v>2781</v>
      </c>
      <c r="C2406" s="18">
        <v>98003</v>
      </c>
      <c r="D2406" s="2" t="s">
        <v>250</v>
      </c>
      <c r="E2406" s="15">
        <v>16718.400000000001</v>
      </c>
      <c r="F2406" s="124" t="s">
        <v>2778</v>
      </c>
      <c r="G2406" s="20">
        <f>12400+4318.4</f>
        <v>16718.400000000001</v>
      </c>
      <c r="H2406" s="20">
        <f t="shared" si="38"/>
        <v>0</v>
      </c>
      <c r="I2406" s="19"/>
    </row>
    <row r="2407" spans="1:9" x14ac:dyDescent="0.25">
      <c r="A2407" s="16">
        <v>42756</v>
      </c>
      <c r="B2407" s="17" t="s">
        <v>2782</v>
      </c>
      <c r="C2407" s="18">
        <v>98004</v>
      </c>
      <c r="D2407" s="2" t="s">
        <v>1209</v>
      </c>
      <c r="E2407" s="15">
        <v>182.4</v>
      </c>
      <c r="F2407" s="36" t="s">
        <v>336</v>
      </c>
      <c r="G2407" s="15">
        <v>182.4</v>
      </c>
      <c r="H2407" s="15">
        <f t="shared" si="38"/>
        <v>0</v>
      </c>
      <c r="I2407" s="19"/>
    </row>
    <row r="2408" spans="1:9" x14ac:dyDescent="0.25">
      <c r="A2408" s="16">
        <v>42756</v>
      </c>
      <c r="B2408" s="17" t="s">
        <v>2783</v>
      </c>
      <c r="C2408" s="18">
        <v>98005</v>
      </c>
      <c r="D2408" s="2" t="s">
        <v>71</v>
      </c>
      <c r="E2408" s="15">
        <v>3115</v>
      </c>
      <c r="F2408" s="36" t="s">
        <v>927</v>
      </c>
      <c r="G2408" s="15">
        <v>3115</v>
      </c>
      <c r="H2408" s="15">
        <f t="shared" si="38"/>
        <v>0</v>
      </c>
      <c r="I2408" s="19"/>
    </row>
    <row r="2409" spans="1:9" x14ac:dyDescent="0.25">
      <c r="A2409" s="16">
        <v>42756</v>
      </c>
      <c r="B2409" s="17" t="s">
        <v>2784</v>
      </c>
      <c r="C2409" s="18">
        <v>98006</v>
      </c>
      <c r="D2409" s="2" t="s">
        <v>10</v>
      </c>
      <c r="E2409" s="15">
        <v>11552.8</v>
      </c>
      <c r="F2409" s="124" t="s">
        <v>2778</v>
      </c>
      <c r="G2409" s="20">
        <f>4500.48+7052.32</f>
        <v>11552.8</v>
      </c>
      <c r="H2409" s="20">
        <f t="shared" si="38"/>
        <v>0</v>
      </c>
      <c r="I2409" s="19"/>
    </row>
    <row r="2410" spans="1:9" x14ac:dyDescent="0.25">
      <c r="A2410" s="16">
        <v>42756</v>
      </c>
      <c r="B2410" s="17" t="s">
        <v>2785</v>
      </c>
      <c r="C2410" s="18">
        <v>98007</v>
      </c>
      <c r="D2410" s="2" t="s">
        <v>30</v>
      </c>
      <c r="E2410" s="15">
        <v>653.4</v>
      </c>
      <c r="F2410" s="36" t="s">
        <v>336</v>
      </c>
      <c r="G2410" s="15">
        <v>653.4</v>
      </c>
      <c r="H2410" s="15">
        <f t="shared" si="38"/>
        <v>0</v>
      </c>
      <c r="I2410" s="19"/>
    </row>
    <row r="2411" spans="1:9" x14ac:dyDescent="0.25">
      <c r="A2411" s="16">
        <v>42756</v>
      </c>
      <c r="B2411" s="17" t="s">
        <v>2786</v>
      </c>
      <c r="C2411" s="18">
        <v>98008</v>
      </c>
      <c r="D2411" s="2" t="s">
        <v>253</v>
      </c>
      <c r="E2411" s="15">
        <v>11859</v>
      </c>
      <c r="F2411" s="124" t="s">
        <v>2787</v>
      </c>
      <c r="G2411" s="20">
        <f>1800+4000+6059</f>
        <v>11859</v>
      </c>
      <c r="H2411" s="20">
        <f t="shared" si="38"/>
        <v>0</v>
      </c>
      <c r="I2411" s="19"/>
    </row>
    <row r="2412" spans="1:9" x14ac:dyDescent="0.25">
      <c r="A2412" s="16">
        <v>42756</v>
      </c>
      <c r="B2412" s="17" t="s">
        <v>2788</v>
      </c>
      <c r="C2412" s="18">
        <v>98009</v>
      </c>
      <c r="D2412" s="2" t="s">
        <v>30</v>
      </c>
      <c r="E2412" s="15">
        <v>406.7</v>
      </c>
      <c r="F2412" s="36" t="s">
        <v>927</v>
      </c>
      <c r="G2412" s="15">
        <v>406.7</v>
      </c>
      <c r="H2412" s="15">
        <f t="shared" si="38"/>
        <v>0</v>
      </c>
      <c r="I2412" s="19"/>
    </row>
    <row r="2413" spans="1:9" x14ac:dyDescent="0.25">
      <c r="A2413" s="16">
        <v>42756</v>
      </c>
      <c r="B2413" s="17" t="s">
        <v>2789</v>
      </c>
      <c r="C2413" s="18">
        <v>98010</v>
      </c>
      <c r="D2413" s="2" t="s">
        <v>43</v>
      </c>
      <c r="E2413" s="15">
        <v>18032.599999999999</v>
      </c>
      <c r="F2413" s="36" t="s">
        <v>336</v>
      </c>
      <c r="G2413" s="15">
        <v>18032.599999999999</v>
      </c>
      <c r="H2413" s="15">
        <f t="shared" si="38"/>
        <v>0</v>
      </c>
      <c r="I2413" s="19"/>
    </row>
    <row r="2414" spans="1:9" x14ac:dyDescent="0.25">
      <c r="A2414" s="16">
        <v>42756</v>
      </c>
      <c r="B2414" s="17" t="s">
        <v>2790</v>
      </c>
      <c r="C2414" s="18">
        <v>98011</v>
      </c>
      <c r="D2414" s="2" t="s">
        <v>94</v>
      </c>
      <c r="E2414" s="15">
        <v>3607.7</v>
      </c>
      <c r="F2414" s="36" t="s">
        <v>927</v>
      </c>
      <c r="G2414" s="15">
        <v>3607.7</v>
      </c>
      <c r="H2414" s="15">
        <f t="shared" si="38"/>
        <v>0</v>
      </c>
      <c r="I2414" s="19"/>
    </row>
    <row r="2415" spans="1:9" x14ac:dyDescent="0.25">
      <c r="A2415" s="16">
        <v>42756</v>
      </c>
      <c r="B2415" s="17" t="s">
        <v>2791</v>
      </c>
      <c r="C2415" s="18">
        <v>98012</v>
      </c>
      <c r="D2415" s="2" t="s">
        <v>405</v>
      </c>
      <c r="E2415" s="15">
        <v>2630.4</v>
      </c>
      <c r="F2415" s="36" t="s">
        <v>927</v>
      </c>
      <c r="G2415" s="15">
        <v>2630.4</v>
      </c>
      <c r="H2415" s="15">
        <f t="shared" si="38"/>
        <v>0</v>
      </c>
      <c r="I2415" s="19"/>
    </row>
    <row r="2416" spans="1:9" x14ac:dyDescent="0.25">
      <c r="A2416" s="16">
        <v>42756</v>
      </c>
      <c r="B2416" s="17" t="s">
        <v>2792</v>
      </c>
      <c r="C2416" s="18">
        <v>98013</v>
      </c>
      <c r="D2416" s="2" t="s">
        <v>270</v>
      </c>
      <c r="E2416" s="15">
        <v>33963.85</v>
      </c>
      <c r="F2416" s="36" t="s">
        <v>1391</v>
      </c>
      <c r="G2416" s="15">
        <v>33963.85</v>
      </c>
      <c r="H2416" s="15">
        <f t="shared" si="38"/>
        <v>0</v>
      </c>
      <c r="I2416" s="19"/>
    </row>
    <row r="2417" spans="1:9" x14ac:dyDescent="0.25">
      <c r="A2417" s="16">
        <v>42756</v>
      </c>
      <c r="B2417" s="17" t="s">
        <v>2793</v>
      </c>
      <c r="C2417" s="18">
        <v>98014</v>
      </c>
      <c r="D2417" s="2" t="s">
        <v>1090</v>
      </c>
      <c r="E2417" s="15">
        <v>6081.4</v>
      </c>
      <c r="F2417" s="36" t="s">
        <v>927</v>
      </c>
      <c r="G2417" s="15">
        <v>6081.4</v>
      </c>
      <c r="H2417" s="15">
        <f t="shared" si="38"/>
        <v>0</v>
      </c>
      <c r="I2417" s="19"/>
    </row>
    <row r="2418" spans="1:9" x14ac:dyDescent="0.25">
      <c r="A2418" s="16">
        <v>42756</v>
      </c>
      <c r="B2418" s="17" t="s">
        <v>2794</v>
      </c>
      <c r="C2418" s="18">
        <v>98015</v>
      </c>
      <c r="D2418" s="2" t="s">
        <v>272</v>
      </c>
      <c r="E2418" s="15">
        <v>3658.2</v>
      </c>
      <c r="F2418" s="36" t="s">
        <v>1391</v>
      </c>
      <c r="G2418" s="15">
        <v>3658.2</v>
      </c>
      <c r="H2418" s="15">
        <f t="shared" si="38"/>
        <v>0</v>
      </c>
      <c r="I2418" s="19"/>
    </row>
    <row r="2419" spans="1:9" x14ac:dyDescent="0.25">
      <c r="A2419" s="16">
        <v>42756</v>
      </c>
      <c r="B2419" s="17" t="s">
        <v>2795</v>
      </c>
      <c r="C2419" s="18">
        <v>98016</v>
      </c>
      <c r="D2419" s="2" t="s">
        <v>590</v>
      </c>
      <c r="E2419" s="15">
        <v>5453.6</v>
      </c>
      <c r="F2419" s="36" t="s">
        <v>1391</v>
      </c>
      <c r="G2419" s="15">
        <v>5453.6</v>
      </c>
      <c r="H2419" s="15">
        <f t="shared" si="38"/>
        <v>0</v>
      </c>
      <c r="I2419" s="19"/>
    </row>
    <row r="2420" spans="1:9" x14ac:dyDescent="0.25">
      <c r="A2420" s="16">
        <v>42756</v>
      </c>
      <c r="B2420" s="17" t="s">
        <v>2796</v>
      </c>
      <c r="C2420" s="18">
        <v>98017</v>
      </c>
      <c r="D2420" s="2" t="s">
        <v>590</v>
      </c>
      <c r="E2420" s="15">
        <v>7799.2</v>
      </c>
      <c r="F2420" s="36" t="s">
        <v>1391</v>
      </c>
      <c r="G2420" s="15">
        <v>7799.2</v>
      </c>
      <c r="H2420" s="15">
        <f t="shared" si="38"/>
        <v>0</v>
      </c>
      <c r="I2420" s="19"/>
    </row>
    <row r="2421" spans="1:9" x14ac:dyDescent="0.25">
      <c r="A2421" s="16">
        <v>42756</v>
      </c>
      <c r="B2421" s="17" t="s">
        <v>2797</v>
      </c>
      <c r="C2421" s="18">
        <v>98018</v>
      </c>
      <c r="D2421" s="2" t="s">
        <v>435</v>
      </c>
      <c r="E2421" s="15">
        <v>3232.2</v>
      </c>
      <c r="F2421" s="36" t="s">
        <v>1391</v>
      </c>
      <c r="G2421" s="15">
        <v>3232.2</v>
      </c>
      <c r="H2421" s="15">
        <f t="shared" si="38"/>
        <v>0</v>
      </c>
      <c r="I2421" s="19"/>
    </row>
    <row r="2422" spans="1:9" x14ac:dyDescent="0.25">
      <c r="A2422" s="16">
        <v>42756</v>
      </c>
      <c r="B2422" s="17" t="s">
        <v>2798</v>
      </c>
      <c r="C2422" s="18">
        <v>98019</v>
      </c>
      <c r="D2422" s="2" t="s">
        <v>289</v>
      </c>
      <c r="E2422" s="15">
        <v>48822.03</v>
      </c>
      <c r="F2422" s="36" t="s">
        <v>1173</v>
      </c>
      <c r="G2422" s="15">
        <v>48822.03</v>
      </c>
      <c r="H2422" s="15">
        <f t="shared" si="38"/>
        <v>0</v>
      </c>
      <c r="I2422" s="19"/>
    </row>
    <row r="2423" spans="1:9" x14ac:dyDescent="0.25">
      <c r="A2423" s="16">
        <v>42756</v>
      </c>
      <c r="B2423" s="17" t="s">
        <v>2799</v>
      </c>
      <c r="C2423" s="18">
        <v>98020</v>
      </c>
      <c r="D2423" s="2" t="s">
        <v>442</v>
      </c>
      <c r="E2423" s="15">
        <v>4426.8</v>
      </c>
      <c r="F2423" s="36" t="s">
        <v>1391</v>
      </c>
      <c r="G2423" s="15">
        <v>4426.8</v>
      </c>
      <c r="H2423" s="15">
        <f t="shared" si="38"/>
        <v>0</v>
      </c>
      <c r="I2423" s="19"/>
    </row>
    <row r="2424" spans="1:9" x14ac:dyDescent="0.25">
      <c r="A2424" s="16">
        <v>42756</v>
      </c>
      <c r="B2424" s="17" t="s">
        <v>2800</v>
      </c>
      <c r="C2424" s="18">
        <v>98021</v>
      </c>
      <c r="D2424" s="2" t="s">
        <v>876</v>
      </c>
      <c r="E2424" s="15">
        <v>484</v>
      </c>
      <c r="F2424" s="36" t="s">
        <v>1391</v>
      </c>
      <c r="G2424" s="15">
        <v>484</v>
      </c>
      <c r="H2424" s="15">
        <f t="shared" si="38"/>
        <v>0</v>
      </c>
      <c r="I2424" s="19"/>
    </row>
    <row r="2425" spans="1:9" x14ac:dyDescent="0.25">
      <c r="A2425" s="16">
        <v>42756</v>
      </c>
      <c r="B2425" s="17" t="s">
        <v>2801</v>
      </c>
      <c r="C2425" s="18">
        <v>98022</v>
      </c>
      <c r="D2425" s="2" t="s">
        <v>1116</v>
      </c>
      <c r="E2425" s="15">
        <v>5603.8</v>
      </c>
      <c r="F2425" s="36" t="s">
        <v>2754</v>
      </c>
      <c r="G2425" s="15">
        <v>5603.8</v>
      </c>
      <c r="H2425" s="15">
        <f t="shared" si="38"/>
        <v>0</v>
      </c>
      <c r="I2425" s="19"/>
    </row>
    <row r="2426" spans="1:9" x14ac:dyDescent="0.25">
      <c r="A2426" s="16">
        <v>42756</v>
      </c>
      <c r="B2426" s="17" t="s">
        <v>2802</v>
      </c>
      <c r="C2426" s="18">
        <v>98023</v>
      </c>
      <c r="D2426" s="2" t="s">
        <v>99</v>
      </c>
      <c r="E2426" s="15">
        <v>1737.6</v>
      </c>
      <c r="F2426" s="36" t="s">
        <v>927</v>
      </c>
      <c r="G2426" s="15">
        <v>1737.6</v>
      </c>
      <c r="H2426" s="15">
        <f t="shared" si="38"/>
        <v>0</v>
      </c>
      <c r="I2426" s="19"/>
    </row>
    <row r="2427" spans="1:9" x14ac:dyDescent="0.25">
      <c r="A2427" s="16">
        <v>42756</v>
      </c>
      <c r="B2427" s="17" t="s">
        <v>2803</v>
      </c>
      <c r="C2427" s="18">
        <v>98024</v>
      </c>
      <c r="D2427" s="2" t="s">
        <v>281</v>
      </c>
      <c r="E2427" s="15">
        <v>2294.4</v>
      </c>
      <c r="F2427" s="36" t="s">
        <v>927</v>
      </c>
      <c r="G2427" s="15">
        <v>2294.4</v>
      </c>
      <c r="H2427" s="15">
        <f t="shared" si="38"/>
        <v>0</v>
      </c>
      <c r="I2427" s="19"/>
    </row>
    <row r="2428" spans="1:9" x14ac:dyDescent="0.25">
      <c r="A2428" s="16">
        <v>42756</v>
      </c>
      <c r="B2428" s="17" t="s">
        <v>2804</v>
      </c>
      <c r="C2428" s="18">
        <v>98025</v>
      </c>
      <c r="D2428" s="2" t="s">
        <v>99</v>
      </c>
      <c r="E2428" s="15">
        <v>4800</v>
      </c>
      <c r="F2428" s="36" t="s">
        <v>927</v>
      </c>
      <c r="G2428" s="15">
        <v>4800</v>
      </c>
      <c r="H2428" s="15">
        <f t="shared" si="38"/>
        <v>0</v>
      </c>
      <c r="I2428" s="19"/>
    </row>
    <row r="2429" spans="1:9" x14ac:dyDescent="0.25">
      <c r="A2429" s="16">
        <v>42756</v>
      </c>
      <c r="B2429" s="17" t="s">
        <v>2805</v>
      </c>
      <c r="C2429" s="18">
        <v>98026</v>
      </c>
      <c r="D2429" s="2" t="s">
        <v>30</v>
      </c>
      <c r="E2429" s="15">
        <v>888.5</v>
      </c>
      <c r="F2429" s="36" t="s">
        <v>927</v>
      </c>
      <c r="G2429" s="15">
        <v>888.5</v>
      </c>
      <c r="H2429" s="15">
        <f t="shared" si="38"/>
        <v>0</v>
      </c>
      <c r="I2429" s="19"/>
    </row>
    <row r="2430" spans="1:9" x14ac:dyDescent="0.25">
      <c r="A2430" s="16">
        <v>42756</v>
      </c>
      <c r="B2430" s="17" t="s">
        <v>2806</v>
      </c>
      <c r="C2430" s="18">
        <v>98027</v>
      </c>
      <c r="D2430" s="2" t="s">
        <v>613</v>
      </c>
      <c r="E2430" s="15">
        <v>3983.7</v>
      </c>
      <c r="F2430" s="36" t="s">
        <v>927</v>
      </c>
      <c r="G2430" s="15">
        <v>3983.7</v>
      </c>
      <c r="H2430" s="15">
        <f t="shared" si="38"/>
        <v>0</v>
      </c>
      <c r="I2430" s="19"/>
    </row>
    <row r="2431" spans="1:9" x14ac:dyDescent="0.25">
      <c r="A2431" s="16">
        <v>42756</v>
      </c>
      <c r="B2431" s="17" t="s">
        <v>2807</v>
      </c>
      <c r="C2431" s="18">
        <v>98028</v>
      </c>
      <c r="D2431" s="2" t="s">
        <v>293</v>
      </c>
      <c r="E2431" s="15">
        <v>357.7</v>
      </c>
      <c r="F2431" s="36" t="s">
        <v>927</v>
      </c>
      <c r="G2431" s="15">
        <v>357.7</v>
      </c>
      <c r="H2431" s="15">
        <f t="shared" si="38"/>
        <v>0</v>
      </c>
      <c r="I2431" s="19"/>
    </row>
    <row r="2432" spans="1:9" x14ac:dyDescent="0.25">
      <c r="A2432" s="16">
        <v>42756</v>
      </c>
      <c r="B2432" s="17" t="s">
        <v>2808</v>
      </c>
      <c r="C2432" s="18">
        <v>98029</v>
      </c>
      <c r="D2432" s="2" t="s">
        <v>291</v>
      </c>
      <c r="E2432" s="15">
        <v>2268.6999999999998</v>
      </c>
      <c r="F2432" s="36" t="s">
        <v>927</v>
      </c>
      <c r="G2432" s="15">
        <v>2268.6999999999998</v>
      </c>
      <c r="H2432" s="15">
        <f t="shared" si="38"/>
        <v>0</v>
      </c>
      <c r="I2432" s="19"/>
    </row>
    <row r="2433" spans="1:9" x14ac:dyDescent="0.25">
      <c r="A2433" s="16">
        <v>42756</v>
      </c>
      <c r="B2433" s="17" t="s">
        <v>2809</v>
      </c>
      <c r="C2433" s="18">
        <v>98030</v>
      </c>
      <c r="D2433" s="2" t="s">
        <v>30</v>
      </c>
      <c r="E2433" s="15">
        <v>3440</v>
      </c>
      <c r="F2433" s="36" t="s">
        <v>927</v>
      </c>
      <c r="G2433" s="15">
        <v>3440</v>
      </c>
      <c r="H2433" s="15">
        <f t="shared" si="38"/>
        <v>0</v>
      </c>
      <c r="I2433" s="19"/>
    </row>
    <row r="2434" spans="1:9" x14ac:dyDescent="0.25">
      <c r="A2434" s="16">
        <v>42756</v>
      </c>
      <c r="B2434" s="17" t="s">
        <v>2810</v>
      </c>
      <c r="C2434" s="18">
        <v>98031</v>
      </c>
      <c r="D2434" s="2" t="s">
        <v>627</v>
      </c>
      <c r="E2434" s="15">
        <v>2595.6</v>
      </c>
      <c r="F2434" s="36" t="s">
        <v>927</v>
      </c>
      <c r="G2434" s="15">
        <v>2595.6</v>
      </c>
      <c r="H2434" s="15">
        <f t="shared" si="38"/>
        <v>0</v>
      </c>
      <c r="I2434" s="19"/>
    </row>
    <row r="2435" spans="1:9" x14ac:dyDescent="0.25">
      <c r="A2435" s="16">
        <v>42756</v>
      </c>
      <c r="B2435" s="17" t="s">
        <v>2811</v>
      </c>
      <c r="C2435" s="18">
        <v>98032</v>
      </c>
      <c r="D2435" s="2" t="s">
        <v>218</v>
      </c>
      <c r="E2435" s="15">
        <v>91568.5</v>
      </c>
      <c r="F2435" s="36" t="s">
        <v>307</v>
      </c>
      <c r="G2435" s="15">
        <v>91568.5</v>
      </c>
      <c r="H2435" s="15">
        <f t="shared" si="38"/>
        <v>0</v>
      </c>
      <c r="I2435" s="19"/>
    </row>
    <row r="2436" spans="1:9" x14ac:dyDescent="0.25">
      <c r="A2436" s="16">
        <v>42756</v>
      </c>
      <c r="B2436" s="17" t="s">
        <v>2812</v>
      </c>
      <c r="C2436" s="18">
        <v>98033</v>
      </c>
      <c r="D2436" s="2" t="s">
        <v>83</v>
      </c>
      <c r="E2436" s="15">
        <v>6423.9</v>
      </c>
      <c r="F2436" s="36" t="s">
        <v>927</v>
      </c>
      <c r="G2436" s="15">
        <v>6423.9</v>
      </c>
      <c r="H2436" s="15">
        <f t="shared" si="38"/>
        <v>0</v>
      </c>
      <c r="I2436" s="19"/>
    </row>
    <row r="2437" spans="1:9" x14ac:dyDescent="0.25">
      <c r="A2437" s="16">
        <v>42756</v>
      </c>
      <c r="B2437" s="17" t="s">
        <v>2813</v>
      </c>
      <c r="C2437" s="18">
        <v>98034</v>
      </c>
      <c r="D2437" s="2" t="s">
        <v>285</v>
      </c>
      <c r="E2437" s="15">
        <v>1111.3</v>
      </c>
      <c r="F2437" s="36" t="s">
        <v>927</v>
      </c>
      <c r="G2437" s="15">
        <v>1111.3</v>
      </c>
      <c r="H2437" s="15">
        <f t="shared" si="38"/>
        <v>0</v>
      </c>
      <c r="I2437" s="19"/>
    </row>
    <row r="2438" spans="1:9" x14ac:dyDescent="0.25">
      <c r="A2438" s="16">
        <v>42756</v>
      </c>
      <c r="B2438" s="17" t="s">
        <v>2814</v>
      </c>
      <c r="C2438" s="18">
        <v>98035</v>
      </c>
      <c r="D2438" s="2" t="s">
        <v>21</v>
      </c>
      <c r="E2438" s="15">
        <v>44991</v>
      </c>
      <c r="F2438" s="36" t="s">
        <v>1889</v>
      </c>
      <c r="G2438" s="15">
        <v>44991</v>
      </c>
      <c r="H2438" s="15">
        <f t="shared" ref="H2438:H2501" si="39">E2438-G2438</f>
        <v>0</v>
      </c>
      <c r="I2438" s="19"/>
    </row>
    <row r="2439" spans="1:9" x14ac:dyDescent="0.25">
      <c r="A2439" s="16">
        <v>42756</v>
      </c>
      <c r="B2439" s="17" t="s">
        <v>2815</v>
      </c>
      <c r="C2439" s="18">
        <v>98036</v>
      </c>
      <c r="D2439" s="13" t="s">
        <v>92</v>
      </c>
      <c r="E2439" s="14">
        <v>0</v>
      </c>
      <c r="F2439" s="123" t="s">
        <v>95</v>
      </c>
      <c r="G2439" s="14">
        <v>0</v>
      </c>
      <c r="H2439" s="14">
        <f t="shared" si="39"/>
        <v>0</v>
      </c>
      <c r="I2439" s="19"/>
    </row>
    <row r="2440" spans="1:9" x14ac:dyDescent="0.25">
      <c r="A2440" s="16">
        <v>42756</v>
      </c>
      <c r="B2440" s="17" t="s">
        <v>2816</v>
      </c>
      <c r="C2440" s="18">
        <v>98037</v>
      </c>
      <c r="D2440" s="2" t="s">
        <v>92</v>
      </c>
      <c r="E2440" s="15">
        <v>3408</v>
      </c>
      <c r="F2440" s="36" t="s">
        <v>927</v>
      </c>
      <c r="G2440" s="15">
        <v>3408</v>
      </c>
      <c r="H2440" s="15">
        <f t="shared" si="39"/>
        <v>0</v>
      </c>
      <c r="I2440" s="19"/>
    </row>
    <row r="2441" spans="1:9" x14ac:dyDescent="0.25">
      <c r="A2441" s="16">
        <v>42756</v>
      </c>
      <c r="B2441" s="17" t="s">
        <v>2817</v>
      </c>
      <c r="C2441" s="18">
        <v>98038</v>
      </c>
      <c r="D2441" s="2" t="s">
        <v>47</v>
      </c>
      <c r="E2441" s="15">
        <v>3405.6</v>
      </c>
      <c r="F2441" s="36" t="s">
        <v>927</v>
      </c>
      <c r="G2441" s="15">
        <v>3405.6</v>
      </c>
      <c r="H2441" s="15">
        <f t="shared" si="39"/>
        <v>0</v>
      </c>
      <c r="I2441" s="19"/>
    </row>
    <row r="2442" spans="1:9" x14ac:dyDescent="0.25">
      <c r="A2442" s="16">
        <v>42756</v>
      </c>
      <c r="B2442" s="17" t="s">
        <v>2818</v>
      </c>
      <c r="C2442" s="18">
        <v>98039</v>
      </c>
      <c r="D2442" s="2" t="s">
        <v>1259</v>
      </c>
      <c r="E2442" s="15">
        <v>1997.5</v>
      </c>
      <c r="F2442" s="36" t="s">
        <v>927</v>
      </c>
      <c r="G2442" s="15">
        <v>1997.5</v>
      </c>
      <c r="H2442" s="15">
        <f t="shared" si="39"/>
        <v>0</v>
      </c>
      <c r="I2442" s="19"/>
    </row>
    <row r="2443" spans="1:9" x14ac:dyDescent="0.25">
      <c r="A2443" s="16">
        <v>42756</v>
      </c>
      <c r="B2443" s="17" t="s">
        <v>2819</v>
      </c>
      <c r="C2443" s="18">
        <v>98040</v>
      </c>
      <c r="D2443" s="2" t="s">
        <v>457</v>
      </c>
      <c r="E2443" s="15">
        <v>3590.4</v>
      </c>
      <c r="F2443" s="36" t="s">
        <v>927</v>
      </c>
      <c r="G2443" s="15">
        <v>3590.4</v>
      </c>
      <c r="H2443" s="15">
        <f t="shared" si="39"/>
        <v>0</v>
      </c>
      <c r="I2443" s="19"/>
    </row>
    <row r="2444" spans="1:9" x14ac:dyDescent="0.25">
      <c r="A2444" s="16">
        <v>42756</v>
      </c>
      <c r="B2444" s="17" t="s">
        <v>2820</v>
      </c>
      <c r="C2444" s="18">
        <v>98041</v>
      </c>
      <c r="D2444" s="2" t="s">
        <v>109</v>
      </c>
      <c r="E2444" s="15">
        <v>5830</v>
      </c>
      <c r="F2444" s="36" t="s">
        <v>927</v>
      </c>
      <c r="G2444" s="15">
        <v>5830</v>
      </c>
      <c r="H2444" s="15">
        <f t="shared" si="39"/>
        <v>0</v>
      </c>
      <c r="I2444" s="19"/>
    </row>
    <row r="2445" spans="1:9" x14ac:dyDescent="0.25">
      <c r="A2445" s="16">
        <v>42756</v>
      </c>
      <c r="B2445" s="17" t="s">
        <v>2821</v>
      </c>
      <c r="C2445" s="18">
        <v>98042</v>
      </c>
      <c r="D2445" s="2" t="s">
        <v>1299</v>
      </c>
      <c r="E2445" s="15">
        <v>6338.8</v>
      </c>
      <c r="F2445" s="36" t="s">
        <v>927</v>
      </c>
      <c r="G2445" s="15">
        <v>6338.8</v>
      </c>
      <c r="H2445" s="15">
        <f t="shared" si="39"/>
        <v>0</v>
      </c>
      <c r="I2445" s="19"/>
    </row>
    <row r="2446" spans="1:9" x14ac:dyDescent="0.25">
      <c r="A2446" s="16">
        <v>42756</v>
      </c>
      <c r="B2446" s="17" t="s">
        <v>2822</v>
      </c>
      <c r="C2446" s="18">
        <v>98043</v>
      </c>
      <c r="D2446" s="2" t="s">
        <v>168</v>
      </c>
      <c r="E2446" s="15">
        <v>213.3</v>
      </c>
      <c r="F2446" s="36" t="s">
        <v>927</v>
      </c>
      <c r="G2446" s="15">
        <v>213.3</v>
      </c>
      <c r="H2446" s="15">
        <f t="shared" si="39"/>
        <v>0</v>
      </c>
      <c r="I2446" s="19"/>
    </row>
    <row r="2447" spans="1:9" x14ac:dyDescent="0.25">
      <c r="A2447" s="16">
        <v>42756</v>
      </c>
      <c r="B2447" s="17" t="s">
        <v>2823</v>
      </c>
      <c r="C2447" s="18">
        <v>98044</v>
      </c>
      <c r="D2447" s="2" t="s">
        <v>1081</v>
      </c>
      <c r="E2447" s="15">
        <v>2615.04</v>
      </c>
      <c r="F2447" s="36" t="s">
        <v>927</v>
      </c>
      <c r="G2447" s="15">
        <v>2615.04</v>
      </c>
      <c r="H2447" s="15">
        <f t="shared" si="39"/>
        <v>0</v>
      </c>
      <c r="I2447" s="19"/>
    </row>
    <row r="2448" spans="1:9" x14ac:dyDescent="0.25">
      <c r="A2448" s="16">
        <v>42756</v>
      </c>
      <c r="B2448" s="17" t="s">
        <v>2824</v>
      </c>
      <c r="C2448" s="18">
        <v>98045</v>
      </c>
      <c r="D2448" s="2" t="s">
        <v>61</v>
      </c>
      <c r="E2448" s="15">
        <v>10781.4</v>
      </c>
      <c r="F2448" s="36" t="s">
        <v>927</v>
      </c>
      <c r="G2448" s="15">
        <v>10781.4</v>
      </c>
      <c r="H2448" s="15">
        <f t="shared" si="39"/>
        <v>0</v>
      </c>
      <c r="I2448" s="19"/>
    </row>
    <row r="2449" spans="1:9" x14ac:dyDescent="0.25">
      <c r="A2449" s="16">
        <v>42756</v>
      </c>
      <c r="B2449" s="17" t="s">
        <v>2825</v>
      </c>
      <c r="C2449" s="18">
        <v>98046</v>
      </c>
      <c r="D2449" s="2" t="s">
        <v>176</v>
      </c>
      <c r="E2449" s="15">
        <v>10314</v>
      </c>
      <c r="F2449" s="36" t="s">
        <v>927</v>
      </c>
      <c r="G2449" s="15">
        <v>10314</v>
      </c>
      <c r="H2449" s="15">
        <f t="shared" si="39"/>
        <v>0</v>
      </c>
      <c r="I2449" s="19"/>
    </row>
    <row r="2450" spans="1:9" x14ac:dyDescent="0.25">
      <c r="A2450" s="16">
        <v>42756</v>
      </c>
      <c r="B2450" s="17" t="s">
        <v>2826</v>
      </c>
      <c r="C2450" s="18">
        <v>98047</v>
      </c>
      <c r="D2450" s="2" t="s">
        <v>151</v>
      </c>
      <c r="E2450" s="15">
        <v>772.4</v>
      </c>
      <c r="F2450" s="36" t="s">
        <v>927</v>
      </c>
      <c r="G2450" s="15">
        <v>772.4</v>
      </c>
      <c r="H2450" s="15">
        <f t="shared" si="39"/>
        <v>0</v>
      </c>
      <c r="I2450" s="19"/>
    </row>
    <row r="2451" spans="1:9" x14ac:dyDescent="0.25">
      <c r="A2451" s="16">
        <v>42756</v>
      </c>
      <c r="B2451" s="17" t="s">
        <v>2827</v>
      </c>
      <c r="C2451" s="18">
        <v>98048</v>
      </c>
      <c r="D2451" s="2" t="s">
        <v>115</v>
      </c>
      <c r="E2451" s="15">
        <v>921.3</v>
      </c>
      <c r="F2451" s="36" t="s">
        <v>927</v>
      </c>
      <c r="G2451" s="15">
        <v>921.3</v>
      </c>
      <c r="H2451" s="15">
        <f t="shared" si="39"/>
        <v>0</v>
      </c>
      <c r="I2451" s="19"/>
    </row>
    <row r="2452" spans="1:9" x14ac:dyDescent="0.25">
      <c r="A2452" s="16">
        <v>42756</v>
      </c>
      <c r="B2452" s="17" t="s">
        <v>2828</v>
      </c>
      <c r="C2452" s="18">
        <v>98049</v>
      </c>
      <c r="D2452" s="2" t="s">
        <v>157</v>
      </c>
      <c r="E2452" s="15">
        <v>34235.9</v>
      </c>
      <c r="F2452" s="36" t="s">
        <v>927</v>
      </c>
      <c r="G2452" s="15">
        <v>34235.9</v>
      </c>
      <c r="H2452" s="15">
        <f t="shared" si="39"/>
        <v>0</v>
      </c>
      <c r="I2452" s="19"/>
    </row>
    <row r="2453" spans="1:9" x14ac:dyDescent="0.25">
      <c r="A2453" s="16">
        <v>42756</v>
      </c>
      <c r="B2453" s="17" t="s">
        <v>2829</v>
      </c>
      <c r="C2453" s="18">
        <v>98050</v>
      </c>
      <c r="D2453" s="2" t="s">
        <v>329</v>
      </c>
      <c r="E2453" s="15">
        <v>460.8</v>
      </c>
      <c r="F2453" s="36" t="s">
        <v>927</v>
      </c>
      <c r="G2453" s="15">
        <v>460.8</v>
      </c>
      <c r="H2453" s="15">
        <f t="shared" si="39"/>
        <v>0</v>
      </c>
      <c r="I2453" s="19"/>
    </row>
    <row r="2454" spans="1:9" x14ac:dyDescent="0.25">
      <c r="A2454" s="16">
        <v>42756</v>
      </c>
      <c r="B2454" s="17" t="s">
        <v>2830</v>
      </c>
      <c r="C2454" s="18">
        <v>98051</v>
      </c>
      <c r="D2454" s="2" t="s">
        <v>264</v>
      </c>
      <c r="E2454" s="15">
        <v>5871.6</v>
      </c>
      <c r="F2454" s="36" t="s">
        <v>927</v>
      </c>
      <c r="G2454" s="15">
        <v>5871.6</v>
      </c>
      <c r="H2454" s="15">
        <f t="shared" si="39"/>
        <v>0</v>
      </c>
      <c r="I2454" s="19"/>
    </row>
    <row r="2455" spans="1:9" x14ac:dyDescent="0.25">
      <c r="A2455" s="16">
        <v>42756</v>
      </c>
      <c r="B2455" s="17" t="s">
        <v>2831</v>
      </c>
      <c r="C2455" s="18">
        <v>98052</v>
      </c>
      <c r="D2455" s="2" t="s">
        <v>492</v>
      </c>
      <c r="E2455" s="15">
        <v>30738</v>
      </c>
      <c r="F2455" s="36" t="s">
        <v>927</v>
      </c>
      <c r="G2455" s="15">
        <v>30738</v>
      </c>
      <c r="H2455" s="15">
        <f t="shared" si="39"/>
        <v>0</v>
      </c>
      <c r="I2455" s="19"/>
    </row>
    <row r="2456" spans="1:9" x14ac:dyDescent="0.25">
      <c r="A2456" s="16">
        <v>42756</v>
      </c>
      <c r="B2456" s="17" t="s">
        <v>2832</v>
      </c>
      <c r="C2456" s="18">
        <v>98053</v>
      </c>
      <c r="D2456" s="2" t="s">
        <v>773</v>
      </c>
      <c r="E2456" s="15">
        <v>119.6</v>
      </c>
      <c r="F2456" s="36" t="s">
        <v>927</v>
      </c>
      <c r="G2456" s="15">
        <v>119.6</v>
      </c>
      <c r="H2456" s="15">
        <f t="shared" si="39"/>
        <v>0</v>
      </c>
      <c r="I2456" s="19"/>
    </row>
    <row r="2457" spans="1:9" x14ac:dyDescent="0.25">
      <c r="A2457" s="16">
        <v>42756</v>
      </c>
      <c r="B2457" s="17" t="s">
        <v>2833</v>
      </c>
      <c r="C2457" s="18">
        <v>98054</v>
      </c>
      <c r="D2457" s="2" t="s">
        <v>277</v>
      </c>
      <c r="E2457" s="15">
        <v>3301.2</v>
      </c>
      <c r="F2457" s="36" t="s">
        <v>927</v>
      </c>
      <c r="G2457" s="15">
        <v>3301.2</v>
      </c>
      <c r="H2457" s="15">
        <f t="shared" si="39"/>
        <v>0</v>
      </c>
      <c r="I2457" s="19"/>
    </row>
    <row r="2458" spans="1:9" x14ac:dyDescent="0.25">
      <c r="A2458" s="16">
        <v>42756</v>
      </c>
      <c r="B2458" s="17" t="s">
        <v>2834</v>
      </c>
      <c r="C2458" s="18">
        <v>98055</v>
      </c>
      <c r="D2458" s="2" t="s">
        <v>470</v>
      </c>
      <c r="E2458" s="15">
        <v>10956.4</v>
      </c>
      <c r="F2458" s="36" t="s">
        <v>927</v>
      </c>
      <c r="G2458" s="15">
        <v>10956.4</v>
      </c>
      <c r="H2458" s="15">
        <f t="shared" si="39"/>
        <v>0</v>
      </c>
      <c r="I2458" s="19"/>
    </row>
    <row r="2459" spans="1:9" x14ac:dyDescent="0.25">
      <c r="A2459" s="16">
        <v>42756</v>
      </c>
      <c r="B2459" s="17" t="s">
        <v>2835</v>
      </c>
      <c r="C2459" s="18">
        <v>98056</v>
      </c>
      <c r="D2459" s="2" t="s">
        <v>12</v>
      </c>
      <c r="E2459" s="15">
        <v>2260</v>
      </c>
      <c r="F2459" s="36" t="s">
        <v>927</v>
      </c>
      <c r="G2459" s="15">
        <v>2260</v>
      </c>
      <c r="H2459" s="15">
        <f t="shared" si="39"/>
        <v>0</v>
      </c>
      <c r="I2459" s="19"/>
    </row>
    <row r="2460" spans="1:9" x14ac:dyDescent="0.25">
      <c r="A2460" s="16">
        <v>42756</v>
      </c>
      <c r="B2460" s="17" t="s">
        <v>2836</v>
      </c>
      <c r="C2460" s="18">
        <v>98057</v>
      </c>
      <c r="D2460" s="2" t="s">
        <v>302</v>
      </c>
      <c r="E2460" s="15">
        <v>12467.2</v>
      </c>
      <c r="F2460" s="36" t="s">
        <v>927</v>
      </c>
      <c r="G2460" s="15">
        <v>12467.2</v>
      </c>
      <c r="H2460" s="15">
        <f t="shared" si="39"/>
        <v>0</v>
      </c>
      <c r="I2460" s="19"/>
    </row>
    <row r="2461" spans="1:9" ht="33.75" customHeight="1" x14ac:dyDescent="0.25">
      <c r="A2461" s="16">
        <v>42756</v>
      </c>
      <c r="B2461" s="17" t="s">
        <v>2837</v>
      </c>
      <c r="C2461" s="18">
        <v>98058</v>
      </c>
      <c r="D2461" s="2" t="s">
        <v>125</v>
      </c>
      <c r="E2461" s="15">
        <v>33090.21</v>
      </c>
      <c r="F2461" s="128" t="s">
        <v>15186</v>
      </c>
      <c r="G2461" s="35">
        <f>10000+5000+15000+3090.21</f>
        <v>33090.21</v>
      </c>
      <c r="H2461" s="35">
        <f t="shared" si="39"/>
        <v>0</v>
      </c>
      <c r="I2461" s="19"/>
    </row>
    <row r="2462" spans="1:9" x14ac:dyDescent="0.25">
      <c r="A2462" s="16">
        <v>42756</v>
      </c>
      <c r="B2462" s="17" t="s">
        <v>2838</v>
      </c>
      <c r="C2462" s="18">
        <v>98059</v>
      </c>
      <c r="D2462" s="2" t="s">
        <v>30</v>
      </c>
      <c r="E2462" s="15">
        <v>484.8</v>
      </c>
      <c r="F2462" s="36" t="s">
        <v>927</v>
      </c>
      <c r="G2462" s="15">
        <v>484.8</v>
      </c>
      <c r="H2462" s="15">
        <f t="shared" si="39"/>
        <v>0</v>
      </c>
      <c r="I2462" s="19"/>
    </row>
    <row r="2463" spans="1:9" x14ac:dyDescent="0.25">
      <c r="A2463" s="16">
        <v>42756</v>
      </c>
      <c r="B2463" s="17" t="s">
        <v>2839</v>
      </c>
      <c r="C2463" s="18">
        <v>98060</v>
      </c>
      <c r="D2463" s="2" t="s">
        <v>1870</v>
      </c>
      <c r="E2463" s="15">
        <v>122.4</v>
      </c>
      <c r="F2463" s="36" t="s">
        <v>927</v>
      </c>
      <c r="G2463" s="15">
        <v>122.4</v>
      </c>
      <c r="H2463" s="15">
        <f t="shared" si="39"/>
        <v>0</v>
      </c>
      <c r="I2463" s="19"/>
    </row>
    <row r="2464" spans="1:9" x14ac:dyDescent="0.25">
      <c r="A2464" s="16">
        <v>42756</v>
      </c>
      <c r="B2464" s="17" t="s">
        <v>2840</v>
      </c>
      <c r="C2464" s="18">
        <v>98061</v>
      </c>
      <c r="D2464" s="2" t="s">
        <v>476</v>
      </c>
      <c r="E2464" s="15">
        <v>38474.800000000003</v>
      </c>
      <c r="F2464" s="36" t="s">
        <v>361</v>
      </c>
      <c r="G2464" s="15">
        <v>38474.800000000003</v>
      </c>
      <c r="H2464" s="15">
        <f t="shared" si="39"/>
        <v>0</v>
      </c>
      <c r="I2464" s="19"/>
    </row>
    <row r="2465" spans="1:9" x14ac:dyDescent="0.25">
      <c r="A2465" s="16">
        <v>42756</v>
      </c>
      <c r="B2465" s="17" t="s">
        <v>2841</v>
      </c>
      <c r="C2465" s="18">
        <v>98062</v>
      </c>
      <c r="D2465" s="2" t="s">
        <v>305</v>
      </c>
      <c r="E2465" s="15">
        <v>7272.9</v>
      </c>
      <c r="F2465" s="36" t="s">
        <v>336</v>
      </c>
      <c r="G2465" s="15">
        <v>7272.9</v>
      </c>
      <c r="H2465" s="15">
        <f t="shared" si="39"/>
        <v>0</v>
      </c>
      <c r="I2465" s="19"/>
    </row>
    <row r="2466" spans="1:9" x14ac:dyDescent="0.25">
      <c r="A2466" s="16">
        <v>42756</v>
      </c>
      <c r="B2466" s="17" t="s">
        <v>2842</v>
      </c>
      <c r="C2466" s="18">
        <v>98063</v>
      </c>
      <c r="D2466" s="2" t="s">
        <v>472</v>
      </c>
      <c r="E2466" s="15">
        <v>10039.4</v>
      </c>
      <c r="F2466" s="36" t="s">
        <v>166</v>
      </c>
      <c r="G2466" s="15">
        <v>10039.4</v>
      </c>
      <c r="H2466" s="15">
        <f t="shared" si="39"/>
        <v>0</v>
      </c>
      <c r="I2466" s="19"/>
    </row>
    <row r="2467" spans="1:9" x14ac:dyDescent="0.25">
      <c r="A2467" s="16">
        <v>42756</v>
      </c>
      <c r="B2467" s="17" t="s">
        <v>2843</v>
      </c>
      <c r="C2467" s="18">
        <v>98064</v>
      </c>
      <c r="D2467" s="2" t="s">
        <v>879</v>
      </c>
      <c r="E2467" s="15">
        <v>3388</v>
      </c>
      <c r="F2467" s="36" t="s">
        <v>927</v>
      </c>
      <c r="G2467" s="15">
        <v>3388</v>
      </c>
      <c r="H2467" s="15">
        <f t="shared" si="39"/>
        <v>0</v>
      </c>
      <c r="I2467" s="19"/>
    </row>
    <row r="2468" spans="1:9" x14ac:dyDescent="0.25">
      <c r="A2468" s="16">
        <v>42756</v>
      </c>
      <c r="B2468" s="17" t="s">
        <v>2844</v>
      </c>
      <c r="C2468" s="18">
        <v>98065</v>
      </c>
      <c r="D2468" s="2" t="s">
        <v>2240</v>
      </c>
      <c r="E2468" s="15">
        <v>6474.8</v>
      </c>
      <c r="F2468" s="36" t="s">
        <v>927</v>
      </c>
      <c r="G2468" s="15">
        <v>6474.8</v>
      </c>
      <c r="H2468" s="15">
        <f t="shared" si="39"/>
        <v>0</v>
      </c>
      <c r="I2468" s="19"/>
    </row>
    <row r="2469" spans="1:9" x14ac:dyDescent="0.25">
      <c r="A2469" s="16">
        <v>42756</v>
      </c>
      <c r="B2469" s="17" t="s">
        <v>2845</v>
      </c>
      <c r="C2469" s="18">
        <v>98066</v>
      </c>
      <c r="D2469" s="2" t="s">
        <v>2240</v>
      </c>
      <c r="E2469" s="15">
        <v>364.8</v>
      </c>
      <c r="F2469" s="36" t="s">
        <v>927</v>
      </c>
      <c r="G2469" s="15">
        <v>364.8</v>
      </c>
      <c r="H2469" s="15">
        <f t="shared" si="39"/>
        <v>0</v>
      </c>
      <c r="I2469" s="19"/>
    </row>
    <row r="2470" spans="1:9" x14ac:dyDescent="0.25">
      <c r="A2470" s="16">
        <v>42756</v>
      </c>
      <c r="B2470" s="17" t="s">
        <v>2846</v>
      </c>
      <c r="C2470" s="18">
        <v>98067</v>
      </c>
      <c r="D2470" s="2" t="s">
        <v>236</v>
      </c>
      <c r="E2470" s="15">
        <v>43358.84</v>
      </c>
      <c r="F2470" s="36" t="s">
        <v>2166</v>
      </c>
      <c r="G2470" s="15">
        <v>43358.84</v>
      </c>
      <c r="H2470" s="15">
        <f t="shared" si="39"/>
        <v>0</v>
      </c>
      <c r="I2470" s="19"/>
    </row>
    <row r="2471" spans="1:9" x14ac:dyDescent="0.25">
      <c r="A2471" s="16">
        <v>42756</v>
      </c>
      <c r="B2471" s="17" t="s">
        <v>2847</v>
      </c>
      <c r="C2471" s="18">
        <v>98068</v>
      </c>
      <c r="D2471" s="2" t="s">
        <v>321</v>
      </c>
      <c r="E2471" s="15">
        <v>1641.6</v>
      </c>
      <c r="F2471" s="36" t="s">
        <v>927</v>
      </c>
      <c r="G2471" s="15">
        <v>1641.6</v>
      </c>
      <c r="H2471" s="15">
        <f t="shared" si="39"/>
        <v>0</v>
      </c>
      <c r="I2471" s="19"/>
    </row>
    <row r="2472" spans="1:9" x14ac:dyDescent="0.25">
      <c r="A2472" s="16">
        <v>42756</v>
      </c>
      <c r="B2472" s="17" t="s">
        <v>2848</v>
      </c>
      <c r="C2472" s="18">
        <v>98069</v>
      </c>
      <c r="D2472" s="2" t="s">
        <v>176</v>
      </c>
      <c r="E2472" s="15">
        <v>6474.6</v>
      </c>
      <c r="F2472" s="36" t="s">
        <v>927</v>
      </c>
      <c r="G2472" s="15">
        <v>6474.6</v>
      </c>
      <c r="H2472" s="15">
        <f t="shared" si="39"/>
        <v>0</v>
      </c>
      <c r="I2472" s="19"/>
    </row>
    <row r="2473" spans="1:9" x14ac:dyDescent="0.25">
      <c r="A2473" s="16">
        <v>42756</v>
      </c>
      <c r="B2473" s="17" t="s">
        <v>2849</v>
      </c>
      <c r="C2473" s="18">
        <v>98070</v>
      </c>
      <c r="D2473" s="2" t="s">
        <v>30</v>
      </c>
      <c r="E2473" s="15">
        <v>2853.6</v>
      </c>
      <c r="F2473" s="36" t="s">
        <v>927</v>
      </c>
      <c r="G2473" s="15">
        <v>2853.6</v>
      </c>
      <c r="H2473" s="15">
        <f t="shared" si="39"/>
        <v>0</v>
      </c>
      <c r="I2473" s="19"/>
    </row>
    <row r="2474" spans="1:9" x14ac:dyDescent="0.25">
      <c r="A2474" s="16">
        <v>42756</v>
      </c>
      <c r="B2474" s="17" t="s">
        <v>2850</v>
      </c>
      <c r="C2474" s="18">
        <v>98071</v>
      </c>
      <c r="D2474" s="2" t="s">
        <v>30</v>
      </c>
      <c r="E2474" s="15">
        <v>1334.76</v>
      </c>
      <c r="F2474" s="36" t="s">
        <v>2754</v>
      </c>
      <c r="G2474" s="15">
        <v>1334.76</v>
      </c>
      <c r="H2474" s="15">
        <f t="shared" si="39"/>
        <v>0</v>
      </c>
      <c r="I2474" s="19"/>
    </row>
    <row r="2475" spans="1:9" x14ac:dyDescent="0.25">
      <c r="A2475" s="16">
        <v>42756</v>
      </c>
      <c r="B2475" s="17" t="s">
        <v>2851</v>
      </c>
      <c r="C2475" s="18">
        <v>98072</v>
      </c>
      <c r="D2475" s="2" t="s">
        <v>930</v>
      </c>
      <c r="E2475" s="15">
        <v>1334.76</v>
      </c>
      <c r="F2475" s="36" t="s">
        <v>1391</v>
      </c>
      <c r="G2475" s="15">
        <v>1334.76</v>
      </c>
      <c r="H2475" s="15">
        <f t="shared" si="39"/>
        <v>0</v>
      </c>
      <c r="I2475" s="19"/>
    </row>
    <row r="2476" spans="1:9" x14ac:dyDescent="0.25">
      <c r="A2476" s="16">
        <v>42756</v>
      </c>
      <c r="B2476" s="17" t="s">
        <v>2852</v>
      </c>
      <c r="C2476" s="18">
        <v>98073</v>
      </c>
      <c r="D2476" s="2" t="s">
        <v>19</v>
      </c>
      <c r="E2476" s="15">
        <v>1440</v>
      </c>
      <c r="F2476" s="36" t="s">
        <v>2754</v>
      </c>
      <c r="G2476" s="15">
        <v>1440</v>
      </c>
      <c r="H2476" s="15">
        <f t="shared" si="39"/>
        <v>0</v>
      </c>
      <c r="I2476" s="19"/>
    </row>
    <row r="2477" spans="1:9" x14ac:dyDescent="0.25">
      <c r="A2477" s="16">
        <v>42756</v>
      </c>
      <c r="B2477" s="17" t="s">
        <v>2853</v>
      </c>
      <c r="C2477" s="18">
        <v>98074</v>
      </c>
      <c r="D2477" s="2" t="s">
        <v>57</v>
      </c>
      <c r="E2477" s="15">
        <v>864</v>
      </c>
      <c r="F2477" s="36" t="s">
        <v>2754</v>
      </c>
      <c r="G2477" s="15">
        <v>864</v>
      </c>
      <c r="H2477" s="15">
        <f t="shared" si="39"/>
        <v>0</v>
      </c>
      <c r="I2477" s="19"/>
    </row>
    <row r="2478" spans="1:9" x14ac:dyDescent="0.25">
      <c r="A2478" s="16">
        <v>42756</v>
      </c>
      <c r="B2478" s="17" t="s">
        <v>2854</v>
      </c>
      <c r="C2478" s="18">
        <v>98075</v>
      </c>
      <c r="D2478" s="2" t="s">
        <v>182</v>
      </c>
      <c r="E2478" s="15">
        <v>5760</v>
      </c>
      <c r="F2478" s="36" t="s">
        <v>2754</v>
      </c>
      <c r="G2478" s="15">
        <v>5760</v>
      </c>
      <c r="H2478" s="15">
        <f t="shared" si="39"/>
        <v>0</v>
      </c>
      <c r="I2478" s="19"/>
    </row>
    <row r="2479" spans="1:9" x14ac:dyDescent="0.25">
      <c r="A2479" s="16">
        <v>42756</v>
      </c>
      <c r="B2479" s="17" t="s">
        <v>2855</v>
      </c>
      <c r="C2479" s="18">
        <v>98076</v>
      </c>
      <c r="D2479" s="2" t="s">
        <v>422</v>
      </c>
      <c r="E2479" s="15">
        <v>5895.4</v>
      </c>
      <c r="F2479" s="36" t="s">
        <v>2009</v>
      </c>
      <c r="G2479" s="15">
        <v>5895.4</v>
      </c>
      <c r="H2479" s="15">
        <f t="shared" si="39"/>
        <v>0</v>
      </c>
      <c r="I2479" s="19"/>
    </row>
    <row r="2480" spans="1:9" x14ac:dyDescent="0.25">
      <c r="A2480" s="16">
        <v>42756</v>
      </c>
      <c r="B2480" s="17" t="s">
        <v>2856</v>
      </c>
      <c r="C2480" s="18">
        <v>98077</v>
      </c>
      <c r="D2480" s="13" t="s">
        <v>523</v>
      </c>
      <c r="E2480" s="14">
        <v>0</v>
      </c>
      <c r="F2480" s="129" t="s">
        <v>95</v>
      </c>
      <c r="G2480" s="14">
        <v>0</v>
      </c>
      <c r="H2480" s="14">
        <f t="shared" si="39"/>
        <v>0</v>
      </c>
      <c r="I2480" s="19"/>
    </row>
    <row r="2481" spans="1:9" x14ac:dyDescent="0.25">
      <c r="A2481" s="16">
        <v>42756</v>
      </c>
      <c r="B2481" s="17" t="s">
        <v>2857</v>
      </c>
      <c r="C2481" s="18">
        <v>98078</v>
      </c>
      <c r="D2481" s="2" t="s">
        <v>193</v>
      </c>
      <c r="E2481" s="15">
        <v>3788.2</v>
      </c>
      <c r="F2481" s="36" t="s">
        <v>2754</v>
      </c>
      <c r="G2481" s="15">
        <v>3788.2</v>
      </c>
      <c r="H2481" s="15">
        <f t="shared" si="39"/>
        <v>0</v>
      </c>
      <c r="I2481" s="19"/>
    </row>
    <row r="2482" spans="1:9" x14ac:dyDescent="0.25">
      <c r="A2482" s="16">
        <v>42756</v>
      </c>
      <c r="B2482" s="17" t="s">
        <v>2858</v>
      </c>
      <c r="C2482" s="18">
        <v>98079</v>
      </c>
      <c r="D2482" s="2" t="s">
        <v>231</v>
      </c>
      <c r="E2482" s="15">
        <v>7115.8</v>
      </c>
      <c r="F2482" s="36" t="s">
        <v>2754</v>
      </c>
      <c r="G2482" s="15">
        <v>7115.8</v>
      </c>
      <c r="H2482" s="15">
        <f t="shared" si="39"/>
        <v>0</v>
      </c>
      <c r="I2482" s="19"/>
    </row>
    <row r="2483" spans="1:9" x14ac:dyDescent="0.25">
      <c r="A2483" s="16">
        <v>42756</v>
      </c>
      <c r="B2483" s="17" t="s">
        <v>2859</v>
      </c>
      <c r="C2483" s="18">
        <v>98080</v>
      </c>
      <c r="D2483" s="2" t="s">
        <v>53</v>
      </c>
      <c r="E2483" s="15">
        <v>3606.4</v>
      </c>
      <c r="F2483" s="36" t="s">
        <v>2754</v>
      </c>
      <c r="G2483" s="15">
        <v>3606.4</v>
      </c>
      <c r="H2483" s="15">
        <f t="shared" si="39"/>
        <v>0</v>
      </c>
      <c r="I2483" s="19"/>
    </row>
    <row r="2484" spans="1:9" x14ac:dyDescent="0.25">
      <c r="A2484" s="16">
        <v>42756</v>
      </c>
      <c r="B2484" s="17" t="s">
        <v>2860</v>
      </c>
      <c r="C2484" s="18">
        <v>98081</v>
      </c>
      <c r="D2484" s="2" t="s">
        <v>523</v>
      </c>
      <c r="E2484" s="15">
        <v>27491</v>
      </c>
      <c r="F2484" s="36" t="s">
        <v>1889</v>
      </c>
      <c r="G2484" s="15">
        <v>27491</v>
      </c>
      <c r="H2484" s="15">
        <f t="shared" si="39"/>
        <v>0</v>
      </c>
      <c r="I2484" s="19"/>
    </row>
    <row r="2485" spans="1:9" x14ac:dyDescent="0.25">
      <c r="A2485" s="16">
        <v>42756</v>
      </c>
      <c r="B2485" s="17" t="s">
        <v>2861</v>
      </c>
      <c r="C2485" s="18">
        <v>98082</v>
      </c>
      <c r="D2485" s="2" t="s">
        <v>113</v>
      </c>
      <c r="E2485" s="15">
        <v>2371</v>
      </c>
      <c r="F2485" s="36" t="s">
        <v>927</v>
      </c>
      <c r="G2485" s="15">
        <v>2371</v>
      </c>
      <c r="H2485" s="15">
        <f t="shared" si="39"/>
        <v>0</v>
      </c>
      <c r="I2485" s="19"/>
    </row>
    <row r="2486" spans="1:9" x14ac:dyDescent="0.25">
      <c r="A2486" s="16">
        <v>42756</v>
      </c>
      <c r="B2486" s="17" t="s">
        <v>2862</v>
      </c>
      <c r="C2486" s="18">
        <v>98083</v>
      </c>
      <c r="D2486" s="2" t="s">
        <v>30</v>
      </c>
      <c r="E2486" s="15">
        <v>5979.8</v>
      </c>
      <c r="F2486" s="36" t="s">
        <v>927</v>
      </c>
      <c r="G2486" s="15">
        <v>5979.8</v>
      </c>
      <c r="H2486" s="15">
        <f t="shared" si="39"/>
        <v>0</v>
      </c>
      <c r="I2486" s="19"/>
    </row>
    <row r="2487" spans="1:9" x14ac:dyDescent="0.25">
      <c r="A2487" s="16">
        <v>42756</v>
      </c>
      <c r="B2487" s="17" t="s">
        <v>2863</v>
      </c>
      <c r="C2487" s="18">
        <v>98084</v>
      </c>
      <c r="D2487" s="2" t="s">
        <v>45</v>
      </c>
      <c r="E2487" s="15">
        <v>2388.4</v>
      </c>
      <c r="F2487" s="36" t="s">
        <v>2754</v>
      </c>
      <c r="G2487" s="15">
        <v>2388.4</v>
      </c>
      <c r="H2487" s="15">
        <f t="shared" si="39"/>
        <v>0</v>
      </c>
      <c r="I2487" s="19"/>
    </row>
    <row r="2488" spans="1:9" x14ac:dyDescent="0.25">
      <c r="A2488" s="16">
        <v>42756</v>
      </c>
      <c r="B2488" s="17" t="s">
        <v>2864</v>
      </c>
      <c r="C2488" s="18">
        <v>98085</v>
      </c>
      <c r="D2488" s="13" t="s">
        <v>331</v>
      </c>
      <c r="E2488" s="14">
        <v>0</v>
      </c>
      <c r="F2488" s="129" t="s">
        <v>95</v>
      </c>
      <c r="G2488" s="14">
        <v>0</v>
      </c>
      <c r="H2488" s="14">
        <f t="shared" si="39"/>
        <v>0</v>
      </c>
      <c r="I2488" s="19"/>
    </row>
    <row r="2489" spans="1:9" x14ac:dyDescent="0.25">
      <c r="A2489" s="16">
        <v>42756</v>
      </c>
      <c r="B2489" s="17" t="s">
        <v>2865</v>
      </c>
      <c r="C2489" s="18">
        <v>98086</v>
      </c>
      <c r="D2489" s="2" t="s">
        <v>331</v>
      </c>
      <c r="E2489" s="15">
        <v>3852</v>
      </c>
      <c r="F2489" s="36" t="s">
        <v>2754</v>
      </c>
      <c r="G2489" s="15">
        <v>3852</v>
      </c>
      <c r="H2489" s="15">
        <f t="shared" si="39"/>
        <v>0</v>
      </c>
      <c r="I2489" s="19"/>
    </row>
    <row r="2490" spans="1:9" x14ac:dyDescent="0.25">
      <c r="A2490" s="16">
        <v>42756</v>
      </c>
      <c r="B2490" s="17" t="s">
        <v>2866</v>
      </c>
      <c r="C2490" s="18">
        <v>98087</v>
      </c>
      <c r="D2490" s="2" t="s">
        <v>226</v>
      </c>
      <c r="E2490" s="15">
        <v>1713.6</v>
      </c>
      <c r="F2490" s="36" t="s">
        <v>927</v>
      </c>
      <c r="G2490" s="15">
        <v>1713.6</v>
      </c>
      <c r="H2490" s="15">
        <f t="shared" si="39"/>
        <v>0</v>
      </c>
      <c r="I2490" s="19"/>
    </row>
    <row r="2491" spans="1:9" x14ac:dyDescent="0.25">
      <c r="A2491" s="16">
        <v>42756</v>
      </c>
      <c r="B2491" s="17" t="s">
        <v>2867</v>
      </c>
      <c r="C2491" s="18">
        <v>98088</v>
      </c>
      <c r="D2491" s="2" t="s">
        <v>319</v>
      </c>
      <c r="E2491" s="15">
        <v>4526.3999999999996</v>
      </c>
      <c r="F2491" s="36" t="s">
        <v>336</v>
      </c>
      <c r="G2491" s="15">
        <v>4526.3999999999996</v>
      </c>
      <c r="H2491" s="15">
        <f t="shared" si="39"/>
        <v>0</v>
      </c>
      <c r="I2491" s="19"/>
    </row>
    <row r="2492" spans="1:9" x14ac:dyDescent="0.25">
      <c r="A2492" s="16">
        <v>42756</v>
      </c>
      <c r="B2492" s="17" t="s">
        <v>2868</v>
      </c>
      <c r="C2492" s="18">
        <v>98089</v>
      </c>
      <c r="D2492" s="2" t="s">
        <v>30</v>
      </c>
      <c r="E2492" s="15">
        <v>1057.5</v>
      </c>
      <c r="F2492" s="36" t="s">
        <v>927</v>
      </c>
      <c r="G2492" s="15">
        <v>1057.5</v>
      </c>
      <c r="H2492" s="15">
        <f t="shared" si="39"/>
        <v>0</v>
      </c>
      <c r="I2492" s="19"/>
    </row>
    <row r="2493" spans="1:9" x14ac:dyDescent="0.25">
      <c r="A2493" s="16">
        <v>42756</v>
      </c>
      <c r="B2493" s="17" t="s">
        <v>2869</v>
      </c>
      <c r="C2493" s="18">
        <v>98090</v>
      </c>
      <c r="D2493" s="2" t="s">
        <v>697</v>
      </c>
      <c r="E2493" s="15">
        <v>74560</v>
      </c>
      <c r="F2493" s="36" t="s">
        <v>2554</v>
      </c>
      <c r="G2493" s="15">
        <v>74560</v>
      </c>
      <c r="H2493" s="15">
        <f t="shared" si="39"/>
        <v>0</v>
      </c>
      <c r="I2493" s="19"/>
    </row>
    <row r="2494" spans="1:9" x14ac:dyDescent="0.25">
      <c r="A2494" s="16">
        <v>42756</v>
      </c>
      <c r="B2494" s="17" t="s">
        <v>2870</v>
      </c>
      <c r="C2494" s="18">
        <v>98091</v>
      </c>
      <c r="D2494" s="2" t="s">
        <v>145</v>
      </c>
      <c r="E2494" s="15">
        <v>19036.2</v>
      </c>
      <c r="F2494" s="36" t="s">
        <v>927</v>
      </c>
      <c r="G2494" s="15">
        <v>19036.2</v>
      </c>
      <c r="H2494" s="15">
        <f t="shared" si="39"/>
        <v>0</v>
      </c>
      <c r="I2494" s="19"/>
    </row>
    <row r="2495" spans="1:9" x14ac:dyDescent="0.25">
      <c r="A2495" s="16">
        <v>42756</v>
      </c>
      <c r="B2495" s="17" t="s">
        <v>2871</v>
      </c>
      <c r="C2495" s="18">
        <v>98092</v>
      </c>
      <c r="D2495" s="2" t="s">
        <v>176</v>
      </c>
      <c r="E2495" s="15">
        <v>7199.5</v>
      </c>
      <c r="F2495" s="36" t="s">
        <v>927</v>
      </c>
      <c r="G2495" s="15">
        <v>7199.5</v>
      </c>
      <c r="H2495" s="15">
        <f t="shared" si="39"/>
        <v>0</v>
      </c>
      <c r="I2495" s="19"/>
    </row>
    <row r="2496" spans="1:9" x14ac:dyDescent="0.25">
      <c r="A2496" s="16">
        <v>42756</v>
      </c>
      <c r="B2496" s="17" t="s">
        <v>2872</v>
      </c>
      <c r="C2496" s="18">
        <v>98093</v>
      </c>
      <c r="D2496" s="2" t="s">
        <v>1789</v>
      </c>
      <c r="E2496" s="15">
        <v>6604</v>
      </c>
      <c r="F2496" s="36" t="s">
        <v>927</v>
      </c>
      <c r="G2496" s="15">
        <v>6604</v>
      </c>
      <c r="H2496" s="15">
        <f t="shared" si="39"/>
        <v>0</v>
      </c>
      <c r="I2496" s="19"/>
    </row>
    <row r="2497" spans="1:9" x14ac:dyDescent="0.25">
      <c r="A2497" s="16">
        <v>42756</v>
      </c>
      <c r="B2497" s="17" t="s">
        <v>2873</v>
      </c>
      <c r="C2497" s="18">
        <v>98094</v>
      </c>
      <c r="D2497" s="2" t="s">
        <v>1789</v>
      </c>
      <c r="E2497" s="15">
        <v>1560</v>
      </c>
      <c r="F2497" s="36" t="s">
        <v>927</v>
      </c>
      <c r="G2497" s="15">
        <v>1560</v>
      </c>
      <c r="H2497" s="15">
        <f t="shared" si="39"/>
        <v>0</v>
      </c>
      <c r="I2497" s="19"/>
    </row>
    <row r="2498" spans="1:9" x14ac:dyDescent="0.25">
      <c r="A2498" s="16">
        <v>42756</v>
      </c>
      <c r="B2498" s="17" t="s">
        <v>2874</v>
      </c>
      <c r="C2498" s="18">
        <v>98095</v>
      </c>
      <c r="D2498" s="2" t="s">
        <v>205</v>
      </c>
      <c r="E2498" s="15">
        <v>89333.69</v>
      </c>
      <c r="F2498" s="36" t="s">
        <v>1156</v>
      </c>
      <c r="G2498" s="15">
        <v>89333.69</v>
      </c>
      <c r="H2498" s="15">
        <f t="shared" si="39"/>
        <v>0</v>
      </c>
      <c r="I2498" s="19"/>
    </row>
    <row r="2499" spans="1:9" x14ac:dyDescent="0.25">
      <c r="A2499" s="16">
        <v>42756</v>
      </c>
      <c r="B2499" s="17" t="s">
        <v>2875</v>
      </c>
      <c r="C2499" s="18">
        <v>98096</v>
      </c>
      <c r="D2499" s="2" t="s">
        <v>266</v>
      </c>
      <c r="E2499" s="15">
        <v>13294</v>
      </c>
      <c r="F2499" s="36" t="s">
        <v>2754</v>
      </c>
      <c r="G2499" s="15">
        <v>13294</v>
      </c>
      <c r="H2499" s="15">
        <f t="shared" si="39"/>
        <v>0</v>
      </c>
      <c r="I2499" s="19"/>
    </row>
    <row r="2500" spans="1:9" x14ac:dyDescent="0.25">
      <c r="A2500" s="16">
        <v>42756</v>
      </c>
      <c r="B2500" s="17" t="s">
        <v>2876</v>
      </c>
      <c r="C2500" s="18">
        <v>98097</v>
      </c>
      <c r="D2500" s="2" t="s">
        <v>30</v>
      </c>
      <c r="E2500" s="15">
        <v>75</v>
      </c>
      <c r="F2500" s="36" t="s">
        <v>927</v>
      </c>
      <c r="G2500" s="15">
        <v>75</v>
      </c>
      <c r="H2500" s="15">
        <f t="shared" si="39"/>
        <v>0</v>
      </c>
      <c r="I2500" s="19"/>
    </row>
    <row r="2501" spans="1:9" x14ac:dyDescent="0.25">
      <c r="A2501" s="16">
        <v>42756</v>
      </c>
      <c r="B2501" s="17" t="s">
        <v>2877</v>
      </c>
      <c r="C2501" s="18">
        <v>98098</v>
      </c>
      <c r="D2501" s="2" t="s">
        <v>1645</v>
      </c>
      <c r="E2501" s="15">
        <v>1267.7</v>
      </c>
      <c r="F2501" s="36" t="s">
        <v>927</v>
      </c>
      <c r="G2501" s="15">
        <v>1267.7</v>
      </c>
      <c r="H2501" s="15">
        <f t="shared" si="39"/>
        <v>0</v>
      </c>
      <c r="I2501" s="19"/>
    </row>
    <row r="2502" spans="1:9" x14ac:dyDescent="0.25">
      <c r="A2502" s="16">
        <v>42756</v>
      </c>
      <c r="B2502" s="17" t="s">
        <v>2878</v>
      </c>
      <c r="C2502" s="18">
        <v>98099</v>
      </c>
      <c r="D2502" s="2" t="s">
        <v>10</v>
      </c>
      <c r="E2502" s="15">
        <v>161053.25</v>
      </c>
      <c r="F2502" s="36" t="s">
        <v>166</v>
      </c>
      <c r="G2502" s="15">
        <v>161053.25</v>
      </c>
      <c r="H2502" s="15">
        <f t="shared" ref="H2502:H2565" si="40">E2502-G2502</f>
        <v>0</v>
      </c>
      <c r="I2502" s="19"/>
    </row>
    <row r="2503" spans="1:9" x14ac:dyDescent="0.25">
      <c r="A2503" s="16">
        <v>42756</v>
      </c>
      <c r="B2503" s="17" t="s">
        <v>2879</v>
      </c>
      <c r="C2503" s="18">
        <v>98100</v>
      </c>
      <c r="D2503" s="2" t="s">
        <v>122</v>
      </c>
      <c r="E2503" s="15">
        <v>4820.8</v>
      </c>
      <c r="F2503" s="36" t="s">
        <v>1173</v>
      </c>
      <c r="G2503" s="15">
        <v>4820.8</v>
      </c>
      <c r="H2503" s="15">
        <f t="shared" si="40"/>
        <v>0</v>
      </c>
      <c r="I2503" s="19"/>
    </row>
    <row r="2504" spans="1:9" x14ac:dyDescent="0.25">
      <c r="A2504" s="16">
        <v>42756</v>
      </c>
      <c r="B2504" s="17" t="s">
        <v>2880</v>
      </c>
      <c r="C2504" s="18">
        <v>98101</v>
      </c>
      <c r="D2504" s="2" t="s">
        <v>222</v>
      </c>
      <c r="E2504" s="15">
        <v>479115</v>
      </c>
      <c r="F2504" s="36" t="s">
        <v>2166</v>
      </c>
      <c r="G2504" s="15">
        <v>479115</v>
      </c>
      <c r="H2504" s="15">
        <f t="shared" si="40"/>
        <v>0</v>
      </c>
      <c r="I2504" s="19"/>
    </row>
    <row r="2505" spans="1:9" x14ac:dyDescent="0.25">
      <c r="A2505" s="16">
        <v>42756</v>
      </c>
      <c r="B2505" s="17" t="s">
        <v>2881</v>
      </c>
      <c r="C2505" s="18">
        <v>98102</v>
      </c>
      <c r="D2505" s="2" t="s">
        <v>457</v>
      </c>
      <c r="E2505" s="15">
        <v>828.1</v>
      </c>
      <c r="F2505" s="36" t="s">
        <v>927</v>
      </c>
      <c r="G2505" s="15">
        <v>828.1</v>
      </c>
      <c r="H2505" s="15">
        <f t="shared" si="40"/>
        <v>0</v>
      </c>
      <c r="I2505" s="19"/>
    </row>
    <row r="2506" spans="1:9" x14ac:dyDescent="0.25">
      <c r="A2506" s="16">
        <v>42756</v>
      </c>
      <c r="B2506" s="17" t="s">
        <v>2882</v>
      </c>
      <c r="C2506" s="18">
        <v>98103</v>
      </c>
      <c r="D2506" s="2" t="s">
        <v>222</v>
      </c>
      <c r="E2506" s="15">
        <v>30290.6</v>
      </c>
      <c r="F2506" s="36" t="s">
        <v>2143</v>
      </c>
      <c r="G2506" s="15">
        <v>30290.6</v>
      </c>
      <c r="H2506" s="15">
        <f t="shared" si="40"/>
        <v>0</v>
      </c>
      <c r="I2506" s="19"/>
    </row>
    <row r="2507" spans="1:9" x14ac:dyDescent="0.25">
      <c r="A2507" s="16">
        <v>42756</v>
      </c>
      <c r="B2507" s="17" t="s">
        <v>2883</v>
      </c>
      <c r="C2507" s="18">
        <v>98104</v>
      </c>
      <c r="D2507" s="2" t="s">
        <v>10</v>
      </c>
      <c r="E2507" s="15">
        <v>97419.3</v>
      </c>
      <c r="F2507" s="36" t="s">
        <v>166</v>
      </c>
      <c r="G2507" s="15">
        <v>97419.3</v>
      </c>
      <c r="H2507" s="15">
        <f t="shared" si="40"/>
        <v>0</v>
      </c>
      <c r="I2507" s="19"/>
    </row>
    <row r="2508" spans="1:9" x14ac:dyDescent="0.25">
      <c r="A2508" s="16">
        <v>42756</v>
      </c>
      <c r="B2508" s="17" t="s">
        <v>2884</v>
      </c>
      <c r="C2508" s="18">
        <v>98105</v>
      </c>
      <c r="D2508" s="2" t="s">
        <v>430</v>
      </c>
      <c r="E2508" s="15">
        <v>2654</v>
      </c>
      <c r="F2508" s="36" t="s">
        <v>927</v>
      </c>
      <c r="G2508" s="15">
        <v>2654</v>
      </c>
      <c r="H2508" s="15">
        <f t="shared" si="40"/>
        <v>0</v>
      </c>
      <c r="I2508" s="19"/>
    </row>
    <row r="2509" spans="1:9" x14ac:dyDescent="0.25">
      <c r="A2509" s="16">
        <v>42756</v>
      </c>
      <c r="B2509" s="17" t="s">
        <v>2885</v>
      </c>
      <c r="C2509" s="18">
        <v>98106</v>
      </c>
      <c r="D2509" s="2" t="s">
        <v>115</v>
      </c>
      <c r="E2509" s="15">
        <v>3227.7</v>
      </c>
      <c r="F2509" s="36" t="s">
        <v>927</v>
      </c>
      <c r="G2509" s="15">
        <v>3227.7</v>
      </c>
      <c r="H2509" s="15">
        <f t="shared" si="40"/>
        <v>0</v>
      </c>
      <c r="I2509" s="19"/>
    </row>
    <row r="2510" spans="1:9" x14ac:dyDescent="0.25">
      <c r="A2510" s="16">
        <v>42756</v>
      </c>
      <c r="B2510" s="17" t="s">
        <v>2886</v>
      </c>
      <c r="C2510" s="18">
        <v>98107</v>
      </c>
      <c r="D2510" s="13" t="s">
        <v>222</v>
      </c>
      <c r="E2510" s="14">
        <v>0</v>
      </c>
      <c r="F2510" s="123" t="s">
        <v>95</v>
      </c>
      <c r="G2510" s="14">
        <v>0</v>
      </c>
      <c r="H2510" s="14">
        <f t="shared" si="40"/>
        <v>0</v>
      </c>
      <c r="I2510" s="19"/>
    </row>
    <row r="2511" spans="1:9" x14ac:dyDescent="0.25">
      <c r="A2511" s="16">
        <v>42756</v>
      </c>
      <c r="B2511" s="17" t="s">
        <v>2887</v>
      </c>
      <c r="C2511" s="18">
        <v>98108</v>
      </c>
      <c r="D2511" s="13" t="s">
        <v>10</v>
      </c>
      <c r="E2511" s="14">
        <v>0</v>
      </c>
      <c r="F2511" s="123" t="s">
        <v>95</v>
      </c>
      <c r="G2511" s="14">
        <v>0</v>
      </c>
      <c r="H2511" s="14">
        <f t="shared" si="40"/>
        <v>0</v>
      </c>
      <c r="I2511" s="19"/>
    </row>
    <row r="2512" spans="1:9" x14ac:dyDescent="0.25">
      <c r="A2512" s="16">
        <v>42756</v>
      </c>
      <c r="B2512" s="17" t="s">
        <v>2888</v>
      </c>
      <c r="C2512" s="18">
        <v>98109</v>
      </c>
      <c r="D2512" s="2" t="s">
        <v>10</v>
      </c>
      <c r="E2512" s="15">
        <v>193777.5</v>
      </c>
      <c r="F2512" s="36" t="s">
        <v>166</v>
      </c>
      <c r="G2512" s="15">
        <v>193777.5</v>
      </c>
      <c r="H2512" s="15">
        <f t="shared" si="40"/>
        <v>0</v>
      </c>
      <c r="I2512" s="19"/>
    </row>
    <row r="2513" spans="1:9" x14ac:dyDescent="0.25">
      <c r="A2513" s="16">
        <v>42756</v>
      </c>
      <c r="B2513" s="17" t="s">
        <v>2889</v>
      </c>
      <c r="C2513" s="18">
        <v>98110</v>
      </c>
      <c r="D2513" s="2" t="s">
        <v>866</v>
      </c>
      <c r="E2513" s="15">
        <v>832.5</v>
      </c>
      <c r="F2513" s="36" t="s">
        <v>927</v>
      </c>
      <c r="G2513" s="15">
        <v>832.5</v>
      </c>
      <c r="H2513" s="15">
        <f t="shared" si="40"/>
        <v>0</v>
      </c>
      <c r="I2513" s="19"/>
    </row>
    <row r="2514" spans="1:9" x14ac:dyDescent="0.25">
      <c r="A2514" s="16">
        <v>42756</v>
      </c>
      <c r="B2514" s="17" t="s">
        <v>2890</v>
      </c>
      <c r="C2514" s="18">
        <v>98111</v>
      </c>
      <c r="D2514" s="2" t="s">
        <v>10</v>
      </c>
      <c r="E2514" s="15">
        <v>984</v>
      </c>
      <c r="F2514" s="36" t="s">
        <v>166</v>
      </c>
      <c r="G2514" s="15">
        <v>984</v>
      </c>
      <c r="H2514" s="15">
        <f t="shared" si="40"/>
        <v>0</v>
      </c>
      <c r="I2514" s="19"/>
    </row>
    <row r="2515" spans="1:9" x14ac:dyDescent="0.25">
      <c r="A2515" s="16">
        <v>42757</v>
      </c>
      <c r="B2515" s="17" t="s">
        <v>2891</v>
      </c>
      <c r="C2515" s="18">
        <v>98112</v>
      </c>
      <c r="D2515" s="2" t="s">
        <v>1335</v>
      </c>
      <c r="E2515" s="15">
        <v>4979.2</v>
      </c>
      <c r="F2515" s="36" t="s">
        <v>2754</v>
      </c>
      <c r="G2515" s="15">
        <v>4979.2</v>
      </c>
      <c r="H2515" s="15">
        <f t="shared" si="40"/>
        <v>0</v>
      </c>
      <c r="I2515" s="19"/>
    </row>
    <row r="2516" spans="1:9" x14ac:dyDescent="0.25">
      <c r="A2516" s="16">
        <v>42757</v>
      </c>
      <c r="B2516" s="17" t="s">
        <v>2892</v>
      </c>
      <c r="C2516" s="18">
        <v>98113</v>
      </c>
      <c r="D2516" s="2" t="s">
        <v>231</v>
      </c>
      <c r="E2516" s="15">
        <v>10141.700000000001</v>
      </c>
      <c r="F2516" s="36" t="s">
        <v>336</v>
      </c>
      <c r="G2516" s="15">
        <v>10141.700000000001</v>
      </c>
      <c r="H2516" s="15">
        <f t="shared" si="40"/>
        <v>0</v>
      </c>
      <c r="I2516" s="19"/>
    </row>
    <row r="2517" spans="1:9" x14ac:dyDescent="0.25">
      <c r="A2517" s="16">
        <v>42757</v>
      </c>
      <c r="B2517" s="17" t="s">
        <v>2893</v>
      </c>
      <c r="C2517" s="18">
        <v>98114</v>
      </c>
      <c r="D2517" s="2" t="s">
        <v>1786</v>
      </c>
      <c r="E2517" s="15">
        <v>11138.4</v>
      </c>
      <c r="F2517" s="36" t="s">
        <v>2754</v>
      </c>
      <c r="G2517" s="15">
        <v>11138.4</v>
      </c>
      <c r="H2517" s="15">
        <f t="shared" si="40"/>
        <v>0</v>
      </c>
      <c r="I2517" s="19"/>
    </row>
    <row r="2518" spans="1:9" x14ac:dyDescent="0.25">
      <c r="A2518" s="16">
        <v>42757</v>
      </c>
      <c r="B2518" s="17" t="s">
        <v>2894</v>
      </c>
      <c r="C2518" s="18">
        <v>98115</v>
      </c>
      <c r="D2518" s="2" t="s">
        <v>236</v>
      </c>
      <c r="E2518" s="15">
        <v>87338.15</v>
      </c>
      <c r="F2518" s="36" t="s">
        <v>2166</v>
      </c>
      <c r="G2518" s="15">
        <v>87338.15</v>
      </c>
      <c r="H2518" s="15">
        <f t="shared" si="40"/>
        <v>0</v>
      </c>
      <c r="I2518" s="19"/>
    </row>
    <row r="2519" spans="1:9" x14ac:dyDescent="0.25">
      <c r="A2519" s="16">
        <v>42757</v>
      </c>
      <c r="B2519" s="17" t="s">
        <v>2895</v>
      </c>
      <c r="C2519" s="18">
        <v>98116</v>
      </c>
      <c r="D2519" s="2" t="s">
        <v>28</v>
      </c>
      <c r="E2519" s="15">
        <v>6820</v>
      </c>
      <c r="F2519" s="36" t="s">
        <v>2754</v>
      </c>
      <c r="G2519" s="15">
        <v>6820</v>
      </c>
      <c r="H2519" s="15">
        <f t="shared" si="40"/>
        <v>0</v>
      </c>
      <c r="I2519" s="19"/>
    </row>
    <row r="2520" spans="1:9" x14ac:dyDescent="0.25">
      <c r="A2520" s="16">
        <v>42757</v>
      </c>
      <c r="B2520" s="17" t="s">
        <v>2896</v>
      </c>
      <c r="C2520" s="18">
        <v>98117</v>
      </c>
      <c r="D2520" s="2" t="s">
        <v>231</v>
      </c>
      <c r="E2520" s="15">
        <v>34960</v>
      </c>
      <c r="F2520" s="36" t="s">
        <v>336</v>
      </c>
      <c r="G2520" s="15">
        <v>34960</v>
      </c>
      <c r="H2520" s="15">
        <f t="shared" si="40"/>
        <v>0</v>
      </c>
      <c r="I2520" s="19"/>
    </row>
    <row r="2521" spans="1:9" x14ac:dyDescent="0.25">
      <c r="A2521" s="16">
        <v>42757</v>
      </c>
      <c r="B2521" s="17" t="s">
        <v>2897</v>
      </c>
      <c r="C2521" s="18">
        <v>98118</v>
      </c>
      <c r="D2521" s="2" t="s">
        <v>17</v>
      </c>
      <c r="E2521" s="15">
        <v>5040</v>
      </c>
      <c r="F2521" s="36" t="s">
        <v>2754</v>
      </c>
      <c r="G2521" s="15">
        <v>5040</v>
      </c>
      <c r="H2521" s="15">
        <f t="shared" si="40"/>
        <v>0</v>
      </c>
      <c r="I2521" s="19"/>
    </row>
    <row r="2522" spans="1:9" x14ac:dyDescent="0.25">
      <c r="A2522" s="16">
        <v>42757</v>
      </c>
      <c r="B2522" s="17" t="s">
        <v>2898</v>
      </c>
      <c r="C2522" s="18">
        <v>98119</v>
      </c>
      <c r="D2522" s="2" t="s">
        <v>71</v>
      </c>
      <c r="E2522" s="15">
        <v>2492</v>
      </c>
      <c r="F2522" s="36" t="s">
        <v>2754</v>
      </c>
      <c r="G2522" s="15">
        <v>2492</v>
      </c>
      <c r="H2522" s="15">
        <f t="shared" si="40"/>
        <v>0</v>
      </c>
      <c r="I2522" s="19"/>
    </row>
    <row r="2523" spans="1:9" x14ac:dyDescent="0.25">
      <c r="A2523" s="16">
        <v>42757</v>
      </c>
      <c r="B2523" s="17" t="s">
        <v>2899</v>
      </c>
      <c r="C2523" s="18">
        <v>98120</v>
      </c>
      <c r="D2523" s="2" t="s">
        <v>67</v>
      </c>
      <c r="E2523" s="15">
        <v>8654.4</v>
      </c>
      <c r="F2523" s="36" t="s">
        <v>2274</v>
      </c>
      <c r="G2523" s="15">
        <v>8654.4</v>
      </c>
      <c r="H2523" s="15">
        <f t="shared" si="40"/>
        <v>0</v>
      </c>
      <c r="I2523" s="19"/>
    </row>
    <row r="2524" spans="1:9" x14ac:dyDescent="0.25">
      <c r="A2524" s="16">
        <v>42757</v>
      </c>
      <c r="B2524" s="17" t="s">
        <v>2900</v>
      </c>
      <c r="C2524" s="18">
        <v>98121</v>
      </c>
      <c r="D2524" s="2" t="s">
        <v>1830</v>
      </c>
      <c r="E2524" s="15">
        <v>15153.6</v>
      </c>
      <c r="F2524" s="36" t="s">
        <v>2754</v>
      </c>
      <c r="G2524" s="15">
        <v>15153.6</v>
      </c>
      <c r="H2524" s="15">
        <f t="shared" si="40"/>
        <v>0</v>
      </c>
      <c r="I2524" s="19"/>
    </row>
    <row r="2525" spans="1:9" x14ac:dyDescent="0.25">
      <c r="A2525" s="16">
        <v>42757</v>
      </c>
      <c r="B2525" s="17" t="s">
        <v>2901</v>
      </c>
      <c r="C2525" s="18">
        <v>98122</v>
      </c>
      <c r="D2525" s="2" t="s">
        <v>30</v>
      </c>
      <c r="E2525" s="15">
        <v>367.5</v>
      </c>
      <c r="F2525" s="36" t="s">
        <v>2754</v>
      </c>
      <c r="G2525" s="15">
        <v>367.5</v>
      </c>
      <c r="H2525" s="15">
        <f t="shared" si="40"/>
        <v>0</v>
      </c>
      <c r="I2525" s="19"/>
    </row>
    <row r="2526" spans="1:9" x14ac:dyDescent="0.25">
      <c r="A2526" s="16">
        <v>42757</v>
      </c>
      <c r="B2526" s="17" t="s">
        <v>2902</v>
      </c>
      <c r="C2526" s="18">
        <v>98123</v>
      </c>
      <c r="D2526" s="2" t="s">
        <v>35</v>
      </c>
      <c r="E2526" s="15">
        <v>4068</v>
      </c>
      <c r="F2526" s="36" t="s">
        <v>2274</v>
      </c>
      <c r="G2526" s="15">
        <v>4068</v>
      </c>
      <c r="H2526" s="15">
        <f t="shared" si="40"/>
        <v>0</v>
      </c>
      <c r="I2526" s="19"/>
    </row>
    <row r="2527" spans="1:9" x14ac:dyDescent="0.25">
      <c r="A2527" s="16">
        <v>42757</v>
      </c>
      <c r="B2527" s="17" t="s">
        <v>2903</v>
      </c>
      <c r="C2527" s="18">
        <v>98124</v>
      </c>
      <c r="D2527" s="2" t="s">
        <v>30</v>
      </c>
      <c r="E2527" s="15">
        <v>387.1</v>
      </c>
      <c r="F2527" s="36" t="s">
        <v>2754</v>
      </c>
      <c r="G2527" s="15">
        <v>387.1</v>
      </c>
      <c r="H2527" s="15">
        <f t="shared" si="40"/>
        <v>0</v>
      </c>
      <c r="I2527" s="19"/>
    </row>
    <row r="2528" spans="1:9" x14ac:dyDescent="0.25">
      <c r="A2528" s="16">
        <v>42757</v>
      </c>
      <c r="B2528" s="17" t="s">
        <v>2904</v>
      </c>
      <c r="C2528" s="18">
        <v>98125</v>
      </c>
      <c r="D2528" s="2" t="s">
        <v>231</v>
      </c>
      <c r="E2528" s="15">
        <v>4850.3999999999996</v>
      </c>
      <c r="F2528" s="36" t="s">
        <v>336</v>
      </c>
      <c r="G2528" s="15">
        <v>4850.3999999999996</v>
      </c>
      <c r="H2528" s="15">
        <f t="shared" si="40"/>
        <v>0</v>
      </c>
      <c r="I2528" s="19"/>
    </row>
    <row r="2529" spans="1:9" x14ac:dyDescent="0.25">
      <c r="A2529" s="16">
        <v>42757</v>
      </c>
      <c r="B2529" s="17" t="s">
        <v>2905</v>
      </c>
      <c r="C2529" s="18">
        <v>98126</v>
      </c>
      <c r="D2529" s="2" t="s">
        <v>1090</v>
      </c>
      <c r="E2529" s="15">
        <v>2492.1</v>
      </c>
      <c r="F2529" s="36" t="s">
        <v>2754</v>
      </c>
      <c r="G2529" s="15">
        <v>2492.1</v>
      </c>
      <c r="H2529" s="15">
        <f t="shared" si="40"/>
        <v>0</v>
      </c>
      <c r="I2529" s="19"/>
    </row>
    <row r="2530" spans="1:9" x14ac:dyDescent="0.25">
      <c r="A2530" s="16">
        <v>42757</v>
      </c>
      <c r="B2530" s="17" t="s">
        <v>2906</v>
      </c>
      <c r="C2530" s="18">
        <v>98127</v>
      </c>
      <c r="D2530" s="2" t="s">
        <v>79</v>
      </c>
      <c r="E2530" s="15">
        <v>2308.8000000000002</v>
      </c>
      <c r="F2530" s="36" t="s">
        <v>2754</v>
      </c>
      <c r="G2530" s="15">
        <v>2308.8000000000002</v>
      </c>
      <c r="H2530" s="15">
        <f t="shared" si="40"/>
        <v>0</v>
      </c>
      <c r="I2530" s="19"/>
    </row>
    <row r="2531" spans="1:9" x14ac:dyDescent="0.25">
      <c r="A2531" s="16">
        <v>42757</v>
      </c>
      <c r="B2531" s="17" t="s">
        <v>2907</v>
      </c>
      <c r="C2531" s="18">
        <v>98128</v>
      </c>
      <c r="D2531" s="2" t="s">
        <v>862</v>
      </c>
      <c r="E2531" s="15">
        <v>6965.4</v>
      </c>
      <c r="F2531" s="36" t="s">
        <v>2754</v>
      </c>
      <c r="G2531" s="15">
        <v>6965.4</v>
      </c>
      <c r="H2531" s="15">
        <f t="shared" si="40"/>
        <v>0</v>
      </c>
      <c r="I2531" s="19"/>
    </row>
    <row r="2532" spans="1:9" x14ac:dyDescent="0.25">
      <c r="A2532" s="16">
        <v>42757</v>
      </c>
      <c r="B2532" s="17" t="s">
        <v>2908</v>
      </c>
      <c r="C2532" s="18">
        <v>98129</v>
      </c>
      <c r="D2532" s="2" t="s">
        <v>862</v>
      </c>
      <c r="E2532" s="15">
        <v>3228.3</v>
      </c>
      <c r="F2532" s="36" t="s">
        <v>2754</v>
      </c>
      <c r="G2532" s="15">
        <v>3228.3</v>
      </c>
      <c r="H2532" s="15">
        <f t="shared" si="40"/>
        <v>0</v>
      </c>
      <c r="I2532" s="19"/>
    </row>
    <row r="2533" spans="1:9" x14ac:dyDescent="0.25">
      <c r="A2533" s="16">
        <v>42757</v>
      </c>
      <c r="B2533" s="17" t="s">
        <v>2909</v>
      </c>
      <c r="C2533" s="18">
        <v>98130</v>
      </c>
      <c r="D2533" s="2" t="s">
        <v>1116</v>
      </c>
      <c r="E2533" s="15">
        <v>4621</v>
      </c>
      <c r="F2533" s="36" t="s">
        <v>2274</v>
      </c>
      <c r="G2533" s="15">
        <v>4621</v>
      </c>
      <c r="H2533" s="15">
        <f t="shared" si="40"/>
        <v>0</v>
      </c>
      <c r="I2533" s="19"/>
    </row>
    <row r="2534" spans="1:9" x14ac:dyDescent="0.25">
      <c r="A2534" s="16">
        <v>42757</v>
      </c>
      <c r="B2534" s="17" t="s">
        <v>2910</v>
      </c>
      <c r="C2534" s="18">
        <v>98131</v>
      </c>
      <c r="D2534" s="2" t="s">
        <v>1925</v>
      </c>
      <c r="E2534" s="15">
        <v>355.2</v>
      </c>
      <c r="F2534" s="36" t="s">
        <v>2754</v>
      </c>
      <c r="G2534" s="15">
        <v>355.2</v>
      </c>
      <c r="H2534" s="15">
        <f t="shared" si="40"/>
        <v>0</v>
      </c>
      <c r="I2534" s="19"/>
    </row>
    <row r="2535" spans="1:9" x14ac:dyDescent="0.25">
      <c r="A2535" s="16">
        <v>42757</v>
      </c>
      <c r="B2535" s="17" t="s">
        <v>2911</v>
      </c>
      <c r="C2535" s="18">
        <v>98132</v>
      </c>
      <c r="D2535" s="2" t="s">
        <v>30</v>
      </c>
      <c r="E2535" s="15">
        <v>1043.5</v>
      </c>
      <c r="F2535" s="36" t="s">
        <v>2754</v>
      </c>
      <c r="G2535" s="15">
        <v>1043.5</v>
      </c>
      <c r="H2535" s="15">
        <f t="shared" si="40"/>
        <v>0</v>
      </c>
      <c r="I2535" s="19"/>
    </row>
    <row r="2536" spans="1:9" x14ac:dyDescent="0.25">
      <c r="A2536" s="16">
        <v>42757</v>
      </c>
      <c r="B2536" s="17" t="s">
        <v>2912</v>
      </c>
      <c r="C2536" s="18">
        <v>98133</v>
      </c>
      <c r="D2536" s="2" t="s">
        <v>457</v>
      </c>
      <c r="E2536" s="15">
        <v>5378.5</v>
      </c>
      <c r="F2536" s="36" t="s">
        <v>2754</v>
      </c>
      <c r="G2536" s="15">
        <v>5378.5</v>
      </c>
      <c r="H2536" s="15">
        <f t="shared" si="40"/>
        <v>0</v>
      </c>
      <c r="I2536" s="19"/>
    </row>
    <row r="2537" spans="1:9" x14ac:dyDescent="0.25">
      <c r="A2537" s="16">
        <v>42757</v>
      </c>
      <c r="B2537" s="17" t="s">
        <v>2913</v>
      </c>
      <c r="C2537" s="18">
        <v>98134</v>
      </c>
      <c r="D2537" s="2" t="s">
        <v>133</v>
      </c>
      <c r="E2537" s="15">
        <v>1430</v>
      </c>
      <c r="F2537" s="36" t="s">
        <v>2754</v>
      </c>
      <c r="G2537" s="15">
        <v>1430</v>
      </c>
      <c r="H2537" s="15">
        <f t="shared" si="40"/>
        <v>0</v>
      </c>
      <c r="I2537" s="19"/>
    </row>
    <row r="2538" spans="1:9" x14ac:dyDescent="0.25">
      <c r="A2538" s="16">
        <v>42757</v>
      </c>
      <c r="B2538" s="17" t="s">
        <v>2914</v>
      </c>
      <c r="C2538" s="18">
        <v>98135</v>
      </c>
      <c r="D2538" s="2" t="s">
        <v>222</v>
      </c>
      <c r="E2538" s="15">
        <v>26002.7</v>
      </c>
      <c r="F2538" s="36" t="s">
        <v>2166</v>
      </c>
      <c r="G2538" s="15">
        <v>26002.7</v>
      </c>
      <c r="H2538" s="15">
        <f t="shared" si="40"/>
        <v>0</v>
      </c>
      <c r="I2538" s="19"/>
    </row>
    <row r="2539" spans="1:9" x14ac:dyDescent="0.25">
      <c r="A2539" s="16">
        <v>42757</v>
      </c>
      <c r="B2539" s="17" t="s">
        <v>2915</v>
      </c>
      <c r="C2539" s="18">
        <v>98136</v>
      </c>
      <c r="D2539" s="2" t="s">
        <v>289</v>
      </c>
      <c r="E2539" s="15">
        <v>53721.04</v>
      </c>
      <c r="F2539" s="36" t="s">
        <v>1173</v>
      </c>
      <c r="G2539" s="15">
        <v>53721.04</v>
      </c>
      <c r="H2539" s="15">
        <f t="shared" si="40"/>
        <v>0</v>
      </c>
      <c r="I2539" s="19"/>
    </row>
    <row r="2540" spans="1:9" x14ac:dyDescent="0.25">
      <c r="A2540" s="16">
        <v>42757</v>
      </c>
      <c r="B2540" s="17" t="s">
        <v>2916</v>
      </c>
      <c r="C2540" s="18">
        <v>98137</v>
      </c>
      <c r="D2540" s="2" t="s">
        <v>785</v>
      </c>
      <c r="E2540" s="15">
        <v>9125</v>
      </c>
      <c r="F2540" s="36" t="s">
        <v>2754</v>
      </c>
      <c r="G2540" s="15">
        <v>9125</v>
      </c>
      <c r="H2540" s="15">
        <f t="shared" si="40"/>
        <v>0</v>
      </c>
      <c r="I2540" s="19"/>
    </row>
    <row r="2541" spans="1:9" x14ac:dyDescent="0.25">
      <c r="A2541" s="16">
        <v>42757</v>
      </c>
      <c r="B2541" s="17" t="s">
        <v>2917</v>
      </c>
      <c r="C2541" s="18">
        <v>98138</v>
      </c>
      <c r="D2541" s="2" t="s">
        <v>157</v>
      </c>
      <c r="E2541" s="15">
        <v>22585.8</v>
      </c>
      <c r="F2541" s="36" t="s">
        <v>2754</v>
      </c>
      <c r="G2541" s="15">
        <v>22585.8</v>
      </c>
      <c r="H2541" s="15">
        <f t="shared" si="40"/>
        <v>0</v>
      </c>
      <c r="I2541" s="19"/>
    </row>
    <row r="2542" spans="1:9" x14ac:dyDescent="0.25">
      <c r="A2542" s="16">
        <v>42757</v>
      </c>
      <c r="B2542" s="17" t="s">
        <v>2918</v>
      </c>
      <c r="C2542" s="18">
        <v>98139</v>
      </c>
      <c r="D2542" s="2" t="s">
        <v>47</v>
      </c>
      <c r="E2542" s="15">
        <v>3348</v>
      </c>
      <c r="F2542" s="36" t="s">
        <v>2754</v>
      </c>
      <c r="G2542" s="15">
        <v>3348</v>
      </c>
      <c r="H2542" s="15">
        <f t="shared" si="40"/>
        <v>0</v>
      </c>
      <c r="I2542" s="19"/>
    </row>
    <row r="2543" spans="1:9" x14ac:dyDescent="0.25">
      <c r="A2543" s="16">
        <v>42757</v>
      </c>
      <c r="B2543" s="17" t="s">
        <v>2919</v>
      </c>
      <c r="C2543" s="18">
        <v>98140</v>
      </c>
      <c r="D2543" s="2" t="s">
        <v>151</v>
      </c>
      <c r="E2543" s="15">
        <v>15140.72</v>
      </c>
      <c r="F2543" s="36" t="s">
        <v>2754</v>
      </c>
      <c r="G2543" s="15">
        <v>15140.72</v>
      </c>
      <c r="H2543" s="15">
        <f t="shared" si="40"/>
        <v>0</v>
      </c>
      <c r="I2543" s="19"/>
    </row>
    <row r="2544" spans="1:9" x14ac:dyDescent="0.25">
      <c r="A2544" s="16">
        <v>42757</v>
      </c>
      <c r="B2544" s="17" t="s">
        <v>2920</v>
      </c>
      <c r="C2544" s="18">
        <v>98141</v>
      </c>
      <c r="D2544" s="2" t="s">
        <v>168</v>
      </c>
      <c r="E2544" s="15">
        <v>179.4</v>
      </c>
      <c r="F2544" s="36" t="s">
        <v>2754</v>
      </c>
      <c r="G2544" s="15">
        <v>179.4</v>
      </c>
      <c r="H2544" s="15">
        <f t="shared" si="40"/>
        <v>0</v>
      </c>
      <c r="I2544" s="19"/>
    </row>
    <row r="2545" spans="1:9" x14ac:dyDescent="0.25">
      <c r="A2545" s="16">
        <v>42757</v>
      </c>
      <c r="B2545" s="17" t="s">
        <v>2921</v>
      </c>
      <c r="C2545" s="18">
        <v>98142</v>
      </c>
      <c r="D2545" s="2" t="s">
        <v>712</v>
      </c>
      <c r="E2545" s="15">
        <v>4549.3999999999996</v>
      </c>
      <c r="F2545" s="36" t="s">
        <v>336</v>
      </c>
      <c r="G2545" s="15">
        <v>4549.3999999999996</v>
      </c>
      <c r="H2545" s="15">
        <f t="shared" si="40"/>
        <v>0</v>
      </c>
      <c r="I2545" s="19"/>
    </row>
    <row r="2546" spans="1:9" x14ac:dyDescent="0.25">
      <c r="A2546" s="16">
        <v>42757</v>
      </c>
      <c r="B2546" s="17" t="s">
        <v>2922</v>
      </c>
      <c r="C2546" s="18">
        <v>98143</v>
      </c>
      <c r="D2546" s="2" t="s">
        <v>81</v>
      </c>
      <c r="E2546" s="15">
        <v>11796.5</v>
      </c>
      <c r="F2546" s="36" t="s">
        <v>336</v>
      </c>
      <c r="G2546" s="15">
        <v>11796.5</v>
      </c>
      <c r="H2546" s="15">
        <f t="shared" si="40"/>
        <v>0</v>
      </c>
      <c r="I2546" s="19"/>
    </row>
    <row r="2547" spans="1:9" x14ac:dyDescent="0.25">
      <c r="A2547" s="16">
        <v>42757</v>
      </c>
      <c r="B2547" s="17" t="s">
        <v>2923</v>
      </c>
      <c r="C2547" s="18">
        <v>98144</v>
      </c>
      <c r="D2547" s="2" t="s">
        <v>305</v>
      </c>
      <c r="E2547" s="15">
        <v>7168</v>
      </c>
      <c r="F2547" s="36" t="s">
        <v>336</v>
      </c>
      <c r="G2547" s="15">
        <v>7168</v>
      </c>
      <c r="H2547" s="15">
        <f t="shared" si="40"/>
        <v>0</v>
      </c>
      <c r="I2547" s="19"/>
    </row>
    <row r="2548" spans="1:9" x14ac:dyDescent="0.25">
      <c r="A2548" s="16">
        <v>42757</v>
      </c>
      <c r="B2548" s="17" t="s">
        <v>2924</v>
      </c>
      <c r="C2548" s="18">
        <v>98145</v>
      </c>
      <c r="D2548" s="2" t="s">
        <v>101</v>
      </c>
      <c r="E2548" s="15">
        <v>1728</v>
      </c>
      <c r="F2548" s="36" t="s">
        <v>336</v>
      </c>
      <c r="G2548" s="15">
        <v>1728</v>
      </c>
      <c r="H2548" s="15">
        <f t="shared" si="40"/>
        <v>0</v>
      </c>
      <c r="I2548" s="19"/>
    </row>
    <row r="2549" spans="1:9" x14ac:dyDescent="0.25">
      <c r="A2549" s="16">
        <v>42757</v>
      </c>
      <c r="B2549" s="17" t="s">
        <v>2925</v>
      </c>
      <c r="C2549" s="18">
        <v>98146</v>
      </c>
      <c r="D2549" s="2" t="s">
        <v>293</v>
      </c>
      <c r="E2549" s="15">
        <v>780</v>
      </c>
      <c r="F2549" s="36" t="s">
        <v>336</v>
      </c>
      <c r="G2549" s="15">
        <v>780</v>
      </c>
      <c r="H2549" s="15">
        <f t="shared" si="40"/>
        <v>0</v>
      </c>
      <c r="I2549" s="19"/>
    </row>
    <row r="2550" spans="1:9" x14ac:dyDescent="0.25">
      <c r="A2550" s="16">
        <v>42757</v>
      </c>
      <c r="B2550" s="17" t="s">
        <v>2926</v>
      </c>
      <c r="C2550" s="18">
        <v>98147</v>
      </c>
      <c r="D2550" s="2" t="s">
        <v>99</v>
      </c>
      <c r="E2550" s="15">
        <v>3360</v>
      </c>
      <c r="F2550" s="36" t="s">
        <v>336</v>
      </c>
      <c r="G2550" s="15">
        <v>3360</v>
      </c>
      <c r="H2550" s="15">
        <f t="shared" si="40"/>
        <v>0</v>
      </c>
      <c r="I2550" s="19"/>
    </row>
    <row r="2551" spans="1:9" x14ac:dyDescent="0.25">
      <c r="A2551" s="16">
        <v>42757</v>
      </c>
      <c r="B2551" s="17" t="s">
        <v>2927</v>
      </c>
      <c r="C2551" s="18">
        <v>98148</v>
      </c>
      <c r="D2551" s="2" t="s">
        <v>291</v>
      </c>
      <c r="E2551" s="15">
        <v>2121.6999999999998</v>
      </c>
      <c r="F2551" s="36" t="s">
        <v>336</v>
      </c>
      <c r="G2551" s="15">
        <v>2121.6999999999998</v>
      </c>
      <c r="H2551" s="15">
        <f t="shared" si="40"/>
        <v>0</v>
      </c>
      <c r="I2551" s="19"/>
    </row>
    <row r="2552" spans="1:9" x14ac:dyDescent="0.25">
      <c r="A2552" s="16">
        <v>42757</v>
      </c>
      <c r="B2552" s="17" t="s">
        <v>2928</v>
      </c>
      <c r="C2552" s="18">
        <v>98149</v>
      </c>
      <c r="D2552" s="2" t="s">
        <v>83</v>
      </c>
      <c r="E2552" s="15">
        <v>3689.8</v>
      </c>
      <c r="F2552" s="36" t="s">
        <v>336</v>
      </c>
      <c r="G2552" s="15">
        <v>3689.8</v>
      </c>
      <c r="H2552" s="15">
        <f t="shared" si="40"/>
        <v>0</v>
      </c>
      <c r="I2552" s="19"/>
    </row>
    <row r="2553" spans="1:9" x14ac:dyDescent="0.25">
      <c r="A2553" s="16">
        <v>42757</v>
      </c>
      <c r="B2553" s="17" t="s">
        <v>2929</v>
      </c>
      <c r="C2553" s="18">
        <v>98150</v>
      </c>
      <c r="D2553" s="2" t="s">
        <v>613</v>
      </c>
      <c r="E2553" s="15">
        <v>4802</v>
      </c>
      <c r="F2553" s="36" t="s">
        <v>336</v>
      </c>
      <c r="G2553" s="15">
        <v>4802</v>
      </c>
      <c r="H2553" s="15">
        <f t="shared" si="40"/>
        <v>0</v>
      </c>
      <c r="I2553" s="19"/>
    </row>
    <row r="2554" spans="1:9" x14ac:dyDescent="0.25">
      <c r="A2554" s="16">
        <v>42757</v>
      </c>
      <c r="B2554" s="17" t="s">
        <v>2930</v>
      </c>
      <c r="C2554" s="18">
        <v>98151</v>
      </c>
      <c r="D2554" s="2" t="s">
        <v>1925</v>
      </c>
      <c r="E2554" s="15">
        <v>135</v>
      </c>
      <c r="F2554" s="36" t="s">
        <v>2754</v>
      </c>
      <c r="G2554" s="15">
        <v>135</v>
      </c>
      <c r="H2554" s="15">
        <f t="shared" si="40"/>
        <v>0</v>
      </c>
      <c r="I2554" s="19"/>
    </row>
    <row r="2555" spans="1:9" x14ac:dyDescent="0.25">
      <c r="A2555" s="16">
        <v>42757</v>
      </c>
      <c r="B2555" s="17" t="s">
        <v>2931</v>
      </c>
      <c r="C2555" s="18">
        <v>98152</v>
      </c>
      <c r="D2555" s="2" t="s">
        <v>159</v>
      </c>
      <c r="E2555" s="15">
        <v>13037.5</v>
      </c>
      <c r="F2555" s="36" t="s">
        <v>336</v>
      </c>
      <c r="G2555" s="15">
        <v>13037.5</v>
      </c>
      <c r="H2555" s="15">
        <f t="shared" si="40"/>
        <v>0</v>
      </c>
      <c r="I2555" s="19"/>
    </row>
    <row r="2556" spans="1:9" x14ac:dyDescent="0.25">
      <c r="A2556" s="16">
        <v>42757</v>
      </c>
      <c r="B2556" s="17" t="s">
        <v>2932</v>
      </c>
      <c r="C2556" s="18">
        <v>98153</v>
      </c>
      <c r="D2556" s="2" t="s">
        <v>1259</v>
      </c>
      <c r="E2556" s="15">
        <v>2011.6</v>
      </c>
      <c r="F2556" s="36" t="s">
        <v>336</v>
      </c>
      <c r="G2556" s="15">
        <v>2011.6</v>
      </c>
      <c r="H2556" s="15">
        <f t="shared" si="40"/>
        <v>0</v>
      </c>
      <c r="I2556" s="19"/>
    </row>
    <row r="2557" spans="1:9" x14ac:dyDescent="0.25">
      <c r="A2557" s="16">
        <v>42757</v>
      </c>
      <c r="B2557" s="17" t="s">
        <v>2933</v>
      </c>
      <c r="C2557" s="18">
        <v>98154</v>
      </c>
      <c r="D2557" s="2" t="s">
        <v>88</v>
      </c>
      <c r="E2557" s="15">
        <v>7924.6</v>
      </c>
      <c r="F2557" s="36" t="s">
        <v>336</v>
      </c>
      <c r="G2557" s="15">
        <v>7924.6</v>
      </c>
      <c r="H2557" s="15">
        <f t="shared" si="40"/>
        <v>0</v>
      </c>
      <c r="I2557" s="19"/>
    </row>
    <row r="2558" spans="1:9" x14ac:dyDescent="0.25">
      <c r="A2558" s="16">
        <v>42757</v>
      </c>
      <c r="B2558" s="17" t="s">
        <v>2934</v>
      </c>
      <c r="C2558" s="18">
        <v>98155</v>
      </c>
      <c r="D2558" s="2" t="s">
        <v>476</v>
      </c>
      <c r="E2558" s="15">
        <v>14626.6</v>
      </c>
      <c r="F2558" s="36" t="s">
        <v>2143</v>
      </c>
      <c r="G2558" s="15">
        <v>14626.6</v>
      </c>
      <c r="H2558" s="15">
        <f t="shared" si="40"/>
        <v>0</v>
      </c>
      <c r="I2558" s="19"/>
    </row>
    <row r="2559" spans="1:9" x14ac:dyDescent="0.25">
      <c r="A2559" s="16">
        <v>42757</v>
      </c>
      <c r="B2559" s="17" t="s">
        <v>2935</v>
      </c>
      <c r="C2559" s="18">
        <v>98156</v>
      </c>
      <c r="D2559" s="2" t="s">
        <v>1870</v>
      </c>
      <c r="E2559" s="15">
        <v>1600.1</v>
      </c>
      <c r="F2559" s="36" t="s">
        <v>336</v>
      </c>
      <c r="G2559" s="15">
        <v>1600.1</v>
      </c>
      <c r="H2559" s="15">
        <f t="shared" si="40"/>
        <v>0</v>
      </c>
      <c r="I2559" s="19"/>
    </row>
    <row r="2560" spans="1:9" x14ac:dyDescent="0.25">
      <c r="A2560" s="16">
        <v>42757</v>
      </c>
      <c r="B2560" s="17" t="s">
        <v>2936</v>
      </c>
      <c r="C2560" s="18">
        <v>98157</v>
      </c>
      <c r="D2560" s="2" t="s">
        <v>312</v>
      </c>
      <c r="E2560" s="15">
        <v>30845.5</v>
      </c>
      <c r="F2560" s="36" t="s">
        <v>2274</v>
      </c>
      <c r="G2560" s="15">
        <v>30845.5</v>
      </c>
      <c r="H2560" s="15">
        <f t="shared" si="40"/>
        <v>0</v>
      </c>
      <c r="I2560" s="19"/>
    </row>
    <row r="2561" spans="1:9" x14ac:dyDescent="0.25">
      <c r="A2561" s="16">
        <v>42757</v>
      </c>
      <c r="B2561" s="17" t="s">
        <v>2937</v>
      </c>
      <c r="C2561" s="18">
        <v>98158</v>
      </c>
      <c r="D2561" s="13" t="s">
        <v>492</v>
      </c>
      <c r="E2561" s="14">
        <v>0</v>
      </c>
      <c r="F2561" s="123" t="s">
        <v>95</v>
      </c>
      <c r="G2561" s="14">
        <v>0</v>
      </c>
      <c r="H2561" s="14">
        <f t="shared" si="40"/>
        <v>0</v>
      </c>
      <c r="I2561" s="19"/>
    </row>
    <row r="2562" spans="1:9" x14ac:dyDescent="0.25">
      <c r="A2562" s="16">
        <v>42757</v>
      </c>
      <c r="B2562" s="17" t="s">
        <v>2938</v>
      </c>
      <c r="C2562" s="18">
        <v>98159</v>
      </c>
      <c r="D2562" s="2" t="s">
        <v>445</v>
      </c>
      <c r="E2562" s="15">
        <v>1209.5999999999999</v>
      </c>
      <c r="F2562" s="36" t="s">
        <v>336</v>
      </c>
      <c r="G2562" s="15">
        <v>1209.5999999999999</v>
      </c>
      <c r="H2562" s="15">
        <f t="shared" si="40"/>
        <v>0</v>
      </c>
      <c r="I2562" s="19"/>
    </row>
    <row r="2563" spans="1:9" x14ac:dyDescent="0.25">
      <c r="A2563" s="16">
        <v>42757</v>
      </c>
      <c r="B2563" s="17" t="s">
        <v>2939</v>
      </c>
      <c r="C2563" s="18">
        <v>98160</v>
      </c>
      <c r="D2563" s="2" t="s">
        <v>10</v>
      </c>
      <c r="E2563" s="15">
        <v>7189</v>
      </c>
      <c r="F2563" s="36" t="s">
        <v>166</v>
      </c>
      <c r="G2563" s="15">
        <v>7189</v>
      </c>
      <c r="H2563" s="15">
        <f t="shared" si="40"/>
        <v>0</v>
      </c>
      <c r="I2563" s="19"/>
    </row>
    <row r="2564" spans="1:9" x14ac:dyDescent="0.25">
      <c r="A2564" s="16">
        <v>42757</v>
      </c>
      <c r="B2564" s="17" t="s">
        <v>2940</v>
      </c>
      <c r="C2564" s="18">
        <v>98161</v>
      </c>
      <c r="D2564" s="2" t="s">
        <v>141</v>
      </c>
      <c r="E2564" s="15">
        <v>11567.4</v>
      </c>
      <c r="F2564" s="36" t="s">
        <v>2754</v>
      </c>
      <c r="G2564" s="15">
        <v>11567.4</v>
      </c>
      <c r="H2564" s="15">
        <f t="shared" si="40"/>
        <v>0</v>
      </c>
      <c r="I2564" s="19"/>
    </row>
    <row r="2565" spans="1:9" x14ac:dyDescent="0.25">
      <c r="A2565" s="16">
        <v>42757</v>
      </c>
      <c r="B2565" s="17" t="s">
        <v>2941</v>
      </c>
      <c r="C2565" s="18">
        <v>98162</v>
      </c>
      <c r="D2565" s="2" t="s">
        <v>115</v>
      </c>
      <c r="E2565" s="15">
        <v>4291.05</v>
      </c>
      <c r="F2565" s="36" t="s">
        <v>2754</v>
      </c>
      <c r="G2565" s="15">
        <v>4291.05</v>
      </c>
      <c r="H2565" s="15">
        <f t="shared" si="40"/>
        <v>0</v>
      </c>
      <c r="I2565" s="19"/>
    </row>
    <row r="2566" spans="1:9" x14ac:dyDescent="0.25">
      <c r="A2566" s="16">
        <v>42757</v>
      </c>
      <c r="B2566" s="17" t="s">
        <v>2942</v>
      </c>
      <c r="C2566" s="18">
        <v>98163</v>
      </c>
      <c r="D2566" s="2" t="s">
        <v>470</v>
      </c>
      <c r="E2566" s="15">
        <v>11259</v>
      </c>
      <c r="F2566" s="36" t="s">
        <v>2754</v>
      </c>
      <c r="G2566" s="15">
        <v>11259</v>
      </c>
      <c r="H2566" s="15">
        <f t="shared" ref="H2566:H2629" si="41">E2566-G2566</f>
        <v>0</v>
      </c>
      <c r="I2566" s="19"/>
    </row>
    <row r="2567" spans="1:9" x14ac:dyDescent="0.25">
      <c r="A2567" s="16">
        <v>42757</v>
      </c>
      <c r="B2567" s="17" t="s">
        <v>2943</v>
      </c>
      <c r="C2567" s="18">
        <v>98164</v>
      </c>
      <c r="D2567" s="2" t="s">
        <v>785</v>
      </c>
      <c r="E2567" s="15">
        <v>410.4</v>
      </c>
      <c r="F2567" s="36" t="s">
        <v>2754</v>
      </c>
      <c r="G2567" s="15">
        <v>410.4</v>
      </c>
      <c r="H2567" s="15">
        <f t="shared" si="41"/>
        <v>0</v>
      </c>
      <c r="I2567" s="19"/>
    </row>
    <row r="2568" spans="1:9" x14ac:dyDescent="0.25">
      <c r="A2568" s="16">
        <v>42757</v>
      </c>
      <c r="B2568" s="17" t="s">
        <v>2944</v>
      </c>
      <c r="C2568" s="18">
        <v>98165</v>
      </c>
      <c r="D2568" s="2" t="s">
        <v>492</v>
      </c>
      <c r="E2568" s="15">
        <v>13970.8</v>
      </c>
      <c r="F2568" s="36" t="s">
        <v>1173</v>
      </c>
      <c r="G2568" s="15">
        <v>13970.8</v>
      </c>
      <c r="H2568" s="15">
        <f t="shared" si="41"/>
        <v>0</v>
      </c>
      <c r="I2568" s="19"/>
    </row>
    <row r="2569" spans="1:9" x14ac:dyDescent="0.25">
      <c r="A2569" s="16">
        <v>42757</v>
      </c>
      <c r="B2569" s="17" t="s">
        <v>2945</v>
      </c>
      <c r="C2569" s="18">
        <v>98166</v>
      </c>
      <c r="D2569" s="2" t="s">
        <v>149</v>
      </c>
      <c r="E2569" s="15">
        <v>2761.9</v>
      </c>
      <c r="F2569" s="36" t="s">
        <v>2754</v>
      </c>
      <c r="G2569" s="15">
        <v>2761.9</v>
      </c>
      <c r="H2569" s="15">
        <f t="shared" si="41"/>
        <v>0</v>
      </c>
      <c r="I2569" s="19"/>
    </row>
    <row r="2570" spans="1:9" x14ac:dyDescent="0.25">
      <c r="A2570" s="16">
        <v>42757</v>
      </c>
      <c r="B2570" s="17" t="s">
        <v>2946</v>
      </c>
      <c r="C2570" s="18">
        <v>98167</v>
      </c>
      <c r="D2570" s="2" t="s">
        <v>1299</v>
      </c>
      <c r="E2570" s="15">
        <v>7093.7</v>
      </c>
      <c r="F2570" s="36" t="s">
        <v>2754</v>
      </c>
      <c r="G2570" s="15">
        <v>7093.7</v>
      </c>
      <c r="H2570" s="15">
        <f t="shared" si="41"/>
        <v>0</v>
      </c>
      <c r="I2570" s="19"/>
    </row>
    <row r="2571" spans="1:9" x14ac:dyDescent="0.25">
      <c r="A2571" s="16">
        <v>42757</v>
      </c>
      <c r="B2571" s="17" t="s">
        <v>2947</v>
      </c>
      <c r="C2571" s="18">
        <v>98168</v>
      </c>
      <c r="D2571" s="2" t="s">
        <v>1141</v>
      </c>
      <c r="E2571" s="15">
        <v>801.9</v>
      </c>
      <c r="F2571" s="36" t="s">
        <v>2754</v>
      </c>
      <c r="G2571" s="15">
        <v>801.9</v>
      </c>
      <c r="H2571" s="15">
        <f t="shared" si="41"/>
        <v>0</v>
      </c>
      <c r="I2571" s="19"/>
    </row>
    <row r="2572" spans="1:9" x14ac:dyDescent="0.25">
      <c r="A2572" s="16">
        <v>42757</v>
      </c>
      <c r="B2572" s="17" t="s">
        <v>2948</v>
      </c>
      <c r="C2572" s="18">
        <v>98169</v>
      </c>
      <c r="D2572" s="2" t="s">
        <v>509</v>
      </c>
      <c r="E2572" s="15">
        <v>21348.6</v>
      </c>
      <c r="F2572" s="36" t="s">
        <v>1391</v>
      </c>
      <c r="G2572" s="15">
        <v>21348.6</v>
      </c>
      <c r="H2572" s="15">
        <f t="shared" si="41"/>
        <v>0</v>
      </c>
      <c r="I2572" s="19"/>
    </row>
    <row r="2573" spans="1:9" x14ac:dyDescent="0.25">
      <c r="A2573" s="16">
        <v>42757</v>
      </c>
      <c r="B2573" s="17" t="s">
        <v>2949</v>
      </c>
      <c r="C2573" s="18">
        <v>98170</v>
      </c>
      <c r="D2573" s="2" t="s">
        <v>480</v>
      </c>
      <c r="E2573" s="15">
        <v>1790.36</v>
      </c>
      <c r="F2573" s="36" t="s">
        <v>166</v>
      </c>
      <c r="G2573" s="15">
        <v>1790.36</v>
      </c>
      <c r="H2573" s="15">
        <f t="shared" si="41"/>
        <v>0</v>
      </c>
      <c r="I2573" s="19"/>
    </row>
    <row r="2574" spans="1:9" x14ac:dyDescent="0.25">
      <c r="A2574" s="16">
        <v>42757</v>
      </c>
      <c r="B2574" s="17" t="s">
        <v>2950</v>
      </c>
      <c r="C2574" s="18">
        <v>98171</v>
      </c>
      <c r="D2574" s="2" t="s">
        <v>12</v>
      </c>
      <c r="E2574" s="15">
        <v>1830.12</v>
      </c>
      <c r="F2574" s="36" t="s">
        <v>2754</v>
      </c>
      <c r="G2574" s="15">
        <v>1830.12</v>
      </c>
      <c r="H2574" s="15">
        <f t="shared" si="41"/>
        <v>0</v>
      </c>
      <c r="I2574" s="19"/>
    </row>
    <row r="2575" spans="1:9" x14ac:dyDescent="0.25">
      <c r="A2575" s="16">
        <v>42757</v>
      </c>
      <c r="B2575" s="17" t="s">
        <v>2951</v>
      </c>
      <c r="C2575" s="18">
        <v>98172</v>
      </c>
      <c r="D2575" s="2" t="s">
        <v>879</v>
      </c>
      <c r="E2575" s="15">
        <v>917.6</v>
      </c>
      <c r="F2575" s="36" t="s">
        <v>2754</v>
      </c>
      <c r="G2575" s="15">
        <v>917.6</v>
      </c>
      <c r="H2575" s="15">
        <f t="shared" si="41"/>
        <v>0</v>
      </c>
      <c r="I2575" s="19"/>
    </row>
    <row r="2576" spans="1:9" x14ac:dyDescent="0.25">
      <c r="A2576" s="16">
        <v>42757</v>
      </c>
      <c r="B2576" s="17" t="s">
        <v>2952</v>
      </c>
      <c r="C2576" s="18">
        <v>98173</v>
      </c>
      <c r="D2576" s="2" t="s">
        <v>53</v>
      </c>
      <c r="E2576" s="15">
        <v>2686.4</v>
      </c>
      <c r="F2576" s="36" t="s">
        <v>166</v>
      </c>
      <c r="G2576" s="15">
        <v>2686.4</v>
      </c>
      <c r="H2576" s="15">
        <f t="shared" si="41"/>
        <v>0</v>
      </c>
      <c r="I2576" s="19"/>
    </row>
    <row r="2577" spans="1:9" x14ac:dyDescent="0.25">
      <c r="A2577" s="16">
        <v>42757</v>
      </c>
      <c r="B2577" s="17" t="s">
        <v>2953</v>
      </c>
      <c r="C2577" s="18">
        <v>98174</v>
      </c>
      <c r="D2577" s="2" t="s">
        <v>205</v>
      </c>
      <c r="E2577" s="15">
        <v>7805.2</v>
      </c>
      <c r="F2577" s="36" t="s">
        <v>166</v>
      </c>
      <c r="G2577" s="15">
        <v>7805.2</v>
      </c>
      <c r="H2577" s="15">
        <f t="shared" si="41"/>
        <v>0</v>
      </c>
      <c r="I2577" s="19"/>
    </row>
    <row r="2578" spans="1:9" x14ac:dyDescent="0.25">
      <c r="A2578" s="16">
        <v>42757</v>
      </c>
      <c r="B2578" s="17" t="s">
        <v>2954</v>
      </c>
      <c r="C2578" s="18">
        <v>98175</v>
      </c>
      <c r="D2578" s="2" t="s">
        <v>109</v>
      </c>
      <c r="E2578" s="15">
        <v>4917</v>
      </c>
      <c r="F2578" s="36" t="s">
        <v>336</v>
      </c>
      <c r="G2578" s="15">
        <v>4917</v>
      </c>
      <c r="H2578" s="15">
        <f t="shared" si="41"/>
        <v>0</v>
      </c>
      <c r="I2578" s="19"/>
    </row>
    <row r="2579" spans="1:9" x14ac:dyDescent="0.25">
      <c r="A2579" s="16">
        <v>42757</v>
      </c>
      <c r="B2579" s="17" t="s">
        <v>2955</v>
      </c>
      <c r="C2579" s="18">
        <v>98176</v>
      </c>
      <c r="D2579" s="2" t="s">
        <v>531</v>
      </c>
      <c r="E2579" s="15">
        <v>3283.5</v>
      </c>
      <c r="F2579" s="36" t="s">
        <v>2274</v>
      </c>
      <c r="G2579" s="15">
        <v>3283.5</v>
      </c>
      <c r="H2579" s="15">
        <f t="shared" si="41"/>
        <v>0</v>
      </c>
      <c r="I2579" s="19"/>
    </row>
    <row r="2580" spans="1:9" x14ac:dyDescent="0.25">
      <c r="A2580" s="16">
        <v>42757</v>
      </c>
      <c r="B2580" s="17" t="s">
        <v>2956</v>
      </c>
      <c r="C2580" s="18">
        <v>98177</v>
      </c>
      <c r="D2580" s="2" t="s">
        <v>21</v>
      </c>
      <c r="E2580" s="15">
        <v>47034</v>
      </c>
      <c r="F2580" s="36" t="s">
        <v>1889</v>
      </c>
      <c r="G2580" s="15">
        <v>47034</v>
      </c>
      <c r="H2580" s="15">
        <f t="shared" si="41"/>
        <v>0</v>
      </c>
      <c r="I2580" s="19"/>
    </row>
    <row r="2581" spans="1:9" x14ac:dyDescent="0.25">
      <c r="A2581" s="16">
        <v>42757</v>
      </c>
      <c r="B2581" s="17" t="s">
        <v>2957</v>
      </c>
      <c r="C2581" s="18">
        <v>98178</v>
      </c>
      <c r="D2581" s="2" t="s">
        <v>220</v>
      </c>
      <c r="E2581" s="15">
        <v>3091.2</v>
      </c>
      <c r="F2581" s="36" t="s">
        <v>336</v>
      </c>
      <c r="G2581" s="15">
        <v>3091.2</v>
      </c>
      <c r="H2581" s="15">
        <f t="shared" si="41"/>
        <v>0</v>
      </c>
      <c r="I2581" s="19"/>
    </row>
    <row r="2582" spans="1:9" x14ac:dyDescent="0.25">
      <c r="A2582" s="16">
        <v>42757</v>
      </c>
      <c r="B2582" s="17" t="s">
        <v>2958</v>
      </c>
      <c r="C2582" s="18">
        <v>98179</v>
      </c>
      <c r="D2582" s="13" t="s">
        <v>30</v>
      </c>
      <c r="E2582" s="14">
        <v>0</v>
      </c>
      <c r="F2582" s="123" t="s">
        <v>95</v>
      </c>
      <c r="G2582" s="14">
        <v>0</v>
      </c>
      <c r="H2582" s="14">
        <f t="shared" si="41"/>
        <v>0</v>
      </c>
      <c r="I2582" s="19"/>
    </row>
    <row r="2583" spans="1:9" x14ac:dyDescent="0.25">
      <c r="A2583" s="16">
        <v>42757</v>
      </c>
      <c r="B2583" s="17" t="s">
        <v>2959</v>
      </c>
      <c r="C2583" s="18">
        <v>98180</v>
      </c>
      <c r="D2583" s="2" t="s">
        <v>30</v>
      </c>
      <c r="E2583" s="15">
        <v>490.4</v>
      </c>
      <c r="F2583" s="36" t="s">
        <v>2754</v>
      </c>
      <c r="G2583" s="15">
        <v>490.4</v>
      </c>
      <c r="H2583" s="15">
        <f t="shared" si="41"/>
        <v>0</v>
      </c>
      <c r="I2583" s="19"/>
    </row>
    <row r="2584" spans="1:9" x14ac:dyDescent="0.25">
      <c r="A2584" s="16">
        <v>42757</v>
      </c>
      <c r="B2584" s="17" t="s">
        <v>2960</v>
      </c>
      <c r="C2584" s="18">
        <v>98181</v>
      </c>
      <c r="D2584" s="2" t="s">
        <v>211</v>
      </c>
      <c r="E2584" s="15">
        <v>8564.6</v>
      </c>
      <c r="F2584" s="36" t="s">
        <v>2754</v>
      </c>
      <c r="G2584" s="15">
        <v>8564.6</v>
      </c>
      <c r="H2584" s="15">
        <f t="shared" si="41"/>
        <v>0</v>
      </c>
      <c r="I2584" s="19"/>
    </row>
    <row r="2585" spans="1:9" x14ac:dyDescent="0.25">
      <c r="A2585" s="16">
        <v>42757</v>
      </c>
      <c r="B2585" s="17" t="s">
        <v>2961</v>
      </c>
      <c r="C2585" s="18">
        <v>98182</v>
      </c>
      <c r="D2585" s="2" t="s">
        <v>866</v>
      </c>
      <c r="E2585" s="15">
        <v>1206.2</v>
      </c>
      <c r="F2585" s="36" t="s">
        <v>2754</v>
      </c>
      <c r="G2585" s="15">
        <v>1206.2</v>
      </c>
      <c r="H2585" s="15">
        <f t="shared" si="41"/>
        <v>0</v>
      </c>
      <c r="I2585" s="19"/>
    </row>
    <row r="2586" spans="1:9" x14ac:dyDescent="0.25">
      <c r="A2586" s="16">
        <v>42757</v>
      </c>
      <c r="B2586" s="17" t="s">
        <v>2962</v>
      </c>
      <c r="C2586" s="18">
        <v>98183</v>
      </c>
      <c r="D2586" s="2" t="s">
        <v>77</v>
      </c>
      <c r="E2586" s="15">
        <v>328.3</v>
      </c>
      <c r="F2586" s="36" t="s">
        <v>2754</v>
      </c>
      <c r="G2586" s="15">
        <v>328.3</v>
      </c>
      <c r="H2586" s="15">
        <f t="shared" si="41"/>
        <v>0</v>
      </c>
      <c r="I2586" s="19"/>
    </row>
    <row r="2587" spans="1:9" x14ac:dyDescent="0.25">
      <c r="A2587" s="16">
        <v>42757</v>
      </c>
      <c r="B2587" s="17" t="s">
        <v>2963</v>
      </c>
      <c r="C2587" s="18">
        <v>98184</v>
      </c>
      <c r="D2587" s="2" t="s">
        <v>77</v>
      </c>
      <c r="E2587" s="15">
        <v>96</v>
      </c>
      <c r="F2587" s="36" t="s">
        <v>2754</v>
      </c>
      <c r="G2587" s="15">
        <v>96</v>
      </c>
      <c r="H2587" s="15">
        <f t="shared" si="41"/>
        <v>0</v>
      </c>
      <c r="I2587" s="19"/>
    </row>
    <row r="2588" spans="1:9" x14ac:dyDescent="0.25">
      <c r="A2588" s="16">
        <v>42757</v>
      </c>
      <c r="B2588" s="17" t="s">
        <v>2964</v>
      </c>
      <c r="C2588" s="18">
        <v>98185</v>
      </c>
      <c r="D2588" s="2" t="s">
        <v>178</v>
      </c>
      <c r="E2588" s="15">
        <v>1082.9000000000001</v>
      </c>
      <c r="F2588" s="36" t="s">
        <v>2754</v>
      </c>
      <c r="G2588" s="15">
        <v>1082.9000000000001</v>
      </c>
      <c r="H2588" s="15">
        <f t="shared" si="41"/>
        <v>0</v>
      </c>
      <c r="I2588" s="19"/>
    </row>
    <row r="2589" spans="1:9" x14ac:dyDescent="0.25">
      <c r="A2589" s="16">
        <v>42757</v>
      </c>
      <c r="B2589" s="17" t="s">
        <v>2965</v>
      </c>
      <c r="C2589" s="18">
        <v>98186</v>
      </c>
      <c r="D2589" s="2" t="s">
        <v>10</v>
      </c>
      <c r="E2589" s="15">
        <v>72154.5</v>
      </c>
      <c r="F2589" s="36" t="s">
        <v>166</v>
      </c>
      <c r="G2589" s="15">
        <v>72154.5</v>
      </c>
      <c r="H2589" s="15">
        <f t="shared" si="41"/>
        <v>0</v>
      </c>
      <c r="I2589" s="19"/>
    </row>
    <row r="2590" spans="1:9" x14ac:dyDescent="0.25">
      <c r="A2590" s="16">
        <v>42757</v>
      </c>
      <c r="B2590" s="17" t="s">
        <v>2966</v>
      </c>
      <c r="C2590" s="18">
        <v>98187</v>
      </c>
      <c r="D2590" s="2" t="s">
        <v>319</v>
      </c>
      <c r="E2590" s="15">
        <v>3836.4</v>
      </c>
      <c r="F2590" s="36" t="s">
        <v>2143</v>
      </c>
      <c r="G2590" s="15">
        <v>3836.4</v>
      </c>
      <c r="H2590" s="15">
        <f t="shared" si="41"/>
        <v>0</v>
      </c>
      <c r="I2590" s="19"/>
    </row>
    <row r="2591" spans="1:9" x14ac:dyDescent="0.25">
      <c r="A2591" s="16">
        <v>42757</v>
      </c>
      <c r="B2591" s="17" t="s">
        <v>2967</v>
      </c>
      <c r="C2591" s="18">
        <v>98188</v>
      </c>
      <c r="D2591" s="2" t="s">
        <v>231</v>
      </c>
      <c r="E2591" s="15">
        <v>1485.2</v>
      </c>
      <c r="F2591" s="36" t="s">
        <v>336</v>
      </c>
      <c r="G2591" s="15">
        <v>1485.2</v>
      </c>
      <c r="H2591" s="15">
        <f t="shared" si="41"/>
        <v>0</v>
      </c>
      <c r="I2591" s="19"/>
    </row>
    <row r="2592" spans="1:9" x14ac:dyDescent="0.25">
      <c r="A2592" s="16">
        <v>42757</v>
      </c>
      <c r="B2592" s="17" t="s">
        <v>2968</v>
      </c>
      <c r="C2592" s="18">
        <v>98189</v>
      </c>
      <c r="D2592" s="2" t="s">
        <v>937</v>
      </c>
      <c r="E2592" s="15">
        <v>2876.3</v>
      </c>
      <c r="F2592" s="36" t="s">
        <v>336</v>
      </c>
      <c r="G2592" s="15">
        <v>2876.3</v>
      </c>
      <c r="H2592" s="15">
        <f t="shared" si="41"/>
        <v>0</v>
      </c>
      <c r="I2592" s="19"/>
    </row>
    <row r="2593" spans="1:9" x14ac:dyDescent="0.25">
      <c r="A2593" s="16">
        <v>42758</v>
      </c>
      <c r="B2593" s="17" t="s">
        <v>2969</v>
      </c>
      <c r="C2593" s="18">
        <v>98190</v>
      </c>
      <c r="D2593" s="2" t="s">
        <v>231</v>
      </c>
      <c r="E2593" s="15">
        <v>6495.7</v>
      </c>
      <c r="F2593" s="36" t="s">
        <v>2274</v>
      </c>
      <c r="G2593" s="15">
        <v>6495.7</v>
      </c>
      <c r="H2593" s="15">
        <f t="shared" si="41"/>
        <v>0</v>
      </c>
      <c r="I2593" s="19"/>
    </row>
    <row r="2594" spans="1:9" x14ac:dyDescent="0.25">
      <c r="A2594" s="16">
        <v>42758</v>
      </c>
      <c r="B2594" s="17" t="s">
        <v>2970</v>
      </c>
      <c r="C2594" s="18">
        <v>98191</v>
      </c>
      <c r="D2594" s="2" t="s">
        <v>374</v>
      </c>
      <c r="E2594" s="15">
        <v>4640</v>
      </c>
      <c r="F2594" s="36" t="s">
        <v>336</v>
      </c>
      <c r="G2594" s="15">
        <v>4640</v>
      </c>
      <c r="H2594" s="15">
        <f t="shared" si="41"/>
        <v>0</v>
      </c>
      <c r="I2594" s="19"/>
    </row>
    <row r="2595" spans="1:9" x14ac:dyDescent="0.25">
      <c r="A2595" s="16">
        <v>42758</v>
      </c>
      <c r="B2595" s="17" t="s">
        <v>2971</v>
      </c>
      <c r="C2595" s="18">
        <v>98192</v>
      </c>
      <c r="D2595" s="2" t="s">
        <v>231</v>
      </c>
      <c r="E2595" s="15">
        <v>45138.400000000001</v>
      </c>
      <c r="F2595" s="36" t="s">
        <v>2274</v>
      </c>
      <c r="G2595" s="15">
        <v>45138.400000000001</v>
      </c>
      <c r="H2595" s="15">
        <f t="shared" si="41"/>
        <v>0</v>
      </c>
      <c r="I2595" s="19"/>
    </row>
    <row r="2596" spans="1:9" x14ac:dyDescent="0.25">
      <c r="A2596" s="16">
        <v>42758</v>
      </c>
      <c r="B2596" s="17" t="s">
        <v>2972</v>
      </c>
      <c r="C2596" s="18">
        <v>98193</v>
      </c>
      <c r="D2596" s="2" t="s">
        <v>17</v>
      </c>
      <c r="E2596" s="15">
        <v>1440</v>
      </c>
      <c r="F2596" s="36" t="s">
        <v>336</v>
      </c>
      <c r="G2596" s="15">
        <v>1440</v>
      </c>
      <c r="H2596" s="15">
        <f t="shared" si="41"/>
        <v>0</v>
      </c>
      <c r="I2596" s="19"/>
    </row>
    <row r="2597" spans="1:9" x14ac:dyDescent="0.25">
      <c r="A2597" s="16">
        <v>42758</v>
      </c>
      <c r="B2597" s="17" t="s">
        <v>2973</v>
      </c>
      <c r="C2597" s="18">
        <v>98194</v>
      </c>
      <c r="D2597" s="2" t="s">
        <v>26</v>
      </c>
      <c r="E2597" s="15">
        <v>20475</v>
      </c>
      <c r="F2597" s="36" t="s">
        <v>336</v>
      </c>
      <c r="G2597" s="15">
        <v>20475</v>
      </c>
      <c r="H2597" s="15">
        <f t="shared" si="41"/>
        <v>0</v>
      </c>
      <c r="I2597" s="19"/>
    </row>
    <row r="2598" spans="1:9" x14ac:dyDescent="0.25">
      <c r="A2598" s="16">
        <v>42758</v>
      </c>
      <c r="B2598" s="17" t="s">
        <v>2974</v>
      </c>
      <c r="C2598" s="18">
        <v>98195</v>
      </c>
      <c r="D2598" s="2" t="s">
        <v>28</v>
      </c>
      <c r="E2598" s="15">
        <v>4400</v>
      </c>
      <c r="F2598" s="36" t="s">
        <v>336</v>
      </c>
      <c r="G2598" s="15">
        <v>4400</v>
      </c>
      <c r="H2598" s="15">
        <f t="shared" si="41"/>
        <v>0</v>
      </c>
      <c r="I2598" s="19"/>
    </row>
    <row r="2599" spans="1:9" x14ac:dyDescent="0.25">
      <c r="A2599" s="16">
        <v>42758</v>
      </c>
      <c r="B2599" s="17" t="s">
        <v>2975</v>
      </c>
      <c r="C2599" s="18">
        <v>98196</v>
      </c>
      <c r="D2599" s="2" t="s">
        <v>32</v>
      </c>
      <c r="E2599" s="15">
        <v>7250.5</v>
      </c>
      <c r="F2599" s="36" t="s">
        <v>2143</v>
      </c>
      <c r="G2599" s="15">
        <v>7250.5</v>
      </c>
      <c r="H2599" s="15">
        <f t="shared" si="41"/>
        <v>0</v>
      </c>
      <c r="I2599" s="19"/>
    </row>
    <row r="2600" spans="1:9" x14ac:dyDescent="0.25">
      <c r="A2600" s="16">
        <v>42758</v>
      </c>
      <c r="B2600" s="17" t="s">
        <v>2976</v>
      </c>
      <c r="C2600" s="18">
        <v>98197</v>
      </c>
      <c r="D2600" s="2" t="s">
        <v>35</v>
      </c>
      <c r="E2600" s="15">
        <v>10489</v>
      </c>
      <c r="F2600" s="36" t="s">
        <v>166</v>
      </c>
      <c r="G2600" s="15">
        <v>10489</v>
      </c>
      <c r="H2600" s="15">
        <f t="shared" si="41"/>
        <v>0</v>
      </c>
      <c r="I2600" s="19"/>
    </row>
    <row r="2601" spans="1:9" x14ac:dyDescent="0.25">
      <c r="A2601" s="16">
        <v>42758</v>
      </c>
      <c r="B2601" s="17" t="s">
        <v>2977</v>
      </c>
      <c r="C2601" s="18">
        <v>98198</v>
      </c>
      <c r="D2601" s="2" t="s">
        <v>2240</v>
      </c>
      <c r="E2601" s="15">
        <v>6982.6</v>
      </c>
      <c r="F2601" s="36" t="s">
        <v>336</v>
      </c>
      <c r="G2601" s="15">
        <v>6982.6</v>
      </c>
      <c r="H2601" s="15">
        <f t="shared" si="41"/>
        <v>0</v>
      </c>
      <c r="I2601" s="19"/>
    </row>
    <row r="2602" spans="1:9" x14ac:dyDescent="0.25">
      <c r="A2602" s="16">
        <v>42758</v>
      </c>
      <c r="B2602" s="17" t="s">
        <v>2978</v>
      </c>
      <c r="C2602" s="18">
        <v>98199</v>
      </c>
      <c r="D2602" s="2" t="s">
        <v>972</v>
      </c>
      <c r="E2602" s="15">
        <v>11124</v>
      </c>
      <c r="F2602" s="36" t="s">
        <v>336</v>
      </c>
      <c r="G2602" s="15">
        <v>11124</v>
      </c>
      <c r="H2602" s="15">
        <f t="shared" si="41"/>
        <v>0</v>
      </c>
      <c r="I2602" s="19"/>
    </row>
    <row r="2603" spans="1:9" x14ac:dyDescent="0.25">
      <c r="A2603" s="16">
        <v>42758</v>
      </c>
      <c r="B2603" s="17" t="s">
        <v>2979</v>
      </c>
      <c r="C2603" s="18">
        <v>98200</v>
      </c>
      <c r="D2603" s="2" t="s">
        <v>143</v>
      </c>
      <c r="E2603" s="15">
        <v>3344</v>
      </c>
      <c r="F2603" s="36" t="s">
        <v>336</v>
      </c>
      <c r="G2603" s="15">
        <v>3344</v>
      </c>
      <c r="H2603" s="15">
        <f t="shared" si="41"/>
        <v>0</v>
      </c>
      <c r="I2603" s="19"/>
    </row>
    <row r="2604" spans="1:9" x14ac:dyDescent="0.25">
      <c r="A2604" s="16">
        <v>42758</v>
      </c>
      <c r="B2604" s="17" t="s">
        <v>2980</v>
      </c>
      <c r="C2604" s="18">
        <v>98201</v>
      </c>
      <c r="D2604" s="2" t="s">
        <v>38</v>
      </c>
      <c r="E2604" s="15">
        <v>3298</v>
      </c>
      <c r="F2604" s="36" t="s">
        <v>1391</v>
      </c>
      <c r="G2604" s="15">
        <v>3298</v>
      </c>
      <c r="H2604" s="15">
        <f t="shared" si="41"/>
        <v>0</v>
      </c>
      <c r="I2604" s="19"/>
    </row>
    <row r="2605" spans="1:9" x14ac:dyDescent="0.25">
      <c r="A2605" s="16">
        <v>42758</v>
      </c>
      <c r="B2605" s="17" t="s">
        <v>2981</v>
      </c>
      <c r="C2605" s="18">
        <v>98202</v>
      </c>
      <c r="D2605" s="2" t="s">
        <v>264</v>
      </c>
      <c r="E2605" s="15">
        <v>6555.4</v>
      </c>
      <c r="F2605" s="36" t="s">
        <v>336</v>
      </c>
      <c r="G2605" s="15">
        <v>6555.4</v>
      </c>
      <c r="H2605" s="15">
        <f t="shared" si="41"/>
        <v>0</v>
      </c>
      <c r="I2605" s="19"/>
    </row>
    <row r="2606" spans="1:9" x14ac:dyDescent="0.25">
      <c r="A2606" s="16">
        <v>42758</v>
      </c>
      <c r="B2606" s="17" t="s">
        <v>2982</v>
      </c>
      <c r="C2606" s="18">
        <v>98203</v>
      </c>
      <c r="D2606" s="2" t="s">
        <v>49</v>
      </c>
      <c r="E2606" s="15">
        <v>11802</v>
      </c>
      <c r="F2606" s="36" t="s">
        <v>1391</v>
      </c>
      <c r="G2606" s="15">
        <v>11802</v>
      </c>
      <c r="H2606" s="15">
        <f t="shared" si="41"/>
        <v>0</v>
      </c>
      <c r="I2606" s="19"/>
    </row>
    <row r="2607" spans="1:9" x14ac:dyDescent="0.25">
      <c r="A2607" s="16">
        <v>42758</v>
      </c>
      <c r="B2607" s="17" t="s">
        <v>2983</v>
      </c>
      <c r="C2607" s="18">
        <v>98204</v>
      </c>
      <c r="D2607" s="2" t="s">
        <v>47</v>
      </c>
      <c r="E2607" s="15">
        <v>4860.8999999999996</v>
      </c>
      <c r="F2607" s="36" t="s">
        <v>336</v>
      </c>
      <c r="G2607" s="15">
        <v>4860.8999999999996</v>
      </c>
      <c r="H2607" s="15">
        <f t="shared" si="41"/>
        <v>0</v>
      </c>
      <c r="I2607" s="19"/>
    </row>
    <row r="2608" spans="1:9" x14ac:dyDescent="0.25">
      <c r="A2608" s="16">
        <v>42758</v>
      </c>
      <c r="B2608" s="17" t="s">
        <v>2984</v>
      </c>
      <c r="C2608" s="18">
        <v>98205</v>
      </c>
      <c r="D2608" s="2" t="s">
        <v>184</v>
      </c>
      <c r="E2608" s="15">
        <v>3283.2</v>
      </c>
      <c r="F2608" s="36" t="s">
        <v>336</v>
      </c>
      <c r="G2608" s="15">
        <v>3283.2</v>
      </c>
      <c r="H2608" s="15">
        <f t="shared" si="41"/>
        <v>0</v>
      </c>
      <c r="I2608" s="19"/>
    </row>
    <row r="2609" spans="1:9" x14ac:dyDescent="0.25">
      <c r="A2609" s="16">
        <v>42758</v>
      </c>
      <c r="B2609" s="17" t="s">
        <v>2985</v>
      </c>
      <c r="C2609" s="18">
        <v>98206</v>
      </c>
      <c r="D2609" s="2" t="s">
        <v>2986</v>
      </c>
      <c r="E2609" s="15">
        <v>3836.8</v>
      </c>
      <c r="F2609" s="36" t="s">
        <v>336</v>
      </c>
      <c r="G2609" s="15">
        <v>3836.8</v>
      </c>
      <c r="H2609" s="15">
        <f t="shared" si="41"/>
        <v>0</v>
      </c>
      <c r="I2609" s="19"/>
    </row>
    <row r="2610" spans="1:9" x14ac:dyDescent="0.25">
      <c r="A2610" s="16">
        <v>42758</v>
      </c>
      <c r="B2610" s="17" t="s">
        <v>2987</v>
      </c>
      <c r="C2610" s="18">
        <v>98207</v>
      </c>
      <c r="D2610" s="2" t="s">
        <v>71</v>
      </c>
      <c r="E2610" s="15">
        <v>2492</v>
      </c>
      <c r="F2610" s="36" t="s">
        <v>166</v>
      </c>
      <c r="G2610" s="15">
        <v>2492</v>
      </c>
      <c r="H2610" s="15">
        <f t="shared" si="41"/>
        <v>0</v>
      </c>
      <c r="I2610" s="19"/>
    </row>
    <row r="2611" spans="1:9" x14ac:dyDescent="0.25">
      <c r="A2611" s="16">
        <v>42758</v>
      </c>
      <c r="B2611" s="17" t="s">
        <v>2988</v>
      </c>
      <c r="C2611" s="18">
        <v>98208</v>
      </c>
      <c r="D2611" s="2" t="s">
        <v>186</v>
      </c>
      <c r="E2611" s="15">
        <v>3639.6</v>
      </c>
      <c r="F2611" s="36" t="s">
        <v>2143</v>
      </c>
      <c r="G2611" s="15">
        <v>3639.6</v>
      </c>
      <c r="H2611" s="15">
        <f t="shared" si="41"/>
        <v>0</v>
      </c>
      <c r="I2611" s="19"/>
    </row>
    <row r="2612" spans="1:9" x14ac:dyDescent="0.25">
      <c r="A2612" s="16">
        <v>42758</v>
      </c>
      <c r="B2612" s="17" t="s">
        <v>2989</v>
      </c>
      <c r="C2612" s="18">
        <v>98209</v>
      </c>
      <c r="D2612" s="2" t="s">
        <v>101</v>
      </c>
      <c r="E2612" s="15">
        <v>480</v>
      </c>
      <c r="F2612" s="36" t="s">
        <v>336</v>
      </c>
      <c r="G2612" s="15">
        <v>480</v>
      </c>
      <c r="H2612" s="15">
        <f t="shared" si="41"/>
        <v>0</v>
      </c>
      <c r="I2612" s="19"/>
    </row>
    <row r="2613" spans="1:9" x14ac:dyDescent="0.25">
      <c r="A2613" s="16">
        <v>42758</v>
      </c>
      <c r="B2613" s="17" t="s">
        <v>2990</v>
      </c>
      <c r="C2613" s="18">
        <v>98210</v>
      </c>
      <c r="D2613" s="2" t="s">
        <v>99</v>
      </c>
      <c r="E2613" s="15">
        <v>1680</v>
      </c>
      <c r="F2613" s="36" t="s">
        <v>336</v>
      </c>
      <c r="G2613" s="15">
        <v>1680</v>
      </c>
      <c r="H2613" s="15">
        <f t="shared" si="41"/>
        <v>0</v>
      </c>
      <c r="I2613" s="19"/>
    </row>
    <row r="2614" spans="1:9" x14ac:dyDescent="0.25">
      <c r="A2614" s="16">
        <v>42758</v>
      </c>
      <c r="B2614" s="17" t="s">
        <v>2991</v>
      </c>
      <c r="C2614" s="18">
        <v>98211</v>
      </c>
      <c r="D2614" s="2" t="s">
        <v>281</v>
      </c>
      <c r="E2614" s="15">
        <v>1320</v>
      </c>
      <c r="F2614" s="36" t="s">
        <v>336</v>
      </c>
      <c r="G2614" s="15">
        <v>1320</v>
      </c>
      <c r="H2614" s="15">
        <f t="shared" si="41"/>
        <v>0</v>
      </c>
      <c r="I2614" s="19"/>
    </row>
    <row r="2615" spans="1:9" x14ac:dyDescent="0.25">
      <c r="A2615" s="16">
        <v>42758</v>
      </c>
      <c r="B2615" s="17" t="s">
        <v>2992</v>
      </c>
      <c r="C2615" s="18">
        <v>98212</v>
      </c>
      <c r="D2615" s="2" t="s">
        <v>428</v>
      </c>
      <c r="E2615" s="15">
        <v>1809.6</v>
      </c>
      <c r="F2615" s="36" t="s">
        <v>1391</v>
      </c>
      <c r="G2615" s="15">
        <v>1809.6</v>
      </c>
      <c r="H2615" s="15">
        <f t="shared" si="41"/>
        <v>0</v>
      </c>
      <c r="I2615" s="19"/>
    </row>
    <row r="2616" spans="1:9" x14ac:dyDescent="0.25">
      <c r="A2616" s="16">
        <v>42758</v>
      </c>
      <c r="B2616" s="17" t="s">
        <v>2993</v>
      </c>
      <c r="C2616" s="18">
        <v>98213</v>
      </c>
      <c r="D2616" s="2" t="s">
        <v>218</v>
      </c>
      <c r="E2616" s="15">
        <v>120756.9</v>
      </c>
      <c r="F2616" s="36" t="s">
        <v>307</v>
      </c>
      <c r="G2616" s="15">
        <v>120756.9</v>
      </c>
      <c r="H2616" s="15">
        <f t="shared" si="41"/>
        <v>0</v>
      </c>
      <c r="I2616" s="19"/>
    </row>
    <row r="2617" spans="1:9" x14ac:dyDescent="0.25">
      <c r="A2617" s="16">
        <v>42758</v>
      </c>
      <c r="B2617" s="17" t="s">
        <v>2994</v>
      </c>
      <c r="C2617" s="18">
        <v>98214</v>
      </c>
      <c r="D2617" s="2" t="s">
        <v>83</v>
      </c>
      <c r="E2617" s="15">
        <v>7510.2</v>
      </c>
      <c r="F2617" s="36" t="s">
        <v>336</v>
      </c>
      <c r="G2617" s="15">
        <v>7510.2</v>
      </c>
      <c r="H2617" s="15">
        <f t="shared" si="41"/>
        <v>0</v>
      </c>
      <c r="I2617" s="19"/>
    </row>
    <row r="2618" spans="1:9" x14ac:dyDescent="0.25">
      <c r="A2618" s="16">
        <v>42758</v>
      </c>
      <c r="B2618" s="17" t="s">
        <v>2995</v>
      </c>
      <c r="C2618" s="18">
        <v>98215</v>
      </c>
      <c r="D2618" s="2" t="s">
        <v>253</v>
      </c>
      <c r="E2618" s="15">
        <v>4557</v>
      </c>
      <c r="F2618" s="36" t="s">
        <v>765</v>
      </c>
      <c r="G2618" s="15">
        <v>4557</v>
      </c>
      <c r="H2618" s="15">
        <f t="shared" si="41"/>
        <v>0</v>
      </c>
      <c r="I2618" s="19"/>
    </row>
    <row r="2619" spans="1:9" x14ac:dyDescent="0.25">
      <c r="A2619" s="16">
        <v>42758</v>
      </c>
      <c r="B2619" s="17" t="s">
        <v>2996</v>
      </c>
      <c r="C2619" s="18">
        <v>98216</v>
      </c>
      <c r="D2619" s="2" t="s">
        <v>2997</v>
      </c>
      <c r="E2619" s="15">
        <v>658.9</v>
      </c>
      <c r="F2619" s="36" t="s">
        <v>336</v>
      </c>
      <c r="G2619" s="15">
        <v>658.9</v>
      </c>
      <c r="H2619" s="15">
        <f t="shared" si="41"/>
        <v>0</v>
      </c>
      <c r="I2619" s="19"/>
    </row>
    <row r="2620" spans="1:9" x14ac:dyDescent="0.25">
      <c r="A2620" s="16">
        <v>42758</v>
      </c>
      <c r="B2620" s="17" t="s">
        <v>2998</v>
      </c>
      <c r="C2620" s="18">
        <v>98217</v>
      </c>
      <c r="D2620" s="2" t="s">
        <v>773</v>
      </c>
      <c r="E2620" s="15">
        <v>2819.7</v>
      </c>
      <c r="F2620" s="36" t="s">
        <v>336</v>
      </c>
      <c r="G2620" s="15">
        <v>2819.7</v>
      </c>
      <c r="H2620" s="15">
        <f t="shared" si="41"/>
        <v>0</v>
      </c>
      <c r="I2620" s="19"/>
    </row>
    <row r="2621" spans="1:9" x14ac:dyDescent="0.25">
      <c r="A2621" s="16">
        <v>42758</v>
      </c>
      <c r="B2621" s="17" t="s">
        <v>2999</v>
      </c>
      <c r="C2621" s="18">
        <v>98218</v>
      </c>
      <c r="D2621" s="2" t="s">
        <v>409</v>
      </c>
      <c r="E2621" s="15">
        <v>5958</v>
      </c>
      <c r="F2621" s="124" t="s">
        <v>2768</v>
      </c>
      <c r="G2621" s="20">
        <f>2000+3958</f>
        <v>5958</v>
      </c>
      <c r="H2621" s="20">
        <f t="shared" si="41"/>
        <v>0</v>
      </c>
      <c r="I2621" s="19"/>
    </row>
    <row r="2622" spans="1:9" x14ac:dyDescent="0.25">
      <c r="A2622" s="16">
        <v>42758</v>
      </c>
      <c r="B2622" s="17" t="s">
        <v>3000</v>
      </c>
      <c r="C2622" s="18">
        <v>98219</v>
      </c>
      <c r="D2622" s="2" t="s">
        <v>613</v>
      </c>
      <c r="E2622" s="15">
        <v>2925.3</v>
      </c>
      <c r="F2622" s="36" t="s">
        <v>336</v>
      </c>
      <c r="G2622" s="15">
        <v>2925.3</v>
      </c>
      <c r="H2622" s="15">
        <f t="shared" si="41"/>
        <v>0</v>
      </c>
      <c r="I2622" s="19"/>
    </row>
    <row r="2623" spans="1:9" x14ac:dyDescent="0.25">
      <c r="A2623" s="16">
        <v>42758</v>
      </c>
      <c r="B2623" s="17" t="s">
        <v>3001</v>
      </c>
      <c r="C2623" s="18">
        <v>98220</v>
      </c>
      <c r="D2623" s="2" t="s">
        <v>1081</v>
      </c>
      <c r="E2623" s="15">
        <v>3218.44</v>
      </c>
      <c r="F2623" s="36" t="s">
        <v>336</v>
      </c>
      <c r="G2623" s="15">
        <v>3218.44</v>
      </c>
      <c r="H2623" s="15">
        <f t="shared" si="41"/>
        <v>0</v>
      </c>
      <c r="I2623" s="19"/>
    </row>
    <row r="2624" spans="1:9" x14ac:dyDescent="0.25">
      <c r="A2624" s="16">
        <v>42758</v>
      </c>
      <c r="B2624" s="17" t="s">
        <v>3002</v>
      </c>
      <c r="C2624" s="18">
        <v>98221</v>
      </c>
      <c r="D2624" s="2" t="s">
        <v>291</v>
      </c>
      <c r="E2624" s="15">
        <v>2136.4</v>
      </c>
      <c r="F2624" s="36" t="s">
        <v>336</v>
      </c>
      <c r="G2624" s="15">
        <v>2136.4</v>
      </c>
      <c r="H2624" s="15">
        <f t="shared" si="41"/>
        <v>0</v>
      </c>
      <c r="I2624" s="19"/>
    </row>
    <row r="2625" spans="1:9" x14ac:dyDescent="0.25">
      <c r="A2625" s="16">
        <v>42758</v>
      </c>
      <c r="B2625" s="17" t="s">
        <v>3003</v>
      </c>
      <c r="C2625" s="18">
        <v>98222</v>
      </c>
      <c r="D2625" s="2" t="s">
        <v>43</v>
      </c>
      <c r="E2625" s="15">
        <v>6726.8</v>
      </c>
      <c r="F2625" s="36" t="s">
        <v>2274</v>
      </c>
      <c r="G2625" s="15">
        <v>6726.8</v>
      </c>
      <c r="H2625" s="15">
        <f t="shared" si="41"/>
        <v>0</v>
      </c>
      <c r="I2625" s="19"/>
    </row>
    <row r="2626" spans="1:9" x14ac:dyDescent="0.25">
      <c r="A2626" s="16">
        <v>42758</v>
      </c>
      <c r="B2626" s="17" t="s">
        <v>3004</v>
      </c>
      <c r="C2626" s="18">
        <v>98223</v>
      </c>
      <c r="D2626" s="2" t="s">
        <v>92</v>
      </c>
      <c r="E2626" s="15">
        <v>2512.8000000000002</v>
      </c>
      <c r="F2626" s="36" t="s">
        <v>336</v>
      </c>
      <c r="G2626" s="15">
        <v>2512.8000000000002</v>
      </c>
      <c r="H2626" s="15">
        <f t="shared" si="41"/>
        <v>0</v>
      </c>
      <c r="I2626" s="19"/>
    </row>
    <row r="2627" spans="1:9" x14ac:dyDescent="0.25">
      <c r="A2627" s="16">
        <v>42758</v>
      </c>
      <c r="B2627" s="17" t="s">
        <v>3005</v>
      </c>
      <c r="C2627" s="18">
        <v>98224</v>
      </c>
      <c r="D2627" s="2" t="s">
        <v>448</v>
      </c>
      <c r="E2627" s="15">
        <v>421.2</v>
      </c>
      <c r="F2627" s="36" t="s">
        <v>336</v>
      </c>
      <c r="G2627" s="15">
        <v>421.2</v>
      </c>
      <c r="H2627" s="15">
        <f t="shared" si="41"/>
        <v>0</v>
      </c>
      <c r="I2627" s="19"/>
    </row>
    <row r="2628" spans="1:9" x14ac:dyDescent="0.25">
      <c r="A2628" s="16">
        <v>42758</v>
      </c>
      <c r="B2628" s="17" t="s">
        <v>3006</v>
      </c>
      <c r="C2628" s="18">
        <v>98225</v>
      </c>
      <c r="D2628" s="2" t="s">
        <v>30</v>
      </c>
      <c r="E2628" s="15">
        <v>720</v>
      </c>
      <c r="F2628" s="36" t="s">
        <v>336</v>
      </c>
      <c r="G2628" s="15">
        <v>720</v>
      </c>
      <c r="H2628" s="15">
        <f t="shared" si="41"/>
        <v>0</v>
      </c>
      <c r="I2628" s="19"/>
    </row>
    <row r="2629" spans="1:9" x14ac:dyDescent="0.25">
      <c r="A2629" s="16">
        <v>42758</v>
      </c>
      <c r="B2629" s="17" t="s">
        <v>3007</v>
      </c>
      <c r="C2629" s="18">
        <v>98226</v>
      </c>
      <c r="D2629" s="2" t="s">
        <v>105</v>
      </c>
      <c r="E2629" s="15">
        <v>3769.2</v>
      </c>
      <c r="F2629" s="36" t="s">
        <v>2274</v>
      </c>
      <c r="G2629" s="15">
        <v>3769.2</v>
      </c>
      <c r="H2629" s="15">
        <f t="shared" si="41"/>
        <v>0</v>
      </c>
      <c r="I2629" s="19"/>
    </row>
    <row r="2630" spans="1:9" x14ac:dyDescent="0.25">
      <c r="A2630" s="16">
        <v>42758</v>
      </c>
      <c r="B2630" s="17" t="s">
        <v>3008</v>
      </c>
      <c r="C2630" s="18">
        <v>98227</v>
      </c>
      <c r="D2630" s="2" t="s">
        <v>103</v>
      </c>
      <c r="E2630" s="15">
        <v>3931.2</v>
      </c>
      <c r="F2630" s="36" t="s">
        <v>1391</v>
      </c>
      <c r="G2630" s="15">
        <v>3931.2</v>
      </c>
      <c r="H2630" s="15">
        <f t="shared" ref="H2630:H2693" si="42">E2630-G2630</f>
        <v>0</v>
      </c>
      <c r="I2630" s="19"/>
    </row>
    <row r="2631" spans="1:9" x14ac:dyDescent="0.25">
      <c r="A2631" s="16">
        <v>42758</v>
      </c>
      <c r="B2631" s="17" t="s">
        <v>3009</v>
      </c>
      <c r="C2631" s="18">
        <v>98228</v>
      </c>
      <c r="D2631" s="2" t="s">
        <v>21</v>
      </c>
      <c r="E2631" s="15">
        <v>48604.5</v>
      </c>
      <c r="F2631" s="36" t="s">
        <v>1889</v>
      </c>
      <c r="G2631" s="15">
        <v>48604.5</v>
      </c>
      <c r="H2631" s="15">
        <f t="shared" si="42"/>
        <v>0</v>
      </c>
      <c r="I2631" s="19"/>
    </row>
    <row r="2632" spans="1:9" x14ac:dyDescent="0.25">
      <c r="A2632" s="16">
        <v>42758</v>
      </c>
      <c r="B2632" s="17" t="s">
        <v>3010</v>
      </c>
      <c r="C2632" s="18">
        <v>98229</v>
      </c>
      <c r="D2632" s="2" t="s">
        <v>109</v>
      </c>
      <c r="E2632" s="15">
        <v>4005.9</v>
      </c>
      <c r="F2632" s="36" t="s">
        <v>336</v>
      </c>
      <c r="G2632" s="15">
        <v>4005.9</v>
      </c>
      <c r="H2632" s="15">
        <f t="shared" si="42"/>
        <v>0</v>
      </c>
      <c r="I2632" s="19"/>
    </row>
    <row r="2633" spans="1:9" x14ac:dyDescent="0.25">
      <c r="A2633" s="16">
        <v>42758</v>
      </c>
      <c r="B2633" s="17" t="s">
        <v>3011</v>
      </c>
      <c r="C2633" s="18">
        <v>98230</v>
      </c>
      <c r="D2633" s="2" t="s">
        <v>293</v>
      </c>
      <c r="E2633" s="15">
        <v>382.2</v>
      </c>
      <c r="F2633" s="36" t="s">
        <v>336</v>
      </c>
      <c r="G2633" s="15">
        <v>382.2</v>
      </c>
      <c r="H2633" s="15">
        <f t="shared" si="42"/>
        <v>0</v>
      </c>
      <c r="I2633" s="19"/>
    </row>
    <row r="2634" spans="1:9" x14ac:dyDescent="0.25">
      <c r="A2634" s="16">
        <v>42758</v>
      </c>
      <c r="B2634" s="17" t="s">
        <v>3012</v>
      </c>
      <c r="C2634" s="18">
        <v>98231</v>
      </c>
      <c r="D2634" s="2" t="s">
        <v>67</v>
      </c>
      <c r="E2634" s="15">
        <v>4537.6000000000004</v>
      </c>
      <c r="F2634" s="36" t="s">
        <v>2274</v>
      </c>
      <c r="G2634" s="15">
        <v>4537.6000000000004</v>
      </c>
      <c r="H2634" s="15">
        <f t="shared" si="42"/>
        <v>0</v>
      </c>
      <c r="I2634" s="19"/>
    </row>
    <row r="2635" spans="1:9" x14ac:dyDescent="0.25">
      <c r="A2635" s="16">
        <v>42758</v>
      </c>
      <c r="B2635" s="17" t="s">
        <v>3013</v>
      </c>
      <c r="C2635" s="18">
        <v>98232</v>
      </c>
      <c r="D2635" s="2" t="s">
        <v>442</v>
      </c>
      <c r="E2635" s="15">
        <v>4011</v>
      </c>
      <c r="F2635" s="36" t="s">
        <v>2143</v>
      </c>
      <c r="G2635" s="15">
        <v>4011</v>
      </c>
      <c r="H2635" s="15">
        <f t="shared" si="42"/>
        <v>0</v>
      </c>
      <c r="I2635" s="19"/>
    </row>
    <row r="2636" spans="1:9" x14ac:dyDescent="0.25">
      <c r="A2636" s="16">
        <v>42758</v>
      </c>
      <c r="B2636" s="17" t="s">
        <v>3014</v>
      </c>
      <c r="C2636" s="18">
        <v>98233</v>
      </c>
      <c r="D2636" s="2" t="s">
        <v>268</v>
      </c>
      <c r="E2636" s="15">
        <v>23380.799999999999</v>
      </c>
      <c r="F2636" s="36" t="s">
        <v>2143</v>
      </c>
      <c r="G2636" s="15">
        <v>23380.799999999999</v>
      </c>
      <c r="H2636" s="15">
        <f t="shared" si="42"/>
        <v>0</v>
      </c>
      <c r="I2636" s="19"/>
    </row>
    <row r="2637" spans="1:9" x14ac:dyDescent="0.25">
      <c r="A2637" s="16">
        <v>42758</v>
      </c>
      <c r="B2637" s="17" t="s">
        <v>3015</v>
      </c>
      <c r="C2637" s="18">
        <v>98234</v>
      </c>
      <c r="D2637" s="2" t="s">
        <v>432</v>
      </c>
      <c r="E2637" s="15">
        <v>17915.400000000001</v>
      </c>
      <c r="F2637" s="36" t="s">
        <v>1391</v>
      </c>
      <c r="G2637" s="15">
        <v>17915.400000000001</v>
      </c>
      <c r="H2637" s="15">
        <f t="shared" si="42"/>
        <v>0</v>
      </c>
      <c r="I2637" s="19"/>
    </row>
    <row r="2638" spans="1:9" x14ac:dyDescent="0.25">
      <c r="A2638" s="16">
        <v>42758</v>
      </c>
      <c r="B2638" s="17" t="s">
        <v>3016</v>
      </c>
      <c r="C2638" s="18">
        <v>98235</v>
      </c>
      <c r="D2638" s="2" t="s">
        <v>30</v>
      </c>
      <c r="E2638" s="15">
        <v>387.1</v>
      </c>
      <c r="F2638" s="36" t="s">
        <v>336</v>
      </c>
      <c r="G2638" s="15">
        <v>387.1</v>
      </c>
      <c r="H2638" s="15">
        <f t="shared" si="42"/>
        <v>0</v>
      </c>
      <c r="I2638" s="19"/>
    </row>
    <row r="2639" spans="1:9" x14ac:dyDescent="0.25">
      <c r="A2639" s="16">
        <v>42758</v>
      </c>
      <c r="B2639" s="17" t="s">
        <v>3017</v>
      </c>
      <c r="C2639" s="18">
        <v>98236</v>
      </c>
      <c r="D2639" s="2" t="s">
        <v>85</v>
      </c>
      <c r="E2639" s="15">
        <v>15897.1</v>
      </c>
      <c r="F2639" s="124" t="s">
        <v>2768</v>
      </c>
      <c r="G2639" s="20">
        <f>13000+2897.1</f>
        <v>15897.1</v>
      </c>
      <c r="H2639" s="20">
        <f t="shared" si="42"/>
        <v>0</v>
      </c>
      <c r="I2639" s="19"/>
    </row>
    <row r="2640" spans="1:9" x14ac:dyDescent="0.25">
      <c r="A2640" s="16">
        <v>42758</v>
      </c>
      <c r="B2640" s="17" t="s">
        <v>3018</v>
      </c>
      <c r="C2640" s="18">
        <v>98237</v>
      </c>
      <c r="D2640" s="2" t="s">
        <v>1116</v>
      </c>
      <c r="E2640" s="15">
        <v>3469.6</v>
      </c>
      <c r="F2640" s="36" t="s">
        <v>2274</v>
      </c>
      <c r="G2640" s="15">
        <v>3469.6</v>
      </c>
      <c r="H2640" s="15">
        <f t="shared" si="42"/>
        <v>0</v>
      </c>
      <c r="I2640" s="19"/>
    </row>
    <row r="2641" spans="1:9" x14ac:dyDescent="0.25">
      <c r="A2641" s="16">
        <v>42758</v>
      </c>
      <c r="B2641" s="17" t="s">
        <v>3019</v>
      </c>
      <c r="C2641" s="18">
        <v>98238</v>
      </c>
      <c r="D2641" s="2" t="s">
        <v>272</v>
      </c>
      <c r="E2641" s="15">
        <v>4015</v>
      </c>
      <c r="F2641" s="36" t="s">
        <v>1391</v>
      </c>
      <c r="G2641" s="15">
        <v>4015</v>
      </c>
      <c r="H2641" s="15">
        <f t="shared" si="42"/>
        <v>0</v>
      </c>
      <c r="I2641" s="19"/>
    </row>
    <row r="2642" spans="1:9" x14ac:dyDescent="0.25">
      <c r="A2642" s="16">
        <v>42758</v>
      </c>
      <c r="B2642" s="17" t="s">
        <v>3020</v>
      </c>
      <c r="C2642" s="18">
        <v>98239</v>
      </c>
      <c r="D2642" s="2" t="s">
        <v>435</v>
      </c>
      <c r="E2642" s="15">
        <v>1108.8</v>
      </c>
      <c r="F2642" s="36" t="s">
        <v>1391</v>
      </c>
      <c r="G2642" s="15">
        <v>1108.8</v>
      </c>
      <c r="H2642" s="15">
        <f t="shared" si="42"/>
        <v>0</v>
      </c>
      <c r="I2642" s="19"/>
    </row>
    <row r="2643" spans="1:9" x14ac:dyDescent="0.25">
      <c r="A2643" s="16">
        <v>42758</v>
      </c>
      <c r="B2643" s="17" t="s">
        <v>3021</v>
      </c>
      <c r="C2643" s="18">
        <v>98240</v>
      </c>
      <c r="D2643" s="2" t="s">
        <v>103</v>
      </c>
      <c r="E2643" s="15">
        <v>121.6</v>
      </c>
      <c r="F2643" s="36" t="s">
        <v>2274</v>
      </c>
      <c r="G2643" s="15">
        <v>121.6</v>
      </c>
      <c r="H2643" s="15">
        <f t="shared" si="42"/>
        <v>0</v>
      </c>
      <c r="I2643" s="19"/>
    </row>
    <row r="2644" spans="1:9" x14ac:dyDescent="0.25">
      <c r="A2644" s="16">
        <v>42758</v>
      </c>
      <c r="B2644" s="17" t="s">
        <v>3022</v>
      </c>
      <c r="C2644" s="18">
        <v>98241</v>
      </c>
      <c r="D2644" s="2" t="s">
        <v>270</v>
      </c>
      <c r="E2644" s="15">
        <v>2802.6</v>
      </c>
      <c r="F2644" s="36" t="s">
        <v>1391</v>
      </c>
      <c r="G2644" s="15">
        <v>2802.6</v>
      </c>
      <c r="H2644" s="15">
        <f t="shared" si="42"/>
        <v>0</v>
      </c>
      <c r="I2644" s="19"/>
    </row>
    <row r="2645" spans="1:9" x14ac:dyDescent="0.25">
      <c r="A2645" s="16">
        <v>42758</v>
      </c>
      <c r="B2645" s="17" t="s">
        <v>3023</v>
      </c>
      <c r="C2645" s="18">
        <v>98242</v>
      </c>
      <c r="D2645" s="2" t="s">
        <v>670</v>
      </c>
      <c r="E2645" s="15">
        <v>64307.199999999997</v>
      </c>
      <c r="F2645" s="36" t="s">
        <v>1391</v>
      </c>
      <c r="G2645" s="15">
        <v>64307.199999999997</v>
      </c>
      <c r="H2645" s="15">
        <f t="shared" si="42"/>
        <v>0</v>
      </c>
      <c r="I2645" s="19"/>
    </row>
    <row r="2646" spans="1:9" x14ac:dyDescent="0.25">
      <c r="A2646" s="16">
        <v>42758</v>
      </c>
      <c r="B2646" s="17" t="s">
        <v>3024</v>
      </c>
      <c r="C2646" s="18">
        <v>98243</v>
      </c>
      <c r="D2646" s="2" t="s">
        <v>79</v>
      </c>
      <c r="E2646" s="15">
        <v>3384</v>
      </c>
      <c r="F2646" s="36" t="s">
        <v>336</v>
      </c>
      <c r="G2646" s="15">
        <v>3384</v>
      </c>
      <c r="H2646" s="15">
        <f t="shared" si="42"/>
        <v>0</v>
      </c>
      <c r="I2646" s="19"/>
    </row>
    <row r="2647" spans="1:9" x14ac:dyDescent="0.25">
      <c r="A2647" s="16">
        <v>42758</v>
      </c>
      <c r="B2647" s="17" t="s">
        <v>3025</v>
      </c>
      <c r="C2647" s="18">
        <v>98244</v>
      </c>
      <c r="D2647" s="2" t="s">
        <v>157</v>
      </c>
      <c r="E2647" s="15">
        <v>20208.2</v>
      </c>
      <c r="F2647" s="124" t="s">
        <v>3026</v>
      </c>
      <c r="G2647" s="20">
        <f>17208+3000.2</f>
        <v>20208.2</v>
      </c>
      <c r="H2647" s="20">
        <f t="shared" si="42"/>
        <v>0</v>
      </c>
      <c r="I2647" s="19"/>
    </row>
    <row r="2648" spans="1:9" x14ac:dyDescent="0.25">
      <c r="A2648" s="16">
        <v>42758</v>
      </c>
      <c r="B2648" s="17" t="s">
        <v>3027</v>
      </c>
      <c r="C2648" s="18">
        <v>98245</v>
      </c>
      <c r="D2648" s="2" t="s">
        <v>85</v>
      </c>
      <c r="E2648" s="15">
        <v>4386</v>
      </c>
      <c r="F2648" s="36" t="s">
        <v>166</v>
      </c>
      <c r="G2648" s="15">
        <v>4386</v>
      </c>
      <c r="H2648" s="15">
        <f t="shared" si="42"/>
        <v>0</v>
      </c>
      <c r="I2648" s="19"/>
    </row>
    <row r="2649" spans="1:9" x14ac:dyDescent="0.25">
      <c r="A2649" s="16">
        <v>42758</v>
      </c>
      <c r="B2649" s="17" t="s">
        <v>3028</v>
      </c>
      <c r="C2649" s="18">
        <v>98246</v>
      </c>
      <c r="D2649" s="2" t="s">
        <v>155</v>
      </c>
      <c r="E2649" s="15">
        <v>24810.2</v>
      </c>
      <c r="F2649" s="36" t="s">
        <v>2143</v>
      </c>
      <c r="G2649" s="15">
        <v>24810.2</v>
      </c>
      <c r="H2649" s="15">
        <f t="shared" si="42"/>
        <v>0</v>
      </c>
      <c r="I2649" s="19"/>
    </row>
    <row r="2650" spans="1:9" x14ac:dyDescent="0.25">
      <c r="A2650" s="16">
        <v>42758</v>
      </c>
      <c r="B2650" s="17" t="s">
        <v>3029</v>
      </c>
      <c r="C2650" s="18">
        <v>98247</v>
      </c>
      <c r="D2650" s="2" t="s">
        <v>145</v>
      </c>
      <c r="E2650" s="15">
        <v>16863.599999999999</v>
      </c>
      <c r="F2650" s="36" t="s">
        <v>166</v>
      </c>
      <c r="G2650" s="15">
        <v>16863.599999999999</v>
      </c>
      <c r="H2650" s="15">
        <f t="shared" si="42"/>
        <v>0</v>
      </c>
      <c r="I2650" s="19"/>
    </row>
    <row r="2651" spans="1:9" x14ac:dyDescent="0.25">
      <c r="A2651" s="16">
        <v>42758</v>
      </c>
      <c r="B2651" s="17" t="s">
        <v>3030</v>
      </c>
      <c r="C2651" s="18">
        <v>98248</v>
      </c>
      <c r="D2651" s="2" t="s">
        <v>2128</v>
      </c>
      <c r="E2651" s="15">
        <v>6084</v>
      </c>
      <c r="F2651" s="36" t="s">
        <v>166</v>
      </c>
      <c r="G2651" s="15">
        <v>6084</v>
      </c>
      <c r="H2651" s="15">
        <f t="shared" si="42"/>
        <v>0</v>
      </c>
      <c r="I2651" s="19"/>
    </row>
    <row r="2652" spans="1:9" x14ac:dyDescent="0.25">
      <c r="A2652" s="16">
        <v>42758</v>
      </c>
      <c r="B2652" s="17" t="s">
        <v>3031</v>
      </c>
      <c r="C2652" s="18">
        <v>98249</v>
      </c>
      <c r="D2652" s="2" t="s">
        <v>161</v>
      </c>
      <c r="E2652" s="15">
        <v>50864</v>
      </c>
      <c r="F2652" s="36" t="s">
        <v>2724</v>
      </c>
      <c r="G2652" s="15">
        <v>50864</v>
      </c>
      <c r="H2652" s="15">
        <f t="shared" si="42"/>
        <v>0</v>
      </c>
      <c r="I2652" s="19"/>
    </row>
    <row r="2653" spans="1:9" x14ac:dyDescent="0.25">
      <c r="A2653" s="16">
        <v>42758</v>
      </c>
      <c r="B2653" s="17" t="s">
        <v>3032</v>
      </c>
      <c r="C2653" s="18">
        <v>98250</v>
      </c>
      <c r="D2653" s="2" t="s">
        <v>14</v>
      </c>
      <c r="E2653" s="15">
        <v>25370.799999999999</v>
      </c>
      <c r="F2653" s="36" t="s">
        <v>336</v>
      </c>
      <c r="G2653" s="15">
        <v>25370.799999999999</v>
      </c>
      <c r="H2653" s="15">
        <f t="shared" si="42"/>
        <v>0</v>
      </c>
      <c r="I2653" s="19"/>
    </row>
    <row r="2654" spans="1:9" x14ac:dyDescent="0.25">
      <c r="A2654" s="16">
        <v>42758</v>
      </c>
      <c r="B2654" s="17" t="s">
        <v>3033</v>
      </c>
      <c r="C2654" s="18">
        <v>98251</v>
      </c>
      <c r="D2654" s="2" t="s">
        <v>149</v>
      </c>
      <c r="E2654" s="15">
        <v>2342.5</v>
      </c>
      <c r="F2654" s="36" t="s">
        <v>336</v>
      </c>
      <c r="G2654" s="15">
        <v>2342.5</v>
      </c>
      <c r="H2654" s="15">
        <f t="shared" si="42"/>
        <v>0</v>
      </c>
      <c r="I2654" s="19"/>
    </row>
    <row r="2655" spans="1:9" x14ac:dyDescent="0.25">
      <c r="A2655" s="16">
        <v>42758</v>
      </c>
      <c r="B2655" s="17" t="s">
        <v>3034</v>
      </c>
      <c r="C2655" s="18">
        <v>98252</v>
      </c>
      <c r="D2655" s="2" t="s">
        <v>149</v>
      </c>
      <c r="E2655" s="15">
        <v>2908.4</v>
      </c>
      <c r="F2655" s="36" t="s">
        <v>336</v>
      </c>
      <c r="G2655" s="15">
        <v>2908.4</v>
      </c>
      <c r="H2655" s="15">
        <f t="shared" si="42"/>
        <v>0</v>
      </c>
      <c r="I2655" s="19"/>
    </row>
    <row r="2656" spans="1:9" x14ac:dyDescent="0.25">
      <c r="A2656" s="16">
        <v>42758</v>
      </c>
      <c r="B2656" s="17" t="s">
        <v>3035</v>
      </c>
      <c r="C2656" s="18">
        <v>98253</v>
      </c>
      <c r="D2656" s="2" t="s">
        <v>172</v>
      </c>
      <c r="E2656" s="15">
        <v>34868.6</v>
      </c>
      <c r="F2656" s="36" t="s">
        <v>765</v>
      </c>
      <c r="G2656" s="15">
        <v>34868.6</v>
      </c>
      <c r="H2656" s="15">
        <f t="shared" si="42"/>
        <v>0</v>
      </c>
      <c r="I2656" s="19"/>
    </row>
    <row r="2657" spans="1:9" x14ac:dyDescent="0.25">
      <c r="A2657" s="16">
        <v>42758</v>
      </c>
      <c r="B2657" s="17" t="s">
        <v>3036</v>
      </c>
      <c r="C2657" s="18">
        <v>98254</v>
      </c>
      <c r="D2657" s="2" t="s">
        <v>133</v>
      </c>
      <c r="E2657" s="15">
        <v>12705.54</v>
      </c>
      <c r="F2657" s="36" t="s">
        <v>1391</v>
      </c>
      <c r="G2657" s="15">
        <v>12705.54</v>
      </c>
      <c r="H2657" s="15">
        <f t="shared" si="42"/>
        <v>0</v>
      </c>
      <c r="I2657" s="19"/>
    </row>
    <row r="2658" spans="1:9" x14ac:dyDescent="0.25">
      <c r="A2658" s="16">
        <v>42758</v>
      </c>
      <c r="B2658" s="17" t="s">
        <v>3037</v>
      </c>
      <c r="C2658" s="18">
        <v>98255</v>
      </c>
      <c r="D2658" s="2" t="s">
        <v>457</v>
      </c>
      <c r="E2658" s="15">
        <v>4288.5</v>
      </c>
      <c r="F2658" s="36" t="s">
        <v>336</v>
      </c>
      <c r="G2658" s="15">
        <v>4288.5</v>
      </c>
      <c r="H2658" s="15">
        <f t="shared" si="42"/>
        <v>0</v>
      </c>
      <c r="I2658" s="19"/>
    </row>
    <row r="2659" spans="1:9" x14ac:dyDescent="0.25">
      <c r="A2659" s="16">
        <v>42758</v>
      </c>
      <c r="B2659" s="17" t="s">
        <v>3038</v>
      </c>
      <c r="C2659" s="18">
        <v>98256</v>
      </c>
      <c r="D2659" s="2" t="s">
        <v>94</v>
      </c>
      <c r="E2659" s="15">
        <v>4519.3</v>
      </c>
      <c r="F2659" s="36" t="s">
        <v>336</v>
      </c>
      <c r="G2659" s="15">
        <v>4519.3</v>
      </c>
      <c r="H2659" s="15">
        <f t="shared" si="42"/>
        <v>0</v>
      </c>
      <c r="I2659" s="19"/>
    </row>
    <row r="2660" spans="1:9" x14ac:dyDescent="0.25">
      <c r="A2660" s="16">
        <v>42758</v>
      </c>
      <c r="B2660" s="17" t="s">
        <v>3039</v>
      </c>
      <c r="C2660" s="18">
        <v>98257</v>
      </c>
      <c r="D2660" s="2" t="s">
        <v>163</v>
      </c>
      <c r="E2660" s="15">
        <v>23991.200000000001</v>
      </c>
      <c r="F2660" s="36" t="s">
        <v>765</v>
      </c>
      <c r="G2660" s="15">
        <v>23991.200000000001</v>
      </c>
      <c r="H2660" s="15">
        <f t="shared" si="42"/>
        <v>0</v>
      </c>
      <c r="I2660" s="19"/>
    </row>
    <row r="2661" spans="1:9" x14ac:dyDescent="0.25">
      <c r="A2661" s="16">
        <v>42758</v>
      </c>
      <c r="B2661" s="17" t="s">
        <v>3040</v>
      </c>
      <c r="C2661" s="18">
        <v>98258</v>
      </c>
      <c r="D2661" s="2" t="s">
        <v>165</v>
      </c>
      <c r="E2661" s="15">
        <v>11340.6</v>
      </c>
      <c r="F2661" s="36" t="s">
        <v>2724</v>
      </c>
      <c r="G2661" s="15">
        <v>11340.6</v>
      </c>
      <c r="H2661" s="15">
        <f t="shared" si="42"/>
        <v>0</v>
      </c>
      <c r="I2661" s="19"/>
    </row>
    <row r="2662" spans="1:9" x14ac:dyDescent="0.25">
      <c r="A2662" s="16">
        <v>42758</v>
      </c>
      <c r="B2662" s="17" t="s">
        <v>3041</v>
      </c>
      <c r="C2662" s="18">
        <v>98259</v>
      </c>
      <c r="D2662" s="2" t="s">
        <v>289</v>
      </c>
      <c r="E2662" s="15">
        <v>33530</v>
      </c>
      <c r="F2662" s="124" t="s">
        <v>3042</v>
      </c>
      <c r="G2662" s="20">
        <f>3949.64+29580.36</f>
        <v>33530</v>
      </c>
      <c r="H2662" s="20">
        <f t="shared" si="42"/>
        <v>0</v>
      </c>
      <c r="I2662" s="19"/>
    </row>
    <row r="2663" spans="1:9" x14ac:dyDescent="0.25">
      <c r="A2663" s="16">
        <v>42758</v>
      </c>
      <c r="B2663" s="17" t="s">
        <v>3043</v>
      </c>
      <c r="C2663" s="18">
        <v>98260</v>
      </c>
      <c r="D2663" s="2" t="s">
        <v>81</v>
      </c>
      <c r="E2663" s="15">
        <v>4731.2</v>
      </c>
      <c r="F2663" s="36" t="s">
        <v>2274</v>
      </c>
      <c r="G2663" s="15">
        <v>4731.2</v>
      </c>
      <c r="H2663" s="15">
        <f t="shared" si="42"/>
        <v>0</v>
      </c>
      <c r="I2663" s="19"/>
    </row>
    <row r="2664" spans="1:9" x14ac:dyDescent="0.25">
      <c r="A2664" s="16">
        <v>42758</v>
      </c>
      <c r="B2664" s="17" t="s">
        <v>3044</v>
      </c>
      <c r="C2664" s="18">
        <v>98261</v>
      </c>
      <c r="D2664" s="2" t="s">
        <v>182</v>
      </c>
      <c r="E2664" s="15">
        <v>4800</v>
      </c>
      <c r="F2664" s="36" t="s">
        <v>166</v>
      </c>
      <c r="G2664" s="15">
        <v>4800</v>
      </c>
      <c r="H2664" s="15">
        <f t="shared" si="42"/>
        <v>0</v>
      </c>
      <c r="I2664" s="19"/>
    </row>
    <row r="2665" spans="1:9" x14ac:dyDescent="0.25">
      <c r="A2665" s="16">
        <v>42758</v>
      </c>
      <c r="B2665" s="17" t="s">
        <v>3045</v>
      </c>
      <c r="C2665" s="18">
        <v>98262</v>
      </c>
      <c r="D2665" s="2" t="s">
        <v>305</v>
      </c>
      <c r="E2665" s="15">
        <v>6535.8</v>
      </c>
      <c r="F2665" s="36" t="s">
        <v>336</v>
      </c>
      <c r="G2665" s="15">
        <v>6535.8</v>
      </c>
      <c r="H2665" s="15">
        <f t="shared" si="42"/>
        <v>0</v>
      </c>
      <c r="I2665" s="19"/>
    </row>
    <row r="2666" spans="1:9" x14ac:dyDescent="0.25">
      <c r="A2666" s="16">
        <v>42758</v>
      </c>
      <c r="B2666" s="17" t="s">
        <v>3046</v>
      </c>
      <c r="C2666" s="18">
        <v>98263</v>
      </c>
      <c r="D2666" s="2" t="s">
        <v>476</v>
      </c>
      <c r="E2666" s="15">
        <v>15023.1</v>
      </c>
      <c r="F2666" s="36" t="s">
        <v>336</v>
      </c>
      <c r="G2666" s="15">
        <v>15023.1</v>
      </c>
      <c r="H2666" s="15">
        <f t="shared" si="42"/>
        <v>0</v>
      </c>
      <c r="I2666" s="19"/>
    </row>
    <row r="2667" spans="1:9" x14ac:dyDescent="0.25">
      <c r="A2667" s="16">
        <v>42758</v>
      </c>
      <c r="B2667" s="17" t="s">
        <v>3047</v>
      </c>
      <c r="C2667" s="18">
        <v>98264</v>
      </c>
      <c r="D2667" s="2" t="s">
        <v>1870</v>
      </c>
      <c r="E2667" s="15">
        <v>174.4</v>
      </c>
      <c r="F2667" s="36" t="s">
        <v>336</v>
      </c>
      <c r="G2667" s="15">
        <v>174.4</v>
      </c>
      <c r="H2667" s="15">
        <f t="shared" si="42"/>
        <v>0</v>
      </c>
      <c r="I2667" s="19"/>
    </row>
    <row r="2668" spans="1:9" x14ac:dyDescent="0.25">
      <c r="A2668" s="16">
        <v>42758</v>
      </c>
      <c r="B2668" s="17" t="s">
        <v>3048</v>
      </c>
      <c r="C2668" s="18">
        <v>98265</v>
      </c>
      <c r="D2668" s="2" t="s">
        <v>61</v>
      </c>
      <c r="E2668" s="15">
        <v>11991</v>
      </c>
      <c r="F2668" s="36" t="s">
        <v>166</v>
      </c>
      <c r="G2668" s="15">
        <v>11991</v>
      </c>
      <c r="H2668" s="15">
        <f t="shared" si="42"/>
        <v>0</v>
      </c>
      <c r="I2668" s="19"/>
    </row>
    <row r="2669" spans="1:9" x14ac:dyDescent="0.25">
      <c r="A2669" s="16">
        <v>42758</v>
      </c>
      <c r="B2669" s="17" t="s">
        <v>3049</v>
      </c>
      <c r="C2669" s="18">
        <v>98266</v>
      </c>
      <c r="D2669" s="2" t="s">
        <v>168</v>
      </c>
      <c r="E2669" s="15">
        <v>656.8</v>
      </c>
      <c r="F2669" s="36" t="s">
        <v>336</v>
      </c>
      <c r="G2669" s="15">
        <v>656.8</v>
      </c>
      <c r="H2669" s="15">
        <f t="shared" si="42"/>
        <v>0</v>
      </c>
      <c r="I2669" s="19"/>
    </row>
    <row r="2670" spans="1:9" x14ac:dyDescent="0.25">
      <c r="A2670" s="16">
        <v>42758</v>
      </c>
      <c r="B2670" s="17" t="s">
        <v>3050</v>
      </c>
      <c r="C2670" s="18">
        <v>98267</v>
      </c>
      <c r="D2670" s="2" t="s">
        <v>302</v>
      </c>
      <c r="E2670" s="15">
        <v>13012</v>
      </c>
      <c r="F2670" s="36" t="s">
        <v>336</v>
      </c>
      <c r="G2670" s="15">
        <v>13012</v>
      </c>
      <c r="H2670" s="15">
        <f t="shared" si="42"/>
        <v>0</v>
      </c>
      <c r="I2670" s="19"/>
    </row>
    <row r="2671" spans="1:9" x14ac:dyDescent="0.25">
      <c r="A2671" s="16">
        <v>42758</v>
      </c>
      <c r="B2671" s="17" t="s">
        <v>3051</v>
      </c>
      <c r="C2671" s="18">
        <v>98268</v>
      </c>
      <c r="D2671" s="2" t="s">
        <v>19</v>
      </c>
      <c r="E2671" s="15">
        <v>1200</v>
      </c>
      <c r="F2671" s="36" t="s">
        <v>166</v>
      </c>
      <c r="G2671" s="15">
        <v>1200</v>
      </c>
      <c r="H2671" s="15">
        <f t="shared" si="42"/>
        <v>0</v>
      </c>
      <c r="I2671" s="19"/>
    </row>
    <row r="2672" spans="1:9" x14ac:dyDescent="0.25">
      <c r="A2672" s="16">
        <v>42758</v>
      </c>
      <c r="B2672" s="17" t="s">
        <v>3052</v>
      </c>
      <c r="C2672" s="18">
        <v>98269</v>
      </c>
      <c r="D2672" s="2" t="s">
        <v>57</v>
      </c>
      <c r="E2672" s="15">
        <v>480</v>
      </c>
      <c r="F2672" s="36" t="s">
        <v>166</v>
      </c>
      <c r="G2672" s="15">
        <v>480</v>
      </c>
      <c r="H2672" s="15">
        <f t="shared" si="42"/>
        <v>0</v>
      </c>
      <c r="I2672" s="19"/>
    </row>
    <row r="2673" spans="1:9" x14ac:dyDescent="0.25">
      <c r="A2673" s="16">
        <v>42758</v>
      </c>
      <c r="B2673" s="17" t="s">
        <v>3053</v>
      </c>
      <c r="C2673" s="18">
        <v>98270</v>
      </c>
      <c r="D2673" s="2" t="s">
        <v>356</v>
      </c>
      <c r="E2673" s="15">
        <v>14898.6</v>
      </c>
      <c r="F2673" s="36" t="s">
        <v>166</v>
      </c>
      <c r="G2673" s="15">
        <v>14898.6</v>
      </c>
      <c r="H2673" s="15">
        <f t="shared" si="42"/>
        <v>0</v>
      </c>
      <c r="I2673" s="19"/>
    </row>
    <row r="2674" spans="1:9" x14ac:dyDescent="0.25">
      <c r="A2674" s="16">
        <v>42758</v>
      </c>
      <c r="B2674" s="17" t="s">
        <v>3054</v>
      </c>
      <c r="C2674" s="18">
        <v>98271</v>
      </c>
      <c r="D2674" s="2" t="s">
        <v>193</v>
      </c>
      <c r="E2674" s="15">
        <v>2011.6</v>
      </c>
      <c r="F2674" s="36" t="s">
        <v>166</v>
      </c>
      <c r="G2674" s="15">
        <v>2011.6</v>
      </c>
      <c r="H2674" s="15">
        <f t="shared" si="42"/>
        <v>0</v>
      </c>
      <c r="I2674" s="19"/>
    </row>
    <row r="2675" spans="1:9" x14ac:dyDescent="0.25">
      <c r="A2675" s="16">
        <v>42758</v>
      </c>
      <c r="B2675" s="17" t="s">
        <v>3055</v>
      </c>
      <c r="C2675" s="18">
        <v>98272</v>
      </c>
      <c r="D2675" s="2" t="s">
        <v>53</v>
      </c>
      <c r="E2675" s="15">
        <v>3302.8</v>
      </c>
      <c r="F2675" s="36" t="s">
        <v>166</v>
      </c>
      <c r="G2675" s="15">
        <v>3302.8</v>
      </c>
      <c r="H2675" s="15">
        <f t="shared" si="42"/>
        <v>0</v>
      </c>
      <c r="I2675" s="19"/>
    </row>
    <row r="2676" spans="1:9" x14ac:dyDescent="0.25">
      <c r="A2676" s="16">
        <v>42758</v>
      </c>
      <c r="B2676" s="17" t="s">
        <v>3056</v>
      </c>
      <c r="C2676" s="18">
        <v>98273</v>
      </c>
      <c r="D2676" s="2" t="s">
        <v>55</v>
      </c>
      <c r="E2676" s="15">
        <v>5220.7</v>
      </c>
      <c r="F2676" s="36" t="s">
        <v>336</v>
      </c>
      <c r="G2676" s="15">
        <v>5220.7</v>
      </c>
      <c r="H2676" s="15">
        <f t="shared" si="42"/>
        <v>0</v>
      </c>
      <c r="I2676" s="19"/>
    </row>
    <row r="2677" spans="1:9" x14ac:dyDescent="0.25">
      <c r="A2677" s="16">
        <v>42758</v>
      </c>
      <c r="B2677" s="17" t="s">
        <v>3057</v>
      </c>
      <c r="C2677" s="18">
        <v>98274</v>
      </c>
      <c r="D2677" s="2" t="s">
        <v>563</v>
      </c>
      <c r="E2677" s="15">
        <v>3485.2</v>
      </c>
      <c r="F2677" s="36" t="s">
        <v>336</v>
      </c>
      <c r="G2677" s="15">
        <v>3485.2</v>
      </c>
      <c r="H2677" s="15">
        <f t="shared" si="42"/>
        <v>0</v>
      </c>
      <c r="I2677" s="19"/>
    </row>
    <row r="2678" spans="1:9" x14ac:dyDescent="0.25">
      <c r="A2678" s="16">
        <v>42758</v>
      </c>
      <c r="B2678" s="17" t="s">
        <v>3058</v>
      </c>
      <c r="C2678" s="18">
        <v>98275</v>
      </c>
      <c r="D2678" s="2" t="s">
        <v>10</v>
      </c>
      <c r="E2678" s="15">
        <v>200976.44</v>
      </c>
      <c r="F2678" s="36" t="s">
        <v>166</v>
      </c>
      <c r="G2678" s="15">
        <v>200976.44</v>
      </c>
      <c r="H2678" s="15">
        <f t="shared" si="42"/>
        <v>0</v>
      </c>
      <c r="I2678" s="19"/>
    </row>
    <row r="2679" spans="1:9" x14ac:dyDescent="0.25">
      <c r="A2679" s="16">
        <v>42758</v>
      </c>
      <c r="B2679" s="17" t="s">
        <v>3059</v>
      </c>
      <c r="C2679" s="18">
        <v>98276</v>
      </c>
      <c r="D2679" s="2" t="s">
        <v>10</v>
      </c>
      <c r="E2679" s="15">
        <v>30694.34</v>
      </c>
      <c r="F2679" s="36" t="s">
        <v>166</v>
      </c>
      <c r="G2679" s="15">
        <v>30694.34</v>
      </c>
      <c r="H2679" s="15">
        <f t="shared" si="42"/>
        <v>0</v>
      </c>
      <c r="I2679" s="19"/>
    </row>
    <row r="2680" spans="1:9" x14ac:dyDescent="0.25">
      <c r="A2680" s="16">
        <v>42758</v>
      </c>
      <c r="B2680" s="17" t="s">
        <v>3060</v>
      </c>
      <c r="C2680" s="18">
        <v>98277</v>
      </c>
      <c r="D2680" s="2" t="s">
        <v>45</v>
      </c>
      <c r="E2680" s="15">
        <v>4610.2</v>
      </c>
      <c r="F2680" s="36" t="s">
        <v>166</v>
      </c>
      <c r="G2680" s="15">
        <v>4610.2</v>
      </c>
      <c r="H2680" s="15">
        <f t="shared" si="42"/>
        <v>0</v>
      </c>
      <c r="I2680" s="19"/>
    </row>
    <row r="2681" spans="1:9" x14ac:dyDescent="0.25">
      <c r="A2681" s="16">
        <v>42758</v>
      </c>
      <c r="B2681" s="17" t="s">
        <v>3061</v>
      </c>
      <c r="C2681" s="18">
        <v>98278</v>
      </c>
      <c r="D2681" s="2" t="s">
        <v>236</v>
      </c>
      <c r="E2681" s="15">
        <v>4057.9</v>
      </c>
      <c r="F2681" s="36" t="s">
        <v>2166</v>
      </c>
      <c r="G2681" s="15">
        <v>4057.9</v>
      </c>
      <c r="H2681" s="15">
        <f t="shared" si="42"/>
        <v>0</v>
      </c>
      <c r="I2681" s="19"/>
    </row>
    <row r="2682" spans="1:9" x14ac:dyDescent="0.25">
      <c r="A2682" s="16">
        <v>42758</v>
      </c>
      <c r="B2682" s="17" t="s">
        <v>3062</v>
      </c>
      <c r="C2682" s="18">
        <v>98279</v>
      </c>
      <c r="D2682" s="2" t="s">
        <v>341</v>
      </c>
      <c r="E2682" s="15">
        <v>9486.7999999999993</v>
      </c>
      <c r="F2682" s="36" t="s">
        <v>336</v>
      </c>
      <c r="G2682" s="15">
        <v>9486.7999999999993</v>
      </c>
      <c r="H2682" s="15">
        <f t="shared" si="42"/>
        <v>0</v>
      </c>
      <c r="I2682" s="19"/>
    </row>
    <row r="2683" spans="1:9" x14ac:dyDescent="0.25">
      <c r="A2683" s="16">
        <v>42758</v>
      </c>
      <c r="B2683" s="17" t="s">
        <v>3063</v>
      </c>
      <c r="C2683" s="18">
        <v>98280</v>
      </c>
      <c r="D2683" s="2" t="s">
        <v>1573</v>
      </c>
      <c r="E2683" s="15">
        <v>225</v>
      </c>
      <c r="F2683" s="36" t="s">
        <v>3064</v>
      </c>
      <c r="G2683" s="15">
        <v>225</v>
      </c>
      <c r="H2683" s="15">
        <f t="shared" si="42"/>
        <v>0</v>
      </c>
      <c r="I2683" s="19"/>
    </row>
    <row r="2684" spans="1:9" x14ac:dyDescent="0.25">
      <c r="A2684" s="16">
        <v>42758</v>
      </c>
      <c r="B2684" s="17" t="s">
        <v>3065</v>
      </c>
      <c r="C2684" s="18">
        <v>98281</v>
      </c>
      <c r="D2684" s="2" t="s">
        <v>30</v>
      </c>
      <c r="E2684" s="15">
        <v>950.6</v>
      </c>
      <c r="F2684" s="36" t="s">
        <v>336</v>
      </c>
      <c r="G2684" s="15">
        <v>950.6</v>
      </c>
      <c r="H2684" s="15">
        <f t="shared" si="42"/>
        <v>0</v>
      </c>
      <c r="I2684" s="19"/>
    </row>
    <row r="2685" spans="1:9" x14ac:dyDescent="0.25">
      <c r="A2685" s="16">
        <v>42758</v>
      </c>
      <c r="B2685" s="17" t="s">
        <v>3066</v>
      </c>
      <c r="C2685" s="18">
        <v>98282</v>
      </c>
      <c r="D2685" s="2" t="s">
        <v>428</v>
      </c>
      <c r="E2685" s="15">
        <v>1192.8</v>
      </c>
      <c r="F2685" s="36" t="s">
        <v>2143</v>
      </c>
      <c r="G2685" s="15">
        <v>1192.8</v>
      </c>
      <c r="H2685" s="15">
        <f t="shared" si="42"/>
        <v>0</v>
      </c>
      <c r="I2685" s="19"/>
    </row>
    <row r="2686" spans="1:9" x14ac:dyDescent="0.25">
      <c r="A2686" s="16">
        <v>42758</v>
      </c>
      <c r="B2686" s="17" t="s">
        <v>3067</v>
      </c>
      <c r="C2686" s="18">
        <v>98283</v>
      </c>
      <c r="D2686" s="2" t="s">
        <v>352</v>
      </c>
      <c r="E2686" s="15">
        <v>2008</v>
      </c>
      <c r="F2686" s="36" t="s">
        <v>336</v>
      </c>
      <c r="G2686" s="15">
        <v>2008</v>
      </c>
      <c r="H2686" s="15">
        <f t="shared" si="42"/>
        <v>0</v>
      </c>
      <c r="I2686" s="19"/>
    </row>
    <row r="2687" spans="1:9" x14ac:dyDescent="0.25">
      <c r="A2687" s="16">
        <v>42758</v>
      </c>
      <c r="B2687" s="17" t="s">
        <v>3068</v>
      </c>
      <c r="C2687" s="18">
        <v>98284</v>
      </c>
      <c r="D2687" s="2" t="s">
        <v>141</v>
      </c>
      <c r="E2687" s="15">
        <v>8505.4</v>
      </c>
      <c r="F2687" s="36" t="s">
        <v>336</v>
      </c>
      <c r="G2687" s="15">
        <v>8505.4</v>
      </c>
      <c r="H2687" s="15">
        <f t="shared" si="42"/>
        <v>0</v>
      </c>
      <c r="I2687" s="19"/>
    </row>
    <row r="2688" spans="1:9" x14ac:dyDescent="0.25">
      <c r="A2688" s="16">
        <v>42758</v>
      </c>
      <c r="B2688" s="17" t="s">
        <v>3069</v>
      </c>
      <c r="C2688" s="18">
        <v>98285</v>
      </c>
      <c r="D2688" s="2" t="s">
        <v>1830</v>
      </c>
      <c r="E2688" s="15">
        <v>4659.2</v>
      </c>
      <c r="F2688" s="36" t="s">
        <v>336</v>
      </c>
      <c r="G2688" s="15">
        <v>4659.2</v>
      </c>
      <c r="H2688" s="15">
        <f t="shared" si="42"/>
        <v>0</v>
      </c>
      <c r="I2688" s="19"/>
    </row>
    <row r="2689" spans="1:9" x14ac:dyDescent="0.25">
      <c r="A2689" s="16">
        <v>42758</v>
      </c>
      <c r="B2689" s="17" t="s">
        <v>3070</v>
      </c>
      <c r="C2689" s="18">
        <v>98286</v>
      </c>
      <c r="D2689" s="2" t="s">
        <v>367</v>
      </c>
      <c r="E2689" s="15">
        <v>1350</v>
      </c>
      <c r="F2689" s="36" t="s">
        <v>336</v>
      </c>
      <c r="G2689" s="15">
        <v>1350</v>
      </c>
      <c r="H2689" s="15">
        <f t="shared" si="42"/>
        <v>0</v>
      </c>
      <c r="I2689" s="19"/>
    </row>
    <row r="2690" spans="1:9" x14ac:dyDescent="0.25">
      <c r="A2690" s="16">
        <v>42758</v>
      </c>
      <c r="B2690" s="17" t="s">
        <v>3071</v>
      </c>
      <c r="C2690" s="18">
        <v>98287</v>
      </c>
      <c r="D2690" s="2" t="s">
        <v>367</v>
      </c>
      <c r="E2690" s="15">
        <v>900</v>
      </c>
      <c r="F2690" s="36" t="s">
        <v>336</v>
      </c>
      <c r="G2690" s="15">
        <v>900</v>
      </c>
      <c r="H2690" s="15">
        <f t="shared" si="42"/>
        <v>0</v>
      </c>
      <c r="I2690" s="19"/>
    </row>
    <row r="2691" spans="1:9" x14ac:dyDescent="0.25">
      <c r="A2691" s="16">
        <v>42758</v>
      </c>
      <c r="B2691" s="17" t="s">
        <v>3072</v>
      </c>
      <c r="C2691" s="18">
        <v>98288</v>
      </c>
      <c r="D2691" s="2" t="s">
        <v>30</v>
      </c>
      <c r="E2691" s="15">
        <v>545.4</v>
      </c>
      <c r="F2691" s="36" t="s">
        <v>336</v>
      </c>
      <c r="G2691" s="15">
        <v>545.4</v>
      </c>
      <c r="H2691" s="15">
        <f t="shared" si="42"/>
        <v>0</v>
      </c>
      <c r="I2691" s="19"/>
    </row>
    <row r="2692" spans="1:9" x14ac:dyDescent="0.25">
      <c r="A2692" s="16">
        <v>42758</v>
      </c>
      <c r="B2692" s="17" t="s">
        <v>3073</v>
      </c>
      <c r="C2692" s="18">
        <v>98289</v>
      </c>
      <c r="D2692" s="2" t="s">
        <v>30</v>
      </c>
      <c r="E2692" s="15">
        <v>515.70000000000005</v>
      </c>
      <c r="F2692" s="36" t="s">
        <v>336</v>
      </c>
      <c r="G2692" s="15">
        <v>515.70000000000005</v>
      </c>
      <c r="H2692" s="15">
        <f t="shared" si="42"/>
        <v>0</v>
      </c>
      <c r="I2692" s="19"/>
    </row>
    <row r="2693" spans="1:9" x14ac:dyDescent="0.25">
      <c r="A2693" s="16">
        <v>42758</v>
      </c>
      <c r="B2693" s="17" t="s">
        <v>3074</v>
      </c>
      <c r="C2693" s="18">
        <v>98290</v>
      </c>
      <c r="D2693" s="2" t="s">
        <v>10</v>
      </c>
      <c r="E2693" s="15">
        <v>114093.1</v>
      </c>
      <c r="F2693" s="124" t="s">
        <v>3075</v>
      </c>
      <c r="G2693" s="20">
        <f>55525.67+58567.43</f>
        <v>114093.1</v>
      </c>
      <c r="H2693" s="20">
        <f t="shared" si="42"/>
        <v>0</v>
      </c>
      <c r="I2693" s="19"/>
    </row>
    <row r="2694" spans="1:9" x14ac:dyDescent="0.25">
      <c r="A2694" s="16">
        <v>42758</v>
      </c>
      <c r="B2694" s="17" t="s">
        <v>3076</v>
      </c>
      <c r="C2694" s="18">
        <v>98291</v>
      </c>
      <c r="D2694" s="2" t="s">
        <v>531</v>
      </c>
      <c r="E2694" s="15">
        <v>32924.5</v>
      </c>
      <c r="F2694" s="36" t="s">
        <v>2274</v>
      </c>
      <c r="G2694" s="15">
        <v>32924.5</v>
      </c>
      <c r="H2694" s="15">
        <f t="shared" ref="H2694:H2757" si="43">E2694-G2694</f>
        <v>0</v>
      </c>
      <c r="I2694" s="19"/>
    </row>
    <row r="2695" spans="1:9" x14ac:dyDescent="0.25">
      <c r="A2695" s="16">
        <v>42758</v>
      </c>
      <c r="B2695" s="17" t="s">
        <v>3077</v>
      </c>
      <c r="C2695" s="18">
        <v>98292</v>
      </c>
      <c r="D2695" s="2" t="s">
        <v>147</v>
      </c>
      <c r="E2695" s="15">
        <v>85237.6</v>
      </c>
      <c r="F2695" s="36" t="s">
        <v>2274</v>
      </c>
      <c r="G2695" s="15">
        <v>85237.6</v>
      </c>
      <c r="H2695" s="15">
        <f t="shared" si="43"/>
        <v>0</v>
      </c>
      <c r="I2695" s="19"/>
    </row>
    <row r="2696" spans="1:9" x14ac:dyDescent="0.25">
      <c r="A2696" s="16">
        <v>42758</v>
      </c>
      <c r="B2696" s="17" t="s">
        <v>3078</v>
      </c>
      <c r="C2696" s="18">
        <v>98293</v>
      </c>
      <c r="D2696" s="2" t="s">
        <v>220</v>
      </c>
      <c r="E2696" s="15">
        <v>1917</v>
      </c>
      <c r="F2696" s="36" t="s">
        <v>336</v>
      </c>
      <c r="G2696" s="15">
        <v>1917</v>
      </c>
      <c r="H2696" s="15">
        <f t="shared" si="43"/>
        <v>0</v>
      </c>
      <c r="I2696" s="19"/>
    </row>
    <row r="2697" spans="1:9" x14ac:dyDescent="0.25">
      <c r="A2697" s="16">
        <v>42758</v>
      </c>
      <c r="B2697" s="17" t="s">
        <v>3079</v>
      </c>
      <c r="C2697" s="18">
        <v>98294</v>
      </c>
      <c r="D2697" s="2" t="s">
        <v>236</v>
      </c>
      <c r="E2697" s="15">
        <v>48854.35</v>
      </c>
      <c r="F2697" s="36" t="s">
        <v>2166</v>
      </c>
      <c r="G2697" s="15">
        <v>48854.35</v>
      </c>
      <c r="H2697" s="15">
        <f t="shared" si="43"/>
        <v>0</v>
      </c>
      <c r="I2697" s="19"/>
    </row>
    <row r="2698" spans="1:9" x14ac:dyDescent="0.25">
      <c r="A2698" s="16">
        <v>42758</v>
      </c>
      <c r="B2698" s="17" t="s">
        <v>3080</v>
      </c>
      <c r="C2698" s="18">
        <v>98295</v>
      </c>
      <c r="D2698" s="2" t="s">
        <v>1594</v>
      </c>
      <c r="E2698" s="15">
        <v>64389.5</v>
      </c>
      <c r="F2698" s="36" t="s">
        <v>2009</v>
      </c>
      <c r="G2698" s="15">
        <v>64389.5</v>
      </c>
      <c r="H2698" s="15">
        <f t="shared" si="43"/>
        <v>0</v>
      </c>
      <c r="I2698" s="19"/>
    </row>
    <row r="2699" spans="1:9" x14ac:dyDescent="0.25">
      <c r="A2699" s="16">
        <v>42758</v>
      </c>
      <c r="B2699" s="17" t="s">
        <v>3081</v>
      </c>
      <c r="C2699" s="18">
        <v>98296</v>
      </c>
      <c r="D2699" s="2" t="s">
        <v>231</v>
      </c>
      <c r="E2699" s="15">
        <v>12044.9</v>
      </c>
      <c r="F2699" s="36" t="s">
        <v>2274</v>
      </c>
      <c r="G2699" s="15">
        <v>12044.9</v>
      </c>
      <c r="H2699" s="15">
        <f t="shared" si="43"/>
        <v>0</v>
      </c>
      <c r="I2699" s="19"/>
    </row>
    <row r="2700" spans="1:9" x14ac:dyDescent="0.25">
      <c r="A2700" s="16">
        <v>42758</v>
      </c>
      <c r="B2700" s="17" t="s">
        <v>3082</v>
      </c>
      <c r="C2700" s="18">
        <v>98297</v>
      </c>
      <c r="D2700" s="2" t="s">
        <v>316</v>
      </c>
      <c r="E2700" s="15">
        <v>28437.3</v>
      </c>
      <c r="F2700" s="36" t="s">
        <v>307</v>
      </c>
      <c r="G2700" s="15">
        <v>28437.3</v>
      </c>
      <c r="H2700" s="15">
        <f t="shared" si="43"/>
        <v>0</v>
      </c>
      <c r="I2700" s="19"/>
    </row>
    <row r="2701" spans="1:9" x14ac:dyDescent="0.25">
      <c r="A2701" s="16">
        <v>42758</v>
      </c>
      <c r="B2701" s="17" t="s">
        <v>3083</v>
      </c>
      <c r="C2701" s="18">
        <v>98298</v>
      </c>
      <c r="D2701" s="2" t="s">
        <v>675</v>
      </c>
      <c r="E2701" s="15">
        <v>1465.1</v>
      </c>
      <c r="F2701" s="36" t="s">
        <v>1391</v>
      </c>
      <c r="G2701" s="15">
        <v>1465.1</v>
      </c>
      <c r="H2701" s="15">
        <f t="shared" si="43"/>
        <v>0</v>
      </c>
      <c r="I2701" s="19"/>
    </row>
    <row r="2702" spans="1:9" x14ac:dyDescent="0.25">
      <c r="A2702" s="16">
        <v>42758</v>
      </c>
      <c r="B2702" s="17" t="s">
        <v>3084</v>
      </c>
      <c r="C2702" s="18">
        <v>98299</v>
      </c>
      <c r="D2702" s="2" t="s">
        <v>680</v>
      </c>
      <c r="E2702" s="15">
        <v>3294.4</v>
      </c>
      <c r="F2702" s="36" t="s">
        <v>1391</v>
      </c>
      <c r="G2702" s="15">
        <v>3294.4</v>
      </c>
      <c r="H2702" s="15">
        <f t="shared" si="43"/>
        <v>0</v>
      </c>
      <c r="I2702" s="19"/>
    </row>
    <row r="2703" spans="1:9" x14ac:dyDescent="0.25">
      <c r="A2703" s="16">
        <v>42758</v>
      </c>
      <c r="B2703" s="17" t="s">
        <v>3085</v>
      </c>
      <c r="C2703" s="18">
        <v>98300</v>
      </c>
      <c r="D2703" s="2" t="s">
        <v>43</v>
      </c>
      <c r="E2703" s="15">
        <v>770</v>
      </c>
      <c r="F2703" s="36" t="s">
        <v>2274</v>
      </c>
      <c r="G2703" s="15">
        <v>770</v>
      </c>
      <c r="H2703" s="15">
        <f t="shared" si="43"/>
        <v>0</v>
      </c>
      <c r="I2703" s="19"/>
    </row>
    <row r="2704" spans="1:9" x14ac:dyDescent="0.25">
      <c r="A2704" s="16">
        <v>42758</v>
      </c>
      <c r="B2704" s="17" t="s">
        <v>3086</v>
      </c>
      <c r="C2704" s="18">
        <v>98301</v>
      </c>
      <c r="D2704" s="2" t="s">
        <v>8</v>
      </c>
      <c r="E2704" s="15">
        <v>4051.5</v>
      </c>
      <c r="F2704" s="36" t="s">
        <v>2274</v>
      </c>
      <c r="G2704" s="15">
        <v>4051.5</v>
      </c>
      <c r="H2704" s="15">
        <f t="shared" si="43"/>
        <v>0</v>
      </c>
      <c r="I2704" s="19"/>
    </row>
    <row r="2705" spans="1:9" x14ac:dyDescent="0.25">
      <c r="A2705" s="16">
        <v>42758</v>
      </c>
      <c r="B2705" s="17" t="s">
        <v>3087</v>
      </c>
      <c r="C2705" s="18">
        <v>98302</v>
      </c>
      <c r="D2705" s="2" t="s">
        <v>354</v>
      </c>
      <c r="E2705" s="15">
        <v>718.6</v>
      </c>
      <c r="F2705" s="36" t="s">
        <v>336</v>
      </c>
      <c r="G2705" s="15">
        <v>718.6</v>
      </c>
      <c r="H2705" s="15">
        <f t="shared" si="43"/>
        <v>0</v>
      </c>
      <c r="I2705" s="19"/>
    </row>
    <row r="2706" spans="1:9" x14ac:dyDescent="0.25">
      <c r="A2706" s="16">
        <v>42758</v>
      </c>
      <c r="B2706" s="17" t="s">
        <v>3088</v>
      </c>
      <c r="C2706" s="18">
        <v>98303</v>
      </c>
      <c r="D2706" s="2" t="s">
        <v>670</v>
      </c>
      <c r="E2706" s="15">
        <v>54169.2</v>
      </c>
      <c r="F2706" s="36" t="s">
        <v>1391</v>
      </c>
      <c r="G2706" s="15">
        <v>54169.2</v>
      </c>
      <c r="H2706" s="15">
        <f t="shared" si="43"/>
        <v>0</v>
      </c>
      <c r="I2706" s="19"/>
    </row>
    <row r="2707" spans="1:9" x14ac:dyDescent="0.25">
      <c r="A2707" s="16">
        <v>42758</v>
      </c>
      <c r="B2707" s="17" t="s">
        <v>3089</v>
      </c>
      <c r="C2707" s="18">
        <v>98304</v>
      </c>
      <c r="D2707" s="2" t="s">
        <v>688</v>
      </c>
      <c r="E2707" s="15">
        <v>10226.200000000001</v>
      </c>
      <c r="F2707" s="36" t="s">
        <v>1391</v>
      </c>
      <c r="G2707" s="15">
        <v>10226.200000000001</v>
      </c>
      <c r="H2707" s="15">
        <f t="shared" si="43"/>
        <v>0</v>
      </c>
      <c r="I2707" s="19"/>
    </row>
    <row r="2708" spans="1:9" x14ac:dyDescent="0.25">
      <c r="A2708" s="16">
        <v>42758</v>
      </c>
      <c r="B2708" s="17" t="s">
        <v>3090</v>
      </c>
      <c r="C2708" s="18">
        <v>98305</v>
      </c>
      <c r="D2708" s="2" t="s">
        <v>921</v>
      </c>
      <c r="E2708" s="15">
        <v>2668.6</v>
      </c>
      <c r="F2708" s="36" t="s">
        <v>336</v>
      </c>
      <c r="G2708" s="15">
        <v>2668.6</v>
      </c>
      <c r="H2708" s="15">
        <f t="shared" si="43"/>
        <v>0</v>
      </c>
      <c r="I2708" s="19"/>
    </row>
    <row r="2709" spans="1:9" x14ac:dyDescent="0.25">
      <c r="A2709" s="16">
        <v>42758</v>
      </c>
      <c r="B2709" s="17" t="s">
        <v>3091</v>
      </c>
      <c r="C2709" s="18">
        <v>98306</v>
      </c>
      <c r="D2709" s="2" t="s">
        <v>673</v>
      </c>
      <c r="E2709" s="15">
        <v>12262.6</v>
      </c>
      <c r="F2709" s="36" t="s">
        <v>1391</v>
      </c>
      <c r="G2709" s="15">
        <v>12262.6</v>
      </c>
      <c r="H2709" s="15">
        <f t="shared" si="43"/>
        <v>0</v>
      </c>
      <c r="I2709" s="19"/>
    </row>
    <row r="2710" spans="1:9" x14ac:dyDescent="0.25">
      <c r="A2710" s="16">
        <v>42758</v>
      </c>
      <c r="B2710" s="17" t="s">
        <v>3092</v>
      </c>
      <c r="C2710" s="18">
        <v>98307</v>
      </c>
      <c r="D2710" s="2" t="s">
        <v>1598</v>
      </c>
      <c r="E2710" s="15">
        <v>4413.2</v>
      </c>
      <c r="F2710" s="36" t="s">
        <v>1391</v>
      </c>
      <c r="G2710" s="15">
        <v>4413.2</v>
      </c>
      <c r="H2710" s="15">
        <f t="shared" si="43"/>
        <v>0</v>
      </c>
      <c r="I2710" s="19"/>
    </row>
    <row r="2711" spans="1:9" x14ac:dyDescent="0.25">
      <c r="A2711" s="16">
        <v>42758</v>
      </c>
      <c r="B2711" s="17" t="s">
        <v>3093</v>
      </c>
      <c r="C2711" s="18">
        <v>98308</v>
      </c>
      <c r="D2711" s="2" t="s">
        <v>677</v>
      </c>
      <c r="E2711" s="15">
        <v>1917</v>
      </c>
      <c r="F2711" s="36" t="s">
        <v>1391</v>
      </c>
      <c r="G2711" s="15">
        <v>1917</v>
      </c>
      <c r="H2711" s="15">
        <f t="shared" si="43"/>
        <v>0</v>
      </c>
      <c r="I2711" s="19"/>
    </row>
    <row r="2712" spans="1:9" x14ac:dyDescent="0.25">
      <c r="A2712" s="16">
        <v>42758</v>
      </c>
      <c r="B2712" s="17" t="s">
        <v>3094</v>
      </c>
      <c r="C2712" s="18">
        <v>98309</v>
      </c>
      <c r="D2712" s="2" t="s">
        <v>3095</v>
      </c>
      <c r="E2712" s="15">
        <v>80096</v>
      </c>
      <c r="F2712" s="36" t="s">
        <v>2274</v>
      </c>
      <c r="G2712" s="15">
        <v>80096</v>
      </c>
      <c r="H2712" s="15">
        <f t="shared" si="43"/>
        <v>0</v>
      </c>
      <c r="I2712" s="19"/>
    </row>
    <row r="2713" spans="1:9" x14ac:dyDescent="0.25">
      <c r="A2713" s="16">
        <v>42758</v>
      </c>
      <c r="B2713" s="17" t="s">
        <v>3096</v>
      </c>
      <c r="C2713" s="18">
        <v>98310</v>
      </c>
      <c r="D2713" s="2" t="s">
        <v>622</v>
      </c>
      <c r="E2713" s="15">
        <v>22935</v>
      </c>
      <c r="F2713" s="36" t="s">
        <v>166</v>
      </c>
      <c r="G2713" s="15">
        <v>22935</v>
      </c>
      <c r="H2713" s="15">
        <f t="shared" si="43"/>
        <v>0</v>
      </c>
      <c r="I2713" s="19"/>
    </row>
    <row r="2714" spans="1:9" x14ac:dyDescent="0.25">
      <c r="A2714" s="16">
        <v>42758</v>
      </c>
      <c r="B2714" s="17" t="s">
        <v>3097</v>
      </c>
      <c r="C2714" s="18">
        <v>98311</v>
      </c>
      <c r="D2714" s="2" t="s">
        <v>682</v>
      </c>
      <c r="E2714" s="15">
        <v>6174.5</v>
      </c>
      <c r="F2714" s="36" t="s">
        <v>1391</v>
      </c>
      <c r="G2714" s="15">
        <v>6174.5</v>
      </c>
      <c r="H2714" s="15">
        <f t="shared" si="43"/>
        <v>0</v>
      </c>
      <c r="I2714" s="19"/>
    </row>
    <row r="2715" spans="1:9" x14ac:dyDescent="0.25">
      <c r="A2715" s="16">
        <v>42758</v>
      </c>
      <c r="B2715" s="17" t="s">
        <v>3098</v>
      </c>
      <c r="C2715" s="18">
        <v>98312</v>
      </c>
      <c r="D2715" s="2" t="s">
        <v>1197</v>
      </c>
      <c r="E2715" s="15">
        <v>3927.6</v>
      </c>
      <c r="F2715" s="36" t="s">
        <v>1391</v>
      </c>
      <c r="G2715" s="15">
        <v>3927.6</v>
      </c>
      <c r="H2715" s="15">
        <f t="shared" si="43"/>
        <v>0</v>
      </c>
      <c r="I2715" s="19"/>
    </row>
    <row r="2716" spans="1:9" x14ac:dyDescent="0.25">
      <c r="A2716" s="16">
        <v>42758</v>
      </c>
      <c r="B2716" s="17" t="s">
        <v>3099</v>
      </c>
      <c r="C2716" s="18">
        <v>98313</v>
      </c>
      <c r="D2716" s="2" t="s">
        <v>686</v>
      </c>
      <c r="E2716" s="15">
        <v>21247.4</v>
      </c>
      <c r="F2716" s="36" t="s">
        <v>1391</v>
      </c>
      <c r="G2716" s="15">
        <v>21247.4</v>
      </c>
      <c r="H2716" s="15">
        <f t="shared" si="43"/>
        <v>0</v>
      </c>
      <c r="I2716" s="19"/>
    </row>
    <row r="2717" spans="1:9" x14ac:dyDescent="0.25">
      <c r="A2717" s="16">
        <v>42758</v>
      </c>
      <c r="B2717" s="17" t="s">
        <v>3100</v>
      </c>
      <c r="C2717" s="18">
        <v>98314</v>
      </c>
      <c r="D2717" s="2" t="s">
        <v>1199</v>
      </c>
      <c r="E2717" s="15">
        <v>16237.06</v>
      </c>
      <c r="F2717" s="36" t="s">
        <v>765</v>
      </c>
      <c r="G2717" s="15">
        <v>16237.06</v>
      </c>
      <c r="H2717" s="15">
        <f t="shared" si="43"/>
        <v>0</v>
      </c>
      <c r="I2717" s="19"/>
    </row>
    <row r="2718" spans="1:9" x14ac:dyDescent="0.25">
      <c r="A2718" s="16">
        <v>42758</v>
      </c>
      <c r="B2718" s="17" t="s">
        <v>3101</v>
      </c>
      <c r="C2718" s="18">
        <v>98315</v>
      </c>
      <c r="D2718" s="2" t="s">
        <v>2240</v>
      </c>
      <c r="E2718" s="15">
        <v>5051.1000000000004</v>
      </c>
      <c r="F2718" s="36" t="s">
        <v>336</v>
      </c>
      <c r="G2718" s="15">
        <v>5051.1000000000004</v>
      </c>
      <c r="H2718" s="15">
        <f t="shared" si="43"/>
        <v>0</v>
      </c>
      <c r="I2718" s="19"/>
    </row>
    <row r="2719" spans="1:9" x14ac:dyDescent="0.25">
      <c r="A2719" s="16">
        <v>42758</v>
      </c>
      <c r="B2719" s="17" t="s">
        <v>3102</v>
      </c>
      <c r="C2719" s="18">
        <v>98316</v>
      </c>
      <c r="D2719" s="2" t="s">
        <v>2240</v>
      </c>
      <c r="E2719" s="15">
        <v>243.2</v>
      </c>
      <c r="F2719" s="36" t="s">
        <v>336</v>
      </c>
      <c r="G2719" s="15">
        <v>243.2</v>
      </c>
      <c r="H2719" s="15">
        <f t="shared" si="43"/>
        <v>0</v>
      </c>
      <c r="I2719" s="19"/>
    </row>
    <row r="2720" spans="1:9" x14ac:dyDescent="0.25">
      <c r="A2720" s="16">
        <v>42758</v>
      </c>
      <c r="B2720" s="17" t="s">
        <v>3103</v>
      </c>
      <c r="C2720" s="18">
        <v>98317</v>
      </c>
      <c r="D2720" s="2" t="s">
        <v>813</v>
      </c>
      <c r="E2720" s="15">
        <v>903.6</v>
      </c>
      <c r="F2720" s="36" t="s">
        <v>336</v>
      </c>
      <c r="G2720" s="15">
        <v>903.6</v>
      </c>
      <c r="H2720" s="15">
        <f t="shared" si="43"/>
        <v>0</v>
      </c>
      <c r="I2720" s="19"/>
    </row>
    <row r="2721" spans="1:9" x14ac:dyDescent="0.25">
      <c r="A2721" s="16">
        <v>42759</v>
      </c>
      <c r="B2721" s="17" t="s">
        <v>3104</v>
      </c>
      <c r="C2721" s="18">
        <v>98318</v>
      </c>
      <c r="D2721" s="2" t="s">
        <v>231</v>
      </c>
      <c r="E2721" s="15">
        <v>10590</v>
      </c>
      <c r="F2721" s="36" t="s">
        <v>166</v>
      </c>
      <c r="G2721" s="15">
        <v>10590</v>
      </c>
      <c r="H2721" s="15">
        <f t="shared" si="43"/>
        <v>0</v>
      </c>
      <c r="I2721" s="19"/>
    </row>
    <row r="2722" spans="1:9" x14ac:dyDescent="0.25">
      <c r="A2722" s="16">
        <v>42759</v>
      </c>
      <c r="B2722" s="17" t="s">
        <v>3105</v>
      </c>
      <c r="C2722" s="18">
        <v>98319</v>
      </c>
      <c r="D2722" s="2" t="s">
        <v>231</v>
      </c>
      <c r="E2722" s="15">
        <v>42050.8</v>
      </c>
      <c r="F2722" s="36" t="s">
        <v>1391</v>
      </c>
      <c r="G2722" s="15">
        <v>42050.8</v>
      </c>
      <c r="H2722" s="15">
        <f t="shared" si="43"/>
        <v>0</v>
      </c>
      <c r="I2722" s="19"/>
    </row>
    <row r="2723" spans="1:9" x14ac:dyDescent="0.25">
      <c r="A2723" s="16">
        <v>42759</v>
      </c>
      <c r="B2723" s="17" t="s">
        <v>3106</v>
      </c>
      <c r="C2723" s="18">
        <v>98320</v>
      </c>
      <c r="D2723" s="2" t="s">
        <v>1786</v>
      </c>
      <c r="E2723" s="15">
        <v>10735.2</v>
      </c>
      <c r="F2723" s="36" t="s">
        <v>2274</v>
      </c>
      <c r="G2723" s="15">
        <v>10735.2</v>
      </c>
      <c r="H2723" s="15">
        <f t="shared" si="43"/>
        <v>0</v>
      </c>
      <c r="I2723" s="19"/>
    </row>
    <row r="2724" spans="1:9" x14ac:dyDescent="0.25">
      <c r="A2724" s="16">
        <v>42759</v>
      </c>
      <c r="B2724" s="17" t="s">
        <v>3107</v>
      </c>
      <c r="C2724" s="18">
        <v>98321</v>
      </c>
      <c r="D2724" s="2" t="s">
        <v>26</v>
      </c>
      <c r="E2724" s="15">
        <v>24163.200000000001</v>
      </c>
      <c r="F2724" s="36" t="s">
        <v>2274</v>
      </c>
      <c r="G2724" s="15">
        <v>24163.200000000001</v>
      </c>
      <c r="H2724" s="15">
        <f t="shared" si="43"/>
        <v>0</v>
      </c>
      <c r="I2724" s="19"/>
    </row>
    <row r="2725" spans="1:9" x14ac:dyDescent="0.25">
      <c r="A2725" s="16">
        <v>42759</v>
      </c>
      <c r="B2725" s="17" t="s">
        <v>3108</v>
      </c>
      <c r="C2725" s="18">
        <v>98322</v>
      </c>
      <c r="D2725" s="2" t="s">
        <v>1335</v>
      </c>
      <c r="E2725" s="15">
        <v>11539.6</v>
      </c>
      <c r="F2725" s="36" t="s">
        <v>2274</v>
      </c>
      <c r="G2725" s="15">
        <v>11539.6</v>
      </c>
      <c r="H2725" s="15">
        <f t="shared" si="43"/>
        <v>0</v>
      </c>
      <c r="I2725" s="19"/>
    </row>
    <row r="2726" spans="1:9" x14ac:dyDescent="0.25">
      <c r="A2726" s="16">
        <v>42759</v>
      </c>
      <c r="B2726" s="17" t="s">
        <v>3109</v>
      </c>
      <c r="C2726" s="18">
        <v>98323</v>
      </c>
      <c r="D2726" s="2" t="s">
        <v>17</v>
      </c>
      <c r="E2726" s="15">
        <v>1920</v>
      </c>
      <c r="F2726" s="36" t="s">
        <v>2274</v>
      </c>
      <c r="G2726" s="15">
        <v>1920</v>
      </c>
      <c r="H2726" s="15">
        <f t="shared" si="43"/>
        <v>0</v>
      </c>
      <c r="I2726" s="19"/>
    </row>
    <row r="2727" spans="1:9" x14ac:dyDescent="0.25">
      <c r="A2727" s="16">
        <v>42759</v>
      </c>
      <c r="B2727" s="17" t="s">
        <v>3110</v>
      </c>
      <c r="C2727" s="18">
        <v>98324</v>
      </c>
      <c r="D2727" s="2" t="s">
        <v>1335</v>
      </c>
      <c r="E2727" s="15">
        <v>290.7</v>
      </c>
      <c r="F2727" s="36" t="s">
        <v>2274</v>
      </c>
      <c r="G2727" s="15">
        <v>290.7</v>
      </c>
      <c r="H2727" s="15">
        <f t="shared" si="43"/>
        <v>0</v>
      </c>
      <c r="I2727" s="19"/>
    </row>
    <row r="2728" spans="1:9" x14ac:dyDescent="0.25">
      <c r="A2728" s="16">
        <v>42759</v>
      </c>
      <c r="B2728" s="17" t="s">
        <v>3111</v>
      </c>
      <c r="C2728" s="18">
        <v>98325</v>
      </c>
      <c r="D2728" s="2" t="s">
        <v>1335</v>
      </c>
      <c r="E2728" s="15">
        <v>5852.3</v>
      </c>
      <c r="F2728" s="36" t="s">
        <v>2274</v>
      </c>
      <c r="G2728" s="15">
        <v>5852.3</v>
      </c>
      <c r="H2728" s="15">
        <f t="shared" si="43"/>
        <v>0</v>
      </c>
      <c r="I2728" s="19"/>
    </row>
    <row r="2729" spans="1:9" x14ac:dyDescent="0.25">
      <c r="A2729" s="16">
        <v>42759</v>
      </c>
      <c r="B2729" s="17" t="s">
        <v>3112</v>
      </c>
      <c r="C2729" s="18">
        <v>98326</v>
      </c>
      <c r="D2729" s="2" t="s">
        <v>30</v>
      </c>
      <c r="E2729" s="15">
        <v>4217.6000000000004</v>
      </c>
      <c r="F2729" s="36" t="s">
        <v>2274</v>
      </c>
      <c r="G2729" s="15">
        <v>4217.6000000000004</v>
      </c>
      <c r="H2729" s="15">
        <f t="shared" si="43"/>
        <v>0</v>
      </c>
      <c r="I2729" s="19"/>
    </row>
    <row r="2730" spans="1:9" x14ac:dyDescent="0.25">
      <c r="A2730" s="16">
        <v>42759</v>
      </c>
      <c r="B2730" s="17" t="s">
        <v>3113</v>
      </c>
      <c r="C2730" s="18">
        <v>98327</v>
      </c>
      <c r="D2730" s="2" t="s">
        <v>69</v>
      </c>
      <c r="E2730" s="15">
        <v>1658.8</v>
      </c>
      <c r="F2730" s="36" t="s">
        <v>166</v>
      </c>
      <c r="G2730" s="15">
        <v>1658.8</v>
      </c>
      <c r="H2730" s="15">
        <f t="shared" si="43"/>
        <v>0</v>
      </c>
      <c r="I2730" s="19"/>
    </row>
    <row r="2731" spans="1:9" x14ac:dyDescent="0.25">
      <c r="A2731" s="16">
        <v>42759</v>
      </c>
      <c r="B2731" s="17" t="s">
        <v>3114</v>
      </c>
      <c r="C2731" s="18">
        <v>98328</v>
      </c>
      <c r="D2731" s="2" t="s">
        <v>712</v>
      </c>
      <c r="E2731" s="15">
        <v>9589.2999999999993</v>
      </c>
      <c r="F2731" s="36" t="s">
        <v>2274</v>
      </c>
      <c r="G2731" s="15">
        <v>9589.2999999999993</v>
      </c>
      <c r="H2731" s="15">
        <f t="shared" si="43"/>
        <v>0</v>
      </c>
      <c r="I2731" s="19"/>
    </row>
    <row r="2732" spans="1:9" x14ac:dyDescent="0.25">
      <c r="A2732" s="16">
        <v>42759</v>
      </c>
      <c r="B2732" s="17" t="s">
        <v>3115</v>
      </c>
      <c r="C2732" s="18">
        <v>98329</v>
      </c>
      <c r="D2732" s="2" t="s">
        <v>71</v>
      </c>
      <c r="E2732" s="15">
        <v>2492</v>
      </c>
      <c r="F2732" s="36" t="s">
        <v>166</v>
      </c>
      <c r="G2732" s="15">
        <v>2492</v>
      </c>
      <c r="H2732" s="15">
        <f t="shared" si="43"/>
        <v>0</v>
      </c>
      <c r="I2732" s="19"/>
    </row>
    <row r="2733" spans="1:9" x14ac:dyDescent="0.25">
      <c r="A2733" s="16">
        <v>42759</v>
      </c>
      <c r="B2733" s="17" t="s">
        <v>3116</v>
      </c>
      <c r="C2733" s="18">
        <v>98330</v>
      </c>
      <c r="D2733" s="2" t="s">
        <v>1335</v>
      </c>
      <c r="E2733" s="15">
        <v>1123.2</v>
      </c>
      <c r="F2733" s="36" t="s">
        <v>2274</v>
      </c>
      <c r="G2733" s="15">
        <v>1123.2</v>
      </c>
      <c r="H2733" s="15">
        <f t="shared" si="43"/>
        <v>0</v>
      </c>
      <c r="I2733" s="19"/>
    </row>
    <row r="2734" spans="1:9" x14ac:dyDescent="0.25">
      <c r="A2734" s="16">
        <v>42759</v>
      </c>
      <c r="B2734" s="17" t="s">
        <v>3117</v>
      </c>
      <c r="C2734" s="18">
        <v>98331</v>
      </c>
      <c r="D2734" s="2" t="s">
        <v>43</v>
      </c>
      <c r="E2734" s="15">
        <v>6552.8</v>
      </c>
      <c r="F2734" s="36" t="s">
        <v>1391</v>
      </c>
      <c r="G2734" s="15">
        <v>6552.8</v>
      </c>
      <c r="H2734" s="15">
        <f t="shared" si="43"/>
        <v>0</v>
      </c>
      <c r="I2734" s="19"/>
    </row>
    <row r="2735" spans="1:9" x14ac:dyDescent="0.25">
      <c r="A2735" s="16">
        <v>42759</v>
      </c>
      <c r="B2735" s="17" t="s">
        <v>3118</v>
      </c>
      <c r="C2735" s="18">
        <v>98332</v>
      </c>
      <c r="D2735" s="2" t="s">
        <v>49</v>
      </c>
      <c r="E2735" s="15">
        <v>11155.2</v>
      </c>
      <c r="F2735" s="36" t="s">
        <v>361</v>
      </c>
      <c r="G2735" s="15">
        <v>11155.2</v>
      </c>
      <c r="H2735" s="15">
        <f t="shared" si="43"/>
        <v>0</v>
      </c>
      <c r="I2735" s="19"/>
    </row>
    <row r="2736" spans="1:9" x14ac:dyDescent="0.25">
      <c r="A2736" s="16">
        <v>42759</v>
      </c>
      <c r="B2736" s="17" t="s">
        <v>3119</v>
      </c>
      <c r="C2736" s="18">
        <v>98333</v>
      </c>
      <c r="D2736" s="2" t="s">
        <v>253</v>
      </c>
      <c r="E2736" s="15">
        <v>3981.6</v>
      </c>
      <c r="F2736" s="36" t="s">
        <v>765</v>
      </c>
      <c r="G2736" s="15">
        <v>3981.6</v>
      </c>
      <c r="H2736" s="15">
        <f t="shared" si="43"/>
        <v>0</v>
      </c>
      <c r="I2736" s="19"/>
    </row>
    <row r="2737" spans="1:9" x14ac:dyDescent="0.25">
      <c r="A2737" s="16">
        <v>42759</v>
      </c>
      <c r="B2737" s="17" t="s">
        <v>3120</v>
      </c>
      <c r="C2737" s="18">
        <v>98334</v>
      </c>
      <c r="D2737" s="2" t="s">
        <v>35</v>
      </c>
      <c r="E2737" s="15">
        <v>11145.2</v>
      </c>
      <c r="F2737" s="36" t="s">
        <v>2143</v>
      </c>
      <c r="G2737" s="15">
        <v>11145.2</v>
      </c>
      <c r="H2737" s="15">
        <f t="shared" si="43"/>
        <v>0</v>
      </c>
      <c r="I2737" s="19"/>
    </row>
    <row r="2738" spans="1:9" x14ac:dyDescent="0.25">
      <c r="A2738" s="16">
        <v>42759</v>
      </c>
      <c r="B2738" s="17" t="s">
        <v>3121</v>
      </c>
      <c r="C2738" s="18">
        <v>98335</v>
      </c>
      <c r="D2738" s="2" t="s">
        <v>32</v>
      </c>
      <c r="E2738" s="15">
        <v>7709.5</v>
      </c>
      <c r="F2738" s="36" t="s">
        <v>2143</v>
      </c>
      <c r="G2738" s="15">
        <v>7709.5</v>
      </c>
      <c r="H2738" s="15">
        <f t="shared" si="43"/>
        <v>0</v>
      </c>
      <c r="I2738" s="19"/>
    </row>
    <row r="2739" spans="1:9" x14ac:dyDescent="0.25">
      <c r="A2739" s="16">
        <v>42759</v>
      </c>
      <c r="B2739" s="17" t="s">
        <v>3122</v>
      </c>
      <c r="C2739" s="18">
        <v>98336</v>
      </c>
      <c r="D2739" s="2" t="s">
        <v>38</v>
      </c>
      <c r="E2739" s="15">
        <v>3697.5</v>
      </c>
      <c r="F2739" s="36" t="s">
        <v>361</v>
      </c>
      <c r="G2739" s="15">
        <v>3697.5</v>
      </c>
      <c r="H2739" s="15">
        <f t="shared" si="43"/>
        <v>0</v>
      </c>
      <c r="I2739" s="19"/>
    </row>
    <row r="2740" spans="1:9" x14ac:dyDescent="0.25">
      <c r="A2740" s="16">
        <v>42759</v>
      </c>
      <c r="B2740" s="17" t="s">
        <v>3123</v>
      </c>
      <c r="C2740" s="18">
        <v>98337</v>
      </c>
      <c r="D2740" s="13" t="s">
        <v>67</v>
      </c>
      <c r="E2740" s="14">
        <v>0</v>
      </c>
      <c r="F2740" s="123" t="s">
        <v>95</v>
      </c>
      <c r="G2740" s="14">
        <v>0</v>
      </c>
      <c r="H2740" s="14">
        <f t="shared" si="43"/>
        <v>0</v>
      </c>
      <c r="I2740" s="19"/>
    </row>
    <row r="2741" spans="1:9" x14ac:dyDescent="0.25">
      <c r="A2741" s="16">
        <v>42759</v>
      </c>
      <c r="B2741" s="17" t="s">
        <v>3124</v>
      </c>
      <c r="C2741" s="18">
        <v>98338</v>
      </c>
      <c r="D2741" s="2" t="s">
        <v>67</v>
      </c>
      <c r="E2741" s="15">
        <v>2858.4</v>
      </c>
      <c r="F2741" s="36" t="s">
        <v>2274</v>
      </c>
      <c r="G2741" s="15">
        <v>2858.4</v>
      </c>
      <c r="H2741" s="15">
        <f t="shared" si="43"/>
        <v>0</v>
      </c>
      <c r="I2741" s="19"/>
    </row>
    <row r="2742" spans="1:9" x14ac:dyDescent="0.25">
      <c r="A2742" s="16">
        <v>42759</v>
      </c>
      <c r="B2742" s="17" t="s">
        <v>3125</v>
      </c>
      <c r="C2742" s="18">
        <v>98339</v>
      </c>
      <c r="D2742" s="2" t="s">
        <v>222</v>
      </c>
      <c r="E2742" s="15">
        <v>61628.4</v>
      </c>
      <c r="F2742" s="36" t="s">
        <v>3126</v>
      </c>
      <c r="G2742" s="15">
        <v>61628.4</v>
      </c>
      <c r="H2742" s="15">
        <f t="shared" si="43"/>
        <v>0</v>
      </c>
      <c r="I2742" s="19"/>
    </row>
    <row r="2743" spans="1:9" x14ac:dyDescent="0.25">
      <c r="A2743" s="16">
        <v>42759</v>
      </c>
      <c r="B2743" s="17" t="s">
        <v>3127</v>
      </c>
      <c r="C2743" s="18">
        <v>98340</v>
      </c>
      <c r="D2743" s="2" t="s">
        <v>268</v>
      </c>
      <c r="E2743" s="15">
        <v>17484.599999999999</v>
      </c>
      <c r="F2743" s="36" t="s">
        <v>1889</v>
      </c>
      <c r="G2743" s="15">
        <v>17484.599999999999</v>
      </c>
      <c r="H2743" s="15">
        <f t="shared" si="43"/>
        <v>0</v>
      </c>
      <c r="I2743" s="19"/>
    </row>
    <row r="2744" spans="1:9" x14ac:dyDescent="0.25">
      <c r="A2744" s="16">
        <v>42759</v>
      </c>
      <c r="B2744" s="17" t="s">
        <v>3128</v>
      </c>
      <c r="C2744" s="18">
        <v>98341</v>
      </c>
      <c r="D2744" s="2" t="s">
        <v>2240</v>
      </c>
      <c r="E2744" s="15">
        <v>800.4</v>
      </c>
      <c r="F2744" s="36" t="s">
        <v>2274</v>
      </c>
      <c r="G2744" s="15">
        <v>800.4</v>
      </c>
      <c r="H2744" s="15">
        <f t="shared" si="43"/>
        <v>0</v>
      </c>
      <c r="I2744" s="19"/>
    </row>
    <row r="2745" spans="1:9" x14ac:dyDescent="0.25">
      <c r="A2745" s="16">
        <v>42759</v>
      </c>
      <c r="B2745" s="17" t="s">
        <v>3129</v>
      </c>
      <c r="C2745" s="18">
        <v>98342</v>
      </c>
      <c r="D2745" s="13" t="s">
        <v>268</v>
      </c>
      <c r="E2745" s="14">
        <v>0</v>
      </c>
      <c r="F2745" s="123" t="s">
        <v>95</v>
      </c>
      <c r="G2745" s="14">
        <v>0</v>
      </c>
      <c r="H2745" s="14">
        <f t="shared" si="43"/>
        <v>0</v>
      </c>
      <c r="I2745" s="19"/>
    </row>
    <row r="2746" spans="1:9" x14ac:dyDescent="0.25">
      <c r="A2746" s="16">
        <v>42759</v>
      </c>
      <c r="B2746" s="17" t="s">
        <v>3130</v>
      </c>
      <c r="C2746" s="18">
        <v>98343</v>
      </c>
      <c r="D2746" s="2" t="s">
        <v>432</v>
      </c>
      <c r="E2746" s="15">
        <v>17736.599999999999</v>
      </c>
      <c r="F2746" s="36" t="s">
        <v>2143</v>
      </c>
      <c r="G2746" s="15">
        <v>17736.599999999999</v>
      </c>
      <c r="H2746" s="15">
        <f t="shared" si="43"/>
        <v>0</v>
      </c>
      <c r="I2746" s="19"/>
    </row>
    <row r="2747" spans="1:9" x14ac:dyDescent="0.25">
      <c r="A2747" s="16">
        <v>42759</v>
      </c>
      <c r="B2747" s="17" t="s">
        <v>3131</v>
      </c>
      <c r="C2747" s="18">
        <v>98344</v>
      </c>
      <c r="D2747" s="2" t="s">
        <v>590</v>
      </c>
      <c r="E2747" s="15">
        <v>3981.6</v>
      </c>
      <c r="F2747" s="36" t="s">
        <v>2143</v>
      </c>
      <c r="G2747" s="15">
        <v>3981.6</v>
      </c>
      <c r="H2747" s="15">
        <f t="shared" si="43"/>
        <v>0</v>
      </c>
      <c r="I2747" s="19"/>
    </row>
    <row r="2748" spans="1:9" x14ac:dyDescent="0.25">
      <c r="A2748" s="16">
        <v>42759</v>
      </c>
      <c r="B2748" s="17" t="s">
        <v>3132</v>
      </c>
      <c r="C2748" s="18">
        <v>98345</v>
      </c>
      <c r="D2748" s="2" t="s">
        <v>876</v>
      </c>
      <c r="E2748" s="15">
        <v>4141.2</v>
      </c>
      <c r="F2748" s="36" t="s">
        <v>2143</v>
      </c>
      <c r="G2748" s="15">
        <v>4141.2</v>
      </c>
      <c r="H2748" s="15">
        <f t="shared" si="43"/>
        <v>0</v>
      </c>
      <c r="I2748" s="19"/>
    </row>
    <row r="2749" spans="1:9" x14ac:dyDescent="0.25">
      <c r="A2749" s="16">
        <v>42759</v>
      </c>
      <c r="B2749" s="17" t="s">
        <v>3133</v>
      </c>
      <c r="C2749" s="18">
        <v>98346</v>
      </c>
      <c r="D2749" s="13" t="s">
        <v>30</v>
      </c>
      <c r="E2749" s="14">
        <v>0</v>
      </c>
      <c r="F2749" s="123" t="s">
        <v>95</v>
      </c>
      <c r="G2749" s="14">
        <v>0</v>
      </c>
      <c r="H2749" s="14">
        <f t="shared" si="43"/>
        <v>0</v>
      </c>
      <c r="I2749" s="19"/>
    </row>
    <row r="2750" spans="1:9" x14ac:dyDescent="0.25">
      <c r="A2750" s="16">
        <v>42759</v>
      </c>
      <c r="B2750" s="17" t="s">
        <v>3134</v>
      </c>
      <c r="C2750" s="18">
        <v>98347</v>
      </c>
      <c r="D2750" s="2" t="s">
        <v>1116</v>
      </c>
      <c r="E2750" s="15">
        <v>4597</v>
      </c>
      <c r="F2750" s="36" t="s">
        <v>166</v>
      </c>
      <c r="G2750" s="15">
        <v>4597</v>
      </c>
      <c r="H2750" s="15">
        <f t="shared" si="43"/>
        <v>0</v>
      </c>
      <c r="I2750" s="19"/>
    </row>
    <row r="2751" spans="1:9" x14ac:dyDescent="0.25">
      <c r="A2751" s="16">
        <v>42759</v>
      </c>
      <c r="B2751" s="17" t="s">
        <v>3135</v>
      </c>
      <c r="C2751" s="18">
        <v>98348</v>
      </c>
      <c r="D2751" s="2" t="s">
        <v>270</v>
      </c>
      <c r="E2751" s="15">
        <v>5805.6</v>
      </c>
      <c r="F2751" s="36" t="s">
        <v>2143</v>
      </c>
      <c r="G2751" s="15">
        <v>5805.6</v>
      </c>
      <c r="H2751" s="15">
        <f t="shared" si="43"/>
        <v>0</v>
      </c>
      <c r="I2751" s="19"/>
    </row>
    <row r="2752" spans="1:9" x14ac:dyDescent="0.25">
      <c r="A2752" s="16">
        <v>42759</v>
      </c>
      <c r="B2752" s="17" t="s">
        <v>3136</v>
      </c>
      <c r="C2752" s="18">
        <v>98349</v>
      </c>
      <c r="D2752" s="2" t="s">
        <v>435</v>
      </c>
      <c r="E2752" s="15">
        <v>3817</v>
      </c>
      <c r="F2752" s="36" t="s">
        <v>765</v>
      </c>
      <c r="G2752" s="15">
        <f>3584+233</f>
        <v>3817</v>
      </c>
      <c r="H2752" s="15">
        <f t="shared" si="43"/>
        <v>0</v>
      </c>
      <c r="I2752" s="19"/>
    </row>
    <row r="2753" spans="1:9" x14ac:dyDescent="0.25">
      <c r="A2753" s="16">
        <v>42759</v>
      </c>
      <c r="B2753" s="17" t="s">
        <v>3137</v>
      </c>
      <c r="C2753" s="18">
        <v>98350</v>
      </c>
      <c r="D2753" s="2" t="s">
        <v>47</v>
      </c>
      <c r="E2753" s="15">
        <v>3592</v>
      </c>
      <c r="F2753" s="36" t="s">
        <v>2274</v>
      </c>
      <c r="G2753" s="15">
        <v>3592</v>
      </c>
      <c r="H2753" s="15">
        <f t="shared" si="43"/>
        <v>0</v>
      </c>
      <c r="I2753" s="19"/>
    </row>
    <row r="2754" spans="1:9" x14ac:dyDescent="0.25">
      <c r="A2754" s="16">
        <v>42759</v>
      </c>
      <c r="B2754" s="17" t="s">
        <v>3138</v>
      </c>
      <c r="C2754" s="18">
        <v>98351</v>
      </c>
      <c r="D2754" s="2" t="s">
        <v>785</v>
      </c>
      <c r="E2754" s="15">
        <v>19620</v>
      </c>
      <c r="F2754" s="36" t="s">
        <v>2274</v>
      </c>
      <c r="G2754" s="15">
        <v>19620</v>
      </c>
      <c r="H2754" s="15">
        <f t="shared" si="43"/>
        <v>0</v>
      </c>
      <c r="I2754" s="19"/>
    </row>
    <row r="2755" spans="1:9" x14ac:dyDescent="0.25">
      <c r="A2755" s="16">
        <v>42759</v>
      </c>
      <c r="B2755" s="17" t="s">
        <v>3139</v>
      </c>
      <c r="C2755" s="18">
        <v>98352</v>
      </c>
      <c r="D2755" s="2" t="s">
        <v>79</v>
      </c>
      <c r="E2755" s="15">
        <v>3003.6</v>
      </c>
      <c r="F2755" s="36" t="s">
        <v>2274</v>
      </c>
      <c r="G2755" s="15">
        <v>3003.6</v>
      </c>
      <c r="H2755" s="15">
        <f t="shared" si="43"/>
        <v>0</v>
      </c>
      <c r="I2755" s="19"/>
    </row>
    <row r="2756" spans="1:9" x14ac:dyDescent="0.25">
      <c r="A2756" s="16">
        <v>42759</v>
      </c>
      <c r="B2756" s="17" t="s">
        <v>3140</v>
      </c>
      <c r="C2756" s="18">
        <v>98353</v>
      </c>
      <c r="D2756" s="2" t="s">
        <v>101</v>
      </c>
      <c r="E2756" s="15">
        <v>960</v>
      </c>
      <c r="F2756" s="36" t="s">
        <v>2274</v>
      </c>
      <c r="G2756" s="15">
        <v>960</v>
      </c>
      <c r="H2756" s="15">
        <f t="shared" si="43"/>
        <v>0</v>
      </c>
      <c r="I2756" s="19"/>
    </row>
    <row r="2757" spans="1:9" x14ac:dyDescent="0.25">
      <c r="A2757" s="16">
        <v>42759</v>
      </c>
      <c r="B2757" s="17" t="s">
        <v>3141</v>
      </c>
      <c r="C2757" s="18">
        <v>98354</v>
      </c>
      <c r="D2757" s="2" t="s">
        <v>99</v>
      </c>
      <c r="E2757" s="15">
        <v>1440</v>
      </c>
      <c r="F2757" s="36" t="s">
        <v>2274</v>
      </c>
      <c r="G2757" s="15">
        <v>1440</v>
      </c>
      <c r="H2757" s="15">
        <f t="shared" si="43"/>
        <v>0</v>
      </c>
      <c r="I2757" s="19"/>
    </row>
    <row r="2758" spans="1:9" x14ac:dyDescent="0.25">
      <c r="A2758" s="16">
        <v>42759</v>
      </c>
      <c r="B2758" s="17" t="s">
        <v>3142</v>
      </c>
      <c r="C2758" s="18">
        <v>98355</v>
      </c>
      <c r="D2758" s="2" t="s">
        <v>281</v>
      </c>
      <c r="E2758" s="15">
        <v>720</v>
      </c>
      <c r="F2758" s="36" t="s">
        <v>2274</v>
      </c>
      <c r="G2758" s="15">
        <v>720</v>
      </c>
      <c r="H2758" s="15">
        <f t="shared" ref="H2758:H2821" si="44">E2758-G2758</f>
        <v>0</v>
      </c>
      <c r="I2758" s="19"/>
    </row>
    <row r="2759" spans="1:9" x14ac:dyDescent="0.25">
      <c r="A2759" s="16">
        <v>42759</v>
      </c>
      <c r="B2759" s="17" t="s">
        <v>3143</v>
      </c>
      <c r="C2759" s="18">
        <v>98356</v>
      </c>
      <c r="D2759" s="2" t="s">
        <v>30</v>
      </c>
      <c r="E2759" s="15">
        <v>1334.8</v>
      </c>
      <c r="F2759" s="36" t="s">
        <v>2274</v>
      </c>
      <c r="G2759" s="15">
        <v>1334.8</v>
      </c>
      <c r="H2759" s="15">
        <f t="shared" si="44"/>
        <v>0</v>
      </c>
      <c r="I2759" s="19"/>
    </row>
    <row r="2760" spans="1:9" x14ac:dyDescent="0.25">
      <c r="A2760" s="16">
        <v>42759</v>
      </c>
      <c r="B2760" s="17" t="s">
        <v>3144</v>
      </c>
      <c r="C2760" s="18">
        <v>98357</v>
      </c>
      <c r="D2760" s="2" t="s">
        <v>1380</v>
      </c>
      <c r="E2760" s="15">
        <v>2077.52</v>
      </c>
      <c r="F2760" s="36" t="s">
        <v>2274</v>
      </c>
      <c r="G2760" s="15">
        <v>2077.52</v>
      </c>
      <c r="H2760" s="15">
        <f t="shared" si="44"/>
        <v>0</v>
      </c>
      <c r="I2760" s="19"/>
    </row>
    <row r="2761" spans="1:9" x14ac:dyDescent="0.25">
      <c r="A2761" s="16">
        <v>42759</v>
      </c>
      <c r="B2761" s="17" t="s">
        <v>3145</v>
      </c>
      <c r="C2761" s="18">
        <v>98358</v>
      </c>
      <c r="D2761" s="2" t="s">
        <v>1081</v>
      </c>
      <c r="E2761" s="15">
        <v>3922.56</v>
      </c>
      <c r="F2761" s="36" t="s">
        <v>2274</v>
      </c>
      <c r="G2761" s="15">
        <v>3922.56</v>
      </c>
      <c r="H2761" s="15">
        <f t="shared" si="44"/>
        <v>0</v>
      </c>
      <c r="I2761" s="19"/>
    </row>
    <row r="2762" spans="1:9" x14ac:dyDescent="0.25">
      <c r="A2762" s="16">
        <v>42759</v>
      </c>
      <c r="B2762" s="17" t="s">
        <v>3146</v>
      </c>
      <c r="C2762" s="18">
        <v>98359</v>
      </c>
      <c r="D2762" s="2" t="s">
        <v>30</v>
      </c>
      <c r="E2762" s="15">
        <v>1353.5</v>
      </c>
      <c r="F2762" s="36" t="s">
        <v>2274</v>
      </c>
      <c r="G2762" s="15">
        <v>1353.5</v>
      </c>
      <c r="H2762" s="15">
        <f t="shared" si="44"/>
        <v>0</v>
      </c>
      <c r="I2762" s="19"/>
    </row>
    <row r="2763" spans="1:9" x14ac:dyDescent="0.25">
      <c r="A2763" s="16">
        <v>42759</v>
      </c>
      <c r="B2763" s="17" t="s">
        <v>3147</v>
      </c>
      <c r="C2763" s="18">
        <v>98360</v>
      </c>
      <c r="D2763" s="2" t="s">
        <v>208</v>
      </c>
      <c r="E2763" s="15">
        <v>12635.52</v>
      </c>
      <c r="F2763" s="36" t="s">
        <v>2274</v>
      </c>
      <c r="G2763" s="15">
        <v>12635.52</v>
      </c>
      <c r="H2763" s="15">
        <f t="shared" si="44"/>
        <v>0</v>
      </c>
      <c r="I2763" s="19"/>
    </row>
    <row r="2764" spans="1:9" x14ac:dyDescent="0.25">
      <c r="A2764" s="16">
        <v>42759</v>
      </c>
      <c r="B2764" s="17" t="s">
        <v>3148</v>
      </c>
      <c r="C2764" s="18">
        <v>98361</v>
      </c>
      <c r="D2764" s="2" t="s">
        <v>1081</v>
      </c>
      <c r="E2764" s="15">
        <v>520</v>
      </c>
      <c r="F2764" s="36" t="s">
        <v>2274</v>
      </c>
      <c r="G2764" s="15">
        <v>520</v>
      </c>
      <c r="H2764" s="15">
        <f t="shared" si="44"/>
        <v>0</v>
      </c>
      <c r="I2764" s="19"/>
    </row>
    <row r="2765" spans="1:9" x14ac:dyDescent="0.25">
      <c r="A2765" s="16">
        <v>42759</v>
      </c>
      <c r="B2765" s="17" t="s">
        <v>3149</v>
      </c>
      <c r="C2765" s="18">
        <v>98362</v>
      </c>
      <c r="D2765" s="2" t="s">
        <v>83</v>
      </c>
      <c r="E2765" s="15">
        <v>4184.6000000000004</v>
      </c>
      <c r="F2765" s="36" t="s">
        <v>2274</v>
      </c>
      <c r="G2765" s="15">
        <v>4184.6000000000004</v>
      </c>
      <c r="H2765" s="15">
        <f t="shared" si="44"/>
        <v>0</v>
      </c>
      <c r="I2765" s="19"/>
    </row>
    <row r="2766" spans="1:9" x14ac:dyDescent="0.25">
      <c r="A2766" s="16">
        <v>42759</v>
      </c>
      <c r="B2766" s="17" t="s">
        <v>3150</v>
      </c>
      <c r="C2766" s="18">
        <v>98363</v>
      </c>
      <c r="D2766" s="2" t="s">
        <v>450</v>
      </c>
      <c r="E2766" s="15">
        <v>205.2</v>
      </c>
      <c r="F2766" s="36" t="s">
        <v>2274</v>
      </c>
      <c r="G2766" s="15">
        <v>205.2</v>
      </c>
      <c r="H2766" s="15">
        <f t="shared" si="44"/>
        <v>0</v>
      </c>
      <c r="I2766" s="19"/>
    </row>
    <row r="2767" spans="1:9" x14ac:dyDescent="0.25">
      <c r="A2767" s="16">
        <v>42759</v>
      </c>
      <c r="B2767" s="17" t="s">
        <v>3151</v>
      </c>
      <c r="C2767" s="18">
        <v>98364</v>
      </c>
      <c r="D2767" s="2" t="s">
        <v>291</v>
      </c>
      <c r="E2767" s="15">
        <v>2062.9</v>
      </c>
      <c r="F2767" s="36" t="s">
        <v>2274</v>
      </c>
      <c r="G2767" s="15">
        <v>2062.9</v>
      </c>
      <c r="H2767" s="15">
        <f t="shared" si="44"/>
        <v>0</v>
      </c>
      <c r="I2767" s="19"/>
    </row>
    <row r="2768" spans="1:9" x14ac:dyDescent="0.25">
      <c r="A2768" s="16">
        <v>42759</v>
      </c>
      <c r="B2768" s="17" t="s">
        <v>3152</v>
      </c>
      <c r="C2768" s="18">
        <v>98365</v>
      </c>
      <c r="D2768" s="2" t="s">
        <v>457</v>
      </c>
      <c r="E2768" s="15">
        <v>1069.5999999999999</v>
      </c>
      <c r="F2768" s="36" t="s">
        <v>2274</v>
      </c>
      <c r="G2768" s="15">
        <v>1069.5999999999999</v>
      </c>
      <c r="H2768" s="15">
        <f t="shared" si="44"/>
        <v>0</v>
      </c>
      <c r="I2768" s="19"/>
    </row>
    <row r="2769" spans="1:9" x14ac:dyDescent="0.25">
      <c r="A2769" s="16">
        <v>42759</v>
      </c>
      <c r="B2769" s="17" t="s">
        <v>3153</v>
      </c>
      <c r="C2769" s="18">
        <v>98366</v>
      </c>
      <c r="D2769" s="2" t="s">
        <v>109</v>
      </c>
      <c r="E2769" s="15">
        <v>3408.6</v>
      </c>
      <c r="F2769" s="36" t="s">
        <v>2274</v>
      </c>
      <c r="G2769" s="15">
        <v>3408.6</v>
      </c>
      <c r="H2769" s="15">
        <f t="shared" si="44"/>
        <v>0</v>
      </c>
      <c r="I2769" s="19"/>
    </row>
    <row r="2770" spans="1:9" x14ac:dyDescent="0.25">
      <c r="A2770" s="16">
        <v>42759</v>
      </c>
      <c r="B2770" s="17" t="s">
        <v>3154</v>
      </c>
      <c r="C2770" s="18">
        <v>98367</v>
      </c>
      <c r="D2770" s="2" t="s">
        <v>2609</v>
      </c>
      <c r="E2770" s="15">
        <v>395.9</v>
      </c>
      <c r="F2770" s="36" t="s">
        <v>2274</v>
      </c>
      <c r="G2770" s="15">
        <v>395.9</v>
      </c>
      <c r="H2770" s="15">
        <f t="shared" si="44"/>
        <v>0</v>
      </c>
      <c r="I2770" s="19"/>
    </row>
    <row r="2771" spans="1:9" x14ac:dyDescent="0.25">
      <c r="A2771" s="16">
        <v>42759</v>
      </c>
      <c r="B2771" s="17" t="s">
        <v>3155</v>
      </c>
      <c r="C2771" s="18">
        <v>98368</v>
      </c>
      <c r="D2771" s="2" t="s">
        <v>800</v>
      </c>
      <c r="E2771" s="15">
        <v>7490.5</v>
      </c>
      <c r="F2771" s="36" t="s">
        <v>1173</v>
      </c>
      <c r="G2771" s="15">
        <f>7287.6+202.9</f>
        <v>7490.5</v>
      </c>
      <c r="H2771" s="15">
        <f t="shared" si="44"/>
        <v>0</v>
      </c>
      <c r="I2771" s="19"/>
    </row>
    <row r="2772" spans="1:9" x14ac:dyDescent="0.25">
      <c r="A2772" s="16">
        <v>42759</v>
      </c>
      <c r="B2772" s="17" t="s">
        <v>3156</v>
      </c>
      <c r="C2772" s="18">
        <v>98369</v>
      </c>
      <c r="D2772" s="2" t="s">
        <v>838</v>
      </c>
      <c r="E2772" s="15">
        <v>4092</v>
      </c>
      <c r="F2772" s="36" t="s">
        <v>2274</v>
      </c>
      <c r="G2772" s="15">
        <v>4092</v>
      </c>
      <c r="H2772" s="15">
        <f t="shared" si="44"/>
        <v>0</v>
      </c>
      <c r="I2772" s="19"/>
    </row>
    <row r="2773" spans="1:9" x14ac:dyDescent="0.25">
      <c r="A2773" s="16">
        <v>42759</v>
      </c>
      <c r="B2773" s="17" t="s">
        <v>3157</v>
      </c>
      <c r="C2773" s="18">
        <v>98370</v>
      </c>
      <c r="D2773" s="2" t="s">
        <v>1160</v>
      </c>
      <c r="E2773" s="15">
        <v>2175.6</v>
      </c>
      <c r="F2773" s="36" t="s">
        <v>2274</v>
      </c>
      <c r="G2773" s="15">
        <v>2175.6</v>
      </c>
      <c r="H2773" s="15">
        <f t="shared" si="44"/>
        <v>0</v>
      </c>
      <c r="I2773" s="19"/>
    </row>
    <row r="2774" spans="1:9" x14ac:dyDescent="0.25">
      <c r="A2774" s="16">
        <v>42759</v>
      </c>
      <c r="B2774" s="17" t="s">
        <v>3158</v>
      </c>
      <c r="C2774" s="18">
        <v>98371</v>
      </c>
      <c r="D2774" s="2" t="s">
        <v>459</v>
      </c>
      <c r="E2774" s="15">
        <v>2318.8000000000002</v>
      </c>
      <c r="F2774" s="36" t="s">
        <v>2274</v>
      </c>
      <c r="G2774" s="15">
        <v>2318.8000000000002</v>
      </c>
      <c r="H2774" s="15">
        <f t="shared" si="44"/>
        <v>0</v>
      </c>
      <c r="I2774" s="19"/>
    </row>
    <row r="2775" spans="1:9" x14ac:dyDescent="0.25">
      <c r="A2775" s="16">
        <v>42759</v>
      </c>
      <c r="B2775" s="17" t="s">
        <v>3159</v>
      </c>
      <c r="C2775" s="18">
        <v>98372</v>
      </c>
      <c r="D2775" s="2" t="s">
        <v>1267</v>
      </c>
      <c r="E2775" s="15">
        <v>7492.4</v>
      </c>
      <c r="F2775" s="36" t="s">
        <v>2274</v>
      </c>
      <c r="G2775" s="15">
        <v>7492.4</v>
      </c>
      <c r="H2775" s="15">
        <f t="shared" si="44"/>
        <v>0</v>
      </c>
      <c r="I2775" s="19"/>
    </row>
    <row r="2776" spans="1:9" x14ac:dyDescent="0.25">
      <c r="A2776" s="16">
        <v>42759</v>
      </c>
      <c r="B2776" s="17" t="s">
        <v>3160</v>
      </c>
      <c r="C2776" s="18">
        <v>98373</v>
      </c>
      <c r="D2776" s="2" t="s">
        <v>103</v>
      </c>
      <c r="E2776" s="15">
        <v>4134</v>
      </c>
      <c r="F2776" s="36" t="s">
        <v>3161</v>
      </c>
      <c r="G2776" s="15">
        <v>4134</v>
      </c>
      <c r="H2776" s="15">
        <f t="shared" si="44"/>
        <v>0</v>
      </c>
      <c r="I2776" s="19"/>
    </row>
    <row r="2777" spans="1:9" x14ac:dyDescent="0.25">
      <c r="A2777" s="16">
        <v>42759</v>
      </c>
      <c r="B2777" s="17" t="s">
        <v>3162</v>
      </c>
      <c r="C2777" s="18">
        <v>98374</v>
      </c>
      <c r="D2777" s="2" t="s">
        <v>470</v>
      </c>
      <c r="E2777" s="15">
        <v>10685</v>
      </c>
      <c r="F2777" s="36" t="s">
        <v>2274</v>
      </c>
      <c r="G2777" s="15">
        <v>10685</v>
      </c>
      <c r="H2777" s="15">
        <f t="shared" si="44"/>
        <v>0</v>
      </c>
      <c r="I2777" s="19"/>
    </row>
    <row r="2778" spans="1:9" x14ac:dyDescent="0.25">
      <c r="A2778" s="16">
        <v>42759</v>
      </c>
      <c r="B2778" s="17" t="s">
        <v>3163</v>
      </c>
      <c r="C2778" s="18">
        <v>98375</v>
      </c>
      <c r="D2778" s="2" t="s">
        <v>289</v>
      </c>
      <c r="E2778" s="15">
        <v>42260.1</v>
      </c>
      <c r="F2778" s="36" t="s">
        <v>3164</v>
      </c>
      <c r="G2778" s="15">
        <v>42260.1</v>
      </c>
      <c r="H2778" s="15">
        <f t="shared" si="44"/>
        <v>0</v>
      </c>
      <c r="I2778" s="19"/>
    </row>
    <row r="2779" spans="1:9" x14ac:dyDescent="0.25">
      <c r="A2779" s="16">
        <v>42759</v>
      </c>
      <c r="B2779" s="17" t="s">
        <v>3165</v>
      </c>
      <c r="C2779" s="18">
        <v>98376</v>
      </c>
      <c r="D2779" s="2" t="s">
        <v>264</v>
      </c>
      <c r="E2779" s="15">
        <v>4208.3999999999996</v>
      </c>
      <c r="F2779" s="36" t="s">
        <v>2274</v>
      </c>
      <c r="G2779" s="15">
        <v>4208.3999999999996</v>
      </c>
      <c r="H2779" s="15">
        <f t="shared" si="44"/>
        <v>0</v>
      </c>
      <c r="I2779" s="19"/>
    </row>
    <row r="2780" spans="1:9" x14ac:dyDescent="0.25">
      <c r="A2780" s="16">
        <v>42759</v>
      </c>
      <c r="B2780" s="17" t="s">
        <v>3166</v>
      </c>
      <c r="C2780" s="18">
        <v>98377</v>
      </c>
      <c r="D2780" s="2" t="s">
        <v>30</v>
      </c>
      <c r="E2780" s="15">
        <v>5413.5</v>
      </c>
      <c r="F2780" s="36" t="s">
        <v>2274</v>
      </c>
      <c r="G2780" s="15">
        <v>5413.5</v>
      </c>
      <c r="H2780" s="15">
        <f t="shared" si="44"/>
        <v>0</v>
      </c>
      <c r="I2780" s="19"/>
    </row>
    <row r="2781" spans="1:9" x14ac:dyDescent="0.25">
      <c r="A2781" s="16">
        <v>42759</v>
      </c>
      <c r="B2781" s="17" t="s">
        <v>3167</v>
      </c>
      <c r="C2781" s="18">
        <v>98378</v>
      </c>
      <c r="D2781" s="2" t="s">
        <v>858</v>
      </c>
      <c r="E2781" s="15">
        <v>2968.2</v>
      </c>
      <c r="F2781" s="36" t="s">
        <v>2274</v>
      </c>
      <c r="G2781" s="15">
        <v>2968.2</v>
      </c>
      <c r="H2781" s="15">
        <f t="shared" si="44"/>
        <v>0</v>
      </c>
      <c r="I2781" s="19"/>
    </row>
    <row r="2782" spans="1:9" x14ac:dyDescent="0.25">
      <c r="A2782" s="16">
        <v>42759</v>
      </c>
      <c r="B2782" s="17" t="s">
        <v>3168</v>
      </c>
      <c r="C2782" s="18">
        <v>98379</v>
      </c>
      <c r="D2782" s="2" t="s">
        <v>53</v>
      </c>
      <c r="E2782" s="15">
        <v>2037.8</v>
      </c>
      <c r="F2782" s="36" t="s">
        <v>1391</v>
      </c>
      <c r="G2782" s="15">
        <v>2037.8</v>
      </c>
      <c r="H2782" s="15">
        <f t="shared" si="44"/>
        <v>0</v>
      </c>
      <c r="I2782" s="19"/>
    </row>
    <row r="2783" spans="1:9" x14ac:dyDescent="0.25">
      <c r="A2783" s="16">
        <v>42759</v>
      </c>
      <c r="B2783" s="17" t="s">
        <v>3169</v>
      </c>
      <c r="C2783" s="18">
        <v>98380</v>
      </c>
      <c r="D2783" s="2" t="s">
        <v>30</v>
      </c>
      <c r="E2783" s="15">
        <v>1833</v>
      </c>
      <c r="F2783" s="36" t="s">
        <v>2274</v>
      </c>
      <c r="G2783" s="15">
        <v>1833</v>
      </c>
      <c r="H2783" s="15">
        <f t="shared" si="44"/>
        <v>0</v>
      </c>
      <c r="I2783" s="19"/>
    </row>
    <row r="2784" spans="1:9" x14ac:dyDescent="0.25">
      <c r="A2784" s="16">
        <v>42759</v>
      </c>
      <c r="B2784" s="17" t="s">
        <v>3170</v>
      </c>
      <c r="C2784" s="18">
        <v>98381</v>
      </c>
      <c r="D2784" s="2" t="s">
        <v>57</v>
      </c>
      <c r="E2784" s="15">
        <v>576</v>
      </c>
      <c r="F2784" s="36" t="s">
        <v>1391</v>
      </c>
      <c r="G2784" s="15">
        <v>576</v>
      </c>
      <c r="H2784" s="15">
        <f t="shared" si="44"/>
        <v>0</v>
      </c>
      <c r="I2784" s="19"/>
    </row>
    <row r="2785" spans="1:9" x14ac:dyDescent="0.25">
      <c r="A2785" s="16">
        <v>42759</v>
      </c>
      <c r="B2785" s="17" t="s">
        <v>3171</v>
      </c>
      <c r="C2785" s="18">
        <v>98382</v>
      </c>
      <c r="D2785" s="2" t="s">
        <v>21</v>
      </c>
      <c r="E2785" s="15">
        <v>46098</v>
      </c>
      <c r="F2785" s="126" t="s">
        <v>4171</v>
      </c>
      <c r="G2785" s="23">
        <f>32207+11912+1979</f>
        <v>46098</v>
      </c>
      <c r="H2785" s="23">
        <f t="shared" si="44"/>
        <v>0</v>
      </c>
      <c r="I2785" s="19"/>
    </row>
    <row r="2786" spans="1:9" x14ac:dyDescent="0.25">
      <c r="A2786" s="16">
        <v>42759</v>
      </c>
      <c r="B2786" s="17" t="s">
        <v>3172</v>
      </c>
      <c r="C2786" s="18">
        <v>98383</v>
      </c>
      <c r="D2786" s="2" t="s">
        <v>331</v>
      </c>
      <c r="E2786" s="15">
        <v>1867.2</v>
      </c>
      <c r="F2786" s="36" t="s">
        <v>1391</v>
      </c>
      <c r="G2786" s="15">
        <v>1867.2</v>
      </c>
      <c r="H2786" s="15">
        <f t="shared" si="44"/>
        <v>0</v>
      </c>
      <c r="I2786" s="19"/>
    </row>
    <row r="2787" spans="1:9" x14ac:dyDescent="0.25">
      <c r="A2787" s="16">
        <v>42759</v>
      </c>
      <c r="B2787" s="17" t="s">
        <v>3173</v>
      </c>
      <c r="C2787" s="18">
        <v>98384</v>
      </c>
      <c r="D2787" s="2" t="s">
        <v>30</v>
      </c>
      <c r="E2787" s="15">
        <v>1334.76</v>
      </c>
      <c r="F2787" s="36" t="s">
        <v>1391</v>
      </c>
      <c r="G2787" s="15">
        <v>1334.76</v>
      </c>
      <c r="H2787" s="15">
        <f t="shared" si="44"/>
        <v>0</v>
      </c>
      <c r="I2787" s="19"/>
    </row>
    <row r="2788" spans="1:9" x14ac:dyDescent="0.25">
      <c r="A2788" s="16">
        <v>42759</v>
      </c>
      <c r="B2788" s="17" t="s">
        <v>3174</v>
      </c>
      <c r="C2788" s="18">
        <v>98385</v>
      </c>
      <c r="D2788" s="2" t="s">
        <v>85</v>
      </c>
      <c r="E2788" s="15">
        <v>19814.400000000001</v>
      </c>
      <c r="F2788" s="124" t="s">
        <v>3175</v>
      </c>
      <c r="G2788" s="20">
        <f>14000+5814.4</f>
        <v>19814.400000000001</v>
      </c>
      <c r="H2788" s="20">
        <f t="shared" si="44"/>
        <v>0</v>
      </c>
      <c r="I2788" s="19"/>
    </row>
    <row r="2789" spans="1:9" x14ac:dyDescent="0.25">
      <c r="A2789" s="16">
        <v>42759</v>
      </c>
      <c r="B2789" s="17" t="s">
        <v>3176</v>
      </c>
      <c r="C2789" s="18">
        <v>98386</v>
      </c>
      <c r="D2789" s="2" t="s">
        <v>298</v>
      </c>
      <c r="E2789" s="15">
        <v>4163.3999999999996</v>
      </c>
      <c r="F2789" s="36" t="s">
        <v>2274</v>
      </c>
      <c r="G2789" s="15">
        <v>4163.3999999999996</v>
      </c>
      <c r="H2789" s="15">
        <f t="shared" si="44"/>
        <v>0</v>
      </c>
      <c r="I2789" s="19"/>
    </row>
    <row r="2790" spans="1:9" x14ac:dyDescent="0.25">
      <c r="A2790" s="16">
        <v>42759</v>
      </c>
      <c r="B2790" s="17" t="s">
        <v>3177</v>
      </c>
      <c r="C2790" s="18">
        <v>98387</v>
      </c>
      <c r="D2790" s="2" t="s">
        <v>3095</v>
      </c>
      <c r="E2790" s="15">
        <v>10280</v>
      </c>
      <c r="F2790" s="36" t="s">
        <v>166</v>
      </c>
      <c r="G2790" s="15">
        <v>10280</v>
      </c>
      <c r="H2790" s="15">
        <f t="shared" si="44"/>
        <v>0</v>
      </c>
      <c r="I2790" s="19"/>
    </row>
    <row r="2791" spans="1:9" x14ac:dyDescent="0.25">
      <c r="A2791" s="16">
        <v>42759</v>
      </c>
      <c r="B2791" s="17" t="s">
        <v>3178</v>
      </c>
      <c r="C2791" s="18">
        <v>98388</v>
      </c>
      <c r="D2791" s="2" t="s">
        <v>426</v>
      </c>
      <c r="E2791" s="15">
        <v>1927</v>
      </c>
      <c r="F2791" s="36" t="s">
        <v>1173</v>
      </c>
      <c r="G2791" s="15">
        <v>1927</v>
      </c>
      <c r="H2791" s="15">
        <f t="shared" si="44"/>
        <v>0</v>
      </c>
      <c r="I2791" s="19"/>
    </row>
    <row r="2792" spans="1:9" x14ac:dyDescent="0.25">
      <c r="A2792" s="16">
        <v>42759</v>
      </c>
      <c r="B2792" s="17" t="s">
        <v>3179</v>
      </c>
      <c r="C2792" s="18">
        <v>98389</v>
      </c>
      <c r="D2792" s="2" t="s">
        <v>8</v>
      </c>
      <c r="E2792" s="15">
        <v>1816.7</v>
      </c>
      <c r="F2792" s="36" t="s">
        <v>166</v>
      </c>
      <c r="G2792" s="15">
        <v>1816.7</v>
      </c>
      <c r="H2792" s="15">
        <f t="shared" si="44"/>
        <v>0</v>
      </c>
      <c r="I2792" s="19"/>
    </row>
    <row r="2793" spans="1:9" x14ac:dyDescent="0.25">
      <c r="A2793" s="16">
        <v>42759</v>
      </c>
      <c r="B2793" s="17" t="s">
        <v>3180</v>
      </c>
      <c r="C2793" s="18">
        <v>98390</v>
      </c>
      <c r="D2793" s="2" t="s">
        <v>1293</v>
      </c>
      <c r="E2793" s="15">
        <v>4400.5</v>
      </c>
      <c r="F2793" s="36" t="s">
        <v>1391</v>
      </c>
      <c r="G2793" s="15">
        <v>4400.5</v>
      </c>
      <c r="H2793" s="15">
        <f t="shared" si="44"/>
        <v>0</v>
      </c>
      <c r="I2793" s="19"/>
    </row>
    <row r="2794" spans="1:9" x14ac:dyDescent="0.25">
      <c r="A2794" s="16">
        <v>42759</v>
      </c>
      <c r="B2794" s="17" t="s">
        <v>3181</v>
      </c>
      <c r="C2794" s="18">
        <v>98391</v>
      </c>
      <c r="D2794" s="2" t="s">
        <v>186</v>
      </c>
      <c r="E2794" s="15">
        <v>3233</v>
      </c>
      <c r="F2794" s="36" t="s">
        <v>2143</v>
      </c>
      <c r="G2794" s="15">
        <v>3233</v>
      </c>
      <c r="H2794" s="15">
        <f t="shared" si="44"/>
        <v>0</v>
      </c>
      <c r="I2794" s="19"/>
    </row>
    <row r="2795" spans="1:9" x14ac:dyDescent="0.25">
      <c r="A2795" s="16">
        <v>42759</v>
      </c>
      <c r="B2795" s="17" t="s">
        <v>3182</v>
      </c>
      <c r="C2795" s="18">
        <v>98392</v>
      </c>
      <c r="D2795" s="2" t="s">
        <v>305</v>
      </c>
      <c r="E2795" s="15">
        <v>2054.8000000000002</v>
      </c>
      <c r="F2795" s="36" t="s">
        <v>2143</v>
      </c>
      <c r="G2795" s="15">
        <v>2054.8000000000002</v>
      </c>
      <c r="H2795" s="15">
        <f t="shared" si="44"/>
        <v>0</v>
      </c>
      <c r="I2795" s="19"/>
    </row>
    <row r="2796" spans="1:9" x14ac:dyDescent="0.25">
      <c r="A2796" s="16">
        <v>42759</v>
      </c>
      <c r="B2796" s="17" t="s">
        <v>3183</v>
      </c>
      <c r="C2796" s="18">
        <v>98393</v>
      </c>
      <c r="D2796" s="2" t="s">
        <v>476</v>
      </c>
      <c r="E2796" s="15">
        <v>2755.8</v>
      </c>
      <c r="F2796" s="36" t="s">
        <v>166</v>
      </c>
      <c r="G2796" s="15">
        <v>2755.8</v>
      </c>
      <c r="H2796" s="15">
        <f t="shared" si="44"/>
        <v>0</v>
      </c>
      <c r="I2796" s="19"/>
    </row>
    <row r="2797" spans="1:9" x14ac:dyDescent="0.25">
      <c r="A2797" s="16">
        <v>42759</v>
      </c>
      <c r="B2797" s="17" t="s">
        <v>3184</v>
      </c>
      <c r="C2797" s="18">
        <v>98394</v>
      </c>
      <c r="D2797" s="2" t="s">
        <v>428</v>
      </c>
      <c r="E2797" s="15">
        <v>1636.8</v>
      </c>
      <c r="F2797" s="36" t="s">
        <v>2143</v>
      </c>
      <c r="G2797" s="15">
        <v>1636.8</v>
      </c>
      <c r="H2797" s="15">
        <f t="shared" si="44"/>
        <v>0</v>
      </c>
      <c r="I2797" s="19"/>
    </row>
    <row r="2798" spans="1:9" x14ac:dyDescent="0.25">
      <c r="A2798" s="16">
        <v>42759</v>
      </c>
      <c r="B2798" s="17" t="s">
        <v>3185</v>
      </c>
      <c r="C2798" s="18">
        <v>98395</v>
      </c>
      <c r="D2798" s="2" t="s">
        <v>879</v>
      </c>
      <c r="E2798" s="15">
        <v>3225.2</v>
      </c>
      <c r="F2798" s="36" t="s">
        <v>2274</v>
      </c>
      <c r="G2798" s="15">
        <v>3225.2</v>
      </c>
      <c r="H2798" s="15">
        <f t="shared" si="44"/>
        <v>0</v>
      </c>
      <c r="I2798" s="19"/>
    </row>
    <row r="2799" spans="1:9" x14ac:dyDescent="0.25">
      <c r="A2799" s="16">
        <v>42759</v>
      </c>
      <c r="B2799" s="17" t="s">
        <v>3186</v>
      </c>
      <c r="C2799" s="18">
        <v>98396</v>
      </c>
      <c r="D2799" s="2" t="s">
        <v>10</v>
      </c>
      <c r="E2799" s="15">
        <v>178212.6</v>
      </c>
      <c r="F2799" s="36" t="s">
        <v>2166</v>
      </c>
      <c r="G2799" s="15">
        <v>178212.6</v>
      </c>
      <c r="H2799" s="15">
        <f t="shared" si="44"/>
        <v>0</v>
      </c>
      <c r="I2799" s="19"/>
    </row>
    <row r="2800" spans="1:9" x14ac:dyDescent="0.25">
      <c r="A2800" s="16">
        <v>42759</v>
      </c>
      <c r="B2800" s="17" t="s">
        <v>3187</v>
      </c>
      <c r="C2800" s="18">
        <v>98397</v>
      </c>
      <c r="D2800" s="2" t="s">
        <v>10</v>
      </c>
      <c r="E2800" s="15">
        <v>4172.3999999999996</v>
      </c>
      <c r="F2800" s="36" t="s">
        <v>2166</v>
      </c>
      <c r="G2800" s="15">
        <v>4172.3999999999996</v>
      </c>
      <c r="H2800" s="15">
        <f t="shared" si="44"/>
        <v>0</v>
      </c>
      <c r="I2800" s="19"/>
    </row>
    <row r="2801" spans="1:9" x14ac:dyDescent="0.25">
      <c r="A2801" s="16">
        <v>42759</v>
      </c>
      <c r="B2801" s="17" t="s">
        <v>3188</v>
      </c>
      <c r="C2801" s="18">
        <v>98398</v>
      </c>
      <c r="D2801" s="2" t="s">
        <v>302</v>
      </c>
      <c r="E2801" s="15">
        <v>9808.2000000000007</v>
      </c>
      <c r="F2801" s="36" t="s">
        <v>166</v>
      </c>
      <c r="G2801" s="15">
        <v>9808.2000000000007</v>
      </c>
      <c r="H2801" s="15">
        <f t="shared" si="44"/>
        <v>0</v>
      </c>
      <c r="I2801" s="19"/>
    </row>
    <row r="2802" spans="1:9" x14ac:dyDescent="0.25">
      <c r="A2802" s="16">
        <v>42759</v>
      </c>
      <c r="B2802" s="17" t="s">
        <v>3189</v>
      </c>
      <c r="C2802" s="18">
        <v>98399</v>
      </c>
      <c r="D2802" s="2" t="s">
        <v>61</v>
      </c>
      <c r="E2802" s="15">
        <v>4454.8</v>
      </c>
      <c r="F2802" s="36" t="s">
        <v>1391</v>
      </c>
      <c r="G2802" s="15">
        <v>4454.8</v>
      </c>
      <c r="H2802" s="15">
        <f t="shared" si="44"/>
        <v>0</v>
      </c>
      <c r="I2802" s="19"/>
    </row>
    <row r="2803" spans="1:9" x14ac:dyDescent="0.25">
      <c r="A2803" s="16">
        <v>42759</v>
      </c>
      <c r="B2803" s="17" t="s">
        <v>3190</v>
      </c>
      <c r="C2803" s="18">
        <v>98400</v>
      </c>
      <c r="D2803" s="2" t="s">
        <v>186</v>
      </c>
      <c r="E2803" s="15">
        <v>957</v>
      </c>
      <c r="F2803" s="36" t="s">
        <v>2143</v>
      </c>
      <c r="G2803" s="15">
        <v>957</v>
      </c>
      <c r="H2803" s="15">
        <f t="shared" si="44"/>
        <v>0</v>
      </c>
      <c r="I2803" s="19"/>
    </row>
    <row r="2804" spans="1:9" x14ac:dyDescent="0.25">
      <c r="A2804" s="16">
        <v>42759</v>
      </c>
      <c r="B2804" s="17" t="s">
        <v>3191</v>
      </c>
      <c r="C2804" s="18">
        <v>98401</v>
      </c>
      <c r="D2804" s="2" t="s">
        <v>186</v>
      </c>
      <c r="E2804" s="15">
        <v>262.7</v>
      </c>
      <c r="F2804" s="36" t="s">
        <v>2143</v>
      </c>
      <c r="G2804" s="15">
        <v>262.7</v>
      </c>
      <c r="H2804" s="15">
        <f t="shared" si="44"/>
        <v>0</v>
      </c>
      <c r="I2804" s="19"/>
    </row>
    <row r="2805" spans="1:9" x14ac:dyDescent="0.25">
      <c r="A2805" s="16">
        <v>42759</v>
      </c>
      <c r="B2805" s="17" t="s">
        <v>3192</v>
      </c>
      <c r="C2805" s="18">
        <v>98402</v>
      </c>
      <c r="D2805" s="2" t="s">
        <v>486</v>
      </c>
      <c r="E2805" s="15">
        <v>4228.8</v>
      </c>
      <c r="F2805" s="36" t="s">
        <v>1391</v>
      </c>
      <c r="G2805" s="15">
        <v>4228.8</v>
      </c>
      <c r="H2805" s="15">
        <f t="shared" si="44"/>
        <v>0</v>
      </c>
      <c r="I2805" s="19"/>
    </row>
    <row r="2806" spans="1:9" x14ac:dyDescent="0.25">
      <c r="A2806" s="16">
        <v>42759</v>
      </c>
      <c r="B2806" s="17" t="s">
        <v>3193</v>
      </c>
      <c r="C2806" s="18">
        <v>98403</v>
      </c>
      <c r="D2806" s="2" t="s">
        <v>422</v>
      </c>
      <c r="E2806" s="15">
        <v>782.8</v>
      </c>
      <c r="F2806" s="36" t="s">
        <v>2274</v>
      </c>
      <c r="G2806" s="15">
        <v>782.8</v>
      </c>
      <c r="H2806" s="15">
        <f t="shared" si="44"/>
        <v>0</v>
      </c>
      <c r="I2806" s="19"/>
    </row>
    <row r="2807" spans="1:9" x14ac:dyDescent="0.25">
      <c r="A2807" s="16">
        <v>42759</v>
      </c>
      <c r="B2807" s="17" t="s">
        <v>3194</v>
      </c>
      <c r="C2807" s="18">
        <v>98404</v>
      </c>
      <c r="D2807" s="2" t="s">
        <v>113</v>
      </c>
      <c r="E2807" s="15">
        <v>3256.6</v>
      </c>
      <c r="F2807" s="36" t="s">
        <v>1391</v>
      </c>
      <c r="G2807" s="15">
        <v>3256.6</v>
      </c>
      <c r="H2807" s="15">
        <f t="shared" si="44"/>
        <v>0</v>
      </c>
      <c r="I2807" s="19"/>
    </row>
    <row r="2808" spans="1:9" x14ac:dyDescent="0.25">
      <c r="A2808" s="16">
        <v>42759</v>
      </c>
      <c r="B2808" s="17" t="s">
        <v>3195</v>
      </c>
      <c r="C2808" s="18">
        <v>98405</v>
      </c>
      <c r="D2808" s="2" t="s">
        <v>218</v>
      </c>
      <c r="E2808" s="15">
        <v>4160.2</v>
      </c>
      <c r="F2808" s="36" t="s">
        <v>307</v>
      </c>
      <c r="G2808" s="15">
        <v>4160.2</v>
      </c>
      <c r="H2808" s="15">
        <f t="shared" si="44"/>
        <v>0</v>
      </c>
      <c r="I2808" s="19"/>
    </row>
    <row r="2809" spans="1:9" x14ac:dyDescent="0.25">
      <c r="A2809" s="16">
        <v>42759</v>
      </c>
      <c r="B2809" s="17" t="s">
        <v>3196</v>
      </c>
      <c r="C2809" s="18">
        <v>98406</v>
      </c>
      <c r="D2809" s="2" t="s">
        <v>285</v>
      </c>
      <c r="E2809" s="15">
        <v>8280.44</v>
      </c>
      <c r="F2809" s="36" t="s">
        <v>1391</v>
      </c>
      <c r="G2809" s="15">
        <v>8280.44</v>
      </c>
      <c r="H2809" s="15">
        <f t="shared" si="44"/>
        <v>0</v>
      </c>
      <c r="I2809" s="19"/>
    </row>
    <row r="2810" spans="1:9" x14ac:dyDescent="0.25">
      <c r="A2810" s="16">
        <v>42759</v>
      </c>
      <c r="B2810" s="17" t="s">
        <v>3197</v>
      </c>
      <c r="C2810" s="18">
        <v>98407</v>
      </c>
      <c r="D2810" s="2" t="s">
        <v>184</v>
      </c>
      <c r="E2810" s="15">
        <v>291.60000000000002</v>
      </c>
      <c r="F2810" s="36" t="s">
        <v>1391</v>
      </c>
      <c r="G2810" s="15">
        <v>291.60000000000002</v>
      </c>
      <c r="H2810" s="15">
        <f t="shared" si="44"/>
        <v>0</v>
      </c>
      <c r="I2810" s="19"/>
    </row>
    <row r="2811" spans="1:9" x14ac:dyDescent="0.25">
      <c r="A2811" s="16">
        <v>42759</v>
      </c>
      <c r="B2811" s="17" t="s">
        <v>3198</v>
      </c>
      <c r="C2811" s="18">
        <v>98408</v>
      </c>
      <c r="D2811" s="2" t="s">
        <v>30</v>
      </c>
      <c r="E2811" s="15">
        <v>1029.3</v>
      </c>
      <c r="F2811" s="36" t="s">
        <v>1391</v>
      </c>
      <c r="G2811" s="15">
        <v>1029.3</v>
      </c>
      <c r="H2811" s="15">
        <f t="shared" si="44"/>
        <v>0</v>
      </c>
      <c r="I2811" s="19"/>
    </row>
    <row r="2812" spans="1:9" x14ac:dyDescent="0.25">
      <c r="A2812" s="16">
        <v>42759</v>
      </c>
      <c r="B2812" s="17" t="s">
        <v>3199</v>
      </c>
      <c r="C2812" s="18">
        <v>98409</v>
      </c>
      <c r="D2812" s="2" t="s">
        <v>528</v>
      </c>
      <c r="E2812" s="15">
        <v>8428.4</v>
      </c>
      <c r="F2812" s="36" t="s">
        <v>1391</v>
      </c>
      <c r="G2812" s="15">
        <v>8428.4</v>
      </c>
      <c r="H2812" s="15">
        <f t="shared" si="44"/>
        <v>0</v>
      </c>
      <c r="I2812" s="19"/>
    </row>
    <row r="2813" spans="1:9" x14ac:dyDescent="0.25">
      <c r="A2813" s="16">
        <v>42759</v>
      </c>
      <c r="B2813" s="17" t="s">
        <v>3200</v>
      </c>
      <c r="C2813" s="18">
        <v>98410</v>
      </c>
      <c r="D2813" s="2" t="s">
        <v>30</v>
      </c>
      <c r="E2813" s="15">
        <v>1587</v>
      </c>
      <c r="F2813" s="36" t="s">
        <v>1391</v>
      </c>
      <c r="G2813" s="15">
        <v>1587</v>
      </c>
      <c r="H2813" s="15">
        <f t="shared" si="44"/>
        <v>0</v>
      </c>
      <c r="I2813" s="19"/>
    </row>
    <row r="2814" spans="1:9" x14ac:dyDescent="0.25">
      <c r="A2814" s="16">
        <v>42759</v>
      </c>
      <c r="B2814" s="17" t="s">
        <v>3201</v>
      </c>
      <c r="C2814" s="18">
        <v>98411</v>
      </c>
      <c r="D2814" s="2" t="s">
        <v>1299</v>
      </c>
      <c r="E2814" s="15">
        <v>3155.6</v>
      </c>
      <c r="F2814" s="36" t="s">
        <v>1391</v>
      </c>
      <c r="G2814" s="15">
        <v>3155.6</v>
      </c>
      <c r="H2814" s="15">
        <f t="shared" si="44"/>
        <v>0</v>
      </c>
      <c r="I2814" s="19"/>
    </row>
    <row r="2815" spans="1:9" x14ac:dyDescent="0.25">
      <c r="A2815" s="16">
        <v>42759</v>
      </c>
      <c r="B2815" s="17" t="s">
        <v>3202</v>
      </c>
      <c r="C2815" s="18">
        <v>98412</v>
      </c>
      <c r="D2815" s="2" t="s">
        <v>321</v>
      </c>
      <c r="E2815" s="15">
        <v>577.20000000000005</v>
      </c>
      <c r="F2815" s="36" t="s">
        <v>2274</v>
      </c>
      <c r="G2815" s="15">
        <v>577.20000000000005</v>
      </c>
      <c r="H2815" s="15">
        <f t="shared" si="44"/>
        <v>0</v>
      </c>
      <c r="I2815" s="19"/>
    </row>
    <row r="2816" spans="1:9" x14ac:dyDescent="0.25">
      <c r="A2816" s="16">
        <v>42759</v>
      </c>
      <c r="B2816" s="17" t="s">
        <v>3203</v>
      </c>
      <c r="C2816" s="18">
        <v>98413</v>
      </c>
      <c r="D2816" s="2" t="s">
        <v>30</v>
      </c>
      <c r="E2816" s="15">
        <v>529.20000000000005</v>
      </c>
      <c r="F2816" s="36" t="s">
        <v>2274</v>
      </c>
      <c r="G2816" s="15">
        <v>529.20000000000005</v>
      </c>
      <c r="H2816" s="15">
        <f t="shared" si="44"/>
        <v>0</v>
      </c>
      <c r="I2816" s="19"/>
    </row>
    <row r="2817" spans="1:9" x14ac:dyDescent="0.25">
      <c r="A2817" s="16">
        <v>42759</v>
      </c>
      <c r="B2817" s="17" t="s">
        <v>3204</v>
      </c>
      <c r="C2817" s="18">
        <v>98414</v>
      </c>
      <c r="D2817" s="2" t="s">
        <v>3205</v>
      </c>
      <c r="E2817" s="15">
        <v>496</v>
      </c>
      <c r="F2817" s="106">
        <v>42851</v>
      </c>
      <c r="G2817" s="107">
        <v>496</v>
      </c>
      <c r="H2817" s="15">
        <f t="shared" si="44"/>
        <v>0</v>
      </c>
      <c r="I2817" s="19"/>
    </row>
    <row r="2818" spans="1:9" x14ac:dyDescent="0.25">
      <c r="A2818" s="16">
        <v>42759</v>
      </c>
      <c r="B2818" s="17" t="s">
        <v>3206</v>
      </c>
      <c r="C2818" s="18">
        <v>98415</v>
      </c>
      <c r="D2818" s="2" t="s">
        <v>536</v>
      </c>
      <c r="E2818" s="15">
        <v>2594.8000000000002</v>
      </c>
      <c r="F2818" s="36" t="s">
        <v>2274</v>
      </c>
      <c r="G2818" s="15">
        <v>2594.8000000000002</v>
      </c>
      <c r="H2818" s="15">
        <f t="shared" si="44"/>
        <v>0</v>
      </c>
      <c r="I2818" s="19"/>
    </row>
    <row r="2819" spans="1:9" x14ac:dyDescent="0.25">
      <c r="A2819" s="16">
        <v>42759</v>
      </c>
      <c r="B2819" s="17" t="s">
        <v>3207</v>
      </c>
      <c r="C2819" s="18">
        <v>98416</v>
      </c>
      <c r="D2819" s="2" t="s">
        <v>677</v>
      </c>
      <c r="E2819" s="15">
        <v>1916.4</v>
      </c>
      <c r="F2819" s="36" t="s">
        <v>2274</v>
      </c>
      <c r="G2819" s="15">
        <v>1916.4</v>
      </c>
      <c r="H2819" s="15">
        <f t="shared" si="44"/>
        <v>0</v>
      </c>
      <c r="I2819" s="19"/>
    </row>
    <row r="2820" spans="1:9" x14ac:dyDescent="0.25">
      <c r="A2820" s="16">
        <v>42759</v>
      </c>
      <c r="B2820" s="17" t="s">
        <v>3208</v>
      </c>
      <c r="C2820" s="18">
        <v>98417</v>
      </c>
      <c r="D2820" s="2" t="s">
        <v>409</v>
      </c>
      <c r="E2820" s="15">
        <v>6504.8</v>
      </c>
      <c r="F2820" s="36" t="s">
        <v>2143</v>
      </c>
      <c r="G2820" s="15">
        <v>6504.8</v>
      </c>
      <c r="H2820" s="15">
        <f t="shared" si="44"/>
        <v>0</v>
      </c>
      <c r="I2820" s="19"/>
    </row>
    <row r="2821" spans="1:9" x14ac:dyDescent="0.25">
      <c r="A2821" s="16">
        <v>42759</v>
      </c>
      <c r="B2821" s="17" t="s">
        <v>3209</v>
      </c>
      <c r="C2821" s="18">
        <v>98418</v>
      </c>
      <c r="D2821" s="2" t="s">
        <v>115</v>
      </c>
      <c r="E2821" s="15">
        <v>3775.55</v>
      </c>
      <c r="F2821" s="36" t="s">
        <v>2274</v>
      </c>
      <c r="G2821" s="15">
        <v>3775.55</v>
      </c>
      <c r="H2821" s="15">
        <f t="shared" si="44"/>
        <v>0</v>
      </c>
      <c r="I2821" s="19"/>
    </row>
    <row r="2822" spans="1:9" x14ac:dyDescent="0.25">
      <c r="A2822" s="16">
        <v>42759</v>
      </c>
      <c r="B2822" s="17" t="s">
        <v>3210</v>
      </c>
      <c r="C2822" s="18">
        <v>98419</v>
      </c>
      <c r="D2822" s="2" t="s">
        <v>253</v>
      </c>
      <c r="E2822" s="15">
        <v>135.6</v>
      </c>
      <c r="F2822" s="36" t="s">
        <v>166</v>
      </c>
      <c r="G2822" s="15">
        <v>135.6</v>
      </c>
      <c r="H2822" s="15">
        <f t="shared" ref="H2822:H2885" si="45">E2822-G2822</f>
        <v>0</v>
      </c>
      <c r="I2822" s="19"/>
    </row>
    <row r="2823" spans="1:9" x14ac:dyDescent="0.25">
      <c r="A2823" s="16">
        <v>42759</v>
      </c>
      <c r="B2823" s="17" t="s">
        <v>3211</v>
      </c>
      <c r="C2823" s="18">
        <v>98420</v>
      </c>
      <c r="D2823" s="2" t="s">
        <v>576</v>
      </c>
      <c r="E2823" s="15">
        <v>308.39999999999998</v>
      </c>
      <c r="F2823" s="36" t="s">
        <v>166</v>
      </c>
      <c r="G2823" s="15">
        <v>308.39999999999998</v>
      </c>
      <c r="H2823" s="15">
        <f t="shared" si="45"/>
        <v>0</v>
      </c>
      <c r="I2823" s="19"/>
    </row>
    <row r="2824" spans="1:9" x14ac:dyDescent="0.25">
      <c r="A2824" s="16">
        <v>42759</v>
      </c>
      <c r="B2824" s="17" t="s">
        <v>3212</v>
      </c>
      <c r="C2824" s="18">
        <v>98421</v>
      </c>
      <c r="D2824" s="2" t="s">
        <v>220</v>
      </c>
      <c r="E2824" s="15">
        <v>1987.2</v>
      </c>
      <c r="F2824" s="36" t="s">
        <v>166</v>
      </c>
      <c r="G2824" s="15">
        <v>1987.2</v>
      </c>
      <c r="H2824" s="15">
        <f t="shared" si="45"/>
        <v>0</v>
      </c>
      <c r="I2824" s="19"/>
    </row>
    <row r="2825" spans="1:9" x14ac:dyDescent="0.25">
      <c r="A2825" s="16">
        <v>42759</v>
      </c>
      <c r="B2825" s="17" t="s">
        <v>3213</v>
      </c>
      <c r="C2825" s="18">
        <v>98422</v>
      </c>
      <c r="D2825" s="2" t="s">
        <v>2670</v>
      </c>
      <c r="E2825" s="28">
        <v>29277.599999999999</v>
      </c>
      <c r="F2825" s="130">
        <v>42759</v>
      </c>
      <c r="G2825" s="28">
        <f>E2825</f>
        <v>29277.599999999999</v>
      </c>
      <c r="H2825" s="28">
        <f t="shared" si="45"/>
        <v>0</v>
      </c>
      <c r="I2825" s="19"/>
    </row>
    <row r="2826" spans="1:9" x14ac:dyDescent="0.25">
      <c r="A2826" s="16">
        <v>42759</v>
      </c>
      <c r="B2826" s="17" t="s">
        <v>3214</v>
      </c>
      <c r="C2826" s="18">
        <v>98423</v>
      </c>
      <c r="D2826" s="2" t="s">
        <v>1163</v>
      </c>
      <c r="E2826" s="15">
        <v>28341</v>
      </c>
      <c r="F2826" s="36" t="s">
        <v>2274</v>
      </c>
      <c r="G2826" s="15">
        <v>28341</v>
      </c>
      <c r="H2826" s="15">
        <f t="shared" si="45"/>
        <v>0</v>
      </c>
      <c r="I2826" s="19"/>
    </row>
    <row r="2827" spans="1:9" x14ac:dyDescent="0.25">
      <c r="A2827" s="16">
        <v>42759</v>
      </c>
      <c r="B2827" s="17" t="s">
        <v>3215</v>
      </c>
      <c r="C2827" s="18">
        <v>98424</v>
      </c>
      <c r="D2827" s="13" t="s">
        <v>312</v>
      </c>
      <c r="E2827" s="14">
        <v>0</v>
      </c>
      <c r="F2827" s="123" t="s">
        <v>95</v>
      </c>
      <c r="G2827" s="14">
        <v>0</v>
      </c>
      <c r="H2827" s="14">
        <f t="shared" si="45"/>
        <v>0</v>
      </c>
      <c r="I2827" s="19"/>
    </row>
    <row r="2828" spans="1:9" x14ac:dyDescent="0.25">
      <c r="A2828" s="16">
        <v>42759</v>
      </c>
      <c r="B2828" s="17" t="s">
        <v>3216</v>
      </c>
      <c r="C2828" s="18">
        <v>98425</v>
      </c>
      <c r="D2828" s="2" t="s">
        <v>312</v>
      </c>
      <c r="E2828" s="15">
        <v>1608</v>
      </c>
      <c r="F2828" s="36" t="s">
        <v>313</v>
      </c>
      <c r="G2828" s="15">
        <v>1608</v>
      </c>
      <c r="H2828" s="15">
        <f t="shared" si="45"/>
        <v>0</v>
      </c>
      <c r="I2828" s="19"/>
    </row>
    <row r="2829" spans="1:9" x14ac:dyDescent="0.25">
      <c r="A2829" s="16">
        <v>42759</v>
      </c>
      <c r="B2829" s="17" t="s">
        <v>3217</v>
      </c>
      <c r="C2829" s="18">
        <v>98426</v>
      </c>
      <c r="D2829" s="2" t="s">
        <v>30</v>
      </c>
      <c r="E2829" s="15">
        <v>4905.6000000000004</v>
      </c>
      <c r="F2829" s="36" t="s">
        <v>2274</v>
      </c>
      <c r="G2829" s="15">
        <v>4905.6000000000004</v>
      </c>
      <c r="H2829" s="15">
        <f t="shared" si="45"/>
        <v>0</v>
      </c>
      <c r="I2829" s="19"/>
    </row>
    <row r="2830" spans="1:9" x14ac:dyDescent="0.25">
      <c r="A2830" s="16">
        <v>42759</v>
      </c>
      <c r="B2830" s="17" t="s">
        <v>3218</v>
      </c>
      <c r="C2830" s="18">
        <v>98427</v>
      </c>
      <c r="D2830" s="2" t="s">
        <v>3219</v>
      </c>
      <c r="E2830" s="15">
        <v>63099</v>
      </c>
      <c r="F2830" s="36" t="s">
        <v>166</v>
      </c>
      <c r="G2830" s="15">
        <v>63099</v>
      </c>
      <c r="H2830" s="15">
        <f t="shared" si="45"/>
        <v>0</v>
      </c>
      <c r="I2830" s="19"/>
    </row>
    <row r="2831" spans="1:9" x14ac:dyDescent="0.25">
      <c r="A2831" s="16">
        <v>42759</v>
      </c>
      <c r="B2831" s="17" t="s">
        <v>3220</v>
      </c>
      <c r="C2831" s="18">
        <v>98428</v>
      </c>
      <c r="D2831" s="2" t="s">
        <v>115</v>
      </c>
      <c r="E2831" s="15">
        <v>592.79999999999995</v>
      </c>
      <c r="F2831" s="36" t="s">
        <v>2274</v>
      </c>
      <c r="G2831" s="15">
        <v>592.79999999999995</v>
      </c>
      <c r="H2831" s="15">
        <f t="shared" si="45"/>
        <v>0</v>
      </c>
      <c r="I2831" s="19"/>
    </row>
    <row r="2832" spans="1:9" x14ac:dyDescent="0.25">
      <c r="A2832" s="16">
        <v>42759</v>
      </c>
      <c r="B2832" s="17" t="s">
        <v>3221</v>
      </c>
      <c r="C2832" s="18">
        <v>98429</v>
      </c>
      <c r="D2832" s="2" t="s">
        <v>55</v>
      </c>
      <c r="E2832" s="15">
        <v>1842.6</v>
      </c>
      <c r="F2832" s="36" t="s">
        <v>2274</v>
      </c>
      <c r="G2832" s="15">
        <v>1842.6</v>
      </c>
      <c r="H2832" s="15">
        <f t="shared" si="45"/>
        <v>0</v>
      </c>
      <c r="I2832" s="19"/>
    </row>
    <row r="2833" spans="1:9" x14ac:dyDescent="0.25">
      <c r="A2833" s="16">
        <v>42759</v>
      </c>
      <c r="B2833" s="17" t="s">
        <v>3222</v>
      </c>
      <c r="C2833" s="18">
        <v>98430</v>
      </c>
      <c r="D2833" s="2" t="s">
        <v>55</v>
      </c>
      <c r="E2833" s="15">
        <v>6449.8</v>
      </c>
      <c r="F2833" s="36" t="s">
        <v>2274</v>
      </c>
      <c r="G2833" s="15">
        <v>6449.8</v>
      </c>
      <c r="H2833" s="15">
        <f t="shared" si="45"/>
        <v>0</v>
      </c>
      <c r="I2833" s="19"/>
    </row>
    <row r="2834" spans="1:9" x14ac:dyDescent="0.25">
      <c r="A2834" s="16">
        <v>42759</v>
      </c>
      <c r="B2834" s="17" t="s">
        <v>3223</v>
      </c>
      <c r="C2834" s="18">
        <v>98431</v>
      </c>
      <c r="D2834" s="2" t="s">
        <v>205</v>
      </c>
      <c r="E2834" s="15">
        <v>33180</v>
      </c>
      <c r="F2834" s="124" t="s">
        <v>3224</v>
      </c>
      <c r="G2834" s="20">
        <f>16000+17180</f>
        <v>33180</v>
      </c>
      <c r="H2834" s="20">
        <f t="shared" si="45"/>
        <v>0</v>
      </c>
      <c r="I2834" s="19"/>
    </row>
    <row r="2835" spans="1:9" x14ac:dyDescent="0.25">
      <c r="A2835" s="16">
        <v>42759</v>
      </c>
      <c r="B2835" s="17" t="s">
        <v>3225</v>
      </c>
      <c r="C2835" s="18">
        <v>98432</v>
      </c>
      <c r="D2835" s="2" t="s">
        <v>1573</v>
      </c>
      <c r="E2835" s="15">
        <v>27265</v>
      </c>
      <c r="F2835" s="36" t="s">
        <v>166</v>
      </c>
      <c r="G2835" s="15">
        <v>27265</v>
      </c>
      <c r="H2835" s="15">
        <f t="shared" si="45"/>
        <v>0</v>
      </c>
      <c r="I2835" s="19"/>
    </row>
    <row r="2836" spans="1:9" x14ac:dyDescent="0.25">
      <c r="A2836" s="16">
        <v>42759</v>
      </c>
      <c r="B2836" s="17" t="s">
        <v>3226</v>
      </c>
      <c r="C2836" s="18">
        <v>98433</v>
      </c>
      <c r="D2836" s="2" t="s">
        <v>921</v>
      </c>
      <c r="E2836" s="15">
        <v>4518.8</v>
      </c>
      <c r="F2836" s="36" t="s">
        <v>2274</v>
      </c>
      <c r="G2836" s="15">
        <v>4518.8</v>
      </c>
      <c r="H2836" s="15">
        <f t="shared" si="45"/>
        <v>0</v>
      </c>
      <c r="I2836" s="19"/>
    </row>
    <row r="2837" spans="1:9" x14ac:dyDescent="0.25">
      <c r="A2837" s="16">
        <v>42759</v>
      </c>
      <c r="B2837" s="17" t="s">
        <v>3227</v>
      </c>
      <c r="C2837" s="18">
        <v>98434</v>
      </c>
      <c r="D2837" s="2" t="s">
        <v>222</v>
      </c>
      <c r="E2837" s="15">
        <v>31559.5</v>
      </c>
      <c r="F2837" s="36" t="s">
        <v>2166</v>
      </c>
      <c r="G2837" s="15">
        <v>31559.5</v>
      </c>
      <c r="H2837" s="15">
        <f t="shared" si="45"/>
        <v>0</v>
      </c>
      <c r="I2837" s="19"/>
    </row>
    <row r="2838" spans="1:9" x14ac:dyDescent="0.25">
      <c r="A2838" s="16">
        <v>42759</v>
      </c>
      <c r="B2838" s="17" t="s">
        <v>3228</v>
      </c>
      <c r="C2838" s="18">
        <v>98435</v>
      </c>
      <c r="D2838" s="2" t="s">
        <v>426</v>
      </c>
      <c r="E2838" s="15">
        <v>28780</v>
      </c>
      <c r="F2838" s="36" t="s">
        <v>1173</v>
      </c>
      <c r="G2838" s="15">
        <v>28780</v>
      </c>
      <c r="H2838" s="15">
        <f t="shared" si="45"/>
        <v>0</v>
      </c>
      <c r="I2838" s="19"/>
    </row>
    <row r="2839" spans="1:9" x14ac:dyDescent="0.25">
      <c r="A2839" s="16">
        <v>42759</v>
      </c>
      <c r="B2839" s="17" t="s">
        <v>3229</v>
      </c>
      <c r="C2839" s="18">
        <v>98436</v>
      </c>
      <c r="D2839" s="2" t="s">
        <v>468</v>
      </c>
      <c r="E2839" s="15">
        <v>9054.6</v>
      </c>
      <c r="F2839" s="36" t="s">
        <v>3126</v>
      </c>
      <c r="G2839" s="15">
        <v>9054.6</v>
      </c>
      <c r="H2839" s="15">
        <f t="shared" si="45"/>
        <v>0</v>
      </c>
      <c r="I2839" s="19"/>
    </row>
    <row r="2840" spans="1:9" x14ac:dyDescent="0.25">
      <c r="A2840" s="16">
        <v>42759</v>
      </c>
      <c r="B2840" s="17" t="s">
        <v>3230</v>
      </c>
      <c r="C2840" s="18">
        <v>98437</v>
      </c>
      <c r="D2840" s="2" t="s">
        <v>211</v>
      </c>
      <c r="E2840" s="15">
        <v>8537.4</v>
      </c>
      <c r="F2840" s="36" t="s">
        <v>2274</v>
      </c>
      <c r="G2840" s="15">
        <v>8537.4</v>
      </c>
      <c r="H2840" s="15">
        <f t="shared" si="45"/>
        <v>0</v>
      </c>
      <c r="I2840" s="19"/>
    </row>
    <row r="2841" spans="1:9" x14ac:dyDescent="0.25">
      <c r="A2841" s="16">
        <v>42759</v>
      </c>
      <c r="B2841" s="17" t="s">
        <v>3231</v>
      </c>
      <c r="C2841" s="18">
        <v>98438</v>
      </c>
      <c r="D2841" s="2" t="s">
        <v>10</v>
      </c>
      <c r="E2841" s="15">
        <v>44703.199999999997</v>
      </c>
      <c r="F2841" s="36" t="s">
        <v>2166</v>
      </c>
      <c r="G2841" s="15">
        <v>44703.199999999997</v>
      </c>
      <c r="H2841" s="15">
        <f t="shared" si="45"/>
        <v>0</v>
      </c>
      <c r="I2841" s="19"/>
    </row>
    <row r="2842" spans="1:9" x14ac:dyDescent="0.25">
      <c r="A2842" s="16">
        <v>42759</v>
      </c>
      <c r="B2842" s="17" t="s">
        <v>3232</v>
      </c>
      <c r="C2842" s="18">
        <v>98439</v>
      </c>
      <c r="D2842" s="2" t="s">
        <v>465</v>
      </c>
      <c r="E2842" s="15">
        <v>4142.2</v>
      </c>
      <c r="F2842" s="36" t="s">
        <v>1173</v>
      </c>
      <c r="G2842" s="15">
        <v>4142.2</v>
      </c>
      <c r="H2842" s="15">
        <f t="shared" si="45"/>
        <v>0</v>
      </c>
      <c r="I2842" s="19"/>
    </row>
    <row r="2843" spans="1:9" x14ac:dyDescent="0.25">
      <c r="A2843" s="16">
        <v>42759</v>
      </c>
      <c r="B2843" s="17" t="s">
        <v>3233</v>
      </c>
      <c r="C2843" s="18">
        <v>98440</v>
      </c>
      <c r="D2843" s="2" t="s">
        <v>12</v>
      </c>
      <c r="E2843" s="15">
        <v>1265.2</v>
      </c>
      <c r="F2843" s="36" t="s">
        <v>166</v>
      </c>
      <c r="G2843" s="15">
        <v>1265.2</v>
      </c>
      <c r="H2843" s="15">
        <f t="shared" si="45"/>
        <v>0</v>
      </c>
      <c r="I2843" s="19"/>
    </row>
    <row r="2844" spans="1:9" x14ac:dyDescent="0.25">
      <c r="A2844" s="16">
        <v>42759</v>
      </c>
      <c r="B2844" s="17" t="s">
        <v>3234</v>
      </c>
      <c r="C2844" s="18">
        <v>98441</v>
      </c>
      <c r="D2844" s="2" t="s">
        <v>30</v>
      </c>
      <c r="E2844" s="15">
        <v>492.9</v>
      </c>
      <c r="F2844" s="36" t="s">
        <v>166</v>
      </c>
      <c r="G2844" s="15">
        <v>492.9</v>
      </c>
      <c r="H2844" s="15">
        <f t="shared" si="45"/>
        <v>0</v>
      </c>
      <c r="I2844" s="19"/>
    </row>
    <row r="2845" spans="1:9" x14ac:dyDescent="0.25">
      <c r="A2845" s="16">
        <v>42759</v>
      </c>
      <c r="B2845" s="17" t="s">
        <v>3235</v>
      </c>
      <c r="C2845" s="18">
        <v>98442</v>
      </c>
      <c r="D2845" s="2" t="s">
        <v>264</v>
      </c>
      <c r="E2845" s="15">
        <v>128786</v>
      </c>
      <c r="F2845" s="123">
        <v>42865</v>
      </c>
      <c r="G2845" s="14">
        <v>128786</v>
      </c>
      <c r="H2845" s="15">
        <f t="shared" si="45"/>
        <v>0</v>
      </c>
      <c r="I2845" s="19"/>
    </row>
    <row r="2846" spans="1:9" x14ac:dyDescent="0.25">
      <c r="A2846" s="16">
        <v>42759</v>
      </c>
      <c r="B2846" s="17" t="s">
        <v>3236</v>
      </c>
      <c r="C2846" s="18">
        <v>98443</v>
      </c>
      <c r="D2846" s="2" t="s">
        <v>222</v>
      </c>
      <c r="E2846" s="15">
        <v>32291</v>
      </c>
      <c r="F2846" s="36" t="s">
        <v>3126</v>
      </c>
      <c r="G2846" s="15">
        <v>32291</v>
      </c>
      <c r="H2846" s="15">
        <f t="shared" si="45"/>
        <v>0</v>
      </c>
      <c r="I2846" s="19"/>
    </row>
    <row r="2847" spans="1:9" x14ac:dyDescent="0.25">
      <c r="A2847" s="16">
        <v>42759</v>
      </c>
      <c r="B2847" s="17" t="s">
        <v>3237</v>
      </c>
      <c r="C2847" s="18">
        <v>98444</v>
      </c>
      <c r="D2847" s="2" t="s">
        <v>222</v>
      </c>
      <c r="E2847" s="15">
        <v>477603</v>
      </c>
      <c r="F2847" s="36" t="s">
        <v>2166</v>
      </c>
      <c r="G2847" s="15">
        <v>477603</v>
      </c>
      <c r="H2847" s="15">
        <f t="shared" si="45"/>
        <v>0</v>
      </c>
      <c r="I2847" s="19"/>
    </row>
    <row r="2848" spans="1:9" x14ac:dyDescent="0.25">
      <c r="A2848" s="16">
        <v>42759</v>
      </c>
      <c r="B2848" s="17" t="s">
        <v>3238</v>
      </c>
      <c r="C2848" s="18">
        <v>98445</v>
      </c>
      <c r="D2848" s="2" t="s">
        <v>222</v>
      </c>
      <c r="E2848" s="15">
        <v>246140</v>
      </c>
      <c r="F2848" s="36" t="s">
        <v>3126</v>
      </c>
      <c r="G2848" s="15">
        <v>246140</v>
      </c>
      <c r="H2848" s="15">
        <f t="shared" si="45"/>
        <v>0</v>
      </c>
      <c r="I2848" s="19"/>
    </row>
    <row r="2849" spans="1:9" x14ac:dyDescent="0.25">
      <c r="A2849" s="16">
        <v>42759</v>
      </c>
      <c r="B2849" s="17" t="s">
        <v>3239</v>
      </c>
      <c r="C2849" s="18">
        <v>98446</v>
      </c>
      <c r="D2849" s="2" t="s">
        <v>312</v>
      </c>
      <c r="E2849" s="15">
        <v>31320</v>
      </c>
      <c r="F2849" s="36" t="s">
        <v>313</v>
      </c>
      <c r="G2849" s="15">
        <v>31320</v>
      </c>
      <c r="H2849" s="15">
        <f t="shared" si="45"/>
        <v>0</v>
      </c>
      <c r="I2849" s="19"/>
    </row>
    <row r="2850" spans="1:9" x14ac:dyDescent="0.25">
      <c r="A2850" s="16">
        <v>42760</v>
      </c>
      <c r="B2850" s="17" t="s">
        <v>3240</v>
      </c>
      <c r="C2850" s="18">
        <v>98447</v>
      </c>
      <c r="D2850" s="2" t="s">
        <v>231</v>
      </c>
      <c r="E2850" s="15">
        <v>10883.5</v>
      </c>
      <c r="F2850" s="36" t="s">
        <v>1391</v>
      </c>
      <c r="G2850" s="15">
        <v>10883.5</v>
      </c>
      <c r="H2850" s="15">
        <f t="shared" si="45"/>
        <v>0</v>
      </c>
      <c r="I2850" s="19"/>
    </row>
    <row r="2851" spans="1:9" x14ac:dyDescent="0.25">
      <c r="A2851" s="16">
        <v>42760</v>
      </c>
      <c r="B2851" s="17" t="s">
        <v>3241</v>
      </c>
      <c r="C2851" s="18">
        <v>98448</v>
      </c>
      <c r="D2851" s="2" t="s">
        <v>92</v>
      </c>
      <c r="E2851" s="15">
        <v>2889.6</v>
      </c>
      <c r="F2851" s="36" t="s">
        <v>166</v>
      </c>
      <c r="G2851" s="15">
        <v>2889.6</v>
      </c>
      <c r="H2851" s="15">
        <f t="shared" si="45"/>
        <v>0</v>
      </c>
      <c r="I2851" s="19"/>
    </row>
    <row r="2852" spans="1:9" x14ac:dyDescent="0.25">
      <c r="A2852" s="16">
        <v>42760</v>
      </c>
      <c r="B2852" s="17" t="s">
        <v>3242</v>
      </c>
      <c r="C2852" s="18">
        <v>98449</v>
      </c>
      <c r="D2852" s="2" t="s">
        <v>1259</v>
      </c>
      <c r="E2852" s="15">
        <v>1185.5999999999999</v>
      </c>
      <c r="F2852" s="36" t="s">
        <v>166</v>
      </c>
      <c r="G2852" s="15">
        <v>1185.5999999999999</v>
      </c>
      <c r="H2852" s="15">
        <f t="shared" si="45"/>
        <v>0</v>
      </c>
      <c r="I2852" s="19"/>
    </row>
    <row r="2853" spans="1:9" x14ac:dyDescent="0.25">
      <c r="A2853" s="16">
        <v>42760</v>
      </c>
      <c r="B2853" s="17" t="s">
        <v>3243</v>
      </c>
      <c r="C2853" s="18">
        <v>98450</v>
      </c>
      <c r="D2853" s="2" t="s">
        <v>1081</v>
      </c>
      <c r="E2853" s="15">
        <v>2615.04</v>
      </c>
      <c r="F2853" s="36" t="s">
        <v>166</v>
      </c>
      <c r="G2853" s="15">
        <v>2615.04</v>
      </c>
      <c r="H2853" s="15">
        <f t="shared" si="45"/>
        <v>0</v>
      </c>
      <c r="I2853" s="19"/>
    </row>
    <row r="2854" spans="1:9" x14ac:dyDescent="0.25">
      <c r="A2854" s="16">
        <v>42760</v>
      </c>
      <c r="B2854" s="17" t="s">
        <v>3244</v>
      </c>
      <c r="C2854" s="18">
        <v>98451</v>
      </c>
      <c r="D2854" s="2" t="s">
        <v>99</v>
      </c>
      <c r="E2854" s="15">
        <v>1200</v>
      </c>
      <c r="F2854" s="36" t="s">
        <v>166</v>
      </c>
      <c r="G2854" s="15">
        <v>1200</v>
      </c>
      <c r="H2854" s="15">
        <f t="shared" si="45"/>
        <v>0</v>
      </c>
      <c r="I2854" s="19"/>
    </row>
    <row r="2855" spans="1:9" x14ac:dyDescent="0.25">
      <c r="A2855" s="16">
        <v>42760</v>
      </c>
      <c r="B2855" s="17" t="s">
        <v>3245</v>
      </c>
      <c r="C2855" s="18">
        <v>98452</v>
      </c>
      <c r="D2855" s="2" t="s">
        <v>1081</v>
      </c>
      <c r="E2855" s="15">
        <v>387.4</v>
      </c>
      <c r="F2855" s="36" t="s">
        <v>166</v>
      </c>
      <c r="G2855" s="15">
        <v>387.4</v>
      </c>
      <c r="H2855" s="15">
        <f t="shared" si="45"/>
        <v>0</v>
      </c>
      <c r="I2855" s="19"/>
    </row>
    <row r="2856" spans="1:9" x14ac:dyDescent="0.25">
      <c r="A2856" s="16">
        <v>42760</v>
      </c>
      <c r="B2856" s="17" t="s">
        <v>3246</v>
      </c>
      <c r="C2856" s="18">
        <v>98453</v>
      </c>
      <c r="D2856" s="2" t="s">
        <v>281</v>
      </c>
      <c r="E2856" s="15">
        <v>1310</v>
      </c>
      <c r="F2856" s="36" t="s">
        <v>166</v>
      </c>
      <c r="G2856" s="15">
        <v>1310</v>
      </c>
      <c r="H2856" s="15">
        <f t="shared" si="45"/>
        <v>0</v>
      </c>
      <c r="I2856" s="19"/>
    </row>
    <row r="2857" spans="1:9" x14ac:dyDescent="0.25">
      <c r="A2857" s="16">
        <v>42760</v>
      </c>
      <c r="B2857" s="17" t="s">
        <v>3247</v>
      </c>
      <c r="C2857" s="18">
        <v>98454</v>
      </c>
      <c r="D2857" s="2" t="s">
        <v>83</v>
      </c>
      <c r="E2857" s="15">
        <v>4120.8999999999996</v>
      </c>
      <c r="F2857" s="36" t="s">
        <v>166</v>
      </c>
      <c r="G2857" s="15">
        <v>4120.8999999999996</v>
      </c>
      <c r="H2857" s="15">
        <f t="shared" si="45"/>
        <v>0</v>
      </c>
      <c r="I2857" s="19"/>
    </row>
    <row r="2858" spans="1:9" x14ac:dyDescent="0.25">
      <c r="A2858" s="16">
        <v>42760</v>
      </c>
      <c r="B2858" s="17" t="s">
        <v>3248</v>
      </c>
      <c r="C2858" s="18">
        <v>98455</v>
      </c>
      <c r="D2858" s="2" t="s">
        <v>231</v>
      </c>
      <c r="E2858" s="15">
        <v>35644.6</v>
      </c>
      <c r="F2858" s="36" t="s">
        <v>1391</v>
      </c>
      <c r="G2858" s="15">
        <f>22500+13144.6</f>
        <v>35644.6</v>
      </c>
      <c r="H2858" s="15">
        <f t="shared" si="45"/>
        <v>0</v>
      </c>
      <c r="I2858" s="19"/>
    </row>
    <row r="2859" spans="1:9" x14ac:dyDescent="0.25">
      <c r="A2859" s="16">
        <v>42760</v>
      </c>
      <c r="B2859" s="17" t="s">
        <v>3249</v>
      </c>
      <c r="C2859" s="18">
        <v>98456</v>
      </c>
      <c r="D2859" s="2" t="s">
        <v>450</v>
      </c>
      <c r="E2859" s="15">
        <v>2286.5</v>
      </c>
      <c r="F2859" s="36" t="s">
        <v>166</v>
      </c>
      <c r="G2859" s="15">
        <v>2286.5</v>
      </c>
      <c r="H2859" s="15">
        <f t="shared" si="45"/>
        <v>0</v>
      </c>
      <c r="I2859" s="19"/>
    </row>
    <row r="2860" spans="1:9" x14ac:dyDescent="0.25">
      <c r="A2860" s="16">
        <v>42760</v>
      </c>
      <c r="B2860" s="17" t="s">
        <v>3250</v>
      </c>
      <c r="C2860" s="18">
        <v>98457</v>
      </c>
      <c r="D2860" s="2" t="s">
        <v>17</v>
      </c>
      <c r="E2860" s="15">
        <v>1920</v>
      </c>
      <c r="F2860" s="36" t="s">
        <v>166</v>
      </c>
      <c r="G2860" s="15">
        <v>1920</v>
      </c>
      <c r="H2860" s="15">
        <f t="shared" si="45"/>
        <v>0</v>
      </c>
      <c r="I2860" s="19"/>
    </row>
    <row r="2861" spans="1:9" x14ac:dyDescent="0.25">
      <c r="A2861" s="16">
        <v>42760</v>
      </c>
      <c r="B2861" s="17" t="s">
        <v>3251</v>
      </c>
      <c r="C2861" s="18">
        <v>98458</v>
      </c>
      <c r="D2861" s="2" t="s">
        <v>81</v>
      </c>
      <c r="E2861" s="15">
        <v>6432.2</v>
      </c>
      <c r="F2861" s="36" t="s">
        <v>166</v>
      </c>
      <c r="G2861" s="15">
        <v>6432.2</v>
      </c>
      <c r="H2861" s="15">
        <f t="shared" si="45"/>
        <v>0</v>
      </c>
      <c r="I2861" s="19"/>
    </row>
    <row r="2862" spans="1:9" x14ac:dyDescent="0.25">
      <c r="A2862" s="16">
        <v>42760</v>
      </c>
      <c r="B2862" s="17" t="s">
        <v>3252</v>
      </c>
      <c r="C2862" s="18">
        <v>98459</v>
      </c>
      <c r="D2862" s="2" t="s">
        <v>291</v>
      </c>
      <c r="E2862" s="15">
        <v>1847.3</v>
      </c>
      <c r="F2862" s="36" t="s">
        <v>166</v>
      </c>
      <c r="G2862" s="15">
        <v>1847.3</v>
      </c>
      <c r="H2862" s="15">
        <f t="shared" si="45"/>
        <v>0</v>
      </c>
      <c r="I2862" s="19"/>
    </row>
    <row r="2863" spans="1:9" x14ac:dyDescent="0.25">
      <c r="A2863" s="16">
        <v>42760</v>
      </c>
      <c r="B2863" s="17" t="s">
        <v>3253</v>
      </c>
      <c r="C2863" s="18">
        <v>98460</v>
      </c>
      <c r="D2863" s="2" t="s">
        <v>1380</v>
      </c>
      <c r="E2863" s="15">
        <v>5953.8</v>
      </c>
      <c r="F2863" s="36" t="s">
        <v>166</v>
      </c>
      <c r="G2863" s="15">
        <v>5953.8</v>
      </c>
      <c r="H2863" s="15">
        <f t="shared" si="45"/>
        <v>0</v>
      </c>
      <c r="I2863" s="19"/>
    </row>
    <row r="2864" spans="1:9" x14ac:dyDescent="0.25">
      <c r="A2864" s="16">
        <v>42760</v>
      </c>
      <c r="B2864" s="17" t="s">
        <v>3254</v>
      </c>
      <c r="C2864" s="18">
        <v>98461</v>
      </c>
      <c r="D2864" s="2" t="s">
        <v>544</v>
      </c>
      <c r="E2864" s="15">
        <v>4430.8</v>
      </c>
      <c r="F2864" s="36" t="s">
        <v>1889</v>
      </c>
      <c r="G2864" s="15">
        <v>4430.8</v>
      </c>
      <c r="H2864" s="15">
        <f t="shared" si="45"/>
        <v>0</v>
      </c>
      <c r="I2864" s="19"/>
    </row>
    <row r="2865" spans="1:9" x14ac:dyDescent="0.25">
      <c r="A2865" s="16">
        <v>42760</v>
      </c>
      <c r="B2865" s="17" t="s">
        <v>3255</v>
      </c>
      <c r="C2865" s="18">
        <v>98462</v>
      </c>
      <c r="D2865" s="2" t="s">
        <v>19</v>
      </c>
      <c r="E2865" s="15">
        <v>960</v>
      </c>
      <c r="F2865" s="36" t="s">
        <v>166</v>
      </c>
      <c r="G2865" s="15">
        <v>960</v>
      </c>
      <c r="H2865" s="15">
        <f t="shared" si="45"/>
        <v>0</v>
      </c>
      <c r="I2865" s="19"/>
    </row>
    <row r="2866" spans="1:9" x14ac:dyDescent="0.25">
      <c r="A2866" s="16">
        <v>42760</v>
      </c>
      <c r="B2866" s="17" t="s">
        <v>3256</v>
      </c>
      <c r="C2866" s="18">
        <v>98463</v>
      </c>
      <c r="D2866" s="2" t="s">
        <v>109</v>
      </c>
      <c r="E2866" s="15">
        <v>4520.8999999999996</v>
      </c>
      <c r="F2866" s="36" t="s">
        <v>166</v>
      </c>
      <c r="G2866" s="15">
        <v>4520.8999999999996</v>
      </c>
      <c r="H2866" s="15">
        <f t="shared" si="45"/>
        <v>0</v>
      </c>
      <c r="I2866" s="19"/>
    </row>
    <row r="2867" spans="1:9" x14ac:dyDescent="0.25">
      <c r="A2867" s="16">
        <v>42760</v>
      </c>
      <c r="B2867" s="17" t="s">
        <v>3257</v>
      </c>
      <c r="C2867" s="18">
        <v>98464</v>
      </c>
      <c r="D2867" s="2" t="s">
        <v>28</v>
      </c>
      <c r="E2867" s="15">
        <v>9539.2000000000007</v>
      </c>
      <c r="F2867" s="36" t="s">
        <v>166</v>
      </c>
      <c r="G2867" s="15">
        <v>9539.2000000000007</v>
      </c>
      <c r="H2867" s="15">
        <f t="shared" si="45"/>
        <v>0</v>
      </c>
      <c r="I2867" s="19"/>
    </row>
    <row r="2868" spans="1:9" x14ac:dyDescent="0.25">
      <c r="A2868" s="16">
        <v>42760</v>
      </c>
      <c r="B2868" s="17" t="s">
        <v>3258</v>
      </c>
      <c r="C2868" s="18">
        <v>98465</v>
      </c>
      <c r="D2868" s="2" t="s">
        <v>26</v>
      </c>
      <c r="E2868" s="15">
        <v>17680</v>
      </c>
      <c r="F2868" s="36" t="s">
        <v>166</v>
      </c>
      <c r="G2868" s="15">
        <v>17680</v>
      </c>
      <c r="H2868" s="15">
        <f t="shared" si="45"/>
        <v>0</v>
      </c>
      <c r="I2868" s="19"/>
    </row>
    <row r="2869" spans="1:9" x14ac:dyDescent="0.25">
      <c r="A2869" s="16">
        <v>42760</v>
      </c>
      <c r="B2869" s="17" t="s">
        <v>3259</v>
      </c>
      <c r="C2869" s="18">
        <v>98466</v>
      </c>
      <c r="D2869" s="2" t="s">
        <v>289</v>
      </c>
      <c r="E2869" s="15">
        <v>48906.53</v>
      </c>
      <c r="F2869" s="36" t="s">
        <v>3164</v>
      </c>
      <c r="G2869" s="15">
        <v>48906.53</v>
      </c>
      <c r="H2869" s="15">
        <f t="shared" si="45"/>
        <v>0</v>
      </c>
      <c r="I2869" s="19"/>
    </row>
    <row r="2870" spans="1:9" x14ac:dyDescent="0.25">
      <c r="A2870" s="16">
        <v>42760</v>
      </c>
      <c r="B2870" s="17" t="s">
        <v>3260</v>
      </c>
      <c r="C2870" s="18">
        <v>98467</v>
      </c>
      <c r="D2870" s="2" t="s">
        <v>32</v>
      </c>
      <c r="E2870" s="15">
        <v>6919</v>
      </c>
      <c r="F2870" s="36" t="s">
        <v>2143</v>
      </c>
      <c r="G2870" s="15">
        <v>6919</v>
      </c>
      <c r="H2870" s="15">
        <f t="shared" si="45"/>
        <v>0</v>
      </c>
      <c r="I2870" s="19"/>
    </row>
    <row r="2871" spans="1:9" x14ac:dyDescent="0.25">
      <c r="A2871" s="16">
        <v>42760</v>
      </c>
      <c r="B2871" s="17" t="s">
        <v>3261</v>
      </c>
      <c r="C2871" s="18">
        <v>98468</v>
      </c>
      <c r="D2871" s="2" t="s">
        <v>49</v>
      </c>
      <c r="E2871" s="15">
        <v>7568.4</v>
      </c>
      <c r="F2871" s="36" t="s">
        <v>1391</v>
      </c>
      <c r="G2871" s="15">
        <v>7568.4</v>
      </c>
      <c r="H2871" s="15">
        <f t="shared" si="45"/>
        <v>0</v>
      </c>
      <c r="I2871" s="19"/>
    </row>
    <row r="2872" spans="1:9" x14ac:dyDescent="0.25">
      <c r="A2872" s="16">
        <v>42760</v>
      </c>
      <c r="B2872" s="17" t="s">
        <v>3262</v>
      </c>
      <c r="C2872" s="18">
        <v>98469</v>
      </c>
      <c r="D2872" s="2" t="s">
        <v>428</v>
      </c>
      <c r="E2872" s="15">
        <v>1454.4</v>
      </c>
      <c r="F2872" s="36" t="s">
        <v>2143</v>
      </c>
      <c r="G2872" s="15">
        <v>1454.4</v>
      </c>
      <c r="H2872" s="15">
        <f t="shared" si="45"/>
        <v>0</v>
      </c>
      <c r="I2872" s="19"/>
    </row>
    <row r="2873" spans="1:9" x14ac:dyDescent="0.25">
      <c r="A2873" s="16">
        <v>42760</v>
      </c>
      <c r="B2873" s="17" t="s">
        <v>3263</v>
      </c>
      <c r="C2873" s="18">
        <v>98470</v>
      </c>
      <c r="D2873" s="2" t="s">
        <v>105</v>
      </c>
      <c r="E2873" s="15">
        <v>517.4</v>
      </c>
      <c r="F2873" s="36" t="s">
        <v>166</v>
      </c>
      <c r="G2873" s="15">
        <v>517.4</v>
      </c>
      <c r="H2873" s="15">
        <f t="shared" si="45"/>
        <v>0</v>
      </c>
      <c r="I2873" s="19"/>
    </row>
    <row r="2874" spans="1:9" x14ac:dyDescent="0.25">
      <c r="A2874" s="16">
        <v>42760</v>
      </c>
      <c r="B2874" s="17" t="s">
        <v>3264</v>
      </c>
      <c r="C2874" s="18">
        <v>98471</v>
      </c>
      <c r="D2874" s="2" t="s">
        <v>103</v>
      </c>
      <c r="E2874" s="15">
        <v>721.8</v>
      </c>
      <c r="F2874" s="36" t="s">
        <v>1391</v>
      </c>
      <c r="G2874" s="15">
        <v>721.8</v>
      </c>
      <c r="H2874" s="15">
        <f t="shared" si="45"/>
        <v>0</v>
      </c>
      <c r="I2874" s="19"/>
    </row>
    <row r="2875" spans="1:9" x14ac:dyDescent="0.25">
      <c r="A2875" s="16">
        <v>42760</v>
      </c>
      <c r="B2875" s="17" t="s">
        <v>3265</v>
      </c>
      <c r="C2875" s="18">
        <v>98472</v>
      </c>
      <c r="D2875" s="13" t="s">
        <v>38</v>
      </c>
      <c r="E2875" s="14">
        <v>0</v>
      </c>
      <c r="F2875" s="123" t="s">
        <v>95</v>
      </c>
      <c r="G2875" s="14">
        <v>0</v>
      </c>
      <c r="H2875" s="14">
        <f t="shared" si="45"/>
        <v>0</v>
      </c>
      <c r="I2875" s="19"/>
    </row>
    <row r="2876" spans="1:9" x14ac:dyDescent="0.25">
      <c r="A2876" s="16">
        <v>42760</v>
      </c>
      <c r="B2876" s="17" t="s">
        <v>3266</v>
      </c>
      <c r="C2876" s="18">
        <v>98473</v>
      </c>
      <c r="D2876" s="2" t="s">
        <v>1306</v>
      </c>
      <c r="E2876" s="15">
        <v>457.5</v>
      </c>
      <c r="F2876" s="36" t="s">
        <v>166</v>
      </c>
      <c r="G2876" s="15">
        <v>457.5</v>
      </c>
      <c r="H2876" s="15">
        <f t="shared" si="45"/>
        <v>0</v>
      </c>
      <c r="I2876" s="19"/>
    </row>
    <row r="2877" spans="1:9" x14ac:dyDescent="0.25">
      <c r="A2877" s="16">
        <v>42760</v>
      </c>
      <c r="B2877" s="17" t="s">
        <v>3267</v>
      </c>
      <c r="C2877" s="18">
        <v>98474</v>
      </c>
      <c r="D2877" s="2" t="s">
        <v>38</v>
      </c>
      <c r="E2877" s="15">
        <v>2778.7</v>
      </c>
      <c r="F2877" s="36" t="s">
        <v>2143</v>
      </c>
      <c r="G2877" s="15">
        <v>2778.7</v>
      </c>
      <c r="H2877" s="15">
        <f t="shared" si="45"/>
        <v>0</v>
      </c>
      <c r="I2877" s="19"/>
    </row>
    <row r="2878" spans="1:9" x14ac:dyDescent="0.25">
      <c r="A2878" s="16">
        <v>42760</v>
      </c>
      <c r="B2878" s="17" t="s">
        <v>3268</v>
      </c>
      <c r="C2878" s="18">
        <v>98475</v>
      </c>
      <c r="D2878" s="2" t="s">
        <v>43</v>
      </c>
      <c r="E2878" s="15">
        <v>270.39999999999998</v>
      </c>
      <c r="F2878" s="36" t="s">
        <v>1391</v>
      </c>
      <c r="G2878" s="15">
        <v>270.39999999999998</v>
      </c>
      <c r="H2878" s="15">
        <f t="shared" si="45"/>
        <v>0</v>
      </c>
      <c r="I2878" s="19"/>
    </row>
    <row r="2879" spans="1:9" x14ac:dyDescent="0.25">
      <c r="A2879" s="16">
        <v>42760</v>
      </c>
      <c r="B2879" s="17" t="s">
        <v>3269</v>
      </c>
      <c r="C2879" s="18">
        <v>98476</v>
      </c>
      <c r="D2879" s="2" t="s">
        <v>35</v>
      </c>
      <c r="E2879" s="15">
        <v>11542.25</v>
      </c>
      <c r="F2879" s="36" t="s">
        <v>2143</v>
      </c>
      <c r="G2879" s="15">
        <v>11542.25</v>
      </c>
      <c r="H2879" s="15">
        <f t="shared" si="45"/>
        <v>0</v>
      </c>
      <c r="I2879" s="19"/>
    </row>
    <row r="2880" spans="1:9" x14ac:dyDescent="0.25">
      <c r="A2880" s="16">
        <v>42760</v>
      </c>
      <c r="B2880" s="17" t="s">
        <v>3270</v>
      </c>
      <c r="C2880" s="18">
        <v>98477</v>
      </c>
      <c r="D2880" s="2" t="s">
        <v>51</v>
      </c>
      <c r="E2880" s="15">
        <v>682.3</v>
      </c>
      <c r="F2880" s="36" t="s">
        <v>1391</v>
      </c>
      <c r="G2880" s="15">
        <v>682.3</v>
      </c>
      <c r="H2880" s="15">
        <f t="shared" si="45"/>
        <v>0</v>
      </c>
      <c r="I2880" s="19"/>
    </row>
    <row r="2881" spans="1:9" x14ac:dyDescent="0.25">
      <c r="A2881" s="16">
        <v>42760</v>
      </c>
      <c r="B2881" s="17" t="s">
        <v>3271</v>
      </c>
      <c r="C2881" s="18">
        <v>98478</v>
      </c>
      <c r="D2881" s="2" t="s">
        <v>253</v>
      </c>
      <c r="E2881" s="15">
        <v>4449.3</v>
      </c>
      <c r="F2881" s="36" t="s">
        <v>3272</v>
      </c>
      <c r="G2881" s="15">
        <v>4449.3</v>
      </c>
      <c r="H2881" s="15">
        <f t="shared" si="45"/>
        <v>0</v>
      </c>
      <c r="I2881" s="19"/>
    </row>
    <row r="2882" spans="1:9" x14ac:dyDescent="0.25">
      <c r="A2882" s="16">
        <v>42760</v>
      </c>
      <c r="B2882" s="17" t="s">
        <v>3273</v>
      </c>
      <c r="C2882" s="18">
        <v>98479</v>
      </c>
      <c r="D2882" s="2" t="s">
        <v>218</v>
      </c>
      <c r="E2882" s="15">
        <v>106963.7</v>
      </c>
      <c r="F2882" s="36" t="s">
        <v>307</v>
      </c>
      <c r="G2882" s="15">
        <v>106963.7</v>
      </c>
      <c r="H2882" s="15">
        <f t="shared" si="45"/>
        <v>0</v>
      </c>
      <c r="I2882" s="19"/>
    </row>
    <row r="2883" spans="1:9" x14ac:dyDescent="0.25">
      <c r="A2883" s="16">
        <v>42760</v>
      </c>
      <c r="B2883" s="17" t="s">
        <v>3274</v>
      </c>
      <c r="C2883" s="18">
        <v>98480</v>
      </c>
      <c r="D2883" s="2" t="s">
        <v>2986</v>
      </c>
      <c r="E2883" s="15">
        <v>3845.6</v>
      </c>
      <c r="F2883" s="36" t="s">
        <v>166</v>
      </c>
      <c r="G2883" s="15">
        <v>3845.6</v>
      </c>
      <c r="H2883" s="15">
        <f t="shared" si="45"/>
        <v>0</v>
      </c>
      <c r="I2883" s="19"/>
    </row>
    <row r="2884" spans="1:9" x14ac:dyDescent="0.25">
      <c r="A2884" s="16">
        <v>42760</v>
      </c>
      <c r="B2884" s="17" t="s">
        <v>3275</v>
      </c>
      <c r="C2884" s="18">
        <v>98481</v>
      </c>
      <c r="D2884" s="2" t="s">
        <v>85</v>
      </c>
      <c r="E2884" s="15">
        <v>30736.400000000001</v>
      </c>
      <c r="F2884" s="36" t="s">
        <v>1391</v>
      </c>
      <c r="G2884" s="15">
        <f>20000+10736.4</f>
        <v>30736.400000000001</v>
      </c>
      <c r="H2884" s="15">
        <f t="shared" si="45"/>
        <v>0</v>
      </c>
      <c r="I2884" s="19"/>
    </row>
    <row r="2885" spans="1:9" x14ac:dyDescent="0.25">
      <c r="A2885" s="16">
        <v>42760</v>
      </c>
      <c r="B2885" s="17" t="s">
        <v>3276</v>
      </c>
      <c r="C2885" s="18">
        <v>98482</v>
      </c>
      <c r="D2885" s="2" t="s">
        <v>63</v>
      </c>
      <c r="E2885" s="15">
        <v>1474.4</v>
      </c>
      <c r="F2885" s="36" t="s">
        <v>1391</v>
      </c>
      <c r="G2885" s="15">
        <v>1474.4</v>
      </c>
      <c r="H2885" s="15">
        <f t="shared" si="45"/>
        <v>0</v>
      </c>
      <c r="I2885" s="19"/>
    </row>
    <row r="2886" spans="1:9" x14ac:dyDescent="0.25">
      <c r="A2886" s="16">
        <v>42760</v>
      </c>
      <c r="B2886" s="17" t="s">
        <v>3277</v>
      </c>
      <c r="C2886" s="18">
        <v>98483</v>
      </c>
      <c r="D2886" s="2" t="s">
        <v>67</v>
      </c>
      <c r="E2886" s="15">
        <v>3137.6</v>
      </c>
      <c r="F2886" s="36" t="s">
        <v>2009</v>
      </c>
      <c r="G2886" s="15">
        <v>3137.6</v>
      </c>
      <c r="H2886" s="15">
        <f t="shared" ref="H2886:H2949" si="46">E2886-G2886</f>
        <v>0</v>
      </c>
      <c r="I2886" s="19"/>
    </row>
    <row r="2887" spans="1:9" x14ac:dyDescent="0.25">
      <c r="A2887" s="16">
        <v>42760</v>
      </c>
      <c r="B2887" s="17" t="s">
        <v>3278</v>
      </c>
      <c r="C2887" s="18">
        <v>98484</v>
      </c>
      <c r="D2887" s="2" t="s">
        <v>974</v>
      </c>
      <c r="E2887" s="15">
        <v>8981.4</v>
      </c>
      <c r="F2887" s="36" t="s">
        <v>166</v>
      </c>
      <c r="G2887" s="15">
        <v>8981.4</v>
      </c>
      <c r="H2887" s="15">
        <f t="shared" si="46"/>
        <v>0</v>
      </c>
      <c r="I2887" s="19"/>
    </row>
    <row r="2888" spans="1:9" x14ac:dyDescent="0.25">
      <c r="A2888" s="16">
        <v>42760</v>
      </c>
      <c r="B2888" s="17" t="s">
        <v>3279</v>
      </c>
      <c r="C2888" s="18">
        <v>98485</v>
      </c>
      <c r="D2888" s="2" t="s">
        <v>30</v>
      </c>
      <c r="E2888" s="15">
        <v>2982.2</v>
      </c>
      <c r="F2888" s="36" t="s">
        <v>166</v>
      </c>
      <c r="G2888" s="15">
        <v>2982.2</v>
      </c>
      <c r="H2888" s="15">
        <f t="shared" si="46"/>
        <v>0</v>
      </c>
      <c r="I2888" s="19"/>
    </row>
    <row r="2889" spans="1:9" x14ac:dyDescent="0.25">
      <c r="A2889" s="16">
        <v>42760</v>
      </c>
      <c r="B2889" s="17" t="s">
        <v>3280</v>
      </c>
      <c r="C2889" s="18">
        <v>98486</v>
      </c>
      <c r="D2889" s="2" t="s">
        <v>47</v>
      </c>
      <c r="E2889" s="15">
        <v>3259.5</v>
      </c>
      <c r="F2889" s="36" t="s">
        <v>166</v>
      </c>
      <c r="G2889" s="15">
        <v>3259.5</v>
      </c>
      <c r="H2889" s="15">
        <f t="shared" si="46"/>
        <v>0</v>
      </c>
      <c r="I2889" s="19"/>
    </row>
    <row r="2890" spans="1:9" x14ac:dyDescent="0.25">
      <c r="A2890" s="16">
        <v>42760</v>
      </c>
      <c r="B2890" s="17" t="s">
        <v>3281</v>
      </c>
      <c r="C2890" s="18">
        <v>98487</v>
      </c>
      <c r="D2890" s="2" t="s">
        <v>10</v>
      </c>
      <c r="E2890" s="15">
        <v>577.6</v>
      </c>
      <c r="F2890" s="36" t="s">
        <v>2166</v>
      </c>
      <c r="G2890" s="15">
        <v>577.6</v>
      </c>
      <c r="H2890" s="15">
        <f t="shared" si="46"/>
        <v>0</v>
      </c>
      <c r="I2890" s="19"/>
    </row>
    <row r="2891" spans="1:9" x14ac:dyDescent="0.25">
      <c r="A2891" s="16">
        <v>42760</v>
      </c>
      <c r="B2891" s="17" t="s">
        <v>3282</v>
      </c>
      <c r="C2891" s="18">
        <v>98488</v>
      </c>
      <c r="D2891" s="2" t="s">
        <v>405</v>
      </c>
      <c r="E2891" s="15">
        <v>6051.6</v>
      </c>
      <c r="F2891" s="36" t="s">
        <v>166</v>
      </c>
      <c r="G2891" s="15">
        <v>6051.6</v>
      </c>
      <c r="H2891" s="15">
        <f t="shared" si="46"/>
        <v>0</v>
      </c>
      <c r="I2891" s="19"/>
    </row>
    <row r="2892" spans="1:9" x14ac:dyDescent="0.25">
      <c r="A2892" s="16">
        <v>42760</v>
      </c>
      <c r="B2892" s="17" t="s">
        <v>3283</v>
      </c>
      <c r="C2892" s="18">
        <v>98489</v>
      </c>
      <c r="D2892" s="2" t="s">
        <v>430</v>
      </c>
      <c r="E2892" s="15">
        <v>1264.2</v>
      </c>
      <c r="F2892" s="36" t="s">
        <v>166</v>
      </c>
      <c r="G2892" s="15">
        <v>1264.2</v>
      </c>
      <c r="H2892" s="15">
        <f t="shared" si="46"/>
        <v>0</v>
      </c>
      <c r="I2892" s="19"/>
    </row>
    <row r="2893" spans="1:9" x14ac:dyDescent="0.25">
      <c r="A2893" s="16">
        <v>42760</v>
      </c>
      <c r="B2893" s="17" t="s">
        <v>3284</v>
      </c>
      <c r="C2893" s="18">
        <v>98490</v>
      </c>
      <c r="D2893" s="2" t="s">
        <v>161</v>
      </c>
      <c r="E2893" s="15">
        <v>25370.799999999999</v>
      </c>
      <c r="F2893" s="36" t="s">
        <v>2724</v>
      </c>
      <c r="G2893" s="15">
        <v>25370.799999999999</v>
      </c>
      <c r="H2893" s="15">
        <f t="shared" si="46"/>
        <v>0</v>
      </c>
      <c r="I2893" s="19"/>
    </row>
    <row r="2894" spans="1:9" x14ac:dyDescent="0.25">
      <c r="A2894" s="16">
        <v>42760</v>
      </c>
      <c r="B2894" s="17" t="s">
        <v>3285</v>
      </c>
      <c r="C2894" s="18">
        <v>98491</v>
      </c>
      <c r="D2894" s="2" t="s">
        <v>71</v>
      </c>
      <c r="E2894" s="15">
        <v>2492</v>
      </c>
      <c r="F2894" s="36" t="s">
        <v>166</v>
      </c>
      <c r="G2894" s="15">
        <v>2492</v>
      </c>
      <c r="H2894" s="15">
        <f t="shared" si="46"/>
        <v>0</v>
      </c>
      <c r="I2894" s="19"/>
    </row>
    <row r="2895" spans="1:9" x14ac:dyDescent="0.25">
      <c r="A2895" s="16">
        <v>42760</v>
      </c>
      <c r="B2895" s="17" t="s">
        <v>3286</v>
      </c>
      <c r="C2895" s="18">
        <v>98492</v>
      </c>
      <c r="D2895" s="2" t="s">
        <v>264</v>
      </c>
      <c r="E2895" s="15">
        <v>5380.2</v>
      </c>
      <c r="F2895" s="36" t="s">
        <v>166</v>
      </c>
      <c r="G2895" s="15">
        <v>5380.2</v>
      </c>
      <c r="H2895" s="15">
        <f t="shared" si="46"/>
        <v>0</v>
      </c>
      <c r="I2895" s="19"/>
    </row>
    <row r="2896" spans="1:9" x14ac:dyDescent="0.25">
      <c r="A2896" s="16">
        <v>42760</v>
      </c>
      <c r="B2896" s="17" t="s">
        <v>3287</v>
      </c>
      <c r="C2896" s="18">
        <v>98493</v>
      </c>
      <c r="D2896" s="2" t="s">
        <v>268</v>
      </c>
      <c r="E2896" s="15">
        <v>18244.8</v>
      </c>
      <c r="F2896" s="36" t="s">
        <v>1889</v>
      </c>
      <c r="G2896" s="15">
        <v>18244.8</v>
      </c>
      <c r="H2896" s="15">
        <f t="shared" si="46"/>
        <v>0</v>
      </c>
      <c r="I2896" s="19"/>
    </row>
    <row r="2897" spans="1:9" x14ac:dyDescent="0.25">
      <c r="A2897" s="16">
        <v>42760</v>
      </c>
      <c r="B2897" s="17" t="s">
        <v>3288</v>
      </c>
      <c r="C2897" s="18">
        <v>98494</v>
      </c>
      <c r="D2897" s="2" t="s">
        <v>270</v>
      </c>
      <c r="E2897" s="15">
        <v>19766.900000000001</v>
      </c>
      <c r="F2897" s="36" t="s">
        <v>2143</v>
      </c>
      <c r="G2897" s="15">
        <v>19766.900000000001</v>
      </c>
      <c r="H2897" s="15">
        <f t="shared" si="46"/>
        <v>0</v>
      </c>
      <c r="I2897" s="19"/>
    </row>
    <row r="2898" spans="1:9" x14ac:dyDescent="0.25">
      <c r="A2898" s="16">
        <v>42760</v>
      </c>
      <c r="B2898" s="17" t="s">
        <v>3289</v>
      </c>
      <c r="C2898" s="18">
        <v>98495</v>
      </c>
      <c r="D2898" s="2" t="s">
        <v>590</v>
      </c>
      <c r="E2898" s="15">
        <v>7862.4</v>
      </c>
      <c r="F2898" s="36" t="s">
        <v>2143</v>
      </c>
      <c r="G2898" s="15">
        <v>7862.4</v>
      </c>
      <c r="H2898" s="15">
        <f t="shared" si="46"/>
        <v>0</v>
      </c>
      <c r="I2898" s="19"/>
    </row>
    <row r="2899" spans="1:9" x14ac:dyDescent="0.25">
      <c r="A2899" s="16">
        <v>42760</v>
      </c>
      <c r="B2899" s="17" t="s">
        <v>3290</v>
      </c>
      <c r="C2899" s="18">
        <v>98496</v>
      </c>
      <c r="D2899" s="2" t="s">
        <v>442</v>
      </c>
      <c r="E2899" s="15">
        <v>8022</v>
      </c>
      <c r="F2899" s="36" t="s">
        <v>2143</v>
      </c>
      <c r="G2899" s="15">
        <v>8022</v>
      </c>
      <c r="H2899" s="15">
        <f t="shared" si="46"/>
        <v>0</v>
      </c>
      <c r="I2899" s="19"/>
    </row>
    <row r="2900" spans="1:9" x14ac:dyDescent="0.25">
      <c r="A2900" s="16">
        <v>42760</v>
      </c>
      <c r="B2900" s="17" t="s">
        <v>3291</v>
      </c>
      <c r="C2900" s="18">
        <v>98497</v>
      </c>
      <c r="D2900" s="2" t="s">
        <v>590</v>
      </c>
      <c r="E2900" s="15">
        <v>6736</v>
      </c>
      <c r="F2900" s="36" t="s">
        <v>2143</v>
      </c>
      <c r="G2900" s="15">
        <v>6736</v>
      </c>
      <c r="H2900" s="15">
        <f t="shared" si="46"/>
        <v>0</v>
      </c>
      <c r="I2900" s="19"/>
    </row>
    <row r="2901" spans="1:9" x14ac:dyDescent="0.25">
      <c r="A2901" s="16">
        <v>42760</v>
      </c>
      <c r="B2901" s="17" t="s">
        <v>3292</v>
      </c>
      <c r="C2901" s="18">
        <v>98498</v>
      </c>
      <c r="D2901" s="2" t="s">
        <v>272</v>
      </c>
      <c r="E2901" s="15">
        <v>2878.6</v>
      </c>
      <c r="F2901" s="36" t="s">
        <v>2143</v>
      </c>
      <c r="G2901" s="15">
        <v>2878.6</v>
      </c>
      <c r="H2901" s="15">
        <f t="shared" si="46"/>
        <v>0</v>
      </c>
      <c r="I2901" s="19"/>
    </row>
    <row r="2902" spans="1:9" x14ac:dyDescent="0.25">
      <c r="A2902" s="16">
        <v>42760</v>
      </c>
      <c r="B2902" s="17" t="s">
        <v>3293</v>
      </c>
      <c r="C2902" s="18">
        <v>98499</v>
      </c>
      <c r="D2902" s="2" t="s">
        <v>274</v>
      </c>
      <c r="E2902" s="15">
        <v>6621.5</v>
      </c>
      <c r="F2902" s="36" t="s">
        <v>2143</v>
      </c>
      <c r="G2902" s="15">
        <v>6621.5</v>
      </c>
      <c r="H2902" s="15">
        <f t="shared" si="46"/>
        <v>0</v>
      </c>
      <c r="I2902" s="19"/>
    </row>
    <row r="2903" spans="1:9" x14ac:dyDescent="0.25">
      <c r="A2903" s="16">
        <v>42760</v>
      </c>
      <c r="B2903" s="17" t="s">
        <v>3294</v>
      </c>
      <c r="C2903" s="18">
        <v>98500</v>
      </c>
      <c r="D2903" s="2" t="s">
        <v>69</v>
      </c>
      <c r="E2903" s="15">
        <v>1736.8</v>
      </c>
      <c r="F2903" s="36" t="s">
        <v>166</v>
      </c>
      <c r="G2903" s="15">
        <v>1736.8</v>
      </c>
      <c r="H2903" s="15">
        <f t="shared" si="46"/>
        <v>0</v>
      </c>
      <c r="I2903" s="19"/>
    </row>
    <row r="2904" spans="1:9" x14ac:dyDescent="0.25">
      <c r="A2904" s="16">
        <v>42760</v>
      </c>
      <c r="B2904" s="17" t="s">
        <v>3295</v>
      </c>
      <c r="C2904" s="18">
        <v>98501</v>
      </c>
      <c r="D2904" s="2" t="s">
        <v>30</v>
      </c>
      <c r="E2904" s="15">
        <v>330</v>
      </c>
      <c r="F2904" s="36" t="s">
        <v>166</v>
      </c>
      <c r="G2904" s="15">
        <v>330</v>
      </c>
      <c r="H2904" s="15">
        <f t="shared" si="46"/>
        <v>0</v>
      </c>
      <c r="I2904" s="19"/>
    </row>
    <row r="2905" spans="1:9" x14ac:dyDescent="0.25">
      <c r="A2905" s="16">
        <v>42760</v>
      </c>
      <c r="B2905" s="17" t="s">
        <v>3296</v>
      </c>
      <c r="C2905" s="18">
        <v>98502</v>
      </c>
      <c r="D2905" s="2" t="s">
        <v>2054</v>
      </c>
      <c r="E2905" s="15">
        <v>2729.2</v>
      </c>
      <c r="F2905" s="36" t="s">
        <v>166</v>
      </c>
      <c r="G2905" s="15">
        <v>2729.2</v>
      </c>
      <c r="H2905" s="15">
        <f t="shared" si="46"/>
        <v>0</v>
      </c>
      <c r="I2905" s="19"/>
    </row>
    <row r="2906" spans="1:9" x14ac:dyDescent="0.25">
      <c r="A2906" s="16">
        <v>42760</v>
      </c>
      <c r="B2906" s="17" t="s">
        <v>3297</v>
      </c>
      <c r="C2906" s="18">
        <v>98503</v>
      </c>
      <c r="D2906" s="2" t="s">
        <v>149</v>
      </c>
      <c r="E2906" s="15">
        <v>268.8</v>
      </c>
      <c r="F2906" s="36" t="s">
        <v>166</v>
      </c>
      <c r="G2906" s="15">
        <v>268.8</v>
      </c>
      <c r="H2906" s="15">
        <f t="shared" si="46"/>
        <v>0</v>
      </c>
      <c r="I2906" s="19"/>
    </row>
    <row r="2907" spans="1:9" x14ac:dyDescent="0.25">
      <c r="A2907" s="16">
        <v>42760</v>
      </c>
      <c r="B2907" s="17" t="s">
        <v>3298</v>
      </c>
      <c r="C2907" s="18">
        <v>98504</v>
      </c>
      <c r="D2907" s="2" t="s">
        <v>1116</v>
      </c>
      <c r="E2907" s="15">
        <v>3909</v>
      </c>
      <c r="F2907" s="36" t="s">
        <v>1391</v>
      </c>
      <c r="G2907" s="15">
        <v>3909</v>
      </c>
      <c r="H2907" s="15">
        <f t="shared" si="46"/>
        <v>0</v>
      </c>
      <c r="I2907" s="19"/>
    </row>
    <row r="2908" spans="1:9" x14ac:dyDescent="0.25">
      <c r="A2908" s="16">
        <v>42760</v>
      </c>
      <c r="B2908" s="17" t="s">
        <v>3299</v>
      </c>
      <c r="C2908" s="18">
        <v>98505</v>
      </c>
      <c r="D2908" s="2" t="s">
        <v>1116</v>
      </c>
      <c r="E2908" s="15">
        <v>926.1</v>
      </c>
      <c r="F2908" s="36" t="s">
        <v>2143</v>
      </c>
      <c r="G2908" s="15">
        <v>926.1</v>
      </c>
      <c r="H2908" s="15">
        <f t="shared" si="46"/>
        <v>0</v>
      </c>
      <c r="I2908" s="19"/>
    </row>
    <row r="2909" spans="1:9" x14ac:dyDescent="0.25">
      <c r="A2909" s="16">
        <v>42760</v>
      </c>
      <c r="B2909" s="17" t="s">
        <v>3300</v>
      </c>
      <c r="C2909" s="18">
        <v>98506</v>
      </c>
      <c r="D2909" s="2" t="s">
        <v>111</v>
      </c>
      <c r="E2909" s="15">
        <v>3472.6</v>
      </c>
      <c r="F2909" s="36" t="s">
        <v>166</v>
      </c>
      <c r="G2909" s="15">
        <v>3472.6</v>
      </c>
      <c r="H2909" s="15">
        <f t="shared" si="46"/>
        <v>0</v>
      </c>
      <c r="I2909" s="19"/>
    </row>
    <row r="2910" spans="1:9" x14ac:dyDescent="0.25">
      <c r="A2910" s="16">
        <v>42760</v>
      </c>
      <c r="B2910" s="17" t="s">
        <v>3301</v>
      </c>
      <c r="C2910" s="18">
        <v>98507</v>
      </c>
      <c r="D2910" s="2" t="s">
        <v>145</v>
      </c>
      <c r="E2910" s="15">
        <v>40246.400000000001</v>
      </c>
      <c r="F2910" s="36" t="s">
        <v>1391</v>
      </c>
      <c r="G2910" s="15">
        <v>40246.400000000001</v>
      </c>
      <c r="H2910" s="15">
        <f t="shared" si="46"/>
        <v>0</v>
      </c>
      <c r="I2910" s="19"/>
    </row>
    <row r="2911" spans="1:9" x14ac:dyDescent="0.25">
      <c r="A2911" s="16">
        <v>42760</v>
      </c>
      <c r="B2911" s="17" t="s">
        <v>3302</v>
      </c>
      <c r="C2911" s="18">
        <v>98508</v>
      </c>
      <c r="D2911" s="2" t="s">
        <v>523</v>
      </c>
      <c r="E2911" s="15">
        <v>6408.6</v>
      </c>
      <c r="F2911" s="36" t="s">
        <v>166</v>
      </c>
      <c r="G2911" s="15">
        <v>6408.6</v>
      </c>
      <c r="H2911" s="15">
        <f t="shared" si="46"/>
        <v>0</v>
      </c>
      <c r="I2911" s="19"/>
    </row>
    <row r="2912" spans="1:9" x14ac:dyDescent="0.25">
      <c r="A2912" s="16">
        <v>42760</v>
      </c>
      <c r="B2912" s="17" t="s">
        <v>3303</v>
      </c>
      <c r="C2912" s="18">
        <v>98509</v>
      </c>
      <c r="D2912" s="2" t="s">
        <v>151</v>
      </c>
      <c r="E2912" s="15">
        <v>26041.7</v>
      </c>
      <c r="F2912" s="36" t="s">
        <v>166</v>
      </c>
      <c r="G2912" s="15">
        <v>26041.7</v>
      </c>
      <c r="H2912" s="15">
        <f t="shared" si="46"/>
        <v>0</v>
      </c>
      <c r="I2912" s="19"/>
    </row>
    <row r="2913" spans="1:9" x14ac:dyDescent="0.25">
      <c r="A2913" s="16">
        <v>42760</v>
      </c>
      <c r="B2913" s="17" t="s">
        <v>3304</v>
      </c>
      <c r="C2913" s="18">
        <v>98510</v>
      </c>
      <c r="D2913" s="2" t="s">
        <v>422</v>
      </c>
      <c r="E2913" s="15">
        <v>1193.2</v>
      </c>
      <c r="F2913" s="36" t="s">
        <v>166</v>
      </c>
      <c r="G2913" s="15">
        <v>1193.2</v>
      </c>
      <c r="H2913" s="15">
        <f t="shared" si="46"/>
        <v>0</v>
      </c>
      <c r="I2913" s="19"/>
    </row>
    <row r="2914" spans="1:9" x14ac:dyDescent="0.25">
      <c r="A2914" s="16">
        <v>42760</v>
      </c>
      <c r="B2914" s="17" t="s">
        <v>3305</v>
      </c>
      <c r="C2914" s="18">
        <v>98511</v>
      </c>
      <c r="D2914" s="2" t="s">
        <v>165</v>
      </c>
      <c r="E2914" s="15">
        <v>862.5</v>
      </c>
      <c r="F2914" s="36" t="s">
        <v>3306</v>
      </c>
      <c r="G2914" s="15">
        <v>862.5</v>
      </c>
      <c r="H2914" s="15">
        <f t="shared" si="46"/>
        <v>0</v>
      </c>
      <c r="I2914" s="19"/>
    </row>
    <row r="2915" spans="1:9" x14ac:dyDescent="0.25">
      <c r="A2915" s="16">
        <v>42760</v>
      </c>
      <c r="B2915" s="17" t="s">
        <v>3307</v>
      </c>
      <c r="C2915" s="18">
        <v>98512</v>
      </c>
      <c r="D2915" s="2" t="s">
        <v>168</v>
      </c>
      <c r="E2915" s="15">
        <v>372.4</v>
      </c>
      <c r="F2915" s="36" t="s">
        <v>166</v>
      </c>
      <c r="G2915" s="15">
        <v>372.4</v>
      </c>
      <c r="H2915" s="15">
        <f t="shared" si="46"/>
        <v>0</v>
      </c>
      <c r="I2915" s="19"/>
    </row>
    <row r="2916" spans="1:9" x14ac:dyDescent="0.25">
      <c r="A2916" s="16">
        <v>42760</v>
      </c>
      <c r="B2916" s="17" t="s">
        <v>3308</v>
      </c>
      <c r="C2916" s="18">
        <v>98513</v>
      </c>
      <c r="D2916" s="13" t="s">
        <v>157</v>
      </c>
      <c r="E2916" s="14">
        <v>0</v>
      </c>
      <c r="F2916" s="123" t="s">
        <v>95</v>
      </c>
      <c r="G2916" s="14">
        <v>0</v>
      </c>
      <c r="H2916" s="14">
        <f t="shared" si="46"/>
        <v>0</v>
      </c>
      <c r="I2916" s="19"/>
    </row>
    <row r="2917" spans="1:9" x14ac:dyDescent="0.25">
      <c r="A2917" s="16">
        <v>42760</v>
      </c>
      <c r="B2917" s="17" t="s">
        <v>3309</v>
      </c>
      <c r="C2917" s="18">
        <v>98514</v>
      </c>
      <c r="D2917" s="2" t="s">
        <v>331</v>
      </c>
      <c r="E2917" s="15">
        <v>1464</v>
      </c>
      <c r="F2917" s="36" t="s">
        <v>1391</v>
      </c>
      <c r="G2917" s="15">
        <v>1464</v>
      </c>
      <c r="H2917" s="15">
        <f t="shared" si="46"/>
        <v>0</v>
      </c>
      <c r="I2917" s="19"/>
    </row>
    <row r="2918" spans="1:9" x14ac:dyDescent="0.25">
      <c r="A2918" s="16">
        <v>42760</v>
      </c>
      <c r="B2918" s="17" t="s">
        <v>3310</v>
      </c>
      <c r="C2918" s="18">
        <v>98515</v>
      </c>
      <c r="D2918" s="2" t="s">
        <v>57</v>
      </c>
      <c r="E2918" s="15">
        <v>576</v>
      </c>
      <c r="F2918" s="36" t="s">
        <v>1391</v>
      </c>
      <c r="G2918" s="15">
        <v>576</v>
      </c>
      <c r="H2918" s="15">
        <f t="shared" si="46"/>
        <v>0</v>
      </c>
      <c r="I2918" s="19"/>
    </row>
    <row r="2919" spans="1:9" x14ac:dyDescent="0.25">
      <c r="A2919" s="16">
        <v>42760</v>
      </c>
      <c r="B2919" s="17" t="s">
        <v>3311</v>
      </c>
      <c r="C2919" s="18">
        <v>98516</v>
      </c>
      <c r="D2919" s="2" t="s">
        <v>476</v>
      </c>
      <c r="E2919" s="15">
        <v>9589.9</v>
      </c>
      <c r="F2919" s="36" t="s">
        <v>3272</v>
      </c>
      <c r="G2919" s="15">
        <v>9589.9</v>
      </c>
      <c r="H2919" s="15">
        <f t="shared" si="46"/>
        <v>0</v>
      </c>
      <c r="I2919" s="19"/>
    </row>
    <row r="2920" spans="1:9" x14ac:dyDescent="0.25">
      <c r="A2920" s="16">
        <v>42760</v>
      </c>
      <c r="B2920" s="17" t="s">
        <v>3312</v>
      </c>
      <c r="C2920" s="18">
        <v>98517</v>
      </c>
      <c r="D2920" s="2" t="s">
        <v>159</v>
      </c>
      <c r="E2920" s="15">
        <v>6805.1</v>
      </c>
      <c r="F2920" s="36" t="s">
        <v>166</v>
      </c>
      <c r="G2920" s="15">
        <v>6805.1</v>
      </c>
      <c r="H2920" s="15">
        <f t="shared" si="46"/>
        <v>0</v>
      </c>
      <c r="I2920" s="19"/>
    </row>
    <row r="2921" spans="1:9" x14ac:dyDescent="0.25">
      <c r="A2921" s="16">
        <v>42760</v>
      </c>
      <c r="B2921" s="17" t="s">
        <v>3313</v>
      </c>
      <c r="C2921" s="18">
        <v>98518</v>
      </c>
      <c r="D2921" s="2" t="s">
        <v>79</v>
      </c>
      <c r="E2921" s="15">
        <v>3769.4</v>
      </c>
      <c r="F2921" s="36" t="s">
        <v>166</v>
      </c>
      <c r="G2921" s="15">
        <v>3769.4</v>
      </c>
      <c r="H2921" s="15">
        <f t="shared" si="46"/>
        <v>0</v>
      </c>
      <c r="I2921" s="19"/>
    </row>
    <row r="2922" spans="1:9" x14ac:dyDescent="0.25">
      <c r="A2922" s="16">
        <v>42760</v>
      </c>
      <c r="B2922" s="17" t="s">
        <v>3314</v>
      </c>
      <c r="C2922" s="18">
        <v>98519</v>
      </c>
      <c r="D2922" s="13" t="s">
        <v>159</v>
      </c>
      <c r="E2922" s="14">
        <v>0</v>
      </c>
      <c r="F2922" s="123" t="s">
        <v>95</v>
      </c>
      <c r="G2922" s="14">
        <v>0</v>
      </c>
      <c r="H2922" s="14">
        <f t="shared" si="46"/>
        <v>0</v>
      </c>
      <c r="I2922" s="19"/>
    </row>
    <row r="2923" spans="1:9" x14ac:dyDescent="0.25">
      <c r="A2923" s="16">
        <v>42760</v>
      </c>
      <c r="B2923" s="17" t="s">
        <v>3315</v>
      </c>
      <c r="C2923" s="18">
        <v>98520</v>
      </c>
      <c r="D2923" s="2" t="s">
        <v>472</v>
      </c>
      <c r="E2923" s="15">
        <v>1835.2</v>
      </c>
      <c r="F2923" s="36" t="s">
        <v>2143</v>
      </c>
      <c r="G2923" s="15">
        <v>1835.2</v>
      </c>
      <c r="H2923" s="15">
        <f t="shared" si="46"/>
        <v>0</v>
      </c>
      <c r="I2923" s="19"/>
    </row>
    <row r="2924" spans="1:9" x14ac:dyDescent="0.25">
      <c r="A2924" s="16">
        <v>42760</v>
      </c>
      <c r="B2924" s="17" t="s">
        <v>3316</v>
      </c>
      <c r="C2924" s="18">
        <v>98521</v>
      </c>
      <c r="D2924" s="2" t="s">
        <v>188</v>
      </c>
      <c r="E2924" s="15">
        <v>3137.4</v>
      </c>
      <c r="F2924" s="36" t="s">
        <v>1391</v>
      </c>
      <c r="G2924" s="15">
        <v>3137.4</v>
      </c>
      <c r="H2924" s="15">
        <f t="shared" si="46"/>
        <v>0</v>
      </c>
      <c r="I2924" s="19"/>
    </row>
    <row r="2925" spans="1:9" x14ac:dyDescent="0.25">
      <c r="A2925" s="16">
        <v>42760</v>
      </c>
      <c r="B2925" s="17" t="s">
        <v>3317</v>
      </c>
      <c r="C2925" s="18">
        <v>98522</v>
      </c>
      <c r="D2925" s="2" t="s">
        <v>172</v>
      </c>
      <c r="E2925" s="15">
        <v>23146.7</v>
      </c>
      <c r="F2925" s="36" t="s">
        <v>765</v>
      </c>
      <c r="G2925" s="15">
        <v>23146.7</v>
      </c>
      <c r="H2925" s="15">
        <f t="shared" si="46"/>
        <v>0</v>
      </c>
      <c r="I2925" s="19"/>
    </row>
    <row r="2926" spans="1:9" x14ac:dyDescent="0.25">
      <c r="A2926" s="16">
        <v>42760</v>
      </c>
      <c r="B2926" s="17" t="s">
        <v>3318</v>
      </c>
      <c r="C2926" s="18">
        <v>98523</v>
      </c>
      <c r="D2926" s="2" t="s">
        <v>3319</v>
      </c>
      <c r="E2926" s="15">
        <v>13740</v>
      </c>
      <c r="F2926" s="36" t="s">
        <v>1391</v>
      </c>
      <c r="G2926" s="15">
        <v>13740</v>
      </c>
      <c r="H2926" s="15">
        <f t="shared" si="46"/>
        <v>0</v>
      </c>
      <c r="I2926" s="19"/>
    </row>
    <row r="2927" spans="1:9" x14ac:dyDescent="0.25">
      <c r="A2927" s="16">
        <v>42760</v>
      </c>
      <c r="B2927" s="17" t="s">
        <v>3320</v>
      </c>
      <c r="C2927" s="18">
        <v>98524</v>
      </c>
      <c r="D2927" s="2" t="s">
        <v>335</v>
      </c>
      <c r="E2927" s="15">
        <v>1710.5</v>
      </c>
      <c r="F2927" s="36" t="s">
        <v>2143</v>
      </c>
      <c r="G2927" s="15">
        <v>1710.5</v>
      </c>
      <c r="H2927" s="15">
        <f t="shared" si="46"/>
        <v>0</v>
      </c>
      <c r="I2927" s="19"/>
    </row>
    <row r="2928" spans="1:9" x14ac:dyDescent="0.25">
      <c r="A2928" s="16">
        <v>42760</v>
      </c>
      <c r="B2928" s="17" t="s">
        <v>3321</v>
      </c>
      <c r="C2928" s="18">
        <v>98525</v>
      </c>
      <c r="D2928" s="2" t="s">
        <v>176</v>
      </c>
      <c r="E2928" s="15">
        <v>4070.4</v>
      </c>
      <c r="F2928" s="36" t="s">
        <v>166</v>
      </c>
      <c r="G2928" s="15">
        <v>4070.4</v>
      </c>
      <c r="H2928" s="15">
        <f t="shared" si="46"/>
        <v>0</v>
      </c>
      <c r="I2928" s="19"/>
    </row>
    <row r="2929" spans="1:9" x14ac:dyDescent="0.25">
      <c r="A2929" s="16">
        <v>42760</v>
      </c>
      <c r="B2929" s="17" t="s">
        <v>3322</v>
      </c>
      <c r="C2929" s="18">
        <v>98526</v>
      </c>
      <c r="D2929" s="2" t="s">
        <v>196</v>
      </c>
      <c r="E2929" s="15">
        <v>9788.7999999999993</v>
      </c>
      <c r="F2929" s="36" t="s">
        <v>1391</v>
      </c>
      <c r="G2929" s="15">
        <v>9788.7999999999993</v>
      </c>
      <c r="H2929" s="15">
        <f t="shared" si="46"/>
        <v>0</v>
      </c>
      <c r="I2929" s="19"/>
    </row>
    <row r="2930" spans="1:9" x14ac:dyDescent="0.25">
      <c r="A2930" s="16">
        <v>42760</v>
      </c>
      <c r="B2930" s="17" t="s">
        <v>3323</v>
      </c>
      <c r="C2930" s="18">
        <v>98527</v>
      </c>
      <c r="D2930" s="2" t="s">
        <v>163</v>
      </c>
      <c r="E2930" s="15">
        <v>7549.7</v>
      </c>
      <c r="F2930" s="36" t="s">
        <v>2724</v>
      </c>
      <c r="G2930" s="15">
        <v>7549.7</v>
      </c>
      <c r="H2930" s="15">
        <f t="shared" si="46"/>
        <v>0</v>
      </c>
      <c r="I2930" s="19"/>
    </row>
    <row r="2931" spans="1:9" x14ac:dyDescent="0.25">
      <c r="A2931" s="16">
        <v>42760</v>
      </c>
      <c r="B2931" s="17" t="s">
        <v>3324</v>
      </c>
      <c r="C2931" s="18">
        <v>98528</v>
      </c>
      <c r="D2931" s="2" t="s">
        <v>1299</v>
      </c>
      <c r="E2931" s="15">
        <v>5247.68</v>
      </c>
      <c r="F2931" s="36" t="s">
        <v>166</v>
      </c>
      <c r="G2931" s="15">
        <v>5247.68</v>
      </c>
      <c r="H2931" s="15">
        <f t="shared" si="46"/>
        <v>0</v>
      </c>
      <c r="I2931" s="19"/>
    </row>
    <row r="2932" spans="1:9" x14ac:dyDescent="0.25">
      <c r="A2932" s="16">
        <v>42760</v>
      </c>
      <c r="B2932" s="17" t="s">
        <v>3325</v>
      </c>
      <c r="C2932" s="18">
        <v>98529</v>
      </c>
      <c r="D2932" s="2" t="s">
        <v>633</v>
      </c>
      <c r="E2932" s="15">
        <v>418</v>
      </c>
      <c r="F2932" s="36" t="s">
        <v>1391</v>
      </c>
      <c r="G2932" s="15">
        <v>418</v>
      </c>
      <c r="H2932" s="15">
        <f t="shared" si="46"/>
        <v>0</v>
      </c>
      <c r="I2932" s="19"/>
    </row>
    <row r="2933" spans="1:9" x14ac:dyDescent="0.25">
      <c r="A2933" s="16">
        <v>42760</v>
      </c>
      <c r="B2933" s="17" t="s">
        <v>3326</v>
      </c>
      <c r="C2933" s="18">
        <v>98530</v>
      </c>
      <c r="D2933" s="2" t="s">
        <v>21</v>
      </c>
      <c r="E2933" s="15">
        <v>56661</v>
      </c>
      <c r="F2933" s="124" t="s">
        <v>1429</v>
      </c>
      <c r="G2933" s="20">
        <f>7061+49600</f>
        <v>56661</v>
      </c>
      <c r="H2933" s="20">
        <f t="shared" si="46"/>
        <v>0</v>
      </c>
      <c r="I2933" s="19"/>
    </row>
    <row r="2934" spans="1:9" x14ac:dyDescent="0.25">
      <c r="A2934" s="16">
        <v>42760</v>
      </c>
      <c r="B2934" s="17" t="s">
        <v>3327</v>
      </c>
      <c r="C2934" s="18">
        <v>98531</v>
      </c>
      <c r="D2934" s="2" t="s">
        <v>30</v>
      </c>
      <c r="E2934" s="15">
        <v>720</v>
      </c>
      <c r="F2934" s="36" t="s">
        <v>1391</v>
      </c>
      <c r="G2934" s="15">
        <v>720</v>
      </c>
      <c r="H2934" s="15">
        <f t="shared" si="46"/>
        <v>0</v>
      </c>
      <c r="I2934" s="19"/>
    </row>
    <row r="2935" spans="1:9" x14ac:dyDescent="0.25">
      <c r="A2935" s="16">
        <v>42760</v>
      </c>
      <c r="B2935" s="17" t="s">
        <v>3328</v>
      </c>
      <c r="C2935" s="18">
        <v>98532</v>
      </c>
      <c r="D2935" s="2" t="s">
        <v>53</v>
      </c>
      <c r="E2935" s="15">
        <v>2433.4</v>
      </c>
      <c r="F2935" s="36" t="s">
        <v>1391</v>
      </c>
      <c r="G2935" s="15">
        <v>2433.4</v>
      </c>
      <c r="H2935" s="15">
        <f t="shared" si="46"/>
        <v>0</v>
      </c>
      <c r="I2935" s="19"/>
    </row>
    <row r="2936" spans="1:9" x14ac:dyDescent="0.25">
      <c r="A2936" s="16">
        <v>42760</v>
      </c>
      <c r="B2936" s="17" t="s">
        <v>3329</v>
      </c>
      <c r="C2936" s="18">
        <v>98533</v>
      </c>
      <c r="D2936" s="2" t="s">
        <v>198</v>
      </c>
      <c r="E2936" s="15">
        <v>4489.6000000000004</v>
      </c>
      <c r="F2936" s="36" t="s">
        <v>1391</v>
      </c>
      <c r="G2936" s="15">
        <v>4489.6000000000004</v>
      </c>
      <c r="H2936" s="15">
        <f t="shared" si="46"/>
        <v>0</v>
      </c>
      <c r="I2936" s="19"/>
    </row>
    <row r="2937" spans="1:9" x14ac:dyDescent="0.25">
      <c r="A2937" s="16">
        <v>42760</v>
      </c>
      <c r="B2937" s="17" t="s">
        <v>3330</v>
      </c>
      <c r="C2937" s="18">
        <v>98534</v>
      </c>
      <c r="D2937" s="2" t="s">
        <v>184</v>
      </c>
      <c r="E2937" s="15">
        <v>3800.8</v>
      </c>
      <c r="F2937" s="36" t="s">
        <v>2009</v>
      </c>
      <c r="G2937" s="15">
        <v>3800.8</v>
      </c>
      <c r="H2937" s="15">
        <f t="shared" si="46"/>
        <v>0</v>
      </c>
      <c r="I2937" s="19"/>
    </row>
    <row r="2938" spans="1:9" x14ac:dyDescent="0.25">
      <c r="A2938" s="16">
        <v>42760</v>
      </c>
      <c r="B2938" s="17" t="s">
        <v>3331</v>
      </c>
      <c r="C2938" s="18">
        <v>98535</v>
      </c>
      <c r="D2938" s="2" t="s">
        <v>480</v>
      </c>
      <c r="E2938" s="15">
        <v>1442.76</v>
      </c>
      <c r="F2938" s="36" t="s">
        <v>1391</v>
      </c>
      <c r="G2938" s="15">
        <v>1442.76</v>
      </c>
      <c r="H2938" s="15">
        <f t="shared" si="46"/>
        <v>0</v>
      </c>
      <c r="I2938" s="19"/>
    </row>
    <row r="2939" spans="1:9" x14ac:dyDescent="0.25">
      <c r="A2939" s="16">
        <v>42760</v>
      </c>
      <c r="B2939" s="17" t="s">
        <v>3332</v>
      </c>
      <c r="C2939" s="18">
        <v>98536</v>
      </c>
      <c r="D2939" s="2" t="s">
        <v>193</v>
      </c>
      <c r="E2939" s="15">
        <v>2058.6</v>
      </c>
      <c r="F2939" s="36" t="s">
        <v>1391</v>
      </c>
      <c r="G2939" s="15">
        <v>2058.6</v>
      </c>
      <c r="H2939" s="15">
        <f t="shared" si="46"/>
        <v>0</v>
      </c>
      <c r="I2939" s="19"/>
    </row>
    <row r="2940" spans="1:9" x14ac:dyDescent="0.25">
      <c r="A2940" s="16">
        <v>42760</v>
      </c>
      <c r="B2940" s="17" t="s">
        <v>3333</v>
      </c>
      <c r="C2940" s="18">
        <v>98537</v>
      </c>
      <c r="D2940" s="2" t="s">
        <v>492</v>
      </c>
      <c r="E2940" s="15">
        <v>18441.2</v>
      </c>
      <c r="F2940" s="36" t="s">
        <v>1173</v>
      </c>
      <c r="G2940" s="15">
        <v>18441.2</v>
      </c>
      <c r="H2940" s="15">
        <f t="shared" si="46"/>
        <v>0</v>
      </c>
      <c r="I2940" s="19"/>
    </row>
    <row r="2941" spans="1:9" x14ac:dyDescent="0.25">
      <c r="A2941" s="16">
        <v>42760</v>
      </c>
      <c r="B2941" s="17" t="s">
        <v>3334</v>
      </c>
      <c r="C2941" s="18">
        <v>98538</v>
      </c>
      <c r="D2941" s="2" t="s">
        <v>9</v>
      </c>
      <c r="E2941" s="15">
        <v>6124.8</v>
      </c>
      <c r="F2941" s="36" t="s">
        <v>1173</v>
      </c>
      <c r="G2941" s="15">
        <v>6124.8</v>
      </c>
      <c r="H2941" s="15">
        <f t="shared" si="46"/>
        <v>0</v>
      </c>
      <c r="I2941" s="19"/>
    </row>
    <row r="2942" spans="1:9" x14ac:dyDescent="0.25">
      <c r="A2942" s="16">
        <v>42760</v>
      </c>
      <c r="B2942" s="17" t="s">
        <v>3335</v>
      </c>
      <c r="C2942" s="18">
        <v>98539</v>
      </c>
      <c r="D2942" s="2" t="s">
        <v>302</v>
      </c>
      <c r="E2942" s="15">
        <v>9981.4</v>
      </c>
      <c r="F2942" s="36" t="s">
        <v>166</v>
      </c>
      <c r="G2942" s="15">
        <v>9981.4</v>
      </c>
      <c r="H2942" s="15">
        <f t="shared" si="46"/>
        <v>0</v>
      </c>
      <c r="I2942" s="19"/>
    </row>
    <row r="2943" spans="1:9" x14ac:dyDescent="0.25">
      <c r="A2943" s="16">
        <v>42760</v>
      </c>
      <c r="B2943" s="17" t="s">
        <v>3336</v>
      </c>
      <c r="C2943" s="18">
        <v>98540</v>
      </c>
      <c r="D2943" s="2" t="s">
        <v>721</v>
      </c>
      <c r="E2943" s="15">
        <v>6540.4</v>
      </c>
      <c r="F2943" s="36" t="s">
        <v>166</v>
      </c>
      <c r="G2943" s="15">
        <v>6540.4</v>
      </c>
      <c r="H2943" s="15">
        <f t="shared" si="46"/>
        <v>0</v>
      </c>
      <c r="I2943" s="19"/>
    </row>
    <row r="2944" spans="1:9" x14ac:dyDescent="0.25">
      <c r="A2944" s="16">
        <v>42760</v>
      </c>
      <c r="B2944" s="17" t="s">
        <v>3337</v>
      </c>
      <c r="C2944" s="18">
        <v>98541</v>
      </c>
      <c r="D2944" s="2" t="s">
        <v>457</v>
      </c>
      <c r="E2944" s="15">
        <v>2690.1</v>
      </c>
      <c r="F2944" s="36" t="s">
        <v>166</v>
      </c>
      <c r="G2944" s="15">
        <v>2690.1</v>
      </c>
      <c r="H2944" s="15">
        <f t="shared" si="46"/>
        <v>0</v>
      </c>
      <c r="I2944" s="19"/>
    </row>
    <row r="2945" spans="1:9" x14ac:dyDescent="0.25">
      <c r="A2945" s="16">
        <v>42760</v>
      </c>
      <c r="B2945" s="17" t="s">
        <v>3338</v>
      </c>
      <c r="C2945" s="18">
        <v>98542</v>
      </c>
      <c r="D2945" s="2" t="s">
        <v>721</v>
      </c>
      <c r="E2945" s="15">
        <v>288.89999999999998</v>
      </c>
      <c r="F2945" s="36" t="s">
        <v>166</v>
      </c>
      <c r="G2945" s="15">
        <v>288.89999999999998</v>
      </c>
      <c r="H2945" s="15">
        <f t="shared" si="46"/>
        <v>0</v>
      </c>
      <c r="I2945" s="19"/>
    </row>
    <row r="2946" spans="1:9" x14ac:dyDescent="0.25">
      <c r="A2946" s="16">
        <v>42760</v>
      </c>
      <c r="B2946" s="17" t="s">
        <v>3339</v>
      </c>
      <c r="C2946" s="18">
        <v>98543</v>
      </c>
      <c r="D2946" s="2" t="s">
        <v>30</v>
      </c>
      <c r="E2946" s="15">
        <v>10195.75</v>
      </c>
      <c r="F2946" s="36" t="s">
        <v>166</v>
      </c>
      <c r="G2946" s="15">
        <v>10195.75</v>
      </c>
      <c r="H2946" s="15">
        <f t="shared" si="46"/>
        <v>0</v>
      </c>
      <c r="I2946" s="19"/>
    </row>
    <row r="2947" spans="1:9" x14ac:dyDescent="0.25">
      <c r="A2947" s="16">
        <v>42760</v>
      </c>
      <c r="B2947" s="17" t="s">
        <v>3340</v>
      </c>
      <c r="C2947" s="18">
        <v>98544</v>
      </c>
      <c r="D2947" s="2" t="s">
        <v>627</v>
      </c>
      <c r="E2947" s="15">
        <v>1275.5999999999999</v>
      </c>
      <c r="F2947" s="36" t="s">
        <v>166</v>
      </c>
      <c r="G2947" s="15">
        <v>1275.5999999999999</v>
      </c>
      <c r="H2947" s="15">
        <f t="shared" si="46"/>
        <v>0</v>
      </c>
      <c r="I2947" s="19"/>
    </row>
    <row r="2948" spans="1:9" x14ac:dyDescent="0.25">
      <c r="A2948" s="16">
        <v>42760</v>
      </c>
      <c r="B2948" s="17" t="s">
        <v>3341</v>
      </c>
      <c r="C2948" s="18">
        <v>98545</v>
      </c>
      <c r="D2948" s="2" t="s">
        <v>10</v>
      </c>
      <c r="E2948" s="15">
        <v>156276.16</v>
      </c>
      <c r="F2948" s="36" t="s">
        <v>2166</v>
      </c>
      <c r="G2948" s="15">
        <v>156276.16</v>
      </c>
      <c r="H2948" s="15">
        <f t="shared" si="46"/>
        <v>0</v>
      </c>
      <c r="I2948" s="19"/>
    </row>
    <row r="2949" spans="1:9" x14ac:dyDescent="0.25">
      <c r="A2949" s="16">
        <v>42760</v>
      </c>
      <c r="B2949" s="17" t="s">
        <v>3342</v>
      </c>
      <c r="C2949" s="18">
        <v>98546</v>
      </c>
      <c r="D2949" s="2" t="s">
        <v>122</v>
      </c>
      <c r="E2949" s="15">
        <v>31587.15</v>
      </c>
      <c r="F2949" s="36" t="s">
        <v>3126</v>
      </c>
      <c r="G2949" s="15">
        <v>31587.15</v>
      </c>
      <c r="H2949" s="15">
        <f t="shared" si="46"/>
        <v>0</v>
      </c>
      <c r="I2949" s="19"/>
    </row>
    <row r="2950" spans="1:9" x14ac:dyDescent="0.25">
      <c r="A2950" s="16">
        <v>42760</v>
      </c>
      <c r="B2950" s="17" t="s">
        <v>3343</v>
      </c>
      <c r="C2950" s="18">
        <v>98547</v>
      </c>
      <c r="D2950" s="2" t="s">
        <v>1141</v>
      </c>
      <c r="E2950" s="15">
        <v>969.3</v>
      </c>
      <c r="F2950" s="36" t="s">
        <v>166</v>
      </c>
      <c r="G2950" s="15">
        <v>969.3</v>
      </c>
      <c r="H2950" s="15">
        <f t="shared" ref="H2950:H3013" si="47">E2950-G2950</f>
        <v>0</v>
      </c>
      <c r="I2950" s="19"/>
    </row>
    <row r="2951" spans="1:9" x14ac:dyDescent="0.25">
      <c r="A2951" s="16">
        <v>42760</v>
      </c>
      <c r="B2951" s="17" t="s">
        <v>3344</v>
      </c>
      <c r="C2951" s="18">
        <v>98548</v>
      </c>
      <c r="D2951" s="2" t="s">
        <v>2240</v>
      </c>
      <c r="E2951" s="15">
        <v>4183.5</v>
      </c>
      <c r="F2951" s="36" t="s">
        <v>166</v>
      </c>
      <c r="G2951" s="15">
        <v>4183.5</v>
      </c>
      <c r="H2951" s="15">
        <f t="shared" si="47"/>
        <v>0</v>
      </c>
      <c r="I2951" s="19"/>
    </row>
    <row r="2952" spans="1:9" x14ac:dyDescent="0.25">
      <c r="A2952" s="16">
        <v>42760</v>
      </c>
      <c r="B2952" s="17" t="s">
        <v>3345</v>
      </c>
      <c r="C2952" s="18">
        <v>98549</v>
      </c>
      <c r="D2952" s="2" t="s">
        <v>609</v>
      </c>
      <c r="E2952" s="15">
        <v>46943.6</v>
      </c>
      <c r="F2952" s="36" t="s">
        <v>2143</v>
      </c>
      <c r="G2952" s="15">
        <v>46943.6</v>
      </c>
      <c r="H2952" s="15">
        <f t="shared" si="47"/>
        <v>0</v>
      </c>
      <c r="I2952" s="19"/>
    </row>
    <row r="2953" spans="1:9" x14ac:dyDescent="0.25">
      <c r="A2953" s="16">
        <v>42760</v>
      </c>
      <c r="B2953" s="17" t="s">
        <v>3346</v>
      </c>
      <c r="C2953" s="18">
        <v>98550</v>
      </c>
      <c r="D2953" s="2" t="s">
        <v>122</v>
      </c>
      <c r="E2953" s="15">
        <v>4802.3999999999996</v>
      </c>
      <c r="F2953" s="36" t="s">
        <v>3126</v>
      </c>
      <c r="G2953" s="15">
        <v>4802.3999999999996</v>
      </c>
      <c r="H2953" s="15">
        <f t="shared" si="47"/>
        <v>0</v>
      </c>
      <c r="I2953" s="19"/>
    </row>
    <row r="2954" spans="1:9" x14ac:dyDescent="0.25">
      <c r="A2954" s="16">
        <v>42760</v>
      </c>
      <c r="B2954" s="17" t="s">
        <v>3347</v>
      </c>
      <c r="C2954" s="18">
        <v>98551</v>
      </c>
      <c r="D2954" s="13" t="s">
        <v>1160</v>
      </c>
      <c r="E2954" s="14">
        <v>0</v>
      </c>
      <c r="F2954" s="123" t="s">
        <v>95</v>
      </c>
      <c r="G2954" s="14">
        <v>0</v>
      </c>
      <c r="H2954" s="14">
        <f t="shared" si="47"/>
        <v>0</v>
      </c>
      <c r="I2954" s="19"/>
    </row>
    <row r="2955" spans="1:9" x14ac:dyDescent="0.25">
      <c r="A2955" s="16">
        <v>42760</v>
      </c>
      <c r="B2955" s="17" t="s">
        <v>3348</v>
      </c>
      <c r="C2955" s="18">
        <v>98552</v>
      </c>
      <c r="D2955" s="13" t="s">
        <v>1160</v>
      </c>
      <c r="E2955" s="14">
        <v>0</v>
      </c>
      <c r="F2955" s="123" t="s">
        <v>95</v>
      </c>
      <c r="G2955" s="14">
        <v>0</v>
      </c>
      <c r="H2955" s="14">
        <f t="shared" si="47"/>
        <v>0</v>
      </c>
      <c r="I2955" s="19"/>
    </row>
    <row r="2956" spans="1:9" x14ac:dyDescent="0.25">
      <c r="A2956" s="16">
        <v>42760</v>
      </c>
      <c r="B2956" s="17" t="s">
        <v>3349</v>
      </c>
      <c r="C2956" s="18">
        <v>98553</v>
      </c>
      <c r="D2956" s="2" t="s">
        <v>30</v>
      </c>
      <c r="E2956" s="15">
        <v>892.8</v>
      </c>
      <c r="F2956" s="36" t="s">
        <v>1391</v>
      </c>
      <c r="G2956" s="15">
        <v>892.8</v>
      </c>
      <c r="H2956" s="15">
        <f t="shared" si="47"/>
        <v>0</v>
      </c>
      <c r="I2956" s="19"/>
    </row>
    <row r="2957" spans="1:9" x14ac:dyDescent="0.25">
      <c r="A2957" s="16">
        <v>42760</v>
      </c>
      <c r="B2957" s="17" t="s">
        <v>3350</v>
      </c>
      <c r="C2957" s="18">
        <v>98554</v>
      </c>
      <c r="D2957" s="2" t="s">
        <v>208</v>
      </c>
      <c r="E2957" s="15">
        <v>1512.3</v>
      </c>
      <c r="F2957" s="36" t="s">
        <v>1391</v>
      </c>
      <c r="G2957" s="15">
        <v>1512.3</v>
      </c>
      <c r="H2957" s="15">
        <f t="shared" si="47"/>
        <v>0</v>
      </c>
      <c r="I2957" s="19"/>
    </row>
    <row r="2958" spans="1:9" x14ac:dyDescent="0.25">
      <c r="A2958" s="16">
        <v>42760</v>
      </c>
      <c r="B2958" s="17" t="s">
        <v>3351</v>
      </c>
      <c r="C2958" s="18">
        <v>98555</v>
      </c>
      <c r="D2958" s="2" t="s">
        <v>1408</v>
      </c>
      <c r="E2958" s="15">
        <v>3401.2</v>
      </c>
      <c r="F2958" s="36" t="s">
        <v>1391</v>
      </c>
      <c r="G2958" s="15">
        <v>3401.2</v>
      </c>
      <c r="H2958" s="15">
        <f t="shared" si="47"/>
        <v>0</v>
      </c>
      <c r="I2958" s="19"/>
    </row>
    <row r="2959" spans="1:9" x14ac:dyDescent="0.25">
      <c r="A2959" s="16">
        <v>42760</v>
      </c>
      <c r="B2959" s="17" t="s">
        <v>3352</v>
      </c>
      <c r="C2959" s="18">
        <v>98556</v>
      </c>
      <c r="D2959" s="2" t="s">
        <v>30</v>
      </c>
      <c r="E2959" s="15">
        <v>2350</v>
      </c>
      <c r="F2959" s="36" t="s">
        <v>166</v>
      </c>
      <c r="G2959" s="15">
        <v>2350</v>
      </c>
      <c r="H2959" s="15">
        <f t="shared" si="47"/>
        <v>0</v>
      </c>
      <c r="I2959" s="19"/>
    </row>
    <row r="2960" spans="1:9" x14ac:dyDescent="0.25">
      <c r="A2960" s="16">
        <v>42760</v>
      </c>
      <c r="B2960" s="17" t="s">
        <v>3353</v>
      </c>
      <c r="C2960" s="18">
        <v>98557</v>
      </c>
      <c r="D2960" s="2" t="s">
        <v>459</v>
      </c>
      <c r="E2960" s="15">
        <v>2343.6</v>
      </c>
      <c r="F2960" s="36" t="s">
        <v>1391</v>
      </c>
      <c r="G2960" s="15">
        <v>2343.6</v>
      </c>
      <c r="H2960" s="15">
        <f t="shared" si="47"/>
        <v>0</v>
      </c>
      <c r="I2960" s="19"/>
    </row>
    <row r="2961" spans="1:9" x14ac:dyDescent="0.25">
      <c r="A2961" s="16">
        <v>42760</v>
      </c>
      <c r="B2961" s="17" t="s">
        <v>3354</v>
      </c>
      <c r="C2961" s="18">
        <v>98558</v>
      </c>
      <c r="D2961" s="2" t="s">
        <v>250</v>
      </c>
      <c r="E2961" s="15">
        <v>5039.3999999999996</v>
      </c>
      <c r="F2961" s="124" t="s">
        <v>2774</v>
      </c>
      <c r="G2961" s="20">
        <f>3500+1539.4</f>
        <v>5039.3999999999996</v>
      </c>
      <c r="H2961" s="20">
        <f t="shared" si="47"/>
        <v>0</v>
      </c>
      <c r="I2961" s="19"/>
    </row>
    <row r="2962" spans="1:9" x14ac:dyDescent="0.25">
      <c r="A2962" s="16">
        <v>42760</v>
      </c>
      <c r="B2962" s="17" t="s">
        <v>3355</v>
      </c>
      <c r="C2962" s="18">
        <v>98559</v>
      </c>
      <c r="D2962" s="2" t="s">
        <v>220</v>
      </c>
      <c r="E2962" s="15">
        <v>1733.4</v>
      </c>
      <c r="F2962" s="36" t="s">
        <v>1391</v>
      </c>
      <c r="G2962" s="15">
        <v>1733.4</v>
      </c>
      <c r="H2962" s="15">
        <f t="shared" si="47"/>
        <v>0</v>
      </c>
      <c r="I2962" s="19"/>
    </row>
    <row r="2963" spans="1:9" x14ac:dyDescent="0.25">
      <c r="A2963" s="16">
        <v>42760</v>
      </c>
      <c r="B2963" s="17" t="s">
        <v>3356</v>
      </c>
      <c r="C2963" s="18">
        <v>98560</v>
      </c>
      <c r="D2963" s="2" t="s">
        <v>226</v>
      </c>
      <c r="E2963" s="15">
        <v>1555.2</v>
      </c>
      <c r="F2963" s="36" t="s">
        <v>1391</v>
      </c>
      <c r="G2963" s="15">
        <v>1555.2</v>
      </c>
      <c r="H2963" s="15">
        <f t="shared" si="47"/>
        <v>0</v>
      </c>
      <c r="I2963" s="19"/>
    </row>
    <row r="2964" spans="1:9" x14ac:dyDescent="0.25">
      <c r="A2964" s="16">
        <v>42760</v>
      </c>
      <c r="B2964" s="17" t="s">
        <v>3357</v>
      </c>
      <c r="C2964" s="18">
        <v>98561</v>
      </c>
      <c r="D2964" s="2" t="s">
        <v>115</v>
      </c>
      <c r="E2964" s="15">
        <v>369.6</v>
      </c>
      <c r="F2964" s="36" t="s">
        <v>166</v>
      </c>
      <c r="G2964" s="15">
        <v>369.6</v>
      </c>
      <c r="H2964" s="15">
        <f t="shared" si="47"/>
        <v>0</v>
      </c>
      <c r="I2964" s="19"/>
    </row>
    <row r="2965" spans="1:9" x14ac:dyDescent="0.25">
      <c r="A2965" s="16">
        <v>42760</v>
      </c>
      <c r="B2965" s="17" t="s">
        <v>3358</v>
      </c>
      <c r="C2965" s="18">
        <v>98562</v>
      </c>
      <c r="D2965" s="13" t="s">
        <v>523</v>
      </c>
      <c r="E2965" s="14">
        <v>0</v>
      </c>
      <c r="F2965" s="123" t="s">
        <v>95</v>
      </c>
      <c r="G2965" s="14">
        <v>0</v>
      </c>
      <c r="H2965" s="14">
        <f t="shared" si="47"/>
        <v>0</v>
      </c>
      <c r="I2965" s="19"/>
    </row>
    <row r="2966" spans="1:9" x14ac:dyDescent="0.25">
      <c r="A2966" s="16">
        <v>42760</v>
      </c>
      <c r="B2966" s="17" t="s">
        <v>3359</v>
      </c>
      <c r="C2966" s="18">
        <v>98563</v>
      </c>
      <c r="D2966" s="2" t="s">
        <v>3360</v>
      </c>
      <c r="E2966" s="15">
        <v>1995</v>
      </c>
      <c r="F2966" s="36" t="s">
        <v>166</v>
      </c>
      <c r="G2966" s="15">
        <v>1995</v>
      </c>
      <c r="H2966" s="15">
        <f t="shared" si="47"/>
        <v>0</v>
      </c>
      <c r="I2966" s="19"/>
    </row>
    <row r="2967" spans="1:9" x14ac:dyDescent="0.25">
      <c r="A2967" s="16">
        <v>42760</v>
      </c>
      <c r="B2967" s="17" t="s">
        <v>3361</v>
      </c>
      <c r="C2967" s="18">
        <v>98564</v>
      </c>
      <c r="D2967" s="2" t="s">
        <v>879</v>
      </c>
      <c r="E2967" s="15">
        <v>308</v>
      </c>
      <c r="F2967" s="36" t="s">
        <v>166</v>
      </c>
      <c r="G2967" s="15">
        <v>308</v>
      </c>
      <c r="H2967" s="15">
        <f t="shared" si="47"/>
        <v>0</v>
      </c>
      <c r="I2967" s="19"/>
    </row>
    <row r="2968" spans="1:9" x14ac:dyDescent="0.25">
      <c r="A2968" s="16">
        <v>42760</v>
      </c>
      <c r="B2968" s="17" t="s">
        <v>3362</v>
      </c>
      <c r="C2968" s="18">
        <v>98565</v>
      </c>
      <c r="D2968" s="2" t="s">
        <v>222</v>
      </c>
      <c r="E2968" s="15">
        <v>56427.6</v>
      </c>
      <c r="F2968" s="36" t="s">
        <v>3126</v>
      </c>
      <c r="G2968" s="15">
        <v>56427.6</v>
      </c>
      <c r="H2968" s="15">
        <f t="shared" si="47"/>
        <v>0</v>
      </c>
      <c r="I2968" s="19"/>
    </row>
    <row r="2969" spans="1:9" x14ac:dyDescent="0.25">
      <c r="A2969" s="16">
        <v>42760</v>
      </c>
      <c r="B2969" s="17" t="s">
        <v>3363</v>
      </c>
      <c r="C2969" s="18">
        <v>98566</v>
      </c>
      <c r="D2969" s="2" t="s">
        <v>205</v>
      </c>
      <c r="E2969" s="15">
        <v>31496.5</v>
      </c>
      <c r="F2969" s="36" t="s">
        <v>166</v>
      </c>
      <c r="G2969" s="15">
        <v>31496.5</v>
      </c>
      <c r="H2969" s="15">
        <f t="shared" si="47"/>
        <v>0</v>
      </c>
      <c r="I2969" s="19"/>
    </row>
    <row r="2970" spans="1:9" x14ac:dyDescent="0.25">
      <c r="A2970" s="16">
        <v>42760</v>
      </c>
      <c r="B2970" s="17" t="s">
        <v>3364</v>
      </c>
      <c r="C2970" s="18">
        <v>98567</v>
      </c>
      <c r="D2970" s="2" t="s">
        <v>157</v>
      </c>
      <c r="E2970" s="15">
        <v>33513.9</v>
      </c>
      <c r="F2970" s="36" t="s">
        <v>166</v>
      </c>
      <c r="G2970" s="15">
        <v>33513.9</v>
      </c>
      <c r="H2970" s="15">
        <f t="shared" si="47"/>
        <v>0</v>
      </c>
      <c r="I2970" s="19"/>
    </row>
    <row r="2971" spans="1:9" x14ac:dyDescent="0.25">
      <c r="A2971" s="16">
        <v>42760</v>
      </c>
      <c r="B2971" s="17" t="s">
        <v>3365</v>
      </c>
      <c r="C2971" s="18">
        <v>98568</v>
      </c>
      <c r="D2971" s="2" t="s">
        <v>531</v>
      </c>
      <c r="E2971" s="15">
        <v>31347</v>
      </c>
      <c r="F2971" s="36" t="s">
        <v>2143</v>
      </c>
      <c r="G2971" s="15">
        <v>31347</v>
      </c>
      <c r="H2971" s="15">
        <f t="shared" si="47"/>
        <v>0</v>
      </c>
      <c r="I2971" s="19"/>
    </row>
    <row r="2972" spans="1:9" x14ac:dyDescent="0.25">
      <c r="A2972" s="16">
        <v>42760</v>
      </c>
      <c r="B2972" s="17" t="s">
        <v>3366</v>
      </c>
      <c r="C2972" s="18">
        <v>98569</v>
      </c>
      <c r="D2972" s="2" t="s">
        <v>523</v>
      </c>
      <c r="E2972" s="15">
        <v>23391.599999999999</v>
      </c>
      <c r="F2972" s="36" t="s">
        <v>765</v>
      </c>
      <c r="G2972" s="15">
        <v>23391.599999999999</v>
      </c>
      <c r="H2972" s="15">
        <f t="shared" si="47"/>
        <v>0</v>
      </c>
      <c r="I2972" s="19"/>
    </row>
    <row r="2973" spans="1:9" x14ac:dyDescent="0.25">
      <c r="A2973" s="16">
        <v>42760</v>
      </c>
      <c r="B2973" s="17" t="s">
        <v>3367</v>
      </c>
      <c r="C2973" s="18">
        <v>98570</v>
      </c>
      <c r="D2973" s="2" t="s">
        <v>14</v>
      </c>
      <c r="E2973" s="15">
        <v>17146.2</v>
      </c>
      <c r="F2973" s="36" t="s">
        <v>166</v>
      </c>
      <c r="G2973" s="15">
        <v>17146.2</v>
      </c>
      <c r="H2973" s="15">
        <f t="shared" si="47"/>
        <v>0</v>
      </c>
      <c r="I2973" s="19"/>
    </row>
    <row r="2974" spans="1:9" x14ac:dyDescent="0.25">
      <c r="A2974" s="16">
        <v>42760</v>
      </c>
      <c r="B2974" s="17" t="s">
        <v>3368</v>
      </c>
      <c r="C2974" s="18">
        <v>98571</v>
      </c>
      <c r="D2974" s="2" t="s">
        <v>10</v>
      </c>
      <c r="E2974" s="15">
        <v>143043.54</v>
      </c>
      <c r="F2974" s="36" t="s">
        <v>2166</v>
      </c>
      <c r="G2974" s="15">
        <v>143043.54</v>
      </c>
      <c r="H2974" s="15">
        <f t="shared" si="47"/>
        <v>0</v>
      </c>
      <c r="I2974" s="19"/>
    </row>
    <row r="2975" spans="1:9" x14ac:dyDescent="0.25">
      <c r="A2975" s="16">
        <v>42760</v>
      </c>
      <c r="B2975" s="17" t="s">
        <v>3369</v>
      </c>
      <c r="C2975" s="18">
        <v>98572</v>
      </c>
      <c r="D2975" s="2" t="s">
        <v>10</v>
      </c>
      <c r="E2975" s="15">
        <v>12394.6</v>
      </c>
      <c r="F2975" s="36" t="s">
        <v>2166</v>
      </c>
      <c r="G2975" s="15">
        <v>12394.6</v>
      </c>
      <c r="H2975" s="15">
        <f t="shared" si="47"/>
        <v>0</v>
      </c>
      <c r="I2975" s="19"/>
    </row>
    <row r="2976" spans="1:9" x14ac:dyDescent="0.25">
      <c r="A2976" s="16">
        <v>42760</v>
      </c>
      <c r="B2976" s="17" t="s">
        <v>3370</v>
      </c>
      <c r="C2976" s="18">
        <v>98573</v>
      </c>
      <c r="D2976" s="2" t="s">
        <v>30</v>
      </c>
      <c r="E2976" s="15">
        <v>14099</v>
      </c>
      <c r="F2976" s="36" t="s">
        <v>166</v>
      </c>
      <c r="G2976" s="15">
        <v>14099</v>
      </c>
      <c r="H2976" s="15">
        <f t="shared" si="47"/>
        <v>0</v>
      </c>
      <c r="I2976" s="19"/>
    </row>
    <row r="2977" spans="1:9" x14ac:dyDescent="0.25">
      <c r="A2977" s="16">
        <v>42760</v>
      </c>
      <c r="B2977" s="17" t="s">
        <v>3371</v>
      </c>
      <c r="C2977" s="18">
        <v>98574</v>
      </c>
      <c r="D2977" s="2" t="s">
        <v>693</v>
      </c>
      <c r="E2977" s="15">
        <v>14772</v>
      </c>
      <c r="F2977" s="36" t="s">
        <v>2744</v>
      </c>
      <c r="G2977" s="15">
        <v>14772</v>
      </c>
      <c r="H2977" s="15">
        <f t="shared" si="47"/>
        <v>0</v>
      </c>
      <c r="I2977" s="19"/>
    </row>
    <row r="2978" spans="1:9" x14ac:dyDescent="0.25">
      <c r="A2978" s="16">
        <v>42760</v>
      </c>
      <c r="B2978" s="17" t="s">
        <v>3372</v>
      </c>
      <c r="C2978" s="18">
        <v>98575</v>
      </c>
      <c r="D2978" s="2" t="s">
        <v>236</v>
      </c>
      <c r="E2978" s="15">
        <v>35863.199999999997</v>
      </c>
      <c r="F2978" s="36" t="s">
        <v>2166</v>
      </c>
      <c r="G2978" s="15">
        <v>35863.199999999997</v>
      </c>
      <c r="H2978" s="15">
        <f t="shared" si="47"/>
        <v>0</v>
      </c>
      <c r="I2978" s="19"/>
    </row>
    <row r="2979" spans="1:9" x14ac:dyDescent="0.25">
      <c r="A2979" s="16">
        <v>42760</v>
      </c>
      <c r="B2979" s="17" t="s">
        <v>3373</v>
      </c>
      <c r="C2979" s="18">
        <v>98576</v>
      </c>
      <c r="D2979" s="2" t="s">
        <v>3374</v>
      </c>
      <c r="E2979" s="15">
        <v>1696.8</v>
      </c>
      <c r="F2979" s="36" t="s">
        <v>166</v>
      </c>
      <c r="G2979" s="15">
        <v>1696.8</v>
      </c>
      <c r="H2979" s="15">
        <f t="shared" si="47"/>
        <v>0</v>
      </c>
      <c r="I2979" s="19"/>
    </row>
    <row r="2980" spans="1:9" x14ac:dyDescent="0.25">
      <c r="A2980" s="16">
        <v>42760</v>
      </c>
      <c r="B2980" s="17" t="s">
        <v>3375</v>
      </c>
      <c r="C2980" s="18">
        <v>98577</v>
      </c>
      <c r="D2980" s="2" t="s">
        <v>10</v>
      </c>
      <c r="E2980" s="15">
        <v>195955.20000000001</v>
      </c>
      <c r="F2980" s="124" t="s">
        <v>3376</v>
      </c>
      <c r="G2980" s="20">
        <f>20625.23+175329.97</f>
        <v>195955.20000000001</v>
      </c>
      <c r="H2980" s="20">
        <f t="shared" si="47"/>
        <v>0</v>
      </c>
      <c r="I2980" s="19"/>
    </row>
    <row r="2981" spans="1:9" x14ac:dyDescent="0.25">
      <c r="A2981" s="16">
        <v>42760</v>
      </c>
      <c r="B2981" s="17" t="s">
        <v>3377</v>
      </c>
      <c r="C2981" s="18">
        <v>98578</v>
      </c>
      <c r="D2981" s="13" t="s">
        <v>3374</v>
      </c>
      <c r="E2981" s="14">
        <v>0</v>
      </c>
      <c r="F2981" s="123" t="s">
        <v>95</v>
      </c>
      <c r="G2981" s="14">
        <v>0</v>
      </c>
      <c r="H2981" s="14">
        <f t="shared" si="47"/>
        <v>0</v>
      </c>
      <c r="I2981" s="19"/>
    </row>
    <row r="2982" spans="1:9" x14ac:dyDescent="0.25">
      <c r="A2982" s="16">
        <v>42760</v>
      </c>
      <c r="B2982" s="17" t="s">
        <v>3378</v>
      </c>
      <c r="C2982" s="18">
        <v>98579</v>
      </c>
      <c r="D2982" s="2" t="s">
        <v>236</v>
      </c>
      <c r="E2982" s="15">
        <v>32299.200000000001</v>
      </c>
      <c r="F2982" s="36" t="s">
        <v>2166</v>
      </c>
      <c r="G2982" s="15">
        <v>32299.200000000001</v>
      </c>
      <c r="H2982" s="15">
        <f t="shared" si="47"/>
        <v>0</v>
      </c>
      <c r="I2982" s="19"/>
    </row>
    <row r="2983" spans="1:9" x14ac:dyDescent="0.25">
      <c r="A2983" s="16">
        <v>42760</v>
      </c>
      <c r="B2983" s="17" t="s">
        <v>3379</v>
      </c>
      <c r="C2983" s="18">
        <v>98580</v>
      </c>
      <c r="D2983" s="2" t="s">
        <v>211</v>
      </c>
      <c r="E2983" s="15">
        <v>8636</v>
      </c>
      <c r="F2983" s="36" t="s">
        <v>166</v>
      </c>
      <c r="G2983" s="15">
        <v>8636</v>
      </c>
      <c r="H2983" s="15">
        <f t="shared" si="47"/>
        <v>0</v>
      </c>
      <c r="I2983" s="19"/>
    </row>
    <row r="2984" spans="1:9" x14ac:dyDescent="0.25">
      <c r="A2984" s="16">
        <v>42760</v>
      </c>
      <c r="B2984" s="17" t="s">
        <v>3380</v>
      </c>
      <c r="C2984" s="18">
        <v>98581</v>
      </c>
      <c r="D2984" s="2" t="s">
        <v>921</v>
      </c>
      <c r="E2984" s="15">
        <v>6637.4</v>
      </c>
      <c r="F2984" s="36" t="s">
        <v>166</v>
      </c>
      <c r="G2984" s="15">
        <v>6637.4</v>
      </c>
      <c r="H2984" s="15">
        <f t="shared" si="47"/>
        <v>0</v>
      </c>
      <c r="I2984" s="19"/>
    </row>
    <row r="2985" spans="1:9" x14ac:dyDescent="0.25">
      <c r="A2985" s="16">
        <v>42760</v>
      </c>
      <c r="B2985" s="17" t="s">
        <v>3381</v>
      </c>
      <c r="C2985" s="18">
        <v>98582</v>
      </c>
      <c r="D2985" s="2" t="s">
        <v>10</v>
      </c>
      <c r="E2985" s="15">
        <v>44771.8</v>
      </c>
      <c r="F2985" s="36" t="s">
        <v>361</v>
      </c>
      <c r="G2985" s="15">
        <v>44771.8</v>
      </c>
      <c r="H2985" s="15">
        <f t="shared" si="47"/>
        <v>0</v>
      </c>
      <c r="I2985" s="19"/>
    </row>
    <row r="2986" spans="1:9" x14ac:dyDescent="0.25">
      <c r="A2986" s="16">
        <v>42760</v>
      </c>
      <c r="B2986" s="17" t="s">
        <v>3382</v>
      </c>
      <c r="C2986" s="18">
        <v>98583</v>
      </c>
      <c r="D2986" s="2" t="s">
        <v>536</v>
      </c>
      <c r="E2986" s="15">
        <v>3515.4</v>
      </c>
      <c r="F2986" s="36" t="s">
        <v>166</v>
      </c>
      <c r="G2986" s="15">
        <v>3515.4</v>
      </c>
      <c r="H2986" s="15">
        <f t="shared" si="47"/>
        <v>0</v>
      </c>
      <c r="I2986" s="19"/>
    </row>
    <row r="2987" spans="1:9" x14ac:dyDescent="0.25">
      <c r="A2987" s="16">
        <v>42761</v>
      </c>
      <c r="B2987" s="17" t="s">
        <v>3383</v>
      </c>
      <c r="C2987" s="18">
        <v>98584</v>
      </c>
      <c r="D2987" s="2" t="s">
        <v>231</v>
      </c>
      <c r="E2987" s="15">
        <v>10126.9</v>
      </c>
      <c r="F2987" s="36" t="s">
        <v>2143</v>
      </c>
      <c r="G2987" s="15">
        <v>10126.9</v>
      </c>
      <c r="H2987" s="15">
        <f t="shared" si="47"/>
        <v>0</v>
      </c>
      <c r="I2987" s="19"/>
    </row>
    <row r="2988" spans="1:9" x14ac:dyDescent="0.25">
      <c r="A2988" s="16">
        <v>42761</v>
      </c>
      <c r="B2988" s="17" t="s">
        <v>3384</v>
      </c>
      <c r="C2988" s="18">
        <v>98585</v>
      </c>
      <c r="D2988" s="2" t="s">
        <v>231</v>
      </c>
      <c r="E2988" s="15">
        <v>35924.300000000003</v>
      </c>
      <c r="F2988" s="36" t="s">
        <v>1391</v>
      </c>
      <c r="G2988" s="15">
        <v>35924.300000000003</v>
      </c>
      <c r="H2988" s="15">
        <f t="shared" si="47"/>
        <v>0</v>
      </c>
      <c r="I2988" s="19"/>
    </row>
    <row r="2989" spans="1:9" x14ac:dyDescent="0.25">
      <c r="A2989" s="16">
        <v>42761</v>
      </c>
      <c r="B2989" s="17" t="s">
        <v>3385</v>
      </c>
      <c r="C2989" s="18">
        <v>98586</v>
      </c>
      <c r="D2989" s="2" t="s">
        <v>17</v>
      </c>
      <c r="E2989" s="15">
        <v>2400</v>
      </c>
      <c r="F2989" s="36" t="s">
        <v>1391</v>
      </c>
      <c r="G2989" s="15">
        <v>2400</v>
      </c>
      <c r="H2989" s="15">
        <f t="shared" si="47"/>
        <v>0</v>
      </c>
      <c r="I2989" s="19"/>
    </row>
    <row r="2990" spans="1:9" x14ac:dyDescent="0.25">
      <c r="A2990" s="16">
        <v>42761</v>
      </c>
      <c r="B2990" s="17" t="s">
        <v>3386</v>
      </c>
      <c r="C2990" s="18">
        <v>98587</v>
      </c>
      <c r="D2990" s="2" t="s">
        <v>26</v>
      </c>
      <c r="E2990" s="15">
        <v>16632.3</v>
      </c>
      <c r="F2990" s="36" t="s">
        <v>1391</v>
      </c>
      <c r="G2990" s="15">
        <v>16632.3</v>
      </c>
      <c r="H2990" s="15">
        <f t="shared" si="47"/>
        <v>0</v>
      </c>
      <c r="I2990" s="19"/>
    </row>
    <row r="2991" spans="1:9" x14ac:dyDescent="0.25">
      <c r="A2991" s="16">
        <v>42761</v>
      </c>
      <c r="B2991" s="17" t="s">
        <v>3387</v>
      </c>
      <c r="C2991" s="18">
        <v>98588</v>
      </c>
      <c r="D2991" s="2" t="s">
        <v>236</v>
      </c>
      <c r="E2991" s="15">
        <v>33948</v>
      </c>
      <c r="F2991" s="36" t="s">
        <v>3164</v>
      </c>
      <c r="G2991" s="15">
        <v>33948</v>
      </c>
      <c r="H2991" s="15">
        <f t="shared" si="47"/>
        <v>0</v>
      </c>
      <c r="I2991" s="19"/>
    </row>
    <row r="2992" spans="1:9" x14ac:dyDescent="0.25">
      <c r="A2992" s="16">
        <v>42761</v>
      </c>
      <c r="B2992" s="17" t="s">
        <v>3388</v>
      </c>
      <c r="C2992" s="18">
        <v>98589</v>
      </c>
      <c r="D2992" s="2" t="s">
        <v>236</v>
      </c>
      <c r="E2992" s="15">
        <v>7924.05</v>
      </c>
      <c r="F2992" s="36" t="s">
        <v>3164</v>
      </c>
      <c r="G2992" s="15">
        <v>7924.05</v>
      </c>
      <c r="H2992" s="15">
        <f t="shared" si="47"/>
        <v>0</v>
      </c>
      <c r="I2992" s="19"/>
    </row>
    <row r="2993" spans="1:9" x14ac:dyDescent="0.25">
      <c r="A2993" s="16">
        <v>42761</v>
      </c>
      <c r="B2993" s="17" t="s">
        <v>3389</v>
      </c>
      <c r="C2993" s="18">
        <v>98590</v>
      </c>
      <c r="D2993" s="2" t="s">
        <v>71</v>
      </c>
      <c r="E2993" s="15">
        <v>1869</v>
      </c>
      <c r="F2993" s="36" t="s">
        <v>1391</v>
      </c>
      <c r="G2993" s="15">
        <v>1869</v>
      </c>
      <c r="H2993" s="15">
        <f t="shared" si="47"/>
        <v>0</v>
      </c>
      <c r="I2993" s="19"/>
    </row>
    <row r="2994" spans="1:9" x14ac:dyDescent="0.25">
      <c r="A2994" s="16">
        <v>42761</v>
      </c>
      <c r="B2994" s="17" t="s">
        <v>3390</v>
      </c>
      <c r="C2994" s="18">
        <v>98591</v>
      </c>
      <c r="D2994" s="2" t="s">
        <v>28</v>
      </c>
      <c r="E2994" s="15">
        <v>8738.4</v>
      </c>
      <c r="F2994" s="36" t="s">
        <v>1391</v>
      </c>
      <c r="G2994" s="15">
        <v>8738.4</v>
      </c>
      <c r="H2994" s="15">
        <f t="shared" si="47"/>
        <v>0</v>
      </c>
      <c r="I2994" s="19"/>
    </row>
    <row r="2995" spans="1:9" x14ac:dyDescent="0.25">
      <c r="A2995" s="16">
        <v>42761</v>
      </c>
      <c r="B2995" s="17" t="s">
        <v>3391</v>
      </c>
      <c r="C2995" s="18">
        <v>98592</v>
      </c>
      <c r="D2995" s="2" t="s">
        <v>428</v>
      </c>
      <c r="E2995" s="15">
        <v>1989.9</v>
      </c>
      <c r="F2995" s="36" t="s">
        <v>2143</v>
      </c>
      <c r="G2995" s="15">
        <v>1989.9</v>
      </c>
      <c r="H2995" s="15">
        <f t="shared" si="47"/>
        <v>0</v>
      </c>
      <c r="I2995" s="19"/>
    </row>
    <row r="2996" spans="1:9" x14ac:dyDescent="0.25">
      <c r="A2996" s="16">
        <v>42761</v>
      </c>
      <c r="B2996" s="17" t="s">
        <v>3392</v>
      </c>
      <c r="C2996" s="18">
        <v>98593</v>
      </c>
      <c r="D2996" s="13" t="s">
        <v>285</v>
      </c>
      <c r="E2996" s="14">
        <v>0</v>
      </c>
      <c r="F2996" s="123" t="s">
        <v>95</v>
      </c>
      <c r="G2996" s="14">
        <v>0</v>
      </c>
      <c r="H2996" s="14">
        <f t="shared" si="47"/>
        <v>0</v>
      </c>
      <c r="I2996" s="19"/>
    </row>
    <row r="2997" spans="1:9" x14ac:dyDescent="0.25">
      <c r="A2997" s="16">
        <v>42761</v>
      </c>
      <c r="B2997" s="17" t="s">
        <v>3393</v>
      </c>
      <c r="C2997" s="18">
        <v>98594</v>
      </c>
      <c r="D2997" s="2" t="s">
        <v>1269</v>
      </c>
      <c r="E2997" s="15">
        <v>5873.8</v>
      </c>
      <c r="F2997" s="36" t="s">
        <v>1391</v>
      </c>
      <c r="G2997" s="15">
        <v>5873.8</v>
      </c>
      <c r="H2997" s="15">
        <f t="shared" si="47"/>
        <v>0</v>
      </c>
      <c r="I2997" s="19"/>
    </row>
    <row r="2998" spans="1:9" x14ac:dyDescent="0.25">
      <c r="A2998" s="16">
        <v>42761</v>
      </c>
      <c r="B2998" s="17" t="s">
        <v>3394</v>
      </c>
      <c r="C2998" s="18">
        <v>98595</v>
      </c>
      <c r="D2998" s="2" t="s">
        <v>49</v>
      </c>
      <c r="E2998" s="15">
        <v>7150.4</v>
      </c>
      <c r="F2998" s="124" t="s">
        <v>3395</v>
      </c>
      <c r="G2998" s="20">
        <f>3000+4150.4</f>
        <v>7150.4</v>
      </c>
      <c r="H2998" s="20">
        <f t="shared" si="47"/>
        <v>0</v>
      </c>
      <c r="I2998" s="19"/>
    </row>
    <row r="2999" spans="1:9" x14ac:dyDescent="0.25">
      <c r="A2999" s="16">
        <v>42761</v>
      </c>
      <c r="B2999" s="17" t="s">
        <v>3396</v>
      </c>
      <c r="C2999" s="18">
        <v>98596</v>
      </c>
      <c r="D2999" s="2" t="s">
        <v>32</v>
      </c>
      <c r="E2999" s="15">
        <v>6772.8</v>
      </c>
      <c r="F2999" s="36" t="s">
        <v>1889</v>
      </c>
      <c r="G2999" s="15">
        <v>6772.8</v>
      </c>
      <c r="H2999" s="15">
        <f t="shared" si="47"/>
        <v>0</v>
      </c>
      <c r="I2999" s="19"/>
    </row>
    <row r="3000" spans="1:9" x14ac:dyDescent="0.25">
      <c r="A3000" s="16">
        <v>42761</v>
      </c>
      <c r="B3000" s="17" t="s">
        <v>3397</v>
      </c>
      <c r="C3000" s="18">
        <v>98597</v>
      </c>
      <c r="D3000" s="2" t="s">
        <v>40</v>
      </c>
      <c r="E3000" s="15">
        <v>4032</v>
      </c>
      <c r="F3000" s="36" t="s">
        <v>361</v>
      </c>
      <c r="G3000" s="15">
        <v>4032</v>
      </c>
      <c r="H3000" s="15">
        <f t="shared" si="47"/>
        <v>0</v>
      </c>
      <c r="I3000" s="19"/>
    </row>
    <row r="3001" spans="1:9" x14ac:dyDescent="0.25">
      <c r="A3001" s="16">
        <v>42761</v>
      </c>
      <c r="B3001" s="17" t="s">
        <v>3398</v>
      </c>
      <c r="C3001" s="18">
        <v>98598</v>
      </c>
      <c r="D3001" s="13" t="s">
        <v>1325</v>
      </c>
      <c r="E3001" s="14">
        <v>0</v>
      </c>
      <c r="F3001" s="123" t="s">
        <v>95</v>
      </c>
      <c r="G3001" s="14">
        <v>0</v>
      </c>
      <c r="H3001" s="14">
        <f t="shared" si="47"/>
        <v>0</v>
      </c>
      <c r="I3001" s="19"/>
    </row>
    <row r="3002" spans="1:9" x14ac:dyDescent="0.25">
      <c r="A3002" s="16">
        <v>42761</v>
      </c>
      <c r="B3002" s="17" t="s">
        <v>3399</v>
      </c>
      <c r="C3002" s="18">
        <v>98599</v>
      </c>
      <c r="D3002" s="2" t="s">
        <v>1325</v>
      </c>
      <c r="E3002" s="15">
        <v>2840.2</v>
      </c>
      <c r="F3002" s="36" t="s">
        <v>1391</v>
      </c>
      <c r="G3002" s="15">
        <v>2840.2</v>
      </c>
      <c r="H3002" s="15">
        <f t="shared" si="47"/>
        <v>0</v>
      </c>
      <c r="I3002" s="19"/>
    </row>
    <row r="3003" spans="1:9" x14ac:dyDescent="0.25">
      <c r="A3003" s="16">
        <v>42761</v>
      </c>
      <c r="B3003" s="17" t="s">
        <v>3400</v>
      </c>
      <c r="C3003" s="18">
        <v>98600</v>
      </c>
      <c r="D3003" s="2" t="s">
        <v>236</v>
      </c>
      <c r="E3003" s="15">
        <v>33458.400000000001</v>
      </c>
      <c r="F3003" s="36" t="s">
        <v>3164</v>
      </c>
      <c r="G3003" s="15">
        <v>33458.400000000001</v>
      </c>
      <c r="H3003" s="15">
        <f t="shared" si="47"/>
        <v>0</v>
      </c>
      <c r="I3003" s="19"/>
    </row>
    <row r="3004" spans="1:9" x14ac:dyDescent="0.25">
      <c r="A3004" s="16">
        <v>42761</v>
      </c>
      <c r="B3004" s="17" t="s">
        <v>3401</v>
      </c>
      <c r="C3004" s="18">
        <v>98601</v>
      </c>
      <c r="D3004" s="2" t="s">
        <v>281</v>
      </c>
      <c r="E3004" s="15">
        <v>1310</v>
      </c>
      <c r="F3004" s="36" t="s">
        <v>1391</v>
      </c>
      <c r="G3004" s="15">
        <v>1310</v>
      </c>
      <c r="H3004" s="15">
        <f t="shared" si="47"/>
        <v>0</v>
      </c>
      <c r="I3004" s="19"/>
    </row>
    <row r="3005" spans="1:9" x14ac:dyDescent="0.25">
      <c r="A3005" s="16">
        <v>42761</v>
      </c>
      <c r="B3005" s="17" t="s">
        <v>3402</v>
      </c>
      <c r="C3005" s="18">
        <v>98602</v>
      </c>
      <c r="D3005" s="2" t="s">
        <v>92</v>
      </c>
      <c r="E3005" s="15">
        <v>2827.2</v>
      </c>
      <c r="F3005" s="36" t="s">
        <v>1391</v>
      </c>
      <c r="G3005" s="15">
        <v>2827.2</v>
      </c>
      <c r="H3005" s="15">
        <f t="shared" si="47"/>
        <v>0</v>
      </c>
      <c r="I3005" s="19"/>
    </row>
    <row r="3006" spans="1:9" x14ac:dyDescent="0.25">
      <c r="A3006" s="16">
        <v>42761</v>
      </c>
      <c r="B3006" s="17" t="s">
        <v>3403</v>
      </c>
      <c r="C3006" s="18">
        <v>98603</v>
      </c>
      <c r="D3006" s="2" t="s">
        <v>250</v>
      </c>
      <c r="E3006" s="15">
        <v>6918.1</v>
      </c>
      <c r="F3006" s="124" t="s">
        <v>3404</v>
      </c>
      <c r="G3006" s="20">
        <f>6550+368.1</f>
        <v>6918.1</v>
      </c>
      <c r="H3006" s="20">
        <f t="shared" si="47"/>
        <v>0</v>
      </c>
      <c r="I3006" s="19"/>
    </row>
    <row r="3007" spans="1:9" x14ac:dyDescent="0.25">
      <c r="A3007" s="16">
        <v>42761</v>
      </c>
      <c r="B3007" s="17" t="s">
        <v>3405</v>
      </c>
      <c r="C3007" s="18">
        <v>98604</v>
      </c>
      <c r="D3007" s="2" t="s">
        <v>448</v>
      </c>
      <c r="E3007" s="15">
        <v>538.20000000000005</v>
      </c>
      <c r="F3007" s="36" t="s">
        <v>1391</v>
      </c>
      <c r="G3007" s="15">
        <v>538.20000000000005</v>
      </c>
      <c r="H3007" s="15">
        <f t="shared" si="47"/>
        <v>0</v>
      </c>
      <c r="I3007" s="19"/>
    </row>
    <row r="3008" spans="1:9" x14ac:dyDescent="0.25">
      <c r="A3008" s="16">
        <v>42761</v>
      </c>
      <c r="B3008" s="17" t="s">
        <v>3406</v>
      </c>
      <c r="C3008" s="18">
        <v>98605</v>
      </c>
      <c r="D3008" s="2" t="s">
        <v>1081</v>
      </c>
      <c r="E3008" s="15">
        <v>1580.52</v>
      </c>
      <c r="F3008" s="36" t="s">
        <v>1391</v>
      </c>
      <c r="G3008" s="15">
        <v>1580.52</v>
      </c>
      <c r="H3008" s="15">
        <f t="shared" si="47"/>
        <v>0</v>
      </c>
      <c r="I3008" s="19"/>
    </row>
    <row r="3009" spans="1:9" x14ac:dyDescent="0.25">
      <c r="A3009" s="16">
        <v>42761</v>
      </c>
      <c r="B3009" s="17" t="s">
        <v>3407</v>
      </c>
      <c r="C3009" s="18">
        <v>98606</v>
      </c>
      <c r="D3009" s="2" t="s">
        <v>509</v>
      </c>
      <c r="E3009" s="15">
        <v>28974</v>
      </c>
      <c r="F3009" s="36" t="s">
        <v>765</v>
      </c>
      <c r="G3009" s="15">
        <v>28974</v>
      </c>
      <c r="H3009" s="15">
        <f t="shared" si="47"/>
        <v>0</v>
      </c>
      <c r="I3009" s="19"/>
    </row>
    <row r="3010" spans="1:9" x14ac:dyDescent="0.25">
      <c r="A3010" s="16">
        <v>42761</v>
      </c>
      <c r="B3010" s="17" t="s">
        <v>3408</v>
      </c>
      <c r="C3010" s="18">
        <v>98607</v>
      </c>
      <c r="D3010" s="2" t="s">
        <v>67</v>
      </c>
      <c r="E3010" s="15">
        <v>3723.5</v>
      </c>
      <c r="F3010" s="36" t="s">
        <v>2009</v>
      </c>
      <c r="G3010" s="15">
        <v>3723.5</v>
      </c>
      <c r="H3010" s="15">
        <f t="shared" si="47"/>
        <v>0</v>
      </c>
      <c r="I3010" s="19"/>
    </row>
    <row r="3011" spans="1:9" x14ac:dyDescent="0.25">
      <c r="A3011" s="16">
        <v>42761</v>
      </c>
      <c r="B3011" s="17" t="s">
        <v>3409</v>
      </c>
      <c r="C3011" s="18">
        <v>98608</v>
      </c>
      <c r="D3011" s="2" t="s">
        <v>99</v>
      </c>
      <c r="E3011" s="15">
        <v>1920</v>
      </c>
      <c r="F3011" s="36" t="s">
        <v>1391</v>
      </c>
      <c r="G3011" s="15">
        <v>1920</v>
      </c>
      <c r="H3011" s="15">
        <f t="shared" si="47"/>
        <v>0</v>
      </c>
      <c r="I3011" s="19"/>
    </row>
    <row r="3012" spans="1:9" x14ac:dyDescent="0.25">
      <c r="A3012" s="16">
        <v>42761</v>
      </c>
      <c r="B3012" s="17" t="s">
        <v>3410</v>
      </c>
      <c r="C3012" s="18">
        <v>98609</v>
      </c>
      <c r="D3012" s="2" t="s">
        <v>576</v>
      </c>
      <c r="E3012" s="15">
        <v>338</v>
      </c>
      <c r="F3012" s="36" t="s">
        <v>361</v>
      </c>
      <c r="G3012" s="15">
        <v>338</v>
      </c>
      <c r="H3012" s="15">
        <f t="shared" si="47"/>
        <v>0</v>
      </c>
      <c r="I3012" s="19"/>
    </row>
    <row r="3013" spans="1:9" x14ac:dyDescent="0.25">
      <c r="A3013" s="16">
        <v>42761</v>
      </c>
      <c r="B3013" s="17" t="s">
        <v>3411</v>
      </c>
      <c r="C3013" s="18">
        <v>98610</v>
      </c>
      <c r="D3013" s="2" t="s">
        <v>1209</v>
      </c>
      <c r="E3013" s="15">
        <v>164.8</v>
      </c>
      <c r="F3013" s="36" t="s">
        <v>361</v>
      </c>
      <c r="G3013" s="15">
        <v>164.8</v>
      </c>
      <c r="H3013" s="15">
        <f t="shared" si="47"/>
        <v>0</v>
      </c>
      <c r="I3013" s="19"/>
    </row>
    <row r="3014" spans="1:9" x14ac:dyDescent="0.25">
      <c r="A3014" s="16">
        <v>42761</v>
      </c>
      <c r="B3014" s="17" t="s">
        <v>3412</v>
      </c>
      <c r="C3014" s="18">
        <v>98611</v>
      </c>
      <c r="D3014" s="2" t="s">
        <v>35</v>
      </c>
      <c r="E3014" s="15">
        <v>12973.6</v>
      </c>
      <c r="F3014" s="36" t="s">
        <v>361</v>
      </c>
      <c r="G3014" s="15">
        <v>12973.6</v>
      </c>
      <c r="H3014" s="15">
        <f t="shared" ref="H3014:H3077" si="48">E3014-G3014</f>
        <v>0</v>
      </c>
      <c r="I3014" s="19"/>
    </row>
    <row r="3015" spans="1:9" x14ac:dyDescent="0.25">
      <c r="A3015" s="16">
        <v>42761</v>
      </c>
      <c r="B3015" s="17" t="s">
        <v>3413</v>
      </c>
      <c r="C3015" s="18">
        <v>98612</v>
      </c>
      <c r="D3015" s="2" t="s">
        <v>83</v>
      </c>
      <c r="E3015" s="15">
        <v>4076.8</v>
      </c>
      <c r="F3015" s="36" t="s">
        <v>1391</v>
      </c>
      <c r="G3015" s="15">
        <v>4076.8</v>
      </c>
      <c r="H3015" s="15">
        <f t="shared" si="48"/>
        <v>0</v>
      </c>
      <c r="I3015" s="19"/>
    </row>
    <row r="3016" spans="1:9" x14ac:dyDescent="0.25">
      <c r="A3016" s="16">
        <v>42761</v>
      </c>
      <c r="B3016" s="17" t="s">
        <v>3414</v>
      </c>
      <c r="C3016" s="18">
        <v>98613</v>
      </c>
      <c r="D3016" s="2" t="s">
        <v>1259</v>
      </c>
      <c r="E3016" s="15">
        <v>686.2</v>
      </c>
      <c r="F3016" s="36" t="s">
        <v>1391</v>
      </c>
      <c r="G3016" s="15">
        <v>686.2</v>
      </c>
      <c r="H3016" s="15">
        <f t="shared" si="48"/>
        <v>0</v>
      </c>
      <c r="I3016" s="19"/>
    </row>
    <row r="3017" spans="1:9" x14ac:dyDescent="0.25">
      <c r="A3017" s="16">
        <v>42761</v>
      </c>
      <c r="B3017" s="17" t="s">
        <v>3415</v>
      </c>
      <c r="C3017" s="18">
        <v>98614</v>
      </c>
      <c r="D3017" s="2" t="s">
        <v>109</v>
      </c>
      <c r="E3017" s="15">
        <v>3200.9</v>
      </c>
      <c r="F3017" s="36" t="s">
        <v>1391</v>
      </c>
      <c r="G3017" s="15">
        <v>3200.9</v>
      </c>
      <c r="H3017" s="15">
        <f t="shared" si="48"/>
        <v>0</v>
      </c>
      <c r="I3017" s="19"/>
    </row>
    <row r="3018" spans="1:9" x14ac:dyDescent="0.25">
      <c r="A3018" s="16">
        <v>42761</v>
      </c>
      <c r="B3018" s="17" t="s">
        <v>3416</v>
      </c>
      <c r="C3018" s="18">
        <v>98615</v>
      </c>
      <c r="D3018" s="13" t="s">
        <v>218</v>
      </c>
      <c r="E3018" s="14">
        <v>0</v>
      </c>
      <c r="F3018" s="123" t="s">
        <v>95</v>
      </c>
      <c r="G3018" s="14">
        <v>0</v>
      </c>
      <c r="H3018" s="14">
        <f t="shared" si="48"/>
        <v>0</v>
      </c>
      <c r="I3018" s="19"/>
    </row>
    <row r="3019" spans="1:9" x14ac:dyDescent="0.25">
      <c r="A3019" s="16">
        <v>42761</v>
      </c>
      <c r="B3019" s="17" t="s">
        <v>3417</v>
      </c>
      <c r="C3019" s="18">
        <v>98616</v>
      </c>
      <c r="D3019" s="2" t="s">
        <v>414</v>
      </c>
      <c r="E3019" s="15">
        <v>2519.3000000000002</v>
      </c>
      <c r="F3019" s="36" t="s">
        <v>1391</v>
      </c>
      <c r="G3019" s="15">
        <v>2519.3000000000002</v>
      </c>
      <c r="H3019" s="15">
        <f t="shared" si="48"/>
        <v>0</v>
      </c>
      <c r="I3019" s="19"/>
    </row>
    <row r="3020" spans="1:9" x14ac:dyDescent="0.25">
      <c r="A3020" s="16">
        <v>42761</v>
      </c>
      <c r="B3020" s="17" t="s">
        <v>3418</v>
      </c>
      <c r="C3020" s="18">
        <v>98617</v>
      </c>
      <c r="D3020" s="2" t="s">
        <v>285</v>
      </c>
      <c r="E3020" s="15">
        <v>760.8</v>
      </c>
      <c r="F3020" s="36" t="s">
        <v>1391</v>
      </c>
      <c r="G3020" s="15">
        <v>760.8</v>
      </c>
      <c r="H3020" s="15">
        <f t="shared" si="48"/>
        <v>0</v>
      </c>
      <c r="I3020" s="19"/>
    </row>
    <row r="3021" spans="1:9" x14ac:dyDescent="0.25">
      <c r="A3021" s="16">
        <v>42761</v>
      </c>
      <c r="B3021" s="17" t="s">
        <v>3419</v>
      </c>
      <c r="C3021" s="18">
        <v>98618</v>
      </c>
      <c r="D3021" s="2" t="s">
        <v>289</v>
      </c>
      <c r="E3021" s="15">
        <v>38425.1</v>
      </c>
      <c r="F3021" s="36" t="s">
        <v>3164</v>
      </c>
      <c r="G3021" s="15">
        <v>38425.1</v>
      </c>
      <c r="H3021" s="15">
        <f t="shared" si="48"/>
        <v>0</v>
      </c>
      <c r="I3021" s="19"/>
    </row>
    <row r="3022" spans="1:9" x14ac:dyDescent="0.25">
      <c r="A3022" s="16">
        <v>42761</v>
      </c>
      <c r="B3022" s="17" t="s">
        <v>3420</v>
      </c>
      <c r="C3022" s="18">
        <v>98619</v>
      </c>
      <c r="D3022" s="2" t="s">
        <v>103</v>
      </c>
      <c r="E3022" s="15">
        <v>4335.3999999999996</v>
      </c>
      <c r="F3022" s="36" t="s">
        <v>2009</v>
      </c>
      <c r="G3022" s="15">
        <v>4335.3999999999996</v>
      </c>
      <c r="H3022" s="15">
        <f t="shared" si="48"/>
        <v>0</v>
      </c>
      <c r="I3022" s="19"/>
    </row>
    <row r="3023" spans="1:9" x14ac:dyDescent="0.25">
      <c r="A3023" s="16">
        <v>42761</v>
      </c>
      <c r="B3023" s="17" t="s">
        <v>3421</v>
      </c>
      <c r="C3023" s="18">
        <v>98620</v>
      </c>
      <c r="D3023" s="2" t="s">
        <v>105</v>
      </c>
      <c r="E3023" s="15">
        <v>3466.2</v>
      </c>
      <c r="F3023" s="36" t="s">
        <v>1391</v>
      </c>
      <c r="G3023" s="15">
        <v>3466.2</v>
      </c>
      <c r="H3023" s="15">
        <f t="shared" si="48"/>
        <v>0</v>
      </c>
      <c r="I3023" s="19"/>
    </row>
    <row r="3024" spans="1:9" x14ac:dyDescent="0.25">
      <c r="A3024" s="16">
        <v>42761</v>
      </c>
      <c r="B3024" s="17" t="s">
        <v>3422</v>
      </c>
      <c r="C3024" s="18">
        <v>98621</v>
      </c>
      <c r="D3024" s="2" t="s">
        <v>47</v>
      </c>
      <c r="E3024" s="15">
        <v>4024.5</v>
      </c>
      <c r="F3024" s="36" t="s">
        <v>1391</v>
      </c>
      <c r="G3024" s="15">
        <v>4024.5</v>
      </c>
      <c r="H3024" s="15">
        <f t="shared" si="48"/>
        <v>0</v>
      </c>
      <c r="I3024" s="19"/>
    </row>
    <row r="3025" spans="1:9" x14ac:dyDescent="0.25">
      <c r="A3025" s="16">
        <v>42761</v>
      </c>
      <c r="B3025" s="17" t="s">
        <v>3423</v>
      </c>
      <c r="C3025" s="18">
        <v>98622</v>
      </c>
      <c r="D3025" s="2" t="s">
        <v>105</v>
      </c>
      <c r="E3025" s="15">
        <v>164.9</v>
      </c>
      <c r="F3025" s="36" t="s">
        <v>2009</v>
      </c>
      <c r="G3025" s="15">
        <v>164.9</v>
      </c>
      <c r="H3025" s="15">
        <f t="shared" si="48"/>
        <v>0</v>
      </c>
      <c r="I3025" s="19"/>
    </row>
    <row r="3026" spans="1:9" x14ac:dyDescent="0.25">
      <c r="A3026" s="16">
        <v>42761</v>
      </c>
      <c r="B3026" s="17" t="s">
        <v>3424</v>
      </c>
      <c r="C3026" s="18">
        <v>98623</v>
      </c>
      <c r="D3026" s="2" t="s">
        <v>3425</v>
      </c>
      <c r="E3026" s="15">
        <v>5132.8</v>
      </c>
      <c r="F3026" s="36" t="s">
        <v>1391</v>
      </c>
      <c r="G3026" s="15">
        <v>5132.8</v>
      </c>
      <c r="H3026" s="15">
        <f t="shared" si="48"/>
        <v>0</v>
      </c>
      <c r="I3026" s="19"/>
    </row>
    <row r="3027" spans="1:9" x14ac:dyDescent="0.25">
      <c r="A3027" s="16">
        <v>42761</v>
      </c>
      <c r="B3027" s="17" t="s">
        <v>3426</v>
      </c>
      <c r="C3027" s="18">
        <v>98624</v>
      </c>
      <c r="D3027" s="2" t="s">
        <v>613</v>
      </c>
      <c r="E3027" s="15">
        <v>3145.8</v>
      </c>
      <c r="F3027" s="36" t="s">
        <v>1391</v>
      </c>
      <c r="G3027" s="15">
        <v>3145.8</v>
      </c>
      <c r="H3027" s="15">
        <f t="shared" si="48"/>
        <v>0</v>
      </c>
      <c r="I3027" s="19"/>
    </row>
    <row r="3028" spans="1:9" x14ac:dyDescent="0.25">
      <c r="A3028" s="16">
        <v>42761</v>
      </c>
      <c r="B3028" s="17" t="s">
        <v>3427</v>
      </c>
      <c r="C3028" s="18">
        <v>98625</v>
      </c>
      <c r="D3028" s="2" t="s">
        <v>30</v>
      </c>
      <c r="E3028" s="15">
        <v>335</v>
      </c>
      <c r="F3028" s="36" t="s">
        <v>1391</v>
      </c>
      <c r="G3028" s="15">
        <v>335</v>
      </c>
      <c r="H3028" s="15">
        <f t="shared" si="48"/>
        <v>0</v>
      </c>
      <c r="I3028" s="19"/>
    </row>
    <row r="3029" spans="1:9" x14ac:dyDescent="0.25">
      <c r="A3029" s="16">
        <v>42761</v>
      </c>
      <c r="B3029" s="17" t="s">
        <v>3428</v>
      </c>
      <c r="C3029" s="18">
        <v>98626</v>
      </c>
      <c r="D3029" s="2" t="s">
        <v>293</v>
      </c>
      <c r="E3029" s="15">
        <v>294</v>
      </c>
      <c r="F3029" s="36" t="s">
        <v>1391</v>
      </c>
      <c r="G3029" s="15">
        <v>294</v>
      </c>
      <c r="H3029" s="15">
        <f t="shared" si="48"/>
        <v>0</v>
      </c>
      <c r="I3029" s="19"/>
    </row>
    <row r="3030" spans="1:9" x14ac:dyDescent="0.25">
      <c r="A3030" s="16">
        <v>42761</v>
      </c>
      <c r="B3030" s="17" t="s">
        <v>3429</v>
      </c>
      <c r="C3030" s="18">
        <v>98627</v>
      </c>
      <c r="D3030" s="13" t="s">
        <v>312</v>
      </c>
      <c r="E3030" s="14">
        <v>0</v>
      </c>
      <c r="F3030" s="123" t="s">
        <v>95</v>
      </c>
      <c r="G3030" s="14">
        <v>0</v>
      </c>
      <c r="H3030" s="14">
        <f t="shared" si="48"/>
        <v>0</v>
      </c>
      <c r="I3030" s="19"/>
    </row>
    <row r="3031" spans="1:9" x14ac:dyDescent="0.25">
      <c r="A3031" s="16">
        <v>42761</v>
      </c>
      <c r="B3031" s="17" t="s">
        <v>3430</v>
      </c>
      <c r="C3031" s="18">
        <v>98628</v>
      </c>
      <c r="D3031" s="2" t="s">
        <v>236</v>
      </c>
      <c r="E3031" s="15">
        <v>33800.400000000001</v>
      </c>
      <c r="F3031" s="36" t="s">
        <v>3164</v>
      </c>
      <c r="G3031" s="15">
        <v>33800.400000000001</v>
      </c>
      <c r="H3031" s="15">
        <f t="shared" si="48"/>
        <v>0</v>
      </c>
      <c r="I3031" s="19"/>
    </row>
    <row r="3032" spans="1:9" x14ac:dyDescent="0.25">
      <c r="A3032" s="16">
        <v>42761</v>
      </c>
      <c r="B3032" s="17" t="s">
        <v>3431</v>
      </c>
      <c r="C3032" s="18">
        <v>98629</v>
      </c>
      <c r="D3032" s="2" t="s">
        <v>149</v>
      </c>
      <c r="E3032" s="15">
        <v>617.70000000000005</v>
      </c>
      <c r="F3032" s="36" t="s">
        <v>1391</v>
      </c>
      <c r="G3032" s="15">
        <v>617.70000000000005</v>
      </c>
      <c r="H3032" s="15">
        <f t="shared" si="48"/>
        <v>0</v>
      </c>
      <c r="I3032" s="19"/>
    </row>
    <row r="3033" spans="1:9" x14ac:dyDescent="0.25">
      <c r="A3033" s="16">
        <v>42761</v>
      </c>
      <c r="B3033" s="17" t="s">
        <v>3432</v>
      </c>
      <c r="C3033" s="18">
        <v>98630</v>
      </c>
      <c r="D3033" s="2" t="s">
        <v>272</v>
      </c>
      <c r="E3033" s="15">
        <v>786.6</v>
      </c>
      <c r="F3033" s="36" t="s">
        <v>2143</v>
      </c>
      <c r="G3033" s="15">
        <v>786.6</v>
      </c>
      <c r="H3033" s="15">
        <f t="shared" si="48"/>
        <v>0</v>
      </c>
      <c r="I3033" s="19"/>
    </row>
    <row r="3034" spans="1:9" x14ac:dyDescent="0.25">
      <c r="A3034" s="16">
        <v>42761</v>
      </c>
      <c r="B3034" s="17" t="s">
        <v>3433</v>
      </c>
      <c r="C3034" s="18">
        <v>98631</v>
      </c>
      <c r="D3034" s="2" t="s">
        <v>79</v>
      </c>
      <c r="E3034" s="15">
        <v>2246.4</v>
      </c>
      <c r="F3034" s="36" t="s">
        <v>1391</v>
      </c>
      <c r="G3034" s="15">
        <v>2246.4</v>
      </c>
      <c r="H3034" s="15">
        <f t="shared" si="48"/>
        <v>0</v>
      </c>
      <c r="I3034" s="19"/>
    </row>
    <row r="3035" spans="1:9" x14ac:dyDescent="0.25">
      <c r="A3035" s="16">
        <v>42761</v>
      </c>
      <c r="B3035" s="17" t="s">
        <v>3434</v>
      </c>
      <c r="C3035" s="18">
        <v>98632</v>
      </c>
      <c r="D3035" s="2" t="s">
        <v>341</v>
      </c>
      <c r="E3035" s="15">
        <v>9545.6</v>
      </c>
      <c r="F3035" s="36" t="s">
        <v>1391</v>
      </c>
      <c r="G3035" s="15">
        <v>9545.6</v>
      </c>
      <c r="H3035" s="15">
        <f t="shared" si="48"/>
        <v>0</v>
      </c>
      <c r="I3035" s="19"/>
    </row>
    <row r="3036" spans="1:9" x14ac:dyDescent="0.25">
      <c r="A3036" s="16">
        <v>42761</v>
      </c>
      <c r="B3036" s="17" t="s">
        <v>3435</v>
      </c>
      <c r="C3036" s="18">
        <v>98633</v>
      </c>
      <c r="D3036" s="2" t="s">
        <v>268</v>
      </c>
      <c r="E3036" s="15">
        <v>5667.8</v>
      </c>
      <c r="F3036" s="36" t="s">
        <v>1889</v>
      </c>
      <c r="G3036" s="15">
        <v>5667.8</v>
      </c>
      <c r="H3036" s="15">
        <f t="shared" si="48"/>
        <v>0</v>
      </c>
      <c r="I3036" s="19"/>
    </row>
    <row r="3037" spans="1:9" x14ac:dyDescent="0.25">
      <c r="A3037" s="16">
        <v>42761</v>
      </c>
      <c r="B3037" s="17" t="s">
        <v>3436</v>
      </c>
      <c r="C3037" s="18">
        <v>98634</v>
      </c>
      <c r="D3037" s="2" t="s">
        <v>274</v>
      </c>
      <c r="E3037" s="15">
        <v>1113.5999999999999</v>
      </c>
      <c r="F3037" s="36" t="s">
        <v>1889</v>
      </c>
      <c r="G3037" s="15">
        <v>1113.5999999999999</v>
      </c>
      <c r="H3037" s="15">
        <f t="shared" si="48"/>
        <v>0</v>
      </c>
      <c r="I3037" s="19"/>
    </row>
    <row r="3038" spans="1:9" x14ac:dyDescent="0.25">
      <c r="A3038" s="16">
        <v>42761</v>
      </c>
      <c r="B3038" s="17" t="s">
        <v>3437</v>
      </c>
      <c r="C3038" s="18">
        <v>98635</v>
      </c>
      <c r="D3038" s="2" t="s">
        <v>1116</v>
      </c>
      <c r="E3038" s="15">
        <v>1939.2</v>
      </c>
      <c r="F3038" s="36" t="s">
        <v>2143</v>
      </c>
      <c r="G3038" s="15">
        <v>1939.2</v>
      </c>
      <c r="H3038" s="15">
        <f t="shared" si="48"/>
        <v>0</v>
      </c>
      <c r="I3038" s="19"/>
    </row>
    <row r="3039" spans="1:9" x14ac:dyDescent="0.25">
      <c r="A3039" s="16">
        <v>42761</v>
      </c>
      <c r="B3039" s="17" t="s">
        <v>3438</v>
      </c>
      <c r="C3039" s="18">
        <v>98636</v>
      </c>
      <c r="D3039" s="2" t="s">
        <v>236</v>
      </c>
      <c r="E3039" s="15">
        <v>32886</v>
      </c>
      <c r="F3039" s="36" t="s">
        <v>3164</v>
      </c>
      <c r="G3039" s="15">
        <v>32886</v>
      </c>
      <c r="H3039" s="15">
        <f t="shared" si="48"/>
        <v>0</v>
      </c>
      <c r="I3039" s="19"/>
    </row>
    <row r="3040" spans="1:9" x14ac:dyDescent="0.25">
      <c r="A3040" s="16">
        <v>42761</v>
      </c>
      <c r="B3040" s="17" t="s">
        <v>3439</v>
      </c>
      <c r="C3040" s="18">
        <v>98637</v>
      </c>
      <c r="D3040" s="2" t="s">
        <v>264</v>
      </c>
      <c r="E3040" s="15">
        <v>13842.2</v>
      </c>
      <c r="F3040" s="36" t="s">
        <v>1391</v>
      </c>
      <c r="G3040" s="15">
        <v>13842.2</v>
      </c>
      <c r="H3040" s="15">
        <f t="shared" si="48"/>
        <v>0</v>
      </c>
      <c r="I3040" s="19"/>
    </row>
    <row r="3041" spans="1:9" x14ac:dyDescent="0.25">
      <c r="A3041" s="16">
        <v>42761</v>
      </c>
      <c r="B3041" s="17" t="s">
        <v>3440</v>
      </c>
      <c r="C3041" s="18">
        <v>98638</v>
      </c>
      <c r="D3041" s="2" t="s">
        <v>222</v>
      </c>
      <c r="E3041" s="15">
        <v>149148.20000000001</v>
      </c>
      <c r="F3041" s="36" t="s">
        <v>1429</v>
      </c>
      <c r="G3041" s="15">
        <v>149148.20000000001</v>
      </c>
      <c r="H3041" s="15">
        <f t="shared" si="48"/>
        <v>0</v>
      </c>
      <c r="I3041" s="19"/>
    </row>
    <row r="3042" spans="1:9" x14ac:dyDescent="0.25">
      <c r="A3042" s="16">
        <v>42761</v>
      </c>
      <c r="B3042" s="17" t="s">
        <v>3441</v>
      </c>
      <c r="C3042" s="18">
        <v>98639</v>
      </c>
      <c r="D3042" s="2" t="s">
        <v>862</v>
      </c>
      <c r="E3042" s="15">
        <v>14880.2</v>
      </c>
      <c r="F3042" s="36" t="s">
        <v>1391</v>
      </c>
      <c r="G3042" s="15">
        <v>14880.2</v>
      </c>
      <c r="H3042" s="15">
        <f t="shared" si="48"/>
        <v>0</v>
      </c>
      <c r="I3042" s="19"/>
    </row>
    <row r="3043" spans="1:9" x14ac:dyDescent="0.25">
      <c r="A3043" s="16">
        <v>42761</v>
      </c>
      <c r="B3043" s="17" t="s">
        <v>3442</v>
      </c>
      <c r="C3043" s="18">
        <v>98640</v>
      </c>
      <c r="D3043" s="2" t="s">
        <v>321</v>
      </c>
      <c r="E3043" s="15">
        <v>503.7</v>
      </c>
      <c r="F3043" s="36" t="s">
        <v>1391</v>
      </c>
      <c r="G3043" s="15">
        <v>503.7</v>
      </c>
      <c r="H3043" s="15">
        <f t="shared" si="48"/>
        <v>0</v>
      </c>
      <c r="I3043" s="19"/>
    </row>
    <row r="3044" spans="1:9" x14ac:dyDescent="0.25">
      <c r="A3044" s="16">
        <v>42761</v>
      </c>
      <c r="B3044" s="17" t="s">
        <v>3443</v>
      </c>
      <c r="C3044" s="18">
        <v>98641</v>
      </c>
      <c r="D3044" s="2" t="s">
        <v>57</v>
      </c>
      <c r="E3044" s="15">
        <v>576</v>
      </c>
      <c r="F3044" s="36" t="s">
        <v>2143</v>
      </c>
      <c r="G3044" s="15">
        <v>576</v>
      </c>
      <c r="H3044" s="15">
        <f t="shared" si="48"/>
        <v>0</v>
      </c>
      <c r="I3044" s="19"/>
    </row>
    <row r="3045" spans="1:9" x14ac:dyDescent="0.25">
      <c r="A3045" s="16">
        <v>42761</v>
      </c>
      <c r="B3045" s="17" t="s">
        <v>3444</v>
      </c>
      <c r="C3045" s="18">
        <v>98642</v>
      </c>
      <c r="D3045" s="2" t="s">
        <v>30</v>
      </c>
      <c r="E3045" s="15">
        <v>1334.76</v>
      </c>
      <c r="F3045" s="36" t="s">
        <v>2143</v>
      </c>
      <c r="G3045" s="15">
        <v>1334.76</v>
      </c>
      <c r="H3045" s="15">
        <f t="shared" si="48"/>
        <v>0</v>
      </c>
      <c r="I3045" s="19"/>
    </row>
    <row r="3046" spans="1:9" x14ac:dyDescent="0.25">
      <c r="A3046" s="16">
        <v>42761</v>
      </c>
      <c r="B3046" s="17" t="s">
        <v>3445</v>
      </c>
      <c r="C3046" s="18">
        <v>98643</v>
      </c>
      <c r="D3046" s="2" t="s">
        <v>168</v>
      </c>
      <c r="E3046" s="15">
        <v>5005.3999999999996</v>
      </c>
      <c r="F3046" s="36" t="s">
        <v>1889</v>
      </c>
      <c r="G3046" s="15">
        <v>5005.3999999999996</v>
      </c>
      <c r="H3046" s="15">
        <f t="shared" si="48"/>
        <v>0</v>
      </c>
      <c r="I3046" s="19"/>
    </row>
    <row r="3047" spans="1:9" x14ac:dyDescent="0.25">
      <c r="A3047" s="16">
        <v>42761</v>
      </c>
      <c r="B3047" s="17" t="s">
        <v>3446</v>
      </c>
      <c r="C3047" s="18">
        <v>98644</v>
      </c>
      <c r="D3047" s="2" t="s">
        <v>30</v>
      </c>
      <c r="E3047" s="15">
        <v>323.39999999999998</v>
      </c>
      <c r="F3047" s="36" t="s">
        <v>1391</v>
      </c>
      <c r="G3047" s="15">
        <v>323.39999999999998</v>
      </c>
      <c r="H3047" s="15">
        <f t="shared" si="48"/>
        <v>0</v>
      </c>
      <c r="I3047" s="19"/>
    </row>
    <row r="3048" spans="1:9" x14ac:dyDescent="0.25">
      <c r="A3048" s="16">
        <v>42761</v>
      </c>
      <c r="B3048" s="17" t="s">
        <v>3447</v>
      </c>
      <c r="C3048" s="18">
        <v>98645</v>
      </c>
      <c r="D3048" s="2" t="s">
        <v>205</v>
      </c>
      <c r="E3048" s="15">
        <v>40113</v>
      </c>
      <c r="F3048" s="124" t="s">
        <v>3448</v>
      </c>
      <c r="G3048" s="20">
        <f>22113+18000</f>
        <v>40113</v>
      </c>
      <c r="H3048" s="20">
        <f t="shared" si="48"/>
        <v>0</v>
      </c>
      <c r="I3048" s="19"/>
    </row>
    <row r="3049" spans="1:9" x14ac:dyDescent="0.25">
      <c r="A3049" s="16">
        <v>42761</v>
      </c>
      <c r="B3049" s="17" t="s">
        <v>3449</v>
      </c>
      <c r="C3049" s="18">
        <v>98646</v>
      </c>
      <c r="D3049" s="2" t="s">
        <v>563</v>
      </c>
      <c r="E3049" s="15">
        <v>2275.1</v>
      </c>
      <c r="F3049" s="36" t="s">
        <v>1391</v>
      </c>
      <c r="G3049" s="15">
        <v>2275.1</v>
      </c>
      <c r="H3049" s="15">
        <f t="shared" si="48"/>
        <v>0</v>
      </c>
      <c r="I3049" s="19"/>
    </row>
    <row r="3050" spans="1:9" x14ac:dyDescent="0.25">
      <c r="A3050" s="16">
        <v>42761</v>
      </c>
      <c r="B3050" s="17" t="s">
        <v>3450</v>
      </c>
      <c r="C3050" s="18">
        <v>98647</v>
      </c>
      <c r="D3050" s="2" t="s">
        <v>1408</v>
      </c>
      <c r="E3050" s="15">
        <v>1026.5999999999999</v>
      </c>
      <c r="F3050" s="36" t="s">
        <v>1391</v>
      </c>
      <c r="G3050" s="15">
        <v>1026.5999999999999</v>
      </c>
      <c r="H3050" s="15">
        <f t="shared" si="48"/>
        <v>0</v>
      </c>
      <c r="I3050" s="19"/>
    </row>
    <row r="3051" spans="1:9" x14ac:dyDescent="0.25">
      <c r="A3051" s="16">
        <v>42761</v>
      </c>
      <c r="B3051" s="17" t="s">
        <v>3451</v>
      </c>
      <c r="C3051" s="18">
        <v>98648</v>
      </c>
      <c r="D3051" s="2" t="s">
        <v>302</v>
      </c>
      <c r="E3051" s="15">
        <v>6412.8</v>
      </c>
      <c r="F3051" s="36" t="s">
        <v>1391</v>
      </c>
      <c r="G3051" s="15">
        <v>6412.8</v>
      </c>
      <c r="H3051" s="15">
        <f t="shared" si="48"/>
        <v>0</v>
      </c>
      <c r="I3051" s="19"/>
    </row>
    <row r="3052" spans="1:9" x14ac:dyDescent="0.25">
      <c r="A3052" s="16">
        <v>42761</v>
      </c>
      <c r="B3052" s="17" t="s">
        <v>3452</v>
      </c>
      <c r="C3052" s="18">
        <v>98649</v>
      </c>
      <c r="D3052" s="2" t="s">
        <v>226</v>
      </c>
      <c r="E3052" s="15">
        <v>3277.8</v>
      </c>
      <c r="F3052" s="36" t="s">
        <v>1391</v>
      </c>
      <c r="G3052" s="15">
        <v>3277.8</v>
      </c>
      <c r="H3052" s="15">
        <f t="shared" si="48"/>
        <v>0</v>
      </c>
      <c r="I3052" s="19"/>
    </row>
    <row r="3053" spans="1:9" x14ac:dyDescent="0.25">
      <c r="A3053" s="16">
        <v>42761</v>
      </c>
      <c r="B3053" s="17" t="s">
        <v>3453</v>
      </c>
      <c r="C3053" s="18">
        <v>98650</v>
      </c>
      <c r="D3053" s="2" t="s">
        <v>305</v>
      </c>
      <c r="E3053" s="15">
        <v>8867.4</v>
      </c>
      <c r="F3053" s="36" t="s">
        <v>1173</v>
      </c>
      <c r="G3053" s="15">
        <v>8867.4</v>
      </c>
      <c r="H3053" s="15">
        <f t="shared" si="48"/>
        <v>0</v>
      </c>
      <c r="I3053" s="19"/>
    </row>
    <row r="3054" spans="1:9" x14ac:dyDescent="0.25">
      <c r="A3054" s="16">
        <v>42761</v>
      </c>
      <c r="B3054" s="17" t="s">
        <v>3454</v>
      </c>
      <c r="C3054" s="18">
        <v>98651</v>
      </c>
      <c r="D3054" s="2" t="s">
        <v>476</v>
      </c>
      <c r="E3054" s="15">
        <v>5383.7</v>
      </c>
      <c r="F3054" s="36" t="s">
        <v>1391</v>
      </c>
      <c r="G3054" s="15">
        <v>5383.7</v>
      </c>
      <c r="H3054" s="15">
        <f t="shared" si="48"/>
        <v>0</v>
      </c>
      <c r="I3054" s="19"/>
    </row>
    <row r="3055" spans="1:9" x14ac:dyDescent="0.25">
      <c r="A3055" s="16">
        <v>42761</v>
      </c>
      <c r="B3055" s="17" t="s">
        <v>3455</v>
      </c>
      <c r="C3055" s="18">
        <v>98652</v>
      </c>
      <c r="D3055" s="2" t="s">
        <v>10</v>
      </c>
      <c r="E3055" s="15">
        <v>263461.2</v>
      </c>
      <c r="F3055" s="36" t="s">
        <v>361</v>
      </c>
      <c r="G3055" s="15">
        <v>263461.2</v>
      </c>
      <c r="H3055" s="15">
        <f t="shared" si="48"/>
        <v>0</v>
      </c>
      <c r="I3055" s="19"/>
    </row>
    <row r="3056" spans="1:9" x14ac:dyDescent="0.25">
      <c r="A3056" s="16">
        <v>42761</v>
      </c>
      <c r="B3056" s="17" t="s">
        <v>3456</v>
      </c>
      <c r="C3056" s="18">
        <v>98653</v>
      </c>
      <c r="D3056" s="2" t="s">
        <v>182</v>
      </c>
      <c r="E3056" s="15">
        <v>2400</v>
      </c>
      <c r="F3056" s="36" t="s">
        <v>2143</v>
      </c>
      <c r="G3056" s="15">
        <v>2400</v>
      </c>
      <c r="H3056" s="15">
        <f t="shared" si="48"/>
        <v>0</v>
      </c>
      <c r="I3056" s="19"/>
    </row>
    <row r="3057" spans="1:9" x14ac:dyDescent="0.25">
      <c r="A3057" s="16">
        <v>42761</v>
      </c>
      <c r="B3057" s="17" t="s">
        <v>3457</v>
      </c>
      <c r="C3057" s="18">
        <v>98654</v>
      </c>
      <c r="D3057" s="2" t="s">
        <v>349</v>
      </c>
      <c r="E3057" s="15">
        <v>8835.6</v>
      </c>
      <c r="F3057" s="36" t="s">
        <v>2143</v>
      </c>
      <c r="G3057" s="15">
        <v>8835.6</v>
      </c>
      <c r="H3057" s="15">
        <f t="shared" si="48"/>
        <v>0</v>
      </c>
      <c r="I3057" s="19"/>
    </row>
    <row r="3058" spans="1:9" x14ac:dyDescent="0.25">
      <c r="A3058" s="16">
        <v>42761</v>
      </c>
      <c r="B3058" s="17" t="s">
        <v>3458</v>
      </c>
      <c r="C3058" s="18">
        <v>98655</v>
      </c>
      <c r="D3058" s="2" t="s">
        <v>193</v>
      </c>
      <c r="E3058" s="15">
        <v>2119.6999999999998</v>
      </c>
      <c r="F3058" s="36" t="s">
        <v>2143</v>
      </c>
      <c r="G3058" s="15">
        <v>2119.6999999999998</v>
      </c>
      <c r="H3058" s="15">
        <f t="shared" si="48"/>
        <v>0</v>
      </c>
      <c r="I3058" s="19"/>
    </row>
    <row r="3059" spans="1:9" x14ac:dyDescent="0.25">
      <c r="A3059" s="16">
        <v>42761</v>
      </c>
      <c r="B3059" s="17" t="s">
        <v>3459</v>
      </c>
      <c r="C3059" s="18">
        <v>98656</v>
      </c>
      <c r="D3059" s="2" t="s">
        <v>10</v>
      </c>
      <c r="E3059" s="15">
        <v>12442</v>
      </c>
      <c r="F3059" s="36" t="s">
        <v>361</v>
      </c>
      <c r="G3059" s="15">
        <v>12442</v>
      </c>
      <c r="H3059" s="15">
        <f t="shared" si="48"/>
        <v>0</v>
      </c>
      <c r="I3059" s="19"/>
    </row>
    <row r="3060" spans="1:9" x14ac:dyDescent="0.25">
      <c r="A3060" s="16">
        <v>42761</v>
      </c>
      <c r="B3060" s="17" t="s">
        <v>3460</v>
      </c>
      <c r="C3060" s="18">
        <v>98657</v>
      </c>
      <c r="D3060" s="2" t="s">
        <v>45</v>
      </c>
      <c r="E3060" s="15">
        <v>899.4</v>
      </c>
      <c r="F3060" s="36" t="s">
        <v>2143</v>
      </c>
      <c r="G3060" s="15">
        <v>899.4</v>
      </c>
      <c r="H3060" s="15">
        <f t="shared" si="48"/>
        <v>0</v>
      </c>
      <c r="I3060" s="19"/>
    </row>
    <row r="3061" spans="1:9" x14ac:dyDescent="0.25">
      <c r="A3061" s="16">
        <v>42761</v>
      </c>
      <c r="B3061" s="17" t="s">
        <v>3461</v>
      </c>
      <c r="C3061" s="18">
        <v>98658</v>
      </c>
      <c r="D3061" s="2" t="s">
        <v>63</v>
      </c>
      <c r="E3061" s="15">
        <v>1162.8</v>
      </c>
      <c r="F3061" s="36" t="s">
        <v>2143</v>
      </c>
      <c r="G3061" s="15">
        <v>1162.8</v>
      </c>
      <c r="H3061" s="15">
        <f t="shared" si="48"/>
        <v>0</v>
      </c>
      <c r="I3061" s="19"/>
    </row>
    <row r="3062" spans="1:9" x14ac:dyDescent="0.25">
      <c r="A3062" s="16">
        <v>42761</v>
      </c>
      <c r="B3062" s="17" t="s">
        <v>3462</v>
      </c>
      <c r="C3062" s="18">
        <v>98659</v>
      </c>
      <c r="D3062" s="2" t="s">
        <v>909</v>
      </c>
      <c r="E3062" s="15">
        <v>4422</v>
      </c>
      <c r="F3062" s="36" t="s">
        <v>2143</v>
      </c>
      <c r="G3062" s="15">
        <v>4422</v>
      </c>
      <c r="H3062" s="15">
        <f t="shared" si="48"/>
        <v>0</v>
      </c>
      <c r="I3062" s="19"/>
    </row>
    <row r="3063" spans="1:9" x14ac:dyDescent="0.25">
      <c r="A3063" s="16">
        <v>42761</v>
      </c>
      <c r="B3063" s="17" t="s">
        <v>3463</v>
      </c>
      <c r="C3063" s="18">
        <v>98660</v>
      </c>
      <c r="D3063" s="2" t="s">
        <v>53</v>
      </c>
      <c r="E3063" s="15">
        <v>2543.8000000000002</v>
      </c>
      <c r="F3063" s="36" t="s">
        <v>2143</v>
      </c>
      <c r="G3063" s="15">
        <v>2543.8000000000002</v>
      </c>
      <c r="H3063" s="15">
        <f t="shared" si="48"/>
        <v>0</v>
      </c>
      <c r="I3063" s="19"/>
    </row>
    <row r="3064" spans="1:9" x14ac:dyDescent="0.25">
      <c r="A3064" s="16">
        <v>42761</v>
      </c>
      <c r="B3064" s="17" t="s">
        <v>3464</v>
      </c>
      <c r="C3064" s="18">
        <v>98661</v>
      </c>
      <c r="D3064" s="2" t="s">
        <v>285</v>
      </c>
      <c r="E3064" s="15">
        <v>1397.5</v>
      </c>
      <c r="F3064" s="36" t="s">
        <v>2009</v>
      </c>
      <c r="G3064" s="15">
        <v>1397.5</v>
      </c>
      <c r="H3064" s="15">
        <f t="shared" si="48"/>
        <v>0</v>
      </c>
      <c r="I3064" s="19"/>
    </row>
    <row r="3065" spans="1:9" x14ac:dyDescent="0.25">
      <c r="A3065" s="16">
        <v>42761</v>
      </c>
      <c r="B3065" s="17" t="s">
        <v>3465</v>
      </c>
      <c r="C3065" s="18">
        <v>98662</v>
      </c>
      <c r="D3065" s="2" t="s">
        <v>356</v>
      </c>
      <c r="E3065" s="15">
        <v>9883</v>
      </c>
      <c r="F3065" s="36" t="s">
        <v>2143</v>
      </c>
      <c r="G3065" s="15">
        <v>9883</v>
      </c>
      <c r="H3065" s="15">
        <f t="shared" si="48"/>
        <v>0</v>
      </c>
      <c r="I3065" s="19"/>
    </row>
    <row r="3066" spans="1:9" x14ac:dyDescent="0.25">
      <c r="A3066" s="16">
        <v>42761</v>
      </c>
      <c r="B3066" s="17" t="s">
        <v>3466</v>
      </c>
      <c r="C3066" s="18">
        <v>98663</v>
      </c>
      <c r="D3066" s="2" t="s">
        <v>10</v>
      </c>
      <c r="E3066" s="15">
        <v>116287.9</v>
      </c>
      <c r="F3066" s="36" t="s">
        <v>361</v>
      </c>
      <c r="G3066" s="15">
        <v>116287.9</v>
      </c>
      <c r="H3066" s="15">
        <f t="shared" si="48"/>
        <v>0</v>
      </c>
      <c r="I3066" s="19"/>
    </row>
    <row r="3067" spans="1:9" x14ac:dyDescent="0.25">
      <c r="A3067" s="16">
        <v>42761</v>
      </c>
      <c r="B3067" s="17" t="s">
        <v>3467</v>
      </c>
      <c r="C3067" s="18">
        <v>98664</v>
      </c>
      <c r="D3067" s="2" t="s">
        <v>879</v>
      </c>
      <c r="E3067" s="15">
        <v>3564</v>
      </c>
      <c r="F3067" s="36" t="s">
        <v>1391</v>
      </c>
      <c r="G3067" s="15">
        <v>3564</v>
      </c>
      <c r="H3067" s="15">
        <f t="shared" si="48"/>
        <v>0</v>
      </c>
      <c r="I3067" s="19"/>
    </row>
    <row r="3068" spans="1:9" x14ac:dyDescent="0.25">
      <c r="A3068" s="16">
        <v>42761</v>
      </c>
      <c r="B3068" s="17" t="s">
        <v>3468</v>
      </c>
      <c r="C3068" s="18">
        <v>98665</v>
      </c>
      <c r="D3068" s="2" t="s">
        <v>630</v>
      </c>
      <c r="E3068" s="15">
        <v>4868.76</v>
      </c>
      <c r="F3068" s="36" t="s">
        <v>2143</v>
      </c>
      <c r="G3068" s="15">
        <v>4868.76</v>
      </c>
      <c r="H3068" s="15">
        <f t="shared" si="48"/>
        <v>0</v>
      </c>
      <c r="I3068" s="19"/>
    </row>
    <row r="3069" spans="1:9" x14ac:dyDescent="0.25">
      <c r="A3069" s="16">
        <v>42761</v>
      </c>
      <c r="B3069" s="17" t="s">
        <v>3469</v>
      </c>
      <c r="C3069" s="18">
        <v>98666</v>
      </c>
      <c r="D3069" s="2" t="s">
        <v>312</v>
      </c>
      <c r="E3069" s="15">
        <v>6712</v>
      </c>
      <c r="F3069" s="36" t="s">
        <v>313</v>
      </c>
      <c r="G3069" s="15">
        <v>6712</v>
      </c>
      <c r="H3069" s="15">
        <f t="shared" si="48"/>
        <v>0</v>
      </c>
      <c r="I3069" s="19"/>
    </row>
    <row r="3070" spans="1:9" x14ac:dyDescent="0.25">
      <c r="A3070" s="16">
        <v>42761</v>
      </c>
      <c r="B3070" s="17" t="s">
        <v>3470</v>
      </c>
      <c r="C3070" s="18">
        <v>98667</v>
      </c>
      <c r="D3070" s="2" t="s">
        <v>1299</v>
      </c>
      <c r="E3070" s="15">
        <v>4701.2</v>
      </c>
      <c r="F3070" s="36" t="s">
        <v>1391</v>
      </c>
      <c r="G3070" s="15">
        <v>4701.2</v>
      </c>
      <c r="H3070" s="15">
        <f t="shared" si="48"/>
        <v>0</v>
      </c>
      <c r="I3070" s="19"/>
    </row>
    <row r="3071" spans="1:9" x14ac:dyDescent="0.25">
      <c r="A3071" s="16">
        <v>42761</v>
      </c>
      <c r="B3071" s="17" t="s">
        <v>3471</v>
      </c>
      <c r="C3071" s="18">
        <v>98668</v>
      </c>
      <c r="D3071" s="2" t="s">
        <v>509</v>
      </c>
      <c r="E3071" s="15">
        <v>23020.799999999999</v>
      </c>
      <c r="F3071" s="36" t="s">
        <v>765</v>
      </c>
      <c r="G3071" s="15">
        <v>23020.799999999999</v>
      </c>
      <c r="H3071" s="15">
        <f t="shared" si="48"/>
        <v>0</v>
      </c>
      <c r="I3071" s="19"/>
    </row>
    <row r="3072" spans="1:9" x14ac:dyDescent="0.25">
      <c r="A3072" s="16">
        <v>42761</v>
      </c>
      <c r="B3072" s="17" t="s">
        <v>3472</v>
      </c>
      <c r="C3072" s="18">
        <v>98669</v>
      </c>
      <c r="D3072" s="2" t="s">
        <v>218</v>
      </c>
      <c r="E3072" s="15">
        <v>144431.20000000001</v>
      </c>
      <c r="F3072" s="36" t="s">
        <v>307</v>
      </c>
      <c r="G3072" s="15">
        <v>144431.20000000001</v>
      </c>
      <c r="H3072" s="15">
        <f t="shared" si="48"/>
        <v>0</v>
      </c>
      <c r="I3072" s="19"/>
    </row>
    <row r="3073" spans="1:9" x14ac:dyDescent="0.25">
      <c r="A3073" s="16">
        <v>42761</v>
      </c>
      <c r="B3073" s="17" t="s">
        <v>3473</v>
      </c>
      <c r="C3073" s="18">
        <v>98670</v>
      </c>
      <c r="D3073" s="2" t="s">
        <v>30</v>
      </c>
      <c r="E3073" s="15">
        <v>13022.1</v>
      </c>
      <c r="F3073" s="36" t="s">
        <v>2143</v>
      </c>
      <c r="G3073" s="15">
        <v>13022.1</v>
      </c>
      <c r="H3073" s="15">
        <f t="shared" si="48"/>
        <v>0</v>
      </c>
      <c r="I3073" s="19"/>
    </row>
    <row r="3074" spans="1:9" x14ac:dyDescent="0.25">
      <c r="A3074" s="16">
        <v>42761</v>
      </c>
      <c r="B3074" s="17" t="s">
        <v>3474</v>
      </c>
      <c r="C3074" s="18">
        <v>98671</v>
      </c>
      <c r="D3074" s="2" t="s">
        <v>30</v>
      </c>
      <c r="E3074" s="15">
        <v>305.5</v>
      </c>
      <c r="F3074" s="36" t="s">
        <v>1391</v>
      </c>
      <c r="G3074" s="15">
        <v>305.5</v>
      </c>
      <c r="H3074" s="15">
        <f t="shared" si="48"/>
        <v>0</v>
      </c>
      <c r="I3074" s="19"/>
    </row>
    <row r="3075" spans="1:9" x14ac:dyDescent="0.25">
      <c r="A3075" s="16">
        <v>42761</v>
      </c>
      <c r="B3075" s="17" t="s">
        <v>3475</v>
      </c>
      <c r="C3075" s="18">
        <v>98672</v>
      </c>
      <c r="D3075" s="2" t="s">
        <v>492</v>
      </c>
      <c r="E3075" s="15">
        <v>28481.8</v>
      </c>
      <c r="F3075" s="36" t="s">
        <v>1173</v>
      </c>
      <c r="G3075" s="15">
        <v>28481.8</v>
      </c>
      <c r="H3075" s="15">
        <f t="shared" si="48"/>
        <v>0</v>
      </c>
      <c r="I3075" s="19"/>
    </row>
    <row r="3076" spans="1:9" x14ac:dyDescent="0.25">
      <c r="A3076" s="16">
        <v>42761</v>
      </c>
      <c r="B3076" s="17" t="s">
        <v>3476</v>
      </c>
      <c r="C3076" s="18">
        <v>98673</v>
      </c>
      <c r="D3076" s="2" t="s">
        <v>133</v>
      </c>
      <c r="E3076" s="15">
        <v>10668.5</v>
      </c>
      <c r="F3076" s="36" t="s">
        <v>3126</v>
      </c>
      <c r="G3076" s="15">
        <v>10668.5</v>
      </c>
      <c r="H3076" s="15">
        <f t="shared" si="48"/>
        <v>0</v>
      </c>
      <c r="I3076" s="19"/>
    </row>
    <row r="3077" spans="1:9" x14ac:dyDescent="0.25">
      <c r="A3077" s="16">
        <v>42761</v>
      </c>
      <c r="B3077" s="17" t="s">
        <v>3477</v>
      </c>
      <c r="C3077" s="18">
        <v>98674</v>
      </c>
      <c r="D3077" s="2" t="s">
        <v>141</v>
      </c>
      <c r="E3077" s="15">
        <v>11590</v>
      </c>
      <c r="F3077" s="36" t="s">
        <v>2143</v>
      </c>
      <c r="G3077" s="15">
        <v>11590</v>
      </c>
      <c r="H3077" s="15">
        <f t="shared" si="48"/>
        <v>0</v>
      </c>
      <c r="I3077" s="19"/>
    </row>
    <row r="3078" spans="1:9" x14ac:dyDescent="0.25">
      <c r="A3078" s="16">
        <v>42761</v>
      </c>
      <c r="B3078" s="17" t="s">
        <v>3478</v>
      </c>
      <c r="C3078" s="18">
        <v>98675</v>
      </c>
      <c r="D3078" s="2" t="s">
        <v>30</v>
      </c>
      <c r="E3078" s="15">
        <v>48</v>
      </c>
      <c r="F3078" s="36" t="s">
        <v>1391</v>
      </c>
      <c r="G3078" s="15">
        <v>48</v>
      </c>
      <c r="H3078" s="15">
        <f t="shared" ref="H3078:H3141" si="49">E3078-G3078</f>
        <v>0</v>
      </c>
      <c r="I3078" s="19"/>
    </row>
    <row r="3079" spans="1:9" x14ac:dyDescent="0.25">
      <c r="A3079" s="16">
        <v>42761</v>
      </c>
      <c r="B3079" s="17" t="s">
        <v>3479</v>
      </c>
      <c r="C3079" s="18">
        <v>98676</v>
      </c>
      <c r="D3079" s="2" t="s">
        <v>131</v>
      </c>
      <c r="E3079" s="15">
        <v>5434</v>
      </c>
      <c r="F3079" s="36" t="s">
        <v>2143</v>
      </c>
      <c r="G3079" s="15">
        <v>5434</v>
      </c>
      <c r="H3079" s="15">
        <f t="shared" si="49"/>
        <v>0</v>
      </c>
      <c r="I3079" s="19"/>
    </row>
    <row r="3080" spans="1:9" x14ac:dyDescent="0.25">
      <c r="A3080" s="16">
        <v>42761</v>
      </c>
      <c r="B3080" s="17" t="s">
        <v>3480</v>
      </c>
      <c r="C3080" s="18">
        <v>98677</v>
      </c>
      <c r="D3080" s="2" t="s">
        <v>367</v>
      </c>
      <c r="E3080" s="15">
        <v>3520</v>
      </c>
      <c r="F3080" s="36" t="s">
        <v>1391</v>
      </c>
      <c r="G3080" s="15">
        <v>3520</v>
      </c>
      <c r="H3080" s="15">
        <f t="shared" si="49"/>
        <v>0</v>
      </c>
      <c r="I3080" s="19"/>
    </row>
    <row r="3081" spans="1:9" x14ac:dyDescent="0.25">
      <c r="A3081" s="16">
        <v>42761</v>
      </c>
      <c r="B3081" s="17" t="s">
        <v>3481</v>
      </c>
      <c r="C3081" s="18">
        <v>98678</v>
      </c>
      <c r="D3081" s="2" t="s">
        <v>122</v>
      </c>
      <c r="E3081" s="15">
        <v>5985</v>
      </c>
      <c r="F3081" s="36" t="s">
        <v>3126</v>
      </c>
      <c r="G3081" s="15">
        <v>5985</v>
      </c>
      <c r="H3081" s="15">
        <f t="shared" si="49"/>
        <v>0</v>
      </c>
      <c r="I3081" s="19"/>
    </row>
    <row r="3082" spans="1:9" x14ac:dyDescent="0.25">
      <c r="A3082" s="16">
        <v>42761</v>
      </c>
      <c r="B3082" s="17" t="s">
        <v>3482</v>
      </c>
      <c r="C3082" s="18">
        <v>98679</v>
      </c>
      <c r="D3082" s="2" t="s">
        <v>277</v>
      </c>
      <c r="E3082" s="15">
        <v>3700.9</v>
      </c>
      <c r="F3082" s="36" t="s">
        <v>2143</v>
      </c>
      <c r="G3082" s="15">
        <v>3700.9</v>
      </c>
      <c r="H3082" s="15">
        <f t="shared" si="49"/>
        <v>0</v>
      </c>
      <c r="I3082" s="19"/>
    </row>
    <row r="3083" spans="1:9" x14ac:dyDescent="0.25">
      <c r="A3083" s="16">
        <v>42761</v>
      </c>
      <c r="B3083" s="17" t="s">
        <v>3483</v>
      </c>
      <c r="C3083" s="18">
        <v>98680</v>
      </c>
      <c r="D3083" s="2" t="s">
        <v>470</v>
      </c>
      <c r="E3083" s="15">
        <v>10602.8</v>
      </c>
      <c r="F3083" s="36" t="s">
        <v>2143</v>
      </c>
      <c r="G3083" s="15">
        <v>10602.8</v>
      </c>
      <c r="H3083" s="15">
        <f t="shared" si="49"/>
        <v>0</v>
      </c>
      <c r="I3083" s="19"/>
    </row>
    <row r="3084" spans="1:9" x14ac:dyDescent="0.25">
      <c r="A3084" s="16">
        <v>42761</v>
      </c>
      <c r="B3084" s="17" t="s">
        <v>3484</v>
      </c>
      <c r="C3084" s="18">
        <v>98681</v>
      </c>
      <c r="D3084" s="13" t="s">
        <v>115</v>
      </c>
      <c r="E3084" s="14">
        <v>0</v>
      </c>
      <c r="F3084" s="123" t="s">
        <v>95</v>
      </c>
      <c r="G3084" s="14">
        <v>0</v>
      </c>
      <c r="H3084" s="14">
        <f t="shared" si="49"/>
        <v>0</v>
      </c>
      <c r="I3084" s="19"/>
    </row>
    <row r="3085" spans="1:9" x14ac:dyDescent="0.25">
      <c r="A3085" s="16">
        <v>42761</v>
      </c>
      <c r="B3085" s="17" t="s">
        <v>3485</v>
      </c>
      <c r="C3085" s="18">
        <v>98682</v>
      </c>
      <c r="D3085" s="2" t="s">
        <v>115</v>
      </c>
      <c r="E3085" s="15">
        <v>4114.3</v>
      </c>
      <c r="F3085" s="36" t="s">
        <v>2009</v>
      </c>
      <c r="G3085" s="15">
        <v>4114.3</v>
      </c>
      <c r="H3085" s="15">
        <f t="shared" si="49"/>
        <v>0</v>
      </c>
      <c r="I3085" s="19"/>
    </row>
    <row r="3086" spans="1:9" x14ac:dyDescent="0.25">
      <c r="A3086" s="16">
        <v>42761</v>
      </c>
      <c r="B3086" s="17" t="s">
        <v>3486</v>
      </c>
      <c r="C3086" s="18">
        <v>98683</v>
      </c>
      <c r="D3086" s="2" t="s">
        <v>21</v>
      </c>
      <c r="E3086" s="15">
        <v>66867</v>
      </c>
      <c r="F3086" s="36" t="s">
        <v>1429</v>
      </c>
      <c r="G3086" s="15">
        <v>66867</v>
      </c>
      <c r="H3086" s="15">
        <f t="shared" si="49"/>
        <v>0</v>
      </c>
      <c r="I3086" s="19"/>
    </row>
    <row r="3087" spans="1:9" x14ac:dyDescent="0.25">
      <c r="A3087" s="16">
        <v>42761</v>
      </c>
      <c r="B3087" s="17" t="s">
        <v>3487</v>
      </c>
      <c r="C3087" s="18">
        <v>98684</v>
      </c>
      <c r="D3087" s="2" t="s">
        <v>10</v>
      </c>
      <c r="E3087" s="15">
        <v>5460</v>
      </c>
      <c r="F3087" s="36" t="s">
        <v>361</v>
      </c>
      <c r="G3087" s="15">
        <v>5460</v>
      </c>
      <c r="H3087" s="15">
        <f t="shared" si="49"/>
        <v>0</v>
      </c>
      <c r="I3087" s="19"/>
    </row>
    <row r="3088" spans="1:9" x14ac:dyDescent="0.25">
      <c r="A3088" s="16">
        <v>42761</v>
      </c>
      <c r="B3088" s="17" t="s">
        <v>3488</v>
      </c>
      <c r="C3088" s="18">
        <v>98685</v>
      </c>
      <c r="D3088" s="2" t="s">
        <v>457</v>
      </c>
      <c r="E3088" s="15">
        <v>801.8</v>
      </c>
      <c r="F3088" s="36" t="s">
        <v>1391</v>
      </c>
      <c r="G3088" s="15">
        <v>801.8</v>
      </c>
      <c r="H3088" s="15">
        <f t="shared" si="49"/>
        <v>0</v>
      </c>
      <c r="I3088" s="19"/>
    </row>
    <row r="3089" spans="1:9" x14ac:dyDescent="0.25">
      <c r="A3089" s="16">
        <v>42761</v>
      </c>
      <c r="B3089" s="17" t="s">
        <v>3489</v>
      </c>
      <c r="C3089" s="18">
        <v>98686</v>
      </c>
      <c r="D3089" s="2" t="s">
        <v>651</v>
      </c>
      <c r="E3089" s="15">
        <v>35974.400000000001</v>
      </c>
      <c r="F3089" s="36" t="s">
        <v>1391</v>
      </c>
      <c r="G3089" s="15">
        <v>35974.400000000001</v>
      </c>
      <c r="H3089" s="15">
        <f t="shared" si="49"/>
        <v>0</v>
      </c>
      <c r="I3089" s="19"/>
    </row>
    <row r="3090" spans="1:9" x14ac:dyDescent="0.25">
      <c r="A3090" s="16">
        <v>42761</v>
      </c>
      <c r="B3090" s="17" t="s">
        <v>3490</v>
      </c>
      <c r="C3090" s="18">
        <v>98687</v>
      </c>
      <c r="D3090" s="2" t="s">
        <v>352</v>
      </c>
      <c r="E3090" s="15">
        <v>2596.8000000000002</v>
      </c>
      <c r="F3090" s="36" t="s">
        <v>1391</v>
      </c>
      <c r="G3090" s="15">
        <v>2596.8000000000002</v>
      </c>
      <c r="H3090" s="15">
        <f t="shared" si="49"/>
        <v>0</v>
      </c>
      <c r="I3090" s="19"/>
    </row>
    <row r="3091" spans="1:9" x14ac:dyDescent="0.25">
      <c r="A3091" s="16">
        <v>42761</v>
      </c>
      <c r="B3091" s="17" t="s">
        <v>3491</v>
      </c>
      <c r="C3091" s="18">
        <v>98688</v>
      </c>
      <c r="D3091" s="2" t="s">
        <v>128</v>
      </c>
      <c r="E3091" s="15">
        <v>1028.0999999999999</v>
      </c>
      <c r="F3091" s="36" t="s">
        <v>1391</v>
      </c>
      <c r="G3091" s="15">
        <v>1028.0999999999999</v>
      </c>
      <c r="H3091" s="15">
        <f t="shared" si="49"/>
        <v>0</v>
      </c>
      <c r="I3091" s="19"/>
    </row>
    <row r="3092" spans="1:9" x14ac:dyDescent="0.25">
      <c r="A3092" s="16">
        <v>42761</v>
      </c>
      <c r="B3092" s="17" t="s">
        <v>3492</v>
      </c>
      <c r="C3092" s="18">
        <v>98689</v>
      </c>
      <c r="D3092" s="2" t="s">
        <v>2736</v>
      </c>
      <c r="E3092" s="15">
        <v>1320</v>
      </c>
      <c r="F3092" s="36" t="s">
        <v>1391</v>
      </c>
      <c r="G3092" s="15">
        <v>1320</v>
      </c>
      <c r="H3092" s="15">
        <f t="shared" si="49"/>
        <v>0</v>
      </c>
      <c r="I3092" s="19"/>
    </row>
    <row r="3093" spans="1:9" x14ac:dyDescent="0.25">
      <c r="A3093" s="16">
        <v>42761</v>
      </c>
      <c r="B3093" s="17" t="s">
        <v>3493</v>
      </c>
      <c r="C3093" s="18">
        <v>98690</v>
      </c>
      <c r="D3093" s="2" t="s">
        <v>85</v>
      </c>
      <c r="E3093" s="15">
        <v>10815.2</v>
      </c>
      <c r="F3093" s="36" t="s">
        <v>1391</v>
      </c>
      <c r="G3093" s="15">
        <v>10815.2</v>
      </c>
      <c r="H3093" s="15">
        <f t="shared" si="49"/>
        <v>0</v>
      </c>
      <c r="I3093" s="19"/>
    </row>
    <row r="3094" spans="1:9" x14ac:dyDescent="0.25">
      <c r="A3094" s="16">
        <v>42761</v>
      </c>
      <c r="B3094" s="17" t="s">
        <v>3494</v>
      </c>
      <c r="C3094" s="18">
        <v>98691</v>
      </c>
      <c r="D3094" s="2" t="s">
        <v>509</v>
      </c>
      <c r="E3094" s="15">
        <v>2567.4</v>
      </c>
      <c r="F3094" s="36" t="s">
        <v>2143</v>
      </c>
      <c r="G3094" s="15">
        <v>2567.4</v>
      </c>
      <c r="H3094" s="15">
        <f t="shared" si="49"/>
        <v>0</v>
      </c>
      <c r="I3094" s="19"/>
    </row>
    <row r="3095" spans="1:9" x14ac:dyDescent="0.25">
      <c r="A3095" s="16">
        <v>42761</v>
      </c>
      <c r="B3095" s="17" t="s">
        <v>3495</v>
      </c>
      <c r="C3095" s="18">
        <v>98692</v>
      </c>
      <c r="D3095" s="2" t="s">
        <v>30</v>
      </c>
      <c r="E3095" s="15">
        <v>3328.6</v>
      </c>
      <c r="F3095" s="36" t="s">
        <v>1391</v>
      </c>
      <c r="G3095" s="15">
        <v>3328.6</v>
      </c>
      <c r="H3095" s="15">
        <f t="shared" si="49"/>
        <v>0</v>
      </c>
      <c r="I3095" s="19"/>
    </row>
    <row r="3096" spans="1:9" x14ac:dyDescent="0.25">
      <c r="A3096" s="16">
        <v>42761</v>
      </c>
      <c r="B3096" s="17" t="s">
        <v>3496</v>
      </c>
      <c r="C3096" s="18">
        <v>98693</v>
      </c>
      <c r="D3096" s="2" t="s">
        <v>222</v>
      </c>
      <c r="E3096" s="15">
        <v>249876</v>
      </c>
      <c r="F3096" s="36" t="s">
        <v>3126</v>
      </c>
      <c r="G3096" s="15">
        <v>249876</v>
      </c>
      <c r="H3096" s="15">
        <f t="shared" si="49"/>
        <v>0</v>
      </c>
      <c r="I3096" s="19"/>
    </row>
    <row r="3097" spans="1:9" x14ac:dyDescent="0.25">
      <c r="A3097" s="16">
        <v>42761</v>
      </c>
      <c r="B3097" s="17" t="s">
        <v>3497</v>
      </c>
      <c r="C3097" s="18">
        <v>98694</v>
      </c>
      <c r="D3097" s="2" t="s">
        <v>222</v>
      </c>
      <c r="E3097" s="15">
        <v>269598</v>
      </c>
      <c r="F3097" s="36" t="s">
        <v>3126</v>
      </c>
      <c r="G3097" s="15">
        <v>269598</v>
      </c>
      <c r="H3097" s="15">
        <f t="shared" si="49"/>
        <v>0</v>
      </c>
      <c r="I3097" s="19"/>
    </row>
    <row r="3098" spans="1:9" x14ac:dyDescent="0.25">
      <c r="A3098" s="16">
        <v>42761</v>
      </c>
      <c r="B3098" s="17" t="s">
        <v>3498</v>
      </c>
      <c r="C3098" s="18">
        <v>98695</v>
      </c>
      <c r="D3098" s="2" t="s">
        <v>211</v>
      </c>
      <c r="E3098" s="15">
        <v>8272.2000000000007</v>
      </c>
      <c r="F3098" s="36" t="s">
        <v>1391</v>
      </c>
      <c r="G3098" s="15">
        <v>8272.2000000000007</v>
      </c>
      <c r="H3098" s="15">
        <f t="shared" si="49"/>
        <v>0</v>
      </c>
      <c r="I3098" s="19"/>
    </row>
    <row r="3099" spans="1:9" x14ac:dyDescent="0.25">
      <c r="A3099" s="16">
        <v>42761</v>
      </c>
      <c r="B3099" s="17" t="s">
        <v>3499</v>
      </c>
      <c r="C3099" s="18">
        <v>98696</v>
      </c>
      <c r="D3099" s="2" t="s">
        <v>921</v>
      </c>
      <c r="E3099" s="15">
        <v>6331.5</v>
      </c>
      <c r="F3099" s="36" t="s">
        <v>1391</v>
      </c>
      <c r="G3099" s="15">
        <v>6331.5</v>
      </c>
      <c r="H3099" s="15">
        <f t="shared" si="49"/>
        <v>0</v>
      </c>
      <c r="I3099" s="19"/>
    </row>
    <row r="3100" spans="1:9" x14ac:dyDescent="0.25">
      <c r="A3100" s="16">
        <v>42761</v>
      </c>
      <c r="B3100" s="17" t="s">
        <v>3500</v>
      </c>
      <c r="C3100" s="18">
        <v>98697</v>
      </c>
      <c r="D3100" s="2" t="s">
        <v>55</v>
      </c>
      <c r="E3100" s="15">
        <v>9046.2000000000007</v>
      </c>
      <c r="F3100" s="36" t="s">
        <v>1391</v>
      </c>
      <c r="G3100" s="15">
        <v>9046.2000000000007</v>
      </c>
      <c r="H3100" s="15">
        <f t="shared" si="49"/>
        <v>0</v>
      </c>
      <c r="I3100" s="19"/>
    </row>
    <row r="3101" spans="1:9" x14ac:dyDescent="0.25">
      <c r="A3101" s="16">
        <v>42761</v>
      </c>
      <c r="B3101" s="17" t="s">
        <v>3501</v>
      </c>
      <c r="C3101" s="18">
        <v>98698</v>
      </c>
      <c r="D3101" s="2" t="s">
        <v>220</v>
      </c>
      <c r="E3101" s="15">
        <v>3099.6</v>
      </c>
      <c r="F3101" s="36" t="s">
        <v>1391</v>
      </c>
      <c r="G3101" s="15">
        <v>3099.6</v>
      </c>
      <c r="H3101" s="15">
        <f t="shared" si="49"/>
        <v>0</v>
      </c>
      <c r="I3101" s="19"/>
    </row>
    <row r="3102" spans="1:9" x14ac:dyDescent="0.25">
      <c r="A3102" s="16">
        <v>42762</v>
      </c>
      <c r="B3102" s="17" t="s">
        <v>3502</v>
      </c>
      <c r="C3102" s="18">
        <v>98699</v>
      </c>
      <c r="D3102" s="2" t="s">
        <v>665</v>
      </c>
      <c r="E3102" s="15">
        <v>34968.800000000003</v>
      </c>
      <c r="F3102" s="36" t="s">
        <v>765</v>
      </c>
      <c r="G3102" s="15">
        <v>34968.800000000003</v>
      </c>
      <c r="H3102" s="15">
        <f t="shared" si="49"/>
        <v>0</v>
      </c>
      <c r="I3102" s="19"/>
    </row>
    <row r="3103" spans="1:9" x14ac:dyDescent="0.25">
      <c r="A3103" s="16">
        <v>42762</v>
      </c>
      <c r="B3103" s="17" t="s">
        <v>3503</v>
      </c>
      <c r="C3103" s="18">
        <v>98700</v>
      </c>
      <c r="D3103" s="2" t="s">
        <v>1594</v>
      </c>
      <c r="E3103" s="15">
        <v>33915.599999999999</v>
      </c>
      <c r="F3103" s="36" t="s">
        <v>1429</v>
      </c>
      <c r="G3103" s="15">
        <v>33915.599999999999</v>
      </c>
      <c r="H3103" s="15">
        <f t="shared" si="49"/>
        <v>0</v>
      </c>
      <c r="I3103" s="19"/>
    </row>
    <row r="3104" spans="1:9" x14ac:dyDescent="0.25">
      <c r="A3104" s="16">
        <v>42762</v>
      </c>
      <c r="B3104" s="17" t="s">
        <v>3504</v>
      </c>
      <c r="C3104" s="18">
        <v>98701</v>
      </c>
      <c r="D3104" s="2" t="s">
        <v>673</v>
      </c>
      <c r="E3104" s="15">
        <v>2410.8000000000002</v>
      </c>
      <c r="F3104" s="36" t="s">
        <v>2009</v>
      </c>
      <c r="G3104" s="15">
        <v>2410.8000000000002</v>
      </c>
      <c r="H3104" s="15">
        <f t="shared" si="49"/>
        <v>0</v>
      </c>
      <c r="I3104" s="19"/>
    </row>
    <row r="3105" spans="1:9" x14ac:dyDescent="0.25">
      <c r="A3105" s="16">
        <v>42762</v>
      </c>
      <c r="B3105" s="17" t="s">
        <v>3505</v>
      </c>
      <c r="C3105" s="18">
        <v>98702</v>
      </c>
      <c r="D3105" s="2" t="s">
        <v>231</v>
      </c>
      <c r="E3105" s="15">
        <v>7837.3</v>
      </c>
      <c r="F3105" s="36" t="s">
        <v>2143</v>
      </c>
      <c r="G3105" s="15">
        <v>7837.3</v>
      </c>
      <c r="H3105" s="15">
        <f t="shared" si="49"/>
        <v>0</v>
      </c>
      <c r="I3105" s="19"/>
    </row>
    <row r="3106" spans="1:9" x14ac:dyDescent="0.25">
      <c r="A3106" s="16">
        <v>42762</v>
      </c>
      <c r="B3106" s="17" t="s">
        <v>3506</v>
      </c>
      <c r="C3106" s="18">
        <v>98703</v>
      </c>
      <c r="D3106" s="2" t="s">
        <v>677</v>
      </c>
      <c r="E3106" s="15">
        <v>3087</v>
      </c>
      <c r="F3106" s="36" t="s">
        <v>2009</v>
      </c>
      <c r="G3106" s="15">
        <v>3087</v>
      </c>
      <c r="H3106" s="15">
        <f t="shared" si="49"/>
        <v>0</v>
      </c>
      <c r="I3106" s="19"/>
    </row>
    <row r="3107" spans="1:9" x14ac:dyDescent="0.25">
      <c r="A3107" s="16">
        <v>42762</v>
      </c>
      <c r="B3107" s="17" t="s">
        <v>3507</v>
      </c>
      <c r="C3107" s="18">
        <v>98704</v>
      </c>
      <c r="D3107" s="2" t="s">
        <v>1598</v>
      </c>
      <c r="E3107" s="15">
        <v>1937.6</v>
      </c>
      <c r="F3107" s="36" t="s">
        <v>2009</v>
      </c>
      <c r="G3107" s="15">
        <v>1937.6</v>
      </c>
      <c r="H3107" s="15">
        <f t="shared" si="49"/>
        <v>0</v>
      </c>
      <c r="I3107" s="19"/>
    </row>
    <row r="3108" spans="1:9" x14ac:dyDescent="0.25">
      <c r="A3108" s="16">
        <v>42762</v>
      </c>
      <c r="B3108" s="17" t="s">
        <v>3508</v>
      </c>
      <c r="C3108" s="18">
        <v>98705</v>
      </c>
      <c r="D3108" s="2" t="s">
        <v>680</v>
      </c>
      <c r="E3108" s="15">
        <v>1666.5</v>
      </c>
      <c r="F3108" s="36" t="s">
        <v>2009</v>
      </c>
      <c r="G3108" s="15">
        <v>1666.5</v>
      </c>
      <c r="H3108" s="15">
        <f t="shared" si="49"/>
        <v>0</v>
      </c>
      <c r="I3108" s="19"/>
    </row>
    <row r="3109" spans="1:9" x14ac:dyDescent="0.25">
      <c r="A3109" s="16">
        <v>42762</v>
      </c>
      <c r="B3109" s="17" t="s">
        <v>3509</v>
      </c>
      <c r="C3109" s="18">
        <v>98706</v>
      </c>
      <c r="D3109" s="2" t="s">
        <v>1197</v>
      </c>
      <c r="E3109" s="15">
        <v>4146.8</v>
      </c>
      <c r="F3109" s="36" t="s">
        <v>2009</v>
      </c>
      <c r="G3109" s="15">
        <v>4146.8</v>
      </c>
      <c r="H3109" s="15">
        <f t="shared" si="49"/>
        <v>0</v>
      </c>
      <c r="I3109" s="19"/>
    </row>
    <row r="3110" spans="1:9" x14ac:dyDescent="0.25">
      <c r="A3110" s="16">
        <v>42762</v>
      </c>
      <c r="B3110" s="17" t="s">
        <v>3510</v>
      </c>
      <c r="C3110" s="18">
        <v>98707</v>
      </c>
      <c r="D3110" s="13" t="s">
        <v>670</v>
      </c>
      <c r="E3110" s="14">
        <v>0</v>
      </c>
      <c r="F3110" s="123" t="s">
        <v>95</v>
      </c>
      <c r="G3110" s="14">
        <v>0</v>
      </c>
      <c r="H3110" s="14">
        <f t="shared" si="49"/>
        <v>0</v>
      </c>
      <c r="I3110" s="19"/>
    </row>
    <row r="3111" spans="1:9" x14ac:dyDescent="0.25">
      <c r="A3111" s="16">
        <v>42762</v>
      </c>
      <c r="B3111" s="17" t="s">
        <v>3511</v>
      </c>
      <c r="C3111" s="18">
        <v>98708</v>
      </c>
      <c r="D3111" s="2" t="s">
        <v>670</v>
      </c>
      <c r="E3111" s="15">
        <v>40756.6</v>
      </c>
      <c r="F3111" s="36" t="s">
        <v>765</v>
      </c>
      <c r="G3111" s="15">
        <v>40756.6</v>
      </c>
      <c r="H3111" s="15">
        <f t="shared" si="49"/>
        <v>0</v>
      </c>
      <c r="I3111" s="19"/>
    </row>
    <row r="3112" spans="1:9" x14ac:dyDescent="0.25">
      <c r="A3112" s="16">
        <v>42762</v>
      </c>
      <c r="B3112" s="17" t="s">
        <v>3512</v>
      </c>
      <c r="C3112" s="18">
        <v>98709</v>
      </c>
      <c r="D3112" s="2" t="s">
        <v>3513</v>
      </c>
      <c r="E3112" s="15">
        <v>2242.4</v>
      </c>
      <c r="F3112" s="36" t="s">
        <v>2009</v>
      </c>
      <c r="G3112" s="15">
        <v>2242.4</v>
      </c>
      <c r="H3112" s="15">
        <f t="shared" si="49"/>
        <v>0</v>
      </c>
      <c r="I3112" s="19"/>
    </row>
    <row r="3113" spans="1:9" x14ac:dyDescent="0.25">
      <c r="A3113" s="16">
        <v>42762</v>
      </c>
      <c r="B3113" s="17" t="s">
        <v>3514</v>
      </c>
      <c r="C3113" s="18">
        <v>98710</v>
      </c>
      <c r="D3113" s="2" t="s">
        <v>231</v>
      </c>
      <c r="E3113" s="15">
        <v>38336.9</v>
      </c>
      <c r="F3113" s="36" t="s">
        <v>2009</v>
      </c>
      <c r="G3113" s="15">
        <v>38336.9</v>
      </c>
      <c r="H3113" s="15">
        <f t="shared" si="49"/>
        <v>0</v>
      </c>
      <c r="I3113" s="19"/>
    </row>
    <row r="3114" spans="1:9" x14ac:dyDescent="0.25">
      <c r="A3114" s="16">
        <v>42762</v>
      </c>
      <c r="B3114" s="17" t="s">
        <v>3515</v>
      </c>
      <c r="C3114" s="18">
        <v>98711</v>
      </c>
      <c r="D3114" s="2" t="s">
        <v>3516</v>
      </c>
      <c r="E3114" s="15">
        <v>6519.6</v>
      </c>
      <c r="F3114" s="36" t="s">
        <v>2009</v>
      </c>
      <c r="G3114" s="15">
        <v>6519.6</v>
      </c>
      <c r="H3114" s="15">
        <f t="shared" si="49"/>
        <v>0</v>
      </c>
      <c r="I3114" s="19"/>
    </row>
    <row r="3115" spans="1:9" x14ac:dyDescent="0.25">
      <c r="A3115" s="16">
        <v>42762</v>
      </c>
      <c r="B3115" s="17" t="s">
        <v>3517</v>
      </c>
      <c r="C3115" s="18">
        <v>98712</v>
      </c>
      <c r="D3115" s="2" t="s">
        <v>682</v>
      </c>
      <c r="E3115" s="15">
        <v>6299.2</v>
      </c>
      <c r="F3115" s="36" t="s">
        <v>2009</v>
      </c>
      <c r="G3115" s="15">
        <v>6299.2</v>
      </c>
      <c r="H3115" s="15">
        <f t="shared" si="49"/>
        <v>0</v>
      </c>
      <c r="I3115" s="19"/>
    </row>
    <row r="3116" spans="1:9" x14ac:dyDescent="0.25">
      <c r="A3116" s="16">
        <v>42762</v>
      </c>
      <c r="B3116" s="17" t="s">
        <v>3518</v>
      </c>
      <c r="C3116" s="18">
        <v>98713</v>
      </c>
      <c r="D3116" s="2" t="s">
        <v>688</v>
      </c>
      <c r="E3116" s="15">
        <v>9659.6</v>
      </c>
      <c r="F3116" s="36" t="s">
        <v>2009</v>
      </c>
      <c r="G3116" s="15">
        <v>9659.6</v>
      </c>
      <c r="H3116" s="15">
        <f t="shared" si="49"/>
        <v>0</v>
      </c>
      <c r="I3116" s="19"/>
    </row>
    <row r="3117" spans="1:9" x14ac:dyDescent="0.25">
      <c r="A3117" s="16">
        <v>42762</v>
      </c>
      <c r="B3117" s="17" t="s">
        <v>3519</v>
      </c>
      <c r="C3117" s="18">
        <v>98714</v>
      </c>
      <c r="D3117" s="2" t="s">
        <v>686</v>
      </c>
      <c r="E3117" s="15">
        <v>25578.6</v>
      </c>
      <c r="F3117" s="36" t="s">
        <v>2009</v>
      </c>
      <c r="G3117" s="15">
        <v>25578.6</v>
      </c>
      <c r="H3117" s="15">
        <f t="shared" si="49"/>
        <v>0</v>
      </c>
      <c r="I3117" s="19"/>
    </row>
    <row r="3118" spans="1:9" x14ac:dyDescent="0.25">
      <c r="A3118" s="16">
        <v>42762</v>
      </c>
      <c r="B3118" s="17" t="s">
        <v>3520</v>
      </c>
      <c r="C3118" s="18">
        <v>98715</v>
      </c>
      <c r="D3118" s="2" t="s">
        <v>1786</v>
      </c>
      <c r="E3118" s="15">
        <v>10582</v>
      </c>
      <c r="F3118" s="36" t="s">
        <v>2143</v>
      </c>
      <c r="G3118" s="15">
        <v>10582</v>
      </c>
      <c r="H3118" s="15">
        <f t="shared" si="49"/>
        <v>0</v>
      </c>
      <c r="I3118" s="19"/>
    </row>
    <row r="3119" spans="1:9" x14ac:dyDescent="0.25">
      <c r="A3119" s="16">
        <v>42762</v>
      </c>
      <c r="B3119" s="17" t="s">
        <v>3521</v>
      </c>
      <c r="C3119" s="18">
        <v>98716</v>
      </c>
      <c r="D3119" s="2" t="s">
        <v>101</v>
      </c>
      <c r="E3119" s="15">
        <v>2020.8</v>
      </c>
      <c r="F3119" s="36" t="s">
        <v>2009</v>
      </c>
      <c r="G3119" s="15">
        <v>2020.8</v>
      </c>
      <c r="H3119" s="15">
        <f t="shared" si="49"/>
        <v>0</v>
      </c>
      <c r="I3119" s="19"/>
    </row>
    <row r="3120" spans="1:9" x14ac:dyDescent="0.25">
      <c r="A3120" s="16">
        <v>42762</v>
      </c>
      <c r="B3120" s="17" t="s">
        <v>3522</v>
      </c>
      <c r="C3120" s="18">
        <v>98717</v>
      </c>
      <c r="D3120" s="2" t="s">
        <v>30</v>
      </c>
      <c r="E3120" s="15">
        <v>1440</v>
      </c>
      <c r="F3120" s="36" t="s">
        <v>361</v>
      </c>
      <c r="G3120" s="15">
        <v>1440</v>
      </c>
      <c r="H3120" s="15">
        <f t="shared" si="49"/>
        <v>0</v>
      </c>
      <c r="I3120" s="19"/>
    </row>
    <row r="3121" spans="1:9" x14ac:dyDescent="0.25">
      <c r="A3121" s="16">
        <v>42762</v>
      </c>
      <c r="B3121" s="17" t="s">
        <v>3523</v>
      </c>
      <c r="C3121" s="18">
        <v>98718</v>
      </c>
      <c r="D3121" s="2" t="s">
        <v>99</v>
      </c>
      <c r="E3121" s="15">
        <v>2400</v>
      </c>
      <c r="F3121" s="36" t="s">
        <v>2009</v>
      </c>
      <c r="G3121" s="15">
        <v>2400</v>
      </c>
      <c r="H3121" s="15">
        <f t="shared" si="49"/>
        <v>0</v>
      </c>
      <c r="I3121" s="19"/>
    </row>
    <row r="3122" spans="1:9" x14ac:dyDescent="0.25">
      <c r="A3122" s="16">
        <v>42762</v>
      </c>
      <c r="B3122" s="17" t="s">
        <v>3524</v>
      </c>
      <c r="C3122" s="18">
        <v>98719</v>
      </c>
      <c r="D3122" s="2" t="s">
        <v>1081</v>
      </c>
      <c r="E3122" s="15">
        <v>3922.56</v>
      </c>
      <c r="F3122" s="36" t="s">
        <v>2009</v>
      </c>
      <c r="G3122" s="15">
        <v>3922.56</v>
      </c>
      <c r="H3122" s="15">
        <f t="shared" si="49"/>
        <v>0</v>
      </c>
      <c r="I3122" s="19"/>
    </row>
    <row r="3123" spans="1:9" x14ac:dyDescent="0.25">
      <c r="A3123" s="16">
        <v>42762</v>
      </c>
      <c r="B3123" s="17" t="s">
        <v>3525</v>
      </c>
      <c r="C3123" s="18">
        <v>98720</v>
      </c>
      <c r="D3123" s="2" t="s">
        <v>281</v>
      </c>
      <c r="E3123" s="15">
        <v>2270</v>
      </c>
      <c r="F3123" s="36" t="s">
        <v>2009</v>
      </c>
      <c r="G3123" s="15">
        <v>2270</v>
      </c>
      <c r="H3123" s="15">
        <f t="shared" si="49"/>
        <v>0</v>
      </c>
      <c r="I3123" s="19"/>
    </row>
    <row r="3124" spans="1:9" x14ac:dyDescent="0.25">
      <c r="A3124" s="16">
        <v>42762</v>
      </c>
      <c r="B3124" s="17" t="s">
        <v>3526</v>
      </c>
      <c r="C3124" s="18">
        <v>98721</v>
      </c>
      <c r="D3124" s="2" t="s">
        <v>67</v>
      </c>
      <c r="E3124" s="15">
        <v>7001.4</v>
      </c>
      <c r="F3124" s="36" t="s">
        <v>2009</v>
      </c>
      <c r="G3124" s="15">
        <v>7001.4</v>
      </c>
      <c r="H3124" s="15">
        <f t="shared" si="49"/>
        <v>0</v>
      </c>
      <c r="I3124" s="19"/>
    </row>
    <row r="3125" spans="1:9" x14ac:dyDescent="0.25">
      <c r="A3125" s="16">
        <v>42762</v>
      </c>
      <c r="B3125" s="17" t="s">
        <v>3527</v>
      </c>
      <c r="C3125" s="18">
        <v>98722</v>
      </c>
      <c r="D3125" s="2" t="s">
        <v>26</v>
      </c>
      <c r="E3125" s="15">
        <v>26751.599999999999</v>
      </c>
      <c r="F3125" s="36" t="s">
        <v>2143</v>
      </c>
      <c r="G3125" s="15">
        <v>26751.599999999999</v>
      </c>
      <c r="H3125" s="15">
        <f t="shared" si="49"/>
        <v>0</v>
      </c>
      <c r="I3125" s="19"/>
    </row>
    <row r="3126" spans="1:9" x14ac:dyDescent="0.25">
      <c r="A3126" s="16">
        <v>42762</v>
      </c>
      <c r="B3126" s="17" t="s">
        <v>3528</v>
      </c>
      <c r="C3126" s="18">
        <v>98723</v>
      </c>
      <c r="D3126" s="2" t="s">
        <v>28</v>
      </c>
      <c r="E3126" s="15">
        <v>15118.4</v>
      </c>
      <c r="F3126" s="36" t="s">
        <v>2009</v>
      </c>
      <c r="G3126" s="15">
        <v>15118.4</v>
      </c>
      <c r="H3126" s="15">
        <f t="shared" si="49"/>
        <v>0</v>
      </c>
      <c r="I3126" s="19"/>
    </row>
    <row r="3127" spans="1:9" x14ac:dyDescent="0.25">
      <c r="A3127" s="16">
        <v>42762</v>
      </c>
      <c r="B3127" s="17" t="s">
        <v>3529</v>
      </c>
      <c r="C3127" s="18">
        <v>98724</v>
      </c>
      <c r="D3127" s="2" t="s">
        <v>17</v>
      </c>
      <c r="E3127" s="15">
        <v>2400</v>
      </c>
      <c r="F3127" s="36" t="s">
        <v>2143</v>
      </c>
      <c r="G3127" s="15">
        <v>2400</v>
      </c>
      <c r="H3127" s="15">
        <f t="shared" si="49"/>
        <v>0</v>
      </c>
      <c r="I3127" s="19"/>
    </row>
    <row r="3128" spans="1:9" x14ac:dyDescent="0.25">
      <c r="A3128" s="16">
        <v>42762</v>
      </c>
      <c r="B3128" s="17" t="s">
        <v>3530</v>
      </c>
      <c r="C3128" s="18">
        <v>98725</v>
      </c>
      <c r="D3128" s="2" t="s">
        <v>71</v>
      </c>
      <c r="E3128" s="15">
        <v>4361</v>
      </c>
      <c r="F3128" s="36" t="s">
        <v>2143</v>
      </c>
      <c r="G3128" s="15">
        <v>4361</v>
      </c>
      <c r="H3128" s="15">
        <f t="shared" si="49"/>
        <v>0</v>
      </c>
      <c r="I3128" s="19"/>
    </row>
    <row r="3129" spans="1:9" x14ac:dyDescent="0.25">
      <c r="A3129" s="16">
        <v>42762</v>
      </c>
      <c r="B3129" s="17" t="s">
        <v>3531</v>
      </c>
      <c r="C3129" s="18">
        <v>98726</v>
      </c>
      <c r="D3129" s="2" t="s">
        <v>428</v>
      </c>
      <c r="E3129" s="15">
        <v>1876.8</v>
      </c>
      <c r="F3129" s="36" t="s">
        <v>1173</v>
      </c>
      <c r="G3129" s="15">
        <v>1876.8</v>
      </c>
      <c r="H3129" s="15">
        <f t="shared" si="49"/>
        <v>0</v>
      </c>
      <c r="I3129" s="19"/>
    </row>
    <row r="3130" spans="1:9" x14ac:dyDescent="0.25">
      <c r="A3130" s="16">
        <v>42762</v>
      </c>
      <c r="B3130" s="17" t="s">
        <v>3532</v>
      </c>
      <c r="C3130" s="18">
        <v>98727</v>
      </c>
      <c r="D3130" s="2" t="s">
        <v>1645</v>
      </c>
      <c r="E3130" s="15">
        <v>2486.6</v>
      </c>
      <c r="F3130" s="36" t="s">
        <v>2143</v>
      </c>
      <c r="G3130" s="15">
        <v>2486.6</v>
      </c>
      <c r="H3130" s="15">
        <f t="shared" si="49"/>
        <v>0</v>
      </c>
      <c r="I3130" s="19"/>
    </row>
    <row r="3131" spans="1:9" x14ac:dyDescent="0.25">
      <c r="A3131" s="16">
        <v>42762</v>
      </c>
      <c r="B3131" s="17" t="s">
        <v>3533</v>
      </c>
      <c r="C3131" s="18">
        <v>98728</v>
      </c>
      <c r="D3131" s="2" t="s">
        <v>298</v>
      </c>
      <c r="E3131" s="15">
        <v>3784.2</v>
      </c>
      <c r="F3131" s="36" t="s">
        <v>2143</v>
      </c>
      <c r="G3131" s="15">
        <v>3784.2</v>
      </c>
      <c r="H3131" s="15">
        <f t="shared" si="49"/>
        <v>0</v>
      </c>
      <c r="I3131" s="19"/>
    </row>
    <row r="3132" spans="1:9" x14ac:dyDescent="0.25">
      <c r="A3132" s="16">
        <v>42762</v>
      </c>
      <c r="B3132" s="17" t="s">
        <v>3534</v>
      </c>
      <c r="C3132" s="18">
        <v>98729</v>
      </c>
      <c r="D3132" s="2" t="s">
        <v>509</v>
      </c>
      <c r="E3132" s="15">
        <v>22079.200000000001</v>
      </c>
      <c r="F3132" s="36" t="s">
        <v>765</v>
      </c>
      <c r="G3132" s="15">
        <v>22079.200000000001</v>
      </c>
      <c r="H3132" s="15">
        <f t="shared" si="49"/>
        <v>0</v>
      </c>
      <c r="I3132" s="19"/>
    </row>
    <row r="3133" spans="1:9" x14ac:dyDescent="0.25">
      <c r="A3133" s="16">
        <v>42762</v>
      </c>
      <c r="B3133" s="17" t="s">
        <v>3535</v>
      </c>
      <c r="C3133" s="18">
        <v>98730</v>
      </c>
      <c r="D3133" s="2" t="s">
        <v>30</v>
      </c>
      <c r="E3133" s="15">
        <v>4697.7</v>
      </c>
      <c r="F3133" s="36" t="s">
        <v>2143</v>
      </c>
      <c r="G3133" s="15">
        <v>4697.7</v>
      </c>
      <c r="H3133" s="15">
        <f t="shared" si="49"/>
        <v>0</v>
      </c>
      <c r="I3133" s="19"/>
    </row>
    <row r="3134" spans="1:9" x14ac:dyDescent="0.25">
      <c r="A3134" s="16">
        <v>42762</v>
      </c>
      <c r="B3134" s="17" t="s">
        <v>3536</v>
      </c>
      <c r="C3134" s="18">
        <v>98731</v>
      </c>
      <c r="D3134" s="2" t="s">
        <v>157</v>
      </c>
      <c r="E3134" s="15">
        <v>20901.32</v>
      </c>
      <c r="F3134" s="36" t="s">
        <v>2143</v>
      </c>
      <c r="G3134" s="15">
        <v>20901.32</v>
      </c>
      <c r="H3134" s="15">
        <f t="shared" si="49"/>
        <v>0</v>
      </c>
      <c r="I3134" s="19"/>
    </row>
    <row r="3135" spans="1:9" x14ac:dyDescent="0.25">
      <c r="A3135" s="16">
        <v>42762</v>
      </c>
      <c r="B3135" s="17" t="s">
        <v>3537</v>
      </c>
      <c r="C3135" s="18">
        <v>98732</v>
      </c>
      <c r="D3135" s="2" t="s">
        <v>21</v>
      </c>
      <c r="E3135" s="15">
        <v>48960</v>
      </c>
      <c r="F3135" s="36" t="s">
        <v>1429</v>
      </c>
      <c r="G3135" s="15">
        <v>48960</v>
      </c>
      <c r="H3135" s="15">
        <f t="shared" si="49"/>
        <v>0</v>
      </c>
      <c r="I3135" s="19"/>
    </row>
    <row r="3136" spans="1:9" x14ac:dyDescent="0.25">
      <c r="A3136" s="16">
        <v>42762</v>
      </c>
      <c r="B3136" s="17" t="s">
        <v>3538</v>
      </c>
      <c r="C3136" s="18">
        <v>98733</v>
      </c>
      <c r="D3136" s="2" t="s">
        <v>218</v>
      </c>
      <c r="E3136" s="15">
        <v>109766.1</v>
      </c>
      <c r="F3136" s="36" t="s">
        <v>307</v>
      </c>
      <c r="G3136" s="15">
        <v>109766.1</v>
      </c>
      <c r="H3136" s="15">
        <f t="shared" si="49"/>
        <v>0</v>
      </c>
      <c r="I3136" s="19"/>
    </row>
    <row r="3137" spans="1:9" x14ac:dyDescent="0.25">
      <c r="A3137" s="16">
        <v>42762</v>
      </c>
      <c r="B3137" s="17" t="s">
        <v>3539</v>
      </c>
      <c r="C3137" s="18">
        <v>98734</v>
      </c>
      <c r="D3137" s="2" t="s">
        <v>49</v>
      </c>
      <c r="E3137" s="15">
        <v>10397.6</v>
      </c>
      <c r="F3137" s="36" t="s">
        <v>361</v>
      </c>
      <c r="G3137" s="15">
        <v>10397.6</v>
      </c>
      <c r="H3137" s="15">
        <f t="shared" si="49"/>
        <v>0</v>
      </c>
      <c r="I3137" s="19"/>
    </row>
    <row r="3138" spans="1:9" x14ac:dyDescent="0.25">
      <c r="A3138" s="16">
        <v>42762</v>
      </c>
      <c r="B3138" s="17" t="s">
        <v>3540</v>
      </c>
      <c r="C3138" s="18">
        <v>98735</v>
      </c>
      <c r="D3138" s="2" t="s">
        <v>32</v>
      </c>
      <c r="E3138" s="15">
        <v>7793.7</v>
      </c>
      <c r="F3138" s="36" t="s">
        <v>1889</v>
      </c>
      <c r="G3138" s="15">
        <v>7793.7</v>
      </c>
      <c r="H3138" s="15">
        <f t="shared" si="49"/>
        <v>0</v>
      </c>
      <c r="I3138" s="19"/>
    </row>
    <row r="3139" spans="1:9" x14ac:dyDescent="0.25">
      <c r="A3139" s="16">
        <v>42762</v>
      </c>
      <c r="B3139" s="17" t="s">
        <v>3541</v>
      </c>
      <c r="C3139" s="18">
        <v>98736</v>
      </c>
      <c r="D3139" s="2" t="s">
        <v>168</v>
      </c>
      <c r="E3139" s="15">
        <v>3631.6</v>
      </c>
      <c r="F3139" s="36" t="s">
        <v>2143</v>
      </c>
      <c r="G3139" s="15">
        <v>3631.6</v>
      </c>
      <c r="H3139" s="15">
        <f t="shared" si="49"/>
        <v>0</v>
      </c>
      <c r="I3139" s="19"/>
    </row>
    <row r="3140" spans="1:9" x14ac:dyDescent="0.25">
      <c r="A3140" s="16">
        <v>42762</v>
      </c>
      <c r="B3140" s="17" t="s">
        <v>3542</v>
      </c>
      <c r="C3140" s="18">
        <v>98737</v>
      </c>
      <c r="D3140" s="2" t="s">
        <v>38</v>
      </c>
      <c r="E3140" s="15">
        <v>3809.7</v>
      </c>
      <c r="F3140" s="36" t="s">
        <v>1173</v>
      </c>
      <c r="G3140" s="15">
        <v>3809.7</v>
      </c>
      <c r="H3140" s="15">
        <f t="shared" si="49"/>
        <v>0</v>
      </c>
      <c r="I3140" s="19"/>
    </row>
    <row r="3141" spans="1:9" x14ac:dyDescent="0.25">
      <c r="A3141" s="16">
        <v>42762</v>
      </c>
      <c r="B3141" s="17" t="s">
        <v>3543</v>
      </c>
      <c r="C3141" s="18">
        <v>98738</v>
      </c>
      <c r="D3141" s="2" t="s">
        <v>51</v>
      </c>
      <c r="E3141" s="15">
        <v>3632.6</v>
      </c>
      <c r="F3141" s="36" t="s">
        <v>361</v>
      </c>
      <c r="G3141" s="15">
        <v>3632.6</v>
      </c>
      <c r="H3141" s="15">
        <f t="shared" si="49"/>
        <v>0</v>
      </c>
      <c r="I3141" s="19"/>
    </row>
    <row r="3142" spans="1:9" x14ac:dyDescent="0.25">
      <c r="A3142" s="16">
        <v>42762</v>
      </c>
      <c r="B3142" s="17" t="s">
        <v>3544</v>
      </c>
      <c r="C3142" s="18">
        <v>98739</v>
      </c>
      <c r="D3142" s="2" t="s">
        <v>2986</v>
      </c>
      <c r="E3142" s="15">
        <v>4065.6</v>
      </c>
      <c r="F3142" s="36" t="s">
        <v>2143</v>
      </c>
      <c r="G3142" s="15">
        <v>4065.6</v>
      </c>
      <c r="H3142" s="15">
        <f t="shared" ref="H3142:H3205" si="50">E3142-G3142</f>
        <v>0</v>
      </c>
      <c r="I3142" s="19"/>
    </row>
    <row r="3143" spans="1:9" x14ac:dyDescent="0.25">
      <c r="A3143" s="16">
        <v>42762</v>
      </c>
      <c r="B3143" s="17" t="s">
        <v>3545</v>
      </c>
      <c r="C3143" s="18">
        <v>98740</v>
      </c>
      <c r="D3143" s="2" t="s">
        <v>35</v>
      </c>
      <c r="E3143" s="15">
        <v>14494.6</v>
      </c>
      <c r="F3143" s="124" t="s">
        <v>3546</v>
      </c>
      <c r="G3143" s="20">
        <f>10800+3694.6</f>
        <v>14494.6</v>
      </c>
      <c r="H3143" s="20">
        <f t="shared" si="50"/>
        <v>0</v>
      </c>
      <c r="I3143" s="19"/>
    </row>
    <row r="3144" spans="1:9" x14ac:dyDescent="0.25">
      <c r="A3144" s="16">
        <v>42762</v>
      </c>
      <c r="B3144" s="17" t="s">
        <v>3547</v>
      </c>
      <c r="C3144" s="18">
        <v>98741</v>
      </c>
      <c r="D3144" s="2" t="s">
        <v>43</v>
      </c>
      <c r="E3144" s="15">
        <v>3665.4</v>
      </c>
      <c r="F3144" s="36" t="s">
        <v>361</v>
      </c>
      <c r="G3144" s="15">
        <v>3665.4</v>
      </c>
      <c r="H3144" s="15">
        <f t="shared" si="50"/>
        <v>0</v>
      </c>
      <c r="I3144" s="19"/>
    </row>
    <row r="3145" spans="1:9" x14ac:dyDescent="0.25">
      <c r="A3145" s="16">
        <v>42762</v>
      </c>
      <c r="B3145" s="17" t="s">
        <v>3548</v>
      </c>
      <c r="C3145" s="18">
        <v>98742</v>
      </c>
      <c r="D3145" s="2" t="s">
        <v>409</v>
      </c>
      <c r="E3145" s="15">
        <v>7338.4</v>
      </c>
      <c r="F3145" s="36" t="s">
        <v>361</v>
      </c>
      <c r="G3145" s="15">
        <v>7338.4</v>
      </c>
      <c r="H3145" s="15">
        <f t="shared" si="50"/>
        <v>0</v>
      </c>
      <c r="I3145" s="19"/>
    </row>
    <row r="3146" spans="1:9" x14ac:dyDescent="0.25">
      <c r="A3146" s="16">
        <v>42762</v>
      </c>
      <c r="B3146" s="17" t="s">
        <v>3549</v>
      </c>
      <c r="C3146" s="18">
        <v>98743</v>
      </c>
      <c r="D3146" s="2" t="s">
        <v>79</v>
      </c>
      <c r="E3146" s="15">
        <v>1977.6</v>
      </c>
      <c r="F3146" s="36" t="s">
        <v>2143</v>
      </c>
      <c r="G3146" s="15">
        <v>1977.6</v>
      </c>
      <c r="H3146" s="15">
        <f t="shared" si="50"/>
        <v>0</v>
      </c>
      <c r="I3146" s="19"/>
    </row>
    <row r="3147" spans="1:9" x14ac:dyDescent="0.25">
      <c r="A3147" s="16">
        <v>42762</v>
      </c>
      <c r="B3147" s="17" t="s">
        <v>3550</v>
      </c>
      <c r="C3147" s="18">
        <v>98744</v>
      </c>
      <c r="D3147" s="2" t="s">
        <v>1090</v>
      </c>
      <c r="E3147" s="15">
        <v>7591.9</v>
      </c>
      <c r="F3147" s="36" t="s">
        <v>2143</v>
      </c>
      <c r="G3147" s="15">
        <v>7591.9</v>
      </c>
      <c r="H3147" s="15">
        <f t="shared" si="50"/>
        <v>0</v>
      </c>
      <c r="I3147" s="19"/>
    </row>
    <row r="3148" spans="1:9" x14ac:dyDescent="0.25">
      <c r="A3148" s="16">
        <v>42762</v>
      </c>
      <c r="B3148" s="17" t="s">
        <v>3551</v>
      </c>
      <c r="C3148" s="18">
        <v>98745</v>
      </c>
      <c r="D3148" s="2" t="s">
        <v>79</v>
      </c>
      <c r="E3148" s="15">
        <v>940.8</v>
      </c>
      <c r="F3148" s="36" t="s">
        <v>2143</v>
      </c>
      <c r="G3148" s="15">
        <v>940.8</v>
      </c>
      <c r="H3148" s="15">
        <f t="shared" si="50"/>
        <v>0</v>
      </c>
      <c r="I3148" s="19"/>
    </row>
    <row r="3149" spans="1:9" x14ac:dyDescent="0.25">
      <c r="A3149" s="16">
        <v>42762</v>
      </c>
      <c r="B3149" s="17" t="s">
        <v>3552</v>
      </c>
      <c r="C3149" s="18">
        <v>98746</v>
      </c>
      <c r="D3149" s="2" t="s">
        <v>47</v>
      </c>
      <c r="E3149" s="15">
        <v>3860.6</v>
      </c>
      <c r="F3149" s="36" t="s">
        <v>2143</v>
      </c>
      <c r="G3149" s="15">
        <v>3860.6</v>
      </c>
      <c r="H3149" s="15">
        <f t="shared" si="50"/>
        <v>0</v>
      </c>
      <c r="I3149" s="19"/>
    </row>
    <row r="3150" spans="1:9" x14ac:dyDescent="0.25">
      <c r="A3150" s="16">
        <v>42762</v>
      </c>
      <c r="B3150" s="17" t="s">
        <v>3553</v>
      </c>
      <c r="C3150" s="18">
        <v>98747</v>
      </c>
      <c r="D3150" s="2" t="s">
        <v>866</v>
      </c>
      <c r="E3150" s="15">
        <v>6729.6</v>
      </c>
      <c r="F3150" s="36" t="s">
        <v>2143</v>
      </c>
      <c r="G3150" s="15">
        <v>6729.6</v>
      </c>
      <c r="H3150" s="15">
        <f t="shared" si="50"/>
        <v>0</v>
      </c>
      <c r="I3150" s="19"/>
    </row>
    <row r="3151" spans="1:9" x14ac:dyDescent="0.25">
      <c r="A3151" s="16">
        <v>42762</v>
      </c>
      <c r="B3151" s="17" t="s">
        <v>3554</v>
      </c>
      <c r="C3151" s="18">
        <v>98748</v>
      </c>
      <c r="D3151" s="2" t="s">
        <v>3425</v>
      </c>
      <c r="E3151" s="15">
        <v>721.4</v>
      </c>
      <c r="F3151" s="36" t="s">
        <v>2143</v>
      </c>
      <c r="G3151" s="15">
        <v>721.4</v>
      </c>
      <c r="H3151" s="15">
        <f t="shared" si="50"/>
        <v>0</v>
      </c>
      <c r="I3151" s="19"/>
    </row>
    <row r="3152" spans="1:9" x14ac:dyDescent="0.25">
      <c r="A3152" s="16">
        <v>42762</v>
      </c>
      <c r="B3152" s="17" t="s">
        <v>3555</v>
      </c>
      <c r="C3152" s="18">
        <v>98749</v>
      </c>
      <c r="D3152" s="2" t="s">
        <v>40</v>
      </c>
      <c r="E3152" s="15">
        <v>3919.6</v>
      </c>
      <c r="F3152" s="36" t="s">
        <v>1173</v>
      </c>
      <c r="G3152" s="15">
        <v>3919.6</v>
      </c>
      <c r="H3152" s="15">
        <f t="shared" si="50"/>
        <v>0</v>
      </c>
      <c r="I3152" s="19"/>
    </row>
    <row r="3153" spans="1:9" x14ac:dyDescent="0.25">
      <c r="A3153" s="16">
        <v>42762</v>
      </c>
      <c r="B3153" s="17" t="s">
        <v>3556</v>
      </c>
      <c r="C3153" s="18">
        <v>98750</v>
      </c>
      <c r="D3153" s="2" t="s">
        <v>289</v>
      </c>
      <c r="E3153" s="15">
        <v>23513.279999999999</v>
      </c>
      <c r="F3153" s="36" t="s">
        <v>3164</v>
      </c>
      <c r="G3153" s="15">
        <v>23513.279999999999</v>
      </c>
      <c r="H3153" s="15">
        <f t="shared" si="50"/>
        <v>0</v>
      </c>
      <c r="I3153" s="19"/>
    </row>
    <row r="3154" spans="1:9" x14ac:dyDescent="0.25">
      <c r="A3154" s="16">
        <v>42762</v>
      </c>
      <c r="B3154" s="17" t="s">
        <v>3557</v>
      </c>
      <c r="C3154" s="18">
        <v>98751</v>
      </c>
      <c r="D3154" s="2" t="s">
        <v>445</v>
      </c>
      <c r="E3154" s="15">
        <v>2461.1999999999998</v>
      </c>
      <c r="F3154" s="36" t="s">
        <v>2009</v>
      </c>
      <c r="G3154" s="15">
        <v>2461.1999999999998</v>
      </c>
      <c r="H3154" s="15">
        <f t="shared" si="50"/>
        <v>0</v>
      </c>
      <c r="I3154" s="19"/>
    </row>
    <row r="3155" spans="1:9" x14ac:dyDescent="0.25">
      <c r="A3155" s="16">
        <v>42762</v>
      </c>
      <c r="B3155" s="17" t="s">
        <v>3558</v>
      </c>
      <c r="C3155" s="18">
        <v>98752</v>
      </c>
      <c r="D3155" s="2" t="s">
        <v>1116</v>
      </c>
      <c r="E3155" s="15">
        <v>5045.8999999999996</v>
      </c>
      <c r="F3155" s="36" t="s">
        <v>2009</v>
      </c>
      <c r="G3155" s="15">
        <v>5045.8999999999996</v>
      </c>
      <c r="H3155" s="15">
        <f t="shared" si="50"/>
        <v>0</v>
      </c>
      <c r="I3155" s="19"/>
    </row>
    <row r="3156" spans="1:9" x14ac:dyDescent="0.25">
      <c r="A3156" s="16">
        <v>42762</v>
      </c>
      <c r="B3156" s="17" t="s">
        <v>3559</v>
      </c>
      <c r="C3156" s="18">
        <v>98753</v>
      </c>
      <c r="D3156" s="2" t="s">
        <v>83</v>
      </c>
      <c r="E3156" s="15">
        <v>4895.1000000000004</v>
      </c>
      <c r="F3156" s="36" t="s">
        <v>2009</v>
      </c>
      <c r="G3156" s="15">
        <v>4895.1000000000004</v>
      </c>
      <c r="H3156" s="15">
        <f t="shared" si="50"/>
        <v>0</v>
      </c>
      <c r="I3156" s="19"/>
    </row>
    <row r="3157" spans="1:9" x14ac:dyDescent="0.25">
      <c r="A3157" s="16">
        <v>42762</v>
      </c>
      <c r="B3157" s="17" t="s">
        <v>3560</v>
      </c>
      <c r="C3157" s="18">
        <v>98754</v>
      </c>
      <c r="D3157" s="2" t="s">
        <v>250</v>
      </c>
      <c r="E3157" s="15">
        <v>3774</v>
      </c>
      <c r="F3157" s="36" t="s">
        <v>361</v>
      </c>
      <c r="G3157" s="15">
        <v>3774</v>
      </c>
      <c r="H3157" s="15">
        <f t="shared" si="50"/>
        <v>0</v>
      </c>
      <c r="I3157" s="19"/>
    </row>
    <row r="3158" spans="1:9" x14ac:dyDescent="0.25">
      <c r="A3158" s="16">
        <v>42762</v>
      </c>
      <c r="B3158" s="17" t="s">
        <v>3561</v>
      </c>
      <c r="C3158" s="18">
        <v>98755</v>
      </c>
      <c r="D3158" s="2" t="s">
        <v>291</v>
      </c>
      <c r="E3158" s="15">
        <v>2244.1999999999998</v>
      </c>
      <c r="F3158" s="36" t="s">
        <v>2009</v>
      </c>
      <c r="G3158" s="15">
        <v>2244.1999999999998</v>
      </c>
      <c r="H3158" s="15">
        <f t="shared" si="50"/>
        <v>0</v>
      </c>
      <c r="I3158" s="19"/>
    </row>
    <row r="3159" spans="1:9" x14ac:dyDescent="0.25">
      <c r="A3159" s="16">
        <v>42762</v>
      </c>
      <c r="B3159" s="17" t="s">
        <v>3562</v>
      </c>
      <c r="C3159" s="18">
        <v>98756</v>
      </c>
      <c r="D3159" s="2" t="s">
        <v>268</v>
      </c>
      <c r="E3159" s="15">
        <v>17720.2</v>
      </c>
      <c r="F3159" s="36" t="s">
        <v>1889</v>
      </c>
      <c r="G3159" s="15">
        <v>17720.2</v>
      </c>
      <c r="H3159" s="15">
        <f t="shared" si="50"/>
        <v>0</v>
      </c>
      <c r="I3159" s="19"/>
    </row>
    <row r="3160" spans="1:9" x14ac:dyDescent="0.25">
      <c r="A3160" s="16">
        <v>42762</v>
      </c>
      <c r="B3160" s="17" t="s">
        <v>3563</v>
      </c>
      <c r="C3160" s="18">
        <v>98757</v>
      </c>
      <c r="D3160" s="2" t="s">
        <v>432</v>
      </c>
      <c r="E3160" s="15">
        <v>17789.900000000001</v>
      </c>
      <c r="F3160" s="36" t="s">
        <v>1889</v>
      </c>
      <c r="G3160" s="15">
        <v>17789.900000000001</v>
      </c>
      <c r="H3160" s="15">
        <f t="shared" si="50"/>
        <v>0</v>
      </c>
      <c r="I3160" s="19"/>
    </row>
    <row r="3161" spans="1:9" x14ac:dyDescent="0.25">
      <c r="A3161" s="16">
        <v>42762</v>
      </c>
      <c r="B3161" s="17" t="s">
        <v>3564</v>
      </c>
      <c r="C3161" s="18">
        <v>98758</v>
      </c>
      <c r="D3161" s="2" t="s">
        <v>270</v>
      </c>
      <c r="E3161" s="15">
        <v>40420.6</v>
      </c>
      <c r="F3161" s="36" t="s">
        <v>1889</v>
      </c>
      <c r="G3161" s="15">
        <v>40420.6</v>
      </c>
      <c r="H3161" s="15">
        <f t="shared" si="50"/>
        <v>0</v>
      </c>
      <c r="I3161" s="19"/>
    </row>
    <row r="3162" spans="1:9" x14ac:dyDescent="0.25">
      <c r="A3162" s="16">
        <v>42762</v>
      </c>
      <c r="B3162" s="17" t="s">
        <v>3565</v>
      </c>
      <c r="C3162" s="18">
        <v>98759</v>
      </c>
      <c r="D3162" s="13" t="s">
        <v>30</v>
      </c>
      <c r="E3162" s="14">
        <v>0</v>
      </c>
      <c r="F3162" s="123" t="s">
        <v>95</v>
      </c>
      <c r="G3162" s="14">
        <v>0</v>
      </c>
      <c r="H3162" s="14">
        <f t="shared" si="50"/>
        <v>0</v>
      </c>
      <c r="I3162" s="19"/>
    </row>
    <row r="3163" spans="1:9" x14ac:dyDescent="0.25">
      <c r="A3163" s="16">
        <v>42762</v>
      </c>
      <c r="B3163" s="17" t="s">
        <v>3566</v>
      </c>
      <c r="C3163" s="18">
        <v>98760</v>
      </c>
      <c r="D3163" s="2" t="s">
        <v>30</v>
      </c>
      <c r="E3163" s="15">
        <v>1058.5999999999999</v>
      </c>
      <c r="F3163" s="36" t="s">
        <v>2009</v>
      </c>
      <c r="G3163" s="15">
        <v>1058.5999999999999</v>
      </c>
      <c r="H3163" s="15">
        <f t="shared" si="50"/>
        <v>0</v>
      </c>
      <c r="I3163" s="19"/>
    </row>
    <row r="3164" spans="1:9" x14ac:dyDescent="0.25">
      <c r="A3164" s="16">
        <v>42762</v>
      </c>
      <c r="B3164" s="17" t="s">
        <v>3567</v>
      </c>
      <c r="C3164" s="18">
        <v>98761</v>
      </c>
      <c r="D3164" s="2" t="s">
        <v>590</v>
      </c>
      <c r="E3164" s="15">
        <v>9284</v>
      </c>
      <c r="F3164" s="36" t="s">
        <v>1889</v>
      </c>
      <c r="G3164" s="15">
        <v>9284</v>
      </c>
      <c r="H3164" s="15">
        <f t="shared" si="50"/>
        <v>0</v>
      </c>
      <c r="I3164" s="19"/>
    </row>
    <row r="3165" spans="1:9" x14ac:dyDescent="0.25">
      <c r="A3165" s="16">
        <v>42762</v>
      </c>
      <c r="B3165" s="17" t="s">
        <v>3568</v>
      </c>
      <c r="C3165" s="18">
        <v>98762</v>
      </c>
      <c r="D3165" s="2" t="s">
        <v>457</v>
      </c>
      <c r="E3165" s="15">
        <v>1440.6</v>
      </c>
      <c r="F3165" s="36" t="s">
        <v>2143</v>
      </c>
      <c r="G3165" s="15">
        <v>1440.6</v>
      </c>
      <c r="H3165" s="15">
        <f t="shared" si="50"/>
        <v>0</v>
      </c>
      <c r="I3165" s="19"/>
    </row>
    <row r="3166" spans="1:9" x14ac:dyDescent="0.25">
      <c r="A3166" s="16">
        <v>42762</v>
      </c>
      <c r="B3166" s="17" t="s">
        <v>3569</v>
      </c>
      <c r="C3166" s="18">
        <v>98763</v>
      </c>
      <c r="D3166" s="2" t="s">
        <v>462</v>
      </c>
      <c r="E3166" s="15">
        <v>14935.8</v>
      </c>
      <c r="F3166" s="36" t="s">
        <v>2009</v>
      </c>
      <c r="G3166" s="15">
        <v>14935.8</v>
      </c>
      <c r="H3166" s="15">
        <f t="shared" si="50"/>
        <v>0</v>
      </c>
      <c r="I3166" s="19"/>
    </row>
    <row r="3167" spans="1:9" x14ac:dyDescent="0.25">
      <c r="A3167" s="16">
        <v>42762</v>
      </c>
      <c r="B3167" s="17" t="s">
        <v>3570</v>
      </c>
      <c r="C3167" s="18">
        <v>98764</v>
      </c>
      <c r="D3167" s="24" t="s">
        <v>590</v>
      </c>
      <c r="E3167" s="25">
        <v>0</v>
      </c>
      <c r="F3167" s="127" t="s">
        <v>95</v>
      </c>
      <c r="G3167" s="25">
        <v>0</v>
      </c>
      <c r="H3167" s="25">
        <f t="shared" si="50"/>
        <v>0</v>
      </c>
      <c r="I3167" s="19"/>
    </row>
    <row r="3168" spans="1:9" x14ac:dyDescent="0.25">
      <c r="A3168" s="16">
        <v>42762</v>
      </c>
      <c r="B3168" s="17" t="s">
        <v>3571</v>
      </c>
      <c r="C3168" s="18">
        <v>98765</v>
      </c>
      <c r="D3168" s="2" t="s">
        <v>293</v>
      </c>
      <c r="E3168" s="15">
        <v>638.5</v>
      </c>
      <c r="F3168" s="36" t="s">
        <v>2009</v>
      </c>
      <c r="G3168" s="15">
        <v>638.5</v>
      </c>
      <c r="H3168" s="15">
        <f t="shared" si="50"/>
        <v>0</v>
      </c>
      <c r="I3168" s="19"/>
    </row>
    <row r="3169" spans="1:9" x14ac:dyDescent="0.25">
      <c r="A3169" s="16">
        <v>42762</v>
      </c>
      <c r="B3169" s="17" t="s">
        <v>3572</v>
      </c>
      <c r="C3169" s="18">
        <v>98766</v>
      </c>
      <c r="D3169" s="2" t="s">
        <v>858</v>
      </c>
      <c r="E3169" s="15">
        <v>224.1</v>
      </c>
      <c r="F3169" s="36" t="s">
        <v>2143</v>
      </c>
      <c r="G3169" s="15">
        <v>224.1</v>
      </c>
      <c r="H3169" s="15">
        <f t="shared" si="50"/>
        <v>0</v>
      </c>
      <c r="I3169" s="19"/>
    </row>
    <row r="3170" spans="1:9" x14ac:dyDescent="0.25">
      <c r="A3170" s="16">
        <v>42762</v>
      </c>
      <c r="B3170" s="17" t="s">
        <v>3573</v>
      </c>
      <c r="C3170" s="18">
        <v>98767</v>
      </c>
      <c r="D3170" s="2" t="s">
        <v>590</v>
      </c>
      <c r="E3170" s="15">
        <v>19659.7</v>
      </c>
      <c r="F3170" s="36" t="s">
        <v>1889</v>
      </c>
      <c r="G3170" s="15">
        <v>19659.7</v>
      </c>
      <c r="H3170" s="15">
        <f t="shared" si="50"/>
        <v>0</v>
      </c>
      <c r="I3170" s="19"/>
    </row>
    <row r="3171" spans="1:9" x14ac:dyDescent="0.25">
      <c r="A3171" s="16">
        <v>42762</v>
      </c>
      <c r="B3171" s="17" t="s">
        <v>3574</v>
      </c>
      <c r="C3171" s="18">
        <v>98768</v>
      </c>
      <c r="D3171" s="2" t="s">
        <v>268</v>
      </c>
      <c r="E3171" s="15">
        <v>1239.3</v>
      </c>
      <c r="F3171" s="36" t="s">
        <v>1889</v>
      </c>
      <c r="G3171" s="15">
        <v>1239.3</v>
      </c>
      <c r="H3171" s="15">
        <f t="shared" si="50"/>
        <v>0</v>
      </c>
      <c r="I3171" s="19"/>
    </row>
    <row r="3172" spans="1:9" x14ac:dyDescent="0.25">
      <c r="A3172" s="16">
        <v>42762</v>
      </c>
      <c r="B3172" s="17" t="s">
        <v>3575</v>
      </c>
      <c r="C3172" s="18">
        <v>98769</v>
      </c>
      <c r="D3172" s="2" t="s">
        <v>613</v>
      </c>
      <c r="E3172" s="15">
        <v>3209.5</v>
      </c>
      <c r="F3172" s="36" t="s">
        <v>2009</v>
      </c>
      <c r="G3172" s="15">
        <v>3209.5</v>
      </c>
      <c r="H3172" s="15">
        <f t="shared" si="50"/>
        <v>0</v>
      </c>
      <c r="I3172" s="19"/>
    </row>
    <row r="3173" spans="1:9" x14ac:dyDescent="0.25">
      <c r="A3173" s="16">
        <v>42762</v>
      </c>
      <c r="B3173" s="17" t="s">
        <v>3576</v>
      </c>
      <c r="C3173" s="18">
        <v>98770</v>
      </c>
      <c r="D3173" s="2" t="s">
        <v>590</v>
      </c>
      <c r="E3173" s="15">
        <v>9220.4</v>
      </c>
      <c r="F3173" s="36" t="s">
        <v>1889</v>
      </c>
      <c r="G3173" s="15">
        <v>9220.4</v>
      </c>
      <c r="H3173" s="15">
        <f t="shared" si="50"/>
        <v>0</v>
      </c>
      <c r="I3173" s="19"/>
    </row>
    <row r="3174" spans="1:9" x14ac:dyDescent="0.25">
      <c r="A3174" s="16">
        <v>42762</v>
      </c>
      <c r="B3174" s="17" t="s">
        <v>3577</v>
      </c>
      <c r="C3174" s="18">
        <v>98771</v>
      </c>
      <c r="D3174" s="2" t="s">
        <v>876</v>
      </c>
      <c r="E3174" s="15">
        <v>8665.6</v>
      </c>
      <c r="F3174" s="36" t="s">
        <v>1889</v>
      </c>
      <c r="G3174" s="15">
        <v>8665.6</v>
      </c>
      <c r="H3174" s="15">
        <f t="shared" si="50"/>
        <v>0</v>
      </c>
      <c r="I3174" s="19"/>
    </row>
    <row r="3175" spans="1:9" x14ac:dyDescent="0.25">
      <c r="A3175" s="16">
        <v>42762</v>
      </c>
      <c r="B3175" s="17" t="s">
        <v>3578</v>
      </c>
      <c r="C3175" s="18">
        <v>98772</v>
      </c>
      <c r="D3175" s="2" t="s">
        <v>88</v>
      </c>
      <c r="E3175" s="15">
        <v>11068.5</v>
      </c>
      <c r="F3175" s="36" t="s">
        <v>2009</v>
      </c>
      <c r="G3175" s="15">
        <v>11068.5</v>
      </c>
      <c r="H3175" s="15">
        <f t="shared" si="50"/>
        <v>0</v>
      </c>
      <c r="I3175" s="19"/>
    </row>
    <row r="3176" spans="1:9" x14ac:dyDescent="0.25">
      <c r="A3176" s="16">
        <v>42762</v>
      </c>
      <c r="B3176" s="17" t="s">
        <v>3579</v>
      </c>
      <c r="C3176" s="18">
        <v>98773</v>
      </c>
      <c r="D3176" s="2" t="s">
        <v>111</v>
      </c>
      <c r="E3176" s="15">
        <v>2879.9</v>
      </c>
      <c r="F3176" s="36" t="s">
        <v>2143</v>
      </c>
      <c r="G3176" s="15">
        <v>2879.9</v>
      </c>
      <c r="H3176" s="15">
        <f t="shared" si="50"/>
        <v>0</v>
      </c>
      <c r="I3176" s="19"/>
    </row>
    <row r="3177" spans="1:9" x14ac:dyDescent="0.25">
      <c r="A3177" s="16">
        <v>42762</v>
      </c>
      <c r="B3177" s="17" t="s">
        <v>3580</v>
      </c>
      <c r="C3177" s="18">
        <v>98774</v>
      </c>
      <c r="D3177" s="2" t="s">
        <v>30</v>
      </c>
      <c r="E3177" s="15">
        <v>1812</v>
      </c>
      <c r="F3177" s="36" t="s">
        <v>2009</v>
      </c>
      <c r="G3177" s="15">
        <v>1812</v>
      </c>
      <c r="H3177" s="15">
        <f t="shared" si="50"/>
        <v>0</v>
      </c>
      <c r="I3177" s="19"/>
    </row>
    <row r="3178" spans="1:9" x14ac:dyDescent="0.25">
      <c r="A3178" s="16">
        <v>42762</v>
      </c>
      <c r="B3178" s="17" t="s">
        <v>3581</v>
      </c>
      <c r="C3178" s="18">
        <v>98775</v>
      </c>
      <c r="D3178" s="2" t="s">
        <v>1259</v>
      </c>
      <c r="E3178" s="15">
        <v>2354.6999999999998</v>
      </c>
      <c r="F3178" s="36" t="s">
        <v>2009</v>
      </c>
      <c r="G3178" s="15">
        <v>2354.6999999999998</v>
      </c>
      <c r="H3178" s="15">
        <f t="shared" si="50"/>
        <v>0</v>
      </c>
      <c r="I3178" s="19"/>
    </row>
    <row r="3179" spans="1:9" x14ac:dyDescent="0.25">
      <c r="A3179" s="16">
        <v>42762</v>
      </c>
      <c r="B3179" s="17" t="s">
        <v>3582</v>
      </c>
      <c r="C3179" s="18">
        <v>98776</v>
      </c>
      <c r="D3179" s="2" t="s">
        <v>109</v>
      </c>
      <c r="E3179" s="15">
        <v>4010</v>
      </c>
      <c r="F3179" s="36" t="s">
        <v>2009</v>
      </c>
      <c r="G3179" s="15">
        <v>4010</v>
      </c>
      <c r="H3179" s="15">
        <f t="shared" si="50"/>
        <v>0</v>
      </c>
      <c r="I3179" s="19"/>
    </row>
    <row r="3180" spans="1:9" x14ac:dyDescent="0.25">
      <c r="A3180" s="16">
        <v>42762</v>
      </c>
      <c r="B3180" s="17" t="s">
        <v>3583</v>
      </c>
      <c r="C3180" s="18">
        <v>98777</v>
      </c>
      <c r="D3180" s="2" t="s">
        <v>92</v>
      </c>
      <c r="E3180" s="15">
        <v>3566.4</v>
      </c>
      <c r="F3180" s="36" t="s">
        <v>2009</v>
      </c>
      <c r="G3180" s="15">
        <v>3566.4</v>
      </c>
      <c r="H3180" s="15">
        <f t="shared" si="50"/>
        <v>0</v>
      </c>
      <c r="I3180" s="19"/>
    </row>
    <row r="3181" spans="1:9" x14ac:dyDescent="0.25">
      <c r="A3181" s="16">
        <v>42762</v>
      </c>
      <c r="B3181" s="17" t="s">
        <v>3584</v>
      </c>
      <c r="C3181" s="18">
        <v>98778</v>
      </c>
      <c r="D3181" s="2" t="s">
        <v>81</v>
      </c>
      <c r="E3181" s="15">
        <v>2238.6999999999998</v>
      </c>
      <c r="F3181" s="36" t="s">
        <v>2009</v>
      </c>
      <c r="G3181" s="15">
        <v>2238.6999999999998</v>
      </c>
      <c r="H3181" s="15">
        <f t="shared" si="50"/>
        <v>0</v>
      </c>
      <c r="I3181" s="19"/>
    </row>
    <row r="3182" spans="1:9" x14ac:dyDescent="0.25">
      <c r="A3182" s="16">
        <v>42762</v>
      </c>
      <c r="B3182" s="17" t="s">
        <v>3585</v>
      </c>
      <c r="C3182" s="18">
        <v>98779</v>
      </c>
      <c r="D3182" s="2" t="s">
        <v>103</v>
      </c>
      <c r="E3182" s="15">
        <v>3369.6</v>
      </c>
      <c r="F3182" s="36" t="s">
        <v>361</v>
      </c>
      <c r="G3182" s="15">
        <v>3369.6</v>
      </c>
      <c r="H3182" s="15">
        <f t="shared" si="50"/>
        <v>0</v>
      </c>
      <c r="I3182" s="19"/>
    </row>
    <row r="3183" spans="1:9" x14ac:dyDescent="0.25">
      <c r="A3183" s="16">
        <v>42762</v>
      </c>
      <c r="B3183" s="17" t="s">
        <v>3586</v>
      </c>
      <c r="C3183" s="18">
        <v>98780</v>
      </c>
      <c r="D3183" s="2" t="s">
        <v>30</v>
      </c>
      <c r="E3183" s="15">
        <v>1748.4</v>
      </c>
      <c r="F3183" s="36" t="s">
        <v>2143</v>
      </c>
      <c r="G3183" s="15">
        <v>1748.4</v>
      </c>
      <c r="H3183" s="15">
        <f t="shared" si="50"/>
        <v>0</v>
      </c>
      <c r="I3183" s="19"/>
    </row>
    <row r="3184" spans="1:9" x14ac:dyDescent="0.25">
      <c r="A3184" s="16">
        <v>42762</v>
      </c>
      <c r="B3184" s="17" t="s">
        <v>3587</v>
      </c>
      <c r="C3184" s="18">
        <v>98781</v>
      </c>
      <c r="D3184" s="2" t="s">
        <v>272</v>
      </c>
      <c r="E3184" s="15">
        <v>3505.5</v>
      </c>
      <c r="F3184" s="36" t="s">
        <v>1889</v>
      </c>
      <c r="G3184" s="15">
        <v>3505.5</v>
      </c>
      <c r="H3184" s="15">
        <f t="shared" si="50"/>
        <v>0</v>
      </c>
      <c r="I3184" s="19"/>
    </row>
    <row r="3185" spans="1:9" x14ac:dyDescent="0.25">
      <c r="A3185" s="16">
        <v>42762</v>
      </c>
      <c r="B3185" s="17" t="s">
        <v>3588</v>
      </c>
      <c r="C3185" s="18">
        <v>98782</v>
      </c>
      <c r="D3185" s="2" t="s">
        <v>30</v>
      </c>
      <c r="E3185" s="15">
        <v>2457.6</v>
      </c>
      <c r="F3185" s="36" t="s">
        <v>2143</v>
      </c>
      <c r="G3185" s="15">
        <v>2457.6</v>
      </c>
      <c r="H3185" s="15">
        <f t="shared" si="50"/>
        <v>0</v>
      </c>
      <c r="I3185" s="19"/>
    </row>
    <row r="3186" spans="1:9" x14ac:dyDescent="0.25">
      <c r="A3186" s="16">
        <v>42762</v>
      </c>
      <c r="B3186" s="17" t="s">
        <v>3589</v>
      </c>
      <c r="C3186" s="18">
        <v>98783</v>
      </c>
      <c r="D3186" s="2" t="s">
        <v>274</v>
      </c>
      <c r="E3186" s="15">
        <v>17272.8</v>
      </c>
      <c r="F3186" s="36" t="s">
        <v>1889</v>
      </c>
      <c r="G3186" s="15">
        <v>17272.8</v>
      </c>
      <c r="H3186" s="15">
        <f t="shared" si="50"/>
        <v>0</v>
      </c>
      <c r="I3186" s="19"/>
    </row>
    <row r="3187" spans="1:9" x14ac:dyDescent="0.25">
      <c r="A3187" s="16">
        <v>42762</v>
      </c>
      <c r="B3187" s="17" t="s">
        <v>3590</v>
      </c>
      <c r="C3187" s="18">
        <v>98784</v>
      </c>
      <c r="D3187" s="2" t="s">
        <v>30</v>
      </c>
      <c r="E3187" s="15">
        <v>2265</v>
      </c>
      <c r="F3187" s="36" t="s">
        <v>2143</v>
      </c>
      <c r="G3187" s="15">
        <v>2265</v>
      </c>
      <c r="H3187" s="15">
        <f t="shared" si="50"/>
        <v>0</v>
      </c>
      <c r="I3187" s="19"/>
    </row>
    <row r="3188" spans="1:9" x14ac:dyDescent="0.25">
      <c r="A3188" s="16">
        <v>42762</v>
      </c>
      <c r="B3188" s="17" t="s">
        <v>3591</v>
      </c>
      <c r="C3188" s="18">
        <v>98785</v>
      </c>
      <c r="D3188" s="2" t="s">
        <v>30</v>
      </c>
      <c r="E3188" s="15">
        <v>1276.8</v>
      </c>
      <c r="F3188" s="36" t="s">
        <v>2143</v>
      </c>
      <c r="G3188" s="15">
        <v>1276.8</v>
      </c>
      <c r="H3188" s="15">
        <f t="shared" si="50"/>
        <v>0</v>
      </c>
      <c r="I3188" s="19"/>
    </row>
    <row r="3189" spans="1:9" x14ac:dyDescent="0.25">
      <c r="A3189" s="16">
        <v>42762</v>
      </c>
      <c r="B3189" s="17" t="s">
        <v>3592</v>
      </c>
      <c r="C3189" s="18">
        <v>98786</v>
      </c>
      <c r="D3189" s="2" t="s">
        <v>30</v>
      </c>
      <c r="E3189" s="15">
        <v>1233.5999999999999</v>
      </c>
      <c r="F3189" s="36" t="s">
        <v>2143</v>
      </c>
      <c r="G3189" s="15">
        <v>1233.5999999999999</v>
      </c>
      <c r="H3189" s="15">
        <f t="shared" si="50"/>
        <v>0</v>
      </c>
      <c r="I3189" s="19"/>
    </row>
    <row r="3190" spans="1:9" x14ac:dyDescent="0.25">
      <c r="A3190" s="16">
        <v>42762</v>
      </c>
      <c r="B3190" s="17" t="s">
        <v>3593</v>
      </c>
      <c r="C3190" s="18">
        <v>98787</v>
      </c>
      <c r="D3190" s="2" t="s">
        <v>442</v>
      </c>
      <c r="E3190" s="15">
        <v>16950.099999999999</v>
      </c>
      <c r="F3190" s="36" t="s">
        <v>1889</v>
      </c>
      <c r="G3190" s="15">
        <v>16950.099999999999</v>
      </c>
      <c r="H3190" s="15">
        <f t="shared" si="50"/>
        <v>0</v>
      </c>
      <c r="I3190" s="19"/>
    </row>
    <row r="3191" spans="1:9" x14ac:dyDescent="0.25">
      <c r="A3191" s="16">
        <v>42762</v>
      </c>
      <c r="B3191" s="17" t="s">
        <v>3594</v>
      </c>
      <c r="C3191" s="18">
        <v>98788</v>
      </c>
      <c r="D3191" s="2" t="s">
        <v>57</v>
      </c>
      <c r="E3191" s="15">
        <v>960</v>
      </c>
      <c r="F3191" s="36" t="s">
        <v>2009</v>
      </c>
      <c r="G3191" s="15">
        <v>960</v>
      </c>
      <c r="H3191" s="15">
        <f t="shared" si="50"/>
        <v>0</v>
      </c>
      <c r="I3191" s="19"/>
    </row>
    <row r="3192" spans="1:9" x14ac:dyDescent="0.25">
      <c r="A3192" s="16">
        <v>42762</v>
      </c>
      <c r="B3192" s="17" t="s">
        <v>3595</v>
      </c>
      <c r="C3192" s="18">
        <v>98789</v>
      </c>
      <c r="D3192" s="2" t="s">
        <v>208</v>
      </c>
      <c r="E3192" s="15">
        <v>13231.72</v>
      </c>
      <c r="F3192" s="36" t="s">
        <v>2143</v>
      </c>
      <c r="G3192" s="15">
        <v>13231.72</v>
      </c>
      <c r="H3192" s="15">
        <f t="shared" si="50"/>
        <v>0</v>
      </c>
      <c r="I3192" s="19"/>
    </row>
    <row r="3193" spans="1:9" x14ac:dyDescent="0.25">
      <c r="A3193" s="16">
        <v>42762</v>
      </c>
      <c r="B3193" s="17" t="s">
        <v>3596</v>
      </c>
      <c r="C3193" s="18">
        <v>98790</v>
      </c>
      <c r="D3193" s="2" t="s">
        <v>155</v>
      </c>
      <c r="E3193" s="15">
        <v>36513.800000000003</v>
      </c>
      <c r="F3193" s="36" t="s">
        <v>1889</v>
      </c>
      <c r="G3193" s="15">
        <v>36513.800000000003</v>
      </c>
      <c r="H3193" s="15">
        <f t="shared" si="50"/>
        <v>0</v>
      </c>
      <c r="I3193" s="19"/>
    </row>
    <row r="3194" spans="1:9" x14ac:dyDescent="0.25">
      <c r="A3194" s="16">
        <v>42762</v>
      </c>
      <c r="B3194" s="17" t="s">
        <v>3597</v>
      </c>
      <c r="C3194" s="18">
        <v>98791</v>
      </c>
      <c r="D3194" s="2" t="s">
        <v>145</v>
      </c>
      <c r="E3194" s="15">
        <v>21212.2</v>
      </c>
      <c r="F3194" s="36" t="s">
        <v>2009</v>
      </c>
      <c r="G3194" s="15">
        <v>21212.2</v>
      </c>
      <c r="H3194" s="15">
        <f t="shared" si="50"/>
        <v>0</v>
      </c>
      <c r="I3194" s="19"/>
    </row>
    <row r="3195" spans="1:9" x14ac:dyDescent="0.25">
      <c r="A3195" s="16">
        <v>42762</v>
      </c>
      <c r="B3195" s="17" t="s">
        <v>3598</v>
      </c>
      <c r="C3195" s="18">
        <v>98792</v>
      </c>
      <c r="D3195" s="2" t="s">
        <v>2704</v>
      </c>
      <c r="E3195" s="15">
        <v>16781.400000000001</v>
      </c>
      <c r="F3195" s="36" t="s">
        <v>2009</v>
      </c>
      <c r="G3195" s="15">
        <v>16781.400000000001</v>
      </c>
      <c r="H3195" s="15">
        <f t="shared" si="50"/>
        <v>0</v>
      </c>
      <c r="I3195" s="19"/>
    </row>
    <row r="3196" spans="1:9" x14ac:dyDescent="0.25">
      <c r="A3196" s="16">
        <v>42762</v>
      </c>
      <c r="B3196" s="17" t="s">
        <v>3599</v>
      </c>
      <c r="C3196" s="18">
        <v>98793</v>
      </c>
      <c r="D3196" s="2" t="s">
        <v>319</v>
      </c>
      <c r="E3196" s="15">
        <v>5731.6</v>
      </c>
      <c r="F3196" s="124" t="s">
        <v>3600</v>
      </c>
      <c r="G3196" s="20">
        <f>4000+1731.6</f>
        <v>5731.6</v>
      </c>
      <c r="H3196" s="20">
        <f t="shared" si="50"/>
        <v>0</v>
      </c>
      <c r="I3196" s="19"/>
    </row>
    <row r="3197" spans="1:9" x14ac:dyDescent="0.25">
      <c r="A3197" s="16">
        <v>42762</v>
      </c>
      <c r="B3197" s="17" t="s">
        <v>3601</v>
      </c>
      <c r="C3197" s="18">
        <v>98794</v>
      </c>
      <c r="D3197" s="2" t="s">
        <v>231</v>
      </c>
      <c r="E3197" s="15">
        <v>7413.2</v>
      </c>
      <c r="F3197" s="36" t="s">
        <v>2009</v>
      </c>
      <c r="G3197" s="15">
        <v>7413.2</v>
      </c>
      <c r="H3197" s="15">
        <f t="shared" si="50"/>
        <v>0</v>
      </c>
      <c r="I3197" s="19"/>
    </row>
    <row r="3198" spans="1:9" x14ac:dyDescent="0.25">
      <c r="A3198" s="16">
        <v>42762</v>
      </c>
      <c r="B3198" s="17" t="s">
        <v>3602</v>
      </c>
      <c r="C3198" s="18">
        <v>98795</v>
      </c>
      <c r="D3198" s="2" t="s">
        <v>302</v>
      </c>
      <c r="E3198" s="15">
        <v>8997.6</v>
      </c>
      <c r="F3198" s="36" t="s">
        <v>2143</v>
      </c>
      <c r="G3198" s="15">
        <v>8997.6</v>
      </c>
      <c r="H3198" s="15">
        <f t="shared" si="50"/>
        <v>0</v>
      </c>
      <c r="I3198" s="19"/>
    </row>
    <row r="3199" spans="1:9" x14ac:dyDescent="0.25">
      <c r="A3199" s="16">
        <v>42762</v>
      </c>
      <c r="B3199" s="17" t="s">
        <v>3603</v>
      </c>
      <c r="C3199" s="18">
        <v>98796</v>
      </c>
      <c r="D3199" s="2" t="s">
        <v>1870</v>
      </c>
      <c r="E3199" s="15">
        <v>1280.4000000000001</v>
      </c>
      <c r="F3199" s="36" t="s">
        <v>2143</v>
      </c>
      <c r="G3199" s="15">
        <v>1280.4000000000001</v>
      </c>
      <c r="H3199" s="15">
        <f t="shared" si="50"/>
        <v>0</v>
      </c>
      <c r="I3199" s="19"/>
    </row>
    <row r="3200" spans="1:9" x14ac:dyDescent="0.25">
      <c r="A3200" s="16">
        <v>42762</v>
      </c>
      <c r="B3200" s="17" t="s">
        <v>3604</v>
      </c>
      <c r="C3200" s="18">
        <v>98797</v>
      </c>
      <c r="D3200" s="2" t="s">
        <v>476</v>
      </c>
      <c r="E3200" s="15">
        <v>4092.8</v>
      </c>
      <c r="F3200" s="36" t="s">
        <v>2009</v>
      </c>
      <c r="G3200" s="15">
        <v>4092.8</v>
      </c>
      <c r="H3200" s="15">
        <f t="shared" si="50"/>
        <v>0</v>
      </c>
      <c r="I3200" s="19"/>
    </row>
    <row r="3201" spans="1:9" x14ac:dyDescent="0.25">
      <c r="A3201" s="16">
        <v>42762</v>
      </c>
      <c r="B3201" s="17" t="s">
        <v>3605</v>
      </c>
      <c r="C3201" s="18">
        <v>98798</v>
      </c>
      <c r="D3201" s="2" t="s">
        <v>305</v>
      </c>
      <c r="E3201" s="15">
        <v>1715.2</v>
      </c>
      <c r="F3201" s="36" t="s">
        <v>2009</v>
      </c>
      <c r="G3201" s="15">
        <v>1715.2</v>
      </c>
      <c r="H3201" s="15">
        <f t="shared" si="50"/>
        <v>0</v>
      </c>
      <c r="I3201" s="19"/>
    </row>
    <row r="3202" spans="1:9" x14ac:dyDescent="0.25">
      <c r="A3202" s="16">
        <v>42762</v>
      </c>
      <c r="B3202" s="17" t="s">
        <v>3606</v>
      </c>
      <c r="C3202" s="18">
        <v>98799</v>
      </c>
      <c r="D3202" s="2" t="s">
        <v>305</v>
      </c>
      <c r="E3202" s="15">
        <v>520.20000000000005</v>
      </c>
      <c r="F3202" s="36" t="s">
        <v>2143</v>
      </c>
      <c r="G3202" s="15">
        <v>520.20000000000005</v>
      </c>
      <c r="H3202" s="15">
        <f t="shared" si="50"/>
        <v>0</v>
      </c>
      <c r="I3202" s="19"/>
    </row>
    <row r="3203" spans="1:9" x14ac:dyDescent="0.25">
      <c r="A3203" s="16">
        <v>42762</v>
      </c>
      <c r="B3203" s="17" t="s">
        <v>3607</v>
      </c>
      <c r="C3203" s="18">
        <v>98800</v>
      </c>
      <c r="D3203" s="2" t="s">
        <v>159</v>
      </c>
      <c r="E3203" s="15">
        <v>5697.3</v>
      </c>
      <c r="F3203" s="36" t="s">
        <v>2143</v>
      </c>
      <c r="G3203" s="15">
        <v>5697.3</v>
      </c>
      <c r="H3203" s="15">
        <f t="shared" si="50"/>
        <v>0</v>
      </c>
      <c r="I3203" s="19"/>
    </row>
    <row r="3204" spans="1:9" x14ac:dyDescent="0.25">
      <c r="A3204" s="16">
        <v>42762</v>
      </c>
      <c r="B3204" s="17" t="s">
        <v>3608</v>
      </c>
      <c r="C3204" s="18">
        <v>98801</v>
      </c>
      <c r="D3204" s="2" t="s">
        <v>188</v>
      </c>
      <c r="E3204" s="15">
        <v>4278.1000000000004</v>
      </c>
      <c r="F3204" s="36" t="s">
        <v>2009</v>
      </c>
      <c r="G3204" s="15">
        <v>4278.1000000000004</v>
      </c>
      <c r="H3204" s="15">
        <f t="shared" si="50"/>
        <v>0</v>
      </c>
      <c r="I3204" s="19"/>
    </row>
    <row r="3205" spans="1:9" x14ac:dyDescent="0.25">
      <c r="A3205" s="16">
        <v>42762</v>
      </c>
      <c r="B3205" s="17" t="s">
        <v>3609</v>
      </c>
      <c r="C3205" s="18">
        <v>98802</v>
      </c>
      <c r="D3205" s="2" t="s">
        <v>1310</v>
      </c>
      <c r="E3205" s="15">
        <v>690.9</v>
      </c>
      <c r="F3205" s="36" t="s">
        <v>2009</v>
      </c>
      <c r="G3205" s="15">
        <v>690.9</v>
      </c>
      <c r="H3205" s="15">
        <f t="shared" si="50"/>
        <v>0</v>
      </c>
      <c r="I3205" s="19"/>
    </row>
    <row r="3206" spans="1:9" x14ac:dyDescent="0.25">
      <c r="A3206" s="16">
        <v>42762</v>
      </c>
      <c r="B3206" s="17" t="s">
        <v>3610</v>
      </c>
      <c r="C3206" s="18">
        <v>98803</v>
      </c>
      <c r="D3206" s="2" t="s">
        <v>61</v>
      </c>
      <c r="E3206" s="15">
        <v>7601.4</v>
      </c>
      <c r="F3206" s="36" t="s">
        <v>2009</v>
      </c>
      <c r="G3206" s="15">
        <v>7601.4</v>
      </c>
      <c r="H3206" s="15">
        <f t="shared" ref="H3206:H3269" si="51">E3206-G3206</f>
        <v>0</v>
      </c>
      <c r="I3206" s="19"/>
    </row>
    <row r="3207" spans="1:9" x14ac:dyDescent="0.25">
      <c r="A3207" s="16">
        <v>42762</v>
      </c>
      <c r="B3207" s="17" t="s">
        <v>3611</v>
      </c>
      <c r="C3207" s="18">
        <v>98804</v>
      </c>
      <c r="D3207" s="2" t="s">
        <v>85</v>
      </c>
      <c r="E3207" s="15">
        <v>16123.8</v>
      </c>
      <c r="F3207" s="36" t="s">
        <v>2009</v>
      </c>
      <c r="G3207" s="15">
        <f>10123.8+6000</f>
        <v>16123.8</v>
      </c>
      <c r="H3207" s="15">
        <f t="shared" si="51"/>
        <v>0</v>
      </c>
      <c r="I3207" s="19"/>
    </row>
    <row r="3208" spans="1:9" x14ac:dyDescent="0.25">
      <c r="A3208" s="16">
        <v>42762</v>
      </c>
      <c r="B3208" s="17" t="s">
        <v>3612</v>
      </c>
      <c r="C3208" s="18">
        <v>98805</v>
      </c>
      <c r="D3208" s="13" t="s">
        <v>10</v>
      </c>
      <c r="E3208" s="14">
        <v>0</v>
      </c>
      <c r="F3208" s="123" t="s">
        <v>95</v>
      </c>
      <c r="G3208" s="14">
        <v>0</v>
      </c>
      <c r="H3208" s="14">
        <f t="shared" si="51"/>
        <v>0</v>
      </c>
      <c r="I3208" s="19"/>
    </row>
    <row r="3209" spans="1:9" x14ac:dyDescent="0.25">
      <c r="A3209" s="16">
        <v>42762</v>
      </c>
      <c r="B3209" s="17" t="s">
        <v>3613</v>
      </c>
      <c r="C3209" s="18">
        <v>98806</v>
      </c>
      <c r="D3209" s="2" t="s">
        <v>10</v>
      </c>
      <c r="E3209" s="15">
        <v>4472</v>
      </c>
      <c r="F3209" s="36" t="s">
        <v>361</v>
      </c>
      <c r="G3209" s="15">
        <v>4472</v>
      </c>
      <c r="H3209" s="15">
        <f t="shared" si="51"/>
        <v>0</v>
      </c>
      <c r="I3209" s="19"/>
    </row>
    <row r="3210" spans="1:9" x14ac:dyDescent="0.25">
      <c r="A3210" s="16">
        <v>42762</v>
      </c>
      <c r="B3210" s="17" t="s">
        <v>3614</v>
      </c>
      <c r="C3210" s="18">
        <v>98807</v>
      </c>
      <c r="D3210" s="2" t="s">
        <v>193</v>
      </c>
      <c r="E3210" s="15">
        <v>2166.6999999999998</v>
      </c>
      <c r="F3210" s="36" t="s">
        <v>2009</v>
      </c>
      <c r="G3210" s="15">
        <v>2166.6999999999998</v>
      </c>
      <c r="H3210" s="15">
        <f t="shared" si="51"/>
        <v>0</v>
      </c>
      <c r="I3210" s="19"/>
    </row>
    <row r="3211" spans="1:9" x14ac:dyDescent="0.25">
      <c r="A3211" s="16">
        <v>42762</v>
      </c>
      <c r="B3211" s="17" t="s">
        <v>3615</v>
      </c>
      <c r="C3211" s="18">
        <v>98808</v>
      </c>
      <c r="D3211" s="2" t="s">
        <v>2533</v>
      </c>
      <c r="E3211" s="15">
        <v>1568</v>
      </c>
      <c r="F3211" s="36" t="s">
        <v>2009</v>
      </c>
      <c r="G3211" s="15">
        <v>1568</v>
      </c>
      <c r="H3211" s="15">
        <f t="shared" si="51"/>
        <v>0</v>
      </c>
      <c r="I3211" s="19"/>
    </row>
    <row r="3212" spans="1:9" x14ac:dyDescent="0.25">
      <c r="A3212" s="16">
        <v>42762</v>
      </c>
      <c r="B3212" s="17" t="s">
        <v>3616</v>
      </c>
      <c r="C3212" s="18">
        <v>98809</v>
      </c>
      <c r="D3212" s="2" t="s">
        <v>184</v>
      </c>
      <c r="E3212" s="15">
        <v>2167.1999999999998</v>
      </c>
      <c r="F3212" s="36" t="s">
        <v>2009</v>
      </c>
      <c r="G3212" s="15">
        <v>2167.1999999999998</v>
      </c>
      <c r="H3212" s="15">
        <f t="shared" si="51"/>
        <v>0</v>
      </c>
      <c r="I3212" s="19"/>
    </row>
    <row r="3213" spans="1:9" x14ac:dyDescent="0.25">
      <c r="A3213" s="16">
        <v>42762</v>
      </c>
      <c r="B3213" s="17" t="s">
        <v>3617</v>
      </c>
      <c r="C3213" s="18">
        <v>98810</v>
      </c>
      <c r="D3213" s="2" t="s">
        <v>149</v>
      </c>
      <c r="E3213" s="15">
        <v>4404.6000000000004</v>
      </c>
      <c r="F3213" s="36" t="s">
        <v>2143</v>
      </c>
      <c r="G3213" s="15">
        <v>4404.6000000000004</v>
      </c>
      <c r="H3213" s="15">
        <f t="shared" si="51"/>
        <v>0</v>
      </c>
      <c r="I3213" s="19"/>
    </row>
    <row r="3214" spans="1:9" x14ac:dyDescent="0.25">
      <c r="A3214" s="16">
        <v>42762</v>
      </c>
      <c r="B3214" s="17" t="s">
        <v>3618</v>
      </c>
      <c r="C3214" s="18">
        <v>98811</v>
      </c>
      <c r="D3214" s="2" t="s">
        <v>428</v>
      </c>
      <c r="E3214" s="15">
        <v>985.6</v>
      </c>
      <c r="F3214" s="36" t="s">
        <v>1173</v>
      </c>
      <c r="G3214" s="15">
        <v>985.6</v>
      </c>
      <c r="H3214" s="15">
        <f t="shared" si="51"/>
        <v>0</v>
      </c>
      <c r="I3214" s="19"/>
    </row>
    <row r="3215" spans="1:9" x14ac:dyDescent="0.25">
      <c r="A3215" s="16">
        <v>42762</v>
      </c>
      <c r="B3215" s="17" t="s">
        <v>3619</v>
      </c>
      <c r="C3215" s="18">
        <v>98812</v>
      </c>
      <c r="D3215" s="2" t="s">
        <v>1299</v>
      </c>
      <c r="E3215" s="15">
        <v>4747.2</v>
      </c>
      <c r="F3215" s="36" t="s">
        <v>2009</v>
      </c>
      <c r="G3215" s="15">
        <v>4747.2</v>
      </c>
      <c r="H3215" s="15">
        <f t="shared" si="51"/>
        <v>0</v>
      </c>
      <c r="I3215" s="19"/>
    </row>
    <row r="3216" spans="1:9" x14ac:dyDescent="0.25">
      <c r="A3216" s="16">
        <v>42762</v>
      </c>
      <c r="B3216" s="17" t="s">
        <v>3620</v>
      </c>
      <c r="C3216" s="18">
        <v>98813</v>
      </c>
      <c r="D3216" s="2" t="s">
        <v>53</v>
      </c>
      <c r="E3216" s="15">
        <v>3247.6</v>
      </c>
      <c r="F3216" s="36" t="s">
        <v>2009</v>
      </c>
      <c r="G3216" s="15">
        <v>3247.6</v>
      </c>
      <c r="H3216" s="15">
        <f t="shared" si="51"/>
        <v>0</v>
      </c>
      <c r="I3216" s="19"/>
    </row>
    <row r="3217" spans="1:9" x14ac:dyDescent="0.25">
      <c r="A3217" s="16">
        <v>42762</v>
      </c>
      <c r="B3217" s="17" t="s">
        <v>3621</v>
      </c>
      <c r="C3217" s="18">
        <v>98814</v>
      </c>
      <c r="D3217" s="2" t="s">
        <v>879</v>
      </c>
      <c r="E3217" s="15">
        <v>3603.6</v>
      </c>
      <c r="F3217" s="36" t="s">
        <v>2143</v>
      </c>
      <c r="G3217" s="15">
        <v>3603.6</v>
      </c>
      <c r="H3217" s="15">
        <f t="shared" si="51"/>
        <v>0</v>
      </c>
      <c r="I3217" s="19"/>
    </row>
    <row r="3218" spans="1:9" x14ac:dyDescent="0.25">
      <c r="A3218" s="16">
        <v>42762</v>
      </c>
      <c r="B3218" s="17" t="s">
        <v>3622</v>
      </c>
      <c r="C3218" s="18">
        <v>98815</v>
      </c>
      <c r="D3218" s="2" t="s">
        <v>476</v>
      </c>
      <c r="E3218" s="15">
        <v>2168.1999999999998</v>
      </c>
      <c r="F3218" s="36" t="s">
        <v>2143</v>
      </c>
      <c r="G3218" s="15">
        <v>2168.1999999999998</v>
      </c>
      <c r="H3218" s="15">
        <f t="shared" si="51"/>
        <v>0</v>
      </c>
      <c r="I3218" s="19"/>
    </row>
    <row r="3219" spans="1:9" x14ac:dyDescent="0.25">
      <c r="A3219" s="16">
        <v>42762</v>
      </c>
      <c r="B3219" s="17" t="s">
        <v>3623</v>
      </c>
      <c r="C3219" s="18">
        <v>98816</v>
      </c>
      <c r="D3219" s="2" t="s">
        <v>63</v>
      </c>
      <c r="E3219" s="15">
        <v>444.6</v>
      </c>
      <c r="F3219" s="36" t="s">
        <v>2009</v>
      </c>
      <c r="G3219" s="15">
        <v>444.6</v>
      </c>
      <c r="H3219" s="15">
        <f t="shared" si="51"/>
        <v>0</v>
      </c>
      <c r="I3219" s="19"/>
    </row>
    <row r="3220" spans="1:9" x14ac:dyDescent="0.25">
      <c r="A3220" s="16">
        <v>42762</v>
      </c>
      <c r="B3220" s="17" t="s">
        <v>3624</v>
      </c>
      <c r="C3220" s="18">
        <v>98817</v>
      </c>
      <c r="D3220" s="2" t="s">
        <v>186</v>
      </c>
      <c r="E3220" s="15">
        <v>3536</v>
      </c>
      <c r="F3220" s="36" t="s">
        <v>3126</v>
      </c>
      <c r="G3220" s="15">
        <v>3536</v>
      </c>
      <c r="H3220" s="15">
        <f t="shared" si="51"/>
        <v>0</v>
      </c>
      <c r="I3220" s="19"/>
    </row>
    <row r="3221" spans="1:9" x14ac:dyDescent="0.25">
      <c r="A3221" s="16">
        <v>42762</v>
      </c>
      <c r="B3221" s="17" t="s">
        <v>3625</v>
      </c>
      <c r="C3221" s="18">
        <v>98818</v>
      </c>
      <c r="D3221" s="13" t="s">
        <v>331</v>
      </c>
      <c r="E3221" s="14">
        <v>0</v>
      </c>
      <c r="F3221" s="123" t="s">
        <v>95</v>
      </c>
      <c r="G3221" s="14">
        <v>0</v>
      </c>
      <c r="H3221" s="14">
        <f t="shared" si="51"/>
        <v>0</v>
      </c>
      <c r="I3221" s="19"/>
    </row>
    <row r="3222" spans="1:9" x14ac:dyDescent="0.25">
      <c r="A3222" s="16">
        <v>42762</v>
      </c>
      <c r="B3222" s="17" t="s">
        <v>3626</v>
      </c>
      <c r="C3222" s="18">
        <v>98819</v>
      </c>
      <c r="D3222" s="2" t="s">
        <v>30</v>
      </c>
      <c r="E3222" s="15">
        <v>2279.5</v>
      </c>
      <c r="F3222" s="36" t="s">
        <v>2009</v>
      </c>
      <c r="G3222" s="15">
        <v>2279.5</v>
      </c>
      <c r="H3222" s="15">
        <f t="shared" si="51"/>
        <v>0</v>
      </c>
      <c r="I3222" s="19"/>
    </row>
    <row r="3223" spans="1:9" x14ac:dyDescent="0.25">
      <c r="A3223" s="16">
        <v>42762</v>
      </c>
      <c r="B3223" s="17" t="s">
        <v>3627</v>
      </c>
      <c r="C3223" s="18">
        <v>98820</v>
      </c>
      <c r="D3223" s="2" t="s">
        <v>331</v>
      </c>
      <c r="E3223" s="15">
        <v>3925.2</v>
      </c>
      <c r="F3223" s="36" t="s">
        <v>2009</v>
      </c>
      <c r="G3223" s="15">
        <v>3925.2</v>
      </c>
      <c r="H3223" s="15">
        <f t="shared" si="51"/>
        <v>0</v>
      </c>
      <c r="I3223" s="19"/>
    </row>
    <row r="3224" spans="1:9" x14ac:dyDescent="0.25">
      <c r="A3224" s="16">
        <v>42762</v>
      </c>
      <c r="B3224" s="17" t="s">
        <v>3628</v>
      </c>
      <c r="C3224" s="18">
        <v>98821</v>
      </c>
      <c r="D3224" s="2" t="s">
        <v>544</v>
      </c>
      <c r="E3224" s="15">
        <v>386.4</v>
      </c>
      <c r="F3224" s="36" t="s">
        <v>2009</v>
      </c>
      <c r="G3224" s="15">
        <v>386.4</v>
      </c>
      <c r="H3224" s="15">
        <f t="shared" si="51"/>
        <v>0</v>
      </c>
      <c r="I3224" s="19"/>
    </row>
    <row r="3225" spans="1:9" x14ac:dyDescent="0.25">
      <c r="A3225" s="16">
        <v>42762</v>
      </c>
      <c r="B3225" s="17" t="s">
        <v>3629</v>
      </c>
      <c r="C3225" s="18">
        <v>98822</v>
      </c>
      <c r="D3225" s="2" t="s">
        <v>182</v>
      </c>
      <c r="E3225" s="15">
        <v>2400</v>
      </c>
      <c r="F3225" s="36" t="s">
        <v>2009</v>
      </c>
      <c r="G3225" s="15">
        <v>2400</v>
      </c>
      <c r="H3225" s="15">
        <f t="shared" si="51"/>
        <v>0</v>
      </c>
      <c r="I3225" s="19"/>
    </row>
    <row r="3226" spans="1:9" x14ac:dyDescent="0.25">
      <c r="A3226" s="16">
        <v>42762</v>
      </c>
      <c r="B3226" s="17" t="s">
        <v>3630</v>
      </c>
      <c r="C3226" s="18">
        <v>98823</v>
      </c>
      <c r="D3226" s="2" t="s">
        <v>10</v>
      </c>
      <c r="E3226" s="15">
        <v>378538.55</v>
      </c>
      <c r="F3226" s="124" t="s">
        <v>3546</v>
      </c>
      <c r="G3226" s="20">
        <f>5288.38+373250.17</f>
        <v>378538.55</v>
      </c>
      <c r="H3226" s="20">
        <f t="shared" si="51"/>
        <v>0</v>
      </c>
      <c r="I3226" s="19"/>
    </row>
    <row r="3227" spans="1:9" x14ac:dyDescent="0.25">
      <c r="A3227" s="16">
        <v>42762</v>
      </c>
      <c r="B3227" s="17" t="s">
        <v>3631</v>
      </c>
      <c r="C3227" s="18">
        <v>98824</v>
      </c>
      <c r="D3227" s="2" t="s">
        <v>133</v>
      </c>
      <c r="E3227" s="15">
        <v>195</v>
      </c>
      <c r="F3227" s="36" t="s">
        <v>2143</v>
      </c>
      <c r="G3227" s="15">
        <v>195</v>
      </c>
      <c r="H3227" s="15">
        <f t="shared" si="51"/>
        <v>0</v>
      </c>
      <c r="I3227" s="19"/>
    </row>
    <row r="3228" spans="1:9" x14ac:dyDescent="0.25">
      <c r="A3228" s="16">
        <v>42762</v>
      </c>
      <c r="B3228" s="17" t="s">
        <v>3632</v>
      </c>
      <c r="C3228" s="18">
        <v>98825</v>
      </c>
      <c r="D3228" s="2" t="s">
        <v>2240</v>
      </c>
      <c r="E3228" s="15">
        <v>4168.8</v>
      </c>
      <c r="F3228" s="36" t="s">
        <v>2143</v>
      </c>
      <c r="G3228" s="15">
        <v>4168.8</v>
      </c>
      <c r="H3228" s="15">
        <f t="shared" si="51"/>
        <v>0</v>
      </c>
      <c r="I3228" s="19"/>
    </row>
    <row r="3229" spans="1:9" x14ac:dyDescent="0.25">
      <c r="A3229" s="16">
        <v>42762</v>
      </c>
      <c r="B3229" s="17" t="s">
        <v>3633</v>
      </c>
      <c r="C3229" s="18">
        <v>98826</v>
      </c>
      <c r="D3229" s="2" t="s">
        <v>135</v>
      </c>
      <c r="E3229" s="15">
        <v>885.4</v>
      </c>
      <c r="F3229" s="36" t="s">
        <v>2143</v>
      </c>
      <c r="G3229" s="15">
        <v>885.4</v>
      </c>
      <c r="H3229" s="15">
        <f t="shared" si="51"/>
        <v>0</v>
      </c>
      <c r="I3229" s="19"/>
    </row>
    <row r="3230" spans="1:9" x14ac:dyDescent="0.25">
      <c r="A3230" s="16">
        <v>42762</v>
      </c>
      <c r="B3230" s="17" t="s">
        <v>3634</v>
      </c>
      <c r="C3230" s="18">
        <v>98827</v>
      </c>
      <c r="D3230" s="2" t="s">
        <v>806</v>
      </c>
      <c r="E3230" s="15">
        <v>6278.1</v>
      </c>
      <c r="F3230" s="36" t="s">
        <v>2143</v>
      </c>
      <c r="G3230" s="15">
        <v>6278.1</v>
      </c>
      <c r="H3230" s="15">
        <f t="shared" si="51"/>
        <v>0</v>
      </c>
      <c r="I3230" s="19"/>
    </row>
    <row r="3231" spans="1:9" x14ac:dyDescent="0.25">
      <c r="A3231" s="16">
        <v>42762</v>
      </c>
      <c r="B3231" s="17" t="s">
        <v>3635</v>
      </c>
      <c r="C3231" s="18">
        <v>98828</v>
      </c>
      <c r="D3231" s="2" t="s">
        <v>3636</v>
      </c>
      <c r="E3231" s="15">
        <v>31428.9</v>
      </c>
      <c r="F3231" s="36" t="s">
        <v>2143</v>
      </c>
      <c r="G3231" s="15">
        <v>31428.9</v>
      </c>
      <c r="H3231" s="15">
        <f t="shared" si="51"/>
        <v>0</v>
      </c>
      <c r="I3231" s="19"/>
    </row>
    <row r="3232" spans="1:9" x14ac:dyDescent="0.25">
      <c r="A3232" s="16">
        <v>42762</v>
      </c>
      <c r="B3232" s="17" t="s">
        <v>3637</v>
      </c>
      <c r="C3232" s="18">
        <v>98829</v>
      </c>
      <c r="D3232" s="2" t="s">
        <v>352</v>
      </c>
      <c r="E3232" s="15">
        <v>481</v>
      </c>
      <c r="F3232" s="36" t="s">
        <v>2143</v>
      </c>
      <c r="G3232" s="15">
        <v>481</v>
      </c>
      <c r="H3232" s="15">
        <f t="shared" si="51"/>
        <v>0</v>
      </c>
      <c r="I3232" s="19"/>
    </row>
    <row r="3233" spans="1:9" x14ac:dyDescent="0.25">
      <c r="A3233" s="16">
        <v>42762</v>
      </c>
      <c r="B3233" s="17" t="s">
        <v>3638</v>
      </c>
      <c r="C3233" s="18">
        <v>98830</v>
      </c>
      <c r="D3233" s="2" t="s">
        <v>1421</v>
      </c>
      <c r="E3233" s="15">
        <v>39880.800000000003</v>
      </c>
      <c r="F3233" s="36" t="s">
        <v>2009</v>
      </c>
      <c r="G3233" s="15">
        <v>39880.800000000003</v>
      </c>
      <c r="H3233" s="15">
        <f t="shared" si="51"/>
        <v>0</v>
      </c>
      <c r="I3233" s="19"/>
    </row>
    <row r="3234" spans="1:9" x14ac:dyDescent="0.25">
      <c r="A3234" s="16">
        <v>42762</v>
      </c>
      <c r="B3234" s="17" t="s">
        <v>3639</v>
      </c>
      <c r="C3234" s="18">
        <v>98831</v>
      </c>
      <c r="D3234" s="2" t="s">
        <v>19</v>
      </c>
      <c r="E3234" s="15">
        <v>2160</v>
      </c>
      <c r="F3234" s="36" t="s">
        <v>2143</v>
      </c>
      <c r="G3234" s="15">
        <v>2160</v>
      </c>
      <c r="H3234" s="15">
        <f t="shared" si="51"/>
        <v>0</v>
      </c>
      <c r="I3234" s="19"/>
    </row>
    <row r="3235" spans="1:9" x14ac:dyDescent="0.25">
      <c r="A3235" s="16">
        <v>42762</v>
      </c>
      <c r="B3235" s="17" t="s">
        <v>3640</v>
      </c>
      <c r="C3235" s="18">
        <v>98832</v>
      </c>
      <c r="D3235" s="2" t="s">
        <v>165</v>
      </c>
      <c r="E3235" s="15">
        <v>10160</v>
      </c>
      <c r="F3235" s="36" t="s">
        <v>2724</v>
      </c>
      <c r="G3235" s="15">
        <v>10160</v>
      </c>
      <c r="H3235" s="15">
        <f t="shared" si="51"/>
        <v>0</v>
      </c>
      <c r="I3235" s="19"/>
    </row>
    <row r="3236" spans="1:9" x14ac:dyDescent="0.25">
      <c r="A3236" s="16">
        <v>42762</v>
      </c>
      <c r="B3236" s="17" t="s">
        <v>3641</v>
      </c>
      <c r="C3236" s="18">
        <v>98833</v>
      </c>
      <c r="D3236" s="2" t="s">
        <v>1925</v>
      </c>
      <c r="E3236" s="15">
        <v>567</v>
      </c>
      <c r="F3236" s="36" t="s">
        <v>2143</v>
      </c>
      <c r="G3236" s="15">
        <v>567</v>
      </c>
      <c r="H3236" s="15">
        <f t="shared" si="51"/>
        <v>0</v>
      </c>
      <c r="I3236" s="19"/>
    </row>
    <row r="3237" spans="1:9" x14ac:dyDescent="0.25">
      <c r="A3237" s="16">
        <v>42762</v>
      </c>
      <c r="B3237" s="17" t="s">
        <v>3642</v>
      </c>
      <c r="C3237" s="18">
        <v>98834</v>
      </c>
      <c r="D3237" s="2" t="s">
        <v>266</v>
      </c>
      <c r="E3237" s="15">
        <v>13036.1</v>
      </c>
      <c r="F3237" s="36" t="s">
        <v>2009</v>
      </c>
      <c r="G3237" s="15">
        <v>13036.1</v>
      </c>
      <c r="H3237" s="15">
        <f t="shared" si="51"/>
        <v>0</v>
      </c>
      <c r="I3237" s="19"/>
    </row>
    <row r="3238" spans="1:9" x14ac:dyDescent="0.25">
      <c r="A3238" s="16">
        <v>42762</v>
      </c>
      <c r="B3238" s="17" t="s">
        <v>3643</v>
      </c>
      <c r="C3238" s="18">
        <v>98835</v>
      </c>
      <c r="D3238" s="2" t="s">
        <v>492</v>
      </c>
      <c r="E3238" s="15">
        <v>17803.2</v>
      </c>
      <c r="F3238" s="36" t="s">
        <v>1173</v>
      </c>
      <c r="G3238" s="15">
        <v>17803.2</v>
      </c>
      <c r="H3238" s="15">
        <f t="shared" si="51"/>
        <v>0</v>
      </c>
      <c r="I3238" s="19"/>
    </row>
    <row r="3239" spans="1:9" x14ac:dyDescent="0.25">
      <c r="A3239" s="16">
        <v>42762</v>
      </c>
      <c r="B3239" s="17" t="s">
        <v>3644</v>
      </c>
      <c r="C3239" s="18">
        <v>98836</v>
      </c>
      <c r="D3239" s="2" t="s">
        <v>205</v>
      </c>
      <c r="E3239" s="15">
        <v>62566</v>
      </c>
      <c r="F3239" s="36" t="s">
        <v>2143</v>
      </c>
      <c r="G3239" s="15">
        <v>62566</v>
      </c>
      <c r="H3239" s="15">
        <f t="shared" si="51"/>
        <v>0</v>
      </c>
      <c r="I3239" s="19"/>
    </row>
    <row r="3240" spans="1:9" x14ac:dyDescent="0.25">
      <c r="A3240" s="16">
        <v>42762</v>
      </c>
      <c r="B3240" s="17" t="s">
        <v>3645</v>
      </c>
      <c r="C3240" s="18">
        <v>98837</v>
      </c>
      <c r="D3240" s="2" t="s">
        <v>30</v>
      </c>
      <c r="E3240" s="15">
        <v>630</v>
      </c>
      <c r="F3240" s="36" t="s">
        <v>2143</v>
      </c>
      <c r="G3240" s="15">
        <v>630</v>
      </c>
      <c r="H3240" s="15">
        <f t="shared" si="51"/>
        <v>0</v>
      </c>
      <c r="I3240" s="19"/>
    </row>
    <row r="3241" spans="1:9" x14ac:dyDescent="0.25">
      <c r="A3241" s="16">
        <v>42762</v>
      </c>
      <c r="B3241" s="17" t="s">
        <v>3646</v>
      </c>
      <c r="C3241" s="18">
        <v>98838</v>
      </c>
      <c r="D3241" s="2" t="s">
        <v>923</v>
      </c>
      <c r="E3241" s="15">
        <v>3983.4</v>
      </c>
      <c r="F3241" s="36" t="s">
        <v>2143</v>
      </c>
      <c r="G3241" s="15">
        <v>3983.4</v>
      </c>
      <c r="H3241" s="15">
        <f t="shared" si="51"/>
        <v>0</v>
      </c>
      <c r="I3241" s="19"/>
    </row>
    <row r="3242" spans="1:9" x14ac:dyDescent="0.25">
      <c r="A3242" s="16">
        <v>42762</v>
      </c>
      <c r="B3242" s="17" t="s">
        <v>3647</v>
      </c>
      <c r="C3242" s="18">
        <v>98839</v>
      </c>
      <c r="D3242" s="2" t="s">
        <v>773</v>
      </c>
      <c r="E3242" s="15">
        <v>3835.9</v>
      </c>
      <c r="F3242" s="36" t="s">
        <v>2143</v>
      </c>
      <c r="G3242" s="15">
        <v>3835.9</v>
      </c>
      <c r="H3242" s="15">
        <f t="shared" si="51"/>
        <v>0</v>
      </c>
      <c r="I3242" s="19"/>
    </row>
    <row r="3243" spans="1:9" x14ac:dyDescent="0.25">
      <c r="A3243" s="16">
        <v>42762</v>
      </c>
      <c r="B3243" s="17" t="s">
        <v>3648</v>
      </c>
      <c r="C3243" s="18">
        <v>98840</v>
      </c>
      <c r="D3243" s="2" t="s">
        <v>3649</v>
      </c>
      <c r="E3243" s="15">
        <v>758.8</v>
      </c>
      <c r="F3243" s="36" t="s">
        <v>2143</v>
      </c>
      <c r="G3243" s="15">
        <v>758.8</v>
      </c>
      <c r="H3243" s="15">
        <f t="shared" si="51"/>
        <v>0</v>
      </c>
      <c r="I3243" s="19"/>
    </row>
    <row r="3244" spans="1:9" x14ac:dyDescent="0.25">
      <c r="A3244" s="16">
        <v>42762</v>
      </c>
      <c r="B3244" s="17" t="s">
        <v>3650</v>
      </c>
      <c r="C3244" s="18">
        <v>98841</v>
      </c>
      <c r="D3244" s="2" t="s">
        <v>161</v>
      </c>
      <c r="E3244" s="15">
        <v>50741.8</v>
      </c>
      <c r="F3244" s="36" t="s">
        <v>2724</v>
      </c>
      <c r="G3244" s="15">
        <v>50741.8</v>
      </c>
      <c r="H3244" s="15">
        <f t="shared" si="51"/>
        <v>0</v>
      </c>
      <c r="I3244" s="19"/>
    </row>
    <row r="3245" spans="1:9" x14ac:dyDescent="0.25">
      <c r="A3245" s="16">
        <v>42762</v>
      </c>
      <c r="B3245" s="17" t="s">
        <v>3651</v>
      </c>
      <c r="C3245" s="18">
        <v>98842</v>
      </c>
      <c r="D3245" s="2" t="s">
        <v>30</v>
      </c>
      <c r="E3245" s="15">
        <v>388.8</v>
      </c>
      <c r="F3245" s="36" t="s">
        <v>2143</v>
      </c>
      <c r="G3245" s="15">
        <v>388.8</v>
      </c>
      <c r="H3245" s="15">
        <f t="shared" si="51"/>
        <v>0</v>
      </c>
      <c r="I3245" s="19"/>
    </row>
    <row r="3246" spans="1:9" x14ac:dyDescent="0.25">
      <c r="A3246" s="16">
        <v>42762</v>
      </c>
      <c r="B3246" s="17" t="s">
        <v>3652</v>
      </c>
      <c r="C3246" s="18">
        <v>98843</v>
      </c>
      <c r="D3246" s="2" t="s">
        <v>472</v>
      </c>
      <c r="E3246" s="15">
        <v>15738.8</v>
      </c>
      <c r="F3246" s="36" t="s">
        <v>2009</v>
      </c>
      <c r="G3246" s="15">
        <v>15738.8</v>
      </c>
      <c r="H3246" s="15">
        <f t="shared" si="51"/>
        <v>0</v>
      </c>
      <c r="I3246" s="19"/>
    </row>
    <row r="3247" spans="1:9" x14ac:dyDescent="0.25">
      <c r="A3247" s="16">
        <v>42762</v>
      </c>
      <c r="B3247" s="17" t="s">
        <v>3653</v>
      </c>
      <c r="C3247" s="18">
        <v>98844</v>
      </c>
      <c r="D3247" s="2" t="s">
        <v>428</v>
      </c>
      <c r="E3247" s="15">
        <v>574</v>
      </c>
      <c r="F3247" s="36" t="s">
        <v>1173</v>
      </c>
      <c r="G3247" s="15">
        <v>574</v>
      </c>
      <c r="H3247" s="15">
        <f t="shared" si="51"/>
        <v>0</v>
      </c>
      <c r="I3247" s="19"/>
    </row>
    <row r="3248" spans="1:9" x14ac:dyDescent="0.25">
      <c r="A3248" s="16">
        <v>42762</v>
      </c>
      <c r="B3248" s="17" t="s">
        <v>3654</v>
      </c>
      <c r="C3248" s="18">
        <v>98845</v>
      </c>
      <c r="D3248" s="2" t="s">
        <v>163</v>
      </c>
      <c r="E3248" s="15">
        <v>20061.900000000001</v>
      </c>
      <c r="F3248" s="36" t="s">
        <v>765</v>
      </c>
      <c r="G3248" s="15">
        <v>20061.900000000001</v>
      </c>
      <c r="H3248" s="15">
        <f t="shared" si="51"/>
        <v>0</v>
      </c>
      <c r="I3248" s="19"/>
    </row>
    <row r="3249" spans="1:9" x14ac:dyDescent="0.25">
      <c r="A3249" s="16">
        <v>42762</v>
      </c>
      <c r="B3249" s="17" t="s">
        <v>3655</v>
      </c>
      <c r="C3249" s="18">
        <v>98846</v>
      </c>
      <c r="D3249" s="2" t="s">
        <v>172</v>
      </c>
      <c r="E3249" s="15">
        <v>25927.599999999999</v>
      </c>
      <c r="F3249" s="36" t="s">
        <v>765</v>
      </c>
      <c r="G3249" s="15">
        <v>25927.599999999999</v>
      </c>
      <c r="H3249" s="15">
        <f t="shared" si="51"/>
        <v>0</v>
      </c>
      <c r="I3249" s="19"/>
    </row>
    <row r="3250" spans="1:9" x14ac:dyDescent="0.25">
      <c r="A3250" s="16">
        <v>42762</v>
      </c>
      <c r="B3250" s="17" t="s">
        <v>3656</v>
      </c>
      <c r="C3250" s="18">
        <v>98847</v>
      </c>
      <c r="D3250" s="2" t="s">
        <v>3657</v>
      </c>
      <c r="E3250" s="15">
        <v>2343.1999999999998</v>
      </c>
      <c r="F3250" s="36" t="s">
        <v>2143</v>
      </c>
      <c r="G3250" s="15">
        <v>2343.1999999999998</v>
      </c>
      <c r="H3250" s="15">
        <f t="shared" si="51"/>
        <v>0</v>
      </c>
      <c r="I3250" s="19"/>
    </row>
    <row r="3251" spans="1:9" x14ac:dyDescent="0.25">
      <c r="A3251" s="16">
        <v>42762</v>
      </c>
      <c r="B3251" s="17" t="s">
        <v>3658</v>
      </c>
      <c r="C3251" s="18">
        <v>98848</v>
      </c>
      <c r="D3251" s="2" t="s">
        <v>422</v>
      </c>
      <c r="E3251" s="15">
        <v>2547.6</v>
      </c>
      <c r="F3251" s="36" t="s">
        <v>2143</v>
      </c>
      <c r="G3251" s="15">
        <v>2547.6</v>
      </c>
      <c r="H3251" s="15">
        <f t="shared" si="51"/>
        <v>0</v>
      </c>
      <c r="I3251" s="19"/>
    </row>
    <row r="3252" spans="1:9" x14ac:dyDescent="0.25">
      <c r="A3252" s="16">
        <v>42762</v>
      </c>
      <c r="B3252" s="17" t="s">
        <v>3659</v>
      </c>
      <c r="C3252" s="18">
        <v>98849</v>
      </c>
      <c r="D3252" s="2" t="s">
        <v>459</v>
      </c>
      <c r="E3252" s="15">
        <v>4877.7</v>
      </c>
      <c r="F3252" s="36" t="s">
        <v>2143</v>
      </c>
      <c r="G3252" s="15">
        <v>4877.7</v>
      </c>
      <c r="H3252" s="15">
        <f t="shared" si="51"/>
        <v>0</v>
      </c>
      <c r="I3252" s="19"/>
    </row>
    <row r="3253" spans="1:9" x14ac:dyDescent="0.25">
      <c r="A3253" s="16">
        <v>42762</v>
      </c>
      <c r="B3253" s="17" t="s">
        <v>3660</v>
      </c>
      <c r="C3253" s="18">
        <v>98850</v>
      </c>
      <c r="D3253" s="2" t="s">
        <v>923</v>
      </c>
      <c r="E3253" s="15">
        <v>20708.599999999999</v>
      </c>
      <c r="F3253" s="36" t="s">
        <v>2554</v>
      </c>
      <c r="G3253" s="15">
        <v>20708.599999999999</v>
      </c>
      <c r="H3253" s="15">
        <f t="shared" si="51"/>
        <v>0</v>
      </c>
      <c r="I3253" s="19"/>
    </row>
    <row r="3254" spans="1:9" x14ac:dyDescent="0.25">
      <c r="A3254" s="16">
        <v>42762</v>
      </c>
      <c r="B3254" s="17" t="s">
        <v>3661</v>
      </c>
      <c r="C3254" s="18">
        <v>98851</v>
      </c>
      <c r="D3254" s="2" t="s">
        <v>379</v>
      </c>
      <c r="E3254" s="15">
        <v>3507.6</v>
      </c>
      <c r="F3254" s="36" t="s">
        <v>307</v>
      </c>
      <c r="G3254" s="15">
        <v>3507.6</v>
      </c>
      <c r="H3254" s="15">
        <f t="shared" si="51"/>
        <v>0</v>
      </c>
      <c r="I3254" s="19"/>
    </row>
    <row r="3255" spans="1:9" x14ac:dyDescent="0.25">
      <c r="A3255" s="16">
        <v>42762</v>
      </c>
      <c r="B3255" s="17" t="s">
        <v>3662</v>
      </c>
      <c r="C3255" s="18">
        <v>98852</v>
      </c>
      <c r="D3255" s="2" t="s">
        <v>220</v>
      </c>
      <c r="E3255" s="15">
        <v>1674</v>
      </c>
      <c r="F3255" s="36" t="s">
        <v>2143</v>
      </c>
      <c r="G3255" s="15">
        <v>1674</v>
      </c>
      <c r="H3255" s="15">
        <f t="shared" si="51"/>
        <v>0</v>
      </c>
      <c r="I3255" s="19"/>
    </row>
    <row r="3256" spans="1:9" x14ac:dyDescent="0.25">
      <c r="A3256" s="16">
        <v>42762</v>
      </c>
      <c r="B3256" s="17" t="s">
        <v>3663</v>
      </c>
      <c r="C3256" s="18">
        <v>98853</v>
      </c>
      <c r="D3256" s="2" t="s">
        <v>693</v>
      </c>
      <c r="E3256" s="15">
        <v>36216</v>
      </c>
      <c r="F3256" s="36" t="s">
        <v>2744</v>
      </c>
      <c r="G3256" s="15">
        <v>36216</v>
      </c>
      <c r="H3256" s="15">
        <f t="shared" si="51"/>
        <v>0</v>
      </c>
      <c r="I3256" s="19"/>
    </row>
    <row r="3257" spans="1:9" x14ac:dyDescent="0.25">
      <c r="A3257" s="16">
        <v>42762</v>
      </c>
      <c r="B3257" s="17" t="s">
        <v>3664</v>
      </c>
      <c r="C3257" s="18">
        <v>98854</v>
      </c>
      <c r="D3257" s="2" t="s">
        <v>10</v>
      </c>
      <c r="E3257" s="15">
        <v>60608</v>
      </c>
      <c r="F3257" s="36" t="s">
        <v>361</v>
      </c>
      <c r="G3257" s="15">
        <v>60608</v>
      </c>
      <c r="H3257" s="15">
        <f t="shared" si="51"/>
        <v>0</v>
      </c>
      <c r="I3257" s="19"/>
    </row>
    <row r="3258" spans="1:9" x14ac:dyDescent="0.25">
      <c r="A3258" s="16">
        <v>42762</v>
      </c>
      <c r="B3258" s="17" t="s">
        <v>3665</v>
      </c>
      <c r="C3258" s="18">
        <v>98855</v>
      </c>
      <c r="D3258" s="2" t="s">
        <v>428</v>
      </c>
      <c r="E3258" s="15">
        <v>1425.6</v>
      </c>
      <c r="F3258" s="36" t="s">
        <v>1173</v>
      </c>
      <c r="G3258" s="15">
        <v>1425.6</v>
      </c>
      <c r="H3258" s="15">
        <f t="shared" si="51"/>
        <v>0</v>
      </c>
      <c r="I3258" s="19"/>
    </row>
    <row r="3259" spans="1:9" x14ac:dyDescent="0.25">
      <c r="A3259" s="16">
        <v>42762</v>
      </c>
      <c r="B3259" s="17" t="s">
        <v>3666</v>
      </c>
      <c r="C3259" s="18">
        <v>98856</v>
      </c>
      <c r="D3259" s="2" t="s">
        <v>30</v>
      </c>
      <c r="E3259" s="15">
        <v>1215.5</v>
      </c>
      <c r="F3259" s="36" t="s">
        <v>2143</v>
      </c>
      <c r="G3259" s="15">
        <v>1215.5</v>
      </c>
      <c r="H3259" s="15">
        <f t="shared" si="51"/>
        <v>0</v>
      </c>
      <c r="I3259" s="19"/>
    </row>
    <row r="3260" spans="1:9" x14ac:dyDescent="0.25">
      <c r="A3260" s="16">
        <v>42762</v>
      </c>
      <c r="B3260" s="17" t="s">
        <v>3667</v>
      </c>
      <c r="C3260" s="18">
        <v>98857</v>
      </c>
      <c r="D3260" s="2" t="s">
        <v>218</v>
      </c>
      <c r="E3260" s="15">
        <v>33241.1</v>
      </c>
      <c r="F3260" s="36" t="s">
        <v>307</v>
      </c>
      <c r="G3260" s="15">
        <v>33241.1</v>
      </c>
      <c r="H3260" s="15">
        <f t="shared" si="51"/>
        <v>0</v>
      </c>
      <c r="I3260" s="19"/>
    </row>
    <row r="3261" spans="1:9" x14ac:dyDescent="0.25">
      <c r="A3261" s="16">
        <v>42762</v>
      </c>
      <c r="B3261" s="17" t="s">
        <v>3668</v>
      </c>
      <c r="C3261" s="18">
        <v>98858</v>
      </c>
      <c r="D3261" s="2" t="s">
        <v>354</v>
      </c>
      <c r="E3261" s="15">
        <v>2142.4</v>
      </c>
      <c r="F3261" s="36" t="s">
        <v>2143</v>
      </c>
      <c r="G3261" s="15">
        <v>2142.4</v>
      </c>
      <c r="H3261" s="15">
        <f t="shared" si="51"/>
        <v>0</v>
      </c>
      <c r="I3261" s="19"/>
    </row>
    <row r="3262" spans="1:9" x14ac:dyDescent="0.25">
      <c r="A3262" s="16">
        <v>42762</v>
      </c>
      <c r="B3262" s="17" t="s">
        <v>3669</v>
      </c>
      <c r="C3262" s="18">
        <v>98859</v>
      </c>
      <c r="D3262" s="13" t="s">
        <v>10</v>
      </c>
      <c r="E3262" s="14">
        <v>0</v>
      </c>
      <c r="F3262" s="123" t="s">
        <v>95</v>
      </c>
      <c r="G3262" s="14">
        <v>0</v>
      </c>
      <c r="H3262" s="14">
        <f t="shared" si="51"/>
        <v>0</v>
      </c>
      <c r="I3262" s="19"/>
    </row>
    <row r="3263" spans="1:9" x14ac:dyDescent="0.25">
      <c r="A3263" s="16">
        <v>42762</v>
      </c>
      <c r="B3263" s="17" t="s">
        <v>3670</v>
      </c>
      <c r="C3263" s="18">
        <v>98860</v>
      </c>
      <c r="D3263" s="2" t="s">
        <v>354</v>
      </c>
      <c r="E3263" s="15">
        <v>1019</v>
      </c>
      <c r="F3263" s="36" t="s">
        <v>2143</v>
      </c>
      <c r="G3263" s="15">
        <v>1019</v>
      </c>
      <c r="H3263" s="15">
        <f t="shared" si="51"/>
        <v>0</v>
      </c>
      <c r="I3263" s="19"/>
    </row>
    <row r="3264" spans="1:9" x14ac:dyDescent="0.25">
      <c r="A3264" s="16">
        <v>42762</v>
      </c>
      <c r="B3264" s="17" t="s">
        <v>3671</v>
      </c>
      <c r="C3264" s="18">
        <v>98861</v>
      </c>
      <c r="D3264" s="2" t="s">
        <v>10</v>
      </c>
      <c r="E3264" s="15">
        <v>55674.400000000001</v>
      </c>
      <c r="F3264" s="36" t="s">
        <v>361</v>
      </c>
      <c r="G3264" s="15">
        <v>55674.400000000001</v>
      </c>
      <c r="H3264" s="15">
        <f t="shared" si="51"/>
        <v>0</v>
      </c>
      <c r="I3264" s="19"/>
    </row>
    <row r="3265" spans="1:9" x14ac:dyDescent="0.25">
      <c r="A3265" s="16">
        <v>42762</v>
      </c>
      <c r="B3265" s="17" t="s">
        <v>3672</v>
      </c>
      <c r="C3265" s="18">
        <v>98862</v>
      </c>
      <c r="D3265" s="2" t="s">
        <v>1380</v>
      </c>
      <c r="E3265" s="15">
        <v>33231.599999999999</v>
      </c>
      <c r="F3265" s="36" t="s">
        <v>2009</v>
      </c>
      <c r="G3265" s="15">
        <v>33231.599999999999</v>
      </c>
      <c r="H3265" s="15">
        <f t="shared" si="51"/>
        <v>0</v>
      </c>
      <c r="I3265" s="19"/>
    </row>
    <row r="3266" spans="1:9" x14ac:dyDescent="0.25">
      <c r="A3266" s="16">
        <v>42762</v>
      </c>
      <c r="B3266" s="17" t="s">
        <v>3673</v>
      </c>
      <c r="C3266" s="18">
        <v>98863</v>
      </c>
      <c r="D3266" s="2" t="s">
        <v>12</v>
      </c>
      <c r="E3266" s="15">
        <v>2365</v>
      </c>
      <c r="F3266" s="36" t="s">
        <v>2009</v>
      </c>
      <c r="G3266" s="15">
        <v>2365</v>
      </c>
      <c r="H3266" s="15">
        <f t="shared" si="51"/>
        <v>0</v>
      </c>
      <c r="I3266" s="19"/>
    </row>
    <row r="3267" spans="1:9" x14ac:dyDescent="0.25">
      <c r="A3267" s="16">
        <v>42762</v>
      </c>
      <c r="B3267" s="17" t="s">
        <v>3674</v>
      </c>
      <c r="C3267" s="18">
        <v>98864</v>
      </c>
      <c r="D3267" s="2" t="s">
        <v>937</v>
      </c>
      <c r="E3267" s="15">
        <v>3351.6</v>
      </c>
      <c r="F3267" s="36" t="s">
        <v>2009</v>
      </c>
      <c r="G3267" s="15">
        <v>3351.6</v>
      </c>
      <c r="H3267" s="15">
        <f t="shared" si="51"/>
        <v>0</v>
      </c>
      <c r="I3267" s="19"/>
    </row>
    <row r="3268" spans="1:9" x14ac:dyDescent="0.25">
      <c r="A3268" s="16">
        <v>42762</v>
      </c>
      <c r="B3268" s="17" t="s">
        <v>3675</v>
      </c>
      <c r="C3268" s="18">
        <v>98865</v>
      </c>
      <c r="D3268" s="2" t="s">
        <v>800</v>
      </c>
      <c r="E3268" s="15">
        <v>16637</v>
      </c>
      <c r="F3268" s="131" t="s">
        <v>3676</v>
      </c>
      <c r="G3268" s="35">
        <f>9000+7637</f>
        <v>16637</v>
      </c>
      <c r="H3268" s="20">
        <f t="shared" si="51"/>
        <v>0</v>
      </c>
      <c r="I3268" s="19"/>
    </row>
    <row r="3269" spans="1:9" x14ac:dyDescent="0.25">
      <c r="A3269" s="16">
        <v>42762</v>
      </c>
      <c r="B3269" s="17" t="s">
        <v>3677</v>
      </c>
      <c r="C3269" s="18">
        <v>98866</v>
      </c>
      <c r="D3269" s="2" t="s">
        <v>30</v>
      </c>
      <c r="E3269" s="15">
        <v>24538.66</v>
      </c>
      <c r="F3269" s="36" t="s">
        <v>307</v>
      </c>
      <c r="G3269" s="15">
        <v>24538.66</v>
      </c>
      <c r="H3269" s="15">
        <f t="shared" si="51"/>
        <v>0</v>
      </c>
      <c r="I3269" s="19"/>
    </row>
    <row r="3270" spans="1:9" x14ac:dyDescent="0.25">
      <c r="A3270" s="16">
        <v>42762</v>
      </c>
      <c r="B3270" s="17" t="s">
        <v>3678</v>
      </c>
      <c r="C3270" s="18">
        <v>98867</v>
      </c>
      <c r="D3270" s="2" t="s">
        <v>2670</v>
      </c>
      <c r="E3270" s="15">
        <v>23430.99</v>
      </c>
      <c r="F3270" s="36">
        <v>42396</v>
      </c>
      <c r="G3270" s="15">
        <f>E3270</f>
        <v>23430.99</v>
      </c>
      <c r="H3270" s="15">
        <f t="shared" ref="H3270:H3333" si="52">E3270-G3270</f>
        <v>0</v>
      </c>
      <c r="I3270" s="19"/>
    </row>
    <row r="3271" spans="1:9" x14ac:dyDescent="0.25">
      <c r="A3271" s="16">
        <v>42762</v>
      </c>
      <c r="B3271" s="17" t="s">
        <v>3679</v>
      </c>
      <c r="C3271" s="18">
        <v>98868</v>
      </c>
      <c r="D3271" s="2" t="s">
        <v>30</v>
      </c>
      <c r="E3271" s="15">
        <v>1609</v>
      </c>
      <c r="F3271" s="36" t="s">
        <v>2143</v>
      </c>
      <c r="G3271" s="15">
        <v>1609</v>
      </c>
      <c r="H3271" s="15">
        <f t="shared" si="52"/>
        <v>0</v>
      </c>
      <c r="I3271" s="19"/>
    </row>
    <row r="3272" spans="1:9" x14ac:dyDescent="0.25">
      <c r="A3272" s="16">
        <v>42762</v>
      </c>
      <c r="B3272" s="17" t="s">
        <v>3680</v>
      </c>
      <c r="C3272" s="18">
        <v>98869</v>
      </c>
      <c r="D3272" s="2" t="s">
        <v>30</v>
      </c>
      <c r="E3272" s="15">
        <v>211.2</v>
      </c>
      <c r="F3272" s="36" t="s">
        <v>2143</v>
      </c>
      <c r="G3272" s="15">
        <v>211.2</v>
      </c>
      <c r="H3272" s="15">
        <f t="shared" si="52"/>
        <v>0</v>
      </c>
      <c r="I3272" s="19"/>
    </row>
    <row r="3273" spans="1:9" x14ac:dyDescent="0.25">
      <c r="A3273" s="16">
        <v>42762</v>
      </c>
      <c r="B3273" s="17" t="s">
        <v>3681</v>
      </c>
      <c r="C3273" s="18">
        <v>98870</v>
      </c>
      <c r="D3273" s="2" t="s">
        <v>30</v>
      </c>
      <c r="E3273" s="15">
        <v>30</v>
      </c>
      <c r="F3273" s="36" t="s">
        <v>2143</v>
      </c>
      <c r="G3273" s="15">
        <v>30</v>
      </c>
      <c r="H3273" s="15">
        <f t="shared" si="52"/>
        <v>0</v>
      </c>
      <c r="I3273" s="19"/>
    </row>
    <row r="3274" spans="1:9" x14ac:dyDescent="0.25">
      <c r="A3274" s="16">
        <v>42762</v>
      </c>
      <c r="B3274" s="17" t="s">
        <v>3682</v>
      </c>
      <c r="C3274" s="18">
        <v>98871</v>
      </c>
      <c r="D3274" s="2" t="s">
        <v>10</v>
      </c>
      <c r="E3274" s="15">
        <v>2022.8</v>
      </c>
      <c r="F3274" s="36" t="s">
        <v>361</v>
      </c>
      <c r="G3274" s="15">
        <v>2022.8</v>
      </c>
      <c r="H3274" s="15">
        <f t="shared" si="52"/>
        <v>0</v>
      </c>
      <c r="I3274" s="19"/>
    </row>
    <row r="3275" spans="1:9" x14ac:dyDescent="0.25">
      <c r="A3275" s="16">
        <v>42762</v>
      </c>
      <c r="B3275" s="17" t="s">
        <v>3683</v>
      </c>
      <c r="C3275" s="18">
        <v>98872</v>
      </c>
      <c r="D3275" s="2" t="s">
        <v>211</v>
      </c>
      <c r="E3275" s="15">
        <v>8523.7999999999993</v>
      </c>
      <c r="F3275" s="36" t="s">
        <v>2143</v>
      </c>
      <c r="G3275" s="15">
        <v>8523.7999999999993</v>
      </c>
      <c r="H3275" s="15">
        <f t="shared" si="52"/>
        <v>0</v>
      </c>
      <c r="I3275" s="19"/>
    </row>
    <row r="3276" spans="1:9" x14ac:dyDescent="0.25">
      <c r="A3276" s="16">
        <v>42762</v>
      </c>
      <c r="B3276" s="17" t="s">
        <v>3684</v>
      </c>
      <c r="C3276" s="18">
        <v>98873</v>
      </c>
      <c r="D3276" s="2" t="s">
        <v>55</v>
      </c>
      <c r="E3276" s="15">
        <v>8011.7</v>
      </c>
      <c r="F3276" s="36" t="s">
        <v>2143</v>
      </c>
      <c r="G3276" s="15">
        <v>8011.7</v>
      </c>
      <c r="H3276" s="15">
        <f t="shared" si="52"/>
        <v>0</v>
      </c>
      <c r="I3276" s="19"/>
    </row>
    <row r="3277" spans="1:9" x14ac:dyDescent="0.25">
      <c r="A3277" s="16">
        <v>42762</v>
      </c>
      <c r="B3277" s="17" t="s">
        <v>3685</v>
      </c>
      <c r="C3277" s="18">
        <v>98874</v>
      </c>
      <c r="D3277" s="2" t="s">
        <v>921</v>
      </c>
      <c r="E3277" s="15">
        <v>6083.7</v>
      </c>
      <c r="F3277" s="36" t="s">
        <v>2143</v>
      </c>
      <c r="G3277" s="15">
        <v>6083.7</v>
      </c>
      <c r="H3277" s="15">
        <f t="shared" si="52"/>
        <v>0</v>
      </c>
      <c r="I3277" s="19"/>
    </row>
    <row r="3278" spans="1:9" x14ac:dyDescent="0.25">
      <c r="A3278" s="16">
        <v>42762</v>
      </c>
      <c r="B3278" s="17" t="s">
        <v>3686</v>
      </c>
      <c r="C3278" s="18">
        <v>98875</v>
      </c>
      <c r="D3278" s="2" t="s">
        <v>2552</v>
      </c>
      <c r="E3278" s="15">
        <v>25304.16</v>
      </c>
      <c r="F3278" s="36" t="s">
        <v>2143</v>
      </c>
      <c r="G3278" s="15">
        <v>25304.16</v>
      </c>
      <c r="H3278" s="15">
        <f t="shared" si="52"/>
        <v>0</v>
      </c>
      <c r="I3278" s="19"/>
    </row>
    <row r="3279" spans="1:9" x14ac:dyDescent="0.25">
      <c r="A3279" s="16">
        <v>42763</v>
      </c>
      <c r="B3279" s="17" t="s">
        <v>3687</v>
      </c>
      <c r="C3279" s="18">
        <v>98876</v>
      </c>
      <c r="D3279" s="2" t="s">
        <v>231</v>
      </c>
      <c r="E3279" s="15">
        <v>11974</v>
      </c>
      <c r="F3279" s="36" t="s">
        <v>2166</v>
      </c>
      <c r="G3279" s="15">
        <v>11974</v>
      </c>
      <c r="H3279" s="15">
        <f t="shared" si="52"/>
        <v>0</v>
      </c>
      <c r="I3279" s="19"/>
    </row>
    <row r="3280" spans="1:9" x14ac:dyDescent="0.25">
      <c r="A3280" s="16">
        <v>42763</v>
      </c>
      <c r="B3280" s="17" t="s">
        <v>3688</v>
      </c>
      <c r="C3280" s="18">
        <v>98877</v>
      </c>
      <c r="D3280" s="2" t="s">
        <v>312</v>
      </c>
      <c r="E3280" s="15">
        <v>20869.2</v>
      </c>
      <c r="F3280" s="36" t="s">
        <v>3689</v>
      </c>
      <c r="G3280" s="15">
        <v>20869.2</v>
      </c>
      <c r="H3280" s="15">
        <f t="shared" si="52"/>
        <v>0</v>
      </c>
      <c r="I3280" s="19"/>
    </row>
    <row r="3281" spans="1:9" x14ac:dyDescent="0.25">
      <c r="A3281" s="16">
        <v>42763</v>
      </c>
      <c r="B3281" s="17" t="s">
        <v>3690</v>
      </c>
      <c r="C3281" s="18">
        <v>98878</v>
      </c>
      <c r="D3281" s="2" t="s">
        <v>231</v>
      </c>
      <c r="E3281" s="15">
        <v>42623.6</v>
      </c>
      <c r="F3281" s="36" t="s">
        <v>2166</v>
      </c>
      <c r="G3281" s="15">
        <v>42623.6</v>
      </c>
      <c r="H3281" s="15">
        <f t="shared" si="52"/>
        <v>0</v>
      </c>
      <c r="I3281" s="19"/>
    </row>
    <row r="3282" spans="1:9" x14ac:dyDescent="0.25">
      <c r="A3282" s="16">
        <v>42763</v>
      </c>
      <c r="B3282" s="17" t="s">
        <v>3691</v>
      </c>
      <c r="C3282" s="18">
        <v>98879</v>
      </c>
      <c r="D3282" s="2" t="s">
        <v>428</v>
      </c>
      <c r="E3282" s="15">
        <v>1872</v>
      </c>
      <c r="F3282" s="36" t="s">
        <v>1173</v>
      </c>
      <c r="G3282" s="15">
        <v>1872</v>
      </c>
      <c r="H3282" s="15">
        <f t="shared" si="52"/>
        <v>0</v>
      </c>
      <c r="I3282" s="19"/>
    </row>
    <row r="3283" spans="1:9" x14ac:dyDescent="0.25">
      <c r="A3283" s="16">
        <v>42763</v>
      </c>
      <c r="B3283" s="17" t="s">
        <v>3692</v>
      </c>
      <c r="C3283" s="18">
        <v>98880</v>
      </c>
      <c r="D3283" s="2" t="s">
        <v>1786</v>
      </c>
      <c r="E3283" s="15">
        <v>11333.4</v>
      </c>
      <c r="F3283" s="36" t="s">
        <v>2009</v>
      </c>
      <c r="G3283" s="15">
        <v>11333.4</v>
      </c>
      <c r="H3283" s="15">
        <f t="shared" si="52"/>
        <v>0</v>
      </c>
      <c r="I3283" s="19"/>
    </row>
    <row r="3284" spans="1:9" x14ac:dyDescent="0.25">
      <c r="A3284" s="16">
        <v>42763</v>
      </c>
      <c r="B3284" s="17" t="s">
        <v>3693</v>
      </c>
      <c r="C3284" s="18">
        <v>98881</v>
      </c>
      <c r="D3284" s="13" t="s">
        <v>26</v>
      </c>
      <c r="E3284" s="14">
        <v>0</v>
      </c>
      <c r="F3284" s="123" t="s">
        <v>95</v>
      </c>
      <c r="G3284" s="14">
        <v>0</v>
      </c>
      <c r="H3284" s="14">
        <f t="shared" si="52"/>
        <v>0</v>
      </c>
      <c r="I3284" s="19"/>
    </row>
    <row r="3285" spans="1:9" x14ac:dyDescent="0.25">
      <c r="A3285" s="16">
        <v>42763</v>
      </c>
      <c r="B3285" s="17" t="s">
        <v>3694</v>
      </c>
      <c r="C3285" s="18">
        <v>98882</v>
      </c>
      <c r="D3285" s="2" t="s">
        <v>26</v>
      </c>
      <c r="E3285" s="15">
        <v>21428.2</v>
      </c>
      <c r="F3285" s="36" t="s">
        <v>2009</v>
      </c>
      <c r="G3285" s="15">
        <v>21428.2</v>
      </c>
      <c r="H3285" s="15">
        <f t="shared" si="52"/>
        <v>0</v>
      </c>
      <c r="I3285" s="19"/>
    </row>
    <row r="3286" spans="1:9" x14ac:dyDescent="0.25">
      <c r="A3286" s="16">
        <v>42763</v>
      </c>
      <c r="B3286" s="17" t="s">
        <v>3695</v>
      </c>
      <c r="C3286" s="18">
        <v>98883</v>
      </c>
      <c r="D3286" s="2" t="s">
        <v>1335</v>
      </c>
      <c r="E3286" s="15">
        <v>24685.3</v>
      </c>
      <c r="F3286" s="36" t="s">
        <v>2009</v>
      </c>
      <c r="G3286" s="15">
        <v>24685.3</v>
      </c>
      <c r="H3286" s="15">
        <f t="shared" si="52"/>
        <v>0</v>
      </c>
      <c r="I3286" s="19"/>
    </row>
    <row r="3287" spans="1:9" x14ac:dyDescent="0.25">
      <c r="A3287" s="16">
        <v>42763</v>
      </c>
      <c r="B3287" s="17" t="s">
        <v>3696</v>
      </c>
      <c r="C3287" s="18">
        <v>98884</v>
      </c>
      <c r="D3287" s="2" t="s">
        <v>30</v>
      </c>
      <c r="E3287" s="15">
        <v>1132.8</v>
      </c>
      <c r="F3287" s="36" t="s">
        <v>2009</v>
      </c>
      <c r="G3287" s="15">
        <v>1132.8</v>
      </c>
      <c r="H3287" s="15">
        <f t="shared" si="52"/>
        <v>0</v>
      </c>
      <c r="I3287" s="19"/>
    </row>
    <row r="3288" spans="1:9" x14ac:dyDescent="0.25">
      <c r="A3288" s="16">
        <v>42763</v>
      </c>
      <c r="B3288" s="17" t="s">
        <v>3697</v>
      </c>
      <c r="C3288" s="18">
        <v>98885</v>
      </c>
      <c r="D3288" s="2" t="s">
        <v>28</v>
      </c>
      <c r="E3288" s="15">
        <v>5010.2</v>
      </c>
      <c r="F3288" s="36" t="s">
        <v>2009</v>
      </c>
      <c r="G3288" s="15">
        <v>5010.2</v>
      </c>
      <c r="H3288" s="15">
        <f t="shared" si="52"/>
        <v>0</v>
      </c>
      <c r="I3288" s="19"/>
    </row>
    <row r="3289" spans="1:9" x14ac:dyDescent="0.25">
      <c r="A3289" s="16">
        <v>42763</v>
      </c>
      <c r="B3289" s="17" t="s">
        <v>3698</v>
      </c>
      <c r="C3289" s="18">
        <v>98886</v>
      </c>
      <c r="D3289" s="2" t="s">
        <v>71</v>
      </c>
      <c r="E3289" s="15">
        <v>2520</v>
      </c>
      <c r="F3289" s="36" t="s">
        <v>2166</v>
      </c>
      <c r="G3289" s="15">
        <v>2520</v>
      </c>
      <c r="H3289" s="15">
        <f t="shared" si="52"/>
        <v>0</v>
      </c>
      <c r="I3289" s="19"/>
    </row>
    <row r="3290" spans="1:9" x14ac:dyDescent="0.25">
      <c r="A3290" s="16">
        <v>42763</v>
      </c>
      <c r="B3290" s="17" t="s">
        <v>3699</v>
      </c>
      <c r="C3290" s="18">
        <v>98887</v>
      </c>
      <c r="D3290" s="2" t="s">
        <v>32</v>
      </c>
      <c r="E3290" s="15">
        <v>17082.900000000001</v>
      </c>
      <c r="F3290" s="131" t="s">
        <v>1889</v>
      </c>
      <c r="G3290" s="35">
        <v>17082.900000000001</v>
      </c>
      <c r="H3290" s="15">
        <f t="shared" si="52"/>
        <v>0</v>
      </c>
      <c r="I3290" s="19"/>
    </row>
    <row r="3291" spans="1:9" x14ac:dyDescent="0.25">
      <c r="A3291" s="16">
        <v>42763</v>
      </c>
      <c r="B3291" s="17" t="s">
        <v>3700</v>
      </c>
      <c r="C3291" s="18">
        <v>98888</v>
      </c>
      <c r="D3291" s="2" t="s">
        <v>428</v>
      </c>
      <c r="E3291" s="15">
        <v>990</v>
      </c>
      <c r="F3291" s="36" t="s">
        <v>1173</v>
      </c>
      <c r="G3291" s="15">
        <v>990</v>
      </c>
      <c r="H3291" s="15">
        <f t="shared" si="52"/>
        <v>0</v>
      </c>
      <c r="I3291" s="19"/>
    </row>
    <row r="3292" spans="1:9" x14ac:dyDescent="0.25">
      <c r="A3292" s="16">
        <v>42763</v>
      </c>
      <c r="B3292" s="17" t="s">
        <v>3701</v>
      </c>
      <c r="C3292" s="18">
        <v>98889</v>
      </c>
      <c r="D3292" s="2" t="s">
        <v>40</v>
      </c>
      <c r="E3292" s="15">
        <v>7338.6</v>
      </c>
      <c r="F3292" s="36" t="s">
        <v>1173</v>
      </c>
      <c r="G3292" s="15">
        <v>7338.6</v>
      </c>
      <c r="H3292" s="15">
        <f t="shared" si="52"/>
        <v>0</v>
      </c>
      <c r="I3292" s="19"/>
    </row>
    <row r="3293" spans="1:9" x14ac:dyDescent="0.25">
      <c r="A3293" s="16">
        <v>42763</v>
      </c>
      <c r="B3293" s="17" t="s">
        <v>3702</v>
      </c>
      <c r="C3293" s="18">
        <v>98890</v>
      </c>
      <c r="D3293" s="2" t="s">
        <v>157</v>
      </c>
      <c r="E3293" s="15">
        <v>37764.9</v>
      </c>
      <c r="F3293" s="36" t="s">
        <v>2009</v>
      </c>
      <c r="G3293" s="15">
        <v>37764.9</v>
      </c>
      <c r="H3293" s="15">
        <f t="shared" si="52"/>
        <v>0</v>
      </c>
      <c r="I3293" s="19"/>
    </row>
    <row r="3294" spans="1:9" x14ac:dyDescent="0.25">
      <c r="A3294" s="16">
        <v>42763</v>
      </c>
      <c r="B3294" s="17" t="s">
        <v>3703</v>
      </c>
      <c r="C3294" s="18">
        <v>98891</v>
      </c>
      <c r="D3294" s="2" t="s">
        <v>30</v>
      </c>
      <c r="E3294" s="15">
        <v>5081.6000000000004</v>
      </c>
      <c r="F3294" s="36" t="s">
        <v>2009</v>
      </c>
      <c r="G3294" s="15">
        <v>5081.6000000000004</v>
      </c>
      <c r="H3294" s="15">
        <f t="shared" si="52"/>
        <v>0</v>
      </c>
      <c r="I3294" s="19"/>
    </row>
    <row r="3295" spans="1:9" x14ac:dyDescent="0.25">
      <c r="A3295" s="16">
        <v>42763</v>
      </c>
      <c r="B3295" s="17" t="s">
        <v>3704</v>
      </c>
      <c r="C3295" s="18">
        <v>98892</v>
      </c>
      <c r="D3295" s="2" t="s">
        <v>38</v>
      </c>
      <c r="E3295" s="15">
        <v>3434.4</v>
      </c>
      <c r="F3295" s="36" t="s">
        <v>1173</v>
      </c>
      <c r="G3295" s="15">
        <v>3434.4</v>
      </c>
      <c r="H3295" s="15">
        <f t="shared" si="52"/>
        <v>0</v>
      </c>
      <c r="I3295" s="19"/>
    </row>
    <row r="3296" spans="1:9" x14ac:dyDescent="0.25">
      <c r="A3296" s="16">
        <v>42763</v>
      </c>
      <c r="B3296" s="17" t="s">
        <v>3705</v>
      </c>
      <c r="C3296" s="18">
        <v>98893</v>
      </c>
      <c r="D3296" s="2" t="s">
        <v>30</v>
      </c>
      <c r="E3296" s="15">
        <v>4104.1000000000004</v>
      </c>
      <c r="F3296" s="36" t="s">
        <v>2009</v>
      </c>
      <c r="G3296" s="15">
        <v>4104.1000000000004</v>
      </c>
      <c r="H3296" s="15">
        <f t="shared" si="52"/>
        <v>0</v>
      </c>
      <c r="I3296" s="19"/>
    </row>
    <row r="3297" spans="1:9" x14ac:dyDescent="0.25">
      <c r="A3297" s="16">
        <v>42763</v>
      </c>
      <c r="B3297" s="17" t="s">
        <v>3706</v>
      </c>
      <c r="C3297" s="18">
        <v>98894</v>
      </c>
      <c r="D3297" s="2" t="s">
        <v>430</v>
      </c>
      <c r="E3297" s="15">
        <v>1428</v>
      </c>
      <c r="F3297" s="36" t="s">
        <v>2009</v>
      </c>
      <c r="G3297" s="15">
        <v>1428</v>
      </c>
      <c r="H3297" s="15">
        <f t="shared" si="52"/>
        <v>0</v>
      </c>
      <c r="I3297" s="19"/>
    </row>
    <row r="3298" spans="1:9" x14ac:dyDescent="0.25">
      <c r="A3298" s="16">
        <v>42763</v>
      </c>
      <c r="B3298" s="17" t="s">
        <v>3707</v>
      </c>
      <c r="C3298" s="18">
        <v>98895</v>
      </c>
      <c r="D3298" s="2" t="s">
        <v>17</v>
      </c>
      <c r="E3298" s="15">
        <v>5500</v>
      </c>
      <c r="F3298" s="36" t="s">
        <v>2009</v>
      </c>
      <c r="G3298" s="15">
        <v>5500</v>
      </c>
      <c r="H3298" s="15">
        <f t="shared" si="52"/>
        <v>0</v>
      </c>
      <c r="I3298" s="19"/>
    </row>
    <row r="3299" spans="1:9" x14ac:dyDescent="0.25">
      <c r="A3299" s="16">
        <v>42763</v>
      </c>
      <c r="B3299" s="17" t="s">
        <v>3708</v>
      </c>
      <c r="C3299" s="18">
        <v>98896</v>
      </c>
      <c r="D3299" s="2" t="s">
        <v>218</v>
      </c>
      <c r="E3299" s="15">
        <v>97007.4</v>
      </c>
      <c r="F3299" s="36" t="s">
        <v>307</v>
      </c>
      <c r="G3299" s="15">
        <v>97007.4</v>
      </c>
      <c r="H3299" s="15">
        <f t="shared" si="52"/>
        <v>0</v>
      </c>
      <c r="I3299" s="19"/>
    </row>
    <row r="3300" spans="1:9" x14ac:dyDescent="0.25">
      <c r="A3300" s="16">
        <v>42763</v>
      </c>
      <c r="B3300" s="17" t="s">
        <v>3709</v>
      </c>
      <c r="C3300" s="18">
        <v>98897</v>
      </c>
      <c r="D3300" s="2" t="s">
        <v>30</v>
      </c>
      <c r="E3300" s="15">
        <v>4784</v>
      </c>
      <c r="F3300" s="36" t="s">
        <v>2009</v>
      </c>
      <c r="G3300" s="15">
        <v>4784</v>
      </c>
      <c r="H3300" s="15">
        <f t="shared" si="52"/>
        <v>0</v>
      </c>
      <c r="I3300" s="19"/>
    </row>
    <row r="3301" spans="1:9" x14ac:dyDescent="0.25">
      <c r="A3301" s="16">
        <v>42763</v>
      </c>
      <c r="B3301" s="17" t="s">
        <v>3710</v>
      </c>
      <c r="C3301" s="18">
        <v>98898</v>
      </c>
      <c r="D3301" s="2" t="s">
        <v>30</v>
      </c>
      <c r="E3301" s="15">
        <v>1500</v>
      </c>
      <c r="F3301" s="36" t="s">
        <v>2166</v>
      </c>
      <c r="G3301" s="15">
        <v>1500</v>
      </c>
      <c r="H3301" s="15">
        <f t="shared" si="52"/>
        <v>0</v>
      </c>
      <c r="I3301" s="19"/>
    </row>
    <row r="3302" spans="1:9" x14ac:dyDescent="0.25">
      <c r="A3302" s="16">
        <v>42763</v>
      </c>
      <c r="B3302" s="17" t="s">
        <v>3711</v>
      </c>
      <c r="C3302" s="18">
        <v>98899</v>
      </c>
      <c r="D3302" s="2" t="s">
        <v>43</v>
      </c>
      <c r="E3302" s="15">
        <v>12817.4</v>
      </c>
      <c r="F3302" s="36" t="s">
        <v>361</v>
      </c>
      <c r="G3302" s="15">
        <v>12817.4</v>
      </c>
      <c r="H3302" s="15">
        <f t="shared" si="52"/>
        <v>0</v>
      </c>
      <c r="I3302" s="19"/>
    </row>
    <row r="3303" spans="1:9" x14ac:dyDescent="0.25">
      <c r="A3303" s="16">
        <v>42763</v>
      </c>
      <c r="B3303" s="17" t="s">
        <v>3712</v>
      </c>
      <c r="C3303" s="18">
        <v>98900</v>
      </c>
      <c r="D3303" s="2" t="s">
        <v>509</v>
      </c>
      <c r="E3303" s="15">
        <v>1549.8</v>
      </c>
      <c r="F3303" s="36" t="s">
        <v>2009</v>
      </c>
      <c r="G3303" s="15">
        <v>1549.8</v>
      </c>
      <c r="H3303" s="15">
        <f t="shared" si="52"/>
        <v>0</v>
      </c>
      <c r="I3303" s="19"/>
    </row>
    <row r="3304" spans="1:9" x14ac:dyDescent="0.25">
      <c r="A3304" s="16">
        <v>42763</v>
      </c>
      <c r="B3304" s="17" t="s">
        <v>3713</v>
      </c>
      <c r="C3304" s="18">
        <v>98901</v>
      </c>
      <c r="D3304" s="2" t="s">
        <v>51</v>
      </c>
      <c r="E3304" s="15">
        <v>4184</v>
      </c>
      <c r="F3304" s="36" t="s">
        <v>1173</v>
      </c>
      <c r="G3304" s="15">
        <v>4184</v>
      </c>
      <c r="H3304" s="15">
        <f t="shared" si="52"/>
        <v>0</v>
      </c>
      <c r="I3304" s="19"/>
    </row>
    <row r="3305" spans="1:9" x14ac:dyDescent="0.25">
      <c r="A3305" s="16">
        <v>42763</v>
      </c>
      <c r="B3305" s="17" t="s">
        <v>3714</v>
      </c>
      <c r="C3305" s="18">
        <v>98902</v>
      </c>
      <c r="D3305" s="2" t="s">
        <v>49</v>
      </c>
      <c r="E3305" s="15">
        <v>10616</v>
      </c>
      <c r="F3305" s="124" t="s">
        <v>3715</v>
      </c>
      <c r="G3305" s="20">
        <f>5000+5616</f>
        <v>10616</v>
      </c>
      <c r="H3305" s="20">
        <f t="shared" si="52"/>
        <v>0</v>
      </c>
      <c r="I3305" s="19"/>
    </row>
    <row r="3306" spans="1:9" x14ac:dyDescent="0.25">
      <c r="A3306" s="16">
        <v>42763</v>
      </c>
      <c r="B3306" s="17" t="s">
        <v>3716</v>
      </c>
      <c r="C3306" s="18">
        <v>98903</v>
      </c>
      <c r="D3306" s="2" t="s">
        <v>67</v>
      </c>
      <c r="E3306" s="15">
        <v>15060</v>
      </c>
      <c r="F3306" s="36" t="s">
        <v>307</v>
      </c>
      <c r="G3306" s="15">
        <v>15060</v>
      </c>
      <c r="H3306" s="15">
        <f t="shared" si="52"/>
        <v>0</v>
      </c>
      <c r="I3306" s="19"/>
    </row>
    <row r="3307" spans="1:9" x14ac:dyDescent="0.25">
      <c r="A3307" s="16">
        <v>42763</v>
      </c>
      <c r="B3307" s="17" t="s">
        <v>3717</v>
      </c>
      <c r="C3307" s="18">
        <v>98904</v>
      </c>
      <c r="D3307" s="2" t="s">
        <v>67</v>
      </c>
      <c r="E3307" s="15">
        <v>14938</v>
      </c>
      <c r="F3307" s="36" t="s">
        <v>307</v>
      </c>
      <c r="G3307" s="15">
        <v>14938</v>
      </c>
      <c r="H3307" s="15">
        <f t="shared" si="52"/>
        <v>0</v>
      </c>
      <c r="I3307" s="19"/>
    </row>
    <row r="3308" spans="1:9" x14ac:dyDescent="0.25">
      <c r="A3308" s="16">
        <v>42763</v>
      </c>
      <c r="B3308" s="17" t="s">
        <v>3718</v>
      </c>
      <c r="C3308" s="18">
        <v>98905</v>
      </c>
      <c r="D3308" s="2" t="s">
        <v>69</v>
      </c>
      <c r="E3308" s="15">
        <v>6055.3</v>
      </c>
      <c r="F3308" s="36" t="s">
        <v>2166</v>
      </c>
      <c r="G3308" s="15">
        <v>6055.3</v>
      </c>
      <c r="H3308" s="15">
        <f t="shared" si="52"/>
        <v>0</v>
      </c>
      <c r="I3308" s="19"/>
    </row>
    <row r="3309" spans="1:9" x14ac:dyDescent="0.25">
      <c r="A3309" s="16">
        <v>42763</v>
      </c>
      <c r="B3309" s="17" t="s">
        <v>3719</v>
      </c>
      <c r="C3309" s="18">
        <v>98906</v>
      </c>
      <c r="D3309" s="2" t="s">
        <v>576</v>
      </c>
      <c r="E3309" s="15">
        <v>195</v>
      </c>
      <c r="F3309" s="36" t="s">
        <v>361</v>
      </c>
      <c r="G3309" s="15">
        <v>195</v>
      </c>
      <c r="H3309" s="15">
        <f t="shared" si="52"/>
        <v>0</v>
      </c>
      <c r="I3309" s="19"/>
    </row>
    <row r="3310" spans="1:9" x14ac:dyDescent="0.25">
      <c r="A3310" s="16">
        <v>42763</v>
      </c>
      <c r="B3310" s="17" t="s">
        <v>3720</v>
      </c>
      <c r="C3310" s="18">
        <v>98907</v>
      </c>
      <c r="D3310" s="2" t="s">
        <v>250</v>
      </c>
      <c r="E3310" s="15">
        <v>16251.6</v>
      </c>
      <c r="F3310" s="124" t="s">
        <v>3395</v>
      </c>
      <c r="G3310" s="20">
        <f>15500+751.6</f>
        <v>16251.6</v>
      </c>
      <c r="H3310" s="20">
        <f t="shared" si="52"/>
        <v>0</v>
      </c>
      <c r="I3310" s="19"/>
    </row>
    <row r="3311" spans="1:9" x14ac:dyDescent="0.25">
      <c r="A3311" s="16">
        <v>42763</v>
      </c>
      <c r="B3311" s="17" t="s">
        <v>3721</v>
      </c>
      <c r="C3311" s="18">
        <v>98908</v>
      </c>
      <c r="D3311" s="13" t="s">
        <v>35</v>
      </c>
      <c r="E3311" s="14">
        <v>0</v>
      </c>
      <c r="F3311" s="123" t="s">
        <v>95</v>
      </c>
      <c r="G3311" s="14">
        <v>0</v>
      </c>
      <c r="H3311" s="14">
        <f t="shared" si="52"/>
        <v>0</v>
      </c>
      <c r="I3311" s="19"/>
    </row>
    <row r="3312" spans="1:9" x14ac:dyDescent="0.25">
      <c r="A3312" s="16">
        <v>42763</v>
      </c>
      <c r="B3312" s="17" t="s">
        <v>3722</v>
      </c>
      <c r="C3312" s="18">
        <v>98909</v>
      </c>
      <c r="D3312" s="2" t="s">
        <v>35</v>
      </c>
      <c r="E3312" s="15">
        <v>27114.3</v>
      </c>
      <c r="F3312" s="36" t="s">
        <v>1173</v>
      </c>
      <c r="G3312" s="15">
        <v>27114.3</v>
      </c>
      <c r="H3312" s="15">
        <f t="shared" si="52"/>
        <v>0</v>
      </c>
      <c r="I3312" s="19"/>
    </row>
    <row r="3313" spans="1:9" x14ac:dyDescent="0.25">
      <c r="A3313" s="16">
        <v>42763</v>
      </c>
      <c r="B3313" s="17" t="s">
        <v>3723</v>
      </c>
      <c r="C3313" s="18">
        <v>98910</v>
      </c>
      <c r="D3313" s="2" t="s">
        <v>40</v>
      </c>
      <c r="E3313" s="15">
        <v>165</v>
      </c>
      <c r="F3313" s="36" t="s">
        <v>361</v>
      </c>
      <c r="G3313" s="15">
        <v>165</v>
      </c>
      <c r="H3313" s="15">
        <f t="shared" si="52"/>
        <v>0</v>
      </c>
      <c r="I3313" s="19"/>
    </row>
    <row r="3314" spans="1:9" x14ac:dyDescent="0.25">
      <c r="A3314" s="16">
        <v>42763</v>
      </c>
      <c r="B3314" s="17" t="s">
        <v>3724</v>
      </c>
      <c r="C3314" s="18">
        <v>98911</v>
      </c>
      <c r="D3314" s="2" t="s">
        <v>201</v>
      </c>
      <c r="E3314" s="15">
        <v>23344.2</v>
      </c>
      <c r="F3314" s="36" t="s">
        <v>765</v>
      </c>
      <c r="G3314" s="15">
        <v>23344.2</v>
      </c>
      <c r="H3314" s="15">
        <f t="shared" si="52"/>
        <v>0</v>
      </c>
      <c r="I3314" s="19"/>
    </row>
    <row r="3315" spans="1:9" x14ac:dyDescent="0.25">
      <c r="A3315" s="16">
        <v>42763</v>
      </c>
      <c r="B3315" s="17" t="s">
        <v>3725</v>
      </c>
      <c r="C3315" s="18">
        <v>98912</v>
      </c>
      <c r="D3315" s="2" t="s">
        <v>721</v>
      </c>
      <c r="E3315" s="15">
        <v>4563.8</v>
      </c>
      <c r="F3315" s="36" t="s">
        <v>2009</v>
      </c>
      <c r="G3315" s="15">
        <v>4563.8</v>
      </c>
      <c r="H3315" s="15">
        <f t="shared" si="52"/>
        <v>0</v>
      </c>
      <c r="I3315" s="19"/>
    </row>
    <row r="3316" spans="1:9" x14ac:dyDescent="0.25">
      <c r="A3316" s="16">
        <v>42763</v>
      </c>
      <c r="B3316" s="17" t="s">
        <v>3726</v>
      </c>
      <c r="C3316" s="18">
        <v>98913</v>
      </c>
      <c r="D3316" s="2" t="s">
        <v>79</v>
      </c>
      <c r="E3316" s="15">
        <v>780</v>
      </c>
      <c r="F3316" s="36" t="s">
        <v>2009</v>
      </c>
      <c r="G3316" s="15">
        <v>780</v>
      </c>
      <c r="H3316" s="15">
        <f t="shared" si="52"/>
        <v>0</v>
      </c>
      <c r="I3316" s="19"/>
    </row>
    <row r="3317" spans="1:9" x14ac:dyDescent="0.25">
      <c r="A3317" s="16">
        <v>42763</v>
      </c>
      <c r="B3317" s="17" t="s">
        <v>3727</v>
      </c>
      <c r="C3317" s="18">
        <v>98914</v>
      </c>
      <c r="D3317" s="2" t="s">
        <v>272</v>
      </c>
      <c r="E3317" s="15">
        <v>3212.52</v>
      </c>
      <c r="F3317" s="36" t="s">
        <v>1889</v>
      </c>
      <c r="G3317" s="15">
        <v>3212.52</v>
      </c>
      <c r="H3317" s="15">
        <f t="shared" si="52"/>
        <v>0</v>
      </c>
      <c r="I3317" s="19"/>
    </row>
    <row r="3318" spans="1:9" x14ac:dyDescent="0.25">
      <c r="A3318" s="16">
        <v>42763</v>
      </c>
      <c r="B3318" s="17" t="s">
        <v>3728</v>
      </c>
      <c r="C3318" s="18">
        <v>98915</v>
      </c>
      <c r="D3318" s="2" t="s">
        <v>1090</v>
      </c>
      <c r="E3318" s="15">
        <v>7518.52</v>
      </c>
      <c r="F3318" s="36" t="s">
        <v>2009</v>
      </c>
      <c r="G3318" s="15">
        <v>7518.52</v>
      </c>
      <c r="H3318" s="15">
        <f t="shared" si="52"/>
        <v>0</v>
      </c>
      <c r="I3318" s="19"/>
    </row>
    <row r="3319" spans="1:9" x14ac:dyDescent="0.25">
      <c r="A3319" s="16">
        <v>42763</v>
      </c>
      <c r="B3319" s="17" t="s">
        <v>3729</v>
      </c>
      <c r="C3319" s="18">
        <v>98916</v>
      </c>
      <c r="D3319" s="2" t="s">
        <v>291</v>
      </c>
      <c r="E3319" s="15">
        <v>4741.8</v>
      </c>
      <c r="F3319" s="36" t="s">
        <v>2009</v>
      </c>
      <c r="G3319" s="15">
        <v>4741.8</v>
      </c>
      <c r="H3319" s="15">
        <f t="shared" si="52"/>
        <v>0</v>
      </c>
      <c r="I3319" s="19"/>
    </row>
    <row r="3320" spans="1:9" x14ac:dyDescent="0.25">
      <c r="A3320" s="16">
        <v>42763</v>
      </c>
      <c r="B3320" s="17" t="s">
        <v>3730</v>
      </c>
      <c r="C3320" s="18">
        <v>98917</v>
      </c>
      <c r="D3320" s="2" t="s">
        <v>3425</v>
      </c>
      <c r="E3320" s="15">
        <v>851.6</v>
      </c>
      <c r="F3320" s="36" t="s">
        <v>2009</v>
      </c>
      <c r="G3320" s="15">
        <v>851.6</v>
      </c>
      <c r="H3320" s="15">
        <f t="shared" si="52"/>
        <v>0</v>
      </c>
      <c r="I3320" s="19"/>
    </row>
    <row r="3321" spans="1:9" x14ac:dyDescent="0.25">
      <c r="A3321" s="16">
        <v>42763</v>
      </c>
      <c r="B3321" s="17" t="s">
        <v>3731</v>
      </c>
      <c r="C3321" s="18">
        <v>98918</v>
      </c>
      <c r="D3321" s="2" t="s">
        <v>83</v>
      </c>
      <c r="E3321" s="15">
        <v>494</v>
      </c>
      <c r="F3321" s="36" t="s">
        <v>2009</v>
      </c>
      <c r="G3321" s="15">
        <v>494</v>
      </c>
      <c r="H3321" s="15">
        <f t="shared" si="52"/>
        <v>0</v>
      </c>
      <c r="I3321" s="19"/>
    </row>
    <row r="3322" spans="1:9" x14ac:dyDescent="0.25">
      <c r="A3322" s="16">
        <v>42763</v>
      </c>
      <c r="B3322" s="17" t="s">
        <v>3732</v>
      </c>
      <c r="C3322" s="18">
        <v>98919</v>
      </c>
      <c r="D3322" s="2" t="s">
        <v>109</v>
      </c>
      <c r="E3322" s="15">
        <v>3964.4</v>
      </c>
      <c r="F3322" s="36" t="s">
        <v>2009</v>
      </c>
      <c r="G3322" s="15">
        <v>3964.4</v>
      </c>
      <c r="H3322" s="15">
        <f t="shared" si="52"/>
        <v>0</v>
      </c>
      <c r="I3322" s="19"/>
    </row>
    <row r="3323" spans="1:9" x14ac:dyDescent="0.25">
      <c r="A3323" s="16">
        <v>42763</v>
      </c>
      <c r="B3323" s="17" t="s">
        <v>3733</v>
      </c>
      <c r="C3323" s="18">
        <v>98920</v>
      </c>
      <c r="D3323" s="2" t="s">
        <v>435</v>
      </c>
      <c r="E3323" s="15">
        <v>8010.9</v>
      </c>
      <c r="F3323" s="36" t="s">
        <v>765</v>
      </c>
      <c r="G3323" s="15">
        <v>8010.9</v>
      </c>
      <c r="H3323" s="15">
        <f t="shared" si="52"/>
        <v>0</v>
      </c>
      <c r="I3323" s="19"/>
    </row>
    <row r="3324" spans="1:9" x14ac:dyDescent="0.25">
      <c r="A3324" s="16">
        <v>42763</v>
      </c>
      <c r="B3324" s="17" t="s">
        <v>3734</v>
      </c>
      <c r="C3324" s="18">
        <v>98921</v>
      </c>
      <c r="D3324" s="2" t="s">
        <v>457</v>
      </c>
      <c r="E3324" s="15">
        <v>2316.1</v>
      </c>
      <c r="F3324" s="36" t="s">
        <v>2009</v>
      </c>
      <c r="G3324" s="15">
        <v>2316.1</v>
      </c>
      <c r="H3324" s="15">
        <f t="shared" si="52"/>
        <v>0</v>
      </c>
      <c r="I3324" s="19"/>
    </row>
    <row r="3325" spans="1:9" x14ac:dyDescent="0.25">
      <c r="A3325" s="16">
        <v>42763</v>
      </c>
      <c r="B3325" s="17" t="s">
        <v>3735</v>
      </c>
      <c r="C3325" s="18">
        <v>98922</v>
      </c>
      <c r="D3325" s="2" t="s">
        <v>30</v>
      </c>
      <c r="E3325" s="15">
        <v>985.6</v>
      </c>
      <c r="F3325" s="36" t="s">
        <v>2009</v>
      </c>
      <c r="G3325" s="15">
        <v>985.6</v>
      </c>
      <c r="H3325" s="15">
        <f t="shared" si="52"/>
        <v>0</v>
      </c>
      <c r="I3325" s="19"/>
    </row>
    <row r="3326" spans="1:9" x14ac:dyDescent="0.25">
      <c r="A3326" s="16">
        <v>42763</v>
      </c>
      <c r="B3326" s="17" t="s">
        <v>3736</v>
      </c>
      <c r="C3326" s="18">
        <v>98923</v>
      </c>
      <c r="D3326" s="13" t="s">
        <v>712</v>
      </c>
      <c r="E3326" s="14">
        <v>0</v>
      </c>
      <c r="F3326" s="123" t="s">
        <v>95</v>
      </c>
      <c r="G3326" s="14">
        <v>0</v>
      </c>
      <c r="H3326" s="14">
        <f t="shared" si="52"/>
        <v>0</v>
      </c>
      <c r="I3326" s="19"/>
    </row>
    <row r="3327" spans="1:9" x14ac:dyDescent="0.25">
      <c r="A3327" s="16">
        <v>42763</v>
      </c>
      <c r="B3327" s="17" t="s">
        <v>3737</v>
      </c>
      <c r="C3327" s="18">
        <v>98924</v>
      </c>
      <c r="D3327" s="2" t="s">
        <v>432</v>
      </c>
      <c r="E3327" s="15">
        <v>13080</v>
      </c>
      <c r="F3327" s="36" t="s">
        <v>307</v>
      </c>
      <c r="G3327" s="15">
        <v>13080</v>
      </c>
      <c r="H3327" s="15">
        <f t="shared" si="52"/>
        <v>0</v>
      </c>
      <c r="I3327" s="19"/>
    </row>
    <row r="3328" spans="1:9" x14ac:dyDescent="0.25">
      <c r="A3328" s="16">
        <v>42763</v>
      </c>
      <c r="B3328" s="17" t="s">
        <v>3738</v>
      </c>
      <c r="C3328" s="18">
        <v>98925</v>
      </c>
      <c r="D3328" s="2" t="s">
        <v>30</v>
      </c>
      <c r="E3328" s="15">
        <v>1710</v>
      </c>
      <c r="F3328" s="36" t="s">
        <v>2009</v>
      </c>
      <c r="G3328" s="15">
        <v>1710</v>
      </c>
      <c r="H3328" s="15">
        <f t="shared" si="52"/>
        <v>0</v>
      </c>
      <c r="I3328" s="19"/>
    </row>
    <row r="3329" spans="1:9" x14ac:dyDescent="0.25">
      <c r="A3329" s="16">
        <v>42763</v>
      </c>
      <c r="B3329" s="17" t="s">
        <v>3739</v>
      </c>
      <c r="C3329" s="18">
        <v>98926</v>
      </c>
      <c r="D3329" s="2" t="s">
        <v>236</v>
      </c>
      <c r="E3329" s="15">
        <v>48015</v>
      </c>
      <c r="F3329" s="36" t="s">
        <v>3164</v>
      </c>
      <c r="G3329" s="15">
        <v>48015</v>
      </c>
      <c r="H3329" s="15">
        <f t="shared" si="52"/>
        <v>0</v>
      </c>
      <c r="I3329" s="19"/>
    </row>
    <row r="3330" spans="1:9" x14ac:dyDescent="0.25">
      <c r="A3330" s="16">
        <v>42763</v>
      </c>
      <c r="B3330" s="17" t="s">
        <v>3740</v>
      </c>
      <c r="C3330" s="18">
        <v>98927</v>
      </c>
      <c r="D3330" s="2" t="s">
        <v>1116</v>
      </c>
      <c r="E3330" s="15">
        <v>7166.7</v>
      </c>
      <c r="F3330" s="36" t="s">
        <v>2166</v>
      </c>
      <c r="G3330" s="15">
        <v>7166.7</v>
      </c>
      <c r="H3330" s="15">
        <f t="shared" si="52"/>
        <v>0</v>
      </c>
      <c r="I3330" s="19"/>
    </row>
    <row r="3331" spans="1:9" x14ac:dyDescent="0.25">
      <c r="A3331" s="16">
        <v>42763</v>
      </c>
      <c r="B3331" s="17" t="s">
        <v>3741</v>
      </c>
      <c r="C3331" s="18">
        <v>98928</v>
      </c>
      <c r="D3331" s="2" t="s">
        <v>2519</v>
      </c>
      <c r="E3331" s="15">
        <v>2262</v>
      </c>
      <c r="F3331" s="36" t="s">
        <v>2009</v>
      </c>
      <c r="G3331" s="15">
        <v>2262</v>
      </c>
      <c r="H3331" s="15">
        <f t="shared" si="52"/>
        <v>0</v>
      </c>
      <c r="I3331" s="19"/>
    </row>
    <row r="3332" spans="1:9" x14ac:dyDescent="0.25">
      <c r="A3332" s="16">
        <v>42763</v>
      </c>
      <c r="B3332" s="17" t="s">
        <v>3742</v>
      </c>
      <c r="C3332" s="18">
        <v>98929</v>
      </c>
      <c r="D3332" s="2" t="s">
        <v>1081</v>
      </c>
      <c r="E3332" s="15">
        <v>3000.04</v>
      </c>
      <c r="F3332" s="36" t="s">
        <v>2009</v>
      </c>
      <c r="G3332" s="15">
        <v>3000.04</v>
      </c>
      <c r="H3332" s="15">
        <f t="shared" si="52"/>
        <v>0</v>
      </c>
      <c r="I3332" s="19"/>
    </row>
    <row r="3333" spans="1:9" x14ac:dyDescent="0.25">
      <c r="A3333" s="16">
        <v>42763</v>
      </c>
      <c r="B3333" s="17" t="s">
        <v>3743</v>
      </c>
      <c r="C3333" s="18">
        <v>98930</v>
      </c>
      <c r="D3333" s="2" t="s">
        <v>268</v>
      </c>
      <c r="E3333" s="15">
        <v>26115.7</v>
      </c>
      <c r="F3333" s="36" t="s">
        <v>1889</v>
      </c>
      <c r="G3333" s="15">
        <v>26115.7</v>
      </c>
      <c r="H3333" s="15">
        <f t="shared" si="52"/>
        <v>0</v>
      </c>
      <c r="I3333" s="19"/>
    </row>
    <row r="3334" spans="1:9" x14ac:dyDescent="0.25">
      <c r="A3334" s="16">
        <v>42763</v>
      </c>
      <c r="B3334" s="17" t="s">
        <v>3744</v>
      </c>
      <c r="C3334" s="18">
        <v>98931</v>
      </c>
      <c r="D3334" s="2" t="s">
        <v>448</v>
      </c>
      <c r="E3334" s="15">
        <v>548.6</v>
      </c>
      <c r="F3334" s="36" t="s">
        <v>2009</v>
      </c>
      <c r="G3334" s="15">
        <v>548.6</v>
      </c>
      <c r="H3334" s="15">
        <f t="shared" ref="H3334:H3397" si="53">E3334-G3334</f>
        <v>0</v>
      </c>
      <c r="I3334" s="19"/>
    </row>
    <row r="3335" spans="1:9" x14ac:dyDescent="0.25">
      <c r="A3335" s="16">
        <v>42763</v>
      </c>
      <c r="B3335" s="17" t="s">
        <v>3745</v>
      </c>
      <c r="C3335" s="18">
        <v>98932</v>
      </c>
      <c r="D3335" s="2" t="s">
        <v>30</v>
      </c>
      <c r="E3335" s="15">
        <v>810</v>
      </c>
      <c r="F3335" s="36" t="s">
        <v>2009</v>
      </c>
      <c r="G3335" s="15">
        <v>810</v>
      </c>
      <c r="H3335" s="15">
        <f t="shared" si="53"/>
        <v>0</v>
      </c>
      <c r="I3335" s="19"/>
    </row>
    <row r="3336" spans="1:9" x14ac:dyDescent="0.25">
      <c r="A3336" s="16">
        <v>42763</v>
      </c>
      <c r="B3336" s="17" t="s">
        <v>3746</v>
      </c>
      <c r="C3336" s="18">
        <v>98933</v>
      </c>
      <c r="D3336" s="2" t="s">
        <v>92</v>
      </c>
      <c r="E3336" s="15">
        <v>3572.4</v>
      </c>
      <c r="F3336" s="36" t="s">
        <v>2009</v>
      </c>
      <c r="G3336" s="15">
        <v>3572.4</v>
      </c>
      <c r="H3336" s="15">
        <f t="shared" si="53"/>
        <v>0</v>
      </c>
      <c r="I3336" s="19"/>
    </row>
    <row r="3337" spans="1:9" x14ac:dyDescent="0.25">
      <c r="A3337" s="16">
        <v>42763</v>
      </c>
      <c r="B3337" s="17" t="s">
        <v>3747</v>
      </c>
      <c r="C3337" s="18">
        <v>98934</v>
      </c>
      <c r="D3337" s="2" t="s">
        <v>1259</v>
      </c>
      <c r="E3337" s="15">
        <v>2552.9</v>
      </c>
      <c r="F3337" s="36" t="s">
        <v>2009</v>
      </c>
      <c r="G3337" s="15">
        <v>2552.9</v>
      </c>
      <c r="H3337" s="15">
        <f t="shared" si="53"/>
        <v>0</v>
      </c>
      <c r="I3337" s="19"/>
    </row>
    <row r="3338" spans="1:9" x14ac:dyDescent="0.25">
      <c r="A3338" s="16">
        <v>42763</v>
      </c>
      <c r="B3338" s="17" t="s">
        <v>3748</v>
      </c>
      <c r="C3338" s="18">
        <v>98935</v>
      </c>
      <c r="D3338" s="2" t="s">
        <v>99</v>
      </c>
      <c r="E3338" s="15">
        <v>5000</v>
      </c>
      <c r="F3338" s="36" t="s">
        <v>2009</v>
      </c>
      <c r="G3338" s="15">
        <v>5000</v>
      </c>
      <c r="H3338" s="15">
        <f t="shared" si="53"/>
        <v>0</v>
      </c>
      <c r="I3338" s="19"/>
    </row>
    <row r="3339" spans="1:9" x14ac:dyDescent="0.25">
      <c r="A3339" s="16">
        <v>42763</v>
      </c>
      <c r="B3339" s="17" t="s">
        <v>3749</v>
      </c>
      <c r="C3339" s="18">
        <v>98936</v>
      </c>
      <c r="D3339" s="2" t="s">
        <v>712</v>
      </c>
      <c r="E3339" s="15">
        <v>10136.200000000001</v>
      </c>
      <c r="F3339" s="36" t="s">
        <v>2009</v>
      </c>
      <c r="G3339" s="15">
        <v>10136.200000000001</v>
      </c>
      <c r="H3339" s="15">
        <f t="shared" si="53"/>
        <v>0</v>
      </c>
      <c r="I3339" s="19"/>
    </row>
    <row r="3340" spans="1:9" x14ac:dyDescent="0.25">
      <c r="A3340" s="16">
        <v>42763</v>
      </c>
      <c r="B3340" s="17" t="s">
        <v>3750</v>
      </c>
      <c r="C3340" s="18">
        <v>98937</v>
      </c>
      <c r="D3340" s="2" t="s">
        <v>281</v>
      </c>
      <c r="E3340" s="15">
        <v>2360</v>
      </c>
      <c r="F3340" s="36" t="s">
        <v>2009</v>
      </c>
      <c r="G3340" s="15">
        <v>2360</v>
      </c>
      <c r="H3340" s="15">
        <f t="shared" si="53"/>
        <v>0</v>
      </c>
      <c r="I3340" s="19"/>
    </row>
    <row r="3341" spans="1:9" x14ac:dyDescent="0.25">
      <c r="A3341" s="16">
        <v>42763</v>
      </c>
      <c r="B3341" s="17" t="s">
        <v>3751</v>
      </c>
      <c r="C3341" s="18">
        <v>98938</v>
      </c>
      <c r="D3341" s="2" t="s">
        <v>876</v>
      </c>
      <c r="E3341" s="15">
        <v>265.2</v>
      </c>
      <c r="F3341" s="36" t="s">
        <v>765</v>
      </c>
      <c r="G3341" s="15">
        <v>265.2</v>
      </c>
      <c r="H3341" s="15">
        <f t="shared" si="53"/>
        <v>0</v>
      </c>
      <c r="I3341" s="19"/>
    </row>
    <row r="3342" spans="1:9" x14ac:dyDescent="0.25">
      <c r="A3342" s="16">
        <v>42763</v>
      </c>
      <c r="B3342" s="17" t="s">
        <v>3752</v>
      </c>
      <c r="C3342" s="18">
        <v>98939</v>
      </c>
      <c r="D3342" s="2" t="s">
        <v>30</v>
      </c>
      <c r="E3342" s="15">
        <v>1380</v>
      </c>
      <c r="F3342" s="36" t="s">
        <v>2009</v>
      </c>
      <c r="G3342" s="15">
        <v>1380</v>
      </c>
      <c r="H3342" s="15">
        <f t="shared" si="53"/>
        <v>0</v>
      </c>
      <c r="I3342" s="19"/>
    </row>
    <row r="3343" spans="1:9" x14ac:dyDescent="0.25">
      <c r="A3343" s="16">
        <v>42763</v>
      </c>
      <c r="B3343" s="17" t="s">
        <v>3753</v>
      </c>
      <c r="C3343" s="18">
        <v>98940</v>
      </c>
      <c r="D3343" s="2" t="s">
        <v>168</v>
      </c>
      <c r="E3343" s="15">
        <v>570</v>
      </c>
      <c r="F3343" s="36" t="s">
        <v>2009</v>
      </c>
      <c r="G3343" s="15">
        <v>570</v>
      </c>
      <c r="H3343" s="15">
        <f t="shared" si="53"/>
        <v>0</v>
      </c>
      <c r="I3343" s="19"/>
    </row>
    <row r="3344" spans="1:9" x14ac:dyDescent="0.25">
      <c r="A3344" s="16">
        <v>42763</v>
      </c>
      <c r="B3344" s="17" t="s">
        <v>3754</v>
      </c>
      <c r="C3344" s="18">
        <v>98941</v>
      </c>
      <c r="D3344" s="2" t="s">
        <v>133</v>
      </c>
      <c r="E3344" s="15">
        <v>1308.0999999999999</v>
      </c>
      <c r="F3344" s="36" t="s">
        <v>2009</v>
      </c>
      <c r="G3344" s="15">
        <v>1308.0999999999999</v>
      </c>
      <c r="H3344" s="15">
        <f t="shared" si="53"/>
        <v>0</v>
      </c>
      <c r="I3344" s="19"/>
    </row>
    <row r="3345" spans="1:9" x14ac:dyDescent="0.25">
      <c r="A3345" s="16">
        <v>42763</v>
      </c>
      <c r="B3345" s="17" t="s">
        <v>3755</v>
      </c>
      <c r="C3345" s="18">
        <v>98942</v>
      </c>
      <c r="D3345" s="2" t="s">
        <v>445</v>
      </c>
      <c r="E3345" s="15">
        <v>1623.6</v>
      </c>
      <c r="F3345" s="36" t="s">
        <v>2009</v>
      </c>
      <c r="G3345" s="15">
        <v>1623.6</v>
      </c>
      <c r="H3345" s="15">
        <f t="shared" si="53"/>
        <v>0</v>
      </c>
      <c r="I3345" s="19"/>
    </row>
    <row r="3346" spans="1:9" x14ac:dyDescent="0.25">
      <c r="A3346" s="16">
        <v>42763</v>
      </c>
      <c r="B3346" s="17" t="s">
        <v>3756</v>
      </c>
      <c r="C3346" s="18">
        <v>98943</v>
      </c>
      <c r="D3346" s="2" t="s">
        <v>111</v>
      </c>
      <c r="E3346" s="15">
        <v>4100</v>
      </c>
      <c r="F3346" s="36" t="s">
        <v>2009</v>
      </c>
      <c r="G3346" s="15">
        <v>4100</v>
      </c>
      <c r="H3346" s="15">
        <f t="shared" si="53"/>
        <v>0</v>
      </c>
      <c r="I3346" s="19"/>
    </row>
    <row r="3347" spans="1:9" x14ac:dyDescent="0.25">
      <c r="A3347" s="16">
        <v>42763</v>
      </c>
      <c r="B3347" s="17" t="s">
        <v>3757</v>
      </c>
      <c r="C3347" s="18">
        <v>98944</v>
      </c>
      <c r="D3347" s="2" t="s">
        <v>264</v>
      </c>
      <c r="E3347" s="15">
        <v>11544.1</v>
      </c>
      <c r="F3347" s="36" t="s">
        <v>2009</v>
      </c>
      <c r="G3347" s="15">
        <v>11544.1</v>
      </c>
      <c r="H3347" s="15">
        <f t="shared" si="53"/>
        <v>0</v>
      </c>
      <c r="I3347" s="19"/>
    </row>
    <row r="3348" spans="1:9" x14ac:dyDescent="0.25">
      <c r="A3348" s="16">
        <v>42763</v>
      </c>
      <c r="B3348" s="17" t="s">
        <v>3758</v>
      </c>
      <c r="C3348" s="18">
        <v>98945</v>
      </c>
      <c r="D3348" s="2" t="s">
        <v>12</v>
      </c>
      <c r="E3348" s="15">
        <v>2263.8000000000002</v>
      </c>
      <c r="F3348" s="36" t="s">
        <v>2009</v>
      </c>
      <c r="G3348" s="15">
        <v>2263.8000000000002</v>
      </c>
      <c r="H3348" s="15">
        <f t="shared" si="53"/>
        <v>0</v>
      </c>
      <c r="I3348" s="19"/>
    </row>
    <row r="3349" spans="1:9" x14ac:dyDescent="0.25">
      <c r="A3349" s="16">
        <v>42763</v>
      </c>
      <c r="B3349" s="17" t="s">
        <v>3759</v>
      </c>
      <c r="C3349" s="18">
        <v>98946</v>
      </c>
      <c r="D3349" s="2" t="s">
        <v>302</v>
      </c>
      <c r="E3349" s="15">
        <v>20071.599999999999</v>
      </c>
      <c r="F3349" s="36" t="s">
        <v>2009</v>
      </c>
      <c r="G3349" s="15">
        <v>20071.599999999999</v>
      </c>
      <c r="H3349" s="15">
        <f t="shared" si="53"/>
        <v>0</v>
      </c>
      <c r="I3349" s="19"/>
    </row>
    <row r="3350" spans="1:9" x14ac:dyDescent="0.25">
      <c r="A3350" s="16">
        <v>42763</v>
      </c>
      <c r="B3350" s="17" t="s">
        <v>3760</v>
      </c>
      <c r="C3350" s="18">
        <v>98947</v>
      </c>
      <c r="D3350" s="13" t="s">
        <v>930</v>
      </c>
      <c r="E3350" s="14">
        <v>0</v>
      </c>
      <c r="F3350" s="123" t="s">
        <v>95</v>
      </c>
      <c r="G3350" s="14">
        <v>0</v>
      </c>
      <c r="H3350" s="14">
        <f t="shared" si="53"/>
        <v>0</v>
      </c>
      <c r="I3350" s="19"/>
    </row>
    <row r="3351" spans="1:9" x14ac:dyDescent="0.25">
      <c r="A3351" s="16">
        <v>42763</v>
      </c>
      <c r="B3351" s="17" t="s">
        <v>3761</v>
      </c>
      <c r="C3351" s="18">
        <v>98948</v>
      </c>
      <c r="D3351" s="2" t="s">
        <v>470</v>
      </c>
      <c r="E3351" s="15">
        <v>5914.8</v>
      </c>
      <c r="F3351" s="36" t="s">
        <v>2009</v>
      </c>
      <c r="G3351" s="15">
        <v>5914.8</v>
      </c>
      <c r="H3351" s="15">
        <f t="shared" si="53"/>
        <v>0</v>
      </c>
      <c r="I3351" s="19"/>
    </row>
    <row r="3352" spans="1:9" x14ac:dyDescent="0.25">
      <c r="A3352" s="16">
        <v>42763</v>
      </c>
      <c r="B3352" s="17" t="s">
        <v>3762</v>
      </c>
      <c r="C3352" s="18">
        <v>98949</v>
      </c>
      <c r="D3352" s="2" t="s">
        <v>930</v>
      </c>
      <c r="E3352" s="15">
        <v>19463.8</v>
      </c>
      <c r="F3352" s="36" t="s">
        <v>2009</v>
      </c>
      <c r="G3352" s="15">
        <v>19463.8</v>
      </c>
      <c r="H3352" s="15">
        <f t="shared" si="53"/>
        <v>0</v>
      </c>
      <c r="I3352" s="19"/>
    </row>
    <row r="3353" spans="1:9" x14ac:dyDescent="0.25">
      <c r="A3353" s="16">
        <v>42763</v>
      </c>
      <c r="B3353" s="17" t="s">
        <v>3763</v>
      </c>
      <c r="C3353" s="18">
        <v>98950</v>
      </c>
      <c r="D3353" s="2" t="s">
        <v>305</v>
      </c>
      <c r="E3353" s="15">
        <v>8768.9</v>
      </c>
      <c r="F3353" s="36" t="s">
        <v>1173</v>
      </c>
      <c r="G3353" s="15">
        <v>8768.9</v>
      </c>
      <c r="H3353" s="15">
        <f t="shared" si="53"/>
        <v>0</v>
      </c>
      <c r="I3353" s="19"/>
    </row>
    <row r="3354" spans="1:9" x14ac:dyDescent="0.25">
      <c r="A3354" s="16">
        <v>42763</v>
      </c>
      <c r="B3354" s="17" t="s">
        <v>3764</v>
      </c>
      <c r="C3354" s="18">
        <v>98951</v>
      </c>
      <c r="D3354" s="2" t="s">
        <v>476</v>
      </c>
      <c r="E3354" s="15">
        <v>30791.3</v>
      </c>
      <c r="F3354" s="36" t="s">
        <v>3272</v>
      </c>
      <c r="G3354" s="15">
        <v>30791.3</v>
      </c>
      <c r="H3354" s="15">
        <f t="shared" si="53"/>
        <v>0</v>
      </c>
      <c r="I3354" s="19"/>
    </row>
    <row r="3355" spans="1:9" x14ac:dyDescent="0.25">
      <c r="A3355" s="16">
        <v>42763</v>
      </c>
      <c r="B3355" s="17" t="s">
        <v>3765</v>
      </c>
      <c r="C3355" s="18">
        <v>98952</v>
      </c>
      <c r="D3355" s="13" t="s">
        <v>422</v>
      </c>
      <c r="E3355" s="14">
        <v>0</v>
      </c>
      <c r="F3355" s="123" t="s">
        <v>95</v>
      </c>
      <c r="G3355" s="14">
        <v>0</v>
      </c>
      <c r="H3355" s="14">
        <f t="shared" si="53"/>
        <v>0</v>
      </c>
      <c r="I3355" s="19"/>
    </row>
    <row r="3356" spans="1:9" x14ac:dyDescent="0.25">
      <c r="A3356" s="16">
        <v>42763</v>
      </c>
      <c r="B3356" s="17" t="s">
        <v>3766</v>
      </c>
      <c r="C3356" s="18">
        <v>98953</v>
      </c>
      <c r="D3356" s="2" t="s">
        <v>1870</v>
      </c>
      <c r="E3356" s="15">
        <v>819.4</v>
      </c>
      <c r="F3356" s="36" t="s">
        <v>2009</v>
      </c>
      <c r="G3356" s="15">
        <v>819.4</v>
      </c>
      <c r="H3356" s="15">
        <f t="shared" si="53"/>
        <v>0</v>
      </c>
      <c r="I3356" s="19"/>
    </row>
    <row r="3357" spans="1:9" x14ac:dyDescent="0.25">
      <c r="A3357" s="16">
        <v>42763</v>
      </c>
      <c r="B3357" s="17" t="s">
        <v>3767</v>
      </c>
      <c r="C3357" s="18">
        <v>98954</v>
      </c>
      <c r="D3357" s="2" t="s">
        <v>422</v>
      </c>
      <c r="E3357" s="15">
        <v>5014</v>
      </c>
      <c r="F3357" s="36" t="s">
        <v>2009</v>
      </c>
      <c r="G3357" s="15">
        <v>5014</v>
      </c>
      <c r="H3357" s="15">
        <f t="shared" si="53"/>
        <v>0</v>
      </c>
      <c r="I3357" s="19"/>
    </row>
    <row r="3358" spans="1:9" x14ac:dyDescent="0.25">
      <c r="A3358" s="16">
        <v>42763</v>
      </c>
      <c r="B3358" s="17" t="s">
        <v>3768</v>
      </c>
      <c r="C3358" s="18">
        <v>98955</v>
      </c>
      <c r="D3358" s="2" t="s">
        <v>319</v>
      </c>
      <c r="E3358" s="15">
        <v>3057.6</v>
      </c>
      <c r="F3358" s="36" t="s">
        <v>2166</v>
      </c>
      <c r="G3358" s="15">
        <v>3057.6</v>
      </c>
      <c r="H3358" s="15">
        <f t="shared" si="53"/>
        <v>0</v>
      </c>
      <c r="I3358" s="19"/>
    </row>
    <row r="3359" spans="1:9" x14ac:dyDescent="0.25">
      <c r="A3359" s="16">
        <v>42763</v>
      </c>
      <c r="B3359" s="17" t="s">
        <v>3769</v>
      </c>
      <c r="C3359" s="18">
        <v>98956</v>
      </c>
      <c r="D3359" s="2" t="s">
        <v>57</v>
      </c>
      <c r="E3359" s="15">
        <v>500</v>
      </c>
      <c r="F3359" s="36" t="s">
        <v>2166</v>
      </c>
      <c r="G3359" s="15">
        <v>500</v>
      </c>
      <c r="H3359" s="15">
        <f t="shared" si="53"/>
        <v>0</v>
      </c>
      <c r="I3359" s="19"/>
    </row>
    <row r="3360" spans="1:9" x14ac:dyDescent="0.25">
      <c r="A3360" s="16">
        <v>42763</v>
      </c>
      <c r="B3360" s="17" t="s">
        <v>3770</v>
      </c>
      <c r="C3360" s="18">
        <v>98957</v>
      </c>
      <c r="D3360" s="2" t="s">
        <v>159</v>
      </c>
      <c r="E3360" s="15">
        <v>3115</v>
      </c>
      <c r="F3360" s="36" t="s">
        <v>2009</v>
      </c>
      <c r="G3360" s="15">
        <v>3115</v>
      </c>
      <c r="H3360" s="15">
        <f t="shared" si="53"/>
        <v>0</v>
      </c>
      <c r="I3360" s="19"/>
    </row>
    <row r="3361" spans="1:9" x14ac:dyDescent="0.25">
      <c r="A3361" s="16">
        <v>42763</v>
      </c>
      <c r="B3361" s="17" t="s">
        <v>3771</v>
      </c>
      <c r="C3361" s="18">
        <v>98958</v>
      </c>
      <c r="D3361" s="2" t="s">
        <v>693</v>
      </c>
      <c r="E3361" s="15">
        <v>7177.3</v>
      </c>
      <c r="F3361" s="36" t="s">
        <v>2744</v>
      </c>
      <c r="G3361" s="15">
        <v>7177.3</v>
      </c>
      <c r="H3361" s="15">
        <f t="shared" si="53"/>
        <v>0</v>
      </c>
      <c r="I3361" s="19"/>
    </row>
    <row r="3362" spans="1:9" x14ac:dyDescent="0.25">
      <c r="A3362" s="16">
        <v>42763</v>
      </c>
      <c r="B3362" s="17" t="s">
        <v>3772</v>
      </c>
      <c r="C3362" s="18">
        <v>98959</v>
      </c>
      <c r="D3362" s="2" t="s">
        <v>476</v>
      </c>
      <c r="E3362" s="15">
        <v>11458</v>
      </c>
      <c r="F3362" s="36" t="s">
        <v>361</v>
      </c>
      <c r="G3362" s="15">
        <v>11458</v>
      </c>
      <c r="H3362" s="15">
        <f t="shared" si="53"/>
        <v>0</v>
      </c>
      <c r="I3362" s="19"/>
    </row>
    <row r="3363" spans="1:9" x14ac:dyDescent="0.25">
      <c r="A3363" s="16">
        <v>42763</v>
      </c>
      <c r="B3363" s="17" t="s">
        <v>3773</v>
      </c>
      <c r="C3363" s="18">
        <v>98960</v>
      </c>
      <c r="D3363" s="2" t="s">
        <v>182</v>
      </c>
      <c r="E3363" s="15">
        <v>5500</v>
      </c>
      <c r="F3363" s="36" t="s">
        <v>2166</v>
      </c>
      <c r="G3363" s="15">
        <v>5500</v>
      </c>
      <c r="H3363" s="15">
        <f t="shared" si="53"/>
        <v>0</v>
      </c>
      <c r="I3363" s="19"/>
    </row>
    <row r="3364" spans="1:9" x14ac:dyDescent="0.25">
      <c r="A3364" s="16">
        <v>42763</v>
      </c>
      <c r="B3364" s="17" t="s">
        <v>3774</v>
      </c>
      <c r="C3364" s="18">
        <v>98961</v>
      </c>
      <c r="D3364" s="2" t="s">
        <v>67</v>
      </c>
      <c r="E3364" s="15">
        <v>3856</v>
      </c>
      <c r="F3364" s="36" t="s">
        <v>307</v>
      </c>
      <c r="G3364" s="15">
        <v>3856</v>
      </c>
      <c r="H3364" s="15">
        <f t="shared" si="53"/>
        <v>0</v>
      </c>
      <c r="I3364" s="19"/>
    </row>
    <row r="3365" spans="1:9" x14ac:dyDescent="0.25">
      <c r="A3365" s="16">
        <v>42763</v>
      </c>
      <c r="B3365" s="17" t="s">
        <v>3775</v>
      </c>
      <c r="C3365" s="18">
        <v>98962</v>
      </c>
      <c r="D3365" s="2" t="s">
        <v>10</v>
      </c>
      <c r="E3365" s="15">
        <v>3304.8</v>
      </c>
      <c r="F3365" s="36" t="s">
        <v>1889</v>
      </c>
      <c r="G3365" s="15">
        <v>3304.8</v>
      </c>
      <c r="H3365" s="15">
        <f t="shared" si="53"/>
        <v>0</v>
      </c>
      <c r="I3365" s="19"/>
    </row>
    <row r="3366" spans="1:9" x14ac:dyDescent="0.25">
      <c r="A3366" s="16">
        <v>42763</v>
      </c>
      <c r="B3366" s="17" t="s">
        <v>3776</v>
      </c>
      <c r="C3366" s="18">
        <v>98963</v>
      </c>
      <c r="D3366" s="2" t="s">
        <v>1299</v>
      </c>
      <c r="E3366" s="15">
        <v>7200</v>
      </c>
      <c r="F3366" s="36" t="s">
        <v>2009</v>
      </c>
      <c r="G3366" s="15">
        <v>7200</v>
      </c>
      <c r="H3366" s="15">
        <f t="shared" si="53"/>
        <v>0</v>
      </c>
      <c r="I3366" s="19"/>
    </row>
    <row r="3367" spans="1:9" x14ac:dyDescent="0.25">
      <c r="A3367" s="16">
        <v>42763</v>
      </c>
      <c r="B3367" s="17" t="s">
        <v>3777</v>
      </c>
      <c r="C3367" s="18">
        <v>98964</v>
      </c>
      <c r="D3367" s="2" t="s">
        <v>609</v>
      </c>
      <c r="E3367" s="15">
        <v>50490</v>
      </c>
      <c r="F3367" s="36" t="s">
        <v>361</v>
      </c>
      <c r="G3367" s="15">
        <v>50490</v>
      </c>
      <c r="H3367" s="15">
        <f t="shared" si="53"/>
        <v>0</v>
      </c>
      <c r="I3367" s="19"/>
    </row>
    <row r="3368" spans="1:9" x14ac:dyDescent="0.25">
      <c r="A3368" s="16">
        <v>42763</v>
      </c>
      <c r="B3368" s="17" t="s">
        <v>3778</v>
      </c>
      <c r="C3368" s="18">
        <v>98965</v>
      </c>
      <c r="D3368" s="2" t="s">
        <v>186</v>
      </c>
      <c r="E3368" s="15">
        <v>1686.7</v>
      </c>
      <c r="F3368" s="36" t="s">
        <v>3126</v>
      </c>
      <c r="G3368" s="15">
        <v>1686.7</v>
      </c>
      <c r="H3368" s="15">
        <f t="shared" si="53"/>
        <v>0</v>
      </c>
      <c r="I3368" s="19"/>
    </row>
    <row r="3369" spans="1:9" x14ac:dyDescent="0.25">
      <c r="A3369" s="16">
        <v>42763</v>
      </c>
      <c r="B3369" s="17" t="s">
        <v>3779</v>
      </c>
      <c r="C3369" s="18">
        <v>98966</v>
      </c>
      <c r="D3369" s="2" t="s">
        <v>63</v>
      </c>
      <c r="E3369" s="15">
        <v>1024</v>
      </c>
      <c r="F3369" s="36" t="s">
        <v>2166</v>
      </c>
      <c r="G3369" s="15">
        <v>1024</v>
      </c>
      <c r="H3369" s="15">
        <f t="shared" si="53"/>
        <v>0</v>
      </c>
      <c r="I3369" s="19"/>
    </row>
    <row r="3370" spans="1:9" x14ac:dyDescent="0.25">
      <c r="A3370" s="16">
        <v>42763</v>
      </c>
      <c r="B3370" s="17" t="s">
        <v>3780</v>
      </c>
      <c r="C3370" s="18">
        <v>98967</v>
      </c>
      <c r="D3370" s="2" t="s">
        <v>61</v>
      </c>
      <c r="E3370" s="15">
        <v>5060.5</v>
      </c>
      <c r="F3370" s="36" t="s">
        <v>2166</v>
      </c>
      <c r="G3370" s="15">
        <v>5060.5</v>
      </c>
      <c r="H3370" s="15">
        <f t="shared" si="53"/>
        <v>0</v>
      </c>
      <c r="I3370" s="19"/>
    </row>
    <row r="3371" spans="1:9" x14ac:dyDescent="0.25">
      <c r="A3371" s="16">
        <v>42763</v>
      </c>
      <c r="B3371" s="17" t="s">
        <v>3781</v>
      </c>
      <c r="C3371" s="18">
        <v>98968</v>
      </c>
      <c r="D3371" s="2" t="s">
        <v>53</v>
      </c>
      <c r="E3371" s="15">
        <v>3772.8</v>
      </c>
      <c r="F3371" s="36" t="s">
        <v>2166</v>
      </c>
      <c r="G3371" s="15">
        <v>3772.8</v>
      </c>
      <c r="H3371" s="15">
        <f t="shared" si="53"/>
        <v>0</v>
      </c>
      <c r="I3371" s="19"/>
    </row>
    <row r="3372" spans="1:9" x14ac:dyDescent="0.25">
      <c r="A3372" s="16">
        <v>42763</v>
      </c>
      <c r="B3372" s="17" t="s">
        <v>3782</v>
      </c>
      <c r="C3372" s="18">
        <v>98969</v>
      </c>
      <c r="D3372" s="2" t="s">
        <v>193</v>
      </c>
      <c r="E3372" s="15">
        <v>4150.3</v>
      </c>
      <c r="F3372" s="36" t="s">
        <v>2166</v>
      </c>
      <c r="G3372" s="15">
        <v>4150.3</v>
      </c>
      <c r="H3372" s="15">
        <f t="shared" si="53"/>
        <v>0</v>
      </c>
      <c r="I3372" s="19"/>
    </row>
    <row r="3373" spans="1:9" x14ac:dyDescent="0.25">
      <c r="A3373" s="16">
        <v>42763</v>
      </c>
      <c r="B3373" s="17" t="s">
        <v>3783</v>
      </c>
      <c r="C3373" s="18">
        <v>98970</v>
      </c>
      <c r="D3373" s="2" t="s">
        <v>1166</v>
      </c>
      <c r="E3373" s="15">
        <v>1235.4000000000001</v>
      </c>
      <c r="F3373" s="36" t="s">
        <v>2166</v>
      </c>
      <c r="G3373" s="15">
        <v>1235.4000000000001</v>
      </c>
      <c r="H3373" s="15">
        <f t="shared" si="53"/>
        <v>0</v>
      </c>
      <c r="I3373" s="19"/>
    </row>
    <row r="3374" spans="1:9" x14ac:dyDescent="0.25">
      <c r="A3374" s="16">
        <v>42763</v>
      </c>
      <c r="B3374" s="17" t="s">
        <v>3784</v>
      </c>
      <c r="C3374" s="18">
        <v>98971</v>
      </c>
      <c r="D3374" s="2" t="s">
        <v>45</v>
      </c>
      <c r="E3374" s="15">
        <v>1564</v>
      </c>
      <c r="F3374" s="36" t="s">
        <v>2166</v>
      </c>
      <c r="G3374" s="15">
        <v>1564</v>
      </c>
      <c r="H3374" s="15">
        <f t="shared" si="53"/>
        <v>0</v>
      </c>
      <c r="I3374" s="19"/>
    </row>
    <row r="3375" spans="1:9" x14ac:dyDescent="0.25">
      <c r="A3375" s="16">
        <v>42763</v>
      </c>
      <c r="B3375" s="17" t="s">
        <v>3785</v>
      </c>
      <c r="C3375" s="18">
        <v>98972</v>
      </c>
      <c r="D3375" s="2" t="s">
        <v>2240</v>
      </c>
      <c r="E3375" s="15">
        <v>5034.3</v>
      </c>
      <c r="F3375" s="36" t="s">
        <v>2009</v>
      </c>
      <c r="G3375" s="15">
        <v>5034.3</v>
      </c>
      <c r="H3375" s="15">
        <f t="shared" si="53"/>
        <v>0</v>
      </c>
      <c r="I3375" s="19"/>
    </row>
    <row r="3376" spans="1:9" x14ac:dyDescent="0.25">
      <c r="A3376" s="16">
        <v>42763</v>
      </c>
      <c r="B3376" s="17" t="s">
        <v>3786</v>
      </c>
      <c r="C3376" s="18">
        <v>98973</v>
      </c>
      <c r="D3376" s="2" t="s">
        <v>21</v>
      </c>
      <c r="E3376" s="15">
        <v>47164.5</v>
      </c>
      <c r="F3376" s="124" t="s">
        <v>4172</v>
      </c>
      <c r="G3376" s="20">
        <f>16594+30570.5</f>
        <v>47164.5</v>
      </c>
      <c r="H3376" s="20">
        <f t="shared" si="53"/>
        <v>0</v>
      </c>
      <c r="I3376" s="19"/>
    </row>
    <row r="3377" spans="1:9" x14ac:dyDescent="0.25">
      <c r="A3377" s="16">
        <v>42763</v>
      </c>
      <c r="B3377" s="17" t="s">
        <v>3787</v>
      </c>
      <c r="C3377" s="18">
        <v>98974</v>
      </c>
      <c r="D3377" s="2" t="s">
        <v>21</v>
      </c>
      <c r="E3377" s="15">
        <v>279.5</v>
      </c>
      <c r="F3377" s="36" t="s">
        <v>313</v>
      </c>
      <c r="G3377" s="15">
        <v>279.5</v>
      </c>
      <c r="H3377" s="15">
        <f t="shared" si="53"/>
        <v>0</v>
      </c>
      <c r="I3377" s="19"/>
    </row>
    <row r="3378" spans="1:9" x14ac:dyDescent="0.25">
      <c r="A3378" s="16">
        <v>42763</v>
      </c>
      <c r="B3378" s="17" t="s">
        <v>3788</v>
      </c>
      <c r="C3378" s="18">
        <v>98975</v>
      </c>
      <c r="D3378" s="2" t="s">
        <v>151</v>
      </c>
      <c r="E3378" s="15">
        <v>17761.400000000001</v>
      </c>
      <c r="F3378" s="36" t="s">
        <v>2166</v>
      </c>
      <c r="G3378" s="15">
        <v>17761.400000000001</v>
      </c>
      <c r="H3378" s="15">
        <f t="shared" si="53"/>
        <v>0</v>
      </c>
      <c r="I3378" s="19"/>
    </row>
    <row r="3379" spans="1:9" x14ac:dyDescent="0.25">
      <c r="A3379" s="16">
        <v>42763</v>
      </c>
      <c r="B3379" s="17" t="s">
        <v>3789</v>
      </c>
      <c r="C3379" s="18">
        <v>98976</v>
      </c>
      <c r="D3379" s="2" t="s">
        <v>627</v>
      </c>
      <c r="E3379" s="15">
        <v>512</v>
      </c>
      <c r="F3379" s="36" t="s">
        <v>2009</v>
      </c>
      <c r="G3379" s="15">
        <v>512</v>
      </c>
      <c r="H3379" s="15">
        <f t="shared" si="53"/>
        <v>0</v>
      </c>
      <c r="I3379" s="19"/>
    </row>
    <row r="3380" spans="1:9" x14ac:dyDescent="0.25">
      <c r="A3380" s="16">
        <v>42763</v>
      </c>
      <c r="B3380" s="17" t="s">
        <v>3790</v>
      </c>
      <c r="C3380" s="18">
        <v>98977</v>
      </c>
      <c r="D3380" s="2" t="s">
        <v>30</v>
      </c>
      <c r="E3380" s="15">
        <v>2243.6</v>
      </c>
      <c r="F3380" s="36" t="s">
        <v>2009</v>
      </c>
      <c r="G3380" s="15">
        <v>2243.6</v>
      </c>
      <c r="H3380" s="15">
        <f t="shared" si="53"/>
        <v>0</v>
      </c>
      <c r="I3380" s="19"/>
    </row>
    <row r="3381" spans="1:9" x14ac:dyDescent="0.25">
      <c r="A3381" s="16">
        <v>42763</v>
      </c>
      <c r="B3381" s="17" t="s">
        <v>3791</v>
      </c>
      <c r="C3381" s="18">
        <v>98978</v>
      </c>
      <c r="D3381" s="2" t="s">
        <v>115</v>
      </c>
      <c r="E3381" s="15">
        <v>8804.65</v>
      </c>
      <c r="F3381" s="36" t="s">
        <v>1889</v>
      </c>
      <c r="G3381" s="15">
        <v>8804.65</v>
      </c>
      <c r="H3381" s="15">
        <f t="shared" si="53"/>
        <v>0</v>
      </c>
      <c r="I3381" s="19"/>
    </row>
    <row r="3382" spans="1:9" x14ac:dyDescent="0.25">
      <c r="A3382" s="16">
        <v>42763</v>
      </c>
      <c r="B3382" s="17" t="s">
        <v>3792</v>
      </c>
      <c r="C3382" s="18">
        <v>98979</v>
      </c>
      <c r="D3382" s="13" t="s">
        <v>277</v>
      </c>
      <c r="E3382" s="14">
        <v>0</v>
      </c>
      <c r="F3382" s="123" t="s">
        <v>95</v>
      </c>
      <c r="G3382" s="14">
        <v>0</v>
      </c>
      <c r="H3382" s="14">
        <f t="shared" si="53"/>
        <v>0</v>
      </c>
      <c r="I3382" s="19"/>
    </row>
    <row r="3383" spans="1:9" x14ac:dyDescent="0.25">
      <c r="A3383" s="16">
        <v>42763</v>
      </c>
      <c r="B3383" s="17" t="s">
        <v>3793</v>
      </c>
      <c r="C3383" s="18">
        <v>98980</v>
      </c>
      <c r="D3383" s="2" t="s">
        <v>785</v>
      </c>
      <c r="E3383" s="15">
        <v>14256.8</v>
      </c>
      <c r="F3383" s="36" t="s">
        <v>2166</v>
      </c>
      <c r="G3383" s="15">
        <v>14256.8</v>
      </c>
      <c r="H3383" s="15">
        <f t="shared" si="53"/>
        <v>0</v>
      </c>
      <c r="I3383" s="19"/>
    </row>
    <row r="3384" spans="1:9" x14ac:dyDescent="0.25">
      <c r="A3384" s="16">
        <v>42763</v>
      </c>
      <c r="B3384" s="17" t="s">
        <v>3794</v>
      </c>
      <c r="C3384" s="18">
        <v>98981</v>
      </c>
      <c r="D3384" s="2" t="s">
        <v>30</v>
      </c>
      <c r="E3384" s="15">
        <v>551.20000000000005</v>
      </c>
      <c r="F3384" s="36" t="s">
        <v>2166</v>
      </c>
      <c r="G3384" s="15">
        <v>551.20000000000005</v>
      </c>
      <c r="H3384" s="15">
        <f t="shared" si="53"/>
        <v>0</v>
      </c>
      <c r="I3384" s="19"/>
    </row>
    <row r="3385" spans="1:9" x14ac:dyDescent="0.25">
      <c r="A3385" s="16">
        <v>42763</v>
      </c>
      <c r="B3385" s="17" t="s">
        <v>3795</v>
      </c>
      <c r="C3385" s="18">
        <v>98982</v>
      </c>
      <c r="D3385" s="2" t="s">
        <v>492</v>
      </c>
      <c r="E3385" s="15">
        <v>28701.599999999999</v>
      </c>
      <c r="F3385" s="36" t="s">
        <v>1173</v>
      </c>
      <c r="G3385" s="15">
        <v>28701.599999999999</v>
      </c>
      <c r="H3385" s="15">
        <f t="shared" si="53"/>
        <v>0</v>
      </c>
      <c r="I3385" s="19"/>
    </row>
    <row r="3386" spans="1:9" x14ac:dyDescent="0.25">
      <c r="A3386" s="16">
        <v>42763</v>
      </c>
      <c r="B3386" s="17" t="s">
        <v>3796</v>
      </c>
      <c r="C3386" s="18">
        <v>98983</v>
      </c>
      <c r="D3386" s="2" t="s">
        <v>122</v>
      </c>
      <c r="E3386" s="15">
        <v>9531.2000000000007</v>
      </c>
      <c r="F3386" s="36" t="s">
        <v>3126</v>
      </c>
      <c r="G3386" s="15">
        <v>9531.2000000000007</v>
      </c>
      <c r="H3386" s="15">
        <f t="shared" si="53"/>
        <v>0</v>
      </c>
      <c r="I3386" s="19"/>
    </row>
    <row r="3387" spans="1:9" x14ac:dyDescent="0.25">
      <c r="A3387" s="16">
        <v>42763</v>
      </c>
      <c r="B3387" s="17" t="s">
        <v>3797</v>
      </c>
      <c r="C3387" s="18">
        <v>98984</v>
      </c>
      <c r="D3387" s="2" t="s">
        <v>176</v>
      </c>
      <c r="E3387" s="15">
        <v>3666.9</v>
      </c>
      <c r="F3387" s="36" t="s">
        <v>2009</v>
      </c>
      <c r="G3387" s="15">
        <v>3666.9</v>
      </c>
      <c r="H3387" s="15">
        <f t="shared" si="53"/>
        <v>0</v>
      </c>
      <c r="I3387" s="19"/>
    </row>
    <row r="3388" spans="1:9" x14ac:dyDescent="0.25">
      <c r="A3388" s="16">
        <v>42763</v>
      </c>
      <c r="B3388" s="17" t="s">
        <v>3798</v>
      </c>
      <c r="C3388" s="18">
        <v>98985</v>
      </c>
      <c r="D3388" s="2" t="s">
        <v>531</v>
      </c>
      <c r="E3388" s="15">
        <v>3359.2</v>
      </c>
      <c r="F3388" s="36" t="s">
        <v>1173</v>
      </c>
      <c r="G3388" s="15">
        <v>3359.2</v>
      </c>
      <c r="H3388" s="15">
        <f t="shared" si="53"/>
        <v>0</v>
      </c>
      <c r="I3388" s="19"/>
    </row>
    <row r="3389" spans="1:9" x14ac:dyDescent="0.25">
      <c r="A3389" s="16">
        <v>42763</v>
      </c>
      <c r="B3389" s="17" t="s">
        <v>3799</v>
      </c>
      <c r="C3389" s="18">
        <v>98986</v>
      </c>
      <c r="D3389" s="2" t="s">
        <v>277</v>
      </c>
      <c r="E3389" s="15">
        <v>4846.6400000000003</v>
      </c>
      <c r="F3389" s="36" t="s">
        <v>2166</v>
      </c>
      <c r="G3389" s="15">
        <v>4846.6400000000003</v>
      </c>
      <c r="H3389" s="15">
        <f t="shared" si="53"/>
        <v>0</v>
      </c>
      <c r="I3389" s="19"/>
    </row>
    <row r="3390" spans="1:9" x14ac:dyDescent="0.25">
      <c r="A3390" s="16">
        <v>42763</v>
      </c>
      <c r="B3390" s="17" t="s">
        <v>3800</v>
      </c>
      <c r="C3390" s="18">
        <v>98987</v>
      </c>
      <c r="D3390" s="2" t="s">
        <v>442</v>
      </c>
      <c r="E3390" s="15">
        <v>4753.2</v>
      </c>
      <c r="F3390" s="36" t="s">
        <v>1889</v>
      </c>
      <c r="G3390" s="15">
        <v>4753.2</v>
      </c>
      <c r="H3390" s="15">
        <f t="shared" si="53"/>
        <v>0</v>
      </c>
      <c r="I3390" s="19"/>
    </row>
    <row r="3391" spans="1:9" x14ac:dyDescent="0.25">
      <c r="A3391" s="16">
        <v>42763</v>
      </c>
      <c r="B3391" s="17" t="s">
        <v>3801</v>
      </c>
      <c r="C3391" s="18">
        <v>98988</v>
      </c>
      <c r="D3391" s="2" t="s">
        <v>30</v>
      </c>
      <c r="E3391" s="15">
        <v>1377</v>
      </c>
      <c r="F3391" s="36" t="s">
        <v>2009</v>
      </c>
      <c r="G3391" s="15">
        <v>1377</v>
      </c>
      <c r="H3391" s="15">
        <f t="shared" si="53"/>
        <v>0</v>
      </c>
      <c r="I3391" s="19"/>
    </row>
    <row r="3392" spans="1:9" x14ac:dyDescent="0.25">
      <c r="A3392" s="16">
        <v>42763</v>
      </c>
      <c r="B3392" s="17" t="s">
        <v>3802</v>
      </c>
      <c r="C3392" s="18">
        <v>98989</v>
      </c>
      <c r="D3392" s="2" t="s">
        <v>523</v>
      </c>
      <c r="E3392" s="15">
        <v>24515</v>
      </c>
      <c r="F3392" s="36" t="s">
        <v>1429</v>
      </c>
      <c r="G3392" s="15">
        <v>24515</v>
      </c>
      <c r="H3392" s="15">
        <f t="shared" si="53"/>
        <v>0</v>
      </c>
      <c r="I3392" s="19"/>
    </row>
    <row r="3393" spans="1:9" x14ac:dyDescent="0.25">
      <c r="A3393" s="16">
        <v>42763</v>
      </c>
      <c r="B3393" s="17" t="s">
        <v>3803</v>
      </c>
      <c r="C3393" s="18">
        <v>98990</v>
      </c>
      <c r="D3393" s="2" t="s">
        <v>30</v>
      </c>
      <c r="E3393" s="15">
        <v>16225.1</v>
      </c>
      <c r="F3393" s="36" t="s">
        <v>2009</v>
      </c>
      <c r="G3393" s="15">
        <v>16225.1</v>
      </c>
      <c r="H3393" s="15">
        <f t="shared" si="53"/>
        <v>0</v>
      </c>
      <c r="I3393" s="19"/>
    </row>
    <row r="3394" spans="1:9" x14ac:dyDescent="0.25">
      <c r="A3394" s="16">
        <v>42763</v>
      </c>
      <c r="B3394" s="17" t="s">
        <v>3804</v>
      </c>
      <c r="C3394" s="18">
        <v>98991</v>
      </c>
      <c r="D3394" s="2" t="s">
        <v>693</v>
      </c>
      <c r="E3394" s="15">
        <v>5967</v>
      </c>
      <c r="F3394" s="36" t="s">
        <v>2744</v>
      </c>
      <c r="G3394" s="15">
        <v>5967</v>
      </c>
      <c r="H3394" s="15">
        <f t="shared" si="53"/>
        <v>0</v>
      </c>
      <c r="I3394" s="19"/>
    </row>
    <row r="3395" spans="1:9" x14ac:dyDescent="0.25">
      <c r="A3395" s="16">
        <v>42763</v>
      </c>
      <c r="B3395" s="17" t="s">
        <v>3805</v>
      </c>
      <c r="C3395" s="18">
        <v>98992</v>
      </c>
      <c r="D3395" s="2" t="s">
        <v>264</v>
      </c>
      <c r="E3395" s="15">
        <v>14600</v>
      </c>
      <c r="F3395" s="36" t="s">
        <v>3806</v>
      </c>
      <c r="G3395" s="15">
        <v>14600</v>
      </c>
      <c r="H3395" s="15">
        <f t="shared" si="53"/>
        <v>0</v>
      </c>
      <c r="I3395" s="19"/>
    </row>
    <row r="3396" spans="1:9" x14ac:dyDescent="0.25">
      <c r="A3396" s="16">
        <v>42763</v>
      </c>
      <c r="B3396" s="17" t="s">
        <v>3807</v>
      </c>
      <c r="C3396" s="18">
        <v>98993</v>
      </c>
      <c r="D3396" s="2" t="s">
        <v>409</v>
      </c>
      <c r="E3396" s="15">
        <v>7575.6</v>
      </c>
      <c r="F3396" s="36" t="s">
        <v>765</v>
      </c>
      <c r="G3396" s="15">
        <v>7575.6</v>
      </c>
      <c r="H3396" s="15">
        <f t="shared" si="53"/>
        <v>0</v>
      </c>
      <c r="I3396" s="19"/>
    </row>
    <row r="3397" spans="1:9" x14ac:dyDescent="0.25">
      <c r="A3397" s="16">
        <v>42763</v>
      </c>
      <c r="B3397" s="17" t="s">
        <v>3808</v>
      </c>
      <c r="C3397" s="18">
        <v>98994</v>
      </c>
      <c r="D3397" s="2" t="s">
        <v>222</v>
      </c>
      <c r="E3397" s="15">
        <v>448325</v>
      </c>
      <c r="F3397" s="36" t="s">
        <v>3126</v>
      </c>
      <c r="G3397" s="15">
        <v>448325</v>
      </c>
      <c r="H3397" s="15">
        <f t="shared" si="53"/>
        <v>0</v>
      </c>
      <c r="I3397" s="19"/>
    </row>
    <row r="3398" spans="1:9" x14ac:dyDescent="0.25">
      <c r="A3398" s="16">
        <v>42763</v>
      </c>
      <c r="B3398" s="17" t="s">
        <v>3809</v>
      </c>
      <c r="C3398" s="18">
        <v>98995</v>
      </c>
      <c r="D3398" s="2" t="s">
        <v>457</v>
      </c>
      <c r="E3398" s="15">
        <v>1833.8</v>
      </c>
      <c r="F3398" s="36" t="s">
        <v>2009</v>
      </c>
      <c r="G3398" s="15">
        <v>1833.8</v>
      </c>
      <c r="H3398" s="15">
        <f t="shared" ref="H3398:H3461" si="54">E3398-G3398</f>
        <v>0</v>
      </c>
      <c r="I3398" s="19"/>
    </row>
    <row r="3399" spans="1:9" x14ac:dyDescent="0.25">
      <c r="A3399" s="16">
        <v>42763</v>
      </c>
      <c r="B3399" s="17" t="s">
        <v>3810</v>
      </c>
      <c r="C3399" s="18">
        <v>98996</v>
      </c>
      <c r="D3399" s="2" t="s">
        <v>205</v>
      </c>
      <c r="E3399" s="15">
        <v>26047.05</v>
      </c>
      <c r="F3399" s="36" t="s">
        <v>2166</v>
      </c>
      <c r="G3399" s="15">
        <v>26047.05</v>
      </c>
      <c r="H3399" s="15">
        <f t="shared" si="54"/>
        <v>0</v>
      </c>
      <c r="I3399" s="19"/>
    </row>
    <row r="3400" spans="1:9" x14ac:dyDescent="0.25">
      <c r="A3400" s="16">
        <v>42763</v>
      </c>
      <c r="B3400" s="17" t="s">
        <v>3811</v>
      </c>
      <c r="C3400" s="18">
        <v>98997</v>
      </c>
      <c r="D3400" s="2" t="s">
        <v>536</v>
      </c>
      <c r="E3400" s="15">
        <v>2440.8000000000002</v>
      </c>
      <c r="F3400" s="36" t="s">
        <v>2009</v>
      </c>
      <c r="G3400" s="15">
        <v>2440.8000000000002</v>
      </c>
      <c r="H3400" s="15">
        <f t="shared" si="54"/>
        <v>0</v>
      </c>
      <c r="I3400" s="19"/>
    </row>
    <row r="3401" spans="1:9" x14ac:dyDescent="0.25">
      <c r="A3401" s="16">
        <v>42763</v>
      </c>
      <c r="B3401" s="17" t="s">
        <v>3812</v>
      </c>
      <c r="C3401" s="18">
        <v>98998</v>
      </c>
      <c r="D3401" s="2" t="s">
        <v>222</v>
      </c>
      <c r="E3401" s="15">
        <v>498048</v>
      </c>
      <c r="F3401" s="36" t="s">
        <v>1429</v>
      </c>
      <c r="G3401" s="15">
        <v>498048</v>
      </c>
      <c r="H3401" s="15">
        <f t="shared" si="54"/>
        <v>0</v>
      </c>
      <c r="I3401" s="19"/>
    </row>
    <row r="3402" spans="1:9" x14ac:dyDescent="0.25">
      <c r="A3402" s="16">
        <v>42763</v>
      </c>
      <c r="B3402" s="17" t="s">
        <v>3813</v>
      </c>
      <c r="C3402" s="18">
        <v>98999</v>
      </c>
      <c r="D3402" s="2" t="s">
        <v>536</v>
      </c>
      <c r="E3402" s="15">
        <v>1177.2</v>
      </c>
      <c r="F3402" s="36" t="s">
        <v>2009</v>
      </c>
      <c r="G3402" s="15">
        <v>1177.2</v>
      </c>
      <c r="H3402" s="15">
        <f t="shared" si="54"/>
        <v>0</v>
      </c>
      <c r="I3402" s="19"/>
    </row>
    <row r="3403" spans="1:9" x14ac:dyDescent="0.25">
      <c r="A3403" s="16">
        <v>42763</v>
      </c>
      <c r="B3403" s="17" t="s">
        <v>3814</v>
      </c>
      <c r="C3403" s="18">
        <v>99000</v>
      </c>
      <c r="D3403" s="2" t="s">
        <v>422</v>
      </c>
      <c r="E3403" s="15">
        <v>3361.6</v>
      </c>
      <c r="F3403" s="36" t="s">
        <v>361</v>
      </c>
      <c r="G3403" s="15">
        <v>3361.6</v>
      </c>
      <c r="H3403" s="15">
        <f t="shared" si="54"/>
        <v>0</v>
      </c>
      <c r="I3403" s="19"/>
    </row>
    <row r="3404" spans="1:9" x14ac:dyDescent="0.25">
      <c r="A3404" s="16">
        <v>42763</v>
      </c>
      <c r="B3404" s="17" t="s">
        <v>3815</v>
      </c>
      <c r="C3404" s="18">
        <v>99001</v>
      </c>
      <c r="D3404" s="2" t="s">
        <v>205</v>
      </c>
      <c r="E3404" s="15">
        <v>35697.370000000003</v>
      </c>
      <c r="F3404" s="36" t="s">
        <v>1156</v>
      </c>
      <c r="G3404" s="15">
        <v>35697.370000000003</v>
      </c>
      <c r="H3404" s="15">
        <f t="shared" si="54"/>
        <v>0</v>
      </c>
      <c r="I3404" s="19"/>
    </row>
    <row r="3405" spans="1:9" x14ac:dyDescent="0.25">
      <c r="A3405" s="16">
        <v>42763</v>
      </c>
      <c r="B3405" s="17" t="s">
        <v>3816</v>
      </c>
      <c r="C3405" s="18">
        <v>99002</v>
      </c>
      <c r="D3405" s="2" t="s">
        <v>14</v>
      </c>
      <c r="E3405" s="15">
        <v>8469.4</v>
      </c>
      <c r="F3405" s="36" t="s">
        <v>2009</v>
      </c>
      <c r="G3405" s="15">
        <v>8469.4</v>
      </c>
      <c r="H3405" s="15">
        <f t="shared" si="54"/>
        <v>0</v>
      </c>
      <c r="I3405" s="19"/>
    </row>
    <row r="3406" spans="1:9" x14ac:dyDescent="0.25">
      <c r="A3406" s="16">
        <v>42763</v>
      </c>
      <c r="B3406" s="17" t="s">
        <v>3817</v>
      </c>
      <c r="C3406" s="18">
        <v>99003</v>
      </c>
      <c r="D3406" s="2" t="s">
        <v>1645</v>
      </c>
      <c r="E3406" s="15">
        <v>1914.2</v>
      </c>
      <c r="F3406" s="36" t="s">
        <v>2009</v>
      </c>
      <c r="G3406" s="15">
        <v>1914.2</v>
      </c>
      <c r="H3406" s="15">
        <f t="shared" si="54"/>
        <v>0</v>
      </c>
    </row>
    <row r="3407" spans="1:9" x14ac:dyDescent="0.25">
      <c r="A3407" s="16">
        <v>42763</v>
      </c>
      <c r="B3407" s="17" t="s">
        <v>3818</v>
      </c>
      <c r="C3407" s="18">
        <v>99004</v>
      </c>
      <c r="D3407" s="2" t="s">
        <v>10</v>
      </c>
      <c r="E3407" s="15">
        <v>358569.24</v>
      </c>
      <c r="F3407" s="36" t="s">
        <v>1889</v>
      </c>
      <c r="G3407" s="15">
        <v>358569.24</v>
      </c>
      <c r="H3407" s="15">
        <f t="shared" si="54"/>
        <v>0</v>
      </c>
    </row>
    <row r="3408" spans="1:9" x14ac:dyDescent="0.25">
      <c r="A3408" s="16">
        <v>42763</v>
      </c>
      <c r="B3408" s="17" t="s">
        <v>3819</v>
      </c>
      <c r="C3408" s="18">
        <v>99005</v>
      </c>
      <c r="D3408" s="2" t="s">
        <v>10</v>
      </c>
      <c r="E3408" s="15">
        <v>123540.6</v>
      </c>
      <c r="F3408" s="36" t="s">
        <v>1889</v>
      </c>
      <c r="G3408" s="15">
        <v>123540.6</v>
      </c>
      <c r="H3408" s="15">
        <f t="shared" si="54"/>
        <v>0</v>
      </c>
    </row>
    <row r="3409" spans="1:8" x14ac:dyDescent="0.25">
      <c r="A3409" s="16">
        <v>42763</v>
      </c>
      <c r="B3409" s="17" t="s">
        <v>3820</v>
      </c>
      <c r="C3409" s="18">
        <v>99006</v>
      </c>
      <c r="D3409" s="2" t="s">
        <v>289</v>
      </c>
      <c r="E3409" s="15">
        <v>62978.38</v>
      </c>
      <c r="F3409" s="36" t="s">
        <v>3164</v>
      </c>
      <c r="G3409" s="15">
        <v>62978.38</v>
      </c>
      <c r="H3409" s="15">
        <f t="shared" si="54"/>
        <v>0</v>
      </c>
    </row>
    <row r="3410" spans="1:8" x14ac:dyDescent="0.25">
      <c r="A3410" s="16">
        <v>42763</v>
      </c>
      <c r="B3410" s="17" t="s">
        <v>3821</v>
      </c>
      <c r="C3410" s="18">
        <v>99007</v>
      </c>
      <c r="D3410" s="2" t="s">
        <v>457</v>
      </c>
      <c r="E3410" s="15">
        <v>922.2</v>
      </c>
      <c r="F3410" s="36" t="s">
        <v>2009</v>
      </c>
      <c r="G3410" s="15">
        <v>922.2</v>
      </c>
      <c r="H3410" s="15">
        <f t="shared" si="54"/>
        <v>0</v>
      </c>
    </row>
    <row r="3411" spans="1:8" x14ac:dyDescent="0.25">
      <c r="A3411" s="16">
        <v>42763</v>
      </c>
      <c r="B3411" s="17" t="s">
        <v>3822</v>
      </c>
      <c r="C3411" s="18">
        <v>99008</v>
      </c>
      <c r="D3411" s="13" t="s">
        <v>236</v>
      </c>
      <c r="E3411" s="14">
        <v>0</v>
      </c>
      <c r="F3411" s="123" t="s">
        <v>95</v>
      </c>
      <c r="G3411" s="14">
        <v>0</v>
      </c>
      <c r="H3411" s="14">
        <f t="shared" si="54"/>
        <v>0</v>
      </c>
    </row>
    <row r="3412" spans="1:8" x14ac:dyDescent="0.25">
      <c r="A3412" s="16">
        <v>42763</v>
      </c>
      <c r="B3412" s="17" t="s">
        <v>3823</v>
      </c>
      <c r="C3412" s="18">
        <v>99009</v>
      </c>
      <c r="D3412" s="2" t="s">
        <v>236</v>
      </c>
      <c r="E3412" s="15">
        <v>38152</v>
      </c>
      <c r="F3412" s="36" t="s">
        <v>3164</v>
      </c>
      <c r="G3412" s="15">
        <v>38152</v>
      </c>
      <c r="H3412" s="15">
        <f t="shared" si="54"/>
        <v>0</v>
      </c>
    </row>
    <row r="3413" spans="1:8" x14ac:dyDescent="0.25">
      <c r="A3413" s="16">
        <v>42763</v>
      </c>
      <c r="B3413" s="17" t="s">
        <v>3824</v>
      </c>
      <c r="C3413" s="18">
        <v>99010</v>
      </c>
      <c r="D3413" s="2" t="s">
        <v>430</v>
      </c>
      <c r="E3413" s="15">
        <v>2839.4</v>
      </c>
      <c r="F3413" s="36" t="s">
        <v>2009</v>
      </c>
      <c r="G3413" s="15">
        <v>2839.4</v>
      </c>
      <c r="H3413" s="15">
        <f t="shared" si="54"/>
        <v>0</v>
      </c>
    </row>
    <row r="3414" spans="1:8" x14ac:dyDescent="0.25">
      <c r="A3414" s="16">
        <v>42763</v>
      </c>
      <c r="B3414" s="17" t="s">
        <v>3825</v>
      </c>
      <c r="C3414" s="18">
        <v>99011</v>
      </c>
      <c r="D3414" s="2" t="s">
        <v>236</v>
      </c>
      <c r="E3414" s="15">
        <v>36500.519999999997</v>
      </c>
      <c r="F3414" s="36" t="s">
        <v>3164</v>
      </c>
      <c r="G3414" s="15">
        <v>36500.519999999997</v>
      </c>
      <c r="H3414" s="15">
        <f t="shared" si="54"/>
        <v>0</v>
      </c>
    </row>
    <row r="3415" spans="1:8" x14ac:dyDescent="0.25">
      <c r="A3415" s="16">
        <v>42763</v>
      </c>
      <c r="B3415" s="17" t="s">
        <v>3826</v>
      </c>
      <c r="C3415" s="18">
        <v>99012</v>
      </c>
      <c r="D3415" s="2" t="s">
        <v>921</v>
      </c>
      <c r="E3415" s="15">
        <v>7083.3</v>
      </c>
      <c r="F3415" s="36" t="s">
        <v>2009</v>
      </c>
      <c r="G3415" s="15">
        <v>7083.3</v>
      </c>
      <c r="H3415" s="15">
        <f t="shared" si="54"/>
        <v>0</v>
      </c>
    </row>
    <row r="3416" spans="1:8" x14ac:dyDescent="0.25">
      <c r="A3416" s="16">
        <v>42763</v>
      </c>
      <c r="B3416" s="17" t="s">
        <v>3827</v>
      </c>
      <c r="C3416" s="18">
        <v>99013</v>
      </c>
      <c r="D3416" s="2" t="s">
        <v>10</v>
      </c>
      <c r="E3416" s="15">
        <v>115954.4</v>
      </c>
      <c r="F3416" s="36" t="s">
        <v>1889</v>
      </c>
      <c r="G3416" s="15">
        <v>115954.4</v>
      </c>
      <c r="H3416" s="15">
        <f t="shared" si="54"/>
        <v>0</v>
      </c>
    </row>
    <row r="3417" spans="1:8" x14ac:dyDescent="0.25">
      <c r="A3417" s="16">
        <v>42763</v>
      </c>
      <c r="B3417" s="17" t="s">
        <v>3828</v>
      </c>
      <c r="C3417" s="18">
        <v>99014</v>
      </c>
      <c r="D3417" s="2" t="s">
        <v>10</v>
      </c>
      <c r="E3417" s="15">
        <v>2888</v>
      </c>
      <c r="F3417" s="36" t="s">
        <v>1889</v>
      </c>
      <c r="G3417" s="15">
        <v>2888</v>
      </c>
      <c r="H3417" s="15">
        <f t="shared" si="54"/>
        <v>0</v>
      </c>
    </row>
    <row r="3418" spans="1:8" x14ac:dyDescent="0.25">
      <c r="A3418" s="16">
        <v>42763</v>
      </c>
      <c r="B3418" s="17" t="s">
        <v>3829</v>
      </c>
      <c r="C3418" s="18">
        <v>99015</v>
      </c>
      <c r="D3418" s="2" t="s">
        <v>10</v>
      </c>
      <c r="E3418" s="15">
        <v>231159.2</v>
      </c>
      <c r="F3418" s="124" t="s">
        <v>4167</v>
      </c>
      <c r="G3418" s="20">
        <f>52573.67+178585.53</f>
        <v>231159.2</v>
      </c>
      <c r="H3418" s="20">
        <f t="shared" si="54"/>
        <v>0</v>
      </c>
    </row>
    <row r="3419" spans="1:8" x14ac:dyDescent="0.25">
      <c r="A3419" s="16">
        <v>42764</v>
      </c>
      <c r="B3419" s="17" t="s">
        <v>3830</v>
      </c>
      <c r="C3419" s="18">
        <v>99016</v>
      </c>
      <c r="D3419" s="2" t="s">
        <v>231</v>
      </c>
      <c r="E3419" s="15">
        <v>6690.6</v>
      </c>
      <c r="F3419" s="36" t="s">
        <v>361</v>
      </c>
      <c r="G3419" s="15">
        <v>6690.6</v>
      </c>
      <c r="H3419" s="15">
        <f t="shared" si="54"/>
        <v>0</v>
      </c>
    </row>
    <row r="3420" spans="1:8" x14ac:dyDescent="0.25">
      <c r="A3420" s="16">
        <v>42764</v>
      </c>
      <c r="B3420" s="17" t="s">
        <v>3831</v>
      </c>
      <c r="C3420" s="18">
        <v>99017</v>
      </c>
      <c r="D3420" s="2" t="s">
        <v>30</v>
      </c>
      <c r="E3420" s="15">
        <v>4198.3999999999996</v>
      </c>
      <c r="F3420" s="36" t="s">
        <v>2166</v>
      </c>
      <c r="G3420" s="15">
        <v>4198.3999999999996</v>
      </c>
      <c r="H3420" s="15">
        <f t="shared" si="54"/>
        <v>0</v>
      </c>
    </row>
    <row r="3421" spans="1:8" x14ac:dyDescent="0.25">
      <c r="A3421" s="16">
        <v>42764</v>
      </c>
      <c r="B3421" s="17" t="s">
        <v>3832</v>
      </c>
      <c r="C3421" s="18">
        <v>99018</v>
      </c>
      <c r="D3421" s="2" t="s">
        <v>17</v>
      </c>
      <c r="E3421" s="15">
        <v>5250</v>
      </c>
      <c r="F3421" s="36" t="s">
        <v>2166</v>
      </c>
      <c r="G3421" s="15">
        <v>5250</v>
      </c>
      <c r="H3421" s="15">
        <f t="shared" si="54"/>
        <v>0</v>
      </c>
    </row>
    <row r="3422" spans="1:8" x14ac:dyDescent="0.25">
      <c r="A3422" s="16">
        <v>42764</v>
      </c>
      <c r="B3422" s="17" t="s">
        <v>3833</v>
      </c>
      <c r="C3422" s="18">
        <v>99019</v>
      </c>
      <c r="D3422" s="2" t="s">
        <v>143</v>
      </c>
      <c r="E3422" s="15">
        <v>7051.2</v>
      </c>
      <c r="F3422" s="36" t="s">
        <v>2166</v>
      </c>
      <c r="G3422" s="15">
        <v>7051.2</v>
      </c>
      <c r="H3422" s="15">
        <f t="shared" si="54"/>
        <v>0</v>
      </c>
    </row>
    <row r="3423" spans="1:8" x14ac:dyDescent="0.25">
      <c r="A3423" s="16">
        <v>42764</v>
      </c>
      <c r="B3423" s="17" t="s">
        <v>3834</v>
      </c>
      <c r="C3423" s="18">
        <v>99020</v>
      </c>
      <c r="D3423" s="2" t="s">
        <v>28</v>
      </c>
      <c r="E3423" s="15">
        <v>5217</v>
      </c>
      <c r="F3423" s="36" t="s">
        <v>361</v>
      </c>
      <c r="G3423" s="15">
        <v>5217</v>
      </c>
      <c r="H3423" s="15">
        <f t="shared" si="54"/>
        <v>0</v>
      </c>
    </row>
    <row r="3424" spans="1:8" x14ac:dyDescent="0.25">
      <c r="A3424" s="16">
        <v>42764</v>
      </c>
      <c r="B3424" s="17" t="s">
        <v>3835</v>
      </c>
      <c r="C3424" s="18">
        <v>99021</v>
      </c>
      <c r="D3424" s="2" t="s">
        <v>231</v>
      </c>
      <c r="E3424" s="15">
        <v>47642.6</v>
      </c>
      <c r="F3424" s="36" t="s">
        <v>1173</v>
      </c>
      <c r="G3424" s="15">
        <f>26200+21442.6</f>
        <v>47642.6</v>
      </c>
      <c r="H3424" s="15">
        <f t="shared" si="54"/>
        <v>0</v>
      </c>
    </row>
    <row r="3425" spans="1:8" x14ac:dyDescent="0.25">
      <c r="A3425" s="16">
        <v>42764</v>
      </c>
      <c r="B3425" s="17" t="s">
        <v>3836</v>
      </c>
      <c r="C3425" s="18">
        <v>99022</v>
      </c>
      <c r="D3425" s="2" t="s">
        <v>67</v>
      </c>
      <c r="E3425" s="15">
        <v>766.5</v>
      </c>
      <c r="F3425" s="36" t="s">
        <v>307</v>
      </c>
      <c r="G3425" s="15">
        <v>766.5</v>
      </c>
      <c r="H3425" s="15">
        <f t="shared" si="54"/>
        <v>0</v>
      </c>
    </row>
    <row r="3426" spans="1:8" x14ac:dyDescent="0.25">
      <c r="A3426" s="16">
        <v>42764</v>
      </c>
      <c r="B3426" s="17" t="s">
        <v>3837</v>
      </c>
      <c r="C3426" s="18">
        <v>99023</v>
      </c>
      <c r="D3426" s="2" t="s">
        <v>19</v>
      </c>
      <c r="E3426" s="15">
        <v>1750</v>
      </c>
      <c r="F3426" s="36" t="s">
        <v>2166</v>
      </c>
      <c r="G3426" s="15">
        <v>1750</v>
      </c>
      <c r="H3426" s="15">
        <f t="shared" si="54"/>
        <v>0</v>
      </c>
    </row>
    <row r="3427" spans="1:8" x14ac:dyDescent="0.25">
      <c r="A3427" s="16">
        <v>42764</v>
      </c>
      <c r="B3427" s="17" t="s">
        <v>3838</v>
      </c>
      <c r="C3427" s="18">
        <v>99024</v>
      </c>
      <c r="D3427" s="2" t="s">
        <v>71</v>
      </c>
      <c r="E3427" s="15">
        <v>2590</v>
      </c>
      <c r="F3427" s="36" t="s">
        <v>2166</v>
      </c>
      <c r="G3427" s="15">
        <v>2590</v>
      </c>
      <c r="H3427" s="15">
        <f t="shared" si="54"/>
        <v>0</v>
      </c>
    </row>
    <row r="3428" spans="1:8" x14ac:dyDescent="0.25">
      <c r="A3428" s="16">
        <v>42764</v>
      </c>
      <c r="B3428" s="17" t="s">
        <v>3839</v>
      </c>
      <c r="C3428" s="18">
        <v>99025</v>
      </c>
      <c r="D3428" s="2" t="s">
        <v>236</v>
      </c>
      <c r="E3428" s="15">
        <v>33639.879999999997</v>
      </c>
      <c r="F3428" s="36" t="s">
        <v>3164</v>
      </c>
      <c r="G3428" s="15">
        <v>33639.879999999997</v>
      </c>
      <c r="H3428" s="15">
        <f t="shared" si="54"/>
        <v>0</v>
      </c>
    </row>
    <row r="3429" spans="1:8" x14ac:dyDescent="0.25">
      <c r="A3429" s="16">
        <v>42764</v>
      </c>
      <c r="B3429" s="17" t="s">
        <v>3840</v>
      </c>
      <c r="C3429" s="18">
        <v>99026</v>
      </c>
      <c r="D3429" s="2" t="s">
        <v>55</v>
      </c>
      <c r="E3429" s="15">
        <v>7284.5</v>
      </c>
      <c r="F3429" s="36" t="s">
        <v>2166</v>
      </c>
      <c r="G3429" s="15">
        <v>7284.5</v>
      </c>
      <c r="H3429" s="15">
        <f t="shared" si="54"/>
        <v>0</v>
      </c>
    </row>
    <row r="3430" spans="1:8" x14ac:dyDescent="0.25">
      <c r="A3430" s="16">
        <v>42764</v>
      </c>
      <c r="B3430" s="17" t="s">
        <v>3841</v>
      </c>
      <c r="C3430" s="18">
        <v>99027</v>
      </c>
      <c r="D3430" s="2" t="s">
        <v>974</v>
      </c>
      <c r="E3430" s="15">
        <v>10400.200000000001</v>
      </c>
      <c r="F3430" s="36" t="s">
        <v>2166</v>
      </c>
      <c r="G3430" s="15">
        <v>10400.200000000001</v>
      </c>
      <c r="H3430" s="15">
        <f t="shared" si="54"/>
        <v>0</v>
      </c>
    </row>
    <row r="3431" spans="1:8" x14ac:dyDescent="0.25">
      <c r="A3431" s="16">
        <v>42764</v>
      </c>
      <c r="B3431" s="17" t="s">
        <v>3842</v>
      </c>
      <c r="C3431" s="18">
        <v>99028</v>
      </c>
      <c r="D3431" s="2" t="s">
        <v>47</v>
      </c>
      <c r="E3431" s="15">
        <v>3638.4</v>
      </c>
      <c r="F3431" s="36" t="s">
        <v>2166</v>
      </c>
      <c r="G3431" s="15">
        <v>3638.4</v>
      </c>
      <c r="H3431" s="15">
        <f t="shared" si="54"/>
        <v>0</v>
      </c>
    </row>
    <row r="3432" spans="1:8" x14ac:dyDescent="0.25">
      <c r="A3432" s="16">
        <v>42764</v>
      </c>
      <c r="B3432" s="17" t="s">
        <v>3843</v>
      </c>
      <c r="C3432" s="18">
        <v>99029</v>
      </c>
      <c r="D3432" s="2" t="s">
        <v>151</v>
      </c>
      <c r="E3432" s="15">
        <v>1490.4</v>
      </c>
      <c r="F3432" s="36" t="s">
        <v>2166</v>
      </c>
      <c r="G3432" s="15">
        <v>1490.4</v>
      </c>
      <c r="H3432" s="15">
        <f t="shared" si="54"/>
        <v>0</v>
      </c>
    </row>
    <row r="3433" spans="1:8" x14ac:dyDescent="0.25">
      <c r="A3433" s="16">
        <v>42764</v>
      </c>
      <c r="B3433" s="17" t="s">
        <v>3844</v>
      </c>
      <c r="C3433" s="18">
        <v>99030</v>
      </c>
      <c r="D3433" s="2" t="s">
        <v>47</v>
      </c>
      <c r="E3433" s="15">
        <v>80</v>
      </c>
      <c r="F3433" s="36" t="s">
        <v>2166</v>
      </c>
      <c r="G3433" s="15">
        <v>80</v>
      </c>
      <c r="H3433" s="15">
        <f t="shared" si="54"/>
        <v>0</v>
      </c>
    </row>
    <row r="3434" spans="1:8" x14ac:dyDescent="0.25">
      <c r="A3434" s="16">
        <v>42764</v>
      </c>
      <c r="B3434" s="17" t="s">
        <v>3845</v>
      </c>
      <c r="C3434" s="18">
        <v>99031</v>
      </c>
      <c r="D3434" s="2" t="s">
        <v>3425</v>
      </c>
      <c r="E3434" s="15">
        <v>1317.6</v>
      </c>
      <c r="F3434" s="36" t="s">
        <v>2166</v>
      </c>
      <c r="G3434" s="15">
        <v>1317.6</v>
      </c>
      <c r="H3434" s="15">
        <f t="shared" si="54"/>
        <v>0</v>
      </c>
    </row>
    <row r="3435" spans="1:8" x14ac:dyDescent="0.25">
      <c r="A3435" s="16">
        <v>42764</v>
      </c>
      <c r="B3435" s="17" t="s">
        <v>3846</v>
      </c>
      <c r="C3435" s="18">
        <v>99032</v>
      </c>
      <c r="D3435" s="2" t="s">
        <v>157</v>
      </c>
      <c r="E3435" s="15">
        <v>24072.86</v>
      </c>
      <c r="F3435" s="36" t="s">
        <v>2166</v>
      </c>
      <c r="G3435" s="15">
        <v>24072.86</v>
      </c>
      <c r="H3435" s="15">
        <f t="shared" si="54"/>
        <v>0</v>
      </c>
    </row>
    <row r="3436" spans="1:8" x14ac:dyDescent="0.25">
      <c r="A3436" s="16">
        <v>42764</v>
      </c>
      <c r="B3436" s="17" t="s">
        <v>3847</v>
      </c>
      <c r="C3436" s="18">
        <v>99033</v>
      </c>
      <c r="D3436" s="2" t="s">
        <v>21</v>
      </c>
      <c r="E3436" s="15">
        <v>38097</v>
      </c>
      <c r="F3436" s="36" t="s">
        <v>313</v>
      </c>
      <c r="G3436" s="15">
        <v>38097</v>
      </c>
      <c r="H3436" s="15">
        <f t="shared" si="54"/>
        <v>0</v>
      </c>
    </row>
    <row r="3437" spans="1:8" x14ac:dyDescent="0.25">
      <c r="A3437" s="16">
        <v>42764</v>
      </c>
      <c r="B3437" s="17" t="s">
        <v>3848</v>
      </c>
      <c r="C3437" s="18">
        <v>99034</v>
      </c>
      <c r="D3437" s="2" t="s">
        <v>422</v>
      </c>
      <c r="E3437" s="15">
        <v>1447.2</v>
      </c>
      <c r="F3437" s="36" t="s">
        <v>2166</v>
      </c>
      <c r="G3437" s="15">
        <v>1447.2</v>
      </c>
      <c r="H3437" s="15">
        <f t="shared" si="54"/>
        <v>0</v>
      </c>
    </row>
    <row r="3438" spans="1:8" x14ac:dyDescent="0.25">
      <c r="A3438" s="16">
        <v>42764</v>
      </c>
      <c r="B3438" s="17" t="s">
        <v>3849</v>
      </c>
      <c r="C3438" s="18">
        <v>99035</v>
      </c>
      <c r="D3438" s="2" t="s">
        <v>422</v>
      </c>
      <c r="E3438" s="15">
        <v>40</v>
      </c>
      <c r="F3438" s="36" t="s">
        <v>2166</v>
      </c>
      <c r="G3438" s="15">
        <v>40</v>
      </c>
      <c r="H3438" s="15">
        <f t="shared" si="54"/>
        <v>0</v>
      </c>
    </row>
    <row r="3439" spans="1:8" x14ac:dyDescent="0.25">
      <c r="A3439" s="16">
        <v>42764</v>
      </c>
      <c r="B3439" s="17" t="s">
        <v>3850</v>
      </c>
      <c r="C3439" s="18">
        <v>99036</v>
      </c>
      <c r="D3439" s="2" t="s">
        <v>79</v>
      </c>
      <c r="E3439" s="15">
        <v>4439.3999999999996</v>
      </c>
      <c r="F3439" s="36" t="s">
        <v>2166</v>
      </c>
      <c r="G3439" s="15">
        <v>4439.3999999999996</v>
      </c>
      <c r="H3439" s="15">
        <f t="shared" si="54"/>
        <v>0</v>
      </c>
    </row>
    <row r="3440" spans="1:8" x14ac:dyDescent="0.25">
      <c r="A3440" s="16">
        <v>42764</v>
      </c>
      <c r="B3440" s="17" t="s">
        <v>3851</v>
      </c>
      <c r="C3440" s="18">
        <v>99037</v>
      </c>
      <c r="D3440" s="2" t="s">
        <v>168</v>
      </c>
      <c r="E3440" s="15">
        <v>1766.4</v>
      </c>
      <c r="F3440" s="36" t="s">
        <v>2166</v>
      </c>
      <c r="G3440" s="15">
        <v>1766.4</v>
      </c>
      <c r="H3440" s="15">
        <f t="shared" si="54"/>
        <v>0</v>
      </c>
    </row>
    <row r="3441" spans="1:8" x14ac:dyDescent="0.25">
      <c r="A3441" s="16">
        <v>42764</v>
      </c>
      <c r="B3441" s="17" t="s">
        <v>3852</v>
      </c>
      <c r="C3441" s="18">
        <v>99038</v>
      </c>
      <c r="D3441" s="2" t="s">
        <v>476</v>
      </c>
      <c r="E3441" s="15">
        <v>13826.8</v>
      </c>
      <c r="F3441" s="36" t="s">
        <v>361</v>
      </c>
      <c r="G3441" s="15">
        <v>13826.8</v>
      </c>
      <c r="H3441" s="15">
        <f t="shared" si="54"/>
        <v>0</v>
      </c>
    </row>
    <row r="3442" spans="1:8" x14ac:dyDescent="0.25">
      <c r="A3442" s="16">
        <v>42764</v>
      </c>
      <c r="B3442" s="17" t="s">
        <v>3853</v>
      </c>
      <c r="C3442" s="18">
        <v>99039</v>
      </c>
      <c r="D3442" s="2" t="s">
        <v>1925</v>
      </c>
      <c r="E3442" s="15">
        <v>612.4</v>
      </c>
      <c r="F3442" s="36" t="s">
        <v>2166</v>
      </c>
      <c r="G3442" s="15">
        <v>612.4</v>
      </c>
      <c r="H3442" s="15">
        <f t="shared" si="54"/>
        <v>0</v>
      </c>
    </row>
    <row r="3443" spans="1:8" x14ac:dyDescent="0.25">
      <c r="A3443" s="16">
        <v>42764</v>
      </c>
      <c r="B3443" s="17" t="s">
        <v>3854</v>
      </c>
      <c r="C3443" s="18">
        <v>99040</v>
      </c>
      <c r="D3443" s="2" t="s">
        <v>457</v>
      </c>
      <c r="E3443" s="15">
        <v>5459.4</v>
      </c>
      <c r="F3443" s="36" t="s">
        <v>2166</v>
      </c>
      <c r="G3443" s="15">
        <v>5459.4</v>
      </c>
      <c r="H3443" s="15">
        <f t="shared" si="54"/>
        <v>0</v>
      </c>
    </row>
    <row r="3444" spans="1:8" x14ac:dyDescent="0.25">
      <c r="A3444" s="16">
        <v>42764</v>
      </c>
      <c r="B3444" s="17" t="s">
        <v>3855</v>
      </c>
      <c r="C3444" s="18">
        <v>99041</v>
      </c>
      <c r="D3444" s="2" t="s">
        <v>1259</v>
      </c>
      <c r="E3444" s="15">
        <v>2028.6</v>
      </c>
      <c r="F3444" s="36" t="s">
        <v>361</v>
      </c>
      <c r="G3444" s="15">
        <v>2028.6</v>
      </c>
      <c r="H3444" s="15">
        <f t="shared" si="54"/>
        <v>0</v>
      </c>
    </row>
    <row r="3445" spans="1:8" x14ac:dyDescent="0.25">
      <c r="A3445" s="16">
        <v>42764</v>
      </c>
      <c r="B3445" s="17" t="s">
        <v>3856</v>
      </c>
      <c r="C3445" s="18">
        <v>99042</v>
      </c>
      <c r="D3445" s="2" t="s">
        <v>81</v>
      </c>
      <c r="E3445" s="15">
        <v>3604.2</v>
      </c>
      <c r="F3445" s="36" t="s">
        <v>361</v>
      </c>
      <c r="G3445" s="15">
        <v>3604.2</v>
      </c>
      <c r="H3445" s="15">
        <f t="shared" si="54"/>
        <v>0</v>
      </c>
    </row>
    <row r="3446" spans="1:8" x14ac:dyDescent="0.25">
      <c r="A3446" s="16">
        <v>42764</v>
      </c>
      <c r="B3446" s="17" t="s">
        <v>3857</v>
      </c>
      <c r="C3446" s="18">
        <v>99043</v>
      </c>
      <c r="D3446" s="2" t="s">
        <v>305</v>
      </c>
      <c r="E3446" s="15">
        <v>5192.8</v>
      </c>
      <c r="F3446" s="36" t="s">
        <v>1173</v>
      </c>
      <c r="G3446" s="15">
        <v>5192.8</v>
      </c>
      <c r="H3446" s="15">
        <f t="shared" si="54"/>
        <v>0</v>
      </c>
    </row>
    <row r="3447" spans="1:8" x14ac:dyDescent="0.25">
      <c r="A3447" s="16">
        <v>42764</v>
      </c>
      <c r="B3447" s="17" t="s">
        <v>3858</v>
      </c>
      <c r="C3447" s="18">
        <v>99044</v>
      </c>
      <c r="D3447" s="2" t="s">
        <v>101</v>
      </c>
      <c r="E3447" s="15">
        <v>500</v>
      </c>
      <c r="F3447" s="36" t="s">
        <v>361</v>
      </c>
      <c r="G3447" s="15">
        <v>500</v>
      </c>
      <c r="H3447" s="15">
        <f t="shared" si="54"/>
        <v>0</v>
      </c>
    </row>
    <row r="3448" spans="1:8" x14ac:dyDescent="0.25">
      <c r="A3448" s="16">
        <v>42764</v>
      </c>
      <c r="B3448" s="17" t="s">
        <v>3859</v>
      </c>
      <c r="C3448" s="18">
        <v>99045</v>
      </c>
      <c r="D3448" s="2" t="s">
        <v>99</v>
      </c>
      <c r="E3448" s="15">
        <v>2500</v>
      </c>
      <c r="F3448" s="36" t="s">
        <v>361</v>
      </c>
      <c r="G3448" s="15">
        <v>2500</v>
      </c>
      <c r="H3448" s="15">
        <f t="shared" si="54"/>
        <v>0</v>
      </c>
    </row>
    <row r="3449" spans="1:8" x14ac:dyDescent="0.25">
      <c r="A3449" s="16">
        <v>42764</v>
      </c>
      <c r="B3449" s="17" t="s">
        <v>3860</v>
      </c>
      <c r="C3449" s="18">
        <v>99046</v>
      </c>
      <c r="D3449" s="2" t="s">
        <v>291</v>
      </c>
      <c r="E3449" s="15">
        <v>2750.7</v>
      </c>
      <c r="F3449" s="36" t="s">
        <v>361</v>
      </c>
      <c r="G3449" s="15">
        <v>2750.7</v>
      </c>
      <c r="H3449" s="15">
        <f t="shared" si="54"/>
        <v>0</v>
      </c>
    </row>
    <row r="3450" spans="1:8" x14ac:dyDescent="0.25">
      <c r="A3450" s="16">
        <v>42764</v>
      </c>
      <c r="B3450" s="17" t="s">
        <v>3861</v>
      </c>
      <c r="C3450" s="18">
        <v>99047</v>
      </c>
      <c r="D3450" s="2" t="s">
        <v>293</v>
      </c>
      <c r="E3450" s="15">
        <v>482.3</v>
      </c>
      <c r="F3450" s="36" t="s">
        <v>361</v>
      </c>
      <c r="G3450" s="15">
        <v>482.3</v>
      </c>
      <c r="H3450" s="15">
        <f t="shared" si="54"/>
        <v>0</v>
      </c>
    </row>
    <row r="3451" spans="1:8" x14ac:dyDescent="0.25">
      <c r="A3451" s="16">
        <v>42764</v>
      </c>
      <c r="B3451" s="17" t="s">
        <v>3862</v>
      </c>
      <c r="C3451" s="18">
        <v>99048</v>
      </c>
      <c r="D3451" s="2" t="s">
        <v>470</v>
      </c>
      <c r="E3451" s="15">
        <v>9550.6</v>
      </c>
      <c r="F3451" s="124" t="s">
        <v>3863</v>
      </c>
      <c r="G3451" s="20">
        <f>1000+8550.6</f>
        <v>9550.6</v>
      </c>
      <c r="H3451" s="20">
        <f t="shared" si="54"/>
        <v>0</v>
      </c>
    </row>
    <row r="3452" spans="1:8" x14ac:dyDescent="0.25">
      <c r="A3452" s="16">
        <v>42764</v>
      </c>
      <c r="B3452" s="17" t="s">
        <v>3864</v>
      </c>
      <c r="C3452" s="18">
        <v>99049</v>
      </c>
      <c r="D3452" s="2" t="s">
        <v>88</v>
      </c>
      <c r="E3452" s="15">
        <v>8037.6</v>
      </c>
      <c r="F3452" s="36" t="s">
        <v>361</v>
      </c>
      <c r="G3452" s="15">
        <v>8037.6</v>
      </c>
      <c r="H3452" s="15">
        <f t="shared" si="54"/>
        <v>0</v>
      </c>
    </row>
    <row r="3453" spans="1:8" x14ac:dyDescent="0.25">
      <c r="A3453" s="16">
        <v>42764</v>
      </c>
      <c r="B3453" s="17" t="s">
        <v>3865</v>
      </c>
      <c r="C3453" s="18">
        <v>99050</v>
      </c>
      <c r="D3453" s="2" t="s">
        <v>83</v>
      </c>
      <c r="E3453" s="15">
        <v>5371.2</v>
      </c>
      <c r="F3453" s="36" t="s">
        <v>361</v>
      </c>
      <c r="G3453" s="15">
        <v>5371.2</v>
      </c>
      <c r="H3453" s="15">
        <f t="shared" si="54"/>
        <v>0</v>
      </c>
    </row>
    <row r="3454" spans="1:8" x14ac:dyDescent="0.25">
      <c r="A3454" s="16">
        <v>42764</v>
      </c>
      <c r="B3454" s="17" t="s">
        <v>3866</v>
      </c>
      <c r="C3454" s="18">
        <v>99051</v>
      </c>
      <c r="D3454" s="2" t="s">
        <v>159</v>
      </c>
      <c r="E3454" s="15">
        <v>5474.2</v>
      </c>
      <c r="F3454" s="36" t="s">
        <v>361</v>
      </c>
      <c r="G3454" s="15">
        <v>5474.2</v>
      </c>
      <c r="H3454" s="15">
        <f t="shared" si="54"/>
        <v>0</v>
      </c>
    </row>
    <row r="3455" spans="1:8" x14ac:dyDescent="0.25">
      <c r="A3455" s="16">
        <v>42764</v>
      </c>
      <c r="B3455" s="17" t="s">
        <v>3867</v>
      </c>
      <c r="C3455" s="18">
        <v>99052</v>
      </c>
      <c r="D3455" s="2" t="s">
        <v>109</v>
      </c>
      <c r="E3455" s="15">
        <v>157.5</v>
      </c>
      <c r="F3455" s="36" t="s">
        <v>361</v>
      </c>
      <c r="G3455" s="15">
        <v>157.5</v>
      </c>
      <c r="H3455" s="15">
        <f t="shared" si="54"/>
        <v>0</v>
      </c>
    </row>
    <row r="3456" spans="1:8" x14ac:dyDescent="0.25">
      <c r="A3456" s="16">
        <v>42764</v>
      </c>
      <c r="B3456" s="17" t="s">
        <v>3868</v>
      </c>
      <c r="C3456" s="18">
        <v>99053</v>
      </c>
      <c r="D3456" s="2" t="s">
        <v>293</v>
      </c>
      <c r="E3456" s="15">
        <v>390</v>
      </c>
      <c r="F3456" s="36" t="s">
        <v>361</v>
      </c>
      <c r="G3456" s="15">
        <v>390</v>
      </c>
      <c r="H3456" s="15">
        <f t="shared" si="54"/>
        <v>0</v>
      </c>
    </row>
    <row r="3457" spans="1:8" x14ac:dyDescent="0.25">
      <c r="A3457" s="16">
        <v>42764</v>
      </c>
      <c r="B3457" s="17" t="s">
        <v>3869</v>
      </c>
      <c r="C3457" s="18">
        <v>99054</v>
      </c>
      <c r="D3457" s="2" t="s">
        <v>309</v>
      </c>
      <c r="E3457" s="15">
        <v>3795.7</v>
      </c>
      <c r="F3457" s="36" t="s">
        <v>2166</v>
      </c>
      <c r="G3457" s="15">
        <v>3795.7</v>
      </c>
      <c r="H3457" s="15">
        <f t="shared" si="54"/>
        <v>0</v>
      </c>
    </row>
    <row r="3458" spans="1:8" x14ac:dyDescent="0.25">
      <c r="A3458" s="16">
        <v>42764</v>
      </c>
      <c r="B3458" s="17" t="s">
        <v>3870</v>
      </c>
      <c r="C3458" s="18">
        <v>99055</v>
      </c>
      <c r="D3458" s="2" t="s">
        <v>205</v>
      </c>
      <c r="E3458" s="15">
        <v>9966.6</v>
      </c>
      <c r="F3458" s="36" t="s">
        <v>1173</v>
      </c>
      <c r="G3458" s="15">
        <v>9966.6</v>
      </c>
      <c r="H3458" s="15">
        <f t="shared" si="54"/>
        <v>0</v>
      </c>
    </row>
    <row r="3459" spans="1:8" x14ac:dyDescent="0.25">
      <c r="A3459" s="16">
        <v>42764</v>
      </c>
      <c r="B3459" s="17" t="s">
        <v>3871</v>
      </c>
      <c r="C3459" s="18">
        <v>99056</v>
      </c>
      <c r="D3459" s="2" t="s">
        <v>128</v>
      </c>
      <c r="E3459" s="15">
        <v>2613.12</v>
      </c>
      <c r="F3459" s="36" t="s">
        <v>1173</v>
      </c>
      <c r="G3459" s="15">
        <v>2613.12</v>
      </c>
      <c r="H3459" s="15">
        <f t="shared" si="54"/>
        <v>0</v>
      </c>
    </row>
    <row r="3460" spans="1:8" x14ac:dyDescent="0.25">
      <c r="A3460" s="16">
        <v>42764</v>
      </c>
      <c r="B3460" s="17" t="s">
        <v>3872</v>
      </c>
      <c r="C3460" s="18">
        <v>99057</v>
      </c>
      <c r="D3460" s="2" t="s">
        <v>1116</v>
      </c>
      <c r="E3460" s="15">
        <v>4741</v>
      </c>
      <c r="F3460" s="36" t="s">
        <v>3126</v>
      </c>
      <c r="G3460" s="15">
        <v>4741</v>
      </c>
      <c r="H3460" s="15">
        <f t="shared" si="54"/>
        <v>0</v>
      </c>
    </row>
    <row r="3461" spans="1:8" x14ac:dyDescent="0.25">
      <c r="A3461" s="16">
        <v>42764</v>
      </c>
      <c r="B3461" s="17" t="s">
        <v>3873</v>
      </c>
      <c r="C3461" s="18">
        <v>99058</v>
      </c>
      <c r="D3461" s="2" t="s">
        <v>492</v>
      </c>
      <c r="E3461" s="15">
        <v>6300</v>
      </c>
      <c r="F3461" s="36" t="s">
        <v>765</v>
      </c>
      <c r="G3461" s="15">
        <v>6300</v>
      </c>
      <c r="H3461" s="15">
        <f t="shared" si="54"/>
        <v>0</v>
      </c>
    </row>
    <row r="3462" spans="1:8" x14ac:dyDescent="0.25">
      <c r="A3462" s="16">
        <v>42764</v>
      </c>
      <c r="B3462" s="17" t="s">
        <v>3874</v>
      </c>
      <c r="C3462" s="18">
        <v>99059</v>
      </c>
      <c r="D3462" s="2" t="s">
        <v>470</v>
      </c>
      <c r="E3462" s="15">
        <v>720</v>
      </c>
      <c r="F3462" s="36" t="s">
        <v>2166</v>
      </c>
      <c r="G3462" s="15">
        <v>720</v>
      </c>
      <c r="H3462" s="15">
        <f t="shared" ref="H3462:H3525" si="55">E3462-G3462</f>
        <v>0</v>
      </c>
    </row>
    <row r="3463" spans="1:8" x14ac:dyDescent="0.25">
      <c r="A3463" s="16">
        <v>42764</v>
      </c>
      <c r="B3463" s="17" t="s">
        <v>3875</v>
      </c>
      <c r="C3463" s="18">
        <v>99060</v>
      </c>
      <c r="D3463" s="2" t="s">
        <v>115</v>
      </c>
      <c r="E3463" s="15">
        <v>575.20000000000005</v>
      </c>
      <c r="F3463" s="36" t="s">
        <v>2166</v>
      </c>
      <c r="G3463" s="15">
        <v>575.20000000000005</v>
      </c>
      <c r="H3463" s="15">
        <f t="shared" si="55"/>
        <v>0</v>
      </c>
    </row>
    <row r="3464" spans="1:8" x14ac:dyDescent="0.25">
      <c r="A3464" s="16">
        <v>42764</v>
      </c>
      <c r="B3464" s="17" t="s">
        <v>3876</v>
      </c>
      <c r="C3464" s="18">
        <v>99061</v>
      </c>
      <c r="D3464" s="2" t="s">
        <v>1830</v>
      </c>
      <c r="E3464" s="15">
        <v>18263.599999999999</v>
      </c>
      <c r="F3464" s="36" t="s">
        <v>2166</v>
      </c>
      <c r="G3464" s="15">
        <v>18263.599999999999</v>
      </c>
      <c r="H3464" s="15">
        <f t="shared" si="55"/>
        <v>0</v>
      </c>
    </row>
    <row r="3465" spans="1:8" x14ac:dyDescent="0.25">
      <c r="A3465" s="16">
        <v>42764</v>
      </c>
      <c r="B3465" s="17" t="s">
        <v>3877</v>
      </c>
      <c r="C3465" s="18">
        <v>99062</v>
      </c>
      <c r="D3465" s="2" t="s">
        <v>149</v>
      </c>
      <c r="E3465" s="15">
        <v>2843.4</v>
      </c>
      <c r="F3465" s="36" t="s">
        <v>2166</v>
      </c>
      <c r="G3465" s="15">
        <v>2843.4</v>
      </c>
      <c r="H3465" s="15">
        <f t="shared" si="55"/>
        <v>0</v>
      </c>
    </row>
    <row r="3466" spans="1:8" x14ac:dyDescent="0.25">
      <c r="A3466" s="16">
        <v>42764</v>
      </c>
      <c r="B3466" s="17" t="s">
        <v>3878</v>
      </c>
      <c r="C3466" s="18">
        <v>99063</v>
      </c>
      <c r="D3466" s="2" t="s">
        <v>319</v>
      </c>
      <c r="E3466" s="15">
        <v>4625.6000000000004</v>
      </c>
      <c r="F3466" s="124" t="s">
        <v>3879</v>
      </c>
      <c r="G3466" s="20">
        <f>3000+1625.6</f>
        <v>4625.6000000000004</v>
      </c>
      <c r="H3466" s="20">
        <f t="shared" si="55"/>
        <v>0</v>
      </c>
    </row>
    <row r="3467" spans="1:8" x14ac:dyDescent="0.25">
      <c r="A3467" s="16">
        <v>42764</v>
      </c>
      <c r="B3467" s="17" t="s">
        <v>3880</v>
      </c>
      <c r="C3467" s="18">
        <v>99064</v>
      </c>
      <c r="D3467" s="2" t="s">
        <v>220</v>
      </c>
      <c r="E3467" s="15">
        <v>2097</v>
      </c>
      <c r="F3467" s="36" t="s">
        <v>2166</v>
      </c>
      <c r="G3467" s="15">
        <v>2097</v>
      </c>
      <c r="H3467" s="15">
        <f t="shared" si="55"/>
        <v>0</v>
      </c>
    </row>
    <row r="3468" spans="1:8" x14ac:dyDescent="0.25">
      <c r="A3468" s="16">
        <v>42764</v>
      </c>
      <c r="B3468" s="17" t="s">
        <v>3881</v>
      </c>
      <c r="C3468" s="18">
        <v>99065</v>
      </c>
      <c r="D3468" s="2" t="s">
        <v>1299</v>
      </c>
      <c r="E3468" s="15">
        <v>4963.2</v>
      </c>
      <c r="F3468" s="36" t="s">
        <v>2166</v>
      </c>
      <c r="G3468" s="15">
        <v>4963.2</v>
      </c>
      <c r="H3468" s="15">
        <f t="shared" si="55"/>
        <v>0</v>
      </c>
    </row>
    <row r="3469" spans="1:8" x14ac:dyDescent="0.25">
      <c r="A3469" s="16">
        <v>42764</v>
      </c>
      <c r="B3469" s="17" t="s">
        <v>3882</v>
      </c>
      <c r="C3469" s="18">
        <v>99066</v>
      </c>
      <c r="D3469" s="2" t="s">
        <v>12</v>
      </c>
      <c r="E3469" s="15">
        <v>1822.8</v>
      </c>
      <c r="F3469" s="36" t="s">
        <v>2166</v>
      </c>
      <c r="G3469" s="15">
        <v>1822.8</v>
      </c>
      <c r="H3469" s="15">
        <f t="shared" si="55"/>
        <v>0</v>
      </c>
    </row>
    <row r="3470" spans="1:8" x14ac:dyDescent="0.25">
      <c r="A3470" s="16">
        <v>42764</v>
      </c>
      <c r="B3470" s="17" t="s">
        <v>3883</v>
      </c>
      <c r="C3470" s="18">
        <v>99067</v>
      </c>
      <c r="D3470" s="2" t="s">
        <v>509</v>
      </c>
      <c r="E3470" s="15">
        <v>15181</v>
      </c>
      <c r="F3470" s="36" t="s">
        <v>765</v>
      </c>
      <c r="G3470" s="15">
        <v>15181</v>
      </c>
      <c r="H3470" s="15">
        <f t="shared" si="55"/>
        <v>0</v>
      </c>
    </row>
    <row r="3471" spans="1:8" x14ac:dyDescent="0.25">
      <c r="A3471" s="16">
        <v>42764</v>
      </c>
      <c r="B3471" s="17" t="s">
        <v>3884</v>
      </c>
      <c r="C3471" s="18">
        <v>99068</v>
      </c>
      <c r="D3471" s="13" t="s">
        <v>30</v>
      </c>
      <c r="E3471" s="14">
        <v>0</v>
      </c>
      <c r="F3471" s="123" t="s">
        <v>95</v>
      </c>
      <c r="G3471" s="14">
        <v>0</v>
      </c>
      <c r="H3471" s="14">
        <f t="shared" si="55"/>
        <v>0</v>
      </c>
    </row>
    <row r="3472" spans="1:8" x14ac:dyDescent="0.25">
      <c r="A3472" s="16">
        <v>42764</v>
      </c>
      <c r="B3472" s="17" t="s">
        <v>3885</v>
      </c>
      <c r="C3472" s="18">
        <v>99069</v>
      </c>
      <c r="D3472" s="13" t="s">
        <v>30</v>
      </c>
      <c r="E3472" s="14">
        <v>0</v>
      </c>
      <c r="F3472" s="123" t="s">
        <v>95</v>
      </c>
      <c r="G3472" s="14">
        <v>0</v>
      </c>
      <c r="H3472" s="14">
        <f t="shared" si="55"/>
        <v>0</v>
      </c>
    </row>
    <row r="3473" spans="1:8" x14ac:dyDescent="0.25">
      <c r="A3473" s="16">
        <v>42764</v>
      </c>
      <c r="B3473" s="17" t="s">
        <v>3886</v>
      </c>
      <c r="C3473" s="18">
        <v>99070</v>
      </c>
      <c r="D3473" s="2" t="s">
        <v>30</v>
      </c>
      <c r="E3473" s="15">
        <v>660.8</v>
      </c>
      <c r="F3473" s="36" t="s">
        <v>2166</v>
      </c>
      <c r="G3473" s="15">
        <v>660.8</v>
      </c>
      <c r="H3473" s="15">
        <f t="shared" si="55"/>
        <v>0</v>
      </c>
    </row>
    <row r="3474" spans="1:8" x14ac:dyDescent="0.25">
      <c r="A3474" s="16">
        <v>42764</v>
      </c>
      <c r="B3474" s="17" t="s">
        <v>3887</v>
      </c>
      <c r="C3474" s="18">
        <v>99071</v>
      </c>
      <c r="D3474" s="2" t="s">
        <v>77</v>
      </c>
      <c r="E3474" s="15">
        <v>534</v>
      </c>
      <c r="F3474" s="36" t="s">
        <v>2166</v>
      </c>
      <c r="G3474" s="15">
        <v>534</v>
      </c>
      <c r="H3474" s="15">
        <f t="shared" si="55"/>
        <v>0</v>
      </c>
    </row>
    <row r="3475" spans="1:8" x14ac:dyDescent="0.25">
      <c r="A3475" s="16">
        <v>42764</v>
      </c>
      <c r="B3475" s="17" t="s">
        <v>3888</v>
      </c>
      <c r="C3475" s="18">
        <v>99072</v>
      </c>
      <c r="D3475" s="2" t="s">
        <v>358</v>
      </c>
      <c r="E3475" s="15">
        <v>38115.599999999999</v>
      </c>
      <c r="F3475" s="36" t="s">
        <v>361</v>
      </c>
      <c r="G3475" s="15">
        <v>38115.599999999999</v>
      </c>
      <c r="H3475" s="15">
        <f t="shared" si="55"/>
        <v>0</v>
      </c>
    </row>
    <row r="3476" spans="1:8" x14ac:dyDescent="0.25">
      <c r="A3476" s="16">
        <v>42764</v>
      </c>
      <c r="B3476" s="17" t="s">
        <v>3889</v>
      </c>
      <c r="C3476" s="18">
        <v>99073</v>
      </c>
      <c r="D3476" s="2" t="s">
        <v>133</v>
      </c>
      <c r="E3476" s="15">
        <v>733.2</v>
      </c>
      <c r="F3476" s="36" t="s">
        <v>2166</v>
      </c>
      <c r="G3476" s="15">
        <v>733.2</v>
      </c>
      <c r="H3476" s="15">
        <f t="shared" si="55"/>
        <v>0</v>
      </c>
    </row>
    <row r="3477" spans="1:8" x14ac:dyDescent="0.25">
      <c r="A3477" s="16">
        <v>42764</v>
      </c>
      <c r="B3477" s="17" t="s">
        <v>3890</v>
      </c>
      <c r="C3477" s="18">
        <v>99074</v>
      </c>
      <c r="D3477" s="2" t="s">
        <v>53</v>
      </c>
      <c r="E3477" s="15">
        <v>3283.2</v>
      </c>
      <c r="F3477" s="36" t="s">
        <v>361</v>
      </c>
      <c r="G3477" s="15">
        <v>3283.2</v>
      </c>
      <c r="H3477" s="15">
        <f t="shared" si="55"/>
        <v>0</v>
      </c>
    </row>
    <row r="3478" spans="1:8" x14ac:dyDescent="0.25">
      <c r="A3478" s="16">
        <v>42764</v>
      </c>
      <c r="B3478" s="17" t="s">
        <v>3891</v>
      </c>
      <c r="C3478" s="18">
        <v>99075</v>
      </c>
      <c r="D3478" s="2" t="s">
        <v>57</v>
      </c>
      <c r="E3478" s="15">
        <v>705</v>
      </c>
      <c r="F3478" s="36" t="s">
        <v>361</v>
      </c>
      <c r="G3478" s="15">
        <v>705</v>
      </c>
      <c r="H3478" s="15">
        <f t="shared" si="55"/>
        <v>0</v>
      </c>
    </row>
    <row r="3479" spans="1:8" x14ac:dyDescent="0.25">
      <c r="A3479" s="16">
        <v>42764</v>
      </c>
      <c r="B3479" s="17" t="s">
        <v>3892</v>
      </c>
      <c r="C3479" s="18">
        <v>99076</v>
      </c>
      <c r="D3479" s="2" t="s">
        <v>480</v>
      </c>
      <c r="E3479" s="15">
        <v>1580.38</v>
      </c>
      <c r="F3479" s="36" t="s">
        <v>361</v>
      </c>
      <c r="G3479" s="15">
        <v>1580.38</v>
      </c>
      <c r="H3479" s="15">
        <f t="shared" si="55"/>
        <v>0</v>
      </c>
    </row>
    <row r="3480" spans="1:8" x14ac:dyDescent="0.25">
      <c r="A3480" s="16">
        <v>42764</v>
      </c>
      <c r="B3480" s="17" t="s">
        <v>3893</v>
      </c>
      <c r="C3480" s="18">
        <v>99077</v>
      </c>
      <c r="D3480" s="2" t="s">
        <v>133</v>
      </c>
      <c r="E3480" s="15">
        <v>1037.4000000000001</v>
      </c>
      <c r="F3480" s="36" t="s">
        <v>2166</v>
      </c>
      <c r="G3480" s="15">
        <v>1037.4000000000001</v>
      </c>
      <c r="H3480" s="15">
        <f t="shared" si="55"/>
        <v>0</v>
      </c>
    </row>
    <row r="3481" spans="1:8" x14ac:dyDescent="0.25">
      <c r="A3481" s="16">
        <v>42764</v>
      </c>
      <c r="B3481" s="17" t="s">
        <v>3894</v>
      </c>
      <c r="C3481" s="18">
        <v>99078</v>
      </c>
      <c r="D3481" s="2" t="s">
        <v>133</v>
      </c>
      <c r="E3481" s="15">
        <v>37.799999999999997</v>
      </c>
      <c r="F3481" s="36" t="s">
        <v>2166</v>
      </c>
      <c r="G3481" s="15">
        <v>37.799999999999997</v>
      </c>
      <c r="H3481" s="15">
        <f t="shared" si="55"/>
        <v>0</v>
      </c>
    </row>
    <row r="3482" spans="1:8" x14ac:dyDescent="0.25">
      <c r="A3482" s="16">
        <v>42764</v>
      </c>
      <c r="B3482" s="17" t="s">
        <v>3895</v>
      </c>
      <c r="C3482" s="18">
        <v>99079</v>
      </c>
      <c r="D3482" s="2" t="s">
        <v>231</v>
      </c>
      <c r="E3482" s="15">
        <v>3733.2</v>
      </c>
      <c r="F3482" s="36" t="s">
        <v>361</v>
      </c>
      <c r="G3482" s="15">
        <v>3733.2</v>
      </c>
      <c r="H3482" s="15">
        <f t="shared" si="55"/>
        <v>0</v>
      </c>
    </row>
    <row r="3483" spans="1:8" x14ac:dyDescent="0.25">
      <c r="A3483" s="16">
        <v>42764</v>
      </c>
      <c r="B3483" s="17" t="s">
        <v>3896</v>
      </c>
      <c r="C3483" s="18">
        <v>99080</v>
      </c>
      <c r="D3483" s="2" t="s">
        <v>1141</v>
      </c>
      <c r="E3483" s="15">
        <v>12438.9</v>
      </c>
      <c r="F3483" s="36" t="s">
        <v>3064</v>
      </c>
      <c r="G3483" s="15">
        <v>12438.9</v>
      </c>
      <c r="H3483" s="15">
        <f t="shared" si="55"/>
        <v>0</v>
      </c>
    </row>
    <row r="3484" spans="1:8" x14ac:dyDescent="0.25">
      <c r="A3484" s="16">
        <v>42764</v>
      </c>
      <c r="B3484" s="17" t="s">
        <v>3897</v>
      </c>
      <c r="C3484" s="18">
        <v>99081</v>
      </c>
      <c r="D3484" s="2" t="s">
        <v>211</v>
      </c>
      <c r="E3484" s="15">
        <v>8506.7999999999993</v>
      </c>
      <c r="F3484" s="36" t="s">
        <v>2166</v>
      </c>
      <c r="G3484" s="15">
        <v>8506.7999999999993</v>
      </c>
      <c r="H3484" s="15">
        <f t="shared" si="55"/>
        <v>0</v>
      </c>
    </row>
    <row r="3485" spans="1:8" x14ac:dyDescent="0.25">
      <c r="A3485" s="16">
        <v>42764</v>
      </c>
      <c r="B3485" s="17" t="s">
        <v>3898</v>
      </c>
      <c r="C3485" s="18">
        <v>99082</v>
      </c>
      <c r="D3485" s="2" t="s">
        <v>367</v>
      </c>
      <c r="E3485" s="15">
        <v>1350</v>
      </c>
      <c r="F3485" s="36" t="s">
        <v>2166</v>
      </c>
      <c r="G3485" s="15">
        <v>1350</v>
      </c>
      <c r="H3485" s="15">
        <f t="shared" si="55"/>
        <v>0</v>
      </c>
    </row>
    <row r="3486" spans="1:8" x14ac:dyDescent="0.25">
      <c r="A3486" s="16">
        <v>42764</v>
      </c>
      <c r="B3486" s="17" t="s">
        <v>3899</v>
      </c>
      <c r="C3486" s="18">
        <v>99083</v>
      </c>
      <c r="D3486" s="2" t="s">
        <v>1925</v>
      </c>
      <c r="E3486" s="15">
        <v>456</v>
      </c>
      <c r="F3486" s="36" t="s">
        <v>2166</v>
      </c>
      <c r="G3486" s="15">
        <v>456</v>
      </c>
      <c r="H3486" s="15">
        <f t="shared" si="55"/>
        <v>0</v>
      </c>
    </row>
    <row r="3487" spans="1:8" x14ac:dyDescent="0.25">
      <c r="A3487" s="16">
        <v>42764</v>
      </c>
      <c r="B3487" s="17" t="s">
        <v>3900</v>
      </c>
      <c r="C3487" s="18">
        <v>99084</v>
      </c>
      <c r="D3487" s="2" t="s">
        <v>866</v>
      </c>
      <c r="E3487" s="15">
        <v>920</v>
      </c>
      <c r="F3487" s="36" t="s">
        <v>2166</v>
      </c>
      <c r="G3487" s="15">
        <v>920</v>
      </c>
      <c r="H3487" s="15">
        <f t="shared" si="55"/>
        <v>0</v>
      </c>
    </row>
    <row r="3488" spans="1:8" x14ac:dyDescent="0.25">
      <c r="A3488" s="16">
        <v>42765</v>
      </c>
      <c r="B3488" s="17" t="s">
        <v>3901</v>
      </c>
      <c r="C3488" s="18">
        <v>99085</v>
      </c>
      <c r="D3488" s="2" t="s">
        <v>374</v>
      </c>
      <c r="E3488" s="15">
        <v>5976.6</v>
      </c>
      <c r="F3488" s="36" t="s">
        <v>361</v>
      </c>
      <c r="G3488" s="15">
        <v>5976.6</v>
      </c>
      <c r="H3488" s="15">
        <f t="shared" si="55"/>
        <v>0</v>
      </c>
    </row>
    <row r="3489" spans="1:8" x14ac:dyDescent="0.25">
      <c r="A3489" s="16">
        <v>42765</v>
      </c>
      <c r="B3489" s="17" t="s">
        <v>3902</v>
      </c>
      <c r="C3489" s="18">
        <v>99086</v>
      </c>
      <c r="D3489" s="2" t="s">
        <v>231</v>
      </c>
      <c r="E3489" s="15">
        <v>7463.7</v>
      </c>
      <c r="F3489" s="36" t="s">
        <v>1173</v>
      </c>
      <c r="G3489" s="15">
        <v>7463.7</v>
      </c>
      <c r="H3489" s="15">
        <f t="shared" si="55"/>
        <v>0</v>
      </c>
    </row>
    <row r="3490" spans="1:8" x14ac:dyDescent="0.25">
      <c r="A3490" s="16">
        <v>42765</v>
      </c>
      <c r="B3490" s="17" t="s">
        <v>3903</v>
      </c>
      <c r="C3490" s="18">
        <v>99087</v>
      </c>
      <c r="D3490" s="2" t="s">
        <v>231</v>
      </c>
      <c r="E3490" s="15">
        <v>47036.800000000003</v>
      </c>
      <c r="F3490" s="36" t="s">
        <v>1173</v>
      </c>
      <c r="G3490" s="15">
        <v>47036.800000000003</v>
      </c>
      <c r="H3490" s="15">
        <f t="shared" si="55"/>
        <v>0</v>
      </c>
    </row>
    <row r="3491" spans="1:8" x14ac:dyDescent="0.25">
      <c r="A3491" s="16">
        <v>42765</v>
      </c>
      <c r="B3491" s="17" t="s">
        <v>3904</v>
      </c>
      <c r="C3491" s="18">
        <v>99088</v>
      </c>
      <c r="D3491" s="2" t="s">
        <v>28</v>
      </c>
      <c r="E3491" s="15">
        <v>4888</v>
      </c>
      <c r="F3491" s="36" t="s">
        <v>361</v>
      </c>
      <c r="G3491" s="15">
        <v>4888</v>
      </c>
      <c r="H3491" s="15">
        <f t="shared" si="55"/>
        <v>0</v>
      </c>
    </row>
    <row r="3492" spans="1:8" x14ac:dyDescent="0.25">
      <c r="A3492" s="16">
        <v>42765</v>
      </c>
      <c r="B3492" s="17" t="s">
        <v>3905</v>
      </c>
      <c r="C3492" s="18">
        <v>99089</v>
      </c>
      <c r="D3492" s="2" t="s">
        <v>32</v>
      </c>
      <c r="E3492" s="15">
        <v>6682.5</v>
      </c>
      <c r="F3492" s="36" t="s">
        <v>3126</v>
      </c>
      <c r="G3492" s="15">
        <v>6682.5</v>
      </c>
      <c r="H3492" s="15">
        <f t="shared" si="55"/>
        <v>0</v>
      </c>
    </row>
    <row r="3493" spans="1:8" x14ac:dyDescent="0.25">
      <c r="A3493" s="16">
        <v>42765</v>
      </c>
      <c r="B3493" s="17" t="s">
        <v>3906</v>
      </c>
      <c r="C3493" s="18">
        <v>99090</v>
      </c>
      <c r="D3493" s="2" t="s">
        <v>1786</v>
      </c>
      <c r="E3493" s="15">
        <v>10803</v>
      </c>
      <c r="F3493" s="36" t="s">
        <v>361</v>
      </c>
      <c r="G3493" s="15">
        <v>10803</v>
      </c>
      <c r="H3493" s="15">
        <f t="shared" si="55"/>
        <v>0</v>
      </c>
    </row>
    <row r="3494" spans="1:8" x14ac:dyDescent="0.25">
      <c r="A3494" s="16">
        <v>42765</v>
      </c>
      <c r="B3494" s="17" t="s">
        <v>3907</v>
      </c>
      <c r="C3494" s="18">
        <v>99091</v>
      </c>
      <c r="D3494" s="2" t="s">
        <v>49</v>
      </c>
      <c r="E3494" s="15">
        <v>13992</v>
      </c>
      <c r="F3494" s="124" t="s">
        <v>4168</v>
      </c>
      <c r="G3494" s="20">
        <f>5000+8992</f>
        <v>13992</v>
      </c>
      <c r="H3494" s="20">
        <f t="shared" si="55"/>
        <v>0</v>
      </c>
    </row>
    <row r="3495" spans="1:8" x14ac:dyDescent="0.25">
      <c r="A3495" s="16">
        <v>42765</v>
      </c>
      <c r="B3495" s="17" t="s">
        <v>3908</v>
      </c>
      <c r="C3495" s="18">
        <v>99092</v>
      </c>
      <c r="D3495" s="2" t="s">
        <v>17</v>
      </c>
      <c r="E3495" s="15">
        <v>1500</v>
      </c>
      <c r="F3495" s="36" t="s">
        <v>361</v>
      </c>
      <c r="G3495" s="15">
        <v>1500</v>
      </c>
      <c r="H3495" s="15">
        <f t="shared" si="55"/>
        <v>0</v>
      </c>
    </row>
    <row r="3496" spans="1:8" x14ac:dyDescent="0.25">
      <c r="A3496" s="16">
        <v>42765</v>
      </c>
      <c r="B3496" s="17" t="s">
        <v>3909</v>
      </c>
      <c r="C3496" s="18">
        <v>99093</v>
      </c>
      <c r="D3496" s="2" t="s">
        <v>428</v>
      </c>
      <c r="E3496" s="15">
        <v>2158</v>
      </c>
      <c r="F3496" s="36" t="s">
        <v>3126</v>
      </c>
      <c r="G3496" s="15">
        <v>2158</v>
      </c>
      <c r="H3496" s="15">
        <f t="shared" si="55"/>
        <v>0</v>
      </c>
    </row>
    <row r="3497" spans="1:8" x14ac:dyDescent="0.25">
      <c r="A3497" s="16">
        <v>42765</v>
      </c>
      <c r="B3497" s="17" t="s">
        <v>3910</v>
      </c>
      <c r="C3497" s="18">
        <v>99094</v>
      </c>
      <c r="D3497" s="13" t="s">
        <v>14</v>
      </c>
      <c r="E3497" s="14">
        <v>0</v>
      </c>
      <c r="F3497" s="123" t="s">
        <v>95</v>
      </c>
      <c r="G3497" s="14">
        <v>0</v>
      </c>
      <c r="H3497" s="14">
        <f t="shared" si="55"/>
        <v>0</v>
      </c>
    </row>
    <row r="3498" spans="1:8" x14ac:dyDescent="0.25">
      <c r="A3498" s="16">
        <v>42765</v>
      </c>
      <c r="B3498" s="17" t="s">
        <v>3911</v>
      </c>
      <c r="C3498" s="18">
        <v>99095</v>
      </c>
      <c r="D3498" s="2" t="s">
        <v>14</v>
      </c>
      <c r="E3498" s="15">
        <v>16932</v>
      </c>
      <c r="F3498" s="36" t="s">
        <v>361</v>
      </c>
      <c r="G3498" s="15">
        <v>16932</v>
      </c>
      <c r="H3498" s="15">
        <f t="shared" si="55"/>
        <v>0</v>
      </c>
    </row>
    <row r="3499" spans="1:8" x14ac:dyDescent="0.25">
      <c r="A3499" s="16">
        <v>42765</v>
      </c>
      <c r="B3499" s="17" t="s">
        <v>3912</v>
      </c>
      <c r="C3499" s="18">
        <v>99096</v>
      </c>
      <c r="D3499" s="2" t="s">
        <v>69</v>
      </c>
      <c r="E3499" s="15">
        <v>3520.4</v>
      </c>
      <c r="F3499" s="36" t="s">
        <v>361</v>
      </c>
      <c r="G3499" s="15">
        <v>3520.4</v>
      </c>
      <c r="H3499" s="15">
        <f t="shared" si="55"/>
        <v>0</v>
      </c>
    </row>
    <row r="3500" spans="1:8" x14ac:dyDescent="0.25">
      <c r="A3500" s="16">
        <v>42765</v>
      </c>
      <c r="B3500" s="17" t="s">
        <v>3913</v>
      </c>
      <c r="C3500" s="18">
        <v>99097</v>
      </c>
      <c r="D3500" s="2" t="s">
        <v>26</v>
      </c>
      <c r="E3500" s="15">
        <v>29419.200000000001</v>
      </c>
      <c r="F3500" s="36" t="s">
        <v>361</v>
      </c>
      <c r="G3500" s="15">
        <v>29419.200000000001</v>
      </c>
      <c r="H3500" s="15">
        <f t="shared" si="55"/>
        <v>0</v>
      </c>
    </row>
    <row r="3501" spans="1:8" x14ac:dyDescent="0.25">
      <c r="A3501" s="16">
        <v>42765</v>
      </c>
      <c r="B3501" s="17" t="s">
        <v>3914</v>
      </c>
      <c r="C3501" s="18">
        <v>99098</v>
      </c>
      <c r="D3501" s="2" t="s">
        <v>43</v>
      </c>
      <c r="E3501" s="15">
        <v>7133.8</v>
      </c>
      <c r="F3501" s="36" t="s">
        <v>1889</v>
      </c>
      <c r="G3501" s="15">
        <v>7133.8</v>
      </c>
      <c r="H3501" s="15">
        <f t="shared" si="55"/>
        <v>0</v>
      </c>
    </row>
    <row r="3502" spans="1:8" x14ac:dyDescent="0.25">
      <c r="A3502" s="16">
        <v>42765</v>
      </c>
      <c r="B3502" s="17" t="s">
        <v>3915</v>
      </c>
      <c r="C3502" s="18">
        <v>99099</v>
      </c>
      <c r="D3502" s="2" t="s">
        <v>143</v>
      </c>
      <c r="E3502" s="15">
        <v>3556.4</v>
      </c>
      <c r="F3502" s="36" t="s">
        <v>361</v>
      </c>
      <c r="G3502" s="15">
        <v>3556.4</v>
      </c>
      <c r="H3502" s="15">
        <f t="shared" si="55"/>
        <v>0</v>
      </c>
    </row>
    <row r="3503" spans="1:8" x14ac:dyDescent="0.25">
      <c r="A3503" s="16">
        <v>42765</v>
      </c>
      <c r="B3503" s="17" t="s">
        <v>3916</v>
      </c>
      <c r="C3503" s="18">
        <v>99100</v>
      </c>
      <c r="D3503" s="2" t="s">
        <v>250</v>
      </c>
      <c r="E3503" s="15">
        <v>5021.6000000000004</v>
      </c>
      <c r="F3503" s="36" t="s">
        <v>1173</v>
      </c>
      <c r="G3503" s="15">
        <v>5021.6000000000004</v>
      </c>
      <c r="H3503" s="15">
        <f t="shared" si="55"/>
        <v>0</v>
      </c>
    </row>
    <row r="3504" spans="1:8" x14ac:dyDescent="0.25">
      <c r="A3504" s="16">
        <v>42765</v>
      </c>
      <c r="B3504" s="17" t="s">
        <v>3917</v>
      </c>
      <c r="C3504" s="18">
        <v>99101</v>
      </c>
      <c r="D3504" s="2" t="s">
        <v>47</v>
      </c>
      <c r="E3504" s="15">
        <v>4704.3999999999996</v>
      </c>
      <c r="F3504" s="36" t="s">
        <v>361</v>
      </c>
      <c r="G3504" s="15">
        <v>4704.3999999999996</v>
      </c>
      <c r="H3504" s="15">
        <f t="shared" si="55"/>
        <v>0</v>
      </c>
    </row>
    <row r="3505" spans="1:8" x14ac:dyDescent="0.25">
      <c r="A3505" s="16">
        <v>42765</v>
      </c>
      <c r="B3505" s="17" t="s">
        <v>3918</v>
      </c>
      <c r="C3505" s="18">
        <v>99102</v>
      </c>
      <c r="D3505" s="2" t="s">
        <v>35</v>
      </c>
      <c r="E3505" s="15">
        <v>10312.5</v>
      </c>
      <c r="F3505" s="36" t="s">
        <v>1889</v>
      </c>
      <c r="G3505" s="15">
        <v>10312.5</v>
      </c>
      <c r="H3505" s="15">
        <f t="shared" si="55"/>
        <v>0</v>
      </c>
    </row>
    <row r="3506" spans="1:8" x14ac:dyDescent="0.25">
      <c r="A3506" s="16">
        <v>42765</v>
      </c>
      <c r="B3506" s="17" t="s">
        <v>3919</v>
      </c>
      <c r="C3506" s="18">
        <v>99103</v>
      </c>
      <c r="D3506" s="2" t="s">
        <v>38</v>
      </c>
      <c r="E3506" s="15">
        <v>3032.55</v>
      </c>
      <c r="F3506" s="36" t="s">
        <v>3126</v>
      </c>
      <c r="G3506" s="15">
        <v>3032.55</v>
      </c>
      <c r="H3506" s="15">
        <f t="shared" si="55"/>
        <v>0</v>
      </c>
    </row>
    <row r="3507" spans="1:8" x14ac:dyDescent="0.25">
      <c r="A3507" s="16">
        <v>42765</v>
      </c>
      <c r="B3507" s="17" t="s">
        <v>3920</v>
      </c>
      <c r="C3507" s="18">
        <v>99104</v>
      </c>
      <c r="D3507" s="2" t="s">
        <v>111</v>
      </c>
      <c r="E3507" s="15">
        <v>3879.2</v>
      </c>
      <c r="F3507" s="36" t="s">
        <v>361</v>
      </c>
      <c r="G3507" s="15">
        <v>3879.2</v>
      </c>
      <c r="H3507" s="15">
        <f t="shared" si="55"/>
        <v>0</v>
      </c>
    </row>
    <row r="3508" spans="1:8" x14ac:dyDescent="0.25">
      <c r="A3508" s="16">
        <v>42765</v>
      </c>
      <c r="B3508" s="17" t="s">
        <v>3921</v>
      </c>
      <c r="C3508" s="18">
        <v>99105</v>
      </c>
      <c r="D3508" s="2" t="s">
        <v>71</v>
      </c>
      <c r="E3508" s="15">
        <v>1890</v>
      </c>
      <c r="F3508" s="36" t="s">
        <v>361</v>
      </c>
      <c r="G3508" s="15">
        <v>1890</v>
      </c>
      <c r="H3508" s="15">
        <f t="shared" si="55"/>
        <v>0</v>
      </c>
    </row>
    <row r="3509" spans="1:8" x14ac:dyDescent="0.25">
      <c r="A3509" s="16">
        <v>42765</v>
      </c>
      <c r="B3509" s="17" t="s">
        <v>3922</v>
      </c>
      <c r="C3509" s="18">
        <v>99106</v>
      </c>
      <c r="D3509" s="2" t="s">
        <v>281</v>
      </c>
      <c r="E3509" s="15">
        <v>1610</v>
      </c>
      <c r="F3509" s="36" t="s">
        <v>361</v>
      </c>
      <c r="G3509" s="15">
        <v>1610</v>
      </c>
      <c r="H3509" s="15">
        <f t="shared" si="55"/>
        <v>0</v>
      </c>
    </row>
    <row r="3510" spans="1:8" x14ac:dyDescent="0.25">
      <c r="A3510" s="16">
        <v>42765</v>
      </c>
      <c r="B3510" s="17" t="s">
        <v>3923</v>
      </c>
      <c r="C3510" s="18">
        <v>99107</v>
      </c>
      <c r="D3510" s="2" t="s">
        <v>218</v>
      </c>
      <c r="E3510" s="15">
        <v>95478.6</v>
      </c>
      <c r="F3510" s="36" t="s">
        <v>3924</v>
      </c>
      <c r="G3510" s="15">
        <v>95478.6</v>
      </c>
      <c r="H3510" s="15">
        <f t="shared" si="55"/>
        <v>0</v>
      </c>
    </row>
    <row r="3511" spans="1:8" x14ac:dyDescent="0.25">
      <c r="A3511" s="16">
        <v>42765</v>
      </c>
      <c r="B3511" s="17" t="s">
        <v>3925</v>
      </c>
      <c r="C3511" s="18">
        <v>99108</v>
      </c>
      <c r="D3511" s="2" t="s">
        <v>30</v>
      </c>
      <c r="E3511" s="15">
        <v>448</v>
      </c>
      <c r="F3511" s="36" t="s">
        <v>361</v>
      </c>
      <c r="G3511" s="15">
        <v>448</v>
      </c>
      <c r="H3511" s="15">
        <f t="shared" si="55"/>
        <v>0</v>
      </c>
    </row>
    <row r="3512" spans="1:8" x14ac:dyDescent="0.25">
      <c r="A3512" s="16">
        <v>42765</v>
      </c>
      <c r="B3512" s="17" t="s">
        <v>3926</v>
      </c>
      <c r="C3512" s="18">
        <v>99109</v>
      </c>
      <c r="D3512" s="2" t="s">
        <v>285</v>
      </c>
      <c r="E3512" s="15">
        <v>3005.7</v>
      </c>
      <c r="F3512" s="36" t="s">
        <v>361</v>
      </c>
      <c r="G3512" s="15">
        <v>3005.7</v>
      </c>
      <c r="H3512" s="15">
        <f t="shared" si="55"/>
        <v>0</v>
      </c>
    </row>
    <row r="3513" spans="1:8" x14ac:dyDescent="0.25">
      <c r="A3513" s="16">
        <v>42765</v>
      </c>
      <c r="B3513" s="17" t="s">
        <v>3927</v>
      </c>
      <c r="C3513" s="18">
        <v>99110</v>
      </c>
      <c r="D3513" s="2" t="s">
        <v>105</v>
      </c>
      <c r="E3513" s="15">
        <v>3462.9</v>
      </c>
      <c r="F3513" s="36" t="s">
        <v>3126</v>
      </c>
      <c r="G3513" s="15">
        <v>3462.9</v>
      </c>
      <c r="H3513" s="15">
        <f t="shared" si="55"/>
        <v>0</v>
      </c>
    </row>
    <row r="3514" spans="1:8" x14ac:dyDescent="0.25">
      <c r="A3514" s="16">
        <v>42765</v>
      </c>
      <c r="B3514" s="17" t="s">
        <v>3928</v>
      </c>
      <c r="C3514" s="18">
        <v>99111</v>
      </c>
      <c r="D3514" s="2" t="s">
        <v>103</v>
      </c>
      <c r="E3514" s="15">
        <v>3615.9</v>
      </c>
      <c r="F3514" s="36" t="s">
        <v>3126</v>
      </c>
      <c r="G3514" s="15">
        <v>3615.9</v>
      </c>
      <c r="H3514" s="15">
        <f t="shared" si="55"/>
        <v>0</v>
      </c>
    </row>
    <row r="3515" spans="1:8" x14ac:dyDescent="0.25">
      <c r="A3515" s="16">
        <v>42765</v>
      </c>
      <c r="B3515" s="17" t="s">
        <v>3929</v>
      </c>
      <c r="C3515" s="18">
        <v>99112</v>
      </c>
      <c r="D3515" s="2" t="s">
        <v>30</v>
      </c>
      <c r="E3515" s="15">
        <v>896.4</v>
      </c>
      <c r="F3515" s="36" t="s">
        <v>361</v>
      </c>
      <c r="G3515" s="15">
        <v>896.4</v>
      </c>
      <c r="H3515" s="15">
        <f t="shared" si="55"/>
        <v>0</v>
      </c>
    </row>
    <row r="3516" spans="1:8" x14ac:dyDescent="0.25">
      <c r="A3516" s="16">
        <v>42765</v>
      </c>
      <c r="B3516" s="17" t="s">
        <v>3930</v>
      </c>
      <c r="C3516" s="18">
        <v>99113</v>
      </c>
      <c r="D3516" s="2" t="s">
        <v>305</v>
      </c>
      <c r="E3516" s="15">
        <v>1834.5</v>
      </c>
      <c r="F3516" s="36" t="s">
        <v>361</v>
      </c>
      <c r="G3516" s="15">
        <v>1834.5</v>
      </c>
      <c r="H3516" s="15">
        <f t="shared" si="55"/>
        <v>0</v>
      </c>
    </row>
    <row r="3517" spans="1:8" x14ac:dyDescent="0.25">
      <c r="A3517" s="16">
        <v>42765</v>
      </c>
      <c r="B3517" s="17" t="s">
        <v>3931</v>
      </c>
      <c r="C3517" s="18">
        <v>99114</v>
      </c>
      <c r="D3517" s="2" t="s">
        <v>67</v>
      </c>
      <c r="E3517" s="15">
        <v>7231.6</v>
      </c>
      <c r="F3517" s="36" t="s">
        <v>307</v>
      </c>
      <c r="G3517" s="15">
        <v>7231.6</v>
      </c>
      <c r="H3517" s="15">
        <f t="shared" si="55"/>
        <v>0</v>
      </c>
    </row>
    <row r="3518" spans="1:8" x14ac:dyDescent="0.25">
      <c r="A3518" s="16">
        <v>42765</v>
      </c>
      <c r="B3518" s="17" t="s">
        <v>3932</v>
      </c>
      <c r="C3518" s="18">
        <v>99115</v>
      </c>
      <c r="D3518" s="13" t="s">
        <v>161</v>
      </c>
      <c r="E3518" s="14">
        <v>0</v>
      </c>
      <c r="F3518" s="123" t="s">
        <v>95</v>
      </c>
      <c r="G3518" s="14">
        <v>0</v>
      </c>
      <c r="H3518" s="14">
        <f t="shared" si="55"/>
        <v>0</v>
      </c>
    </row>
    <row r="3519" spans="1:8" x14ac:dyDescent="0.25">
      <c r="A3519" s="16">
        <v>42765</v>
      </c>
      <c r="B3519" s="17" t="s">
        <v>3933</v>
      </c>
      <c r="C3519" s="18">
        <v>99116</v>
      </c>
      <c r="D3519" s="2" t="s">
        <v>161</v>
      </c>
      <c r="E3519" s="15">
        <v>41116</v>
      </c>
      <c r="F3519" s="36" t="s">
        <v>3934</v>
      </c>
      <c r="G3519" s="15">
        <v>41116</v>
      </c>
      <c r="H3519" s="15">
        <f t="shared" si="55"/>
        <v>0</v>
      </c>
    </row>
    <row r="3520" spans="1:8" x14ac:dyDescent="0.25">
      <c r="A3520" s="16">
        <v>42765</v>
      </c>
      <c r="B3520" s="17" t="s">
        <v>3935</v>
      </c>
      <c r="C3520" s="18">
        <v>99117</v>
      </c>
      <c r="D3520" s="2" t="s">
        <v>163</v>
      </c>
      <c r="E3520" s="15">
        <v>18696.2</v>
      </c>
      <c r="F3520" s="36" t="s">
        <v>2724</v>
      </c>
      <c r="G3520" s="15">
        <v>18696.2</v>
      </c>
      <c r="H3520" s="15">
        <f t="shared" si="55"/>
        <v>0</v>
      </c>
    </row>
    <row r="3521" spans="1:8" x14ac:dyDescent="0.25">
      <c r="A3521" s="16">
        <v>42765</v>
      </c>
      <c r="B3521" s="17" t="s">
        <v>3936</v>
      </c>
      <c r="C3521" s="18">
        <v>99118</v>
      </c>
      <c r="D3521" s="2" t="s">
        <v>101</v>
      </c>
      <c r="E3521" s="15">
        <v>1415</v>
      </c>
      <c r="F3521" s="36" t="s">
        <v>361</v>
      </c>
      <c r="G3521" s="15">
        <v>1415</v>
      </c>
      <c r="H3521" s="15">
        <f t="shared" si="55"/>
        <v>0</v>
      </c>
    </row>
    <row r="3522" spans="1:8" x14ac:dyDescent="0.25">
      <c r="A3522" s="16">
        <v>42765</v>
      </c>
      <c r="B3522" s="17" t="s">
        <v>3937</v>
      </c>
      <c r="C3522" s="18">
        <v>99119</v>
      </c>
      <c r="D3522" s="13" t="s">
        <v>99</v>
      </c>
      <c r="E3522" s="14">
        <v>0</v>
      </c>
      <c r="F3522" s="123" t="s">
        <v>95</v>
      </c>
      <c r="G3522" s="14">
        <v>0</v>
      </c>
      <c r="H3522" s="14">
        <f t="shared" si="55"/>
        <v>0</v>
      </c>
    </row>
    <row r="3523" spans="1:8" x14ac:dyDescent="0.25">
      <c r="A3523" s="16">
        <v>42765</v>
      </c>
      <c r="B3523" s="17" t="s">
        <v>3938</v>
      </c>
      <c r="C3523" s="18">
        <v>99120</v>
      </c>
      <c r="D3523" s="2" t="s">
        <v>435</v>
      </c>
      <c r="E3523" s="15">
        <v>11440.3</v>
      </c>
      <c r="F3523" s="36" t="s">
        <v>361</v>
      </c>
      <c r="G3523" s="15">
        <v>11440.3</v>
      </c>
      <c r="H3523" s="15">
        <f t="shared" si="55"/>
        <v>0</v>
      </c>
    </row>
    <row r="3524" spans="1:8" x14ac:dyDescent="0.25">
      <c r="A3524" s="16">
        <v>42765</v>
      </c>
      <c r="B3524" s="17" t="s">
        <v>3939</v>
      </c>
      <c r="C3524" s="18">
        <v>99121</v>
      </c>
      <c r="D3524" s="2" t="s">
        <v>2240</v>
      </c>
      <c r="E3524" s="15">
        <v>4726.6000000000004</v>
      </c>
      <c r="F3524" s="36" t="s">
        <v>361</v>
      </c>
      <c r="G3524" s="15">
        <v>4726.6000000000004</v>
      </c>
      <c r="H3524" s="15">
        <f t="shared" si="55"/>
        <v>0</v>
      </c>
    </row>
    <row r="3525" spans="1:8" x14ac:dyDescent="0.25">
      <c r="A3525" s="16">
        <v>42765</v>
      </c>
      <c r="B3525" s="17" t="s">
        <v>3940</v>
      </c>
      <c r="C3525" s="18">
        <v>99122</v>
      </c>
      <c r="D3525" s="2" t="s">
        <v>92</v>
      </c>
      <c r="E3525" s="15">
        <v>2420.8000000000002</v>
      </c>
      <c r="F3525" s="36" t="s">
        <v>361</v>
      </c>
      <c r="G3525" s="15">
        <v>2420.8000000000002</v>
      </c>
      <c r="H3525" s="15">
        <f t="shared" si="55"/>
        <v>0</v>
      </c>
    </row>
    <row r="3526" spans="1:8" x14ac:dyDescent="0.25">
      <c r="A3526" s="16">
        <v>42765</v>
      </c>
      <c r="B3526" s="17" t="s">
        <v>3941</v>
      </c>
      <c r="C3526" s="18">
        <v>99123</v>
      </c>
      <c r="D3526" s="2" t="s">
        <v>99</v>
      </c>
      <c r="E3526" s="15">
        <v>1500</v>
      </c>
      <c r="F3526" s="36" t="s">
        <v>361</v>
      </c>
      <c r="G3526" s="15">
        <v>1500</v>
      </c>
      <c r="H3526" s="15">
        <f t="shared" ref="H3526:H3589" si="56">E3526-G3526</f>
        <v>0</v>
      </c>
    </row>
    <row r="3527" spans="1:8" x14ac:dyDescent="0.25">
      <c r="A3527" s="16">
        <v>42765</v>
      </c>
      <c r="B3527" s="17" t="s">
        <v>3942</v>
      </c>
      <c r="C3527" s="18">
        <v>99124</v>
      </c>
      <c r="D3527" s="2" t="s">
        <v>1256</v>
      </c>
      <c r="E3527" s="15">
        <v>1728</v>
      </c>
      <c r="F3527" s="36" t="s">
        <v>3126</v>
      </c>
      <c r="G3527" s="15">
        <v>1728</v>
      </c>
      <c r="H3527" s="15">
        <f t="shared" si="56"/>
        <v>0</v>
      </c>
    </row>
    <row r="3528" spans="1:8" x14ac:dyDescent="0.25">
      <c r="A3528" s="16">
        <v>42765</v>
      </c>
      <c r="B3528" s="17" t="s">
        <v>3943</v>
      </c>
      <c r="C3528" s="18">
        <v>99125</v>
      </c>
      <c r="D3528" s="2" t="s">
        <v>79</v>
      </c>
      <c r="E3528" s="15">
        <v>3523</v>
      </c>
      <c r="F3528" s="36" t="s">
        <v>361</v>
      </c>
      <c r="G3528" s="15">
        <v>3523</v>
      </c>
      <c r="H3528" s="15">
        <f t="shared" si="56"/>
        <v>0</v>
      </c>
    </row>
    <row r="3529" spans="1:8" x14ac:dyDescent="0.25">
      <c r="A3529" s="16">
        <v>42765</v>
      </c>
      <c r="B3529" s="17" t="s">
        <v>3944</v>
      </c>
      <c r="C3529" s="18">
        <v>99126</v>
      </c>
      <c r="D3529" s="2" t="s">
        <v>61</v>
      </c>
      <c r="E3529" s="15">
        <v>19204.8</v>
      </c>
      <c r="F3529" s="36" t="s">
        <v>361</v>
      </c>
      <c r="G3529" s="15">
        <v>19204.8</v>
      </c>
      <c r="H3529" s="15">
        <f t="shared" si="56"/>
        <v>0</v>
      </c>
    </row>
    <row r="3530" spans="1:8" x14ac:dyDescent="0.25">
      <c r="A3530" s="16">
        <v>42765</v>
      </c>
      <c r="B3530" s="17" t="s">
        <v>3945</v>
      </c>
      <c r="C3530" s="18">
        <v>99127</v>
      </c>
      <c r="D3530" s="2" t="s">
        <v>45</v>
      </c>
      <c r="E3530" s="15">
        <v>3102.6</v>
      </c>
      <c r="F3530" s="36" t="s">
        <v>361</v>
      </c>
      <c r="G3530" s="15">
        <v>3102.6</v>
      </c>
      <c r="H3530" s="15">
        <f t="shared" si="56"/>
        <v>0</v>
      </c>
    </row>
    <row r="3531" spans="1:8" x14ac:dyDescent="0.25">
      <c r="A3531" s="16">
        <v>42765</v>
      </c>
      <c r="B3531" s="17" t="s">
        <v>3946</v>
      </c>
      <c r="C3531" s="18">
        <v>99128</v>
      </c>
      <c r="D3531" s="2" t="s">
        <v>450</v>
      </c>
      <c r="E3531" s="15">
        <v>1319.7</v>
      </c>
      <c r="F3531" s="36" t="s">
        <v>361</v>
      </c>
      <c r="G3531" s="15">
        <v>1319.7</v>
      </c>
      <c r="H3531" s="15">
        <f t="shared" si="56"/>
        <v>0</v>
      </c>
    </row>
    <row r="3532" spans="1:8" x14ac:dyDescent="0.25">
      <c r="A3532" s="16">
        <v>42765</v>
      </c>
      <c r="B3532" s="17" t="s">
        <v>3947</v>
      </c>
      <c r="C3532" s="18">
        <v>99129</v>
      </c>
      <c r="D3532" s="2" t="s">
        <v>53</v>
      </c>
      <c r="E3532" s="15">
        <v>2443.1999999999998</v>
      </c>
      <c r="F3532" s="36" t="s">
        <v>361</v>
      </c>
      <c r="G3532" s="15">
        <v>2443.1999999999998</v>
      </c>
      <c r="H3532" s="15">
        <f t="shared" si="56"/>
        <v>0</v>
      </c>
    </row>
    <row r="3533" spans="1:8" x14ac:dyDescent="0.25">
      <c r="A3533" s="16">
        <v>42765</v>
      </c>
      <c r="B3533" s="17" t="s">
        <v>3948</v>
      </c>
      <c r="C3533" s="18">
        <v>99130</v>
      </c>
      <c r="D3533" s="2" t="s">
        <v>30</v>
      </c>
      <c r="E3533" s="15">
        <v>1334.76</v>
      </c>
      <c r="F3533" s="36" t="s">
        <v>361</v>
      </c>
      <c r="G3533" s="15">
        <v>1334.76</v>
      </c>
      <c r="H3533" s="15">
        <f t="shared" si="56"/>
        <v>0</v>
      </c>
    </row>
    <row r="3534" spans="1:8" x14ac:dyDescent="0.25">
      <c r="A3534" s="16">
        <v>42765</v>
      </c>
      <c r="B3534" s="17" t="s">
        <v>3949</v>
      </c>
      <c r="C3534" s="18">
        <v>99131</v>
      </c>
      <c r="D3534" s="2" t="s">
        <v>63</v>
      </c>
      <c r="E3534" s="15">
        <v>1344</v>
      </c>
      <c r="F3534" s="36" t="s">
        <v>361</v>
      </c>
      <c r="G3534" s="15">
        <v>1344</v>
      </c>
      <c r="H3534" s="15">
        <f t="shared" si="56"/>
        <v>0</v>
      </c>
    </row>
    <row r="3535" spans="1:8" x14ac:dyDescent="0.25">
      <c r="A3535" s="16">
        <v>42765</v>
      </c>
      <c r="B3535" s="17" t="s">
        <v>3950</v>
      </c>
      <c r="C3535" s="18">
        <v>99132</v>
      </c>
      <c r="D3535" s="2" t="s">
        <v>435</v>
      </c>
      <c r="E3535" s="15">
        <v>312</v>
      </c>
      <c r="F3535" s="36" t="s">
        <v>361</v>
      </c>
      <c r="G3535" s="15">
        <v>312</v>
      </c>
      <c r="H3535" s="15">
        <f t="shared" si="56"/>
        <v>0</v>
      </c>
    </row>
    <row r="3536" spans="1:8" x14ac:dyDescent="0.25">
      <c r="A3536" s="16">
        <v>42765</v>
      </c>
      <c r="B3536" s="17" t="s">
        <v>3951</v>
      </c>
      <c r="C3536" s="18">
        <v>99133</v>
      </c>
      <c r="D3536" s="2" t="s">
        <v>57</v>
      </c>
      <c r="E3536" s="15">
        <v>470.4</v>
      </c>
      <c r="F3536" s="36" t="s">
        <v>361</v>
      </c>
      <c r="G3536" s="15">
        <v>470.4</v>
      </c>
      <c r="H3536" s="15">
        <f t="shared" si="56"/>
        <v>0</v>
      </c>
    </row>
    <row r="3537" spans="1:8" x14ac:dyDescent="0.25">
      <c r="A3537" s="16">
        <v>42765</v>
      </c>
      <c r="B3537" s="17" t="s">
        <v>3952</v>
      </c>
      <c r="C3537" s="18">
        <v>99134</v>
      </c>
      <c r="D3537" s="2" t="s">
        <v>712</v>
      </c>
      <c r="E3537" s="15">
        <v>4132.7</v>
      </c>
      <c r="F3537" s="36" t="s">
        <v>361</v>
      </c>
      <c r="G3537" s="15">
        <v>4132.7</v>
      </c>
      <c r="H3537" s="15">
        <f t="shared" si="56"/>
        <v>0</v>
      </c>
    </row>
    <row r="3538" spans="1:8" x14ac:dyDescent="0.25">
      <c r="A3538" s="16">
        <v>42765</v>
      </c>
      <c r="B3538" s="17" t="s">
        <v>3953</v>
      </c>
      <c r="C3538" s="18">
        <v>99135</v>
      </c>
      <c r="D3538" s="13" t="s">
        <v>103</v>
      </c>
      <c r="E3538" s="14">
        <v>0</v>
      </c>
      <c r="F3538" s="123" t="s">
        <v>95</v>
      </c>
      <c r="G3538" s="14">
        <v>0</v>
      </c>
      <c r="H3538" s="14">
        <f t="shared" si="56"/>
        <v>0</v>
      </c>
    </row>
    <row r="3539" spans="1:8" x14ac:dyDescent="0.25">
      <c r="A3539" s="16">
        <v>42765</v>
      </c>
      <c r="B3539" s="17" t="s">
        <v>3954</v>
      </c>
      <c r="C3539" s="18">
        <v>99136</v>
      </c>
      <c r="D3539" s="2" t="s">
        <v>103</v>
      </c>
      <c r="E3539" s="15">
        <v>215.2</v>
      </c>
      <c r="F3539" s="36" t="s">
        <v>3126</v>
      </c>
      <c r="G3539" s="15">
        <v>215.2</v>
      </c>
      <c r="H3539" s="15">
        <f t="shared" si="56"/>
        <v>0</v>
      </c>
    </row>
    <row r="3540" spans="1:8" x14ac:dyDescent="0.25">
      <c r="A3540" s="16">
        <v>42765</v>
      </c>
      <c r="B3540" s="17" t="s">
        <v>3955</v>
      </c>
      <c r="C3540" s="18">
        <v>99137</v>
      </c>
      <c r="D3540" s="2" t="s">
        <v>109</v>
      </c>
      <c r="E3540" s="15">
        <v>4776.3999999999996</v>
      </c>
      <c r="F3540" s="36" t="s">
        <v>361</v>
      </c>
      <c r="G3540" s="15">
        <v>4776.3999999999996</v>
      </c>
      <c r="H3540" s="15">
        <f t="shared" si="56"/>
        <v>0</v>
      </c>
    </row>
    <row r="3541" spans="1:8" x14ac:dyDescent="0.25">
      <c r="A3541" s="16">
        <v>42765</v>
      </c>
      <c r="B3541" s="17" t="s">
        <v>3956</v>
      </c>
      <c r="C3541" s="18">
        <v>99138</v>
      </c>
      <c r="D3541" s="2" t="s">
        <v>838</v>
      </c>
      <c r="E3541" s="15">
        <v>1771.2</v>
      </c>
      <c r="F3541" s="36" t="s">
        <v>361</v>
      </c>
      <c r="G3541" s="15">
        <v>1771.2</v>
      </c>
      <c r="H3541" s="15">
        <f t="shared" si="56"/>
        <v>0</v>
      </c>
    </row>
    <row r="3542" spans="1:8" x14ac:dyDescent="0.25">
      <c r="A3542" s="16">
        <v>42765</v>
      </c>
      <c r="B3542" s="17" t="s">
        <v>3957</v>
      </c>
      <c r="C3542" s="18">
        <v>99139</v>
      </c>
      <c r="D3542" s="2" t="s">
        <v>3958</v>
      </c>
      <c r="E3542" s="15">
        <v>76912</v>
      </c>
      <c r="F3542" s="36" t="s">
        <v>361</v>
      </c>
      <c r="G3542" s="15">
        <v>76912</v>
      </c>
      <c r="H3542" s="15">
        <f t="shared" si="56"/>
        <v>0</v>
      </c>
    </row>
    <row r="3543" spans="1:8" x14ac:dyDescent="0.25">
      <c r="A3543" s="16">
        <v>42765</v>
      </c>
      <c r="B3543" s="17" t="s">
        <v>3959</v>
      </c>
      <c r="C3543" s="18">
        <v>99140</v>
      </c>
      <c r="D3543" s="2" t="s">
        <v>289</v>
      </c>
      <c r="E3543" s="15">
        <v>151174.9</v>
      </c>
      <c r="F3543" s="36" t="s">
        <v>3164</v>
      </c>
      <c r="G3543" s="15">
        <v>151174.9</v>
      </c>
      <c r="H3543" s="15">
        <f t="shared" si="56"/>
        <v>0</v>
      </c>
    </row>
    <row r="3544" spans="1:8" x14ac:dyDescent="0.25">
      <c r="A3544" s="16">
        <v>42765</v>
      </c>
      <c r="B3544" s="17" t="s">
        <v>3960</v>
      </c>
      <c r="C3544" s="18">
        <v>99141</v>
      </c>
      <c r="D3544" s="2" t="s">
        <v>186</v>
      </c>
      <c r="E3544" s="15">
        <v>3498.6</v>
      </c>
      <c r="F3544" s="36" t="s">
        <v>3961</v>
      </c>
      <c r="G3544" s="15">
        <v>3498.6</v>
      </c>
      <c r="H3544" s="15">
        <f t="shared" si="56"/>
        <v>0</v>
      </c>
    </row>
    <row r="3545" spans="1:8" x14ac:dyDescent="0.25">
      <c r="A3545" s="16">
        <v>42765</v>
      </c>
      <c r="B3545" s="17" t="s">
        <v>3962</v>
      </c>
      <c r="C3545" s="18">
        <v>99142</v>
      </c>
      <c r="D3545" s="2" t="s">
        <v>184</v>
      </c>
      <c r="E3545" s="15">
        <v>3085.5</v>
      </c>
      <c r="F3545" s="36" t="s">
        <v>3126</v>
      </c>
      <c r="G3545" s="15">
        <v>3085.5</v>
      </c>
      <c r="H3545" s="15">
        <f t="shared" si="56"/>
        <v>0</v>
      </c>
    </row>
    <row r="3546" spans="1:8" x14ac:dyDescent="0.25">
      <c r="A3546" s="16">
        <v>42765</v>
      </c>
      <c r="B3546" s="17" t="s">
        <v>3963</v>
      </c>
      <c r="C3546" s="18">
        <v>99143</v>
      </c>
      <c r="D3546" s="2" t="s">
        <v>613</v>
      </c>
      <c r="E3546" s="15">
        <v>3573.9</v>
      </c>
      <c r="F3546" s="36" t="s">
        <v>361</v>
      </c>
      <c r="G3546" s="15">
        <v>3573.9</v>
      </c>
      <c r="H3546" s="15">
        <f t="shared" si="56"/>
        <v>0</v>
      </c>
    </row>
    <row r="3547" spans="1:8" x14ac:dyDescent="0.25">
      <c r="A3547" s="16">
        <v>42765</v>
      </c>
      <c r="B3547" s="17" t="s">
        <v>3964</v>
      </c>
      <c r="C3547" s="18">
        <v>99144</v>
      </c>
      <c r="D3547" s="2" t="s">
        <v>3425</v>
      </c>
      <c r="E3547" s="15">
        <v>434.6</v>
      </c>
      <c r="F3547" s="36" t="s">
        <v>361</v>
      </c>
      <c r="G3547" s="15">
        <v>434.6</v>
      </c>
      <c r="H3547" s="15">
        <f t="shared" si="56"/>
        <v>0</v>
      </c>
    </row>
    <row r="3548" spans="1:8" x14ac:dyDescent="0.25">
      <c r="A3548" s="16">
        <v>42765</v>
      </c>
      <c r="B3548" s="17" t="s">
        <v>3965</v>
      </c>
      <c r="C3548" s="18">
        <v>99145</v>
      </c>
      <c r="D3548" s="2" t="s">
        <v>172</v>
      </c>
      <c r="E3548" s="15">
        <v>19656.599999999999</v>
      </c>
      <c r="F3548" s="36" t="s">
        <v>2724</v>
      </c>
      <c r="G3548" s="15">
        <v>19656.599999999999</v>
      </c>
      <c r="H3548" s="15">
        <f t="shared" si="56"/>
        <v>0</v>
      </c>
    </row>
    <row r="3549" spans="1:8" x14ac:dyDescent="0.25">
      <c r="A3549" s="16">
        <v>42765</v>
      </c>
      <c r="B3549" s="17" t="s">
        <v>3966</v>
      </c>
      <c r="C3549" s="18">
        <v>99146</v>
      </c>
      <c r="D3549" s="2" t="s">
        <v>83</v>
      </c>
      <c r="E3549" s="15">
        <v>4065.1</v>
      </c>
      <c r="F3549" s="36" t="s">
        <v>361</v>
      </c>
      <c r="G3549" s="15">
        <v>4065.1</v>
      </c>
      <c r="H3549" s="15">
        <f t="shared" si="56"/>
        <v>0</v>
      </c>
    </row>
    <row r="3550" spans="1:8" x14ac:dyDescent="0.25">
      <c r="A3550" s="16">
        <v>42765</v>
      </c>
      <c r="B3550" s="17" t="s">
        <v>3967</v>
      </c>
      <c r="C3550" s="18">
        <v>99147</v>
      </c>
      <c r="D3550" s="2" t="s">
        <v>165</v>
      </c>
      <c r="E3550" s="15">
        <v>10027.5</v>
      </c>
      <c r="F3550" s="36" t="s">
        <v>3934</v>
      </c>
      <c r="G3550" s="15">
        <v>10027.5</v>
      </c>
      <c r="H3550" s="15">
        <f t="shared" si="56"/>
        <v>0</v>
      </c>
    </row>
    <row r="3551" spans="1:8" x14ac:dyDescent="0.25">
      <c r="A3551" s="16">
        <v>42765</v>
      </c>
      <c r="B3551" s="17" t="s">
        <v>3968</v>
      </c>
      <c r="C3551" s="18">
        <v>99148</v>
      </c>
      <c r="D3551" s="2" t="s">
        <v>457</v>
      </c>
      <c r="E3551" s="15">
        <v>4629.8999999999996</v>
      </c>
      <c r="F3551" s="36" t="s">
        <v>361</v>
      </c>
      <c r="G3551" s="15">
        <v>4629.8999999999996</v>
      </c>
      <c r="H3551" s="15">
        <f t="shared" si="56"/>
        <v>0</v>
      </c>
    </row>
    <row r="3552" spans="1:8" x14ac:dyDescent="0.25">
      <c r="A3552" s="16">
        <v>42765</v>
      </c>
      <c r="B3552" s="17" t="s">
        <v>3969</v>
      </c>
      <c r="C3552" s="18">
        <v>99149</v>
      </c>
      <c r="D3552" s="2" t="s">
        <v>2986</v>
      </c>
      <c r="E3552" s="15">
        <v>3517.4</v>
      </c>
      <c r="F3552" s="36" t="s">
        <v>361</v>
      </c>
      <c r="G3552" s="15">
        <v>3517.4</v>
      </c>
      <c r="H3552" s="15">
        <f t="shared" si="56"/>
        <v>0</v>
      </c>
    </row>
    <row r="3553" spans="1:8" x14ac:dyDescent="0.25">
      <c r="A3553" s="16">
        <v>42765</v>
      </c>
      <c r="B3553" s="17" t="s">
        <v>3970</v>
      </c>
      <c r="C3553" s="18">
        <v>99150</v>
      </c>
      <c r="D3553" s="2" t="s">
        <v>457</v>
      </c>
      <c r="E3553" s="15">
        <v>67.5</v>
      </c>
      <c r="F3553" s="36" t="s">
        <v>361</v>
      </c>
      <c r="G3553" s="15">
        <v>67.5</v>
      </c>
      <c r="H3553" s="15">
        <f t="shared" si="56"/>
        <v>0</v>
      </c>
    </row>
    <row r="3554" spans="1:8" x14ac:dyDescent="0.25">
      <c r="A3554" s="16">
        <v>42765</v>
      </c>
      <c r="B3554" s="17" t="s">
        <v>3971</v>
      </c>
      <c r="C3554" s="18">
        <v>99151</v>
      </c>
      <c r="D3554" s="2" t="s">
        <v>85</v>
      </c>
      <c r="E3554" s="15">
        <v>15301.2</v>
      </c>
      <c r="F3554" s="124" t="s">
        <v>3972</v>
      </c>
      <c r="G3554" s="20">
        <f>5301.2+10000</f>
        <v>15301.2</v>
      </c>
      <c r="H3554" s="20">
        <f t="shared" si="56"/>
        <v>0</v>
      </c>
    </row>
    <row r="3555" spans="1:8" x14ac:dyDescent="0.25">
      <c r="A3555" s="16">
        <v>42765</v>
      </c>
      <c r="B3555" s="17" t="s">
        <v>3973</v>
      </c>
      <c r="C3555" s="18">
        <v>99152</v>
      </c>
      <c r="D3555" s="2" t="s">
        <v>141</v>
      </c>
      <c r="E3555" s="15">
        <v>13849.9</v>
      </c>
      <c r="F3555" s="36" t="s">
        <v>1173</v>
      </c>
      <c r="G3555" s="15">
        <v>13849.9</v>
      </c>
      <c r="H3555" s="15">
        <f t="shared" si="56"/>
        <v>0</v>
      </c>
    </row>
    <row r="3556" spans="1:8" x14ac:dyDescent="0.25">
      <c r="A3556" s="16">
        <v>42765</v>
      </c>
      <c r="B3556" s="17" t="s">
        <v>3974</v>
      </c>
      <c r="C3556" s="18">
        <v>99153</v>
      </c>
      <c r="D3556" s="2" t="s">
        <v>264</v>
      </c>
      <c r="E3556" s="15">
        <v>8246.7000000000007</v>
      </c>
      <c r="F3556" s="36" t="s">
        <v>361</v>
      </c>
      <c r="G3556" s="15">
        <v>8246.7000000000007</v>
      </c>
      <c r="H3556" s="15">
        <f t="shared" si="56"/>
        <v>0</v>
      </c>
    </row>
    <row r="3557" spans="1:8" x14ac:dyDescent="0.25">
      <c r="A3557" s="16">
        <v>42765</v>
      </c>
      <c r="B3557" s="17" t="s">
        <v>3975</v>
      </c>
      <c r="C3557" s="18">
        <v>99154</v>
      </c>
      <c r="D3557" s="2" t="s">
        <v>305</v>
      </c>
      <c r="E3557" s="15">
        <v>4309.7</v>
      </c>
      <c r="F3557" s="36" t="s">
        <v>3272</v>
      </c>
      <c r="G3557" s="15">
        <v>4309.7</v>
      </c>
      <c r="H3557" s="15">
        <f t="shared" si="56"/>
        <v>0</v>
      </c>
    </row>
    <row r="3558" spans="1:8" x14ac:dyDescent="0.25">
      <c r="A3558" s="16">
        <v>42765</v>
      </c>
      <c r="B3558" s="17" t="s">
        <v>3976</v>
      </c>
      <c r="C3558" s="18">
        <v>99155</v>
      </c>
      <c r="D3558" s="2" t="s">
        <v>149</v>
      </c>
      <c r="E3558" s="15">
        <v>2793.6</v>
      </c>
      <c r="F3558" s="36" t="s">
        <v>361</v>
      </c>
      <c r="G3558" s="15">
        <v>2793.6</v>
      </c>
      <c r="H3558" s="15">
        <f t="shared" si="56"/>
        <v>0</v>
      </c>
    </row>
    <row r="3559" spans="1:8" x14ac:dyDescent="0.25">
      <c r="A3559" s="16">
        <v>42765</v>
      </c>
      <c r="B3559" s="17" t="s">
        <v>3977</v>
      </c>
      <c r="C3559" s="18">
        <v>99156</v>
      </c>
      <c r="D3559" s="2" t="s">
        <v>149</v>
      </c>
      <c r="E3559" s="15">
        <v>3829.6</v>
      </c>
      <c r="F3559" s="36" t="s">
        <v>361</v>
      </c>
      <c r="G3559" s="15">
        <v>3829.6</v>
      </c>
      <c r="H3559" s="15">
        <f t="shared" si="56"/>
        <v>0</v>
      </c>
    </row>
    <row r="3560" spans="1:8" x14ac:dyDescent="0.25">
      <c r="A3560" s="16">
        <v>42765</v>
      </c>
      <c r="B3560" s="17" t="s">
        <v>3978</v>
      </c>
      <c r="C3560" s="18">
        <v>99157</v>
      </c>
      <c r="D3560" s="2" t="s">
        <v>858</v>
      </c>
      <c r="E3560" s="15">
        <v>552.6</v>
      </c>
      <c r="F3560" s="36" t="s">
        <v>361</v>
      </c>
      <c r="G3560" s="15">
        <v>552.6</v>
      </c>
      <c r="H3560" s="15">
        <f t="shared" si="56"/>
        <v>0</v>
      </c>
    </row>
    <row r="3561" spans="1:8" x14ac:dyDescent="0.25">
      <c r="A3561" s="16">
        <v>42765</v>
      </c>
      <c r="B3561" s="17" t="s">
        <v>3979</v>
      </c>
      <c r="C3561" s="18">
        <v>99158</v>
      </c>
      <c r="D3561" s="2" t="s">
        <v>476</v>
      </c>
      <c r="E3561" s="15">
        <v>12466.1</v>
      </c>
      <c r="F3561" s="36" t="s">
        <v>1173</v>
      </c>
      <c r="G3561" s="15">
        <v>12466.1</v>
      </c>
      <c r="H3561" s="15">
        <f t="shared" si="56"/>
        <v>0</v>
      </c>
    </row>
    <row r="3562" spans="1:8" x14ac:dyDescent="0.25">
      <c r="A3562" s="16">
        <v>42765</v>
      </c>
      <c r="B3562" s="17" t="s">
        <v>3980</v>
      </c>
      <c r="C3562" s="18">
        <v>99159</v>
      </c>
      <c r="D3562" s="2" t="s">
        <v>120</v>
      </c>
      <c r="E3562" s="15">
        <v>2232</v>
      </c>
      <c r="F3562" s="36" t="s">
        <v>1173</v>
      </c>
      <c r="G3562" s="15">
        <v>2232</v>
      </c>
      <c r="H3562" s="15">
        <f t="shared" si="56"/>
        <v>0</v>
      </c>
    </row>
    <row r="3563" spans="1:8" x14ac:dyDescent="0.25">
      <c r="A3563" s="16">
        <v>42765</v>
      </c>
      <c r="B3563" s="17" t="s">
        <v>3981</v>
      </c>
      <c r="C3563" s="18">
        <v>99160</v>
      </c>
      <c r="D3563" s="2" t="s">
        <v>208</v>
      </c>
      <c r="E3563" s="15">
        <v>5891.7</v>
      </c>
      <c r="F3563" s="36" t="s">
        <v>1173</v>
      </c>
      <c r="G3563" s="15">
        <v>5891.7</v>
      </c>
      <c r="H3563" s="15">
        <f t="shared" si="56"/>
        <v>0</v>
      </c>
    </row>
    <row r="3564" spans="1:8" x14ac:dyDescent="0.25">
      <c r="A3564" s="16">
        <v>42765</v>
      </c>
      <c r="B3564" s="17" t="s">
        <v>3982</v>
      </c>
      <c r="C3564" s="18">
        <v>99161</v>
      </c>
      <c r="D3564" s="2" t="s">
        <v>472</v>
      </c>
      <c r="E3564" s="15">
        <v>11064</v>
      </c>
      <c r="F3564" s="36" t="s">
        <v>3126</v>
      </c>
      <c r="G3564" s="15">
        <v>11064</v>
      </c>
      <c r="H3564" s="15">
        <f t="shared" si="56"/>
        <v>0</v>
      </c>
    </row>
    <row r="3565" spans="1:8" x14ac:dyDescent="0.25">
      <c r="A3565" s="16">
        <v>42765</v>
      </c>
      <c r="B3565" s="17" t="s">
        <v>3983</v>
      </c>
      <c r="C3565" s="18">
        <v>99162</v>
      </c>
      <c r="D3565" s="2" t="s">
        <v>470</v>
      </c>
      <c r="E3565" s="15">
        <v>7016.8</v>
      </c>
      <c r="F3565" s="36" t="s">
        <v>1173</v>
      </c>
      <c r="G3565" s="15">
        <v>7016.8</v>
      </c>
      <c r="H3565" s="15">
        <f t="shared" si="56"/>
        <v>0</v>
      </c>
    </row>
    <row r="3566" spans="1:8" x14ac:dyDescent="0.25">
      <c r="A3566" s="16">
        <v>42765</v>
      </c>
      <c r="B3566" s="17" t="s">
        <v>3984</v>
      </c>
      <c r="C3566" s="18">
        <v>99163</v>
      </c>
      <c r="D3566" s="2" t="s">
        <v>509</v>
      </c>
      <c r="E3566" s="15">
        <v>17333.7</v>
      </c>
      <c r="F3566" s="36" t="s">
        <v>765</v>
      </c>
      <c r="G3566" s="15">
        <v>17333.7</v>
      </c>
      <c r="H3566" s="15">
        <f t="shared" si="56"/>
        <v>0</v>
      </c>
    </row>
    <row r="3567" spans="1:8" x14ac:dyDescent="0.25">
      <c r="A3567" s="16">
        <v>42765</v>
      </c>
      <c r="B3567" s="17" t="s">
        <v>3985</v>
      </c>
      <c r="C3567" s="18">
        <v>99164</v>
      </c>
      <c r="D3567" s="2" t="s">
        <v>302</v>
      </c>
      <c r="E3567" s="15">
        <v>9537</v>
      </c>
      <c r="F3567" s="36" t="s">
        <v>361</v>
      </c>
      <c r="G3567" s="15">
        <v>9537</v>
      </c>
      <c r="H3567" s="15">
        <f t="shared" si="56"/>
        <v>0</v>
      </c>
    </row>
    <row r="3568" spans="1:8" x14ac:dyDescent="0.25">
      <c r="A3568" s="16">
        <v>42765</v>
      </c>
      <c r="B3568" s="17" t="s">
        <v>3986</v>
      </c>
      <c r="C3568" s="18">
        <v>99165</v>
      </c>
      <c r="D3568" s="2" t="s">
        <v>1830</v>
      </c>
      <c r="E3568" s="15">
        <v>17538.8</v>
      </c>
      <c r="F3568" s="36" t="s">
        <v>1173</v>
      </c>
      <c r="G3568" s="15">
        <v>17538.8</v>
      </c>
      <c r="H3568" s="15">
        <f t="shared" si="56"/>
        <v>0</v>
      </c>
    </row>
    <row r="3569" spans="1:8" x14ac:dyDescent="0.25">
      <c r="A3569" s="16">
        <v>42765</v>
      </c>
      <c r="B3569" s="17" t="s">
        <v>3987</v>
      </c>
      <c r="C3569" s="18">
        <v>99166</v>
      </c>
      <c r="D3569" s="2" t="s">
        <v>122</v>
      </c>
      <c r="E3569" s="15">
        <v>5731.6</v>
      </c>
      <c r="F3569" s="36" t="s">
        <v>3126</v>
      </c>
      <c r="G3569" s="15">
        <v>5731.6</v>
      </c>
      <c r="H3569" s="15">
        <f t="shared" si="56"/>
        <v>0</v>
      </c>
    </row>
    <row r="3570" spans="1:8" x14ac:dyDescent="0.25">
      <c r="A3570" s="16">
        <v>42765</v>
      </c>
      <c r="B3570" s="17" t="s">
        <v>3988</v>
      </c>
      <c r="C3570" s="18">
        <v>99167</v>
      </c>
      <c r="D3570" s="2" t="s">
        <v>30</v>
      </c>
      <c r="E3570" s="15">
        <v>2086.08</v>
      </c>
      <c r="F3570" s="36" t="s">
        <v>361</v>
      </c>
      <c r="G3570" s="15">
        <v>2086.08</v>
      </c>
      <c r="H3570" s="15">
        <f t="shared" si="56"/>
        <v>0</v>
      </c>
    </row>
    <row r="3571" spans="1:8" x14ac:dyDescent="0.25">
      <c r="A3571" s="16">
        <v>42765</v>
      </c>
      <c r="B3571" s="17" t="s">
        <v>3989</v>
      </c>
      <c r="C3571" s="18">
        <v>99168</v>
      </c>
      <c r="D3571" s="2" t="s">
        <v>272</v>
      </c>
      <c r="E3571" s="15">
        <v>5103</v>
      </c>
      <c r="F3571" s="36" t="s">
        <v>1889</v>
      </c>
      <c r="G3571" s="15">
        <v>5103</v>
      </c>
      <c r="H3571" s="15">
        <f t="shared" si="56"/>
        <v>0</v>
      </c>
    </row>
    <row r="3572" spans="1:8" x14ac:dyDescent="0.25">
      <c r="A3572" s="16">
        <v>42765</v>
      </c>
      <c r="B3572" s="17" t="s">
        <v>3990</v>
      </c>
      <c r="C3572" s="18">
        <v>99169</v>
      </c>
      <c r="D3572" s="2" t="s">
        <v>270</v>
      </c>
      <c r="E3572" s="15">
        <v>950</v>
      </c>
      <c r="F3572" s="36" t="s">
        <v>1889</v>
      </c>
      <c r="G3572" s="15">
        <v>950</v>
      </c>
      <c r="H3572" s="15">
        <f t="shared" si="56"/>
        <v>0</v>
      </c>
    </row>
    <row r="3573" spans="1:8" x14ac:dyDescent="0.25">
      <c r="A3573" s="16">
        <v>42765</v>
      </c>
      <c r="B3573" s="17" t="s">
        <v>3991</v>
      </c>
      <c r="C3573" s="18">
        <v>99170</v>
      </c>
      <c r="D3573" s="2" t="s">
        <v>862</v>
      </c>
      <c r="E3573" s="15">
        <v>10592.4</v>
      </c>
      <c r="F3573" s="36" t="s">
        <v>361</v>
      </c>
      <c r="G3573" s="15">
        <v>10592.4</v>
      </c>
      <c r="H3573" s="15">
        <f t="shared" si="56"/>
        <v>0</v>
      </c>
    </row>
    <row r="3574" spans="1:8" x14ac:dyDescent="0.25">
      <c r="A3574" s="16">
        <v>42765</v>
      </c>
      <c r="B3574" s="17" t="s">
        <v>3992</v>
      </c>
      <c r="C3574" s="18">
        <v>99171</v>
      </c>
      <c r="D3574" s="2" t="s">
        <v>268</v>
      </c>
      <c r="E3574" s="15">
        <v>15496.4</v>
      </c>
      <c r="F3574" s="36" t="s">
        <v>1889</v>
      </c>
      <c r="G3574" s="15">
        <v>15496.4</v>
      </c>
      <c r="H3574" s="15">
        <f t="shared" si="56"/>
        <v>0</v>
      </c>
    </row>
    <row r="3575" spans="1:8" x14ac:dyDescent="0.25">
      <c r="A3575" s="16">
        <v>42765</v>
      </c>
      <c r="B3575" s="17" t="s">
        <v>3993</v>
      </c>
      <c r="C3575" s="18">
        <v>99172</v>
      </c>
      <c r="D3575" s="2" t="s">
        <v>432</v>
      </c>
      <c r="E3575" s="15">
        <v>13024</v>
      </c>
      <c r="F3575" s="36" t="s">
        <v>1889</v>
      </c>
      <c r="G3575" s="15">
        <v>13024</v>
      </c>
      <c r="H3575" s="15">
        <f t="shared" si="56"/>
        <v>0</v>
      </c>
    </row>
    <row r="3576" spans="1:8" x14ac:dyDescent="0.25">
      <c r="A3576" s="16">
        <v>42765</v>
      </c>
      <c r="B3576" s="17" t="s">
        <v>3994</v>
      </c>
      <c r="C3576" s="18">
        <v>99173</v>
      </c>
      <c r="D3576" s="2" t="s">
        <v>331</v>
      </c>
      <c r="E3576" s="15">
        <v>3635.6</v>
      </c>
      <c r="F3576" s="36" t="s">
        <v>361</v>
      </c>
      <c r="G3576" s="15">
        <v>3635.6</v>
      </c>
      <c r="H3576" s="15">
        <f t="shared" si="56"/>
        <v>0</v>
      </c>
    </row>
    <row r="3577" spans="1:8" x14ac:dyDescent="0.25">
      <c r="A3577" s="16">
        <v>42765</v>
      </c>
      <c r="B3577" s="17" t="s">
        <v>3995</v>
      </c>
      <c r="C3577" s="18">
        <v>99174</v>
      </c>
      <c r="D3577" s="2" t="s">
        <v>10</v>
      </c>
      <c r="E3577" s="15">
        <v>64047.28</v>
      </c>
      <c r="F3577" s="36" t="s">
        <v>1889</v>
      </c>
      <c r="G3577" s="15">
        <v>64047.28</v>
      </c>
      <c r="H3577" s="15">
        <f t="shared" si="56"/>
        <v>0</v>
      </c>
    </row>
    <row r="3578" spans="1:8" x14ac:dyDescent="0.25">
      <c r="A3578" s="16">
        <v>42765</v>
      </c>
      <c r="B3578" s="17" t="s">
        <v>3996</v>
      </c>
      <c r="C3578" s="18">
        <v>99175</v>
      </c>
      <c r="D3578" s="2" t="s">
        <v>3997</v>
      </c>
      <c r="E3578" s="15">
        <v>19988</v>
      </c>
      <c r="F3578" s="36" t="s">
        <v>1173</v>
      </c>
      <c r="G3578" s="15">
        <v>19988</v>
      </c>
      <c r="H3578" s="15">
        <f t="shared" si="56"/>
        <v>0</v>
      </c>
    </row>
    <row r="3579" spans="1:8" x14ac:dyDescent="0.25">
      <c r="A3579" s="16">
        <v>42765</v>
      </c>
      <c r="B3579" s="17" t="s">
        <v>3998</v>
      </c>
      <c r="C3579" s="18">
        <v>99176</v>
      </c>
      <c r="D3579" s="2" t="s">
        <v>135</v>
      </c>
      <c r="E3579" s="15">
        <v>571.4</v>
      </c>
      <c r="F3579" s="36" t="s">
        <v>361</v>
      </c>
      <c r="G3579" s="15">
        <v>571.4</v>
      </c>
      <c r="H3579" s="15">
        <f t="shared" si="56"/>
        <v>0</v>
      </c>
    </row>
    <row r="3580" spans="1:8" x14ac:dyDescent="0.25">
      <c r="A3580" s="16">
        <v>42765</v>
      </c>
      <c r="B3580" s="17" t="s">
        <v>3999</v>
      </c>
      <c r="C3580" s="18">
        <v>99177</v>
      </c>
      <c r="D3580" s="2" t="s">
        <v>422</v>
      </c>
      <c r="E3580" s="15">
        <v>1765.12</v>
      </c>
      <c r="F3580" s="36" t="s">
        <v>361</v>
      </c>
      <c r="G3580" s="15">
        <v>1765.12</v>
      </c>
      <c r="H3580" s="15">
        <f t="shared" si="56"/>
        <v>0</v>
      </c>
    </row>
    <row r="3581" spans="1:8" x14ac:dyDescent="0.25">
      <c r="A3581" s="16">
        <v>42765</v>
      </c>
      <c r="B3581" s="17" t="s">
        <v>4000</v>
      </c>
      <c r="C3581" s="18">
        <v>99178</v>
      </c>
      <c r="D3581" s="2" t="s">
        <v>329</v>
      </c>
      <c r="E3581" s="15">
        <v>651</v>
      </c>
      <c r="F3581" s="36" t="s">
        <v>361</v>
      </c>
      <c r="G3581" s="15">
        <v>651</v>
      </c>
      <c r="H3581" s="15">
        <f t="shared" si="56"/>
        <v>0</v>
      </c>
    </row>
    <row r="3582" spans="1:8" x14ac:dyDescent="0.25">
      <c r="A3582" s="16">
        <v>42765</v>
      </c>
      <c r="B3582" s="17" t="s">
        <v>4001</v>
      </c>
      <c r="C3582" s="18">
        <v>99179</v>
      </c>
      <c r="D3582" s="2" t="s">
        <v>115</v>
      </c>
      <c r="E3582" s="15">
        <v>3550.7</v>
      </c>
      <c r="F3582" s="36" t="s">
        <v>361</v>
      </c>
      <c r="G3582" s="15">
        <v>3550.7</v>
      </c>
      <c r="H3582" s="15">
        <f t="shared" si="56"/>
        <v>0</v>
      </c>
    </row>
    <row r="3583" spans="1:8" x14ac:dyDescent="0.25">
      <c r="A3583" s="16">
        <v>42765</v>
      </c>
      <c r="B3583" s="17" t="s">
        <v>4002</v>
      </c>
      <c r="C3583" s="18">
        <v>99180</v>
      </c>
      <c r="D3583" s="2" t="s">
        <v>1299</v>
      </c>
      <c r="E3583" s="15">
        <v>5270.4</v>
      </c>
      <c r="F3583" s="36" t="s">
        <v>361</v>
      </c>
      <c r="G3583" s="15">
        <v>5270.4</v>
      </c>
      <c r="H3583" s="15">
        <f t="shared" si="56"/>
        <v>0</v>
      </c>
    </row>
    <row r="3584" spans="1:8" x14ac:dyDescent="0.25">
      <c r="A3584" s="16">
        <v>42765</v>
      </c>
      <c r="B3584" s="17" t="s">
        <v>4003</v>
      </c>
      <c r="C3584" s="18">
        <v>99181</v>
      </c>
      <c r="D3584" s="2" t="s">
        <v>133</v>
      </c>
      <c r="E3584" s="15">
        <v>14575.8</v>
      </c>
      <c r="F3584" s="36" t="s">
        <v>2744</v>
      </c>
      <c r="G3584" s="15">
        <v>14575.8</v>
      </c>
      <c r="H3584" s="15">
        <f t="shared" si="56"/>
        <v>0</v>
      </c>
    </row>
    <row r="3585" spans="1:8" x14ac:dyDescent="0.25">
      <c r="A3585" s="16">
        <v>42765</v>
      </c>
      <c r="B3585" s="17" t="s">
        <v>4004</v>
      </c>
      <c r="C3585" s="18">
        <v>99182</v>
      </c>
      <c r="D3585" s="2" t="s">
        <v>10</v>
      </c>
      <c r="E3585" s="15">
        <v>62225</v>
      </c>
      <c r="F3585" s="36" t="s">
        <v>307</v>
      </c>
      <c r="G3585" s="15">
        <v>62225</v>
      </c>
      <c r="H3585" s="15">
        <f t="shared" si="56"/>
        <v>0</v>
      </c>
    </row>
    <row r="3586" spans="1:8" x14ac:dyDescent="0.25">
      <c r="A3586" s="16">
        <v>42765</v>
      </c>
      <c r="B3586" s="17" t="s">
        <v>4005</v>
      </c>
      <c r="C3586" s="18">
        <v>99183</v>
      </c>
      <c r="D3586" s="2" t="s">
        <v>21</v>
      </c>
      <c r="E3586" s="15">
        <v>46485</v>
      </c>
      <c r="F3586" s="124" t="s">
        <v>4174</v>
      </c>
      <c r="G3586" s="20">
        <f>45121+1364</f>
        <v>46485</v>
      </c>
      <c r="H3586" s="20">
        <f t="shared" si="56"/>
        <v>0</v>
      </c>
    </row>
    <row r="3587" spans="1:8" x14ac:dyDescent="0.25">
      <c r="A3587" s="16">
        <v>42765</v>
      </c>
      <c r="B3587" s="17" t="s">
        <v>4007</v>
      </c>
      <c r="C3587" s="18">
        <v>99184</v>
      </c>
      <c r="D3587" s="2" t="s">
        <v>1141</v>
      </c>
      <c r="E3587" s="15">
        <v>510</v>
      </c>
      <c r="F3587" s="36" t="s">
        <v>361</v>
      </c>
      <c r="G3587" s="15">
        <v>510</v>
      </c>
      <c r="H3587" s="15">
        <f t="shared" si="56"/>
        <v>0</v>
      </c>
    </row>
    <row r="3588" spans="1:8" x14ac:dyDescent="0.25">
      <c r="A3588" s="16">
        <v>42765</v>
      </c>
      <c r="B3588" s="17" t="s">
        <v>4008</v>
      </c>
      <c r="C3588" s="18">
        <v>99185</v>
      </c>
      <c r="D3588" s="2" t="s">
        <v>697</v>
      </c>
      <c r="E3588" s="15">
        <v>71190</v>
      </c>
      <c r="F3588" s="36" t="s">
        <v>2554</v>
      </c>
      <c r="G3588" s="15">
        <v>71190</v>
      </c>
      <c r="H3588" s="15">
        <f t="shared" si="56"/>
        <v>0</v>
      </c>
    </row>
    <row r="3589" spans="1:8" x14ac:dyDescent="0.25">
      <c r="A3589" s="16">
        <v>42765</v>
      </c>
      <c r="B3589" s="17" t="s">
        <v>4009</v>
      </c>
      <c r="C3589" s="18">
        <v>99186</v>
      </c>
      <c r="D3589" s="2" t="s">
        <v>155</v>
      </c>
      <c r="E3589" s="15">
        <v>14061.7</v>
      </c>
      <c r="F3589" s="36" t="s">
        <v>765</v>
      </c>
      <c r="G3589" s="15">
        <v>14061.7</v>
      </c>
      <c r="H3589" s="15">
        <f t="shared" si="56"/>
        <v>0</v>
      </c>
    </row>
    <row r="3590" spans="1:8" x14ac:dyDescent="0.25">
      <c r="A3590" s="16">
        <v>42765</v>
      </c>
      <c r="B3590" s="17" t="s">
        <v>4010</v>
      </c>
      <c r="C3590" s="18">
        <v>99187</v>
      </c>
      <c r="D3590" s="2" t="s">
        <v>3319</v>
      </c>
      <c r="E3590" s="15">
        <v>6613.2</v>
      </c>
      <c r="F3590" s="36" t="s">
        <v>1889</v>
      </c>
      <c r="G3590" s="15">
        <v>6613.2</v>
      </c>
      <c r="H3590" s="15">
        <f t="shared" ref="H3590:H3653" si="57">E3590-G3590</f>
        <v>0</v>
      </c>
    </row>
    <row r="3591" spans="1:8" x14ac:dyDescent="0.25">
      <c r="A3591" s="16">
        <v>42765</v>
      </c>
      <c r="B3591" s="17" t="s">
        <v>4011</v>
      </c>
      <c r="C3591" s="18">
        <v>99188</v>
      </c>
      <c r="D3591" s="2" t="s">
        <v>145</v>
      </c>
      <c r="E3591" s="15">
        <v>3952</v>
      </c>
      <c r="F3591" s="36" t="s">
        <v>1889</v>
      </c>
      <c r="G3591" s="15">
        <v>3952</v>
      </c>
      <c r="H3591" s="15">
        <f t="shared" si="57"/>
        <v>0</v>
      </c>
    </row>
    <row r="3592" spans="1:8" x14ac:dyDescent="0.25">
      <c r="A3592" s="16">
        <v>42765</v>
      </c>
      <c r="B3592" s="17" t="s">
        <v>4012</v>
      </c>
      <c r="C3592" s="18">
        <v>99189</v>
      </c>
      <c r="D3592" s="2" t="s">
        <v>2704</v>
      </c>
      <c r="E3592" s="15">
        <v>12032.8</v>
      </c>
      <c r="F3592" s="36" t="s">
        <v>1889</v>
      </c>
      <c r="G3592" s="15">
        <v>12032.8</v>
      </c>
      <c r="H3592" s="15">
        <f t="shared" si="57"/>
        <v>0</v>
      </c>
    </row>
    <row r="3593" spans="1:8" x14ac:dyDescent="0.25">
      <c r="A3593" s="16">
        <v>42765</v>
      </c>
      <c r="B3593" s="17" t="s">
        <v>4013</v>
      </c>
      <c r="C3593" s="18">
        <v>99190</v>
      </c>
      <c r="D3593" s="2" t="s">
        <v>316</v>
      </c>
      <c r="E3593" s="15">
        <v>16692.64</v>
      </c>
      <c r="F3593" s="36" t="s">
        <v>307</v>
      </c>
      <c r="G3593" s="15">
        <v>16692.64</v>
      </c>
      <c r="H3593" s="15">
        <f t="shared" si="57"/>
        <v>0</v>
      </c>
    </row>
    <row r="3594" spans="1:8" x14ac:dyDescent="0.25">
      <c r="A3594" s="16">
        <v>42765</v>
      </c>
      <c r="B3594" s="17" t="s">
        <v>4014</v>
      </c>
      <c r="C3594" s="18">
        <v>99191</v>
      </c>
      <c r="D3594" s="2" t="s">
        <v>147</v>
      </c>
      <c r="E3594" s="15">
        <v>70170.8</v>
      </c>
      <c r="F3594" s="36" t="s">
        <v>3272</v>
      </c>
      <c r="G3594" s="15">
        <v>70170.8</v>
      </c>
      <c r="H3594" s="15">
        <f t="shared" si="57"/>
        <v>0</v>
      </c>
    </row>
    <row r="3595" spans="1:8" x14ac:dyDescent="0.25">
      <c r="A3595" s="16">
        <v>42765</v>
      </c>
      <c r="B3595" s="17" t="s">
        <v>4015</v>
      </c>
      <c r="C3595" s="18">
        <v>99192</v>
      </c>
      <c r="D3595" s="2" t="s">
        <v>131</v>
      </c>
      <c r="E3595" s="15">
        <v>36229.199999999997</v>
      </c>
      <c r="F3595" s="36" t="s">
        <v>1889</v>
      </c>
      <c r="G3595" s="15">
        <v>36229.199999999997</v>
      </c>
      <c r="H3595" s="15">
        <f t="shared" si="57"/>
        <v>0</v>
      </c>
    </row>
    <row r="3596" spans="1:8" x14ac:dyDescent="0.25">
      <c r="A3596" s="16">
        <v>42765</v>
      </c>
      <c r="B3596" s="17" t="s">
        <v>4016</v>
      </c>
      <c r="C3596" s="18">
        <v>99193</v>
      </c>
      <c r="D3596" s="2" t="s">
        <v>47</v>
      </c>
      <c r="E3596" s="15">
        <v>1035</v>
      </c>
      <c r="F3596" s="36" t="s">
        <v>361</v>
      </c>
      <c r="G3596" s="15">
        <v>1035</v>
      </c>
      <c r="H3596" s="15">
        <f t="shared" si="57"/>
        <v>0</v>
      </c>
    </row>
    <row r="3597" spans="1:8" x14ac:dyDescent="0.25">
      <c r="A3597" s="16">
        <v>42765</v>
      </c>
      <c r="B3597" s="17" t="s">
        <v>4017</v>
      </c>
      <c r="C3597" s="18">
        <v>99194</v>
      </c>
      <c r="D3597" s="2" t="s">
        <v>1325</v>
      </c>
      <c r="E3597" s="15">
        <v>2533.1</v>
      </c>
      <c r="F3597" s="36" t="s">
        <v>1173</v>
      </c>
      <c r="G3597" s="15">
        <v>2533.1</v>
      </c>
      <c r="H3597" s="15">
        <f t="shared" si="57"/>
        <v>0</v>
      </c>
    </row>
    <row r="3598" spans="1:8" x14ac:dyDescent="0.25">
      <c r="A3598" s="16">
        <v>42765</v>
      </c>
      <c r="B3598" s="17" t="s">
        <v>4018</v>
      </c>
      <c r="C3598" s="18">
        <v>99195</v>
      </c>
      <c r="D3598" s="2" t="s">
        <v>220</v>
      </c>
      <c r="E3598" s="15">
        <v>1857.6</v>
      </c>
      <c r="F3598" s="36" t="s">
        <v>1173</v>
      </c>
      <c r="G3598" s="15">
        <v>1857.6</v>
      </c>
      <c r="H3598" s="15">
        <f t="shared" si="57"/>
        <v>0</v>
      </c>
    </row>
    <row r="3599" spans="1:8" x14ac:dyDescent="0.25">
      <c r="A3599" s="16">
        <v>42765</v>
      </c>
      <c r="B3599" s="17" t="s">
        <v>4019</v>
      </c>
      <c r="C3599" s="18">
        <v>99196</v>
      </c>
      <c r="D3599" s="2" t="s">
        <v>30</v>
      </c>
      <c r="E3599" s="15">
        <v>560</v>
      </c>
      <c r="F3599" s="36" t="s">
        <v>361</v>
      </c>
      <c r="G3599" s="15">
        <v>560</v>
      </c>
      <c r="H3599" s="15">
        <f t="shared" si="57"/>
        <v>0</v>
      </c>
    </row>
    <row r="3600" spans="1:8" x14ac:dyDescent="0.25">
      <c r="A3600" s="16">
        <v>42765</v>
      </c>
      <c r="B3600" s="17" t="s">
        <v>4020</v>
      </c>
      <c r="C3600" s="18">
        <v>99197</v>
      </c>
      <c r="D3600" s="2" t="s">
        <v>30</v>
      </c>
      <c r="E3600" s="15">
        <v>1506.4</v>
      </c>
      <c r="F3600" s="36" t="s">
        <v>361</v>
      </c>
      <c r="G3600" s="15">
        <v>1506.4</v>
      </c>
      <c r="H3600" s="15">
        <f t="shared" si="57"/>
        <v>0</v>
      </c>
    </row>
    <row r="3601" spans="1:8" x14ac:dyDescent="0.25">
      <c r="A3601" s="16">
        <v>42765</v>
      </c>
      <c r="B3601" s="17" t="s">
        <v>4021</v>
      </c>
      <c r="C3601" s="18">
        <v>99198</v>
      </c>
      <c r="D3601" s="2" t="s">
        <v>3425</v>
      </c>
      <c r="E3601" s="15">
        <v>384</v>
      </c>
      <c r="F3601" s="36" t="s">
        <v>361</v>
      </c>
      <c r="G3601" s="15">
        <v>384</v>
      </c>
      <c r="H3601" s="15">
        <f t="shared" si="57"/>
        <v>0</v>
      </c>
    </row>
    <row r="3602" spans="1:8" x14ac:dyDescent="0.25">
      <c r="A3602" s="16">
        <v>42765</v>
      </c>
      <c r="B3602" s="17" t="s">
        <v>4022</v>
      </c>
      <c r="C3602" s="18">
        <v>99199</v>
      </c>
      <c r="D3602" s="2" t="s">
        <v>182</v>
      </c>
      <c r="E3602" s="15">
        <v>5000</v>
      </c>
      <c r="F3602" s="36" t="s">
        <v>1173</v>
      </c>
      <c r="G3602" s="15">
        <v>5000</v>
      </c>
      <c r="H3602" s="15">
        <f t="shared" si="57"/>
        <v>0</v>
      </c>
    </row>
    <row r="3603" spans="1:8" x14ac:dyDescent="0.25">
      <c r="A3603" s="16">
        <v>42765</v>
      </c>
      <c r="B3603" s="17" t="s">
        <v>4023</v>
      </c>
      <c r="C3603" s="18">
        <v>99200</v>
      </c>
      <c r="D3603" s="2" t="s">
        <v>30</v>
      </c>
      <c r="E3603" s="15">
        <v>3874</v>
      </c>
      <c r="F3603" s="36" t="s">
        <v>1173</v>
      </c>
      <c r="G3603" s="15">
        <v>3874</v>
      </c>
      <c r="H3603" s="15">
        <f t="shared" si="57"/>
        <v>0</v>
      </c>
    </row>
    <row r="3604" spans="1:8" x14ac:dyDescent="0.25">
      <c r="A3604" s="16">
        <v>42765</v>
      </c>
      <c r="B3604" s="17" t="s">
        <v>4024</v>
      </c>
      <c r="C3604" s="18">
        <v>99201</v>
      </c>
      <c r="D3604" s="2" t="s">
        <v>335</v>
      </c>
      <c r="E3604" s="15">
        <v>1595.3</v>
      </c>
      <c r="F3604" s="36" t="s">
        <v>3961</v>
      </c>
      <c r="G3604" s="15">
        <v>1595.3</v>
      </c>
      <c r="H3604" s="15">
        <f t="shared" si="57"/>
        <v>0</v>
      </c>
    </row>
    <row r="3605" spans="1:8" x14ac:dyDescent="0.25">
      <c r="A3605" s="16">
        <v>42765</v>
      </c>
      <c r="B3605" s="17" t="s">
        <v>4025</v>
      </c>
      <c r="C3605" s="18">
        <v>99202</v>
      </c>
      <c r="D3605" s="2" t="s">
        <v>193</v>
      </c>
      <c r="E3605" s="15">
        <v>2229.5</v>
      </c>
      <c r="F3605" s="36" t="s">
        <v>1173</v>
      </c>
      <c r="G3605" s="15">
        <v>2229.5</v>
      </c>
      <c r="H3605" s="15">
        <f t="shared" si="57"/>
        <v>0</v>
      </c>
    </row>
    <row r="3606" spans="1:8" x14ac:dyDescent="0.25">
      <c r="A3606" s="16">
        <v>42765</v>
      </c>
      <c r="B3606" s="17" t="s">
        <v>4026</v>
      </c>
      <c r="C3606" s="18">
        <v>99203</v>
      </c>
      <c r="D3606" s="2" t="s">
        <v>2528</v>
      </c>
      <c r="E3606" s="15">
        <v>429.4</v>
      </c>
      <c r="F3606" s="36" t="s">
        <v>1173</v>
      </c>
      <c r="G3606" s="15">
        <v>429.4</v>
      </c>
      <c r="H3606" s="15">
        <f t="shared" si="57"/>
        <v>0</v>
      </c>
    </row>
    <row r="3607" spans="1:8" x14ac:dyDescent="0.25">
      <c r="A3607" s="16">
        <v>42765</v>
      </c>
      <c r="B3607" s="17" t="s">
        <v>4027</v>
      </c>
      <c r="C3607" s="18">
        <v>99204</v>
      </c>
      <c r="D3607" s="2" t="s">
        <v>196</v>
      </c>
      <c r="E3607" s="15">
        <v>3684.8</v>
      </c>
      <c r="F3607" s="36" t="s">
        <v>361</v>
      </c>
      <c r="G3607" s="15">
        <v>3684.8</v>
      </c>
      <c r="H3607" s="15">
        <f t="shared" si="57"/>
        <v>0</v>
      </c>
    </row>
    <row r="3608" spans="1:8" x14ac:dyDescent="0.25">
      <c r="A3608" s="16">
        <v>42765</v>
      </c>
      <c r="B3608" s="17" t="s">
        <v>4028</v>
      </c>
      <c r="C3608" s="18">
        <v>99205</v>
      </c>
      <c r="D3608" s="2" t="s">
        <v>10</v>
      </c>
      <c r="E3608" s="15">
        <v>156252.79999999999</v>
      </c>
      <c r="F3608" s="36" t="s">
        <v>307</v>
      </c>
      <c r="G3608" s="15">
        <v>156252.79999999999</v>
      </c>
      <c r="H3608" s="15">
        <f t="shared" si="57"/>
        <v>0</v>
      </c>
    </row>
    <row r="3609" spans="1:8" x14ac:dyDescent="0.25">
      <c r="A3609" s="16">
        <v>42765</v>
      </c>
      <c r="B3609" s="17" t="s">
        <v>4029</v>
      </c>
      <c r="C3609" s="18">
        <v>99206</v>
      </c>
      <c r="D3609" s="2" t="s">
        <v>30</v>
      </c>
      <c r="E3609" s="15">
        <v>8170.8</v>
      </c>
      <c r="F3609" s="36" t="s">
        <v>361</v>
      </c>
      <c r="G3609" s="15">
        <v>8170.8</v>
      </c>
      <c r="H3609" s="15">
        <f t="shared" si="57"/>
        <v>0</v>
      </c>
    </row>
    <row r="3610" spans="1:8" x14ac:dyDescent="0.25">
      <c r="A3610" s="16">
        <v>42765</v>
      </c>
      <c r="B3610" s="17" t="s">
        <v>4030</v>
      </c>
      <c r="C3610" s="18">
        <v>99207</v>
      </c>
      <c r="D3610" s="13" t="s">
        <v>205</v>
      </c>
      <c r="E3610" s="14">
        <v>0</v>
      </c>
      <c r="F3610" s="123" t="s">
        <v>95</v>
      </c>
      <c r="G3610" s="14">
        <v>0</v>
      </c>
      <c r="H3610" s="14">
        <f t="shared" si="57"/>
        <v>0</v>
      </c>
    </row>
    <row r="3611" spans="1:8" x14ac:dyDescent="0.25">
      <c r="A3611" s="16">
        <v>42765</v>
      </c>
      <c r="B3611" s="17" t="s">
        <v>4031</v>
      </c>
      <c r="C3611" s="18">
        <v>99208</v>
      </c>
      <c r="D3611" s="2" t="s">
        <v>236</v>
      </c>
      <c r="E3611" s="15">
        <v>2060.8000000000002</v>
      </c>
      <c r="F3611" s="36" t="s">
        <v>3164</v>
      </c>
      <c r="G3611" s="15">
        <v>2060.8000000000002</v>
      </c>
      <c r="H3611" s="15">
        <f t="shared" si="57"/>
        <v>0</v>
      </c>
    </row>
    <row r="3612" spans="1:8" x14ac:dyDescent="0.25">
      <c r="A3612" s="16">
        <v>42765</v>
      </c>
      <c r="B3612" s="17" t="s">
        <v>4032</v>
      </c>
      <c r="C3612" s="18">
        <v>99209</v>
      </c>
      <c r="D3612" s="2" t="s">
        <v>675</v>
      </c>
      <c r="E3612" s="15">
        <v>2619.8000000000002</v>
      </c>
      <c r="F3612" s="36" t="s">
        <v>3126</v>
      </c>
      <c r="G3612" s="15">
        <v>2619.8000000000002</v>
      </c>
      <c r="H3612" s="15">
        <f t="shared" si="57"/>
        <v>0</v>
      </c>
    </row>
    <row r="3613" spans="1:8" x14ac:dyDescent="0.25">
      <c r="A3613" s="16">
        <v>42765</v>
      </c>
      <c r="B3613" s="17" t="s">
        <v>4033</v>
      </c>
      <c r="C3613" s="18">
        <v>99210</v>
      </c>
      <c r="D3613" s="2" t="s">
        <v>680</v>
      </c>
      <c r="E3613" s="15">
        <v>2642.9</v>
      </c>
      <c r="F3613" s="36" t="s">
        <v>3126</v>
      </c>
      <c r="G3613" s="15">
        <v>2642.9</v>
      </c>
      <c r="H3613" s="15">
        <f t="shared" si="57"/>
        <v>0</v>
      </c>
    </row>
    <row r="3614" spans="1:8" x14ac:dyDescent="0.25">
      <c r="A3614" s="16">
        <v>42765</v>
      </c>
      <c r="B3614" s="17" t="s">
        <v>4034</v>
      </c>
      <c r="C3614" s="18">
        <v>99211</v>
      </c>
      <c r="D3614" s="2" t="s">
        <v>354</v>
      </c>
      <c r="E3614" s="15">
        <v>1063</v>
      </c>
      <c r="F3614" s="36" t="s">
        <v>361</v>
      </c>
      <c r="G3614" s="15">
        <v>1063</v>
      </c>
      <c r="H3614" s="15">
        <f t="shared" si="57"/>
        <v>0</v>
      </c>
    </row>
    <row r="3615" spans="1:8" x14ac:dyDescent="0.25">
      <c r="A3615" s="16">
        <v>42765</v>
      </c>
      <c r="B3615" s="17" t="s">
        <v>4035</v>
      </c>
      <c r="C3615" s="18">
        <v>99212</v>
      </c>
      <c r="D3615" s="2" t="s">
        <v>4036</v>
      </c>
      <c r="E3615" s="15">
        <v>780</v>
      </c>
      <c r="F3615" s="36" t="s">
        <v>3126</v>
      </c>
      <c r="G3615" s="15">
        <v>780</v>
      </c>
      <c r="H3615" s="15">
        <f t="shared" si="57"/>
        <v>0</v>
      </c>
    </row>
    <row r="3616" spans="1:8" x14ac:dyDescent="0.25">
      <c r="A3616" s="16">
        <v>42765</v>
      </c>
      <c r="B3616" s="17" t="s">
        <v>4037</v>
      </c>
      <c r="C3616" s="18">
        <v>99213</v>
      </c>
      <c r="D3616" s="2" t="s">
        <v>4038</v>
      </c>
      <c r="E3616" s="15">
        <v>3796</v>
      </c>
      <c r="F3616" s="36" t="s">
        <v>3126</v>
      </c>
      <c r="G3616" s="15">
        <v>3796</v>
      </c>
      <c r="H3616" s="15">
        <f t="shared" si="57"/>
        <v>0</v>
      </c>
    </row>
    <row r="3617" spans="1:8" x14ac:dyDescent="0.25">
      <c r="A3617" s="16">
        <v>42765</v>
      </c>
      <c r="B3617" s="17" t="s">
        <v>4039</v>
      </c>
      <c r="C3617" s="18">
        <v>99214</v>
      </c>
      <c r="D3617" s="2" t="s">
        <v>47</v>
      </c>
      <c r="E3617" s="15">
        <v>1680.1</v>
      </c>
      <c r="F3617" s="36" t="s">
        <v>361</v>
      </c>
      <c r="G3617" s="15">
        <v>1680.1</v>
      </c>
      <c r="H3617" s="15">
        <f t="shared" si="57"/>
        <v>0</v>
      </c>
    </row>
    <row r="3618" spans="1:8" x14ac:dyDescent="0.25">
      <c r="A3618" s="16">
        <v>42765</v>
      </c>
      <c r="B3618" s="17" t="s">
        <v>4040</v>
      </c>
      <c r="C3618" s="18">
        <v>99215</v>
      </c>
      <c r="D3618" s="2" t="s">
        <v>673</v>
      </c>
      <c r="E3618" s="15">
        <v>17199.2</v>
      </c>
      <c r="F3618" s="36" t="s">
        <v>3126</v>
      </c>
      <c r="G3618" s="15">
        <v>17199.2</v>
      </c>
      <c r="H3618" s="15">
        <f t="shared" si="57"/>
        <v>0</v>
      </c>
    </row>
    <row r="3619" spans="1:8" x14ac:dyDescent="0.25">
      <c r="A3619" s="16">
        <v>42765</v>
      </c>
      <c r="B3619" s="17" t="s">
        <v>4041</v>
      </c>
      <c r="C3619" s="18">
        <v>99216</v>
      </c>
      <c r="D3619" s="2" t="s">
        <v>205</v>
      </c>
      <c r="E3619" s="15">
        <v>35006.25</v>
      </c>
      <c r="F3619" s="36" t="s">
        <v>1156</v>
      </c>
      <c r="G3619" s="15">
        <v>35006.25</v>
      </c>
      <c r="H3619" s="15">
        <f t="shared" si="57"/>
        <v>0</v>
      </c>
    </row>
    <row r="3620" spans="1:8" x14ac:dyDescent="0.25">
      <c r="A3620" s="16">
        <v>42765</v>
      </c>
      <c r="B3620" s="17" t="s">
        <v>4042</v>
      </c>
      <c r="C3620" s="18">
        <v>99217</v>
      </c>
      <c r="D3620" s="2" t="s">
        <v>682</v>
      </c>
      <c r="E3620" s="15">
        <v>4972.5</v>
      </c>
      <c r="F3620" s="36" t="s">
        <v>3126</v>
      </c>
      <c r="G3620" s="15">
        <v>4972.5</v>
      </c>
      <c r="H3620" s="15">
        <f t="shared" si="57"/>
        <v>0</v>
      </c>
    </row>
    <row r="3621" spans="1:8" x14ac:dyDescent="0.25">
      <c r="A3621" s="16">
        <v>42765</v>
      </c>
      <c r="B3621" s="17" t="s">
        <v>4043</v>
      </c>
      <c r="C3621" s="18">
        <v>99218</v>
      </c>
      <c r="D3621" s="13" t="s">
        <v>670</v>
      </c>
      <c r="E3621" s="14">
        <v>0</v>
      </c>
      <c r="F3621" s="123" t="s">
        <v>95</v>
      </c>
      <c r="G3621" s="14">
        <v>0</v>
      </c>
      <c r="H3621" s="14">
        <f t="shared" si="57"/>
        <v>0</v>
      </c>
    </row>
    <row r="3622" spans="1:8" x14ac:dyDescent="0.25">
      <c r="A3622" s="16">
        <v>42765</v>
      </c>
      <c r="B3622" s="17" t="s">
        <v>4044</v>
      </c>
      <c r="C3622" s="18">
        <v>99219</v>
      </c>
      <c r="D3622" s="2" t="s">
        <v>1598</v>
      </c>
      <c r="E3622" s="15">
        <v>4712.3999999999996</v>
      </c>
      <c r="F3622" s="36" t="s">
        <v>3126</v>
      </c>
      <c r="G3622" s="15">
        <v>4712.3999999999996</v>
      </c>
      <c r="H3622" s="15">
        <f t="shared" si="57"/>
        <v>0</v>
      </c>
    </row>
    <row r="3623" spans="1:8" x14ac:dyDescent="0.25">
      <c r="A3623" s="16">
        <v>42765</v>
      </c>
      <c r="B3623" s="17" t="s">
        <v>4045</v>
      </c>
      <c r="C3623" s="18">
        <v>99220</v>
      </c>
      <c r="D3623" s="2" t="s">
        <v>1199</v>
      </c>
      <c r="E3623" s="15">
        <v>17437.86</v>
      </c>
      <c r="F3623" s="36" t="s">
        <v>1156</v>
      </c>
      <c r="G3623" s="15">
        <v>17437.86</v>
      </c>
      <c r="H3623" s="15">
        <f t="shared" si="57"/>
        <v>0</v>
      </c>
    </row>
    <row r="3624" spans="1:8" x14ac:dyDescent="0.25">
      <c r="A3624" s="16">
        <v>42765</v>
      </c>
      <c r="B3624" s="17" t="s">
        <v>4046</v>
      </c>
      <c r="C3624" s="18">
        <v>99221</v>
      </c>
      <c r="D3624" s="2" t="s">
        <v>686</v>
      </c>
      <c r="E3624" s="15">
        <v>22311.1</v>
      </c>
      <c r="F3624" s="36" t="s">
        <v>3126</v>
      </c>
      <c r="G3624" s="15">
        <v>22311.1</v>
      </c>
      <c r="H3624" s="15">
        <f t="shared" si="57"/>
        <v>0</v>
      </c>
    </row>
    <row r="3625" spans="1:8" x14ac:dyDescent="0.25">
      <c r="A3625" s="16">
        <v>42765</v>
      </c>
      <c r="B3625" s="17" t="s">
        <v>4047</v>
      </c>
      <c r="C3625" s="18">
        <v>99222</v>
      </c>
      <c r="D3625" s="2" t="s">
        <v>211</v>
      </c>
      <c r="E3625" s="15">
        <v>8591.7999999999993</v>
      </c>
      <c r="F3625" s="36" t="s">
        <v>361</v>
      </c>
      <c r="G3625" s="15">
        <v>8591.7999999999993</v>
      </c>
      <c r="H3625" s="15">
        <f t="shared" si="57"/>
        <v>0</v>
      </c>
    </row>
    <row r="3626" spans="1:8" x14ac:dyDescent="0.25">
      <c r="A3626" s="16">
        <v>42765</v>
      </c>
      <c r="B3626" s="17" t="s">
        <v>4048</v>
      </c>
      <c r="C3626" s="18">
        <v>99223</v>
      </c>
      <c r="D3626" s="2" t="s">
        <v>236</v>
      </c>
      <c r="E3626" s="15">
        <v>47390.45</v>
      </c>
      <c r="F3626" s="36" t="s">
        <v>3164</v>
      </c>
      <c r="G3626" s="15">
        <v>47390.45</v>
      </c>
      <c r="H3626" s="15">
        <f t="shared" si="57"/>
        <v>0</v>
      </c>
    </row>
    <row r="3627" spans="1:8" x14ac:dyDescent="0.25">
      <c r="A3627" s="16">
        <v>42765</v>
      </c>
      <c r="B3627" s="17" t="s">
        <v>4049</v>
      </c>
      <c r="C3627" s="18">
        <v>99224</v>
      </c>
      <c r="D3627" s="2" t="s">
        <v>677</v>
      </c>
      <c r="E3627" s="15">
        <v>2402.6999999999998</v>
      </c>
      <c r="F3627" s="36" t="s">
        <v>3126</v>
      </c>
      <c r="G3627" s="15">
        <v>2402.6999999999998</v>
      </c>
      <c r="H3627" s="15">
        <f t="shared" si="57"/>
        <v>0</v>
      </c>
    </row>
    <row r="3628" spans="1:8" x14ac:dyDescent="0.25">
      <c r="A3628" s="16">
        <v>42765</v>
      </c>
      <c r="B3628" s="17" t="s">
        <v>4050</v>
      </c>
      <c r="C3628" s="18">
        <v>99225</v>
      </c>
      <c r="D3628" s="2" t="s">
        <v>688</v>
      </c>
      <c r="E3628" s="15">
        <v>8280.4</v>
      </c>
      <c r="F3628" s="36" t="s">
        <v>3126</v>
      </c>
      <c r="G3628" s="15">
        <v>8280.4</v>
      </c>
      <c r="H3628" s="15">
        <f t="shared" si="57"/>
        <v>0</v>
      </c>
    </row>
    <row r="3629" spans="1:8" x14ac:dyDescent="0.25">
      <c r="A3629" s="16">
        <v>42765</v>
      </c>
      <c r="B3629" s="17" t="s">
        <v>4051</v>
      </c>
      <c r="C3629" s="18">
        <v>99226</v>
      </c>
      <c r="D3629" s="2" t="s">
        <v>670</v>
      </c>
      <c r="E3629" s="15">
        <v>82463</v>
      </c>
      <c r="F3629" s="36" t="s">
        <v>765</v>
      </c>
      <c r="G3629" s="15">
        <v>82463</v>
      </c>
      <c r="H3629" s="15">
        <f t="shared" si="57"/>
        <v>0</v>
      </c>
    </row>
    <row r="3630" spans="1:8" x14ac:dyDescent="0.25">
      <c r="A3630" s="16">
        <v>42765</v>
      </c>
      <c r="B3630" s="17" t="s">
        <v>4052</v>
      </c>
      <c r="C3630" s="18">
        <v>99227</v>
      </c>
      <c r="D3630" s="13" t="s">
        <v>670</v>
      </c>
      <c r="E3630" s="14">
        <v>0</v>
      </c>
      <c r="F3630" s="123" t="s">
        <v>95</v>
      </c>
      <c r="G3630" s="14">
        <v>0</v>
      </c>
      <c r="H3630" s="14">
        <f t="shared" si="57"/>
        <v>0</v>
      </c>
    </row>
    <row r="3631" spans="1:8" x14ac:dyDescent="0.25">
      <c r="A3631" s="16">
        <v>42765</v>
      </c>
      <c r="B3631" s="17" t="s">
        <v>4053</v>
      </c>
      <c r="C3631" s="18">
        <v>99228</v>
      </c>
      <c r="D3631" s="2" t="s">
        <v>214</v>
      </c>
      <c r="E3631" s="15">
        <v>2000</v>
      </c>
      <c r="F3631" s="36" t="s">
        <v>3924</v>
      </c>
      <c r="G3631" s="15">
        <v>2000</v>
      </c>
      <c r="H3631" s="15">
        <f t="shared" si="57"/>
        <v>0</v>
      </c>
    </row>
    <row r="3632" spans="1:8" x14ac:dyDescent="0.25">
      <c r="A3632" s="16">
        <v>42766</v>
      </c>
      <c r="B3632" s="17" t="s">
        <v>4054</v>
      </c>
      <c r="C3632" s="18">
        <v>99229</v>
      </c>
      <c r="D3632" s="2" t="s">
        <v>231</v>
      </c>
      <c r="E3632" s="15">
        <v>9794.7999999999993</v>
      </c>
      <c r="F3632" s="36" t="s">
        <v>1889</v>
      </c>
      <c r="G3632" s="15">
        <v>9794.7999999999993</v>
      </c>
      <c r="H3632" s="15">
        <f t="shared" si="57"/>
        <v>0</v>
      </c>
    </row>
    <row r="3633" spans="1:8" x14ac:dyDescent="0.25">
      <c r="A3633" s="16">
        <v>42766</v>
      </c>
      <c r="B3633" s="17" t="s">
        <v>4055</v>
      </c>
      <c r="C3633" s="18">
        <v>99230</v>
      </c>
      <c r="D3633" s="2" t="s">
        <v>55</v>
      </c>
      <c r="E3633" s="15">
        <v>2032.4</v>
      </c>
      <c r="F3633" s="36" t="s">
        <v>1173</v>
      </c>
      <c r="G3633" s="15">
        <v>2032.4</v>
      </c>
      <c r="H3633" s="15">
        <f t="shared" si="57"/>
        <v>0</v>
      </c>
    </row>
    <row r="3634" spans="1:8" x14ac:dyDescent="0.25">
      <c r="A3634" s="16">
        <v>42766</v>
      </c>
      <c r="B3634" s="17" t="s">
        <v>4056</v>
      </c>
      <c r="C3634" s="18">
        <v>99231</v>
      </c>
      <c r="D3634" s="2" t="s">
        <v>1197</v>
      </c>
      <c r="E3634" s="15">
        <v>694.2</v>
      </c>
      <c r="F3634" s="36" t="s">
        <v>3126</v>
      </c>
      <c r="G3634" s="15">
        <v>694.2</v>
      </c>
      <c r="H3634" s="15">
        <f t="shared" si="57"/>
        <v>0</v>
      </c>
    </row>
    <row r="3635" spans="1:8" x14ac:dyDescent="0.25">
      <c r="A3635" s="16">
        <v>42766</v>
      </c>
      <c r="B3635" s="17" t="s">
        <v>4057</v>
      </c>
      <c r="C3635" s="18">
        <v>99232</v>
      </c>
      <c r="D3635" s="2" t="s">
        <v>670</v>
      </c>
      <c r="E3635" s="15">
        <v>54480</v>
      </c>
      <c r="F3635" s="36" t="s">
        <v>765</v>
      </c>
      <c r="G3635" s="15">
        <v>54480</v>
      </c>
      <c r="H3635" s="15">
        <f t="shared" si="57"/>
        <v>0</v>
      </c>
    </row>
    <row r="3636" spans="1:8" x14ac:dyDescent="0.25">
      <c r="A3636" s="16">
        <v>42766</v>
      </c>
      <c r="B3636" s="17" t="s">
        <v>4058</v>
      </c>
      <c r="C3636" s="18">
        <v>99233</v>
      </c>
      <c r="D3636" s="2" t="s">
        <v>231</v>
      </c>
      <c r="E3636" s="15">
        <v>33996.699999999997</v>
      </c>
      <c r="F3636" s="36" t="s">
        <v>1889</v>
      </c>
      <c r="G3636" s="15">
        <v>33996.699999999997</v>
      </c>
      <c r="H3636" s="15">
        <f t="shared" si="57"/>
        <v>0</v>
      </c>
    </row>
    <row r="3637" spans="1:8" x14ac:dyDescent="0.25">
      <c r="A3637" s="16">
        <v>42766</v>
      </c>
      <c r="B3637" s="17" t="s">
        <v>4059</v>
      </c>
      <c r="C3637" s="18">
        <v>99234</v>
      </c>
      <c r="D3637" s="2" t="s">
        <v>17</v>
      </c>
      <c r="E3637" s="15">
        <v>2250</v>
      </c>
      <c r="F3637" s="36" t="s">
        <v>1173</v>
      </c>
      <c r="G3637" s="15">
        <v>2250</v>
      </c>
      <c r="H3637" s="15">
        <f t="shared" si="57"/>
        <v>0</v>
      </c>
    </row>
    <row r="3638" spans="1:8" x14ac:dyDescent="0.25">
      <c r="A3638" s="16">
        <v>42766</v>
      </c>
      <c r="B3638" s="17" t="s">
        <v>4060</v>
      </c>
      <c r="C3638" s="18">
        <v>99235</v>
      </c>
      <c r="D3638" s="2" t="s">
        <v>1786</v>
      </c>
      <c r="E3638" s="15">
        <v>10132.200000000001</v>
      </c>
      <c r="F3638" s="36" t="s">
        <v>1173</v>
      </c>
      <c r="G3638" s="15">
        <v>10132.200000000001</v>
      </c>
      <c r="H3638" s="15">
        <f t="shared" si="57"/>
        <v>0</v>
      </c>
    </row>
    <row r="3639" spans="1:8" x14ac:dyDescent="0.25">
      <c r="A3639" s="16">
        <v>42766</v>
      </c>
      <c r="B3639" s="17" t="s">
        <v>4061</v>
      </c>
      <c r="C3639" s="18">
        <v>99236</v>
      </c>
      <c r="D3639" s="13" t="s">
        <v>32</v>
      </c>
      <c r="E3639" s="14">
        <v>0</v>
      </c>
      <c r="F3639" s="123" t="s">
        <v>95</v>
      </c>
      <c r="G3639" s="14">
        <v>0</v>
      </c>
      <c r="H3639" s="14">
        <f t="shared" si="57"/>
        <v>0</v>
      </c>
    </row>
    <row r="3640" spans="1:8" x14ac:dyDescent="0.25">
      <c r="A3640" s="16">
        <v>42766</v>
      </c>
      <c r="B3640" s="17" t="s">
        <v>4062</v>
      </c>
      <c r="C3640" s="18">
        <v>99237</v>
      </c>
      <c r="D3640" s="2" t="s">
        <v>974</v>
      </c>
      <c r="E3640" s="15">
        <v>9555</v>
      </c>
      <c r="F3640" s="36" t="s">
        <v>1173</v>
      </c>
      <c r="G3640" s="15">
        <v>9555</v>
      </c>
      <c r="H3640" s="15">
        <f t="shared" si="57"/>
        <v>0</v>
      </c>
    </row>
    <row r="3641" spans="1:8" x14ac:dyDescent="0.25">
      <c r="A3641" s="16">
        <v>42766</v>
      </c>
      <c r="B3641" s="17" t="s">
        <v>4063</v>
      </c>
      <c r="C3641" s="18">
        <v>99238</v>
      </c>
      <c r="D3641" s="13" t="s">
        <v>40</v>
      </c>
      <c r="E3641" s="14">
        <v>0</v>
      </c>
      <c r="F3641" s="123" t="s">
        <v>95</v>
      </c>
      <c r="G3641" s="14">
        <v>0</v>
      </c>
      <c r="H3641" s="14">
        <f t="shared" si="57"/>
        <v>0</v>
      </c>
    </row>
    <row r="3642" spans="1:8" x14ac:dyDescent="0.25">
      <c r="A3642" s="16">
        <v>42766</v>
      </c>
      <c r="B3642" s="17" t="s">
        <v>4064</v>
      </c>
      <c r="C3642" s="18">
        <v>99239</v>
      </c>
      <c r="D3642" s="13" t="s">
        <v>38</v>
      </c>
      <c r="E3642" s="14">
        <v>0</v>
      </c>
      <c r="F3642" s="123" t="s">
        <v>95</v>
      </c>
      <c r="G3642" s="14">
        <v>0</v>
      </c>
      <c r="H3642" s="14">
        <f t="shared" si="57"/>
        <v>0</v>
      </c>
    </row>
    <row r="3643" spans="1:8" x14ac:dyDescent="0.25">
      <c r="A3643" s="16">
        <v>42766</v>
      </c>
      <c r="B3643" s="17" t="s">
        <v>4065</v>
      </c>
      <c r="C3643" s="18">
        <v>99240</v>
      </c>
      <c r="D3643" s="13" t="s">
        <v>51</v>
      </c>
      <c r="E3643" s="14">
        <v>0</v>
      </c>
      <c r="F3643" s="123" t="s">
        <v>95</v>
      </c>
      <c r="G3643" s="14">
        <v>0</v>
      </c>
      <c r="H3643" s="14">
        <f t="shared" si="57"/>
        <v>0</v>
      </c>
    </row>
    <row r="3644" spans="1:8" x14ac:dyDescent="0.25">
      <c r="A3644" s="16">
        <v>42766</v>
      </c>
      <c r="B3644" s="17" t="s">
        <v>4066</v>
      </c>
      <c r="C3644" s="18">
        <v>99241</v>
      </c>
      <c r="D3644" s="2" t="s">
        <v>428</v>
      </c>
      <c r="E3644" s="15">
        <v>2080</v>
      </c>
      <c r="F3644" s="36" t="s">
        <v>3126</v>
      </c>
      <c r="G3644" s="15">
        <v>2080</v>
      </c>
      <c r="H3644" s="15">
        <f t="shared" si="57"/>
        <v>0</v>
      </c>
    </row>
    <row r="3645" spans="1:8" x14ac:dyDescent="0.25">
      <c r="A3645" s="16">
        <v>42766</v>
      </c>
      <c r="B3645" s="17" t="s">
        <v>4067</v>
      </c>
      <c r="C3645" s="18">
        <v>99242</v>
      </c>
      <c r="D3645" s="2" t="s">
        <v>1335</v>
      </c>
      <c r="E3645" s="15">
        <v>20894.8</v>
      </c>
      <c r="F3645" s="36" t="s">
        <v>1173</v>
      </c>
      <c r="G3645" s="15">
        <v>20894.8</v>
      </c>
      <c r="H3645" s="15">
        <f t="shared" si="57"/>
        <v>0</v>
      </c>
    </row>
    <row r="3646" spans="1:8" x14ac:dyDescent="0.25">
      <c r="A3646" s="16">
        <v>42766</v>
      </c>
      <c r="B3646" s="17" t="s">
        <v>4068</v>
      </c>
      <c r="C3646" s="18">
        <v>99243</v>
      </c>
      <c r="D3646" s="13" t="s">
        <v>49</v>
      </c>
      <c r="E3646" s="14">
        <v>0</v>
      </c>
      <c r="F3646" s="123" t="s">
        <v>95</v>
      </c>
      <c r="G3646" s="14">
        <v>0</v>
      </c>
      <c r="H3646" s="14">
        <f t="shared" si="57"/>
        <v>0</v>
      </c>
    </row>
    <row r="3647" spans="1:8" x14ac:dyDescent="0.25">
      <c r="A3647" s="16">
        <v>42766</v>
      </c>
      <c r="B3647" s="17" t="s">
        <v>4069</v>
      </c>
      <c r="C3647" s="18">
        <v>99244</v>
      </c>
      <c r="D3647" s="13" t="s">
        <v>35</v>
      </c>
      <c r="E3647" s="14">
        <v>0</v>
      </c>
      <c r="F3647" s="123" t="s">
        <v>95</v>
      </c>
      <c r="G3647" s="14">
        <v>0</v>
      </c>
      <c r="H3647" s="14">
        <f t="shared" si="57"/>
        <v>0</v>
      </c>
    </row>
    <row r="3648" spans="1:8" x14ac:dyDescent="0.25">
      <c r="A3648" s="16">
        <v>42766</v>
      </c>
      <c r="B3648" s="17" t="s">
        <v>4070</v>
      </c>
      <c r="C3648" s="18">
        <v>99245</v>
      </c>
      <c r="D3648" s="2" t="s">
        <v>250</v>
      </c>
      <c r="E3648" s="15">
        <v>2659.8</v>
      </c>
      <c r="F3648" s="36" t="s">
        <v>1889</v>
      </c>
      <c r="G3648" s="15">
        <v>2659.8</v>
      </c>
      <c r="H3648" s="15">
        <f t="shared" si="57"/>
        <v>0</v>
      </c>
    </row>
    <row r="3649" spans="1:8" x14ac:dyDescent="0.25">
      <c r="A3649" s="16">
        <v>42766</v>
      </c>
      <c r="B3649" s="17" t="s">
        <v>4071</v>
      </c>
      <c r="C3649" s="18">
        <v>99246</v>
      </c>
      <c r="D3649" s="2" t="s">
        <v>1335</v>
      </c>
      <c r="E3649" s="15">
        <v>1038</v>
      </c>
      <c r="F3649" s="36" t="s">
        <v>1173</v>
      </c>
      <c r="G3649" s="15">
        <v>1038</v>
      </c>
      <c r="H3649" s="15">
        <f t="shared" si="57"/>
        <v>0</v>
      </c>
    </row>
    <row r="3650" spans="1:8" x14ac:dyDescent="0.25">
      <c r="A3650" s="16">
        <v>42766</v>
      </c>
      <c r="B3650" s="17" t="s">
        <v>4072</v>
      </c>
      <c r="C3650" s="18">
        <v>99247</v>
      </c>
      <c r="D3650" s="2" t="s">
        <v>26</v>
      </c>
      <c r="E3650" s="15">
        <v>16080.2</v>
      </c>
      <c r="F3650" s="36" t="s">
        <v>1173</v>
      </c>
      <c r="G3650" s="15">
        <v>16080.2</v>
      </c>
      <c r="H3650" s="15">
        <f t="shared" si="57"/>
        <v>0</v>
      </c>
    </row>
    <row r="3651" spans="1:8" x14ac:dyDescent="0.25">
      <c r="A3651" s="16">
        <v>42766</v>
      </c>
      <c r="B3651" s="17" t="s">
        <v>4073</v>
      </c>
      <c r="C3651" s="18">
        <v>99248</v>
      </c>
      <c r="D3651" s="2" t="s">
        <v>28</v>
      </c>
      <c r="E3651" s="15">
        <v>5583.6</v>
      </c>
      <c r="F3651" s="36" t="s">
        <v>1173</v>
      </c>
      <c r="G3651" s="15">
        <v>5583.6</v>
      </c>
      <c r="H3651" s="15">
        <f t="shared" si="57"/>
        <v>0</v>
      </c>
    </row>
    <row r="3652" spans="1:8" x14ac:dyDescent="0.25">
      <c r="A3652" s="16">
        <v>42766</v>
      </c>
      <c r="B3652" s="17" t="s">
        <v>4074</v>
      </c>
      <c r="C3652" s="18">
        <v>99249</v>
      </c>
      <c r="D3652" s="2" t="s">
        <v>457</v>
      </c>
      <c r="E3652" s="15">
        <v>3672.8</v>
      </c>
      <c r="F3652" s="36" t="s">
        <v>1173</v>
      </c>
      <c r="G3652" s="15">
        <v>3672.8</v>
      </c>
      <c r="H3652" s="15">
        <f t="shared" si="57"/>
        <v>0</v>
      </c>
    </row>
    <row r="3653" spans="1:8" x14ac:dyDescent="0.25">
      <c r="A3653" s="16">
        <v>42766</v>
      </c>
      <c r="B3653" s="17" t="s">
        <v>4075</v>
      </c>
      <c r="C3653" s="18">
        <v>99250</v>
      </c>
      <c r="D3653" s="2" t="s">
        <v>71</v>
      </c>
      <c r="E3653" s="15">
        <v>1890</v>
      </c>
      <c r="F3653" s="36" t="s">
        <v>1173</v>
      </c>
      <c r="G3653" s="15">
        <v>1890</v>
      </c>
      <c r="H3653" s="15">
        <f t="shared" si="57"/>
        <v>0</v>
      </c>
    </row>
    <row r="3654" spans="1:8" x14ac:dyDescent="0.25">
      <c r="A3654" s="16">
        <v>42766</v>
      </c>
      <c r="B3654" s="17" t="s">
        <v>4076</v>
      </c>
      <c r="C3654" s="18">
        <v>99251</v>
      </c>
      <c r="D3654" s="2" t="s">
        <v>386</v>
      </c>
      <c r="E3654" s="15">
        <v>3856</v>
      </c>
      <c r="F3654" s="36" t="s">
        <v>1173</v>
      </c>
      <c r="G3654" s="15">
        <v>3856</v>
      </c>
      <c r="H3654" s="15">
        <f t="shared" ref="H3654:H3717" si="58">E3654-G3654</f>
        <v>0</v>
      </c>
    </row>
    <row r="3655" spans="1:8" x14ac:dyDescent="0.25">
      <c r="A3655" s="16">
        <v>42766</v>
      </c>
      <c r="B3655" s="17" t="s">
        <v>4077</v>
      </c>
      <c r="C3655" s="18">
        <v>99252</v>
      </c>
      <c r="D3655" s="2" t="s">
        <v>281</v>
      </c>
      <c r="E3655" s="15">
        <v>1112.2</v>
      </c>
      <c r="F3655" s="36" t="s">
        <v>1173</v>
      </c>
      <c r="G3655" s="15">
        <v>1112.2</v>
      </c>
      <c r="H3655" s="15">
        <f t="shared" si="58"/>
        <v>0</v>
      </c>
    </row>
    <row r="3656" spans="1:8" x14ac:dyDescent="0.25">
      <c r="A3656" s="16">
        <v>42766</v>
      </c>
      <c r="B3656" s="17" t="s">
        <v>4078</v>
      </c>
      <c r="C3656" s="18">
        <v>99253</v>
      </c>
      <c r="D3656" s="2" t="s">
        <v>462</v>
      </c>
      <c r="E3656" s="15">
        <v>6910.8</v>
      </c>
      <c r="F3656" s="36" t="s">
        <v>1173</v>
      </c>
      <c r="G3656" s="15">
        <v>6910.8</v>
      </c>
      <c r="H3656" s="15">
        <f t="shared" si="58"/>
        <v>0</v>
      </c>
    </row>
    <row r="3657" spans="1:8" x14ac:dyDescent="0.25">
      <c r="A3657" s="16">
        <v>42766</v>
      </c>
      <c r="B3657" s="17" t="s">
        <v>4079</v>
      </c>
      <c r="C3657" s="18">
        <v>99254</v>
      </c>
      <c r="D3657" s="2" t="s">
        <v>99</v>
      </c>
      <c r="E3657" s="15">
        <v>1250</v>
      </c>
      <c r="F3657" s="36" t="s">
        <v>1173</v>
      </c>
      <c r="G3657" s="15">
        <v>1250</v>
      </c>
      <c r="H3657" s="15">
        <f t="shared" si="58"/>
        <v>0</v>
      </c>
    </row>
    <row r="3658" spans="1:8" x14ac:dyDescent="0.25">
      <c r="A3658" s="16">
        <v>42766</v>
      </c>
      <c r="B3658" s="17" t="s">
        <v>4080</v>
      </c>
      <c r="C3658" s="18">
        <v>99255</v>
      </c>
      <c r="D3658" s="2" t="s">
        <v>101</v>
      </c>
      <c r="E3658" s="15">
        <v>1000</v>
      </c>
      <c r="F3658" s="36" t="s">
        <v>1173</v>
      </c>
      <c r="G3658" s="15">
        <v>1000</v>
      </c>
      <c r="H3658" s="15">
        <f t="shared" si="58"/>
        <v>0</v>
      </c>
    </row>
    <row r="3659" spans="1:8" x14ac:dyDescent="0.25">
      <c r="A3659" s="16">
        <v>42766</v>
      </c>
      <c r="B3659" s="17" t="s">
        <v>4081</v>
      </c>
      <c r="C3659" s="18">
        <v>99256</v>
      </c>
      <c r="D3659" s="2" t="s">
        <v>838</v>
      </c>
      <c r="E3659" s="15">
        <v>2057.4</v>
      </c>
      <c r="F3659" s="36" t="s">
        <v>1173</v>
      </c>
      <c r="G3659" s="15">
        <v>2057.4</v>
      </c>
      <c r="H3659" s="15">
        <f t="shared" si="58"/>
        <v>0</v>
      </c>
    </row>
    <row r="3660" spans="1:8" x14ac:dyDescent="0.25">
      <c r="A3660" s="16">
        <v>42766</v>
      </c>
      <c r="B3660" s="17" t="s">
        <v>4082</v>
      </c>
      <c r="C3660" s="18">
        <v>99257</v>
      </c>
      <c r="D3660" s="2" t="s">
        <v>109</v>
      </c>
      <c r="E3660" s="15">
        <v>317.5</v>
      </c>
      <c r="F3660" s="36" t="s">
        <v>1173</v>
      </c>
      <c r="G3660" s="15">
        <v>317.5</v>
      </c>
      <c r="H3660" s="15">
        <f t="shared" si="58"/>
        <v>0</v>
      </c>
    </row>
    <row r="3661" spans="1:8" x14ac:dyDescent="0.25">
      <c r="A3661" s="16">
        <v>42766</v>
      </c>
      <c r="B3661" s="17" t="s">
        <v>4083</v>
      </c>
      <c r="C3661" s="18">
        <v>99258</v>
      </c>
      <c r="D3661" s="2" t="s">
        <v>291</v>
      </c>
      <c r="E3661" s="15">
        <v>2697.7</v>
      </c>
      <c r="F3661" s="36" t="s">
        <v>1173</v>
      </c>
      <c r="G3661" s="15">
        <v>2697.7</v>
      </c>
      <c r="H3661" s="15">
        <f t="shared" si="58"/>
        <v>0</v>
      </c>
    </row>
    <row r="3662" spans="1:8" x14ac:dyDescent="0.25">
      <c r="A3662" s="16">
        <v>42766</v>
      </c>
      <c r="B3662" s="17" t="s">
        <v>4084</v>
      </c>
      <c r="C3662" s="18">
        <v>99259</v>
      </c>
      <c r="D3662" s="2" t="s">
        <v>1256</v>
      </c>
      <c r="E3662" s="15">
        <v>1392.3</v>
      </c>
      <c r="F3662" s="36" t="s">
        <v>1173</v>
      </c>
      <c r="G3662" s="15">
        <v>1392.3</v>
      </c>
      <c r="H3662" s="15">
        <f t="shared" si="58"/>
        <v>0</v>
      </c>
    </row>
    <row r="3663" spans="1:8" x14ac:dyDescent="0.25">
      <c r="A3663" s="16">
        <v>42766</v>
      </c>
      <c r="B3663" s="17" t="s">
        <v>4085</v>
      </c>
      <c r="C3663" s="18">
        <v>99260</v>
      </c>
      <c r="D3663" s="2" t="s">
        <v>1081</v>
      </c>
      <c r="E3663" s="15">
        <v>2615.04</v>
      </c>
      <c r="F3663" s="36" t="s">
        <v>1173</v>
      </c>
      <c r="G3663" s="15">
        <v>2615.04</v>
      </c>
      <c r="H3663" s="15">
        <f t="shared" si="58"/>
        <v>0</v>
      </c>
    </row>
    <row r="3664" spans="1:8" x14ac:dyDescent="0.25">
      <c r="A3664" s="16">
        <v>42766</v>
      </c>
      <c r="B3664" s="17" t="s">
        <v>4086</v>
      </c>
      <c r="C3664" s="18">
        <v>99261</v>
      </c>
      <c r="D3664" s="2" t="s">
        <v>83</v>
      </c>
      <c r="E3664" s="15">
        <v>4393.7</v>
      </c>
      <c r="F3664" s="36" t="s">
        <v>1173</v>
      </c>
      <c r="G3664" s="15">
        <v>4393.7</v>
      </c>
      <c r="H3664" s="15">
        <f t="shared" si="58"/>
        <v>0</v>
      </c>
    </row>
    <row r="3665" spans="1:8" x14ac:dyDescent="0.25">
      <c r="A3665" s="16">
        <v>42766</v>
      </c>
      <c r="B3665" s="17" t="s">
        <v>4087</v>
      </c>
      <c r="C3665" s="18">
        <v>99262</v>
      </c>
      <c r="D3665" s="2" t="s">
        <v>1259</v>
      </c>
      <c r="E3665" s="15">
        <v>2165.8000000000002</v>
      </c>
      <c r="F3665" s="36" t="s">
        <v>1173</v>
      </c>
      <c r="G3665" s="15">
        <v>2165.8000000000002</v>
      </c>
      <c r="H3665" s="15">
        <f t="shared" si="58"/>
        <v>0</v>
      </c>
    </row>
    <row r="3666" spans="1:8" x14ac:dyDescent="0.25">
      <c r="A3666" s="16">
        <v>42766</v>
      </c>
      <c r="B3666" s="17" t="s">
        <v>4088</v>
      </c>
      <c r="C3666" s="18">
        <v>99263</v>
      </c>
      <c r="D3666" s="2" t="s">
        <v>88</v>
      </c>
      <c r="E3666" s="15">
        <v>7031.5</v>
      </c>
      <c r="F3666" s="36" t="s">
        <v>1173</v>
      </c>
      <c r="G3666" s="15">
        <v>7031.5</v>
      </c>
      <c r="H3666" s="15">
        <f t="shared" si="58"/>
        <v>0</v>
      </c>
    </row>
    <row r="3667" spans="1:8" x14ac:dyDescent="0.25">
      <c r="A3667" s="16">
        <v>42766</v>
      </c>
      <c r="B3667" s="17" t="s">
        <v>4089</v>
      </c>
      <c r="C3667" s="18">
        <v>99264</v>
      </c>
      <c r="D3667" s="2" t="s">
        <v>69</v>
      </c>
      <c r="E3667" s="15">
        <v>1768.6</v>
      </c>
      <c r="F3667" s="36" t="s">
        <v>1173</v>
      </c>
      <c r="G3667" s="15">
        <v>1768.6</v>
      </c>
      <c r="H3667" s="15">
        <f t="shared" si="58"/>
        <v>0</v>
      </c>
    </row>
    <row r="3668" spans="1:8" x14ac:dyDescent="0.25">
      <c r="A3668" s="16">
        <v>42766</v>
      </c>
      <c r="B3668" s="17" t="s">
        <v>4090</v>
      </c>
      <c r="C3668" s="18">
        <v>99265</v>
      </c>
      <c r="D3668" s="2" t="s">
        <v>143</v>
      </c>
      <c r="E3668" s="15">
        <v>7134.4</v>
      </c>
      <c r="F3668" s="36" t="s">
        <v>1173</v>
      </c>
      <c r="G3668" s="15">
        <v>7134.4</v>
      </c>
      <c r="H3668" s="15">
        <f t="shared" si="58"/>
        <v>0</v>
      </c>
    </row>
    <row r="3669" spans="1:8" x14ac:dyDescent="0.25">
      <c r="A3669" s="16">
        <v>42766</v>
      </c>
      <c r="B3669" s="17" t="s">
        <v>4091</v>
      </c>
      <c r="C3669" s="18">
        <v>99266</v>
      </c>
      <c r="D3669" s="2" t="s">
        <v>133</v>
      </c>
      <c r="E3669" s="15">
        <v>152.9</v>
      </c>
      <c r="F3669" s="36" t="s">
        <v>1173</v>
      </c>
      <c r="G3669" s="15">
        <v>152.9</v>
      </c>
      <c r="H3669" s="15">
        <f t="shared" si="58"/>
        <v>0</v>
      </c>
    </row>
    <row r="3670" spans="1:8" x14ac:dyDescent="0.25">
      <c r="A3670" s="16">
        <v>42766</v>
      </c>
      <c r="B3670" s="17" t="s">
        <v>4092</v>
      </c>
      <c r="C3670" s="18">
        <v>99267</v>
      </c>
      <c r="D3670" s="2" t="s">
        <v>105</v>
      </c>
      <c r="E3670" s="15">
        <v>203.5</v>
      </c>
      <c r="F3670" s="36" t="s">
        <v>1173</v>
      </c>
      <c r="G3670" s="15">
        <v>203.5</v>
      </c>
      <c r="H3670" s="15">
        <f t="shared" si="58"/>
        <v>0</v>
      </c>
    </row>
    <row r="3671" spans="1:8" x14ac:dyDescent="0.25">
      <c r="A3671" s="16">
        <v>42766</v>
      </c>
      <c r="B3671" s="17" t="s">
        <v>4093</v>
      </c>
      <c r="C3671" s="18">
        <v>99268</v>
      </c>
      <c r="D3671" s="2" t="s">
        <v>151</v>
      </c>
      <c r="E3671" s="15">
        <v>21391.9</v>
      </c>
      <c r="F3671" s="36" t="s">
        <v>1173</v>
      </c>
      <c r="G3671" s="15">
        <v>21391.9</v>
      </c>
      <c r="H3671" s="15">
        <f t="shared" si="58"/>
        <v>0</v>
      </c>
    </row>
    <row r="3672" spans="1:8" x14ac:dyDescent="0.25">
      <c r="A3672" s="16">
        <v>42766</v>
      </c>
      <c r="B3672" s="17" t="s">
        <v>4094</v>
      </c>
      <c r="C3672" s="18">
        <v>99269</v>
      </c>
      <c r="D3672" s="2" t="s">
        <v>157</v>
      </c>
      <c r="E3672" s="15">
        <v>30272</v>
      </c>
      <c r="F3672" s="36" t="s">
        <v>1173</v>
      </c>
      <c r="G3672" s="15">
        <v>30272</v>
      </c>
      <c r="H3672" s="15">
        <f t="shared" si="58"/>
        <v>0</v>
      </c>
    </row>
    <row r="3673" spans="1:8" x14ac:dyDescent="0.25">
      <c r="A3673" s="16">
        <v>42766</v>
      </c>
      <c r="B3673" s="17" t="s">
        <v>4095</v>
      </c>
      <c r="C3673" s="18">
        <v>99270</v>
      </c>
      <c r="D3673" s="2" t="s">
        <v>4096</v>
      </c>
      <c r="E3673" s="15">
        <v>29730</v>
      </c>
      <c r="F3673" s="36" t="s">
        <v>4097</v>
      </c>
      <c r="G3673" s="15">
        <v>29730</v>
      </c>
      <c r="H3673" s="15">
        <f t="shared" si="58"/>
        <v>0</v>
      </c>
    </row>
    <row r="3674" spans="1:8" x14ac:dyDescent="0.25">
      <c r="A3674" s="16">
        <v>42766</v>
      </c>
      <c r="B3674" s="17" t="s">
        <v>4098</v>
      </c>
      <c r="C3674" s="18">
        <v>99271</v>
      </c>
      <c r="D3674" s="2" t="s">
        <v>79</v>
      </c>
      <c r="E3674" s="15">
        <v>3775.4</v>
      </c>
      <c r="F3674" s="36" t="s">
        <v>1173</v>
      </c>
      <c r="G3674" s="15">
        <v>3775.4</v>
      </c>
      <c r="H3674" s="15">
        <f t="shared" si="58"/>
        <v>0</v>
      </c>
    </row>
    <row r="3675" spans="1:8" x14ac:dyDescent="0.25">
      <c r="A3675" s="16">
        <v>42766</v>
      </c>
      <c r="B3675" s="17" t="s">
        <v>4099</v>
      </c>
      <c r="C3675" s="18">
        <v>99272</v>
      </c>
      <c r="D3675" s="2" t="s">
        <v>47</v>
      </c>
      <c r="E3675" s="15">
        <v>3924</v>
      </c>
      <c r="F3675" s="36" t="s">
        <v>1173</v>
      </c>
      <c r="G3675" s="15">
        <v>3924</v>
      </c>
      <c r="H3675" s="15">
        <f t="shared" si="58"/>
        <v>0</v>
      </c>
    </row>
    <row r="3676" spans="1:8" x14ac:dyDescent="0.25">
      <c r="A3676" s="16">
        <v>42766</v>
      </c>
      <c r="B3676" s="17" t="s">
        <v>4100</v>
      </c>
      <c r="C3676" s="18">
        <v>99273</v>
      </c>
      <c r="D3676" s="2" t="s">
        <v>3425</v>
      </c>
      <c r="E3676" s="15">
        <v>1344.6</v>
      </c>
      <c r="F3676" s="36" t="s">
        <v>1173</v>
      </c>
      <c r="G3676" s="15">
        <v>1344.6</v>
      </c>
      <c r="H3676" s="15">
        <f t="shared" si="58"/>
        <v>0</v>
      </c>
    </row>
    <row r="3677" spans="1:8" x14ac:dyDescent="0.25">
      <c r="A3677" s="16">
        <v>42766</v>
      </c>
      <c r="B3677" s="17" t="s">
        <v>4101</v>
      </c>
      <c r="C3677" s="18">
        <v>99274</v>
      </c>
      <c r="D3677" s="2" t="s">
        <v>270</v>
      </c>
      <c r="E3677" s="15">
        <v>38035.4</v>
      </c>
      <c r="F3677" s="36" t="s">
        <v>307</v>
      </c>
      <c r="G3677" s="15">
        <v>38035.4</v>
      </c>
      <c r="H3677" s="15">
        <f t="shared" si="58"/>
        <v>0</v>
      </c>
    </row>
    <row r="3678" spans="1:8" x14ac:dyDescent="0.25">
      <c r="A3678" s="16">
        <v>42766</v>
      </c>
      <c r="B3678" s="17" t="s">
        <v>4102</v>
      </c>
      <c r="C3678" s="18">
        <v>99275</v>
      </c>
      <c r="D3678" s="2" t="s">
        <v>442</v>
      </c>
      <c r="E3678" s="15">
        <v>8744.2999999999993</v>
      </c>
      <c r="F3678" s="36" t="s">
        <v>765</v>
      </c>
      <c r="G3678" s="15">
        <v>8744.2999999999993</v>
      </c>
      <c r="H3678" s="15">
        <f t="shared" si="58"/>
        <v>0</v>
      </c>
    </row>
    <row r="3679" spans="1:8" x14ac:dyDescent="0.25">
      <c r="A3679" s="16">
        <v>42766</v>
      </c>
      <c r="B3679" s="17" t="s">
        <v>4103</v>
      </c>
      <c r="C3679" s="18">
        <v>99276</v>
      </c>
      <c r="D3679" s="2" t="s">
        <v>876</v>
      </c>
      <c r="E3679" s="15">
        <v>3608</v>
      </c>
      <c r="F3679" s="36" t="s">
        <v>1429</v>
      </c>
      <c r="G3679" s="15">
        <v>3608</v>
      </c>
      <c r="H3679" s="15">
        <f t="shared" si="58"/>
        <v>0</v>
      </c>
    </row>
    <row r="3680" spans="1:8" x14ac:dyDescent="0.25">
      <c r="A3680" s="16">
        <v>42766</v>
      </c>
      <c r="B3680" s="17" t="s">
        <v>4104</v>
      </c>
      <c r="C3680" s="18">
        <v>99277</v>
      </c>
      <c r="D3680" s="2" t="s">
        <v>435</v>
      </c>
      <c r="E3680" s="15">
        <v>3668</v>
      </c>
      <c r="F3680" s="36" t="s">
        <v>1889</v>
      </c>
      <c r="G3680" s="15">
        <v>3668</v>
      </c>
      <c r="H3680" s="15">
        <f t="shared" si="58"/>
        <v>0</v>
      </c>
    </row>
    <row r="3681" spans="1:8" x14ac:dyDescent="0.25">
      <c r="A3681" s="16">
        <v>42766</v>
      </c>
      <c r="B3681" s="17" t="s">
        <v>4105</v>
      </c>
      <c r="C3681" s="18">
        <v>99278</v>
      </c>
      <c r="D3681" s="2" t="s">
        <v>432</v>
      </c>
      <c r="E3681" s="15">
        <v>3640.3</v>
      </c>
      <c r="F3681" s="36" t="s">
        <v>1889</v>
      </c>
      <c r="G3681" s="15">
        <v>3640.3</v>
      </c>
      <c r="H3681" s="15">
        <f t="shared" si="58"/>
        <v>0</v>
      </c>
    </row>
    <row r="3682" spans="1:8" x14ac:dyDescent="0.25">
      <c r="A3682" s="16">
        <v>42766</v>
      </c>
      <c r="B3682" s="17" t="s">
        <v>4106</v>
      </c>
      <c r="C3682" s="18">
        <v>99279</v>
      </c>
      <c r="D3682" s="2" t="s">
        <v>272</v>
      </c>
      <c r="E3682" s="15">
        <v>3448</v>
      </c>
      <c r="F3682" s="124" t="s">
        <v>4169</v>
      </c>
      <c r="G3682" s="20">
        <f>3228.08+219.92</f>
        <v>3448</v>
      </c>
      <c r="H3682" s="20">
        <f t="shared" si="58"/>
        <v>0</v>
      </c>
    </row>
    <row r="3683" spans="1:8" x14ac:dyDescent="0.25">
      <c r="A3683" s="16">
        <v>42766</v>
      </c>
      <c r="B3683" s="17" t="s">
        <v>4107</v>
      </c>
      <c r="C3683" s="18">
        <v>99280</v>
      </c>
      <c r="D3683" s="2" t="s">
        <v>176</v>
      </c>
      <c r="E3683" s="15">
        <v>2677.5</v>
      </c>
      <c r="F3683" s="36" t="s">
        <v>1173</v>
      </c>
      <c r="G3683" s="15">
        <v>2677.5</v>
      </c>
      <c r="H3683" s="15">
        <f t="shared" si="58"/>
        <v>0</v>
      </c>
    </row>
    <row r="3684" spans="1:8" x14ac:dyDescent="0.25">
      <c r="A3684" s="16">
        <v>42766</v>
      </c>
      <c r="B3684" s="17" t="s">
        <v>4108</v>
      </c>
      <c r="C3684" s="18">
        <v>99281</v>
      </c>
      <c r="D3684" s="2" t="s">
        <v>268</v>
      </c>
      <c r="E3684" s="15">
        <v>19592</v>
      </c>
      <c r="F3684" s="36" t="s">
        <v>307</v>
      </c>
      <c r="G3684" s="15">
        <v>19592</v>
      </c>
      <c r="H3684" s="15">
        <f t="shared" si="58"/>
        <v>0</v>
      </c>
    </row>
    <row r="3685" spans="1:8" x14ac:dyDescent="0.25">
      <c r="A3685" s="16">
        <v>42766</v>
      </c>
      <c r="B3685" s="17" t="s">
        <v>4109</v>
      </c>
      <c r="C3685" s="18">
        <v>99282</v>
      </c>
      <c r="D3685" s="2" t="s">
        <v>476</v>
      </c>
      <c r="E3685" s="15">
        <v>4362.3</v>
      </c>
      <c r="F3685" s="36" t="s">
        <v>1173</v>
      </c>
      <c r="G3685" s="15">
        <v>4362.3</v>
      </c>
      <c r="H3685" s="15">
        <f t="shared" si="58"/>
        <v>0</v>
      </c>
    </row>
    <row r="3686" spans="1:8" x14ac:dyDescent="0.25">
      <c r="A3686" s="16">
        <v>42766</v>
      </c>
      <c r="B3686" s="17" t="s">
        <v>4110</v>
      </c>
      <c r="C3686" s="18">
        <v>99283</v>
      </c>
      <c r="D3686" s="2" t="s">
        <v>472</v>
      </c>
      <c r="E3686" s="15">
        <v>1155</v>
      </c>
      <c r="F3686" s="36" t="s">
        <v>2744</v>
      </c>
      <c r="G3686" s="15">
        <v>1155</v>
      </c>
      <c r="H3686" s="15">
        <f t="shared" si="58"/>
        <v>0</v>
      </c>
    </row>
    <row r="3687" spans="1:8" x14ac:dyDescent="0.25">
      <c r="A3687" s="16">
        <v>42766</v>
      </c>
      <c r="B3687" s="17" t="s">
        <v>4111</v>
      </c>
      <c r="C3687" s="18">
        <v>99284</v>
      </c>
      <c r="D3687" s="2" t="s">
        <v>305</v>
      </c>
      <c r="E3687" s="15">
        <v>627.79999999999995</v>
      </c>
      <c r="F3687" s="36" t="s">
        <v>3272</v>
      </c>
      <c r="G3687" s="15">
        <v>627.79999999999995</v>
      </c>
      <c r="H3687" s="15">
        <f t="shared" si="58"/>
        <v>0</v>
      </c>
    </row>
    <row r="3688" spans="1:8" x14ac:dyDescent="0.25">
      <c r="A3688" s="16">
        <v>42766</v>
      </c>
      <c r="B3688" s="17" t="s">
        <v>4112</v>
      </c>
      <c r="C3688" s="18">
        <v>99285</v>
      </c>
      <c r="D3688" s="2" t="s">
        <v>159</v>
      </c>
      <c r="E3688" s="15">
        <v>8622.75</v>
      </c>
      <c r="F3688" s="36" t="s">
        <v>1173</v>
      </c>
      <c r="G3688" s="15">
        <v>8622.75</v>
      </c>
      <c r="H3688" s="15">
        <f t="shared" si="58"/>
        <v>0</v>
      </c>
    </row>
    <row r="3689" spans="1:8" x14ac:dyDescent="0.25">
      <c r="A3689" s="16">
        <v>42766</v>
      </c>
      <c r="B3689" s="17" t="s">
        <v>4113</v>
      </c>
      <c r="C3689" s="18">
        <v>99286</v>
      </c>
      <c r="D3689" s="13" t="s">
        <v>10</v>
      </c>
      <c r="E3689" s="14">
        <v>0</v>
      </c>
      <c r="F3689" s="123" t="s">
        <v>95</v>
      </c>
      <c r="G3689" s="14">
        <v>0</v>
      </c>
      <c r="H3689" s="14">
        <f t="shared" si="58"/>
        <v>0</v>
      </c>
    </row>
    <row r="3690" spans="1:8" x14ac:dyDescent="0.25">
      <c r="A3690" s="16">
        <v>42766</v>
      </c>
      <c r="B3690" s="17" t="s">
        <v>4114</v>
      </c>
      <c r="C3690" s="18">
        <v>99287</v>
      </c>
      <c r="D3690" s="2" t="s">
        <v>309</v>
      </c>
      <c r="E3690" s="15">
        <v>821.8</v>
      </c>
      <c r="F3690" s="36" t="s">
        <v>1173</v>
      </c>
      <c r="G3690" s="15">
        <v>821.8</v>
      </c>
      <c r="H3690" s="15">
        <f t="shared" si="58"/>
        <v>0</v>
      </c>
    </row>
    <row r="3691" spans="1:8" x14ac:dyDescent="0.25">
      <c r="A3691" s="16">
        <v>42766</v>
      </c>
      <c r="B3691" s="17" t="s">
        <v>4115</v>
      </c>
      <c r="C3691" s="18">
        <v>99288</v>
      </c>
      <c r="D3691" s="2" t="s">
        <v>302</v>
      </c>
      <c r="E3691" s="15">
        <v>6660.6</v>
      </c>
      <c r="F3691" s="36" t="s">
        <v>1173</v>
      </c>
      <c r="G3691" s="15">
        <v>6660.6</v>
      </c>
      <c r="H3691" s="15">
        <f t="shared" si="58"/>
        <v>0</v>
      </c>
    </row>
    <row r="3692" spans="1:8" x14ac:dyDescent="0.25">
      <c r="A3692" s="16">
        <v>42766</v>
      </c>
      <c r="B3692" s="17" t="s">
        <v>4116</v>
      </c>
      <c r="C3692" s="18">
        <v>99289</v>
      </c>
      <c r="D3692" s="2" t="s">
        <v>231</v>
      </c>
      <c r="E3692" s="15">
        <v>12857.6</v>
      </c>
      <c r="F3692" s="36" t="s">
        <v>1889</v>
      </c>
      <c r="G3692" s="15">
        <v>12857.6</v>
      </c>
      <c r="H3692" s="15">
        <f t="shared" si="58"/>
        <v>0</v>
      </c>
    </row>
    <row r="3693" spans="1:8" x14ac:dyDescent="0.25">
      <c r="A3693" s="16">
        <v>42766</v>
      </c>
      <c r="B3693" s="17" t="s">
        <v>4117</v>
      </c>
      <c r="C3693" s="18">
        <v>99290</v>
      </c>
      <c r="D3693" s="2" t="s">
        <v>67</v>
      </c>
      <c r="E3693" s="15">
        <v>3393</v>
      </c>
      <c r="F3693" s="36" t="s">
        <v>307</v>
      </c>
      <c r="G3693" s="15">
        <v>3393</v>
      </c>
      <c r="H3693" s="15">
        <f t="shared" si="58"/>
        <v>0</v>
      </c>
    </row>
    <row r="3694" spans="1:8" x14ac:dyDescent="0.25">
      <c r="A3694" s="16">
        <v>42766</v>
      </c>
      <c r="B3694" s="17" t="s">
        <v>4118</v>
      </c>
      <c r="C3694" s="18">
        <v>99291</v>
      </c>
      <c r="D3694" s="2" t="s">
        <v>10</v>
      </c>
      <c r="E3694" s="15">
        <v>267090.8</v>
      </c>
      <c r="F3694" s="36" t="s">
        <v>307</v>
      </c>
      <c r="G3694" s="15">
        <v>267090.8</v>
      </c>
      <c r="H3694" s="15">
        <f t="shared" si="58"/>
        <v>0</v>
      </c>
    </row>
    <row r="3695" spans="1:8" x14ac:dyDescent="0.25">
      <c r="A3695" s="16">
        <v>42766</v>
      </c>
      <c r="B3695" s="17" t="s">
        <v>4119</v>
      </c>
      <c r="C3695" s="18">
        <v>99292</v>
      </c>
      <c r="D3695" s="2" t="s">
        <v>10</v>
      </c>
      <c r="E3695" s="15">
        <v>26559.5</v>
      </c>
      <c r="F3695" s="36" t="s">
        <v>307</v>
      </c>
      <c r="G3695" s="15">
        <v>26559.5</v>
      </c>
      <c r="H3695" s="15">
        <f t="shared" si="58"/>
        <v>0</v>
      </c>
    </row>
    <row r="3696" spans="1:8" x14ac:dyDescent="0.25">
      <c r="A3696" s="16">
        <v>42766</v>
      </c>
      <c r="B3696" s="17" t="s">
        <v>4120</v>
      </c>
      <c r="C3696" s="18">
        <v>99293</v>
      </c>
      <c r="D3696" s="2" t="s">
        <v>2240</v>
      </c>
      <c r="E3696" s="15">
        <v>9035.1</v>
      </c>
      <c r="F3696" s="36" t="s">
        <v>1173</v>
      </c>
      <c r="G3696" s="15">
        <v>9035.1</v>
      </c>
      <c r="H3696" s="15">
        <f t="shared" si="58"/>
        <v>0</v>
      </c>
    </row>
    <row r="3697" spans="1:8" x14ac:dyDescent="0.25">
      <c r="A3697" s="16">
        <v>42766</v>
      </c>
      <c r="B3697" s="17" t="s">
        <v>4121</v>
      </c>
      <c r="C3697" s="18">
        <v>99294</v>
      </c>
      <c r="D3697" s="2" t="s">
        <v>352</v>
      </c>
      <c r="E3697" s="15">
        <v>3811.6</v>
      </c>
      <c r="F3697" s="36" t="s">
        <v>1173</v>
      </c>
      <c r="G3697" s="15">
        <v>3811.6</v>
      </c>
      <c r="H3697" s="15">
        <f t="shared" si="58"/>
        <v>0</v>
      </c>
    </row>
    <row r="3698" spans="1:8" x14ac:dyDescent="0.25">
      <c r="A3698" s="16">
        <v>42766</v>
      </c>
      <c r="B3698" s="17" t="s">
        <v>4122</v>
      </c>
      <c r="C3698" s="18">
        <v>99295</v>
      </c>
      <c r="D3698" s="2" t="s">
        <v>341</v>
      </c>
      <c r="E3698" s="15">
        <v>11355.7</v>
      </c>
      <c r="F3698" s="36" t="s">
        <v>1173</v>
      </c>
      <c r="G3698" s="15">
        <v>11355.7</v>
      </c>
      <c r="H3698" s="15">
        <f t="shared" si="58"/>
        <v>0</v>
      </c>
    </row>
    <row r="3699" spans="1:8" x14ac:dyDescent="0.25">
      <c r="A3699" s="16">
        <v>42766</v>
      </c>
      <c r="B3699" s="17" t="s">
        <v>4123</v>
      </c>
      <c r="C3699" s="18">
        <v>99296</v>
      </c>
      <c r="D3699" s="2" t="s">
        <v>312</v>
      </c>
      <c r="E3699" s="15">
        <v>42124</v>
      </c>
      <c r="F3699" s="36">
        <v>42893</v>
      </c>
      <c r="G3699" s="15">
        <v>42124</v>
      </c>
      <c r="H3699" s="15">
        <f t="shared" si="58"/>
        <v>0</v>
      </c>
    </row>
    <row r="3700" spans="1:8" x14ac:dyDescent="0.25">
      <c r="A3700" s="16">
        <v>42766</v>
      </c>
      <c r="B3700" s="17" t="s">
        <v>4124</v>
      </c>
      <c r="C3700" s="18">
        <v>99297</v>
      </c>
      <c r="D3700" s="2" t="s">
        <v>222</v>
      </c>
      <c r="E3700" s="15">
        <v>20475.2</v>
      </c>
      <c r="F3700" s="124" t="s">
        <v>4170</v>
      </c>
      <c r="G3700" s="20">
        <f>194+20281.2</f>
        <v>20475.2</v>
      </c>
      <c r="H3700" s="20">
        <f t="shared" si="58"/>
        <v>0</v>
      </c>
    </row>
    <row r="3701" spans="1:8" x14ac:dyDescent="0.25">
      <c r="A3701" s="16">
        <v>42766</v>
      </c>
      <c r="B3701" s="17" t="s">
        <v>4125</v>
      </c>
      <c r="C3701" s="18">
        <v>99298</v>
      </c>
      <c r="D3701" s="2" t="s">
        <v>356</v>
      </c>
      <c r="E3701" s="15">
        <v>14125</v>
      </c>
      <c r="F3701" s="36" t="s">
        <v>3126</v>
      </c>
      <c r="G3701" s="15">
        <v>14125</v>
      </c>
      <c r="H3701" s="15">
        <f t="shared" si="58"/>
        <v>0</v>
      </c>
    </row>
    <row r="3702" spans="1:8" x14ac:dyDescent="0.25">
      <c r="A3702" s="16">
        <v>42766</v>
      </c>
      <c r="B3702" s="17" t="s">
        <v>4126</v>
      </c>
      <c r="C3702" s="18">
        <v>99299</v>
      </c>
      <c r="D3702" s="2" t="s">
        <v>115</v>
      </c>
      <c r="E3702" s="15">
        <v>372.6</v>
      </c>
      <c r="F3702" s="36" t="s">
        <v>1173</v>
      </c>
      <c r="G3702" s="15">
        <v>372.6</v>
      </c>
      <c r="H3702" s="15">
        <f t="shared" si="58"/>
        <v>0</v>
      </c>
    </row>
    <row r="3703" spans="1:8" x14ac:dyDescent="0.25">
      <c r="A3703" s="16">
        <v>42766</v>
      </c>
      <c r="B3703" s="17" t="s">
        <v>4127</v>
      </c>
      <c r="C3703" s="18">
        <v>99300</v>
      </c>
      <c r="D3703" s="2" t="s">
        <v>182</v>
      </c>
      <c r="E3703" s="15">
        <v>2500</v>
      </c>
      <c r="F3703" s="36" t="s">
        <v>3126</v>
      </c>
      <c r="G3703" s="15">
        <v>2500</v>
      </c>
      <c r="H3703" s="15">
        <f t="shared" si="58"/>
        <v>0</v>
      </c>
    </row>
    <row r="3704" spans="1:8" x14ac:dyDescent="0.25">
      <c r="A3704" s="16">
        <v>42766</v>
      </c>
      <c r="B3704" s="17" t="s">
        <v>4128</v>
      </c>
      <c r="C3704" s="18">
        <v>99301</v>
      </c>
      <c r="D3704" s="2" t="s">
        <v>528</v>
      </c>
      <c r="E3704" s="15">
        <v>10364.620000000001</v>
      </c>
      <c r="F3704" s="36" t="s">
        <v>3126</v>
      </c>
      <c r="G3704" s="15">
        <v>10364.620000000001</v>
      </c>
      <c r="H3704" s="15">
        <f t="shared" si="58"/>
        <v>0</v>
      </c>
    </row>
    <row r="3705" spans="1:8" x14ac:dyDescent="0.25">
      <c r="A3705" s="16">
        <v>42766</v>
      </c>
      <c r="B3705" s="17" t="s">
        <v>4129</v>
      </c>
      <c r="C3705" s="18">
        <v>99302</v>
      </c>
      <c r="D3705" s="2" t="s">
        <v>113</v>
      </c>
      <c r="E3705" s="15">
        <v>2227.1999999999998</v>
      </c>
      <c r="F3705" s="36" t="s">
        <v>3126</v>
      </c>
      <c r="G3705" s="15">
        <v>2227.1999999999998</v>
      </c>
      <c r="H3705" s="15">
        <f t="shared" si="58"/>
        <v>0</v>
      </c>
    </row>
    <row r="3706" spans="1:8" x14ac:dyDescent="0.25">
      <c r="A3706" s="16">
        <v>42766</v>
      </c>
      <c r="B3706" s="17" t="s">
        <v>4130</v>
      </c>
      <c r="C3706" s="18">
        <v>99303</v>
      </c>
      <c r="D3706" s="2" t="s">
        <v>528</v>
      </c>
      <c r="E3706" s="15">
        <v>335.5</v>
      </c>
      <c r="F3706" s="36" t="s">
        <v>3126</v>
      </c>
      <c r="G3706" s="15">
        <v>335.5</v>
      </c>
      <c r="H3706" s="15">
        <f t="shared" si="58"/>
        <v>0</v>
      </c>
    </row>
    <row r="3707" spans="1:8" x14ac:dyDescent="0.25">
      <c r="A3707" s="16">
        <v>42766</v>
      </c>
      <c r="B3707" s="17" t="s">
        <v>4131</v>
      </c>
      <c r="C3707" s="18">
        <v>99304</v>
      </c>
      <c r="D3707" s="2" t="s">
        <v>57</v>
      </c>
      <c r="E3707" s="15">
        <v>896.7</v>
      </c>
      <c r="F3707" s="36" t="s">
        <v>3126</v>
      </c>
      <c r="G3707" s="15">
        <v>896.7</v>
      </c>
      <c r="H3707" s="15">
        <f t="shared" si="58"/>
        <v>0</v>
      </c>
    </row>
    <row r="3708" spans="1:8" x14ac:dyDescent="0.25">
      <c r="A3708" s="16">
        <v>42766</v>
      </c>
      <c r="B3708" s="17" t="s">
        <v>4132</v>
      </c>
      <c r="C3708" s="18">
        <v>99305</v>
      </c>
      <c r="D3708" s="2" t="s">
        <v>53</v>
      </c>
      <c r="E3708" s="15">
        <v>2582.4</v>
      </c>
      <c r="F3708" s="36" t="s">
        <v>3126</v>
      </c>
      <c r="G3708" s="15">
        <v>2582.4</v>
      </c>
      <c r="H3708" s="15">
        <f t="shared" si="58"/>
        <v>0</v>
      </c>
    </row>
    <row r="3709" spans="1:8" x14ac:dyDescent="0.25">
      <c r="A3709" s="16">
        <v>42766</v>
      </c>
      <c r="B3709" s="17" t="s">
        <v>4133</v>
      </c>
      <c r="C3709" s="18">
        <v>99306</v>
      </c>
      <c r="D3709" s="2" t="s">
        <v>45</v>
      </c>
      <c r="E3709" s="15">
        <v>1376</v>
      </c>
      <c r="F3709" s="36" t="s">
        <v>3126</v>
      </c>
      <c r="G3709" s="15">
        <v>1376</v>
      </c>
      <c r="H3709" s="15">
        <f t="shared" si="58"/>
        <v>0</v>
      </c>
    </row>
    <row r="3710" spans="1:8" x14ac:dyDescent="0.25">
      <c r="A3710" s="16">
        <v>42766</v>
      </c>
      <c r="B3710" s="17" t="s">
        <v>4134</v>
      </c>
      <c r="C3710" s="18">
        <v>99307</v>
      </c>
      <c r="D3710" s="2" t="s">
        <v>63</v>
      </c>
      <c r="E3710" s="15">
        <v>1360</v>
      </c>
      <c r="F3710" s="36" t="s">
        <v>3126</v>
      </c>
      <c r="G3710" s="15">
        <v>1360</v>
      </c>
      <c r="H3710" s="15">
        <f t="shared" si="58"/>
        <v>0</v>
      </c>
    </row>
    <row r="3711" spans="1:8" x14ac:dyDescent="0.25">
      <c r="A3711" s="16">
        <v>42766</v>
      </c>
      <c r="B3711" s="17" t="s">
        <v>4135</v>
      </c>
      <c r="C3711" s="18">
        <v>99308</v>
      </c>
      <c r="D3711" s="13" t="s">
        <v>483</v>
      </c>
      <c r="E3711" s="14">
        <v>0</v>
      </c>
      <c r="F3711" s="123" t="s">
        <v>95</v>
      </c>
      <c r="G3711" s="14">
        <v>0</v>
      </c>
      <c r="H3711" s="14">
        <f t="shared" si="58"/>
        <v>0</v>
      </c>
    </row>
    <row r="3712" spans="1:8" x14ac:dyDescent="0.25">
      <c r="A3712" s="16">
        <v>42766</v>
      </c>
      <c r="B3712" s="17" t="s">
        <v>4136</v>
      </c>
      <c r="C3712" s="18">
        <v>99309</v>
      </c>
      <c r="D3712" s="2" t="s">
        <v>1299</v>
      </c>
      <c r="E3712" s="15">
        <v>4454.3999999999996</v>
      </c>
      <c r="F3712" s="36" t="s">
        <v>3126</v>
      </c>
      <c r="G3712" s="15">
        <v>4454.3999999999996</v>
      </c>
      <c r="H3712" s="15">
        <f t="shared" si="58"/>
        <v>0</v>
      </c>
    </row>
    <row r="3713" spans="1:8" x14ac:dyDescent="0.25">
      <c r="A3713" s="16">
        <v>42766</v>
      </c>
      <c r="B3713" s="17" t="s">
        <v>4137</v>
      </c>
      <c r="C3713" s="18">
        <v>99310</v>
      </c>
      <c r="D3713" s="2" t="s">
        <v>531</v>
      </c>
      <c r="E3713" s="15">
        <v>6666.4</v>
      </c>
      <c r="F3713" s="36" t="s">
        <v>1173</v>
      </c>
      <c r="G3713" s="15">
        <v>6666.4</v>
      </c>
      <c r="H3713" s="15">
        <f t="shared" si="58"/>
        <v>0</v>
      </c>
    </row>
    <row r="3714" spans="1:8" x14ac:dyDescent="0.25">
      <c r="A3714" s="16">
        <v>42766</v>
      </c>
      <c r="B3714" s="17" t="s">
        <v>4138</v>
      </c>
      <c r="C3714" s="18">
        <v>99311</v>
      </c>
      <c r="D3714" s="2" t="s">
        <v>354</v>
      </c>
      <c r="E3714" s="15">
        <v>484</v>
      </c>
      <c r="F3714" s="36" t="s">
        <v>1173</v>
      </c>
      <c r="G3714" s="15">
        <v>484</v>
      </c>
      <c r="H3714" s="15">
        <f t="shared" si="58"/>
        <v>0</v>
      </c>
    </row>
    <row r="3715" spans="1:8" x14ac:dyDescent="0.25">
      <c r="A3715" s="16">
        <v>42766</v>
      </c>
      <c r="B3715" s="17" t="s">
        <v>4139</v>
      </c>
      <c r="C3715" s="18">
        <v>99312</v>
      </c>
      <c r="D3715" s="2" t="s">
        <v>40</v>
      </c>
      <c r="E3715" s="15">
        <v>3726.6</v>
      </c>
      <c r="F3715" s="36" t="s">
        <v>1889</v>
      </c>
      <c r="G3715" s="15">
        <v>3726.6</v>
      </c>
      <c r="H3715" s="15">
        <f t="shared" si="58"/>
        <v>0</v>
      </c>
    </row>
    <row r="3716" spans="1:8" x14ac:dyDescent="0.25">
      <c r="A3716" s="16">
        <v>42766</v>
      </c>
      <c r="B3716" s="17" t="s">
        <v>4140</v>
      </c>
      <c r="C3716" s="18">
        <v>99313</v>
      </c>
      <c r="D3716" s="2" t="s">
        <v>38</v>
      </c>
      <c r="E3716" s="15">
        <v>3215.3</v>
      </c>
      <c r="F3716" s="36" t="s">
        <v>765</v>
      </c>
      <c r="G3716" s="15">
        <v>3215.3</v>
      </c>
      <c r="H3716" s="15">
        <f t="shared" si="58"/>
        <v>0</v>
      </c>
    </row>
    <row r="3717" spans="1:8" x14ac:dyDescent="0.25">
      <c r="A3717" s="16">
        <v>42766</v>
      </c>
      <c r="B3717" s="17" t="s">
        <v>4141</v>
      </c>
      <c r="C3717" s="18">
        <v>99314</v>
      </c>
      <c r="D3717" s="2" t="s">
        <v>51</v>
      </c>
      <c r="E3717" s="15">
        <v>3942.9</v>
      </c>
      <c r="F3717" s="124" t="s">
        <v>4168</v>
      </c>
      <c r="G3717" s="20">
        <f>3000+942.9</f>
        <v>3942.9</v>
      </c>
      <c r="H3717" s="20">
        <f t="shared" si="58"/>
        <v>0</v>
      </c>
    </row>
    <row r="3718" spans="1:8" x14ac:dyDescent="0.25">
      <c r="A3718" s="16">
        <v>42766</v>
      </c>
      <c r="B3718" s="17" t="s">
        <v>4142</v>
      </c>
      <c r="C3718" s="18">
        <v>99315</v>
      </c>
      <c r="D3718" s="2" t="s">
        <v>49</v>
      </c>
      <c r="E3718" s="15">
        <v>10296</v>
      </c>
      <c r="F3718" s="36" t="s">
        <v>765</v>
      </c>
      <c r="G3718" s="15">
        <v>10296</v>
      </c>
      <c r="H3718" s="15">
        <f t="shared" ref="H3718:H3741" si="59">E3718-G3718</f>
        <v>0</v>
      </c>
    </row>
    <row r="3719" spans="1:8" x14ac:dyDescent="0.25">
      <c r="A3719" s="16">
        <v>42766</v>
      </c>
      <c r="B3719" s="17" t="s">
        <v>4143</v>
      </c>
      <c r="C3719" s="18">
        <v>99316</v>
      </c>
      <c r="D3719" s="2" t="s">
        <v>35</v>
      </c>
      <c r="E3719" s="15">
        <v>9939.5</v>
      </c>
      <c r="F3719" s="36" t="s">
        <v>3126</v>
      </c>
      <c r="G3719" s="15">
        <v>9939.5</v>
      </c>
      <c r="H3719" s="15">
        <f t="shared" si="59"/>
        <v>0</v>
      </c>
    </row>
    <row r="3720" spans="1:8" x14ac:dyDescent="0.25">
      <c r="A3720" s="16">
        <v>42766</v>
      </c>
      <c r="B3720" s="17" t="s">
        <v>4144</v>
      </c>
      <c r="C3720" s="18">
        <v>99317</v>
      </c>
      <c r="D3720" s="2" t="s">
        <v>32</v>
      </c>
      <c r="E3720" s="15">
        <v>5925</v>
      </c>
      <c r="F3720" s="36" t="s">
        <v>3126</v>
      </c>
      <c r="G3720" s="15">
        <v>5925</v>
      </c>
      <c r="H3720" s="15">
        <f t="shared" si="59"/>
        <v>0</v>
      </c>
    </row>
    <row r="3721" spans="1:8" x14ac:dyDescent="0.25">
      <c r="A3721" s="16">
        <v>42766</v>
      </c>
      <c r="B3721" s="17" t="s">
        <v>4145</v>
      </c>
      <c r="C3721" s="18">
        <v>99318</v>
      </c>
      <c r="D3721" s="2" t="s">
        <v>21</v>
      </c>
      <c r="E3721" s="15">
        <v>59746</v>
      </c>
      <c r="F3721" s="36" t="s">
        <v>4006</v>
      </c>
      <c r="G3721" s="15">
        <v>59746</v>
      </c>
      <c r="H3721" s="15">
        <f t="shared" si="59"/>
        <v>0</v>
      </c>
    </row>
    <row r="3722" spans="1:8" x14ac:dyDescent="0.25">
      <c r="A3722" s="16">
        <v>42766</v>
      </c>
      <c r="B3722" s="17" t="s">
        <v>4146</v>
      </c>
      <c r="C3722" s="18">
        <v>99319</v>
      </c>
      <c r="D3722" s="2" t="s">
        <v>30</v>
      </c>
      <c r="E3722" s="15">
        <v>2411.5</v>
      </c>
      <c r="F3722" s="36" t="s">
        <v>1173</v>
      </c>
      <c r="G3722" s="15">
        <v>2411.5</v>
      </c>
      <c r="H3722" s="15">
        <f t="shared" si="59"/>
        <v>0</v>
      </c>
    </row>
    <row r="3723" spans="1:8" x14ac:dyDescent="0.25">
      <c r="A3723" s="16">
        <v>42766</v>
      </c>
      <c r="B3723" s="17" t="s">
        <v>4147</v>
      </c>
      <c r="C3723" s="18">
        <v>99320</v>
      </c>
      <c r="D3723" s="2" t="s">
        <v>8</v>
      </c>
      <c r="E3723" s="15">
        <v>5795</v>
      </c>
      <c r="F3723" s="36" t="s">
        <v>1889</v>
      </c>
      <c r="G3723" s="15">
        <v>5795</v>
      </c>
      <c r="H3723" s="15">
        <f t="shared" si="59"/>
        <v>0</v>
      </c>
    </row>
    <row r="3724" spans="1:8" x14ac:dyDescent="0.25">
      <c r="A3724" s="16">
        <v>42766</v>
      </c>
      <c r="B3724" s="17" t="s">
        <v>4148</v>
      </c>
      <c r="C3724" s="18">
        <v>99321</v>
      </c>
      <c r="D3724" s="2" t="s">
        <v>30</v>
      </c>
      <c r="E3724" s="15">
        <v>1537</v>
      </c>
      <c r="F3724" s="36" t="s">
        <v>1173</v>
      </c>
      <c r="G3724" s="15">
        <v>1537</v>
      </c>
      <c r="H3724" s="15">
        <f t="shared" si="59"/>
        <v>0</v>
      </c>
    </row>
    <row r="3725" spans="1:8" x14ac:dyDescent="0.25">
      <c r="A3725" s="16">
        <v>42766</v>
      </c>
      <c r="B3725" s="17" t="s">
        <v>4149</v>
      </c>
      <c r="C3725" s="18">
        <v>99322</v>
      </c>
      <c r="D3725" s="2" t="s">
        <v>220</v>
      </c>
      <c r="E3725" s="15">
        <v>1933.2</v>
      </c>
      <c r="F3725" s="36" t="s">
        <v>1889</v>
      </c>
      <c r="G3725" s="15">
        <v>1933.2</v>
      </c>
      <c r="H3725" s="15">
        <f t="shared" si="59"/>
        <v>0</v>
      </c>
    </row>
    <row r="3726" spans="1:8" x14ac:dyDescent="0.25">
      <c r="A3726" s="16">
        <v>42766</v>
      </c>
      <c r="B3726" s="17" t="s">
        <v>4150</v>
      </c>
      <c r="C3726" s="18">
        <v>99323</v>
      </c>
      <c r="D3726" s="2" t="s">
        <v>937</v>
      </c>
      <c r="E3726" s="15">
        <v>3572.2</v>
      </c>
      <c r="F3726" s="36" t="s">
        <v>1173</v>
      </c>
      <c r="G3726" s="15">
        <v>3572.2</v>
      </c>
      <c r="H3726" s="15">
        <f t="shared" si="59"/>
        <v>0</v>
      </c>
    </row>
    <row r="3727" spans="1:8" x14ac:dyDescent="0.25">
      <c r="A3727" s="16">
        <v>42766</v>
      </c>
      <c r="B3727" s="17" t="s">
        <v>4151</v>
      </c>
      <c r="C3727" s="18">
        <v>99324</v>
      </c>
      <c r="D3727" s="2" t="s">
        <v>10</v>
      </c>
      <c r="E3727" s="15">
        <v>27232.400000000001</v>
      </c>
      <c r="F3727" s="36" t="s">
        <v>307</v>
      </c>
      <c r="G3727" s="15">
        <v>27232.400000000001</v>
      </c>
      <c r="H3727" s="15">
        <f t="shared" si="59"/>
        <v>0</v>
      </c>
    </row>
    <row r="3728" spans="1:8" x14ac:dyDescent="0.25">
      <c r="A3728" s="16">
        <v>42766</v>
      </c>
      <c r="B3728" s="17" t="s">
        <v>4152</v>
      </c>
      <c r="C3728" s="18">
        <v>99325</v>
      </c>
      <c r="D3728" s="2" t="s">
        <v>55</v>
      </c>
      <c r="E3728" s="15">
        <v>6458.8</v>
      </c>
      <c r="F3728" s="36" t="s">
        <v>1173</v>
      </c>
      <c r="G3728" s="15">
        <v>6458.8</v>
      </c>
      <c r="H3728" s="15">
        <f t="shared" si="59"/>
        <v>0</v>
      </c>
    </row>
    <row r="3729" spans="1:8" x14ac:dyDescent="0.25">
      <c r="A3729" s="16">
        <v>42766</v>
      </c>
      <c r="B3729" s="17" t="s">
        <v>4153</v>
      </c>
      <c r="C3729" s="18">
        <v>99326</v>
      </c>
      <c r="D3729" s="2" t="s">
        <v>55</v>
      </c>
      <c r="E3729" s="15">
        <v>1033.5999999999999</v>
      </c>
      <c r="F3729" s="36" t="s">
        <v>1173</v>
      </c>
      <c r="G3729" s="15">
        <v>1033.5999999999999</v>
      </c>
      <c r="H3729" s="15">
        <f t="shared" si="59"/>
        <v>0</v>
      </c>
    </row>
    <row r="3730" spans="1:8" x14ac:dyDescent="0.25">
      <c r="A3730" s="16">
        <v>42766</v>
      </c>
      <c r="B3730" s="17" t="s">
        <v>4154</v>
      </c>
      <c r="C3730" s="18">
        <v>99327</v>
      </c>
      <c r="D3730" s="2" t="s">
        <v>426</v>
      </c>
      <c r="E3730" s="15">
        <v>23088.400000000001</v>
      </c>
      <c r="F3730" s="36" t="s">
        <v>2744</v>
      </c>
      <c r="G3730" s="15">
        <v>23088.400000000001</v>
      </c>
      <c r="H3730" s="15">
        <f t="shared" si="59"/>
        <v>0</v>
      </c>
    </row>
    <row r="3731" spans="1:8" x14ac:dyDescent="0.25">
      <c r="A3731" s="16">
        <v>42766</v>
      </c>
      <c r="B3731" s="17" t="s">
        <v>4155</v>
      </c>
      <c r="C3731" s="18">
        <v>99328</v>
      </c>
      <c r="D3731" s="2" t="s">
        <v>222</v>
      </c>
      <c r="E3731" s="15">
        <v>449442</v>
      </c>
      <c r="F3731" s="36" t="s">
        <v>1429</v>
      </c>
      <c r="G3731" s="15">
        <v>449442</v>
      </c>
      <c r="H3731" s="15">
        <f t="shared" si="59"/>
        <v>0</v>
      </c>
    </row>
    <row r="3732" spans="1:8" x14ac:dyDescent="0.25">
      <c r="A3732" s="16">
        <v>42766</v>
      </c>
      <c r="B3732" s="17" t="s">
        <v>4156</v>
      </c>
      <c r="C3732" s="18">
        <v>99329</v>
      </c>
      <c r="D3732" s="2" t="s">
        <v>2240</v>
      </c>
      <c r="E3732" s="15">
        <v>3664.1</v>
      </c>
      <c r="F3732" s="36" t="s">
        <v>1173</v>
      </c>
      <c r="G3732" s="15">
        <v>3664.1</v>
      </c>
      <c r="H3732" s="15">
        <f t="shared" si="59"/>
        <v>0</v>
      </c>
    </row>
    <row r="3733" spans="1:8" x14ac:dyDescent="0.25">
      <c r="A3733" s="16">
        <v>42766</v>
      </c>
      <c r="B3733" s="17" t="s">
        <v>4157</v>
      </c>
      <c r="C3733" s="18">
        <v>99330</v>
      </c>
      <c r="D3733" s="2" t="s">
        <v>236</v>
      </c>
      <c r="E3733" s="15">
        <v>35811.800000000003</v>
      </c>
      <c r="F3733" s="36" t="s">
        <v>3164</v>
      </c>
      <c r="G3733" s="15">
        <v>35811.800000000003</v>
      </c>
      <c r="H3733" s="15">
        <f t="shared" si="59"/>
        <v>0</v>
      </c>
    </row>
    <row r="3734" spans="1:8" x14ac:dyDescent="0.25">
      <c r="A3734" s="16">
        <v>42766</v>
      </c>
      <c r="B3734" s="17" t="s">
        <v>4158</v>
      </c>
      <c r="C3734" s="18">
        <v>99331</v>
      </c>
      <c r="D3734" s="2" t="s">
        <v>800</v>
      </c>
      <c r="E3734" s="15">
        <v>9696.9</v>
      </c>
      <c r="F3734" s="126" t="s">
        <v>4173</v>
      </c>
      <c r="G3734" s="23">
        <f>7500+2196.9</f>
        <v>9696.9</v>
      </c>
      <c r="H3734" s="23">
        <f t="shared" si="59"/>
        <v>0</v>
      </c>
    </row>
    <row r="3735" spans="1:8" x14ac:dyDescent="0.25">
      <c r="A3735" s="16">
        <v>42766</v>
      </c>
      <c r="B3735" s="17" t="s">
        <v>4159</v>
      </c>
      <c r="C3735" s="18">
        <v>99332</v>
      </c>
      <c r="D3735" s="2" t="s">
        <v>266</v>
      </c>
      <c r="E3735" s="15">
        <v>10648.8</v>
      </c>
      <c r="F3735" s="36" t="s">
        <v>1889</v>
      </c>
      <c r="G3735" s="15">
        <v>10648.8</v>
      </c>
      <c r="H3735" s="15">
        <f t="shared" si="59"/>
        <v>0</v>
      </c>
    </row>
    <row r="3736" spans="1:8" x14ac:dyDescent="0.25">
      <c r="A3736" s="16">
        <v>42766</v>
      </c>
      <c r="B3736" s="17" t="s">
        <v>4160</v>
      </c>
      <c r="C3736" s="18">
        <v>99333</v>
      </c>
      <c r="D3736" s="2" t="s">
        <v>226</v>
      </c>
      <c r="E3736" s="15">
        <v>1982.4</v>
      </c>
      <c r="F3736" s="36" t="s">
        <v>1889</v>
      </c>
      <c r="G3736" s="15">
        <v>1982.4</v>
      </c>
      <c r="H3736" s="15">
        <f t="shared" si="59"/>
        <v>0</v>
      </c>
    </row>
    <row r="3737" spans="1:8" x14ac:dyDescent="0.25">
      <c r="A3737" s="16">
        <v>42766</v>
      </c>
      <c r="B3737" s="17" t="s">
        <v>4161</v>
      </c>
      <c r="C3737" s="18">
        <v>99334</v>
      </c>
      <c r="D3737" s="2" t="s">
        <v>10</v>
      </c>
      <c r="E3737" s="15">
        <v>10648.8</v>
      </c>
      <c r="F3737" s="36" t="s">
        <v>307</v>
      </c>
      <c r="G3737" s="15">
        <v>10648.8</v>
      </c>
      <c r="H3737" s="15">
        <f t="shared" si="59"/>
        <v>0</v>
      </c>
    </row>
    <row r="3738" spans="1:8" x14ac:dyDescent="0.25">
      <c r="A3738" s="16">
        <v>42766</v>
      </c>
      <c r="B3738" s="17" t="s">
        <v>4162</v>
      </c>
      <c r="C3738" s="18">
        <v>99335</v>
      </c>
      <c r="D3738" s="2" t="s">
        <v>211</v>
      </c>
      <c r="E3738" s="15">
        <v>8092</v>
      </c>
      <c r="F3738" s="36" t="s">
        <v>1173</v>
      </c>
      <c r="G3738" s="15">
        <v>8092</v>
      </c>
      <c r="H3738" s="15">
        <f t="shared" si="59"/>
        <v>0</v>
      </c>
    </row>
    <row r="3739" spans="1:8" x14ac:dyDescent="0.25">
      <c r="A3739" s="16">
        <v>42766</v>
      </c>
      <c r="B3739" s="17" t="s">
        <v>4163</v>
      </c>
      <c r="C3739" s="18">
        <v>99336</v>
      </c>
      <c r="D3739" s="2" t="s">
        <v>122</v>
      </c>
      <c r="E3739" s="15">
        <v>3477</v>
      </c>
      <c r="F3739" s="36" t="s">
        <v>3126</v>
      </c>
      <c r="G3739" s="15">
        <v>3477</v>
      </c>
      <c r="H3739" s="15">
        <f t="shared" si="59"/>
        <v>0</v>
      </c>
    </row>
    <row r="3740" spans="1:8" x14ac:dyDescent="0.25">
      <c r="A3740" s="16">
        <v>42766</v>
      </c>
      <c r="B3740" s="17" t="s">
        <v>4164</v>
      </c>
      <c r="C3740" s="18">
        <v>99337</v>
      </c>
      <c r="D3740" s="2" t="s">
        <v>10</v>
      </c>
      <c r="E3740" s="15">
        <v>17507.400000000001</v>
      </c>
      <c r="F3740" s="36" t="s">
        <v>307</v>
      </c>
      <c r="G3740" s="15">
        <v>17507.400000000001</v>
      </c>
      <c r="H3740" s="15">
        <f t="shared" si="59"/>
        <v>0</v>
      </c>
    </row>
    <row r="3741" spans="1:8" ht="15.75" thickBot="1" x14ac:dyDescent="0.3">
      <c r="A3741" s="16">
        <v>42766</v>
      </c>
      <c r="B3741" s="17" t="s">
        <v>4165</v>
      </c>
      <c r="C3741" s="18">
        <v>99338</v>
      </c>
      <c r="D3741" s="2" t="s">
        <v>21</v>
      </c>
      <c r="E3741" s="15">
        <v>47799</v>
      </c>
      <c r="F3741" s="36" t="s">
        <v>4006</v>
      </c>
      <c r="G3741" s="15">
        <v>47799</v>
      </c>
      <c r="H3741" s="15">
        <f t="shared" si="59"/>
        <v>0</v>
      </c>
    </row>
    <row r="3742" spans="1:8" ht="30.75" customHeight="1" thickBot="1" x14ac:dyDescent="0.4">
      <c r="D3742" s="30" t="s">
        <v>4166</v>
      </c>
      <c r="E3742" s="31">
        <f>SUM(E6:E3741)</f>
        <v>54730314.920000017</v>
      </c>
      <c r="F3742" s="132"/>
      <c r="G3742" s="32">
        <f>SUM(G6:G3741)</f>
        <v>54707727.820000015</v>
      </c>
      <c r="H3742" s="33">
        <f>SUM(H6:H3741)</f>
        <v>22587.1</v>
      </c>
    </row>
    <row r="3746" spans="5:7" ht="15.75" thickBot="1" x14ac:dyDescent="0.3"/>
    <row r="3747" spans="5:7" ht="32.25" customHeight="1" thickBot="1" x14ac:dyDescent="0.55000000000000004">
      <c r="E3747" s="428">
        <f>E3742-G3742</f>
        <v>22587.10000000149</v>
      </c>
      <c r="F3747" s="429"/>
      <c r="G3747" s="430"/>
    </row>
  </sheetData>
  <mergeCells count="2">
    <mergeCell ref="A1:G1"/>
    <mergeCell ref="E3747:G374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7030A0"/>
  </sheetPr>
  <dimension ref="A1:S3451"/>
  <sheetViews>
    <sheetView topLeftCell="A3322" workbookViewId="0">
      <pane xSplit="2" topLeftCell="F1" activePane="topRight" state="frozen"/>
      <selection activeCell="A1121" sqref="A1121"/>
      <selection pane="topRight" activeCell="H3329" sqref="H3329"/>
    </sheetView>
  </sheetViews>
  <sheetFormatPr baseColWidth="10" defaultRowHeight="15" x14ac:dyDescent="0.25"/>
  <cols>
    <col min="1" max="1" width="14.85546875" style="38" customWidth="1"/>
    <col min="2" max="2" width="12.28515625" style="40" customWidth="1"/>
    <col min="3" max="3" width="9.85546875" style="29" customWidth="1"/>
    <col min="4" max="4" width="16" style="29" customWidth="1"/>
    <col min="5" max="5" width="41.85546875" style="2" customWidth="1"/>
    <col min="6" max="6" width="21" style="15" bestFit="1" customWidth="1"/>
    <col min="7" max="7" width="17.140625" style="41" customWidth="1"/>
    <col min="8" max="8" width="19.28515625" style="34" bestFit="1" customWidth="1"/>
    <col min="9" max="9" width="21" style="2" bestFit="1" customWidth="1"/>
    <col min="10" max="10" width="11.42578125" style="2"/>
    <col min="11" max="11" width="14.140625" style="2" bestFit="1" customWidth="1"/>
    <col min="12" max="16384" width="11.42578125" style="2"/>
  </cols>
  <sheetData>
    <row r="1" spans="1:10" ht="18.75" x14ac:dyDescent="0.3">
      <c r="A1" s="427" t="s">
        <v>4175</v>
      </c>
      <c r="B1" s="427"/>
      <c r="C1" s="427"/>
      <c r="D1" s="427"/>
      <c r="E1" s="427"/>
      <c r="F1" s="427"/>
      <c r="G1" s="427"/>
      <c r="H1" s="427"/>
      <c r="I1" s="1"/>
    </row>
    <row r="2" spans="1:10" ht="34.5" x14ac:dyDescent="0.3">
      <c r="A2" s="38" t="s">
        <v>1</v>
      </c>
      <c r="B2" s="74" t="s">
        <v>2</v>
      </c>
      <c r="C2" s="75" t="s">
        <v>4176</v>
      </c>
      <c r="D2" s="76" t="s">
        <v>3</v>
      </c>
      <c r="E2" s="77" t="s">
        <v>4177</v>
      </c>
      <c r="F2" s="78" t="s">
        <v>5</v>
      </c>
      <c r="G2" s="79" t="s">
        <v>6</v>
      </c>
      <c r="H2" s="80" t="str">
        <f t="shared" ref="H2" si="0">F2</f>
        <v>IMPORTE</v>
      </c>
      <c r="I2" s="81" t="s">
        <v>7</v>
      </c>
    </row>
    <row r="3" spans="1:10" x14ac:dyDescent="0.25">
      <c r="A3" s="82">
        <v>42767</v>
      </c>
      <c r="B3" s="83" t="s">
        <v>4178</v>
      </c>
      <c r="C3" s="84"/>
      <c r="D3" s="18">
        <v>99339</v>
      </c>
      <c r="E3" s="2" t="s">
        <v>231</v>
      </c>
      <c r="F3" s="15">
        <v>7733.1</v>
      </c>
      <c r="G3" s="41">
        <v>42768</v>
      </c>
      <c r="H3" s="15">
        <f>F3</f>
        <v>7733.1</v>
      </c>
      <c r="I3" s="15">
        <f>F3-H3</f>
        <v>0</v>
      </c>
    </row>
    <row r="4" spans="1:10" x14ac:dyDescent="0.25">
      <c r="A4" s="82">
        <v>42767</v>
      </c>
      <c r="B4" s="83" t="s">
        <v>4179</v>
      </c>
      <c r="C4" s="85"/>
      <c r="D4" s="18">
        <v>99340</v>
      </c>
      <c r="E4" s="2" t="s">
        <v>457</v>
      </c>
      <c r="F4" s="15">
        <v>3578.4</v>
      </c>
      <c r="G4" s="41">
        <v>42767</v>
      </c>
      <c r="H4" s="15">
        <f t="shared" ref="H4:H67" si="1">F4</f>
        <v>3578.4</v>
      </c>
      <c r="I4" s="15">
        <f>F4-H4</f>
        <v>0</v>
      </c>
    </row>
    <row r="5" spans="1:10" x14ac:dyDescent="0.25">
      <c r="A5" s="82">
        <v>42767</v>
      </c>
      <c r="B5" s="83" t="s">
        <v>4180</v>
      </c>
      <c r="C5" s="85"/>
      <c r="D5" s="18">
        <v>99341</v>
      </c>
      <c r="E5" s="2" t="s">
        <v>28</v>
      </c>
      <c r="F5" s="15">
        <v>5292.2</v>
      </c>
      <c r="H5" s="15">
        <f t="shared" si="1"/>
        <v>5292.2</v>
      </c>
      <c r="I5" s="15">
        <f>F5-H5</f>
        <v>0</v>
      </c>
    </row>
    <row r="6" spans="1:10" x14ac:dyDescent="0.25">
      <c r="A6" s="82">
        <v>42767</v>
      </c>
      <c r="B6" s="83" t="s">
        <v>4181</v>
      </c>
      <c r="C6" s="85"/>
      <c r="D6" s="18">
        <v>99342</v>
      </c>
      <c r="E6" s="2" t="s">
        <v>231</v>
      </c>
      <c r="F6" s="15">
        <v>50870.1</v>
      </c>
      <c r="H6" s="15">
        <f t="shared" si="1"/>
        <v>50870.1</v>
      </c>
      <c r="I6" s="15">
        <f t="shared" ref="I6:I69" si="2">F6-H6</f>
        <v>0</v>
      </c>
      <c r="J6" s="19"/>
    </row>
    <row r="7" spans="1:10" x14ac:dyDescent="0.25">
      <c r="A7" s="82">
        <v>42767</v>
      </c>
      <c r="B7" s="83" t="s">
        <v>4182</v>
      </c>
      <c r="C7" s="85"/>
      <c r="D7" s="18">
        <v>99343</v>
      </c>
      <c r="E7" s="2" t="s">
        <v>30</v>
      </c>
      <c r="F7" s="15">
        <v>5151.6000000000004</v>
      </c>
      <c r="G7" s="41">
        <v>42767</v>
      </c>
      <c r="H7" s="15">
        <f t="shared" si="1"/>
        <v>5151.6000000000004</v>
      </c>
      <c r="I7" s="15">
        <f t="shared" si="2"/>
        <v>0</v>
      </c>
      <c r="J7" s="19"/>
    </row>
    <row r="8" spans="1:10" x14ac:dyDescent="0.25">
      <c r="A8" s="82">
        <v>42767</v>
      </c>
      <c r="B8" s="83" t="s">
        <v>4183</v>
      </c>
      <c r="C8" s="85"/>
      <c r="D8" s="18">
        <v>99344</v>
      </c>
      <c r="E8" s="2" t="s">
        <v>30</v>
      </c>
      <c r="F8" s="15">
        <v>3812</v>
      </c>
      <c r="G8" s="41">
        <v>42767</v>
      </c>
      <c r="H8" s="15">
        <f t="shared" si="1"/>
        <v>3812</v>
      </c>
      <c r="I8" s="15">
        <f t="shared" si="2"/>
        <v>0</v>
      </c>
      <c r="J8" s="19"/>
    </row>
    <row r="9" spans="1:10" x14ac:dyDescent="0.25">
      <c r="A9" s="82">
        <v>42767</v>
      </c>
      <c r="B9" s="83" t="s">
        <v>4184</v>
      </c>
      <c r="C9" s="85"/>
      <c r="D9" s="18">
        <v>99345</v>
      </c>
      <c r="E9" s="2" t="s">
        <v>30</v>
      </c>
      <c r="F9" s="15">
        <v>3390.4</v>
      </c>
      <c r="G9" s="41">
        <v>42767</v>
      </c>
      <c r="H9" s="15">
        <f t="shared" si="1"/>
        <v>3390.4</v>
      </c>
      <c r="I9" s="15">
        <f t="shared" si="2"/>
        <v>0</v>
      </c>
      <c r="J9" s="19"/>
    </row>
    <row r="10" spans="1:10" x14ac:dyDescent="0.25">
      <c r="A10" s="82">
        <v>42767</v>
      </c>
      <c r="B10" s="83" t="s">
        <v>4185</v>
      </c>
      <c r="C10" s="85"/>
      <c r="D10" s="18">
        <v>99346</v>
      </c>
      <c r="E10" s="2" t="s">
        <v>712</v>
      </c>
      <c r="F10" s="15">
        <v>11127.2</v>
      </c>
      <c r="G10" s="41">
        <v>42767</v>
      </c>
      <c r="H10" s="15">
        <f t="shared" si="1"/>
        <v>11127.2</v>
      </c>
      <c r="I10" s="15">
        <f t="shared" si="2"/>
        <v>0</v>
      </c>
      <c r="J10" s="19"/>
    </row>
    <row r="11" spans="1:10" x14ac:dyDescent="0.25">
      <c r="A11" s="82">
        <v>42767</v>
      </c>
      <c r="B11" s="83" t="s">
        <v>4186</v>
      </c>
      <c r="C11" s="85"/>
      <c r="D11" s="18">
        <v>99347</v>
      </c>
      <c r="E11" s="2" t="s">
        <v>428</v>
      </c>
      <c r="F11" s="15">
        <v>1892.8</v>
      </c>
      <c r="G11" s="41">
        <v>42768</v>
      </c>
      <c r="H11" s="15">
        <f t="shared" si="1"/>
        <v>1892.8</v>
      </c>
      <c r="I11" s="15">
        <f t="shared" si="2"/>
        <v>0</v>
      </c>
      <c r="J11" s="19"/>
    </row>
    <row r="12" spans="1:10" x14ac:dyDescent="0.25">
      <c r="A12" s="82">
        <v>42767</v>
      </c>
      <c r="B12" s="83" t="s">
        <v>4187</v>
      </c>
      <c r="C12" s="85"/>
      <c r="D12" s="18">
        <v>99348</v>
      </c>
      <c r="E12" s="2" t="s">
        <v>26</v>
      </c>
      <c r="F12" s="15">
        <v>19193.599999999999</v>
      </c>
      <c r="G12" s="41">
        <v>42767</v>
      </c>
      <c r="H12" s="15">
        <f t="shared" si="1"/>
        <v>19193.599999999999</v>
      </c>
      <c r="I12" s="15">
        <f t="shared" si="2"/>
        <v>0</v>
      </c>
      <c r="J12" s="19"/>
    </row>
    <row r="13" spans="1:10" x14ac:dyDescent="0.25">
      <c r="A13" s="82">
        <v>42767</v>
      </c>
      <c r="B13" s="83" t="s">
        <v>4188</v>
      </c>
      <c r="C13" s="85"/>
      <c r="D13" s="18">
        <v>99349</v>
      </c>
      <c r="E13" s="2" t="s">
        <v>379</v>
      </c>
      <c r="F13" s="15">
        <v>268.8</v>
      </c>
      <c r="G13" s="41">
        <v>42767</v>
      </c>
      <c r="H13" s="15">
        <f t="shared" si="1"/>
        <v>268.8</v>
      </c>
      <c r="I13" s="15">
        <f t="shared" si="2"/>
        <v>0</v>
      </c>
      <c r="J13" s="19"/>
    </row>
    <row r="14" spans="1:10" x14ac:dyDescent="0.25">
      <c r="A14" s="82">
        <v>42767</v>
      </c>
      <c r="B14" s="83" t="s">
        <v>4189</v>
      </c>
      <c r="C14" s="85"/>
      <c r="D14" s="18">
        <v>99350</v>
      </c>
      <c r="E14" s="2" t="s">
        <v>298</v>
      </c>
      <c r="F14" s="15">
        <v>3540</v>
      </c>
      <c r="G14" s="41">
        <v>42767</v>
      </c>
      <c r="H14" s="15">
        <f t="shared" si="1"/>
        <v>3540</v>
      </c>
      <c r="I14" s="15">
        <f t="shared" si="2"/>
        <v>0</v>
      </c>
      <c r="J14" s="19"/>
    </row>
    <row r="15" spans="1:10" x14ac:dyDescent="0.25">
      <c r="A15" s="82">
        <v>42767</v>
      </c>
      <c r="B15" s="83" t="s">
        <v>4190</v>
      </c>
      <c r="C15" s="85"/>
      <c r="D15" s="18">
        <v>99351</v>
      </c>
      <c r="E15" s="2" t="s">
        <v>17</v>
      </c>
      <c r="F15" s="15">
        <v>2500</v>
      </c>
      <c r="G15" s="41">
        <v>42767</v>
      </c>
      <c r="H15" s="15">
        <f t="shared" si="1"/>
        <v>2500</v>
      </c>
      <c r="I15" s="15">
        <f t="shared" si="2"/>
        <v>0</v>
      </c>
      <c r="J15" s="19"/>
    </row>
    <row r="16" spans="1:10" x14ac:dyDescent="0.25">
      <c r="A16" s="82">
        <v>42767</v>
      </c>
      <c r="B16" s="83" t="s">
        <v>4191</v>
      </c>
      <c r="C16" s="85"/>
      <c r="D16" s="18">
        <v>99352</v>
      </c>
      <c r="E16" s="2" t="s">
        <v>143</v>
      </c>
      <c r="F16" s="15">
        <v>6546.8</v>
      </c>
      <c r="G16" s="41">
        <v>42767</v>
      </c>
      <c r="H16" s="15">
        <f t="shared" si="1"/>
        <v>6546.8</v>
      </c>
      <c r="I16" s="15">
        <f t="shared" si="2"/>
        <v>0</v>
      </c>
      <c r="J16" s="19"/>
    </row>
    <row r="17" spans="1:10" x14ac:dyDescent="0.25">
      <c r="A17" s="82">
        <v>42767</v>
      </c>
      <c r="B17" s="83" t="s">
        <v>4192</v>
      </c>
      <c r="C17" s="85"/>
      <c r="D17" s="18">
        <v>99353</v>
      </c>
      <c r="E17" s="2" t="s">
        <v>218</v>
      </c>
      <c r="F17" s="15">
        <v>151876.29999999999</v>
      </c>
      <c r="H17" s="15">
        <f t="shared" si="1"/>
        <v>151876.29999999999</v>
      </c>
      <c r="I17" s="15">
        <f t="shared" si="2"/>
        <v>0</v>
      </c>
      <c r="J17" s="19"/>
    </row>
    <row r="18" spans="1:10" x14ac:dyDescent="0.25">
      <c r="A18" s="82">
        <v>42767</v>
      </c>
      <c r="B18" s="83" t="s">
        <v>4193</v>
      </c>
      <c r="C18" s="85"/>
      <c r="D18" s="18">
        <v>99354</v>
      </c>
      <c r="E18" s="2" t="s">
        <v>43</v>
      </c>
      <c r="F18" s="15">
        <v>5439.2</v>
      </c>
      <c r="G18" s="41">
        <v>42770</v>
      </c>
      <c r="H18" s="15">
        <f t="shared" si="1"/>
        <v>5439.2</v>
      </c>
      <c r="I18" s="15">
        <f t="shared" si="2"/>
        <v>0</v>
      </c>
      <c r="J18" s="19"/>
    </row>
    <row r="19" spans="1:10" ht="30" x14ac:dyDescent="0.25">
      <c r="A19" s="82">
        <v>42767</v>
      </c>
      <c r="B19" s="83" t="s">
        <v>4194</v>
      </c>
      <c r="C19" s="85"/>
      <c r="D19" s="18">
        <v>99355</v>
      </c>
      <c r="E19" s="2" t="s">
        <v>49</v>
      </c>
      <c r="F19" s="15">
        <v>14488.8</v>
      </c>
      <c r="G19" s="87" t="s">
        <v>4195</v>
      </c>
      <c r="H19" s="20">
        <f>10000+4488.8</f>
        <v>14488.8</v>
      </c>
      <c r="I19" s="20">
        <f t="shared" si="2"/>
        <v>0</v>
      </c>
      <c r="J19" s="19"/>
    </row>
    <row r="20" spans="1:10" x14ac:dyDescent="0.25">
      <c r="A20" s="82">
        <v>42767</v>
      </c>
      <c r="B20" s="83" t="s">
        <v>4196</v>
      </c>
      <c r="C20" s="85"/>
      <c r="D20" s="18">
        <v>99356</v>
      </c>
      <c r="E20" s="2" t="s">
        <v>35</v>
      </c>
      <c r="F20" s="15">
        <v>11217.1</v>
      </c>
      <c r="G20" s="41">
        <v>42770</v>
      </c>
      <c r="H20" s="15">
        <f t="shared" si="1"/>
        <v>11217.1</v>
      </c>
      <c r="I20" s="15">
        <f t="shared" si="2"/>
        <v>0</v>
      </c>
      <c r="J20" s="19"/>
    </row>
    <row r="21" spans="1:10" x14ac:dyDescent="0.25">
      <c r="A21" s="82">
        <v>42767</v>
      </c>
      <c r="B21" s="83" t="s">
        <v>4197</v>
      </c>
      <c r="C21" s="85"/>
      <c r="D21" s="18">
        <v>99357</v>
      </c>
      <c r="E21" s="2" t="s">
        <v>32</v>
      </c>
      <c r="F21" s="15">
        <v>7110</v>
      </c>
      <c r="G21" s="41">
        <v>42775</v>
      </c>
      <c r="H21" s="15">
        <f t="shared" si="1"/>
        <v>7110</v>
      </c>
      <c r="I21" s="15">
        <f t="shared" si="2"/>
        <v>0</v>
      </c>
      <c r="J21" s="19"/>
    </row>
    <row r="22" spans="1:10" ht="30" x14ac:dyDescent="0.25">
      <c r="A22" s="82">
        <v>42767</v>
      </c>
      <c r="B22" s="83" t="s">
        <v>4198</v>
      </c>
      <c r="C22" s="85"/>
      <c r="D22" s="18">
        <v>99358</v>
      </c>
      <c r="E22" s="2" t="s">
        <v>250</v>
      </c>
      <c r="F22" s="15">
        <v>19291.8</v>
      </c>
      <c r="G22" s="87" t="s">
        <v>4199</v>
      </c>
      <c r="H22" s="20">
        <f>12000+7291.8</f>
        <v>19291.8</v>
      </c>
      <c r="I22" s="20">
        <f t="shared" si="2"/>
        <v>0</v>
      </c>
      <c r="J22" s="19"/>
    </row>
    <row r="23" spans="1:10" x14ac:dyDescent="0.25">
      <c r="A23" s="82">
        <v>42767</v>
      </c>
      <c r="B23" s="83" t="s">
        <v>4200</v>
      </c>
      <c r="C23" s="85"/>
      <c r="D23" s="18">
        <v>99359</v>
      </c>
      <c r="E23" s="2" t="s">
        <v>40</v>
      </c>
      <c r="F23" s="15">
        <v>3864</v>
      </c>
      <c r="G23" s="41">
        <v>42770</v>
      </c>
      <c r="H23" s="15">
        <f t="shared" si="1"/>
        <v>3864</v>
      </c>
      <c r="I23" s="15">
        <f t="shared" si="2"/>
        <v>0</v>
      </c>
      <c r="J23" s="19"/>
    </row>
    <row r="24" spans="1:10" ht="30" x14ac:dyDescent="0.25">
      <c r="A24" s="82">
        <v>42767</v>
      </c>
      <c r="B24" s="83" t="s">
        <v>4201</v>
      </c>
      <c r="C24" s="85"/>
      <c r="D24" s="18">
        <v>99360</v>
      </c>
      <c r="E24" s="2" t="s">
        <v>51</v>
      </c>
      <c r="F24" s="15">
        <v>3478.8</v>
      </c>
      <c r="G24" s="87" t="s">
        <v>4202</v>
      </c>
      <c r="H24" s="20">
        <f>3000+478.8</f>
        <v>3478.8</v>
      </c>
      <c r="I24" s="20">
        <f t="shared" si="2"/>
        <v>0</v>
      </c>
      <c r="J24" s="19"/>
    </row>
    <row r="25" spans="1:10" x14ac:dyDescent="0.25">
      <c r="A25" s="82">
        <v>42767</v>
      </c>
      <c r="B25" s="83" t="s">
        <v>4203</v>
      </c>
      <c r="C25" s="85"/>
      <c r="D25" s="18">
        <v>99361</v>
      </c>
      <c r="E25" s="2" t="s">
        <v>544</v>
      </c>
      <c r="F25" s="15">
        <v>4386.8</v>
      </c>
      <c r="G25" s="41">
        <v>42774</v>
      </c>
      <c r="H25" s="15">
        <f t="shared" si="1"/>
        <v>4386.8</v>
      </c>
      <c r="I25" s="15">
        <f t="shared" si="2"/>
        <v>0</v>
      </c>
      <c r="J25" s="19"/>
    </row>
    <row r="26" spans="1:10" x14ac:dyDescent="0.25">
      <c r="A26" s="82">
        <v>42767</v>
      </c>
      <c r="B26" s="83" t="s">
        <v>4204</v>
      </c>
      <c r="C26" s="85"/>
      <c r="D26" s="18">
        <v>99362</v>
      </c>
      <c r="E26" s="2" t="s">
        <v>430</v>
      </c>
      <c r="F26" s="15">
        <v>2087.4</v>
      </c>
      <c r="G26" s="41">
        <v>42767</v>
      </c>
      <c r="H26" s="15">
        <f t="shared" si="1"/>
        <v>2087.4</v>
      </c>
      <c r="I26" s="15">
        <f t="shared" si="2"/>
        <v>0</v>
      </c>
      <c r="J26" s="19"/>
    </row>
    <row r="27" spans="1:10" x14ac:dyDescent="0.25">
      <c r="A27" s="82">
        <v>42767</v>
      </c>
      <c r="B27" s="83" t="s">
        <v>4205</v>
      </c>
      <c r="C27" s="85"/>
      <c r="D27" s="18">
        <v>99363</v>
      </c>
      <c r="E27" s="2" t="s">
        <v>47</v>
      </c>
      <c r="F27" s="15">
        <v>2927.4</v>
      </c>
      <c r="G27" s="41">
        <v>42767</v>
      </c>
      <c r="H27" s="15">
        <f t="shared" si="1"/>
        <v>2927.4</v>
      </c>
      <c r="I27" s="15">
        <f t="shared" si="2"/>
        <v>0</v>
      </c>
      <c r="J27" s="19"/>
    </row>
    <row r="28" spans="1:10" x14ac:dyDescent="0.25">
      <c r="A28" s="82">
        <v>42767</v>
      </c>
      <c r="B28" s="83" t="s">
        <v>4206</v>
      </c>
      <c r="C28" s="85"/>
      <c r="D28" s="18">
        <v>99364</v>
      </c>
      <c r="E28" s="2" t="s">
        <v>19</v>
      </c>
      <c r="F28" s="15">
        <v>1250</v>
      </c>
      <c r="G28" s="41">
        <v>42767</v>
      </c>
      <c r="H28" s="15">
        <f t="shared" si="1"/>
        <v>1250</v>
      </c>
      <c r="I28" s="15">
        <f t="shared" si="2"/>
        <v>0</v>
      </c>
      <c r="J28" s="19"/>
    </row>
    <row r="29" spans="1:10" x14ac:dyDescent="0.25">
      <c r="A29" s="82">
        <v>42767</v>
      </c>
      <c r="B29" s="83" t="s">
        <v>4207</v>
      </c>
      <c r="C29" s="85"/>
      <c r="D29" s="18">
        <v>99365</v>
      </c>
      <c r="E29" s="2" t="s">
        <v>531</v>
      </c>
      <c r="F29" s="15">
        <v>3432</v>
      </c>
      <c r="G29" s="41">
        <v>42769</v>
      </c>
      <c r="H29" s="15">
        <f t="shared" si="1"/>
        <v>3432</v>
      </c>
      <c r="I29" s="15">
        <f t="shared" si="2"/>
        <v>0</v>
      </c>
      <c r="J29" s="19"/>
    </row>
    <row r="30" spans="1:10" x14ac:dyDescent="0.25">
      <c r="A30" s="82">
        <v>42767</v>
      </c>
      <c r="B30" s="83" t="s">
        <v>4208</v>
      </c>
      <c r="C30" s="85"/>
      <c r="D30" s="18">
        <v>99366</v>
      </c>
      <c r="E30" s="2" t="s">
        <v>609</v>
      </c>
      <c r="F30" s="15">
        <v>51280</v>
      </c>
      <c r="G30" s="41">
        <v>42767</v>
      </c>
      <c r="H30" s="15">
        <f t="shared" si="1"/>
        <v>51280</v>
      </c>
      <c r="I30" s="15">
        <f t="shared" si="2"/>
        <v>0</v>
      </c>
      <c r="J30" s="19"/>
    </row>
    <row r="31" spans="1:10" x14ac:dyDescent="0.25">
      <c r="A31" s="82">
        <v>42767</v>
      </c>
      <c r="B31" s="83" t="s">
        <v>4209</v>
      </c>
      <c r="C31" s="85"/>
      <c r="D31" s="18">
        <v>99367</v>
      </c>
      <c r="E31" s="2" t="s">
        <v>79</v>
      </c>
      <c r="F31" s="15">
        <v>2917.2</v>
      </c>
      <c r="G31" s="41">
        <v>42767</v>
      </c>
      <c r="H31" s="15">
        <f t="shared" si="1"/>
        <v>2917.2</v>
      </c>
      <c r="I31" s="15">
        <f t="shared" si="2"/>
        <v>0</v>
      </c>
      <c r="J31" s="19"/>
    </row>
    <row r="32" spans="1:10" x14ac:dyDescent="0.25">
      <c r="A32" s="82">
        <v>42767</v>
      </c>
      <c r="B32" s="83" t="s">
        <v>4210</v>
      </c>
      <c r="C32" s="85"/>
      <c r="D32" s="18">
        <v>99368</v>
      </c>
      <c r="E32" s="2" t="s">
        <v>432</v>
      </c>
      <c r="F32" s="15">
        <v>17953.900000000001</v>
      </c>
      <c r="G32" s="41">
        <v>42769</v>
      </c>
      <c r="H32" s="15">
        <f t="shared" si="1"/>
        <v>17953.900000000001</v>
      </c>
      <c r="I32" s="15">
        <f t="shared" si="2"/>
        <v>0</v>
      </c>
      <c r="J32" s="19"/>
    </row>
    <row r="33" spans="1:10" x14ac:dyDescent="0.25">
      <c r="A33" s="82">
        <v>42767</v>
      </c>
      <c r="B33" s="83" t="s">
        <v>4211</v>
      </c>
      <c r="C33" s="85"/>
      <c r="D33" s="18">
        <v>99369</v>
      </c>
      <c r="E33" s="2" t="s">
        <v>1666</v>
      </c>
      <c r="F33" s="15">
        <v>17789.900000000001</v>
      </c>
      <c r="G33" s="41">
        <v>42769</v>
      </c>
      <c r="H33" s="15">
        <f t="shared" si="1"/>
        <v>17789.900000000001</v>
      </c>
      <c r="I33" s="15">
        <f t="shared" si="2"/>
        <v>0</v>
      </c>
      <c r="J33" s="19"/>
    </row>
    <row r="34" spans="1:10" x14ac:dyDescent="0.25">
      <c r="A34" s="82">
        <v>42767</v>
      </c>
      <c r="B34" s="83" t="s">
        <v>4212</v>
      </c>
      <c r="C34" s="85"/>
      <c r="D34" s="18">
        <v>99370</v>
      </c>
      <c r="E34" s="2" t="s">
        <v>3425</v>
      </c>
      <c r="F34" s="15">
        <v>2220.5</v>
      </c>
      <c r="G34" s="41">
        <v>42767</v>
      </c>
      <c r="H34" s="15">
        <f t="shared" si="1"/>
        <v>2220.5</v>
      </c>
      <c r="I34" s="15">
        <f t="shared" si="2"/>
        <v>0</v>
      </c>
      <c r="J34" s="19"/>
    </row>
    <row r="35" spans="1:10" x14ac:dyDescent="0.25">
      <c r="A35" s="82">
        <v>42767</v>
      </c>
      <c r="B35" s="83" t="s">
        <v>4213</v>
      </c>
      <c r="C35" s="85"/>
      <c r="D35" s="18">
        <v>99371</v>
      </c>
      <c r="E35" s="2" t="s">
        <v>268</v>
      </c>
      <c r="F35" s="15">
        <v>18575.7</v>
      </c>
      <c r="G35" s="41">
        <v>42769</v>
      </c>
      <c r="H35" s="15">
        <f t="shared" si="1"/>
        <v>18575.7</v>
      </c>
      <c r="I35" s="15">
        <f t="shared" si="2"/>
        <v>0</v>
      </c>
      <c r="J35" s="19"/>
    </row>
    <row r="36" spans="1:10" x14ac:dyDescent="0.25">
      <c r="A36" s="82">
        <v>42767</v>
      </c>
      <c r="B36" s="83" t="s">
        <v>4214</v>
      </c>
      <c r="C36" s="85"/>
      <c r="D36" s="18">
        <v>99372</v>
      </c>
      <c r="E36" s="2" t="s">
        <v>81</v>
      </c>
      <c r="F36" s="15">
        <v>5739.1</v>
      </c>
      <c r="G36" s="41">
        <v>42768</v>
      </c>
      <c r="H36" s="15">
        <f t="shared" si="1"/>
        <v>5739.1</v>
      </c>
      <c r="I36" s="15">
        <f t="shared" si="2"/>
        <v>0</v>
      </c>
      <c r="J36" s="19"/>
    </row>
    <row r="37" spans="1:10" x14ac:dyDescent="0.25">
      <c r="A37" s="82">
        <v>42767</v>
      </c>
      <c r="B37" s="83" t="s">
        <v>4215</v>
      </c>
      <c r="C37" s="85"/>
      <c r="D37" s="18">
        <v>99373</v>
      </c>
      <c r="E37" s="2" t="s">
        <v>101</v>
      </c>
      <c r="F37" s="15">
        <v>1000</v>
      </c>
      <c r="G37" s="41">
        <v>42768</v>
      </c>
      <c r="H37" s="15">
        <f t="shared" si="1"/>
        <v>1000</v>
      </c>
      <c r="I37" s="15">
        <f t="shared" si="2"/>
        <v>0</v>
      </c>
      <c r="J37" s="19"/>
    </row>
    <row r="38" spans="1:10" x14ac:dyDescent="0.25">
      <c r="A38" s="82">
        <v>42767</v>
      </c>
      <c r="B38" s="83" t="s">
        <v>4216</v>
      </c>
      <c r="C38" s="85"/>
      <c r="D38" s="18">
        <v>99374</v>
      </c>
      <c r="E38" s="2" t="s">
        <v>281</v>
      </c>
      <c r="F38" s="15">
        <v>1941.8</v>
      </c>
      <c r="G38" s="41">
        <v>42768</v>
      </c>
      <c r="H38" s="15">
        <f t="shared" si="1"/>
        <v>1941.8</v>
      </c>
      <c r="I38" s="15">
        <f t="shared" si="2"/>
        <v>0</v>
      </c>
      <c r="J38" s="19"/>
    </row>
    <row r="39" spans="1:10" x14ac:dyDescent="0.25">
      <c r="A39" s="82">
        <v>42767</v>
      </c>
      <c r="B39" s="83" t="s">
        <v>4217</v>
      </c>
      <c r="C39" s="85"/>
      <c r="D39" s="18">
        <v>99375</v>
      </c>
      <c r="E39" s="2" t="s">
        <v>61</v>
      </c>
      <c r="F39" s="15">
        <v>1224</v>
      </c>
      <c r="G39" s="41">
        <v>42768</v>
      </c>
      <c r="H39" s="15">
        <f t="shared" si="1"/>
        <v>1224</v>
      </c>
      <c r="I39" s="15">
        <f t="shared" si="2"/>
        <v>0</v>
      </c>
      <c r="J39" s="19"/>
    </row>
    <row r="40" spans="1:10" x14ac:dyDescent="0.25">
      <c r="A40" s="82">
        <v>42767</v>
      </c>
      <c r="B40" s="83" t="s">
        <v>4218</v>
      </c>
      <c r="C40" s="85"/>
      <c r="D40" s="18">
        <v>99376</v>
      </c>
      <c r="E40" s="2" t="s">
        <v>1081</v>
      </c>
      <c r="F40" s="15">
        <v>4106.04</v>
      </c>
      <c r="G40" s="41">
        <v>42768</v>
      </c>
      <c r="H40" s="15">
        <f t="shared" si="1"/>
        <v>4106.04</v>
      </c>
      <c r="I40" s="15">
        <f t="shared" si="2"/>
        <v>0</v>
      </c>
      <c r="J40" s="19"/>
    </row>
    <row r="41" spans="1:10" x14ac:dyDescent="0.25">
      <c r="A41" s="82">
        <v>42767</v>
      </c>
      <c r="B41" s="83" t="s">
        <v>4219</v>
      </c>
      <c r="C41" s="85"/>
      <c r="D41" s="18">
        <v>99377</v>
      </c>
      <c r="E41" s="2" t="s">
        <v>293</v>
      </c>
      <c r="F41" s="15">
        <v>1006.8</v>
      </c>
      <c r="G41" s="41">
        <v>42768</v>
      </c>
      <c r="H41" s="15">
        <f t="shared" si="1"/>
        <v>1006.8</v>
      </c>
      <c r="I41" s="15">
        <f t="shared" si="2"/>
        <v>0</v>
      </c>
      <c r="J41" s="19"/>
    </row>
    <row r="42" spans="1:10" x14ac:dyDescent="0.25">
      <c r="A42" s="82">
        <v>42767</v>
      </c>
      <c r="B42" s="83" t="s">
        <v>4220</v>
      </c>
      <c r="C42" s="85"/>
      <c r="D42" s="18">
        <v>99378</v>
      </c>
      <c r="E42" s="2" t="s">
        <v>21</v>
      </c>
      <c r="F42" s="15">
        <v>53063</v>
      </c>
      <c r="G42" s="41">
        <v>42781</v>
      </c>
      <c r="H42" s="15">
        <f t="shared" si="1"/>
        <v>53063</v>
      </c>
      <c r="I42" s="15">
        <f t="shared" si="2"/>
        <v>0</v>
      </c>
      <c r="J42" s="19"/>
    </row>
    <row r="43" spans="1:10" x14ac:dyDescent="0.25">
      <c r="A43" s="82">
        <v>42767</v>
      </c>
      <c r="B43" s="83" t="s">
        <v>4221</v>
      </c>
      <c r="C43" s="85"/>
      <c r="D43" s="18">
        <v>99379</v>
      </c>
      <c r="E43" s="2" t="s">
        <v>1116</v>
      </c>
      <c r="F43" s="15">
        <v>3940.5</v>
      </c>
      <c r="G43" s="41">
        <v>42768</v>
      </c>
      <c r="H43" s="15">
        <f t="shared" si="1"/>
        <v>3940.5</v>
      </c>
      <c r="I43" s="15">
        <f t="shared" si="2"/>
        <v>0</v>
      </c>
      <c r="J43" s="19"/>
    </row>
    <row r="44" spans="1:10" x14ac:dyDescent="0.25">
      <c r="A44" s="82">
        <v>42767</v>
      </c>
      <c r="B44" s="83" t="s">
        <v>4222</v>
      </c>
      <c r="C44" s="85"/>
      <c r="D44" s="18">
        <v>99380</v>
      </c>
      <c r="E44" s="2" t="s">
        <v>448</v>
      </c>
      <c r="F44" s="15">
        <v>938.6</v>
      </c>
      <c r="G44" s="41">
        <v>42768</v>
      </c>
      <c r="H44" s="15">
        <f t="shared" si="1"/>
        <v>938.6</v>
      </c>
      <c r="I44" s="15">
        <f t="shared" si="2"/>
        <v>0</v>
      </c>
      <c r="J44" s="19"/>
    </row>
    <row r="45" spans="1:10" x14ac:dyDescent="0.25">
      <c r="A45" s="82">
        <v>42767</v>
      </c>
      <c r="B45" s="83" t="s">
        <v>4223</v>
      </c>
      <c r="C45" s="85"/>
      <c r="D45" s="18">
        <v>99381</v>
      </c>
      <c r="E45" s="2" t="s">
        <v>442</v>
      </c>
      <c r="F45" s="15">
        <v>3767.4</v>
      </c>
      <c r="G45" s="41">
        <v>42769</v>
      </c>
      <c r="H45" s="15">
        <f t="shared" si="1"/>
        <v>3767.4</v>
      </c>
      <c r="I45" s="15">
        <f t="shared" si="2"/>
        <v>0</v>
      </c>
      <c r="J45" s="19"/>
    </row>
    <row r="46" spans="1:10" x14ac:dyDescent="0.25">
      <c r="A46" s="82">
        <v>42767</v>
      </c>
      <c r="B46" s="83" t="s">
        <v>4224</v>
      </c>
      <c r="C46" s="85"/>
      <c r="D46" s="18">
        <v>99382</v>
      </c>
      <c r="E46" s="2" t="s">
        <v>590</v>
      </c>
      <c r="F46" s="15">
        <v>3634.8</v>
      </c>
      <c r="G46" s="41">
        <v>42769</v>
      </c>
      <c r="H46" s="15">
        <f t="shared" si="1"/>
        <v>3634.8</v>
      </c>
      <c r="I46" s="15">
        <f t="shared" si="2"/>
        <v>0</v>
      </c>
      <c r="J46" s="19"/>
    </row>
    <row r="47" spans="1:10" x14ac:dyDescent="0.25">
      <c r="A47" s="82">
        <v>42767</v>
      </c>
      <c r="B47" s="83" t="s">
        <v>4225</v>
      </c>
      <c r="C47" s="85"/>
      <c r="D47" s="18">
        <v>99383</v>
      </c>
      <c r="E47" s="2" t="s">
        <v>1256</v>
      </c>
      <c r="F47" s="15">
        <v>2564.8000000000002</v>
      </c>
      <c r="G47" s="41">
        <v>42775</v>
      </c>
      <c r="H47" s="15">
        <f t="shared" si="1"/>
        <v>2564.8000000000002</v>
      </c>
      <c r="I47" s="15">
        <f t="shared" si="2"/>
        <v>0</v>
      </c>
      <c r="J47" s="19"/>
    </row>
    <row r="48" spans="1:10" x14ac:dyDescent="0.25">
      <c r="A48" s="82">
        <v>42767</v>
      </c>
      <c r="B48" s="83" t="s">
        <v>4226</v>
      </c>
      <c r="C48" s="85"/>
      <c r="D48" s="18">
        <v>99384</v>
      </c>
      <c r="E48" s="2" t="s">
        <v>105</v>
      </c>
      <c r="F48" s="15">
        <v>3121.2</v>
      </c>
      <c r="G48" s="41">
        <v>42773</v>
      </c>
      <c r="H48" s="15">
        <f t="shared" si="1"/>
        <v>3121.2</v>
      </c>
      <c r="I48" s="15">
        <f t="shared" si="2"/>
        <v>0</v>
      </c>
      <c r="J48" s="19"/>
    </row>
    <row r="49" spans="1:10" x14ac:dyDescent="0.25">
      <c r="A49" s="82">
        <v>42767</v>
      </c>
      <c r="B49" s="83" t="s">
        <v>4227</v>
      </c>
      <c r="C49" s="85"/>
      <c r="D49" s="18">
        <v>99385</v>
      </c>
      <c r="E49" s="2" t="s">
        <v>103</v>
      </c>
      <c r="F49" s="15">
        <v>3544.5</v>
      </c>
      <c r="G49" s="41">
        <v>42773</v>
      </c>
      <c r="H49" s="15">
        <f t="shared" si="1"/>
        <v>3544.5</v>
      </c>
      <c r="I49" s="15">
        <f t="shared" si="2"/>
        <v>0</v>
      </c>
      <c r="J49" s="19"/>
    </row>
    <row r="50" spans="1:10" x14ac:dyDescent="0.25">
      <c r="A50" s="82">
        <v>42767</v>
      </c>
      <c r="B50" s="83" t="s">
        <v>4228</v>
      </c>
      <c r="C50" s="85"/>
      <c r="D50" s="18">
        <v>99386</v>
      </c>
      <c r="E50" s="2" t="s">
        <v>450</v>
      </c>
      <c r="F50" s="15">
        <v>4090.9</v>
      </c>
      <c r="G50" s="41">
        <v>42768</v>
      </c>
      <c r="H50" s="15">
        <f t="shared" si="1"/>
        <v>4090.9</v>
      </c>
      <c r="I50" s="15">
        <f t="shared" si="2"/>
        <v>0</v>
      </c>
      <c r="J50" s="19"/>
    </row>
    <row r="51" spans="1:10" x14ac:dyDescent="0.25">
      <c r="A51" s="82">
        <v>42767</v>
      </c>
      <c r="B51" s="83" t="s">
        <v>4229</v>
      </c>
      <c r="C51" s="85"/>
      <c r="D51" s="18">
        <v>99387</v>
      </c>
      <c r="E51" s="2" t="s">
        <v>1380</v>
      </c>
      <c r="F51" s="15">
        <v>6755.3</v>
      </c>
      <c r="G51" s="41">
        <v>42768</v>
      </c>
      <c r="H51" s="15">
        <f t="shared" si="1"/>
        <v>6755.3</v>
      </c>
      <c r="I51" s="15">
        <f t="shared" si="2"/>
        <v>0</v>
      </c>
      <c r="J51" s="19"/>
    </row>
    <row r="52" spans="1:10" x14ac:dyDescent="0.25">
      <c r="A52" s="82">
        <v>42767</v>
      </c>
      <c r="B52" s="83" t="s">
        <v>4230</v>
      </c>
      <c r="C52" s="85"/>
      <c r="D52" s="18">
        <v>99388</v>
      </c>
      <c r="E52" s="2" t="s">
        <v>272</v>
      </c>
      <c r="F52" s="15">
        <v>3421.2</v>
      </c>
      <c r="G52" s="41">
        <v>42769</v>
      </c>
      <c r="H52" s="15">
        <f t="shared" si="1"/>
        <v>3421.2</v>
      </c>
      <c r="I52" s="15">
        <f t="shared" si="2"/>
        <v>0</v>
      </c>
      <c r="J52" s="19"/>
    </row>
    <row r="53" spans="1:10" x14ac:dyDescent="0.25">
      <c r="A53" s="82">
        <v>42767</v>
      </c>
      <c r="B53" s="83" t="s">
        <v>4231</v>
      </c>
      <c r="C53" s="85"/>
      <c r="D53" s="18">
        <v>99389</v>
      </c>
      <c r="E53" s="2" t="s">
        <v>274</v>
      </c>
      <c r="F53" s="15">
        <v>5737.7</v>
      </c>
      <c r="G53" s="41">
        <v>42769</v>
      </c>
      <c r="H53" s="15">
        <f t="shared" si="1"/>
        <v>5737.7</v>
      </c>
      <c r="I53" s="15">
        <f t="shared" si="2"/>
        <v>0</v>
      </c>
      <c r="J53" s="19"/>
    </row>
    <row r="54" spans="1:10" x14ac:dyDescent="0.25">
      <c r="A54" s="82">
        <v>42767</v>
      </c>
      <c r="B54" s="83" t="s">
        <v>4232</v>
      </c>
      <c r="C54" s="85"/>
      <c r="D54" s="18">
        <v>99390</v>
      </c>
      <c r="E54" s="2" t="s">
        <v>613</v>
      </c>
      <c r="F54" s="15">
        <v>3811.3</v>
      </c>
      <c r="G54" s="41">
        <v>42768</v>
      </c>
      <c r="H54" s="15">
        <f t="shared" si="1"/>
        <v>3811.3</v>
      </c>
      <c r="I54" s="15">
        <f t="shared" si="2"/>
        <v>0</v>
      </c>
      <c r="J54" s="19"/>
    </row>
    <row r="55" spans="1:10" x14ac:dyDescent="0.25">
      <c r="A55" s="82">
        <v>42767</v>
      </c>
      <c r="B55" s="83" t="s">
        <v>4233</v>
      </c>
      <c r="C55" s="85"/>
      <c r="D55" s="18">
        <v>99391</v>
      </c>
      <c r="E55" s="2" t="s">
        <v>83</v>
      </c>
      <c r="F55" s="15">
        <v>4589.8</v>
      </c>
      <c r="G55" s="41">
        <v>42768</v>
      </c>
      <c r="H55" s="15">
        <f t="shared" si="1"/>
        <v>4589.8</v>
      </c>
      <c r="I55" s="15">
        <f t="shared" si="2"/>
        <v>0</v>
      </c>
      <c r="J55" s="19"/>
    </row>
    <row r="56" spans="1:10" x14ac:dyDescent="0.25">
      <c r="A56" s="82">
        <v>42767</v>
      </c>
      <c r="B56" s="83" t="s">
        <v>4234</v>
      </c>
      <c r="C56" s="85"/>
      <c r="D56" s="18">
        <v>99392</v>
      </c>
      <c r="E56" s="2" t="s">
        <v>109</v>
      </c>
      <c r="F56" s="15">
        <v>5664.6</v>
      </c>
      <c r="G56" s="41">
        <v>42768</v>
      </c>
      <c r="H56" s="15">
        <f t="shared" si="1"/>
        <v>5664.6</v>
      </c>
      <c r="I56" s="15">
        <f t="shared" si="2"/>
        <v>0</v>
      </c>
      <c r="J56" s="19"/>
    </row>
    <row r="57" spans="1:10" x14ac:dyDescent="0.25">
      <c r="A57" s="82">
        <v>42767</v>
      </c>
      <c r="B57" s="83" t="s">
        <v>4235</v>
      </c>
      <c r="C57" s="85"/>
      <c r="D57" s="18">
        <v>99393</v>
      </c>
      <c r="E57" s="2" t="s">
        <v>157</v>
      </c>
      <c r="F57" s="15">
        <v>21334.1</v>
      </c>
      <c r="G57" s="41">
        <v>42767</v>
      </c>
      <c r="H57" s="15">
        <f t="shared" si="1"/>
        <v>21334.1</v>
      </c>
      <c r="I57" s="15">
        <f t="shared" si="2"/>
        <v>0</v>
      </c>
      <c r="J57" s="19"/>
    </row>
    <row r="58" spans="1:10" x14ac:dyDescent="0.25">
      <c r="A58" s="82">
        <v>42767</v>
      </c>
      <c r="B58" s="83" t="s">
        <v>4236</v>
      </c>
      <c r="C58" s="85"/>
      <c r="D58" s="18">
        <v>99394</v>
      </c>
      <c r="E58" s="2" t="s">
        <v>157</v>
      </c>
      <c r="F58" s="15">
        <v>1280.28</v>
      </c>
      <c r="G58" s="41">
        <v>42767</v>
      </c>
      <c r="H58" s="15">
        <f t="shared" si="1"/>
        <v>1280.28</v>
      </c>
      <c r="I58" s="15">
        <f t="shared" si="2"/>
        <v>0</v>
      </c>
      <c r="J58" s="19"/>
    </row>
    <row r="59" spans="1:10" x14ac:dyDescent="0.25">
      <c r="A59" s="82">
        <v>42767</v>
      </c>
      <c r="B59" s="83" t="s">
        <v>4237</v>
      </c>
      <c r="C59" s="85"/>
      <c r="D59" s="18">
        <v>99395</v>
      </c>
      <c r="E59" s="2" t="s">
        <v>1380</v>
      </c>
      <c r="F59" s="15">
        <v>35609.800000000003</v>
      </c>
      <c r="G59" s="41">
        <v>42768</v>
      </c>
      <c r="H59" s="15">
        <f t="shared" si="1"/>
        <v>35609.800000000003</v>
      </c>
      <c r="I59" s="15">
        <f t="shared" si="2"/>
        <v>0</v>
      </c>
      <c r="J59" s="19"/>
    </row>
    <row r="60" spans="1:10" x14ac:dyDescent="0.25">
      <c r="A60" s="82">
        <v>42767</v>
      </c>
      <c r="B60" s="83" t="s">
        <v>4238</v>
      </c>
      <c r="C60" s="85"/>
      <c r="D60" s="18">
        <v>99396</v>
      </c>
      <c r="E60" s="2" t="s">
        <v>2986</v>
      </c>
      <c r="F60" s="15">
        <v>3876.6</v>
      </c>
      <c r="G60" s="41">
        <v>42767</v>
      </c>
      <c r="H60" s="15">
        <f t="shared" si="1"/>
        <v>3876.6</v>
      </c>
      <c r="I60" s="15">
        <f t="shared" si="2"/>
        <v>0</v>
      </c>
      <c r="J60" s="19"/>
    </row>
    <row r="61" spans="1:10" x14ac:dyDescent="0.25">
      <c r="A61" s="82">
        <v>42767</v>
      </c>
      <c r="B61" s="83" t="s">
        <v>4239</v>
      </c>
      <c r="C61" s="85"/>
      <c r="D61" s="18">
        <v>99397</v>
      </c>
      <c r="E61" s="2" t="s">
        <v>302</v>
      </c>
      <c r="F61" s="15">
        <v>10267.6</v>
      </c>
      <c r="G61" s="41">
        <v>42767</v>
      </c>
      <c r="H61" s="15">
        <f t="shared" si="1"/>
        <v>10267.6</v>
      </c>
      <c r="I61" s="15">
        <f t="shared" si="2"/>
        <v>0</v>
      </c>
      <c r="J61" s="19"/>
    </row>
    <row r="62" spans="1:10" x14ac:dyDescent="0.25">
      <c r="A62" s="82">
        <v>42767</v>
      </c>
      <c r="B62" s="83" t="s">
        <v>4240</v>
      </c>
      <c r="C62" s="85"/>
      <c r="D62" s="18">
        <v>99398</v>
      </c>
      <c r="E62" s="2" t="s">
        <v>422</v>
      </c>
      <c r="F62" s="15">
        <v>1599.5</v>
      </c>
      <c r="G62" s="41">
        <v>42767</v>
      </c>
      <c r="H62" s="15">
        <f t="shared" si="1"/>
        <v>1599.5</v>
      </c>
      <c r="I62" s="15">
        <f t="shared" si="2"/>
        <v>0</v>
      </c>
      <c r="J62" s="19"/>
    </row>
    <row r="63" spans="1:10" x14ac:dyDescent="0.25">
      <c r="A63" s="82">
        <v>42767</v>
      </c>
      <c r="B63" s="83" t="s">
        <v>4241</v>
      </c>
      <c r="C63" s="85"/>
      <c r="D63" s="18">
        <v>99399</v>
      </c>
      <c r="E63" s="2" t="s">
        <v>309</v>
      </c>
      <c r="F63" s="15">
        <v>4233</v>
      </c>
      <c r="G63" s="41">
        <v>42767</v>
      </c>
      <c r="H63" s="15">
        <f t="shared" si="1"/>
        <v>4233</v>
      </c>
      <c r="I63" s="15">
        <f t="shared" si="2"/>
        <v>0</v>
      </c>
      <c r="J63" s="19"/>
    </row>
    <row r="64" spans="1:10" x14ac:dyDescent="0.25">
      <c r="A64" s="82">
        <v>42767</v>
      </c>
      <c r="B64" s="83" t="s">
        <v>4242</v>
      </c>
      <c r="C64" s="85"/>
      <c r="D64" s="18">
        <v>99400</v>
      </c>
      <c r="E64" s="2" t="s">
        <v>168</v>
      </c>
      <c r="F64" s="15">
        <v>4996</v>
      </c>
      <c r="G64" s="41">
        <v>42772</v>
      </c>
      <c r="H64" s="15">
        <f t="shared" si="1"/>
        <v>4996</v>
      </c>
      <c r="I64" s="15">
        <f t="shared" si="2"/>
        <v>0</v>
      </c>
      <c r="J64" s="19"/>
    </row>
    <row r="65" spans="1:10" x14ac:dyDescent="0.25">
      <c r="A65" s="82">
        <v>42767</v>
      </c>
      <c r="B65" s="83" t="s">
        <v>4243</v>
      </c>
      <c r="C65" s="85"/>
      <c r="D65" s="18">
        <v>99401</v>
      </c>
      <c r="E65" s="2" t="s">
        <v>10</v>
      </c>
      <c r="F65" s="15">
        <v>118512.15</v>
      </c>
      <c r="G65" s="41">
        <v>42769</v>
      </c>
      <c r="H65" s="15">
        <f t="shared" si="1"/>
        <v>118512.15</v>
      </c>
      <c r="I65" s="15">
        <f t="shared" si="2"/>
        <v>0</v>
      </c>
      <c r="J65" s="19"/>
    </row>
    <row r="66" spans="1:10" x14ac:dyDescent="0.25">
      <c r="A66" s="82">
        <v>42767</v>
      </c>
      <c r="B66" s="83" t="s">
        <v>4244</v>
      </c>
      <c r="C66" s="85"/>
      <c r="D66" s="18">
        <v>99402</v>
      </c>
      <c r="E66" s="2" t="s">
        <v>285</v>
      </c>
      <c r="F66" s="15">
        <v>1326.3</v>
      </c>
      <c r="G66" s="41">
        <v>42768</v>
      </c>
      <c r="H66" s="15">
        <f t="shared" si="1"/>
        <v>1326.3</v>
      </c>
      <c r="I66" s="15">
        <f t="shared" si="2"/>
        <v>0</v>
      </c>
      <c r="J66" s="19"/>
    </row>
    <row r="67" spans="1:10" x14ac:dyDescent="0.25">
      <c r="A67" s="82">
        <v>42767</v>
      </c>
      <c r="B67" s="83" t="s">
        <v>4245</v>
      </c>
      <c r="C67" s="85"/>
      <c r="D67" s="18">
        <v>99403</v>
      </c>
      <c r="E67" s="2" t="s">
        <v>289</v>
      </c>
      <c r="F67" s="15">
        <v>4549.8999999999996</v>
      </c>
      <c r="G67" s="41">
        <v>42780</v>
      </c>
      <c r="H67" s="15">
        <f t="shared" si="1"/>
        <v>4549.8999999999996</v>
      </c>
      <c r="I67" s="15">
        <f t="shared" si="2"/>
        <v>0</v>
      </c>
      <c r="J67" s="19"/>
    </row>
    <row r="68" spans="1:10" x14ac:dyDescent="0.25">
      <c r="A68" s="82">
        <v>42767</v>
      </c>
      <c r="B68" s="83" t="s">
        <v>4246</v>
      </c>
      <c r="C68" s="85"/>
      <c r="D68" s="18">
        <v>99404</v>
      </c>
      <c r="E68" s="2" t="s">
        <v>289</v>
      </c>
      <c r="F68" s="15">
        <v>1064</v>
      </c>
      <c r="G68" s="41">
        <v>42780</v>
      </c>
      <c r="H68" s="15">
        <f t="shared" ref="H68:H131" si="3">F68</f>
        <v>1064</v>
      </c>
      <c r="I68" s="15">
        <f t="shared" si="2"/>
        <v>0</v>
      </c>
      <c r="J68" s="19"/>
    </row>
    <row r="69" spans="1:10" x14ac:dyDescent="0.25">
      <c r="A69" s="82">
        <v>42767</v>
      </c>
      <c r="B69" s="83" t="s">
        <v>4247</v>
      </c>
      <c r="C69" s="85"/>
      <c r="D69" s="18">
        <v>99405</v>
      </c>
      <c r="E69" s="2" t="s">
        <v>71</v>
      </c>
      <c r="F69" s="15">
        <v>1890</v>
      </c>
      <c r="G69" s="41">
        <v>42767</v>
      </c>
      <c r="H69" s="15">
        <f t="shared" si="3"/>
        <v>1890</v>
      </c>
      <c r="I69" s="15">
        <f t="shared" si="2"/>
        <v>0</v>
      </c>
      <c r="J69" s="19"/>
    </row>
    <row r="70" spans="1:10" x14ac:dyDescent="0.25">
      <c r="A70" s="82">
        <v>42767</v>
      </c>
      <c r="B70" s="83" t="s">
        <v>4248</v>
      </c>
      <c r="C70" s="85"/>
      <c r="D70" s="18">
        <v>99406</v>
      </c>
      <c r="E70" s="2" t="s">
        <v>10</v>
      </c>
      <c r="F70" s="15">
        <v>46853.2</v>
      </c>
      <c r="G70" s="41">
        <v>42769</v>
      </c>
      <c r="H70" s="15">
        <f t="shared" si="3"/>
        <v>46853.2</v>
      </c>
      <c r="I70" s="15">
        <f t="shared" ref="I70:I133" si="4">F70-H70</f>
        <v>0</v>
      </c>
      <c r="J70" s="19"/>
    </row>
    <row r="71" spans="1:10" x14ac:dyDescent="0.25">
      <c r="A71" s="82">
        <v>42767</v>
      </c>
      <c r="B71" s="83" t="s">
        <v>4249</v>
      </c>
      <c r="C71" s="85"/>
      <c r="D71" s="18">
        <v>99407</v>
      </c>
      <c r="E71" s="2" t="s">
        <v>4250</v>
      </c>
      <c r="F71" s="15">
        <v>31613.4</v>
      </c>
      <c r="H71" s="15">
        <f t="shared" si="3"/>
        <v>31613.4</v>
      </c>
      <c r="I71" s="15">
        <f t="shared" si="4"/>
        <v>0</v>
      </c>
      <c r="J71" s="19"/>
    </row>
    <row r="72" spans="1:10" x14ac:dyDescent="0.25">
      <c r="A72" s="82">
        <v>42767</v>
      </c>
      <c r="B72" s="83" t="s">
        <v>4251</v>
      </c>
      <c r="C72" s="85"/>
      <c r="D72" s="18">
        <v>99408</v>
      </c>
      <c r="E72" s="2" t="s">
        <v>4250</v>
      </c>
      <c r="F72" s="15">
        <v>28602.6</v>
      </c>
      <c r="G72" s="41">
        <v>42768</v>
      </c>
      <c r="H72" s="15">
        <f t="shared" si="3"/>
        <v>28602.6</v>
      </c>
      <c r="I72" s="15">
        <f t="shared" si="4"/>
        <v>0</v>
      </c>
      <c r="J72" s="19"/>
    </row>
    <row r="73" spans="1:10" x14ac:dyDescent="0.25">
      <c r="A73" s="82">
        <v>42767</v>
      </c>
      <c r="B73" s="83" t="s">
        <v>4252</v>
      </c>
      <c r="C73" s="85"/>
      <c r="D73" s="18">
        <v>99409</v>
      </c>
      <c r="E73" s="2" t="s">
        <v>2704</v>
      </c>
      <c r="F73" s="15">
        <v>10536.6</v>
      </c>
      <c r="G73" s="41">
        <v>42768</v>
      </c>
      <c r="H73" s="15">
        <f t="shared" si="3"/>
        <v>10536.6</v>
      </c>
      <c r="I73" s="15">
        <f t="shared" si="4"/>
        <v>0</v>
      </c>
      <c r="J73" s="19"/>
    </row>
    <row r="74" spans="1:10" x14ac:dyDescent="0.25">
      <c r="A74" s="82">
        <v>42767</v>
      </c>
      <c r="B74" s="83" t="s">
        <v>4253</v>
      </c>
      <c r="C74" s="85"/>
      <c r="D74" s="18">
        <v>99410</v>
      </c>
      <c r="E74" s="2" t="s">
        <v>428</v>
      </c>
      <c r="F74" s="15">
        <v>1215.2</v>
      </c>
      <c r="G74" s="41">
        <v>42770</v>
      </c>
      <c r="H74" s="15">
        <f t="shared" si="3"/>
        <v>1215.2</v>
      </c>
      <c r="I74" s="15">
        <f t="shared" si="4"/>
        <v>0</v>
      </c>
      <c r="J74" s="19"/>
    </row>
    <row r="75" spans="1:10" x14ac:dyDescent="0.25">
      <c r="A75" s="82">
        <v>42767</v>
      </c>
      <c r="B75" s="83" t="s">
        <v>4254</v>
      </c>
      <c r="C75" s="85"/>
      <c r="D75" s="18">
        <v>99411</v>
      </c>
      <c r="E75" s="2" t="s">
        <v>3219</v>
      </c>
      <c r="F75" s="15">
        <v>60084</v>
      </c>
      <c r="G75" s="41">
        <v>42768</v>
      </c>
      <c r="H75" s="15">
        <f t="shared" si="3"/>
        <v>60084</v>
      </c>
      <c r="I75" s="15">
        <f t="shared" si="4"/>
        <v>0</v>
      </c>
      <c r="J75" s="19"/>
    </row>
    <row r="76" spans="1:10" x14ac:dyDescent="0.25">
      <c r="A76" s="82">
        <v>42767</v>
      </c>
      <c r="B76" s="83" t="s">
        <v>4255</v>
      </c>
      <c r="C76" s="85"/>
      <c r="D76" s="18">
        <v>99412</v>
      </c>
      <c r="E76" s="2" t="s">
        <v>459</v>
      </c>
      <c r="F76" s="15">
        <v>2160.4</v>
      </c>
      <c r="G76" s="41">
        <v>42767</v>
      </c>
      <c r="H76" s="15">
        <f t="shared" si="3"/>
        <v>2160.4</v>
      </c>
      <c r="I76" s="15">
        <f t="shared" si="4"/>
        <v>0</v>
      </c>
      <c r="J76" s="19"/>
    </row>
    <row r="77" spans="1:10" x14ac:dyDescent="0.25">
      <c r="A77" s="82">
        <v>42767</v>
      </c>
      <c r="B77" s="83" t="s">
        <v>4256</v>
      </c>
      <c r="C77" s="85"/>
      <c r="D77" s="18">
        <v>99413</v>
      </c>
      <c r="E77" s="2" t="s">
        <v>492</v>
      </c>
      <c r="F77" s="15">
        <v>25509.599999999999</v>
      </c>
      <c r="G77" s="41">
        <v>42770</v>
      </c>
      <c r="H77" s="15">
        <f t="shared" si="3"/>
        <v>25509.599999999999</v>
      </c>
      <c r="I77" s="15">
        <f t="shared" si="4"/>
        <v>0</v>
      </c>
      <c r="J77" s="19"/>
    </row>
    <row r="78" spans="1:10" x14ac:dyDescent="0.25">
      <c r="A78" s="82">
        <v>42767</v>
      </c>
      <c r="B78" s="83" t="s">
        <v>4257</v>
      </c>
      <c r="C78" s="85"/>
      <c r="D78" s="18">
        <v>99414</v>
      </c>
      <c r="E78" s="2" t="s">
        <v>30</v>
      </c>
      <c r="F78" s="15">
        <v>1530</v>
      </c>
      <c r="G78" s="41">
        <v>42767</v>
      </c>
      <c r="H78" s="15">
        <f t="shared" si="3"/>
        <v>1530</v>
      </c>
      <c r="I78" s="15">
        <f t="shared" si="4"/>
        <v>0</v>
      </c>
      <c r="J78" s="19"/>
    </row>
    <row r="79" spans="1:10" x14ac:dyDescent="0.25">
      <c r="A79" s="82">
        <v>42767</v>
      </c>
      <c r="B79" s="83" t="s">
        <v>4258</v>
      </c>
      <c r="C79" s="85"/>
      <c r="D79" s="18">
        <v>99415</v>
      </c>
      <c r="E79" s="2" t="s">
        <v>184</v>
      </c>
      <c r="F79" s="15">
        <v>3350.7</v>
      </c>
      <c r="G79" s="41" t="s">
        <v>4259</v>
      </c>
      <c r="H79" s="15">
        <f t="shared" si="3"/>
        <v>3350.7</v>
      </c>
      <c r="I79" s="15">
        <f t="shared" si="4"/>
        <v>0</v>
      </c>
      <c r="J79" s="19"/>
    </row>
    <row r="80" spans="1:10" x14ac:dyDescent="0.25">
      <c r="A80" s="82">
        <v>42767</v>
      </c>
      <c r="B80" s="83" t="s">
        <v>4260</v>
      </c>
      <c r="C80" s="85"/>
      <c r="D80" s="18">
        <v>99416</v>
      </c>
      <c r="E80" s="2" t="s">
        <v>630</v>
      </c>
      <c r="F80" s="15">
        <v>1769.82</v>
      </c>
      <c r="G80" s="41">
        <v>42768</v>
      </c>
      <c r="H80" s="15">
        <f t="shared" si="3"/>
        <v>1769.82</v>
      </c>
      <c r="I80" s="15">
        <f t="shared" si="4"/>
        <v>0</v>
      </c>
      <c r="J80" s="19"/>
    </row>
    <row r="81" spans="1:10" x14ac:dyDescent="0.25">
      <c r="A81" s="82">
        <v>42767</v>
      </c>
      <c r="B81" s="83" t="s">
        <v>4261</v>
      </c>
      <c r="C81" s="85"/>
      <c r="D81" s="18">
        <v>99417</v>
      </c>
      <c r="E81" s="2" t="s">
        <v>480</v>
      </c>
      <c r="F81" s="15">
        <v>1553.22</v>
      </c>
      <c r="G81" s="41">
        <v>42768</v>
      </c>
      <c r="H81" s="15">
        <f t="shared" si="3"/>
        <v>1553.22</v>
      </c>
      <c r="I81" s="15">
        <f t="shared" si="4"/>
        <v>0</v>
      </c>
      <c r="J81" s="19"/>
    </row>
    <row r="82" spans="1:10" x14ac:dyDescent="0.25">
      <c r="A82" s="82">
        <v>42767</v>
      </c>
      <c r="B82" s="83" t="s">
        <v>4262</v>
      </c>
      <c r="C82" s="85"/>
      <c r="D82" s="18">
        <v>99418</v>
      </c>
      <c r="E82" s="2" t="s">
        <v>61</v>
      </c>
      <c r="F82" s="15">
        <v>11546.6</v>
      </c>
      <c r="G82" s="41">
        <v>42768</v>
      </c>
      <c r="H82" s="15">
        <f t="shared" si="3"/>
        <v>11546.6</v>
      </c>
      <c r="I82" s="15">
        <f t="shared" si="4"/>
        <v>0</v>
      </c>
      <c r="J82" s="19"/>
    </row>
    <row r="83" spans="1:10" x14ac:dyDescent="0.25">
      <c r="A83" s="82">
        <v>42767</v>
      </c>
      <c r="B83" s="83" t="s">
        <v>4263</v>
      </c>
      <c r="C83" s="85"/>
      <c r="D83" s="18">
        <v>99419</v>
      </c>
      <c r="E83" s="2" t="s">
        <v>184</v>
      </c>
      <c r="F83" s="15">
        <v>288</v>
      </c>
      <c r="G83" s="41">
        <v>42768</v>
      </c>
      <c r="H83" s="15">
        <f t="shared" si="3"/>
        <v>288</v>
      </c>
      <c r="I83" s="15">
        <f t="shared" si="4"/>
        <v>0</v>
      </c>
      <c r="J83" s="19"/>
    </row>
    <row r="84" spans="1:10" x14ac:dyDescent="0.25">
      <c r="A84" s="82">
        <v>42767</v>
      </c>
      <c r="B84" s="83" t="s">
        <v>4264</v>
      </c>
      <c r="C84" s="85"/>
      <c r="D84" s="18">
        <v>99420</v>
      </c>
      <c r="E84" s="2" t="s">
        <v>30</v>
      </c>
      <c r="F84" s="15">
        <v>1961.1</v>
      </c>
      <c r="G84" s="41">
        <v>42768</v>
      </c>
      <c r="H84" s="15">
        <f t="shared" si="3"/>
        <v>1961.1</v>
      </c>
      <c r="I84" s="15">
        <f t="shared" si="4"/>
        <v>0</v>
      </c>
      <c r="J84" s="19"/>
    </row>
    <row r="85" spans="1:10" x14ac:dyDescent="0.25">
      <c r="A85" s="82">
        <v>42767</v>
      </c>
      <c r="B85" s="83" t="s">
        <v>4265</v>
      </c>
      <c r="C85" s="85"/>
      <c r="D85" s="18">
        <v>99421</v>
      </c>
      <c r="E85" s="2" t="s">
        <v>45</v>
      </c>
      <c r="F85" s="15">
        <v>2278.4</v>
      </c>
      <c r="G85" s="41">
        <v>42768</v>
      </c>
      <c r="H85" s="15">
        <f t="shared" si="3"/>
        <v>2278.4</v>
      </c>
      <c r="I85" s="15">
        <f t="shared" si="4"/>
        <v>0</v>
      </c>
      <c r="J85" s="19"/>
    </row>
    <row r="86" spans="1:10" x14ac:dyDescent="0.25">
      <c r="A86" s="82">
        <v>42767</v>
      </c>
      <c r="B86" s="83" t="s">
        <v>4266</v>
      </c>
      <c r="C86" s="85"/>
      <c r="D86" s="18">
        <v>99422</v>
      </c>
      <c r="E86" s="2" t="s">
        <v>53</v>
      </c>
      <c r="F86" s="15">
        <v>2836.8</v>
      </c>
      <c r="G86" s="41">
        <v>42768</v>
      </c>
      <c r="H86" s="15">
        <f t="shared" si="3"/>
        <v>2836.8</v>
      </c>
      <c r="I86" s="15">
        <f t="shared" si="4"/>
        <v>0</v>
      </c>
      <c r="J86" s="19"/>
    </row>
    <row r="87" spans="1:10" x14ac:dyDescent="0.25">
      <c r="A87" s="82">
        <v>42767</v>
      </c>
      <c r="B87" s="83" t="s">
        <v>4267</v>
      </c>
      <c r="C87" s="85"/>
      <c r="D87" s="18">
        <v>99423</v>
      </c>
      <c r="E87" s="2" t="s">
        <v>30</v>
      </c>
      <c r="F87" s="15">
        <v>906.3</v>
      </c>
      <c r="G87" s="41">
        <v>42768</v>
      </c>
      <c r="H87" s="15">
        <f t="shared" si="3"/>
        <v>906.3</v>
      </c>
      <c r="I87" s="15">
        <f t="shared" si="4"/>
        <v>0</v>
      </c>
      <c r="J87" s="19"/>
    </row>
    <row r="88" spans="1:10" x14ac:dyDescent="0.25">
      <c r="A88" s="82">
        <v>42767</v>
      </c>
      <c r="B88" s="83" t="s">
        <v>4268</v>
      </c>
      <c r="C88" s="85"/>
      <c r="D88" s="18">
        <v>99424</v>
      </c>
      <c r="E88" s="2" t="s">
        <v>115</v>
      </c>
      <c r="F88" s="15">
        <v>7203.2</v>
      </c>
      <c r="G88" s="41">
        <v>42774</v>
      </c>
      <c r="H88" s="15">
        <f t="shared" si="3"/>
        <v>7203.2</v>
      </c>
      <c r="I88" s="15">
        <f t="shared" si="4"/>
        <v>0</v>
      </c>
      <c r="J88" s="19"/>
    </row>
    <row r="89" spans="1:10" x14ac:dyDescent="0.25">
      <c r="A89" s="82">
        <v>42767</v>
      </c>
      <c r="B89" s="83" t="s">
        <v>4269</v>
      </c>
      <c r="C89" s="85"/>
      <c r="D89" s="18">
        <v>99425</v>
      </c>
      <c r="E89" s="2" t="s">
        <v>1299</v>
      </c>
      <c r="F89" s="15">
        <v>3451.2</v>
      </c>
      <c r="G89" s="41">
        <v>42767</v>
      </c>
      <c r="H89" s="15">
        <f t="shared" si="3"/>
        <v>3451.2</v>
      </c>
      <c r="I89" s="15">
        <f t="shared" si="4"/>
        <v>0</v>
      </c>
      <c r="J89" s="19"/>
    </row>
    <row r="90" spans="1:10" x14ac:dyDescent="0.25">
      <c r="A90" s="82">
        <v>42767</v>
      </c>
      <c r="B90" s="83" t="s">
        <v>4270</v>
      </c>
      <c r="C90" s="85"/>
      <c r="D90" s="18">
        <v>99426</v>
      </c>
      <c r="E90" s="2" t="s">
        <v>470</v>
      </c>
      <c r="F90" s="15">
        <v>8344.6</v>
      </c>
      <c r="G90" s="41">
        <v>42767</v>
      </c>
      <c r="H90" s="15">
        <f t="shared" si="3"/>
        <v>8344.6</v>
      </c>
      <c r="I90" s="15">
        <f t="shared" si="4"/>
        <v>0</v>
      </c>
      <c r="J90" s="19"/>
    </row>
    <row r="91" spans="1:10" x14ac:dyDescent="0.25">
      <c r="A91" s="82">
        <v>42767</v>
      </c>
      <c r="B91" s="83" t="s">
        <v>4271</v>
      </c>
      <c r="C91" s="85"/>
      <c r="D91" s="18">
        <v>99427</v>
      </c>
      <c r="E91" s="2" t="s">
        <v>1299</v>
      </c>
      <c r="F91" s="15">
        <v>1555.2</v>
      </c>
      <c r="G91" s="41">
        <v>42767</v>
      </c>
      <c r="H91" s="15">
        <f t="shared" si="3"/>
        <v>1555.2</v>
      </c>
      <c r="I91" s="15">
        <f t="shared" si="4"/>
        <v>0</v>
      </c>
      <c r="J91" s="19"/>
    </row>
    <row r="92" spans="1:10" x14ac:dyDescent="0.25">
      <c r="A92" s="82">
        <v>42767</v>
      </c>
      <c r="B92" s="83" t="s">
        <v>4272</v>
      </c>
      <c r="C92" s="85"/>
      <c r="D92" s="18">
        <v>99428</v>
      </c>
      <c r="E92" s="2" t="s">
        <v>131</v>
      </c>
      <c r="F92" s="15">
        <v>5624</v>
      </c>
      <c r="G92" s="41">
        <v>42767</v>
      </c>
      <c r="H92" s="15">
        <f t="shared" si="3"/>
        <v>5624</v>
      </c>
      <c r="I92" s="15">
        <f t="shared" si="4"/>
        <v>0</v>
      </c>
      <c r="J92" s="19"/>
    </row>
    <row r="93" spans="1:10" x14ac:dyDescent="0.25">
      <c r="A93" s="82">
        <v>42767</v>
      </c>
      <c r="B93" s="83" t="s">
        <v>4273</v>
      </c>
      <c r="C93" s="85"/>
      <c r="D93" s="18">
        <v>99429</v>
      </c>
      <c r="E93" s="2" t="s">
        <v>693</v>
      </c>
      <c r="F93" s="15">
        <v>51820.800000000003</v>
      </c>
      <c r="G93" s="41">
        <v>42773</v>
      </c>
      <c r="H93" s="15">
        <f t="shared" si="3"/>
        <v>51820.800000000003</v>
      </c>
      <c r="I93" s="15">
        <f t="shared" si="4"/>
        <v>0</v>
      </c>
      <c r="J93" s="19"/>
    </row>
    <row r="94" spans="1:10" x14ac:dyDescent="0.25">
      <c r="A94" s="82">
        <v>42767</v>
      </c>
      <c r="B94" s="83" t="s">
        <v>4274</v>
      </c>
      <c r="C94" s="85"/>
      <c r="D94" s="18">
        <v>99430</v>
      </c>
      <c r="E94" s="2" t="s">
        <v>128</v>
      </c>
      <c r="F94" s="15">
        <v>2066</v>
      </c>
      <c r="G94" s="41">
        <v>42767</v>
      </c>
      <c r="H94" s="15">
        <f t="shared" si="3"/>
        <v>2066</v>
      </c>
      <c r="I94" s="15">
        <f t="shared" si="4"/>
        <v>0</v>
      </c>
      <c r="J94" s="19"/>
    </row>
    <row r="95" spans="1:10" x14ac:dyDescent="0.25">
      <c r="A95" s="82">
        <v>42767</v>
      </c>
      <c r="B95" s="83" t="s">
        <v>4275</v>
      </c>
      <c r="C95" s="85"/>
      <c r="D95" s="18">
        <v>99431</v>
      </c>
      <c r="E95" s="2" t="s">
        <v>785</v>
      </c>
      <c r="F95" s="15">
        <v>16489.2</v>
      </c>
      <c r="G95" s="41">
        <v>42767</v>
      </c>
      <c r="H95" s="15">
        <f t="shared" si="3"/>
        <v>16489.2</v>
      </c>
      <c r="I95" s="15">
        <f t="shared" si="4"/>
        <v>0</v>
      </c>
      <c r="J95" s="19"/>
    </row>
    <row r="96" spans="1:10" x14ac:dyDescent="0.25">
      <c r="A96" s="82">
        <v>42767</v>
      </c>
      <c r="B96" s="83" t="s">
        <v>4276</v>
      </c>
      <c r="C96" s="85"/>
      <c r="D96" s="18">
        <v>99432</v>
      </c>
      <c r="E96" s="2" t="s">
        <v>358</v>
      </c>
      <c r="F96" s="15">
        <v>34990.400000000001</v>
      </c>
      <c r="G96" s="41">
        <v>42768</v>
      </c>
      <c r="H96" s="15">
        <f t="shared" si="3"/>
        <v>34990.400000000001</v>
      </c>
      <c r="I96" s="15">
        <f t="shared" si="4"/>
        <v>0</v>
      </c>
      <c r="J96" s="19"/>
    </row>
    <row r="97" spans="1:10" x14ac:dyDescent="0.25">
      <c r="A97" s="82">
        <v>42767</v>
      </c>
      <c r="B97" s="83" t="s">
        <v>4277</v>
      </c>
      <c r="C97" s="85"/>
      <c r="D97" s="18">
        <v>99433</v>
      </c>
      <c r="E97" s="2" t="s">
        <v>182</v>
      </c>
      <c r="F97" s="15">
        <v>2500</v>
      </c>
      <c r="G97" s="41">
        <v>42768</v>
      </c>
      <c r="H97" s="15">
        <f t="shared" si="3"/>
        <v>2500</v>
      </c>
      <c r="I97" s="15">
        <f t="shared" si="4"/>
        <v>0</v>
      </c>
      <c r="J97" s="19"/>
    </row>
    <row r="98" spans="1:10" x14ac:dyDescent="0.25">
      <c r="A98" s="82">
        <v>42767</v>
      </c>
      <c r="B98" s="83" t="s">
        <v>4278</v>
      </c>
      <c r="C98" s="85"/>
      <c r="D98" s="18">
        <v>99434</v>
      </c>
      <c r="E98" s="2" t="s">
        <v>145</v>
      </c>
      <c r="F98" s="15">
        <v>20833</v>
      </c>
      <c r="G98" s="41">
        <v>42768</v>
      </c>
      <c r="H98" s="15">
        <f t="shared" si="3"/>
        <v>20833</v>
      </c>
      <c r="I98" s="15">
        <f t="shared" si="4"/>
        <v>0</v>
      </c>
      <c r="J98" s="19"/>
    </row>
    <row r="99" spans="1:10" x14ac:dyDescent="0.25">
      <c r="A99" s="82">
        <v>42767</v>
      </c>
      <c r="B99" s="83" t="s">
        <v>4279</v>
      </c>
      <c r="C99" s="85"/>
      <c r="D99" s="18">
        <v>99435</v>
      </c>
      <c r="E99" s="2" t="s">
        <v>165</v>
      </c>
      <c r="F99" s="15">
        <v>12905.3</v>
      </c>
      <c r="G99" s="41">
        <v>42788</v>
      </c>
      <c r="H99" s="15">
        <f t="shared" si="3"/>
        <v>12905.3</v>
      </c>
      <c r="I99" s="15">
        <f t="shared" si="4"/>
        <v>0</v>
      </c>
      <c r="J99" s="19"/>
    </row>
    <row r="100" spans="1:10" x14ac:dyDescent="0.25">
      <c r="A100" s="82">
        <v>42767</v>
      </c>
      <c r="B100" s="83" t="s">
        <v>4280</v>
      </c>
      <c r="C100" s="85"/>
      <c r="D100" s="18">
        <v>99436</v>
      </c>
      <c r="E100" s="2" t="s">
        <v>161</v>
      </c>
      <c r="F100" s="15">
        <v>26652.7</v>
      </c>
      <c r="G100" s="41">
        <v>42788</v>
      </c>
      <c r="H100" s="15">
        <f t="shared" si="3"/>
        <v>26652.7</v>
      </c>
      <c r="I100" s="15">
        <f t="shared" si="4"/>
        <v>0</v>
      </c>
      <c r="J100" s="19"/>
    </row>
    <row r="101" spans="1:10" x14ac:dyDescent="0.25">
      <c r="A101" s="82">
        <v>42767</v>
      </c>
      <c r="B101" s="83" t="s">
        <v>4281</v>
      </c>
      <c r="C101" s="85"/>
      <c r="D101" s="18">
        <v>99437</v>
      </c>
      <c r="E101" s="2" t="s">
        <v>163</v>
      </c>
      <c r="F101" s="15">
        <v>6663.4</v>
      </c>
      <c r="G101" s="41">
        <v>42779</v>
      </c>
      <c r="H101" s="15">
        <f t="shared" si="3"/>
        <v>6663.4</v>
      </c>
      <c r="I101" s="15">
        <f t="shared" si="4"/>
        <v>0</v>
      </c>
      <c r="J101" s="19"/>
    </row>
    <row r="102" spans="1:10" x14ac:dyDescent="0.25">
      <c r="A102" s="82">
        <v>42767</v>
      </c>
      <c r="B102" s="83" t="s">
        <v>4282</v>
      </c>
      <c r="C102" s="85"/>
      <c r="D102" s="18">
        <v>99438</v>
      </c>
      <c r="E102" s="2" t="s">
        <v>509</v>
      </c>
      <c r="F102" s="15">
        <v>2654.4</v>
      </c>
      <c r="G102" s="41">
        <v>42767</v>
      </c>
      <c r="H102" s="15">
        <f t="shared" si="3"/>
        <v>2654.4</v>
      </c>
      <c r="I102" s="15">
        <f t="shared" si="4"/>
        <v>0</v>
      </c>
      <c r="J102" s="19"/>
    </row>
    <row r="103" spans="1:10" x14ac:dyDescent="0.25">
      <c r="A103" s="82">
        <v>42767</v>
      </c>
      <c r="B103" s="83" t="s">
        <v>4283</v>
      </c>
      <c r="C103" s="85"/>
      <c r="D103" s="18">
        <v>99439</v>
      </c>
      <c r="E103" s="2" t="s">
        <v>563</v>
      </c>
      <c r="F103" s="15">
        <v>3180.8</v>
      </c>
      <c r="G103" s="41">
        <v>42767</v>
      </c>
      <c r="H103" s="15">
        <f t="shared" si="3"/>
        <v>3180.8</v>
      </c>
      <c r="I103" s="15">
        <f t="shared" si="4"/>
        <v>0</v>
      </c>
      <c r="J103" s="19"/>
    </row>
    <row r="104" spans="1:10" x14ac:dyDescent="0.25">
      <c r="A104" s="82">
        <v>42767</v>
      </c>
      <c r="B104" s="83" t="s">
        <v>4284</v>
      </c>
      <c r="C104" s="85"/>
      <c r="D104" s="18">
        <v>99440</v>
      </c>
      <c r="E104" s="2" t="s">
        <v>14</v>
      </c>
      <c r="F104" s="15">
        <v>8642.7999999999993</v>
      </c>
      <c r="G104" s="41">
        <v>42767</v>
      </c>
      <c r="H104" s="15">
        <f t="shared" si="3"/>
        <v>8642.7999999999993</v>
      </c>
      <c r="I104" s="15">
        <f t="shared" si="4"/>
        <v>0</v>
      </c>
      <c r="J104" s="19"/>
    </row>
    <row r="105" spans="1:10" x14ac:dyDescent="0.25">
      <c r="A105" s="82">
        <v>42767</v>
      </c>
      <c r="B105" s="83" t="s">
        <v>4285</v>
      </c>
      <c r="C105" s="85"/>
      <c r="D105" s="18">
        <v>99441</v>
      </c>
      <c r="E105" s="2" t="s">
        <v>289</v>
      </c>
      <c r="F105" s="15">
        <v>6749.6</v>
      </c>
      <c r="G105" s="41">
        <v>42780</v>
      </c>
      <c r="H105" s="15">
        <f t="shared" si="3"/>
        <v>6749.6</v>
      </c>
      <c r="I105" s="15">
        <f t="shared" si="4"/>
        <v>0</v>
      </c>
      <c r="J105" s="19"/>
    </row>
    <row r="106" spans="1:10" x14ac:dyDescent="0.25">
      <c r="A106" s="82">
        <v>42767</v>
      </c>
      <c r="B106" s="83" t="s">
        <v>4286</v>
      </c>
      <c r="C106" s="85"/>
      <c r="D106" s="18">
        <v>99442</v>
      </c>
      <c r="E106" s="2" t="s">
        <v>472</v>
      </c>
      <c r="F106" s="15">
        <v>13487</v>
      </c>
      <c r="G106" s="41">
        <v>42768</v>
      </c>
      <c r="H106" s="15">
        <f t="shared" si="3"/>
        <v>13487</v>
      </c>
      <c r="I106" s="15">
        <f t="shared" si="4"/>
        <v>0</v>
      </c>
      <c r="J106" s="19"/>
    </row>
    <row r="107" spans="1:10" x14ac:dyDescent="0.25">
      <c r="A107" s="82">
        <v>42767</v>
      </c>
      <c r="B107" s="83" t="s">
        <v>4287</v>
      </c>
      <c r="C107" s="85"/>
      <c r="D107" s="18">
        <v>99443</v>
      </c>
      <c r="E107" s="2" t="s">
        <v>523</v>
      </c>
      <c r="F107" s="15">
        <v>25476.799999999999</v>
      </c>
      <c r="G107" s="41">
        <v>42777</v>
      </c>
      <c r="H107" s="15">
        <f t="shared" si="3"/>
        <v>25476.799999999999</v>
      </c>
      <c r="I107" s="15">
        <f t="shared" si="4"/>
        <v>0</v>
      </c>
      <c r="J107" s="19"/>
    </row>
    <row r="108" spans="1:10" x14ac:dyDescent="0.25">
      <c r="A108" s="82">
        <v>42767</v>
      </c>
      <c r="B108" s="83" t="s">
        <v>4288</v>
      </c>
      <c r="C108" s="85"/>
      <c r="D108" s="18">
        <v>99444</v>
      </c>
      <c r="E108" s="2" t="s">
        <v>12</v>
      </c>
      <c r="F108" s="15">
        <v>1475</v>
      </c>
      <c r="G108" s="41">
        <v>42768</v>
      </c>
      <c r="H108" s="15">
        <f t="shared" si="3"/>
        <v>1475</v>
      </c>
      <c r="I108" s="15">
        <f t="shared" si="4"/>
        <v>0</v>
      </c>
      <c r="J108" s="19"/>
    </row>
    <row r="109" spans="1:10" x14ac:dyDescent="0.25">
      <c r="A109" s="82">
        <v>42767</v>
      </c>
      <c r="B109" s="83" t="s">
        <v>4289</v>
      </c>
      <c r="C109" s="85"/>
      <c r="D109" s="18">
        <v>99445</v>
      </c>
      <c r="E109" s="2" t="s">
        <v>312</v>
      </c>
      <c r="F109" s="15">
        <v>80640</v>
      </c>
      <c r="G109" s="41">
        <v>42846</v>
      </c>
      <c r="H109" s="15">
        <f t="shared" si="3"/>
        <v>80640</v>
      </c>
      <c r="I109" s="15">
        <f t="shared" si="4"/>
        <v>0</v>
      </c>
      <c r="J109" s="19"/>
    </row>
    <row r="110" spans="1:10" x14ac:dyDescent="0.25">
      <c r="A110" s="82">
        <v>42767</v>
      </c>
      <c r="B110" s="83" t="s">
        <v>4290</v>
      </c>
      <c r="C110" s="85"/>
      <c r="D110" s="18">
        <v>99446</v>
      </c>
      <c r="E110" s="2" t="s">
        <v>55</v>
      </c>
      <c r="F110" s="15">
        <v>19916</v>
      </c>
      <c r="H110" s="15">
        <f t="shared" si="3"/>
        <v>19916</v>
      </c>
      <c r="I110" s="15">
        <f t="shared" si="4"/>
        <v>0</v>
      </c>
      <c r="J110" s="19"/>
    </row>
    <row r="111" spans="1:10" x14ac:dyDescent="0.25">
      <c r="A111" s="82">
        <v>42767</v>
      </c>
      <c r="B111" s="83" t="s">
        <v>4291</v>
      </c>
      <c r="C111" s="85"/>
      <c r="D111" s="18">
        <v>99447</v>
      </c>
      <c r="E111" s="2" t="s">
        <v>352</v>
      </c>
      <c r="F111" s="15">
        <v>2126.8000000000002</v>
      </c>
      <c r="G111" s="41">
        <v>42767</v>
      </c>
      <c r="H111" s="15">
        <f t="shared" si="3"/>
        <v>2126.8000000000002</v>
      </c>
      <c r="I111" s="15">
        <f t="shared" si="4"/>
        <v>0</v>
      </c>
      <c r="J111" s="19"/>
    </row>
    <row r="112" spans="1:10" x14ac:dyDescent="0.25">
      <c r="A112" s="82">
        <v>42767</v>
      </c>
      <c r="B112" s="83" t="s">
        <v>4292</v>
      </c>
      <c r="C112" s="85"/>
      <c r="D112" s="18">
        <v>99448</v>
      </c>
      <c r="E112" s="2" t="s">
        <v>55</v>
      </c>
      <c r="F112" s="15">
        <v>13512.8</v>
      </c>
      <c r="G112" s="41">
        <v>42767</v>
      </c>
      <c r="H112" s="15">
        <f t="shared" si="3"/>
        <v>13512.8</v>
      </c>
      <c r="I112" s="15">
        <f t="shared" si="4"/>
        <v>0</v>
      </c>
      <c r="J112" s="19"/>
    </row>
    <row r="113" spans="1:10" x14ac:dyDescent="0.25">
      <c r="A113" s="82">
        <v>42767</v>
      </c>
      <c r="B113" s="83" t="s">
        <v>4293</v>
      </c>
      <c r="C113" s="85"/>
      <c r="D113" s="18">
        <v>99449</v>
      </c>
      <c r="E113" s="2" t="s">
        <v>352</v>
      </c>
      <c r="F113" s="15">
        <v>672</v>
      </c>
      <c r="G113" s="41">
        <v>42767</v>
      </c>
      <c r="H113" s="15">
        <f t="shared" si="3"/>
        <v>672</v>
      </c>
      <c r="I113" s="15">
        <f t="shared" si="4"/>
        <v>0</v>
      </c>
      <c r="J113" s="19"/>
    </row>
    <row r="114" spans="1:10" x14ac:dyDescent="0.25">
      <c r="A114" s="82">
        <v>42767</v>
      </c>
      <c r="B114" s="83" t="s">
        <v>4294</v>
      </c>
      <c r="C114" s="85"/>
      <c r="D114" s="18">
        <v>99450</v>
      </c>
      <c r="E114" s="2" t="s">
        <v>205</v>
      </c>
      <c r="F114" s="15">
        <v>10368.200000000001</v>
      </c>
      <c r="G114" s="41">
        <v>42767</v>
      </c>
      <c r="H114" s="15">
        <f t="shared" si="3"/>
        <v>10368.200000000001</v>
      </c>
      <c r="I114" s="15">
        <f t="shared" si="4"/>
        <v>0</v>
      </c>
      <c r="J114" s="19"/>
    </row>
    <row r="115" spans="1:10" x14ac:dyDescent="0.25">
      <c r="A115" s="82">
        <v>42767</v>
      </c>
      <c r="B115" s="83" t="s">
        <v>4295</v>
      </c>
      <c r="C115" s="85"/>
      <c r="D115" s="18">
        <v>99451</v>
      </c>
      <c r="E115" s="2" t="s">
        <v>921</v>
      </c>
      <c r="F115" s="15">
        <v>6033.3</v>
      </c>
      <c r="G115" s="41">
        <v>42767</v>
      </c>
      <c r="H115" s="15">
        <f t="shared" si="3"/>
        <v>6033.3</v>
      </c>
      <c r="I115" s="15">
        <f t="shared" si="4"/>
        <v>0</v>
      </c>
      <c r="J115" s="19"/>
    </row>
    <row r="116" spans="1:10" x14ac:dyDescent="0.25">
      <c r="A116" s="82">
        <v>42767</v>
      </c>
      <c r="B116" s="83" t="s">
        <v>4296</v>
      </c>
      <c r="C116" s="85"/>
      <c r="D116" s="18">
        <v>99452</v>
      </c>
      <c r="E116" s="2" t="s">
        <v>921</v>
      </c>
      <c r="F116" s="15">
        <v>120</v>
      </c>
      <c r="G116" s="41">
        <v>42767</v>
      </c>
      <c r="H116" s="15">
        <f t="shared" si="3"/>
        <v>120</v>
      </c>
      <c r="I116" s="15">
        <f t="shared" si="4"/>
        <v>0</v>
      </c>
      <c r="J116" s="19"/>
    </row>
    <row r="117" spans="1:10" x14ac:dyDescent="0.25">
      <c r="A117" s="82">
        <v>42767</v>
      </c>
      <c r="B117" s="83" t="s">
        <v>4297</v>
      </c>
      <c r="C117" s="85"/>
      <c r="D117" s="18">
        <v>99453</v>
      </c>
      <c r="E117" s="2" t="s">
        <v>921</v>
      </c>
      <c r="F117" s="15">
        <v>90</v>
      </c>
      <c r="G117" s="41">
        <v>42767</v>
      </c>
      <c r="H117" s="15">
        <f t="shared" si="3"/>
        <v>90</v>
      </c>
      <c r="I117" s="15">
        <f t="shared" si="4"/>
        <v>0</v>
      </c>
      <c r="J117" s="19"/>
    </row>
    <row r="118" spans="1:10" x14ac:dyDescent="0.25">
      <c r="A118" s="82">
        <v>42767</v>
      </c>
      <c r="B118" s="83" t="s">
        <v>4298</v>
      </c>
      <c r="C118" s="85"/>
      <c r="D118" s="18">
        <v>99454</v>
      </c>
      <c r="E118" s="2" t="s">
        <v>208</v>
      </c>
      <c r="F118" s="15">
        <v>11505.2</v>
      </c>
      <c r="G118" s="41">
        <v>42769</v>
      </c>
      <c r="H118" s="15">
        <f t="shared" si="3"/>
        <v>11505.2</v>
      </c>
      <c r="I118" s="15">
        <f t="shared" si="4"/>
        <v>0</v>
      </c>
      <c r="J118" s="19"/>
    </row>
    <row r="119" spans="1:10" x14ac:dyDescent="0.25">
      <c r="A119" s="82">
        <v>42767</v>
      </c>
      <c r="B119" s="83" t="s">
        <v>4299</v>
      </c>
      <c r="C119" s="85"/>
      <c r="D119" s="18">
        <v>99455</v>
      </c>
      <c r="E119" s="2" t="s">
        <v>208</v>
      </c>
      <c r="F119" s="15">
        <v>301.60000000000002</v>
      </c>
      <c r="G119" s="41">
        <v>42769</v>
      </c>
      <c r="H119" s="15">
        <f t="shared" si="3"/>
        <v>301.60000000000002</v>
      </c>
      <c r="I119" s="15">
        <f t="shared" si="4"/>
        <v>0</v>
      </c>
      <c r="J119" s="19"/>
    </row>
    <row r="120" spans="1:10" x14ac:dyDescent="0.25">
      <c r="A120" s="82">
        <v>42767</v>
      </c>
      <c r="B120" s="83" t="s">
        <v>4300</v>
      </c>
      <c r="C120" s="85"/>
      <c r="D120" s="18">
        <v>99456</v>
      </c>
      <c r="E120" s="2" t="s">
        <v>211</v>
      </c>
      <c r="F120" s="15">
        <v>8013.8</v>
      </c>
      <c r="G120" s="41">
        <v>42767</v>
      </c>
      <c r="H120" s="15">
        <f t="shared" si="3"/>
        <v>8013.8</v>
      </c>
      <c r="I120" s="15">
        <f t="shared" si="4"/>
        <v>0</v>
      </c>
      <c r="J120" s="19"/>
    </row>
    <row r="121" spans="1:10" x14ac:dyDescent="0.25">
      <c r="A121" s="82">
        <v>42767</v>
      </c>
      <c r="B121" s="83" t="s">
        <v>4301</v>
      </c>
      <c r="C121" s="85"/>
      <c r="D121" s="18">
        <v>99457</v>
      </c>
      <c r="E121" s="2" t="s">
        <v>220</v>
      </c>
      <c r="F121" s="15">
        <v>1512</v>
      </c>
      <c r="G121" s="41">
        <v>42767</v>
      </c>
      <c r="H121" s="15">
        <f t="shared" si="3"/>
        <v>1512</v>
      </c>
      <c r="I121" s="15">
        <f t="shared" si="4"/>
        <v>0</v>
      </c>
      <c r="J121" s="19"/>
    </row>
    <row r="122" spans="1:10" x14ac:dyDescent="0.25">
      <c r="A122" s="82">
        <v>42767</v>
      </c>
      <c r="B122" s="83" t="s">
        <v>4302</v>
      </c>
      <c r="C122" s="85"/>
      <c r="D122" s="18">
        <v>99458</v>
      </c>
      <c r="E122" s="2" t="s">
        <v>220</v>
      </c>
      <c r="F122" s="15">
        <v>134.4</v>
      </c>
      <c r="G122" s="41">
        <v>42767</v>
      </c>
      <c r="H122" s="15">
        <f t="shared" si="3"/>
        <v>134.4</v>
      </c>
      <c r="I122" s="15">
        <f t="shared" si="4"/>
        <v>0</v>
      </c>
      <c r="J122" s="19"/>
    </row>
    <row r="123" spans="1:10" x14ac:dyDescent="0.25">
      <c r="A123" s="82">
        <v>42767</v>
      </c>
      <c r="B123" s="83" t="s">
        <v>4303</v>
      </c>
      <c r="C123" s="85"/>
      <c r="D123" s="18">
        <v>99459</v>
      </c>
      <c r="E123" s="2" t="s">
        <v>622</v>
      </c>
      <c r="F123" s="15">
        <v>13093.4</v>
      </c>
      <c r="G123" s="41">
        <v>42768</v>
      </c>
      <c r="H123" s="15">
        <f t="shared" si="3"/>
        <v>13093.4</v>
      </c>
      <c r="I123" s="15">
        <f t="shared" si="4"/>
        <v>0</v>
      </c>
      <c r="J123" s="19"/>
    </row>
    <row r="124" spans="1:10" x14ac:dyDescent="0.25">
      <c r="A124" s="82">
        <v>42768</v>
      </c>
      <c r="B124" s="83" t="s">
        <v>4304</v>
      </c>
      <c r="C124" s="85"/>
      <c r="D124" s="18">
        <v>99460</v>
      </c>
      <c r="E124" s="2" t="s">
        <v>231</v>
      </c>
      <c r="F124" s="15">
        <v>8194.9</v>
      </c>
      <c r="G124" s="41">
        <v>42769</v>
      </c>
      <c r="H124" s="15">
        <f t="shared" si="3"/>
        <v>8194.9</v>
      </c>
      <c r="I124" s="15">
        <f t="shared" si="4"/>
        <v>0</v>
      </c>
      <c r="J124" s="19"/>
    </row>
    <row r="125" spans="1:10" x14ac:dyDescent="0.25">
      <c r="A125" s="82">
        <v>42768</v>
      </c>
      <c r="B125" s="83" t="s">
        <v>4305</v>
      </c>
      <c r="C125" s="85"/>
      <c r="D125" s="18">
        <v>99461</v>
      </c>
      <c r="E125" s="2" t="s">
        <v>374</v>
      </c>
      <c r="F125" s="15">
        <v>3900</v>
      </c>
      <c r="G125" s="41">
        <v>42768</v>
      </c>
      <c r="H125" s="15">
        <f t="shared" si="3"/>
        <v>3900</v>
      </c>
      <c r="I125" s="15">
        <f t="shared" si="4"/>
        <v>0</v>
      </c>
      <c r="J125" s="19"/>
    </row>
    <row r="126" spans="1:10" x14ac:dyDescent="0.25">
      <c r="A126" s="82">
        <v>42768</v>
      </c>
      <c r="B126" s="83" t="s">
        <v>4306</v>
      </c>
      <c r="C126" s="85"/>
      <c r="D126" s="18">
        <v>99462</v>
      </c>
      <c r="E126" s="2" t="s">
        <v>71</v>
      </c>
      <c r="F126" s="15">
        <v>2520</v>
      </c>
      <c r="G126" s="41">
        <v>42768</v>
      </c>
      <c r="H126" s="15">
        <f t="shared" si="3"/>
        <v>2520</v>
      </c>
      <c r="I126" s="15">
        <f t="shared" si="4"/>
        <v>0</v>
      </c>
      <c r="J126" s="19"/>
    </row>
    <row r="127" spans="1:10" x14ac:dyDescent="0.25">
      <c r="A127" s="82">
        <v>42768</v>
      </c>
      <c r="B127" s="83" t="s">
        <v>4307</v>
      </c>
      <c r="C127" s="85"/>
      <c r="D127" s="18">
        <v>99463</v>
      </c>
      <c r="E127" s="2" t="s">
        <v>17</v>
      </c>
      <c r="F127" s="15">
        <v>2750</v>
      </c>
      <c r="G127" s="41">
        <v>42768</v>
      </c>
      <c r="H127" s="15">
        <f t="shared" si="3"/>
        <v>2750</v>
      </c>
      <c r="I127" s="15">
        <f t="shared" si="4"/>
        <v>0</v>
      </c>
      <c r="J127" s="19"/>
    </row>
    <row r="128" spans="1:10" x14ac:dyDescent="0.25">
      <c r="A128" s="82">
        <v>42768</v>
      </c>
      <c r="B128" s="83" t="s">
        <v>4308</v>
      </c>
      <c r="C128" s="85"/>
      <c r="D128" s="18">
        <v>99464</v>
      </c>
      <c r="E128" s="2" t="s">
        <v>231</v>
      </c>
      <c r="F128" s="15">
        <v>47561</v>
      </c>
      <c r="G128" s="41">
        <v>42769</v>
      </c>
      <c r="H128" s="15">
        <f t="shared" si="3"/>
        <v>47561</v>
      </c>
      <c r="I128" s="15">
        <f t="shared" si="4"/>
        <v>0</v>
      </c>
      <c r="J128" s="21"/>
    </row>
    <row r="129" spans="1:10" x14ac:dyDescent="0.25">
      <c r="A129" s="82">
        <v>42768</v>
      </c>
      <c r="B129" s="83" t="s">
        <v>4309</v>
      </c>
      <c r="C129" s="85"/>
      <c r="D129" s="18">
        <v>99465</v>
      </c>
      <c r="E129" s="2" t="s">
        <v>428</v>
      </c>
      <c r="F129" s="15">
        <v>1476.8</v>
      </c>
      <c r="G129" s="41">
        <v>42772</v>
      </c>
      <c r="H129" s="15">
        <f t="shared" si="3"/>
        <v>1476.8</v>
      </c>
      <c r="I129" s="15">
        <f t="shared" si="4"/>
        <v>0</v>
      </c>
      <c r="J129" s="21"/>
    </row>
    <row r="130" spans="1:10" x14ac:dyDescent="0.25">
      <c r="A130" s="82">
        <v>42768</v>
      </c>
      <c r="B130" s="83" t="s">
        <v>4310</v>
      </c>
      <c r="C130" s="85"/>
      <c r="D130" s="18">
        <v>99466</v>
      </c>
      <c r="E130" s="2" t="s">
        <v>428</v>
      </c>
      <c r="F130" s="15">
        <v>162</v>
      </c>
      <c r="G130" s="41">
        <v>42772</v>
      </c>
      <c r="H130" s="15">
        <f t="shared" si="3"/>
        <v>162</v>
      </c>
      <c r="I130" s="15">
        <f t="shared" si="4"/>
        <v>0</v>
      </c>
      <c r="J130" s="21"/>
    </row>
    <row r="131" spans="1:10" x14ac:dyDescent="0.25">
      <c r="A131" s="82">
        <v>42768</v>
      </c>
      <c r="B131" s="83" t="s">
        <v>4311</v>
      </c>
      <c r="C131" s="85"/>
      <c r="D131" s="18">
        <v>99467</v>
      </c>
      <c r="E131" s="2" t="s">
        <v>49</v>
      </c>
      <c r="F131" s="15">
        <v>15412.8</v>
      </c>
      <c r="H131" s="15">
        <f t="shared" si="3"/>
        <v>15412.8</v>
      </c>
      <c r="I131" s="15">
        <f t="shared" si="4"/>
        <v>0</v>
      </c>
      <c r="J131" s="21"/>
    </row>
    <row r="132" spans="1:10" x14ac:dyDescent="0.25">
      <c r="A132" s="82">
        <v>42768</v>
      </c>
      <c r="B132" s="83" t="s">
        <v>4312</v>
      </c>
      <c r="C132" s="85"/>
      <c r="D132" s="18">
        <v>99468</v>
      </c>
      <c r="E132" s="2" t="s">
        <v>49</v>
      </c>
      <c r="F132" s="15">
        <v>11746.8</v>
      </c>
      <c r="G132" s="41">
        <v>42770</v>
      </c>
      <c r="H132" s="15">
        <f t="shared" ref="H132:H195" si="5">F132</f>
        <v>11746.8</v>
      </c>
      <c r="I132" s="15">
        <f t="shared" si="4"/>
        <v>0</v>
      </c>
      <c r="J132" s="21"/>
    </row>
    <row r="133" spans="1:10" x14ac:dyDescent="0.25">
      <c r="A133" s="82">
        <v>42768</v>
      </c>
      <c r="B133" s="83" t="s">
        <v>4313</v>
      </c>
      <c r="C133" s="85"/>
      <c r="D133" s="18">
        <v>99469</v>
      </c>
      <c r="E133" s="2" t="s">
        <v>26</v>
      </c>
      <c r="F133" s="15">
        <v>20903.2</v>
      </c>
      <c r="G133" s="41">
        <v>42768</v>
      </c>
      <c r="H133" s="15">
        <f t="shared" si="5"/>
        <v>20903.2</v>
      </c>
      <c r="I133" s="15">
        <f t="shared" si="4"/>
        <v>0</v>
      </c>
      <c r="J133" s="21"/>
    </row>
    <row r="134" spans="1:10" x14ac:dyDescent="0.25">
      <c r="A134" s="82">
        <v>42768</v>
      </c>
      <c r="B134" s="83" t="s">
        <v>4314</v>
      </c>
      <c r="C134" s="85"/>
      <c r="D134" s="18">
        <v>99470</v>
      </c>
      <c r="E134" s="2" t="s">
        <v>509</v>
      </c>
      <c r="F134" s="15">
        <v>37877.1</v>
      </c>
      <c r="G134" s="41">
        <v>42776</v>
      </c>
      <c r="H134" s="15">
        <f t="shared" si="5"/>
        <v>37877.1</v>
      </c>
      <c r="I134" s="15">
        <f t="shared" ref="I134:I197" si="6">F134-H134</f>
        <v>0</v>
      </c>
      <c r="J134" s="21"/>
    </row>
    <row r="135" spans="1:10" x14ac:dyDescent="0.25">
      <c r="A135" s="82">
        <v>42768</v>
      </c>
      <c r="B135" s="83" t="s">
        <v>4315</v>
      </c>
      <c r="C135" s="85"/>
      <c r="D135" s="18">
        <v>99471</v>
      </c>
      <c r="E135" s="13" t="s">
        <v>974</v>
      </c>
      <c r="F135" s="14">
        <v>0</v>
      </c>
      <c r="G135" s="88" t="s">
        <v>95</v>
      </c>
      <c r="H135" s="14">
        <f t="shared" si="5"/>
        <v>0</v>
      </c>
      <c r="I135" s="14">
        <f t="shared" si="6"/>
        <v>0</v>
      </c>
      <c r="J135" s="21"/>
    </row>
    <row r="136" spans="1:10" x14ac:dyDescent="0.25">
      <c r="A136" s="82">
        <v>42768</v>
      </c>
      <c r="B136" s="83" t="s">
        <v>4316</v>
      </c>
      <c r="C136" s="85"/>
      <c r="D136" s="18">
        <v>99472</v>
      </c>
      <c r="E136" s="2" t="s">
        <v>974</v>
      </c>
      <c r="F136" s="15">
        <v>9788.7999999999993</v>
      </c>
      <c r="G136" s="41">
        <v>42768</v>
      </c>
      <c r="H136" s="15">
        <f t="shared" si="5"/>
        <v>9788.7999999999993</v>
      </c>
      <c r="I136" s="15">
        <f t="shared" si="6"/>
        <v>0</v>
      </c>
      <c r="J136" s="21"/>
    </row>
    <row r="137" spans="1:10" x14ac:dyDescent="0.25">
      <c r="A137" s="82">
        <v>42768</v>
      </c>
      <c r="B137" s="83" t="s">
        <v>4317</v>
      </c>
      <c r="C137" s="85"/>
      <c r="D137" s="18">
        <v>99473</v>
      </c>
      <c r="E137" s="2" t="s">
        <v>12</v>
      </c>
      <c r="F137" s="15">
        <v>1514.2</v>
      </c>
      <c r="G137" s="41">
        <v>42768</v>
      </c>
      <c r="H137" s="15">
        <f t="shared" si="5"/>
        <v>1514.2</v>
      </c>
      <c r="I137" s="15">
        <f t="shared" si="6"/>
        <v>0</v>
      </c>
      <c r="J137" s="21"/>
    </row>
    <row r="138" spans="1:10" x14ac:dyDescent="0.25">
      <c r="A138" s="82">
        <v>42768</v>
      </c>
      <c r="B138" s="83" t="s">
        <v>4318</v>
      </c>
      <c r="C138" s="85"/>
      <c r="D138" s="18">
        <v>99474</v>
      </c>
      <c r="E138" s="2" t="s">
        <v>21</v>
      </c>
      <c r="F138" s="15">
        <v>46467</v>
      </c>
      <c r="G138" s="87">
        <v>42781</v>
      </c>
      <c r="H138" s="20">
        <f>23028+23439</f>
        <v>46467</v>
      </c>
      <c r="I138" s="20">
        <f t="shared" si="6"/>
        <v>0</v>
      </c>
      <c r="J138" s="21"/>
    </row>
    <row r="139" spans="1:10" x14ac:dyDescent="0.25">
      <c r="A139" s="82">
        <v>42768</v>
      </c>
      <c r="B139" s="83" t="s">
        <v>4319</v>
      </c>
      <c r="C139" s="85"/>
      <c r="D139" s="18">
        <v>99475</v>
      </c>
      <c r="E139" s="2" t="s">
        <v>157</v>
      </c>
      <c r="F139" s="15">
        <v>23224</v>
      </c>
      <c r="G139" s="41">
        <v>42768</v>
      </c>
      <c r="H139" s="15">
        <f t="shared" si="5"/>
        <v>23224</v>
      </c>
      <c r="I139" s="15">
        <f t="shared" si="6"/>
        <v>0</v>
      </c>
      <c r="J139" s="21"/>
    </row>
    <row r="140" spans="1:10" x14ac:dyDescent="0.25">
      <c r="A140" s="82">
        <v>42768</v>
      </c>
      <c r="B140" s="83" t="s">
        <v>4320</v>
      </c>
      <c r="C140" s="85"/>
      <c r="D140" s="18">
        <v>99476</v>
      </c>
      <c r="E140" s="2" t="s">
        <v>10</v>
      </c>
      <c r="F140" s="15">
        <v>2629.2</v>
      </c>
      <c r="G140" s="41">
        <v>42769</v>
      </c>
      <c r="H140" s="15">
        <f t="shared" si="5"/>
        <v>2629.2</v>
      </c>
      <c r="I140" s="15">
        <f t="shared" si="6"/>
        <v>0</v>
      </c>
      <c r="J140" s="21"/>
    </row>
    <row r="141" spans="1:10" x14ac:dyDescent="0.25">
      <c r="A141" s="82">
        <v>42768</v>
      </c>
      <c r="B141" s="83" t="s">
        <v>4321</v>
      </c>
      <c r="C141" s="85"/>
      <c r="D141" s="18">
        <v>99477</v>
      </c>
      <c r="E141" s="2" t="s">
        <v>30</v>
      </c>
      <c r="F141" s="15">
        <v>415.8</v>
      </c>
      <c r="G141" s="41">
        <v>42768</v>
      </c>
      <c r="H141" s="15">
        <f t="shared" si="5"/>
        <v>415.8</v>
      </c>
      <c r="I141" s="15">
        <f t="shared" si="6"/>
        <v>0</v>
      </c>
      <c r="J141" s="21"/>
    </row>
    <row r="142" spans="1:10" x14ac:dyDescent="0.25">
      <c r="A142" s="82">
        <v>42768</v>
      </c>
      <c r="B142" s="83" t="s">
        <v>4322</v>
      </c>
      <c r="C142" s="85"/>
      <c r="D142" s="18">
        <v>99478</v>
      </c>
      <c r="E142" s="2" t="s">
        <v>30</v>
      </c>
      <c r="F142" s="15">
        <v>1416</v>
      </c>
      <c r="G142" s="41">
        <v>42768</v>
      </c>
      <c r="H142" s="15">
        <f t="shared" si="5"/>
        <v>1416</v>
      </c>
      <c r="I142" s="15">
        <f t="shared" si="6"/>
        <v>0</v>
      </c>
      <c r="J142" s="21"/>
    </row>
    <row r="143" spans="1:10" x14ac:dyDescent="0.25">
      <c r="A143" s="82">
        <v>42768</v>
      </c>
      <c r="B143" s="83" t="s">
        <v>4323</v>
      </c>
      <c r="C143" s="85"/>
      <c r="D143" s="18">
        <v>99479</v>
      </c>
      <c r="E143" s="2" t="s">
        <v>793</v>
      </c>
      <c r="F143" s="15">
        <v>2760</v>
      </c>
      <c r="G143" s="41">
        <v>42768</v>
      </c>
      <c r="H143" s="15">
        <f t="shared" si="5"/>
        <v>2760</v>
      </c>
      <c r="I143" s="15">
        <f t="shared" si="6"/>
        <v>0</v>
      </c>
      <c r="J143" s="21"/>
    </row>
    <row r="144" spans="1:10" x14ac:dyDescent="0.25">
      <c r="A144" s="82">
        <v>42768</v>
      </c>
      <c r="B144" s="83" t="s">
        <v>4324</v>
      </c>
      <c r="C144" s="85"/>
      <c r="D144" s="18">
        <v>99480</v>
      </c>
      <c r="E144" s="2" t="s">
        <v>51</v>
      </c>
      <c r="F144" s="15">
        <v>405.6</v>
      </c>
      <c r="G144" s="41">
        <v>42770</v>
      </c>
      <c r="H144" s="15">
        <f t="shared" si="5"/>
        <v>405.6</v>
      </c>
      <c r="I144" s="15">
        <f t="shared" si="6"/>
        <v>0</v>
      </c>
      <c r="J144" s="21"/>
    </row>
    <row r="145" spans="1:10" x14ac:dyDescent="0.25">
      <c r="A145" s="82">
        <v>42768</v>
      </c>
      <c r="B145" s="83" t="s">
        <v>4325</v>
      </c>
      <c r="C145" s="85"/>
      <c r="D145" s="18">
        <v>99481</v>
      </c>
      <c r="E145" s="2" t="s">
        <v>38</v>
      </c>
      <c r="F145" s="15">
        <v>4152.6000000000004</v>
      </c>
      <c r="G145" s="41">
        <v>42772</v>
      </c>
      <c r="H145" s="15">
        <f t="shared" si="5"/>
        <v>4152.6000000000004</v>
      </c>
      <c r="I145" s="15">
        <f t="shared" si="6"/>
        <v>0</v>
      </c>
      <c r="J145" s="21"/>
    </row>
    <row r="146" spans="1:10" x14ac:dyDescent="0.25">
      <c r="A146" s="82">
        <v>42768</v>
      </c>
      <c r="B146" s="83" t="s">
        <v>4326</v>
      </c>
      <c r="C146" s="85"/>
      <c r="D146" s="18">
        <v>99482</v>
      </c>
      <c r="E146" s="2" t="s">
        <v>135</v>
      </c>
      <c r="F146" s="15">
        <v>3900</v>
      </c>
      <c r="G146" s="41">
        <v>42768</v>
      </c>
      <c r="H146" s="15">
        <f t="shared" si="5"/>
        <v>3900</v>
      </c>
      <c r="I146" s="15">
        <f t="shared" si="6"/>
        <v>0</v>
      </c>
      <c r="J146" s="21"/>
    </row>
    <row r="147" spans="1:10" x14ac:dyDescent="0.25">
      <c r="A147" s="82">
        <v>42768</v>
      </c>
      <c r="B147" s="83" t="s">
        <v>4327</v>
      </c>
      <c r="C147" s="85"/>
      <c r="D147" s="18">
        <v>99483</v>
      </c>
      <c r="E147" s="2" t="s">
        <v>250</v>
      </c>
      <c r="F147" s="15">
        <v>7040.4</v>
      </c>
      <c r="G147" s="41">
        <v>42770</v>
      </c>
      <c r="H147" s="15">
        <f t="shared" si="5"/>
        <v>7040.4</v>
      </c>
      <c r="I147" s="15">
        <f t="shared" si="6"/>
        <v>0</v>
      </c>
      <c r="J147" s="21"/>
    </row>
    <row r="148" spans="1:10" x14ac:dyDescent="0.25">
      <c r="A148" s="82">
        <v>42768</v>
      </c>
      <c r="B148" s="83" t="s">
        <v>4328</v>
      </c>
      <c r="C148" s="85"/>
      <c r="D148" s="18">
        <v>99484</v>
      </c>
      <c r="E148" s="2" t="s">
        <v>358</v>
      </c>
      <c r="F148" s="15">
        <v>34903</v>
      </c>
      <c r="G148" s="41">
        <v>42768</v>
      </c>
      <c r="H148" s="15">
        <f t="shared" si="5"/>
        <v>34903</v>
      </c>
      <c r="I148" s="15">
        <f t="shared" si="6"/>
        <v>0</v>
      </c>
      <c r="J148" s="21"/>
    </row>
    <row r="149" spans="1:10" x14ac:dyDescent="0.25">
      <c r="A149" s="82">
        <v>42768</v>
      </c>
      <c r="B149" s="83" t="s">
        <v>4329</v>
      </c>
      <c r="C149" s="85"/>
      <c r="D149" s="18">
        <v>99485</v>
      </c>
      <c r="E149" s="2" t="s">
        <v>43</v>
      </c>
      <c r="F149" s="15">
        <v>1469.3</v>
      </c>
      <c r="G149" s="41">
        <v>42770</v>
      </c>
      <c r="H149" s="15">
        <f t="shared" si="5"/>
        <v>1469.3</v>
      </c>
      <c r="I149" s="15">
        <f t="shared" si="6"/>
        <v>0</v>
      </c>
      <c r="J149" s="21"/>
    </row>
    <row r="150" spans="1:10" ht="30" x14ac:dyDescent="0.25">
      <c r="A150" s="82">
        <v>42768</v>
      </c>
      <c r="B150" s="83" t="s">
        <v>4330</v>
      </c>
      <c r="C150" s="85"/>
      <c r="D150" s="18">
        <v>99486</v>
      </c>
      <c r="E150" s="2" t="s">
        <v>40</v>
      </c>
      <c r="F150" s="15">
        <v>7650.6</v>
      </c>
      <c r="G150" s="87" t="s">
        <v>4331</v>
      </c>
      <c r="H150" s="20">
        <f>5000+2650.6</f>
        <v>7650.6</v>
      </c>
      <c r="I150" s="20">
        <f t="shared" si="6"/>
        <v>0</v>
      </c>
      <c r="J150" s="21"/>
    </row>
    <row r="151" spans="1:10" x14ac:dyDescent="0.25">
      <c r="A151" s="82">
        <v>42768</v>
      </c>
      <c r="B151" s="83" t="s">
        <v>4332</v>
      </c>
      <c r="C151" s="85"/>
      <c r="D151" s="18">
        <v>99487</v>
      </c>
      <c r="E151" s="2" t="s">
        <v>35</v>
      </c>
      <c r="F151" s="15">
        <v>13981.2</v>
      </c>
      <c r="G151" s="41">
        <v>42770</v>
      </c>
      <c r="H151" s="15">
        <f t="shared" si="5"/>
        <v>13981.2</v>
      </c>
      <c r="I151" s="15">
        <f t="shared" si="6"/>
        <v>0</v>
      </c>
      <c r="J151" s="21"/>
    </row>
    <row r="152" spans="1:10" x14ac:dyDescent="0.25">
      <c r="A152" s="82">
        <v>42768</v>
      </c>
      <c r="B152" s="83" t="s">
        <v>4333</v>
      </c>
      <c r="C152" s="85"/>
      <c r="D152" s="18">
        <v>99488</v>
      </c>
      <c r="E152" s="2" t="s">
        <v>67</v>
      </c>
      <c r="F152" s="15">
        <v>4151.3999999999996</v>
      </c>
      <c r="G152" s="41">
        <v>42769</v>
      </c>
      <c r="H152" s="15">
        <f t="shared" si="5"/>
        <v>4151.3999999999996</v>
      </c>
      <c r="I152" s="15">
        <f t="shared" si="6"/>
        <v>0</v>
      </c>
      <c r="J152" s="21"/>
    </row>
    <row r="153" spans="1:10" x14ac:dyDescent="0.25">
      <c r="A153" s="82">
        <v>42768</v>
      </c>
      <c r="B153" s="83" t="s">
        <v>4334</v>
      </c>
      <c r="C153" s="85"/>
      <c r="D153" s="18">
        <v>99489</v>
      </c>
      <c r="E153" s="2" t="s">
        <v>236</v>
      </c>
      <c r="F153" s="15">
        <v>50938.17</v>
      </c>
      <c r="G153" s="41">
        <v>42780</v>
      </c>
      <c r="H153" s="15">
        <f t="shared" si="5"/>
        <v>50938.17</v>
      </c>
      <c r="I153" s="15">
        <f t="shared" si="6"/>
        <v>0</v>
      </c>
      <c r="J153" s="21"/>
    </row>
    <row r="154" spans="1:10" x14ac:dyDescent="0.25">
      <c r="A154" s="82">
        <v>42768</v>
      </c>
      <c r="B154" s="83" t="s">
        <v>4335</v>
      </c>
      <c r="C154" s="85"/>
      <c r="D154" s="18">
        <v>99490</v>
      </c>
      <c r="E154" s="2" t="s">
        <v>268</v>
      </c>
      <c r="F154" s="15">
        <v>15451.8</v>
      </c>
      <c r="G154" s="41">
        <v>42774</v>
      </c>
      <c r="H154" s="15">
        <f t="shared" si="5"/>
        <v>15451.8</v>
      </c>
      <c r="I154" s="15">
        <f t="shared" si="6"/>
        <v>0</v>
      </c>
      <c r="J154" s="21"/>
    </row>
    <row r="155" spans="1:10" x14ac:dyDescent="0.25">
      <c r="A155" s="82">
        <v>42768</v>
      </c>
      <c r="B155" s="83" t="s">
        <v>4336</v>
      </c>
      <c r="C155" s="85"/>
      <c r="D155" s="18">
        <v>99491</v>
      </c>
      <c r="E155" s="2" t="s">
        <v>432</v>
      </c>
      <c r="F155" s="15">
        <v>15135.9</v>
      </c>
      <c r="G155" s="41">
        <v>42774</v>
      </c>
      <c r="H155" s="15">
        <f t="shared" si="5"/>
        <v>15135.9</v>
      </c>
      <c r="I155" s="15">
        <f t="shared" si="6"/>
        <v>0</v>
      </c>
      <c r="J155" s="21"/>
    </row>
    <row r="156" spans="1:10" x14ac:dyDescent="0.25">
      <c r="A156" s="82">
        <v>42768</v>
      </c>
      <c r="B156" s="83" t="s">
        <v>4337</v>
      </c>
      <c r="C156" s="85"/>
      <c r="D156" s="18">
        <v>99492</v>
      </c>
      <c r="E156" s="13" t="s">
        <v>35</v>
      </c>
      <c r="F156" s="14">
        <v>0</v>
      </c>
      <c r="G156" s="88" t="s">
        <v>95</v>
      </c>
      <c r="H156" s="14">
        <f t="shared" si="5"/>
        <v>0</v>
      </c>
      <c r="I156" s="14">
        <f t="shared" si="6"/>
        <v>0</v>
      </c>
      <c r="J156" s="21"/>
    </row>
    <row r="157" spans="1:10" x14ac:dyDescent="0.25">
      <c r="A157" s="82">
        <v>42768</v>
      </c>
      <c r="B157" s="83" t="s">
        <v>4338</v>
      </c>
      <c r="C157" s="85"/>
      <c r="D157" s="18">
        <v>99493</v>
      </c>
      <c r="E157" s="2" t="s">
        <v>32</v>
      </c>
      <c r="F157" s="15">
        <v>11000.2</v>
      </c>
      <c r="G157" s="41">
        <v>42775</v>
      </c>
      <c r="H157" s="15">
        <f t="shared" si="5"/>
        <v>11000.2</v>
      </c>
      <c r="I157" s="15">
        <f t="shared" si="6"/>
        <v>0</v>
      </c>
      <c r="J157" s="21"/>
    </row>
    <row r="158" spans="1:10" x14ac:dyDescent="0.25">
      <c r="A158" s="82">
        <v>42768</v>
      </c>
      <c r="B158" s="83" t="s">
        <v>4339</v>
      </c>
      <c r="C158" s="85"/>
      <c r="D158" s="18">
        <v>99494</v>
      </c>
      <c r="E158" s="2" t="s">
        <v>1116</v>
      </c>
      <c r="F158" s="15">
        <v>4583.5</v>
      </c>
      <c r="G158" s="41">
        <v>42769</v>
      </c>
      <c r="H158" s="15">
        <f t="shared" si="5"/>
        <v>4583.5</v>
      </c>
      <c r="I158" s="15">
        <f t="shared" si="6"/>
        <v>0</v>
      </c>
      <c r="J158" s="21"/>
    </row>
    <row r="159" spans="1:10" x14ac:dyDescent="0.25">
      <c r="A159" s="82">
        <v>42768</v>
      </c>
      <c r="B159" s="83" t="s">
        <v>4340</v>
      </c>
      <c r="C159" s="85"/>
      <c r="D159" s="18">
        <v>99495</v>
      </c>
      <c r="E159" s="2" t="s">
        <v>457</v>
      </c>
      <c r="F159" s="15">
        <v>3650.4</v>
      </c>
      <c r="G159" s="41">
        <v>42768</v>
      </c>
      <c r="H159" s="15">
        <f t="shared" si="5"/>
        <v>3650.4</v>
      </c>
      <c r="I159" s="15">
        <f t="shared" si="6"/>
        <v>0</v>
      </c>
      <c r="J159" s="21"/>
    </row>
    <row r="160" spans="1:10" x14ac:dyDescent="0.25">
      <c r="A160" s="82">
        <v>42768</v>
      </c>
      <c r="B160" s="83" t="s">
        <v>4341</v>
      </c>
      <c r="C160" s="85"/>
      <c r="D160" s="18">
        <v>99496</v>
      </c>
      <c r="E160" s="2" t="s">
        <v>272</v>
      </c>
      <c r="F160" s="15">
        <v>2082</v>
      </c>
      <c r="G160" s="41">
        <v>42769</v>
      </c>
      <c r="H160" s="15">
        <f t="shared" si="5"/>
        <v>2082</v>
      </c>
      <c r="I160" s="15">
        <f t="shared" si="6"/>
        <v>0</v>
      </c>
      <c r="J160" s="21"/>
    </row>
    <row r="161" spans="1:10" x14ac:dyDescent="0.25">
      <c r="A161" s="82">
        <v>42768</v>
      </c>
      <c r="B161" s="83" t="s">
        <v>4342</v>
      </c>
      <c r="C161" s="85"/>
      <c r="D161" s="18">
        <v>99497</v>
      </c>
      <c r="E161" s="2" t="s">
        <v>442</v>
      </c>
      <c r="F161" s="15">
        <v>9378.2999999999993</v>
      </c>
      <c r="G161" s="41">
        <v>42769</v>
      </c>
      <c r="H161" s="15">
        <f t="shared" si="5"/>
        <v>9378.2999999999993</v>
      </c>
      <c r="I161" s="15">
        <f t="shared" si="6"/>
        <v>0</v>
      </c>
      <c r="J161" s="21"/>
    </row>
    <row r="162" spans="1:10" x14ac:dyDescent="0.25">
      <c r="A162" s="82">
        <v>42768</v>
      </c>
      <c r="B162" s="83" t="s">
        <v>4343</v>
      </c>
      <c r="C162" s="85"/>
      <c r="D162" s="18">
        <v>99498</v>
      </c>
      <c r="E162" s="2" t="s">
        <v>47</v>
      </c>
      <c r="F162" s="15">
        <v>4438</v>
      </c>
      <c r="G162" s="41">
        <v>42768</v>
      </c>
      <c r="H162" s="15">
        <f t="shared" si="5"/>
        <v>4438</v>
      </c>
      <c r="I162" s="15">
        <f t="shared" si="6"/>
        <v>0</v>
      </c>
      <c r="J162" s="21"/>
    </row>
    <row r="163" spans="1:10" x14ac:dyDescent="0.25">
      <c r="A163" s="82">
        <v>42768</v>
      </c>
      <c r="B163" s="83" t="s">
        <v>4344</v>
      </c>
      <c r="C163" s="85"/>
      <c r="D163" s="18">
        <v>99499</v>
      </c>
      <c r="E163" s="2" t="s">
        <v>435</v>
      </c>
      <c r="F163" s="15">
        <v>916.5</v>
      </c>
      <c r="G163" s="41">
        <v>42769</v>
      </c>
      <c r="H163" s="15">
        <f t="shared" si="5"/>
        <v>916.5</v>
      </c>
      <c r="I163" s="15">
        <f t="shared" si="6"/>
        <v>0</v>
      </c>
      <c r="J163" s="21"/>
    </row>
    <row r="164" spans="1:10" x14ac:dyDescent="0.25">
      <c r="A164" s="82">
        <v>42768</v>
      </c>
      <c r="B164" s="83" t="s">
        <v>4345</v>
      </c>
      <c r="C164" s="85"/>
      <c r="D164" s="18">
        <v>99500</v>
      </c>
      <c r="E164" s="2" t="s">
        <v>151</v>
      </c>
      <c r="F164" s="15">
        <v>18671.98</v>
      </c>
      <c r="G164" s="41">
        <v>42768</v>
      </c>
      <c r="H164" s="15">
        <f t="shared" si="5"/>
        <v>18671.98</v>
      </c>
      <c r="I164" s="15">
        <f t="shared" si="6"/>
        <v>0</v>
      </c>
      <c r="J164" s="21"/>
    </row>
    <row r="165" spans="1:10" x14ac:dyDescent="0.25">
      <c r="A165" s="82">
        <v>42768</v>
      </c>
      <c r="B165" s="83" t="s">
        <v>4346</v>
      </c>
      <c r="C165" s="85"/>
      <c r="D165" s="18">
        <v>99501</v>
      </c>
      <c r="E165" s="2" t="s">
        <v>61</v>
      </c>
      <c r="F165" s="15">
        <v>29963.200000000001</v>
      </c>
      <c r="G165" s="41">
        <v>42768</v>
      </c>
      <c r="H165" s="15">
        <f t="shared" si="5"/>
        <v>29963.200000000001</v>
      </c>
      <c r="I165" s="15">
        <f t="shared" si="6"/>
        <v>0</v>
      </c>
      <c r="J165" s="21"/>
    </row>
    <row r="166" spans="1:10" x14ac:dyDescent="0.25">
      <c r="A166" s="82">
        <v>42768</v>
      </c>
      <c r="B166" s="83" t="s">
        <v>4347</v>
      </c>
      <c r="C166" s="85"/>
      <c r="D166" s="18">
        <v>99502</v>
      </c>
      <c r="E166" s="2" t="s">
        <v>53</v>
      </c>
      <c r="F166" s="15">
        <v>3038.4</v>
      </c>
      <c r="G166" s="41">
        <v>42768</v>
      </c>
      <c r="H166" s="15">
        <f t="shared" si="5"/>
        <v>3038.4</v>
      </c>
      <c r="I166" s="15">
        <f t="shared" si="6"/>
        <v>0</v>
      </c>
      <c r="J166" s="21"/>
    </row>
    <row r="167" spans="1:10" x14ac:dyDescent="0.25">
      <c r="A167" s="82">
        <v>42768</v>
      </c>
      <c r="B167" s="83" t="s">
        <v>4348</v>
      </c>
      <c r="C167" s="85"/>
      <c r="D167" s="18">
        <v>99503</v>
      </c>
      <c r="E167" s="2" t="s">
        <v>331</v>
      </c>
      <c r="F167" s="15">
        <v>2612.4</v>
      </c>
      <c r="G167" s="41">
        <v>42768</v>
      </c>
      <c r="H167" s="15">
        <f t="shared" si="5"/>
        <v>2612.4</v>
      </c>
      <c r="I167" s="15">
        <f t="shared" si="6"/>
        <v>0</v>
      </c>
      <c r="J167" s="21"/>
    </row>
    <row r="168" spans="1:10" x14ac:dyDescent="0.25">
      <c r="A168" s="82">
        <v>42768</v>
      </c>
      <c r="B168" s="83" t="s">
        <v>4349</v>
      </c>
      <c r="C168" s="85"/>
      <c r="D168" s="18">
        <v>99504</v>
      </c>
      <c r="E168" s="2" t="s">
        <v>186</v>
      </c>
      <c r="F168" s="15">
        <v>3672</v>
      </c>
      <c r="G168" s="41" t="s">
        <v>4259</v>
      </c>
      <c r="H168" s="15">
        <f t="shared" si="5"/>
        <v>3672</v>
      </c>
      <c r="I168" s="15">
        <f t="shared" si="6"/>
        <v>0</v>
      </c>
      <c r="J168" s="21"/>
    </row>
    <row r="169" spans="1:10" x14ac:dyDescent="0.25">
      <c r="A169" s="82">
        <v>42768</v>
      </c>
      <c r="B169" s="83" t="s">
        <v>4350</v>
      </c>
      <c r="C169" s="85"/>
      <c r="D169" s="18">
        <v>99505</v>
      </c>
      <c r="E169" s="2" t="s">
        <v>79</v>
      </c>
      <c r="F169" s="15">
        <v>3546.8</v>
      </c>
      <c r="G169" s="41">
        <v>42768</v>
      </c>
      <c r="H169" s="15">
        <f t="shared" si="5"/>
        <v>3546.8</v>
      </c>
      <c r="I169" s="15">
        <f t="shared" si="6"/>
        <v>0</v>
      </c>
      <c r="J169" s="21"/>
    </row>
    <row r="170" spans="1:10" x14ac:dyDescent="0.25">
      <c r="A170" s="82">
        <v>42768</v>
      </c>
      <c r="B170" s="83" t="s">
        <v>4351</v>
      </c>
      <c r="C170" s="85"/>
      <c r="D170" s="18">
        <v>99506</v>
      </c>
      <c r="E170" s="2" t="s">
        <v>30</v>
      </c>
      <c r="F170" s="15">
        <v>1414.76</v>
      </c>
      <c r="G170" s="41">
        <v>42768</v>
      </c>
      <c r="H170" s="15">
        <f t="shared" si="5"/>
        <v>1414.76</v>
      </c>
      <c r="I170" s="15">
        <f t="shared" si="6"/>
        <v>0</v>
      </c>
      <c r="J170" s="21"/>
    </row>
    <row r="171" spans="1:10" ht="30" x14ac:dyDescent="0.25">
      <c r="A171" s="82">
        <v>42768</v>
      </c>
      <c r="B171" s="83" t="s">
        <v>4352</v>
      </c>
      <c r="C171" s="85"/>
      <c r="D171" s="18">
        <v>99507</v>
      </c>
      <c r="E171" s="2" t="s">
        <v>10</v>
      </c>
      <c r="F171" s="15">
        <v>349288.4</v>
      </c>
      <c r="G171" s="87" t="s">
        <v>4353</v>
      </c>
      <c r="H171" s="20">
        <f>219280.29+130008.11</f>
        <v>349288.4</v>
      </c>
      <c r="I171" s="20">
        <f t="shared" si="6"/>
        <v>0</v>
      </c>
      <c r="J171" s="21"/>
    </row>
    <row r="172" spans="1:10" x14ac:dyDescent="0.25">
      <c r="A172" s="82">
        <v>42768</v>
      </c>
      <c r="B172" s="83" t="s">
        <v>4354</v>
      </c>
      <c r="C172" s="85"/>
      <c r="D172" s="18">
        <v>99508</v>
      </c>
      <c r="E172" s="2" t="s">
        <v>57</v>
      </c>
      <c r="F172" s="15">
        <v>500</v>
      </c>
      <c r="G172" s="41">
        <v>42768</v>
      </c>
      <c r="H172" s="15">
        <f t="shared" si="5"/>
        <v>500</v>
      </c>
      <c r="I172" s="15">
        <f t="shared" si="6"/>
        <v>0</v>
      </c>
      <c r="J172" s="21"/>
    </row>
    <row r="173" spans="1:10" x14ac:dyDescent="0.25">
      <c r="A173" s="82">
        <v>42768</v>
      </c>
      <c r="B173" s="83" t="s">
        <v>4355</v>
      </c>
      <c r="C173" s="85"/>
      <c r="D173" s="18">
        <v>99509</v>
      </c>
      <c r="E173" s="2" t="s">
        <v>1090</v>
      </c>
      <c r="F173" s="15">
        <v>8969.9</v>
      </c>
      <c r="G173" s="41">
        <v>42768</v>
      </c>
      <c r="H173" s="15">
        <f t="shared" si="5"/>
        <v>8969.9</v>
      </c>
      <c r="I173" s="15">
        <f t="shared" si="6"/>
        <v>0</v>
      </c>
      <c r="J173" s="21"/>
    </row>
    <row r="174" spans="1:10" x14ac:dyDescent="0.25">
      <c r="A174" s="82">
        <v>42768</v>
      </c>
      <c r="B174" s="83" t="s">
        <v>4356</v>
      </c>
      <c r="C174" s="85"/>
      <c r="D174" s="18">
        <v>99510</v>
      </c>
      <c r="E174" s="2" t="s">
        <v>335</v>
      </c>
      <c r="F174" s="15">
        <v>816.4</v>
      </c>
      <c r="G174" s="41" t="s">
        <v>4259</v>
      </c>
      <c r="H174" s="15">
        <f t="shared" si="5"/>
        <v>816.4</v>
      </c>
      <c r="I174" s="15">
        <f t="shared" si="6"/>
        <v>0</v>
      </c>
      <c r="J174" s="21"/>
    </row>
    <row r="175" spans="1:10" x14ac:dyDescent="0.25">
      <c r="A175" s="82">
        <v>42768</v>
      </c>
      <c r="B175" s="83" t="s">
        <v>4357</v>
      </c>
      <c r="C175" s="85"/>
      <c r="D175" s="18">
        <v>99511</v>
      </c>
      <c r="E175" s="2" t="s">
        <v>103</v>
      </c>
      <c r="F175" s="15">
        <v>3784.2</v>
      </c>
      <c r="G175" s="41">
        <v>42773</v>
      </c>
      <c r="H175" s="15">
        <f t="shared" si="5"/>
        <v>3784.2</v>
      </c>
      <c r="I175" s="15">
        <f t="shared" si="6"/>
        <v>0</v>
      </c>
      <c r="J175" s="21"/>
    </row>
    <row r="176" spans="1:10" x14ac:dyDescent="0.25">
      <c r="A176" s="82">
        <v>42768</v>
      </c>
      <c r="B176" s="83" t="s">
        <v>4358</v>
      </c>
      <c r="C176" s="85"/>
      <c r="D176" s="18">
        <v>99512</v>
      </c>
      <c r="E176" s="2" t="s">
        <v>45</v>
      </c>
      <c r="F176" s="15">
        <v>1505</v>
      </c>
      <c r="G176" s="41">
        <v>42768</v>
      </c>
      <c r="H176" s="15">
        <f t="shared" si="5"/>
        <v>1505</v>
      </c>
      <c r="I176" s="15">
        <f t="shared" si="6"/>
        <v>0</v>
      </c>
      <c r="J176" s="21"/>
    </row>
    <row r="177" spans="1:10" x14ac:dyDescent="0.25">
      <c r="A177" s="82">
        <v>42768</v>
      </c>
      <c r="B177" s="83" t="s">
        <v>4359</v>
      </c>
      <c r="C177" s="85"/>
      <c r="D177" s="18">
        <v>99513</v>
      </c>
      <c r="E177" s="2" t="s">
        <v>198</v>
      </c>
      <c r="F177" s="15">
        <v>5067.8</v>
      </c>
      <c r="G177" s="41">
        <v>42768</v>
      </c>
      <c r="H177" s="15">
        <f t="shared" si="5"/>
        <v>5067.8</v>
      </c>
      <c r="I177" s="15">
        <f t="shared" si="6"/>
        <v>0</v>
      </c>
      <c r="J177" s="21"/>
    </row>
    <row r="178" spans="1:10" x14ac:dyDescent="0.25">
      <c r="A178" s="82">
        <v>42768</v>
      </c>
      <c r="B178" s="83" t="s">
        <v>4360</v>
      </c>
      <c r="C178" s="85"/>
      <c r="D178" s="18">
        <v>99514</v>
      </c>
      <c r="E178" s="2" t="s">
        <v>302</v>
      </c>
      <c r="F178" s="15">
        <v>5640.6</v>
      </c>
      <c r="G178" s="41">
        <v>42768</v>
      </c>
      <c r="H178" s="15">
        <f t="shared" si="5"/>
        <v>5640.6</v>
      </c>
      <c r="I178" s="15">
        <f t="shared" si="6"/>
        <v>0</v>
      </c>
      <c r="J178" s="21"/>
    </row>
    <row r="179" spans="1:10" x14ac:dyDescent="0.25">
      <c r="A179" s="82">
        <v>42768</v>
      </c>
      <c r="B179" s="83" t="s">
        <v>4361</v>
      </c>
      <c r="C179" s="85"/>
      <c r="D179" s="18">
        <v>99515</v>
      </c>
      <c r="E179" s="2" t="s">
        <v>470</v>
      </c>
      <c r="F179" s="15">
        <v>10915</v>
      </c>
      <c r="G179" s="41">
        <v>42768</v>
      </c>
      <c r="H179" s="15">
        <f t="shared" si="5"/>
        <v>10915</v>
      </c>
      <c r="I179" s="15">
        <f t="shared" si="6"/>
        <v>0</v>
      </c>
      <c r="J179" s="21"/>
    </row>
    <row r="180" spans="1:10" x14ac:dyDescent="0.25">
      <c r="A180" s="82">
        <v>42768</v>
      </c>
      <c r="B180" s="83" t="s">
        <v>4362</v>
      </c>
      <c r="C180" s="85"/>
      <c r="D180" s="18">
        <v>99516</v>
      </c>
      <c r="E180" s="2" t="s">
        <v>319</v>
      </c>
      <c r="F180" s="15">
        <v>3136</v>
      </c>
      <c r="G180" s="41">
        <v>42768</v>
      </c>
      <c r="H180" s="15">
        <f t="shared" si="5"/>
        <v>3136</v>
      </c>
      <c r="I180" s="15">
        <f t="shared" si="6"/>
        <v>0</v>
      </c>
      <c r="J180" s="21"/>
    </row>
    <row r="181" spans="1:10" x14ac:dyDescent="0.25">
      <c r="A181" s="82">
        <v>42768</v>
      </c>
      <c r="B181" s="83" t="s">
        <v>4363</v>
      </c>
      <c r="C181" s="85"/>
      <c r="D181" s="18">
        <v>99517</v>
      </c>
      <c r="E181" s="2" t="s">
        <v>492</v>
      </c>
      <c r="F181" s="15">
        <v>26464</v>
      </c>
      <c r="G181" s="41">
        <v>42770</v>
      </c>
      <c r="H181" s="15">
        <f t="shared" si="5"/>
        <v>26464</v>
      </c>
      <c r="I181" s="15">
        <f t="shared" si="6"/>
        <v>0</v>
      </c>
      <c r="J181" s="21"/>
    </row>
    <row r="182" spans="1:10" x14ac:dyDescent="0.25">
      <c r="A182" s="82">
        <v>42768</v>
      </c>
      <c r="B182" s="83" t="s">
        <v>4364</v>
      </c>
      <c r="C182" s="85"/>
      <c r="D182" s="18">
        <v>99518</v>
      </c>
      <c r="E182" s="2" t="s">
        <v>125</v>
      </c>
      <c r="F182" s="15">
        <v>7729.8</v>
      </c>
      <c r="G182" s="41">
        <v>42768</v>
      </c>
      <c r="H182" s="15">
        <f t="shared" si="5"/>
        <v>7729.8</v>
      </c>
      <c r="I182" s="15">
        <f t="shared" si="6"/>
        <v>0</v>
      </c>
      <c r="J182" s="21"/>
    </row>
    <row r="183" spans="1:10" x14ac:dyDescent="0.25">
      <c r="A183" s="82">
        <v>42768</v>
      </c>
      <c r="B183" s="83" t="s">
        <v>4365</v>
      </c>
      <c r="C183" s="85"/>
      <c r="D183" s="18">
        <v>99519</v>
      </c>
      <c r="E183" s="2" t="s">
        <v>289</v>
      </c>
      <c r="F183" s="15">
        <v>20426.2</v>
      </c>
      <c r="G183" s="41">
        <v>42780</v>
      </c>
      <c r="H183" s="15">
        <f t="shared" si="5"/>
        <v>20426.2</v>
      </c>
      <c r="I183" s="15">
        <f t="shared" si="6"/>
        <v>0</v>
      </c>
      <c r="J183" s="21"/>
    </row>
    <row r="184" spans="1:10" x14ac:dyDescent="0.25">
      <c r="A184" s="82">
        <v>42768</v>
      </c>
      <c r="B184" s="83" t="s">
        <v>4366</v>
      </c>
      <c r="C184" s="85"/>
      <c r="D184" s="18">
        <v>99520</v>
      </c>
      <c r="E184" s="2" t="s">
        <v>4367</v>
      </c>
      <c r="F184" s="15">
        <v>1398.8</v>
      </c>
      <c r="G184" s="41">
        <v>42768</v>
      </c>
      <c r="H184" s="15">
        <f t="shared" si="5"/>
        <v>1398.8</v>
      </c>
      <c r="I184" s="15">
        <f t="shared" si="6"/>
        <v>0</v>
      </c>
      <c r="J184" s="21"/>
    </row>
    <row r="185" spans="1:10" x14ac:dyDescent="0.25">
      <c r="A185" s="82">
        <v>42768</v>
      </c>
      <c r="B185" s="83" t="s">
        <v>4368</v>
      </c>
      <c r="C185" s="85"/>
      <c r="D185" s="18">
        <v>99521</v>
      </c>
      <c r="E185" s="2" t="s">
        <v>321</v>
      </c>
      <c r="F185" s="15">
        <v>496.8</v>
      </c>
      <c r="G185" s="41">
        <v>42768</v>
      </c>
      <c r="H185" s="15">
        <f t="shared" si="5"/>
        <v>496.8</v>
      </c>
      <c r="I185" s="15">
        <f t="shared" si="6"/>
        <v>0</v>
      </c>
      <c r="J185" s="21"/>
    </row>
    <row r="186" spans="1:10" x14ac:dyDescent="0.25">
      <c r="A186" s="82">
        <v>42768</v>
      </c>
      <c r="B186" s="83" t="s">
        <v>4369</v>
      </c>
      <c r="C186" s="85"/>
      <c r="D186" s="18">
        <v>99522</v>
      </c>
      <c r="E186" s="2" t="s">
        <v>613</v>
      </c>
      <c r="F186" s="15">
        <v>3701.1</v>
      </c>
      <c r="G186" s="41">
        <v>42768</v>
      </c>
      <c r="H186" s="15">
        <f t="shared" si="5"/>
        <v>3701.1</v>
      </c>
      <c r="I186" s="15">
        <f t="shared" si="6"/>
        <v>0</v>
      </c>
      <c r="J186" s="21"/>
    </row>
    <row r="187" spans="1:10" x14ac:dyDescent="0.25">
      <c r="A187" s="82">
        <v>42768</v>
      </c>
      <c r="B187" s="83" t="s">
        <v>4370</v>
      </c>
      <c r="C187" s="85"/>
      <c r="D187" s="18">
        <v>99523</v>
      </c>
      <c r="E187" s="2" t="s">
        <v>133</v>
      </c>
      <c r="F187" s="15">
        <v>17474.8</v>
      </c>
      <c r="G187" s="41">
        <v>42794</v>
      </c>
      <c r="H187" s="15">
        <f t="shared" si="5"/>
        <v>17474.8</v>
      </c>
      <c r="I187" s="15">
        <f t="shared" si="6"/>
        <v>0</v>
      </c>
      <c r="J187" s="19"/>
    </row>
    <row r="188" spans="1:10" x14ac:dyDescent="0.25">
      <c r="A188" s="82">
        <v>42768</v>
      </c>
      <c r="B188" s="83" t="s">
        <v>4371</v>
      </c>
      <c r="C188" s="85"/>
      <c r="D188" s="18">
        <v>99524</v>
      </c>
      <c r="E188" s="2" t="s">
        <v>131</v>
      </c>
      <c r="F188" s="15">
        <v>3954.8</v>
      </c>
      <c r="G188" s="41">
        <v>42768</v>
      </c>
      <c r="H188" s="15">
        <f t="shared" si="5"/>
        <v>3954.8</v>
      </c>
      <c r="I188" s="15">
        <f t="shared" si="6"/>
        <v>0</v>
      </c>
      <c r="J188" s="21"/>
    </row>
    <row r="189" spans="1:10" x14ac:dyDescent="0.25">
      <c r="A189" s="82">
        <v>42768</v>
      </c>
      <c r="B189" s="83" t="s">
        <v>4372</v>
      </c>
      <c r="C189" s="85"/>
      <c r="D189" s="18">
        <v>99525</v>
      </c>
      <c r="E189" s="2" t="s">
        <v>83</v>
      </c>
      <c r="F189" s="15">
        <v>3831.9</v>
      </c>
      <c r="G189" s="41">
        <v>42768</v>
      </c>
      <c r="H189" s="15">
        <f t="shared" si="5"/>
        <v>3831.9</v>
      </c>
      <c r="I189" s="15">
        <f t="shared" si="6"/>
        <v>0</v>
      </c>
      <c r="J189" s="21"/>
    </row>
    <row r="190" spans="1:10" x14ac:dyDescent="0.25">
      <c r="A190" s="82">
        <v>42768</v>
      </c>
      <c r="B190" s="83" t="s">
        <v>4373</v>
      </c>
      <c r="C190" s="85"/>
      <c r="D190" s="18">
        <v>99526</v>
      </c>
      <c r="E190" s="2" t="s">
        <v>105</v>
      </c>
      <c r="F190" s="15">
        <v>306.10000000000002</v>
      </c>
      <c r="G190" s="41">
        <v>42768</v>
      </c>
      <c r="H190" s="15">
        <f t="shared" si="5"/>
        <v>306.10000000000002</v>
      </c>
      <c r="I190" s="15">
        <f t="shared" si="6"/>
        <v>0</v>
      </c>
      <c r="J190" s="21"/>
    </row>
    <row r="191" spans="1:10" x14ac:dyDescent="0.25">
      <c r="A191" s="82">
        <v>42768</v>
      </c>
      <c r="B191" s="83" t="s">
        <v>4374</v>
      </c>
      <c r="C191" s="85"/>
      <c r="D191" s="18">
        <v>99527</v>
      </c>
      <c r="E191" s="2" t="s">
        <v>103</v>
      </c>
      <c r="F191" s="15">
        <v>177.6</v>
      </c>
      <c r="G191" s="41">
        <v>42773</v>
      </c>
      <c r="H191" s="15">
        <f t="shared" si="5"/>
        <v>177.6</v>
      </c>
      <c r="I191" s="15">
        <f t="shared" si="6"/>
        <v>0</v>
      </c>
      <c r="J191" s="21"/>
    </row>
    <row r="192" spans="1:10" x14ac:dyDescent="0.25">
      <c r="A192" s="82">
        <v>42768</v>
      </c>
      <c r="B192" s="83" t="s">
        <v>4375</v>
      </c>
      <c r="C192" s="85"/>
      <c r="D192" s="18">
        <v>99528</v>
      </c>
      <c r="E192" s="2" t="s">
        <v>445</v>
      </c>
      <c r="F192" s="15">
        <v>1464.8</v>
      </c>
      <c r="G192" s="41">
        <v>42768</v>
      </c>
      <c r="H192" s="15">
        <f t="shared" si="5"/>
        <v>1464.8</v>
      </c>
      <c r="I192" s="15">
        <f t="shared" si="6"/>
        <v>0</v>
      </c>
      <c r="J192" s="21"/>
    </row>
    <row r="193" spans="1:10" x14ac:dyDescent="0.25">
      <c r="A193" s="82">
        <v>42768</v>
      </c>
      <c r="B193" s="83" t="s">
        <v>4376</v>
      </c>
      <c r="C193" s="85"/>
      <c r="D193" s="18">
        <v>99529</v>
      </c>
      <c r="E193" s="2" t="s">
        <v>109</v>
      </c>
      <c r="F193" s="15">
        <v>496</v>
      </c>
      <c r="G193" s="41">
        <v>42768</v>
      </c>
      <c r="H193" s="15">
        <f t="shared" si="5"/>
        <v>496</v>
      </c>
      <c r="I193" s="15">
        <f t="shared" si="6"/>
        <v>0</v>
      </c>
      <c r="J193" s="21"/>
    </row>
    <row r="194" spans="1:10" x14ac:dyDescent="0.25">
      <c r="A194" s="82">
        <v>42768</v>
      </c>
      <c r="B194" s="83" t="s">
        <v>4377</v>
      </c>
      <c r="C194" s="85"/>
      <c r="D194" s="18">
        <v>99530</v>
      </c>
      <c r="E194" s="2" t="s">
        <v>122</v>
      </c>
      <c r="F194" s="15">
        <v>34805.9</v>
      </c>
      <c r="G194" s="41">
        <v>42774</v>
      </c>
      <c r="H194" s="15">
        <f t="shared" si="5"/>
        <v>34805.9</v>
      </c>
      <c r="I194" s="15">
        <f t="shared" si="6"/>
        <v>0</v>
      </c>
      <c r="J194" s="21"/>
    </row>
    <row r="195" spans="1:10" x14ac:dyDescent="0.25">
      <c r="A195" s="82">
        <v>42768</v>
      </c>
      <c r="B195" s="83" t="s">
        <v>4378</v>
      </c>
      <c r="C195" s="85"/>
      <c r="D195" s="18">
        <v>99531</v>
      </c>
      <c r="E195" s="2" t="s">
        <v>1259</v>
      </c>
      <c r="F195" s="15">
        <v>896.7</v>
      </c>
      <c r="G195" s="41">
        <v>42768</v>
      </c>
      <c r="H195" s="15">
        <f t="shared" si="5"/>
        <v>896.7</v>
      </c>
      <c r="I195" s="15">
        <f t="shared" si="6"/>
        <v>0</v>
      </c>
      <c r="J195" s="21"/>
    </row>
    <row r="196" spans="1:10" x14ac:dyDescent="0.25">
      <c r="A196" s="82">
        <v>42768</v>
      </c>
      <c r="B196" s="83" t="s">
        <v>4379</v>
      </c>
      <c r="C196" s="85"/>
      <c r="D196" s="18">
        <v>99532</v>
      </c>
      <c r="E196" s="2" t="s">
        <v>122</v>
      </c>
      <c r="F196" s="15">
        <v>3643.2</v>
      </c>
      <c r="G196" s="41">
        <v>42770</v>
      </c>
      <c r="H196" s="15">
        <f t="shared" ref="H196:H259" si="7">F196</f>
        <v>3643.2</v>
      </c>
      <c r="I196" s="15">
        <f t="shared" si="6"/>
        <v>0</v>
      </c>
      <c r="J196" s="21"/>
    </row>
    <row r="197" spans="1:10" x14ac:dyDescent="0.25">
      <c r="A197" s="82">
        <v>42768</v>
      </c>
      <c r="B197" s="83" t="s">
        <v>4380</v>
      </c>
      <c r="C197" s="85"/>
      <c r="D197" s="18">
        <v>99533</v>
      </c>
      <c r="E197" s="2" t="s">
        <v>785</v>
      </c>
      <c r="F197" s="15">
        <v>8661.2000000000007</v>
      </c>
      <c r="G197" s="41">
        <v>42768</v>
      </c>
      <c r="H197" s="15">
        <f t="shared" si="7"/>
        <v>8661.2000000000007</v>
      </c>
      <c r="I197" s="15">
        <f t="shared" si="6"/>
        <v>0</v>
      </c>
      <c r="J197" s="21"/>
    </row>
    <row r="198" spans="1:10" x14ac:dyDescent="0.25">
      <c r="A198" s="82">
        <v>42768</v>
      </c>
      <c r="B198" s="83" t="s">
        <v>4381</v>
      </c>
      <c r="C198" s="85"/>
      <c r="D198" s="18">
        <v>99534</v>
      </c>
      <c r="E198" s="2" t="s">
        <v>1830</v>
      </c>
      <c r="F198" s="15">
        <v>29252.400000000001</v>
      </c>
      <c r="G198" s="41">
        <v>42768</v>
      </c>
      <c r="H198" s="15">
        <f t="shared" si="7"/>
        <v>29252.400000000001</v>
      </c>
      <c r="I198" s="15">
        <f t="shared" ref="I198:I261" si="8">F198-H198</f>
        <v>0</v>
      </c>
      <c r="J198" s="21"/>
    </row>
    <row r="199" spans="1:10" x14ac:dyDescent="0.25">
      <c r="A199" s="82">
        <v>42768</v>
      </c>
      <c r="B199" s="83" t="s">
        <v>4382</v>
      </c>
      <c r="C199" s="85"/>
      <c r="D199" s="18">
        <v>99535</v>
      </c>
      <c r="E199" s="2" t="s">
        <v>88</v>
      </c>
      <c r="F199" s="15">
        <v>11364</v>
      </c>
      <c r="G199" s="41">
        <v>42768</v>
      </c>
      <c r="H199" s="15">
        <f t="shared" si="7"/>
        <v>11364</v>
      </c>
      <c r="I199" s="15">
        <f t="shared" si="8"/>
        <v>0</v>
      </c>
      <c r="J199" s="21"/>
    </row>
    <row r="200" spans="1:10" x14ac:dyDescent="0.25">
      <c r="A200" s="82">
        <v>42768</v>
      </c>
      <c r="B200" s="83" t="s">
        <v>4383</v>
      </c>
      <c r="C200" s="85"/>
      <c r="D200" s="18">
        <v>99536</v>
      </c>
      <c r="E200" s="2" t="s">
        <v>118</v>
      </c>
      <c r="F200" s="15">
        <v>3530.4</v>
      </c>
      <c r="G200" s="41">
        <v>42768</v>
      </c>
      <c r="H200" s="15">
        <f t="shared" si="7"/>
        <v>3530.4</v>
      </c>
      <c r="I200" s="15">
        <f t="shared" si="8"/>
        <v>0</v>
      </c>
      <c r="J200" s="21"/>
    </row>
    <row r="201" spans="1:10" x14ac:dyDescent="0.25">
      <c r="A201" s="82">
        <v>42768</v>
      </c>
      <c r="B201" s="83" t="s">
        <v>4384</v>
      </c>
      <c r="C201" s="85"/>
      <c r="D201" s="18">
        <v>99537</v>
      </c>
      <c r="E201" s="13" t="s">
        <v>1269</v>
      </c>
      <c r="F201" s="14">
        <v>0</v>
      </c>
      <c r="G201" s="88" t="s">
        <v>95</v>
      </c>
      <c r="H201" s="14">
        <f t="shared" si="7"/>
        <v>0</v>
      </c>
      <c r="I201" s="14">
        <f t="shared" si="8"/>
        <v>0</v>
      </c>
      <c r="J201" s="21"/>
    </row>
    <row r="202" spans="1:10" x14ac:dyDescent="0.25">
      <c r="A202" s="82">
        <v>42768</v>
      </c>
      <c r="B202" s="83" t="s">
        <v>4385</v>
      </c>
      <c r="C202" s="85"/>
      <c r="D202" s="18">
        <v>99538</v>
      </c>
      <c r="E202" s="2" t="s">
        <v>113</v>
      </c>
      <c r="F202" s="15">
        <v>2446.8000000000002</v>
      </c>
      <c r="G202" s="41">
        <v>42768</v>
      </c>
      <c r="H202" s="15">
        <f t="shared" si="7"/>
        <v>2446.8000000000002</v>
      </c>
      <c r="I202" s="15">
        <f t="shared" si="8"/>
        <v>0</v>
      </c>
      <c r="J202" s="21"/>
    </row>
    <row r="203" spans="1:10" x14ac:dyDescent="0.25">
      <c r="A203" s="82">
        <v>42768</v>
      </c>
      <c r="B203" s="83" t="s">
        <v>4386</v>
      </c>
      <c r="C203" s="85"/>
      <c r="D203" s="18">
        <v>99539</v>
      </c>
      <c r="E203" s="2" t="s">
        <v>1269</v>
      </c>
      <c r="F203" s="15">
        <v>7151.3</v>
      </c>
      <c r="G203" s="41">
        <v>42768</v>
      </c>
      <c r="H203" s="15">
        <f t="shared" si="7"/>
        <v>7151.3</v>
      </c>
      <c r="I203" s="15">
        <f t="shared" si="8"/>
        <v>0</v>
      </c>
      <c r="J203" s="21"/>
    </row>
    <row r="204" spans="1:10" x14ac:dyDescent="0.25">
      <c r="A204" s="82">
        <v>42768</v>
      </c>
      <c r="B204" s="83" t="s">
        <v>4387</v>
      </c>
      <c r="C204" s="85"/>
      <c r="D204" s="18">
        <v>99540</v>
      </c>
      <c r="E204" s="2" t="s">
        <v>30</v>
      </c>
      <c r="F204" s="15">
        <v>334.8</v>
      </c>
      <c r="G204" s="41">
        <v>42768</v>
      </c>
      <c r="H204" s="15">
        <f t="shared" si="7"/>
        <v>334.8</v>
      </c>
      <c r="I204" s="15">
        <f t="shared" si="8"/>
        <v>0</v>
      </c>
      <c r="J204" s="21"/>
    </row>
    <row r="205" spans="1:10" x14ac:dyDescent="0.25">
      <c r="A205" s="82">
        <v>42768</v>
      </c>
      <c r="B205" s="83" t="s">
        <v>4388</v>
      </c>
      <c r="C205" s="85"/>
      <c r="D205" s="18">
        <v>99541</v>
      </c>
      <c r="E205" s="2" t="s">
        <v>531</v>
      </c>
      <c r="F205" s="15">
        <v>34587.599999999999</v>
      </c>
      <c r="G205" s="41">
        <v>42769</v>
      </c>
      <c r="H205" s="15">
        <f t="shared" si="7"/>
        <v>34587.599999999999</v>
      </c>
      <c r="I205" s="15">
        <f t="shared" si="8"/>
        <v>0</v>
      </c>
      <c r="J205" s="21"/>
    </row>
    <row r="206" spans="1:10" x14ac:dyDescent="0.25">
      <c r="A206" s="82">
        <v>42768</v>
      </c>
      <c r="B206" s="83" t="s">
        <v>4389</v>
      </c>
      <c r="C206" s="85"/>
      <c r="D206" s="18">
        <v>99542</v>
      </c>
      <c r="E206" s="2" t="s">
        <v>10</v>
      </c>
      <c r="F206" s="15">
        <v>75917.279999999999</v>
      </c>
      <c r="G206" s="41">
        <v>42776</v>
      </c>
      <c r="H206" s="15">
        <f t="shared" si="7"/>
        <v>75917.279999999999</v>
      </c>
      <c r="I206" s="15">
        <f t="shared" si="8"/>
        <v>0</v>
      </c>
      <c r="J206" s="21"/>
    </row>
    <row r="207" spans="1:10" x14ac:dyDescent="0.25">
      <c r="A207" s="82">
        <v>42768</v>
      </c>
      <c r="B207" s="83" t="s">
        <v>4390</v>
      </c>
      <c r="C207" s="85"/>
      <c r="D207" s="18">
        <v>99543</v>
      </c>
      <c r="E207" s="2" t="s">
        <v>721</v>
      </c>
      <c r="F207" s="15">
        <v>3839.6</v>
      </c>
      <c r="G207" s="41">
        <v>42768</v>
      </c>
      <c r="H207" s="15">
        <f t="shared" si="7"/>
        <v>3839.6</v>
      </c>
      <c r="I207" s="15">
        <f t="shared" si="8"/>
        <v>0</v>
      </c>
      <c r="J207" s="21"/>
    </row>
    <row r="208" spans="1:10" x14ac:dyDescent="0.25">
      <c r="A208" s="82">
        <v>42768</v>
      </c>
      <c r="B208" s="83" t="s">
        <v>4391</v>
      </c>
      <c r="C208" s="85"/>
      <c r="D208" s="18">
        <v>99544</v>
      </c>
      <c r="E208" s="2" t="s">
        <v>159</v>
      </c>
      <c r="F208" s="15">
        <v>6763.7</v>
      </c>
      <c r="G208" s="41">
        <v>42768</v>
      </c>
      <c r="H208" s="15">
        <f t="shared" si="7"/>
        <v>6763.7</v>
      </c>
      <c r="I208" s="15">
        <f t="shared" si="8"/>
        <v>0</v>
      </c>
      <c r="J208" s="21"/>
    </row>
    <row r="209" spans="1:10" x14ac:dyDescent="0.25">
      <c r="A209" s="82">
        <v>42768</v>
      </c>
      <c r="B209" s="83" t="s">
        <v>4392</v>
      </c>
      <c r="C209" s="85"/>
      <c r="D209" s="18">
        <v>99545</v>
      </c>
      <c r="E209" s="2" t="s">
        <v>1870</v>
      </c>
      <c r="F209" s="15">
        <v>1312.2</v>
      </c>
      <c r="G209" s="41">
        <v>42768</v>
      </c>
      <c r="H209" s="15">
        <f t="shared" si="7"/>
        <v>1312.2</v>
      </c>
      <c r="I209" s="15">
        <f t="shared" si="8"/>
        <v>0</v>
      </c>
      <c r="J209" s="21"/>
    </row>
    <row r="210" spans="1:10" x14ac:dyDescent="0.25">
      <c r="A210" s="82">
        <v>42768</v>
      </c>
      <c r="B210" s="83" t="s">
        <v>4393</v>
      </c>
      <c r="C210" s="85"/>
      <c r="D210" s="18">
        <v>99546</v>
      </c>
      <c r="E210" s="2" t="s">
        <v>305</v>
      </c>
      <c r="F210" s="15">
        <v>7999.2</v>
      </c>
      <c r="G210" s="41">
        <v>42772</v>
      </c>
      <c r="H210" s="15">
        <f t="shared" si="7"/>
        <v>7999.2</v>
      </c>
      <c r="I210" s="15">
        <f t="shared" si="8"/>
        <v>0</v>
      </c>
      <c r="J210" s="21"/>
    </row>
    <row r="211" spans="1:10" x14ac:dyDescent="0.25">
      <c r="A211" s="82">
        <v>42768</v>
      </c>
      <c r="B211" s="83" t="s">
        <v>4394</v>
      </c>
      <c r="C211" s="85"/>
      <c r="D211" s="18">
        <v>99547</v>
      </c>
      <c r="E211" s="2" t="s">
        <v>476</v>
      </c>
      <c r="F211" s="15">
        <v>8463.5</v>
      </c>
      <c r="G211" s="41">
        <v>42773</v>
      </c>
      <c r="H211" s="15">
        <f t="shared" si="7"/>
        <v>8463.5</v>
      </c>
      <c r="I211" s="15">
        <f t="shared" si="8"/>
        <v>0</v>
      </c>
      <c r="J211" s="21"/>
    </row>
    <row r="212" spans="1:10" x14ac:dyDescent="0.25">
      <c r="A212" s="82">
        <v>42768</v>
      </c>
      <c r="B212" s="83" t="s">
        <v>4395</v>
      </c>
      <c r="C212" s="85"/>
      <c r="D212" s="18">
        <v>99548</v>
      </c>
      <c r="E212" s="2" t="s">
        <v>159</v>
      </c>
      <c r="F212" s="15">
        <v>1297.2</v>
      </c>
      <c r="G212" s="41">
        <v>42768</v>
      </c>
      <c r="H212" s="15">
        <f t="shared" si="7"/>
        <v>1297.2</v>
      </c>
      <c r="I212" s="15">
        <f t="shared" si="8"/>
        <v>0</v>
      </c>
      <c r="J212" s="21"/>
    </row>
    <row r="213" spans="1:10" x14ac:dyDescent="0.25">
      <c r="A213" s="82">
        <v>42768</v>
      </c>
      <c r="B213" s="83" t="s">
        <v>4396</v>
      </c>
      <c r="C213" s="85"/>
      <c r="D213" s="18">
        <v>99549</v>
      </c>
      <c r="E213" s="2" t="s">
        <v>115</v>
      </c>
      <c r="F213" s="15">
        <v>289.60000000000002</v>
      </c>
      <c r="G213" s="41">
        <v>42768</v>
      </c>
      <c r="H213" s="15">
        <f t="shared" si="7"/>
        <v>289.60000000000002</v>
      </c>
      <c r="I213" s="15">
        <f t="shared" si="8"/>
        <v>0</v>
      </c>
      <c r="J213" s="21"/>
    </row>
    <row r="214" spans="1:10" x14ac:dyDescent="0.25">
      <c r="A214" s="82">
        <v>42768</v>
      </c>
      <c r="B214" s="83" t="s">
        <v>4397</v>
      </c>
      <c r="C214" s="85"/>
      <c r="D214" s="18">
        <v>99550</v>
      </c>
      <c r="E214" s="2" t="s">
        <v>879</v>
      </c>
      <c r="F214" s="15">
        <v>3729.6</v>
      </c>
      <c r="G214" s="41">
        <v>42768</v>
      </c>
      <c r="H214" s="15">
        <f t="shared" si="7"/>
        <v>3729.6</v>
      </c>
      <c r="I214" s="15">
        <f t="shared" si="8"/>
        <v>0</v>
      </c>
      <c r="J214" s="21"/>
    </row>
    <row r="215" spans="1:10" x14ac:dyDescent="0.25">
      <c r="A215" s="82">
        <v>42768</v>
      </c>
      <c r="B215" s="83" t="s">
        <v>4398</v>
      </c>
      <c r="C215" s="85"/>
      <c r="D215" s="18">
        <v>99551</v>
      </c>
      <c r="E215" s="2" t="s">
        <v>428</v>
      </c>
      <c r="F215" s="15">
        <v>1430.6</v>
      </c>
      <c r="G215" s="41">
        <v>42772</v>
      </c>
      <c r="H215" s="15">
        <f t="shared" si="7"/>
        <v>1430.6</v>
      </c>
      <c r="I215" s="15">
        <f t="shared" si="8"/>
        <v>0</v>
      </c>
      <c r="J215" s="21"/>
    </row>
    <row r="216" spans="1:10" x14ac:dyDescent="0.25">
      <c r="A216" s="82">
        <v>42768</v>
      </c>
      <c r="B216" s="83" t="s">
        <v>4399</v>
      </c>
      <c r="C216" s="85"/>
      <c r="D216" s="18">
        <v>99552</v>
      </c>
      <c r="E216" s="2" t="s">
        <v>149</v>
      </c>
      <c r="F216" s="15">
        <v>1474.2</v>
      </c>
      <c r="G216" s="41">
        <v>42768</v>
      </c>
      <c r="H216" s="15">
        <f t="shared" si="7"/>
        <v>1474.2</v>
      </c>
      <c r="I216" s="15">
        <f t="shared" si="8"/>
        <v>0</v>
      </c>
      <c r="J216" s="21"/>
    </row>
    <row r="217" spans="1:10" x14ac:dyDescent="0.25">
      <c r="A217" s="82">
        <v>42768</v>
      </c>
      <c r="B217" s="83" t="s">
        <v>4400</v>
      </c>
      <c r="C217" s="85"/>
      <c r="D217" s="18">
        <v>99553</v>
      </c>
      <c r="E217" s="2" t="s">
        <v>10</v>
      </c>
      <c r="F217" s="15">
        <v>129596.6</v>
      </c>
      <c r="G217" s="41">
        <v>42776</v>
      </c>
      <c r="H217" s="15">
        <f t="shared" si="7"/>
        <v>129596.6</v>
      </c>
      <c r="I217" s="15">
        <f t="shared" si="8"/>
        <v>0</v>
      </c>
      <c r="J217" s="21"/>
    </row>
    <row r="218" spans="1:10" x14ac:dyDescent="0.25">
      <c r="A218" s="82">
        <v>42768</v>
      </c>
      <c r="B218" s="83" t="s">
        <v>4401</v>
      </c>
      <c r="C218" s="85"/>
      <c r="D218" s="18">
        <v>99554</v>
      </c>
      <c r="E218" s="2" t="s">
        <v>10</v>
      </c>
      <c r="F218" s="15">
        <v>1515.8</v>
      </c>
      <c r="G218" s="41">
        <v>42776</v>
      </c>
      <c r="H218" s="15">
        <f t="shared" si="7"/>
        <v>1515.8</v>
      </c>
      <c r="I218" s="15">
        <f t="shared" si="8"/>
        <v>0</v>
      </c>
      <c r="J218" s="21"/>
    </row>
    <row r="219" spans="1:10" x14ac:dyDescent="0.25">
      <c r="A219" s="82">
        <v>42768</v>
      </c>
      <c r="B219" s="83" t="s">
        <v>4402</v>
      </c>
      <c r="C219" s="85"/>
      <c r="D219" s="18">
        <v>99555</v>
      </c>
      <c r="E219" s="2" t="s">
        <v>10</v>
      </c>
      <c r="F219" s="15">
        <v>2069.1999999999998</v>
      </c>
      <c r="G219" s="41">
        <v>42776</v>
      </c>
      <c r="H219" s="15">
        <f t="shared" si="7"/>
        <v>2069.1999999999998</v>
      </c>
      <c r="I219" s="15">
        <f t="shared" si="8"/>
        <v>0</v>
      </c>
      <c r="J219" s="21"/>
    </row>
    <row r="220" spans="1:10" x14ac:dyDescent="0.25">
      <c r="A220" s="82">
        <v>42768</v>
      </c>
      <c r="B220" s="83" t="s">
        <v>4403</v>
      </c>
      <c r="C220" s="85"/>
      <c r="D220" s="18">
        <v>99556</v>
      </c>
      <c r="E220" s="2" t="s">
        <v>193</v>
      </c>
      <c r="F220" s="15">
        <v>1989.4</v>
      </c>
      <c r="G220" s="41">
        <v>42769</v>
      </c>
      <c r="H220" s="15">
        <f t="shared" si="7"/>
        <v>1989.4</v>
      </c>
      <c r="I220" s="15">
        <f t="shared" si="8"/>
        <v>0</v>
      </c>
      <c r="J220" s="21"/>
    </row>
    <row r="221" spans="1:10" x14ac:dyDescent="0.25">
      <c r="A221" s="82">
        <v>42768</v>
      </c>
      <c r="B221" s="83" t="s">
        <v>4404</v>
      </c>
      <c r="C221" s="85"/>
      <c r="D221" s="18">
        <v>99557</v>
      </c>
      <c r="E221" s="2" t="s">
        <v>182</v>
      </c>
      <c r="F221" s="15">
        <v>2505</v>
      </c>
      <c r="G221" s="41">
        <v>42768</v>
      </c>
      <c r="H221" s="15">
        <f t="shared" si="7"/>
        <v>2505</v>
      </c>
      <c r="I221" s="15">
        <f t="shared" si="8"/>
        <v>0</v>
      </c>
      <c r="J221" s="21"/>
    </row>
    <row r="222" spans="1:10" x14ac:dyDescent="0.25">
      <c r="A222" s="82">
        <v>42768</v>
      </c>
      <c r="B222" s="83" t="s">
        <v>4405</v>
      </c>
      <c r="C222" s="85"/>
      <c r="D222" s="18">
        <v>99558</v>
      </c>
      <c r="E222" s="2" t="s">
        <v>9</v>
      </c>
      <c r="F222" s="15">
        <v>7482.4</v>
      </c>
      <c r="G222" s="41">
        <v>42773</v>
      </c>
      <c r="H222" s="15">
        <f t="shared" si="7"/>
        <v>7482.4</v>
      </c>
      <c r="I222" s="15">
        <f t="shared" si="8"/>
        <v>0</v>
      </c>
      <c r="J222" s="21"/>
    </row>
    <row r="223" spans="1:10" x14ac:dyDescent="0.25">
      <c r="A223" s="82">
        <v>42768</v>
      </c>
      <c r="B223" s="83" t="s">
        <v>4406</v>
      </c>
      <c r="C223" s="85"/>
      <c r="D223" s="18">
        <v>99559</v>
      </c>
      <c r="E223" s="2" t="s">
        <v>1299</v>
      </c>
      <c r="F223" s="15">
        <v>2721.6</v>
      </c>
      <c r="G223" s="41">
        <v>42768</v>
      </c>
      <c r="H223" s="15">
        <f t="shared" si="7"/>
        <v>2721.6</v>
      </c>
      <c r="I223" s="15">
        <f t="shared" si="8"/>
        <v>0</v>
      </c>
      <c r="J223" s="21"/>
    </row>
    <row r="224" spans="1:10" x14ac:dyDescent="0.25">
      <c r="A224" s="82">
        <v>42768</v>
      </c>
      <c r="B224" s="83" t="s">
        <v>4407</v>
      </c>
      <c r="C224" s="85"/>
      <c r="D224" s="18">
        <v>99560</v>
      </c>
      <c r="E224" s="2" t="s">
        <v>1299</v>
      </c>
      <c r="F224" s="15">
        <v>1593.6</v>
      </c>
      <c r="G224" s="41">
        <v>42768</v>
      </c>
      <c r="H224" s="15">
        <f t="shared" si="7"/>
        <v>1593.6</v>
      </c>
      <c r="I224" s="15">
        <f t="shared" si="8"/>
        <v>0</v>
      </c>
      <c r="J224" s="21"/>
    </row>
    <row r="225" spans="1:10" x14ac:dyDescent="0.25">
      <c r="A225" s="82">
        <v>42768</v>
      </c>
      <c r="B225" s="83" t="s">
        <v>4408</v>
      </c>
      <c r="C225" s="85"/>
      <c r="D225" s="18">
        <v>99561</v>
      </c>
      <c r="E225" s="2" t="s">
        <v>30</v>
      </c>
      <c r="F225" s="15">
        <v>3681.6</v>
      </c>
      <c r="G225" s="41">
        <v>42769</v>
      </c>
      <c r="H225" s="15">
        <f t="shared" si="7"/>
        <v>3681.6</v>
      </c>
      <c r="I225" s="15">
        <f t="shared" si="8"/>
        <v>0</v>
      </c>
      <c r="J225" s="21"/>
    </row>
    <row r="226" spans="1:10" x14ac:dyDescent="0.25">
      <c r="A226" s="82">
        <v>42768</v>
      </c>
      <c r="B226" s="83" t="s">
        <v>4409</v>
      </c>
      <c r="C226" s="85"/>
      <c r="D226" s="18">
        <v>99562</v>
      </c>
      <c r="E226" s="2" t="s">
        <v>205</v>
      </c>
      <c r="F226" s="15">
        <v>30285.72</v>
      </c>
      <c r="G226" s="41">
        <v>42768</v>
      </c>
      <c r="H226" s="15">
        <f t="shared" si="7"/>
        <v>30285.72</v>
      </c>
      <c r="I226" s="15">
        <f t="shared" si="8"/>
        <v>0</v>
      </c>
      <c r="J226" s="21"/>
    </row>
    <row r="227" spans="1:10" x14ac:dyDescent="0.25">
      <c r="A227" s="82">
        <v>42768</v>
      </c>
      <c r="B227" s="83" t="s">
        <v>4410</v>
      </c>
      <c r="C227" s="85"/>
      <c r="D227" s="18">
        <v>99563</v>
      </c>
      <c r="E227" s="2" t="s">
        <v>30</v>
      </c>
      <c r="F227" s="15">
        <v>13410.7</v>
      </c>
      <c r="G227" s="41">
        <v>42768</v>
      </c>
      <c r="H227" s="15">
        <f t="shared" si="7"/>
        <v>13410.7</v>
      </c>
      <c r="I227" s="15">
        <f t="shared" si="8"/>
        <v>0</v>
      </c>
      <c r="J227" s="21"/>
    </row>
    <row r="228" spans="1:10" x14ac:dyDescent="0.25">
      <c r="A228" s="82">
        <v>42768</v>
      </c>
      <c r="B228" s="83" t="s">
        <v>4411</v>
      </c>
      <c r="C228" s="85"/>
      <c r="D228" s="18">
        <v>99564</v>
      </c>
      <c r="E228" s="2" t="s">
        <v>660</v>
      </c>
      <c r="F228" s="15">
        <v>2305.8000000000002</v>
      </c>
      <c r="G228" s="41">
        <v>42769</v>
      </c>
      <c r="H228" s="15">
        <f t="shared" si="7"/>
        <v>2305.8000000000002</v>
      </c>
      <c r="I228" s="15">
        <f t="shared" si="8"/>
        <v>0</v>
      </c>
      <c r="J228" s="21"/>
    </row>
    <row r="229" spans="1:10" x14ac:dyDescent="0.25">
      <c r="A229" s="82">
        <v>42768</v>
      </c>
      <c r="B229" s="83" t="s">
        <v>4412</v>
      </c>
      <c r="C229" s="85"/>
      <c r="D229" s="18">
        <v>99565</v>
      </c>
      <c r="E229" s="2" t="s">
        <v>205</v>
      </c>
      <c r="F229" s="15">
        <v>31347</v>
      </c>
      <c r="G229" s="41">
        <v>42768</v>
      </c>
      <c r="H229" s="15">
        <f t="shared" si="7"/>
        <v>31347</v>
      </c>
      <c r="I229" s="15">
        <f t="shared" si="8"/>
        <v>0</v>
      </c>
      <c r="J229" s="21"/>
    </row>
    <row r="230" spans="1:10" x14ac:dyDescent="0.25">
      <c r="A230" s="82">
        <v>42768</v>
      </c>
      <c r="B230" s="83" t="s">
        <v>4413</v>
      </c>
      <c r="C230" s="85"/>
      <c r="D230" s="18">
        <v>99566</v>
      </c>
      <c r="E230" s="2" t="s">
        <v>457</v>
      </c>
      <c r="F230" s="15">
        <v>3218.8</v>
      </c>
      <c r="G230" s="41">
        <v>42768</v>
      </c>
      <c r="H230" s="15">
        <f t="shared" si="7"/>
        <v>3218.8</v>
      </c>
      <c r="I230" s="15">
        <f t="shared" si="8"/>
        <v>0</v>
      </c>
      <c r="J230" s="21"/>
    </row>
    <row r="231" spans="1:10" x14ac:dyDescent="0.25">
      <c r="A231" s="82">
        <v>42768</v>
      </c>
      <c r="B231" s="83" t="s">
        <v>4414</v>
      </c>
      <c r="C231" s="85"/>
      <c r="D231" s="18">
        <v>99567</v>
      </c>
      <c r="E231" s="2" t="s">
        <v>10</v>
      </c>
      <c r="F231" s="15">
        <v>7200</v>
      </c>
      <c r="G231" s="41">
        <v>42776</v>
      </c>
      <c r="H231" s="15">
        <f t="shared" si="7"/>
        <v>7200</v>
      </c>
      <c r="I231" s="15">
        <f t="shared" si="8"/>
        <v>0</v>
      </c>
      <c r="J231" s="21"/>
    </row>
    <row r="232" spans="1:10" x14ac:dyDescent="0.25">
      <c r="A232" s="82">
        <v>42768</v>
      </c>
      <c r="B232" s="83" t="s">
        <v>4415</v>
      </c>
      <c r="C232" s="85"/>
      <c r="D232" s="18">
        <v>99568</v>
      </c>
      <c r="E232" s="2" t="s">
        <v>879</v>
      </c>
      <c r="F232" s="15">
        <v>3097.6</v>
      </c>
      <c r="G232" s="41">
        <v>42768</v>
      </c>
      <c r="H232" s="15">
        <f t="shared" si="7"/>
        <v>3097.6</v>
      </c>
      <c r="I232" s="15">
        <f t="shared" si="8"/>
        <v>0</v>
      </c>
      <c r="J232" s="21"/>
    </row>
    <row r="233" spans="1:10" x14ac:dyDescent="0.25">
      <c r="A233" s="82">
        <v>42768</v>
      </c>
      <c r="B233" s="83" t="s">
        <v>4416</v>
      </c>
      <c r="C233" s="85"/>
      <c r="D233" s="18">
        <v>99569</v>
      </c>
      <c r="E233" s="2" t="s">
        <v>3095</v>
      </c>
      <c r="F233" s="15">
        <v>49392</v>
      </c>
      <c r="G233" s="41">
        <v>42769</v>
      </c>
      <c r="H233" s="15">
        <f t="shared" si="7"/>
        <v>49392</v>
      </c>
      <c r="I233" s="15">
        <f t="shared" si="8"/>
        <v>0</v>
      </c>
      <c r="J233" s="21"/>
    </row>
    <row r="234" spans="1:10" x14ac:dyDescent="0.25">
      <c r="A234" s="82">
        <v>42768</v>
      </c>
      <c r="B234" s="83" t="s">
        <v>4417</v>
      </c>
      <c r="C234" s="85"/>
      <c r="D234" s="18">
        <v>99570</v>
      </c>
      <c r="E234" s="2" t="s">
        <v>236</v>
      </c>
      <c r="F234" s="15">
        <v>32251.42</v>
      </c>
      <c r="G234" s="41">
        <v>42780</v>
      </c>
      <c r="H234" s="15">
        <f t="shared" si="7"/>
        <v>32251.42</v>
      </c>
      <c r="I234" s="15">
        <f t="shared" si="8"/>
        <v>0</v>
      </c>
      <c r="J234" s="21"/>
    </row>
    <row r="235" spans="1:10" x14ac:dyDescent="0.25">
      <c r="A235" s="82">
        <v>42768</v>
      </c>
      <c r="B235" s="83" t="s">
        <v>4418</v>
      </c>
      <c r="C235" s="85"/>
      <c r="D235" s="18">
        <v>99571</v>
      </c>
      <c r="E235" s="2" t="s">
        <v>1325</v>
      </c>
      <c r="F235" s="15">
        <v>4235.3</v>
      </c>
      <c r="G235" s="41">
        <v>42770</v>
      </c>
      <c r="H235" s="15">
        <f t="shared" si="7"/>
        <v>4235.3</v>
      </c>
      <c r="I235" s="15">
        <f t="shared" si="8"/>
        <v>0</v>
      </c>
      <c r="J235" s="21"/>
    </row>
    <row r="236" spans="1:10" x14ac:dyDescent="0.25">
      <c r="A236" s="82">
        <v>42768</v>
      </c>
      <c r="B236" s="83" t="s">
        <v>4419</v>
      </c>
      <c r="C236" s="85"/>
      <c r="D236" s="18">
        <v>99572</v>
      </c>
      <c r="E236" s="2" t="s">
        <v>236</v>
      </c>
      <c r="F236" s="15">
        <v>33226.44</v>
      </c>
      <c r="G236" s="41">
        <v>42780</v>
      </c>
      <c r="H236" s="15">
        <f t="shared" si="7"/>
        <v>33226.44</v>
      </c>
      <c r="I236" s="15">
        <f t="shared" si="8"/>
        <v>0</v>
      </c>
      <c r="J236" s="21"/>
    </row>
    <row r="237" spans="1:10" x14ac:dyDescent="0.25">
      <c r="A237" s="82">
        <v>42768</v>
      </c>
      <c r="B237" s="83" t="s">
        <v>4420</v>
      </c>
      <c r="C237" s="85"/>
      <c r="D237" s="18">
        <v>99573</v>
      </c>
      <c r="E237" s="2" t="s">
        <v>688</v>
      </c>
      <c r="F237" s="15">
        <v>18474.599999999999</v>
      </c>
      <c r="G237" s="41">
        <v>42770</v>
      </c>
      <c r="H237" s="15">
        <f t="shared" si="7"/>
        <v>18474.599999999999</v>
      </c>
      <c r="I237" s="15">
        <f t="shared" si="8"/>
        <v>0</v>
      </c>
      <c r="J237" s="21"/>
    </row>
    <row r="238" spans="1:10" x14ac:dyDescent="0.25">
      <c r="A238" s="82">
        <v>42768</v>
      </c>
      <c r="B238" s="83" t="s">
        <v>4421</v>
      </c>
      <c r="C238" s="85"/>
      <c r="D238" s="18">
        <v>99574</v>
      </c>
      <c r="E238" s="2" t="s">
        <v>682</v>
      </c>
      <c r="F238" s="15">
        <v>12090</v>
      </c>
      <c r="H238" s="15">
        <f t="shared" si="7"/>
        <v>12090</v>
      </c>
      <c r="I238" s="15">
        <f t="shared" si="8"/>
        <v>0</v>
      </c>
      <c r="J238" s="21"/>
    </row>
    <row r="239" spans="1:10" x14ac:dyDescent="0.25">
      <c r="A239" s="82">
        <v>42768</v>
      </c>
      <c r="B239" s="83" t="s">
        <v>4422</v>
      </c>
      <c r="C239" s="85"/>
      <c r="D239" s="18">
        <v>99575</v>
      </c>
      <c r="E239" s="13" t="s">
        <v>367</v>
      </c>
      <c r="F239" s="14">
        <v>0</v>
      </c>
      <c r="G239" s="88" t="s">
        <v>95</v>
      </c>
      <c r="H239" s="14">
        <f t="shared" si="7"/>
        <v>0</v>
      </c>
      <c r="I239" s="14">
        <f t="shared" si="8"/>
        <v>0</v>
      </c>
      <c r="J239" s="21"/>
    </row>
    <row r="240" spans="1:10" x14ac:dyDescent="0.25">
      <c r="A240" s="82">
        <v>42768</v>
      </c>
      <c r="B240" s="83" t="s">
        <v>4423</v>
      </c>
      <c r="C240" s="85"/>
      <c r="D240" s="18">
        <v>99576</v>
      </c>
      <c r="E240" s="2" t="s">
        <v>673</v>
      </c>
      <c r="F240" s="15">
        <v>3659.9</v>
      </c>
      <c r="G240" s="41">
        <v>42770</v>
      </c>
      <c r="H240" s="15">
        <f t="shared" si="7"/>
        <v>3659.9</v>
      </c>
      <c r="I240" s="15">
        <f t="shared" si="8"/>
        <v>0</v>
      </c>
      <c r="J240" s="21"/>
    </row>
    <row r="241" spans="1:10" x14ac:dyDescent="0.25">
      <c r="A241" s="82">
        <v>42768</v>
      </c>
      <c r="B241" s="83" t="s">
        <v>4424</v>
      </c>
      <c r="C241" s="85"/>
      <c r="D241" s="18">
        <v>99577</v>
      </c>
      <c r="E241" s="2" t="s">
        <v>675</v>
      </c>
      <c r="F241" s="15">
        <v>2111.8000000000002</v>
      </c>
      <c r="G241" s="41">
        <v>42770</v>
      </c>
      <c r="H241" s="15">
        <f t="shared" si="7"/>
        <v>2111.8000000000002</v>
      </c>
      <c r="I241" s="15">
        <f t="shared" si="8"/>
        <v>0</v>
      </c>
      <c r="J241" s="21"/>
    </row>
    <row r="242" spans="1:10" x14ac:dyDescent="0.25">
      <c r="A242" s="82">
        <v>42768</v>
      </c>
      <c r="B242" s="83" t="s">
        <v>4425</v>
      </c>
      <c r="C242" s="85"/>
      <c r="D242" s="18">
        <v>99578</v>
      </c>
      <c r="E242" s="2" t="s">
        <v>680</v>
      </c>
      <c r="F242" s="15">
        <v>4469.6000000000004</v>
      </c>
      <c r="G242" s="41">
        <v>42770</v>
      </c>
      <c r="H242" s="15">
        <f t="shared" si="7"/>
        <v>4469.6000000000004</v>
      </c>
      <c r="I242" s="15">
        <f t="shared" si="8"/>
        <v>0</v>
      </c>
      <c r="J242" s="21"/>
    </row>
    <row r="243" spans="1:10" x14ac:dyDescent="0.25">
      <c r="A243" s="82">
        <v>42768</v>
      </c>
      <c r="B243" s="83" t="s">
        <v>4426</v>
      </c>
      <c r="C243" s="85"/>
      <c r="D243" s="18">
        <v>99579</v>
      </c>
      <c r="E243" s="2" t="s">
        <v>677</v>
      </c>
      <c r="F243" s="15">
        <v>2965.32</v>
      </c>
      <c r="G243" s="41">
        <v>42770</v>
      </c>
      <c r="H243" s="15">
        <f t="shared" si="7"/>
        <v>2965.32</v>
      </c>
      <c r="I243" s="15">
        <f t="shared" si="8"/>
        <v>0</v>
      </c>
      <c r="J243" s="21"/>
    </row>
    <row r="244" spans="1:10" x14ac:dyDescent="0.25">
      <c r="A244" s="82">
        <v>42768</v>
      </c>
      <c r="B244" s="83" t="s">
        <v>4427</v>
      </c>
      <c r="C244" s="85"/>
      <c r="D244" s="18">
        <v>99580</v>
      </c>
      <c r="E244" s="2" t="s">
        <v>677</v>
      </c>
      <c r="F244" s="15">
        <v>3542.1</v>
      </c>
      <c r="G244" s="41">
        <v>42770</v>
      </c>
      <c r="H244" s="15">
        <f t="shared" si="7"/>
        <v>3542.1</v>
      </c>
      <c r="I244" s="15">
        <f t="shared" si="8"/>
        <v>0</v>
      </c>
      <c r="J244" s="21"/>
    </row>
    <row r="245" spans="1:10" x14ac:dyDescent="0.25">
      <c r="A245" s="82">
        <v>42768</v>
      </c>
      <c r="B245" s="83" t="s">
        <v>4428</v>
      </c>
      <c r="C245" s="85"/>
      <c r="D245" s="18">
        <v>99581</v>
      </c>
      <c r="E245" s="2" t="s">
        <v>3513</v>
      </c>
      <c r="F245" s="15">
        <v>2543</v>
      </c>
      <c r="G245" s="41">
        <v>42770</v>
      </c>
      <c r="H245" s="15">
        <f t="shared" si="7"/>
        <v>2543</v>
      </c>
      <c r="I245" s="15">
        <f t="shared" si="8"/>
        <v>0</v>
      </c>
      <c r="J245" s="21"/>
    </row>
    <row r="246" spans="1:10" x14ac:dyDescent="0.25">
      <c r="A246" s="82">
        <v>42768</v>
      </c>
      <c r="B246" s="83" t="s">
        <v>4429</v>
      </c>
      <c r="C246" s="85"/>
      <c r="D246" s="18">
        <v>99582</v>
      </c>
      <c r="E246" s="2" t="s">
        <v>1197</v>
      </c>
      <c r="F246" s="15">
        <v>3564</v>
      </c>
      <c r="G246" s="41">
        <v>42770</v>
      </c>
      <c r="H246" s="15">
        <f t="shared" si="7"/>
        <v>3564</v>
      </c>
      <c r="I246" s="15">
        <f t="shared" si="8"/>
        <v>0</v>
      </c>
      <c r="J246" s="21"/>
    </row>
    <row r="247" spans="1:10" x14ac:dyDescent="0.25">
      <c r="A247" s="82">
        <v>42768</v>
      </c>
      <c r="B247" s="83" t="s">
        <v>4430</v>
      </c>
      <c r="C247" s="85"/>
      <c r="D247" s="18">
        <v>99583</v>
      </c>
      <c r="E247" s="2" t="s">
        <v>665</v>
      </c>
      <c r="F247" s="15">
        <v>66628.91</v>
      </c>
      <c r="G247" s="41">
        <v>42777</v>
      </c>
      <c r="H247" s="15">
        <f t="shared" si="7"/>
        <v>66628.91</v>
      </c>
      <c r="I247" s="15">
        <f t="shared" si="8"/>
        <v>0</v>
      </c>
      <c r="J247" s="21"/>
    </row>
    <row r="248" spans="1:10" x14ac:dyDescent="0.25">
      <c r="A248" s="82">
        <v>42768</v>
      </c>
      <c r="B248" s="83" t="s">
        <v>4431</v>
      </c>
      <c r="C248" s="85"/>
      <c r="D248" s="18">
        <v>99584</v>
      </c>
      <c r="E248" s="2" t="s">
        <v>220</v>
      </c>
      <c r="F248" s="15">
        <v>1677.6</v>
      </c>
      <c r="G248" s="41">
        <v>42768</v>
      </c>
      <c r="H248" s="15">
        <f t="shared" si="7"/>
        <v>1677.6</v>
      </c>
      <c r="I248" s="15">
        <f t="shared" si="8"/>
        <v>0</v>
      </c>
      <c r="J248" s="21"/>
    </row>
    <row r="249" spans="1:10" x14ac:dyDescent="0.25">
      <c r="A249" s="82">
        <v>42768</v>
      </c>
      <c r="B249" s="83" t="s">
        <v>4432</v>
      </c>
      <c r="C249" s="85"/>
      <c r="D249" s="18">
        <v>99585</v>
      </c>
      <c r="E249" s="2" t="s">
        <v>686</v>
      </c>
      <c r="F249" s="15">
        <v>19571.900000000001</v>
      </c>
      <c r="G249" s="41">
        <v>42770</v>
      </c>
      <c r="H249" s="15">
        <f t="shared" si="7"/>
        <v>19571.900000000001</v>
      </c>
      <c r="I249" s="15">
        <f t="shared" si="8"/>
        <v>0</v>
      </c>
      <c r="J249" s="21"/>
    </row>
    <row r="250" spans="1:10" x14ac:dyDescent="0.25">
      <c r="A250" s="82">
        <v>42768</v>
      </c>
      <c r="B250" s="83" t="s">
        <v>4433</v>
      </c>
      <c r="C250" s="85"/>
      <c r="D250" s="18">
        <v>99586</v>
      </c>
      <c r="E250" s="2" t="s">
        <v>3636</v>
      </c>
      <c r="F250" s="15">
        <v>36331.599999999999</v>
      </c>
      <c r="G250" s="41">
        <v>42768</v>
      </c>
      <c r="H250" s="15">
        <f t="shared" si="7"/>
        <v>36331.599999999999</v>
      </c>
      <c r="I250" s="15">
        <f t="shared" si="8"/>
        <v>0</v>
      </c>
      <c r="J250" s="21"/>
    </row>
    <row r="251" spans="1:10" x14ac:dyDescent="0.25">
      <c r="A251" s="82">
        <v>42768</v>
      </c>
      <c r="B251" s="83" t="s">
        <v>4434</v>
      </c>
      <c r="C251" s="85"/>
      <c r="D251" s="18">
        <v>99587</v>
      </c>
      <c r="E251" s="2" t="s">
        <v>3516</v>
      </c>
      <c r="F251" s="15">
        <v>3928</v>
      </c>
      <c r="G251" s="41">
        <v>42770</v>
      </c>
      <c r="H251" s="15">
        <f t="shared" si="7"/>
        <v>3928</v>
      </c>
      <c r="I251" s="15">
        <f t="shared" si="8"/>
        <v>0</v>
      </c>
      <c r="J251" s="21"/>
    </row>
    <row r="252" spans="1:10" x14ac:dyDescent="0.25">
      <c r="A252" s="82">
        <v>42768</v>
      </c>
      <c r="B252" s="83" t="s">
        <v>4435</v>
      </c>
      <c r="C252" s="85"/>
      <c r="D252" s="18">
        <v>99588</v>
      </c>
      <c r="E252" s="2" t="s">
        <v>211</v>
      </c>
      <c r="F252" s="15">
        <v>8683.6</v>
      </c>
      <c r="G252" s="41">
        <v>42768</v>
      </c>
      <c r="H252" s="15">
        <f t="shared" si="7"/>
        <v>8683.6</v>
      </c>
      <c r="I252" s="15">
        <f t="shared" si="8"/>
        <v>0</v>
      </c>
      <c r="J252" s="21"/>
    </row>
    <row r="253" spans="1:10" x14ac:dyDescent="0.25">
      <c r="A253" s="82">
        <v>42768</v>
      </c>
      <c r="B253" s="83" t="s">
        <v>4436</v>
      </c>
      <c r="C253" s="85"/>
      <c r="D253" s="18">
        <v>99589</v>
      </c>
      <c r="E253" s="13" t="s">
        <v>670</v>
      </c>
      <c r="F253" s="14">
        <v>0</v>
      </c>
      <c r="G253" s="88" t="s">
        <v>95</v>
      </c>
      <c r="H253" s="14">
        <f t="shared" si="7"/>
        <v>0</v>
      </c>
      <c r="I253" s="14">
        <f t="shared" si="8"/>
        <v>0</v>
      </c>
      <c r="J253" s="21"/>
    </row>
    <row r="254" spans="1:10" x14ac:dyDescent="0.25">
      <c r="A254" s="82">
        <v>42768</v>
      </c>
      <c r="B254" s="83" t="s">
        <v>4437</v>
      </c>
      <c r="C254" s="85"/>
      <c r="D254" s="18">
        <v>99590</v>
      </c>
      <c r="E254" s="2" t="s">
        <v>55</v>
      </c>
      <c r="F254" s="15">
        <v>19584</v>
      </c>
      <c r="G254" s="41">
        <v>42768</v>
      </c>
      <c r="H254" s="15">
        <f t="shared" si="7"/>
        <v>19584</v>
      </c>
      <c r="I254" s="15">
        <f t="shared" si="8"/>
        <v>0</v>
      </c>
      <c r="J254" s="21"/>
    </row>
    <row r="255" spans="1:10" x14ac:dyDescent="0.25">
      <c r="A255" s="82">
        <v>42768</v>
      </c>
      <c r="B255" s="83" t="s">
        <v>4438</v>
      </c>
      <c r="C255" s="85"/>
      <c r="D255" s="18">
        <v>99591</v>
      </c>
      <c r="E255" s="2" t="s">
        <v>222</v>
      </c>
      <c r="F255" s="15">
        <v>392265</v>
      </c>
      <c r="G255" s="41">
        <v>42774</v>
      </c>
      <c r="H255" s="15">
        <f t="shared" si="7"/>
        <v>392265</v>
      </c>
      <c r="I255" s="15">
        <f t="shared" si="8"/>
        <v>0</v>
      </c>
      <c r="J255" s="21"/>
    </row>
    <row r="256" spans="1:10" x14ac:dyDescent="0.25">
      <c r="A256" s="82">
        <v>42768</v>
      </c>
      <c r="B256" s="83" t="s">
        <v>4439</v>
      </c>
      <c r="C256" s="85"/>
      <c r="D256" s="18">
        <v>99592</v>
      </c>
      <c r="E256" s="2" t="s">
        <v>682</v>
      </c>
      <c r="F256" s="15">
        <v>8060</v>
      </c>
      <c r="G256" s="41">
        <v>42770</v>
      </c>
      <c r="H256" s="15">
        <f t="shared" si="7"/>
        <v>8060</v>
      </c>
      <c r="I256" s="15">
        <f t="shared" si="8"/>
        <v>0</v>
      </c>
      <c r="J256" s="21"/>
    </row>
    <row r="257" spans="1:10" x14ac:dyDescent="0.25">
      <c r="A257" s="82">
        <v>42768</v>
      </c>
      <c r="B257" s="83" t="s">
        <v>4440</v>
      </c>
      <c r="C257" s="85"/>
      <c r="D257" s="18">
        <v>99593</v>
      </c>
      <c r="E257" s="2" t="s">
        <v>1589</v>
      </c>
      <c r="F257" s="15">
        <v>3480</v>
      </c>
      <c r="G257" s="41">
        <v>42770</v>
      </c>
      <c r="H257" s="15">
        <f t="shared" si="7"/>
        <v>3480</v>
      </c>
      <c r="I257" s="15">
        <f t="shared" si="8"/>
        <v>0</v>
      </c>
      <c r="J257" s="21"/>
    </row>
    <row r="258" spans="1:10" x14ac:dyDescent="0.25">
      <c r="A258" s="82">
        <v>42768</v>
      </c>
      <c r="B258" s="83" t="s">
        <v>4441</v>
      </c>
      <c r="C258" s="85"/>
      <c r="D258" s="18">
        <v>99594</v>
      </c>
      <c r="E258" s="13" t="s">
        <v>670</v>
      </c>
      <c r="F258" s="14">
        <v>0</v>
      </c>
      <c r="G258" s="88" t="s">
        <v>95</v>
      </c>
      <c r="H258" s="14">
        <f t="shared" si="7"/>
        <v>0</v>
      </c>
      <c r="I258" s="14">
        <f t="shared" si="8"/>
        <v>0</v>
      </c>
      <c r="J258" s="21"/>
    </row>
    <row r="259" spans="1:10" x14ac:dyDescent="0.25">
      <c r="A259" s="82">
        <v>42768</v>
      </c>
      <c r="B259" s="83" t="s">
        <v>4442</v>
      </c>
      <c r="C259" s="85"/>
      <c r="D259" s="18">
        <v>99595</v>
      </c>
      <c r="E259" s="2" t="s">
        <v>670</v>
      </c>
      <c r="F259" s="15">
        <v>167196.51</v>
      </c>
      <c r="G259" s="41">
        <v>42770</v>
      </c>
      <c r="H259" s="15">
        <f t="shared" si="7"/>
        <v>167196.51</v>
      </c>
      <c r="I259" s="15">
        <f t="shared" si="8"/>
        <v>0</v>
      </c>
      <c r="J259" s="21"/>
    </row>
    <row r="260" spans="1:10" x14ac:dyDescent="0.25">
      <c r="A260" s="82">
        <v>42769</v>
      </c>
      <c r="B260" s="83" t="s">
        <v>4443</v>
      </c>
      <c r="C260" s="85"/>
      <c r="D260" s="18">
        <v>99596</v>
      </c>
      <c r="E260" s="2" t="s">
        <v>231</v>
      </c>
      <c r="F260" s="15">
        <v>7635.7</v>
      </c>
      <c r="G260" s="41">
        <v>42769</v>
      </c>
      <c r="H260" s="15">
        <f t="shared" ref="H260:H323" si="9">F260</f>
        <v>7635.7</v>
      </c>
      <c r="I260" s="15">
        <f t="shared" si="8"/>
        <v>0</v>
      </c>
      <c r="J260" s="21"/>
    </row>
    <row r="261" spans="1:10" x14ac:dyDescent="0.25">
      <c r="A261" s="82">
        <v>42769</v>
      </c>
      <c r="B261" s="83" t="s">
        <v>4444</v>
      </c>
      <c r="C261" s="85"/>
      <c r="D261" s="18">
        <v>99597</v>
      </c>
      <c r="E261" s="2" t="s">
        <v>374</v>
      </c>
      <c r="F261" s="15">
        <v>866.7</v>
      </c>
      <c r="G261" s="41">
        <v>42769</v>
      </c>
      <c r="H261" s="15">
        <f t="shared" si="9"/>
        <v>866.7</v>
      </c>
      <c r="I261" s="15">
        <f t="shared" si="8"/>
        <v>0</v>
      </c>
      <c r="J261" s="21"/>
    </row>
    <row r="262" spans="1:10" x14ac:dyDescent="0.25">
      <c r="A262" s="82">
        <v>42769</v>
      </c>
      <c r="B262" s="83" t="s">
        <v>4445</v>
      </c>
      <c r="C262" s="85"/>
      <c r="D262" s="18">
        <v>99598</v>
      </c>
      <c r="E262" s="2" t="s">
        <v>55</v>
      </c>
      <c r="F262" s="15">
        <v>3862.2</v>
      </c>
      <c r="G262" s="41">
        <v>42769</v>
      </c>
      <c r="H262" s="15">
        <f t="shared" si="9"/>
        <v>3862.2</v>
      </c>
      <c r="I262" s="15">
        <f t="shared" ref="I262:I325" si="10">F262-H262</f>
        <v>0</v>
      </c>
      <c r="J262" s="21"/>
    </row>
    <row r="263" spans="1:10" x14ac:dyDescent="0.25">
      <c r="A263" s="82">
        <v>42769</v>
      </c>
      <c r="B263" s="83" t="s">
        <v>4446</v>
      </c>
      <c r="C263" s="85"/>
      <c r="D263" s="18">
        <v>99599</v>
      </c>
      <c r="E263" s="2" t="s">
        <v>55</v>
      </c>
      <c r="F263" s="15">
        <v>678.6</v>
      </c>
      <c r="G263" s="41">
        <v>42769</v>
      </c>
      <c r="H263" s="15">
        <f t="shared" si="9"/>
        <v>678.6</v>
      </c>
      <c r="I263" s="15">
        <f t="shared" si="10"/>
        <v>0</v>
      </c>
      <c r="J263" s="21"/>
    </row>
    <row r="264" spans="1:10" x14ac:dyDescent="0.25">
      <c r="A264" s="82">
        <v>42769</v>
      </c>
      <c r="B264" s="83" t="s">
        <v>4447</v>
      </c>
      <c r="C264" s="85"/>
      <c r="D264" s="18">
        <v>99600</v>
      </c>
      <c r="E264" s="2" t="s">
        <v>231</v>
      </c>
      <c r="F264" s="15">
        <v>47172.800000000003</v>
      </c>
      <c r="G264" s="41">
        <v>42770</v>
      </c>
      <c r="H264" s="15">
        <f t="shared" si="9"/>
        <v>47172.800000000003</v>
      </c>
      <c r="I264" s="15">
        <f t="shared" si="10"/>
        <v>0</v>
      </c>
      <c r="J264" s="21"/>
    </row>
    <row r="265" spans="1:10" x14ac:dyDescent="0.25">
      <c r="A265" s="82">
        <v>42769</v>
      </c>
      <c r="B265" s="83" t="s">
        <v>4448</v>
      </c>
      <c r="C265" s="85"/>
      <c r="D265" s="18">
        <v>99601</v>
      </c>
      <c r="E265" s="2" t="s">
        <v>55</v>
      </c>
      <c r="F265" s="15">
        <v>164.7</v>
      </c>
      <c r="G265" s="41">
        <v>42769</v>
      </c>
      <c r="H265" s="15">
        <f t="shared" si="9"/>
        <v>164.7</v>
      </c>
      <c r="I265" s="15">
        <f t="shared" si="10"/>
        <v>0</v>
      </c>
      <c r="J265" s="21"/>
    </row>
    <row r="266" spans="1:10" x14ac:dyDescent="0.25">
      <c r="A266" s="82">
        <v>42769</v>
      </c>
      <c r="B266" s="83" t="s">
        <v>4449</v>
      </c>
      <c r="C266" s="85"/>
      <c r="D266" s="18">
        <v>99602</v>
      </c>
      <c r="E266" s="2" t="s">
        <v>28</v>
      </c>
      <c r="F266" s="15">
        <v>4681.2</v>
      </c>
      <c r="G266" s="41">
        <v>42769</v>
      </c>
      <c r="H266" s="15">
        <f t="shared" si="9"/>
        <v>4681.2</v>
      </c>
      <c r="I266" s="15">
        <f t="shared" si="10"/>
        <v>0</v>
      </c>
      <c r="J266" s="21"/>
    </row>
    <row r="267" spans="1:10" x14ac:dyDescent="0.25">
      <c r="A267" s="82">
        <v>42769</v>
      </c>
      <c r="B267" s="83" t="s">
        <v>4450</v>
      </c>
      <c r="C267" s="85"/>
      <c r="D267" s="18">
        <v>99603</v>
      </c>
      <c r="E267" s="2" t="s">
        <v>17</v>
      </c>
      <c r="F267" s="15">
        <v>3300</v>
      </c>
      <c r="G267" s="41">
        <v>42769</v>
      </c>
      <c r="H267" s="15">
        <f t="shared" si="9"/>
        <v>3300</v>
      </c>
      <c r="I267" s="15">
        <f t="shared" si="10"/>
        <v>0</v>
      </c>
      <c r="J267" s="21"/>
    </row>
    <row r="268" spans="1:10" x14ac:dyDescent="0.25">
      <c r="A268" s="82">
        <v>42769</v>
      </c>
      <c r="B268" s="83" t="s">
        <v>4451</v>
      </c>
      <c r="C268" s="85"/>
      <c r="D268" s="18">
        <v>99604</v>
      </c>
      <c r="E268" s="13" t="s">
        <v>236</v>
      </c>
      <c r="F268" s="14">
        <v>0</v>
      </c>
      <c r="G268" s="88" t="s">
        <v>95</v>
      </c>
      <c r="H268" s="14">
        <f t="shared" si="9"/>
        <v>0</v>
      </c>
      <c r="I268" s="14">
        <f t="shared" si="10"/>
        <v>0</v>
      </c>
      <c r="J268" s="21"/>
    </row>
    <row r="269" spans="1:10" x14ac:dyDescent="0.25">
      <c r="A269" s="82">
        <v>42769</v>
      </c>
      <c r="B269" s="83" t="s">
        <v>4452</v>
      </c>
      <c r="C269" s="85"/>
      <c r="D269" s="18">
        <v>99605</v>
      </c>
      <c r="E269" s="2" t="s">
        <v>1335</v>
      </c>
      <c r="F269" s="15">
        <v>7762.6</v>
      </c>
      <c r="G269" s="41">
        <v>42769</v>
      </c>
      <c r="H269" s="15">
        <f t="shared" si="9"/>
        <v>7762.6</v>
      </c>
      <c r="I269" s="15">
        <f t="shared" si="10"/>
        <v>0</v>
      </c>
      <c r="J269" s="21"/>
    </row>
    <row r="270" spans="1:10" x14ac:dyDescent="0.25">
      <c r="A270" s="82">
        <v>42769</v>
      </c>
      <c r="B270" s="83" t="s">
        <v>4453</v>
      </c>
      <c r="C270" s="85"/>
      <c r="D270" s="18">
        <v>99606</v>
      </c>
      <c r="E270" s="2" t="s">
        <v>1786</v>
      </c>
      <c r="F270" s="15">
        <v>11362</v>
      </c>
      <c r="G270" s="41">
        <v>42769</v>
      </c>
      <c r="H270" s="15">
        <f t="shared" si="9"/>
        <v>11362</v>
      </c>
      <c r="I270" s="15">
        <f t="shared" si="10"/>
        <v>0</v>
      </c>
      <c r="J270" s="21"/>
    </row>
    <row r="271" spans="1:10" x14ac:dyDescent="0.25">
      <c r="A271" s="82">
        <v>42769</v>
      </c>
      <c r="B271" s="83" t="s">
        <v>4454</v>
      </c>
      <c r="C271" s="85"/>
      <c r="D271" s="18">
        <v>99607</v>
      </c>
      <c r="E271" s="2" t="s">
        <v>157</v>
      </c>
      <c r="F271" s="15">
        <v>18538.599999999999</v>
      </c>
      <c r="G271" s="41">
        <v>42769</v>
      </c>
      <c r="H271" s="15">
        <f t="shared" si="9"/>
        <v>18538.599999999999</v>
      </c>
      <c r="I271" s="15">
        <f t="shared" si="10"/>
        <v>0</v>
      </c>
      <c r="J271" s="21"/>
    </row>
    <row r="272" spans="1:10" x14ac:dyDescent="0.25">
      <c r="A272" s="82">
        <v>42769</v>
      </c>
      <c r="B272" s="83" t="s">
        <v>4455</v>
      </c>
      <c r="C272" s="85"/>
      <c r="D272" s="18">
        <v>99608</v>
      </c>
      <c r="E272" s="2" t="s">
        <v>1335</v>
      </c>
      <c r="F272" s="15">
        <v>2160.8000000000002</v>
      </c>
      <c r="G272" s="41">
        <v>42769</v>
      </c>
      <c r="H272" s="15">
        <f>F272</f>
        <v>2160.8000000000002</v>
      </c>
      <c r="I272" s="15">
        <f t="shared" si="10"/>
        <v>0</v>
      </c>
      <c r="J272" s="21"/>
    </row>
    <row r="273" spans="1:10" ht="30" x14ac:dyDescent="0.25">
      <c r="A273" s="82">
        <v>42769</v>
      </c>
      <c r="B273" s="83" t="s">
        <v>4456</v>
      </c>
      <c r="C273" s="85"/>
      <c r="D273" s="18">
        <v>99609</v>
      </c>
      <c r="E273" s="2" t="s">
        <v>21</v>
      </c>
      <c r="F273" s="15">
        <v>49779</v>
      </c>
      <c r="G273" s="86" t="s">
        <v>4457</v>
      </c>
      <c r="H273" s="23">
        <f>24609+20133</f>
        <v>44742</v>
      </c>
      <c r="I273" s="23">
        <f t="shared" si="10"/>
        <v>5037</v>
      </c>
      <c r="J273" s="21"/>
    </row>
    <row r="274" spans="1:10" x14ac:dyDescent="0.25">
      <c r="A274" s="82">
        <v>42769</v>
      </c>
      <c r="B274" s="83" t="s">
        <v>4458</v>
      </c>
      <c r="C274" s="85"/>
      <c r="D274" s="18">
        <v>99610</v>
      </c>
      <c r="E274" s="13" t="s">
        <v>236</v>
      </c>
      <c r="F274" s="14">
        <v>0</v>
      </c>
      <c r="G274" s="88" t="s">
        <v>95</v>
      </c>
      <c r="H274" s="14">
        <f t="shared" si="9"/>
        <v>0</v>
      </c>
      <c r="I274" s="14">
        <f t="shared" si="10"/>
        <v>0</v>
      </c>
      <c r="J274" s="21"/>
    </row>
    <row r="275" spans="1:10" x14ac:dyDescent="0.25">
      <c r="A275" s="82">
        <v>42769</v>
      </c>
      <c r="B275" s="83" t="s">
        <v>4459</v>
      </c>
      <c r="C275" s="85"/>
      <c r="D275" s="18">
        <v>99611</v>
      </c>
      <c r="E275" s="2" t="s">
        <v>218</v>
      </c>
      <c r="F275" s="15">
        <v>87084</v>
      </c>
      <c r="H275" s="15">
        <f t="shared" si="9"/>
        <v>87084</v>
      </c>
      <c r="I275" s="15">
        <f t="shared" si="10"/>
        <v>0</v>
      </c>
      <c r="J275" s="21"/>
    </row>
    <row r="276" spans="1:10" x14ac:dyDescent="0.25">
      <c r="A276" s="82">
        <v>42769</v>
      </c>
      <c r="B276" s="83" t="s">
        <v>4460</v>
      </c>
      <c r="C276" s="85"/>
      <c r="D276" s="18">
        <v>99612</v>
      </c>
      <c r="E276" s="2" t="s">
        <v>19</v>
      </c>
      <c r="F276" s="15">
        <v>1750</v>
      </c>
      <c r="G276" s="41">
        <v>42769</v>
      </c>
      <c r="H276" s="15">
        <f t="shared" si="9"/>
        <v>1750</v>
      </c>
      <c r="I276" s="15">
        <f t="shared" si="10"/>
        <v>0</v>
      </c>
      <c r="J276" s="21"/>
    </row>
    <row r="277" spans="1:10" x14ac:dyDescent="0.25">
      <c r="A277" s="82">
        <v>42769</v>
      </c>
      <c r="B277" s="83" t="s">
        <v>4461</v>
      </c>
      <c r="C277" s="85"/>
      <c r="D277" s="18">
        <v>99613</v>
      </c>
      <c r="E277" s="2" t="s">
        <v>184</v>
      </c>
      <c r="F277" s="15">
        <v>1903.6</v>
      </c>
      <c r="G277" s="41">
        <v>42769</v>
      </c>
      <c r="H277" s="15">
        <f t="shared" si="9"/>
        <v>1903.6</v>
      </c>
      <c r="I277" s="15">
        <f t="shared" si="10"/>
        <v>0</v>
      </c>
      <c r="J277" s="21"/>
    </row>
    <row r="278" spans="1:10" x14ac:dyDescent="0.25">
      <c r="A278" s="82">
        <v>42769</v>
      </c>
      <c r="B278" s="83" t="s">
        <v>4462</v>
      </c>
      <c r="C278" s="85"/>
      <c r="D278" s="18">
        <v>99614</v>
      </c>
      <c r="E278" s="2" t="s">
        <v>59</v>
      </c>
      <c r="F278" s="15">
        <v>1446.5</v>
      </c>
      <c r="G278" s="41">
        <v>42772</v>
      </c>
      <c r="H278" s="15">
        <f t="shared" si="9"/>
        <v>1446.5</v>
      </c>
      <c r="I278" s="15">
        <f t="shared" si="10"/>
        <v>0</v>
      </c>
      <c r="J278" s="21"/>
    </row>
    <row r="279" spans="1:10" x14ac:dyDescent="0.25">
      <c r="A279" s="82">
        <v>42769</v>
      </c>
      <c r="B279" s="83" t="s">
        <v>4463</v>
      </c>
      <c r="C279" s="85"/>
      <c r="D279" s="18">
        <v>99615</v>
      </c>
      <c r="E279" s="2" t="s">
        <v>428</v>
      </c>
      <c r="F279" s="15">
        <v>1877.2</v>
      </c>
      <c r="G279" s="41">
        <v>42772</v>
      </c>
      <c r="H279" s="15">
        <f t="shared" si="9"/>
        <v>1877.2</v>
      </c>
      <c r="I279" s="15">
        <f t="shared" si="10"/>
        <v>0</v>
      </c>
      <c r="J279" s="21"/>
    </row>
    <row r="280" spans="1:10" x14ac:dyDescent="0.25">
      <c r="A280" s="82">
        <v>42769</v>
      </c>
      <c r="B280" s="83" t="s">
        <v>4464</v>
      </c>
      <c r="C280" s="85"/>
      <c r="D280" s="18">
        <v>99616</v>
      </c>
      <c r="E280" s="2" t="s">
        <v>165</v>
      </c>
      <c r="F280" s="15">
        <v>10715.8</v>
      </c>
      <c r="G280" s="41">
        <v>42788</v>
      </c>
      <c r="H280" s="15">
        <f t="shared" si="9"/>
        <v>10715.8</v>
      </c>
      <c r="I280" s="15">
        <f t="shared" si="10"/>
        <v>0</v>
      </c>
      <c r="J280" s="21"/>
    </row>
    <row r="281" spans="1:10" x14ac:dyDescent="0.25">
      <c r="A281" s="82">
        <v>42769</v>
      </c>
      <c r="B281" s="83" t="s">
        <v>4465</v>
      </c>
      <c r="C281" s="85"/>
      <c r="D281" s="18">
        <v>99617</v>
      </c>
      <c r="E281" s="2" t="s">
        <v>1645</v>
      </c>
      <c r="F281" s="15">
        <v>2435</v>
      </c>
      <c r="G281" s="41">
        <v>42769</v>
      </c>
      <c r="H281" s="15">
        <f t="shared" si="9"/>
        <v>2435</v>
      </c>
      <c r="I281" s="15">
        <f t="shared" si="10"/>
        <v>0</v>
      </c>
      <c r="J281" s="21"/>
    </row>
    <row r="282" spans="1:10" x14ac:dyDescent="0.25">
      <c r="A282" s="82">
        <v>42769</v>
      </c>
      <c r="B282" s="83" t="s">
        <v>4466</v>
      </c>
      <c r="C282" s="85"/>
      <c r="D282" s="18">
        <v>99618</v>
      </c>
      <c r="E282" s="13" t="s">
        <v>163</v>
      </c>
      <c r="F282" s="14">
        <v>0</v>
      </c>
      <c r="G282" s="88" t="s">
        <v>95</v>
      </c>
      <c r="H282" s="14">
        <f t="shared" si="9"/>
        <v>0</v>
      </c>
      <c r="I282" s="14">
        <f t="shared" si="10"/>
        <v>0</v>
      </c>
      <c r="J282" s="21"/>
    </row>
    <row r="283" spans="1:10" x14ac:dyDescent="0.25">
      <c r="A283" s="82">
        <v>42769</v>
      </c>
      <c r="B283" s="83" t="s">
        <v>4467</v>
      </c>
      <c r="C283" s="85"/>
      <c r="D283" s="18">
        <v>99619</v>
      </c>
      <c r="E283" s="2" t="s">
        <v>155</v>
      </c>
      <c r="F283" s="15">
        <v>37072.6</v>
      </c>
      <c r="G283" s="41">
        <v>42773</v>
      </c>
      <c r="H283" s="15">
        <f t="shared" si="9"/>
        <v>37072.6</v>
      </c>
      <c r="I283" s="15">
        <f t="shared" si="10"/>
        <v>0</v>
      </c>
      <c r="J283" s="21"/>
    </row>
    <row r="284" spans="1:10" x14ac:dyDescent="0.25">
      <c r="A284" s="82">
        <v>42769</v>
      </c>
      <c r="B284" s="83" t="s">
        <v>4468</v>
      </c>
      <c r="C284" s="85"/>
      <c r="D284" s="18">
        <v>99620</v>
      </c>
      <c r="E284" s="2" t="s">
        <v>2704</v>
      </c>
      <c r="F284" s="15">
        <v>12209.4</v>
      </c>
      <c r="G284" s="41">
        <v>42770</v>
      </c>
      <c r="H284" s="15">
        <f t="shared" si="9"/>
        <v>12209.4</v>
      </c>
      <c r="I284" s="15">
        <f t="shared" si="10"/>
        <v>0</v>
      </c>
      <c r="J284" s="21"/>
    </row>
    <row r="285" spans="1:10" x14ac:dyDescent="0.25">
      <c r="A285" s="82">
        <v>42769</v>
      </c>
      <c r="B285" s="83" t="s">
        <v>4469</v>
      </c>
      <c r="C285" s="85"/>
      <c r="D285" s="18">
        <v>99621</v>
      </c>
      <c r="E285" s="2" t="s">
        <v>163</v>
      </c>
      <c r="F285" s="15">
        <v>19333.2</v>
      </c>
      <c r="G285" s="41">
        <v>42779</v>
      </c>
      <c r="H285" s="15">
        <f t="shared" si="9"/>
        <v>19333.2</v>
      </c>
      <c r="I285" s="15">
        <f t="shared" si="10"/>
        <v>0</v>
      </c>
      <c r="J285" s="21"/>
    </row>
    <row r="286" spans="1:10" x14ac:dyDescent="0.25">
      <c r="A286" s="82">
        <v>42769</v>
      </c>
      <c r="B286" s="83" t="s">
        <v>4470</v>
      </c>
      <c r="C286" s="85"/>
      <c r="D286" s="18">
        <v>99622</v>
      </c>
      <c r="E286" s="2" t="s">
        <v>697</v>
      </c>
      <c r="F286" s="15">
        <v>2199</v>
      </c>
      <c r="G286" s="41">
        <v>42802</v>
      </c>
      <c r="H286" s="15">
        <f t="shared" si="9"/>
        <v>2199</v>
      </c>
      <c r="I286" s="15">
        <f t="shared" si="10"/>
        <v>0</v>
      </c>
      <c r="J286" s="21"/>
    </row>
    <row r="287" spans="1:10" ht="30" x14ac:dyDescent="0.25">
      <c r="A287" s="82">
        <v>42769</v>
      </c>
      <c r="B287" s="83" t="s">
        <v>4471</v>
      </c>
      <c r="C287" s="85"/>
      <c r="D287" s="18">
        <v>99623</v>
      </c>
      <c r="E287" s="2" t="s">
        <v>38</v>
      </c>
      <c r="F287" s="15">
        <v>3415.3</v>
      </c>
      <c r="G287" s="87" t="s">
        <v>4472</v>
      </c>
      <c r="H287" s="20">
        <f>1500+1915.3</f>
        <v>3415.3</v>
      </c>
      <c r="I287" s="20">
        <f t="shared" si="10"/>
        <v>0</v>
      </c>
      <c r="J287" s="21"/>
    </row>
    <row r="288" spans="1:10" x14ac:dyDescent="0.25">
      <c r="A288" s="82">
        <v>42769</v>
      </c>
      <c r="B288" s="83" t="s">
        <v>4473</v>
      </c>
      <c r="C288" s="85"/>
      <c r="D288" s="18">
        <v>99624</v>
      </c>
      <c r="E288" s="2" t="s">
        <v>40</v>
      </c>
      <c r="F288" s="15">
        <v>4424.3</v>
      </c>
      <c r="G288" s="41">
        <v>42772</v>
      </c>
      <c r="H288" s="15">
        <f t="shared" si="9"/>
        <v>4424.3</v>
      </c>
      <c r="I288" s="15">
        <f t="shared" si="10"/>
        <v>0</v>
      </c>
      <c r="J288" s="21"/>
    </row>
    <row r="289" spans="1:10" x14ac:dyDescent="0.25">
      <c r="A289" s="82">
        <v>42769</v>
      </c>
      <c r="B289" s="83" t="s">
        <v>4474</v>
      </c>
      <c r="C289" s="85"/>
      <c r="D289" s="18">
        <v>99625</v>
      </c>
      <c r="E289" s="2" t="s">
        <v>47</v>
      </c>
      <c r="F289" s="15">
        <v>2529.6</v>
      </c>
      <c r="G289" s="41">
        <v>42769</v>
      </c>
      <c r="H289" s="15">
        <f t="shared" si="9"/>
        <v>2529.6</v>
      </c>
      <c r="I289" s="15">
        <f t="shared" si="10"/>
        <v>0</v>
      </c>
      <c r="J289" s="21"/>
    </row>
    <row r="290" spans="1:10" x14ac:dyDescent="0.25">
      <c r="A290" s="82">
        <v>42769</v>
      </c>
      <c r="B290" s="83" t="s">
        <v>4475</v>
      </c>
      <c r="C290" s="85"/>
      <c r="D290" s="18">
        <v>99626</v>
      </c>
      <c r="E290" s="2" t="s">
        <v>432</v>
      </c>
      <c r="F290" s="15">
        <v>13088.4</v>
      </c>
      <c r="G290" s="41">
        <v>42774</v>
      </c>
      <c r="H290" s="15">
        <f t="shared" si="9"/>
        <v>13088.4</v>
      </c>
      <c r="I290" s="15">
        <f t="shared" si="10"/>
        <v>0</v>
      </c>
      <c r="J290" s="21"/>
    </row>
    <row r="291" spans="1:10" x14ac:dyDescent="0.25">
      <c r="A291" s="82">
        <v>42769</v>
      </c>
      <c r="B291" s="83" t="s">
        <v>4476</v>
      </c>
      <c r="C291" s="85"/>
      <c r="D291" s="18">
        <v>99627</v>
      </c>
      <c r="E291" s="2" t="s">
        <v>272</v>
      </c>
      <c r="F291" s="15">
        <v>3572.4</v>
      </c>
      <c r="G291" s="41">
        <v>42774</v>
      </c>
      <c r="H291" s="15">
        <f t="shared" si="9"/>
        <v>3572.4</v>
      </c>
      <c r="I291" s="15">
        <f t="shared" si="10"/>
        <v>0</v>
      </c>
      <c r="J291" s="21"/>
    </row>
    <row r="292" spans="1:10" ht="30" x14ac:dyDescent="0.25">
      <c r="A292" s="82">
        <v>42769</v>
      </c>
      <c r="B292" s="83" t="s">
        <v>4477</v>
      </c>
      <c r="C292" s="85"/>
      <c r="D292" s="18">
        <v>99628</v>
      </c>
      <c r="E292" s="2" t="s">
        <v>49</v>
      </c>
      <c r="F292" s="15">
        <v>15454.8</v>
      </c>
      <c r="G292" s="87" t="s">
        <v>4478</v>
      </c>
      <c r="H292" s="20">
        <f>7454+8000.8</f>
        <v>15454.8</v>
      </c>
      <c r="I292" s="20">
        <f t="shared" si="10"/>
        <v>0</v>
      </c>
      <c r="J292" s="21"/>
    </row>
    <row r="293" spans="1:10" ht="30" x14ac:dyDescent="0.25">
      <c r="A293" s="82">
        <v>42769</v>
      </c>
      <c r="B293" s="83" t="s">
        <v>4479</v>
      </c>
      <c r="C293" s="85"/>
      <c r="D293" s="18">
        <v>99629</v>
      </c>
      <c r="E293" s="2" t="s">
        <v>250</v>
      </c>
      <c r="F293" s="15">
        <v>5961.8</v>
      </c>
      <c r="G293" s="87" t="s">
        <v>4331</v>
      </c>
      <c r="H293" s="20">
        <f>5200+761.8</f>
        <v>5961.8</v>
      </c>
      <c r="I293" s="20">
        <f t="shared" si="10"/>
        <v>0</v>
      </c>
      <c r="J293" s="21"/>
    </row>
    <row r="294" spans="1:10" x14ac:dyDescent="0.25">
      <c r="A294" s="82">
        <v>42769</v>
      </c>
      <c r="B294" s="83" t="s">
        <v>4480</v>
      </c>
      <c r="C294" s="85"/>
      <c r="D294" s="18">
        <v>99630</v>
      </c>
      <c r="E294" s="2" t="s">
        <v>51</v>
      </c>
      <c r="F294" s="15">
        <v>7090.2</v>
      </c>
      <c r="G294" s="41">
        <v>42772</v>
      </c>
      <c r="H294" s="15">
        <f t="shared" si="9"/>
        <v>7090.2</v>
      </c>
      <c r="I294" s="15">
        <f t="shared" si="10"/>
        <v>0</v>
      </c>
      <c r="J294" s="21"/>
    </row>
    <row r="295" spans="1:10" x14ac:dyDescent="0.25">
      <c r="A295" s="82">
        <v>42769</v>
      </c>
      <c r="B295" s="83" t="s">
        <v>4481</v>
      </c>
      <c r="C295" s="85"/>
      <c r="D295" s="18">
        <v>99631</v>
      </c>
      <c r="E295" s="2" t="s">
        <v>32</v>
      </c>
      <c r="F295" s="15">
        <v>11399.2</v>
      </c>
      <c r="G295" s="41">
        <v>42775</v>
      </c>
      <c r="H295" s="15">
        <f t="shared" si="9"/>
        <v>11399.2</v>
      </c>
      <c r="I295" s="15">
        <f t="shared" si="10"/>
        <v>0</v>
      </c>
      <c r="J295" s="21"/>
    </row>
    <row r="296" spans="1:10" x14ac:dyDescent="0.25">
      <c r="A296" s="82">
        <v>42769</v>
      </c>
      <c r="B296" s="83" t="s">
        <v>4482</v>
      </c>
      <c r="C296" s="85"/>
      <c r="D296" s="18">
        <v>99632</v>
      </c>
      <c r="E296" s="2" t="s">
        <v>435</v>
      </c>
      <c r="F296" s="15">
        <v>3818.1</v>
      </c>
      <c r="G296" s="41">
        <v>42774</v>
      </c>
      <c r="H296" s="15">
        <f t="shared" si="9"/>
        <v>3818.1</v>
      </c>
      <c r="I296" s="15">
        <f t="shared" si="10"/>
        <v>0</v>
      </c>
      <c r="J296" s="21"/>
    </row>
    <row r="297" spans="1:10" x14ac:dyDescent="0.25">
      <c r="A297" s="82">
        <v>42769</v>
      </c>
      <c r="B297" s="83" t="s">
        <v>4483</v>
      </c>
      <c r="C297" s="85"/>
      <c r="D297" s="18">
        <v>99633</v>
      </c>
      <c r="E297" s="2" t="s">
        <v>302</v>
      </c>
      <c r="F297" s="15">
        <v>11538.2</v>
      </c>
      <c r="G297" s="41">
        <v>42769</v>
      </c>
      <c r="H297" s="15">
        <f t="shared" si="9"/>
        <v>11538.2</v>
      </c>
      <c r="I297" s="15">
        <f t="shared" si="10"/>
        <v>0</v>
      </c>
      <c r="J297" s="19"/>
    </row>
    <row r="298" spans="1:10" x14ac:dyDescent="0.25">
      <c r="A298" s="82">
        <v>42769</v>
      </c>
      <c r="B298" s="83" t="s">
        <v>4484</v>
      </c>
      <c r="C298" s="85"/>
      <c r="D298" s="18">
        <v>99634</v>
      </c>
      <c r="E298" s="2" t="s">
        <v>43</v>
      </c>
      <c r="F298" s="15">
        <v>12482.1</v>
      </c>
      <c r="G298" s="41">
        <v>42772</v>
      </c>
      <c r="H298" s="15">
        <f t="shared" si="9"/>
        <v>12482.1</v>
      </c>
      <c r="I298" s="15">
        <f t="shared" si="10"/>
        <v>0</v>
      </c>
      <c r="J298" s="19"/>
    </row>
    <row r="299" spans="1:10" x14ac:dyDescent="0.25">
      <c r="A299" s="82">
        <v>42769</v>
      </c>
      <c r="B299" s="83" t="s">
        <v>4485</v>
      </c>
      <c r="C299" s="85"/>
      <c r="D299" s="18">
        <v>99635</v>
      </c>
      <c r="E299" s="2" t="s">
        <v>430</v>
      </c>
      <c r="F299" s="15">
        <v>1667.4</v>
      </c>
      <c r="G299" s="41">
        <v>42769</v>
      </c>
      <c r="H299" s="15">
        <f t="shared" si="9"/>
        <v>1667.4</v>
      </c>
      <c r="I299" s="15">
        <f t="shared" si="10"/>
        <v>0</v>
      </c>
      <c r="J299" s="19"/>
    </row>
    <row r="300" spans="1:10" x14ac:dyDescent="0.25">
      <c r="A300" s="82">
        <v>42769</v>
      </c>
      <c r="B300" s="83" t="s">
        <v>4486</v>
      </c>
      <c r="C300" s="85"/>
      <c r="D300" s="18">
        <v>99636</v>
      </c>
      <c r="E300" s="2" t="s">
        <v>26</v>
      </c>
      <c r="F300" s="15">
        <v>20681.599999999999</v>
      </c>
      <c r="G300" s="41">
        <v>42769</v>
      </c>
      <c r="H300" s="15">
        <f t="shared" si="9"/>
        <v>20681.599999999999</v>
      </c>
      <c r="I300" s="15">
        <f t="shared" si="10"/>
        <v>0</v>
      </c>
      <c r="J300" s="19"/>
    </row>
    <row r="301" spans="1:10" ht="30" x14ac:dyDescent="0.25">
      <c r="A301" s="82">
        <v>42769</v>
      </c>
      <c r="B301" s="83" t="s">
        <v>4487</v>
      </c>
      <c r="C301" s="85"/>
      <c r="D301" s="18">
        <v>99637</v>
      </c>
      <c r="E301" s="2" t="s">
        <v>35</v>
      </c>
      <c r="F301" s="15">
        <v>16487.3</v>
      </c>
      <c r="G301" s="87" t="s">
        <v>4488</v>
      </c>
      <c r="H301" s="20">
        <f>10200+6287.3</f>
        <v>16487.3</v>
      </c>
      <c r="I301" s="20">
        <f t="shared" si="10"/>
        <v>0</v>
      </c>
      <c r="J301" s="19"/>
    </row>
    <row r="302" spans="1:10" x14ac:dyDescent="0.25">
      <c r="A302" s="82">
        <v>42769</v>
      </c>
      <c r="B302" s="83" t="s">
        <v>4489</v>
      </c>
      <c r="C302" s="85"/>
      <c r="D302" s="18">
        <v>99638</v>
      </c>
      <c r="E302" s="2" t="s">
        <v>30</v>
      </c>
      <c r="F302" s="15">
        <v>2056.4</v>
      </c>
      <c r="G302" s="41">
        <v>42769</v>
      </c>
      <c r="H302" s="15">
        <f t="shared" si="9"/>
        <v>2056.4</v>
      </c>
      <c r="I302" s="15">
        <f t="shared" si="10"/>
        <v>0</v>
      </c>
      <c r="J302" s="19"/>
    </row>
    <row r="303" spans="1:10" x14ac:dyDescent="0.25">
      <c r="A303" s="82">
        <v>42769</v>
      </c>
      <c r="B303" s="83" t="s">
        <v>4490</v>
      </c>
      <c r="C303" s="85"/>
      <c r="D303" s="18">
        <v>99639</v>
      </c>
      <c r="E303" s="2" t="s">
        <v>12</v>
      </c>
      <c r="F303" s="15">
        <v>2749.3</v>
      </c>
      <c r="G303" s="41">
        <v>42769</v>
      </c>
      <c r="H303" s="15">
        <f t="shared" si="9"/>
        <v>2749.3</v>
      </c>
      <c r="I303" s="15">
        <f t="shared" si="10"/>
        <v>0</v>
      </c>
      <c r="J303" s="19"/>
    </row>
    <row r="304" spans="1:10" x14ac:dyDescent="0.25">
      <c r="A304" s="82">
        <v>42769</v>
      </c>
      <c r="B304" s="83" t="s">
        <v>4491</v>
      </c>
      <c r="C304" s="85"/>
      <c r="D304" s="18">
        <v>99640</v>
      </c>
      <c r="E304" s="2" t="s">
        <v>30</v>
      </c>
      <c r="F304" s="15">
        <v>392.2</v>
      </c>
      <c r="G304" s="41">
        <v>42769</v>
      </c>
      <c r="H304" s="15">
        <f t="shared" si="9"/>
        <v>392.2</v>
      </c>
      <c r="I304" s="15">
        <f t="shared" si="10"/>
        <v>0</v>
      </c>
      <c r="J304" s="19"/>
    </row>
    <row r="305" spans="1:10" x14ac:dyDescent="0.25">
      <c r="A305" s="82">
        <v>42769</v>
      </c>
      <c r="B305" s="83" t="s">
        <v>4492</v>
      </c>
      <c r="C305" s="85"/>
      <c r="D305" s="18">
        <v>99641</v>
      </c>
      <c r="E305" s="2" t="s">
        <v>590</v>
      </c>
      <c r="F305" s="15">
        <v>20007</v>
      </c>
      <c r="G305" s="41">
        <v>42774</v>
      </c>
      <c r="H305" s="15">
        <f t="shared" si="9"/>
        <v>20007</v>
      </c>
      <c r="I305" s="15">
        <f t="shared" si="10"/>
        <v>0</v>
      </c>
      <c r="J305" s="19"/>
    </row>
    <row r="306" spans="1:10" x14ac:dyDescent="0.25">
      <c r="A306" s="82">
        <v>42769</v>
      </c>
      <c r="B306" s="83" t="s">
        <v>4493</v>
      </c>
      <c r="C306" s="85"/>
      <c r="D306" s="18">
        <v>99642</v>
      </c>
      <c r="E306" s="2" t="s">
        <v>10</v>
      </c>
      <c r="F306" s="15">
        <v>1684.8</v>
      </c>
      <c r="G306" s="41">
        <v>42776</v>
      </c>
      <c r="H306" s="15">
        <f t="shared" si="9"/>
        <v>1684.8</v>
      </c>
      <c r="I306" s="15">
        <f t="shared" si="10"/>
        <v>0</v>
      </c>
      <c r="J306" s="19"/>
    </row>
    <row r="307" spans="1:10" x14ac:dyDescent="0.25">
      <c r="A307" s="82">
        <v>42769</v>
      </c>
      <c r="B307" s="83" t="s">
        <v>4494</v>
      </c>
      <c r="C307" s="85"/>
      <c r="D307" s="18">
        <v>99643</v>
      </c>
      <c r="E307" s="2" t="s">
        <v>79</v>
      </c>
      <c r="F307" s="15">
        <v>3832.4</v>
      </c>
      <c r="G307" s="41">
        <v>42769</v>
      </c>
      <c r="H307" s="15">
        <f t="shared" si="9"/>
        <v>3832.4</v>
      </c>
      <c r="I307" s="15">
        <f t="shared" si="10"/>
        <v>0</v>
      </c>
      <c r="J307" s="19"/>
    </row>
    <row r="308" spans="1:10" x14ac:dyDescent="0.25">
      <c r="A308" s="82">
        <v>42769</v>
      </c>
      <c r="B308" s="83" t="s">
        <v>4495</v>
      </c>
      <c r="C308" s="85"/>
      <c r="D308" s="18">
        <v>99644</v>
      </c>
      <c r="E308" s="2" t="s">
        <v>274</v>
      </c>
      <c r="F308" s="15">
        <v>17831</v>
      </c>
      <c r="G308" s="41">
        <v>42774</v>
      </c>
      <c r="H308" s="15">
        <f t="shared" si="9"/>
        <v>17831</v>
      </c>
      <c r="I308" s="15">
        <f t="shared" si="10"/>
        <v>0</v>
      </c>
      <c r="J308" s="19"/>
    </row>
    <row r="309" spans="1:10" x14ac:dyDescent="0.25">
      <c r="A309" s="82">
        <v>42769</v>
      </c>
      <c r="B309" s="83" t="s">
        <v>4496</v>
      </c>
      <c r="C309" s="85"/>
      <c r="D309" s="18">
        <v>99645</v>
      </c>
      <c r="E309" s="2" t="s">
        <v>590</v>
      </c>
      <c r="F309" s="15">
        <v>6915.6</v>
      </c>
      <c r="G309" s="41">
        <v>42774</v>
      </c>
      <c r="H309" s="15">
        <f t="shared" si="9"/>
        <v>6915.6</v>
      </c>
      <c r="I309" s="15">
        <f t="shared" si="10"/>
        <v>0</v>
      </c>
      <c r="J309" s="19"/>
    </row>
    <row r="310" spans="1:10" x14ac:dyDescent="0.25">
      <c r="A310" s="82">
        <v>42769</v>
      </c>
      <c r="B310" s="83" t="s">
        <v>4497</v>
      </c>
      <c r="C310" s="85"/>
      <c r="D310" s="18">
        <v>99646</v>
      </c>
      <c r="E310" s="2" t="s">
        <v>442</v>
      </c>
      <c r="F310" s="15">
        <v>11388</v>
      </c>
      <c r="G310" s="41">
        <v>42774</v>
      </c>
      <c r="H310" s="15">
        <f t="shared" si="9"/>
        <v>11388</v>
      </c>
      <c r="I310" s="15">
        <f t="shared" si="10"/>
        <v>0</v>
      </c>
      <c r="J310" s="19"/>
    </row>
    <row r="311" spans="1:10" x14ac:dyDescent="0.25">
      <c r="A311" s="82">
        <v>42769</v>
      </c>
      <c r="B311" s="83" t="s">
        <v>4498</v>
      </c>
      <c r="C311" s="85"/>
      <c r="D311" s="18">
        <v>99647</v>
      </c>
      <c r="E311" s="2" t="s">
        <v>1090</v>
      </c>
      <c r="F311" s="15">
        <v>5026.3999999999996</v>
      </c>
      <c r="G311" s="41">
        <v>42769</v>
      </c>
      <c r="H311" s="15">
        <f t="shared" si="9"/>
        <v>5026.3999999999996</v>
      </c>
      <c r="I311" s="15">
        <f t="shared" si="10"/>
        <v>0</v>
      </c>
      <c r="J311" s="19"/>
    </row>
    <row r="312" spans="1:10" x14ac:dyDescent="0.25">
      <c r="A312" s="82">
        <v>42769</v>
      </c>
      <c r="B312" s="83" t="s">
        <v>4499</v>
      </c>
      <c r="C312" s="85"/>
      <c r="D312" s="18">
        <v>99648</v>
      </c>
      <c r="E312" s="2" t="s">
        <v>111</v>
      </c>
      <c r="F312" s="15">
        <v>2548.6</v>
      </c>
      <c r="G312" s="41">
        <v>42769</v>
      </c>
      <c r="H312" s="15">
        <f t="shared" si="9"/>
        <v>2548.6</v>
      </c>
      <c r="I312" s="15">
        <f t="shared" si="10"/>
        <v>0</v>
      </c>
      <c r="J312" s="19"/>
    </row>
    <row r="313" spans="1:10" x14ac:dyDescent="0.25">
      <c r="A313" s="82">
        <v>42769</v>
      </c>
      <c r="B313" s="83" t="s">
        <v>4500</v>
      </c>
      <c r="C313" s="85"/>
      <c r="D313" s="18">
        <v>99649</v>
      </c>
      <c r="E313" s="2" t="s">
        <v>305</v>
      </c>
      <c r="F313" s="15">
        <v>4798.7</v>
      </c>
      <c r="G313" s="41">
        <v>42777</v>
      </c>
      <c r="H313" s="15">
        <f t="shared" si="9"/>
        <v>4798.7</v>
      </c>
      <c r="I313" s="15">
        <f t="shared" si="10"/>
        <v>0</v>
      </c>
      <c r="J313" s="19"/>
    </row>
    <row r="314" spans="1:10" x14ac:dyDescent="0.25">
      <c r="A314" s="82">
        <v>42769</v>
      </c>
      <c r="B314" s="83" t="s">
        <v>4501</v>
      </c>
      <c r="C314" s="85"/>
      <c r="D314" s="18">
        <v>99650</v>
      </c>
      <c r="E314" s="2" t="s">
        <v>476</v>
      </c>
      <c r="F314" s="15">
        <v>21036.7</v>
      </c>
      <c r="G314" s="41">
        <v>42773</v>
      </c>
      <c r="H314" s="15">
        <f t="shared" si="9"/>
        <v>21036.7</v>
      </c>
      <c r="I314" s="15">
        <f t="shared" si="10"/>
        <v>0</v>
      </c>
      <c r="J314" s="19"/>
    </row>
    <row r="315" spans="1:10" x14ac:dyDescent="0.25">
      <c r="A315" s="82">
        <v>42769</v>
      </c>
      <c r="B315" s="83" t="s">
        <v>4502</v>
      </c>
      <c r="C315" s="85"/>
      <c r="D315" s="18">
        <v>99651</v>
      </c>
      <c r="E315" s="2" t="s">
        <v>793</v>
      </c>
      <c r="F315" s="15">
        <v>1992</v>
      </c>
      <c r="G315" s="41">
        <v>42770</v>
      </c>
      <c r="H315" s="15">
        <f t="shared" si="9"/>
        <v>1992</v>
      </c>
      <c r="I315" s="15">
        <f t="shared" si="10"/>
        <v>0</v>
      </c>
      <c r="J315" s="19"/>
    </row>
    <row r="316" spans="1:10" x14ac:dyDescent="0.25">
      <c r="A316" s="82">
        <v>42769</v>
      </c>
      <c r="B316" s="83" t="s">
        <v>4503</v>
      </c>
      <c r="C316" s="85"/>
      <c r="D316" s="18">
        <v>99652</v>
      </c>
      <c r="E316" s="2" t="s">
        <v>1116</v>
      </c>
      <c r="F316" s="15">
        <v>5405.3</v>
      </c>
      <c r="G316" s="41" t="s">
        <v>4259</v>
      </c>
      <c r="H316" s="15">
        <f t="shared" si="9"/>
        <v>5405.3</v>
      </c>
      <c r="I316" s="15">
        <f t="shared" si="10"/>
        <v>0</v>
      </c>
      <c r="J316" s="19"/>
    </row>
    <row r="317" spans="1:10" x14ac:dyDescent="0.25">
      <c r="A317" s="82">
        <v>42769</v>
      </c>
      <c r="B317" s="83" t="s">
        <v>4504</v>
      </c>
      <c r="C317" s="85"/>
      <c r="D317" s="18">
        <v>99653</v>
      </c>
      <c r="E317" s="2" t="s">
        <v>3360</v>
      </c>
      <c r="F317" s="15">
        <v>6095.6</v>
      </c>
      <c r="G317" s="41">
        <v>42769</v>
      </c>
      <c r="H317" s="15">
        <f t="shared" si="9"/>
        <v>6095.6</v>
      </c>
      <c r="I317" s="15">
        <f t="shared" si="10"/>
        <v>0</v>
      </c>
      <c r="J317" s="19"/>
    </row>
    <row r="318" spans="1:10" x14ac:dyDescent="0.25">
      <c r="A318" s="82">
        <v>42769</v>
      </c>
      <c r="B318" s="83" t="s">
        <v>4505</v>
      </c>
      <c r="C318" s="85"/>
      <c r="D318" s="18">
        <v>99654</v>
      </c>
      <c r="E318" s="2" t="s">
        <v>2986</v>
      </c>
      <c r="F318" s="15">
        <v>3826.2</v>
      </c>
      <c r="G318" s="41">
        <v>42769</v>
      </c>
      <c r="H318" s="15">
        <f t="shared" si="9"/>
        <v>3826.2</v>
      </c>
      <c r="I318" s="15">
        <f t="shared" si="10"/>
        <v>0</v>
      </c>
      <c r="J318" s="19"/>
    </row>
    <row r="319" spans="1:10" x14ac:dyDescent="0.25">
      <c r="A319" s="82">
        <v>42769</v>
      </c>
      <c r="B319" s="83" t="s">
        <v>4506</v>
      </c>
      <c r="C319" s="85"/>
      <c r="D319" s="18">
        <v>99655</v>
      </c>
      <c r="E319" s="2" t="s">
        <v>590</v>
      </c>
      <c r="F319" s="15">
        <v>5137.8</v>
      </c>
      <c r="G319" s="41">
        <v>42774</v>
      </c>
      <c r="H319" s="15">
        <f t="shared" si="9"/>
        <v>5137.8</v>
      </c>
      <c r="I319" s="15">
        <f t="shared" si="10"/>
        <v>0</v>
      </c>
      <c r="J319" s="19"/>
    </row>
    <row r="320" spans="1:10" x14ac:dyDescent="0.25">
      <c r="A320" s="82">
        <v>42769</v>
      </c>
      <c r="B320" s="83" t="s">
        <v>4507</v>
      </c>
      <c r="C320" s="85"/>
      <c r="D320" s="18">
        <v>99656</v>
      </c>
      <c r="E320" s="2" t="s">
        <v>270</v>
      </c>
      <c r="F320" s="15">
        <v>2318.4</v>
      </c>
      <c r="G320" s="41">
        <v>42774</v>
      </c>
      <c r="H320" s="15">
        <f t="shared" si="9"/>
        <v>2318.4</v>
      </c>
      <c r="I320" s="15">
        <f t="shared" si="10"/>
        <v>0</v>
      </c>
      <c r="J320" s="19"/>
    </row>
    <row r="321" spans="1:10" x14ac:dyDescent="0.25">
      <c r="A321" s="82">
        <v>42769</v>
      </c>
      <c r="B321" s="83" t="s">
        <v>4508</v>
      </c>
      <c r="C321" s="85"/>
      <c r="D321" s="18">
        <v>99657</v>
      </c>
      <c r="E321" s="2" t="s">
        <v>866</v>
      </c>
      <c r="F321" s="15">
        <v>6911.4</v>
      </c>
      <c r="G321" s="41">
        <v>42769</v>
      </c>
      <c r="H321" s="15">
        <f t="shared" si="9"/>
        <v>6911.4</v>
      </c>
      <c r="I321" s="15">
        <f t="shared" si="10"/>
        <v>0</v>
      </c>
      <c r="J321" s="19"/>
    </row>
    <row r="322" spans="1:10" x14ac:dyDescent="0.25">
      <c r="A322" s="82">
        <v>42769</v>
      </c>
      <c r="B322" s="83" t="s">
        <v>4509</v>
      </c>
      <c r="C322" s="85"/>
      <c r="D322" s="18">
        <v>99658</v>
      </c>
      <c r="E322" s="2" t="s">
        <v>3360</v>
      </c>
      <c r="F322" s="15">
        <v>588</v>
      </c>
      <c r="G322" s="41">
        <v>42769</v>
      </c>
      <c r="H322" s="15">
        <f t="shared" si="9"/>
        <v>588</v>
      </c>
      <c r="I322" s="15">
        <f t="shared" si="10"/>
        <v>0</v>
      </c>
      <c r="J322" s="19"/>
    </row>
    <row r="323" spans="1:10" x14ac:dyDescent="0.25">
      <c r="A323" s="82">
        <v>42769</v>
      </c>
      <c r="B323" s="83" t="s">
        <v>4510</v>
      </c>
      <c r="C323" s="85"/>
      <c r="D323" s="18">
        <v>99659</v>
      </c>
      <c r="E323" s="2" t="s">
        <v>133</v>
      </c>
      <c r="F323" s="15">
        <v>2056.4</v>
      </c>
      <c r="G323" s="41">
        <v>42769</v>
      </c>
      <c r="H323" s="15">
        <f t="shared" si="9"/>
        <v>2056.4</v>
      </c>
      <c r="I323" s="15">
        <f t="shared" si="10"/>
        <v>0</v>
      </c>
      <c r="J323" s="19"/>
    </row>
    <row r="324" spans="1:10" x14ac:dyDescent="0.25">
      <c r="A324" s="82">
        <v>42769</v>
      </c>
      <c r="B324" s="83" t="s">
        <v>4511</v>
      </c>
      <c r="C324" s="85"/>
      <c r="D324" s="18">
        <v>99660</v>
      </c>
      <c r="E324" s="2" t="s">
        <v>268</v>
      </c>
      <c r="F324" s="15">
        <v>27974.799999999999</v>
      </c>
      <c r="G324" s="41">
        <v>42774</v>
      </c>
      <c r="H324" s="15">
        <f t="shared" ref="H324:H387" si="11">F324</f>
        <v>27974.799999999999</v>
      </c>
      <c r="I324" s="15">
        <f t="shared" si="10"/>
        <v>0</v>
      </c>
      <c r="J324" s="19"/>
    </row>
    <row r="325" spans="1:10" x14ac:dyDescent="0.25">
      <c r="A325" s="82">
        <v>42769</v>
      </c>
      <c r="B325" s="83" t="s">
        <v>4512</v>
      </c>
      <c r="C325" s="85"/>
      <c r="D325" s="18">
        <v>99661</v>
      </c>
      <c r="E325" s="13" t="s">
        <v>274</v>
      </c>
      <c r="F325" s="14">
        <v>0</v>
      </c>
      <c r="G325" s="88" t="s">
        <v>95</v>
      </c>
      <c r="H325" s="14">
        <f t="shared" si="11"/>
        <v>0</v>
      </c>
      <c r="I325" s="14">
        <f t="shared" si="10"/>
        <v>0</v>
      </c>
      <c r="J325" s="19"/>
    </row>
    <row r="326" spans="1:10" x14ac:dyDescent="0.25">
      <c r="A326" s="82">
        <v>42769</v>
      </c>
      <c r="B326" s="83" t="s">
        <v>4513</v>
      </c>
      <c r="C326" s="85"/>
      <c r="D326" s="18">
        <v>99662</v>
      </c>
      <c r="E326" s="2" t="s">
        <v>274</v>
      </c>
      <c r="F326" s="15">
        <v>1603</v>
      </c>
      <c r="G326" s="41">
        <v>42774</v>
      </c>
      <c r="H326" s="15">
        <f t="shared" si="11"/>
        <v>1603</v>
      </c>
      <c r="I326" s="15">
        <f t="shared" ref="I326:I389" si="12">F326-H326</f>
        <v>0</v>
      </c>
      <c r="J326" s="19"/>
    </row>
    <row r="327" spans="1:10" x14ac:dyDescent="0.25">
      <c r="A327" s="82">
        <v>42769</v>
      </c>
      <c r="B327" s="83" t="s">
        <v>4514</v>
      </c>
      <c r="C327" s="85"/>
      <c r="D327" s="18">
        <v>99663</v>
      </c>
      <c r="E327" s="2" t="s">
        <v>858</v>
      </c>
      <c r="F327" s="15">
        <v>1714.1</v>
      </c>
      <c r="G327" s="41">
        <v>42769</v>
      </c>
      <c r="H327" s="15">
        <f t="shared" si="11"/>
        <v>1714.1</v>
      </c>
      <c r="I327" s="15">
        <f t="shared" si="12"/>
        <v>0</v>
      </c>
      <c r="J327" s="19"/>
    </row>
    <row r="328" spans="1:10" x14ac:dyDescent="0.25">
      <c r="A328" s="82">
        <v>42769</v>
      </c>
      <c r="B328" s="83" t="s">
        <v>4515</v>
      </c>
      <c r="C328" s="85"/>
      <c r="D328" s="18">
        <v>99664</v>
      </c>
      <c r="E328" s="2" t="s">
        <v>10</v>
      </c>
      <c r="F328" s="15">
        <v>386581.3</v>
      </c>
      <c r="G328" s="41">
        <v>42776</v>
      </c>
      <c r="H328" s="15">
        <f t="shared" si="11"/>
        <v>386581.3</v>
      </c>
      <c r="I328" s="15">
        <f t="shared" si="12"/>
        <v>0</v>
      </c>
      <c r="J328" s="19"/>
    </row>
    <row r="329" spans="1:10" x14ac:dyDescent="0.25">
      <c r="A329" s="82">
        <v>42769</v>
      </c>
      <c r="B329" s="83" t="s">
        <v>4516</v>
      </c>
      <c r="C329" s="85"/>
      <c r="D329" s="18">
        <v>99665</v>
      </c>
      <c r="E329" s="2" t="s">
        <v>312</v>
      </c>
      <c r="F329" s="15">
        <v>4496</v>
      </c>
      <c r="G329" s="41">
        <v>42794</v>
      </c>
      <c r="H329" s="15">
        <f t="shared" si="11"/>
        <v>4496</v>
      </c>
      <c r="I329" s="15">
        <f t="shared" si="12"/>
        <v>0</v>
      </c>
      <c r="J329" s="19"/>
    </row>
    <row r="330" spans="1:10" x14ac:dyDescent="0.25">
      <c r="A330" s="82">
        <v>42769</v>
      </c>
      <c r="B330" s="83" t="s">
        <v>4517</v>
      </c>
      <c r="C330" s="85"/>
      <c r="D330" s="18">
        <v>99666</v>
      </c>
      <c r="E330" s="2" t="s">
        <v>309</v>
      </c>
      <c r="F330" s="15">
        <v>4569.5</v>
      </c>
      <c r="G330" s="41">
        <v>42769</v>
      </c>
      <c r="H330" s="15">
        <f t="shared" si="11"/>
        <v>4569.5</v>
      </c>
      <c r="I330" s="15">
        <f t="shared" si="12"/>
        <v>0</v>
      </c>
      <c r="J330" s="19"/>
    </row>
    <row r="331" spans="1:10" x14ac:dyDescent="0.25">
      <c r="A331" s="82">
        <v>42769</v>
      </c>
      <c r="B331" s="83" t="s">
        <v>4518</v>
      </c>
      <c r="C331" s="85"/>
      <c r="D331" s="18">
        <v>99667</v>
      </c>
      <c r="E331" s="2" t="s">
        <v>208</v>
      </c>
      <c r="F331" s="15">
        <v>15027.88</v>
      </c>
      <c r="G331" s="41">
        <v>42769</v>
      </c>
      <c r="H331" s="15">
        <f t="shared" si="11"/>
        <v>15027.88</v>
      </c>
      <c r="I331" s="15">
        <f t="shared" si="12"/>
        <v>0</v>
      </c>
      <c r="J331" s="19"/>
    </row>
    <row r="332" spans="1:10" x14ac:dyDescent="0.25">
      <c r="A332" s="82">
        <v>42769</v>
      </c>
      <c r="B332" s="83" t="s">
        <v>4519</v>
      </c>
      <c r="C332" s="85"/>
      <c r="D332" s="18">
        <v>99668</v>
      </c>
      <c r="E332" s="2" t="s">
        <v>101</v>
      </c>
      <c r="F332" s="15">
        <v>3598</v>
      </c>
      <c r="G332" s="41">
        <v>42770</v>
      </c>
      <c r="H332" s="15">
        <f t="shared" si="11"/>
        <v>3598</v>
      </c>
      <c r="I332" s="15">
        <f t="shared" si="12"/>
        <v>0</v>
      </c>
      <c r="J332" s="19"/>
    </row>
    <row r="333" spans="1:10" x14ac:dyDescent="0.25">
      <c r="A333" s="82">
        <v>42769</v>
      </c>
      <c r="B333" s="83" t="s">
        <v>4520</v>
      </c>
      <c r="C333" s="85"/>
      <c r="D333" s="18">
        <v>99669</v>
      </c>
      <c r="E333" s="2" t="s">
        <v>10</v>
      </c>
      <c r="F333" s="15">
        <v>50048</v>
      </c>
      <c r="G333" s="41">
        <v>42776</v>
      </c>
      <c r="H333" s="15">
        <f t="shared" si="11"/>
        <v>50048</v>
      </c>
      <c r="I333" s="15">
        <f t="shared" si="12"/>
        <v>0</v>
      </c>
      <c r="J333" s="19"/>
    </row>
    <row r="334" spans="1:10" x14ac:dyDescent="0.25">
      <c r="A334" s="82">
        <v>42769</v>
      </c>
      <c r="B334" s="83" t="s">
        <v>4521</v>
      </c>
      <c r="C334" s="85"/>
      <c r="D334" s="18">
        <v>99670</v>
      </c>
      <c r="E334" s="2" t="s">
        <v>99</v>
      </c>
      <c r="F334" s="15">
        <v>3005</v>
      </c>
      <c r="G334" s="41">
        <v>42770</v>
      </c>
      <c r="H334" s="15">
        <f t="shared" si="11"/>
        <v>3005</v>
      </c>
      <c r="I334" s="15">
        <f t="shared" si="12"/>
        <v>0</v>
      </c>
      <c r="J334" s="19"/>
    </row>
    <row r="335" spans="1:10" x14ac:dyDescent="0.25">
      <c r="A335" s="82">
        <v>42769</v>
      </c>
      <c r="B335" s="83" t="s">
        <v>4522</v>
      </c>
      <c r="C335" s="85"/>
      <c r="D335" s="18">
        <v>99671</v>
      </c>
      <c r="E335" s="2" t="s">
        <v>103</v>
      </c>
      <c r="F335" s="15">
        <v>768</v>
      </c>
      <c r="H335" s="15">
        <f t="shared" si="11"/>
        <v>768</v>
      </c>
      <c r="I335" s="15">
        <f t="shared" si="12"/>
        <v>0</v>
      </c>
      <c r="J335" s="19"/>
    </row>
    <row r="336" spans="1:10" x14ac:dyDescent="0.25">
      <c r="A336" s="82">
        <v>42769</v>
      </c>
      <c r="B336" s="83" t="s">
        <v>4523</v>
      </c>
      <c r="C336" s="85"/>
      <c r="D336" s="18">
        <v>99672</v>
      </c>
      <c r="E336" s="2" t="s">
        <v>1256</v>
      </c>
      <c r="F336" s="15">
        <v>2375</v>
      </c>
      <c r="G336" s="41">
        <v>42770</v>
      </c>
      <c r="H336" s="15">
        <f t="shared" si="11"/>
        <v>2375</v>
      </c>
      <c r="I336" s="15">
        <f t="shared" si="12"/>
        <v>0</v>
      </c>
      <c r="J336" s="19"/>
    </row>
    <row r="337" spans="1:13" x14ac:dyDescent="0.25">
      <c r="A337" s="82">
        <v>42769</v>
      </c>
      <c r="B337" s="83" t="s">
        <v>4524</v>
      </c>
      <c r="C337" s="85"/>
      <c r="D337" s="18">
        <v>99673</v>
      </c>
      <c r="E337" s="2" t="s">
        <v>1081</v>
      </c>
      <c r="F337" s="15">
        <v>385</v>
      </c>
      <c r="G337" s="41">
        <v>42770</v>
      </c>
      <c r="H337" s="15">
        <f t="shared" si="11"/>
        <v>385</v>
      </c>
      <c r="I337" s="15">
        <f t="shared" si="12"/>
        <v>0</v>
      </c>
      <c r="J337" s="19"/>
    </row>
    <row r="338" spans="1:13" x14ac:dyDescent="0.25">
      <c r="A338" s="82">
        <v>42769</v>
      </c>
      <c r="B338" s="83" t="s">
        <v>4525</v>
      </c>
      <c r="C338" s="85"/>
      <c r="D338" s="18">
        <v>99674</v>
      </c>
      <c r="E338" s="13" t="s">
        <v>462</v>
      </c>
      <c r="F338" s="14">
        <v>0</v>
      </c>
      <c r="G338" s="88" t="s">
        <v>95</v>
      </c>
      <c r="H338" s="14">
        <f t="shared" si="11"/>
        <v>0</v>
      </c>
      <c r="I338" s="14">
        <f t="shared" si="12"/>
        <v>0</v>
      </c>
      <c r="J338" s="19"/>
    </row>
    <row r="339" spans="1:13" x14ac:dyDescent="0.25">
      <c r="A339" s="82">
        <v>42769</v>
      </c>
      <c r="B339" s="83" t="s">
        <v>4526</v>
      </c>
      <c r="C339" s="85"/>
      <c r="D339" s="18">
        <v>99675</v>
      </c>
      <c r="E339" s="2" t="s">
        <v>281</v>
      </c>
      <c r="F339" s="15">
        <v>2360</v>
      </c>
      <c r="G339" s="41">
        <v>42770</v>
      </c>
      <c r="H339" s="15">
        <f t="shared" si="11"/>
        <v>2360</v>
      </c>
      <c r="I339" s="15">
        <f t="shared" si="12"/>
        <v>0</v>
      </c>
      <c r="J339" s="19"/>
    </row>
    <row r="340" spans="1:13" x14ac:dyDescent="0.25">
      <c r="A340" s="82">
        <v>42769</v>
      </c>
      <c r="B340" s="83" t="s">
        <v>4527</v>
      </c>
      <c r="C340" s="85"/>
      <c r="D340" s="18">
        <v>99676</v>
      </c>
      <c r="E340" s="2" t="s">
        <v>291</v>
      </c>
      <c r="F340" s="15">
        <v>2533.4</v>
      </c>
      <c r="G340" s="41">
        <v>42770</v>
      </c>
      <c r="H340" s="15">
        <f t="shared" si="11"/>
        <v>2533.4</v>
      </c>
      <c r="I340" s="15">
        <f t="shared" si="12"/>
        <v>0</v>
      </c>
      <c r="J340" s="19"/>
    </row>
    <row r="341" spans="1:13" x14ac:dyDescent="0.25">
      <c r="A341" s="82">
        <v>42769</v>
      </c>
      <c r="B341" s="83" t="s">
        <v>4528</v>
      </c>
      <c r="C341" s="85"/>
      <c r="D341" s="18">
        <v>99677</v>
      </c>
      <c r="E341" s="2" t="s">
        <v>379</v>
      </c>
      <c r="F341" s="15">
        <v>5253.6</v>
      </c>
      <c r="G341" s="41">
        <v>42776</v>
      </c>
      <c r="H341" s="15">
        <f t="shared" si="11"/>
        <v>5253.6</v>
      </c>
      <c r="I341" s="15">
        <f t="shared" si="12"/>
        <v>0</v>
      </c>
      <c r="J341" s="19"/>
    </row>
    <row r="342" spans="1:13" x14ac:dyDescent="0.25">
      <c r="A342" s="82">
        <v>42769</v>
      </c>
      <c r="B342" s="83" t="s">
        <v>4529</v>
      </c>
      <c r="C342" s="85"/>
      <c r="D342" s="18">
        <v>99678</v>
      </c>
      <c r="E342" s="2" t="s">
        <v>445</v>
      </c>
      <c r="F342" s="15">
        <v>1717.2</v>
      </c>
      <c r="G342" s="41">
        <v>42770</v>
      </c>
      <c r="H342" s="15">
        <f t="shared" si="11"/>
        <v>1717.2</v>
      </c>
      <c r="I342" s="15">
        <f t="shared" si="12"/>
        <v>0</v>
      </c>
      <c r="J342" s="19"/>
    </row>
    <row r="343" spans="1:13" x14ac:dyDescent="0.25">
      <c r="A343" s="82">
        <v>42769</v>
      </c>
      <c r="B343" s="83" t="s">
        <v>4530</v>
      </c>
      <c r="C343" s="85"/>
      <c r="D343" s="18">
        <v>99679</v>
      </c>
      <c r="E343" s="2" t="s">
        <v>613</v>
      </c>
      <c r="F343" s="15">
        <v>3015.7</v>
      </c>
      <c r="G343" s="41">
        <v>42770</v>
      </c>
      <c r="H343" s="15">
        <f t="shared" si="11"/>
        <v>3015.7</v>
      </c>
      <c r="I343" s="15">
        <f t="shared" si="12"/>
        <v>0</v>
      </c>
      <c r="J343" s="19"/>
    </row>
    <row r="344" spans="1:13" x14ac:dyDescent="0.25">
      <c r="A344" s="82">
        <v>42769</v>
      </c>
      <c r="B344" s="83" t="s">
        <v>4531</v>
      </c>
      <c r="C344" s="85"/>
      <c r="D344" s="18">
        <v>99680</v>
      </c>
      <c r="E344" s="2" t="s">
        <v>88</v>
      </c>
      <c r="F344" s="15">
        <v>2420.6</v>
      </c>
      <c r="G344" s="41">
        <v>42770</v>
      </c>
      <c r="H344" s="15">
        <f t="shared" si="11"/>
        <v>2420.6</v>
      </c>
      <c r="I344" s="15">
        <f t="shared" si="12"/>
        <v>0</v>
      </c>
      <c r="J344" s="19"/>
    </row>
    <row r="345" spans="1:13" x14ac:dyDescent="0.25">
      <c r="A345" s="82">
        <v>42769</v>
      </c>
      <c r="B345" s="83" t="s">
        <v>4532</v>
      </c>
      <c r="C345" s="85"/>
      <c r="D345" s="18">
        <v>99681</v>
      </c>
      <c r="E345" s="13" t="s">
        <v>113</v>
      </c>
      <c r="F345" s="14">
        <v>0</v>
      </c>
      <c r="G345" s="88" t="s">
        <v>95</v>
      </c>
      <c r="H345" s="14">
        <f t="shared" si="11"/>
        <v>0</v>
      </c>
      <c r="I345" s="14">
        <f t="shared" si="12"/>
        <v>0</v>
      </c>
      <c r="J345" s="19"/>
    </row>
    <row r="346" spans="1:13" x14ac:dyDescent="0.25">
      <c r="A346" s="82">
        <v>42769</v>
      </c>
      <c r="B346" s="83" t="s">
        <v>4533</v>
      </c>
      <c r="C346" s="85"/>
      <c r="D346" s="18">
        <v>99682</v>
      </c>
      <c r="E346" s="2" t="s">
        <v>88</v>
      </c>
      <c r="F346" s="15">
        <v>1832.6</v>
      </c>
      <c r="G346" s="41">
        <v>42770</v>
      </c>
      <c r="H346" s="15">
        <f t="shared" si="11"/>
        <v>1832.6</v>
      </c>
      <c r="I346" s="15">
        <f t="shared" si="12"/>
        <v>0</v>
      </c>
      <c r="J346" s="19"/>
    </row>
    <row r="347" spans="1:13" x14ac:dyDescent="0.25">
      <c r="A347" s="82">
        <v>42769</v>
      </c>
      <c r="B347" s="83" t="s">
        <v>4534</v>
      </c>
      <c r="C347" s="85"/>
      <c r="D347" s="18">
        <v>99683</v>
      </c>
      <c r="E347" s="2" t="s">
        <v>92</v>
      </c>
      <c r="F347" s="15">
        <v>3348.8</v>
      </c>
      <c r="G347" s="41">
        <v>42770</v>
      </c>
      <c r="H347" s="15">
        <f t="shared" si="11"/>
        <v>3348.8</v>
      </c>
      <c r="I347" s="15">
        <f t="shared" si="12"/>
        <v>0</v>
      </c>
      <c r="J347" s="19"/>
    </row>
    <row r="348" spans="1:13" x14ac:dyDescent="0.25">
      <c r="A348" s="82">
        <v>42769</v>
      </c>
      <c r="B348" s="83" t="s">
        <v>4535</v>
      </c>
      <c r="C348" s="85"/>
      <c r="D348" s="18">
        <v>99684</v>
      </c>
      <c r="E348" s="2" t="s">
        <v>105</v>
      </c>
      <c r="F348" s="15">
        <v>3422.1</v>
      </c>
      <c r="G348" s="41">
        <v>42773</v>
      </c>
      <c r="H348" s="15">
        <f t="shared" si="11"/>
        <v>3422.1</v>
      </c>
      <c r="I348" s="15">
        <f t="shared" si="12"/>
        <v>0</v>
      </c>
      <c r="J348" s="19"/>
    </row>
    <row r="349" spans="1:13" x14ac:dyDescent="0.25">
      <c r="A349" s="82">
        <v>42769</v>
      </c>
      <c r="B349" s="83" t="s">
        <v>4536</v>
      </c>
      <c r="C349" s="85"/>
      <c r="D349" s="18">
        <v>99685</v>
      </c>
      <c r="E349" s="2" t="s">
        <v>30</v>
      </c>
      <c r="F349" s="15">
        <v>2687.7</v>
      </c>
      <c r="G349" s="41">
        <v>42769</v>
      </c>
      <c r="H349" s="15">
        <f t="shared" si="11"/>
        <v>2687.7</v>
      </c>
      <c r="I349" s="15">
        <f t="shared" si="12"/>
        <v>0</v>
      </c>
      <c r="J349" s="19"/>
    </row>
    <row r="350" spans="1:13" x14ac:dyDescent="0.25">
      <c r="A350" s="82">
        <v>42769</v>
      </c>
      <c r="B350" s="83" t="s">
        <v>4537</v>
      </c>
      <c r="C350" s="85"/>
      <c r="D350" s="18">
        <v>99686</v>
      </c>
      <c r="E350" s="2" t="s">
        <v>109</v>
      </c>
      <c r="F350" s="15">
        <v>6102</v>
      </c>
      <c r="G350" s="41">
        <v>42770</v>
      </c>
      <c r="H350" s="15">
        <f t="shared" si="11"/>
        <v>6102</v>
      </c>
      <c r="I350" s="15">
        <f t="shared" si="12"/>
        <v>0</v>
      </c>
      <c r="J350" s="19"/>
    </row>
    <row r="351" spans="1:13" x14ac:dyDescent="0.25">
      <c r="A351" s="82">
        <v>42769</v>
      </c>
      <c r="B351" s="83" t="s">
        <v>4538</v>
      </c>
      <c r="C351" s="85"/>
      <c r="D351" s="18">
        <v>99687</v>
      </c>
      <c r="E351" s="13" t="s">
        <v>4539</v>
      </c>
      <c r="F351" s="14">
        <v>0</v>
      </c>
      <c r="G351" s="88" t="s">
        <v>95</v>
      </c>
      <c r="H351" s="14">
        <f t="shared" si="11"/>
        <v>0</v>
      </c>
      <c r="I351" s="14">
        <f t="shared" si="12"/>
        <v>0</v>
      </c>
      <c r="J351" s="19"/>
    </row>
    <row r="352" spans="1:13" ht="18.75" x14ac:dyDescent="0.3">
      <c r="A352" s="82">
        <v>42769</v>
      </c>
      <c r="B352" s="83" t="s">
        <v>4540</v>
      </c>
      <c r="C352" s="85"/>
      <c r="D352" s="18">
        <v>99688</v>
      </c>
      <c r="E352" s="2" t="s">
        <v>4539</v>
      </c>
      <c r="F352" s="15">
        <v>7313.6</v>
      </c>
      <c r="G352" s="41">
        <v>42770</v>
      </c>
      <c r="H352" s="15">
        <f t="shared" si="11"/>
        <v>7313.6</v>
      </c>
      <c r="I352" s="15">
        <f t="shared" si="12"/>
        <v>0</v>
      </c>
      <c r="J352" s="19"/>
      <c r="L352" s="22"/>
      <c r="M352" s="22"/>
    </row>
    <row r="353" spans="1:10" x14ac:dyDescent="0.25">
      <c r="A353" s="82">
        <v>42769</v>
      </c>
      <c r="B353" s="83" t="s">
        <v>4541</v>
      </c>
      <c r="C353" s="85"/>
      <c r="D353" s="18">
        <v>99689</v>
      </c>
      <c r="E353" s="2" t="s">
        <v>81</v>
      </c>
      <c r="F353" s="15">
        <v>2159.4</v>
      </c>
      <c r="G353" s="41">
        <v>42772</v>
      </c>
      <c r="H353" s="15">
        <f t="shared" si="11"/>
        <v>2159.4</v>
      </c>
      <c r="I353" s="15">
        <f t="shared" si="12"/>
        <v>0</v>
      </c>
      <c r="J353" s="19"/>
    </row>
    <row r="354" spans="1:10" x14ac:dyDescent="0.25">
      <c r="A354" s="82">
        <v>42769</v>
      </c>
      <c r="B354" s="83" t="s">
        <v>4542</v>
      </c>
      <c r="C354" s="85"/>
      <c r="D354" s="18">
        <v>99690</v>
      </c>
      <c r="E354" s="2" t="s">
        <v>937</v>
      </c>
      <c r="F354" s="15">
        <v>3975</v>
      </c>
      <c r="G354" s="41">
        <v>42770</v>
      </c>
      <c r="H354" s="15">
        <f t="shared" si="11"/>
        <v>3975</v>
      </c>
      <c r="I354" s="15">
        <f t="shared" si="12"/>
        <v>0</v>
      </c>
      <c r="J354" s="19"/>
    </row>
    <row r="355" spans="1:10" x14ac:dyDescent="0.25">
      <c r="A355" s="82">
        <v>42769</v>
      </c>
      <c r="B355" s="83" t="s">
        <v>4543</v>
      </c>
      <c r="C355" s="85"/>
      <c r="D355" s="18">
        <v>99691</v>
      </c>
      <c r="E355" s="2" t="s">
        <v>45</v>
      </c>
      <c r="F355" s="15">
        <v>1477.1</v>
      </c>
      <c r="G355" s="41">
        <v>42770</v>
      </c>
      <c r="H355" s="15">
        <f t="shared" si="11"/>
        <v>1477.1</v>
      </c>
      <c r="I355" s="15">
        <f t="shared" si="12"/>
        <v>0</v>
      </c>
      <c r="J355" s="19"/>
    </row>
    <row r="356" spans="1:10" x14ac:dyDescent="0.25">
      <c r="A356" s="82">
        <v>42769</v>
      </c>
      <c r="B356" s="83" t="s">
        <v>4544</v>
      </c>
      <c r="C356" s="85"/>
      <c r="D356" s="18">
        <v>99692</v>
      </c>
      <c r="E356" s="2" t="s">
        <v>71</v>
      </c>
      <c r="F356" s="15">
        <v>4410</v>
      </c>
      <c r="G356" s="41">
        <v>42769</v>
      </c>
      <c r="H356" s="15">
        <f t="shared" si="11"/>
        <v>4410</v>
      </c>
      <c r="I356" s="15">
        <f t="shared" si="12"/>
        <v>0</v>
      </c>
      <c r="J356" s="19"/>
    </row>
    <row r="357" spans="1:10" x14ac:dyDescent="0.25">
      <c r="A357" s="82">
        <v>42769</v>
      </c>
      <c r="B357" s="83" t="s">
        <v>4545</v>
      </c>
      <c r="C357" s="85"/>
      <c r="D357" s="18">
        <v>99693</v>
      </c>
      <c r="E357" s="2" t="s">
        <v>57</v>
      </c>
      <c r="F357" s="15">
        <v>700</v>
      </c>
      <c r="G357" s="41">
        <v>42770</v>
      </c>
      <c r="H357" s="15">
        <f t="shared" si="11"/>
        <v>700</v>
      </c>
      <c r="I357" s="15">
        <f t="shared" si="12"/>
        <v>0</v>
      </c>
      <c r="J357" s="19"/>
    </row>
    <row r="358" spans="1:10" x14ac:dyDescent="0.25">
      <c r="A358" s="82">
        <v>42769</v>
      </c>
      <c r="B358" s="83" t="s">
        <v>4546</v>
      </c>
      <c r="C358" s="85"/>
      <c r="D358" s="18">
        <v>99694</v>
      </c>
      <c r="E358" s="2" t="s">
        <v>1293</v>
      </c>
      <c r="F358" s="15">
        <v>155.4</v>
      </c>
      <c r="G358" s="41">
        <v>42770</v>
      </c>
      <c r="H358" s="15">
        <f t="shared" si="11"/>
        <v>155.4</v>
      </c>
      <c r="I358" s="15">
        <f t="shared" si="12"/>
        <v>0</v>
      </c>
      <c r="J358" s="19"/>
    </row>
    <row r="359" spans="1:10" x14ac:dyDescent="0.25">
      <c r="A359" s="82">
        <v>42769</v>
      </c>
      <c r="B359" s="83" t="s">
        <v>4547</v>
      </c>
      <c r="C359" s="85"/>
      <c r="D359" s="18">
        <v>99695</v>
      </c>
      <c r="E359" s="2" t="s">
        <v>53</v>
      </c>
      <c r="F359" s="15">
        <v>2985.6</v>
      </c>
      <c r="G359" s="41">
        <v>42770</v>
      </c>
      <c r="H359" s="15">
        <f t="shared" si="11"/>
        <v>2985.6</v>
      </c>
      <c r="I359" s="15">
        <f t="shared" si="12"/>
        <v>0</v>
      </c>
      <c r="J359" s="19"/>
    </row>
    <row r="360" spans="1:10" x14ac:dyDescent="0.25">
      <c r="A360" s="82">
        <v>42769</v>
      </c>
      <c r="B360" s="83" t="s">
        <v>4548</v>
      </c>
      <c r="C360" s="85"/>
      <c r="D360" s="18">
        <v>99696</v>
      </c>
      <c r="E360" s="2" t="s">
        <v>61</v>
      </c>
      <c r="F360" s="15">
        <v>7776.6</v>
      </c>
      <c r="G360" s="41">
        <v>42770</v>
      </c>
      <c r="H360" s="15">
        <f t="shared" si="11"/>
        <v>7776.6</v>
      </c>
      <c r="I360" s="15">
        <f t="shared" si="12"/>
        <v>0</v>
      </c>
      <c r="J360" s="19"/>
    </row>
    <row r="361" spans="1:10" x14ac:dyDescent="0.25">
      <c r="A361" s="82">
        <v>42769</v>
      </c>
      <c r="B361" s="83" t="s">
        <v>4549</v>
      </c>
      <c r="C361" s="85"/>
      <c r="D361" s="18">
        <v>99697</v>
      </c>
      <c r="E361" s="2" t="s">
        <v>428</v>
      </c>
      <c r="F361" s="15">
        <v>1136.8</v>
      </c>
      <c r="G361" s="41">
        <v>42773</v>
      </c>
      <c r="H361" s="15">
        <f t="shared" si="11"/>
        <v>1136.8</v>
      </c>
      <c r="I361" s="15">
        <f t="shared" si="12"/>
        <v>0</v>
      </c>
      <c r="J361" s="19"/>
    </row>
    <row r="362" spans="1:10" x14ac:dyDescent="0.25">
      <c r="A362" s="82">
        <v>42769</v>
      </c>
      <c r="B362" s="83" t="s">
        <v>4550</v>
      </c>
      <c r="C362" s="85"/>
      <c r="D362" s="18">
        <v>99698</v>
      </c>
      <c r="E362" s="2" t="s">
        <v>198</v>
      </c>
      <c r="F362" s="15">
        <v>1216.18</v>
      </c>
      <c r="G362" s="41">
        <v>42770</v>
      </c>
      <c r="H362" s="15">
        <f t="shared" si="11"/>
        <v>1216.18</v>
      </c>
      <c r="I362" s="15">
        <f t="shared" si="12"/>
        <v>0</v>
      </c>
      <c r="J362" s="19"/>
    </row>
    <row r="363" spans="1:10" x14ac:dyDescent="0.25">
      <c r="A363" s="82">
        <v>42769</v>
      </c>
      <c r="B363" s="83" t="s">
        <v>4551</v>
      </c>
      <c r="C363" s="85"/>
      <c r="D363" s="18">
        <v>99699</v>
      </c>
      <c r="E363" s="2" t="s">
        <v>486</v>
      </c>
      <c r="F363" s="15">
        <v>3494.4</v>
      </c>
      <c r="G363" s="41">
        <v>42770</v>
      </c>
      <c r="H363" s="15">
        <f t="shared" si="11"/>
        <v>3494.4</v>
      </c>
      <c r="I363" s="15">
        <f t="shared" si="12"/>
        <v>0</v>
      </c>
      <c r="J363" s="19"/>
    </row>
    <row r="364" spans="1:10" x14ac:dyDescent="0.25">
      <c r="A364" s="82">
        <v>42769</v>
      </c>
      <c r="B364" s="83" t="s">
        <v>4552</v>
      </c>
      <c r="C364" s="85"/>
      <c r="D364" s="18">
        <v>99700</v>
      </c>
      <c r="E364" s="2" t="s">
        <v>2240</v>
      </c>
      <c r="F364" s="15">
        <v>6109.3</v>
      </c>
      <c r="G364" s="41">
        <v>42769</v>
      </c>
      <c r="H364" s="15">
        <f t="shared" si="11"/>
        <v>6109.3</v>
      </c>
      <c r="I364" s="15">
        <f t="shared" si="12"/>
        <v>0</v>
      </c>
      <c r="J364" s="19"/>
    </row>
    <row r="365" spans="1:10" x14ac:dyDescent="0.25">
      <c r="A365" s="82">
        <v>42769</v>
      </c>
      <c r="B365" s="83" t="s">
        <v>4553</v>
      </c>
      <c r="C365" s="85"/>
      <c r="D365" s="18">
        <v>99701</v>
      </c>
      <c r="E365" s="2" t="s">
        <v>149</v>
      </c>
      <c r="F365" s="15">
        <v>4280.3999999999996</v>
      </c>
      <c r="G365" s="41">
        <v>42769</v>
      </c>
      <c r="H365" s="15">
        <f t="shared" si="11"/>
        <v>4280.3999999999996</v>
      </c>
      <c r="I365" s="15">
        <f t="shared" si="12"/>
        <v>0</v>
      </c>
      <c r="J365" s="19"/>
    </row>
    <row r="366" spans="1:10" x14ac:dyDescent="0.25">
      <c r="A366" s="82">
        <v>42769</v>
      </c>
      <c r="B366" s="83" t="s">
        <v>4554</v>
      </c>
      <c r="C366" s="85"/>
      <c r="D366" s="18">
        <v>99702</v>
      </c>
      <c r="E366" s="2" t="s">
        <v>188</v>
      </c>
      <c r="F366" s="15">
        <v>4236.8</v>
      </c>
      <c r="G366" s="41">
        <v>42770</v>
      </c>
      <c r="H366" s="15">
        <f t="shared" si="11"/>
        <v>4236.8</v>
      </c>
      <c r="I366" s="15">
        <f t="shared" si="12"/>
        <v>0</v>
      </c>
      <c r="J366" s="19"/>
    </row>
    <row r="367" spans="1:10" x14ac:dyDescent="0.25">
      <c r="A367" s="82">
        <v>42769</v>
      </c>
      <c r="B367" s="83" t="s">
        <v>4555</v>
      </c>
      <c r="C367" s="85"/>
      <c r="D367" s="18">
        <v>99703</v>
      </c>
      <c r="E367" s="2" t="s">
        <v>879</v>
      </c>
      <c r="F367" s="15">
        <v>3477.6</v>
      </c>
      <c r="G367" s="41">
        <v>42769</v>
      </c>
      <c r="H367" s="15">
        <f t="shared" si="11"/>
        <v>3477.6</v>
      </c>
      <c r="I367" s="15">
        <f t="shared" si="12"/>
        <v>0</v>
      </c>
      <c r="J367" s="19"/>
    </row>
    <row r="368" spans="1:10" x14ac:dyDescent="0.25">
      <c r="A368" s="82">
        <v>42769</v>
      </c>
      <c r="B368" s="83" t="s">
        <v>4556</v>
      </c>
      <c r="C368" s="85"/>
      <c r="D368" s="18">
        <v>99704</v>
      </c>
      <c r="E368" s="2" t="s">
        <v>909</v>
      </c>
      <c r="F368" s="15">
        <v>3280.2</v>
      </c>
      <c r="G368" s="41">
        <v>42770</v>
      </c>
      <c r="H368" s="15">
        <f t="shared" si="11"/>
        <v>3280.2</v>
      </c>
      <c r="I368" s="15">
        <f t="shared" si="12"/>
        <v>0</v>
      </c>
      <c r="J368" s="19"/>
    </row>
    <row r="369" spans="1:10" x14ac:dyDescent="0.25">
      <c r="A369" s="82">
        <v>42769</v>
      </c>
      <c r="B369" s="83" t="s">
        <v>4557</v>
      </c>
      <c r="C369" s="85"/>
      <c r="D369" s="18">
        <v>99705</v>
      </c>
      <c r="E369" s="2" t="s">
        <v>2528</v>
      </c>
      <c r="F369" s="15">
        <v>780</v>
      </c>
      <c r="G369" s="41">
        <v>42770</v>
      </c>
      <c r="H369" s="15">
        <f t="shared" si="11"/>
        <v>780</v>
      </c>
      <c r="I369" s="15">
        <f t="shared" si="12"/>
        <v>0</v>
      </c>
      <c r="J369" s="19"/>
    </row>
    <row r="370" spans="1:10" x14ac:dyDescent="0.25">
      <c r="A370" s="82">
        <v>42769</v>
      </c>
      <c r="B370" s="83" t="s">
        <v>4558</v>
      </c>
      <c r="C370" s="85"/>
      <c r="D370" s="18">
        <v>99706</v>
      </c>
      <c r="E370" s="2" t="s">
        <v>1141</v>
      </c>
      <c r="F370" s="15">
        <v>375.3</v>
      </c>
      <c r="G370" s="41">
        <v>42769</v>
      </c>
      <c r="H370" s="15">
        <f t="shared" si="11"/>
        <v>375.3</v>
      </c>
      <c r="I370" s="15">
        <f t="shared" si="12"/>
        <v>0</v>
      </c>
      <c r="J370" s="19"/>
    </row>
    <row r="371" spans="1:10" x14ac:dyDescent="0.25">
      <c r="A371" s="82">
        <v>42769</v>
      </c>
      <c r="B371" s="83" t="s">
        <v>4559</v>
      </c>
      <c r="C371" s="85"/>
      <c r="D371" s="18">
        <v>99707</v>
      </c>
      <c r="E371" s="2" t="s">
        <v>135</v>
      </c>
      <c r="F371" s="15">
        <v>604.20000000000005</v>
      </c>
      <c r="G371" s="41">
        <v>42769</v>
      </c>
      <c r="H371" s="15">
        <f t="shared" si="11"/>
        <v>604.20000000000005</v>
      </c>
      <c r="I371" s="15">
        <f t="shared" si="12"/>
        <v>0</v>
      </c>
      <c r="J371" s="19"/>
    </row>
    <row r="372" spans="1:10" x14ac:dyDescent="0.25">
      <c r="A372" s="82">
        <v>42769</v>
      </c>
      <c r="B372" s="83" t="s">
        <v>4560</v>
      </c>
      <c r="C372" s="85"/>
      <c r="D372" s="18">
        <v>99708</v>
      </c>
      <c r="E372" s="2" t="s">
        <v>182</v>
      </c>
      <c r="F372" s="15">
        <v>5000</v>
      </c>
      <c r="G372" s="41">
        <v>42770</v>
      </c>
      <c r="H372" s="15">
        <f t="shared" si="11"/>
        <v>5000</v>
      </c>
      <c r="I372" s="15">
        <f t="shared" si="12"/>
        <v>0</v>
      </c>
      <c r="J372" s="19"/>
    </row>
    <row r="373" spans="1:10" x14ac:dyDescent="0.25">
      <c r="A373" s="82">
        <v>42769</v>
      </c>
      <c r="B373" s="83" t="s">
        <v>4561</v>
      </c>
      <c r="C373" s="85"/>
      <c r="D373" s="18">
        <v>99709</v>
      </c>
      <c r="E373" s="2" t="s">
        <v>1310</v>
      </c>
      <c r="F373" s="15">
        <v>779.1</v>
      </c>
      <c r="G373" s="41">
        <v>42770</v>
      </c>
      <c r="H373" s="15">
        <f t="shared" si="11"/>
        <v>779.1</v>
      </c>
      <c r="I373" s="15">
        <f t="shared" si="12"/>
        <v>0</v>
      </c>
      <c r="J373" s="19"/>
    </row>
    <row r="374" spans="1:10" x14ac:dyDescent="0.25">
      <c r="A374" s="82">
        <v>42769</v>
      </c>
      <c r="B374" s="83" t="s">
        <v>4562</v>
      </c>
      <c r="C374" s="85"/>
      <c r="D374" s="18">
        <v>99710</v>
      </c>
      <c r="E374" s="2" t="s">
        <v>2519</v>
      </c>
      <c r="F374" s="15">
        <v>2209.8000000000002</v>
      </c>
      <c r="G374" s="41">
        <v>42769</v>
      </c>
      <c r="H374" s="15">
        <f t="shared" si="11"/>
        <v>2209.8000000000002</v>
      </c>
      <c r="I374" s="15">
        <f t="shared" si="12"/>
        <v>0</v>
      </c>
      <c r="J374" s="19"/>
    </row>
    <row r="375" spans="1:10" x14ac:dyDescent="0.25">
      <c r="A375" s="82">
        <v>42769</v>
      </c>
      <c r="B375" s="83" t="s">
        <v>4563</v>
      </c>
      <c r="C375" s="85"/>
      <c r="D375" s="18">
        <v>99711</v>
      </c>
      <c r="E375" s="2" t="s">
        <v>2533</v>
      </c>
      <c r="F375" s="15">
        <v>632.79999999999995</v>
      </c>
      <c r="G375" s="41">
        <v>42770</v>
      </c>
      <c r="H375" s="15">
        <f t="shared" si="11"/>
        <v>632.79999999999995</v>
      </c>
      <c r="I375" s="15">
        <f t="shared" si="12"/>
        <v>0</v>
      </c>
      <c r="J375" s="19"/>
    </row>
    <row r="376" spans="1:10" x14ac:dyDescent="0.25">
      <c r="A376" s="82">
        <v>42769</v>
      </c>
      <c r="B376" s="83" t="s">
        <v>4564</v>
      </c>
      <c r="C376" s="85"/>
      <c r="D376" s="18">
        <v>99712</v>
      </c>
      <c r="E376" s="2" t="s">
        <v>193</v>
      </c>
      <c r="F376" s="15">
        <v>5130.3</v>
      </c>
      <c r="G376" s="41">
        <v>42770</v>
      </c>
      <c r="H376" s="15">
        <f t="shared" si="11"/>
        <v>5130.3</v>
      </c>
      <c r="I376" s="15">
        <f t="shared" si="12"/>
        <v>0</v>
      </c>
      <c r="J376" s="19"/>
    </row>
    <row r="377" spans="1:10" x14ac:dyDescent="0.25">
      <c r="A377" s="82">
        <v>42769</v>
      </c>
      <c r="B377" s="83" t="s">
        <v>4565</v>
      </c>
      <c r="C377" s="85"/>
      <c r="D377" s="18">
        <v>99713</v>
      </c>
      <c r="E377" s="2" t="s">
        <v>356</v>
      </c>
      <c r="F377" s="15">
        <v>9200</v>
      </c>
      <c r="G377" s="41">
        <v>42770</v>
      </c>
      <c r="H377" s="15">
        <f t="shared" si="11"/>
        <v>9200</v>
      </c>
      <c r="I377" s="15">
        <f t="shared" si="12"/>
        <v>0</v>
      </c>
      <c r="J377" s="19"/>
    </row>
    <row r="378" spans="1:10" x14ac:dyDescent="0.25">
      <c r="A378" s="82">
        <v>42769</v>
      </c>
      <c r="B378" s="83" t="s">
        <v>4566</v>
      </c>
      <c r="C378" s="85"/>
      <c r="D378" s="18">
        <v>99714</v>
      </c>
      <c r="E378" s="2" t="s">
        <v>10</v>
      </c>
      <c r="F378" s="15">
        <v>39611.599999999999</v>
      </c>
      <c r="G378" s="41">
        <v>42776</v>
      </c>
      <c r="H378" s="15">
        <f t="shared" si="11"/>
        <v>39611.599999999999</v>
      </c>
      <c r="I378" s="15">
        <f t="shared" si="12"/>
        <v>0</v>
      </c>
      <c r="J378" s="19"/>
    </row>
    <row r="379" spans="1:10" x14ac:dyDescent="0.25">
      <c r="A379" s="82">
        <v>42769</v>
      </c>
      <c r="B379" s="83" t="s">
        <v>4567</v>
      </c>
      <c r="C379" s="85"/>
      <c r="D379" s="18">
        <v>99715</v>
      </c>
      <c r="E379" s="2" t="s">
        <v>3319</v>
      </c>
      <c r="F379" s="15">
        <v>5000</v>
      </c>
      <c r="G379" s="41">
        <v>42770</v>
      </c>
      <c r="H379" s="15">
        <f t="shared" si="11"/>
        <v>5000</v>
      </c>
      <c r="I379" s="15">
        <f t="shared" si="12"/>
        <v>0</v>
      </c>
      <c r="J379" s="19"/>
    </row>
    <row r="380" spans="1:10" x14ac:dyDescent="0.25">
      <c r="A380" s="82">
        <v>42769</v>
      </c>
      <c r="B380" s="83" t="s">
        <v>4568</v>
      </c>
      <c r="C380" s="85"/>
      <c r="D380" s="18">
        <v>99716</v>
      </c>
      <c r="E380" s="2" t="s">
        <v>153</v>
      </c>
      <c r="F380" s="15">
        <v>8080</v>
      </c>
      <c r="G380" s="41">
        <v>42770</v>
      </c>
      <c r="H380" s="15">
        <f t="shared" si="11"/>
        <v>8080</v>
      </c>
      <c r="I380" s="15">
        <f t="shared" si="12"/>
        <v>0</v>
      </c>
      <c r="J380" s="19"/>
    </row>
    <row r="381" spans="1:10" x14ac:dyDescent="0.25">
      <c r="A381" s="82">
        <v>42769</v>
      </c>
      <c r="B381" s="83" t="s">
        <v>4569</v>
      </c>
      <c r="C381" s="85"/>
      <c r="D381" s="18">
        <v>99717</v>
      </c>
      <c r="E381" s="2" t="s">
        <v>176</v>
      </c>
      <c r="F381" s="15">
        <v>7425.6</v>
      </c>
      <c r="G381" s="41">
        <v>42769</v>
      </c>
      <c r="H381" s="15">
        <f t="shared" si="11"/>
        <v>7425.6</v>
      </c>
      <c r="I381" s="15">
        <f t="shared" si="12"/>
        <v>0</v>
      </c>
      <c r="J381" s="19"/>
    </row>
    <row r="382" spans="1:10" x14ac:dyDescent="0.25">
      <c r="A382" s="82">
        <v>42769</v>
      </c>
      <c r="B382" s="83" t="s">
        <v>4570</v>
      </c>
      <c r="C382" s="85"/>
      <c r="D382" s="18">
        <v>99718</v>
      </c>
      <c r="E382" s="2" t="s">
        <v>172</v>
      </c>
      <c r="F382" s="15">
        <v>30526.400000000001</v>
      </c>
      <c r="G382" s="41">
        <v>42779</v>
      </c>
      <c r="H382" s="15">
        <f t="shared" si="11"/>
        <v>30526.400000000001</v>
      </c>
      <c r="I382" s="15">
        <f t="shared" si="12"/>
        <v>0</v>
      </c>
      <c r="J382" s="19"/>
    </row>
    <row r="383" spans="1:10" x14ac:dyDescent="0.25">
      <c r="A383" s="82">
        <v>42769</v>
      </c>
      <c r="B383" s="83" t="s">
        <v>4571</v>
      </c>
      <c r="C383" s="85"/>
      <c r="D383" s="18">
        <v>99719</v>
      </c>
      <c r="E383" s="2" t="s">
        <v>161</v>
      </c>
      <c r="F383" s="15">
        <v>41941.800000000003</v>
      </c>
      <c r="G383" s="41">
        <v>42788</v>
      </c>
      <c r="H383" s="15">
        <f t="shared" si="11"/>
        <v>41941.800000000003</v>
      </c>
      <c r="I383" s="15">
        <f t="shared" si="12"/>
        <v>0</v>
      </c>
      <c r="J383" s="19"/>
    </row>
    <row r="384" spans="1:10" x14ac:dyDescent="0.25">
      <c r="A384" s="82">
        <v>42769</v>
      </c>
      <c r="B384" s="83" t="s">
        <v>4572</v>
      </c>
      <c r="C384" s="85"/>
      <c r="D384" s="18">
        <v>99720</v>
      </c>
      <c r="E384" s="2" t="s">
        <v>492</v>
      </c>
      <c r="F384" s="15">
        <v>17138</v>
      </c>
      <c r="G384" s="41">
        <v>42770</v>
      </c>
      <c r="H384" s="15">
        <f t="shared" si="11"/>
        <v>17138</v>
      </c>
      <c r="I384" s="15">
        <f t="shared" si="12"/>
        <v>0</v>
      </c>
      <c r="J384" s="19"/>
    </row>
    <row r="385" spans="1:10" x14ac:dyDescent="0.25">
      <c r="A385" s="82">
        <v>42769</v>
      </c>
      <c r="B385" s="83" t="s">
        <v>4573</v>
      </c>
      <c r="C385" s="85"/>
      <c r="D385" s="18">
        <v>99721</v>
      </c>
      <c r="E385" s="2" t="s">
        <v>465</v>
      </c>
      <c r="F385" s="15">
        <v>7402</v>
      </c>
      <c r="G385" s="41">
        <v>42773</v>
      </c>
      <c r="H385" s="15">
        <f t="shared" si="11"/>
        <v>7402</v>
      </c>
      <c r="I385" s="15">
        <f t="shared" si="12"/>
        <v>0</v>
      </c>
      <c r="J385" s="19"/>
    </row>
    <row r="386" spans="1:10" x14ac:dyDescent="0.25">
      <c r="A386" s="82">
        <v>42769</v>
      </c>
      <c r="B386" s="83" t="s">
        <v>4574</v>
      </c>
      <c r="C386" s="85"/>
      <c r="D386" s="18">
        <v>99722</v>
      </c>
      <c r="E386" s="2" t="s">
        <v>468</v>
      </c>
      <c r="F386" s="15">
        <v>17342.2</v>
      </c>
      <c r="G386" s="41">
        <v>42773</v>
      </c>
      <c r="H386" s="15">
        <f t="shared" si="11"/>
        <v>17342.2</v>
      </c>
      <c r="I386" s="15">
        <f t="shared" si="12"/>
        <v>0</v>
      </c>
      <c r="J386" s="19"/>
    </row>
    <row r="387" spans="1:10" x14ac:dyDescent="0.25">
      <c r="A387" s="82">
        <v>42769</v>
      </c>
      <c r="B387" s="83" t="s">
        <v>4575</v>
      </c>
      <c r="C387" s="85"/>
      <c r="D387" s="18">
        <v>99723</v>
      </c>
      <c r="E387" s="2" t="s">
        <v>785</v>
      </c>
      <c r="F387" s="15">
        <v>11338.2</v>
      </c>
      <c r="G387" s="41">
        <v>42770</v>
      </c>
      <c r="H387" s="15">
        <f t="shared" si="11"/>
        <v>11338.2</v>
      </c>
      <c r="I387" s="15">
        <f t="shared" si="12"/>
        <v>0</v>
      </c>
      <c r="J387" s="19"/>
    </row>
    <row r="388" spans="1:10" x14ac:dyDescent="0.25">
      <c r="A388" s="82">
        <v>42769</v>
      </c>
      <c r="B388" s="83" t="s">
        <v>4576</v>
      </c>
      <c r="C388" s="85"/>
      <c r="D388" s="18">
        <v>99724</v>
      </c>
      <c r="E388" s="2" t="s">
        <v>1830</v>
      </c>
      <c r="F388" s="15">
        <v>13144.6</v>
      </c>
      <c r="G388" s="41">
        <v>42770</v>
      </c>
      <c r="H388" s="15">
        <f t="shared" ref="H388:H451" si="13">F388</f>
        <v>13144.6</v>
      </c>
      <c r="I388" s="15">
        <f t="shared" si="12"/>
        <v>0</v>
      </c>
      <c r="J388" s="19"/>
    </row>
    <row r="389" spans="1:10" x14ac:dyDescent="0.25">
      <c r="A389" s="82">
        <v>42769</v>
      </c>
      <c r="B389" s="83" t="s">
        <v>4577</v>
      </c>
      <c r="C389" s="85"/>
      <c r="D389" s="18">
        <v>99725</v>
      </c>
      <c r="E389" s="2" t="s">
        <v>122</v>
      </c>
      <c r="F389" s="15">
        <v>5704</v>
      </c>
      <c r="G389" s="41">
        <v>42774</v>
      </c>
      <c r="H389" s="15">
        <f t="shared" si="13"/>
        <v>5704</v>
      </c>
      <c r="I389" s="15">
        <f t="shared" si="12"/>
        <v>0</v>
      </c>
      <c r="J389" s="19"/>
    </row>
    <row r="390" spans="1:10" x14ac:dyDescent="0.25">
      <c r="A390" s="82">
        <v>42769</v>
      </c>
      <c r="B390" s="83" t="s">
        <v>4578</v>
      </c>
      <c r="C390" s="85"/>
      <c r="D390" s="18">
        <v>99726</v>
      </c>
      <c r="E390" s="2" t="s">
        <v>141</v>
      </c>
      <c r="F390" s="15">
        <v>15703.92</v>
      </c>
      <c r="G390" s="41">
        <v>42770</v>
      </c>
      <c r="H390" s="15">
        <f t="shared" si="13"/>
        <v>15703.92</v>
      </c>
      <c r="I390" s="15">
        <f t="shared" ref="I390:I453" si="14">F390-H390</f>
        <v>0</v>
      </c>
      <c r="J390" s="19"/>
    </row>
    <row r="391" spans="1:10" x14ac:dyDescent="0.25">
      <c r="A391" s="82">
        <v>42769</v>
      </c>
      <c r="B391" s="83" t="s">
        <v>4579</v>
      </c>
      <c r="C391" s="85"/>
      <c r="D391" s="18">
        <v>99727</v>
      </c>
      <c r="E391" s="2" t="s">
        <v>125</v>
      </c>
      <c r="F391" s="15">
        <v>12706.2</v>
      </c>
      <c r="G391" s="41">
        <v>42770</v>
      </c>
      <c r="H391" s="15">
        <f t="shared" si="13"/>
        <v>12706.2</v>
      </c>
      <c r="I391" s="15">
        <f t="shared" si="14"/>
        <v>0</v>
      </c>
      <c r="J391" s="19"/>
    </row>
    <row r="392" spans="1:10" x14ac:dyDescent="0.25">
      <c r="A392" s="82">
        <v>42769</v>
      </c>
      <c r="B392" s="83" t="s">
        <v>4580</v>
      </c>
      <c r="C392" s="85"/>
      <c r="D392" s="18">
        <v>99728</v>
      </c>
      <c r="E392" s="2" t="s">
        <v>459</v>
      </c>
      <c r="F392" s="15">
        <v>1317.8</v>
      </c>
      <c r="G392" s="41">
        <v>42770</v>
      </c>
      <c r="H392" s="15">
        <f t="shared" si="13"/>
        <v>1317.8</v>
      </c>
      <c r="I392" s="15">
        <f t="shared" si="14"/>
        <v>0</v>
      </c>
      <c r="J392" s="19"/>
    </row>
    <row r="393" spans="1:10" ht="30" x14ac:dyDescent="0.25">
      <c r="A393" s="82">
        <v>42769</v>
      </c>
      <c r="B393" s="83" t="s">
        <v>4581</v>
      </c>
      <c r="C393" s="85"/>
      <c r="D393" s="18">
        <v>99729</v>
      </c>
      <c r="E393" s="2" t="s">
        <v>319</v>
      </c>
      <c r="F393" s="15">
        <v>4674.6000000000004</v>
      </c>
      <c r="G393" s="86" t="s">
        <v>4582</v>
      </c>
      <c r="H393" s="23">
        <f>3500+1174.6</f>
        <v>4674.6000000000004</v>
      </c>
      <c r="I393" s="23">
        <f t="shared" si="14"/>
        <v>0</v>
      </c>
      <c r="J393" s="19"/>
    </row>
    <row r="394" spans="1:10" x14ac:dyDescent="0.25">
      <c r="A394" s="82">
        <v>42769</v>
      </c>
      <c r="B394" s="83" t="s">
        <v>4583</v>
      </c>
      <c r="C394" s="85"/>
      <c r="D394" s="18">
        <v>99730</v>
      </c>
      <c r="E394" s="2" t="s">
        <v>806</v>
      </c>
      <c r="F394" s="15">
        <v>3186.2</v>
      </c>
      <c r="G394" s="41">
        <v>42769</v>
      </c>
      <c r="H394" s="15">
        <f t="shared" si="13"/>
        <v>3186.2</v>
      </c>
      <c r="I394" s="15">
        <f t="shared" si="14"/>
        <v>0</v>
      </c>
      <c r="J394" s="19"/>
    </row>
    <row r="395" spans="1:10" x14ac:dyDescent="0.25">
      <c r="A395" s="82">
        <v>42769</v>
      </c>
      <c r="B395" s="83" t="s">
        <v>4584</v>
      </c>
      <c r="C395" s="85"/>
      <c r="D395" s="18">
        <v>99731</v>
      </c>
      <c r="E395" s="2" t="s">
        <v>88</v>
      </c>
      <c r="F395" s="15">
        <v>6144.6</v>
      </c>
      <c r="G395" s="41">
        <v>42769</v>
      </c>
      <c r="H395" s="15">
        <f t="shared" si="13"/>
        <v>6144.6</v>
      </c>
      <c r="I395" s="15">
        <f t="shared" si="14"/>
        <v>0</v>
      </c>
      <c r="J395" s="19"/>
    </row>
    <row r="396" spans="1:10" x14ac:dyDescent="0.25">
      <c r="A396" s="82">
        <v>42769</v>
      </c>
      <c r="B396" s="83" t="s">
        <v>4585</v>
      </c>
      <c r="C396" s="85"/>
      <c r="D396" s="18">
        <v>99732</v>
      </c>
      <c r="E396" s="13" t="s">
        <v>923</v>
      </c>
      <c r="F396" s="14">
        <v>0</v>
      </c>
      <c r="G396" s="88" t="s">
        <v>95</v>
      </c>
      <c r="H396" s="14">
        <f t="shared" si="13"/>
        <v>0</v>
      </c>
      <c r="I396" s="14">
        <f t="shared" si="14"/>
        <v>0</v>
      </c>
      <c r="J396" s="19"/>
    </row>
    <row r="397" spans="1:10" x14ac:dyDescent="0.25">
      <c r="A397" s="82">
        <v>42769</v>
      </c>
      <c r="B397" s="83" t="s">
        <v>4586</v>
      </c>
      <c r="C397" s="85"/>
      <c r="D397" s="18">
        <v>99733</v>
      </c>
      <c r="E397" s="2" t="s">
        <v>145</v>
      </c>
      <c r="F397" s="15">
        <v>20713.8</v>
      </c>
      <c r="G397" s="41">
        <v>42770</v>
      </c>
      <c r="H397" s="15">
        <f t="shared" si="13"/>
        <v>20713.8</v>
      </c>
      <c r="I397" s="15">
        <f t="shared" si="14"/>
        <v>0</v>
      </c>
      <c r="J397" s="19"/>
    </row>
    <row r="398" spans="1:10" x14ac:dyDescent="0.25">
      <c r="A398" s="82">
        <v>42769</v>
      </c>
      <c r="B398" s="83" t="s">
        <v>4587</v>
      </c>
      <c r="C398" s="85"/>
      <c r="D398" s="18">
        <v>99734</v>
      </c>
      <c r="E398" s="2" t="s">
        <v>2704</v>
      </c>
      <c r="F398" s="15">
        <v>5648</v>
      </c>
      <c r="G398" s="41">
        <v>42770</v>
      </c>
      <c r="H398" s="15">
        <f t="shared" si="13"/>
        <v>5648</v>
      </c>
      <c r="I398" s="15">
        <f t="shared" si="14"/>
        <v>0</v>
      </c>
      <c r="J398" s="19"/>
    </row>
    <row r="399" spans="1:10" x14ac:dyDescent="0.25">
      <c r="A399" s="82">
        <v>42769</v>
      </c>
      <c r="B399" s="83" t="s">
        <v>4588</v>
      </c>
      <c r="C399" s="85"/>
      <c r="D399" s="18">
        <v>99735</v>
      </c>
      <c r="E399" s="2" t="s">
        <v>231</v>
      </c>
      <c r="F399" s="15">
        <v>3378.4</v>
      </c>
      <c r="G399" s="41">
        <v>42770</v>
      </c>
      <c r="H399" s="15">
        <f t="shared" si="13"/>
        <v>3378.4</v>
      </c>
      <c r="I399" s="15">
        <f t="shared" si="14"/>
        <v>0</v>
      </c>
      <c r="J399" s="19"/>
    </row>
    <row r="400" spans="1:10" x14ac:dyDescent="0.25">
      <c r="A400" s="82">
        <v>42769</v>
      </c>
      <c r="B400" s="83" t="s">
        <v>4589</v>
      </c>
      <c r="C400" s="85"/>
      <c r="D400" s="18">
        <v>99736</v>
      </c>
      <c r="E400" s="2" t="s">
        <v>10</v>
      </c>
      <c r="F400" s="15">
        <v>6262</v>
      </c>
      <c r="G400" s="41">
        <v>42776</v>
      </c>
      <c r="H400" s="15">
        <f t="shared" si="13"/>
        <v>6262</v>
      </c>
      <c r="I400" s="15">
        <f t="shared" si="14"/>
        <v>0</v>
      </c>
      <c r="J400" s="19"/>
    </row>
    <row r="401" spans="1:10" x14ac:dyDescent="0.25">
      <c r="A401" s="82">
        <v>42769</v>
      </c>
      <c r="B401" s="83" t="s">
        <v>4590</v>
      </c>
      <c r="C401" s="85"/>
      <c r="D401" s="18">
        <v>99737</v>
      </c>
      <c r="E401" s="2" t="s">
        <v>220</v>
      </c>
      <c r="F401" s="15">
        <v>2175</v>
      </c>
      <c r="G401" s="41">
        <v>42770</v>
      </c>
      <c r="H401" s="15">
        <f t="shared" si="13"/>
        <v>2175</v>
      </c>
      <c r="I401" s="15">
        <f t="shared" si="14"/>
        <v>0</v>
      </c>
      <c r="J401" s="19"/>
    </row>
    <row r="402" spans="1:10" x14ac:dyDescent="0.25">
      <c r="A402" s="82">
        <v>42769</v>
      </c>
      <c r="B402" s="83" t="s">
        <v>4591</v>
      </c>
      <c r="C402" s="85"/>
      <c r="D402" s="18">
        <v>99738</v>
      </c>
      <c r="E402" s="2" t="s">
        <v>360</v>
      </c>
      <c r="F402" s="15">
        <v>14912.8</v>
      </c>
      <c r="G402" s="41">
        <v>42791</v>
      </c>
      <c r="H402" s="15">
        <f t="shared" si="13"/>
        <v>14912.8</v>
      </c>
      <c r="I402" s="15">
        <f t="shared" si="14"/>
        <v>0</v>
      </c>
      <c r="J402" s="19"/>
    </row>
    <row r="403" spans="1:10" x14ac:dyDescent="0.25">
      <c r="A403" s="82">
        <v>42769</v>
      </c>
      <c r="B403" s="83" t="s">
        <v>4592</v>
      </c>
      <c r="C403" s="85"/>
      <c r="D403" s="18">
        <v>99739</v>
      </c>
      <c r="E403" s="2" t="s">
        <v>422</v>
      </c>
      <c r="F403" s="15">
        <v>3000.8</v>
      </c>
      <c r="G403" s="41">
        <v>42769</v>
      </c>
      <c r="H403" s="15">
        <f t="shared" si="13"/>
        <v>3000.8</v>
      </c>
      <c r="I403" s="15">
        <f t="shared" si="14"/>
        <v>0</v>
      </c>
      <c r="J403" s="19"/>
    </row>
    <row r="404" spans="1:10" ht="30" x14ac:dyDescent="0.25">
      <c r="A404" s="82">
        <v>42769</v>
      </c>
      <c r="B404" s="83" t="s">
        <v>4593</v>
      </c>
      <c r="C404" s="85"/>
      <c r="D404" s="18">
        <v>99740</v>
      </c>
      <c r="E404" s="2" t="s">
        <v>409</v>
      </c>
      <c r="F404" s="15">
        <v>7850.4</v>
      </c>
      <c r="G404" s="87" t="s">
        <v>4594</v>
      </c>
      <c r="H404" s="20">
        <f>4000+3850.4</f>
        <v>7850.4</v>
      </c>
      <c r="I404" s="20">
        <f t="shared" si="14"/>
        <v>0</v>
      </c>
      <c r="J404" s="19"/>
    </row>
    <row r="405" spans="1:10" x14ac:dyDescent="0.25">
      <c r="A405" s="82">
        <v>42769</v>
      </c>
      <c r="B405" s="83" t="s">
        <v>4595</v>
      </c>
      <c r="C405" s="85"/>
      <c r="D405" s="18">
        <v>99741</v>
      </c>
      <c r="E405" s="2" t="s">
        <v>133</v>
      </c>
      <c r="F405" s="15">
        <v>80</v>
      </c>
      <c r="G405" s="41">
        <v>42769</v>
      </c>
      <c r="H405" s="15">
        <f t="shared" si="13"/>
        <v>80</v>
      </c>
      <c r="I405" s="15">
        <f t="shared" si="14"/>
        <v>0</v>
      </c>
      <c r="J405" s="19"/>
    </row>
    <row r="406" spans="1:10" x14ac:dyDescent="0.25">
      <c r="A406" s="82">
        <v>42769</v>
      </c>
      <c r="B406" s="83" t="s">
        <v>4596</v>
      </c>
      <c r="C406" s="85"/>
      <c r="D406" s="18">
        <v>99742</v>
      </c>
      <c r="E406" s="13" t="s">
        <v>285</v>
      </c>
      <c r="F406" s="14">
        <v>0</v>
      </c>
      <c r="G406" s="88" t="s">
        <v>95</v>
      </c>
      <c r="H406" s="14">
        <f t="shared" si="13"/>
        <v>0</v>
      </c>
      <c r="I406" s="14">
        <f t="shared" si="14"/>
        <v>0</v>
      </c>
      <c r="J406" s="19"/>
    </row>
    <row r="407" spans="1:10" x14ac:dyDescent="0.25">
      <c r="A407" s="82">
        <v>42769</v>
      </c>
      <c r="B407" s="83" t="s">
        <v>4597</v>
      </c>
      <c r="C407" s="85"/>
      <c r="D407" s="18">
        <v>99743</v>
      </c>
      <c r="E407" s="2" t="s">
        <v>1573</v>
      </c>
      <c r="F407" s="15">
        <v>5310</v>
      </c>
      <c r="G407" s="41">
        <v>42769</v>
      </c>
      <c r="H407" s="15">
        <f t="shared" si="13"/>
        <v>5310</v>
      </c>
      <c r="I407" s="15">
        <f t="shared" si="14"/>
        <v>0</v>
      </c>
      <c r="J407" s="19"/>
    </row>
    <row r="408" spans="1:10" x14ac:dyDescent="0.25">
      <c r="A408" s="82">
        <v>42769</v>
      </c>
      <c r="B408" s="83" t="s">
        <v>4598</v>
      </c>
      <c r="C408" s="85"/>
      <c r="D408" s="18">
        <v>99744</v>
      </c>
      <c r="E408" s="2" t="s">
        <v>352</v>
      </c>
      <c r="F408" s="15">
        <v>3146</v>
      </c>
      <c r="G408" s="41">
        <v>42769</v>
      </c>
      <c r="H408" s="15">
        <f t="shared" si="13"/>
        <v>3146</v>
      </c>
      <c r="I408" s="15">
        <f t="shared" si="14"/>
        <v>0</v>
      </c>
      <c r="J408" s="19"/>
    </row>
    <row r="409" spans="1:10" x14ac:dyDescent="0.25">
      <c r="A409" s="82">
        <v>42769</v>
      </c>
      <c r="B409" s="83" t="s">
        <v>4599</v>
      </c>
      <c r="C409" s="85"/>
      <c r="D409" s="18">
        <v>99745</v>
      </c>
      <c r="E409" s="2" t="s">
        <v>1925</v>
      </c>
      <c r="F409" s="15">
        <v>594.4</v>
      </c>
      <c r="G409" s="41">
        <v>42769</v>
      </c>
      <c r="H409" s="15">
        <f t="shared" si="13"/>
        <v>594.4</v>
      </c>
      <c r="I409" s="15">
        <f t="shared" si="14"/>
        <v>0</v>
      </c>
      <c r="J409" s="19"/>
    </row>
    <row r="410" spans="1:10" x14ac:dyDescent="0.25">
      <c r="A410" s="82">
        <v>42769</v>
      </c>
      <c r="B410" s="83" t="s">
        <v>4600</v>
      </c>
      <c r="C410" s="85"/>
      <c r="D410" s="18">
        <v>99746</v>
      </c>
      <c r="E410" s="2" t="s">
        <v>2054</v>
      </c>
      <c r="F410" s="15">
        <v>518.5</v>
      </c>
      <c r="G410" s="41">
        <v>42769</v>
      </c>
      <c r="H410" s="15">
        <f t="shared" si="13"/>
        <v>518.5</v>
      </c>
      <c r="I410" s="15">
        <f t="shared" si="14"/>
        <v>0</v>
      </c>
      <c r="J410" s="19"/>
    </row>
    <row r="411" spans="1:10" x14ac:dyDescent="0.25">
      <c r="A411" s="82">
        <v>42769</v>
      </c>
      <c r="B411" s="83" t="s">
        <v>4601</v>
      </c>
      <c r="C411" s="85"/>
      <c r="D411" s="18">
        <v>99747</v>
      </c>
      <c r="E411" s="2" t="s">
        <v>236</v>
      </c>
      <c r="F411" s="15">
        <v>36482.800000000003</v>
      </c>
      <c r="G411" s="41">
        <v>42780</v>
      </c>
      <c r="H411" s="15">
        <f t="shared" si="13"/>
        <v>36482.800000000003</v>
      </c>
      <c r="I411" s="15">
        <f t="shared" si="14"/>
        <v>0</v>
      </c>
      <c r="J411" s="19"/>
    </row>
    <row r="412" spans="1:10" x14ac:dyDescent="0.25">
      <c r="A412" s="82">
        <v>42769</v>
      </c>
      <c r="B412" s="83" t="s">
        <v>4602</v>
      </c>
      <c r="C412" s="85"/>
      <c r="D412" s="18">
        <v>99748</v>
      </c>
      <c r="E412" s="2" t="s">
        <v>113</v>
      </c>
      <c r="F412" s="15">
        <v>3028</v>
      </c>
      <c r="G412" s="41">
        <v>42770</v>
      </c>
      <c r="H412" s="15">
        <f t="shared" si="13"/>
        <v>3028</v>
      </c>
      <c r="I412" s="15">
        <f t="shared" si="14"/>
        <v>0</v>
      </c>
      <c r="J412" s="19"/>
    </row>
    <row r="413" spans="1:10" x14ac:dyDescent="0.25">
      <c r="A413" s="82">
        <v>42769</v>
      </c>
      <c r="B413" s="83" t="s">
        <v>4603</v>
      </c>
      <c r="C413" s="85"/>
      <c r="D413" s="18">
        <v>99749</v>
      </c>
      <c r="E413" s="2" t="s">
        <v>30</v>
      </c>
      <c r="F413" s="15">
        <v>541.4</v>
      </c>
      <c r="G413" s="41">
        <v>42769</v>
      </c>
      <c r="H413" s="15">
        <f t="shared" si="13"/>
        <v>541.4</v>
      </c>
      <c r="I413" s="15">
        <f t="shared" si="14"/>
        <v>0</v>
      </c>
      <c r="J413" s="19"/>
    </row>
    <row r="414" spans="1:10" x14ac:dyDescent="0.25">
      <c r="A414" s="82">
        <v>42769</v>
      </c>
      <c r="B414" s="83" t="s">
        <v>4604</v>
      </c>
      <c r="C414" s="85"/>
      <c r="D414" s="18">
        <v>99750</v>
      </c>
      <c r="E414" s="2" t="s">
        <v>354</v>
      </c>
      <c r="F414" s="15">
        <v>638.4</v>
      </c>
      <c r="G414" s="41">
        <v>42769</v>
      </c>
      <c r="H414" s="15">
        <f t="shared" si="13"/>
        <v>638.4</v>
      </c>
      <c r="I414" s="15">
        <f t="shared" si="14"/>
        <v>0</v>
      </c>
      <c r="J414" s="19"/>
    </row>
    <row r="415" spans="1:10" x14ac:dyDescent="0.25">
      <c r="A415" s="82">
        <v>42769</v>
      </c>
      <c r="B415" s="83" t="s">
        <v>4605</v>
      </c>
      <c r="C415" s="85"/>
      <c r="D415" s="18">
        <v>99751</v>
      </c>
      <c r="E415" s="2" t="s">
        <v>122</v>
      </c>
      <c r="F415" s="15">
        <v>2125.1999999999998</v>
      </c>
      <c r="G415" s="41">
        <v>42774</v>
      </c>
      <c r="H415" s="15">
        <f t="shared" si="13"/>
        <v>2125.1999999999998</v>
      </c>
      <c r="I415" s="15">
        <f t="shared" si="14"/>
        <v>0</v>
      </c>
      <c r="J415" s="19"/>
    </row>
    <row r="416" spans="1:10" x14ac:dyDescent="0.25">
      <c r="A416" s="82">
        <v>42769</v>
      </c>
      <c r="B416" s="83" t="s">
        <v>4606</v>
      </c>
      <c r="C416" s="85"/>
      <c r="D416" s="18">
        <v>99752</v>
      </c>
      <c r="E416" s="2" t="s">
        <v>2240</v>
      </c>
      <c r="F416" s="15">
        <v>8116</v>
      </c>
      <c r="G416" s="41">
        <v>42769</v>
      </c>
      <c r="H416" s="15">
        <f t="shared" si="13"/>
        <v>8116</v>
      </c>
      <c r="I416" s="15">
        <f t="shared" si="14"/>
        <v>0</v>
      </c>
      <c r="J416" s="19"/>
    </row>
    <row r="417" spans="1:10" x14ac:dyDescent="0.25">
      <c r="A417" s="82">
        <v>42769</v>
      </c>
      <c r="B417" s="83" t="s">
        <v>4607</v>
      </c>
      <c r="C417" s="85"/>
      <c r="D417" s="18">
        <v>99753</v>
      </c>
      <c r="E417" s="2" t="s">
        <v>10</v>
      </c>
      <c r="F417" s="15">
        <v>21149.599999999999</v>
      </c>
      <c r="G417" s="41">
        <v>42776</v>
      </c>
      <c r="H417" s="15">
        <f t="shared" si="13"/>
        <v>21149.599999999999</v>
      </c>
      <c r="I417" s="15">
        <f t="shared" si="14"/>
        <v>0</v>
      </c>
      <c r="J417" s="19"/>
    </row>
    <row r="418" spans="1:10" x14ac:dyDescent="0.25">
      <c r="A418" s="82">
        <v>42769</v>
      </c>
      <c r="B418" s="83" t="s">
        <v>4608</v>
      </c>
      <c r="C418" s="85"/>
      <c r="D418" s="18">
        <v>99754</v>
      </c>
      <c r="E418" s="2" t="s">
        <v>205</v>
      </c>
      <c r="F418" s="15">
        <v>16159.2</v>
      </c>
      <c r="G418" s="41">
        <v>42802</v>
      </c>
      <c r="H418" s="15">
        <f t="shared" si="13"/>
        <v>16159.2</v>
      </c>
      <c r="I418" s="15">
        <f t="shared" si="14"/>
        <v>0</v>
      </c>
      <c r="J418" s="19"/>
    </row>
    <row r="419" spans="1:10" x14ac:dyDescent="0.25">
      <c r="A419" s="82">
        <v>42769</v>
      </c>
      <c r="B419" s="83" t="s">
        <v>4609</v>
      </c>
      <c r="C419" s="85"/>
      <c r="D419" s="18">
        <v>99755</v>
      </c>
      <c r="E419" s="2" t="s">
        <v>211</v>
      </c>
      <c r="F419" s="15">
        <v>8476.2000000000007</v>
      </c>
      <c r="G419" s="41">
        <v>42769</v>
      </c>
      <c r="H419" s="15">
        <f t="shared" si="13"/>
        <v>8476.2000000000007</v>
      </c>
      <c r="I419" s="15">
        <f t="shared" si="14"/>
        <v>0</v>
      </c>
      <c r="J419" s="19"/>
    </row>
    <row r="420" spans="1:10" x14ac:dyDescent="0.25">
      <c r="A420" s="82">
        <v>42769</v>
      </c>
      <c r="B420" s="83" t="s">
        <v>4610</v>
      </c>
      <c r="C420" s="85"/>
      <c r="D420" s="18">
        <v>99756</v>
      </c>
      <c r="E420" s="2" t="s">
        <v>405</v>
      </c>
      <c r="F420" s="15">
        <v>4280.3999999999996</v>
      </c>
      <c r="G420" s="41">
        <v>42769</v>
      </c>
      <c r="H420" s="15">
        <f t="shared" si="13"/>
        <v>4280.3999999999996</v>
      </c>
      <c r="I420" s="15">
        <f t="shared" si="14"/>
        <v>0</v>
      </c>
      <c r="J420" s="19"/>
    </row>
    <row r="421" spans="1:10" x14ac:dyDescent="0.25">
      <c r="A421" s="82">
        <v>42769</v>
      </c>
      <c r="B421" s="83" t="s">
        <v>4611</v>
      </c>
      <c r="C421" s="85"/>
      <c r="D421" s="18">
        <v>99757</v>
      </c>
      <c r="E421" s="2" t="s">
        <v>430</v>
      </c>
      <c r="F421" s="15">
        <v>1503.6</v>
      </c>
      <c r="G421" s="41">
        <v>42769</v>
      </c>
      <c r="H421" s="15">
        <f t="shared" si="13"/>
        <v>1503.6</v>
      </c>
      <c r="I421" s="15">
        <f t="shared" si="14"/>
        <v>0</v>
      </c>
      <c r="J421" s="19"/>
    </row>
    <row r="422" spans="1:10" x14ac:dyDescent="0.25">
      <c r="A422" s="82">
        <v>42769</v>
      </c>
      <c r="B422" s="83" t="s">
        <v>4612</v>
      </c>
      <c r="C422" s="85"/>
      <c r="D422" s="18">
        <v>99758</v>
      </c>
      <c r="E422" s="2" t="s">
        <v>531</v>
      </c>
      <c r="F422" s="15">
        <v>33800.400000000001</v>
      </c>
      <c r="G422" s="41">
        <v>42769</v>
      </c>
      <c r="H422" s="15">
        <f t="shared" si="13"/>
        <v>33800.400000000001</v>
      </c>
      <c r="I422" s="15">
        <f t="shared" si="14"/>
        <v>0</v>
      </c>
      <c r="J422" s="19"/>
    </row>
    <row r="423" spans="1:10" x14ac:dyDescent="0.25">
      <c r="A423" s="82">
        <v>42769</v>
      </c>
      <c r="B423" s="83" t="s">
        <v>4613</v>
      </c>
      <c r="C423" s="85"/>
      <c r="D423" s="18">
        <v>99759</v>
      </c>
      <c r="E423" s="2" t="s">
        <v>222</v>
      </c>
      <c r="F423" s="15">
        <v>464087</v>
      </c>
      <c r="G423" s="41">
        <v>42774</v>
      </c>
      <c r="H423" s="15">
        <f t="shared" si="13"/>
        <v>464087</v>
      </c>
      <c r="I423" s="15">
        <f t="shared" si="14"/>
        <v>0</v>
      </c>
      <c r="J423" s="19"/>
    </row>
    <row r="424" spans="1:10" x14ac:dyDescent="0.25">
      <c r="A424" s="82">
        <v>42769</v>
      </c>
      <c r="B424" s="83" t="s">
        <v>4614</v>
      </c>
      <c r="C424" s="85"/>
      <c r="D424" s="18">
        <v>99760</v>
      </c>
      <c r="E424" s="2" t="s">
        <v>55</v>
      </c>
      <c r="F424" s="15">
        <v>25641.9</v>
      </c>
      <c r="G424" s="41">
        <v>42769</v>
      </c>
      <c r="H424" s="15">
        <f t="shared" si="13"/>
        <v>25641.9</v>
      </c>
      <c r="I424" s="15">
        <f t="shared" si="14"/>
        <v>0</v>
      </c>
      <c r="J424" s="19"/>
    </row>
    <row r="425" spans="1:10" x14ac:dyDescent="0.25">
      <c r="A425" s="82">
        <v>42769</v>
      </c>
      <c r="B425" s="83" t="s">
        <v>4615</v>
      </c>
      <c r="C425" s="85"/>
      <c r="D425" s="18">
        <v>99761</v>
      </c>
      <c r="E425" s="2" t="s">
        <v>921</v>
      </c>
      <c r="F425" s="15">
        <v>6829.2</v>
      </c>
      <c r="G425" s="41">
        <v>42769</v>
      </c>
      <c r="H425" s="15">
        <f t="shared" si="13"/>
        <v>6829.2</v>
      </c>
      <c r="I425" s="15">
        <f t="shared" si="14"/>
        <v>0</v>
      </c>
      <c r="J425" s="19"/>
    </row>
    <row r="426" spans="1:10" x14ac:dyDescent="0.25">
      <c r="A426" s="82">
        <v>42770</v>
      </c>
      <c r="B426" s="83" t="s">
        <v>4616</v>
      </c>
      <c r="C426" s="85"/>
      <c r="D426" s="18">
        <v>99762</v>
      </c>
      <c r="E426" s="2" t="s">
        <v>231</v>
      </c>
      <c r="F426" s="15">
        <v>10685.7</v>
      </c>
      <c r="G426" s="41" t="s">
        <v>4259</v>
      </c>
      <c r="H426" s="15">
        <f t="shared" si="13"/>
        <v>10685.7</v>
      </c>
      <c r="I426" s="15">
        <f t="shared" si="14"/>
        <v>0</v>
      </c>
      <c r="J426" s="19"/>
    </row>
    <row r="427" spans="1:10" x14ac:dyDescent="0.25">
      <c r="A427" s="82">
        <v>42770</v>
      </c>
      <c r="B427" s="83" t="s">
        <v>4617</v>
      </c>
      <c r="C427" s="85"/>
      <c r="D427" s="18">
        <v>99763</v>
      </c>
      <c r="E427" s="2" t="s">
        <v>231</v>
      </c>
      <c r="F427" s="15">
        <v>42562.9</v>
      </c>
      <c r="G427" s="41" t="s">
        <v>4259</v>
      </c>
      <c r="H427" s="15">
        <f t="shared" si="13"/>
        <v>42562.9</v>
      </c>
      <c r="I427" s="15">
        <f t="shared" si="14"/>
        <v>0</v>
      </c>
      <c r="J427" s="19"/>
    </row>
    <row r="428" spans="1:10" x14ac:dyDescent="0.25">
      <c r="A428" s="82">
        <v>42770</v>
      </c>
      <c r="B428" s="83" t="s">
        <v>4618</v>
      </c>
      <c r="C428" s="85"/>
      <c r="D428" s="18">
        <v>99764</v>
      </c>
      <c r="E428" s="2" t="s">
        <v>28</v>
      </c>
      <c r="F428" s="15">
        <v>4671.8</v>
      </c>
      <c r="G428" s="41" t="s">
        <v>4259</v>
      </c>
      <c r="H428" s="15">
        <f t="shared" si="13"/>
        <v>4671.8</v>
      </c>
      <c r="I428" s="15">
        <f t="shared" si="14"/>
        <v>0</v>
      </c>
      <c r="J428" s="19"/>
    </row>
    <row r="429" spans="1:10" x14ac:dyDescent="0.25">
      <c r="A429" s="82">
        <v>42770</v>
      </c>
      <c r="B429" s="83" t="s">
        <v>4619</v>
      </c>
      <c r="C429" s="85"/>
      <c r="D429" s="18">
        <v>99765</v>
      </c>
      <c r="E429" s="2" t="s">
        <v>1786</v>
      </c>
      <c r="F429" s="15">
        <v>9538.6</v>
      </c>
      <c r="G429" s="41">
        <v>42770</v>
      </c>
      <c r="H429" s="15">
        <f t="shared" si="13"/>
        <v>9538.6</v>
      </c>
      <c r="I429" s="15">
        <f t="shared" si="14"/>
        <v>0</v>
      </c>
      <c r="J429" s="19"/>
    </row>
    <row r="430" spans="1:10" x14ac:dyDescent="0.25">
      <c r="A430" s="82">
        <v>42770</v>
      </c>
      <c r="B430" s="83" t="s">
        <v>4620</v>
      </c>
      <c r="C430" s="85"/>
      <c r="D430" s="18">
        <v>99766</v>
      </c>
      <c r="E430" s="2" t="s">
        <v>67</v>
      </c>
      <c r="F430" s="15">
        <v>12645.6</v>
      </c>
      <c r="G430" s="41">
        <v>42777</v>
      </c>
      <c r="H430" s="15">
        <f t="shared" si="13"/>
        <v>12645.6</v>
      </c>
      <c r="I430" s="15">
        <f t="shared" si="14"/>
        <v>0</v>
      </c>
      <c r="J430" s="19"/>
    </row>
    <row r="431" spans="1:10" x14ac:dyDescent="0.25">
      <c r="A431" s="82">
        <v>42770</v>
      </c>
      <c r="B431" s="83" t="s">
        <v>4621</v>
      </c>
      <c r="C431" s="85"/>
      <c r="D431" s="18">
        <v>99767</v>
      </c>
      <c r="E431" s="2" t="s">
        <v>17</v>
      </c>
      <c r="F431" s="15">
        <v>5500</v>
      </c>
      <c r="G431" s="41">
        <v>42770</v>
      </c>
      <c r="H431" s="15">
        <f t="shared" si="13"/>
        <v>5500</v>
      </c>
      <c r="I431" s="15">
        <f t="shared" si="14"/>
        <v>0</v>
      </c>
      <c r="J431" s="19"/>
    </row>
    <row r="432" spans="1:10" x14ac:dyDescent="0.25">
      <c r="A432" s="82">
        <v>42770</v>
      </c>
      <c r="B432" s="83" t="s">
        <v>4622</v>
      </c>
      <c r="C432" s="85"/>
      <c r="D432" s="18">
        <v>99768</v>
      </c>
      <c r="E432" s="2" t="s">
        <v>1335</v>
      </c>
      <c r="F432" s="15">
        <v>10527.9</v>
      </c>
      <c r="G432" s="41">
        <v>42770</v>
      </c>
      <c r="H432" s="15">
        <f t="shared" si="13"/>
        <v>10527.9</v>
      </c>
      <c r="I432" s="15">
        <f t="shared" si="14"/>
        <v>0</v>
      </c>
      <c r="J432" s="19"/>
    </row>
    <row r="433" spans="1:10" x14ac:dyDescent="0.25">
      <c r="A433" s="82">
        <v>42770</v>
      </c>
      <c r="B433" s="83" t="s">
        <v>4623</v>
      </c>
      <c r="C433" s="85"/>
      <c r="D433" s="18">
        <v>99769</v>
      </c>
      <c r="E433" s="2" t="s">
        <v>30</v>
      </c>
      <c r="F433" s="15">
        <v>4012.8</v>
      </c>
      <c r="G433" s="41">
        <v>42770</v>
      </c>
      <c r="H433" s="15">
        <f t="shared" si="13"/>
        <v>4012.8</v>
      </c>
      <c r="I433" s="15">
        <f t="shared" si="14"/>
        <v>0</v>
      </c>
      <c r="J433" s="19"/>
    </row>
    <row r="434" spans="1:10" x14ac:dyDescent="0.25">
      <c r="A434" s="82">
        <v>42770</v>
      </c>
      <c r="B434" s="83" t="s">
        <v>4624</v>
      </c>
      <c r="C434" s="85"/>
      <c r="D434" s="18">
        <v>99770</v>
      </c>
      <c r="E434" s="2" t="s">
        <v>622</v>
      </c>
      <c r="F434" s="15">
        <v>41677.1</v>
      </c>
      <c r="G434" s="41">
        <v>42770</v>
      </c>
      <c r="H434" s="15">
        <f t="shared" si="13"/>
        <v>41677.1</v>
      </c>
      <c r="I434" s="15">
        <f t="shared" si="14"/>
        <v>0</v>
      </c>
      <c r="J434" s="19"/>
    </row>
    <row r="435" spans="1:10" x14ac:dyDescent="0.25">
      <c r="A435" s="82">
        <v>42770</v>
      </c>
      <c r="B435" s="83" t="s">
        <v>4625</v>
      </c>
      <c r="C435" s="85"/>
      <c r="D435" s="18">
        <v>99771</v>
      </c>
      <c r="E435" s="2" t="s">
        <v>430</v>
      </c>
      <c r="F435" s="15">
        <v>2864.4</v>
      </c>
      <c r="G435" s="41">
        <v>42770</v>
      </c>
      <c r="H435" s="15">
        <f t="shared" si="13"/>
        <v>2864.4</v>
      </c>
      <c r="I435" s="15">
        <f t="shared" si="14"/>
        <v>0</v>
      </c>
      <c r="J435" s="19"/>
    </row>
    <row r="436" spans="1:10" x14ac:dyDescent="0.25">
      <c r="A436" s="82">
        <v>42770</v>
      </c>
      <c r="B436" s="83" t="s">
        <v>4626</v>
      </c>
      <c r="C436" s="85"/>
      <c r="D436" s="18">
        <v>99772</v>
      </c>
      <c r="E436" s="2" t="s">
        <v>274</v>
      </c>
      <c r="F436" s="15">
        <v>16101.36</v>
      </c>
      <c r="G436" s="41">
        <v>42774</v>
      </c>
      <c r="H436" s="15">
        <f t="shared" si="13"/>
        <v>16101.36</v>
      </c>
      <c r="I436" s="15">
        <f t="shared" si="14"/>
        <v>0</v>
      </c>
      <c r="J436" s="19"/>
    </row>
    <row r="437" spans="1:10" x14ac:dyDescent="0.25">
      <c r="A437" s="82">
        <v>42770</v>
      </c>
      <c r="B437" s="83" t="s">
        <v>4627</v>
      </c>
      <c r="C437" s="85"/>
      <c r="D437" s="18">
        <v>99773</v>
      </c>
      <c r="E437" s="2" t="s">
        <v>432</v>
      </c>
      <c r="F437" s="15">
        <v>16048.5</v>
      </c>
      <c r="G437" s="41">
        <v>42774</v>
      </c>
      <c r="H437" s="15">
        <f t="shared" si="13"/>
        <v>16048.5</v>
      </c>
      <c r="I437" s="15">
        <f t="shared" si="14"/>
        <v>0</v>
      </c>
      <c r="J437" s="19"/>
    </row>
    <row r="438" spans="1:10" x14ac:dyDescent="0.25">
      <c r="A438" s="82">
        <v>42770</v>
      </c>
      <c r="B438" s="83" t="s">
        <v>4628</v>
      </c>
      <c r="C438" s="85"/>
      <c r="D438" s="18">
        <v>99774</v>
      </c>
      <c r="E438" s="2" t="s">
        <v>26</v>
      </c>
      <c r="F438" s="15">
        <v>26525.8</v>
      </c>
      <c r="G438" s="41">
        <v>42770</v>
      </c>
      <c r="H438" s="15">
        <f t="shared" si="13"/>
        <v>26525.8</v>
      </c>
      <c r="I438" s="15">
        <f t="shared" si="14"/>
        <v>0</v>
      </c>
      <c r="J438" s="19"/>
    </row>
    <row r="439" spans="1:10" ht="30" x14ac:dyDescent="0.25">
      <c r="A439" s="82">
        <v>42770</v>
      </c>
      <c r="B439" s="83" t="s">
        <v>4629</v>
      </c>
      <c r="C439" s="85"/>
      <c r="D439" s="18">
        <v>99775</v>
      </c>
      <c r="E439" s="2" t="s">
        <v>1797</v>
      </c>
      <c r="F439" s="15">
        <v>17675.099999999999</v>
      </c>
      <c r="G439" s="87" t="s">
        <v>4630</v>
      </c>
      <c r="H439" s="20">
        <f>17244+431.1</f>
        <v>17675.099999999999</v>
      </c>
      <c r="I439" s="20">
        <f t="shared" si="14"/>
        <v>0</v>
      </c>
      <c r="J439" s="19"/>
    </row>
    <row r="440" spans="1:10" ht="30" x14ac:dyDescent="0.25">
      <c r="A440" s="82">
        <v>42770</v>
      </c>
      <c r="B440" s="83" t="s">
        <v>4631</v>
      </c>
      <c r="C440" s="85"/>
      <c r="D440" s="18">
        <v>99776</v>
      </c>
      <c r="E440" s="2" t="s">
        <v>1666</v>
      </c>
      <c r="F440" s="15">
        <v>16818.2</v>
      </c>
      <c r="G440" s="87" t="s">
        <v>4630</v>
      </c>
      <c r="H440" s="20">
        <f>16408+410.2</f>
        <v>16818.2</v>
      </c>
      <c r="I440" s="20">
        <f t="shared" si="14"/>
        <v>0</v>
      </c>
      <c r="J440" s="19"/>
    </row>
    <row r="441" spans="1:10" x14ac:dyDescent="0.25">
      <c r="A441" s="82">
        <v>42770</v>
      </c>
      <c r="B441" s="83" t="s">
        <v>4632</v>
      </c>
      <c r="C441" s="85"/>
      <c r="D441" s="18">
        <v>99777</v>
      </c>
      <c r="E441" s="2" t="s">
        <v>26</v>
      </c>
      <c r="F441" s="15">
        <v>1197</v>
      </c>
      <c r="G441" s="41">
        <v>42770</v>
      </c>
      <c r="H441" s="15">
        <f t="shared" si="13"/>
        <v>1197</v>
      </c>
      <c r="I441" s="15">
        <f t="shared" si="14"/>
        <v>0</v>
      </c>
      <c r="J441" s="19"/>
    </row>
    <row r="442" spans="1:10" x14ac:dyDescent="0.25">
      <c r="A442" s="82">
        <v>42770</v>
      </c>
      <c r="B442" s="83" t="s">
        <v>4633</v>
      </c>
      <c r="C442" s="85"/>
      <c r="D442" s="18">
        <v>99778</v>
      </c>
      <c r="E442" s="2" t="s">
        <v>270</v>
      </c>
      <c r="F442" s="15">
        <v>38643.300000000003</v>
      </c>
      <c r="G442" s="41">
        <v>42774</v>
      </c>
      <c r="H442" s="15">
        <f t="shared" si="13"/>
        <v>38643.300000000003</v>
      </c>
      <c r="I442" s="15">
        <f t="shared" si="14"/>
        <v>0</v>
      </c>
      <c r="J442" s="19"/>
    </row>
    <row r="443" spans="1:10" x14ac:dyDescent="0.25">
      <c r="A443" s="82">
        <v>42770</v>
      </c>
      <c r="B443" s="83" t="s">
        <v>4634</v>
      </c>
      <c r="C443" s="85"/>
      <c r="D443" s="18">
        <v>99779</v>
      </c>
      <c r="E443" s="2" t="s">
        <v>38</v>
      </c>
      <c r="F443" s="15">
        <v>6225.2</v>
      </c>
      <c r="G443" s="41">
        <v>42773</v>
      </c>
      <c r="H443" s="15">
        <f t="shared" si="13"/>
        <v>6225.2</v>
      </c>
      <c r="I443" s="15">
        <f t="shared" si="14"/>
        <v>0</v>
      </c>
      <c r="J443" s="19"/>
    </row>
    <row r="444" spans="1:10" x14ac:dyDescent="0.25">
      <c r="A444" s="82">
        <v>42770</v>
      </c>
      <c r="B444" s="83" t="s">
        <v>4635</v>
      </c>
      <c r="C444" s="85"/>
      <c r="D444" s="18">
        <v>99780</v>
      </c>
      <c r="E444" s="2" t="s">
        <v>32</v>
      </c>
      <c r="F444" s="15">
        <v>16312.2</v>
      </c>
      <c r="G444" s="41">
        <v>42775</v>
      </c>
      <c r="H444" s="15">
        <f t="shared" si="13"/>
        <v>16312.2</v>
      </c>
      <c r="I444" s="15">
        <f t="shared" si="14"/>
        <v>0</v>
      </c>
      <c r="J444" s="19"/>
    </row>
    <row r="445" spans="1:10" x14ac:dyDescent="0.25">
      <c r="A445" s="82">
        <v>42770</v>
      </c>
      <c r="B445" s="83" t="s">
        <v>4636</v>
      </c>
      <c r="C445" s="85"/>
      <c r="D445" s="18">
        <v>99781</v>
      </c>
      <c r="E445" s="2" t="s">
        <v>272</v>
      </c>
      <c r="F445" s="15">
        <v>5344.7</v>
      </c>
      <c r="G445" s="41">
        <v>42774</v>
      </c>
      <c r="H445" s="15">
        <f t="shared" si="13"/>
        <v>5344.7</v>
      </c>
      <c r="I445" s="15">
        <f t="shared" si="14"/>
        <v>0</v>
      </c>
      <c r="J445" s="19"/>
    </row>
    <row r="446" spans="1:10" x14ac:dyDescent="0.25">
      <c r="A446" s="82">
        <v>42770</v>
      </c>
      <c r="B446" s="83" t="s">
        <v>4637</v>
      </c>
      <c r="C446" s="85"/>
      <c r="D446" s="18">
        <v>99782</v>
      </c>
      <c r="E446" s="2" t="s">
        <v>435</v>
      </c>
      <c r="F446" s="15">
        <v>2109</v>
      </c>
      <c r="G446" s="41">
        <v>42774</v>
      </c>
      <c r="H446" s="15">
        <f t="shared" si="13"/>
        <v>2109</v>
      </c>
      <c r="I446" s="15">
        <f t="shared" si="14"/>
        <v>0</v>
      </c>
      <c r="J446" s="19"/>
    </row>
    <row r="447" spans="1:10" ht="30" x14ac:dyDescent="0.25">
      <c r="A447" s="82">
        <v>42770</v>
      </c>
      <c r="B447" s="83" t="s">
        <v>4638</v>
      </c>
      <c r="C447" s="85"/>
      <c r="D447" s="18">
        <v>99783</v>
      </c>
      <c r="E447" s="2" t="s">
        <v>35</v>
      </c>
      <c r="F447" s="15">
        <v>35805.5</v>
      </c>
      <c r="G447" s="87" t="s">
        <v>4478</v>
      </c>
      <c r="H447" s="20">
        <f>24200+11605.5</f>
        <v>35805.5</v>
      </c>
      <c r="I447" s="20">
        <f t="shared" si="14"/>
        <v>0</v>
      </c>
      <c r="J447" s="19"/>
    </row>
    <row r="448" spans="1:10" x14ac:dyDescent="0.25">
      <c r="A448" s="82">
        <v>42770</v>
      </c>
      <c r="B448" s="83" t="s">
        <v>4639</v>
      </c>
      <c r="C448" s="85"/>
      <c r="D448" s="18">
        <v>99784</v>
      </c>
      <c r="E448" s="13" t="s">
        <v>876</v>
      </c>
      <c r="F448" s="14">
        <v>0</v>
      </c>
      <c r="G448" s="88" t="s">
        <v>95</v>
      </c>
      <c r="H448" s="14">
        <f t="shared" si="13"/>
        <v>0</v>
      </c>
      <c r="I448" s="14">
        <f t="shared" si="14"/>
        <v>0</v>
      </c>
      <c r="J448" s="19"/>
    </row>
    <row r="449" spans="1:10" x14ac:dyDescent="0.25">
      <c r="A449" s="82">
        <v>42770</v>
      </c>
      <c r="B449" s="83" t="s">
        <v>4640</v>
      </c>
      <c r="C449" s="85"/>
      <c r="D449" s="18">
        <v>99785</v>
      </c>
      <c r="E449" s="2" t="s">
        <v>590</v>
      </c>
      <c r="F449" s="15">
        <v>3732.3</v>
      </c>
      <c r="G449" s="41">
        <v>42774</v>
      </c>
      <c r="H449" s="15">
        <f t="shared" si="13"/>
        <v>3732.3</v>
      </c>
      <c r="I449" s="15">
        <f t="shared" si="14"/>
        <v>0</v>
      </c>
      <c r="J449" s="19"/>
    </row>
    <row r="450" spans="1:10" x14ac:dyDescent="0.25">
      <c r="A450" s="82">
        <v>42770</v>
      </c>
      <c r="B450" s="83" t="s">
        <v>4641</v>
      </c>
      <c r="C450" s="85"/>
      <c r="D450" s="18">
        <v>99786</v>
      </c>
      <c r="E450" s="2" t="s">
        <v>590</v>
      </c>
      <c r="F450" s="15">
        <v>3591.9</v>
      </c>
      <c r="G450" s="41">
        <v>42774</v>
      </c>
      <c r="H450" s="15">
        <f t="shared" si="13"/>
        <v>3591.9</v>
      </c>
      <c r="I450" s="15">
        <f t="shared" si="14"/>
        <v>0</v>
      </c>
      <c r="J450" s="19"/>
    </row>
    <row r="451" spans="1:10" x14ac:dyDescent="0.25">
      <c r="A451" s="82">
        <v>42770</v>
      </c>
      <c r="B451" s="83" t="s">
        <v>4642</v>
      </c>
      <c r="C451" s="85"/>
      <c r="D451" s="18">
        <v>99787</v>
      </c>
      <c r="E451" s="2" t="s">
        <v>268</v>
      </c>
      <c r="F451" s="15">
        <v>17419.8</v>
      </c>
      <c r="G451" s="41">
        <v>42774</v>
      </c>
      <c r="H451" s="15">
        <f t="shared" si="13"/>
        <v>17419.8</v>
      </c>
      <c r="I451" s="15">
        <f t="shared" si="14"/>
        <v>0</v>
      </c>
      <c r="J451" s="19"/>
    </row>
    <row r="452" spans="1:10" x14ac:dyDescent="0.25">
      <c r="A452" s="82">
        <v>42770</v>
      </c>
      <c r="B452" s="83" t="s">
        <v>4643</v>
      </c>
      <c r="C452" s="85"/>
      <c r="D452" s="18">
        <v>99788</v>
      </c>
      <c r="E452" s="2" t="s">
        <v>876</v>
      </c>
      <c r="F452" s="15">
        <v>3829.8</v>
      </c>
      <c r="G452" s="41">
        <v>42774</v>
      </c>
      <c r="H452" s="15">
        <f t="shared" ref="H452:H515" si="15">F452</f>
        <v>3829.8</v>
      </c>
      <c r="I452" s="15">
        <f t="shared" si="14"/>
        <v>0</v>
      </c>
      <c r="J452" s="19"/>
    </row>
    <row r="453" spans="1:10" x14ac:dyDescent="0.25">
      <c r="A453" s="82">
        <v>42770</v>
      </c>
      <c r="B453" s="83" t="s">
        <v>4644</v>
      </c>
      <c r="C453" s="85"/>
      <c r="D453" s="18">
        <v>99789</v>
      </c>
      <c r="E453" s="2" t="s">
        <v>712</v>
      </c>
      <c r="F453" s="15">
        <v>10761.6</v>
      </c>
      <c r="G453" s="41">
        <v>42770</v>
      </c>
      <c r="H453" s="15">
        <f t="shared" si="15"/>
        <v>10761.6</v>
      </c>
      <c r="I453" s="15">
        <f t="shared" si="14"/>
        <v>0</v>
      </c>
      <c r="J453" s="19"/>
    </row>
    <row r="454" spans="1:10" x14ac:dyDescent="0.25">
      <c r="A454" s="82">
        <v>42770</v>
      </c>
      <c r="B454" s="83" t="s">
        <v>4645</v>
      </c>
      <c r="C454" s="85"/>
      <c r="D454" s="18">
        <v>99790</v>
      </c>
      <c r="E454" s="2" t="s">
        <v>721</v>
      </c>
      <c r="F454" s="15">
        <v>5348.4</v>
      </c>
      <c r="G454" s="41">
        <v>42770</v>
      </c>
      <c r="H454" s="15">
        <f t="shared" si="15"/>
        <v>5348.4</v>
      </c>
      <c r="I454" s="15">
        <f t="shared" ref="I454:I517" si="16">F454-H454</f>
        <v>0</v>
      </c>
      <c r="J454" s="19"/>
    </row>
    <row r="455" spans="1:10" x14ac:dyDescent="0.25">
      <c r="A455" s="82">
        <v>42770</v>
      </c>
      <c r="B455" s="83" t="s">
        <v>4646</v>
      </c>
      <c r="C455" s="85"/>
      <c r="D455" s="18">
        <v>99791</v>
      </c>
      <c r="E455" s="2" t="s">
        <v>208</v>
      </c>
      <c r="F455" s="15">
        <v>18793.099999999999</v>
      </c>
      <c r="G455" s="41">
        <v>42770</v>
      </c>
      <c r="H455" s="15">
        <f t="shared" si="15"/>
        <v>18793.099999999999</v>
      </c>
      <c r="I455" s="15">
        <f t="shared" si="16"/>
        <v>0</v>
      </c>
      <c r="J455" s="19"/>
    </row>
    <row r="456" spans="1:10" x14ac:dyDescent="0.25">
      <c r="A456" s="82">
        <v>42770</v>
      </c>
      <c r="B456" s="83" t="s">
        <v>4647</v>
      </c>
      <c r="C456" s="85"/>
      <c r="D456" s="18">
        <v>99792</v>
      </c>
      <c r="E456" s="2" t="s">
        <v>435</v>
      </c>
      <c r="F456" s="15">
        <v>231.4</v>
      </c>
      <c r="G456" s="41">
        <v>42775</v>
      </c>
      <c r="H456" s="15">
        <f t="shared" si="15"/>
        <v>231.4</v>
      </c>
      <c r="I456" s="15">
        <f t="shared" si="16"/>
        <v>0</v>
      </c>
      <c r="J456" s="19"/>
    </row>
    <row r="457" spans="1:10" x14ac:dyDescent="0.25">
      <c r="A457" s="82">
        <v>42770</v>
      </c>
      <c r="B457" s="83" t="s">
        <v>4648</v>
      </c>
      <c r="C457" s="85"/>
      <c r="D457" s="18">
        <v>99793</v>
      </c>
      <c r="E457" s="2" t="s">
        <v>590</v>
      </c>
      <c r="F457" s="15">
        <v>200.2</v>
      </c>
      <c r="G457" s="41">
        <v>42774</v>
      </c>
      <c r="H457" s="15">
        <f t="shared" si="15"/>
        <v>200.2</v>
      </c>
      <c r="I457" s="15">
        <f t="shared" si="16"/>
        <v>0</v>
      </c>
      <c r="J457" s="19"/>
    </row>
    <row r="458" spans="1:10" x14ac:dyDescent="0.25">
      <c r="A458" s="82">
        <v>42770</v>
      </c>
      <c r="B458" s="83" t="s">
        <v>4649</v>
      </c>
      <c r="C458" s="85"/>
      <c r="D458" s="18">
        <v>99794</v>
      </c>
      <c r="E458" s="2" t="s">
        <v>974</v>
      </c>
      <c r="F458" s="15">
        <v>12224</v>
      </c>
      <c r="G458" s="41">
        <v>42770</v>
      </c>
      <c r="H458" s="15">
        <f t="shared" si="15"/>
        <v>12224</v>
      </c>
      <c r="I458" s="15">
        <f t="shared" si="16"/>
        <v>0</v>
      </c>
      <c r="J458" s="19"/>
    </row>
    <row r="459" spans="1:10" x14ac:dyDescent="0.25">
      <c r="A459" s="82">
        <v>42770</v>
      </c>
      <c r="B459" s="83" t="s">
        <v>4650</v>
      </c>
      <c r="C459" s="85"/>
      <c r="D459" s="18">
        <v>99795</v>
      </c>
      <c r="E459" s="2" t="s">
        <v>414</v>
      </c>
      <c r="F459" s="15">
        <v>988.2</v>
      </c>
      <c r="G459" s="41">
        <v>42770</v>
      </c>
      <c r="H459" s="15">
        <f t="shared" si="15"/>
        <v>988.2</v>
      </c>
      <c r="I459" s="15">
        <f t="shared" si="16"/>
        <v>0</v>
      </c>
      <c r="J459" s="19"/>
    </row>
    <row r="460" spans="1:10" x14ac:dyDescent="0.25">
      <c r="A460" s="82">
        <v>42770</v>
      </c>
      <c r="B460" s="83" t="s">
        <v>4651</v>
      </c>
      <c r="C460" s="85"/>
      <c r="D460" s="18">
        <v>99796</v>
      </c>
      <c r="E460" s="2" t="s">
        <v>3425</v>
      </c>
      <c r="F460" s="15">
        <v>2284.8000000000002</v>
      </c>
      <c r="G460" s="41">
        <v>42770</v>
      </c>
      <c r="H460" s="15">
        <f t="shared" si="15"/>
        <v>2284.8000000000002</v>
      </c>
      <c r="I460" s="15">
        <f t="shared" si="16"/>
        <v>0</v>
      </c>
      <c r="J460" s="19"/>
    </row>
    <row r="461" spans="1:10" x14ac:dyDescent="0.25">
      <c r="A461" s="82">
        <v>42770</v>
      </c>
      <c r="B461" s="83" t="s">
        <v>4652</v>
      </c>
      <c r="C461" s="85"/>
      <c r="D461" s="18">
        <v>99797</v>
      </c>
      <c r="E461" s="2" t="s">
        <v>250</v>
      </c>
      <c r="F461" s="15">
        <v>16964.2</v>
      </c>
      <c r="G461" s="41">
        <v>42772</v>
      </c>
      <c r="H461" s="15">
        <f t="shared" si="15"/>
        <v>16964.2</v>
      </c>
      <c r="I461" s="15">
        <f t="shared" si="16"/>
        <v>0</v>
      </c>
      <c r="J461" s="19"/>
    </row>
    <row r="462" spans="1:10" x14ac:dyDescent="0.25">
      <c r="A462" s="82">
        <v>42770</v>
      </c>
      <c r="B462" s="83" t="s">
        <v>4653</v>
      </c>
      <c r="C462" s="85"/>
      <c r="D462" s="18">
        <v>99798</v>
      </c>
      <c r="E462" s="2" t="s">
        <v>79</v>
      </c>
      <c r="F462" s="15">
        <v>2850.9</v>
      </c>
      <c r="G462" s="41">
        <v>42770</v>
      </c>
      <c r="H462" s="15">
        <f t="shared" si="15"/>
        <v>2850.9</v>
      </c>
      <c r="I462" s="15">
        <f t="shared" si="16"/>
        <v>0</v>
      </c>
      <c r="J462" s="19"/>
    </row>
    <row r="463" spans="1:10" x14ac:dyDescent="0.25">
      <c r="A463" s="82">
        <v>42770</v>
      </c>
      <c r="B463" s="83" t="s">
        <v>4654</v>
      </c>
      <c r="C463" s="85"/>
      <c r="D463" s="18">
        <v>99799</v>
      </c>
      <c r="E463" s="2" t="s">
        <v>492</v>
      </c>
      <c r="F463" s="15">
        <v>35119.56</v>
      </c>
      <c r="G463" s="41">
        <v>42770</v>
      </c>
      <c r="H463" s="15">
        <f t="shared" si="15"/>
        <v>35119.56</v>
      </c>
      <c r="I463" s="15">
        <f t="shared" si="16"/>
        <v>0</v>
      </c>
      <c r="J463" s="19"/>
    </row>
    <row r="464" spans="1:10" x14ac:dyDescent="0.25">
      <c r="A464" s="82">
        <v>42770</v>
      </c>
      <c r="B464" s="83" t="s">
        <v>4655</v>
      </c>
      <c r="C464" s="85"/>
      <c r="D464" s="18">
        <v>99800</v>
      </c>
      <c r="E464" s="2" t="s">
        <v>157</v>
      </c>
      <c r="F464" s="15">
        <v>22109.599999999999</v>
      </c>
      <c r="G464" s="41">
        <v>42770</v>
      </c>
      <c r="H464" s="15">
        <f t="shared" si="15"/>
        <v>22109.599999999999</v>
      </c>
      <c r="I464" s="15">
        <f t="shared" si="16"/>
        <v>0</v>
      </c>
      <c r="J464" s="19"/>
    </row>
    <row r="465" spans="1:10" x14ac:dyDescent="0.25">
      <c r="A465" s="82">
        <v>42770</v>
      </c>
      <c r="B465" s="83" t="s">
        <v>4656</v>
      </c>
      <c r="C465" s="85"/>
      <c r="D465" s="18">
        <v>99801</v>
      </c>
      <c r="E465" s="2" t="s">
        <v>253</v>
      </c>
      <c r="F465" s="15">
        <v>10596.3</v>
      </c>
      <c r="G465" s="41">
        <v>42774</v>
      </c>
      <c r="H465" s="15">
        <f t="shared" si="15"/>
        <v>10596.3</v>
      </c>
      <c r="I465" s="15">
        <f t="shared" si="16"/>
        <v>0</v>
      </c>
      <c r="J465" s="19"/>
    </row>
    <row r="466" spans="1:10" x14ac:dyDescent="0.25">
      <c r="A466" s="82">
        <v>42770</v>
      </c>
      <c r="B466" s="83" t="s">
        <v>4657</v>
      </c>
      <c r="C466" s="85"/>
      <c r="D466" s="18">
        <v>99802</v>
      </c>
      <c r="E466" s="2" t="s">
        <v>118</v>
      </c>
      <c r="F466" s="15">
        <v>33735.599999999999</v>
      </c>
      <c r="G466" s="41">
        <v>42770</v>
      </c>
      <c r="H466" s="15">
        <f t="shared" si="15"/>
        <v>33735.599999999999</v>
      </c>
      <c r="I466" s="15">
        <f t="shared" si="16"/>
        <v>0</v>
      </c>
      <c r="J466" s="19"/>
    </row>
    <row r="467" spans="1:10" ht="30" x14ac:dyDescent="0.25">
      <c r="A467" s="82">
        <v>42770</v>
      </c>
      <c r="B467" s="83" t="s">
        <v>4658</v>
      </c>
      <c r="C467" s="85"/>
      <c r="D467" s="18">
        <v>99803</v>
      </c>
      <c r="E467" s="2" t="s">
        <v>122</v>
      </c>
      <c r="F467" s="15">
        <v>66477.600000000006</v>
      </c>
      <c r="G467" s="87" t="s">
        <v>4172</v>
      </c>
      <c r="H467" s="20">
        <f>37364.9+20000+9112.7</f>
        <v>66477.600000000006</v>
      </c>
      <c r="I467" s="20">
        <f t="shared" si="16"/>
        <v>0</v>
      </c>
      <c r="J467" s="19"/>
    </row>
    <row r="468" spans="1:10" x14ac:dyDescent="0.25">
      <c r="A468" s="82">
        <v>42770</v>
      </c>
      <c r="B468" s="83" t="s">
        <v>4659</v>
      </c>
      <c r="C468" s="85"/>
      <c r="D468" s="18">
        <v>99804</v>
      </c>
      <c r="E468" s="2" t="s">
        <v>38</v>
      </c>
      <c r="F468" s="15">
        <v>195</v>
      </c>
      <c r="G468" s="41">
        <v>42772</v>
      </c>
      <c r="H468" s="15">
        <f t="shared" si="15"/>
        <v>195</v>
      </c>
      <c r="I468" s="15">
        <f t="shared" si="16"/>
        <v>0</v>
      </c>
      <c r="J468" s="19"/>
    </row>
    <row r="469" spans="1:10" x14ac:dyDescent="0.25">
      <c r="A469" s="82">
        <v>42770</v>
      </c>
      <c r="B469" s="83" t="s">
        <v>4660</v>
      </c>
      <c r="C469" s="85"/>
      <c r="D469" s="18">
        <v>99805</v>
      </c>
      <c r="E469" s="2" t="s">
        <v>43</v>
      </c>
      <c r="F469" s="15">
        <v>11926.1</v>
      </c>
      <c r="G469" s="41">
        <v>42772</v>
      </c>
      <c r="H469" s="15">
        <f t="shared" si="15"/>
        <v>11926.1</v>
      </c>
      <c r="I469" s="15">
        <f t="shared" si="16"/>
        <v>0</v>
      </c>
      <c r="J469" s="19"/>
    </row>
    <row r="470" spans="1:10" x14ac:dyDescent="0.25">
      <c r="A470" s="82">
        <v>42770</v>
      </c>
      <c r="B470" s="83" t="s">
        <v>4661</v>
      </c>
      <c r="C470" s="85"/>
      <c r="D470" s="18">
        <v>99806</v>
      </c>
      <c r="E470" s="2" t="s">
        <v>125</v>
      </c>
      <c r="F470" s="15">
        <v>12469</v>
      </c>
      <c r="G470" s="41">
        <v>42770</v>
      </c>
      <c r="H470" s="15">
        <f t="shared" si="15"/>
        <v>12469</v>
      </c>
      <c r="I470" s="15">
        <f t="shared" si="16"/>
        <v>0</v>
      </c>
      <c r="J470" s="19"/>
    </row>
    <row r="471" spans="1:10" x14ac:dyDescent="0.25">
      <c r="A471" s="82">
        <v>42770</v>
      </c>
      <c r="B471" s="83" t="s">
        <v>4662</v>
      </c>
      <c r="C471" s="85"/>
      <c r="D471" s="18">
        <v>99807</v>
      </c>
      <c r="E471" s="2" t="s">
        <v>470</v>
      </c>
      <c r="F471" s="15">
        <v>12282.4</v>
      </c>
      <c r="G471" s="41">
        <v>42770</v>
      </c>
      <c r="H471" s="15">
        <f t="shared" si="15"/>
        <v>12282.4</v>
      </c>
      <c r="I471" s="15">
        <f t="shared" si="16"/>
        <v>0</v>
      </c>
      <c r="J471" s="19"/>
    </row>
    <row r="472" spans="1:10" ht="45" x14ac:dyDescent="0.25">
      <c r="A472" s="82">
        <v>42770</v>
      </c>
      <c r="B472" s="83" t="s">
        <v>4663</v>
      </c>
      <c r="C472" s="85"/>
      <c r="D472" s="18">
        <v>99808</v>
      </c>
      <c r="E472" s="2" t="s">
        <v>49</v>
      </c>
      <c r="F472" s="15">
        <v>21707.4</v>
      </c>
      <c r="G472" s="87" t="s">
        <v>4664</v>
      </c>
      <c r="H472" s="20">
        <f>5000+8000+8707.4</f>
        <v>21707.4</v>
      </c>
      <c r="I472" s="20">
        <f t="shared" si="16"/>
        <v>0</v>
      </c>
      <c r="J472" s="19"/>
    </row>
    <row r="473" spans="1:10" ht="45" x14ac:dyDescent="0.25">
      <c r="A473" s="82">
        <v>42770</v>
      </c>
      <c r="B473" s="83" t="s">
        <v>4665</v>
      </c>
      <c r="C473" s="85"/>
      <c r="D473" s="18">
        <v>99809</v>
      </c>
      <c r="E473" s="2" t="s">
        <v>40</v>
      </c>
      <c r="F473" s="15">
        <v>12608.2</v>
      </c>
      <c r="G473" s="87" t="s">
        <v>4666</v>
      </c>
      <c r="H473" s="20">
        <f>3400+6000+3208.2</f>
        <v>12608.2</v>
      </c>
      <c r="I473" s="20">
        <f t="shared" si="16"/>
        <v>0</v>
      </c>
      <c r="J473" s="19"/>
    </row>
    <row r="474" spans="1:10" x14ac:dyDescent="0.25">
      <c r="A474" s="82">
        <v>42770</v>
      </c>
      <c r="B474" s="83" t="s">
        <v>4667</v>
      </c>
      <c r="C474" s="85"/>
      <c r="D474" s="18">
        <v>99810</v>
      </c>
      <c r="E474" s="2" t="s">
        <v>51</v>
      </c>
      <c r="F474" s="15">
        <v>4095</v>
      </c>
      <c r="G474" s="41">
        <v>42773</v>
      </c>
      <c r="H474" s="15">
        <f t="shared" si="15"/>
        <v>4095</v>
      </c>
      <c r="I474" s="15">
        <f t="shared" si="16"/>
        <v>0</v>
      </c>
      <c r="J474" s="19"/>
    </row>
    <row r="475" spans="1:10" x14ac:dyDescent="0.25">
      <c r="A475" s="82">
        <v>42770</v>
      </c>
      <c r="B475" s="83" t="s">
        <v>4668</v>
      </c>
      <c r="C475" s="85"/>
      <c r="D475" s="18">
        <v>99811</v>
      </c>
      <c r="E475" s="2" t="s">
        <v>590</v>
      </c>
      <c r="F475" s="15">
        <v>4410.3999999999996</v>
      </c>
      <c r="G475" s="41">
        <v>42774</v>
      </c>
      <c r="H475" s="15">
        <f t="shared" si="15"/>
        <v>4410.3999999999996</v>
      </c>
      <c r="I475" s="15">
        <f t="shared" si="16"/>
        <v>0</v>
      </c>
      <c r="J475" s="19"/>
    </row>
    <row r="476" spans="1:10" x14ac:dyDescent="0.25">
      <c r="A476" s="82">
        <v>42770</v>
      </c>
      <c r="B476" s="83" t="s">
        <v>4669</v>
      </c>
      <c r="C476" s="85"/>
      <c r="D476" s="18">
        <v>99812</v>
      </c>
      <c r="E476" s="2" t="s">
        <v>459</v>
      </c>
      <c r="F476" s="15">
        <v>364</v>
      </c>
      <c r="G476" s="41">
        <v>42770</v>
      </c>
      <c r="H476" s="15">
        <f t="shared" si="15"/>
        <v>364</v>
      </c>
      <c r="I476" s="15">
        <f t="shared" si="16"/>
        <v>0</v>
      </c>
      <c r="J476" s="19"/>
    </row>
    <row r="477" spans="1:10" x14ac:dyDescent="0.25">
      <c r="A477" s="82">
        <v>42770</v>
      </c>
      <c r="B477" s="83" t="s">
        <v>4670</v>
      </c>
      <c r="C477" s="85"/>
      <c r="D477" s="18">
        <v>99813</v>
      </c>
      <c r="E477" s="2" t="s">
        <v>122</v>
      </c>
      <c r="F477" s="15">
        <v>4416</v>
      </c>
      <c r="G477" s="41">
        <v>42776</v>
      </c>
      <c r="H477" s="15">
        <f t="shared" si="15"/>
        <v>4416</v>
      </c>
      <c r="I477" s="15">
        <f t="shared" si="16"/>
        <v>0</v>
      </c>
      <c r="J477" s="19"/>
    </row>
    <row r="478" spans="1:10" x14ac:dyDescent="0.25">
      <c r="A478" s="82">
        <v>42770</v>
      </c>
      <c r="B478" s="83" t="s">
        <v>4671</v>
      </c>
      <c r="C478" s="85"/>
      <c r="D478" s="18">
        <v>99814</v>
      </c>
      <c r="E478" s="2" t="s">
        <v>268</v>
      </c>
      <c r="F478" s="15">
        <v>1880.2</v>
      </c>
      <c r="G478" s="41">
        <v>42774</v>
      </c>
      <c r="H478" s="15">
        <f t="shared" si="15"/>
        <v>1880.2</v>
      </c>
      <c r="I478" s="15">
        <f t="shared" si="16"/>
        <v>0</v>
      </c>
      <c r="J478" s="19"/>
    </row>
    <row r="479" spans="1:10" x14ac:dyDescent="0.25">
      <c r="A479" s="82">
        <v>42770</v>
      </c>
      <c r="B479" s="83" t="s">
        <v>4672</v>
      </c>
      <c r="C479" s="85"/>
      <c r="D479" s="18">
        <v>99815</v>
      </c>
      <c r="E479" s="2" t="s">
        <v>218</v>
      </c>
      <c r="F479" s="15">
        <v>85601.1</v>
      </c>
      <c r="H479" s="15">
        <f t="shared" si="15"/>
        <v>85601.1</v>
      </c>
      <c r="I479" s="15">
        <f t="shared" si="16"/>
        <v>0</v>
      </c>
      <c r="J479" s="19"/>
    </row>
    <row r="480" spans="1:10" x14ac:dyDescent="0.25">
      <c r="A480" s="82">
        <v>42770</v>
      </c>
      <c r="B480" s="83" t="s">
        <v>4673</v>
      </c>
      <c r="C480" s="85"/>
      <c r="D480" s="18">
        <v>99816</v>
      </c>
      <c r="E480" s="2" t="s">
        <v>47</v>
      </c>
      <c r="F480" s="15">
        <v>3375.3</v>
      </c>
      <c r="G480" s="41">
        <v>42770</v>
      </c>
      <c r="H480" s="15">
        <f t="shared" si="15"/>
        <v>3375.3</v>
      </c>
      <c r="I480" s="15">
        <f t="shared" si="16"/>
        <v>0</v>
      </c>
      <c r="J480" s="19"/>
    </row>
    <row r="481" spans="1:10" x14ac:dyDescent="0.25">
      <c r="A481" s="82">
        <v>42770</v>
      </c>
      <c r="B481" s="83" t="s">
        <v>4674</v>
      </c>
      <c r="C481" s="85"/>
      <c r="D481" s="18">
        <v>99817</v>
      </c>
      <c r="E481" s="2" t="s">
        <v>115</v>
      </c>
      <c r="F481" s="15">
        <v>3546.8</v>
      </c>
      <c r="G481" s="41">
        <v>42770</v>
      </c>
      <c r="H481" s="15">
        <f t="shared" si="15"/>
        <v>3546.8</v>
      </c>
      <c r="I481" s="15">
        <f t="shared" si="16"/>
        <v>0</v>
      </c>
      <c r="J481" s="19"/>
    </row>
    <row r="482" spans="1:10" x14ac:dyDescent="0.25">
      <c r="A482" s="82">
        <v>42770</v>
      </c>
      <c r="B482" s="83" t="s">
        <v>4675</v>
      </c>
      <c r="C482" s="85"/>
      <c r="D482" s="18">
        <v>99818</v>
      </c>
      <c r="E482" s="2" t="s">
        <v>99</v>
      </c>
      <c r="F482" s="15">
        <v>5000</v>
      </c>
      <c r="G482" s="41">
        <v>42772</v>
      </c>
      <c r="H482" s="15">
        <f t="shared" si="15"/>
        <v>5000</v>
      </c>
      <c r="I482" s="15">
        <f t="shared" si="16"/>
        <v>0</v>
      </c>
      <c r="J482" s="19"/>
    </row>
    <row r="483" spans="1:10" x14ac:dyDescent="0.25">
      <c r="A483" s="82">
        <v>42770</v>
      </c>
      <c r="B483" s="83" t="s">
        <v>4676</v>
      </c>
      <c r="C483" s="85"/>
      <c r="D483" s="18">
        <v>99819</v>
      </c>
      <c r="E483" s="2" t="s">
        <v>101</v>
      </c>
      <c r="F483" s="15">
        <v>1500</v>
      </c>
      <c r="G483" s="41">
        <v>42772</v>
      </c>
      <c r="H483" s="15">
        <f t="shared" si="15"/>
        <v>1500</v>
      </c>
      <c r="I483" s="15">
        <f t="shared" si="16"/>
        <v>0</v>
      </c>
      <c r="J483" s="19"/>
    </row>
    <row r="484" spans="1:10" x14ac:dyDescent="0.25">
      <c r="A484" s="82">
        <v>42770</v>
      </c>
      <c r="B484" s="83" t="s">
        <v>4677</v>
      </c>
      <c r="C484" s="85"/>
      <c r="D484" s="18">
        <v>99820</v>
      </c>
      <c r="E484" s="2" t="s">
        <v>4367</v>
      </c>
      <c r="F484" s="15">
        <v>1646.4</v>
      </c>
      <c r="G484" s="41">
        <v>42772</v>
      </c>
      <c r="H484" s="15">
        <f t="shared" si="15"/>
        <v>1646.4</v>
      </c>
      <c r="I484" s="15">
        <f t="shared" si="16"/>
        <v>0</v>
      </c>
      <c r="J484" s="19"/>
    </row>
    <row r="485" spans="1:10" x14ac:dyDescent="0.25">
      <c r="A485" s="82">
        <v>42770</v>
      </c>
      <c r="B485" s="83" t="s">
        <v>4678</v>
      </c>
      <c r="C485" s="85"/>
      <c r="D485" s="18">
        <v>99821</v>
      </c>
      <c r="E485" s="2" t="s">
        <v>2986</v>
      </c>
      <c r="F485" s="15">
        <v>3582.6</v>
      </c>
      <c r="G485" s="41">
        <v>42770</v>
      </c>
      <c r="H485" s="15">
        <f t="shared" si="15"/>
        <v>3582.6</v>
      </c>
      <c r="I485" s="15">
        <f t="shared" si="16"/>
        <v>0</v>
      </c>
      <c r="J485" s="19"/>
    </row>
    <row r="486" spans="1:10" x14ac:dyDescent="0.25">
      <c r="A486" s="82">
        <v>42770</v>
      </c>
      <c r="B486" s="83" t="s">
        <v>4679</v>
      </c>
      <c r="C486" s="85"/>
      <c r="D486" s="18">
        <v>99822</v>
      </c>
      <c r="E486" s="2" t="s">
        <v>1259</v>
      </c>
      <c r="F486" s="15">
        <v>2332.8000000000002</v>
      </c>
      <c r="G486" s="41">
        <v>42772</v>
      </c>
      <c r="H486" s="15">
        <f t="shared" si="15"/>
        <v>2332.8000000000002</v>
      </c>
      <c r="I486" s="15">
        <f t="shared" si="16"/>
        <v>0</v>
      </c>
      <c r="J486" s="19"/>
    </row>
    <row r="487" spans="1:10" x14ac:dyDescent="0.25">
      <c r="A487" s="82">
        <v>42770</v>
      </c>
      <c r="B487" s="83" t="s">
        <v>4680</v>
      </c>
      <c r="C487" s="85"/>
      <c r="D487" s="18">
        <v>99823</v>
      </c>
      <c r="E487" s="2" t="s">
        <v>88</v>
      </c>
      <c r="F487" s="15">
        <v>9254.4</v>
      </c>
      <c r="G487" s="41">
        <v>42772</v>
      </c>
      <c r="H487" s="15">
        <f t="shared" si="15"/>
        <v>9254.4</v>
      </c>
      <c r="I487" s="15">
        <f t="shared" si="16"/>
        <v>0</v>
      </c>
      <c r="J487" s="19"/>
    </row>
    <row r="488" spans="1:10" x14ac:dyDescent="0.25">
      <c r="A488" s="82">
        <v>42770</v>
      </c>
      <c r="B488" s="83" t="s">
        <v>4681</v>
      </c>
      <c r="C488" s="85"/>
      <c r="D488" s="18">
        <v>99824</v>
      </c>
      <c r="E488" s="2" t="s">
        <v>1116</v>
      </c>
      <c r="F488" s="15">
        <v>3994.4</v>
      </c>
      <c r="G488" s="41">
        <v>42771</v>
      </c>
      <c r="H488" s="15">
        <f t="shared" si="15"/>
        <v>3994.4</v>
      </c>
      <c r="I488" s="15">
        <f t="shared" si="16"/>
        <v>0</v>
      </c>
      <c r="J488" s="19"/>
    </row>
    <row r="489" spans="1:10" x14ac:dyDescent="0.25">
      <c r="A489" s="82">
        <v>42770</v>
      </c>
      <c r="B489" s="83" t="s">
        <v>4682</v>
      </c>
      <c r="C489" s="85"/>
      <c r="D489" s="18">
        <v>99825</v>
      </c>
      <c r="E489" s="2" t="s">
        <v>613</v>
      </c>
      <c r="F489" s="15">
        <v>3203.2</v>
      </c>
      <c r="G489" s="41">
        <v>42772</v>
      </c>
      <c r="H489" s="15">
        <f t="shared" si="15"/>
        <v>3203.2</v>
      </c>
      <c r="I489" s="15">
        <f t="shared" si="16"/>
        <v>0</v>
      </c>
      <c r="J489" s="19"/>
    </row>
    <row r="490" spans="1:10" x14ac:dyDescent="0.25">
      <c r="A490" s="82">
        <v>42770</v>
      </c>
      <c r="B490" s="83" t="s">
        <v>4683</v>
      </c>
      <c r="C490" s="85"/>
      <c r="D490" s="18">
        <v>99826</v>
      </c>
      <c r="E490" s="2" t="s">
        <v>83</v>
      </c>
      <c r="F490" s="15">
        <v>10144.5</v>
      </c>
      <c r="G490" s="41">
        <v>42772</v>
      </c>
      <c r="H490" s="15">
        <f t="shared" si="15"/>
        <v>10144.5</v>
      </c>
      <c r="I490" s="15">
        <f t="shared" si="16"/>
        <v>0</v>
      </c>
      <c r="J490" s="19"/>
    </row>
    <row r="491" spans="1:10" x14ac:dyDescent="0.25">
      <c r="A491" s="82">
        <v>42770</v>
      </c>
      <c r="B491" s="83" t="s">
        <v>4684</v>
      </c>
      <c r="C491" s="85"/>
      <c r="D491" s="18">
        <v>99827</v>
      </c>
      <c r="E491" s="2" t="s">
        <v>103</v>
      </c>
      <c r="F491" s="15">
        <v>2983.5</v>
      </c>
      <c r="G491" s="41">
        <v>42773</v>
      </c>
      <c r="H491" s="15">
        <f t="shared" si="15"/>
        <v>2983.5</v>
      </c>
      <c r="I491" s="15">
        <f t="shared" si="16"/>
        <v>0</v>
      </c>
      <c r="J491" s="19"/>
    </row>
    <row r="492" spans="1:10" x14ac:dyDescent="0.25">
      <c r="A492" s="82">
        <v>42770</v>
      </c>
      <c r="B492" s="83" t="s">
        <v>4685</v>
      </c>
      <c r="C492" s="85"/>
      <c r="D492" s="18">
        <v>99828</v>
      </c>
      <c r="E492" s="2" t="s">
        <v>1081</v>
      </c>
      <c r="F492" s="15">
        <v>2906.36</v>
      </c>
      <c r="G492" s="41">
        <v>42772</v>
      </c>
      <c r="H492" s="15">
        <f t="shared" si="15"/>
        <v>2906.36</v>
      </c>
      <c r="I492" s="15">
        <f t="shared" si="16"/>
        <v>0</v>
      </c>
      <c r="J492" s="19"/>
    </row>
    <row r="493" spans="1:10" x14ac:dyDescent="0.25">
      <c r="A493" s="82">
        <v>42770</v>
      </c>
      <c r="B493" s="83" t="s">
        <v>4686</v>
      </c>
      <c r="C493" s="85"/>
      <c r="D493" s="18">
        <v>99829</v>
      </c>
      <c r="E493" s="2" t="s">
        <v>445</v>
      </c>
      <c r="F493" s="15">
        <v>545.4</v>
      </c>
      <c r="G493" s="41">
        <v>42772</v>
      </c>
      <c r="H493" s="15">
        <f t="shared" si="15"/>
        <v>545.4</v>
      </c>
      <c r="I493" s="15">
        <f t="shared" si="16"/>
        <v>0</v>
      </c>
      <c r="J493" s="19"/>
    </row>
    <row r="494" spans="1:10" x14ac:dyDescent="0.25">
      <c r="A494" s="82">
        <v>42770</v>
      </c>
      <c r="B494" s="83" t="s">
        <v>4687</v>
      </c>
      <c r="C494" s="85"/>
      <c r="D494" s="18">
        <v>99830</v>
      </c>
      <c r="E494" s="2" t="s">
        <v>168</v>
      </c>
      <c r="F494" s="15">
        <v>337.4</v>
      </c>
      <c r="G494" s="41">
        <v>42770</v>
      </c>
      <c r="H494" s="15">
        <f t="shared" si="15"/>
        <v>337.4</v>
      </c>
      <c r="I494" s="15">
        <f t="shared" si="16"/>
        <v>0</v>
      </c>
      <c r="J494" s="19"/>
    </row>
    <row r="495" spans="1:10" x14ac:dyDescent="0.25">
      <c r="A495" s="82">
        <v>42770</v>
      </c>
      <c r="B495" s="83" t="s">
        <v>4688</v>
      </c>
      <c r="C495" s="85"/>
      <c r="D495" s="18">
        <v>99831</v>
      </c>
      <c r="E495" s="2" t="s">
        <v>92</v>
      </c>
      <c r="F495" s="15">
        <v>3172.2</v>
      </c>
      <c r="G495" s="41">
        <v>42772</v>
      </c>
      <c r="H495" s="15">
        <f t="shared" si="15"/>
        <v>3172.2</v>
      </c>
      <c r="I495" s="15">
        <f t="shared" si="16"/>
        <v>0</v>
      </c>
      <c r="J495" s="19"/>
    </row>
    <row r="496" spans="1:10" x14ac:dyDescent="0.25">
      <c r="A496" s="82">
        <v>42770</v>
      </c>
      <c r="B496" s="83" t="s">
        <v>4689</v>
      </c>
      <c r="C496" s="85"/>
      <c r="D496" s="18">
        <v>99832</v>
      </c>
      <c r="E496" s="2" t="s">
        <v>293</v>
      </c>
      <c r="F496" s="15">
        <v>332.8</v>
      </c>
      <c r="G496" s="41">
        <v>42772</v>
      </c>
      <c r="H496" s="15">
        <f t="shared" si="15"/>
        <v>332.8</v>
      </c>
      <c r="I496" s="15">
        <f t="shared" si="16"/>
        <v>0</v>
      </c>
      <c r="J496" s="19"/>
    </row>
    <row r="497" spans="1:10" x14ac:dyDescent="0.25">
      <c r="A497" s="82">
        <v>42770</v>
      </c>
      <c r="B497" s="83" t="s">
        <v>4690</v>
      </c>
      <c r="C497" s="85"/>
      <c r="D497" s="18">
        <v>99833</v>
      </c>
      <c r="E497" s="2" t="s">
        <v>450</v>
      </c>
      <c r="F497" s="15">
        <v>1274</v>
      </c>
      <c r="G497" s="41">
        <v>42772</v>
      </c>
      <c r="H497" s="15">
        <f t="shared" si="15"/>
        <v>1274</v>
      </c>
      <c r="I497" s="15">
        <f t="shared" si="16"/>
        <v>0</v>
      </c>
      <c r="J497" s="19"/>
    </row>
    <row r="498" spans="1:10" x14ac:dyDescent="0.25">
      <c r="A498" s="82">
        <v>42770</v>
      </c>
      <c r="B498" s="83" t="s">
        <v>4691</v>
      </c>
      <c r="C498" s="85"/>
      <c r="D498" s="18">
        <v>99834</v>
      </c>
      <c r="E498" s="2" t="s">
        <v>305</v>
      </c>
      <c r="F498" s="15">
        <v>6062.4</v>
      </c>
      <c r="G498" s="41">
        <v>42777</v>
      </c>
      <c r="H498" s="15">
        <f t="shared" si="15"/>
        <v>6062.4</v>
      </c>
      <c r="I498" s="15">
        <f t="shared" si="16"/>
        <v>0</v>
      </c>
      <c r="J498" s="19"/>
    </row>
    <row r="499" spans="1:10" x14ac:dyDescent="0.25">
      <c r="A499" s="82">
        <v>42770</v>
      </c>
      <c r="B499" s="83" t="s">
        <v>4692</v>
      </c>
      <c r="C499" s="85"/>
      <c r="D499" s="18">
        <v>99835</v>
      </c>
      <c r="E499" s="2" t="s">
        <v>476</v>
      </c>
      <c r="F499" s="15">
        <v>20855.400000000001</v>
      </c>
      <c r="G499" s="41">
        <v>42773</v>
      </c>
      <c r="H499" s="15">
        <f t="shared" si="15"/>
        <v>20855.400000000001</v>
      </c>
      <c r="I499" s="15">
        <f t="shared" si="16"/>
        <v>0</v>
      </c>
      <c r="J499" s="19"/>
    </row>
    <row r="500" spans="1:10" x14ac:dyDescent="0.25">
      <c r="A500" s="82">
        <v>42770</v>
      </c>
      <c r="B500" s="83" t="s">
        <v>4693</v>
      </c>
      <c r="C500" s="85"/>
      <c r="D500" s="18">
        <v>99836</v>
      </c>
      <c r="E500" s="2" t="s">
        <v>30</v>
      </c>
      <c r="F500" s="15">
        <v>6188</v>
      </c>
      <c r="G500" s="41">
        <v>42770</v>
      </c>
      <c r="H500" s="15">
        <f t="shared" si="15"/>
        <v>6188</v>
      </c>
      <c r="I500" s="15">
        <f t="shared" si="16"/>
        <v>0</v>
      </c>
      <c r="J500" s="19"/>
    </row>
    <row r="501" spans="1:10" x14ac:dyDescent="0.25">
      <c r="A501" s="82">
        <v>42770</v>
      </c>
      <c r="B501" s="83" t="s">
        <v>4694</v>
      </c>
      <c r="C501" s="85"/>
      <c r="D501" s="18">
        <v>99837</v>
      </c>
      <c r="E501" s="2" t="s">
        <v>298</v>
      </c>
      <c r="F501" s="15">
        <v>3936</v>
      </c>
      <c r="G501" s="41">
        <v>42770</v>
      </c>
      <c r="H501" s="15">
        <f t="shared" si="15"/>
        <v>3936</v>
      </c>
      <c r="I501" s="15">
        <f t="shared" si="16"/>
        <v>0</v>
      </c>
      <c r="J501" s="19"/>
    </row>
    <row r="502" spans="1:10" x14ac:dyDescent="0.25">
      <c r="A502" s="82">
        <v>42770</v>
      </c>
      <c r="B502" s="83" t="s">
        <v>4695</v>
      </c>
      <c r="C502" s="85"/>
      <c r="D502" s="18">
        <v>99838</v>
      </c>
      <c r="E502" s="2" t="s">
        <v>159</v>
      </c>
      <c r="F502" s="15">
        <v>2978.4</v>
      </c>
      <c r="G502" s="41">
        <v>42772</v>
      </c>
      <c r="H502" s="15">
        <f t="shared" si="15"/>
        <v>2978.4</v>
      </c>
      <c r="I502" s="15">
        <f t="shared" si="16"/>
        <v>0</v>
      </c>
      <c r="J502" s="19"/>
    </row>
    <row r="503" spans="1:10" x14ac:dyDescent="0.25">
      <c r="A503" s="82">
        <v>42770</v>
      </c>
      <c r="B503" s="83" t="s">
        <v>4696</v>
      </c>
      <c r="C503" s="85"/>
      <c r="D503" s="18">
        <v>99839</v>
      </c>
      <c r="E503" s="2" t="s">
        <v>30</v>
      </c>
      <c r="F503" s="15">
        <v>1334.76</v>
      </c>
      <c r="G503" s="41" t="s">
        <v>4259</v>
      </c>
      <c r="H503" s="15">
        <f t="shared" si="15"/>
        <v>1334.76</v>
      </c>
      <c r="I503" s="15">
        <f t="shared" si="16"/>
        <v>0</v>
      </c>
      <c r="J503" s="19"/>
    </row>
    <row r="504" spans="1:10" x14ac:dyDescent="0.25">
      <c r="A504" s="82">
        <v>42770</v>
      </c>
      <c r="B504" s="83" t="s">
        <v>4697</v>
      </c>
      <c r="C504" s="85"/>
      <c r="D504" s="18">
        <v>99840</v>
      </c>
      <c r="E504" s="2" t="s">
        <v>30</v>
      </c>
      <c r="F504" s="15">
        <v>1464</v>
      </c>
      <c r="G504" s="41" t="s">
        <v>4259</v>
      </c>
      <c r="H504" s="15">
        <f t="shared" si="15"/>
        <v>1464</v>
      </c>
      <c r="I504" s="15">
        <f t="shared" si="16"/>
        <v>0</v>
      </c>
      <c r="J504" s="19"/>
    </row>
    <row r="505" spans="1:10" x14ac:dyDescent="0.25">
      <c r="A505" s="82">
        <v>42770</v>
      </c>
      <c r="B505" s="83" t="s">
        <v>4698</v>
      </c>
      <c r="C505" s="85"/>
      <c r="D505" s="18">
        <v>99841</v>
      </c>
      <c r="E505" s="2" t="s">
        <v>693</v>
      </c>
      <c r="F505" s="15">
        <v>13804.7</v>
      </c>
      <c r="G505" s="41">
        <v>42773</v>
      </c>
      <c r="H505" s="15">
        <f t="shared" si="15"/>
        <v>13804.7</v>
      </c>
      <c r="I505" s="15">
        <f t="shared" si="16"/>
        <v>0</v>
      </c>
      <c r="J505" s="19"/>
    </row>
    <row r="506" spans="1:10" x14ac:dyDescent="0.25">
      <c r="A506" s="82">
        <v>42770</v>
      </c>
      <c r="B506" s="83" t="s">
        <v>4699</v>
      </c>
      <c r="C506" s="85"/>
      <c r="D506" s="18">
        <v>99842</v>
      </c>
      <c r="E506" s="2" t="s">
        <v>428</v>
      </c>
      <c r="F506" s="15">
        <v>2811.6</v>
      </c>
      <c r="G506" s="41">
        <v>42773</v>
      </c>
      <c r="H506" s="15">
        <f t="shared" si="15"/>
        <v>2811.6</v>
      </c>
      <c r="I506" s="15">
        <f t="shared" si="16"/>
        <v>0</v>
      </c>
      <c r="J506" s="19"/>
    </row>
    <row r="507" spans="1:10" x14ac:dyDescent="0.25">
      <c r="A507" s="82">
        <v>42770</v>
      </c>
      <c r="B507" s="83" t="s">
        <v>4700</v>
      </c>
      <c r="C507" s="85"/>
      <c r="D507" s="18">
        <v>99843</v>
      </c>
      <c r="E507" s="2" t="s">
        <v>3997</v>
      </c>
      <c r="F507" s="15">
        <v>13059.2</v>
      </c>
      <c r="G507" s="41">
        <v>42774</v>
      </c>
      <c r="H507" s="15">
        <f t="shared" si="15"/>
        <v>13059.2</v>
      </c>
      <c r="I507" s="15">
        <f t="shared" si="16"/>
        <v>0</v>
      </c>
      <c r="J507" s="19"/>
    </row>
    <row r="508" spans="1:10" x14ac:dyDescent="0.25">
      <c r="A508" s="82">
        <v>42770</v>
      </c>
      <c r="B508" s="83" t="s">
        <v>4701</v>
      </c>
      <c r="C508" s="85"/>
      <c r="D508" s="18">
        <v>99844</v>
      </c>
      <c r="E508" s="2" t="s">
        <v>457</v>
      </c>
      <c r="F508" s="15">
        <v>2870.4</v>
      </c>
      <c r="G508" s="41">
        <v>42770</v>
      </c>
      <c r="H508" s="15">
        <f t="shared" si="15"/>
        <v>2870.4</v>
      </c>
      <c r="I508" s="15">
        <f t="shared" si="16"/>
        <v>0</v>
      </c>
      <c r="J508" s="19"/>
    </row>
    <row r="509" spans="1:10" x14ac:dyDescent="0.25">
      <c r="A509" s="82">
        <v>42770</v>
      </c>
      <c r="B509" s="83" t="s">
        <v>4702</v>
      </c>
      <c r="C509" s="85"/>
      <c r="D509" s="18">
        <v>99845</v>
      </c>
      <c r="E509" s="2" t="s">
        <v>182</v>
      </c>
      <c r="F509" s="15">
        <v>5000</v>
      </c>
      <c r="G509" s="41" t="s">
        <v>4259</v>
      </c>
      <c r="H509" s="15">
        <f t="shared" si="15"/>
        <v>5000</v>
      </c>
      <c r="I509" s="15">
        <f t="shared" si="16"/>
        <v>0</v>
      </c>
      <c r="J509" s="19"/>
    </row>
    <row r="510" spans="1:10" x14ac:dyDescent="0.25">
      <c r="A510" s="82">
        <v>42770</v>
      </c>
      <c r="B510" s="83" t="s">
        <v>4703</v>
      </c>
      <c r="C510" s="85"/>
      <c r="D510" s="18">
        <v>99846</v>
      </c>
      <c r="E510" s="2" t="s">
        <v>19</v>
      </c>
      <c r="F510" s="15">
        <v>1250</v>
      </c>
      <c r="G510" s="41" t="s">
        <v>4259</v>
      </c>
      <c r="H510" s="15">
        <f t="shared" si="15"/>
        <v>1250</v>
      </c>
      <c r="I510" s="15">
        <f t="shared" si="16"/>
        <v>0</v>
      </c>
      <c r="J510" s="19"/>
    </row>
    <row r="511" spans="1:10" x14ac:dyDescent="0.25">
      <c r="A511" s="82">
        <v>42770</v>
      </c>
      <c r="B511" s="83" t="s">
        <v>4704</v>
      </c>
      <c r="C511" s="85"/>
      <c r="D511" s="18">
        <v>99847</v>
      </c>
      <c r="E511" s="13" t="s">
        <v>30</v>
      </c>
      <c r="F511" s="14">
        <v>0</v>
      </c>
      <c r="G511" s="88" t="s">
        <v>95</v>
      </c>
      <c r="H511" s="14">
        <f t="shared" si="15"/>
        <v>0</v>
      </c>
      <c r="I511" s="14">
        <f t="shared" si="16"/>
        <v>0</v>
      </c>
      <c r="J511" s="19"/>
    </row>
    <row r="512" spans="1:10" x14ac:dyDescent="0.25">
      <c r="A512" s="82">
        <v>42770</v>
      </c>
      <c r="B512" s="83" t="s">
        <v>4705</v>
      </c>
      <c r="C512" s="85"/>
      <c r="D512" s="18">
        <v>99848</v>
      </c>
      <c r="E512" s="2" t="s">
        <v>30</v>
      </c>
      <c r="F512" s="15">
        <v>1377.6</v>
      </c>
      <c r="H512" s="15">
        <f t="shared" si="15"/>
        <v>1377.6</v>
      </c>
      <c r="I512" s="15">
        <f t="shared" si="16"/>
        <v>0</v>
      </c>
      <c r="J512" s="19"/>
    </row>
    <row r="513" spans="1:10" x14ac:dyDescent="0.25">
      <c r="A513" s="82">
        <v>42770</v>
      </c>
      <c r="B513" s="83" t="s">
        <v>4706</v>
      </c>
      <c r="C513" s="85"/>
      <c r="D513" s="18">
        <v>99849</v>
      </c>
      <c r="E513" s="2" t="s">
        <v>1299</v>
      </c>
      <c r="F513" s="15">
        <v>8469.4</v>
      </c>
      <c r="G513" s="41" t="s">
        <v>4259</v>
      </c>
      <c r="H513" s="15">
        <f t="shared" si="15"/>
        <v>8469.4</v>
      </c>
      <c r="I513" s="15">
        <f t="shared" si="16"/>
        <v>0</v>
      </c>
      <c r="J513" s="19"/>
    </row>
    <row r="514" spans="1:10" x14ac:dyDescent="0.25">
      <c r="A514" s="82">
        <v>42770</v>
      </c>
      <c r="B514" s="83" t="s">
        <v>4707</v>
      </c>
      <c r="C514" s="85"/>
      <c r="D514" s="18">
        <v>99850</v>
      </c>
      <c r="E514" s="2" t="s">
        <v>45</v>
      </c>
      <c r="F514" s="15">
        <v>2011.6</v>
      </c>
      <c r="G514" s="41" t="s">
        <v>4259</v>
      </c>
      <c r="H514" s="15">
        <f t="shared" si="15"/>
        <v>2011.6</v>
      </c>
      <c r="I514" s="15">
        <f t="shared" si="16"/>
        <v>0</v>
      </c>
      <c r="J514" s="19"/>
    </row>
    <row r="515" spans="1:10" x14ac:dyDescent="0.25">
      <c r="A515" s="82">
        <v>42770</v>
      </c>
      <c r="B515" s="83" t="s">
        <v>4708</v>
      </c>
      <c r="C515" s="85"/>
      <c r="D515" s="18">
        <v>99851</v>
      </c>
      <c r="E515" s="2" t="s">
        <v>53</v>
      </c>
      <c r="F515" s="15">
        <v>2434.6</v>
      </c>
      <c r="G515" s="41" t="s">
        <v>4259</v>
      </c>
      <c r="H515" s="15">
        <f t="shared" si="15"/>
        <v>2434.6</v>
      </c>
      <c r="I515" s="15">
        <f t="shared" si="16"/>
        <v>0</v>
      </c>
      <c r="J515" s="19"/>
    </row>
    <row r="516" spans="1:10" x14ac:dyDescent="0.25">
      <c r="A516" s="82">
        <v>42770</v>
      </c>
      <c r="B516" s="83" t="s">
        <v>4709</v>
      </c>
      <c r="C516" s="85"/>
      <c r="D516" s="18">
        <v>99852</v>
      </c>
      <c r="E516" s="2" t="s">
        <v>61</v>
      </c>
      <c r="F516" s="15">
        <v>5090.8</v>
      </c>
      <c r="G516" s="41" t="s">
        <v>4259</v>
      </c>
      <c r="H516" s="15">
        <f t="shared" ref="H516:H579" si="17">F516</f>
        <v>5090.8</v>
      </c>
      <c r="I516" s="15">
        <f t="shared" si="16"/>
        <v>0</v>
      </c>
      <c r="J516" s="19"/>
    </row>
    <row r="517" spans="1:10" x14ac:dyDescent="0.25">
      <c r="A517" s="82">
        <v>42770</v>
      </c>
      <c r="B517" s="83" t="s">
        <v>4710</v>
      </c>
      <c r="C517" s="85"/>
      <c r="D517" s="18">
        <v>99853</v>
      </c>
      <c r="E517" s="2" t="s">
        <v>184</v>
      </c>
      <c r="F517" s="15">
        <v>982.8</v>
      </c>
      <c r="G517" s="41" t="s">
        <v>4259</v>
      </c>
      <c r="H517" s="15">
        <f t="shared" si="17"/>
        <v>982.8</v>
      </c>
      <c r="I517" s="15">
        <f t="shared" si="16"/>
        <v>0</v>
      </c>
      <c r="J517" s="19"/>
    </row>
    <row r="518" spans="1:10" x14ac:dyDescent="0.25">
      <c r="A518" s="82">
        <v>42770</v>
      </c>
      <c r="B518" s="83" t="s">
        <v>4711</v>
      </c>
      <c r="C518" s="85"/>
      <c r="D518" s="18">
        <v>99854</v>
      </c>
      <c r="E518" s="2" t="s">
        <v>335</v>
      </c>
      <c r="F518" s="15">
        <v>75.599999999999994</v>
      </c>
      <c r="G518" s="41" t="s">
        <v>4259</v>
      </c>
      <c r="H518" s="15">
        <f t="shared" si="17"/>
        <v>75.599999999999994</v>
      </c>
      <c r="I518" s="15">
        <f t="shared" ref="I518:I581" si="18">F518-H518</f>
        <v>0</v>
      </c>
      <c r="J518" s="19"/>
    </row>
    <row r="519" spans="1:10" x14ac:dyDescent="0.25">
      <c r="A519" s="82">
        <v>42770</v>
      </c>
      <c r="B519" s="83" t="s">
        <v>4712</v>
      </c>
      <c r="C519" s="85"/>
      <c r="D519" s="18">
        <v>99855</v>
      </c>
      <c r="E519" s="2" t="s">
        <v>186</v>
      </c>
      <c r="F519" s="15">
        <v>2078.1</v>
      </c>
      <c r="G519" s="41">
        <v>42775</v>
      </c>
      <c r="H519" s="15">
        <f t="shared" si="17"/>
        <v>2078.1</v>
      </c>
      <c r="I519" s="15">
        <f t="shared" si="18"/>
        <v>0</v>
      </c>
      <c r="J519" s="19"/>
    </row>
    <row r="520" spans="1:10" x14ac:dyDescent="0.25">
      <c r="A520" s="82">
        <v>42770</v>
      </c>
      <c r="B520" s="83" t="s">
        <v>4713</v>
      </c>
      <c r="C520" s="85"/>
      <c r="D520" s="18">
        <v>99856</v>
      </c>
      <c r="E520" s="2" t="s">
        <v>331</v>
      </c>
      <c r="F520" s="15">
        <v>2194.1999999999998</v>
      </c>
      <c r="G520" s="41" t="s">
        <v>4259</v>
      </c>
      <c r="H520" s="15">
        <f t="shared" si="17"/>
        <v>2194.1999999999998</v>
      </c>
      <c r="I520" s="15">
        <f t="shared" si="18"/>
        <v>0</v>
      </c>
      <c r="J520" s="19"/>
    </row>
    <row r="521" spans="1:10" x14ac:dyDescent="0.25">
      <c r="A521" s="82">
        <v>42770</v>
      </c>
      <c r="B521" s="83" t="s">
        <v>4714</v>
      </c>
      <c r="C521" s="85"/>
      <c r="D521" s="18">
        <v>99857</v>
      </c>
      <c r="E521" s="13" t="s">
        <v>71</v>
      </c>
      <c r="F521" s="14">
        <v>0</v>
      </c>
      <c r="G521" s="88" t="s">
        <v>95</v>
      </c>
      <c r="H521" s="14">
        <f t="shared" si="17"/>
        <v>0</v>
      </c>
      <c r="I521" s="14">
        <f t="shared" si="18"/>
        <v>0</v>
      </c>
      <c r="J521" s="19"/>
    </row>
    <row r="522" spans="1:10" x14ac:dyDescent="0.25">
      <c r="A522" s="82">
        <v>42770</v>
      </c>
      <c r="B522" s="83" t="s">
        <v>4715</v>
      </c>
      <c r="C522" s="85"/>
      <c r="D522" s="18">
        <v>99858</v>
      </c>
      <c r="E522" s="2" t="s">
        <v>193</v>
      </c>
      <c r="F522" s="15">
        <v>3955.2</v>
      </c>
      <c r="G522" s="41" t="s">
        <v>4259</v>
      </c>
      <c r="H522" s="15">
        <f t="shared" si="17"/>
        <v>3955.2</v>
      </c>
      <c r="I522" s="15">
        <f t="shared" si="18"/>
        <v>0</v>
      </c>
      <c r="J522" s="19"/>
    </row>
    <row r="523" spans="1:10" x14ac:dyDescent="0.25">
      <c r="A523" s="82">
        <v>42770</v>
      </c>
      <c r="B523" s="83" t="s">
        <v>4716</v>
      </c>
      <c r="C523" s="85"/>
      <c r="D523" s="18">
        <v>99859</v>
      </c>
      <c r="E523" s="2" t="s">
        <v>205</v>
      </c>
      <c r="F523" s="15">
        <v>63535.5</v>
      </c>
      <c r="G523" s="41">
        <v>42770</v>
      </c>
      <c r="H523" s="15">
        <f t="shared" si="17"/>
        <v>63535.5</v>
      </c>
      <c r="I523" s="15">
        <f t="shared" si="18"/>
        <v>0</v>
      </c>
      <c r="J523" s="19"/>
    </row>
    <row r="524" spans="1:10" x14ac:dyDescent="0.25">
      <c r="A524" s="82">
        <v>42770</v>
      </c>
      <c r="B524" s="83" t="s">
        <v>4717</v>
      </c>
      <c r="C524" s="85"/>
      <c r="D524" s="18">
        <v>99860</v>
      </c>
      <c r="E524" s="2" t="s">
        <v>773</v>
      </c>
      <c r="F524" s="15">
        <v>2398.4</v>
      </c>
      <c r="G524" s="41">
        <v>42770</v>
      </c>
      <c r="H524" s="15">
        <f t="shared" si="17"/>
        <v>2398.4</v>
      </c>
      <c r="I524" s="15">
        <f t="shared" si="18"/>
        <v>0</v>
      </c>
      <c r="J524" s="19"/>
    </row>
    <row r="525" spans="1:10" x14ac:dyDescent="0.25">
      <c r="A525" s="82">
        <v>42770</v>
      </c>
      <c r="B525" s="83" t="s">
        <v>4718</v>
      </c>
      <c r="C525" s="85"/>
      <c r="D525" s="18">
        <v>99861</v>
      </c>
      <c r="E525" s="2" t="s">
        <v>10</v>
      </c>
      <c r="F525" s="15">
        <v>13411.2</v>
      </c>
      <c r="G525" s="41">
        <v>42776</v>
      </c>
      <c r="H525" s="15">
        <f t="shared" si="17"/>
        <v>13411.2</v>
      </c>
      <c r="I525" s="15">
        <f t="shared" si="18"/>
        <v>0</v>
      </c>
      <c r="J525" s="19"/>
    </row>
    <row r="526" spans="1:10" x14ac:dyDescent="0.25">
      <c r="A526" s="82">
        <v>42770</v>
      </c>
      <c r="B526" s="83" t="s">
        <v>4719</v>
      </c>
      <c r="C526" s="85"/>
      <c r="D526" s="18">
        <v>99862</v>
      </c>
      <c r="E526" s="2" t="s">
        <v>1126</v>
      </c>
      <c r="F526" s="15">
        <v>5125.5</v>
      </c>
      <c r="G526" s="41">
        <v>42770</v>
      </c>
      <c r="H526" s="15">
        <f t="shared" si="17"/>
        <v>5125.5</v>
      </c>
      <c r="I526" s="15">
        <f t="shared" si="18"/>
        <v>0</v>
      </c>
      <c r="J526" s="19"/>
    </row>
    <row r="527" spans="1:10" x14ac:dyDescent="0.25">
      <c r="A527" s="82">
        <v>42770</v>
      </c>
      <c r="B527" s="83" t="s">
        <v>4720</v>
      </c>
      <c r="C527" s="85"/>
      <c r="D527" s="18">
        <v>99863</v>
      </c>
      <c r="E527" s="2" t="s">
        <v>2240</v>
      </c>
      <c r="F527" s="15">
        <v>3674.2</v>
      </c>
      <c r="G527" s="41">
        <v>42770</v>
      </c>
      <c r="H527" s="15">
        <f t="shared" si="17"/>
        <v>3674.2</v>
      </c>
      <c r="I527" s="15">
        <f t="shared" si="18"/>
        <v>0</v>
      </c>
      <c r="J527" s="19"/>
    </row>
    <row r="528" spans="1:10" x14ac:dyDescent="0.25">
      <c r="A528" s="82">
        <v>42770</v>
      </c>
      <c r="B528" s="83" t="s">
        <v>4721</v>
      </c>
      <c r="C528" s="85" t="s">
        <v>4722</v>
      </c>
      <c r="D528" s="18">
        <v>99864</v>
      </c>
      <c r="E528" s="2" t="s">
        <v>609</v>
      </c>
      <c r="F528" s="15">
        <v>44270</v>
      </c>
      <c r="G528" s="41">
        <v>42770</v>
      </c>
      <c r="H528" s="15">
        <f t="shared" si="17"/>
        <v>44270</v>
      </c>
      <c r="I528" s="15">
        <f t="shared" si="18"/>
        <v>0</v>
      </c>
      <c r="J528" s="19"/>
    </row>
    <row r="529" spans="1:10" x14ac:dyDescent="0.25">
      <c r="A529" s="82">
        <v>42770</v>
      </c>
      <c r="B529" s="83" t="s">
        <v>4723</v>
      </c>
      <c r="C529" s="85" t="s">
        <v>4724</v>
      </c>
      <c r="D529" s="18">
        <v>99865</v>
      </c>
      <c r="E529" s="2" t="s">
        <v>205</v>
      </c>
      <c r="F529" s="15">
        <v>5578</v>
      </c>
      <c r="G529" s="41">
        <v>42770</v>
      </c>
      <c r="H529" s="15">
        <f t="shared" si="17"/>
        <v>5578</v>
      </c>
      <c r="I529" s="15">
        <f t="shared" si="18"/>
        <v>0</v>
      </c>
      <c r="J529" s="19"/>
    </row>
    <row r="530" spans="1:10" x14ac:dyDescent="0.25">
      <c r="A530" s="82">
        <v>42770</v>
      </c>
      <c r="B530" s="83" t="s">
        <v>4725</v>
      </c>
      <c r="C530" s="85" t="s">
        <v>4726</v>
      </c>
      <c r="D530" s="18">
        <v>99866</v>
      </c>
      <c r="E530" s="2" t="s">
        <v>627</v>
      </c>
      <c r="F530" s="15">
        <v>391.4</v>
      </c>
      <c r="G530" s="41">
        <v>42770</v>
      </c>
      <c r="H530" s="15">
        <f t="shared" si="17"/>
        <v>391.4</v>
      </c>
      <c r="I530" s="15">
        <f t="shared" si="18"/>
        <v>0</v>
      </c>
      <c r="J530" s="19"/>
    </row>
    <row r="531" spans="1:10" x14ac:dyDescent="0.25">
      <c r="A531" s="82">
        <v>42770</v>
      </c>
      <c r="B531" s="83" t="s">
        <v>4727</v>
      </c>
      <c r="C531" s="85" t="s">
        <v>4728</v>
      </c>
      <c r="D531" s="18">
        <v>99867</v>
      </c>
      <c r="E531" s="2" t="s">
        <v>21</v>
      </c>
      <c r="F531" s="15">
        <v>44923.5</v>
      </c>
      <c r="G531" s="41">
        <v>42770</v>
      </c>
      <c r="H531" s="15">
        <f t="shared" si="17"/>
        <v>44923.5</v>
      </c>
      <c r="I531" s="15">
        <f t="shared" si="18"/>
        <v>0</v>
      </c>
      <c r="J531" s="19"/>
    </row>
    <row r="532" spans="1:10" x14ac:dyDescent="0.25">
      <c r="A532" s="82">
        <v>42770</v>
      </c>
      <c r="B532" s="83" t="s">
        <v>4729</v>
      </c>
      <c r="C532" s="85" t="s">
        <v>4730</v>
      </c>
      <c r="D532" s="18">
        <v>99868</v>
      </c>
      <c r="E532" s="2" t="s">
        <v>472</v>
      </c>
      <c r="F532" s="15">
        <v>699.6</v>
      </c>
      <c r="G532" s="41">
        <v>42773</v>
      </c>
      <c r="H532" s="15">
        <f t="shared" si="17"/>
        <v>699.6</v>
      </c>
      <c r="I532" s="15">
        <f t="shared" si="18"/>
        <v>0</v>
      </c>
      <c r="J532" s="19"/>
    </row>
    <row r="533" spans="1:10" x14ac:dyDescent="0.25">
      <c r="A533" s="82">
        <v>42770</v>
      </c>
      <c r="B533" s="83" t="s">
        <v>4731</v>
      </c>
      <c r="C533" s="85" t="s">
        <v>4732</v>
      </c>
      <c r="D533" s="18">
        <v>99869</v>
      </c>
      <c r="E533" s="2" t="s">
        <v>302</v>
      </c>
      <c r="F533" s="15">
        <v>5222.3999999999996</v>
      </c>
      <c r="G533" s="41">
        <v>42770</v>
      </c>
      <c r="H533" s="15">
        <f t="shared" si="17"/>
        <v>5222.3999999999996</v>
      </c>
      <c r="I533" s="15">
        <f t="shared" si="18"/>
        <v>0</v>
      </c>
      <c r="J533" s="19"/>
    </row>
    <row r="534" spans="1:10" x14ac:dyDescent="0.25">
      <c r="A534" s="82">
        <v>42770</v>
      </c>
      <c r="B534" s="83" t="s">
        <v>4733</v>
      </c>
      <c r="C534" s="85" t="s">
        <v>4734</v>
      </c>
      <c r="D534" s="18">
        <v>99870</v>
      </c>
      <c r="E534" s="2" t="s">
        <v>1380</v>
      </c>
      <c r="F534" s="15">
        <v>33458.400000000001</v>
      </c>
      <c r="G534" s="41">
        <v>42772</v>
      </c>
      <c r="H534" s="15">
        <f t="shared" si="17"/>
        <v>33458.400000000001</v>
      </c>
      <c r="I534" s="15">
        <f t="shared" si="18"/>
        <v>0</v>
      </c>
      <c r="J534" s="19"/>
    </row>
    <row r="535" spans="1:10" x14ac:dyDescent="0.25">
      <c r="A535" s="82">
        <v>42770</v>
      </c>
      <c r="B535" s="83" t="s">
        <v>4735</v>
      </c>
      <c r="C535" s="85" t="s">
        <v>4736</v>
      </c>
      <c r="D535" s="18">
        <v>99871</v>
      </c>
      <c r="E535" s="2" t="s">
        <v>231</v>
      </c>
      <c r="F535" s="15">
        <v>3480.9</v>
      </c>
      <c r="G535" s="41">
        <v>42771</v>
      </c>
      <c r="H535" s="15">
        <f t="shared" si="17"/>
        <v>3480.9</v>
      </c>
      <c r="I535" s="15">
        <f t="shared" si="18"/>
        <v>0</v>
      </c>
      <c r="J535" s="19"/>
    </row>
    <row r="536" spans="1:10" x14ac:dyDescent="0.25">
      <c r="A536" s="82">
        <v>42770</v>
      </c>
      <c r="B536" s="83" t="s">
        <v>4737</v>
      </c>
      <c r="C536" s="85" t="s">
        <v>4738</v>
      </c>
      <c r="D536" s="18">
        <v>99872</v>
      </c>
      <c r="E536" s="2" t="s">
        <v>12</v>
      </c>
      <c r="F536" s="15">
        <v>2678.8</v>
      </c>
      <c r="G536" s="41">
        <v>42772</v>
      </c>
      <c r="H536" s="15">
        <f t="shared" si="17"/>
        <v>2678.8</v>
      </c>
      <c r="I536" s="15">
        <f t="shared" si="18"/>
        <v>0</v>
      </c>
      <c r="J536" s="19"/>
    </row>
    <row r="537" spans="1:10" x14ac:dyDescent="0.25">
      <c r="A537" s="82">
        <v>42770</v>
      </c>
      <c r="B537" s="83" t="s">
        <v>4739</v>
      </c>
      <c r="C537" s="85" t="s">
        <v>4740</v>
      </c>
      <c r="D537" s="18">
        <v>99873</v>
      </c>
      <c r="E537" s="2" t="s">
        <v>135</v>
      </c>
      <c r="F537" s="15">
        <v>600.16</v>
      </c>
      <c r="G537" s="41">
        <v>42770</v>
      </c>
      <c r="H537" s="15">
        <f t="shared" si="17"/>
        <v>600.16</v>
      </c>
      <c r="I537" s="15">
        <f t="shared" si="18"/>
        <v>0</v>
      </c>
      <c r="J537" s="19"/>
    </row>
    <row r="538" spans="1:10" x14ac:dyDescent="0.25">
      <c r="A538" s="82">
        <v>42770</v>
      </c>
      <c r="B538" s="83" t="s">
        <v>4741</v>
      </c>
      <c r="C538" s="85" t="s">
        <v>4742</v>
      </c>
      <c r="D538" s="18">
        <v>99874</v>
      </c>
      <c r="E538" s="2" t="s">
        <v>289</v>
      </c>
      <c r="F538" s="15">
        <v>86104.04</v>
      </c>
      <c r="G538" s="41">
        <v>42780</v>
      </c>
      <c r="H538" s="15">
        <f t="shared" si="17"/>
        <v>86104.04</v>
      </c>
      <c r="I538" s="15">
        <f t="shared" si="18"/>
        <v>0</v>
      </c>
      <c r="J538" s="19"/>
    </row>
    <row r="539" spans="1:10" x14ac:dyDescent="0.25">
      <c r="A539" s="82">
        <v>42770</v>
      </c>
      <c r="B539" s="83" t="s">
        <v>4743</v>
      </c>
      <c r="C539" s="85" t="s">
        <v>4744</v>
      </c>
      <c r="D539" s="18">
        <v>99875</v>
      </c>
      <c r="E539" s="2" t="s">
        <v>71</v>
      </c>
      <c r="F539" s="15">
        <v>2000</v>
      </c>
      <c r="G539" s="41">
        <v>42770</v>
      </c>
      <c r="H539" s="15">
        <f t="shared" si="17"/>
        <v>2000</v>
      </c>
      <c r="I539" s="15">
        <f t="shared" si="18"/>
        <v>0</v>
      </c>
      <c r="J539" s="19"/>
    </row>
    <row r="540" spans="1:10" x14ac:dyDescent="0.25">
      <c r="A540" s="82">
        <v>42770</v>
      </c>
      <c r="B540" s="83" t="s">
        <v>4745</v>
      </c>
      <c r="C540" s="85" t="s">
        <v>4746</v>
      </c>
      <c r="D540" s="18">
        <v>99876</v>
      </c>
      <c r="E540" s="2" t="s">
        <v>14</v>
      </c>
      <c r="F540" s="15">
        <v>9662.7999999999993</v>
      </c>
      <c r="G540" s="41">
        <v>42770</v>
      </c>
      <c r="H540" s="15">
        <f t="shared" si="17"/>
        <v>9662.7999999999993</v>
      </c>
      <c r="I540" s="15">
        <f t="shared" si="18"/>
        <v>0</v>
      </c>
      <c r="J540" s="19"/>
    </row>
    <row r="541" spans="1:10" x14ac:dyDescent="0.25">
      <c r="A541" s="82">
        <v>42770</v>
      </c>
      <c r="B541" s="83" t="s">
        <v>4747</v>
      </c>
      <c r="C541" s="85" t="s">
        <v>4748</v>
      </c>
      <c r="D541" s="18">
        <v>99877</v>
      </c>
      <c r="E541" s="2" t="s">
        <v>163</v>
      </c>
      <c r="F541" s="15">
        <v>11802</v>
      </c>
      <c r="G541" s="41">
        <v>42770</v>
      </c>
      <c r="H541" s="15">
        <f t="shared" si="17"/>
        <v>11802</v>
      </c>
      <c r="I541" s="15">
        <f t="shared" si="18"/>
        <v>0</v>
      </c>
      <c r="J541" s="19"/>
    </row>
    <row r="542" spans="1:10" x14ac:dyDescent="0.25">
      <c r="A542" s="82">
        <v>42770</v>
      </c>
      <c r="B542" s="83" t="s">
        <v>4749</v>
      </c>
      <c r="C542" s="85" t="s">
        <v>4750</v>
      </c>
      <c r="D542" s="18">
        <v>99878</v>
      </c>
      <c r="E542" s="2" t="s">
        <v>231</v>
      </c>
      <c r="F542" s="15">
        <v>7484.7</v>
      </c>
      <c r="G542" s="41">
        <v>42771</v>
      </c>
      <c r="H542" s="15">
        <f t="shared" si="17"/>
        <v>7484.7</v>
      </c>
      <c r="I542" s="15">
        <f t="shared" si="18"/>
        <v>0</v>
      </c>
      <c r="J542" s="19"/>
    </row>
    <row r="543" spans="1:10" x14ac:dyDescent="0.25">
      <c r="A543" s="82">
        <v>42770</v>
      </c>
      <c r="B543" s="83" t="s">
        <v>4751</v>
      </c>
      <c r="C543" s="85" t="s">
        <v>4752</v>
      </c>
      <c r="D543" s="18">
        <v>99879</v>
      </c>
      <c r="E543" s="2" t="s">
        <v>3360</v>
      </c>
      <c r="F543" s="15">
        <v>27909</v>
      </c>
      <c r="G543" s="41">
        <v>42781</v>
      </c>
      <c r="H543" s="15">
        <f t="shared" si="17"/>
        <v>27909</v>
      </c>
      <c r="I543" s="15">
        <f t="shared" si="18"/>
        <v>0</v>
      </c>
      <c r="J543" s="19"/>
    </row>
    <row r="544" spans="1:10" x14ac:dyDescent="0.25">
      <c r="A544" s="82">
        <v>42770</v>
      </c>
      <c r="B544" s="83" t="s">
        <v>4753</v>
      </c>
      <c r="C544" s="85" t="s">
        <v>4754</v>
      </c>
      <c r="D544" s="18">
        <v>99880</v>
      </c>
      <c r="E544" s="2" t="s">
        <v>627</v>
      </c>
      <c r="F544" s="15">
        <v>858.8</v>
      </c>
      <c r="G544" s="41">
        <v>42770</v>
      </c>
      <c r="H544" s="15">
        <f t="shared" si="17"/>
        <v>858.8</v>
      </c>
      <c r="I544" s="15">
        <f t="shared" si="18"/>
        <v>0</v>
      </c>
      <c r="J544" s="19"/>
    </row>
    <row r="545" spans="1:10" x14ac:dyDescent="0.25">
      <c r="A545" s="82">
        <v>42770</v>
      </c>
      <c r="B545" s="83" t="s">
        <v>4755</v>
      </c>
      <c r="C545" s="85" t="s">
        <v>4756</v>
      </c>
      <c r="D545" s="18">
        <v>99881</v>
      </c>
      <c r="E545" s="2" t="s">
        <v>222</v>
      </c>
      <c r="F545" s="15">
        <v>435435</v>
      </c>
      <c r="G545" s="41">
        <v>42774</v>
      </c>
      <c r="H545" s="15">
        <f t="shared" si="17"/>
        <v>435435</v>
      </c>
      <c r="I545" s="15">
        <f t="shared" si="18"/>
        <v>0</v>
      </c>
      <c r="J545" s="19"/>
    </row>
    <row r="546" spans="1:10" x14ac:dyDescent="0.25">
      <c r="A546" s="82">
        <v>42770</v>
      </c>
      <c r="B546" s="83" t="s">
        <v>4757</v>
      </c>
      <c r="C546" s="85" t="s">
        <v>4758</v>
      </c>
      <c r="D546" s="18">
        <v>99882</v>
      </c>
      <c r="E546" s="2" t="s">
        <v>236</v>
      </c>
      <c r="F546" s="15">
        <v>36940</v>
      </c>
      <c r="G546" s="41">
        <v>42780</v>
      </c>
      <c r="H546" s="15">
        <f t="shared" si="17"/>
        <v>36940</v>
      </c>
      <c r="I546" s="15">
        <f t="shared" si="18"/>
        <v>0</v>
      </c>
      <c r="J546" s="19"/>
    </row>
    <row r="547" spans="1:10" x14ac:dyDescent="0.25">
      <c r="A547" s="82">
        <v>42770</v>
      </c>
      <c r="B547" s="83" t="s">
        <v>4759</v>
      </c>
      <c r="C547" s="85" t="s">
        <v>4760</v>
      </c>
      <c r="D547" s="18">
        <v>99883</v>
      </c>
      <c r="E547" s="2" t="s">
        <v>10</v>
      </c>
      <c r="F547" s="15">
        <v>172168.64</v>
      </c>
      <c r="G547" s="87">
        <v>42776</v>
      </c>
      <c r="H547" s="20">
        <f>89958.98+82209.66</f>
        <v>172168.64</v>
      </c>
      <c r="I547" s="20">
        <f t="shared" si="18"/>
        <v>0</v>
      </c>
      <c r="J547" s="19"/>
    </row>
    <row r="548" spans="1:10" x14ac:dyDescent="0.25">
      <c r="A548" s="82">
        <v>42770</v>
      </c>
      <c r="B548" s="83" t="s">
        <v>4761</v>
      </c>
      <c r="C548" s="85"/>
      <c r="D548" s="18">
        <v>99884</v>
      </c>
      <c r="E548" s="2" t="s">
        <v>10</v>
      </c>
      <c r="F548" s="15">
        <v>69221.899999999994</v>
      </c>
      <c r="G548" s="41">
        <v>42776</v>
      </c>
      <c r="H548" s="15">
        <f t="shared" si="17"/>
        <v>69221.899999999994</v>
      </c>
      <c r="I548" s="15">
        <f t="shared" si="18"/>
        <v>0</v>
      </c>
      <c r="J548" s="19"/>
    </row>
    <row r="549" spans="1:10" x14ac:dyDescent="0.25">
      <c r="A549" s="82">
        <v>42770</v>
      </c>
      <c r="B549" s="83" t="s">
        <v>4762</v>
      </c>
      <c r="C549" s="85"/>
      <c r="D549" s="18">
        <v>99885</v>
      </c>
      <c r="E549" s="2" t="s">
        <v>10</v>
      </c>
      <c r="F549" s="15">
        <v>28065.200000000001</v>
      </c>
      <c r="G549" s="41">
        <v>42776</v>
      </c>
      <c r="H549" s="15">
        <f t="shared" si="17"/>
        <v>28065.200000000001</v>
      </c>
      <c r="I549" s="15">
        <f t="shared" si="18"/>
        <v>0</v>
      </c>
      <c r="J549" s="19"/>
    </row>
    <row r="550" spans="1:10" x14ac:dyDescent="0.25">
      <c r="A550" s="82">
        <v>42770</v>
      </c>
      <c r="B550" s="83" t="s">
        <v>4763</v>
      </c>
      <c r="C550" s="85"/>
      <c r="D550" s="18">
        <v>99886</v>
      </c>
      <c r="E550" s="2" t="s">
        <v>10</v>
      </c>
      <c r="F550" s="15">
        <v>7987</v>
      </c>
      <c r="G550" s="41">
        <v>42776</v>
      </c>
      <c r="H550" s="15">
        <f t="shared" si="17"/>
        <v>7987</v>
      </c>
      <c r="I550" s="15">
        <f t="shared" si="18"/>
        <v>0</v>
      </c>
      <c r="J550" s="19"/>
    </row>
    <row r="551" spans="1:10" x14ac:dyDescent="0.25">
      <c r="A551" s="82">
        <v>42770</v>
      </c>
      <c r="B551" s="83" t="s">
        <v>4764</v>
      </c>
      <c r="C551" s="85"/>
      <c r="D551" s="18">
        <v>99887</v>
      </c>
      <c r="E551" s="2" t="s">
        <v>220</v>
      </c>
      <c r="F551" s="15">
        <v>1344.6</v>
      </c>
      <c r="G551" s="41">
        <v>42770</v>
      </c>
      <c r="H551" s="15">
        <f t="shared" si="17"/>
        <v>1344.6</v>
      </c>
      <c r="I551" s="15">
        <f t="shared" si="18"/>
        <v>0</v>
      </c>
      <c r="J551" s="19"/>
    </row>
    <row r="552" spans="1:10" x14ac:dyDescent="0.25">
      <c r="A552" s="82">
        <v>42770</v>
      </c>
      <c r="B552" s="83" t="s">
        <v>4765</v>
      </c>
      <c r="C552" s="85"/>
      <c r="D552" s="18">
        <v>99888</v>
      </c>
      <c r="E552" s="2" t="s">
        <v>1325</v>
      </c>
      <c r="F552" s="15">
        <v>2260.4</v>
      </c>
      <c r="G552" s="41">
        <v>42770</v>
      </c>
      <c r="H552" s="15">
        <f t="shared" si="17"/>
        <v>2260.4</v>
      </c>
      <c r="I552" s="15">
        <f t="shared" si="18"/>
        <v>0</v>
      </c>
      <c r="J552" s="19"/>
    </row>
    <row r="553" spans="1:10" x14ac:dyDescent="0.25">
      <c r="A553" s="82">
        <v>42770</v>
      </c>
      <c r="B553" s="83" t="s">
        <v>4766</v>
      </c>
      <c r="C553" s="85"/>
      <c r="D553" s="18">
        <v>99889</v>
      </c>
      <c r="E553" s="2" t="s">
        <v>236</v>
      </c>
      <c r="F553" s="15">
        <v>33387.839999999997</v>
      </c>
      <c r="G553" s="41">
        <v>42780</v>
      </c>
      <c r="H553" s="15">
        <f t="shared" si="17"/>
        <v>33387.839999999997</v>
      </c>
      <c r="I553" s="15">
        <f t="shared" si="18"/>
        <v>0</v>
      </c>
      <c r="J553" s="19"/>
    </row>
    <row r="554" spans="1:10" x14ac:dyDescent="0.25">
      <c r="A554" s="82">
        <v>42770</v>
      </c>
      <c r="B554" s="83" t="s">
        <v>4767</v>
      </c>
      <c r="C554" s="85"/>
      <c r="D554" s="18">
        <v>99890</v>
      </c>
      <c r="E554" s="13" t="s">
        <v>266</v>
      </c>
      <c r="F554" s="14">
        <v>0</v>
      </c>
      <c r="G554" s="88" t="s">
        <v>95</v>
      </c>
      <c r="H554" s="14">
        <f t="shared" si="17"/>
        <v>0</v>
      </c>
      <c r="I554" s="14">
        <f t="shared" si="18"/>
        <v>0</v>
      </c>
      <c r="J554" s="19"/>
    </row>
    <row r="555" spans="1:10" x14ac:dyDescent="0.25">
      <c r="A555" s="82">
        <v>42770</v>
      </c>
      <c r="B555" s="83" t="s">
        <v>4768</v>
      </c>
      <c r="C555" s="85"/>
      <c r="D555" s="18">
        <v>99891</v>
      </c>
      <c r="E555" s="2" t="s">
        <v>30</v>
      </c>
      <c r="F555" s="15">
        <v>1240.8</v>
      </c>
      <c r="G555" s="41">
        <v>42770</v>
      </c>
      <c r="H555" s="15">
        <f t="shared" si="17"/>
        <v>1240.8</v>
      </c>
      <c r="I555" s="15">
        <f t="shared" si="18"/>
        <v>0</v>
      </c>
      <c r="J555" s="19"/>
    </row>
    <row r="556" spans="1:10" x14ac:dyDescent="0.25">
      <c r="A556" s="82">
        <v>42770</v>
      </c>
      <c r="B556" s="83" t="s">
        <v>4769</v>
      </c>
      <c r="C556" s="85"/>
      <c r="D556" s="18">
        <v>99892</v>
      </c>
      <c r="E556" s="2" t="s">
        <v>405</v>
      </c>
      <c r="F556" s="15">
        <v>4880.3999999999996</v>
      </c>
      <c r="G556" s="41">
        <v>42770</v>
      </c>
      <c r="H556" s="15">
        <f t="shared" si="17"/>
        <v>4880.3999999999996</v>
      </c>
      <c r="I556" s="15">
        <f t="shared" si="18"/>
        <v>0</v>
      </c>
      <c r="J556" s="19"/>
    </row>
    <row r="557" spans="1:10" x14ac:dyDescent="0.25">
      <c r="A557" s="82">
        <v>42770</v>
      </c>
      <c r="B557" s="83" t="s">
        <v>4770</v>
      </c>
      <c r="C557" s="85"/>
      <c r="D557" s="18">
        <v>99893</v>
      </c>
      <c r="E557" s="2" t="s">
        <v>205</v>
      </c>
      <c r="F557" s="15">
        <v>13504</v>
      </c>
      <c r="G557" s="41">
        <v>42771</v>
      </c>
      <c r="H557" s="15">
        <f t="shared" si="17"/>
        <v>13504</v>
      </c>
      <c r="I557" s="15">
        <f t="shared" si="18"/>
        <v>0</v>
      </c>
      <c r="J557" s="19"/>
    </row>
    <row r="558" spans="1:10" x14ac:dyDescent="0.25">
      <c r="A558" s="82">
        <v>42770</v>
      </c>
      <c r="B558" s="83" t="s">
        <v>4771</v>
      </c>
      <c r="C558" s="85"/>
      <c r="D558" s="18">
        <v>99894</v>
      </c>
      <c r="E558" s="2" t="s">
        <v>122</v>
      </c>
      <c r="F558" s="15">
        <v>3956</v>
      </c>
      <c r="G558" s="41">
        <v>42770</v>
      </c>
      <c r="H558" s="15">
        <f t="shared" si="17"/>
        <v>3956</v>
      </c>
      <c r="I558" s="15">
        <f t="shared" si="18"/>
        <v>0</v>
      </c>
      <c r="J558" s="19"/>
    </row>
    <row r="559" spans="1:10" x14ac:dyDescent="0.25">
      <c r="A559" s="82">
        <v>42770</v>
      </c>
      <c r="B559" s="83" t="s">
        <v>4772</v>
      </c>
      <c r="C559" s="85"/>
      <c r="D559" s="18">
        <v>99895</v>
      </c>
      <c r="E559" s="2" t="s">
        <v>266</v>
      </c>
      <c r="F559" s="15">
        <v>12532.4</v>
      </c>
      <c r="G559" s="41">
        <v>42771</v>
      </c>
      <c r="H559" s="15">
        <f t="shared" si="17"/>
        <v>12532.4</v>
      </c>
      <c r="I559" s="15">
        <f t="shared" si="18"/>
        <v>0</v>
      </c>
      <c r="J559" s="19"/>
    </row>
    <row r="560" spans="1:10" x14ac:dyDescent="0.25">
      <c r="A560" s="82">
        <v>42770</v>
      </c>
      <c r="B560" s="83" t="s">
        <v>4773</v>
      </c>
      <c r="C560" s="85"/>
      <c r="D560" s="18">
        <v>99896</v>
      </c>
      <c r="E560" s="2" t="s">
        <v>236</v>
      </c>
      <c r="F560" s="15">
        <v>34350.959999999999</v>
      </c>
      <c r="G560" s="41">
        <v>42780</v>
      </c>
      <c r="H560" s="15">
        <f t="shared" si="17"/>
        <v>34350.959999999999</v>
      </c>
      <c r="I560" s="15">
        <f t="shared" si="18"/>
        <v>0</v>
      </c>
      <c r="J560" s="19"/>
    </row>
    <row r="561" spans="1:10" x14ac:dyDescent="0.25">
      <c r="A561" s="82">
        <v>42770</v>
      </c>
      <c r="B561" s="83" t="s">
        <v>4774</v>
      </c>
      <c r="C561" s="85"/>
      <c r="D561" s="18">
        <v>99897</v>
      </c>
      <c r="E561" s="2" t="s">
        <v>457</v>
      </c>
      <c r="F561" s="15">
        <v>1071.2</v>
      </c>
      <c r="G561" s="41">
        <v>42770</v>
      </c>
      <c r="H561" s="15">
        <f t="shared" si="17"/>
        <v>1071.2</v>
      </c>
      <c r="I561" s="15">
        <f t="shared" si="18"/>
        <v>0</v>
      </c>
      <c r="J561" s="19"/>
    </row>
    <row r="562" spans="1:10" x14ac:dyDescent="0.25">
      <c r="A562" s="82">
        <v>42770</v>
      </c>
      <c r="B562" s="83" t="s">
        <v>4775</v>
      </c>
      <c r="C562" s="85"/>
      <c r="D562" s="18">
        <v>99898</v>
      </c>
      <c r="E562" s="2" t="s">
        <v>1925</v>
      </c>
      <c r="F562" s="15">
        <v>459.8</v>
      </c>
      <c r="G562" s="41">
        <v>42770</v>
      </c>
      <c r="H562" s="15">
        <f t="shared" si="17"/>
        <v>459.8</v>
      </c>
      <c r="I562" s="15">
        <f t="shared" si="18"/>
        <v>0</v>
      </c>
      <c r="J562" s="19"/>
    </row>
    <row r="563" spans="1:10" x14ac:dyDescent="0.25">
      <c r="A563" s="82">
        <v>42770</v>
      </c>
      <c r="B563" s="83" t="s">
        <v>4776</v>
      </c>
      <c r="C563" s="85"/>
      <c r="D563" s="18">
        <v>99899</v>
      </c>
      <c r="E563" s="2" t="s">
        <v>2552</v>
      </c>
      <c r="F563" s="15">
        <v>29869.62</v>
      </c>
      <c r="G563" s="41">
        <v>42770</v>
      </c>
      <c r="H563" s="15">
        <f t="shared" si="17"/>
        <v>29869.62</v>
      </c>
      <c r="I563" s="15">
        <f t="shared" si="18"/>
        <v>0</v>
      </c>
      <c r="J563" s="19"/>
    </row>
    <row r="564" spans="1:10" x14ac:dyDescent="0.25">
      <c r="A564" s="82">
        <v>42770</v>
      </c>
      <c r="B564" s="83" t="s">
        <v>4777</v>
      </c>
      <c r="C564" s="85"/>
      <c r="D564" s="18">
        <v>99900</v>
      </c>
      <c r="E564" s="2" t="s">
        <v>2552</v>
      </c>
      <c r="F564" s="15">
        <v>2586.8000000000002</v>
      </c>
      <c r="G564" s="41">
        <v>42770</v>
      </c>
      <c r="H564" s="15">
        <f t="shared" si="17"/>
        <v>2586.8000000000002</v>
      </c>
      <c r="I564" s="15">
        <f t="shared" si="18"/>
        <v>0</v>
      </c>
      <c r="J564" s="19"/>
    </row>
    <row r="565" spans="1:10" x14ac:dyDescent="0.25">
      <c r="A565" s="82">
        <v>42770</v>
      </c>
      <c r="B565" s="83" t="s">
        <v>4778</v>
      </c>
      <c r="C565" s="85"/>
      <c r="D565" s="18">
        <v>99901</v>
      </c>
      <c r="E565" s="2" t="s">
        <v>921</v>
      </c>
      <c r="F565" s="15">
        <v>6524.7</v>
      </c>
      <c r="G565" s="41">
        <v>42770</v>
      </c>
      <c r="H565" s="15">
        <f t="shared" si="17"/>
        <v>6524.7</v>
      </c>
      <c r="I565" s="15">
        <f t="shared" si="18"/>
        <v>0</v>
      </c>
      <c r="J565" s="19"/>
    </row>
    <row r="566" spans="1:10" x14ac:dyDescent="0.25">
      <c r="A566" s="82">
        <v>42770</v>
      </c>
      <c r="B566" s="83" t="s">
        <v>4779</v>
      </c>
      <c r="C566" s="85"/>
      <c r="D566" s="18">
        <v>99902</v>
      </c>
      <c r="E566" s="2" t="s">
        <v>921</v>
      </c>
      <c r="F566" s="15">
        <v>179.4</v>
      </c>
      <c r="G566" s="41">
        <v>42770</v>
      </c>
      <c r="H566" s="15">
        <f t="shared" si="17"/>
        <v>179.4</v>
      </c>
      <c r="I566" s="15">
        <f t="shared" si="18"/>
        <v>0</v>
      </c>
      <c r="J566" s="19"/>
    </row>
    <row r="567" spans="1:10" x14ac:dyDescent="0.25">
      <c r="A567" s="82">
        <v>42770</v>
      </c>
      <c r="B567" s="83" t="s">
        <v>4780</v>
      </c>
      <c r="C567" s="85"/>
      <c r="D567" s="18">
        <v>99903</v>
      </c>
      <c r="E567" s="2" t="s">
        <v>55</v>
      </c>
      <c r="F567" s="15">
        <v>9456.7000000000007</v>
      </c>
      <c r="G567" s="41">
        <v>42770</v>
      </c>
      <c r="H567" s="15">
        <f t="shared" si="17"/>
        <v>9456.7000000000007</v>
      </c>
      <c r="I567" s="15">
        <f t="shared" si="18"/>
        <v>0</v>
      </c>
      <c r="J567" s="19"/>
    </row>
    <row r="568" spans="1:10" x14ac:dyDescent="0.25">
      <c r="A568" s="82">
        <v>42770</v>
      </c>
      <c r="B568" s="83" t="s">
        <v>4781</v>
      </c>
      <c r="C568" s="85"/>
      <c r="D568" s="18">
        <v>99904</v>
      </c>
      <c r="E568" s="2" t="s">
        <v>289</v>
      </c>
      <c r="F568" s="15">
        <v>32848.92</v>
      </c>
      <c r="G568" s="41">
        <v>42798</v>
      </c>
      <c r="H568" s="15">
        <f t="shared" si="17"/>
        <v>32848.92</v>
      </c>
      <c r="I568" s="15">
        <f t="shared" si="18"/>
        <v>0</v>
      </c>
      <c r="J568" s="19"/>
    </row>
    <row r="569" spans="1:10" x14ac:dyDescent="0.25">
      <c r="A569" s="82">
        <v>42771</v>
      </c>
      <c r="B569" s="83" t="s">
        <v>4782</v>
      </c>
      <c r="C569" s="85"/>
      <c r="D569" s="18">
        <v>99905</v>
      </c>
      <c r="E569" s="2" t="s">
        <v>17</v>
      </c>
      <c r="F569" s="15">
        <v>5250</v>
      </c>
      <c r="G569" s="41">
        <v>42771</v>
      </c>
      <c r="H569" s="15">
        <f t="shared" si="17"/>
        <v>5250</v>
      </c>
      <c r="I569" s="15">
        <f t="shared" si="18"/>
        <v>0</v>
      </c>
      <c r="J569" s="19"/>
    </row>
    <row r="570" spans="1:10" x14ac:dyDescent="0.25">
      <c r="A570" s="82">
        <v>42771</v>
      </c>
      <c r="B570" s="83" t="s">
        <v>4783</v>
      </c>
      <c r="C570" s="85"/>
      <c r="D570" s="18">
        <v>99906</v>
      </c>
      <c r="E570" s="2" t="s">
        <v>231</v>
      </c>
      <c r="F570" s="15">
        <v>10710.4</v>
      </c>
      <c r="G570" s="41">
        <v>42772</v>
      </c>
      <c r="H570" s="15">
        <f t="shared" si="17"/>
        <v>10710.4</v>
      </c>
      <c r="I570" s="15">
        <f t="shared" si="18"/>
        <v>0</v>
      </c>
      <c r="J570" s="19"/>
    </row>
    <row r="571" spans="1:10" x14ac:dyDescent="0.25">
      <c r="A571" s="82">
        <v>42771</v>
      </c>
      <c r="B571" s="83" t="s">
        <v>4784</v>
      </c>
      <c r="C571" s="85"/>
      <c r="D571" s="18">
        <v>99907</v>
      </c>
      <c r="E571" s="13" t="s">
        <v>28</v>
      </c>
      <c r="F571" s="14">
        <v>0</v>
      </c>
      <c r="G571" s="88" t="s">
        <v>95</v>
      </c>
      <c r="H571" s="14">
        <f t="shared" si="17"/>
        <v>0</v>
      </c>
      <c r="I571" s="14">
        <f t="shared" si="18"/>
        <v>0</v>
      </c>
      <c r="J571" s="19"/>
    </row>
    <row r="572" spans="1:10" x14ac:dyDescent="0.25">
      <c r="A572" s="82">
        <v>42771</v>
      </c>
      <c r="B572" s="83" t="s">
        <v>4785</v>
      </c>
      <c r="C572" s="85"/>
      <c r="D572" s="18">
        <v>99908</v>
      </c>
      <c r="E572" s="2" t="s">
        <v>28</v>
      </c>
      <c r="F572" s="15">
        <v>5152</v>
      </c>
      <c r="G572" s="41">
        <v>42771</v>
      </c>
      <c r="H572" s="15">
        <f t="shared" si="17"/>
        <v>5152</v>
      </c>
      <c r="I572" s="15">
        <f t="shared" si="18"/>
        <v>0</v>
      </c>
      <c r="J572" s="19"/>
    </row>
    <row r="573" spans="1:10" x14ac:dyDescent="0.25">
      <c r="A573" s="82">
        <v>42771</v>
      </c>
      <c r="B573" s="83" t="s">
        <v>4786</v>
      </c>
      <c r="C573" s="85"/>
      <c r="D573" s="18">
        <v>99909</v>
      </c>
      <c r="E573" s="2" t="s">
        <v>55</v>
      </c>
      <c r="F573" s="15">
        <v>4133.3999999999996</v>
      </c>
      <c r="G573" s="41">
        <v>42771</v>
      </c>
      <c r="H573" s="15">
        <f t="shared" si="17"/>
        <v>4133.3999999999996</v>
      </c>
      <c r="I573" s="15">
        <f t="shared" si="18"/>
        <v>0</v>
      </c>
      <c r="J573" s="19"/>
    </row>
    <row r="574" spans="1:10" x14ac:dyDescent="0.25">
      <c r="A574" s="82">
        <v>42771</v>
      </c>
      <c r="B574" s="83" t="s">
        <v>4787</v>
      </c>
      <c r="C574" s="85"/>
      <c r="D574" s="18">
        <v>99910</v>
      </c>
      <c r="E574" s="2" t="s">
        <v>231</v>
      </c>
      <c r="F574" s="15">
        <v>46866.400000000001</v>
      </c>
      <c r="G574" s="41">
        <v>42772</v>
      </c>
      <c r="H574" s="15">
        <f t="shared" si="17"/>
        <v>46866.400000000001</v>
      </c>
      <c r="I574" s="15">
        <f t="shared" si="18"/>
        <v>0</v>
      </c>
      <c r="J574" s="19"/>
    </row>
    <row r="575" spans="1:10" x14ac:dyDescent="0.25">
      <c r="A575" s="82">
        <v>42771</v>
      </c>
      <c r="B575" s="83" t="s">
        <v>4788</v>
      </c>
      <c r="C575" s="85"/>
      <c r="D575" s="18">
        <v>99911</v>
      </c>
      <c r="E575" s="2" t="s">
        <v>30</v>
      </c>
      <c r="F575" s="15">
        <v>1637.8</v>
      </c>
      <c r="G575" s="41">
        <v>42771</v>
      </c>
      <c r="H575" s="15">
        <f t="shared" si="17"/>
        <v>1637.8</v>
      </c>
      <c r="I575" s="15">
        <f t="shared" si="18"/>
        <v>0</v>
      </c>
      <c r="J575" s="19"/>
    </row>
    <row r="576" spans="1:10" x14ac:dyDescent="0.25">
      <c r="A576" s="82">
        <v>42771</v>
      </c>
      <c r="B576" s="83" t="s">
        <v>4789</v>
      </c>
      <c r="C576" s="85"/>
      <c r="D576" s="18">
        <v>99912</v>
      </c>
      <c r="E576" s="2" t="s">
        <v>21</v>
      </c>
      <c r="F576" s="15">
        <v>32715</v>
      </c>
      <c r="G576" s="41">
        <v>42786</v>
      </c>
      <c r="H576" s="15">
        <f t="shared" si="17"/>
        <v>32715</v>
      </c>
      <c r="I576" s="15">
        <f t="shared" si="18"/>
        <v>0</v>
      </c>
      <c r="J576" s="19"/>
    </row>
    <row r="577" spans="1:10" x14ac:dyDescent="0.25">
      <c r="A577" s="82">
        <v>42771</v>
      </c>
      <c r="B577" s="83" t="s">
        <v>4790</v>
      </c>
      <c r="C577" s="85"/>
      <c r="D577" s="18">
        <v>99913</v>
      </c>
      <c r="E577" s="2" t="s">
        <v>71</v>
      </c>
      <c r="F577" s="15">
        <v>2500</v>
      </c>
      <c r="G577" s="41">
        <v>42771</v>
      </c>
      <c r="H577" s="15">
        <f t="shared" si="17"/>
        <v>2500</v>
      </c>
      <c r="I577" s="15">
        <f t="shared" si="18"/>
        <v>0</v>
      </c>
      <c r="J577" s="19"/>
    </row>
    <row r="578" spans="1:10" x14ac:dyDescent="0.25">
      <c r="A578" s="82">
        <v>42771</v>
      </c>
      <c r="B578" s="83" t="s">
        <v>4791</v>
      </c>
      <c r="C578" s="85"/>
      <c r="D578" s="18">
        <v>99914</v>
      </c>
      <c r="E578" s="2" t="s">
        <v>1789</v>
      </c>
      <c r="F578" s="15">
        <v>7660.8</v>
      </c>
      <c r="G578" s="41">
        <v>42771</v>
      </c>
      <c r="H578" s="15">
        <f t="shared" si="17"/>
        <v>7660.8</v>
      </c>
      <c r="I578" s="15">
        <f t="shared" si="18"/>
        <v>0</v>
      </c>
      <c r="J578" s="19"/>
    </row>
    <row r="579" spans="1:10" x14ac:dyDescent="0.25">
      <c r="A579" s="82">
        <v>42771</v>
      </c>
      <c r="B579" s="83" t="s">
        <v>4792</v>
      </c>
      <c r="C579" s="85"/>
      <c r="D579" s="18">
        <v>99915</v>
      </c>
      <c r="E579" s="2" t="s">
        <v>3425</v>
      </c>
      <c r="F579" s="15">
        <v>409.2</v>
      </c>
      <c r="G579" s="41">
        <v>42771</v>
      </c>
      <c r="H579" s="15">
        <f t="shared" si="17"/>
        <v>409.2</v>
      </c>
      <c r="I579" s="15">
        <f t="shared" si="18"/>
        <v>0</v>
      </c>
      <c r="J579" s="19"/>
    </row>
    <row r="580" spans="1:10" x14ac:dyDescent="0.25">
      <c r="A580" s="82">
        <v>42771</v>
      </c>
      <c r="B580" s="83" t="s">
        <v>4793</v>
      </c>
      <c r="C580" s="85"/>
      <c r="D580" s="18">
        <v>99916</v>
      </c>
      <c r="E580" s="2" t="s">
        <v>1789</v>
      </c>
      <c r="F580" s="15">
        <v>1512.5</v>
      </c>
      <c r="G580" s="41">
        <v>42771</v>
      </c>
      <c r="H580" s="15">
        <f t="shared" ref="H580:H643" si="19">F580</f>
        <v>1512.5</v>
      </c>
      <c r="I580" s="15">
        <f t="shared" si="18"/>
        <v>0</v>
      </c>
      <c r="J580" s="19"/>
    </row>
    <row r="581" spans="1:10" x14ac:dyDescent="0.25">
      <c r="A581" s="82">
        <v>42771</v>
      </c>
      <c r="B581" s="83" t="s">
        <v>4794</v>
      </c>
      <c r="C581" s="85"/>
      <c r="D581" s="18">
        <v>99917</v>
      </c>
      <c r="E581" s="2" t="s">
        <v>143</v>
      </c>
      <c r="F581" s="15">
        <v>7233.2</v>
      </c>
      <c r="G581" s="41">
        <v>42771</v>
      </c>
      <c r="H581" s="15">
        <f t="shared" si="19"/>
        <v>7233.2</v>
      </c>
      <c r="I581" s="15">
        <f t="shared" si="18"/>
        <v>0</v>
      </c>
      <c r="J581" s="19"/>
    </row>
    <row r="582" spans="1:10" x14ac:dyDescent="0.25">
      <c r="A582" s="82">
        <v>42771</v>
      </c>
      <c r="B582" s="83" t="s">
        <v>4795</v>
      </c>
      <c r="C582" s="85"/>
      <c r="D582" s="18">
        <v>99918</v>
      </c>
      <c r="E582" s="2" t="s">
        <v>47</v>
      </c>
      <c r="F582" s="15">
        <v>3522.7</v>
      </c>
      <c r="G582" s="41">
        <v>42771</v>
      </c>
      <c r="H582" s="15">
        <f t="shared" si="19"/>
        <v>3522.7</v>
      </c>
      <c r="I582" s="15">
        <f t="shared" ref="I582:I645" si="20">F582-H582</f>
        <v>0</v>
      </c>
      <c r="J582" s="19"/>
    </row>
    <row r="583" spans="1:10" x14ac:dyDescent="0.25">
      <c r="A583" s="82">
        <v>42771</v>
      </c>
      <c r="B583" s="83" t="s">
        <v>4796</v>
      </c>
      <c r="C583" s="85"/>
      <c r="D583" s="18">
        <v>99919</v>
      </c>
      <c r="E583" s="2" t="s">
        <v>151</v>
      </c>
      <c r="F583" s="15">
        <v>25229.439999999999</v>
      </c>
      <c r="G583" s="41">
        <v>42771</v>
      </c>
      <c r="H583" s="15">
        <f t="shared" si="19"/>
        <v>25229.439999999999</v>
      </c>
      <c r="I583" s="15">
        <f t="shared" si="20"/>
        <v>0</v>
      </c>
      <c r="J583" s="19"/>
    </row>
    <row r="584" spans="1:10" x14ac:dyDescent="0.25">
      <c r="A584" s="82">
        <v>42771</v>
      </c>
      <c r="B584" s="83" t="s">
        <v>4797</v>
      </c>
      <c r="C584" s="85"/>
      <c r="D584" s="18">
        <v>99920</v>
      </c>
      <c r="E584" s="2" t="s">
        <v>79</v>
      </c>
      <c r="F584" s="15">
        <v>2697.9</v>
      </c>
      <c r="G584" s="41">
        <v>42771</v>
      </c>
      <c r="H584" s="15">
        <f t="shared" si="19"/>
        <v>2697.9</v>
      </c>
      <c r="I584" s="15">
        <f t="shared" si="20"/>
        <v>0</v>
      </c>
      <c r="J584" s="19"/>
    </row>
    <row r="585" spans="1:10" x14ac:dyDescent="0.25">
      <c r="A585" s="82">
        <v>42771</v>
      </c>
      <c r="B585" s="83" t="s">
        <v>4798</v>
      </c>
      <c r="C585" s="85"/>
      <c r="D585" s="18">
        <v>99921</v>
      </c>
      <c r="E585" s="2" t="s">
        <v>492</v>
      </c>
      <c r="F585" s="15">
        <v>5376.6</v>
      </c>
      <c r="G585" s="41">
        <v>42778</v>
      </c>
      <c r="H585" s="15">
        <f t="shared" si="19"/>
        <v>5376.6</v>
      </c>
      <c r="I585" s="15">
        <f t="shared" si="20"/>
        <v>0</v>
      </c>
      <c r="J585" s="19"/>
    </row>
    <row r="586" spans="1:10" x14ac:dyDescent="0.25">
      <c r="A586" s="82">
        <v>42771</v>
      </c>
      <c r="B586" s="83" t="s">
        <v>4799</v>
      </c>
      <c r="C586" s="85"/>
      <c r="D586" s="18">
        <v>99922</v>
      </c>
      <c r="E586" s="2" t="s">
        <v>470</v>
      </c>
      <c r="F586" s="15">
        <v>8843.6</v>
      </c>
      <c r="G586" s="41">
        <v>42772</v>
      </c>
      <c r="H586" s="15">
        <f t="shared" si="19"/>
        <v>8843.6</v>
      </c>
      <c r="I586" s="15">
        <f t="shared" si="20"/>
        <v>0</v>
      </c>
      <c r="J586" s="19"/>
    </row>
    <row r="587" spans="1:10" x14ac:dyDescent="0.25">
      <c r="A587" s="82">
        <v>42771</v>
      </c>
      <c r="B587" s="83" t="s">
        <v>4800</v>
      </c>
      <c r="C587" s="85"/>
      <c r="D587" s="18">
        <v>99923</v>
      </c>
      <c r="E587" s="2" t="s">
        <v>1645</v>
      </c>
      <c r="F587" s="15">
        <v>1746.6</v>
      </c>
      <c r="G587" s="41">
        <v>42771</v>
      </c>
      <c r="H587" s="15">
        <f t="shared" si="19"/>
        <v>1746.6</v>
      </c>
      <c r="I587" s="15">
        <f t="shared" si="20"/>
        <v>0</v>
      </c>
      <c r="J587" s="19"/>
    </row>
    <row r="588" spans="1:10" x14ac:dyDescent="0.25">
      <c r="A588" s="82">
        <v>42771</v>
      </c>
      <c r="B588" s="83" t="s">
        <v>4801</v>
      </c>
      <c r="C588" s="85"/>
      <c r="D588" s="18">
        <v>99924</v>
      </c>
      <c r="E588" s="2" t="s">
        <v>1116</v>
      </c>
      <c r="F588" s="15">
        <v>3286.4</v>
      </c>
      <c r="G588" s="41">
        <v>42772</v>
      </c>
      <c r="H588" s="15">
        <f t="shared" si="19"/>
        <v>3286.4</v>
      </c>
      <c r="I588" s="15">
        <f t="shared" si="20"/>
        <v>0</v>
      </c>
      <c r="J588" s="19"/>
    </row>
    <row r="589" spans="1:10" x14ac:dyDescent="0.25">
      <c r="A589" s="82">
        <v>42771</v>
      </c>
      <c r="B589" s="83" t="s">
        <v>4802</v>
      </c>
      <c r="C589" s="85"/>
      <c r="D589" s="18">
        <v>99925</v>
      </c>
      <c r="E589" s="2" t="s">
        <v>111</v>
      </c>
      <c r="F589" s="15">
        <v>3611.8</v>
      </c>
      <c r="G589" s="41">
        <v>42771</v>
      </c>
      <c r="H589" s="15">
        <f t="shared" si="19"/>
        <v>3611.8</v>
      </c>
      <c r="I589" s="15">
        <f t="shared" si="20"/>
        <v>0</v>
      </c>
      <c r="J589" s="19"/>
    </row>
    <row r="590" spans="1:10" x14ac:dyDescent="0.25">
      <c r="A590" s="82">
        <v>42771</v>
      </c>
      <c r="B590" s="83" t="s">
        <v>4803</v>
      </c>
      <c r="C590" s="85"/>
      <c r="D590" s="18">
        <v>99926</v>
      </c>
      <c r="E590" s="2" t="s">
        <v>923</v>
      </c>
      <c r="F590" s="15">
        <v>6502.6</v>
      </c>
      <c r="G590" s="41">
        <v>42771</v>
      </c>
      <c r="H590" s="15">
        <f t="shared" si="19"/>
        <v>6502.6</v>
      </c>
      <c r="I590" s="15">
        <f t="shared" si="20"/>
        <v>0</v>
      </c>
      <c r="J590" s="19"/>
    </row>
    <row r="591" spans="1:10" x14ac:dyDescent="0.25">
      <c r="A591" s="82">
        <v>42771</v>
      </c>
      <c r="B591" s="83" t="s">
        <v>4804</v>
      </c>
      <c r="C591" s="85"/>
      <c r="D591" s="18">
        <v>99927</v>
      </c>
      <c r="E591" s="2" t="s">
        <v>12</v>
      </c>
      <c r="F591" s="15">
        <v>1588.8</v>
      </c>
      <c r="G591" s="41">
        <v>42771</v>
      </c>
      <c r="H591" s="15">
        <f t="shared" si="19"/>
        <v>1588.8</v>
      </c>
      <c r="I591" s="15">
        <f t="shared" si="20"/>
        <v>0</v>
      </c>
      <c r="J591" s="19"/>
    </row>
    <row r="592" spans="1:10" x14ac:dyDescent="0.25">
      <c r="A592" s="82">
        <v>42771</v>
      </c>
      <c r="B592" s="83" t="s">
        <v>4805</v>
      </c>
      <c r="C592" s="85"/>
      <c r="D592" s="18">
        <v>99928</v>
      </c>
      <c r="E592" s="2" t="s">
        <v>168</v>
      </c>
      <c r="F592" s="15">
        <v>1196.8</v>
      </c>
      <c r="G592" s="41">
        <v>42771</v>
      </c>
      <c r="H592" s="15">
        <f t="shared" si="19"/>
        <v>1196.8</v>
      </c>
      <c r="I592" s="15">
        <f t="shared" si="20"/>
        <v>0</v>
      </c>
      <c r="J592" s="19"/>
    </row>
    <row r="593" spans="1:10" x14ac:dyDescent="0.25">
      <c r="A593" s="82">
        <v>42771</v>
      </c>
      <c r="B593" s="83" t="s">
        <v>4806</v>
      </c>
      <c r="C593" s="85"/>
      <c r="D593" s="18">
        <v>99929</v>
      </c>
      <c r="E593" s="2" t="s">
        <v>457</v>
      </c>
      <c r="F593" s="15">
        <v>3121.2</v>
      </c>
      <c r="G593" s="41">
        <v>42771</v>
      </c>
      <c r="H593" s="15">
        <f t="shared" si="19"/>
        <v>3121.2</v>
      </c>
      <c r="I593" s="15">
        <f t="shared" si="20"/>
        <v>0</v>
      </c>
      <c r="J593" s="19"/>
    </row>
    <row r="594" spans="1:10" x14ac:dyDescent="0.25">
      <c r="A594" s="82">
        <v>42771</v>
      </c>
      <c r="B594" s="83" t="s">
        <v>4807</v>
      </c>
      <c r="C594" s="85"/>
      <c r="D594" s="18">
        <v>99930</v>
      </c>
      <c r="E594" s="2" t="s">
        <v>157</v>
      </c>
      <c r="F594" s="15">
        <v>23226.98</v>
      </c>
      <c r="G594" s="41">
        <v>42771</v>
      </c>
      <c r="H594" s="15">
        <f t="shared" si="19"/>
        <v>23226.98</v>
      </c>
      <c r="I594" s="15">
        <f t="shared" si="20"/>
        <v>0</v>
      </c>
      <c r="J594" s="19"/>
    </row>
    <row r="595" spans="1:10" x14ac:dyDescent="0.25">
      <c r="A595" s="82">
        <v>42771</v>
      </c>
      <c r="B595" s="83" t="s">
        <v>4808</v>
      </c>
      <c r="C595" s="85"/>
      <c r="D595" s="18">
        <v>99931</v>
      </c>
      <c r="E595" s="2" t="s">
        <v>222</v>
      </c>
      <c r="F595" s="15">
        <v>21232.3</v>
      </c>
      <c r="G595" s="41">
        <v>42784</v>
      </c>
      <c r="H595" s="15">
        <f t="shared" si="19"/>
        <v>21232.3</v>
      </c>
      <c r="I595" s="15">
        <f t="shared" si="20"/>
        <v>0</v>
      </c>
      <c r="J595" s="19"/>
    </row>
    <row r="596" spans="1:10" x14ac:dyDescent="0.25">
      <c r="A596" s="82">
        <v>42771</v>
      </c>
      <c r="B596" s="83" t="s">
        <v>4809</v>
      </c>
      <c r="C596" s="85"/>
      <c r="D596" s="18">
        <v>99932</v>
      </c>
      <c r="E596" s="2" t="s">
        <v>289</v>
      </c>
      <c r="F596" s="15">
        <v>35977.449999999997</v>
      </c>
      <c r="H596" s="15">
        <f t="shared" si="19"/>
        <v>35977.449999999997</v>
      </c>
      <c r="I596" s="15">
        <f t="shared" si="20"/>
        <v>0</v>
      </c>
      <c r="J596" s="19"/>
    </row>
    <row r="597" spans="1:10" x14ac:dyDescent="0.25">
      <c r="A597" s="82">
        <v>42771</v>
      </c>
      <c r="B597" s="83" t="s">
        <v>4810</v>
      </c>
      <c r="C597" s="85"/>
      <c r="D597" s="18">
        <v>99933</v>
      </c>
      <c r="E597" s="13" t="s">
        <v>81</v>
      </c>
      <c r="F597" s="14">
        <v>0</v>
      </c>
      <c r="G597" s="88" t="s">
        <v>95</v>
      </c>
      <c r="H597" s="14">
        <f t="shared" si="19"/>
        <v>0</v>
      </c>
      <c r="I597" s="14">
        <f t="shared" si="20"/>
        <v>0</v>
      </c>
      <c r="J597" s="19"/>
    </row>
    <row r="598" spans="1:10" x14ac:dyDescent="0.25">
      <c r="A598" s="82">
        <v>42771</v>
      </c>
      <c r="B598" s="83" t="s">
        <v>4811</v>
      </c>
      <c r="C598" s="85"/>
      <c r="D598" s="18">
        <v>99934</v>
      </c>
      <c r="E598" s="13" t="s">
        <v>81</v>
      </c>
      <c r="F598" s="14">
        <v>0</v>
      </c>
      <c r="G598" s="88" t="s">
        <v>95</v>
      </c>
      <c r="H598" s="14">
        <f t="shared" si="19"/>
        <v>0</v>
      </c>
      <c r="I598" s="14">
        <f t="shared" si="20"/>
        <v>0</v>
      </c>
      <c r="J598" s="19"/>
    </row>
    <row r="599" spans="1:10" x14ac:dyDescent="0.25">
      <c r="A599" s="82">
        <v>42771</v>
      </c>
      <c r="B599" s="83" t="s">
        <v>4812</v>
      </c>
      <c r="C599" s="85"/>
      <c r="D599" s="18">
        <v>99935</v>
      </c>
      <c r="E599" s="2" t="s">
        <v>81</v>
      </c>
      <c r="F599" s="15">
        <v>6256.6</v>
      </c>
      <c r="G599" s="41">
        <v>42772</v>
      </c>
      <c r="H599" s="15">
        <f t="shared" si="19"/>
        <v>6256.6</v>
      </c>
      <c r="I599" s="15">
        <f t="shared" si="20"/>
        <v>0</v>
      </c>
      <c r="J599" s="19"/>
    </row>
    <row r="600" spans="1:10" x14ac:dyDescent="0.25">
      <c r="A600" s="82">
        <v>42771</v>
      </c>
      <c r="B600" s="83" t="s">
        <v>4813</v>
      </c>
      <c r="C600" s="85"/>
      <c r="D600" s="18">
        <v>99936</v>
      </c>
      <c r="E600" s="2" t="s">
        <v>83</v>
      </c>
      <c r="F600" s="15">
        <v>7566.2</v>
      </c>
      <c r="G600" s="41">
        <v>42772</v>
      </c>
      <c r="H600" s="15">
        <f t="shared" si="19"/>
        <v>7566.2</v>
      </c>
      <c r="I600" s="15">
        <f t="shared" si="20"/>
        <v>0</v>
      </c>
      <c r="J600" s="19"/>
    </row>
    <row r="601" spans="1:10" x14ac:dyDescent="0.25">
      <c r="A601" s="82">
        <v>42771</v>
      </c>
      <c r="B601" s="83" t="s">
        <v>4814</v>
      </c>
      <c r="C601" s="85"/>
      <c r="D601" s="18">
        <v>99937</v>
      </c>
      <c r="E601" s="2" t="s">
        <v>101</v>
      </c>
      <c r="F601" s="15">
        <v>735</v>
      </c>
      <c r="G601" s="41">
        <v>42772</v>
      </c>
      <c r="H601" s="15">
        <f t="shared" si="19"/>
        <v>735</v>
      </c>
      <c r="I601" s="15">
        <f t="shared" si="20"/>
        <v>0</v>
      </c>
      <c r="J601" s="19"/>
    </row>
    <row r="602" spans="1:10" x14ac:dyDescent="0.25">
      <c r="A602" s="82">
        <v>42771</v>
      </c>
      <c r="B602" s="83" t="s">
        <v>4815</v>
      </c>
      <c r="C602" s="85"/>
      <c r="D602" s="18">
        <v>99938</v>
      </c>
      <c r="E602" s="2" t="s">
        <v>99</v>
      </c>
      <c r="F602" s="15">
        <v>3949.4</v>
      </c>
      <c r="G602" s="41">
        <v>42772</v>
      </c>
      <c r="H602" s="15">
        <f t="shared" si="19"/>
        <v>3949.4</v>
      </c>
      <c r="I602" s="15">
        <f t="shared" si="20"/>
        <v>0</v>
      </c>
      <c r="J602" s="19"/>
    </row>
    <row r="603" spans="1:10" x14ac:dyDescent="0.25">
      <c r="A603" s="82">
        <v>42771</v>
      </c>
      <c r="B603" s="83" t="s">
        <v>4816</v>
      </c>
      <c r="C603" s="85"/>
      <c r="D603" s="18">
        <v>99939</v>
      </c>
      <c r="E603" s="2" t="s">
        <v>109</v>
      </c>
      <c r="F603" s="15">
        <v>4852.2</v>
      </c>
      <c r="G603" s="41">
        <v>42772</v>
      </c>
      <c r="H603" s="15">
        <f t="shared" si="19"/>
        <v>4852.2</v>
      </c>
      <c r="I603" s="15">
        <f t="shared" si="20"/>
        <v>0</v>
      </c>
      <c r="J603" s="19"/>
    </row>
    <row r="604" spans="1:10" x14ac:dyDescent="0.25">
      <c r="A604" s="82">
        <v>42771</v>
      </c>
      <c r="B604" s="83" t="s">
        <v>4817</v>
      </c>
      <c r="C604" s="85"/>
      <c r="D604" s="18">
        <v>99940</v>
      </c>
      <c r="E604" s="2" t="s">
        <v>291</v>
      </c>
      <c r="F604" s="15">
        <v>2792.4</v>
      </c>
      <c r="G604" s="41">
        <v>42772</v>
      </c>
      <c r="H604" s="15">
        <f t="shared" si="19"/>
        <v>2792.4</v>
      </c>
      <c r="I604" s="15">
        <f t="shared" si="20"/>
        <v>0</v>
      </c>
      <c r="J604" s="19"/>
    </row>
    <row r="605" spans="1:10" x14ac:dyDescent="0.25">
      <c r="A605" s="82">
        <v>42771</v>
      </c>
      <c r="B605" s="83" t="s">
        <v>4818</v>
      </c>
      <c r="C605" s="85"/>
      <c r="D605" s="18">
        <v>99941</v>
      </c>
      <c r="E605" s="2" t="s">
        <v>88</v>
      </c>
      <c r="F605" s="15">
        <v>1920</v>
      </c>
      <c r="G605" s="41">
        <v>42772</v>
      </c>
      <c r="H605" s="15">
        <f t="shared" si="19"/>
        <v>1920</v>
      </c>
      <c r="I605" s="15">
        <f t="shared" si="20"/>
        <v>0</v>
      </c>
      <c r="J605" s="19"/>
    </row>
    <row r="606" spans="1:10" x14ac:dyDescent="0.25">
      <c r="A606" s="82">
        <v>42771</v>
      </c>
      <c r="B606" s="83" t="s">
        <v>4819</v>
      </c>
      <c r="C606" s="85"/>
      <c r="D606" s="18">
        <v>99942</v>
      </c>
      <c r="E606" s="2" t="s">
        <v>159</v>
      </c>
      <c r="F606" s="15">
        <v>6317.4</v>
      </c>
      <c r="G606" s="41">
        <v>42772</v>
      </c>
      <c r="H606" s="15">
        <f t="shared" si="19"/>
        <v>6317.4</v>
      </c>
      <c r="I606" s="15">
        <f t="shared" si="20"/>
        <v>0</v>
      </c>
      <c r="J606" s="19"/>
    </row>
    <row r="607" spans="1:10" x14ac:dyDescent="0.25">
      <c r="A607" s="82">
        <v>42771</v>
      </c>
      <c r="B607" s="83" t="s">
        <v>4820</v>
      </c>
      <c r="C607" s="85"/>
      <c r="D607" s="18">
        <v>99943</v>
      </c>
      <c r="E607" s="2" t="s">
        <v>476</v>
      </c>
      <c r="F607" s="15">
        <v>4595.3999999999996</v>
      </c>
      <c r="G607" s="41">
        <v>42773</v>
      </c>
      <c r="H607" s="15">
        <f t="shared" si="19"/>
        <v>4595.3999999999996</v>
      </c>
      <c r="I607" s="15">
        <f t="shared" si="20"/>
        <v>0</v>
      </c>
      <c r="J607" s="19"/>
    </row>
    <row r="608" spans="1:10" x14ac:dyDescent="0.25">
      <c r="A608" s="82">
        <v>42771</v>
      </c>
      <c r="B608" s="83" t="s">
        <v>4821</v>
      </c>
      <c r="C608" s="85"/>
      <c r="D608" s="18">
        <v>99944</v>
      </c>
      <c r="E608" s="2" t="s">
        <v>305</v>
      </c>
      <c r="F608" s="15">
        <v>6994.1</v>
      </c>
      <c r="G608" s="41">
        <v>42772</v>
      </c>
      <c r="H608" s="15">
        <f t="shared" si="19"/>
        <v>6994.1</v>
      </c>
      <c r="I608" s="15">
        <f t="shared" si="20"/>
        <v>0</v>
      </c>
      <c r="J608" s="19"/>
    </row>
    <row r="609" spans="1:10" x14ac:dyDescent="0.25">
      <c r="A609" s="82">
        <v>42771</v>
      </c>
      <c r="B609" s="83" t="s">
        <v>4822</v>
      </c>
      <c r="C609" s="85"/>
      <c r="D609" s="18">
        <v>99945</v>
      </c>
      <c r="E609" s="2" t="s">
        <v>341</v>
      </c>
      <c r="F609" s="15">
        <v>14196</v>
      </c>
      <c r="G609" s="41">
        <v>42771</v>
      </c>
      <c r="H609" s="15">
        <f t="shared" si="19"/>
        <v>14196</v>
      </c>
      <c r="I609" s="15">
        <f t="shared" si="20"/>
        <v>0</v>
      </c>
      <c r="J609" s="19"/>
    </row>
    <row r="610" spans="1:10" x14ac:dyDescent="0.25">
      <c r="A610" s="82">
        <v>42771</v>
      </c>
      <c r="B610" s="83" t="s">
        <v>4823</v>
      </c>
      <c r="C610" s="85"/>
      <c r="D610" s="18">
        <v>99946</v>
      </c>
      <c r="E610" s="2" t="s">
        <v>205</v>
      </c>
      <c r="F610" s="15">
        <v>63028</v>
      </c>
      <c r="G610" s="41">
        <v>42802</v>
      </c>
      <c r="H610" s="15">
        <f t="shared" si="19"/>
        <v>63028</v>
      </c>
      <c r="I610" s="15">
        <f t="shared" si="20"/>
        <v>0</v>
      </c>
      <c r="J610" s="19"/>
    </row>
    <row r="611" spans="1:10" x14ac:dyDescent="0.25">
      <c r="A611" s="82">
        <v>42771</v>
      </c>
      <c r="B611" s="83" t="s">
        <v>4824</v>
      </c>
      <c r="C611" s="85"/>
      <c r="D611" s="18">
        <v>99947</v>
      </c>
      <c r="E611" s="2" t="s">
        <v>1325</v>
      </c>
      <c r="F611" s="15">
        <v>1722.6</v>
      </c>
      <c r="G611" s="41">
        <v>42771</v>
      </c>
      <c r="H611" s="15">
        <f t="shared" si="19"/>
        <v>1722.6</v>
      </c>
      <c r="I611" s="15">
        <f t="shared" si="20"/>
        <v>0</v>
      </c>
      <c r="J611" s="19"/>
    </row>
    <row r="612" spans="1:10" ht="30" x14ac:dyDescent="0.25">
      <c r="A612" s="82">
        <v>42771</v>
      </c>
      <c r="B612" s="83" t="s">
        <v>4825</v>
      </c>
      <c r="C612" s="85"/>
      <c r="D612" s="18">
        <v>99948</v>
      </c>
      <c r="E612" s="2" t="s">
        <v>319</v>
      </c>
      <c r="F612" s="15">
        <v>3910.2</v>
      </c>
      <c r="G612" s="86" t="s">
        <v>4826</v>
      </c>
      <c r="H612" s="23">
        <f>3000+910.2</f>
        <v>3910.2</v>
      </c>
      <c r="I612" s="23">
        <f t="shared" si="20"/>
        <v>0</v>
      </c>
      <c r="J612" s="19"/>
    </row>
    <row r="613" spans="1:10" x14ac:dyDescent="0.25">
      <c r="A613" s="82">
        <v>42771</v>
      </c>
      <c r="B613" s="83" t="s">
        <v>4827</v>
      </c>
      <c r="C613" s="85"/>
      <c r="D613" s="18">
        <v>99949</v>
      </c>
      <c r="E613" s="2" t="s">
        <v>57</v>
      </c>
      <c r="F613" s="15">
        <v>784</v>
      </c>
      <c r="G613" s="41">
        <v>42772</v>
      </c>
      <c r="H613" s="15">
        <f t="shared" si="19"/>
        <v>784</v>
      </c>
      <c r="I613" s="15">
        <f t="shared" si="20"/>
        <v>0</v>
      </c>
      <c r="J613" s="19"/>
    </row>
    <row r="614" spans="1:10" x14ac:dyDescent="0.25">
      <c r="A614" s="82">
        <v>42771</v>
      </c>
      <c r="B614" s="83" t="s">
        <v>4828</v>
      </c>
      <c r="C614" s="85"/>
      <c r="D614" s="18">
        <v>99950</v>
      </c>
      <c r="E614" s="2" t="s">
        <v>1299</v>
      </c>
      <c r="F614" s="15">
        <v>4765.8</v>
      </c>
      <c r="G614" s="41">
        <v>42771</v>
      </c>
      <c r="H614" s="15">
        <f t="shared" si="19"/>
        <v>4765.8</v>
      </c>
      <c r="I614" s="15">
        <f t="shared" si="20"/>
        <v>0</v>
      </c>
      <c r="J614" s="19"/>
    </row>
    <row r="615" spans="1:10" x14ac:dyDescent="0.25">
      <c r="A615" s="82">
        <v>42771</v>
      </c>
      <c r="B615" s="83" t="s">
        <v>4829</v>
      </c>
      <c r="C615" s="85"/>
      <c r="D615" s="18">
        <v>99951</v>
      </c>
      <c r="E615" s="2" t="s">
        <v>149</v>
      </c>
      <c r="F615" s="15">
        <v>2488.1999999999998</v>
      </c>
      <c r="G615" s="41">
        <v>42771</v>
      </c>
      <c r="H615" s="15">
        <f t="shared" si="19"/>
        <v>2488.1999999999998</v>
      </c>
      <c r="I615" s="15">
        <f t="shared" si="20"/>
        <v>0</v>
      </c>
      <c r="J615" s="19"/>
    </row>
    <row r="616" spans="1:10" x14ac:dyDescent="0.25">
      <c r="A616" s="82">
        <v>42771</v>
      </c>
      <c r="B616" s="83" t="s">
        <v>4830</v>
      </c>
      <c r="C616" s="85"/>
      <c r="D616" s="18">
        <v>99952</v>
      </c>
      <c r="E616" s="2" t="s">
        <v>125</v>
      </c>
      <c r="F616" s="15">
        <v>8939.2000000000007</v>
      </c>
      <c r="G616" s="41">
        <v>42771</v>
      </c>
      <c r="H616" s="15">
        <f t="shared" si="19"/>
        <v>8939.2000000000007</v>
      </c>
      <c r="I616" s="15">
        <f t="shared" si="20"/>
        <v>0</v>
      </c>
      <c r="J616" s="19"/>
    </row>
    <row r="617" spans="1:10" x14ac:dyDescent="0.25">
      <c r="A617" s="82">
        <v>42771</v>
      </c>
      <c r="B617" s="83" t="s">
        <v>4831</v>
      </c>
      <c r="C617" s="85"/>
      <c r="D617" s="18">
        <v>99953</v>
      </c>
      <c r="E617" s="2" t="s">
        <v>480</v>
      </c>
      <c r="F617" s="15">
        <v>1853.12</v>
      </c>
      <c r="G617" s="41">
        <v>42772</v>
      </c>
      <c r="H617" s="15">
        <f t="shared" si="19"/>
        <v>1853.12</v>
      </c>
      <c r="I617" s="15">
        <f t="shared" si="20"/>
        <v>0</v>
      </c>
      <c r="J617" s="19"/>
    </row>
    <row r="618" spans="1:10" x14ac:dyDescent="0.25">
      <c r="A618" s="82">
        <v>42771</v>
      </c>
      <c r="B618" s="83" t="s">
        <v>4832</v>
      </c>
      <c r="C618" s="85"/>
      <c r="D618" s="18">
        <v>99954</v>
      </c>
      <c r="E618" s="2" t="s">
        <v>53</v>
      </c>
      <c r="F618" s="15">
        <v>2679</v>
      </c>
      <c r="G618" s="41">
        <v>42772</v>
      </c>
      <c r="H618" s="15">
        <f t="shared" si="19"/>
        <v>2679</v>
      </c>
      <c r="I618" s="15">
        <f t="shared" si="20"/>
        <v>0</v>
      </c>
      <c r="J618" s="19"/>
    </row>
    <row r="619" spans="1:10" x14ac:dyDescent="0.25">
      <c r="A619" s="82">
        <v>42771</v>
      </c>
      <c r="B619" s="83" t="s">
        <v>4833</v>
      </c>
      <c r="C619" s="85"/>
      <c r="D619" s="18">
        <v>99955</v>
      </c>
      <c r="E619" s="2" t="s">
        <v>1380</v>
      </c>
      <c r="F619" s="15">
        <v>31989.599999999999</v>
      </c>
      <c r="G619" s="41">
        <v>42772</v>
      </c>
      <c r="H619" s="15">
        <f t="shared" si="19"/>
        <v>31989.599999999999</v>
      </c>
      <c r="I619" s="15">
        <f t="shared" si="20"/>
        <v>0</v>
      </c>
      <c r="J619" s="19"/>
    </row>
    <row r="620" spans="1:10" x14ac:dyDescent="0.25">
      <c r="A620" s="82">
        <v>42771</v>
      </c>
      <c r="B620" s="83" t="s">
        <v>4834</v>
      </c>
      <c r="C620" s="85"/>
      <c r="D620" s="18">
        <v>99956</v>
      </c>
      <c r="E620" s="13" t="s">
        <v>218</v>
      </c>
      <c r="F620" s="14">
        <v>0</v>
      </c>
      <c r="G620" s="88" t="s">
        <v>95</v>
      </c>
      <c r="H620" s="14">
        <f t="shared" si="19"/>
        <v>0</v>
      </c>
      <c r="I620" s="14">
        <f t="shared" si="20"/>
        <v>0</v>
      </c>
      <c r="J620" s="19"/>
    </row>
    <row r="621" spans="1:10" x14ac:dyDescent="0.25">
      <c r="A621" s="82">
        <v>42771</v>
      </c>
      <c r="B621" s="83" t="s">
        <v>4835</v>
      </c>
      <c r="C621" s="85"/>
      <c r="D621" s="18">
        <v>99957</v>
      </c>
      <c r="E621" s="2" t="s">
        <v>69</v>
      </c>
      <c r="F621" s="15">
        <v>853.5</v>
      </c>
      <c r="G621" s="41">
        <v>42771</v>
      </c>
      <c r="H621" s="15">
        <f t="shared" si="19"/>
        <v>853.5</v>
      </c>
      <c r="I621" s="15">
        <f t="shared" si="20"/>
        <v>0</v>
      </c>
      <c r="J621" s="19"/>
    </row>
    <row r="622" spans="1:10" x14ac:dyDescent="0.25">
      <c r="A622" s="82">
        <v>42771</v>
      </c>
      <c r="B622" s="83" t="s">
        <v>4836</v>
      </c>
      <c r="C622" s="85"/>
      <c r="D622" s="18">
        <v>99958</v>
      </c>
      <c r="E622" s="2" t="s">
        <v>211</v>
      </c>
      <c r="F622" s="15">
        <v>8768.6</v>
      </c>
      <c r="G622" s="41">
        <v>42771</v>
      </c>
      <c r="H622" s="15">
        <f t="shared" si="19"/>
        <v>8768.6</v>
      </c>
      <c r="I622" s="15">
        <f t="shared" si="20"/>
        <v>0</v>
      </c>
      <c r="J622" s="19"/>
    </row>
    <row r="623" spans="1:10" x14ac:dyDescent="0.25">
      <c r="A623" s="82">
        <v>42771</v>
      </c>
      <c r="B623" s="83" t="s">
        <v>4837</v>
      </c>
      <c r="C623" s="85"/>
      <c r="D623" s="18">
        <v>99959</v>
      </c>
      <c r="E623" s="2" t="s">
        <v>4838</v>
      </c>
      <c r="F623" s="15">
        <v>5063.5</v>
      </c>
      <c r="G623" s="41">
        <v>42771</v>
      </c>
      <c r="H623" s="15">
        <f t="shared" si="19"/>
        <v>5063.5</v>
      </c>
      <c r="I623" s="15">
        <f t="shared" si="20"/>
        <v>0</v>
      </c>
      <c r="J623" s="19"/>
    </row>
    <row r="624" spans="1:10" x14ac:dyDescent="0.25">
      <c r="A624" s="82">
        <v>42771</v>
      </c>
      <c r="B624" s="83" t="s">
        <v>4839</v>
      </c>
      <c r="C624" s="85"/>
      <c r="D624" s="18">
        <v>99960</v>
      </c>
      <c r="E624" s="2" t="s">
        <v>133</v>
      </c>
      <c r="F624" s="15">
        <v>1889.1</v>
      </c>
      <c r="G624" s="41">
        <v>42771</v>
      </c>
      <c r="H624" s="15">
        <f t="shared" si="19"/>
        <v>1889.1</v>
      </c>
      <c r="I624" s="15">
        <f t="shared" si="20"/>
        <v>0</v>
      </c>
      <c r="J624" s="19"/>
    </row>
    <row r="625" spans="1:10" x14ac:dyDescent="0.25">
      <c r="A625" s="82">
        <v>42771</v>
      </c>
      <c r="B625" s="83" t="s">
        <v>4840</v>
      </c>
      <c r="C625" s="85"/>
      <c r="D625" s="18">
        <v>99961</v>
      </c>
      <c r="E625" s="2" t="s">
        <v>2736</v>
      </c>
      <c r="F625" s="15">
        <v>1365</v>
      </c>
      <c r="G625" s="41">
        <v>42771</v>
      </c>
      <c r="H625" s="15">
        <f t="shared" si="19"/>
        <v>1365</v>
      </c>
      <c r="I625" s="15">
        <f t="shared" si="20"/>
        <v>0</v>
      </c>
      <c r="J625" s="19"/>
    </row>
    <row r="626" spans="1:10" x14ac:dyDescent="0.25">
      <c r="A626" s="82">
        <v>42771</v>
      </c>
      <c r="B626" s="83" t="s">
        <v>4841</v>
      </c>
      <c r="C626" s="85"/>
      <c r="D626" s="18">
        <v>99962</v>
      </c>
      <c r="E626" s="2" t="s">
        <v>321</v>
      </c>
      <c r="F626" s="15">
        <v>147.4</v>
      </c>
      <c r="G626" s="41">
        <v>42771</v>
      </c>
      <c r="H626" s="15">
        <f t="shared" si="19"/>
        <v>147.4</v>
      </c>
      <c r="I626" s="15">
        <f t="shared" si="20"/>
        <v>0</v>
      </c>
      <c r="J626" s="19"/>
    </row>
    <row r="627" spans="1:10" x14ac:dyDescent="0.25">
      <c r="A627" s="82">
        <v>42771</v>
      </c>
      <c r="B627" s="83" t="s">
        <v>4842</v>
      </c>
      <c r="C627" s="85"/>
      <c r="D627" s="18">
        <v>99963</v>
      </c>
      <c r="E627" s="2" t="s">
        <v>55</v>
      </c>
      <c r="F627" s="15">
        <v>3876.1</v>
      </c>
      <c r="G627" s="41">
        <v>42771</v>
      </c>
      <c r="H627" s="15">
        <f t="shared" si="19"/>
        <v>3876.1</v>
      </c>
      <c r="I627" s="15">
        <f t="shared" si="20"/>
        <v>0</v>
      </c>
      <c r="J627" s="19"/>
    </row>
    <row r="628" spans="1:10" x14ac:dyDescent="0.25">
      <c r="A628" s="82">
        <v>42771</v>
      </c>
      <c r="B628" s="83" t="s">
        <v>4843</v>
      </c>
      <c r="C628" s="85"/>
      <c r="D628" s="18">
        <v>99964</v>
      </c>
      <c r="E628" s="2" t="s">
        <v>30</v>
      </c>
      <c r="F628" s="15">
        <v>726.6</v>
      </c>
      <c r="G628" s="41">
        <v>42771</v>
      </c>
      <c r="H628" s="15">
        <f t="shared" si="19"/>
        <v>726.6</v>
      </c>
      <c r="I628" s="15">
        <f t="shared" si="20"/>
        <v>0</v>
      </c>
      <c r="J628" s="19"/>
    </row>
    <row r="629" spans="1:10" x14ac:dyDescent="0.25">
      <c r="A629" s="82">
        <v>42771</v>
      </c>
      <c r="B629" s="83" t="s">
        <v>4844</v>
      </c>
      <c r="C629" s="85"/>
      <c r="D629" s="18">
        <v>99965</v>
      </c>
      <c r="E629" s="2" t="s">
        <v>55</v>
      </c>
      <c r="F629" s="15">
        <v>8108</v>
      </c>
      <c r="G629" s="41">
        <v>42771</v>
      </c>
      <c r="H629" s="15">
        <f t="shared" si="19"/>
        <v>8108</v>
      </c>
      <c r="I629" s="15">
        <f t="shared" si="20"/>
        <v>0</v>
      </c>
      <c r="J629" s="19"/>
    </row>
    <row r="630" spans="1:10" x14ac:dyDescent="0.25">
      <c r="A630" s="82">
        <v>42771</v>
      </c>
      <c r="B630" s="83" t="s">
        <v>4845</v>
      </c>
      <c r="C630" s="85"/>
      <c r="D630" s="18">
        <v>99966</v>
      </c>
      <c r="E630" s="2" t="s">
        <v>531</v>
      </c>
      <c r="F630" s="15">
        <v>28734.84</v>
      </c>
      <c r="G630" s="41">
        <v>42772</v>
      </c>
      <c r="H630" s="15">
        <f t="shared" si="19"/>
        <v>28734.84</v>
      </c>
      <c r="I630" s="15">
        <f t="shared" si="20"/>
        <v>0</v>
      </c>
      <c r="J630" s="19"/>
    </row>
    <row r="631" spans="1:10" x14ac:dyDescent="0.25">
      <c r="A631" s="82">
        <v>42771</v>
      </c>
      <c r="B631" s="83" t="s">
        <v>4846</v>
      </c>
      <c r="C631" s="85"/>
      <c r="D631" s="18">
        <v>99967</v>
      </c>
      <c r="E631" s="2" t="s">
        <v>10</v>
      </c>
      <c r="F631" s="15">
        <v>158878.44</v>
      </c>
      <c r="G631" s="41">
        <v>42776</v>
      </c>
      <c r="H631" s="15">
        <f t="shared" si="19"/>
        <v>158878.44</v>
      </c>
      <c r="I631" s="15">
        <f t="shared" si="20"/>
        <v>0</v>
      </c>
      <c r="J631" s="19"/>
    </row>
    <row r="632" spans="1:10" x14ac:dyDescent="0.25">
      <c r="A632" s="82">
        <v>42771</v>
      </c>
      <c r="B632" s="83" t="s">
        <v>4847</v>
      </c>
      <c r="C632" s="85"/>
      <c r="D632" s="18">
        <v>99968</v>
      </c>
      <c r="E632" s="2" t="s">
        <v>2736</v>
      </c>
      <c r="F632" s="15">
        <v>1070</v>
      </c>
      <c r="G632" s="41">
        <v>42772</v>
      </c>
      <c r="H632" s="15">
        <f t="shared" si="19"/>
        <v>1070</v>
      </c>
      <c r="I632" s="15">
        <f t="shared" si="20"/>
        <v>0</v>
      </c>
      <c r="J632" s="19"/>
    </row>
    <row r="633" spans="1:10" x14ac:dyDescent="0.25">
      <c r="A633" s="82">
        <v>42772</v>
      </c>
      <c r="B633" s="83" t="s">
        <v>4848</v>
      </c>
      <c r="C633" s="85"/>
      <c r="D633" s="18">
        <v>99969</v>
      </c>
      <c r="E633" s="2" t="s">
        <v>231</v>
      </c>
      <c r="F633" s="15">
        <v>10266.299999999999</v>
      </c>
      <c r="G633" s="41">
        <v>42773</v>
      </c>
      <c r="H633" s="15">
        <f t="shared" si="19"/>
        <v>10266.299999999999</v>
      </c>
      <c r="I633" s="15">
        <f t="shared" si="20"/>
        <v>0</v>
      </c>
      <c r="J633" s="19"/>
    </row>
    <row r="634" spans="1:10" x14ac:dyDescent="0.25">
      <c r="A634" s="82">
        <v>42772</v>
      </c>
      <c r="B634" s="83" t="s">
        <v>4849</v>
      </c>
      <c r="C634" s="85"/>
      <c r="D634" s="18">
        <v>99970</v>
      </c>
      <c r="E634" s="2" t="s">
        <v>231</v>
      </c>
      <c r="F634" s="15">
        <v>36451.9</v>
      </c>
      <c r="G634" s="41">
        <v>42772</v>
      </c>
      <c r="H634" s="15">
        <f t="shared" si="19"/>
        <v>36451.9</v>
      </c>
      <c r="I634" s="15">
        <f t="shared" si="20"/>
        <v>0</v>
      </c>
      <c r="J634" s="19"/>
    </row>
    <row r="635" spans="1:10" x14ac:dyDescent="0.25">
      <c r="A635" s="82">
        <v>42772</v>
      </c>
      <c r="B635" s="83" t="s">
        <v>4850</v>
      </c>
      <c r="C635" s="85"/>
      <c r="D635" s="18">
        <v>99971</v>
      </c>
      <c r="E635" s="2" t="s">
        <v>17</v>
      </c>
      <c r="F635" s="15">
        <v>2940</v>
      </c>
      <c r="G635" s="41">
        <v>42772</v>
      </c>
      <c r="H635" s="15">
        <f t="shared" si="19"/>
        <v>2940</v>
      </c>
      <c r="I635" s="15">
        <f t="shared" si="20"/>
        <v>0</v>
      </c>
      <c r="J635" s="19"/>
    </row>
    <row r="636" spans="1:10" x14ac:dyDescent="0.25">
      <c r="A636" s="82">
        <v>42772</v>
      </c>
      <c r="B636" s="83" t="s">
        <v>4851</v>
      </c>
      <c r="C636" s="85"/>
      <c r="D636" s="18">
        <v>99972</v>
      </c>
      <c r="E636" s="2" t="s">
        <v>428</v>
      </c>
      <c r="F636" s="15">
        <v>1445</v>
      </c>
      <c r="G636" s="41">
        <v>42774</v>
      </c>
      <c r="H636" s="15">
        <f t="shared" si="19"/>
        <v>1445</v>
      </c>
      <c r="I636" s="15">
        <f t="shared" si="20"/>
        <v>0</v>
      </c>
      <c r="J636" s="19"/>
    </row>
    <row r="637" spans="1:10" x14ac:dyDescent="0.25">
      <c r="A637" s="82">
        <v>42772</v>
      </c>
      <c r="B637" s="83" t="s">
        <v>4852</v>
      </c>
      <c r="C637" s="85"/>
      <c r="D637" s="18">
        <v>99973</v>
      </c>
      <c r="E637" s="2" t="s">
        <v>21</v>
      </c>
      <c r="F637" s="15">
        <v>42723</v>
      </c>
      <c r="G637" s="41">
        <v>42786</v>
      </c>
      <c r="H637" s="15">
        <f t="shared" si="19"/>
        <v>42723</v>
      </c>
      <c r="I637" s="15">
        <f t="shared" si="20"/>
        <v>0</v>
      </c>
      <c r="J637" s="19"/>
    </row>
    <row r="638" spans="1:10" x14ac:dyDescent="0.25">
      <c r="A638" s="82">
        <v>42772</v>
      </c>
      <c r="B638" s="83" t="s">
        <v>4853</v>
      </c>
      <c r="C638" s="85"/>
      <c r="D638" s="18">
        <v>99974</v>
      </c>
      <c r="E638" s="2" t="s">
        <v>145</v>
      </c>
      <c r="F638" s="15">
        <v>14124.2</v>
      </c>
      <c r="G638" s="41">
        <v>42773</v>
      </c>
      <c r="H638" s="15">
        <f t="shared" si="19"/>
        <v>14124.2</v>
      </c>
      <c r="I638" s="15">
        <f t="shared" si="20"/>
        <v>0</v>
      </c>
      <c r="J638" s="19"/>
    </row>
    <row r="639" spans="1:10" x14ac:dyDescent="0.25">
      <c r="A639" s="82">
        <v>42772</v>
      </c>
      <c r="B639" s="83" t="s">
        <v>4854</v>
      </c>
      <c r="C639" s="85"/>
      <c r="D639" s="18">
        <v>99975</v>
      </c>
      <c r="E639" s="2" t="s">
        <v>47</v>
      </c>
      <c r="F639" s="15">
        <v>4327.7</v>
      </c>
      <c r="H639" s="15">
        <f t="shared" si="19"/>
        <v>4327.7</v>
      </c>
      <c r="I639" s="15">
        <f t="shared" si="20"/>
        <v>0</v>
      </c>
      <c r="J639" s="19"/>
    </row>
    <row r="640" spans="1:10" x14ac:dyDescent="0.25">
      <c r="A640" s="82">
        <v>42772</v>
      </c>
      <c r="B640" s="83" t="s">
        <v>4855</v>
      </c>
      <c r="C640" s="85"/>
      <c r="D640" s="18">
        <v>99976</v>
      </c>
      <c r="E640" s="2" t="s">
        <v>165</v>
      </c>
      <c r="F640" s="15">
        <v>7577.1</v>
      </c>
      <c r="G640" s="41">
        <v>42804</v>
      </c>
      <c r="H640" s="15">
        <f t="shared" si="19"/>
        <v>7577.1</v>
      </c>
      <c r="I640" s="15">
        <f t="shared" si="20"/>
        <v>0</v>
      </c>
      <c r="J640" s="19"/>
    </row>
    <row r="641" spans="1:10" x14ac:dyDescent="0.25">
      <c r="A641" s="82">
        <v>42772</v>
      </c>
      <c r="B641" s="83" t="s">
        <v>4856</v>
      </c>
      <c r="C641" s="85"/>
      <c r="D641" s="18">
        <v>99977</v>
      </c>
      <c r="E641" s="2" t="s">
        <v>186</v>
      </c>
      <c r="F641" s="15">
        <v>3728.1</v>
      </c>
      <c r="G641" s="41">
        <v>42775</v>
      </c>
      <c r="H641" s="15">
        <f t="shared" si="19"/>
        <v>3728.1</v>
      </c>
      <c r="I641" s="15">
        <f t="shared" si="20"/>
        <v>0</v>
      </c>
      <c r="J641" s="19"/>
    </row>
    <row r="642" spans="1:10" x14ac:dyDescent="0.25">
      <c r="A642" s="82">
        <v>42772</v>
      </c>
      <c r="B642" s="83" t="s">
        <v>4857</v>
      </c>
      <c r="C642" s="85"/>
      <c r="D642" s="18">
        <v>99978</v>
      </c>
      <c r="E642" s="2" t="s">
        <v>218</v>
      </c>
      <c r="F642" s="15">
        <v>71241.3</v>
      </c>
      <c r="H642" s="15">
        <f t="shared" si="19"/>
        <v>71241.3</v>
      </c>
      <c r="I642" s="15">
        <f t="shared" si="20"/>
        <v>0</v>
      </c>
      <c r="J642" s="19"/>
    </row>
    <row r="643" spans="1:10" x14ac:dyDescent="0.25">
      <c r="A643" s="82">
        <v>42772</v>
      </c>
      <c r="B643" s="83" t="s">
        <v>4858</v>
      </c>
      <c r="C643" s="85"/>
      <c r="D643" s="18">
        <v>99979</v>
      </c>
      <c r="E643" s="2" t="s">
        <v>184</v>
      </c>
      <c r="F643" s="15">
        <v>4398.6000000000004</v>
      </c>
      <c r="G643" s="41">
        <v>42779</v>
      </c>
      <c r="H643" s="15">
        <f t="shared" si="19"/>
        <v>4398.6000000000004</v>
      </c>
      <c r="I643" s="15">
        <f t="shared" si="20"/>
        <v>0</v>
      </c>
      <c r="J643" s="19"/>
    </row>
    <row r="644" spans="1:10" x14ac:dyDescent="0.25">
      <c r="A644" s="82">
        <v>42772</v>
      </c>
      <c r="B644" s="83" t="s">
        <v>4859</v>
      </c>
      <c r="C644" s="85"/>
      <c r="D644" s="18">
        <v>99980</v>
      </c>
      <c r="E644" s="13" t="s">
        <v>71</v>
      </c>
      <c r="F644" s="14">
        <v>0</v>
      </c>
      <c r="G644" s="88" t="s">
        <v>95</v>
      </c>
      <c r="H644" s="14">
        <f t="shared" ref="H644:H707" si="21">F644</f>
        <v>0</v>
      </c>
      <c r="I644" s="14">
        <f t="shared" si="20"/>
        <v>0</v>
      </c>
      <c r="J644" s="19"/>
    </row>
    <row r="645" spans="1:10" x14ac:dyDescent="0.25">
      <c r="A645" s="82">
        <v>42772</v>
      </c>
      <c r="B645" s="83" t="s">
        <v>4860</v>
      </c>
      <c r="C645" s="85"/>
      <c r="D645" s="18">
        <v>99981</v>
      </c>
      <c r="E645" s="2" t="s">
        <v>14</v>
      </c>
      <c r="F645" s="15">
        <v>9679.7999999999993</v>
      </c>
      <c r="G645" s="41">
        <v>42772</v>
      </c>
      <c r="H645" s="15">
        <f t="shared" si="21"/>
        <v>9679.7999999999993</v>
      </c>
      <c r="I645" s="15">
        <f t="shared" si="20"/>
        <v>0</v>
      </c>
      <c r="J645" s="19"/>
    </row>
    <row r="646" spans="1:10" x14ac:dyDescent="0.25">
      <c r="A646" s="82">
        <v>42772</v>
      </c>
      <c r="B646" s="83" t="s">
        <v>4861</v>
      </c>
      <c r="C646" s="85"/>
      <c r="D646" s="18">
        <v>99982</v>
      </c>
      <c r="E646" s="2" t="s">
        <v>358</v>
      </c>
      <c r="F646" s="15">
        <v>36060.720000000001</v>
      </c>
      <c r="G646" s="41">
        <v>42772</v>
      </c>
      <c r="H646" s="15">
        <f t="shared" si="21"/>
        <v>36060.720000000001</v>
      </c>
      <c r="I646" s="15">
        <f t="shared" ref="I646:I709" si="22">F646-H646</f>
        <v>0</v>
      </c>
      <c r="J646" s="19"/>
    </row>
    <row r="647" spans="1:10" x14ac:dyDescent="0.25">
      <c r="A647" s="82">
        <v>42772</v>
      </c>
      <c r="B647" s="83" t="s">
        <v>4862</v>
      </c>
      <c r="C647" s="85"/>
      <c r="D647" s="18">
        <v>99983</v>
      </c>
      <c r="E647" s="2" t="s">
        <v>161</v>
      </c>
      <c r="F647" s="15">
        <v>54950.6</v>
      </c>
      <c r="G647" s="41">
        <v>42788</v>
      </c>
      <c r="H647" s="15">
        <f t="shared" si="21"/>
        <v>54950.6</v>
      </c>
      <c r="I647" s="15">
        <f t="shared" si="22"/>
        <v>0</v>
      </c>
      <c r="J647" s="19"/>
    </row>
    <row r="648" spans="1:10" x14ac:dyDescent="0.25">
      <c r="A648" s="82">
        <v>42772</v>
      </c>
      <c r="B648" s="83" t="s">
        <v>4863</v>
      </c>
      <c r="C648" s="85"/>
      <c r="D648" s="18">
        <v>99984</v>
      </c>
      <c r="E648" s="2" t="s">
        <v>71</v>
      </c>
      <c r="F648" s="15">
        <v>1960</v>
      </c>
      <c r="G648" s="41">
        <v>42772</v>
      </c>
      <c r="H648" s="15">
        <f t="shared" si="21"/>
        <v>1960</v>
      </c>
      <c r="I648" s="15">
        <f t="shared" si="22"/>
        <v>0</v>
      </c>
      <c r="J648" s="19"/>
    </row>
    <row r="649" spans="1:10" x14ac:dyDescent="0.25">
      <c r="A649" s="82">
        <v>42772</v>
      </c>
      <c r="B649" s="83" t="s">
        <v>4864</v>
      </c>
      <c r="C649" s="85"/>
      <c r="D649" s="18">
        <v>99985</v>
      </c>
      <c r="E649" s="2" t="s">
        <v>236</v>
      </c>
      <c r="F649" s="15">
        <v>33633.050000000003</v>
      </c>
      <c r="G649" s="41">
        <v>42780</v>
      </c>
      <c r="H649" s="15">
        <f t="shared" si="21"/>
        <v>33633.050000000003</v>
      </c>
      <c r="I649" s="15">
        <f t="shared" si="22"/>
        <v>0</v>
      </c>
      <c r="J649" s="19"/>
    </row>
    <row r="650" spans="1:10" x14ac:dyDescent="0.25">
      <c r="A650" s="82">
        <v>42772</v>
      </c>
      <c r="B650" s="83" t="s">
        <v>4865</v>
      </c>
      <c r="C650" s="85"/>
      <c r="D650" s="18">
        <v>99986</v>
      </c>
      <c r="E650" s="2" t="s">
        <v>59</v>
      </c>
      <c r="F650" s="15">
        <v>3115</v>
      </c>
      <c r="G650" s="41">
        <v>42800</v>
      </c>
      <c r="H650" s="15">
        <f t="shared" si="21"/>
        <v>3115</v>
      </c>
      <c r="I650" s="15">
        <f t="shared" si="22"/>
        <v>0</v>
      </c>
      <c r="J650" s="19"/>
    </row>
    <row r="651" spans="1:10" x14ac:dyDescent="0.25">
      <c r="A651" s="82">
        <v>42772</v>
      </c>
      <c r="B651" s="83" t="s">
        <v>4866</v>
      </c>
      <c r="C651" s="85"/>
      <c r="D651" s="18">
        <v>99987</v>
      </c>
      <c r="E651" s="2" t="s">
        <v>26</v>
      </c>
      <c r="F651" s="15">
        <v>19482.400000000001</v>
      </c>
      <c r="G651" s="41">
        <v>42772</v>
      </c>
      <c r="H651" s="15">
        <f t="shared" si="21"/>
        <v>19482.400000000001</v>
      </c>
      <c r="I651" s="15">
        <f t="shared" si="22"/>
        <v>0</v>
      </c>
      <c r="J651" s="19"/>
    </row>
    <row r="652" spans="1:10" x14ac:dyDescent="0.25">
      <c r="A652" s="82">
        <v>42772</v>
      </c>
      <c r="B652" s="83" t="s">
        <v>4867</v>
      </c>
      <c r="C652" s="85"/>
      <c r="D652" s="18">
        <v>99988</v>
      </c>
      <c r="E652" s="2" t="s">
        <v>974</v>
      </c>
      <c r="F652" s="15">
        <v>10493.2</v>
      </c>
      <c r="G652" s="41">
        <v>42772</v>
      </c>
      <c r="H652" s="15">
        <f t="shared" si="21"/>
        <v>10493.2</v>
      </c>
      <c r="I652" s="15">
        <f t="shared" si="22"/>
        <v>0</v>
      </c>
      <c r="J652" s="19"/>
    </row>
    <row r="653" spans="1:10" x14ac:dyDescent="0.25">
      <c r="A653" s="82">
        <v>42772</v>
      </c>
      <c r="B653" s="83" t="s">
        <v>4868</v>
      </c>
      <c r="C653" s="85"/>
      <c r="D653" s="18">
        <v>99989</v>
      </c>
      <c r="E653" s="2" t="s">
        <v>128</v>
      </c>
      <c r="F653" s="15">
        <v>33746.76</v>
      </c>
      <c r="G653" s="41">
        <v>42774</v>
      </c>
      <c r="H653" s="15">
        <f t="shared" si="21"/>
        <v>33746.76</v>
      </c>
      <c r="I653" s="15">
        <f t="shared" si="22"/>
        <v>0</v>
      </c>
      <c r="J653" s="19"/>
    </row>
    <row r="654" spans="1:10" x14ac:dyDescent="0.25">
      <c r="A654" s="82">
        <v>42772</v>
      </c>
      <c r="B654" s="83" t="s">
        <v>4869</v>
      </c>
      <c r="C654" s="85"/>
      <c r="D654" s="18">
        <v>99990</v>
      </c>
      <c r="E654" s="2" t="s">
        <v>4870</v>
      </c>
      <c r="F654" s="15">
        <v>702.8</v>
      </c>
      <c r="G654" s="41">
        <v>42772</v>
      </c>
      <c r="H654" s="15">
        <f t="shared" si="21"/>
        <v>702.8</v>
      </c>
      <c r="I654" s="15">
        <f t="shared" si="22"/>
        <v>0</v>
      </c>
      <c r="J654" s="19"/>
    </row>
    <row r="655" spans="1:10" x14ac:dyDescent="0.25">
      <c r="A655" s="82">
        <v>42772</v>
      </c>
      <c r="B655" s="83" t="s">
        <v>4871</v>
      </c>
      <c r="C655" s="85"/>
      <c r="D655" s="18">
        <v>99991</v>
      </c>
      <c r="E655" s="2" t="s">
        <v>49</v>
      </c>
      <c r="F655" s="15">
        <v>7074.6</v>
      </c>
      <c r="G655" s="41">
        <v>42773</v>
      </c>
      <c r="H655" s="15">
        <f t="shared" si="21"/>
        <v>7074.6</v>
      </c>
      <c r="I655" s="15">
        <f t="shared" si="22"/>
        <v>0</v>
      </c>
      <c r="J655" s="19"/>
    </row>
    <row r="656" spans="1:10" x14ac:dyDescent="0.25">
      <c r="A656" s="82">
        <v>42772</v>
      </c>
      <c r="B656" s="83" t="s">
        <v>4872</v>
      </c>
      <c r="C656" s="85"/>
      <c r="D656" s="18">
        <v>99992</v>
      </c>
      <c r="E656" s="2" t="s">
        <v>51</v>
      </c>
      <c r="F656" s="15">
        <v>4134</v>
      </c>
      <c r="G656" s="41">
        <v>42775</v>
      </c>
      <c r="H656" s="15">
        <f t="shared" si="21"/>
        <v>4134</v>
      </c>
      <c r="I656" s="15">
        <f t="shared" si="22"/>
        <v>0</v>
      </c>
      <c r="J656" s="19"/>
    </row>
    <row r="657" spans="1:10" x14ac:dyDescent="0.25">
      <c r="A657" s="82">
        <v>42772</v>
      </c>
      <c r="B657" s="83" t="s">
        <v>4873</v>
      </c>
      <c r="C657" s="85"/>
      <c r="D657" s="18">
        <v>99993</v>
      </c>
      <c r="E657" s="2" t="s">
        <v>386</v>
      </c>
      <c r="F657" s="15">
        <v>2318</v>
      </c>
      <c r="G657" s="41">
        <v>42772</v>
      </c>
      <c r="H657" s="15">
        <f t="shared" si="21"/>
        <v>2318</v>
      </c>
      <c r="I657" s="15">
        <f t="shared" si="22"/>
        <v>0</v>
      </c>
      <c r="J657" s="19"/>
    </row>
    <row r="658" spans="1:10" x14ac:dyDescent="0.25">
      <c r="A658" s="82">
        <v>42772</v>
      </c>
      <c r="B658" s="83" t="s">
        <v>4874</v>
      </c>
      <c r="C658" s="85"/>
      <c r="D658" s="18">
        <v>99994</v>
      </c>
      <c r="E658" s="2" t="s">
        <v>32</v>
      </c>
      <c r="F658" s="15">
        <v>10277.9</v>
      </c>
      <c r="G658" s="41">
        <v>42786</v>
      </c>
      <c r="H658" s="15">
        <f t="shared" si="21"/>
        <v>10277.9</v>
      </c>
      <c r="I658" s="15">
        <f t="shared" si="22"/>
        <v>0</v>
      </c>
      <c r="J658" s="19"/>
    </row>
    <row r="659" spans="1:10" ht="30" x14ac:dyDescent="0.25">
      <c r="A659" s="82">
        <v>42772</v>
      </c>
      <c r="B659" s="83" t="s">
        <v>4875</v>
      </c>
      <c r="C659" s="85"/>
      <c r="D659" s="18">
        <v>99995</v>
      </c>
      <c r="E659" s="2" t="s">
        <v>38</v>
      </c>
      <c r="F659" s="15">
        <v>3057.3</v>
      </c>
      <c r="G659" s="86" t="s">
        <v>4876</v>
      </c>
      <c r="H659" s="23">
        <f>1000+2057.3</f>
        <v>3057.3</v>
      </c>
      <c r="I659" s="23">
        <f t="shared" si="22"/>
        <v>0</v>
      </c>
      <c r="J659" s="19"/>
    </row>
    <row r="660" spans="1:10" x14ac:dyDescent="0.25">
      <c r="A660" s="82">
        <v>42772</v>
      </c>
      <c r="B660" s="83" t="s">
        <v>4877</v>
      </c>
      <c r="C660" s="85"/>
      <c r="D660" s="18">
        <v>99996</v>
      </c>
      <c r="E660" s="2" t="s">
        <v>35</v>
      </c>
      <c r="F660" s="15">
        <v>10309.5</v>
      </c>
      <c r="G660" s="41">
        <v>42774</v>
      </c>
      <c r="H660" s="15">
        <f t="shared" si="21"/>
        <v>10309.5</v>
      </c>
      <c r="I660" s="15">
        <f t="shared" si="22"/>
        <v>0</v>
      </c>
      <c r="J660" s="19"/>
    </row>
    <row r="661" spans="1:10" x14ac:dyDescent="0.25">
      <c r="A661" s="82">
        <v>42772</v>
      </c>
      <c r="B661" s="83" t="s">
        <v>4878</v>
      </c>
      <c r="C661" s="85"/>
      <c r="D661" s="18">
        <v>99997</v>
      </c>
      <c r="E661" s="2" t="s">
        <v>250</v>
      </c>
      <c r="F661" s="15">
        <v>6397.4</v>
      </c>
      <c r="G661" s="41">
        <v>42773</v>
      </c>
      <c r="H661" s="15">
        <f t="shared" si="21"/>
        <v>6397.4</v>
      </c>
      <c r="I661" s="15">
        <f t="shared" si="22"/>
        <v>0</v>
      </c>
      <c r="J661" s="19"/>
    </row>
    <row r="662" spans="1:10" x14ac:dyDescent="0.25">
      <c r="A662" s="82">
        <v>42772</v>
      </c>
      <c r="B662" s="83" t="s">
        <v>4879</v>
      </c>
      <c r="C662" s="85"/>
      <c r="D662" s="18">
        <v>99998</v>
      </c>
      <c r="E662" s="2" t="s">
        <v>143</v>
      </c>
      <c r="F662" s="15">
        <v>10953.5</v>
      </c>
      <c r="G662" s="41">
        <v>42772</v>
      </c>
      <c r="H662" s="15">
        <f t="shared" si="21"/>
        <v>10953.5</v>
      </c>
      <c r="I662" s="15">
        <f t="shared" si="22"/>
        <v>0</v>
      </c>
      <c r="J662" s="19"/>
    </row>
    <row r="663" spans="1:10" x14ac:dyDescent="0.25">
      <c r="A663" s="82">
        <v>42772</v>
      </c>
      <c r="B663" s="83" t="s">
        <v>4880</v>
      </c>
      <c r="C663" s="85"/>
      <c r="D663" s="18">
        <v>99999</v>
      </c>
      <c r="E663" s="2" t="s">
        <v>43</v>
      </c>
      <c r="F663" s="15">
        <v>10447.4</v>
      </c>
      <c r="G663" s="41">
        <v>42774</v>
      </c>
      <c r="H663" s="15">
        <f t="shared" si="21"/>
        <v>10447.4</v>
      </c>
      <c r="I663" s="15">
        <f t="shared" si="22"/>
        <v>0</v>
      </c>
      <c r="J663" s="19"/>
    </row>
    <row r="664" spans="1:10" x14ac:dyDescent="0.25">
      <c r="A664" s="82">
        <v>42772</v>
      </c>
      <c r="B664" s="83" t="s">
        <v>4881</v>
      </c>
      <c r="C664" s="85"/>
      <c r="D664" s="18">
        <v>100000</v>
      </c>
      <c r="E664" s="2" t="s">
        <v>1380</v>
      </c>
      <c r="F664" s="15">
        <v>2050.2800000000002</v>
      </c>
      <c r="G664" s="41">
        <v>42773</v>
      </c>
      <c r="H664" s="15">
        <f t="shared" si="21"/>
        <v>2050.2800000000002</v>
      </c>
      <c r="I664" s="15">
        <f t="shared" si="22"/>
        <v>0</v>
      </c>
      <c r="J664" s="19"/>
    </row>
    <row r="665" spans="1:10" x14ac:dyDescent="0.25">
      <c r="A665" s="82">
        <v>42772</v>
      </c>
      <c r="B665" s="39" t="s">
        <v>4882</v>
      </c>
      <c r="C665" s="89"/>
      <c r="D665" s="18">
        <v>100001</v>
      </c>
      <c r="E665" s="2" t="s">
        <v>118</v>
      </c>
      <c r="F665" s="15">
        <v>33926.400000000001</v>
      </c>
      <c r="G665" s="41">
        <v>42772</v>
      </c>
      <c r="H665" s="15">
        <f t="shared" si="21"/>
        <v>33926.400000000001</v>
      </c>
      <c r="I665" s="15">
        <f t="shared" si="22"/>
        <v>0</v>
      </c>
      <c r="J665" s="19"/>
    </row>
    <row r="666" spans="1:10" x14ac:dyDescent="0.25">
      <c r="A666" s="82">
        <v>42772</v>
      </c>
      <c r="B666" s="39" t="s">
        <v>4883</v>
      </c>
      <c r="C666" s="89"/>
      <c r="D666" s="18">
        <v>100002</v>
      </c>
      <c r="E666" s="2" t="s">
        <v>1081</v>
      </c>
      <c r="F666" s="15">
        <v>2560.56</v>
      </c>
      <c r="G666" s="41">
        <v>42773</v>
      </c>
      <c r="H666" s="15">
        <f t="shared" si="21"/>
        <v>2560.56</v>
      </c>
      <c r="I666" s="15">
        <f t="shared" si="22"/>
        <v>0</v>
      </c>
      <c r="J666" s="19"/>
    </row>
    <row r="667" spans="1:10" x14ac:dyDescent="0.25">
      <c r="A667" s="82">
        <v>42772</v>
      </c>
      <c r="B667" s="39" t="s">
        <v>4884</v>
      </c>
      <c r="C667" s="89"/>
      <c r="D667" s="18">
        <v>100003</v>
      </c>
      <c r="E667" s="2" t="s">
        <v>613</v>
      </c>
      <c r="F667" s="15">
        <v>2677.5</v>
      </c>
      <c r="G667" s="41">
        <v>42773</v>
      </c>
      <c r="H667" s="15">
        <f t="shared" si="21"/>
        <v>2677.5</v>
      </c>
      <c r="I667" s="15">
        <f t="shared" si="22"/>
        <v>0</v>
      </c>
      <c r="J667" s="19"/>
    </row>
    <row r="668" spans="1:10" x14ac:dyDescent="0.25">
      <c r="A668" s="82">
        <v>42772</v>
      </c>
      <c r="B668" s="39" t="s">
        <v>4885</v>
      </c>
      <c r="C668" s="89"/>
      <c r="D668" s="18">
        <v>100004</v>
      </c>
      <c r="E668" s="2" t="s">
        <v>613</v>
      </c>
      <c r="F668" s="15">
        <v>1067.8</v>
      </c>
      <c r="G668" s="41">
        <v>42773</v>
      </c>
      <c r="H668" s="15">
        <f t="shared" si="21"/>
        <v>1067.8</v>
      </c>
      <c r="I668" s="15">
        <f t="shared" si="22"/>
        <v>0</v>
      </c>
      <c r="J668" s="19"/>
    </row>
    <row r="669" spans="1:10" x14ac:dyDescent="0.25">
      <c r="A669" s="82">
        <v>42772</v>
      </c>
      <c r="B669" s="39" t="s">
        <v>4886</v>
      </c>
      <c r="C669" s="89"/>
      <c r="D669" s="18">
        <v>100005</v>
      </c>
      <c r="E669" s="2" t="s">
        <v>448</v>
      </c>
      <c r="F669" s="15">
        <v>335.4</v>
      </c>
      <c r="G669" s="41">
        <v>42773</v>
      </c>
      <c r="H669" s="15">
        <f t="shared" si="21"/>
        <v>335.4</v>
      </c>
      <c r="I669" s="15">
        <f t="shared" si="22"/>
        <v>0</v>
      </c>
      <c r="J669" s="19"/>
    </row>
    <row r="670" spans="1:10" x14ac:dyDescent="0.25">
      <c r="A670" s="82">
        <v>42772</v>
      </c>
      <c r="B670" s="39" t="s">
        <v>4887</v>
      </c>
      <c r="C670" s="89"/>
      <c r="D670" s="18">
        <v>100006</v>
      </c>
      <c r="E670" s="2" t="s">
        <v>281</v>
      </c>
      <c r="F670" s="15">
        <v>1225</v>
      </c>
      <c r="G670" s="41">
        <v>42773</v>
      </c>
      <c r="H670" s="15">
        <f t="shared" si="21"/>
        <v>1225</v>
      </c>
      <c r="I670" s="15">
        <f t="shared" si="22"/>
        <v>0</v>
      </c>
      <c r="J670" s="19"/>
    </row>
    <row r="671" spans="1:10" x14ac:dyDescent="0.25">
      <c r="A671" s="82">
        <v>42772</v>
      </c>
      <c r="B671" s="39" t="s">
        <v>4888</v>
      </c>
      <c r="C671" s="89"/>
      <c r="D671" s="18">
        <v>100007</v>
      </c>
      <c r="E671" s="2" t="s">
        <v>101</v>
      </c>
      <c r="F671" s="15">
        <v>980</v>
      </c>
      <c r="G671" s="41">
        <v>42773</v>
      </c>
      <c r="H671" s="15">
        <f t="shared" si="21"/>
        <v>980</v>
      </c>
      <c r="I671" s="15">
        <f t="shared" si="22"/>
        <v>0</v>
      </c>
      <c r="J671" s="19"/>
    </row>
    <row r="672" spans="1:10" x14ac:dyDescent="0.25">
      <c r="A672" s="82">
        <v>42772</v>
      </c>
      <c r="B672" s="39" t="s">
        <v>4889</v>
      </c>
      <c r="C672" s="89"/>
      <c r="D672" s="18">
        <v>100008</v>
      </c>
      <c r="E672" s="2" t="s">
        <v>99</v>
      </c>
      <c r="F672" s="15">
        <v>1715</v>
      </c>
      <c r="G672" s="41">
        <v>42773</v>
      </c>
      <c r="H672" s="15">
        <f t="shared" si="21"/>
        <v>1715</v>
      </c>
      <c r="I672" s="15">
        <f t="shared" si="22"/>
        <v>0</v>
      </c>
      <c r="J672" s="19"/>
    </row>
    <row r="673" spans="1:10" x14ac:dyDescent="0.25">
      <c r="A673" s="82">
        <v>42772</v>
      </c>
      <c r="B673" s="39" t="s">
        <v>4890</v>
      </c>
      <c r="C673" s="89"/>
      <c r="D673" s="18">
        <v>100009</v>
      </c>
      <c r="E673" s="2" t="s">
        <v>450</v>
      </c>
      <c r="F673" s="15">
        <v>1264.8</v>
      </c>
      <c r="G673" s="41">
        <v>42773</v>
      </c>
      <c r="H673" s="15">
        <f t="shared" si="21"/>
        <v>1264.8</v>
      </c>
      <c r="I673" s="15">
        <f t="shared" si="22"/>
        <v>0</v>
      </c>
      <c r="J673" s="19"/>
    </row>
    <row r="674" spans="1:10" x14ac:dyDescent="0.25">
      <c r="A674" s="82">
        <v>42772</v>
      </c>
      <c r="B674" s="39" t="s">
        <v>4891</v>
      </c>
      <c r="C674" s="89"/>
      <c r="D674" s="18">
        <v>100010</v>
      </c>
      <c r="E674" s="2" t="s">
        <v>79</v>
      </c>
      <c r="F674" s="15">
        <v>3847.08</v>
      </c>
      <c r="G674" s="41">
        <v>42772</v>
      </c>
      <c r="H674" s="15">
        <f t="shared" si="21"/>
        <v>3847.08</v>
      </c>
      <c r="I674" s="15">
        <f t="shared" si="22"/>
        <v>0</v>
      </c>
      <c r="J674" s="19"/>
    </row>
    <row r="675" spans="1:10" x14ac:dyDescent="0.25">
      <c r="A675" s="82">
        <v>42772</v>
      </c>
      <c r="B675" s="39" t="s">
        <v>4892</v>
      </c>
      <c r="C675" s="89"/>
      <c r="D675" s="18">
        <v>100011</v>
      </c>
      <c r="E675" s="2" t="s">
        <v>291</v>
      </c>
      <c r="F675" s="15">
        <v>1917.6</v>
      </c>
      <c r="G675" s="41">
        <v>42773</v>
      </c>
      <c r="H675" s="15">
        <f t="shared" si="21"/>
        <v>1917.6</v>
      </c>
      <c r="I675" s="15">
        <f t="shared" si="22"/>
        <v>0</v>
      </c>
      <c r="J675" s="19"/>
    </row>
    <row r="676" spans="1:10" x14ac:dyDescent="0.25">
      <c r="A676" s="82">
        <v>42772</v>
      </c>
      <c r="B676" s="39" t="s">
        <v>4893</v>
      </c>
      <c r="C676" s="89"/>
      <c r="D676" s="18">
        <v>100012</v>
      </c>
      <c r="E676" s="2" t="s">
        <v>414</v>
      </c>
      <c r="F676" s="15">
        <v>998.2</v>
      </c>
      <c r="G676" s="41">
        <v>42772</v>
      </c>
      <c r="H676" s="15">
        <f t="shared" si="21"/>
        <v>998.2</v>
      </c>
      <c r="I676" s="15">
        <f t="shared" si="22"/>
        <v>0</v>
      </c>
      <c r="J676" s="19"/>
    </row>
    <row r="677" spans="1:10" x14ac:dyDescent="0.25">
      <c r="A677" s="82">
        <v>42772</v>
      </c>
      <c r="B677" s="39" t="s">
        <v>4894</v>
      </c>
      <c r="C677" s="89"/>
      <c r="D677" s="18">
        <v>100013</v>
      </c>
      <c r="E677" s="2" t="s">
        <v>201</v>
      </c>
      <c r="F677" s="15">
        <v>33035.519999999997</v>
      </c>
      <c r="G677" s="41">
        <v>42774</v>
      </c>
      <c r="H677" s="15">
        <f t="shared" si="21"/>
        <v>33035.519999999997</v>
      </c>
      <c r="I677" s="15">
        <f t="shared" si="22"/>
        <v>0</v>
      </c>
      <c r="J677" s="19"/>
    </row>
    <row r="678" spans="1:10" x14ac:dyDescent="0.25">
      <c r="A678" s="82">
        <v>42772</v>
      </c>
      <c r="B678" s="39" t="s">
        <v>4895</v>
      </c>
      <c r="C678" s="89"/>
      <c r="D678" s="18">
        <v>100014</v>
      </c>
      <c r="E678" s="2" t="s">
        <v>103</v>
      </c>
      <c r="F678" s="15">
        <v>3676.6</v>
      </c>
      <c r="G678" s="41">
        <v>42773</v>
      </c>
      <c r="H678" s="15">
        <f t="shared" si="21"/>
        <v>3676.6</v>
      </c>
      <c r="I678" s="15">
        <f t="shared" si="22"/>
        <v>0</v>
      </c>
      <c r="J678" s="19"/>
    </row>
    <row r="679" spans="1:10" x14ac:dyDescent="0.25">
      <c r="A679" s="82">
        <v>42772</v>
      </c>
      <c r="B679" s="39" t="s">
        <v>4896</v>
      </c>
      <c r="C679" s="89"/>
      <c r="D679" s="18">
        <v>100015</v>
      </c>
      <c r="E679" s="2" t="s">
        <v>105</v>
      </c>
      <c r="F679" s="15">
        <v>3615</v>
      </c>
      <c r="G679" s="41">
        <v>42773</v>
      </c>
      <c r="H679" s="15">
        <f t="shared" si="21"/>
        <v>3615</v>
      </c>
      <c r="I679" s="15">
        <f t="shared" si="22"/>
        <v>0</v>
      </c>
      <c r="J679" s="19"/>
    </row>
    <row r="680" spans="1:10" x14ac:dyDescent="0.25">
      <c r="A680" s="82">
        <v>42772</v>
      </c>
      <c r="B680" s="39" t="s">
        <v>4897</v>
      </c>
      <c r="C680" s="89"/>
      <c r="D680" s="18">
        <v>100016</v>
      </c>
      <c r="E680" s="2" t="s">
        <v>30</v>
      </c>
      <c r="F680" s="15">
        <v>463.6</v>
      </c>
      <c r="G680" s="41">
        <v>42772</v>
      </c>
      <c r="H680" s="15">
        <f t="shared" si="21"/>
        <v>463.6</v>
      </c>
      <c r="I680" s="15">
        <f t="shared" si="22"/>
        <v>0</v>
      </c>
      <c r="J680" s="19"/>
    </row>
    <row r="681" spans="1:10" x14ac:dyDescent="0.25">
      <c r="A681" s="82">
        <v>42772</v>
      </c>
      <c r="B681" s="39" t="s">
        <v>4898</v>
      </c>
      <c r="C681" s="89"/>
      <c r="D681" s="18">
        <v>100017</v>
      </c>
      <c r="E681" s="2" t="s">
        <v>92</v>
      </c>
      <c r="F681" s="15">
        <v>2350</v>
      </c>
      <c r="G681" s="41">
        <v>42773</v>
      </c>
      <c r="H681" s="15">
        <f t="shared" si="21"/>
        <v>2350</v>
      </c>
      <c r="I681" s="15">
        <f t="shared" si="22"/>
        <v>0</v>
      </c>
      <c r="J681" s="19"/>
    </row>
    <row r="682" spans="1:10" x14ac:dyDescent="0.25">
      <c r="A682" s="82">
        <v>42772</v>
      </c>
      <c r="B682" s="39" t="s">
        <v>4899</v>
      </c>
      <c r="C682" s="89"/>
      <c r="D682" s="18">
        <v>100018</v>
      </c>
      <c r="E682" s="2" t="s">
        <v>4900</v>
      </c>
      <c r="F682" s="15">
        <v>10678.4</v>
      </c>
      <c r="H682" s="15">
        <f t="shared" si="21"/>
        <v>10678.4</v>
      </c>
      <c r="I682" s="15">
        <f t="shared" si="22"/>
        <v>0</v>
      </c>
      <c r="J682" s="19"/>
    </row>
    <row r="683" spans="1:10" x14ac:dyDescent="0.25">
      <c r="A683" s="82">
        <v>42772</v>
      </c>
      <c r="B683" s="39" t="s">
        <v>4901</v>
      </c>
      <c r="C683" s="89"/>
      <c r="D683" s="18">
        <v>100019</v>
      </c>
      <c r="E683" s="2" t="s">
        <v>862</v>
      </c>
      <c r="F683" s="15">
        <v>11859</v>
      </c>
      <c r="G683" s="41">
        <v>42772</v>
      </c>
      <c r="H683" s="15">
        <f t="shared" si="21"/>
        <v>11859</v>
      </c>
      <c r="I683" s="15">
        <f t="shared" si="22"/>
        <v>0</v>
      </c>
      <c r="J683" s="19"/>
    </row>
    <row r="684" spans="1:10" x14ac:dyDescent="0.25">
      <c r="A684" s="82">
        <v>42772</v>
      </c>
      <c r="B684" s="39" t="s">
        <v>4902</v>
      </c>
      <c r="C684" s="89"/>
      <c r="D684" s="18">
        <v>100020</v>
      </c>
      <c r="E684" s="2" t="s">
        <v>4900</v>
      </c>
      <c r="F684" s="15">
        <v>10411.44</v>
      </c>
      <c r="G684" s="41">
        <v>42773</v>
      </c>
      <c r="H684" s="15">
        <f t="shared" si="21"/>
        <v>10411.44</v>
      </c>
      <c r="I684" s="15">
        <f t="shared" si="22"/>
        <v>0</v>
      </c>
      <c r="J684" s="19"/>
    </row>
    <row r="685" spans="1:10" x14ac:dyDescent="0.25">
      <c r="A685" s="82">
        <v>42772</v>
      </c>
      <c r="B685" s="39" t="s">
        <v>4903</v>
      </c>
      <c r="C685" s="89"/>
      <c r="D685" s="18">
        <v>100021</v>
      </c>
      <c r="E685" s="2" t="s">
        <v>133</v>
      </c>
      <c r="F685" s="15">
        <v>1331.4</v>
      </c>
      <c r="G685" s="41">
        <v>42772</v>
      </c>
      <c r="H685" s="15">
        <f t="shared" si="21"/>
        <v>1331.4</v>
      </c>
      <c r="I685" s="15">
        <f t="shared" si="22"/>
        <v>0</v>
      </c>
      <c r="J685" s="19"/>
    </row>
    <row r="686" spans="1:10" x14ac:dyDescent="0.25">
      <c r="A686" s="82">
        <v>42772</v>
      </c>
      <c r="B686" s="39" t="s">
        <v>4904</v>
      </c>
      <c r="C686" s="89"/>
      <c r="D686" s="18">
        <v>100022</v>
      </c>
      <c r="E686" s="2" t="s">
        <v>862</v>
      </c>
      <c r="F686" s="15">
        <v>584.79999999999995</v>
      </c>
      <c r="G686" s="41">
        <v>42772</v>
      </c>
      <c r="H686" s="15">
        <f t="shared" si="21"/>
        <v>584.79999999999995</v>
      </c>
      <c r="I686" s="15">
        <f t="shared" si="22"/>
        <v>0</v>
      </c>
      <c r="J686" s="19"/>
    </row>
    <row r="687" spans="1:10" x14ac:dyDescent="0.25">
      <c r="A687" s="82">
        <v>42772</v>
      </c>
      <c r="B687" s="39" t="s">
        <v>4905</v>
      </c>
      <c r="C687" s="89"/>
      <c r="D687" s="18">
        <v>100023</v>
      </c>
      <c r="E687" s="2" t="s">
        <v>157</v>
      </c>
      <c r="F687" s="15">
        <v>31934.84</v>
      </c>
      <c r="G687" s="41">
        <v>42772</v>
      </c>
      <c r="H687" s="15">
        <f t="shared" si="21"/>
        <v>31934.84</v>
      </c>
      <c r="I687" s="15">
        <f t="shared" si="22"/>
        <v>0</v>
      </c>
      <c r="J687" s="19"/>
    </row>
    <row r="688" spans="1:10" x14ac:dyDescent="0.25">
      <c r="A688" s="82">
        <v>42772</v>
      </c>
      <c r="B688" s="39" t="s">
        <v>4906</v>
      </c>
      <c r="C688" s="89"/>
      <c r="D688" s="18">
        <v>100024</v>
      </c>
      <c r="E688" s="2" t="s">
        <v>10</v>
      </c>
      <c r="F688" s="15">
        <v>6786</v>
      </c>
      <c r="G688" s="41">
        <v>42777</v>
      </c>
      <c r="H688" s="15">
        <f t="shared" si="21"/>
        <v>6786</v>
      </c>
      <c r="I688" s="15">
        <f t="shared" si="22"/>
        <v>0</v>
      </c>
      <c r="J688" s="19"/>
    </row>
    <row r="689" spans="1:10" x14ac:dyDescent="0.25">
      <c r="A689" s="82">
        <v>42772</v>
      </c>
      <c r="B689" s="39" t="s">
        <v>4907</v>
      </c>
      <c r="C689" s="89"/>
      <c r="D689" s="18">
        <v>100025</v>
      </c>
      <c r="E689" s="2" t="s">
        <v>3958</v>
      </c>
      <c r="F689" s="15">
        <v>31660.240000000002</v>
      </c>
      <c r="G689" s="41">
        <v>42772</v>
      </c>
      <c r="H689" s="15">
        <f t="shared" si="21"/>
        <v>31660.240000000002</v>
      </c>
      <c r="I689" s="15">
        <f t="shared" si="22"/>
        <v>0</v>
      </c>
      <c r="J689" s="19"/>
    </row>
    <row r="690" spans="1:10" x14ac:dyDescent="0.25">
      <c r="A690" s="82">
        <v>42772</v>
      </c>
      <c r="B690" s="39" t="s">
        <v>4908</v>
      </c>
      <c r="C690" s="89"/>
      <c r="D690" s="18">
        <v>100026</v>
      </c>
      <c r="E690" s="2" t="s">
        <v>272</v>
      </c>
      <c r="F690" s="15">
        <v>4660.7</v>
      </c>
      <c r="G690" s="41">
        <v>42774</v>
      </c>
      <c r="H690" s="15">
        <f t="shared" si="21"/>
        <v>4660.7</v>
      </c>
      <c r="I690" s="15">
        <f t="shared" si="22"/>
        <v>0</v>
      </c>
      <c r="J690" s="19"/>
    </row>
    <row r="691" spans="1:10" x14ac:dyDescent="0.25">
      <c r="A691" s="82">
        <v>42772</v>
      </c>
      <c r="B691" s="39" t="s">
        <v>4909</v>
      </c>
      <c r="C691" s="89"/>
      <c r="D691" s="18">
        <v>100027</v>
      </c>
      <c r="E691" s="2" t="s">
        <v>131</v>
      </c>
      <c r="F691" s="15">
        <v>33375.599999999999</v>
      </c>
      <c r="G691" s="41">
        <v>42772</v>
      </c>
      <c r="H691" s="15">
        <f t="shared" si="21"/>
        <v>33375.599999999999</v>
      </c>
      <c r="I691" s="15">
        <f t="shared" si="22"/>
        <v>0</v>
      </c>
      <c r="J691" s="19"/>
    </row>
    <row r="692" spans="1:10" x14ac:dyDescent="0.25">
      <c r="A692" s="82">
        <v>42772</v>
      </c>
      <c r="B692" s="39" t="s">
        <v>4910</v>
      </c>
      <c r="C692" s="89"/>
      <c r="D692" s="18">
        <v>100028</v>
      </c>
      <c r="E692" s="2" t="s">
        <v>3958</v>
      </c>
      <c r="F692" s="15">
        <v>1432</v>
      </c>
      <c r="G692" s="41">
        <v>42772</v>
      </c>
      <c r="H692" s="15">
        <f t="shared" si="21"/>
        <v>1432</v>
      </c>
      <c r="I692" s="15">
        <f t="shared" si="22"/>
        <v>0</v>
      </c>
      <c r="J692" s="19"/>
    </row>
    <row r="693" spans="1:10" x14ac:dyDescent="0.25">
      <c r="A693" s="82">
        <v>42772</v>
      </c>
      <c r="B693" s="39" t="s">
        <v>4911</v>
      </c>
      <c r="C693" s="89"/>
      <c r="D693" s="18">
        <v>100029</v>
      </c>
      <c r="E693" s="2" t="s">
        <v>168</v>
      </c>
      <c r="F693" s="15">
        <v>5107.2</v>
      </c>
      <c r="G693" s="41">
        <v>42779</v>
      </c>
      <c r="H693" s="15">
        <f t="shared" si="21"/>
        <v>5107.2</v>
      </c>
      <c r="I693" s="15">
        <f t="shared" si="22"/>
        <v>0</v>
      </c>
      <c r="J693" s="19"/>
    </row>
    <row r="694" spans="1:10" x14ac:dyDescent="0.25">
      <c r="A694" s="82">
        <v>42772</v>
      </c>
      <c r="B694" s="39" t="s">
        <v>4912</v>
      </c>
      <c r="C694" s="89"/>
      <c r="D694" s="18">
        <v>100030</v>
      </c>
      <c r="E694" s="2" t="s">
        <v>2510</v>
      </c>
      <c r="F694" s="15">
        <v>867.6</v>
      </c>
      <c r="G694" s="41">
        <v>42772</v>
      </c>
      <c r="H694" s="15">
        <f t="shared" si="21"/>
        <v>867.6</v>
      </c>
      <c r="I694" s="15">
        <f t="shared" si="22"/>
        <v>0</v>
      </c>
      <c r="J694" s="19"/>
    </row>
    <row r="695" spans="1:10" x14ac:dyDescent="0.25">
      <c r="A695" s="82">
        <v>42772</v>
      </c>
      <c r="B695" s="39" t="s">
        <v>4913</v>
      </c>
      <c r="C695" s="89"/>
      <c r="D695" s="18">
        <v>100031</v>
      </c>
      <c r="E695" s="13" t="s">
        <v>268</v>
      </c>
      <c r="F695" s="14">
        <v>0</v>
      </c>
      <c r="G695" s="88" t="s">
        <v>95</v>
      </c>
      <c r="H695" s="14">
        <f t="shared" si="21"/>
        <v>0</v>
      </c>
      <c r="I695" s="14">
        <f t="shared" si="22"/>
        <v>0</v>
      </c>
      <c r="J695" s="19"/>
    </row>
    <row r="696" spans="1:10" x14ac:dyDescent="0.25">
      <c r="A696" s="82">
        <v>42772</v>
      </c>
      <c r="B696" s="39" t="s">
        <v>4914</v>
      </c>
      <c r="C696" s="89"/>
      <c r="D696" s="18">
        <v>100032</v>
      </c>
      <c r="E696" s="2" t="s">
        <v>476</v>
      </c>
      <c r="F696" s="15">
        <v>15926.3</v>
      </c>
      <c r="G696" s="41">
        <v>42773</v>
      </c>
      <c r="H696" s="15">
        <f t="shared" si="21"/>
        <v>15926.3</v>
      </c>
      <c r="I696" s="15">
        <f t="shared" si="22"/>
        <v>0</v>
      </c>
      <c r="J696" s="19"/>
    </row>
    <row r="697" spans="1:10" x14ac:dyDescent="0.25">
      <c r="A697" s="82">
        <v>42772</v>
      </c>
      <c r="B697" s="39" t="s">
        <v>4915</v>
      </c>
      <c r="C697" s="89"/>
      <c r="D697" s="18">
        <v>100033</v>
      </c>
      <c r="E697" s="2" t="s">
        <v>305</v>
      </c>
      <c r="F697" s="15">
        <v>5528.3</v>
      </c>
      <c r="G697" s="41">
        <v>42777</v>
      </c>
      <c r="H697" s="15">
        <f t="shared" si="21"/>
        <v>5528.3</v>
      </c>
      <c r="I697" s="15">
        <f t="shared" si="22"/>
        <v>0</v>
      </c>
      <c r="J697" s="19"/>
    </row>
    <row r="698" spans="1:10" x14ac:dyDescent="0.25">
      <c r="A698" s="82">
        <v>42772</v>
      </c>
      <c r="B698" s="39" t="s">
        <v>4916</v>
      </c>
      <c r="C698" s="89"/>
      <c r="D698" s="18">
        <v>100034</v>
      </c>
      <c r="E698" s="2" t="s">
        <v>590</v>
      </c>
      <c r="F698" s="15">
        <v>2608.5</v>
      </c>
      <c r="G698" s="41">
        <v>42774</v>
      </c>
      <c r="H698" s="15">
        <f t="shared" si="21"/>
        <v>2608.5</v>
      </c>
      <c r="I698" s="15">
        <f t="shared" si="22"/>
        <v>0</v>
      </c>
      <c r="J698" s="19"/>
    </row>
    <row r="699" spans="1:10" x14ac:dyDescent="0.25">
      <c r="A699" s="82">
        <v>42772</v>
      </c>
      <c r="B699" s="39" t="s">
        <v>4917</v>
      </c>
      <c r="C699" s="89"/>
      <c r="D699" s="18">
        <v>100035</v>
      </c>
      <c r="E699" s="2" t="s">
        <v>30</v>
      </c>
      <c r="F699" s="15">
        <v>2640</v>
      </c>
      <c r="G699" s="41">
        <v>42772</v>
      </c>
      <c r="H699" s="15">
        <f t="shared" si="21"/>
        <v>2640</v>
      </c>
      <c r="I699" s="15">
        <f t="shared" si="22"/>
        <v>0</v>
      </c>
      <c r="J699" s="19"/>
    </row>
    <row r="700" spans="1:10" x14ac:dyDescent="0.25">
      <c r="A700" s="82">
        <v>42772</v>
      </c>
      <c r="B700" s="39" t="s">
        <v>4918</v>
      </c>
      <c r="C700" s="89"/>
      <c r="D700" s="18">
        <v>100036</v>
      </c>
      <c r="E700" s="2" t="s">
        <v>298</v>
      </c>
      <c r="F700" s="15">
        <v>1085</v>
      </c>
      <c r="G700" s="41">
        <v>42772</v>
      </c>
      <c r="H700" s="15">
        <f t="shared" si="21"/>
        <v>1085</v>
      </c>
      <c r="I700" s="15">
        <f t="shared" si="22"/>
        <v>0</v>
      </c>
      <c r="J700" s="19"/>
    </row>
    <row r="701" spans="1:10" x14ac:dyDescent="0.25">
      <c r="A701" s="82">
        <v>42772</v>
      </c>
      <c r="B701" s="39" t="s">
        <v>4919</v>
      </c>
      <c r="C701" s="89"/>
      <c r="D701" s="18">
        <v>100037</v>
      </c>
      <c r="E701" s="2" t="s">
        <v>26</v>
      </c>
      <c r="F701" s="15">
        <v>4614.3999999999996</v>
      </c>
      <c r="G701" s="41">
        <v>42772</v>
      </c>
      <c r="H701" s="15">
        <f t="shared" si="21"/>
        <v>4614.3999999999996</v>
      </c>
      <c r="I701" s="15">
        <f t="shared" si="22"/>
        <v>0</v>
      </c>
      <c r="J701" s="19"/>
    </row>
    <row r="702" spans="1:10" x14ac:dyDescent="0.25">
      <c r="A702" s="82">
        <v>42772</v>
      </c>
      <c r="B702" s="39" t="s">
        <v>4920</v>
      </c>
      <c r="C702" s="89"/>
      <c r="D702" s="18">
        <v>100038</v>
      </c>
      <c r="E702" s="2" t="s">
        <v>442</v>
      </c>
      <c r="F702" s="15">
        <v>4119.5</v>
      </c>
      <c r="G702" s="41">
        <v>42774</v>
      </c>
      <c r="H702" s="15">
        <f t="shared" si="21"/>
        <v>4119.5</v>
      </c>
      <c r="I702" s="15">
        <f t="shared" si="22"/>
        <v>0</v>
      </c>
      <c r="J702" s="19"/>
    </row>
    <row r="703" spans="1:10" x14ac:dyDescent="0.25">
      <c r="A703" s="82">
        <v>42772</v>
      </c>
      <c r="B703" s="39" t="s">
        <v>4921</v>
      </c>
      <c r="C703" s="89"/>
      <c r="D703" s="18">
        <v>100039</v>
      </c>
      <c r="E703" s="2" t="s">
        <v>270</v>
      </c>
      <c r="F703" s="15">
        <v>2890</v>
      </c>
      <c r="G703" s="41">
        <v>42774</v>
      </c>
      <c r="H703" s="15">
        <f t="shared" si="21"/>
        <v>2890</v>
      </c>
      <c r="I703" s="15">
        <f t="shared" si="22"/>
        <v>0</v>
      </c>
      <c r="J703" s="19"/>
    </row>
    <row r="704" spans="1:10" x14ac:dyDescent="0.25">
      <c r="A704" s="82">
        <v>42772</v>
      </c>
      <c r="B704" s="39" t="s">
        <v>4922</v>
      </c>
      <c r="C704" s="89"/>
      <c r="D704" s="18">
        <v>100040</v>
      </c>
      <c r="E704" s="2" t="s">
        <v>268</v>
      </c>
      <c r="F704" s="15">
        <v>19071.099999999999</v>
      </c>
      <c r="G704" s="41">
        <v>42774</v>
      </c>
      <c r="H704" s="15">
        <f t="shared" si="21"/>
        <v>19071.099999999999</v>
      </c>
      <c r="I704" s="15">
        <f t="shared" si="22"/>
        <v>0</v>
      </c>
      <c r="J704" s="19"/>
    </row>
    <row r="705" spans="1:10" x14ac:dyDescent="0.25">
      <c r="A705" s="82">
        <v>42772</v>
      </c>
      <c r="B705" s="39" t="s">
        <v>4923</v>
      </c>
      <c r="C705" s="89"/>
      <c r="D705" s="18">
        <v>100041</v>
      </c>
      <c r="E705" s="2" t="s">
        <v>1116</v>
      </c>
      <c r="F705" s="15">
        <v>3325.2</v>
      </c>
      <c r="G705" s="41">
        <v>42773</v>
      </c>
      <c r="H705" s="15">
        <f t="shared" si="21"/>
        <v>3325.2</v>
      </c>
      <c r="I705" s="15">
        <f t="shared" si="22"/>
        <v>0</v>
      </c>
      <c r="J705" s="19"/>
    </row>
    <row r="706" spans="1:10" x14ac:dyDescent="0.25">
      <c r="A706" s="82">
        <v>42772</v>
      </c>
      <c r="B706" s="39" t="s">
        <v>4924</v>
      </c>
      <c r="C706" s="89"/>
      <c r="D706" s="18">
        <v>100042</v>
      </c>
      <c r="E706" s="2" t="s">
        <v>61</v>
      </c>
      <c r="F706" s="15">
        <v>7620.6</v>
      </c>
      <c r="G706" s="41">
        <v>42773</v>
      </c>
      <c r="H706" s="15">
        <f t="shared" si="21"/>
        <v>7620.6</v>
      </c>
      <c r="I706" s="15">
        <f t="shared" si="22"/>
        <v>0</v>
      </c>
      <c r="J706" s="19"/>
    </row>
    <row r="707" spans="1:10" x14ac:dyDescent="0.25">
      <c r="A707" s="82">
        <v>42772</v>
      </c>
      <c r="B707" s="39" t="s">
        <v>4925</v>
      </c>
      <c r="C707" s="89"/>
      <c r="D707" s="18">
        <v>100043</v>
      </c>
      <c r="E707" s="2" t="s">
        <v>428</v>
      </c>
      <c r="F707" s="15">
        <v>1103.2</v>
      </c>
      <c r="G707" s="41">
        <v>42774</v>
      </c>
      <c r="H707" s="15">
        <f t="shared" si="21"/>
        <v>1103.2</v>
      </c>
      <c r="I707" s="15">
        <f t="shared" si="22"/>
        <v>0</v>
      </c>
      <c r="J707" s="19"/>
    </row>
    <row r="708" spans="1:10" x14ac:dyDescent="0.25">
      <c r="A708" s="82">
        <v>42772</v>
      </c>
      <c r="B708" s="39" t="s">
        <v>4926</v>
      </c>
      <c r="C708" s="89"/>
      <c r="D708" s="18">
        <v>100044</v>
      </c>
      <c r="E708" s="2" t="s">
        <v>188</v>
      </c>
      <c r="F708" s="15">
        <v>2825.4</v>
      </c>
      <c r="G708" s="41">
        <v>42773</v>
      </c>
      <c r="H708" s="15">
        <f t="shared" ref="H708:H771" si="23">F708</f>
        <v>2825.4</v>
      </c>
      <c r="I708" s="15">
        <f t="shared" si="22"/>
        <v>0</v>
      </c>
      <c r="J708" s="19"/>
    </row>
    <row r="709" spans="1:10" x14ac:dyDescent="0.25">
      <c r="A709" s="82">
        <v>42772</v>
      </c>
      <c r="B709" s="39" t="s">
        <v>4927</v>
      </c>
      <c r="C709" s="89"/>
      <c r="D709" s="18">
        <v>100045</v>
      </c>
      <c r="E709" s="2" t="s">
        <v>147</v>
      </c>
      <c r="F709" s="15">
        <v>69928.600000000006</v>
      </c>
      <c r="G709" s="41">
        <v>42772</v>
      </c>
      <c r="H709" s="15">
        <f t="shared" si="23"/>
        <v>69928.600000000006</v>
      </c>
      <c r="I709" s="15">
        <f t="shared" si="22"/>
        <v>0</v>
      </c>
      <c r="J709" s="19"/>
    </row>
    <row r="710" spans="1:10" x14ac:dyDescent="0.25">
      <c r="A710" s="82">
        <v>42772</v>
      </c>
      <c r="B710" s="39" t="s">
        <v>4928</v>
      </c>
      <c r="C710" s="89"/>
      <c r="D710" s="18">
        <v>100046</v>
      </c>
      <c r="E710" s="2" t="s">
        <v>264</v>
      </c>
      <c r="F710" s="15">
        <v>4176</v>
      </c>
      <c r="G710" s="41">
        <v>42773</v>
      </c>
      <c r="H710" s="15">
        <f t="shared" si="23"/>
        <v>4176</v>
      </c>
      <c r="I710" s="15">
        <f t="shared" ref="I710:I773" si="24">F710-H710</f>
        <v>0</v>
      </c>
      <c r="J710" s="19"/>
    </row>
    <row r="711" spans="1:10" x14ac:dyDescent="0.25">
      <c r="A711" s="82">
        <v>42772</v>
      </c>
      <c r="B711" s="39" t="s">
        <v>4929</v>
      </c>
      <c r="C711" s="89"/>
      <c r="D711" s="18">
        <v>100047</v>
      </c>
      <c r="E711" s="2" t="s">
        <v>4930</v>
      </c>
      <c r="F711" s="15">
        <v>3458</v>
      </c>
      <c r="G711" s="41">
        <v>42773</v>
      </c>
      <c r="H711" s="15">
        <f t="shared" si="23"/>
        <v>3458</v>
      </c>
      <c r="I711" s="15">
        <f t="shared" si="24"/>
        <v>0</v>
      </c>
      <c r="J711" s="19"/>
    </row>
    <row r="712" spans="1:10" x14ac:dyDescent="0.25">
      <c r="A712" s="82">
        <v>42772</v>
      </c>
      <c r="B712" s="39" t="s">
        <v>4931</v>
      </c>
      <c r="C712" s="89"/>
      <c r="D712" s="18">
        <v>100048</v>
      </c>
      <c r="E712" s="2" t="s">
        <v>45</v>
      </c>
      <c r="F712" s="15">
        <v>2132.5</v>
      </c>
      <c r="G712" s="41">
        <v>42773</v>
      </c>
      <c r="H712" s="15">
        <f t="shared" si="23"/>
        <v>2132.5</v>
      </c>
      <c r="I712" s="15">
        <f t="shared" si="24"/>
        <v>0</v>
      </c>
      <c r="J712" s="19"/>
    </row>
    <row r="713" spans="1:10" x14ac:dyDescent="0.25">
      <c r="A713" s="82">
        <v>42772</v>
      </c>
      <c r="B713" s="39" t="s">
        <v>4932</v>
      </c>
      <c r="C713" s="89"/>
      <c r="D713" s="18">
        <v>100049</v>
      </c>
      <c r="E713" s="2" t="s">
        <v>53</v>
      </c>
      <c r="F713" s="15">
        <v>3064.4</v>
      </c>
      <c r="G713" s="41">
        <v>42773</v>
      </c>
      <c r="H713" s="15">
        <f t="shared" si="23"/>
        <v>3064.4</v>
      </c>
      <c r="I713" s="15">
        <f t="shared" si="24"/>
        <v>0</v>
      </c>
      <c r="J713" s="19"/>
    </row>
    <row r="714" spans="1:10" x14ac:dyDescent="0.25">
      <c r="A714" s="82">
        <v>42772</v>
      </c>
      <c r="B714" s="39" t="s">
        <v>4933</v>
      </c>
      <c r="C714" s="89"/>
      <c r="D714" s="18">
        <v>100050</v>
      </c>
      <c r="E714" s="2" t="s">
        <v>57</v>
      </c>
      <c r="F714" s="15">
        <v>588</v>
      </c>
      <c r="G714" s="41">
        <v>42773</v>
      </c>
      <c r="H714" s="15">
        <f t="shared" si="23"/>
        <v>588</v>
      </c>
      <c r="I714" s="15">
        <f t="shared" si="24"/>
        <v>0</v>
      </c>
      <c r="J714" s="19"/>
    </row>
    <row r="715" spans="1:10" x14ac:dyDescent="0.25">
      <c r="A715" s="82">
        <v>42772</v>
      </c>
      <c r="B715" s="39" t="s">
        <v>4934</v>
      </c>
      <c r="C715" s="89"/>
      <c r="D715" s="18">
        <v>100051</v>
      </c>
      <c r="E715" s="2" t="s">
        <v>19</v>
      </c>
      <c r="F715" s="15">
        <v>984.9</v>
      </c>
      <c r="G715" s="41">
        <v>42773</v>
      </c>
      <c r="H715" s="15">
        <f t="shared" si="23"/>
        <v>984.9</v>
      </c>
      <c r="I715" s="15">
        <f t="shared" si="24"/>
        <v>0</v>
      </c>
      <c r="J715" s="19"/>
    </row>
    <row r="716" spans="1:10" x14ac:dyDescent="0.25">
      <c r="A716" s="82">
        <v>42772</v>
      </c>
      <c r="B716" s="39" t="s">
        <v>4935</v>
      </c>
      <c r="C716" s="89"/>
      <c r="D716" s="18">
        <v>100052</v>
      </c>
      <c r="E716" s="2" t="s">
        <v>331</v>
      </c>
      <c r="F716" s="15">
        <v>1572</v>
      </c>
      <c r="G716" s="41">
        <v>42773</v>
      </c>
      <c r="H716" s="15">
        <f t="shared" si="23"/>
        <v>1572</v>
      </c>
      <c r="I716" s="15">
        <f t="shared" si="24"/>
        <v>0</v>
      </c>
      <c r="J716" s="19"/>
    </row>
    <row r="717" spans="1:10" x14ac:dyDescent="0.25">
      <c r="A717" s="82">
        <v>42772</v>
      </c>
      <c r="B717" s="39" t="s">
        <v>4936</v>
      </c>
      <c r="C717" s="89"/>
      <c r="D717" s="18">
        <v>100053</v>
      </c>
      <c r="E717" s="2" t="s">
        <v>476</v>
      </c>
      <c r="F717" s="15">
        <v>4366</v>
      </c>
      <c r="G717" s="41">
        <v>42773</v>
      </c>
      <c r="H717" s="15">
        <f t="shared" si="23"/>
        <v>4366</v>
      </c>
      <c r="I717" s="15">
        <f t="shared" si="24"/>
        <v>0</v>
      </c>
      <c r="J717" s="19"/>
    </row>
    <row r="718" spans="1:10" x14ac:dyDescent="0.25">
      <c r="A718" s="82">
        <v>42772</v>
      </c>
      <c r="B718" s="39" t="s">
        <v>4937</v>
      </c>
      <c r="C718" s="89"/>
      <c r="D718" s="18">
        <v>100054</v>
      </c>
      <c r="E718" s="67" t="s">
        <v>236</v>
      </c>
      <c r="F718" s="20">
        <v>26612.99</v>
      </c>
      <c r="G718" s="87">
        <v>42780</v>
      </c>
      <c r="H718" s="20">
        <f t="shared" si="23"/>
        <v>26612.99</v>
      </c>
      <c r="I718" s="20">
        <f t="shared" si="24"/>
        <v>0</v>
      </c>
      <c r="J718" s="19"/>
    </row>
    <row r="719" spans="1:10" x14ac:dyDescent="0.25">
      <c r="A719" s="82">
        <v>42772</v>
      </c>
      <c r="B719" s="39" t="s">
        <v>4938</v>
      </c>
      <c r="C719" s="89"/>
      <c r="D719" s="18">
        <v>100055</v>
      </c>
      <c r="E719" s="2" t="s">
        <v>218</v>
      </c>
      <c r="F719" s="15">
        <v>2560.56</v>
      </c>
      <c r="H719" s="15">
        <f t="shared" si="23"/>
        <v>2560.56</v>
      </c>
      <c r="I719" s="15">
        <f t="shared" si="24"/>
        <v>0</v>
      </c>
      <c r="J719" s="19"/>
    </row>
    <row r="720" spans="1:10" x14ac:dyDescent="0.25">
      <c r="A720" s="82">
        <v>42772</v>
      </c>
      <c r="B720" s="39" t="s">
        <v>4939</v>
      </c>
      <c r="C720" s="89"/>
      <c r="D720" s="18">
        <v>100056</v>
      </c>
      <c r="E720" s="2" t="s">
        <v>509</v>
      </c>
      <c r="F720" s="15">
        <v>22878</v>
      </c>
      <c r="G720" s="41">
        <v>42776</v>
      </c>
      <c r="H720" s="15">
        <f t="shared" si="23"/>
        <v>22878</v>
      </c>
      <c r="I720" s="15">
        <f t="shared" si="24"/>
        <v>0</v>
      </c>
      <c r="J720" s="19"/>
    </row>
    <row r="721" spans="1:10" x14ac:dyDescent="0.25">
      <c r="A721" s="82">
        <v>42772</v>
      </c>
      <c r="B721" s="39" t="s">
        <v>4940</v>
      </c>
      <c r="C721" s="89"/>
      <c r="D721" s="18">
        <v>100057</v>
      </c>
      <c r="E721" s="2" t="s">
        <v>335</v>
      </c>
      <c r="F721" s="15">
        <v>1731.6</v>
      </c>
      <c r="G721" s="41">
        <v>42779</v>
      </c>
      <c r="H721" s="15">
        <f t="shared" si="23"/>
        <v>1731.6</v>
      </c>
      <c r="I721" s="15">
        <f t="shared" si="24"/>
        <v>0</v>
      </c>
      <c r="J721" s="19"/>
    </row>
    <row r="722" spans="1:10" x14ac:dyDescent="0.25">
      <c r="A722" s="82">
        <v>42772</v>
      </c>
      <c r="B722" s="39" t="s">
        <v>4941</v>
      </c>
      <c r="C722" s="89"/>
      <c r="D722" s="18">
        <v>100058</v>
      </c>
      <c r="E722" s="2" t="s">
        <v>531</v>
      </c>
      <c r="F722" s="15">
        <v>7182</v>
      </c>
      <c r="G722" s="41">
        <v>42774</v>
      </c>
      <c r="H722" s="15">
        <f t="shared" si="23"/>
        <v>7182</v>
      </c>
      <c r="I722" s="15">
        <f t="shared" si="24"/>
        <v>0</v>
      </c>
      <c r="J722" s="19"/>
    </row>
    <row r="723" spans="1:10" x14ac:dyDescent="0.25">
      <c r="A723" s="82">
        <v>42772</v>
      </c>
      <c r="B723" s="39" t="s">
        <v>4942</v>
      </c>
      <c r="C723" s="89"/>
      <c r="D723" s="18">
        <v>100059</v>
      </c>
      <c r="E723" s="2" t="s">
        <v>2704</v>
      </c>
      <c r="F723" s="15">
        <v>4359.04</v>
      </c>
      <c r="G723" s="41">
        <v>42773</v>
      </c>
      <c r="H723" s="15">
        <f t="shared" si="23"/>
        <v>4359.04</v>
      </c>
      <c r="I723" s="15">
        <f t="shared" si="24"/>
        <v>0</v>
      </c>
      <c r="J723" s="19"/>
    </row>
    <row r="724" spans="1:10" x14ac:dyDescent="0.25">
      <c r="A724" s="82">
        <v>42772</v>
      </c>
      <c r="B724" s="39" t="s">
        <v>4943</v>
      </c>
      <c r="C724" s="89"/>
      <c r="D724" s="18">
        <v>100060</v>
      </c>
      <c r="E724" s="2" t="s">
        <v>1421</v>
      </c>
      <c r="F724" s="15">
        <v>26892.799999999999</v>
      </c>
      <c r="G724" s="41">
        <v>42773</v>
      </c>
      <c r="H724" s="15">
        <f t="shared" si="23"/>
        <v>26892.799999999999</v>
      </c>
      <c r="I724" s="15">
        <f t="shared" si="24"/>
        <v>0</v>
      </c>
      <c r="J724" s="19"/>
    </row>
    <row r="725" spans="1:10" x14ac:dyDescent="0.25">
      <c r="A725" s="82">
        <v>42772</v>
      </c>
      <c r="B725" s="39" t="s">
        <v>4944</v>
      </c>
      <c r="C725" s="89"/>
      <c r="D725" s="18">
        <v>100061</v>
      </c>
      <c r="E725" s="2" t="s">
        <v>155</v>
      </c>
      <c r="F725" s="15">
        <v>16576.8</v>
      </c>
      <c r="G725" s="41">
        <v>42775</v>
      </c>
      <c r="H725" s="15">
        <f t="shared" si="23"/>
        <v>16576.8</v>
      </c>
      <c r="I725" s="15">
        <f t="shared" si="24"/>
        <v>0</v>
      </c>
      <c r="J725" s="19"/>
    </row>
    <row r="726" spans="1:10" x14ac:dyDescent="0.25">
      <c r="A726" s="82">
        <v>42772</v>
      </c>
      <c r="B726" s="39" t="s">
        <v>4945</v>
      </c>
      <c r="C726" s="89"/>
      <c r="D726" s="18">
        <v>100062</v>
      </c>
      <c r="E726" s="2" t="s">
        <v>2240</v>
      </c>
      <c r="F726" s="15">
        <v>5895.3</v>
      </c>
      <c r="G726" s="41">
        <v>42772</v>
      </c>
      <c r="H726" s="15">
        <f t="shared" si="23"/>
        <v>5895.3</v>
      </c>
      <c r="I726" s="15">
        <f t="shared" si="24"/>
        <v>0</v>
      </c>
      <c r="J726" s="19"/>
    </row>
    <row r="727" spans="1:10" x14ac:dyDescent="0.25">
      <c r="A727" s="82">
        <v>42772</v>
      </c>
      <c r="B727" s="39" t="s">
        <v>4946</v>
      </c>
      <c r="C727" s="89"/>
      <c r="D727" s="18">
        <v>100063</v>
      </c>
      <c r="E727" s="2" t="s">
        <v>4947</v>
      </c>
      <c r="F727" s="15">
        <v>65404</v>
      </c>
      <c r="G727" s="41">
        <v>42782</v>
      </c>
      <c r="H727" s="15">
        <f t="shared" si="23"/>
        <v>65404</v>
      </c>
      <c r="I727" s="15">
        <f t="shared" si="24"/>
        <v>0</v>
      </c>
      <c r="J727" s="19"/>
    </row>
    <row r="728" spans="1:10" x14ac:dyDescent="0.25">
      <c r="A728" s="82">
        <v>42772</v>
      </c>
      <c r="B728" s="39" t="s">
        <v>4948</v>
      </c>
      <c r="C728" s="89"/>
      <c r="D728" s="18">
        <v>100064</v>
      </c>
      <c r="E728" s="2" t="s">
        <v>125</v>
      </c>
      <c r="F728" s="15">
        <v>6445.4</v>
      </c>
      <c r="G728" s="41">
        <v>42774</v>
      </c>
      <c r="H728" s="15">
        <f t="shared" si="23"/>
        <v>6445.4</v>
      </c>
      <c r="I728" s="15">
        <f t="shared" si="24"/>
        <v>0</v>
      </c>
      <c r="J728" s="19"/>
    </row>
    <row r="729" spans="1:10" x14ac:dyDescent="0.25">
      <c r="A729" s="82">
        <v>42772</v>
      </c>
      <c r="B729" s="39" t="s">
        <v>4949</v>
      </c>
      <c r="C729" s="89"/>
      <c r="D729" s="18">
        <v>100065</v>
      </c>
      <c r="E729" s="2" t="s">
        <v>4950</v>
      </c>
      <c r="F729" s="15">
        <v>3052</v>
      </c>
      <c r="G729" s="41">
        <v>42774</v>
      </c>
      <c r="H729" s="15">
        <f t="shared" si="23"/>
        <v>3052</v>
      </c>
      <c r="I729" s="15">
        <f t="shared" si="24"/>
        <v>0</v>
      </c>
      <c r="J729" s="19"/>
    </row>
    <row r="730" spans="1:10" x14ac:dyDescent="0.25">
      <c r="A730" s="82">
        <v>42772</v>
      </c>
      <c r="B730" s="39" t="s">
        <v>4951</v>
      </c>
      <c r="C730" s="89"/>
      <c r="D730" s="18">
        <v>100066</v>
      </c>
      <c r="E730" s="2" t="s">
        <v>785</v>
      </c>
      <c r="F730" s="15">
        <v>4669.3999999999996</v>
      </c>
      <c r="G730" s="41">
        <v>42774</v>
      </c>
      <c r="H730" s="15">
        <f t="shared" si="23"/>
        <v>4669.3999999999996</v>
      </c>
      <c r="I730" s="15">
        <f t="shared" si="24"/>
        <v>0</v>
      </c>
      <c r="J730" s="19"/>
    </row>
    <row r="731" spans="1:10" x14ac:dyDescent="0.25">
      <c r="A731" s="82">
        <v>42772</v>
      </c>
      <c r="B731" s="39" t="s">
        <v>4952</v>
      </c>
      <c r="C731" s="89"/>
      <c r="D731" s="18">
        <v>100067</v>
      </c>
      <c r="E731" s="2" t="s">
        <v>785</v>
      </c>
      <c r="F731" s="15">
        <v>14730.4</v>
      </c>
      <c r="G731" s="41">
        <v>42774</v>
      </c>
      <c r="H731" s="15">
        <f t="shared" si="23"/>
        <v>14730.4</v>
      </c>
      <c r="I731" s="15">
        <f t="shared" si="24"/>
        <v>0</v>
      </c>
      <c r="J731" s="19"/>
    </row>
    <row r="732" spans="1:10" x14ac:dyDescent="0.25">
      <c r="A732" s="82">
        <v>42772</v>
      </c>
      <c r="B732" s="39" t="s">
        <v>4953</v>
      </c>
      <c r="C732" s="89"/>
      <c r="D732" s="18">
        <v>100068</v>
      </c>
      <c r="E732" s="2" t="s">
        <v>120</v>
      </c>
      <c r="F732" s="15">
        <v>1300.8</v>
      </c>
      <c r="G732" s="41">
        <v>42774</v>
      </c>
      <c r="H732" s="15">
        <f t="shared" si="23"/>
        <v>1300.8</v>
      </c>
      <c r="I732" s="15">
        <f t="shared" si="24"/>
        <v>0</v>
      </c>
      <c r="J732" s="19"/>
    </row>
    <row r="733" spans="1:10" x14ac:dyDescent="0.25">
      <c r="A733" s="82">
        <v>42772</v>
      </c>
      <c r="B733" s="39" t="s">
        <v>4954</v>
      </c>
      <c r="C733" s="89"/>
      <c r="D733" s="18">
        <v>100069</v>
      </c>
      <c r="E733" s="2" t="s">
        <v>10</v>
      </c>
      <c r="F733" s="15">
        <v>291361.38</v>
      </c>
      <c r="G733" s="41">
        <v>42777</v>
      </c>
      <c r="H733" s="15">
        <f t="shared" si="23"/>
        <v>291361.38</v>
      </c>
      <c r="I733" s="15">
        <f t="shared" si="24"/>
        <v>0</v>
      </c>
      <c r="J733" s="19"/>
    </row>
    <row r="734" spans="1:10" x14ac:dyDescent="0.25">
      <c r="A734" s="82">
        <v>42772</v>
      </c>
      <c r="B734" s="39" t="s">
        <v>4955</v>
      </c>
      <c r="C734" s="89"/>
      <c r="D734" s="18">
        <v>100070</v>
      </c>
      <c r="E734" s="2" t="s">
        <v>30</v>
      </c>
      <c r="F734" s="15">
        <v>1590</v>
      </c>
      <c r="G734" s="41">
        <v>42772</v>
      </c>
      <c r="H734" s="15">
        <f t="shared" si="23"/>
        <v>1590</v>
      </c>
      <c r="I734" s="15">
        <f t="shared" si="24"/>
        <v>0</v>
      </c>
      <c r="J734" s="19"/>
    </row>
    <row r="735" spans="1:10" x14ac:dyDescent="0.25">
      <c r="A735" s="82">
        <v>42772</v>
      </c>
      <c r="B735" s="39" t="s">
        <v>4956</v>
      </c>
      <c r="C735" s="89"/>
      <c r="D735" s="18">
        <v>100071</v>
      </c>
      <c r="E735" s="2" t="s">
        <v>30</v>
      </c>
      <c r="F735" s="15">
        <v>338.8</v>
      </c>
      <c r="G735" s="41">
        <v>42772</v>
      </c>
      <c r="H735" s="15">
        <f t="shared" si="23"/>
        <v>338.8</v>
      </c>
      <c r="I735" s="15">
        <f t="shared" si="24"/>
        <v>0</v>
      </c>
      <c r="J735" s="19"/>
    </row>
    <row r="736" spans="1:10" x14ac:dyDescent="0.25">
      <c r="A736" s="82">
        <v>42772</v>
      </c>
      <c r="B736" s="39" t="s">
        <v>4957</v>
      </c>
      <c r="C736" s="89"/>
      <c r="D736" s="18">
        <v>100072</v>
      </c>
      <c r="E736" s="2" t="s">
        <v>4958</v>
      </c>
      <c r="F736" s="15">
        <v>1350</v>
      </c>
      <c r="G736" s="41">
        <v>42772</v>
      </c>
      <c r="H736" s="15">
        <f t="shared" si="23"/>
        <v>1350</v>
      </c>
      <c r="I736" s="15">
        <f t="shared" si="24"/>
        <v>0</v>
      </c>
      <c r="J736" s="19"/>
    </row>
    <row r="737" spans="1:10" x14ac:dyDescent="0.25">
      <c r="A737" s="82">
        <v>42772</v>
      </c>
      <c r="B737" s="39" t="s">
        <v>4959</v>
      </c>
      <c r="C737" s="89"/>
      <c r="D737" s="18">
        <v>100073</v>
      </c>
      <c r="E737" s="2" t="s">
        <v>10</v>
      </c>
      <c r="F737" s="15">
        <v>140206.9</v>
      </c>
      <c r="G737" s="41">
        <v>42781</v>
      </c>
      <c r="H737" s="15">
        <f t="shared" si="23"/>
        <v>140206.9</v>
      </c>
      <c r="I737" s="15">
        <f t="shared" si="24"/>
        <v>0</v>
      </c>
      <c r="J737" s="19"/>
    </row>
    <row r="738" spans="1:10" x14ac:dyDescent="0.25">
      <c r="A738" s="82">
        <v>42772</v>
      </c>
      <c r="B738" s="39" t="s">
        <v>4960</v>
      </c>
      <c r="C738" s="89"/>
      <c r="D738" s="18">
        <v>100074</v>
      </c>
      <c r="E738" s="2" t="s">
        <v>10</v>
      </c>
      <c r="F738" s="15">
        <v>49333.2</v>
      </c>
      <c r="G738" s="41">
        <v>42777</v>
      </c>
      <c r="H738" s="15">
        <f t="shared" si="23"/>
        <v>49333.2</v>
      </c>
      <c r="I738" s="15">
        <f t="shared" si="24"/>
        <v>0</v>
      </c>
      <c r="J738" s="19"/>
    </row>
    <row r="739" spans="1:10" x14ac:dyDescent="0.25">
      <c r="A739" s="82">
        <v>42772</v>
      </c>
      <c r="B739" s="39" t="s">
        <v>4961</v>
      </c>
      <c r="C739" s="89"/>
      <c r="D739" s="18">
        <v>100075</v>
      </c>
      <c r="E739" s="2" t="s">
        <v>30</v>
      </c>
      <c r="F739" s="15">
        <v>11274</v>
      </c>
      <c r="G739" s="41">
        <v>42772</v>
      </c>
      <c r="H739" s="15">
        <f t="shared" si="23"/>
        <v>11274</v>
      </c>
      <c r="I739" s="15">
        <f t="shared" si="24"/>
        <v>0</v>
      </c>
      <c r="J739" s="19"/>
    </row>
    <row r="740" spans="1:10" x14ac:dyDescent="0.25">
      <c r="A740" s="82">
        <v>42772</v>
      </c>
      <c r="B740" s="39" t="s">
        <v>4962</v>
      </c>
      <c r="C740" s="89"/>
      <c r="D740" s="18">
        <v>100076</v>
      </c>
      <c r="E740" s="13" t="s">
        <v>30</v>
      </c>
      <c r="F740" s="14">
        <v>0</v>
      </c>
      <c r="G740" s="88" t="s">
        <v>95</v>
      </c>
      <c r="H740" s="14">
        <f t="shared" si="23"/>
        <v>0</v>
      </c>
      <c r="I740" s="14">
        <f t="shared" si="24"/>
        <v>0</v>
      </c>
      <c r="J740" s="19"/>
    </row>
    <row r="741" spans="1:10" x14ac:dyDescent="0.25">
      <c r="A741" s="82">
        <v>42772</v>
      </c>
      <c r="B741" s="39" t="s">
        <v>4963</v>
      </c>
      <c r="C741" s="89"/>
      <c r="D741" s="18">
        <v>100077</v>
      </c>
      <c r="E741" s="2" t="s">
        <v>30</v>
      </c>
      <c r="F741" s="15">
        <v>6108</v>
      </c>
      <c r="G741" s="41">
        <v>42772</v>
      </c>
      <c r="H741" s="15">
        <f t="shared" si="23"/>
        <v>6108</v>
      </c>
      <c r="I741" s="15">
        <f t="shared" si="24"/>
        <v>0</v>
      </c>
      <c r="J741" s="19"/>
    </row>
    <row r="742" spans="1:10" x14ac:dyDescent="0.25">
      <c r="A742" s="82">
        <v>42772</v>
      </c>
      <c r="B742" s="39" t="s">
        <v>4964</v>
      </c>
      <c r="C742" s="89"/>
      <c r="D742" s="18">
        <v>100078</v>
      </c>
      <c r="E742" s="2" t="s">
        <v>128</v>
      </c>
      <c r="F742" s="15">
        <v>1490</v>
      </c>
      <c r="G742" s="41">
        <v>42772</v>
      </c>
      <c r="H742" s="15">
        <f t="shared" si="23"/>
        <v>1490</v>
      </c>
      <c r="I742" s="15">
        <f t="shared" si="24"/>
        <v>0</v>
      </c>
      <c r="J742" s="19"/>
    </row>
    <row r="743" spans="1:10" ht="30" x14ac:dyDescent="0.25">
      <c r="A743" s="82">
        <v>42772</v>
      </c>
      <c r="B743" s="39" t="s">
        <v>4965</v>
      </c>
      <c r="C743" s="89"/>
      <c r="D743" s="18">
        <v>100079</v>
      </c>
      <c r="E743" s="2" t="s">
        <v>319</v>
      </c>
      <c r="F743" s="15">
        <v>4857.6000000000004</v>
      </c>
      <c r="G743" s="87" t="s">
        <v>4966</v>
      </c>
      <c r="H743" s="20">
        <f>3500+1357.6</f>
        <v>4857.6000000000004</v>
      </c>
      <c r="I743" s="20">
        <f t="shared" si="24"/>
        <v>0</v>
      </c>
      <c r="J743" s="19"/>
    </row>
    <row r="744" spans="1:10" x14ac:dyDescent="0.25">
      <c r="A744" s="82">
        <v>42772</v>
      </c>
      <c r="B744" s="39" t="s">
        <v>4967</v>
      </c>
      <c r="C744" s="89"/>
      <c r="D744" s="18">
        <v>100080</v>
      </c>
      <c r="E744" s="2" t="s">
        <v>4968</v>
      </c>
      <c r="F744" s="15">
        <v>3929.9</v>
      </c>
      <c r="G744" s="41">
        <v>42776</v>
      </c>
      <c r="H744" s="15">
        <f t="shared" si="23"/>
        <v>3929.9</v>
      </c>
      <c r="I744" s="15">
        <f t="shared" si="24"/>
        <v>0</v>
      </c>
      <c r="J744" s="19"/>
    </row>
    <row r="745" spans="1:10" x14ac:dyDescent="0.25">
      <c r="A745" s="82">
        <v>42772</v>
      </c>
      <c r="B745" s="39" t="s">
        <v>4969</v>
      </c>
      <c r="C745" s="89"/>
      <c r="D745" s="18">
        <v>100081</v>
      </c>
      <c r="E745" s="2" t="s">
        <v>422</v>
      </c>
      <c r="F745" s="15">
        <v>828.4</v>
      </c>
      <c r="G745" s="41">
        <v>42772</v>
      </c>
      <c r="H745" s="15">
        <f t="shared" si="23"/>
        <v>828.4</v>
      </c>
      <c r="I745" s="15">
        <f t="shared" si="24"/>
        <v>0</v>
      </c>
      <c r="J745" s="19"/>
    </row>
    <row r="746" spans="1:10" x14ac:dyDescent="0.25">
      <c r="A746" s="82">
        <v>42772</v>
      </c>
      <c r="B746" s="39" t="s">
        <v>4970</v>
      </c>
      <c r="C746" s="89"/>
      <c r="D746" s="18">
        <v>100082</v>
      </c>
      <c r="E746" s="13" t="s">
        <v>4971</v>
      </c>
      <c r="F746" s="14">
        <v>0</v>
      </c>
      <c r="G746" s="88" t="s">
        <v>95</v>
      </c>
      <c r="H746" s="14">
        <f t="shared" si="23"/>
        <v>0</v>
      </c>
      <c r="I746" s="14">
        <f t="shared" si="24"/>
        <v>0</v>
      </c>
      <c r="J746" s="19"/>
    </row>
    <row r="747" spans="1:10" x14ac:dyDescent="0.25">
      <c r="A747" s="82">
        <v>42772</v>
      </c>
      <c r="B747" s="39" t="s">
        <v>4972</v>
      </c>
      <c r="C747" s="89"/>
      <c r="D747" s="18">
        <v>100083</v>
      </c>
      <c r="E747" s="2" t="s">
        <v>1299</v>
      </c>
      <c r="F747" s="15">
        <v>4982</v>
      </c>
      <c r="G747" s="41">
        <v>42772</v>
      </c>
      <c r="H747" s="15">
        <f t="shared" si="23"/>
        <v>4982</v>
      </c>
      <c r="I747" s="15">
        <f t="shared" si="24"/>
        <v>0</v>
      </c>
      <c r="J747" s="19"/>
    </row>
    <row r="748" spans="1:10" x14ac:dyDescent="0.25">
      <c r="A748" s="82">
        <v>42772</v>
      </c>
      <c r="B748" s="39" t="s">
        <v>4973</v>
      </c>
      <c r="C748" s="89"/>
      <c r="D748" s="18">
        <v>100084</v>
      </c>
      <c r="E748" s="13" t="s">
        <v>4971</v>
      </c>
      <c r="F748" s="14">
        <v>0</v>
      </c>
      <c r="G748" s="88" t="s">
        <v>95</v>
      </c>
      <c r="H748" s="14">
        <f t="shared" si="23"/>
        <v>0</v>
      </c>
      <c r="I748" s="14">
        <f t="shared" si="24"/>
        <v>0</v>
      </c>
      <c r="J748" s="19"/>
    </row>
    <row r="749" spans="1:10" x14ac:dyDescent="0.25">
      <c r="A749" s="82">
        <v>42772</v>
      </c>
      <c r="B749" s="39" t="s">
        <v>4974</v>
      </c>
      <c r="C749" s="89"/>
      <c r="D749" s="18">
        <v>100085</v>
      </c>
      <c r="E749" s="2" t="s">
        <v>4539</v>
      </c>
      <c r="F749" s="15">
        <v>4849.2</v>
      </c>
      <c r="G749" s="41">
        <v>42773</v>
      </c>
      <c r="H749" s="15">
        <f t="shared" si="23"/>
        <v>4849.2</v>
      </c>
      <c r="I749" s="15">
        <f t="shared" si="24"/>
        <v>0</v>
      </c>
      <c r="J749" s="19"/>
    </row>
    <row r="750" spans="1:10" ht="30" x14ac:dyDescent="0.25">
      <c r="A750" s="82">
        <v>42772</v>
      </c>
      <c r="B750" s="90" t="s">
        <v>4975</v>
      </c>
      <c r="C750" s="91"/>
      <c r="D750" s="61">
        <v>100086</v>
      </c>
      <c r="E750" s="62" t="s">
        <v>4971</v>
      </c>
      <c r="F750" s="63">
        <v>68858</v>
      </c>
      <c r="G750" s="87" t="s">
        <v>7757</v>
      </c>
      <c r="H750" s="65">
        <f>40800+28058</f>
        <v>68858</v>
      </c>
      <c r="I750" s="65">
        <f t="shared" si="24"/>
        <v>0</v>
      </c>
      <c r="J750" s="19"/>
    </row>
    <row r="751" spans="1:10" x14ac:dyDescent="0.25">
      <c r="A751" s="82">
        <v>42772</v>
      </c>
      <c r="B751" s="39" t="s">
        <v>4976</v>
      </c>
      <c r="C751" s="89"/>
      <c r="D751" s="18">
        <v>100087</v>
      </c>
      <c r="E751" s="2" t="s">
        <v>3360</v>
      </c>
      <c r="F751" s="15">
        <v>5367.6</v>
      </c>
      <c r="G751" s="41">
        <v>42772</v>
      </c>
      <c r="H751" s="15">
        <f t="shared" si="23"/>
        <v>5367.6</v>
      </c>
      <c r="I751" s="15">
        <f t="shared" si="24"/>
        <v>0</v>
      </c>
      <c r="J751" s="19"/>
    </row>
    <row r="752" spans="1:10" x14ac:dyDescent="0.25">
      <c r="A752" s="82">
        <v>42772</v>
      </c>
      <c r="B752" s="39" t="s">
        <v>4977</v>
      </c>
      <c r="C752" s="89"/>
      <c r="D752" s="18">
        <v>100088</v>
      </c>
      <c r="E752" s="2" t="s">
        <v>4978</v>
      </c>
      <c r="F752" s="15">
        <v>23962.400000000001</v>
      </c>
      <c r="G752" s="41">
        <v>42783</v>
      </c>
      <c r="H752" s="15">
        <f t="shared" si="23"/>
        <v>23962.400000000001</v>
      </c>
      <c r="I752" s="15">
        <f t="shared" si="24"/>
        <v>0</v>
      </c>
      <c r="J752" s="19"/>
    </row>
    <row r="753" spans="1:10" x14ac:dyDescent="0.25">
      <c r="A753" s="82">
        <v>42772</v>
      </c>
      <c r="B753" s="39" t="s">
        <v>4979</v>
      </c>
      <c r="C753" s="89"/>
      <c r="D753" s="18">
        <v>100089</v>
      </c>
      <c r="E753" s="2" t="s">
        <v>356</v>
      </c>
      <c r="F753" s="15">
        <v>14095</v>
      </c>
      <c r="G753" s="41">
        <v>42773</v>
      </c>
      <c r="H753" s="15">
        <f t="shared" si="23"/>
        <v>14095</v>
      </c>
      <c r="I753" s="15">
        <f t="shared" si="24"/>
        <v>0</v>
      </c>
      <c r="J753" s="19"/>
    </row>
    <row r="754" spans="1:10" x14ac:dyDescent="0.25">
      <c r="A754" s="82">
        <v>42772</v>
      </c>
      <c r="B754" s="39" t="s">
        <v>4980</v>
      </c>
      <c r="C754" s="89"/>
      <c r="D754" s="18">
        <v>100090</v>
      </c>
      <c r="E754" s="2" t="s">
        <v>182</v>
      </c>
      <c r="F754" s="15">
        <v>2454.9</v>
      </c>
      <c r="H754" s="15">
        <f t="shared" si="23"/>
        <v>2454.9</v>
      </c>
      <c r="I754" s="15">
        <f t="shared" si="24"/>
        <v>0</v>
      </c>
      <c r="J754" s="19"/>
    </row>
    <row r="755" spans="1:10" x14ac:dyDescent="0.25">
      <c r="A755" s="82">
        <v>42772</v>
      </c>
      <c r="B755" s="39" t="s">
        <v>4981</v>
      </c>
      <c r="C755" s="89"/>
      <c r="D755" s="18">
        <v>100091</v>
      </c>
      <c r="E755" s="2" t="s">
        <v>670</v>
      </c>
      <c r="F755" s="15">
        <v>196538.4</v>
      </c>
      <c r="G755" s="41">
        <v>42774</v>
      </c>
      <c r="H755" s="15">
        <f t="shared" si="23"/>
        <v>196538.4</v>
      </c>
      <c r="I755" s="15">
        <f t="shared" si="24"/>
        <v>0</v>
      </c>
      <c r="J755" s="19"/>
    </row>
    <row r="756" spans="1:10" x14ac:dyDescent="0.25">
      <c r="A756" s="82">
        <v>42772</v>
      </c>
      <c r="B756" s="39" t="s">
        <v>4982</v>
      </c>
      <c r="C756" s="89"/>
      <c r="D756" s="18">
        <v>100092</v>
      </c>
      <c r="E756" s="2" t="s">
        <v>693</v>
      </c>
      <c r="F756" s="15">
        <v>7802</v>
      </c>
      <c r="G756" s="41">
        <v>42784</v>
      </c>
      <c r="H756" s="15">
        <f t="shared" si="23"/>
        <v>7802</v>
      </c>
      <c r="I756" s="15">
        <f t="shared" si="24"/>
        <v>0</v>
      </c>
      <c r="J756" s="19"/>
    </row>
    <row r="757" spans="1:10" x14ac:dyDescent="0.25">
      <c r="A757" s="82">
        <v>42772</v>
      </c>
      <c r="B757" s="39" t="s">
        <v>4983</v>
      </c>
      <c r="C757" s="89"/>
      <c r="D757" s="18">
        <v>100093</v>
      </c>
      <c r="E757" s="2" t="s">
        <v>289</v>
      </c>
      <c r="F757" s="15">
        <v>38879.040000000001</v>
      </c>
      <c r="G757" s="41">
        <v>42780</v>
      </c>
      <c r="H757" s="15">
        <f>38879.04</f>
        <v>38879.040000000001</v>
      </c>
      <c r="I757" s="15">
        <f t="shared" si="24"/>
        <v>0</v>
      </c>
      <c r="J757" s="19"/>
    </row>
    <row r="758" spans="1:10" x14ac:dyDescent="0.25">
      <c r="A758" s="82">
        <v>42772</v>
      </c>
      <c r="B758" s="39" t="s">
        <v>4984</v>
      </c>
      <c r="C758" s="89"/>
      <c r="D758" s="18">
        <v>100094</v>
      </c>
      <c r="E758" s="2" t="s">
        <v>4985</v>
      </c>
      <c r="F758" s="15">
        <v>25658.36</v>
      </c>
      <c r="G758" s="41">
        <v>42788</v>
      </c>
      <c r="H758" s="15">
        <f t="shared" si="23"/>
        <v>25658.36</v>
      </c>
      <c r="I758" s="15">
        <f t="shared" si="24"/>
        <v>0</v>
      </c>
      <c r="J758" s="19"/>
    </row>
    <row r="759" spans="1:10" x14ac:dyDescent="0.25">
      <c r="A759" s="82">
        <v>42772</v>
      </c>
      <c r="B759" s="39" t="s">
        <v>4986</v>
      </c>
      <c r="C759" s="89"/>
      <c r="D759" s="18">
        <v>100095</v>
      </c>
      <c r="E759" s="2" t="s">
        <v>222</v>
      </c>
      <c r="F759" s="15">
        <v>445665</v>
      </c>
      <c r="G759" s="41">
        <v>42784</v>
      </c>
      <c r="H759" s="15">
        <f t="shared" si="23"/>
        <v>445665</v>
      </c>
      <c r="I759" s="15">
        <f t="shared" si="24"/>
        <v>0</v>
      </c>
      <c r="J759" s="19"/>
    </row>
    <row r="760" spans="1:10" x14ac:dyDescent="0.25">
      <c r="A760" s="82">
        <v>42772</v>
      </c>
      <c r="B760" s="39" t="s">
        <v>4987</v>
      </c>
      <c r="C760" s="89"/>
      <c r="D760" s="18">
        <v>100096</v>
      </c>
      <c r="E760" s="2" t="s">
        <v>472</v>
      </c>
      <c r="F760" s="15">
        <v>7354.2</v>
      </c>
      <c r="H760" s="15">
        <f t="shared" si="23"/>
        <v>7354.2</v>
      </c>
      <c r="I760" s="15">
        <f t="shared" si="24"/>
        <v>0</v>
      </c>
      <c r="J760" s="19"/>
    </row>
    <row r="761" spans="1:10" x14ac:dyDescent="0.25">
      <c r="A761" s="82">
        <v>42772</v>
      </c>
      <c r="B761" s="39" t="s">
        <v>4988</v>
      </c>
      <c r="C761" s="89"/>
      <c r="D761" s="18">
        <v>100097</v>
      </c>
      <c r="E761" s="2" t="s">
        <v>133</v>
      </c>
      <c r="F761" s="15">
        <v>972</v>
      </c>
      <c r="H761" s="15">
        <f t="shared" si="23"/>
        <v>972</v>
      </c>
      <c r="I761" s="15">
        <f t="shared" si="24"/>
        <v>0</v>
      </c>
      <c r="J761" s="19"/>
    </row>
    <row r="762" spans="1:10" x14ac:dyDescent="0.25">
      <c r="A762" s="82">
        <v>42772</v>
      </c>
      <c r="B762" s="39" t="s">
        <v>4989</v>
      </c>
      <c r="C762" s="89"/>
      <c r="D762" s="18">
        <v>100098</v>
      </c>
      <c r="E762" s="2" t="s">
        <v>675</v>
      </c>
      <c r="F762" s="15">
        <v>1162.8</v>
      </c>
      <c r="G762" s="41">
        <v>42774</v>
      </c>
      <c r="H762" s="15">
        <f t="shared" si="23"/>
        <v>1162.8</v>
      </c>
      <c r="I762" s="15">
        <f t="shared" si="24"/>
        <v>0</v>
      </c>
      <c r="J762" s="19"/>
    </row>
    <row r="763" spans="1:10" x14ac:dyDescent="0.25">
      <c r="A763" s="82">
        <v>42772</v>
      </c>
      <c r="B763" s="39" t="s">
        <v>4990</v>
      </c>
      <c r="C763" s="89"/>
      <c r="D763" s="18">
        <v>100099</v>
      </c>
      <c r="E763" s="2" t="s">
        <v>680</v>
      </c>
      <c r="F763" s="15">
        <v>1238.5</v>
      </c>
      <c r="G763" s="41">
        <v>42774</v>
      </c>
      <c r="H763" s="15">
        <f t="shared" si="23"/>
        <v>1238.5</v>
      </c>
      <c r="I763" s="15">
        <f t="shared" si="24"/>
        <v>0</v>
      </c>
      <c r="J763" s="19"/>
    </row>
    <row r="764" spans="1:10" x14ac:dyDescent="0.25">
      <c r="A764" s="82">
        <v>42772</v>
      </c>
      <c r="B764" s="39" t="s">
        <v>4991</v>
      </c>
      <c r="C764" s="89"/>
      <c r="D764" s="18">
        <v>100100</v>
      </c>
      <c r="E764" s="2" t="s">
        <v>1594</v>
      </c>
      <c r="F764" s="15">
        <v>33883.199999999997</v>
      </c>
      <c r="G764" s="41">
        <v>42777</v>
      </c>
      <c r="H764" s="15">
        <f t="shared" si="23"/>
        <v>33883.199999999997</v>
      </c>
      <c r="I764" s="15">
        <f t="shared" si="24"/>
        <v>0</v>
      </c>
      <c r="J764" s="19"/>
    </row>
    <row r="765" spans="1:10" x14ac:dyDescent="0.25">
      <c r="A765" s="82">
        <v>42772</v>
      </c>
      <c r="B765" s="39" t="s">
        <v>4992</v>
      </c>
      <c r="C765" s="89"/>
      <c r="D765" s="18">
        <v>100101</v>
      </c>
      <c r="E765" s="2" t="s">
        <v>670</v>
      </c>
      <c r="F765" s="15">
        <v>26759.200000000001</v>
      </c>
      <c r="G765" s="41">
        <v>42774</v>
      </c>
      <c r="H765" s="15">
        <f t="shared" si="23"/>
        <v>26759.200000000001</v>
      </c>
      <c r="I765" s="15">
        <f t="shared" si="24"/>
        <v>0</v>
      </c>
      <c r="J765" s="19"/>
    </row>
    <row r="766" spans="1:10" x14ac:dyDescent="0.25">
      <c r="A766" s="82">
        <v>42772</v>
      </c>
      <c r="B766" s="39" t="s">
        <v>4993</v>
      </c>
      <c r="C766" s="89"/>
      <c r="D766" s="18">
        <v>100102</v>
      </c>
      <c r="E766" s="2" t="s">
        <v>673</v>
      </c>
      <c r="F766" s="15">
        <v>8283</v>
      </c>
      <c r="G766" s="41">
        <v>42774</v>
      </c>
      <c r="H766" s="15">
        <f t="shared" si="23"/>
        <v>8283</v>
      </c>
      <c r="I766" s="15">
        <f t="shared" si="24"/>
        <v>0</v>
      </c>
      <c r="J766" s="19"/>
    </row>
    <row r="767" spans="1:10" x14ac:dyDescent="0.25">
      <c r="A767" s="82">
        <v>42772</v>
      </c>
      <c r="B767" s="39" t="s">
        <v>4994</v>
      </c>
      <c r="C767" s="89"/>
      <c r="D767" s="18">
        <v>100103</v>
      </c>
      <c r="E767" s="92" t="s">
        <v>312</v>
      </c>
      <c r="F767" s="15">
        <v>21218.400000000001</v>
      </c>
      <c r="G767" s="41">
        <v>42794</v>
      </c>
      <c r="H767" s="15">
        <f t="shared" si="23"/>
        <v>21218.400000000001</v>
      </c>
      <c r="I767" s="15">
        <f t="shared" si="24"/>
        <v>0</v>
      </c>
      <c r="J767" s="19"/>
    </row>
    <row r="768" spans="1:10" x14ac:dyDescent="0.25">
      <c r="A768" s="82">
        <v>42772</v>
      </c>
      <c r="B768" s="39" t="s">
        <v>4995</v>
      </c>
      <c r="C768" s="89"/>
      <c r="D768" s="18">
        <v>100104</v>
      </c>
      <c r="E768" s="2" t="s">
        <v>688</v>
      </c>
      <c r="F768" s="15">
        <v>6928</v>
      </c>
      <c r="G768" s="41">
        <v>42774</v>
      </c>
      <c r="H768" s="15">
        <f t="shared" si="23"/>
        <v>6928</v>
      </c>
      <c r="I768" s="15">
        <f t="shared" si="24"/>
        <v>0</v>
      </c>
      <c r="J768" s="19"/>
    </row>
    <row r="769" spans="1:10" x14ac:dyDescent="0.25">
      <c r="A769" s="82">
        <v>42772</v>
      </c>
      <c r="B769" s="39" t="s">
        <v>4996</v>
      </c>
      <c r="C769" s="89"/>
      <c r="D769" s="18">
        <v>100105</v>
      </c>
      <c r="E769" s="2" t="s">
        <v>686</v>
      </c>
      <c r="F769" s="15">
        <v>18378.2</v>
      </c>
      <c r="G769" s="41">
        <v>42774</v>
      </c>
      <c r="H769" s="15">
        <f t="shared" si="23"/>
        <v>18378.2</v>
      </c>
      <c r="I769" s="15">
        <f t="shared" si="24"/>
        <v>0</v>
      </c>
      <c r="J769" s="19"/>
    </row>
    <row r="770" spans="1:10" x14ac:dyDescent="0.25">
      <c r="A770" s="82">
        <v>42772</v>
      </c>
      <c r="B770" s="39" t="s">
        <v>4997</v>
      </c>
      <c r="C770" s="89"/>
      <c r="D770" s="18">
        <v>100106</v>
      </c>
      <c r="E770" s="2" t="s">
        <v>211</v>
      </c>
      <c r="F770" s="15">
        <v>8571.4</v>
      </c>
      <c r="G770" s="41">
        <v>42772</v>
      </c>
      <c r="H770" s="15">
        <f t="shared" si="23"/>
        <v>8571.4</v>
      </c>
      <c r="I770" s="15">
        <f t="shared" si="24"/>
        <v>0</v>
      </c>
      <c r="J770" s="19"/>
    </row>
    <row r="771" spans="1:10" x14ac:dyDescent="0.25">
      <c r="A771" s="82">
        <v>42772</v>
      </c>
      <c r="B771" s="39" t="s">
        <v>4998</v>
      </c>
      <c r="C771" s="89"/>
      <c r="D771" s="18">
        <v>100107</v>
      </c>
      <c r="E771" s="2" t="s">
        <v>673</v>
      </c>
      <c r="F771" s="15">
        <v>5429.6</v>
      </c>
      <c r="G771" s="41">
        <v>42774</v>
      </c>
      <c r="H771" s="15">
        <f t="shared" si="23"/>
        <v>5429.6</v>
      </c>
      <c r="I771" s="15">
        <f t="shared" si="24"/>
        <v>0</v>
      </c>
      <c r="J771" s="19"/>
    </row>
    <row r="772" spans="1:10" x14ac:dyDescent="0.25">
      <c r="A772" s="82">
        <v>42772</v>
      </c>
      <c r="B772" s="39" t="s">
        <v>4999</v>
      </c>
      <c r="C772" s="89"/>
      <c r="D772" s="18">
        <v>100108</v>
      </c>
      <c r="E772" s="2" t="s">
        <v>1197</v>
      </c>
      <c r="F772" s="15">
        <v>9090.4</v>
      </c>
      <c r="G772" s="41">
        <v>42774</v>
      </c>
      <c r="H772" s="15">
        <f t="shared" ref="H772:H884" si="25">F772</f>
        <v>9090.4</v>
      </c>
      <c r="I772" s="15">
        <f t="shared" si="24"/>
        <v>0</v>
      </c>
      <c r="J772" s="19"/>
    </row>
    <row r="773" spans="1:10" x14ac:dyDescent="0.25">
      <c r="A773" s="82">
        <v>42772</v>
      </c>
      <c r="B773" s="39" t="s">
        <v>5000</v>
      </c>
      <c r="C773" s="89"/>
      <c r="D773" s="18">
        <v>100109</v>
      </c>
      <c r="E773" s="2" t="s">
        <v>405</v>
      </c>
      <c r="F773" s="15">
        <v>11761.1</v>
      </c>
      <c r="G773" s="41">
        <v>42772</v>
      </c>
      <c r="H773" s="15">
        <f t="shared" si="25"/>
        <v>11761.1</v>
      </c>
      <c r="I773" s="15">
        <f t="shared" si="24"/>
        <v>0</v>
      </c>
      <c r="J773" s="19"/>
    </row>
    <row r="774" spans="1:10" x14ac:dyDescent="0.25">
      <c r="A774" s="82">
        <v>42772</v>
      </c>
      <c r="B774" s="39" t="s">
        <v>5001</v>
      </c>
      <c r="C774" s="89"/>
      <c r="D774" s="18">
        <v>100110</v>
      </c>
      <c r="E774" s="2" t="s">
        <v>670</v>
      </c>
      <c r="F774" s="15">
        <v>57319.9</v>
      </c>
      <c r="H774" s="15">
        <f t="shared" si="25"/>
        <v>57319.9</v>
      </c>
      <c r="I774" s="15">
        <f t="shared" ref="I774:I888" si="26">F774-H774</f>
        <v>0</v>
      </c>
      <c r="J774" s="19"/>
    </row>
    <row r="775" spans="1:10" x14ac:dyDescent="0.25">
      <c r="A775" s="82">
        <v>42772</v>
      </c>
      <c r="B775" s="39" t="s">
        <v>5002</v>
      </c>
      <c r="C775" s="89"/>
      <c r="D775" s="18">
        <v>100111</v>
      </c>
      <c r="E775" s="2" t="s">
        <v>670</v>
      </c>
      <c r="F775" s="15">
        <v>55905.599999999999</v>
      </c>
      <c r="G775" s="41">
        <v>42774</v>
      </c>
      <c r="H775" s="15">
        <f t="shared" si="25"/>
        <v>55905.599999999999</v>
      </c>
      <c r="I775" s="15">
        <f t="shared" si="26"/>
        <v>0</v>
      </c>
      <c r="J775" s="19"/>
    </row>
    <row r="776" spans="1:10" x14ac:dyDescent="0.25">
      <c r="A776" s="82">
        <v>42772</v>
      </c>
      <c r="B776" s="39" t="s">
        <v>5003</v>
      </c>
      <c r="C776" s="89"/>
      <c r="D776" s="18">
        <v>100112</v>
      </c>
      <c r="E776" s="2" t="s">
        <v>405</v>
      </c>
      <c r="F776" s="15">
        <v>889.2</v>
      </c>
      <c r="G776" s="41">
        <v>42772</v>
      </c>
      <c r="H776" s="15">
        <f t="shared" si="25"/>
        <v>889.2</v>
      </c>
      <c r="I776" s="15">
        <f t="shared" si="26"/>
        <v>0</v>
      </c>
      <c r="J776" s="19"/>
    </row>
    <row r="777" spans="1:10" x14ac:dyDescent="0.25">
      <c r="A777" s="82">
        <v>42772</v>
      </c>
      <c r="B777" s="39" t="s">
        <v>5004</v>
      </c>
      <c r="C777" s="89"/>
      <c r="D777" s="18">
        <v>100113</v>
      </c>
      <c r="E777" s="2" t="s">
        <v>1116</v>
      </c>
      <c r="F777" s="15">
        <v>450</v>
      </c>
      <c r="H777" s="15">
        <f t="shared" si="25"/>
        <v>450</v>
      </c>
      <c r="I777" s="15">
        <f t="shared" si="26"/>
        <v>0</v>
      </c>
      <c r="J777" s="19"/>
    </row>
    <row r="778" spans="1:10" x14ac:dyDescent="0.25">
      <c r="A778" s="82">
        <v>42772</v>
      </c>
      <c r="B778" s="39" t="s">
        <v>5005</v>
      </c>
      <c r="C778" s="89"/>
      <c r="D778" s="18">
        <v>100114</v>
      </c>
      <c r="E778" s="2" t="s">
        <v>670</v>
      </c>
      <c r="F778" s="15">
        <v>2160.4</v>
      </c>
      <c r="G778" s="41">
        <v>42774</v>
      </c>
      <c r="H778" s="15">
        <f t="shared" si="25"/>
        <v>2160.4</v>
      </c>
      <c r="I778" s="15">
        <f t="shared" si="26"/>
        <v>0</v>
      </c>
      <c r="J778" s="19"/>
    </row>
    <row r="779" spans="1:10" x14ac:dyDescent="0.25">
      <c r="A779" s="82">
        <v>42772</v>
      </c>
      <c r="B779" s="39" t="s">
        <v>5006</v>
      </c>
      <c r="C779" s="89"/>
      <c r="D779" s="18">
        <v>100115</v>
      </c>
      <c r="E779" s="2" t="s">
        <v>220</v>
      </c>
      <c r="F779" s="15">
        <v>1519.2</v>
      </c>
      <c r="G779" s="41">
        <v>42772</v>
      </c>
      <c r="H779" s="15">
        <f t="shared" si="25"/>
        <v>1519.2</v>
      </c>
      <c r="I779" s="15">
        <f t="shared" si="26"/>
        <v>0</v>
      </c>
      <c r="J779" s="19"/>
    </row>
    <row r="780" spans="1:10" x14ac:dyDescent="0.25">
      <c r="A780" s="82">
        <v>42773</v>
      </c>
      <c r="B780" s="39" t="s">
        <v>5007</v>
      </c>
      <c r="C780" s="89"/>
      <c r="D780" s="18">
        <v>100116</v>
      </c>
      <c r="E780" s="2" t="s">
        <v>231</v>
      </c>
      <c r="F780" s="15">
        <v>6673.2</v>
      </c>
      <c r="H780" s="15">
        <f t="shared" si="25"/>
        <v>6673.2</v>
      </c>
      <c r="I780" s="15">
        <f t="shared" si="26"/>
        <v>0</v>
      </c>
      <c r="J780" s="19"/>
    </row>
    <row r="781" spans="1:10" x14ac:dyDescent="0.25">
      <c r="A781" s="82">
        <v>42773</v>
      </c>
      <c r="B781" s="39" t="s">
        <v>5008</v>
      </c>
      <c r="C781" s="89"/>
      <c r="D781" s="18">
        <v>100117</v>
      </c>
      <c r="E781" s="24" t="s">
        <v>231</v>
      </c>
      <c r="F781" s="25">
        <v>0</v>
      </c>
      <c r="G781" s="93" t="s">
        <v>95</v>
      </c>
      <c r="H781" s="25">
        <f t="shared" si="25"/>
        <v>0</v>
      </c>
      <c r="I781" s="25">
        <f t="shared" si="26"/>
        <v>0</v>
      </c>
      <c r="J781" s="19"/>
    </row>
    <row r="782" spans="1:10" x14ac:dyDescent="0.25">
      <c r="A782" s="82">
        <v>42773</v>
      </c>
      <c r="B782" s="39" t="s">
        <v>5009</v>
      </c>
      <c r="C782" s="89"/>
      <c r="D782" s="18">
        <v>100118</v>
      </c>
      <c r="E782" s="2" t="s">
        <v>231</v>
      </c>
      <c r="F782" s="15">
        <v>40553.5</v>
      </c>
      <c r="G782" s="41">
        <v>42774</v>
      </c>
      <c r="H782" s="15">
        <f t="shared" si="25"/>
        <v>40553.5</v>
      </c>
      <c r="I782" s="15">
        <f t="shared" si="26"/>
        <v>0</v>
      </c>
      <c r="J782" s="19"/>
    </row>
    <row r="783" spans="1:10" x14ac:dyDescent="0.25">
      <c r="A783" s="82">
        <v>42773</v>
      </c>
      <c r="B783" s="39" t="s">
        <v>5010</v>
      </c>
      <c r="C783" s="89"/>
      <c r="D783" s="18">
        <v>100119</v>
      </c>
      <c r="E783" s="2" t="s">
        <v>26</v>
      </c>
      <c r="F783" s="15">
        <v>335.4</v>
      </c>
      <c r="G783" s="41">
        <v>42773</v>
      </c>
      <c r="H783" s="15">
        <f t="shared" si="25"/>
        <v>335.4</v>
      </c>
      <c r="I783" s="15">
        <f t="shared" si="26"/>
        <v>0</v>
      </c>
      <c r="J783" s="19"/>
    </row>
    <row r="784" spans="1:10" x14ac:dyDescent="0.25">
      <c r="A784" s="82">
        <v>42773</v>
      </c>
      <c r="B784" s="39" t="s">
        <v>5011</v>
      </c>
      <c r="C784" s="89"/>
      <c r="D784" s="18">
        <v>100120</v>
      </c>
      <c r="E784" s="2" t="s">
        <v>55</v>
      </c>
      <c r="F784" s="15">
        <v>15344</v>
      </c>
      <c r="G784" s="41">
        <v>42773</v>
      </c>
      <c r="H784" s="15">
        <f t="shared" si="25"/>
        <v>15344</v>
      </c>
      <c r="I784" s="15">
        <f t="shared" si="26"/>
        <v>0</v>
      </c>
      <c r="J784" s="19"/>
    </row>
    <row r="785" spans="1:10" x14ac:dyDescent="0.25">
      <c r="A785" s="82">
        <v>42773</v>
      </c>
      <c r="B785" s="39" t="s">
        <v>5012</v>
      </c>
      <c r="C785" s="89"/>
      <c r="D785" s="18">
        <v>100121</v>
      </c>
      <c r="E785" s="2" t="s">
        <v>17</v>
      </c>
      <c r="F785" s="15">
        <v>2699.9</v>
      </c>
      <c r="G785" s="41">
        <v>42773</v>
      </c>
      <c r="H785" s="15">
        <f t="shared" si="25"/>
        <v>2699.9</v>
      </c>
      <c r="I785" s="15">
        <f t="shared" si="26"/>
        <v>0</v>
      </c>
      <c r="J785" s="19"/>
    </row>
    <row r="786" spans="1:10" x14ac:dyDescent="0.25">
      <c r="A786" s="82">
        <v>42773</v>
      </c>
      <c r="B786" s="39" t="s">
        <v>5013</v>
      </c>
      <c r="C786" s="89"/>
      <c r="D786" s="18">
        <v>100122</v>
      </c>
      <c r="E786" s="2" t="s">
        <v>47</v>
      </c>
      <c r="F786" s="15">
        <v>5143.5</v>
      </c>
      <c r="G786" s="41">
        <v>42773</v>
      </c>
      <c r="H786" s="15">
        <f t="shared" si="25"/>
        <v>5143.5</v>
      </c>
      <c r="I786" s="15">
        <f t="shared" si="26"/>
        <v>0</v>
      </c>
      <c r="J786" s="19"/>
    </row>
    <row r="787" spans="1:10" x14ac:dyDescent="0.25">
      <c r="A787" s="82">
        <v>42773</v>
      </c>
      <c r="B787" s="39" t="s">
        <v>5014</v>
      </c>
      <c r="C787" s="89"/>
      <c r="D787" s="18">
        <v>100123</v>
      </c>
      <c r="E787" s="13" t="s">
        <v>32</v>
      </c>
      <c r="F787" s="14">
        <v>0</v>
      </c>
      <c r="G787" s="88" t="s">
        <v>95</v>
      </c>
      <c r="H787" s="14">
        <f t="shared" si="25"/>
        <v>0</v>
      </c>
      <c r="I787" s="14">
        <f t="shared" si="26"/>
        <v>0</v>
      </c>
      <c r="J787" s="19"/>
    </row>
    <row r="788" spans="1:10" x14ac:dyDescent="0.25">
      <c r="A788" s="82">
        <v>42773</v>
      </c>
      <c r="B788" s="39" t="s">
        <v>5015</v>
      </c>
      <c r="C788" s="89"/>
      <c r="D788" s="18">
        <v>100124</v>
      </c>
      <c r="E788" s="2" t="s">
        <v>35</v>
      </c>
      <c r="F788" s="15">
        <v>9949.7999999999993</v>
      </c>
      <c r="G788" s="41">
        <v>42775</v>
      </c>
      <c r="H788" s="15">
        <f t="shared" si="25"/>
        <v>9949.7999999999993</v>
      </c>
      <c r="I788" s="15">
        <f t="shared" si="26"/>
        <v>0</v>
      </c>
      <c r="J788" s="19"/>
    </row>
    <row r="789" spans="1:10" x14ac:dyDescent="0.25">
      <c r="A789" s="82">
        <v>42773</v>
      </c>
      <c r="B789" s="39" t="s">
        <v>5016</v>
      </c>
      <c r="C789" s="89"/>
      <c r="D789" s="18">
        <v>100125</v>
      </c>
      <c r="E789" s="2" t="s">
        <v>32</v>
      </c>
      <c r="F789" s="15">
        <v>6052.5</v>
      </c>
      <c r="G789" s="41">
        <v>42783</v>
      </c>
      <c r="H789" s="15">
        <f t="shared" si="25"/>
        <v>6052.5</v>
      </c>
      <c r="I789" s="15">
        <f t="shared" si="26"/>
        <v>0</v>
      </c>
      <c r="J789" s="19"/>
    </row>
    <row r="790" spans="1:10" x14ac:dyDescent="0.25">
      <c r="A790" s="82">
        <v>42773</v>
      </c>
      <c r="B790" s="39" t="s">
        <v>5017</v>
      </c>
      <c r="C790" s="89"/>
      <c r="D790" s="18">
        <v>100126</v>
      </c>
      <c r="E790" s="2" t="s">
        <v>28</v>
      </c>
      <c r="F790" s="15">
        <v>7425</v>
      </c>
      <c r="G790" s="94">
        <v>42773</v>
      </c>
      <c r="H790" s="15">
        <f t="shared" si="25"/>
        <v>7425</v>
      </c>
      <c r="I790" s="15">
        <f t="shared" si="26"/>
        <v>0</v>
      </c>
      <c r="J790" s="19"/>
    </row>
    <row r="791" spans="1:10" ht="30" x14ac:dyDescent="0.25">
      <c r="A791" s="82">
        <v>42773</v>
      </c>
      <c r="B791" s="39" t="s">
        <v>5018</v>
      </c>
      <c r="C791" s="89"/>
      <c r="D791" s="18">
        <v>100127</v>
      </c>
      <c r="E791" s="2" t="s">
        <v>49</v>
      </c>
      <c r="F791" s="15">
        <v>13949</v>
      </c>
      <c r="G791" s="41" t="s">
        <v>5019</v>
      </c>
      <c r="H791" s="15">
        <f>8000+5949</f>
        <v>13949</v>
      </c>
      <c r="I791" s="15">
        <f t="shared" si="26"/>
        <v>0</v>
      </c>
      <c r="J791" s="19"/>
    </row>
    <row r="792" spans="1:10" x14ac:dyDescent="0.25">
      <c r="A792" s="82">
        <v>42773</v>
      </c>
      <c r="B792" s="39" t="s">
        <v>5020</v>
      </c>
      <c r="C792" s="89"/>
      <c r="D792" s="18">
        <v>100128</v>
      </c>
      <c r="E792" s="2" t="s">
        <v>218</v>
      </c>
      <c r="F792" s="15">
        <v>80640.3</v>
      </c>
      <c r="H792" s="15">
        <f t="shared" si="25"/>
        <v>80640.3</v>
      </c>
      <c r="I792" s="15">
        <f t="shared" si="26"/>
        <v>0</v>
      </c>
      <c r="J792" s="19"/>
    </row>
    <row r="793" spans="1:10" x14ac:dyDescent="0.25">
      <c r="A793" s="82">
        <v>42773</v>
      </c>
      <c r="B793" s="39" t="s">
        <v>5021</v>
      </c>
      <c r="C793" s="89"/>
      <c r="D793" s="18">
        <v>100129</v>
      </c>
      <c r="E793" s="2" t="s">
        <v>250</v>
      </c>
      <c r="F793" s="15">
        <v>6121.2</v>
      </c>
      <c r="G793" s="41">
        <v>42774</v>
      </c>
      <c r="H793" s="15">
        <f t="shared" si="25"/>
        <v>6121.2</v>
      </c>
      <c r="I793" s="15">
        <f t="shared" si="26"/>
        <v>0</v>
      </c>
      <c r="J793" s="19"/>
    </row>
    <row r="794" spans="1:10" x14ac:dyDescent="0.25">
      <c r="A794" s="82">
        <v>42773</v>
      </c>
      <c r="B794" s="39" t="s">
        <v>5022</v>
      </c>
      <c r="C794" s="89"/>
      <c r="D794" s="18">
        <v>100130</v>
      </c>
      <c r="E794" s="2" t="s">
        <v>509</v>
      </c>
      <c r="F794" s="15">
        <v>14112</v>
      </c>
      <c r="G794" s="41">
        <v>42776</v>
      </c>
      <c r="H794" s="15">
        <f t="shared" si="25"/>
        <v>14112</v>
      </c>
      <c r="I794" s="15">
        <f t="shared" si="26"/>
        <v>0</v>
      </c>
      <c r="J794" s="19"/>
    </row>
    <row r="795" spans="1:10" x14ac:dyDescent="0.25">
      <c r="A795" s="82">
        <v>42773</v>
      </c>
      <c r="B795" s="39" t="s">
        <v>5023</v>
      </c>
      <c r="C795" s="89"/>
      <c r="D795" s="18">
        <v>100131</v>
      </c>
      <c r="E795" s="2" t="s">
        <v>428</v>
      </c>
      <c r="F795" s="15">
        <v>2205</v>
      </c>
      <c r="G795" s="41">
        <v>42774</v>
      </c>
      <c r="H795" s="15">
        <f t="shared" si="25"/>
        <v>2205</v>
      </c>
      <c r="I795" s="15">
        <f t="shared" si="26"/>
        <v>0</v>
      </c>
      <c r="J795" s="19"/>
    </row>
    <row r="796" spans="1:10" x14ac:dyDescent="0.25">
      <c r="A796" s="82">
        <v>42773</v>
      </c>
      <c r="B796" s="39" t="s">
        <v>5024</v>
      </c>
      <c r="C796" s="89"/>
      <c r="D796" s="18">
        <v>100132</v>
      </c>
      <c r="E796" s="2" t="s">
        <v>10</v>
      </c>
      <c r="F796" s="15">
        <v>22823.65</v>
      </c>
      <c r="G796" s="41">
        <v>42777</v>
      </c>
      <c r="H796" s="15">
        <f t="shared" si="25"/>
        <v>22823.65</v>
      </c>
      <c r="I796" s="15">
        <f t="shared" si="26"/>
        <v>0</v>
      </c>
      <c r="J796" s="19"/>
    </row>
    <row r="797" spans="1:10" x14ac:dyDescent="0.25">
      <c r="A797" s="82">
        <v>42773</v>
      </c>
      <c r="B797" s="39" t="s">
        <v>5025</v>
      </c>
      <c r="C797" s="89"/>
      <c r="D797" s="18">
        <v>100133</v>
      </c>
      <c r="E797" s="2" t="s">
        <v>40</v>
      </c>
      <c r="F797" s="15">
        <v>7180.6</v>
      </c>
      <c r="G797" s="41">
        <v>42774</v>
      </c>
      <c r="H797" s="15">
        <f t="shared" si="25"/>
        <v>7180.6</v>
      </c>
      <c r="I797" s="15">
        <f t="shared" si="26"/>
        <v>0</v>
      </c>
      <c r="J797" s="19"/>
    </row>
    <row r="798" spans="1:10" x14ac:dyDescent="0.25">
      <c r="A798" s="82">
        <v>42773</v>
      </c>
      <c r="B798" s="39" t="s">
        <v>5026</v>
      </c>
      <c r="C798" s="89"/>
      <c r="D798" s="18">
        <v>100134</v>
      </c>
      <c r="E798" s="2" t="s">
        <v>470</v>
      </c>
      <c r="F798" s="15">
        <v>12538.6</v>
      </c>
      <c r="G798" s="41">
        <v>42773</v>
      </c>
      <c r="H798" s="15">
        <f t="shared" si="25"/>
        <v>12538.6</v>
      </c>
      <c r="I798" s="15">
        <f t="shared" si="26"/>
        <v>0</v>
      </c>
      <c r="J798" s="19"/>
    </row>
    <row r="799" spans="1:10" x14ac:dyDescent="0.25">
      <c r="A799" s="82">
        <v>42773</v>
      </c>
      <c r="B799" s="39" t="s">
        <v>5027</v>
      </c>
      <c r="C799" s="89"/>
      <c r="D799" s="18">
        <v>100135</v>
      </c>
      <c r="E799" s="2" t="s">
        <v>141</v>
      </c>
      <c r="F799" s="15">
        <v>13649.3</v>
      </c>
      <c r="H799" s="15">
        <f t="shared" si="25"/>
        <v>13649.3</v>
      </c>
      <c r="I799" s="15">
        <f t="shared" si="26"/>
        <v>0</v>
      </c>
      <c r="J799" s="19"/>
    </row>
    <row r="800" spans="1:10" x14ac:dyDescent="0.25">
      <c r="A800" s="82">
        <v>42773</v>
      </c>
      <c r="B800" s="39" t="s">
        <v>5028</v>
      </c>
      <c r="C800" s="89"/>
      <c r="D800" s="18">
        <v>100136</v>
      </c>
      <c r="E800" s="2" t="s">
        <v>43</v>
      </c>
      <c r="F800" s="15">
        <v>3166.7</v>
      </c>
      <c r="G800" s="41">
        <v>42775</v>
      </c>
      <c r="H800" s="15">
        <f t="shared" si="25"/>
        <v>3166.7</v>
      </c>
      <c r="I800" s="15">
        <f t="shared" si="26"/>
        <v>0</v>
      </c>
      <c r="J800" s="19"/>
    </row>
    <row r="801" spans="1:10" x14ac:dyDescent="0.25">
      <c r="A801" s="82">
        <v>42773</v>
      </c>
      <c r="B801" s="39" t="s">
        <v>5029</v>
      </c>
      <c r="C801" s="89"/>
      <c r="D801" s="18">
        <v>100137</v>
      </c>
      <c r="E801" s="2" t="s">
        <v>277</v>
      </c>
      <c r="F801" s="15">
        <v>3027.6</v>
      </c>
      <c r="G801" s="41">
        <v>42773</v>
      </c>
      <c r="H801" s="15">
        <f t="shared" si="25"/>
        <v>3027.6</v>
      </c>
      <c r="I801" s="15">
        <f t="shared" si="26"/>
        <v>0</v>
      </c>
      <c r="J801" s="19"/>
    </row>
    <row r="802" spans="1:10" x14ac:dyDescent="0.25">
      <c r="A802" s="82">
        <v>42773</v>
      </c>
      <c r="B802" s="39" t="s">
        <v>5030</v>
      </c>
      <c r="C802" s="89"/>
      <c r="D802" s="18">
        <v>100138</v>
      </c>
      <c r="E802" s="13" t="s">
        <v>133</v>
      </c>
      <c r="F802" s="14">
        <v>0</v>
      </c>
      <c r="G802" s="88" t="s">
        <v>95</v>
      </c>
      <c r="H802" s="14">
        <f t="shared" si="25"/>
        <v>0</v>
      </c>
      <c r="I802" s="14">
        <f t="shared" si="26"/>
        <v>0</v>
      </c>
      <c r="J802" s="19"/>
    </row>
    <row r="803" spans="1:10" x14ac:dyDescent="0.25">
      <c r="A803" s="82">
        <v>42773</v>
      </c>
      <c r="B803" s="39" t="s">
        <v>5031</v>
      </c>
      <c r="C803" s="89"/>
      <c r="D803" s="18">
        <v>100139</v>
      </c>
      <c r="E803" s="2" t="s">
        <v>133</v>
      </c>
      <c r="F803" s="15">
        <v>13700.7</v>
      </c>
      <c r="G803" s="41">
        <v>42776</v>
      </c>
      <c r="H803" s="15">
        <f t="shared" si="25"/>
        <v>13700.7</v>
      </c>
      <c r="I803" s="15">
        <f t="shared" si="26"/>
        <v>0</v>
      </c>
      <c r="J803" s="19"/>
    </row>
    <row r="804" spans="1:10" x14ac:dyDescent="0.25">
      <c r="A804" s="82">
        <v>42773</v>
      </c>
      <c r="B804" s="39" t="s">
        <v>5032</v>
      </c>
      <c r="C804" s="89"/>
      <c r="D804" s="18">
        <v>100140</v>
      </c>
      <c r="E804" s="2" t="s">
        <v>21</v>
      </c>
      <c r="F804" s="15">
        <v>45252</v>
      </c>
      <c r="G804" s="41">
        <v>42786</v>
      </c>
      <c r="H804" s="15">
        <f t="shared" si="25"/>
        <v>45252</v>
      </c>
      <c r="I804" s="15">
        <f t="shared" si="26"/>
        <v>0</v>
      </c>
      <c r="J804" s="19"/>
    </row>
    <row r="805" spans="1:10" x14ac:dyDescent="0.25">
      <c r="A805" s="82">
        <v>42773</v>
      </c>
      <c r="B805" s="39" t="s">
        <v>5033</v>
      </c>
      <c r="C805" s="89"/>
      <c r="D805" s="18">
        <v>100141</v>
      </c>
      <c r="E805" s="13" t="s">
        <v>302</v>
      </c>
      <c r="F805" s="14">
        <v>0</v>
      </c>
      <c r="G805" s="88" t="s">
        <v>95</v>
      </c>
      <c r="H805" s="14">
        <f t="shared" si="25"/>
        <v>0</v>
      </c>
      <c r="I805" s="14">
        <f t="shared" si="26"/>
        <v>0</v>
      </c>
      <c r="J805" s="19"/>
    </row>
    <row r="806" spans="1:10" x14ac:dyDescent="0.25">
      <c r="A806" s="82">
        <v>42773</v>
      </c>
      <c r="B806" s="39" t="s">
        <v>5034</v>
      </c>
      <c r="C806" s="89"/>
      <c r="D806" s="18">
        <v>100142</v>
      </c>
      <c r="E806" s="2" t="s">
        <v>253</v>
      </c>
      <c r="F806" s="15">
        <v>5367.6</v>
      </c>
      <c r="G806" s="41">
        <v>42775</v>
      </c>
      <c r="H806" s="15">
        <f t="shared" si="25"/>
        <v>5367.6</v>
      </c>
      <c r="I806" s="15">
        <f t="shared" si="26"/>
        <v>0</v>
      </c>
      <c r="J806" s="19"/>
    </row>
    <row r="807" spans="1:10" x14ac:dyDescent="0.25">
      <c r="A807" s="82">
        <v>42773</v>
      </c>
      <c r="B807" s="39" t="s">
        <v>5035</v>
      </c>
      <c r="C807" s="89"/>
      <c r="D807" s="18">
        <v>100143</v>
      </c>
      <c r="E807" s="2" t="s">
        <v>268</v>
      </c>
      <c r="F807" s="15">
        <v>16202.3</v>
      </c>
      <c r="G807" s="41">
        <v>42781</v>
      </c>
      <c r="H807" s="15">
        <f t="shared" si="25"/>
        <v>16202.3</v>
      </c>
      <c r="I807" s="15">
        <f t="shared" si="26"/>
        <v>0</v>
      </c>
      <c r="J807" s="19"/>
    </row>
    <row r="808" spans="1:10" x14ac:dyDescent="0.25">
      <c r="A808" s="82">
        <v>42773</v>
      </c>
      <c r="B808" s="39" t="s">
        <v>5036</v>
      </c>
      <c r="C808" s="89"/>
      <c r="D808" s="18">
        <v>100144</v>
      </c>
      <c r="E808" s="2" t="s">
        <v>435</v>
      </c>
      <c r="F808" s="15">
        <v>4215</v>
      </c>
      <c r="G808" s="41">
        <v>42774</v>
      </c>
      <c r="H808" s="15">
        <f t="shared" si="25"/>
        <v>4215</v>
      </c>
      <c r="I808" s="15">
        <f t="shared" si="26"/>
        <v>0</v>
      </c>
      <c r="J808" s="19"/>
    </row>
    <row r="809" spans="1:10" x14ac:dyDescent="0.25">
      <c r="A809" s="82">
        <v>42773</v>
      </c>
      <c r="B809" s="39" t="s">
        <v>5037</v>
      </c>
      <c r="C809" s="89"/>
      <c r="D809" s="18">
        <v>100145</v>
      </c>
      <c r="E809" s="2" t="s">
        <v>442</v>
      </c>
      <c r="F809" s="15">
        <v>3296.7</v>
      </c>
      <c r="G809" s="41">
        <v>42774</v>
      </c>
      <c r="H809" s="15">
        <f t="shared" si="25"/>
        <v>3296.7</v>
      </c>
      <c r="I809" s="15">
        <f t="shared" si="26"/>
        <v>0</v>
      </c>
      <c r="J809" s="19"/>
    </row>
    <row r="810" spans="1:10" x14ac:dyDescent="0.25">
      <c r="A810" s="82">
        <v>42773</v>
      </c>
      <c r="B810" s="39" t="s">
        <v>5038</v>
      </c>
      <c r="C810" s="89"/>
      <c r="D810" s="18">
        <v>100146</v>
      </c>
      <c r="E810" s="2" t="s">
        <v>272</v>
      </c>
      <c r="F810" s="15">
        <v>3193.1</v>
      </c>
      <c r="G810" s="41">
        <v>42774</v>
      </c>
      <c r="H810" s="15">
        <f t="shared" si="25"/>
        <v>3193.1</v>
      </c>
      <c r="I810" s="15">
        <f t="shared" si="26"/>
        <v>0</v>
      </c>
      <c r="J810" s="19"/>
    </row>
    <row r="811" spans="1:10" x14ac:dyDescent="0.25">
      <c r="A811" s="82">
        <v>42773</v>
      </c>
      <c r="B811" s="39" t="s">
        <v>5039</v>
      </c>
      <c r="C811" s="89"/>
      <c r="D811" s="18">
        <v>100147</v>
      </c>
      <c r="E811" s="2" t="s">
        <v>270</v>
      </c>
      <c r="F811" s="15">
        <v>4758.5</v>
      </c>
      <c r="G811" s="41">
        <v>42774</v>
      </c>
      <c r="H811" s="15">
        <f t="shared" si="25"/>
        <v>4758.5</v>
      </c>
      <c r="I811" s="15">
        <f t="shared" si="26"/>
        <v>0</v>
      </c>
      <c r="J811" s="19"/>
    </row>
    <row r="812" spans="1:10" x14ac:dyDescent="0.25">
      <c r="A812" s="82">
        <v>42773</v>
      </c>
      <c r="B812" s="39" t="s">
        <v>5040</v>
      </c>
      <c r="C812" s="89"/>
      <c r="D812" s="18">
        <v>100148</v>
      </c>
      <c r="E812" s="2" t="s">
        <v>222</v>
      </c>
      <c r="F812" s="15">
        <v>47773.5</v>
      </c>
      <c r="G812" s="41">
        <v>42784</v>
      </c>
      <c r="H812" s="15">
        <f t="shared" si="25"/>
        <v>47773.5</v>
      </c>
      <c r="I812" s="15">
        <f t="shared" si="26"/>
        <v>0</v>
      </c>
      <c r="J812" s="19"/>
    </row>
    <row r="813" spans="1:10" x14ac:dyDescent="0.25">
      <c r="A813" s="82">
        <v>42773</v>
      </c>
      <c r="B813" s="39" t="s">
        <v>5041</v>
      </c>
      <c r="C813" s="89"/>
      <c r="D813" s="18">
        <v>100149</v>
      </c>
      <c r="E813" s="2" t="s">
        <v>71</v>
      </c>
      <c r="F813" s="15">
        <v>3132.5</v>
      </c>
      <c r="G813" s="41">
        <v>42773</v>
      </c>
      <c r="H813" s="15">
        <f t="shared" si="25"/>
        <v>3132.5</v>
      </c>
      <c r="I813" s="15">
        <f t="shared" si="26"/>
        <v>0</v>
      </c>
      <c r="J813" s="19"/>
    </row>
    <row r="814" spans="1:10" x14ac:dyDescent="0.25">
      <c r="A814" s="82">
        <v>42773</v>
      </c>
      <c r="B814" s="39" t="s">
        <v>5042</v>
      </c>
      <c r="C814" s="89"/>
      <c r="D814" s="18">
        <v>100150</v>
      </c>
      <c r="E814" s="2" t="s">
        <v>274</v>
      </c>
      <c r="F814" s="15">
        <v>889.2</v>
      </c>
      <c r="G814" s="41">
        <v>42781</v>
      </c>
      <c r="H814" s="15">
        <f t="shared" si="25"/>
        <v>889.2</v>
      </c>
      <c r="I814" s="15">
        <f t="shared" si="26"/>
        <v>0</v>
      </c>
      <c r="J814" s="19"/>
    </row>
    <row r="815" spans="1:10" x14ac:dyDescent="0.25">
      <c r="A815" s="82">
        <v>42773</v>
      </c>
      <c r="B815" s="39" t="s">
        <v>5043</v>
      </c>
      <c r="C815" s="89"/>
      <c r="D815" s="18">
        <v>100151</v>
      </c>
      <c r="E815" s="2" t="s">
        <v>264</v>
      </c>
      <c r="F815" s="15">
        <v>3528</v>
      </c>
      <c r="G815" s="41">
        <v>42773</v>
      </c>
      <c r="H815" s="15">
        <f t="shared" si="25"/>
        <v>3528</v>
      </c>
      <c r="I815" s="15">
        <f t="shared" si="26"/>
        <v>0</v>
      </c>
      <c r="J815" s="19"/>
    </row>
    <row r="816" spans="1:10" x14ac:dyDescent="0.25">
      <c r="A816" s="82">
        <v>42773</v>
      </c>
      <c r="B816" s="39" t="s">
        <v>5044</v>
      </c>
      <c r="C816" s="89"/>
      <c r="D816" s="18">
        <v>100152</v>
      </c>
      <c r="E816" s="2" t="s">
        <v>422</v>
      </c>
      <c r="F816" s="15">
        <v>1805.6</v>
      </c>
      <c r="G816" s="41">
        <v>42773</v>
      </c>
      <c r="H816" s="15">
        <f t="shared" si="25"/>
        <v>1805.6</v>
      </c>
      <c r="I816" s="15">
        <f t="shared" si="26"/>
        <v>0</v>
      </c>
      <c r="J816" s="19"/>
    </row>
    <row r="817" spans="1:10" x14ac:dyDescent="0.25">
      <c r="A817" s="82">
        <v>42773</v>
      </c>
      <c r="B817" s="39" t="s">
        <v>5045</v>
      </c>
      <c r="C817" s="89"/>
      <c r="D817" s="18">
        <v>100153</v>
      </c>
      <c r="E817" s="2" t="s">
        <v>4367</v>
      </c>
      <c r="F817" s="15">
        <v>1614</v>
      </c>
      <c r="G817" s="41">
        <v>42773</v>
      </c>
      <c r="H817" s="15">
        <f t="shared" si="25"/>
        <v>1614</v>
      </c>
      <c r="I817" s="15">
        <f t="shared" si="26"/>
        <v>0</v>
      </c>
      <c r="J817" s="19"/>
    </row>
    <row r="818" spans="1:10" x14ac:dyDescent="0.25">
      <c r="A818" s="82">
        <v>42773</v>
      </c>
      <c r="B818" s="39" t="s">
        <v>5046</v>
      </c>
      <c r="C818" s="89"/>
      <c r="D818" s="18">
        <v>100154</v>
      </c>
      <c r="E818" s="2" t="s">
        <v>99</v>
      </c>
      <c r="F818" s="15">
        <v>2205</v>
      </c>
      <c r="G818" s="41">
        <v>42773</v>
      </c>
      <c r="H818" s="15">
        <f t="shared" si="25"/>
        <v>2205</v>
      </c>
      <c r="I818" s="15">
        <f t="shared" si="26"/>
        <v>0</v>
      </c>
      <c r="J818" s="19"/>
    </row>
    <row r="819" spans="1:10" x14ac:dyDescent="0.25">
      <c r="A819" s="82">
        <v>42773</v>
      </c>
      <c r="B819" s="39" t="s">
        <v>5047</v>
      </c>
      <c r="C819" s="89"/>
      <c r="D819" s="18">
        <v>100155</v>
      </c>
      <c r="E819" s="2" t="s">
        <v>101</v>
      </c>
      <c r="F819" s="15">
        <v>735</v>
      </c>
      <c r="G819" s="41">
        <v>42773</v>
      </c>
      <c r="H819" s="15">
        <f t="shared" si="25"/>
        <v>735</v>
      </c>
      <c r="I819" s="15">
        <f t="shared" si="26"/>
        <v>0</v>
      </c>
      <c r="J819" s="19"/>
    </row>
    <row r="820" spans="1:10" x14ac:dyDescent="0.25">
      <c r="A820" s="82">
        <v>42773</v>
      </c>
      <c r="B820" s="39" t="s">
        <v>5048</v>
      </c>
      <c r="C820" s="89"/>
      <c r="D820" s="18">
        <v>100156</v>
      </c>
      <c r="E820" s="2" t="s">
        <v>806</v>
      </c>
      <c r="F820" s="15">
        <v>1635.8</v>
      </c>
      <c r="G820" s="41">
        <v>42773</v>
      </c>
      <c r="H820" s="15">
        <f t="shared" si="25"/>
        <v>1635.8</v>
      </c>
      <c r="I820" s="15">
        <f t="shared" si="26"/>
        <v>0</v>
      </c>
      <c r="J820" s="19"/>
    </row>
    <row r="821" spans="1:10" x14ac:dyDescent="0.25">
      <c r="A821" s="82">
        <v>42773</v>
      </c>
      <c r="B821" s="39" t="s">
        <v>5049</v>
      </c>
      <c r="C821" s="89"/>
      <c r="D821" s="18">
        <v>100157</v>
      </c>
      <c r="E821" s="2" t="s">
        <v>105</v>
      </c>
      <c r="F821" s="15">
        <v>3350</v>
      </c>
      <c r="G821" s="41">
        <v>42775</v>
      </c>
      <c r="H821" s="15">
        <f t="shared" si="25"/>
        <v>3350</v>
      </c>
      <c r="I821" s="15">
        <f t="shared" si="26"/>
        <v>0</v>
      </c>
      <c r="J821" s="19"/>
    </row>
    <row r="822" spans="1:10" x14ac:dyDescent="0.25">
      <c r="A822" s="82">
        <v>42773</v>
      </c>
      <c r="B822" s="39" t="s">
        <v>5050</v>
      </c>
      <c r="C822" s="89"/>
      <c r="D822" s="18">
        <v>100158</v>
      </c>
      <c r="E822" s="2" t="s">
        <v>30</v>
      </c>
      <c r="F822" s="15">
        <v>1334.76</v>
      </c>
      <c r="G822" s="41">
        <v>42775</v>
      </c>
      <c r="H822" s="15">
        <f t="shared" si="25"/>
        <v>1334.76</v>
      </c>
      <c r="I822" s="15">
        <f t="shared" si="26"/>
        <v>0</v>
      </c>
      <c r="J822" s="19"/>
    </row>
    <row r="823" spans="1:10" ht="30" x14ac:dyDescent="0.25">
      <c r="A823" s="82">
        <v>42773</v>
      </c>
      <c r="B823" s="39" t="s">
        <v>5051</v>
      </c>
      <c r="C823" s="89"/>
      <c r="D823" s="18">
        <v>100159</v>
      </c>
      <c r="E823" s="2" t="s">
        <v>289</v>
      </c>
      <c r="F823" s="15">
        <v>40570.559999999998</v>
      </c>
      <c r="G823" s="87" t="s">
        <v>5052</v>
      </c>
      <c r="H823" s="20">
        <f>16934.62+23635.94</f>
        <v>40570.559999999998</v>
      </c>
      <c r="I823" s="20">
        <f t="shared" si="26"/>
        <v>0</v>
      </c>
      <c r="J823" s="19"/>
    </row>
    <row r="824" spans="1:10" x14ac:dyDescent="0.25">
      <c r="A824" s="82">
        <v>42773</v>
      </c>
      <c r="B824" s="39" t="s">
        <v>5053</v>
      </c>
      <c r="C824" s="89"/>
      <c r="D824" s="18">
        <v>100160</v>
      </c>
      <c r="E824" s="2" t="s">
        <v>83</v>
      </c>
      <c r="F824" s="15">
        <v>7796.1</v>
      </c>
      <c r="G824" s="41">
        <v>42773</v>
      </c>
      <c r="H824" s="15">
        <f t="shared" si="25"/>
        <v>7796.1</v>
      </c>
      <c r="I824" s="15">
        <f t="shared" si="26"/>
        <v>0</v>
      </c>
      <c r="J824" s="19"/>
    </row>
    <row r="825" spans="1:10" x14ac:dyDescent="0.25">
      <c r="A825" s="82">
        <v>42773</v>
      </c>
      <c r="B825" s="39" t="s">
        <v>5054</v>
      </c>
      <c r="C825" s="89"/>
      <c r="D825" s="18">
        <v>100161</v>
      </c>
      <c r="E825" s="2" t="s">
        <v>1259</v>
      </c>
      <c r="F825" s="15">
        <v>1588.8</v>
      </c>
      <c r="G825" s="41">
        <v>42773</v>
      </c>
      <c r="H825" s="15">
        <f t="shared" si="25"/>
        <v>1588.8</v>
      </c>
      <c r="I825" s="15">
        <f t="shared" si="26"/>
        <v>0</v>
      </c>
      <c r="J825" s="19"/>
    </row>
    <row r="826" spans="1:10" x14ac:dyDescent="0.25">
      <c r="A826" s="82">
        <v>42773</v>
      </c>
      <c r="B826" s="39" t="s">
        <v>5055</v>
      </c>
      <c r="C826" s="89"/>
      <c r="D826" s="18">
        <v>100162</v>
      </c>
      <c r="E826" s="2" t="s">
        <v>309</v>
      </c>
      <c r="F826" s="15">
        <v>3829.8</v>
      </c>
      <c r="G826" s="41">
        <v>42773</v>
      </c>
      <c r="H826" s="15">
        <f t="shared" si="25"/>
        <v>3829.8</v>
      </c>
      <c r="I826" s="15">
        <f t="shared" si="26"/>
        <v>0</v>
      </c>
      <c r="J826" s="19"/>
    </row>
    <row r="827" spans="1:10" x14ac:dyDescent="0.25">
      <c r="A827" s="82">
        <v>42773</v>
      </c>
      <c r="B827" s="39" t="s">
        <v>5056</v>
      </c>
      <c r="C827" s="89"/>
      <c r="D827" s="18">
        <v>100163</v>
      </c>
      <c r="E827" s="2" t="s">
        <v>88</v>
      </c>
      <c r="F827" s="15">
        <v>8532</v>
      </c>
      <c r="G827" s="41">
        <v>42773</v>
      </c>
      <c r="H827" s="15">
        <f t="shared" si="25"/>
        <v>8532</v>
      </c>
      <c r="I827" s="15">
        <f t="shared" si="26"/>
        <v>0</v>
      </c>
      <c r="J827" s="19"/>
    </row>
    <row r="828" spans="1:10" x14ac:dyDescent="0.25">
      <c r="A828" s="82">
        <v>42773</v>
      </c>
      <c r="B828" s="39" t="s">
        <v>5057</v>
      </c>
      <c r="C828" s="89"/>
      <c r="D828" s="18">
        <v>100164</v>
      </c>
      <c r="E828" s="2" t="s">
        <v>92</v>
      </c>
      <c r="F828" s="15">
        <v>2937.6</v>
      </c>
      <c r="G828" s="41">
        <v>42773</v>
      </c>
      <c r="H828" s="15">
        <f t="shared" si="25"/>
        <v>2937.6</v>
      </c>
      <c r="I828" s="15">
        <f t="shared" si="26"/>
        <v>0</v>
      </c>
      <c r="J828" s="19"/>
    </row>
    <row r="829" spans="1:10" x14ac:dyDescent="0.25">
      <c r="A829" s="82">
        <v>42773</v>
      </c>
      <c r="B829" s="39" t="s">
        <v>5058</v>
      </c>
      <c r="C829" s="89"/>
      <c r="D829" s="18">
        <v>100165</v>
      </c>
      <c r="E829" s="2" t="s">
        <v>1081</v>
      </c>
      <c r="F829" s="15">
        <v>385</v>
      </c>
      <c r="G829" s="41">
        <v>42773</v>
      </c>
      <c r="H829" s="15">
        <f t="shared" si="25"/>
        <v>385</v>
      </c>
      <c r="I829" s="15">
        <f t="shared" si="26"/>
        <v>0</v>
      </c>
      <c r="J829" s="19"/>
    </row>
    <row r="830" spans="1:10" x14ac:dyDescent="0.25">
      <c r="A830" s="82">
        <v>42773</v>
      </c>
      <c r="B830" s="39" t="s">
        <v>5059</v>
      </c>
      <c r="C830" s="89"/>
      <c r="D830" s="18">
        <v>100166</v>
      </c>
      <c r="E830" s="2" t="s">
        <v>4539</v>
      </c>
      <c r="F830" s="15">
        <v>9794.4</v>
      </c>
      <c r="G830" s="41">
        <v>42773</v>
      </c>
      <c r="H830" s="15">
        <f t="shared" si="25"/>
        <v>9794.4</v>
      </c>
      <c r="I830" s="15">
        <f t="shared" si="26"/>
        <v>0</v>
      </c>
      <c r="J830" s="19"/>
    </row>
    <row r="831" spans="1:10" x14ac:dyDescent="0.25">
      <c r="A831" s="82">
        <v>42773</v>
      </c>
      <c r="B831" s="39" t="s">
        <v>5060</v>
      </c>
      <c r="C831" s="89"/>
      <c r="D831" s="18">
        <v>100167</v>
      </c>
      <c r="E831" s="2" t="s">
        <v>923</v>
      </c>
      <c r="F831" s="15">
        <v>3015.4</v>
      </c>
      <c r="G831" s="41">
        <v>42773</v>
      </c>
      <c r="H831" s="15">
        <f t="shared" si="25"/>
        <v>3015.4</v>
      </c>
      <c r="I831" s="15">
        <f t="shared" si="26"/>
        <v>0</v>
      </c>
      <c r="J831" s="19"/>
    </row>
    <row r="832" spans="1:10" x14ac:dyDescent="0.25">
      <c r="A832" s="82">
        <v>42773</v>
      </c>
      <c r="B832" s="39" t="s">
        <v>5061</v>
      </c>
      <c r="C832" s="89"/>
      <c r="D832" s="18">
        <v>100168</v>
      </c>
      <c r="E832" s="2" t="s">
        <v>1166</v>
      </c>
      <c r="F832" s="15">
        <v>1183.2</v>
      </c>
      <c r="G832" s="41">
        <v>42775</v>
      </c>
      <c r="H832" s="15">
        <f t="shared" si="25"/>
        <v>1183.2</v>
      </c>
      <c r="I832" s="15">
        <f t="shared" si="26"/>
        <v>0</v>
      </c>
      <c r="J832" s="19"/>
    </row>
    <row r="833" spans="1:10" x14ac:dyDescent="0.25">
      <c r="A833" s="82">
        <v>42773</v>
      </c>
      <c r="B833" s="39" t="s">
        <v>5062</v>
      </c>
      <c r="C833" s="89"/>
      <c r="D833" s="18">
        <v>100169</v>
      </c>
      <c r="E833" s="2" t="s">
        <v>61</v>
      </c>
      <c r="F833" s="15">
        <v>4312.8999999999996</v>
      </c>
      <c r="G833" s="41">
        <v>42775</v>
      </c>
      <c r="H833" s="15">
        <f t="shared" si="25"/>
        <v>4312.8999999999996</v>
      </c>
      <c r="I833" s="15">
        <f t="shared" si="26"/>
        <v>0</v>
      </c>
      <c r="J833" s="19"/>
    </row>
    <row r="834" spans="1:10" x14ac:dyDescent="0.25">
      <c r="A834" s="82">
        <v>42773</v>
      </c>
      <c r="B834" s="39" t="s">
        <v>5063</v>
      </c>
      <c r="C834" s="89"/>
      <c r="D834" s="18">
        <v>100170</v>
      </c>
      <c r="E834" s="2" t="s">
        <v>149</v>
      </c>
      <c r="F834" s="15">
        <v>2878.8</v>
      </c>
      <c r="G834" s="41">
        <v>42773</v>
      </c>
      <c r="H834" s="15">
        <f t="shared" si="25"/>
        <v>2878.8</v>
      </c>
      <c r="I834" s="15">
        <f t="shared" si="26"/>
        <v>0</v>
      </c>
      <c r="J834" s="19"/>
    </row>
    <row r="835" spans="1:10" x14ac:dyDescent="0.25">
      <c r="A835" s="82">
        <v>42773</v>
      </c>
      <c r="B835" s="39" t="s">
        <v>5064</v>
      </c>
      <c r="C835" s="89"/>
      <c r="D835" s="18">
        <v>100171</v>
      </c>
      <c r="E835" s="2" t="s">
        <v>103</v>
      </c>
      <c r="F835" s="15">
        <v>977.4</v>
      </c>
      <c r="G835" s="41">
        <v>42773</v>
      </c>
      <c r="H835" s="15">
        <f t="shared" si="25"/>
        <v>977.4</v>
      </c>
      <c r="I835" s="15">
        <f t="shared" si="26"/>
        <v>0</v>
      </c>
      <c r="J835" s="19"/>
    </row>
    <row r="836" spans="1:10" x14ac:dyDescent="0.25">
      <c r="A836" s="82">
        <v>42773</v>
      </c>
      <c r="B836" s="39" t="s">
        <v>5065</v>
      </c>
      <c r="C836" s="89"/>
      <c r="D836" s="18">
        <v>100172</v>
      </c>
      <c r="E836" s="2" t="s">
        <v>909</v>
      </c>
      <c r="F836" s="15">
        <v>3184</v>
      </c>
      <c r="G836" s="41">
        <v>42775</v>
      </c>
      <c r="H836" s="15">
        <f t="shared" si="25"/>
        <v>3184</v>
      </c>
      <c r="I836" s="15">
        <f t="shared" si="26"/>
        <v>0</v>
      </c>
      <c r="J836" s="19"/>
    </row>
    <row r="837" spans="1:10" x14ac:dyDescent="0.25">
      <c r="A837" s="82">
        <v>42773</v>
      </c>
      <c r="B837" s="39" t="s">
        <v>5066</v>
      </c>
      <c r="C837" s="89"/>
      <c r="D837" s="18">
        <v>100173</v>
      </c>
      <c r="E837" s="13" t="s">
        <v>838</v>
      </c>
      <c r="F837" s="14">
        <v>0</v>
      </c>
      <c r="G837" s="88" t="s">
        <v>95</v>
      </c>
      <c r="H837" s="14">
        <f t="shared" si="25"/>
        <v>0</v>
      </c>
      <c r="I837" s="14">
        <f t="shared" si="26"/>
        <v>0</v>
      </c>
      <c r="J837" s="19"/>
    </row>
    <row r="838" spans="1:10" x14ac:dyDescent="0.25">
      <c r="A838" s="82">
        <v>42773</v>
      </c>
      <c r="B838" s="39" t="s">
        <v>5067</v>
      </c>
      <c r="C838" s="89"/>
      <c r="D838" s="18">
        <v>100174</v>
      </c>
      <c r="E838" s="2" t="s">
        <v>45</v>
      </c>
      <c r="F838" s="15">
        <v>915.8</v>
      </c>
      <c r="G838" s="41">
        <v>42775</v>
      </c>
      <c r="H838" s="15">
        <f t="shared" si="25"/>
        <v>915.8</v>
      </c>
      <c r="I838" s="15">
        <f t="shared" si="26"/>
        <v>0</v>
      </c>
      <c r="J838" s="19"/>
    </row>
    <row r="839" spans="1:10" x14ac:dyDescent="0.25">
      <c r="A839" s="82">
        <v>42773</v>
      </c>
      <c r="B839" s="39" t="s">
        <v>5068</v>
      </c>
      <c r="C839" s="89"/>
      <c r="D839" s="18">
        <v>100175</v>
      </c>
      <c r="E839" s="2" t="s">
        <v>1256</v>
      </c>
      <c r="F839" s="15">
        <v>1433.9</v>
      </c>
      <c r="G839" s="41">
        <v>42773</v>
      </c>
      <c r="H839" s="15">
        <f t="shared" si="25"/>
        <v>1433.9</v>
      </c>
      <c r="I839" s="15">
        <f t="shared" si="26"/>
        <v>0</v>
      </c>
      <c r="J839" s="19"/>
    </row>
    <row r="840" spans="1:10" x14ac:dyDescent="0.25">
      <c r="A840" s="82">
        <v>42773</v>
      </c>
      <c r="B840" s="39" t="s">
        <v>5069</v>
      </c>
      <c r="C840" s="89"/>
      <c r="D840" s="18">
        <v>100176</v>
      </c>
      <c r="E840" s="2" t="s">
        <v>462</v>
      </c>
      <c r="F840" s="15">
        <v>743.6</v>
      </c>
      <c r="G840" s="41">
        <v>42773</v>
      </c>
      <c r="H840" s="15">
        <f t="shared" si="25"/>
        <v>743.6</v>
      </c>
      <c r="I840" s="15">
        <f t="shared" si="26"/>
        <v>0</v>
      </c>
      <c r="J840" s="19"/>
    </row>
    <row r="841" spans="1:10" x14ac:dyDescent="0.25">
      <c r="A841" s="82">
        <v>42773</v>
      </c>
      <c r="B841" s="39" t="s">
        <v>5070</v>
      </c>
      <c r="C841" s="89"/>
      <c r="D841" s="18">
        <v>100177</v>
      </c>
      <c r="E841" s="2" t="s">
        <v>57</v>
      </c>
      <c r="F841" s="15">
        <v>583.1</v>
      </c>
      <c r="G841" s="41">
        <v>42775</v>
      </c>
      <c r="H841" s="15">
        <f t="shared" si="25"/>
        <v>583.1</v>
      </c>
      <c r="I841" s="15">
        <f t="shared" si="26"/>
        <v>0</v>
      </c>
      <c r="J841" s="19"/>
    </row>
    <row r="842" spans="1:10" x14ac:dyDescent="0.25">
      <c r="A842" s="82">
        <v>42773</v>
      </c>
      <c r="B842" s="39" t="s">
        <v>5071</v>
      </c>
      <c r="C842" s="89"/>
      <c r="D842" s="18">
        <v>100178</v>
      </c>
      <c r="E842" s="2" t="s">
        <v>198</v>
      </c>
      <c r="F842" s="15">
        <v>799.2</v>
      </c>
      <c r="G842" s="41">
        <v>42775</v>
      </c>
      <c r="H842" s="15">
        <f t="shared" si="25"/>
        <v>799.2</v>
      </c>
      <c r="I842" s="15">
        <f t="shared" si="26"/>
        <v>0</v>
      </c>
      <c r="J842" s="19"/>
    </row>
    <row r="843" spans="1:10" x14ac:dyDescent="0.25">
      <c r="A843" s="82">
        <v>42773</v>
      </c>
      <c r="B843" s="39" t="s">
        <v>5072</v>
      </c>
      <c r="C843" s="89"/>
      <c r="D843" s="18">
        <v>100179</v>
      </c>
      <c r="E843" s="2" t="s">
        <v>53</v>
      </c>
      <c r="F843" s="15">
        <v>1757.8</v>
      </c>
      <c r="G843" s="41">
        <v>42775</v>
      </c>
      <c r="H843" s="15">
        <f t="shared" si="25"/>
        <v>1757.8</v>
      </c>
      <c r="I843" s="15">
        <f t="shared" si="26"/>
        <v>0</v>
      </c>
      <c r="J843" s="19"/>
    </row>
    <row r="844" spans="1:10" x14ac:dyDescent="0.25">
      <c r="A844" s="82">
        <v>42773</v>
      </c>
      <c r="B844" s="39" t="s">
        <v>5073</v>
      </c>
      <c r="C844" s="89"/>
      <c r="D844" s="18">
        <v>100180</v>
      </c>
      <c r="E844" s="2" t="s">
        <v>331</v>
      </c>
      <c r="F844" s="15">
        <v>1464</v>
      </c>
      <c r="G844" s="41">
        <v>42775</v>
      </c>
      <c r="H844" s="15">
        <f t="shared" si="25"/>
        <v>1464</v>
      </c>
      <c r="I844" s="15">
        <f t="shared" si="26"/>
        <v>0</v>
      </c>
      <c r="J844" s="19"/>
    </row>
    <row r="845" spans="1:10" x14ac:dyDescent="0.25">
      <c r="A845" s="82">
        <v>42773</v>
      </c>
      <c r="B845" s="39" t="s">
        <v>5074</v>
      </c>
      <c r="C845" s="89"/>
      <c r="D845" s="18">
        <v>100181</v>
      </c>
      <c r="E845" s="2" t="s">
        <v>109</v>
      </c>
      <c r="F845" s="15">
        <v>4429.3999999999996</v>
      </c>
      <c r="G845" s="41">
        <v>42773</v>
      </c>
      <c r="H845" s="15">
        <f t="shared" si="25"/>
        <v>4429.3999999999996</v>
      </c>
      <c r="I845" s="15">
        <f t="shared" si="26"/>
        <v>0</v>
      </c>
      <c r="J845" s="19"/>
    </row>
    <row r="846" spans="1:10" x14ac:dyDescent="0.25">
      <c r="A846" s="82">
        <v>42773</v>
      </c>
      <c r="B846" s="39" t="s">
        <v>5075</v>
      </c>
      <c r="C846" s="89"/>
      <c r="D846" s="18">
        <v>100182</v>
      </c>
      <c r="E846" s="2" t="s">
        <v>1786</v>
      </c>
      <c r="F846" s="15">
        <v>4913.6000000000004</v>
      </c>
      <c r="G846" s="41">
        <v>42773</v>
      </c>
      <c r="H846" s="15">
        <f t="shared" si="25"/>
        <v>4913.6000000000004</v>
      </c>
      <c r="I846" s="15">
        <f t="shared" si="26"/>
        <v>0</v>
      </c>
      <c r="J846" s="19"/>
    </row>
    <row r="847" spans="1:10" x14ac:dyDescent="0.25">
      <c r="A847" s="82">
        <v>42773</v>
      </c>
      <c r="B847" s="39" t="s">
        <v>5076</v>
      </c>
      <c r="C847" s="89"/>
      <c r="D847" s="18">
        <v>100183</v>
      </c>
      <c r="E847" s="2" t="s">
        <v>186</v>
      </c>
      <c r="F847" s="15">
        <v>270.10000000000002</v>
      </c>
      <c r="G847" s="41">
        <v>42775</v>
      </c>
      <c r="H847" s="15">
        <f t="shared" si="25"/>
        <v>270.10000000000002</v>
      </c>
      <c r="I847" s="15">
        <f t="shared" si="26"/>
        <v>0</v>
      </c>
      <c r="J847" s="19"/>
    </row>
    <row r="848" spans="1:10" x14ac:dyDescent="0.25">
      <c r="A848" s="82">
        <v>42773</v>
      </c>
      <c r="B848" s="39" t="s">
        <v>5077</v>
      </c>
      <c r="C848" s="89"/>
      <c r="D848" s="18">
        <v>100184</v>
      </c>
      <c r="E848" s="2" t="s">
        <v>1310</v>
      </c>
      <c r="F848" s="15">
        <v>805.8</v>
      </c>
      <c r="G848" s="41">
        <v>42775</v>
      </c>
      <c r="H848" s="15">
        <f t="shared" si="25"/>
        <v>805.8</v>
      </c>
      <c r="I848" s="15">
        <f t="shared" si="26"/>
        <v>0</v>
      </c>
      <c r="J848" s="19"/>
    </row>
    <row r="849" spans="1:10" x14ac:dyDescent="0.25">
      <c r="A849" s="82">
        <v>42773</v>
      </c>
      <c r="B849" s="39" t="s">
        <v>5078</v>
      </c>
      <c r="C849" s="89"/>
      <c r="D849" s="18">
        <v>100185</v>
      </c>
      <c r="E849" s="2" t="s">
        <v>354</v>
      </c>
      <c r="F849" s="15">
        <v>1538.2</v>
      </c>
      <c r="G849" s="41">
        <v>42773</v>
      </c>
      <c r="H849" s="15">
        <f t="shared" si="25"/>
        <v>1538.2</v>
      </c>
      <c r="I849" s="15">
        <f t="shared" si="26"/>
        <v>0</v>
      </c>
      <c r="J849" s="19"/>
    </row>
    <row r="850" spans="1:10" x14ac:dyDescent="0.25">
      <c r="A850" s="82">
        <v>42773</v>
      </c>
      <c r="B850" s="39" t="s">
        <v>5079</v>
      </c>
      <c r="C850" s="89"/>
      <c r="D850" s="18">
        <v>100186</v>
      </c>
      <c r="E850" s="2" t="s">
        <v>528</v>
      </c>
      <c r="F850" s="15">
        <v>3372.5</v>
      </c>
      <c r="G850" s="41">
        <v>42775</v>
      </c>
      <c r="H850" s="15">
        <f t="shared" si="25"/>
        <v>3372.5</v>
      </c>
      <c r="I850" s="15">
        <f t="shared" si="26"/>
        <v>0</v>
      </c>
      <c r="J850" s="19"/>
    </row>
    <row r="851" spans="1:10" x14ac:dyDescent="0.25">
      <c r="A851" s="82">
        <v>42773</v>
      </c>
      <c r="B851" s="39" t="s">
        <v>5080</v>
      </c>
      <c r="C851" s="89"/>
      <c r="D851" s="18">
        <v>100187</v>
      </c>
      <c r="E851" s="2" t="s">
        <v>182</v>
      </c>
      <c r="F851" s="15">
        <v>2450</v>
      </c>
      <c r="G851" s="41">
        <v>42775</v>
      </c>
      <c r="H851" s="15">
        <f t="shared" si="25"/>
        <v>2450</v>
      </c>
      <c r="I851" s="15">
        <f t="shared" si="26"/>
        <v>0</v>
      </c>
      <c r="J851" s="19"/>
    </row>
    <row r="852" spans="1:10" x14ac:dyDescent="0.25">
      <c r="A852" s="82">
        <v>42773</v>
      </c>
      <c r="B852" s="39" t="s">
        <v>5081</v>
      </c>
      <c r="C852" s="89"/>
      <c r="D852" s="18">
        <v>100188</v>
      </c>
      <c r="E852" s="2" t="s">
        <v>193</v>
      </c>
      <c r="F852" s="15">
        <v>1747.2</v>
      </c>
      <c r="G852" s="41">
        <v>42775</v>
      </c>
      <c r="H852" s="15">
        <f t="shared" si="25"/>
        <v>1747.2</v>
      </c>
      <c r="I852" s="15">
        <f t="shared" si="26"/>
        <v>0</v>
      </c>
      <c r="J852" s="19"/>
    </row>
    <row r="853" spans="1:10" x14ac:dyDescent="0.25">
      <c r="A853" s="82">
        <v>42773</v>
      </c>
      <c r="B853" s="39" t="s">
        <v>5082</v>
      </c>
      <c r="C853" s="89"/>
      <c r="D853" s="18">
        <v>100189</v>
      </c>
      <c r="E853" s="2" t="s">
        <v>208</v>
      </c>
      <c r="F853" s="15">
        <v>13002.88</v>
      </c>
      <c r="G853" s="41">
        <v>42773</v>
      </c>
      <c r="H853" s="15">
        <f t="shared" si="25"/>
        <v>13002.88</v>
      </c>
      <c r="I853" s="15">
        <f t="shared" si="26"/>
        <v>0</v>
      </c>
      <c r="J853" s="19"/>
    </row>
    <row r="854" spans="1:10" x14ac:dyDescent="0.25">
      <c r="A854" s="82">
        <v>42773</v>
      </c>
      <c r="B854" s="39" t="s">
        <v>5083</v>
      </c>
      <c r="C854" s="89"/>
      <c r="D854" s="18">
        <v>100190</v>
      </c>
      <c r="E854" s="2" t="s">
        <v>2986</v>
      </c>
      <c r="F854" s="15">
        <v>3608</v>
      </c>
      <c r="G854" s="41">
        <v>42773</v>
      </c>
      <c r="H854" s="15">
        <f t="shared" si="25"/>
        <v>3608</v>
      </c>
      <c r="I854" s="15">
        <f t="shared" si="26"/>
        <v>0</v>
      </c>
      <c r="J854" s="19"/>
    </row>
    <row r="855" spans="1:10" x14ac:dyDescent="0.25">
      <c r="A855" s="82">
        <v>42773</v>
      </c>
      <c r="B855" s="39" t="s">
        <v>5084</v>
      </c>
      <c r="C855" s="89"/>
      <c r="D855" s="18">
        <v>100191</v>
      </c>
      <c r="E855" s="2" t="s">
        <v>298</v>
      </c>
      <c r="F855" s="15">
        <v>3289.5</v>
      </c>
      <c r="G855" s="41">
        <v>42773</v>
      </c>
      <c r="H855" s="15">
        <f t="shared" si="25"/>
        <v>3289.5</v>
      </c>
      <c r="I855" s="15">
        <f t="shared" si="26"/>
        <v>0</v>
      </c>
      <c r="J855" s="19"/>
    </row>
    <row r="856" spans="1:10" x14ac:dyDescent="0.25">
      <c r="A856" s="82">
        <v>42773</v>
      </c>
      <c r="B856" s="39" t="s">
        <v>5085</v>
      </c>
      <c r="C856" s="89"/>
      <c r="D856" s="18">
        <v>100192</v>
      </c>
      <c r="E856" s="2" t="s">
        <v>285</v>
      </c>
      <c r="F856" s="15">
        <v>950.8</v>
      </c>
      <c r="G856" s="41">
        <v>42773</v>
      </c>
      <c r="H856" s="15">
        <f t="shared" si="25"/>
        <v>950.8</v>
      </c>
      <c r="I856" s="15">
        <f t="shared" si="26"/>
        <v>0</v>
      </c>
      <c r="J856" s="19"/>
    </row>
    <row r="857" spans="1:10" x14ac:dyDescent="0.25">
      <c r="A857" s="82">
        <v>42773</v>
      </c>
      <c r="B857" s="39" t="s">
        <v>5086</v>
      </c>
      <c r="C857" s="89"/>
      <c r="D857" s="18">
        <v>100193</v>
      </c>
      <c r="E857" s="2" t="s">
        <v>285</v>
      </c>
      <c r="F857" s="15">
        <v>802.2</v>
      </c>
      <c r="G857" s="41">
        <v>42773</v>
      </c>
      <c r="H857" s="15">
        <f t="shared" si="25"/>
        <v>802.2</v>
      </c>
      <c r="I857" s="15">
        <f t="shared" si="26"/>
        <v>0</v>
      </c>
      <c r="J857" s="19"/>
    </row>
    <row r="858" spans="1:10" x14ac:dyDescent="0.25">
      <c r="A858" s="82">
        <v>42773</v>
      </c>
      <c r="B858" s="39" t="s">
        <v>5087</v>
      </c>
      <c r="C858" s="89"/>
      <c r="D858" s="18">
        <v>100194</v>
      </c>
      <c r="E858" s="2" t="s">
        <v>157</v>
      </c>
      <c r="F858" s="15">
        <v>21220.400000000001</v>
      </c>
      <c r="G858" s="41">
        <v>42773</v>
      </c>
      <c r="H858" s="15">
        <f t="shared" si="25"/>
        <v>21220.400000000001</v>
      </c>
      <c r="I858" s="15">
        <f t="shared" si="26"/>
        <v>0</v>
      </c>
      <c r="J858" s="19"/>
    </row>
    <row r="859" spans="1:10" x14ac:dyDescent="0.25">
      <c r="A859" s="82">
        <v>42773</v>
      </c>
      <c r="B859" s="39" t="s">
        <v>5088</v>
      </c>
      <c r="C859" s="89"/>
      <c r="D859" s="18">
        <v>100195</v>
      </c>
      <c r="E859" s="2" t="s">
        <v>349</v>
      </c>
      <c r="F859" s="15">
        <v>9819.7999999999993</v>
      </c>
      <c r="G859" s="41">
        <v>42775</v>
      </c>
      <c r="H859" s="15">
        <f t="shared" si="25"/>
        <v>9819.7999999999993</v>
      </c>
      <c r="I859" s="15">
        <f t="shared" si="26"/>
        <v>0</v>
      </c>
      <c r="J859" s="19"/>
    </row>
    <row r="860" spans="1:10" x14ac:dyDescent="0.25">
      <c r="A860" s="82">
        <v>42773</v>
      </c>
      <c r="B860" s="39" t="s">
        <v>5089</v>
      </c>
      <c r="C860" s="89"/>
      <c r="D860" s="18">
        <v>100196</v>
      </c>
      <c r="E860" s="2" t="s">
        <v>476</v>
      </c>
      <c r="F860" s="15">
        <v>7739.4</v>
      </c>
      <c r="G860" s="41">
        <v>42781</v>
      </c>
      <c r="H860" s="15">
        <f t="shared" si="25"/>
        <v>7739.4</v>
      </c>
      <c r="I860" s="15">
        <f t="shared" si="26"/>
        <v>0</v>
      </c>
      <c r="J860" s="19"/>
    </row>
    <row r="861" spans="1:10" x14ac:dyDescent="0.25">
      <c r="A861" s="82">
        <v>42773</v>
      </c>
      <c r="B861" s="39" t="s">
        <v>5090</v>
      </c>
      <c r="C861" s="89"/>
      <c r="D861" s="18">
        <v>100197</v>
      </c>
      <c r="E861" s="2" t="s">
        <v>305</v>
      </c>
      <c r="F861" s="15">
        <v>4518.3999999999996</v>
      </c>
      <c r="G861" s="41">
        <v>42784</v>
      </c>
      <c r="H861" s="15">
        <f t="shared" si="25"/>
        <v>4518.3999999999996</v>
      </c>
      <c r="I861" s="15">
        <f t="shared" si="26"/>
        <v>0</v>
      </c>
      <c r="J861" s="19"/>
    </row>
    <row r="862" spans="1:10" x14ac:dyDescent="0.25">
      <c r="A862" s="82">
        <v>42773</v>
      </c>
      <c r="B862" s="39" t="s">
        <v>5091</v>
      </c>
      <c r="C862" s="89"/>
      <c r="D862" s="18">
        <v>100198</v>
      </c>
      <c r="E862" s="2" t="s">
        <v>305</v>
      </c>
      <c r="F862" s="15">
        <v>1957.4</v>
      </c>
      <c r="G862" s="41">
        <v>42784</v>
      </c>
      <c r="H862" s="15">
        <f t="shared" si="25"/>
        <v>1957.4</v>
      </c>
      <c r="I862" s="15">
        <f t="shared" si="26"/>
        <v>0</v>
      </c>
      <c r="J862" s="19"/>
    </row>
    <row r="863" spans="1:10" x14ac:dyDescent="0.25">
      <c r="A863" s="82">
        <v>42773</v>
      </c>
      <c r="B863" s="39" t="s">
        <v>5092</v>
      </c>
      <c r="C863" s="89"/>
      <c r="D863" s="18">
        <v>100199</v>
      </c>
      <c r="E863" s="2" t="s">
        <v>285</v>
      </c>
      <c r="F863" s="15">
        <v>62.4</v>
      </c>
      <c r="G863" s="41">
        <v>42773</v>
      </c>
      <c r="H863" s="15">
        <f t="shared" si="25"/>
        <v>62.4</v>
      </c>
      <c r="I863" s="15">
        <f t="shared" si="26"/>
        <v>0</v>
      </c>
      <c r="J863" s="19"/>
    </row>
    <row r="864" spans="1:10" x14ac:dyDescent="0.25">
      <c r="A864" s="82">
        <v>42773</v>
      </c>
      <c r="B864" s="39" t="s">
        <v>5093</v>
      </c>
      <c r="C864" s="89"/>
      <c r="D864" s="18">
        <v>100200</v>
      </c>
      <c r="E864" s="2" t="s">
        <v>115</v>
      </c>
      <c r="F864" s="15">
        <v>3440.9</v>
      </c>
      <c r="G864" s="41">
        <v>42773</v>
      </c>
      <c r="H864" s="15">
        <f t="shared" si="25"/>
        <v>3440.9</v>
      </c>
      <c r="I864" s="15">
        <f t="shared" si="26"/>
        <v>0</v>
      </c>
      <c r="J864" s="19"/>
    </row>
    <row r="865" spans="1:10" x14ac:dyDescent="0.25">
      <c r="A865" s="82">
        <v>42773</v>
      </c>
      <c r="B865" s="39" t="s">
        <v>5094</v>
      </c>
      <c r="C865" s="89"/>
      <c r="D865" s="18">
        <v>100201</v>
      </c>
      <c r="E865" s="2" t="s">
        <v>838</v>
      </c>
      <c r="F865" s="15">
        <v>1884.6</v>
      </c>
      <c r="G865" s="41">
        <v>42773</v>
      </c>
      <c r="H865" s="15">
        <f t="shared" si="25"/>
        <v>1884.6</v>
      </c>
      <c r="I865" s="15">
        <f t="shared" si="26"/>
        <v>0</v>
      </c>
      <c r="J865" s="19"/>
    </row>
    <row r="866" spans="1:10" x14ac:dyDescent="0.25">
      <c r="A866" s="82">
        <v>42773</v>
      </c>
      <c r="B866" s="39" t="s">
        <v>5095</v>
      </c>
      <c r="C866" s="89"/>
      <c r="D866" s="18">
        <v>100202</v>
      </c>
      <c r="E866" s="2" t="s">
        <v>159</v>
      </c>
      <c r="F866" s="15">
        <v>7581.1</v>
      </c>
      <c r="G866" s="41">
        <v>42773</v>
      </c>
      <c r="H866" s="15">
        <f t="shared" si="25"/>
        <v>7581.1</v>
      </c>
      <c r="I866" s="15">
        <f t="shared" si="26"/>
        <v>0</v>
      </c>
      <c r="J866" s="19"/>
    </row>
    <row r="867" spans="1:10" x14ac:dyDescent="0.25">
      <c r="A867" s="82">
        <v>42773</v>
      </c>
      <c r="B867" s="39" t="s">
        <v>5096</v>
      </c>
      <c r="C867" s="89"/>
      <c r="D867" s="18">
        <v>100203</v>
      </c>
      <c r="E867" s="2" t="s">
        <v>205</v>
      </c>
      <c r="F867" s="15">
        <v>9850</v>
      </c>
      <c r="G867" s="41">
        <v>42773</v>
      </c>
      <c r="H867" s="15">
        <f t="shared" si="25"/>
        <v>9850</v>
      </c>
      <c r="I867" s="15">
        <f t="shared" si="26"/>
        <v>0</v>
      </c>
      <c r="J867" s="19"/>
    </row>
    <row r="868" spans="1:10" x14ac:dyDescent="0.25">
      <c r="A868" s="82">
        <v>42773</v>
      </c>
      <c r="B868" s="39" t="s">
        <v>5097</v>
      </c>
      <c r="C868" s="89"/>
      <c r="D868" s="18">
        <v>100204</v>
      </c>
      <c r="E868" s="2" t="s">
        <v>30</v>
      </c>
      <c r="F868" s="15">
        <v>22746</v>
      </c>
      <c r="G868" s="41">
        <v>42773</v>
      </c>
      <c r="H868" s="15">
        <f t="shared" si="25"/>
        <v>22746</v>
      </c>
      <c r="I868" s="15">
        <f t="shared" si="26"/>
        <v>0</v>
      </c>
      <c r="J868" s="19"/>
    </row>
    <row r="869" spans="1:10" x14ac:dyDescent="0.25">
      <c r="A869" s="82">
        <v>42773</v>
      </c>
      <c r="B869" s="39" t="s">
        <v>5098</v>
      </c>
      <c r="C869" s="89"/>
      <c r="D869" s="18">
        <v>100205</v>
      </c>
      <c r="E869" s="2" t="s">
        <v>2240</v>
      </c>
      <c r="F869" s="15">
        <v>5850.8</v>
      </c>
      <c r="G869" s="41">
        <v>42773</v>
      </c>
      <c r="H869" s="15">
        <f t="shared" si="25"/>
        <v>5850.8</v>
      </c>
      <c r="I869" s="15">
        <f t="shared" si="26"/>
        <v>0</v>
      </c>
      <c r="J869" s="19"/>
    </row>
    <row r="870" spans="1:10" x14ac:dyDescent="0.25">
      <c r="A870" s="82">
        <v>42773</v>
      </c>
      <c r="B870" s="39" t="s">
        <v>5099</v>
      </c>
      <c r="C870" s="89"/>
      <c r="D870" s="18">
        <v>100206</v>
      </c>
      <c r="E870" s="13" t="s">
        <v>10</v>
      </c>
      <c r="F870" s="14">
        <v>0</v>
      </c>
      <c r="G870" s="88" t="s">
        <v>95</v>
      </c>
      <c r="H870" s="14">
        <f t="shared" si="25"/>
        <v>0</v>
      </c>
      <c r="I870" s="14">
        <f t="shared" si="26"/>
        <v>0</v>
      </c>
      <c r="J870" s="19"/>
    </row>
    <row r="871" spans="1:10" x14ac:dyDescent="0.25">
      <c r="A871" s="82">
        <v>42773</v>
      </c>
      <c r="B871" s="39" t="s">
        <v>5100</v>
      </c>
      <c r="C871" s="89"/>
      <c r="D871" s="18">
        <v>100207</v>
      </c>
      <c r="E871" s="13" t="s">
        <v>10</v>
      </c>
      <c r="F871" s="14">
        <v>0</v>
      </c>
      <c r="G871" s="88" t="s">
        <v>95</v>
      </c>
      <c r="H871" s="14">
        <f t="shared" si="25"/>
        <v>0</v>
      </c>
      <c r="I871" s="14">
        <f t="shared" si="26"/>
        <v>0</v>
      </c>
      <c r="J871" s="19"/>
    </row>
    <row r="872" spans="1:10" x14ac:dyDescent="0.25">
      <c r="A872" s="82">
        <v>42773</v>
      </c>
      <c r="B872" s="39" t="s">
        <v>5101</v>
      </c>
      <c r="C872" s="89"/>
      <c r="D872" s="18">
        <v>100208</v>
      </c>
      <c r="E872" s="2" t="s">
        <v>2736</v>
      </c>
      <c r="F872" s="15">
        <v>480</v>
      </c>
      <c r="G872" s="41">
        <v>42773</v>
      </c>
      <c r="H872" s="15">
        <f t="shared" si="25"/>
        <v>480</v>
      </c>
      <c r="I872" s="15">
        <f t="shared" si="26"/>
        <v>0</v>
      </c>
      <c r="J872" s="19"/>
    </row>
    <row r="873" spans="1:10" x14ac:dyDescent="0.25">
      <c r="A873" s="82">
        <v>42773</v>
      </c>
      <c r="B873" s="39" t="s">
        <v>5102</v>
      </c>
      <c r="C873" s="89"/>
      <c r="D873" s="18">
        <v>100209</v>
      </c>
      <c r="E873" s="2" t="s">
        <v>879</v>
      </c>
      <c r="F873" s="15">
        <v>3168</v>
      </c>
      <c r="G873" s="41">
        <v>42773</v>
      </c>
      <c r="H873" s="15">
        <f t="shared" si="25"/>
        <v>3168</v>
      </c>
      <c r="I873" s="15">
        <f t="shared" si="26"/>
        <v>0</v>
      </c>
      <c r="J873" s="19"/>
    </row>
    <row r="874" spans="1:10" x14ac:dyDescent="0.25">
      <c r="A874" s="82">
        <v>42773</v>
      </c>
      <c r="B874" s="39" t="s">
        <v>5103</v>
      </c>
      <c r="C874" s="89"/>
      <c r="D874" s="18">
        <v>100210</v>
      </c>
      <c r="E874" s="2" t="s">
        <v>921</v>
      </c>
      <c r="F874" s="15">
        <v>6714.8</v>
      </c>
      <c r="G874" s="41">
        <v>42773</v>
      </c>
      <c r="H874" s="15">
        <f t="shared" si="25"/>
        <v>6714.8</v>
      </c>
      <c r="I874" s="15">
        <f t="shared" si="26"/>
        <v>0</v>
      </c>
      <c r="J874" s="19"/>
    </row>
    <row r="875" spans="1:10" x14ac:dyDescent="0.25">
      <c r="A875" s="82">
        <v>42773</v>
      </c>
      <c r="B875" s="39" t="s">
        <v>5104</v>
      </c>
      <c r="C875" s="89"/>
      <c r="D875" s="18">
        <v>100211</v>
      </c>
      <c r="E875" s="2" t="s">
        <v>319</v>
      </c>
      <c r="F875" s="15">
        <v>240</v>
      </c>
      <c r="G875" s="41">
        <v>42774</v>
      </c>
      <c r="H875" s="15">
        <f t="shared" si="25"/>
        <v>240</v>
      </c>
      <c r="I875" s="15">
        <f t="shared" si="26"/>
        <v>0</v>
      </c>
      <c r="J875" s="19"/>
    </row>
    <row r="876" spans="1:10" x14ac:dyDescent="0.25">
      <c r="A876" s="82">
        <v>42773</v>
      </c>
      <c r="B876" s="39" t="s">
        <v>5105</v>
      </c>
      <c r="C876" s="89"/>
      <c r="D876" s="18">
        <v>100212</v>
      </c>
      <c r="E876" s="2" t="s">
        <v>8</v>
      </c>
      <c r="F876" s="15">
        <v>3571.2</v>
      </c>
      <c r="G876" s="41">
        <v>42774</v>
      </c>
      <c r="H876" s="15">
        <f t="shared" si="25"/>
        <v>3571.2</v>
      </c>
      <c r="I876" s="15">
        <f t="shared" si="26"/>
        <v>0</v>
      </c>
      <c r="J876" s="19"/>
    </row>
    <row r="877" spans="1:10" x14ac:dyDescent="0.25">
      <c r="A877" s="82">
        <v>42773</v>
      </c>
      <c r="B877" s="39" t="s">
        <v>5106</v>
      </c>
      <c r="C877" s="89"/>
      <c r="D877" s="18">
        <v>100213</v>
      </c>
      <c r="E877" s="2" t="s">
        <v>10</v>
      </c>
      <c r="F877" s="15">
        <v>242180.64</v>
      </c>
      <c r="G877" s="41">
        <v>42777</v>
      </c>
      <c r="H877" s="15">
        <f t="shared" si="25"/>
        <v>242180.64</v>
      </c>
      <c r="I877" s="15">
        <f t="shared" si="26"/>
        <v>0</v>
      </c>
      <c r="J877" s="19"/>
    </row>
    <row r="878" spans="1:10" x14ac:dyDescent="0.25">
      <c r="A878" s="82">
        <v>42773</v>
      </c>
      <c r="B878" s="39" t="s">
        <v>5107</v>
      </c>
      <c r="C878" s="89"/>
      <c r="D878" s="18">
        <v>100214</v>
      </c>
      <c r="E878" s="2" t="s">
        <v>531</v>
      </c>
      <c r="F878" s="15">
        <v>31591.8</v>
      </c>
      <c r="G878" s="41">
        <v>42775</v>
      </c>
      <c r="H878" s="15">
        <f t="shared" si="25"/>
        <v>31591.8</v>
      </c>
      <c r="I878" s="15">
        <f t="shared" si="26"/>
        <v>0</v>
      </c>
      <c r="J878" s="19"/>
    </row>
    <row r="879" spans="1:10" x14ac:dyDescent="0.25">
      <c r="A879" s="82">
        <v>42773</v>
      </c>
      <c r="B879" s="39" t="s">
        <v>5108</v>
      </c>
      <c r="C879" s="89"/>
      <c r="D879" s="18">
        <v>100215</v>
      </c>
      <c r="E879" s="2" t="s">
        <v>10</v>
      </c>
      <c r="F879" s="15">
        <v>51980</v>
      </c>
      <c r="G879" s="41">
        <v>42777</v>
      </c>
      <c r="H879" s="15">
        <f t="shared" si="25"/>
        <v>51980</v>
      </c>
      <c r="I879" s="15">
        <f t="shared" si="26"/>
        <v>0</v>
      </c>
      <c r="J879" s="19"/>
    </row>
    <row r="880" spans="1:10" x14ac:dyDescent="0.25">
      <c r="A880" s="82">
        <v>42773</v>
      </c>
      <c r="B880" s="39" t="s">
        <v>5109</v>
      </c>
      <c r="C880" s="89"/>
      <c r="D880" s="18">
        <v>100216</v>
      </c>
      <c r="E880" s="2" t="s">
        <v>253</v>
      </c>
      <c r="F880" s="15">
        <v>139.19999999999999</v>
      </c>
      <c r="G880" s="41">
        <v>42774</v>
      </c>
      <c r="H880" s="15">
        <f t="shared" si="25"/>
        <v>139.19999999999999</v>
      </c>
      <c r="I880" s="15">
        <f t="shared" si="26"/>
        <v>0</v>
      </c>
      <c r="J880" s="19"/>
    </row>
    <row r="881" spans="1:10" x14ac:dyDescent="0.25">
      <c r="A881" s="82">
        <v>42773</v>
      </c>
      <c r="B881" s="39" t="s">
        <v>5110</v>
      </c>
      <c r="C881" s="89"/>
      <c r="D881" s="18">
        <v>100217</v>
      </c>
      <c r="E881" s="2" t="s">
        <v>352</v>
      </c>
      <c r="F881" s="15">
        <v>5817.5</v>
      </c>
      <c r="G881" s="41">
        <v>42773</v>
      </c>
      <c r="H881" s="15">
        <f t="shared" si="25"/>
        <v>5817.5</v>
      </c>
      <c r="I881" s="15">
        <f t="shared" si="26"/>
        <v>0</v>
      </c>
      <c r="J881" s="19"/>
    </row>
    <row r="882" spans="1:10" x14ac:dyDescent="0.25">
      <c r="A882" s="82">
        <v>42773</v>
      </c>
      <c r="B882" s="39" t="s">
        <v>5111</v>
      </c>
      <c r="C882" s="89"/>
      <c r="D882" s="18">
        <v>100218</v>
      </c>
      <c r="E882" s="2" t="s">
        <v>319</v>
      </c>
      <c r="F882" s="15">
        <v>3168</v>
      </c>
      <c r="G882" s="41">
        <v>42774</v>
      </c>
      <c r="H882" s="15">
        <f t="shared" si="25"/>
        <v>3168</v>
      </c>
      <c r="I882" s="15">
        <f t="shared" si="26"/>
        <v>0</v>
      </c>
      <c r="J882" s="19"/>
    </row>
    <row r="883" spans="1:10" x14ac:dyDescent="0.25">
      <c r="A883" s="82">
        <v>42773</v>
      </c>
      <c r="B883" s="39" t="s">
        <v>5112</v>
      </c>
      <c r="C883" s="89"/>
      <c r="D883" s="18">
        <v>100219</v>
      </c>
      <c r="E883" s="2" t="s">
        <v>5113</v>
      </c>
      <c r="F883" s="15">
        <v>4934.3999999999996</v>
      </c>
      <c r="G883" s="41">
        <v>42773</v>
      </c>
      <c r="H883" s="15">
        <f t="shared" si="25"/>
        <v>4934.3999999999996</v>
      </c>
      <c r="I883" s="15">
        <f t="shared" si="26"/>
        <v>0</v>
      </c>
      <c r="J883" s="19"/>
    </row>
    <row r="884" spans="1:10" x14ac:dyDescent="0.25">
      <c r="A884" s="82">
        <v>42773</v>
      </c>
      <c r="B884" s="39" t="s">
        <v>5114</v>
      </c>
      <c r="C884" s="89"/>
      <c r="D884" s="18">
        <v>100220</v>
      </c>
      <c r="E884" s="2" t="s">
        <v>459</v>
      </c>
      <c r="F884" s="15">
        <v>2310</v>
      </c>
      <c r="G884" s="41">
        <v>42774</v>
      </c>
      <c r="H884" s="15">
        <f t="shared" si="25"/>
        <v>2310</v>
      </c>
      <c r="I884" s="15">
        <f t="shared" si="26"/>
        <v>0</v>
      </c>
      <c r="J884" s="19"/>
    </row>
    <row r="885" spans="1:10" x14ac:dyDescent="0.25">
      <c r="A885" s="82">
        <v>42773</v>
      </c>
      <c r="B885" s="39" t="s">
        <v>5115</v>
      </c>
      <c r="C885" s="89"/>
      <c r="D885" s="18">
        <v>100221</v>
      </c>
      <c r="E885" s="2" t="s">
        <v>1380</v>
      </c>
      <c r="F885" s="15">
        <v>3648</v>
      </c>
      <c r="G885" s="41">
        <v>42775</v>
      </c>
      <c r="H885" s="15">
        <f t="shared" ref="H885:H948" si="27">F885</f>
        <v>3648</v>
      </c>
      <c r="I885" s="15">
        <f t="shared" si="26"/>
        <v>0</v>
      </c>
      <c r="J885" s="19"/>
    </row>
    <row r="886" spans="1:10" x14ac:dyDescent="0.25">
      <c r="A886" s="82">
        <v>42773</v>
      </c>
      <c r="B886" s="39" t="s">
        <v>5116</v>
      </c>
      <c r="C886" s="89"/>
      <c r="D886" s="18">
        <v>100222</v>
      </c>
      <c r="E886" s="2" t="s">
        <v>426</v>
      </c>
      <c r="F886" s="15">
        <v>29078.400000000001</v>
      </c>
      <c r="G886" s="41">
        <v>42782</v>
      </c>
      <c r="H886" s="15">
        <f t="shared" si="27"/>
        <v>29078.400000000001</v>
      </c>
      <c r="I886" s="15">
        <f t="shared" si="26"/>
        <v>0</v>
      </c>
      <c r="J886" s="19"/>
    </row>
    <row r="887" spans="1:10" x14ac:dyDescent="0.25">
      <c r="A887" s="82">
        <v>42773</v>
      </c>
      <c r="B887" s="39" t="s">
        <v>5117</v>
      </c>
      <c r="C887" s="89"/>
      <c r="D887" s="18">
        <v>100223</v>
      </c>
      <c r="E887" s="2" t="s">
        <v>1830</v>
      </c>
      <c r="F887" s="15">
        <v>24063.3</v>
      </c>
      <c r="G887" s="41">
        <v>42774</v>
      </c>
      <c r="H887" s="15">
        <f t="shared" si="27"/>
        <v>24063.3</v>
      </c>
      <c r="I887" s="15">
        <f t="shared" si="26"/>
        <v>0</v>
      </c>
      <c r="J887" s="19"/>
    </row>
    <row r="888" spans="1:10" x14ac:dyDescent="0.25">
      <c r="A888" s="82">
        <v>42773</v>
      </c>
      <c r="B888" s="39" t="s">
        <v>5118</v>
      </c>
      <c r="C888" s="89"/>
      <c r="D888" s="18">
        <v>100224</v>
      </c>
      <c r="E888" s="2" t="s">
        <v>468</v>
      </c>
      <c r="F888" s="15">
        <v>17120.7</v>
      </c>
      <c r="G888" s="41">
        <v>42782</v>
      </c>
      <c r="H888" s="15">
        <f t="shared" si="27"/>
        <v>17120.7</v>
      </c>
      <c r="I888" s="15">
        <f t="shared" si="26"/>
        <v>0</v>
      </c>
      <c r="J888" s="19"/>
    </row>
    <row r="889" spans="1:10" x14ac:dyDescent="0.25">
      <c r="A889" s="82">
        <v>42773</v>
      </c>
      <c r="B889" s="39" t="s">
        <v>5119</v>
      </c>
      <c r="C889" s="89"/>
      <c r="D889" s="18">
        <v>100225</v>
      </c>
      <c r="E889" s="2" t="s">
        <v>465</v>
      </c>
      <c r="F889" s="15">
        <v>9933.6</v>
      </c>
      <c r="G889" s="41">
        <v>42782</v>
      </c>
      <c r="H889" s="15">
        <f t="shared" si="27"/>
        <v>9933.6</v>
      </c>
      <c r="I889" s="15">
        <f t="shared" ref="I889:I952" si="28">F889-H889</f>
        <v>0</v>
      </c>
      <c r="J889" s="19"/>
    </row>
    <row r="890" spans="1:10" x14ac:dyDescent="0.25">
      <c r="A890" s="82">
        <v>42773</v>
      </c>
      <c r="B890" s="39" t="s">
        <v>5120</v>
      </c>
      <c r="C890" s="89"/>
      <c r="D890" s="18">
        <v>100226</v>
      </c>
      <c r="E890" s="2" t="s">
        <v>10</v>
      </c>
      <c r="F890" s="15">
        <v>41694.720000000001</v>
      </c>
      <c r="G890" s="41">
        <v>42781</v>
      </c>
      <c r="H890" s="15">
        <f t="shared" si="27"/>
        <v>41694.720000000001</v>
      </c>
      <c r="I890" s="15">
        <f t="shared" si="28"/>
        <v>0</v>
      </c>
      <c r="J890" s="19"/>
    </row>
    <row r="891" spans="1:10" x14ac:dyDescent="0.25">
      <c r="A891" s="82">
        <v>42773</v>
      </c>
      <c r="B891" s="39" t="s">
        <v>5121</v>
      </c>
      <c r="C891" s="89"/>
      <c r="D891" s="18">
        <v>100227</v>
      </c>
      <c r="E891" s="2" t="s">
        <v>509</v>
      </c>
      <c r="F891" s="15">
        <v>508.4</v>
      </c>
      <c r="G891" s="41">
        <v>42773</v>
      </c>
      <c r="H891" s="15">
        <f t="shared" si="27"/>
        <v>508.4</v>
      </c>
      <c r="I891" s="15">
        <f t="shared" si="28"/>
        <v>0</v>
      </c>
      <c r="J891" s="19"/>
    </row>
    <row r="892" spans="1:10" x14ac:dyDescent="0.25">
      <c r="A892" s="82">
        <v>42773</v>
      </c>
      <c r="B892" s="39" t="s">
        <v>5122</v>
      </c>
      <c r="C892" s="89"/>
      <c r="D892" s="18">
        <v>100228</v>
      </c>
      <c r="E892" s="2" t="s">
        <v>222</v>
      </c>
      <c r="F892" s="15">
        <v>239148</v>
      </c>
      <c r="G892" s="41">
        <v>42776</v>
      </c>
      <c r="H892" s="15">
        <f t="shared" si="27"/>
        <v>239148</v>
      </c>
      <c r="I892" s="15">
        <f t="shared" si="28"/>
        <v>0</v>
      </c>
      <c r="J892" s="19"/>
    </row>
    <row r="893" spans="1:10" x14ac:dyDescent="0.25">
      <c r="A893" s="82">
        <v>42773</v>
      </c>
      <c r="B893" s="39" t="s">
        <v>5123</v>
      </c>
      <c r="C893" s="89"/>
      <c r="D893" s="18">
        <v>100229</v>
      </c>
      <c r="E893" s="2" t="s">
        <v>176</v>
      </c>
      <c r="F893" s="15">
        <v>620.4</v>
      </c>
      <c r="G893" s="41">
        <v>42773</v>
      </c>
      <c r="H893" s="15">
        <f t="shared" si="27"/>
        <v>620.4</v>
      </c>
      <c r="I893" s="15">
        <f t="shared" si="28"/>
        <v>0</v>
      </c>
      <c r="J893" s="19"/>
    </row>
    <row r="894" spans="1:10" x14ac:dyDescent="0.25">
      <c r="A894" s="82">
        <v>42773</v>
      </c>
      <c r="B894" s="39" t="s">
        <v>5124</v>
      </c>
      <c r="C894" s="89"/>
      <c r="D894" s="18">
        <v>100230</v>
      </c>
      <c r="E894" s="2" t="s">
        <v>509</v>
      </c>
      <c r="F894" s="15">
        <v>434</v>
      </c>
      <c r="G894" s="41">
        <v>42773</v>
      </c>
      <c r="H894" s="15">
        <f t="shared" si="27"/>
        <v>434</v>
      </c>
      <c r="I894" s="15">
        <f t="shared" si="28"/>
        <v>0</v>
      </c>
      <c r="J894" s="19"/>
    </row>
    <row r="895" spans="1:10" x14ac:dyDescent="0.25">
      <c r="A895" s="82">
        <v>42773</v>
      </c>
      <c r="B895" s="39" t="s">
        <v>5125</v>
      </c>
      <c r="C895" s="89"/>
      <c r="D895" s="18">
        <v>100231</v>
      </c>
      <c r="E895" s="2" t="s">
        <v>211</v>
      </c>
      <c r="F895" s="15">
        <v>8792.4</v>
      </c>
      <c r="H895" s="15">
        <f t="shared" si="27"/>
        <v>8792.4</v>
      </c>
      <c r="I895" s="15">
        <f t="shared" si="28"/>
        <v>0</v>
      </c>
      <c r="J895" s="19"/>
    </row>
    <row r="896" spans="1:10" ht="30" x14ac:dyDescent="0.25">
      <c r="A896" s="82">
        <v>42774</v>
      </c>
      <c r="B896" s="39" t="s">
        <v>5126</v>
      </c>
      <c r="C896" s="89"/>
      <c r="D896" s="18">
        <v>100232</v>
      </c>
      <c r="E896" s="2" t="s">
        <v>231</v>
      </c>
      <c r="F896" s="15">
        <v>7443.4</v>
      </c>
      <c r="G896" s="87" t="s">
        <v>4594</v>
      </c>
      <c r="H896" s="20">
        <f>6000+1443.4</f>
        <v>7443.4</v>
      </c>
      <c r="I896" s="20">
        <f t="shared" si="28"/>
        <v>0</v>
      </c>
      <c r="J896" s="19"/>
    </row>
    <row r="897" spans="1:10" x14ac:dyDescent="0.25">
      <c r="A897" s="82">
        <v>42774</v>
      </c>
      <c r="B897" s="39" t="s">
        <v>5127</v>
      </c>
      <c r="C897" s="89"/>
      <c r="D897" s="18">
        <v>100233</v>
      </c>
      <c r="E897" s="2" t="s">
        <v>32</v>
      </c>
      <c r="F897" s="15">
        <v>8752.5</v>
      </c>
      <c r="G897" s="41">
        <v>42776</v>
      </c>
      <c r="H897" s="15">
        <f t="shared" si="27"/>
        <v>8752.5</v>
      </c>
      <c r="I897" s="15">
        <f t="shared" si="28"/>
        <v>0</v>
      </c>
      <c r="J897" s="19"/>
    </row>
    <row r="898" spans="1:10" x14ac:dyDescent="0.25">
      <c r="A898" s="82">
        <v>42774</v>
      </c>
      <c r="B898" s="39" t="s">
        <v>5128</v>
      </c>
      <c r="C898" s="89"/>
      <c r="D898" s="18">
        <v>100234</v>
      </c>
      <c r="E898" s="2" t="s">
        <v>32</v>
      </c>
      <c r="F898" s="15">
        <v>5625</v>
      </c>
      <c r="G898" s="41">
        <v>42781</v>
      </c>
      <c r="H898" s="15">
        <f t="shared" si="27"/>
        <v>5625</v>
      </c>
      <c r="I898" s="15">
        <f t="shared" si="28"/>
        <v>0</v>
      </c>
      <c r="J898" s="19"/>
    </row>
    <row r="899" spans="1:10" x14ac:dyDescent="0.25">
      <c r="A899" s="82">
        <v>42774</v>
      </c>
      <c r="B899" s="39" t="s">
        <v>5129</v>
      </c>
      <c r="C899" s="89"/>
      <c r="D899" s="18">
        <v>100235</v>
      </c>
      <c r="E899" s="2" t="s">
        <v>55</v>
      </c>
      <c r="F899" s="15">
        <v>27641.200000000001</v>
      </c>
      <c r="G899" s="41">
        <v>42774</v>
      </c>
      <c r="H899" s="15">
        <f t="shared" si="27"/>
        <v>27641.200000000001</v>
      </c>
      <c r="I899" s="15">
        <f t="shared" si="28"/>
        <v>0</v>
      </c>
      <c r="J899" s="19"/>
    </row>
    <row r="900" spans="1:10" ht="30" x14ac:dyDescent="0.25">
      <c r="A900" s="82">
        <v>42774</v>
      </c>
      <c r="B900" s="39" t="s">
        <v>5130</v>
      </c>
      <c r="C900" s="89"/>
      <c r="D900" s="18">
        <v>100236</v>
      </c>
      <c r="E900" s="2" t="s">
        <v>38</v>
      </c>
      <c r="F900" s="15">
        <v>2805</v>
      </c>
      <c r="G900" s="87" t="s">
        <v>5131</v>
      </c>
      <c r="H900" s="20">
        <f>2000+805</f>
        <v>2805</v>
      </c>
      <c r="I900" s="20">
        <f t="shared" si="28"/>
        <v>0</v>
      </c>
      <c r="J900" s="19"/>
    </row>
    <row r="901" spans="1:10" x14ac:dyDescent="0.25">
      <c r="A901" s="82">
        <v>42774</v>
      </c>
      <c r="B901" s="39" t="s">
        <v>5132</v>
      </c>
      <c r="C901" s="89"/>
      <c r="D901" s="18">
        <v>100237</v>
      </c>
      <c r="E901" s="2" t="s">
        <v>231</v>
      </c>
      <c r="F901" s="15">
        <v>42712</v>
      </c>
      <c r="G901" s="41">
        <v>42775</v>
      </c>
      <c r="H901" s="15">
        <f t="shared" si="27"/>
        <v>42712</v>
      </c>
      <c r="I901" s="15">
        <f t="shared" si="28"/>
        <v>0</v>
      </c>
      <c r="J901" s="19"/>
    </row>
    <row r="902" spans="1:10" x14ac:dyDescent="0.25">
      <c r="A902" s="82">
        <v>42774</v>
      </c>
      <c r="B902" s="39" t="s">
        <v>5133</v>
      </c>
      <c r="C902" s="89"/>
      <c r="D902" s="18">
        <v>100238</v>
      </c>
      <c r="E902" s="2" t="s">
        <v>55</v>
      </c>
      <c r="F902" s="15">
        <v>3242.2</v>
      </c>
      <c r="G902" s="41">
        <v>42774</v>
      </c>
      <c r="H902" s="15">
        <f t="shared" si="27"/>
        <v>3242.2</v>
      </c>
      <c r="I902" s="15">
        <f t="shared" si="28"/>
        <v>0</v>
      </c>
      <c r="J902" s="19"/>
    </row>
    <row r="903" spans="1:10" x14ac:dyDescent="0.25">
      <c r="A903" s="82">
        <v>42774</v>
      </c>
      <c r="B903" s="39" t="s">
        <v>5134</v>
      </c>
      <c r="C903" s="89"/>
      <c r="D903" s="18">
        <v>100239</v>
      </c>
      <c r="E903" s="2" t="s">
        <v>43</v>
      </c>
      <c r="F903" s="15">
        <v>3865.4</v>
      </c>
      <c r="G903" s="41">
        <v>42776</v>
      </c>
      <c r="H903" s="15">
        <f t="shared" si="27"/>
        <v>3865.4</v>
      </c>
      <c r="I903" s="15">
        <f t="shared" si="28"/>
        <v>0</v>
      </c>
      <c r="J903" s="19"/>
    </row>
    <row r="904" spans="1:10" x14ac:dyDescent="0.25">
      <c r="A904" s="82">
        <v>42774</v>
      </c>
      <c r="B904" s="39" t="s">
        <v>5135</v>
      </c>
      <c r="C904" s="89"/>
      <c r="D904" s="18">
        <v>100240</v>
      </c>
      <c r="E904" s="2" t="s">
        <v>28</v>
      </c>
      <c r="F904" s="15">
        <v>5202</v>
      </c>
      <c r="G904" s="41">
        <v>42774</v>
      </c>
      <c r="H904" s="15">
        <f t="shared" si="27"/>
        <v>5202</v>
      </c>
      <c r="I904" s="15">
        <f t="shared" si="28"/>
        <v>0</v>
      </c>
      <c r="J904" s="19"/>
    </row>
    <row r="905" spans="1:10" x14ac:dyDescent="0.25">
      <c r="A905" s="82">
        <v>42774</v>
      </c>
      <c r="B905" s="39" t="s">
        <v>5136</v>
      </c>
      <c r="C905" s="89"/>
      <c r="D905" s="18">
        <v>100241</v>
      </c>
      <c r="E905" s="2" t="s">
        <v>428</v>
      </c>
      <c r="F905" s="15">
        <v>1635</v>
      </c>
      <c r="G905" s="41">
        <v>42777</v>
      </c>
      <c r="H905" s="15">
        <f t="shared" si="27"/>
        <v>1635</v>
      </c>
      <c r="I905" s="15">
        <f t="shared" si="28"/>
        <v>0</v>
      </c>
      <c r="J905" s="19"/>
    </row>
    <row r="906" spans="1:10" x14ac:dyDescent="0.25">
      <c r="A906" s="82">
        <v>42774</v>
      </c>
      <c r="B906" s="39" t="s">
        <v>5137</v>
      </c>
      <c r="C906" s="89"/>
      <c r="D906" s="18">
        <v>100242</v>
      </c>
      <c r="E906" s="13" t="s">
        <v>30</v>
      </c>
      <c r="F906" s="14">
        <v>0</v>
      </c>
      <c r="G906" s="88" t="s">
        <v>95</v>
      </c>
      <c r="H906" s="14">
        <f t="shared" si="27"/>
        <v>0</v>
      </c>
      <c r="I906" s="14">
        <f t="shared" si="28"/>
        <v>0</v>
      </c>
      <c r="J906" s="19"/>
    </row>
    <row r="907" spans="1:10" x14ac:dyDescent="0.25">
      <c r="A907" s="82">
        <v>42774</v>
      </c>
      <c r="B907" s="39" t="s">
        <v>5138</v>
      </c>
      <c r="C907" s="89"/>
      <c r="D907" s="18">
        <v>100243</v>
      </c>
      <c r="E907" s="2" t="s">
        <v>30</v>
      </c>
      <c r="F907" s="15">
        <v>3471</v>
      </c>
      <c r="H907" s="15">
        <f t="shared" si="27"/>
        <v>3471</v>
      </c>
      <c r="I907" s="15">
        <f t="shared" si="28"/>
        <v>0</v>
      </c>
      <c r="J907" s="19"/>
    </row>
    <row r="908" spans="1:10" x14ac:dyDescent="0.25">
      <c r="A908" s="82">
        <v>42774</v>
      </c>
      <c r="B908" s="39" t="s">
        <v>5139</v>
      </c>
      <c r="C908" s="89"/>
      <c r="D908" s="18">
        <v>100244</v>
      </c>
      <c r="E908" s="2" t="s">
        <v>49</v>
      </c>
      <c r="F908" s="15">
        <v>12594.8</v>
      </c>
      <c r="G908" s="41">
        <v>42779</v>
      </c>
      <c r="H908" s="15">
        <f t="shared" si="27"/>
        <v>12594.8</v>
      </c>
      <c r="I908" s="15">
        <f t="shared" si="28"/>
        <v>0</v>
      </c>
      <c r="J908" s="19"/>
    </row>
    <row r="909" spans="1:10" x14ac:dyDescent="0.25">
      <c r="A909" s="82">
        <v>42774</v>
      </c>
      <c r="B909" s="39" t="s">
        <v>5140</v>
      </c>
      <c r="C909" s="89"/>
      <c r="D909" s="18">
        <v>100245</v>
      </c>
      <c r="E909" s="2" t="s">
        <v>51</v>
      </c>
      <c r="F909" s="15">
        <v>3888.7</v>
      </c>
      <c r="G909" s="41">
        <v>42776</v>
      </c>
      <c r="H909" s="15">
        <f t="shared" si="27"/>
        <v>3888.7</v>
      </c>
      <c r="I909" s="15">
        <f t="shared" si="28"/>
        <v>0</v>
      </c>
      <c r="J909" s="19"/>
    </row>
    <row r="910" spans="1:10" x14ac:dyDescent="0.25">
      <c r="A910" s="82">
        <v>42774</v>
      </c>
      <c r="B910" s="39" t="s">
        <v>5141</v>
      </c>
      <c r="C910" s="89"/>
      <c r="D910" s="18">
        <v>100246</v>
      </c>
      <c r="E910" s="2" t="s">
        <v>17</v>
      </c>
      <c r="F910" s="15">
        <v>2450</v>
      </c>
      <c r="G910" s="41">
        <v>42774</v>
      </c>
      <c r="H910" s="15">
        <f t="shared" si="27"/>
        <v>2450</v>
      </c>
      <c r="I910" s="15">
        <f t="shared" si="28"/>
        <v>0</v>
      </c>
      <c r="J910" s="19"/>
    </row>
    <row r="911" spans="1:10" ht="30" x14ac:dyDescent="0.25">
      <c r="A911" s="82">
        <v>42774</v>
      </c>
      <c r="B911" s="39" t="s">
        <v>5142</v>
      </c>
      <c r="C911" s="89"/>
      <c r="D911" s="18">
        <v>100247</v>
      </c>
      <c r="E911" s="2" t="s">
        <v>253</v>
      </c>
      <c r="F911" s="15">
        <v>7644.2</v>
      </c>
      <c r="G911" s="87" t="s">
        <v>5131</v>
      </c>
      <c r="H911" s="20">
        <f>4000+3644.2</f>
        <v>7644.2</v>
      </c>
      <c r="I911" s="20">
        <f t="shared" si="28"/>
        <v>0</v>
      </c>
      <c r="J911" s="19"/>
    </row>
    <row r="912" spans="1:10" x14ac:dyDescent="0.25">
      <c r="A912" s="82">
        <v>42774</v>
      </c>
      <c r="B912" s="39" t="s">
        <v>5143</v>
      </c>
      <c r="C912" s="89"/>
      <c r="D912" s="18">
        <v>100248</v>
      </c>
      <c r="E912" s="2" t="s">
        <v>69</v>
      </c>
      <c r="F912" s="15">
        <v>10712.3</v>
      </c>
      <c r="G912" s="41">
        <v>42774</v>
      </c>
      <c r="H912" s="15">
        <f t="shared" si="27"/>
        <v>10712.3</v>
      </c>
      <c r="I912" s="15">
        <f t="shared" si="28"/>
        <v>0</v>
      </c>
      <c r="J912" s="19"/>
    </row>
    <row r="913" spans="1:10" x14ac:dyDescent="0.25">
      <c r="A913" s="82">
        <v>42774</v>
      </c>
      <c r="B913" s="39" t="s">
        <v>5144</v>
      </c>
      <c r="C913" s="89"/>
      <c r="D913" s="18">
        <v>100249</v>
      </c>
      <c r="E913" s="2" t="s">
        <v>71</v>
      </c>
      <c r="F913" s="15">
        <v>1470</v>
      </c>
      <c r="G913" s="41">
        <v>42774</v>
      </c>
      <c r="H913" s="15">
        <f t="shared" si="27"/>
        <v>1470</v>
      </c>
      <c r="I913" s="15">
        <f t="shared" si="28"/>
        <v>0</v>
      </c>
      <c r="J913" s="19"/>
    </row>
    <row r="914" spans="1:10" x14ac:dyDescent="0.25">
      <c r="A914" s="82">
        <v>42774</v>
      </c>
      <c r="B914" s="39" t="s">
        <v>5145</v>
      </c>
      <c r="C914" s="89"/>
      <c r="D914" s="18">
        <v>100250</v>
      </c>
      <c r="E914" s="2" t="s">
        <v>151</v>
      </c>
      <c r="F914" s="15">
        <v>22662.6</v>
      </c>
      <c r="G914" s="41">
        <v>42774</v>
      </c>
      <c r="H914" s="15">
        <f t="shared" si="27"/>
        <v>22662.6</v>
      </c>
      <c r="I914" s="15">
        <f t="shared" si="28"/>
        <v>0</v>
      </c>
      <c r="J914" s="19"/>
    </row>
    <row r="915" spans="1:10" x14ac:dyDescent="0.25">
      <c r="A915" s="82">
        <v>42774</v>
      </c>
      <c r="B915" s="39" t="s">
        <v>5146</v>
      </c>
      <c r="C915" s="89"/>
      <c r="D915" s="18">
        <v>100251</v>
      </c>
      <c r="E915" s="2" t="s">
        <v>250</v>
      </c>
      <c r="F915" s="15">
        <v>2387.6</v>
      </c>
      <c r="G915" s="41">
        <v>42775</v>
      </c>
      <c r="H915" s="15">
        <f t="shared" si="27"/>
        <v>2387.6</v>
      </c>
      <c r="I915" s="15">
        <f t="shared" si="28"/>
        <v>0</v>
      </c>
      <c r="J915" s="19"/>
    </row>
    <row r="916" spans="1:10" x14ac:dyDescent="0.25">
      <c r="A916" s="82">
        <v>42774</v>
      </c>
      <c r="B916" s="39" t="s">
        <v>5147</v>
      </c>
      <c r="C916" s="89"/>
      <c r="D916" s="18">
        <v>100252</v>
      </c>
      <c r="E916" s="2" t="s">
        <v>21</v>
      </c>
      <c r="F916" s="15">
        <v>46345.5</v>
      </c>
      <c r="G916" s="41">
        <v>42786</v>
      </c>
      <c r="H916" s="15">
        <f t="shared" si="27"/>
        <v>46345.5</v>
      </c>
      <c r="I916" s="15">
        <f t="shared" si="28"/>
        <v>0</v>
      </c>
      <c r="J916" s="19"/>
    </row>
    <row r="917" spans="1:10" x14ac:dyDescent="0.25">
      <c r="A917" s="82">
        <v>42774</v>
      </c>
      <c r="B917" s="39" t="s">
        <v>5148</v>
      </c>
      <c r="C917" s="89"/>
      <c r="D917" s="18">
        <v>100253</v>
      </c>
      <c r="E917" s="2" t="s">
        <v>30</v>
      </c>
      <c r="F917" s="15">
        <v>2234.8000000000002</v>
      </c>
      <c r="G917" s="41">
        <v>42774</v>
      </c>
      <c r="H917" s="15">
        <f t="shared" si="27"/>
        <v>2234.8000000000002</v>
      </c>
      <c r="I917" s="15">
        <f t="shared" si="28"/>
        <v>0</v>
      </c>
      <c r="J917" s="19"/>
    </row>
    <row r="918" spans="1:10" x14ac:dyDescent="0.25">
      <c r="A918" s="82">
        <v>42774</v>
      </c>
      <c r="B918" s="39" t="s">
        <v>5149</v>
      </c>
      <c r="C918" s="89"/>
      <c r="D918" s="18">
        <v>100254</v>
      </c>
      <c r="E918" s="2" t="s">
        <v>289</v>
      </c>
      <c r="F918" s="15">
        <v>131945.18</v>
      </c>
      <c r="G918" s="41">
        <v>42791</v>
      </c>
      <c r="H918" s="15">
        <f t="shared" si="27"/>
        <v>131945.18</v>
      </c>
      <c r="I918" s="15">
        <f t="shared" si="28"/>
        <v>0</v>
      </c>
      <c r="J918" s="19"/>
    </row>
    <row r="919" spans="1:10" x14ac:dyDescent="0.25">
      <c r="A919" s="82">
        <v>42774</v>
      </c>
      <c r="B919" s="39" t="s">
        <v>5150</v>
      </c>
      <c r="C919" s="89"/>
      <c r="D919" s="18">
        <v>100255</v>
      </c>
      <c r="E919" s="2" t="s">
        <v>21</v>
      </c>
      <c r="F919" s="15">
        <v>550.20000000000005</v>
      </c>
      <c r="G919" s="41">
        <v>42786</v>
      </c>
      <c r="H919" s="15">
        <f t="shared" si="27"/>
        <v>550.20000000000005</v>
      </c>
      <c r="I919" s="15">
        <f t="shared" si="28"/>
        <v>0</v>
      </c>
      <c r="J919" s="19"/>
    </row>
    <row r="920" spans="1:10" x14ac:dyDescent="0.25">
      <c r="A920" s="82">
        <v>42774</v>
      </c>
      <c r="B920" s="39" t="s">
        <v>5151</v>
      </c>
      <c r="C920" s="89"/>
      <c r="D920" s="18">
        <v>100256</v>
      </c>
      <c r="E920" s="2" t="s">
        <v>1666</v>
      </c>
      <c r="F920" s="15">
        <v>2786.1</v>
      </c>
      <c r="G920" s="41">
        <v>42781</v>
      </c>
      <c r="H920" s="15">
        <f t="shared" si="27"/>
        <v>2786.1</v>
      </c>
      <c r="I920" s="15">
        <f t="shared" si="28"/>
        <v>0</v>
      </c>
      <c r="J920" s="19"/>
    </row>
    <row r="921" spans="1:10" x14ac:dyDescent="0.25">
      <c r="A921" s="82">
        <v>42774</v>
      </c>
      <c r="B921" s="39" t="s">
        <v>5152</v>
      </c>
      <c r="C921" s="89"/>
      <c r="D921" s="18">
        <v>100257</v>
      </c>
      <c r="E921" s="2" t="s">
        <v>10</v>
      </c>
      <c r="F921" s="15">
        <v>752.4</v>
      </c>
      <c r="G921" s="41">
        <v>42781</v>
      </c>
      <c r="H921" s="15">
        <f t="shared" si="27"/>
        <v>752.4</v>
      </c>
      <c r="I921" s="15">
        <f t="shared" si="28"/>
        <v>0</v>
      </c>
      <c r="J921" s="19"/>
    </row>
    <row r="922" spans="1:10" x14ac:dyDescent="0.25">
      <c r="A922" s="82">
        <v>42774</v>
      </c>
      <c r="B922" s="39" t="s">
        <v>5153</v>
      </c>
      <c r="C922" s="89"/>
      <c r="D922" s="18">
        <v>100258</v>
      </c>
      <c r="E922" s="2" t="s">
        <v>432</v>
      </c>
      <c r="F922" s="15">
        <v>15133</v>
      </c>
      <c r="G922" s="41">
        <v>42781</v>
      </c>
      <c r="H922" s="15">
        <f t="shared" si="27"/>
        <v>15133</v>
      </c>
      <c r="I922" s="15">
        <f t="shared" si="28"/>
        <v>0</v>
      </c>
      <c r="J922" s="19"/>
    </row>
    <row r="923" spans="1:10" x14ac:dyDescent="0.25">
      <c r="A923" s="82">
        <v>42774</v>
      </c>
      <c r="B923" s="39" t="s">
        <v>5154</v>
      </c>
      <c r="C923" s="89"/>
      <c r="D923" s="18">
        <v>100259</v>
      </c>
      <c r="E923" s="2" t="s">
        <v>544</v>
      </c>
      <c r="F923" s="15">
        <v>4272.3999999999996</v>
      </c>
      <c r="G923" s="41">
        <v>42788</v>
      </c>
      <c r="H923" s="15">
        <f t="shared" si="27"/>
        <v>4272.3999999999996</v>
      </c>
      <c r="I923" s="15">
        <f t="shared" si="28"/>
        <v>0</v>
      </c>
      <c r="J923" s="19"/>
    </row>
    <row r="924" spans="1:10" x14ac:dyDescent="0.25">
      <c r="A924" s="82">
        <v>42774</v>
      </c>
      <c r="B924" s="39" t="s">
        <v>5155</v>
      </c>
      <c r="C924" s="89"/>
      <c r="D924" s="18">
        <v>100260</v>
      </c>
      <c r="E924" s="2" t="s">
        <v>590</v>
      </c>
      <c r="F924" s="15">
        <v>3207.9</v>
      </c>
      <c r="G924" s="41">
        <v>42781</v>
      </c>
      <c r="H924" s="15">
        <f t="shared" si="27"/>
        <v>3207.9</v>
      </c>
      <c r="I924" s="15">
        <f t="shared" si="28"/>
        <v>0</v>
      </c>
      <c r="J924" s="19"/>
    </row>
    <row r="925" spans="1:10" x14ac:dyDescent="0.25">
      <c r="A925" s="82">
        <v>42774</v>
      </c>
      <c r="B925" s="39" t="s">
        <v>5156</v>
      </c>
      <c r="C925" s="89"/>
      <c r="D925" s="18">
        <v>100261</v>
      </c>
      <c r="E925" s="2" t="s">
        <v>274</v>
      </c>
      <c r="F925" s="15">
        <v>3120</v>
      </c>
      <c r="G925" s="41">
        <v>42781</v>
      </c>
      <c r="H925" s="15">
        <f t="shared" si="27"/>
        <v>3120</v>
      </c>
      <c r="I925" s="15">
        <f t="shared" si="28"/>
        <v>0</v>
      </c>
      <c r="J925" s="19"/>
    </row>
    <row r="926" spans="1:10" x14ac:dyDescent="0.25">
      <c r="A926" s="82">
        <v>42774</v>
      </c>
      <c r="B926" s="39" t="s">
        <v>5157</v>
      </c>
      <c r="C926" s="89"/>
      <c r="D926" s="18">
        <v>100262</v>
      </c>
      <c r="E926" s="2" t="s">
        <v>430</v>
      </c>
      <c r="F926" s="15">
        <v>1860.6</v>
      </c>
      <c r="G926" s="41">
        <v>42774</v>
      </c>
      <c r="H926" s="15">
        <f t="shared" si="27"/>
        <v>1860.6</v>
      </c>
      <c r="I926" s="15">
        <f t="shared" si="28"/>
        <v>0</v>
      </c>
      <c r="J926" s="26"/>
    </row>
    <row r="927" spans="1:10" x14ac:dyDescent="0.25">
      <c r="A927" s="82">
        <v>42774</v>
      </c>
      <c r="B927" s="39" t="s">
        <v>5158</v>
      </c>
      <c r="C927" s="89"/>
      <c r="D927" s="18">
        <v>100263</v>
      </c>
      <c r="E927" s="2" t="s">
        <v>133</v>
      </c>
      <c r="F927" s="15">
        <v>1125.5</v>
      </c>
      <c r="H927" s="15">
        <f t="shared" si="27"/>
        <v>1125.5</v>
      </c>
      <c r="I927" s="15">
        <f t="shared" si="28"/>
        <v>0</v>
      </c>
      <c r="J927" s="19"/>
    </row>
    <row r="928" spans="1:10" x14ac:dyDescent="0.25">
      <c r="A928" s="82">
        <v>42774</v>
      </c>
      <c r="B928" s="39" t="s">
        <v>5159</v>
      </c>
      <c r="C928" s="89"/>
      <c r="D928" s="18">
        <v>100264</v>
      </c>
      <c r="E928" s="2" t="s">
        <v>79</v>
      </c>
      <c r="F928" s="15">
        <v>3170</v>
      </c>
      <c r="G928" s="41">
        <v>42774</v>
      </c>
      <c r="H928" s="15">
        <f t="shared" si="27"/>
        <v>3170</v>
      </c>
      <c r="I928" s="15">
        <f t="shared" si="28"/>
        <v>0</v>
      </c>
      <c r="J928" s="19"/>
    </row>
    <row r="929" spans="1:10" x14ac:dyDescent="0.25">
      <c r="A929" s="82">
        <v>42774</v>
      </c>
      <c r="B929" s="39" t="s">
        <v>5160</v>
      </c>
      <c r="C929" s="89"/>
      <c r="D929" s="18">
        <v>100265</v>
      </c>
      <c r="E929" s="2" t="s">
        <v>236</v>
      </c>
      <c r="F929" s="15">
        <v>84339.54</v>
      </c>
      <c r="G929" s="41">
        <v>42780</v>
      </c>
      <c r="H929" s="15">
        <f t="shared" si="27"/>
        <v>84339.54</v>
      </c>
      <c r="I929" s="15">
        <f t="shared" si="28"/>
        <v>0</v>
      </c>
      <c r="J929" s="19"/>
    </row>
    <row r="930" spans="1:10" ht="30" x14ac:dyDescent="0.25">
      <c r="A930" s="82">
        <v>42774</v>
      </c>
      <c r="B930" s="39" t="s">
        <v>5161</v>
      </c>
      <c r="C930" s="89"/>
      <c r="D930" s="18">
        <v>100266</v>
      </c>
      <c r="E930" s="2" t="s">
        <v>205</v>
      </c>
      <c r="F930" s="15">
        <v>64039.5</v>
      </c>
      <c r="G930" s="87" t="s">
        <v>7758</v>
      </c>
      <c r="H930" s="20">
        <f>31000+33039.5</f>
        <v>64039.5</v>
      </c>
      <c r="I930" s="20">
        <f t="shared" si="28"/>
        <v>0</v>
      </c>
      <c r="J930" s="19"/>
    </row>
    <row r="931" spans="1:10" x14ac:dyDescent="0.25">
      <c r="A931" s="82">
        <v>42774</v>
      </c>
      <c r="B931" s="39" t="s">
        <v>5162</v>
      </c>
      <c r="C931" s="89"/>
      <c r="D931" s="18">
        <v>100267</v>
      </c>
      <c r="E931" s="2" t="s">
        <v>270</v>
      </c>
      <c r="F931" s="15">
        <v>34525.300000000003</v>
      </c>
      <c r="G931" s="41">
        <v>42781</v>
      </c>
      <c r="H931" s="15">
        <f t="shared" si="27"/>
        <v>34525.300000000003</v>
      </c>
      <c r="I931" s="15">
        <f t="shared" si="28"/>
        <v>0</v>
      </c>
      <c r="J931" s="19"/>
    </row>
    <row r="932" spans="1:10" x14ac:dyDescent="0.25">
      <c r="A932" s="82">
        <v>42774</v>
      </c>
      <c r="B932" s="39" t="s">
        <v>5163</v>
      </c>
      <c r="C932" s="89"/>
      <c r="D932" s="18">
        <v>100268</v>
      </c>
      <c r="E932" s="2" t="s">
        <v>341</v>
      </c>
      <c r="F932" s="15">
        <v>9999.99</v>
      </c>
      <c r="H932" s="15">
        <f t="shared" si="27"/>
        <v>9999.99</v>
      </c>
      <c r="I932" s="15">
        <f t="shared" si="28"/>
        <v>0</v>
      </c>
      <c r="J932" s="19"/>
    </row>
    <row r="933" spans="1:10" x14ac:dyDescent="0.25">
      <c r="A933" s="82">
        <v>42774</v>
      </c>
      <c r="B933" s="39" t="s">
        <v>5164</v>
      </c>
      <c r="C933" s="89"/>
      <c r="D933" s="18">
        <v>100269</v>
      </c>
      <c r="E933" s="2" t="s">
        <v>3425</v>
      </c>
      <c r="F933" s="15">
        <v>2697.6</v>
      </c>
      <c r="G933" s="41">
        <v>42774</v>
      </c>
      <c r="H933" s="15">
        <f t="shared" si="27"/>
        <v>2697.6</v>
      </c>
      <c r="I933" s="15">
        <f t="shared" si="28"/>
        <v>0</v>
      </c>
      <c r="J933" s="19"/>
    </row>
    <row r="934" spans="1:10" x14ac:dyDescent="0.25">
      <c r="A934" s="82">
        <v>42774</v>
      </c>
      <c r="B934" s="39" t="s">
        <v>5165</v>
      </c>
      <c r="C934" s="89"/>
      <c r="D934" s="18">
        <v>100270</v>
      </c>
      <c r="E934" s="2" t="s">
        <v>341</v>
      </c>
      <c r="F934" s="15">
        <v>10171.299999999999</v>
      </c>
      <c r="G934" s="41">
        <v>42774</v>
      </c>
      <c r="H934" s="15">
        <f t="shared" si="27"/>
        <v>10171.299999999999</v>
      </c>
      <c r="I934" s="15">
        <f t="shared" si="28"/>
        <v>0</v>
      </c>
      <c r="J934" s="19"/>
    </row>
    <row r="935" spans="1:10" x14ac:dyDescent="0.25">
      <c r="A935" s="82">
        <v>42774</v>
      </c>
      <c r="B935" s="39" t="s">
        <v>5166</v>
      </c>
      <c r="C935" s="89"/>
      <c r="D935" s="18">
        <v>100271</v>
      </c>
      <c r="E935" s="2" t="s">
        <v>272</v>
      </c>
      <c r="F935" s="15">
        <v>4130.1000000000004</v>
      </c>
      <c r="G935" s="41">
        <v>42781</v>
      </c>
      <c r="H935" s="15">
        <f t="shared" si="27"/>
        <v>4130.1000000000004</v>
      </c>
      <c r="I935" s="15">
        <f t="shared" si="28"/>
        <v>0</v>
      </c>
      <c r="J935" s="19"/>
    </row>
    <row r="936" spans="1:10" x14ac:dyDescent="0.25">
      <c r="A936" s="82">
        <v>42774</v>
      </c>
      <c r="B936" s="39" t="s">
        <v>5167</v>
      </c>
      <c r="C936" s="89"/>
      <c r="D936" s="18">
        <v>100272</v>
      </c>
      <c r="E936" s="2" t="s">
        <v>268</v>
      </c>
      <c r="F936" s="15">
        <v>19656</v>
      </c>
      <c r="G936" s="41">
        <v>42781</v>
      </c>
      <c r="H936" s="15">
        <f t="shared" si="27"/>
        <v>19656</v>
      </c>
      <c r="I936" s="15">
        <f t="shared" si="28"/>
        <v>0</v>
      </c>
      <c r="J936" s="19"/>
    </row>
    <row r="937" spans="1:10" x14ac:dyDescent="0.25">
      <c r="A937" s="82">
        <v>42774</v>
      </c>
      <c r="B937" s="39" t="s">
        <v>5168</v>
      </c>
      <c r="C937" s="89"/>
      <c r="D937" s="18">
        <v>100273</v>
      </c>
      <c r="E937" s="2" t="s">
        <v>457</v>
      </c>
      <c r="F937" s="15">
        <v>703.2</v>
      </c>
      <c r="G937" s="41">
        <v>42774</v>
      </c>
      <c r="H937" s="15">
        <f t="shared" si="27"/>
        <v>703.2</v>
      </c>
      <c r="I937" s="15">
        <f t="shared" si="28"/>
        <v>0</v>
      </c>
      <c r="J937" s="19"/>
    </row>
    <row r="938" spans="1:10" x14ac:dyDescent="0.25">
      <c r="A938" s="82">
        <v>42774</v>
      </c>
      <c r="B938" s="39" t="s">
        <v>5169</v>
      </c>
      <c r="C938" s="89"/>
      <c r="D938" s="18">
        <v>100274</v>
      </c>
      <c r="E938" s="2" t="s">
        <v>435</v>
      </c>
      <c r="F938" s="15">
        <v>7139.5</v>
      </c>
      <c r="G938" s="41">
        <v>42781</v>
      </c>
      <c r="H938" s="15">
        <f t="shared" si="27"/>
        <v>7139.5</v>
      </c>
      <c r="I938" s="15">
        <f t="shared" si="28"/>
        <v>0</v>
      </c>
      <c r="J938" s="19"/>
    </row>
    <row r="939" spans="1:10" x14ac:dyDescent="0.25">
      <c r="A939" s="82">
        <v>42774</v>
      </c>
      <c r="B939" s="39" t="s">
        <v>5170</v>
      </c>
      <c r="C939" s="89"/>
      <c r="D939" s="18">
        <v>100275</v>
      </c>
      <c r="E939" s="2" t="s">
        <v>442</v>
      </c>
      <c r="F939" s="15">
        <v>7228.8</v>
      </c>
      <c r="G939" s="41">
        <v>42781</v>
      </c>
      <c r="H939" s="15">
        <f t="shared" si="27"/>
        <v>7228.8</v>
      </c>
      <c r="I939" s="15">
        <f t="shared" si="28"/>
        <v>0</v>
      </c>
      <c r="J939" s="19"/>
    </row>
    <row r="940" spans="1:10" x14ac:dyDescent="0.25">
      <c r="A940" s="82">
        <v>42774</v>
      </c>
      <c r="B940" s="39" t="s">
        <v>5171</v>
      </c>
      <c r="C940" s="89"/>
      <c r="D940" s="18">
        <v>100276</v>
      </c>
      <c r="E940" s="2" t="s">
        <v>609</v>
      </c>
      <c r="F940" s="15">
        <v>45094.7</v>
      </c>
      <c r="G940" s="41">
        <v>42774</v>
      </c>
      <c r="H940" s="15">
        <f>607.6+44487.1</f>
        <v>45094.7</v>
      </c>
      <c r="I940" s="15">
        <f t="shared" si="28"/>
        <v>0</v>
      </c>
      <c r="J940" s="19"/>
    </row>
    <row r="941" spans="1:10" x14ac:dyDescent="0.25">
      <c r="A941" s="82">
        <v>42774</v>
      </c>
      <c r="B941" s="39" t="s">
        <v>5172</v>
      </c>
      <c r="C941" s="89"/>
      <c r="D941" s="18">
        <v>100277</v>
      </c>
      <c r="E941" s="2" t="s">
        <v>1116</v>
      </c>
      <c r="F941" s="15">
        <v>7070.4</v>
      </c>
      <c r="G941" s="41">
        <v>42776</v>
      </c>
      <c r="H941" s="15">
        <f t="shared" si="27"/>
        <v>7070.4</v>
      </c>
      <c r="I941" s="15">
        <f t="shared" si="28"/>
        <v>0</v>
      </c>
      <c r="J941" s="19"/>
    </row>
    <row r="942" spans="1:10" x14ac:dyDescent="0.25">
      <c r="A942" s="82">
        <v>42774</v>
      </c>
      <c r="B942" s="39" t="s">
        <v>5173</v>
      </c>
      <c r="C942" s="89"/>
      <c r="D942" s="18">
        <v>100278</v>
      </c>
      <c r="E942" s="2" t="s">
        <v>773</v>
      </c>
      <c r="F942" s="15">
        <v>1503.4</v>
      </c>
      <c r="G942" s="41">
        <v>42774</v>
      </c>
      <c r="H942" s="15">
        <f t="shared" si="27"/>
        <v>1503.4</v>
      </c>
      <c r="I942" s="15">
        <f t="shared" si="28"/>
        <v>0</v>
      </c>
      <c r="J942" s="19"/>
    </row>
    <row r="943" spans="1:10" x14ac:dyDescent="0.25">
      <c r="A943" s="82">
        <v>42774</v>
      </c>
      <c r="B943" s="39" t="s">
        <v>5174</v>
      </c>
      <c r="C943" s="89"/>
      <c r="D943" s="18">
        <v>100279</v>
      </c>
      <c r="E943" s="2" t="s">
        <v>476</v>
      </c>
      <c r="F943" s="15">
        <v>14828.3</v>
      </c>
      <c r="G943" s="41">
        <v>42781</v>
      </c>
      <c r="H943" s="15">
        <f t="shared" si="27"/>
        <v>14828.3</v>
      </c>
      <c r="I943" s="15">
        <f t="shared" si="28"/>
        <v>0</v>
      </c>
      <c r="J943" s="19"/>
    </row>
    <row r="944" spans="1:10" x14ac:dyDescent="0.25">
      <c r="A944" s="82">
        <v>42774</v>
      </c>
      <c r="B944" s="39" t="s">
        <v>5175</v>
      </c>
      <c r="C944" s="89"/>
      <c r="D944" s="18">
        <v>100280</v>
      </c>
      <c r="E944" s="2" t="s">
        <v>1870</v>
      </c>
      <c r="F944" s="15">
        <v>288.89999999999998</v>
      </c>
      <c r="G944" s="41">
        <v>42774</v>
      </c>
      <c r="H944" s="15">
        <f t="shared" si="27"/>
        <v>288.89999999999998</v>
      </c>
      <c r="I944" s="15">
        <f t="shared" si="28"/>
        <v>0</v>
      </c>
      <c r="J944" s="19"/>
    </row>
    <row r="945" spans="1:10" x14ac:dyDescent="0.25">
      <c r="A945" s="82">
        <v>42774</v>
      </c>
      <c r="B945" s="39" t="s">
        <v>5176</v>
      </c>
      <c r="C945" s="89"/>
      <c r="D945" s="18">
        <v>100281</v>
      </c>
      <c r="E945" s="2" t="s">
        <v>159</v>
      </c>
      <c r="F945" s="15">
        <v>1266.2</v>
      </c>
      <c r="G945" s="41">
        <v>42774</v>
      </c>
      <c r="H945" s="15">
        <f t="shared" si="27"/>
        <v>1266.2</v>
      </c>
      <c r="I945" s="15">
        <f t="shared" si="28"/>
        <v>0</v>
      </c>
      <c r="J945" s="19"/>
    </row>
    <row r="946" spans="1:10" x14ac:dyDescent="0.25">
      <c r="A946" s="82">
        <v>42774</v>
      </c>
      <c r="B946" s="39" t="s">
        <v>5177</v>
      </c>
      <c r="C946" s="89"/>
      <c r="D946" s="18">
        <v>100282</v>
      </c>
      <c r="E946" s="2" t="s">
        <v>305</v>
      </c>
      <c r="F946" s="15">
        <v>8504.2000000000007</v>
      </c>
      <c r="G946" s="41">
        <v>42777</v>
      </c>
      <c r="H946" s="15">
        <f t="shared" si="27"/>
        <v>8504.2000000000007</v>
      </c>
      <c r="I946" s="15">
        <f t="shared" si="28"/>
        <v>0</v>
      </c>
      <c r="J946" s="19"/>
    </row>
    <row r="947" spans="1:10" x14ac:dyDescent="0.25">
      <c r="A947" s="82">
        <v>42774</v>
      </c>
      <c r="B947" s="39" t="s">
        <v>5178</v>
      </c>
      <c r="C947" s="89"/>
      <c r="D947" s="18">
        <v>100283</v>
      </c>
      <c r="E947" s="2" t="s">
        <v>3319</v>
      </c>
      <c r="F947" s="15">
        <v>11605.6</v>
      </c>
      <c r="G947" s="41">
        <v>42775</v>
      </c>
      <c r="H947" s="15">
        <f t="shared" si="27"/>
        <v>11605.6</v>
      </c>
      <c r="I947" s="15">
        <f t="shared" si="28"/>
        <v>0</v>
      </c>
      <c r="J947" s="19"/>
    </row>
    <row r="948" spans="1:10" x14ac:dyDescent="0.25">
      <c r="A948" s="82">
        <v>42774</v>
      </c>
      <c r="B948" s="39" t="s">
        <v>5179</v>
      </c>
      <c r="C948" s="89"/>
      <c r="D948" s="18">
        <v>100284</v>
      </c>
      <c r="E948" s="2" t="s">
        <v>125</v>
      </c>
      <c r="F948" s="15">
        <v>6068</v>
      </c>
      <c r="G948" s="41">
        <v>42774</v>
      </c>
      <c r="H948" s="15">
        <f t="shared" si="27"/>
        <v>6068</v>
      </c>
      <c r="I948" s="15">
        <f t="shared" si="28"/>
        <v>0</v>
      </c>
      <c r="J948" s="19"/>
    </row>
    <row r="949" spans="1:10" x14ac:dyDescent="0.25">
      <c r="A949" s="82">
        <v>42774</v>
      </c>
      <c r="B949" s="39" t="s">
        <v>5180</v>
      </c>
      <c r="C949" s="89"/>
      <c r="D949" s="18">
        <v>100285</v>
      </c>
      <c r="E949" s="2" t="s">
        <v>168</v>
      </c>
      <c r="F949" s="15">
        <v>298.3</v>
      </c>
      <c r="G949" s="41">
        <v>42774</v>
      </c>
      <c r="H949" s="15">
        <f t="shared" ref="H949:H1012" si="29">F949</f>
        <v>298.3</v>
      </c>
      <c r="I949" s="15">
        <f t="shared" si="28"/>
        <v>0</v>
      </c>
      <c r="J949" s="19"/>
    </row>
    <row r="950" spans="1:10" x14ac:dyDescent="0.25">
      <c r="A950" s="82">
        <v>42774</v>
      </c>
      <c r="B950" s="39" t="s">
        <v>5181</v>
      </c>
      <c r="C950" s="89"/>
      <c r="D950" s="18">
        <v>100286</v>
      </c>
      <c r="E950" s="2" t="s">
        <v>155</v>
      </c>
      <c r="F950" s="15">
        <v>24006.400000000001</v>
      </c>
      <c r="G950" s="41">
        <v>42777</v>
      </c>
      <c r="H950" s="15">
        <f t="shared" si="29"/>
        <v>24006.400000000001</v>
      </c>
      <c r="I950" s="15">
        <f t="shared" si="28"/>
        <v>0</v>
      </c>
      <c r="J950" s="19"/>
    </row>
    <row r="951" spans="1:10" x14ac:dyDescent="0.25">
      <c r="A951" s="82">
        <v>42774</v>
      </c>
      <c r="B951" s="39" t="s">
        <v>5182</v>
      </c>
      <c r="C951" s="89"/>
      <c r="D951" s="18">
        <v>100287</v>
      </c>
      <c r="E951" s="2" t="s">
        <v>492</v>
      </c>
      <c r="F951" s="15">
        <v>22133.279999999999</v>
      </c>
      <c r="G951" s="41">
        <v>42778</v>
      </c>
      <c r="H951" s="15">
        <f t="shared" si="29"/>
        <v>22133.279999999999</v>
      </c>
      <c r="I951" s="15">
        <f t="shared" si="28"/>
        <v>0</v>
      </c>
      <c r="J951" s="19"/>
    </row>
    <row r="952" spans="1:10" x14ac:dyDescent="0.25">
      <c r="A952" s="82">
        <v>42774</v>
      </c>
      <c r="B952" s="39" t="s">
        <v>5183</v>
      </c>
      <c r="C952" s="89"/>
      <c r="D952" s="18">
        <v>100288</v>
      </c>
      <c r="E952" s="2" t="s">
        <v>145</v>
      </c>
      <c r="F952" s="15">
        <v>17772</v>
      </c>
      <c r="G952" s="41">
        <v>42775</v>
      </c>
      <c r="H952" s="15">
        <f t="shared" si="29"/>
        <v>17772</v>
      </c>
      <c r="I952" s="15">
        <f t="shared" si="28"/>
        <v>0</v>
      </c>
      <c r="J952" s="19"/>
    </row>
    <row r="953" spans="1:10" x14ac:dyDescent="0.25">
      <c r="A953" s="82">
        <v>42774</v>
      </c>
      <c r="B953" s="39" t="s">
        <v>5184</v>
      </c>
      <c r="C953" s="89"/>
      <c r="D953" s="18">
        <v>100289</v>
      </c>
      <c r="E953" s="2" t="s">
        <v>930</v>
      </c>
      <c r="F953" s="15">
        <v>5898.2</v>
      </c>
      <c r="G953" s="41">
        <v>42774</v>
      </c>
      <c r="H953" s="15">
        <f t="shared" si="29"/>
        <v>5898.2</v>
      </c>
      <c r="I953" s="15">
        <f t="shared" ref="I953:I1016" si="30">F953-H953</f>
        <v>0</v>
      </c>
      <c r="J953" s="19"/>
    </row>
    <row r="954" spans="1:10" x14ac:dyDescent="0.25">
      <c r="A954" s="82">
        <v>42774</v>
      </c>
      <c r="B954" s="39" t="s">
        <v>5185</v>
      </c>
      <c r="C954" s="89"/>
      <c r="D954" s="18">
        <v>100290</v>
      </c>
      <c r="E954" s="13" t="s">
        <v>161</v>
      </c>
      <c r="F954" s="14">
        <v>0</v>
      </c>
      <c r="G954" s="88" t="s">
        <v>95</v>
      </c>
      <c r="H954" s="14">
        <f t="shared" si="29"/>
        <v>0</v>
      </c>
      <c r="I954" s="14">
        <f t="shared" si="30"/>
        <v>0</v>
      </c>
      <c r="J954" s="19"/>
    </row>
    <row r="955" spans="1:10" x14ac:dyDescent="0.25">
      <c r="A955" s="82">
        <v>42774</v>
      </c>
      <c r="B955" s="39" t="s">
        <v>5186</v>
      </c>
      <c r="C955" s="89"/>
      <c r="D955" s="18">
        <v>100291</v>
      </c>
      <c r="E955" s="2" t="s">
        <v>161</v>
      </c>
      <c r="F955" s="15">
        <v>35793.1</v>
      </c>
      <c r="G955" s="41">
        <v>42804</v>
      </c>
      <c r="H955" s="15">
        <f t="shared" si="29"/>
        <v>35793.1</v>
      </c>
      <c r="I955" s="15">
        <f t="shared" si="30"/>
        <v>0</v>
      </c>
      <c r="J955" s="19"/>
    </row>
    <row r="956" spans="1:10" x14ac:dyDescent="0.25">
      <c r="A956" s="82">
        <v>42774</v>
      </c>
      <c r="B956" s="39" t="s">
        <v>5187</v>
      </c>
      <c r="C956" s="89"/>
      <c r="D956" s="18">
        <v>100292</v>
      </c>
      <c r="E956" s="2" t="s">
        <v>165</v>
      </c>
      <c r="F956" s="15">
        <v>4320.2</v>
      </c>
      <c r="G956" s="41">
        <v>42804</v>
      </c>
      <c r="H956" s="15">
        <f t="shared" si="29"/>
        <v>4320.2</v>
      </c>
      <c r="I956" s="15">
        <f t="shared" si="30"/>
        <v>0</v>
      </c>
      <c r="J956" s="19"/>
    </row>
    <row r="957" spans="1:10" x14ac:dyDescent="0.25">
      <c r="A957" s="82">
        <v>42774</v>
      </c>
      <c r="B957" s="39" t="s">
        <v>5188</v>
      </c>
      <c r="C957" s="89"/>
      <c r="D957" s="18">
        <v>100293</v>
      </c>
      <c r="E957" s="2" t="s">
        <v>163</v>
      </c>
      <c r="F957" s="15">
        <v>16557.3</v>
      </c>
      <c r="G957" s="41">
        <v>42788</v>
      </c>
      <c r="H957" s="15">
        <f t="shared" si="29"/>
        <v>16557.3</v>
      </c>
      <c r="I957" s="15">
        <f t="shared" si="30"/>
        <v>0</v>
      </c>
      <c r="J957" s="19"/>
    </row>
    <row r="958" spans="1:10" x14ac:dyDescent="0.25">
      <c r="A958" s="82">
        <v>42774</v>
      </c>
      <c r="B958" s="39" t="s">
        <v>5189</v>
      </c>
      <c r="C958" s="89"/>
      <c r="D958" s="18">
        <v>100294</v>
      </c>
      <c r="E958" s="2" t="s">
        <v>2240</v>
      </c>
      <c r="F958" s="15">
        <v>7759.2</v>
      </c>
      <c r="G958" s="41">
        <v>42774</v>
      </c>
      <c r="H958" s="15">
        <f t="shared" si="29"/>
        <v>7759.2</v>
      </c>
      <c r="I958" s="15">
        <f t="shared" si="30"/>
        <v>0</v>
      </c>
      <c r="J958" s="19"/>
    </row>
    <row r="959" spans="1:10" x14ac:dyDescent="0.25">
      <c r="A959" s="82">
        <v>42774</v>
      </c>
      <c r="B959" s="39" t="s">
        <v>5190</v>
      </c>
      <c r="C959" s="89"/>
      <c r="D959" s="18">
        <v>100295</v>
      </c>
      <c r="E959" s="2" t="s">
        <v>188</v>
      </c>
      <c r="F959" s="15">
        <v>3200</v>
      </c>
      <c r="G959" s="41">
        <v>42775</v>
      </c>
      <c r="H959" s="15">
        <f t="shared" si="29"/>
        <v>3200</v>
      </c>
      <c r="I959" s="15">
        <f t="shared" si="30"/>
        <v>0</v>
      </c>
      <c r="J959" s="19"/>
    </row>
    <row r="960" spans="1:10" x14ac:dyDescent="0.25">
      <c r="A960" s="82">
        <v>42774</v>
      </c>
      <c r="B960" s="39" t="s">
        <v>5191</v>
      </c>
      <c r="C960" s="89"/>
      <c r="D960" s="18">
        <v>100296</v>
      </c>
      <c r="E960" s="2" t="s">
        <v>186</v>
      </c>
      <c r="F960" s="15">
        <v>3371.2</v>
      </c>
      <c r="G960" s="41">
        <v>42775</v>
      </c>
      <c r="H960" s="15">
        <f t="shared" si="29"/>
        <v>3371.2</v>
      </c>
      <c r="I960" s="15">
        <f t="shared" si="30"/>
        <v>0</v>
      </c>
      <c r="J960" s="19"/>
    </row>
    <row r="961" spans="1:10" x14ac:dyDescent="0.25">
      <c r="A961" s="82">
        <v>42774</v>
      </c>
      <c r="B961" s="39" t="s">
        <v>5192</v>
      </c>
      <c r="C961" s="89"/>
      <c r="D961" s="18">
        <v>100297</v>
      </c>
      <c r="E961" s="2" t="s">
        <v>61</v>
      </c>
      <c r="F961" s="15">
        <v>3448.4</v>
      </c>
      <c r="G961" s="41">
        <v>42775</v>
      </c>
      <c r="H961" s="15">
        <f t="shared" si="29"/>
        <v>3448.4</v>
      </c>
      <c r="I961" s="15">
        <f t="shared" si="30"/>
        <v>0</v>
      </c>
      <c r="J961" s="19"/>
    </row>
    <row r="962" spans="1:10" x14ac:dyDescent="0.25">
      <c r="A962" s="82">
        <v>42774</v>
      </c>
      <c r="B962" s="39" t="s">
        <v>5193</v>
      </c>
      <c r="C962" s="89"/>
      <c r="D962" s="18">
        <v>100298</v>
      </c>
      <c r="E962" s="2" t="s">
        <v>428</v>
      </c>
      <c r="F962" s="15">
        <v>1075.2</v>
      </c>
      <c r="G962" s="41">
        <v>42777</v>
      </c>
      <c r="H962" s="15">
        <f t="shared" si="29"/>
        <v>1075.2</v>
      </c>
      <c r="I962" s="15">
        <f t="shared" si="30"/>
        <v>0</v>
      </c>
      <c r="J962" s="19"/>
    </row>
    <row r="963" spans="1:10" x14ac:dyDescent="0.25">
      <c r="A963" s="82">
        <v>42774</v>
      </c>
      <c r="B963" s="39" t="s">
        <v>5194</v>
      </c>
      <c r="C963" s="89"/>
      <c r="D963" s="18">
        <v>100299</v>
      </c>
      <c r="E963" s="2" t="s">
        <v>99</v>
      </c>
      <c r="F963" s="15">
        <v>1470</v>
      </c>
      <c r="G963" s="41">
        <v>42775</v>
      </c>
      <c r="H963" s="15">
        <f t="shared" si="29"/>
        <v>1470</v>
      </c>
      <c r="I963" s="15">
        <f t="shared" si="30"/>
        <v>0</v>
      </c>
      <c r="J963" s="19"/>
    </row>
    <row r="964" spans="1:10" x14ac:dyDescent="0.25">
      <c r="A964" s="82">
        <v>42774</v>
      </c>
      <c r="B964" s="39" t="s">
        <v>5195</v>
      </c>
      <c r="C964" s="89"/>
      <c r="D964" s="18">
        <v>100300</v>
      </c>
      <c r="E964" s="2" t="s">
        <v>83</v>
      </c>
      <c r="F964" s="15">
        <v>979</v>
      </c>
      <c r="G964" s="41">
        <v>42775</v>
      </c>
      <c r="H964" s="15">
        <f t="shared" si="29"/>
        <v>979</v>
      </c>
      <c r="I964" s="15">
        <f t="shared" si="30"/>
        <v>0</v>
      </c>
      <c r="J964" s="19"/>
    </row>
    <row r="965" spans="1:10" x14ac:dyDescent="0.25">
      <c r="A965" s="82">
        <v>42774</v>
      </c>
      <c r="B965" s="39" t="s">
        <v>5196</v>
      </c>
      <c r="C965" s="89"/>
      <c r="D965" s="18">
        <v>100301</v>
      </c>
      <c r="E965" s="2" t="s">
        <v>30</v>
      </c>
      <c r="F965" s="15">
        <v>13794</v>
      </c>
      <c r="G965" s="41">
        <v>42774</v>
      </c>
      <c r="H965" s="15">
        <f t="shared" si="29"/>
        <v>13794</v>
      </c>
      <c r="I965" s="15">
        <f t="shared" si="30"/>
        <v>0</v>
      </c>
      <c r="J965" s="19"/>
    </row>
    <row r="966" spans="1:10" x14ac:dyDescent="0.25">
      <c r="A966" s="82">
        <v>42774</v>
      </c>
      <c r="B966" s="39" t="s">
        <v>5197</v>
      </c>
      <c r="C966" s="89"/>
      <c r="D966" s="18">
        <v>100302</v>
      </c>
      <c r="E966" s="2" t="s">
        <v>450</v>
      </c>
      <c r="F966" s="15">
        <v>3473.5</v>
      </c>
      <c r="G966" s="41">
        <v>42775</v>
      </c>
      <c r="H966" s="15">
        <f t="shared" si="29"/>
        <v>3473.5</v>
      </c>
      <c r="I966" s="15">
        <f t="shared" si="30"/>
        <v>0</v>
      </c>
      <c r="J966" s="19"/>
    </row>
    <row r="967" spans="1:10" x14ac:dyDescent="0.25">
      <c r="A967" s="82">
        <v>42774</v>
      </c>
      <c r="B967" s="39" t="s">
        <v>5198</v>
      </c>
      <c r="C967" s="89"/>
      <c r="D967" s="18">
        <v>100303</v>
      </c>
      <c r="E967" s="13" t="s">
        <v>61</v>
      </c>
      <c r="F967" s="14">
        <v>0</v>
      </c>
      <c r="G967" s="88" t="s">
        <v>95</v>
      </c>
      <c r="H967" s="14">
        <f t="shared" si="29"/>
        <v>0</v>
      </c>
      <c r="I967" s="14">
        <f t="shared" si="30"/>
        <v>0</v>
      </c>
      <c r="J967" s="19"/>
    </row>
    <row r="968" spans="1:10" x14ac:dyDescent="0.25">
      <c r="A968" s="82">
        <v>42774</v>
      </c>
      <c r="B968" s="39" t="s">
        <v>5199</v>
      </c>
      <c r="C968" s="89"/>
      <c r="D968" s="18">
        <v>100304</v>
      </c>
      <c r="E968" s="13" t="s">
        <v>109</v>
      </c>
      <c r="F968" s="14">
        <v>0</v>
      </c>
      <c r="G968" s="88" t="s">
        <v>95</v>
      </c>
      <c r="H968" s="14">
        <f t="shared" si="29"/>
        <v>0</v>
      </c>
      <c r="I968" s="14">
        <f t="shared" si="30"/>
        <v>0</v>
      </c>
      <c r="J968" s="19"/>
    </row>
    <row r="969" spans="1:10" x14ac:dyDescent="0.25">
      <c r="A969" s="82">
        <v>42774</v>
      </c>
      <c r="B969" s="39" t="s">
        <v>5200</v>
      </c>
      <c r="C969" s="89"/>
      <c r="D969" s="18">
        <v>100305</v>
      </c>
      <c r="E969" s="2" t="s">
        <v>281</v>
      </c>
      <c r="F969" s="15">
        <v>1335</v>
      </c>
      <c r="G969" s="41">
        <v>42775</v>
      </c>
      <c r="H969" s="15">
        <f t="shared" si="29"/>
        <v>1335</v>
      </c>
      <c r="I969" s="15">
        <f t="shared" si="30"/>
        <v>0</v>
      </c>
      <c r="J969" s="19"/>
    </row>
    <row r="970" spans="1:10" x14ac:dyDescent="0.25">
      <c r="A970" s="82">
        <v>42774</v>
      </c>
      <c r="B970" s="39" t="s">
        <v>5201</v>
      </c>
      <c r="C970" s="89"/>
      <c r="D970" s="18">
        <v>100306</v>
      </c>
      <c r="E970" s="2" t="s">
        <v>103</v>
      </c>
      <c r="F970" s="15">
        <v>3346.7</v>
      </c>
      <c r="G970" s="41">
        <v>42777</v>
      </c>
      <c r="H970" s="15">
        <f t="shared" si="29"/>
        <v>3346.7</v>
      </c>
      <c r="I970" s="15">
        <f t="shared" si="30"/>
        <v>0</v>
      </c>
      <c r="J970" s="19"/>
    </row>
    <row r="971" spans="1:10" x14ac:dyDescent="0.25">
      <c r="A971" s="82">
        <v>42774</v>
      </c>
      <c r="B971" s="39" t="s">
        <v>5202</v>
      </c>
      <c r="C971" s="89"/>
      <c r="D971" s="18">
        <v>100307</v>
      </c>
      <c r="E971" s="2" t="s">
        <v>712</v>
      </c>
      <c r="F971" s="15">
        <v>3992.1</v>
      </c>
      <c r="G971" s="41">
        <v>42775</v>
      </c>
      <c r="H971" s="15">
        <f t="shared" si="29"/>
        <v>3992.1</v>
      </c>
      <c r="I971" s="15">
        <f t="shared" si="30"/>
        <v>0</v>
      </c>
      <c r="J971" s="19"/>
    </row>
    <row r="972" spans="1:10" x14ac:dyDescent="0.25">
      <c r="A972" s="82">
        <v>42774</v>
      </c>
      <c r="B972" s="39" t="s">
        <v>5203</v>
      </c>
      <c r="C972" s="89"/>
      <c r="D972" s="18">
        <v>100308</v>
      </c>
      <c r="E972" s="2" t="s">
        <v>1380</v>
      </c>
      <c r="F972" s="15">
        <v>1466.1</v>
      </c>
      <c r="G972" s="41">
        <v>42775</v>
      </c>
      <c r="H972" s="15">
        <f t="shared" si="29"/>
        <v>1466.1</v>
      </c>
      <c r="I972" s="15">
        <f t="shared" si="30"/>
        <v>0</v>
      </c>
      <c r="J972" s="19"/>
    </row>
    <row r="973" spans="1:10" x14ac:dyDescent="0.25">
      <c r="A973" s="82">
        <v>42774</v>
      </c>
      <c r="B973" s="39" t="s">
        <v>5204</v>
      </c>
      <c r="C973" s="89"/>
      <c r="D973" s="18">
        <v>100309</v>
      </c>
      <c r="E973" s="2" t="s">
        <v>81</v>
      </c>
      <c r="F973" s="15">
        <v>2267.1999999999998</v>
      </c>
      <c r="G973" s="41">
        <v>42775</v>
      </c>
      <c r="H973" s="15">
        <f t="shared" si="29"/>
        <v>2267.1999999999998</v>
      </c>
      <c r="I973" s="15">
        <f t="shared" si="30"/>
        <v>0</v>
      </c>
      <c r="J973" s="19"/>
    </row>
    <row r="974" spans="1:10" x14ac:dyDescent="0.25">
      <c r="A974" s="82">
        <v>42774</v>
      </c>
      <c r="B974" s="39" t="s">
        <v>5205</v>
      </c>
      <c r="C974" s="89"/>
      <c r="D974" s="18">
        <v>100310</v>
      </c>
      <c r="E974" s="2" t="s">
        <v>1259</v>
      </c>
      <c r="F974" s="15">
        <v>1339.2</v>
      </c>
      <c r="G974" s="41">
        <v>42775</v>
      </c>
      <c r="H974" s="15">
        <f t="shared" si="29"/>
        <v>1339.2</v>
      </c>
      <c r="I974" s="15">
        <f t="shared" si="30"/>
        <v>0</v>
      </c>
      <c r="J974" s="19"/>
    </row>
    <row r="975" spans="1:10" x14ac:dyDescent="0.25">
      <c r="A975" s="82">
        <v>42774</v>
      </c>
      <c r="B975" s="39" t="s">
        <v>5206</v>
      </c>
      <c r="C975" s="89"/>
      <c r="D975" s="18">
        <v>100311</v>
      </c>
      <c r="E975" s="2" t="s">
        <v>182</v>
      </c>
      <c r="F975" s="15">
        <v>2450</v>
      </c>
      <c r="G975" s="41">
        <v>42775</v>
      </c>
      <c r="H975" s="15">
        <f t="shared" si="29"/>
        <v>2450</v>
      </c>
      <c r="I975" s="15">
        <f t="shared" si="30"/>
        <v>0</v>
      </c>
      <c r="J975" s="19"/>
    </row>
    <row r="976" spans="1:10" x14ac:dyDescent="0.25">
      <c r="A976" s="82">
        <v>42774</v>
      </c>
      <c r="B976" s="39" t="s">
        <v>5207</v>
      </c>
      <c r="C976" s="89"/>
      <c r="D976" s="18">
        <v>100312</v>
      </c>
      <c r="E976" s="2" t="s">
        <v>61</v>
      </c>
      <c r="F976" s="15">
        <v>315</v>
      </c>
      <c r="G976" s="41">
        <v>42775</v>
      </c>
      <c r="H976" s="15">
        <f t="shared" si="29"/>
        <v>315</v>
      </c>
      <c r="I976" s="15">
        <f t="shared" si="30"/>
        <v>0</v>
      </c>
      <c r="J976" s="19"/>
    </row>
    <row r="977" spans="1:10" x14ac:dyDescent="0.25">
      <c r="A977" s="82">
        <v>42774</v>
      </c>
      <c r="B977" s="39" t="s">
        <v>5208</v>
      </c>
      <c r="C977" s="89"/>
      <c r="D977" s="18">
        <v>100313</v>
      </c>
      <c r="E977" s="2" t="s">
        <v>186</v>
      </c>
      <c r="F977" s="15">
        <v>1026</v>
      </c>
      <c r="G977" s="41">
        <v>42775</v>
      </c>
      <c r="H977" s="15">
        <f t="shared" si="29"/>
        <v>1026</v>
      </c>
      <c r="I977" s="15">
        <f t="shared" si="30"/>
        <v>0</v>
      </c>
      <c r="J977" s="19"/>
    </row>
    <row r="978" spans="1:10" x14ac:dyDescent="0.25">
      <c r="A978" s="82">
        <v>42774</v>
      </c>
      <c r="B978" s="39" t="s">
        <v>5209</v>
      </c>
      <c r="C978" s="89"/>
      <c r="D978" s="18">
        <v>100314</v>
      </c>
      <c r="E978" s="2" t="s">
        <v>188</v>
      </c>
      <c r="F978" s="15">
        <v>481.6</v>
      </c>
      <c r="G978" s="41">
        <v>42775</v>
      </c>
      <c r="H978" s="15">
        <f t="shared" si="29"/>
        <v>481.6</v>
      </c>
      <c r="I978" s="15">
        <f t="shared" si="30"/>
        <v>0</v>
      </c>
      <c r="J978" s="19"/>
    </row>
    <row r="979" spans="1:10" x14ac:dyDescent="0.25">
      <c r="A979" s="82">
        <v>42774</v>
      </c>
      <c r="B979" s="39" t="s">
        <v>5210</v>
      </c>
      <c r="C979" s="89"/>
      <c r="D979" s="18">
        <v>100315</v>
      </c>
      <c r="E979" s="2" t="s">
        <v>63</v>
      </c>
      <c r="F979" s="15">
        <v>148</v>
      </c>
      <c r="G979" s="41">
        <v>42775</v>
      </c>
      <c r="H979" s="15">
        <f t="shared" si="29"/>
        <v>148</v>
      </c>
      <c r="I979" s="15">
        <f t="shared" si="30"/>
        <v>0</v>
      </c>
      <c r="J979" s="19"/>
    </row>
    <row r="980" spans="1:10" x14ac:dyDescent="0.25">
      <c r="A980" s="82">
        <v>42774</v>
      </c>
      <c r="B980" s="39" t="s">
        <v>5211</v>
      </c>
      <c r="C980" s="89"/>
      <c r="D980" s="18">
        <v>100316</v>
      </c>
      <c r="E980" s="2" t="s">
        <v>57</v>
      </c>
      <c r="F980" s="15">
        <v>592.9</v>
      </c>
      <c r="G980" s="41">
        <v>42775</v>
      </c>
      <c r="H980" s="15">
        <f t="shared" si="29"/>
        <v>592.9</v>
      </c>
      <c r="I980" s="15">
        <f t="shared" si="30"/>
        <v>0</v>
      </c>
      <c r="J980" s="19"/>
    </row>
    <row r="981" spans="1:10" x14ac:dyDescent="0.25">
      <c r="A981" s="82">
        <v>42774</v>
      </c>
      <c r="B981" s="39" t="s">
        <v>5212</v>
      </c>
      <c r="C981" s="89"/>
      <c r="D981" s="18">
        <v>100317</v>
      </c>
      <c r="E981" s="2" t="s">
        <v>53</v>
      </c>
      <c r="F981" s="15">
        <v>2998.6</v>
      </c>
      <c r="G981" s="41">
        <v>42775</v>
      </c>
      <c r="H981" s="15">
        <f t="shared" si="29"/>
        <v>2998.6</v>
      </c>
      <c r="I981" s="15">
        <f t="shared" si="30"/>
        <v>0</v>
      </c>
      <c r="J981" s="19"/>
    </row>
    <row r="982" spans="1:10" x14ac:dyDescent="0.25">
      <c r="A982" s="82">
        <v>42774</v>
      </c>
      <c r="B982" s="39" t="s">
        <v>5213</v>
      </c>
      <c r="C982" s="89"/>
      <c r="D982" s="18">
        <v>100318</v>
      </c>
      <c r="E982" s="2" t="s">
        <v>10</v>
      </c>
      <c r="F982" s="15">
        <v>322909.21999999997</v>
      </c>
      <c r="G982" s="87">
        <v>42777</v>
      </c>
      <c r="H982" s="20">
        <f>132784.1+190125.12</f>
        <v>322909.21999999997</v>
      </c>
      <c r="I982" s="20">
        <f t="shared" si="30"/>
        <v>0</v>
      </c>
      <c r="J982" s="19"/>
    </row>
    <row r="983" spans="1:10" x14ac:dyDescent="0.25">
      <c r="A983" s="82">
        <v>42774</v>
      </c>
      <c r="B983" s="39" t="s">
        <v>5214</v>
      </c>
      <c r="C983" s="89"/>
      <c r="D983" s="18">
        <v>100319</v>
      </c>
      <c r="E983" s="2" t="s">
        <v>193</v>
      </c>
      <c r="F983" s="15">
        <v>2150.4</v>
      </c>
      <c r="G983" s="41">
        <v>42775</v>
      </c>
      <c r="H983" s="15">
        <f t="shared" si="29"/>
        <v>2150.4</v>
      </c>
      <c r="I983" s="15">
        <f t="shared" si="30"/>
        <v>0</v>
      </c>
      <c r="J983" s="19"/>
    </row>
    <row r="984" spans="1:10" x14ac:dyDescent="0.25">
      <c r="A984" s="82">
        <v>42774</v>
      </c>
      <c r="B984" s="39" t="s">
        <v>5215</v>
      </c>
      <c r="C984" s="89"/>
      <c r="D984" s="18">
        <v>100320</v>
      </c>
      <c r="E984" s="13" t="s">
        <v>115</v>
      </c>
      <c r="F984" s="14">
        <v>0</v>
      </c>
      <c r="G984" s="88" t="s">
        <v>95</v>
      </c>
      <c r="H984" s="14">
        <f t="shared" si="29"/>
        <v>0</v>
      </c>
      <c r="I984" s="14">
        <f t="shared" si="30"/>
        <v>0</v>
      </c>
      <c r="J984" s="19"/>
    </row>
    <row r="985" spans="1:10" x14ac:dyDescent="0.25">
      <c r="A985" s="82">
        <v>42774</v>
      </c>
      <c r="B985" s="39" t="s">
        <v>5216</v>
      </c>
      <c r="C985" s="89"/>
      <c r="D985" s="18">
        <v>100321</v>
      </c>
      <c r="E985" s="2" t="s">
        <v>10</v>
      </c>
      <c r="F985" s="15">
        <v>42872.2</v>
      </c>
      <c r="G985" s="41">
        <v>42781</v>
      </c>
      <c r="H985" s="15">
        <f t="shared" si="29"/>
        <v>42872.2</v>
      </c>
      <c r="I985" s="15">
        <f t="shared" si="30"/>
        <v>0</v>
      </c>
      <c r="J985" s="19"/>
    </row>
    <row r="986" spans="1:10" x14ac:dyDescent="0.25">
      <c r="A986" s="82">
        <v>42774</v>
      </c>
      <c r="B986" s="39" t="s">
        <v>5217</v>
      </c>
      <c r="C986" s="89"/>
      <c r="D986" s="18">
        <v>100322</v>
      </c>
      <c r="E986" s="2" t="s">
        <v>10</v>
      </c>
      <c r="F986" s="15">
        <v>5444.7</v>
      </c>
      <c r="G986" s="41">
        <v>42781</v>
      </c>
      <c r="H986" s="15">
        <f t="shared" si="29"/>
        <v>5444.7</v>
      </c>
      <c r="I986" s="15">
        <f t="shared" si="30"/>
        <v>0</v>
      </c>
      <c r="J986" s="19"/>
    </row>
    <row r="987" spans="1:10" x14ac:dyDescent="0.25">
      <c r="A987" s="82">
        <v>42774</v>
      </c>
      <c r="B987" s="39" t="s">
        <v>5218</v>
      </c>
      <c r="C987" s="89"/>
      <c r="D987" s="18">
        <v>100323</v>
      </c>
      <c r="E987" s="2" t="s">
        <v>5219</v>
      </c>
      <c r="F987" s="15">
        <v>3817.6</v>
      </c>
      <c r="G987" s="41">
        <v>42774</v>
      </c>
      <c r="H987" s="15">
        <f t="shared" si="29"/>
        <v>3817.6</v>
      </c>
      <c r="I987" s="15">
        <f t="shared" si="30"/>
        <v>0</v>
      </c>
      <c r="J987" s="19"/>
    </row>
    <row r="988" spans="1:10" x14ac:dyDescent="0.25">
      <c r="A988" s="82">
        <v>42774</v>
      </c>
      <c r="B988" s="39" t="s">
        <v>5220</v>
      </c>
      <c r="C988" s="89"/>
      <c r="D988" s="18">
        <v>100324</v>
      </c>
      <c r="E988" s="2" t="s">
        <v>302</v>
      </c>
      <c r="F988" s="15">
        <v>8434.6</v>
      </c>
      <c r="G988" s="41">
        <v>42774</v>
      </c>
      <c r="H988" s="15">
        <f t="shared" si="29"/>
        <v>8434.6</v>
      </c>
      <c r="I988" s="15">
        <f t="shared" si="30"/>
        <v>0</v>
      </c>
      <c r="J988" s="19"/>
    </row>
    <row r="989" spans="1:10" x14ac:dyDescent="0.25">
      <c r="A989" s="82">
        <v>42774</v>
      </c>
      <c r="B989" s="39" t="s">
        <v>5221</v>
      </c>
      <c r="C989" s="89"/>
      <c r="D989" s="18">
        <v>100325</v>
      </c>
      <c r="E989" s="2" t="s">
        <v>115</v>
      </c>
      <c r="F989" s="15">
        <v>8653.5499999999993</v>
      </c>
      <c r="G989" s="41">
        <v>42784</v>
      </c>
      <c r="H989" s="15">
        <f t="shared" si="29"/>
        <v>8653.5499999999993</v>
      </c>
      <c r="I989" s="15">
        <f t="shared" si="30"/>
        <v>0</v>
      </c>
      <c r="J989" s="19"/>
    </row>
    <row r="990" spans="1:10" x14ac:dyDescent="0.25">
      <c r="A990" s="82">
        <v>42774</v>
      </c>
      <c r="B990" s="39" t="s">
        <v>5222</v>
      </c>
      <c r="C990" s="89"/>
      <c r="D990" s="18">
        <v>100326</v>
      </c>
      <c r="E990" s="2" t="s">
        <v>10</v>
      </c>
      <c r="F990" s="15">
        <v>31925</v>
      </c>
      <c r="G990" s="41">
        <v>42781</v>
      </c>
      <c r="H990" s="15">
        <f t="shared" si="29"/>
        <v>31925</v>
      </c>
      <c r="I990" s="15">
        <f t="shared" si="30"/>
        <v>0</v>
      </c>
      <c r="J990" s="19"/>
    </row>
    <row r="991" spans="1:10" x14ac:dyDescent="0.25">
      <c r="A991" s="82">
        <v>42774</v>
      </c>
      <c r="B991" s="39" t="s">
        <v>5223</v>
      </c>
      <c r="C991" s="89"/>
      <c r="D991" s="18">
        <v>100327</v>
      </c>
      <c r="E991" s="2" t="s">
        <v>1325</v>
      </c>
      <c r="F991" s="15">
        <v>1761.4</v>
      </c>
      <c r="G991" s="41">
        <v>42775</v>
      </c>
      <c r="H991" s="15">
        <f t="shared" si="29"/>
        <v>1761.4</v>
      </c>
      <c r="I991" s="15">
        <f t="shared" si="30"/>
        <v>0</v>
      </c>
      <c r="J991" s="19"/>
    </row>
    <row r="992" spans="1:10" x14ac:dyDescent="0.25">
      <c r="A992" s="82">
        <v>42774</v>
      </c>
      <c r="B992" s="39" t="s">
        <v>5224</v>
      </c>
      <c r="C992" s="89"/>
      <c r="D992" s="18">
        <v>100328</v>
      </c>
      <c r="E992" s="2" t="s">
        <v>226</v>
      </c>
      <c r="F992" s="15">
        <v>2278.8000000000002</v>
      </c>
      <c r="G992" s="41">
        <v>42775</v>
      </c>
      <c r="H992" s="15">
        <f t="shared" si="29"/>
        <v>2278.8000000000002</v>
      </c>
      <c r="I992" s="15">
        <f t="shared" si="30"/>
        <v>0</v>
      </c>
      <c r="J992" s="19"/>
    </row>
    <row r="993" spans="1:10" x14ac:dyDescent="0.25">
      <c r="A993" s="82">
        <v>42774</v>
      </c>
      <c r="B993" s="39" t="s">
        <v>5225</v>
      </c>
      <c r="C993" s="89"/>
      <c r="D993" s="18">
        <v>100329</v>
      </c>
      <c r="E993" s="2" t="s">
        <v>630</v>
      </c>
      <c r="F993" s="15">
        <v>2192.17</v>
      </c>
      <c r="G993" s="41">
        <v>42775</v>
      </c>
      <c r="H993" s="15">
        <f t="shared" si="29"/>
        <v>2192.17</v>
      </c>
      <c r="I993" s="15">
        <f t="shared" si="30"/>
        <v>0</v>
      </c>
      <c r="J993" s="19"/>
    </row>
    <row r="994" spans="1:10" x14ac:dyDescent="0.25">
      <c r="A994" s="82">
        <v>42774</v>
      </c>
      <c r="B994" s="39" t="s">
        <v>5226</v>
      </c>
      <c r="C994" s="89"/>
      <c r="D994" s="18">
        <v>100330</v>
      </c>
      <c r="E994" s="2" t="s">
        <v>693</v>
      </c>
      <c r="F994" s="15">
        <v>28915.200000000001</v>
      </c>
      <c r="G994" s="41">
        <v>42802</v>
      </c>
      <c r="H994" s="15">
        <f t="shared" si="29"/>
        <v>28915.200000000001</v>
      </c>
      <c r="I994" s="15">
        <f t="shared" si="30"/>
        <v>0</v>
      </c>
      <c r="J994" s="19"/>
    </row>
    <row r="995" spans="1:10" x14ac:dyDescent="0.25">
      <c r="A995" s="82">
        <v>42774</v>
      </c>
      <c r="B995" s="39" t="s">
        <v>5227</v>
      </c>
      <c r="C995" s="89"/>
      <c r="D995" s="18">
        <v>100331</v>
      </c>
      <c r="E995" s="2" t="s">
        <v>10</v>
      </c>
      <c r="F995" s="15">
        <v>9570</v>
      </c>
      <c r="G995" s="41">
        <v>42781</v>
      </c>
      <c r="H995" s="15">
        <f t="shared" si="29"/>
        <v>9570</v>
      </c>
      <c r="I995" s="15">
        <f t="shared" si="30"/>
        <v>0</v>
      </c>
      <c r="J995" s="19"/>
    </row>
    <row r="996" spans="1:10" x14ac:dyDescent="0.25">
      <c r="A996" s="82">
        <v>42774</v>
      </c>
      <c r="B996" s="39" t="s">
        <v>5228</v>
      </c>
      <c r="C996" s="89"/>
      <c r="D996" s="18">
        <v>100332</v>
      </c>
      <c r="E996" s="2" t="s">
        <v>697</v>
      </c>
      <c r="F996" s="15">
        <v>453</v>
      </c>
      <c r="G996" s="41">
        <v>42802</v>
      </c>
      <c r="H996" s="15">
        <f t="shared" si="29"/>
        <v>453</v>
      </c>
      <c r="I996" s="15">
        <f t="shared" si="30"/>
        <v>0</v>
      </c>
      <c r="J996" s="19"/>
    </row>
    <row r="997" spans="1:10" x14ac:dyDescent="0.25">
      <c r="A997" s="82">
        <v>42774</v>
      </c>
      <c r="B997" s="39" t="s">
        <v>5229</v>
      </c>
      <c r="C997" s="89"/>
      <c r="D997" s="18">
        <v>100333</v>
      </c>
      <c r="E997" s="2" t="s">
        <v>523</v>
      </c>
      <c r="F997" s="15">
        <v>22063.599999999999</v>
      </c>
      <c r="G997" s="41">
        <v>42784</v>
      </c>
      <c r="H997" s="15">
        <f t="shared" si="29"/>
        <v>22063.599999999999</v>
      </c>
      <c r="I997" s="15">
        <f t="shared" si="30"/>
        <v>0</v>
      </c>
      <c r="J997" s="19"/>
    </row>
    <row r="998" spans="1:10" x14ac:dyDescent="0.25">
      <c r="A998" s="82">
        <v>42774</v>
      </c>
      <c r="B998" s="39" t="s">
        <v>5230</v>
      </c>
      <c r="C998" s="89"/>
      <c r="D998" s="18">
        <v>100334</v>
      </c>
      <c r="E998" s="2" t="s">
        <v>8</v>
      </c>
      <c r="F998" s="15">
        <v>988.8</v>
      </c>
      <c r="G998" s="41">
        <v>42774</v>
      </c>
      <c r="H998" s="15">
        <f t="shared" si="29"/>
        <v>988.8</v>
      </c>
      <c r="I998" s="15">
        <f t="shared" si="30"/>
        <v>0</v>
      </c>
      <c r="J998" s="19"/>
    </row>
    <row r="999" spans="1:10" x14ac:dyDescent="0.25">
      <c r="A999" s="82">
        <v>42774</v>
      </c>
      <c r="B999" s="39" t="s">
        <v>5231</v>
      </c>
      <c r="C999" s="89"/>
      <c r="D999" s="18">
        <v>100335</v>
      </c>
      <c r="E999" s="2" t="s">
        <v>5232</v>
      </c>
      <c r="F999" s="15">
        <v>12008</v>
      </c>
      <c r="G999" s="41">
        <v>42775</v>
      </c>
      <c r="H999" s="15">
        <f t="shared" si="29"/>
        <v>12008</v>
      </c>
      <c r="I999" s="15">
        <f t="shared" si="30"/>
        <v>0</v>
      </c>
      <c r="J999" s="19"/>
    </row>
    <row r="1000" spans="1:10" x14ac:dyDescent="0.25">
      <c r="A1000" s="82">
        <v>42774</v>
      </c>
      <c r="B1000" s="39" t="s">
        <v>5233</v>
      </c>
      <c r="C1000" s="89"/>
      <c r="D1000" s="18">
        <v>100336</v>
      </c>
      <c r="E1000" s="2" t="s">
        <v>10</v>
      </c>
      <c r="F1000" s="15">
        <v>23718.400000000001</v>
      </c>
      <c r="G1000" s="41">
        <v>42781</v>
      </c>
      <c r="H1000" s="15">
        <f t="shared" si="29"/>
        <v>23718.400000000001</v>
      </c>
      <c r="I1000" s="15">
        <f t="shared" si="30"/>
        <v>0</v>
      </c>
      <c r="J1000" s="19"/>
    </row>
    <row r="1001" spans="1:10" x14ac:dyDescent="0.25">
      <c r="A1001" s="82">
        <v>42774</v>
      </c>
      <c r="B1001" s="39" t="s">
        <v>5234</v>
      </c>
      <c r="C1001" s="89"/>
      <c r="D1001" s="18">
        <v>100337</v>
      </c>
      <c r="E1001" s="2" t="s">
        <v>2054</v>
      </c>
      <c r="F1001" s="15">
        <v>2623.6</v>
      </c>
      <c r="G1001" s="41">
        <v>42774</v>
      </c>
      <c r="H1001" s="15">
        <f t="shared" si="29"/>
        <v>2623.6</v>
      </c>
      <c r="I1001" s="15">
        <f t="shared" si="30"/>
        <v>0</v>
      </c>
      <c r="J1001" s="19"/>
    </row>
    <row r="1002" spans="1:10" x14ac:dyDescent="0.25">
      <c r="A1002" s="82">
        <v>42774</v>
      </c>
      <c r="B1002" s="39" t="s">
        <v>5235</v>
      </c>
      <c r="C1002" s="89"/>
      <c r="D1002" s="18">
        <v>100338</v>
      </c>
      <c r="E1002" s="2" t="s">
        <v>367</v>
      </c>
      <c r="F1002" s="15">
        <v>900</v>
      </c>
      <c r="G1002" s="41">
        <v>42774</v>
      </c>
      <c r="H1002" s="15">
        <f t="shared" si="29"/>
        <v>900</v>
      </c>
      <c r="I1002" s="15">
        <f t="shared" si="30"/>
        <v>0</v>
      </c>
      <c r="J1002" s="19"/>
    </row>
    <row r="1003" spans="1:10" x14ac:dyDescent="0.25">
      <c r="A1003" s="82">
        <v>42774</v>
      </c>
      <c r="B1003" s="39" t="s">
        <v>5236</v>
      </c>
      <c r="C1003" s="89"/>
      <c r="D1003" s="18">
        <v>100339</v>
      </c>
      <c r="E1003" s="2" t="s">
        <v>472</v>
      </c>
      <c r="F1003" s="15">
        <v>11406</v>
      </c>
      <c r="G1003" s="41">
        <v>42782</v>
      </c>
      <c r="H1003" s="15">
        <f t="shared" si="29"/>
        <v>11406</v>
      </c>
      <c r="I1003" s="15">
        <f t="shared" si="30"/>
        <v>0</v>
      </c>
      <c r="J1003" s="19"/>
    </row>
    <row r="1004" spans="1:10" x14ac:dyDescent="0.25">
      <c r="A1004" s="82">
        <v>42774</v>
      </c>
      <c r="B1004" s="39" t="s">
        <v>5237</v>
      </c>
      <c r="C1004" s="89"/>
      <c r="D1004" s="18">
        <v>100340</v>
      </c>
      <c r="E1004" s="2" t="s">
        <v>222</v>
      </c>
      <c r="F1004" s="15">
        <v>232320</v>
      </c>
      <c r="G1004" s="41">
        <v>42784</v>
      </c>
      <c r="H1004" s="15">
        <f t="shared" si="29"/>
        <v>232320</v>
      </c>
      <c r="I1004" s="15">
        <f t="shared" si="30"/>
        <v>0</v>
      </c>
      <c r="J1004" s="19"/>
    </row>
    <row r="1005" spans="1:10" x14ac:dyDescent="0.25">
      <c r="A1005" s="82">
        <v>42774</v>
      </c>
      <c r="B1005" s="39" t="s">
        <v>5238</v>
      </c>
      <c r="C1005" s="89"/>
      <c r="D1005" s="18">
        <v>100341</v>
      </c>
      <c r="E1005" s="2" t="s">
        <v>2240</v>
      </c>
      <c r="F1005" s="15">
        <v>1466.4</v>
      </c>
      <c r="G1005" s="41" t="s">
        <v>1743</v>
      </c>
      <c r="H1005" s="15">
        <f t="shared" si="29"/>
        <v>1466.4</v>
      </c>
      <c r="I1005" s="15">
        <f t="shared" si="30"/>
        <v>0</v>
      </c>
      <c r="J1005" s="19"/>
    </row>
    <row r="1006" spans="1:10" x14ac:dyDescent="0.25">
      <c r="A1006" s="82">
        <v>42774</v>
      </c>
      <c r="B1006" s="39" t="s">
        <v>5239</v>
      </c>
      <c r="C1006" s="89"/>
      <c r="D1006" s="18">
        <v>100342</v>
      </c>
      <c r="E1006" s="2" t="s">
        <v>12</v>
      </c>
      <c r="F1006" s="15">
        <v>1252.8</v>
      </c>
      <c r="G1006" s="41">
        <v>42775</v>
      </c>
      <c r="H1006" s="15">
        <f t="shared" si="29"/>
        <v>1252.8</v>
      </c>
      <c r="I1006" s="15">
        <f t="shared" si="30"/>
        <v>0</v>
      </c>
      <c r="J1006" s="19"/>
    </row>
    <row r="1007" spans="1:10" x14ac:dyDescent="0.25">
      <c r="A1007" s="82">
        <v>42774</v>
      </c>
      <c r="B1007" s="39" t="s">
        <v>5240</v>
      </c>
      <c r="C1007" s="89"/>
      <c r="D1007" s="18">
        <v>100343</v>
      </c>
      <c r="E1007" s="2" t="s">
        <v>472</v>
      </c>
      <c r="F1007" s="15">
        <v>3003</v>
      </c>
      <c r="G1007" s="41">
        <v>42782</v>
      </c>
      <c r="H1007" s="15">
        <f t="shared" si="29"/>
        <v>3003</v>
      </c>
      <c r="I1007" s="15">
        <f t="shared" si="30"/>
        <v>0</v>
      </c>
      <c r="J1007" s="19"/>
    </row>
    <row r="1008" spans="1:10" x14ac:dyDescent="0.25">
      <c r="A1008" s="82">
        <v>42774</v>
      </c>
      <c r="B1008" s="39" t="s">
        <v>5241</v>
      </c>
      <c r="C1008" s="89"/>
      <c r="D1008" s="18">
        <v>100344</v>
      </c>
      <c r="E1008" s="2" t="s">
        <v>120</v>
      </c>
      <c r="F1008" s="15">
        <v>1612.92</v>
      </c>
      <c r="H1008" s="15">
        <f t="shared" si="29"/>
        <v>1612.92</v>
      </c>
      <c r="I1008" s="15">
        <f t="shared" si="30"/>
        <v>0</v>
      </c>
      <c r="J1008" s="19"/>
    </row>
    <row r="1009" spans="1:10" x14ac:dyDescent="0.25">
      <c r="A1009" s="82">
        <v>42774</v>
      </c>
      <c r="B1009" s="39" t="s">
        <v>5242</v>
      </c>
      <c r="C1009" s="89"/>
      <c r="D1009" s="18">
        <v>100345</v>
      </c>
      <c r="E1009" s="92" t="s">
        <v>312</v>
      </c>
      <c r="F1009" s="15">
        <v>22340</v>
      </c>
      <c r="G1009" s="41">
        <v>42794</v>
      </c>
      <c r="H1009" s="15">
        <f t="shared" si="29"/>
        <v>22340</v>
      </c>
      <c r="I1009" s="15">
        <f t="shared" si="30"/>
        <v>0</v>
      </c>
      <c r="J1009" s="19"/>
    </row>
    <row r="1010" spans="1:10" x14ac:dyDescent="0.25">
      <c r="A1010" s="82">
        <v>42774</v>
      </c>
      <c r="B1010" s="39" t="s">
        <v>5243</v>
      </c>
      <c r="C1010" s="89"/>
      <c r="D1010" s="18">
        <v>100346</v>
      </c>
      <c r="E1010" s="2" t="s">
        <v>211</v>
      </c>
      <c r="F1010" s="15">
        <v>8086.9</v>
      </c>
      <c r="H1010" s="15">
        <f t="shared" si="29"/>
        <v>8086.9</v>
      </c>
      <c r="I1010" s="15">
        <f t="shared" si="30"/>
        <v>0</v>
      </c>
      <c r="J1010" s="19"/>
    </row>
    <row r="1011" spans="1:10" x14ac:dyDescent="0.25">
      <c r="A1011" s="82">
        <v>42774</v>
      </c>
      <c r="B1011" s="39" t="s">
        <v>5244</v>
      </c>
      <c r="C1011" s="89"/>
      <c r="D1011" s="18">
        <v>100347</v>
      </c>
      <c r="E1011" s="2" t="s">
        <v>10</v>
      </c>
      <c r="F1011" s="15">
        <v>503.1</v>
      </c>
      <c r="G1011" s="41">
        <v>42781</v>
      </c>
      <c r="H1011" s="15">
        <f t="shared" si="29"/>
        <v>503.1</v>
      </c>
      <c r="I1011" s="15">
        <f t="shared" si="30"/>
        <v>0</v>
      </c>
      <c r="J1011" s="19"/>
    </row>
    <row r="1012" spans="1:10" x14ac:dyDescent="0.25">
      <c r="A1012" s="82">
        <v>42774</v>
      </c>
      <c r="B1012" s="39" t="s">
        <v>5245</v>
      </c>
      <c r="C1012" s="89"/>
      <c r="D1012" s="18">
        <v>100348</v>
      </c>
      <c r="E1012" s="2" t="s">
        <v>298</v>
      </c>
      <c r="F1012" s="15">
        <v>2335.8000000000002</v>
      </c>
      <c r="G1012" s="41">
        <v>42775</v>
      </c>
      <c r="H1012" s="15">
        <f t="shared" si="29"/>
        <v>2335.8000000000002</v>
      </c>
      <c r="I1012" s="15">
        <f t="shared" si="30"/>
        <v>0</v>
      </c>
      <c r="J1012" s="19"/>
    </row>
    <row r="1013" spans="1:10" x14ac:dyDescent="0.25">
      <c r="A1013" s="82">
        <v>42774</v>
      </c>
      <c r="B1013" s="39" t="s">
        <v>5246</v>
      </c>
      <c r="C1013" s="89"/>
      <c r="D1013" s="18">
        <v>100349</v>
      </c>
      <c r="E1013" s="2" t="s">
        <v>921</v>
      </c>
      <c r="F1013" s="15">
        <v>4706.1000000000004</v>
      </c>
      <c r="G1013" s="41">
        <v>42775</v>
      </c>
      <c r="H1013" s="15">
        <f t="shared" ref="H1013:H1076" si="31">F1013</f>
        <v>4706.1000000000004</v>
      </c>
      <c r="I1013" s="15">
        <f t="shared" si="30"/>
        <v>0</v>
      </c>
      <c r="J1013" s="19"/>
    </row>
    <row r="1014" spans="1:10" x14ac:dyDescent="0.25">
      <c r="A1014" s="82">
        <v>42775</v>
      </c>
      <c r="B1014" s="39" t="s">
        <v>5247</v>
      </c>
      <c r="C1014" s="89"/>
      <c r="D1014" s="18">
        <v>100350</v>
      </c>
      <c r="E1014" s="2" t="s">
        <v>231</v>
      </c>
      <c r="F1014" s="15">
        <v>7302.3</v>
      </c>
      <c r="G1014" s="41">
        <v>42776</v>
      </c>
      <c r="H1014" s="15">
        <f t="shared" si="31"/>
        <v>7302.3</v>
      </c>
      <c r="I1014" s="15">
        <f t="shared" si="30"/>
        <v>0</v>
      </c>
      <c r="J1014" s="19"/>
    </row>
    <row r="1015" spans="1:10" x14ac:dyDescent="0.25">
      <c r="A1015" s="82">
        <v>42775</v>
      </c>
      <c r="B1015" s="39" t="s">
        <v>5248</v>
      </c>
      <c r="C1015" s="89"/>
      <c r="D1015" s="18">
        <v>100351</v>
      </c>
      <c r="E1015" s="2" t="s">
        <v>231</v>
      </c>
      <c r="F1015" s="15">
        <v>34406.6</v>
      </c>
      <c r="G1015" s="41">
        <v>42776</v>
      </c>
      <c r="H1015" s="15">
        <f t="shared" si="31"/>
        <v>34406.6</v>
      </c>
      <c r="I1015" s="15">
        <f t="shared" si="30"/>
        <v>0</v>
      </c>
      <c r="J1015" s="19"/>
    </row>
    <row r="1016" spans="1:10" x14ac:dyDescent="0.25">
      <c r="A1016" s="82">
        <v>42775</v>
      </c>
      <c r="B1016" s="39" t="s">
        <v>5249</v>
      </c>
      <c r="C1016" s="89"/>
      <c r="D1016" s="18">
        <v>100352</v>
      </c>
      <c r="E1016" s="2" t="s">
        <v>17</v>
      </c>
      <c r="F1016" s="15">
        <v>2695</v>
      </c>
      <c r="G1016" s="41">
        <v>42775</v>
      </c>
      <c r="H1016" s="15">
        <f t="shared" si="31"/>
        <v>2695</v>
      </c>
      <c r="I1016" s="15">
        <f t="shared" si="30"/>
        <v>0</v>
      </c>
      <c r="J1016" s="19"/>
    </row>
    <row r="1017" spans="1:10" x14ac:dyDescent="0.25">
      <c r="A1017" s="82">
        <v>42775</v>
      </c>
      <c r="B1017" s="39" t="s">
        <v>5250</v>
      </c>
      <c r="C1017" s="89"/>
      <c r="D1017" s="18">
        <v>100353</v>
      </c>
      <c r="E1017" s="2" t="s">
        <v>1786</v>
      </c>
      <c r="F1017" s="15">
        <v>5727.6</v>
      </c>
      <c r="G1017" s="41">
        <v>42775</v>
      </c>
      <c r="H1017" s="15">
        <f t="shared" si="31"/>
        <v>5727.6</v>
      </c>
      <c r="I1017" s="15">
        <f t="shared" ref="I1017:I1080" si="32">F1017-H1017</f>
        <v>0</v>
      </c>
      <c r="J1017" s="19"/>
    </row>
    <row r="1018" spans="1:10" x14ac:dyDescent="0.25">
      <c r="A1018" s="82">
        <v>42775</v>
      </c>
      <c r="B1018" s="39" t="s">
        <v>5251</v>
      </c>
      <c r="C1018" s="89"/>
      <c r="D1018" s="18">
        <v>100354</v>
      </c>
      <c r="E1018" s="2" t="s">
        <v>21</v>
      </c>
      <c r="F1018" s="15">
        <v>46071</v>
      </c>
      <c r="G1018" s="41">
        <v>42786</v>
      </c>
      <c r="H1018" s="15">
        <f t="shared" si="31"/>
        <v>46071</v>
      </c>
      <c r="I1018" s="15">
        <f t="shared" si="32"/>
        <v>0</v>
      </c>
      <c r="J1018" s="19"/>
    </row>
    <row r="1019" spans="1:10" x14ac:dyDescent="0.25">
      <c r="A1019" s="82">
        <v>42775</v>
      </c>
      <c r="B1019" s="39" t="s">
        <v>5252</v>
      </c>
      <c r="C1019" s="89"/>
      <c r="D1019" s="18">
        <v>100355</v>
      </c>
      <c r="E1019" s="2" t="s">
        <v>32</v>
      </c>
      <c r="F1019" s="15">
        <v>6202.5</v>
      </c>
      <c r="G1019" s="41">
        <v>42781</v>
      </c>
      <c r="H1019" s="15">
        <f t="shared" si="31"/>
        <v>6202.5</v>
      </c>
      <c r="I1019" s="15">
        <f t="shared" si="32"/>
        <v>0</v>
      </c>
      <c r="J1019" s="19"/>
    </row>
    <row r="1020" spans="1:10" x14ac:dyDescent="0.25">
      <c r="A1020" s="82">
        <v>42775</v>
      </c>
      <c r="B1020" s="39" t="s">
        <v>5253</v>
      </c>
      <c r="C1020" s="89"/>
      <c r="D1020" s="18">
        <v>100356</v>
      </c>
      <c r="E1020" s="2" t="s">
        <v>428</v>
      </c>
      <c r="F1020" s="15">
        <v>1885</v>
      </c>
      <c r="G1020" s="41">
        <v>42777</v>
      </c>
      <c r="H1020" s="15">
        <f t="shared" si="31"/>
        <v>1885</v>
      </c>
      <c r="I1020" s="15">
        <f t="shared" si="32"/>
        <v>0</v>
      </c>
      <c r="J1020" s="19"/>
    </row>
    <row r="1021" spans="1:10" x14ac:dyDescent="0.25">
      <c r="A1021" s="82">
        <v>42775</v>
      </c>
      <c r="B1021" s="39" t="s">
        <v>5254</v>
      </c>
      <c r="C1021" s="89"/>
      <c r="D1021" s="18">
        <v>100357</v>
      </c>
      <c r="E1021" s="2" t="s">
        <v>19</v>
      </c>
      <c r="F1021" s="15">
        <v>980</v>
      </c>
      <c r="G1021" s="41">
        <v>42775</v>
      </c>
      <c r="H1021" s="15">
        <f t="shared" si="31"/>
        <v>980</v>
      </c>
      <c r="I1021" s="15">
        <f t="shared" si="32"/>
        <v>0</v>
      </c>
      <c r="J1021" s="19"/>
    </row>
    <row r="1022" spans="1:10" x14ac:dyDescent="0.25">
      <c r="A1022" s="82">
        <v>42775</v>
      </c>
      <c r="B1022" s="39" t="s">
        <v>5255</v>
      </c>
      <c r="C1022" s="89"/>
      <c r="D1022" s="18">
        <v>100358</v>
      </c>
      <c r="E1022" s="2" t="s">
        <v>49</v>
      </c>
      <c r="F1022" s="15">
        <v>7607.2</v>
      </c>
      <c r="G1022" s="41">
        <v>42776</v>
      </c>
      <c r="H1022" s="15">
        <f t="shared" si="31"/>
        <v>7607.2</v>
      </c>
      <c r="I1022" s="15">
        <f t="shared" si="32"/>
        <v>0</v>
      </c>
      <c r="J1022" s="19"/>
    </row>
    <row r="1023" spans="1:10" x14ac:dyDescent="0.25">
      <c r="A1023" s="82">
        <v>42775</v>
      </c>
      <c r="B1023" s="39" t="s">
        <v>5256</v>
      </c>
      <c r="C1023" s="89"/>
      <c r="D1023" s="18">
        <v>100359</v>
      </c>
      <c r="E1023" s="2" t="s">
        <v>71</v>
      </c>
      <c r="F1023" s="15">
        <v>2450</v>
      </c>
      <c r="G1023" s="41">
        <v>42775</v>
      </c>
      <c r="H1023" s="15">
        <f t="shared" si="31"/>
        <v>2450</v>
      </c>
      <c r="I1023" s="15">
        <f t="shared" si="32"/>
        <v>0</v>
      </c>
      <c r="J1023" s="19"/>
    </row>
    <row r="1024" spans="1:10" x14ac:dyDescent="0.25">
      <c r="A1024" s="82">
        <v>42775</v>
      </c>
      <c r="B1024" s="39" t="s">
        <v>5257</v>
      </c>
      <c r="C1024" s="89"/>
      <c r="D1024" s="18">
        <v>100360</v>
      </c>
      <c r="E1024" s="2" t="s">
        <v>5258</v>
      </c>
      <c r="F1024" s="15">
        <v>33547.5</v>
      </c>
      <c r="G1024" s="41">
        <v>42783</v>
      </c>
      <c r="H1024" s="15">
        <f t="shared" si="31"/>
        <v>33547.5</v>
      </c>
      <c r="I1024" s="15">
        <f t="shared" si="32"/>
        <v>0</v>
      </c>
      <c r="J1024" s="19"/>
    </row>
    <row r="1025" spans="1:10" x14ac:dyDescent="0.25">
      <c r="A1025" s="82">
        <v>42775</v>
      </c>
      <c r="B1025" s="39" t="s">
        <v>5259</v>
      </c>
      <c r="C1025" s="89"/>
      <c r="D1025" s="18">
        <v>100361</v>
      </c>
      <c r="E1025" s="2" t="s">
        <v>157</v>
      </c>
      <c r="F1025" s="15">
        <v>31432.2</v>
      </c>
      <c r="G1025" s="41">
        <v>42775</v>
      </c>
      <c r="H1025" s="15">
        <f t="shared" si="31"/>
        <v>31432.2</v>
      </c>
      <c r="I1025" s="15">
        <f t="shared" si="32"/>
        <v>0</v>
      </c>
      <c r="J1025" s="19"/>
    </row>
    <row r="1026" spans="1:10" x14ac:dyDescent="0.25">
      <c r="A1026" s="82">
        <v>42775</v>
      </c>
      <c r="B1026" s="39" t="s">
        <v>5260</v>
      </c>
      <c r="C1026" s="89"/>
      <c r="D1026" s="18">
        <v>100362</v>
      </c>
      <c r="E1026" s="2" t="s">
        <v>974</v>
      </c>
      <c r="F1026" s="15">
        <v>10927.6</v>
      </c>
      <c r="G1026" s="41">
        <v>42775</v>
      </c>
      <c r="H1026" s="15">
        <f t="shared" si="31"/>
        <v>10927.6</v>
      </c>
      <c r="I1026" s="15">
        <f t="shared" si="32"/>
        <v>0</v>
      </c>
      <c r="J1026" s="19"/>
    </row>
    <row r="1027" spans="1:10" x14ac:dyDescent="0.25">
      <c r="A1027" s="82">
        <v>42775</v>
      </c>
      <c r="B1027" s="39" t="s">
        <v>5261</v>
      </c>
      <c r="C1027" s="89"/>
      <c r="D1027" s="18">
        <v>100363</v>
      </c>
      <c r="E1027" s="2" t="s">
        <v>476</v>
      </c>
      <c r="F1027" s="15">
        <v>14656</v>
      </c>
      <c r="G1027" s="41">
        <v>42775</v>
      </c>
      <c r="H1027" s="15">
        <f t="shared" si="31"/>
        <v>14656</v>
      </c>
      <c r="I1027" s="15">
        <f t="shared" si="32"/>
        <v>0</v>
      </c>
      <c r="J1027" s="19"/>
    </row>
    <row r="1028" spans="1:10" x14ac:dyDescent="0.25">
      <c r="A1028" s="82">
        <v>42775</v>
      </c>
      <c r="B1028" s="39" t="s">
        <v>5262</v>
      </c>
      <c r="C1028" s="89"/>
      <c r="D1028" s="18">
        <v>100364</v>
      </c>
      <c r="E1028" s="2" t="s">
        <v>28</v>
      </c>
      <c r="F1028" s="15">
        <v>9315</v>
      </c>
      <c r="G1028" s="41">
        <v>42775</v>
      </c>
      <c r="H1028" s="15">
        <f t="shared" si="31"/>
        <v>9315</v>
      </c>
      <c r="I1028" s="15">
        <f t="shared" si="32"/>
        <v>0</v>
      </c>
      <c r="J1028" s="19"/>
    </row>
    <row r="1029" spans="1:10" x14ac:dyDescent="0.25">
      <c r="A1029" s="82">
        <v>42775</v>
      </c>
      <c r="B1029" s="39" t="s">
        <v>5263</v>
      </c>
      <c r="C1029" s="89"/>
      <c r="D1029" s="18">
        <v>100365</v>
      </c>
      <c r="E1029" s="2" t="s">
        <v>12</v>
      </c>
      <c r="F1029" s="15">
        <v>857</v>
      </c>
      <c r="G1029" s="41">
        <v>42775</v>
      </c>
      <c r="H1029" s="15">
        <f t="shared" si="31"/>
        <v>857</v>
      </c>
      <c r="I1029" s="15">
        <f t="shared" si="32"/>
        <v>0</v>
      </c>
      <c r="J1029" s="19"/>
    </row>
    <row r="1030" spans="1:10" x14ac:dyDescent="0.25">
      <c r="A1030" s="82">
        <v>42775</v>
      </c>
      <c r="B1030" s="39" t="s">
        <v>5264</v>
      </c>
      <c r="C1030" s="89"/>
      <c r="D1030" s="18">
        <v>100366</v>
      </c>
      <c r="E1030" s="2" t="s">
        <v>231</v>
      </c>
      <c r="F1030" s="15">
        <v>1440</v>
      </c>
      <c r="G1030" s="41">
        <v>42776</v>
      </c>
      <c r="H1030" s="15">
        <f t="shared" si="31"/>
        <v>1440</v>
      </c>
      <c r="I1030" s="15">
        <f t="shared" si="32"/>
        <v>0</v>
      </c>
      <c r="J1030" s="19"/>
    </row>
    <row r="1031" spans="1:10" ht="30" x14ac:dyDescent="0.25">
      <c r="A1031" s="82">
        <v>42775</v>
      </c>
      <c r="B1031" s="39" t="s">
        <v>5265</v>
      </c>
      <c r="C1031" s="89"/>
      <c r="D1031" s="18">
        <v>100367</v>
      </c>
      <c r="E1031" s="2" t="s">
        <v>35</v>
      </c>
      <c r="F1031" s="15">
        <v>13128.15</v>
      </c>
      <c r="G1031" s="87" t="s">
        <v>5266</v>
      </c>
      <c r="H1031" s="20">
        <f>8200+4928.15</f>
        <v>13128.15</v>
      </c>
      <c r="I1031" s="20">
        <f t="shared" si="32"/>
        <v>0</v>
      </c>
      <c r="J1031" s="19"/>
    </row>
    <row r="1032" spans="1:10" x14ac:dyDescent="0.25">
      <c r="A1032" s="82">
        <v>42775</v>
      </c>
      <c r="B1032" s="39" t="s">
        <v>5267</v>
      </c>
      <c r="C1032" s="89"/>
      <c r="D1032" s="18">
        <v>100368</v>
      </c>
      <c r="E1032" s="2" t="s">
        <v>43</v>
      </c>
      <c r="F1032" s="15">
        <v>1698.3</v>
      </c>
      <c r="G1032" s="41">
        <v>42777</v>
      </c>
      <c r="H1032" s="15">
        <f t="shared" si="31"/>
        <v>1698.3</v>
      </c>
      <c r="I1032" s="15">
        <f t="shared" si="32"/>
        <v>0</v>
      </c>
      <c r="J1032" s="19"/>
    </row>
    <row r="1033" spans="1:10" x14ac:dyDescent="0.25">
      <c r="A1033" s="82">
        <v>42775</v>
      </c>
      <c r="B1033" s="39" t="s">
        <v>5268</v>
      </c>
      <c r="C1033" s="89"/>
      <c r="D1033" s="18">
        <v>100369</v>
      </c>
      <c r="E1033" s="2" t="s">
        <v>10</v>
      </c>
      <c r="F1033" s="15">
        <v>7359</v>
      </c>
      <c r="G1033" s="41">
        <v>42781</v>
      </c>
      <c r="H1033" s="15">
        <f t="shared" si="31"/>
        <v>7359</v>
      </c>
      <c r="I1033" s="15">
        <f t="shared" si="32"/>
        <v>0</v>
      </c>
      <c r="J1033" s="19"/>
    </row>
    <row r="1034" spans="1:10" x14ac:dyDescent="0.25">
      <c r="A1034" s="82">
        <v>42775</v>
      </c>
      <c r="B1034" s="39" t="s">
        <v>5269</v>
      </c>
      <c r="C1034" s="89"/>
      <c r="D1034" s="18">
        <v>100370</v>
      </c>
      <c r="E1034" s="2" t="s">
        <v>51</v>
      </c>
      <c r="F1034" s="15">
        <v>3540.9</v>
      </c>
      <c r="G1034" s="41">
        <v>42777</v>
      </c>
      <c r="H1034" s="15">
        <f t="shared" si="31"/>
        <v>3540.9</v>
      </c>
      <c r="I1034" s="15">
        <f t="shared" si="32"/>
        <v>0</v>
      </c>
      <c r="J1034" s="19"/>
    </row>
    <row r="1035" spans="1:10" x14ac:dyDescent="0.25">
      <c r="A1035" s="82">
        <v>42775</v>
      </c>
      <c r="B1035" s="39" t="s">
        <v>5270</v>
      </c>
      <c r="C1035" s="89"/>
      <c r="D1035" s="18">
        <v>100371</v>
      </c>
      <c r="E1035" s="2" t="s">
        <v>5271</v>
      </c>
      <c r="F1035" s="15">
        <v>29319.200000000001</v>
      </c>
      <c r="G1035" s="41">
        <v>42775</v>
      </c>
      <c r="H1035" s="15">
        <f t="shared" si="31"/>
        <v>29319.200000000001</v>
      </c>
      <c r="I1035" s="15">
        <f t="shared" si="32"/>
        <v>0</v>
      </c>
      <c r="J1035" s="19"/>
    </row>
    <row r="1036" spans="1:10" x14ac:dyDescent="0.25">
      <c r="A1036" s="82">
        <v>42775</v>
      </c>
      <c r="B1036" s="39" t="s">
        <v>5272</v>
      </c>
      <c r="C1036" s="89"/>
      <c r="D1036" s="18">
        <v>100372</v>
      </c>
      <c r="E1036" s="2" t="s">
        <v>40</v>
      </c>
      <c r="F1036" s="15">
        <v>102.6</v>
      </c>
      <c r="G1036" s="41">
        <v>42776</v>
      </c>
      <c r="H1036" s="15">
        <f t="shared" si="31"/>
        <v>102.6</v>
      </c>
      <c r="I1036" s="15">
        <f t="shared" si="32"/>
        <v>0</v>
      </c>
      <c r="J1036" s="19"/>
    </row>
    <row r="1037" spans="1:10" x14ac:dyDescent="0.25">
      <c r="A1037" s="82">
        <v>42775</v>
      </c>
      <c r="B1037" s="39" t="s">
        <v>5273</v>
      </c>
      <c r="C1037" s="89"/>
      <c r="D1037" s="18">
        <v>100373</v>
      </c>
      <c r="E1037" s="2" t="s">
        <v>38</v>
      </c>
      <c r="F1037" s="15">
        <v>163.80000000000001</v>
      </c>
      <c r="G1037" s="41">
        <v>42777</v>
      </c>
      <c r="H1037" s="15">
        <f t="shared" si="31"/>
        <v>163.80000000000001</v>
      </c>
      <c r="I1037" s="15">
        <f t="shared" si="32"/>
        <v>0</v>
      </c>
      <c r="J1037" s="19"/>
    </row>
    <row r="1038" spans="1:10" x14ac:dyDescent="0.25">
      <c r="A1038" s="82">
        <v>42775</v>
      </c>
      <c r="B1038" s="39" t="s">
        <v>5274</v>
      </c>
      <c r="C1038" s="89"/>
      <c r="D1038" s="18">
        <v>100374</v>
      </c>
      <c r="E1038" s="2" t="s">
        <v>250</v>
      </c>
      <c r="F1038" s="15">
        <v>5613.2</v>
      </c>
      <c r="G1038" s="41">
        <v>42776</v>
      </c>
      <c r="H1038" s="15">
        <f t="shared" si="31"/>
        <v>5613.2</v>
      </c>
      <c r="I1038" s="15">
        <f t="shared" si="32"/>
        <v>0</v>
      </c>
      <c r="J1038" s="19"/>
    </row>
    <row r="1039" spans="1:10" x14ac:dyDescent="0.25">
      <c r="A1039" s="82">
        <v>42775</v>
      </c>
      <c r="B1039" s="39" t="s">
        <v>5275</v>
      </c>
      <c r="C1039" s="89"/>
      <c r="D1039" s="18">
        <v>100375</v>
      </c>
      <c r="E1039" s="2" t="s">
        <v>236</v>
      </c>
      <c r="F1039" s="15">
        <v>104137.5</v>
      </c>
      <c r="G1039" s="41">
        <v>42780</v>
      </c>
      <c r="H1039" s="15">
        <f t="shared" si="31"/>
        <v>104137.5</v>
      </c>
      <c r="I1039" s="15">
        <f t="shared" si="32"/>
        <v>0</v>
      </c>
      <c r="J1039" s="19"/>
    </row>
    <row r="1040" spans="1:10" x14ac:dyDescent="0.25">
      <c r="A1040" s="82">
        <v>42775</v>
      </c>
      <c r="B1040" s="39" t="s">
        <v>5276</v>
      </c>
      <c r="C1040" s="89"/>
      <c r="D1040" s="18">
        <v>100376</v>
      </c>
      <c r="E1040" s="2" t="s">
        <v>69</v>
      </c>
      <c r="F1040" s="15">
        <v>3229.1</v>
      </c>
      <c r="G1040" s="41">
        <v>42775</v>
      </c>
      <c r="H1040" s="15">
        <f t="shared" si="31"/>
        <v>3229.1</v>
      </c>
      <c r="I1040" s="15">
        <f t="shared" si="32"/>
        <v>0</v>
      </c>
      <c r="J1040" s="19"/>
    </row>
    <row r="1041" spans="1:10" x14ac:dyDescent="0.25">
      <c r="A1041" s="82">
        <v>42775</v>
      </c>
      <c r="B1041" s="39" t="s">
        <v>5277</v>
      </c>
      <c r="C1041" s="89"/>
      <c r="D1041" s="18">
        <v>100377</v>
      </c>
      <c r="E1041" s="2" t="s">
        <v>30</v>
      </c>
      <c r="F1041" s="15">
        <v>1334.76</v>
      </c>
      <c r="G1041" s="41">
        <v>42775</v>
      </c>
      <c r="H1041" s="15">
        <f t="shared" si="31"/>
        <v>1334.76</v>
      </c>
      <c r="I1041" s="15">
        <f t="shared" si="32"/>
        <v>0</v>
      </c>
      <c r="J1041" s="19"/>
    </row>
    <row r="1042" spans="1:10" x14ac:dyDescent="0.25">
      <c r="A1042" s="82">
        <v>42775</v>
      </c>
      <c r="B1042" s="39" t="s">
        <v>5278</v>
      </c>
      <c r="C1042" s="89"/>
      <c r="D1042" s="18">
        <v>100378</v>
      </c>
      <c r="E1042" s="2" t="s">
        <v>10</v>
      </c>
      <c r="F1042" s="15">
        <v>1682.4</v>
      </c>
      <c r="G1042" s="41">
        <v>42781</v>
      </c>
      <c r="H1042" s="15">
        <f t="shared" si="31"/>
        <v>1682.4</v>
      </c>
      <c r="I1042" s="15">
        <f t="shared" si="32"/>
        <v>0</v>
      </c>
      <c r="J1042" s="19"/>
    </row>
    <row r="1043" spans="1:10" x14ac:dyDescent="0.25">
      <c r="A1043" s="82">
        <v>42775</v>
      </c>
      <c r="B1043" s="39" t="s">
        <v>5279</v>
      </c>
      <c r="C1043" s="89"/>
      <c r="D1043" s="18">
        <v>100379</v>
      </c>
      <c r="E1043" s="2" t="s">
        <v>61</v>
      </c>
      <c r="F1043" s="15">
        <v>22789.200000000001</v>
      </c>
      <c r="G1043" s="41">
        <v>42775</v>
      </c>
      <c r="H1043" s="15">
        <f t="shared" si="31"/>
        <v>22789.200000000001</v>
      </c>
      <c r="I1043" s="15">
        <f t="shared" si="32"/>
        <v>0</v>
      </c>
      <c r="J1043" s="19"/>
    </row>
    <row r="1044" spans="1:10" x14ac:dyDescent="0.25">
      <c r="A1044" s="82">
        <v>42775</v>
      </c>
      <c r="B1044" s="39" t="s">
        <v>5280</v>
      </c>
      <c r="C1044" s="89"/>
      <c r="D1044" s="18">
        <v>100380</v>
      </c>
      <c r="E1044" s="2" t="s">
        <v>486</v>
      </c>
      <c r="F1044" s="15">
        <v>3000</v>
      </c>
      <c r="G1044" s="41">
        <v>42775</v>
      </c>
      <c r="H1044" s="15">
        <f t="shared" si="31"/>
        <v>3000</v>
      </c>
      <c r="I1044" s="15">
        <f t="shared" si="32"/>
        <v>0</v>
      </c>
      <c r="J1044" s="19"/>
    </row>
    <row r="1045" spans="1:10" x14ac:dyDescent="0.25">
      <c r="A1045" s="82">
        <v>42775</v>
      </c>
      <c r="B1045" s="39" t="s">
        <v>5281</v>
      </c>
      <c r="C1045" s="89"/>
      <c r="D1045" s="18">
        <v>100381</v>
      </c>
      <c r="E1045" s="2" t="s">
        <v>53</v>
      </c>
      <c r="F1045" s="15">
        <v>2049.1999999999998</v>
      </c>
      <c r="H1045" s="15">
        <f t="shared" si="31"/>
        <v>2049.1999999999998</v>
      </c>
      <c r="I1045" s="15">
        <f t="shared" si="32"/>
        <v>0</v>
      </c>
      <c r="J1045" s="19"/>
    </row>
    <row r="1046" spans="1:10" x14ac:dyDescent="0.25">
      <c r="A1046" s="82">
        <v>42775</v>
      </c>
      <c r="B1046" s="39" t="s">
        <v>5282</v>
      </c>
      <c r="C1046" s="89"/>
      <c r="D1046" s="18">
        <v>100382</v>
      </c>
      <c r="E1046" s="2" t="s">
        <v>331</v>
      </c>
      <c r="F1046" s="15">
        <v>3562.4</v>
      </c>
      <c r="G1046" s="41">
        <v>42775</v>
      </c>
      <c r="H1046" s="15">
        <f t="shared" si="31"/>
        <v>3562.4</v>
      </c>
      <c r="I1046" s="15">
        <f t="shared" si="32"/>
        <v>0</v>
      </c>
      <c r="J1046" s="19"/>
    </row>
    <row r="1047" spans="1:10" x14ac:dyDescent="0.25">
      <c r="A1047" s="82">
        <v>42775</v>
      </c>
      <c r="B1047" s="39" t="s">
        <v>5283</v>
      </c>
      <c r="C1047" s="89"/>
      <c r="D1047" s="18">
        <v>100383</v>
      </c>
      <c r="E1047" s="2" t="s">
        <v>30</v>
      </c>
      <c r="F1047" s="15">
        <v>665</v>
      </c>
      <c r="G1047" s="41">
        <v>42775</v>
      </c>
      <c r="H1047" s="15">
        <f t="shared" si="31"/>
        <v>665</v>
      </c>
      <c r="I1047" s="15">
        <f t="shared" si="32"/>
        <v>0</v>
      </c>
      <c r="J1047" s="19"/>
    </row>
    <row r="1048" spans="1:10" x14ac:dyDescent="0.25">
      <c r="A1048" s="82">
        <v>42775</v>
      </c>
      <c r="B1048" s="39" t="s">
        <v>5284</v>
      </c>
      <c r="C1048" s="89"/>
      <c r="D1048" s="18">
        <v>100384</v>
      </c>
      <c r="E1048" s="2" t="s">
        <v>45</v>
      </c>
      <c r="F1048" s="15">
        <v>2576.4</v>
      </c>
      <c r="G1048" s="41">
        <v>42775</v>
      </c>
      <c r="H1048" s="15">
        <f t="shared" si="31"/>
        <v>2576.4</v>
      </c>
      <c r="I1048" s="15">
        <f t="shared" si="32"/>
        <v>0</v>
      </c>
      <c r="J1048" s="19"/>
    </row>
    <row r="1049" spans="1:10" x14ac:dyDescent="0.25">
      <c r="A1049" s="82">
        <v>42775</v>
      </c>
      <c r="B1049" s="39" t="s">
        <v>5285</v>
      </c>
      <c r="C1049" s="89"/>
      <c r="D1049" s="18">
        <v>100385</v>
      </c>
      <c r="E1049" s="2" t="s">
        <v>186</v>
      </c>
      <c r="F1049" s="15">
        <v>3861.2</v>
      </c>
      <c r="G1049" s="41">
        <v>42779</v>
      </c>
      <c r="H1049" s="15">
        <f t="shared" si="31"/>
        <v>3861.2</v>
      </c>
      <c r="I1049" s="15">
        <f t="shared" si="32"/>
        <v>0</v>
      </c>
      <c r="J1049" s="19"/>
    </row>
    <row r="1050" spans="1:10" x14ac:dyDescent="0.25">
      <c r="A1050" s="82">
        <v>42775</v>
      </c>
      <c r="B1050" s="39" t="s">
        <v>5286</v>
      </c>
      <c r="C1050" s="89"/>
      <c r="D1050" s="18">
        <v>100386</v>
      </c>
      <c r="E1050" s="2" t="s">
        <v>1116</v>
      </c>
      <c r="F1050" s="15">
        <v>4509.8</v>
      </c>
      <c r="G1050" s="41">
        <v>42775</v>
      </c>
      <c r="H1050" s="15">
        <f t="shared" si="31"/>
        <v>4509.8</v>
      </c>
      <c r="I1050" s="15">
        <f t="shared" si="32"/>
        <v>0</v>
      </c>
      <c r="J1050" s="19"/>
    </row>
    <row r="1051" spans="1:10" x14ac:dyDescent="0.25">
      <c r="A1051" s="82">
        <v>42775</v>
      </c>
      <c r="B1051" s="39" t="s">
        <v>5287</v>
      </c>
      <c r="C1051" s="89"/>
      <c r="D1051" s="18">
        <v>100387</v>
      </c>
      <c r="E1051" s="2" t="s">
        <v>272</v>
      </c>
      <c r="F1051" s="15">
        <v>1938</v>
      </c>
      <c r="G1051" s="41">
        <v>42781</v>
      </c>
      <c r="H1051" s="15">
        <f t="shared" si="31"/>
        <v>1938</v>
      </c>
      <c r="I1051" s="15">
        <f t="shared" si="32"/>
        <v>0</v>
      </c>
      <c r="J1051" s="19"/>
    </row>
    <row r="1052" spans="1:10" x14ac:dyDescent="0.25">
      <c r="A1052" s="82">
        <v>42775</v>
      </c>
      <c r="B1052" s="39" t="s">
        <v>5288</v>
      </c>
      <c r="C1052" s="89"/>
      <c r="D1052" s="18">
        <v>100388</v>
      </c>
      <c r="E1052" s="2" t="s">
        <v>274</v>
      </c>
      <c r="F1052" s="15">
        <v>3207.9</v>
      </c>
      <c r="G1052" s="41">
        <v>42781</v>
      </c>
      <c r="H1052" s="15">
        <f t="shared" si="31"/>
        <v>3207.9</v>
      </c>
      <c r="I1052" s="15">
        <f t="shared" si="32"/>
        <v>0</v>
      </c>
      <c r="J1052" s="19"/>
    </row>
    <row r="1053" spans="1:10" x14ac:dyDescent="0.25">
      <c r="A1053" s="82">
        <v>42775</v>
      </c>
      <c r="B1053" s="39" t="s">
        <v>5289</v>
      </c>
      <c r="C1053" s="89"/>
      <c r="D1053" s="18">
        <v>100389</v>
      </c>
      <c r="E1053" s="2" t="s">
        <v>432</v>
      </c>
      <c r="F1053" s="15">
        <v>12132.3</v>
      </c>
      <c r="G1053" s="41">
        <v>42781</v>
      </c>
      <c r="H1053" s="15">
        <f t="shared" si="31"/>
        <v>12132.3</v>
      </c>
      <c r="I1053" s="15">
        <f t="shared" si="32"/>
        <v>0</v>
      </c>
      <c r="J1053" s="19"/>
    </row>
    <row r="1054" spans="1:10" x14ac:dyDescent="0.25">
      <c r="A1054" s="82">
        <v>42775</v>
      </c>
      <c r="B1054" s="39" t="s">
        <v>5290</v>
      </c>
      <c r="C1054" s="89"/>
      <c r="D1054" s="18">
        <v>100390</v>
      </c>
      <c r="E1054" s="2" t="s">
        <v>1090</v>
      </c>
      <c r="F1054" s="15">
        <v>3710</v>
      </c>
      <c r="G1054" s="41">
        <v>42775</v>
      </c>
      <c r="H1054" s="15">
        <f t="shared" si="31"/>
        <v>3710</v>
      </c>
      <c r="I1054" s="15">
        <f t="shared" si="32"/>
        <v>0</v>
      </c>
      <c r="J1054" s="19"/>
    </row>
    <row r="1055" spans="1:10" x14ac:dyDescent="0.25">
      <c r="A1055" s="82">
        <v>42775</v>
      </c>
      <c r="B1055" s="39" t="s">
        <v>5291</v>
      </c>
      <c r="C1055" s="89"/>
      <c r="D1055" s="18">
        <v>100391</v>
      </c>
      <c r="E1055" s="2" t="s">
        <v>5292</v>
      </c>
      <c r="F1055" s="15">
        <v>15897.9</v>
      </c>
      <c r="G1055" s="41">
        <v>42775</v>
      </c>
      <c r="H1055" s="15">
        <f t="shared" si="31"/>
        <v>15897.9</v>
      </c>
      <c r="I1055" s="15">
        <f t="shared" si="32"/>
        <v>0</v>
      </c>
      <c r="J1055" s="19"/>
    </row>
    <row r="1056" spans="1:10" x14ac:dyDescent="0.25">
      <c r="A1056" s="82">
        <v>42775</v>
      </c>
      <c r="B1056" s="39" t="s">
        <v>5293</v>
      </c>
      <c r="C1056" s="89"/>
      <c r="D1056" s="18">
        <v>100392</v>
      </c>
      <c r="E1056" s="2" t="s">
        <v>590</v>
      </c>
      <c r="F1056" s="15">
        <v>2460.5</v>
      </c>
      <c r="G1056" s="41">
        <v>42781</v>
      </c>
      <c r="H1056" s="15">
        <f t="shared" si="31"/>
        <v>2460.5</v>
      </c>
      <c r="I1056" s="15">
        <f t="shared" si="32"/>
        <v>0</v>
      </c>
      <c r="J1056" s="19"/>
    </row>
    <row r="1057" spans="1:10" x14ac:dyDescent="0.25">
      <c r="A1057" s="82">
        <v>42775</v>
      </c>
      <c r="B1057" s="39" t="s">
        <v>5294</v>
      </c>
      <c r="C1057" s="89"/>
      <c r="D1057" s="18">
        <v>100393</v>
      </c>
      <c r="E1057" s="2" t="s">
        <v>77</v>
      </c>
      <c r="F1057" s="15">
        <v>408</v>
      </c>
      <c r="G1057" s="41">
        <v>42775</v>
      </c>
      <c r="H1057" s="15">
        <f t="shared" si="31"/>
        <v>408</v>
      </c>
      <c r="I1057" s="15">
        <f t="shared" si="32"/>
        <v>0</v>
      </c>
      <c r="J1057" s="19"/>
    </row>
    <row r="1058" spans="1:10" x14ac:dyDescent="0.25">
      <c r="A1058" s="82">
        <v>42775</v>
      </c>
      <c r="B1058" s="39" t="s">
        <v>5295</v>
      </c>
      <c r="C1058" s="89"/>
      <c r="D1058" s="18">
        <v>100394</v>
      </c>
      <c r="E1058" s="2" t="s">
        <v>876</v>
      </c>
      <c r="F1058" s="15">
        <v>4855.5</v>
      </c>
      <c r="G1058" s="41">
        <v>42781</v>
      </c>
      <c r="H1058" s="15">
        <f t="shared" si="31"/>
        <v>4855.5</v>
      </c>
      <c r="I1058" s="15">
        <f t="shared" si="32"/>
        <v>0</v>
      </c>
      <c r="J1058" s="19"/>
    </row>
    <row r="1059" spans="1:10" x14ac:dyDescent="0.25">
      <c r="A1059" s="82">
        <v>42775</v>
      </c>
      <c r="B1059" s="39" t="s">
        <v>5296</v>
      </c>
      <c r="C1059" s="89"/>
      <c r="D1059" s="18">
        <v>100395</v>
      </c>
      <c r="E1059" s="2" t="s">
        <v>866</v>
      </c>
      <c r="F1059" s="15">
        <v>6478.6</v>
      </c>
      <c r="G1059" s="41">
        <v>42775</v>
      </c>
      <c r="H1059" s="15">
        <f t="shared" si="31"/>
        <v>6478.6</v>
      </c>
      <c r="I1059" s="15">
        <f t="shared" si="32"/>
        <v>0</v>
      </c>
      <c r="J1059" s="19"/>
    </row>
    <row r="1060" spans="1:10" x14ac:dyDescent="0.25">
      <c r="A1060" s="82">
        <v>42775</v>
      </c>
      <c r="B1060" s="39" t="s">
        <v>5297</v>
      </c>
      <c r="C1060" s="89"/>
      <c r="D1060" s="18">
        <v>100396</v>
      </c>
      <c r="E1060" s="2" t="s">
        <v>79</v>
      </c>
      <c r="F1060" s="15">
        <v>4404.8</v>
      </c>
      <c r="G1060" s="41">
        <v>42775</v>
      </c>
      <c r="H1060" s="15">
        <f t="shared" si="31"/>
        <v>4404.8</v>
      </c>
      <c r="I1060" s="15">
        <f t="shared" si="32"/>
        <v>0</v>
      </c>
      <c r="J1060" s="19"/>
    </row>
    <row r="1061" spans="1:10" x14ac:dyDescent="0.25">
      <c r="A1061" s="82">
        <v>42775</v>
      </c>
      <c r="B1061" s="39" t="s">
        <v>5298</v>
      </c>
      <c r="C1061" s="89"/>
      <c r="D1061" s="18">
        <v>100397</v>
      </c>
      <c r="E1061" s="2" t="s">
        <v>118</v>
      </c>
      <c r="F1061" s="15">
        <v>32077.8</v>
      </c>
      <c r="G1061" s="41">
        <v>42775</v>
      </c>
      <c r="H1061" s="15">
        <f t="shared" si="31"/>
        <v>32077.8</v>
      </c>
      <c r="I1061" s="15">
        <f t="shared" si="32"/>
        <v>0</v>
      </c>
      <c r="J1061" s="19"/>
    </row>
    <row r="1062" spans="1:10" x14ac:dyDescent="0.25">
      <c r="A1062" s="82">
        <v>42775</v>
      </c>
      <c r="B1062" s="39" t="s">
        <v>5299</v>
      </c>
      <c r="C1062" s="89"/>
      <c r="D1062" s="18">
        <v>100398</v>
      </c>
      <c r="E1062" s="2" t="s">
        <v>268</v>
      </c>
      <c r="F1062" s="15">
        <v>14600.2</v>
      </c>
      <c r="G1062" s="41">
        <v>42781</v>
      </c>
      <c r="H1062" s="15">
        <f t="shared" si="31"/>
        <v>14600.2</v>
      </c>
      <c r="I1062" s="15">
        <f t="shared" si="32"/>
        <v>0</v>
      </c>
      <c r="J1062" s="19"/>
    </row>
    <row r="1063" spans="1:10" ht="60" x14ac:dyDescent="0.25">
      <c r="A1063" s="82">
        <v>42775</v>
      </c>
      <c r="B1063" s="95" t="s">
        <v>5300</v>
      </c>
      <c r="C1063" s="96"/>
      <c r="D1063" s="54">
        <v>100399</v>
      </c>
      <c r="E1063" s="55" t="s">
        <v>470</v>
      </c>
      <c r="F1063" s="56">
        <v>13102.8</v>
      </c>
      <c r="G1063" s="87" t="s">
        <v>7759</v>
      </c>
      <c r="H1063" s="97">
        <f>4602.8+500+500+7500</f>
        <v>13102.8</v>
      </c>
      <c r="I1063" s="97">
        <f t="shared" si="32"/>
        <v>0</v>
      </c>
      <c r="J1063" s="19"/>
    </row>
    <row r="1064" spans="1:10" x14ac:dyDescent="0.25">
      <c r="A1064" s="82">
        <v>42775</v>
      </c>
      <c r="B1064" s="39" t="s">
        <v>5301</v>
      </c>
      <c r="C1064" s="89"/>
      <c r="D1064" s="18">
        <v>100400</v>
      </c>
      <c r="E1064" s="2" t="s">
        <v>222</v>
      </c>
      <c r="F1064" s="15">
        <v>14282</v>
      </c>
      <c r="G1064" s="41">
        <v>42784</v>
      </c>
      <c r="H1064" s="15">
        <f t="shared" si="31"/>
        <v>14282</v>
      </c>
      <c r="I1064" s="15">
        <f t="shared" si="32"/>
        <v>0</v>
      </c>
      <c r="J1064" s="19"/>
    </row>
    <row r="1065" spans="1:10" x14ac:dyDescent="0.25">
      <c r="A1065" s="82">
        <v>42775</v>
      </c>
      <c r="B1065" s="39" t="s">
        <v>5302</v>
      </c>
      <c r="C1065" s="89"/>
      <c r="D1065" s="18">
        <v>100401</v>
      </c>
      <c r="E1065" s="2" t="s">
        <v>168</v>
      </c>
      <c r="F1065" s="15">
        <v>221.4</v>
      </c>
      <c r="G1065" s="41">
        <v>42775</v>
      </c>
      <c r="H1065" s="15">
        <f t="shared" si="31"/>
        <v>221.4</v>
      </c>
      <c r="I1065" s="15">
        <f t="shared" si="32"/>
        <v>0</v>
      </c>
      <c r="J1065" s="19"/>
    </row>
    <row r="1066" spans="1:10" x14ac:dyDescent="0.25">
      <c r="A1066" s="82">
        <v>42775</v>
      </c>
      <c r="B1066" s="39" t="s">
        <v>5303</v>
      </c>
      <c r="C1066" s="89"/>
      <c r="D1066" s="18">
        <v>100402</v>
      </c>
      <c r="E1066" s="2" t="s">
        <v>103</v>
      </c>
      <c r="F1066" s="15">
        <v>3121.3</v>
      </c>
      <c r="G1066" s="41">
        <v>42777</v>
      </c>
      <c r="H1066" s="15">
        <f t="shared" si="31"/>
        <v>3121.3</v>
      </c>
      <c r="I1066" s="15">
        <f t="shared" si="32"/>
        <v>0</v>
      </c>
      <c r="J1066" s="19"/>
    </row>
    <row r="1067" spans="1:10" x14ac:dyDescent="0.25">
      <c r="A1067" s="82">
        <v>42775</v>
      </c>
      <c r="B1067" s="39" t="s">
        <v>5304</v>
      </c>
      <c r="C1067" s="89"/>
      <c r="D1067" s="18">
        <v>100403</v>
      </c>
      <c r="E1067" s="2" t="s">
        <v>289</v>
      </c>
      <c r="F1067" s="15">
        <v>19194.599999999999</v>
      </c>
      <c r="G1067" s="41">
        <v>42791</v>
      </c>
      <c r="H1067" s="15">
        <f t="shared" si="31"/>
        <v>19194.599999999999</v>
      </c>
      <c r="I1067" s="15">
        <f t="shared" si="32"/>
        <v>0</v>
      </c>
      <c r="J1067" s="19"/>
    </row>
    <row r="1068" spans="1:10" ht="30" x14ac:dyDescent="0.25">
      <c r="A1068" s="82">
        <v>42775</v>
      </c>
      <c r="B1068" s="39" t="s">
        <v>5305</v>
      </c>
      <c r="C1068" s="89"/>
      <c r="D1068" s="18">
        <v>100404</v>
      </c>
      <c r="E1068" s="2" t="s">
        <v>1256</v>
      </c>
      <c r="F1068" s="15">
        <v>2535</v>
      </c>
      <c r="G1068" s="87" t="s">
        <v>5131</v>
      </c>
      <c r="H1068" s="20">
        <f>350+2185</f>
        <v>2535</v>
      </c>
      <c r="I1068" s="20">
        <f t="shared" si="32"/>
        <v>0</v>
      </c>
      <c r="J1068" s="19"/>
    </row>
    <row r="1069" spans="1:10" x14ac:dyDescent="0.25">
      <c r="A1069" s="82">
        <v>42775</v>
      </c>
      <c r="B1069" s="39" t="s">
        <v>5306</v>
      </c>
      <c r="C1069" s="89"/>
      <c r="D1069" s="18">
        <v>100405</v>
      </c>
      <c r="E1069" s="2" t="s">
        <v>149</v>
      </c>
      <c r="F1069" s="15">
        <v>4608.3</v>
      </c>
      <c r="G1069" s="41">
        <v>42775</v>
      </c>
      <c r="H1069" s="15">
        <f t="shared" si="31"/>
        <v>4608.3</v>
      </c>
      <c r="I1069" s="15">
        <f t="shared" si="32"/>
        <v>0</v>
      </c>
      <c r="J1069" s="19"/>
    </row>
    <row r="1070" spans="1:10" x14ac:dyDescent="0.25">
      <c r="A1070" s="82">
        <v>42775</v>
      </c>
      <c r="B1070" s="39" t="s">
        <v>5307</v>
      </c>
      <c r="C1070" s="89"/>
      <c r="D1070" s="18">
        <v>100406</v>
      </c>
      <c r="E1070" s="2" t="s">
        <v>105</v>
      </c>
      <c r="F1070" s="15">
        <v>214.6</v>
      </c>
      <c r="G1070" s="41">
        <v>42775</v>
      </c>
      <c r="H1070" s="15">
        <f t="shared" si="31"/>
        <v>214.6</v>
      </c>
      <c r="I1070" s="15">
        <f t="shared" si="32"/>
        <v>0</v>
      </c>
      <c r="J1070" s="19"/>
    </row>
    <row r="1071" spans="1:10" x14ac:dyDescent="0.25">
      <c r="A1071" s="82">
        <v>42775</v>
      </c>
      <c r="B1071" s="39" t="s">
        <v>5308</v>
      </c>
      <c r="C1071" s="89"/>
      <c r="D1071" s="18">
        <v>100407</v>
      </c>
      <c r="E1071" s="2" t="s">
        <v>103</v>
      </c>
      <c r="F1071" s="15">
        <v>135.6</v>
      </c>
      <c r="G1071" s="41">
        <v>42777</v>
      </c>
      <c r="H1071" s="15">
        <f t="shared" si="31"/>
        <v>135.6</v>
      </c>
      <c r="I1071" s="15">
        <f t="shared" si="32"/>
        <v>0</v>
      </c>
      <c r="J1071" s="19"/>
    </row>
    <row r="1072" spans="1:10" x14ac:dyDescent="0.25">
      <c r="A1072" s="82">
        <v>42775</v>
      </c>
      <c r="B1072" s="39" t="s">
        <v>5309</v>
      </c>
      <c r="C1072" s="89"/>
      <c r="D1072" s="18">
        <v>100408</v>
      </c>
      <c r="E1072" s="2" t="s">
        <v>30</v>
      </c>
      <c r="F1072" s="15">
        <v>380</v>
      </c>
      <c r="H1072" s="15">
        <f t="shared" si="31"/>
        <v>380</v>
      </c>
      <c r="I1072" s="15">
        <f t="shared" si="32"/>
        <v>0</v>
      </c>
      <c r="J1072" s="19"/>
    </row>
    <row r="1073" spans="1:10" x14ac:dyDescent="0.25">
      <c r="A1073" s="82">
        <v>42775</v>
      </c>
      <c r="B1073" s="39" t="s">
        <v>5310</v>
      </c>
      <c r="C1073" s="89"/>
      <c r="D1073" s="18">
        <v>100409</v>
      </c>
      <c r="E1073" s="2" t="s">
        <v>83</v>
      </c>
      <c r="F1073" s="15">
        <v>5553.9</v>
      </c>
      <c r="G1073" s="41">
        <v>42775</v>
      </c>
      <c r="H1073" s="15">
        <f t="shared" si="31"/>
        <v>5553.9</v>
      </c>
      <c r="I1073" s="15">
        <f t="shared" si="32"/>
        <v>0</v>
      </c>
      <c r="J1073" s="19"/>
    </row>
    <row r="1074" spans="1:10" x14ac:dyDescent="0.25">
      <c r="A1074" s="82">
        <v>42775</v>
      </c>
      <c r="B1074" s="39" t="s">
        <v>5311</v>
      </c>
      <c r="C1074" s="89"/>
      <c r="D1074" s="18">
        <v>100410</v>
      </c>
      <c r="E1074" s="2" t="s">
        <v>293</v>
      </c>
      <c r="F1074" s="15">
        <v>798</v>
      </c>
      <c r="G1074" s="41">
        <v>42777</v>
      </c>
      <c r="H1074" s="15">
        <f t="shared" si="31"/>
        <v>798</v>
      </c>
      <c r="I1074" s="15">
        <f t="shared" si="32"/>
        <v>0</v>
      </c>
      <c r="J1074" s="19"/>
    </row>
    <row r="1075" spans="1:10" x14ac:dyDescent="0.25">
      <c r="A1075" s="82">
        <v>42775</v>
      </c>
      <c r="B1075" s="39" t="s">
        <v>5312</v>
      </c>
      <c r="C1075" s="89"/>
      <c r="D1075" s="18">
        <v>100411</v>
      </c>
      <c r="E1075" s="2" t="s">
        <v>281</v>
      </c>
      <c r="F1075" s="15">
        <v>1347</v>
      </c>
      <c r="G1075" s="41">
        <v>42775</v>
      </c>
      <c r="H1075" s="15">
        <f t="shared" si="31"/>
        <v>1347</v>
      </c>
      <c r="I1075" s="15">
        <f t="shared" si="32"/>
        <v>0</v>
      </c>
      <c r="J1075" s="19"/>
    </row>
    <row r="1076" spans="1:10" x14ac:dyDescent="0.25">
      <c r="A1076" s="82">
        <v>42775</v>
      </c>
      <c r="B1076" s="39" t="s">
        <v>5313</v>
      </c>
      <c r="C1076" s="89"/>
      <c r="D1076" s="18">
        <v>100412</v>
      </c>
      <c r="E1076" s="2" t="s">
        <v>99</v>
      </c>
      <c r="F1076" s="15">
        <v>2214.8000000000002</v>
      </c>
      <c r="G1076" s="41">
        <v>42775</v>
      </c>
      <c r="H1076" s="15">
        <f t="shared" si="31"/>
        <v>2214.8000000000002</v>
      </c>
      <c r="I1076" s="15">
        <f t="shared" si="32"/>
        <v>0</v>
      </c>
      <c r="J1076" s="19"/>
    </row>
    <row r="1077" spans="1:10" x14ac:dyDescent="0.25">
      <c r="A1077" s="82">
        <v>42775</v>
      </c>
      <c r="B1077" s="39" t="s">
        <v>5314</v>
      </c>
      <c r="C1077" s="89"/>
      <c r="D1077" s="18">
        <v>100413</v>
      </c>
      <c r="E1077" s="2" t="s">
        <v>1259</v>
      </c>
      <c r="F1077" s="15">
        <v>1646.4</v>
      </c>
      <c r="G1077" s="41">
        <v>42775</v>
      </c>
      <c r="H1077" s="15">
        <f t="shared" ref="H1077:H1140" si="33">F1077</f>
        <v>1646.4</v>
      </c>
      <c r="I1077" s="15">
        <f t="shared" si="32"/>
        <v>0</v>
      </c>
      <c r="J1077" s="19"/>
    </row>
    <row r="1078" spans="1:10" x14ac:dyDescent="0.25">
      <c r="A1078" s="82">
        <v>42775</v>
      </c>
      <c r="B1078" s="39" t="s">
        <v>5315</v>
      </c>
      <c r="C1078" s="89"/>
      <c r="D1078" s="18">
        <v>100414</v>
      </c>
      <c r="E1078" s="2" t="s">
        <v>92</v>
      </c>
      <c r="F1078" s="15">
        <v>2100</v>
      </c>
      <c r="G1078" s="41">
        <v>42775</v>
      </c>
      <c r="H1078" s="15">
        <f t="shared" si="33"/>
        <v>2100</v>
      </c>
      <c r="I1078" s="15">
        <f t="shared" si="32"/>
        <v>0</v>
      </c>
      <c r="J1078" s="19"/>
    </row>
    <row r="1079" spans="1:10" x14ac:dyDescent="0.25">
      <c r="A1079" s="82">
        <v>42775</v>
      </c>
      <c r="B1079" s="39" t="s">
        <v>5316</v>
      </c>
      <c r="C1079" s="89"/>
      <c r="D1079" s="18">
        <v>100415</v>
      </c>
      <c r="E1079" s="2" t="s">
        <v>531</v>
      </c>
      <c r="F1079" s="15">
        <v>32740.2</v>
      </c>
      <c r="G1079" s="41">
        <v>42775</v>
      </c>
      <c r="H1079" s="15">
        <f t="shared" si="33"/>
        <v>32740.2</v>
      </c>
      <c r="I1079" s="15">
        <f t="shared" si="32"/>
        <v>0</v>
      </c>
      <c r="J1079" s="19"/>
    </row>
    <row r="1080" spans="1:10" x14ac:dyDescent="0.25">
      <c r="A1080" s="82">
        <v>42775</v>
      </c>
      <c r="B1080" s="39" t="s">
        <v>5317</v>
      </c>
      <c r="C1080" s="89"/>
      <c r="D1080" s="18">
        <v>100416</v>
      </c>
      <c r="E1080" s="2" t="s">
        <v>88</v>
      </c>
      <c r="F1080" s="15">
        <v>8592</v>
      </c>
      <c r="G1080" s="41">
        <v>42775</v>
      </c>
      <c r="H1080" s="15">
        <f t="shared" si="33"/>
        <v>8592</v>
      </c>
      <c r="I1080" s="15">
        <f t="shared" si="32"/>
        <v>0</v>
      </c>
      <c r="J1080" s="19"/>
    </row>
    <row r="1081" spans="1:10" x14ac:dyDescent="0.25">
      <c r="A1081" s="82">
        <v>42775</v>
      </c>
      <c r="B1081" s="39" t="s">
        <v>5318</v>
      </c>
      <c r="C1081" s="89"/>
      <c r="D1081" s="18">
        <v>100417</v>
      </c>
      <c r="E1081" s="2" t="s">
        <v>291</v>
      </c>
      <c r="F1081" s="15">
        <v>2437.8000000000002</v>
      </c>
      <c r="G1081" s="41">
        <v>42775</v>
      </c>
      <c r="H1081" s="15">
        <f t="shared" si="33"/>
        <v>2437.8000000000002</v>
      </c>
      <c r="I1081" s="15">
        <f t="shared" ref="I1081:I1144" si="34">F1081-H1081</f>
        <v>0</v>
      </c>
      <c r="J1081" s="19"/>
    </row>
    <row r="1082" spans="1:10" x14ac:dyDescent="0.25">
      <c r="A1082" s="82">
        <v>42775</v>
      </c>
      <c r="B1082" s="39" t="s">
        <v>5319</v>
      </c>
      <c r="C1082" s="89"/>
      <c r="D1082" s="18">
        <v>100418</v>
      </c>
      <c r="E1082" s="2" t="s">
        <v>109</v>
      </c>
      <c r="F1082" s="15">
        <v>6159</v>
      </c>
      <c r="G1082" s="41">
        <v>42775</v>
      </c>
      <c r="H1082" s="15">
        <f t="shared" si="33"/>
        <v>6159</v>
      </c>
      <c r="I1082" s="15">
        <f t="shared" si="34"/>
        <v>0</v>
      </c>
      <c r="J1082" s="19"/>
    </row>
    <row r="1083" spans="1:10" x14ac:dyDescent="0.25">
      <c r="A1083" s="82">
        <v>42775</v>
      </c>
      <c r="B1083" s="39" t="s">
        <v>5320</v>
      </c>
      <c r="C1083" s="89"/>
      <c r="D1083" s="18">
        <v>100419</v>
      </c>
      <c r="E1083" s="2" t="s">
        <v>10</v>
      </c>
      <c r="F1083" s="15">
        <v>74892.08</v>
      </c>
      <c r="G1083" s="41">
        <v>42781</v>
      </c>
      <c r="H1083" s="15">
        <f t="shared" si="33"/>
        <v>74892.08</v>
      </c>
      <c r="I1083" s="15">
        <f t="shared" si="34"/>
        <v>0</v>
      </c>
      <c r="J1083" s="19"/>
    </row>
    <row r="1084" spans="1:10" x14ac:dyDescent="0.25">
      <c r="A1084" s="82">
        <v>42775</v>
      </c>
      <c r="B1084" s="39" t="s">
        <v>5321</v>
      </c>
      <c r="C1084" s="89"/>
      <c r="D1084" s="18">
        <v>100420</v>
      </c>
      <c r="E1084" s="2" t="s">
        <v>10</v>
      </c>
      <c r="F1084" s="15">
        <v>21530</v>
      </c>
      <c r="G1084" s="41">
        <v>42781</v>
      </c>
      <c r="H1084" s="15">
        <f t="shared" si="33"/>
        <v>21530</v>
      </c>
      <c r="I1084" s="15">
        <f t="shared" si="34"/>
        <v>0</v>
      </c>
      <c r="J1084" s="19"/>
    </row>
    <row r="1085" spans="1:10" x14ac:dyDescent="0.25">
      <c r="A1085" s="82">
        <v>42775</v>
      </c>
      <c r="B1085" s="39" t="s">
        <v>5322</v>
      </c>
      <c r="C1085" s="89"/>
      <c r="D1085" s="18">
        <v>100421</v>
      </c>
      <c r="E1085" s="2" t="s">
        <v>321</v>
      </c>
      <c r="F1085" s="15">
        <v>514.79999999999995</v>
      </c>
      <c r="G1085" s="41">
        <v>42775</v>
      </c>
      <c r="H1085" s="15">
        <f t="shared" si="33"/>
        <v>514.79999999999995</v>
      </c>
      <c r="I1085" s="15">
        <f t="shared" si="34"/>
        <v>0</v>
      </c>
      <c r="J1085" s="19"/>
    </row>
    <row r="1086" spans="1:10" x14ac:dyDescent="0.25">
      <c r="A1086" s="82">
        <v>42775</v>
      </c>
      <c r="B1086" s="39" t="s">
        <v>5323</v>
      </c>
      <c r="C1086" s="89"/>
      <c r="D1086" s="18">
        <v>100422</v>
      </c>
      <c r="E1086" s="92" t="s">
        <v>312</v>
      </c>
      <c r="F1086" s="15">
        <v>133939.71</v>
      </c>
      <c r="G1086" s="41">
        <v>42845</v>
      </c>
      <c r="H1086" s="15">
        <f>F1086</f>
        <v>133939.71</v>
      </c>
      <c r="I1086" s="15">
        <f t="shared" si="34"/>
        <v>0</v>
      </c>
      <c r="J1086" s="19"/>
    </row>
    <row r="1087" spans="1:10" x14ac:dyDescent="0.25">
      <c r="A1087" s="82">
        <v>42775</v>
      </c>
      <c r="B1087" s="39" t="s">
        <v>5324</v>
      </c>
      <c r="C1087" s="89"/>
      <c r="D1087" s="18">
        <v>100423</v>
      </c>
      <c r="E1087" s="2" t="s">
        <v>712</v>
      </c>
      <c r="F1087" s="15">
        <v>3137.4</v>
      </c>
      <c r="G1087" s="41">
        <v>42775</v>
      </c>
      <c r="H1087" s="15">
        <f t="shared" si="33"/>
        <v>3137.4</v>
      </c>
      <c r="I1087" s="15">
        <f t="shared" si="34"/>
        <v>0</v>
      </c>
      <c r="J1087" s="19"/>
    </row>
    <row r="1088" spans="1:10" x14ac:dyDescent="0.25">
      <c r="A1088" s="82">
        <v>42775</v>
      </c>
      <c r="B1088" s="39" t="s">
        <v>5325</v>
      </c>
      <c r="C1088" s="89"/>
      <c r="D1088" s="18">
        <v>100424</v>
      </c>
      <c r="E1088" s="2" t="s">
        <v>930</v>
      </c>
      <c r="F1088" s="15">
        <v>12369.1</v>
      </c>
      <c r="G1088" s="41">
        <v>42775</v>
      </c>
      <c r="H1088" s="15">
        <f t="shared" si="33"/>
        <v>12369.1</v>
      </c>
      <c r="I1088" s="15">
        <f t="shared" si="34"/>
        <v>0</v>
      </c>
      <c r="J1088" s="19"/>
    </row>
    <row r="1089" spans="1:10" x14ac:dyDescent="0.25">
      <c r="A1089" s="82">
        <v>42775</v>
      </c>
      <c r="B1089" s="39" t="s">
        <v>5326</v>
      </c>
      <c r="C1089" s="89"/>
      <c r="D1089" s="18">
        <v>100425</v>
      </c>
      <c r="E1089" s="2" t="s">
        <v>879</v>
      </c>
      <c r="F1089" s="15">
        <v>3148</v>
      </c>
      <c r="G1089" s="41">
        <v>42775</v>
      </c>
      <c r="H1089" s="15">
        <f t="shared" si="33"/>
        <v>3148</v>
      </c>
      <c r="I1089" s="15">
        <f t="shared" si="34"/>
        <v>0</v>
      </c>
      <c r="J1089" s="19"/>
    </row>
    <row r="1090" spans="1:10" x14ac:dyDescent="0.25">
      <c r="A1090" s="82">
        <v>42775</v>
      </c>
      <c r="B1090" s="39" t="s">
        <v>5327</v>
      </c>
      <c r="C1090" s="89"/>
      <c r="D1090" s="18">
        <v>100426</v>
      </c>
      <c r="E1090" s="2" t="s">
        <v>693</v>
      </c>
      <c r="F1090" s="15">
        <v>3725.4</v>
      </c>
      <c r="G1090" s="41">
        <v>42784</v>
      </c>
      <c r="H1090" s="15">
        <f t="shared" si="33"/>
        <v>3725.4</v>
      </c>
      <c r="I1090" s="15">
        <f t="shared" si="34"/>
        <v>0</v>
      </c>
      <c r="J1090" s="19"/>
    </row>
    <row r="1091" spans="1:10" x14ac:dyDescent="0.25">
      <c r="A1091" s="82">
        <v>42775</v>
      </c>
      <c r="B1091" s="39" t="s">
        <v>5328</v>
      </c>
      <c r="C1091" s="89"/>
      <c r="D1091" s="18">
        <v>100427</v>
      </c>
      <c r="E1091" s="2" t="s">
        <v>651</v>
      </c>
      <c r="F1091" s="15">
        <v>32071.200000000001</v>
      </c>
      <c r="G1091" s="41">
        <v>42775</v>
      </c>
      <c r="H1091" s="15">
        <f t="shared" si="33"/>
        <v>32071.200000000001</v>
      </c>
      <c r="I1091" s="15">
        <f t="shared" si="34"/>
        <v>0</v>
      </c>
      <c r="J1091" s="19"/>
    </row>
    <row r="1092" spans="1:10" x14ac:dyDescent="0.25">
      <c r="A1092" s="82">
        <v>42775</v>
      </c>
      <c r="B1092" s="39" t="s">
        <v>5329</v>
      </c>
      <c r="C1092" s="89"/>
      <c r="D1092" s="18">
        <v>100428</v>
      </c>
      <c r="E1092" s="2" t="s">
        <v>30</v>
      </c>
      <c r="F1092" s="15">
        <v>2566.1999999999998</v>
      </c>
      <c r="G1092" s="41">
        <v>42775</v>
      </c>
      <c r="H1092" s="15">
        <f t="shared" si="33"/>
        <v>2566.1999999999998</v>
      </c>
      <c r="I1092" s="15">
        <f t="shared" si="34"/>
        <v>0</v>
      </c>
      <c r="J1092" s="19"/>
    </row>
    <row r="1093" spans="1:10" x14ac:dyDescent="0.25">
      <c r="A1093" s="82">
        <v>42775</v>
      </c>
      <c r="B1093" s="39" t="s">
        <v>5330</v>
      </c>
      <c r="C1093" s="89"/>
      <c r="D1093" s="18">
        <v>100429</v>
      </c>
      <c r="E1093" s="2" t="s">
        <v>531</v>
      </c>
      <c r="F1093" s="15">
        <v>3111</v>
      </c>
      <c r="G1093" s="41">
        <v>42775</v>
      </c>
      <c r="H1093" s="15">
        <f t="shared" si="33"/>
        <v>3111</v>
      </c>
      <c r="I1093" s="15">
        <f t="shared" si="34"/>
        <v>0</v>
      </c>
      <c r="J1093" s="19"/>
    </row>
    <row r="1094" spans="1:10" x14ac:dyDescent="0.25">
      <c r="A1094" s="82">
        <v>42775</v>
      </c>
      <c r="B1094" s="39" t="s">
        <v>5331</v>
      </c>
      <c r="C1094" s="89"/>
      <c r="D1094" s="18">
        <v>100430</v>
      </c>
      <c r="E1094" s="2" t="s">
        <v>176</v>
      </c>
      <c r="F1094" s="15">
        <v>3728.9</v>
      </c>
      <c r="G1094" s="41">
        <v>42775</v>
      </c>
      <c r="H1094" s="15">
        <f t="shared" si="33"/>
        <v>3728.9</v>
      </c>
      <c r="I1094" s="15">
        <f t="shared" si="34"/>
        <v>0</v>
      </c>
      <c r="J1094" s="19"/>
    </row>
    <row r="1095" spans="1:10" x14ac:dyDescent="0.25">
      <c r="A1095" s="82">
        <v>42775</v>
      </c>
      <c r="B1095" s="39" t="s">
        <v>5332</v>
      </c>
      <c r="C1095" s="89"/>
      <c r="D1095" s="18">
        <v>100431</v>
      </c>
      <c r="E1095" s="2" t="s">
        <v>492</v>
      </c>
      <c r="F1095" s="15">
        <v>24592.5</v>
      </c>
      <c r="G1095" s="41">
        <v>42778</v>
      </c>
      <c r="H1095" s="15">
        <f t="shared" si="33"/>
        <v>24592.5</v>
      </c>
      <c r="I1095" s="15">
        <f t="shared" si="34"/>
        <v>0</v>
      </c>
      <c r="J1095" s="19"/>
    </row>
    <row r="1096" spans="1:10" x14ac:dyDescent="0.25">
      <c r="A1096" s="82">
        <v>42775</v>
      </c>
      <c r="B1096" s="39" t="s">
        <v>5333</v>
      </c>
      <c r="C1096" s="89"/>
      <c r="D1096" s="18">
        <v>100432</v>
      </c>
      <c r="E1096" s="2" t="s">
        <v>125</v>
      </c>
      <c r="F1096" s="15">
        <v>6134.6</v>
      </c>
      <c r="G1096" s="41">
        <v>42776</v>
      </c>
      <c r="H1096" s="15">
        <f t="shared" si="33"/>
        <v>6134.6</v>
      </c>
      <c r="I1096" s="15">
        <f t="shared" si="34"/>
        <v>0</v>
      </c>
      <c r="J1096" s="19"/>
    </row>
    <row r="1097" spans="1:10" x14ac:dyDescent="0.25">
      <c r="A1097" s="82">
        <v>42775</v>
      </c>
      <c r="B1097" s="39" t="s">
        <v>5334</v>
      </c>
      <c r="C1097" s="89"/>
      <c r="D1097" s="18">
        <v>100433</v>
      </c>
      <c r="E1097" s="2" t="s">
        <v>122</v>
      </c>
      <c r="F1097" s="15">
        <v>6182.4</v>
      </c>
      <c r="G1097" s="41">
        <v>42780</v>
      </c>
      <c r="H1097" s="15">
        <f t="shared" si="33"/>
        <v>6182.4</v>
      </c>
      <c r="I1097" s="15">
        <f t="shared" si="34"/>
        <v>0</v>
      </c>
      <c r="J1097" s="19"/>
    </row>
    <row r="1098" spans="1:10" ht="30" x14ac:dyDescent="0.25">
      <c r="A1098" s="82">
        <v>42775</v>
      </c>
      <c r="B1098" s="90" t="s">
        <v>5335</v>
      </c>
      <c r="C1098" s="91"/>
      <c r="D1098" s="61">
        <v>100434</v>
      </c>
      <c r="E1098" s="62" t="s">
        <v>205</v>
      </c>
      <c r="F1098" s="63">
        <v>92048.5</v>
      </c>
      <c r="G1098" s="87" t="s">
        <v>7760</v>
      </c>
      <c r="H1098" s="65">
        <f>45000+47048.5</f>
        <v>92048.5</v>
      </c>
      <c r="I1098" s="65">
        <f t="shared" si="34"/>
        <v>0</v>
      </c>
      <c r="J1098" s="19"/>
    </row>
    <row r="1099" spans="1:10" x14ac:dyDescent="0.25">
      <c r="A1099" s="82">
        <v>42775</v>
      </c>
      <c r="B1099" s="39" t="s">
        <v>5336</v>
      </c>
      <c r="C1099" s="89"/>
      <c r="D1099" s="18">
        <v>100435</v>
      </c>
      <c r="E1099" s="2" t="s">
        <v>184</v>
      </c>
      <c r="F1099" s="15">
        <v>1798.4</v>
      </c>
      <c r="G1099" s="41">
        <v>42776</v>
      </c>
      <c r="H1099" s="15">
        <f t="shared" si="33"/>
        <v>1798.4</v>
      </c>
      <c r="I1099" s="15">
        <f t="shared" si="34"/>
        <v>0</v>
      </c>
      <c r="J1099" s="19"/>
    </row>
    <row r="1100" spans="1:10" x14ac:dyDescent="0.25">
      <c r="A1100" s="82">
        <v>42775</v>
      </c>
      <c r="B1100" s="39" t="s">
        <v>5337</v>
      </c>
      <c r="C1100" s="89"/>
      <c r="D1100" s="18">
        <v>100436</v>
      </c>
      <c r="E1100" s="2" t="s">
        <v>208</v>
      </c>
      <c r="F1100" s="15">
        <v>1713.5</v>
      </c>
      <c r="G1100" s="41">
        <v>42776</v>
      </c>
      <c r="H1100" s="15">
        <f t="shared" si="33"/>
        <v>1713.5</v>
      </c>
      <c r="I1100" s="15">
        <f t="shared" si="34"/>
        <v>0</v>
      </c>
      <c r="J1100" s="19"/>
    </row>
    <row r="1101" spans="1:10" x14ac:dyDescent="0.25">
      <c r="A1101" s="82">
        <v>42775</v>
      </c>
      <c r="B1101" s="39" t="s">
        <v>5338</v>
      </c>
      <c r="C1101" s="89"/>
      <c r="D1101" s="18">
        <v>100437</v>
      </c>
      <c r="E1101" s="2" t="s">
        <v>2528</v>
      </c>
      <c r="F1101" s="15">
        <v>1213.5</v>
      </c>
      <c r="G1101" s="41">
        <v>42776</v>
      </c>
      <c r="H1101" s="15">
        <f t="shared" si="33"/>
        <v>1213.5</v>
      </c>
      <c r="I1101" s="15">
        <f t="shared" si="34"/>
        <v>0</v>
      </c>
      <c r="J1101" s="19"/>
    </row>
    <row r="1102" spans="1:10" x14ac:dyDescent="0.25">
      <c r="A1102" s="82">
        <v>42775</v>
      </c>
      <c r="B1102" s="39" t="s">
        <v>5339</v>
      </c>
      <c r="C1102" s="89"/>
      <c r="D1102" s="18">
        <v>100438</v>
      </c>
      <c r="E1102" s="2" t="s">
        <v>356</v>
      </c>
      <c r="F1102" s="15">
        <v>7252.8</v>
      </c>
      <c r="G1102" s="41">
        <v>42776</v>
      </c>
      <c r="H1102" s="15">
        <f t="shared" si="33"/>
        <v>7252.8</v>
      </c>
      <c r="I1102" s="15">
        <f t="shared" si="34"/>
        <v>0</v>
      </c>
      <c r="J1102" s="19"/>
    </row>
    <row r="1103" spans="1:10" x14ac:dyDescent="0.25">
      <c r="A1103" s="82">
        <v>42775</v>
      </c>
      <c r="B1103" s="39" t="s">
        <v>5340</v>
      </c>
      <c r="C1103" s="89"/>
      <c r="D1103" s="18">
        <v>100439</v>
      </c>
      <c r="E1103" s="2" t="s">
        <v>182</v>
      </c>
      <c r="F1103" s="15">
        <v>1964.9</v>
      </c>
      <c r="G1103" s="41">
        <v>42776</v>
      </c>
      <c r="H1103" s="15">
        <f t="shared" si="33"/>
        <v>1964.9</v>
      </c>
      <c r="I1103" s="15">
        <f t="shared" si="34"/>
        <v>0</v>
      </c>
      <c r="J1103" s="19"/>
    </row>
    <row r="1104" spans="1:10" x14ac:dyDescent="0.25">
      <c r="A1104" s="82">
        <v>42775</v>
      </c>
      <c r="B1104" s="39" t="s">
        <v>5341</v>
      </c>
      <c r="C1104" s="89"/>
      <c r="D1104" s="18">
        <v>100440</v>
      </c>
      <c r="E1104" s="2" t="s">
        <v>2545</v>
      </c>
      <c r="F1104" s="15">
        <v>2561.1999999999998</v>
      </c>
      <c r="G1104" s="41">
        <v>42776</v>
      </c>
      <c r="H1104" s="15">
        <f t="shared" si="33"/>
        <v>2561.1999999999998</v>
      </c>
      <c r="I1104" s="15">
        <f t="shared" si="34"/>
        <v>0</v>
      </c>
      <c r="J1104" s="19"/>
    </row>
    <row r="1105" spans="1:10" x14ac:dyDescent="0.25">
      <c r="A1105" s="82">
        <v>42775</v>
      </c>
      <c r="B1105" s="39" t="s">
        <v>5342</v>
      </c>
      <c r="C1105" s="89"/>
      <c r="D1105" s="18">
        <v>100441</v>
      </c>
      <c r="E1105" s="2" t="s">
        <v>3997</v>
      </c>
      <c r="F1105" s="15">
        <v>6729.4</v>
      </c>
      <c r="G1105" s="41">
        <v>42777</v>
      </c>
      <c r="H1105" s="15">
        <f t="shared" si="33"/>
        <v>6729.4</v>
      </c>
      <c r="I1105" s="15">
        <f t="shared" si="34"/>
        <v>0</v>
      </c>
      <c r="J1105" s="19"/>
    </row>
    <row r="1106" spans="1:10" x14ac:dyDescent="0.25">
      <c r="A1106" s="82">
        <v>42775</v>
      </c>
      <c r="B1106" s="39" t="s">
        <v>5343</v>
      </c>
      <c r="C1106" s="89"/>
      <c r="D1106" s="18">
        <v>100442</v>
      </c>
      <c r="E1106" s="2" t="s">
        <v>57</v>
      </c>
      <c r="F1106" s="15">
        <v>686</v>
      </c>
      <c r="G1106" s="41">
        <v>42776</v>
      </c>
      <c r="H1106" s="15">
        <f t="shared" si="33"/>
        <v>686</v>
      </c>
      <c r="I1106" s="15">
        <f t="shared" si="34"/>
        <v>0</v>
      </c>
      <c r="J1106" s="19"/>
    </row>
    <row r="1107" spans="1:10" x14ac:dyDescent="0.25">
      <c r="A1107" s="82">
        <v>42775</v>
      </c>
      <c r="B1107" s="39" t="s">
        <v>5344</v>
      </c>
      <c r="C1107" s="89"/>
      <c r="D1107" s="18">
        <v>100443</v>
      </c>
      <c r="E1107" s="2" t="s">
        <v>30</v>
      </c>
      <c r="F1107" s="15">
        <v>50.4</v>
      </c>
      <c r="G1107" s="41">
        <v>42775</v>
      </c>
      <c r="H1107" s="15">
        <f t="shared" si="33"/>
        <v>50.4</v>
      </c>
      <c r="I1107" s="15">
        <f t="shared" si="34"/>
        <v>0</v>
      </c>
      <c r="J1107" s="19"/>
    </row>
    <row r="1108" spans="1:10" x14ac:dyDescent="0.25">
      <c r="A1108" s="82">
        <v>42775</v>
      </c>
      <c r="B1108" s="39" t="s">
        <v>5345</v>
      </c>
      <c r="C1108" s="89"/>
      <c r="D1108" s="18">
        <v>100444</v>
      </c>
      <c r="E1108" s="2" t="s">
        <v>10</v>
      </c>
      <c r="F1108" s="15">
        <v>770</v>
      </c>
      <c r="G1108" s="41">
        <v>42781</v>
      </c>
      <c r="H1108" s="15">
        <f t="shared" si="33"/>
        <v>770</v>
      </c>
      <c r="I1108" s="15">
        <f t="shared" si="34"/>
        <v>0</v>
      </c>
      <c r="J1108" s="19"/>
    </row>
    <row r="1109" spans="1:10" x14ac:dyDescent="0.25">
      <c r="A1109" s="82">
        <v>42775</v>
      </c>
      <c r="B1109" s="39" t="s">
        <v>5346</v>
      </c>
      <c r="C1109" s="89"/>
      <c r="D1109" s="18">
        <v>100445</v>
      </c>
      <c r="E1109" s="2" t="s">
        <v>222</v>
      </c>
      <c r="F1109" s="15">
        <v>501732</v>
      </c>
      <c r="G1109" s="41">
        <v>42784</v>
      </c>
      <c r="H1109" s="15">
        <f t="shared" si="33"/>
        <v>501732</v>
      </c>
      <c r="I1109" s="15">
        <f t="shared" si="34"/>
        <v>0</v>
      </c>
      <c r="J1109" s="19"/>
    </row>
    <row r="1110" spans="1:10" x14ac:dyDescent="0.25">
      <c r="A1110" s="82">
        <v>42775</v>
      </c>
      <c r="B1110" s="39" t="s">
        <v>5347</v>
      </c>
      <c r="C1110" s="89"/>
      <c r="D1110" s="18">
        <v>100446</v>
      </c>
      <c r="E1110" s="2" t="s">
        <v>509</v>
      </c>
      <c r="F1110" s="15">
        <v>13644</v>
      </c>
      <c r="G1110" s="41">
        <v>42776</v>
      </c>
      <c r="H1110" s="15">
        <f t="shared" si="33"/>
        <v>13644</v>
      </c>
      <c r="I1110" s="15">
        <f t="shared" si="34"/>
        <v>0</v>
      </c>
      <c r="J1110" s="19"/>
    </row>
    <row r="1111" spans="1:10" x14ac:dyDescent="0.25">
      <c r="A1111" s="82">
        <v>42775</v>
      </c>
      <c r="B1111" s="39" t="s">
        <v>5348</v>
      </c>
      <c r="C1111" s="89"/>
      <c r="D1111" s="18">
        <v>100447</v>
      </c>
      <c r="E1111" s="2" t="s">
        <v>937</v>
      </c>
      <c r="F1111" s="15">
        <v>3564.9</v>
      </c>
      <c r="G1111" s="41">
        <v>42775</v>
      </c>
      <c r="H1111" s="15">
        <f t="shared" si="33"/>
        <v>3564.9</v>
      </c>
      <c r="I1111" s="15">
        <f t="shared" si="34"/>
        <v>0</v>
      </c>
      <c r="J1111" s="19"/>
    </row>
    <row r="1112" spans="1:10" x14ac:dyDescent="0.25">
      <c r="A1112" s="82">
        <v>42775</v>
      </c>
      <c r="B1112" s="39" t="s">
        <v>5349</v>
      </c>
      <c r="C1112" s="89"/>
      <c r="D1112" s="18">
        <v>100448</v>
      </c>
      <c r="E1112" s="2" t="s">
        <v>9</v>
      </c>
      <c r="F1112" s="15">
        <v>9990</v>
      </c>
      <c r="G1112" s="41">
        <v>42782</v>
      </c>
      <c r="H1112" s="15">
        <f t="shared" si="33"/>
        <v>9990</v>
      </c>
      <c r="I1112" s="15">
        <f t="shared" si="34"/>
        <v>0</v>
      </c>
      <c r="J1112" s="19"/>
    </row>
    <row r="1113" spans="1:10" x14ac:dyDescent="0.25">
      <c r="A1113" s="82">
        <v>42775</v>
      </c>
      <c r="B1113" s="39" t="s">
        <v>5350</v>
      </c>
      <c r="C1113" s="89"/>
      <c r="D1113" s="18">
        <v>100449</v>
      </c>
      <c r="E1113" s="2" t="s">
        <v>222</v>
      </c>
      <c r="F1113" s="15">
        <v>10012</v>
      </c>
      <c r="G1113" s="41">
        <v>42784</v>
      </c>
      <c r="H1113" s="15">
        <f t="shared" si="33"/>
        <v>10012</v>
      </c>
      <c r="I1113" s="15">
        <f t="shared" si="34"/>
        <v>0</v>
      </c>
      <c r="J1113" s="19"/>
    </row>
    <row r="1114" spans="1:10" x14ac:dyDescent="0.25">
      <c r="A1114" s="82">
        <v>42775</v>
      </c>
      <c r="B1114" s="39" t="s">
        <v>5351</v>
      </c>
      <c r="C1114" s="89"/>
      <c r="D1114" s="18">
        <v>100450</v>
      </c>
      <c r="E1114" s="2" t="s">
        <v>5352</v>
      </c>
      <c r="F1114" s="15">
        <v>18627</v>
      </c>
      <c r="G1114" s="41">
        <v>42775</v>
      </c>
      <c r="H1114" s="15">
        <f t="shared" si="33"/>
        <v>18627</v>
      </c>
      <c r="I1114" s="15">
        <f t="shared" si="34"/>
        <v>0</v>
      </c>
      <c r="J1114" s="19"/>
    </row>
    <row r="1115" spans="1:10" x14ac:dyDescent="0.25">
      <c r="A1115" s="82">
        <v>42775</v>
      </c>
      <c r="B1115" s="39" t="s">
        <v>5353</v>
      </c>
      <c r="C1115" s="89"/>
      <c r="D1115" s="18">
        <v>100451</v>
      </c>
      <c r="E1115" s="2" t="s">
        <v>3649</v>
      </c>
      <c r="F1115" s="15">
        <v>1980.8</v>
      </c>
      <c r="G1115" s="41">
        <v>42775</v>
      </c>
      <c r="H1115" s="15">
        <f t="shared" si="33"/>
        <v>1980.8</v>
      </c>
      <c r="I1115" s="15">
        <f t="shared" si="34"/>
        <v>0</v>
      </c>
      <c r="J1115" s="19"/>
    </row>
    <row r="1116" spans="1:10" x14ac:dyDescent="0.25">
      <c r="A1116" s="82">
        <v>42775</v>
      </c>
      <c r="B1116" s="39" t="s">
        <v>5354</v>
      </c>
      <c r="C1116" s="89"/>
      <c r="D1116" s="18">
        <v>100452</v>
      </c>
      <c r="E1116" s="2" t="s">
        <v>302</v>
      </c>
      <c r="F1116" s="15">
        <v>8981</v>
      </c>
      <c r="G1116" s="41">
        <v>42775</v>
      </c>
      <c r="H1116" s="15">
        <f t="shared" si="33"/>
        <v>8981</v>
      </c>
      <c r="I1116" s="15">
        <f t="shared" si="34"/>
        <v>0</v>
      </c>
      <c r="J1116" s="19"/>
    </row>
    <row r="1117" spans="1:10" x14ac:dyDescent="0.25">
      <c r="A1117" s="82">
        <v>42775</v>
      </c>
      <c r="B1117" s="39" t="s">
        <v>5355</v>
      </c>
      <c r="C1117" s="89"/>
      <c r="D1117" s="18">
        <v>100453</v>
      </c>
      <c r="E1117" s="2" t="s">
        <v>352</v>
      </c>
      <c r="F1117" s="15">
        <v>2244</v>
      </c>
      <c r="G1117" s="41">
        <v>42775</v>
      </c>
      <c r="H1117" s="15">
        <f t="shared" si="33"/>
        <v>2244</v>
      </c>
      <c r="I1117" s="15">
        <f t="shared" si="34"/>
        <v>0</v>
      </c>
      <c r="J1117" s="19"/>
    </row>
    <row r="1118" spans="1:10" ht="30" x14ac:dyDescent="0.25">
      <c r="A1118" s="82">
        <v>42775</v>
      </c>
      <c r="B1118" s="39" t="s">
        <v>5356</v>
      </c>
      <c r="C1118" s="89"/>
      <c r="D1118" s="18">
        <v>100454</v>
      </c>
      <c r="E1118" s="2" t="s">
        <v>1594</v>
      </c>
      <c r="F1118" s="15">
        <v>33181.199999999997</v>
      </c>
      <c r="G1118" s="87" t="s">
        <v>5357</v>
      </c>
      <c r="H1118" s="20">
        <f>3181.2+30000</f>
        <v>33181.199999999997</v>
      </c>
      <c r="I1118" s="20">
        <f t="shared" si="34"/>
        <v>0</v>
      </c>
      <c r="J1118" s="19"/>
    </row>
    <row r="1119" spans="1:10" x14ac:dyDescent="0.25">
      <c r="A1119" s="82">
        <v>42775</v>
      </c>
      <c r="B1119" s="39" t="s">
        <v>5358</v>
      </c>
      <c r="C1119" s="89"/>
      <c r="D1119" s="18">
        <v>100455</v>
      </c>
      <c r="E1119" s="2" t="s">
        <v>670</v>
      </c>
      <c r="F1119" s="15">
        <v>132822</v>
      </c>
      <c r="G1119" s="41">
        <v>42777</v>
      </c>
      <c r="H1119" s="15">
        <f t="shared" si="33"/>
        <v>132822</v>
      </c>
      <c r="I1119" s="15">
        <f t="shared" si="34"/>
        <v>0</v>
      </c>
      <c r="J1119" s="19"/>
    </row>
    <row r="1120" spans="1:10" x14ac:dyDescent="0.25">
      <c r="A1120" s="82">
        <v>42775</v>
      </c>
      <c r="B1120" s="39" t="s">
        <v>5359</v>
      </c>
      <c r="C1120" s="89"/>
      <c r="D1120" s="18">
        <v>100456</v>
      </c>
      <c r="E1120" s="2" t="s">
        <v>665</v>
      </c>
      <c r="F1120" s="15">
        <v>66853.399999999994</v>
      </c>
      <c r="G1120" s="41">
        <v>42784</v>
      </c>
      <c r="H1120" s="15">
        <f t="shared" si="33"/>
        <v>66853.399999999994</v>
      </c>
      <c r="I1120" s="15">
        <f t="shared" si="34"/>
        <v>0</v>
      </c>
      <c r="J1120" s="19"/>
    </row>
    <row r="1121" spans="1:10" x14ac:dyDescent="0.25">
      <c r="A1121" s="82">
        <v>42775</v>
      </c>
      <c r="B1121" s="39" t="s">
        <v>5360</v>
      </c>
      <c r="C1121" s="89"/>
      <c r="D1121" s="18">
        <v>100457</v>
      </c>
      <c r="E1121" s="2" t="s">
        <v>55</v>
      </c>
      <c r="F1121" s="15">
        <v>8726.9</v>
      </c>
      <c r="H1121" s="15">
        <f t="shared" si="33"/>
        <v>8726.9</v>
      </c>
      <c r="I1121" s="15">
        <f t="shared" si="34"/>
        <v>0</v>
      </c>
      <c r="J1121" s="19"/>
    </row>
    <row r="1122" spans="1:10" x14ac:dyDescent="0.25">
      <c r="A1122" s="82">
        <v>42775</v>
      </c>
      <c r="B1122" s="39" t="s">
        <v>5361</v>
      </c>
      <c r="C1122" s="89"/>
      <c r="D1122" s="18">
        <v>100458</v>
      </c>
      <c r="E1122" s="2" t="s">
        <v>10</v>
      </c>
      <c r="F1122" s="15">
        <v>1491.6</v>
      </c>
      <c r="G1122" s="41">
        <v>42781</v>
      </c>
      <c r="H1122" s="15">
        <f t="shared" si="33"/>
        <v>1491.6</v>
      </c>
      <c r="I1122" s="15">
        <f t="shared" si="34"/>
        <v>0</v>
      </c>
      <c r="J1122" s="19"/>
    </row>
    <row r="1123" spans="1:10" x14ac:dyDescent="0.25">
      <c r="A1123" s="82">
        <v>42775</v>
      </c>
      <c r="B1123" s="39" t="s">
        <v>5362</v>
      </c>
      <c r="C1123" s="89"/>
      <c r="D1123" s="18">
        <v>100459</v>
      </c>
      <c r="E1123" s="2" t="s">
        <v>3513</v>
      </c>
      <c r="F1123" s="15">
        <v>4378.8</v>
      </c>
      <c r="G1123" s="41">
        <v>42777</v>
      </c>
      <c r="H1123" s="15">
        <f t="shared" si="33"/>
        <v>4378.8</v>
      </c>
      <c r="I1123" s="15">
        <f t="shared" si="34"/>
        <v>0</v>
      </c>
      <c r="J1123" s="19"/>
    </row>
    <row r="1124" spans="1:10" x14ac:dyDescent="0.25">
      <c r="A1124" s="82">
        <v>42775</v>
      </c>
      <c r="B1124" s="39" t="s">
        <v>5363</v>
      </c>
      <c r="C1124" s="89"/>
      <c r="D1124" s="18">
        <v>100460</v>
      </c>
      <c r="E1124" s="2" t="s">
        <v>675</v>
      </c>
      <c r="F1124" s="15">
        <v>1586.1</v>
      </c>
      <c r="G1124" s="41">
        <v>42777</v>
      </c>
      <c r="H1124" s="15">
        <f t="shared" si="33"/>
        <v>1586.1</v>
      </c>
      <c r="I1124" s="15">
        <f t="shared" si="34"/>
        <v>0</v>
      </c>
      <c r="J1124" s="19"/>
    </row>
    <row r="1125" spans="1:10" x14ac:dyDescent="0.25">
      <c r="A1125" s="82">
        <v>42775</v>
      </c>
      <c r="B1125" s="39" t="s">
        <v>5364</v>
      </c>
      <c r="C1125" s="89"/>
      <c r="D1125" s="18">
        <v>100461</v>
      </c>
      <c r="E1125" s="2" t="s">
        <v>677</v>
      </c>
      <c r="F1125" s="15">
        <v>1577.2</v>
      </c>
      <c r="G1125" s="41">
        <v>42777</v>
      </c>
      <c r="H1125" s="15">
        <f t="shared" si="33"/>
        <v>1577.2</v>
      </c>
      <c r="I1125" s="15">
        <f t="shared" si="34"/>
        <v>0</v>
      </c>
      <c r="J1125" s="19"/>
    </row>
    <row r="1126" spans="1:10" x14ac:dyDescent="0.25">
      <c r="A1126" s="82">
        <v>42775</v>
      </c>
      <c r="B1126" s="39" t="s">
        <v>5365</v>
      </c>
      <c r="C1126" s="89"/>
      <c r="D1126" s="18">
        <v>100462</v>
      </c>
      <c r="E1126" s="2" t="s">
        <v>680</v>
      </c>
      <c r="F1126" s="15">
        <v>3327.4</v>
      </c>
      <c r="G1126" s="41">
        <v>42777</v>
      </c>
      <c r="H1126" s="15">
        <f t="shared" si="33"/>
        <v>3327.4</v>
      </c>
      <c r="I1126" s="15">
        <f t="shared" si="34"/>
        <v>0</v>
      </c>
      <c r="J1126" s="19"/>
    </row>
    <row r="1127" spans="1:10" x14ac:dyDescent="0.25">
      <c r="A1127" s="82">
        <v>42775</v>
      </c>
      <c r="B1127" s="39" t="s">
        <v>5366</v>
      </c>
      <c r="C1127" s="89"/>
      <c r="D1127" s="18">
        <v>100463</v>
      </c>
      <c r="E1127" s="2" t="s">
        <v>319</v>
      </c>
      <c r="F1127" s="15">
        <v>3465.6</v>
      </c>
      <c r="G1127" s="41">
        <v>42775</v>
      </c>
      <c r="H1127" s="15">
        <f t="shared" si="33"/>
        <v>3465.6</v>
      </c>
      <c r="I1127" s="15">
        <f t="shared" si="34"/>
        <v>0</v>
      </c>
      <c r="J1127" s="19"/>
    </row>
    <row r="1128" spans="1:10" x14ac:dyDescent="0.25">
      <c r="A1128" s="82">
        <v>42775</v>
      </c>
      <c r="B1128" s="39" t="s">
        <v>5367</v>
      </c>
      <c r="C1128" s="89"/>
      <c r="D1128" s="18">
        <v>100464</v>
      </c>
      <c r="E1128" s="2" t="s">
        <v>5368</v>
      </c>
      <c r="F1128" s="15">
        <v>6912.4</v>
      </c>
      <c r="G1128" s="41">
        <v>42777</v>
      </c>
      <c r="H1128" s="15">
        <f t="shared" si="33"/>
        <v>6912.4</v>
      </c>
      <c r="I1128" s="15">
        <f t="shared" si="34"/>
        <v>0</v>
      </c>
      <c r="J1128" s="19"/>
    </row>
    <row r="1129" spans="1:10" x14ac:dyDescent="0.25">
      <c r="A1129" s="82">
        <v>42775</v>
      </c>
      <c r="B1129" s="39" t="s">
        <v>5369</v>
      </c>
      <c r="C1129" s="89"/>
      <c r="D1129" s="18">
        <v>100465</v>
      </c>
      <c r="E1129" s="2" t="s">
        <v>4038</v>
      </c>
      <c r="F1129" s="15">
        <v>5544</v>
      </c>
      <c r="G1129" s="41">
        <v>42777</v>
      </c>
      <c r="H1129" s="15">
        <f t="shared" si="33"/>
        <v>5544</v>
      </c>
      <c r="I1129" s="15">
        <f t="shared" si="34"/>
        <v>0</v>
      </c>
      <c r="J1129" s="19"/>
    </row>
    <row r="1130" spans="1:10" x14ac:dyDescent="0.25">
      <c r="A1130" s="82">
        <v>42775</v>
      </c>
      <c r="B1130" s="39" t="s">
        <v>5370</v>
      </c>
      <c r="C1130" s="89"/>
      <c r="D1130" s="18">
        <v>100466</v>
      </c>
      <c r="E1130" s="98" t="s">
        <v>686</v>
      </c>
      <c r="F1130" s="23">
        <v>26482</v>
      </c>
      <c r="G1130" s="86" t="s">
        <v>95</v>
      </c>
      <c r="H1130" s="23">
        <f t="shared" si="33"/>
        <v>26482</v>
      </c>
      <c r="I1130" s="23">
        <f t="shared" si="34"/>
        <v>0</v>
      </c>
      <c r="J1130" s="19"/>
    </row>
    <row r="1131" spans="1:10" x14ac:dyDescent="0.25">
      <c r="A1131" s="82">
        <v>42775</v>
      </c>
      <c r="B1131" s="39" t="s">
        <v>5371</v>
      </c>
      <c r="C1131" s="89"/>
      <c r="D1131" s="18">
        <v>100467</v>
      </c>
      <c r="E1131" s="2" t="s">
        <v>677</v>
      </c>
      <c r="F1131" s="15">
        <v>2039.4</v>
      </c>
      <c r="G1131" s="41">
        <v>42777</v>
      </c>
      <c r="H1131" s="15">
        <f t="shared" si="33"/>
        <v>2039.4</v>
      </c>
      <c r="I1131" s="15">
        <f t="shared" si="34"/>
        <v>0</v>
      </c>
      <c r="J1131" s="19"/>
    </row>
    <row r="1132" spans="1:10" x14ac:dyDescent="0.25">
      <c r="A1132" s="82">
        <v>42775</v>
      </c>
      <c r="B1132" s="39" t="s">
        <v>5372</v>
      </c>
      <c r="C1132" s="89"/>
      <c r="D1132" s="18">
        <v>100468</v>
      </c>
      <c r="E1132" s="2" t="s">
        <v>688</v>
      </c>
      <c r="F1132" s="15">
        <v>5587.7</v>
      </c>
      <c r="G1132" s="41">
        <v>42777</v>
      </c>
      <c r="H1132" s="15">
        <f t="shared" si="33"/>
        <v>5587.7</v>
      </c>
      <c r="I1132" s="15">
        <f t="shared" si="34"/>
        <v>0</v>
      </c>
      <c r="J1132" s="19"/>
    </row>
    <row r="1133" spans="1:10" x14ac:dyDescent="0.25">
      <c r="A1133" s="82">
        <v>42775</v>
      </c>
      <c r="B1133" s="39" t="s">
        <v>5373</v>
      </c>
      <c r="C1133" s="89"/>
      <c r="D1133" s="18">
        <v>100469</v>
      </c>
      <c r="E1133" s="2" t="s">
        <v>682</v>
      </c>
      <c r="F1133" s="15">
        <v>5560</v>
      </c>
      <c r="G1133" s="41">
        <v>42777</v>
      </c>
      <c r="H1133" s="15">
        <f t="shared" si="33"/>
        <v>5560</v>
      </c>
      <c r="I1133" s="15">
        <f t="shared" si="34"/>
        <v>0</v>
      </c>
      <c r="J1133" s="19"/>
    </row>
    <row r="1134" spans="1:10" x14ac:dyDescent="0.25">
      <c r="A1134" s="82">
        <v>42775</v>
      </c>
      <c r="B1134" s="39" t="s">
        <v>5374</v>
      </c>
      <c r="C1134" s="89"/>
      <c r="D1134" s="18">
        <v>100470</v>
      </c>
      <c r="E1134" s="2" t="s">
        <v>1197</v>
      </c>
      <c r="F1134" s="15">
        <v>3322</v>
      </c>
      <c r="G1134" s="41">
        <v>42777</v>
      </c>
      <c r="H1134" s="15">
        <f t="shared" si="33"/>
        <v>3322</v>
      </c>
      <c r="I1134" s="15">
        <f t="shared" si="34"/>
        <v>0</v>
      </c>
      <c r="J1134" s="19"/>
    </row>
    <row r="1135" spans="1:10" x14ac:dyDescent="0.25">
      <c r="A1135" s="82">
        <v>42775</v>
      </c>
      <c r="B1135" s="39" t="s">
        <v>5375</v>
      </c>
      <c r="C1135" s="89"/>
      <c r="D1135" s="18">
        <v>100471</v>
      </c>
      <c r="E1135" s="2" t="s">
        <v>670</v>
      </c>
      <c r="F1135" s="15">
        <v>14803.05</v>
      </c>
      <c r="G1135" s="41">
        <v>42777</v>
      </c>
      <c r="H1135" s="15">
        <f t="shared" si="33"/>
        <v>14803.05</v>
      </c>
      <c r="I1135" s="15">
        <f t="shared" si="34"/>
        <v>0</v>
      </c>
      <c r="J1135" s="19"/>
    </row>
    <row r="1136" spans="1:10" ht="30" x14ac:dyDescent="0.25">
      <c r="A1136" s="82">
        <v>42775</v>
      </c>
      <c r="B1136" s="39" t="s">
        <v>5376</v>
      </c>
      <c r="C1136" s="89"/>
      <c r="D1136" s="18">
        <v>100472</v>
      </c>
      <c r="E1136" s="2" t="s">
        <v>1199</v>
      </c>
      <c r="F1136" s="15">
        <v>21401.24</v>
      </c>
      <c r="G1136" s="121" t="s">
        <v>15197</v>
      </c>
      <c r="H1136" s="35">
        <f>5000+16401.24</f>
        <v>21401.24</v>
      </c>
      <c r="I1136" s="35">
        <f t="shared" si="34"/>
        <v>0</v>
      </c>
      <c r="J1136" s="19"/>
    </row>
    <row r="1137" spans="1:10" x14ac:dyDescent="0.25">
      <c r="A1137" s="82">
        <v>42775</v>
      </c>
      <c r="B1137" s="39" t="s">
        <v>5377</v>
      </c>
      <c r="C1137" s="89"/>
      <c r="D1137" s="18">
        <v>100473</v>
      </c>
      <c r="E1137" s="2" t="s">
        <v>47</v>
      </c>
      <c r="F1137" s="15">
        <v>3515</v>
      </c>
      <c r="G1137" s="41">
        <v>42775</v>
      </c>
      <c r="H1137" s="15">
        <f t="shared" si="33"/>
        <v>3515</v>
      </c>
      <c r="I1137" s="15">
        <f t="shared" si="34"/>
        <v>0</v>
      </c>
      <c r="J1137" s="19"/>
    </row>
    <row r="1138" spans="1:10" x14ac:dyDescent="0.25">
      <c r="A1138" s="82">
        <v>42775</v>
      </c>
      <c r="B1138" s="39" t="s">
        <v>5378</v>
      </c>
      <c r="C1138" s="89"/>
      <c r="D1138" s="18">
        <v>100474</v>
      </c>
      <c r="E1138" s="2" t="s">
        <v>5232</v>
      </c>
      <c r="F1138" s="15">
        <v>19708</v>
      </c>
      <c r="G1138" s="41">
        <v>42776</v>
      </c>
      <c r="H1138" s="15">
        <f t="shared" si="33"/>
        <v>19708</v>
      </c>
      <c r="I1138" s="15">
        <f t="shared" si="34"/>
        <v>0</v>
      </c>
      <c r="J1138" s="19"/>
    </row>
    <row r="1139" spans="1:10" x14ac:dyDescent="0.25">
      <c r="A1139" s="82">
        <v>42775</v>
      </c>
      <c r="B1139" s="39" t="s">
        <v>5379</v>
      </c>
      <c r="C1139" s="89"/>
      <c r="D1139" s="18">
        <v>100475</v>
      </c>
      <c r="E1139" s="2" t="s">
        <v>1589</v>
      </c>
      <c r="F1139" s="15">
        <v>10275.200000000001</v>
      </c>
      <c r="G1139" s="41">
        <v>42777</v>
      </c>
      <c r="H1139" s="15">
        <f t="shared" si="33"/>
        <v>10275.200000000001</v>
      </c>
      <c r="I1139" s="15">
        <f t="shared" si="34"/>
        <v>0</v>
      </c>
      <c r="J1139" s="19"/>
    </row>
    <row r="1140" spans="1:10" x14ac:dyDescent="0.25">
      <c r="A1140" s="82">
        <v>42775</v>
      </c>
      <c r="B1140" s="39" t="s">
        <v>5380</v>
      </c>
      <c r="C1140" s="89"/>
      <c r="D1140" s="18">
        <v>100476</v>
      </c>
      <c r="E1140" s="2" t="s">
        <v>354</v>
      </c>
      <c r="F1140" s="15">
        <v>1009</v>
      </c>
      <c r="G1140" s="41">
        <v>42775</v>
      </c>
      <c r="H1140" s="15">
        <f t="shared" si="33"/>
        <v>1009</v>
      </c>
      <c r="I1140" s="15">
        <f t="shared" si="34"/>
        <v>0</v>
      </c>
      <c r="J1140" s="19"/>
    </row>
    <row r="1141" spans="1:10" x14ac:dyDescent="0.25">
      <c r="A1141" s="82">
        <v>42775</v>
      </c>
      <c r="B1141" s="39" t="s">
        <v>5381</v>
      </c>
      <c r="C1141" s="89"/>
      <c r="D1141" s="18">
        <v>100477</v>
      </c>
      <c r="E1141" s="2" t="s">
        <v>670</v>
      </c>
      <c r="F1141" s="15">
        <v>53187.5</v>
      </c>
      <c r="G1141" s="41">
        <v>42777</v>
      </c>
      <c r="H1141" s="15">
        <f t="shared" ref="H1141:H1204" si="35">F1141</f>
        <v>53187.5</v>
      </c>
      <c r="I1141" s="15">
        <f t="shared" si="34"/>
        <v>0</v>
      </c>
      <c r="J1141" s="19"/>
    </row>
    <row r="1142" spans="1:10" x14ac:dyDescent="0.25">
      <c r="A1142" s="82">
        <v>42775</v>
      </c>
      <c r="B1142" s="39" t="s">
        <v>5382</v>
      </c>
      <c r="C1142" s="89"/>
      <c r="D1142" s="18">
        <v>100478</v>
      </c>
      <c r="E1142" s="2" t="s">
        <v>686</v>
      </c>
      <c r="F1142" s="15">
        <v>26246</v>
      </c>
      <c r="G1142" s="41">
        <v>42777</v>
      </c>
      <c r="H1142" s="15">
        <f t="shared" si="35"/>
        <v>26246</v>
      </c>
      <c r="I1142" s="15">
        <f t="shared" si="34"/>
        <v>0</v>
      </c>
      <c r="J1142" s="19"/>
    </row>
    <row r="1143" spans="1:10" x14ac:dyDescent="0.25">
      <c r="A1143" s="82">
        <v>42775</v>
      </c>
      <c r="B1143" s="39" t="s">
        <v>5383</v>
      </c>
      <c r="C1143" s="89"/>
      <c r="D1143" s="18">
        <v>100479</v>
      </c>
      <c r="E1143" s="2" t="s">
        <v>211</v>
      </c>
      <c r="F1143" s="15">
        <v>8530.6</v>
      </c>
      <c r="G1143" s="41">
        <v>42775</v>
      </c>
      <c r="H1143" s="15">
        <f t="shared" si="35"/>
        <v>8530.6</v>
      </c>
      <c r="I1143" s="15">
        <f t="shared" si="34"/>
        <v>0</v>
      </c>
      <c r="J1143" s="19"/>
    </row>
    <row r="1144" spans="1:10" x14ac:dyDescent="0.25">
      <c r="A1144" s="82">
        <v>42775</v>
      </c>
      <c r="B1144" s="39" t="s">
        <v>5384</v>
      </c>
      <c r="C1144" s="89"/>
      <c r="D1144" s="18">
        <v>100480</v>
      </c>
      <c r="E1144" s="2" t="s">
        <v>10</v>
      </c>
      <c r="F1144" s="15">
        <v>13813.2</v>
      </c>
      <c r="G1144" s="41">
        <v>42781</v>
      </c>
      <c r="H1144" s="15">
        <f t="shared" si="35"/>
        <v>13813.2</v>
      </c>
      <c r="I1144" s="15">
        <f t="shared" si="34"/>
        <v>0</v>
      </c>
      <c r="J1144" s="19"/>
    </row>
    <row r="1145" spans="1:10" x14ac:dyDescent="0.25">
      <c r="A1145" s="82">
        <v>42775</v>
      </c>
      <c r="B1145" s="39" t="s">
        <v>5385</v>
      </c>
      <c r="C1145" s="89"/>
      <c r="D1145" s="18">
        <v>100481</v>
      </c>
      <c r="E1145" s="2" t="s">
        <v>30</v>
      </c>
      <c r="F1145" s="15">
        <v>10.4</v>
      </c>
      <c r="G1145" s="41">
        <v>42738</v>
      </c>
      <c r="H1145" s="15">
        <f t="shared" si="35"/>
        <v>10.4</v>
      </c>
      <c r="I1145" s="15">
        <f t="shared" ref="I1145:I1208" si="36">F1145-H1145</f>
        <v>0</v>
      </c>
      <c r="J1145" s="19"/>
    </row>
    <row r="1146" spans="1:10" x14ac:dyDescent="0.25">
      <c r="A1146" s="82">
        <v>42775</v>
      </c>
      <c r="B1146" s="39" t="s">
        <v>5386</v>
      </c>
      <c r="C1146" s="89"/>
      <c r="D1146" s="18">
        <v>100482</v>
      </c>
      <c r="E1146" s="2" t="s">
        <v>220</v>
      </c>
      <c r="F1146" s="15">
        <v>3524.4</v>
      </c>
      <c r="G1146" s="41">
        <v>42776</v>
      </c>
      <c r="H1146" s="15">
        <f t="shared" si="35"/>
        <v>3524.4</v>
      </c>
      <c r="I1146" s="15">
        <f t="shared" si="36"/>
        <v>0</v>
      </c>
      <c r="J1146" s="19"/>
    </row>
    <row r="1147" spans="1:10" x14ac:dyDescent="0.25">
      <c r="A1147" s="82">
        <v>42775</v>
      </c>
      <c r="B1147" s="39" t="s">
        <v>5387</v>
      </c>
      <c r="C1147" s="89"/>
      <c r="D1147" s="18">
        <v>100483</v>
      </c>
      <c r="E1147" s="2" t="s">
        <v>921</v>
      </c>
      <c r="F1147" s="15">
        <v>6365.1</v>
      </c>
      <c r="G1147" s="41">
        <v>42776</v>
      </c>
      <c r="H1147" s="15">
        <f t="shared" si="35"/>
        <v>6365.1</v>
      </c>
      <c r="I1147" s="15">
        <f t="shared" si="36"/>
        <v>0</v>
      </c>
      <c r="J1147" s="19"/>
    </row>
    <row r="1148" spans="1:10" x14ac:dyDescent="0.25">
      <c r="A1148" s="82">
        <v>42776</v>
      </c>
      <c r="B1148" s="39" t="s">
        <v>5388</v>
      </c>
      <c r="C1148" s="89"/>
      <c r="D1148" s="18">
        <v>100484</v>
      </c>
      <c r="E1148" s="2" t="s">
        <v>231</v>
      </c>
      <c r="F1148" s="15">
        <v>13904.9</v>
      </c>
      <c r="G1148" s="41">
        <v>42777</v>
      </c>
      <c r="H1148" s="15">
        <f t="shared" si="35"/>
        <v>13904.9</v>
      </c>
      <c r="I1148" s="15">
        <f t="shared" si="36"/>
        <v>0</v>
      </c>
      <c r="J1148" s="19"/>
    </row>
    <row r="1149" spans="1:10" x14ac:dyDescent="0.25">
      <c r="A1149" s="82">
        <v>42776</v>
      </c>
      <c r="B1149" s="39" t="s">
        <v>5389</v>
      </c>
      <c r="C1149" s="89"/>
      <c r="D1149" s="18">
        <v>100485</v>
      </c>
      <c r="E1149" s="2" t="s">
        <v>17</v>
      </c>
      <c r="F1149" s="15">
        <v>2940</v>
      </c>
      <c r="G1149" s="41">
        <v>42776</v>
      </c>
      <c r="H1149" s="15">
        <f t="shared" si="35"/>
        <v>2940</v>
      </c>
      <c r="I1149" s="15">
        <f t="shared" si="36"/>
        <v>0</v>
      </c>
      <c r="J1149" s="19"/>
    </row>
    <row r="1150" spans="1:10" x14ac:dyDescent="0.25">
      <c r="A1150" s="82">
        <v>42776</v>
      </c>
      <c r="B1150" s="39" t="s">
        <v>5390</v>
      </c>
      <c r="C1150" s="89"/>
      <c r="D1150" s="18">
        <v>100486</v>
      </c>
      <c r="E1150" s="2" t="s">
        <v>19</v>
      </c>
      <c r="F1150" s="15">
        <v>1470</v>
      </c>
      <c r="G1150" s="41">
        <v>42776</v>
      </c>
      <c r="H1150" s="15">
        <f t="shared" si="35"/>
        <v>1470</v>
      </c>
      <c r="I1150" s="15">
        <f t="shared" si="36"/>
        <v>0</v>
      </c>
      <c r="J1150" s="19"/>
    </row>
    <row r="1151" spans="1:10" x14ac:dyDescent="0.25">
      <c r="A1151" s="82">
        <v>42776</v>
      </c>
      <c r="B1151" s="39" t="s">
        <v>5391</v>
      </c>
      <c r="C1151" s="89"/>
      <c r="D1151" s="18">
        <v>100487</v>
      </c>
      <c r="E1151" s="2" t="s">
        <v>71</v>
      </c>
      <c r="F1151" s="15">
        <v>2940</v>
      </c>
      <c r="G1151" s="41">
        <v>42776</v>
      </c>
      <c r="H1151" s="15">
        <f t="shared" si="35"/>
        <v>2940</v>
      </c>
      <c r="I1151" s="15">
        <f t="shared" si="36"/>
        <v>0</v>
      </c>
      <c r="J1151" s="19"/>
    </row>
    <row r="1152" spans="1:10" x14ac:dyDescent="0.25">
      <c r="A1152" s="82">
        <v>42776</v>
      </c>
      <c r="B1152" s="39" t="s">
        <v>5392</v>
      </c>
      <c r="C1152" s="89"/>
      <c r="D1152" s="18">
        <v>100488</v>
      </c>
      <c r="E1152" s="13" t="s">
        <v>32</v>
      </c>
      <c r="F1152" s="14">
        <v>0</v>
      </c>
      <c r="G1152" s="88" t="s">
        <v>95</v>
      </c>
      <c r="H1152" s="14">
        <f t="shared" si="35"/>
        <v>0</v>
      </c>
      <c r="I1152" s="14">
        <f t="shared" si="36"/>
        <v>0</v>
      </c>
      <c r="J1152" s="19"/>
    </row>
    <row r="1153" spans="1:10" x14ac:dyDescent="0.25">
      <c r="A1153" s="82">
        <v>42776</v>
      </c>
      <c r="B1153" s="39" t="s">
        <v>5393</v>
      </c>
      <c r="C1153" s="89"/>
      <c r="D1153" s="18">
        <v>100489</v>
      </c>
      <c r="E1153" s="2" t="s">
        <v>231</v>
      </c>
      <c r="F1153" s="15">
        <v>37427.199999999997</v>
      </c>
      <c r="G1153" s="41">
        <v>42777</v>
      </c>
      <c r="H1153" s="15">
        <f t="shared" si="35"/>
        <v>37427.199999999997</v>
      </c>
      <c r="I1153" s="15">
        <f t="shared" si="36"/>
        <v>0</v>
      </c>
      <c r="J1153" s="19"/>
    </row>
    <row r="1154" spans="1:10" x14ac:dyDescent="0.25">
      <c r="A1154" s="82">
        <v>42776</v>
      </c>
      <c r="B1154" s="39" t="s">
        <v>5394</v>
      </c>
      <c r="C1154" s="89"/>
      <c r="D1154" s="18">
        <v>100490</v>
      </c>
      <c r="E1154" s="2" t="s">
        <v>1786</v>
      </c>
      <c r="F1154" s="15">
        <v>11159.2</v>
      </c>
      <c r="G1154" s="41">
        <v>42776</v>
      </c>
      <c r="H1154" s="15">
        <f t="shared" si="35"/>
        <v>11159.2</v>
      </c>
      <c r="I1154" s="15">
        <f t="shared" si="36"/>
        <v>0</v>
      </c>
      <c r="J1154" s="19"/>
    </row>
    <row r="1155" spans="1:10" x14ac:dyDescent="0.25">
      <c r="A1155" s="82">
        <v>42776</v>
      </c>
      <c r="B1155" s="39" t="s">
        <v>5395</v>
      </c>
      <c r="C1155" s="89"/>
      <c r="D1155" s="18">
        <v>100491</v>
      </c>
      <c r="E1155" s="2" t="s">
        <v>1634</v>
      </c>
      <c r="F1155" s="15">
        <v>2473.1999999999998</v>
      </c>
      <c r="G1155" s="41">
        <v>42776</v>
      </c>
      <c r="H1155" s="15">
        <f t="shared" si="35"/>
        <v>2473.1999999999998</v>
      </c>
      <c r="I1155" s="15">
        <f t="shared" si="36"/>
        <v>0</v>
      </c>
      <c r="J1155" s="19"/>
    </row>
    <row r="1156" spans="1:10" x14ac:dyDescent="0.25">
      <c r="A1156" s="82">
        <v>42776</v>
      </c>
      <c r="B1156" s="39" t="s">
        <v>5396</v>
      </c>
      <c r="C1156" s="89"/>
      <c r="D1156" s="18">
        <v>100492</v>
      </c>
      <c r="E1156" s="2" t="s">
        <v>35</v>
      </c>
      <c r="F1156" s="15">
        <v>19102.8</v>
      </c>
      <c r="G1156" s="41">
        <v>42779</v>
      </c>
      <c r="H1156" s="15">
        <f t="shared" si="35"/>
        <v>19102.8</v>
      </c>
      <c r="I1156" s="15">
        <f t="shared" si="36"/>
        <v>0</v>
      </c>
      <c r="J1156" s="19"/>
    </row>
    <row r="1157" spans="1:10" x14ac:dyDescent="0.25">
      <c r="A1157" s="82">
        <v>42776</v>
      </c>
      <c r="B1157" s="39" t="s">
        <v>5397</v>
      </c>
      <c r="C1157" s="89"/>
      <c r="D1157" s="18">
        <v>100493</v>
      </c>
      <c r="E1157" s="2" t="s">
        <v>14</v>
      </c>
      <c r="F1157" s="15">
        <v>19900.2</v>
      </c>
      <c r="G1157" s="41">
        <v>42776</v>
      </c>
      <c r="H1157" s="15">
        <f t="shared" si="35"/>
        <v>19900.2</v>
      </c>
      <c r="I1157" s="15">
        <f t="shared" si="36"/>
        <v>0</v>
      </c>
      <c r="J1157" s="19"/>
    </row>
    <row r="1158" spans="1:10" x14ac:dyDescent="0.25">
      <c r="A1158" s="82">
        <v>42776</v>
      </c>
      <c r="B1158" s="39" t="s">
        <v>5398</v>
      </c>
      <c r="C1158" s="89"/>
      <c r="D1158" s="18">
        <v>100494</v>
      </c>
      <c r="E1158" s="13" t="s">
        <v>38</v>
      </c>
      <c r="F1158" s="14">
        <v>0</v>
      </c>
      <c r="G1158" s="88" t="s">
        <v>95</v>
      </c>
      <c r="H1158" s="14">
        <f t="shared" si="35"/>
        <v>0</v>
      </c>
      <c r="I1158" s="14">
        <f t="shared" si="36"/>
        <v>0</v>
      </c>
      <c r="J1158" s="19"/>
    </row>
    <row r="1159" spans="1:10" x14ac:dyDescent="0.25">
      <c r="A1159" s="82">
        <v>42776</v>
      </c>
      <c r="B1159" s="39" t="s">
        <v>5399</v>
      </c>
      <c r="C1159" s="89"/>
      <c r="D1159" s="18">
        <v>100495</v>
      </c>
      <c r="E1159" s="2" t="s">
        <v>26</v>
      </c>
      <c r="F1159" s="15">
        <v>9485.5</v>
      </c>
      <c r="G1159" s="41">
        <v>42776</v>
      </c>
      <c r="H1159" s="15">
        <f t="shared" si="35"/>
        <v>9485.5</v>
      </c>
      <c r="I1159" s="15">
        <f t="shared" si="36"/>
        <v>0</v>
      </c>
      <c r="J1159" s="19"/>
    </row>
    <row r="1160" spans="1:10" x14ac:dyDescent="0.25">
      <c r="A1160" s="82">
        <v>42776</v>
      </c>
      <c r="B1160" s="39" t="s">
        <v>5400</v>
      </c>
      <c r="C1160" s="89"/>
      <c r="D1160" s="18">
        <v>100496</v>
      </c>
      <c r="E1160" s="2" t="s">
        <v>28</v>
      </c>
      <c r="F1160" s="15">
        <v>4788</v>
      </c>
      <c r="G1160" s="41">
        <v>42776</v>
      </c>
      <c r="H1160" s="15">
        <f t="shared" si="35"/>
        <v>4788</v>
      </c>
      <c r="I1160" s="15">
        <f t="shared" si="36"/>
        <v>0</v>
      </c>
      <c r="J1160" s="19"/>
    </row>
    <row r="1161" spans="1:10" ht="30" x14ac:dyDescent="0.25">
      <c r="A1161" s="82">
        <v>42776</v>
      </c>
      <c r="B1161" s="39" t="s">
        <v>5401</v>
      </c>
      <c r="C1161" s="89"/>
      <c r="D1161" s="18">
        <v>100497</v>
      </c>
      <c r="E1161" s="2" t="s">
        <v>800</v>
      </c>
      <c r="F1161" s="15">
        <v>11550.1</v>
      </c>
      <c r="G1161" s="87" t="s">
        <v>5402</v>
      </c>
      <c r="H1161" s="20">
        <f>6550+5000.1</f>
        <v>11550.1</v>
      </c>
      <c r="I1161" s="20">
        <f t="shared" si="36"/>
        <v>0</v>
      </c>
      <c r="J1161" s="19"/>
    </row>
    <row r="1162" spans="1:10" x14ac:dyDescent="0.25">
      <c r="A1162" s="82">
        <v>42776</v>
      </c>
      <c r="B1162" s="39" t="s">
        <v>5403</v>
      </c>
      <c r="C1162" s="89"/>
      <c r="D1162" s="18">
        <v>100498</v>
      </c>
      <c r="E1162" s="2" t="s">
        <v>51</v>
      </c>
      <c r="F1162" s="15">
        <v>4724.8999999999996</v>
      </c>
      <c r="G1162" s="41">
        <v>42779</v>
      </c>
      <c r="H1162" s="15">
        <f t="shared" si="35"/>
        <v>4724.8999999999996</v>
      </c>
      <c r="I1162" s="15">
        <f t="shared" si="36"/>
        <v>0</v>
      </c>
      <c r="J1162" s="19"/>
    </row>
    <row r="1163" spans="1:10" x14ac:dyDescent="0.25">
      <c r="A1163" s="82">
        <v>42776</v>
      </c>
      <c r="B1163" s="39" t="s">
        <v>5404</v>
      </c>
      <c r="C1163" s="89"/>
      <c r="D1163" s="18">
        <v>100499</v>
      </c>
      <c r="E1163" s="2" t="s">
        <v>218</v>
      </c>
      <c r="F1163" s="15">
        <v>88455.9</v>
      </c>
      <c r="H1163" s="15">
        <f t="shared" si="35"/>
        <v>88455.9</v>
      </c>
      <c r="I1163" s="15">
        <f t="shared" si="36"/>
        <v>0</v>
      </c>
      <c r="J1163" s="19"/>
    </row>
    <row r="1164" spans="1:10" x14ac:dyDescent="0.25">
      <c r="A1164" s="82">
        <v>42776</v>
      </c>
      <c r="B1164" s="39" t="s">
        <v>5405</v>
      </c>
      <c r="C1164" s="89"/>
      <c r="D1164" s="18">
        <v>100500</v>
      </c>
      <c r="E1164" s="2" t="s">
        <v>1645</v>
      </c>
      <c r="F1164" s="15">
        <v>2796</v>
      </c>
      <c r="G1164" s="41">
        <v>42776</v>
      </c>
      <c r="H1164" s="15">
        <f t="shared" si="35"/>
        <v>2796</v>
      </c>
      <c r="I1164" s="15">
        <f t="shared" si="36"/>
        <v>0</v>
      </c>
      <c r="J1164" s="19"/>
    </row>
    <row r="1165" spans="1:10" x14ac:dyDescent="0.25">
      <c r="A1165" s="82">
        <v>42776</v>
      </c>
      <c r="B1165" s="39" t="s">
        <v>5406</v>
      </c>
      <c r="C1165" s="89"/>
      <c r="D1165" s="18">
        <v>100501</v>
      </c>
      <c r="E1165" s="2" t="s">
        <v>218</v>
      </c>
      <c r="F1165" s="15">
        <v>4245.6000000000004</v>
      </c>
      <c r="H1165" s="15">
        <f t="shared" si="35"/>
        <v>4245.6000000000004</v>
      </c>
      <c r="I1165" s="15">
        <f t="shared" si="36"/>
        <v>0</v>
      </c>
      <c r="J1165" s="19"/>
    </row>
    <row r="1166" spans="1:10" ht="30" x14ac:dyDescent="0.25">
      <c r="A1166" s="82">
        <v>42776</v>
      </c>
      <c r="B1166" s="39" t="s">
        <v>5407</v>
      </c>
      <c r="C1166" s="89"/>
      <c r="D1166" s="18">
        <v>100502</v>
      </c>
      <c r="E1166" s="2" t="s">
        <v>40</v>
      </c>
      <c r="F1166" s="15">
        <v>6817.4</v>
      </c>
      <c r="G1166" s="87" t="s">
        <v>5408</v>
      </c>
      <c r="H1166" s="20">
        <f>2500+2867.4+1450</f>
        <v>6817.4</v>
      </c>
      <c r="I1166" s="20">
        <f t="shared" si="36"/>
        <v>0</v>
      </c>
      <c r="J1166" s="19"/>
    </row>
    <row r="1167" spans="1:10" x14ac:dyDescent="0.25">
      <c r="A1167" s="82">
        <v>42776</v>
      </c>
      <c r="B1167" s="39" t="s">
        <v>5409</v>
      </c>
      <c r="C1167" s="89"/>
      <c r="D1167" s="18">
        <v>100503</v>
      </c>
      <c r="E1167" s="2" t="s">
        <v>428</v>
      </c>
      <c r="F1167" s="15">
        <v>3412.6</v>
      </c>
      <c r="G1167" s="41">
        <v>42777</v>
      </c>
      <c r="H1167" s="15">
        <f t="shared" si="35"/>
        <v>3412.6</v>
      </c>
      <c r="I1167" s="15">
        <f t="shared" si="36"/>
        <v>0</v>
      </c>
      <c r="J1167" s="19"/>
    </row>
    <row r="1168" spans="1:10" ht="30" x14ac:dyDescent="0.25">
      <c r="A1168" s="82">
        <v>42776</v>
      </c>
      <c r="B1168" s="39" t="s">
        <v>5410</v>
      </c>
      <c r="C1168" s="89"/>
      <c r="D1168" s="18">
        <v>100504</v>
      </c>
      <c r="E1168" s="2" t="s">
        <v>5411</v>
      </c>
      <c r="F1168" s="15">
        <v>46161</v>
      </c>
      <c r="G1168" s="41" t="s">
        <v>5412</v>
      </c>
      <c r="H1168" s="15">
        <f>1286.8+44874.2</f>
        <v>46161</v>
      </c>
      <c r="I1168" s="15">
        <f t="shared" si="36"/>
        <v>0</v>
      </c>
      <c r="J1168" s="19"/>
    </row>
    <row r="1169" spans="1:10" x14ac:dyDescent="0.25">
      <c r="A1169" s="82">
        <v>42776</v>
      </c>
      <c r="B1169" s="39" t="s">
        <v>5413</v>
      </c>
      <c r="C1169" s="89"/>
      <c r="D1169" s="18">
        <v>100505</v>
      </c>
      <c r="E1169" s="2" t="s">
        <v>428</v>
      </c>
      <c r="F1169" s="15">
        <v>420</v>
      </c>
      <c r="G1169" s="41">
        <v>42777</v>
      </c>
      <c r="H1169" s="15">
        <f t="shared" si="35"/>
        <v>420</v>
      </c>
      <c r="I1169" s="15">
        <f t="shared" si="36"/>
        <v>0</v>
      </c>
      <c r="J1169" s="19"/>
    </row>
    <row r="1170" spans="1:10" x14ac:dyDescent="0.25">
      <c r="A1170" s="82">
        <v>42776</v>
      </c>
      <c r="B1170" s="39" t="s">
        <v>5414</v>
      </c>
      <c r="C1170" s="89"/>
      <c r="D1170" s="18">
        <v>100506</v>
      </c>
      <c r="E1170" s="2" t="s">
        <v>30</v>
      </c>
      <c r="F1170" s="15">
        <v>2475.3000000000002</v>
      </c>
      <c r="G1170" s="41">
        <v>42776</v>
      </c>
      <c r="H1170" s="15">
        <f t="shared" si="35"/>
        <v>2475.3000000000002</v>
      </c>
      <c r="I1170" s="15">
        <f t="shared" si="36"/>
        <v>0</v>
      </c>
      <c r="J1170" s="19"/>
    </row>
    <row r="1171" spans="1:10" x14ac:dyDescent="0.25">
      <c r="A1171" s="82">
        <v>42776</v>
      </c>
      <c r="B1171" s="39" t="s">
        <v>5415</v>
      </c>
      <c r="C1171" s="89"/>
      <c r="D1171" s="18">
        <v>100507</v>
      </c>
      <c r="E1171" s="2" t="s">
        <v>61</v>
      </c>
      <c r="F1171" s="15">
        <v>10570.8</v>
      </c>
      <c r="G1171" s="41">
        <v>42776</v>
      </c>
      <c r="H1171" s="15">
        <f t="shared" si="35"/>
        <v>10570.8</v>
      </c>
      <c r="I1171" s="15">
        <f t="shared" si="36"/>
        <v>0</v>
      </c>
      <c r="J1171" s="19"/>
    </row>
    <row r="1172" spans="1:10" x14ac:dyDescent="0.25">
      <c r="A1172" s="82">
        <v>42776</v>
      </c>
      <c r="B1172" s="39" t="s">
        <v>5416</v>
      </c>
      <c r="C1172" s="89"/>
      <c r="D1172" s="18">
        <v>100508</v>
      </c>
      <c r="E1172" s="2" t="s">
        <v>250</v>
      </c>
      <c r="F1172" s="15">
        <v>9933.9</v>
      </c>
      <c r="G1172" s="41">
        <v>42777</v>
      </c>
      <c r="H1172" s="15">
        <f t="shared" si="35"/>
        <v>9933.9</v>
      </c>
      <c r="I1172" s="15">
        <f t="shared" si="36"/>
        <v>0</v>
      </c>
      <c r="J1172" s="19"/>
    </row>
    <row r="1173" spans="1:10" x14ac:dyDescent="0.25">
      <c r="A1173" s="82">
        <v>42776</v>
      </c>
      <c r="B1173" s="39" t="s">
        <v>5417</v>
      </c>
      <c r="C1173" s="89"/>
      <c r="D1173" s="18">
        <v>100509</v>
      </c>
      <c r="E1173" s="2" t="s">
        <v>43</v>
      </c>
      <c r="F1173" s="15">
        <v>6936</v>
      </c>
      <c r="G1173" s="41">
        <v>42779</v>
      </c>
      <c r="H1173" s="15">
        <f t="shared" si="35"/>
        <v>6936</v>
      </c>
      <c r="I1173" s="15">
        <f t="shared" si="36"/>
        <v>0</v>
      </c>
      <c r="J1173" s="19"/>
    </row>
    <row r="1174" spans="1:10" x14ac:dyDescent="0.25">
      <c r="A1174" s="82">
        <v>42776</v>
      </c>
      <c r="B1174" s="39" t="s">
        <v>5418</v>
      </c>
      <c r="C1174" s="89"/>
      <c r="D1174" s="18">
        <v>100510</v>
      </c>
      <c r="E1174" s="2" t="s">
        <v>67</v>
      </c>
      <c r="F1174" s="15">
        <v>15853.4</v>
      </c>
      <c r="H1174" s="15">
        <f t="shared" si="35"/>
        <v>15853.4</v>
      </c>
      <c r="I1174" s="15">
        <f t="shared" si="36"/>
        <v>0</v>
      </c>
      <c r="J1174" s="19"/>
    </row>
    <row r="1175" spans="1:10" x14ac:dyDescent="0.25">
      <c r="A1175" s="82">
        <v>42776</v>
      </c>
      <c r="B1175" s="39" t="s">
        <v>5419</v>
      </c>
      <c r="C1175" s="89"/>
      <c r="D1175" s="18">
        <v>100511</v>
      </c>
      <c r="E1175" s="2" t="s">
        <v>12</v>
      </c>
      <c r="F1175" s="15">
        <v>1876.8</v>
      </c>
      <c r="G1175" s="41">
        <v>42776</v>
      </c>
      <c r="H1175" s="15">
        <f t="shared" si="35"/>
        <v>1876.8</v>
      </c>
      <c r="I1175" s="15">
        <f t="shared" si="36"/>
        <v>0</v>
      </c>
      <c r="J1175" s="19"/>
    </row>
    <row r="1176" spans="1:10" x14ac:dyDescent="0.25">
      <c r="A1176" s="82">
        <v>42776</v>
      </c>
      <c r="B1176" s="39" t="s">
        <v>5420</v>
      </c>
      <c r="C1176" s="89"/>
      <c r="D1176" s="18">
        <v>100512</v>
      </c>
      <c r="E1176" s="2" t="s">
        <v>30</v>
      </c>
      <c r="F1176" s="15">
        <v>1959.9</v>
      </c>
      <c r="G1176" s="41">
        <v>42776</v>
      </c>
      <c r="H1176" s="15">
        <f t="shared" si="35"/>
        <v>1959.9</v>
      </c>
      <c r="I1176" s="15">
        <f t="shared" si="36"/>
        <v>0</v>
      </c>
      <c r="J1176" s="19"/>
    </row>
    <row r="1177" spans="1:10" x14ac:dyDescent="0.25">
      <c r="A1177" s="82">
        <v>42776</v>
      </c>
      <c r="B1177" s="39" t="s">
        <v>5421</v>
      </c>
      <c r="C1177" s="89"/>
      <c r="D1177" s="18">
        <v>100513</v>
      </c>
      <c r="E1177" s="2" t="s">
        <v>49</v>
      </c>
      <c r="F1177" s="15">
        <v>10315.6</v>
      </c>
      <c r="G1177" s="41">
        <v>42780</v>
      </c>
      <c r="H1177" s="15">
        <f t="shared" si="35"/>
        <v>10315.6</v>
      </c>
      <c r="I1177" s="15">
        <f t="shared" si="36"/>
        <v>0</v>
      </c>
      <c r="J1177" s="19"/>
    </row>
    <row r="1178" spans="1:10" x14ac:dyDescent="0.25">
      <c r="A1178" s="82">
        <v>42776</v>
      </c>
      <c r="B1178" s="39" t="s">
        <v>5422</v>
      </c>
      <c r="C1178" s="89"/>
      <c r="D1178" s="18">
        <v>100514</v>
      </c>
      <c r="E1178" s="2" t="s">
        <v>302</v>
      </c>
      <c r="F1178" s="15">
        <v>8896.2000000000007</v>
      </c>
      <c r="G1178" s="41">
        <v>42776</v>
      </c>
      <c r="H1178" s="15">
        <f t="shared" si="35"/>
        <v>8896.2000000000007</v>
      </c>
      <c r="I1178" s="15">
        <f t="shared" si="36"/>
        <v>0</v>
      </c>
      <c r="J1178" s="19"/>
    </row>
    <row r="1179" spans="1:10" x14ac:dyDescent="0.25">
      <c r="A1179" s="82">
        <v>42776</v>
      </c>
      <c r="B1179" s="39" t="s">
        <v>5423</v>
      </c>
      <c r="C1179" s="89"/>
      <c r="D1179" s="18">
        <v>100515</v>
      </c>
      <c r="E1179" s="2" t="s">
        <v>161</v>
      </c>
      <c r="F1179" s="15">
        <v>52727.4</v>
      </c>
      <c r="G1179" s="41">
        <v>42846</v>
      </c>
      <c r="H1179" s="15">
        <f t="shared" si="35"/>
        <v>52727.4</v>
      </c>
      <c r="I1179" s="15">
        <f t="shared" si="36"/>
        <v>0</v>
      </c>
      <c r="J1179" s="19"/>
    </row>
    <row r="1180" spans="1:10" x14ac:dyDescent="0.25">
      <c r="A1180" s="82">
        <v>42776</v>
      </c>
      <c r="B1180" s="39" t="s">
        <v>5424</v>
      </c>
      <c r="C1180" s="89"/>
      <c r="D1180" s="18">
        <v>100516</v>
      </c>
      <c r="E1180" s="2" t="s">
        <v>165</v>
      </c>
      <c r="F1180" s="15">
        <v>12983.4</v>
      </c>
      <c r="G1180" s="41">
        <v>42804</v>
      </c>
      <c r="H1180" s="15">
        <f t="shared" si="35"/>
        <v>12983.4</v>
      </c>
      <c r="I1180" s="15">
        <f t="shared" si="36"/>
        <v>0</v>
      </c>
      <c r="J1180" s="19"/>
    </row>
    <row r="1181" spans="1:10" x14ac:dyDescent="0.25">
      <c r="A1181" s="82">
        <v>42776</v>
      </c>
      <c r="B1181" s="39" t="s">
        <v>5425</v>
      </c>
      <c r="C1181" s="89"/>
      <c r="D1181" s="18">
        <v>100517</v>
      </c>
      <c r="E1181" s="2" t="s">
        <v>47</v>
      </c>
      <c r="F1181" s="15">
        <v>2939</v>
      </c>
      <c r="G1181" s="41">
        <v>42776</v>
      </c>
      <c r="H1181" s="15">
        <f t="shared" si="35"/>
        <v>2939</v>
      </c>
      <c r="I1181" s="15">
        <f t="shared" si="36"/>
        <v>0</v>
      </c>
      <c r="J1181" s="19"/>
    </row>
    <row r="1182" spans="1:10" x14ac:dyDescent="0.25">
      <c r="A1182" s="82">
        <v>42776</v>
      </c>
      <c r="B1182" s="39" t="s">
        <v>5426</v>
      </c>
      <c r="C1182" s="89"/>
      <c r="D1182" s="18">
        <v>100518</v>
      </c>
      <c r="E1182" s="2" t="s">
        <v>163</v>
      </c>
      <c r="F1182" s="15">
        <v>19986.7</v>
      </c>
      <c r="H1182" s="15">
        <f t="shared" si="35"/>
        <v>19986.7</v>
      </c>
      <c r="I1182" s="15">
        <f t="shared" si="36"/>
        <v>0</v>
      </c>
      <c r="J1182" s="19"/>
    </row>
    <row r="1183" spans="1:10" x14ac:dyDescent="0.25">
      <c r="A1183" s="82">
        <v>42776</v>
      </c>
      <c r="B1183" s="39" t="s">
        <v>5427</v>
      </c>
      <c r="C1183" s="89"/>
      <c r="D1183" s="18">
        <v>100519</v>
      </c>
      <c r="E1183" s="2" t="s">
        <v>111</v>
      </c>
      <c r="F1183" s="15">
        <v>3856</v>
      </c>
      <c r="G1183" s="41">
        <v>42776</v>
      </c>
      <c r="H1183" s="15">
        <f t="shared" si="35"/>
        <v>3856</v>
      </c>
      <c r="I1183" s="15">
        <f t="shared" si="36"/>
        <v>0</v>
      </c>
      <c r="J1183" s="19"/>
    </row>
    <row r="1184" spans="1:10" x14ac:dyDescent="0.25">
      <c r="A1184" s="82">
        <v>42776</v>
      </c>
      <c r="B1184" s="39" t="s">
        <v>5428</v>
      </c>
      <c r="C1184" s="89"/>
      <c r="D1184" s="18">
        <v>100520</v>
      </c>
      <c r="E1184" s="2" t="s">
        <v>876</v>
      </c>
      <c r="F1184" s="15">
        <v>13220.1</v>
      </c>
      <c r="G1184" s="41">
        <v>42781</v>
      </c>
      <c r="H1184" s="15">
        <f t="shared" si="35"/>
        <v>13220.1</v>
      </c>
      <c r="I1184" s="15">
        <f t="shared" si="36"/>
        <v>0</v>
      </c>
      <c r="J1184" s="19"/>
    </row>
    <row r="1185" spans="1:10" x14ac:dyDescent="0.25">
      <c r="A1185" s="82">
        <v>42776</v>
      </c>
      <c r="B1185" s="39" t="s">
        <v>5429</v>
      </c>
      <c r="C1185" s="89"/>
      <c r="D1185" s="18">
        <v>100521</v>
      </c>
      <c r="E1185" s="2" t="s">
        <v>236</v>
      </c>
      <c r="F1185" s="15">
        <v>112073.3</v>
      </c>
      <c r="G1185" s="41">
        <v>42780</v>
      </c>
      <c r="H1185" s="15">
        <f t="shared" si="35"/>
        <v>112073.3</v>
      </c>
      <c r="I1185" s="15">
        <f t="shared" si="36"/>
        <v>0</v>
      </c>
      <c r="J1185" s="19"/>
    </row>
    <row r="1186" spans="1:10" x14ac:dyDescent="0.25">
      <c r="A1186" s="82">
        <v>42776</v>
      </c>
      <c r="B1186" s="39" t="s">
        <v>5430</v>
      </c>
      <c r="C1186" s="89"/>
      <c r="D1186" s="18">
        <v>100522</v>
      </c>
      <c r="E1186" s="2" t="s">
        <v>10</v>
      </c>
      <c r="F1186" s="15">
        <v>6985</v>
      </c>
      <c r="G1186" s="41">
        <v>42781</v>
      </c>
      <c r="H1186" s="15">
        <f t="shared" si="35"/>
        <v>6985</v>
      </c>
      <c r="I1186" s="15">
        <f t="shared" si="36"/>
        <v>0</v>
      </c>
      <c r="J1186" s="19"/>
    </row>
    <row r="1187" spans="1:10" ht="30" x14ac:dyDescent="0.25">
      <c r="A1187" s="82">
        <v>42776</v>
      </c>
      <c r="B1187" s="39" t="s">
        <v>5431</v>
      </c>
      <c r="C1187" s="89"/>
      <c r="D1187" s="18">
        <v>100523</v>
      </c>
      <c r="E1187" s="2" t="s">
        <v>236</v>
      </c>
      <c r="F1187" s="15">
        <v>33719.760000000002</v>
      </c>
      <c r="G1187" s="87" t="s">
        <v>5052</v>
      </c>
      <c r="H1187" s="20">
        <f>28628.54+5091.22</f>
        <v>33719.760000000002</v>
      </c>
      <c r="I1187" s="20">
        <f t="shared" si="36"/>
        <v>0</v>
      </c>
      <c r="J1187" s="19"/>
    </row>
    <row r="1188" spans="1:10" x14ac:dyDescent="0.25">
      <c r="A1188" s="82">
        <v>42776</v>
      </c>
      <c r="B1188" s="39" t="s">
        <v>5432</v>
      </c>
      <c r="C1188" s="89"/>
      <c r="D1188" s="18">
        <v>100524</v>
      </c>
      <c r="E1188" s="2" t="s">
        <v>133</v>
      </c>
      <c r="F1188" s="15">
        <v>8239.2999999999993</v>
      </c>
      <c r="G1188" s="41">
        <v>42779</v>
      </c>
      <c r="H1188" s="15">
        <f t="shared" si="35"/>
        <v>8239.2999999999993</v>
      </c>
      <c r="I1188" s="15">
        <f t="shared" si="36"/>
        <v>0</v>
      </c>
      <c r="J1188" s="19"/>
    </row>
    <row r="1189" spans="1:10" x14ac:dyDescent="0.25">
      <c r="A1189" s="82">
        <v>42776</v>
      </c>
      <c r="B1189" s="39" t="s">
        <v>5433</v>
      </c>
      <c r="C1189" s="89"/>
      <c r="D1189" s="18">
        <v>100525</v>
      </c>
      <c r="E1189" s="2" t="s">
        <v>1090</v>
      </c>
      <c r="F1189" s="15">
        <v>7673.28</v>
      </c>
      <c r="G1189" s="41">
        <v>42776</v>
      </c>
      <c r="H1189" s="15">
        <f t="shared" si="35"/>
        <v>7673.28</v>
      </c>
      <c r="I1189" s="15">
        <f t="shared" si="36"/>
        <v>0</v>
      </c>
      <c r="J1189" s="19"/>
    </row>
    <row r="1190" spans="1:10" x14ac:dyDescent="0.25">
      <c r="A1190" s="82">
        <v>42776</v>
      </c>
      <c r="B1190" s="39" t="s">
        <v>5434</v>
      </c>
      <c r="C1190" s="89"/>
      <c r="D1190" s="18">
        <v>100526</v>
      </c>
      <c r="E1190" s="2" t="s">
        <v>208</v>
      </c>
      <c r="F1190" s="15">
        <v>12171.48</v>
      </c>
      <c r="G1190" s="41">
        <v>42776</v>
      </c>
      <c r="H1190" s="15">
        <f t="shared" si="35"/>
        <v>12171.48</v>
      </c>
      <c r="I1190" s="15">
        <f t="shared" si="36"/>
        <v>0</v>
      </c>
      <c r="J1190" s="19"/>
    </row>
    <row r="1191" spans="1:10" x14ac:dyDescent="0.25">
      <c r="A1191" s="82">
        <v>42776</v>
      </c>
      <c r="B1191" s="39" t="s">
        <v>5435</v>
      </c>
      <c r="C1191" s="89"/>
      <c r="D1191" s="18">
        <v>100527</v>
      </c>
      <c r="E1191" s="2" t="s">
        <v>3425</v>
      </c>
      <c r="F1191" s="15">
        <v>2211.6999999999998</v>
      </c>
      <c r="G1191" s="41">
        <v>42776</v>
      </c>
      <c r="H1191" s="15">
        <f t="shared" si="35"/>
        <v>2211.6999999999998</v>
      </c>
      <c r="I1191" s="15">
        <f t="shared" si="36"/>
        <v>0</v>
      </c>
      <c r="J1191" s="19"/>
    </row>
    <row r="1192" spans="1:10" x14ac:dyDescent="0.25">
      <c r="A1192" s="82">
        <v>42776</v>
      </c>
      <c r="B1192" s="39" t="s">
        <v>5436</v>
      </c>
      <c r="C1192" s="89"/>
      <c r="D1192" s="18">
        <v>100528</v>
      </c>
      <c r="E1192" s="2" t="s">
        <v>1141</v>
      </c>
      <c r="F1192" s="15">
        <v>9770.6</v>
      </c>
      <c r="G1192" s="41">
        <v>42793</v>
      </c>
      <c r="H1192" s="15">
        <f t="shared" si="35"/>
        <v>9770.6</v>
      </c>
      <c r="I1192" s="15">
        <f t="shared" si="36"/>
        <v>0</v>
      </c>
      <c r="J1192" s="19"/>
    </row>
    <row r="1193" spans="1:10" x14ac:dyDescent="0.25">
      <c r="A1193" s="82">
        <v>42776</v>
      </c>
      <c r="B1193" s="39" t="s">
        <v>5437</v>
      </c>
      <c r="C1193" s="89"/>
      <c r="D1193" s="18">
        <v>100529</v>
      </c>
      <c r="E1193" s="2" t="s">
        <v>1116</v>
      </c>
      <c r="F1193" s="15">
        <v>4536</v>
      </c>
      <c r="G1193" s="87">
        <v>42777</v>
      </c>
      <c r="H1193" s="20">
        <f>3400+1136</f>
        <v>4536</v>
      </c>
      <c r="I1193" s="20">
        <f t="shared" si="36"/>
        <v>0</v>
      </c>
      <c r="J1193" s="19"/>
    </row>
    <row r="1194" spans="1:10" x14ac:dyDescent="0.25">
      <c r="A1194" s="82">
        <v>42776</v>
      </c>
      <c r="B1194" s="39" t="s">
        <v>5438</v>
      </c>
      <c r="C1194" s="89"/>
      <c r="D1194" s="18">
        <v>100530</v>
      </c>
      <c r="E1194" s="2" t="s">
        <v>432</v>
      </c>
      <c r="F1194" s="15">
        <v>16143.1</v>
      </c>
      <c r="G1194" s="41">
        <v>42781</v>
      </c>
      <c r="H1194" s="15">
        <f t="shared" si="35"/>
        <v>16143.1</v>
      </c>
      <c r="I1194" s="15">
        <f t="shared" si="36"/>
        <v>0</v>
      </c>
      <c r="J1194" s="19"/>
    </row>
    <row r="1195" spans="1:10" x14ac:dyDescent="0.25">
      <c r="A1195" s="82">
        <v>42776</v>
      </c>
      <c r="B1195" s="39" t="s">
        <v>5439</v>
      </c>
      <c r="C1195" s="89"/>
      <c r="D1195" s="18">
        <v>100531</v>
      </c>
      <c r="E1195" s="2" t="s">
        <v>435</v>
      </c>
      <c r="F1195" s="15">
        <v>3344.8</v>
      </c>
      <c r="G1195" s="41">
        <v>42781</v>
      </c>
      <c r="H1195" s="15">
        <f t="shared" si="35"/>
        <v>3344.8</v>
      </c>
      <c r="I1195" s="15">
        <f t="shared" si="36"/>
        <v>0</v>
      </c>
      <c r="J1195" s="19"/>
    </row>
    <row r="1196" spans="1:10" x14ac:dyDescent="0.25">
      <c r="A1196" s="82">
        <v>42776</v>
      </c>
      <c r="B1196" s="39" t="s">
        <v>5440</v>
      </c>
      <c r="C1196" s="89"/>
      <c r="D1196" s="18">
        <v>100532</v>
      </c>
      <c r="E1196" s="2" t="s">
        <v>270</v>
      </c>
      <c r="F1196" s="15">
        <v>2911.9</v>
      </c>
      <c r="G1196" s="41">
        <v>42781</v>
      </c>
      <c r="H1196" s="15">
        <f t="shared" si="35"/>
        <v>2911.9</v>
      </c>
      <c r="I1196" s="15">
        <f t="shared" si="36"/>
        <v>0</v>
      </c>
      <c r="J1196" s="19"/>
    </row>
    <row r="1197" spans="1:10" x14ac:dyDescent="0.25">
      <c r="A1197" s="82">
        <v>42776</v>
      </c>
      <c r="B1197" s="39" t="s">
        <v>5441</v>
      </c>
      <c r="C1197" s="89"/>
      <c r="D1197" s="18">
        <v>100533</v>
      </c>
      <c r="E1197" s="2" t="s">
        <v>79</v>
      </c>
      <c r="F1197" s="15">
        <v>4005.4</v>
      </c>
      <c r="G1197" s="41">
        <v>42776</v>
      </c>
      <c r="H1197" s="15">
        <f t="shared" si="35"/>
        <v>4005.4</v>
      </c>
      <c r="I1197" s="15">
        <f t="shared" si="36"/>
        <v>0</v>
      </c>
      <c r="J1197" s="19"/>
    </row>
    <row r="1198" spans="1:10" x14ac:dyDescent="0.25">
      <c r="A1198" s="82">
        <v>42776</v>
      </c>
      <c r="B1198" s="39" t="s">
        <v>5442</v>
      </c>
      <c r="C1198" s="89"/>
      <c r="D1198" s="18">
        <v>100534</v>
      </c>
      <c r="E1198" s="2" t="s">
        <v>442</v>
      </c>
      <c r="F1198" s="15">
        <v>11189.2</v>
      </c>
      <c r="G1198" s="41">
        <v>42781</v>
      </c>
      <c r="H1198" s="15">
        <f t="shared" si="35"/>
        <v>11189.2</v>
      </c>
      <c r="I1198" s="15">
        <f t="shared" si="36"/>
        <v>0</v>
      </c>
      <c r="J1198" s="19"/>
    </row>
    <row r="1199" spans="1:10" x14ac:dyDescent="0.25">
      <c r="A1199" s="82">
        <v>42776</v>
      </c>
      <c r="B1199" s="39" t="s">
        <v>5443</v>
      </c>
      <c r="C1199" s="89"/>
      <c r="D1199" s="18">
        <v>100535</v>
      </c>
      <c r="E1199" s="2" t="s">
        <v>268</v>
      </c>
      <c r="F1199" s="15">
        <v>20283.7</v>
      </c>
      <c r="G1199" s="41">
        <v>42781</v>
      </c>
      <c r="H1199" s="15">
        <f t="shared" si="35"/>
        <v>20283.7</v>
      </c>
      <c r="I1199" s="15">
        <f t="shared" si="36"/>
        <v>0</v>
      </c>
      <c r="J1199" s="19"/>
    </row>
    <row r="1200" spans="1:10" x14ac:dyDescent="0.25">
      <c r="A1200" s="82">
        <v>42776</v>
      </c>
      <c r="B1200" s="39" t="s">
        <v>5444</v>
      </c>
      <c r="C1200" s="89"/>
      <c r="D1200" s="18">
        <v>100536</v>
      </c>
      <c r="E1200" s="2" t="s">
        <v>149</v>
      </c>
      <c r="F1200" s="15">
        <v>10417.6</v>
      </c>
      <c r="G1200" s="41">
        <v>42776</v>
      </c>
      <c r="H1200" s="15">
        <f t="shared" si="35"/>
        <v>10417.6</v>
      </c>
      <c r="I1200" s="15">
        <f t="shared" si="36"/>
        <v>0</v>
      </c>
      <c r="J1200" s="19"/>
    </row>
    <row r="1201" spans="1:10" x14ac:dyDescent="0.25">
      <c r="A1201" s="82">
        <v>42776</v>
      </c>
      <c r="B1201" s="39" t="s">
        <v>5445</v>
      </c>
      <c r="C1201" s="89"/>
      <c r="D1201" s="18">
        <v>100537</v>
      </c>
      <c r="E1201" s="2" t="s">
        <v>590</v>
      </c>
      <c r="F1201" s="15">
        <v>2915.6</v>
      </c>
      <c r="G1201" s="41">
        <v>42781</v>
      </c>
      <c r="H1201" s="15">
        <f t="shared" si="35"/>
        <v>2915.6</v>
      </c>
      <c r="I1201" s="15">
        <f t="shared" si="36"/>
        <v>0</v>
      </c>
      <c r="J1201" s="19"/>
    </row>
    <row r="1202" spans="1:10" x14ac:dyDescent="0.25">
      <c r="A1202" s="82">
        <v>42776</v>
      </c>
      <c r="B1202" s="39" t="s">
        <v>5446</v>
      </c>
      <c r="C1202" s="89"/>
      <c r="D1202" s="18">
        <v>100538</v>
      </c>
      <c r="E1202" s="2" t="s">
        <v>272</v>
      </c>
      <c r="F1202" s="15">
        <v>4817.7</v>
      </c>
      <c r="G1202" s="41">
        <v>42781</v>
      </c>
      <c r="H1202" s="15">
        <f t="shared" si="35"/>
        <v>4817.7</v>
      </c>
      <c r="I1202" s="15">
        <f t="shared" si="36"/>
        <v>0</v>
      </c>
      <c r="J1202" s="19"/>
    </row>
    <row r="1203" spans="1:10" x14ac:dyDescent="0.25">
      <c r="A1203" s="82">
        <v>42776</v>
      </c>
      <c r="B1203" s="39" t="s">
        <v>5447</v>
      </c>
      <c r="C1203" s="89"/>
      <c r="D1203" s="18">
        <v>100539</v>
      </c>
      <c r="E1203" s="2" t="s">
        <v>131</v>
      </c>
      <c r="F1203" s="15">
        <v>3880</v>
      </c>
      <c r="G1203" s="41">
        <v>42776</v>
      </c>
      <c r="H1203" s="15">
        <f t="shared" si="35"/>
        <v>3880</v>
      </c>
      <c r="I1203" s="15">
        <f t="shared" si="36"/>
        <v>0</v>
      </c>
      <c r="J1203" s="19"/>
    </row>
    <row r="1204" spans="1:10" x14ac:dyDescent="0.25">
      <c r="A1204" s="82">
        <v>42776</v>
      </c>
      <c r="B1204" s="39" t="s">
        <v>5448</v>
      </c>
      <c r="C1204" s="89"/>
      <c r="D1204" s="18">
        <v>100540</v>
      </c>
      <c r="E1204" s="2" t="s">
        <v>125</v>
      </c>
      <c r="F1204" s="15">
        <v>7651.6</v>
      </c>
      <c r="G1204" s="41">
        <v>42776</v>
      </c>
      <c r="H1204" s="15">
        <f t="shared" si="35"/>
        <v>7651.6</v>
      </c>
      <c r="I1204" s="15">
        <f t="shared" si="36"/>
        <v>0</v>
      </c>
      <c r="J1204" s="19"/>
    </row>
    <row r="1205" spans="1:10" x14ac:dyDescent="0.25">
      <c r="A1205" s="82">
        <v>42776</v>
      </c>
      <c r="B1205" s="39" t="s">
        <v>5449</v>
      </c>
      <c r="C1205" s="89"/>
      <c r="D1205" s="18">
        <v>100541</v>
      </c>
      <c r="E1205" s="2" t="s">
        <v>120</v>
      </c>
      <c r="F1205" s="15">
        <v>544.79999999999995</v>
      </c>
      <c r="G1205" s="41">
        <v>42776</v>
      </c>
      <c r="H1205" s="15">
        <f t="shared" ref="H1205:H1268" si="37">F1205</f>
        <v>544.79999999999995</v>
      </c>
      <c r="I1205" s="15">
        <f t="shared" si="36"/>
        <v>0</v>
      </c>
      <c r="J1205" s="19"/>
    </row>
    <row r="1206" spans="1:10" x14ac:dyDescent="0.25">
      <c r="A1206" s="82">
        <v>42776</v>
      </c>
      <c r="B1206" s="39" t="s">
        <v>5450</v>
      </c>
      <c r="C1206" s="89"/>
      <c r="D1206" s="18">
        <v>100542</v>
      </c>
      <c r="E1206" s="2" t="s">
        <v>862</v>
      </c>
      <c r="F1206" s="15">
        <v>13475.1</v>
      </c>
      <c r="G1206" s="41">
        <v>42776</v>
      </c>
      <c r="H1206" s="15">
        <f t="shared" si="37"/>
        <v>13475.1</v>
      </c>
      <c r="I1206" s="15">
        <f t="shared" si="36"/>
        <v>0</v>
      </c>
      <c r="J1206" s="19"/>
    </row>
    <row r="1207" spans="1:10" x14ac:dyDescent="0.25">
      <c r="A1207" s="82">
        <v>42776</v>
      </c>
      <c r="B1207" s="39" t="s">
        <v>5451</v>
      </c>
      <c r="C1207" s="89"/>
      <c r="D1207" s="18">
        <v>100543</v>
      </c>
      <c r="E1207" s="2" t="s">
        <v>30</v>
      </c>
      <c r="F1207" s="15">
        <v>11307.2</v>
      </c>
      <c r="G1207" s="41">
        <v>42776</v>
      </c>
      <c r="H1207" s="15">
        <f t="shared" si="37"/>
        <v>11307.2</v>
      </c>
      <c r="I1207" s="15">
        <f t="shared" si="36"/>
        <v>0</v>
      </c>
      <c r="J1207" s="19"/>
    </row>
    <row r="1208" spans="1:10" x14ac:dyDescent="0.25">
      <c r="A1208" s="82">
        <v>42776</v>
      </c>
      <c r="B1208" s="39" t="s">
        <v>5452</v>
      </c>
      <c r="C1208" s="89"/>
      <c r="D1208" s="18">
        <v>100544</v>
      </c>
      <c r="E1208" s="2" t="s">
        <v>862</v>
      </c>
      <c r="F1208" s="15">
        <v>943.8</v>
      </c>
      <c r="G1208" s="41">
        <v>42776</v>
      </c>
      <c r="H1208" s="15">
        <f t="shared" si="37"/>
        <v>943.8</v>
      </c>
      <c r="I1208" s="15">
        <f t="shared" si="36"/>
        <v>0</v>
      </c>
      <c r="J1208" s="19"/>
    </row>
    <row r="1209" spans="1:10" x14ac:dyDescent="0.25">
      <c r="A1209" s="82">
        <v>42776</v>
      </c>
      <c r="B1209" s="39" t="s">
        <v>5453</v>
      </c>
      <c r="C1209" s="89"/>
      <c r="D1209" s="18">
        <v>100545</v>
      </c>
      <c r="E1209" s="2" t="s">
        <v>309</v>
      </c>
      <c r="F1209" s="15">
        <v>4335.2</v>
      </c>
      <c r="G1209" s="41">
        <v>42776</v>
      </c>
      <c r="H1209" s="15">
        <f t="shared" si="37"/>
        <v>4335.2</v>
      </c>
      <c r="I1209" s="15">
        <f t="shared" ref="I1209:I1272" si="38">F1209-H1209</f>
        <v>0</v>
      </c>
      <c r="J1209" s="19"/>
    </row>
    <row r="1210" spans="1:10" x14ac:dyDescent="0.25">
      <c r="A1210" s="82">
        <v>42776</v>
      </c>
      <c r="B1210" s="39" t="s">
        <v>5454</v>
      </c>
      <c r="C1210" s="89"/>
      <c r="D1210" s="18">
        <v>100546</v>
      </c>
      <c r="E1210" s="2" t="s">
        <v>1666</v>
      </c>
      <c r="F1210" s="15">
        <v>4195.8</v>
      </c>
      <c r="G1210" s="41">
        <v>42781</v>
      </c>
      <c r="H1210" s="15">
        <f t="shared" si="37"/>
        <v>4195.8</v>
      </c>
      <c r="I1210" s="15">
        <f t="shared" si="38"/>
        <v>0</v>
      </c>
      <c r="J1210" s="19"/>
    </row>
    <row r="1211" spans="1:10" x14ac:dyDescent="0.25">
      <c r="A1211" s="82">
        <v>42776</v>
      </c>
      <c r="B1211" s="39" t="s">
        <v>5455</v>
      </c>
      <c r="C1211" s="89"/>
      <c r="D1211" s="18">
        <v>100547</v>
      </c>
      <c r="E1211" s="2" t="s">
        <v>10</v>
      </c>
      <c r="F1211" s="15">
        <v>5311.8</v>
      </c>
      <c r="G1211" s="41">
        <v>42781</v>
      </c>
      <c r="H1211" s="15">
        <f t="shared" si="37"/>
        <v>5311.8</v>
      </c>
      <c r="I1211" s="15">
        <f t="shared" si="38"/>
        <v>0</v>
      </c>
      <c r="J1211" s="19"/>
    </row>
    <row r="1212" spans="1:10" x14ac:dyDescent="0.25">
      <c r="A1212" s="82">
        <v>42776</v>
      </c>
      <c r="B1212" s="39" t="s">
        <v>5456</v>
      </c>
      <c r="C1212" s="89"/>
      <c r="D1212" s="18">
        <v>100548</v>
      </c>
      <c r="E1212" s="2" t="s">
        <v>492</v>
      </c>
      <c r="F1212" s="15">
        <v>23065.200000000001</v>
      </c>
      <c r="G1212" s="41">
        <v>42778</v>
      </c>
      <c r="H1212" s="15">
        <f t="shared" si="37"/>
        <v>23065.200000000001</v>
      </c>
      <c r="I1212" s="15">
        <f t="shared" si="38"/>
        <v>0</v>
      </c>
      <c r="J1212" s="19"/>
    </row>
    <row r="1213" spans="1:10" x14ac:dyDescent="0.25">
      <c r="A1213" s="82">
        <v>42776</v>
      </c>
      <c r="B1213" s="39" t="s">
        <v>5457</v>
      </c>
      <c r="C1213" s="89"/>
      <c r="D1213" s="18">
        <v>100549</v>
      </c>
      <c r="E1213" s="2" t="s">
        <v>590</v>
      </c>
      <c r="F1213" s="15">
        <v>22830.9</v>
      </c>
      <c r="G1213" s="41">
        <v>42781</v>
      </c>
      <c r="H1213" s="15">
        <f t="shared" si="37"/>
        <v>22830.9</v>
      </c>
      <c r="I1213" s="15">
        <f t="shared" si="38"/>
        <v>0</v>
      </c>
      <c r="J1213" s="19"/>
    </row>
    <row r="1214" spans="1:10" x14ac:dyDescent="0.25">
      <c r="A1214" s="82">
        <v>42776</v>
      </c>
      <c r="B1214" s="39" t="s">
        <v>5458</v>
      </c>
      <c r="C1214" s="89"/>
      <c r="D1214" s="18">
        <v>100550</v>
      </c>
      <c r="E1214" s="2" t="s">
        <v>274</v>
      </c>
      <c r="F1214" s="15">
        <v>16861</v>
      </c>
      <c r="G1214" s="41">
        <v>42781</v>
      </c>
      <c r="H1214" s="15">
        <f t="shared" si="37"/>
        <v>16861</v>
      </c>
      <c r="I1214" s="15">
        <f t="shared" si="38"/>
        <v>0</v>
      </c>
      <c r="J1214" s="19"/>
    </row>
    <row r="1215" spans="1:10" x14ac:dyDescent="0.25">
      <c r="A1215" s="82">
        <v>42776</v>
      </c>
      <c r="B1215" s="39" t="s">
        <v>5459</v>
      </c>
      <c r="C1215" s="89"/>
      <c r="D1215" s="18">
        <v>100551</v>
      </c>
      <c r="E1215" s="2" t="s">
        <v>268</v>
      </c>
      <c r="F1215" s="15">
        <v>1887</v>
      </c>
      <c r="G1215" s="41">
        <v>42781</v>
      </c>
      <c r="H1215" s="15">
        <f t="shared" si="37"/>
        <v>1887</v>
      </c>
      <c r="I1215" s="15">
        <f t="shared" si="38"/>
        <v>0</v>
      </c>
      <c r="J1215" s="19"/>
    </row>
    <row r="1216" spans="1:10" x14ac:dyDescent="0.25">
      <c r="A1216" s="82">
        <v>42776</v>
      </c>
      <c r="B1216" s="39" t="s">
        <v>5460</v>
      </c>
      <c r="C1216" s="89"/>
      <c r="D1216" s="18">
        <v>100552</v>
      </c>
      <c r="E1216" s="2" t="s">
        <v>274</v>
      </c>
      <c r="F1216" s="15">
        <v>185</v>
      </c>
      <c r="G1216" s="41">
        <v>42781</v>
      </c>
      <c r="H1216" s="15">
        <f t="shared" si="37"/>
        <v>185</v>
      </c>
      <c r="I1216" s="15">
        <f t="shared" si="38"/>
        <v>0</v>
      </c>
      <c r="J1216" s="19"/>
    </row>
    <row r="1217" spans="1:10" x14ac:dyDescent="0.25">
      <c r="A1217" s="82">
        <v>42776</v>
      </c>
      <c r="B1217" s="39" t="s">
        <v>5461</v>
      </c>
      <c r="C1217" s="89"/>
      <c r="D1217" s="18">
        <v>100553</v>
      </c>
      <c r="E1217" s="2" t="s">
        <v>773</v>
      </c>
      <c r="F1217" s="15">
        <v>4433.3999999999996</v>
      </c>
      <c r="G1217" s="41">
        <v>42776</v>
      </c>
      <c r="H1217" s="15">
        <f t="shared" si="37"/>
        <v>4433.3999999999996</v>
      </c>
      <c r="I1217" s="15">
        <f t="shared" si="38"/>
        <v>0</v>
      </c>
      <c r="J1217" s="19"/>
    </row>
    <row r="1218" spans="1:10" x14ac:dyDescent="0.25">
      <c r="A1218" s="82">
        <v>42776</v>
      </c>
      <c r="B1218" s="39" t="s">
        <v>5462</v>
      </c>
      <c r="C1218" s="89"/>
      <c r="D1218" s="18">
        <v>100554</v>
      </c>
      <c r="E1218" s="2" t="s">
        <v>30</v>
      </c>
      <c r="F1218" s="15">
        <v>2630</v>
      </c>
      <c r="G1218" s="41">
        <v>42776</v>
      </c>
      <c r="H1218" s="15">
        <f t="shared" si="37"/>
        <v>2630</v>
      </c>
      <c r="I1218" s="15">
        <f t="shared" si="38"/>
        <v>0</v>
      </c>
      <c r="J1218" s="19"/>
    </row>
    <row r="1219" spans="1:10" x14ac:dyDescent="0.25">
      <c r="A1219" s="82">
        <v>42776</v>
      </c>
      <c r="B1219" s="39" t="s">
        <v>5463</v>
      </c>
      <c r="C1219" s="89"/>
      <c r="D1219" s="18">
        <v>100555</v>
      </c>
      <c r="E1219" s="2" t="s">
        <v>305</v>
      </c>
      <c r="F1219" s="15">
        <v>2904.7</v>
      </c>
      <c r="G1219" s="41">
        <v>42777</v>
      </c>
      <c r="H1219" s="15">
        <f t="shared" si="37"/>
        <v>2904.7</v>
      </c>
      <c r="I1219" s="15">
        <f t="shared" si="38"/>
        <v>0</v>
      </c>
      <c r="J1219" s="19"/>
    </row>
    <row r="1220" spans="1:10" x14ac:dyDescent="0.25">
      <c r="A1220" s="82">
        <v>42776</v>
      </c>
      <c r="B1220" s="39" t="s">
        <v>5464</v>
      </c>
      <c r="C1220" s="89"/>
      <c r="D1220" s="18">
        <v>100556</v>
      </c>
      <c r="E1220" s="2" t="s">
        <v>128</v>
      </c>
      <c r="F1220" s="15">
        <v>5943.7</v>
      </c>
      <c r="G1220" s="41">
        <v>42776</v>
      </c>
      <c r="H1220" s="15">
        <f t="shared" si="37"/>
        <v>5943.7</v>
      </c>
      <c r="I1220" s="15">
        <f t="shared" si="38"/>
        <v>0</v>
      </c>
      <c r="J1220" s="19"/>
    </row>
    <row r="1221" spans="1:10" x14ac:dyDescent="0.25">
      <c r="A1221" s="82">
        <v>42776</v>
      </c>
      <c r="B1221" s="39" t="s">
        <v>5465</v>
      </c>
      <c r="C1221" s="89"/>
      <c r="D1221" s="18">
        <v>100557</v>
      </c>
      <c r="E1221" s="2" t="s">
        <v>476</v>
      </c>
      <c r="F1221" s="15">
        <v>8123</v>
      </c>
      <c r="G1221" s="41">
        <v>42777</v>
      </c>
      <c r="H1221" s="15">
        <f t="shared" si="37"/>
        <v>8123</v>
      </c>
      <c r="I1221" s="15">
        <f t="shared" si="38"/>
        <v>0</v>
      </c>
      <c r="J1221" s="19"/>
    </row>
    <row r="1222" spans="1:10" x14ac:dyDescent="0.25">
      <c r="A1222" s="82">
        <v>42776</v>
      </c>
      <c r="B1222" s="39" t="s">
        <v>5466</v>
      </c>
      <c r="C1222" s="89"/>
      <c r="D1222" s="18">
        <v>100558</v>
      </c>
      <c r="E1222" s="2" t="s">
        <v>1870</v>
      </c>
      <c r="F1222" s="15">
        <v>120.8</v>
      </c>
      <c r="G1222" s="41">
        <v>42776</v>
      </c>
      <c r="H1222" s="15">
        <f t="shared" si="37"/>
        <v>120.8</v>
      </c>
      <c r="I1222" s="15">
        <f t="shared" si="38"/>
        <v>0</v>
      </c>
      <c r="J1222" s="19"/>
    </row>
    <row r="1223" spans="1:10" x14ac:dyDescent="0.25">
      <c r="A1223" s="82">
        <v>42776</v>
      </c>
      <c r="B1223" s="39" t="s">
        <v>5467</v>
      </c>
      <c r="C1223" s="89"/>
      <c r="D1223" s="18">
        <v>100559</v>
      </c>
      <c r="E1223" s="2" t="s">
        <v>159</v>
      </c>
      <c r="F1223" s="15">
        <v>5691.3</v>
      </c>
      <c r="G1223" s="41">
        <v>42776</v>
      </c>
      <c r="H1223" s="15">
        <f t="shared" si="37"/>
        <v>5691.3</v>
      </c>
      <c r="I1223" s="15">
        <f t="shared" si="38"/>
        <v>0</v>
      </c>
      <c r="J1223" s="19"/>
    </row>
    <row r="1224" spans="1:10" x14ac:dyDescent="0.25">
      <c r="A1224" s="82">
        <v>42776</v>
      </c>
      <c r="B1224" s="39" t="s">
        <v>5468</v>
      </c>
      <c r="C1224" s="89"/>
      <c r="D1224" s="18">
        <v>100560</v>
      </c>
      <c r="E1224" s="2" t="s">
        <v>103</v>
      </c>
      <c r="F1224" s="15">
        <v>583.29999999999995</v>
      </c>
      <c r="G1224" s="41">
        <v>42777</v>
      </c>
      <c r="H1224" s="15">
        <f t="shared" si="37"/>
        <v>583.29999999999995</v>
      </c>
      <c r="I1224" s="15">
        <f t="shared" si="38"/>
        <v>0</v>
      </c>
      <c r="J1224" s="19"/>
    </row>
    <row r="1225" spans="1:10" x14ac:dyDescent="0.25">
      <c r="A1225" s="82">
        <v>42776</v>
      </c>
      <c r="B1225" s="39" t="s">
        <v>5469</v>
      </c>
      <c r="C1225" s="89"/>
      <c r="D1225" s="18">
        <v>100561</v>
      </c>
      <c r="E1225" s="2" t="s">
        <v>105</v>
      </c>
      <c r="F1225" s="15">
        <v>3204.6</v>
      </c>
      <c r="G1225" s="41">
        <v>42777</v>
      </c>
      <c r="H1225" s="15">
        <f t="shared" si="37"/>
        <v>3204.6</v>
      </c>
      <c r="I1225" s="15">
        <f t="shared" si="38"/>
        <v>0</v>
      </c>
      <c r="J1225" s="19"/>
    </row>
    <row r="1226" spans="1:10" x14ac:dyDescent="0.25">
      <c r="A1226" s="82">
        <v>42776</v>
      </c>
      <c r="B1226" s="39" t="s">
        <v>5470</v>
      </c>
      <c r="C1226" s="89"/>
      <c r="D1226" s="18">
        <v>100562</v>
      </c>
      <c r="E1226" s="2" t="s">
        <v>92</v>
      </c>
      <c r="F1226" s="15">
        <v>2715</v>
      </c>
      <c r="G1226" s="41">
        <v>42777</v>
      </c>
      <c r="H1226" s="15">
        <f t="shared" si="37"/>
        <v>2715</v>
      </c>
      <c r="I1226" s="15">
        <f t="shared" si="38"/>
        <v>0</v>
      </c>
      <c r="J1226" s="19"/>
    </row>
    <row r="1227" spans="1:10" x14ac:dyDescent="0.25">
      <c r="A1227" s="82">
        <v>42776</v>
      </c>
      <c r="B1227" s="39" t="s">
        <v>5471</v>
      </c>
      <c r="C1227" s="89"/>
      <c r="D1227" s="18">
        <v>100563</v>
      </c>
      <c r="E1227" s="2" t="s">
        <v>1259</v>
      </c>
      <c r="F1227" s="15">
        <v>2025.6</v>
      </c>
      <c r="G1227" s="41">
        <v>42777</v>
      </c>
      <c r="H1227" s="15">
        <f t="shared" si="37"/>
        <v>2025.6</v>
      </c>
      <c r="I1227" s="15">
        <f t="shared" si="38"/>
        <v>0</v>
      </c>
      <c r="J1227" s="19"/>
    </row>
    <row r="1228" spans="1:10" x14ac:dyDescent="0.25">
      <c r="A1228" s="82">
        <v>42776</v>
      </c>
      <c r="B1228" s="39" t="s">
        <v>5472</v>
      </c>
      <c r="C1228" s="89"/>
      <c r="D1228" s="18">
        <v>100564</v>
      </c>
      <c r="E1228" s="2" t="s">
        <v>291</v>
      </c>
      <c r="F1228" s="15">
        <v>2376.6</v>
      </c>
      <c r="G1228" s="41">
        <v>42777</v>
      </c>
      <c r="H1228" s="15">
        <f t="shared" si="37"/>
        <v>2376.6</v>
      </c>
      <c r="I1228" s="15">
        <f t="shared" si="38"/>
        <v>0</v>
      </c>
      <c r="J1228" s="19"/>
    </row>
    <row r="1229" spans="1:10" x14ac:dyDescent="0.25">
      <c r="A1229" s="82">
        <v>42776</v>
      </c>
      <c r="B1229" s="39" t="s">
        <v>5473</v>
      </c>
      <c r="C1229" s="89"/>
      <c r="D1229" s="18">
        <v>100565</v>
      </c>
      <c r="E1229" s="2" t="s">
        <v>450</v>
      </c>
      <c r="F1229" s="15">
        <v>831.3</v>
      </c>
      <c r="G1229" s="41">
        <v>42777</v>
      </c>
      <c r="H1229" s="15">
        <f t="shared" si="37"/>
        <v>831.3</v>
      </c>
      <c r="I1229" s="15">
        <f t="shared" si="38"/>
        <v>0</v>
      </c>
      <c r="J1229" s="19"/>
    </row>
    <row r="1230" spans="1:10" x14ac:dyDescent="0.25">
      <c r="A1230" s="82">
        <v>42776</v>
      </c>
      <c r="B1230" s="39" t="s">
        <v>5474</v>
      </c>
      <c r="C1230" s="89"/>
      <c r="D1230" s="18">
        <v>100566</v>
      </c>
      <c r="E1230" s="2" t="s">
        <v>83</v>
      </c>
      <c r="F1230" s="15">
        <v>5574.3</v>
      </c>
      <c r="G1230" s="41">
        <v>42777</v>
      </c>
      <c r="H1230" s="15">
        <f t="shared" si="37"/>
        <v>5574.3</v>
      </c>
      <c r="I1230" s="15">
        <f t="shared" si="38"/>
        <v>0</v>
      </c>
      <c r="J1230" s="19"/>
    </row>
    <row r="1231" spans="1:10" x14ac:dyDescent="0.25">
      <c r="A1231" s="82">
        <v>42776</v>
      </c>
      <c r="B1231" s="39" t="s">
        <v>5475</v>
      </c>
      <c r="C1231" s="89"/>
      <c r="D1231" s="18">
        <v>100567</v>
      </c>
      <c r="E1231" s="2" t="s">
        <v>99</v>
      </c>
      <c r="F1231" s="15">
        <v>2940</v>
      </c>
      <c r="G1231" s="41">
        <v>42777</v>
      </c>
      <c r="H1231" s="15">
        <f t="shared" si="37"/>
        <v>2940</v>
      </c>
      <c r="I1231" s="15">
        <f t="shared" si="38"/>
        <v>0</v>
      </c>
      <c r="J1231" s="19"/>
    </row>
    <row r="1232" spans="1:10" x14ac:dyDescent="0.25">
      <c r="A1232" s="82">
        <v>42776</v>
      </c>
      <c r="B1232" s="39" t="s">
        <v>5476</v>
      </c>
      <c r="C1232" s="89"/>
      <c r="D1232" s="18">
        <v>100568</v>
      </c>
      <c r="E1232" s="2" t="s">
        <v>281</v>
      </c>
      <c r="F1232" s="15">
        <v>3094</v>
      </c>
      <c r="G1232" s="41">
        <v>42777</v>
      </c>
      <c r="H1232" s="15">
        <f t="shared" si="37"/>
        <v>3094</v>
      </c>
      <c r="I1232" s="15">
        <f t="shared" si="38"/>
        <v>0</v>
      </c>
      <c r="J1232" s="19"/>
    </row>
    <row r="1233" spans="1:10" x14ac:dyDescent="0.25">
      <c r="A1233" s="82">
        <v>42776</v>
      </c>
      <c r="B1233" s="39" t="s">
        <v>5477</v>
      </c>
      <c r="C1233" s="89"/>
      <c r="D1233" s="18">
        <v>100569</v>
      </c>
      <c r="E1233" s="2" t="s">
        <v>2240</v>
      </c>
      <c r="F1233" s="15">
        <v>12315.3</v>
      </c>
      <c r="G1233" s="41">
        <v>42776</v>
      </c>
      <c r="H1233" s="15">
        <f t="shared" si="37"/>
        <v>12315.3</v>
      </c>
      <c r="I1233" s="15">
        <f t="shared" si="38"/>
        <v>0</v>
      </c>
      <c r="J1233" s="19"/>
    </row>
    <row r="1234" spans="1:10" x14ac:dyDescent="0.25">
      <c r="A1234" s="82">
        <v>42776</v>
      </c>
      <c r="B1234" s="39" t="s">
        <v>5478</v>
      </c>
      <c r="C1234" s="89"/>
      <c r="D1234" s="18">
        <v>100570</v>
      </c>
      <c r="E1234" s="2" t="s">
        <v>101</v>
      </c>
      <c r="F1234" s="15">
        <v>2058</v>
      </c>
      <c r="G1234" s="41">
        <v>42777</v>
      </c>
      <c r="H1234" s="15">
        <f t="shared" si="37"/>
        <v>2058</v>
      </c>
      <c r="I1234" s="15">
        <f t="shared" si="38"/>
        <v>0</v>
      </c>
      <c r="J1234" s="19"/>
    </row>
    <row r="1235" spans="1:10" x14ac:dyDescent="0.25">
      <c r="A1235" s="82">
        <v>42776</v>
      </c>
      <c r="B1235" s="39" t="s">
        <v>5479</v>
      </c>
      <c r="C1235" s="89"/>
      <c r="D1235" s="18">
        <v>100571</v>
      </c>
      <c r="E1235" s="2" t="s">
        <v>168</v>
      </c>
      <c r="F1235" s="15">
        <v>869.6</v>
      </c>
      <c r="G1235" s="41">
        <v>42776</v>
      </c>
      <c r="H1235" s="15">
        <f t="shared" si="37"/>
        <v>869.6</v>
      </c>
      <c r="I1235" s="15">
        <f t="shared" si="38"/>
        <v>0</v>
      </c>
      <c r="J1235" s="19"/>
    </row>
    <row r="1236" spans="1:10" x14ac:dyDescent="0.25">
      <c r="A1236" s="82">
        <v>42776</v>
      </c>
      <c r="B1236" s="39" t="s">
        <v>5480</v>
      </c>
      <c r="C1236" s="89"/>
      <c r="D1236" s="18">
        <v>100572</v>
      </c>
      <c r="E1236" s="2" t="s">
        <v>188</v>
      </c>
      <c r="F1236" s="15">
        <v>3498.6</v>
      </c>
      <c r="G1236" s="41">
        <v>42777</v>
      </c>
      <c r="H1236" s="15">
        <f t="shared" si="37"/>
        <v>3498.6</v>
      </c>
      <c r="I1236" s="15">
        <f t="shared" si="38"/>
        <v>0</v>
      </c>
      <c r="J1236" s="19"/>
    </row>
    <row r="1237" spans="1:10" x14ac:dyDescent="0.25">
      <c r="A1237" s="82">
        <v>42776</v>
      </c>
      <c r="B1237" s="39" t="s">
        <v>5481</v>
      </c>
      <c r="C1237" s="89"/>
      <c r="D1237" s="18">
        <v>100573</v>
      </c>
      <c r="E1237" s="2" t="s">
        <v>10</v>
      </c>
      <c r="F1237" s="15">
        <v>410439.32</v>
      </c>
      <c r="G1237" s="41">
        <v>42781</v>
      </c>
      <c r="H1237" s="15">
        <f t="shared" si="37"/>
        <v>410439.32</v>
      </c>
      <c r="I1237" s="15">
        <f t="shared" si="38"/>
        <v>0</v>
      </c>
      <c r="J1237" s="19"/>
    </row>
    <row r="1238" spans="1:10" x14ac:dyDescent="0.25">
      <c r="A1238" s="82">
        <v>42776</v>
      </c>
      <c r="B1238" s="39" t="s">
        <v>5482</v>
      </c>
      <c r="C1238" s="89"/>
      <c r="D1238" s="18">
        <v>100574</v>
      </c>
      <c r="E1238" s="2" t="s">
        <v>354</v>
      </c>
      <c r="F1238" s="15">
        <v>1831</v>
      </c>
      <c r="G1238" s="41">
        <v>42776</v>
      </c>
      <c r="H1238" s="15">
        <f t="shared" si="37"/>
        <v>1831</v>
      </c>
      <c r="I1238" s="15">
        <f t="shared" si="38"/>
        <v>0</v>
      </c>
      <c r="J1238" s="19"/>
    </row>
    <row r="1239" spans="1:10" x14ac:dyDescent="0.25">
      <c r="A1239" s="82">
        <v>42776</v>
      </c>
      <c r="B1239" s="39" t="s">
        <v>5483</v>
      </c>
      <c r="C1239" s="89"/>
      <c r="D1239" s="18">
        <v>100575</v>
      </c>
      <c r="E1239" s="2" t="s">
        <v>379</v>
      </c>
      <c r="F1239" s="15">
        <v>5322.4</v>
      </c>
      <c r="G1239" s="41">
        <v>42783</v>
      </c>
      <c r="H1239" s="15">
        <f t="shared" si="37"/>
        <v>5322.4</v>
      </c>
      <c r="I1239" s="15">
        <f t="shared" si="38"/>
        <v>0</v>
      </c>
      <c r="J1239" s="19"/>
    </row>
    <row r="1240" spans="1:10" x14ac:dyDescent="0.25">
      <c r="A1240" s="82">
        <v>42776</v>
      </c>
      <c r="B1240" s="39" t="s">
        <v>5484</v>
      </c>
      <c r="C1240" s="89"/>
      <c r="D1240" s="18">
        <v>100576</v>
      </c>
      <c r="E1240" s="2" t="s">
        <v>53</v>
      </c>
      <c r="F1240" s="15">
        <v>2378.1999999999998</v>
      </c>
      <c r="G1240" s="41">
        <v>42777</v>
      </c>
      <c r="H1240" s="15">
        <f t="shared" si="37"/>
        <v>2378.1999999999998</v>
      </c>
      <c r="I1240" s="15">
        <f t="shared" si="38"/>
        <v>0</v>
      </c>
      <c r="J1240" s="19"/>
    </row>
    <row r="1241" spans="1:10" x14ac:dyDescent="0.25">
      <c r="A1241" s="82">
        <v>42776</v>
      </c>
      <c r="B1241" s="39" t="s">
        <v>5485</v>
      </c>
      <c r="C1241" s="89"/>
      <c r="D1241" s="18">
        <v>100577</v>
      </c>
      <c r="E1241" s="2" t="s">
        <v>298</v>
      </c>
      <c r="F1241" s="15">
        <v>3916.8</v>
      </c>
      <c r="G1241" s="41">
        <v>42776</v>
      </c>
      <c r="H1241" s="15">
        <f t="shared" si="37"/>
        <v>3916.8</v>
      </c>
      <c r="I1241" s="15">
        <f t="shared" si="38"/>
        <v>0</v>
      </c>
      <c r="J1241" s="19"/>
    </row>
    <row r="1242" spans="1:10" x14ac:dyDescent="0.25">
      <c r="A1242" s="82">
        <v>42776</v>
      </c>
      <c r="B1242" s="39" t="s">
        <v>5486</v>
      </c>
      <c r="C1242" s="89"/>
      <c r="D1242" s="18">
        <v>100578</v>
      </c>
      <c r="E1242" s="2" t="s">
        <v>5487</v>
      </c>
      <c r="F1242" s="15">
        <v>3296.8</v>
      </c>
      <c r="G1242" s="41">
        <v>42776</v>
      </c>
      <c r="H1242" s="15">
        <f t="shared" si="37"/>
        <v>3296.8</v>
      </c>
      <c r="I1242" s="15">
        <f t="shared" si="38"/>
        <v>0</v>
      </c>
      <c r="J1242" s="19"/>
    </row>
    <row r="1243" spans="1:10" x14ac:dyDescent="0.25">
      <c r="A1243" s="82">
        <v>42776</v>
      </c>
      <c r="B1243" s="39" t="s">
        <v>5488</v>
      </c>
      <c r="C1243" s="89"/>
      <c r="D1243" s="18">
        <v>100579</v>
      </c>
      <c r="E1243" s="2" t="s">
        <v>45</v>
      </c>
      <c r="F1243" s="15">
        <v>1762.6</v>
      </c>
      <c r="G1243" s="41">
        <v>42777</v>
      </c>
      <c r="H1243" s="15">
        <f t="shared" si="37"/>
        <v>1762.6</v>
      </c>
      <c r="I1243" s="15">
        <f t="shared" si="38"/>
        <v>0</v>
      </c>
      <c r="J1243" s="19"/>
    </row>
    <row r="1244" spans="1:10" x14ac:dyDescent="0.25">
      <c r="A1244" s="82">
        <v>42776</v>
      </c>
      <c r="B1244" s="39" t="s">
        <v>5489</v>
      </c>
      <c r="C1244" s="89"/>
      <c r="D1244" s="18">
        <v>100580</v>
      </c>
      <c r="E1244" s="2" t="s">
        <v>331</v>
      </c>
      <c r="F1244" s="15">
        <v>810</v>
      </c>
      <c r="G1244" s="41">
        <v>42777</v>
      </c>
      <c r="H1244" s="15">
        <f t="shared" si="37"/>
        <v>810</v>
      </c>
      <c r="I1244" s="15">
        <f t="shared" si="38"/>
        <v>0</v>
      </c>
      <c r="J1244" s="19"/>
    </row>
    <row r="1245" spans="1:10" x14ac:dyDescent="0.25">
      <c r="A1245" s="82">
        <v>42776</v>
      </c>
      <c r="B1245" s="39" t="s">
        <v>5490</v>
      </c>
      <c r="C1245" s="89"/>
      <c r="D1245" s="18">
        <v>100581</v>
      </c>
      <c r="E1245" s="2" t="s">
        <v>459</v>
      </c>
      <c r="F1245" s="15">
        <v>2200.6</v>
      </c>
      <c r="G1245" s="41">
        <v>42776</v>
      </c>
      <c r="H1245" s="15">
        <f t="shared" si="37"/>
        <v>2200.6</v>
      </c>
      <c r="I1245" s="15">
        <f t="shared" si="38"/>
        <v>0</v>
      </c>
      <c r="J1245" s="19"/>
    </row>
    <row r="1246" spans="1:10" x14ac:dyDescent="0.25">
      <c r="A1246" s="82">
        <v>42776</v>
      </c>
      <c r="B1246" s="39" t="s">
        <v>5491</v>
      </c>
      <c r="C1246" s="89"/>
      <c r="D1246" s="18">
        <v>100582</v>
      </c>
      <c r="E1246" s="2" t="s">
        <v>3997</v>
      </c>
      <c r="F1246" s="15">
        <v>12595.8</v>
      </c>
      <c r="G1246" s="41">
        <v>42777</v>
      </c>
      <c r="H1246" s="15">
        <f t="shared" si="37"/>
        <v>12595.8</v>
      </c>
      <c r="I1246" s="15">
        <f t="shared" si="38"/>
        <v>0</v>
      </c>
      <c r="J1246" s="19"/>
    </row>
    <row r="1247" spans="1:10" x14ac:dyDescent="0.25">
      <c r="A1247" s="82">
        <v>42776</v>
      </c>
      <c r="B1247" s="39" t="s">
        <v>5492</v>
      </c>
      <c r="C1247" s="89"/>
      <c r="D1247" s="18">
        <v>100583</v>
      </c>
      <c r="E1247" s="2" t="s">
        <v>563</v>
      </c>
      <c r="F1247" s="15">
        <v>2043.4</v>
      </c>
      <c r="G1247" s="41">
        <v>42776</v>
      </c>
      <c r="H1247" s="15">
        <f t="shared" si="37"/>
        <v>2043.4</v>
      </c>
      <c r="I1247" s="15">
        <f t="shared" si="38"/>
        <v>0</v>
      </c>
      <c r="J1247" s="19"/>
    </row>
    <row r="1248" spans="1:10" x14ac:dyDescent="0.25">
      <c r="A1248" s="82">
        <v>42776</v>
      </c>
      <c r="B1248" s="39" t="s">
        <v>5493</v>
      </c>
      <c r="C1248" s="89"/>
      <c r="D1248" s="18">
        <v>100584</v>
      </c>
      <c r="E1248" s="2" t="s">
        <v>374</v>
      </c>
      <c r="F1248" s="15">
        <v>4680</v>
      </c>
      <c r="G1248" s="41">
        <v>42776</v>
      </c>
      <c r="H1248" s="15">
        <f t="shared" si="37"/>
        <v>4680</v>
      </c>
      <c r="I1248" s="15">
        <f t="shared" si="38"/>
        <v>0</v>
      </c>
      <c r="J1248" s="19"/>
    </row>
    <row r="1249" spans="1:10" x14ac:dyDescent="0.25">
      <c r="A1249" s="82">
        <v>42776</v>
      </c>
      <c r="B1249" s="39" t="s">
        <v>5494</v>
      </c>
      <c r="C1249" s="89"/>
      <c r="D1249" s="18">
        <v>100585</v>
      </c>
      <c r="E1249" s="2" t="s">
        <v>122</v>
      </c>
      <c r="F1249" s="15">
        <v>30306.35</v>
      </c>
      <c r="G1249" s="86">
        <v>42783</v>
      </c>
      <c r="H1249" s="23">
        <f>24817.6</f>
        <v>24817.599999999999</v>
      </c>
      <c r="I1249" s="23">
        <f t="shared" si="38"/>
        <v>5488.75</v>
      </c>
      <c r="J1249" s="19"/>
    </row>
    <row r="1250" spans="1:10" x14ac:dyDescent="0.25">
      <c r="A1250" s="82">
        <v>42776</v>
      </c>
      <c r="B1250" s="39" t="s">
        <v>5495</v>
      </c>
      <c r="C1250" s="89"/>
      <c r="D1250" s="18">
        <v>100586</v>
      </c>
      <c r="E1250" s="2" t="s">
        <v>122</v>
      </c>
      <c r="F1250" s="15">
        <v>7415.2</v>
      </c>
      <c r="G1250" s="41">
        <v>42783</v>
      </c>
      <c r="H1250" s="15">
        <f t="shared" si="37"/>
        <v>7415.2</v>
      </c>
      <c r="I1250" s="15">
        <f t="shared" si="38"/>
        <v>0</v>
      </c>
      <c r="J1250" s="19"/>
    </row>
    <row r="1251" spans="1:10" x14ac:dyDescent="0.25">
      <c r="A1251" s="82">
        <v>42776</v>
      </c>
      <c r="B1251" s="39" t="s">
        <v>5496</v>
      </c>
      <c r="C1251" s="89"/>
      <c r="D1251" s="18">
        <v>100587</v>
      </c>
      <c r="E1251" s="2" t="s">
        <v>930</v>
      </c>
      <c r="F1251" s="15">
        <v>12712.7</v>
      </c>
      <c r="G1251" s="41">
        <v>42776</v>
      </c>
      <c r="H1251" s="15">
        <f t="shared" si="37"/>
        <v>12712.7</v>
      </c>
      <c r="I1251" s="15">
        <f t="shared" si="38"/>
        <v>0</v>
      </c>
      <c r="J1251" s="19"/>
    </row>
    <row r="1252" spans="1:10" x14ac:dyDescent="0.25">
      <c r="A1252" s="82">
        <v>42776</v>
      </c>
      <c r="B1252" s="39" t="s">
        <v>5497</v>
      </c>
      <c r="C1252" s="89"/>
      <c r="D1252" s="18">
        <v>100588</v>
      </c>
      <c r="E1252" s="2" t="s">
        <v>866</v>
      </c>
      <c r="F1252" s="15">
        <v>980</v>
      </c>
      <c r="G1252" s="41">
        <v>42776</v>
      </c>
      <c r="H1252" s="15">
        <f t="shared" si="37"/>
        <v>980</v>
      </c>
      <c r="I1252" s="15">
        <f t="shared" si="38"/>
        <v>0</v>
      </c>
      <c r="J1252" s="19"/>
    </row>
    <row r="1253" spans="1:10" x14ac:dyDescent="0.25">
      <c r="A1253" s="82">
        <v>42776</v>
      </c>
      <c r="B1253" s="39" t="s">
        <v>5498</v>
      </c>
      <c r="C1253" s="89"/>
      <c r="D1253" s="18">
        <v>100589</v>
      </c>
      <c r="E1253" s="2" t="s">
        <v>923</v>
      </c>
      <c r="F1253" s="15">
        <v>4982.8</v>
      </c>
      <c r="G1253" s="41">
        <v>42776</v>
      </c>
      <c r="H1253" s="15">
        <f t="shared" si="37"/>
        <v>4982.8</v>
      </c>
      <c r="I1253" s="15">
        <f t="shared" si="38"/>
        <v>0</v>
      </c>
      <c r="J1253" s="19"/>
    </row>
    <row r="1254" spans="1:10" x14ac:dyDescent="0.25">
      <c r="A1254" s="82">
        <v>42776</v>
      </c>
      <c r="B1254" s="39" t="s">
        <v>5499</v>
      </c>
      <c r="C1254" s="89"/>
      <c r="D1254" s="18">
        <v>100590</v>
      </c>
      <c r="E1254" s="2" t="s">
        <v>693</v>
      </c>
      <c r="F1254" s="15">
        <v>51730.400000000001</v>
      </c>
      <c r="G1254" s="41">
        <v>42784</v>
      </c>
      <c r="H1254" s="15">
        <f t="shared" si="37"/>
        <v>51730.400000000001</v>
      </c>
      <c r="I1254" s="15">
        <f t="shared" si="38"/>
        <v>0</v>
      </c>
      <c r="J1254" s="19"/>
    </row>
    <row r="1255" spans="1:10" x14ac:dyDescent="0.25">
      <c r="A1255" s="82">
        <v>42776</v>
      </c>
      <c r="B1255" s="39" t="s">
        <v>5500</v>
      </c>
      <c r="C1255" s="89"/>
      <c r="D1255" s="18">
        <v>100591</v>
      </c>
      <c r="E1255" s="2" t="s">
        <v>806</v>
      </c>
      <c r="F1255" s="15">
        <v>3320.2</v>
      </c>
      <c r="G1255" s="41">
        <v>42776</v>
      </c>
      <c r="H1255" s="15">
        <f t="shared" si="37"/>
        <v>3320.2</v>
      </c>
      <c r="I1255" s="15">
        <f t="shared" si="38"/>
        <v>0</v>
      </c>
      <c r="J1255" s="19"/>
    </row>
    <row r="1256" spans="1:10" x14ac:dyDescent="0.25">
      <c r="A1256" s="82">
        <v>42776</v>
      </c>
      <c r="B1256" s="39" t="s">
        <v>5501</v>
      </c>
      <c r="C1256" s="89"/>
      <c r="D1256" s="18">
        <v>100592</v>
      </c>
      <c r="E1256" s="2" t="s">
        <v>422</v>
      </c>
      <c r="F1256" s="15">
        <v>2299.88</v>
      </c>
      <c r="G1256" s="41">
        <v>42776</v>
      </c>
      <c r="H1256" s="15">
        <f t="shared" si="37"/>
        <v>2299.88</v>
      </c>
      <c r="I1256" s="15">
        <f t="shared" si="38"/>
        <v>0</v>
      </c>
      <c r="J1256" s="19"/>
    </row>
    <row r="1257" spans="1:10" x14ac:dyDescent="0.25">
      <c r="A1257" s="82">
        <v>42776</v>
      </c>
      <c r="B1257" s="39" t="s">
        <v>5502</v>
      </c>
      <c r="C1257" s="89"/>
      <c r="D1257" s="18">
        <v>100593</v>
      </c>
      <c r="E1257" s="2" t="s">
        <v>609</v>
      </c>
      <c r="F1257" s="15">
        <v>7804.8</v>
      </c>
      <c r="G1257" s="41">
        <v>42779</v>
      </c>
      <c r="H1257" s="15">
        <f t="shared" si="37"/>
        <v>7804.8</v>
      </c>
      <c r="I1257" s="15">
        <f t="shared" si="38"/>
        <v>0</v>
      </c>
      <c r="J1257" s="19"/>
    </row>
    <row r="1258" spans="1:10" x14ac:dyDescent="0.25">
      <c r="A1258" s="82">
        <v>42776</v>
      </c>
      <c r="B1258" s="39" t="s">
        <v>5503</v>
      </c>
      <c r="C1258" s="89"/>
      <c r="D1258" s="18">
        <v>100594</v>
      </c>
      <c r="E1258" s="2" t="s">
        <v>5219</v>
      </c>
      <c r="F1258" s="15">
        <v>2187.4</v>
      </c>
      <c r="G1258" s="41">
        <v>42776</v>
      </c>
      <c r="H1258" s="15">
        <f t="shared" si="37"/>
        <v>2187.4</v>
      </c>
      <c r="I1258" s="15">
        <f t="shared" si="38"/>
        <v>0</v>
      </c>
      <c r="J1258" s="19"/>
    </row>
    <row r="1259" spans="1:10" x14ac:dyDescent="0.25">
      <c r="A1259" s="82">
        <v>42776</v>
      </c>
      <c r="B1259" s="39" t="s">
        <v>5504</v>
      </c>
      <c r="C1259" s="89"/>
      <c r="D1259" s="18">
        <v>100595</v>
      </c>
      <c r="E1259" s="2" t="s">
        <v>1925</v>
      </c>
      <c r="F1259" s="15">
        <v>600</v>
      </c>
      <c r="G1259" s="41">
        <v>42776</v>
      </c>
      <c r="H1259" s="15">
        <f t="shared" si="37"/>
        <v>600</v>
      </c>
      <c r="I1259" s="15">
        <f t="shared" si="38"/>
        <v>0</v>
      </c>
      <c r="J1259" s="19"/>
    </row>
    <row r="1260" spans="1:10" x14ac:dyDescent="0.25">
      <c r="A1260" s="82">
        <v>42776</v>
      </c>
      <c r="B1260" s="39" t="s">
        <v>5505</v>
      </c>
      <c r="C1260" s="89"/>
      <c r="D1260" s="18">
        <v>100596</v>
      </c>
      <c r="E1260" s="2" t="s">
        <v>30</v>
      </c>
      <c r="F1260" s="15">
        <v>70</v>
      </c>
      <c r="G1260" s="41">
        <v>42776</v>
      </c>
      <c r="H1260" s="15">
        <f t="shared" si="37"/>
        <v>70</v>
      </c>
      <c r="I1260" s="15">
        <f t="shared" si="38"/>
        <v>0</v>
      </c>
      <c r="J1260" s="19"/>
    </row>
    <row r="1261" spans="1:10" x14ac:dyDescent="0.25">
      <c r="A1261" s="82">
        <v>42776</v>
      </c>
      <c r="B1261" s="39" t="s">
        <v>5506</v>
      </c>
      <c r="C1261" s="89"/>
      <c r="D1261" s="18">
        <v>100597</v>
      </c>
      <c r="E1261" s="2" t="s">
        <v>153</v>
      </c>
      <c r="F1261" s="15">
        <v>8955.2000000000007</v>
      </c>
      <c r="G1261" s="41">
        <v>42777</v>
      </c>
      <c r="H1261" s="15">
        <f t="shared" si="37"/>
        <v>8955.2000000000007</v>
      </c>
      <c r="I1261" s="15">
        <f t="shared" si="38"/>
        <v>0</v>
      </c>
      <c r="J1261" s="19"/>
    </row>
    <row r="1262" spans="1:10" x14ac:dyDescent="0.25">
      <c r="A1262" s="82">
        <v>42776</v>
      </c>
      <c r="B1262" s="39" t="s">
        <v>5507</v>
      </c>
      <c r="C1262" s="89"/>
      <c r="D1262" s="18">
        <v>100598</v>
      </c>
      <c r="E1262" s="2" t="s">
        <v>145</v>
      </c>
      <c r="F1262" s="15">
        <v>23985.4</v>
      </c>
      <c r="G1262" s="41">
        <v>42777</v>
      </c>
      <c r="H1262" s="15">
        <f t="shared" si="37"/>
        <v>23985.4</v>
      </c>
      <c r="I1262" s="15">
        <f t="shared" si="38"/>
        <v>0</v>
      </c>
      <c r="J1262" s="19"/>
    </row>
    <row r="1263" spans="1:10" ht="30" x14ac:dyDescent="0.25">
      <c r="A1263" s="82">
        <v>42776</v>
      </c>
      <c r="B1263" s="39" t="s">
        <v>5508</v>
      </c>
      <c r="C1263" s="89"/>
      <c r="D1263" s="18">
        <v>100599</v>
      </c>
      <c r="E1263" s="2" t="s">
        <v>155</v>
      </c>
      <c r="F1263" s="15">
        <v>39334.9</v>
      </c>
      <c r="G1263" s="87" t="s">
        <v>5509</v>
      </c>
      <c r="H1263" s="20">
        <f>25334.9+14000</f>
        <v>39334.9</v>
      </c>
      <c r="I1263" s="20">
        <f t="shared" si="38"/>
        <v>0</v>
      </c>
      <c r="J1263" s="19"/>
    </row>
    <row r="1264" spans="1:10" x14ac:dyDescent="0.25">
      <c r="A1264" s="82">
        <v>42776</v>
      </c>
      <c r="B1264" s="39" t="s">
        <v>5510</v>
      </c>
      <c r="C1264" s="89"/>
      <c r="D1264" s="18">
        <v>100600</v>
      </c>
      <c r="E1264" s="2" t="s">
        <v>57</v>
      </c>
      <c r="F1264" s="15">
        <v>588</v>
      </c>
      <c r="G1264" s="41">
        <v>42777</v>
      </c>
      <c r="H1264" s="15">
        <f t="shared" si="37"/>
        <v>588</v>
      </c>
      <c r="I1264" s="15">
        <f t="shared" si="38"/>
        <v>0</v>
      </c>
      <c r="J1264" s="19"/>
    </row>
    <row r="1265" spans="1:10" x14ac:dyDescent="0.25">
      <c r="A1265" s="82">
        <v>42776</v>
      </c>
      <c r="B1265" s="39" t="s">
        <v>5511</v>
      </c>
      <c r="C1265" s="89"/>
      <c r="D1265" s="18">
        <v>100601</v>
      </c>
      <c r="E1265" s="2" t="s">
        <v>660</v>
      </c>
      <c r="F1265" s="15">
        <v>2346.1999999999998</v>
      </c>
      <c r="G1265" s="41">
        <v>42777</v>
      </c>
      <c r="H1265" s="15">
        <f t="shared" si="37"/>
        <v>2346.1999999999998</v>
      </c>
      <c r="I1265" s="15">
        <f t="shared" si="38"/>
        <v>0</v>
      </c>
      <c r="J1265" s="19"/>
    </row>
    <row r="1266" spans="1:10" x14ac:dyDescent="0.25">
      <c r="A1266" s="82">
        <v>42776</v>
      </c>
      <c r="B1266" s="39" t="s">
        <v>5512</v>
      </c>
      <c r="C1266" s="89"/>
      <c r="D1266" s="18">
        <v>100602</v>
      </c>
      <c r="E1266" s="99" t="s">
        <v>312</v>
      </c>
      <c r="F1266" s="14">
        <v>0</v>
      </c>
      <c r="G1266" s="88" t="s">
        <v>95</v>
      </c>
      <c r="H1266" s="14">
        <f t="shared" si="37"/>
        <v>0</v>
      </c>
      <c r="I1266" s="14">
        <f t="shared" si="38"/>
        <v>0</v>
      </c>
      <c r="J1266" s="19"/>
    </row>
    <row r="1267" spans="1:10" x14ac:dyDescent="0.25">
      <c r="A1267" s="82">
        <v>42776</v>
      </c>
      <c r="B1267" s="39" t="s">
        <v>5513</v>
      </c>
      <c r="C1267" s="89"/>
      <c r="D1267" s="18">
        <v>100603</v>
      </c>
      <c r="E1267" s="2" t="s">
        <v>193</v>
      </c>
      <c r="F1267" s="15">
        <v>2908.8</v>
      </c>
      <c r="G1267" s="41">
        <v>42777</v>
      </c>
      <c r="H1267" s="15">
        <f t="shared" si="37"/>
        <v>2908.8</v>
      </c>
      <c r="I1267" s="15">
        <f t="shared" si="38"/>
        <v>0</v>
      </c>
      <c r="J1267" s="19"/>
    </row>
    <row r="1268" spans="1:10" x14ac:dyDescent="0.25">
      <c r="A1268" s="82">
        <v>42776</v>
      </c>
      <c r="B1268" s="39" t="s">
        <v>5514</v>
      </c>
      <c r="C1268" s="89"/>
      <c r="D1268" s="18">
        <v>100604</v>
      </c>
      <c r="E1268" s="13" t="s">
        <v>917</v>
      </c>
      <c r="F1268" s="14">
        <v>0</v>
      </c>
      <c r="G1268" s="88" t="s">
        <v>95</v>
      </c>
      <c r="H1268" s="14">
        <f t="shared" si="37"/>
        <v>0</v>
      </c>
      <c r="I1268" s="14">
        <f t="shared" si="38"/>
        <v>0</v>
      </c>
      <c r="J1268" s="19"/>
    </row>
    <row r="1269" spans="1:10" x14ac:dyDescent="0.25">
      <c r="A1269" s="82">
        <v>42776</v>
      </c>
      <c r="B1269" s="39" t="s">
        <v>5515</v>
      </c>
      <c r="C1269" s="89"/>
      <c r="D1269" s="18">
        <v>100605</v>
      </c>
      <c r="E1269" s="2" t="s">
        <v>917</v>
      </c>
      <c r="F1269" s="15">
        <v>2450</v>
      </c>
      <c r="H1269" s="15">
        <f t="shared" ref="H1269:H1532" si="39">F1269</f>
        <v>2450</v>
      </c>
      <c r="I1269" s="15">
        <f t="shared" si="38"/>
        <v>0</v>
      </c>
      <c r="J1269" s="19"/>
    </row>
    <row r="1270" spans="1:10" x14ac:dyDescent="0.25">
      <c r="A1270" s="82">
        <v>42776</v>
      </c>
      <c r="B1270" s="39" t="s">
        <v>5516</v>
      </c>
      <c r="C1270" s="89"/>
      <c r="D1270" s="18">
        <v>100606</v>
      </c>
      <c r="E1270" s="2" t="s">
        <v>917</v>
      </c>
      <c r="F1270" s="15">
        <v>2450</v>
      </c>
      <c r="G1270" s="41">
        <v>42777</v>
      </c>
      <c r="H1270" s="15">
        <f t="shared" si="39"/>
        <v>2450</v>
      </c>
      <c r="I1270" s="15">
        <f t="shared" si="38"/>
        <v>0</v>
      </c>
      <c r="J1270" s="19"/>
    </row>
    <row r="1271" spans="1:10" x14ac:dyDescent="0.25">
      <c r="A1271" s="82">
        <v>42776</v>
      </c>
      <c r="B1271" s="39" t="s">
        <v>5517</v>
      </c>
      <c r="C1271" s="89"/>
      <c r="D1271" s="18">
        <v>100607</v>
      </c>
      <c r="E1271" s="2" t="s">
        <v>182</v>
      </c>
      <c r="F1271" s="15">
        <v>3920</v>
      </c>
      <c r="G1271" s="41">
        <v>42777</v>
      </c>
      <c r="H1271" s="15">
        <f t="shared" si="39"/>
        <v>3920</v>
      </c>
      <c r="I1271" s="15">
        <f t="shared" si="38"/>
        <v>0</v>
      </c>
      <c r="J1271" s="19"/>
    </row>
    <row r="1272" spans="1:10" x14ac:dyDescent="0.25">
      <c r="A1272" s="82">
        <v>42776</v>
      </c>
      <c r="B1272" s="39" t="s">
        <v>5518</v>
      </c>
      <c r="C1272" s="89"/>
      <c r="D1272" s="18">
        <v>100608</v>
      </c>
      <c r="E1272" s="2" t="s">
        <v>693</v>
      </c>
      <c r="F1272" s="15">
        <v>8846.5</v>
      </c>
      <c r="G1272" s="41">
        <v>42784</v>
      </c>
      <c r="H1272" s="15">
        <f t="shared" si="39"/>
        <v>8846.5</v>
      </c>
      <c r="I1272" s="15">
        <f t="shared" si="38"/>
        <v>0</v>
      </c>
      <c r="J1272" s="19"/>
    </row>
    <row r="1273" spans="1:10" x14ac:dyDescent="0.25">
      <c r="A1273" s="82">
        <v>42776</v>
      </c>
      <c r="B1273" s="39" t="s">
        <v>5519</v>
      </c>
      <c r="C1273" s="89"/>
      <c r="D1273" s="18">
        <v>100609</v>
      </c>
      <c r="E1273" s="2" t="s">
        <v>10</v>
      </c>
      <c r="F1273" s="15">
        <v>161605</v>
      </c>
      <c r="G1273" s="41">
        <v>42781</v>
      </c>
      <c r="H1273" s="15">
        <f t="shared" si="39"/>
        <v>161605</v>
      </c>
      <c r="I1273" s="15">
        <f t="shared" ref="I1273:I1527" si="40">F1273-H1273</f>
        <v>0</v>
      </c>
      <c r="J1273" s="19"/>
    </row>
    <row r="1274" spans="1:10" x14ac:dyDescent="0.25">
      <c r="A1274" s="82">
        <v>42776</v>
      </c>
      <c r="B1274" s="39" t="s">
        <v>5520</v>
      </c>
      <c r="C1274" s="89"/>
      <c r="D1274" s="18">
        <v>100610</v>
      </c>
      <c r="E1274" s="2" t="s">
        <v>205</v>
      </c>
      <c r="F1274" s="15">
        <v>7648</v>
      </c>
      <c r="G1274" s="41">
        <v>42776</v>
      </c>
      <c r="H1274" s="15">
        <f t="shared" si="39"/>
        <v>7648</v>
      </c>
      <c r="I1274" s="15">
        <f t="shared" si="40"/>
        <v>0</v>
      </c>
      <c r="J1274" s="19"/>
    </row>
    <row r="1275" spans="1:10" x14ac:dyDescent="0.25">
      <c r="A1275" s="82">
        <v>42776</v>
      </c>
      <c r="B1275" s="39" t="s">
        <v>5521</v>
      </c>
      <c r="C1275" s="89"/>
      <c r="D1275" s="18">
        <v>100611</v>
      </c>
      <c r="E1275" s="2" t="s">
        <v>10</v>
      </c>
      <c r="F1275" s="15">
        <v>29712.400000000001</v>
      </c>
      <c r="G1275" s="41">
        <v>42781</v>
      </c>
      <c r="H1275" s="15">
        <f t="shared" si="39"/>
        <v>29712.400000000001</v>
      </c>
      <c r="I1275" s="15">
        <f t="shared" si="40"/>
        <v>0</v>
      </c>
      <c r="J1275" s="19"/>
    </row>
    <row r="1276" spans="1:10" x14ac:dyDescent="0.25">
      <c r="A1276" s="82">
        <v>42776</v>
      </c>
      <c r="B1276" s="39" t="s">
        <v>5522</v>
      </c>
      <c r="C1276" s="89"/>
      <c r="D1276" s="18">
        <v>100612</v>
      </c>
      <c r="E1276" s="2" t="s">
        <v>38</v>
      </c>
      <c r="F1276" s="15">
        <v>3967.5</v>
      </c>
      <c r="G1276" s="41">
        <v>42780</v>
      </c>
      <c r="H1276" s="15">
        <f t="shared" si="39"/>
        <v>3967.5</v>
      </c>
      <c r="I1276" s="15">
        <f t="shared" si="40"/>
        <v>0</v>
      </c>
      <c r="J1276" s="19"/>
    </row>
    <row r="1277" spans="1:10" x14ac:dyDescent="0.25">
      <c r="A1277" s="82">
        <v>42776</v>
      </c>
      <c r="B1277" s="39" t="s">
        <v>5523</v>
      </c>
      <c r="C1277" s="89"/>
      <c r="D1277" s="18">
        <v>100613</v>
      </c>
      <c r="E1277" s="2" t="s">
        <v>32</v>
      </c>
      <c r="F1277" s="15">
        <v>9150</v>
      </c>
      <c r="G1277" s="41">
        <v>42781</v>
      </c>
      <c r="H1277" s="15">
        <f t="shared" si="39"/>
        <v>9150</v>
      </c>
      <c r="I1277" s="15">
        <f t="shared" si="40"/>
        <v>0</v>
      </c>
      <c r="J1277" s="19"/>
    </row>
    <row r="1278" spans="1:10" x14ac:dyDescent="0.25">
      <c r="A1278" s="82">
        <v>42776</v>
      </c>
      <c r="B1278" s="39" t="s">
        <v>5524</v>
      </c>
      <c r="C1278" s="89"/>
      <c r="D1278" s="18">
        <v>100614</v>
      </c>
      <c r="E1278" s="2" t="s">
        <v>10</v>
      </c>
      <c r="F1278" s="15">
        <v>230864.4</v>
      </c>
      <c r="G1278" s="41">
        <v>42781</v>
      </c>
      <c r="H1278" s="15">
        <f t="shared" si="39"/>
        <v>230864.4</v>
      </c>
      <c r="I1278" s="15">
        <f t="shared" si="40"/>
        <v>0</v>
      </c>
      <c r="J1278" s="19"/>
    </row>
    <row r="1279" spans="1:10" x14ac:dyDescent="0.25">
      <c r="A1279" s="82">
        <v>42776</v>
      </c>
      <c r="B1279" s="39" t="s">
        <v>5525</v>
      </c>
      <c r="C1279" s="89"/>
      <c r="D1279" s="18">
        <v>100615</v>
      </c>
      <c r="E1279" s="2" t="s">
        <v>923</v>
      </c>
      <c r="F1279" s="15">
        <v>20991.599999999999</v>
      </c>
      <c r="G1279" s="41">
        <v>42782</v>
      </c>
      <c r="H1279" s="15">
        <f t="shared" si="39"/>
        <v>20991.599999999999</v>
      </c>
      <c r="I1279" s="15">
        <f t="shared" si="40"/>
        <v>0</v>
      </c>
      <c r="J1279" s="19"/>
    </row>
    <row r="1280" spans="1:10" x14ac:dyDescent="0.25">
      <c r="A1280" s="82">
        <v>42776</v>
      </c>
      <c r="B1280" s="39" t="s">
        <v>5526</v>
      </c>
      <c r="C1280" s="89"/>
      <c r="D1280" s="18">
        <v>100616</v>
      </c>
      <c r="E1280" s="2" t="s">
        <v>697</v>
      </c>
      <c r="F1280" s="15">
        <v>47606</v>
      </c>
      <c r="G1280" s="41">
        <v>42783</v>
      </c>
      <c r="H1280" s="15">
        <f t="shared" si="39"/>
        <v>47606</v>
      </c>
      <c r="I1280" s="15">
        <f t="shared" si="40"/>
        <v>0</v>
      </c>
      <c r="J1280" s="19"/>
    </row>
    <row r="1281" spans="1:19" x14ac:dyDescent="0.25">
      <c r="A1281" s="82">
        <v>42776</v>
      </c>
      <c r="B1281" s="39" t="s">
        <v>5527</v>
      </c>
      <c r="C1281" s="89"/>
      <c r="D1281" s="18">
        <v>100617</v>
      </c>
      <c r="E1281" s="2" t="s">
        <v>21</v>
      </c>
      <c r="F1281" s="15">
        <v>45819</v>
      </c>
      <c r="G1281" s="41">
        <v>42788</v>
      </c>
      <c r="H1281" s="15">
        <f t="shared" si="39"/>
        <v>45819</v>
      </c>
      <c r="I1281" s="15">
        <f t="shared" si="40"/>
        <v>0</v>
      </c>
      <c r="J1281" s="19"/>
    </row>
    <row r="1282" spans="1:19" x14ac:dyDescent="0.25">
      <c r="A1282" s="82">
        <v>42776</v>
      </c>
      <c r="B1282" s="39" t="s">
        <v>5528</v>
      </c>
      <c r="C1282" s="89"/>
      <c r="D1282" s="18">
        <v>100618</v>
      </c>
      <c r="E1282" s="2" t="s">
        <v>697</v>
      </c>
      <c r="F1282" s="15">
        <v>24055</v>
      </c>
      <c r="H1282" s="15">
        <f t="shared" si="39"/>
        <v>24055</v>
      </c>
      <c r="I1282" s="15">
        <f t="shared" si="40"/>
        <v>0</v>
      </c>
      <c r="J1282" s="19"/>
    </row>
    <row r="1283" spans="1:19" x14ac:dyDescent="0.25">
      <c r="A1283" s="82">
        <v>42776</v>
      </c>
      <c r="B1283" s="39" t="s">
        <v>5529</v>
      </c>
      <c r="C1283" s="89"/>
      <c r="D1283" s="18">
        <v>100619</v>
      </c>
      <c r="E1283" s="2" t="s">
        <v>211</v>
      </c>
      <c r="F1283" s="15">
        <v>8404.7999999999993</v>
      </c>
      <c r="G1283" s="41">
        <v>42776</v>
      </c>
      <c r="H1283" s="15">
        <f t="shared" si="39"/>
        <v>8404.7999999999993</v>
      </c>
      <c r="I1283" s="15">
        <f t="shared" si="40"/>
        <v>0</v>
      </c>
      <c r="J1283" s="19"/>
    </row>
    <row r="1284" spans="1:19" x14ac:dyDescent="0.25">
      <c r="A1284" s="82">
        <v>42776</v>
      </c>
      <c r="B1284" s="39" t="s">
        <v>5530</v>
      </c>
      <c r="C1284" s="89"/>
      <c r="D1284" s="18">
        <v>100620</v>
      </c>
      <c r="E1284" s="2" t="s">
        <v>430</v>
      </c>
      <c r="F1284" s="15">
        <v>2011.8</v>
      </c>
      <c r="G1284" s="41">
        <v>42776</v>
      </c>
      <c r="H1284" s="15">
        <f t="shared" si="39"/>
        <v>2011.8</v>
      </c>
      <c r="I1284" s="15">
        <f t="shared" si="40"/>
        <v>0</v>
      </c>
      <c r="J1284" s="19"/>
    </row>
    <row r="1285" spans="1:19" x14ac:dyDescent="0.25">
      <c r="A1285" s="82">
        <v>42776</v>
      </c>
      <c r="B1285" s="39" t="s">
        <v>5531</v>
      </c>
      <c r="C1285" s="89"/>
      <c r="D1285" s="18">
        <v>100621</v>
      </c>
      <c r="E1285" s="2" t="s">
        <v>10</v>
      </c>
      <c r="F1285" s="15">
        <v>426.6</v>
      </c>
      <c r="G1285" s="41">
        <v>42781</v>
      </c>
      <c r="H1285" s="15">
        <f t="shared" si="39"/>
        <v>426.6</v>
      </c>
      <c r="I1285" s="15">
        <f t="shared" si="40"/>
        <v>0</v>
      </c>
      <c r="J1285" s="19"/>
    </row>
    <row r="1286" spans="1:19" x14ac:dyDescent="0.25">
      <c r="A1286" s="82">
        <v>42776</v>
      </c>
      <c r="B1286" s="39" t="s">
        <v>5532</v>
      </c>
      <c r="C1286" s="89"/>
      <c r="D1286" s="18">
        <v>100622</v>
      </c>
      <c r="E1286" s="13" t="s">
        <v>1573</v>
      </c>
      <c r="F1286" s="14">
        <v>0</v>
      </c>
      <c r="G1286" s="88" t="s">
        <v>95</v>
      </c>
      <c r="H1286" s="14">
        <f t="shared" si="39"/>
        <v>0</v>
      </c>
      <c r="I1286" s="14">
        <f t="shared" si="40"/>
        <v>0</v>
      </c>
      <c r="J1286" s="19"/>
    </row>
    <row r="1287" spans="1:19" x14ac:dyDescent="0.25">
      <c r="A1287" s="82">
        <v>42776</v>
      </c>
      <c r="B1287" s="39" t="s">
        <v>5533</v>
      </c>
      <c r="C1287" s="89"/>
      <c r="D1287" s="18">
        <v>100623</v>
      </c>
      <c r="E1287" s="2" t="s">
        <v>220</v>
      </c>
      <c r="F1287" s="15">
        <v>3512.4</v>
      </c>
      <c r="G1287" s="41">
        <v>42777</v>
      </c>
      <c r="H1287" s="15">
        <f t="shared" si="39"/>
        <v>3512.4</v>
      </c>
      <c r="I1287" s="15">
        <f t="shared" si="40"/>
        <v>0</v>
      </c>
      <c r="J1287" s="19"/>
    </row>
    <row r="1288" spans="1:19" x14ac:dyDescent="0.25">
      <c r="A1288" s="82">
        <v>42777</v>
      </c>
      <c r="B1288" s="39" t="s">
        <v>5534</v>
      </c>
      <c r="C1288" s="89"/>
      <c r="D1288" s="18">
        <v>100624</v>
      </c>
      <c r="E1288" s="2" t="s">
        <v>231</v>
      </c>
      <c r="F1288" s="15">
        <v>9794.2000000000007</v>
      </c>
      <c r="G1288" s="41">
        <v>42778</v>
      </c>
      <c r="H1288" s="15">
        <f t="shared" si="39"/>
        <v>9794.2000000000007</v>
      </c>
      <c r="I1288" s="15">
        <f t="shared" si="40"/>
        <v>0</v>
      </c>
      <c r="J1288" s="19"/>
    </row>
    <row r="1289" spans="1:19" x14ac:dyDescent="0.25">
      <c r="A1289" s="82">
        <v>42777</v>
      </c>
      <c r="B1289" s="39" t="s">
        <v>5535</v>
      </c>
      <c r="C1289" s="89"/>
      <c r="D1289" s="18">
        <v>100625</v>
      </c>
      <c r="E1289" s="2" t="s">
        <v>17</v>
      </c>
      <c r="F1289" s="15">
        <v>5390</v>
      </c>
      <c r="G1289" s="41">
        <v>42777</v>
      </c>
      <c r="H1289" s="15">
        <f t="shared" si="39"/>
        <v>5390</v>
      </c>
      <c r="I1289" s="15">
        <f t="shared" si="40"/>
        <v>0</v>
      </c>
      <c r="J1289" s="19"/>
    </row>
    <row r="1290" spans="1:19" x14ac:dyDescent="0.25">
      <c r="A1290" s="82">
        <v>42777</v>
      </c>
      <c r="B1290" s="39" t="s">
        <v>5536</v>
      </c>
      <c r="C1290" s="89"/>
      <c r="D1290" s="18">
        <v>100626</v>
      </c>
      <c r="E1290" s="2" t="s">
        <v>19</v>
      </c>
      <c r="F1290" s="15">
        <v>1470</v>
      </c>
      <c r="G1290" s="41">
        <v>42777</v>
      </c>
      <c r="H1290" s="15">
        <f t="shared" si="39"/>
        <v>1470</v>
      </c>
      <c r="I1290" s="15">
        <f t="shared" si="40"/>
        <v>0</v>
      </c>
      <c r="J1290" s="19"/>
    </row>
    <row r="1291" spans="1:19" x14ac:dyDescent="0.25">
      <c r="A1291" s="82">
        <v>42777</v>
      </c>
      <c r="B1291" s="39" t="s">
        <v>5537</v>
      </c>
      <c r="C1291" s="89"/>
      <c r="D1291" s="18">
        <v>100627</v>
      </c>
      <c r="E1291" s="2" t="s">
        <v>71</v>
      </c>
      <c r="F1291" s="15">
        <v>2506</v>
      </c>
      <c r="G1291" s="41">
        <v>42777</v>
      </c>
      <c r="H1291" s="15">
        <f t="shared" si="39"/>
        <v>2506</v>
      </c>
      <c r="I1291" s="15">
        <f t="shared" si="40"/>
        <v>0</v>
      </c>
      <c r="J1291" s="19"/>
    </row>
    <row r="1292" spans="1:19" x14ac:dyDescent="0.25">
      <c r="A1292" s="82">
        <v>42777</v>
      </c>
      <c r="B1292" s="39" t="s">
        <v>5538</v>
      </c>
      <c r="C1292" s="89"/>
      <c r="D1292" s="18">
        <v>100628</v>
      </c>
      <c r="E1292" s="2" t="s">
        <v>5539</v>
      </c>
      <c r="F1292" s="15">
        <v>2324.6999999999998</v>
      </c>
      <c r="G1292" s="41">
        <v>42777</v>
      </c>
      <c r="H1292" s="15">
        <f t="shared" si="39"/>
        <v>2324.6999999999998</v>
      </c>
      <c r="I1292" s="15">
        <f t="shared" si="40"/>
        <v>0</v>
      </c>
      <c r="J1292" s="19"/>
    </row>
    <row r="1293" spans="1:19" x14ac:dyDescent="0.25">
      <c r="A1293" s="82"/>
      <c r="B1293" s="39" t="s">
        <v>5540</v>
      </c>
      <c r="C1293" s="89"/>
      <c r="D1293" s="18">
        <v>100629</v>
      </c>
      <c r="E1293" s="2" t="s">
        <v>1335</v>
      </c>
      <c r="F1293" s="15">
        <v>3564.1</v>
      </c>
      <c r="G1293" s="41">
        <v>42777</v>
      </c>
      <c r="H1293" s="15">
        <f t="shared" si="39"/>
        <v>3564.1</v>
      </c>
      <c r="I1293" s="15">
        <f t="shared" si="40"/>
        <v>0</v>
      </c>
      <c r="J1293" s="36"/>
      <c r="K1293" s="17"/>
      <c r="L1293" s="17"/>
      <c r="M1293" s="18"/>
      <c r="O1293" s="15"/>
      <c r="P1293" s="37"/>
      <c r="Q1293" s="15"/>
      <c r="R1293" s="15"/>
      <c r="S1293" s="19"/>
    </row>
    <row r="1294" spans="1:19" x14ac:dyDescent="0.25">
      <c r="A1294" s="82"/>
      <c r="B1294" s="39" t="s">
        <v>5541</v>
      </c>
      <c r="C1294" s="89"/>
      <c r="D1294" s="18">
        <v>100630</v>
      </c>
      <c r="E1294" s="2" t="s">
        <v>266</v>
      </c>
      <c r="F1294" s="15">
        <v>16361.3</v>
      </c>
      <c r="G1294" s="41">
        <v>42777</v>
      </c>
      <c r="H1294" s="15">
        <f t="shared" si="39"/>
        <v>16361.3</v>
      </c>
      <c r="I1294" s="15">
        <f t="shared" si="40"/>
        <v>0</v>
      </c>
      <c r="J1294" s="36"/>
      <c r="K1294" s="17"/>
      <c r="L1294" s="17"/>
      <c r="M1294" s="18"/>
      <c r="O1294" s="15"/>
      <c r="P1294" s="37"/>
      <c r="Q1294" s="15"/>
      <c r="R1294" s="15"/>
      <c r="S1294" s="19"/>
    </row>
    <row r="1295" spans="1:19" ht="15.75" customHeight="1" x14ac:dyDescent="0.25">
      <c r="A1295" s="82"/>
      <c r="B1295" s="39" t="s">
        <v>5542</v>
      </c>
      <c r="C1295" s="89"/>
      <c r="D1295" s="18">
        <v>100631</v>
      </c>
      <c r="E1295" s="2" t="s">
        <v>231</v>
      </c>
      <c r="F1295" s="15">
        <v>2143.1999999999998</v>
      </c>
      <c r="H1295" s="15">
        <f t="shared" si="39"/>
        <v>2143.1999999999998</v>
      </c>
      <c r="I1295" s="15">
        <f t="shared" si="40"/>
        <v>0</v>
      </c>
      <c r="J1295" s="36"/>
      <c r="K1295" s="17"/>
      <c r="L1295" s="17"/>
      <c r="M1295" s="18"/>
      <c r="O1295" s="15"/>
      <c r="P1295" s="37"/>
      <c r="Q1295" s="15"/>
      <c r="R1295" s="15"/>
      <c r="S1295" s="19"/>
    </row>
    <row r="1296" spans="1:19" x14ac:dyDescent="0.25">
      <c r="A1296" s="82"/>
      <c r="B1296" s="39" t="s">
        <v>5543</v>
      </c>
      <c r="C1296" s="89"/>
      <c r="D1296" s="18">
        <v>100632</v>
      </c>
      <c r="E1296" s="2" t="s">
        <v>1335</v>
      </c>
      <c r="F1296" s="15">
        <v>348.3</v>
      </c>
      <c r="H1296" s="15">
        <f t="shared" si="39"/>
        <v>348.3</v>
      </c>
      <c r="I1296" s="15">
        <f t="shared" si="40"/>
        <v>0</v>
      </c>
      <c r="J1296" s="36"/>
      <c r="K1296" s="17"/>
      <c r="L1296" s="17"/>
      <c r="M1296" s="18"/>
      <c r="O1296" s="15"/>
      <c r="P1296" s="37"/>
      <c r="Q1296" s="15"/>
      <c r="R1296" s="15"/>
      <c r="S1296" s="19"/>
    </row>
    <row r="1297" spans="1:19" x14ac:dyDescent="0.25">
      <c r="A1297" s="82"/>
      <c r="B1297" s="39" t="s">
        <v>5544</v>
      </c>
      <c r="C1297" s="89"/>
      <c r="D1297" s="18">
        <v>100633</v>
      </c>
      <c r="E1297" s="2" t="s">
        <v>55</v>
      </c>
      <c r="F1297" s="15">
        <v>3655.6</v>
      </c>
      <c r="H1297" s="15">
        <f t="shared" si="39"/>
        <v>3655.6</v>
      </c>
      <c r="I1297" s="15">
        <f t="shared" si="40"/>
        <v>0</v>
      </c>
      <c r="J1297" s="36"/>
      <c r="K1297" s="17"/>
      <c r="L1297" s="17"/>
      <c r="M1297" s="18"/>
      <c r="O1297" s="15"/>
      <c r="P1297" s="37"/>
      <c r="Q1297" s="15"/>
      <c r="R1297" s="15"/>
      <c r="S1297" s="19"/>
    </row>
    <row r="1298" spans="1:19" x14ac:dyDescent="0.25">
      <c r="A1298" s="82"/>
      <c r="B1298" s="39" t="s">
        <v>5545</v>
      </c>
      <c r="C1298" s="89"/>
      <c r="D1298" s="18">
        <v>100634</v>
      </c>
      <c r="E1298" s="2" t="s">
        <v>231</v>
      </c>
      <c r="F1298" s="15">
        <v>40191.599999999999</v>
      </c>
      <c r="G1298" s="41">
        <v>42778</v>
      </c>
      <c r="H1298" s="15">
        <f t="shared" si="39"/>
        <v>40191.599999999999</v>
      </c>
      <c r="I1298" s="15">
        <f t="shared" si="40"/>
        <v>0</v>
      </c>
      <c r="J1298" s="36"/>
      <c r="K1298" s="17"/>
      <c r="L1298" s="17"/>
      <c r="M1298" s="18"/>
      <c r="O1298" s="15"/>
      <c r="P1298" s="37"/>
      <c r="Q1298" s="15"/>
      <c r="R1298" s="15"/>
      <c r="S1298" s="19"/>
    </row>
    <row r="1299" spans="1:19" x14ac:dyDescent="0.25">
      <c r="A1299" s="82"/>
      <c r="B1299" s="39" t="s">
        <v>5546</v>
      </c>
      <c r="C1299" s="89"/>
      <c r="D1299" s="18">
        <v>100635</v>
      </c>
      <c r="E1299" s="2" t="s">
        <v>1786</v>
      </c>
      <c r="F1299" s="15">
        <v>10855.8</v>
      </c>
      <c r="H1299" s="15">
        <f t="shared" si="39"/>
        <v>10855.8</v>
      </c>
      <c r="I1299" s="15">
        <f t="shared" si="40"/>
        <v>0</v>
      </c>
      <c r="J1299" s="36"/>
      <c r="K1299" s="17"/>
      <c r="L1299" s="17"/>
      <c r="M1299" s="18"/>
      <c r="O1299" s="15"/>
      <c r="P1299" s="37"/>
      <c r="Q1299" s="15"/>
      <c r="R1299" s="15"/>
      <c r="S1299" s="19"/>
    </row>
    <row r="1300" spans="1:19" x14ac:dyDescent="0.25">
      <c r="A1300" s="82"/>
      <c r="B1300" s="39" t="s">
        <v>5547</v>
      </c>
      <c r="C1300" s="89"/>
      <c r="D1300" s="18">
        <v>100636</v>
      </c>
      <c r="E1300" s="2" t="s">
        <v>26</v>
      </c>
      <c r="F1300" s="15">
        <v>21061.4</v>
      </c>
      <c r="H1300" s="15">
        <f t="shared" si="39"/>
        <v>21061.4</v>
      </c>
      <c r="I1300" s="15">
        <f t="shared" si="40"/>
        <v>0</v>
      </c>
      <c r="J1300" s="36"/>
      <c r="K1300" s="17"/>
      <c r="L1300" s="17"/>
      <c r="M1300" s="18"/>
      <c r="O1300" s="15"/>
      <c r="P1300" s="37"/>
      <c r="Q1300" s="15"/>
      <c r="R1300" s="15"/>
      <c r="S1300" s="19"/>
    </row>
    <row r="1301" spans="1:19" x14ac:dyDescent="0.25">
      <c r="A1301" s="82"/>
      <c r="B1301" s="39" t="s">
        <v>5548</v>
      </c>
      <c r="C1301" s="89"/>
      <c r="D1301" s="18">
        <v>100637</v>
      </c>
      <c r="E1301" s="2" t="s">
        <v>55</v>
      </c>
      <c r="F1301" s="15">
        <v>3295.54</v>
      </c>
      <c r="H1301" s="15">
        <f t="shared" si="39"/>
        <v>3295.54</v>
      </c>
      <c r="I1301" s="15">
        <f t="shared" si="40"/>
        <v>0</v>
      </c>
      <c r="J1301" s="36"/>
      <c r="K1301" s="17"/>
      <c r="L1301" s="17"/>
      <c r="M1301" s="18"/>
      <c r="O1301" s="15"/>
      <c r="P1301" s="37"/>
      <c r="Q1301" s="15"/>
      <c r="R1301" s="15"/>
      <c r="S1301" s="19"/>
    </row>
    <row r="1302" spans="1:19" x14ac:dyDescent="0.25">
      <c r="A1302" s="82"/>
      <c r="B1302" s="39" t="s">
        <v>5549</v>
      </c>
      <c r="C1302" s="89"/>
      <c r="D1302" s="18">
        <v>100638</v>
      </c>
      <c r="E1302" s="2" t="s">
        <v>428</v>
      </c>
      <c r="F1302" s="15">
        <v>1971.6</v>
      </c>
      <c r="G1302" s="41">
        <v>42780</v>
      </c>
      <c r="H1302" s="15">
        <f t="shared" si="39"/>
        <v>1971.6</v>
      </c>
      <c r="I1302" s="15">
        <f t="shared" si="40"/>
        <v>0</v>
      </c>
      <c r="J1302" s="36"/>
      <c r="K1302" s="17"/>
      <c r="L1302" s="17"/>
      <c r="M1302" s="18"/>
      <c r="O1302" s="15"/>
      <c r="P1302" s="37"/>
      <c r="Q1302" s="15"/>
      <c r="R1302" s="15"/>
      <c r="S1302" s="19"/>
    </row>
    <row r="1303" spans="1:19" x14ac:dyDescent="0.25">
      <c r="A1303" s="82"/>
      <c r="B1303" s="39" t="s">
        <v>5550</v>
      </c>
      <c r="C1303" s="89"/>
      <c r="D1303" s="18">
        <v>100639</v>
      </c>
      <c r="E1303" s="2" t="s">
        <v>28</v>
      </c>
      <c r="F1303" s="15">
        <v>4986</v>
      </c>
      <c r="H1303" s="15">
        <f t="shared" si="39"/>
        <v>4986</v>
      </c>
      <c r="I1303" s="15">
        <f t="shared" si="40"/>
        <v>0</v>
      </c>
      <c r="J1303" s="36"/>
      <c r="K1303" s="17"/>
      <c r="L1303" s="17"/>
      <c r="M1303" s="18"/>
      <c r="O1303" s="15"/>
      <c r="P1303" s="37"/>
      <c r="Q1303" s="15"/>
      <c r="R1303" s="15"/>
      <c r="S1303" s="19"/>
    </row>
    <row r="1304" spans="1:19" x14ac:dyDescent="0.25">
      <c r="A1304" s="82"/>
      <c r="B1304" s="39" t="s">
        <v>5551</v>
      </c>
      <c r="C1304" s="89"/>
      <c r="D1304" s="18">
        <v>100640</v>
      </c>
      <c r="E1304" s="2" t="s">
        <v>712</v>
      </c>
      <c r="F1304" s="15">
        <v>11042.8</v>
      </c>
      <c r="H1304" s="15">
        <f t="shared" si="39"/>
        <v>11042.8</v>
      </c>
      <c r="I1304" s="15">
        <f t="shared" si="40"/>
        <v>0</v>
      </c>
      <c r="J1304" s="36"/>
      <c r="K1304" s="17"/>
      <c r="L1304" s="17"/>
      <c r="M1304" s="18"/>
      <c r="O1304" s="15"/>
      <c r="P1304" s="37"/>
      <c r="Q1304" s="15"/>
      <c r="R1304" s="15"/>
      <c r="S1304" s="19"/>
    </row>
    <row r="1305" spans="1:19" x14ac:dyDescent="0.25">
      <c r="A1305" s="82"/>
      <c r="B1305" s="39" t="s">
        <v>5552</v>
      </c>
      <c r="C1305" s="89"/>
      <c r="D1305" s="18">
        <v>100641</v>
      </c>
      <c r="E1305" s="2" t="s">
        <v>432</v>
      </c>
      <c r="F1305" s="15">
        <v>14686.4</v>
      </c>
      <c r="G1305" s="41">
        <v>42781</v>
      </c>
      <c r="H1305" s="15">
        <f t="shared" si="39"/>
        <v>14686.4</v>
      </c>
      <c r="I1305" s="15">
        <f t="shared" si="40"/>
        <v>0</v>
      </c>
      <c r="J1305" s="36"/>
      <c r="K1305" s="17"/>
      <c r="L1305" s="17"/>
      <c r="M1305" s="18"/>
      <c r="O1305" s="15"/>
      <c r="P1305" s="37"/>
      <c r="Q1305" s="15"/>
      <c r="R1305" s="15"/>
      <c r="S1305" s="19"/>
    </row>
    <row r="1306" spans="1:19" x14ac:dyDescent="0.25">
      <c r="A1306" s="82"/>
      <c r="B1306" s="39" t="s">
        <v>5553</v>
      </c>
      <c r="C1306" s="89"/>
      <c r="D1306" s="18">
        <v>100642</v>
      </c>
      <c r="E1306" s="2" t="s">
        <v>1666</v>
      </c>
      <c r="F1306" s="15">
        <v>15251.4</v>
      </c>
      <c r="G1306" s="41">
        <v>42781</v>
      </c>
      <c r="H1306" s="15">
        <f t="shared" si="39"/>
        <v>15251.4</v>
      </c>
      <c r="I1306" s="15">
        <f t="shared" si="40"/>
        <v>0</v>
      </c>
      <c r="J1306" s="36"/>
      <c r="K1306" s="17"/>
      <c r="L1306" s="17"/>
      <c r="M1306" s="18"/>
      <c r="O1306" s="15"/>
      <c r="P1306" s="37"/>
      <c r="Q1306" s="15"/>
      <c r="R1306" s="15"/>
      <c r="S1306" s="19"/>
    </row>
    <row r="1307" spans="1:19" x14ac:dyDescent="0.25">
      <c r="A1307" s="82"/>
      <c r="B1307" s="39" t="s">
        <v>5554</v>
      </c>
      <c r="C1307" s="89"/>
      <c r="D1307" s="18">
        <v>100643</v>
      </c>
      <c r="E1307" s="2" t="s">
        <v>442</v>
      </c>
      <c r="F1307" s="15">
        <v>2124.1</v>
      </c>
      <c r="G1307" s="41">
        <v>42781</v>
      </c>
      <c r="H1307" s="15">
        <f t="shared" si="39"/>
        <v>2124.1</v>
      </c>
      <c r="I1307" s="15">
        <f t="shared" si="40"/>
        <v>0</v>
      </c>
      <c r="J1307" s="36"/>
      <c r="K1307" s="17"/>
      <c r="L1307" s="17"/>
      <c r="M1307" s="18"/>
      <c r="O1307" s="15"/>
      <c r="P1307" s="37"/>
      <c r="Q1307" s="15"/>
      <c r="R1307" s="15"/>
    </row>
    <row r="1308" spans="1:19" x14ac:dyDescent="0.25">
      <c r="A1308" s="82"/>
      <c r="B1308" s="39" t="s">
        <v>5555</v>
      </c>
      <c r="C1308" s="89"/>
      <c r="D1308" s="18">
        <v>100644</v>
      </c>
      <c r="E1308" s="2" t="s">
        <v>5556</v>
      </c>
      <c r="F1308" s="15">
        <v>49431.199999999997</v>
      </c>
      <c r="G1308" s="41">
        <v>42779</v>
      </c>
      <c r="H1308" s="15">
        <f t="shared" si="39"/>
        <v>49431.199999999997</v>
      </c>
      <c r="I1308" s="15">
        <f t="shared" si="40"/>
        <v>0</v>
      </c>
      <c r="J1308" s="36"/>
      <c r="K1308" s="17"/>
      <c r="L1308" s="17"/>
      <c r="M1308" s="18"/>
      <c r="O1308" s="15"/>
      <c r="P1308" s="37"/>
      <c r="Q1308" s="15"/>
      <c r="R1308" s="15"/>
    </row>
    <row r="1309" spans="1:19" ht="30" x14ac:dyDescent="0.25">
      <c r="A1309" s="82"/>
      <c r="B1309" s="39" t="s">
        <v>5557</v>
      </c>
      <c r="C1309" s="89"/>
      <c r="D1309" s="18">
        <v>100615</v>
      </c>
      <c r="E1309" s="2" t="s">
        <v>49</v>
      </c>
      <c r="F1309" s="15">
        <v>25444.9</v>
      </c>
      <c r="G1309" s="86" t="s">
        <v>5558</v>
      </c>
      <c r="H1309" s="23">
        <f>10000+5444.9+10000</f>
        <v>25444.9</v>
      </c>
      <c r="I1309" s="23">
        <f t="shared" si="40"/>
        <v>0</v>
      </c>
      <c r="J1309" s="36"/>
      <c r="K1309" s="17"/>
      <c r="L1309" s="17"/>
      <c r="M1309" s="18"/>
      <c r="O1309" s="15"/>
      <c r="P1309" s="37"/>
      <c r="Q1309" s="15"/>
      <c r="R1309" s="15"/>
    </row>
    <row r="1310" spans="1:19" x14ac:dyDescent="0.25">
      <c r="A1310" s="82"/>
      <c r="B1310" s="39" t="s">
        <v>5559</v>
      </c>
      <c r="C1310" s="89"/>
      <c r="D1310" s="18">
        <v>100646</v>
      </c>
      <c r="E1310" s="2" t="s">
        <v>5560</v>
      </c>
      <c r="F1310" s="15">
        <v>11500</v>
      </c>
      <c r="G1310" s="41">
        <v>42783</v>
      </c>
      <c r="H1310" s="15">
        <f t="shared" si="39"/>
        <v>11500</v>
      </c>
      <c r="I1310" s="15">
        <f t="shared" si="40"/>
        <v>0</v>
      </c>
      <c r="J1310" s="36"/>
      <c r="K1310" s="17"/>
      <c r="L1310" s="17"/>
      <c r="M1310" s="18"/>
      <c r="O1310" s="15"/>
      <c r="P1310" s="37"/>
      <c r="Q1310" s="15"/>
      <c r="R1310" s="15"/>
    </row>
    <row r="1311" spans="1:19" x14ac:dyDescent="0.25">
      <c r="A1311" s="82"/>
      <c r="B1311" s="39" t="s">
        <v>5561</v>
      </c>
      <c r="C1311" s="89"/>
      <c r="D1311" s="18">
        <v>100647</v>
      </c>
      <c r="E1311" s="2" t="s">
        <v>509</v>
      </c>
      <c r="F1311" s="15">
        <v>376</v>
      </c>
      <c r="H1311" s="15">
        <f t="shared" si="39"/>
        <v>376</v>
      </c>
      <c r="I1311" s="15">
        <f t="shared" si="40"/>
        <v>0</v>
      </c>
      <c r="J1311" s="36"/>
      <c r="K1311" s="17"/>
      <c r="L1311" s="17"/>
      <c r="M1311" s="18"/>
      <c r="O1311" s="15"/>
      <c r="P1311" s="37"/>
      <c r="Q1311" s="15"/>
      <c r="R1311" s="15"/>
    </row>
    <row r="1312" spans="1:19" x14ac:dyDescent="0.25">
      <c r="A1312" s="82"/>
      <c r="B1312" s="39" t="s">
        <v>5562</v>
      </c>
      <c r="C1312" s="89"/>
      <c r="D1312" s="18">
        <v>100648</v>
      </c>
      <c r="E1312" s="2" t="s">
        <v>38</v>
      </c>
      <c r="F1312" s="15">
        <v>6372.3</v>
      </c>
      <c r="G1312" s="41">
        <v>42780</v>
      </c>
      <c r="H1312" s="15">
        <f t="shared" si="39"/>
        <v>6372.3</v>
      </c>
      <c r="I1312" s="15">
        <f t="shared" si="40"/>
        <v>0</v>
      </c>
      <c r="J1312" s="36"/>
      <c r="K1312" s="17"/>
      <c r="L1312" s="17"/>
      <c r="M1312" s="18"/>
      <c r="O1312" s="15"/>
      <c r="P1312" s="37"/>
      <c r="Q1312" s="15"/>
      <c r="R1312" s="15"/>
    </row>
    <row r="1313" spans="1:19" x14ac:dyDescent="0.25">
      <c r="A1313" s="82"/>
      <c r="B1313" s="39" t="s">
        <v>5563</v>
      </c>
      <c r="C1313" s="89"/>
      <c r="D1313" s="18">
        <v>100649</v>
      </c>
      <c r="E1313" s="2" t="s">
        <v>32</v>
      </c>
      <c r="F1313" s="15">
        <v>396.9</v>
      </c>
      <c r="G1313" s="41">
        <v>42781</v>
      </c>
      <c r="H1313" s="15">
        <f t="shared" si="39"/>
        <v>396.9</v>
      </c>
      <c r="I1313" s="15">
        <f t="shared" si="40"/>
        <v>0</v>
      </c>
      <c r="J1313" s="36"/>
      <c r="K1313" s="17"/>
      <c r="L1313" s="17"/>
      <c r="M1313" s="18"/>
      <c r="O1313" s="15"/>
      <c r="P1313" s="37"/>
      <c r="Q1313" s="15"/>
      <c r="R1313" s="15"/>
    </row>
    <row r="1314" spans="1:19" x14ac:dyDescent="0.25">
      <c r="A1314" s="82"/>
      <c r="B1314" s="39" t="s">
        <v>5564</v>
      </c>
      <c r="C1314" s="89"/>
      <c r="D1314" s="18">
        <v>100650</v>
      </c>
      <c r="E1314" s="2" t="s">
        <v>35</v>
      </c>
      <c r="F1314" s="15">
        <v>30446.9</v>
      </c>
      <c r="G1314" s="41">
        <v>42780</v>
      </c>
      <c r="H1314" s="15">
        <f t="shared" si="39"/>
        <v>30446.9</v>
      </c>
      <c r="I1314" s="15">
        <f t="shared" si="40"/>
        <v>0</v>
      </c>
      <c r="J1314" s="36"/>
      <c r="K1314" s="17"/>
      <c r="L1314" s="17"/>
      <c r="M1314" s="18"/>
      <c r="O1314" s="15"/>
      <c r="P1314" s="37"/>
      <c r="Q1314" s="15"/>
      <c r="R1314" s="15"/>
      <c r="S1314" s="19"/>
    </row>
    <row r="1315" spans="1:19" x14ac:dyDescent="0.25">
      <c r="A1315" s="82"/>
      <c r="B1315" s="39" t="s">
        <v>5565</v>
      </c>
      <c r="C1315" s="89"/>
      <c r="D1315" s="18">
        <v>100651</v>
      </c>
      <c r="E1315" s="2" t="s">
        <v>1797</v>
      </c>
      <c r="F1315" s="15">
        <v>14337.2</v>
      </c>
      <c r="G1315" s="41">
        <v>42781</v>
      </c>
      <c r="H1315" s="15">
        <f t="shared" si="39"/>
        <v>14337.2</v>
      </c>
      <c r="I1315" s="15">
        <f t="shared" si="40"/>
        <v>0</v>
      </c>
      <c r="J1315" s="36"/>
      <c r="K1315" s="17"/>
      <c r="L1315" s="17"/>
      <c r="M1315" s="18"/>
      <c r="O1315" s="15"/>
      <c r="P1315" s="37"/>
      <c r="Q1315" s="15"/>
      <c r="R1315" s="15"/>
    </row>
    <row r="1316" spans="1:19" x14ac:dyDescent="0.25">
      <c r="A1316" s="82"/>
      <c r="B1316" s="39" t="s">
        <v>5566</v>
      </c>
      <c r="C1316" s="89"/>
      <c r="D1316" s="18">
        <v>100652</v>
      </c>
      <c r="E1316" s="2" t="s">
        <v>30</v>
      </c>
      <c r="F1316" s="15">
        <v>2462.4</v>
      </c>
      <c r="H1316" s="15">
        <f t="shared" si="39"/>
        <v>2462.4</v>
      </c>
      <c r="I1316" s="15">
        <f t="shared" si="40"/>
        <v>0</v>
      </c>
      <c r="J1316" s="36"/>
      <c r="K1316" s="17"/>
      <c r="L1316" s="17"/>
      <c r="M1316" s="18"/>
      <c r="O1316" s="15"/>
      <c r="P1316" s="37"/>
      <c r="Q1316" s="15"/>
      <c r="R1316" s="15"/>
    </row>
    <row r="1317" spans="1:19" x14ac:dyDescent="0.25">
      <c r="A1317" s="82"/>
      <c r="B1317" s="39" t="s">
        <v>5567</v>
      </c>
      <c r="C1317" s="89"/>
      <c r="D1317" s="18">
        <v>100653</v>
      </c>
      <c r="E1317" s="2" t="s">
        <v>43</v>
      </c>
      <c r="F1317" s="15">
        <v>10588.4</v>
      </c>
      <c r="G1317" s="41">
        <v>42779</v>
      </c>
      <c r="H1317" s="15">
        <f t="shared" si="39"/>
        <v>10588.4</v>
      </c>
      <c r="I1317" s="15">
        <f t="shared" si="40"/>
        <v>0</v>
      </c>
      <c r="J1317" s="36"/>
      <c r="K1317" s="17"/>
      <c r="L1317" s="17"/>
      <c r="M1317" s="18"/>
      <c r="O1317" s="15"/>
      <c r="P1317" s="37"/>
      <c r="Q1317" s="15"/>
      <c r="R1317" s="15"/>
    </row>
    <row r="1318" spans="1:19" x14ac:dyDescent="0.25">
      <c r="A1318" s="82"/>
      <c r="B1318" s="39" t="s">
        <v>5568</v>
      </c>
      <c r="C1318" s="89"/>
      <c r="D1318" s="18">
        <v>100654</v>
      </c>
      <c r="E1318" s="2" t="s">
        <v>67</v>
      </c>
      <c r="F1318" s="15">
        <v>26240.9</v>
      </c>
      <c r="G1318" s="41">
        <v>42780</v>
      </c>
      <c r="H1318" s="15">
        <f t="shared" si="39"/>
        <v>26240.9</v>
      </c>
      <c r="I1318" s="15">
        <f t="shared" si="40"/>
        <v>0</v>
      </c>
      <c r="J1318" s="36"/>
      <c r="K1318" s="17"/>
      <c r="L1318" s="17"/>
      <c r="M1318" s="18"/>
      <c r="O1318" s="15"/>
      <c r="P1318" s="37"/>
      <c r="Q1318" s="15"/>
      <c r="R1318" s="15"/>
    </row>
    <row r="1319" spans="1:19" x14ac:dyDescent="0.25">
      <c r="A1319" s="82"/>
      <c r="B1319" s="39" t="s">
        <v>5569</v>
      </c>
      <c r="C1319" s="89"/>
      <c r="D1319" s="18">
        <v>100655</v>
      </c>
      <c r="E1319" s="2" t="s">
        <v>974</v>
      </c>
      <c r="F1319" s="15">
        <v>9933.2000000000007</v>
      </c>
      <c r="H1319" s="15">
        <f t="shared" si="39"/>
        <v>9933.2000000000007</v>
      </c>
      <c r="I1319" s="15">
        <f t="shared" si="40"/>
        <v>0</v>
      </c>
      <c r="J1319" s="36"/>
      <c r="K1319" s="17"/>
      <c r="L1319" s="17"/>
      <c r="M1319" s="18"/>
      <c r="O1319" s="15"/>
      <c r="P1319" s="37"/>
      <c r="Q1319" s="15"/>
      <c r="R1319" s="15"/>
    </row>
    <row r="1320" spans="1:19" x14ac:dyDescent="0.25">
      <c r="A1320" s="82"/>
      <c r="B1320" s="39" t="s">
        <v>5570</v>
      </c>
      <c r="C1320" s="89"/>
      <c r="D1320" s="18">
        <v>100656</v>
      </c>
      <c r="E1320" s="2" t="s">
        <v>270</v>
      </c>
      <c r="F1320" s="15">
        <v>38912.54</v>
      </c>
      <c r="G1320" s="41">
        <v>42781</v>
      </c>
      <c r="H1320" s="15">
        <f t="shared" si="39"/>
        <v>38912.54</v>
      </c>
      <c r="I1320" s="15">
        <f t="shared" si="40"/>
        <v>0</v>
      </c>
      <c r="J1320" s="36"/>
      <c r="K1320" s="17"/>
      <c r="L1320" s="17"/>
      <c r="M1320" s="18"/>
      <c r="O1320" s="15"/>
      <c r="P1320" s="37"/>
      <c r="Q1320" s="15"/>
      <c r="R1320" s="15"/>
    </row>
    <row r="1321" spans="1:19" x14ac:dyDescent="0.25">
      <c r="A1321" s="82"/>
      <c r="B1321" s="39" t="s">
        <v>5571</v>
      </c>
      <c r="C1321" s="89"/>
      <c r="D1321" s="18">
        <v>100657</v>
      </c>
      <c r="E1321" s="2" t="s">
        <v>30</v>
      </c>
      <c r="F1321" s="15">
        <v>1586.1</v>
      </c>
      <c r="H1321" s="15">
        <f t="shared" si="39"/>
        <v>1586.1</v>
      </c>
      <c r="I1321" s="15">
        <f t="shared" si="40"/>
        <v>0</v>
      </c>
      <c r="J1321" s="36"/>
      <c r="K1321" s="17"/>
      <c r="L1321" s="17"/>
      <c r="M1321" s="18"/>
      <c r="O1321" s="15"/>
      <c r="P1321" s="37"/>
      <c r="Q1321" s="15"/>
      <c r="R1321" s="15"/>
    </row>
    <row r="1322" spans="1:19" x14ac:dyDescent="0.25">
      <c r="A1322" s="82"/>
      <c r="B1322" s="39" t="s">
        <v>5572</v>
      </c>
      <c r="C1322" s="89"/>
      <c r="D1322" s="18">
        <v>100658</v>
      </c>
      <c r="E1322" s="2" t="s">
        <v>40</v>
      </c>
      <c r="F1322" s="15">
        <v>9950.7999999999993</v>
      </c>
      <c r="G1322" s="41">
        <v>42780</v>
      </c>
      <c r="H1322" s="15">
        <f t="shared" si="39"/>
        <v>9950.7999999999993</v>
      </c>
      <c r="I1322" s="15">
        <f t="shared" si="40"/>
        <v>0</v>
      </c>
      <c r="J1322" s="36"/>
      <c r="K1322" s="17"/>
      <c r="L1322" s="17"/>
      <c r="M1322" s="18"/>
      <c r="O1322" s="15"/>
      <c r="P1322" s="37"/>
      <c r="Q1322" s="15"/>
      <c r="R1322" s="15"/>
    </row>
    <row r="1323" spans="1:19" x14ac:dyDescent="0.25">
      <c r="A1323" s="82"/>
      <c r="B1323" s="39" t="s">
        <v>5573</v>
      </c>
      <c r="C1323" s="89"/>
      <c r="D1323" s="18">
        <v>100659</v>
      </c>
      <c r="E1323" s="2" t="s">
        <v>10</v>
      </c>
      <c r="F1323" s="15">
        <v>1416.8</v>
      </c>
      <c r="G1323" s="41">
        <v>42781</v>
      </c>
      <c r="H1323" s="15">
        <f t="shared" si="39"/>
        <v>1416.8</v>
      </c>
      <c r="I1323" s="15">
        <f t="shared" si="40"/>
        <v>0</v>
      </c>
      <c r="J1323" s="36"/>
      <c r="K1323" s="17"/>
      <c r="L1323" s="17"/>
      <c r="M1323" s="18"/>
      <c r="O1323" s="15"/>
      <c r="P1323" s="37"/>
      <c r="Q1323" s="15"/>
      <c r="R1323" s="15"/>
    </row>
    <row r="1324" spans="1:19" x14ac:dyDescent="0.25">
      <c r="A1324" s="82"/>
      <c r="B1324" s="39" t="s">
        <v>5574</v>
      </c>
      <c r="C1324" s="89"/>
      <c r="D1324" s="18">
        <v>100660</v>
      </c>
      <c r="E1324" s="2" t="s">
        <v>5575</v>
      </c>
      <c r="F1324" s="15">
        <v>13172.4</v>
      </c>
      <c r="G1324" s="41">
        <v>42780</v>
      </c>
      <c r="H1324" s="15">
        <f t="shared" si="39"/>
        <v>13172.4</v>
      </c>
      <c r="I1324" s="15">
        <f t="shared" si="40"/>
        <v>0</v>
      </c>
      <c r="J1324" s="36"/>
      <c r="K1324" s="17"/>
      <c r="L1324" s="17"/>
      <c r="M1324" s="18"/>
      <c r="O1324" s="15"/>
      <c r="P1324" s="37"/>
      <c r="Q1324" s="15"/>
      <c r="R1324" s="15"/>
    </row>
    <row r="1325" spans="1:19" x14ac:dyDescent="0.25">
      <c r="A1325" s="82"/>
      <c r="B1325" s="39" t="s">
        <v>5576</v>
      </c>
      <c r="C1325" s="89"/>
      <c r="D1325" s="18">
        <v>100661</v>
      </c>
      <c r="E1325" s="2" t="s">
        <v>250</v>
      </c>
      <c r="F1325" s="15">
        <v>11279.3</v>
      </c>
      <c r="G1325" s="41">
        <v>42780</v>
      </c>
      <c r="H1325" s="15">
        <f t="shared" si="39"/>
        <v>11279.3</v>
      </c>
      <c r="I1325" s="15">
        <f t="shared" si="40"/>
        <v>0</v>
      </c>
      <c r="J1325" s="36"/>
      <c r="K1325" s="17"/>
      <c r="L1325" s="17"/>
      <c r="M1325" s="18"/>
      <c r="O1325" s="15"/>
      <c r="P1325" s="37"/>
      <c r="Q1325" s="15"/>
      <c r="R1325" s="15"/>
    </row>
    <row r="1326" spans="1:19" x14ac:dyDescent="0.25">
      <c r="A1326" s="82"/>
      <c r="B1326" s="39" t="s">
        <v>5577</v>
      </c>
      <c r="C1326" s="89"/>
      <c r="D1326" s="18">
        <v>100662</v>
      </c>
      <c r="E1326" s="2" t="s">
        <v>231</v>
      </c>
      <c r="F1326" s="15">
        <v>988</v>
      </c>
      <c r="G1326" s="41">
        <v>42779</v>
      </c>
      <c r="H1326" s="15">
        <f t="shared" si="39"/>
        <v>988</v>
      </c>
      <c r="I1326" s="15">
        <f t="shared" si="40"/>
        <v>0</v>
      </c>
      <c r="J1326" s="36"/>
      <c r="K1326" s="17"/>
      <c r="L1326" s="17"/>
      <c r="M1326" s="18"/>
      <c r="O1326" s="15"/>
      <c r="P1326" s="37"/>
      <c r="Q1326" s="15"/>
      <c r="R1326" s="15"/>
    </row>
    <row r="1327" spans="1:19" x14ac:dyDescent="0.25">
      <c r="A1327" s="82"/>
      <c r="B1327" s="39" t="s">
        <v>5578</v>
      </c>
      <c r="C1327" s="89"/>
      <c r="D1327" s="18">
        <v>100663</v>
      </c>
      <c r="E1327" s="2" t="s">
        <v>151</v>
      </c>
      <c r="F1327" s="15">
        <v>23745.38</v>
      </c>
      <c r="H1327" s="15">
        <f t="shared" si="39"/>
        <v>23745.38</v>
      </c>
      <c r="I1327" s="15">
        <f t="shared" si="40"/>
        <v>0</v>
      </c>
      <c r="J1327" s="36"/>
      <c r="K1327" s="17"/>
      <c r="L1327" s="17"/>
      <c r="M1327" s="18"/>
      <c r="O1327" s="15"/>
      <c r="P1327" s="37"/>
      <c r="Q1327" s="15"/>
      <c r="R1327" s="15"/>
    </row>
    <row r="1328" spans="1:19" x14ac:dyDescent="0.25">
      <c r="A1328" s="82"/>
      <c r="B1328" s="39" t="s">
        <v>5579</v>
      </c>
      <c r="C1328" s="89"/>
      <c r="D1328" s="18">
        <v>100664</v>
      </c>
      <c r="E1328" s="2" t="s">
        <v>268</v>
      </c>
      <c r="F1328" s="15">
        <v>19581.5</v>
      </c>
      <c r="G1328" s="41">
        <v>42781</v>
      </c>
      <c r="H1328" s="15">
        <f t="shared" si="39"/>
        <v>19581.5</v>
      </c>
      <c r="I1328" s="15">
        <f t="shared" si="40"/>
        <v>0</v>
      </c>
      <c r="J1328" s="36"/>
      <c r="K1328" s="17"/>
      <c r="L1328" s="17"/>
      <c r="M1328" s="18"/>
      <c r="O1328" s="15"/>
      <c r="P1328" s="37"/>
      <c r="Q1328" s="15"/>
      <c r="R1328" s="15"/>
    </row>
    <row r="1329" spans="1:18" x14ac:dyDescent="0.25">
      <c r="A1329" s="82"/>
      <c r="B1329" s="39" t="s">
        <v>5580</v>
      </c>
      <c r="C1329" s="89"/>
      <c r="D1329" s="18">
        <v>100665</v>
      </c>
      <c r="E1329" s="2" t="s">
        <v>51</v>
      </c>
      <c r="F1329" s="15">
        <v>4384.5</v>
      </c>
      <c r="G1329" s="41">
        <v>42781</v>
      </c>
      <c r="H1329" s="15">
        <f t="shared" si="39"/>
        <v>4384.5</v>
      </c>
      <c r="I1329" s="15">
        <f t="shared" si="40"/>
        <v>0</v>
      </c>
      <c r="J1329" s="36"/>
      <c r="K1329" s="17"/>
      <c r="L1329" s="17"/>
      <c r="M1329" s="18"/>
      <c r="O1329" s="15"/>
      <c r="P1329" s="37"/>
      <c r="Q1329" s="15"/>
      <c r="R1329" s="15"/>
    </row>
    <row r="1330" spans="1:18" x14ac:dyDescent="0.25">
      <c r="A1330" s="82"/>
      <c r="B1330" s="39" t="s">
        <v>5581</v>
      </c>
      <c r="C1330" s="89"/>
      <c r="D1330" s="18">
        <v>100666</v>
      </c>
      <c r="E1330" s="2" t="s">
        <v>157</v>
      </c>
      <c r="F1330" s="15">
        <v>31578.48</v>
      </c>
      <c r="H1330" s="15">
        <f t="shared" si="39"/>
        <v>31578.48</v>
      </c>
      <c r="I1330" s="15">
        <f t="shared" si="40"/>
        <v>0</v>
      </c>
      <c r="J1330" s="36"/>
      <c r="K1330" s="17"/>
      <c r="L1330" s="17"/>
      <c r="M1330" s="18"/>
      <c r="O1330" s="15"/>
      <c r="P1330" s="37"/>
      <c r="Q1330" s="15"/>
      <c r="R1330" s="15"/>
    </row>
    <row r="1331" spans="1:18" x14ac:dyDescent="0.25">
      <c r="A1331" s="82"/>
      <c r="B1331" s="39" t="s">
        <v>5582</v>
      </c>
      <c r="C1331" s="89"/>
      <c r="D1331" s="18">
        <v>100667</v>
      </c>
      <c r="E1331" s="2" t="s">
        <v>5583</v>
      </c>
      <c r="F1331" s="15">
        <v>2723</v>
      </c>
      <c r="H1331" s="15">
        <f t="shared" si="39"/>
        <v>2723</v>
      </c>
      <c r="I1331" s="15">
        <f t="shared" si="40"/>
        <v>0</v>
      </c>
      <c r="J1331" s="36"/>
      <c r="K1331" s="17"/>
      <c r="L1331" s="17"/>
      <c r="M1331" s="18"/>
      <c r="O1331" s="15"/>
      <c r="P1331" s="37"/>
      <c r="Q1331" s="15"/>
      <c r="R1331" s="15"/>
    </row>
    <row r="1332" spans="1:18" x14ac:dyDescent="0.25">
      <c r="A1332" s="82"/>
      <c r="B1332" s="39" t="s">
        <v>5584</v>
      </c>
      <c r="C1332" s="89"/>
      <c r="D1332" s="18">
        <v>100668</v>
      </c>
      <c r="E1332" s="2" t="s">
        <v>272</v>
      </c>
      <c r="F1332" s="15">
        <v>3196.8</v>
      </c>
      <c r="G1332" s="41">
        <v>42781</v>
      </c>
      <c r="H1332" s="15">
        <f t="shared" si="39"/>
        <v>3196.8</v>
      </c>
      <c r="I1332" s="15">
        <f t="shared" si="40"/>
        <v>0</v>
      </c>
      <c r="J1332" s="36"/>
      <c r="K1332" s="17"/>
      <c r="L1332" s="17"/>
      <c r="M1332" s="18"/>
      <c r="O1332" s="15"/>
      <c r="P1332" s="37"/>
      <c r="Q1332" s="15"/>
      <c r="R1332" s="15"/>
    </row>
    <row r="1333" spans="1:18" x14ac:dyDescent="0.25">
      <c r="A1333" s="82"/>
      <c r="B1333" s="39" t="s">
        <v>5585</v>
      </c>
      <c r="C1333" s="89"/>
      <c r="D1333" s="18">
        <v>100669</v>
      </c>
      <c r="E1333" s="2" t="s">
        <v>5586</v>
      </c>
      <c r="F1333" s="15">
        <v>46066.5</v>
      </c>
      <c r="G1333" s="41">
        <v>42788</v>
      </c>
      <c r="H1333" s="15">
        <f t="shared" si="39"/>
        <v>46066.5</v>
      </c>
      <c r="I1333" s="15">
        <f t="shared" si="40"/>
        <v>0</v>
      </c>
      <c r="J1333" s="36"/>
      <c r="K1333" s="17"/>
      <c r="L1333" s="17"/>
      <c r="M1333" s="18"/>
      <c r="O1333" s="15"/>
      <c r="P1333" s="37"/>
      <c r="Q1333" s="15"/>
      <c r="R1333" s="15"/>
    </row>
    <row r="1334" spans="1:18" x14ac:dyDescent="0.25">
      <c r="A1334" s="82"/>
      <c r="B1334" s="39" t="s">
        <v>5587</v>
      </c>
      <c r="C1334" s="89"/>
      <c r="D1334" s="18">
        <v>100670</v>
      </c>
      <c r="E1334" s="2" t="s">
        <v>435</v>
      </c>
      <c r="F1334" s="15">
        <v>2129.8000000000002</v>
      </c>
      <c r="G1334" s="41">
        <v>42781</v>
      </c>
      <c r="H1334" s="15">
        <f t="shared" si="39"/>
        <v>2129.8000000000002</v>
      </c>
      <c r="I1334" s="15">
        <f t="shared" si="40"/>
        <v>0</v>
      </c>
      <c r="J1334" s="36"/>
      <c r="K1334" s="17"/>
      <c r="L1334" s="17"/>
      <c r="M1334" s="18"/>
      <c r="O1334" s="15"/>
      <c r="P1334" s="37"/>
      <c r="Q1334" s="15"/>
      <c r="R1334" s="15"/>
    </row>
    <row r="1335" spans="1:18" x14ac:dyDescent="0.25">
      <c r="A1335" s="82"/>
      <c r="B1335" s="39" t="s">
        <v>5588</v>
      </c>
      <c r="C1335" s="89"/>
      <c r="D1335" s="18">
        <v>100671</v>
      </c>
      <c r="E1335" s="2" t="s">
        <v>974</v>
      </c>
      <c r="F1335" s="15">
        <v>7562.8</v>
      </c>
      <c r="G1335" s="41">
        <v>42777</v>
      </c>
      <c r="H1335" s="15">
        <f t="shared" si="39"/>
        <v>7562.8</v>
      </c>
      <c r="I1335" s="15">
        <f t="shared" si="40"/>
        <v>0</v>
      </c>
      <c r="J1335" s="36"/>
      <c r="K1335" s="17"/>
      <c r="L1335" s="17"/>
      <c r="M1335" s="18"/>
      <c r="O1335" s="15"/>
      <c r="P1335" s="37"/>
      <c r="Q1335" s="15"/>
      <c r="R1335" s="15"/>
    </row>
    <row r="1336" spans="1:18" x14ac:dyDescent="0.25">
      <c r="A1336" s="82"/>
      <c r="B1336" s="39" t="s">
        <v>5589</v>
      </c>
      <c r="C1336" s="89"/>
      <c r="D1336" s="18">
        <v>100672</v>
      </c>
      <c r="E1336" s="2" t="s">
        <v>69</v>
      </c>
      <c r="F1336" s="15">
        <v>4345.3999999999996</v>
      </c>
      <c r="G1336" s="41">
        <v>42777</v>
      </c>
      <c r="H1336" s="15">
        <f t="shared" si="39"/>
        <v>4345.3999999999996</v>
      </c>
      <c r="I1336" s="15">
        <f t="shared" si="40"/>
        <v>0</v>
      </c>
      <c r="J1336" s="36"/>
      <c r="K1336" s="17"/>
      <c r="L1336" s="17"/>
      <c r="M1336" s="18"/>
      <c r="O1336" s="15"/>
      <c r="P1336" s="37"/>
      <c r="Q1336" s="15"/>
      <c r="R1336" s="15"/>
    </row>
    <row r="1337" spans="1:18" x14ac:dyDescent="0.25">
      <c r="A1337" s="82"/>
      <c r="B1337" s="39" t="s">
        <v>5590</v>
      </c>
      <c r="C1337" s="89"/>
      <c r="D1337" s="18">
        <v>100673</v>
      </c>
      <c r="E1337" s="2" t="s">
        <v>492</v>
      </c>
      <c r="F1337" s="15">
        <v>31376.6</v>
      </c>
      <c r="G1337" s="41">
        <v>42778</v>
      </c>
      <c r="H1337" s="15">
        <f t="shared" si="39"/>
        <v>31376.6</v>
      </c>
      <c r="I1337" s="15">
        <f t="shared" si="40"/>
        <v>0</v>
      </c>
      <c r="J1337" s="36"/>
      <c r="K1337" s="17"/>
      <c r="L1337" s="17"/>
      <c r="M1337" s="18"/>
      <c r="O1337" s="15"/>
      <c r="P1337" s="37"/>
      <c r="Q1337" s="15"/>
      <c r="R1337" s="15"/>
    </row>
    <row r="1338" spans="1:18" x14ac:dyDescent="0.25">
      <c r="A1338" s="82"/>
      <c r="B1338" s="39" t="s">
        <v>5591</v>
      </c>
      <c r="C1338" s="89"/>
      <c r="D1338" s="18">
        <v>100674</v>
      </c>
      <c r="E1338" s="2" t="s">
        <v>470</v>
      </c>
      <c r="F1338" s="15">
        <v>12258.6</v>
      </c>
      <c r="G1338" s="41">
        <v>42777</v>
      </c>
      <c r="H1338" s="15">
        <f t="shared" si="39"/>
        <v>12258.6</v>
      </c>
      <c r="I1338" s="15">
        <f t="shared" si="40"/>
        <v>0</v>
      </c>
      <c r="J1338" s="36"/>
      <c r="K1338" s="17"/>
      <c r="L1338" s="17"/>
      <c r="M1338" s="18"/>
      <c r="O1338" s="15"/>
      <c r="P1338" s="37"/>
      <c r="Q1338" s="15"/>
      <c r="R1338" s="15"/>
    </row>
    <row r="1339" spans="1:18" x14ac:dyDescent="0.25">
      <c r="A1339" s="82"/>
      <c r="B1339" s="39" t="s">
        <v>5592</v>
      </c>
      <c r="C1339" s="89"/>
      <c r="D1339" s="18">
        <v>100675</v>
      </c>
      <c r="E1339" s="2" t="s">
        <v>270</v>
      </c>
      <c r="F1339" s="15">
        <v>456</v>
      </c>
      <c r="G1339" s="41">
        <v>42781</v>
      </c>
      <c r="H1339" s="15">
        <f t="shared" si="39"/>
        <v>456</v>
      </c>
      <c r="I1339" s="15">
        <f t="shared" si="40"/>
        <v>0</v>
      </c>
      <c r="J1339" s="36"/>
      <c r="K1339" s="17"/>
      <c r="L1339" s="17"/>
      <c r="M1339" s="18"/>
      <c r="O1339" s="15"/>
      <c r="P1339" s="37"/>
      <c r="Q1339" s="15"/>
      <c r="R1339" s="15"/>
    </row>
    <row r="1340" spans="1:18" x14ac:dyDescent="0.25">
      <c r="A1340" s="82"/>
      <c r="B1340" s="39" t="s">
        <v>5593</v>
      </c>
      <c r="C1340" s="89"/>
      <c r="D1340" s="18">
        <v>100676</v>
      </c>
      <c r="E1340" s="2" t="s">
        <v>3425</v>
      </c>
      <c r="F1340" s="15">
        <v>2083.1999999999998</v>
      </c>
      <c r="G1340" s="41">
        <v>42777</v>
      </c>
      <c r="H1340" s="15">
        <f t="shared" si="39"/>
        <v>2083.1999999999998</v>
      </c>
      <c r="I1340" s="15">
        <f t="shared" si="40"/>
        <v>0</v>
      </c>
      <c r="J1340" s="36"/>
      <c r="K1340" s="17"/>
      <c r="L1340" s="17"/>
      <c r="M1340" s="18"/>
      <c r="O1340" s="15"/>
      <c r="P1340" s="37"/>
      <c r="Q1340" s="15"/>
      <c r="R1340" s="15"/>
    </row>
    <row r="1341" spans="1:18" x14ac:dyDescent="0.25">
      <c r="A1341" s="82"/>
      <c r="B1341" s="39" t="s">
        <v>5594</v>
      </c>
      <c r="C1341" s="89"/>
      <c r="D1341" s="18">
        <v>100677</v>
      </c>
      <c r="E1341" s="2" t="s">
        <v>1830</v>
      </c>
      <c r="F1341" s="15">
        <v>20153.599999999999</v>
      </c>
      <c r="G1341" s="41">
        <v>42777</v>
      </c>
      <c r="H1341" s="15">
        <f t="shared" si="39"/>
        <v>20153.599999999999</v>
      </c>
      <c r="I1341" s="15">
        <f t="shared" si="40"/>
        <v>0</v>
      </c>
      <c r="J1341" s="36"/>
      <c r="K1341" s="17"/>
      <c r="L1341" s="17"/>
      <c r="M1341" s="18"/>
      <c r="O1341" s="15"/>
      <c r="P1341" s="37"/>
      <c r="Q1341" s="15"/>
      <c r="R1341" s="15"/>
    </row>
    <row r="1342" spans="1:18" x14ac:dyDescent="0.25">
      <c r="A1342" s="82"/>
      <c r="B1342" s="39" t="s">
        <v>5595</v>
      </c>
      <c r="C1342" s="89"/>
      <c r="D1342" s="18">
        <v>100678</v>
      </c>
      <c r="E1342" s="2" t="s">
        <v>457</v>
      </c>
      <c r="F1342" s="15">
        <v>5579.4</v>
      </c>
      <c r="G1342" s="41">
        <v>42777</v>
      </c>
      <c r="H1342" s="15">
        <f t="shared" si="39"/>
        <v>5579.4</v>
      </c>
      <c r="I1342" s="15">
        <f t="shared" si="40"/>
        <v>0</v>
      </c>
      <c r="J1342" s="36"/>
      <c r="K1342" s="17"/>
      <c r="L1342" s="17"/>
      <c r="M1342" s="18"/>
      <c r="O1342" s="15"/>
      <c r="P1342" s="37"/>
      <c r="Q1342" s="15"/>
      <c r="R1342" s="15"/>
    </row>
    <row r="1343" spans="1:18" x14ac:dyDescent="0.25">
      <c r="A1343" s="82"/>
      <c r="B1343" s="39" t="s">
        <v>5596</v>
      </c>
      <c r="C1343" s="89"/>
      <c r="D1343" s="18">
        <v>100679</v>
      </c>
      <c r="E1343" s="13" t="s">
        <v>435</v>
      </c>
      <c r="F1343" s="14">
        <v>0</v>
      </c>
      <c r="G1343" s="88" t="s">
        <v>95</v>
      </c>
      <c r="H1343" s="14">
        <f t="shared" si="39"/>
        <v>0</v>
      </c>
      <c r="I1343" s="14">
        <f t="shared" si="40"/>
        <v>0</v>
      </c>
      <c r="J1343" s="36"/>
      <c r="K1343" s="17"/>
      <c r="L1343" s="17"/>
      <c r="M1343" s="18"/>
      <c r="O1343" s="15"/>
      <c r="P1343" s="37"/>
      <c r="Q1343" s="15"/>
      <c r="R1343" s="15"/>
    </row>
    <row r="1344" spans="1:18" x14ac:dyDescent="0.25">
      <c r="A1344" s="82"/>
      <c r="B1344" s="39" t="s">
        <v>5597</v>
      </c>
      <c r="C1344" s="89"/>
      <c r="D1344" s="18">
        <v>100680</v>
      </c>
      <c r="E1344" s="2" t="s">
        <v>1116</v>
      </c>
      <c r="F1344" s="15">
        <v>3992.2</v>
      </c>
      <c r="G1344" s="41">
        <v>42778</v>
      </c>
      <c r="H1344" s="15">
        <f t="shared" si="39"/>
        <v>3992.2</v>
      </c>
      <c r="I1344" s="15">
        <f t="shared" si="40"/>
        <v>0</v>
      </c>
      <c r="J1344" s="36"/>
      <c r="K1344" s="17"/>
      <c r="L1344" s="17"/>
      <c r="M1344" s="18"/>
      <c r="O1344" s="15"/>
      <c r="P1344" s="37"/>
      <c r="Q1344" s="15"/>
      <c r="R1344" s="15"/>
    </row>
    <row r="1345" spans="1:18" x14ac:dyDescent="0.25">
      <c r="A1345" s="82"/>
      <c r="B1345" s="39" t="s">
        <v>5598</v>
      </c>
      <c r="C1345" s="89"/>
      <c r="D1345" s="18">
        <v>100681</v>
      </c>
      <c r="E1345" s="2" t="s">
        <v>79</v>
      </c>
      <c r="F1345" s="15">
        <v>780</v>
      </c>
      <c r="G1345" s="41">
        <v>42777</v>
      </c>
      <c r="H1345" s="15">
        <f t="shared" si="39"/>
        <v>780</v>
      </c>
      <c r="I1345" s="15">
        <f t="shared" si="40"/>
        <v>0</v>
      </c>
      <c r="J1345" s="36"/>
      <c r="K1345" s="17"/>
      <c r="L1345" s="17"/>
      <c r="M1345" s="18"/>
      <c r="O1345" s="15"/>
      <c r="P1345" s="37"/>
      <c r="Q1345" s="15"/>
      <c r="R1345" s="15"/>
    </row>
    <row r="1346" spans="1:18" x14ac:dyDescent="0.25">
      <c r="A1346" s="82"/>
      <c r="B1346" s="39" t="s">
        <v>5599</v>
      </c>
      <c r="C1346" s="89"/>
      <c r="D1346" s="18">
        <v>100682</v>
      </c>
      <c r="E1346" s="2" t="s">
        <v>10</v>
      </c>
      <c r="F1346" s="15">
        <v>12253.6</v>
      </c>
      <c r="G1346" s="41">
        <v>42781</v>
      </c>
      <c r="H1346" s="15">
        <f t="shared" si="39"/>
        <v>12253.6</v>
      </c>
      <c r="I1346" s="15">
        <f t="shared" si="40"/>
        <v>0</v>
      </c>
      <c r="J1346" s="36"/>
      <c r="K1346" s="17"/>
      <c r="L1346" s="17"/>
      <c r="M1346" s="18"/>
      <c r="O1346" s="15"/>
      <c r="P1346" s="37"/>
      <c r="Q1346" s="15"/>
      <c r="R1346" s="15"/>
    </row>
    <row r="1347" spans="1:18" x14ac:dyDescent="0.25">
      <c r="A1347" s="82"/>
      <c r="B1347" s="39" t="s">
        <v>5600</v>
      </c>
      <c r="C1347" s="89"/>
      <c r="D1347" s="18">
        <v>100683</v>
      </c>
      <c r="E1347" s="2" t="s">
        <v>509</v>
      </c>
      <c r="F1347" s="15">
        <v>15192</v>
      </c>
      <c r="G1347" s="41">
        <v>42787</v>
      </c>
      <c r="H1347" s="15">
        <f t="shared" si="39"/>
        <v>15192</v>
      </c>
      <c r="I1347" s="15">
        <f t="shared" si="40"/>
        <v>0</v>
      </c>
      <c r="J1347" s="36"/>
      <c r="K1347" s="17"/>
      <c r="L1347" s="17"/>
      <c r="M1347" s="18"/>
      <c r="O1347" s="15"/>
      <c r="P1347" s="37"/>
      <c r="Q1347" s="15"/>
      <c r="R1347" s="15"/>
    </row>
    <row r="1348" spans="1:18" x14ac:dyDescent="0.25">
      <c r="A1348" s="82"/>
      <c r="B1348" s="39" t="s">
        <v>5601</v>
      </c>
      <c r="C1348" s="89"/>
      <c r="D1348" s="18">
        <v>100684</v>
      </c>
      <c r="E1348" s="2" t="s">
        <v>47</v>
      </c>
      <c r="F1348" s="15">
        <v>3252</v>
      </c>
      <c r="G1348" s="41">
        <v>42777</v>
      </c>
      <c r="H1348" s="15">
        <f t="shared" si="39"/>
        <v>3252</v>
      </c>
      <c r="I1348" s="15">
        <f t="shared" si="40"/>
        <v>0</v>
      </c>
      <c r="J1348" s="36"/>
      <c r="K1348" s="17"/>
      <c r="L1348" s="17"/>
      <c r="M1348" s="18"/>
      <c r="O1348" s="15"/>
      <c r="P1348" s="37"/>
      <c r="Q1348" s="15"/>
      <c r="R1348" s="15"/>
    </row>
    <row r="1349" spans="1:18" x14ac:dyDescent="0.25">
      <c r="A1349" s="82"/>
      <c r="B1349" s="39" t="s">
        <v>5602</v>
      </c>
      <c r="C1349" s="89"/>
      <c r="D1349" s="18">
        <v>100685</v>
      </c>
      <c r="E1349" s="2" t="s">
        <v>205</v>
      </c>
      <c r="F1349" s="15">
        <v>67385.100000000006</v>
      </c>
      <c r="G1349" s="41">
        <v>42777</v>
      </c>
      <c r="H1349" s="15">
        <f t="shared" si="39"/>
        <v>67385.100000000006</v>
      </c>
      <c r="I1349" s="15">
        <f t="shared" si="40"/>
        <v>0</v>
      </c>
      <c r="J1349" s="36"/>
      <c r="K1349" s="17"/>
      <c r="L1349" s="17"/>
      <c r="M1349" s="18"/>
      <c r="O1349" s="15"/>
      <c r="P1349" s="37"/>
      <c r="Q1349" s="15"/>
      <c r="R1349" s="15"/>
    </row>
    <row r="1350" spans="1:18" x14ac:dyDescent="0.25">
      <c r="A1350" s="82"/>
      <c r="B1350" s="39" t="s">
        <v>5603</v>
      </c>
      <c r="C1350" s="89"/>
      <c r="D1350" s="18">
        <v>100686</v>
      </c>
      <c r="E1350" s="2" t="s">
        <v>12</v>
      </c>
      <c r="F1350" s="15">
        <v>2489.1999999999998</v>
      </c>
      <c r="G1350" s="41">
        <v>42777</v>
      </c>
      <c r="H1350" s="15">
        <f t="shared" si="39"/>
        <v>2489.1999999999998</v>
      </c>
      <c r="I1350" s="15">
        <f t="shared" si="40"/>
        <v>0</v>
      </c>
      <c r="J1350" s="36"/>
      <c r="K1350" s="17"/>
      <c r="L1350" s="17"/>
      <c r="M1350" s="18"/>
      <c r="O1350" s="15"/>
      <c r="P1350" s="37"/>
      <c r="Q1350" s="15"/>
      <c r="R1350" s="15"/>
    </row>
    <row r="1351" spans="1:18" x14ac:dyDescent="0.25">
      <c r="A1351" s="82"/>
      <c r="B1351" s="39" t="s">
        <v>5604</v>
      </c>
      <c r="C1351" s="89"/>
      <c r="D1351" s="18">
        <v>100687</v>
      </c>
      <c r="E1351" s="2" t="s">
        <v>159</v>
      </c>
      <c r="F1351" s="15">
        <v>7799.2</v>
      </c>
      <c r="G1351" s="41">
        <v>42777</v>
      </c>
      <c r="H1351" s="15">
        <f t="shared" si="39"/>
        <v>7799.2</v>
      </c>
      <c r="I1351" s="15">
        <f t="shared" si="40"/>
        <v>0</v>
      </c>
      <c r="J1351" s="36"/>
      <c r="K1351" s="17"/>
      <c r="L1351" s="17"/>
      <c r="M1351" s="18"/>
      <c r="O1351" s="15"/>
      <c r="P1351" s="37"/>
      <c r="Q1351" s="15"/>
      <c r="R1351" s="15"/>
    </row>
    <row r="1352" spans="1:18" x14ac:dyDescent="0.25">
      <c r="A1352" s="82"/>
      <c r="B1352" s="39" t="s">
        <v>5605</v>
      </c>
      <c r="C1352" s="89"/>
      <c r="D1352" s="18">
        <v>100688</v>
      </c>
      <c r="E1352" s="2" t="s">
        <v>103</v>
      </c>
      <c r="F1352" s="15">
        <v>3346.7</v>
      </c>
      <c r="G1352" s="41">
        <v>42777</v>
      </c>
      <c r="H1352" s="15">
        <f t="shared" si="39"/>
        <v>3346.7</v>
      </c>
      <c r="I1352" s="15">
        <f t="shared" si="40"/>
        <v>0</v>
      </c>
      <c r="J1352" s="36"/>
      <c r="K1352" s="17"/>
      <c r="L1352" s="17"/>
      <c r="M1352" s="18"/>
      <c r="O1352" s="15"/>
      <c r="P1352" s="37"/>
      <c r="Q1352" s="15"/>
      <c r="R1352" s="15"/>
    </row>
    <row r="1353" spans="1:18" x14ac:dyDescent="0.25">
      <c r="A1353" s="82"/>
      <c r="B1353" s="39" t="s">
        <v>5606</v>
      </c>
      <c r="C1353" s="89"/>
      <c r="D1353" s="18">
        <v>100689</v>
      </c>
      <c r="E1353" s="2" t="s">
        <v>103</v>
      </c>
      <c r="F1353" s="15">
        <v>96</v>
      </c>
      <c r="G1353" s="41">
        <v>42777</v>
      </c>
      <c r="H1353" s="15">
        <f t="shared" si="39"/>
        <v>96</v>
      </c>
      <c r="I1353" s="15">
        <f t="shared" si="40"/>
        <v>0</v>
      </c>
      <c r="J1353" s="36"/>
      <c r="K1353" s="17"/>
      <c r="L1353" s="17"/>
      <c r="M1353" s="18"/>
      <c r="O1353" s="15"/>
      <c r="P1353" s="37"/>
      <c r="Q1353" s="15"/>
      <c r="R1353" s="15"/>
    </row>
    <row r="1354" spans="1:18" x14ac:dyDescent="0.25">
      <c r="A1354" s="82"/>
      <c r="B1354" s="39" t="s">
        <v>5607</v>
      </c>
      <c r="C1354" s="89"/>
      <c r="D1354" s="18">
        <v>100690</v>
      </c>
      <c r="E1354" s="2" t="s">
        <v>101</v>
      </c>
      <c r="F1354" s="15">
        <v>1974.7</v>
      </c>
      <c r="G1354" s="41">
        <v>42777</v>
      </c>
      <c r="H1354" s="15">
        <f t="shared" si="39"/>
        <v>1974.7</v>
      </c>
      <c r="I1354" s="15">
        <f t="shared" si="40"/>
        <v>0</v>
      </c>
      <c r="J1354" s="36"/>
      <c r="K1354" s="17"/>
      <c r="L1354" s="17"/>
      <c r="M1354" s="18"/>
      <c r="O1354" s="15"/>
      <c r="P1354" s="37"/>
      <c r="Q1354" s="15"/>
      <c r="R1354" s="15"/>
    </row>
    <row r="1355" spans="1:18" x14ac:dyDescent="0.25">
      <c r="A1355" s="82"/>
      <c r="B1355" s="39" t="s">
        <v>5608</v>
      </c>
      <c r="C1355" s="89"/>
      <c r="D1355" s="18">
        <v>100691</v>
      </c>
      <c r="E1355" s="2" t="s">
        <v>281</v>
      </c>
      <c r="F1355" s="15">
        <v>2082</v>
      </c>
      <c r="G1355" s="41">
        <v>42777</v>
      </c>
      <c r="H1355" s="15">
        <f t="shared" si="39"/>
        <v>2082</v>
      </c>
      <c r="I1355" s="15">
        <f t="shared" si="40"/>
        <v>0</v>
      </c>
      <c r="J1355" s="36"/>
      <c r="K1355" s="17"/>
      <c r="L1355" s="17"/>
      <c r="M1355" s="18"/>
      <c r="O1355" s="15"/>
      <c r="P1355" s="37"/>
      <c r="Q1355" s="15"/>
      <c r="R1355" s="15"/>
    </row>
    <row r="1356" spans="1:18" x14ac:dyDescent="0.25">
      <c r="A1356" s="82"/>
      <c r="B1356" s="39" t="s">
        <v>5609</v>
      </c>
      <c r="C1356" s="89"/>
      <c r="D1356" s="18">
        <v>100692</v>
      </c>
      <c r="E1356" s="2" t="s">
        <v>99</v>
      </c>
      <c r="F1356" s="15">
        <v>3439.8</v>
      </c>
      <c r="G1356" s="41">
        <v>42777</v>
      </c>
      <c r="H1356" s="15">
        <f t="shared" si="39"/>
        <v>3439.8</v>
      </c>
      <c r="I1356" s="15">
        <f t="shared" si="40"/>
        <v>0</v>
      </c>
      <c r="J1356" s="36"/>
      <c r="K1356" s="17"/>
      <c r="L1356" s="17"/>
      <c r="M1356" s="18"/>
      <c r="O1356" s="15"/>
      <c r="P1356" s="37"/>
      <c r="Q1356" s="15"/>
      <c r="R1356" s="15"/>
    </row>
    <row r="1357" spans="1:18" x14ac:dyDescent="0.25">
      <c r="A1357" s="82"/>
      <c r="B1357" s="39" t="s">
        <v>5610</v>
      </c>
      <c r="C1357" s="89"/>
      <c r="D1357" s="18">
        <v>100693</v>
      </c>
      <c r="E1357" s="2" t="s">
        <v>476</v>
      </c>
      <c r="F1357" s="15">
        <v>32240.400000000001</v>
      </c>
      <c r="G1357" s="41">
        <v>42780</v>
      </c>
      <c r="H1357" s="15">
        <f t="shared" si="39"/>
        <v>32240.400000000001</v>
      </c>
      <c r="I1357" s="15">
        <f t="shared" si="40"/>
        <v>0</v>
      </c>
      <c r="J1357" s="36"/>
      <c r="K1357" s="17"/>
      <c r="L1357" s="17"/>
      <c r="M1357" s="18"/>
      <c r="O1357" s="15"/>
      <c r="P1357" s="37"/>
      <c r="Q1357" s="15"/>
      <c r="R1357" s="15"/>
    </row>
    <row r="1358" spans="1:18" x14ac:dyDescent="0.25">
      <c r="A1358" s="82"/>
      <c r="B1358" s="39" t="s">
        <v>5611</v>
      </c>
      <c r="C1358" s="89"/>
      <c r="D1358" s="18">
        <v>100694</v>
      </c>
      <c r="E1358" s="2" t="s">
        <v>4367</v>
      </c>
      <c r="F1358" s="15">
        <v>1643.2</v>
      </c>
      <c r="G1358" s="41">
        <v>42777</v>
      </c>
      <c r="H1358" s="15">
        <f t="shared" si="39"/>
        <v>1643.2</v>
      </c>
      <c r="I1358" s="15">
        <f t="shared" si="40"/>
        <v>0</v>
      </c>
      <c r="J1358" s="36"/>
      <c r="K1358" s="17"/>
      <c r="L1358" s="17"/>
      <c r="M1358" s="18"/>
      <c r="O1358" s="15"/>
      <c r="P1358" s="37"/>
      <c r="Q1358" s="15"/>
      <c r="R1358" s="15"/>
    </row>
    <row r="1359" spans="1:18" x14ac:dyDescent="0.25">
      <c r="A1359" s="82"/>
      <c r="B1359" s="39" t="s">
        <v>5612</v>
      </c>
      <c r="C1359" s="89"/>
      <c r="D1359" s="18">
        <v>100695</v>
      </c>
      <c r="E1359" s="2" t="s">
        <v>1081</v>
      </c>
      <c r="F1359" s="15">
        <v>385</v>
      </c>
      <c r="G1359" s="41">
        <v>42777</v>
      </c>
      <c r="H1359" s="15">
        <f t="shared" si="39"/>
        <v>385</v>
      </c>
      <c r="I1359" s="15">
        <f t="shared" si="40"/>
        <v>0</v>
      </c>
      <c r="J1359" s="36"/>
      <c r="K1359" s="17"/>
      <c r="L1359" s="17"/>
      <c r="M1359" s="18"/>
      <c r="O1359" s="15"/>
      <c r="P1359" s="37"/>
      <c r="Q1359" s="15"/>
      <c r="R1359" s="15"/>
    </row>
    <row r="1360" spans="1:18" x14ac:dyDescent="0.25">
      <c r="A1360" s="82"/>
      <c r="B1360" s="39" t="s">
        <v>5613</v>
      </c>
      <c r="C1360" s="89"/>
      <c r="D1360" s="18">
        <v>100696</v>
      </c>
      <c r="E1360" s="2" t="s">
        <v>293</v>
      </c>
      <c r="F1360" s="15">
        <v>1203.3</v>
      </c>
      <c r="G1360" s="41">
        <v>42777</v>
      </c>
      <c r="H1360" s="15">
        <f t="shared" si="39"/>
        <v>1203.3</v>
      </c>
      <c r="I1360" s="15">
        <f t="shared" si="40"/>
        <v>0</v>
      </c>
      <c r="J1360" s="36"/>
      <c r="K1360" s="17"/>
      <c r="L1360" s="17"/>
      <c r="M1360" s="18"/>
      <c r="O1360" s="15"/>
      <c r="P1360" s="37"/>
      <c r="Q1360" s="15"/>
      <c r="R1360" s="15"/>
    </row>
    <row r="1361" spans="1:18" x14ac:dyDescent="0.25">
      <c r="A1361" s="82"/>
      <c r="B1361" s="39" t="s">
        <v>5614</v>
      </c>
      <c r="C1361" s="89"/>
      <c r="D1361" s="18">
        <v>100697</v>
      </c>
      <c r="E1361" s="2" t="s">
        <v>448</v>
      </c>
      <c r="F1361" s="15">
        <v>660</v>
      </c>
      <c r="G1361" s="41">
        <v>42777</v>
      </c>
      <c r="H1361" s="15">
        <f t="shared" si="39"/>
        <v>660</v>
      </c>
      <c r="I1361" s="15">
        <f t="shared" si="40"/>
        <v>0</v>
      </c>
      <c r="J1361" s="36"/>
      <c r="K1361" s="17"/>
      <c r="L1361" s="17"/>
      <c r="M1361" s="18"/>
      <c r="O1361" s="15"/>
      <c r="P1361" s="37"/>
      <c r="Q1361" s="15"/>
      <c r="R1361" s="15"/>
    </row>
    <row r="1362" spans="1:18" x14ac:dyDescent="0.25">
      <c r="A1362" s="82"/>
      <c r="B1362" s="39" t="s">
        <v>5615</v>
      </c>
      <c r="C1362" s="89"/>
      <c r="D1362" s="18">
        <v>100698</v>
      </c>
      <c r="E1362" s="2" t="s">
        <v>305</v>
      </c>
      <c r="F1362" s="15">
        <v>9201</v>
      </c>
      <c r="G1362" s="41">
        <v>42784</v>
      </c>
      <c r="H1362" s="15">
        <f t="shared" si="39"/>
        <v>9201</v>
      </c>
      <c r="I1362" s="15">
        <f t="shared" si="40"/>
        <v>0</v>
      </c>
      <c r="J1362" s="36"/>
      <c r="K1362" s="17"/>
      <c r="L1362" s="17"/>
      <c r="M1362" s="18"/>
      <c r="O1362" s="15"/>
      <c r="P1362" s="37"/>
      <c r="Q1362" s="15"/>
      <c r="R1362" s="15"/>
    </row>
    <row r="1363" spans="1:18" x14ac:dyDescent="0.25">
      <c r="A1363" s="82"/>
      <c r="B1363" s="39" t="s">
        <v>5616</v>
      </c>
      <c r="C1363" s="89"/>
      <c r="D1363" s="18">
        <v>100699</v>
      </c>
      <c r="E1363" s="2" t="s">
        <v>291</v>
      </c>
      <c r="F1363" s="15">
        <v>2483.6999999999998</v>
      </c>
      <c r="G1363" s="41">
        <v>42777</v>
      </c>
      <c r="H1363" s="15">
        <f t="shared" si="39"/>
        <v>2483.6999999999998</v>
      </c>
      <c r="I1363" s="15">
        <f t="shared" si="40"/>
        <v>0</v>
      </c>
      <c r="J1363" s="36"/>
      <c r="K1363" s="17"/>
      <c r="L1363" s="17"/>
      <c r="M1363" s="18"/>
      <c r="O1363" s="15"/>
      <c r="P1363" s="37"/>
      <c r="Q1363" s="15"/>
      <c r="R1363" s="15"/>
    </row>
    <row r="1364" spans="1:18" x14ac:dyDescent="0.25">
      <c r="A1364" s="82"/>
      <c r="B1364" s="39" t="s">
        <v>5617</v>
      </c>
      <c r="C1364" s="89"/>
      <c r="D1364" s="18">
        <v>100700</v>
      </c>
      <c r="E1364" s="2" t="s">
        <v>125</v>
      </c>
      <c r="F1364" s="15">
        <v>11055.6</v>
      </c>
      <c r="G1364" s="41">
        <v>42777</v>
      </c>
      <c r="H1364" s="15">
        <f t="shared" si="39"/>
        <v>11055.6</v>
      </c>
      <c r="I1364" s="15">
        <f t="shared" si="40"/>
        <v>0</v>
      </c>
      <c r="J1364" s="36"/>
      <c r="K1364" s="17"/>
      <c r="L1364" s="17"/>
      <c r="M1364" s="18"/>
      <c r="O1364" s="15"/>
      <c r="P1364" s="37"/>
      <c r="Q1364" s="15"/>
      <c r="R1364" s="15"/>
    </row>
    <row r="1365" spans="1:18" x14ac:dyDescent="0.25">
      <c r="A1365" s="82"/>
      <c r="B1365" s="39" t="s">
        <v>5618</v>
      </c>
      <c r="C1365" s="89"/>
      <c r="D1365" s="18">
        <v>100701</v>
      </c>
      <c r="E1365" s="2" t="s">
        <v>83</v>
      </c>
      <c r="F1365" s="15">
        <v>3993.3</v>
      </c>
      <c r="G1365" s="41">
        <v>42777</v>
      </c>
      <c r="H1365" s="15">
        <f t="shared" si="39"/>
        <v>3993.3</v>
      </c>
      <c r="I1365" s="15">
        <f t="shared" si="40"/>
        <v>0</v>
      </c>
      <c r="J1365" s="36"/>
      <c r="K1365" s="17"/>
      <c r="L1365" s="17"/>
      <c r="M1365" s="18"/>
      <c r="O1365" s="15"/>
      <c r="P1365" s="37"/>
      <c r="Q1365" s="15"/>
      <c r="R1365" s="15"/>
    </row>
    <row r="1366" spans="1:18" x14ac:dyDescent="0.25">
      <c r="A1366" s="82"/>
      <c r="B1366" s="39" t="s">
        <v>5619</v>
      </c>
      <c r="C1366" s="89"/>
      <c r="D1366" s="18">
        <v>100702</v>
      </c>
      <c r="E1366" s="2" t="s">
        <v>472</v>
      </c>
      <c r="F1366" s="15">
        <v>21224</v>
      </c>
      <c r="G1366" s="41">
        <v>42781</v>
      </c>
      <c r="H1366" s="15">
        <f t="shared" si="39"/>
        <v>21224</v>
      </c>
      <c r="I1366" s="15">
        <f t="shared" si="40"/>
        <v>0</v>
      </c>
      <c r="J1366" s="36"/>
      <c r="K1366" s="17"/>
      <c r="L1366" s="17"/>
      <c r="M1366" s="18"/>
      <c r="O1366" s="15"/>
      <c r="P1366" s="37"/>
      <c r="Q1366" s="15"/>
      <c r="R1366" s="15"/>
    </row>
    <row r="1367" spans="1:18" x14ac:dyDescent="0.25">
      <c r="A1367" s="82"/>
      <c r="B1367" s="39" t="s">
        <v>5620</v>
      </c>
      <c r="C1367" s="89"/>
      <c r="D1367" s="18">
        <v>100703</v>
      </c>
      <c r="E1367" s="2" t="s">
        <v>613</v>
      </c>
      <c r="F1367" s="15">
        <v>3998.4</v>
      </c>
      <c r="G1367" s="41">
        <v>42777</v>
      </c>
      <c r="H1367" s="15">
        <f t="shared" si="39"/>
        <v>3998.4</v>
      </c>
      <c r="I1367" s="15">
        <f t="shared" si="40"/>
        <v>0</v>
      </c>
      <c r="J1367" s="36"/>
      <c r="K1367" s="17"/>
      <c r="L1367" s="17"/>
      <c r="M1367" s="18"/>
      <c r="O1367" s="15"/>
      <c r="P1367" s="37"/>
      <c r="Q1367" s="15"/>
      <c r="R1367" s="15"/>
    </row>
    <row r="1368" spans="1:18" x14ac:dyDescent="0.25">
      <c r="A1368" s="82"/>
      <c r="B1368" s="39" t="s">
        <v>5621</v>
      </c>
      <c r="C1368" s="89"/>
      <c r="D1368" s="18">
        <v>100704</v>
      </c>
      <c r="E1368" s="2" t="s">
        <v>445</v>
      </c>
      <c r="F1368" s="15">
        <v>1228.2</v>
      </c>
      <c r="G1368" s="41">
        <v>42777</v>
      </c>
      <c r="H1368" s="15">
        <f t="shared" si="39"/>
        <v>1228.2</v>
      </c>
      <c r="I1368" s="15">
        <f t="shared" si="40"/>
        <v>0</v>
      </c>
      <c r="J1368" s="36"/>
      <c r="K1368" s="17"/>
      <c r="L1368" s="17"/>
      <c r="M1368" s="18"/>
      <c r="O1368" s="15"/>
      <c r="P1368" s="37"/>
      <c r="Q1368" s="15"/>
      <c r="R1368" s="15"/>
    </row>
    <row r="1369" spans="1:18" x14ac:dyDescent="0.25">
      <c r="A1369" s="82"/>
      <c r="B1369" s="39" t="s">
        <v>5622</v>
      </c>
      <c r="C1369" s="89"/>
      <c r="D1369" s="18">
        <v>100705</v>
      </c>
      <c r="E1369" s="2" t="s">
        <v>92</v>
      </c>
      <c r="F1369" s="15">
        <v>2075</v>
      </c>
      <c r="G1369" s="41">
        <v>42777</v>
      </c>
      <c r="H1369" s="15">
        <f t="shared" si="39"/>
        <v>2075</v>
      </c>
      <c r="I1369" s="15">
        <f t="shared" si="40"/>
        <v>0</v>
      </c>
      <c r="J1369" s="36"/>
      <c r="K1369" s="17"/>
      <c r="L1369" s="17"/>
      <c r="M1369" s="18"/>
      <c r="O1369" s="15"/>
      <c r="P1369" s="37"/>
      <c r="Q1369" s="15"/>
      <c r="R1369" s="15"/>
    </row>
    <row r="1370" spans="1:18" x14ac:dyDescent="0.25">
      <c r="A1370" s="82"/>
      <c r="B1370" s="39" t="s">
        <v>5623</v>
      </c>
      <c r="C1370" s="89"/>
      <c r="D1370" s="18">
        <v>100706</v>
      </c>
      <c r="E1370" s="2" t="s">
        <v>105</v>
      </c>
      <c r="F1370" s="15">
        <v>310.8</v>
      </c>
      <c r="G1370" s="41">
        <v>42777</v>
      </c>
      <c r="H1370" s="15">
        <f t="shared" si="39"/>
        <v>310.8</v>
      </c>
      <c r="I1370" s="15">
        <f t="shared" si="40"/>
        <v>0</v>
      </c>
      <c r="J1370" s="36"/>
      <c r="K1370" s="17"/>
      <c r="L1370" s="17"/>
      <c r="M1370" s="18"/>
      <c r="O1370" s="15"/>
      <c r="P1370" s="37"/>
      <c r="Q1370" s="15"/>
      <c r="R1370" s="15"/>
    </row>
    <row r="1371" spans="1:18" x14ac:dyDescent="0.25">
      <c r="A1371" s="82"/>
      <c r="B1371" s="39" t="s">
        <v>5624</v>
      </c>
      <c r="C1371" s="89"/>
      <c r="D1371" s="18">
        <v>100707</v>
      </c>
      <c r="E1371" s="2" t="s">
        <v>1259</v>
      </c>
      <c r="F1371" s="15">
        <v>2054.4</v>
      </c>
      <c r="G1371" s="41">
        <v>42777</v>
      </c>
      <c r="H1371" s="15">
        <f t="shared" si="39"/>
        <v>2054.4</v>
      </c>
      <c r="I1371" s="15">
        <f t="shared" si="40"/>
        <v>0</v>
      </c>
      <c r="J1371" s="36"/>
      <c r="K1371" s="17"/>
      <c r="L1371" s="17"/>
      <c r="M1371" s="18"/>
      <c r="O1371" s="15"/>
      <c r="P1371" s="37"/>
      <c r="Q1371" s="15"/>
      <c r="R1371" s="15"/>
    </row>
    <row r="1372" spans="1:18" x14ac:dyDescent="0.25">
      <c r="A1372" s="82"/>
      <c r="B1372" s="39" t="s">
        <v>5625</v>
      </c>
      <c r="C1372" s="89"/>
      <c r="D1372" s="18">
        <v>100708</v>
      </c>
      <c r="E1372" s="2" t="s">
        <v>88</v>
      </c>
      <c r="F1372" s="15">
        <v>11950</v>
      </c>
      <c r="G1372" s="41">
        <v>42777</v>
      </c>
      <c r="H1372" s="15">
        <f t="shared" si="39"/>
        <v>11950</v>
      </c>
      <c r="I1372" s="15">
        <f t="shared" si="40"/>
        <v>0</v>
      </c>
      <c r="J1372" s="36"/>
      <c r="K1372" s="17"/>
      <c r="L1372" s="17"/>
      <c r="M1372" s="18"/>
      <c r="O1372" s="15"/>
      <c r="P1372" s="37"/>
      <c r="Q1372" s="15"/>
      <c r="R1372" s="15"/>
    </row>
    <row r="1373" spans="1:18" x14ac:dyDescent="0.25">
      <c r="A1373" s="82"/>
      <c r="B1373" s="39" t="s">
        <v>5626</v>
      </c>
      <c r="C1373" s="89"/>
      <c r="D1373" s="18">
        <v>100709</v>
      </c>
      <c r="E1373" s="2" t="s">
        <v>109</v>
      </c>
      <c r="F1373" s="15">
        <v>4595.3999999999996</v>
      </c>
      <c r="G1373" s="41">
        <v>42777</v>
      </c>
      <c r="H1373" s="15">
        <f t="shared" si="39"/>
        <v>4595.3999999999996</v>
      </c>
      <c r="I1373" s="15">
        <f t="shared" si="40"/>
        <v>0</v>
      </c>
      <c r="J1373" s="36"/>
      <c r="K1373" s="17"/>
      <c r="L1373" s="17"/>
      <c r="M1373" s="18"/>
      <c r="O1373" s="15"/>
      <c r="P1373" s="37"/>
      <c r="Q1373" s="15"/>
      <c r="R1373" s="15"/>
    </row>
    <row r="1374" spans="1:18" x14ac:dyDescent="0.25">
      <c r="A1374" s="82"/>
      <c r="B1374" s="39" t="s">
        <v>5627</v>
      </c>
      <c r="C1374" s="89"/>
      <c r="D1374" s="18">
        <v>100710</v>
      </c>
      <c r="E1374" s="2" t="s">
        <v>133</v>
      </c>
      <c r="F1374" s="15">
        <v>90</v>
      </c>
      <c r="G1374" s="41">
        <v>42777</v>
      </c>
      <c r="H1374" s="15">
        <f t="shared" si="39"/>
        <v>90</v>
      </c>
      <c r="I1374" s="15">
        <f t="shared" si="40"/>
        <v>0</v>
      </c>
      <c r="J1374" s="36"/>
      <c r="K1374" s="17"/>
      <c r="L1374" s="17"/>
      <c r="M1374" s="18"/>
      <c r="O1374" s="15"/>
      <c r="P1374" s="37"/>
      <c r="Q1374" s="15"/>
      <c r="R1374" s="15"/>
    </row>
    <row r="1375" spans="1:18" x14ac:dyDescent="0.25">
      <c r="A1375" s="82"/>
      <c r="B1375" s="39" t="s">
        <v>5628</v>
      </c>
      <c r="C1375" s="89"/>
      <c r="D1375" s="18">
        <v>100711</v>
      </c>
      <c r="E1375" s="2" t="s">
        <v>289</v>
      </c>
      <c r="F1375" s="15">
        <v>141072.01999999999</v>
      </c>
      <c r="G1375" s="41">
        <v>42791</v>
      </c>
      <c r="H1375" s="15">
        <f t="shared" si="39"/>
        <v>141072.01999999999</v>
      </c>
      <c r="I1375" s="15">
        <f t="shared" si="40"/>
        <v>0</v>
      </c>
      <c r="J1375" s="36"/>
      <c r="K1375" s="17"/>
      <c r="L1375" s="17"/>
      <c r="M1375" s="18"/>
      <c r="O1375" s="15"/>
      <c r="P1375" s="37"/>
      <c r="Q1375" s="15"/>
      <c r="R1375" s="15"/>
    </row>
    <row r="1376" spans="1:18" x14ac:dyDescent="0.25">
      <c r="A1376" s="82"/>
      <c r="B1376" s="39" t="s">
        <v>5629</v>
      </c>
      <c r="C1376" s="89"/>
      <c r="D1376" s="18">
        <v>100712</v>
      </c>
      <c r="E1376" s="2" t="s">
        <v>785</v>
      </c>
      <c r="F1376" s="15">
        <v>17261.8</v>
      </c>
      <c r="G1376" s="41">
        <v>42777</v>
      </c>
      <c r="H1376" s="15">
        <f t="shared" si="39"/>
        <v>17261.8</v>
      </c>
      <c r="I1376" s="15">
        <f t="shared" si="40"/>
        <v>0</v>
      </c>
      <c r="J1376" s="36"/>
      <c r="K1376" s="17"/>
      <c r="L1376" s="17"/>
      <c r="M1376" s="18"/>
      <c r="O1376" s="15"/>
      <c r="P1376" s="37"/>
      <c r="Q1376" s="15"/>
      <c r="R1376" s="15"/>
    </row>
    <row r="1377" spans="1:18" x14ac:dyDescent="0.25">
      <c r="A1377" s="82"/>
      <c r="B1377" s="39" t="s">
        <v>5630</v>
      </c>
      <c r="C1377" s="89"/>
      <c r="D1377" s="18">
        <v>100713</v>
      </c>
      <c r="E1377" s="2" t="s">
        <v>5219</v>
      </c>
      <c r="F1377" s="15">
        <v>4137.7</v>
      </c>
      <c r="G1377" s="41">
        <v>42777</v>
      </c>
      <c r="H1377" s="15">
        <f t="shared" si="39"/>
        <v>4137.7</v>
      </c>
      <c r="I1377" s="15">
        <f t="shared" si="40"/>
        <v>0</v>
      </c>
      <c r="J1377" s="36"/>
      <c r="K1377" s="17"/>
      <c r="L1377" s="17"/>
      <c r="M1377" s="18"/>
      <c r="O1377" s="15"/>
      <c r="P1377" s="37"/>
      <c r="Q1377" s="15"/>
      <c r="R1377" s="15"/>
    </row>
    <row r="1378" spans="1:18" x14ac:dyDescent="0.25">
      <c r="A1378" s="82"/>
      <c r="B1378" s="39" t="s">
        <v>5631</v>
      </c>
      <c r="C1378" s="89"/>
      <c r="D1378" s="18">
        <v>100714</v>
      </c>
      <c r="E1378" s="2" t="s">
        <v>115</v>
      </c>
      <c r="F1378" s="15">
        <v>484.4</v>
      </c>
      <c r="G1378" s="41">
        <v>42777</v>
      </c>
      <c r="H1378" s="15">
        <f t="shared" si="39"/>
        <v>484.4</v>
      </c>
      <c r="I1378" s="15">
        <f t="shared" si="40"/>
        <v>0</v>
      </c>
      <c r="J1378" s="36"/>
      <c r="K1378" s="17"/>
      <c r="L1378" s="17"/>
      <c r="M1378" s="18"/>
      <c r="O1378" s="15"/>
      <c r="P1378" s="37"/>
      <c r="Q1378" s="15"/>
      <c r="R1378" s="15"/>
    </row>
    <row r="1379" spans="1:18" x14ac:dyDescent="0.25">
      <c r="A1379" s="82"/>
      <c r="B1379" s="39" t="s">
        <v>5632</v>
      </c>
      <c r="C1379" s="89"/>
      <c r="D1379" s="18">
        <v>100715</v>
      </c>
      <c r="E1379" s="2" t="s">
        <v>5633</v>
      </c>
      <c r="F1379" s="15">
        <v>2916.4</v>
      </c>
      <c r="G1379" s="41">
        <v>42783</v>
      </c>
      <c r="H1379" s="15">
        <f t="shared" si="39"/>
        <v>2916.4</v>
      </c>
      <c r="I1379" s="15">
        <f t="shared" si="40"/>
        <v>0</v>
      </c>
      <c r="J1379" s="36"/>
      <c r="K1379" s="17"/>
      <c r="L1379" s="17"/>
      <c r="M1379" s="18"/>
      <c r="O1379" s="15"/>
      <c r="P1379" s="37"/>
      <c r="Q1379" s="15"/>
      <c r="R1379" s="15"/>
    </row>
    <row r="1380" spans="1:18" x14ac:dyDescent="0.25">
      <c r="A1380" s="82"/>
      <c r="B1380" s="39" t="s">
        <v>5634</v>
      </c>
      <c r="C1380" s="89"/>
      <c r="D1380" s="18">
        <v>100716</v>
      </c>
      <c r="E1380" s="2" t="s">
        <v>335</v>
      </c>
      <c r="F1380" s="15">
        <v>1596.6</v>
      </c>
      <c r="G1380" s="41">
        <v>42780</v>
      </c>
      <c r="H1380" s="15">
        <f t="shared" si="39"/>
        <v>1596.6</v>
      </c>
      <c r="I1380" s="15">
        <f t="shared" si="40"/>
        <v>0</v>
      </c>
      <c r="J1380" s="36"/>
      <c r="K1380" s="17"/>
      <c r="L1380" s="17"/>
      <c r="M1380" s="18"/>
      <c r="O1380" s="15"/>
      <c r="P1380" s="37"/>
      <c r="Q1380" s="15"/>
      <c r="R1380" s="15"/>
    </row>
    <row r="1381" spans="1:18" x14ac:dyDescent="0.25">
      <c r="A1381" s="82"/>
      <c r="B1381" s="39" t="s">
        <v>5635</v>
      </c>
      <c r="C1381" s="89"/>
      <c r="D1381" s="18">
        <v>100717</v>
      </c>
      <c r="E1381" s="2" t="s">
        <v>531</v>
      </c>
      <c r="F1381" s="15">
        <v>10176</v>
      </c>
      <c r="G1381" s="41">
        <v>42777</v>
      </c>
      <c r="H1381" s="15">
        <f t="shared" si="39"/>
        <v>10176</v>
      </c>
      <c r="I1381" s="15">
        <f t="shared" si="40"/>
        <v>0</v>
      </c>
      <c r="J1381" s="36"/>
      <c r="K1381" s="17"/>
      <c r="L1381" s="17"/>
      <c r="M1381" s="18"/>
      <c r="O1381" s="15"/>
      <c r="P1381" s="37"/>
      <c r="Q1381" s="15"/>
      <c r="R1381" s="15"/>
    </row>
    <row r="1382" spans="1:18" x14ac:dyDescent="0.25">
      <c r="A1382" s="82"/>
      <c r="B1382" s="39" t="s">
        <v>5636</v>
      </c>
      <c r="C1382" s="89"/>
      <c r="D1382" s="18">
        <v>100718</v>
      </c>
      <c r="E1382" s="2" t="s">
        <v>186</v>
      </c>
      <c r="F1382" s="15">
        <v>858.9</v>
      </c>
      <c r="G1382" s="41">
        <v>42779</v>
      </c>
      <c r="H1382" s="15">
        <f t="shared" si="39"/>
        <v>858.9</v>
      </c>
      <c r="I1382" s="15">
        <f t="shared" si="40"/>
        <v>0</v>
      </c>
      <c r="J1382" s="36"/>
      <c r="K1382" s="17"/>
      <c r="L1382" s="17"/>
      <c r="M1382" s="18"/>
      <c r="O1382" s="15"/>
      <c r="P1382" s="37"/>
      <c r="Q1382" s="15"/>
      <c r="R1382" s="15"/>
    </row>
    <row r="1383" spans="1:18" x14ac:dyDescent="0.25">
      <c r="A1383" s="82"/>
      <c r="B1383" s="39" t="s">
        <v>5637</v>
      </c>
      <c r="C1383" s="89"/>
      <c r="D1383" s="18">
        <v>100719</v>
      </c>
      <c r="E1383" s="2" t="s">
        <v>184</v>
      </c>
      <c r="F1383" s="15">
        <v>3530.7</v>
      </c>
      <c r="G1383" s="41">
        <v>42779</v>
      </c>
      <c r="H1383" s="15">
        <f t="shared" si="39"/>
        <v>3530.7</v>
      </c>
      <c r="I1383" s="15">
        <f t="shared" si="40"/>
        <v>0</v>
      </c>
      <c r="J1383" s="36"/>
      <c r="K1383" s="17"/>
      <c r="L1383" s="17"/>
      <c r="M1383" s="18"/>
      <c r="O1383" s="15"/>
      <c r="P1383" s="37"/>
      <c r="Q1383" s="15"/>
      <c r="R1383" s="15"/>
    </row>
    <row r="1384" spans="1:18" x14ac:dyDescent="0.25">
      <c r="A1384" s="82"/>
      <c r="B1384" s="39" t="s">
        <v>5638</v>
      </c>
      <c r="C1384" s="89"/>
      <c r="D1384" s="18">
        <v>100720</v>
      </c>
      <c r="E1384" s="2" t="s">
        <v>149</v>
      </c>
      <c r="F1384" s="15">
        <v>3864</v>
      </c>
      <c r="G1384" s="41">
        <v>42777</v>
      </c>
      <c r="H1384" s="15">
        <f t="shared" si="39"/>
        <v>3864</v>
      </c>
      <c r="I1384" s="15">
        <f t="shared" si="40"/>
        <v>0</v>
      </c>
      <c r="J1384" s="36"/>
      <c r="K1384" s="17"/>
      <c r="L1384" s="17"/>
      <c r="M1384" s="18"/>
      <c r="O1384" s="15"/>
      <c r="P1384" s="37"/>
      <c r="Q1384" s="15"/>
      <c r="R1384" s="15"/>
    </row>
    <row r="1385" spans="1:18" x14ac:dyDescent="0.25">
      <c r="A1385" s="82"/>
      <c r="B1385" s="39" t="s">
        <v>5639</v>
      </c>
      <c r="C1385" s="89"/>
      <c r="D1385" s="18">
        <v>100721</v>
      </c>
      <c r="E1385" s="2" t="s">
        <v>45</v>
      </c>
      <c r="F1385" s="15">
        <v>1824</v>
      </c>
      <c r="G1385" s="41">
        <v>42779</v>
      </c>
      <c r="H1385" s="15">
        <f t="shared" si="39"/>
        <v>1824</v>
      </c>
      <c r="I1385" s="15">
        <f t="shared" si="40"/>
        <v>0</v>
      </c>
      <c r="J1385" s="36"/>
      <c r="K1385" s="17"/>
      <c r="L1385" s="17"/>
      <c r="M1385" s="18"/>
      <c r="O1385" s="15"/>
      <c r="P1385" s="37"/>
      <c r="Q1385" s="15"/>
      <c r="R1385" s="15"/>
    </row>
    <row r="1386" spans="1:18" x14ac:dyDescent="0.25">
      <c r="A1386" s="82"/>
      <c r="B1386" s="39" t="s">
        <v>5640</v>
      </c>
      <c r="C1386" s="89"/>
      <c r="D1386" s="18">
        <v>100722</v>
      </c>
      <c r="E1386" s="2" t="s">
        <v>30</v>
      </c>
      <c r="F1386" s="15">
        <v>1334.76</v>
      </c>
      <c r="G1386" s="41">
        <v>42779</v>
      </c>
      <c r="H1386" s="15">
        <f t="shared" si="39"/>
        <v>1334.76</v>
      </c>
      <c r="I1386" s="15">
        <f t="shared" si="40"/>
        <v>0</v>
      </c>
      <c r="J1386" s="36"/>
      <c r="K1386" s="17"/>
      <c r="L1386" s="17"/>
      <c r="M1386" s="18"/>
      <c r="O1386" s="15"/>
      <c r="P1386" s="37"/>
      <c r="Q1386" s="15"/>
      <c r="R1386" s="15"/>
    </row>
    <row r="1387" spans="1:18" x14ac:dyDescent="0.25">
      <c r="A1387" s="82"/>
      <c r="B1387" s="39" t="s">
        <v>5641</v>
      </c>
      <c r="C1387" s="89"/>
      <c r="D1387" s="18">
        <v>100723</v>
      </c>
      <c r="E1387" s="2" t="s">
        <v>30</v>
      </c>
      <c r="F1387" s="15">
        <v>2980</v>
      </c>
      <c r="G1387" s="41">
        <v>42777</v>
      </c>
      <c r="H1387" s="15">
        <f t="shared" si="39"/>
        <v>2980</v>
      </c>
      <c r="I1387" s="15">
        <f t="shared" si="40"/>
        <v>0</v>
      </c>
      <c r="J1387" s="36"/>
      <c r="K1387" s="17"/>
      <c r="L1387" s="17"/>
      <c r="M1387" s="18"/>
      <c r="O1387" s="15"/>
      <c r="P1387" s="37"/>
      <c r="Q1387" s="15"/>
      <c r="R1387" s="15"/>
    </row>
    <row r="1388" spans="1:18" x14ac:dyDescent="0.25">
      <c r="A1388" s="82"/>
      <c r="B1388" s="39" t="s">
        <v>5642</v>
      </c>
      <c r="C1388" s="89"/>
      <c r="D1388" s="18">
        <v>100724</v>
      </c>
      <c r="E1388" s="2" t="s">
        <v>1293</v>
      </c>
      <c r="F1388" s="15">
        <v>458.8</v>
      </c>
      <c r="G1388" s="41">
        <v>42779</v>
      </c>
      <c r="H1388" s="15">
        <f t="shared" si="39"/>
        <v>458.8</v>
      </c>
      <c r="I1388" s="15">
        <f t="shared" si="40"/>
        <v>0</v>
      </c>
      <c r="J1388" s="36"/>
      <c r="K1388" s="17"/>
      <c r="L1388" s="17"/>
      <c r="M1388" s="18"/>
      <c r="O1388" s="15"/>
      <c r="P1388" s="37"/>
      <c r="Q1388" s="15"/>
      <c r="R1388" s="15"/>
    </row>
    <row r="1389" spans="1:18" x14ac:dyDescent="0.25">
      <c r="A1389" s="82"/>
      <c r="B1389" s="39" t="s">
        <v>5643</v>
      </c>
      <c r="C1389" s="89"/>
      <c r="D1389" s="18">
        <v>100725</v>
      </c>
      <c r="E1389" s="2" t="s">
        <v>53</v>
      </c>
      <c r="F1389" s="15">
        <v>3290</v>
      </c>
      <c r="G1389" s="41">
        <v>42779</v>
      </c>
      <c r="H1389" s="15">
        <f t="shared" si="39"/>
        <v>3290</v>
      </c>
      <c r="I1389" s="15">
        <f t="shared" si="40"/>
        <v>0</v>
      </c>
      <c r="J1389" s="36"/>
      <c r="K1389" s="17"/>
      <c r="L1389" s="17"/>
      <c r="M1389" s="18"/>
      <c r="O1389" s="15"/>
      <c r="P1389" s="37"/>
      <c r="Q1389" s="15"/>
      <c r="R1389" s="15"/>
    </row>
    <row r="1390" spans="1:18" x14ac:dyDescent="0.25">
      <c r="A1390" s="82"/>
      <c r="B1390" s="39" t="s">
        <v>5644</v>
      </c>
      <c r="C1390" s="89"/>
      <c r="D1390" s="18">
        <v>100726</v>
      </c>
      <c r="E1390" s="2" t="s">
        <v>182</v>
      </c>
      <c r="F1390" s="15">
        <v>2940</v>
      </c>
      <c r="G1390" s="41">
        <v>42779</v>
      </c>
      <c r="H1390" s="15">
        <f t="shared" si="39"/>
        <v>2940</v>
      </c>
      <c r="I1390" s="15">
        <f t="shared" si="40"/>
        <v>0</v>
      </c>
      <c r="J1390" s="36"/>
      <c r="K1390" s="17"/>
      <c r="L1390" s="17"/>
      <c r="M1390" s="18"/>
      <c r="O1390" s="15"/>
      <c r="P1390" s="37"/>
      <c r="Q1390" s="15"/>
      <c r="R1390" s="15"/>
    </row>
    <row r="1391" spans="1:18" x14ac:dyDescent="0.25">
      <c r="A1391" s="82"/>
      <c r="B1391" s="39" t="s">
        <v>5645</v>
      </c>
      <c r="C1391" s="89"/>
      <c r="D1391" s="18">
        <v>100727</v>
      </c>
      <c r="E1391" s="2" t="s">
        <v>193</v>
      </c>
      <c r="F1391" s="15">
        <v>4147.2</v>
      </c>
      <c r="G1391" s="41">
        <v>42779</v>
      </c>
      <c r="H1391" s="15">
        <f t="shared" si="39"/>
        <v>4147.2</v>
      </c>
      <c r="I1391" s="15">
        <f t="shared" si="40"/>
        <v>0</v>
      </c>
      <c r="J1391" s="36"/>
      <c r="K1391" s="17"/>
      <c r="L1391" s="17"/>
      <c r="M1391" s="18"/>
      <c r="O1391" s="15"/>
      <c r="P1391" s="37"/>
      <c r="Q1391" s="15"/>
      <c r="R1391" s="15"/>
    </row>
    <row r="1392" spans="1:18" x14ac:dyDescent="0.25">
      <c r="A1392" s="82"/>
      <c r="B1392" s="39" t="s">
        <v>5646</v>
      </c>
      <c r="C1392" s="89"/>
      <c r="D1392" s="18">
        <v>100728</v>
      </c>
      <c r="E1392" s="2" t="s">
        <v>57</v>
      </c>
      <c r="F1392" s="15">
        <v>1456.8</v>
      </c>
      <c r="G1392" s="41">
        <v>42779</v>
      </c>
      <c r="H1392" s="15">
        <f t="shared" si="39"/>
        <v>1456.8</v>
      </c>
      <c r="I1392" s="15">
        <f t="shared" si="40"/>
        <v>0</v>
      </c>
      <c r="J1392" s="36"/>
      <c r="K1392" s="17"/>
      <c r="L1392" s="17"/>
      <c r="M1392" s="18"/>
      <c r="O1392" s="15"/>
      <c r="P1392" s="37"/>
      <c r="Q1392" s="15"/>
      <c r="R1392" s="15"/>
    </row>
    <row r="1393" spans="1:18" x14ac:dyDescent="0.25">
      <c r="A1393" s="82"/>
      <c r="B1393" s="39" t="s">
        <v>5647</v>
      </c>
      <c r="C1393" s="89"/>
      <c r="D1393" s="18">
        <v>100729</v>
      </c>
      <c r="E1393" s="2" t="s">
        <v>2240</v>
      </c>
      <c r="F1393" s="15">
        <v>7797.2</v>
      </c>
      <c r="G1393" s="41">
        <v>42777</v>
      </c>
      <c r="H1393" s="15">
        <f t="shared" si="39"/>
        <v>7797.2</v>
      </c>
      <c r="I1393" s="15">
        <f t="shared" si="40"/>
        <v>0</v>
      </c>
      <c r="J1393" s="36"/>
      <c r="K1393" s="17"/>
      <c r="L1393" s="17"/>
      <c r="M1393" s="18"/>
      <c r="O1393" s="15"/>
      <c r="P1393" s="37"/>
      <c r="Q1393" s="15"/>
      <c r="R1393" s="15"/>
    </row>
    <row r="1394" spans="1:18" x14ac:dyDescent="0.25">
      <c r="A1394" s="82"/>
      <c r="B1394" s="39" t="s">
        <v>5648</v>
      </c>
      <c r="C1394" s="89"/>
      <c r="D1394" s="18">
        <v>100730</v>
      </c>
      <c r="E1394" s="2" t="s">
        <v>30</v>
      </c>
      <c r="F1394" s="15">
        <v>376.8</v>
      </c>
      <c r="G1394" s="41">
        <v>42777</v>
      </c>
      <c r="H1394" s="15">
        <f t="shared" si="39"/>
        <v>376.8</v>
      </c>
      <c r="I1394" s="15">
        <f t="shared" si="40"/>
        <v>0</v>
      </c>
      <c r="J1394" s="36"/>
      <c r="K1394" s="17"/>
      <c r="L1394" s="17"/>
      <c r="M1394" s="18"/>
      <c r="O1394" s="15"/>
      <c r="P1394" s="37"/>
      <c r="Q1394" s="15"/>
      <c r="R1394" s="15"/>
    </row>
    <row r="1395" spans="1:18" x14ac:dyDescent="0.25">
      <c r="A1395" s="82"/>
      <c r="B1395" s="39" t="s">
        <v>5649</v>
      </c>
      <c r="C1395" s="89"/>
      <c r="D1395" s="18">
        <v>100731</v>
      </c>
      <c r="E1395" s="2" t="s">
        <v>55</v>
      </c>
      <c r="F1395" s="15">
        <v>16910</v>
      </c>
      <c r="G1395" s="41">
        <v>42777</v>
      </c>
      <c r="H1395" s="15">
        <f t="shared" si="39"/>
        <v>16910</v>
      </c>
      <c r="I1395" s="15">
        <f t="shared" si="40"/>
        <v>0</v>
      </c>
      <c r="J1395" s="36"/>
      <c r="K1395" s="17"/>
      <c r="L1395" s="17"/>
      <c r="M1395" s="18"/>
      <c r="O1395" s="15"/>
      <c r="P1395" s="37"/>
      <c r="Q1395" s="15"/>
      <c r="R1395" s="15"/>
    </row>
    <row r="1396" spans="1:18" x14ac:dyDescent="0.25">
      <c r="A1396" s="82"/>
      <c r="B1396" s="39" t="s">
        <v>5650</v>
      </c>
      <c r="C1396" s="89"/>
      <c r="D1396" s="18">
        <v>100732</v>
      </c>
      <c r="E1396" s="2" t="s">
        <v>55</v>
      </c>
      <c r="F1396" s="15">
        <v>3300</v>
      </c>
      <c r="G1396" s="41">
        <v>42777</v>
      </c>
      <c r="H1396" s="15">
        <f t="shared" si="39"/>
        <v>3300</v>
      </c>
      <c r="I1396" s="15">
        <f t="shared" si="40"/>
        <v>0</v>
      </c>
      <c r="J1396" s="36"/>
      <c r="K1396" s="17"/>
      <c r="L1396" s="17"/>
      <c r="M1396" s="18"/>
      <c r="O1396" s="15"/>
      <c r="P1396" s="37"/>
      <c r="Q1396" s="15"/>
      <c r="R1396" s="15"/>
    </row>
    <row r="1397" spans="1:18" x14ac:dyDescent="0.25">
      <c r="A1397" s="82"/>
      <c r="B1397" s="39" t="s">
        <v>5651</v>
      </c>
      <c r="C1397" s="89"/>
      <c r="D1397" s="18">
        <v>100733</v>
      </c>
      <c r="E1397" s="2" t="s">
        <v>879</v>
      </c>
      <c r="F1397" s="15">
        <v>843.6</v>
      </c>
      <c r="G1397" s="41">
        <v>42777</v>
      </c>
      <c r="H1397" s="15">
        <f t="shared" si="39"/>
        <v>843.6</v>
      </c>
      <c r="I1397" s="15">
        <f t="shared" si="40"/>
        <v>0</v>
      </c>
      <c r="J1397" s="36"/>
      <c r="K1397" s="17"/>
      <c r="L1397" s="17"/>
      <c r="M1397" s="18"/>
      <c r="O1397" s="15"/>
      <c r="P1397" s="37"/>
      <c r="Q1397" s="15"/>
      <c r="R1397" s="15"/>
    </row>
    <row r="1398" spans="1:18" x14ac:dyDescent="0.25">
      <c r="A1398" s="82"/>
      <c r="B1398" s="39" t="s">
        <v>5652</v>
      </c>
      <c r="C1398" s="89"/>
      <c r="D1398" s="18">
        <v>100734</v>
      </c>
      <c r="E1398" s="2" t="s">
        <v>30</v>
      </c>
      <c r="F1398" s="15">
        <v>1228.8</v>
      </c>
      <c r="G1398" s="41">
        <v>42777</v>
      </c>
      <c r="H1398" s="15">
        <f t="shared" si="39"/>
        <v>1228.8</v>
      </c>
      <c r="I1398" s="15">
        <f t="shared" si="40"/>
        <v>0</v>
      </c>
      <c r="J1398" s="36"/>
      <c r="K1398" s="17"/>
      <c r="L1398" s="17"/>
      <c r="M1398" s="18"/>
      <c r="O1398" s="15"/>
      <c r="P1398" s="37"/>
      <c r="Q1398" s="15"/>
      <c r="R1398" s="15"/>
    </row>
    <row r="1399" spans="1:18" x14ac:dyDescent="0.25">
      <c r="A1399" s="82"/>
      <c r="B1399" s="39" t="s">
        <v>5653</v>
      </c>
      <c r="C1399" s="89"/>
      <c r="D1399" s="18">
        <v>100735</v>
      </c>
      <c r="E1399" s="2" t="s">
        <v>367</v>
      </c>
      <c r="F1399" s="15">
        <v>450</v>
      </c>
      <c r="G1399" s="41">
        <v>42777</v>
      </c>
      <c r="H1399" s="15">
        <f t="shared" si="39"/>
        <v>450</v>
      </c>
      <c r="I1399" s="15">
        <f t="shared" si="40"/>
        <v>0</v>
      </c>
      <c r="J1399" s="36"/>
      <c r="K1399" s="17"/>
      <c r="L1399" s="17"/>
      <c r="M1399" s="18"/>
      <c r="O1399" s="15"/>
      <c r="P1399" s="37"/>
      <c r="Q1399" s="15"/>
      <c r="R1399" s="15"/>
    </row>
    <row r="1400" spans="1:18" x14ac:dyDescent="0.25">
      <c r="A1400" s="82"/>
      <c r="B1400" s="39" t="s">
        <v>5654</v>
      </c>
      <c r="C1400" s="89"/>
      <c r="D1400" s="18">
        <v>100736</v>
      </c>
      <c r="E1400" s="2" t="s">
        <v>1380</v>
      </c>
      <c r="F1400" s="15">
        <v>32461.200000000001</v>
      </c>
      <c r="G1400" s="41">
        <v>42777</v>
      </c>
      <c r="H1400" s="15">
        <f t="shared" si="39"/>
        <v>32461.200000000001</v>
      </c>
      <c r="I1400" s="15">
        <f t="shared" si="40"/>
        <v>0</v>
      </c>
      <c r="J1400" s="36"/>
      <c r="K1400" s="17"/>
      <c r="L1400" s="17"/>
      <c r="M1400" s="18"/>
      <c r="O1400" s="15"/>
      <c r="P1400" s="37"/>
      <c r="Q1400" s="15"/>
      <c r="R1400" s="15"/>
    </row>
    <row r="1401" spans="1:18" x14ac:dyDescent="0.25">
      <c r="A1401" s="82"/>
      <c r="B1401" s="39" t="s">
        <v>5655</v>
      </c>
      <c r="C1401" s="89"/>
      <c r="D1401" s="18">
        <v>100737</v>
      </c>
      <c r="E1401" s="2" t="s">
        <v>168</v>
      </c>
      <c r="F1401" s="15">
        <v>919.6</v>
      </c>
      <c r="G1401" s="41">
        <v>42777</v>
      </c>
      <c r="H1401" s="15">
        <f t="shared" si="39"/>
        <v>919.6</v>
      </c>
      <c r="I1401" s="15">
        <f t="shared" si="40"/>
        <v>0</v>
      </c>
      <c r="J1401" s="36"/>
      <c r="K1401" s="17"/>
      <c r="L1401" s="17"/>
      <c r="M1401" s="18"/>
      <c r="O1401" s="15"/>
      <c r="P1401" s="37"/>
      <c r="Q1401" s="15"/>
      <c r="R1401" s="15"/>
    </row>
    <row r="1402" spans="1:18" x14ac:dyDescent="0.25">
      <c r="A1402" s="82"/>
      <c r="B1402" s="39" t="s">
        <v>5656</v>
      </c>
      <c r="C1402" s="89"/>
      <c r="D1402" s="18">
        <v>100738</v>
      </c>
      <c r="E1402" s="2" t="s">
        <v>222</v>
      </c>
      <c r="F1402" s="15">
        <v>475893</v>
      </c>
      <c r="G1402" s="41">
        <v>42738</v>
      </c>
      <c r="H1402" s="15">
        <f t="shared" si="39"/>
        <v>475893</v>
      </c>
      <c r="I1402" s="15">
        <f t="shared" si="40"/>
        <v>0</v>
      </c>
      <c r="J1402" s="36"/>
      <c r="K1402" s="17"/>
      <c r="L1402" s="17"/>
      <c r="M1402" s="18"/>
      <c r="O1402" s="15"/>
      <c r="P1402" s="37"/>
      <c r="Q1402" s="15"/>
      <c r="R1402" s="15"/>
    </row>
    <row r="1403" spans="1:18" x14ac:dyDescent="0.25">
      <c r="A1403" s="82"/>
      <c r="B1403" s="39" t="s">
        <v>5657</v>
      </c>
      <c r="C1403" s="89"/>
      <c r="D1403" s="18">
        <v>100739</v>
      </c>
      <c r="E1403" s="2" t="s">
        <v>231</v>
      </c>
      <c r="F1403" s="15">
        <v>3233</v>
      </c>
      <c r="G1403" s="41">
        <v>42779</v>
      </c>
      <c r="H1403" s="15">
        <f t="shared" si="39"/>
        <v>3233</v>
      </c>
      <c r="I1403" s="15">
        <f t="shared" si="40"/>
        <v>0</v>
      </c>
      <c r="J1403" s="36"/>
      <c r="K1403" s="17"/>
      <c r="L1403" s="17"/>
      <c r="M1403" s="18"/>
      <c r="O1403" s="15"/>
      <c r="P1403" s="37"/>
      <c r="Q1403" s="15"/>
      <c r="R1403" s="15"/>
    </row>
    <row r="1404" spans="1:18" x14ac:dyDescent="0.25">
      <c r="A1404" s="82"/>
      <c r="B1404" s="39" t="s">
        <v>5658</v>
      </c>
      <c r="C1404" s="89"/>
      <c r="D1404" s="18">
        <v>100740</v>
      </c>
      <c r="E1404" s="13" t="s">
        <v>30</v>
      </c>
      <c r="F1404" s="14">
        <v>0</v>
      </c>
      <c r="G1404" s="88" t="s">
        <v>95</v>
      </c>
      <c r="H1404" s="14">
        <f t="shared" si="39"/>
        <v>0</v>
      </c>
      <c r="I1404" s="14">
        <f t="shared" si="40"/>
        <v>0</v>
      </c>
      <c r="J1404" s="36"/>
      <c r="K1404" s="17"/>
      <c r="L1404" s="17"/>
      <c r="M1404" s="18"/>
      <c r="O1404" s="15"/>
      <c r="P1404" s="37"/>
      <c r="Q1404" s="15"/>
      <c r="R1404" s="15"/>
    </row>
    <row r="1405" spans="1:18" x14ac:dyDescent="0.25">
      <c r="A1405" s="82"/>
      <c r="B1405" s="39" t="s">
        <v>5659</v>
      </c>
      <c r="C1405" s="89"/>
      <c r="D1405" s="18">
        <v>100741</v>
      </c>
      <c r="E1405" s="2" t="s">
        <v>30</v>
      </c>
      <c r="F1405" s="15">
        <v>1672.8</v>
      </c>
      <c r="G1405" s="41">
        <v>42777</v>
      </c>
      <c r="H1405" s="15">
        <f t="shared" si="39"/>
        <v>1672.8</v>
      </c>
      <c r="I1405" s="15">
        <f t="shared" si="40"/>
        <v>0</v>
      </c>
      <c r="J1405" s="36"/>
      <c r="K1405" s="17"/>
      <c r="L1405" s="17"/>
      <c r="M1405" s="18"/>
      <c r="O1405" s="15"/>
      <c r="P1405" s="37"/>
      <c r="Q1405" s="15"/>
      <c r="R1405" s="15"/>
    </row>
    <row r="1406" spans="1:18" x14ac:dyDescent="0.25">
      <c r="A1406" s="82"/>
      <c r="B1406" s="39" t="s">
        <v>5660</v>
      </c>
      <c r="C1406" s="89"/>
      <c r="D1406" s="18">
        <v>100742</v>
      </c>
      <c r="E1406" s="2" t="s">
        <v>47</v>
      </c>
      <c r="F1406" s="15">
        <v>128.1</v>
      </c>
      <c r="G1406" s="41">
        <v>42777</v>
      </c>
      <c r="H1406" s="15">
        <f t="shared" si="39"/>
        <v>128.1</v>
      </c>
      <c r="I1406" s="15">
        <f t="shared" si="40"/>
        <v>0</v>
      </c>
      <c r="J1406" s="36"/>
      <c r="K1406" s="17"/>
      <c r="L1406" s="17"/>
      <c r="M1406" s="18"/>
      <c r="O1406" s="15"/>
      <c r="P1406" s="37"/>
      <c r="Q1406" s="15"/>
      <c r="R1406" s="15"/>
    </row>
    <row r="1407" spans="1:18" x14ac:dyDescent="0.25">
      <c r="A1407" s="82"/>
      <c r="B1407" s="39" t="s">
        <v>5661</v>
      </c>
      <c r="C1407" s="89"/>
      <c r="D1407" s="18">
        <v>100743</v>
      </c>
      <c r="E1407" s="2" t="s">
        <v>47</v>
      </c>
      <c r="F1407" s="15">
        <v>1650.2</v>
      </c>
      <c r="G1407" s="41">
        <v>42777</v>
      </c>
      <c r="H1407" s="15">
        <f t="shared" si="39"/>
        <v>1650.2</v>
      </c>
      <c r="I1407" s="15">
        <f t="shared" si="40"/>
        <v>0</v>
      </c>
      <c r="J1407" s="36"/>
      <c r="K1407" s="17"/>
      <c r="L1407" s="17"/>
      <c r="M1407" s="18"/>
      <c r="O1407" s="15"/>
      <c r="P1407" s="37"/>
      <c r="Q1407" s="15"/>
      <c r="R1407" s="15"/>
    </row>
    <row r="1408" spans="1:18" x14ac:dyDescent="0.25">
      <c r="A1408" s="82"/>
      <c r="B1408" s="39" t="s">
        <v>5662</v>
      </c>
      <c r="C1408" s="89"/>
      <c r="D1408" s="18">
        <v>100744</v>
      </c>
      <c r="E1408" s="2" t="s">
        <v>422</v>
      </c>
      <c r="F1408" s="15">
        <v>3951.2</v>
      </c>
      <c r="G1408" s="41">
        <v>42777</v>
      </c>
      <c r="H1408" s="15">
        <f t="shared" si="39"/>
        <v>3951.2</v>
      </c>
      <c r="I1408" s="15">
        <f t="shared" si="40"/>
        <v>0</v>
      </c>
      <c r="J1408" s="36"/>
      <c r="K1408" s="17"/>
      <c r="L1408" s="17"/>
      <c r="M1408" s="18"/>
      <c r="O1408" s="15"/>
      <c r="P1408" s="37"/>
      <c r="Q1408" s="15"/>
      <c r="R1408" s="15"/>
    </row>
    <row r="1409" spans="1:18" x14ac:dyDescent="0.25">
      <c r="A1409" s="82"/>
      <c r="B1409" s="39" t="s">
        <v>5663</v>
      </c>
      <c r="C1409" s="89"/>
      <c r="D1409" s="18">
        <v>100745</v>
      </c>
      <c r="E1409" s="2" t="s">
        <v>5664</v>
      </c>
      <c r="F1409" s="15">
        <v>1150.5999999999999</v>
      </c>
      <c r="G1409" s="41">
        <v>42777</v>
      </c>
      <c r="H1409" s="15">
        <f t="shared" si="39"/>
        <v>1150.5999999999999</v>
      </c>
      <c r="I1409" s="15">
        <f t="shared" si="40"/>
        <v>0</v>
      </c>
      <c r="J1409" s="36"/>
      <c r="K1409" s="17"/>
      <c r="L1409" s="17"/>
      <c r="M1409" s="18"/>
      <c r="O1409" s="15"/>
      <c r="P1409" s="37"/>
      <c r="Q1409" s="15"/>
      <c r="R1409" s="15"/>
    </row>
    <row r="1410" spans="1:18" x14ac:dyDescent="0.25">
      <c r="A1410" s="82"/>
      <c r="B1410" s="39" t="s">
        <v>5665</v>
      </c>
      <c r="C1410" s="89"/>
      <c r="D1410" s="18">
        <v>100746</v>
      </c>
      <c r="E1410" s="2" t="s">
        <v>30</v>
      </c>
      <c r="F1410" s="15">
        <v>1646.4</v>
      </c>
      <c r="G1410" s="41">
        <v>42777</v>
      </c>
      <c r="H1410" s="15">
        <f t="shared" si="39"/>
        <v>1646.4</v>
      </c>
      <c r="I1410" s="15">
        <f t="shared" si="40"/>
        <v>0</v>
      </c>
      <c r="J1410" s="36"/>
      <c r="K1410" s="17"/>
      <c r="L1410" s="17"/>
      <c r="M1410" s="18"/>
      <c r="O1410" s="15"/>
      <c r="P1410" s="37"/>
      <c r="Q1410" s="15"/>
      <c r="R1410" s="15"/>
    </row>
    <row r="1411" spans="1:18" x14ac:dyDescent="0.25">
      <c r="A1411" s="82"/>
      <c r="B1411" s="39" t="s">
        <v>5666</v>
      </c>
      <c r="C1411" s="89"/>
      <c r="D1411" s="18">
        <v>100747</v>
      </c>
      <c r="E1411" s="2" t="s">
        <v>531</v>
      </c>
      <c r="F1411" s="15">
        <v>33476.400000000001</v>
      </c>
      <c r="G1411" s="41">
        <v>42779</v>
      </c>
      <c r="H1411" s="15">
        <f t="shared" si="39"/>
        <v>33476.400000000001</v>
      </c>
      <c r="I1411" s="15">
        <f t="shared" si="40"/>
        <v>0</v>
      </c>
      <c r="J1411" s="36"/>
      <c r="K1411" s="17"/>
      <c r="L1411" s="17"/>
      <c r="M1411" s="18"/>
      <c r="O1411" s="15"/>
      <c r="P1411" s="37"/>
      <c r="Q1411" s="15"/>
      <c r="R1411" s="15"/>
    </row>
    <row r="1412" spans="1:18" x14ac:dyDescent="0.25">
      <c r="A1412" s="82"/>
      <c r="B1412" s="39" t="s">
        <v>5667</v>
      </c>
      <c r="C1412" s="89"/>
      <c r="D1412" s="18">
        <v>100748</v>
      </c>
      <c r="E1412" s="2" t="s">
        <v>319</v>
      </c>
      <c r="F1412" s="15">
        <v>5731.2</v>
      </c>
      <c r="G1412" s="41">
        <v>42780</v>
      </c>
      <c r="H1412" s="15">
        <f>5491.2+240</f>
        <v>5731.2</v>
      </c>
      <c r="I1412" s="15">
        <f t="shared" si="40"/>
        <v>0</v>
      </c>
      <c r="J1412" s="36"/>
      <c r="K1412" s="17"/>
      <c r="L1412" s="17"/>
      <c r="M1412" s="18"/>
      <c r="O1412" s="15"/>
      <c r="P1412" s="37"/>
      <c r="Q1412" s="15"/>
      <c r="R1412" s="15"/>
    </row>
    <row r="1413" spans="1:18" x14ac:dyDescent="0.25">
      <c r="A1413" s="82"/>
      <c r="B1413" s="39" t="s">
        <v>5668</v>
      </c>
      <c r="C1413" s="89"/>
      <c r="D1413" s="18">
        <v>100749</v>
      </c>
      <c r="E1413" s="13" t="s">
        <v>10</v>
      </c>
      <c r="F1413" s="14">
        <v>0</v>
      </c>
      <c r="G1413" s="88" t="s">
        <v>95</v>
      </c>
      <c r="H1413" s="14">
        <f t="shared" si="39"/>
        <v>0</v>
      </c>
      <c r="I1413" s="14">
        <f t="shared" si="40"/>
        <v>0</v>
      </c>
      <c r="J1413" s="36"/>
      <c r="K1413" s="17"/>
      <c r="L1413" s="17"/>
      <c r="M1413" s="18"/>
      <c r="O1413" s="15"/>
      <c r="P1413" s="37"/>
      <c r="Q1413" s="15"/>
      <c r="R1413" s="15"/>
    </row>
    <row r="1414" spans="1:18" x14ac:dyDescent="0.25">
      <c r="A1414" s="82"/>
      <c r="B1414" s="39" t="s">
        <v>5669</v>
      </c>
      <c r="C1414" s="89"/>
      <c r="D1414" s="18">
        <v>100750</v>
      </c>
      <c r="E1414" s="2" t="s">
        <v>523</v>
      </c>
      <c r="F1414" s="15">
        <v>23280.6</v>
      </c>
      <c r="G1414" s="41">
        <v>42788</v>
      </c>
      <c r="H1414" s="15">
        <f t="shared" si="39"/>
        <v>23280.6</v>
      </c>
      <c r="I1414" s="15">
        <f t="shared" si="40"/>
        <v>0</v>
      </c>
      <c r="J1414" s="36"/>
      <c r="K1414" s="17"/>
      <c r="L1414" s="17"/>
      <c r="M1414" s="18"/>
      <c r="O1414" s="15"/>
      <c r="P1414" s="37"/>
      <c r="Q1414" s="15"/>
      <c r="R1414" s="15"/>
    </row>
    <row r="1415" spans="1:18" x14ac:dyDescent="0.25">
      <c r="A1415" s="82"/>
      <c r="B1415" s="39" t="s">
        <v>5670</v>
      </c>
      <c r="C1415" s="89"/>
      <c r="D1415" s="18">
        <v>100751</v>
      </c>
      <c r="E1415" s="2" t="s">
        <v>1925</v>
      </c>
      <c r="F1415" s="15">
        <v>440.8</v>
      </c>
      <c r="G1415" s="41">
        <v>42777</v>
      </c>
      <c r="H1415" s="15">
        <f t="shared" si="39"/>
        <v>440.8</v>
      </c>
      <c r="I1415" s="15">
        <f t="shared" si="40"/>
        <v>0</v>
      </c>
      <c r="J1415" s="36"/>
      <c r="K1415" s="17"/>
      <c r="L1415" s="17"/>
      <c r="M1415" s="18"/>
      <c r="O1415" s="15"/>
      <c r="P1415" s="37"/>
      <c r="Q1415" s="15"/>
      <c r="R1415" s="15"/>
    </row>
    <row r="1416" spans="1:18" ht="30" x14ac:dyDescent="0.25">
      <c r="A1416" s="82"/>
      <c r="B1416" s="39" t="s">
        <v>5671</v>
      </c>
      <c r="C1416" s="89"/>
      <c r="D1416" s="18">
        <v>100752</v>
      </c>
      <c r="E1416" s="2" t="s">
        <v>5672</v>
      </c>
      <c r="F1416" s="15">
        <v>375744.62</v>
      </c>
      <c r="G1416" s="41" t="s">
        <v>5673</v>
      </c>
      <c r="H1416" s="15">
        <f>139203.07+236541.55</f>
        <v>375744.62</v>
      </c>
      <c r="I1416" s="15">
        <f t="shared" si="40"/>
        <v>0</v>
      </c>
      <c r="J1416" s="36"/>
      <c r="K1416" s="17"/>
      <c r="L1416" s="17"/>
      <c r="M1416" s="18"/>
      <c r="O1416" s="15"/>
      <c r="P1416" s="37"/>
      <c r="Q1416" s="15"/>
      <c r="R1416" s="15"/>
    </row>
    <row r="1417" spans="1:18" x14ac:dyDescent="0.25">
      <c r="A1417" s="82"/>
      <c r="B1417" s="39" t="s">
        <v>5674</v>
      </c>
      <c r="C1417" s="89"/>
      <c r="D1417" s="18">
        <v>100753</v>
      </c>
      <c r="E1417" s="2" t="s">
        <v>5672</v>
      </c>
      <c r="F1417" s="15">
        <v>171616.88</v>
      </c>
      <c r="G1417" s="41">
        <v>42783</v>
      </c>
      <c r="H1417" s="15">
        <f t="shared" si="39"/>
        <v>171616.88</v>
      </c>
      <c r="I1417" s="15">
        <f t="shared" si="40"/>
        <v>0</v>
      </c>
      <c r="J1417" s="36"/>
      <c r="K1417" s="17"/>
      <c r="L1417" s="17"/>
      <c r="M1417" s="18"/>
      <c r="O1417" s="15"/>
      <c r="P1417" s="37"/>
      <c r="Q1417" s="15"/>
      <c r="R1417" s="15"/>
    </row>
    <row r="1418" spans="1:18" x14ac:dyDescent="0.25">
      <c r="A1418" s="82"/>
      <c r="B1418" s="39" t="s">
        <v>5675</v>
      </c>
      <c r="C1418" s="89"/>
      <c r="D1418" s="18">
        <v>100754</v>
      </c>
      <c r="E1418" s="2" t="s">
        <v>921</v>
      </c>
      <c r="F1418" s="15">
        <v>8290.7999999999993</v>
      </c>
      <c r="G1418" s="41">
        <v>42777</v>
      </c>
      <c r="H1418" s="15">
        <f t="shared" si="39"/>
        <v>8290.7999999999993</v>
      </c>
      <c r="I1418" s="15">
        <f t="shared" si="40"/>
        <v>0</v>
      </c>
      <c r="J1418" s="36"/>
      <c r="K1418" s="17"/>
      <c r="L1418" s="17"/>
      <c r="M1418" s="18"/>
      <c r="O1418" s="15"/>
      <c r="P1418" s="37"/>
      <c r="Q1418" s="15"/>
      <c r="R1418" s="15"/>
    </row>
    <row r="1419" spans="1:18" x14ac:dyDescent="0.25">
      <c r="A1419" s="82"/>
      <c r="B1419" s="39" t="s">
        <v>5676</v>
      </c>
      <c r="C1419" s="89"/>
      <c r="D1419" s="18">
        <v>100755</v>
      </c>
      <c r="E1419" s="2" t="s">
        <v>5352</v>
      </c>
      <c r="F1419" s="15">
        <v>15738</v>
      </c>
      <c r="G1419" s="41">
        <v>42777</v>
      </c>
      <c r="H1419" s="15">
        <f t="shared" si="39"/>
        <v>15738</v>
      </c>
      <c r="I1419" s="15">
        <f t="shared" si="40"/>
        <v>0</v>
      </c>
      <c r="J1419" s="36"/>
      <c r="K1419" s="17"/>
      <c r="L1419" s="17"/>
      <c r="M1419" s="18"/>
      <c r="O1419" s="15"/>
      <c r="P1419" s="37"/>
      <c r="Q1419" s="15"/>
      <c r="R1419" s="15"/>
    </row>
    <row r="1420" spans="1:18" x14ac:dyDescent="0.25">
      <c r="A1420" s="82"/>
      <c r="B1420" s="39" t="s">
        <v>5677</v>
      </c>
      <c r="C1420" s="89"/>
      <c r="D1420" s="18">
        <v>100756</v>
      </c>
      <c r="E1420" s="2" t="s">
        <v>5672</v>
      </c>
      <c r="F1420" s="15">
        <v>30260.400000000001</v>
      </c>
      <c r="G1420" s="41">
        <v>42783</v>
      </c>
      <c r="H1420" s="15">
        <f t="shared" si="39"/>
        <v>30260.400000000001</v>
      </c>
      <c r="I1420" s="15">
        <f t="shared" si="40"/>
        <v>0</v>
      </c>
      <c r="J1420" s="36"/>
      <c r="K1420" s="17"/>
      <c r="L1420" s="17"/>
      <c r="M1420" s="18"/>
      <c r="O1420" s="15"/>
      <c r="P1420" s="37"/>
      <c r="Q1420" s="15"/>
      <c r="R1420" s="15"/>
    </row>
    <row r="1421" spans="1:18" x14ac:dyDescent="0.25">
      <c r="A1421" s="82"/>
      <c r="B1421" s="39" t="s">
        <v>5678</v>
      </c>
      <c r="C1421" s="89"/>
      <c r="D1421" s="18">
        <v>100757</v>
      </c>
      <c r="E1421" s="2" t="s">
        <v>222</v>
      </c>
      <c r="F1421" s="15">
        <v>461188</v>
      </c>
      <c r="G1421" s="41">
        <v>42784</v>
      </c>
      <c r="H1421" s="15">
        <f t="shared" si="39"/>
        <v>461188</v>
      </c>
      <c r="I1421" s="15">
        <f t="shared" si="40"/>
        <v>0</v>
      </c>
      <c r="J1421" s="36"/>
      <c r="K1421" s="17"/>
      <c r="L1421" s="17"/>
      <c r="M1421" s="18"/>
      <c r="O1421" s="15"/>
      <c r="P1421" s="37"/>
      <c r="Q1421" s="15"/>
      <c r="R1421" s="15"/>
    </row>
    <row r="1422" spans="1:18" x14ac:dyDescent="0.25">
      <c r="A1422" s="82"/>
      <c r="B1422" s="39" t="s">
        <v>5679</v>
      </c>
      <c r="C1422" s="89"/>
      <c r="D1422" s="18">
        <v>100758</v>
      </c>
      <c r="E1422" s="2" t="s">
        <v>2535</v>
      </c>
      <c r="F1422" s="15">
        <v>2221.4</v>
      </c>
      <c r="G1422" s="41">
        <v>42779</v>
      </c>
      <c r="H1422" s="15">
        <f t="shared" si="39"/>
        <v>2221.4</v>
      </c>
      <c r="I1422" s="15">
        <f t="shared" si="40"/>
        <v>0</v>
      </c>
      <c r="J1422" s="36"/>
      <c r="K1422" s="17"/>
      <c r="L1422" s="17"/>
      <c r="M1422" s="18"/>
      <c r="O1422" s="15"/>
      <c r="P1422" s="37"/>
      <c r="Q1422" s="15"/>
      <c r="R1422" s="15"/>
    </row>
    <row r="1423" spans="1:18" x14ac:dyDescent="0.25">
      <c r="A1423" s="82"/>
      <c r="B1423" s="39" t="s">
        <v>5680</v>
      </c>
      <c r="C1423" s="89"/>
      <c r="D1423" s="18">
        <v>100759</v>
      </c>
      <c r="E1423" s="2" t="s">
        <v>205</v>
      </c>
      <c r="F1423" s="15">
        <v>22875.599999999999</v>
      </c>
      <c r="G1423" s="41">
        <v>42779</v>
      </c>
      <c r="H1423" s="15">
        <f t="shared" si="39"/>
        <v>22875.599999999999</v>
      </c>
      <c r="I1423" s="15">
        <f t="shared" si="40"/>
        <v>0</v>
      </c>
      <c r="J1423" s="36"/>
      <c r="K1423" s="17"/>
      <c r="L1423" s="17"/>
      <c r="M1423" s="18"/>
      <c r="O1423" s="15"/>
      <c r="P1423" s="37"/>
      <c r="Q1423" s="15"/>
      <c r="R1423" s="15"/>
    </row>
    <row r="1424" spans="1:18" x14ac:dyDescent="0.25">
      <c r="A1424" s="82"/>
      <c r="B1424" s="39" t="s">
        <v>5681</v>
      </c>
      <c r="C1424" s="89"/>
      <c r="D1424" s="18">
        <v>100760</v>
      </c>
      <c r="E1424" s="2" t="s">
        <v>430</v>
      </c>
      <c r="F1424" s="15">
        <v>2240.9</v>
      </c>
      <c r="G1424" s="41">
        <v>42777</v>
      </c>
      <c r="H1424" s="15">
        <f t="shared" si="39"/>
        <v>2240.9</v>
      </c>
      <c r="I1424" s="15">
        <f t="shared" si="40"/>
        <v>0</v>
      </c>
      <c r="J1424" s="36"/>
      <c r="K1424" s="17"/>
      <c r="L1424" s="17"/>
      <c r="M1424" s="18"/>
      <c r="O1424" s="15"/>
      <c r="P1424" s="37"/>
      <c r="Q1424" s="15"/>
      <c r="R1424" s="15"/>
    </row>
    <row r="1425" spans="1:18" x14ac:dyDescent="0.25">
      <c r="A1425" s="82"/>
      <c r="B1425" s="39" t="s">
        <v>5682</v>
      </c>
      <c r="C1425" s="89"/>
      <c r="D1425" s="18">
        <v>100761</v>
      </c>
      <c r="E1425" s="2" t="s">
        <v>321</v>
      </c>
      <c r="F1425" s="15">
        <v>866.4</v>
      </c>
      <c r="G1425" s="41">
        <v>42778</v>
      </c>
      <c r="H1425" s="15">
        <f t="shared" si="39"/>
        <v>866.4</v>
      </c>
      <c r="I1425" s="15">
        <f t="shared" si="40"/>
        <v>0</v>
      </c>
      <c r="J1425" s="36"/>
      <c r="K1425" s="17"/>
      <c r="L1425" s="17"/>
      <c r="M1425" s="18"/>
      <c r="O1425" s="15"/>
      <c r="P1425" s="37"/>
      <c r="Q1425" s="15"/>
      <c r="R1425" s="15"/>
    </row>
    <row r="1426" spans="1:18" x14ac:dyDescent="0.25">
      <c r="A1426" s="82"/>
      <c r="B1426" s="39" t="s">
        <v>5683</v>
      </c>
      <c r="C1426" s="89"/>
      <c r="D1426" s="18">
        <v>100762</v>
      </c>
      <c r="E1426" s="2" t="s">
        <v>231</v>
      </c>
      <c r="F1426" s="15">
        <v>9332.7000000000007</v>
      </c>
      <c r="G1426" s="41">
        <v>42779</v>
      </c>
      <c r="H1426" s="15">
        <f t="shared" si="39"/>
        <v>9332.7000000000007</v>
      </c>
      <c r="I1426" s="15">
        <f t="shared" si="40"/>
        <v>0</v>
      </c>
      <c r="J1426" s="36"/>
      <c r="K1426" s="17"/>
      <c r="L1426" s="17"/>
      <c r="M1426" s="18"/>
      <c r="O1426" s="15"/>
      <c r="P1426" s="37"/>
      <c r="Q1426" s="15"/>
      <c r="R1426" s="15"/>
    </row>
    <row r="1427" spans="1:18" x14ac:dyDescent="0.25">
      <c r="A1427" s="82"/>
      <c r="B1427" s="39" t="s">
        <v>5684</v>
      </c>
      <c r="C1427" s="89"/>
      <c r="D1427" s="18">
        <v>100763</v>
      </c>
      <c r="E1427" s="2" t="s">
        <v>1786</v>
      </c>
      <c r="F1427" s="15">
        <v>9768</v>
      </c>
      <c r="G1427" s="41">
        <v>42778</v>
      </c>
      <c r="H1427" s="15">
        <f t="shared" si="39"/>
        <v>9768</v>
      </c>
      <c r="I1427" s="15">
        <f t="shared" si="40"/>
        <v>0</v>
      </c>
      <c r="J1427" s="36"/>
      <c r="K1427" s="17"/>
      <c r="L1427" s="17"/>
      <c r="M1427" s="18"/>
      <c r="O1427" s="15"/>
      <c r="P1427" s="37"/>
      <c r="Q1427" s="15"/>
      <c r="R1427" s="15"/>
    </row>
    <row r="1428" spans="1:18" x14ac:dyDescent="0.25">
      <c r="A1428" s="82"/>
      <c r="B1428" s="39" t="s">
        <v>5685</v>
      </c>
      <c r="C1428" s="89"/>
      <c r="D1428" s="18">
        <v>100764</v>
      </c>
      <c r="E1428" s="2" t="s">
        <v>1335</v>
      </c>
      <c r="F1428" s="15">
        <v>9079.7999999999993</v>
      </c>
      <c r="G1428" s="41">
        <v>42778</v>
      </c>
      <c r="H1428" s="15">
        <f t="shared" si="39"/>
        <v>9079.7999999999993</v>
      </c>
      <c r="I1428" s="15">
        <f t="shared" si="40"/>
        <v>0</v>
      </c>
      <c r="J1428" s="36"/>
      <c r="K1428" s="17"/>
      <c r="L1428" s="17"/>
      <c r="M1428" s="18"/>
      <c r="O1428" s="15"/>
      <c r="P1428" s="37"/>
      <c r="Q1428" s="15"/>
      <c r="R1428" s="15"/>
    </row>
    <row r="1429" spans="1:18" x14ac:dyDescent="0.25">
      <c r="A1429" s="82"/>
      <c r="B1429" s="39" t="s">
        <v>5686</v>
      </c>
      <c r="C1429" s="89"/>
      <c r="D1429" s="18">
        <v>100765</v>
      </c>
      <c r="E1429" s="2" t="s">
        <v>28</v>
      </c>
      <c r="F1429" s="15">
        <v>4923</v>
      </c>
      <c r="G1429" s="41">
        <v>42778</v>
      </c>
      <c r="H1429" s="15">
        <f t="shared" si="39"/>
        <v>4923</v>
      </c>
      <c r="I1429" s="15">
        <f t="shared" si="40"/>
        <v>0</v>
      </c>
      <c r="J1429" s="36"/>
      <c r="K1429" s="17"/>
      <c r="L1429" s="17"/>
      <c r="M1429" s="18"/>
      <c r="O1429" s="15"/>
      <c r="P1429" s="37"/>
      <c r="Q1429" s="15"/>
      <c r="R1429" s="15"/>
    </row>
    <row r="1430" spans="1:18" x14ac:dyDescent="0.25">
      <c r="A1430" s="82"/>
      <c r="B1430" s="39" t="s">
        <v>5687</v>
      </c>
      <c r="C1430" s="89"/>
      <c r="D1430" s="18">
        <v>100766</v>
      </c>
      <c r="E1430" s="2" t="s">
        <v>143</v>
      </c>
      <c r="F1430" s="15">
        <v>6245</v>
      </c>
      <c r="G1430" s="41">
        <v>42778</v>
      </c>
      <c r="H1430" s="15">
        <f t="shared" si="39"/>
        <v>6245</v>
      </c>
      <c r="I1430" s="15">
        <f t="shared" si="40"/>
        <v>0</v>
      </c>
      <c r="J1430" s="36"/>
      <c r="K1430" s="17"/>
      <c r="L1430" s="17"/>
      <c r="M1430" s="18"/>
      <c r="O1430" s="15"/>
      <c r="P1430" s="37"/>
      <c r="Q1430" s="15"/>
      <c r="R1430" s="15"/>
    </row>
    <row r="1431" spans="1:18" x14ac:dyDescent="0.25">
      <c r="A1431" s="82"/>
      <c r="B1431" s="39" t="s">
        <v>5688</v>
      </c>
      <c r="C1431" s="89"/>
      <c r="D1431" s="18">
        <v>100767</v>
      </c>
      <c r="E1431" s="2" t="s">
        <v>17</v>
      </c>
      <c r="F1431" s="15">
        <v>5390</v>
      </c>
      <c r="G1431" s="87">
        <v>42778</v>
      </c>
      <c r="H1431" s="20">
        <f>5150+240</f>
        <v>5390</v>
      </c>
      <c r="I1431" s="20">
        <f t="shared" si="40"/>
        <v>0</v>
      </c>
      <c r="J1431" s="36"/>
      <c r="K1431" s="17"/>
      <c r="L1431" s="17"/>
      <c r="M1431" s="18"/>
      <c r="O1431" s="15"/>
      <c r="P1431" s="37"/>
      <c r="Q1431" s="15"/>
      <c r="R1431" s="15"/>
    </row>
    <row r="1432" spans="1:18" x14ac:dyDescent="0.25">
      <c r="A1432" s="82"/>
      <c r="B1432" s="39" t="s">
        <v>5689</v>
      </c>
      <c r="C1432" s="89"/>
      <c r="D1432" s="18">
        <v>100768</v>
      </c>
      <c r="E1432" s="2" t="s">
        <v>5672</v>
      </c>
      <c r="F1432" s="15">
        <v>16880.400000000001</v>
      </c>
      <c r="G1432" s="41">
        <v>42783</v>
      </c>
      <c r="H1432" s="15">
        <f t="shared" si="39"/>
        <v>16880.400000000001</v>
      </c>
      <c r="I1432" s="15">
        <f t="shared" si="40"/>
        <v>0</v>
      </c>
      <c r="J1432" s="36"/>
      <c r="K1432" s="17"/>
      <c r="L1432" s="17"/>
      <c r="M1432" s="18"/>
      <c r="O1432" s="15"/>
      <c r="P1432" s="37"/>
      <c r="Q1432" s="15"/>
      <c r="R1432" s="15"/>
    </row>
    <row r="1433" spans="1:18" x14ac:dyDescent="0.25">
      <c r="A1433" s="82"/>
      <c r="B1433" s="39" t="s">
        <v>5690</v>
      </c>
      <c r="C1433" s="89"/>
      <c r="D1433" s="18">
        <v>100769</v>
      </c>
      <c r="E1433" s="2" t="s">
        <v>231</v>
      </c>
      <c r="F1433" s="15">
        <v>34874.9</v>
      </c>
      <c r="G1433" s="87">
        <v>42779</v>
      </c>
      <c r="H1433" s="20">
        <f>24000+10874.9</f>
        <v>34874.9</v>
      </c>
      <c r="I1433" s="20">
        <f t="shared" si="40"/>
        <v>0</v>
      </c>
      <c r="J1433" s="36"/>
      <c r="K1433" s="17"/>
      <c r="L1433" s="17"/>
      <c r="M1433" s="18"/>
      <c r="O1433" s="15"/>
      <c r="P1433" s="37"/>
      <c r="Q1433" s="15"/>
      <c r="R1433" s="15"/>
    </row>
    <row r="1434" spans="1:18" x14ac:dyDescent="0.25">
      <c r="A1434" s="82"/>
      <c r="B1434" s="39" t="s">
        <v>5691</v>
      </c>
      <c r="C1434" s="89"/>
      <c r="D1434" s="18">
        <v>100770</v>
      </c>
      <c r="E1434" s="2" t="s">
        <v>67</v>
      </c>
      <c r="F1434" s="15">
        <v>18192.900000000001</v>
      </c>
      <c r="G1434" s="41">
        <v>42780</v>
      </c>
      <c r="H1434" s="15">
        <f t="shared" si="39"/>
        <v>18192.900000000001</v>
      </c>
      <c r="I1434" s="15">
        <f t="shared" si="40"/>
        <v>0</v>
      </c>
      <c r="J1434" s="36"/>
      <c r="K1434" s="17"/>
      <c r="L1434" s="17"/>
      <c r="M1434" s="18"/>
      <c r="O1434" s="15"/>
      <c r="P1434" s="37"/>
      <c r="Q1434" s="15"/>
      <c r="R1434" s="15"/>
    </row>
    <row r="1435" spans="1:18" x14ac:dyDescent="0.25">
      <c r="A1435" s="82"/>
      <c r="B1435" s="39" t="s">
        <v>5692</v>
      </c>
      <c r="C1435" s="89"/>
      <c r="D1435" s="18">
        <v>100771</v>
      </c>
      <c r="E1435" s="2" t="s">
        <v>118</v>
      </c>
      <c r="F1435" s="15">
        <v>31008.18</v>
      </c>
      <c r="G1435" s="41">
        <v>42778</v>
      </c>
      <c r="H1435" s="15">
        <f t="shared" si="39"/>
        <v>31008.18</v>
      </c>
      <c r="I1435" s="15">
        <f t="shared" si="40"/>
        <v>0</v>
      </c>
      <c r="J1435" s="36"/>
      <c r="K1435" s="17"/>
      <c r="L1435" s="17"/>
      <c r="M1435" s="18"/>
      <c r="O1435" s="15"/>
      <c r="P1435" s="37"/>
      <c r="Q1435" s="15"/>
      <c r="R1435" s="15"/>
    </row>
    <row r="1436" spans="1:18" x14ac:dyDescent="0.25">
      <c r="A1436" s="82"/>
      <c r="B1436" s="39" t="s">
        <v>5693</v>
      </c>
      <c r="C1436" s="89"/>
      <c r="D1436" s="18">
        <v>100772</v>
      </c>
      <c r="E1436" s="2" t="s">
        <v>157</v>
      </c>
      <c r="F1436" s="15">
        <v>31306.5</v>
      </c>
      <c r="G1436" s="87">
        <v>42778</v>
      </c>
      <c r="H1436" s="20">
        <f>30000+1306.5</f>
        <v>31306.5</v>
      </c>
      <c r="I1436" s="20">
        <f t="shared" si="40"/>
        <v>0</v>
      </c>
      <c r="J1436" s="36"/>
      <c r="K1436" s="17"/>
      <c r="L1436" s="17"/>
      <c r="M1436" s="18"/>
      <c r="O1436" s="15"/>
      <c r="P1436" s="37"/>
      <c r="Q1436" s="15"/>
      <c r="R1436" s="15"/>
    </row>
    <row r="1437" spans="1:18" x14ac:dyDescent="0.25">
      <c r="A1437" s="82"/>
      <c r="B1437" s="39" t="s">
        <v>5694</v>
      </c>
      <c r="C1437" s="89"/>
      <c r="D1437" s="18">
        <v>100773</v>
      </c>
      <c r="E1437" s="2" t="s">
        <v>1645</v>
      </c>
      <c r="F1437" s="15">
        <v>1334.6</v>
      </c>
      <c r="G1437" s="41">
        <v>42778</v>
      </c>
      <c r="H1437" s="15">
        <f t="shared" si="39"/>
        <v>1334.6</v>
      </c>
      <c r="I1437" s="15">
        <f t="shared" si="40"/>
        <v>0</v>
      </c>
      <c r="J1437" s="36"/>
      <c r="K1437" s="17"/>
      <c r="L1437" s="17"/>
      <c r="M1437" s="18"/>
      <c r="O1437" s="15"/>
      <c r="P1437" s="37"/>
      <c r="Q1437" s="15"/>
      <c r="R1437" s="15"/>
    </row>
    <row r="1438" spans="1:18" x14ac:dyDescent="0.25">
      <c r="A1438" s="82"/>
      <c r="B1438" s="39" t="s">
        <v>5695</v>
      </c>
      <c r="C1438" s="89"/>
      <c r="D1438" s="18">
        <v>100774</v>
      </c>
      <c r="E1438" s="2" t="s">
        <v>492</v>
      </c>
      <c r="F1438" s="15">
        <v>5673.6</v>
      </c>
      <c r="G1438" s="41">
        <v>42788</v>
      </c>
      <c r="H1438" s="15">
        <f t="shared" si="39"/>
        <v>5673.6</v>
      </c>
      <c r="I1438" s="15">
        <f t="shared" si="40"/>
        <v>0</v>
      </c>
      <c r="J1438" s="36"/>
      <c r="K1438" s="17"/>
      <c r="L1438" s="17"/>
      <c r="M1438" s="18"/>
      <c r="O1438" s="15"/>
      <c r="P1438" s="37"/>
      <c r="Q1438" s="15"/>
      <c r="R1438" s="15"/>
    </row>
    <row r="1439" spans="1:18" x14ac:dyDescent="0.25">
      <c r="A1439" s="82"/>
      <c r="B1439" s="39" t="s">
        <v>5696</v>
      </c>
      <c r="C1439" s="89"/>
      <c r="D1439" s="18">
        <v>100775</v>
      </c>
      <c r="E1439" s="2" t="s">
        <v>1645</v>
      </c>
      <c r="F1439" s="15">
        <v>291.60000000000002</v>
      </c>
      <c r="G1439" s="41">
        <v>42778</v>
      </c>
      <c r="H1439" s="15">
        <f t="shared" si="39"/>
        <v>291.60000000000002</v>
      </c>
      <c r="I1439" s="15">
        <f t="shared" si="40"/>
        <v>0</v>
      </c>
      <c r="J1439" s="36"/>
      <c r="K1439" s="17"/>
      <c r="L1439" s="17"/>
      <c r="M1439" s="18"/>
      <c r="O1439" s="15"/>
      <c r="P1439" s="37"/>
      <c r="Q1439" s="15"/>
      <c r="R1439" s="15"/>
    </row>
    <row r="1440" spans="1:18" x14ac:dyDescent="0.25">
      <c r="A1440" s="82"/>
      <c r="B1440" s="39" t="s">
        <v>5697</v>
      </c>
      <c r="C1440" s="89"/>
      <c r="D1440" s="18">
        <v>100776</v>
      </c>
      <c r="E1440" s="2" t="s">
        <v>12</v>
      </c>
      <c r="F1440" s="15">
        <v>3058.4</v>
      </c>
      <c r="G1440" s="41">
        <v>42778</v>
      </c>
      <c r="H1440" s="15">
        <f t="shared" si="39"/>
        <v>3058.4</v>
      </c>
      <c r="I1440" s="15">
        <f t="shared" si="40"/>
        <v>0</v>
      </c>
      <c r="J1440" s="36"/>
      <c r="K1440" s="17"/>
      <c r="L1440" s="17"/>
      <c r="M1440" s="18"/>
      <c r="O1440" s="15"/>
      <c r="P1440" s="37"/>
      <c r="Q1440" s="15"/>
      <c r="R1440" s="15"/>
    </row>
    <row r="1441" spans="1:18" x14ac:dyDescent="0.25">
      <c r="A1441" s="82"/>
      <c r="B1441" s="39" t="s">
        <v>5698</v>
      </c>
      <c r="C1441" s="89"/>
      <c r="D1441" s="18">
        <v>100777</v>
      </c>
      <c r="E1441" s="2" t="s">
        <v>141</v>
      </c>
      <c r="F1441" s="15">
        <v>11284.6</v>
      </c>
      <c r="G1441" s="41">
        <v>42778</v>
      </c>
      <c r="H1441" s="15">
        <f t="shared" si="39"/>
        <v>11284.6</v>
      </c>
      <c r="I1441" s="15">
        <f t="shared" si="40"/>
        <v>0</v>
      </c>
      <c r="J1441" s="36"/>
      <c r="K1441" s="17"/>
      <c r="L1441" s="17"/>
      <c r="M1441" s="18"/>
      <c r="O1441" s="15"/>
      <c r="P1441" s="37"/>
      <c r="Q1441" s="15"/>
      <c r="R1441" s="15"/>
    </row>
    <row r="1442" spans="1:18" x14ac:dyDescent="0.25">
      <c r="A1442" s="82"/>
      <c r="B1442" s="39" t="s">
        <v>5699</v>
      </c>
      <c r="C1442" s="89"/>
      <c r="D1442" s="18">
        <v>100778</v>
      </c>
      <c r="E1442" s="2" t="s">
        <v>14</v>
      </c>
      <c r="F1442" s="15">
        <v>18910.8</v>
      </c>
      <c r="G1442" s="41">
        <v>42778</v>
      </c>
      <c r="H1442" s="15">
        <f t="shared" si="39"/>
        <v>18910.8</v>
      </c>
      <c r="I1442" s="15">
        <f t="shared" si="40"/>
        <v>0</v>
      </c>
      <c r="J1442" s="36"/>
      <c r="K1442" s="17"/>
      <c r="L1442" s="17"/>
      <c r="M1442" s="18"/>
      <c r="O1442" s="15"/>
      <c r="P1442" s="37"/>
      <c r="Q1442" s="15"/>
      <c r="R1442" s="15"/>
    </row>
    <row r="1443" spans="1:18" x14ac:dyDescent="0.25">
      <c r="A1443" s="82"/>
      <c r="B1443" s="39" t="s">
        <v>5700</v>
      </c>
      <c r="C1443" s="89"/>
      <c r="D1443" s="18">
        <v>100779</v>
      </c>
      <c r="E1443" s="13" t="s">
        <v>1830</v>
      </c>
      <c r="F1443" s="14">
        <v>0</v>
      </c>
      <c r="G1443" s="88" t="s">
        <v>95</v>
      </c>
      <c r="H1443" s="14">
        <f t="shared" si="39"/>
        <v>0</v>
      </c>
      <c r="I1443" s="14">
        <f t="shared" si="40"/>
        <v>0</v>
      </c>
      <c r="J1443" s="36"/>
      <c r="K1443" s="17"/>
      <c r="L1443" s="17"/>
      <c r="M1443" s="18"/>
      <c r="O1443" s="15"/>
      <c r="P1443" s="37"/>
      <c r="Q1443" s="15"/>
      <c r="R1443" s="15"/>
    </row>
    <row r="1444" spans="1:18" x14ac:dyDescent="0.25">
      <c r="A1444" s="82"/>
      <c r="B1444" s="39" t="s">
        <v>5701</v>
      </c>
      <c r="C1444" s="89"/>
      <c r="D1444" s="18">
        <v>100780</v>
      </c>
      <c r="E1444" s="13" t="s">
        <v>470</v>
      </c>
      <c r="F1444" s="14">
        <v>0</v>
      </c>
      <c r="G1444" s="88" t="s">
        <v>95</v>
      </c>
      <c r="H1444" s="14">
        <f t="shared" si="39"/>
        <v>0</v>
      </c>
      <c r="I1444" s="14">
        <f t="shared" si="40"/>
        <v>0</v>
      </c>
      <c r="J1444" s="36"/>
      <c r="K1444" s="17"/>
      <c r="L1444" s="17"/>
      <c r="M1444" s="18"/>
      <c r="O1444" s="15"/>
      <c r="P1444" s="37"/>
      <c r="Q1444" s="15"/>
      <c r="R1444" s="15"/>
    </row>
    <row r="1445" spans="1:18" x14ac:dyDescent="0.25">
      <c r="A1445" s="82"/>
      <c r="B1445" s="39" t="s">
        <v>5702</v>
      </c>
      <c r="C1445" s="89"/>
      <c r="D1445" s="18">
        <v>100781</v>
      </c>
      <c r="E1445" s="13" t="s">
        <v>470</v>
      </c>
      <c r="F1445" s="14">
        <v>0</v>
      </c>
      <c r="G1445" s="88" t="s">
        <v>95</v>
      </c>
      <c r="H1445" s="14">
        <f t="shared" si="39"/>
        <v>0</v>
      </c>
      <c r="I1445" s="14">
        <f t="shared" si="40"/>
        <v>0</v>
      </c>
      <c r="J1445" s="36"/>
      <c r="K1445" s="17"/>
      <c r="L1445" s="17"/>
      <c r="M1445" s="18"/>
      <c r="O1445" s="15"/>
      <c r="P1445" s="37"/>
      <c r="Q1445" s="15"/>
      <c r="R1445" s="15"/>
    </row>
    <row r="1446" spans="1:18" x14ac:dyDescent="0.25">
      <c r="A1446" s="82"/>
      <c r="B1446" s="39" t="s">
        <v>5703</v>
      </c>
      <c r="C1446" s="89"/>
      <c r="D1446" s="18">
        <v>100782</v>
      </c>
      <c r="E1446" s="2" t="s">
        <v>111</v>
      </c>
      <c r="F1446" s="15">
        <v>2306.6</v>
      </c>
      <c r="G1446" s="41">
        <v>42778</v>
      </c>
      <c r="H1446" s="15">
        <f t="shared" si="39"/>
        <v>2306.6</v>
      </c>
      <c r="I1446" s="15">
        <f t="shared" si="40"/>
        <v>0</v>
      </c>
      <c r="J1446" s="36"/>
      <c r="K1446" s="17"/>
      <c r="L1446" s="17"/>
      <c r="M1446" s="18"/>
      <c r="O1446" s="15"/>
      <c r="P1446" s="37"/>
      <c r="Q1446" s="15"/>
      <c r="R1446" s="15"/>
    </row>
    <row r="1447" spans="1:18" x14ac:dyDescent="0.25">
      <c r="A1447" s="82"/>
      <c r="B1447" s="39" t="s">
        <v>5704</v>
      </c>
      <c r="C1447" s="89"/>
      <c r="D1447" s="18">
        <v>100783</v>
      </c>
      <c r="E1447" s="2" t="s">
        <v>470</v>
      </c>
      <c r="F1447" s="15">
        <v>8370</v>
      </c>
      <c r="G1447" s="41">
        <v>42778</v>
      </c>
      <c r="H1447" s="15">
        <f t="shared" si="39"/>
        <v>8370</v>
      </c>
      <c r="I1447" s="15">
        <f t="shared" si="40"/>
        <v>0</v>
      </c>
      <c r="J1447" s="36"/>
      <c r="K1447" s="17"/>
      <c r="L1447" s="17"/>
      <c r="M1447" s="18"/>
      <c r="O1447" s="15"/>
      <c r="P1447" s="37"/>
      <c r="Q1447" s="15"/>
      <c r="R1447" s="15"/>
    </row>
    <row r="1448" spans="1:18" x14ac:dyDescent="0.25">
      <c r="A1448" s="82"/>
      <c r="B1448" s="39" t="s">
        <v>5705</v>
      </c>
      <c r="C1448" s="89"/>
      <c r="D1448" s="18">
        <v>100784</v>
      </c>
      <c r="E1448" s="2" t="s">
        <v>1090</v>
      </c>
      <c r="F1448" s="15">
        <v>3217.6</v>
      </c>
      <c r="G1448" s="41">
        <v>42778</v>
      </c>
      <c r="H1448" s="15">
        <f t="shared" si="39"/>
        <v>3217.6</v>
      </c>
      <c r="I1448" s="15">
        <f t="shared" si="40"/>
        <v>0</v>
      </c>
      <c r="J1448" s="36"/>
      <c r="K1448" s="17"/>
      <c r="L1448" s="17"/>
      <c r="M1448" s="18"/>
      <c r="O1448" s="15"/>
      <c r="P1448" s="37"/>
      <c r="Q1448" s="15"/>
      <c r="R1448" s="15"/>
    </row>
    <row r="1449" spans="1:18" x14ac:dyDescent="0.25">
      <c r="A1449" s="82"/>
      <c r="B1449" s="39" t="s">
        <v>5706</v>
      </c>
      <c r="C1449" s="89"/>
      <c r="D1449" s="18">
        <v>100785</v>
      </c>
      <c r="E1449" s="2" t="s">
        <v>1116</v>
      </c>
      <c r="F1449" s="15">
        <v>5289</v>
      </c>
      <c r="G1449" s="41">
        <v>42779</v>
      </c>
      <c r="H1449" s="15">
        <f t="shared" si="39"/>
        <v>5289</v>
      </c>
      <c r="I1449" s="15">
        <f t="shared" si="40"/>
        <v>0</v>
      </c>
      <c r="J1449" s="36"/>
      <c r="K1449" s="17"/>
      <c r="L1449" s="17"/>
      <c r="M1449" s="18"/>
      <c r="O1449" s="15"/>
      <c r="P1449" s="37"/>
      <c r="Q1449" s="15"/>
      <c r="R1449" s="15"/>
    </row>
    <row r="1450" spans="1:18" x14ac:dyDescent="0.25">
      <c r="A1450" s="82"/>
      <c r="B1450" s="39" t="s">
        <v>5707</v>
      </c>
      <c r="C1450" s="89"/>
      <c r="D1450" s="18">
        <v>100786</v>
      </c>
      <c r="E1450" s="2" t="s">
        <v>1090</v>
      </c>
      <c r="F1450" s="15">
        <v>8460</v>
      </c>
      <c r="G1450" s="41">
        <v>42778</v>
      </c>
      <c r="H1450" s="15">
        <f t="shared" si="39"/>
        <v>8460</v>
      </c>
      <c r="I1450" s="15">
        <f t="shared" si="40"/>
        <v>0</v>
      </c>
      <c r="J1450" s="36"/>
      <c r="K1450" s="17"/>
      <c r="L1450" s="17"/>
      <c r="M1450" s="18"/>
      <c r="O1450" s="15"/>
      <c r="P1450" s="37"/>
      <c r="Q1450" s="15"/>
      <c r="R1450" s="15"/>
    </row>
    <row r="1451" spans="1:18" x14ac:dyDescent="0.25">
      <c r="A1451" s="82"/>
      <c r="B1451" s="39" t="s">
        <v>5708</v>
      </c>
      <c r="C1451" s="89"/>
      <c r="D1451" s="18">
        <v>100787</v>
      </c>
      <c r="E1451" s="2" t="s">
        <v>79</v>
      </c>
      <c r="F1451" s="15">
        <v>2700</v>
      </c>
      <c r="G1451" s="41">
        <v>42778</v>
      </c>
      <c r="H1451" s="15">
        <f t="shared" si="39"/>
        <v>2700</v>
      </c>
      <c r="I1451" s="15">
        <f t="shared" si="40"/>
        <v>0</v>
      </c>
      <c r="J1451" s="36"/>
      <c r="K1451" s="17"/>
      <c r="L1451" s="17"/>
      <c r="M1451" s="18"/>
      <c r="O1451" s="15"/>
      <c r="P1451" s="37"/>
      <c r="Q1451" s="15"/>
      <c r="R1451" s="15"/>
    </row>
    <row r="1452" spans="1:18" x14ac:dyDescent="0.25">
      <c r="A1452" s="82"/>
      <c r="B1452" s="39" t="s">
        <v>5709</v>
      </c>
      <c r="C1452" s="89"/>
      <c r="D1452" s="18">
        <v>100788</v>
      </c>
      <c r="E1452" s="2" t="s">
        <v>5586</v>
      </c>
      <c r="F1452" s="15">
        <v>45846</v>
      </c>
      <c r="G1452" s="41">
        <v>42788</v>
      </c>
      <c r="H1452" s="15">
        <f t="shared" si="39"/>
        <v>45846</v>
      </c>
      <c r="I1452" s="15">
        <f t="shared" si="40"/>
        <v>0</v>
      </c>
      <c r="J1452" s="36"/>
      <c r="K1452" s="17"/>
      <c r="L1452" s="17"/>
      <c r="M1452" s="18"/>
      <c r="O1452" s="15"/>
      <c r="P1452" s="37"/>
      <c r="Q1452" s="15"/>
      <c r="R1452" s="15"/>
    </row>
    <row r="1453" spans="1:18" x14ac:dyDescent="0.25">
      <c r="A1453" s="82"/>
      <c r="B1453" s="39" t="s">
        <v>5710</v>
      </c>
      <c r="C1453" s="89"/>
      <c r="D1453" s="18">
        <v>100789</v>
      </c>
      <c r="E1453" s="2" t="s">
        <v>47</v>
      </c>
      <c r="F1453" s="15">
        <v>3230.1</v>
      </c>
      <c r="G1453" s="41">
        <v>42778</v>
      </c>
      <c r="H1453" s="15">
        <f t="shared" si="39"/>
        <v>3230.1</v>
      </c>
      <c r="I1453" s="15">
        <f t="shared" si="40"/>
        <v>0</v>
      </c>
      <c r="J1453" s="36"/>
      <c r="K1453" s="17"/>
      <c r="L1453" s="17"/>
      <c r="M1453" s="18"/>
      <c r="O1453" s="15"/>
      <c r="P1453" s="37"/>
      <c r="Q1453" s="15"/>
      <c r="R1453" s="15"/>
    </row>
    <row r="1454" spans="1:18" x14ac:dyDescent="0.25">
      <c r="A1454" s="82"/>
      <c r="B1454" s="39" t="s">
        <v>5711</v>
      </c>
      <c r="C1454" s="89"/>
      <c r="D1454" s="18">
        <v>100790</v>
      </c>
      <c r="E1454" s="2" t="s">
        <v>71</v>
      </c>
      <c r="F1454" s="15">
        <v>1879.5</v>
      </c>
      <c r="G1454" s="41">
        <v>42778</v>
      </c>
      <c r="H1454" s="15">
        <f t="shared" si="39"/>
        <v>1879.5</v>
      </c>
      <c r="I1454" s="15">
        <f t="shared" si="40"/>
        <v>0</v>
      </c>
      <c r="J1454" s="36"/>
      <c r="K1454" s="17"/>
      <c r="L1454" s="17"/>
      <c r="M1454" s="18"/>
      <c r="O1454" s="15"/>
      <c r="P1454" s="37"/>
      <c r="Q1454" s="15"/>
      <c r="R1454" s="15"/>
    </row>
    <row r="1455" spans="1:18" x14ac:dyDescent="0.25">
      <c r="A1455" s="82"/>
      <c r="B1455" s="39" t="s">
        <v>5712</v>
      </c>
      <c r="C1455" s="89"/>
      <c r="D1455" s="18">
        <v>100791</v>
      </c>
      <c r="E1455" s="2" t="s">
        <v>457</v>
      </c>
      <c r="F1455" s="15">
        <v>6110</v>
      </c>
      <c r="G1455" s="41">
        <v>42778</v>
      </c>
      <c r="H1455" s="15">
        <f t="shared" si="39"/>
        <v>6110</v>
      </c>
      <c r="I1455" s="15">
        <f t="shared" si="40"/>
        <v>0</v>
      </c>
      <c r="J1455" s="36"/>
      <c r="K1455" s="17"/>
      <c r="L1455" s="17"/>
      <c r="M1455" s="18"/>
      <c r="O1455" s="15"/>
      <c r="P1455" s="37"/>
      <c r="Q1455" s="15"/>
      <c r="R1455" s="15"/>
    </row>
    <row r="1456" spans="1:18" x14ac:dyDescent="0.25">
      <c r="A1456" s="82"/>
      <c r="B1456" s="39" t="s">
        <v>5713</v>
      </c>
      <c r="C1456" s="89"/>
      <c r="D1456" s="18">
        <v>100792</v>
      </c>
      <c r="E1456" s="2" t="s">
        <v>69</v>
      </c>
      <c r="F1456" s="15">
        <v>2305.8000000000002</v>
      </c>
      <c r="G1456" s="41">
        <v>42778</v>
      </c>
      <c r="H1456" s="15">
        <f t="shared" si="39"/>
        <v>2305.8000000000002</v>
      </c>
      <c r="I1456" s="15">
        <f t="shared" si="40"/>
        <v>0</v>
      </c>
      <c r="J1456" s="36"/>
      <c r="K1456" s="17"/>
      <c r="L1456" s="17"/>
      <c r="M1456" s="18"/>
      <c r="O1456" s="15"/>
      <c r="P1456" s="37"/>
      <c r="Q1456" s="15"/>
      <c r="R1456" s="15"/>
    </row>
    <row r="1457" spans="1:18" x14ac:dyDescent="0.25">
      <c r="A1457" s="82"/>
      <c r="B1457" s="39" t="s">
        <v>5714</v>
      </c>
      <c r="C1457" s="89"/>
      <c r="D1457" s="18">
        <v>100793</v>
      </c>
      <c r="E1457" s="2" t="s">
        <v>168</v>
      </c>
      <c r="F1457" s="15">
        <v>850.4</v>
      </c>
      <c r="G1457" s="41">
        <v>42778</v>
      </c>
      <c r="H1457" s="15">
        <f t="shared" si="39"/>
        <v>850.4</v>
      </c>
      <c r="I1457" s="15">
        <f t="shared" si="40"/>
        <v>0</v>
      </c>
      <c r="J1457" s="36"/>
      <c r="K1457" s="17"/>
      <c r="L1457" s="17"/>
      <c r="M1457" s="18"/>
      <c r="O1457" s="15"/>
      <c r="P1457" s="37"/>
      <c r="Q1457" s="15"/>
      <c r="R1457" s="15"/>
    </row>
    <row r="1458" spans="1:18" x14ac:dyDescent="0.25">
      <c r="A1458" s="82"/>
      <c r="B1458" s="39" t="s">
        <v>5715</v>
      </c>
      <c r="C1458" s="89"/>
      <c r="D1458" s="18">
        <v>100794</v>
      </c>
      <c r="E1458" s="2" t="s">
        <v>168</v>
      </c>
      <c r="F1458" s="15">
        <v>160.6</v>
      </c>
      <c r="G1458" s="41">
        <v>42778</v>
      </c>
      <c r="H1458" s="15">
        <f t="shared" si="39"/>
        <v>160.6</v>
      </c>
      <c r="I1458" s="15">
        <f t="shared" si="40"/>
        <v>0</v>
      </c>
      <c r="J1458" s="36"/>
      <c r="K1458" s="17"/>
      <c r="L1458" s="17"/>
      <c r="M1458" s="18"/>
      <c r="O1458" s="15"/>
      <c r="P1458" s="37"/>
      <c r="Q1458" s="15"/>
      <c r="R1458" s="15"/>
    </row>
    <row r="1459" spans="1:18" x14ac:dyDescent="0.25">
      <c r="A1459" s="82"/>
      <c r="B1459" s="39" t="s">
        <v>5716</v>
      </c>
      <c r="C1459" s="89"/>
      <c r="D1459" s="18">
        <v>100795</v>
      </c>
      <c r="E1459" s="2" t="s">
        <v>30</v>
      </c>
      <c r="F1459" s="15">
        <v>3078.4</v>
      </c>
      <c r="G1459" s="41">
        <v>42778</v>
      </c>
      <c r="H1459" s="15">
        <f t="shared" si="39"/>
        <v>3078.4</v>
      </c>
      <c r="I1459" s="15">
        <f t="shared" si="40"/>
        <v>0</v>
      </c>
      <c r="J1459" s="36"/>
      <c r="K1459" s="17"/>
      <c r="L1459" s="17"/>
      <c r="M1459" s="18"/>
      <c r="O1459" s="15"/>
      <c r="P1459" s="37"/>
      <c r="Q1459" s="15"/>
      <c r="R1459" s="15"/>
    </row>
    <row r="1460" spans="1:18" x14ac:dyDescent="0.25">
      <c r="A1460" s="82"/>
      <c r="B1460" s="39" t="s">
        <v>5717</v>
      </c>
      <c r="C1460" s="89"/>
      <c r="D1460" s="18">
        <v>100796</v>
      </c>
      <c r="E1460" s="2" t="s">
        <v>220</v>
      </c>
      <c r="F1460" s="15">
        <v>1117.8</v>
      </c>
      <c r="G1460" s="41">
        <v>42778</v>
      </c>
      <c r="H1460" s="15">
        <f t="shared" si="39"/>
        <v>1117.8</v>
      </c>
      <c r="I1460" s="15">
        <f t="shared" si="40"/>
        <v>0</v>
      </c>
      <c r="J1460" s="36"/>
      <c r="K1460" s="17"/>
      <c r="L1460" s="17"/>
      <c r="M1460" s="18"/>
      <c r="O1460" s="15"/>
      <c r="P1460" s="37"/>
      <c r="Q1460" s="15"/>
      <c r="R1460" s="15"/>
    </row>
    <row r="1461" spans="1:18" x14ac:dyDescent="0.25">
      <c r="A1461" s="82"/>
      <c r="B1461" s="39" t="s">
        <v>5718</v>
      </c>
      <c r="C1461" s="89"/>
      <c r="D1461" s="18">
        <v>100797</v>
      </c>
      <c r="E1461" s="13" t="s">
        <v>115</v>
      </c>
      <c r="F1461" s="14">
        <v>0</v>
      </c>
      <c r="G1461" s="88" t="s">
        <v>95</v>
      </c>
      <c r="H1461" s="14">
        <f t="shared" si="39"/>
        <v>0</v>
      </c>
      <c r="I1461" s="14">
        <f t="shared" si="40"/>
        <v>0</v>
      </c>
      <c r="J1461" s="36"/>
      <c r="K1461" s="17"/>
      <c r="L1461" s="17"/>
      <c r="M1461" s="18"/>
      <c r="O1461" s="15"/>
      <c r="P1461" s="37"/>
      <c r="Q1461" s="15"/>
      <c r="R1461" s="15"/>
    </row>
    <row r="1462" spans="1:18" x14ac:dyDescent="0.25">
      <c r="A1462" s="82"/>
      <c r="B1462" s="39" t="s">
        <v>5719</v>
      </c>
      <c r="C1462" s="89"/>
      <c r="D1462" s="18">
        <v>100798</v>
      </c>
      <c r="E1462" s="2" t="s">
        <v>115</v>
      </c>
      <c r="F1462" s="15">
        <v>4141.95</v>
      </c>
      <c r="G1462" s="41">
        <v>42778</v>
      </c>
      <c r="H1462" s="15">
        <f t="shared" si="39"/>
        <v>4141.95</v>
      </c>
      <c r="I1462" s="15">
        <f t="shared" si="40"/>
        <v>0</v>
      </c>
      <c r="J1462" s="36"/>
      <c r="K1462" s="17"/>
      <c r="L1462" s="17"/>
      <c r="M1462" s="18"/>
      <c r="O1462" s="15"/>
      <c r="P1462" s="37"/>
      <c r="Q1462" s="15"/>
      <c r="R1462" s="15"/>
    </row>
    <row r="1463" spans="1:18" x14ac:dyDescent="0.25">
      <c r="A1463" s="82"/>
      <c r="B1463" s="39" t="s">
        <v>5720</v>
      </c>
      <c r="C1463" s="89"/>
      <c r="D1463" s="18">
        <v>100799</v>
      </c>
      <c r="E1463" s="2" t="s">
        <v>81</v>
      </c>
      <c r="F1463" s="15">
        <v>8618.1</v>
      </c>
      <c r="G1463" s="41">
        <v>42779</v>
      </c>
      <c r="H1463" s="15">
        <f t="shared" si="39"/>
        <v>8618.1</v>
      </c>
      <c r="I1463" s="15">
        <f t="shared" si="40"/>
        <v>0</v>
      </c>
      <c r="J1463" s="36"/>
      <c r="K1463" s="17"/>
      <c r="L1463" s="17"/>
      <c r="M1463" s="18"/>
      <c r="O1463" s="15"/>
      <c r="P1463" s="37"/>
      <c r="Q1463" s="15"/>
      <c r="R1463" s="15"/>
    </row>
    <row r="1464" spans="1:18" x14ac:dyDescent="0.25">
      <c r="A1464" s="82"/>
      <c r="B1464" s="39" t="s">
        <v>5721</v>
      </c>
      <c r="C1464" s="89"/>
      <c r="D1464" s="18">
        <v>100800</v>
      </c>
      <c r="E1464" s="2" t="s">
        <v>30</v>
      </c>
      <c r="F1464" s="15">
        <v>2734.7</v>
      </c>
      <c r="G1464" s="41">
        <v>42778</v>
      </c>
      <c r="H1464" s="15">
        <f t="shared" si="39"/>
        <v>2734.7</v>
      </c>
      <c r="I1464" s="15">
        <f t="shared" si="40"/>
        <v>0</v>
      </c>
      <c r="J1464" s="36"/>
      <c r="K1464" s="17"/>
      <c r="L1464" s="17"/>
      <c r="M1464" s="18"/>
      <c r="O1464" s="15"/>
      <c r="P1464" s="37"/>
      <c r="Q1464" s="15"/>
      <c r="R1464" s="15"/>
    </row>
    <row r="1465" spans="1:18" x14ac:dyDescent="0.25">
      <c r="A1465" s="82"/>
      <c r="B1465" s="39" t="s">
        <v>5722</v>
      </c>
      <c r="C1465" s="89"/>
      <c r="D1465" s="18">
        <v>100801</v>
      </c>
      <c r="E1465" s="2" t="s">
        <v>99</v>
      </c>
      <c r="F1465" s="15">
        <v>3430</v>
      </c>
      <c r="G1465" s="41">
        <v>42779</v>
      </c>
      <c r="H1465" s="15">
        <f t="shared" si="39"/>
        <v>3430</v>
      </c>
      <c r="I1465" s="15">
        <f t="shared" si="40"/>
        <v>0</v>
      </c>
      <c r="J1465" s="36"/>
      <c r="K1465" s="17"/>
      <c r="L1465" s="17"/>
      <c r="M1465" s="18"/>
      <c r="O1465" s="15"/>
      <c r="P1465" s="37"/>
      <c r="Q1465" s="15"/>
      <c r="R1465" s="15"/>
    </row>
    <row r="1466" spans="1:18" x14ac:dyDescent="0.25">
      <c r="A1466" s="82"/>
      <c r="B1466" s="39" t="s">
        <v>5723</v>
      </c>
      <c r="C1466" s="89"/>
      <c r="D1466" s="18">
        <v>100802</v>
      </c>
      <c r="E1466" s="2" t="s">
        <v>4367</v>
      </c>
      <c r="F1466" s="15">
        <v>1614</v>
      </c>
      <c r="G1466" s="41">
        <v>42779</v>
      </c>
      <c r="H1466" s="15">
        <f t="shared" si="39"/>
        <v>1614</v>
      </c>
      <c r="I1466" s="15">
        <f t="shared" si="40"/>
        <v>0</v>
      </c>
      <c r="J1466" s="36"/>
      <c r="K1466" s="17"/>
      <c r="L1466" s="17"/>
      <c r="M1466" s="18"/>
      <c r="O1466" s="15"/>
      <c r="P1466" s="37"/>
      <c r="Q1466" s="15"/>
      <c r="R1466" s="15"/>
    </row>
    <row r="1467" spans="1:18" x14ac:dyDescent="0.25">
      <c r="A1467" s="82"/>
      <c r="B1467" s="39" t="s">
        <v>5724</v>
      </c>
      <c r="C1467" s="89"/>
      <c r="D1467" s="18">
        <v>100803</v>
      </c>
      <c r="E1467" s="2" t="s">
        <v>101</v>
      </c>
      <c r="F1467" s="15">
        <v>1225</v>
      </c>
      <c r="G1467" s="41">
        <v>42779</v>
      </c>
      <c r="H1467" s="15">
        <f t="shared" si="39"/>
        <v>1225</v>
      </c>
      <c r="I1467" s="15">
        <f t="shared" si="40"/>
        <v>0</v>
      </c>
      <c r="J1467" s="36"/>
      <c r="K1467" s="17"/>
      <c r="L1467" s="17"/>
      <c r="M1467" s="18"/>
      <c r="O1467" s="15"/>
      <c r="P1467" s="37"/>
      <c r="Q1467" s="15"/>
      <c r="R1467" s="15"/>
    </row>
    <row r="1468" spans="1:18" x14ac:dyDescent="0.25">
      <c r="A1468" s="82"/>
      <c r="B1468" s="39" t="s">
        <v>5725</v>
      </c>
      <c r="C1468" s="89"/>
      <c r="D1468" s="18">
        <v>100804</v>
      </c>
      <c r="E1468" s="2" t="s">
        <v>1259</v>
      </c>
      <c r="F1468" s="15">
        <v>2030.4</v>
      </c>
      <c r="G1468" s="41">
        <v>42779</v>
      </c>
      <c r="H1468" s="15">
        <f t="shared" si="39"/>
        <v>2030.4</v>
      </c>
      <c r="I1468" s="15">
        <f t="shared" si="40"/>
        <v>0</v>
      </c>
      <c r="J1468" s="36"/>
      <c r="K1468" s="17"/>
      <c r="L1468" s="17"/>
      <c r="M1468" s="18"/>
      <c r="O1468" s="15"/>
      <c r="P1468" s="37"/>
      <c r="Q1468" s="15"/>
      <c r="R1468" s="15"/>
    </row>
    <row r="1469" spans="1:18" x14ac:dyDescent="0.25">
      <c r="A1469" s="82"/>
      <c r="B1469" s="39" t="s">
        <v>5726</v>
      </c>
      <c r="C1469" s="89"/>
      <c r="D1469" s="18">
        <v>100805</v>
      </c>
      <c r="E1469" s="2" t="s">
        <v>291</v>
      </c>
      <c r="F1469" s="15">
        <v>2442.9</v>
      </c>
      <c r="G1469" s="41">
        <v>42779</v>
      </c>
      <c r="H1469" s="15">
        <f t="shared" si="39"/>
        <v>2442.9</v>
      </c>
      <c r="I1469" s="15">
        <f t="shared" si="40"/>
        <v>0</v>
      </c>
      <c r="J1469" s="36"/>
      <c r="K1469" s="17"/>
      <c r="L1469" s="17"/>
      <c r="M1469" s="18"/>
      <c r="O1469" s="15"/>
      <c r="P1469" s="37"/>
      <c r="Q1469" s="15"/>
      <c r="R1469" s="15"/>
    </row>
    <row r="1470" spans="1:18" ht="30" x14ac:dyDescent="0.25">
      <c r="A1470" s="82"/>
      <c r="B1470" s="39" t="s">
        <v>5727</v>
      </c>
      <c r="C1470" s="89"/>
      <c r="D1470" s="18">
        <v>100806</v>
      </c>
      <c r="E1470" s="2" t="s">
        <v>85</v>
      </c>
      <c r="F1470" s="15">
        <v>12369.2</v>
      </c>
      <c r="G1470" s="87" t="s">
        <v>5728</v>
      </c>
      <c r="H1470" s="20">
        <f>10000+2369.2</f>
        <v>12369.2</v>
      </c>
      <c r="I1470" s="20">
        <f t="shared" si="40"/>
        <v>0</v>
      </c>
      <c r="J1470" s="36"/>
      <c r="K1470" s="17"/>
      <c r="L1470" s="17"/>
      <c r="M1470" s="18"/>
      <c r="O1470" s="15"/>
      <c r="P1470" s="37"/>
      <c r="Q1470" s="15"/>
      <c r="R1470" s="15"/>
    </row>
    <row r="1471" spans="1:18" x14ac:dyDescent="0.25">
      <c r="A1471" s="82"/>
      <c r="B1471" s="39" t="s">
        <v>5729</v>
      </c>
      <c r="C1471" s="89"/>
      <c r="D1471" s="18">
        <v>100807</v>
      </c>
      <c r="E1471" s="2" t="s">
        <v>4930</v>
      </c>
      <c r="F1471" s="15">
        <v>4654</v>
      </c>
      <c r="G1471" s="41">
        <v>42779</v>
      </c>
      <c r="H1471" s="15">
        <f t="shared" si="39"/>
        <v>4654</v>
      </c>
      <c r="I1471" s="15">
        <f t="shared" si="40"/>
        <v>0</v>
      </c>
      <c r="J1471" s="36"/>
      <c r="K1471" s="17"/>
      <c r="L1471" s="17"/>
      <c r="M1471" s="18"/>
      <c r="O1471" s="15"/>
      <c r="P1471" s="37"/>
      <c r="Q1471" s="15"/>
      <c r="R1471" s="15"/>
    </row>
    <row r="1472" spans="1:18" x14ac:dyDescent="0.25">
      <c r="A1472" s="82"/>
      <c r="B1472" s="39" t="s">
        <v>5730</v>
      </c>
      <c r="C1472" s="89"/>
      <c r="D1472" s="18">
        <v>100808</v>
      </c>
      <c r="E1472" s="2" t="s">
        <v>57</v>
      </c>
      <c r="F1472" s="15">
        <v>490</v>
      </c>
      <c r="G1472" s="41">
        <v>42779</v>
      </c>
      <c r="H1472" s="15">
        <f t="shared" si="39"/>
        <v>490</v>
      </c>
      <c r="I1472" s="15">
        <f t="shared" si="40"/>
        <v>0</v>
      </c>
      <c r="J1472" s="36"/>
      <c r="K1472" s="17"/>
      <c r="L1472" s="17"/>
      <c r="M1472" s="18"/>
      <c r="O1472" s="15"/>
      <c r="P1472" s="37"/>
      <c r="Q1472" s="15"/>
      <c r="R1472" s="15"/>
    </row>
    <row r="1473" spans="1:11" x14ac:dyDescent="0.25">
      <c r="A1473" s="82"/>
      <c r="B1473" s="39" t="s">
        <v>5731</v>
      </c>
      <c r="C1473" s="89"/>
      <c r="D1473" s="18">
        <v>100809</v>
      </c>
      <c r="E1473" s="2" t="s">
        <v>331</v>
      </c>
      <c r="F1473" s="15">
        <v>2366.8000000000002</v>
      </c>
      <c r="G1473" s="41">
        <v>42779</v>
      </c>
      <c r="H1473" s="15">
        <f t="shared" si="39"/>
        <v>2366.8000000000002</v>
      </c>
      <c r="I1473" s="15">
        <f t="shared" si="40"/>
        <v>0</v>
      </c>
      <c r="J1473" s="36"/>
      <c r="K1473" s="17"/>
    </row>
    <row r="1474" spans="1:11" x14ac:dyDescent="0.25">
      <c r="A1474" s="82"/>
      <c r="B1474" s="39" t="s">
        <v>5732</v>
      </c>
      <c r="C1474" s="89"/>
      <c r="D1474" s="18">
        <v>100810</v>
      </c>
      <c r="E1474" s="2" t="s">
        <v>109</v>
      </c>
      <c r="F1474" s="15">
        <v>5032.8</v>
      </c>
      <c r="G1474" s="41">
        <v>42779</v>
      </c>
      <c r="H1474" s="15">
        <f t="shared" si="39"/>
        <v>5032.8</v>
      </c>
      <c r="I1474" s="15">
        <f t="shared" si="40"/>
        <v>0</v>
      </c>
      <c r="J1474" s="36"/>
      <c r="K1474" s="17"/>
    </row>
    <row r="1475" spans="1:11" x14ac:dyDescent="0.25">
      <c r="A1475" s="82"/>
      <c r="B1475" s="39" t="s">
        <v>5733</v>
      </c>
      <c r="C1475" s="89"/>
      <c r="D1475" s="18">
        <v>100811</v>
      </c>
      <c r="E1475" s="2" t="s">
        <v>613</v>
      </c>
      <c r="F1475" s="15">
        <v>6478.8</v>
      </c>
      <c r="G1475" s="41">
        <v>42779</v>
      </c>
      <c r="H1475" s="15">
        <f t="shared" si="39"/>
        <v>6478.8</v>
      </c>
      <c r="I1475" s="15">
        <f t="shared" si="40"/>
        <v>0</v>
      </c>
      <c r="J1475" s="36"/>
      <c r="K1475" s="17"/>
    </row>
    <row r="1476" spans="1:11" x14ac:dyDescent="0.25">
      <c r="A1476" s="82"/>
      <c r="B1476" s="39" t="s">
        <v>5734</v>
      </c>
      <c r="C1476" s="89"/>
      <c r="D1476" s="18">
        <v>100812</v>
      </c>
      <c r="E1476" s="2" t="s">
        <v>83</v>
      </c>
      <c r="F1476" s="15">
        <v>6130.8</v>
      </c>
      <c r="G1476" s="41">
        <v>42779</v>
      </c>
      <c r="H1476" s="15">
        <f t="shared" si="39"/>
        <v>6130.8</v>
      </c>
      <c r="I1476" s="15">
        <f t="shared" si="40"/>
        <v>0</v>
      </c>
      <c r="J1476" s="36"/>
      <c r="K1476" s="17"/>
    </row>
    <row r="1477" spans="1:11" x14ac:dyDescent="0.25">
      <c r="A1477" s="82"/>
      <c r="B1477" s="39" t="s">
        <v>5735</v>
      </c>
      <c r="C1477" s="89"/>
      <c r="D1477" s="18">
        <v>100813</v>
      </c>
      <c r="E1477" s="2" t="s">
        <v>712</v>
      </c>
      <c r="F1477" s="15">
        <v>6980.2</v>
      </c>
      <c r="G1477" s="41">
        <v>42779</v>
      </c>
      <c r="H1477" s="15">
        <f t="shared" si="39"/>
        <v>6980.2</v>
      </c>
      <c r="I1477" s="15">
        <f t="shared" si="40"/>
        <v>0</v>
      </c>
      <c r="J1477" s="36"/>
      <c r="K1477" s="17"/>
    </row>
    <row r="1478" spans="1:11" x14ac:dyDescent="0.25">
      <c r="A1478" s="82"/>
      <c r="B1478" s="39" t="s">
        <v>5736</v>
      </c>
      <c r="C1478" s="89"/>
      <c r="D1478" s="18">
        <v>100814</v>
      </c>
      <c r="E1478" s="2" t="s">
        <v>305</v>
      </c>
      <c r="F1478" s="15">
        <v>5900.1</v>
      </c>
      <c r="G1478" s="87">
        <v>42784</v>
      </c>
      <c r="H1478" s="20">
        <f>4823.2+1076.9</f>
        <v>5900.1</v>
      </c>
      <c r="I1478" s="20">
        <f t="shared" si="40"/>
        <v>0</v>
      </c>
      <c r="J1478" s="36"/>
      <c r="K1478" s="17"/>
    </row>
    <row r="1479" spans="1:11" x14ac:dyDescent="0.25">
      <c r="A1479" s="82"/>
      <c r="B1479" s="39" t="s">
        <v>5737</v>
      </c>
      <c r="C1479" s="89"/>
      <c r="D1479" s="18">
        <v>100815</v>
      </c>
      <c r="E1479" s="2" t="s">
        <v>1870</v>
      </c>
      <c r="F1479" s="15">
        <v>134.4</v>
      </c>
      <c r="G1479" s="41">
        <v>42779</v>
      </c>
      <c r="H1479" s="15">
        <f t="shared" si="39"/>
        <v>134.4</v>
      </c>
      <c r="I1479" s="15">
        <f t="shared" si="40"/>
        <v>0</v>
      </c>
      <c r="J1479" s="36"/>
      <c r="K1479" s="17"/>
    </row>
    <row r="1480" spans="1:11" x14ac:dyDescent="0.25">
      <c r="A1480" s="82"/>
      <c r="B1480" s="39" t="s">
        <v>5738</v>
      </c>
      <c r="C1480" s="89"/>
      <c r="D1480" s="18">
        <v>100816</v>
      </c>
      <c r="E1480" s="2" t="s">
        <v>866</v>
      </c>
      <c r="F1480" s="15">
        <v>1699</v>
      </c>
      <c r="G1480" s="41">
        <v>42778</v>
      </c>
      <c r="H1480" s="15">
        <f t="shared" si="39"/>
        <v>1699</v>
      </c>
      <c r="I1480" s="15">
        <f t="shared" si="40"/>
        <v>0</v>
      </c>
      <c r="J1480" s="36"/>
      <c r="K1480" s="17"/>
    </row>
    <row r="1481" spans="1:11" x14ac:dyDescent="0.25">
      <c r="A1481" s="82"/>
      <c r="B1481" s="39" t="s">
        <v>5739</v>
      </c>
      <c r="C1481" s="89"/>
      <c r="D1481" s="18">
        <v>100817</v>
      </c>
      <c r="E1481" s="2" t="s">
        <v>2519</v>
      </c>
      <c r="F1481" s="15">
        <v>2244.6</v>
      </c>
      <c r="G1481" s="41">
        <v>42779</v>
      </c>
      <c r="H1481" s="15">
        <f t="shared" si="39"/>
        <v>2244.6</v>
      </c>
      <c r="I1481" s="15">
        <f t="shared" si="40"/>
        <v>0</v>
      </c>
      <c r="J1481" s="36"/>
      <c r="K1481" s="17"/>
    </row>
    <row r="1482" spans="1:11" x14ac:dyDescent="0.25">
      <c r="A1482" s="82"/>
      <c r="B1482" s="39" t="s">
        <v>5740</v>
      </c>
      <c r="C1482" s="89"/>
      <c r="D1482" s="18">
        <v>100818</v>
      </c>
      <c r="E1482" s="2" t="s">
        <v>218</v>
      </c>
      <c r="F1482" s="15">
        <v>83403.899999999994</v>
      </c>
      <c r="H1482" s="15">
        <f t="shared" si="39"/>
        <v>83403.899999999994</v>
      </c>
      <c r="I1482" s="15">
        <f t="shared" si="40"/>
        <v>0</v>
      </c>
      <c r="J1482" s="36"/>
      <c r="K1482" s="17"/>
    </row>
    <row r="1483" spans="1:11" x14ac:dyDescent="0.25">
      <c r="A1483" s="82"/>
      <c r="B1483" s="39" t="s">
        <v>5741</v>
      </c>
      <c r="C1483" s="89"/>
      <c r="D1483" s="18">
        <v>100819</v>
      </c>
      <c r="E1483" s="2" t="s">
        <v>480</v>
      </c>
      <c r="F1483" s="15">
        <v>1876.32</v>
      </c>
      <c r="G1483" s="41">
        <v>42779</v>
      </c>
      <c r="H1483" s="15">
        <f t="shared" si="39"/>
        <v>1876.32</v>
      </c>
      <c r="I1483" s="15">
        <f t="shared" si="40"/>
        <v>0</v>
      </c>
      <c r="J1483" s="36"/>
      <c r="K1483" s="17"/>
    </row>
    <row r="1484" spans="1:11" x14ac:dyDescent="0.25">
      <c r="A1484" s="82"/>
      <c r="B1484" s="39" t="s">
        <v>5742</v>
      </c>
      <c r="C1484" s="89"/>
      <c r="D1484" s="18">
        <v>100820</v>
      </c>
      <c r="E1484" s="13" t="s">
        <v>3997</v>
      </c>
      <c r="F1484" s="14">
        <v>0</v>
      </c>
      <c r="G1484" s="88" t="s">
        <v>95</v>
      </c>
      <c r="H1484" s="14">
        <f t="shared" si="39"/>
        <v>0</v>
      </c>
      <c r="I1484" s="14">
        <f t="shared" si="40"/>
        <v>0</v>
      </c>
      <c r="J1484" s="36"/>
      <c r="K1484" s="17"/>
    </row>
    <row r="1485" spans="1:11" x14ac:dyDescent="0.25">
      <c r="A1485" s="82"/>
      <c r="B1485" s="39" t="s">
        <v>5743</v>
      </c>
      <c r="C1485" s="89"/>
      <c r="D1485" s="18">
        <v>100821</v>
      </c>
      <c r="E1485" s="2" t="s">
        <v>3997</v>
      </c>
      <c r="F1485" s="15">
        <v>11449.4</v>
      </c>
      <c r="G1485" s="41">
        <v>42782</v>
      </c>
      <c r="H1485" s="15">
        <f t="shared" si="39"/>
        <v>11449.4</v>
      </c>
      <c r="I1485" s="15">
        <f t="shared" si="40"/>
        <v>0</v>
      </c>
      <c r="J1485" s="36"/>
      <c r="K1485" s="17"/>
    </row>
    <row r="1486" spans="1:11" x14ac:dyDescent="0.25">
      <c r="A1486" s="82"/>
      <c r="B1486" s="39" t="s">
        <v>5744</v>
      </c>
      <c r="C1486" s="89"/>
      <c r="D1486" s="18">
        <v>100822</v>
      </c>
      <c r="E1486" s="2" t="s">
        <v>159</v>
      </c>
      <c r="F1486" s="15">
        <v>1825.8</v>
      </c>
      <c r="G1486" s="41">
        <v>42778</v>
      </c>
      <c r="H1486" s="15">
        <f t="shared" si="39"/>
        <v>1825.8</v>
      </c>
      <c r="I1486" s="15">
        <f t="shared" si="40"/>
        <v>0</v>
      </c>
      <c r="J1486" s="36"/>
      <c r="K1486" s="17"/>
    </row>
    <row r="1487" spans="1:11" x14ac:dyDescent="0.25">
      <c r="A1487" s="82"/>
      <c r="B1487" s="39" t="s">
        <v>5745</v>
      </c>
      <c r="C1487" s="89"/>
      <c r="D1487" s="18">
        <v>100823</v>
      </c>
      <c r="E1487" s="2" t="s">
        <v>77</v>
      </c>
      <c r="F1487" s="15">
        <v>507</v>
      </c>
      <c r="G1487" s="41">
        <v>42778</v>
      </c>
      <c r="H1487" s="15">
        <f t="shared" si="39"/>
        <v>507</v>
      </c>
      <c r="I1487" s="15">
        <f t="shared" si="40"/>
        <v>0</v>
      </c>
      <c r="J1487" s="36"/>
      <c r="K1487" s="17"/>
    </row>
    <row r="1488" spans="1:11" x14ac:dyDescent="0.25">
      <c r="A1488" s="82"/>
      <c r="B1488" s="39" t="s">
        <v>5746</v>
      </c>
      <c r="C1488" s="89"/>
      <c r="D1488" s="18">
        <v>100824</v>
      </c>
      <c r="E1488" s="2" t="s">
        <v>30</v>
      </c>
      <c r="F1488" s="15">
        <v>742.4</v>
      </c>
      <c r="G1488" s="41">
        <v>42778</v>
      </c>
      <c r="H1488" s="15">
        <f t="shared" si="39"/>
        <v>742.4</v>
      </c>
      <c r="I1488" s="15">
        <f t="shared" si="40"/>
        <v>0</v>
      </c>
      <c r="J1488" s="36"/>
      <c r="K1488" s="17"/>
    </row>
    <row r="1489" spans="1:11" x14ac:dyDescent="0.25">
      <c r="A1489" s="82"/>
      <c r="B1489" s="39" t="s">
        <v>5747</v>
      </c>
      <c r="C1489" s="89"/>
      <c r="D1489" s="18">
        <v>100825</v>
      </c>
      <c r="E1489" s="2" t="s">
        <v>422</v>
      </c>
      <c r="F1489" s="15">
        <v>1636.8</v>
      </c>
      <c r="G1489" s="41">
        <v>42778</v>
      </c>
      <c r="H1489" s="15">
        <f t="shared" si="39"/>
        <v>1636.8</v>
      </c>
      <c r="I1489" s="15">
        <f t="shared" si="40"/>
        <v>0</v>
      </c>
      <c r="J1489" s="36"/>
      <c r="K1489" s="17"/>
    </row>
    <row r="1490" spans="1:11" x14ac:dyDescent="0.25">
      <c r="A1490" s="82"/>
      <c r="B1490" s="39" t="s">
        <v>5748</v>
      </c>
      <c r="C1490" s="89"/>
      <c r="D1490" s="18">
        <v>100826</v>
      </c>
      <c r="E1490" s="2" t="s">
        <v>125</v>
      </c>
      <c r="F1490" s="15">
        <v>10419.200000000001</v>
      </c>
      <c r="G1490" s="41">
        <v>42779</v>
      </c>
      <c r="H1490" s="15">
        <f t="shared" si="39"/>
        <v>10419.200000000001</v>
      </c>
      <c r="I1490" s="15">
        <f t="shared" si="40"/>
        <v>0</v>
      </c>
      <c r="J1490" s="36"/>
      <c r="K1490" s="17"/>
    </row>
    <row r="1491" spans="1:11" x14ac:dyDescent="0.25">
      <c r="A1491" s="82"/>
      <c r="B1491" s="39" t="s">
        <v>5749</v>
      </c>
      <c r="C1491" s="89"/>
      <c r="D1491" s="18">
        <v>100827</v>
      </c>
      <c r="E1491" s="2" t="s">
        <v>133</v>
      </c>
      <c r="F1491" s="15">
        <v>2120.9</v>
      </c>
      <c r="G1491" s="41">
        <v>42778</v>
      </c>
      <c r="H1491" s="15">
        <f t="shared" si="39"/>
        <v>2120.9</v>
      </c>
      <c r="I1491" s="15">
        <f t="shared" si="40"/>
        <v>0</v>
      </c>
      <c r="J1491" s="36"/>
      <c r="K1491" s="17"/>
    </row>
    <row r="1492" spans="1:11" x14ac:dyDescent="0.25">
      <c r="A1492" s="82"/>
      <c r="B1492" s="39" t="s">
        <v>5750</v>
      </c>
      <c r="C1492" s="89"/>
      <c r="D1492" s="18">
        <v>100828</v>
      </c>
      <c r="E1492" s="2" t="s">
        <v>211</v>
      </c>
      <c r="F1492" s="15">
        <v>6783</v>
      </c>
      <c r="G1492" s="41">
        <v>42778</v>
      </c>
      <c r="H1492" s="15">
        <f t="shared" si="39"/>
        <v>6783</v>
      </c>
      <c r="I1492" s="15">
        <f t="shared" si="40"/>
        <v>0</v>
      </c>
      <c r="J1492" s="36"/>
      <c r="K1492" s="17"/>
    </row>
    <row r="1493" spans="1:11" x14ac:dyDescent="0.25">
      <c r="A1493" s="82"/>
      <c r="B1493" s="39" t="s">
        <v>5751</v>
      </c>
      <c r="C1493" s="89"/>
      <c r="D1493" s="18">
        <v>100829</v>
      </c>
      <c r="E1493" s="2" t="s">
        <v>85</v>
      </c>
      <c r="F1493" s="15">
        <v>6090</v>
      </c>
      <c r="G1493" s="41">
        <v>42778</v>
      </c>
      <c r="H1493" s="15">
        <f t="shared" si="39"/>
        <v>6090</v>
      </c>
      <c r="I1493" s="15">
        <f t="shared" si="40"/>
        <v>0</v>
      </c>
      <c r="J1493" s="36"/>
      <c r="K1493" s="17"/>
    </row>
    <row r="1494" spans="1:11" x14ac:dyDescent="0.25">
      <c r="A1494" s="82"/>
      <c r="B1494" s="39" t="s">
        <v>5752</v>
      </c>
      <c r="C1494" s="89"/>
      <c r="D1494" s="18">
        <v>100830</v>
      </c>
      <c r="E1494" s="2" t="s">
        <v>30</v>
      </c>
      <c r="F1494" s="15">
        <v>437</v>
      </c>
      <c r="G1494" s="41">
        <v>42778</v>
      </c>
      <c r="H1494" s="15">
        <f t="shared" si="39"/>
        <v>437</v>
      </c>
      <c r="I1494" s="15">
        <f t="shared" si="40"/>
        <v>0</v>
      </c>
      <c r="J1494" s="36"/>
      <c r="K1494" s="17"/>
    </row>
    <row r="1495" spans="1:11" x14ac:dyDescent="0.25">
      <c r="A1495" s="82"/>
      <c r="B1495" s="39" t="s">
        <v>5753</v>
      </c>
      <c r="C1495" s="89"/>
      <c r="D1495" s="18">
        <v>100831</v>
      </c>
      <c r="E1495" s="2" t="s">
        <v>1830</v>
      </c>
      <c r="F1495" s="15">
        <v>23196.18</v>
      </c>
      <c r="G1495" s="41">
        <v>42778</v>
      </c>
      <c r="H1495" s="15">
        <f t="shared" si="39"/>
        <v>23196.18</v>
      </c>
      <c r="I1495" s="15">
        <f t="shared" si="40"/>
        <v>0</v>
      </c>
      <c r="J1495" s="36"/>
      <c r="K1495" s="17"/>
    </row>
    <row r="1496" spans="1:11" x14ac:dyDescent="0.25">
      <c r="A1496" s="82"/>
      <c r="B1496" s="39" t="s">
        <v>5754</v>
      </c>
      <c r="C1496" s="89"/>
      <c r="D1496" s="18">
        <v>100832</v>
      </c>
      <c r="E1496" s="2" t="s">
        <v>55</v>
      </c>
      <c r="F1496" s="15">
        <v>4488</v>
      </c>
      <c r="G1496" s="41">
        <v>42778</v>
      </c>
      <c r="H1496" s="15">
        <f t="shared" si="39"/>
        <v>4488</v>
      </c>
      <c r="I1496" s="15">
        <f t="shared" si="40"/>
        <v>0</v>
      </c>
      <c r="J1496" s="36"/>
      <c r="K1496" s="17"/>
    </row>
    <row r="1497" spans="1:11" x14ac:dyDescent="0.25">
      <c r="A1497" s="82"/>
      <c r="B1497" s="39" t="s">
        <v>5755</v>
      </c>
      <c r="C1497" s="89"/>
      <c r="D1497" s="18">
        <v>100833</v>
      </c>
      <c r="E1497" s="2" t="s">
        <v>218</v>
      </c>
      <c r="F1497" s="15">
        <v>5555</v>
      </c>
      <c r="H1497" s="15">
        <f t="shared" si="39"/>
        <v>5555</v>
      </c>
      <c r="I1497" s="15">
        <f t="shared" si="40"/>
        <v>0</v>
      </c>
      <c r="J1497" s="36"/>
      <c r="K1497" s="17"/>
    </row>
    <row r="1498" spans="1:11" x14ac:dyDescent="0.25">
      <c r="A1498" s="82"/>
      <c r="B1498" s="39" t="s">
        <v>5756</v>
      </c>
      <c r="C1498" s="89"/>
      <c r="D1498" s="18">
        <v>100834</v>
      </c>
      <c r="E1498" s="2" t="s">
        <v>5757</v>
      </c>
      <c r="F1498" s="15">
        <v>1410</v>
      </c>
      <c r="G1498" s="41">
        <v>42779</v>
      </c>
      <c r="H1498" s="15">
        <f t="shared" si="39"/>
        <v>1410</v>
      </c>
      <c r="I1498" s="15">
        <f t="shared" si="40"/>
        <v>0</v>
      </c>
      <c r="J1498" s="36"/>
      <c r="K1498" s="17"/>
    </row>
    <row r="1499" spans="1:11" x14ac:dyDescent="0.25">
      <c r="A1499" s="82"/>
      <c r="B1499" s="39" t="s">
        <v>5758</v>
      </c>
      <c r="C1499" s="89"/>
      <c r="D1499" s="18">
        <v>100835</v>
      </c>
      <c r="E1499" s="2" t="s">
        <v>231</v>
      </c>
      <c r="F1499" s="15">
        <v>7431.3</v>
      </c>
      <c r="G1499" s="41">
        <v>42780</v>
      </c>
      <c r="H1499" s="15">
        <f t="shared" si="39"/>
        <v>7431.3</v>
      </c>
      <c r="I1499" s="15">
        <f t="shared" si="40"/>
        <v>0</v>
      </c>
      <c r="J1499" s="36"/>
      <c r="K1499" s="17"/>
    </row>
    <row r="1500" spans="1:11" x14ac:dyDescent="0.25">
      <c r="A1500" s="82"/>
      <c r="B1500" s="39" t="s">
        <v>5759</v>
      </c>
      <c r="C1500" s="89"/>
      <c r="D1500" s="18">
        <v>100836</v>
      </c>
      <c r="E1500" s="2" t="s">
        <v>231</v>
      </c>
      <c r="F1500" s="15">
        <v>44280.6</v>
      </c>
      <c r="G1500" s="41">
        <v>42780</v>
      </c>
      <c r="H1500" s="15">
        <f t="shared" si="39"/>
        <v>44280.6</v>
      </c>
      <c r="I1500" s="15">
        <f t="shared" si="40"/>
        <v>0</v>
      </c>
      <c r="J1500" s="36"/>
      <c r="K1500" s="17"/>
    </row>
    <row r="1501" spans="1:11" x14ac:dyDescent="0.25">
      <c r="A1501" s="82"/>
      <c r="B1501" s="39" t="s">
        <v>5760</v>
      </c>
      <c r="C1501" s="89"/>
      <c r="D1501" s="18">
        <v>100837</v>
      </c>
      <c r="E1501" s="2" t="s">
        <v>1786</v>
      </c>
      <c r="F1501" s="15">
        <v>9472</v>
      </c>
      <c r="G1501" s="41">
        <v>42779</v>
      </c>
      <c r="H1501" s="15">
        <f t="shared" si="39"/>
        <v>9472</v>
      </c>
      <c r="I1501" s="15">
        <f t="shared" si="40"/>
        <v>0</v>
      </c>
      <c r="J1501" s="36"/>
      <c r="K1501" s="17"/>
    </row>
    <row r="1502" spans="1:11" x14ac:dyDescent="0.25">
      <c r="A1502" s="82"/>
      <c r="B1502" s="39" t="s">
        <v>5761</v>
      </c>
      <c r="C1502" s="89"/>
      <c r="D1502" s="18">
        <v>100838</v>
      </c>
      <c r="E1502" s="2" t="s">
        <v>32</v>
      </c>
      <c r="F1502" s="15">
        <v>5565</v>
      </c>
      <c r="G1502" s="41">
        <v>42781</v>
      </c>
      <c r="H1502" s="15">
        <f t="shared" si="39"/>
        <v>5565</v>
      </c>
      <c r="I1502" s="15">
        <f t="shared" si="40"/>
        <v>0</v>
      </c>
      <c r="J1502" s="36"/>
      <c r="K1502" s="17"/>
    </row>
    <row r="1503" spans="1:11" x14ac:dyDescent="0.25">
      <c r="A1503" s="82"/>
      <c r="B1503" s="39" t="s">
        <v>5762</v>
      </c>
      <c r="C1503" s="89"/>
      <c r="D1503" s="18">
        <v>100839</v>
      </c>
      <c r="E1503" s="2" t="s">
        <v>17</v>
      </c>
      <c r="F1503" s="15">
        <v>2940</v>
      </c>
      <c r="G1503" s="41">
        <v>42779</v>
      </c>
      <c r="H1503" s="15">
        <f t="shared" si="39"/>
        <v>2940</v>
      </c>
      <c r="I1503" s="15">
        <f t="shared" si="40"/>
        <v>0</v>
      </c>
      <c r="J1503" s="36"/>
      <c r="K1503" s="17"/>
    </row>
    <row r="1504" spans="1:11" x14ac:dyDescent="0.25">
      <c r="A1504" s="82"/>
      <c r="B1504" s="39" t="s">
        <v>5763</v>
      </c>
      <c r="C1504" s="89"/>
      <c r="D1504" s="18">
        <v>100840</v>
      </c>
      <c r="E1504" s="2" t="s">
        <v>428</v>
      </c>
      <c r="F1504" s="15">
        <v>1880</v>
      </c>
      <c r="G1504" s="41">
        <v>42780</v>
      </c>
      <c r="H1504" s="15">
        <f t="shared" si="39"/>
        <v>1880</v>
      </c>
      <c r="I1504" s="15">
        <f t="shared" si="40"/>
        <v>0</v>
      </c>
      <c r="J1504" s="36"/>
      <c r="K1504" s="17"/>
    </row>
    <row r="1505" spans="1:11" x14ac:dyDescent="0.25">
      <c r="A1505" s="82"/>
      <c r="B1505" s="39" t="s">
        <v>5764</v>
      </c>
      <c r="C1505" s="89"/>
      <c r="D1505" s="18">
        <v>100841</v>
      </c>
      <c r="E1505" s="2" t="s">
        <v>35</v>
      </c>
      <c r="F1505" s="15">
        <v>9217.5</v>
      </c>
      <c r="G1505" s="41">
        <v>42781</v>
      </c>
      <c r="H1505" s="15">
        <f t="shared" si="39"/>
        <v>9217.5</v>
      </c>
      <c r="I1505" s="15">
        <f t="shared" si="40"/>
        <v>0</v>
      </c>
      <c r="J1505" s="36"/>
      <c r="K1505" s="17"/>
    </row>
    <row r="1506" spans="1:11" x14ac:dyDescent="0.25">
      <c r="A1506" s="82"/>
      <c r="B1506" s="39" t="s">
        <v>5765</v>
      </c>
      <c r="C1506" s="89"/>
      <c r="D1506" s="18">
        <v>100842</v>
      </c>
      <c r="E1506" s="2" t="s">
        <v>38</v>
      </c>
      <c r="F1506" s="15">
        <v>3300</v>
      </c>
      <c r="G1506" s="41">
        <v>42782</v>
      </c>
      <c r="H1506" s="15">
        <f t="shared" si="39"/>
        <v>3300</v>
      </c>
      <c r="I1506" s="15">
        <f t="shared" si="40"/>
        <v>0</v>
      </c>
      <c r="J1506" s="36"/>
      <c r="K1506" s="17"/>
    </row>
    <row r="1507" spans="1:11" x14ac:dyDescent="0.25">
      <c r="A1507" s="82"/>
      <c r="B1507" s="39" t="s">
        <v>5766</v>
      </c>
      <c r="C1507" s="89"/>
      <c r="D1507" s="18">
        <v>100843</v>
      </c>
      <c r="E1507" s="2" t="s">
        <v>26</v>
      </c>
      <c r="F1507" s="15">
        <v>22164.6</v>
      </c>
      <c r="G1507" s="41">
        <v>42779</v>
      </c>
      <c r="H1507" s="15">
        <f t="shared" si="39"/>
        <v>22164.6</v>
      </c>
      <c r="I1507" s="15">
        <f t="shared" si="40"/>
        <v>0</v>
      </c>
      <c r="J1507" s="36"/>
      <c r="K1507" s="17"/>
    </row>
    <row r="1508" spans="1:11" x14ac:dyDescent="0.25">
      <c r="A1508" s="82"/>
      <c r="B1508" s="39" t="s">
        <v>5767</v>
      </c>
      <c r="C1508" s="89"/>
      <c r="D1508" s="18">
        <v>100844</v>
      </c>
      <c r="E1508" s="2" t="s">
        <v>120</v>
      </c>
      <c r="F1508" s="15">
        <v>4297.62</v>
      </c>
      <c r="G1508" s="41">
        <v>42779</v>
      </c>
      <c r="H1508" s="15">
        <f t="shared" si="39"/>
        <v>4297.62</v>
      </c>
      <c r="I1508" s="15">
        <f t="shared" si="40"/>
        <v>0</v>
      </c>
      <c r="J1508" s="36"/>
      <c r="K1508" s="17"/>
    </row>
    <row r="1509" spans="1:11" x14ac:dyDescent="0.25">
      <c r="A1509" s="82"/>
      <c r="B1509" s="39" t="s">
        <v>5768</v>
      </c>
      <c r="C1509" s="89"/>
      <c r="D1509" s="18">
        <v>100845</v>
      </c>
      <c r="E1509" s="2" t="s">
        <v>5271</v>
      </c>
      <c r="F1509" s="15">
        <v>26195.4</v>
      </c>
      <c r="G1509" s="41">
        <v>42779</v>
      </c>
      <c r="H1509" s="15">
        <f t="shared" si="39"/>
        <v>26195.4</v>
      </c>
      <c r="I1509" s="15">
        <f t="shared" si="40"/>
        <v>0</v>
      </c>
      <c r="J1509" s="36"/>
      <c r="K1509" s="17"/>
    </row>
    <row r="1510" spans="1:11" x14ac:dyDescent="0.25">
      <c r="A1510" s="82"/>
      <c r="B1510" s="39" t="s">
        <v>5769</v>
      </c>
      <c r="C1510" s="89"/>
      <c r="D1510" s="18">
        <v>100846</v>
      </c>
      <c r="E1510" s="2" t="s">
        <v>28</v>
      </c>
      <c r="F1510" s="15">
        <v>4761</v>
      </c>
      <c r="G1510" s="41">
        <v>42779</v>
      </c>
      <c r="H1510" s="15">
        <f t="shared" si="39"/>
        <v>4761</v>
      </c>
      <c r="I1510" s="15">
        <f t="shared" si="40"/>
        <v>0</v>
      </c>
      <c r="J1510" s="36"/>
      <c r="K1510" s="17"/>
    </row>
    <row r="1511" spans="1:11" x14ac:dyDescent="0.25">
      <c r="A1511" s="82"/>
      <c r="B1511" s="39" t="s">
        <v>5770</v>
      </c>
      <c r="C1511" s="89"/>
      <c r="D1511" s="18">
        <v>100847</v>
      </c>
      <c r="E1511" s="2" t="s">
        <v>49</v>
      </c>
      <c r="F1511" s="15">
        <v>9753.2000000000007</v>
      </c>
      <c r="G1511" s="41">
        <v>42780</v>
      </c>
      <c r="H1511" s="15">
        <f t="shared" si="39"/>
        <v>9753.2000000000007</v>
      </c>
      <c r="I1511" s="15">
        <f t="shared" si="40"/>
        <v>0</v>
      </c>
      <c r="J1511" s="36"/>
      <c r="K1511" s="17"/>
    </row>
    <row r="1512" spans="1:11" x14ac:dyDescent="0.25">
      <c r="A1512" s="82"/>
      <c r="B1512" s="39" t="s">
        <v>5771</v>
      </c>
      <c r="C1512" s="89"/>
      <c r="D1512" s="18">
        <v>100848</v>
      </c>
      <c r="E1512" s="2" t="s">
        <v>509</v>
      </c>
      <c r="F1512" s="15">
        <v>18000</v>
      </c>
      <c r="G1512" s="41">
        <v>42787</v>
      </c>
      <c r="H1512" s="15">
        <f t="shared" si="39"/>
        <v>18000</v>
      </c>
      <c r="I1512" s="15">
        <f t="shared" si="40"/>
        <v>0</v>
      </c>
      <c r="J1512" s="36"/>
      <c r="K1512" s="17"/>
    </row>
    <row r="1513" spans="1:11" x14ac:dyDescent="0.25">
      <c r="A1513" s="82"/>
      <c r="B1513" s="39" t="s">
        <v>5772</v>
      </c>
      <c r="C1513" s="89"/>
      <c r="D1513" s="18">
        <v>100849</v>
      </c>
      <c r="E1513" s="2" t="s">
        <v>47</v>
      </c>
      <c r="F1513" s="15">
        <v>3979.2</v>
      </c>
      <c r="G1513" s="41">
        <v>42779</v>
      </c>
      <c r="H1513" s="15">
        <f t="shared" si="39"/>
        <v>3979.2</v>
      </c>
      <c r="I1513" s="15">
        <f t="shared" si="40"/>
        <v>0</v>
      </c>
      <c r="J1513" s="36"/>
      <c r="K1513" s="17"/>
    </row>
    <row r="1514" spans="1:11" x14ac:dyDescent="0.25">
      <c r="A1514" s="82"/>
      <c r="B1514" s="39" t="s">
        <v>5773</v>
      </c>
      <c r="C1514" s="89"/>
      <c r="D1514" s="18">
        <v>100850</v>
      </c>
      <c r="E1514" s="2" t="s">
        <v>218</v>
      </c>
      <c r="F1514" s="15">
        <v>94656.9</v>
      </c>
      <c r="H1514" s="15">
        <f t="shared" si="39"/>
        <v>94656.9</v>
      </c>
      <c r="I1514" s="15">
        <f t="shared" si="40"/>
        <v>0</v>
      </c>
      <c r="J1514" s="36"/>
      <c r="K1514" s="17"/>
    </row>
    <row r="1515" spans="1:11" x14ac:dyDescent="0.25">
      <c r="A1515" s="82"/>
      <c r="B1515" s="39" t="s">
        <v>5774</v>
      </c>
      <c r="C1515" s="89"/>
      <c r="D1515" s="18">
        <v>100851</v>
      </c>
      <c r="E1515" s="2" t="s">
        <v>30</v>
      </c>
      <c r="F1515" s="15">
        <v>3140</v>
      </c>
      <c r="G1515" s="41">
        <v>42779</v>
      </c>
      <c r="H1515" s="15">
        <f t="shared" si="39"/>
        <v>3140</v>
      </c>
      <c r="I1515" s="15">
        <f t="shared" si="40"/>
        <v>0</v>
      </c>
      <c r="J1515" s="36"/>
      <c r="K1515" s="17"/>
    </row>
    <row r="1516" spans="1:11" x14ac:dyDescent="0.25">
      <c r="A1516" s="82"/>
      <c r="B1516" s="39" t="s">
        <v>5775</v>
      </c>
      <c r="C1516" s="89"/>
      <c r="D1516" s="18">
        <v>100852</v>
      </c>
      <c r="E1516" s="2" t="s">
        <v>5575</v>
      </c>
      <c r="F1516" s="15">
        <v>3871</v>
      </c>
      <c r="G1516" s="41">
        <v>42781</v>
      </c>
      <c r="H1516" s="15">
        <f t="shared" si="39"/>
        <v>3871</v>
      </c>
      <c r="I1516" s="15">
        <f t="shared" si="40"/>
        <v>0</v>
      </c>
      <c r="J1516" s="36"/>
      <c r="K1516" s="17"/>
    </row>
    <row r="1517" spans="1:11" x14ac:dyDescent="0.25">
      <c r="A1517" s="82"/>
      <c r="B1517" s="39" t="s">
        <v>5776</v>
      </c>
      <c r="C1517" s="89"/>
      <c r="D1517" s="18">
        <v>100853</v>
      </c>
      <c r="E1517" s="2" t="s">
        <v>974</v>
      </c>
      <c r="F1517" s="15">
        <v>9938.2000000000007</v>
      </c>
      <c r="G1517" s="41">
        <v>42779</v>
      </c>
      <c r="H1517" s="15">
        <f t="shared" si="39"/>
        <v>9938.2000000000007</v>
      </c>
      <c r="I1517" s="15">
        <f t="shared" si="40"/>
        <v>0</v>
      </c>
      <c r="J1517" s="36"/>
      <c r="K1517" s="17"/>
    </row>
    <row r="1518" spans="1:11" x14ac:dyDescent="0.25">
      <c r="A1518" s="82"/>
      <c r="B1518" s="39" t="s">
        <v>5777</v>
      </c>
      <c r="C1518" s="89"/>
      <c r="D1518" s="18">
        <v>100854</v>
      </c>
      <c r="E1518" s="2" t="s">
        <v>157</v>
      </c>
      <c r="F1518" s="15">
        <v>22816</v>
      </c>
      <c r="G1518" s="41">
        <v>42779</v>
      </c>
      <c r="H1518" s="15">
        <f t="shared" si="39"/>
        <v>22816</v>
      </c>
      <c r="I1518" s="15">
        <f t="shared" si="40"/>
        <v>0</v>
      </c>
      <c r="J1518" s="36"/>
      <c r="K1518" s="17"/>
    </row>
    <row r="1519" spans="1:11" x14ac:dyDescent="0.25">
      <c r="A1519" s="82"/>
      <c r="B1519" s="39" t="s">
        <v>5778</v>
      </c>
      <c r="C1519" s="89"/>
      <c r="D1519" s="18">
        <v>100855</v>
      </c>
      <c r="E1519" s="2" t="s">
        <v>184</v>
      </c>
      <c r="F1519" s="15">
        <v>1585.8</v>
      </c>
      <c r="G1519" s="41">
        <v>42779</v>
      </c>
      <c r="H1519" s="15">
        <f t="shared" si="39"/>
        <v>1585.8</v>
      </c>
      <c r="I1519" s="15">
        <f t="shared" si="40"/>
        <v>0</v>
      </c>
      <c r="J1519" s="36"/>
      <c r="K1519" s="17"/>
    </row>
    <row r="1520" spans="1:11" x14ac:dyDescent="0.25">
      <c r="A1520" s="82"/>
      <c r="B1520" s="39" t="s">
        <v>5779</v>
      </c>
      <c r="C1520" s="89"/>
      <c r="D1520" s="18">
        <v>100856</v>
      </c>
      <c r="E1520" s="2" t="s">
        <v>186</v>
      </c>
      <c r="F1520" s="15">
        <v>2841.2</v>
      </c>
      <c r="G1520" s="41">
        <v>42784</v>
      </c>
      <c r="H1520" s="15">
        <f t="shared" si="39"/>
        <v>2841.2</v>
      </c>
      <c r="I1520" s="15">
        <f t="shared" si="40"/>
        <v>0</v>
      </c>
      <c r="J1520" s="36"/>
      <c r="K1520" s="17"/>
    </row>
    <row r="1521" spans="1:11" ht="45" x14ac:dyDescent="0.25">
      <c r="A1521" s="82"/>
      <c r="B1521" s="39" t="s">
        <v>5780</v>
      </c>
      <c r="C1521" s="89"/>
      <c r="D1521" s="18">
        <v>100857</v>
      </c>
      <c r="E1521" s="2" t="s">
        <v>5586</v>
      </c>
      <c r="F1521" s="15">
        <v>45216</v>
      </c>
      <c r="G1521" s="87" t="s">
        <v>5781</v>
      </c>
      <c r="H1521" s="20">
        <f>17394.3+17979.6+2676+7166.1</f>
        <v>45215.999999999993</v>
      </c>
      <c r="I1521" s="20">
        <f t="shared" si="40"/>
        <v>0</v>
      </c>
      <c r="J1521" s="36"/>
      <c r="K1521" s="17"/>
    </row>
    <row r="1522" spans="1:11" x14ac:dyDescent="0.25">
      <c r="A1522" s="82"/>
      <c r="B1522" s="39" t="s">
        <v>5782</v>
      </c>
      <c r="C1522" s="89"/>
      <c r="D1522" s="18">
        <v>100858</v>
      </c>
      <c r="E1522" s="2" t="s">
        <v>30</v>
      </c>
      <c r="F1522" s="15">
        <v>4494.6000000000004</v>
      </c>
      <c r="G1522" s="41">
        <v>42779</v>
      </c>
      <c r="H1522" s="15">
        <f t="shared" si="39"/>
        <v>4494.6000000000004</v>
      </c>
      <c r="I1522" s="15">
        <f t="shared" si="40"/>
        <v>0</v>
      </c>
      <c r="J1522" s="36"/>
      <c r="K1522" s="17"/>
    </row>
    <row r="1523" spans="1:11" x14ac:dyDescent="0.25">
      <c r="A1523" s="82"/>
      <c r="B1523" s="39" t="s">
        <v>5783</v>
      </c>
      <c r="C1523" s="89"/>
      <c r="D1523" s="18">
        <v>100859</v>
      </c>
      <c r="E1523" s="2" t="s">
        <v>231</v>
      </c>
      <c r="F1523" s="15">
        <v>986</v>
      </c>
      <c r="G1523" s="41">
        <v>42780</v>
      </c>
      <c r="H1523" s="15">
        <f t="shared" si="39"/>
        <v>986</v>
      </c>
      <c r="I1523" s="15">
        <f t="shared" si="40"/>
        <v>0</v>
      </c>
      <c r="J1523" s="36"/>
      <c r="K1523" s="17"/>
    </row>
    <row r="1524" spans="1:11" x14ac:dyDescent="0.25">
      <c r="A1524" s="82"/>
      <c r="B1524" s="39" t="s">
        <v>5784</v>
      </c>
      <c r="C1524" s="89"/>
      <c r="D1524" s="18">
        <v>100860</v>
      </c>
      <c r="E1524" s="2" t="s">
        <v>298</v>
      </c>
      <c r="F1524" s="15">
        <v>1161.5999999999999</v>
      </c>
      <c r="G1524" s="41">
        <v>42779</v>
      </c>
      <c r="H1524" s="15">
        <f t="shared" si="39"/>
        <v>1161.5999999999999</v>
      </c>
      <c r="I1524" s="15">
        <f t="shared" si="40"/>
        <v>0</v>
      </c>
      <c r="J1524" s="36"/>
      <c r="K1524" s="17"/>
    </row>
    <row r="1525" spans="1:11" x14ac:dyDescent="0.25">
      <c r="A1525" s="82"/>
      <c r="B1525" s="39" t="s">
        <v>5785</v>
      </c>
      <c r="C1525" s="89"/>
      <c r="D1525" s="18">
        <v>100861</v>
      </c>
      <c r="E1525" s="2" t="s">
        <v>43</v>
      </c>
      <c r="F1525" s="15">
        <v>5158.1000000000004</v>
      </c>
      <c r="G1525" s="41">
        <v>42780</v>
      </c>
      <c r="H1525" s="15">
        <f t="shared" si="39"/>
        <v>5158.1000000000004</v>
      </c>
      <c r="I1525" s="15">
        <f t="shared" si="40"/>
        <v>0</v>
      </c>
      <c r="J1525" s="36"/>
      <c r="K1525" s="17"/>
    </row>
    <row r="1526" spans="1:11" x14ac:dyDescent="0.25">
      <c r="A1526" s="82"/>
      <c r="B1526" s="39" t="s">
        <v>5786</v>
      </c>
      <c r="C1526" s="89"/>
      <c r="D1526" s="18">
        <v>100862</v>
      </c>
      <c r="E1526" s="2" t="s">
        <v>208</v>
      </c>
      <c r="F1526" s="15">
        <v>6238.28</v>
      </c>
      <c r="G1526" s="41">
        <v>42779</v>
      </c>
      <c r="H1526" s="15">
        <f t="shared" si="39"/>
        <v>6238.28</v>
      </c>
      <c r="I1526" s="15">
        <f t="shared" si="40"/>
        <v>0</v>
      </c>
      <c r="J1526" s="36"/>
      <c r="K1526" s="17"/>
    </row>
    <row r="1527" spans="1:11" x14ac:dyDescent="0.25">
      <c r="A1527" s="82"/>
      <c r="B1527" s="39" t="s">
        <v>5787</v>
      </c>
      <c r="C1527" s="89"/>
      <c r="D1527" s="18">
        <v>100863</v>
      </c>
      <c r="E1527" s="2" t="s">
        <v>43</v>
      </c>
      <c r="F1527" s="15">
        <v>1551</v>
      </c>
      <c r="G1527" s="41">
        <v>42780</v>
      </c>
      <c r="H1527" s="15">
        <f t="shared" si="39"/>
        <v>1551</v>
      </c>
      <c r="I1527" s="15">
        <f t="shared" si="40"/>
        <v>0</v>
      </c>
      <c r="J1527" s="36"/>
      <c r="K1527" s="17"/>
    </row>
    <row r="1528" spans="1:11" x14ac:dyDescent="0.25">
      <c r="A1528" s="82"/>
      <c r="B1528" s="39" t="s">
        <v>5788</v>
      </c>
      <c r="C1528" s="89"/>
      <c r="D1528" s="18">
        <v>100864</v>
      </c>
      <c r="E1528" s="2" t="s">
        <v>30</v>
      </c>
      <c r="F1528" s="15">
        <v>509.2</v>
      </c>
      <c r="G1528" s="41">
        <v>42779</v>
      </c>
      <c r="H1528" s="15">
        <f t="shared" si="39"/>
        <v>509.2</v>
      </c>
      <c r="I1528" s="15">
        <f t="shared" ref="I1528:I1591" si="41">F1528-H1528</f>
        <v>0</v>
      </c>
      <c r="J1528" s="36"/>
      <c r="K1528" s="17"/>
    </row>
    <row r="1529" spans="1:11" x14ac:dyDescent="0.25">
      <c r="A1529" s="82"/>
      <c r="B1529" s="39" t="s">
        <v>5789</v>
      </c>
      <c r="C1529" s="89"/>
      <c r="D1529" s="18">
        <v>100865</v>
      </c>
      <c r="E1529" s="2" t="s">
        <v>67</v>
      </c>
      <c r="F1529" s="15">
        <v>9834.6</v>
      </c>
      <c r="G1529" s="41">
        <v>42780</v>
      </c>
      <c r="H1529" s="15">
        <f t="shared" si="39"/>
        <v>9834.6</v>
      </c>
      <c r="I1529" s="15">
        <f t="shared" si="41"/>
        <v>0</v>
      </c>
      <c r="J1529" s="36"/>
      <c r="K1529" s="17"/>
    </row>
    <row r="1530" spans="1:11" x14ac:dyDescent="0.25">
      <c r="A1530" s="82"/>
      <c r="B1530" s="39" t="s">
        <v>5790</v>
      </c>
      <c r="C1530" s="89"/>
      <c r="D1530" s="18">
        <v>100866</v>
      </c>
      <c r="E1530" s="2" t="s">
        <v>250</v>
      </c>
      <c r="F1530" s="15">
        <v>8200.7000000000007</v>
      </c>
      <c r="G1530" s="41">
        <v>42781</v>
      </c>
      <c r="H1530" s="15">
        <f t="shared" si="39"/>
        <v>8200.7000000000007</v>
      </c>
      <c r="I1530" s="15">
        <f t="shared" si="41"/>
        <v>0</v>
      </c>
      <c r="J1530" s="36"/>
      <c r="K1530" s="17"/>
    </row>
    <row r="1531" spans="1:11" x14ac:dyDescent="0.25">
      <c r="A1531" s="82"/>
      <c r="B1531" s="39" t="s">
        <v>5791</v>
      </c>
      <c r="C1531" s="89"/>
      <c r="D1531" s="18">
        <v>100867</v>
      </c>
      <c r="E1531" s="2" t="s">
        <v>159</v>
      </c>
      <c r="F1531" s="15">
        <v>8511.7000000000007</v>
      </c>
      <c r="G1531" s="41">
        <v>42779</v>
      </c>
      <c r="H1531" s="15">
        <f t="shared" si="39"/>
        <v>8511.7000000000007</v>
      </c>
      <c r="I1531" s="15">
        <f t="shared" si="41"/>
        <v>0</v>
      </c>
      <c r="J1531" s="36"/>
      <c r="K1531" s="17"/>
    </row>
    <row r="1532" spans="1:11" x14ac:dyDescent="0.25">
      <c r="A1532" s="82"/>
      <c r="B1532" s="39" t="s">
        <v>5792</v>
      </c>
      <c r="C1532" s="89"/>
      <c r="D1532" s="18">
        <v>100868</v>
      </c>
      <c r="E1532" s="2" t="s">
        <v>305</v>
      </c>
      <c r="F1532" s="15">
        <v>4016</v>
      </c>
      <c r="G1532" s="41">
        <v>42787</v>
      </c>
      <c r="H1532" s="15">
        <f t="shared" si="39"/>
        <v>4016</v>
      </c>
      <c r="I1532" s="15">
        <f t="shared" si="41"/>
        <v>0</v>
      </c>
      <c r="J1532" s="36"/>
      <c r="K1532" s="17"/>
    </row>
    <row r="1533" spans="1:11" x14ac:dyDescent="0.25">
      <c r="A1533" s="82"/>
      <c r="B1533" s="39" t="s">
        <v>5793</v>
      </c>
      <c r="C1533" s="89"/>
      <c r="D1533" s="18">
        <v>100869</v>
      </c>
      <c r="E1533" s="2" t="s">
        <v>476</v>
      </c>
      <c r="F1533" s="15">
        <v>17946.599999999999</v>
      </c>
      <c r="G1533" s="41">
        <v>42781</v>
      </c>
      <c r="H1533" s="15">
        <f t="shared" ref="H1533:H1596" si="42">F1533</f>
        <v>17946.599999999999</v>
      </c>
      <c r="I1533" s="15">
        <f t="shared" si="41"/>
        <v>0</v>
      </c>
      <c r="J1533" s="36"/>
      <c r="K1533" s="17"/>
    </row>
    <row r="1534" spans="1:11" x14ac:dyDescent="0.25">
      <c r="A1534" s="82"/>
      <c r="B1534" s="39" t="s">
        <v>5794</v>
      </c>
      <c r="C1534" s="89"/>
      <c r="D1534" s="18">
        <v>100870</v>
      </c>
      <c r="E1534" s="2" t="s">
        <v>472</v>
      </c>
      <c r="F1534" s="15">
        <v>1200</v>
      </c>
      <c r="G1534" s="41">
        <v>42781</v>
      </c>
      <c r="H1534" s="15">
        <f t="shared" si="42"/>
        <v>1200</v>
      </c>
      <c r="I1534" s="15">
        <f t="shared" si="41"/>
        <v>0</v>
      </c>
      <c r="J1534" s="36"/>
      <c r="K1534" s="17"/>
    </row>
    <row r="1535" spans="1:11" x14ac:dyDescent="0.25">
      <c r="A1535" s="82"/>
      <c r="B1535" s="39" t="s">
        <v>5795</v>
      </c>
      <c r="C1535" s="89"/>
      <c r="D1535" s="18">
        <v>100871</v>
      </c>
      <c r="E1535" s="2" t="s">
        <v>168</v>
      </c>
      <c r="F1535" s="15">
        <v>4807</v>
      </c>
      <c r="G1535" s="41">
        <v>42786</v>
      </c>
      <c r="H1535" s="15">
        <f t="shared" si="42"/>
        <v>4807</v>
      </c>
      <c r="I1535" s="15">
        <f t="shared" si="41"/>
        <v>0</v>
      </c>
      <c r="J1535" s="36"/>
      <c r="K1535" s="17"/>
    </row>
    <row r="1536" spans="1:11" x14ac:dyDescent="0.25">
      <c r="A1536" s="82"/>
      <c r="B1536" s="39" t="s">
        <v>5796</v>
      </c>
      <c r="C1536" s="89"/>
      <c r="D1536" s="18">
        <v>100872</v>
      </c>
      <c r="E1536" s="2" t="s">
        <v>79</v>
      </c>
      <c r="F1536" s="15">
        <v>3335.2</v>
      </c>
      <c r="G1536" s="41">
        <v>42779</v>
      </c>
      <c r="H1536" s="15">
        <f t="shared" si="42"/>
        <v>3335.2</v>
      </c>
      <c r="I1536" s="15">
        <f t="shared" si="41"/>
        <v>0</v>
      </c>
      <c r="J1536" s="36"/>
      <c r="K1536" s="17"/>
    </row>
    <row r="1537" spans="1:11" x14ac:dyDescent="0.25">
      <c r="A1537" s="82"/>
      <c r="B1537" s="39" t="s">
        <v>5797</v>
      </c>
      <c r="C1537" s="89"/>
      <c r="D1537" s="18">
        <v>100873</v>
      </c>
      <c r="E1537" s="2" t="s">
        <v>61</v>
      </c>
      <c r="F1537" s="15">
        <v>9013.2000000000007</v>
      </c>
      <c r="G1537" s="41">
        <v>42779</v>
      </c>
      <c r="H1537" s="15">
        <f t="shared" si="42"/>
        <v>9013.2000000000007</v>
      </c>
      <c r="I1537" s="15">
        <f t="shared" si="41"/>
        <v>0</v>
      </c>
      <c r="J1537" s="36"/>
      <c r="K1537" s="17"/>
    </row>
    <row r="1538" spans="1:11" x14ac:dyDescent="0.25">
      <c r="A1538" s="82"/>
      <c r="B1538" s="39" t="s">
        <v>5798</v>
      </c>
      <c r="C1538" s="89"/>
      <c r="D1538" s="18">
        <v>100874</v>
      </c>
      <c r="E1538" s="2" t="s">
        <v>57</v>
      </c>
      <c r="F1538" s="15">
        <v>588</v>
      </c>
      <c r="G1538" s="41">
        <v>42779</v>
      </c>
      <c r="H1538" s="15">
        <f t="shared" si="42"/>
        <v>588</v>
      </c>
      <c r="I1538" s="15">
        <f t="shared" si="41"/>
        <v>0</v>
      </c>
      <c r="J1538" s="36"/>
      <c r="K1538" s="17"/>
    </row>
    <row r="1539" spans="1:11" x14ac:dyDescent="0.25">
      <c r="A1539" s="82"/>
      <c r="B1539" s="39" t="s">
        <v>5799</v>
      </c>
      <c r="C1539" s="89"/>
      <c r="D1539" s="18">
        <v>100875</v>
      </c>
      <c r="E1539" s="2" t="s">
        <v>309</v>
      </c>
      <c r="F1539" s="15">
        <v>2714.25</v>
      </c>
      <c r="G1539" s="41">
        <v>42779</v>
      </c>
      <c r="H1539" s="15">
        <f t="shared" si="42"/>
        <v>2714.25</v>
      </c>
      <c r="I1539" s="15">
        <f t="shared" si="41"/>
        <v>0</v>
      </c>
      <c r="J1539" s="36"/>
      <c r="K1539" s="17"/>
    </row>
    <row r="1540" spans="1:11" x14ac:dyDescent="0.25">
      <c r="A1540" s="82"/>
      <c r="B1540" s="39" t="s">
        <v>5800</v>
      </c>
      <c r="C1540" s="89"/>
      <c r="D1540" s="18">
        <v>100876</v>
      </c>
      <c r="E1540" s="2" t="s">
        <v>622</v>
      </c>
      <c r="F1540" s="15">
        <v>9857.7999999999993</v>
      </c>
      <c r="G1540" s="41">
        <v>42779</v>
      </c>
      <c r="H1540" s="15">
        <f t="shared" si="42"/>
        <v>9857.7999999999993</v>
      </c>
      <c r="I1540" s="15">
        <f t="shared" si="41"/>
        <v>0</v>
      </c>
      <c r="J1540" s="36"/>
      <c r="K1540" s="17"/>
    </row>
    <row r="1541" spans="1:11" x14ac:dyDescent="0.25">
      <c r="A1541" s="82"/>
      <c r="B1541" s="39" t="s">
        <v>5801</v>
      </c>
      <c r="C1541" s="89"/>
      <c r="D1541" s="18">
        <v>100877</v>
      </c>
      <c r="E1541" s="2" t="s">
        <v>1116</v>
      </c>
      <c r="F1541" s="15">
        <v>2575.5</v>
      </c>
      <c r="G1541" s="41">
        <v>42786</v>
      </c>
      <c r="H1541" s="15">
        <f t="shared" si="42"/>
        <v>2575.5</v>
      </c>
      <c r="I1541" s="15">
        <f t="shared" si="41"/>
        <v>0</v>
      </c>
      <c r="J1541" s="36"/>
      <c r="K1541" s="17"/>
    </row>
    <row r="1542" spans="1:11" x14ac:dyDescent="0.25">
      <c r="A1542" s="82"/>
      <c r="B1542" s="39" t="s">
        <v>5802</v>
      </c>
      <c r="C1542" s="89"/>
      <c r="D1542" s="18">
        <v>100878</v>
      </c>
      <c r="E1542" s="2" t="s">
        <v>321</v>
      </c>
      <c r="F1542" s="15">
        <v>940.9</v>
      </c>
      <c r="G1542" s="41">
        <v>42779</v>
      </c>
      <c r="H1542" s="15">
        <f t="shared" si="42"/>
        <v>940.9</v>
      </c>
      <c r="I1542" s="15">
        <f t="shared" si="41"/>
        <v>0</v>
      </c>
      <c r="J1542" s="36"/>
      <c r="K1542" s="17"/>
    </row>
    <row r="1543" spans="1:11" x14ac:dyDescent="0.25">
      <c r="A1543" s="82"/>
      <c r="B1543" s="39" t="s">
        <v>5803</v>
      </c>
      <c r="C1543" s="89"/>
      <c r="D1543" s="18">
        <v>100879</v>
      </c>
      <c r="E1543" s="2" t="s">
        <v>133</v>
      </c>
      <c r="F1543" s="15">
        <v>542.5</v>
      </c>
      <c r="G1543" s="41">
        <v>42779</v>
      </c>
      <c r="H1543" s="15">
        <f t="shared" si="42"/>
        <v>542.5</v>
      </c>
      <c r="I1543" s="15">
        <f t="shared" si="41"/>
        <v>0</v>
      </c>
      <c r="J1543" s="36"/>
      <c r="K1543" s="17"/>
    </row>
    <row r="1544" spans="1:11" x14ac:dyDescent="0.25">
      <c r="A1544" s="82"/>
      <c r="B1544" s="39" t="s">
        <v>5804</v>
      </c>
      <c r="C1544" s="89"/>
      <c r="D1544" s="18">
        <v>100880</v>
      </c>
      <c r="E1544" s="2" t="s">
        <v>63</v>
      </c>
      <c r="F1544" s="15">
        <v>155.4</v>
      </c>
      <c r="G1544" s="41">
        <v>42779</v>
      </c>
      <c r="H1544" s="15">
        <f t="shared" si="42"/>
        <v>155.4</v>
      </c>
      <c r="I1544" s="15">
        <f t="shared" si="41"/>
        <v>0</v>
      </c>
      <c r="J1544" s="36"/>
      <c r="K1544" s="17"/>
    </row>
    <row r="1545" spans="1:11" x14ac:dyDescent="0.25">
      <c r="A1545" s="82"/>
      <c r="B1545" s="39" t="s">
        <v>5805</v>
      </c>
      <c r="C1545" s="89"/>
      <c r="D1545" s="18">
        <v>100881</v>
      </c>
      <c r="E1545" s="2" t="s">
        <v>45</v>
      </c>
      <c r="F1545" s="15">
        <v>1194</v>
      </c>
      <c r="G1545" s="41">
        <v>42779</v>
      </c>
      <c r="H1545" s="15">
        <f t="shared" si="42"/>
        <v>1194</v>
      </c>
      <c r="I1545" s="15">
        <f t="shared" si="41"/>
        <v>0</v>
      </c>
      <c r="J1545" s="36"/>
      <c r="K1545" s="17"/>
    </row>
    <row r="1546" spans="1:11" x14ac:dyDescent="0.25">
      <c r="A1546" s="82"/>
      <c r="B1546" s="39" t="s">
        <v>5806</v>
      </c>
      <c r="C1546" s="89"/>
      <c r="D1546" s="18">
        <v>100882</v>
      </c>
      <c r="E1546" s="2" t="s">
        <v>198</v>
      </c>
      <c r="F1546" s="15">
        <v>3210.8</v>
      </c>
      <c r="G1546" s="41">
        <v>42779</v>
      </c>
      <c r="H1546" s="15">
        <f t="shared" si="42"/>
        <v>3210.8</v>
      </c>
      <c r="I1546" s="15">
        <f t="shared" si="41"/>
        <v>0</v>
      </c>
      <c r="J1546" s="36"/>
      <c r="K1546" s="17"/>
    </row>
    <row r="1547" spans="1:11" x14ac:dyDescent="0.25">
      <c r="A1547" s="82"/>
      <c r="B1547" s="39" t="s">
        <v>5807</v>
      </c>
      <c r="C1547" s="89"/>
      <c r="D1547" s="18">
        <v>100883</v>
      </c>
      <c r="E1547" s="2" t="s">
        <v>3958</v>
      </c>
      <c r="F1547" s="15">
        <v>1632.8</v>
      </c>
      <c r="G1547" s="41">
        <v>42779</v>
      </c>
      <c r="H1547" s="15">
        <f t="shared" si="42"/>
        <v>1632.8</v>
      </c>
      <c r="I1547" s="15">
        <f t="shared" si="41"/>
        <v>0</v>
      </c>
      <c r="J1547" s="36"/>
      <c r="K1547" s="17"/>
    </row>
    <row r="1548" spans="1:11" x14ac:dyDescent="0.25">
      <c r="A1548" s="82"/>
      <c r="B1548" s="39" t="s">
        <v>5808</v>
      </c>
      <c r="C1548" s="89"/>
      <c r="D1548" s="18">
        <v>100884</v>
      </c>
      <c r="E1548" s="13" t="s">
        <v>5809</v>
      </c>
      <c r="F1548" s="14">
        <v>0</v>
      </c>
      <c r="G1548" s="88" t="s">
        <v>95</v>
      </c>
      <c r="H1548" s="14">
        <f t="shared" si="42"/>
        <v>0</v>
      </c>
      <c r="I1548" s="14">
        <f t="shared" si="41"/>
        <v>0</v>
      </c>
      <c r="J1548" s="36"/>
      <c r="K1548" s="17"/>
    </row>
    <row r="1549" spans="1:11" x14ac:dyDescent="0.25">
      <c r="A1549" s="82"/>
      <c r="B1549" s="39" t="s">
        <v>5810</v>
      </c>
      <c r="C1549" s="89"/>
      <c r="D1549" s="18">
        <v>100885</v>
      </c>
      <c r="E1549" s="2" t="s">
        <v>5809</v>
      </c>
      <c r="F1549" s="15">
        <v>8692.5</v>
      </c>
      <c r="G1549" s="41">
        <v>42779</v>
      </c>
      <c r="H1549" s="15">
        <f t="shared" si="42"/>
        <v>8692.5</v>
      </c>
      <c r="I1549" s="15">
        <f t="shared" si="41"/>
        <v>0</v>
      </c>
      <c r="J1549" s="36"/>
      <c r="K1549" s="17"/>
    </row>
    <row r="1550" spans="1:11" x14ac:dyDescent="0.25">
      <c r="A1550" s="82"/>
      <c r="B1550" s="39" t="s">
        <v>5811</v>
      </c>
      <c r="C1550" s="89"/>
      <c r="D1550" s="18">
        <v>100886</v>
      </c>
      <c r="E1550" s="2" t="s">
        <v>5633</v>
      </c>
      <c r="F1550" s="15">
        <v>7728</v>
      </c>
      <c r="G1550" s="87">
        <v>42783</v>
      </c>
      <c r="H1550" s="20">
        <f>4179.65+3548.35</f>
        <v>7728</v>
      </c>
      <c r="I1550" s="20">
        <f t="shared" si="41"/>
        <v>0</v>
      </c>
      <c r="J1550" s="36"/>
      <c r="K1550" s="17"/>
    </row>
    <row r="1551" spans="1:11" x14ac:dyDescent="0.25">
      <c r="A1551" s="82"/>
      <c r="B1551" s="39" t="s">
        <v>5812</v>
      </c>
      <c r="C1551" s="89"/>
      <c r="D1551" s="18">
        <v>100887</v>
      </c>
      <c r="E1551" s="2" t="s">
        <v>2510</v>
      </c>
      <c r="F1551" s="15">
        <v>889.2</v>
      </c>
      <c r="G1551" s="41">
        <v>42779</v>
      </c>
      <c r="H1551" s="15">
        <f t="shared" si="42"/>
        <v>889.2</v>
      </c>
      <c r="I1551" s="15">
        <f t="shared" si="41"/>
        <v>0</v>
      </c>
      <c r="J1551" s="36"/>
      <c r="K1551" s="17"/>
    </row>
    <row r="1552" spans="1:11" x14ac:dyDescent="0.25">
      <c r="A1552" s="82"/>
      <c r="B1552" s="39" t="s">
        <v>5813</v>
      </c>
      <c r="C1552" s="89"/>
      <c r="D1552" s="18">
        <v>100888</v>
      </c>
      <c r="E1552" s="2" t="s">
        <v>5814</v>
      </c>
      <c r="F1552" s="15">
        <v>6355.65</v>
      </c>
      <c r="G1552" s="41">
        <v>42779</v>
      </c>
      <c r="H1552" s="15">
        <f t="shared" si="42"/>
        <v>6355.65</v>
      </c>
      <c r="I1552" s="15">
        <f t="shared" si="41"/>
        <v>0</v>
      </c>
      <c r="J1552" s="36"/>
      <c r="K1552" s="17"/>
    </row>
    <row r="1553" spans="1:11" x14ac:dyDescent="0.25">
      <c r="A1553" s="82"/>
      <c r="B1553" s="39" t="s">
        <v>5815</v>
      </c>
      <c r="C1553" s="89"/>
      <c r="D1553" s="18">
        <v>100889</v>
      </c>
      <c r="E1553" s="2" t="s">
        <v>268</v>
      </c>
      <c r="F1553" s="15">
        <v>14892</v>
      </c>
      <c r="G1553" s="41">
        <v>42781</v>
      </c>
      <c r="H1553" s="15">
        <f t="shared" si="42"/>
        <v>14892</v>
      </c>
      <c r="I1553" s="15">
        <f t="shared" si="41"/>
        <v>0</v>
      </c>
      <c r="J1553" s="36"/>
      <c r="K1553" s="17"/>
    </row>
    <row r="1554" spans="1:11" x14ac:dyDescent="0.25">
      <c r="A1554" s="82"/>
      <c r="B1554" s="39" t="s">
        <v>5816</v>
      </c>
      <c r="C1554" s="89"/>
      <c r="D1554" s="18">
        <v>100890</v>
      </c>
      <c r="E1554" s="2" t="s">
        <v>270</v>
      </c>
      <c r="F1554" s="15">
        <v>3991.1</v>
      </c>
      <c r="G1554" s="41">
        <v>42781</v>
      </c>
      <c r="H1554" s="15">
        <f t="shared" si="42"/>
        <v>3991.1</v>
      </c>
      <c r="I1554" s="15">
        <f t="shared" si="41"/>
        <v>0</v>
      </c>
      <c r="J1554" s="36"/>
      <c r="K1554" s="17"/>
    </row>
    <row r="1555" spans="1:11" x14ac:dyDescent="0.25">
      <c r="A1555" s="82"/>
      <c r="B1555" s="39" t="s">
        <v>5817</v>
      </c>
      <c r="C1555" s="89"/>
      <c r="D1555" s="18">
        <v>100891</v>
      </c>
      <c r="E1555" s="2" t="s">
        <v>442</v>
      </c>
      <c r="F1555" s="15">
        <v>2948.9</v>
      </c>
      <c r="G1555" s="41">
        <v>42781</v>
      </c>
      <c r="H1555" s="15">
        <f t="shared" si="42"/>
        <v>2948.9</v>
      </c>
      <c r="I1555" s="15">
        <f t="shared" si="41"/>
        <v>0</v>
      </c>
      <c r="J1555" s="36"/>
      <c r="K1555" s="17"/>
    </row>
    <row r="1556" spans="1:11" x14ac:dyDescent="0.25">
      <c r="A1556" s="82"/>
      <c r="B1556" s="39" t="s">
        <v>5818</v>
      </c>
      <c r="C1556" s="89"/>
      <c r="D1556" s="18">
        <v>100892</v>
      </c>
      <c r="E1556" s="2" t="s">
        <v>432</v>
      </c>
      <c r="F1556" s="15">
        <v>10380.6</v>
      </c>
      <c r="G1556" s="41">
        <v>42781</v>
      </c>
      <c r="H1556" s="15">
        <f t="shared" si="42"/>
        <v>10380.6</v>
      </c>
      <c r="I1556" s="15">
        <f t="shared" si="41"/>
        <v>0</v>
      </c>
      <c r="J1556" s="36"/>
      <c r="K1556" s="17"/>
    </row>
    <row r="1557" spans="1:11" ht="60" x14ac:dyDescent="0.25">
      <c r="A1557" s="82"/>
      <c r="B1557" s="39" t="s">
        <v>5819</v>
      </c>
      <c r="C1557" s="89"/>
      <c r="D1557" s="18">
        <v>100893</v>
      </c>
      <c r="E1557" s="2" t="s">
        <v>1256</v>
      </c>
      <c r="F1557" s="15">
        <v>3408.8</v>
      </c>
      <c r="G1557" s="86" t="s">
        <v>5820</v>
      </c>
      <c r="H1557" s="23">
        <f>408+500+500</f>
        <v>1408</v>
      </c>
      <c r="I1557" s="23">
        <f t="shared" si="41"/>
        <v>2000.8000000000002</v>
      </c>
      <c r="J1557" s="36"/>
      <c r="K1557" s="17"/>
    </row>
    <row r="1558" spans="1:11" x14ac:dyDescent="0.25">
      <c r="A1558" s="82"/>
      <c r="B1558" s="39" t="s">
        <v>5821</v>
      </c>
      <c r="C1558" s="89"/>
      <c r="D1558" s="18">
        <v>100894</v>
      </c>
      <c r="E1558" s="2" t="s">
        <v>291</v>
      </c>
      <c r="F1558" s="15">
        <v>2427.6</v>
      </c>
      <c r="G1558" s="41">
        <v>42779</v>
      </c>
      <c r="H1558" s="15">
        <f t="shared" si="42"/>
        <v>2427.6</v>
      </c>
      <c r="I1558" s="15">
        <f t="shared" si="41"/>
        <v>0</v>
      </c>
      <c r="J1558" s="36"/>
      <c r="K1558" s="17"/>
    </row>
    <row r="1559" spans="1:11" x14ac:dyDescent="0.25">
      <c r="A1559" s="82"/>
      <c r="B1559" s="39" t="s">
        <v>5822</v>
      </c>
      <c r="C1559" s="89"/>
      <c r="D1559" s="18">
        <v>100895</v>
      </c>
      <c r="E1559" s="2" t="s">
        <v>109</v>
      </c>
      <c r="F1559" s="15">
        <v>402</v>
      </c>
      <c r="G1559" s="41">
        <v>42779</v>
      </c>
      <c r="H1559" s="15">
        <f t="shared" si="42"/>
        <v>402</v>
      </c>
      <c r="I1559" s="15">
        <f t="shared" si="41"/>
        <v>0</v>
      </c>
      <c r="J1559" s="36"/>
      <c r="K1559" s="17"/>
    </row>
    <row r="1560" spans="1:11" x14ac:dyDescent="0.25">
      <c r="A1560" s="82"/>
      <c r="B1560" s="39" t="s">
        <v>5823</v>
      </c>
      <c r="C1560" s="89"/>
      <c r="D1560" s="18">
        <v>100896</v>
      </c>
      <c r="E1560" s="2" t="s">
        <v>103</v>
      </c>
      <c r="F1560" s="15">
        <v>674.5</v>
      </c>
      <c r="G1560" s="41">
        <v>42779</v>
      </c>
      <c r="H1560" s="15">
        <f t="shared" si="42"/>
        <v>674.5</v>
      </c>
      <c r="I1560" s="15">
        <f t="shared" si="41"/>
        <v>0</v>
      </c>
      <c r="J1560" s="36"/>
      <c r="K1560" s="17"/>
    </row>
    <row r="1561" spans="1:11" x14ac:dyDescent="0.25">
      <c r="A1561" s="82"/>
      <c r="B1561" s="39" t="s">
        <v>5824</v>
      </c>
      <c r="C1561" s="89"/>
      <c r="D1561" s="18">
        <v>100897</v>
      </c>
      <c r="E1561" s="2" t="s">
        <v>5825</v>
      </c>
      <c r="F1561" s="15">
        <v>4040.4</v>
      </c>
      <c r="G1561" s="41">
        <v>42779</v>
      </c>
      <c r="H1561" s="15">
        <f t="shared" si="42"/>
        <v>4040.4</v>
      </c>
      <c r="I1561" s="15">
        <f t="shared" si="41"/>
        <v>0</v>
      </c>
      <c r="J1561" s="36"/>
      <c r="K1561" s="17"/>
    </row>
    <row r="1562" spans="1:11" x14ac:dyDescent="0.25">
      <c r="A1562" s="82"/>
      <c r="B1562" s="39" t="s">
        <v>5826</v>
      </c>
      <c r="C1562" s="89"/>
      <c r="D1562" s="18">
        <v>100898</v>
      </c>
      <c r="E1562" s="2" t="s">
        <v>88</v>
      </c>
      <c r="F1562" s="15">
        <v>6691.2</v>
      </c>
      <c r="G1562" s="41">
        <v>42779</v>
      </c>
      <c r="H1562" s="15">
        <f t="shared" si="42"/>
        <v>6691.2</v>
      </c>
      <c r="I1562" s="15">
        <f t="shared" si="41"/>
        <v>0</v>
      </c>
      <c r="J1562" s="36"/>
      <c r="K1562" s="17"/>
    </row>
    <row r="1563" spans="1:11" x14ac:dyDescent="0.25">
      <c r="A1563" s="82"/>
      <c r="B1563" s="39" t="s">
        <v>5827</v>
      </c>
      <c r="C1563" s="89"/>
      <c r="D1563" s="18">
        <v>100899</v>
      </c>
      <c r="E1563" s="2" t="s">
        <v>5828</v>
      </c>
      <c r="F1563" s="15">
        <v>7616</v>
      </c>
      <c r="G1563" s="41">
        <v>42779</v>
      </c>
      <c r="H1563" s="15">
        <f t="shared" si="42"/>
        <v>7616</v>
      </c>
      <c r="I1563" s="15">
        <f t="shared" si="41"/>
        <v>0</v>
      </c>
      <c r="J1563" s="36"/>
      <c r="K1563" s="17"/>
    </row>
    <row r="1564" spans="1:11" x14ac:dyDescent="0.25">
      <c r="A1564" s="82"/>
      <c r="B1564" s="39" t="s">
        <v>5829</v>
      </c>
      <c r="C1564" s="89"/>
      <c r="D1564" s="18">
        <v>100900</v>
      </c>
      <c r="E1564" s="2" t="s">
        <v>92</v>
      </c>
      <c r="F1564" s="15">
        <v>2716.6</v>
      </c>
      <c r="G1564" s="41">
        <v>42779</v>
      </c>
      <c r="H1564" s="15">
        <f t="shared" si="42"/>
        <v>2716.6</v>
      </c>
      <c r="I1564" s="15">
        <f t="shared" si="41"/>
        <v>0</v>
      </c>
      <c r="J1564" s="36"/>
      <c r="K1564" s="17"/>
    </row>
    <row r="1565" spans="1:11" x14ac:dyDescent="0.25">
      <c r="A1565" s="82"/>
      <c r="B1565" s="39" t="s">
        <v>5830</v>
      </c>
      <c r="C1565" s="89"/>
      <c r="D1565" s="18">
        <v>100901</v>
      </c>
      <c r="E1565" s="2" t="s">
        <v>838</v>
      </c>
      <c r="F1565" s="15">
        <v>1992.6</v>
      </c>
      <c r="G1565" s="41">
        <v>42779</v>
      </c>
      <c r="H1565" s="15">
        <f t="shared" si="42"/>
        <v>1992.6</v>
      </c>
      <c r="I1565" s="15">
        <f t="shared" si="41"/>
        <v>0</v>
      </c>
      <c r="J1565" s="36"/>
      <c r="K1565" s="17"/>
    </row>
    <row r="1566" spans="1:11" x14ac:dyDescent="0.25">
      <c r="A1566" s="82"/>
      <c r="B1566" s="39" t="s">
        <v>5831</v>
      </c>
      <c r="C1566" s="89"/>
      <c r="D1566" s="18">
        <v>100902</v>
      </c>
      <c r="E1566" s="2" t="s">
        <v>101</v>
      </c>
      <c r="F1566" s="15">
        <v>735</v>
      </c>
      <c r="G1566" s="41">
        <v>42779</v>
      </c>
      <c r="H1566" s="15">
        <f t="shared" si="42"/>
        <v>735</v>
      </c>
      <c r="I1566" s="15">
        <f t="shared" si="41"/>
        <v>0</v>
      </c>
      <c r="J1566" s="36"/>
      <c r="K1566" s="17"/>
    </row>
    <row r="1567" spans="1:11" x14ac:dyDescent="0.25">
      <c r="A1567" s="82"/>
      <c r="B1567" s="39" t="s">
        <v>5832</v>
      </c>
      <c r="C1567" s="89"/>
      <c r="D1567" s="18">
        <v>100903</v>
      </c>
      <c r="E1567" s="2" t="s">
        <v>99</v>
      </c>
      <c r="F1567" s="15">
        <v>1479.8</v>
      </c>
      <c r="G1567" s="41">
        <v>42779</v>
      </c>
      <c r="H1567" s="15">
        <f t="shared" si="42"/>
        <v>1479.8</v>
      </c>
      <c r="I1567" s="15">
        <f t="shared" si="41"/>
        <v>0</v>
      </c>
      <c r="J1567" s="36"/>
      <c r="K1567" s="17"/>
    </row>
    <row r="1568" spans="1:11" x14ac:dyDescent="0.25">
      <c r="A1568" s="82"/>
      <c r="B1568" s="39" t="s">
        <v>5833</v>
      </c>
      <c r="C1568" s="89"/>
      <c r="D1568" s="18">
        <v>100904</v>
      </c>
      <c r="E1568" s="2" t="s">
        <v>105</v>
      </c>
      <c r="F1568" s="15">
        <v>3273.2</v>
      </c>
      <c r="G1568" s="41">
        <v>42781</v>
      </c>
      <c r="H1568" s="15">
        <f t="shared" si="42"/>
        <v>3273.2</v>
      </c>
      <c r="I1568" s="15">
        <f t="shared" si="41"/>
        <v>0</v>
      </c>
      <c r="J1568" s="36"/>
      <c r="K1568" s="17"/>
    </row>
    <row r="1569" spans="1:11" x14ac:dyDescent="0.25">
      <c r="A1569" s="82"/>
      <c r="B1569" s="39" t="s">
        <v>5834</v>
      </c>
      <c r="C1569" s="89"/>
      <c r="D1569" s="18">
        <v>100905</v>
      </c>
      <c r="E1569" s="2" t="s">
        <v>5835</v>
      </c>
      <c r="F1569" s="15">
        <v>3459.4</v>
      </c>
      <c r="G1569" s="41">
        <v>42781</v>
      </c>
      <c r="H1569" s="15">
        <f t="shared" si="42"/>
        <v>3459.4</v>
      </c>
      <c r="I1569" s="15">
        <f t="shared" si="41"/>
        <v>0</v>
      </c>
      <c r="J1569" s="36"/>
      <c r="K1569" s="17"/>
    </row>
    <row r="1570" spans="1:11" x14ac:dyDescent="0.25">
      <c r="A1570" s="82"/>
      <c r="B1570" s="39" t="s">
        <v>5836</v>
      </c>
      <c r="C1570" s="89"/>
      <c r="D1570" s="18">
        <v>100906</v>
      </c>
      <c r="E1570" s="2" t="s">
        <v>81</v>
      </c>
      <c r="F1570" s="15">
        <v>3335</v>
      </c>
      <c r="G1570" s="41">
        <v>42779</v>
      </c>
      <c r="H1570" s="15">
        <f t="shared" si="42"/>
        <v>3335</v>
      </c>
      <c r="I1570" s="15">
        <f t="shared" si="41"/>
        <v>0</v>
      </c>
      <c r="J1570" s="36"/>
      <c r="K1570" s="17"/>
    </row>
    <row r="1571" spans="1:11" x14ac:dyDescent="0.25">
      <c r="A1571" s="82"/>
      <c r="B1571" s="39" t="s">
        <v>5837</v>
      </c>
      <c r="C1571" s="89"/>
      <c r="D1571" s="18">
        <v>100907</v>
      </c>
      <c r="E1571" s="2" t="s">
        <v>302</v>
      </c>
      <c r="F1571" s="15">
        <v>9702.9</v>
      </c>
      <c r="G1571" s="41">
        <v>42779</v>
      </c>
      <c r="H1571" s="15">
        <f t="shared" si="42"/>
        <v>9702.9</v>
      </c>
      <c r="I1571" s="15">
        <f t="shared" si="41"/>
        <v>0</v>
      </c>
      <c r="J1571" s="36"/>
      <c r="K1571" s="17"/>
    </row>
    <row r="1572" spans="1:11" x14ac:dyDescent="0.25">
      <c r="A1572" s="82"/>
      <c r="B1572" s="39" t="s">
        <v>5838</v>
      </c>
      <c r="C1572" s="89"/>
      <c r="D1572" s="18">
        <v>100908</v>
      </c>
      <c r="E1572" s="2" t="s">
        <v>862</v>
      </c>
      <c r="F1572" s="15">
        <v>11707</v>
      </c>
      <c r="G1572" s="41">
        <v>42779</v>
      </c>
      <c r="H1572" s="15">
        <f t="shared" si="42"/>
        <v>11707</v>
      </c>
      <c r="I1572" s="15">
        <f t="shared" si="41"/>
        <v>0</v>
      </c>
      <c r="J1572" s="36"/>
      <c r="K1572" s="17"/>
    </row>
    <row r="1573" spans="1:11" x14ac:dyDescent="0.25">
      <c r="A1573" s="82"/>
      <c r="B1573" s="39" t="s">
        <v>5839</v>
      </c>
      <c r="C1573" s="89"/>
      <c r="D1573" s="18">
        <v>100909</v>
      </c>
      <c r="E1573" s="2" t="s">
        <v>71</v>
      </c>
      <c r="F1573" s="15">
        <v>1879.5</v>
      </c>
      <c r="G1573" s="41">
        <v>42779</v>
      </c>
      <c r="H1573" s="15">
        <f t="shared" si="42"/>
        <v>1879.5</v>
      </c>
      <c r="I1573" s="15">
        <f t="shared" si="41"/>
        <v>0</v>
      </c>
      <c r="J1573" s="36"/>
      <c r="K1573" s="17"/>
    </row>
    <row r="1574" spans="1:11" x14ac:dyDescent="0.25">
      <c r="A1574" s="82"/>
      <c r="B1574" s="39" t="s">
        <v>5840</v>
      </c>
      <c r="C1574" s="89"/>
      <c r="D1574" s="18">
        <v>100910</v>
      </c>
      <c r="E1574" s="2" t="s">
        <v>879</v>
      </c>
      <c r="F1574" s="15">
        <v>3012</v>
      </c>
      <c r="G1574" s="41">
        <v>42779</v>
      </c>
      <c r="H1574" s="15">
        <f t="shared" si="42"/>
        <v>3012</v>
      </c>
      <c r="I1574" s="15">
        <f t="shared" si="41"/>
        <v>0</v>
      </c>
      <c r="J1574" s="36"/>
      <c r="K1574" s="17"/>
    </row>
    <row r="1575" spans="1:11" x14ac:dyDescent="0.25">
      <c r="A1575" s="82"/>
      <c r="B1575" s="39" t="s">
        <v>5841</v>
      </c>
      <c r="C1575" s="89"/>
      <c r="D1575" s="18">
        <v>100911</v>
      </c>
      <c r="E1575" s="2" t="s">
        <v>531</v>
      </c>
      <c r="F1575" s="15">
        <v>3075</v>
      </c>
      <c r="G1575" s="41">
        <v>42779</v>
      </c>
      <c r="H1575" s="15">
        <f t="shared" si="42"/>
        <v>3075</v>
      </c>
      <c r="I1575" s="15">
        <f t="shared" si="41"/>
        <v>0</v>
      </c>
      <c r="J1575" s="36"/>
      <c r="K1575" s="17"/>
    </row>
    <row r="1576" spans="1:11" x14ac:dyDescent="0.25">
      <c r="A1576" s="82"/>
      <c r="B1576" s="39" t="s">
        <v>5842</v>
      </c>
      <c r="C1576" s="89"/>
      <c r="D1576" s="18">
        <v>100912</v>
      </c>
      <c r="E1576" s="2" t="s">
        <v>131</v>
      </c>
      <c r="F1576" s="15">
        <v>33606</v>
      </c>
      <c r="G1576" s="41">
        <v>42779</v>
      </c>
      <c r="H1576" s="15">
        <f t="shared" si="42"/>
        <v>33606</v>
      </c>
      <c r="I1576" s="15">
        <f t="shared" si="41"/>
        <v>0</v>
      </c>
      <c r="J1576" s="36"/>
      <c r="K1576" s="17"/>
    </row>
    <row r="1577" spans="1:11" x14ac:dyDescent="0.25">
      <c r="A1577" s="82"/>
      <c r="B1577" s="39" t="s">
        <v>5843</v>
      </c>
      <c r="C1577" s="89"/>
      <c r="D1577" s="18">
        <v>100913</v>
      </c>
      <c r="E1577" s="2" t="s">
        <v>428</v>
      </c>
      <c r="F1577" s="15">
        <v>1131.2</v>
      </c>
      <c r="G1577" s="41">
        <v>42781</v>
      </c>
      <c r="H1577" s="15">
        <f t="shared" si="42"/>
        <v>1131.2</v>
      </c>
      <c r="I1577" s="15">
        <f t="shared" si="41"/>
        <v>0</v>
      </c>
      <c r="J1577" s="36"/>
      <c r="K1577" s="17"/>
    </row>
    <row r="1578" spans="1:11" x14ac:dyDescent="0.25">
      <c r="A1578" s="82"/>
      <c r="B1578" s="39" t="s">
        <v>5844</v>
      </c>
      <c r="C1578" s="89"/>
      <c r="D1578" s="18">
        <v>100914</v>
      </c>
      <c r="E1578" s="2" t="s">
        <v>2986</v>
      </c>
      <c r="F1578" s="15">
        <v>3244</v>
      </c>
      <c r="G1578" s="41">
        <v>42779</v>
      </c>
      <c r="H1578" s="15">
        <f t="shared" si="42"/>
        <v>3244</v>
      </c>
      <c r="I1578" s="15">
        <f t="shared" si="41"/>
        <v>0</v>
      </c>
      <c r="J1578" s="36"/>
      <c r="K1578" s="17"/>
    </row>
    <row r="1579" spans="1:11" x14ac:dyDescent="0.25">
      <c r="A1579" s="82"/>
      <c r="B1579" s="39" t="s">
        <v>5845</v>
      </c>
      <c r="C1579" s="89"/>
      <c r="D1579" s="18">
        <v>100915</v>
      </c>
      <c r="E1579" s="2" t="s">
        <v>30</v>
      </c>
      <c r="F1579" s="15">
        <v>1433.6</v>
      </c>
      <c r="G1579" s="41">
        <v>42779</v>
      </c>
      <c r="H1579" s="15">
        <f t="shared" si="42"/>
        <v>1433.6</v>
      </c>
      <c r="I1579" s="15">
        <f t="shared" si="41"/>
        <v>0</v>
      </c>
      <c r="J1579" s="36"/>
      <c r="K1579" s="17"/>
    </row>
    <row r="1580" spans="1:11" x14ac:dyDescent="0.25">
      <c r="A1580" s="82"/>
      <c r="B1580" s="39" t="s">
        <v>5846</v>
      </c>
      <c r="C1580" s="89"/>
      <c r="D1580" s="18">
        <v>100916</v>
      </c>
      <c r="E1580" s="2" t="s">
        <v>30</v>
      </c>
      <c r="F1580" s="15">
        <v>560</v>
      </c>
      <c r="G1580" s="41">
        <v>42779</v>
      </c>
      <c r="H1580" s="15">
        <f t="shared" si="42"/>
        <v>560</v>
      </c>
      <c r="I1580" s="15">
        <f t="shared" si="41"/>
        <v>0</v>
      </c>
      <c r="J1580" s="36"/>
      <c r="K1580" s="17"/>
    </row>
    <row r="1581" spans="1:11" x14ac:dyDescent="0.25">
      <c r="A1581" s="82"/>
      <c r="B1581" s="39" t="s">
        <v>5847</v>
      </c>
      <c r="C1581" s="89"/>
      <c r="D1581" s="18">
        <v>100917</v>
      </c>
      <c r="E1581" s="2" t="s">
        <v>785</v>
      </c>
      <c r="F1581" s="15">
        <v>10193.799999999999</v>
      </c>
      <c r="G1581" s="41">
        <v>42779</v>
      </c>
      <c r="H1581" s="15">
        <f t="shared" si="42"/>
        <v>10193.799999999999</v>
      </c>
      <c r="I1581" s="15">
        <f t="shared" si="41"/>
        <v>0</v>
      </c>
      <c r="J1581" s="36"/>
      <c r="K1581" s="17"/>
    </row>
    <row r="1582" spans="1:11" x14ac:dyDescent="0.25">
      <c r="A1582" s="82"/>
      <c r="B1582" s="39" t="s">
        <v>5848</v>
      </c>
      <c r="C1582" s="89"/>
      <c r="D1582" s="18">
        <v>100918</v>
      </c>
      <c r="E1582" s="2" t="s">
        <v>155</v>
      </c>
      <c r="F1582" s="15">
        <v>10985.5</v>
      </c>
      <c r="G1582" s="41">
        <v>42780</v>
      </c>
      <c r="H1582" s="15">
        <f t="shared" si="42"/>
        <v>10985.5</v>
      </c>
      <c r="I1582" s="15">
        <f t="shared" si="41"/>
        <v>0</v>
      </c>
      <c r="J1582" s="36"/>
      <c r="K1582" s="17"/>
    </row>
    <row r="1583" spans="1:11" x14ac:dyDescent="0.25">
      <c r="A1583" s="82"/>
      <c r="B1583" s="39" t="s">
        <v>5849</v>
      </c>
      <c r="C1583" s="89"/>
      <c r="D1583" s="18">
        <v>100919</v>
      </c>
      <c r="E1583" s="2" t="s">
        <v>5633</v>
      </c>
      <c r="F1583" s="15">
        <v>248275.20000000001</v>
      </c>
      <c r="G1583" s="41">
        <v>42783</v>
      </c>
      <c r="H1583" s="15">
        <f>97299.77+150975.43</f>
        <v>248275.20000000001</v>
      </c>
      <c r="I1583" s="15">
        <f t="shared" si="41"/>
        <v>0</v>
      </c>
      <c r="J1583" s="36"/>
      <c r="K1583" s="17"/>
    </row>
    <row r="1584" spans="1:11" x14ac:dyDescent="0.25">
      <c r="A1584" s="82"/>
      <c r="B1584" s="39" t="s">
        <v>5850</v>
      </c>
      <c r="C1584" s="89"/>
      <c r="D1584" s="18">
        <v>100920</v>
      </c>
      <c r="E1584" s="2" t="s">
        <v>5672</v>
      </c>
      <c r="F1584" s="15">
        <v>37449.5</v>
      </c>
      <c r="G1584" s="41">
        <v>42783</v>
      </c>
      <c r="H1584" s="15">
        <f t="shared" si="42"/>
        <v>37449.5</v>
      </c>
      <c r="I1584" s="15">
        <f t="shared" si="41"/>
        <v>0</v>
      </c>
      <c r="J1584" s="36"/>
      <c r="K1584" s="17"/>
    </row>
    <row r="1585" spans="1:11" x14ac:dyDescent="0.25">
      <c r="A1585" s="82"/>
      <c r="B1585" s="39" t="s">
        <v>5851</v>
      </c>
      <c r="C1585" s="89"/>
      <c r="D1585" s="18">
        <v>100921</v>
      </c>
      <c r="E1585" s="2" t="s">
        <v>30</v>
      </c>
      <c r="F1585" s="15">
        <v>533.79999999999995</v>
      </c>
      <c r="G1585" s="41">
        <v>42779</v>
      </c>
      <c r="H1585" s="15">
        <f t="shared" si="42"/>
        <v>533.79999999999995</v>
      </c>
      <c r="I1585" s="15">
        <f t="shared" si="41"/>
        <v>0</v>
      </c>
      <c r="J1585" s="36"/>
      <c r="K1585" s="17"/>
    </row>
    <row r="1586" spans="1:11" x14ac:dyDescent="0.25">
      <c r="A1586" s="82"/>
      <c r="B1586" s="39" t="s">
        <v>5852</v>
      </c>
      <c r="C1586" s="89"/>
      <c r="D1586" s="18">
        <v>100922</v>
      </c>
      <c r="E1586" s="2" t="s">
        <v>161</v>
      </c>
      <c r="F1586" s="15">
        <v>11485.9</v>
      </c>
      <c r="G1586" s="41">
        <v>42804</v>
      </c>
      <c r="H1586" s="15">
        <f t="shared" si="42"/>
        <v>11485.9</v>
      </c>
      <c r="I1586" s="15">
        <f t="shared" si="41"/>
        <v>0</v>
      </c>
      <c r="J1586" s="36"/>
      <c r="K1586" s="17"/>
    </row>
    <row r="1587" spans="1:11" x14ac:dyDescent="0.25">
      <c r="A1587" s="82"/>
      <c r="B1587" s="39" t="s">
        <v>5853</v>
      </c>
      <c r="C1587" s="89"/>
      <c r="D1587" s="18">
        <v>100923</v>
      </c>
      <c r="E1587" s="2" t="s">
        <v>145</v>
      </c>
      <c r="F1587" s="15">
        <v>14501.4</v>
      </c>
      <c r="G1587" s="41">
        <v>42780</v>
      </c>
      <c r="H1587" s="15">
        <f t="shared" si="42"/>
        <v>14501.4</v>
      </c>
      <c r="I1587" s="15">
        <f t="shared" si="41"/>
        <v>0</v>
      </c>
      <c r="J1587" s="36"/>
      <c r="K1587" s="17"/>
    </row>
    <row r="1588" spans="1:11" x14ac:dyDescent="0.25">
      <c r="A1588" s="82"/>
      <c r="B1588" s="39" t="s">
        <v>5854</v>
      </c>
      <c r="C1588" s="89"/>
      <c r="D1588" s="18">
        <v>100924</v>
      </c>
      <c r="E1588" s="2" t="s">
        <v>163</v>
      </c>
      <c r="F1588" s="15">
        <v>18875.2</v>
      </c>
      <c r="G1588" s="41">
        <v>42804</v>
      </c>
      <c r="H1588" s="15">
        <f t="shared" si="42"/>
        <v>18875.2</v>
      </c>
      <c r="I1588" s="15">
        <f t="shared" si="41"/>
        <v>0</v>
      </c>
      <c r="J1588" s="36"/>
      <c r="K1588" s="17"/>
    </row>
    <row r="1589" spans="1:11" x14ac:dyDescent="0.25">
      <c r="A1589" s="82"/>
      <c r="B1589" s="39" t="s">
        <v>5855</v>
      </c>
      <c r="C1589" s="89"/>
      <c r="D1589" s="18">
        <v>100925</v>
      </c>
      <c r="E1589" s="2" t="s">
        <v>165</v>
      </c>
      <c r="F1589" s="15">
        <v>9482.2999999999993</v>
      </c>
      <c r="G1589" s="41">
        <v>42804</v>
      </c>
      <c r="H1589" s="15">
        <f t="shared" si="42"/>
        <v>9482.2999999999993</v>
      </c>
      <c r="I1589" s="15">
        <f t="shared" si="41"/>
        <v>0</v>
      </c>
      <c r="J1589" s="36"/>
      <c r="K1589" s="17"/>
    </row>
    <row r="1590" spans="1:11" x14ac:dyDescent="0.25">
      <c r="A1590" s="82"/>
      <c r="B1590" s="39" t="s">
        <v>5856</v>
      </c>
      <c r="C1590" s="89"/>
      <c r="D1590" s="18">
        <v>100926</v>
      </c>
      <c r="E1590" s="2" t="s">
        <v>19</v>
      </c>
      <c r="F1590" s="15">
        <v>980</v>
      </c>
      <c r="G1590" s="41">
        <v>42780</v>
      </c>
      <c r="H1590" s="15">
        <f t="shared" si="42"/>
        <v>980</v>
      </c>
      <c r="I1590" s="15">
        <f t="shared" si="41"/>
        <v>0</v>
      </c>
      <c r="J1590" s="36"/>
      <c r="K1590" s="17"/>
    </row>
    <row r="1591" spans="1:11" x14ac:dyDescent="0.25">
      <c r="A1591" s="82"/>
      <c r="B1591" s="39" t="s">
        <v>5857</v>
      </c>
      <c r="C1591" s="89"/>
      <c r="D1591" s="18">
        <v>100927</v>
      </c>
      <c r="E1591" s="2" t="s">
        <v>205</v>
      </c>
      <c r="F1591" s="15">
        <v>66167.5</v>
      </c>
      <c r="G1591" s="41">
        <v>42802</v>
      </c>
      <c r="H1591" s="15">
        <f t="shared" si="42"/>
        <v>66167.5</v>
      </c>
      <c r="I1591" s="15">
        <f t="shared" si="41"/>
        <v>0</v>
      </c>
      <c r="J1591" s="36"/>
      <c r="K1591" s="17"/>
    </row>
    <row r="1592" spans="1:11" x14ac:dyDescent="0.25">
      <c r="A1592" s="82"/>
      <c r="B1592" s="39" t="s">
        <v>5858</v>
      </c>
      <c r="C1592" s="89"/>
      <c r="D1592" s="18">
        <v>100928</v>
      </c>
      <c r="E1592" s="2" t="s">
        <v>115</v>
      </c>
      <c r="F1592" s="15">
        <v>257.60000000000002</v>
      </c>
      <c r="G1592" s="41">
        <v>42779</v>
      </c>
      <c r="H1592" s="15">
        <f t="shared" si="42"/>
        <v>257.60000000000002</v>
      </c>
      <c r="I1592" s="15">
        <f t="shared" ref="I1592:I1655" si="43">F1592-H1592</f>
        <v>0</v>
      </c>
      <c r="J1592" s="36"/>
      <c r="K1592" s="17"/>
    </row>
    <row r="1593" spans="1:11" x14ac:dyDescent="0.25">
      <c r="A1593" s="82"/>
      <c r="B1593" s="39" t="s">
        <v>5859</v>
      </c>
      <c r="C1593" s="89"/>
      <c r="D1593" s="18">
        <v>100929</v>
      </c>
      <c r="E1593" s="2" t="s">
        <v>2240</v>
      </c>
      <c r="F1593" s="15">
        <v>6370.6</v>
      </c>
      <c r="H1593" s="15">
        <f t="shared" si="42"/>
        <v>6370.6</v>
      </c>
      <c r="I1593" s="15">
        <f t="shared" si="43"/>
        <v>0</v>
      </c>
      <c r="J1593" s="36"/>
      <c r="K1593" s="17"/>
    </row>
    <row r="1594" spans="1:11" x14ac:dyDescent="0.25">
      <c r="A1594" s="82"/>
      <c r="B1594" s="39" t="s">
        <v>5860</v>
      </c>
      <c r="C1594" s="89"/>
      <c r="D1594" s="18">
        <v>100930</v>
      </c>
      <c r="E1594" s="2" t="s">
        <v>125</v>
      </c>
      <c r="F1594" s="15">
        <v>10715.2</v>
      </c>
      <c r="G1594" s="41">
        <v>42780</v>
      </c>
      <c r="H1594" s="15">
        <f t="shared" si="42"/>
        <v>10715.2</v>
      </c>
      <c r="I1594" s="15">
        <f t="shared" si="43"/>
        <v>0</v>
      </c>
      <c r="J1594" s="36"/>
      <c r="K1594" s="17"/>
    </row>
    <row r="1595" spans="1:11" x14ac:dyDescent="0.25">
      <c r="A1595" s="82"/>
      <c r="B1595" s="39" t="s">
        <v>5861</v>
      </c>
      <c r="C1595" s="89"/>
      <c r="D1595" s="18">
        <v>100931</v>
      </c>
      <c r="E1595" s="2" t="s">
        <v>30</v>
      </c>
      <c r="F1595" s="15">
        <v>110</v>
      </c>
      <c r="G1595" s="41">
        <v>42780</v>
      </c>
      <c r="H1595" s="15">
        <f t="shared" si="42"/>
        <v>110</v>
      </c>
      <c r="I1595" s="15">
        <f t="shared" si="43"/>
        <v>0</v>
      </c>
      <c r="J1595" s="36"/>
      <c r="K1595" s="17"/>
    </row>
    <row r="1596" spans="1:11" x14ac:dyDescent="0.25">
      <c r="A1596" s="82"/>
      <c r="B1596" s="39" t="s">
        <v>5862</v>
      </c>
      <c r="C1596" s="89"/>
      <c r="D1596" s="18">
        <v>100932</v>
      </c>
      <c r="E1596" s="2" t="s">
        <v>1830</v>
      </c>
      <c r="F1596" s="15">
        <v>5835.9</v>
      </c>
      <c r="G1596" s="41">
        <v>42780</v>
      </c>
      <c r="H1596" s="15">
        <f t="shared" si="42"/>
        <v>5835.9</v>
      </c>
      <c r="I1596" s="15">
        <f t="shared" si="43"/>
        <v>0</v>
      </c>
      <c r="J1596" s="36"/>
      <c r="K1596" s="17"/>
    </row>
    <row r="1597" spans="1:11" x14ac:dyDescent="0.25">
      <c r="A1597" s="82"/>
      <c r="B1597" s="39" t="s">
        <v>5863</v>
      </c>
      <c r="C1597" s="89"/>
      <c r="D1597" s="18">
        <v>100933</v>
      </c>
      <c r="E1597" s="2" t="s">
        <v>30</v>
      </c>
      <c r="F1597" s="15">
        <v>170</v>
      </c>
      <c r="G1597" s="41">
        <v>42780</v>
      </c>
      <c r="H1597" s="15">
        <f t="shared" ref="H1597:H1660" si="44">F1597</f>
        <v>170</v>
      </c>
      <c r="I1597" s="15">
        <f t="shared" si="43"/>
        <v>0</v>
      </c>
      <c r="J1597" s="36"/>
      <c r="K1597" s="17"/>
    </row>
    <row r="1598" spans="1:11" x14ac:dyDescent="0.25">
      <c r="A1598" s="82"/>
      <c r="B1598" s="39" t="s">
        <v>5864</v>
      </c>
      <c r="C1598" s="89"/>
      <c r="D1598" s="18">
        <v>100934</v>
      </c>
      <c r="E1598" s="2" t="s">
        <v>428</v>
      </c>
      <c r="F1598" s="15">
        <v>1585</v>
      </c>
      <c r="G1598" s="41">
        <v>42781</v>
      </c>
      <c r="H1598" s="15">
        <f t="shared" si="44"/>
        <v>1585</v>
      </c>
      <c r="I1598" s="15">
        <f t="shared" si="43"/>
        <v>0</v>
      </c>
      <c r="J1598" s="36"/>
      <c r="K1598" s="17"/>
    </row>
    <row r="1599" spans="1:11" x14ac:dyDescent="0.25">
      <c r="A1599" s="82"/>
      <c r="B1599" s="39" t="s">
        <v>5865</v>
      </c>
      <c r="C1599" s="89"/>
      <c r="D1599" s="18">
        <v>100935</v>
      </c>
      <c r="E1599" s="2" t="s">
        <v>2535</v>
      </c>
      <c r="F1599" s="15">
        <v>1626.9</v>
      </c>
      <c r="G1599" s="41">
        <v>42780</v>
      </c>
      <c r="H1599" s="15">
        <f t="shared" si="44"/>
        <v>1626.9</v>
      </c>
      <c r="I1599" s="15">
        <f t="shared" si="43"/>
        <v>0</v>
      </c>
      <c r="J1599" s="36"/>
      <c r="K1599" s="17"/>
    </row>
    <row r="1600" spans="1:11" x14ac:dyDescent="0.25">
      <c r="A1600" s="82"/>
      <c r="B1600" s="39" t="s">
        <v>5866</v>
      </c>
      <c r="C1600" s="89"/>
      <c r="D1600" s="18">
        <v>100936</v>
      </c>
      <c r="E1600" s="2" t="s">
        <v>335</v>
      </c>
      <c r="F1600" s="15">
        <v>129.5</v>
      </c>
      <c r="G1600" s="41">
        <v>42780</v>
      </c>
      <c r="H1600" s="15">
        <f t="shared" si="44"/>
        <v>129.5</v>
      </c>
      <c r="I1600" s="15">
        <f t="shared" si="43"/>
        <v>0</v>
      </c>
      <c r="J1600" s="36"/>
      <c r="K1600" s="17"/>
    </row>
    <row r="1601" spans="1:11" x14ac:dyDescent="0.25">
      <c r="A1601" s="82"/>
      <c r="B1601" s="39" t="s">
        <v>5867</v>
      </c>
      <c r="C1601" s="89"/>
      <c r="D1601" s="18">
        <v>100937</v>
      </c>
      <c r="E1601" s="2" t="s">
        <v>182</v>
      </c>
      <c r="F1601" s="15">
        <v>2078.4</v>
      </c>
      <c r="G1601" s="41">
        <v>42780</v>
      </c>
      <c r="H1601" s="15">
        <f t="shared" si="44"/>
        <v>2078.4</v>
      </c>
      <c r="I1601" s="15">
        <f t="shared" si="43"/>
        <v>0</v>
      </c>
      <c r="J1601" s="36"/>
      <c r="K1601" s="17"/>
    </row>
    <row r="1602" spans="1:11" x14ac:dyDescent="0.25">
      <c r="A1602" s="82"/>
      <c r="B1602" s="39" t="s">
        <v>5868</v>
      </c>
      <c r="C1602" s="89"/>
      <c r="D1602" s="18">
        <v>100938</v>
      </c>
      <c r="E1602" s="2" t="s">
        <v>356</v>
      </c>
      <c r="F1602" s="15">
        <v>13982.4</v>
      </c>
      <c r="G1602" s="41">
        <v>42780</v>
      </c>
      <c r="H1602" s="15">
        <f t="shared" si="44"/>
        <v>13982.4</v>
      </c>
      <c r="I1602" s="15">
        <f t="shared" si="43"/>
        <v>0</v>
      </c>
      <c r="J1602" s="36"/>
      <c r="K1602" s="17"/>
    </row>
    <row r="1603" spans="1:11" x14ac:dyDescent="0.25">
      <c r="A1603" s="82"/>
      <c r="B1603" s="39" t="s">
        <v>5869</v>
      </c>
      <c r="C1603" s="89"/>
      <c r="D1603" s="18">
        <v>100939</v>
      </c>
      <c r="E1603" s="2" t="s">
        <v>656</v>
      </c>
      <c r="F1603" s="15">
        <v>10009.200000000001</v>
      </c>
      <c r="G1603" s="41">
        <v>42780</v>
      </c>
      <c r="H1603" s="15">
        <f t="shared" si="44"/>
        <v>10009.200000000001</v>
      </c>
      <c r="I1603" s="15">
        <f t="shared" si="43"/>
        <v>0</v>
      </c>
      <c r="J1603" s="36"/>
      <c r="K1603" s="17"/>
    </row>
    <row r="1604" spans="1:11" x14ac:dyDescent="0.25">
      <c r="A1604" s="82"/>
      <c r="B1604" s="39" t="s">
        <v>5870</v>
      </c>
      <c r="C1604" s="89"/>
      <c r="D1604" s="18">
        <v>100940</v>
      </c>
      <c r="E1604" s="2" t="s">
        <v>182</v>
      </c>
      <c r="F1604" s="15">
        <v>4900</v>
      </c>
      <c r="G1604" s="41">
        <v>42780</v>
      </c>
      <c r="H1604" s="15">
        <f t="shared" si="44"/>
        <v>4900</v>
      </c>
      <c r="I1604" s="15">
        <f t="shared" si="43"/>
        <v>0</v>
      </c>
      <c r="J1604" s="36"/>
      <c r="K1604" s="17"/>
    </row>
    <row r="1605" spans="1:11" x14ac:dyDescent="0.25">
      <c r="A1605" s="82"/>
      <c r="B1605" s="39" t="s">
        <v>5871</v>
      </c>
      <c r="C1605" s="89"/>
      <c r="D1605" s="18">
        <v>100941</v>
      </c>
      <c r="E1605" s="2" t="s">
        <v>923</v>
      </c>
      <c r="F1605" s="15">
        <v>1516.4</v>
      </c>
      <c r="G1605" s="41">
        <v>42779</v>
      </c>
      <c r="H1605" s="15">
        <f t="shared" si="44"/>
        <v>1516.4</v>
      </c>
      <c r="I1605" s="15">
        <f t="shared" si="43"/>
        <v>0</v>
      </c>
      <c r="J1605" s="36"/>
      <c r="K1605" s="17"/>
    </row>
    <row r="1606" spans="1:11" x14ac:dyDescent="0.25">
      <c r="A1606" s="82"/>
      <c r="B1606" s="39" t="s">
        <v>5872</v>
      </c>
      <c r="C1606" s="89"/>
      <c r="D1606" s="18">
        <v>100942</v>
      </c>
      <c r="E1606" s="2" t="s">
        <v>5873</v>
      </c>
      <c r="F1606" s="15">
        <v>63733.15</v>
      </c>
      <c r="G1606" s="41">
        <v>42780</v>
      </c>
      <c r="H1606" s="15">
        <f t="shared" si="44"/>
        <v>63733.15</v>
      </c>
      <c r="I1606" s="15">
        <f t="shared" si="43"/>
        <v>0</v>
      </c>
      <c r="J1606" s="36"/>
      <c r="K1606" s="17"/>
    </row>
    <row r="1607" spans="1:11" x14ac:dyDescent="0.25">
      <c r="A1607" s="82"/>
      <c r="B1607" s="39" t="s">
        <v>5874</v>
      </c>
      <c r="C1607" s="89"/>
      <c r="D1607" s="18">
        <v>100943</v>
      </c>
      <c r="E1607" s="2" t="s">
        <v>352</v>
      </c>
      <c r="F1607" s="15">
        <v>2725</v>
      </c>
      <c r="G1607" s="41">
        <v>42779</v>
      </c>
      <c r="H1607" s="15">
        <f t="shared" si="44"/>
        <v>2725</v>
      </c>
      <c r="I1607" s="15">
        <f t="shared" si="43"/>
        <v>0</v>
      </c>
      <c r="J1607" s="36"/>
      <c r="K1607" s="17"/>
    </row>
    <row r="1608" spans="1:11" x14ac:dyDescent="0.25">
      <c r="A1608" s="82"/>
      <c r="B1608" s="39" t="s">
        <v>5875</v>
      </c>
      <c r="C1608" s="89"/>
      <c r="D1608" s="18">
        <v>100944</v>
      </c>
      <c r="E1608" s="2" t="s">
        <v>531</v>
      </c>
      <c r="F1608" s="15">
        <v>31122</v>
      </c>
      <c r="G1608" s="41">
        <v>42779</v>
      </c>
      <c r="H1608" s="15">
        <f t="shared" si="44"/>
        <v>31122</v>
      </c>
      <c r="I1608" s="15">
        <f t="shared" si="43"/>
        <v>0</v>
      </c>
      <c r="J1608" s="36"/>
      <c r="K1608" s="17"/>
    </row>
    <row r="1609" spans="1:11" x14ac:dyDescent="0.25">
      <c r="A1609" s="82"/>
      <c r="B1609" s="39" t="s">
        <v>5876</v>
      </c>
      <c r="C1609" s="89"/>
      <c r="D1609" s="18">
        <v>100945</v>
      </c>
      <c r="E1609" s="2" t="s">
        <v>220</v>
      </c>
      <c r="F1609" s="15">
        <v>1925.4</v>
      </c>
      <c r="G1609" s="41">
        <v>42780</v>
      </c>
      <c r="H1609" s="15">
        <f t="shared" si="44"/>
        <v>1925.4</v>
      </c>
      <c r="I1609" s="15">
        <f t="shared" si="43"/>
        <v>0</v>
      </c>
      <c r="J1609" s="36"/>
      <c r="K1609" s="17"/>
    </row>
    <row r="1610" spans="1:11" x14ac:dyDescent="0.25">
      <c r="A1610" s="82"/>
      <c r="B1610" s="39" t="s">
        <v>5877</v>
      </c>
      <c r="C1610" s="89"/>
      <c r="D1610" s="18">
        <v>100946</v>
      </c>
      <c r="E1610" s="2" t="s">
        <v>3095</v>
      </c>
      <c r="F1610" s="15">
        <v>20064</v>
      </c>
      <c r="G1610" s="41">
        <v>42780</v>
      </c>
      <c r="H1610" s="15">
        <f t="shared" si="44"/>
        <v>20064</v>
      </c>
      <c r="I1610" s="15">
        <f t="shared" si="43"/>
        <v>0</v>
      </c>
      <c r="J1610" s="36"/>
      <c r="K1610" s="17"/>
    </row>
    <row r="1611" spans="1:11" x14ac:dyDescent="0.25">
      <c r="A1611" s="82"/>
      <c r="B1611" s="39" t="s">
        <v>5878</v>
      </c>
      <c r="C1611" s="89"/>
      <c r="D1611" s="18">
        <v>100947</v>
      </c>
      <c r="E1611" s="2" t="s">
        <v>422</v>
      </c>
      <c r="F1611" s="15">
        <v>1339.8</v>
      </c>
      <c r="G1611" s="41">
        <v>42779</v>
      </c>
      <c r="H1611" s="15">
        <f t="shared" si="44"/>
        <v>1339.8</v>
      </c>
      <c r="I1611" s="15">
        <f t="shared" si="43"/>
        <v>0</v>
      </c>
      <c r="J1611" s="36"/>
      <c r="K1611" s="17"/>
    </row>
    <row r="1612" spans="1:11" x14ac:dyDescent="0.25">
      <c r="A1612" s="82"/>
      <c r="B1612" s="39" t="s">
        <v>5879</v>
      </c>
      <c r="C1612" s="89"/>
      <c r="D1612" s="18">
        <v>100948</v>
      </c>
      <c r="E1612" s="2" t="s">
        <v>5880</v>
      </c>
      <c r="F1612" s="15">
        <v>56757.599999999999</v>
      </c>
      <c r="G1612" s="41">
        <v>42780</v>
      </c>
      <c r="H1612" s="15">
        <f t="shared" si="44"/>
        <v>56757.599999999999</v>
      </c>
      <c r="I1612" s="15">
        <f t="shared" si="43"/>
        <v>0</v>
      </c>
      <c r="J1612" s="36"/>
      <c r="K1612" s="17"/>
    </row>
    <row r="1613" spans="1:11" x14ac:dyDescent="0.25">
      <c r="A1613" s="82"/>
      <c r="B1613" s="39" t="s">
        <v>5881</v>
      </c>
      <c r="C1613" s="89"/>
      <c r="D1613" s="18">
        <v>100949</v>
      </c>
      <c r="E1613" s="2" t="s">
        <v>222</v>
      </c>
      <c r="F1613" s="15">
        <v>408478</v>
      </c>
      <c r="G1613" s="41">
        <v>42784</v>
      </c>
      <c r="H1613" s="15">
        <f t="shared" si="44"/>
        <v>408478</v>
      </c>
      <c r="I1613" s="15">
        <f>F1613-H1613</f>
        <v>0</v>
      </c>
      <c r="J1613" s="36"/>
      <c r="K1613" s="17"/>
    </row>
    <row r="1614" spans="1:11" x14ac:dyDescent="0.25">
      <c r="A1614" s="82"/>
      <c r="B1614" s="39" t="s">
        <v>5882</v>
      </c>
      <c r="C1614" s="89"/>
      <c r="D1614" s="18">
        <v>100950</v>
      </c>
      <c r="E1614" s="2" t="s">
        <v>5883</v>
      </c>
      <c r="F1614" s="15">
        <v>27688.32</v>
      </c>
      <c r="G1614" s="41">
        <v>42788</v>
      </c>
      <c r="H1614" s="15">
        <f t="shared" si="44"/>
        <v>27688.32</v>
      </c>
      <c r="I1614" s="15">
        <f t="shared" si="43"/>
        <v>0</v>
      </c>
      <c r="J1614" s="36"/>
      <c r="K1614" s="17"/>
    </row>
    <row r="1615" spans="1:11" x14ac:dyDescent="0.25">
      <c r="A1615" s="82"/>
      <c r="B1615" s="39" t="s">
        <v>5884</v>
      </c>
      <c r="C1615" s="89"/>
      <c r="D1615" s="18">
        <v>100951</v>
      </c>
      <c r="E1615" s="2" t="s">
        <v>5219</v>
      </c>
      <c r="F1615" s="15">
        <v>6647</v>
      </c>
      <c r="G1615" s="41">
        <v>42779</v>
      </c>
      <c r="H1615" s="15">
        <f t="shared" si="44"/>
        <v>6647</v>
      </c>
      <c r="I1615" s="15">
        <f t="shared" si="43"/>
        <v>0</v>
      </c>
      <c r="J1615" s="36"/>
      <c r="K1615" s="17"/>
    </row>
    <row r="1616" spans="1:11" x14ac:dyDescent="0.25">
      <c r="A1616" s="82"/>
      <c r="B1616" s="39" t="s">
        <v>5885</v>
      </c>
      <c r="C1616" s="89"/>
      <c r="D1616" s="18">
        <v>100952</v>
      </c>
      <c r="E1616" s="2" t="s">
        <v>354</v>
      </c>
      <c r="F1616" s="15">
        <v>1206.2</v>
      </c>
      <c r="G1616" s="41">
        <v>42779</v>
      </c>
      <c r="H1616" s="15">
        <f t="shared" si="44"/>
        <v>1206.2</v>
      </c>
      <c r="I1616" s="15">
        <f t="shared" si="43"/>
        <v>0</v>
      </c>
      <c r="J1616" s="36"/>
      <c r="K1616" s="17"/>
    </row>
    <row r="1617" spans="1:11" x14ac:dyDescent="0.25">
      <c r="A1617" s="82"/>
      <c r="B1617" s="39" t="s">
        <v>5886</v>
      </c>
      <c r="C1617" s="89"/>
      <c r="D1617" s="18">
        <v>100953</v>
      </c>
      <c r="E1617" s="2" t="s">
        <v>354</v>
      </c>
      <c r="F1617" s="15">
        <v>292.60000000000002</v>
      </c>
      <c r="G1617" s="41">
        <v>42779</v>
      </c>
      <c r="H1617" s="15">
        <f t="shared" si="44"/>
        <v>292.60000000000002</v>
      </c>
      <c r="I1617" s="15">
        <f t="shared" si="43"/>
        <v>0</v>
      </c>
      <c r="J1617" s="36"/>
      <c r="K1617" s="17"/>
    </row>
    <row r="1618" spans="1:11" ht="30" x14ac:dyDescent="0.25">
      <c r="A1618" s="82"/>
      <c r="B1618" s="39" t="s">
        <v>5887</v>
      </c>
      <c r="C1618" s="89"/>
      <c r="D1618" s="18">
        <v>100954</v>
      </c>
      <c r="E1618" s="2" t="s">
        <v>312</v>
      </c>
      <c r="F1618" s="15">
        <v>21877.599999999999</v>
      </c>
      <c r="G1618" s="295" t="s">
        <v>23761</v>
      </c>
      <c r="H1618" s="15">
        <f>196.8+21680.8</f>
        <v>21877.599999999999</v>
      </c>
      <c r="I1618" s="15">
        <f t="shared" si="43"/>
        <v>0</v>
      </c>
      <c r="J1618" s="36"/>
      <c r="K1618" s="17"/>
    </row>
    <row r="1619" spans="1:11" x14ac:dyDescent="0.25">
      <c r="A1619" s="82"/>
      <c r="B1619" s="39" t="s">
        <v>5888</v>
      </c>
      <c r="C1619" s="89"/>
      <c r="D1619" s="18">
        <v>100955</v>
      </c>
      <c r="E1619" s="2" t="s">
        <v>281</v>
      </c>
      <c r="F1619" s="15">
        <v>1575.6</v>
      </c>
      <c r="G1619" s="41">
        <v>42781</v>
      </c>
      <c r="H1619" s="15">
        <f t="shared" si="44"/>
        <v>1575.6</v>
      </c>
      <c r="I1619" s="15">
        <f t="shared" si="43"/>
        <v>0</v>
      </c>
      <c r="J1619" s="36"/>
      <c r="K1619" s="17"/>
    </row>
    <row r="1620" spans="1:11" x14ac:dyDescent="0.25">
      <c r="A1620" s="82"/>
      <c r="B1620" s="39" t="s">
        <v>5889</v>
      </c>
      <c r="C1620" s="89"/>
      <c r="D1620" s="18">
        <v>100956</v>
      </c>
      <c r="E1620" s="2" t="s">
        <v>1380</v>
      </c>
      <c r="F1620" s="15">
        <v>4537</v>
      </c>
      <c r="G1620" s="41">
        <v>42781</v>
      </c>
      <c r="H1620" s="15">
        <f t="shared" si="44"/>
        <v>4537</v>
      </c>
      <c r="I1620" s="15">
        <f t="shared" si="43"/>
        <v>0</v>
      </c>
      <c r="J1620" s="36"/>
      <c r="K1620" s="17"/>
    </row>
    <row r="1621" spans="1:11" x14ac:dyDescent="0.25">
      <c r="A1621" s="82"/>
      <c r="B1621" s="39" t="s">
        <v>5890</v>
      </c>
      <c r="C1621" s="89"/>
      <c r="D1621" s="18">
        <v>100957</v>
      </c>
      <c r="E1621" s="2" t="s">
        <v>5352</v>
      </c>
      <c r="F1621" s="15">
        <v>30126</v>
      </c>
      <c r="G1621" s="41">
        <v>42779</v>
      </c>
      <c r="H1621" s="15">
        <f t="shared" si="44"/>
        <v>30126</v>
      </c>
      <c r="I1621" s="15">
        <f t="shared" si="43"/>
        <v>0</v>
      </c>
      <c r="J1621" s="36"/>
      <c r="K1621" s="17"/>
    </row>
    <row r="1622" spans="1:11" x14ac:dyDescent="0.25">
      <c r="A1622" s="82"/>
      <c r="B1622" s="39" t="s">
        <v>5891</v>
      </c>
      <c r="C1622" s="89"/>
      <c r="D1622" s="18">
        <v>100958</v>
      </c>
      <c r="E1622" s="2" t="s">
        <v>1830</v>
      </c>
      <c r="F1622" s="15">
        <v>13260</v>
      </c>
      <c r="G1622" s="41">
        <v>42780</v>
      </c>
      <c r="H1622" s="15">
        <f t="shared" si="44"/>
        <v>13260</v>
      </c>
      <c r="I1622" s="15">
        <f t="shared" si="43"/>
        <v>0</v>
      </c>
      <c r="J1622" s="36"/>
      <c r="K1622" s="17"/>
    </row>
    <row r="1623" spans="1:11" x14ac:dyDescent="0.25">
      <c r="A1623" s="82"/>
      <c r="B1623" s="39" t="s">
        <v>5892</v>
      </c>
      <c r="C1623" s="89"/>
      <c r="D1623" s="18">
        <v>100959</v>
      </c>
      <c r="E1623" s="2" t="s">
        <v>367</v>
      </c>
      <c r="F1623" s="15">
        <v>1350</v>
      </c>
      <c r="G1623" s="41">
        <v>42779</v>
      </c>
      <c r="H1623" s="15">
        <f t="shared" si="44"/>
        <v>1350</v>
      </c>
      <c r="I1623" s="15">
        <f t="shared" si="43"/>
        <v>0</v>
      </c>
      <c r="J1623" s="36"/>
      <c r="K1623" s="17"/>
    </row>
    <row r="1624" spans="1:11" x14ac:dyDescent="0.25">
      <c r="A1624" s="82"/>
      <c r="B1624" s="39" t="s">
        <v>5893</v>
      </c>
      <c r="C1624" s="89"/>
      <c r="D1624" s="18">
        <v>100960</v>
      </c>
      <c r="E1624" s="13" t="s">
        <v>1594</v>
      </c>
      <c r="F1624" s="14">
        <v>0</v>
      </c>
      <c r="G1624" s="88" t="s">
        <v>95</v>
      </c>
      <c r="H1624" s="14">
        <f t="shared" si="44"/>
        <v>0</v>
      </c>
      <c r="I1624" s="14">
        <f t="shared" si="43"/>
        <v>0</v>
      </c>
      <c r="J1624" s="36"/>
      <c r="K1624" s="17"/>
    </row>
    <row r="1625" spans="1:11" x14ac:dyDescent="0.25">
      <c r="A1625" s="82"/>
      <c r="B1625" s="39" t="s">
        <v>5894</v>
      </c>
      <c r="C1625" s="89"/>
      <c r="D1625" s="18">
        <v>100961</v>
      </c>
      <c r="E1625" s="2" t="s">
        <v>47</v>
      </c>
      <c r="F1625" s="15">
        <v>1125.9000000000001</v>
      </c>
      <c r="G1625" s="41">
        <v>42779</v>
      </c>
      <c r="H1625" s="15">
        <f t="shared" si="44"/>
        <v>1125.9000000000001</v>
      </c>
      <c r="I1625" s="15">
        <f t="shared" si="43"/>
        <v>0</v>
      </c>
      <c r="J1625" s="36"/>
      <c r="K1625" s="17"/>
    </row>
    <row r="1626" spans="1:11" x14ac:dyDescent="0.25">
      <c r="A1626" s="82"/>
      <c r="B1626" s="39" t="s">
        <v>5895</v>
      </c>
      <c r="C1626" s="89"/>
      <c r="D1626" s="18">
        <v>100962</v>
      </c>
      <c r="E1626" s="2" t="s">
        <v>1594</v>
      </c>
      <c r="F1626" s="15">
        <v>5686.2</v>
      </c>
      <c r="G1626" s="41">
        <v>42781</v>
      </c>
      <c r="H1626" s="15">
        <f t="shared" si="44"/>
        <v>5686.2</v>
      </c>
      <c r="I1626" s="15">
        <f t="shared" si="43"/>
        <v>0</v>
      </c>
      <c r="J1626" s="36"/>
      <c r="K1626" s="17"/>
    </row>
    <row r="1627" spans="1:11" x14ac:dyDescent="0.25">
      <c r="A1627" s="82"/>
      <c r="B1627" s="39" t="s">
        <v>5896</v>
      </c>
      <c r="C1627" s="89"/>
      <c r="D1627" s="18">
        <v>100963</v>
      </c>
      <c r="E1627" s="2" t="s">
        <v>5897</v>
      </c>
      <c r="F1627" s="15">
        <v>191772</v>
      </c>
      <c r="G1627" s="41">
        <v>42781</v>
      </c>
      <c r="H1627" s="15">
        <f t="shared" si="44"/>
        <v>191772</v>
      </c>
      <c r="I1627" s="15">
        <f t="shared" si="43"/>
        <v>0</v>
      </c>
      <c r="J1627" s="36"/>
      <c r="K1627" s="17"/>
    </row>
    <row r="1628" spans="1:11" x14ac:dyDescent="0.25">
      <c r="A1628" s="82"/>
      <c r="B1628" s="39" t="s">
        <v>5898</v>
      </c>
      <c r="C1628" s="89"/>
      <c r="D1628" s="18">
        <v>100964</v>
      </c>
      <c r="E1628" s="2" t="s">
        <v>680</v>
      </c>
      <c r="F1628" s="15">
        <v>3405.1</v>
      </c>
      <c r="G1628" s="41">
        <v>42781</v>
      </c>
      <c r="H1628" s="15">
        <f t="shared" si="44"/>
        <v>3405.1</v>
      </c>
      <c r="I1628" s="15">
        <f t="shared" si="43"/>
        <v>0</v>
      </c>
      <c r="J1628" s="36"/>
      <c r="K1628" s="17"/>
    </row>
    <row r="1629" spans="1:11" x14ac:dyDescent="0.25">
      <c r="A1629" s="82"/>
      <c r="B1629" s="39" t="s">
        <v>5899</v>
      </c>
      <c r="C1629" s="89"/>
      <c r="D1629" s="18">
        <v>100965</v>
      </c>
      <c r="E1629" s="2" t="s">
        <v>675</v>
      </c>
      <c r="F1629" s="15">
        <v>3171.9</v>
      </c>
      <c r="G1629" s="41">
        <v>42781</v>
      </c>
      <c r="H1629" s="15">
        <f t="shared" si="44"/>
        <v>3171.9</v>
      </c>
      <c r="I1629" s="15">
        <f t="shared" si="43"/>
        <v>0</v>
      </c>
      <c r="J1629" s="36"/>
      <c r="K1629" s="17"/>
    </row>
    <row r="1630" spans="1:11" x14ac:dyDescent="0.25">
      <c r="A1630" s="82"/>
      <c r="B1630" s="39" t="s">
        <v>5900</v>
      </c>
      <c r="C1630" s="89"/>
      <c r="D1630" s="18">
        <v>100966</v>
      </c>
      <c r="E1630" s="2" t="s">
        <v>688</v>
      </c>
      <c r="F1630" s="15">
        <v>2437</v>
      </c>
      <c r="G1630" s="41">
        <v>42781</v>
      </c>
      <c r="H1630" s="15">
        <f t="shared" si="44"/>
        <v>2437</v>
      </c>
      <c r="I1630" s="15">
        <f t="shared" si="43"/>
        <v>0</v>
      </c>
      <c r="J1630" s="36"/>
      <c r="K1630" s="17"/>
    </row>
    <row r="1631" spans="1:11" x14ac:dyDescent="0.25">
      <c r="A1631" s="82"/>
      <c r="B1631" s="39" t="s">
        <v>5901</v>
      </c>
      <c r="C1631" s="89"/>
      <c r="D1631" s="18">
        <v>100967</v>
      </c>
      <c r="E1631" s="2" t="s">
        <v>1598</v>
      </c>
      <c r="F1631" s="15">
        <v>1848</v>
      </c>
      <c r="G1631" s="41">
        <v>42781</v>
      </c>
      <c r="H1631" s="15">
        <f t="shared" si="44"/>
        <v>1848</v>
      </c>
      <c r="I1631" s="15">
        <f t="shared" si="43"/>
        <v>0</v>
      </c>
      <c r="J1631" s="36"/>
      <c r="K1631" s="17"/>
    </row>
    <row r="1632" spans="1:11" x14ac:dyDescent="0.25">
      <c r="A1632" s="82"/>
      <c r="B1632" s="39" t="s">
        <v>5902</v>
      </c>
      <c r="C1632" s="89"/>
      <c r="D1632" s="18">
        <v>100968</v>
      </c>
      <c r="E1632" s="13" t="s">
        <v>133</v>
      </c>
      <c r="F1632" s="14">
        <v>0</v>
      </c>
      <c r="G1632" s="88" t="s">
        <v>95</v>
      </c>
      <c r="H1632" s="14">
        <f t="shared" si="44"/>
        <v>0</v>
      </c>
      <c r="I1632" s="14">
        <f t="shared" si="43"/>
        <v>0</v>
      </c>
      <c r="J1632" s="36"/>
      <c r="K1632" s="17"/>
    </row>
    <row r="1633" spans="1:11" x14ac:dyDescent="0.25">
      <c r="A1633" s="82"/>
      <c r="B1633" s="39" t="s">
        <v>5903</v>
      </c>
      <c r="C1633" s="89"/>
      <c r="D1633" s="18">
        <v>100969</v>
      </c>
      <c r="E1633" s="2" t="s">
        <v>4038</v>
      </c>
      <c r="F1633" s="15">
        <v>4338.3999999999996</v>
      </c>
      <c r="G1633" s="41">
        <v>42781</v>
      </c>
      <c r="H1633" s="15">
        <f t="shared" si="44"/>
        <v>4338.3999999999996</v>
      </c>
      <c r="I1633" s="15">
        <f t="shared" si="43"/>
        <v>0</v>
      </c>
      <c r="J1633" s="36"/>
      <c r="K1633" s="17"/>
    </row>
    <row r="1634" spans="1:11" x14ac:dyDescent="0.25">
      <c r="A1634" s="82"/>
      <c r="B1634" s="39" t="s">
        <v>5904</v>
      </c>
      <c r="C1634" s="89"/>
      <c r="D1634" s="18">
        <v>100970</v>
      </c>
      <c r="E1634" s="2" t="s">
        <v>5905</v>
      </c>
      <c r="F1634" s="15">
        <v>6512.6</v>
      </c>
      <c r="G1634" s="41">
        <v>42782</v>
      </c>
      <c r="H1634" s="15">
        <f t="shared" si="44"/>
        <v>6512.6</v>
      </c>
      <c r="I1634" s="15">
        <f t="shared" si="43"/>
        <v>0</v>
      </c>
      <c r="J1634" s="36"/>
      <c r="K1634" s="17"/>
    </row>
    <row r="1635" spans="1:11" x14ac:dyDescent="0.25">
      <c r="A1635" s="82"/>
      <c r="B1635" s="39" t="s">
        <v>5906</v>
      </c>
      <c r="C1635" s="89"/>
      <c r="D1635" s="18">
        <v>100971</v>
      </c>
      <c r="E1635" s="2" t="s">
        <v>677</v>
      </c>
      <c r="F1635" s="15">
        <v>2326.6</v>
      </c>
      <c r="G1635" s="41">
        <v>42781</v>
      </c>
      <c r="H1635" s="15">
        <f t="shared" si="44"/>
        <v>2326.6</v>
      </c>
      <c r="I1635" s="15">
        <f t="shared" si="43"/>
        <v>0</v>
      </c>
      <c r="J1635" s="36"/>
      <c r="K1635" s="17"/>
    </row>
    <row r="1636" spans="1:11" x14ac:dyDescent="0.25">
      <c r="A1636" s="82"/>
      <c r="B1636" s="39" t="s">
        <v>5907</v>
      </c>
      <c r="C1636" s="89"/>
      <c r="D1636" s="18">
        <v>100972</v>
      </c>
      <c r="E1636" s="2" t="s">
        <v>55</v>
      </c>
      <c r="F1636" s="15">
        <v>13572.1</v>
      </c>
      <c r="G1636" s="41">
        <v>42779</v>
      </c>
      <c r="H1636" s="15">
        <f t="shared" si="44"/>
        <v>13572.1</v>
      </c>
      <c r="I1636" s="15">
        <f t="shared" si="43"/>
        <v>0</v>
      </c>
      <c r="J1636" s="36"/>
      <c r="K1636" s="17"/>
    </row>
    <row r="1637" spans="1:11" x14ac:dyDescent="0.25">
      <c r="A1637" s="82"/>
      <c r="B1637" s="39" t="s">
        <v>5908</v>
      </c>
      <c r="C1637" s="89"/>
      <c r="D1637" s="18">
        <v>100973</v>
      </c>
      <c r="E1637" s="2" t="s">
        <v>1197</v>
      </c>
      <c r="F1637" s="15">
        <v>7707</v>
      </c>
      <c r="G1637" s="41">
        <v>42780</v>
      </c>
      <c r="H1637" s="15">
        <f t="shared" si="44"/>
        <v>7707</v>
      </c>
      <c r="I1637" s="15">
        <f t="shared" si="43"/>
        <v>0</v>
      </c>
      <c r="J1637" s="36"/>
      <c r="K1637" s="17"/>
    </row>
    <row r="1638" spans="1:11" x14ac:dyDescent="0.25">
      <c r="A1638" s="82"/>
      <c r="B1638" s="39" t="s">
        <v>5909</v>
      </c>
      <c r="C1638" s="89"/>
      <c r="D1638" s="18">
        <v>100974</v>
      </c>
      <c r="E1638" s="2" t="s">
        <v>673</v>
      </c>
      <c r="F1638" s="15">
        <v>4507.8</v>
      </c>
      <c r="G1638" s="41">
        <v>42780</v>
      </c>
      <c r="H1638" s="15">
        <f t="shared" si="44"/>
        <v>4507.8</v>
      </c>
      <c r="I1638" s="15">
        <f t="shared" si="43"/>
        <v>0</v>
      </c>
      <c r="J1638" s="36"/>
      <c r="K1638" s="17"/>
    </row>
    <row r="1639" spans="1:11" x14ac:dyDescent="0.25">
      <c r="A1639" s="82"/>
      <c r="B1639" s="39" t="s">
        <v>5910</v>
      </c>
      <c r="C1639" s="89"/>
      <c r="D1639" s="18">
        <v>100975</v>
      </c>
      <c r="E1639" s="2" t="s">
        <v>682</v>
      </c>
      <c r="F1639" s="15">
        <v>5668.6</v>
      </c>
      <c r="G1639" s="41">
        <v>42780</v>
      </c>
      <c r="H1639" s="15">
        <f t="shared" si="44"/>
        <v>5668.6</v>
      </c>
      <c r="I1639" s="15">
        <f t="shared" si="43"/>
        <v>0</v>
      </c>
      <c r="J1639" s="36"/>
      <c r="K1639" s="17"/>
    </row>
    <row r="1640" spans="1:11" x14ac:dyDescent="0.25">
      <c r="A1640" s="82"/>
      <c r="B1640" s="39" t="s">
        <v>5911</v>
      </c>
      <c r="C1640" s="89"/>
      <c r="D1640" s="18">
        <v>100976</v>
      </c>
      <c r="E1640" s="2" t="s">
        <v>12</v>
      </c>
      <c r="F1640" s="15">
        <v>2376.8000000000002</v>
      </c>
      <c r="G1640" s="41">
        <v>42780</v>
      </c>
      <c r="H1640" s="15">
        <f t="shared" si="44"/>
        <v>2376.8000000000002</v>
      </c>
      <c r="I1640" s="15">
        <f t="shared" si="43"/>
        <v>0</v>
      </c>
    </row>
    <row r="1641" spans="1:11" x14ac:dyDescent="0.25">
      <c r="A1641" s="82"/>
      <c r="B1641" s="39" t="s">
        <v>5912</v>
      </c>
      <c r="C1641" s="89"/>
      <c r="D1641" s="18">
        <v>100977</v>
      </c>
      <c r="E1641" s="2" t="s">
        <v>686</v>
      </c>
      <c r="F1641" s="15">
        <v>22888.1</v>
      </c>
      <c r="G1641" s="41">
        <v>42780</v>
      </c>
      <c r="H1641" s="15">
        <f t="shared" si="44"/>
        <v>22888.1</v>
      </c>
      <c r="I1641" s="15">
        <f t="shared" si="43"/>
        <v>0</v>
      </c>
    </row>
    <row r="1642" spans="1:11" x14ac:dyDescent="0.25">
      <c r="A1642" s="82"/>
      <c r="B1642" s="39" t="s">
        <v>5913</v>
      </c>
      <c r="C1642" s="89"/>
      <c r="D1642" s="18">
        <v>100978</v>
      </c>
      <c r="E1642" s="2" t="s">
        <v>5897</v>
      </c>
      <c r="F1642" s="15">
        <v>75718</v>
      </c>
      <c r="G1642" s="41">
        <v>42781</v>
      </c>
      <c r="H1642" s="15">
        <f t="shared" si="44"/>
        <v>75718</v>
      </c>
      <c r="I1642" s="15">
        <f t="shared" si="43"/>
        <v>0</v>
      </c>
    </row>
    <row r="1643" spans="1:11" x14ac:dyDescent="0.25">
      <c r="A1643" s="82"/>
      <c r="B1643" s="39" t="s">
        <v>5914</v>
      </c>
      <c r="C1643" s="89"/>
      <c r="D1643" s="18">
        <v>100979</v>
      </c>
      <c r="E1643" s="2" t="s">
        <v>937</v>
      </c>
      <c r="F1643" s="15">
        <v>3315</v>
      </c>
      <c r="G1643" s="41">
        <v>42779</v>
      </c>
      <c r="H1643" s="15">
        <f t="shared" si="44"/>
        <v>3315</v>
      </c>
      <c r="I1643" s="15">
        <f t="shared" si="43"/>
        <v>0</v>
      </c>
    </row>
    <row r="1644" spans="1:11" x14ac:dyDescent="0.25">
      <c r="A1644" s="82"/>
      <c r="B1644" s="39" t="s">
        <v>5915</v>
      </c>
      <c r="C1644" s="89"/>
      <c r="D1644" s="18">
        <v>100980</v>
      </c>
      <c r="E1644" s="2" t="s">
        <v>374</v>
      </c>
      <c r="F1644" s="15">
        <v>2676.7</v>
      </c>
      <c r="G1644" s="41">
        <v>42780</v>
      </c>
      <c r="H1644" s="15">
        <f t="shared" si="44"/>
        <v>2676.7</v>
      </c>
      <c r="I1644" s="15">
        <f t="shared" si="43"/>
        <v>0</v>
      </c>
    </row>
    <row r="1645" spans="1:11" x14ac:dyDescent="0.25">
      <c r="A1645" s="82"/>
      <c r="B1645" s="39" t="s">
        <v>5916</v>
      </c>
      <c r="C1645" s="89"/>
      <c r="D1645" s="18">
        <v>100981</v>
      </c>
      <c r="E1645" s="2" t="s">
        <v>231</v>
      </c>
      <c r="F1645" s="15">
        <v>5640.4</v>
      </c>
      <c r="G1645" s="41">
        <v>42781</v>
      </c>
      <c r="H1645" s="15">
        <f t="shared" si="44"/>
        <v>5640.4</v>
      </c>
      <c r="I1645" s="15">
        <f t="shared" si="43"/>
        <v>0</v>
      </c>
    </row>
    <row r="1646" spans="1:11" x14ac:dyDescent="0.25">
      <c r="A1646" s="82"/>
      <c r="B1646" s="39" t="s">
        <v>5917</v>
      </c>
      <c r="C1646" s="89"/>
      <c r="D1646" s="18">
        <v>100982</v>
      </c>
      <c r="E1646" s="2" t="s">
        <v>374</v>
      </c>
      <c r="F1646" s="15">
        <v>1819.8</v>
      </c>
      <c r="G1646" s="41">
        <v>42780</v>
      </c>
      <c r="H1646" s="15">
        <f t="shared" si="44"/>
        <v>1819.8</v>
      </c>
      <c r="I1646" s="15">
        <f t="shared" si="43"/>
        <v>0</v>
      </c>
    </row>
    <row r="1647" spans="1:11" x14ac:dyDescent="0.25">
      <c r="A1647" s="82"/>
      <c r="B1647" s="39" t="s">
        <v>5918</v>
      </c>
      <c r="C1647" s="89"/>
      <c r="D1647" s="18">
        <v>100983</v>
      </c>
      <c r="E1647" s="2" t="s">
        <v>231</v>
      </c>
      <c r="F1647" s="15">
        <v>30133.8</v>
      </c>
      <c r="G1647" s="41">
        <v>42781</v>
      </c>
      <c r="H1647" s="15">
        <f t="shared" si="44"/>
        <v>30133.8</v>
      </c>
      <c r="I1647" s="15">
        <f t="shared" si="43"/>
        <v>0</v>
      </c>
    </row>
    <row r="1648" spans="1:11" x14ac:dyDescent="0.25">
      <c r="A1648" s="82"/>
      <c r="B1648" s="39" t="s">
        <v>5919</v>
      </c>
      <c r="C1648" s="89"/>
      <c r="D1648" s="18">
        <v>100984</v>
      </c>
      <c r="E1648" s="2" t="s">
        <v>231</v>
      </c>
      <c r="F1648" s="15">
        <v>2830</v>
      </c>
      <c r="G1648" s="41">
        <v>42781</v>
      </c>
      <c r="H1648" s="15">
        <f t="shared" si="44"/>
        <v>2830</v>
      </c>
      <c r="I1648" s="15">
        <f t="shared" si="43"/>
        <v>0</v>
      </c>
    </row>
    <row r="1649" spans="1:9" x14ac:dyDescent="0.25">
      <c r="A1649" s="82"/>
      <c r="B1649" s="39" t="s">
        <v>5920</v>
      </c>
      <c r="C1649" s="89"/>
      <c r="D1649" s="18">
        <v>100985</v>
      </c>
      <c r="E1649" s="2" t="s">
        <v>17</v>
      </c>
      <c r="F1649" s="15">
        <v>4655</v>
      </c>
      <c r="G1649" s="41">
        <v>42780</v>
      </c>
      <c r="H1649" s="15">
        <f t="shared" si="44"/>
        <v>4655</v>
      </c>
      <c r="I1649" s="15">
        <f t="shared" si="43"/>
        <v>0</v>
      </c>
    </row>
    <row r="1650" spans="1:9" x14ac:dyDescent="0.25">
      <c r="A1650" s="82"/>
      <c r="B1650" s="39" t="s">
        <v>5921</v>
      </c>
      <c r="C1650" s="89"/>
      <c r="D1650" s="18">
        <v>100986</v>
      </c>
      <c r="E1650" s="2" t="s">
        <v>55</v>
      </c>
      <c r="F1650" s="15">
        <v>28500</v>
      </c>
      <c r="G1650" s="41">
        <v>42780</v>
      </c>
      <c r="H1650" s="15">
        <f t="shared" si="44"/>
        <v>28500</v>
      </c>
      <c r="I1650" s="15">
        <f t="shared" si="43"/>
        <v>0</v>
      </c>
    </row>
    <row r="1651" spans="1:9" x14ac:dyDescent="0.25">
      <c r="A1651" s="82"/>
      <c r="B1651" s="39" t="s">
        <v>5922</v>
      </c>
      <c r="C1651" s="89"/>
      <c r="D1651" s="18">
        <v>100987</v>
      </c>
      <c r="E1651" s="2" t="s">
        <v>1335</v>
      </c>
      <c r="F1651" s="15">
        <v>14060.1</v>
      </c>
      <c r="H1651" s="15">
        <f t="shared" si="44"/>
        <v>14060.1</v>
      </c>
      <c r="I1651" s="15">
        <f t="shared" si="43"/>
        <v>0</v>
      </c>
    </row>
    <row r="1652" spans="1:9" x14ac:dyDescent="0.25">
      <c r="A1652" s="82"/>
      <c r="B1652" s="39" t="s">
        <v>5923</v>
      </c>
      <c r="C1652" s="89"/>
      <c r="D1652" s="18">
        <v>100988</v>
      </c>
      <c r="E1652" s="2" t="s">
        <v>28</v>
      </c>
      <c r="F1652" s="15">
        <v>5049</v>
      </c>
      <c r="H1652" s="15">
        <f t="shared" si="44"/>
        <v>5049</v>
      </c>
      <c r="I1652" s="15">
        <f t="shared" si="43"/>
        <v>0</v>
      </c>
    </row>
    <row r="1653" spans="1:9" x14ac:dyDescent="0.25">
      <c r="A1653" s="82"/>
      <c r="B1653" s="39" t="s">
        <v>5924</v>
      </c>
      <c r="C1653" s="89"/>
      <c r="D1653" s="18">
        <v>100989</v>
      </c>
      <c r="E1653" s="2" t="s">
        <v>26</v>
      </c>
      <c r="F1653" s="15">
        <v>8666.6</v>
      </c>
      <c r="G1653" s="41">
        <v>42780</v>
      </c>
      <c r="H1653" s="15">
        <f t="shared" si="44"/>
        <v>8666.6</v>
      </c>
      <c r="I1653" s="15">
        <f t="shared" si="43"/>
        <v>0</v>
      </c>
    </row>
    <row r="1654" spans="1:9" x14ac:dyDescent="0.25">
      <c r="A1654" s="82"/>
      <c r="B1654" s="39" t="s">
        <v>5925</v>
      </c>
      <c r="C1654" s="89"/>
      <c r="D1654" s="18">
        <v>100990</v>
      </c>
      <c r="E1654" s="2" t="s">
        <v>5926</v>
      </c>
      <c r="F1654" s="15">
        <v>3137.6</v>
      </c>
      <c r="G1654" s="41">
        <v>42782</v>
      </c>
      <c r="H1654" s="15">
        <f t="shared" si="44"/>
        <v>3137.6</v>
      </c>
      <c r="I1654" s="15">
        <f t="shared" si="43"/>
        <v>0</v>
      </c>
    </row>
    <row r="1655" spans="1:9" x14ac:dyDescent="0.25">
      <c r="A1655" s="82"/>
      <c r="B1655" s="39" t="s">
        <v>5927</v>
      </c>
      <c r="C1655" s="89"/>
      <c r="D1655" s="18">
        <v>100991</v>
      </c>
      <c r="E1655" s="2" t="s">
        <v>374</v>
      </c>
      <c r="F1655" s="15">
        <v>2687.7</v>
      </c>
      <c r="G1655" s="41">
        <v>42786</v>
      </c>
      <c r="H1655" s="15">
        <f t="shared" si="44"/>
        <v>2687.7</v>
      </c>
      <c r="I1655" s="15">
        <f t="shared" si="43"/>
        <v>0</v>
      </c>
    </row>
    <row r="1656" spans="1:9" x14ac:dyDescent="0.25">
      <c r="A1656" s="82"/>
      <c r="B1656" s="39" t="s">
        <v>5928</v>
      </c>
      <c r="C1656" s="89"/>
      <c r="D1656" s="18">
        <v>100992</v>
      </c>
      <c r="E1656" s="2" t="s">
        <v>222</v>
      </c>
      <c r="F1656" s="15">
        <v>23450</v>
      </c>
      <c r="G1656" s="41">
        <v>42784</v>
      </c>
      <c r="H1656" s="15">
        <f t="shared" si="44"/>
        <v>23450</v>
      </c>
      <c r="I1656" s="15">
        <f t="shared" ref="I1656:I1719" si="45">F1656-H1656</f>
        <v>0</v>
      </c>
    </row>
    <row r="1657" spans="1:9" x14ac:dyDescent="0.25">
      <c r="A1657" s="82"/>
      <c r="B1657" s="39" t="s">
        <v>5929</v>
      </c>
      <c r="C1657" s="89"/>
      <c r="D1657" s="18">
        <v>100993</v>
      </c>
      <c r="E1657" s="2" t="s">
        <v>374</v>
      </c>
      <c r="F1657" s="15">
        <v>2993.3</v>
      </c>
      <c r="G1657" s="41">
        <v>42781</v>
      </c>
      <c r="H1657" s="15">
        <f t="shared" si="44"/>
        <v>2993.3</v>
      </c>
      <c r="I1657" s="15">
        <f t="shared" si="45"/>
        <v>0</v>
      </c>
    </row>
    <row r="1658" spans="1:9" x14ac:dyDescent="0.25">
      <c r="A1658" s="82"/>
      <c r="B1658" s="39" t="s">
        <v>5930</v>
      </c>
      <c r="C1658" s="89"/>
      <c r="D1658" s="18">
        <v>100994</v>
      </c>
      <c r="E1658" s="2" t="s">
        <v>374</v>
      </c>
      <c r="F1658" s="15">
        <v>2690.7</v>
      </c>
      <c r="H1658" s="15">
        <f t="shared" si="44"/>
        <v>2690.7</v>
      </c>
      <c r="I1658" s="15">
        <f t="shared" si="45"/>
        <v>0</v>
      </c>
    </row>
    <row r="1659" spans="1:9" x14ac:dyDescent="0.25">
      <c r="A1659" s="82"/>
      <c r="B1659" s="39" t="s">
        <v>5931</v>
      </c>
      <c r="C1659" s="89"/>
      <c r="D1659" s="18">
        <v>100995</v>
      </c>
      <c r="E1659" s="2" t="s">
        <v>428</v>
      </c>
      <c r="F1659" s="15">
        <v>1935</v>
      </c>
      <c r="G1659" s="41">
        <v>42781</v>
      </c>
      <c r="H1659" s="15">
        <f t="shared" si="44"/>
        <v>1935</v>
      </c>
      <c r="I1659" s="15">
        <f t="shared" si="45"/>
        <v>0</v>
      </c>
    </row>
    <row r="1660" spans="1:9" x14ac:dyDescent="0.25">
      <c r="A1660" s="82"/>
      <c r="B1660" s="39" t="s">
        <v>5932</v>
      </c>
      <c r="C1660" s="89"/>
      <c r="D1660" s="18">
        <v>100996</v>
      </c>
      <c r="E1660" s="2" t="s">
        <v>5933</v>
      </c>
      <c r="F1660" s="15">
        <v>13581.7</v>
      </c>
      <c r="G1660" s="41">
        <v>42783</v>
      </c>
      <c r="H1660" s="15">
        <f t="shared" si="44"/>
        <v>13581.7</v>
      </c>
      <c r="I1660" s="15">
        <f t="shared" si="45"/>
        <v>0</v>
      </c>
    </row>
    <row r="1661" spans="1:9" x14ac:dyDescent="0.25">
      <c r="A1661" s="82"/>
      <c r="B1661" s="39" t="s">
        <v>5934</v>
      </c>
      <c r="C1661" s="89"/>
      <c r="D1661" s="18">
        <v>100997</v>
      </c>
      <c r="E1661" s="2" t="s">
        <v>5935</v>
      </c>
      <c r="F1661" s="15">
        <v>33968.400000000001</v>
      </c>
      <c r="G1661" s="41">
        <v>42783</v>
      </c>
      <c r="H1661" s="15">
        <f t="shared" ref="H1661:H1724" si="46">F1661</f>
        <v>33968.400000000001</v>
      </c>
      <c r="I1661" s="15">
        <f t="shared" si="45"/>
        <v>0</v>
      </c>
    </row>
    <row r="1662" spans="1:9" x14ac:dyDescent="0.25">
      <c r="A1662" s="82"/>
      <c r="B1662" s="39" t="s">
        <v>5936</v>
      </c>
      <c r="C1662" s="89"/>
      <c r="D1662" s="18">
        <v>100998</v>
      </c>
      <c r="E1662" s="2" t="s">
        <v>1666</v>
      </c>
      <c r="F1662" s="15">
        <v>2597.4</v>
      </c>
      <c r="G1662" s="41">
        <v>42781</v>
      </c>
      <c r="H1662" s="15">
        <f t="shared" si="46"/>
        <v>2597.4</v>
      </c>
      <c r="I1662" s="15">
        <f t="shared" si="45"/>
        <v>0</v>
      </c>
    </row>
    <row r="1663" spans="1:9" x14ac:dyDescent="0.25">
      <c r="A1663" s="82"/>
      <c r="B1663" s="39" t="s">
        <v>5937</v>
      </c>
      <c r="C1663" s="89"/>
      <c r="D1663" s="18">
        <v>100999</v>
      </c>
      <c r="E1663" s="2" t="s">
        <v>374</v>
      </c>
      <c r="F1663" s="15">
        <v>2695.7</v>
      </c>
      <c r="G1663" s="41">
        <v>42793</v>
      </c>
      <c r="H1663" s="15">
        <f t="shared" si="46"/>
        <v>2695.7</v>
      </c>
      <c r="I1663" s="15">
        <f t="shared" si="45"/>
        <v>0</v>
      </c>
    </row>
    <row r="1664" spans="1:9" x14ac:dyDescent="0.25">
      <c r="A1664" s="82">
        <v>42780</v>
      </c>
      <c r="B1664" s="39" t="s">
        <v>5938</v>
      </c>
      <c r="C1664" s="89"/>
      <c r="D1664" s="18">
        <v>101000</v>
      </c>
      <c r="E1664" s="2" t="s">
        <v>71</v>
      </c>
      <c r="F1664" s="15">
        <v>1260</v>
      </c>
      <c r="G1664" s="41">
        <v>42780</v>
      </c>
      <c r="H1664" s="15">
        <f t="shared" si="46"/>
        <v>1260</v>
      </c>
      <c r="I1664" s="15">
        <f t="shared" si="45"/>
        <v>0</v>
      </c>
    </row>
    <row r="1665" spans="1:9" x14ac:dyDescent="0.25">
      <c r="A1665" s="82">
        <v>42780</v>
      </c>
      <c r="B1665" s="39" t="s">
        <v>5939</v>
      </c>
      <c r="C1665" s="89"/>
      <c r="D1665" s="18">
        <v>101001</v>
      </c>
      <c r="E1665" s="2" t="s">
        <v>268</v>
      </c>
      <c r="F1665" s="15">
        <v>16328.1</v>
      </c>
      <c r="G1665" s="41">
        <v>42783</v>
      </c>
      <c r="H1665" s="15">
        <f t="shared" si="46"/>
        <v>16328.1</v>
      </c>
      <c r="I1665" s="15">
        <f t="shared" si="45"/>
        <v>0</v>
      </c>
    </row>
    <row r="1666" spans="1:9" x14ac:dyDescent="0.25">
      <c r="A1666" s="82">
        <v>42780</v>
      </c>
      <c r="B1666" s="39" t="s">
        <v>5940</v>
      </c>
      <c r="C1666" s="89"/>
      <c r="D1666" s="18">
        <v>101002</v>
      </c>
      <c r="E1666" s="2" t="s">
        <v>1666</v>
      </c>
      <c r="F1666" s="15">
        <v>3814.7</v>
      </c>
      <c r="G1666" s="41">
        <v>42781</v>
      </c>
      <c r="H1666" s="15">
        <f t="shared" si="46"/>
        <v>3814.7</v>
      </c>
      <c r="I1666" s="15">
        <f t="shared" si="45"/>
        <v>0</v>
      </c>
    </row>
    <row r="1667" spans="1:9" x14ac:dyDescent="0.25">
      <c r="A1667" s="82">
        <v>42780</v>
      </c>
      <c r="B1667" s="39" t="s">
        <v>5941</v>
      </c>
      <c r="C1667" s="89"/>
      <c r="D1667" s="18">
        <v>101003</v>
      </c>
      <c r="E1667" s="2" t="s">
        <v>1786</v>
      </c>
      <c r="F1667" s="15">
        <v>9864.2000000000007</v>
      </c>
      <c r="G1667" s="41">
        <v>42780</v>
      </c>
      <c r="H1667" s="15">
        <f t="shared" si="46"/>
        <v>9864.2000000000007</v>
      </c>
      <c r="I1667" s="15">
        <f t="shared" si="45"/>
        <v>0</v>
      </c>
    </row>
    <row r="1668" spans="1:9" x14ac:dyDescent="0.25">
      <c r="A1668" s="82">
        <v>42780</v>
      </c>
      <c r="B1668" s="39" t="s">
        <v>5942</v>
      </c>
      <c r="C1668" s="89"/>
      <c r="D1668" s="18">
        <v>101004</v>
      </c>
      <c r="E1668" s="2" t="s">
        <v>876</v>
      </c>
      <c r="F1668" s="15">
        <v>3404</v>
      </c>
      <c r="G1668" s="41">
        <v>42783</v>
      </c>
      <c r="H1668" s="15">
        <f t="shared" si="46"/>
        <v>3404</v>
      </c>
      <c r="I1668" s="15">
        <f t="shared" si="45"/>
        <v>0</v>
      </c>
    </row>
    <row r="1669" spans="1:9" x14ac:dyDescent="0.25">
      <c r="A1669" s="82">
        <v>42780</v>
      </c>
      <c r="B1669" s="39" t="s">
        <v>5943</v>
      </c>
      <c r="C1669" s="89"/>
      <c r="D1669" s="18">
        <v>101005</v>
      </c>
      <c r="E1669" s="2" t="s">
        <v>876</v>
      </c>
      <c r="F1669" s="15">
        <v>2333.1999999999998</v>
      </c>
      <c r="G1669" s="41">
        <v>42783</v>
      </c>
      <c r="H1669" s="15">
        <f t="shared" si="46"/>
        <v>2333.1999999999998</v>
      </c>
      <c r="I1669" s="15">
        <f t="shared" si="45"/>
        <v>0</v>
      </c>
    </row>
    <row r="1670" spans="1:9" x14ac:dyDescent="0.25">
      <c r="A1670" s="82">
        <v>42780</v>
      </c>
      <c r="B1670" s="39" t="s">
        <v>5944</v>
      </c>
      <c r="C1670" s="89"/>
      <c r="D1670" s="18">
        <v>101006</v>
      </c>
      <c r="E1670" s="2" t="s">
        <v>47</v>
      </c>
      <c r="F1670" s="15">
        <v>3823.4</v>
      </c>
      <c r="G1670" s="41">
        <v>42780</v>
      </c>
      <c r="H1670" s="15">
        <f t="shared" si="46"/>
        <v>3823.4</v>
      </c>
      <c r="I1670" s="15">
        <f t="shared" si="45"/>
        <v>0</v>
      </c>
    </row>
    <row r="1671" spans="1:9" x14ac:dyDescent="0.25">
      <c r="A1671" s="82">
        <v>42780</v>
      </c>
      <c r="B1671" s="39" t="s">
        <v>5945</v>
      </c>
      <c r="C1671" s="89"/>
      <c r="D1671" s="18">
        <v>101007</v>
      </c>
      <c r="E1671" s="2" t="s">
        <v>231</v>
      </c>
      <c r="F1671" s="15">
        <v>976</v>
      </c>
      <c r="G1671" s="41">
        <v>42781</v>
      </c>
      <c r="H1671" s="15">
        <f t="shared" si="46"/>
        <v>976</v>
      </c>
      <c r="I1671" s="15">
        <f t="shared" si="45"/>
        <v>0</v>
      </c>
    </row>
    <row r="1672" spans="1:9" x14ac:dyDescent="0.25">
      <c r="A1672" s="82">
        <v>42780</v>
      </c>
      <c r="B1672" s="39" t="s">
        <v>5946</v>
      </c>
      <c r="C1672" s="89"/>
      <c r="D1672" s="18">
        <v>101008</v>
      </c>
      <c r="E1672" s="2" t="s">
        <v>157</v>
      </c>
      <c r="F1672" s="15">
        <v>14434.38</v>
      </c>
      <c r="G1672" s="41">
        <v>42780</v>
      </c>
      <c r="H1672" s="15">
        <f t="shared" si="46"/>
        <v>14434.38</v>
      </c>
      <c r="I1672" s="15">
        <f t="shared" si="45"/>
        <v>0</v>
      </c>
    </row>
    <row r="1673" spans="1:9" x14ac:dyDescent="0.25">
      <c r="A1673" s="82">
        <v>42780</v>
      </c>
      <c r="B1673" s="39" t="s">
        <v>5947</v>
      </c>
      <c r="C1673" s="89"/>
      <c r="D1673" s="18">
        <v>101009</v>
      </c>
      <c r="E1673" s="2" t="s">
        <v>151</v>
      </c>
      <c r="F1673" s="15">
        <v>17379</v>
      </c>
      <c r="G1673" s="41">
        <v>42780</v>
      </c>
      <c r="H1673" s="15">
        <f t="shared" si="46"/>
        <v>17379</v>
      </c>
      <c r="I1673" s="15">
        <f t="shared" si="45"/>
        <v>0</v>
      </c>
    </row>
    <row r="1674" spans="1:9" x14ac:dyDescent="0.25">
      <c r="A1674" s="82">
        <v>42780</v>
      </c>
      <c r="B1674" s="39" t="s">
        <v>5948</v>
      </c>
      <c r="C1674" s="89"/>
      <c r="D1674" s="18">
        <v>101010</v>
      </c>
      <c r="E1674" s="2" t="s">
        <v>151</v>
      </c>
      <c r="F1674" s="15">
        <v>6230.4</v>
      </c>
      <c r="G1674" s="41">
        <v>42780</v>
      </c>
      <c r="H1674" s="15">
        <f t="shared" si="46"/>
        <v>6230.4</v>
      </c>
      <c r="I1674" s="15">
        <f t="shared" si="45"/>
        <v>0</v>
      </c>
    </row>
    <row r="1675" spans="1:9" x14ac:dyDescent="0.25">
      <c r="A1675" s="82">
        <v>42780</v>
      </c>
      <c r="B1675" s="39" t="s">
        <v>5949</v>
      </c>
      <c r="C1675" s="89"/>
      <c r="D1675" s="18">
        <v>101011</v>
      </c>
      <c r="E1675" s="2" t="s">
        <v>38</v>
      </c>
      <c r="F1675" s="15">
        <v>144.56</v>
      </c>
      <c r="G1675" s="41">
        <v>42782</v>
      </c>
      <c r="H1675" s="15">
        <f t="shared" si="46"/>
        <v>144.56</v>
      </c>
      <c r="I1675" s="15">
        <f t="shared" si="45"/>
        <v>0</v>
      </c>
    </row>
    <row r="1676" spans="1:9" x14ac:dyDescent="0.25">
      <c r="A1676" s="82">
        <v>42780</v>
      </c>
      <c r="B1676" s="39" t="s">
        <v>5950</v>
      </c>
      <c r="C1676" s="89"/>
      <c r="D1676" s="18">
        <v>101012</v>
      </c>
      <c r="E1676" s="2" t="s">
        <v>40</v>
      </c>
      <c r="F1676" s="15">
        <v>7433.6</v>
      </c>
      <c r="G1676" s="41">
        <v>42787</v>
      </c>
      <c r="H1676" s="15">
        <f t="shared" si="46"/>
        <v>7433.6</v>
      </c>
      <c r="I1676" s="15">
        <f t="shared" si="45"/>
        <v>0</v>
      </c>
    </row>
    <row r="1677" spans="1:9" ht="30" x14ac:dyDescent="0.25">
      <c r="A1677" s="82">
        <v>42780</v>
      </c>
      <c r="B1677" s="39" t="s">
        <v>5951</v>
      </c>
      <c r="C1677" s="89"/>
      <c r="D1677" s="18">
        <v>101013</v>
      </c>
      <c r="E1677" s="2" t="s">
        <v>49</v>
      </c>
      <c r="F1677" s="15">
        <v>10419.200000000001</v>
      </c>
      <c r="G1677" s="87" t="s">
        <v>5952</v>
      </c>
      <c r="H1677" s="20">
        <f>5419+5000.2</f>
        <v>10419.200000000001</v>
      </c>
      <c r="I1677" s="20">
        <f t="shared" si="45"/>
        <v>0</v>
      </c>
    </row>
    <row r="1678" spans="1:9" x14ac:dyDescent="0.25">
      <c r="A1678" s="82">
        <v>42780</v>
      </c>
      <c r="B1678" s="39" t="s">
        <v>5953</v>
      </c>
      <c r="C1678" s="89"/>
      <c r="D1678" s="18">
        <v>101014</v>
      </c>
      <c r="E1678" s="2" t="s">
        <v>253</v>
      </c>
      <c r="F1678" s="15">
        <v>3301.4</v>
      </c>
      <c r="G1678" s="41">
        <v>42782</v>
      </c>
      <c r="H1678" s="15">
        <f t="shared" si="46"/>
        <v>3301.4</v>
      </c>
      <c r="I1678" s="15">
        <f t="shared" si="45"/>
        <v>0</v>
      </c>
    </row>
    <row r="1679" spans="1:9" x14ac:dyDescent="0.25">
      <c r="A1679" s="82">
        <v>42780</v>
      </c>
      <c r="B1679" s="39" t="s">
        <v>5954</v>
      </c>
      <c r="C1679" s="89"/>
      <c r="D1679" s="18">
        <v>101015</v>
      </c>
      <c r="E1679" s="2" t="s">
        <v>250</v>
      </c>
      <c r="F1679" s="15">
        <v>5266.3</v>
      </c>
      <c r="H1679" s="15">
        <f t="shared" si="46"/>
        <v>5266.3</v>
      </c>
      <c r="I1679" s="15">
        <f t="shared" si="45"/>
        <v>0</v>
      </c>
    </row>
    <row r="1680" spans="1:9" x14ac:dyDescent="0.25">
      <c r="A1680" s="82">
        <v>42780</v>
      </c>
      <c r="B1680" s="39" t="s">
        <v>5955</v>
      </c>
      <c r="C1680" s="89"/>
      <c r="D1680" s="18">
        <v>101016</v>
      </c>
      <c r="E1680" s="2" t="s">
        <v>35</v>
      </c>
      <c r="F1680" s="15">
        <v>10212.6</v>
      </c>
      <c r="G1680" s="41">
        <v>42782</v>
      </c>
      <c r="H1680" s="15">
        <f t="shared" si="46"/>
        <v>10212.6</v>
      </c>
      <c r="I1680" s="15">
        <f t="shared" si="45"/>
        <v>0</v>
      </c>
    </row>
    <row r="1681" spans="1:9" x14ac:dyDescent="0.25">
      <c r="A1681" s="82">
        <v>42780</v>
      </c>
      <c r="B1681" s="39" t="s">
        <v>5956</v>
      </c>
      <c r="C1681" s="89"/>
      <c r="D1681" s="18">
        <v>101017</v>
      </c>
      <c r="E1681" s="2" t="s">
        <v>43</v>
      </c>
      <c r="F1681" s="15">
        <v>6031.1</v>
      </c>
      <c r="G1681" s="41">
        <v>42782</v>
      </c>
      <c r="H1681" s="15">
        <f t="shared" si="46"/>
        <v>6031.1</v>
      </c>
      <c r="I1681" s="15">
        <f t="shared" si="45"/>
        <v>0</v>
      </c>
    </row>
    <row r="1682" spans="1:9" x14ac:dyDescent="0.25">
      <c r="A1682" s="82">
        <v>42780</v>
      </c>
      <c r="B1682" s="39" t="s">
        <v>5957</v>
      </c>
      <c r="C1682" s="89"/>
      <c r="D1682" s="18">
        <v>101018</v>
      </c>
      <c r="E1682" s="2" t="s">
        <v>459</v>
      </c>
      <c r="F1682" s="15">
        <v>3476</v>
      </c>
      <c r="G1682" s="41">
        <v>42780</v>
      </c>
      <c r="H1682" s="15">
        <f t="shared" si="46"/>
        <v>3476</v>
      </c>
      <c r="I1682" s="15">
        <f t="shared" si="45"/>
        <v>0</v>
      </c>
    </row>
    <row r="1683" spans="1:9" x14ac:dyDescent="0.25">
      <c r="A1683" s="82">
        <v>42780</v>
      </c>
      <c r="B1683" s="39" t="s">
        <v>5958</v>
      </c>
      <c r="C1683" s="89"/>
      <c r="D1683" s="18">
        <v>101019</v>
      </c>
      <c r="E1683" s="2" t="s">
        <v>470</v>
      </c>
      <c r="F1683" s="15">
        <v>12358.2</v>
      </c>
      <c r="G1683" s="41">
        <v>42780</v>
      </c>
      <c r="H1683" s="15">
        <f t="shared" si="46"/>
        <v>12358.2</v>
      </c>
      <c r="I1683" s="15">
        <f t="shared" si="45"/>
        <v>0</v>
      </c>
    </row>
    <row r="1684" spans="1:9" x14ac:dyDescent="0.25">
      <c r="A1684" s="82">
        <v>42780</v>
      </c>
      <c r="B1684" s="39" t="s">
        <v>5959</v>
      </c>
      <c r="C1684" s="89"/>
      <c r="D1684" s="18">
        <v>101020</v>
      </c>
      <c r="E1684" s="2" t="s">
        <v>277</v>
      </c>
      <c r="F1684" s="15">
        <v>3826.3</v>
      </c>
      <c r="G1684" s="41">
        <v>42780</v>
      </c>
      <c r="H1684" s="15">
        <f t="shared" si="46"/>
        <v>3826.3</v>
      </c>
      <c r="I1684" s="15">
        <f t="shared" si="45"/>
        <v>0</v>
      </c>
    </row>
    <row r="1685" spans="1:9" x14ac:dyDescent="0.25">
      <c r="A1685" s="82">
        <v>42780</v>
      </c>
      <c r="B1685" s="39" t="s">
        <v>5960</v>
      </c>
      <c r="C1685" s="89"/>
      <c r="D1685" s="18">
        <v>101021</v>
      </c>
      <c r="E1685" s="2" t="s">
        <v>101</v>
      </c>
      <c r="F1685" s="15">
        <v>1386.7</v>
      </c>
      <c r="G1685" s="41">
        <v>42780</v>
      </c>
      <c r="H1685" s="15">
        <f t="shared" si="46"/>
        <v>1386.7</v>
      </c>
      <c r="I1685" s="15">
        <f t="shared" si="45"/>
        <v>0</v>
      </c>
    </row>
    <row r="1686" spans="1:9" x14ac:dyDescent="0.25">
      <c r="A1686" s="82">
        <v>42780</v>
      </c>
      <c r="B1686" s="39" t="s">
        <v>5961</v>
      </c>
      <c r="C1686" s="89"/>
      <c r="D1686" s="18">
        <v>101022</v>
      </c>
      <c r="E1686" s="2" t="s">
        <v>293</v>
      </c>
      <c r="F1686" s="15">
        <v>443.7</v>
      </c>
      <c r="G1686" s="41">
        <v>42781</v>
      </c>
      <c r="H1686" s="15">
        <f t="shared" si="46"/>
        <v>443.7</v>
      </c>
      <c r="I1686" s="15">
        <f t="shared" si="45"/>
        <v>0</v>
      </c>
    </row>
    <row r="1687" spans="1:9" x14ac:dyDescent="0.25">
      <c r="A1687" s="82">
        <v>42780</v>
      </c>
      <c r="B1687" s="39" t="s">
        <v>5962</v>
      </c>
      <c r="C1687" s="89"/>
      <c r="D1687" s="18">
        <v>101023</v>
      </c>
      <c r="E1687" s="2" t="s">
        <v>1259</v>
      </c>
      <c r="F1687" s="15">
        <v>1651.2</v>
      </c>
      <c r="G1687" s="41">
        <v>42780</v>
      </c>
      <c r="H1687" s="15">
        <f t="shared" si="46"/>
        <v>1651.2</v>
      </c>
      <c r="I1687" s="15">
        <f t="shared" si="45"/>
        <v>0</v>
      </c>
    </row>
    <row r="1688" spans="1:9" x14ac:dyDescent="0.25">
      <c r="A1688" s="82">
        <v>42780</v>
      </c>
      <c r="B1688" s="39" t="s">
        <v>5963</v>
      </c>
      <c r="C1688" s="89"/>
      <c r="D1688" s="18">
        <v>101024</v>
      </c>
      <c r="E1688" s="2" t="s">
        <v>712</v>
      </c>
      <c r="F1688" s="15">
        <v>558.4</v>
      </c>
      <c r="G1688" s="41">
        <v>42780</v>
      </c>
      <c r="H1688" s="15">
        <f t="shared" si="46"/>
        <v>558.4</v>
      </c>
      <c r="I1688" s="15">
        <f t="shared" si="45"/>
        <v>0</v>
      </c>
    </row>
    <row r="1689" spans="1:9" x14ac:dyDescent="0.25">
      <c r="A1689" s="82">
        <v>42780</v>
      </c>
      <c r="B1689" s="39" t="s">
        <v>5964</v>
      </c>
      <c r="C1689" s="89"/>
      <c r="D1689" s="18">
        <v>101025</v>
      </c>
      <c r="E1689" s="2" t="s">
        <v>712</v>
      </c>
      <c r="F1689" s="15">
        <v>3423.8</v>
      </c>
      <c r="G1689" s="41">
        <v>42780</v>
      </c>
      <c r="H1689" s="15">
        <f t="shared" si="46"/>
        <v>3423.8</v>
      </c>
      <c r="I1689" s="15">
        <f t="shared" si="45"/>
        <v>0</v>
      </c>
    </row>
    <row r="1690" spans="1:9" x14ac:dyDescent="0.25">
      <c r="A1690" s="82">
        <v>42780</v>
      </c>
      <c r="B1690" s="39" t="s">
        <v>5965</v>
      </c>
      <c r="C1690" s="89"/>
      <c r="D1690" s="18">
        <v>101026</v>
      </c>
      <c r="E1690" s="2" t="s">
        <v>103</v>
      </c>
      <c r="F1690" s="15">
        <v>3110.4</v>
      </c>
      <c r="G1690" s="41">
        <v>42781</v>
      </c>
      <c r="H1690" s="15">
        <f t="shared" si="46"/>
        <v>3110.4</v>
      </c>
      <c r="I1690" s="15">
        <f t="shared" si="45"/>
        <v>0</v>
      </c>
    </row>
    <row r="1691" spans="1:9" x14ac:dyDescent="0.25">
      <c r="A1691" s="82">
        <v>42780</v>
      </c>
      <c r="B1691" s="39" t="s">
        <v>5966</v>
      </c>
      <c r="C1691" s="89"/>
      <c r="D1691" s="18">
        <v>101027</v>
      </c>
      <c r="E1691" s="2" t="s">
        <v>118</v>
      </c>
      <c r="F1691" s="15">
        <v>31559.5</v>
      </c>
      <c r="G1691" s="41">
        <v>42780</v>
      </c>
      <c r="H1691" s="15">
        <f t="shared" si="46"/>
        <v>31559.5</v>
      </c>
      <c r="I1691" s="15">
        <f t="shared" si="45"/>
        <v>0</v>
      </c>
    </row>
    <row r="1692" spans="1:9" x14ac:dyDescent="0.25">
      <c r="A1692" s="82">
        <v>42780</v>
      </c>
      <c r="B1692" s="39" t="s">
        <v>5967</v>
      </c>
      <c r="C1692" s="89"/>
      <c r="D1692" s="18">
        <v>101028</v>
      </c>
      <c r="E1692" s="2" t="s">
        <v>118</v>
      </c>
      <c r="F1692" s="15">
        <v>4485</v>
      </c>
      <c r="G1692" s="41">
        <v>42780</v>
      </c>
      <c r="H1692" s="15">
        <f t="shared" si="46"/>
        <v>4485</v>
      </c>
      <c r="I1692" s="15">
        <f t="shared" si="45"/>
        <v>0</v>
      </c>
    </row>
    <row r="1693" spans="1:9" x14ac:dyDescent="0.25">
      <c r="A1693" s="82">
        <v>42780</v>
      </c>
      <c r="B1693" s="39" t="s">
        <v>5968</v>
      </c>
      <c r="C1693" s="89"/>
      <c r="D1693" s="18">
        <v>101029</v>
      </c>
      <c r="E1693" s="2" t="s">
        <v>291</v>
      </c>
      <c r="F1693" s="15">
        <v>3643.2</v>
      </c>
      <c r="G1693" s="41">
        <v>42780</v>
      </c>
      <c r="H1693" s="15">
        <f t="shared" si="46"/>
        <v>3643.2</v>
      </c>
      <c r="I1693" s="15">
        <f t="shared" si="45"/>
        <v>0</v>
      </c>
    </row>
    <row r="1694" spans="1:9" x14ac:dyDescent="0.25">
      <c r="A1694" s="82">
        <v>42780</v>
      </c>
      <c r="B1694" s="39" t="s">
        <v>5969</v>
      </c>
      <c r="C1694" s="89"/>
      <c r="D1694" s="18">
        <v>101030</v>
      </c>
      <c r="E1694" s="13" t="s">
        <v>289</v>
      </c>
      <c r="F1694" s="14">
        <v>0</v>
      </c>
      <c r="G1694" s="88" t="s">
        <v>95</v>
      </c>
      <c r="H1694" s="14">
        <f t="shared" si="46"/>
        <v>0</v>
      </c>
      <c r="I1694" s="14">
        <f t="shared" si="45"/>
        <v>0</v>
      </c>
    </row>
    <row r="1695" spans="1:9" x14ac:dyDescent="0.25">
      <c r="A1695" s="82">
        <v>42780</v>
      </c>
      <c r="B1695" s="39" t="s">
        <v>5970</v>
      </c>
      <c r="C1695" s="89"/>
      <c r="D1695" s="18">
        <v>101031</v>
      </c>
      <c r="E1695" s="2" t="s">
        <v>149</v>
      </c>
      <c r="F1695" s="15">
        <v>1143</v>
      </c>
      <c r="G1695" s="41">
        <v>42780</v>
      </c>
      <c r="H1695" s="15">
        <f t="shared" si="46"/>
        <v>1143</v>
      </c>
      <c r="I1695" s="15">
        <f t="shared" si="45"/>
        <v>0</v>
      </c>
    </row>
    <row r="1696" spans="1:9" x14ac:dyDescent="0.25">
      <c r="A1696" s="82">
        <v>42780</v>
      </c>
      <c r="B1696" s="39" t="s">
        <v>5971</v>
      </c>
      <c r="C1696" s="89"/>
      <c r="D1696" s="18">
        <v>101032</v>
      </c>
      <c r="E1696" s="2" t="s">
        <v>149</v>
      </c>
      <c r="F1696" s="15">
        <v>2682.6</v>
      </c>
      <c r="G1696" s="41">
        <v>42780</v>
      </c>
      <c r="H1696" s="15">
        <f t="shared" si="46"/>
        <v>2682.6</v>
      </c>
      <c r="I1696" s="15">
        <f t="shared" si="45"/>
        <v>0</v>
      </c>
    </row>
    <row r="1697" spans="1:9" x14ac:dyDescent="0.25">
      <c r="A1697" s="82">
        <v>42780</v>
      </c>
      <c r="B1697" s="39" t="s">
        <v>5972</v>
      </c>
      <c r="C1697" s="89"/>
      <c r="D1697" s="18">
        <v>101033</v>
      </c>
      <c r="E1697" s="2" t="s">
        <v>3425</v>
      </c>
      <c r="F1697" s="15">
        <v>1616.6</v>
      </c>
      <c r="G1697" s="41">
        <v>42780</v>
      </c>
      <c r="H1697" s="15">
        <f t="shared" si="46"/>
        <v>1616.6</v>
      </c>
      <c r="I1697" s="15">
        <f t="shared" si="45"/>
        <v>0</v>
      </c>
    </row>
    <row r="1698" spans="1:9" x14ac:dyDescent="0.25">
      <c r="A1698" s="82">
        <v>42780</v>
      </c>
      <c r="B1698" s="39" t="s">
        <v>5973</v>
      </c>
      <c r="C1698" s="89"/>
      <c r="D1698" s="18">
        <v>101034</v>
      </c>
      <c r="E1698" s="2" t="s">
        <v>79</v>
      </c>
      <c r="F1698" s="15">
        <v>3608.4</v>
      </c>
      <c r="G1698" s="41">
        <v>42780</v>
      </c>
      <c r="H1698" s="15">
        <f t="shared" si="46"/>
        <v>3608.4</v>
      </c>
      <c r="I1698" s="15">
        <f t="shared" si="45"/>
        <v>0</v>
      </c>
    </row>
    <row r="1699" spans="1:9" x14ac:dyDescent="0.25">
      <c r="A1699" s="82">
        <v>42780</v>
      </c>
      <c r="B1699" s="39" t="s">
        <v>5974</v>
      </c>
      <c r="C1699" s="89"/>
      <c r="D1699" s="18">
        <v>101035</v>
      </c>
      <c r="E1699" s="13" t="s">
        <v>30</v>
      </c>
      <c r="F1699" s="14">
        <v>0</v>
      </c>
      <c r="G1699" s="88" t="s">
        <v>95</v>
      </c>
      <c r="H1699" s="14">
        <f t="shared" si="46"/>
        <v>0</v>
      </c>
      <c r="I1699" s="14">
        <f t="shared" si="45"/>
        <v>0</v>
      </c>
    </row>
    <row r="1700" spans="1:9" x14ac:dyDescent="0.25">
      <c r="A1700" s="82">
        <v>42780</v>
      </c>
      <c r="B1700" s="39" t="s">
        <v>5975</v>
      </c>
      <c r="C1700" s="89"/>
      <c r="D1700" s="18">
        <v>101036</v>
      </c>
      <c r="E1700" s="2" t="s">
        <v>30</v>
      </c>
      <c r="F1700" s="15">
        <v>6302.8</v>
      </c>
      <c r="G1700" s="41">
        <v>42780</v>
      </c>
      <c r="H1700" s="15">
        <f t="shared" si="46"/>
        <v>6302.8</v>
      </c>
      <c r="I1700" s="15">
        <f t="shared" si="45"/>
        <v>0</v>
      </c>
    </row>
    <row r="1701" spans="1:9" x14ac:dyDescent="0.25">
      <c r="A1701" s="82">
        <v>42780</v>
      </c>
      <c r="B1701" s="39" t="s">
        <v>5976</v>
      </c>
      <c r="C1701" s="89"/>
      <c r="D1701" s="18">
        <v>101037</v>
      </c>
      <c r="E1701" s="2" t="s">
        <v>289</v>
      </c>
      <c r="F1701" s="15">
        <v>25712.65</v>
      </c>
      <c r="G1701" s="41">
        <v>42791</v>
      </c>
      <c r="H1701" s="15">
        <f t="shared" si="46"/>
        <v>25712.65</v>
      </c>
      <c r="I1701" s="15">
        <f t="shared" si="45"/>
        <v>0</v>
      </c>
    </row>
    <row r="1702" spans="1:9" x14ac:dyDescent="0.25">
      <c r="A1702" s="82">
        <v>42780</v>
      </c>
      <c r="B1702" s="39" t="s">
        <v>5977</v>
      </c>
      <c r="C1702" s="89"/>
      <c r="D1702" s="18">
        <v>101038</v>
      </c>
      <c r="E1702" s="2" t="s">
        <v>109</v>
      </c>
      <c r="F1702" s="15">
        <v>4465.8</v>
      </c>
      <c r="G1702" s="41">
        <v>42780</v>
      </c>
      <c r="H1702" s="15">
        <f t="shared" si="46"/>
        <v>4465.8</v>
      </c>
      <c r="I1702" s="15">
        <f t="shared" si="45"/>
        <v>0</v>
      </c>
    </row>
    <row r="1703" spans="1:9" x14ac:dyDescent="0.25">
      <c r="A1703" s="82">
        <v>42780</v>
      </c>
      <c r="B1703" s="39" t="s">
        <v>5978</v>
      </c>
      <c r="C1703" s="89"/>
      <c r="D1703" s="18">
        <v>101039</v>
      </c>
      <c r="E1703" s="2" t="s">
        <v>693</v>
      </c>
      <c r="F1703" s="15">
        <v>5508</v>
      </c>
      <c r="G1703" s="41">
        <v>42784</v>
      </c>
      <c r="H1703" s="15">
        <f t="shared" si="46"/>
        <v>5508</v>
      </c>
      <c r="I1703" s="15">
        <f t="shared" si="45"/>
        <v>0</v>
      </c>
    </row>
    <row r="1704" spans="1:9" x14ac:dyDescent="0.25">
      <c r="A1704" s="82">
        <v>42780</v>
      </c>
      <c r="B1704" s="39" t="s">
        <v>5979</v>
      </c>
      <c r="C1704" s="89"/>
      <c r="D1704" s="18">
        <v>101040</v>
      </c>
      <c r="E1704" s="2" t="s">
        <v>45</v>
      </c>
      <c r="F1704" s="15">
        <v>1101.5999999999999</v>
      </c>
      <c r="G1704" s="41">
        <v>42782</v>
      </c>
      <c r="H1704" s="15">
        <f t="shared" si="46"/>
        <v>1101.5999999999999</v>
      </c>
      <c r="I1704" s="15">
        <f t="shared" si="45"/>
        <v>0</v>
      </c>
    </row>
    <row r="1705" spans="1:9" x14ac:dyDescent="0.25">
      <c r="A1705" s="82">
        <v>42780</v>
      </c>
      <c r="B1705" s="39" t="s">
        <v>5980</v>
      </c>
      <c r="C1705" s="89"/>
      <c r="D1705" s="18">
        <v>101041</v>
      </c>
      <c r="E1705" s="2" t="s">
        <v>331</v>
      </c>
      <c r="F1705" s="15">
        <v>2283.1999999999998</v>
      </c>
      <c r="G1705" s="41">
        <v>42782</v>
      </c>
      <c r="H1705" s="15">
        <f t="shared" si="46"/>
        <v>2283.1999999999998</v>
      </c>
      <c r="I1705" s="15">
        <f t="shared" si="45"/>
        <v>0</v>
      </c>
    </row>
    <row r="1706" spans="1:9" x14ac:dyDescent="0.25">
      <c r="A1706" s="82">
        <v>42780</v>
      </c>
      <c r="B1706" s="39" t="s">
        <v>5981</v>
      </c>
      <c r="C1706" s="89"/>
      <c r="D1706" s="18">
        <v>101042</v>
      </c>
      <c r="E1706" s="2" t="s">
        <v>57</v>
      </c>
      <c r="F1706" s="15">
        <v>604.79999999999995</v>
      </c>
      <c r="G1706" s="41">
        <v>42782</v>
      </c>
      <c r="H1706" s="15">
        <f t="shared" si="46"/>
        <v>604.79999999999995</v>
      </c>
      <c r="I1706" s="15">
        <f t="shared" si="45"/>
        <v>0</v>
      </c>
    </row>
    <row r="1707" spans="1:9" x14ac:dyDescent="0.25">
      <c r="A1707" s="82">
        <v>42780</v>
      </c>
      <c r="B1707" s="39" t="s">
        <v>5982</v>
      </c>
      <c r="C1707" s="89"/>
      <c r="D1707" s="18">
        <v>101043</v>
      </c>
      <c r="E1707" s="2" t="s">
        <v>21</v>
      </c>
      <c r="F1707" s="15">
        <v>54598.5</v>
      </c>
      <c r="G1707" s="41">
        <v>42793</v>
      </c>
      <c r="H1707" s="15">
        <f>10416+44182.5</f>
        <v>54598.5</v>
      </c>
      <c r="I1707" s="15">
        <f t="shared" si="45"/>
        <v>0</v>
      </c>
    </row>
    <row r="1708" spans="1:9" x14ac:dyDescent="0.25">
      <c r="A1708" s="82">
        <v>42780</v>
      </c>
      <c r="B1708" s="39" t="s">
        <v>5983</v>
      </c>
      <c r="C1708" s="89"/>
      <c r="D1708" s="18">
        <v>101044</v>
      </c>
      <c r="E1708" s="2" t="s">
        <v>5232</v>
      </c>
      <c r="F1708" s="15">
        <v>12032</v>
      </c>
      <c r="G1708" s="41">
        <v>42780</v>
      </c>
      <c r="H1708" s="15">
        <f t="shared" si="46"/>
        <v>12032</v>
      </c>
      <c r="I1708" s="15">
        <f t="shared" si="45"/>
        <v>0</v>
      </c>
    </row>
    <row r="1709" spans="1:9" x14ac:dyDescent="0.25">
      <c r="A1709" s="82">
        <v>42780</v>
      </c>
      <c r="B1709" s="39" t="s">
        <v>5984</v>
      </c>
      <c r="C1709" s="89"/>
      <c r="D1709" s="18">
        <v>101045</v>
      </c>
      <c r="E1709" s="2" t="s">
        <v>30</v>
      </c>
      <c r="F1709" s="15">
        <v>10948.32</v>
      </c>
      <c r="G1709" s="41">
        <v>42780</v>
      </c>
      <c r="H1709" s="15">
        <f t="shared" si="46"/>
        <v>10948.32</v>
      </c>
      <c r="I1709" s="15">
        <f t="shared" si="45"/>
        <v>0</v>
      </c>
    </row>
    <row r="1710" spans="1:9" x14ac:dyDescent="0.25">
      <c r="A1710" s="82">
        <v>42780</v>
      </c>
      <c r="B1710" s="39" t="s">
        <v>5985</v>
      </c>
      <c r="C1710" s="89"/>
      <c r="D1710" s="18">
        <v>101046</v>
      </c>
      <c r="E1710" s="2" t="s">
        <v>10</v>
      </c>
      <c r="F1710" s="15">
        <v>35529.4</v>
      </c>
      <c r="G1710" s="41">
        <v>42783</v>
      </c>
      <c r="H1710" s="15">
        <f t="shared" si="46"/>
        <v>35529.4</v>
      </c>
      <c r="I1710" s="15">
        <f t="shared" si="45"/>
        <v>0</v>
      </c>
    </row>
    <row r="1711" spans="1:9" x14ac:dyDescent="0.25">
      <c r="A1711" s="82">
        <v>42780</v>
      </c>
      <c r="B1711" s="39" t="s">
        <v>5986</v>
      </c>
      <c r="C1711" s="89"/>
      <c r="D1711" s="18">
        <v>101047</v>
      </c>
      <c r="E1711" s="2" t="s">
        <v>186</v>
      </c>
      <c r="F1711" s="15">
        <v>3115.2</v>
      </c>
      <c r="G1711" s="41">
        <v>42784</v>
      </c>
      <c r="H1711" s="15">
        <f t="shared" si="46"/>
        <v>3115.2</v>
      </c>
      <c r="I1711" s="15">
        <f t="shared" si="45"/>
        <v>0</v>
      </c>
    </row>
    <row r="1712" spans="1:9" x14ac:dyDescent="0.25">
      <c r="A1712" s="82">
        <v>42780</v>
      </c>
      <c r="B1712" s="39" t="s">
        <v>5987</v>
      </c>
      <c r="C1712" s="89"/>
      <c r="D1712" s="18">
        <v>101048</v>
      </c>
      <c r="E1712" s="2" t="s">
        <v>858</v>
      </c>
      <c r="F1712" s="15">
        <v>1592.1</v>
      </c>
      <c r="G1712" s="41">
        <v>42780</v>
      </c>
      <c r="H1712" s="15">
        <f t="shared" si="46"/>
        <v>1592.1</v>
      </c>
      <c r="I1712" s="15">
        <f t="shared" si="45"/>
        <v>0</v>
      </c>
    </row>
    <row r="1713" spans="1:9" x14ac:dyDescent="0.25">
      <c r="A1713" s="82">
        <v>42780</v>
      </c>
      <c r="B1713" s="39" t="s">
        <v>5988</v>
      </c>
      <c r="C1713" s="89"/>
      <c r="D1713" s="18">
        <v>101049</v>
      </c>
      <c r="E1713" s="2" t="s">
        <v>909</v>
      </c>
      <c r="F1713" s="15">
        <v>3291.6</v>
      </c>
      <c r="G1713" s="41">
        <v>42782</v>
      </c>
      <c r="H1713" s="15">
        <f t="shared" si="46"/>
        <v>3291.6</v>
      </c>
      <c r="I1713" s="15">
        <f t="shared" si="45"/>
        <v>0</v>
      </c>
    </row>
    <row r="1714" spans="1:9" x14ac:dyDescent="0.25">
      <c r="A1714" s="82">
        <v>42780</v>
      </c>
      <c r="B1714" s="39" t="s">
        <v>5989</v>
      </c>
      <c r="C1714" s="89"/>
      <c r="D1714" s="18">
        <v>101050</v>
      </c>
      <c r="E1714" s="2" t="s">
        <v>186</v>
      </c>
      <c r="F1714" s="15">
        <v>972</v>
      </c>
      <c r="G1714" s="41">
        <v>42784</v>
      </c>
      <c r="H1714" s="15">
        <f t="shared" si="46"/>
        <v>972</v>
      </c>
      <c r="I1714" s="15">
        <f t="shared" si="45"/>
        <v>0</v>
      </c>
    </row>
    <row r="1715" spans="1:9" x14ac:dyDescent="0.25">
      <c r="A1715" s="82">
        <v>42780</v>
      </c>
      <c r="B1715" s="39" t="s">
        <v>5990</v>
      </c>
      <c r="C1715" s="89"/>
      <c r="D1715" s="18">
        <v>101051</v>
      </c>
      <c r="E1715" s="2" t="s">
        <v>67</v>
      </c>
      <c r="F1715" s="15">
        <v>13234.9</v>
      </c>
      <c r="G1715" s="41">
        <v>42784</v>
      </c>
      <c r="H1715" s="15">
        <f t="shared" si="46"/>
        <v>13234.9</v>
      </c>
      <c r="I1715" s="15">
        <f t="shared" si="45"/>
        <v>0</v>
      </c>
    </row>
    <row r="1716" spans="1:9" x14ac:dyDescent="0.25">
      <c r="A1716" s="82">
        <v>42780</v>
      </c>
      <c r="B1716" s="39" t="s">
        <v>5991</v>
      </c>
      <c r="C1716" s="89"/>
      <c r="D1716" s="18">
        <v>101052</v>
      </c>
      <c r="E1716" s="2" t="s">
        <v>909</v>
      </c>
      <c r="F1716" s="15">
        <v>501.6</v>
      </c>
      <c r="G1716" s="41">
        <v>42782</v>
      </c>
      <c r="H1716" s="15">
        <f t="shared" si="46"/>
        <v>501.6</v>
      </c>
      <c r="I1716" s="15">
        <f t="shared" si="45"/>
        <v>0</v>
      </c>
    </row>
    <row r="1717" spans="1:9" x14ac:dyDescent="0.25">
      <c r="A1717" s="82">
        <v>42780</v>
      </c>
      <c r="B1717" s="39" t="s">
        <v>5992</v>
      </c>
      <c r="C1717" s="89"/>
      <c r="D1717" s="18">
        <v>101053</v>
      </c>
      <c r="E1717" s="2" t="s">
        <v>3997</v>
      </c>
      <c r="F1717" s="15">
        <v>13051.7</v>
      </c>
      <c r="G1717" s="41">
        <v>42782</v>
      </c>
      <c r="H1717" s="15">
        <f t="shared" si="46"/>
        <v>13051.7</v>
      </c>
      <c r="I1717" s="15">
        <f t="shared" si="45"/>
        <v>0</v>
      </c>
    </row>
    <row r="1718" spans="1:9" x14ac:dyDescent="0.25">
      <c r="A1718" s="82">
        <v>42780</v>
      </c>
      <c r="B1718" s="39" t="s">
        <v>5993</v>
      </c>
      <c r="C1718" s="89"/>
      <c r="D1718" s="18">
        <v>101054</v>
      </c>
      <c r="E1718" s="2" t="s">
        <v>193</v>
      </c>
      <c r="F1718" s="15">
        <v>2140.8000000000002</v>
      </c>
      <c r="G1718" s="41">
        <v>42780</v>
      </c>
      <c r="H1718" s="15">
        <f t="shared" si="46"/>
        <v>2140.8000000000002</v>
      </c>
      <c r="I1718" s="15">
        <f t="shared" si="45"/>
        <v>0</v>
      </c>
    </row>
    <row r="1719" spans="1:9" x14ac:dyDescent="0.25">
      <c r="A1719" s="82">
        <v>42780</v>
      </c>
      <c r="B1719" s="39" t="s">
        <v>5994</v>
      </c>
      <c r="C1719" s="89"/>
      <c r="D1719" s="18">
        <v>101055</v>
      </c>
      <c r="E1719" s="2" t="s">
        <v>182</v>
      </c>
      <c r="F1719" s="15">
        <v>2459.8000000000002</v>
      </c>
      <c r="G1719" s="41">
        <v>42782</v>
      </c>
      <c r="H1719" s="15">
        <f t="shared" si="46"/>
        <v>2459.8000000000002</v>
      </c>
      <c r="I1719" s="15">
        <f t="shared" si="45"/>
        <v>0</v>
      </c>
    </row>
    <row r="1720" spans="1:9" x14ac:dyDescent="0.25">
      <c r="A1720" s="82">
        <v>42780</v>
      </c>
      <c r="B1720" s="39" t="s">
        <v>5995</v>
      </c>
      <c r="C1720" s="89"/>
      <c r="D1720" s="18">
        <v>101056</v>
      </c>
      <c r="E1720" s="2" t="s">
        <v>341</v>
      </c>
      <c r="F1720" s="15">
        <v>9001.6</v>
      </c>
      <c r="G1720" s="41">
        <v>42780</v>
      </c>
      <c r="H1720" s="15">
        <f t="shared" si="46"/>
        <v>9001.6</v>
      </c>
      <c r="I1720" s="15">
        <f t="shared" ref="I1720:I1783" si="47">F1720-H1720</f>
        <v>0</v>
      </c>
    </row>
    <row r="1721" spans="1:9" x14ac:dyDescent="0.25">
      <c r="A1721" s="82">
        <v>42780</v>
      </c>
      <c r="B1721" s="39" t="s">
        <v>5996</v>
      </c>
      <c r="C1721" s="89"/>
      <c r="D1721" s="18">
        <v>101057</v>
      </c>
      <c r="E1721" s="2" t="s">
        <v>30</v>
      </c>
      <c r="F1721" s="15">
        <v>2440</v>
      </c>
      <c r="G1721" s="41">
        <v>42780</v>
      </c>
      <c r="H1721" s="15">
        <f t="shared" si="46"/>
        <v>2440</v>
      </c>
      <c r="I1721" s="15">
        <f t="shared" si="47"/>
        <v>0</v>
      </c>
    </row>
    <row r="1722" spans="1:9" x14ac:dyDescent="0.25">
      <c r="A1722" s="82">
        <v>42780</v>
      </c>
      <c r="B1722" s="39" t="s">
        <v>5997</v>
      </c>
      <c r="C1722" s="89"/>
      <c r="D1722" s="18">
        <v>101058</v>
      </c>
      <c r="E1722" s="2" t="s">
        <v>309</v>
      </c>
      <c r="F1722" s="15">
        <v>4355</v>
      </c>
      <c r="G1722" s="41">
        <v>42780</v>
      </c>
      <c r="H1722" s="15">
        <f t="shared" si="46"/>
        <v>4355</v>
      </c>
      <c r="I1722" s="15">
        <f t="shared" si="47"/>
        <v>0</v>
      </c>
    </row>
    <row r="1723" spans="1:9" x14ac:dyDescent="0.25">
      <c r="A1723" s="82">
        <v>42780</v>
      </c>
      <c r="B1723" s="39" t="s">
        <v>5998</v>
      </c>
      <c r="C1723" s="89"/>
      <c r="D1723" s="18">
        <v>101059</v>
      </c>
      <c r="E1723" s="2" t="s">
        <v>341</v>
      </c>
      <c r="F1723" s="15">
        <v>432.5</v>
      </c>
      <c r="H1723" s="15">
        <f t="shared" si="46"/>
        <v>432.5</v>
      </c>
      <c r="I1723" s="15">
        <f t="shared" si="47"/>
        <v>0</v>
      </c>
    </row>
    <row r="1724" spans="1:9" x14ac:dyDescent="0.25">
      <c r="A1724" s="82">
        <v>42780</v>
      </c>
      <c r="B1724" s="39" t="s">
        <v>5999</v>
      </c>
      <c r="C1724" s="89"/>
      <c r="D1724" s="18">
        <v>101060</v>
      </c>
      <c r="E1724" s="2" t="s">
        <v>61</v>
      </c>
      <c r="F1724" s="15">
        <v>10829</v>
      </c>
      <c r="G1724" s="41">
        <v>42780</v>
      </c>
      <c r="H1724" s="15">
        <f t="shared" si="46"/>
        <v>10829</v>
      </c>
      <c r="I1724" s="15">
        <f t="shared" si="47"/>
        <v>0</v>
      </c>
    </row>
    <row r="1725" spans="1:9" x14ac:dyDescent="0.25">
      <c r="A1725" s="82">
        <v>42780</v>
      </c>
      <c r="B1725" s="39" t="s">
        <v>6000</v>
      </c>
      <c r="C1725" s="89"/>
      <c r="D1725" s="18">
        <v>101061</v>
      </c>
      <c r="E1725" s="2" t="s">
        <v>309</v>
      </c>
      <c r="F1725" s="15">
        <v>139.4</v>
      </c>
      <c r="G1725" s="41">
        <v>42780</v>
      </c>
      <c r="H1725" s="15">
        <f t="shared" ref="H1725:H1788" si="48">F1725</f>
        <v>139.4</v>
      </c>
      <c r="I1725" s="15">
        <f t="shared" si="47"/>
        <v>0</v>
      </c>
    </row>
    <row r="1726" spans="1:9" x14ac:dyDescent="0.25">
      <c r="A1726" s="82">
        <v>42780</v>
      </c>
      <c r="B1726" s="39" t="s">
        <v>6001</v>
      </c>
      <c r="C1726" s="89"/>
      <c r="D1726" s="18">
        <v>101062</v>
      </c>
      <c r="E1726" s="2" t="s">
        <v>113</v>
      </c>
      <c r="F1726" s="15">
        <v>2956.4</v>
      </c>
      <c r="G1726" s="41">
        <v>42780</v>
      </c>
      <c r="H1726" s="15">
        <f t="shared" si="48"/>
        <v>2956.4</v>
      </c>
      <c r="I1726" s="15">
        <f t="shared" si="47"/>
        <v>0</v>
      </c>
    </row>
    <row r="1727" spans="1:9" x14ac:dyDescent="0.25">
      <c r="A1727" s="82">
        <v>42780</v>
      </c>
      <c r="B1727" s="39" t="s">
        <v>6002</v>
      </c>
      <c r="C1727" s="89"/>
      <c r="D1727" s="18">
        <v>101063</v>
      </c>
      <c r="E1727" s="2" t="s">
        <v>3219</v>
      </c>
      <c r="F1727" s="15">
        <v>60075</v>
      </c>
      <c r="G1727" s="41">
        <v>42781</v>
      </c>
      <c r="H1727" s="15">
        <f t="shared" si="48"/>
        <v>60075</v>
      </c>
      <c r="I1727" s="15">
        <f t="shared" si="47"/>
        <v>0</v>
      </c>
    </row>
    <row r="1728" spans="1:9" x14ac:dyDescent="0.25">
      <c r="A1728" s="82">
        <v>42780</v>
      </c>
      <c r="B1728" s="39" t="s">
        <v>6003</v>
      </c>
      <c r="C1728" s="89"/>
      <c r="D1728" s="18">
        <v>101064</v>
      </c>
      <c r="E1728" s="2" t="s">
        <v>930</v>
      </c>
      <c r="F1728" s="15">
        <v>8313.9</v>
      </c>
      <c r="G1728" s="41">
        <v>42780</v>
      </c>
      <c r="H1728" s="15">
        <f t="shared" si="48"/>
        <v>8313.9</v>
      </c>
      <c r="I1728" s="15">
        <f t="shared" si="47"/>
        <v>0</v>
      </c>
    </row>
    <row r="1729" spans="1:9" x14ac:dyDescent="0.25">
      <c r="A1729" s="82">
        <v>42780</v>
      </c>
      <c r="B1729" s="39" t="s">
        <v>6004</v>
      </c>
      <c r="C1729" s="89"/>
      <c r="D1729" s="18">
        <v>101065</v>
      </c>
      <c r="E1729" s="2" t="s">
        <v>321</v>
      </c>
      <c r="F1729" s="15">
        <v>561</v>
      </c>
      <c r="G1729" s="41">
        <v>42780</v>
      </c>
      <c r="H1729" s="15">
        <f t="shared" si="48"/>
        <v>561</v>
      </c>
      <c r="I1729" s="15">
        <f t="shared" si="47"/>
        <v>0</v>
      </c>
    </row>
    <row r="1730" spans="1:9" x14ac:dyDescent="0.25">
      <c r="A1730" s="82">
        <v>42780</v>
      </c>
      <c r="B1730" s="39" t="s">
        <v>6005</v>
      </c>
      <c r="C1730" s="89"/>
      <c r="D1730" s="18">
        <v>101066</v>
      </c>
      <c r="E1730" s="2" t="s">
        <v>302</v>
      </c>
      <c r="F1730" s="15">
        <v>13671</v>
      </c>
      <c r="G1730" s="41">
        <v>42780</v>
      </c>
      <c r="H1730" s="15">
        <f t="shared" si="48"/>
        <v>13671</v>
      </c>
      <c r="I1730" s="15">
        <f t="shared" si="47"/>
        <v>0</v>
      </c>
    </row>
    <row r="1731" spans="1:9" x14ac:dyDescent="0.25">
      <c r="A1731" s="82">
        <v>42780</v>
      </c>
      <c r="B1731" s="39" t="s">
        <v>6006</v>
      </c>
      <c r="C1731" s="89"/>
      <c r="D1731" s="18">
        <v>101067</v>
      </c>
      <c r="E1731" s="2" t="s">
        <v>139</v>
      </c>
      <c r="F1731" s="15">
        <v>1635.1</v>
      </c>
      <c r="G1731" s="41">
        <v>42780</v>
      </c>
      <c r="H1731" s="15">
        <f t="shared" si="48"/>
        <v>1635.1</v>
      </c>
      <c r="I1731" s="15">
        <f t="shared" si="47"/>
        <v>0</v>
      </c>
    </row>
    <row r="1732" spans="1:9" x14ac:dyDescent="0.25">
      <c r="A1732" s="82">
        <v>42780</v>
      </c>
      <c r="B1732" s="39" t="s">
        <v>6007</v>
      </c>
      <c r="C1732" s="89"/>
      <c r="D1732" s="18">
        <v>101068</v>
      </c>
      <c r="E1732" s="2" t="s">
        <v>182</v>
      </c>
      <c r="F1732" s="15">
        <v>2499</v>
      </c>
      <c r="G1732" s="41">
        <v>42780</v>
      </c>
      <c r="H1732" s="15">
        <f t="shared" si="48"/>
        <v>2499</v>
      </c>
      <c r="I1732" s="15">
        <f t="shared" si="47"/>
        <v>0</v>
      </c>
    </row>
    <row r="1733" spans="1:9" x14ac:dyDescent="0.25">
      <c r="A1733" s="82">
        <v>42780</v>
      </c>
      <c r="B1733" s="39" t="s">
        <v>6008</v>
      </c>
      <c r="C1733" s="89"/>
      <c r="D1733" s="18">
        <v>101069</v>
      </c>
      <c r="E1733" s="2" t="s">
        <v>335</v>
      </c>
      <c r="F1733" s="15">
        <v>1530</v>
      </c>
      <c r="G1733" s="41">
        <v>42789</v>
      </c>
      <c r="H1733" s="15">
        <f t="shared" si="48"/>
        <v>1530</v>
      </c>
      <c r="I1733" s="15">
        <f t="shared" si="47"/>
        <v>0</v>
      </c>
    </row>
    <row r="1734" spans="1:9" x14ac:dyDescent="0.25">
      <c r="A1734" s="82">
        <v>42780</v>
      </c>
      <c r="B1734" s="39" t="s">
        <v>6009</v>
      </c>
      <c r="C1734" s="89"/>
      <c r="D1734" s="18">
        <v>101070</v>
      </c>
      <c r="E1734" s="2" t="s">
        <v>476</v>
      </c>
      <c r="F1734" s="15">
        <v>5475</v>
      </c>
      <c r="G1734" s="41">
        <v>42781</v>
      </c>
      <c r="H1734" s="15">
        <f t="shared" si="48"/>
        <v>5475</v>
      </c>
      <c r="I1734" s="15">
        <f t="shared" si="47"/>
        <v>0</v>
      </c>
    </row>
    <row r="1735" spans="1:9" x14ac:dyDescent="0.25">
      <c r="A1735" s="82">
        <v>42780</v>
      </c>
      <c r="B1735" s="39" t="s">
        <v>6010</v>
      </c>
      <c r="C1735" s="89"/>
      <c r="D1735" s="18">
        <v>101071</v>
      </c>
      <c r="E1735" s="2" t="s">
        <v>305</v>
      </c>
      <c r="F1735" s="15">
        <v>4000.2</v>
      </c>
      <c r="G1735" s="41">
        <v>42787</v>
      </c>
      <c r="H1735" s="15">
        <f t="shared" si="48"/>
        <v>4000.2</v>
      </c>
      <c r="I1735" s="15">
        <f t="shared" si="47"/>
        <v>0</v>
      </c>
    </row>
    <row r="1736" spans="1:9" x14ac:dyDescent="0.25">
      <c r="A1736" s="82">
        <v>42780</v>
      </c>
      <c r="B1736" s="39" t="s">
        <v>6011</v>
      </c>
      <c r="C1736" s="89"/>
      <c r="D1736" s="18">
        <v>101072</v>
      </c>
      <c r="E1736" s="2" t="s">
        <v>125</v>
      </c>
      <c r="F1736" s="15">
        <v>6600.8</v>
      </c>
      <c r="G1736" s="41">
        <v>42780</v>
      </c>
      <c r="H1736" s="15">
        <f t="shared" si="48"/>
        <v>6600.8</v>
      </c>
      <c r="I1736" s="15">
        <f t="shared" si="47"/>
        <v>0</v>
      </c>
    </row>
    <row r="1737" spans="1:9" x14ac:dyDescent="0.25">
      <c r="A1737" s="82">
        <v>42780</v>
      </c>
      <c r="B1737" s="39" t="s">
        <v>6012</v>
      </c>
      <c r="C1737" s="89"/>
      <c r="D1737" s="18">
        <v>101073</v>
      </c>
      <c r="E1737" s="2" t="s">
        <v>122</v>
      </c>
      <c r="F1737" s="15">
        <v>4600</v>
      </c>
      <c r="G1737" s="41">
        <v>42783</v>
      </c>
      <c r="H1737" s="15">
        <f t="shared" si="48"/>
        <v>4600</v>
      </c>
      <c r="I1737" s="15">
        <f t="shared" si="47"/>
        <v>0</v>
      </c>
    </row>
    <row r="1738" spans="1:9" x14ac:dyDescent="0.25">
      <c r="A1738" s="82">
        <v>42780</v>
      </c>
      <c r="B1738" s="39" t="s">
        <v>6013</v>
      </c>
      <c r="C1738" s="89"/>
      <c r="D1738" s="18">
        <v>101074</v>
      </c>
      <c r="E1738" s="13" t="s">
        <v>2240</v>
      </c>
      <c r="F1738" s="14">
        <v>0</v>
      </c>
      <c r="G1738" s="88" t="s">
        <v>95</v>
      </c>
      <c r="H1738" s="14">
        <f t="shared" si="48"/>
        <v>0</v>
      </c>
      <c r="I1738" s="14">
        <f t="shared" si="47"/>
        <v>0</v>
      </c>
    </row>
    <row r="1739" spans="1:9" x14ac:dyDescent="0.25">
      <c r="A1739" s="82">
        <v>42780</v>
      </c>
      <c r="B1739" s="39" t="s">
        <v>6014</v>
      </c>
      <c r="C1739" s="89"/>
      <c r="D1739" s="18">
        <v>101075</v>
      </c>
      <c r="E1739" s="2" t="s">
        <v>2240</v>
      </c>
      <c r="F1739" s="15">
        <v>6567.4</v>
      </c>
      <c r="G1739" s="41">
        <v>42780</v>
      </c>
      <c r="H1739" s="15">
        <f t="shared" si="48"/>
        <v>6567.4</v>
      </c>
      <c r="I1739" s="15">
        <f t="shared" si="47"/>
        <v>0</v>
      </c>
    </row>
    <row r="1740" spans="1:9" x14ac:dyDescent="0.25">
      <c r="A1740" s="82">
        <v>42780</v>
      </c>
      <c r="B1740" s="39" t="s">
        <v>6015</v>
      </c>
      <c r="C1740" s="89"/>
      <c r="D1740" s="18">
        <v>101076</v>
      </c>
      <c r="E1740" s="2" t="s">
        <v>30</v>
      </c>
      <c r="F1740" s="15">
        <v>408</v>
      </c>
      <c r="G1740" s="41">
        <v>42780</v>
      </c>
      <c r="H1740" s="15">
        <f t="shared" si="48"/>
        <v>408</v>
      </c>
      <c r="I1740" s="15">
        <f t="shared" si="47"/>
        <v>0</v>
      </c>
    </row>
    <row r="1741" spans="1:9" x14ac:dyDescent="0.25">
      <c r="A1741" s="82">
        <v>42780</v>
      </c>
      <c r="B1741" s="39" t="s">
        <v>6016</v>
      </c>
      <c r="C1741" s="89"/>
      <c r="D1741" s="18">
        <v>101077</v>
      </c>
      <c r="E1741" s="2" t="s">
        <v>137</v>
      </c>
      <c r="F1741" s="15">
        <v>3084.4</v>
      </c>
      <c r="G1741" s="41">
        <v>42780</v>
      </c>
      <c r="H1741" s="15">
        <f t="shared" si="48"/>
        <v>3084.4</v>
      </c>
      <c r="I1741" s="15">
        <f t="shared" si="47"/>
        <v>0</v>
      </c>
    </row>
    <row r="1742" spans="1:9" x14ac:dyDescent="0.25">
      <c r="A1742" s="82">
        <v>42780</v>
      </c>
      <c r="B1742" s="39" t="s">
        <v>6017</v>
      </c>
      <c r="C1742" s="89"/>
      <c r="D1742" s="18">
        <v>101078</v>
      </c>
      <c r="E1742" s="2" t="s">
        <v>115</v>
      </c>
      <c r="F1742" s="15">
        <v>3479.45</v>
      </c>
      <c r="G1742" s="41">
        <v>42780</v>
      </c>
      <c r="H1742" s="15">
        <f t="shared" si="48"/>
        <v>3479.45</v>
      </c>
      <c r="I1742" s="15">
        <f t="shared" si="47"/>
        <v>0</v>
      </c>
    </row>
    <row r="1743" spans="1:9" x14ac:dyDescent="0.25">
      <c r="A1743" s="82">
        <v>42780</v>
      </c>
      <c r="B1743" s="39" t="s">
        <v>6018</v>
      </c>
      <c r="C1743" s="89"/>
      <c r="D1743" s="18">
        <v>101079</v>
      </c>
      <c r="E1743" s="2" t="s">
        <v>30</v>
      </c>
      <c r="F1743" s="15">
        <v>11896</v>
      </c>
      <c r="G1743" s="41">
        <v>42780</v>
      </c>
      <c r="H1743" s="15">
        <f t="shared" si="48"/>
        <v>11896</v>
      </c>
      <c r="I1743" s="15">
        <f t="shared" si="47"/>
        <v>0</v>
      </c>
    </row>
    <row r="1744" spans="1:9" x14ac:dyDescent="0.25">
      <c r="A1744" s="82">
        <v>42780</v>
      </c>
      <c r="B1744" s="39" t="s">
        <v>6019</v>
      </c>
      <c r="C1744" s="89"/>
      <c r="D1744" s="18">
        <v>101080</v>
      </c>
      <c r="E1744" s="2" t="s">
        <v>8</v>
      </c>
      <c r="F1744" s="15">
        <v>5594.4</v>
      </c>
      <c r="G1744" s="41">
        <v>42780</v>
      </c>
      <c r="H1744" s="15">
        <f t="shared" si="48"/>
        <v>5594.4</v>
      </c>
      <c r="I1744" s="15">
        <f t="shared" si="47"/>
        <v>0</v>
      </c>
    </row>
    <row r="1745" spans="1:9" x14ac:dyDescent="0.25">
      <c r="A1745" s="82">
        <v>42780</v>
      </c>
      <c r="B1745" s="39" t="s">
        <v>6020</v>
      </c>
      <c r="C1745" s="89"/>
      <c r="D1745" s="18">
        <v>101081</v>
      </c>
      <c r="E1745" s="2" t="s">
        <v>220</v>
      </c>
      <c r="F1745" s="15">
        <v>1965.6</v>
      </c>
      <c r="G1745" s="41">
        <v>42780</v>
      </c>
      <c r="H1745" s="15">
        <f t="shared" si="48"/>
        <v>1965.6</v>
      </c>
      <c r="I1745" s="15">
        <f t="shared" si="47"/>
        <v>0</v>
      </c>
    </row>
    <row r="1746" spans="1:9" x14ac:dyDescent="0.25">
      <c r="A1746" s="82">
        <v>42780</v>
      </c>
      <c r="B1746" s="39" t="s">
        <v>6021</v>
      </c>
      <c r="C1746" s="89"/>
      <c r="D1746" s="18">
        <v>101082</v>
      </c>
      <c r="E1746" s="2" t="s">
        <v>1325</v>
      </c>
      <c r="F1746" s="15">
        <v>3226</v>
      </c>
      <c r="G1746" s="41">
        <v>42780</v>
      </c>
      <c r="H1746" s="15">
        <f t="shared" si="48"/>
        <v>3226</v>
      </c>
      <c r="I1746" s="15">
        <f t="shared" si="47"/>
        <v>0</v>
      </c>
    </row>
    <row r="1747" spans="1:9" x14ac:dyDescent="0.25">
      <c r="A1747" s="82">
        <v>42780</v>
      </c>
      <c r="B1747" s="39" t="s">
        <v>6022</v>
      </c>
      <c r="C1747" s="89"/>
      <c r="D1747" s="18">
        <v>101083</v>
      </c>
      <c r="E1747" s="2" t="s">
        <v>205</v>
      </c>
      <c r="F1747" s="15">
        <v>168513.86</v>
      </c>
      <c r="G1747" s="41">
        <v>42802</v>
      </c>
      <c r="H1747" s="15">
        <f t="shared" si="48"/>
        <v>168513.86</v>
      </c>
      <c r="I1747" s="15">
        <f t="shared" si="47"/>
        <v>0</v>
      </c>
    </row>
    <row r="1748" spans="1:9" x14ac:dyDescent="0.25">
      <c r="A1748" s="82">
        <v>42780</v>
      </c>
      <c r="B1748" s="39" t="s">
        <v>6023</v>
      </c>
      <c r="C1748" s="89"/>
      <c r="D1748" s="18">
        <v>101084</v>
      </c>
      <c r="E1748" s="2" t="s">
        <v>10</v>
      </c>
      <c r="F1748" s="15">
        <v>95364</v>
      </c>
      <c r="G1748" s="41">
        <v>42783</v>
      </c>
      <c r="H1748" s="15">
        <f t="shared" si="48"/>
        <v>95364</v>
      </c>
      <c r="I1748" s="15">
        <f t="shared" si="47"/>
        <v>0</v>
      </c>
    </row>
    <row r="1749" spans="1:9" x14ac:dyDescent="0.25">
      <c r="A1749" s="82">
        <v>42780</v>
      </c>
      <c r="B1749" s="39" t="s">
        <v>6024</v>
      </c>
      <c r="C1749" s="89"/>
      <c r="D1749" s="18">
        <v>101085</v>
      </c>
      <c r="E1749" s="2" t="s">
        <v>10</v>
      </c>
      <c r="F1749" s="15">
        <v>2453</v>
      </c>
      <c r="G1749" s="41">
        <v>42783</v>
      </c>
      <c r="H1749" s="15">
        <f t="shared" si="48"/>
        <v>2453</v>
      </c>
      <c r="I1749" s="15">
        <f t="shared" si="47"/>
        <v>0</v>
      </c>
    </row>
    <row r="1750" spans="1:9" x14ac:dyDescent="0.25">
      <c r="A1750" s="82">
        <v>42780</v>
      </c>
      <c r="B1750" s="39" t="s">
        <v>6025</v>
      </c>
      <c r="C1750" s="89"/>
      <c r="D1750" s="18">
        <v>101086</v>
      </c>
      <c r="E1750" s="2" t="s">
        <v>921</v>
      </c>
      <c r="F1750" s="15">
        <v>4901.3999999999996</v>
      </c>
      <c r="G1750" s="41">
        <v>42780</v>
      </c>
      <c r="H1750" s="15">
        <f t="shared" si="48"/>
        <v>4901.3999999999996</v>
      </c>
      <c r="I1750" s="15">
        <f t="shared" si="47"/>
        <v>0</v>
      </c>
    </row>
    <row r="1751" spans="1:9" x14ac:dyDescent="0.25">
      <c r="A1751" s="82">
        <v>42780</v>
      </c>
      <c r="B1751" s="39" t="s">
        <v>6026</v>
      </c>
      <c r="C1751" s="89"/>
      <c r="D1751" s="18">
        <v>101087</v>
      </c>
      <c r="E1751" s="2" t="s">
        <v>10</v>
      </c>
      <c r="F1751" s="15">
        <v>200916</v>
      </c>
      <c r="G1751" s="41">
        <v>42783</v>
      </c>
      <c r="H1751" s="15">
        <f t="shared" si="48"/>
        <v>200916</v>
      </c>
      <c r="I1751" s="15">
        <f t="shared" si="47"/>
        <v>0</v>
      </c>
    </row>
    <row r="1752" spans="1:9" ht="30" x14ac:dyDescent="0.25">
      <c r="A1752" s="82">
        <v>42780</v>
      </c>
      <c r="B1752" s="39" t="s">
        <v>6027</v>
      </c>
      <c r="C1752" s="89"/>
      <c r="D1752" s="18">
        <v>101088</v>
      </c>
      <c r="E1752" s="2" t="s">
        <v>800</v>
      </c>
      <c r="F1752" s="15">
        <v>12975.98</v>
      </c>
      <c r="G1752" s="86" t="s">
        <v>6028</v>
      </c>
      <c r="H1752" s="100">
        <v>1344</v>
      </c>
      <c r="I1752" s="23">
        <f t="shared" si="47"/>
        <v>11631.98</v>
      </c>
    </row>
    <row r="1753" spans="1:9" x14ac:dyDescent="0.25">
      <c r="A1753" s="82">
        <v>42780</v>
      </c>
      <c r="B1753" s="39" t="s">
        <v>6029</v>
      </c>
      <c r="C1753" s="89"/>
      <c r="D1753" s="18">
        <v>101089</v>
      </c>
      <c r="E1753" s="2" t="s">
        <v>5219</v>
      </c>
      <c r="F1753" s="15">
        <v>2841.2</v>
      </c>
      <c r="G1753" s="41">
        <v>42780</v>
      </c>
      <c r="H1753" s="15">
        <f t="shared" si="48"/>
        <v>2841.2</v>
      </c>
      <c r="I1753" s="15">
        <f t="shared" si="47"/>
        <v>0</v>
      </c>
    </row>
    <row r="1754" spans="1:9" x14ac:dyDescent="0.25">
      <c r="A1754" s="82">
        <v>42780</v>
      </c>
      <c r="B1754" s="39" t="s">
        <v>6030</v>
      </c>
      <c r="C1754" s="89"/>
      <c r="D1754" s="18">
        <v>101090</v>
      </c>
      <c r="E1754" s="2" t="s">
        <v>211</v>
      </c>
      <c r="F1754" s="15">
        <v>8530.6</v>
      </c>
      <c r="G1754" s="41">
        <v>42780</v>
      </c>
      <c r="H1754" s="15">
        <f t="shared" si="48"/>
        <v>8530.6</v>
      </c>
      <c r="I1754" s="15">
        <f t="shared" si="47"/>
        <v>0</v>
      </c>
    </row>
    <row r="1755" spans="1:9" x14ac:dyDescent="0.25">
      <c r="A1755" s="82">
        <v>42780</v>
      </c>
      <c r="B1755" s="39" t="s">
        <v>6031</v>
      </c>
      <c r="C1755" s="89"/>
      <c r="D1755" s="18">
        <v>101091</v>
      </c>
      <c r="E1755" s="2" t="s">
        <v>10</v>
      </c>
      <c r="F1755" s="15">
        <v>152814.78</v>
      </c>
      <c r="G1755" s="41">
        <v>42783</v>
      </c>
      <c r="H1755" s="15">
        <f>67187.35+85627.43</f>
        <v>152814.78</v>
      </c>
      <c r="I1755" s="15">
        <f t="shared" si="47"/>
        <v>0</v>
      </c>
    </row>
    <row r="1756" spans="1:9" x14ac:dyDescent="0.25">
      <c r="A1756" s="82">
        <v>42780</v>
      </c>
      <c r="B1756" s="39" t="s">
        <v>6032</v>
      </c>
      <c r="C1756" s="89"/>
      <c r="D1756" s="18">
        <v>101092</v>
      </c>
      <c r="E1756" s="2" t="s">
        <v>2552</v>
      </c>
      <c r="F1756" s="15">
        <v>14170.02</v>
      </c>
      <c r="G1756" s="41">
        <v>42780</v>
      </c>
      <c r="H1756" s="15">
        <f t="shared" si="48"/>
        <v>14170.02</v>
      </c>
      <c r="I1756" s="15">
        <f t="shared" si="47"/>
        <v>0</v>
      </c>
    </row>
    <row r="1757" spans="1:9" x14ac:dyDescent="0.25">
      <c r="A1757" s="82">
        <v>42781</v>
      </c>
      <c r="B1757" s="39" t="s">
        <v>6033</v>
      </c>
      <c r="C1757" s="89"/>
      <c r="D1757" s="18">
        <v>101093</v>
      </c>
      <c r="E1757" s="2" t="s">
        <v>231</v>
      </c>
      <c r="F1757" s="15">
        <v>6070.4</v>
      </c>
      <c r="G1757" s="41">
        <v>42782</v>
      </c>
      <c r="H1757" s="15">
        <f t="shared" si="48"/>
        <v>6070.4</v>
      </c>
      <c r="I1757" s="15">
        <f t="shared" si="47"/>
        <v>0</v>
      </c>
    </row>
    <row r="1758" spans="1:9" x14ac:dyDescent="0.25">
      <c r="A1758" s="82">
        <v>42781</v>
      </c>
      <c r="B1758" s="39" t="s">
        <v>6034</v>
      </c>
      <c r="C1758" s="89"/>
      <c r="D1758" s="18">
        <v>101094</v>
      </c>
      <c r="E1758" s="2" t="s">
        <v>231</v>
      </c>
      <c r="F1758" s="15">
        <v>20967.599999999999</v>
      </c>
      <c r="G1758" s="41">
        <v>42782</v>
      </c>
      <c r="H1758" s="15">
        <f t="shared" si="48"/>
        <v>20967.599999999999</v>
      </c>
      <c r="I1758" s="15">
        <f t="shared" si="47"/>
        <v>0</v>
      </c>
    </row>
    <row r="1759" spans="1:9" x14ac:dyDescent="0.25">
      <c r="A1759" s="82">
        <v>42781</v>
      </c>
      <c r="B1759" s="39" t="s">
        <v>6035</v>
      </c>
      <c r="C1759" s="89"/>
      <c r="D1759" s="18">
        <v>101095</v>
      </c>
      <c r="E1759" s="2" t="s">
        <v>26</v>
      </c>
      <c r="F1759" s="15">
        <v>21543.599999999999</v>
      </c>
      <c r="G1759" s="41">
        <v>42781</v>
      </c>
      <c r="H1759" s="15">
        <f t="shared" si="48"/>
        <v>21543.599999999999</v>
      </c>
      <c r="I1759" s="15">
        <f t="shared" si="47"/>
        <v>0</v>
      </c>
    </row>
    <row r="1760" spans="1:9" x14ac:dyDescent="0.25">
      <c r="A1760" s="82">
        <v>42781</v>
      </c>
      <c r="B1760" s="39" t="s">
        <v>6036</v>
      </c>
      <c r="C1760" s="89"/>
      <c r="D1760" s="18">
        <v>101096</v>
      </c>
      <c r="E1760" s="2" t="s">
        <v>28</v>
      </c>
      <c r="F1760" s="15">
        <v>5103</v>
      </c>
      <c r="G1760" s="41">
        <v>42781</v>
      </c>
      <c r="H1760" s="15">
        <f t="shared" si="48"/>
        <v>5103</v>
      </c>
      <c r="I1760" s="15">
        <f t="shared" si="47"/>
        <v>0</v>
      </c>
    </row>
    <row r="1761" spans="1:9" x14ac:dyDescent="0.25">
      <c r="A1761" s="82">
        <v>42781</v>
      </c>
      <c r="B1761" s="39" t="s">
        <v>6037</v>
      </c>
      <c r="C1761" s="89"/>
      <c r="D1761" s="18">
        <v>101097</v>
      </c>
      <c r="E1761" s="2" t="s">
        <v>17</v>
      </c>
      <c r="F1761" s="15">
        <v>2450</v>
      </c>
      <c r="G1761" s="41">
        <v>42781</v>
      </c>
      <c r="H1761" s="15">
        <f t="shared" si="48"/>
        <v>2450</v>
      </c>
      <c r="I1761" s="15">
        <f t="shared" si="47"/>
        <v>0</v>
      </c>
    </row>
    <row r="1762" spans="1:9" x14ac:dyDescent="0.25">
      <c r="A1762" s="82">
        <v>42781</v>
      </c>
      <c r="B1762" s="39" t="s">
        <v>6038</v>
      </c>
      <c r="C1762" s="89"/>
      <c r="D1762" s="18">
        <v>101098</v>
      </c>
      <c r="E1762" s="2" t="s">
        <v>544</v>
      </c>
      <c r="F1762" s="15">
        <v>4483.6000000000004</v>
      </c>
      <c r="G1762" s="41">
        <v>42781</v>
      </c>
      <c r="H1762" s="15">
        <f t="shared" si="48"/>
        <v>4483.6000000000004</v>
      </c>
      <c r="I1762" s="15">
        <f t="shared" si="47"/>
        <v>0</v>
      </c>
    </row>
    <row r="1763" spans="1:9" x14ac:dyDescent="0.25">
      <c r="A1763" s="82">
        <v>42781</v>
      </c>
      <c r="B1763" s="39" t="s">
        <v>6039</v>
      </c>
      <c r="C1763" s="89"/>
      <c r="D1763" s="18">
        <v>101099</v>
      </c>
      <c r="E1763" s="2" t="s">
        <v>266</v>
      </c>
      <c r="F1763" s="15">
        <v>11655.2</v>
      </c>
      <c r="G1763" s="41">
        <v>42781</v>
      </c>
      <c r="H1763" s="15">
        <f t="shared" si="48"/>
        <v>11655.2</v>
      </c>
      <c r="I1763" s="15">
        <f t="shared" si="47"/>
        <v>0</v>
      </c>
    </row>
    <row r="1764" spans="1:9" x14ac:dyDescent="0.25">
      <c r="A1764" s="82">
        <v>42781</v>
      </c>
      <c r="B1764" s="39" t="s">
        <v>6040</v>
      </c>
      <c r="C1764" s="89"/>
      <c r="D1764" s="18">
        <v>101100</v>
      </c>
      <c r="E1764" s="2" t="s">
        <v>30</v>
      </c>
      <c r="F1764" s="15">
        <v>2204</v>
      </c>
      <c r="G1764" s="41">
        <v>42781</v>
      </c>
      <c r="H1764" s="15">
        <f t="shared" si="48"/>
        <v>2204</v>
      </c>
      <c r="I1764" s="15">
        <f t="shared" si="47"/>
        <v>0</v>
      </c>
    </row>
    <row r="1765" spans="1:9" x14ac:dyDescent="0.25">
      <c r="A1765" s="82">
        <v>42781</v>
      </c>
      <c r="B1765" s="39" t="s">
        <v>6041</v>
      </c>
      <c r="C1765" s="89"/>
      <c r="D1765" s="18">
        <v>101101</v>
      </c>
      <c r="E1765" s="2" t="s">
        <v>974</v>
      </c>
      <c r="F1765" s="15">
        <v>10520.8</v>
      </c>
      <c r="G1765" s="41">
        <v>42781</v>
      </c>
      <c r="H1765" s="15">
        <f t="shared" si="48"/>
        <v>10520.8</v>
      </c>
      <c r="I1765" s="15">
        <f t="shared" si="47"/>
        <v>0</v>
      </c>
    </row>
    <row r="1766" spans="1:9" x14ac:dyDescent="0.25">
      <c r="A1766" s="82">
        <v>42781</v>
      </c>
      <c r="B1766" s="39" t="s">
        <v>6042</v>
      </c>
      <c r="C1766" s="89"/>
      <c r="D1766" s="18">
        <v>101102</v>
      </c>
      <c r="E1766" s="2" t="s">
        <v>10</v>
      </c>
      <c r="F1766" s="15">
        <v>843.6</v>
      </c>
      <c r="G1766" s="41">
        <v>42784</v>
      </c>
      <c r="H1766" s="15">
        <f t="shared" si="48"/>
        <v>843.6</v>
      </c>
      <c r="I1766" s="15">
        <f t="shared" si="47"/>
        <v>0</v>
      </c>
    </row>
    <row r="1767" spans="1:9" ht="30" x14ac:dyDescent="0.25">
      <c r="A1767" s="82">
        <v>42781</v>
      </c>
      <c r="B1767" s="95" t="s">
        <v>6043</v>
      </c>
      <c r="C1767" s="96"/>
      <c r="D1767" s="54">
        <v>101103</v>
      </c>
      <c r="E1767" s="55" t="s">
        <v>21</v>
      </c>
      <c r="F1767" s="56">
        <v>51048</v>
      </c>
      <c r="G1767" s="87" t="s">
        <v>7754</v>
      </c>
      <c r="H1767" s="97">
        <f>48651.4+2396.6</f>
        <v>51048</v>
      </c>
      <c r="I1767" s="97">
        <f t="shared" si="47"/>
        <v>0</v>
      </c>
    </row>
    <row r="1768" spans="1:9" x14ac:dyDescent="0.25">
      <c r="A1768" s="82">
        <v>42781</v>
      </c>
      <c r="B1768" s="39" t="s">
        <v>6044</v>
      </c>
      <c r="C1768" s="89"/>
      <c r="D1768" s="18">
        <v>101104</v>
      </c>
      <c r="E1768" s="2" t="s">
        <v>67</v>
      </c>
      <c r="F1768" s="15">
        <v>11481.3</v>
      </c>
      <c r="G1768" s="41">
        <v>42784</v>
      </c>
      <c r="H1768" s="15">
        <f t="shared" si="48"/>
        <v>11481.3</v>
      </c>
      <c r="I1768" s="15">
        <f t="shared" si="47"/>
        <v>0</v>
      </c>
    </row>
    <row r="1769" spans="1:9" x14ac:dyDescent="0.25">
      <c r="A1769" s="82">
        <v>42781</v>
      </c>
      <c r="B1769" s="39" t="s">
        <v>6045</v>
      </c>
      <c r="C1769" s="89"/>
      <c r="D1769" s="18">
        <v>101105</v>
      </c>
      <c r="E1769" s="2" t="s">
        <v>253</v>
      </c>
      <c r="F1769" s="15">
        <v>7443.2</v>
      </c>
      <c r="G1769" s="41">
        <v>42784</v>
      </c>
      <c r="H1769" s="15">
        <f t="shared" si="48"/>
        <v>7443.2</v>
      </c>
      <c r="I1769" s="15">
        <f t="shared" si="47"/>
        <v>0</v>
      </c>
    </row>
    <row r="1770" spans="1:9" x14ac:dyDescent="0.25">
      <c r="A1770" s="82">
        <v>42781</v>
      </c>
      <c r="B1770" s="39" t="s">
        <v>6046</v>
      </c>
      <c r="C1770" s="89"/>
      <c r="D1770" s="18">
        <v>101106</v>
      </c>
      <c r="E1770" s="2" t="s">
        <v>51</v>
      </c>
      <c r="F1770" s="15">
        <v>3678</v>
      </c>
      <c r="G1770" s="41">
        <v>42783</v>
      </c>
      <c r="H1770" s="15">
        <f t="shared" si="48"/>
        <v>3678</v>
      </c>
      <c r="I1770" s="15">
        <f t="shared" si="47"/>
        <v>0</v>
      </c>
    </row>
    <row r="1771" spans="1:9" x14ac:dyDescent="0.25">
      <c r="A1771" s="82">
        <v>42781</v>
      </c>
      <c r="B1771" s="39" t="s">
        <v>6047</v>
      </c>
      <c r="C1771" s="89"/>
      <c r="D1771" s="18">
        <v>101107</v>
      </c>
      <c r="E1771" s="2" t="s">
        <v>49</v>
      </c>
      <c r="F1771" s="15">
        <v>10818.8</v>
      </c>
      <c r="G1771" s="41">
        <v>42784</v>
      </c>
      <c r="H1771" s="15">
        <f t="shared" si="48"/>
        <v>10818.8</v>
      </c>
      <c r="I1771" s="15">
        <f t="shared" si="47"/>
        <v>0</v>
      </c>
    </row>
    <row r="1772" spans="1:9" x14ac:dyDescent="0.25">
      <c r="A1772" s="82">
        <v>42781</v>
      </c>
      <c r="B1772" s="39" t="s">
        <v>6048</v>
      </c>
      <c r="C1772" s="89"/>
      <c r="D1772" s="18">
        <v>101108</v>
      </c>
      <c r="E1772" s="2" t="s">
        <v>250</v>
      </c>
      <c r="F1772" s="15">
        <v>6211</v>
      </c>
      <c r="G1772" s="41">
        <v>42782</v>
      </c>
      <c r="H1772" s="15">
        <f t="shared" si="48"/>
        <v>6211</v>
      </c>
      <c r="I1772" s="15">
        <f t="shared" si="47"/>
        <v>0</v>
      </c>
    </row>
    <row r="1773" spans="1:9" x14ac:dyDescent="0.25">
      <c r="A1773" s="82">
        <v>42781</v>
      </c>
      <c r="B1773" s="39" t="s">
        <v>6049</v>
      </c>
      <c r="C1773" s="89"/>
      <c r="D1773" s="18">
        <v>101109</v>
      </c>
      <c r="E1773" s="2" t="s">
        <v>32</v>
      </c>
      <c r="F1773" s="15">
        <v>6412.5</v>
      </c>
      <c r="G1773" s="41">
        <v>42786</v>
      </c>
      <c r="H1773" s="15">
        <f t="shared" si="48"/>
        <v>6412.5</v>
      </c>
      <c r="I1773" s="15">
        <f t="shared" si="47"/>
        <v>0</v>
      </c>
    </row>
    <row r="1774" spans="1:9" ht="30" x14ac:dyDescent="0.25">
      <c r="A1774" s="82">
        <v>42781</v>
      </c>
      <c r="B1774" s="39" t="s">
        <v>6050</v>
      </c>
      <c r="C1774" s="89"/>
      <c r="D1774" s="18">
        <v>101110</v>
      </c>
      <c r="E1774" s="2" t="s">
        <v>38</v>
      </c>
      <c r="F1774" s="15">
        <v>2947.5</v>
      </c>
      <c r="G1774" s="87" t="s">
        <v>6051</v>
      </c>
      <c r="H1774" s="20">
        <f>1500+1447.5</f>
        <v>2947.5</v>
      </c>
      <c r="I1774" s="20">
        <f t="shared" si="47"/>
        <v>0</v>
      </c>
    </row>
    <row r="1775" spans="1:9" x14ac:dyDescent="0.25">
      <c r="A1775" s="82">
        <v>42781</v>
      </c>
      <c r="B1775" s="39" t="s">
        <v>6052</v>
      </c>
      <c r="C1775" s="89"/>
      <c r="D1775" s="18">
        <v>101111</v>
      </c>
      <c r="E1775" s="2" t="s">
        <v>35</v>
      </c>
      <c r="F1775" s="15">
        <v>9445</v>
      </c>
      <c r="G1775" s="41">
        <v>42783</v>
      </c>
      <c r="H1775" s="15">
        <f t="shared" si="48"/>
        <v>9445</v>
      </c>
      <c r="I1775" s="15">
        <f t="shared" si="47"/>
        <v>0</v>
      </c>
    </row>
    <row r="1776" spans="1:9" x14ac:dyDescent="0.25">
      <c r="A1776" s="82">
        <v>42781</v>
      </c>
      <c r="B1776" s="39" t="s">
        <v>6053</v>
      </c>
      <c r="C1776" s="89"/>
      <c r="D1776" s="18">
        <v>101112</v>
      </c>
      <c r="E1776" s="2" t="s">
        <v>55</v>
      </c>
      <c r="F1776" s="15">
        <v>4213.6000000000004</v>
      </c>
      <c r="G1776" s="41">
        <v>42781</v>
      </c>
      <c r="H1776" s="15">
        <f t="shared" si="48"/>
        <v>4213.6000000000004</v>
      </c>
      <c r="I1776" s="15">
        <f t="shared" si="47"/>
        <v>0</v>
      </c>
    </row>
    <row r="1777" spans="1:9" x14ac:dyDescent="0.25">
      <c r="A1777" s="82">
        <v>42781</v>
      </c>
      <c r="B1777" s="39" t="s">
        <v>6054</v>
      </c>
      <c r="C1777" s="89"/>
      <c r="D1777" s="18">
        <v>101113</v>
      </c>
      <c r="E1777" s="2" t="s">
        <v>6055</v>
      </c>
      <c r="F1777" s="15">
        <v>10585.7</v>
      </c>
      <c r="G1777" s="41">
        <v>42781</v>
      </c>
      <c r="H1777" s="15">
        <f t="shared" si="48"/>
        <v>10585.7</v>
      </c>
      <c r="I1777" s="15">
        <f t="shared" si="47"/>
        <v>0</v>
      </c>
    </row>
    <row r="1778" spans="1:9" x14ac:dyDescent="0.25">
      <c r="A1778" s="82">
        <v>42781</v>
      </c>
      <c r="B1778" s="39" t="s">
        <v>6056</v>
      </c>
      <c r="C1778" s="89"/>
      <c r="D1778" s="18">
        <v>101114</v>
      </c>
      <c r="E1778" s="2" t="s">
        <v>19</v>
      </c>
      <c r="F1778" s="15">
        <v>989.8</v>
      </c>
      <c r="G1778" s="41">
        <v>42781</v>
      </c>
      <c r="H1778" s="15">
        <f t="shared" si="48"/>
        <v>989.8</v>
      </c>
      <c r="I1778" s="15">
        <f t="shared" si="47"/>
        <v>0</v>
      </c>
    </row>
    <row r="1779" spans="1:9" x14ac:dyDescent="0.25">
      <c r="A1779" s="82">
        <v>42781</v>
      </c>
      <c r="B1779" s="39" t="s">
        <v>6057</v>
      </c>
      <c r="C1779" s="89"/>
      <c r="D1779" s="18">
        <v>101115</v>
      </c>
      <c r="E1779" s="2" t="s">
        <v>71</v>
      </c>
      <c r="F1779" s="15">
        <v>1879.5</v>
      </c>
      <c r="G1779" s="41">
        <v>42781</v>
      </c>
      <c r="H1779" s="15">
        <f t="shared" si="48"/>
        <v>1879.5</v>
      </c>
      <c r="I1779" s="15">
        <f t="shared" si="47"/>
        <v>0</v>
      </c>
    </row>
    <row r="1780" spans="1:9" x14ac:dyDescent="0.25">
      <c r="A1780" s="82">
        <v>42781</v>
      </c>
      <c r="B1780" s="39" t="s">
        <v>6058</v>
      </c>
      <c r="C1780" s="89"/>
      <c r="D1780" s="18">
        <v>101116</v>
      </c>
      <c r="E1780" s="2" t="s">
        <v>47</v>
      </c>
      <c r="F1780" s="15">
        <v>3831.9</v>
      </c>
      <c r="G1780" s="41">
        <v>42781</v>
      </c>
      <c r="H1780" s="15">
        <f t="shared" si="48"/>
        <v>3831.9</v>
      </c>
      <c r="I1780" s="15">
        <f t="shared" si="47"/>
        <v>0</v>
      </c>
    </row>
    <row r="1781" spans="1:9" x14ac:dyDescent="0.25">
      <c r="A1781" s="82">
        <v>42781</v>
      </c>
      <c r="B1781" s="39" t="s">
        <v>6059</v>
      </c>
      <c r="C1781" s="89"/>
      <c r="D1781" s="18">
        <v>101117</v>
      </c>
      <c r="E1781" s="2" t="s">
        <v>428</v>
      </c>
      <c r="F1781" s="15">
        <v>1505</v>
      </c>
      <c r="G1781" s="41">
        <v>42781</v>
      </c>
      <c r="H1781" s="15">
        <f t="shared" si="48"/>
        <v>1505</v>
      </c>
      <c r="I1781" s="15">
        <f t="shared" si="47"/>
        <v>0</v>
      </c>
    </row>
    <row r="1782" spans="1:9" x14ac:dyDescent="0.25">
      <c r="A1782" s="82">
        <v>42781</v>
      </c>
      <c r="B1782" s="39" t="s">
        <v>6060</v>
      </c>
      <c r="C1782" s="89"/>
      <c r="D1782" s="18">
        <v>101118</v>
      </c>
      <c r="E1782" s="2" t="s">
        <v>157</v>
      </c>
      <c r="F1782" s="15">
        <v>14198.1</v>
      </c>
      <c r="G1782" s="41">
        <v>42781</v>
      </c>
      <c r="H1782" s="15">
        <f t="shared" si="48"/>
        <v>14198.1</v>
      </c>
      <c r="I1782" s="15">
        <f t="shared" si="47"/>
        <v>0</v>
      </c>
    </row>
    <row r="1783" spans="1:9" x14ac:dyDescent="0.25">
      <c r="A1783" s="82">
        <v>42781</v>
      </c>
      <c r="B1783" s="39" t="s">
        <v>6061</v>
      </c>
      <c r="C1783" s="89"/>
      <c r="D1783" s="18">
        <v>101119</v>
      </c>
      <c r="E1783" s="2" t="s">
        <v>30</v>
      </c>
      <c r="F1783" s="15">
        <v>830</v>
      </c>
      <c r="G1783" s="41">
        <v>42781</v>
      </c>
      <c r="H1783" s="15">
        <f t="shared" si="48"/>
        <v>830</v>
      </c>
      <c r="I1783" s="15">
        <f t="shared" si="47"/>
        <v>0</v>
      </c>
    </row>
    <row r="1784" spans="1:9" x14ac:dyDescent="0.25">
      <c r="A1784" s="82">
        <v>42781</v>
      </c>
      <c r="B1784" s="39" t="s">
        <v>6062</v>
      </c>
      <c r="C1784" s="89"/>
      <c r="D1784" s="18">
        <v>101120</v>
      </c>
      <c r="E1784" s="2" t="s">
        <v>268</v>
      </c>
      <c r="F1784" s="15">
        <v>16872</v>
      </c>
      <c r="G1784" s="41">
        <v>42783</v>
      </c>
      <c r="H1784" s="15">
        <f t="shared" si="48"/>
        <v>16872</v>
      </c>
      <c r="I1784" s="15">
        <f t="shared" ref="I1784:I1847" si="49">F1784-H1784</f>
        <v>0</v>
      </c>
    </row>
    <row r="1785" spans="1:9" x14ac:dyDescent="0.25">
      <c r="A1785" s="82">
        <v>42781</v>
      </c>
      <c r="B1785" s="39" t="s">
        <v>6063</v>
      </c>
      <c r="C1785" s="89"/>
      <c r="D1785" s="18">
        <v>101121</v>
      </c>
      <c r="E1785" s="2" t="s">
        <v>432</v>
      </c>
      <c r="F1785" s="15">
        <v>16490.900000000001</v>
      </c>
      <c r="G1785" s="41">
        <v>42783</v>
      </c>
      <c r="H1785" s="15">
        <f t="shared" si="48"/>
        <v>16490.900000000001</v>
      </c>
      <c r="I1785" s="15">
        <f t="shared" si="49"/>
        <v>0</v>
      </c>
    </row>
    <row r="1786" spans="1:9" x14ac:dyDescent="0.25">
      <c r="A1786" s="82">
        <v>42781</v>
      </c>
      <c r="B1786" s="39" t="s">
        <v>6064</v>
      </c>
      <c r="C1786" s="89"/>
      <c r="D1786" s="18">
        <v>101122</v>
      </c>
      <c r="E1786" s="2" t="s">
        <v>435</v>
      </c>
      <c r="F1786" s="15">
        <v>3600.1</v>
      </c>
      <c r="G1786" s="41">
        <v>42788</v>
      </c>
      <c r="H1786" s="15">
        <f t="shared" si="48"/>
        <v>3600.1</v>
      </c>
      <c r="I1786" s="15">
        <f t="shared" si="49"/>
        <v>0</v>
      </c>
    </row>
    <row r="1787" spans="1:9" x14ac:dyDescent="0.25">
      <c r="A1787" s="82">
        <v>42781</v>
      </c>
      <c r="B1787" s="39" t="s">
        <v>6065</v>
      </c>
      <c r="C1787" s="89"/>
      <c r="D1787" s="18">
        <v>101123</v>
      </c>
      <c r="E1787" s="2" t="s">
        <v>272</v>
      </c>
      <c r="F1787" s="15">
        <v>3348.5</v>
      </c>
      <c r="G1787" s="41">
        <v>42788</v>
      </c>
      <c r="H1787" s="15">
        <f t="shared" si="48"/>
        <v>3348.5</v>
      </c>
      <c r="I1787" s="15">
        <f t="shared" si="49"/>
        <v>0</v>
      </c>
    </row>
    <row r="1788" spans="1:9" x14ac:dyDescent="0.25">
      <c r="A1788" s="82">
        <v>42781</v>
      </c>
      <c r="B1788" s="39" t="s">
        <v>6066</v>
      </c>
      <c r="C1788" s="89"/>
      <c r="D1788" s="18">
        <v>101124</v>
      </c>
      <c r="E1788" s="2" t="s">
        <v>274</v>
      </c>
      <c r="F1788" s="15">
        <v>7957.5</v>
      </c>
      <c r="G1788" s="41">
        <v>42783</v>
      </c>
      <c r="H1788" s="15">
        <f t="shared" si="48"/>
        <v>7957.5</v>
      </c>
      <c r="I1788" s="15">
        <f t="shared" si="49"/>
        <v>0</v>
      </c>
    </row>
    <row r="1789" spans="1:9" x14ac:dyDescent="0.25">
      <c r="A1789" s="82">
        <v>42781</v>
      </c>
      <c r="B1789" s="39" t="s">
        <v>6067</v>
      </c>
      <c r="C1789" s="89"/>
      <c r="D1789" s="18">
        <v>101125</v>
      </c>
      <c r="E1789" s="2" t="s">
        <v>270</v>
      </c>
      <c r="F1789" s="15">
        <v>1290.5999999999999</v>
      </c>
      <c r="G1789" s="41">
        <v>42783</v>
      </c>
      <c r="H1789" s="15">
        <f t="shared" ref="H1789:H1852" si="50">F1789</f>
        <v>1290.5999999999999</v>
      </c>
      <c r="I1789" s="15">
        <f t="shared" si="49"/>
        <v>0</v>
      </c>
    </row>
    <row r="1790" spans="1:9" x14ac:dyDescent="0.25">
      <c r="A1790" s="82">
        <v>42781</v>
      </c>
      <c r="B1790" s="39" t="s">
        <v>6068</v>
      </c>
      <c r="C1790" s="89"/>
      <c r="D1790" s="18">
        <v>101126</v>
      </c>
      <c r="E1790" s="2" t="s">
        <v>81</v>
      </c>
      <c r="F1790" s="15">
        <v>10533.5</v>
      </c>
      <c r="G1790" s="41">
        <v>42781</v>
      </c>
      <c r="H1790" s="15">
        <f t="shared" si="50"/>
        <v>10533.5</v>
      </c>
      <c r="I1790" s="15">
        <f t="shared" si="49"/>
        <v>0</v>
      </c>
    </row>
    <row r="1791" spans="1:9" x14ac:dyDescent="0.25">
      <c r="A1791" s="82">
        <v>42781</v>
      </c>
      <c r="B1791" s="39" t="s">
        <v>6069</v>
      </c>
      <c r="C1791" s="89"/>
      <c r="D1791" s="18">
        <v>101127</v>
      </c>
      <c r="E1791" s="2" t="s">
        <v>1090</v>
      </c>
      <c r="F1791" s="15">
        <v>6771.3</v>
      </c>
      <c r="G1791" s="41">
        <v>42781</v>
      </c>
      <c r="H1791" s="15">
        <f t="shared" si="50"/>
        <v>6771.3</v>
      </c>
      <c r="I1791" s="15">
        <f t="shared" si="49"/>
        <v>0</v>
      </c>
    </row>
    <row r="1792" spans="1:9" x14ac:dyDescent="0.25">
      <c r="A1792" s="82">
        <v>42781</v>
      </c>
      <c r="B1792" s="39" t="s">
        <v>6070</v>
      </c>
      <c r="C1792" s="89"/>
      <c r="D1792" s="18">
        <v>101128</v>
      </c>
      <c r="E1792" s="2" t="s">
        <v>79</v>
      </c>
      <c r="F1792" s="15">
        <v>2485</v>
      </c>
      <c r="G1792" s="41">
        <v>42781</v>
      </c>
      <c r="H1792" s="15">
        <f t="shared" si="50"/>
        <v>2485</v>
      </c>
      <c r="I1792" s="15">
        <f t="shared" si="49"/>
        <v>0</v>
      </c>
    </row>
    <row r="1793" spans="1:10" x14ac:dyDescent="0.25">
      <c r="A1793" s="82">
        <v>42781</v>
      </c>
      <c r="B1793" s="39" t="s">
        <v>6071</v>
      </c>
      <c r="C1793" s="89"/>
      <c r="D1793" s="18">
        <v>101129</v>
      </c>
      <c r="E1793" s="2" t="s">
        <v>302</v>
      </c>
      <c r="F1793" s="15">
        <v>11909.3</v>
      </c>
      <c r="G1793" s="41">
        <v>42781</v>
      </c>
      <c r="H1793" s="15">
        <f t="shared" si="50"/>
        <v>11909.3</v>
      </c>
      <c r="I1793" s="15">
        <f t="shared" si="49"/>
        <v>0</v>
      </c>
    </row>
    <row r="1794" spans="1:10" x14ac:dyDescent="0.25">
      <c r="A1794" s="82">
        <v>42781</v>
      </c>
      <c r="B1794" s="39" t="s">
        <v>6072</v>
      </c>
      <c r="C1794" s="89"/>
      <c r="D1794" s="18">
        <v>101130</v>
      </c>
      <c r="E1794" s="2" t="s">
        <v>590</v>
      </c>
      <c r="F1794" s="15">
        <v>4403</v>
      </c>
      <c r="G1794" s="41">
        <v>42783</v>
      </c>
      <c r="H1794" s="15">
        <f t="shared" si="50"/>
        <v>4403</v>
      </c>
      <c r="I1794" s="15">
        <f t="shared" si="49"/>
        <v>0</v>
      </c>
    </row>
    <row r="1795" spans="1:10" x14ac:dyDescent="0.25">
      <c r="A1795" s="82">
        <v>42781</v>
      </c>
      <c r="B1795" s="39" t="s">
        <v>6073</v>
      </c>
      <c r="C1795" s="89"/>
      <c r="D1795" s="18">
        <v>101131</v>
      </c>
      <c r="E1795" s="2" t="s">
        <v>281</v>
      </c>
      <c r="F1795" s="15">
        <v>1619.2</v>
      </c>
      <c r="G1795" s="41">
        <v>42781</v>
      </c>
      <c r="H1795" s="15">
        <f t="shared" si="50"/>
        <v>1619.2</v>
      </c>
      <c r="I1795" s="15">
        <f t="shared" si="49"/>
        <v>0</v>
      </c>
    </row>
    <row r="1796" spans="1:10" x14ac:dyDescent="0.25">
      <c r="A1796" s="82">
        <v>42781</v>
      </c>
      <c r="B1796" s="39" t="s">
        <v>6074</v>
      </c>
      <c r="C1796" s="89"/>
      <c r="D1796" s="18">
        <v>101132</v>
      </c>
      <c r="E1796" s="2" t="s">
        <v>4367</v>
      </c>
      <c r="F1796" s="15">
        <v>1374.4</v>
      </c>
      <c r="G1796" s="41">
        <v>42781</v>
      </c>
      <c r="H1796" s="15">
        <f t="shared" si="50"/>
        <v>1374.4</v>
      </c>
      <c r="I1796" s="15">
        <f t="shared" si="49"/>
        <v>0</v>
      </c>
    </row>
    <row r="1797" spans="1:10" x14ac:dyDescent="0.25">
      <c r="A1797" s="82">
        <v>42781</v>
      </c>
      <c r="B1797" s="39" t="s">
        <v>6075</v>
      </c>
      <c r="C1797" s="89"/>
      <c r="D1797" s="18">
        <v>101133</v>
      </c>
      <c r="E1797" s="2" t="s">
        <v>30</v>
      </c>
      <c r="F1797" s="15">
        <v>5606.6</v>
      </c>
      <c r="G1797" s="41">
        <v>42781</v>
      </c>
      <c r="H1797" s="15">
        <f t="shared" si="50"/>
        <v>5606.6</v>
      </c>
      <c r="I1797" s="15">
        <f t="shared" si="49"/>
        <v>0</v>
      </c>
    </row>
    <row r="1798" spans="1:10" x14ac:dyDescent="0.25">
      <c r="A1798" s="82">
        <v>42781</v>
      </c>
      <c r="B1798" s="39" t="s">
        <v>6076</v>
      </c>
      <c r="C1798" s="89"/>
      <c r="D1798" s="18">
        <v>101134</v>
      </c>
      <c r="E1798" s="2" t="s">
        <v>289</v>
      </c>
      <c r="F1798" s="15">
        <v>16306.1</v>
      </c>
      <c r="G1798" s="41">
        <v>42791</v>
      </c>
      <c r="H1798" s="15">
        <f t="shared" si="50"/>
        <v>16306.1</v>
      </c>
      <c r="I1798" s="15">
        <f t="shared" si="49"/>
        <v>0</v>
      </c>
    </row>
    <row r="1799" spans="1:10" x14ac:dyDescent="0.25">
      <c r="A1799" s="82">
        <v>42781</v>
      </c>
      <c r="B1799" s="39" t="s">
        <v>6077</v>
      </c>
      <c r="C1799" s="89"/>
      <c r="D1799" s="18">
        <v>101135</v>
      </c>
      <c r="E1799" s="2" t="s">
        <v>99</v>
      </c>
      <c r="F1799" s="15">
        <v>1504.3</v>
      </c>
      <c r="G1799" s="41">
        <v>42781</v>
      </c>
      <c r="H1799" s="15">
        <f t="shared" si="50"/>
        <v>1504.3</v>
      </c>
      <c r="I1799" s="15">
        <f t="shared" si="49"/>
        <v>0</v>
      </c>
      <c r="J1799" s="19"/>
    </row>
    <row r="1800" spans="1:10" x14ac:dyDescent="0.25">
      <c r="A1800" s="82">
        <v>42781</v>
      </c>
      <c r="B1800" s="39" t="s">
        <v>6078</v>
      </c>
      <c r="C1800" s="89"/>
      <c r="D1800" s="18">
        <v>101136</v>
      </c>
      <c r="E1800" s="2" t="s">
        <v>3425</v>
      </c>
      <c r="F1800" s="15">
        <v>2442.8000000000002</v>
      </c>
      <c r="G1800" s="41">
        <v>42781</v>
      </c>
      <c r="H1800" s="15">
        <f t="shared" si="50"/>
        <v>2442.8000000000002</v>
      </c>
      <c r="I1800" s="15">
        <f t="shared" si="49"/>
        <v>0</v>
      </c>
      <c r="J1800" s="19"/>
    </row>
    <row r="1801" spans="1:10" x14ac:dyDescent="0.25">
      <c r="A1801" s="82">
        <v>42781</v>
      </c>
      <c r="B1801" s="39" t="s">
        <v>6079</v>
      </c>
      <c r="C1801" s="89"/>
      <c r="D1801" s="18">
        <v>101137</v>
      </c>
      <c r="E1801" s="2" t="s">
        <v>83</v>
      </c>
      <c r="F1801" s="15">
        <v>6720.8</v>
      </c>
      <c r="G1801" s="41">
        <v>42781</v>
      </c>
      <c r="H1801" s="15">
        <f t="shared" si="50"/>
        <v>6720.8</v>
      </c>
      <c r="I1801" s="15">
        <f t="shared" si="49"/>
        <v>0</v>
      </c>
      <c r="J1801" s="19"/>
    </row>
    <row r="1802" spans="1:10" x14ac:dyDescent="0.25">
      <c r="A1802" s="82">
        <v>42781</v>
      </c>
      <c r="B1802" s="39" t="s">
        <v>6080</v>
      </c>
      <c r="C1802" s="89"/>
      <c r="D1802" s="18">
        <v>101138</v>
      </c>
      <c r="E1802" s="2" t="s">
        <v>208</v>
      </c>
      <c r="F1802" s="15">
        <v>8436</v>
      </c>
      <c r="G1802" s="41">
        <v>42781</v>
      </c>
      <c r="H1802" s="15">
        <f t="shared" si="50"/>
        <v>8436</v>
      </c>
      <c r="I1802" s="15">
        <f t="shared" si="49"/>
        <v>0</v>
      </c>
      <c r="J1802" s="19"/>
    </row>
    <row r="1803" spans="1:10" x14ac:dyDescent="0.25">
      <c r="A1803" s="82">
        <v>42781</v>
      </c>
      <c r="B1803" s="39" t="s">
        <v>6081</v>
      </c>
      <c r="C1803" s="89"/>
      <c r="D1803" s="18">
        <v>101139</v>
      </c>
      <c r="E1803" s="2" t="s">
        <v>1666</v>
      </c>
      <c r="F1803" s="15">
        <v>9900.4</v>
      </c>
      <c r="G1803" s="41">
        <v>42783</v>
      </c>
      <c r="H1803" s="15">
        <f t="shared" si="50"/>
        <v>9900.4</v>
      </c>
      <c r="I1803" s="15">
        <f t="shared" si="49"/>
        <v>0</v>
      </c>
      <c r="J1803" s="19"/>
    </row>
    <row r="1804" spans="1:10" x14ac:dyDescent="0.25">
      <c r="A1804" s="82">
        <v>42781</v>
      </c>
      <c r="B1804" s="39" t="s">
        <v>6082</v>
      </c>
      <c r="C1804" s="89"/>
      <c r="D1804" s="18">
        <v>101140</v>
      </c>
      <c r="E1804" s="2" t="s">
        <v>1259</v>
      </c>
      <c r="F1804" s="15">
        <v>2044.8</v>
      </c>
      <c r="G1804" s="41">
        <v>42781</v>
      </c>
      <c r="H1804" s="15">
        <f t="shared" si="50"/>
        <v>2044.8</v>
      </c>
      <c r="I1804" s="15">
        <f t="shared" si="49"/>
        <v>0</v>
      </c>
      <c r="J1804" s="19"/>
    </row>
    <row r="1805" spans="1:10" x14ac:dyDescent="0.25">
      <c r="A1805" s="82">
        <v>42781</v>
      </c>
      <c r="B1805" s="39" t="s">
        <v>6083</v>
      </c>
      <c r="C1805" s="89"/>
      <c r="D1805" s="18">
        <v>101141</v>
      </c>
      <c r="E1805" s="2" t="s">
        <v>88</v>
      </c>
      <c r="F1805" s="15">
        <v>5649.6</v>
      </c>
      <c r="G1805" s="41">
        <v>42781</v>
      </c>
      <c r="H1805" s="15">
        <f t="shared" si="50"/>
        <v>5649.6</v>
      </c>
      <c r="I1805" s="15">
        <f t="shared" si="49"/>
        <v>0</v>
      </c>
      <c r="J1805" s="19"/>
    </row>
    <row r="1806" spans="1:10" x14ac:dyDescent="0.25">
      <c r="A1806" s="82">
        <v>42781</v>
      </c>
      <c r="B1806" s="39" t="s">
        <v>6084</v>
      </c>
      <c r="C1806" s="89"/>
      <c r="D1806" s="18">
        <v>101142</v>
      </c>
      <c r="E1806" s="2" t="s">
        <v>448</v>
      </c>
      <c r="F1806" s="15">
        <v>223.6</v>
      </c>
      <c r="G1806" s="41">
        <v>42781</v>
      </c>
      <c r="H1806" s="15">
        <f t="shared" si="50"/>
        <v>223.6</v>
      </c>
      <c r="I1806" s="15">
        <f t="shared" si="49"/>
        <v>0</v>
      </c>
      <c r="J1806" s="19"/>
    </row>
    <row r="1807" spans="1:10" x14ac:dyDescent="0.25">
      <c r="A1807" s="82">
        <v>42781</v>
      </c>
      <c r="B1807" s="39" t="s">
        <v>6085</v>
      </c>
      <c r="C1807" s="89"/>
      <c r="D1807" s="18">
        <v>101143</v>
      </c>
      <c r="E1807" s="2" t="s">
        <v>92</v>
      </c>
      <c r="F1807" s="15">
        <v>2370</v>
      </c>
      <c r="G1807" s="41">
        <v>42781</v>
      </c>
      <c r="H1807" s="15">
        <f t="shared" si="50"/>
        <v>2370</v>
      </c>
      <c r="I1807" s="15">
        <f t="shared" si="49"/>
        <v>0</v>
      </c>
      <c r="J1807" s="19"/>
    </row>
    <row r="1808" spans="1:10" x14ac:dyDescent="0.25">
      <c r="A1808" s="82">
        <v>42781</v>
      </c>
      <c r="B1808" s="39" t="s">
        <v>6086</v>
      </c>
      <c r="C1808" s="89"/>
      <c r="D1808" s="18">
        <v>101144</v>
      </c>
      <c r="E1808" s="2" t="s">
        <v>838</v>
      </c>
      <c r="F1808" s="15">
        <v>1852.2</v>
      </c>
      <c r="G1808" s="41">
        <v>42781</v>
      </c>
      <c r="H1808" s="15">
        <f t="shared" si="50"/>
        <v>1852.2</v>
      </c>
      <c r="I1808" s="15">
        <f t="shared" si="49"/>
        <v>0</v>
      </c>
      <c r="J1808" s="19"/>
    </row>
    <row r="1809" spans="1:10" x14ac:dyDescent="0.25">
      <c r="A1809" s="82">
        <v>42781</v>
      </c>
      <c r="B1809" s="39" t="s">
        <v>6087</v>
      </c>
      <c r="C1809" s="89"/>
      <c r="D1809" s="18">
        <v>101145</v>
      </c>
      <c r="E1809" s="2" t="s">
        <v>131</v>
      </c>
      <c r="F1809" s="15">
        <v>3442.8</v>
      </c>
      <c r="G1809" s="41">
        <v>42781</v>
      </c>
      <c r="H1809" s="15">
        <f t="shared" si="50"/>
        <v>3442.8</v>
      </c>
      <c r="I1809" s="15">
        <f t="shared" si="49"/>
        <v>0</v>
      </c>
      <c r="J1809" s="19"/>
    </row>
    <row r="1810" spans="1:10" x14ac:dyDescent="0.25">
      <c r="A1810" s="82">
        <v>42781</v>
      </c>
      <c r="B1810" s="39" t="s">
        <v>6088</v>
      </c>
      <c r="C1810" s="89"/>
      <c r="D1810" s="18">
        <v>101146</v>
      </c>
      <c r="E1810" s="2" t="s">
        <v>2054</v>
      </c>
      <c r="F1810" s="15">
        <v>3389</v>
      </c>
      <c r="G1810" s="41">
        <v>42781</v>
      </c>
      <c r="H1810" s="15">
        <f t="shared" si="50"/>
        <v>3389</v>
      </c>
      <c r="I1810" s="15">
        <f t="shared" si="49"/>
        <v>0</v>
      </c>
      <c r="J1810" s="19"/>
    </row>
    <row r="1811" spans="1:10" x14ac:dyDescent="0.25">
      <c r="A1811" s="82">
        <v>42781</v>
      </c>
      <c r="B1811" s="39" t="s">
        <v>6089</v>
      </c>
      <c r="C1811" s="89"/>
      <c r="D1811" s="18">
        <v>101147</v>
      </c>
      <c r="E1811" s="2" t="s">
        <v>450</v>
      </c>
      <c r="F1811" s="15">
        <v>2378.4</v>
      </c>
      <c r="G1811" s="41">
        <v>42781</v>
      </c>
      <c r="H1811" s="15">
        <f t="shared" si="50"/>
        <v>2378.4</v>
      </c>
      <c r="I1811" s="15">
        <f t="shared" si="49"/>
        <v>0</v>
      </c>
      <c r="J1811" s="19"/>
    </row>
    <row r="1812" spans="1:10" x14ac:dyDescent="0.25">
      <c r="A1812" s="82">
        <v>42781</v>
      </c>
      <c r="B1812" s="39" t="s">
        <v>6090</v>
      </c>
      <c r="C1812" s="89"/>
      <c r="D1812" s="18">
        <v>101148</v>
      </c>
      <c r="E1812" s="2" t="s">
        <v>785</v>
      </c>
      <c r="F1812" s="15">
        <v>9984.7999999999993</v>
      </c>
      <c r="G1812" s="41">
        <v>42781</v>
      </c>
      <c r="H1812" s="15">
        <f t="shared" si="50"/>
        <v>9984.7999999999993</v>
      </c>
      <c r="I1812" s="15">
        <f t="shared" si="49"/>
        <v>0</v>
      </c>
      <c r="J1812" s="19"/>
    </row>
    <row r="1813" spans="1:10" x14ac:dyDescent="0.25">
      <c r="A1813" s="82">
        <v>42781</v>
      </c>
      <c r="B1813" s="39" t="s">
        <v>6091</v>
      </c>
      <c r="C1813" s="89"/>
      <c r="D1813" s="18">
        <v>101149</v>
      </c>
      <c r="E1813" s="2" t="s">
        <v>459</v>
      </c>
      <c r="F1813" s="15">
        <v>2283.6</v>
      </c>
      <c r="G1813" s="41">
        <v>42781</v>
      </c>
      <c r="H1813" s="15">
        <f t="shared" si="50"/>
        <v>2283.6</v>
      </c>
      <c r="I1813" s="15">
        <f t="shared" si="49"/>
        <v>0</v>
      </c>
      <c r="J1813" s="19"/>
    </row>
    <row r="1814" spans="1:10" x14ac:dyDescent="0.25">
      <c r="A1814" s="82">
        <v>42781</v>
      </c>
      <c r="B1814" s="39" t="s">
        <v>6092</v>
      </c>
      <c r="C1814" s="89"/>
      <c r="D1814" s="18">
        <v>101150</v>
      </c>
      <c r="E1814" s="2" t="s">
        <v>168</v>
      </c>
      <c r="F1814" s="15">
        <v>172.2</v>
      </c>
      <c r="G1814" s="41">
        <v>42781</v>
      </c>
      <c r="H1814" s="15">
        <f t="shared" si="50"/>
        <v>172.2</v>
      </c>
      <c r="I1814" s="15">
        <f t="shared" si="49"/>
        <v>0</v>
      </c>
      <c r="J1814" s="19"/>
    </row>
    <row r="1815" spans="1:10" x14ac:dyDescent="0.25">
      <c r="A1815" s="82">
        <v>42781</v>
      </c>
      <c r="B1815" s="39" t="s">
        <v>6093</v>
      </c>
      <c r="C1815" s="89"/>
      <c r="D1815" s="18">
        <v>101151</v>
      </c>
      <c r="E1815" s="2" t="s">
        <v>159</v>
      </c>
      <c r="F1815" s="15">
        <v>5641.4</v>
      </c>
      <c r="G1815" s="41">
        <v>42781</v>
      </c>
      <c r="H1815" s="15">
        <f t="shared" si="50"/>
        <v>5641.4</v>
      </c>
      <c r="I1815" s="15">
        <f t="shared" si="49"/>
        <v>0</v>
      </c>
      <c r="J1815" s="19"/>
    </row>
    <row r="1816" spans="1:10" x14ac:dyDescent="0.25">
      <c r="A1816" s="82">
        <v>42781</v>
      </c>
      <c r="B1816" s="39" t="s">
        <v>6094</v>
      </c>
      <c r="C1816" s="89"/>
      <c r="D1816" s="18">
        <v>101152</v>
      </c>
      <c r="E1816" s="2" t="s">
        <v>858</v>
      </c>
      <c r="F1816" s="15">
        <v>356.7</v>
      </c>
      <c r="G1816" s="41">
        <v>42781</v>
      </c>
      <c r="H1816" s="15">
        <f t="shared" si="50"/>
        <v>356.7</v>
      </c>
      <c r="I1816" s="15">
        <f t="shared" si="49"/>
        <v>0</v>
      </c>
      <c r="J1816" s="19"/>
    </row>
    <row r="1817" spans="1:10" x14ac:dyDescent="0.25">
      <c r="A1817" s="82">
        <v>42781</v>
      </c>
      <c r="B1817" s="39" t="s">
        <v>6095</v>
      </c>
      <c r="C1817" s="89"/>
      <c r="D1817" s="18">
        <v>101153</v>
      </c>
      <c r="E1817" s="2" t="s">
        <v>305</v>
      </c>
      <c r="F1817" s="15">
        <v>3287</v>
      </c>
      <c r="G1817" s="41">
        <v>42787</v>
      </c>
      <c r="H1817" s="15">
        <f t="shared" si="50"/>
        <v>3287</v>
      </c>
      <c r="I1817" s="15">
        <f t="shared" si="49"/>
        <v>0</v>
      </c>
      <c r="J1817" s="19"/>
    </row>
    <row r="1818" spans="1:10" x14ac:dyDescent="0.25">
      <c r="A1818" s="82">
        <v>42781</v>
      </c>
      <c r="B1818" s="39" t="s">
        <v>6096</v>
      </c>
      <c r="C1818" s="89"/>
      <c r="D1818" s="18">
        <v>101154</v>
      </c>
      <c r="E1818" s="2" t="s">
        <v>476</v>
      </c>
      <c r="F1818" s="15">
        <v>7305</v>
      </c>
      <c r="G1818" s="41">
        <v>42782</v>
      </c>
      <c r="H1818" s="15">
        <f t="shared" si="50"/>
        <v>7305</v>
      </c>
      <c r="I1818" s="15">
        <f t="shared" si="49"/>
        <v>0</v>
      </c>
      <c r="J1818" s="19"/>
    </row>
    <row r="1819" spans="1:10" x14ac:dyDescent="0.25">
      <c r="A1819" s="82">
        <v>42781</v>
      </c>
      <c r="B1819" s="39" t="s">
        <v>6097</v>
      </c>
      <c r="C1819" s="89"/>
      <c r="D1819" s="18">
        <v>101155</v>
      </c>
      <c r="E1819" s="2" t="s">
        <v>609</v>
      </c>
      <c r="F1819" s="15">
        <v>49313.599999999999</v>
      </c>
      <c r="H1819" s="15">
        <f t="shared" si="50"/>
        <v>49313.599999999999</v>
      </c>
      <c r="I1819" s="15">
        <f t="shared" si="49"/>
        <v>0</v>
      </c>
      <c r="J1819" s="19"/>
    </row>
    <row r="1820" spans="1:10" x14ac:dyDescent="0.25">
      <c r="A1820" s="82">
        <v>42781</v>
      </c>
      <c r="B1820" s="39" t="s">
        <v>6098</v>
      </c>
      <c r="C1820" s="89"/>
      <c r="D1820" s="18">
        <v>101156</v>
      </c>
      <c r="E1820" s="2" t="s">
        <v>176</v>
      </c>
      <c r="F1820" s="15">
        <v>3259.2</v>
      </c>
      <c r="G1820" s="41">
        <v>42781</v>
      </c>
      <c r="H1820" s="15">
        <f t="shared" si="50"/>
        <v>3259.2</v>
      </c>
      <c r="I1820" s="15">
        <f t="shared" si="49"/>
        <v>0</v>
      </c>
      <c r="J1820" s="19"/>
    </row>
    <row r="1821" spans="1:10" x14ac:dyDescent="0.25">
      <c r="A1821" s="82">
        <v>42781</v>
      </c>
      <c r="B1821" s="39" t="s">
        <v>6099</v>
      </c>
      <c r="C1821" s="89"/>
      <c r="D1821" s="18">
        <v>101157</v>
      </c>
      <c r="E1821" s="2" t="s">
        <v>298</v>
      </c>
      <c r="F1821" s="15">
        <v>3336.9</v>
      </c>
      <c r="G1821" s="41">
        <v>42781</v>
      </c>
      <c r="H1821" s="15">
        <f t="shared" si="50"/>
        <v>3336.9</v>
      </c>
      <c r="I1821" s="15">
        <f t="shared" si="49"/>
        <v>0</v>
      </c>
      <c r="J1821" s="19"/>
    </row>
    <row r="1822" spans="1:10" x14ac:dyDescent="0.25">
      <c r="A1822" s="82">
        <v>42781</v>
      </c>
      <c r="B1822" s="39" t="s">
        <v>6100</v>
      </c>
      <c r="C1822" s="89"/>
      <c r="D1822" s="18">
        <v>101158</v>
      </c>
      <c r="E1822" s="2" t="s">
        <v>10</v>
      </c>
      <c r="F1822" s="15">
        <v>249936.88</v>
      </c>
      <c r="G1822" s="41">
        <v>42784</v>
      </c>
      <c r="H1822" s="15">
        <f t="shared" si="50"/>
        <v>249936.88</v>
      </c>
      <c r="I1822" s="15">
        <f t="shared" si="49"/>
        <v>0</v>
      </c>
      <c r="J1822" s="19"/>
    </row>
    <row r="1823" spans="1:10" x14ac:dyDescent="0.25">
      <c r="A1823" s="82">
        <v>42781</v>
      </c>
      <c r="B1823" s="39" t="s">
        <v>6101</v>
      </c>
      <c r="C1823" s="89"/>
      <c r="D1823" s="18">
        <v>101159</v>
      </c>
      <c r="E1823" s="2" t="s">
        <v>773</v>
      </c>
      <c r="F1823" s="15">
        <v>1901.02</v>
      </c>
      <c r="G1823" s="41">
        <v>42781</v>
      </c>
      <c r="H1823" s="15">
        <f t="shared" si="50"/>
        <v>1901.02</v>
      </c>
      <c r="I1823" s="15">
        <f t="shared" si="49"/>
        <v>0</v>
      </c>
      <c r="J1823" s="19"/>
    </row>
    <row r="1824" spans="1:10" x14ac:dyDescent="0.25">
      <c r="A1824" s="82">
        <v>42781</v>
      </c>
      <c r="B1824" s="39" t="s">
        <v>6102</v>
      </c>
      <c r="C1824" s="89"/>
      <c r="D1824" s="18">
        <v>101160</v>
      </c>
      <c r="E1824" s="2" t="s">
        <v>492</v>
      </c>
      <c r="F1824" s="15">
        <v>17022.7</v>
      </c>
      <c r="G1824" s="41">
        <v>42788</v>
      </c>
      <c r="H1824" s="15">
        <f t="shared" si="50"/>
        <v>17022.7</v>
      </c>
      <c r="I1824" s="15">
        <f t="shared" si="49"/>
        <v>0</v>
      </c>
      <c r="J1824" s="19"/>
    </row>
    <row r="1825" spans="1:10" x14ac:dyDescent="0.25">
      <c r="A1825" s="82">
        <v>42781</v>
      </c>
      <c r="B1825" s="39" t="s">
        <v>6103</v>
      </c>
      <c r="C1825" s="89"/>
      <c r="D1825" s="18">
        <v>101161</v>
      </c>
      <c r="E1825" s="2" t="s">
        <v>298</v>
      </c>
      <c r="F1825" s="15">
        <v>80</v>
      </c>
      <c r="G1825" s="41">
        <v>42781</v>
      </c>
      <c r="H1825" s="15">
        <f t="shared" si="50"/>
        <v>80</v>
      </c>
      <c r="I1825" s="15">
        <f t="shared" si="49"/>
        <v>0</v>
      </c>
      <c r="J1825" s="19"/>
    </row>
    <row r="1826" spans="1:10" x14ac:dyDescent="0.25">
      <c r="A1826" s="82">
        <v>42781</v>
      </c>
      <c r="B1826" s="39" t="s">
        <v>6104</v>
      </c>
      <c r="C1826" s="89"/>
      <c r="D1826" s="18">
        <v>101162</v>
      </c>
      <c r="E1826" s="2" t="s">
        <v>155</v>
      </c>
      <c r="F1826" s="15">
        <v>37038.199999999997</v>
      </c>
      <c r="G1826" s="41">
        <v>42784</v>
      </c>
      <c r="H1826" s="15">
        <f t="shared" si="50"/>
        <v>37038.199999999997</v>
      </c>
      <c r="I1826" s="15">
        <f t="shared" si="49"/>
        <v>0</v>
      </c>
      <c r="J1826" s="19"/>
    </row>
    <row r="1827" spans="1:10" x14ac:dyDescent="0.25">
      <c r="A1827" s="82">
        <v>42781</v>
      </c>
      <c r="B1827" s="39" t="s">
        <v>6105</v>
      </c>
      <c r="C1827" s="89"/>
      <c r="D1827" s="18">
        <v>101163</v>
      </c>
      <c r="E1827" s="2" t="s">
        <v>222</v>
      </c>
      <c r="F1827" s="15">
        <v>24106.6</v>
      </c>
      <c r="G1827" s="41">
        <v>42784</v>
      </c>
      <c r="H1827" s="15">
        <f t="shared" si="50"/>
        <v>24106.6</v>
      </c>
      <c r="I1827" s="15">
        <f t="shared" si="49"/>
        <v>0</v>
      </c>
      <c r="J1827" s="19"/>
    </row>
    <row r="1828" spans="1:10" x14ac:dyDescent="0.25">
      <c r="A1828" s="82">
        <v>42781</v>
      </c>
      <c r="B1828" s="39" t="s">
        <v>6106</v>
      </c>
      <c r="C1828" s="89"/>
      <c r="D1828" s="18">
        <v>101164</v>
      </c>
      <c r="E1828" s="2" t="s">
        <v>145</v>
      </c>
      <c r="F1828" s="15">
        <v>19054.400000000001</v>
      </c>
      <c r="G1828" s="41">
        <v>42782</v>
      </c>
      <c r="H1828" s="15">
        <f t="shared" si="50"/>
        <v>19054.400000000001</v>
      </c>
      <c r="I1828" s="15">
        <f t="shared" si="49"/>
        <v>0</v>
      </c>
      <c r="J1828" s="19"/>
    </row>
    <row r="1829" spans="1:10" x14ac:dyDescent="0.25">
      <c r="A1829" s="82">
        <v>42781</v>
      </c>
      <c r="B1829" s="39" t="s">
        <v>6107</v>
      </c>
      <c r="C1829" s="89"/>
      <c r="D1829" s="18">
        <v>101165</v>
      </c>
      <c r="E1829" s="2" t="s">
        <v>3319</v>
      </c>
      <c r="F1829" s="15">
        <v>5560</v>
      </c>
      <c r="G1829" s="41">
        <v>42782</v>
      </c>
      <c r="H1829" s="15">
        <f t="shared" si="50"/>
        <v>5560</v>
      </c>
      <c r="I1829" s="15">
        <f t="shared" si="49"/>
        <v>0</v>
      </c>
      <c r="J1829" s="19"/>
    </row>
    <row r="1830" spans="1:10" x14ac:dyDescent="0.25">
      <c r="A1830" s="82">
        <v>42781</v>
      </c>
      <c r="B1830" s="39" t="s">
        <v>6108</v>
      </c>
      <c r="C1830" s="89"/>
      <c r="D1830" s="18">
        <v>101166</v>
      </c>
      <c r="E1830" s="2" t="s">
        <v>161</v>
      </c>
      <c r="F1830" s="15">
        <v>37320.699999999997</v>
      </c>
      <c r="G1830" s="41">
        <v>42804</v>
      </c>
      <c r="H1830" s="15">
        <f t="shared" si="50"/>
        <v>37320.699999999997</v>
      </c>
      <c r="I1830" s="15">
        <f t="shared" si="49"/>
        <v>0</v>
      </c>
      <c r="J1830" s="19"/>
    </row>
    <row r="1831" spans="1:10" x14ac:dyDescent="0.25">
      <c r="A1831" s="82">
        <v>42781</v>
      </c>
      <c r="B1831" s="39" t="s">
        <v>6109</v>
      </c>
      <c r="C1831" s="89"/>
      <c r="D1831" s="18">
        <v>101167</v>
      </c>
      <c r="E1831" s="2" t="s">
        <v>222</v>
      </c>
      <c r="F1831" s="15">
        <v>235893</v>
      </c>
      <c r="G1831" s="41">
        <v>42784</v>
      </c>
      <c r="H1831" s="15">
        <f t="shared" si="50"/>
        <v>235893</v>
      </c>
      <c r="I1831" s="15">
        <f t="shared" si="49"/>
        <v>0</v>
      </c>
      <c r="J1831" s="19"/>
    </row>
    <row r="1832" spans="1:10" x14ac:dyDescent="0.25">
      <c r="A1832" s="82">
        <v>42781</v>
      </c>
      <c r="B1832" s="39" t="s">
        <v>6110</v>
      </c>
      <c r="C1832" s="89"/>
      <c r="D1832" s="18">
        <v>101168</v>
      </c>
      <c r="E1832" s="13" t="s">
        <v>531</v>
      </c>
      <c r="F1832" s="14">
        <v>0</v>
      </c>
      <c r="G1832" s="88" t="s">
        <v>95</v>
      </c>
      <c r="H1832" s="14">
        <f t="shared" si="50"/>
        <v>0</v>
      </c>
      <c r="I1832" s="14">
        <f t="shared" si="49"/>
        <v>0</v>
      </c>
      <c r="J1832" s="19"/>
    </row>
    <row r="1833" spans="1:10" x14ac:dyDescent="0.25">
      <c r="A1833" s="82">
        <v>42781</v>
      </c>
      <c r="B1833" s="39" t="s">
        <v>6111</v>
      </c>
      <c r="C1833" s="89"/>
      <c r="D1833" s="18">
        <v>101169</v>
      </c>
      <c r="E1833" s="2" t="s">
        <v>531</v>
      </c>
      <c r="F1833" s="15">
        <v>34291.440000000002</v>
      </c>
      <c r="G1833" s="41">
        <v>42782</v>
      </c>
      <c r="H1833" s="15">
        <f t="shared" si="50"/>
        <v>34291.440000000002</v>
      </c>
      <c r="I1833" s="15">
        <f t="shared" si="49"/>
        <v>0</v>
      </c>
      <c r="J1833" s="19"/>
    </row>
    <row r="1834" spans="1:10" x14ac:dyDescent="0.25">
      <c r="A1834" s="82">
        <v>42781</v>
      </c>
      <c r="B1834" s="39" t="s">
        <v>6112</v>
      </c>
      <c r="C1834" s="89"/>
      <c r="D1834" s="18">
        <v>101170</v>
      </c>
      <c r="E1834" s="2" t="s">
        <v>172</v>
      </c>
      <c r="F1834" s="15">
        <v>17650</v>
      </c>
      <c r="G1834" s="41">
        <v>42804</v>
      </c>
      <c r="H1834" s="15">
        <f t="shared" si="50"/>
        <v>17650</v>
      </c>
      <c r="I1834" s="15">
        <f t="shared" si="49"/>
        <v>0</v>
      </c>
      <c r="J1834" s="19"/>
    </row>
    <row r="1835" spans="1:10" x14ac:dyDescent="0.25">
      <c r="A1835" s="82">
        <v>42781</v>
      </c>
      <c r="B1835" s="39" t="s">
        <v>6113</v>
      </c>
      <c r="C1835" s="89"/>
      <c r="D1835" s="18">
        <v>101171</v>
      </c>
      <c r="E1835" s="2" t="s">
        <v>184</v>
      </c>
      <c r="F1835" s="15">
        <v>2183.6999999999998</v>
      </c>
      <c r="H1835" s="15">
        <f t="shared" si="50"/>
        <v>2183.6999999999998</v>
      </c>
      <c r="I1835" s="15">
        <f t="shared" si="49"/>
        <v>0</v>
      </c>
      <c r="J1835" s="19"/>
    </row>
    <row r="1836" spans="1:10" x14ac:dyDescent="0.25">
      <c r="A1836" s="82">
        <v>42781</v>
      </c>
      <c r="B1836" s="39" t="s">
        <v>6114</v>
      </c>
      <c r="C1836" s="89"/>
      <c r="D1836" s="18">
        <v>101172</v>
      </c>
      <c r="E1836" s="2" t="s">
        <v>163</v>
      </c>
      <c r="F1836" s="15">
        <v>6896.6</v>
      </c>
      <c r="G1836" s="41">
        <v>42804</v>
      </c>
      <c r="H1836" s="15">
        <f t="shared" si="50"/>
        <v>6896.6</v>
      </c>
      <c r="I1836" s="15">
        <f t="shared" si="49"/>
        <v>0</v>
      </c>
      <c r="J1836" s="19"/>
    </row>
    <row r="1837" spans="1:10" x14ac:dyDescent="0.25">
      <c r="A1837" s="82">
        <v>42781</v>
      </c>
      <c r="B1837" s="39" t="s">
        <v>6115</v>
      </c>
      <c r="C1837" s="89"/>
      <c r="D1837" s="18">
        <v>101173</v>
      </c>
      <c r="E1837" s="2" t="s">
        <v>165</v>
      </c>
      <c r="F1837" s="15">
        <v>10822.2</v>
      </c>
      <c r="G1837" s="41">
        <v>42804</v>
      </c>
      <c r="H1837" s="15">
        <f t="shared" si="50"/>
        <v>10822.2</v>
      </c>
      <c r="I1837" s="15">
        <f t="shared" si="49"/>
        <v>0</v>
      </c>
      <c r="J1837" s="19"/>
    </row>
    <row r="1838" spans="1:10" x14ac:dyDescent="0.25">
      <c r="A1838" s="82">
        <v>42781</v>
      </c>
      <c r="B1838" s="39" t="s">
        <v>6116</v>
      </c>
      <c r="C1838" s="89"/>
      <c r="D1838" s="18">
        <v>101174</v>
      </c>
      <c r="E1838" s="13" t="s">
        <v>115</v>
      </c>
      <c r="F1838" s="14">
        <v>0</v>
      </c>
      <c r="G1838" s="88" t="s">
        <v>95</v>
      </c>
      <c r="H1838" s="14">
        <f t="shared" si="50"/>
        <v>0</v>
      </c>
      <c r="I1838" s="14">
        <f t="shared" si="49"/>
        <v>0</v>
      </c>
      <c r="J1838" s="19"/>
    </row>
    <row r="1839" spans="1:10" x14ac:dyDescent="0.25">
      <c r="A1839" s="82">
        <v>42781</v>
      </c>
      <c r="B1839" s="39" t="s">
        <v>6117</v>
      </c>
      <c r="C1839" s="89"/>
      <c r="D1839" s="18">
        <v>101175</v>
      </c>
      <c r="E1839" s="2" t="s">
        <v>115</v>
      </c>
      <c r="F1839" s="15">
        <v>3603</v>
      </c>
      <c r="G1839" s="41">
        <v>42781</v>
      </c>
      <c r="H1839" s="15">
        <f t="shared" si="50"/>
        <v>3603</v>
      </c>
      <c r="I1839" s="15">
        <f t="shared" si="49"/>
        <v>0</v>
      </c>
      <c r="J1839" s="19"/>
    </row>
    <row r="1840" spans="1:10" x14ac:dyDescent="0.25">
      <c r="A1840" s="82">
        <v>42781</v>
      </c>
      <c r="B1840" s="39" t="s">
        <v>6118</v>
      </c>
      <c r="C1840" s="89"/>
      <c r="D1840" s="18">
        <v>101176</v>
      </c>
      <c r="E1840" s="2" t="s">
        <v>352</v>
      </c>
      <c r="F1840" s="15">
        <v>2050</v>
      </c>
      <c r="G1840" s="41">
        <v>42781</v>
      </c>
      <c r="H1840" s="15">
        <f t="shared" si="50"/>
        <v>2050</v>
      </c>
      <c r="I1840" s="15">
        <f t="shared" si="49"/>
        <v>0</v>
      </c>
      <c r="J1840" s="19"/>
    </row>
    <row r="1841" spans="1:10" x14ac:dyDescent="0.25">
      <c r="A1841" s="82">
        <v>42781</v>
      </c>
      <c r="B1841" s="39" t="s">
        <v>6119</v>
      </c>
      <c r="C1841" s="89"/>
      <c r="D1841" s="18">
        <v>101177</v>
      </c>
      <c r="E1841" s="2" t="s">
        <v>660</v>
      </c>
      <c r="F1841" s="15">
        <v>2146</v>
      </c>
      <c r="G1841" s="41">
        <v>42782</v>
      </c>
      <c r="H1841" s="15">
        <f t="shared" si="50"/>
        <v>2146</v>
      </c>
      <c r="I1841" s="15">
        <f t="shared" si="49"/>
        <v>0</v>
      </c>
      <c r="J1841" s="19"/>
    </row>
    <row r="1842" spans="1:10" x14ac:dyDescent="0.25">
      <c r="A1842" s="82">
        <v>42781</v>
      </c>
      <c r="B1842" s="39" t="s">
        <v>6120</v>
      </c>
      <c r="C1842" s="89"/>
      <c r="D1842" s="18">
        <v>101178</v>
      </c>
      <c r="E1842" s="2" t="s">
        <v>528</v>
      </c>
      <c r="F1842" s="15">
        <v>1884.5</v>
      </c>
      <c r="G1842" s="41">
        <v>42789</v>
      </c>
      <c r="H1842" s="15">
        <f t="shared" si="50"/>
        <v>1884.5</v>
      </c>
      <c r="I1842" s="15">
        <f t="shared" si="49"/>
        <v>0</v>
      </c>
      <c r="J1842" s="19"/>
    </row>
    <row r="1843" spans="1:10" x14ac:dyDescent="0.25">
      <c r="A1843" s="82">
        <v>42781</v>
      </c>
      <c r="B1843" s="39" t="s">
        <v>6121</v>
      </c>
      <c r="C1843" s="89"/>
      <c r="D1843" s="18">
        <v>101179</v>
      </c>
      <c r="E1843" s="2" t="s">
        <v>528</v>
      </c>
      <c r="F1843" s="15">
        <v>632</v>
      </c>
      <c r="G1843" s="41">
        <v>42789</v>
      </c>
      <c r="H1843" s="15">
        <f t="shared" si="50"/>
        <v>632</v>
      </c>
      <c r="I1843" s="15">
        <f t="shared" si="49"/>
        <v>0</v>
      </c>
      <c r="J1843" s="19"/>
    </row>
    <row r="1844" spans="1:10" x14ac:dyDescent="0.25">
      <c r="A1844" s="82">
        <v>42781</v>
      </c>
      <c r="B1844" s="39" t="s">
        <v>6122</v>
      </c>
      <c r="C1844" s="89"/>
      <c r="D1844" s="18">
        <v>101180</v>
      </c>
      <c r="E1844" s="2" t="s">
        <v>630</v>
      </c>
      <c r="F1844" s="15">
        <v>3043.82</v>
      </c>
      <c r="G1844" s="41">
        <v>42782</v>
      </c>
      <c r="H1844" s="15">
        <f t="shared" si="50"/>
        <v>3043.82</v>
      </c>
      <c r="I1844" s="15">
        <f t="shared" si="49"/>
        <v>0</v>
      </c>
      <c r="J1844" s="19"/>
    </row>
    <row r="1845" spans="1:10" x14ac:dyDescent="0.25">
      <c r="A1845" s="82">
        <v>42781</v>
      </c>
      <c r="B1845" s="39" t="s">
        <v>6123</v>
      </c>
      <c r="C1845" s="89"/>
      <c r="D1845" s="18">
        <v>101181</v>
      </c>
      <c r="E1845" s="2" t="s">
        <v>480</v>
      </c>
      <c r="F1845" s="15">
        <v>1530.72</v>
      </c>
      <c r="G1845" s="41">
        <v>42782</v>
      </c>
      <c r="H1845" s="15">
        <f t="shared" si="50"/>
        <v>1530.72</v>
      </c>
      <c r="I1845" s="15">
        <f t="shared" si="49"/>
        <v>0</v>
      </c>
      <c r="J1845" s="19"/>
    </row>
    <row r="1846" spans="1:10" x14ac:dyDescent="0.25">
      <c r="A1846" s="82">
        <v>42781</v>
      </c>
      <c r="B1846" s="39" t="s">
        <v>6124</v>
      </c>
      <c r="C1846" s="89"/>
      <c r="D1846" s="18">
        <v>101182</v>
      </c>
      <c r="E1846" s="2" t="s">
        <v>45</v>
      </c>
      <c r="F1846" s="15">
        <v>1753.4</v>
      </c>
      <c r="G1846" s="41">
        <v>42782</v>
      </c>
      <c r="H1846" s="15">
        <f t="shared" si="50"/>
        <v>1753.4</v>
      </c>
      <c r="I1846" s="15">
        <f t="shared" si="49"/>
        <v>0</v>
      </c>
      <c r="J1846" s="19"/>
    </row>
    <row r="1847" spans="1:10" x14ac:dyDescent="0.25">
      <c r="A1847" s="82">
        <v>42781</v>
      </c>
      <c r="B1847" s="39" t="s">
        <v>6125</v>
      </c>
      <c r="C1847" s="89"/>
      <c r="D1847" s="18">
        <v>101183</v>
      </c>
      <c r="E1847" s="2" t="s">
        <v>57</v>
      </c>
      <c r="F1847" s="15">
        <v>854.4</v>
      </c>
      <c r="G1847" s="41">
        <v>42782</v>
      </c>
      <c r="H1847" s="15">
        <f t="shared" si="50"/>
        <v>854.4</v>
      </c>
      <c r="I1847" s="15">
        <f t="shared" si="49"/>
        <v>0</v>
      </c>
      <c r="J1847" s="19"/>
    </row>
    <row r="1848" spans="1:10" x14ac:dyDescent="0.25">
      <c r="A1848" s="82">
        <v>42781</v>
      </c>
      <c r="B1848" s="39" t="s">
        <v>6126</v>
      </c>
      <c r="C1848" s="89"/>
      <c r="D1848" s="18">
        <v>101184</v>
      </c>
      <c r="E1848" s="2" t="s">
        <v>531</v>
      </c>
      <c r="F1848" s="15">
        <v>8085.5</v>
      </c>
      <c r="G1848" s="86">
        <v>42782</v>
      </c>
      <c r="H1848" s="23">
        <f>2956.4+5129.1</f>
        <v>8085.5</v>
      </c>
      <c r="I1848" s="23">
        <f t="shared" ref="I1848:I1911" si="51">F1848-H1848</f>
        <v>0</v>
      </c>
      <c r="J1848" s="19"/>
    </row>
    <row r="1849" spans="1:10" x14ac:dyDescent="0.25">
      <c r="A1849" s="82">
        <v>42781</v>
      </c>
      <c r="B1849" s="39" t="s">
        <v>6127</v>
      </c>
      <c r="C1849" s="89"/>
      <c r="D1849" s="18">
        <v>101185</v>
      </c>
      <c r="E1849" s="2" t="s">
        <v>660</v>
      </c>
      <c r="F1849" s="15">
        <v>367.2</v>
      </c>
      <c r="G1849" s="41">
        <v>42782</v>
      </c>
      <c r="H1849" s="15">
        <f t="shared" si="50"/>
        <v>367.2</v>
      </c>
      <c r="I1849" s="15">
        <f t="shared" si="51"/>
        <v>0</v>
      </c>
      <c r="J1849" s="19"/>
    </row>
    <row r="1850" spans="1:10" x14ac:dyDescent="0.25">
      <c r="A1850" s="82">
        <v>42781</v>
      </c>
      <c r="B1850" s="39" t="s">
        <v>6128</v>
      </c>
      <c r="C1850" s="89"/>
      <c r="D1850" s="18">
        <v>101186</v>
      </c>
      <c r="E1850" s="2" t="s">
        <v>428</v>
      </c>
      <c r="F1850" s="15">
        <v>434</v>
      </c>
      <c r="G1850" s="41">
        <v>42784</v>
      </c>
      <c r="H1850" s="15">
        <f t="shared" si="50"/>
        <v>434</v>
      </c>
      <c r="I1850" s="15">
        <f t="shared" si="51"/>
        <v>0</v>
      </c>
      <c r="J1850" s="19"/>
    </row>
    <row r="1851" spans="1:10" ht="30" x14ac:dyDescent="0.25">
      <c r="A1851" s="82">
        <v>42781</v>
      </c>
      <c r="B1851" s="39" t="s">
        <v>6129</v>
      </c>
      <c r="C1851" s="89"/>
      <c r="D1851" s="18">
        <v>101187</v>
      </c>
      <c r="E1851" s="2" t="s">
        <v>360</v>
      </c>
      <c r="F1851" s="15">
        <v>18732</v>
      </c>
      <c r="G1851" s="87" t="s">
        <v>7762</v>
      </c>
      <c r="H1851" s="20">
        <f>3276+15456</f>
        <v>18732</v>
      </c>
      <c r="I1851" s="20">
        <f t="shared" si="51"/>
        <v>0</v>
      </c>
      <c r="J1851" s="19"/>
    </row>
    <row r="1852" spans="1:10" x14ac:dyDescent="0.25">
      <c r="A1852" s="82">
        <v>42781</v>
      </c>
      <c r="B1852" s="39" t="s">
        <v>6130</v>
      </c>
      <c r="C1852" s="89"/>
      <c r="D1852" s="18">
        <v>101188</v>
      </c>
      <c r="E1852" s="2" t="s">
        <v>923</v>
      </c>
      <c r="F1852" s="15">
        <v>20609.400000000001</v>
      </c>
      <c r="G1852" s="41">
        <v>42793</v>
      </c>
      <c r="H1852" s="15">
        <f t="shared" si="50"/>
        <v>20609.400000000001</v>
      </c>
      <c r="I1852" s="15">
        <f t="shared" si="51"/>
        <v>0</v>
      </c>
      <c r="J1852" s="19"/>
    </row>
    <row r="1853" spans="1:10" x14ac:dyDescent="0.25">
      <c r="A1853" s="82">
        <v>42781</v>
      </c>
      <c r="B1853" s="39" t="s">
        <v>6131</v>
      </c>
      <c r="C1853" s="89"/>
      <c r="D1853" s="18">
        <v>101189</v>
      </c>
      <c r="E1853" s="2" t="s">
        <v>523</v>
      </c>
      <c r="F1853" s="15">
        <v>24581.200000000001</v>
      </c>
      <c r="H1853" s="15">
        <f t="shared" ref="H1853:H1916" si="52">F1853</f>
        <v>24581.200000000001</v>
      </c>
      <c r="I1853" s="15">
        <f t="shared" si="51"/>
        <v>0</v>
      </c>
      <c r="J1853" s="19"/>
    </row>
    <row r="1854" spans="1:10" x14ac:dyDescent="0.25">
      <c r="A1854" s="82">
        <v>42781</v>
      </c>
      <c r="B1854" s="39" t="s">
        <v>6132</v>
      </c>
      <c r="C1854" s="89"/>
      <c r="D1854" s="18">
        <v>101190</v>
      </c>
      <c r="E1854" s="2" t="s">
        <v>697</v>
      </c>
      <c r="F1854" s="15">
        <v>1666</v>
      </c>
      <c r="G1854" s="41">
        <v>42802</v>
      </c>
      <c r="H1854" s="15">
        <f t="shared" si="52"/>
        <v>1666</v>
      </c>
      <c r="I1854" s="15">
        <f t="shared" si="51"/>
        <v>0</v>
      </c>
      <c r="J1854" s="19"/>
    </row>
    <row r="1855" spans="1:10" x14ac:dyDescent="0.25">
      <c r="A1855" s="82">
        <v>42781</v>
      </c>
      <c r="B1855" s="39" t="s">
        <v>6133</v>
      </c>
      <c r="C1855" s="89"/>
      <c r="D1855" s="18">
        <v>101191</v>
      </c>
      <c r="E1855" s="2" t="s">
        <v>523</v>
      </c>
      <c r="F1855" s="15">
        <v>24581.200000000001</v>
      </c>
      <c r="G1855" s="41">
        <v>42791</v>
      </c>
      <c r="H1855" s="15">
        <f t="shared" si="52"/>
        <v>24581.200000000001</v>
      </c>
      <c r="I1855" s="15">
        <f t="shared" si="51"/>
        <v>0</v>
      </c>
      <c r="J1855" s="19"/>
    </row>
    <row r="1856" spans="1:10" ht="30" x14ac:dyDescent="0.25">
      <c r="A1856" s="82">
        <v>42781</v>
      </c>
      <c r="B1856" s="95" t="s">
        <v>6134</v>
      </c>
      <c r="C1856" s="96"/>
      <c r="D1856" s="54">
        <v>101192</v>
      </c>
      <c r="E1856" s="55" t="s">
        <v>21</v>
      </c>
      <c r="F1856" s="56">
        <v>46593</v>
      </c>
      <c r="G1856" s="87" t="s">
        <v>7755</v>
      </c>
      <c r="H1856" s="97">
        <f>18231.9+28361.1</f>
        <v>46593</v>
      </c>
      <c r="I1856" s="97">
        <f t="shared" si="51"/>
        <v>0</v>
      </c>
      <c r="J1856" s="19"/>
    </row>
    <row r="1857" spans="1:10" x14ac:dyDescent="0.25">
      <c r="A1857" s="82">
        <v>42781</v>
      </c>
      <c r="B1857" s="39" t="s">
        <v>6135</v>
      </c>
      <c r="C1857" s="89"/>
      <c r="D1857" s="18">
        <v>101193</v>
      </c>
      <c r="E1857" s="2" t="s">
        <v>125</v>
      </c>
      <c r="F1857" s="15">
        <v>6349.2</v>
      </c>
      <c r="G1857" s="41">
        <v>42782</v>
      </c>
      <c r="H1857" s="15">
        <f t="shared" si="52"/>
        <v>6349.2</v>
      </c>
      <c r="I1857" s="15">
        <f t="shared" si="51"/>
        <v>0</v>
      </c>
      <c r="J1857" s="19"/>
    </row>
    <row r="1858" spans="1:10" x14ac:dyDescent="0.25">
      <c r="A1858" s="82">
        <v>42781</v>
      </c>
      <c r="B1858" s="39" t="s">
        <v>6136</v>
      </c>
      <c r="C1858" s="89"/>
      <c r="D1858" s="18">
        <v>101194</v>
      </c>
      <c r="E1858" s="2" t="s">
        <v>921</v>
      </c>
      <c r="F1858" s="15">
        <v>2979.9</v>
      </c>
      <c r="G1858" s="41">
        <v>42782</v>
      </c>
      <c r="H1858" s="15">
        <f t="shared" si="52"/>
        <v>2979.9</v>
      </c>
      <c r="I1858" s="15">
        <f t="shared" si="51"/>
        <v>0</v>
      </c>
      <c r="J1858" s="19"/>
    </row>
    <row r="1859" spans="1:10" x14ac:dyDescent="0.25">
      <c r="A1859" s="82">
        <v>42781</v>
      </c>
      <c r="B1859" s="39" t="s">
        <v>6137</v>
      </c>
      <c r="C1859" s="89"/>
      <c r="D1859" s="18">
        <v>101195</v>
      </c>
      <c r="E1859" s="2" t="s">
        <v>176</v>
      </c>
      <c r="F1859" s="15">
        <v>2177.6999999999998</v>
      </c>
      <c r="G1859" s="41">
        <v>42781</v>
      </c>
      <c r="H1859" s="15">
        <f t="shared" si="52"/>
        <v>2177.6999999999998</v>
      </c>
      <c r="I1859" s="15">
        <f t="shared" si="51"/>
        <v>0</v>
      </c>
      <c r="J1859" s="19"/>
    </row>
    <row r="1860" spans="1:10" x14ac:dyDescent="0.25">
      <c r="A1860" s="82">
        <v>42781</v>
      </c>
      <c r="B1860" s="39" t="s">
        <v>6138</v>
      </c>
      <c r="C1860" s="89"/>
      <c r="D1860" s="18">
        <v>101196</v>
      </c>
      <c r="E1860" s="2" t="s">
        <v>10</v>
      </c>
      <c r="F1860" s="15">
        <v>118315.7</v>
      </c>
      <c r="G1860" s="41">
        <v>42784</v>
      </c>
      <c r="H1860" s="15">
        <f t="shared" si="52"/>
        <v>118315.7</v>
      </c>
      <c r="I1860" s="15">
        <f t="shared" si="51"/>
        <v>0</v>
      </c>
      <c r="J1860" s="19"/>
    </row>
    <row r="1861" spans="1:10" x14ac:dyDescent="0.25">
      <c r="A1861" s="82">
        <v>42781</v>
      </c>
      <c r="B1861" s="39" t="s">
        <v>6139</v>
      </c>
      <c r="C1861" s="89"/>
      <c r="D1861" s="18">
        <v>101197</v>
      </c>
      <c r="E1861" s="2" t="s">
        <v>226</v>
      </c>
      <c r="F1861" s="15">
        <v>2365.1999999999998</v>
      </c>
      <c r="G1861" s="41">
        <v>42781</v>
      </c>
      <c r="H1861" s="15">
        <f t="shared" si="52"/>
        <v>2365.1999999999998</v>
      </c>
      <c r="I1861" s="15">
        <f t="shared" si="51"/>
        <v>0</v>
      </c>
      <c r="J1861" s="19"/>
    </row>
    <row r="1862" spans="1:10" x14ac:dyDescent="0.25">
      <c r="A1862" s="82">
        <v>42781</v>
      </c>
      <c r="B1862" s="39" t="s">
        <v>6140</v>
      </c>
      <c r="C1862" s="89"/>
      <c r="D1862" s="18">
        <v>101198</v>
      </c>
      <c r="E1862" s="2" t="s">
        <v>10</v>
      </c>
      <c r="F1862" s="15">
        <v>54036.2</v>
      </c>
      <c r="G1862" s="41">
        <v>42784</v>
      </c>
      <c r="H1862" s="15">
        <f t="shared" si="52"/>
        <v>54036.2</v>
      </c>
      <c r="I1862" s="15">
        <f t="shared" si="51"/>
        <v>0</v>
      </c>
      <c r="J1862" s="19"/>
    </row>
    <row r="1863" spans="1:10" x14ac:dyDescent="0.25">
      <c r="A1863" s="82">
        <v>42781</v>
      </c>
      <c r="B1863" s="39" t="s">
        <v>6141</v>
      </c>
      <c r="C1863" s="89"/>
      <c r="D1863" s="18">
        <v>101199</v>
      </c>
      <c r="E1863" s="2" t="s">
        <v>10</v>
      </c>
      <c r="F1863" s="15">
        <v>4327.6000000000004</v>
      </c>
      <c r="G1863" s="41">
        <v>42784</v>
      </c>
      <c r="H1863" s="15">
        <f t="shared" si="52"/>
        <v>4327.6000000000004</v>
      </c>
      <c r="I1863" s="15">
        <f t="shared" si="51"/>
        <v>0</v>
      </c>
      <c r="J1863" s="19"/>
    </row>
    <row r="1864" spans="1:10" x14ac:dyDescent="0.25">
      <c r="A1864" s="82">
        <v>42781</v>
      </c>
      <c r="B1864" s="39" t="s">
        <v>6142</v>
      </c>
      <c r="C1864" s="89"/>
      <c r="D1864" s="18">
        <v>101200</v>
      </c>
      <c r="E1864" s="2" t="s">
        <v>55</v>
      </c>
      <c r="F1864" s="15">
        <v>7339.8</v>
      </c>
      <c r="G1864" s="41">
        <v>42781</v>
      </c>
      <c r="H1864" s="15">
        <f t="shared" si="52"/>
        <v>7339.8</v>
      </c>
      <c r="I1864" s="15">
        <f t="shared" si="51"/>
        <v>0</v>
      </c>
      <c r="J1864" s="19"/>
    </row>
    <row r="1865" spans="1:10" x14ac:dyDescent="0.25">
      <c r="A1865" s="82">
        <v>42781</v>
      </c>
      <c r="B1865" s="39" t="s">
        <v>6143</v>
      </c>
      <c r="C1865" s="89"/>
      <c r="D1865" s="18">
        <v>101201</v>
      </c>
      <c r="E1865" s="2" t="s">
        <v>220</v>
      </c>
      <c r="F1865" s="15">
        <v>4003.2</v>
      </c>
      <c r="G1865" s="41">
        <v>42782</v>
      </c>
      <c r="H1865" s="15">
        <f t="shared" si="52"/>
        <v>4003.2</v>
      </c>
      <c r="I1865" s="15">
        <f t="shared" si="51"/>
        <v>0</v>
      </c>
      <c r="J1865" s="19"/>
    </row>
    <row r="1866" spans="1:10" x14ac:dyDescent="0.25">
      <c r="A1866" s="82">
        <v>42781</v>
      </c>
      <c r="B1866" s="39"/>
      <c r="C1866" s="89"/>
      <c r="D1866" s="18">
        <v>102145.053434214</v>
      </c>
      <c r="E1866" s="2" t="s">
        <v>6144</v>
      </c>
      <c r="F1866" s="15">
        <v>15566.141968047399</v>
      </c>
      <c r="H1866" s="15">
        <f t="shared" si="52"/>
        <v>15566.141968047399</v>
      </c>
      <c r="I1866" s="15">
        <f t="shared" si="51"/>
        <v>0</v>
      </c>
      <c r="J1866" s="19"/>
    </row>
    <row r="1867" spans="1:10" x14ac:dyDescent="0.25">
      <c r="A1867" s="82">
        <v>42782</v>
      </c>
      <c r="B1867" s="39" t="s">
        <v>6145</v>
      </c>
      <c r="C1867" s="89"/>
      <c r="D1867" s="18">
        <v>101202</v>
      </c>
      <c r="E1867" s="2" t="s">
        <v>231</v>
      </c>
      <c r="F1867" s="15">
        <v>7552</v>
      </c>
      <c r="G1867" s="41">
        <v>42783</v>
      </c>
      <c r="H1867" s="15">
        <f t="shared" si="52"/>
        <v>7552</v>
      </c>
      <c r="I1867" s="15">
        <f t="shared" si="51"/>
        <v>0</v>
      </c>
      <c r="J1867" s="19"/>
    </row>
    <row r="1868" spans="1:10" x14ac:dyDescent="0.25">
      <c r="A1868" s="82">
        <v>42782</v>
      </c>
      <c r="B1868" s="39" t="s">
        <v>6146</v>
      </c>
      <c r="C1868" s="89"/>
      <c r="D1868" s="18">
        <v>101203</v>
      </c>
      <c r="E1868" s="2" t="s">
        <v>231</v>
      </c>
      <c r="F1868" s="15">
        <v>33622.199999999997</v>
      </c>
      <c r="G1868" s="41">
        <v>42783</v>
      </c>
      <c r="H1868" s="15">
        <f t="shared" si="52"/>
        <v>33622.199999999997</v>
      </c>
      <c r="I1868" s="15">
        <f t="shared" si="51"/>
        <v>0</v>
      </c>
      <c r="J1868" s="19"/>
    </row>
    <row r="1869" spans="1:10" x14ac:dyDescent="0.25">
      <c r="A1869" s="82">
        <v>42782</v>
      </c>
      <c r="B1869" s="39" t="s">
        <v>6147</v>
      </c>
      <c r="C1869" s="89"/>
      <c r="D1869" s="18">
        <v>101204</v>
      </c>
      <c r="E1869" s="13" t="s">
        <v>32</v>
      </c>
      <c r="F1869" s="14">
        <v>0</v>
      </c>
      <c r="G1869" s="88" t="s">
        <v>95</v>
      </c>
      <c r="H1869" s="14">
        <f t="shared" si="52"/>
        <v>0</v>
      </c>
      <c r="I1869" s="14">
        <f t="shared" si="51"/>
        <v>0</v>
      </c>
      <c r="J1869" s="19"/>
    </row>
    <row r="1870" spans="1:10" x14ac:dyDescent="0.25">
      <c r="A1870" s="82">
        <v>42782</v>
      </c>
      <c r="B1870" s="39" t="s">
        <v>6148</v>
      </c>
      <c r="C1870" s="89"/>
      <c r="D1870" s="18">
        <v>101205</v>
      </c>
      <c r="E1870" s="13" t="s">
        <v>38</v>
      </c>
      <c r="F1870" s="14">
        <v>0</v>
      </c>
      <c r="G1870" s="88" t="s">
        <v>95</v>
      </c>
      <c r="H1870" s="14">
        <f t="shared" si="52"/>
        <v>0</v>
      </c>
      <c r="I1870" s="14">
        <f t="shared" si="51"/>
        <v>0</v>
      </c>
      <c r="J1870" s="19"/>
    </row>
    <row r="1871" spans="1:10" x14ac:dyDescent="0.25">
      <c r="A1871" s="82">
        <v>42782</v>
      </c>
      <c r="B1871" s="39" t="s">
        <v>6149</v>
      </c>
      <c r="C1871" s="89"/>
      <c r="D1871" s="18">
        <v>101206</v>
      </c>
      <c r="E1871" s="2" t="s">
        <v>128</v>
      </c>
      <c r="F1871" s="15">
        <v>770</v>
      </c>
      <c r="H1871" s="15">
        <f t="shared" si="52"/>
        <v>770</v>
      </c>
      <c r="I1871" s="15">
        <f t="shared" si="51"/>
        <v>0</v>
      </c>
      <c r="J1871" s="19"/>
    </row>
    <row r="1872" spans="1:10" x14ac:dyDescent="0.25">
      <c r="A1872" s="82">
        <v>42782</v>
      </c>
      <c r="B1872" s="39" t="s">
        <v>6150</v>
      </c>
      <c r="C1872" s="89"/>
      <c r="D1872" s="18">
        <v>101207</v>
      </c>
      <c r="E1872" s="2" t="s">
        <v>277</v>
      </c>
      <c r="F1872" s="15">
        <v>3556.8</v>
      </c>
      <c r="G1872" s="41">
        <v>42782</v>
      </c>
      <c r="H1872" s="15">
        <f t="shared" si="52"/>
        <v>3556.8</v>
      </c>
      <c r="I1872" s="15">
        <f t="shared" si="51"/>
        <v>0</v>
      </c>
      <c r="J1872" s="19"/>
    </row>
    <row r="1873" spans="1:10" x14ac:dyDescent="0.25">
      <c r="A1873" s="82">
        <v>42782</v>
      </c>
      <c r="B1873" s="39" t="s">
        <v>6151</v>
      </c>
      <c r="C1873" s="89"/>
      <c r="D1873" s="18">
        <v>101208</v>
      </c>
      <c r="E1873" s="2" t="s">
        <v>30</v>
      </c>
      <c r="F1873" s="15">
        <v>4189.6000000000004</v>
      </c>
      <c r="G1873" s="41">
        <v>42782</v>
      </c>
      <c r="H1873" s="15">
        <f t="shared" si="52"/>
        <v>4189.6000000000004</v>
      </c>
      <c r="I1873" s="15">
        <f t="shared" si="51"/>
        <v>0</v>
      </c>
      <c r="J1873" s="19"/>
    </row>
    <row r="1874" spans="1:10" x14ac:dyDescent="0.25">
      <c r="A1874" s="82">
        <v>42782</v>
      </c>
      <c r="B1874" s="39" t="s">
        <v>6152</v>
      </c>
      <c r="C1874" s="89"/>
      <c r="D1874" s="18">
        <v>101209</v>
      </c>
      <c r="E1874" s="2" t="s">
        <v>468</v>
      </c>
      <c r="F1874" s="15">
        <v>19642.8</v>
      </c>
      <c r="G1874" s="41">
        <v>42787</v>
      </c>
      <c r="H1874" s="15">
        <f t="shared" si="52"/>
        <v>19642.8</v>
      </c>
      <c r="I1874" s="15">
        <f t="shared" si="51"/>
        <v>0</v>
      </c>
      <c r="J1874" s="19"/>
    </row>
    <row r="1875" spans="1:10" x14ac:dyDescent="0.25">
      <c r="A1875" s="82">
        <v>42782</v>
      </c>
      <c r="B1875" s="39" t="s">
        <v>6153</v>
      </c>
      <c r="C1875" s="89"/>
      <c r="D1875" s="18">
        <v>101210</v>
      </c>
      <c r="E1875" s="13" t="s">
        <v>5271</v>
      </c>
      <c r="F1875" s="14">
        <v>0</v>
      </c>
      <c r="G1875" s="88" t="s">
        <v>95</v>
      </c>
      <c r="H1875" s="14">
        <f t="shared" si="52"/>
        <v>0</v>
      </c>
      <c r="I1875" s="14">
        <f t="shared" si="51"/>
        <v>0</v>
      </c>
      <c r="J1875" s="19"/>
    </row>
    <row r="1876" spans="1:10" x14ac:dyDescent="0.25">
      <c r="A1876" s="82">
        <v>42782</v>
      </c>
      <c r="B1876" s="39" t="s">
        <v>6154</v>
      </c>
      <c r="C1876" s="89"/>
      <c r="D1876" s="18">
        <v>101211</v>
      </c>
      <c r="E1876" s="2" t="s">
        <v>465</v>
      </c>
      <c r="F1876" s="15">
        <v>6907.3</v>
      </c>
      <c r="G1876" s="41">
        <v>42789</v>
      </c>
      <c r="H1876" s="15">
        <f t="shared" si="52"/>
        <v>6907.3</v>
      </c>
      <c r="I1876" s="15">
        <f t="shared" si="51"/>
        <v>0</v>
      </c>
      <c r="J1876" s="19"/>
    </row>
    <row r="1877" spans="1:10" x14ac:dyDescent="0.25">
      <c r="A1877" s="82">
        <v>42782</v>
      </c>
      <c r="B1877" s="39" t="s">
        <v>6155</v>
      </c>
      <c r="C1877" s="89"/>
      <c r="D1877" s="18">
        <v>101212</v>
      </c>
      <c r="E1877" s="13" t="s">
        <v>49</v>
      </c>
      <c r="F1877" s="14">
        <v>0</v>
      </c>
      <c r="G1877" s="88" t="s">
        <v>95</v>
      </c>
      <c r="H1877" s="14">
        <f t="shared" si="52"/>
        <v>0</v>
      </c>
      <c r="I1877" s="14">
        <f t="shared" si="51"/>
        <v>0</v>
      </c>
      <c r="J1877" s="19"/>
    </row>
    <row r="1878" spans="1:10" x14ac:dyDescent="0.25">
      <c r="A1878" s="82">
        <v>42782</v>
      </c>
      <c r="B1878" s="39" t="s">
        <v>6156</v>
      </c>
      <c r="C1878" s="89"/>
      <c r="D1878" s="18">
        <v>101213</v>
      </c>
      <c r="E1878" s="2" t="s">
        <v>26</v>
      </c>
      <c r="F1878" s="15">
        <v>4003.6</v>
      </c>
      <c r="G1878" s="41">
        <v>42782</v>
      </c>
      <c r="H1878" s="15">
        <f t="shared" si="52"/>
        <v>4003.6</v>
      </c>
      <c r="I1878" s="15">
        <f t="shared" si="51"/>
        <v>0</v>
      </c>
    </row>
    <row r="1879" spans="1:10" x14ac:dyDescent="0.25">
      <c r="A1879" s="82">
        <v>42782</v>
      </c>
      <c r="B1879" s="39" t="s">
        <v>6157</v>
      </c>
      <c r="C1879" s="89"/>
      <c r="D1879" s="18">
        <v>101214</v>
      </c>
      <c r="E1879" s="13" t="s">
        <v>184</v>
      </c>
      <c r="F1879" s="14">
        <v>0</v>
      </c>
      <c r="G1879" s="88" t="s">
        <v>95</v>
      </c>
      <c r="H1879" s="14">
        <f t="shared" si="52"/>
        <v>0</v>
      </c>
      <c r="I1879" s="14">
        <f t="shared" si="51"/>
        <v>0</v>
      </c>
    </row>
    <row r="1880" spans="1:10" x14ac:dyDescent="0.25">
      <c r="A1880" s="82">
        <v>42782</v>
      </c>
      <c r="B1880" s="39" t="s">
        <v>6158</v>
      </c>
      <c r="C1880" s="89"/>
      <c r="D1880" s="18">
        <v>101215</v>
      </c>
      <c r="E1880" s="13" t="s">
        <v>17</v>
      </c>
      <c r="F1880" s="14">
        <v>0</v>
      </c>
      <c r="G1880" s="88" t="s">
        <v>95</v>
      </c>
      <c r="H1880" s="14">
        <f t="shared" si="52"/>
        <v>0</v>
      </c>
      <c r="I1880" s="14">
        <f t="shared" si="51"/>
        <v>0</v>
      </c>
    </row>
    <row r="1881" spans="1:10" x14ac:dyDescent="0.25">
      <c r="A1881" s="82">
        <v>42782</v>
      </c>
      <c r="B1881" s="39" t="s">
        <v>6159</v>
      </c>
      <c r="C1881" s="89"/>
      <c r="D1881" s="18">
        <v>101216</v>
      </c>
      <c r="E1881" s="2" t="s">
        <v>28</v>
      </c>
      <c r="F1881" s="15">
        <v>7182</v>
      </c>
      <c r="G1881" s="41">
        <v>42782</v>
      </c>
      <c r="H1881" s="15">
        <f t="shared" si="52"/>
        <v>7182</v>
      </c>
      <c r="I1881" s="15">
        <f t="shared" si="51"/>
        <v>0</v>
      </c>
    </row>
    <row r="1882" spans="1:10" x14ac:dyDescent="0.25">
      <c r="A1882" s="82">
        <v>42782</v>
      </c>
      <c r="B1882" s="39" t="s">
        <v>6160</v>
      </c>
      <c r="C1882" s="89"/>
      <c r="D1882" s="18">
        <v>101217</v>
      </c>
      <c r="E1882" s="2" t="s">
        <v>405</v>
      </c>
      <c r="F1882" s="15">
        <v>4835.6000000000004</v>
      </c>
      <c r="G1882" s="41">
        <v>42782</v>
      </c>
      <c r="H1882" s="15">
        <f t="shared" si="52"/>
        <v>4835.6000000000004</v>
      </c>
      <c r="I1882" s="15">
        <f t="shared" si="51"/>
        <v>0</v>
      </c>
    </row>
    <row r="1883" spans="1:10" x14ac:dyDescent="0.25">
      <c r="A1883" s="82">
        <v>42782</v>
      </c>
      <c r="B1883" s="39" t="s">
        <v>6161</v>
      </c>
      <c r="C1883" s="89"/>
      <c r="D1883" s="18">
        <v>101218</v>
      </c>
      <c r="E1883" s="13" t="s">
        <v>428</v>
      </c>
      <c r="F1883" s="14">
        <v>0</v>
      </c>
      <c r="G1883" s="88" t="s">
        <v>95</v>
      </c>
      <c r="H1883" s="14">
        <f t="shared" si="52"/>
        <v>0</v>
      </c>
      <c r="I1883" s="14">
        <f t="shared" si="51"/>
        <v>0</v>
      </c>
    </row>
    <row r="1884" spans="1:10" x14ac:dyDescent="0.25">
      <c r="A1884" s="82">
        <v>42782</v>
      </c>
      <c r="B1884" s="39" t="s">
        <v>6162</v>
      </c>
      <c r="C1884" s="89"/>
      <c r="D1884" s="18">
        <v>101219</v>
      </c>
      <c r="E1884" s="13" t="s">
        <v>53</v>
      </c>
      <c r="F1884" s="14">
        <v>0</v>
      </c>
      <c r="G1884" s="88" t="s">
        <v>95</v>
      </c>
      <c r="H1884" s="14">
        <f t="shared" si="52"/>
        <v>0</v>
      </c>
      <c r="I1884" s="14">
        <f t="shared" si="51"/>
        <v>0</v>
      </c>
    </row>
    <row r="1885" spans="1:10" x14ac:dyDescent="0.25">
      <c r="A1885" s="82">
        <v>42782</v>
      </c>
      <c r="B1885" s="39" t="s">
        <v>6163</v>
      </c>
      <c r="C1885" s="89"/>
      <c r="D1885" s="18">
        <v>101220</v>
      </c>
      <c r="E1885" s="13" t="s">
        <v>45</v>
      </c>
      <c r="F1885" s="14">
        <v>0</v>
      </c>
      <c r="G1885" s="88" t="s">
        <v>95</v>
      </c>
      <c r="H1885" s="14">
        <f t="shared" si="52"/>
        <v>0</v>
      </c>
      <c r="I1885" s="14">
        <f t="shared" si="51"/>
        <v>0</v>
      </c>
    </row>
    <row r="1886" spans="1:10" x14ac:dyDescent="0.25">
      <c r="A1886" s="82">
        <v>42782</v>
      </c>
      <c r="B1886" s="39" t="s">
        <v>6164</v>
      </c>
      <c r="C1886" s="89"/>
      <c r="D1886" s="18">
        <v>101221</v>
      </c>
      <c r="E1886" s="13" t="s">
        <v>331</v>
      </c>
      <c r="F1886" s="14">
        <v>0</v>
      </c>
      <c r="G1886" s="88" t="s">
        <v>95</v>
      </c>
      <c r="H1886" s="14">
        <f t="shared" si="52"/>
        <v>0</v>
      </c>
      <c r="I1886" s="14">
        <f t="shared" si="51"/>
        <v>0</v>
      </c>
    </row>
    <row r="1887" spans="1:10" x14ac:dyDescent="0.25">
      <c r="A1887" s="82">
        <v>42782</v>
      </c>
      <c r="B1887" s="39" t="s">
        <v>6165</v>
      </c>
      <c r="C1887" s="89"/>
      <c r="D1887" s="18">
        <v>101222</v>
      </c>
      <c r="E1887" s="13" t="s">
        <v>57</v>
      </c>
      <c r="F1887" s="14">
        <v>0</v>
      </c>
      <c r="G1887" s="88" t="s">
        <v>95</v>
      </c>
      <c r="H1887" s="14">
        <f t="shared" si="52"/>
        <v>0</v>
      </c>
      <c r="I1887" s="14">
        <f t="shared" si="51"/>
        <v>0</v>
      </c>
    </row>
    <row r="1888" spans="1:10" x14ac:dyDescent="0.25">
      <c r="A1888" s="82">
        <v>42782</v>
      </c>
      <c r="B1888" s="39" t="s">
        <v>6166</v>
      </c>
      <c r="C1888" s="89"/>
      <c r="D1888" s="18">
        <v>101223</v>
      </c>
      <c r="E1888" s="13" t="s">
        <v>69</v>
      </c>
      <c r="F1888" s="14">
        <v>0</v>
      </c>
      <c r="G1888" s="88" t="s">
        <v>95</v>
      </c>
      <c r="H1888" s="14">
        <f t="shared" si="52"/>
        <v>0</v>
      </c>
      <c r="I1888" s="14">
        <f t="shared" si="51"/>
        <v>0</v>
      </c>
    </row>
    <row r="1889" spans="1:9" x14ac:dyDescent="0.25">
      <c r="A1889" s="82">
        <v>42782</v>
      </c>
      <c r="B1889" s="39" t="s">
        <v>6167</v>
      </c>
      <c r="C1889" s="89"/>
      <c r="D1889" s="18">
        <v>101224</v>
      </c>
      <c r="E1889" s="13" t="s">
        <v>30</v>
      </c>
      <c r="F1889" s="14">
        <v>0</v>
      </c>
      <c r="G1889" s="88" t="s">
        <v>95</v>
      </c>
      <c r="H1889" s="14">
        <f t="shared" si="52"/>
        <v>0</v>
      </c>
      <c r="I1889" s="14">
        <f t="shared" si="51"/>
        <v>0</v>
      </c>
    </row>
    <row r="1890" spans="1:9" x14ac:dyDescent="0.25">
      <c r="A1890" s="82">
        <v>42782</v>
      </c>
      <c r="B1890" s="39" t="s">
        <v>6168</v>
      </c>
      <c r="C1890" s="89"/>
      <c r="D1890" s="18">
        <v>101225</v>
      </c>
      <c r="E1890" s="2" t="s">
        <v>135</v>
      </c>
      <c r="F1890" s="15">
        <v>4218.5</v>
      </c>
      <c r="G1890" s="41">
        <v>42782</v>
      </c>
      <c r="H1890" s="15">
        <f t="shared" si="52"/>
        <v>4218.5</v>
      </c>
      <c r="I1890" s="15">
        <f t="shared" si="51"/>
        <v>0</v>
      </c>
    </row>
    <row r="1891" spans="1:9" x14ac:dyDescent="0.25">
      <c r="A1891" s="82">
        <v>42782</v>
      </c>
      <c r="B1891" s="39" t="s">
        <v>6169</v>
      </c>
      <c r="C1891" s="89"/>
      <c r="D1891" s="18">
        <v>101226</v>
      </c>
      <c r="E1891" s="13" t="s">
        <v>188</v>
      </c>
      <c r="F1891" s="14">
        <v>0</v>
      </c>
      <c r="G1891" s="88" t="s">
        <v>95</v>
      </c>
      <c r="H1891" s="14">
        <f t="shared" si="52"/>
        <v>0</v>
      </c>
      <c r="I1891" s="14">
        <f t="shared" si="51"/>
        <v>0</v>
      </c>
    </row>
    <row r="1892" spans="1:9" x14ac:dyDescent="0.25">
      <c r="A1892" s="82">
        <v>42782</v>
      </c>
      <c r="B1892" s="39" t="s">
        <v>6170</v>
      </c>
      <c r="C1892" s="89"/>
      <c r="D1892" s="18">
        <v>101227</v>
      </c>
      <c r="E1892" s="2" t="s">
        <v>236</v>
      </c>
      <c r="F1892" s="15">
        <v>138148.79999999999</v>
      </c>
      <c r="G1892" s="41">
        <v>42791</v>
      </c>
      <c r="H1892" s="15">
        <f t="shared" si="52"/>
        <v>138148.79999999999</v>
      </c>
      <c r="I1892" s="15">
        <f t="shared" si="51"/>
        <v>0</v>
      </c>
    </row>
    <row r="1893" spans="1:9" x14ac:dyDescent="0.25">
      <c r="A1893" s="82">
        <v>42782</v>
      </c>
      <c r="B1893" s="39" t="s">
        <v>6171</v>
      </c>
      <c r="C1893" s="89"/>
      <c r="D1893" s="18">
        <v>101228</v>
      </c>
      <c r="E1893" s="2" t="s">
        <v>414</v>
      </c>
      <c r="F1893" s="15">
        <v>2189.9</v>
      </c>
      <c r="G1893" s="41">
        <v>42782</v>
      </c>
      <c r="H1893" s="15">
        <f t="shared" si="52"/>
        <v>2189.9</v>
      </c>
      <c r="I1893" s="15">
        <f t="shared" si="51"/>
        <v>0</v>
      </c>
    </row>
    <row r="1894" spans="1:9" x14ac:dyDescent="0.25">
      <c r="A1894" s="82">
        <v>42782</v>
      </c>
      <c r="B1894" s="39" t="s">
        <v>6172</v>
      </c>
      <c r="C1894" s="89"/>
      <c r="D1894" s="18">
        <v>101229</v>
      </c>
      <c r="E1894" s="13" t="s">
        <v>71</v>
      </c>
      <c r="F1894" s="14">
        <v>0</v>
      </c>
      <c r="G1894" s="88" t="s">
        <v>95</v>
      </c>
      <c r="H1894" s="14">
        <f t="shared" si="52"/>
        <v>0</v>
      </c>
      <c r="I1894" s="14">
        <f t="shared" si="51"/>
        <v>0</v>
      </c>
    </row>
    <row r="1895" spans="1:9" x14ac:dyDescent="0.25">
      <c r="A1895" s="82">
        <v>42782</v>
      </c>
      <c r="B1895" s="39" t="s">
        <v>6173</v>
      </c>
      <c r="C1895" s="89"/>
      <c r="D1895" s="18">
        <v>101230</v>
      </c>
      <c r="E1895" s="13" t="s">
        <v>253</v>
      </c>
      <c r="F1895" s="14">
        <v>0</v>
      </c>
      <c r="G1895" s="88" t="s">
        <v>95</v>
      </c>
      <c r="H1895" s="14">
        <f t="shared" si="52"/>
        <v>0</v>
      </c>
      <c r="I1895" s="14">
        <f t="shared" si="51"/>
        <v>0</v>
      </c>
    </row>
    <row r="1896" spans="1:9" x14ac:dyDescent="0.25">
      <c r="A1896" s="82">
        <v>42782</v>
      </c>
      <c r="B1896" s="39" t="s">
        <v>6174</v>
      </c>
      <c r="C1896" s="89"/>
      <c r="D1896" s="18">
        <v>101231</v>
      </c>
      <c r="E1896" s="2" t="s">
        <v>1335</v>
      </c>
      <c r="F1896" s="15">
        <v>3163.5</v>
      </c>
      <c r="G1896" s="41">
        <v>42782</v>
      </c>
      <c r="H1896" s="15">
        <f t="shared" si="52"/>
        <v>3163.5</v>
      </c>
      <c r="I1896" s="15">
        <f t="shared" si="51"/>
        <v>0</v>
      </c>
    </row>
    <row r="1897" spans="1:9" x14ac:dyDescent="0.25">
      <c r="A1897" s="82">
        <v>42782</v>
      </c>
      <c r="B1897" s="39" t="s">
        <v>6175</v>
      </c>
      <c r="C1897" s="89"/>
      <c r="D1897" s="18">
        <v>101232</v>
      </c>
      <c r="E1897" s="2" t="s">
        <v>47</v>
      </c>
      <c r="F1897" s="15">
        <v>2111.4</v>
      </c>
      <c r="G1897" s="41">
        <v>42782</v>
      </c>
      <c r="H1897" s="15">
        <f t="shared" si="52"/>
        <v>2111.4</v>
      </c>
      <c r="I1897" s="15">
        <f t="shared" si="51"/>
        <v>0</v>
      </c>
    </row>
    <row r="1898" spans="1:9" x14ac:dyDescent="0.25">
      <c r="A1898" s="82">
        <v>42782</v>
      </c>
      <c r="B1898" s="39" t="s">
        <v>6176</v>
      </c>
      <c r="C1898" s="89"/>
      <c r="D1898" s="18">
        <v>101233</v>
      </c>
      <c r="E1898" s="2" t="s">
        <v>10</v>
      </c>
      <c r="F1898" s="15">
        <v>920.7</v>
      </c>
      <c r="G1898" s="41">
        <v>42784</v>
      </c>
      <c r="H1898" s="15">
        <f t="shared" si="52"/>
        <v>920.7</v>
      </c>
      <c r="I1898" s="15">
        <f t="shared" si="51"/>
        <v>0</v>
      </c>
    </row>
    <row r="1899" spans="1:9" x14ac:dyDescent="0.25">
      <c r="A1899" s="82">
        <v>42782</v>
      </c>
      <c r="B1899" s="39" t="s">
        <v>6177</v>
      </c>
      <c r="C1899" s="89"/>
      <c r="D1899" s="18">
        <v>101234</v>
      </c>
      <c r="E1899" s="2" t="s">
        <v>17</v>
      </c>
      <c r="F1899" s="15">
        <v>2695</v>
      </c>
      <c r="G1899" s="41">
        <v>42782</v>
      </c>
      <c r="H1899" s="15">
        <f t="shared" si="52"/>
        <v>2695</v>
      </c>
      <c r="I1899" s="15">
        <f t="shared" si="51"/>
        <v>0</v>
      </c>
    </row>
    <row r="1900" spans="1:9" x14ac:dyDescent="0.25">
      <c r="A1900" s="82">
        <v>42782</v>
      </c>
      <c r="B1900" s="39" t="s">
        <v>6178</v>
      </c>
      <c r="C1900" s="89"/>
      <c r="D1900" s="18">
        <v>101235</v>
      </c>
      <c r="E1900" s="2" t="s">
        <v>30</v>
      </c>
      <c r="F1900" s="15">
        <v>1307</v>
      </c>
      <c r="G1900" s="41">
        <v>42782</v>
      </c>
      <c r="H1900" s="15">
        <f t="shared" si="52"/>
        <v>1307</v>
      </c>
      <c r="I1900" s="15">
        <f t="shared" si="51"/>
        <v>0</v>
      </c>
    </row>
    <row r="1901" spans="1:9" x14ac:dyDescent="0.25">
      <c r="A1901" s="82">
        <v>42782</v>
      </c>
      <c r="B1901" s="39" t="s">
        <v>6179</v>
      </c>
      <c r="C1901" s="89"/>
      <c r="D1901" s="18">
        <v>101236</v>
      </c>
      <c r="E1901" s="2" t="s">
        <v>69</v>
      </c>
      <c r="F1901" s="15">
        <v>3595.2</v>
      </c>
      <c r="G1901" s="41">
        <v>42782</v>
      </c>
      <c r="H1901" s="15">
        <f t="shared" si="52"/>
        <v>3595.2</v>
      </c>
      <c r="I1901" s="15">
        <f t="shared" si="51"/>
        <v>0</v>
      </c>
    </row>
    <row r="1902" spans="1:9" x14ac:dyDescent="0.25">
      <c r="A1902" s="82">
        <v>42782</v>
      </c>
      <c r="B1902" s="39" t="s">
        <v>6180</v>
      </c>
      <c r="C1902" s="89"/>
      <c r="D1902" s="18">
        <v>101237</v>
      </c>
      <c r="E1902" s="2" t="s">
        <v>71</v>
      </c>
      <c r="F1902" s="15">
        <v>1879.5</v>
      </c>
      <c r="G1902" s="41">
        <v>42782</v>
      </c>
      <c r="H1902" s="15">
        <f t="shared" si="52"/>
        <v>1879.5</v>
      </c>
      <c r="I1902" s="15">
        <f t="shared" si="51"/>
        <v>0</v>
      </c>
    </row>
    <row r="1903" spans="1:9" x14ac:dyDescent="0.25">
      <c r="A1903" s="82">
        <v>42782</v>
      </c>
      <c r="B1903" s="39" t="s">
        <v>6181</v>
      </c>
      <c r="C1903" s="89"/>
      <c r="D1903" s="18">
        <v>101238</v>
      </c>
      <c r="E1903" s="13" t="s">
        <v>231</v>
      </c>
      <c r="F1903" s="14">
        <v>0</v>
      </c>
      <c r="G1903" s="88" t="s">
        <v>95</v>
      </c>
      <c r="H1903" s="14">
        <f t="shared" si="52"/>
        <v>0</v>
      </c>
      <c r="I1903" s="14">
        <f t="shared" si="51"/>
        <v>0</v>
      </c>
    </row>
    <row r="1904" spans="1:9" x14ac:dyDescent="0.25">
      <c r="A1904" s="82">
        <v>42782</v>
      </c>
      <c r="B1904" s="39" t="s">
        <v>6182</v>
      </c>
      <c r="C1904" s="89"/>
      <c r="D1904" s="18">
        <v>101239</v>
      </c>
      <c r="E1904" s="2" t="s">
        <v>49</v>
      </c>
      <c r="F1904" s="15">
        <v>9805</v>
      </c>
      <c r="G1904" s="41">
        <v>42786</v>
      </c>
      <c r="H1904" s="15">
        <f t="shared" si="52"/>
        <v>9805</v>
      </c>
      <c r="I1904" s="15">
        <f t="shared" si="51"/>
        <v>0</v>
      </c>
    </row>
    <row r="1905" spans="1:9" x14ac:dyDescent="0.25">
      <c r="A1905" s="82">
        <v>42782</v>
      </c>
      <c r="B1905" s="39" t="s">
        <v>6183</v>
      </c>
      <c r="C1905" s="89"/>
      <c r="D1905" s="18">
        <v>101240</v>
      </c>
      <c r="E1905" s="2" t="s">
        <v>51</v>
      </c>
      <c r="F1905" s="15">
        <v>3397.4</v>
      </c>
      <c r="G1905" s="41">
        <v>42784</v>
      </c>
      <c r="H1905" s="15">
        <f t="shared" si="52"/>
        <v>3397.4</v>
      </c>
      <c r="I1905" s="15">
        <f t="shared" si="51"/>
        <v>0</v>
      </c>
    </row>
    <row r="1906" spans="1:9" ht="30" x14ac:dyDescent="0.25">
      <c r="A1906" s="82">
        <v>42782</v>
      </c>
      <c r="B1906" s="39" t="s">
        <v>6184</v>
      </c>
      <c r="C1906" s="89"/>
      <c r="D1906" s="18">
        <v>101241</v>
      </c>
      <c r="E1906" s="2" t="s">
        <v>38</v>
      </c>
      <c r="F1906" s="15">
        <v>3412.5</v>
      </c>
      <c r="G1906" s="87" t="s">
        <v>5412</v>
      </c>
      <c r="H1906" s="20">
        <f>2412+1000.5</f>
        <v>3412.5</v>
      </c>
      <c r="I1906" s="20">
        <f t="shared" si="51"/>
        <v>0</v>
      </c>
    </row>
    <row r="1907" spans="1:9" ht="30" x14ac:dyDescent="0.25">
      <c r="A1907" s="82">
        <v>42782</v>
      </c>
      <c r="B1907" s="39" t="s">
        <v>6185</v>
      </c>
      <c r="C1907" s="89"/>
      <c r="D1907" s="18">
        <v>101242</v>
      </c>
      <c r="E1907" s="2" t="s">
        <v>250</v>
      </c>
      <c r="F1907" s="15">
        <v>7740.6</v>
      </c>
      <c r="G1907" s="87" t="s">
        <v>5952</v>
      </c>
      <c r="H1907" s="20">
        <f>7400+340.6</f>
        <v>7740.6</v>
      </c>
      <c r="I1907" s="20">
        <f t="shared" si="51"/>
        <v>0</v>
      </c>
    </row>
    <row r="1908" spans="1:9" x14ac:dyDescent="0.25">
      <c r="A1908" s="82">
        <v>42782</v>
      </c>
      <c r="B1908" s="39" t="s">
        <v>6186</v>
      </c>
      <c r="C1908" s="89"/>
      <c r="D1908" s="18">
        <v>101243</v>
      </c>
      <c r="E1908" s="2" t="s">
        <v>35</v>
      </c>
      <c r="F1908" s="15">
        <v>12744.3</v>
      </c>
      <c r="G1908" s="86">
        <v>42783</v>
      </c>
      <c r="H1908" s="23">
        <f>10700</f>
        <v>10700</v>
      </c>
      <c r="I1908" s="23">
        <f t="shared" si="51"/>
        <v>2044.2999999999993</v>
      </c>
    </row>
    <row r="1909" spans="1:9" x14ac:dyDescent="0.25">
      <c r="A1909" s="82">
        <v>42782</v>
      </c>
      <c r="B1909" s="39" t="s">
        <v>6187</v>
      </c>
      <c r="C1909" s="89"/>
      <c r="D1909" s="18">
        <v>101244</v>
      </c>
      <c r="E1909" s="2" t="s">
        <v>32</v>
      </c>
      <c r="F1909" s="15">
        <v>6465</v>
      </c>
      <c r="G1909" s="41">
        <v>42788</v>
      </c>
      <c r="H1909" s="15">
        <f t="shared" si="52"/>
        <v>6465</v>
      </c>
      <c r="I1909" s="15">
        <f t="shared" si="51"/>
        <v>0</v>
      </c>
    </row>
    <row r="1910" spans="1:9" x14ac:dyDescent="0.25">
      <c r="A1910" s="82">
        <v>42782</v>
      </c>
      <c r="B1910" s="39" t="s">
        <v>6188</v>
      </c>
      <c r="C1910" s="89"/>
      <c r="D1910" s="18">
        <v>101245</v>
      </c>
      <c r="E1910" s="2" t="s">
        <v>253</v>
      </c>
      <c r="F1910" s="15">
        <v>3322.6</v>
      </c>
      <c r="G1910" s="41">
        <v>42783</v>
      </c>
      <c r="H1910" s="15">
        <f t="shared" si="52"/>
        <v>3322.6</v>
      </c>
      <c r="I1910" s="15">
        <f t="shared" si="51"/>
        <v>0</v>
      </c>
    </row>
    <row r="1911" spans="1:9" x14ac:dyDescent="0.25">
      <c r="A1911" s="82">
        <v>42782</v>
      </c>
      <c r="B1911" s="39" t="s">
        <v>6189</v>
      </c>
      <c r="C1911" s="89"/>
      <c r="D1911" s="18">
        <v>101246</v>
      </c>
      <c r="E1911" s="2" t="s">
        <v>40</v>
      </c>
      <c r="F1911" s="15">
        <v>3514.2</v>
      </c>
      <c r="G1911" s="41">
        <v>42783</v>
      </c>
      <c r="H1911" s="15">
        <f t="shared" si="52"/>
        <v>3514.2</v>
      </c>
      <c r="I1911" s="15">
        <f t="shared" si="51"/>
        <v>0</v>
      </c>
    </row>
    <row r="1912" spans="1:9" x14ac:dyDescent="0.25">
      <c r="A1912" s="82">
        <v>42782</v>
      </c>
      <c r="B1912" s="39" t="s">
        <v>6190</v>
      </c>
      <c r="C1912" s="89"/>
      <c r="D1912" s="18">
        <v>101247</v>
      </c>
      <c r="E1912" s="2" t="s">
        <v>43</v>
      </c>
      <c r="F1912" s="15">
        <v>5917.2</v>
      </c>
      <c r="G1912" s="41">
        <v>42783</v>
      </c>
      <c r="H1912" s="15">
        <f t="shared" si="52"/>
        <v>5917.2</v>
      </c>
      <c r="I1912" s="15">
        <f t="shared" ref="I1912:I1975" si="53">F1912-H1912</f>
        <v>0</v>
      </c>
    </row>
    <row r="1913" spans="1:9" x14ac:dyDescent="0.25">
      <c r="A1913" s="82">
        <v>42782</v>
      </c>
      <c r="B1913" s="39" t="s">
        <v>6191</v>
      </c>
      <c r="C1913" s="89"/>
      <c r="D1913" s="18">
        <v>101248</v>
      </c>
      <c r="E1913" s="2" t="s">
        <v>428</v>
      </c>
      <c r="F1913" s="15">
        <v>3535.8</v>
      </c>
      <c r="G1913" s="41">
        <v>42784</v>
      </c>
      <c r="H1913" s="15">
        <f t="shared" si="52"/>
        <v>3535.8</v>
      </c>
      <c r="I1913" s="15">
        <f t="shared" si="53"/>
        <v>0</v>
      </c>
    </row>
    <row r="1914" spans="1:9" x14ac:dyDescent="0.25">
      <c r="A1914" s="82">
        <v>42782</v>
      </c>
      <c r="B1914" s="39" t="s">
        <v>6192</v>
      </c>
      <c r="C1914" s="89"/>
      <c r="D1914" s="18">
        <v>101249</v>
      </c>
      <c r="E1914" s="2" t="s">
        <v>426</v>
      </c>
      <c r="F1914" s="15">
        <v>24312.6</v>
      </c>
      <c r="G1914" s="41">
        <v>42787</v>
      </c>
      <c r="H1914" s="15">
        <f t="shared" si="52"/>
        <v>24312.6</v>
      </c>
      <c r="I1914" s="15">
        <f t="shared" si="53"/>
        <v>0</v>
      </c>
    </row>
    <row r="1915" spans="1:9" x14ac:dyDescent="0.25">
      <c r="A1915" s="82">
        <v>42782</v>
      </c>
      <c r="B1915" s="39" t="s">
        <v>6193</v>
      </c>
      <c r="C1915" s="89"/>
      <c r="D1915" s="18">
        <v>101250</v>
      </c>
      <c r="E1915" s="2" t="s">
        <v>61</v>
      </c>
      <c r="F1915" s="15">
        <v>2419.5</v>
      </c>
      <c r="G1915" s="41">
        <v>42782</v>
      </c>
      <c r="H1915" s="15">
        <f t="shared" si="52"/>
        <v>2419.5</v>
      </c>
      <c r="I1915" s="15">
        <f t="shared" si="53"/>
        <v>0</v>
      </c>
    </row>
    <row r="1916" spans="1:9" x14ac:dyDescent="0.25">
      <c r="A1916" s="82">
        <v>42782</v>
      </c>
      <c r="B1916" s="39" t="s">
        <v>6194</v>
      </c>
      <c r="C1916" s="89"/>
      <c r="D1916" s="18">
        <v>101251</v>
      </c>
      <c r="E1916" s="2" t="s">
        <v>331</v>
      </c>
      <c r="F1916" s="15">
        <v>1561.6</v>
      </c>
      <c r="G1916" s="41">
        <v>42782</v>
      </c>
      <c r="H1916" s="15">
        <f t="shared" si="52"/>
        <v>1561.6</v>
      </c>
      <c r="I1916" s="15">
        <f t="shared" si="53"/>
        <v>0</v>
      </c>
    </row>
    <row r="1917" spans="1:9" x14ac:dyDescent="0.25">
      <c r="A1917" s="82">
        <v>42782</v>
      </c>
      <c r="B1917" s="39" t="s">
        <v>6195</v>
      </c>
      <c r="C1917" s="89"/>
      <c r="D1917" s="18">
        <v>101252</v>
      </c>
      <c r="E1917" s="2" t="s">
        <v>57</v>
      </c>
      <c r="F1917" s="15">
        <v>592.9</v>
      </c>
      <c r="G1917" s="41">
        <v>42782</v>
      </c>
      <c r="H1917" s="15">
        <f t="shared" ref="H1917:H1980" si="54">F1917</f>
        <v>592.9</v>
      </c>
      <c r="I1917" s="15">
        <f t="shared" si="53"/>
        <v>0</v>
      </c>
    </row>
    <row r="1918" spans="1:9" x14ac:dyDescent="0.25">
      <c r="A1918" s="82">
        <v>42782</v>
      </c>
      <c r="B1918" s="39" t="s">
        <v>6196</v>
      </c>
      <c r="C1918" s="89"/>
      <c r="D1918" s="18">
        <v>101253</v>
      </c>
      <c r="E1918" s="2" t="s">
        <v>188</v>
      </c>
      <c r="F1918" s="15">
        <v>3975.9</v>
      </c>
      <c r="G1918" s="41">
        <v>42782</v>
      </c>
      <c r="H1918" s="15">
        <f t="shared" si="54"/>
        <v>3975.9</v>
      </c>
      <c r="I1918" s="15">
        <f t="shared" si="53"/>
        <v>0</v>
      </c>
    </row>
    <row r="1919" spans="1:9" x14ac:dyDescent="0.25">
      <c r="A1919" s="82">
        <v>42782</v>
      </c>
      <c r="B1919" s="39" t="s">
        <v>6197</v>
      </c>
      <c r="C1919" s="89"/>
      <c r="D1919" s="18">
        <v>101254</v>
      </c>
      <c r="E1919" s="2" t="s">
        <v>45</v>
      </c>
      <c r="F1919" s="15">
        <v>1276.8</v>
      </c>
      <c r="G1919" s="41">
        <v>42782</v>
      </c>
      <c r="H1919" s="15">
        <f t="shared" si="54"/>
        <v>1276.8</v>
      </c>
      <c r="I1919" s="15">
        <f t="shared" si="53"/>
        <v>0</v>
      </c>
    </row>
    <row r="1920" spans="1:9" x14ac:dyDescent="0.25">
      <c r="A1920" s="82">
        <v>42782</v>
      </c>
      <c r="B1920" s="39" t="s">
        <v>6198</v>
      </c>
      <c r="C1920" s="89"/>
      <c r="D1920" s="18">
        <v>101255</v>
      </c>
      <c r="E1920" s="2" t="s">
        <v>53</v>
      </c>
      <c r="F1920" s="15">
        <v>2932.8</v>
      </c>
      <c r="G1920" s="41">
        <v>42782</v>
      </c>
      <c r="H1920" s="15">
        <f t="shared" si="54"/>
        <v>2932.8</v>
      </c>
      <c r="I1920" s="15">
        <f t="shared" si="53"/>
        <v>0</v>
      </c>
    </row>
    <row r="1921" spans="1:9" x14ac:dyDescent="0.25">
      <c r="A1921" s="82">
        <v>42782</v>
      </c>
      <c r="B1921" s="39" t="s">
        <v>6199</v>
      </c>
      <c r="C1921" s="89"/>
      <c r="D1921" s="18">
        <v>101256</v>
      </c>
      <c r="E1921" s="2" t="s">
        <v>184</v>
      </c>
      <c r="F1921" s="15">
        <v>3224.2</v>
      </c>
      <c r="G1921" s="41">
        <v>42782</v>
      </c>
      <c r="H1921" s="15">
        <f t="shared" si="54"/>
        <v>3224.2</v>
      </c>
      <c r="I1921" s="15">
        <f t="shared" si="53"/>
        <v>0</v>
      </c>
    </row>
    <row r="1922" spans="1:9" x14ac:dyDescent="0.25">
      <c r="A1922" s="82">
        <v>42782</v>
      </c>
      <c r="B1922" s="39" t="s">
        <v>6200</v>
      </c>
      <c r="C1922" s="89"/>
      <c r="D1922" s="18">
        <v>101257</v>
      </c>
      <c r="E1922" s="2" t="s">
        <v>430</v>
      </c>
      <c r="F1922" s="15">
        <v>2202.9</v>
      </c>
      <c r="G1922" s="41">
        <v>42782</v>
      </c>
      <c r="H1922" s="15">
        <f t="shared" si="54"/>
        <v>2202.9</v>
      </c>
      <c r="I1922" s="15">
        <f t="shared" si="53"/>
        <v>0</v>
      </c>
    </row>
    <row r="1923" spans="1:9" x14ac:dyDescent="0.25">
      <c r="A1923" s="82">
        <v>42782</v>
      </c>
      <c r="B1923" s="39" t="s">
        <v>6201</v>
      </c>
      <c r="C1923" s="89"/>
      <c r="D1923" s="18">
        <v>101258</v>
      </c>
      <c r="E1923" s="2" t="s">
        <v>1666</v>
      </c>
      <c r="F1923" s="15">
        <v>12032.4</v>
      </c>
      <c r="G1923" s="41">
        <v>42783</v>
      </c>
      <c r="H1923" s="15">
        <f t="shared" si="54"/>
        <v>12032.4</v>
      </c>
      <c r="I1923" s="15">
        <f t="shared" si="53"/>
        <v>0</v>
      </c>
    </row>
    <row r="1924" spans="1:9" x14ac:dyDescent="0.25">
      <c r="A1924" s="82">
        <v>42782</v>
      </c>
      <c r="B1924" s="39" t="s">
        <v>6202</v>
      </c>
      <c r="C1924" s="89"/>
      <c r="D1924" s="18">
        <v>101259</v>
      </c>
      <c r="E1924" s="2" t="s">
        <v>712</v>
      </c>
      <c r="F1924" s="15">
        <v>9643.15</v>
      </c>
      <c r="G1924" s="41">
        <v>42782</v>
      </c>
      <c r="H1924" s="15">
        <f t="shared" si="54"/>
        <v>9643.15</v>
      </c>
      <c r="I1924" s="15">
        <f t="shared" si="53"/>
        <v>0</v>
      </c>
    </row>
    <row r="1925" spans="1:9" x14ac:dyDescent="0.25">
      <c r="A1925" s="82">
        <v>42782</v>
      </c>
      <c r="B1925" s="39" t="s">
        <v>6203</v>
      </c>
      <c r="C1925" s="89"/>
      <c r="D1925" s="18">
        <v>101260</v>
      </c>
      <c r="E1925" s="2" t="s">
        <v>486</v>
      </c>
      <c r="F1925" s="15">
        <v>3216</v>
      </c>
      <c r="G1925" s="41">
        <v>42782</v>
      </c>
      <c r="H1925" s="15">
        <f t="shared" si="54"/>
        <v>3216</v>
      </c>
      <c r="I1925" s="15">
        <f t="shared" si="53"/>
        <v>0</v>
      </c>
    </row>
    <row r="1926" spans="1:9" x14ac:dyDescent="0.25">
      <c r="A1926" s="82">
        <v>42782</v>
      </c>
      <c r="B1926" s="39" t="s">
        <v>6204</v>
      </c>
      <c r="C1926" s="89"/>
      <c r="D1926" s="18">
        <v>101261</v>
      </c>
      <c r="E1926" s="2" t="s">
        <v>157</v>
      </c>
      <c r="F1926" s="15">
        <v>27216.3</v>
      </c>
      <c r="G1926" s="41">
        <v>42782</v>
      </c>
      <c r="H1926" s="15">
        <f t="shared" si="54"/>
        <v>27216.3</v>
      </c>
      <c r="I1926" s="15">
        <f t="shared" si="53"/>
        <v>0</v>
      </c>
    </row>
    <row r="1927" spans="1:9" ht="30" x14ac:dyDescent="0.25">
      <c r="A1927" s="82">
        <v>42782</v>
      </c>
      <c r="B1927" s="39" t="s">
        <v>6205</v>
      </c>
      <c r="C1927" s="89"/>
      <c r="D1927" s="18">
        <v>101262</v>
      </c>
      <c r="E1927" s="2" t="s">
        <v>289</v>
      </c>
      <c r="F1927" s="15">
        <v>146610.29999999999</v>
      </c>
      <c r="G1927" s="41" t="s">
        <v>7752</v>
      </c>
      <c r="H1927" s="15">
        <f>45233.5+101376.8</f>
        <v>146610.29999999999</v>
      </c>
      <c r="I1927" s="15">
        <f t="shared" si="53"/>
        <v>0</v>
      </c>
    </row>
    <row r="1928" spans="1:9" x14ac:dyDescent="0.25">
      <c r="A1928" s="82">
        <v>42782</v>
      </c>
      <c r="B1928" s="39" t="s">
        <v>6206</v>
      </c>
      <c r="C1928" s="89"/>
      <c r="D1928" s="18">
        <v>101263</v>
      </c>
      <c r="E1928" s="13" t="s">
        <v>3958</v>
      </c>
      <c r="F1928" s="14">
        <v>0</v>
      </c>
      <c r="G1928" s="88" t="s">
        <v>95</v>
      </c>
      <c r="H1928" s="14">
        <f t="shared" si="54"/>
        <v>0</v>
      </c>
      <c r="I1928" s="14">
        <f t="shared" si="53"/>
        <v>0</v>
      </c>
    </row>
    <row r="1929" spans="1:9" x14ac:dyDescent="0.25">
      <c r="A1929" s="82">
        <v>42782</v>
      </c>
      <c r="B1929" s="39" t="s">
        <v>6207</v>
      </c>
      <c r="C1929" s="89"/>
      <c r="D1929" s="18">
        <v>101264</v>
      </c>
      <c r="E1929" s="2" t="s">
        <v>79</v>
      </c>
      <c r="F1929" s="15">
        <v>3144</v>
      </c>
      <c r="H1929" s="15">
        <f t="shared" si="54"/>
        <v>3144</v>
      </c>
      <c r="I1929" s="15">
        <f t="shared" si="53"/>
        <v>0</v>
      </c>
    </row>
    <row r="1930" spans="1:9" x14ac:dyDescent="0.25">
      <c r="A1930" s="82">
        <v>42782</v>
      </c>
      <c r="B1930" s="39" t="s">
        <v>6208</v>
      </c>
      <c r="C1930" s="89"/>
      <c r="D1930" s="18">
        <v>101265</v>
      </c>
      <c r="E1930" s="2" t="s">
        <v>205</v>
      </c>
      <c r="F1930" s="15">
        <v>32480</v>
      </c>
      <c r="G1930" s="41">
        <v>42802</v>
      </c>
      <c r="H1930" s="15">
        <f t="shared" si="54"/>
        <v>32480</v>
      </c>
      <c r="I1930" s="15">
        <f t="shared" si="53"/>
        <v>0</v>
      </c>
    </row>
    <row r="1931" spans="1:9" x14ac:dyDescent="0.25">
      <c r="A1931" s="82">
        <v>42782</v>
      </c>
      <c r="B1931" s="39" t="s">
        <v>6209</v>
      </c>
      <c r="C1931" s="89"/>
      <c r="D1931" s="18">
        <v>101266</v>
      </c>
      <c r="E1931" s="2" t="s">
        <v>3958</v>
      </c>
      <c r="F1931" s="15">
        <v>4488</v>
      </c>
      <c r="G1931" s="41">
        <v>42782</v>
      </c>
      <c r="H1931" s="15">
        <f t="shared" si="54"/>
        <v>4488</v>
      </c>
      <c r="I1931" s="15">
        <f t="shared" si="53"/>
        <v>0</v>
      </c>
    </row>
    <row r="1932" spans="1:9" x14ac:dyDescent="0.25">
      <c r="A1932" s="82">
        <v>42782</v>
      </c>
      <c r="B1932" s="39" t="s">
        <v>6210</v>
      </c>
      <c r="C1932" s="89"/>
      <c r="D1932" s="18">
        <v>101267</v>
      </c>
      <c r="E1932" s="2" t="s">
        <v>30</v>
      </c>
      <c r="F1932" s="15">
        <v>6325.8</v>
      </c>
      <c r="G1932" s="41">
        <v>42782</v>
      </c>
      <c r="H1932" s="15">
        <f t="shared" si="54"/>
        <v>6325.8</v>
      </c>
      <c r="I1932" s="15">
        <f t="shared" si="53"/>
        <v>0</v>
      </c>
    </row>
    <row r="1933" spans="1:9" x14ac:dyDescent="0.25">
      <c r="A1933" s="82">
        <v>42782</v>
      </c>
      <c r="B1933" s="39" t="s">
        <v>6211</v>
      </c>
      <c r="C1933" s="89"/>
      <c r="D1933" s="18">
        <v>101268</v>
      </c>
      <c r="E1933" s="2" t="s">
        <v>590</v>
      </c>
      <c r="F1933" s="15">
        <v>3677.8</v>
      </c>
      <c r="G1933" s="41">
        <v>42783</v>
      </c>
      <c r="H1933" s="15">
        <f t="shared" si="54"/>
        <v>3677.8</v>
      </c>
      <c r="I1933" s="15">
        <f t="shared" si="53"/>
        <v>0</v>
      </c>
    </row>
    <row r="1934" spans="1:9" x14ac:dyDescent="0.25">
      <c r="A1934" s="82">
        <v>42782</v>
      </c>
      <c r="B1934" s="39" t="s">
        <v>6212</v>
      </c>
      <c r="C1934" s="89"/>
      <c r="D1934" s="18">
        <v>101269</v>
      </c>
      <c r="E1934" s="2" t="s">
        <v>1797</v>
      </c>
      <c r="F1934" s="15">
        <v>6674.8</v>
      </c>
      <c r="G1934" s="41">
        <v>42783</v>
      </c>
      <c r="H1934" s="15">
        <f t="shared" si="54"/>
        <v>6674.8</v>
      </c>
      <c r="I1934" s="15">
        <f t="shared" si="53"/>
        <v>0</v>
      </c>
    </row>
    <row r="1935" spans="1:9" x14ac:dyDescent="0.25">
      <c r="A1935" s="82">
        <v>42782</v>
      </c>
      <c r="B1935" s="39" t="s">
        <v>6213</v>
      </c>
      <c r="C1935" s="89"/>
      <c r="D1935" s="18">
        <v>101270</v>
      </c>
      <c r="E1935" s="2" t="s">
        <v>442</v>
      </c>
      <c r="F1935" s="15">
        <v>4475.8</v>
      </c>
      <c r="H1935" s="15">
        <f t="shared" si="54"/>
        <v>4475.8</v>
      </c>
      <c r="I1935" s="15">
        <f t="shared" si="53"/>
        <v>0</v>
      </c>
    </row>
    <row r="1936" spans="1:9" x14ac:dyDescent="0.25">
      <c r="A1936" s="82">
        <v>42782</v>
      </c>
      <c r="B1936" s="39" t="s">
        <v>6214</v>
      </c>
      <c r="C1936" s="89"/>
      <c r="D1936" s="18">
        <v>101271</v>
      </c>
      <c r="E1936" s="2" t="s">
        <v>272</v>
      </c>
      <c r="F1936" s="15">
        <v>1827.8</v>
      </c>
      <c r="G1936" s="41">
        <v>42783</v>
      </c>
      <c r="H1936" s="15">
        <f t="shared" si="54"/>
        <v>1827.8</v>
      </c>
      <c r="I1936" s="15">
        <f t="shared" si="53"/>
        <v>0</v>
      </c>
    </row>
    <row r="1937" spans="1:9" x14ac:dyDescent="0.25">
      <c r="A1937" s="82">
        <v>42782</v>
      </c>
      <c r="B1937" s="39" t="s">
        <v>6215</v>
      </c>
      <c r="C1937" s="89"/>
      <c r="D1937" s="18">
        <v>101272</v>
      </c>
      <c r="E1937" s="2" t="s">
        <v>268</v>
      </c>
      <c r="F1937" s="15">
        <v>16069.1</v>
      </c>
      <c r="G1937" s="41">
        <v>42788</v>
      </c>
      <c r="H1937" s="15">
        <f t="shared" si="54"/>
        <v>16069.1</v>
      </c>
      <c r="I1937" s="15">
        <f t="shared" si="53"/>
        <v>0</v>
      </c>
    </row>
    <row r="1938" spans="1:9" x14ac:dyDescent="0.25">
      <c r="A1938" s="82">
        <v>42782</v>
      </c>
      <c r="B1938" s="39" t="s">
        <v>6216</v>
      </c>
      <c r="C1938" s="89"/>
      <c r="D1938" s="18">
        <v>101273</v>
      </c>
      <c r="E1938" s="2" t="s">
        <v>432</v>
      </c>
      <c r="F1938" s="15">
        <v>16139.4</v>
      </c>
      <c r="G1938" s="41">
        <v>42788</v>
      </c>
      <c r="H1938" s="15">
        <f t="shared" si="54"/>
        <v>16139.4</v>
      </c>
      <c r="I1938" s="15">
        <f t="shared" si="53"/>
        <v>0</v>
      </c>
    </row>
    <row r="1939" spans="1:9" x14ac:dyDescent="0.25">
      <c r="A1939" s="82">
        <v>42782</v>
      </c>
      <c r="B1939" s="39" t="s">
        <v>6217</v>
      </c>
      <c r="C1939" s="89"/>
      <c r="D1939" s="18">
        <v>101274</v>
      </c>
      <c r="E1939" s="2" t="s">
        <v>341</v>
      </c>
      <c r="F1939" s="15">
        <v>9772.1</v>
      </c>
      <c r="G1939" s="41">
        <v>42783</v>
      </c>
      <c r="H1939" s="15">
        <f t="shared" si="54"/>
        <v>9772.1</v>
      </c>
      <c r="I1939" s="15">
        <f t="shared" si="53"/>
        <v>0</v>
      </c>
    </row>
    <row r="1940" spans="1:9" x14ac:dyDescent="0.25">
      <c r="A1940" s="82">
        <v>42782</v>
      </c>
      <c r="B1940" s="39" t="s">
        <v>6218</v>
      </c>
      <c r="C1940" s="89"/>
      <c r="D1940" s="18">
        <v>101275</v>
      </c>
      <c r="E1940" s="2" t="s">
        <v>149</v>
      </c>
      <c r="F1940" s="15">
        <v>817.4</v>
      </c>
      <c r="G1940" s="41">
        <v>42782</v>
      </c>
      <c r="H1940" s="15">
        <f t="shared" si="54"/>
        <v>817.4</v>
      </c>
      <c r="I1940" s="15">
        <f t="shared" si="53"/>
        <v>0</v>
      </c>
    </row>
    <row r="1941" spans="1:9" x14ac:dyDescent="0.25">
      <c r="A1941" s="82">
        <v>42782</v>
      </c>
      <c r="B1941" s="39" t="s">
        <v>6219</v>
      </c>
      <c r="C1941" s="89"/>
      <c r="D1941" s="18">
        <v>101276</v>
      </c>
      <c r="E1941" s="2" t="s">
        <v>105</v>
      </c>
      <c r="F1941" s="15">
        <v>3308.8</v>
      </c>
      <c r="G1941" s="41">
        <v>42784</v>
      </c>
      <c r="H1941" s="15">
        <f t="shared" si="54"/>
        <v>3308.8</v>
      </c>
      <c r="I1941" s="15">
        <f t="shared" si="53"/>
        <v>0</v>
      </c>
    </row>
    <row r="1942" spans="1:9" x14ac:dyDescent="0.25">
      <c r="A1942" s="82">
        <v>42782</v>
      </c>
      <c r="B1942" s="39" t="s">
        <v>6220</v>
      </c>
      <c r="C1942" s="89"/>
      <c r="D1942" s="18">
        <v>101277</v>
      </c>
      <c r="E1942" s="2" t="s">
        <v>103</v>
      </c>
      <c r="F1942" s="15">
        <v>3346.4</v>
      </c>
      <c r="G1942" s="41">
        <v>42783</v>
      </c>
      <c r="H1942" s="15">
        <f t="shared" si="54"/>
        <v>3346.4</v>
      </c>
      <c r="I1942" s="15">
        <f t="shared" si="53"/>
        <v>0</v>
      </c>
    </row>
    <row r="1943" spans="1:9" x14ac:dyDescent="0.25">
      <c r="A1943" s="82">
        <v>42782</v>
      </c>
      <c r="B1943" s="39" t="s">
        <v>6221</v>
      </c>
      <c r="C1943" s="89"/>
      <c r="D1943" s="18">
        <v>101278</v>
      </c>
      <c r="E1943" s="2" t="s">
        <v>83</v>
      </c>
      <c r="F1943" s="15">
        <v>1124.8</v>
      </c>
      <c r="G1943" s="41">
        <v>42782</v>
      </c>
      <c r="H1943" s="15">
        <f t="shared" si="54"/>
        <v>1124.8</v>
      </c>
      <c r="I1943" s="15">
        <f t="shared" si="53"/>
        <v>0</v>
      </c>
    </row>
    <row r="1944" spans="1:9" x14ac:dyDescent="0.25">
      <c r="A1944" s="82">
        <v>42782</v>
      </c>
      <c r="B1944" s="39" t="s">
        <v>6222</v>
      </c>
      <c r="C1944" s="89"/>
      <c r="D1944" s="18">
        <v>101279</v>
      </c>
      <c r="E1944" s="2" t="s">
        <v>281</v>
      </c>
      <c r="F1944" s="15">
        <v>1594.7</v>
      </c>
      <c r="G1944" s="41">
        <v>42782</v>
      </c>
      <c r="H1944" s="15">
        <f t="shared" si="54"/>
        <v>1594.7</v>
      </c>
      <c r="I1944" s="15">
        <f t="shared" si="53"/>
        <v>0</v>
      </c>
    </row>
    <row r="1945" spans="1:9" x14ac:dyDescent="0.25">
      <c r="A1945" s="82">
        <v>42782</v>
      </c>
      <c r="B1945" s="39" t="s">
        <v>6223</v>
      </c>
      <c r="C1945" s="89"/>
      <c r="D1945" s="18">
        <v>101280</v>
      </c>
      <c r="E1945" s="2" t="s">
        <v>99</v>
      </c>
      <c r="F1945" s="15">
        <v>1724.8</v>
      </c>
      <c r="G1945" s="41">
        <v>42782</v>
      </c>
      <c r="H1945" s="15">
        <f t="shared" si="54"/>
        <v>1724.8</v>
      </c>
      <c r="I1945" s="15">
        <f t="shared" si="53"/>
        <v>0</v>
      </c>
    </row>
    <row r="1946" spans="1:9" x14ac:dyDescent="0.25">
      <c r="A1946" s="82">
        <v>42782</v>
      </c>
      <c r="B1946" s="39" t="s">
        <v>6224</v>
      </c>
      <c r="C1946" s="89"/>
      <c r="D1946" s="18">
        <v>101281</v>
      </c>
      <c r="E1946" s="2" t="s">
        <v>291</v>
      </c>
      <c r="F1946" s="15">
        <v>2397</v>
      </c>
      <c r="G1946" s="41">
        <v>42782</v>
      </c>
      <c r="H1946" s="15">
        <f t="shared" si="54"/>
        <v>2397</v>
      </c>
      <c r="I1946" s="15">
        <f t="shared" si="53"/>
        <v>0</v>
      </c>
    </row>
    <row r="1947" spans="1:9" x14ac:dyDescent="0.25">
      <c r="A1947" s="82">
        <v>42782</v>
      </c>
      <c r="B1947" s="39" t="s">
        <v>6225</v>
      </c>
      <c r="C1947" s="89"/>
      <c r="D1947" s="18">
        <v>101282</v>
      </c>
      <c r="E1947" s="2" t="s">
        <v>613</v>
      </c>
      <c r="F1947" s="15">
        <v>3049.8</v>
      </c>
      <c r="G1947" s="41">
        <v>42782</v>
      </c>
      <c r="H1947" s="15">
        <f t="shared" si="54"/>
        <v>3049.8</v>
      </c>
      <c r="I1947" s="15">
        <f t="shared" si="53"/>
        <v>0</v>
      </c>
    </row>
    <row r="1948" spans="1:9" x14ac:dyDescent="0.25">
      <c r="A1948" s="82">
        <v>42782</v>
      </c>
      <c r="B1948" s="39" t="s">
        <v>6226</v>
      </c>
      <c r="C1948" s="89"/>
      <c r="D1948" s="18">
        <v>101283</v>
      </c>
      <c r="E1948" s="2" t="s">
        <v>1259</v>
      </c>
      <c r="F1948" s="15">
        <v>1651.2</v>
      </c>
      <c r="G1948" s="41">
        <v>42782</v>
      </c>
      <c r="H1948" s="15">
        <f t="shared" si="54"/>
        <v>1651.2</v>
      </c>
      <c r="I1948" s="15">
        <f t="shared" si="53"/>
        <v>0</v>
      </c>
    </row>
    <row r="1949" spans="1:9" x14ac:dyDescent="0.25">
      <c r="A1949" s="82">
        <v>42782</v>
      </c>
      <c r="B1949" s="39" t="s">
        <v>6227</v>
      </c>
      <c r="C1949" s="89"/>
      <c r="D1949" s="18">
        <v>101284</v>
      </c>
      <c r="E1949" s="2" t="s">
        <v>509</v>
      </c>
      <c r="F1949" s="15">
        <v>22761</v>
      </c>
      <c r="G1949" s="41">
        <v>42787</v>
      </c>
      <c r="H1949" s="15">
        <f t="shared" si="54"/>
        <v>22761</v>
      </c>
      <c r="I1949" s="15">
        <f t="shared" si="53"/>
        <v>0</v>
      </c>
    </row>
    <row r="1950" spans="1:9" x14ac:dyDescent="0.25">
      <c r="A1950" s="82">
        <v>42782</v>
      </c>
      <c r="B1950" s="39" t="s">
        <v>6228</v>
      </c>
      <c r="C1950" s="89"/>
      <c r="D1950" s="18">
        <v>101285</v>
      </c>
      <c r="E1950" s="2" t="s">
        <v>445</v>
      </c>
      <c r="F1950" s="15">
        <v>2430</v>
      </c>
      <c r="G1950" s="41">
        <v>42782</v>
      </c>
      <c r="H1950" s="15">
        <f t="shared" si="54"/>
        <v>2430</v>
      </c>
      <c r="I1950" s="15">
        <f t="shared" si="53"/>
        <v>0</v>
      </c>
    </row>
    <row r="1951" spans="1:9" x14ac:dyDescent="0.25">
      <c r="A1951" s="82">
        <v>42782</v>
      </c>
      <c r="B1951" s="39" t="s">
        <v>6229</v>
      </c>
      <c r="C1951" s="89"/>
      <c r="D1951" s="18">
        <v>101286</v>
      </c>
      <c r="E1951" s="2" t="s">
        <v>470</v>
      </c>
      <c r="F1951" s="15">
        <v>14119.8</v>
      </c>
      <c r="G1951" s="41">
        <v>42782</v>
      </c>
      <c r="H1951" s="15">
        <f t="shared" si="54"/>
        <v>14119.8</v>
      </c>
      <c r="I1951" s="15">
        <f t="shared" si="53"/>
        <v>0</v>
      </c>
    </row>
    <row r="1952" spans="1:9" x14ac:dyDescent="0.25">
      <c r="A1952" s="82">
        <v>42782</v>
      </c>
      <c r="B1952" s="39" t="s">
        <v>6230</v>
      </c>
      <c r="C1952" s="89"/>
      <c r="D1952" s="18">
        <v>101287</v>
      </c>
      <c r="E1952" s="2" t="s">
        <v>109</v>
      </c>
      <c r="F1952" s="15">
        <v>4480.2</v>
      </c>
      <c r="G1952" s="41">
        <v>42782</v>
      </c>
      <c r="H1952" s="15">
        <f t="shared" si="54"/>
        <v>4480.2</v>
      </c>
      <c r="I1952" s="15">
        <f t="shared" si="53"/>
        <v>0</v>
      </c>
    </row>
    <row r="1953" spans="1:9" x14ac:dyDescent="0.25">
      <c r="A1953" s="82">
        <v>42782</v>
      </c>
      <c r="B1953" s="39" t="s">
        <v>6231</v>
      </c>
      <c r="C1953" s="89"/>
      <c r="D1953" s="18">
        <v>101288</v>
      </c>
      <c r="E1953" s="2" t="s">
        <v>30</v>
      </c>
      <c r="F1953" s="15">
        <v>374.4</v>
      </c>
      <c r="G1953" s="41">
        <v>42782</v>
      </c>
      <c r="H1953" s="15">
        <f t="shared" si="54"/>
        <v>374.4</v>
      </c>
      <c r="I1953" s="15">
        <f t="shared" si="53"/>
        <v>0</v>
      </c>
    </row>
    <row r="1954" spans="1:9" x14ac:dyDescent="0.25">
      <c r="A1954" s="82">
        <v>42782</v>
      </c>
      <c r="B1954" s="39" t="s">
        <v>6232</v>
      </c>
      <c r="C1954" s="89"/>
      <c r="D1954" s="18">
        <v>101289</v>
      </c>
      <c r="E1954" s="2" t="s">
        <v>492</v>
      </c>
      <c r="F1954" s="15">
        <v>24800.2</v>
      </c>
      <c r="G1954" s="41">
        <v>42788</v>
      </c>
      <c r="H1954" s="15">
        <f t="shared" si="54"/>
        <v>24800.2</v>
      </c>
      <c r="I1954" s="15">
        <f t="shared" si="53"/>
        <v>0</v>
      </c>
    </row>
    <row r="1955" spans="1:9" x14ac:dyDescent="0.25">
      <c r="A1955" s="82">
        <v>42782</v>
      </c>
      <c r="B1955" s="39" t="s">
        <v>6233</v>
      </c>
      <c r="C1955" s="89"/>
      <c r="D1955" s="18">
        <v>101290</v>
      </c>
      <c r="E1955" s="2" t="s">
        <v>5271</v>
      </c>
      <c r="F1955" s="15">
        <v>31879.599999999999</v>
      </c>
      <c r="G1955" s="41">
        <v>42782</v>
      </c>
      <c r="H1955" s="15">
        <f t="shared" si="54"/>
        <v>31879.599999999999</v>
      </c>
      <c r="I1955" s="15">
        <f t="shared" si="53"/>
        <v>0</v>
      </c>
    </row>
    <row r="1956" spans="1:9" x14ac:dyDescent="0.25">
      <c r="A1956" s="82">
        <v>42782</v>
      </c>
      <c r="B1956" s="39" t="s">
        <v>6234</v>
      </c>
      <c r="C1956" s="89"/>
      <c r="D1956" s="18">
        <v>101291</v>
      </c>
      <c r="E1956" s="2" t="s">
        <v>122</v>
      </c>
      <c r="F1956" s="15">
        <v>24913.599999999999</v>
      </c>
      <c r="H1956" s="15">
        <f t="shared" si="54"/>
        <v>24913.599999999999</v>
      </c>
      <c r="I1956" s="15">
        <f t="shared" si="53"/>
        <v>0</v>
      </c>
    </row>
    <row r="1957" spans="1:9" x14ac:dyDescent="0.25">
      <c r="A1957" s="82">
        <v>42782</v>
      </c>
      <c r="B1957" s="39" t="s">
        <v>6235</v>
      </c>
      <c r="C1957" s="89"/>
      <c r="D1957" s="18">
        <v>101292</v>
      </c>
      <c r="E1957" s="2" t="s">
        <v>122</v>
      </c>
      <c r="F1957" s="15">
        <v>5786.8</v>
      </c>
      <c r="G1957" s="41">
        <v>42783</v>
      </c>
      <c r="H1957" s="15">
        <f t="shared" si="54"/>
        <v>5786.8</v>
      </c>
      <c r="I1957" s="15">
        <f t="shared" si="53"/>
        <v>0</v>
      </c>
    </row>
    <row r="1958" spans="1:9" x14ac:dyDescent="0.25">
      <c r="A1958" s="82">
        <v>42782</v>
      </c>
      <c r="B1958" s="39" t="s">
        <v>6236</v>
      </c>
      <c r="C1958" s="89"/>
      <c r="D1958" s="18">
        <v>101293</v>
      </c>
      <c r="E1958" s="2" t="s">
        <v>302</v>
      </c>
      <c r="F1958" s="15">
        <v>12763.8</v>
      </c>
      <c r="G1958" s="41">
        <v>42782</v>
      </c>
      <c r="H1958" s="15">
        <f t="shared" si="54"/>
        <v>12763.8</v>
      </c>
      <c r="I1958" s="15">
        <f t="shared" si="53"/>
        <v>0</v>
      </c>
    </row>
    <row r="1959" spans="1:9" x14ac:dyDescent="0.25">
      <c r="A1959" s="82">
        <v>42782</v>
      </c>
      <c r="B1959" s="39" t="s">
        <v>6237</v>
      </c>
      <c r="C1959" s="89"/>
      <c r="D1959" s="18">
        <v>101294</v>
      </c>
      <c r="E1959" s="2" t="s">
        <v>159</v>
      </c>
      <c r="F1959" s="15">
        <v>7944.8</v>
      </c>
      <c r="G1959" s="41">
        <v>42782</v>
      </c>
      <c r="H1959" s="15">
        <f t="shared" si="54"/>
        <v>7944.8</v>
      </c>
      <c r="I1959" s="15">
        <f t="shared" si="53"/>
        <v>0</v>
      </c>
    </row>
    <row r="1960" spans="1:9" x14ac:dyDescent="0.25">
      <c r="A1960" s="82">
        <v>42782</v>
      </c>
      <c r="B1960" s="39" t="s">
        <v>6238</v>
      </c>
      <c r="C1960" s="89"/>
      <c r="D1960" s="18">
        <v>101295</v>
      </c>
      <c r="E1960" s="2" t="s">
        <v>305</v>
      </c>
      <c r="F1960" s="15">
        <v>2302.4</v>
      </c>
      <c r="G1960" s="41">
        <v>42787</v>
      </c>
      <c r="H1960" s="15">
        <f t="shared" si="54"/>
        <v>2302.4</v>
      </c>
      <c r="I1960" s="15">
        <f t="shared" si="53"/>
        <v>0</v>
      </c>
    </row>
    <row r="1961" spans="1:9" x14ac:dyDescent="0.25">
      <c r="A1961" s="82">
        <v>42782</v>
      </c>
      <c r="B1961" s="39" t="s">
        <v>6239</v>
      </c>
      <c r="C1961" s="89"/>
      <c r="D1961" s="18">
        <v>101296</v>
      </c>
      <c r="E1961" s="2" t="s">
        <v>476</v>
      </c>
      <c r="F1961" s="15">
        <v>16751.400000000001</v>
      </c>
      <c r="G1961" s="41">
        <v>42784</v>
      </c>
      <c r="H1961" s="15">
        <f t="shared" si="54"/>
        <v>16751.400000000001</v>
      </c>
      <c r="I1961" s="15">
        <f t="shared" si="53"/>
        <v>0</v>
      </c>
    </row>
    <row r="1962" spans="1:9" x14ac:dyDescent="0.25">
      <c r="A1962" s="82">
        <v>42782</v>
      </c>
      <c r="B1962" s="39" t="s">
        <v>6240</v>
      </c>
      <c r="C1962" s="89"/>
      <c r="D1962" s="18">
        <v>101297</v>
      </c>
      <c r="E1962" s="2" t="s">
        <v>176</v>
      </c>
      <c r="F1962" s="15">
        <v>1081.2</v>
      </c>
      <c r="H1962" s="15">
        <f t="shared" si="54"/>
        <v>1081.2</v>
      </c>
      <c r="I1962" s="15">
        <f t="shared" si="53"/>
        <v>0</v>
      </c>
    </row>
    <row r="1963" spans="1:9" x14ac:dyDescent="0.25">
      <c r="A1963" s="82">
        <v>42782</v>
      </c>
      <c r="B1963" s="39" t="s">
        <v>6241</v>
      </c>
      <c r="C1963" s="89"/>
      <c r="D1963" s="18">
        <v>101298</v>
      </c>
      <c r="E1963" s="2" t="s">
        <v>3095</v>
      </c>
      <c r="F1963" s="15">
        <v>43284</v>
      </c>
      <c r="G1963" s="41">
        <v>42782</v>
      </c>
      <c r="H1963" s="15">
        <f t="shared" si="54"/>
        <v>43284</v>
      </c>
      <c r="I1963" s="15">
        <f t="shared" si="53"/>
        <v>0</v>
      </c>
    </row>
    <row r="1964" spans="1:9" x14ac:dyDescent="0.25">
      <c r="A1964" s="82">
        <v>42782</v>
      </c>
      <c r="B1964" s="39" t="s">
        <v>6242</v>
      </c>
      <c r="C1964" s="89"/>
      <c r="D1964" s="18">
        <v>101299</v>
      </c>
      <c r="E1964" s="2" t="s">
        <v>21</v>
      </c>
      <c r="F1964" s="15">
        <v>49032</v>
      </c>
      <c r="G1964" s="41">
        <v>42800</v>
      </c>
      <c r="H1964" s="15">
        <f t="shared" si="54"/>
        <v>49032</v>
      </c>
      <c r="I1964" s="15">
        <f t="shared" si="53"/>
        <v>0</v>
      </c>
    </row>
    <row r="1965" spans="1:9" x14ac:dyDescent="0.25">
      <c r="A1965" s="82">
        <v>42782</v>
      </c>
      <c r="B1965" s="39" t="s">
        <v>6243</v>
      </c>
      <c r="C1965" s="89"/>
      <c r="D1965" s="18">
        <v>101300</v>
      </c>
      <c r="E1965" s="2" t="s">
        <v>168</v>
      </c>
      <c r="F1965" s="15">
        <v>783.6</v>
      </c>
      <c r="G1965" s="41">
        <v>42782</v>
      </c>
      <c r="H1965" s="15">
        <f t="shared" si="54"/>
        <v>783.6</v>
      </c>
      <c r="I1965" s="15">
        <f t="shared" si="53"/>
        <v>0</v>
      </c>
    </row>
    <row r="1966" spans="1:9" x14ac:dyDescent="0.25">
      <c r="A1966" s="82">
        <v>42782</v>
      </c>
      <c r="B1966" s="39" t="s">
        <v>6244</v>
      </c>
      <c r="C1966" s="89"/>
      <c r="D1966" s="18">
        <v>101301</v>
      </c>
      <c r="E1966" s="2" t="s">
        <v>30</v>
      </c>
      <c r="F1966" s="15">
        <v>17884</v>
      </c>
      <c r="G1966" s="41">
        <v>42782</v>
      </c>
      <c r="H1966" s="15">
        <f t="shared" si="54"/>
        <v>17884</v>
      </c>
      <c r="I1966" s="15">
        <f t="shared" si="53"/>
        <v>0</v>
      </c>
    </row>
    <row r="1967" spans="1:9" x14ac:dyDescent="0.25">
      <c r="A1967" s="82">
        <v>42782</v>
      </c>
      <c r="B1967" s="39" t="s">
        <v>6245</v>
      </c>
      <c r="C1967" s="89"/>
      <c r="D1967" s="18">
        <v>101302</v>
      </c>
      <c r="E1967" s="2" t="s">
        <v>2240</v>
      </c>
      <c r="F1967" s="15">
        <v>6724.2</v>
      </c>
      <c r="H1967" s="15">
        <f t="shared" si="54"/>
        <v>6724.2</v>
      </c>
      <c r="I1967" s="15">
        <f t="shared" si="53"/>
        <v>0</v>
      </c>
    </row>
    <row r="1968" spans="1:9" x14ac:dyDescent="0.25">
      <c r="A1968" s="82">
        <v>42782</v>
      </c>
      <c r="B1968" s="39" t="s">
        <v>6246</v>
      </c>
      <c r="C1968" s="89"/>
      <c r="D1968" s="18">
        <v>101303</v>
      </c>
      <c r="E1968" s="2" t="s">
        <v>651</v>
      </c>
      <c r="F1968" s="15">
        <v>43948.4</v>
      </c>
      <c r="H1968" s="15">
        <f t="shared" si="54"/>
        <v>43948.4</v>
      </c>
      <c r="I1968" s="15">
        <f t="shared" si="53"/>
        <v>0</v>
      </c>
    </row>
    <row r="1969" spans="1:9" x14ac:dyDescent="0.25">
      <c r="A1969" s="82">
        <v>42782</v>
      </c>
      <c r="B1969" s="39" t="s">
        <v>6247</v>
      </c>
      <c r="C1969" s="89"/>
      <c r="D1969" s="18">
        <v>101304</v>
      </c>
      <c r="E1969" s="13" t="s">
        <v>866</v>
      </c>
      <c r="F1969" s="14">
        <v>0</v>
      </c>
      <c r="G1969" s="88" t="s">
        <v>95</v>
      </c>
      <c r="H1969" s="14">
        <f t="shared" si="54"/>
        <v>0</v>
      </c>
      <c r="I1969" s="14">
        <f t="shared" si="53"/>
        <v>0</v>
      </c>
    </row>
    <row r="1970" spans="1:9" x14ac:dyDescent="0.25">
      <c r="A1970" s="82">
        <v>42782</v>
      </c>
      <c r="B1970" s="39" t="s">
        <v>6248</v>
      </c>
      <c r="C1970" s="89"/>
      <c r="D1970" s="18">
        <v>101305</v>
      </c>
      <c r="E1970" s="2" t="s">
        <v>866</v>
      </c>
      <c r="F1970" s="15">
        <v>6256.2</v>
      </c>
      <c r="H1970" s="15">
        <f t="shared" si="54"/>
        <v>6256.2</v>
      </c>
      <c r="I1970" s="15">
        <f t="shared" si="53"/>
        <v>0</v>
      </c>
    </row>
    <row r="1971" spans="1:9" x14ac:dyDescent="0.25">
      <c r="A1971" s="82">
        <v>42782</v>
      </c>
      <c r="B1971" s="39" t="s">
        <v>6249</v>
      </c>
      <c r="C1971" s="89"/>
      <c r="D1971" s="18">
        <v>101306</v>
      </c>
      <c r="E1971" s="2" t="s">
        <v>3360</v>
      </c>
      <c r="F1971" s="15">
        <v>2074.8000000000002</v>
      </c>
      <c r="G1971" s="41">
        <v>42782</v>
      </c>
      <c r="H1971" s="15">
        <f t="shared" si="54"/>
        <v>2074.8000000000002</v>
      </c>
      <c r="I1971" s="15">
        <f t="shared" si="53"/>
        <v>0</v>
      </c>
    </row>
    <row r="1972" spans="1:9" x14ac:dyDescent="0.25">
      <c r="A1972" s="82">
        <v>42782</v>
      </c>
      <c r="B1972" s="39" t="s">
        <v>6250</v>
      </c>
      <c r="C1972" s="89"/>
      <c r="D1972" s="18">
        <v>101307</v>
      </c>
      <c r="E1972" s="2" t="s">
        <v>356</v>
      </c>
      <c r="F1972" s="15">
        <v>6696.8</v>
      </c>
      <c r="G1972" s="41">
        <v>42783</v>
      </c>
      <c r="H1972" s="15">
        <f t="shared" si="54"/>
        <v>6696.8</v>
      </c>
      <c r="I1972" s="15">
        <f t="shared" si="53"/>
        <v>0</v>
      </c>
    </row>
    <row r="1973" spans="1:9" x14ac:dyDescent="0.25">
      <c r="A1973" s="82">
        <v>42782</v>
      </c>
      <c r="B1973" s="39" t="s">
        <v>6251</v>
      </c>
      <c r="C1973" s="89"/>
      <c r="D1973" s="18">
        <v>101308</v>
      </c>
      <c r="E1973" s="2" t="s">
        <v>656</v>
      </c>
      <c r="F1973" s="15">
        <v>8835.6</v>
      </c>
      <c r="G1973" s="41">
        <v>42783</v>
      </c>
      <c r="H1973" s="15">
        <f t="shared" si="54"/>
        <v>8835.6</v>
      </c>
      <c r="I1973" s="15">
        <f t="shared" si="53"/>
        <v>0</v>
      </c>
    </row>
    <row r="1974" spans="1:9" x14ac:dyDescent="0.25">
      <c r="A1974" s="82">
        <v>42782</v>
      </c>
      <c r="B1974" s="39" t="s">
        <v>6252</v>
      </c>
      <c r="C1974" s="89"/>
      <c r="D1974" s="18">
        <v>101309</v>
      </c>
      <c r="E1974" s="2" t="s">
        <v>133</v>
      </c>
      <c r="F1974" s="15">
        <v>10319.1</v>
      </c>
      <c r="G1974" s="41">
        <v>42786</v>
      </c>
      <c r="H1974" s="15">
        <f t="shared" si="54"/>
        <v>10319.1</v>
      </c>
      <c r="I1974" s="15">
        <f t="shared" si="53"/>
        <v>0</v>
      </c>
    </row>
    <row r="1975" spans="1:9" x14ac:dyDescent="0.25">
      <c r="A1975" s="82">
        <v>42782</v>
      </c>
      <c r="B1975" s="39" t="s">
        <v>6253</v>
      </c>
      <c r="C1975" s="89"/>
      <c r="D1975" s="18">
        <v>101310</v>
      </c>
      <c r="E1975" s="2" t="s">
        <v>182</v>
      </c>
      <c r="F1975" s="15">
        <v>4900</v>
      </c>
      <c r="G1975" s="41">
        <v>42783</v>
      </c>
      <c r="H1975" s="15">
        <f t="shared" si="54"/>
        <v>4900</v>
      </c>
      <c r="I1975" s="15">
        <f t="shared" si="53"/>
        <v>0</v>
      </c>
    </row>
    <row r="1976" spans="1:9" x14ac:dyDescent="0.25">
      <c r="A1976" s="82">
        <v>42782</v>
      </c>
      <c r="B1976" s="39" t="s">
        <v>6254</v>
      </c>
      <c r="C1976" s="89"/>
      <c r="D1976" s="18">
        <v>101311</v>
      </c>
      <c r="E1976" s="2" t="s">
        <v>5292</v>
      </c>
      <c r="F1976" s="15">
        <v>13321.2</v>
      </c>
      <c r="G1976" s="41">
        <v>42783</v>
      </c>
      <c r="H1976" s="15">
        <f t="shared" si="54"/>
        <v>13321.2</v>
      </c>
      <c r="I1976" s="15">
        <f t="shared" ref="I1976:I2039" si="55">F1976-H1976</f>
        <v>0</v>
      </c>
    </row>
    <row r="1977" spans="1:9" x14ac:dyDescent="0.25">
      <c r="A1977" s="82">
        <v>42782</v>
      </c>
      <c r="B1977" s="39" t="s">
        <v>6255</v>
      </c>
      <c r="C1977" s="89"/>
      <c r="D1977" s="18">
        <v>101312</v>
      </c>
      <c r="E1977" s="2" t="s">
        <v>9</v>
      </c>
      <c r="F1977" s="15">
        <v>9757.4</v>
      </c>
      <c r="G1977" s="41">
        <v>42787</v>
      </c>
      <c r="H1977" s="15">
        <f t="shared" si="54"/>
        <v>9757.4</v>
      </c>
      <c r="I1977" s="15">
        <f t="shared" si="55"/>
        <v>0</v>
      </c>
    </row>
    <row r="1978" spans="1:9" x14ac:dyDescent="0.25">
      <c r="A1978" s="82">
        <v>42782</v>
      </c>
      <c r="B1978" s="39" t="s">
        <v>6256</v>
      </c>
      <c r="C1978" s="89"/>
      <c r="D1978" s="18">
        <v>101313</v>
      </c>
      <c r="E1978" s="2" t="s">
        <v>113</v>
      </c>
      <c r="F1978" s="15">
        <v>1896.4</v>
      </c>
      <c r="G1978" s="41">
        <v>42783</v>
      </c>
      <c r="H1978" s="15">
        <f t="shared" si="54"/>
        <v>1896.4</v>
      </c>
      <c r="I1978" s="15">
        <f t="shared" si="55"/>
        <v>0</v>
      </c>
    </row>
    <row r="1979" spans="1:9" x14ac:dyDescent="0.25">
      <c r="A1979" s="82">
        <v>42782</v>
      </c>
      <c r="B1979" s="39" t="s">
        <v>6257</v>
      </c>
      <c r="C1979" s="89"/>
      <c r="D1979" s="18">
        <v>101314</v>
      </c>
      <c r="E1979" s="2" t="s">
        <v>30</v>
      </c>
      <c r="F1979" s="15">
        <v>665</v>
      </c>
      <c r="G1979" s="41">
        <v>42782</v>
      </c>
      <c r="H1979" s="15">
        <f t="shared" si="54"/>
        <v>665</v>
      </c>
      <c r="I1979" s="15">
        <f t="shared" si="55"/>
        <v>0</v>
      </c>
    </row>
    <row r="1980" spans="1:9" x14ac:dyDescent="0.25">
      <c r="A1980" s="82">
        <v>42782</v>
      </c>
      <c r="B1980" s="39" t="s">
        <v>6258</v>
      </c>
      <c r="C1980" s="89"/>
      <c r="D1980" s="18">
        <v>101315</v>
      </c>
      <c r="E1980" s="2" t="s">
        <v>3219</v>
      </c>
      <c r="F1980" s="15">
        <v>15290.8</v>
      </c>
      <c r="G1980" s="41">
        <v>42782</v>
      </c>
      <c r="H1980" s="15">
        <f t="shared" si="54"/>
        <v>15290.8</v>
      </c>
      <c r="I1980" s="15">
        <f t="shared" si="55"/>
        <v>0</v>
      </c>
    </row>
    <row r="1981" spans="1:9" x14ac:dyDescent="0.25">
      <c r="A1981" s="82">
        <v>42782</v>
      </c>
      <c r="B1981" s="39" t="s">
        <v>6259</v>
      </c>
      <c r="C1981" s="89"/>
      <c r="D1981" s="18">
        <v>101316</v>
      </c>
      <c r="E1981" s="2" t="s">
        <v>231</v>
      </c>
      <c r="F1981" s="15">
        <v>2632</v>
      </c>
      <c r="G1981" s="41">
        <v>42783</v>
      </c>
      <c r="H1981" s="15">
        <f t="shared" ref="H1981:H1986" si="56">F1981</f>
        <v>2632</v>
      </c>
      <c r="I1981" s="15">
        <f t="shared" si="55"/>
        <v>0</v>
      </c>
    </row>
    <row r="1982" spans="1:9" x14ac:dyDescent="0.25">
      <c r="A1982" s="82">
        <v>42782</v>
      </c>
      <c r="B1982" s="39" t="s">
        <v>6260</v>
      </c>
      <c r="C1982" s="89"/>
      <c r="D1982" s="18">
        <v>101317</v>
      </c>
      <c r="E1982" s="2" t="s">
        <v>6261</v>
      </c>
      <c r="F1982" s="15">
        <v>1890</v>
      </c>
      <c r="G1982" s="41">
        <v>42782</v>
      </c>
      <c r="H1982" s="15">
        <f t="shared" si="56"/>
        <v>1890</v>
      </c>
      <c r="I1982" s="15">
        <f t="shared" si="55"/>
        <v>0</v>
      </c>
    </row>
    <row r="1983" spans="1:9" x14ac:dyDescent="0.25">
      <c r="A1983" s="82">
        <v>42782</v>
      </c>
      <c r="B1983" s="39" t="s">
        <v>6262</v>
      </c>
      <c r="C1983" s="89"/>
      <c r="D1983" s="18">
        <v>101318</v>
      </c>
      <c r="E1983" s="2" t="s">
        <v>125</v>
      </c>
      <c r="F1983" s="15">
        <v>7089.2</v>
      </c>
      <c r="G1983" s="41">
        <v>42783</v>
      </c>
      <c r="H1983" s="15">
        <f t="shared" si="56"/>
        <v>7089.2</v>
      </c>
      <c r="I1983" s="15">
        <f t="shared" si="55"/>
        <v>0</v>
      </c>
    </row>
    <row r="1984" spans="1:9" x14ac:dyDescent="0.25">
      <c r="A1984" s="82">
        <v>42782</v>
      </c>
      <c r="B1984" s="39" t="s">
        <v>6263</v>
      </c>
      <c r="C1984" s="89"/>
      <c r="D1984" s="18">
        <v>101319</v>
      </c>
      <c r="E1984" s="2" t="s">
        <v>5219</v>
      </c>
      <c r="F1984" s="15">
        <v>1412.4</v>
      </c>
      <c r="G1984" s="41">
        <v>42782</v>
      </c>
      <c r="H1984" s="15">
        <f t="shared" si="56"/>
        <v>1412.4</v>
      </c>
      <c r="I1984" s="15">
        <f t="shared" si="55"/>
        <v>0</v>
      </c>
    </row>
    <row r="1985" spans="1:9" x14ac:dyDescent="0.25">
      <c r="A1985" s="82">
        <v>42782</v>
      </c>
      <c r="B1985" s="39" t="s">
        <v>6264</v>
      </c>
      <c r="C1985" s="89"/>
      <c r="D1985" s="18">
        <v>101320</v>
      </c>
      <c r="E1985" s="2" t="s">
        <v>205</v>
      </c>
      <c r="F1985" s="15">
        <v>33878.6</v>
      </c>
      <c r="G1985" s="41">
        <v>42802</v>
      </c>
      <c r="H1985" s="15">
        <f t="shared" si="56"/>
        <v>33878.6</v>
      </c>
      <c r="I1985" s="15">
        <f t="shared" si="55"/>
        <v>0</v>
      </c>
    </row>
    <row r="1986" spans="1:9" x14ac:dyDescent="0.25">
      <c r="A1986" s="82">
        <v>42782</v>
      </c>
      <c r="B1986" s="39" t="s">
        <v>6265</v>
      </c>
      <c r="C1986" s="89"/>
      <c r="D1986" s="18">
        <v>101321</v>
      </c>
      <c r="E1986" s="2" t="s">
        <v>10</v>
      </c>
      <c r="F1986" s="15">
        <v>127766.92</v>
      </c>
      <c r="G1986" s="41">
        <v>42784</v>
      </c>
      <c r="H1986" s="15">
        <f t="shared" si="56"/>
        <v>127766.92</v>
      </c>
      <c r="I1986" s="15">
        <f t="shared" si="55"/>
        <v>0</v>
      </c>
    </row>
    <row r="1987" spans="1:9" ht="30" x14ac:dyDescent="0.25">
      <c r="A1987" s="82">
        <v>42782</v>
      </c>
      <c r="B1987" s="39" t="s">
        <v>6266</v>
      </c>
      <c r="C1987" s="89"/>
      <c r="D1987" s="18">
        <v>101322</v>
      </c>
      <c r="E1987" s="2" t="s">
        <v>10</v>
      </c>
      <c r="F1987" s="15">
        <v>70850.100000000006</v>
      </c>
      <c r="G1987" s="87" t="s">
        <v>4457</v>
      </c>
      <c r="H1987" s="20">
        <f>69500.59+1349.51</f>
        <v>70850.099999999991</v>
      </c>
      <c r="I1987" s="20">
        <f t="shared" si="55"/>
        <v>0</v>
      </c>
    </row>
    <row r="1988" spans="1:9" x14ac:dyDescent="0.25">
      <c r="A1988" s="82">
        <v>42782</v>
      </c>
      <c r="B1988" s="39" t="s">
        <v>6267</v>
      </c>
      <c r="C1988" s="89"/>
      <c r="D1988" s="18">
        <v>101323</v>
      </c>
      <c r="E1988" s="2" t="s">
        <v>10</v>
      </c>
      <c r="F1988" s="15">
        <v>236844.72</v>
      </c>
      <c r="G1988" s="41">
        <v>42786</v>
      </c>
      <c r="H1988" s="15">
        <f t="shared" ref="H1988:H2051" si="57">F1988</f>
        <v>236844.72</v>
      </c>
      <c r="I1988" s="15">
        <f t="shared" si="55"/>
        <v>0</v>
      </c>
    </row>
    <row r="1989" spans="1:9" x14ac:dyDescent="0.25">
      <c r="A1989" s="82">
        <v>42782</v>
      </c>
      <c r="B1989" s="39" t="s">
        <v>6268</v>
      </c>
      <c r="C1989" s="89"/>
      <c r="D1989" s="18">
        <v>101324</v>
      </c>
      <c r="E1989" s="2" t="s">
        <v>10</v>
      </c>
      <c r="F1989" s="15">
        <v>80</v>
      </c>
      <c r="G1989" s="41">
        <v>42786</v>
      </c>
      <c r="H1989" s="15">
        <f t="shared" si="57"/>
        <v>80</v>
      </c>
      <c r="I1989" s="15">
        <f t="shared" si="55"/>
        <v>0</v>
      </c>
    </row>
    <row r="1990" spans="1:9" x14ac:dyDescent="0.25">
      <c r="A1990" s="82">
        <v>42782</v>
      </c>
      <c r="B1990" s="39" t="s">
        <v>6269</v>
      </c>
      <c r="C1990" s="89"/>
      <c r="D1990" s="18">
        <v>101325</v>
      </c>
      <c r="E1990" s="2" t="s">
        <v>693</v>
      </c>
      <c r="F1990" s="15">
        <v>22650.5</v>
      </c>
      <c r="G1990" s="41">
        <v>42783</v>
      </c>
      <c r="H1990" s="15">
        <f t="shared" si="57"/>
        <v>22650.5</v>
      </c>
      <c r="I1990" s="15">
        <f t="shared" si="55"/>
        <v>0</v>
      </c>
    </row>
    <row r="1991" spans="1:9" x14ac:dyDescent="0.25">
      <c r="A1991" s="82">
        <v>42782</v>
      </c>
      <c r="B1991" s="39" t="s">
        <v>6270</v>
      </c>
      <c r="C1991" s="89"/>
      <c r="D1991" s="18">
        <v>101326</v>
      </c>
      <c r="E1991" s="2" t="s">
        <v>428</v>
      </c>
      <c r="F1991" s="15">
        <v>562</v>
      </c>
      <c r="G1991" s="41">
        <v>42784</v>
      </c>
      <c r="H1991" s="15">
        <f t="shared" si="57"/>
        <v>562</v>
      </c>
      <c r="I1991" s="15">
        <f t="shared" si="55"/>
        <v>0</v>
      </c>
    </row>
    <row r="1992" spans="1:9" x14ac:dyDescent="0.25">
      <c r="A1992" s="82">
        <v>42782</v>
      </c>
      <c r="B1992" s="39" t="s">
        <v>6271</v>
      </c>
      <c r="C1992" s="89"/>
      <c r="D1992" s="18">
        <v>101327</v>
      </c>
      <c r="E1992" s="2" t="s">
        <v>30</v>
      </c>
      <c r="F1992" s="15">
        <v>1708</v>
      </c>
      <c r="G1992" s="41">
        <v>42783</v>
      </c>
      <c r="H1992" s="15">
        <f t="shared" si="57"/>
        <v>1708</v>
      </c>
      <c r="I1992" s="15">
        <f t="shared" si="55"/>
        <v>0</v>
      </c>
    </row>
    <row r="1993" spans="1:9" x14ac:dyDescent="0.25">
      <c r="A1993" s="82">
        <v>42782</v>
      </c>
      <c r="B1993" s="39" t="s">
        <v>6272</v>
      </c>
      <c r="C1993" s="89"/>
      <c r="D1993" s="18">
        <v>101328</v>
      </c>
      <c r="E1993" s="2" t="s">
        <v>367</v>
      </c>
      <c r="F1993" s="15">
        <v>900</v>
      </c>
      <c r="G1993" s="41">
        <v>42782</v>
      </c>
      <c r="H1993" s="15">
        <f t="shared" si="57"/>
        <v>900</v>
      </c>
      <c r="I1993" s="15">
        <f t="shared" si="55"/>
        <v>0</v>
      </c>
    </row>
    <row r="1994" spans="1:9" x14ac:dyDescent="0.25">
      <c r="A1994" s="82">
        <v>42782</v>
      </c>
      <c r="B1994" s="39" t="s">
        <v>6273</v>
      </c>
      <c r="C1994" s="89"/>
      <c r="D1994" s="18">
        <v>101329</v>
      </c>
      <c r="E1994" s="2" t="s">
        <v>670</v>
      </c>
      <c r="F1994" s="15">
        <v>135728.28</v>
      </c>
      <c r="G1994" s="41">
        <v>42789</v>
      </c>
      <c r="H1994" s="15">
        <f t="shared" si="57"/>
        <v>135728.28</v>
      </c>
      <c r="I1994" s="15">
        <f t="shared" si="55"/>
        <v>0</v>
      </c>
    </row>
    <row r="1995" spans="1:9" x14ac:dyDescent="0.25">
      <c r="A1995" s="82">
        <v>42782</v>
      </c>
      <c r="B1995" s="39" t="s">
        <v>6274</v>
      </c>
      <c r="C1995" s="89"/>
      <c r="D1995" s="18">
        <v>101330</v>
      </c>
      <c r="E1995" s="2" t="s">
        <v>688</v>
      </c>
      <c r="F1995" s="15">
        <v>14964.9</v>
      </c>
      <c r="G1995" s="41">
        <v>42784</v>
      </c>
      <c r="H1995" s="15">
        <f t="shared" si="57"/>
        <v>14964.9</v>
      </c>
      <c r="I1995" s="15">
        <f t="shared" si="55"/>
        <v>0</v>
      </c>
    </row>
    <row r="1996" spans="1:9" x14ac:dyDescent="0.25">
      <c r="A1996" s="82">
        <v>42782</v>
      </c>
      <c r="B1996" s="39" t="s">
        <v>6275</v>
      </c>
      <c r="C1996" s="89"/>
      <c r="D1996" s="18">
        <v>101331</v>
      </c>
      <c r="E1996" s="2" t="s">
        <v>686</v>
      </c>
      <c r="F1996" s="15">
        <v>17136.2</v>
      </c>
      <c r="G1996" s="41">
        <v>42784</v>
      </c>
      <c r="H1996" s="15">
        <f t="shared" si="57"/>
        <v>17136.2</v>
      </c>
      <c r="I1996" s="15">
        <f t="shared" si="55"/>
        <v>0</v>
      </c>
    </row>
    <row r="1997" spans="1:9" x14ac:dyDescent="0.25">
      <c r="A1997" s="82">
        <v>42782</v>
      </c>
      <c r="B1997" s="39" t="s">
        <v>6276</v>
      </c>
      <c r="C1997" s="89"/>
      <c r="D1997" s="18">
        <v>101332</v>
      </c>
      <c r="E1997" s="2" t="s">
        <v>670</v>
      </c>
      <c r="F1997" s="15">
        <v>49036.1</v>
      </c>
      <c r="G1997" s="41">
        <v>42789</v>
      </c>
      <c r="H1997" s="15">
        <f t="shared" si="57"/>
        <v>49036.1</v>
      </c>
      <c r="I1997" s="15">
        <f t="shared" si="55"/>
        <v>0</v>
      </c>
    </row>
    <row r="1998" spans="1:9" x14ac:dyDescent="0.25">
      <c r="A1998" s="82">
        <v>42782</v>
      </c>
      <c r="B1998" s="39" t="s">
        <v>6277</v>
      </c>
      <c r="C1998" s="89"/>
      <c r="D1998" s="18">
        <v>101333</v>
      </c>
      <c r="E1998" s="2" t="s">
        <v>682</v>
      </c>
      <c r="F1998" s="15">
        <v>9964.5</v>
      </c>
      <c r="G1998" s="41">
        <v>42784</v>
      </c>
      <c r="H1998" s="15">
        <f t="shared" si="57"/>
        <v>9964.5</v>
      </c>
      <c r="I1998" s="15">
        <f t="shared" si="55"/>
        <v>0</v>
      </c>
    </row>
    <row r="1999" spans="1:9" x14ac:dyDescent="0.25">
      <c r="A1999" s="82">
        <v>42782</v>
      </c>
      <c r="B1999" s="39" t="s">
        <v>6278</v>
      </c>
      <c r="C1999" s="89"/>
      <c r="D1999" s="18">
        <v>101334</v>
      </c>
      <c r="E1999" s="2" t="s">
        <v>680</v>
      </c>
      <c r="F1999" s="15">
        <v>3236.6</v>
      </c>
      <c r="G1999" s="41">
        <v>42784</v>
      </c>
      <c r="H1999" s="15">
        <f t="shared" si="57"/>
        <v>3236.6</v>
      </c>
      <c r="I1999" s="15">
        <f t="shared" si="55"/>
        <v>0</v>
      </c>
    </row>
    <row r="2000" spans="1:9" x14ac:dyDescent="0.25">
      <c r="A2000" s="82">
        <v>42782</v>
      </c>
      <c r="B2000" s="39" t="s">
        <v>6279</v>
      </c>
      <c r="C2000" s="89"/>
      <c r="D2000" s="18">
        <v>101335</v>
      </c>
      <c r="E2000" s="2" t="s">
        <v>211</v>
      </c>
      <c r="F2000" s="15">
        <v>8615.6</v>
      </c>
      <c r="G2000" s="41">
        <v>42782</v>
      </c>
      <c r="H2000" s="15">
        <f t="shared" si="57"/>
        <v>8615.6</v>
      </c>
      <c r="I2000" s="15">
        <f t="shared" si="55"/>
        <v>0</v>
      </c>
    </row>
    <row r="2001" spans="1:9" x14ac:dyDescent="0.25">
      <c r="A2001" s="82">
        <v>42782</v>
      </c>
      <c r="B2001" s="39" t="s">
        <v>6280</v>
      </c>
      <c r="C2001" s="89"/>
      <c r="D2001" s="18">
        <v>101336</v>
      </c>
      <c r="E2001" s="2" t="s">
        <v>675</v>
      </c>
      <c r="F2001" s="15">
        <v>2352.3000000000002</v>
      </c>
      <c r="G2001" s="41">
        <v>42784</v>
      </c>
      <c r="H2001" s="15">
        <f t="shared" si="57"/>
        <v>2352.3000000000002</v>
      </c>
      <c r="I2001" s="15">
        <f t="shared" si="55"/>
        <v>0</v>
      </c>
    </row>
    <row r="2002" spans="1:9" x14ac:dyDescent="0.25">
      <c r="A2002" s="82">
        <v>42782</v>
      </c>
      <c r="B2002" s="39" t="s">
        <v>6281</v>
      </c>
      <c r="C2002" s="89"/>
      <c r="D2002" s="18">
        <v>101337</v>
      </c>
      <c r="E2002" s="2" t="s">
        <v>677</v>
      </c>
      <c r="F2002" s="15">
        <v>2565</v>
      </c>
      <c r="G2002" s="41">
        <v>42784</v>
      </c>
      <c r="H2002" s="15">
        <f t="shared" si="57"/>
        <v>2565</v>
      </c>
      <c r="I2002" s="15">
        <f t="shared" si="55"/>
        <v>0</v>
      </c>
    </row>
    <row r="2003" spans="1:9" x14ac:dyDescent="0.25">
      <c r="A2003" s="82">
        <v>42782</v>
      </c>
      <c r="B2003" s="39" t="s">
        <v>6282</v>
      </c>
      <c r="C2003" s="89"/>
      <c r="D2003" s="18">
        <v>101338</v>
      </c>
      <c r="E2003" s="2" t="s">
        <v>222</v>
      </c>
      <c r="F2003" s="15">
        <v>444815</v>
      </c>
      <c r="G2003" s="41">
        <v>42786</v>
      </c>
      <c r="H2003" s="15">
        <f t="shared" si="57"/>
        <v>444815</v>
      </c>
      <c r="I2003" s="15">
        <f t="shared" si="55"/>
        <v>0</v>
      </c>
    </row>
    <row r="2004" spans="1:9" x14ac:dyDescent="0.25">
      <c r="A2004" s="82">
        <v>42782</v>
      </c>
      <c r="B2004" s="39" t="s">
        <v>6283</v>
      </c>
      <c r="C2004" s="89"/>
      <c r="D2004" s="18">
        <v>101339</v>
      </c>
      <c r="E2004" s="2" t="s">
        <v>222</v>
      </c>
      <c r="F2004" s="15">
        <v>243504</v>
      </c>
      <c r="G2004" s="41">
        <v>42784</v>
      </c>
      <c r="H2004" s="15">
        <f t="shared" si="57"/>
        <v>243504</v>
      </c>
      <c r="I2004" s="15">
        <f t="shared" si="55"/>
        <v>0</v>
      </c>
    </row>
    <row r="2005" spans="1:9" x14ac:dyDescent="0.25">
      <c r="A2005" s="82">
        <v>42782</v>
      </c>
      <c r="B2005" s="39" t="s">
        <v>6284</v>
      </c>
      <c r="C2005" s="89"/>
      <c r="D2005" s="18">
        <v>101340</v>
      </c>
      <c r="E2005" s="2" t="s">
        <v>1598</v>
      </c>
      <c r="F2005" s="15">
        <v>2226.25</v>
      </c>
      <c r="G2005" s="41">
        <v>42784</v>
      </c>
      <c r="H2005" s="15">
        <f t="shared" si="57"/>
        <v>2226.25</v>
      </c>
      <c r="I2005" s="15">
        <f t="shared" si="55"/>
        <v>0</v>
      </c>
    </row>
    <row r="2006" spans="1:9" x14ac:dyDescent="0.25">
      <c r="A2006" s="82">
        <v>42782</v>
      </c>
      <c r="B2006" s="39" t="s">
        <v>6285</v>
      </c>
      <c r="C2006" s="89"/>
      <c r="D2006" s="18">
        <v>101341</v>
      </c>
      <c r="E2006" s="2" t="s">
        <v>10</v>
      </c>
      <c r="F2006" s="15">
        <v>14642.2</v>
      </c>
      <c r="G2006" s="41">
        <v>42786</v>
      </c>
      <c r="H2006" s="15">
        <f t="shared" si="57"/>
        <v>14642.2</v>
      </c>
      <c r="I2006" s="15">
        <f t="shared" si="55"/>
        <v>0</v>
      </c>
    </row>
    <row r="2007" spans="1:9" x14ac:dyDescent="0.25">
      <c r="A2007" s="82">
        <v>42782</v>
      </c>
      <c r="B2007" s="39" t="s">
        <v>6286</v>
      </c>
      <c r="C2007" s="89"/>
      <c r="D2007" s="18">
        <v>101342</v>
      </c>
      <c r="E2007" s="2" t="s">
        <v>1589</v>
      </c>
      <c r="F2007" s="15">
        <v>7081.9</v>
      </c>
      <c r="G2007" s="41">
        <v>42784</v>
      </c>
      <c r="H2007" s="15">
        <f t="shared" si="57"/>
        <v>7081.9</v>
      </c>
      <c r="I2007" s="15">
        <f t="shared" si="55"/>
        <v>0</v>
      </c>
    </row>
    <row r="2008" spans="1:9" x14ac:dyDescent="0.25">
      <c r="A2008" s="82">
        <v>42782</v>
      </c>
      <c r="B2008" s="39" t="s">
        <v>6287</v>
      </c>
      <c r="C2008" s="89"/>
      <c r="D2008" s="18">
        <v>101343</v>
      </c>
      <c r="E2008" s="2" t="s">
        <v>354</v>
      </c>
      <c r="F2008" s="15">
        <v>687.8</v>
      </c>
      <c r="H2008" s="15">
        <f t="shared" si="57"/>
        <v>687.8</v>
      </c>
      <c r="I2008" s="15">
        <f t="shared" si="55"/>
        <v>0</v>
      </c>
    </row>
    <row r="2009" spans="1:9" x14ac:dyDescent="0.25">
      <c r="A2009" s="82">
        <v>42782</v>
      </c>
      <c r="B2009" s="39" t="s">
        <v>6288</v>
      </c>
      <c r="C2009" s="89"/>
      <c r="D2009" s="18">
        <v>101344</v>
      </c>
      <c r="E2009" s="2" t="s">
        <v>312</v>
      </c>
      <c r="F2009" s="15">
        <v>14108.2</v>
      </c>
      <c r="G2009" s="41">
        <v>42794</v>
      </c>
      <c r="H2009" s="15">
        <f t="shared" si="57"/>
        <v>14108.2</v>
      </c>
      <c r="I2009" s="15">
        <f t="shared" si="55"/>
        <v>0</v>
      </c>
    </row>
    <row r="2010" spans="1:9" x14ac:dyDescent="0.25">
      <c r="A2010" s="82">
        <v>42782</v>
      </c>
      <c r="B2010" s="39" t="s">
        <v>6289</v>
      </c>
      <c r="C2010" s="89"/>
      <c r="D2010" s="18">
        <v>101345</v>
      </c>
      <c r="E2010" s="2" t="s">
        <v>670</v>
      </c>
      <c r="F2010" s="15">
        <v>3976.1</v>
      </c>
      <c r="G2010" s="41">
        <v>42789</v>
      </c>
      <c r="H2010" s="15">
        <f t="shared" si="57"/>
        <v>3976.1</v>
      </c>
      <c r="I2010" s="15">
        <f t="shared" si="55"/>
        <v>0</v>
      </c>
    </row>
    <row r="2011" spans="1:9" x14ac:dyDescent="0.25">
      <c r="A2011" s="82">
        <v>42782</v>
      </c>
      <c r="B2011" s="39" t="s">
        <v>6290</v>
      </c>
      <c r="C2011" s="89"/>
      <c r="D2011" s="18">
        <v>101346</v>
      </c>
      <c r="E2011" s="2" t="s">
        <v>1197</v>
      </c>
      <c r="F2011" s="15">
        <v>5918.4</v>
      </c>
      <c r="G2011" s="41">
        <v>42784</v>
      </c>
      <c r="H2011" s="15">
        <f t="shared" si="57"/>
        <v>5918.4</v>
      </c>
      <c r="I2011" s="15">
        <f t="shared" si="55"/>
        <v>0</v>
      </c>
    </row>
    <row r="2012" spans="1:9" x14ac:dyDescent="0.25">
      <c r="A2012" s="82">
        <v>42782</v>
      </c>
      <c r="B2012" s="39" t="s">
        <v>6291</v>
      </c>
      <c r="C2012" s="89"/>
      <c r="D2012" s="18">
        <v>101347</v>
      </c>
      <c r="E2012" s="2" t="s">
        <v>665</v>
      </c>
      <c r="F2012" s="15">
        <v>69316.160000000003</v>
      </c>
      <c r="G2012" s="264">
        <v>42791</v>
      </c>
      <c r="H2012" s="241">
        <f t="shared" si="57"/>
        <v>69316.160000000003</v>
      </c>
      <c r="I2012" s="241">
        <f t="shared" si="55"/>
        <v>0</v>
      </c>
    </row>
    <row r="2013" spans="1:9" ht="30" x14ac:dyDescent="0.25">
      <c r="A2013" s="82">
        <v>42782</v>
      </c>
      <c r="B2013" s="39" t="s">
        <v>6292</v>
      </c>
      <c r="C2013" s="89"/>
      <c r="D2013" s="18">
        <v>101348</v>
      </c>
      <c r="E2013" s="2" t="s">
        <v>1199</v>
      </c>
      <c r="F2013" s="15">
        <v>19336.12</v>
      </c>
      <c r="G2013" s="265" t="s">
        <v>19793</v>
      </c>
      <c r="H2013" s="133">
        <f>11951.16+7384.96</f>
        <v>19336.12</v>
      </c>
      <c r="I2013" s="133">
        <f t="shared" si="55"/>
        <v>0</v>
      </c>
    </row>
    <row r="2014" spans="1:9" x14ac:dyDescent="0.25">
      <c r="A2014" s="82">
        <v>42782</v>
      </c>
      <c r="B2014" s="39" t="s">
        <v>6293</v>
      </c>
      <c r="C2014" s="89"/>
      <c r="D2014" s="18">
        <v>101349</v>
      </c>
      <c r="E2014" s="2" t="s">
        <v>4038</v>
      </c>
      <c r="F2014" s="15">
        <v>3467.2</v>
      </c>
      <c r="G2014" s="41">
        <v>42784</v>
      </c>
      <c r="H2014" s="15">
        <f t="shared" si="57"/>
        <v>3467.2</v>
      </c>
      <c r="I2014" s="15">
        <f t="shared" si="55"/>
        <v>0</v>
      </c>
    </row>
    <row r="2015" spans="1:9" x14ac:dyDescent="0.25">
      <c r="A2015" s="82">
        <v>42782</v>
      </c>
      <c r="B2015" s="39" t="s">
        <v>6294</v>
      </c>
      <c r="C2015" s="89"/>
      <c r="D2015" s="18">
        <v>101350</v>
      </c>
      <c r="E2015" s="2" t="s">
        <v>220</v>
      </c>
      <c r="F2015" s="15">
        <v>2797.2</v>
      </c>
      <c r="G2015" s="41">
        <v>42783</v>
      </c>
      <c r="H2015" s="15">
        <f t="shared" si="57"/>
        <v>2797.2</v>
      </c>
      <c r="I2015" s="15">
        <f t="shared" si="55"/>
        <v>0</v>
      </c>
    </row>
    <row r="2016" spans="1:9" x14ac:dyDescent="0.25">
      <c r="A2016" s="82">
        <v>42782</v>
      </c>
      <c r="B2016" s="39" t="s">
        <v>6295</v>
      </c>
      <c r="C2016" s="89"/>
      <c r="D2016" s="18">
        <v>101351</v>
      </c>
      <c r="E2016" s="2" t="s">
        <v>55</v>
      </c>
      <c r="F2016" s="15">
        <v>3912.8</v>
      </c>
      <c r="G2016" s="41">
        <v>42783</v>
      </c>
      <c r="H2016" s="15">
        <f t="shared" si="57"/>
        <v>3912.8</v>
      </c>
      <c r="I2016" s="15">
        <f t="shared" si="55"/>
        <v>0</v>
      </c>
    </row>
    <row r="2017" spans="1:9" x14ac:dyDescent="0.25">
      <c r="A2017" s="82">
        <v>42783</v>
      </c>
      <c r="B2017" s="39" t="s">
        <v>6296</v>
      </c>
      <c r="C2017" s="89"/>
      <c r="D2017" s="18">
        <v>101352</v>
      </c>
      <c r="E2017" s="2" t="s">
        <v>374</v>
      </c>
      <c r="F2017" s="15">
        <v>6661.8</v>
      </c>
      <c r="G2017" s="41">
        <v>42783</v>
      </c>
      <c r="H2017" s="15">
        <f t="shared" si="57"/>
        <v>6661.8</v>
      </c>
      <c r="I2017" s="15">
        <f t="shared" si="55"/>
        <v>0</v>
      </c>
    </row>
    <row r="2018" spans="1:9" x14ac:dyDescent="0.25">
      <c r="A2018" s="82">
        <v>42783</v>
      </c>
      <c r="B2018" s="39" t="s">
        <v>6297</v>
      </c>
      <c r="C2018" s="89"/>
      <c r="D2018" s="18">
        <v>101353</v>
      </c>
      <c r="E2018" s="2" t="s">
        <v>17</v>
      </c>
      <c r="F2018" s="15">
        <v>2915.5</v>
      </c>
      <c r="G2018" s="41">
        <v>42784</v>
      </c>
      <c r="H2018" s="15">
        <f t="shared" si="57"/>
        <v>2915.5</v>
      </c>
      <c r="I2018" s="15">
        <f t="shared" si="55"/>
        <v>0</v>
      </c>
    </row>
    <row r="2019" spans="1:9" x14ac:dyDescent="0.25">
      <c r="A2019" s="82">
        <v>42783</v>
      </c>
      <c r="B2019" s="39" t="s">
        <v>6298</v>
      </c>
      <c r="C2019" s="89"/>
      <c r="D2019" s="18">
        <v>101354</v>
      </c>
      <c r="E2019" s="2" t="s">
        <v>55</v>
      </c>
      <c r="F2019" s="15">
        <v>5283</v>
      </c>
      <c r="G2019" s="41">
        <v>42783</v>
      </c>
      <c r="H2019" s="15">
        <f t="shared" si="57"/>
        <v>5283</v>
      </c>
      <c r="I2019" s="15">
        <f t="shared" si="55"/>
        <v>0</v>
      </c>
    </row>
    <row r="2020" spans="1:9" x14ac:dyDescent="0.25">
      <c r="A2020" s="82">
        <v>42783</v>
      </c>
      <c r="B2020" s="39" t="s">
        <v>6299</v>
      </c>
      <c r="C2020" s="89"/>
      <c r="D2020" s="18">
        <v>101355</v>
      </c>
      <c r="E2020" s="2" t="s">
        <v>19</v>
      </c>
      <c r="F2020" s="15">
        <v>1960</v>
      </c>
      <c r="G2020" s="41">
        <v>42783</v>
      </c>
      <c r="H2020" s="15">
        <f t="shared" si="57"/>
        <v>1960</v>
      </c>
      <c r="I2020" s="15">
        <f t="shared" si="55"/>
        <v>0</v>
      </c>
    </row>
    <row r="2021" spans="1:9" x14ac:dyDescent="0.25">
      <c r="A2021" s="82">
        <v>42783</v>
      </c>
      <c r="B2021" s="39" t="s">
        <v>6300</v>
      </c>
      <c r="C2021" s="89"/>
      <c r="D2021" s="18">
        <v>101356</v>
      </c>
      <c r="E2021" s="2" t="s">
        <v>231</v>
      </c>
      <c r="F2021" s="15">
        <v>7522.4</v>
      </c>
      <c r="G2021" s="41">
        <v>42785</v>
      </c>
      <c r="H2021" s="15">
        <f t="shared" si="57"/>
        <v>7522.4</v>
      </c>
      <c r="I2021" s="15">
        <f t="shared" si="55"/>
        <v>0</v>
      </c>
    </row>
    <row r="2022" spans="1:9" x14ac:dyDescent="0.25">
      <c r="A2022" s="82">
        <v>42783</v>
      </c>
      <c r="B2022" s="39" t="s">
        <v>6301</v>
      </c>
      <c r="C2022" s="89"/>
      <c r="D2022" s="18">
        <v>101357</v>
      </c>
      <c r="E2022" s="2" t="s">
        <v>1786</v>
      </c>
      <c r="F2022" s="15">
        <v>9227.7999999999993</v>
      </c>
      <c r="G2022" s="41">
        <v>42783</v>
      </c>
      <c r="H2022" s="15">
        <f t="shared" si="57"/>
        <v>9227.7999999999993</v>
      </c>
      <c r="I2022" s="15">
        <f t="shared" si="55"/>
        <v>0</v>
      </c>
    </row>
    <row r="2023" spans="1:9" x14ac:dyDescent="0.25">
      <c r="A2023" s="82">
        <v>42783</v>
      </c>
      <c r="B2023" s="39" t="s">
        <v>6302</v>
      </c>
      <c r="C2023" s="89"/>
      <c r="D2023" s="18">
        <v>101358</v>
      </c>
      <c r="E2023" s="2" t="s">
        <v>231</v>
      </c>
      <c r="F2023" s="15">
        <v>28298.6</v>
      </c>
      <c r="G2023" s="41">
        <v>42784</v>
      </c>
      <c r="H2023" s="15">
        <f t="shared" si="57"/>
        <v>28298.6</v>
      </c>
      <c r="I2023" s="15">
        <f t="shared" si="55"/>
        <v>0</v>
      </c>
    </row>
    <row r="2024" spans="1:9" x14ac:dyDescent="0.25">
      <c r="A2024" s="82">
        <v>42783</v>
      </c>
      <c r="B2024" s="39" t="s">
        <v>6303</v>
      </c>
      <c r="C2024" s="89"/>
      <c r="D2024" s="18">
        <v>101359</v>
      </c>
      <c r="E2024" s="2" t="s">
        <v>143</v>
      </c>
      <c r="F2024" s="15">
        <v>279.39999999999998</v>
      </c>
      <c r="G2024" s="41">
        <v>42783</v>
      </c>
      <c r="H2024" s="15">
        <f t="shared" si="57"/>
        <v>279.39999999999998</v>
      </c>
      <c r="I2024" s="15">
        <f t="shared" si="55"/>
        <v>0</v>
      </c>
    </row>
    <row r="2025" spans="1:9" x14ac:dyDescent="0.25">
      <c r="A2025" s="82">
        <v>42783</v>
      </c>
      <c r="B2025" s="39" t="s">
        <v>6304</v>
      </c>
      <c r="C2025" s="89"/>
      <c r="D2025" s="18">
        <v>101360</v>
      </c>
      <c r="E2025" s="2" t="s">
        <v>143</v>
      </c>
      <c r="F2025" s="15">
        <v>3003.3</v>
      </c>
      <c r="G2025" s="41">
        <v>42783</v>
      </c>
      <c r="H2025" s="15">
        <f t="shared" si="57"/>
        <v>3003.3</v>
      </c>
      <c r="I2025" s="15">
        <f t="shared" si="55"/>
        <v>0</v>
      </c>
    </row>
    <row r="2026" spans="1:9" x14ac:dyDescent="0.25">
      <c r="A2026" s="82">
        <v>42783</v>
      </c>
      <c r="B2026" s="39" t="s">
        <v>6305</v>
      </c>
      <c r="C2026" s="89"/>
      <c r="D2026" s="18">
        <v>101361</v>
      </c>
      <c r="E2026" s="2" t="s">
        <v>428</v>
      </c>
      <c r="F2026" s="15">
        <v>2155</v>
      </c>
      <c r="G2026" s="41">
        <v>42784</v>
      </c>
      <c r="H2026" s="15">
        <f t="shared" si="57"/>
        <v>2155</v>
      </c>
      <c r="I2026" s="15">
        <f t="shared" si="55"/>
        <v>0</v>
      </c>
    </row>
    <row r="2027" spans="1:9" x14ac:dyDescent="0.25">
      <c r="A2027" s="82">
        <v>42783</v>
      </c>
      <c r="B2027" s="39" t="s">
        <v>6306</v>
      </c>
      <c r="C2027" s="89"/>
      <c r="D2027" s="18">
        <v>101362</v>
      </c>
      <c r="E2027" s="2" t="s">
        <v>21</v>
      </c>
      <c r="F2027" s="15">
        <v>47160</v>
      </c>
      <c r="G2027" s="41">
        <v>42800</v>
      </c>
      <c r="H2027" s="15">
        <f t="shared" si="57"/>
        <v>47160</v>
      </c>
      <c r="I2027" s="15">
        <f t="shared" si="55"/>
        <v>0</v>
      </c>
    </row>
    <row r="2028" spans="1:9" x14ac:dyDescent="0.25">
      <c r="A2028" s="82">
        <v>42783</v>
      </c>
      <c r="B2028" s="39" t="s">
        <v>6307</v>
      </c>
      <c r="C2028" s="89"/>
      <c r="D2028" s="18">
        <v>101363</v>
      </c>
      <c r="E2028" s="2" t="s">
        <v>222</v>
      </c>
      <c r="F2028" s="15">
        <v>20857.099999999999</v>
      </c>
      <c r="G2028" s="41">
        <v>42784</v>
      </c>
      <c r="H2028" s="15">
        <f t="shared" si="57"/>
        <v>20857.099999999999</v>
      </c>
      <c r="I2028" s="15">
        <f t="shared" si="55"/>
        <v>0</v>
      </c>
    </row>
    <row r="2029" spans="1:9" x14ac:dyDescent="0.25">
      <c r="A2029" s="82">
        <v>42783</v>
      </c>
      <c r="B2029" s="39" t="s">
        <v>6308</v>
      </c>
      <c r="C2029" s="89"/>
      <c r="D2029" s="18">
        <v>101364</v>
      </c>
      <c r="E2029" s="2" t="s">
        <v>35</v>
      </c>
      <c r="F2029" s="15">
        <v>15645</v>
      </c>
      <c r="G2029" s="41">
        <v>42786</v>
      </c>
      <c r="H2029" s="15">
        <f t="shared" si="57"/>
        <v>15645</v>
      </c>
      <c r="I2029" s="15">
        <f t="shared" si="55"/>
        <v>0</v>
      </c>
    </row>
    <row r="2030" spans="1:9" x14ac:dyDescent="0.25">
      <c r="A2030" s="82">
        <v>42783</v>
      </c>
      <c r="B2030" s="39" t="s">
        <v>6309</v>
      </c>
      <c r="C2030" s="89"/>
      <c r="D2030" s="18">
        <v>101365</v>
      </c>
      <c r="E2030" s="2" t="s">
        <v>28</v>
      </c>
      <c r="F2030" s="15">
        <v>4887</v>
      </c>
      <c r="G2030" s="41">
        <v>42783</v>
      </c>
      <c r="H2030" s="15">
        <f t="shared" si="57"/>
        <v>4887</v>
      </c>
      <c r="I2030" s="15">
        <f t="shared" si="55"/>
        <v>0</v>
      </c>
    </row>
    <row r="2031" spans="1:9" x14ac:dyDescent="0.25">
      <c r="A2031" s="82">
        <v>42783</v>
      </c>
      <c r="B2031" s="39" t="s">
        <v>6310</v>
      </c>
      <c r="C2031" s="89"/>
      <c r="D2031" s="18">
        <v>101366</v>
      </c>
      <c r="E2031" s="2" t="s">
        <v>26</v>
      </c>
      <c r="F2031" s="15">
        <v>19837.5</v>
      </c>
      <c r="G2031" s="41">
        <v>42783</v>
      </c>
      <c r="H2031" s="15">
        <f t="shared" si="57"/>
        <v>19837.5</v>
      </c>
      <c r="I2031" s="15">
        <f t="shared" si="55"/>
        <v>0</v>
      </c>
    </row>
    <row r="2032" spans="1:9" x14ac:dyDescent="0.25">
      <c r="A2032" s="82">
        <v>42783</v>
      </c>
      <c r="B2032" s="39" t="s">
        <v>6311</v>
      </c>
      <c r="C2032" s="89"/>
      <c r="D2032" s="18">
        <v>101367</v>
      </c>
      <c r="E2032" s="2" t="s">
        <v>1335</v>
      </c>
      <c r="F2032" s="15">
        <v>9250.1</v>
      </c>
      <c r="G2032" s="41">
        <v>42783</v>
      </c>
      <c r="H2032" s="15">
        <f t="shared" si="57"/>
        <v>9250.1</v>
      </c>
      <c r="I2032" s="15">
        <f t="shared" si="55"/>
        <v>0</v>
      </c>
    </row>
    <row r="2033" spans="1:9" x14ac:dyDescent="0.25">
      <c r="A2033" s="82">
        <v>42783</v>
      </c>
      <c r="B2033" s="39" t="s">
        <v>6312</v>
      </c>
      <c r="C2033" s="89"/>
      <c r="D2033" s="18">
        <v>101368</v>
      </c>
      <c r="E2033" s="2" t="s">
        <v>312</v>
      </c>
      <c r="F2033" s="15">
        <v>13330.8</v>
      </c>
      <c r="G2033" s="41">
        <v>42794</v>
      </c>
      <c r="H2033" s="15">
        <f t="shared" si="57"/>
        <v>13330.8</v>
      </c>
      <c r="I2033" s="15">
        <f t="shared" si="55"/>
        <v>0</v>
      </c>
    </row>
    <row r="2034" spans="1:9" x14ac:dyDescent="0.25">
      <c r="A2034" s="82">
        <v>42783</v>
      </c>
      <c r="B2034" s="39" t="s">
        <v>6313</v>
      </c>
      <c r="C2034" s="89"/>
      <c r="D2034" s="18">
        <v>101369</v>
      </c>
      <c r="E2034" s="2" t="s">
        <v>30</v>
      </c>
      <c r="F2034" s="15">
        <v>988.44</v>
      </c>
      <c r="G2034" s="41">
        <v>42783</v>
      </c>
      <c r="H2034" s="15">
        <f t="shared" si="57"/>
        <v>988.44</v>
      </c>
      <c r="I2034" s="15">
        <f t="shared" si="55"/>
        <v>0</v>
      </c>
    </row>
    <row r="2035" spans="1:9" x14ac:dyDescent="0.25">
      <c r="A2035" s="82">
        <v>42783</v>
      </c>
      <c r="B2035" s="39" t="s">
        <v>6314</v>
      </c>
      <c r="C2035" s="89"/>
      <c r="D2035" s="18">
        <v>101370</v>
      </c>
      <c r="E2035" s="2" t="s">
        <v>1645</v>
      </c>
      <c r="F2035" s="15">
        <v>2759.4</v>
      </c>
      <c r="G2035" s="41">
        <v>42783</v>
      </c>
      <c r="H2035" s="15">
        <f t="shared" si="57"/>
        <v>2759.4</v>
      </c>
      <c r="I2035" s="15">
        <f t="shared" si="55"/>
        <v>0</v>
      </c>
    </row>
    <row r="2036" spans="1:9" x14ac:dyDescent="0.25">
      <c r="A2036" s="82">
        <v>42783</v>
      </c>
      <c r="B2036" s="39" t="s">
        <v>6315</v>
      </c>
      <c r="C2036" s="89"/>
      <c r="D2036" s="18">
        <v>101371</v>
      </c>
      <c r="E2036" s="2" t="s">
        <v>71</v>
      </c>
      <c r="F2036" s="15">
        <v>4385.5</v>
      </c>
      <c r="G2036" s="41">
        <v>42783</v>
      </c>
      <c r="H2036" s="15">
        <f t="shared" si="57"/>
        <v>4385.5</v>
      </c>
      <c r="I2036" s="15">
        <f t="shared" si="55"/>
        <v>0</v>
      </c>
    </row>
    <row r="2037" spans="1:9" x14ac:dyDescent="0.25">
      <c r="A2037" s="82">
        <v>42783</v>
      </c>
      <c r="B2037" s="39" t="s">
        <v>6316</v>
      </c>
      <c r="C2037" s="89"/>
      <c r="D2037" s="18">
        <v>101372</v>
      </c>
      <c r="E2037" s="2" t="s">
        <v>38</v>
      </c>
      <c r="F2037" s="15">
        <v>3307.5</v>
      </c>
      <c r="G2037" s="41">
        <v>42788</v>
      </c>
      <c r="H2037" s="15">
        <f t="shared" si="57"/>
        <v>3307.5</v>
      </c>
      <c r="I2037" s="15">
        <f t="shared" si="55"/>
        <v>0</v>
      </c>
    </row>
    <row r="2038" spans="1:9" x14ac:dyDescent="0.25">
      <c r="A2038" s="82">
        <v>42783</v>
      </c>
      <c r="B2038" s="39" t="s">
        <v>6317</v>
      </c>
      <c r="C2038" s="89"/>
      <c r="D2038" s="18">
        <v>101373</v>
      </c>
      <c r="E2038" s="2" t="s">
        <v>492</v>
      </c>
      <c r="F2038" s="15">
        <v>19558.3</v>
      </c>
      <c r="G2038" s="41">
        <v>42788</v>
      </c>
      <c r="H2038" s="15">
        <f t="shared" si="57"/>
        <v>19558.3</v>
      </c>
      <c r="I2038" s="15">
        <f t="shared" si="55"/>
        <v>0</v>
      </c>
    </row>
    <row r="2039" spans="1:9" x14ac:dyDescent="0.25">
      <c r="A2039" s="82">
        <v>42783</v>
      </c>
      <c r="B2039" s="39" t="s">
        <v>6318</v>
      </c>
      <c r="C2039" s="89"/>
      <c r="D2039" s="18">
        <v>101374</v>
      </c>
      <c r="E2039" s="13" t="s">
        <v>141</v>
      </c>
      <c r="F2039" s="14">
        <v>0</v>
      </c>
      <c r="G2039" s="88" t="s">
        <v>95</v>
      </c>
      <c r="H2039" s="14">
        <f t="shared" si="57"/>
        <v>0</v>
      </c>
      <c r="I2039" s="14">
        <f t="shared" si="55"/>
        <v>0</v>
      </c>
    </row>
    <row r="2040" spans="1:9" x14ac:dyDescent="0.25">
      <c r="A2040" s="82">
        <v>42783</v>
      </c>
      <c r="B2040" s="39" t="s">
        <v>6319</v>
      </c>
      <c r="C2040" s="89"/>
      <c r="D2040" s="18">
        <v>101375</v>
      </c>
      <c r="E2040" s="2" t="s">
        <v>379</v>
      </c>
      <c r="F2040" s="15">
        <v>5254.4</v>
      </c>
      <c r="H2040" s="15">
        <f t="shared" si="57"/>
        <v>5254.4</v>
      </c>
      <c r="I2040" s="15">
        <f t="shared" ref="I2040:I2103" si="58">F2040-H2040</f>
        <v>0</v>
      </c>
    </row>
    <row r="2041" spans="1:9" x14ac:dyDescent="0.25">
      <c r="A2041" s="82">
        <v>42783</v>
      </c>
      <c r="B2041" s="39" t="s">
        <v>6320</v>
      </c>
      <c r="C2041" s="89"/>
      <c r="D2041" s="18">
        <v>101376</v>
      </c>
      <c r="E2041" s="2" t="s">
        <v>236</v>
      </c>
      <c r="F2041" s="15">
        <v>38451.9</v>
      </c>
      <c r="G2041" s="41">
        <v>42791</v>
      </c>
      <c r="H2041" s="15">
        <f t="shared" si="57"/>
        <v>38451.9</v>
      </c>
      <c r="I2041" s="15">
        <f t="shared" si="58"/>
        <v>0</v>
      </c>
    </row>
    <row r="2042" spans="1:9" x14ac:dyDescent="0.25">
      <c r="A2042" s="82">
        <v>42783</v>
      </c>
      <c r="B2042" s="39" t="s">
        <v>6321</v>
      </c>
      <c r="C2042" s="89"/>
      <c r="D2042" s="18">
        <v>101377</v>
      </c>
      <c r="E2042" s="2" t="s">
        <v>298</v>
      </c>
      <c r="F2042" s="15">
        <v>2967.8</v>
      </c>
      <c r="G2042" s="41">
        <v>42783</v>
      </c>
      <c r="H2042" s="15">
        <f t="shared" si="57"/>
        <v>2967.8</v>
      </c>
      <c r="I2042" s="15">
        <f t="shared" si="58"/>
        <v>0</v>
      </c>
    </row>
    <row r="2043" spans="1:9" x14ac:dyDescent="0.25">
      <c r="A2043" s="82">
        <v>42783</v>
      </c>
      <c r="B2043" s="39" t="s">
        <v>6322</v>
      </c>
      <c r="C2043" s="89"/>
      <c r="D2043" s="18">
        <v>101378</v>
      </c>
      <c r="E2043" s="2" t="s">
        <v>442</v>
      </c>
      <c r="F2043" s="15">
        <v>14722.3</v>
      </c>
      <c r="G2043" s="86">
        <v>42788</v>
      </c>
      <c r="H2043" s="23">
        <f>11954.54</f>
        <v>11954.54</v>
      </c>
      <c r="I2043" s="23">
        <f t="shared" si="58"/>
        <v>2767.7599999999984</v>
      </c>
    </row>
    <row r="2044" spans="1:9" x14ac:dyDescent="0.25">
      <c r="A2044" s="82">
        <v>42783</v>
      </c>
      <c r="B2044" s="39" t="s">
        <v>6323</v>
      </c>
      <c r="C2044" s="89"/>
      <c r="D2044" s="18">
        <v>101379</v>
      </c>
      <c r="E2044" s="2" t="s">
        <v>457</v>
      </c>
      <c r="F2044" s="15">
        <v>1660.8</v>
      </c>
      <c r="G2044" s="41">
        <v>42783</v>
      </c>
      <c r="H2044" s="15">
        <f t="shared" si="57"/>
        <v>1660.8</v>
      </c>
      <c r="I2044" s="15">
        <f t="shared" si="58"/>
        <v>0</v>
      </c>
    </row>
    <row r="2045" spans="1:9" x14ac:dyDescent="0.25">
      <c r="A2045" s="82">
        <v>42783</v>
      </c>
      <c r="B2045" s="39" t="s">
        <v>6324</v>
      </c>
      <c r="C2045" s="89"/>
      <c r="D2045" s="18">
        <v>101380</v>
      </c>
      <c r="E2045" s="2" t="s">
        <v>49</v>
      </c>
      <c r="F2045" s="15">
        <v>10175.4</v>
      </c>
      <c r="G2045" s="41">
        <v>42787</v>
      </c>
      <c r="H2045" s="15">
        <f t="shared" si="57"/>
        <v>10175.4</v>
      </c>
      <c r="I2045" s="15">
        <f t="shared" si="58"/>
        <v>0</v>
      </c>
    </row>
    <row r="2046" spans="1:9" x14ac:dyDescent="0.25">
      <c r="A2046" s="82">
        <v>42783</v>
      </c>
      <c r="B2046" s="39" t="s">
        <v>6325</v>
      </c>
      <c r="C2046" s="89"/>
      <c r="D2046" s="18">
        <v>101381</v>
      </c>
      <c r="E2046" s="2" t="s">
        <v>51</v>
      </c>
      <c r="F2046" s="15">
        <v>4525.1000000000004</v>
      </c>
      <c r="G2046" s="41">
        <v>42786</v>
      </c>
      <c r="H2046" s="15">
        <f t="shared" si="57"/>
        <v>4525.1000000000004</v>
      </c>
      <c r="I2046" s="15">
        <f t="shared" si="58"/>
        <v>0</v>
      </c>
    </row>
    <row r="2047" spans="1:9" x14ac:dyDescent="0.25">
      <c r="A2047" s="82">
        <v>42783</v>
      </c>
      <c r="B2047" s="39" t="s">
        <v>6326</v>
      </c>
      <c r="C2047" s="89"/>
      <c r="D2047" s="18">
        <v>101382</v>
      </c>
      <c r="E2047" s="2" t="s">
        <v>47</v>
      </c>
      <c r="F2047" s="15">
        <v>3957</v>
      </c>
      <c r="G2047" s="41">
        <v>42783</v>
      </c>
      <c r="H2047" s="15">
        <f t="shared" si="57"/>
        <v>3957</v>
      </c>
      <c r="I2047" s="15">
        <f t="shared" si="58"/>
        <v>0</v>
      </c>
    </row>
    <row r="2048" spans="1:9" x14ac:dyDescent="0.25">
      <c r="A2048" s="82">
        <v>42783</v>
      </c>
      <c r="B2048" s="39" t="s">
        <v>6327</v>
      </c>
      <c r="C2048" s="89"/>
      <c r="D2048" s="18">
        <v>101383</v>
      </c>
      <c r="E2048" s="2" t="s">
        <v>3425</v>
      </c>
      <c r="F2048" s="15">
        <v>2480</v>
      </c>
      <c r="G2048" s="41">
        <v>42783</v>
      </c>
      <c r="H2048" s="15">
        <f t="shared" si="57"/>
        <v>2480</v>
      </c>
      <c r="I2048" s="15">
        <f t="shared" si="58"/>
        <v>0</v>
      </c>
    </row>
    <row r="2049" spans="1:10" x14ac:dyDescent="0.25">
      <c r="A2049" s="82">
        <v>42783</v>
      </c>
      <c r="B2049" s="39" t="s">
        <v>6328</v>
      </c>
      <c r="C2049" s="89"/>
      <c r="D2049" s="18">
        <v>101384</v>
      </c>
      <c r="E2049" s="2" t="s">
        <v>43</v>
      </c>
      <c r="F2049" s="15">
        <v>3484</v>
      </c>
      <c r="G2049" s="41">
        <v>42786</v>
      </c>
      <c r="H2049" s="15">
        <f t="shared" si="57"/>
        <v>3484</v>
      </c>
      <c r="I2049" s="15">
        <f t="shared" si="58"/>
        <v>0</v>
      </c>
    </row>
    <row r="2050" spans="1:10" x14ac:dyDescent="0.25">
      <c r="A2050" s="82">
        <v>42783</v>
      </c>
      <c r="B2050" s="39" t="s">
        <v>6329</v>
      </c>
      <c r="C2050" s="89"/>
      <c r="D2050" s="18">
        <v>101385</v>
      </c>
      <c r="E2050" s="2" t="s">
        <v>1666</v>
      </c>
      <c r="F2050" s="15">
        <v>6515.7</v>
      </c>
      <c r="G2050" s="41">
        <v>42788</v>
      </c>
      <c r="H2050" s="15">
        <f t="shared" si="57"/>
        <v>6515.7</v>
      </c>
      <c r="I2050" s="15">
        <f t="shared" si="58"/>
        <v>0</v>
      </c>
    </row>
    <row r="2051" spans="1:10" x14ac:dyDescent="0.25">
      <c r="A2051" s="82">
        <v>42783</v>
      </c>
      <c r="B2051" s="39" t="s">
        <v>6330</v>
      </c>
      <c r="C2051" s="89"/>
      <c r="D2051" s="18">
        <v>101386</v>
      </c>
      <c r="E2051" s="2" t="s">
        <v>67</v>
      </c>
      <c r="F2051" s="15">
        <v>5624.8</v>
      </c>
      <c r="G2051" s="41">
        <v>42784</v>
      </c>
      <c r="H2051" s="15">
        <f t="shared" si="57"/>
        <v>5624.8</v>
      </c>
      <c r="I2051" s="15">
        <f t="shared" si="58"/>
        <v>0</v>
      </c>
    </row>
    <row r="2052" spans="1:10" x14ac:dyDescent="0.25">
      <c r="A2052" s="82">
        <v>42783</v>
      </c>
      <c r="B2052" s="39" t="s">
        <v>6331</v>
      </c>
      <c r="C2052" s="89"/>
      <c r="D2052" s="18">
        <v>101387</v>
      </c>
      <c r="E2052" s="2" t="s">
        <v>40</v>
      </c>
      <c r="F2052" s="15">
        <v>4297.8</v>
      </c>
      <c r="G2052" s="41">
        <v>42783</v>
      </c>
      <c r="H2052" s="15">
        <f t="shared" ref="H2052:H2115" si="59">F2052</f>
        <v>4297.8</v>
      </c>
      <c r="I2052" s="15">
        <f t="shared" si="58"/>
        <v>0</v>
      </c>
    </row>
    <row r="2053" spans="1:10" x14ac:dyDescent="0.25">
      <c r="A2053" s="82">
        <v>42783</v>
      </c>
      <c r="B2053" s="39" t="s">
        <v>6332</v>
      </c>
      <c r="C2053" s="89"/>
      <c r="D2053" s="18">
        <v>101388</v>
      </c>
      <c r="E2053" s="2" t="s">
        <v>253</v>
      </c>
      <c r="F2053" s="15">
        <v>6746.6</v>
      </c>
      <c r="G2053" s="41">
        <v>42786</v>
      </c>
      <c r="H2053" s="15">
        <f t="shared" si="59"/>
        <v>6746.6</v>
      </c>
      <c r="I2053" s="15">
        <f t="shared" si="58"/>
        <v>0</v>
      </c>
      <c r="J2053" s="19"/>
    </row>
    <row r="2054" spans="1:10" x14ac:dyDescent="0.25">
      <c r="A2054" s="82">
        <v>42783</v>
      </c>
      <c r="B2054" s="39" t="s">
        <v>6333</v>
      </c>
      <c r="C2054" s="89"/>
      <c r="D2054" s="18">
        <v>101389</v>
      </c>
      <c r="E2054" s="2" t="s">
        <v>151</v>
      </c>
      <c r="F2054" s="15">
        <v>25296.2</v>
      </c>
      <c r="G2054" s="41">
        <v>42783</v>
      </c>
      <c r="H2054" s="15">
        <f t="shared" si="59"/>
        <v>25296.2</v>
      </c>
      <c r="I2054" s="15">
        <f t="shared" si="58"/>
        <v>0</v>
      </c>
      <c r="J2054" s="19"/>
    </row>
    <row r="2055" spans="1:10" x14ac:dyDescent="0.25">
      <c r="A2055" s="82">
        <v>42783</v>
      </c>
      <c r="B2055" s="39" t="s">
        <v>6334</v>
      </c>
      <c r="C2055" s="89"/>
      <c r="D2055" s="18">
        <v>101390</v>
      </c>
      <c r="E2055" s="2" t="s">
        <v>240</v>
      </c>
      <c r="F2055" s="15">
        <v>5727.2</v>
      </c>
      <c r="G2055" s="41">
        <v>42783</v>
      </c>
      <c r="H2055" s="15">
        <f t="shared" si="59"/>
        <v>5727.2</v>
      </c>
      <c r="I2055" s="15">
        <f t="shared" si="58"/>
        <v>0</v>
      </c>
      <c r="J2055" s="19"/>
    </row>
    <row r="2056" spans="1:10" x14ac:dyDescent="0.25">
      <c r="A2056" s="82">
        <v>42783</v>
      </c>
      <c r="B2056" s="39" t="s">
        <v>6335</v>
      </c>
      <c r="C2056" s="89"/>
      <c r="D2056" s="18">
        <v>101391</v>
      </c>
      <c r="E2056" s="2" t="s">
        <v>250</v>
      </c>
      <c r="F2056" s="15">
        <v>10013.200000000001</v>
      </c>
      <c r="G2056" s="41">
        <v>42784</v>
      </c>
      <c r="H2056" s="15">
        <f t="shared" si="59"/>
        <v>10013.200000000001</v>
      </c>
      <c r="I2056" s="15">
        <f t="shared" si="58"/>
        <v>0</v>
      </c>
      <c r="J2056" s="19"/>
    </row>
    <row r="2057" spans="1:10" x14ac:dyDescent="0.25">
      <c r="A2057" s="82">
        <v>42783</v>
      </c>
      <c r="B2057" s="39" t="s">
        <v>6336</v>
      </c>
      <c r="C2057" s="89"/>
      <c r="D2057" s="18">
        <v>101392</v>
      </c>
      <c r="E2057" s="2" t="s">
        <v>35</v>
      </c>
      <c r="F2057" s="15">
        <v>380.1</v>
      </c>
      <c r="G2057" s="41">
        <v>42786</v>
      </c>
      <c r="H2057" s="15">
        <f t="shared" si="59"/>
        <v>380.1</v>
      </c>
      <c r="I2057" s="15">
        <f t="shared" si="58"/>
        <v>0</v>
      </c>
      <c r="J2057" s="19"/>
    </row>
    <row r="2058" spans="1:10" x14ac:dyDescent="0.25">
      <c r="A2058" s="82">
        <v>42783</v>
      </c>
      <c r="B2058" s="39" t="s">
        <v>6337</v>
      </c>
      <c r="C2058" s="89"/>
      <c r="D2058" s="18">
        <v>101393</v>
      </c>
      <c r="E2058" s="2" t="s">
        <v>79</v>
      </c>
      <c r="F2058" s="15">
        <v>3480.8</v>
      </c>
      <c r="G2058" s="41">
        <v>42783</v>
      </c>
      <c r="H2058" s="15">
        <f t="shared" si="59"/>
        <v>3480.8</v>
      </c>
      <c r="I2058" s="15">
        <f t="shared" si="58"/>
        <v>0</v>
      </c>
      <c r="J2058" s="19"/>
    </row>
    <row r="2059" spans="1:10" x14ac:dyDescent="0.25">
      <c r="A2059" s="82">
        <v>42783</v>
      </c>
      <c r="B2059" s="39" t="s">
        <v>6338</v>
      </c>
      <c r="C2059" s="89"/>
      <c r="D2059" s="18">
        <v>101394</v>
      </c>
      <c r="E2059" s="2" t="s">
        <v>149</v>
      </c>
      <c r="F2059" s="15">
        <v>15179.3</v>
      </c>
      <c r="G2059" s="41">
        <v>42783</v>
      </c>
      <c r="H2059" s="15">
        <f t="shared" si="59"/>
        <v>15179.3</v>
      </c>
      <c r="I2059" s="15">
        <f t="shared" si="58"/>
        <v>0</v>
      </c>
      <c r="J2059" s="19"/>
    </row>
    <row r="2060" spans="1:10" x14ac:dyDescent="0.25">
      <c r="A2060" s="82">
        <v>42783</v>
      </c>
      <c r="B2060" s="39" t="s">
        <v>6339</v>
      </c>
      <c r="C2060" s="89"/>
      <c r="D2060" s="18">
        <v>101395</v>
      </c>
      <c r="E2060" s="2" t="s">
        <v>149</v>
      </c>
      <c r="F2060" s="15">
        <v>864</v>
      </c>
      <c r="G2060" s="41">
        <v>42783</v>
      </c>
      <c r="H2060" s="15">
        <f t="shared" si="59"/>
        <v>864</v>
      </c>
      <c r="I2060" s="15">
        <f t="shared" si="58"/>
        <v>0</v>
      </c>
      <c r="J2060" s="19"/>
    </row>
    <row r="2061" spans="1:10" x14ac:dyDescent="0.25">
      <c r="A2061" s="82">
        <v>42783</v>
      </c>
      <c r="B2061" s="39" t="s">
        <v>6340</v>
      </c>
      <c r="C2061" s="89"/>
      <c r="D2061" s="18">
        <v>101396</v>
      </c>
      <c r="E2061" s="2" t="s">
        <v>32</v>
      </c>
      <c r="F2061" s="15">
        <v>1601.6</v>
      </c>
      <c r="G2061" s="41">
        <v>42786</v>
      </c>
      <c r="H2061" s="15">
        <f t="shared" si="59"/>
        <v>1601.6</v>
      </c>
      <c r="I2061" s="15">
        <f t="shared" si="58"/>
        <v>0</v>
      </c>
      <c r="J2061" s="19"/>
    </row>
    <row r="2062" spans="1:10" x14ac:dyDescent="0.25">
      <c r="A2062" s="82">
        <v>42783</v>
      </c>
      <c r="B2062" s="39" t="s">
        <v>6341</v>
      </c>
      <c r="C2062" s="89"/>
      <c r="D2062" s="18">
        <v>101397</v>
      </c>
      <c r="E2062" s="2" t="s">
        <v>32</v>
      </c>
      <c r="F2062" s="15">
        <v>3277.8</v>
      </c>
      <c r="G2062" s="41">
        <v>42786</v>
      </c>
      <c r="H2062" s="15">
        <f t="shared" si="59"/>
        <v>3277.8</v>
      </c>
      <c r="I2062" s="15">
        <f t="shared" si="58"/>
        <v>0</v>
      </c>
      <c r="J2062" s="19"/>
    </row>
    <row r="2063" spans="1:10" x14ac:dyDescent="0.25">
      <c r="A2063" s="82">
        <v>42783</v>
      </c>
      <c r="B2063" s="39" t="s">
        <v>6342</v>
      </c>
      <c r="C2063" s="89"/>
      <c r="D2063" s="18">
        <v>101398</v>
      </c>
      <c r="E2063" s="2" t="s">
        <v>1090</v>
      </c>
      <c r="F2063" s="15">
        <v>6301.9</v>
      </c>
      <c r="G2063" s="41">
        <v>42783</v>
      </c>
      <c r="H2063" s="15">
        <f t="shared" si="59"/>
        <v>6301.9</v>
      </c>
      <c r="I2063" s="15">
        <f t="shared" si="58"/>
        <v>0</v>
      </c>
      <c r="J2063" s="19"/>
    </row>
    <row r="2064" spans="1:10" x14ac:dyDescent="0.25">
      <c r="A2064" s="82">
        <v>42783</v>
      </c>
      <c r="B2064" s="39" t="s">
        <v>6343</v>
      </c>
      <c r="C2064" s="89"/>
      <c r="D2064" s="18">
        <v>101399</v>
      </c>
      <c r="E2064" s="2" t="s">
        <v>590</v>
      </c>
      <c r="F2064" s="15">
        <v>22618.1</v>
      </c>
      <c r="G2064" s="41">
        <v>42788</v>
      </c>
      <c r="H2064" s="15">
        <f t="shared" si="59"/>
        <v>22618.1</v>
      </c>
      <c r="I2064" s="15">
        <f t="shared" si="58"/>
        <v>0</v>
      </c>
      <c r="J2064" s="19"/>
    </row>
    <row r="2065" spans="1:10" x14ac:dyDescent="0.25">
      <c r="A2065" s="82">
        <v>42783</v>
      </c>
      <c r="B2065" s="39" t="s">
        <v>6344</v>
      </c>
      <c r="C2065" s="89"/>
      <c r="D2065" s="18">
        <v>101400</v>
      </c>
      <c r="E2065" s="2" t="s">
        <v>268</v>
      </c>
      <c r="F2065" s="15">
        <v>22011.599999999999</v>
      </c>
      <c r="G2065" s="41">
        <v>42788</v>
      </c>
      <c r="H2065" s="15">
        <f t="shared" si="59"/>
        <v>22011.599999999999</v>
      </c>
      <c r="I2065" s="15">
        <f t="shared" si="58"/>
        <v>0</v>
      </c>
      <c r="J2065" s="19"/>
    </row>
    <row r="2066" spans="1:10" x14ac:dyDescent="0.25">
      <c r="A2066" s="82">
        <v>42783</v>
      </c>
      <c r="B2066" s="39" t="s">
        <v>6345</v>
      </c>
      <c r="C2066" s="89"/>
      <c r="D2066" s="18">
        <v>101401</v>
      </c>
      <c r="E2066" s="2" t="s">
        <v>101</v>
      </c>
      <c r="F2066" s="15">
        <v>2102.1</v>
      </c>
      <c r="G2066" s="41">
        <v>42783</v>
      </c>
      <c r="H2066" s="15">
        <f t="shared" si="59"/>
        <v>2102.1</v>
      </c>
      <c r="I2066" s="15">
        <f t="shared" si="58"/>
        <v>0</v>
      </c>
      <c r="J2066" s="19"/>
    </row>
    <row r="2067" spans="1:10" x14ac:dyDescent="0.25">
      <c r="A2067" s="82">
        <v>42783</v>
      </c>
      <c r="B2067" s="39" t="s">
        <v>6346</v>
      </c>
      <c r="C2067" s="89"/>
      <c r="D2067" s="18">
        <v>101402</v>
      </c>
      <c r="E2067" s="2" t="s">
        <v>103</v>
      </c>
      <c r="F2067" s="15">
        <v>3445.1</v>
      </c>
      <c r="G2067" s="41">
        <v>42784</v>
      </c>
      <c r="H2067" s="15">
        <f t="shared" si="59"/>
        <v>3445.1</v>
      </c>
      <c r="I2067" s="15">
        <f t="shared" si="58"/>
        <v>0</v>
      </c>
      <c r="J2067" s="19"/>
    </row>
    <row r="2068" spans="1:10" x14ac:dyDescent="0.25">
      <c r="A2068" s="82">
        <v>42783</v>
      </c>
      <c r="B2068" s="39" t="s">
        <v>6347</v>
      </c>
      <c r="C2068" s="89"/>
      <c r="D2068" s="18">
        <v>101403</v>
      </c>
      <c r="E2068" s="2" t="s">
        <v>81</v>
      </c>
      <c r="F2068" s="15">
        <v>2930.2</v>
      </c>
      <c r="G2068" s="41">
        <v>42783</v>
      </c>
      <c r="H2068" s="15">
        <f t="shared" si="59"/>
        <v>2930.2</v>
      </c>
      <c r="I2068" s="15">
        <f t="shared" si="58"/>
        <v>0</v>
      </c>
      <c r="J2068" s="19"/>
    </row>
    <row r="2069" spans="1:10" x14ac:dyDescent="0.25">
      <c r="A2069" s="82">
        <v>42783</v>
      </c>
      <c r="B2069" s="39" t="s">
        <v>6348</v>
      </c>
      <c r="C2069" s="89"/>
      <c r="D2069" s="18">
        <v>101404</v>
      </c>
      <c r="E2069" s="2" t="s">
        <v>205</v>
      </c>
      <c r="F2069" s="15">
        <v>5286.4</v>
      </c>
      <c r="G2069" s="41">
        <v>42783</v>
      </c>
      <c r="H2069" s="15">
        <f t="shared" si="59"/>
        <v>5286.4</v>
      </c>
      <c r="I2069" s="15">
        <f t="shared" si="58"/>
        <v>0</v>
      </c>
      <c r="J2069" s="19"/>
    </row>
    <row r="2070" spans="1:10" x14ac:dyDescent="0.25">
      <c r="A2070" s="82">
        <v>42783</v>
      </c>
      <c r="B2070" s="39" t="s">
        <v>6349</v>
      </c>
      <c r="C2070" s="89"/>
      <c r="D2070" s="18">
        <v>101405</v>
      </c>
      <c r="E2070" s="13" t="s">
        <v>712</v>
      </c>
      <c r="F2070" s="14">
        <v>0</v>
      </c>
      <c r="G2070" s="88" t="s">
        <v>95</v>
      </c>
      <c r="H2070" s="14">
        <f t="shared" si="59"/>
        <v>0</v>
      </c>
      <c r="I2070" s="14">
        <f t="shared" si="58"/>
        <v>0</v>
      </c>
      <c r="J2070" s="19"/>
    </row>
    <row r="2071" spans="1:10" x14ac:dyDescent="0.25">
      <c r="A2071" s="82">
        <v>42783</v>
      </c>
      <c r="B2071" s="39" t="s">
        <v>6350</v>
      </c>
      <c r="C2071" s="89"/>
      <c r="D2071" s="18">
        <v>101406</v>
      </c>
      <c r="E2071" s="2" t="s">
        <v>99</v>
      </c>
      <c r="F2071" s="15">
        <v>2454.9</v>
      </c>
      <c r="G2071" s="41">
        <v>42783</v>
      </c>
      <c r="H2071" s="15">
        <f t="shared" si="59"/>
        <v>2454.9</v>
      </c>
      <c r="I2071" s="15">
        <f t="shared" si="58"/>
        <v>0</v>
      </c>
      <c r="J2071" s="19"/>
    </row>
    <row r="2072" spans="1:10" x14ac:dyDescent="0.25">
      <c r="A2072" s="82">
        <v>42783</v>
      </c>
      <c r="B2072" s="39" t="s">
        <v>6351</v>
      </c>
      <c r="C2072" s="89"/>
      <c r="D2072" s="18">
        <v>101407</v>
      </c>
      <c r="E2072" s="2" t="s">
        <v>590</v>
      </c>
      <c r="F2072" s="15">
        <v>22618.1</v>
      </c>
      <c r="H2072" s="15">
        <f t="shared" si="59"/>
        <v>22618.1</v>
      </c>
      <c r="I2072" s="15">
        <f t="shared" si="58"/>
        <v>0</v>
      </c>
      <c r="J2072" s="19"/>
    </row>
    <row r="2073" spans="1:10" x14ac:dyDescent="0.25">
      <c r="A2073" s="82">
        <v>42783</v>
      </c>
      <c r="B2073" s="39" t="s">
        <v>6352</v>
      </c>
      <c r="C2073" s="89"/>
      <c r="D2073" s="18">
        <v>101408</v>
      </c>
      <c r="E2073" s="2" t="s">
        <v>445</v>
      </c>
      <c r="F2073" s="15">
        <v>2064.6</v>
      </c>
      <c r="G2073" s="41">
        <v>42783</v>
      </c>
      <c r="H2073" s="15">
        <f t="shared" si="59"/>
        <v>2064.6</v>
      </c>
      <c r="I2073" s="15">
        <f t="shared" si="58"/>
        <v>0</v>
      </c>
      <c r="J2073" s="19"/>
    </row>
    <row r="2074" spans="1:10" x14ac:dyDescent="0.25">
      <c r="A2074" s="82">
        <v>42783</v>
      </c>
      <c r="B2074" s="39" t="s">
        <v>6353</v>
      </c>
      <c r="C2074" s="89"/>
      <c r="D2074" s="18">
        <v>101409</v>
      </c>
      <c r="E2074" s="2" t="s">
        <v>293</v>
      </c>
      <c r="F2074" s="15">
        <v>772.5</v>
      </c>
      <c r="G2074" s="41">
        <v>42784</v>
      </c>
      <c r="H2074" s="15">
        <f t="shared" si="59"/>
        <v>772.5</v>
      </c>
      <c r="I2074" s="15">
        <f t="shared" si="58"/>
        <v>0</v>
      </c>
      <c r="J2074" s="19"/>
    </row>
    <row r="2075" spans="1:10" x14ac:dyDescent="0.25">
      <c r="A2075" s="82">
        <v>42783</v>
      </c>
      <c r="B2075" s="39" t="s">
        <v>6354</v>
      </c>
      <c r="C2075" s="89"/>
      <c r="D2075" s="18">
        <v>101410</v>
      </c>
      <c r="E2075" s="13" t="s">
        <v>4367</v>
      </c>
      <c r="F2075" s="14">
        <v>0</v>
      </c>
      <c r="G2075" s="88" t="s">
        <v>95</v>
      </c>
      <c r="H2075" s="14">
        <f t="shared" si="59"/>
        <v>0</v>
      </c>
      <c r="I2075" s="14">
        <f t="shared" si="58"/>
        <v>0</v>
      </c>
      <c r="J2075" s="19"/>
    </row>
    <row r="2076" spans="1:10" x14ac:dyDescent="0.25">
      <c r="A2076" s="82">
        <v>42783</v>
      </c>
      <c r="B2076" s="39" t="s">
        <v>6355</v>
      </c>
      <c r="C2076" s="89"/>
      <c r="D2076" s="18">
        <v>101411</v>
      </c>
      <c r="E2076" s="2" t="s">
        <v>4367</v>
      </c>
      <c r="F2076" s="15">
        <v>1628.4</v>
      </c>
      <c r="G2076" s="41">
        <v>42783</v>
      </c>
      <c r="H2076" s="15">
        <f t="shared" si="59"/>
        <v>1628.4</v>
      </c>
      <c r="I2076" s="15">
        <f t="shared" si="58"/>
        <v>0</v>
      </c>
      <c r="J2076" s="19"/>
    </row>
    <row r="2077" spans="1:10" x14ac:dyDescent="0.25">
      <c r="A2077" s="82">
        <v>42783</v>
      </c>
      <c r="B2077" s="39" t="s">
        <v>6356</v>
      </c>
      <c r="C2077" s="89"/>
      <c r="D2077" s="18">
        <v>101412</v>
      </c>
      <c r="E2077" s="2" t="s">
        <v>773</v>
      </c>
      <c r="F2077" s="15">
        <v>8281</v>
      </c>
      <c r="G2077" s="41">
        <v>42783</v>
      </c>
      <c r="H2077" s="15">
        <f t="shared" si="59"/>
        <v>8281</v>
      </c>
      <c r="I2077" s="15">
        <f t="shared" si="58"/>
        <v>0</v>
      </c>
      <c r="J2077" s="19"/>
    </row>
    <row r="2078" spans="1:10" x14ac:dyDescent="0.25">
      <c r="A2078" s="82">
        <v>42783</v>
      </c>
      <c r="B2078" s="39" t="s">
        <v>6357</v>
      </c>
      <c r="C2078" s="89"/>
      <c r="D2078" s="18">
        <v>101413</v>
      </c>
      <c r="E2078" s="2" t="s">
        <v>613</v>
      </c>
      <c r="F2078" s="15">
        <v>3274.2</v>
      </c>
      <c r="G2078" s="41">
        <v>42783</v>
      </c>
      <c r="H2078" s="15">
        <f t="shared" si="59"/>
        <v>3274.2</v>
      </c>
      <c r="I2078" s="15">
        <f t="shared" si="58"/>
        <v>0</v>
      </c>
      <c r="J2078" s="19"/>
    </row>
    <row r="2079" spans="1:10" x14ac:dyDescent="0.25">
      <c r="A2079" s="82">
        <v>42783</v>
      </c>
      <c r="B2079" s="39" t="s">
        <v>6358</v>
      </c>
      <c r="C2079" s="89"/>
      <c r="D2079" s="18">
        <v>101414</v>
      </c>
      <c r="E2079" s="2" t="s">
        <v>432</v>
      </c>
      <c r="F2079" s="15">
        <v>17616.8</v>
      </c>
      <c r="G2079" s="41">
        <v>42788</v>
      </c>
      <c r="H2079" s="15">
        <f t="shared" si="59"/>
        <v>17616.8</v>
      </c>
      <c r="I2079" s="15">
        <f t="shared" si="58"/>
        <v>0</v>
      </c>
      <c r="J2079" s="19"/>
    </row>
    <row r="2080" spans="1:10" x14ac:dyDescent="0.25">
      <c r="A2080" s="82">
        <v>42783</v>
      </c>
      <c r="B2080" s="39" t="s">
        <v>6359</v>
      </c>
      <c r="C2080" s="89"/>
      <c r="D2080" s="18">
        <v>101415</v>
      </c>
      <c r="E2080" s="2" t="s">
        <v>1259</v>
      </c>
      <c r="F2080" s="15">
        <v>2054.4</v>
      </c>
      <c r="G2080" s="41">
        <v>42783</v>
      </c>
      <c r="H2080" s="15">
        <f t="shared" si="59"/>
        <v>2054.4</v>
      </c>
      <c r="I2080" s="15">
        <f t="shared" si="58"/>
        <v>0</v>
      </c>
      <c r="J2080" s="19"/>
    </row>
    <row r="2081" spans="1:10" x14ac:dyDescent="0.25">
      <c r="A2081" s="82">
        <v>42783</v>
      </c>
      <c r="B2081" s="39" t="s">
        <v>6360</v>
      </c>
      <c r="C2081" s="89"/>
      <c r="D2081" s="18">
        <v>101416</v>
      </c>
      <c r="E2081" s="2" t="s">
        <v>83</v>
      </c>
      <c r="F2081" s="15">
        <v>5717.1</v>
      </c>
      <c r="G2081" s="41">
        <v>42783</v>
      </c>
      <c r="H2081" s="15">
        <f t="shared" si="59"/>
        <v>5717.1</v>
      </c>
      <c r="I2081" s="15">
        <f t="shared" si="58"/>
        <v>0</v>
      </c>
      <c r="J2081" s="19"/>
    </row>
    <row r="2082" spans="1:10" x14ac:dyDescent="0.25">
      <c r="A2082" s="82">
        <v>42783</v>
      </c>
      <c r="B2082" s="39" t="s">
        <v>6361</v>
      </c>
      <c r="C2082" s="89"/>
      <c r="D2082" s="18">
        <v>101417</v>
      </c>
      <c r="E2082" s="2" t="s">
        <v>1797</v>
      </c>
      <c r="F2082" s="15">
        <v>4684.2</v>
      </c>
      <c r="G2082" s="41">
        <v>42788</v>
      </c>
      <c r="H2082" s="15">
        <f t="shared" si="59"/>
        <v>4684.2</v>
      </c>
      <c r="I2082" s="15">
        <f t="shared" si="58"/>
        <v>0</v>
      </c>
      <c r="J2082" s="19"/>
    </row>
    <row r="2083" spans="1:10" x14ac:dyDescent="0.25">
      <c r="A2083" s="82">
        <v>42783</v>
      </c>
      <c r="B2083" s="39" t="s">
        <v>6362</v>
      </c>
      <c r="C2083" s="89"/>
      <c r="D2083" s="18">
        <v>101418</v>
      </c>
      <c r="E2083" s="2" t="s">
        <v>590</v>
      </c>
      <c r="F2083" s="15">
        <v>4595.3999999999996</v>
      </c>
      <c r="G2083" s="41">
        <v>42788</v>
      </c>
      <c r="H2083" s="15">
        <f t="shared" si="59"/>
        <v>4595.3999999999996</v>
      </c>
      <c r="I2083" s="15">
        <f t="shared" si="58"/>
        <v>0</v>
      </c>
      <c r="J2083" s="19"/>
    </row>
    <row r="2084" spans="1:10" ht="30" x14ac:dyDescent="0.25">
      <c r="A2084" s="82">
        <v>42783</v>
      </c>
      <c r="B2084" s="39" t="s">
        <v>6363</v>
      </c>
      <c r="C2084" s="89"/>
      <c r="D2084" s="18">
        <v>101419</v>
      </c>
      <c r="E2084" s="2" t="s">
        <v>2986</v>
      </c>
      <c r="F2084" s="15">
        <v>3096.6</v>
      </c>
      <c r="G2084" s="87" t="s">
        <v>5952</v>
      </c>
      <c r="H2084" s="20">
        <f>1900+1196.6</f>
        <v>3096.6</v>
      </c>
      <c r="I2084" s="20">
        <f t="shared" si="58"/>
        <v>0</v>
      </c>
      <c r="J2084" s="19"/>
    </row>
    <row r="2085" spans="1:10" x14ac:dyDescent="0.25">
      <c r="A2085" s="82">
        <v>42783</v>
      </c>
      <c r="B2085" s="39" t="s">
        <v>6364</v>
      </c>
      <c r="C2085" s="89"/>
      <c r="D2085" s="18">
        <v>101420</v>
      </c>
      <c r="E2085" s="2" t="s">
        <v>281</v>
      </c>
      <c r="F2085" s="15">
        <v>2070</v>
      </c>
      <c r="G2085" s="41">
        <v>42783</v>
      </c>
      <c r="H2085" s="15">
        <f t="shared" si="59"/>
        <v>2070</v>
      </c>
      <c r="I2085" s="15">
        <f t="shared" si="58"/>
        <v>0</v>
      </c>
      <c r="J2085" s="19"/>
    </row>
    <row r="2086" spans="1:10" x14ac:dyDescent="0.25">
      <c r="A2086" s="82">
        <v>42783</v>
      </c>
      <c r="B2086" s="39" t="s">
        <v>6365</v>
      </c>
      <c r="C2086" s="89"/>
      <c r="D2086" s="18">
        <v>101421</v>
      </c>
      <c r="E2086" s="2" t="s">
        <v>109</v>
      </c>
      <c r="F2086" s="15">
        <v>185</v>
      </c>
      <c r="G2086" s="41">
        <v>42783</v>
      </c>
      <c r="H2086" s="15">
        <f t="shared" si="59"/>
        <v>185</v>
      </c>
      <c r="I2086" s="15">
        <f t="shared" si="58"/>
        <v>0</v>
      </c>
      <c r="J2086" s="19"/>
    </row>
    <row r="2087" spans="1:10" x14ac:dyDescent="0.25">
      <c r="A2087" s="82">
        <v>42783</v>
      </c>
      <c r="B2087" s="39" t="s">
        <v>6366</v>
      </c>
      <c r="C2087" s="89"/>
      <c r="D2087" s="18">
        <v>101422</v>
      </c>
      <c r="E2087" s="2" t="s">
        <v>459</v>
      </c>
      <c r="F2087" s="15">
        <v>1574.2</v>
      </c>
      <c r="G2087" s="41">
        <v>42783</v>
      </c>
      <c r="H2087" s="15">
        <f t="shared" si="59"/>
        <v>1574.2</v>
      </c>
      <c r="I2087" s="15">
        <f t="shared" si="58"/>
        <v>0</v>
      </c>
      <c r="J2087" s="19"/>
    </row>
    <row r="2088" spans="1:10" x14ac:dyDescent="0.25">
      <c r="A2088" s="82">
        <v>42783</v>
      </c>
      <c r="B2088" s="39" t="s">
        <v>6367</v>
      </c>
      <c r="C2088" s="89"/>
      <c r="D2088" s="18">
        <v>101423</v>
      </c>
      <c r="E2088" s="2" t="s">
        <v>122</v>
      </c>
      <c r="F2088" s="15">
        <v>5032.3999999999996</v>
      </c>
      <c r="G2088" s="41">
        <v>42783</v>
      </c>
      <c r="H2088" s="15">
        <f t="shared" si="59"/>
        <v>5032.3999999999996</v>
      </c>
      <c r="I2088" s="15">
        <f t="shared" si="58"/>
        <v>0</v>
      </c>
      <c r="J2088" s="19"/>
    </row>
    <row r="2089" spans="1:10" x14ac:dyDescent="0.25">
      <c r="A2089" s="82">
        <v>42783</v>
      </c>
      <c r="B2089" s="39" t="s">
        <v>6368</v>
      </c>
      <c r="C2089" s="89"/>
      <c r="D2089" s="18">
        <v>101424</v>
      </c>
      <c r="E2089" s="2" t="s">
        <v>122</v>
      </c>
      <c r="F2089" s="15">
        <v>21620</v>
      </c>
      <c r="G2089" s="41">
        <v>42798</v>
      </c>
      <c r="H2089" s="15">
        <f t="shared" si="59"/>
        <v>21620</v>
      </c>
      <c r="I2089" s="15">
        <f t="shared" si="58"/>
        <v>0</v>
      </c>
      <c r="J2089" s="19"/>
    </row>
    <row r="2090" spans="1:10" x14ac:dyDescent="0.25">
      <c r="A2090" s="82">
        <v>42783</v>
      </c>
      <c r="B2090" s="39" t="s">
        <v>6369</v>
      </c>
      <c r="C2090" s="89"/>
      <c r="D2090" s="18">
        <v>101425</v>
      </c>
      <c r="E2090" s="2" t="s">
        <v>291</v>
      </c>
      <c r="F2090" s="15">
        <v>2366.4</v>
      </c>
      <c r="G2090" s="41">
        <v>42783</v>
      </c>
      <c r="H2090" s="15">
        <f t="shared" si="59"/>
        <v>2366.4</v>
      </c>
      <c r="I2090" s="15">
        <f t="shared" si="58"/>
        <v>0</v>
      </c>
      <c r="J2090" s="19"/>
    </row>
    <row r="2091" spans="1:10" x14ac:dyDescent="0.25">
      <c r="A2091" s="82">
        <v>42783</v>
      </c>
      <c r="B2091" s="39" t="s">
        <v>6370</v>
      </c>
      <c r="C2091" s="89"/>
      <c r="D2091" s="18">
        <v>101426</v>
      </c>
      <c r="E2091" s="2" t="s">
        <v>270</v>
      </c>
      <c r="F2091" s="15">
        <v>38741.08</v>
      </c>
      <c r="G2091" s="41">
        <v>42788</v>
      </c>
      <c r="H2091" s="15">
        <f t="shared" si="59"/>
        <v>38741.08</v>
      </c>
      <c r="I2091" s="15">
        <f t="shared" si="58"/>
        <v>0</v>
      </c>
      <c r="J2091" s="19"/>
    </row>
    <row r="2092" spans="1:10" x14ac:dyDescent="0.25">
      <c r="A2092" s="82">
        <v>42783</v>
      </c>
      <c r="B2092" s="39" t="s">
        <v>6371</v>
      </c>
      <c r="C2092" s="89"/>
      <c r="D2092" s="18">
        <v>101427</v>
      </c>
      <c r="E2092" s="13" t="s">
        <v>274</v>
      </c>
      <c r="F2092" s="14">
        <v>0</v>
      </c>
      <c r="G2092" s="88" t="s">
        <v>95</v>
      </c>
      <c r="H2092" s="14">
        <f t="shared" si="59"/>
        <v>0</v>
      </c>
      <c r="I2092" s="14">
        <f t="shared" si="58"/>
        <v>0</v>
      </c>
      <c r="J2092" s="19"/>
    </row>
    <row r="2093" spans="1:10" x14ac:dyDescent="0.25">
      <c r="A2093" s="82">
        <v>42783</v>
      </c>
      <c r="B2093" s="39" t="s">
        <v>6372</v>
      </c>
      <c r="C2093" s="89"/>
      <c r="D2093" s="18">
        <v>101428</v>
      </c>
      <c r="E2093" s="2" t="s">
        <v>274</v>
      </c>
      <c r="F2093" s="15">
        <v>19918</v>
      </c>
      <c r="G2093" s="41">
        <v>42788</v>
      </c>
      <c r="H2093" s="15">
        <f t="shared" si="59"/>
        <v>19918</v>
      </c>
      <c r="I2093" s="15">
        <f t="shared" si="58"/>
        <v>0</v>
      </c>
      <c r="J2093" s="19"/>
    </row>
    <row r="2094" spans="1:10" x14ac:dyDescent="0.25">
      <c r="A2094" s="82">
        <v>42783</v>
      </c>
      <c r="B2094" s="39" t="s">
        <v>6373</v>
      </c>
      <c r="C2094" s="89"/>
      <c r="D2094" s="18">
        <v>101429</v>
      </c>
      <c r="E2094" s="2" t="s">
        <v>81</v>
      </c>
      <c r="F2094" s="15">
        <v>594</v>
      </c>
      <c r="G2094" s="41">
        <v>42783</v>
      </c>
      <c r="H2094" s="15">
        <f t="shared" si="59"/>
        <v>594</v>
      </c>
      <c r="I2094" s="15">
        <f t="shared" si="58"/>
        <v>0</v>
      </c>
      <c r="J2094" s="19"/>
    </row>
    <row r="2095" spans="1:10" x14ac:dyDescent="0.25">
      <c r="A2095" s="82">
        <v>42783</v>
      </c>
      <c r="B2095" s="39" t="s">
        <v>6374</v>
      </c>
      <c r="C2095" s="89"/>
      <c r="D2095" s="18">
        <v>101430</v>
      </c>
      <c r="E2095" s="2" t="s">
        <v>88</v>
      </c>
      <c r="F2095" s="15">
        <v>15402.8</v>
      </c>
      <c r="G2095" s="41">
        <v>42783</v>
      </c>
      <c r="H2095" s="15">
        <f t="shared" si="59"/>
        <v>15402.8</v>
      </c>
      <c r="I2095" s="15">
        <f t="shared" si="58"/>
        <v>0</v>
      </c>
      <c r="J2095" s="19"/>
    </row>
    <row r="2096" spans="1:10" x14ac:dyDescent="0.25">
      <c r="A2096" s="82">
        <v>42783</v>
      </c>
      <c r="B2096" s="39" t="s">
        <v>6375</v>
      </c>
      <c r="C2096" s="89"/>
      <c r="D2096" s="18">
        <v>101431</v>
      </c>
      <c r="E2096" s="2" t="s">
        <v>67</v>
      </c>
      <c r="F2096" s="15">
        <v>9527.5</v>
      </c>
      <c r="G2096" s="41">
        <v>42784</v>
      </c>
      <c r="H2096" s="15">
        <f t="shared" si="59"/>
        <v>9527.5</v>
      </c>
      <c r="I2096" s="15">
        <f t="shared" si="58"/>
        <v>0</v>
      </c>
      <c r="J2096" s="19"/>
    </row>
    <row r="2097" spans="1:10" x14ac:dyDescent="0.25">
      <c r="A2097" s="82">
        <v>42783</v>
      </c>
      <c r="B2097" s="39" t="s">
        <v>6376</v>
      </c>
      <c r="C2097" s="89"/>
      <c r="D2097" s="18">
        <v>101432</v>
      </c>
      <c r="E2097" s="2" t="s">
        <v>92</v>
      </c>
      <c r="F2097" s="15">
        <v>3695</v>
      </c>
      <c r="G2097" s="41">
        <v>42783</v>
      </c>
      <c r="H2097" s="15">
        <f t="shared" si="59"/>
        <v>3695</v>
      </c>
      <c r="I2097" s="15">
        <f t="shared" si="58"/>
        <v>0</v>
      </c>
      <c r="J2097" s="19"/>
    </row>
    <row r="2098" spans="1:10" x14ac:dyDescent="0.25">
      <c r="A2098" s="82">
        <v>42783</v>
      </c>
      <c r="B2098" s="39" t="s">
        <v>6377</v>
      </c>
      <c r="C2098" s="89"/>
      <c r="D2098" s="18">
        <v>101433</v>
      </c>
      <c r="E2098" s="2" t="s">
        <v>448</v>
      </c>
      <c r="F2098" s="15">
        <v>473.2</v>
      </c>
      <c r="H2098" s="15">
        <f t="shared" si="59"/>
        <v>473.2</v>
      </c>
      <c r="I2098" s="15">
        <f t="shared" si="58"/>
        <v>0</v>
      </c>
      <c r="J2098" s="19"/>
    </row>
    <row r="2099" spans="1:10" x14ac:dyDescent="0.25">
      <c r="A2099" s="82">
        <v>42783</v>
      </c>
      <c r="B2099" s="39" t="s">
        <v>6378</v>
      </c>
      <c r="C2099" s="89"/>
      <c r="D2099" s="18">
        <v>101434</v>
      </c>
      <c r="E2099" s="2" t="s">
        <v>30</v>
      </c>
      <c r="F2099" s="15">
        <v>2709.7</v>
      </c>
      <c r="G2099" s="41">
        <v>42783</v>
      </c>
      <c r="H2099" s="15">
        <f t="shared" si="59"/>
        <v>2709.7</v>
      </c>
      <c r="I2099" s="15">
        <f t="shared" si="58"/>
        <v>0</v>
      </c>
      <c r="J2099" s="19"/>
    </row>
    <row r="2100" spans="1:10" x14ac:dyDescent="0.25">
      <c r="A2100" s="82">
        <v>42783</v>
      </c>
      <c r="B2100" s="39" t="s">
        <v>6379</v>
      </c>
      <c r="C2100" s="89"/>
      <c r="D2100" s="18">
        <v>101435</v>
      </c>
      <c r="E2100" s="2" t="s">
        <v>133</v>
      </c>
      <c r="F2100" s="15">
        <v>1938.6</v>
      </c>
      <c r="G2100" s="41">
        <v>42783</v>
      </c>
      <c r="H2100" s="15">
        <f t="shared" si="59"/>
        <v>1938.6</v>
      </c>
      <c r="I2100" s="15">
        <f t="shared" si="58"/>
        <v>0</v>
      </c>
      <c r="J2100" s="21"/>
    </row>
    <row r="2101" spans="1:10" x14ac:dyDescent="0.25">
      <c r="A2101" s="82">
        <v>42783</v>
      </c>
      <c r="B2101" s="39" t="s">
        <v>6380</v>
      </c>
      <c r="C2101" s="89"/>
      <c r="D2101" s="18">
        <v>101436</v>
      </c>
      <c r="E2101" s="2" t="s">
        <v>30</v>
      </c>
      <c r="F2101" s="15">
        <v>1334.76</v>
      </c>
      <c r="G2101" s="41">
        <v>42784</v>
      </c>
      <c r="H2101" s="15">
        <f t="shared" si="59"/>
        <v>1334.76</v>
      </c>
      <c r="I2101" s="15">
        <f t="shared" si="58"/>
        <v>0</v>
      </c>
      <c r="J2101" s="21"/>
    </row>
    <row r="2102" spans="1:10" x14ac:dyDescent="0.25">
      <c r="A2102" s="82">
        <v>42783</v>
      </c>
      <c r="B2102" s="39" t="s">
        <v>6381</v>
      </c>
      <c r="C2102" s="89"/>
      <c r="D2102" s="18">
        <v>101437</v>
      </c>
      <c r="E2102" s="2" t="s">
        <v>208</v>
      </c>
      <c r="F2102" s="15">
        <v>11830.2</v>
      </c>
      <c r="G2102" s="41">
        <v>42783</v>
      </c>
      <c r="H2102" s="15">
        <f t="shared" si="59"/>
        <v>11830.2</v>
      </c>
      <c r="I2102" s="15">
        <f t="shared" si="58"/>
        <v>0</v>
      </c>
      <c r="J2102" s="21"/>
    </row>
    <row r="2103" spans="1:10" x14ac:dyDescent="0.25">
      <c r="A2103" s="82">
        <v>42783</v>
      </c>
      <c r="B2103" s="39" t="s">
        <v>6382</v>
      </c>
      <c r="C2103" s="89"/>
      <c r="D2103" s="18">
        <v>101438</v>
      </c>
      <c r="E2103" s="2" t="s">
        <v>509</v>
      </c>
      <c r="F2103" s="15">
        <v>15444</v>
      </c>
      <c r="G2103" s="41">
        <v>42787</v>
      </c>
      <c r="H2103" s="15">
        <f t="shared" si="59"/>
        <v>15444</v>
      </c>
      <c r="I2103" s="15">
        <f t="shared" si="58"/>
        <v>0</v>
      </c>
      <c r="J2103" s="21"/>
    </row>
    <row r="2104" spans="1:10" x14ac:dyDescent="0.25">
      <c r="A2104" s="82">
        <v>42783</v>
      </c>
      <c r="B2104" s="39" t="s">
        <v>6383</v>
      </c>
      <c r="C2104" s="89"/>
      <c r="D2104" s="18">
        <v>101439</v>
      </c>
      <c r="E2104" s="2" t="s">
        <v>145</v>
      </c>
      <c r="F2104" s="15">
        <v>24134.400000000001</v>
      </c>
      <c r="G2104" s="41">
        <v>42784</v>
      </c>
      <c r="H2104" s="15">
        <f t="shared" si="59"/>
        <v>24134.400000000001</v>
      </c>
      <c r="I2104" s="15">
        <f t="shared" ref="I2104:I2167" si="60">F2104-H2104</f>
        <v>0</v>
      </c>
      <c r="J2104" s="21"/>
    </row>
    <row r="2105" spans="1:10" x14ac:dyDescent="0.25">
      <c r="A2105" s="82">
        <v>42783</v>
      </c>
      <c r="B2105" s="39" t="s">
        <v>6384</v>
      </c>
      <c r="C2105" s="89"/>
      <c r="D2105" s="18">
        <v>101440</v>
      </c>
      <c r="E2105" s="2" t="s">
        <v>923</v>
      </c>
      <c r="F2105" s="15">
        <v>6702.7</v>
      </c>
      <c r="G2105" s="41">
        <v>42783</v>
      </c>
      <c r="H2105" s="15">
        <f t="shared" si="59"/>
        <v>6702.7</v>
      </c>
      <c r="I2105" s="15">
        <f t="shared" si="60"/>
        <v>0</v>
      </c>
      <c r="J2105" s="21"/>
    </row>
    <row r="2106" spans="1:10" x14ac:dyDescent="0.25">
      <c r="A2106" s="82">
        <v>42783</v>
      </c>
      <c r="B2106" s="39" t="s">
        <v>6385</v>
      </c>
      <c r="C2106" s="89"/>
      <c r="D2106" s="18">
        <v>101441</v>
      </c>
      <c r="E2106" s="2" t="s">
        <v>302</v>
      </c>
      <c r="F2106" s="15">
        <v>10189</v>
      </c>
      <c r="G2106" s="41">
        <v>42783</v>
      </c>
      <c r="H2106" s="15">
        <f t="shared" si="59"/>
        <v>10189</v>
      </c>
      <c r="I2106" s="15">
        <f t="shared" si="60"/>
        <v>0</v>
      </c>
      <c r="J2106" s="21"/>
    </row>
    <row r="2107" spans="1:10" x14ac:dyDescent="0.25">
      <c r="A2107" s="82">
        <v>42783</v>
      </c>
      <c r="B2107" s="39" t="s">
        <v>6386</v>
      </c>
      <c r="C2107" s="89"/>
      <c r="D2107" s="18">
        <v>101442</v>
      </c>
      <c r="E2107" s="2" t="s">
        <v>155</v>
      </c>
      <c r="F2107" s="15">
        <v>26075.599999999999</v>
      </c>
      <c r="G2107" s="41">
        <v>42787</v>
      </c>
      <c r="H2107" s="15">
        <f t="shared" si="59"/>
        <v>26075.599999999999</v>
      </c>
      <c r="I2107" s="15">
        <f t="shared" si="60"/>
        <v>0</v>
      </c>
      <c r="J2107" s="21"/>
    </row>
    <row r="2108" spans="1:10" x14ac:dyDescent="0.25">
      <c r="A2108" s="82">
        <v>42783</v>
      </c>
      <c r="B2108" s="39" t="s">
        <v>6387</v>
      </c>
      <c r="C2108" s="89"/>
      <c r="D2108" s="18">
        <v>101443</v>
      </c>
      <c r="E2108" s="2" t="s">
        <v>161</v>
      </c>
      <c r="F2108" s="15">
        <v>53054.1</v>
      </c>
      <c r="G2108" s="41">
        <v>42804</v>
      </c>
      <c r="H2108" s="15">
        <f t="shared" si="59"/>
        <v>53054.1</v>
      </c>
      <c r="I2108" s="15">
        <f t="shared" si="60"/>
        <v>0</v>
      </c>
      <c r="J2108" s="21"/>
    </row>
    <row r="2109" spans="1:10" x14ac:dyDescent="0.25">
      <c r="A2109" s="82">
        <v>42783</v>
      </c>
      <c r="B2109" s="39" t="s">
        <v>6388</v>
      </c>
      <c r="C2109" s="89"/>
      <c r="D2109" s="18">
        <v>101444</v>
      </c>
      <c r="E2109" s="2" t="s">
        <v>472</v>
      </c>
      <c r="F2109" s="15">
        <v>21165</v>
      </c>
      <c r="G2109" s="41">
        <v>42787</v>
      </c>
      <c r="H2109" s="15">
        <f t="shared" si="59"/>
        <v>21165</v>
      </c>
      <c r="I2109" s="15">
        <f t="shared" si="60"/>
        <v>0</v>
      </c>
      <c r="J2109" s="21"/>
    </row>
    <row r="2110" spans="1:10" x14ac:dyDescent="0.25">
      <c r="A2110" s="82">
        <v>42783</v>
      </c>
      <c r="B2110" s="39" t="s">
        <v>6389</v>
      </c>
      <c r="C2110" s="89"/>
      <c r="D2110" s="18">
        <v>101445</v>
      </c>
      <c r="E2110" s="2" t="s">
        <v>2240</v>
      </c>
      <c r="F2110" s="15">
        <v>10141.299999999999</v>
      </c>
      <c r="G2110" s="41">
        <v>42783</v>
      </c>
      <c r="H2110" s="15">
        <f t="shared" si="59"/>
        <v>10141.299999999999</v>
      </c>
      <c r="I2110" s="15">
        <f t="shared" si="60"/>
        <v>0</v>
      </c>
      <c r="J2110" s="21"/>
    </row>
    <row r="2111" spans="1:10" x14ac:dyDescent="0.25">
      <c r="A2111" s="82">
        <v>42783</v>
      </c>
      <c r="B2111" s="39" t="s">
        <v>6390</v>
      </c>
      <c r="C2111" s="89"/>
      <c r="D2111" s="18">
        <v>101446</v>
      </c>
      <c r="E2111" s="2" t="s">
        <v>176</v>
      </c>
      <c r="F2111" s="15">
        <v>3186.6</v>
      </c>
      <c r="G2111" s="41">
        <v>42783</v>
      </c>
      <c r="H2111" s="15">
        <f t="shared" si="59"/>
        <v>3186.6</v>
      </c>
      <c r="I2111" s="15">
        <f t="shared" si="60"/>
        <v>0</v>
      </c>
      <c r="J2111" s="21"/>
    </row>
    <row r="2112" spans="1:10" x14ac:dyDescent="0.25">
      <c r="A2112" s="82">
        <v>42783</v>
      </c>
      <c r="B2112" s="39" t="s">
        <v>6391</v>
      </c>
      <c r="C2112" s="89"/>
      <c r="D2112" s="18">
        <v>101447</v>
      </c>
      <c r="E2112" s="2" t="s">
        <v>879</v>
      </c>
      <c r="F2112" s="15">
        <v>3580.2</v>
      </c>
      <c r="G2112" s="41">
        <v>42783</v>
      </c>
      <c r="H2112" s="15">
        <f t="shared" si="59"/>
        <v>3580.2</v>
      </c>
      <c r="I2112" s="15">
        <f t="shared" si="60"/>
        <v>0</v>
      </c>
      <c r="J2112" s="21"/>
    </row>
    <row r="2113" spans="1:10" x14ac:dyDescent="0.25">
      <c r="A2113" s="82">
        <v>42783</v>
      </c>
      <c r="B2113" s="39" t="s">
        <v>6392</v>
      </c>
      <c r="C2113" s="89"/>
      <c r="D2113" s="18">
        <v>101448</v>
      </c>
      <c r="E2113" s="2" t="s">
        <v>476</v>
      </c>
      <c r="F2113" s="15">
        <v>23264.6</v>
      </c>
      <c r="G2113" s="41">
        <v>42787</v>
      </c>
      <c r="H2113" s="15">
        <f t="shared" si="59"/>
        <v>23264.6</v>
      </c>
      <c r="I2113" s="15">
        <f t="shared" si="60"/>
        <v>0</v>
      </c>
      <c r="J2113" s="21"/>
    </row>
    <row r="2114" spans="1:10" x14ac:dyDescent="0.25">
      <c r="A2114" s="82">
        <v>42783</v>
      </c>
      <c r="B2114" s="39" t="s">
        <v>6393</v>
      </c>
      <c r="C2114" s="89"/>
      <c r="D2114" s="18">
        <v>101449</v>
      </c>
      <c r="E2114" s="2" t="s">
        <v>305</v>
      </c>
      <c r="F2114" s="15">
        <v>3543.4</v>
      </c>
      <c r="G2114" s="41">
        <v>42787</v>
      </c>
      <c r="H2114" s="15">
        <f t="shared" si="59"/>
        <v>3543.4</v>
      </c>
      <c r="I2114" s="15">
        <f t="shared" si="60"/>
        <v>0</v>
      </c>
      <c r="J2114" s="21"/>
    </row>
    <row r="2115" spans="1:10" x14ac:dyDescent="0.25">
      <c r="A2115" s="82">
        <v>42783</v>
      </c>
      <c r="B2115" s="39" t="s">
        <v>6394</v>
      </c>
      <c r="C2115" s="89"/>
      <c r="D2115" s="18">
        <v>101450</v>
      </c>
      <c r="E2115" s="2" t="s">
        <v>30</v>
      </c>
      <c r="F2115" s="15">
        <v>1540</v>
      </c>
      <c r="G2115" s="41">
        <v>42783</v>
      </c>
      <c r="H2115" s="15">
        <f t="shared" si="59"/>
        <v>1540</v>
      </c>
      <c r="I2115" s="15">
        <f t="shared" si="60"/>
        <v>0</v>
      </c>
      <c r="J2115" s="21"/>
    </row>
    <row r="2116" spans="1:10" x14ac:dyDescent="0.25">
      <c r="A2116" s="82">
        <v>42783</v>
      </c>
      <c r="B2116" s="39" t="s">
        <v>6395</v>
      </c>
      <c r="C2116" s="89"/>
      <c r="D2116" s="18">
        <v>101451</v>
      </c>
      <c r="E2116" s="2" t="s">
        <v>30</v>
      </c>
      <c r="F2116" s="15">
        <v>2327.5</v>
      </c>
      <c r="G2116" s="41">
        <v>42783</v>
      </c>
      <c r="H2116" s="15">
        <f t="shared" ref="H2116:H2179" si="61">F2116</f>
        <v>2327.5</v>
      </c>
      <c r="I2116" s="15">
        <f t="shared" si="60"/>
        <v>0</v>
      </c>
      <c r="J2116" s="21"/>
    </row>
    <row r="2117" spans="1:10" x14ac:dyDescent="0.25">
      <c r="A2117" s="82">
        <v>42783</v>
      </c>
      <c r="B2117" s="39" t="s">
        <v>6396</v>
      </c>
      <c r="C2117" s="89"/>
      <c r="D2117" s="18">
        <v>101452</v>
      </c>
      <c r="E2117" s="2" t="s">
        <v>115</v>
      </c>
      <c r="F2117" s="15">
        <v>3453.3</v>
      </c>
      <c r="G2117" s="41">
        <v>42783</v>
      </c>
      <c r="H2117" s="15">
        <f t="shared" si="61"/>
        <v>3453.3</v>
      </c>
      <c r="I2117" s="15">
        <f t="shared" si="60"/>
        <v>0</v>
      </c>
      <c r="J2117" s="21"/>
    </row>
    <row r="2118" spans="1:10" x14ac:dyDescent="0.25">
      <c r="A2118" s="82">
        <v>42783</v>
      </c>
      <c r="B2118" s="39" t="s">
        <v>6397</v>
      </c>
      <c r="C2118" s="89"/>
      <c r="D2118" s="18">
        <v>101453</v>
      </c>
      <c r="E2118" s="2" t="s">
        <v>57</v>
      </c>
      <c r="F2118" s="15">
        <v>490</v>
      </c>
      <c r="G2118" s="41">
        <v>42784</v>
      </c>
      <c r="H2118" s="15">
        <f t="shared" si="61"/>
        <v>490</v>
      </c>
      <c r="I2118" s="15">
        <f t="shared" si="60"/>
        <v>0</v>
      </c>
      <c r="J2118" s="21"/>
    </row>
    <row r="2119" spans="1:10" x14ac:dyDescent="0.25">
      <c r="A2119" s="82">
        <v>42783</v>
      </c>
      <c r="B2119" s="39" t="s">
        <v>6398</v>
      </c>
      <c r="C2119" s="89"/>
      <c r="D2119" s="18">
        <v>101454</v>
      </c>
      <c r="E2119" s="2" t="s">
        <v>422</v>
      </c>
      <c r="F2119" s="15">
        <v>2230.8000000000002</v>
      </c>
      <c r="G2119" s="41">
        <v>42783</v>
      </c>
      <c r="H2119" s="15">
        <f t="shared" si="61"/>
        <v>2230.8000000000002</v>
      </c>
      <c r="I2119" s="15">
        <f t="shared" si="60"/>
        <v>0</v>
      </c>
      <c r="J2119" s="21"/>
    </row>
    <row r="2120" spans="1:10" x14ac:dyDescent="0.25">
      <c r="A2120" s="82">
        <v>42783</v>
      </c>
      <c r="B2120" s="39" t="s">
        <v>6399</v>
      </c>
      <c r="C2120" s="89"/>
      <c r="D2120" s="18">
        <v>101455</v>
      </c>
      <c r="E2120" s="2" t="s">
        <v>198</v>
      </c>
      <c r="F2120" s="15">
        <v>680.4</v>
      </c>
      <c r="G2120" s="41">
        <v>42784</v>
      </c>
      <c r="H2120" s="15">
        <f t="shared" si="61"/>
        <v>680.4</v>
      </c>
      <c r="I2120" s="15">
        <f t="shared" si="60"/>
        <v>0</v>
      </c>
      <c r="J2120" s="21"/>
    </row>
    <row r="2121" spans="1:10" x14ac:dyDescent="0.25">
      <c r="A2121" s="82">
        <v>42783</v>
      </c>
      <c r="B2121" s="39" t="s">
        <v>6400</v>
      </c>
      <c r="C2121" s="89"/>
      <c r="D2121" s="18">
        <v>101456</v>
      </c>
      <c r="E2121" s="2" t="s">
        <v>331</v>
      </c>
      <c r="F2121" s="15">
        <v>4377.54</v>
      </c>
      <c r="G2121" s="41">
        <v>42784</v>
      </c>
      <c r="H2121" s="15">
        <f t="shared" si="61"/>
        <v>4377.54</v>
      </c>
      <c r="I2121" s="15">
        <f t="shared" si="60"/>
        <v>0</v>
      </c>
      <c r="J2121" s="21"/>
    </row>
    <row r="2122" spans="1:10" x14ac:dyDescent="0.25">
      <c r="A2122" s="82">
        <v>42783</v>
      </c>
      <c r="B2122" s="39" t="s">
        <v>6401</v>
      </c>
      <c r="C2122" s="89"/>
      <c r="D2122" s="18">
        <v>101457</v>
      </c>
      <c r="E2122" s="2" t="s">
        <v>45</v>
      </c>
      <c r="F2122" s="15">
        <v>885.4</v>
      </c>
      <c r="G2122" s="41">
        <v>42784</v>
      </c>
      <c r="H2122" s="15">
        <f t="shared" si="61"/>
        <v>885.4</v>
      </c>
      <c r="I2122" s="15">
        <f t="shared" si="60"/>
        <v>0</v>
      </c>
      <c r="J2122" s="19"/>
    </row>
    <row r="2123" spans="1:10" x14ac:dyDescent="0.25">
      <c r="A2123" s="82">
        <v>42783</v>
      </c>
      <c r="B2123" s="39" t="s">
        <v>6402</v>
      </c>
      <c r="C2123" s="89"/>
      <c r="D2123" s="18">
        <v>101458</v>
      </c>
      <c r="E2123" s="2" t="s">
        <v>53</v>
      </c>
      <c r="F2123" s="15">
        <v>3703.6</v>
      </c>
      <c r="G2123" s="41">
        <v>42784</v>
      </c>
      <c r="H2123" s="15">
        <f t="shared" si="61"/>
        <v>3703.6</v>
      </c>
      <c r="I2123" s="15">
        <f t="shared" si="60"/>
        <v>0</v>
      </c>
      <c r="J2123" s="21"/>
    </row>
    <row r="2124" spans="1:10" x14ac:dyDescent="0.25">
      <c r="A2124" s="82">
        <v>42783</v>
      </c>
      <c r="B2124" s="39" t="s">
        <v>6403</v>
      </c>
      <c r="C2124" s="89"/>
      <c r="D2124" s="18">
        <v>101459</v>
      </c>
      <c r="E2124" s="2" t="s">
        <v>186</v>
      </c>
      <c r="F2124" s="15">
        <v>3161.4</v>
      </c>
      <c r="G2124" s="41">
        <v>42789</v>
      </c>
      <c r="H2124" s="15">
        <f t="shared" si="61"/>
        <v>3161.4</v>
      </c>
      <c r="I2124" s="15">
        <f t="shared" si="60"/>
        <v>0</v>
      </c>
      <c r="J2124" s="21"/>
    </row>
    <row r="2125" spans="1:10" x14ac:dyDescent="0.25">
      <c r="A2125" s="82">
        <v>42783</v>
      </c>
      <c r="B2125" s="39" t="s">
        <v>6404</v>
      </c>
      <c r="C2125" s="89"/>
      <c r="D2125" s="18">
        <v>101460</v>
      </c>
      <c r="E2125" s="2" t="s">
        <v>3997</v>
      </c>
      <c r="F2125" s="15">
        <v>2827.2</v>
      </c>
      <c r="H2125" s="15">
        <f t="shared" si="61"/>
        <v>2827.2</v>
      </c>
      <c r="I2125" s="15">
        <f t="shared" si="60"/>
        <v>0</v>
      </c>
      <c r="J2125" s="21"/>
    </row>
    <row r="2126" spans="1:10" x14ac:dyDescent="0.25">
      <c r="A2126" s="82">
        <v>42783</v>
      </c>
      <c r="B2126" s="39" t="s">
        <v>6405</v>
      </c>
      <c r="C2126" s="89"/>
      <c r="D2126" s="18">
        <v>101461</v>
      </c>
      <c r="E2126" s="13" t="s">
        <v>61</v>
      </c>
      <c r="F2126" s="14">
        <v>0</v>
      </c>
      <c r="G2126" s="88" t="s">
        <v>95</v>
      </c>
      <c r="H2126" s="14">
        <f t="shared" si="61"/>
        <v>0</v>
      </c>
      <c r="I2126" s="14">
        <f t="shared" si="60"/>
        <v>0</v>
      </c>
      <c r="J2126" s="21"/>
    </row>
    <row r="2127" spans="1:10" x14ac:dyDescent="0.25">
      <c r="A2127" s="82">
        <v>42783</v>
      </c>
      <c r="B2127" s="39" t="s">
        <v>6406</v>
      </c>
      <c r="C2127" s="89"/>
      <c r="D2127" s="18">
        <v>101462</v>
      </c>
      <c r="E2127" s="2" t="s">
        <v>61</v>
      </c>
      <c r="F2127" s="15">
        <v>16836.900000000001</v>
      </c>
      <c r="G2127" s="41">
        <v>42784</v>
      </c>
      <c r="H2127" s="15">
        <f t="shared" si="61"/>
        <v>16836.900000000001</v>
      </c>
      <c r="I2127" s="15">
        <f t="shared" si="60"/>
        <v>0</v>
      </c>
      <c r="J2127" s="21"/>
    </row>
    <row r="2128" spans="1:10" x14ac:dyDescent="0.25">
      <c r="A2128" s="82">
        <v>42783</v>
      </c>
      <c r="B2128" s="39" t="s">
        <v>6407</v>
      </c>
      <c r="C2128" s="89"/>
      <c r="D2128" s="18">
        <v>101463</v>
      </c>
      <c r="E2128" s="2" t="s">
        <v>428</v>
      </c>
      <c r="F2128" s="15">
        <v>1030.4000000000001</v>
      </c>
      <c r="G2128" s="41">
        <v>42788</v>
      </c>
      <c r="H2128" s="15">
        <f t="shared" si="61"/>
        <v>1030.4000000000001</v>
      </c>
      <c r="I2128" s="15">
        <f t="shared" si="60"/>
        <v>0</v>
      </c>
      <c r="J2128" s="21"/>
    </row>
    <row r="2129" spans="1:10" x14ac:dyDescent="0.25">
      <c r="A2129" s="82">
        <v>42783</v>
      </c>
      <c r="B2129" s="39" t="s">
        <v>6408</v>
      </c>
      <c r="C2129" s="89"/>
      <c r="D2129" s="18">
        <v>101464</v>
      </c>
      <c r="E2129" s="2" t="s">
        <v>879</v>
      </c>
      <c r="F2129" s="15">
        <v>1398.6</v>
      </c>
      <c r="G2129" s="41">
        <v>42783</v>
      </c>
      <c r="H2129" s="15">
        <f t="shared" si="61"/>
        <v>1398.6</v>
      </c>
      <c r="I2129" s="15">
        <f t="shared" si="60"/>
        <v>0</v>
      </c>
      <c r="J2129" s="21"/>
    </row>
    <row r="2130" spans="1:10" x14ac:dyDescent="0.25">
      <c r="A2130" s="82">
        <v>42783</v>
      </c>
      <c r="B2130" s="39" t="s">
        <v>6409</v>
      </c>
      <c r="C2130" s="89"/>
      <c r="D2130" s="18">
        <v>101465</v>
      </c>
      <c r="E2130" s="13" t="s">
        <v>509</v>
      </c>
      <c r="F2130" s="14">
        <v>0</v>
      </c>
      <c r="G2130" s="88" t="s">
        <v>95</v>
      </c>
      <c r="H2130" s="14">
        <f t="shared" si="61"/>
        <v>0</v>
      </c>
      <c r="I2130" s="14">
        <f t="shared" si="60"/>
        <v>0</v>
      </c>
      <c r="J2130" s="21"/>
    </row>
    <row r="2131" spans="1:10" x14ac:dyDescent="0.25">
      <c r="A2131" s="82">
        <v>42783</v>
      </c>
      <c r="B2131" s="39" t="s">
        <v>6410</v>
      </c>
      <c r="C2131" s="89"/>
      <c r="D2131" s="18">
        <v>101466</v>
      </c>
      <c r="E2131" s="2" t="s">
        <v>800</v>
      </c>
      <c r="F2131" s="15">
        <v>3115.2</v>
      </c>
      <c r="G2131" s="41">
        <v>42783</v>
      </c>
      <c r="H2131" s="15">
        <f t="shared" si="61"/>
        <v>3115.2</v>
      </c>
      <c r="I2131" s="15">
        <f t="shared" si="60"/>
        <v>0</v>
      </c>
      <c r="J2131" s="21"/>
    </row>
    <row r="2132" spans="1:10" x14ac:dyDescent="0.25">
      <c r="A2132" s="82">
        <v>42783</v>
      </c>
      <c r="B2132" s="39" t="s">
        <v>6411</v>
      </c>
      <c r="C2132" s="89"/>
      <c r="D2132" s="18">
        <v>101467</v>
      </c>
      <c r="E2132" s="2" t="s">
        <v>806</v>
      </c>
      <c r="F2132" s="15">
        <v>3518.8</v>
      </c>
      <c r="G2132" s="41">
        <v>42783</v>
      </c>
      <c r="H2132" s="15">
        <f t="shared" si="61"/>
        <v>3518.8</v>
      </c>
      <c r="I2132" s="15">
        <f t="shared" si="60"/>
        <v>0</v>
      </c>
      <c r="J2132" s="21"/>
    </row>
    <row r="2133" spans="1:10" x14ac:dyDescent="0.25">
      <c r="A2133" s="82">
        <v>42783</v>
      </c>
      <c r="B2133" s="39" t="s">
        <v>6412</v>
      </c>
      <c r="C2133" s="89"/>
      <c r="D2133" s="18">
        <v>101468</v>
      </c>
      <c r="E2133" s="2" t="s">
        <v>3319</v>
      </c>
      <c r="F2133" s="15">
        <v>4900</v>
      </c>
      <c r="G2133" s="41">
        <v>42785</v>
      </c>
      <c r="H2133" s="15">
        <f t="shared" si="61"/>
        <v>4900</v>
      </c>
      <c r="I2133" s="15">
        <f t="shared" si="60"/>
        <v>0</v>
      </c>
      <c r="J2133" s="21"/>
    </row>
    <row r="2134" spans="1:10" x14ac:dyDescent="0.25">
      <c r="A2134" s="82">
        <v>42783</v>
      </c>
      <c r="B2134" s="39" t="s">
        <v>6413</v>
      </c>
      <c r="C2134" s="89"/>
      <c r="D2134" s="18">
        <v>101469</v>
      </c>
      <c r="E2134" s="13" t="s">
        <v>172</v>
      </c>
      <c r="F2134" s="14">
        <v>0</v>
      </c>
      <c r="G2134" s="88" t="s">
        <v>95</v>
      </c>
      <c r="H2134" s="14">
        <f t="shared" si="61"/>
        <v>0</v>
      </c>
      <c r="I2134" s="14">
        <f t="shared" si="60"/>
        <v>0</v>
      </c>
      <c r="J2134" s="21"/>
    </row>
    <row r="2135" spans="1:10" x14ac:dyDescent="0.25">
      <c r="A2135" s="82">
        <v>42783</v>
      </c>
      <c r="B2135" s="39" t="s">
        <v>6414</v>
      </c>
      <c r="C2135" s="89"/>
      <c r="D2135" s="18">
        <v>101470</v>
      </c>
      <c r="E2135" s="13" t="s">
        <v>163</v>
      </c>
      <c r="F2135" s="14">
        <v>0</v>
      </c>
      <c r="G2135" s="88" t="s">
        <v>95</v>
      </c>
      <c r="H2135" s="14">
        <f t="shared" si="61"/>
        <v>0</v>
      </c>
      <c r="I2135" s="14">
        <f t="shared" si="60"/>
        <v>0</v>
      </c>
      <c r="J2135" s="21"/>
    </row>
    <row r="2136" spans="1:10" x14ac:dyDescent="0.25">
      <c r="A2136" s="82">
        <v>42783</v>
      </c>
      <c r="B2136" s="39" t="s">
        <v>6415</v>
      </c>
      <c r="C2136" s="89"/>
      <c r="D2136" s="18">
        <v>101471</v>
      </c>
      <c r="E2136" s="13" t="s">
        <v>165</v>
      </c>
      <c r="F2136" s="14">
        <v>0</v>
      </c>
      <c r="G2136" s="88" t="s">
        <v>95</v>
      </c>
      <c r="H2136" s="14">
        <f t="shared" si="61"/>
        <v>0</v>
      </c>
      <c r="I2136" s="14">
        <f t="shared" si="60"/>
        <v>0</v>
      </c>
      <c r="J2136" s="21"/>
    </row>
    <row r="2137" spans="1:10" x14ac:dyDescent="0.25">
      <c r="A2137" s="82">
        <v>42783</v>
      </c>
      <c r="B2137" s="39" t="s">
        <v>6416</v>
      </c>
      <c r="C2137" s="89"/>
      <c r="D2137" s="18">
        <v>101472</v>
      </c>
      <c r="E2137" s="2" t="s">
        <v>172</v>
      </c>
      <c r="F2137" s="15">
        <v>40155.300000000003</v>
      </c>
      <c r="G2137" s="41">
        <v>42804</v>
      </c>
      <c r="H2137" s="15">
        <f t="shared" si="61"/>
        <v>40155.300000000003</v>
      </c>
      <c r="I2137" s="15">
        <f t="shared" si="60"/>
        <v>0</v>
      </c>
      <c r="J2137" s="21"/>
    </row>
    <row r="2138" spans="1:10" x14ac:dyDescent="0.25">
      <c r="A2138" s="82">
        <v>42783</v>
      </c>
      <c r="B2138" s="39" t="s">
        <v>6417</v>
      </c>
      <c r="C2138" s="89"/>
      <c r="D2138" s="18">
        <v>101473</v>
      </c>
      <c r="E2138" s="2" t="s">
        <v>163</v>
      </c>
      <c r="F2138" s="15">
        <v>16060.9</v>
      </c>
      <c r="G2138" s="41">
        <v>42804</v>
      </c>
      <c r="H2138" s="15">
        <f t="shared" si="61"/>
        <v>16060.9</v>
      </c>
      <c r="I2138" s="15">
        <f t="shared" si="60"/>
        <v>0</v>
      </c>
      <c r="J2138" s="21"/>
    </row>
    <row r="2139" spans="1:10" x14ac:dyDescent="0.25">
      <c r="A2139" s="82">
        <v>42783</v>
      </c>
      <c r="B2139" s="39" t="s">
        <v>6418</v>
      </c>
      <c r="C2139" s="89"/>
      <c r="D2139" s="18">
        <v>101474</v>
      </c>
      <c r="E2139" s="2" t="s">
        <v>165</v>
      </c>
      <c r="F2139" s="15">
        <v>8539.2000000000007</v>
      </c>
      <c r="G2139" s="41">
        <v>42804</v>
      </c>
      <c r="H2139" s="15">
        <f t="shared" si="61"/>
        <v>8539.2000000000007</v>
      </c>
      <c r="I2139" s="15">
        <f t="shared" si="60"/>
        <v>0</v>
      </c>
      <c r="J2139" s="21"/>
    </row>
    <row r="2140" spans="1:10" x14ac:dyDescent="0.25">
      <c r="A2140" s="82">
        <v>42783</v>
      </c>
      <c r="B2140" s="39" t="s">
        <v>6419</v>
      </c>
      <c r="C2140" s="89"/>
      <c r="D2140" s="18">
        <v>101475</v>
      </c>
      <c r="E2140" s="2" t="s">
        <v>4250</v>
      </c>
      <c r="F2140" s="15">
        <v>17306</v>
      </c>
      <c r="G2140" s="41">
        <v>42785</v>
      </c>
      <c r="H2140" s="15">
        <f t="shared" si="61"/>
        <v>17306</v>
      </c>
      <c r="I2140" s="15">
        <f t="shared" si="60"/>
        <v>0</v>
      </c>
      <c r="J2140" s="21"/>
    </row>
    <row r="2141" spans="1:10" x14ac:dyDescent="0.25">
      <c r="A2141" s="82">
        <v>42783</v>
      </c>
      <c r="B2141" s="39" t="s">
        <v>6420</v>
      </c>
      <c r="C2141" s="89"/>
      <c r="D2141" s="18">
        <v>101476</v>
      </c>
      <c r="E2141" s="2" t="s">
        <v>930</v>
      </c>
      <c r="F2141" s="15">
        <v>12266.25</v>
      </c>
      <c r="G2141" s="41">
        <v>42783</v>
      </c>
      <c r="H2141" s="15">
        <f t="shared" si="61"/>
        <v>12266.25</v>
      </c>
      <c r="I2141" s="15">
        <f t="shared" si="60"/>
        <v>0</v>
      </c>
      <c r="J2141" s="21"/>
    </row>
    <row r="2142" spans="1:10" x14ac:dyDescent="0.25">
      <c r="A2142" s="82">
        <v>42783</v>
      </c>
      <c r="B2142" s="39" t="s">
        <v>6421</v>
      </c>
      <c r="C2142" s="89"/>
      <c r="D2142" s="18">
        <v>101477</v>
      </c>
      <c r="E2142" s="2" t="s">
        <v>30</v>
      </c>
      <c r="F2142" s="15">
        <v>3086.4</v>
      </c>
      <c r="G2142" s="41">
        <v>42783</v>
      </c>
      <c r="H2142" s="15">
        <f t="shared" si="61"/>
        <v>3086.4</v>
      </c>
      <c r="I2142" s="15">
        <f t="shared" si="60"/>
        <v>0</v>
      </c>
      <c r="J2142" s="21"/>
    </row>
    <row r="2143" spans="1:10" x14ac:dyDescent="0.25">
      <c r="A2143" s="82">
        <v>42783</v>
      </c>
      <c r="B2143" s="39" t="s">
        <v>6422</v>
      </c>
      <c r="C2143" s="89"/>
      <c r="D2143" s="18">
        <v>101478</v>
      </c>
      <c r="E2143" s="2" t="s">
        <v>141</v>
      </c>
      <c r="F2143" s="15">
        <v>11181.2</v>
      </c>
      <c r="G2143" s="41">
        <v>42784</v>
      </c>
      <c r="H2143" s="15">
        <f t="shared" si="61"/>
        <v>11181.2</v>
      </c>
      <c r="I2143" s="15">
        <f t="shared" si="60"/>
        <v>0</v>
      </c>
      <c r="J2143" s="21"/>
    </row>
    <row r="2144" spans="1:10" x14ac:dyDescent="0.25">
      <c r="A2144" s="82">
        <v>42783</v>
      </c>
      <c r="B2144" s="39" t="s">
        <v>6423</v>
      </c>
      <c r="C2144" s="89"/>
      <c r="D2144" s="18">
        <v>101479</v>
      </c>
      <c r="E2144" s="2" t="s">
        <v>231</v>
      </c>
      <c r="F2144" s="15">
        <v>9139</v>
      </c>
      <c r="G2144" s="41">
        <v>42784</v>
      </c>
      <c r="H2144" s="15">
        <f t="shared" si="61"/>
        <v>9139</v>
      </c>
      <c r="I2144" s="15">
        <f t="shared" si="60"/>
        <v>0</v>
      </c>
      <c r="J2144" s="21"/>
    </row>
    <row r="2145" spans="1:10" x14ac:dyDescent="0.25">
      <c r="A2145" s="82">
        <v>42783</v>
      </c>
      <c r="B2145" s="39" t="s">
        <v>6424</v>
      </c>
      <c r="C2145" s="89"/>
      <c r="D2145" s="18">
        <v>101480</v>
      </c>
      <c r="E2145" s="2" t="s">
        <v>205</v>
      </c>
      <c r="F2145" s="15">
        <v>39342</v>
      </c>
      <c r="G2145" s="41">
        <v>42802</v>
      </c>
      <c r="H2145" s="15">
        <f t="shared" si="61"/>
        <v>39342</v>
      </c>
      <c r="I2145" s="15">
        <f t="shared" si="60"/>
        <v>0</v>
      </c>
      <c r="J2145" s="21"/>
    </row>
    <row r="2146" spans="1:10" x14ac:dyDescent="0.25">
      <c r="A2146" s="82">
        <v>42783</v>
      </c>
      <c r="B2146" s="39" t="s">
        <v>6425</v>
      </c>
      <c r="C2146" s="89"/>
      <c r="D2146" s="18">
        <v>101481</v>
      </c>
      <c r="E2146" s="2" t="s">
        <v>10</v>
      </c>
      <c r="F2146" s="15">
        <v>335035.92</v>
      </c>
      <c r="G2146" s="41">
        <v>42786</v>
      </c>
      <c r="H2146" s="15">
        <f t="shared" si="61"/>
        <v>335035.92</v>
      </c>
      <c r="I2146" s="15">
        <f t="shared" si="60"/>
        <v>0</v>
      </c>
      <c r="J2146" s="21"/>
    </row>
    <row r="2147" spans="1:10" x14ac:dyDescent="0.25">
      <c r="A2147" s="82">
        <v>42783</v>
      </c>
      <c r="B2147" s="39" t="s">
        <v>6426</v>
      </c>
      <c r="C2147" s="89"/>
      <c r="D2147" s="18">
        <v>101482</v>
      </c>
      <c r="E2147" s="2" t="s">
        <v>61</v>
      </c>
      <c r="F2147" s="15">
        <v>223.2</v>
      </c>
      <c r="G2147" s="41">
        <v>42784</v>
      </c>
      <c r="H2147" s="15">
        <f t="shared" si="61"/>
        <v>223.2</v>
      </c>
      <c r="I2147" s="15">
        <f t="shared" si="60"/>
        <v>0</v>
      </c>
      <c r="J2147" s="21"/>
    </row>
    <row r="2148" spans="1:10" x14ac:dyDescent="0.25">
      <c r="A2148" s="82">
        <v>42783</v>
      </c>
      <c r="B2148" s="39" t="s">
        <v>6427</v>
      </c>
      <c r="C2148" s="89"/>
      <c r="D2148" s="18">
        <v>101483</v>
      </c>
      <c r="E2148" s="2" t="s">
        <v>1925</v>
      </c>
      <c r="F2148" s="15">
        <v>548.70000000000005</v>
      </c>
      <c r="G2148" s="41">
        <v>42783</v>
      </c>
      <c r="H2148" s="15">
        <f t="shared" si="61"/>
        <v>548.70000000000005</v>
      </c>
      <c r="I2148" s="15">
        <f t="shared" si="60"/>
        <v>0</v>
      </c>
      <c r="J2148" s="21"/>
    </row>
    <row r="2149" spans="1:10" x14ac:dyDescent="0.25">
      <c r="A2149" s="82">
        <v>42783</v>
      </c>
      <c r="B2149" s="39" t="s">
        <v>6428</v>
      </c>
      <c r="C2149" s="89"/>
      <c r="D2149" s="18">
        <v>101484</v>
      </c>
      <c r="E2149" s="2" t="s">
        <v>352</v>
      </c>
      <c r="F2149" s="15">
        <v>3135</v>
      </c>
      <c r="G2149" s="41">
        <v>42783</v>
      </c>
      <c r="H2149" s="15">
        <f t="shared" si="61"/>
        <v>3135</v>
      </c>
      <c r="I2149" s="15">
        <f t="shared" si="60"/>
        <v>0</v>
      </c>
      <c r="J2149" s="21"/>
    </row>
    <row r="2150" spans="1:10" x14ac:dyDescent="0.25">
      <c r="A2150" s="82">
        <v>42783</v>
      </c>
      <c r="B2150" s="39" t="s">
        <v>6429</v>
      </c>
      <c r="C2150" s="89"/>
      <c r="D2150" s="18">
        <v>101485</v>
      </c>
      <c r="E2150" s="2" t="s">
        <v>693</v>
      </c>
      <c r="F2150" s="15">
        <v>2812</v>
      </c>
      <c r="G2150" s="41">
        <v>42784</v>
      </c>
      <c r="H2150" s="15">
        <f t="shared" si="61"/>
        <v>2812</v>
      </c>
      <c r="I2150" s="15">
        <f t="shared" si="60"/>
        <v>0</v>
      </c>
      <c r="J2150" s="21"/>
    </row>
    <row r="2151" spans="1:10" x14ac:dyDescent="0.25">
      <c r="A2151" s="82">
        <v>42783</v>
      </c>
      <c r="B2151" s="39" t="s">
        <v>6430</v>
      </c>
      <c r="C2151" s="89"/>
      <c r="D2151" s="18">
        <v>101486</v>
      </c>
      <c r="E2151" s="2" t="s">
        <v>30</v>
      </c>
      <c r="F2151" s="15">
        <v>854.4</v>
      </c>
      <c r="G2151" s="41">
        <v>42784</v>
      </c>
      <c r="H2151" s="15">
        <f t="shared" si="61"/>
        <v>854.4</v>
      </c>
      <c r="I2151" s="15">
        <f t="shared" si="60"/>
        <v>0</v>
      </c>
      <c r="J2151" s="21"/>
    </row>
    <row r="2152" spans="1:10" x14ac:dyDescent="0.25">
      <c r="A2152" s="82">
        <v>42783</v>
      </c>
      <c r="B2152" s="39" t="s">
        <v>6431</v>
      </c>
      <c r="C2152" s="89"/>
      <c r="D2152" s="18">
        <v>101487</v>
      </c>
      <c r="E2152" s="2" t="s">
        <v>528</v>
      </c>
      <c r="F2152" s="15">
        <v>10524</v>
      </c>
      <c r="G2152" s="41">
        <v>42784</v>
      </c>
      <c r="H2152" s="15">
        <f t="shared" si="61"/>
        <v>10524</v>
      </c>
      <c r="I2152" s="15">
        <f t="shared" si="60"/>
        <v>0</v>
      </c>
      <c r="J2152" s="21"/>
    </row>
    <row r="2153" spans="1:10" x14ac:dyDescent="0.25">
      <c r="A2153" s="82">
        <v>42783</v>
      </c>
      <c r="B2153" s="39" t="s">
        <v>6432</v>
      </c>
      <c r="C2153" s="89"/>
      <c r="D2153" s="18">
        <v>101488</v>
      </c>
      <c r="E2153" s="2" t="s">
        <v>182</v>
      </c>
      <c r="F2153" s="15">
        <v>2450</v>
      </c>
      <c r="G2153" s="41">
        <v>42784</v>
      </c>
      <c r="H2153" s="15">
        <f t="shared" si="61"/>
        <v>2450</v>
      </c>
      <c r="I2153" s="15">
        <f t="shared" si="60"/>
        <v>0</v>
      </c>
      <c r="J2153" s="21"/>
    </row>
    <row r="2154" spans="1:10" x14ac:dyDescent="0.25">
      <c r="A2154" s="82">
        <v>42783</v>
      </c>
      <c r="B2154" s="39" t="s">
        <v>6433</v>
      </c>
      <c r="C2154" s="89"/>
      <c r="D2154" s="18">
        <v>101489</v>
      </c>
      <c r="E2154" s="2" t="s">
        <v>193</v>
      </c>
      <c r="F2154" s="15">
        <v>2976</v>
      </c>
      <c r="G2154" s="41">
        <v>42784</v>
      </c>
      <c r="H2154" s="15">
        <f t="shared" si="61"/>
        <v>2976</v>
      </c>
      <c r="I2154" s="15">
        <f t="shared" si="60"/>
        <v>0</v>
      </c>
      <c r="J2154" s="21"/>
    </row>
    <row r="2155" spans="1:10" x14ac:dyDescent="0.25">
      <c r="A2155" s="82">
        <v>42783</v>
      </c>
      <c r="B2155" s="39" t="s">
        <v>6434</v>
      </c>
      <c r="C2155" s="89"/>
      <c r="D2155" s="18">
        <v>101490</v>
      </c>
      <c r="E2155" s="2" t="s">
        <v>354</v>
      </c>
      <c r="F2155" s="15">
        <v>1090.2</v>
      </c>
      <c r="G2155" s="41">
        <v>42783</v>
      </c>
      <c r="H2155" s="15">
        <f t="shared" si="61"/>
        <v>1090.2</v>
      </c>
      <c r="I2155" s="15">
        <f t="shared" si="60"/>
        <v>0</v>
      </c>
      <c r="J2155" s="21"/>
    </row>
    <row r="2156" spans="1:10" x14ac:dyDescent="0.25">
      <c r="A2156" s="82">
        <v>42783</v>
      </c>
      <c r="B2156" s="39" t="s">
        <v>6435</v>
      </c>
      <c r="C2156" s="89"/>
      <c r="D2156" s="18">
        <v>101491</v>
      </c>
      <c r="E2156" s="2" t="s">
        <v>205</v>
      </c>
      <c r="F2156" s="15">
        <v>31972.5</v>
      </c>
      <c r="G2156" s="41">
        <v>42802</v>
      </c>
      <c r="H2156" s="15">
        <f t="shared" si="61"/>
        <v>31972.5</v>
      </c>
      <c r="I2156" s="15">
        <f t="shared" si="60"/>
        <v>0</v>
      </c>
      <c r="J2156" s="21"/>
    </row>
    <row r="2157" spans="1:10" x14ac:dyDescent="0.25">
      <c r="A2157" s="82">
        <v>42783</v>
      </c>
      <c r="B2157" s="39" t="s">
        <v>6436</v>
      </c>
      <c r="C2157" s="89"/>
      <c r="D2157" s="18">
        <v>101492</v>
      </c>
      <c r="E2157" s="2" t="s">
        <v>5352</v>
      </c>
      <c r="F2157" s="15">
        <v>15000</v>
      </c>
      <c r="G2157" s="41">
        <v>42783</v>
      </c>
      <c r="H2157" s="15">
        <f t="shared" si="61"/>
        <v>15000</v>
      </c>
      <c r="I2157" s="15">
        <f t="shared" si="60"/>
        <v>0</v>
      </c>
      <c r="J2157" s="21"/>
    </row>
    <row r="2158" spans="1:10" x14ac:dyDescent="0.25">
      <c r="A2158" s="82">
        <v>42783</v>
      </c>
      <c r="B2158" s="39" t="s">
        <v>6437</v>
      </c>
      <c r="C2158" s="89"/>
      <c r="D2158" s="18">
        <v>101493</v>
      </c>
      <c r="E2158" s="2" t="s">
        <v>205</v>
      </c>
      <c r="F2158" s="15">
        <v>39469</v>
      </c>
      <c r="G2158" s="41">
        <v>42802</v>
      </c>
      <c r="H2158" s="15">
        <f t="shared" si="61"/>
        <v>39469</v>
      </c>
      <c r="I2158" s="15">
        <f t="shared" si="60"/>
        <v>0</v>
      </c>
      <c r="J2158" s="21"/>
    </row>
    <row r="2159" spans="1:10" x14ac:dyDescent="0.25">
      <c r="A2159" s="82">
        <v>42783</v>
      </c>
      <c r="B2159" s="39" t="s">
        <v>6438</v>
      </c>
      <c r="C2159" s="89"/>
      <c r="D2159" s="18">
        <v>101494</v>
      </c>
      <c r="E2159" s="2" t="s">
        <v>30</v>
      </c>
      <c r="F2159" s="15">
        <v>2212.8000000000002</v>
      </c>
      <c r="G2159" s="41">
        <v>42783</v>
      </c>
      <c r="H2159" s="15">
        <f t="shared" si="61"/>
        <v>2212.8000000000002</v>
      </c>
      <c r="I2159" s="15">
        <f t="shared" si="60"/>
        <v>0</v>
      </c>
      <c r="J2159" s="21"/>
    </row>
    <row r="2160" spans="1:10" x14ac:dyDescent="0.25">
      <c r="A2160" s="82">
        <v>42783</v>
      </c>
      <c r="B2160" s="39" t="s">
        <v>6439</v>
      </c>
      <c r="C2160" s="89"/>
      <c r="D2160" s="18">
        <v>101495</v>
      </c>
      <c r="E2160" s="2" t="s">
        <v>10</v>
      </c>
      <c r="F2160" s="15">
        <v>99274.06</v>
      </c>
      <c r="G2160" s="41">
        <v>42786</v>
      </c>
      <c r="H2160" s="15">
        <f t="shared" si="61"/>
        <v>99274.06</v>
      </c>
      <c r="I2160" s="15">
        <f t="shared" si="60"/>
        <v>0</v>
      </c>
      <c r="J2160" s="21"/>
    </row>
    <row r="2161" spans="1:10" x14ac:dyDescent="0.25">
      <c r="A2161" s="82">
        <v>42783</v>
      </c>
      <c r="B2161" s="39" t="s">
        <v>6440</v>
      </c>
      <c r="C2161" s="89"/>
      <c r="D2161" s="18">
        <v>101496</v>
      </c>
      <c r="E2161" s="2" t="s">
        <v>10</v>
      </c>
      <c r="F2161" s="15">
        <v>7316.8</v>
      </c>
      <c r="G2161" s="41">
        <v>42786</v>
      </c>
      <c r="H2161" s="15">
        <f t="shared" si="61"/>
        <v>7316.8</v>
      </c>
      <c r="I2161" s="15">
        <f t="shared" si="60"/>
        <v>0</v>
      </c>
      <c r="J2161" s="21"/>
    </row>
    <row r="2162" spans="1:10" x14ac:dyDescent="0.25">
      <c r="A2162" s="82">
        <v>42783</v>
      </c>
      <c r="B2162" s="39" t="s">
        <v>6441</v>
      </c>
      <c r="C2162" s="89"/>
      <c r="D2162" s="18">
        <v>101497</v>
      </c>
      <c r="E2162" s="2" t="s">
        <v>125</v>
      </c>
      <c r="F2162" s="15">
        <v>9065</v>
      </c>
      <c r="G2162" s="41">
        <v>42784</v>
      </c>
      <c r="H2162" s="15">
        <f t="shared" si="61"/>
        <v>9065</v>
      </c>
      <c r="I2162" s="15">
        <f t="shared" si="60"/>
        <v>0</v>
      </c>
      <c r="J2162" s="21"/>
    </row>
    <row r="2163" spans="1:10" x14ac:dyDescent="0.25">
      <c r="A2163" s="82">
        <v>42783</v>
      </c>
      <c r="B2163" s="39" t="s">
        <v>6442</v>
      </c>
      <c r="C2163" s="89"/>
      <c r="D2163" s="18">
        <v>101498</v>
      </c>
      <c r="E2163" s="2" t="s">
        <v>785</v>
      </c>
      <c r="F2163" s="15">
        <v>6329</v>
      </c>
      <c r="G2163" s="41">
        <v>42784</v>
      </c>
      <c r="H2163" s="15">
        <f t="shared" si="61"/>
        <v>6329</v>
      </c>
      <c r="I2163" s="15">
        <f t="shared" si="60"/>
        <v>0</v>
      </c>
      <c r="J2163" s="21"/>
    </row>
    <row r="2164" spans="1:10" x14ac:dyDescent="0.25">
      <c r="A2164" s="82">
        <v>42783</v>
      </c>
      <c r="B2164" s="39" t="s">
        <v>6443</v>
      </c>
      <c r="C2164" s="89"/>
      <c r="D2164" s="18">
        <v>101499</v>
      </c>
      <c r="E2164" s="2" t="s">
        <v>55</v>
      </c>
      <c r="F2164" s="15">
        <v>25607.8</v>
      </c>
      <c r="G2164" s="41">
        <v>42783</v>
      </c>
      <c r="H2164" s="15">
        <f t="shared" si="61"/>
        <v>25607.8</v>
      </c>
      <c r="I2164" s="15">
        <f t="shared" si="60"/>
        <v>0</v>
      </c>
      <c r="J2164" s="21"/>
    </row>
    <row r="2165" spans="1:10" x14ac:dyDescent="0.25">
      <c r="A2165" s="82">
        <v>42783</v>
      </c>
      <c r="B2165" s="39" t="s">
        <v>6444</v>
      </c>
      <c r="C2165" s="89"/>
      <c r="D2165" s="18">
        <v>101500</v>
      </c>
      <c r="E2165" s="2" t="s">
        <v>509</v>
      </c>
      <c r="F2165" s="15">
        <v>10026</v>
      </c>
      <c r="G2165" s="41">
        <v>42787</v>
      </c>
      <c r="H2165" s="15">
        <f t="shared" si="61"/>
        <v>10026</v>
      </c>
      <c r="I2165" s="15">
        <f t="shared" si="60"/>
        <v>0</v>
      </c>
      <c r="J2165" s="21"/>
    </row>
    <row r="2166" spans="1:10" x14ac:dyDescent="0.25">
      <c r="A2166" s="82">
        <v>42783</v>
      </c>
      <c r="B2166" s="39" t="s">
        <v>6445</v>
      </c>
      <c r="C2166" s="89"/>
      <c r="D2166" s="18">
        <v>101501</v>
      </c>
      <c r="E2166" s="2" t="s">
        <v>12</v>
      </c>
      <c r="F2166" s="15">
        <v>922.2</v>
      </c>
      <c r="G2166" s="41">
        <v>42784</v>
      </c>
      <c r="H2166" s="15">
        <f t="shared" si="61"/>
        <v>922.2</v>
      </c>
      <c r="I2166" s="15">
        <f t="shared" si="60"/>
        <v>0</v>
      </c>
      <c r="J2166" s="21"/>
    </row>
    <row r="2167" spans="1:10" x14ac:dyDescent="0.25">
      <c r="A2167" s="82">
        <v>42783</v>
      </c>
      <c r="B2167" s="39" t="s">
        <v>6446</v>
      </c>
      <c r="C2167" s="89"/>
      <c r="D2167" s="18">
        <v>101502</v>
      </c>
      <c r="E2167" s="2" t="s">
        <v>220</v>
      </c>
      <c r="F2167" s="15">
        <v>4027.2</v>
      </c>
      <c r="G2167" s="41">
        <v>42784</v>
      </c>
      <c r="H2167" s="15">
        <f t="shared" si="61"/>
        <v>4027.2</v>
      </c>
      <c r="I2167" s="15">
        <f t="shared" si="60"/>
        <v>0</v>
      </c>
      <c r="J2167" s="21"/>
    </row>
    <row r="2168" spans="1:10" x14ac:dyDescent="0.25">
      <c r="A2168" s="82">
        <v>42783</v>
      </c>
      <c r="B2168" s="39" t="s">
        <v>6447</v>
      </c>
      <c r="C2168" s="89"/>
      <c r="D2168" s="18">
        <v>101503</v>
      </c>
      <c r="E2168" s="2" t="s">
        <v>211</v>
      </c>
      <c r="F2168" s="15">
        <v>8632.6</v>
      </c>
      <c r="G2168" s="41">
        <v>42783</v>
      </c>
      <c r="H2168" s="15">
        <f t="shared" si="61"/>
        <v>8632.6</v>
      </c>
      <c r="I2168" s="15">
        <f t="shared" ref="I2168:I2231" si="62">F2168-H2168</f>
        <v>0</v>
      </c>
      <c r="J2168" s="21"/>
    </row>
    <row r="2169" spans="1:10" x14ac:dyDescent="0.25">
      <c r="A2169" s="82">
        <v>42783</v>
      </c>
      <c r="B2169" s="39" t="s">
        <v>6448</v>
      </c>
      <c r="C2169" s="89"/>
      <c r="D2169" s="18">
        <v>101504</v>
      </c>
      <c r="E2169" s="2" t="s">
        <v>21</v>
      </c>
      <c r="F2169" s="15">
        <v>10670.4</v>
      </c>
      <c r="G2169" s="41">
        <v>42800</v>
      </c>
      <c r="H2169" s="15">
        <f t="shared" si="61"/>
        <v>10670.4</v>
      </c>
      <c r="I2169" s="15">
        <f t="shared" si="62"/>
        <v>0</v>
      </c>
      <c r="J2169" s="21"/>
    </row>
    <row r="2170" spans="1:10" x14ac:dyDescent="0.25">
      <c r="A2170" s="82">
        <v>42784</v>
      </c>
      <c r="B2170" s="39" t="s">
        <v>6449</v>
      </c>
      <c r="C2170" s="89"/>
      <c r="D2170" s="18">
        <v>101505</v>
      </c>
      <c r="E2170" s="2" t="s">
        <v>374</v>
      </c>
      <c r="F2170" s="15">
        <v>1382.4</v>
      </c>
      <c r="G2170" s="41">
        <v>42784</v>
      </c>
      <c r="H2170" s="15">
        <f t="shared" si="61"/>
        <v>1382.4</v>
      </c>
      <c r="I2170" s="15">
        <f t="shared" si="62"/>
        <v>0</v>
      </c>
      <c r="J2170" s="21"/>
    </row>
    <row r="2171" spans="1:10" x14ac:dyDescent="0.25">
      <c r="A2171" s="82">
        <v>42784</v>
      </c>
      <c r="B2171" s="39" t="s">
        <v>6450</v>
      </c>
      <c r="C2171" s="89"/>
      <c r="D2171" s="18">
        <v>101506</v>
      </c>
      <c r="E2171" s="2" t="s">
        <v>231</v>
      </c>
      <c r="F2171" s="15">
        <v>8753.6</v>
      </c>
      <c r="G2171" s="41">
        <v>42785</v>
      </c>
      <c r="H2171" s="15">
        <f t="shared" si="61"/>
        <v>8753.6</v>
      </c>
      <c r="I2171" s="15">
        <f t="shared" si="62"/>
        <v>0</v>
      </c>
      <c r="J2171" s="21"/>
    </row>
    <row r="2172" spans="1:10" x14ac:dyDescent="0.25">
      <c r="A2172" s="82">
        <v>42784</v>
      </c>
      <c r="B2172" s="39" t="s">
        <v>6451</v>
      </c>
      <c r="C2172" s="89"/>
      <c r="D2172" s="18">
        <v>101507</v>
      </c>
      <c r="E2172" s="2" t="s">
        <v>231</v>
      </c>
      <c r="F2172" s="15">
        <v>363.3</v>
      </c>
      <c r="G2172" s="41">
        <v>42785</v>
      </c>
      <c r="H2172" s="15">
        <f t="shared" si="61"/>
        <v>363.3</v>
      </c>
      <c r="I2172" s="15">
        <f t="shared" si="62"/>
        <v>0</v>
      </c>
      <c r="J2172" s="21"/>
    </row>
    <row r="2173" spans="1:10" x14ac:dyDescent="0.25">
      <c r="A2173" s="82">
        <v>42784</v>
      </c>
      <c r="B2173" s="39" t="s">
        <v>6452</v>
      </c>
      <c r="C2173" s="89"/>
      <c r="D2173" s="18">
        <v>101508</v>
      </c>
      <c r="E2173" s="2" t="s">
        <v>231</v>
      </c>
      <c r="F2173" s="15">
        <v>33128.199999999997</v>
      </c>
      <c r="G2173" s="41">
        <v>42785</v>
      </c>
      <c r="H2173" s="15">
        <f t="shared" si="61"/>
        <v>33128.199999999997</v>
      </c>
      <c r="I2173" s="15">
        <f t="shared" si="62"/>
        <v>0</v>
      </c>
      <c r="J2173" s="21"/>
    </row>
    <row r="2174" spans="1:10" x14ac:dyDescent="0.25">
      <c r="A2174" s="82">
        <v>42784</v>
      </c>
      <c r="B2174" s="39" t="s">
        <v>6453</v>
      </c>
      <c r="C2174" s="89"/>
      <c r="D2174" s="18">
        <v>101509</v>
      </c>
      <c r="E2174" s="2" t="s">
        <v>26</v>
      </c>
      <c r="F2174" s="15">
        <v>18076</v>
      </c>
      <c r="G2174" s="41">
        <v>42784</v>
      </c>
      <c r="H2174" s="15">
        <f t="shared" si="61"/>
        <v>18076</v>
      </c>
      <c r="I2174" s="15">
        <f t="shared" si="62"/>
        <v>0</v>
      </c>
      <c r="J2174" s="21"/>
    </row>
    <row r="2175" spans="1:10" x14ac:dyDescent="0.25">
      <c r="A2175" s="82">
        <v>42784</v>
      </c>
      <c r="B2175" s="39" t="s">
        <v>6454</v>
      </c>
      <c r="C2175" s="89"/>
      <c r="D2175" s="18">
        <v>101510</v>
      </c>
      <c r="E2175" s="2" t="s">
        <v>17</v>
      </c>
      <c r="F2175" s="15">
        <v>5635</v>
      </c>
      <c r="G2175" s="41">
        <v>42784</v>
      </c>
      <c r="H2175" s="15">
        <f t="shared" si="61"/>
        <v>5635</v>
      </c>
      <c r="I2175" s="15">
        <f t="shared" si="62"/>
        <v>0</v>
      </c>
      <c r="J2175" s="21"/>
    </row>
    <row r="2176" spans="1:10" x14ac:dyDescent="0.25">
      <c r="A2176" s="82">
        <v>42784</v>
      </c>
      <c r="B2176" s="39" t="s">
        <v>6455</v>
      </c>
      <c r="C2176" s="89"/>
      <c r="D2176" s="18">
        <v>101511</v>
      </c>
      <c r="E2176" s="2" t="s">
        <v>19</v>
      </c>
      <c r="F2176" s="15">
        <v>1470</v>
      </c>
      <c r="G2176" s="41">
        <v>42784</v>
      </c>
      <c r="H2176" s="15">
        <f t="shared" si="61"/>
        <v>1470</v>
      </c>
      <c r="I2176" s="15">
        <f t="shared" si="62"/>
        <v>0</v>
      </c>
      <c r="J2176" s="21"/>
    </row>
    <row r="2177" spans="1:10" x14ac:dyDescent="0.25">
      <c r="A2177" s="82">
        <v>42784</v>
      </c>
      <c r="B2177" s="39" t="s">
        <v>6456</v>
      </c>
      <c r="C2177" s="89"/>
      <c r="D2177" s="18">
        <v>101512</v>
      </c>
      <c r="E2177" s="2" t="s">
        <v>28</v>
      </c>
      <c r="F2177" s="15">
        <v>4977</v>
      </c>
      <c r="G2177" s="41">
        <v>42787</v>
      </c>
      <c r="H2177" s="15">
        <f t="shared" si="61"/>
        <v>4977</v>
      </c>
      <c r="I2177" s="15">
        <f t="shared" si="62"/>
        <v>0</v>
      </c>
      <c r="J2177" s="21"/>
    </row>
    <row r="2178" spans="1:10" x14ac:dyDescent="0.25">
      <c r="A2178" s="82">
        <v>42784</v>
      </c>
      <c r="B2178" s="39" t="s">
        <v>6457</v>
      </c>
      <c r="C2178" s="89"/>
      <c r="D2178" s="18">
        <v>101513</v>
      </c>
      <c r="E2178" s="2" t="s">
        <v>35</v>
      </c>
      <c r="F2178" s="15">
        <v>31746.7</v>
      </c>
      <c r="G2178" s="41">
        <v>42787</v>
      </c>
      <c r="H2178" s="15">
        <f t="shared" si="61"/>
        <v>31746.7</v>
      </c>
      <c r="I2178" s="15">
        <f t="shared" si="62"/>
        <v>0</v>
      </c>
      <c r="J2178" s="21"/>
    </row>
    <row r="2179" spans="1:10" x14ac:dyDescent="0.25">
      <c r="A2179" s="82">
        <v>42784</v>
      </c>
      <c r="B2179" s="39" t="s">
        <v>6458</v>
      </c>
      <c r="C2179" s="89"/>
      <c r="D2179" s="18">
        <v>101514</v>
      </c>
      <c r="E2179" s="2" t="s">
        <v>428</v>
      </c>
      <c r="F2179" s="15">
        <v>2310</v>
      </c>
      <c r="G2179" s="41">
        <v>42787</v>
      </c>
      <c r="H2179" s="15">
        <f t="shared" si="61"/>
        <v>2310</v>
      </c>
      <c r="I2179" s="15">
        <f t="shared" si="62"/>
        <v>0</v>
      </c>
      <c r="J2179" s="21"/>
    </row>
    <row r="2180" spans="1:10" x14ac:dyDescent="0.25">
      <c r="A2180" s="82">
        <v>42784</v>
      </c>
      <c r="B2180" s="39" t="s">
        <v>6459</v>
      </c>
      <c r="C2180" s="89"/>
      <c r="D2180" s="18">
        <v>101515</v>
      </c>
      <c r="E2180" s="2" t="s">
        <v>32</v>
      </c>
      <c r="F2180" s="15">
        <v>16294.1</v>
      </c>
      <c r="G2180" s="41">
        <v>42788</v>
      </c>
      <c r="H2180" s="15">
        <f t="shared" ref="H2180:H2243" si="63">F2180</f>
        <v>16294.1</v>
      </c>
      <c r="I2180" s="15">
        <f t="shared" si="62"/>
        <v>0</v>
      </c>
      <c r="J2180" s="21"/>
    </row>
    <row r="2181" spans="1:10" x14ac:dyDescent="0.25">
      <c r="A2181" s="82">
        <v>42784</v>
      </c>
      <c r="B2181" s="39" t="s">
        <v>6460</v>
      </c>
      <c r="C2181" s="89"/>
      <c r="D2181" s="18">
        <v>101516</v>
      </c>
      <c r="E2181" s="2" t="s">
        <v>30</v>
      </c>
      <c r="F2181" s="15">
        <v>7387</v>
      </c>
      <c r="G2181" s="41">
        <v>42784</v>
      </c>
      <c r="H2181" s="15">
        <f t="shared" si="63"/>
        <v>7387</v>
      </c>
      <c r="I2181" s="15">
        <f t="shared" si="62"/>
        <v>0</v>
      </c>
      <c r="J2181" s="21"/>
    </row>
    <row r="2182" spans="1:10" x14ac:dyDescent="0.25">
      <c r="A2182" s="82">
        <v>42784</v>
      </c>
      <c r="B2182" s="39" t="s">
        <v>6461</v>
      </c>
      <c r="C2182" s="89"/>
      <c r="D2182" s="18">
        <v>101517</v>
      </c>
      <c r="E2182" s="2" t="s">
        <v>785</v>
      </c>
      <c r="F2182" s="15">
        <v>13441.2</v>
      </c>
      <c r="G2182" s="41">
        <v>42784</v>
      </c>
      <c r="H2182" s="15">
        <f t="shared" si="63"/>
        <v>13441.2</v>
      </c>
      <c r="I2182" s="15">
        <f t="shared" si="62"/>
        <v>0</v>
      </c>
      <c r="J2182" s="21"/>
    </row>
    <row r="2183" spans="1:10" x14ac:dyDescent="0.25">
      <c r="A2183" s="82">
        <v>42784</v>
      </c>
      <c r="B2183" s="39" t="s">
        <v>6462</v>
      </c>
      <c r="C2183" s="89"/>
      <c r="D2183" s="18">
        <v>101518</v>
      </c>
      <c r="E2183" s="2" t="s">
        <v>430</v>
      </c>
      <c r="F2183" s="15">
        <v>2667.2</v>
      </c>
      <c r="G2183" s="41">
        <v>42784</v>
      </c>
      <c r="H2183" s="15">
        <f t="shared" si="63"/>
        <v>2667.2</v>
      </c>
      <c r="I2183" s="15">
        <f t="shared" si="62"/>
        <v>0</v>
      </c>
      <c r="J2183" s="21"/>
    </row>
    <row r="2184" spans="1:10" x14ac:dyDescent="0.25">
      <c r="A2184" s="82">
        <v>42784</v>
      </c>
      <c r="B2184" s="39" t="s">
        <v>6463</v>
      </c>
      <c r="C2184" s="89"/>
      <c r="D2184" s="18">
        <v>101519</v>
      </c>
      <c r="E2184" s="2" t="s">
        <v>1335</v>
      </c>
      <c r="F2184" s="15">
        <v>13475.4</v>
      </c>
      <c r="G2184" s="41">
        <v>42784</v>
      </c>
      <c r="H2184" s="15">
        <f t="shared" si="63"/>
        <v>13475.4</v>
      </c>
      <c r="I2184" s="15">
        <f t="shared" si="62"/>
        <v>0</v>
      </c>
      <c r="J2184" s="21"/>
    </row>
    <row r="2185" spans="1:10" x14ac:dyDescent="0.25">
      <c r="A2185" s="82">
        <v>42784</v>
      </c>
      <c r="B2185" s="39" t="s">
        <v>6464</v>
      </c>
      <c r="C2185" s="89"/>
      <c r="D2185" s="18">
        <v>101520</v>
      </c>
      <c r="E2185" s="2" t="s">
        <v>38</v>
      </c>
      <c r="F2185" s="15">
        <v>3757.1</v>
      </c>
      <c r="G2185" s="41">
        <v>42788</v>
      </c>
      <c r="H2185" s="15">
        <f t="shared" si="63"/>
        <v>3757.1</v>
      </c>
      <c r="I2185" s="15">
        <f t="shared" si="62"/>
        <v>0</v>
      </c>
      <c r="J2185" s="21"/>
    </row>
    <row r="2186" spans="1:10" x14ac:dyDescent="0.25">
      <c r="A2186" s="82">
        <v>42784</v>
      </c>
      <c r="B2186" s="39" t="s">
        <v>6465</v>
      </c>
      <c r="C2186" s="89"/>
      <c r="D2186" s="18">
        <v>101521</v>
      </c>
      <c r="E2186" s="2" t="s">
        <v>43</v>
      </c>
      <c r="F2186" s="15">
        <v>10505.9</v>
      </c>
      <c r="G2186" s="41">
        <v>42787</v>
      </c>
      <c r="H2186" s="15">
        <f t="shared" si="63"/>
        <v>10505.9</v>
      </c>
      <c r="I2186" s="15">
        <f t="shared" si="62"/>
        <v>0</v>
      </c>
      <c r="J2186" s="21"/>
    </row>
    <row r="2187" spans="1:10" x14ac:dyDescent="0.25">
      <c r="A2187" s="82">
        <v>42784</v>
      </c>
      <c r="B2187" s="39" t="s">
        <v>6466</v>
      </c>
      <c r="C2187" s="89"/>
      <c r="D2187" s="18">
        <v>101522</v>
      </c>
      <c r="E2187" s="2" t="s">
        <v>712</v>
      </c>
      <c r="F2187" s="15">
        <v>7380.1</v>
      </c>
      <c r="G2187" s="41">
        <v>42784</v>
      </c>
      <c r="H2187" s="15">
        <f t="shared" si="63"/>
        <v>7380.1</v>
      </c>
      <c r="I2187" s="15">
        <f t="shared" si="62"/>
        <v>0</v>
      </c>
      <c r="J2187" s="21"/>
    </row>
    <row r="2188" spans="1:10" ht="30" x14ac:dyDescent="0.25">
      <c r="A2188" s="82">
        <v>42784</v>
      </c>
      <c r="B2188" s="39" t="s">
        <v>6467</v>
      </c>
      <c r="C2188" s="89"/>
      <c r="D2188" s="18">
        <v>101523</v>
      </c>
      <c r="E2188" s="2" t="s">
        <v>49</v>
      </c>
      <c r="F2188" s="15">
        <v>24723.4</v>
      </c>
      <c r="G2188" s="87" t="s">
        <v>6468</v>
      </c>
      <c r="H2188" s="20">
        <f>12000+12723.4</f>
        <v>24723.4</v>
      </c>
      <c r="I2188" s="20">
        <f t="shared" si="62"/>
        <v>0</v>
      </c>
      <c r="J2188" s="21"/>
    </row>
    <row r="2189" spans="1:10" x14ac:dyDescent="0.25">
      <c r="A2189" s="82">
        <v>42784</v>
      </c>
      <c r="B2189" s="39" t="s">
        <v>6469</v>
      </c>
      <c r="C2189" s="89"/>
      <c r="D2189" s="18">
        <v>101524</v>
      </c>
      <c r="E2189" s="2" t="s">
        <v>30</v>
      </c>
      <c r="F2189" s="15">
        <v>2430.8000000000002</v>
      </c>
      <c r="G2189" s="41">
        <v>42784</v>
      </c>
      <c r="H2189" s="15">
        <f t="shared" si="63"/>
        <v>2430.8000000000002</v>
      </c>
      <c r="I2189" s="15">
        <f t="shared" si="62"/>
        <v>0</v>
      </c>
      <c r="J2189" s="21"/>
    </row>
    <row r="2190" spans="1:10" ht="30" x14ac:dyDescent="0.25">
      <c r="A2190" s="82">
        <v>42784</v>
      </c>
      <c r="B2190" s="39" t="s">
        <v>6470</v>
      </c>
      <c r="C2190" s="89"/>
      <c r="D2190" s="18">
        <v>101525</v>
      </c>
      <c r="E2190" s="2" t="s">
        <v>250</v>
      </c>
      <c r="F2190" s="15">
        <v>18557.2</v>
      </c>
      <c r="G2190" s="87" t="s">
        <v>6471</v>
      </c>
      <c r="H2190" s="20">
        <f>16000+2557.2</f>
        <v>18557.2</v>
      </c>
      <c r="I2190" s="20">
        <f t="shared" si="62"/>
        <v>0</v>
      </c>
      <c r="J2190" s="21"/>
    </row>
    <row r="2191" spans="1:10" x14ac:dyDescent="0.25">
      <c r="A2191" s="82">
        <v>42784</v>
      </c>
      <c r="B2191" s="39" t="s">
        <v>6472</v>
      </c>
      <c r="C2191" s="89"/>
      <c r="D2191" s="18">
        <v>101526</v>
      </c>
      <c r="E2191" s="2" t="s">
        <v>21</v>
      </c>
      <c r="F2191" s="15">
        <v>49522.5</v>
      </c>
      <c r="G2191" s="41">
        <v>42800</v>
      </c>
      <c r="H2191" s="15">
        <f t="shared" si="63"/>
        <v>49522.5</v>
      </c>
      <c r="I2191" s="15">
        <f t="shared" si="62"/>
        <v>0</v>
      </c>
      <c r="J2191" s="21"/>
    </row>
    <row r="2192" spans="1:10" x14ac:dyDescent="0.25">
      <c r="A2192" s="82">
        <v>42784</v>
      </c>
      <c r="B2192" s="39" t="s">
        <v>6473</v>
      </c>
      <c r="C2192" s="89"/>
      <c r="D2192" s="18">
        <v>101527</v>
      </c>
      <c r="E2192" s="13" t="s">
        <v>157</v>
      </c>
      <c r="F2192" s="14">
        <v>0</v>
      </c>
      <c r="G2192" s="88" t="s">
        <v>95</v>
      </c>
      <c r="H2192" s="14">
        <f t="shared" si="63"/>
        <v>0</v>
      </c>
      <c r="I2192" s="14">
        <f t="shared" si="62"/>
        <v>0</v>
      </c>
      <c r="J2192" s="21"/>
    </row>
    <row r="2193" spans="1:10" x14ac:dyDescent="0.25">
      <c r="A2193" s="82">
        <v>42784</v>
      </c>
      <c r="B2193" s="39" t="s">
        <v>6474</v>
      </c>
      <c r="C2193" s="89"/>
      <c r="D2193" s="18">
        <v>101528</v>
      </c>
      <c r="E2193" s="2" t="s">
        <v>157</v>
      </c>
      <c r="F2193" s="15">
        <v>30078.799999999999</v>
      </c>
      <c r="G2193" s="41">
        <v>42784</v>
      </c>
      <c r="H2193" s="15">
        <f t="shared" si="63"/>
        <v>30078.799999999999</v>
      </c>
      <c r="I2193" s="15">
        <f t="shared" si="62"/>
        <v>0</v>
      </c>
      <c r="J2193" s="21"/>
    </row>
    <row r="2194" spans="1:10" x14ac:dyDescent="0.25">
      <c r="A2194" s="82">
        <v>42784</v>
      </c>
      <c r="B2194" s="39" t="s">
        <v>6475</v>
      </c>
      <c r="C2194" s="89"/>
      <c r="D2194" s="18">
        <v>101529</v>
      </c>
      <c r="E2194" s="2" t="s">
        <v>1335</v>
      </c>
      <c r="F2194" s="15">
        <v>234.6</v>
      </c>
      <c r="G2194" s="41">
        <v>42784</v>
      </c>
      <c r="H2194" s="15">
        <f t="shared" si="63"/>
        <v>234.6</v>
      </c>
      <c r="I2194" s="15">
        <f t="shared" si="62"/>
        <v>0</v>
      </c>
      <c r="J2194" s="21"/>
    </row>
    <row r="2195" spans="1:10" ht="30" x14ac:dyDescent="0.25">
      <c r="A2195" s="82">
        <v>42784</v>
      </c>
      <c r="B2195" s="39" t="s">
        <v>6476</v>
      </c>
      <c r="C2195" s="89"/>
      <c r="D2195" s="18">
        <v>101530</v>
      </c>
      <c r="E2195" s="2" t="s">
        <v>51</v>
      </c>
      <c r="F2195" s="15">
        <v>6861.6</v>
      </c>
      <c r="G2195" s="86" t="s">
        <v>6468</v>
      </c>
      <c r="H2195" s="23">
        <f>50000+14861.6+1861.6</f>
        <v>66723.199999999997</v>
      </c>
      <c r="I2195" s="23">
        <f t="shared" si="62"/>
        <v>-59861.599999999999</v>
      </c>
      <c r="J2195" s="21"/>
    </row>
    <row r="2196" spans="1:10" ht="45" x14ac:dyDescent="0.25">
      <c r="A2196" s="82">
        <v>42784</v>
      </c>
      <c r="B2196" s="39" t="s">
        <v>6477</v>
      </c>
      <c r="C2196" s="89"/>
      <c r="D2196" s="18">
        <v>101531</v>
      </c>
      <c r="E2196" s="2" t="s">
        <v>253</v>
      </c>
      <c r="F2196" s="15">
        <v>10133.4</v>
      </c>
      <c r="G2196" s="87" t="s">
        <v>6478</v>
      </c>
      <c r="H2196" s="20">
        <f>2000+5700+2433.4</f>
        <v>10133.4</v>
      </c>
      <c r="I2196" s="20">
        <f t="shared" si="62"/>
        <v>0</v>
      </c>
      <c r="J2196" s="21"/>
    </row>
    <row r="2197" spans="1:10" x14ac:dyDescent="0.25">
      <c r="A2197" s="82">
        <v>42784</v>
      </c>
      <c r="B2197" s="39" t="s">
        <v>6479</v>
      </c>
      <c r="C2197" s="89"/>
      <c r="D2197" s="18">
        <v>101532</v>
      </c>
      <c r="E2197" s="2" t="s">
        <v>289</v>
      </c>
      <c r="F2197" s="15">
        <v>85940.7</v>
      </c>
      <c r="G2197" s="41">
        <v>42798</v>
      </c>
      <c r="H2197" s="15">
        <f t="shared" si="63"/>
        <v>85940.7</v>
      </c>
      <c r="I2197" s="15">
        <f t="shared" si="62"/>
        <v>0</v>
      </c>
      <c r="J2197" s="21"/>
    </row>
    <row r="2198" spans="1:10" x14ac:dyDescent="0.25">
      <c r="A2198" s="82">
        <v>42784</v>
      </c>
      <c r="B2198" s="39" t="s">
        <v>6480</v>
      </c>
      <c r="C2198" s="89"/>
      <c r="D2198" s="18">
        <v>101533</v>
      </c>
      <c r="E2198" s="2" t="s">
        <v>47</v>
      </c>
      <c r="F2198" s="15">
        <v>3290.6</v>
      </c>
      <c r="G2198" s="41">
        <v>42784</v>
      </c>
      <c r="H2198" s="15">
        <f t="shared" si="63"/>
        <v>3290.6</v>
      </c>
      <c r="I2198" s="15">
        <f t="shared" si="62"/>
        <v>0</v>
      </c>
      <c r="J2198" s="21"/>
    </row>
    <row r="2199" spans="1:10" x14ac:dyDescent="0.25">
      <c r="A2199" s="82">
        <v>42784</v>
      </c>
      <c r="B2199" s="39" t="s">
        <v>6481</v>
      </c>
      <c r="C2199" s="89"/>
      <c r="D2199" s="18">
        <v>101534</v>
      </c>
      <c r="E2199" s="2" t="s">
        <v>1126</v>
      </c>
      <c r="F2199" s="15">
        <v>4436.5</v>
      </c>
      <c r="G2199" s="41">
        <v>42789</v>
      </c>
      <c r="H2199" s="15">
        <f t="shared" si="63"/>
        <v>4436.5</v>
      </c>
      <c r="I2199" s="15">
        <f t="shared" si="62"/>
        <v>0</v>
      </c>
      <c r="J2199" s="21"/>
    </row>
    <row r="2200" spans="1:10" x14ac:dyDescent="0.25">
      <c r="A2200" s="82">
        <v>42784</v>
      </c>
      <c r="B2200" s="39" t="s">
        <v>6482</v>
      </c>
      <c r="C2200" s="89"/>
      <c r="D2200" s="18">
        <v>101535</v>
      </c>
      <c r="E2200" s="2" t="s">
        <v>609</v>
      </c>
      <c r="F2200" s="15">
        <v>49833</v>
      </c>
      <c r="G2200" s="41">
        <v>42791</v>
      </c>
      <c r="H2200" s="15">
        <f t="shared" si="63"/>
        <v>49833</v>
      </c>
      <c r="I2200" s="15">
        <f t="shared" si="62"/>
        <v>0</v>
      </c>
      <c r="J2200" s="21"/>
    </row>
    <row r="2201" spans="1:10" x14ac:dyDescent="0.25">
      <c r="A2201" s="82">
        <v>42784</v>
      </c>
      <c r="B2201" s="39" t="s">
        <v>6483</v>
      </c>
      <c r="C2201" s="89"/>
      <c r="D2201" s="18">
        <v>101536</v>
      </c>
      <c r="E2201" s="2" t="s">
        <v>386</v>
      </c>
      <c r="F2201" s="15">
        <v>2561.1999999999998</v>
      </c>
      <c r="G2201" s="41">
        <v>42784</v>
      </c>
      <c r="H2201" s="15">
        <f t="shared" si="63"/>
        <v>2561.1999999999998</v>
      </c>
      <c r="I2201" s="15">
        <f t="shared" si="62"/>
        <v>0</v>
      </c>
      <c r="J2201" s="21"/>
    </row>
    <row r="2202" spans="1:10" x14ac:dyDescent="0.25">
      <c r="A2202" s="82">
        <v>42784</v>
      </c>
      <c r="B2202" s="39" t="s">
        <v>6484</v>
      </c>
      <c r="C2202" s="89"/>
      <c r="D2202" s="18">
        <v>101537</v>
      </c>
      <c r="E2202" s="2" t="s">
        <v>268</v>
      </c>
      <c r="F2202" s="15">
        <v>15007.2</v>
      </c>
      <c r="G2202" s="41">
        <v>42788</v>
      </c>
      <c r="H2202" s="15">
        <f t="shared" si="63"/>
        <v>15007.2</v>
      </c>
      <c r="I2202" s="15">
        <f t="shared" si="62"/>
        <v>0</v>
      </c>
      <c r="J2202" s="21"/>
    </row>
    <row r="2203" spans="1:10" x14ac:dyDescent="0.25">
      <c r="A2203" s="82">
        <v>42784</v>
      </c>
      <c r="B2203" s="39" t="s">
        <v>6485</v>
      </c>
      <c r="C2203" s="89"/>
      <c r="D2203" s="18">
        <v>101538</v>
      </c>
      <c r="E2203" s="2" t="s">
        <v>432</v>
      </c>
      <c r="F2203" s="15">
        <v>16080.2</v>
      </c>
      <c r="G2203" s="41">
        <v>42788</v>
      </c>
      <c r="H2203" s="15">
        <f t="shared" si="63"/>
        <v>16080.2</v>
      </c>
      <c r="I2203" s="15">
        <f t="shared" si="62"/>
        <v>0</v>
      </c>
      <c r="J2203" s="21"/>
    </row>
    <row r="2204" spans="1:10" x14ac:dyDescent="0.25">
      <c r="A2204" s="82">
        <v>42784</v>
      </c>
      <c r="B2204" s="39" t="s">
        <v>6486</v>
      </c>
      <c r="C2204" s="89"/>
      <c r="D2204" s="18">
        <v>101539</v>
      </c>
      <c r="E2204" s="2" t="s">
        <v>876</v>
      </c>
      <c r="F2204" s="15">
        <v>3122.8</v>
      </c>
      <c r="G2204" s="41">
        <v>42788</v>
      </c>
      <c r="H2204" s="15">
        <f t="shared" si="63"/>
        <v>3122.8</v>
      </c>
      <c r="I2204" s="15">
        <f t="shared" si="62"/>
        <v>0</v>
      </c>
      <c r="J2204" s="21"/>
    </row>
    <row r="2205" spans="1:10" x14ac:dyDescent="0.25">
      <c r="A2205" s="82">
        <v>42784</v>
      </c>
      <c r="B2205" s="39" t="s">
        <v>6487</v>
      </c>
      <c r="C2205" s="89"/>
      <c r="D2205" s="18">
        <v>101540</v>
      </c>
      <c r="E2205" s="2" t="s">
        <v>1830</v>
      </c>
      <c r="F2205" s="15">
        <v>16163</v>
      </c>
      <c r="G2205" s="41">
        <v>42784</v>
      </c>
      <c r="H2205" s="15">
        <f t="shared" si="63"/>
        <v>16163</v>
      </c>
      <c r="I2205" s="15">
        <f t="shared" si="62"/>
        <v>0</v>
      </c>
      <c r="J2205" s="21"/>
    </row>
    <row r="2206" spans="1:10" x14ac:dyDescent="0.25">
      <c r="A2206" s="82">
        <v>42784</v>
      </c>
      <c r="B2206" s="39" t="s">
        <v>6488</v>
      </c>
      <c r="C2206" s="89"/>
      <c r="D2206" s="18">
        <v>101541</v>
      </c>
      <c r="E2206" s="2" t="s">
        <v>272</v>
      </c>
      <c r="F2206" s="15">
        <v>2249.48</v>
      </c>
      <c r="G2206" s="41">
        <v>42788</v>
      </c>
      <c r="H2206" s="15">
        <f t="shared" si="63"/>
        <v>2249.48</v>
      </c>
      <c r="I2206" s="15">
        <f t="shared" si="62"/>
        <v>0</v>
      </c>
      <c r="J2206" s="21"/>
    </row>
    <row r="2207" spans="1:10" x14ac:dyDescent="0.25">
      <c r="A2207" s="82">
        <v>42784</v>
      </c>
      <c r="B2207" s="39" t="s">
        <v>6489</v>
      </c>
      <c r="C2207" s="89"/>
      <c r="D2207" s="18">
        <v>101542</v>
      </c>
      <c r="E2207" s="2" t="s">
        <v>627</v>
      </c>
      <c r="F2207" s="15">
        <v>1102</v>
      </c>
      <c r="G2207" s="41">
        <v>42784</v>
      </c>
      <c r="H2207" s="15">
        <f t="shared" si="63"/>
        <v>1102</v>
      </c>
      <c r="I2207" s="15">
        <f t="shared" si="62"/>
        <v>0</v>
      </c>
      <c r="J2207" s="21"/>
    </row>
    <row r="2208" spans="1:10" x14ac:dyDescent="0.25">
      <c r="A2208" s="82">
        <v>42784</v>
      </c>
      <c r="B2208" s="39" t="s">
        <v>6490</v>
      </c>
      <c r="C2208" s="89"/>
      <c r="D2208" s="18">
        <v>101543</v>
      </c>
      <c r="E2208" s="2" t="s">
        <v>79</v>
      </c>
      <c r="F2208" s="15">
        <v>2570</v>
      </c>
      <c r="G2208" s="41">
        <v>42784</v>
      </c>
      <c r="H2208" s="15">
        <f t="shared" si="63"/>
        <v>2570</v>
      </c>
      <c r="I2208" s="15">
        <f t="shared" si="62"/>
        <v>0</v>
      </c>
      <c r="J2208" s="21"/>
    </row>
    <row r="2209" spans="1:10" x14ac:dyDescent="0.25">
      <c r="A2209" s="82">
        <v>42784</v>
      </c>
      <c r="B2209" s="39" t="s">
        <v>6491</v>
      </c>
      <c r="C2209" s="89"/>
      <c r="D2209" s="18">
        <v>101544</v>
      </c>
      <c r="E2209" s="2" t="s">
        <v>101</v>
      </c>
      <c r="F2209" s="15">
        <v>1960</v>
      </c>
      <c r="G2209" s="41">
        <v>42784</v>
      </c>
      <c r="H2209" s="15">
        <f t="shared" si="63"/>
        <v>1960</v>
      </c>
      <c r="I2209" s="15">
        <f t="shared" si="62"/>
        <v>0</v>
      </c>
      <c r="J2209" s="21"/>
    </row>
    <row r="2210" spans="1:10" x14ac:dyDescent="0.25">
      <c r="A2210" s="82">
        <v>42784</v>
      </c>
      <c r="B2210" s="39" t="s">
        <v>6492</v>
      </c>
      <c r="C2210" s="89"/>
      <c r="D2210" s="18">
        <v>101545</v>
      </c>
      <c r="E2210" s="2" t="s">
        <v>240</v>
      </c>
      <c r="F2210" s="15">
        <v>5659</v>
      </c>
      <c r="G2210" s="41">
        <v>42784</v>
      </c>
      <c r="H2210" s="15">
        <f t="shared" si="63"/>
        <v>5659</v>
      </c>
      <c r="I2210" s="15">
        <f t="shared" si="62"/>
        <v>0</v>
      </c>
      <c r="J2210" s="19"/>
    </row>
    <row r="2211" spans="1:10" x14ac:dyDescent="0.25">
      <c r="A2211" s="82">
        <v>42784</v>
      </c>
      <c r="B2211" s="39" t="s">
        <v>6493</v>
      </c>
      <c r="C2211" s="89"/>
      <c r="D2211" s="18">
        <v>101546</v>
      </c>
      <c r="E2211" s="2" t="s">
        <v>281</v>
      </c>
      <c r="F2211" s="15">
        <v>2814.4</v>
      </c>
      <c r="G2211" s="41">
        <v>42784</v>
      </c>
      <c r="H2211" s="15">
        <f t="shared" si="63"/>
        <v>2814.4</v>
      </c>
      <c r="I2211" s="15">
        <f t="shared" si="62"/>
        <v>0</v>
      </c>
      <c r="J2211" s="19"/>
    </row>
    <row r="2212" spans="1:10" x14ac:dyDescent="0.25">
      <c r="A2212" s="82">
        <v>42784</v>
      </c>
      <c r="B2212" s="39" t="s">
        <v>6494</v>
      </c>
      <c r="C2212" s="89"/>
      <c r="D2212" s="18">
        <v>101547</v>
      </c>
      <c r="E2212" s="2" t="s">
        <v>99</v>
      </c>
      <c r="F2212" s="15">
        <v>4900</v>
      </c>
      <c r="G2212" s="41">
        <v>42784</v>
      </c>
      <c r="H2212" s="15">
        <f t="shared" si="63"/>
        <v>4900</v>
      </c>
      <c r="I2212" s="15">
        <f t="shared" si="62"/>
        <v>0</v>
      </c>
      <c r="J2212" s="19"/>
    </row>
    <row r="2213" spans="1:10" x14ac:dyDescent="0.25">
      <c r="A2213" s="82">
        <v>42784</v>
      </c>
      <c r="B2213" s="39" t="s">
        <v>6495</v>
      </c>
      <c r="C2213" s="89"/>
      <c r="D2213" s="18">
        <v>101548</v>
      </c>
      <c r="E2213" s="2" t="s">
        <v>442</v>
      </c>
      <c r="F2213" s="15">
        <v>447.2</v>
      </c>
      <c r="G2213" s="41">
        <v>42788</v>
      </c>
      <c r="H2213" s="15">
        <f t="shared" si="63"/>
        <v>447.2</v>
      </c>
      <c r="I2213" s="15">
        <f t="shared" si="62"/>
        <v>0</v>
      </c>
      <c r="J2213" s="19"/>
    </row>
    <row r="2214" spans="1:10" x14ac:dyDescent="0.25">
      <c r="A2214" s="82">
        <v>42784</v>
      </c>
      <c r="B2214" s="39" t="s">
        <v>6496</v>
      </c>
      <c r="C2214" s="89"/>
      <c r="D2214" s="18">
        <v>101549</v>
      </c>
      <c r="E2214" s="2" t="s">
        <v>590</v>
      </c>
      <c r="F2214" s="15">
        <v>5261.4</v>
      </c>
      <c r="G2214" s="41">
        <v>42788</v>
      </c>
      <c r="H2214" s="15">
        <f t="shared" si="63"/>
        <v>5261.4</v>
      </c>
      <c r="I2214" s="15">
        <f t="shared" si="62"/>
        <v>0</v>
      </c>
      <c r="J2214" s="19"/>
    </row>
    <row r="2215" spans="1:10" x14ac:dyDescent="0.25">
      <c r="A2215" s="82">
        <v>42784</v>
      </c>
      <c r="B2215" s="39" t="s">
        <v>6497</v>
      </c>
      <c r="C2215" s="89"/>
      <c r="D2215" s="18">
        <v>101550</v>
      </c>
      <c r="E2215" s="2" t="s">
        <v>30</v>
      </c>
      <c r="F2215" s="15">
        <v>2710</v>
      </c>
      <c r="G2215" s="41">
        <v>42784</v>
      </c>
      <c r="H2215" s="15">
        <f t="shared" si="63"/>
        <v>2710</v>
      </c>
      <c r="I2215" s="15">
        <f t="shared" si="62"/>
        <v>0</v>
      </c>
      <c r="J2215" s="19"/>
    </row>
    <row r="2216" spans="1:10" x14ac:dyDescent="0.25">
      <c r="A2216" s="82">
        <v>42784</v>
      </c>
      <c r="B2216" s="39" t="s">
        <v>6498</v>
      </c>
      <c r="C2216" s="89"/>
      <c r="D2216" s="18">
        <v>101551</v>
      </c>
      <c r="E2216" s="2" t="s">
        <v>270</v>
      </c>
      <c r="F2216" s="15">
        <v>1955.6</v>
      </c>
      <c r="G2216" s="41">
        <v>42788</v>
      </c>
      <c r="H2216" s="15">
        <f t="shared" si="63"/>
        <v>1955.6</v>
      </c>
      <c r="I2216" s="15">
        <f t="shared" si="62"/>
        <v>0</v>
      </c>
      <c r="J2216" s="19"/>
    </row>
    <row r="2217" spans="1:10" x14ac:dyDescent="0.25">
      <c r="A2217" s="82">
        <v>42784</v>
      </c>
      <c r="B2217" s="39" t="s">
        <v>6499</v>
      </c>
      <c r="C2217" s="89"/>
      <c r="D2217" s="18">
        <v>101552</v>
      </c>
      <c r="E2217" s="2" t="s">
        <v>83</v>
      </c>
      <c r="F2217" s="15">
        <v>7524.6</v>
      </c>
      <c r="G2217" s="41">
        <v>42784</v>
      </c>
      <c r="H2217" s="15">
        <f t="shared" si="63"/>
        <v>7524.6</v>
      </c>
      <c r="I2217" s="15">
        <f t="shared" si="62"/>
        <v>0</v>
      </c>
      <c r="J2217" s="19"/>
    </row>
    <row r="2218" spans="1:10" x14ac:dyDescent="0.25">
      <c r="A2218" s="82">
        <v>42784</v>
      </c>
      <c r="B2218" s="39" t="s">
        <v>6500</v>
      </c>
      <c r="C2218" s="89"/>
      <c r="D2218" s="18">
        <v>101553</v>
      </c>
      <c r="E2218" s="2" t="s">
        <v>613</v>
      </c>
      <c r="F2218" s="15">
        <v>3508.8</v>
      </c>
      <c r="G2218" s="41">
        <v>42784</v>
      </c>
      <c r="H2218" s="15">
        <f t="shared" si="63"/>
        <v>3508.8</v>
      </c>
      <c r="I2218" s="15">
        <f t="shared" si="62"/>
        <v>0</v>
      </c>
      <c r="J2218" s="19"/>
    </row>
    <row r="2219" spans="1:10" x14ac:dyDescent="0.25">
      <c r="A2219" s="82">
        <v>42784</v>
      </c>
      <c r="B2219" s="39" t="s">
        <v>6501</v>
      </c>
      <c r="C2219" s="89"/>
      <c r="D2219" s="18">
        <v>101554</v>
      </c>
      <c r="E2219" s="2" t="s">
        <v>1870</v>
      </c>
      <c r="F2219" s="15">
        <v>1895.6</v>
      </c>
      <c r="G2219" s="41">
        <v>42784</v>
      </c>
      <c r="H2219" s="15">
        <f t="shared" si="63"/>
        <v>1895.6</v>
      </c>
      <c r="I2219" s="15">
        <f t="shared" si="62"/>
        <v>0</v>
      </c>
      <c r="J2219" s="19"/>
    </row>
    <row r="2220" spans="1:10" x14ac:dyDescent="0.25">
      <c r="A2220" s="82">
        <v>42784</v>
      </c>
      <c r="B2220" s="39" t="s">
        <v>6502</v>
      </c>
      <c r="C2220" s="89"/>
      <c r="D2220" s="18">
        <v>101555</v>
      </c>
      <c r="E2220" s="2" t="s">
        <v>435</v>
      </c>
      <c r="F2220" s="15">
        <v>10215.1</v>
      </c>
      <c r="H2220" s="15">
        <f t="shared" si="63"/>
        <v>10215.1</v>
      </c>
      <c r="I2220" s="15">
        <f t="shared" si="62"/>
        <v>0</v>
      </c>
      <c r="J2220" s="19"/>
    </row>
    <row r="2221" spans="1:10" x14ac:dyDescent="0.25">
      <c r="A2221" s="82">
        <v>42784</v>
      </c>
      <c r="B2221" s="39" t="s">
        <v>6503</v>
      </c>
      <c r="C2221" s="89"/>
      <c r="D2221" s="18">
        <v>101556</v>
      </c>
      <c r="E2221" s="2" t="s">
        <v>445</v>
      </c>
      <c r="F2221" s="15">
        <v>3273</v>
      </c>
      <c r="G2221" s="41">
        <v>42784</v>
      </c>
      <c r="H2221" s="15">
        <f t="shared" si="63"/>
        <v>3273</v>
      </c>
      <c r="I2221" s="15">
        <f t="shared" si="62"/>
        <v>0</v>
      </c>
      <c r="J2221" s="19"/>
    </row>
    <row r="2222" spans="1:10" x14ac:dyDescent="0.25">
      <c r="A2222" s="82">
        <v>42784</v>
      </c>
      <c r="B2222" s="39" t="s">
        <v>6504</v>
      </c>
      <c r="C2222" s="89"/>
      <c r="D2222" s="18">
        <v>101557</v>
      </c>
      <c r="E2222" s="2" t="s">
        <v>448</v>
      </c>
      <c r="F2222" s="15">
        <v>286</v>
      </c>
      <c r="G2222" s="41">
        <v>42784</v>
      </c>
      <c r="H2222" s="15">
        <f t="shared" si="63"/>
        <v>286</v>
      </c>
      <c r="I2222" s="15">
        <f t="shared" si="62"/>
        <v>0</v>
      </c>
      <c r="J2222" s="19"/>
    </row>
    <row r="2223" spans="1:10" x14ac:dyDescent="0.25">
      <c r="A2223" s="82">
        <v>42784</v>
      </c>
      <c r="B2223" s="39" t="s">
        <v>6505</v>
      </c>
      <c r="C2223" s="89"/>
      <c r="D2223" s="18">
        <v>101558</v>
      </c>
      <c r="E2223" s="2" t="s">
        <v>201</v>
      </c>
      <c r="F2223" s="15">
        <v>30506.6</v>
      </c>
      <c r="G2223" s="41">
        <v>42788</v>
      </c>
      <c r="H2223" s="15">
        <f t="shared" si="63"/>
        <v>30506.6</v>
      </c>
      <c r="I2223" s="15">
        <f t="shared" si="62"/>
        <v>0</v>
      </c>
      <c r="J2223" s="19"/>
    </row>
    <row r="2224" spans="1:10" x14ac:dyDescent="0.25">
      <c r="A2224" s="82">
        <v>42784</v>
      </c>
      <c r="B2224" s="39" t="s">
        <v>6506</v>
      </c>
      <c r="C2224" s="89"/>
      <c r="D2224" s="18">
        <v>101559</v>
      </c>
      <c r="E2224" s="2" t="s">
        <v>1259</v>
      </c>
      <c r="F2224" s="15">
        <v>1660.8</v>
      </c>
      <c r="G2224" s="41">
        <v>42784</v>
      </c>
      <c r="H2224" s="15">
        <f t="shared" si="63"/>
        <v>1660.8</v>
      </c>
      <c r="I2224" s="15">
        <f t="shared" si="62"/>
        <v>0</v>
      </c>
      <c r="J2224" s="19"/>
    </row>
    <row r="2225" spans="1:10" x14ac:dyDescent="0.25">
      <c r="A2225" s="82">
        <v>42784</v>
      </c>
      <c r="B2225" s="39" t="s">
        <v>6507</v>
      </c>
      <c r="C2225" s="89"/>
      <c r="D2225" s="18">
        <v>101560</v>
      </c>
      <c r="E2225" s="2" t="s">
        <v>92</v>
      </c>
      <c r="F2225" s="15">
        <v>2435</v>
      </c>
      <c r="G2225" s="41">
        <v>42784</v>
      </c>
      <c r="H2225" s="15">
        <f t="shared" si="63"/>
        <v>2435</v>
      </c>
      <c r="I2225" s="15">
        <f t="shared" si="62"/>
        <v>0</v>
      </c>
      <c r="J2225" s="19"/>
    </row>
    <row r="2226" spans="1:10" x14ac:dyDescent="0.25">
      <c r="A2226" s="82">
        <v>42784</v>
      </c>
      <c r="B2226" s="39" t="s">
        <v>6508</v>
      </c>
      <c r="C2226" s="89"/>
      <c r="D2226" s="18">
        <v>101561</v>
      </c>
      <c r="E2226" s="2" t="s">
        <v>30</v>
      </c>
      <c r="F2226" s="15">
        <v>14823.8</v>
      </c>
      <c r="G2226" s="41">
        <v>42784</v>
      </c>
      <c r="H2226" s="15">
        <f t="shared" si="63"/>
        <v>14823.8</v>
      </c>
      <c r="I2226" s="15">
        <f t="shared" si="62"/>
        <v>0</v>
      </c>
      <c r="J2226" s="19"/>
    </row>
    <row r="2227" spans="1:10" x14ac:dyDescent="0.25">
      <c r="A2227" s="82">
        <v>42784</v>
      </c>
      <c r="B2227" s="39" t="s">
        <v>6509</v>
      </c>
      <c r="C2227" s="89"/>
      <c r="D2227" s="18">
        <v>101562</v>
      </c>
      <c r="E2227" s="2" t="s">
        <v>457</v>
      </c>
      <c r="F2227" s="15">
        <v>1616.7</v>
      </c>
      <c r="G2227" s="41">
        <v>42784</v>
      </c>
      <c r="H2227" s="15">
        <f t="shared" si="63"/>
        <v>1616.7</v>
      </c>
      <c r="I2227" s="15">
        <f t="shared" si="62"/>
        <v>0</v>
      </c>
      <c r="J2227" s="19"/>
    </row>
    <row r="2228" spans="1:10" x14ac:dyDescent="0.25">
      <c r="A2228" s="82">
        <v>42784</v>
      </c>
      <c r="B2228" s="39" t="s">
        <v>6510</v>
      </c>
      <c r="C2228" s="89"/>
      <c r="D2228" s="18">
        <v>101563</v>
      </c>
      <c r="E2228" s="2" t="s">
        <v>105</v>
      </c>
      <c r="F2228" s="15">
        <v>3191.3</v>
      </c>
      <c r="G2228" s="41">
        <v>42789</v>
      </c>
      <c r="H2228" s="15">
        <f t="shared" si="63"/>
        <v>3191.3</v>
      </c>
      <c r="I2228" s="15">
        <f t="shared" si="62"/>
        <v>0</v>
      </c>
      <c r="J2228" s="19"/>
    </row>
    <row r="2229" spans="1:10" x14ac:dyDescent="0.25">
      <c r="A2229" s="82">
        <v>42784</v>
      </c>
      <c r="B2229" s="39" t="s">
        <v>6511</v>
      </c>
      <c r="C2229" s="89"/>
      <c r="D2229" s="18">
        <v>101564</v>
      </c>
      <c r="E2229" s="2" t="s">
        <v>305</v>
      </c>
      <c r="F2229" s="15">
        <v>6041.94</v>
      </c>
      <c r="G2229" s="41">
        <v>42787</v>
      </c>
      <c r="H2229" s="15">
        <f t="shared" si="63"/>
        <v>6041.94</v>
      </c>
      <c r="I2229" s="15">
        <f t="shared" si="62"/>
        <v>0</v>
      </c>
      <c r="J2229" s="19"/>
    </row>
    <row r="2230" spans="1:10" x14ac:dyDescent="0.25">
      <c r="A2230" s="82">
        <v>42784</v>
      </c>
      <c r="B2230" s="39" t="s">
        <v>6512</v>
      </c>
      <c r="C2230" s="89"/>
      <c r="D2230" s="18">
        <v>101565</v>
      </c>
      <c r="E2230" s="2" t="s">
        <v>103</v>
      </c>
      <c r="F2230" s="15">
        <v>405</v>
      </c>
      <c r="G2230" s="41">
        <v>42784</v>
      </c>
      <c r="H2230" s="15">
        <f t="shared" si="63"/>
        <v>405</v>
      </c>
      <c r="I2230" s="15">
        <f t="shared" si="62"/>
        <v>0</v>
      </c>
      <c r="J2230" s="19"/>
    </row>
    <row r="2231" spans="1:10" x14ac:dyDescent="0.25">
      <c r="A2231" s="82">
        <v>42784</v>
      </c>
      <c r="B2231" s="39" t="s">
        <v>6513</v>
      </c>
      <c r="C2231" s="89"/>
      <c r="D2231" s="18">
        <v>101566</v>
      </c>
      <c r="E2231" s="2" t="s">
        <v>476</v>
      </c>
      <c r="F2231" s="15">
        <v>37609.599999999999</v>
      </c>
      <c r="G2231" s="41">
        <v>42793</v>
      </c>
      <c r="H2231" s="15">
        <f t="shared" si="63"/>
        <v>37609.599999999999</v>
      </c>
      <c r="I2231" s="15">
        <f t="shared" si="62"/>
        <v>0</v>
      </c>
      <c r="J2231" s="19"/>
    </row>
    <row r="2232" spans="1:10" x14ac:dyDescent="0.25">
      <c r="A2232" s="82">
        <v>42784</v>
      </c>
      <c r="B2232" s="39" t="s">
        <v>6514</v>
      </c>
      <c r="C2232" s="89"/>
      <c r="D2232" s="18">
        <v>101567</v>
      </c>
      <c r="E2232" s="2" t="s">
        <v>159</v>
      </c>
      <c r="F2232" s="15">
        <v>8616</v>
      </c>
      <c r="G2232" s="41">
        <v>42784</v>
      </c>
      <c r="H2232" s="15">
        <f t="shared" si="63"/>
        <v>8616</v>
      </c>
      <c r="I2232" s="15">
        <f t="shared" ref="I2232:I2295" si="64">F2232-H2232</f>
        <v>0</v>
      </c>
      <c r="J2232" s="19"/>
    </row>
    <row r="2233" spans="1:10" x14ac:dyDescent="0.25">
      <c r="A2233" s="82">
        <v>42784</v>
      </c>
      <c r="B2233" s="39" t="s">
        <v>6515</v>
      </c>
      <c r="C2233" s="89"/>
      <c r="D2233" s="18">
        <v>101568</v>
      </c>
      <c r="E2233" s="2" t="s">
        <v>492</v>
      </c>
      <c r="F2233" s="15">
        <v>33422.9</v>
      </c>
      <c r="G2233" s="41">
        <v>42788</v>
      </c>
      <c r="H2233" s="15">
        <f t="shared" si="63"/>
        <v>33422.9</v>
      </c>
      <c r="I2233" s="15">
        <f t="shared" si="64"/>
        <v>0</v>
      </c>
      <c r="J2233" s="19"/>
    </row>
    <row r="2234" spans="1:10" x14ac:dyDescent="0.25">
      <c r="A2234" s="82">
        <v>42784</v>
      </c>
      <c r="B2234" s="39" t="s">
        <v>6516</v>
      </c>
      <c r="C2234" s="89"/>
      <c r="D2234" s="18">
        <v>101569</v>
      </c>
      <c r="E2234" s="2" t="s">
        <v>168</v>
      </c>
      <c r="F2234" s="15">
        <v>921.4</v>
      </c>
      <c r="G2234" s="41">
        <v>42784</v>
      </c>
      <c r="H2234" s="15">
        <f t="shared" si="63"/>
        <v>921.4</v>
      </c>
      <c r="I2234" s="15">
        <f t="shared" si="64"/>
        <v>0</v>
      </c>
      <c r="J2234" s="19"/>
    </row>
    <row r="2235" spans="1:10" x14ac:dyDescent="0.25">
      <c r="A2235" s="82">
        <v>42784</v>
      </c>
      <c r="B2235" s="39" t="s">
        <v>6517</v>
      </c>
      <c r="C2235" s="89"/>
      <c r="D2235" s="18">
        <v>101570</v>
      </c>
      <c r="E2235" s="13" t="s">
        <v>6261</v>
      </c>
      <c r="F2235" s="14">
        <v>0</v>
      </c>
      <c r="G2235" s="88" t="s">
        <v>95</v>
      </c>
      <c r="H2235" s="14">
        <f t="shared" si="63"/>
        <v>0</v>
      </c>
      <c r="I2235" s="14">
        <f t="shared" si="64"/>
        <v>0</v>
      </c>
      <c r="J2235" s="19"/>
    </row>
    <row r="2236" spans="1:10" x14ac:dyDescent="0.25">
      <c r="A2236" s="82">
        <v>42784</v>
      </c>
      <c r="B2236" s="39" t="s">
        <v>6518</v>
      </c>
      <c r="C2236" s="89"/>
      <c r="D2236" s="18">
        <v>101571</v>
      </c>
      <c r="E2236" s="2" t="s">
        <v>168</v>
      </c>
      <c r="F2236" s="15">
        <v>845</v>
      </c>
      <c r="G2236" s="41">
        <v>42784</v>
      </c>
      <c r="H2236" s="15">
        <f t="shared" si="63"/>
        <v>845</v>
      </c>
      <c r="I2236" s="15">
        <f t="shared" si="64"/>
        <v>0</v>
      </c>
      <c r="J2236" s="19"/>
    </row>
    <row r="2237" spans="1:10" x14ac:dyDescent="0.25">
      <c r="A2237" s="82">
        <v>42784</v>
      </c>
      <c r="B2237" s="39" t="s">
        <v>6519</v>
      </c>
      <c r="C2237" s="89"/>
      <c r="D2237" s="18">
        <v>101572</v>
      </c>
      <c r="E2237" s="2" t="s">
        <v>103</v>
      </c>
      <c r="F2237" s="15">
        <v>133.19999999999999</v>
      </c>
      <c r="G2237" s="41">
        <v>42784</v>
      </c>
      <c r="H2237" s="15">
        <f t="shared" si="63"/>
        <v>133.19999999999999</v>
      </c>
      <c r="I2237" s="15">
        <f t="shared" si="64"/>
        <v>0</v>
      </c>
      <c r="J2237" s="19"/>
    </row>
    <row r="2238" spans="1:10" x14ac:dyDescent="0.25">
      <c r="A2238" s="82">
        <v>42784</v>
      </c>
      <c r="B2238" s="39" t="s">
        <v>6520</v>
      </c>
      <c r="C2238" s="89"/>
      <c r="D2238" s="18">
        <v>101573</v>
      </c>
      <c r="E2238" s="2" t="s">
        <v>125</v>
      </c>
      <c r="F2238" s="15">
        <v>11151.8</v>
      </c>
      <c r="G2238" s="41">
        <v>42784</v>
      </c>
      <c r="H2238" s="15">
        <f t="shared" si="63"/>
        <v>11151.8</v>
      </c>
      <c r="I2238" s="15">
        <f t="shared" si="64"/>
        <v>0</v>
      </c>
      <c r="J2238" s="19"/>
    </row>
    <row r="2239" spans="1:10" ht="30" x14ac:dyDescent="0.25">
      <c r="A2239" s="82">
        <v>42784</v>
      </c>
      <c r="B2239" s="39" t="s">
        <v>6521</v>
      </c>
      <c r="C2239" s="89"/>
      <c r="D2239" s="18">
        <v>101574</v>
      </c>
      <c r="E2239" s="2" t="s">
        <v>2986</v>
      </c>
      <c r="F2239" s="15">
        <v>3240.9</v>
      </c>
      <c r="G2239" s="87" t="s">
        <v>4457</v>
      </c>
      <c r="H2239" s="20">
        <f>2500+740.9</f>
        <v>3240.9</v>
      </c>
      <c r="I2239" s="20">
        <f t="shared" si="64"/>
        <v>0</v>
      </c>
      <c r="J2239" s="19"/>
    </row>
    <row r="2240" spans="1:10" x14ac:dyDescent="0.25">
      <c r="A2240" s="82">
        <v>42784</v>
      </c>
      <c r="B2240" s="39" t="s">
        <v>6522</v>
      </c>
      <c r="C2240" s="89"/>
      <c r="D2240" s="18">
        <v>101575</v>
      </c>
      <c r="E2240" s="2" t="s">
        <v>470</v>
      </c>
      <c r="F2240" s="15">
        <v>13585.2</v>
      </c>
      <c r="G2240" s="41">
        <v>42784</v>
      </c>
      <c r="H2240" s="15">
        <f t="shared" si="63"/>
        <v>13585.2</v>
      </c>
      <c r="I2240" s="15">
        <f t="shared" si="64"/>
        <v>0</v>
      </c>
      <c r="J2240" s="19"/>
    </row>
    <row r="2241" spans="1:10" x14ac:dyDescent="0.25">
      <c r="A2241" s="82">
        <v>42784</v>
      </c>
      <c r="B2241" s="39" t="s">
        <v>6523</v>
      </c>
      <c r="C2241" s="89"/>
      <c r="D2241" s="18">
        <v>101576</v>
      </c>
      <c r="E2241" s="2" t="s">
        <v>109</v>
      </c>
      <c r="F2241" s="15">
        <v>4460.3999999999996</v>
      </c>
      <c r="G2241" s="41">
        <v>42784</v>
      </c>
      <c r="H2241" s="15">
        <f t="shared" si="63"/>
        <v>4460.3999999999996</v>
      </c>
      <c r="I2241" s="15">
        <f t="shared" si="64"/>
        <v>0</v>
      </c>
      <c r="J2241" s="19"/>
    </row>
    <row r="2242" spans="1:10" x14ac:dyDescent="0.25">
      <c r="A2242" s="82">
        <v>42784</v>
      </c>
      <c r="B2242" s="39" t="s">
        <v>6524</v>
      </c>
      <c r="C2242" s="89"/>
      <c r="D2242" s="18">
        <v>101577</v>
      </c>
      <c r="E2242" s="2" t="s">
        <v>71</v>
      </c>
      <c r="F2242" s="15">
        <v>3132.5</v>
      </c>
      <c r="G2242" s="41">
        <v>42784</v>
      </c>
      <c r="H2242" s="15">
        <f t="shared" si="63"/>
        <v>3132.5</v>
      </c>
      <c r="I2242" s="15">
        <f t="shared" si="64"/>
        <v>0</v>
      </c>
      <c r="J2242" s="19"/>
    </row>
    <row r="2243" spans="1:10" x14ac:dyDescent="0.25">
      <c r="A2243" s="82">
        <v>42784</v>
      </c>
      <c r="B2243" s="39" t="s">
        <v>6525</v>
      </c>
      <c r="C2243" s="89"/>
      <c r="D2243" s="18">
        <v>101578</v>
      </c>
      <c r="E2243" s="2" t="s">
        <v>122</v>
      </c>
      <c r="F2243" s="15">
        <v>8721.6</v>
      </c>
      <c r="H2243" s="15">
        <f t="shared" si="63"/>
        <v>8721.6</v>
      </c>
      <c r="I2243" s="15">
        <f t="shared" si="64"/>
        <v>0</v>
      </c>
      <c r="J2243" s="19"/>
    </row>
    <row r="2244" spans="1:10" x14ac:dyDescent="0.25">
      <c r="A2244" s="82">
        <v>42784</v>
      </c>
      <c r="B2244" s="39" t="s">
        <v>6526</v>
      </c>
      <c r="C2244" s="89"/>
      <c r="D2244" s="18">
        <v>101579</v>
      </c>
      <c r="E2244" s="2" t="s">
        <v>131</v>
      </c>
      <c r="F2244" s="15">
        <v>31024.799999999999</v>
      </c>
      <c r="G2244" s="41">
        <v>42784</v>
      </c>
      <c r="H2244" s="15">
        <f t="shared" ref="H2244:H2307" si="65">F2244</f>
        <v>31024.799999999999</v>
      </c>
      <c r="I2244" s="15">
        <f t="shared" si="64"/>
        <v>0</v>
      </c>
      <c r="J2244" s="19"/>
    </row>
    <row r="2245" spans="1:10" x14ac:dyDescent="0.25">
      <c r="A2245" s="82">
        <v>42784</v>
      </c>
      <c r="B2245" s="39" t="s">
        <v>6527</v>
      </c>
      <c r="C2245" s="89"/>
      <c r="D2245" s="18">
        <v>101580</v>
      </c>
      <c r="E2245" s="2" t="s">
        <v>45</v>
      </c>
      <c r="F2245" s="15">
        <v>2379</v>
      </c>
      <c r="G2245" s="41">
        <v>42786</v>
      </c>
      <c r="H2245" s="15">
        <f t="shared" si="65"/>
        <v>2379</v>
      </c>
      <c r="I2245" s="15">
        <f t="shared" si="64"/>
        <v>0</v>
      </c>
      <c r="J2245" s="19"/>
    </row>
    <row r="2246" spans="1:10" x14ac:dyDescent="0.25">
      <c r="A2246" s="82">
        <v>42784</v>
      </c>
      <c r="B2246" s="39" t="s">
        <v>6528</v>
      </c>
      <c r="C2246" s="89"/>
      <c r="D2246" s="18">
        <v>101581</v>
      </c>
      <c r="E2246" s="2" t="s">
        <v>335</v>
      </c>
      <c r="F2246" s="15">
        <v>1569.8</v>
      </c>
      <c r="G2246" s="41">
        <v>42794</v>
      </c>
      <c r="H2246" s="15">
        <f t="shared" si="65"/>
        <v>1569.8</v>
      </c>
      <c r="I2246" s="15">
        <f t="shared" si="64"/>
        <v>0</v>
      </c>
      <c r="J2246" s="19"/>
    </row>
    <row r="2247" spans="1:10" x14ac:dyDescent="0.25">
      <c r="A2247" s="82">
        <v>42784</v>
      </c>
      <c r="B2247" s="39" t="s">
        <v>6529</v>
      </c>
      <c r="C2247" s="89"/>
      <c r="D2247" s="18">
        <v>101582</v>
      </c>
      <c r="E2247" s="2" t="s">
        <v>53</v>
      </c>
      <c r="F2247" s="15">
        <v>2063.3000000000002</v>
      </c>
      <c r="G2247" s="41">
        <v>42786</v>
      </c>
      <c r="H2247" s="15">
        <f t="shared" si="65"/>
        <v>2063.3000000000002</v>
      </c>
      <c r="I2247" s="15">
        <f t="shared" si="64"/>
        <v>0</v>
      </c>
      <c r="J2247" s="19"/>
    </row>
    <row r="2248" spans="1:10" x14ac:dyDescent="0.25">
      <c r="A2248" s="82">
        <v>42784</v>
      </c>
      <c r="B2248" s="39" t="s">
        <v>6530</v>
      </c>
      <c r="C2248" s="89"/>
      <c r="D2248" s="18">
        <v>101583</v>
      </c>
      <c r="E2248" s="2" t="s">
        <v>1830</v>
      </c>
      <c r="F2248" s="15">
        <v>20688.8</v>
      </c>
      <c r="G2248" s="41">
        <v>42784</v>
      </c>
      <c r="H2248" s="15">
        <f t="shared" si="65"/>
        <v>20688.8</v>
      </c>
      <c r="I2248" s="15">
        <f t="shared" si="64"/>
        <v>0</v>
      </c>
      <c r="J2248" s="19"/>
    </row>
    <row r="2249" spans="1:10" x14ac:dyDescent="0.25">
      <c r="A2249" s="82">
        <v>42784</v>
      </c>
      <c r="B2249" s="39" t="s">
        <v>6531</v>
      </c>
      <c r="C2249" s="89"/>
      <c r="D2249" s="18">
        <v>101584</v>
      </c>
      <c r="E2249" s="2" t="s">
        <v>879</v>
      </c>
      <c r="F2249" s="15">
        <v>3170.7</v>
      </c>
      <c r="H2249" s="15">
        <f t="shared" si="65"/>
        <v>3170.7</v>
      </c>
      <c r="I2249" s="15">
        <f t="shared" si="64"/>
        <v>0</v>
      </c>
      <c r="J2249" s="19"/>
    </row>
    <row r="2250" spans="1:10" x14ac:dyDescent="0.25">
      <c r="A2250" s="82">
        <v>42784</v>
      </c>
      <c r="B2250" s="39" t="s">
        <v>6532</v>
      </c>
      <c r="C2250" s="89"/>
      <c r="D2250" s="18">
        <v>101585</v>
      </c>
      <c r="E2250" s="2" t="s">
        <v>186</v>
      </c>
      <c r="F2250" s="15">
        <v>2725.8</v>
      </c>
      <c r="G2250" s="41">
        <v>42791</v>
      </c>
      <c r="H2250" s="15">
        <f t="shared" si="65"/>
        <v>2725.8</v>
      </c>
      <c r="I2250" s="15">
        <f t="shared" si="64"/>
        <v>0</v>
      </c>
      <c r="J2250" s="19"/>
    </row>
    <row r="2251" spans="1:10" x14ac:dyDescent="0.25">
      <c r="A2251" s="82">
        <v>42784</v>
      </c>
      <c r="B2251" s="39" t="s">
        <v>6533</v>
      </c>
      <c r="C2251" s="89"/>
      <c r="D2251" s="18">
        <v>101586</v>
      </c>
      <c r="E2251" s="2" t="s">
        <v>184</v>
      </c>
      <c r="F2251" s="15">
        <v>1584</v>
      </c>
      <c r="G2251" s="41">
        <v>42786</v>
      </c>
      <c r="H2251" s="15">
        <f t="shared" si="65"/>
        <v>1584</v>
      </c>
      <c r="I2251" s="15">
        <f t="shared" si="64"/>
        <v>0</v>
      </c>
      <c r="J2251" s="19"/>
    </row>
    <row r="2252" spans="1:10" x14ac:dyDescent="0.25">
      <c r="A2252" s="82">
        <v>42784</v>
      </c>
      <c r="B2252" s="39" t="s">
        <v>6534</v>
      </c>
      <c r="C2252" s="89"/>
      <c r="D2252" s="18">
        <v>101587</v>
      </c>
      <c r="E2252" s="2" t="s">
        <v>909</v>
      </c>
      <c r="F2252" s="15">
        <v>2624.7</v>
      </c>
      <c r="G2252" s="41">
        <v>42786</v>
      </c>
      <c r="H2252" s="15">
        <f t="shared" si="65"/>
        <v>2624.7</v>
      </c>
      <c r="I2252" s="15">
        <f t="shared" si="64"/>
        <v>0</v>
      </c>
      <c r="J2252" s="19"/>
    </row>
    <row r="2253" spans="1:10" x14ac:dyDescent="0.25">
      <c r="A2253" s="82">
        <v>42784</v>
      </c>
      <c r="B2253" s="39" t="s">
        <v>6535</v>
      </c>
      <c r="C2253" s="89"/>
      <c r="D2253" s="18">
        <v>101588</v>
      </c>
      <c r="E2253" s="2" t="s">
        <v>188</v>
      </c>
      <c r="F2253" s="15">
        <v>3072</v>
      </c>
      <c r="G2253" s="41">
        <v>42786</v>
      </c>
      <c r="H2253" s="15">
        <f t="shared" si="65"/>
        <v>3072</v>
      </c>
      <c r="I2253" s="15">
        <f t="shared" si="64"/>
        <v>0</v>
      </c>
      <c r="J2253" s="19"/>
    </row>
    <row r="2254" spans="1:10" x14ac:dyDescent="0.25">
      <c r="A2254" s="82">
        <v>42784</v>
      </c>
      <c r="B2254" s="39" t="s">
        <v>6536</v>
      </c>
      <c r="C2254" s="89"/>
      <c r="D2254" s="18">
        <v>101589</v>
      </c>
      <c r="E2254" s="2" t="s">
        <v>85</v>
      </c>
      <c r="F2254" s="15">
        <v>7472.4</v>
      </c>
      <c r="G2254" s="41">
        <v>42784</v>
      </c>
      <c r="H2254" s="15">
        <f t="shared" si="65"/>
        <v>7472.4</v>
      </c>
      <c r="I2254" s="15">
        <f t="shared" si="64"/>
        <v>0</v>
      </c>
      <c r="J2254" s="19"/>
    </row>
    <row r="2255" spans="1:10" x14ac:dyDescent="0.25">
      <c r="A2255" s="82">
        <v>42784</v>
      </c>
      <c r="B2255" s="39" t="s">
        <v>6537</v>
      </c>
      <c r="C2255" s="89"/>
      <c r="D2255" s="18">
        <v>101590</v>
      </c>
      <c r="E2255" s="2" t="s">
        <v>30</v>
      </c>
      <c r="F2255" s="15">
        <v>2803.2</v>
      </c>
      <c r="G2255" s="41">
        <v>42784</v>
      </c>
      <c r="H2255" s="15">
        <f t="shared" si="65"/>
        <v>2803.2</v>
      </c>
      <c r="I2255" s="15">
        <f t="shared" si="64"/>
        <v>0</v>
      </c>
      <c r="J2255" s="19"/>
    </row>
    <row r="2256" spans="1:10" x14ac:dyDescent="0.25">
      <c r="A2256" s="82">
        <v>42784</v>
      </c>
      <c r="B2256" s="39" t="s">
        <v>6538</v>
      </c>
      <c r="C2256" s="89"/>
      <c r="D2256" s="18">
        <v>101591</v>
      </c>
      <c r="E2256" s="2" t="s">
        <v>1293</v>
      </c>
      <c r="F2256" s="15">
        <v>5394</v>
      </c>
      <c r="G2256" s="41">
        <v>42786</v>
      </c>
      <c r="H2256" s="15">
        <f t="shared" si="65"/>
        <v>5394</v>
      </c>
      <c r="I2256" s="15">
        <f t="shared" si="64"/>
        <v>0</v>
      </c>
      <c r="J2256" s="19"/>
    </row>
    <row r="2257" spans="1:10" x14ac:dyDescent="0.25">
      <c r="A2257" s="82">
        <v>42784</v>
      </c>
      <c r="B2257" s="39" t="s">
        <v>6539</v>
      </c>
      <c r="C2257" s="89"/>
      <c r="D2257" s="18">
        <v>101592</v>
      </c>
      <c r="E2257" s="2" t="s">
        <v>312</v>
      </c>
      <c r="F2257" s="15">
        <v>9108</v>
      </c>
      <c r="G2257" s="41">
        <v>42794</v>
      </c>
      <c r="H2257" s="15">
        <f t="shared" si="65"/>
        <v>9108</v>
      </c>
      <c r="I2257" s="15">
        <f t="shared" si="64"/>
        <v>0</v>
      </c>
      <c r="J2257" s="19"/>
    </row>
    <row r="2258" spans="1:10" x14ac:dyDescent="0.25">
      <c r="A2258" s="82">
        <v>42784</v>
      </c>
      <c r="B2258" s="39" t="s">
        <v>6540</v>
      </c>
      <c r="C2258" s="89"/>
      <c r="D2258" s="18">
        <v>101593</v>
      </c>
      <c r="E2258" s="2" t="s">
        <v>115</v>
      </c>
      <c r="F2258" s="15">
        <v>7309.4</v>
      </c>
      <c r="H2258" s="15">
        <f t="shared" si="65"/>
        <v>7309.4</v>
      </c>
      <c r="I2258" s="15">
        <f t="shared" si="64"/>
        <v>0</v>
      </c>
      <c r="J2258" s="19"/>
    </row>
    <row r="2259" spans="1:10" ht="30" x14ac:dyDescent="0.25">
      <c r="A2259" s="82">
        <v>42784</v>
      </c>
      <c r="B2259" s="39" t="s">
        <v>6541</v>
      </c>
      <c r="C2259" s="89"/>
      <c r="D2259" s="18">
        <v>101594</v>
      </c>
      <c r="E2259" s="2" t="s">
        <v>422</v>
      </c>
      <c r="F2259" s="15">
        <v>3977.6</v>
      </c>
      <c r="G2259" s="87" t="s">
        <v>6542</v>
      </c>
      <c r="H2259" s="20">
        <f>3800+177.6</f>
        <v>3977.6</v>
      </c>
      <c r="I2259" s="20">
        <f t="shared" si="64"/>
        <v>0</v>
      </c>
      <c r="J2259" s="19"/>
    </row>
    <row r="2260" spans="1:10" x14ac:dyDescent="0.25">
      <c r="A2260" s="82">
        <v>42784</v>
      </c>
      <c r="B2260" s="39" t="s">
        <v>6543</v>
      </c>
      <c r="C2260" s="89"/>
      <c r="D2260" s="18">
        <v>101595</v>
      </c>
      <c r="E2260" s="2" t="s">
        <v>3997</v>
      </c>
      <c r="F2260" s="15">
        <v>5833.5</v>
      </c>
      <c r="H2260" s="15">
        <f t="shared" si="65"/>
        <v>5833.5</v>
      </c>
      <c r="I2260" s="15">
        <f t="shared" si="64"/>
        <v>0</v>
      </c>
      <c r="J2260" s="19"/>
    </row>
    <row r="2261" spans="1:10" x14ac:dyDescent="0.25">
      <c r="A2261" s="82">
        <v>42784</v>
      </c>
      <c r="B2261" s="39" t="s">
        <v>6544</v>
      </c>
      <c r="C2261" s="89"/>
      <c r="D2261" s="18">
        <v>101596</v>
      </c>
      <c r="E2261" s="2" t="s">
        <v>312</v>
      </c>
      <c r="F2261" s="15">
        <v>2534.6</v>
      </c>
      <c r="G2261" s="41">
        <v>42794</v>
      </c>
      <c r="H2261" s="15">
        <f t="shared" si="65"/>
        <v>2534.6</v>
      </c>
      <c r="I2261" s="15">
        <f t="shared" si="64"/>
        <v>0</v>
      </c>
      <c r="J2261" s="19"/>
    </row>
    <row r="2262" spans="1:10" x14ac:dyDescent="0.25">
      <c r="A2262" s="82">
        <v>42784</v>
      </c>
      <c r="B2262" s="39" t="s">
        <v>6545</v>
      </c>
      <c r="C2262" s="89"/>
      <c r="D2262" s="18">
        <v>101597</v>
      </c>
      <c r="E2262" s="2" t="s">
        <v>30</v>
      </c>
      <c r="F2262" s="15">
        <v>1216.8</v>
      </c>
      <c r="G2262" s="41">
        <v>42784</v>
      </c>
      <c r="H2262" s="15">
        <f t="shared" si="65"/>
        <v>1216.8</v>
      </c>
      <c r="I2262" s="15">
        <f t="shared" si="64"/>
        <v>0</v>
      </c>
      <c r="J2262" s="19"/>
    </row>
    <row r="2263" spans="1:10" x14ac:dyDescent="0.25">
      <c r="A2263" s="82">
        <v>42784</v>
      </c>
      <c r="B2263" s="39" t="s">
        <v>6546</v>
      </c>
      <c r="C2263" s="89"/>
      <c r="D2263" s="18">
        <v>101598</v>
      </c>
      <c r="E2263" s="2" t="s">
        <v>30</v>
      </c>
      <c r="F2263" s="15">
        <v>2451.3000000000002</v>
      </c>
      <c r="G2263" s="41">
        <v>42784</v>
      </c>
      <c r="H2263" s="15">
        <f t="shared" si="65"/>
        <v>2451.3000000000002</v>
      </c>
      <c r="I2263" s="15">
        <f t="shared" si="64"/>
        <v>0</v>
      </c>
      <c r="J2263" s="19"/>
    </row>
    <row r="2264" spans="1:10" x14ac:dyDescent="0.25">
      <c r="A2264" s="82">
        <v>42784</v>
      </c>
      <c r="B2264" s="39" t="s">
        <v>6547</v>
      </c>
      <c r="C2264" s="89"/>
      <c r="D2264" s="18">
        <v>101599</v>
      </c>
      <c r="E2264" s="2" t="s">
        <v>5219</v>
      </c>
      <c r="F2264" s="15">
        <v>7186.6</v>
      </c>
      <c r="G2264" s="41">
        <v>42784</v>
      </c>
      <c r="H2264" s="15">
        <f t="shared" si="65"/>
        <v>7186.6</v>
      </c>
      <c r="I2264" s="15">
        <f t="shared" si="64"/>
        <v>0</v>
      </c>
      <c r="J2264" s="19"/>
    </row>
    <row r="2265" spans="1:10" x14ac:dyDescent="0.25">
      <c r="A2265" s="82">
        <v>42784</v>
      </c>
      <c r="B2265" s="39" t="s">
        <v>6548</v>
      </c>
      <c r="C2265" s="89"/>
      <c r="D2265" s="18">
        <v>101600</v>
      </c>
      <c r="E2265" s="2" t="s">
        <v>930</v>
      </c>
      <c r="F2265" s="15">
        <v>12483.75</v>
      </c>
      <c r="G2265" s="41">
        <v>42784</v>
      </c>
      <c r="H2265" s="15">
        <f t="shared" si="65"/>
        <v>12483.75</v>
      </c>
      <c r="I2265" s="15">
        <f t="shared" si="64"/>
        <v>0</v>
      </c>
      <c r="J2265" s="19"/>
    </row>
    <row r="2266" spans="1:10" x14ac:dyDescent="0.25">
      <c r="A2266" s="82">
        <v>42784</v>
      </c>
      <c r="B2266" s="39" t="s">
        <v>6549</v>
      </c>
      <c r="C2266" s="89"/>
      <c r="D2266" s="18">
        <v>101601</v>
      </c>
      <c r="E2266" s="2" t="s">
        <v>523</v>
      </c>
      <c r="F2266" s="15">
        <v>27959</v>
      </c>
      <c r="G2266" s="41">
        <v>42738</v>
      </c>
      <c r="H2266" s="15">
        <f t="shared" si="65"/>
        <v>27959</v>
      </c>
      <c r="I2266" s="15">
        <f t="shared" si="64"/>
        <v>0</v>
      </c>
      <c r="J2266" s="19"/>
    </row>
    <row r="2267" spans="1:10" x14ac:dyDescent="0.25">
      <c r="A2267" s="82">
        <v>42784</v>
      </c>
      <c r="B2267" s="39" t="s">
        <v>6550</v>
      </c>
      <c r="C2267" s="89"/>
      <c r="D2267" s="18">
        <v>101602</v>
      </c>
      <c r="E2267" s="2" t="s">
        <v>2240</v>
      </c>
      <c r="F2267" s="15">
        <v>5922</v>
      </c>
      <c r="G2267" s="41">
        <v>42784</v>
      </c>
      <c r="H2267" s="15">
        <f t="shared" si="65"/>
        <v>5922</v>
      </c>
      <c r="I2267" s="15">
        <f t="shared" si="64"/>
        <v>0</v>
      </c>
      <c r="J2267" s="19"/>
    </row>
    <row r="2268" spans="1:10" x14ac:dyDescent="0.25">
      <c r="A2268" s="82">
        <v>42784</v>
      </c>
      <c r="B2268" s="39" t="s">
        <v>6551</v>
      </c>
      <c r="C2268" s="89"/>
      <c r="D2268" s="18">
        <v>101603</v>
      </c>
      <c r="E2268" s="2" t="s">
        <v>302</v>
      </c>
      <c r="F2268" s="15">
        <v>11600</v>
      </c>
      <c r="G2268" s="41">
        <v>42784</v>
      </c>
      <c r="H2268" s="15">
        <f t="shared" si="65"/>
        <v>11600</v>
      </c>
      <c r="I2268" s="15">
        <f t="shared" si="64"/>
        <v>0</v>
      </c>
      <c r="J2268" s="19"/>
    </row>
    <row r="2269" spans="1:10" x14ac:dyDescent="0.25">
      <c r="A2269" s="82">
        <v>42784</v>
      </c>
      <c r="B2269" s="39" t="s">
        <v>6552</v>
      </c>
      <c r="C2269" s="89"/>
      <c r="D2269" s="18">
        <v>101604</v>
      </c>
      <c r="E2269" s="2" t="s">
        <v>12</v>
      </c>
      <c r="F2269" s="15">
        <v>2108</v>
      </c>
      <c r="G2269" s="41">
        <v>42784</v>
      </c>
      <c r="H2269" s="15">
        <f t="shared" si="65"/>
        <v>2108</v>
      </c>
      <c r="I2269" s="15">
        <f t="shared" si="64"/>
        <v>0</v>
      </c>
      <c r="J2269" s="19"/>
    </row>
    <row r="2270" spans="1:10" x14ac:dyDescent="0.25">
      <c r="A2270" s="82">
        <v>42784</v>
      </c>
      <c r="B2270" s="39" t="s">
        <v>6553</v>
      </c>
      <c r="C2270" s="89"/>
      <c r="D2270" s="18">
        <v>101605</v>
      </c>
      <c r="E2270" s="2" t="s">
        <v>222</v>
      </c>
      <c r="F2270" s="15">
        <v>449075</v>
      </c>
      <c r="G2270" s="41">
        <v>42738</v>
      </c>
      <c r="H2270" s="15">
        <f t="shared" si="65"/>
        <v>449075</v>
      </c>
      <c r="I2270" s="15">
        <f t="shared" si="64"/>
        <v>0</v>
      </c>
      <c r="J2270" s="19"/>
    </row>
    <row r="2271" spans="1:10" x14ac:dyDescent="0.25">
      <c r="A2271" s="82">
        <v>42784</v>
      </c>
      <c r="B2271" s="39" t="s">
        <v>6554</v>
      </c>
      <c r="C2271" s="89"/>
      <c r="D2271" s="18">
        <v>101606</v>
      </c>
      <c r="E2271" s="13" t="s">
        <v>231</v>
      </c>
      <c r="F2271" s="14">
        <v>0</v>
      </c>
      <c r="G2271" s="88" t="s">
        <v>95</v>
      </c>
      <c r="H2271" s="14">
        <f t="shared" si="65"/>
        <v>0</v>
      </c>
      <c r="I2271" s="14">
        <f t="shared" si="64"/>
        <v>0</v>
      </c>
      <c r="J2271" s="19"/>
    </row>
    <row r="2272" spans="1:10" x14ac:dyDescent="0.25">
      <c r="A2272" s="82">
        <v>42784</v>
      </c>
      <c r="B2272" s="39" t="s">
        <v>6555</v>
      </c>
      <c r="C2272" s="89"/>
      <c r="D2272" s="18">
        <v>101607</v>
      </c>
      <c r="E2272" s="2" t="s">
        <v>231</v>
      </c>
      <c r="F2272" s="15">
        <v>10565.6</v>
      </c>
      <c r="G2272" s="41">
        <v>42785</v>
      </c>
      <c r="H2272" s="15">
        <f t="shared" si="65"/>
        <v>10565.6</v>
      </c>
      <c r="I2272" s="15">
        <f t="shared" si="64"/>
        <v>0</v>
      </c>
      <c r="J2272" s="19"/>
    </row>
    <row r="2273" spans="1:10" x14ac:dyDescent="0.25">
      <c r="A2273" s="82">
        <v>42784</v>
      </c>
      <c r="B2273" s="39" t="s">
        <v>6556</v>
      </c>
      <c r="C2273" s="89"/>
      <c r="D2273" s="18">
        <v>101608</v>
      </c>
      <c r="E2273" s="2" t="s">
        <v>55</v>
      </c>
      <c r="F2273" s="15">
        <v>1003.2</v>
      </c>
      <c r="G2273" s="41">
        <v>42784</v>
      </c>
      <c r="H2273" s="15">
        <f t="shared" si="65"/>
        <v>1003.2</v>
      </c>
      <c r="I2273" s="15">
        <f t="shared" si="64"/>
        <v>0</v>
      </c>
      <c r="J2273" s="19"/>
    </row>
    <row r="2274" spans="1:10" x14ac:dyDescent="0.25">
      <c r="A2274" s="82">
        <v>42784</v>
      </c>
      <c r="B2274" s="39" t="s">
        <v>6557</v>
      </c>
      <c r="C2274" s="89"/>
      <c r="D2274" s="18">
        <v>101609</v>
      </c>
      <c r="E2274" s="2" t="s">
        <v>3649</v>
      </c>
      <c r="F2274" s="15">
        <v>1365.9</v>
      </c>
      <c r="G2274" s="41">
        <v>42784</v>
      </c>
      <c r="H2274" s="15">
        <f t="shared" si="65"/>
        <v>1365.9</v>
      </c>
      <c r="I2274" s="15">
        <f t="shared" si="64"/>
        <v>0</v>
      </c>
      <c r="J2274" s="19"/>
    </row>
    <row r="2275" spans="1:10" x14ac:dyDescent="0.25">
      <c r="A2275" s="82">
        <v>42784</v>
      </c>
      <c r="B2275" s="39" t="s">
        <v>6558</v>
      </c>
      <c r="C2275" s="89"/>
      <c r="D2275" s="18">
        <v>101610</v>
      </c>
      <c r="E2275" s="2" t="s">
        <v>426</v>
      </c>
      <c r="F2275" s="15">
        <v>5977.2</v>
      </c>
      <c r="G2275" s="41">
        <v>42793</v>
      </c>
      <c r="H2275" s="15">
        <f t="shared" si="65"/>
        <v>5977.2</v>
      </c>
      <c r="I2275" s="15">
        <f t="shared" si="64"/>
        <v>0</v>
      </c>
      <c r="J2275" s="19"/>
    </row>
    <row r="2276" spans="1:10" x14ac:dyDescent="0.25">
      <c r="A2276" s="82">
        <v>42784</v>
      </c>
      <c r="B2276" s="39" t="s">
        <v>6559</v>
      </c>
      <c r="C2276" s="89"/>
      <c r="D2276" s="18">
        <v>101611</v>
      </c>
      <c r="E2276" s="2" t="s">
        <v>30</v>
      </c>
      <c r="F2276" s="15">
        <v>1485</v>
      </c>
      <c r="G2276" s="41">
        <v>42784</v>
      </c>
      <c r="H2276" s="15">
        <f t="shared" si="65"/>
        <v>1485</v>
      </c>
      <c r="I2276" s="15">
        <f t="shared" si="64"/>
        <v>0</v>
      </c>
      <c r="J2276" s="19"/>
    </row>
    <row r="2277" spans="1:10" x14ac:dyDescent="0.25">
      <c r="A2277" s="82">
        <v>42784</v>
      </c>
      <c r="B2277" s="39" t="s">
        <v>6560</v>
      </c>
      <c r="C2277" s="89"/>
      <c r="D2277" s="18">
        <v>101612</v>
      </c>
      <c r="E2277" s="2" t="s">
        <v>2535</v>
      </c>
      <c r="F2277" s="15">
        <v>2356.1999999999998</v>
      </c>
      <c r="G2277" s="41">
        <v>42785</v>
      </c>
      <c r="H2277" s="15">
        <f t="shared" si="65"/>
        <v>2356.1999999999998</v>
      </c>
      <c r="I2277" s="15">
        <f t="shared" si="64"/>
        <v>0</v>
      </c>
      <c r="J2277" s="19"/>
    </row>
    <row r="2278" spans="1:10" x14ac:dyDescent="0.25">
      <c r="A2278" s="82">
        <v>42784</v>
      </c>
      <c r="B2278" s="39" t="s">
        <v>6561</v>
      </c>
      <c r="C2278" s="89"/>
      <c r="D2278" s="18">
        <v>101613</v>
      </c>
      <c r="E2278" s="2" t="s">
        <v>30</v>
      </c>
      <c r="F2278" s="15">
        <v>412.8</v>
      </c>
      <c r="G2278" s="41">
        <v>42785</v>
      </c>
      <c r="H2278" s="15">
        <f t="shared" si="65"/>
        <v>412.8</v>
      </c>
      <c r="I2278" s="15">
        <f t="shared" si="64"/>
        <v>0</v>
      </c>
      <c r="J2278" s="19"/>
    </row>
    <row r="2279" spans="1:10" x14ac:dyDescent="0.25">
      <c r="A2279" s="82">
        <v>42784</v>
      </c>
      <c r="B2279" s="39" t="s">
        <v>6562</v>
      </c>
      <c r="C2279" s="89"/>
      <c r="D2279" s="18">
        <v>101614</v>
      </c>
      <c r="E2279" s="2" t="s">
        <v>193</v>
      </c>
      <c r="F2279" s="15">
        <v>4152</v>
      </c>
      <c r="G2279" s="41">
        <v>42785</v>
      </c>
      <c r="H2279" s="15">
        <f t="shared" si="65"/>
        <v>4152</v>
      </c>
      <c r="I2279" s="15">
        <f t="shared" si="64"/>
        <v>0</v>
      </c>
      <c r="J2279" s="19"/>
    </row>
    <row r="2280" spans="1:10" x14ac:dyDescent="0.25">
      <c r="A2280" s="82">
        <v>42784</v>
      </c>
      <c r="B2280" s="39" t="s">
        <v>6563</v>
      </c>
      <c r="C2280" s="89"/>
      <c r="D2280" s="18">
        <v>101615</v>
      </c>
      <c r="E2280" s="2" t="s">
        <v>10</v>
      </c>
      <c r="F2280" s="15">
        <v>140688.66</v>
      </c>
      <c r="G2280" s="41">
        <v>42786</v>
      </c>
      <c r="H2280" s="15">
        <f t="shared" si="65"/>
        <v>140688.66</v>
      </c>
      <c r="I2280" s="15">
        <f t="shared" si="64"/>
        <v>0</v>
      </c>
      <c r="J2280" s="19"/>
    </row>
    <row r="2281" spans="1:10" x14ac:dyDescent="0.25">
      <c r="A2281" s="82">
        <v>42784</v>
      </c>
      <c r="B2281" s="39" t="s">
        <v>6564</v>
      </c>
      <c r="C2281" s="89"/>
      <c r="D2281" s="18">
        <v>101616</v>
      </c>
      <c r="E2281" s="2" t="s">
        <v>205</v>
      </c>
      <c r="F2281" s="15">
        <v>44386.5</v>
      </c>
      <c r="G2281" s="41">
        <v>42785</v>
      </c>
      <c r="H2281" s="15">
        <f t="shared" si="65"/>
        <v>44386.5</v>
      </c>
      <c r="I2281" s="15">
        <f t="shared" si="64"/>
        <v>0</v>
      </c>
      <c r="J2281" s="19"/>
    </row>
    <row r="2282" spans="1:10" x14ac:dyDescent="0.25">
      <c r="A2282" s="82">
        <v>42784</v>
      </c>
      <c r="B2282" s="39" t="s">
        <v>6565</v>
      </c>
      <c r="C2282" s="89"/>
      <c r="D2282" s="18">
        <v>101617</v>
      </c>
      <c r="E2282" s="2" t="s">
        <v>182</v>
      </c>
      <c r="F2282" s="15">
        <v>5880</v>
      </c>
      <c r="G2282" s="41">
        <v>42785</v>
      </c>
      <c r="H2282" s="15">
        <f t="shared" si="65"/>
        <v>5880</v>
      </c>
      <c r="I2282" s="15">
        <f t="shared" si="64"/>
        <v>0</v>
      </c>
      <c r="J2282" s="19"/>
    </row>
    <row r="2283" spans="1:10" x14ac:dyDescent="0.25">
      <c r="A2283" s="82">
        <v>42784</v>
      </c>
      <c r="B2283" s="39" t="s">
        <v>6566</v>
      </c>
      <c r="C2283" s="89"/>
      <c r="D2283" s="18">
        <v>101618</v>
      </c>
      <c r="E2283" s="2" t="s">
        <v>1925</v>
      </c>
      <c r="F2283" s="15">
        <v>471.2</v>
      </c>
      <c r="G2283" s="41">
        <v>42784</v>
      </c>
      <c r="H2283" s="15">
        <f t="shared" si="65"/>
        <v>471.2</v>
      </c>
      <c r="I2283" s="15">
        <f t="shared" si="64"/>
        <v>0</v>
      </c>
      <c r="J2283" s="19"/>
    </row>
    <row r="2284" spans="1:10" ht="30" x14ac:dyDescent="0.25">
      <c r="A2284" s="82">
        <v>42784</v>
      </c>
      <c r="B2284" s="39" t="s">
        <v>6567</v>
      </c>
      <c r="C2284" s="89"/>
      <c r="D2284" s="18">
        <v>101619</v>
      </c>
      <c r="E2284" s="2" t="s">
        <v>10</v>
      </c>
      <c r="F2284" s="15">
        <v>120250.76</v>
      </c>
      <c r="G2284" s="86" t="s">
        <v>5412</v>
      </c>
      <c r="H2284" s="23">
        <f>72668.5+47582.26</f>
        <v>120250.76000000001</v>
      </c>
      <c r="I2284" s="23">
        <f t="shared" si="64"/>
        <v>0</v>
      </c>
      <c r="J2284" s="19"/>
    </row>
    <row r="2285" spans="1:10" x14ac:dyDescent="0.25">
      <c r="A2285" s="82">
        <v>42784</v>
      </c>
      <c r="B2285" s="39" t="s">
        <v>6568</v>
      </c>
      <c r="C2285" s="89"/>
      <c r="D2285" s="18">
        <v>101620</v>
      </c>
      <c r="E2285" s="2" t="s">
        <v>509</v>
      </c>
      <c r="F2285" s="15">
        <v>6512.4</v>
      </c>
      <c r="G2285" s="41">
        <v>42784</v>
      </c>
      <c r="H2285" s="15">
        <f t="shared" si="65"/>
        <v>6512.4</v>
      </c>
      <c r="I2285" s="15">
        <f t="shared" si="64"/>
        <v>0</v>
      </c>
      <c r="J2285" s="19"/>
    </row>
    <row r="2286" spans="1:10" x14ac:dyDescent="0.25">
      <c r="A2286" s="82">
        <v>42784</v>
      </c>
      <c r="B2286" s="39" t="s">
        <v>6569</v>
      </c>
      <c r="C2286" s="89"/>
      <c r="D2286" s="18">
        <v>101621</v>
      </c>
      <c r="E2286" s="2" t="s">
        <v>2533</v>
      </c>
      <c r="F2286" s="15">
        <v>540</v>
      </c>
      <c r="G2286" s="41">
        <v>42785</v>
      </c>
      <c r="H2286" s="15">
        <f t="shared" si="65"/>
        <v>540</v>
      </c>
      <c r="I2286" s="15">
        <f t="shared" si="64"/>
        <v>0</v>
      </c>
      <c r="J2286" s="19"/>
    </row>
    <row r="2287" spans="1:10" x14ac:dyDescent="0.25">
      <c r="A2287" s="82">
        <v>42784</v>
      </c>
      <c r="B2287" s="39" t="s">
        <v>6570</v>
      </c>
      <c r="C2287" s="89"/>
      <c r="D2287" s="18">
        <v>101622</v>
      </c>
      <c r="E2287" s="2" t="s">
        <v>10</v>
      </c>
      <c r="F2287" s="15">
        <v>326334.59999999998</v>
      </c>
      <c r="G2287" s="41">
        <v>42788</v>
      </c>
      <c r="H2287" s="15">
        <f t="shared" si="65"/>
        <v>326334.59999999998</v>
      </c>
      <c r="I2287" s="15">
        <f t="shared" si="64"/>
        <v>0</v>
      </c>
      <c r="J2287" s="19"/>
    </row>
    <row r="2288" spans="1:10" x14ac:dyDescent="0.25">
      <c r="A2288" s="82">
        <v>42784</v>
      </c>
      <c r="B2288" s="39" t="s">
        <v>6571</v>
      </c>
      <c r="C2288" s="89"/>
      <c r="D2288" s="18">
        <v>101623</v>
      </c>
      <c r="E2288" s="2" t="s">
        <v>5352</v>
      </c>
      <c r="F2288" s="15">
        <v>15153</v>
      </c>
      <c r="G2288" s="41">
        <v>42784</v>
      </c>
      <c r="H2288" s="15">
        <f t="shared" si="65"/>
        <v>15153</v>
      </c>
      <c r="I2288" s="15">
        <f t="shared" si="64"/>
        <v>0</v>
      </c>
      <c r="J2288" s="19"/>
    </row>
    <row r="2289" spans="1:10" x14ac:dyDescent="0.25">
      <c r="A2289" s="82">
        <v>42784</v>
      </c>
      <c r="B2289" s="39" t="s">
        <v>6572</v>
      </c>
      <c r="C2289" s="89"/>
      <c r="D2289" s="18">
        <v>101624</v>
      </c>
      <c r="E2289" s="2" t="s">
        <v>609</v>
      </c>
      <c r="F2289" s="15">
        <v>8958.4</v>
      </c>
      <c r="G2289" s="41">
        <v>42791</v>
      </c>
      <c r="H2289" s="15">
        <f t="shared" si="65"/>
        <v>8958.4</v>
      </c>
      <c r="I2289" s="15">
        <f t="shared" si="64"/>
        <v>0</v>
      </c>
      <c r="J2289" s="19"/>
    </row>
    <row r="2290" spans="1:10" x14ac:dyDescent="0.25">
      <c r="A2290" s="82">
        <v>42784</v>
      </c>
      <c r="B2290" s="39" t="s">
        <v>6573</v>
      </c>
      <c r="C2290" s="89"/>
      <c r="D2290" s="18">
        <v>101625</v>
      </c>
      <c r="E2290" s="2" t="s">
        <v>55</v>
      </c>
      <c r="F2290" s="15">
        <v>22920.6</v>
      </c>
      <c r="G2290" s="41">
        <v>42786</v>
      </c>
      <c r="H2290" s="15">
        <f t="shared" si="65"/>
        <v>22920.6</v>
      </c>
      <c r="I2290" s="15">
        <f t="shared" si="64"/>
        <v>0</v>
      </c>
      <c r="J2290" s="19"/>
    </row>
    <row r="2291" spans="1:10" x14ac:dyDescent="0.25">
      <c r="A2291" s="82">
        <v>42784</v>
      </c>
      <c r="B2291" s="39" t="s">
        <v>6574</v>
      </c>
      <c r="C2291" s="89"/>
      <c r="D2291" s="18">
        <v>101626</v>
      </c>
      <c r="E2291" s="2" t="s">
        <v>236</v>
      </c>
      <c r="F2291" s="15">
        <v>135877.34</v>
      </c>
      <c r="G2291" s="41">
        <v>42791</v>
      </c>
      <c r="H2291" s="15">
        <f t="shared" si="65"/>
        <v>135877.34</v>
      </c>
      <c r="I2291" s="15">
        <f t="shared" si="64"/>
        <v>0</v>
      </c>
      <c r="J2291" s="19"/>
    </row>
    <row r="2292" spans="1:10" x14ac:dyDescent="0.25">
      <c r="A2292" s="82">
        <v>42784</v>
      </c>
      <c r="B2292" s="39" t="s">
        <v>6575</v>
      </c>
      <c r="C2292" s="89"/>
      <c r="D2292" s="18">
        <v>101627</v>
      </c>
      <c r="E2292" s="2" t="s">
        <v>921</v>
      </c>
      <c r="F2292" s="15">
        <v>4489.8</v>
      </c>
      <c r="G2292" s="41">
        <v>42785</v>
      </c>
      <c r="H2292" s="15">
        <f t="shared" si="65"/>
        <v>4489.8</v>
      </c>
      <c r="I2292" s="15">
        <f t="shared" si="64"/>
        <v>0</v>
      </c>
      <c r="J2292" s="19"/>
    </row>
    <row r="2293" spans="1:10" x14ac:dyDescent="0.25">
      <c r="A2293" s="82">
        <v>42784</v>
      </c>
      <c r="B2293" s="39" t="s">
        <v>6576</v>
      </c>
      <c r="C2293" s="89"/>
      <c r="D2293" s="18">
        <v>101628</v>
      </c>
      <c r="E2293" s="2" t="s">
        <v>226</v>
      </c>
      <c r="F2293" s="15">
        <v>2883.6</v>
      </c>
      <c r="G2293" s="41">
        <v>42785</v>
      </c>
      <c r="H2293" s="15">
        <f t="shared" si="65"/>
        <v>2883.6</v>
      </c>
      <c r="I2293" s="15">
        <f t="shared" si="64"/>
        <v>0</v>
      </c>
      <c r="J2293" s="19"/>
    </row>
    <row r="2294" spans="1:10" x14ac:dyDescent="0.25">
      <c r="A2294" s="82">
        <v>42784</v>
      </c>
      <c r="B2294" s="39" t="s">
        <v>6577</v>
      </c>
      <c r="C2294" s="89"/>
      <c r="D2294" s="18">
        <v>101629</v>
      </c>
      <c r="E2294" s="2" t="s">
        <v>10</v>
      </c>
      <c r="F2294" s="15">
        <v>99446.399999999994</v>
      </c>
      <c r="G2294" s="41">
        <v>42788</v>
      </c>
      <c r="H2294" s="15">
        <f t="shared" si="65"/>
        <v>99446.399999999994</v>
      </c>
      <c r="I2294" s="15">
        <f t="shared" si="64"/>
        <v>0</v>
      </c>
      <c r="J2294" s="19"/>
    </row>
    <row r="2295" spans="1:10" x14ac:dyDescent="0.25">
      <c r="A2295" s="82">
        <v>42784</v>
      </c>
      <c r="B2295" s="39" t="s">
        <v>6578</v>
      </c>
      <c r="C2295" s="89"/>
      <c r="D2295" s="18">
        <v>101630</v>
      </c>
      <c r="E2295" s="2" t="s">
        <v>226</v>
      </c>
      <c r="F2295" s="15">
        <v>120</v>
      </c>
      <c r="G2295" s="41">
        <v>42785</v>
      </c>
      <c r="H2295" s="15">
        <f t="shared" si="65"/>
        <v>120</v>
      </c>
      <c r="I2295" s="15">
        <f t="shared" si="64"/>
        <v>0</v>
      </c>
      <c r="J2295" s="19"/>
    </row>
    <row r="2296" spans="1:10" x14ac:dyDescent="0.25">
      <c r="A2296" s="82">
        <v>42784</v>
      </c>
      <c r="B2296" s="39" t="s">
        <v>6579</v>
      </c>
      <c r="C2296" s="89"/>
      <c r="D2296" s="18">
        <v>101631</v>
      </c>
      <c r="E2296" s="2" t="s">
        <v>457</v>
      </c>
      <c r="F2296" s="15">
        <v>1162.8</v>
      </c>
      <c r="G2296" s="41">
        <v>42784</v>
      </c>
      <c r="H2296" s="15">
        <f t="shared" si="65"/>
        <v>1162.8</v>
      </c>
      <c r="I2296" s="15">
        <f t="shared" ref="I2296:I2359" si="66">F2296-H2296</f>
        <v>0</v>
      </c>
      <c r="J2296" s="19"/>
    </row>
    <row r="2297" spans="1:10" x14ac:dyDescent="0.25">
      <c r="A2297" s="82">
        <v>42784</v>
      </c>
      <c r="B2297" s="39" t="s">
        <v>6580</v>
      </c>
      <c r="C2297" s="89"/>
      <c r="D2297" s="18">
        <v>101632</v>
      </c>
      <c r="E2297" s="2" t="s">
        <v>67</v>
      </c>
      <c r="F2297" s="15">
        <v>36439.300000000003</v>
      </c>
      <c r="G2297" s="41">
        <v>42786</v>
      </c>
      <c r="H2297" s="15">
        <f t="shared" si="65"/>
        <v>36439.300000000003</v>
      </c>
      <c r="I2297" s="15">
        <f t="shared" si="66"/>
        <v>0</v>
      </c>
      <c r="J2297" s="19"/>
    </row>
    <row r="2298" spans="1:10" x14ac:dyDescent="0.25">
      <c r="A2298" s="82">
        <v>42784</v>
      </c>
      <c r="B2298" s="39" t="s">
        <v>6581</v>
      </c>
      <c r="C2298" s="89"/>
      <c r="D2298" s="18">
        <v>101633</v>
      </c>
      <c r="E2298" s="2" t="s">
        <v>205</v>
      </c>
      <c r="F2298" s="15">
        <v>32893</v>
      </c>
      <c r="G2298" s="41">
        <v>42785</v>
      </c>
      <c r="H2298" s="15">
        <f t="shared" si="65"/>
        <v>32893</v>
      </c>
      <c r="I2298" s="15">
        <f t="shared" si="66"/>
        <v>0</v>
      </c>
      <c r="J2298" s="19"/>
    </row>
    <row r="2299" spans="1:10" x14ac:dyDescent="0.25">
      <c r="A2299" s="82">
        <v>42784</v>
      </c>
      <c r="B2299" s="39" t="s">
        <v>6582</v>
      </c>
      <c r="C2299" s="89"/>
      <c r="D2299" s="18">
        <v>101634</v>
      </c>
      <c r="E2299" s="2" t="s">
        <v>222</v>
      </c>
      <c r="F2299" s="15">
        <v>9792</v>
      </c>
      <c r="G2299" s="41">
        <v>42738</v>
      </c>
      <c r="H2299" s="15">
        <f t="shared" si="65"/>
        <v>9792</v>
      </c>
      <c r="I2299" s="15">
        <f t="shared" si="66"/>
        <v>0</v>
      </c>
      <c r="J2299" s="19"/>
    </row>
    <row r="2300" spans="1:10" x14ac:dyDescent="0.25">
      <c r="A2300" s="82">
        <v>42784</v>
      </c>
      <c r="B2300" s="39" t="s">
        <v>6583</v>
      </c>
      <c r="C2300" s="89"/>
      <c r="D2300" s="18">
        <v>101635</v>
      </c>
      <c r="E2300" s="2" t="s">
        <v>21</v>
      </c>
      <c r="F2300" s="15">
        <v>47349</v>
      </c>
      <c r="G2300" s="41">
        <v>42800</v>
      </c>
      <c r="H2300" s="15">
        <f t="shared" si="65"/>
        <v>47349</v>
      </c>
      <c r="I2300" s="15">
        <f t="shared" si="66"/>
        <v>0</v>
      </c>
      <c r="J2300" s="19"/>
    </row>
    <row r="2301" spans="1:10" x14ac:dyDescent="0.25">
      <c r="A2301" s="82">
        <v>42784</v>
      </c>
      <c r="B2301" s="39" t="s">
        <v>6584</v>
      </c>
      <c r="C2301" s="89"/>
      <c r="D2301" s="18">
        <v>101636</v>
      </c>
      <c r="E2301" s="2" t="s">
        <v>937</v>
      </c>
      <c r="F2301" s="15">
        <v>3682.2</v>
      </c>
      <c r="G2301" s="41">
        <v>42785</v>
      </c>
      <c r="H2301" s="15">
        <f t="shared" si="65"/>
        <v>3682.2</v>
      </c>
      <c r="I2301" s="15">
        <f t="shared" si="66"/>
        <v>0</v>
      </c>
      <c r="J2301" s="19"/>
    </row>
    <row r="2302" spans="1:10" x14ac:dyDescent="0.25">
      <c r="A2302" s="82">
        <v>42785</v>
      </c>
      <c r="B2302" s="39" t="s">
        <v>6585</v>
      </c>
      <c r="C2302" s="89"/>
      <c r="D2302" s="18">
        <v>101637</v>
      </c>
      <c r="E2302" s="2" t="s">
        <v>231</v>
      </c>
      <c r="F2302" s="15">
        <v>8335.7000000000007</v>
      </c>
      <c r="G2302" s="41">
        <v>42786</v>
      </c>
      <c r="H2302" s="15">
        <f t="shared" si="65"/>
        <v>8335.7000000000007</v>
      </c>
      <c r="I2302" s="15">
        <f t="shared" si="66"/>
        <v>0</v>
      </c>
      <c r="J2302" s="19"/>
    </row>
    <row r="2303" spans="1:10" x14ac:dyDescent="0.25">
      <c r="A2303" s="82">
        <v>42785</v>
      </c>
      <c r="B2303" s="39" t="s">
        <v>6586</v>
      </c>
      <c r="C2303" s="89"/>
      <c r="D2303" s="18">
        <v>101638</v>
      </c>
      <c r="E2303" s="2" t="s">
        <v>231</v>
      </c>
      <c r="F2303" s="15">
        <v>34227.699999999997</v>
      </c>
      <c r="G2303" s="41">
        <v>42786</v>
      </c>
      <c r="H2303" s="15">
        <f t="shared" si="65"/>
        <v>34227.699999999997</v>
      </c>
      <c r="I2303" s="15">
        <f t="shared" si="66"/>
        <v>0</v>
      </c>
      <c r="J2303" s="19"/>
    </row>
    <row r="2304" spans="1:10" x14ac:dyDescent="0.25">
      <c r="A2304" s="82">
        <v>42785</v>
      </c>
      <c r="B2304" s="39" t="s">
        <v>6587</v>
      </c>
      <c r="C2304" s="89"/>
      <c r="D2304" s="18">
        <v>101639</v>
      </c>
      <c r="E2304" s="13" t="s">
        <v>26</v>
      </c>
      <c r="F2304" s="14">
        <v>0</v>
      </c>
      <c r="G2304" s="88" t="s">
        <v>95</v>
      </c>
      <c r="H2304" s="14">
        <f t="shared" si="65"/>
        <v>0</v>
      </c>
      <c r="I2304" s="14">
        <f t="shared" si="66"/>
        <v>0</v>
      </c>
      <c r="J2304" s="19"/>
    </row>
    <row r="2305" spans="1:10" x14ac:dyDescent="0.25">
      <c r="A2305" s="82">
        <v>42785</v>
      </c>
      <c r="B2305" s="39" t="s">
        <v>6588</v>
      </c>
      <c r="C2305" s="89"/>
      <c r="D2305" s="18">
        <v>101640</v>
      </c>
      <c r="E2305" s="2" t="s">
        <v>26</v>
      </c>
      <c r="F2305" s="15">
        <v>14321.2</v>
      </c>
      <c r="G2305" s="41">
        <v>42785</v>
      </c>
      <c r="H2305" s="15">
        <f t="shared" si="65"/>
        <v>14321.2</v>
      </c>
      <c r="I2305" s="15">
        <f t="shared" si="66"/>
        <v>0</v>
      </c>
      <c r="J2305" s="19"/>
    </row>
    <row r="2306" spans="1:10" x14ac:dyDescent="0.25">
      <c r="A2306" s="82">
        <v>42785</v>
      </c>
      <c r="B2306" s="39" t="s">
        <v>6589</v>
      </c>
      <c r="C2306" s="89"/>
      <c r="D2306" s="18">
        <v>101641</v>
      </c>
      <c r="E2306" s="2" t="s">
        <v>28</v>
      </c>
      <c r="F2306" s="15">
        <v>7407</v>
      </c>
      <c r="G2306" s="41">
        <v>42785</v>
      </c>
      <c r="H2306" s="15">
        <f t="shared" si="65"/>
        <v>7407</v>
      </c>
      <c r="I2306" s="15">
        <f t="shared" si="66"/>
        <v>0</v>
      </c>
      <c r="J2306" s="19"/>
    </row>
    <row r="2307" spans="1:10" x14ac:dyDescent="0.25">
      <c r="A2307" s="82">
        <v>42785</v>
      </c>
      <c r="B2307" s="39" t="s">
        <v>6590</v>
      </c>
      <c r="C2307" s="89"/>
      <c r="D2307" s="18">
        <v>101642</v>
      </c>
      <c r="E2307" s="2" t="s">
        <v>231</v>
      </c>
      <c r="F2307" s="15">
        <v>2120.1</v>
      </c>
      <c r="G2307" s="41">
        <v>42786</v>
      </c>
      <c r="H2307" s="15">
        <f t="shared" si="65"/>
        <v>2120.1</v>
      </c>
      <c r="I2307" s="15">
        <f t="shared" si="66"/>
        <v>0</v>
      </c>
      <c r="J2307" s="19"/>
    </row>
    <row r="2308" spans="1:10" x14ac:dyDescent="0.25">
      <c r="A2308" s="82">
        <v>42785</v>
      </c>
      <c r="B2308" s="39" t="s">
        <v>6591</v>
      </c>
      <c r="C2308" s="89"/>
      <c r="D2308" s="18">
        <v>101643</v>
      </c>
      <c r="E2308" s="2" t="s">
        <v>509</v>
      </c>
      <c r="F2308" s="15">
        <v>12077.5</v>
      </c>
      <c r="G2308" s="41">
        <v>42785</v>
      </c>
      <c r="H2308" s="15">
        <f t="shared" ref="H2308:H2371" si="67">F2308</f>
        <v>12077.5</v>
      </c>
      <c r="I2308" s="15">
        <f t="shared" si="66"/>
        <v>0</v>
      </c>
      <c r="J2308" s="19"/>
    </row>
    <row r="2309" spans="1:10" x14ac:dyDescent="0.25">
      <c r="A2309" s="82">
        <v>42785</v>
      </c>
      <c r="B2309" s="39" t="s">
        <v>6592</v>
      </c>
      <c r="C2309" s="89"/>
      <c r="D2309" s="18">
        <v>101644</v>
      </c>
      <c r="E2309" s="2" t="s">
        <v>45</v>
      </c>
      <c r="F2309" s="15">
        <v>18696.5</v>
      </c>
      <c r="G2309" s="41">
        <v>42785</v>
      </c>
      <c r="H2309" s="15">
        <f t="shared" si="67"/>
        <v>18696.5</v>
      </c>
      <c r="I2309" s="15">
        <f t="shared" si="66"/>
        <v>0</v>
      </c>
      <c r="J2309" s="19"/>
    </row>
    <row r="2310" spans="1:10" x14ac:dyDescent="0.25">
      <c r="A2310" s="82">
        <v>42785</v>
      </c>
      <c r="B2310" s="39" t="s">
        <v>6593</v>
      </c>
      <c r="C2310" s="89"/>
      <c r="D2310" s="18">
        <v>101645</v>
      </c>
      <c r="E2310" s="2" t="s">
        <v>143</v>
      </c>
      <c r="F2310" s="15">
        <v>11933.4</v>
      </c>
      <c r="G2310" s="41">
        <v>42785</v>
      </c>
      <c r="H2310" s="15">
        <f t="shared" si="67"/>
        <v>11933.4</v>
      </c>
      <c r="I2310" s="15">
        <f t="shared" si="66"/>
        <v>0</v>
      </c>
      <c r="J2310" s="19"/>
    </row>
    <row r="2311" spans="1:10" x14ac:dyDescent="0.25">
      <c r="A2311" s="82">
        <v>42785</v>
      </c>
      <c r="B2311" s="39" t="s">
        <v>6594</v>
      </c>
      <c r="C2311" s="89"/>
      <c r="D2311" s="18">
        <v>101646</v>
      </c>
      <c r="E2311" s="2" t="s">
        <v>17</v>
      </c>
      <c r="F2311" s="15">
        <v>4900</v>
      </c>
      <c r="G2311" s="41">
        <v>42785</v>
      </c>
      <c r="H2311" s="15">
        <f t="shared" si="67"/>
        <v>4900</v>
      </c>
      <c r="I2311" s="15">
        <f t="shared" si="66"/>
        <v>0</v>
      </c>
      <c r="J2311" s="19"/>
    </row>
    <row r="2312" spans="1:10" x14ac:dyDescent="0.25">
      <c r="A2312" s="82">
        <v>42785</v>
      </c>
      <c r="B2312" s="39" t="s">
        <v>6595</v>
      </c>
      <c r="C2312" s="89"/>
      <c r="D2312" s="18">
        <v>101647</v>
      </c>
      <c r="E2312" s="2" t="s">
        <v>71</v>
      </c>
      <c r="F2312" s="15">
        <v>3132.5</v>
      </c>
      <c r="G2312" s="41">
        <v>42785</v>
      </c>
      <c r="H2312" s="15">
        <f t="shared" si="67"/>
        <v>3132.5</v>
      </c>
      <c r="I2312" s="15">
        <f t="shared" si="66"/>
        <v>0</v>
      </c>
      <c r="J2312" s="19"/>
    </row>
    <row r="2313" spans="1:10" x14ac:dyDescent="0.25">
      <c r="A2313" s="82">
        <v>42785</v>
      </c>
      <c r="B2313" s="39" t="s">
        <v>6596</v>
      </c>
      <c r="C2313" s="89"/>
      <c r="D2313" s="18">
        <v>101648</v>
      </c>
      <c r="E2313" s="2" t="s">
        <v>30</v>
      </c>
      <c r="F2313" s="15">
        <v>1953.2</v>
      </c>
      <c r="G2313" s="41">
        <v>42785</v>
      </c>
      <c r="H2313" s="15">
        <f t="shared" si="67"/>
        <v>1953.2</v>
      </c>
      <c r="I2313" s="15">
        <f t="shared" si="66"/>
        <v>0</v>
      </c>
      <c r="J2313" s="19"/>
    </row>
    <row r="2314" spans="1:10" x14ac:dyDescent="0.25">
      <c r="A2314" s="82">
        <v>42785</v>
      </c>
      <c r="B2314" s="39" t="s">
        <v>6597</v>
      </c>
      <c r="C2314" s="89"/>
      <c r="D2314" s="18">
        <v>101649</v>
      </c>
      <c r="E2314" s="2" t="s">
        <v>135</v>
      </c>
      <c r="F2314" s="15">
        <v>1463</v>
      </c>
      <c r="G2314" s="41">
        <v>42785</v>
      </c>
      <c r="H2314" s="15">
        <f t="shared" si="67"/>
        <v>1463</v>
      </c>
      <c r="I2314" s="15">
        <f t="shared" si="66"/>
        <v>0</v>
      </c>
      <c r="J2314" s="19"/>
    </row>
    <row r="2315" spans="1:10" x14ac:dyDescent="0.25">
      <c r="A2315" s="82">
        <v>42785</v>
      </c>
      <c r="B2315" s="39" t="s">
        <v>6598</v>
      </c>
      <c r="C2315" s="89"/>
      <c r="D2315" s="18">
        <v>101650</v>
      </c>
      <c r="E2315" s="2" t="s">
        <v>125</v>
      </c>
      <c r="F2315" s="15">
        <v>8561.7999999999993</v>
      </c>
      <c r="G2315" s="41">
        <v>42785</v>
      </c>
      <c r="H2315" s="15">
        <f t="shared" si="67"/>
        <v>8561.7999999999993</v>
      </c>
      <c r="I2315" s="15">
        <f t="shared" si="66"/>
        <v>0</v>
      </c>
      <c r="J2315" s="19"/>
    </row>
    <row r="2316" spans="1:10" x14ac:dyDescent="0.25">
      <c r="A2316" s="82">
        <v>42785</v>
      </c>
      <c r="B2316" s="39" t="s">
        <v>6599</v>
      </c>
      <c r="C2316" s="89"/>
      <c r="D2316" s="18">
        <v>101651</v>
      </c>
      <c r="E2316" s="2" t="s">
        <v>321</v>
      </c>
      <c r="F2316" s="15">
        <v>1103.5999999999999</v>
      </c>
      <c r="G2316" s="41">
        <v>42785</v>
      </c>
      <c r="H2316" s="15">
        <f t="shared" si="67"/>
        <v>1103.5999999999999</v>
      </c>
      <c r="I2316" s="15">
        <f t="shared" si="66"/>
        <v>0</v>
      </c>
      <c r="J2316" s="19"/>
    </row>
    <row r="2317" spans="1:10" x14ac:dyDescent="0.25">
      <c r="A2317" s="82">
        <v>42785</v>
      </c>
      <c r="B2317" s="39" t="s">
        <v>6600</v>
      </c>
      <c r="C2317" s="89"/>
      <c r="D2317" s="18">
        <v>101652</v>
      </c>
      <c r="E2317" s="2" t="s">
        <v>457</v>
      </c>
      <c r="F2317" s="15">
        <v>2672.4</v>
      </c>
      <c r="G2317" s="41">
        <v>42785</v>
      </c>
      <c r="H2317" s="15">
        <f t="shared" si="67"/>
        <v>2672.4</v>
      </c>
      <c r="I2317" s="15">
        <f t="shared" si="66"/>
        <v>0</v>
      </c>
      <c r="J2317" s="19"/>
    </row>
    <row r="2318" spans="1:10" x14ac:dyDescent="0.25">
      <c r="A2318" s="82">
        <v>42785</v>
      </c>
      <c r="B2318" s="39" t="s">
        <v>6601</v>
      </c>
      <c r="C2318" s="89"/>
      <c r="D2318" s="18">
        <v>101653</v>
      </c>
      <c r="E2318" s="2" t="s">
        <v>111</v>
      </c>
      <c r="F2318" s="15">
        <v>3261</v>
      </c>
      <c r="G2318" s="41">
        <v>42785</v>
      </c>
      <c r="H2318" s="15">
        <f t="shared" si="67"/>
        <v>3261</v>
      </c>
      <c r="I2318" s="15">
        <f t="shared" si="66"/>
        <v>0</v>
      </c>
      <c r="J2318" s="19"/>
    </row>
    <row r="2319" spans="1:10" x14ac:dyDescent="0.25">
      <c r="A2319" s="82">
        <v>42785</v>
      </c>
      <c r="B2319" s="39" t="s">
        <v>6602</v>
      </c>
      <c r="C2319" s="89"/>
      <c r="D2319" s="18">
        <v>101654</v>
      </c>
      <c r="E2319" s="2" t="s">
        <v>266</v>
      </c>
      <c r="F2319" s="15">
        <v>16131.2</v>
      </c>
      <c r="G2319" s="41">
        <v>42785</v>
      </c>
      <c r="H2319" s="15">
        <f t="shared" si="67"/>
        <v>16131.2</v>
      </c>
      <c r="I2319" s="15">
        <f t="shared" si="66"/>
        <v>0</v>
      </c>
      <c r="J2319" s="19"/>
    </row>
    <row r="2320" spans="1:10" x14ac:dyDescent="0.25">
      <c r="A2320" s="82">
        <v>42785</v>
      </c>
      <c r="B2320" s="39" t="s">
        <v>6603</v>
      </c>
      <c r="C2320" s="89"/>
      <c r="D2320" s="18">
        <v>101655</v>
      </c>
      <c r="E2320" s="2" t="s">
        <v>492</v>
      </c>
      <c r="F2320" s="15">
        <v>5904</v>
      </c>
      <c r="G2320" s="41">
        <v>42793</v>
      </c>
      <c r="H2320" s="15">
        <f t="shared" si="67"/>
        <v>5904</v>
      </c>
      <c r="I2320" s="15">
        <f t="shared" si="66"/>
        <v>0</v>
      </c>
      <c r="J2320" s="19"/>
    </row>
    <row r="2321" spans="1:10" x14ac:dyDescent="0.25">
      <c r="A2321" s="82">
        <v>42785</v>
      </c>
      <c r="B2321" s="39" t="s">
        <v>6604</v>
      </c>
      <c r="C2321" s="89"/>
      <c r="D2321" s="18">
        <v>101656</v>
      </c>
      <c r="E2321" s="2" t="s">
        <v>30</v>
      </c>
      <c r="F2321" s="15">
        <v>385</v>
      </c>
      <c r="G2321" s="41">
        <v>42785</v>
      </c>
      <c r="H2321" s="15">
        <f t="shared" si="67"/>
        <v>385</v>
      </c>
      <c r="I2321" s="15">
        <f t="shared" si="66"/>
        <v>0</v>
      </c>
      <c r="J2321" s="19"/>
    </row>
    <row r="2322" spans="1:10" x14ac:dyDescent="0.25">
      <c r="A2322" s="82">
        <v>42785</v>
      </c>
      <c r="B2322" s="39" t="s">
        <v>6605</v>
      </c>
      <c r="C2322" s="89"/>
      <c r="D2322" s="18">
        <v>101657</v>
      </c>
      <c r="E2322" s="2" t="s">
        <v>470</v>
      </c>
      <c r="F2322" s="15">
        <v>8598.5400000000009</v>
      </c>
      <c r="G2322" s="41">
        <v>42785</v>
      </c>
      <c r="H2322" s="15">
        <f t="shared" si="67"/>
        <v>8598.5400000000009</v>
      </c>
      <c r="I2322" s="15">
        <f t="shared" si="66"/>
        <v>0</v>
      </c>
      <c r="J2322" s="19"/>
    </row>
    <row r="2323" spans="1:10" x14ac:dyDescent="0.25">
      <c r="A2323" s="82">
        <v>42785</v>
      </c>
      <c r="B2323" s="39" t="s">
        <v>6606</v>
      </c>
      <c r="C2323" s="89"/>
      <c r="D2323" s="18">
        <v>101658</v>
      </c>
      <c r="E2323" s="2" t="s">
        <v>1968</v>
      </c>
      <c r="F2323" s="15">
        <v>3819.9</v>
      </c>
      <c r="G2323" s="41">
        <v>42785</v>
      </c>
      <c r="H2323" s="15">
        <f t="shared" si="67"/>
        <v>3819.9</v>
      </c>
      <c r="I2323" s="15">
        <f t="shared" si="66"/>
        <v>0</v>
      </c>
      <c r="J2323" s="19"/>
    </row>
    <row r="2324" spans="1:10" x14ac:dyDescent="0.25">
      <c r="A2324" s="82">
        <v>42785</v>
      </c>
      <c r="B2324" s="39" t="s">
        <v>6607</v>
      </c>
      <c r="C2324" s="89"/>
      <c r="D2324" s="18">
        <v>101659</v>
      </c>
      <c r="E2324" s="2" t="s">
        <v>47</v>
      </c>
      <c r="F2324" s="15">
        <v>3293.4</v>
      </c>
      <c r="G2324" s="41">
        <v>42785</v>
      </c>
      <c r="H2324" s="15">
        <f t="shared" si="67"/>
        <v>3293.4</v>
      </c>
      <c r="I2324" s="15">
        <f t="shared" si="66"/>
        <v>0</v>
      </c>
      <c r="J2324" s="19"/>
    </row>
    <row r="2325" spans="1:10" x14ac:dyDescent="0.25">
      <c r="A2325" s="82">
        <v>42785</v>
      </c>
      <c r="B2325" s="39" t="s">
        <v>6608</v>
      </c>
      <c r="C2325" s="89"/>
      <c r="D2325" s="18">
        <v>101660</v>
      </c>
      <c r="E2325" s="2" t="s">
        <v>240</v>
      </c>
      <c r="F2325" s="15">
        <v>5448</v>
      </c>
      <c r="G2325" s="41">
        <v>42785</v>
      </c>
      <c r="H2325" s="15">
        <f t="shared" si="67"/>
        <v>5448</v>
      </c>
      <c r="I2325" s="15">
        <f t="shared" si="66"/>
        <v>0</v>
      </c>
      <c r="J2325" s="19"/>
    </row>
    <row r="2326" spans="1:10" x14ac:dyDescent="0.25">
      <c r="A2326" s="82">
        <v>42785</v>
      </c>
      <c r="B2326" s="39" t="s">
        <v>6609</v>
      </c>
      <c r="C2326" s="89"/>
      <c r="D2326" s="18">
        <v>101661</v>
      </c>
      <c r="E2326" s="2" t="s">
        <v>1090</v>
      </c>
      <c r="F2326" s="15">
        <v>1393.7</v>
      </c>
      <c r="G2326" s="41">
        <v>42785</v>
      </c>
      <c r="H2326" s="15">
        <f t="shared" si="67"/>
        <v>1393.7</v>
      </c>
      <c r="I2326" s="15">
        <f t="shared" si="66"/>
        <v>0</v>
      </c>
      <c r="J2326" s="19"/>
    </row>
    <row r="2327" spans="1:10" x14ac:dyDescent="0.25">
      <c r="A2327" s="82">
        <v>42785</v>
      </c>
      <c r="B2327" s="39" t="s">
        <v>6610</v>
      </c>
      <c r="C2327" s="89"/>
      <c r="D2327" s="18">
        <v>101662</v>
      </c>
      <c r="E2327" s="2" t="s">
        <v>1645</v>
      </c>
      <c r="F2327" s="15">
        <v>1362.2</v>
      </c>
      <c r="G2327" s="41">
        <v>42785</v>
      </c>
      <c r="H2327" s="15">
        <f t="shared" si="67"/>
        <v>1362.2</v>
      </c>
      <c r="I2327" s="15">
        <f t="shared" si="66"/>
        <v>0</v>
      </c>
      <c r="J2327" s="19"/>
    </row>
    <row r="2328" spans="1:10" x14ac:dyDescent="0.25">
      <c r="A2328" s="82">
        <v>42785</v>
      </c>
      <c r="B2328" s="39" t="s">
        <v>6611</v>
      </c>
      <c r="C2328" s="89"/>
      <c r="D2328" s="18">
        <v>101663</v>
      </c>
      <c r="E2328" s="2" t="s">
        <v>157</v>
      </c>
      <c r="F2328" s="15">
        <v>13753</v>
      </c>
      <c r="G2328" s="41">
        <v>42785</v>
      </c>
      <c r="H2328" s="15">
        <f t="shared" si="67"/>
        <v>13753</v>
      </c>
      <c r="I2328" s="15">
        <f t="shared" si="66"/>
        <v>0</v>
      </c>
      <c r="J2328" s="19"/>
    </row>
    <row r="2329" spans="1:10" x14ac:dyDescent="0.25">
      <c r="A2329" s="82">
        <v>42785</v>
      </c>
      <c r="B2329" s="39" t="s">
        <v>6612</v>
      </c>
      <c r="C2329" s="89"/>
      <c r="D2329" s="18">
        <v>101664</v>
      </c>
      <c r="E2329" s="2" t="s">
        <v>115</v>
      </c>
      <c r="F2329" s="15">
        <v>691.8</v>
      </c>
      <c r="G2329" s="41">
        <v>42785</v>
      </c>
      <c r="H2329" s="15">
        <f t="shared" si="67"/>
        <v>691.8</v>
      </c>
      <c r="I2329" s="15">
        <f t="shared" si="66"/>
        <v>0</v>
      </c>
      <c r="J2329" s="19"/>
    </row>
    <row r="2330" spans="1:10" x14ac:dyDescent="0.25">
      <c r="A2330" s="82">
        <v>42785</v>
      </c>
      <c r="B2330" s="39" t="s">
        <v>6613</v>
      </c>
      <c r="C2330" s="89"/>
      <c r="D2330" s="18">
        <v>101665</v>
      </c>
      <c r="E2330" s="2" t="s">
        <v>85</v>
      </c>
      <c r="F2330" s="15">
        <v>9835.7999999999993</v>
      </c>
      <c r="G2330" s="41">
        <v>42785</v>
      </c>
      <c r="H2330" s="15">
        <f t="shared" si="67"/>
        <v>9835.7999999999993</v>
      </c>
      <c r="I2330" s="15">
        <f t="shared" si="66"/>
        <v>0</v>
      </c>
      <c r="J2330" s="19"/>
    </row>
    <row r="2331" spans="1:10" x14ac:dyDescent="0.25">
      <c r="A2331" s="82">
        <v>42785</v>
      </c>
      <c r="B2331" s="39" t="s">
        <v>6614</v>
      </c>
      <c r="C2331" s="89"/>
      <c r="D2331" s="18">
        <v>101666</v>
      </c>
      <c r="E2331" s="2" t="s">
        <v>168</v>
      </c>
      <c r="F2331" s="15">
        <v>1461.8</v>
      </c>
      <c r="G2331" s="41">
        <v>42785</v>
      </c>
      <c r="H2331" s="15">
        <f t="shared" si="67"/>
        <v>1461.8</v>
      </c>
      <c r="I2331" s="15">
        <f t="shared" si="66"/>
        <v>0</v>
      </c>
      <c r="J2331" s="19"/>
    </row>
    <row r="2332" spans="1:10" x14ac:dyDescent="0.25">
      <c r="A2332" s="82">
        <v>42785</v>
      </c>
      <c r="B2332" s="39" t="s">
        <v>6615</v>
      </c>
      <c r="C2332" s="89"/>
      <c r="D2332" s="18">
        <v>101667</v>
      </c>
      <c r="E2332" s="2" t="s">
        <v>81</v>
      </c>
      <c r="F2332" s="15">
        <v>9992.1</v>
      </c>
      <c r="G2332" s="41">
        <v>42786</v>
      </c>
      <c r="H2332" s="15">
        <f t="shared" si="67"/>
        <v>9992.1</v>
      </c>
      <c r="I2332" s="15">
        <f t="shared" si="66"/>
        <v>0</v>
      </c>
      <c r="J2332" s="19"/>
    </row>
    <row r="2333" spans="1:10" x14ac:dyDescent="0.25">
      <c r="A2333" s="82">
        <v>42785</v>
      </c>
      <c r="B2333" s="39" t="s">
        <v>6616</v>
      </c>
      <c r="C2333" s="89"/>
      <c r="D2333" s="18">
        <v>101668</v>
      </c>
      <c r="E2333" s="2" t="s">
        <v>1380</v>
      </c>
      <c r="F2333" s="15">
        <v>8088.88</v>
      </c>
      <c r="G2333" s="41">
        <v>42786</v>
      </c>
      <c r="H2333" s="15">
        <f t="shared" si="67"/>
        <v>8088.88</v>
      </c>
      <c r="I2333" s="15">
        <f t="shared" si="66"/>
        <v>0</v>
      </c>
      <c r="J2333" s="19"/>
    </row>
    <row r="2334" spans="1:10" x14ac:dyDescent="0.25">
      <c r="A2334" s="82">
        <v>42785</v>
      </c>
      <c r="B2334" s="39" t="s">
        <v>6617</v>
      </c>
      <c r="C2334" s="89"/>
      <c r="D2334" s="18">
        <v>101669</v>
      </c>
      <c r="E2334" s="2" t="s">
        <v>101</v>
      </c>
      <c r="F2334" s="15">
        <v>1234.8</v>
      </c>
      <c r="G2334" s="41">
        <v>42786</v>
      </c>
      <c r="H2334" s="15">
        <f t="shared" si="67"/>
        <v>1234.8</v>
      </c>
      <c r="I2334" s="15">
        <f t="shared" si="66"/>
        <v>0</v>
      </c>
      <c r="J2334" s="19"/>
    </row>
    <row r="2335" spans="1:10" x14ac:dyDescent="0.25">
      <c r="A2335" s="82">
        <v>42785</v>
      </c>
      <c r="B2335" s="39" t="s">
        <v>6618</v>
      </c>
      <c r="C2335" s="89"/>
      <c r="D2335" s="18">
        <v>101670</v>
      </c>
      <c r="E2335" s="2" t="s">
        <v>99</v>
      </c>
      <c r="F2335" s="15">
        <v>2940</v>
      </c>
      <c r="G2335" s="41">
        <v>42786</v>
      </c>
      <c r="H2335" s="15">
        <f t="shared" si="67"/>
        <v>2940</v>
      </c>
      <c r="I2335" s="15">
        <f t="shared" si="66"/>
        <v>0</v>
      </c>
      <c r="J2335" s="19"/>
    </row>
    <row r="2336" spans="1:10" x14ac:dyDescent="0.25">
      <c r="A2336" s="82">
        <v>42785</v>
      </c>
      <c r="B2336" s="39" t="s">
        <v>6619</v>
      </c>
      <c r="C2336" s="89"/>
      <c r="D2336" s="18">
        <v>101671</v>
      </c>
      <c r="E2336" s="2" t="s">
        <v>4367</v>
      </c>
      <c r="F2336" s="15">
        <v>1590</v>
      </c>
      <c r="G2336" s="41">
        <v>42786</v>
      </c>
      <c r="H2336" s="15">
        <f t="shared" si="67"/>
        <v>1590</v>
      </c>
      <c r="I2336" s="15">
        <f t="shared" si="66"/>
        <v>0</v>
      </c>
      <c r="J2336" s="19"/>
    </row>
    <row r="2337" spans="1:10" x14ac:dyDescent="0.25">
      <c r="A2337" s="82">
        <v>42785</v>
      </c>
      <c r="B2337" s="39" t="s">
        <v>6620</v>
      </c>
      <c r="C2337" s="89"/>
      <c r="D2337" s="18">
        <v>101672</v>
      </c>
      <c r="E2337" s="2" t="s">
        <v>6621</v>
      </c>
      <c r="F2337" s="15">
        <v>1660</v>
      </c>
      <c r="G2337" s="41">
        <v>42785</v>
      </c>
      <c r="H2337" s="15">
        <f t="shared" si="67"/>
        <v>1660</v>
      </c>
      <c r="I2337" s="15">
        <f t="shared" si="66"/>
        <v>0</v>
      </c>
      <c r="J2337" s="19"/>
    </row>
    <row r="2338" spans="1:10" x14ac:dyDescent="0.25">
      <c r="A2338" s="82">
        <v>42785</v>
      </c>
      <c r="B2338" s="39" t="s">
        <v>6622</v>
      </c>
      <c r="C2338" s="89"/>
      <c r="D2338" s="18">
        <v>101673</v>
      </c>
      <c r="E2338" s="2" t="s">
        <v>88</v>
      </c>
      <c r="F2338" s="15">
        <v>964.8</v>
      </c>
      <c r="G2338" s="41">
        <v>42786</v>
      </c>
      <c r="H2338" s="15">
        <f t="shared" si="67"/>
        <v>964.8</v>
      </c>
      <c r="I2338" s="15">
        <f t="shared" si="66"/>
        <v>0</v>
      </c>
      <c r="J2338" s="19"/>
    </row>
    <row r="2339" spans="1:10" x14ac:dyDescent="0.25">
      <c r="A2339" s="82">
        <v>42785</v>
      </c>
      <c r="B2339" s="39" t="s">
        <v>6623</v>
      </c>
      <c r="C2339" s="89"/>
      <c r="D2339" s="18">
        <v>101674</v>
      </c>
      <c r="E2339" s="2" t="s">
        <v>1259</v>
      </c>
      <c r="F2339" s="15">
        <v>1843.2</v>
      </c>
      <c r="G2339" s="41">
        <v>42786</v>
      </c>
      <c r="H2339" s="15">
        <f t="shared" si="67"/>
        <v>1843.2</v>
      </c>
      <c r="I2339" s="15">
        <f t="shared" si="66"/>
        <v>0</v>
      </c>
      <c r="J2339" s="19"/>
    </row>
    <row r="2340" spans="1:10" x14ac:dyDescent="0.25">
      <c r="A2340" s="82">
        <v>42785</v>
      </c>
      <c r="B2340" s="39" t="s">
        <v>6624</v>
      </c>
      <c r="C2340" s="89"/>
      <c r="D2340" s="18">
        <v>101675</v>
      </c>
      <c r="E2340" s="2" t="s">
        <v>291</v>
      </c>
      <c r="F2340" s="15">
        <v>2550</v>
      </c>
      <c r="G2340" s="41">
        <v>42786</v>
      </c>
      <c r="H2340" s="15">
        <f t="shared" si="67"/>
        <v>2550</v>
      </c>
      <c r="I2340" s="15">
        <f t="shared" si="66"/>
        <v>0</v>
      </c>
      <c r="J2340" s="19"/>
    </row>
    <row r="2341" spans="1:10" x14ac:dyDescent="0.25">
      <c r="A2341" s="82">
        <v>42785</v>
      </c>
      <c r="B2341" s="39" t="s">
        <v>6625</v>
      </c>
      <c r="C2341" s="89"/>
      <c r="D2341" s="18">
        <v>101676</v>
      </c>
      <c r="E2341" s="2" t="s">
        <v>83</v>
      </c>
      <c r="F2341" s="15">
        <v>5406</v>
      </c>
      <c r="G2341" s="41">
        <v>42786</v>
      </c>
      <c r="H2341" s="15">
        <f t="shared" si="67"/>
        <v>5406</v>
      </c>
      <c r="I2341" s="15">
        <f t="shared" si="66"/>
        <v>0</v>
      </c>
      <c r="J2341" s="19"/>
    </row>
    <row r="2342" spans="1:10" x14ac:dyDescent="0.25">
      <c r="A2342" s="82">
        <v>42785</v>
      </c>
      <c r="B2342" s="39" t="s">
        <v>6626</v>
      </c>
      <c r="C2342" s="89"/>
      <c r="D2342" s="18">
        <v>101677</v>
      </c>
      <c r="E2342" s="2" t="s">
        <v>289</v>
      </c>
      <c r="F2342" s="15">
        <v>11484.6</v>
      </c>
      <c r="G2342" s="41">
        <v>42798</v>
      </c>
      <c r="H2342" s="15">
        <f t="shared" si="67"/>
        <v>11484.6</v>
      </c>
      <c r="I2342" s="15">
        <f t="shared" si="66"/>
        <v>0</v>
      </c>
      <c r="J2342" s="19"/>
    </row>
    <row r="2343" spans="1:10" x14ac:dyDescent="0.25">
      <c r="A2343" s="82">
        <v>42785</v>
      </c>
      <c r="B2343" s="39" t="s">
        <v>6627</v>
      </c>
      <c r="C2343" s="89"/>
      <c r="D2343" s="18">
        <v>101678</v>
      </c>
      <c r="E2343" s="2" t="s">
        <v>109</v>
      </c>
      <c r="F2343" s="15">
        <v>4650</v>
      </c>
      <c r="G2343" s="41">
        <v>42786</v>
      </c>
      <c r="H2343" s="15">
        <f t="shared" si="67"/>
        <v>4650</v>
      </c>
      <c r="I2343" s="15">
        <f t="shared" si="66"/>
        <v>0</v>
      </c>
      <c r="J2343" s="19"/>
    </row>
    <row r="2344" spans="1:10" x14ac:dyDescent="0.25">
      <c r="A2344" s="82">
        <v>42785</v>
      </c>
      <c r="B2344" s="39" t="s">
        <v>6628</v>
      </c>
      <c r="C2344" s="89"/>
      <c r="D2344" s="18">
        <v>101679</v>
      </c>
      <c r="E2344" s="13" t="s">
        <v>305</v>
      </c>
      <c r="F2344" s="14">
        <v>0</v>
      </c>
      <c r="G2344" s="88" t="s">
        <v>95</v>
      </c>
      <c r="H2344" s="14">
        <f t="shared" si="67"/>
        <v>0</v>
      </c>
      <c r="I2344" s="14">
        <f t="shared" si="66"/>
        <v>0</v>
      </c>
      <c r="J2344" s="19"/>
    </row>
    <row r="2345" spans="1:10" x14ac:dyDescent="0.25">
      <c r="A2345" s="82">
        <v>42785</v>
      </c>
      <c r="B2345" s="39" t="s">
        <v>6629</v>
      </c>
      <c r="C2345" s="89"/>
      <c r="D2345" s="18">
        <v>101680</v>
      </c>
      <c r="E2345" s="2" t="s">
        <v>476</v>
      </c>
      <c r="F2345" s="15">
        <v>9382.7999999999993</v>
      </c>
      <c r="G2345" s="41">
        <v>42786</v>
      </c>
      <c r="H2345" s="15">
        <f t="shared" si="67"/>
        <v>9382.7999999999993</v>
      </c>
      <c r="I2345" s="15">
        <f t="shared" si="66"/>
        <v>0</v>
      </c>
      <c r="J2345" s="19"/>
    </row>
    <row r="2346" spans="1:10" x14ac:dyDescent="0.25">
      <c r="A2346" s="82">
        <v>42785</v>
      </c>
      <c r="B2346" s="39" t="s">
        <v>6630</v>
      </c>
      <c r="C2346" s="89"/>
      <c r="D2346" s="18">
        <v>101681</v>
      </c>
      <c r="E2346" s="2" t="s">
        <v>305</v>
      </c>
      <c r="F2346" s="15">
        <v>6549</v>
      </c>
      <c r="G2346" s="41">
        <v>42787</v>
      </c>
      <c r="H2346" s="15">
        <f t="shared" si="67"/>
        <v>6549</v>
      </c>
      <c r="I2346" s="15">
        <f t="shared" si="66"/>
        <v>0</v>
      </c>
      <c r="J2346" s="19"/>
    </row>
    <row r="2347" spans="1:10" x14ac:dyDescent="0.25">
      <c r="A2347" s="82">
        <v>42785</v>
      </c>
      <c r="B2347" s="39" t="s">
        <v>6631</v>
      </c>
      <c r="C2347" s="89"/>
      <c r="D2347" s="18">
        <v>101682</v>
      </c>
      <c r="E2347" s="2" t="s">
        <v>149</v>
      </c>
      <c r="F2347" s="15">
        <v>559</v>
      </c>
      <c r="G2347" s="41">
        <v>42785</v>
      </c>
      <c r="H2347" s="15">
        <f t="shared" si="67"/>
        <v>559</v>
      </c>
      <c r="I2347" s="15">
        <f t="shared" si="66"/>
        <v>0</v>
      </c>
      <c r="J2347" s="19"/>
    </row>
    <row r="2348" spans="1:10" x14ac:dyDescent="0.25">
      <c r="A2348" s="82">
        <v>42785</v>
      </c>
      <c r="B2348" s="39" t="s">
        <v>6632</v>
      </c>
      <c r="C2348" s="89"/>
      <c r="D2348" s="18">
        <v>101683</v>
      </c>
      <c r="E2348" s="2" t="s">
        <v>133</v>
      </c>
      <c r="F2348" s="15">
        <v>1036</v>
      </c>
      <c r="G2348" s="41">
        <v>42785</v>
      </c>
      <c r="H2348" s="15">
        <f t="shared" si="67"/>
        <v>1036</v>
      </c>
      <c r="I2348" s="15">
        <f t="shared" si="66"/>
        <v>0</v>
      </c>
      <c r="J2348" s="19"/>
    </row>
    <row r="2349" spans="1:10" x14ac:dyDescent="0.25">
      <c r="A2349" s="82">
        <v>42785</v>
      </c>
      <c r="B2349" s="39" t="s">
        <v>6633</v>
      </c>
      <c r="C2349" s="89"/>
      <c r="D2349" s="18">
        <v>101684</v>
      </c>
      <c r="E2349" s="2" t="s">
        <v>133</v>
      </c>
      <c r="F2349" s="15">
        <v>455.1</v>
      </c>
      <c r="G2349" s="41">
        <v>42785</v>
      </c>
      <c r="H2349" s="15">
        <f t="shared" si="67"/>
        <v>455.1</v>
      </c>
      <c r="I2349" s="15">
        <f t="shared" si="66"/>
        <v>0</v>
      </c>
      <c r="J2349" s="19"/>
    </row>
    <row r="2350" spans="1:10" x14ac:dyDescent="0.25">
      <c r="A2350" s="82">
        <v>42785</v>
      </c>
      <c r="B2350" s="39" t="s">
        <v>6634</v>
      </c>
      <c r="C2350" s="89"/>
      <c r="D2350" s="18">
        <v>101685</v>
      </c>
      <c r="E2350" s="2" t="s">
        <v>480</v>
      </c>
      <c r="F2350" s="15">
        <v>1876.02</v>
      </c>
      <c r="G2350" s="41">
        <v>42785</v>
      </c>
      <c r="H2350" s="15">
        <f t="shared" si="67"/>
        <v>1876.02</v>
      </c>
      <c r="I2350" s="15">
        <f t="shared" si="66"/>
        <v>0</v>
      </c>
      <c r="J2350" s="19"/>
    </row>
    <row r="2351" spans="1:10" x14ac:dyDescent="0.25">
      <c r="A2351" s="82">
        <v>42785</v>
      </c>
      <c r="B2351" s="39" t="s">
        <v>6635</v>
      </c>
      <c r="C2351" s="89"/>
      <c r="D2351" s="18">
        <v>101686</v>
      </c>
      <c r="E2351" s="2" t="s">
        <v>57</v>
      </c>
      <c r="F2351" s="15">
        <v>592.9</v>
      </c>
      <c r="G2351" s="41">
        <v>42786</v>
      </c>
      <c r="H2351" s="15">
        <f t="shared" si="67"/>
        <v>592.9</v>
      </c>
      <c r="I2351" s="15">
        <f t="shared" si="66"/>
        <v>0</v>
      </c>
      <c r="J2351" s="19"/>
    </row>
    <row r="2352" spans="1:10" x14ac:dyDescent="0.25">
      <c r="A2352" s="82">
        <v>42785</v>
      </c>
      <c r="B2352" s="39" t="s">
        <v>6636</v>
      </c>
      <c r="C2352" s="89"/>
      <c r="D2352" s="18">
        <v>101687</v>
      </c>
      <c r="E2352" s="2" t="s">
        <v>211</v>
      </c>
      <c r="F2352" s="15">
        <v>8551</v>
      </c>
      <c r="H2352" s="15">
        <f t="shared" si="67"/>
        <v>8551</v>
      </c>
      <c r="I2352" s="15">
        <f t="shared" si="66"/>
        <v>0</v>
      </c>
      <c r="J2352" s="19"/>
    </row>
    <row r="2353" spans="1:10" x14ac:dyDescent="0.25">
      <c r="A2353" s="82">
        <v>42785</v>
      </c>
      <c r="B2353" s="39" t="s">
        <v>6637</v>
      </c>
      <c r="C2353" s="89"/>
      <c r="D2353" s="18">
        <v>101688</v>
      </c>
      <c r="E2353" s="2" t="s">
        <v>30</v>
      </c>
      <c r="F2353" s="15">
        <v>432</v>
      </c>
      <c r="G2353" s="41">
        <v>42785</v>
      </c>
      <c r="H2353" s="15">
        <f t="shared" si="67"/>
        <v>432</v>
      </c>
      <c r="I2353" s="15">
        <f t="shared" si="66"/>
        <v>0</v>
      </c>
      <c r="J2353" s="19"/>
    </row>
    <row r="2354" spans="1:10" x14ac:dyDescent="0.25">
      <c r="A2354" s="82">
        <v>42785</v>
      </c>
      <c r="B2354" s="39" t="s">
        <v>6638</v>
      </c>
      <c r="C2354" s="89"/>
      <c r="D2354" s="18">
        <v>101689</v>
      </c>
      <c r="E2354" s="2" t="s">
        <v>21</v>
      </c>
      <c r="F2354" s="15">
        <v>27031.5</v>
      </c>
      <c r="G2354" s="41">
        <v>42800</v>
      </c>
      <c r="H2354" s="15">
        <f t="shared" si="67"/>
        <v>27031.5</v>
      </c>
      <c r="I2354" s="15">
        <f t="shared" si="66"/>
        <v>0</v>
      </c>
      <c r="J2354" s="19"/>
    </row>
    <row r="2355" spans="1:10" x14ac:dyDescent="0.25">
      <c r="A2355" s="82">
        <v>42785</v>
      </c>
      <c r="B2355" s="39" t="s">
        <v>6639</v>
      </c>
      <c r="C2355" s="89"/>
      <c r="D2355" s="18">
        <v>101690</v>
      </c>
      <c r="E2355" s="2" t="s">
        <v>55</v>
      </c>
      <c r="F2355" s="15">
        <v>9787.4</v>
      </c>
      <c r="G2355" s="41">
        <v>42785</v>
      </c>
      <c r="H2355" s="15">
        <f t="shared" si="67"/>
        <v>9787.4</v>
      </c>
      <c r="I2355" s="15">
        <f t="shared" si="66"/>
        <v>0</v>
      </c>
      <c r="J2355" s="19"/>
    </row>
    <row r="2356" spans="1:10" x14ac:dyDescent="0.25">
      <c r="A2356" s="82">
        <v>42785</v>
      </c>
      <c r="B2356" s="39" t="s">
        <v>6640</v>
      </c>
      <c r="C2356" s="89"/>
      <c r="D2356" s="18">
        <v>101691</v>
      </c>
      <c r="E2356" s="2" t="s">
        <v>354</v>
      </c>
      <c r="F2356" s="15">
        <v>411.7</v>
      </c>
      <c r="G2356" s="41">
        <v>42785</v>
      </c>
      <c r="H2356" s="15">
        <f t="shared" si="67"/>
        <v>411.7</v>
      </c>
      <c r="I2356" s="15">
        <f t="shared" si="66"/>
        <v>0</v>
      </c>
      <c r="J2356" s="19"/>
    </row>
    <row r="2357" spans="1:10" x14ac:dyDescent="0.25">
      <c r="A2357" s="82">
        <v>42785</v>
      </c>
      <c r="B2357" s="39" t="s">
        <v>6641</v>
      </c>
      <c r="C2357" s="89"/>
      <c r="D2357" s="18">
        <v>101692</v>
      </c>
      <c r="E2357" s="2" t="s">
        <v>354</v>
      </c>
      <c r="F2357" s="15">
        <v>38</v>
      </c>
      <c r="G2357" s="41">
        <v>42785</v>
      </c>
      <c r="H2357" s="15">
        <f t="shared" si="67"/>
        <v>38</v>
      </c>
      <c r="I2357" s="15">
        <f t="shared" si="66"/>
        <v>0</v>
      </c>
      <c r="J2357" s="19"/>
    </row>
    <row r="2358" spans="1:10" x14ac:dyDescent="0.25">
      <c r="A2358" s="82">
        <v>42786</v>
      </c>
      <c r="B2358" s="39" t="s">
        <v>6642</v>
      </c>
      <c r="C2358" s="89"/>
      <c r="D2358" s="18">
        <v>101693</v>
      </c>
      <c r="E2358" s="2" t="s">
        <v>231</v>
      </c>
      <c r="F2358" s="15">
        <v>5875.4</v>
      </c>
      <c r="G2358" s="41">
        <v>42786</v>
      </c>
      <c r="H2358" s="15">
        <f t="shared" si="67"/>
        <v>5875.4</v>
      </c>
      <c r="I2358" s="15">
        <f t="shared" si="66"/>
        <v>0</v>
      </c>
      <c r="J2358" s="19"/>
    </row>
    <row r="2359" spans="1:10" x14ac:dyDescent="0.25">
      <c r="A2359" s="82">
        <v>42786</v>
      </c>
      <c r="B2359" s="39" t="s">
        <v>6643</v>
      </c>
      <c r="C2359" s="89"/>
      <c r="D2359" s="18">
        <v>101694</v>
      </c>
      <c r="E2359" s="2" t="s">
        <v>231</v>
      </c>
      <c r="F2359" s="15">
        <v>36261.9</v>
      </c>
      <c r="G2359" s="41">
        <v>42787</v>
      </c>
      <c r="H2359" s="15">
        <f t="shared" si="67"/>
        <v>36261.9</v>
      </c>
      <c r="I2359" s="15">
        <f t="shared" si="66"/>
        <v>0</v>
      </c>
      <c r="J2359" s="19"/>
    </row>
    <row r="2360" spans="1:10" x14ac:dyDescent="0.25">
      <c r="A2360" s="82">
        <v>42786</v>
      </c>
      <c r="B2360" s="39" t="s">
        <v>6644</v>
      </c>
      <c r="C2360" s="89"/>
      <c r="D2360" s="18">
        <v>101695</v>
      </c>
      <c r="E2360" s="2" t="s">
        <v>26</v>
      </c>
      <c r="F2360" s="15">
        <v>24108</v>
      </c>
      <c r="G2360" s="41">
        <v>42786</v>
      </c>
      <c r="H2360" s="15">
        <f t="shared" si="67"/>
        <v>24108</v>
      </c>
      <c r="I2360" s="15">
        <f t="shared" ref="I2360:I2423" si="68">F2360-H2360</f>
        <v>0</v>
      </c>
      <c r="J2360" s="19"/>
    </row>
    <row r="2361" spans="1:10" x14ac:dyDescent="0.25">
      <c r="A2361" s="82">
        <v>42786</v>
      </c>
      <c r="B2361" s="39" t="s">
        <v>6645</v>
      </c>
      <c r="C2361" s="89"/>
      <c r="D2361" s="18">
        <v>101696</v>
      </c>
      <c r="E2361" s="2" t="s">
        <v>118</v>
      </c>
      <c r="F2361" s="15">
        <v>34178.400000000001</v>
      </c>
      <c r="G2361" s="41">
        <v>42786</v>
      </c>
      <c r="H2361" s="15">
        <f t="shared" si="67"/>
        <v>34178.400000000001</v>
      </c>
      <c r="I2361" s="15">
        <f t="shared" si="68"/>
        <v>0</v>
      </c>
      <c r="J2361" s="19"/>
    </row>
    <row r="2362" spans="1:10" x14ac:dyDescent="0.25">
      <c r="A2362" s="82">
        <v>42786</v>
      </c>
      <c r="B2362" s="39" t="s">
        <v>6646</v>
      </c>
      <c r="C2362" s="89"/>
      <c r="D2362" s="18">
        <v>101697</v>
      </c>
      <c r="E2362" s="2" t="s">
        <v>785</v>
      </c>
      <c r="F2362" s="15">
        <v>14672.2</v>
      </c>
      <c r="G2362" s="41">
        <v>42786</v>
      </c>
      <c r="H2362" s="15">
        <f t="shared" si="67"/>
        <v>14672.2</v>
      </c>
      <c r="I2362" s="15">
        <f t="shared" si="68"/>
        <v>0</v>
      </c>
      <c r="J2362" s="19"/>
    </row>
    <row r="2363" spans="1:10" x14ac:dyDescent="0.25">
      <c r="A2363" s="82">
        <v>42786</v>
      </c>
      <c r="B2363" s="39" t="s">
        <v>6647</v>
      </c>
      <c r="C2363" s="89"/>
      <c r="D2363" s="18">
        <v>101698</v>
      </c>
      <c r="E2363" s="2" t="s">
        <v>71</v>
      </c>
      <c r="F2363" s="15">
        <v>1879.5</v>
      </c>
      <c r="G2363" s="41">
        <v>42786</v>
      </c>
      <c r="H2363" s="15">
        <f t="shared" si="67"/>
        <v>1879.5</v>
      </c>
      <c r="I2363" s="15">
        <f t="shared" si="68"/>
        <v>0</v>
      </c>
      <c r="J2363" s="19"/>
    </row>
    <row r="2364" spans="1:10" x14ac:dyDescent="0.25">
      <c r="A2364" s="82">
        <v>42786</v>
      </c>
      <c r="B2364" s="39" t="s">
        <v>6648</v>
      </c>
      <c r="C2364" s="89"/>
      <c r="D2364" s="18">
        <v>101699</v>
      </c>
      <c r="E2364" s="2" t="s">
        <v>17</v>
      </c>
      <c r="F2364" s="15">
        <v>2205</v>
      </c>
      <c r="G2364" s="41">
        <v>42786</v>
      </c>
      <c r="H2364" s="15">
        <f t="shared" si="67"/>
        <v>2205</v>
      </c>
      <c r="I2364" s="15">
        <f t="shared" si="68"/>
        <v>0</v>
      </c>
      <c r="J2364" s="19"/>
    </row>
    <row r="2365" spans="1:10" x14ac:dyDescent="0.25">
      <c r="A2365" s="82">
        <v>42786</v>
      </c>
      <c r="B2365" s="39" t="s">
        <v>6649</v>
      </c>
      <c r="C2365" s="89"/>
      <c r="D2365" s="18">
        <v>101700</v>
      </c>
      <c r="E2365" s="2" t="s">
        <v>1830</v>
      </c>
      <c r="F2365" s="15">
        <v>9800.9</v>
      </c>
      <c r="G2365" s="41">
        <v>42786</v>
      </c>
      <c r="H2365" s="15">
        <f t="shared" si="67"/>
        <v>9800.9</v>
      </c>
      <c r="I2365" s="15">
        <f t="shared" si="68"/>
        <v>0</v>
      </c>
      <c r="J2365" s="19"/>
    </row>
    <row r="2366" spans="1:10" x14ac:dyDescent="0.25">
      <c r="A2366" s="82">
        <v>42786</v>
      </c>
      <c r="B2366" s="39" t="s">
        <v>6650</v>
      </c>
      <c r="C2366" s="89"/>
      <c r="D2366" s="18">
        <v>101701</v>
      </c>
      <c r="E2366" s="2" t="s">
        <v>186</v>
      </c>
      <c r="F2366" s="15">
        <v>2791.8</v>
      </c>
      <c r="G2366" s="41">
        <v>42791</v>
      </c>
      <c r="H2366" s="15">
        <f t="shared" si="67"/>
        <v>2791.8</v>
      </c>
      <c r="I2366" s="15">
        <f t="shared" si="68"/>
        <v>0</v>
      </c>
      <c r="J2366" s="19"/>
    </row>
    <row r="2367" spans="1:10" x14ac:dyDescent="0.25">
      <c r="A2367" s="82">
        <v>42786</v>
      </c>
      <c r="B2367" s="39" t="s">
        <v>6651</v>
      </c>
      <c r="C2367" s="89"/>
      <c r="D2367" s="18">
        <v>101702</v>
      </c>
      <c r="E2367" s="2" t="s">
        <v>30</v>
      </c>
      <c r="F2367" s="15">
        <v>1031.04</v>
      </c>
      <c r="G2367" s="41">
        <v>42786</v>
      </c>
      <c r="H2367" s="15">
        <f t="shared" si="67"/>
        <v>1031.04</v>
      </c>
      <c r="I2367" s="15">
        <f t="shared" si="68"/>
        <v>0</v>
      </c>
      <c r="J2367" s="19"/>
    </row>
    <row r="2368" spans="1:10" x14ac:dyDescent="0.25">
      <c r="A2368" s="82">
        <v>42786</v>
      </c>
      <c r="B2368" s="39" t="s">
        <v>6652</v>
      </c>
      <c r="C2368" s="89"/>
      <c r="D2368" s="18">
        <v>101703</v>
      </c>
      <c r="E2368" s="2" t="s">
        <v>28</v>
      </c>
      <c r="F2368" s="15">
        <v>10524.8</v>
      </c>
      <c r="G2368" s="41">
        <v>42786</v>
      </c>
      <c r="H2368" s="15">
        <f t="shared" si="67"/>
        <v>10524.8</v>
      </c>
      <c r="I2368" s="15">
        <f t="shared" si="68"/>
        <v>0</v>
      </c>
      <c r="J2368" s="19"/>
    </row>
    <row r="2369" spans="1:10" x14ac:dyDescent="0.25">
      <c r="A2369" s="82">
        <v>42786</v>
      </c>
      <c r="B2369" s="39" t="s">
        <v>6653</v>
      </c>
      <c r="C2369" s="89"/>
      <c r="D2369" s="18">
        <v>101704</v>
      </c>
      <c r="E2369" s="2" t="s">
        <v>974</v>
      </c>
      <c r="F2369" s="15">
        <v>11743.4</v>
      </c>
      <c r="G2369" s="41">
        <v>42786</v>
      </c>
      <c r="H2369" s="15">
        <f t="shared" si="67"/>
        <v>11743.4</v>
      </c>
      <c r="I2369" s="15">
        <f t="shared" si="68"/>
        <v>0</v>
      </c>
      <c r="J2369" s="19"/>
    </row>
    <row r="2370" spans="1:10" x14ac:dyDescent="0.25">
      <c r="A2370" s="82">
        <v>42786</v>
      </c>
      <c r="B2370" s="39" t="s">
        <v>6654</v>
      </c>
      <c r="C2370" s="89"/>
      <c r="D2370" s="18">
        <v>101705</v>
      </c>
      <c r="E2370" s="2" t="s">
        <v>531</v>
      </c>
      <c r="F2370" s="15">
        <v>36775.199999999997</v>
      </c>
      <c r="G2370" s="41">
        <v>42786</v>
      </c>
      <c r="H2370" s="15">
        <f t="shared" si="67"/>
        <v>36775.199999999997</v>
      </c>
      <c r="I2370" s="15">
        <f t="shared" si="68"/>
        <v>0</v>
      </c>
      <c r="J2370" s="19"/>
    </row>
    <row r="2371" spans="1:10" x14ac:dyDescent="0.25">
      <c r="A2371" s="82">
        <v>42786</v>
      </c>
      <c r="B2371" s="39" t="s">
        <v>6655</v>
      </c>
      <c r="C2371" s="89"/>
      <c r="D2371" s="18">
        <v>101706</v>
      </c>
      <c r="E2371" s="2" t="s">
        <v>14</v>
      </c>
      <c r="F2371" s="15">
        <v>18832.599999999999</v>
      </c>
      <c r="G2371" s="41">
        <v>42786</v>
      </c>
      <c r="H2371" s="15">
        <f t="shared" si="67"/>
        <v>18832.599999999999</v>
      </c>
      <c r="I2371" s="15">
        <f t="shared" si="68"/>
        <v>0</v>
      </c>
      <c r="J2371" s="19"/>
    </row>
    <row r="2372" spans="1:10" ht="30" x14ac:dyDescent="0.25">
      <c r="A2372" s="82">
        <v>42786</v>
      </c>
      <c r="B2372" s="95" t="s">
        <v>6656</v>
      </c>
      <c r="C2372" s="89"/>
      <c r="D2372" s="61">
        <v>101707</v>
      </c>
      <c r="E2372" s="62" t="s">
        <v>289</v>
      </c>
      <c r="F2372" s="63">
        <v>96159</v>
      </c>
      <c r="G2372" s="87" t="s">
        <v>7766</v>
      </c>
      <c r="H2372" s="65">
        <f>19767+76392</f>
        <v>96159</v>
      </c>
      <c r="I2372" s="65">
        <f t="shared" si="68"/>
        <v>0</v>
      </c>
      <c r="J2372" s="19"/>
    </row>
    <row r="2373" spans="1:10" x14ac:dyDescent="0.25">
      <c r="A2373" s="82">
        <v>42786</v>
      </c>
      <c r="B2373" s="39" t="s">
        <v>6657</v>
      </c>
      <c r="C2373" s="89"/>
      <c r="D2373" s="18">
        <v>101708</v>
      </c>
      <c r="E2373" s="13" t="s">
        <v>47</v>
      </c>
      <c r="F2373" s="14">
        <v>0</v>
      </c>
      <c r="G2373" s="88" t="s">
        <v>95</v>
      </c>
      <c r="H2373" s="14">
        <f t="shared" ref="H2373:H2435" si="69">F2373</f>
        <v>0</v>
      </c>
      <c r="I2373" s="14">
        <f t="shared" si="68"/>
        <v>0</v>
      </c>
      <c r="J2373" s="19"/>
    </row>
    <row r="2374" spans="1:10" x14ac:dyDescent="0.25">
      <c r="A2374" s="82">
        <v>42786</v>
      </c>
      <c r="B2374" s="39" t="s">
        <v>6658</v>
      </c>
      <c r="C2374" s="89"/>
      <c r="D2374" s="18">
        <v>101709</v>
      </c>
      <c r="E2374" s="2" t="s">
        <v>47</v>
      </c>
      <c r="F2374" s="15">
        <v>4688.2</v>
      </c>
      <c r="G2374" s="41">
        <v>42786</v>
      </c>
      <c r="H2374" s="15">
        <f t="shared" si="69"/>
        <v>4688.2</v>
      </c>
      <c r="I2374" s="15">
        <f t="shared" si="68"/>
        <v>0</v>
      </c>
      <c r="J2374" s="19"/>
    </row>
    <row r="2375" spans="1:10" x14ac:dyDescent="0.25">
      <c r="A2375" s="82">
        <v>42786</v>
      </c>
      <c r="B2375" s="39" t="s">
        <v>6659</v>
      </c>
      <c r="C2375" s="89"/>
      <c r="D2375" s="18">
        <v>101710</v>
      </c>
      <c r="E2375" s="2" t="s">
        <v>302</v>
      </c>
      <c r="F2375" s="15">
        <v>13049.6</v>
      </c>
      <c r="G2375" s="41">
        <v>42786</v>
      </c>
      <c r="H2375" s="15">
        <f t="shared" si="69"/>
        <v>13049.6</v>
      </c>
      <c r="I2375" s="15">
        <f t="shared" si="68"/>
        <v>0</v>
      </c>
      <c r="J2375" s="19"/>
    </row>
    <row r="2376" spans="1:10" x14ac:dyDescent="0.25">
      <c r="A2376" s="82">
        <v>42786</v>
      </c>
      <c r="B2376" s="39" t="s">
        <v>6660</v>
      </c>
      <c r="C2376" s="89"/>
      <c r="D2376" s="18">
        <v>101711</v>
      </c>
      <c r="E2376" s="2" t="s">
        <v>414</v>
      </c>
      <c r="F2376" s="15">
        <v>2238.1999999999998</v>
      </c>
      <c r="G2376" s="41">
        <v>42786</v>
      </c>
      <c r="H2376" s="15">
        <f t="shared" si="69"/>
        <v>2238.1999999999998</v>
      </c>
      <c r="I2376" s="15">
        <f t="shared" si="68"/>
        <v>0</v>
      </c>
      <c r="J2376" s="19"/>
    </row>
    <row r="2377" spans="1:10" x14ac:dyDescent="0.25">
      <c r="A2377" s="82">
        <v>42786</v>
      </c>
      <c r="B2377" s="39" t="s">
        <v>6661</v>
      </c>
      <c r="C2377" s="89"/>
      <c r="D2377" s="18">
        <v>101712</v>
      </c>
      <c r="E2377" s="2" t="s">
        <v>35</v>
      </c>
      <c r="F2377" s="15">
        <v>8812.5</v>
      </c>
      <c r="G2377" s="41">
        <v>42788</v>
      </c>
      <c r="H2377" s="15">
        <f t="shared" si="69"/>
        <v>8812.5</v>
      </c>
      <c r="I2377" s="15">
        <f t="shared" si="68"/>
        <v>0</v>
      </c>
      <c r="J2377" s="19"/>
    </row>
    <row r="2378" spans="1:10" x14ac:dyDescent="0.25">
      <c r="A2378" s="82">
        <v>42786</v>
      </c>
      <c r="B2378" s="39" t="s">
        <v>6662</v>
      </c>
      <c r="C2378" s="89"/>
      <c r="D2378" s="18">
        <v>101713</v>
      </c>
      <c r="E2378" s="2" t="s">
        <v>218</v>
      </c>
      <c r="F2378" s="15">
        <v>77496.600000000006</v>
      </c>
      <c r="G2378" s="41">
        <v>42790</v>
      </c>
      <c r="H2378" s="15">
        <f t="shared" si="69"/>
        <v>77496.600000000006</v>
      </c>
      <c r="I2378" s="15">
        <f t="shared" si="68"/>
        <v>0</v>
      </c>
      <c r="J2378" s="19"/>
    </row>
    <row r="2379" spans="1:10" x14ac:dyDescent="0.25">
      <c r="A2379" s="82">
        <v>42786</v>
      </c>
      <c r="B2379" s="39" t="s">
        <v>6663</v>
      </c>
      <c r="C2379" s="89"/>
      <c r="D2379" s="18">
        <v>101714</v>
      </c>
      <c r="E2379" s="2" t="s">
        <v>43</v>
      </c>
      <c r="F2379" s="15">
        <v>7436.3</v>
      </c>
      <c r="G2379" s="41">
        <v>42788</v>
      </c>
      <c r="H2379" s="15">
        <f t="shared" si="69"/>
        <v>7436.3</v>
      </c>
      <c r="I2379" s="15">
        <f t="shared" si="68"/>
        <v>0</v>
      </c>
      <c r="J2379" s="19"/>
    </row>
    <row r="2380" spans="1:10" x14ac:dyDescent="0.25">
      <c r="A2380" s="82">
        <v>42786</v>
      </c>
      <c r="B2380" s="39" t="s">
        <v>6664</v>
      </c>
      <c r="C2380" s="89"/>
      <c r="D2380" s="18">
        <v>101715</v>
      </c>
      <c r="E2380" s="13" t="s">
        <v>298</v>
      </c>
      <c r="F2380" s="14">
        <v>0</v>
      </c>
      <c r="G2380" s="88" t="s">
        <v>95</v>
      </c>
      <c r="H2380" s="14">
        <f t="shared" si="69"/>
        <v>0</v>
      </c>
      <c r="I2380" s="14">
        <f t="shared" si="68"/>
        <v>0</v>
      </c>
      <c r="J2380" s="19"/>
    </row>
    <row r="2381" spans="1:10" x14ac:dyDescent="0.25">
      <c r="A2381" s="82">
        <v>42786</v>
      </c>
      <c r="B2381" s="39" t="s">
        <v>6665</v>
      </c>
      <c r="C2381" s="89"/>
      <c r="D2381" s="18">
        <v>101716</v>
      </c>
      <c r="E2381" s="2" t="s">
        <v>32</v>
      </c>
      <c r="F2381" s="15">
        <v>5662.5</v>
      </c>
      <c r="G2381" s="41">
        <v>42788</v>
      </c>
      <c r="H2381" s="15">
        <f t="shared" si="69"/>
        <v>5662.5</v>
      </c>
      <c r="I2381" s="15">
        <f t="shared" si="68"/>
        <v>0</v>
      </c>
      <c r="J2381" s="19"/>
    </row>
    <row r="2382" spans="1:10" x14ac:dyDescent="0.25">
      <c r="A2382" s="82">
        <v>42786</v>
      </c>
      <c r="B2382" s="39" t="s">
        <v>6666</v>
      </c>
      <c r="C2382" s="89"/>
      <c r="D2382" s="18">
        <v>101717</v>
      </c>
      <c r="E2382" s="2" t="s">
        <v>3958</v>
      </c>
      <c r="F2382" s="15">
        <v>2002.3</v>
      </c>
      <c r="G2382" s="41">
        <v>42786</v>
      </c>
      <c r="H2382" s="15">
        <f t="shared" si="69"/>
        <v>2002.3</v>
      </c>
      <c r="I2382" s="15">
        <f t="shared" si="68"/>
        <v>0</v>
      </c>
      <c r="J2382" s="19"/>
    </row>
    <row r="2383" spans="1:10" x14ac:dyDescent="0.25">
      <c r="A2383" s="82">
        <v>42786</v>
      </c>
      <c r="B2383" s="39" t="s">
        <v>6667</v>
      </c>
      <c r="C2383" s="89"/>
      <c r="D2383" s="18">
        <v>101718</v>
      </c>
      <c r="E2383" s="2" t="s">
        <v>321</v>
      </c>
      <c r="F2383" s="15">
        <v>902</v>
      </c>
      <c r="G2383" s="41">
        <v>42786</v>
      </c>
      <c r="H2383" s="15">
        <f t="shared" si="69"/>
        <v>902</v>
      </c>
      <c r="I2383" s="15">
        <f t="shared" si="68"/>
        <v>0</v>
      </c>
      <c r="J2383" s="19"/>
    </row>
    <row r="2384" spans="1:10" x14ac:dyDescent="0.25">
      <c r="A2384" s="82">
        <v>42786</v>
      </c>
      <c r="B2384" s="39" t="s">
        <v>6668</v>
      </c>
      <c r="C2384" s="89"/>
      <c r="D2384" s="18">
        <v>101719</v>
      </c>
      <c r="E2384" s="2" t="s">
        <v>298</v>
      </c>
      <c r="F2384" s="15">
        <v>3724</v>
      </c>
      <c r="G2384" s="41">
        <v>42786</v>
      </c>
      <c r="H2384" s="15">
        <f t="shared" si="69"/>
        <v>3724</v>
      </c>
      <c r="I2384" s="15">
        <f t="shared" si="68"/>
        <v>0</v>
      </c>
      <c r="J2384" s="19"/>
    </row>
    <row r="2385" spans="1:10" x14ac:dyDescent="0.25">
      <c r="A2385" s="82">
        <v>42786</v>
      </c>
      <c r="B2385" s="39" t="s">
        <v>6669</v>
      </c>
      <c r="C2385" s="89"/>
      <c r="D2385" s="18">
        <v>101720</v>
      </c>
      <c r="E2385" s="2" t="s">
        <v>253</v>
      </c>
      <c r="F2385" s="15">
        <v>3898.6</v>
      </c>
      <c r="G2385" s="41">
        <v>42787</v>
      </c>
      <c r="H2385" s="15">
        <f t="shared" si="69"/>
        <v>3898.6</v>
      </c>
      <c r="I2385" s="15">
        <f t="shared" si="68"/>
        <v>0</v>
      </c>
      <c r="J2385" s="19"/>
    </row>
    <row r="2386" spans="1:10" x14ac:dyDescent="0.25">
      <c r="A2386" s="82">
        <v>42786</v>
      </c>
      <c r="B2386" s="39" t="s">
        <v>6670</v>
      </c>
      <c r="C2386" s="89"/>
      <c r="D2386" s="18">
        <v>101721</v>
      </c>
      <c r="E2386" s="2" t="s">
        <v>40</v>
      </c>
      <c r="F2386" s="15">
        <v>138.6</v>
      </c>
      <c r="G2386" s="41">
        <v>42787</v>
      </c>
      <c r="H2386" s="15">
        <f t="shared" si="69"/>
        <v>138.6</v>
      </c>
      <c r="I2386" s="15">
        <f t="shared" si="68"/>
        <v>0</v>
      </c>
      <c r="J2386" s="19"/>
    </row>
    <row r="2387" spans="1:10" ht="30" x14ac:dyDescent="0.25">
      <c r="A2387" s="82">
        <v>42786</v>
      </c>
      <c r="B2387" s="39" t="s">
        <v>6671</v>
      </c>
      <c r="C2387" s="89"/>
      <c r="D2387" s="18">
        <v>101722</v>
      </c>
      <c r="E2387" s="2" t="s">
        <v>38</v>
      </c>
      <c r="F2387" s="15">
        <v>3048.8</v>
      </c>
      <c r="G2387" s="87" t="s">
        <v>6672</v>
      </c>
      <c r="H2387" s="20">
        <f>1900+1148.8</f>
        <v>3048.8</v>
      </c>
      <c r="I2387" s="20">
        <f t="shared" si="68"/>
        <v>0</v>
      </c>
      <c r="J2387" s="19"/>
    </row>
    <row r="2388" spans="1:10" x14ac:dyDescent="0.25">
      <c r="A2388" s="82">
        <v>42786</v>
      </c>
      <c r="B2388" s="39" t="s">
        <v>6673</v>
      </c>
      <c r="C2388" s="89"/>
      <c r="D2388" s="18">
        <v>101723</v>
      </c>
      <c r="E2388" s="2" t="s">
        <v>428</v>
      </c>
      <c r="F2388" s="15">
        <v>1484.7</v>
      </c>
      <c r="G2388" s="41">
        <v>42788</v>
      </c>
      <c r="H2388" s="15">
        <f t="shared" si="69"/>
        <v>1484.7</v>
      </c>
      <c r="I2388" s="15">
        <f t="shared" si="68"/>
        <v>0</v>
      </c>
      <c r="J2388" s="19"/>
    </row>
    <row r="2389" spans="1:10" ht="30" x14ac:dyDescent="0.25">
      <c r="A2389" s="82">
        <v>42786</v>
      </c>
      <c r="B2389" s="39" t="s">
        <v>6674</v>
      </c>
      <c r="C2389" s="89"/>
      <c r="D2389" s="18">
        <v>101724</v>
      </c>
      <c r="E2389" s="2" t="s">
        <v>49</v>
      </c>
      <c r="F2389" s="15">
        <v>12469</v>
      </c>
      <c r="G2389" s="87" t="s">
        <v>6675</v>
      </c>
      <c r="H2389" s="20">
        <f>7000+5469</f>
        <v>12469</v>
      </c>
      <c r="I2389" s="20">
        <f t="shared" si="68"/>
        <v>0</v>
      </c>
      <c r="J2389" s="19"/>
    </row>
    <row r="2390" spans="1:10" x14ac:dyDescent="0.25">
      <c r="A2390" s="82">
        <v>42786</v>
      </c>
      <c r="B2390" s="39" t="s">
        <v>6676</v>
      </c>
      <c r="C2390" s="89"/>
      <c r="D2390" s="18">
        <v>101725</v>
      </c>
      <c r="E2390" s="2" t="s">
        <v>30</v>
      </c>
      <c r="F2390" s="15">
        <v>400</v>
      </c>
      <c r="G2390" s="41">
        <v>42786</v>
      </c>
      <c r="H2390" s="15">
        <f t="shared" si="69"/>
        <v>400</v>
      </c>
      <c r="I2390" s="15">
        <f t="shared" si="68"/>
        <v>0</v>
      </c>
      <c r="J2390" s="19"/>
    </row>
    <row r="2391" spans="1:10" x14ac:dyDescent="0.25">
      <c r="A2391" s="82">
        <v>42786</v>
      </c>
      <c r="B2391" s="39" t="s">
        <v>6677</v>
      </c>
      <c r="C2391" s="89"/>
      <c r="D2391" s="18">
        <v>101726</v>
      </c>
      <c r="E2391" s="2" t="s">
        <v>133</v>
      </c>
      <c r="F2391" s="15">
        <v>10921.9</v>
      </c>
      <c r="G2391" s="41">
        <v>42789</v>
      </c>
      <c r="H2391" s="15">
        <f t="shared" si="69"/>
        <v>10921.9</v>
      </c>
      <c r="I2391" s="15">
        <f t="shared" si="68"/>
        <v>0</v>
      </c>
      <c r="J2391" s="19"/>
    </row>
    <row r="2392" spans="1:10" x14ac:dyDescent="0.25">
      <c r="A2392" s="82">
        <v>42786</v>
      </c>
      <c r="B2392" s="39" t="s">
        <v>6678</v>
      </c>
      <c r="C2392" s="89"/>
      <c r="D2392" s="18">
        <v>101727</v>
      </c>
      <c r="E2392" s="2" t="s">
        <v>1090</v>
      </c>
      <c r="F2392" s="15">
        <v>12318.2</v>
      </c>
      <c r="G2392" s="41">
        <v>42786</v>
      </c>
      <c r="H2392" s="15">
        <f t="shared" si="69"/>
        <v>12318.2</v>
      </c>
      <c r="I2392" s="15">
        <f t="shared" si="68"/>
        <v>0</v>
      </c>
      <c r="J2392" s="19"/>
    </row>
    <row r="2393" spans="1:10" x14ac:dyDescent="0.25">
      <c r="A2393" s="82">
        <v>42786</v>
      </c>
      <c r="B2393" s="39" t="s">
        <v>6679</v>
      </c>
      <c r="C2393" s="89"/>
      <c r="D2393" s="18">
        <v>101728</v>
      </c>
      <c r="E2393" s="2" t="s">
        <v>151</v>
      </c>
      <c r="F2393" s="15">
        <v>22958.1</v>
      </c>
      <c r="G2393" s="41">
        <v>42786</v>
      </c>
      <c r="H2393" s="15">
        <f t="shared" si="69"/>
        <v>22958.1</v>
      </c>
      <c r="I2393" s="15">
        <f t="shared" si="68"/>
        <v>0</v>
      </c>
      <c r="J2393" s="19"/>
    </row>
    <row r="2394" spans="1:10" x14ac:dyDescent="0.25">
      <c r="A2394" s="82">
        <v>42786</v>
      </c>
      <c r="B2394" s="39" t="s">
        <v>6680</v>
      </c>
      <c r="C2394" s="89"/>
      <c r="D2394" s="18">
        <v>101729</v>
      </c>
      <c r="E2394" s="2" t="s">
        <v>176</v>
      </c>
      <c r="F2394" s="15">
        <v>3177.2</v>
      </c>
      <c r="G2394" s="41">
        <v>42786</v>
      </c>
      <c r="H2394" s="15">
        <f t="shared" si="69"/>
        <v>3177.2</v>
      </c>
      <c r="I2394" s="15">
        <f t="shared" si="68"/>
        <v>0</v>
      </c>
      <c r="J2394" s="19"/>
    </row>
    <row r="2395" spans="1:10" x14ac:dyDescent="0.25">
      <c r="A2395" s="82">
        <v>42786</v>
      </c>
      <c r="B2395" s="39" t="s">
        <v>6681</v>
      </c>
      <c r="C2395" s="89"/>
      <c r="D2395" s="18">
        <v>101730</v>
      </c>
      <c r="E2395" s="2" t="s">
        <v>176</v>
      </c>
      <c r="F2395" s="15">
        <v>1694.6</v>
      </c>
      <c r="G2395" s="41">
        <v>42786</v>
      </c>
      <c r="H2395" s="15">
        <f t="shared" si="69"/>
        <v>1694.6</v>
      </c>
      <c r="I2395" s="15">
        <f t="shared" si="68"/>
        <v>0</v>
      </c>
      <c r="J2395" s="19"/>
    </row>
    <row r="2396" spans="1:10" x14ac:dyDescent="0.25">
      <c r="A2396" s="82">
        <v>42786</v>
      </c>
      <c r="B2396" s="39" t="s">
        <v>6682</v>
      </c>
      <c r="C2396" s="89"/>
      <c r="D2396" s="18">
        <v>101731</v>
      </c>
      <c r="E2396" s="2" t="s">
        <v>157</v>
      </c>
      <c r="F2396" s="15">
        <v>19250.68</v>
      </c>
      <c r="G2396" s="41">
        <v>42786</v>
      </c>
      <c r="H2396" s="15">
        <f t="shared" si="69"/>
        <v>19250.68</v>
      </c>
      <c r="I2396" s="15">
        <f t="shared" si="68"/>
        <v>0</v>
      </c>
      <c r="J2396" s="19"/>
    </row>
    <row r="2397" spans="1:10" x14ac:dyDescent="0.25">
      <c r="A2397" s="82">
        <v>42786</v>
      </c>
      <c r="B2397" s="39" t="s">
        <v>6683</v>
      </c>
      <c r="C2397" s="89"/>
      <c r="D2397" s="18">
        <v>101732</v>
      </c>
      <c r="E2397" s="2" t="s">
        <v>240</v>
      </c>
      <c r="F2397" s="15">
        <v>3492.2</v>
      </c>
      <c r="G2397" s="41">
        <v>42786</v>
      </c>
      <c r="H2397" s="15">
        <f t="shared" si="69"/>
        <v>3492.2</v>
      </c>
      <c r="I2397" s="15">
        <f t="shared" si="68"/>
        <v>0</v>
      </c>
      <c r="J2397" s="19"/>
    </row>
    <row r="2398" spans="1:10" x14ac:dyDescent="0.25">
      <c r="A2398" s="82">
        <v>42786</v>
      </c>
      <c r="B2398" s="39" t="s">
        <v>6684</v>
      </c>
      <c r="C2398" s="89"/>
      <c r="D2398" s="18">
        <v>101733</v>
      </c>
      <c r="E2398" s="2" t="s">
        <v>61</v>
      </c>
      <c r="F2398" s="15">
        <v>10090.299999999999</v>
      </c>
      <c r="G2398" s="41">
        <v>42786</v>
      </c>
      <c r="H2398" s="15">
        <f t="shared" si="69"/>
        <v>10090.299999999999</v>
      </c>
      <c r="I2398" s="15">
        <f t="shared" si="68"/>
        <v>0</v>
      </c>
      <c r="J2398" s="19"/>
    </row>
    <row r="2399" spans="1:10" x14ac:dyDescent="0.25">
      <c r="A2399" s="82">
        <v>42786</v>
      </c>
      <c r="B2399" s="39" t="s">
        <v>6685</v>
      </c>
      <c r="C2399" s="89"/>
      <c r="D2399" s="18">
        <v>101734</v>
      </c>
      <c r="E2399" s="2" t="s">
        <v>422</v>
      </c>
      <c r="F2399" s="15">
        <v>1791.8</v>
      </c>
      <c r="G2399" s="41">
        <v>42786</v>
      </c>
      <c r="H2399" s="15">
        <f t="shared" si="69"/>
        <v>1791.8</v>
      </c>
      <c r="I2399" s="15">
        <f t="shared" si="68"/>
        <v>0</v>
      </c>
      <c r="J2399" s="19"/>
    </row>
    <row r="2400" spans="1:10" x14ac:dyDescent="0.25">
      <c r="A2400" s="82">
        <v>42786</v>
      </c>
      <c r="B2400" s="39" t="s">
        <v>6686</v>
      </c>
      <c r="C2400" s="89"/>
      <c r="D2400" s="18">
        <v>101735</v>
      </c>
      <c r="E2400" s="2" t="s">
        <v>184</v>
      </c>
      <c r="F2400" s="15">
        <v>3403.6</v>
      </c>
      <c r="G2400" s="41">
        <v>42786</v>
      </c>
      <c r="H2400" s="15">
        <f t="shared" si="69"/>
        <v>3403.6</v>
      </c>
      <c r="I2400" s="15">
        <f t="shared" si="68"/>
        <v>0</v>
      </c>
      <c r="J2400" s="19"/>
    </row>
    <row r="2401" spans="1:10" x14ac:dyDescent="0.25">
      <c r="A2401" s="82">
        <v>42786</v>
      </c>
      <c r="B2401" s="39" t="s">
        <v>6687</v>
      </c>
      <c r="C2401" s="89"/>
      <c r="D2401" s="18">
        <v>101736</v>
      </c>
      <c r="E2401" s="2" t="s">
        <v>30</v>
      </c>
      <c r="F2401" s="15">
        <v>779.1</v>
      </c>
      <c r="G2401" s="41">
        <v>42786</v>
      </c>
      <c r="H2401" s="15">
        <f t="shared" si="69"/>
        <v>779.1</v>
      </c>
      <c r="I2401" s="15">
        <f t="shared" si="68"/>
        <v>0</v>
      </c>
      <c r="J2401" s="19"/>
    </row>
    <row r="2402" spans="1:10" x14ac:dyDescent="0.25">
      <c r="A2402" s="82">
        <v>42786</v>
      </c>
      <c r="B2402" s="39" t="s">
        <v>6688</v>
      </c>
      <c r="C2402" s="89"/>
      <c r="D2402" s="18">
        <v>101737</v>
      </c>
      <c r="E2402" s="2" t="s">
        <v>57</v>
      </c>
      <c r="F2402" s="15">
        <v>499.8</v>
      </c>
      <c r="G2402" s="41">
        <v>42786</v>
      </c>
      <c r="H2402" s="15">
        <f t="shared" si="69"/>
        <v>499.8</v>
      </c>
      <c r="I2402" s="15">
        <f t="shared" si="68"/>
        <v>0</v>
      </c>
      <c r="J2402" s="19"/>
    </row>
    <row r="2403" spans="1:10" x14ac:dyDescent="0.25">
      <c r="A2403" s="82">
        <v>42786</v>
      </c>
      <c r="B2403" s="39" t="s">
        <v>6689</v>
      </c>
      <c r="C2403" s="89"/>
      <c r="D2403" s="18">
        <v>101738</v>
      </c>
      <c r="E2403" s="2" t="s">
        <v>331</v>
      </c>
      <c r="F2403" s="15">
        <v>4242.8599999999997</v>
      </c>
      <c r="G2403" s="41">
        <v>42786</v>
      </c>
      <c r="H2403" s="15">
        <f t="shared" si="69"/>
        <v>4242.8599999999997</v>
      </c>
      <c r="I2403" s="15">
        <f t="shared" si="68"/>
        <v>0</v>
      </c>
      <c r="J2403" s="19"/>
    </row>
    <row r="2404" spans="1:10" x14ac:dyDescent="0.25">
      <c r="A2404" s="82">
        <v>42786</v>
      </c>
      <c r="B2404" s="39" t="s">
        <v>6690</v>
      </c>
      <c r="C2404" s="89"/>
      <c r="D2404" s="18">
        <v>101739</v>
      </c>
      <c r="E2404" s="2" t="s">
        <v>79</v>
      </c>
      <c r="F2404" s="15">
        <v>2922</v>
      </c>
      <c r="G2404" s="41">
        <v>42786</v>
      </c>
      <c r="H2404" s="15">
        <f t="shared" si="69"/>
        <v>2922</v>
      </c>
      <c r="I2404" s="15">
        <f t="shared" si="68"/>
        <v>0</v>
      </c>
      <c r="J2404" s="19"/>
    </row>
    <row r="2405" spans="1:10" x14ac:dyDescent="0.25">
      <c r="A2405" s="82">
        <v>42786</v>
      </c>
      <c r="B2405" s="39" t="s">
        <v>6691</v>
      </c>
      <c r="C2405" s="89"/>
      <c r="D2405" s="18">
        <v>101740</v>
      </c>
      <c r="E2405" s="2" t="s">
        <v>149</v>
      </c>
      <c r="F2405" s="15">
        <v>6497</v>
      </c>
      <c r="G2405" s="41">
        <v>42786</v>
      </c>
      <c r="H2405" s="15">
        <f t="shared" si="69"/>
        <v>6497</v>
      </c>
      <c r="I2405" s="15">
        <f t="shared" si="68"/>
        <v>0</v>
      </c>
      <c r="J2405" s="19"/>
    </row>
    <row r="2406" spans="1:10" x14ac:dyDescent="0.25">
      <c r="A2406" s="82">
        <v>42786</v>
      </c>
      <c r="B2406" s="39" t="s">
        <v>6692</v>
      </c>
      <c r="C2406" s="89"/>
      <c r="D2406" s="18">
        <v>101741</v>
      </c>
      <c r="E2406" s="2" t="s">
        <v>198</v>
      </c>
      <c r="F2406" s="15">
        <v>2149.6999999999998</v>
      </c>
      <c r="G2406" s="41">
        <v>42786</v>
      </c>
      <c r="H2406" s="15">
        <f t="shared" si="69"/>
        <v>2149.6999999999998</v>
      </c>
      <c r="I2406" s="15">
        <f t="shared" si="68"/>
        <v>0</v>
      </c>
      <c r="J2406" s="19"/>
    </row>
    <row r="2407" spans="1:10" x14ac:dyDescent="0.25">
      <c r="A2407" s="82">
        <v>42786</v>
      </c>
      <c r="B2407" s="39" t="s">
        <v>6693</v>
      </c>
      <c r="C2407" s="89"/>
      <c r="D2407" s="18">
        <v>101742</v>
      </c>
      <c r="E2407" s="2" t="s">
        <v>3997</v>
      </c>
      <c r="F2407" s="15">
        <v>5563.2</v>
      </c>
      <c r="G2407" s="41">
        <v>42790</v>
      </c>
      <c r="H2407" s="15">
        <f t="shared" si="69"/>
        <v>5563.2</v>
      </c>
      <c r="I2407" s="15">
        <f t="shared" si="68"/>
        <v>0</v>
      </c>
      <c r="J2407" s="19"/>
    </row>
    <row r="2408" spans="1:10" x14ac:dyDescent="0.25">
      <c r="A2408" s="82">
        <v>42786</v>
      </c>
      <c r="B2408" s="39" t="s">
        <v>6694</v>
      </c>
      <c r="C2408" s="89"/>
      <c r="D2408" s="18">
        <v>101743</v>
      </c>
      <c r="E2408" s="2" t="s">
        <v>55</v>
      </c>
      <c r="F2408" s="15">
        <v>2124.1999999999998</v>
      </c>
      <c r="G2408" s="41">
        <v>42786</v>
      </c>
      <c r="H2408" s="15">
        <f t="shared" si="69"/>
        <v>2124.1999999999998</v>
      </c>
      <c r="I2408" s="15">
        <f t="shared" si="68"/>
        <v>0</v>
      </c>
      <c r="J2408" s="19"/>
    </row>
    <row r="2409" spans="1:10" x14ac:dyDescent="0.25">
      <c r="A2409" s="82">
        <v>42786</v>
      </c>
      <c r="B2409" s="39" t="s">
        <v>6695</v>
      </c>
      <c r="C2409" s="89"/>
      <c r="D2409" s="18">
        <v>101744</v>
      </c>
      <c r="E2409" s="2" t="s">
        <v>103</v>
      </c>
      <c r="F2409" s="15">
        <v>3285.3</v>
      </c>
      <c r="G2409" s="41">
        <v>42789</v>
      </c>
      <c r="H2409" s="15">
        <f t="shared" si="69"/>
        <v>3285.3</v>
      </c>
      <c r="I2409" s="15">
        <f t="shared" si="68"/>
        <v>0</v>
      </c>
      <c r="J2409" s="19"/>
    </row>
    <row r="2410" spans="1:10" x14ac:dyDescent="0.25">
      <c r="A2410" s="82">
        <v>42786</v>
      </c>
      <c r="B2410" s="39" t="s">
        <v>6696</v>
      </c>
      <c r="C2410" s="89"/>
      <c r="D2410" s="18">
        <v>101745</v>
      </c>
      <c r="E2410" s="2" t="s">
        <v>105</v>
      </c>
      <c r="F2410" s="15">
        <v>3008</v>
      </c>
      <c r="G2410" s="41">
        <v>42789</v>
      </c>
      <c r="H2410" s="15">
        <f t="shared" si="69"/>
        <v>3008</v>
      </c>
      <c r="I2410" s="15">
        <f t="shared" si="68"/>
        <v>0</v>
      </c>
      <c r="J2410" s="19"/>
    </row>
    <row r="2411" spans="1:10" x14ac:dyDescent="0.25">
      <c r="A2411" s="82">
        <v>42786</v>
      </c>
      <c r="B2411" s="39" t="s">
        <v>6697</v>
      </c>
      <c r="C2411" s="89"/>
      <c r="D2411" s="18">
        <v>101746</v>
      </c>
      <c r="E2411" s="2" t="s">
        <v>168</v>
      </c>
      <c r="F2411" s="15">
        <v>5118.3999999999996</v>
      </c>
      <c r="G2411" s="41">
        <v>42793</v>
      </c>
      <c r="H2411" s="15">
        <f t="shared" si="69"/>
        <v>5118.3999999999996</v>
      </c>
      <c r="I2411" s="15">
        <f t="shared" si="68"/>
        <v>0</v>
      </c>
      <c r="J2411" s="19"/>
    </row>
    <row r="2412" spans="1:10" x14ac:dyDescent="0.25">
      <c r="A2412" s="82">
        <v>42786</v>
      </c>
      <c r="B2412" s="39" t="s">
        <v>6698</v>
      </c>
      <c r="C2412" s="89"/>
      <c r="D2412" s="18">
        <v>101747</v>
      </c>
      <c r="E2412" s="2" t="s">
        <v>268</v>
      </c>
      <c r="F2412" s="15">
        <v>11769.7</v>
      </c>
      <c r="G2412" s="41">
        <v>42788</v>
      </c>
      <c r="H2412" s="15">
        <f t="shared" si="69"/>
        <v>11769.7</v>
      </c>
      <c r="I2412" s="15">
        <f t="shared" si="68"/>
        <v>0</v>
      </c>
      <c r="J2412" s="19"/>
    </row>
    <row r="2413" spans="1:10" x14ac:dyDescent="0.25">
      <c r="A2413" s="82">
        <v>42786</v>
      </c>
      <c r="B2413" s="39" t="s">
        <v>6699</v>
      </c>
      <c r="C2413" s="89"/>
      <c r="D2413" s="18">
        <v>101748</v>
      </c>
      <c r="E2413" s="2" t="s">
        <v>272</v>
      </c>
      <c r="F2413" s="15">
        <v>2963.7</v>
      </c>
      <c r="G2413" s="41">
        <v>42788</v>
      </c>
      <c r="H2413" s="15">
        <f t="shared" si="69"/>
        <v>2963.7</v>
      </c>
      <c r="I2413" s="15">
        <f t="shared" si="68"/>
        <v>0</v>
      </c>
      <c r="J2413" s="19"/>
    </row>
    <row r="2414" spans="1:10" x14ac:dyDescent="0.25">
      <c r="A2414" s="82">
        <v>42786</v>
      </c>
      <c r="B2414" s="39" t="s">
        <v>6700</v>
      </c>
      <c r="C2414" s="89"/>
      <c r="D2414" s="18">
        <v>101749</v>
      </c>
      <c r="E2414" s="2" t="s">
        <v>435</v>
      </c>
      <c r="F2414" s="15">
        <v>3434.4</v>
      </c>
      <c r="G2414" s="41">
        <v>42788</v>
      </c>
      <c r="H2414" s="15">
        <f t="shared" si="69"/>
        <v>3434.4</v>
      </c>
      <c r="I2414" s="15">
        <f t="shared" si="68"/>
        <v>0</v>
      </c>
      <c r="J2414" s="19"/>
    </row>
    <row r="2415" spans="1:10" x14ac:dyDescent="0.25">
      <c r="A2415" s="82">
        <v>42786</v>
      </c>
      <c r="B2415" s="39" t="s">
        <v>6701</v>
      </c>
      <c r="C2415" s="89"/>
      <c r="D2415" s="18">
        <v>101750</v>
      </c>
      <c r="E2415" s="2" t="s">
        <v>1116</v>
      </c>
      <c r="F2415" s="15">
        <v>3845.6</v>
      </c>
      <c r="G2415" s="41">
        <v>42787</v>
      </c>
      <c r="H2415" s="15">
        <f t="shared" si="69"/>
        <v>3845.6</v>
      </c>
      <c r="I2415" s="15">
        <f t="shared" si="68"/>
        <v>0</v>
      </c>
      <c r="J2415" s="19"/>
    </row>
    <row r="2416" spans="1:10" x14ac:dyDescent="0.25">
      <c r="A2416" s="82">
        <v>42786</v>
      </c>
      <c r="B2416" s="39" t="s">
        <v>6702</v>
      </c>
      <c r="C2416" s="89"/>
      <c r="D2416" s="18">
        <v>101751</v>
      </c>
      <c r="E2416" s="2" t="s">
        <v>1666</v>
      </c>
      <c r="F2416" s="15">
        <v>4816.8</v>
      </c>
      <c r="G2416" s="41">
        <v>42788</v>
      </c>
      <c r="H2416" s="15">
        <f t="shared" si="69"/>
        <v>4816.8</v>
      </c>
      <c r="I2416" s="15">
        <f t="shared" si="68"/>
        <v>0</v>
      </c>
      <c r="J2416" s="19"/>
    </row>
    <row r="2417" spans="1:10" x14ac:dyDescent="0.25">
      <c r="A2417" s="82">
        <v>42786</v>
      </c>
      <c r="B2417" s="39" t="s">
        <v>6703</v>
      </c>
      <c r="C2417" s="89"/>
      <c r="D2417" s="18">
        <v>101752</v>
      </c>
      <c r="E2417" s="2" t="s">
        <v>85</v>
      </c>
      <c r="F2417" s="15">
        <v>14959.9</v>
      </c>
      <c r="G2417" s="41">
        <v>42786</v>
      </c>
      <c r="H2417" s="15">
        <f t="shared" si="69"/>
        <v>14959.9</v>
      </c>
      <c r="I2417" s="15">
        <f t="shared" si="68"/>
        <v>0</v>
      </c>
      <c r="J2417" s="19"/>
    </row>
    <row r="2418" spans="1:10" x14ac:dyDescent="0.25">
      <c r="A2418" s="82">
        <v>42786</v>
      </c>
      <c r="B2418" s="39" t="s">
        <v>6704</v>
      </c>
      <c r="C2418" s="89"/>
      <c r="D2418" s="18">
        <v>101753</v>
      </c>
      <c r="E2418" s="2" t="s">
        <v>309</v>
      </c>
      <c r="F2418" s="15">
        <v>4171.2</v>
      </c>
      <c r="G2418" s="41">
        <v>42786</v>
      </c>
      <c r="H2418" s="15">
        <f t="shared" si="69"/>
        <v>4171.2</v>
      </c>
      <c r="I2418" s="15">
        <f t="shared" si="68"/>
        <v>0</v>
      </c>
      <c r="J2418" s="19"/>
    </row>
    <row r="2419" spans="1:10" x14ac:dyDescent="0.25">
      <c r="A2419" s="82">
        <v>42786</v>
      </c>
      <c r="B2419" s="39" t="s">
        <v>6705</v>
      </c>
      <c r="C2419" s="89"/>
      <c r="D2419" s="18">
        <v>101754</v>
      </c>
      <c r="E2419" s="13" t="s">
        <v>432</v>
      </c>
      <c r="F2419" s="14">
        <v>17239.3</v>
      </c>
      <c r="G2419" s="88" t="s">
        <v>95</v>
      </c>
      <c r="H2419" s="14">
        <f t="shared" si="69"/>
        <v>17239.3</v>
      </c>
      <c r="I2419" s="14">
        <f t="shared" si="68"/>
        <v>0</v>
      </c>
      <c r="J2419" s="19"/>
    </row>
    <row r="2420" spans="1:10" x14ac:dyDescent="0.25">
      <c r="A2420" s="82">
        <v>42786</v>
      </c>
      <c r="B2420" s="39" t="s">
        <v>6706</v>
      </c>
      <c r="C2420" s="89"/>
      <c r="D2420" s="18">
        <v>101755</v>
      </c>
      <c r="E2420" s="2" t="s">
        <v>432</v>
      </c>
      <c r="F2420" s="15">
        <v>13539.3</v>
      </c>
      <c r="G2420" s="41">
        <v>42788</v>
      </c>
      <c r="H2420" s="15">
        <f t="shared" si="69"/>
        <v>13539.3</v>
      </c>
      <c r="I2420" s="15">
        <f t="shared" si="68"/>
        <v>0</v>
      </c>
      <c r="J2420" s="19"/>
    </row>
    <row r="2421" spans="1:10" x14ac:dyDescent="0.25">
      <c r="A2421" s="82">
        <v>42786</v>
      </c>
      <c r="B2421" s="39" t="s">
        <v>6707</v>
      </c>
      <c r="C2421" s="89"/>
      <c r="D2421" s="18">
        <v>101756</v>
      </c>
      <c r="E2421" s="2" t="s">
        <v>590</v>
      </c>
      <c r="F2421" s="15">
        <v>2354.4</v>
      </c>
      <c r="G2421" s="41">
        <v>42788</v>
      </c>
      <c r="H2421" s="15">
        <f t="shared" si="69"/>
        <v>2354.4</v>
      </c>
      <c r="I2421" s="15">
        <f t="shared" si="68"/>
        <v>0</v>
      </c>
      <c r="J2421" s="19"/>
    </row>
    <row r="2422" spans="1:10" x14ac:dyDescent="0.25">
      <c r="A2422" s="82">
        <v>42786</v>
      </c>
      <c r="B2422" s="39" t="s">
        <v>6708</v>
      </c>
      <c r="C2422" s="89"/>
      <c r="D2422" s="18">
        <v>101757</v>
      </c>
      <c r="E2422" s="2" t="s">
        <v>442</v>
      </c>
      <c r="F2422" s="15">
        <v>1391</v>
      </c>
      <c r="G2422" s="41">
        <v>42788</v>
      </c>
      <c r="H2422" s="15">
        <f t="shared" si="69"/>
        <v>1391</v>
      </c>
      <c r="I2422" s="15">
        <f t="shared" si="68"/>
        <v>0</v>
      </c>
      <c r="J2422" s="19"/>
    </row>
    <row r="2423" spans="1:10" x14ac:dyDescent="0.25">
      <c r="A2423" s="82">
        <v>42786</v>
      </c>
      <c r="B2423" s="39" t="s">
        <v>6709</v>
      </c>
      <c r="C2423" s="89"/>
      <c r="D2423" s="18">
        <v>101758</v>
      </c>
      <c r="E2423" s="2" t="s">
        <v>367</v>
      </c>
      <c r="F2423" s="15">
        <v>900</v>
      </c>
      <c r="G2423" s="41">
        <v>42786</v>
      </c>
      <c r="H2423" s="15">
        <f t="shared" si="69"/>
        <v>900</v>
      </c>
      <c r="I2423" s="15">
        <f t="shared" si="68"/>
        <v>0</v>
      </c>
      <c r="J2423" s="19"/>
    </row>
    <row r="2424" spans="1:10" x14ac:dyDescent="0.25">
      <c r="A2424" s="82">
        <v>42786</v>
      </c>
      <c r="B2424" s="39" t="s">
        <v>6710</v>
      </c>
      <c r="C2424" s="89"/>
      <c r="D2424" s="18">
        <v>101759</v>
      </c>
      <c r="E2424" s="2" t="s">
        <v>563</v>
      </c>
      <c r="F2424" s="15">
        <v>2894.4</v>
      </c>
      <c r="G2424" s="41">
        <v>42786</v>
      </c>
      <c r="H2424" s="15">
        <f t="shared" si="69"/>
        <v>2894.4</v>
      </c>
      <c r="I2424" s="15">
        <f t="shared" ref="I2424:I2487" si="70">F2424-H2424</f>
        <v>0</v>
      </c>
      <c r="J2424" s="19"/>
    </row>
    <row r="2425" spans="1:10" x14ac:dyDescent="0.25">
      <c r="A2425" s="82">
        <v>42786</v>
      </c>
      <c r="B2425" s="39" t="s">
        <v>6711</v>
      </c>
      <c r="C2425" s="89"/>
      <c r="D2425" s="18">
        <v>101760</v>
      </c>
      <c r="E2425" s="2" t="s">
        <v>712</v>
      </c>
      <c r="F2425" s="15">
        <v>4493.7</v>
      </c>
      <c r="G2425" s="41">
        <v>42787</v>
      </c>
      <c r="H2425" s="15">
        <f t="shared" si="69"/>
        <v>4493.7</v>
      </c>
      <c r="I2425" s="15">
        <f t="shared" si="70"/>
        <v>0</v>
      </c>
      <c r="J2425" s="19"/>
    </row>
    <row r="2426" spans="1:10" x14ac:dyDescent="0.25">
      <c r="A2426" s="82">
        <v>42786</v>
      </c>
      <c r="B2426" s="39" t="s">
        <v>6712</v>
      </c>
      <c r="C2426" s="89"/>
      <c r="D2426" s="18">
        <v>101761</v>
      </c>
      <c r="E2426" s="2" t="s">
        <v>101</v>
      </c>
      <c r="F2426" s="15">
        <v>3226</v>
      </c>
      <c r="G2426" s="41">
        <v>42787</v>
      </c>
      <c r="H2426" s="15">
        <f t="shared" si="69"/>
        <v>3226</v>
      </c>
      <c r="I2426" s="15">
        <f t="shared" si="70"/>
        <v>0</v>
      </c>
      <c r="J2426" s="19"/>
    </row>
    <row r="2427" spans="1:10" x14ac:dyDescent="0.25">
      <c r="A2427" s="82">
        <v>42786</v>
      </c>
      <c r="B2427" s="39" t="s">
        <v>6713</v>
      </c>
      <c r="C2427" s="89"/>
      <c r="D2427" s="18">
        <v>101762</v>
      </c>
      <c r="E2427" s="2" t="s">
        <v>99</v>
      </c>
      <c r="F2427" s="15">
        <v>1719.9</v>
      </c>
      <c r="G2427" s="41">
        <v>42787</v>
      </c>
      <c r="H2427" s="15">
        <f t="shared" si="69"/>
        <v>1719.9</v>
      </c>
      <c r="I2427" s="15">
        <f t="shared" si="70"/>
        <v>0</v>
      </c>
      <c r="J2427" s="19"/>
    </row>
    <row r="2428" spans="1:10" x14ac:dyDescent="0.25">
      <c r="A2428" s="82">
        <v>42786</v>
      </c>
      <c r="B2428" s="39" t="s">
        <v>6714</v>
      </c>
      <c r="C2428" s="89"/>
      <c r="D2428" s="18">
        <v>101763</v>
      </c>
      <c r="E2428" s="2" t="s">
        <v>281</v>
      </c>
      <c r="F2428" s="15">
        <v>1582.2</v>
      </c>
      <c r="G2428" s="41">
        <v>42787</v>
      </c>
      <c r="H2428" s="15">
        <f t="shared" si="69"/>
        <v>1582.2</v>
      </c>
      <c r="I2428" s="15">
        <f t="shared" si="70"/>
        <v>0</v>
      </c>
      <c r="J2428" s="19"/>
    </row>
    <row r="2429" spans="1:10" x14ac:dyDescent="0.25">
      <c r="A2429" s="82">
        <v>42786</v>
      </c>
      <c r="B2429" s="39" t="s">
        <v>6715</v>
      </c>
      <c r="C2429" s="89"/>
      <c r="D2429" s="18">
        <v>101764</v>
      </c>
      <c r="E2429" s="2" t="s">
        <v>92</v>
      </c>
      <c r="F2429" s="15">
        <v>2870.8</v>
      </c>
      <c r="G2429" s="41">
        <v>42787</v>
      </c>
      <c r="H2429" s="15">
        <f t="shared" si="69"/>
        <v>2870.8</v>
      </c>
      <c r="I2429" s="15">
        <f t="shared" si="70"/>
        <v>0</v>
      </c>
      <c r="J2429" s="19"/>
    </row>
    <row r="2430" spans="1:10" x14ac:dyDescent="0.25">
      <c r="A2430" s="82">
        <v>42786</v>
      </c>
      <c r="B2430" s="39" t="s">
        <v>6716</v>
      </c>
      <c r="C2430" s="89"/>
      <c r="D2430" s="18">
        <v>101765</v>
      </c>
      <c r="E2430" s="2" t="s">
        <v>88</v>
      </c>
      <c r="F2430" s="15">
        <v>5188.8</v>
      </c>
      <c r="G2430" s="41">
        <v>42787</v>
      </c>
      <c r="H2430" s="15">
        <f t="shared" si="69"/>
        <v>5188.8</v>
      </c>
      <c r="I2430" s="15">
        <f t="shared" si="70"/>
        <v>0</v>
      </c>
      <c r="J2430" s="19"/>
    </row>
    <row r="2431" spans="1:10" x14ac:dyDescent="0.25">
      <c r="A2431" s="82">
        <v>42786</v>
      </c>
      <c r="B2431" s="39" t="s">
        <v>6717</v>
      </c>
      <c r="C2431" s="89"/>
      <c r="D2431" s="18">
        <v>101766</v>
      </c>
      <c r="E2431" s="2" t="s">
        <v>83</v>
      </c>
      <c r="F2431" s="15">
        <v>2482.6999999999998</v>
      </c>
      <c r="G2431" s="41">
        <v>42787</v>
      </c>
      <c r="H2431" s="15">
        <f t="shared" si="69"/>
        <v>2482.6999999999998</v>
      </c>
      <c r="I2431" s="15">
        <f t="shared" si="70"/>
        <v>0</v>
      </c>
      <c r="J2431" s="19"/>
    </row>
    <row r="2432" spans="1:10" x14ac:dyDescent="0.25">
      <c r="A2432" s="82">
        <v>42786</v>
      </c>
      <c r="B2432" s="39" t="s">
        <v>6718</v>
      </c>
      <c r="C2432" s="89"/>
      <c r="D2432" s="18">
        <v>101767</v>
      </c>
      <c r="E2432" s="2" t="s">
        <v>291</v>
      </c>
      <c r="F2432" s="15">
        <v>2335</v>
      </c>
      <c r="G2432" s="41">
        <v>42787</v>
      </c>
      <c r="H2432" s="15">
        <f t="shared" si="69"/>
        <v>2335</v>
      </c>
      <c r="I2432" s="15">
        <f t="shared" si="70"/>
        <v>0</v>
      </c>
      <c r="J2432" s="19"/>
    </row>
    <row r="2433" spans="1:10" x14ac:dyDescent="0.25">
      <c r="A2433" s="82">
        <v>42786</v>
      </c>
      <c r="B2433" s="39" t="s">
        <v>6719</v>
      </c>
      <c r="C2433" s="89"/>
      <c r="D2433" s="18">
        <v>101768</v>
      </c>
      <c r="E2433" s="2" t="s">
        <v>613</v>
      </c>
      <c r="F2433" s="15">
        <v>4005</v>
      </c>
      <c r="G2433" s="41">
        <v>42787</v>
      </c>
      <c r="H2433" s="15">
        <f t="shared" si="69"/>
        <v>4005</v>
      </c>
      <c r="I2433" s="15">
        <f t="shared" si="70"/>
        <v>0</v>
      </c>
      <c r="J2433" s="19"/>
    </row>
    <row r="2434" spans="1:10" x14ac:dyDescent="0.25">
      <c r="A2434" s="82">
        <v>42786</v>
      </c>
      <c r="B2434" s="39" t="s">
        <v>6720</v>
      </c>
      <c r="C2434" s="89"/>
      <c r="D2434" s="18">
        <v>101769</v>
      </c>
      <c r="E2434" s="2" t="s">
        <v>1081</v>
      </c>
      <c r="F2434" s="15">
        <v>124.8</v>
      </c>
      <c r="G2434" s="41">
        <v>42787</v>
      </c>
      <c r="H2434" s="15">
        <f t="shared" si="69"/>
        <v>124.8</v>
      </c>
      <c r="I2434" s="15">
        <f t="shared" si="70"/>
        <v>0</v>
      </c>
      <c r="J2434" s="19"/>
    </row>
    <row r="2435" spans="1:10" x14ac:dyDescent="0.25">
      <c r="A2435" s="82">
        <v>42786</v>
      </c>
      <c r="B2435" s="39" t="s">
        <v>6721</v>
      </c>
      <c r="C2435" s="89"/>
      <c r="D2435" s="18">
        <v>101770</v>
      </c>
      <c r="E2435" s="2" t="s">
        <v>81</v>
      </c>
      <c r="F2435" s="15">
        <v>2895.4</v>
      </c>
      <c r="G2435" s="41">
        <v>42787</v>
      </c>
      <c r="H2435" s="15">
        <f t="shared" si="69"/>
        <v>2895.4</v>
      </c>
      <c r="I2435" s="15">
        <f t="shared" si="70"/>
        <v>0</v>
      </c>
      <c r="J2435" s="19"/>
    </row>
    <row r="2436" spans="1:10" x14ac:dyDescent="0.25">
      <c r="A2436" s="82">
        <v>42786</v>
      </c>
      <c r="B2436" s="39" t="s">
        <v>6722</v>
      </c>
      <c r="C2436" s="89"/>
      <c r="D2436" s="18">
        <v>101771</v>
      </c>
      <c r="E2436" s="2" t="s">
        <v>448</v>
      </c>
      <c r="F2436" s="15">
        <v>920.4</v>
      </c>
      <c r="G2436" s="41">
        <v>42787</v>
      </c>
      <c r="H2436" s="15">
        <f t="shared" ref="H2436:H2499" si="71">F2436</f>
        <v>920.4</v>
      </c>
      <c r="I2436" s="15">
        <f t="shared" si="70"/>
        <v>0</v>
      </c>
      <c r="J2436" s="19"/>
    </row>
    <row r="2437" spans="1:10" x14ac:dyDescent="0.25">
      <c r="A2437" s="82">
        <v>42786</v>
      </c>
      <c r="B2437" s="39" t="s">
        <v>6723</v>
      </c>
      <c r="C2437" s="89"/>
      <c r="D2437" s="18">
        <v>101772</v>
      </c>
      <c r="E2437" s="2" t="s">
        <v>305</v>
      </c>
      <c r="F2437" s="15">
        <v>7796</v>
      </c>
      <c r="G2437" s="41">
        <v>42790</v>
      </c>
      <c r="H2437" s="15">
        <f t="shared" si="71"/>
        <v>7796</v>
      </c>
      <c r="I2437" s="15">
        <f t="shared" si="70"/>
        <v>0</v>
      </c>
      <c r="J2437" s="19"/>
    </row>
    <row r="2438" spans="1:10" x14ac:dyDescent="0.25">
      <c r="A2438" s="82">
        <v>42786</v>
      </c>
      <c r="B2438" s="39" t="s">
        <v>6724</v>
      </c>
      <c r="C2438" s="89"/>
      <c r="D2438" s="18">
        <v>101773</v>
      </c>
      <c r="E2438" s="2" t="s">
        <v>476</v>
      </c>
      <c r="F2438" s="15">
        <v>18553.400000000001</v>
      </c>
      <c r="G2438" s="41">
        <v>42787</v>
      </c>
      <c r="H2438" s="15">
        <f t="shared" si="71"/>
        <v>18553.400000000001</v>
      </c>
      <c r="I2438" s="15">
        <f t="shared" si="70"/>
        <v>0</v>
      </c>
      <c r="J2438" s="19"/>
    </row>
    <row r="2439" spans="1:10" x14ac:dyDescent="0.25">
      <c r="A2439" s="82">
        <v>42786</v>
      </c>
      <c r="B2439" s="39" t="s">
        <v>6725</v>
      </c>
      <c r="C2439" s="89"/>
      <c r="D2439" s="18">
        <v>101774</v>
      </c>
      <c r="E2439" s="2" t="s">
        <v>472</v>
      </c>
      <c r="F2439" s="15">
        <v>3591</v>
      </c>
      <c r="G2439" s="41">
        <v>42787</v>
      </c>
      <c r="H2439" s="15">
        <f t="shared" si="71"/>
        <v>3591</v>
      </c>
      <c r="I2439" s="15">
        <f t="shared" si="70"/>
        <v>0</v>
      </c>
      <c r="J2439" s="19"/>
    </row>
    <row r="2440" spans="1:10" x14ac:dyDescent="0.25">
      <c r="A2440" s="82">
        <v>42786</v>
      </c>
      <c r="B2440" s="39" t="s">
        <v>6726</v>
      </c>
      <c r="C2440" s="89"/>
      <c r="D2440" s="18">
        <v>101775</v>
      </c>
      <c r="E2440" s="2" t="s">
        <v>159</v>
      </c>
      <c r="F2440" s="15">
        <v>8786.6</v>
      </c>
      <c r="G2440" s="41">
        <v>42787</v>
      </c>
      <c r="H2440" s="15">
        <f t="shared" si="71"/>
        <v>8786.6</v>
      </c>
      <c r="I2440" s="15">
        <f t="shared" si="70"/>
        <v>0</v>
      </c>
      <c r="J2440" s="19"/>
    </row>
    <row r="2441" spans="1:10" x14ac:dyDescent="0.25">
      <c r="A2441" s="82">
        <v>42786</v>
      </c>
      <c r="B2441" s="39" t="s">
        <v>6727</v>
      </c>
      <c r="C2441" s="89"/>
      <c r="D2441" s="18">
        <v>101776</v>
      </c>
      <c r="E2441" s="2" t="s">
        <v>30</v>
      </c>
      <c r="F2441" s="15">
        <v>2755.2</v>
      </c>
      <c r="G2441" s="41">
        <v>42786</v>
      </c>
      <c r="H2441" s="15">
        <f t="shared" si="71"/>
        <v>2755.2</v>
      </c>
      <c r="I2441" s="15">
        <f t="shared" si="70"/>
        <v>0</v>
      </c>
      <c r="J2441" s="19"/>
    </row>
    <row r="2442" spans="1:10" x14ac:dyDescent="0.25">
      <c r="A2442" s="82">
        <v>42786</v>
      </c>
      <c r="B2442" s="39" t="s">
        <v>6728</v>
      </c>
      <c r="C2442" s="89"/>
      <c r="D2442" s="18">
        <v>101777</v>
      </c>
      <c r="E2442" s="13" t="s">
        <v>30</v>
      </c>
      <c r="F2442" s="14">
        <v>0</v>
      </c>
      <c r="G2442" s="88" t="s">
        <v>95</v>
      </c>
      <c r="H2442" s="14">
        <f t="shared" si="71"/>
        <v>0</v>
      </c>
      <c r="I2442" s="14">
        <f t="shared" si="70"/>
        <v>0</v>
      </c>
      <c r="J2442" s="19"/>
    </row>
    <row r="2443" spans="1:10" x14ac:dyDescent="0.25">
      <c r="A2443" s="82">
        <v>42786</v>
      </c>
      <c r="B2443" s="39" t="s">
        <v>6729</v>
      </c>
      <c r="C2443" s="89"/>
      <c r="D2443" s="18">
        <v>101778</v>
      </c>
      <c r="E2443" s="2" t="s">
        <v>30</v>
      </c>
      <c r="F2443" s="15">
        <v>2595.6</v>
      </c>
      <c r="G2443" s="41">
        <v>42786</v>
      </c>
      <c r="H2443" s="15">
        <f t="shared" si="71"/>
        <v>2595.6</v>
      </c>
      <c r="I2443" s="15">
        <f t="shared" si="70"/>
        <v>0</v>
      </c>
      <c r="J2443" s="19"/>
    </row>
    <row r="2444" spans="1:10" x14ac:dyDescent="0.25">
      <c r="A2444" s="82">
        <v>42786</v>
      </c>
      <c r="B2444" s="39" t="s">
        <v>6730</v>
      </c>
      <c r="C2444" s="89"/>
      <c r="D2444" s="18">
        <v>101779</v>
      </c>
      <c r="E2444" s="2" t="s">
        <v>21</v>
      </c>
      <c r="F2444" s="15">
        <v>50388.800000000003</v>
      </c>
      <c r="G2444" s="41">
        <v>42800</v>
      </c>
      <c r="H2444" s="15">
        <f t="shared" si="71"/>
        <v>50388.800000000003</v>
      </c>
      <c r="I2444" s="15">
        <f t="shared" si="70"/>
        <v>0</v>
      </c>
      <c r="J2444" s="19"/>
    </row>
    <row r="2445" spans="1:10" x14ac:dyDescent="0.25">
      <c r="A2445" s="82">
        <v>42786</v>
      </c>
      <c r="B2445" s="39" t="s">
        <v>6731</v>
      </c>
      <c r="C2445" s="89"/>
      <c r="D2445" s="18">
        <v>101780</v>
      </c>
      <c r="E2445" s="2" t="s">
        <v>147</v>
      </c>
      <c r="F2445" s="15">
        <v>42988.4</v>
      </c>
      <c r="G2445" s="41">
        <v>42787</v>
      </c>
      <c r="H2445" s="15">
        <f t="shared" si="71"/>
        <v>42988.4</v>
      </c>
      <c r="I2445" s="15">
        <f t="shared" si="70"/>
        <v>0</v>
      </c>
      <c r="J2445" s="19"/>
    </row>
    <row r="2446" spans="1:10" x14ac:dyDescent="0.25">
      <c r="A2446" s="82">
        <v>42786</v>
      </c>
      <c r="B2446" s="39" t="s">
        <v>6732</v>
      </c>
      <c r="C2446" s="89"/>
      <c r="D2446" s="18">
        <v>101781</v>
      </c>
      <c r="E2446" s="2" t="s">
        <v>30</v>
      </c>
      <c r="F2446" s="15">
        <v>1393.2</v>
      </c>
      <c r="G2446" s="41">
        <v>42786</v>
      </c>
      <c r="H2446" s="15">
        <f t="shared" si="71"/>
        <v>1393.2</v>
      </c>
      <c r="I2446" s="15">
        <f t="shared" si="70"/>
        <v>0</v>
      </c>
      <c r="J2446" s="19"/>
    </row>
    <row r="2447" spans="1:10" x14ac:dyDescent="0.25">
      <c r="A2447" s="82">
        <v>42786</v>
      </c>
      <c r="B2447" s="39" t="s">
        <v>6733</v>
      </c>
      <c r="C2447" s="89"/>
      <c r="D2447" s="18">
        <v>101782</v>
      </c>
      <c r="E2447" s="2" t="s">
        <v>30</v>
      </c>
      <c r="F2447" s="15">
        <v>567</v>
      </c>
      <c r="G2447" s="41">
        <v>42786</v>
      </c>
      <c r="H2447" s="15">
        <f t="shared" si="71"/>
        <v>567</v>
      </c>
      <c r="I2447" s="15">
        <f t="shared" si="70"/>
        <v>0</v>
      </c>
      <c r="J2447" s="19"/>
    </row>
    <row r="2448" spans="1:10" ht="30" x14ac:dyDescent="0.25">
      <c r="A2448" s="82">
        <v>42786</v>
      </c>
      <c r="B2448" s="39" t="s">
        <v>6734</v>
      </c>
      <c r="C2448" s="89"/>
      <c r="D2448" s="18">
        <v>101783</v>
      </c>
      <c r="E2448" s="2" t="s">
        <v>10</v>
      </c>
      <c r="F2448" s="15">
        <v>267207.08</v>
      </c>
      <c r="G2448" s="87" t="s">
        <v>6735</v>
      </c>
      <c r="H2448" s="20">
        <f>20487.74+246719.34</f>
        <v>267207.08</v>
      </c>
      <c r="I2448" s="20">
        <f t="shared" si="70"/>
        <v>0</v>
      </c>
      <c r="J2448" s="19"/>
    </row>
    <row r="2449" spans="1:10" x14ac:dyDescent="0.25">
      <c r="A2449" s="82">
        <v>42786</v>
      </c>
      <c r="B2449" s="39" t="s">
        <v>6736</v>
      </c>
      <c r="C2449" s="89"/>
      <c r="D2449" s="18">
        <v>101784</v>
      </c>
      <c r="E2449" s="2" t="s">
        <v>10</v>
      </c>
      <c r="F2449" s="15">
        <v>40231.1</v>
      </c>
      <c r="G2449" s="41">
        <v>42790</v>
      </c>
      <c r="H2449" s="15">
        <f t="shared" si="71"/>
        <v>40231.1</v>
      </c>
      <c r="I2449" s="15">
        <f t="shared" si="70"/>
        <v>0</v>
      </c>
      <c r="J2449" s="19"/>
    </row>
    <row r="2450" spans="1:10" x14ac:dyDescent="0.25">
      <c r="A2450" s="82">
        <v>42786</v>
      </c>
      <c r="B2450" s="39" t="s">
        <v>6737</v>
      </c>
      <c r="C2450" s="89"/>
      <c r="D2450" s="18">
        <v>101785</v>
      </c>
      <c r="E2450" s="2" t="s">
        <v>10</v>
      </c>
      <c r="F2450" s="15">
        <v>8775.7999999999993</v>
      </c>
      <c r="G2450" s="41">
        <v>42790</v>
      </c>
      <c r="H2450" s="15">
        <f t="shared" si="71"/>
        <v>8775.7999999999993</v>
      </c>
      <c r="I2450" s="15">
        <f t="shared" si="70"/>
        <v>0</v>
      </c>
      <c r="J2450" s="19"/>
    </row>
    <row r="2451" spans="1:10" x14ac:dyDescent="0.25">
      <c r="A2451" s="82">
        <v>42786</v>
      </c>
      <c r="B2451" s="39" t="s">
        <v>6738</v>
      </c>
      <c r="C2451" s="89"/>
      <c r="D2451" s="18">
        <v>101786</v>
      </c>
      <c r="E2451" s="2" t="s">
        <v>161</v>
      </c>
      <c r="F2451" s="15">
        <v>36886.199999999997</v>
      </c>
      <c r="G2451" s="41">
        <v>42804</v>
      </c>
      <c r="H2451" s="15">
        <f t="shared" si="71"/>
        <v>36886.199999999997</v>
      </c>
      <c r="I2451" s="15">
        <f t="shared" si="70"/>
        <v>0</v>
      </c>
      <c r="J2451" s="19"/>
    </row>
    <row r="2452" spans="1:10" x14ac:dyDescent="0.25">
      <c r="A2452" s="82">
        <v>42786</v>
      </c>
      <c r="B2452" s="39" t="s">
        <v>6739</v>
      </c>
      <c r="C2452" s="89"/>
      <c r="D2452" s="18">
        <v>101787</v>
      </c>
      <c r="E2452" s="2" t="s">
        <v>172</v>
      </c>
      <c r="F2452" s="15">
        <v>21291.1</v>
      </c>
      <c r="G2452" s="41">
        <v>42804</v>
      </c>
      <c r="H2452" s="15">
        <f t="shared" si="71"/>
        <v>21291.1</v>
      </c>
      <c r="I2452" s="15">
        <f t="shared" si="70"/>
        <v>0</v>
      </c>
      <c r="J2452" s="19"/>
    </row>
    <row r="2453" spans="1:10" x14ac:dyDescent="0.25">
      <c r="A2453" s="82">
        <v>42786</v>
      </c>
      <c r="B2453" s="39" t="s">
        <v>6740</v>
      </c>
      <c r="C2453" s="89"/>
      <c r="D2453" s="18">
        <v>101788</v>
      </c>
      <c r="E2453" s="2" t="s">
        <v>163</v>
      </c>
      <c r="F2453" s="15">
        <v>13833.4</v>
      </c>
      <c r="G2453" s="41">
        <v>42804</v>
      </c>
      <c r="H2453" s="15">
        <f t="shared" si="71"/>
        <v>13833.4</v>
      </c>
      <c r="I2453" s="15">
        <f t="shared" si="70"/>
        <v>0</v>
      </c>
      <c r="J2453" s="19"/>
    </row>
    <row r="2454" spans="1:10" x14ac:dyDescent="0.25">
      <c r="A2454" s="82">
        <v>42786</v>
      </c>
      <c r="B2454" s="39" t="s">
        <v>6741</v>
      </c>
      <c r="C2454" s="89"/>
      <c r="D2454" s="18">
        <v>101789</v>
      </c>
      <c r="E2454" s="2" t="s">
        <v>165</v>
      </c>
      <c r="F2454" s="15">
        <v>9187.7999999999993</v>
      </c>
      <c r="G2454" s="41">
        <v>42804</v>
      </c>
      <c r="H2454" s="15">
        <f t="shared" si="71"/>
        <v>9187.7999999999993</v>
      </c>
      <c r="I2454" s="15">
        <f t="shared" si="70"/>
        <v>0</v>
      </c>
      <c r="J2454" s="19"/>
    </row>
    <row r="2455" spans="1:10" x14ac:dyDescent="0.25">
      <c r="A2455" s="82">
        <v>42786</v>
      </c>
      <c r="B2455" s="39" t="s">
        <v>6742</v>
      </c>
      <c r="C2455" s="89"/>
      <c r="D2455" s="18">
        <v>101790</v>
      </c>
      <c r="E2455" s="2" t="s">
        <v>4096</v>
      </c>
      <c r="F2455" s="15">
        <v>60352</v>
      </c>
      <c r="G2455" s="41">
        <v>42794</v>
      </c>
      <c r="H2455" s="15">
        <f t="shared" si="71"/>
        <v>60352</v>
      </c>
      <c r="I2455" s="15">
        <f t="shared" si="70"/>
        <v>0</v>
      </c>
      <c r="J2455" s="19"/>
    </row>
    <row r="2456" spans="1:10" x14ac:dyDescent="0.25">
      <c r="A2456" s="82">
        <v>42786</v>
      </c>
      <c r="B2456" s="39" t="s">
        <v>6743</v>
      </c>
      <c r="C2456" s="89"/>
      <c r="D2456" s="18">
        <v>101791</v>
      </c>
      <c r="E2456" s="2" t="s">
        <v>10</v>
      </c>
      <c r="F2456" s="15">
        <v>4055</v>
      </c>
      <c r="G2456" s="41">
        <v>42790</v>
      </c>
      <c r="H2456" s="15">
        <f t="shared" si="71"/>
        <v>4055</v>
      </c>
      <c r="I2456" s="15">
        <f t="shared" si="70"/>
        <v>0</v>
      </c>
      <c r="J2456" s="19"/>
    </row>
    <row r="2457" spans="1:10" x14ac:dyDescent="0.25">
      <c r="A2457" s="82">
        <v>42786</v>
      </c>
      <c r="B2457" s="39" t="s">
        <v>6744</v>
      </c>
      <c r="C2457" s="89"/>
      <c r="D2457" s="18">
        <v>101792</v>
      </c>
      <c r="E2457" s="2" t="s">
        <v>145</v>
      </c>
      <c r="F2457" s="15">
        <v>14112</v>
      </c>
      <c r="G2457" s="41">
        <v>42787</v>
      </c>
      <c r="H2457" s="15">
        <f t="shared" si="71"/>
        <v>14112</v>
      </c>
      <c r="I2457" s="15">
        <f t="shared" si="70"/>
        <v>0</v>
      </c>
      <c r="J2457" s="19"/>
    </row>
    <row r="2458" spans="1:10" x14ac:dyDescent="0.25">
      <c r="A2458" s="82">
        <v>42786</v>
      </c>
      <c r="B2458" s="39" t="s">
        <v>6745</v>
      </c>
      <c r="C2458" s="89"/>
      <c r="D2458" s="18">
        <v>101793</v>
      </c>
      <c r="E2458" s="2" t="s">
        <v>153</v>
      </c>
      <c r="F2458" s="15">
        <v>4040</v>
      </c>
      <c r="G2458" s="41">
        <v>42787</v>
      </c>
      <c r="H2458" s="15">
        <f t="shared" si="71"/>
        <v>4040</v>
      </c>
      <c r="I2458" s="15">
        <f t="shared" si="70"/>
        <v>0</v>
      </c>
      <c r="J2458" s="19"/>
    </row>
    <row r="2459" spans="1:10" x14ac:dyDescent="0.25">
      <c r="A2459" s="82">
        <v>42786</v>
      </c>
      <c r="B2459" s="39" t="s">
        <v>6746</v>
      </c>
      <c r="C2459" s="89"/>
      <c r="D2459" s="18">
        <v>101794</v>
      </c>
      <c r="E2459" s="2" t="s">
        <v>2240</v>
      </c>
      <c r="F2459" s="15">
        <v>5972.4</v>
      </c>
      <c r="G2459" s="41">
        <v>42786</v>
      </c>
      <c r="H2459" s="15">
        <f t="shared" si="71"/>
        <v>5972.4</v>
      </c>
      <c r="I2459" s="15">
        <f t="shared" si="70"/>
        <v>0</v>
      </c>
      <c r="J2459" s="19"/>
    </row>
    <row r="2460" spans="1:10" x14ac:dyDescent="0.25">
      <c r="A2460" s="82">
        <v>42786</v>
      </c>
      <c r="B2460" s="39" t="s">
        <v>6747</v>
      </c>
      <c r="C2460" s="89"/>
      <c r="D2460" s="18">
        <v>101795</v>
      </c>
      <c r="E2460" s="2" t="s">
        <v>1573</v>
      </c>
      <c r="F2460" s="15">
        <v>18299.150000000001</v>
      </c>
      <c r="G2460" s="41">
        <v>42786</v>
      </c>
      <c r="H2460" s="15">
        <f t="shared" si="71"/>
        <v>18299.150000000001</v>
      </c>
      <c r="I2460" s="15">
        <f t="shared" si="70"/>
        <v>0</v>
      </c>
      <c r="J2460" s="19"/>
    </row>
    <row r="2461" spans="1:10" x14ac:dyDescent="0.25">
      <c r="A2461" s="82">
        <v>42786</v>
      </c>
      <c r="B2461" s="39" t="s">
        <v>6748</v>
      </c>
      <c r="C2461" s="89"/>
      <c r="D2461" s="18">
        <v>101796</v>
      </c>
      <c r="E2461" s="2" t="s">
        <v>1335</v>
      </c>
      <c r="F2461" s="15">
        <v>7256.1</v>
      </c>
      <c r="G2461" s="41">
        <v>42786</v>
      </c>
      <c r="H2461" s="15">
        <f t="shared" si="71"/>
        <v>7256.1</v>
      </c>
      <c r="I2461" s="15">
        <f t="shared" si="70"/>
        <v>0</v>
      </c>
      <c r="J2461" s="19"/>
    </row>
    <row r="2462" spans="1:10" ht="30" x14ac:dyDescent="0.25">
      <c r="A2462" s="82">
        <v>42786</v>
      </c>
      <c r="B2462" s="39" t="s">
        <v>6749</v>
      </c>
      <c r="C2462" s="89"/>
      <c r="D2462" s="18">
        <v>101797</v>
      </c>
      <c r="E2462" s="2" t="s">
        <v>155</v>
      </c>
      <c r="F2462" s="15">
        <v>19068.3</v>
      </c>
      <c r="G2462" s="87" t="s">
        <v>6750</v>
      </c>
      <c r="H2462" s="20">
        <f>4068.3+15000</f>
        <v>19068.3</v>
      </c>
      <c r="I2462" s="20">
        <f t="shared" si="70"/>
        <v>0</v>
      </c>
      <c r="J2462" s="19"/>
    </row>
    <row r="2463" spans="1:10" x14ac:dyDescent="0.25">
      <c r="A2463" s="82">
        <v>42786</v>
      </c>
      <c r="B2463" s="39" t="s">
        <v>6751</v>
      </c>
      <c r="C2463" s="89"/>
      <c r="D2463" s="18">
        <v>101798</v>
      </c>
      <c r="E2463" s="2" t="s">
        <v>800</v>
      </c>
      <c r="F2463" s="15">
        <v>3734.6</v>
      </c>
      <c r="H2463" s="15">
        <f t="shared" si="71"/>
        <v>3734.6</v>
      </c>
      <c r="I2463" s="15">
        <f t="shared" si="70"/>
        <v>0</v>
      </c>
      <c r="J2463" s="19"/>
    </row>
    <row r="2464" spans="1:10" x14ac:dyDescent="0.25">
      <c r="A2464" s="82">
        <v>42786</v>
      </c>
      <c r="B2464" s="39" t="s">
        <v>6752</v>
      </c>
      <c r="C2464" s="89"/>
      <c r="D2464" s="18">
        <v>101799</v>
      </c>
      <c r="E2464" s="2" t="s">
        <v>356</v>
      </c>
      <c r="F2464" s="15">
        <v>11189.2</v>
      </c>
      <c r="G2464" s="41">
        <v>42787</v>
      </c>
      <c r="H2464" s="15">
        <f t="shared" si="71"/>
        <v>11189.2</v>
      </c>
      <c r="I2464" s="15">
        <f t="shared" si="70"/>
        <v>0</v>
      </c>
      <c r="J2464" s="19"/>
    </row>
    <row r="2465" spans="1:10" x14ac:dyDescent="0.25">
      <c r="A2465" s="82">
        <v>42786</v>
      </c>
      <c r="B2465" s="39" t="s">
        <v>6753</v>
      </c>
      <c r="C2465" s="89"/>
      <c r="D2465" s="18">
        <v>101800</v>
      </c>
      <c r="E2465" s="2" t="s">
        <v>182</v>
      </c>
      <c r="F2465" s="15">
        <v>2690.1</v>
      </c>
      <c r="G2465" s="41">
        <v>42787</v>
      </c>
      <c r="H2465" s="15">
        <f t="shared" si="71"/>
        <v>2690.1</v>
      </c>
      <c r="I2465" s="15">
        <f t="shared" si="70"/>
        <v>0</v>
      </c>
      <c r="J2465" s="19"/>
    </row>
    <row r="2466" spans="1:10" x14ac:dyDescent="0.25">
      <c r="A2466" s="82">
        <v>42786</v>
      </c>
      <c r="B2466" s="39" t="s">
        <v>6754</v>
      </c>
      <c r="C2466" s="89"/>
      <c r="D2466" s="18">
        <v>101801</v>
      </c>
      <c r="E2466" s="2" t="s">
        <v>2528</v>
      </c>
      <c r="F2466" s="15">
        <v>780</v>
      </c>
      <c r="G2466" s="41">
        <v>42787</v>
      </c>
      <c r="H2466" s="15">
        <f t="shared" si="71"/>
        <v>780</v>
      </c>
      <c r="I2466" s="15">
        <f t="shared" si="70"/>
        <v>0</v>
      </c>
      <c r="J2466" s="19"/>
    </row>
    <row r="2467" spans="1:10" x14ac:dyDescent="0.25">
      <c r="A2467" s="82">
        <v>42786</v>
      </c>
      <c r="B2467" s="39" t="s">
        <v>6755</v>
      </c>
      <c r="C2467" s="89"/>
      <c r="D2467" s="18">
        <v>101802</v>
      </c>
      <c r="E2467" s="2" t="s">
        <v>193</v>
      </c>
      <c r="F2467" s="15">
        <v>2533.3000000000002</v>
      </c>
      <c r="G2467" s="41">
        <v>42787</v>
      </c>
      <c r="H2467" s="15">
        <f t="shared" si="71"/>
        <v>2533.3000000000002</v>
      </c>
      <c r="I2467" s="15">
        <f t="shared" si="70"/>
        <v>0</v>
      </c>
      <c r="J2467" s="19"/>
    </row>
    <row r="2468" spans="1:10" x14ac:dyDescent="0.25">
      <c r="A2468" s="82">
        <v>42786</v>
      </c>
      <c r="B2468" s="39" t="s">
        <v>6756</v>
      </c>
      <c r="C2468" s="89"/>
      <c r="D2468" s="18">
        <v>101803</v>
      </c>
      <c r="E2468" s="2" t="s">
        <v>222</v>
      </c>
      <c r="F2468" s="15">
        <v>22156.9</v>
      </c>
      <c r="G2468" s="41">
        <v>42738</v>
      </c>
      <c r="H2468" s="15">
        <f t="shared" si="71"/>
        <v>22156.9</v>
      </c>
      <c r="I2468" s="15">
        <f t="shared" si="70"/>
        <v>0</v>
      </c>
      <c r="J2468" s="19"/>
    </row>
    <row r="2469" spans="1:10" x14ac:dyDescent="0.25">
      <c r="A2469" s="82">
        <v>42786</v>
      </c>
      <c r="B2469" s="39" t="s">
        <v>6757</v>
      </c>
      <c r="C2469" s="89"/>
      <c r="D2469" s="18">
        <v>101804</v>
      </c>
      <c r="E2469" s="2" t="s">
        <v>509</v>
      </c>
      <c r="F2469" s="15">
        <v>22739.200000000001</v>
      </c>
      <c r="G2469" s="41">
        <v>42787</v>
      </c>
      <c r="H2469" s="15">
        <f t="shared" si="71"/>
        <v>22739.200000000001</v>
      </c>
      <c r="I2469" s="15">
        <f t="shared" si="70"/>
        <v>0</v>
      </c>
      <c r="J2469" s="19"/>
    </row>
    <row r="2470" spans="1:10" x14ac:dyDescent="0.25">
      <c r="A2470" s="82">
        <v>42786</v>
      </c>
      <c r="B2470" s="39" t="s">
        <v>6758</v>
      </c>
      <c r="C2470" s="89"/>
      <c r="D2470" s="18">
        <v>101805</v>
      </c>
      <c r="E2470" s="2" t="s">
        <v>125</v>
      </c>
      <c r="F2470" s="15">
        <v>6523.2</v>
      </c>
      <c r="G2470" s="41">
        <v>42787</v>
      </c>
      <c r="H2470" s="15">
        <f t="shared" si="71"/>
        <v>6523.2</v>
      </c>
      <c r="I2470" s="15">
        <f t="shared" si="70"/>
        <v>0</v>
      </c>
      <c r="J2470" s="19"/>
    </row>
    <row r="2471" spans="1:10" x14ac:dyDescent="0.25">
      <c r="A2471" s="82">
        <v>42786</v>
      </c>
      <c r="B2471" s="39" t="s">
        <v>6759</v>
      </c>
      <c r="C2471" s="89"/>
      <c r="D2471" s="18">
        <v>101806</v>
      </c>
      <c r="E2471" s="2" t="s">
        <v>1594</v>
      </c>
      <c r="F2471" s="15">
        <v>65632</v>
      </c>
      <c r="G2471" s="41">
        <v>42791</v>
      </c>
      <c r="H2471" s="15">
        <f t="shared" si="71"/>
        <v>65632</v>
      </c>
      <c r="I2471" s="15">
        <f t="shared" si="70"/>
        <v>0</v>
      </c>
      <c r="J2471" s="19"/>
    </row>
    <row r="2472" spans="1:10" x14ac:dyDescent="0.25">
      <c r="A2472" s="82">
        <v>42786</v>
      </c>
      <c r="B2472" s="39" t="s">
        <v>6760</v>
      </c>
      <c r="C2472" s="89"/>
      <c r="D2472" s="18">
        <v>101807</v>
      </c>
      <c r="E2472" s="2" t="s">
        <v>670</v>
      </c>
      <c r="F2472" s="15">
        <v>168215.2</v>
      </c>
      <c r="G2472" s="41">
        <v>42789</v>
      </c>
      <c r="H2472" s="15">
        <f t="shared" si="71"/>
        <v>168215.2</v>
      </c>
      <c r="I2472" s="15">
        <f t="shared" si="70"/>
        <v>0</v>
      </c>
      <c r="J2472" s="19"/>
    </row>
    <row r="2473" spans="1:10" x14ac:dyDescent="0.25">
      <c r="A2473" s="82">
        <v>42786</v>
      </c>
      <c r="B2473" s="39" t="s">
        <v>6761</v>
      </c>
      <c r="C2473" s="89"/>
      <c r="D2473" s="18">
        <v>101808</v>
      </c>
      <c r="E2473" s="2" t="s">
        <v>670</v>
      </c>
      <c r="F2473" s="15">
        <v>84595.5</v>
      </c>
      <c r="G2473" s="41">
        <v>42789</v>
      </c>
      <c r="H2473" s="15">
        <f t="shared" si="71"/>
        <v>84595.5</v>
      </c>
      <c r="I2473" s="15">
        <f t="shared" si="70"/>
        <v>0</v>
      </c>
      <c r="J2473" s="19"/>
    </row>
    <row r="2474" spans="1:10" x14ac:dyDescent="0.25">
      <c r="A2474" s="82">
        <v>42786</v>
      </c>
      <c r="B2474" s="39" t="s">
        <v>6762</v>
      </c>
      <c r="C2474" s="89"/>
      <c r="D2474" s="18">
        <v>101809</v>
      </c>
      <c r="E2474" s="2" t="s">
        <v>675</v>
      </c>
      <c r="F2474" s="15">
        <v>2905</v>
      </c>
      <c r="G2474" s="41">
        <v>42789</v>
      </c>
      <c r="H2474" s="15">
        <f t="shared" si="71"/>
        <v>2905</v>
      </c>
      <c r="I2474" s="15">
        <f t="shared" si="70"/>
        <v>0</v>
      </c>
      <c r="J2474" s="19"/>
    </row>
    <row r="2475" spans="1:10" x14ac:dyDescent="0.25">
      <c r="A2475" s="82">
        <v>42786</v>
      </c>
      <c r="B2475" s="39" t="s">
        <v>6763</v>
      </c>
      <c r="C2475" s="89"/>
      <c r="D2475" s="18">
        <v>101810</v>
      </c>
      <c r="E2475" s="2" t="s">
        <v>1598</v>
      </c>
      <c r="F2475" s="15">
        <v>3260.4</v>
      </c>
      <c r="G2475" s="41">
        <v>42789</v>
      </c>
      <c r="H2475" s="15">
        <f t="shared" si="71"/>
        <v>3260.4</v>
      </c>
      <c r="I2475" s="15">
        <f t="shared" si="70"/>
        <v>0</v>
      </c>
      <c r="J2475" s="19"/>
    </row>
    <row r="2476" spans="1:10" x14ac:dyDescent="0.25">
      <c r="A2476" s="82">
        <v>42786</v>
      </c>
      <c r="B2476" s="39" t="s">
        <v>6764</v>
      </c>
      <c r="C2476" s="89"/>
      <c r="D2476" s="18">
        <v>101811</v>
      </c>
      <c r="E2476" s="2" t="s">
        <v>677</v>
      </c>
      <c r="F2476" s="15">
        <v>1854.9</v>
      </c>
      <c r="G2476" s="41">
        <v>42789</v>
      </c>
      <c r="H2476" s="15">
        <f t="shared" si="71"/>
        <v>1854.9</v>
      </c>
      <c r="I2476" s="15">
        <f t="shared" si="70"/>
        <v>0</v>
      </c>
      <c r="J2476" s="19"/>
    </row>
    <row r="2477" spans="1:10" x14ac:dyDescent="0.25">
      <c r="A2477" s="82">
        <v>42786</v>
      </c>
      <c r="B2477" s="39" t="s">
        <v>6765</v>
      </c>
      <c r="C2477" s="89"/>
      <c r="D2477" s="18">
        <v>101812</v>
      </c>
      <c r="E2477" s="2" t="s">
        <v>680</v>
      </c>
      <c r="F2477" s="15">
        <v>1433.7</v>
      </c>
      <c r="G2477" s="41">
        <v>42789</v>
      </c>
      <c r="H2477" s="15">
        <f t="shared" si="71"/>
        <v>1433.7</v>
      </c>
      <c r="I2477" s="15">
        <f t="shared" si="70"/>
        <v>0</v>
      </c>
      <c r="J2477" s="19"/>
    </row>
    <row r="2478" spans="1:10" x14ac:dyDescent="0.25">
      <c r="A2478" s="82">
        <v>42786</v>
      </c>
      <c r="B2478" s="39" t="s">
        <v>6766</v>
      </c>
      <c r="C2478" s="89"/>
      <c r="D2478" s="18">
        <v>101813</v>
      </c>
      <c r="E2478" s="2" t="s">
        <v>688</v>
      </c>
      <c r="F2478" s="15">
        <v>3340.4</v>
      </c>
      <c r="G2478" s="41">
        <v>42789</v>
      </c>
      <c r="H2478" s="15">
        <f t="shared" si="71"/>
        <v>3340.4</v>
      </c>
      <c r="I2478" s="15">
        <f t="shared" si="70"/>
        <v>0</v>
      </c>
      <c r="J2478" s="19"/>
    </row>
    <row r="2479" spans="1:10" x14ac:dyDescent="0.25">
      <c r="A2479" s="82">
        <v>42786</v>
      </c>
      <c r="B2479" s="39" t="s">
        <v>6767</v>
      </c>
      <c r="C2479" s="89"/>
      <c r="D2479" s="18">
        <v>101814</v>
      </c>
      <c r="E2479" s="2" t="s">
        <v>1197</v>
      </c>
      <c r="F2479" s="15">
        <v>7377.1</v>
      </c>
      <c r="G2479" s="41">
        <v>42789</v>
      </c>
      <c r="H2479" s="15">
        <f t="shared" si="71"/>
        <v>7377.1</v>
      </c>
      <c r="I2479" s="15">
        <f t="shared" si="70"/>
        <v>0</v>
      </c>
      <c r="J2479" s="19"/>
    </row>
    <row r="2480" spans="1:10" x14ac:dyDescent="0.25">
      <c r="A2480" s="82">
        <v>42786</v>
      </c>
      <c r="B2480" s="39" t="s">
        <v>6768</v>
      </c>
      <c r="C2480" s="89"/>
      <c r="D2480" s="18">
        <v>101815</v>
      </c>
      <c r="E2480" s="2" t="s">
        <v>686</v>
      </c>
      <c r="F2480" s="15">
        <v>24089.8</v>
      </c>
      <c r="G2480" s="41">
        <v>42789</v>
      </c>
      <c r="H2480" s="15">
        <f t="shared" si="71"/>
        <v>24089.8</v>
      </c>
      <c r="I2480" s="15">
        <f t="shared" si="70"/>
        <v>0</v>
      </c>
      <c r="J2480" s="19"/>
    </row>
    <row r="2481" spans="1:10" x14ac:dyDescent="0.25">
      <c r="A2481" s="82">
        <v>42786</v>
      </c>
      <c r="B2481" s="39" t="s">
        <v>6769</v>
      </c>
      <c r="C2481" s="89"/>
      <c r="D2481" s="18">
        <v>101816</v>
      </c>
      <c r="E2481" s="2" t="s">
        <v>316</v>
      </c>
      <c r="F2481" s="15">
        <v>20072.2</v>
      </c>
      <c r="G2481" s="41">
        <v>42802</v>
      </c>
      <c r="H2481" s="15">
        <f t="shared" si="71"/>
        <v>20072.2</v>
      </c>
      <c r="I2481" s="15">
        <f t="shared" si="70"/>
        <v>0</v>
      </c>
      <c r="J2481" s="19"/>
    </row>
    <row r="2482" spans="1:10" x14ac:dyDescent="0.25">
      <c r="A2482" s="82">
        <v>42786</v>
      </c>
      <c r="B2482" s="39" t="s">
        <v>6770</v>
      </c>
      <c r="C2482" s="89"/>
      <c r="D2482" s="18">
        <v>101817</v>
      </c>
      <c r="E2482" s="2" t="s">
        <v>316</v>
      </c>
      <c r="F2482" s="15">
        <v>1464</v>
      </c>
      <c r="G2482" s="41">
        <v>42802</v>
      </c>
      <c r="H2482" s="15">
        <f t="shared" si="71"/>
        <v>1464</v>
      </c>
      <c r="I2482" s="15">
        <f t="shared" si="70"/>
        <v>0</v>
      </c>
      <c r="J2482" s="19"/>
    </row>
    <row r="2483" spans="1:10" x14ac:dyDescent="0.25">
      <c r="A2483" s="82">
        <v>42786</v>
      </c>
      <c r="B2483" s="39" t="s">
        <v>6771</v>
      </c>
      <c r="C2483" s="89"/>
      <c r="D2483" s="18">
        <v>101818</v>
      </c>
      <c r="E2483" s="2" t="s">
        <v>688</v>
      </c>
      <c r="F2483" s="15">
        <v>550.4</v>
      </c>
      <c r="G2483" s="41">
        <v>42789</v>
      </c>
      <c r="H2483" s="15">
        <f t="shared" si="71"/>
        <v>550.4</v>
      </c>
      <c r="I2483" s="15">
        <f t="shared" si="70"/>
        <v>0</v>
      </c>
      <c r="J2483" s="19"/>
    </row>
    <row r="2484" spans="1:10" x14ac:dyDescent="0.25">
      <c r="A2484" s="82">
        <v>42786</v>
      </c>
      <c r="B2484" s="39" t="s">
        <v>6772</v>
      </c>
      <c r="C2484" s="89"/>
      <c r="D2484" s="18">
        <v>101819</v>
      </c>
      <c r="E2484" s="2" t="s">
        <v>680</v>
      </c>
      <c r="F2484" s="15">
        <v>597.70000000000005</v>
      </c>
      <c r="G2484" s="41">
        <v>42789</v>
      </c>
      <c r="H2484" s="15">
        <f t="shared" si="71"/>
        <v>597.70000000000005</v>
      </c>
      <c r="I2484" s="15">
        <f t="shared" si="70"/>
        <v>0</v>
      </c>
      <c r="J2484" s="19"/>
    </row>
    <row r="2485" spans="1:10" x14ac:dyDescent="0.25">
      <c r="A2485" s="82">
        <v>42786</v>
      </c>
      <c r="B2485" s="39" t="s">
        <v>6773</v>
      </c>
      <c r="C2485" s="89"/>
      <c r="D2485" s="18">
        <v>101820</v>
      </c>
      <c r="E2485" s="2" t="s">
        <v>1310</v>
      </c>
      <c r="F2485" s="15">
        <v>3280</v>
      </c>
      <c r="G2485" s="41">
        <v>42787</v>
      </c>
      <c r="H2485" s="15">
        <f t="shared" si="71"/>
        <v>3280</v>
      </c>
      <c r="I2485" s="15">
        <f t="shared" si="70"/>
        <v>0</v>
      </c>
      <c r="J2485" s="19"/>
    </row>
    <row r="2486" spans="1:10" x14ac:dyDescent="0.25">
      <c r="A2486" s="82">
        <v>42786</v>
      </c>
      <c r="B2486" s="39" t="s">
        <v>6774</v>
      </c>
      <c r="C2486" s="89"/>
      <c r="D2486" s="18">
        <v>101821</v>
      </c>
      <c r="E2486" s="2" t="s">
        <v>205</v>
      </c>
      <c r="F2486" s="15">
        <v>31647.200000000001</v>
      </c>
      <c r="G2486" s="41">
        <v>42802</v>
      </c>
      <c r="H2486" s="15">
        <f t="shared" si="71"/>
        <v>31647.200000000001</v>
      </c>
      <c r="I2486" s="15">
        <f t="shared" si="70"/>
        <v>0</v>
      </c>
      <c r="J2486" s="19"/>
    </row>
    <row r="2487" spans="1:10" x14ac:dyDescent="0.25">
      <c r="A2487" s="82">
        <v>42786</v>
      </c>
      <c r="B2487" s="39" t="s">
        <v>6775</v>
      </c>
      <c r="C2487" s="89"/>
      <c r="D2487" s="18">
        <v>101822</v>
      </c>
      <c r="E2487" s="2" t="s">
        <v>8</v>
      </c>
      <c r="F2487" s="15">
        <v>5842.6</v>
      </c>
      <c r="G2487" s="41">
        <v>42787</v>
      </c>
      <c r="H2487" s="15">
        <f t="shared" si="71"/>
        <v>5842.6</v>
      </c>
      <c r="I2487" s="15">
        <f t="shared" si="70"/>
        <v>0</v>
      </c>
      <c r="J2487" s="19"/>
    </row>
    <row r="2488" spans="1:10" x14ac:dyDescent="0.25">
      <c r="A2488" s="82">
        <v>42786</v>
      </c>
      <c r="B2488" s="39" t="s">
        <v>6776</v>
      </c>
      <c r="C2488" s="89"/>
      <c r="D2488" s="18">
        <v>101823</v>
      </c>
      <c r="E2488" s="2" t="s">
        <v>222</v>
      </c>
      <c r="F2488" s="15">
        <v>409266</v>
      </c>
      <c r="H2488" s="15">
        <f t="shared" si="71"/>
        <v>409266</v>
      </c>
      <c r="I2488" s="15">
        <f t="shared" ref="I2488:I2551" si="72">F2488-H2488</f>
        <v>0</v>
      </c>
      <c r="J2488" s="19"/>
    </row>
    <row r="2489" spans="1:10" x14ac:dyDescent="0.25">
      <c r="A2489" s="82">
        <v>42786</v>
      </c>
      <c r="B2489" s="39" t="s">
        <v>6777</v>
      </c>
      <c r="C2489" s="89"/>
      <c r="D2489" s="18">
        <v>101824</v>
      </c>
      <c r="E2489" s="2" t="s">
        <v>55</v>
      </c>
      <c r="F2489" s="15">
        <v>11257.2</v>
      </c>
      <c r="G2489" s="41">
        <v>42786</v>
      </c>
      <c r="H2489" s="15">
        <f t="shared" si="71"/>
        <v>11257.2</v>
      </c>
      <c r="I2489" s="15">
        <f t="shared" si="72"/>
        <v>0</v>
      </c>
      <c r="J2489" s="19"/>
    </row>
    <row r="2490" spans="1:10" x14ac:dyDescent="0.25">
      <c r="A2490" s="82">
        <v>42786</v>
      </c>
      <c r="B2490" s="39" t="s">
        <v>6778</v>
      </c>
      <c r="C2490" s="89"/>
      <c r="D2490" s="18">
        <v>101825</v>
      </c>
      <c r="E2490" s="2" t="s">
        <v>697</v>
      </c>
      <c r="F2490" s="15">
        <v>64020</v>
      </c>
      <c r="G2490" s="41">
        <v>42798</v>
      </c>
      <c r="H2490" s="15">
        <f t="shared" si="71"/>
        <v>64020</v>
      </c>
      <c r="I2490" s="15">
        <f t="shared" si="72"/>
        <v>0</v>
      </c>
      <c r="J2490" s="19"/>
    </row>
    <row r="2491" spans="1:10" x14ac:dyDescent="0.25">
      <c r="A2491" s="82">
        <v>42786</v>
      </c>
      <c r="B2491" s="39" t="s">
        <v>6779</v>
      </c>
      <c r="C2491" s="89"/>
      <c r="D2491" s="18">
        <v>101826</v>
      </c>
      <c r="E2491" s="2" t="s">
        <v>354</v>
      </c>
      <c r="F2491" s="15">
        <v>1074.5999999999999</v>
      </c>
      <c r="G2491" s="41">
        <v>42786</v>
      </c>
      <c r="H2491" s="15">
        <f t="shared" si="71"/>
        <v>1074.5999999999999</v>
      </c>
      <c r="I2491" s="15">
        <f t="shared" si="72"/>
        <v>0</v>
      </c>
      <c r="J2491" s="19"/>
    </row>
    <row r="2492" spans="1:10" x14ac:dyDescent="0.25">
      <c r="A2492" s="82">
        <v>42786</v>
      </c>
      <c r="B2492" s="39" t="s">
        <v>6780</v>
      </c>
      <c r="C2492" s="89"/>
      <c r="D2492" s="18">
        <v>101827</v>
      </c>
      <c r="E2492" s="2" t="s">
        <v>222</v>
      </c>
      <c r="F2492" s="15">
        <v>15148.7</v>
      </c>
      <c r="G2492" s="41">
        <v>42738</v>
      </c>
      <c r="H2492" s="15">
        <f t="shared" si="71"/>
        <v>15148.7</v>
      </c>
      <c r="I2492" s="15">
        <f t="shared" si="72"/>
        <v>0</v>
      </c>
      <c r="J2492" s="19"/>
    </row>
    <row r="2493" spans="1:10" x14ac:dyDescent="0.25">
      <c r="A2493" s="82">
        <v>42786</v>
      </c>
      <c r="B2493" s="39" t="s">
        <v>6781</v>
      </c>
      <c r="C2493" s="89"/>
      <c r="D2493" s="18">
        <v>101828</v>
      </c>
      <c r="E2493" s="2" t="s">
        <v>211</v>
      </c>
      <c r="F2493" s="15">
        <v>8564.6</v>
      </c>
      <c r="G2493" s="41">
        <v>42786</v>
      </c>
      <c r="H2493" s="15">
        <f t="shared" si="71"/>
        <v>8564.6</v>
      </c>
      <c r="I2493" s="15">
        <f t="shared" si="72"/>
        <v>0</v>
      </c>
      <c r="J2493" s="19"/>
    </row>
    <row r="2494" spans="1:10" x14ac:dyDescent="0.25">
      <c r="A2494" s="82">
        <v>42786</v>
      </c>
      <c r="B2494" s="39" t="s">
        <v>6782</v>
      </c>
      <c r="C2494" s="89"/>
      <c r="D2494" s="18">
        <v>101829</v>
      </c>
      <c r="E2494" s="2" t="s">
        <v>220</v>
      </c>
      <c r="F2494" s="15">
        <v>1560.6</v>
      </c>
      <c r="G2494" s="41">
        <v>42787</v>
      </c>
      <c r="H2494" s="15">
        <f t="shared" si="71"/>
        <v>1560.6</v>
      </c>
      <c r="I2494" s="15">
        <f t="shared" si="72"/>
        <v>0</v>
      </c>
      <c r="J2494" s="19"/>
    </row>
    <row r="2495" spans="1:10" x14ac:dyDescent="0.25">
      <c r="A2495" s="82">
        <v>42787</v>
      </c>
      <c r="B2495" s="39" t="s">
        <v>6783</v>
      </c>
      <c r="C2495" s="89"/>
      <c r="D2495" s="18">
        <v>101830</v>
      </c>
      <c r="E2495" s="2" t="s">
        <v>231</v>
      </c>
      <c r="F2495" s="15">
        <v>6680.6</v>
      </c>
      <c r="G2495" s="41">
        <v>42787</v>
      </c>
      <c r="H2495" s="15">
        <f t="shared" si="71"/>
        <v>6680.6</v>
      </c>
      <c r="I2495" s="15">
        <f t="shared" si="72"/>
        <v>0</v>
      </c>
      <c r="J2495" s="19"/>
    </row>
    <row r="2496" spans="1:10" x14ac:dyDescent="0.25">
      <c r="A2496" s="82">
        <v>42787</v>
      </c>
      <c r="B2496" s="39" t="s">
        <v>6784</v>
      </c>
      <c r="C2496" s="89"/>
      <c r="D2496" s="18">
        <v>101831</v>
      </c>
      <c r="E2496" s="2" t="s">
        <v>231</v>
      </c>
      <c r="F2496" s="15">
        <v>36709.800000000003</v>
      </c>
      <c r="G2496" s="41">
        <v>42788</v>
      </c>
      <c r="H2496" s="15">
        <f t="shared" si="71"/>
        <v>36709.800000000003</v>
      </c>
      <c r="I2496" s="15">
        <f t="shared" si="72"/>
        <v>0</v>
      </c>
      <c r="J2496" s="19"/>
    </row>
    <row r="2497" spans="1:10" x14ac:dyDescent="0.25">
      <c r="A2497" s="82">
        <v>42787</v>
      </c>
      <c r="B2497" s="39" t="s">
        <v>6785</v>
      </c>
      <c r="C2497" s="89"/>
      <c r="D2497" s="18">
        <v>101832</v>
      </c>
      <c r="E2497" s="2" t="s">
        <v>71</v>
      </c>
      <c r="F2497" s="15">
        <v>1886.5</v>
      </c>
      <c r="G2497" s="41">
        <v>42787</v>
      </c>
      <c r="H2497" s="15">
        <f t="shared" si="71"/>
        <v>1886.5</v>
      </c>
      <c r="I2497" s="15">
        <f t="shared" si="72"/>
        <v>0</v>
      </c>
      <c r="J2497" s="19"/>
    </row>
    <row r="2498" spans="1:10" x14ac:dyDescent="0.25">
      <c r="A2498" s="82">
        <v>42787</v>
      </c>
      <c r="B2498" s="39" t="s">
        <v>6786</v>
      </c>
      <c r="C2498" s="89"/>
      <c r="D2498" s="18">
        <v>101833</v>
      </c>
      <c r="E2498" s="2" t="s">
        <v>17</v>
      </c>
      <c r="F2498" s="15">
        <v>2205</v>
      </c>
      <c r="G2498" s="41">
        <v>42787</v>
      </c>
      <c r="H2498" s="15">
        <f t="shared" si="71"/>
        <v>2205</v>
      </c>
      <c r="I2498" s="15">
        <f t="shared" si="72"/>
        <v>0</v>
      </c>
      <c r="J2498" s="19"/>
    </row>
    <row r="2499" spans="1:10" x14ac:dyDescent="0.25">
      <c r="A2499" s="82">
        <v>42787</v>
      </c>
      <c r="B2499" s="39" t="s">
        <v>6787</v>
      </c>
      <c r="C2499" s="89"/>
      <c r="D2499" s="18">
        <v>101834</v>
      </c>
      <c r="E2499" s="2" t="s">
        <v>32</v>
      </c>
      <c r="F2499" s="15">
        <v>6405</v>
      </c>
      <c r="G2499" s="41">
        <v>42794</v>
      </c>
      <c r="H2499" s="15">
        <f t="shared" si="71"/>
        <v>6405</v>
      </c>
      <c r="I2499" s="15">
        <f t="shared" si="72"/>
        <v>0</v>
      </c>
      <c r="J2499" s="19"/>
    </row>
    <row r="2500" spans="1:10" x14ac:dyDescent="0.25">
      <c r="A2500" s="82">
        <v>42787</v>
      </c>
      <c r="B2500" s="39" t="s">
        <v>6788</v>
      </c>
      <c r="C2500" s="89"/>
      <c r="D2500" s="18">
        <v>101835</v>
      </c>
      <c r="E2500" s="2" t="s">
        <v>38</v>
      </c>
      <c r="F2500" s="15">
        <v>3135</v>
      </c>
      <c r="G2500" s="41">
        <v>42788</v>
      </c>
      <c r="H2500" s="15">
        <f t="shared" ref="H2500:H2563" si="73">F2500</f>
        <v>3135</v>
      </c>
      <c r="I2500" s="15">
        <f t="shared" si="72"/>
        <v>0</v>
      </c>
      <c r="J2500" s="19"/>
    </row>
    <row r="2501" spans="1:10" x14ac:dyDescent="0.25">
      <c r="A2501" s="82">
        <v>42787</v>
      </c>
      <c r="B2501" s="39" t="s">
        <v>6789</v>
      </c>
      <c r="C2501" s="89"/>
      <c r="D2501" s="18">
        <v>101836</v>
      </c>
      <c r="E2501" s="2" t="s">
        <v>442</v>
      </c>
      <c r="F2501" s="15">
        <v>6526.8</v>
      </c>
      <c r="G2501" s="41">
        <v>42790</v>
      </c>
      <c r="H2501" s="15">
        <f t="shared" si="73"/>
        <v>6526.8</v>
      </c>
      <c r="I2501" s="15">
        <f t="shared" si="72"/>
        <v>0</v>
      </c>
      <c r="J2501" s="19"/>
    </row>
    <row r="2502" spans="1:10" x14ac:dyDescent="0.25">
      <c r="A2502" s="82">
        <v>42787</v>
      </c>
      <c r="B2502" s="39" t="s">
        <v>6790</v>
      </c>
      <c r="C2502" s="89"/>
      <c r="D2502" s="18">
        <v>101837</v>
      </c>
      <c r="E2502" s="2" t="s">
        <v>268</v>
      </c>
      <c r="F2502" s="15">
        <v>15829.7</v>
      </c>
      <c r="G2502" s="41">
        <v>42790</v>
      </c>
      <c r="H2502" s="15">
        <f t="shared" si="73"/>
        <v>15829.7</v>
      </c>
      <c r="I2502" s="15">
        <f t="shared" si="72"/>
        <v>0</v>
      </c>
      <c r="J2502" s="19"/>
    </row>
    <row r="2503" spans="1:10" x14ac:dyDescent="0.25">
      <c r="A2503" s="82">
        <v>42787</v>
      </c>
      <c r="B2503" s="39" t="s">
        <v>6791</v>
      </c>
      <c r="C2503" s="89"/>
      <c r="D2503" s="18">
        <v>101838</v>
      </c>
      <c r="E2503" s="2" t="s">
        <v>270</v>
      </c>
      <c r="F2503" s="15">
        <v>34428.379999999997</v>
      </c>
      <c r="G2503" s="41">
        <v>42790</v>
      </c>
      <c r="H2503" s="15">
        <f t="shared" si="73"/>
        <v>34428.379999999997</v>
      </c>
      <c r="I2503" s="15">
        <f t="shared" si="72"/>
        <v>0</v>
      </c>
      <c r="J2503" s="19"/>
    </row>
    <row r="2504" spans="1:10" x14ac:dyDescent="0.25">
      <c r="A2504" s="82">
        <v>42787</v>
      </c>
      <c r="B2504" s="39" t="s">
        <v>6792</v>
      </c>
      <c r="C2504" s="89"/>
      <c r="D2504" s="18">
        <v>101839</v>
      </c>
      <c r="E2504" s="2" t="s">
        <v>272</v>
      </c>
      <c r="F2504" s="15">
        <v>3037.7</v>
      </c>
      <c r="G2504" s="41">
        <v>42788</v>
      </c>
      <c r="H2504" s="15">
        <f t="shared" si="73"/>
        <v>3037.7</v>
      </c>
      <c r="I2504" s="15">
        <f t="shared" si="72"/>
        <v>0</v>
      </c>
      <c r="J2504" s="19"/>
    </row>
    <row r="2505" spans="1:10" x14ac:dyDescent="0.25">
      <c r="A2505" s="82">
        <v>42787</v>
      </c>
      <c r="B2505" s="39" t="s">
        <v>6793</v>
      </c>
      <c r="C2505" s="89"/>
      <c r="D2505" s="18">
        <v>101840</v>
      </c>
      <c r="E2505" s="2" t="s">
        <v>69</v>
      </c>
      <c r="F2505" s="15">
        <v>4445.3999999999996</v>
      </c>
      <c r="G2505" s="41">
        <v>42787</v>
      </c>
      <c r="H2505" s="15">
        <f t="shared" si="73"/>
        <v>4445.3999999999996</v>
      </c>
      <c r="I2505" s="15">
        <f t="shared" si="72"/>
        <v>0</v>
      </c>
      <c r="J2505" s="19"/>
    </row>
    <row r="2506" spans="1:10" x14ac:dyDescent="0.25">
      <c r="A2506" s="82">
        <v>42787</v>
      </c>
      <c r="B2506" s="39" t="s">
        <v>6794</v>
      </c>
      <c r="C2506" s="89"/>
      <c r="D2506" s="18">
        <v>101841</v>
      </c>
      <c r="E2506" s="2" t="s">
        <v>26</v>
      </c>
      <c r="F2506" s="15">
        <v>16431</v>
      </c>
      <c r="G2506" s="41">
        <v>42787</v>
      </c>
      <c r="H2506" s="15">
        <f t="shared" si="73"/>
        <v>16431</v>
      </c>
      <c r="I2506" s="15">
        <f t="shared" si="72"/>
        <v>0</v>
      </c>
      <c r="J2506" s="19"/>
    </row>
    <row r="2507" spans="1:10" x14ac:dyDescent="0.25">
      <c r="A2507" s="82">
        <v>42787</v>
      </c>
      <c r="B2507" s="39" t="s">
        <v>6795</v>
      </c>
      <c r="C2507" s="89"/>
      <c r="D2507" s="18">
        <v>101842</v>
      </c>
      <c r="E2507" s="2" t="s">
        <v>40</v>
      </c>
      <c r="F2507" s="15">
        <v>2819.4</v>
      </c>
      <c r="G2507" s="41">
        <v>42793</v>
      </c>
      <c r="H2507" s="15">
        <f t="shared" si="73"/>
        <v>2819.4</v>
      </c>
      <c r="I2507" s="15">
        <f t="shared" si="72"/>
        <v>0</v>
      </c>
      <c r="J2507" s="19"/>
    </row>
    <row r="2508" spans="1:10" x14ac:dyDescent="0.25">
      <c r="A2508" s="82">
        <v>42787</v>
      </c>
      <c r="B2508" s="39" t="s">
        <v>6796</v>
      </c>
      <c r="C2508" s="89"/>
      <c r="D2508" s="18">
        <v>101843</v>
      </c>
      <c r="E2508" s="2" t="s">
        <v>55</v>
      </c>
      <c r="F2508" s="15">
        <v>8670.4</v>
      </c>
      <c r="G2508" s="41">
        <v>42787</v>
      </c>
      <c r="H2508" s="15">
        <f t="shared" si="73"/>
        <v>8670.4</v>
      </c>
      <c r="I2508" s="15">
        <f t="shared" si="72"/>
        <v>0</v>
      </c>
      <c r="J2508" s="19"/>
    </row>
    <row r="2509" spans="1:10" x14ac:dyDescent="0.25">
      <c r="A2509" s="82">
        <v>42787</v>
      </c>
      <c r="B2509" s="39" t="s">
        <v>6797</v>
      </c>
      <c r="C2509" s="89"/>
      <c r="D2509" s="18">
        <v>101844</v>
      </c>
      <c r="E2509" s="2" t="s">
        <v>590</v>
      </c>
      <c r="F2509" s="15">
        <v>4543.2</v>
      </c>
      <c r="G2509" s="41">
        <v>42788</v>
      </c>
      <c r="H2509" s="15">
        <f t="shared" si="73"/>
        <v>4543.2</v>
      </c>
      <c r="I2509" s="15">
        <f t="shared" si="72"/>
        <v>0</v>
      </c>
      <c r="J2509" s="19"/>
    </row>
    <row r="2510" spans="1:10" x14ac:dyDescent="0.25">
      <c r="A2510" s="82">
        <v>42787</v>
      </c>
      <c r="B2510" s="39" t="s">
        <v>6798</v>
      </c>
      <c r="C2510" s="89"/>
      <c r="D2510" s="18">
        <v>101845</v>
      </c>
      <c r="E2510" s="2" t="s">
        <v>432</v>
      </c>
      <c r="F2510" s="15">
        <v>14140.7</v>
      </c>
      <c r="G2510" s="41">
        <v>42790</v>
      </c>
      <c r="H2510" s="15">
        <f t="shared" si="73"/>
        <v>14140.7</v>
      </c>
      <c r="I2510" s="15">
        <f t="shared" si="72"/>
        <v>0</v>
      </c>
      <c r="J2510" s="19"/>
    </row>
    <row r="2511" spans="1:10" x14ac:dyDescent="0.25">
      <c r="A2511" s="82">
        <v>42787</v>
      </c>
      <c r="B2511" s="39" t="s">
        <v>6799</v>
      </c>
      <c r="C2511" s="89"/>
      <c r="D2511" s="18">
        <v>101846</v>
      </c>
      <c r="E2511" s="2" t="s">
        <v>49</v>
      </c>
      <c r="F2511" s="15">
        <v>9153.7999999999993</v>
      </c>
      <c r="G2511" s="41">
        <v>42790</v>
      </c>
      <c r="H2511" s="15">
        <f t="shared" si="73"/>
        <v>9153.7999999999993</v>
      </c>
      <c r="I2511" s="15">
        <f t="shared" si="72"/>
        <v>0</v>
      </c>
      <c r="J2511" s="19"/>
    </row>
    <row r="2512" spans="1:10" x14ac:dyDescent="0.25">
      <c r="A2512" s="82">
        <v>42787</v>
      </c>
      <c r="B2512" s="39" t="s">
        <v>6800</v>
      </c>
      <c r="C2512" s="89"/>
      <c r="D2512" s="18">
        <v>101847</v>
      </c>
      <c r="E2512" s="2" t="s">
        <v>253</v>
      </c>
      <c r="F2512" s="15">
        <v>3580</v>
      </c>
      <c r="G2512" s="41">
        <v>42791</v>
      </c>
      <c r="H2512" s="15">
        <f t="shared" si="73"/>
        <v>3580</v>
      </c>
      <c r="I2512" s="15">
        <f t="shared" si="72"/>
        <v>0</v>
      </c>
      <c r="J2512" s="19"/>
    </row>
    <row r="2513" spans="1:10" x14ac:dyDescent="0.25">
      <c r="A2513" s="82">
        <v>42787</v>
      </c>
      <c r="B2513" s="39" t="s">
        <v>6801</v>
      </c>
      <c r="C2513" s="89"/>
      <c r="D2513" s="18">
        <v>101848</v>
      </c>
      <c r="E2513" s="13" t="s">
        <v>236</v>
      </c>
      <c r="F2513" s="14">
        <v>0</v>
      </c>
      <c r="G2513" s="88" t="s">
        <v>95</v>
      </c>
      <c r="H2513" s="14">
        <f t="shared" si="73"/>
        <v>0</v>
      </c>
      <c r="I2513" s="14">
        <f t="shared" si="72"/>
        <v>0</v>
      </c>
      <c r="J2513" s="19"/>
    </row>
    <row r="2514" spans="1:10" x14ac:dyDescent="0.25">
      <c r="A2514" s="82">
        <v>42787</v>
      </c>
      <c r="B2514" s="39" t="s">
        <v>6802</v>
      </c>
      <c r="C2514" s="89"/>
      <c r="D2514" s="18">
        <v>101849</v>
      </c>
      <c r="E2514" s="2" t="s">
        <v>435</v>
      </c>
      <c r="F2514" s="15">
        <v>6433.4</v>
      </c>
      <c r="G2514" s="41">
        <v>42788</v>
      </c>
      <c r="H2514" s="15">
        <f t="shared" si="73"/>
        <v>6433.4</v>
      </c>
      <c r="I2514" s="15">
        <f t="shared" si="72"/>
        <v>0</v>
      </c>
      <c r="J2514" s="19"/>
    </row>
    <row r="2515" spans="1:10" x14ac:dyDescent="0.25">
      <c r="A2515" s="82">
        <v>42787</v>
      </c>
      <c r="B2515" s="39" t="s">
        <v>6803</v>
      </c>
      <c r="C2515" s="89"/>
      <c r="D2515" s="18">
        <v>101850</v>
      </c>
      <c r="E2515" s="13" t="s">
        <v>1573</v>
      </c>
      <c r="F2515" s="14">
        <v>0</v>
      </c>
      <c r="G2515" s="88" t="s">
        <v>95</v>
      </c>
      <c r="H2515" s="14">
        <f t="shared" si="73"/>
        <v>0</v>
      </c>
      <c r="I2515" s="14">
        <f t="shared" si="72"/>
        <v>0</v>
      </c>
      <c r="J2515" s="19"/>
    </row>
    <row r="2516" spans="1:10" x14ac:dyDescent="0.25">
      <c r="A2516" s="82">
        <v>42787</v>
      </c>
      <c r="B2516" s="39" t="s">
        <v>6804</v>
      </c>
      <c r="C2516" s="89"/>
      <c r="D2516" s="18">
        <v>101851</v>
      </c>
      <c r="E2516" s="2" t="s">
        <v>67</v>
      </c>
      <c r="F2516" s="15">
        <v>6297.4</v>
      </c>
      <c r="G2516" s="41">
        <v>42798</v>
      </c>
      <c r="H2516" s="15">
        <f t="shared" si="73"/>
        <v>6297.4</v>
      </c>
      <c r="I2516" s="15">
        <f t="shared" si="72"/>
        <v>0</v>
      </c>
      <c r="J2516" s="19"/>
    </row>
    <row r="2517" spans="1:10" x14ac:dyDescent="0.25">
      <c r="A2517" s="82">
        <v>42787</v>
      </c>
      <c r="B2517" s="39" t="s">
        <v>6805</v>
      </c>
      <c r="C2517" s="89"/>
      <c r="D2517" s="18">
        <v>101852</v>
      </c>
      <c r="E2517" s="2" t="s">
        <v>1116</v>
      </c>
      <c r="F2517" s="15">
        <v>5346.4</v>
      </c>
      <c r="G2517" s="41">
        <v>42788</v>
      </c>
      <c r="H2517" s="15">
        <f t="shared" si="73"/>
        <v>5346.4</v>
      </c>
      <c r="I2517" s="15">
        <f t="shared" si="72"/>
        <v>0</v>
      </c>
      <c r="J2517" s="19"/>
    </row>
    <row r="2518" spans="1:10" x14ac:dyDescent="0.25">
      <c r="A2518" s="82">
        <v>42787</v>
      </c>
      <c r="B2518" s="39" t="s">
        <v>6806</v>
      </c>
      <c r="C2518" s="89"/>
      <c r="D2518" s="18">
        <v>101853</v>
      </c>
      <c r="E2518" s="2" t="s">
        <v>43</v>
      </c>
      <c r="F2518" s="15">
        <v>6092</v>
      </c>
      <c r="G2518" s="41">
        <v>42789</v>
      </c>
      <c r="H2518" s="15">
        <f t="shared" si="73"/>
        <v>6092</v>
      </c>
      <c r="I2518" s="15">
        <f t="shared" si="72"/>
        <v>0</v>
      </c>
      <c r="J2518" s="19"/>
    </row>
    <row r="2519" spans="1:10" x14ac:dyDescent="0.25">
      <c r="A2519" s="82">
        <v>42787</v>
      </c>
      <c r="B2519" s="39" t="s">
        <v>6807</v>
      </c>
      <c r="C2519" s="89"/>
      <c r="D2519" s="18">
        <v>101854</v>
      </c>
      <c r="E2519" s="2" t="s">
        <v>28</v>
      </c>
      <c r="F2519" s="15">
        <v>5667.2</v>
      </c>
      <c r="G2519" s="41">
        <v>42787</v>
      </c>
      <c r="H2519" s="15">
        <f t="shared" si="73"/>
        <v>5667.2</v>
      </c>
      <c r="I2519" s="15">
        <f t="shared" si="72"/>
        <v>0</v>
      </c>
      <c r="J2519" s="19"/>
    </row>
    <row r="2520" spans="1:10" x14ac:dyDescent="0.25">
      <c r="A2520" s="82">
        <v>42787</v>
      </c>
      <c r="B2520" s="39" t="s">
        <v>6808</v>
      </c>
      <c r="C2520" s="89"/>
      <c r="D2520" s="18">
        <v>101855</v>
      </c>
      <c r="E2520" s="2" t="s">
        <v>250</v>
      </c>
      <c r="F2520" s="15">
        <v>6874.4</v>
      </c>
      <c r="G2520" s="41">
        <v>42788</v>
      </c>
      <c r="H2520" s="15">
        <f t="shared" si="73"/>
        <v>6874.4</v>
      </c>
      <c r="I2520" s="15">
        <f t="shared" si="72"/>
        <v>0</v>
      </c>
      <c r="J2520" s="19"/>
    </row>
    <row r="2521" spans="1:10" x14ac:dyDescent="0.25">
      <c r="A2521" s="82">
        <v>42787</v>
      </c>
      <c r="B2521" s="39" t="s">
        <v>6809</v>
      </c>
      <c r="C2521" s="89"/>
      <c r="D2521" s="18">
        <v>101856</v>
      </c>
      <c r="E2521" s="2" t="s">
        <v>35</v>
      </c>
      <c r="F2521" s="15">
        <v>9583.5</v>
      </c>
      <c r="G2521" s="41">
        <v>42790</v>
      </c>
      <c r="H2521" s="15">
        <f t="shared" si="73"/>
        <v>9583.5</v>
      </c>
      <c r="I2521" s="15">
        <f t="shared" si="72"/>
        <v>0</v>
      </c>
      <c r="J2521" s="19"/>
    </row>
    <row r="2522" spans="1:10" x14ac:dyDescent="0.25">
      <c r="A2522" s="82">
        <v>42787</v>
      </c>
      <c r="B2522" s="39" t="s">
        <v>6810</v>
      </c>
      <c r="C2522" s="89"/>
      <c r="D2522" s="18">
        <v>101857</v>
      </c>
      <c r="E2522" s="2" t="s">
        <v>47</v>
      </c>
      <c r="F2522" s="15">
        <v>460.8</v>
      </c>
      <c r="G2522" s="41">
        <v>42787</v>
      </c>
      <c r="H2522" s="15">
        <f t="shared" si="73"/>
        <v>460.8</v>
      </c>
      <c r="I2522" s="15">
        <f t="shared" si="72"/>
        <v>0</v>
      </c>
      <c r="J2522" s="19"/>
    </row>
    <row r="2523" spans="1:10" x14ac:dyDescent="0.25">
      <c r="A2523" s="82">
        <v>42787</v>
      </c>
      <c r="B2523" s="39" t="s">
        <v>6811</v>
      </c>
      <c r="C2523" s="89"/>
      <c r="D2523" s="18">
        <v>101858</v>
      </c>
      <c r="E2523" s="2" t="s">
        <v>47</v>
      </c>
      <c r="F2523" s="15">
        <v>1888.6</v>
      </c>
      <c r="G2523" s="41">
        <v>42787</v>
      </c>
      <c r="H2523" s="15">
        <f t="shared" si="73"/>
        <v>1888.6</v>
      </c>
      <c r="I2523" s="15">
        <f t="shared" si="72"/>
        <v>0</v>
      </c>
      <c r="J2523" s="19"/>
    </row>
    <row r="2524" spans="1:10" ht="90" x14ac:dyDescent="0.25">
      <c r="A2524" s="82">
        <v>42787</v>
      </c>
      <c r="B2524" s="90" t="s">
        <v>6812</v>
      </c>
      <c r="C2524" s="91"/>
      <c r="D2524" s="61">
        <v>101859</v>
      </c>
      <c r="E2524" s="62" t="s">
        <v>51</v>
      </c>
      <c r="F2524" s="63">
        <v>3754.4</v>
      </c>
      <c r="G2524" s="87" t="s">
        <v>11508</v>
      </c>
      <c r="H2524" s="65">
        <f>1000+700+500+1000+354.4+200</f>
        <v>3754.4</v>
      </c>
      <c r="I2524" s="65">
        <f t="shared" si="72"/>
        <v>0</v>
      </c>
      <c r="J2524" s="19"/>
    </row>
    <row r="2525" spans="1:10" x14ac:dyDescent="0.25">
      <c r="A2525" s="82">
        <v>42787</v>
      </c>
      <c r="B2525" s="39" t="s">
        <v>6813</v>
      </c>
      <c r="C2525" s="89"/>
      <c r="D2525" s="18">
        <v>101860</v>
      </c>
      <c r="E2525" s="2" t="s">
        <v>231</v>
      </c>
      <c r="F2525" s="15">
        <v>1332</v>
      </c>
      <c r="G2525" s="41">
        <v>42788</v>
      </c>
      <c r="H2525" s="15">
        <f t="shared" si="73"/>
        <v>1332</v>
      </c>
      <c r="I2525" s="15">
        <f t="shared" si="72"/>
        <v>0</v>
      </c>
      <c r="J2525" s="19"/>
    </row>
    <row r="2526" spans="1:10" x14ac:dyDescent="0.25">
      <c r="A2526" s="82">
        <v>42787</v>
      </c>
      <c r="B2526" s="39" t="s">
        <v>6814</v>
      </c>
      <c r="C2526" s="89"/>
      <c r="D2526" s="18">
        <v>101861</v>
      </c>
      <c r="E2526" s="2" t="s">
        <v>141</v>
      </c>
      <c r="F2526" s="15">
        <v>11780.8</v>
      </c>
      <c r="G2526" s="41">
        <v>42787</v>
      </c>
      <c r="H2526" s="15">
        <f t="shared" si="73"/>
        <v>11780.8</v>
      </c>
      <c r="I2526" s="15">
        <f t="shared" si="72"/>
        <v>0</v>
      </c>
      <c r="J2526" s="19"/>
    </row>
    <row r="2527" spans="1:10" x14ac:dyDescent="0.25">
      <c r="A2527" s="82">
        <v>42787</v>
      </c>
      <c r="B2527" s="39" t="s">
        <v>6815</v>
      </c>
      <c r="C2527" s="89"/>
      <c r="D2527" s="18">
        <v>101862</v>
      </c>
      <c r="E2527" s="2" t="s">
        <v>274</v>
      </c>
      <c r="F2527" s="15">
        <v>1247.92</v>
      </c>
      <c r="G2527" s="41">
        <v>42790</v>
      </c>
      <c r="H2527" s="15">
        <f t="shared" si="73"/>
        <v>1247.92</v>
      </c>
      <c r="I2527" s="15">
        <f t="shared" si="72"/>
        <v>0</v>
      </c>
      <c r="J2527" s="19"/>
    </row>
    <row r="2528" spans="1:10" x14ac:dyDescent="0.25">
      <c r="A2528" s="82">
        <v>42787</v>
      </c>
      <c r="B2528" s="39" t="s">
        <v>6816</v>
      </c>
      <c r="C2528" s="89"/>
      <c r="D2528" s="18">
        <v>101863</v>
      </c>
      <c r="E2528" s="2" t="s">
        <v>28</v>
      </c>
      <c r="F2528" s="15">
        <v>3889.6</v>
      </c>
      <c r="G2528" s="41">
        <v>42787</v>
      </c>
      <c r="H2528" s="15">
        <f t="shared" si="73"/>
        <v>3889.6</v>
      </c>
      <c r="I2528" s="15">
        <f t="shared" si="72"/>
        <v>0</v>
      </c>
      <c r="J2528" s="19"/>
    </row>
    <row r="2529" spans="1:10" x14ac:dyDescent="0.25">
      <c r="A2529" s="82">
        <v>42787</v>
      </c>
      <c r="B2529" s="39" t="s">
        <v>6817</v>
      </c>
      <c r="C2529" s="89"/>
      <c r="D2529" s="18">
        <v>101864</v>
      </c>
      <c r="E2529" s="2" t="s">
        <v>470</v>
      </c>
      <c r="F2529" s="15">
        <v>14874.6</v>
      </c>
      <c r="G2529" s="41">
        <v>42787</v>
      </c>
      <c r="H2529" s="15">
        <f t="shared" si="73"/>
        <v>14874.6</v>
      </c>
      <c r="I2529" s="15">
        <f t="shared" si="72"/>
        <v>0</v>
      </c>
      <c r="J2529" s="19"/>
    </row>
    <row r="2530" spans="1:10" x14ac:dyDescent="0.25">
      <c r="A2530" s="82">
        <v>42787</v>
      </c>
      <c r="B2530" s="39" t="s">
        <v>6818</v>
      </c>
      <c r="C2530" s="89"/>
      <c r="D2530" s="18">
        <v>101865</v>
      </c>
      <c r="E2530" s="2" t="s">
        <v>2392</v>
      </c>
      <c r="F2530" s="15">
        <v>1625</v>
      </c>
      <c r="G2530" s="41">
        <v>42787</v>
      </c>
      <c r="H2530" s="15">
        <f t="shared" si="73"/>
        <v>1625</v>
      </c>
      <c r="I2530" s="15">
        <f t="shared" si="72"/>
        <v>0</v>
      </c>
      <c r="J2530" s="19"/>
    </row>
    <row r="2531" spans="1:10" x14ac:dyDescent="0.25">
      <c r="A2531" s="82">
        <v>42787</v>
      </c>
      <c r="B2531" s="39" t="s">
        <v>6819</v>
      </c>
      <c r="C2531" s="89"/>
      <c r="D2531" s="18">
        <v>101866</v>
      </c>
      <c r="E2531" s="2" t="s">
        <v>120</v>
      </c>
      <c r="F2531" s="15">
        <v>2463.3000000000002</v>
      </c>
      <c r="G2531" s="41">
        <v>42787</v>
      </c>
      <c r="H2531" s="15">
        <f t="shared" si="73"/>
        <v>2463.3000000000002</v>
      </c>
      <c r="I2531" s="15">
        <f t="shared" si="72"/>
        <v>0</v>
      </c>
      <c r="J2531" s="19"/>
    </row>
    <row r="2532" spans="1:10" x14ac:dyDescent="0.25">
      <c r="A2532" s="82">
        <v>42787</v>
      </c>
      <c r="B2532" s="39" t="s">
        <v>6820</v>
      </c>
      <c r="C2532" s="89"/>
      <c r="D2532" s="18">
        <v>101867</v>
      </c>
      <c r="E2532" s="2" t="s">
        <v>341</v>
      </c>
      <c r="F2532" s="15">
        <v>13068.4</v>
      </c>
      <c r="G2532" s="41">
        <v>42787</v>
      </c>
      <c r="H2532" s="15">
        <f t="shared" si="73"/>
        <v>13068.4</v>
      </c>
      <c r="I2532" s="15">
        <f t="shared" si="72"/>
        <v>0</v>
      </c>
      <c r="J2532" s="19"/>
    </row>
    <row r="2533" spans="1:10" x14ac:dyDescent="0.25">
      <c r="A2533" s="82">
        <v>42787</v>
      </c>
      <c r="B2533" s="39" t="s">
        <v>6821</v>
      </c>
      <c r="C2533" s="89"/>
      <c r="D2533" s="18">
        <v>101868</v>
      </c>
      <c r="E2533" s="2" t="s">
        <v>122</v>
      </c>
      <c r="F2533" s="15">
        <v>7286.4</v>
      </c>
      <c r="G2533" s="41">
        <v>42790</v>
      </c>
      <c r="H2533" s="15">
        <f t="shared" si="73"/>
        <v>7286.4</v>
      </c>
      <c r="I2533" s="15">
        <f t="shared" si="72"/>
        <v>0</v>
      </c>
      <c r="J2533" s="19"/>
    </row>
    <row r="2534" spans="1:10" x14ac:dyDescent="0.25">
      <c r="A2534" s="82">
        <v>42787</v>
      </c>
      <c r="B2534" s="39" t="s">
        <v>6822</v>
      </c>
      <c r="C2534" s="89"/>
      <c r="D2534" s="18">
        <v>101869</v>
      </c>
      <c r="E2534" s="13" t="s">
        <v>1830</v>
      </c>
      <c r="F2534" s="14">
        <v>0</v>
      </c>
      <c r="G2534" s="88" t="s">
        <v>95</v>
      </c>
      <c r="H2534" s="14">
        <f t="shared" si="73"/>
        <v>0</v>
      </c>
      <c r="I2534" s="14">
        <f t="shared" si="72"/>
        <v>0</v>
      </c>
      <c r="J2534" s="19"/>
    </row>
    <row r="2535" spans="1:10" x14ac:dyDescent="0.25">
      <c r="A2535" s="82">
        <v>42787</v>
      </c>
      <c r="B2535" s="39" t="s">
        <v>6823</v>
      </c>
      <c r="C2535" s="89"/>
      <c r="D2535" s="18">
        <v>101870</v>
      </c>
      <c r="E2535" s="2" t="s">
        <v>1830</v>
      </c>
      <c r="F2535" s="15">
        <v>11744</v>
      </c>
      <c r="G2535" s="41">
        <v>42787</v>
      </c>
      <c r="H2535" s="15">
        <f t="shared" si="73"/>
        <v>11744</v>
      </c>
      <c r="I2535" s="15">
        <f t="shared" si="72"/>
        <v>0</v>
      </c>
      <c r="J2535" s="19"/>
    </row>
    <row r="2536" spans="1:10" x14ac:dyDescent="0.25">
      <c r="A2536" s="82">
        <v>42787</v>
      </c>
      <c r="B2536" s="39" t="s">
        <v>6824</v>
      </c>
      <c r="C2536" s="89"/>
      <c r="D2536" s="18">
        <v>101871</v>
      </c>
      <c r="E2536" s="2" t="s">
        <v>428</v>
      </c>
      <c r="F2536" s="15">
        <v>2508.8000000000002</v>
      </c>
      <c r="G2536" s="41">
        <v>42788</v>
      </c>
      <c r="H2536" s="15">
        <f t="shared" si="73"/>
        <v>2508.8000000000002</v>
      </c>
      <c r="I2536" s="15">
        <f t="shared" si="72"/>
        <v>0</v>
      </c>
      <c r="J2536" s="19"/>
    </row>
    <row r="2537" spans="1:10" x14ac:dyDescent="0.25">
      <c r="A2537" s="82">
        <v>42787</v>
      </c>
      <c r="B2537" s="39" t="s">
        <v>6825</v>
      </c>
      <c r="C2537" s="89"/>
      <c r="D2537" s="18">
        <v>101872</v>
      </c>
      <c r="E2537" s="2" t="s">
        <v>101</v>
      </c>
      <c r="F2537" s="15">
        <v>735</v>
      </c>
      <c r="G2537" s="41">
        <v>42787</v>
      </c>
      <c r="H2537" s="15">
        <f t="shared" si="73"/>
        <v>735</v>
      </c>
      <c r="I2537" s="15">
        <f t="shared" si="72"/>
        <v>0</v>
      </c>
      <c r="J2537" s="19"/>
    </row>
    <row r="2538" spans="1:10" x14ac:dyDescent="0.25">
      <c r="A2538" s="82">
        <v>42787</v>
      </c>
      <c r="B2538" s="39" t="s">
        <v>6826</v>
      </c>
      <c r="C2538" s="89"/>
      <c r="D2538" s="18">
        <v>101873</v>
      </c>
      <c r="E2538" s="2" t="s">
        <v>99</v>
      </c>
      <c r="F2538" s="15">
        <v>1455.3</v>
      </c>
      <c r="G2538" s="41">
        <v>42787</v>
      </c>
      <c r="H2538" s="15">
        <f t="shared" si="73"/>
        <v>1455.3</v>
      </c>
      <c r="I2538" s="15">
        <f t="shared" si="72"/>
        <v>0</v>
      </c>
      <c r="J2538" s="19"/>
    </row>
    <row r="2539" spans="1:10" x14ac:dyDescent="0.25">
      <c r="A2539" s="82">
        <v>42787</v>
      </c>
      <c r="B2539" s="39" t="s">
        <v>6827</v>
      </c>
      <c r="C2539" s="89"/>
      <c r="D2539" s="18">
        <v>101874</v>
      </c>
      <c r="E2539" s="2" t="s">
        <v>21</v>
      </c>
      <c r="F2539" s="15">
        <v>44773.52</v>
      </c>
      <c r="G2539" s="41">
        <v>42800</v>
      </c>
      <c r="H2539" s="15">
        <f t="shared" si="73"/>
        <v>44773.52</v>
      </c>
      <c r="I2539" s="15">
        <f t="shared" si="72"/>
        <v>0</v>
      </c>
      <c r="J2539" s="19"/>
    </row>
    <row r="2540" spans="1:10" x14ac:dyDescent="0.25">
      <c r="A2540" s="82">
        <v>42787</v>
      </c>
      <c r="B2540" s="39" t="s">
        <v>6828</v>
      </c>
      <c r="C2540" s="89"/>
      <c r="D2540" s="18">
        <v>101875</v>
      </c>
      <c r="E2540" s="2" t="s">
        <v>281</v>
      </c>
      <c r="F2540" s="15">
        <v>1594.7</v>
      </c>
      <c r="G2540" s="41">
        <v>42787</v>
      </c>
      <c r="H2540" s="15">
        <f t="shared" si="73"/>
        <v>1594.7</v>
      </c>
      <c r="I2540" s="15">
        <f t="shared" si="72"/>
        <v>0</v>
      </c>
      <c r="J2540" s="19"/>
    </row>
    <row r="2541" spans="1:10" x14ac:dyDescent="0.25">
      <c r="A2541" s="82">
        <v>42787</v>
      </c>
      <c r="B2541" s="39" t="s">
        <v>6829</v>
      </c>
      <c r="C2541" s="89"/>
      <c r="D2541" s="18">
        <v>101876</v>
      </c>
      <c r="E2541" s="2" t="s">
        <v>4367</v>
      </c>
      <c r="F2541" s="15">
        <v>1611.5</v>
      </c>
      <c r="G2541" s="41">
        <v>42787</v>
      </c>
      <c r="H2541" s="15">
        <f t="shared" si="73"/>
        <v>1611.5</v>
      </c>
      <c r="I2541" s="15">
        <f t="shared" si="72"/>
        <v>0</v>
      </c>
      <c r="J2541" s="19"/>
    </row>
    <row r="2542" spans="1:10" x14ac:dyDescent="0.25">
      <c r="A2542" s="82">
        <v>42787</v>
      </c>
      <c r="B2542" s="39" t="s">
        <v>6830</v>
      </c>
      <c r="C2542" s="89"/>
      <c r="D2542" s="18">
        <v>101877</v>
      </c>
      <c r="E2542" s="2" t="s">
        <v>125</v>
      </c>
      <c r="F2542" s="15">
        <v>6292.8</v>
      </c>
      <c r="G2542" s="41">
        <v>42787</v>
      </c>
      <c r="H2542" s="15">
        <f t="shared" si="73"/>
        <v>6292.8</v>
      </c>
      <c r="I2542" s="15">
        <f t="shared" si="72"/>
        <v>0</v>
      </c>
      <c r="J2542" s="19"/>
    </row>
    <row r="2543" spans="1:10" x14ac:dyDescent="0.25">
      <c r="A2543" s="82">
        <v>42787</v>
      </c>
      <c r="B2543" s="39" t="s">
        <v>6831</v>
      </c>
      <c r="C2543" s="89"/>
      <c r="D2543" s="18">
        <v>101878</v>
      </c>
      <c r="E2543" s="2" t="s">
        <v>448</v>
      </c>
      <c r="F2543" s="15">
        <v>392.86</v>
      </c>
      <c r="G2543" s="41">
        <v>42787</v>
      </c>
      <c r="H2543" s="15">
        <f t="shared" si="73"/>
        <v>392.86</v>
      </c>
      <c r="I2543" s="15">
        <f t="shared" si="72"/>
        <v>0</v>
      </c>
      <c r="J2543" s="19"/>
    </row>
    <row r="2544" spans="1:10" x14ac:dyDescent="0.25">
      <c r="A2544" s="82">
        <v>42787</v>
      </c>
      <c r="B2544" s="39" t="s">
        <v>6832</v>
      </c>
      <c r="C2544" s="89"/>
      <c r="D2544" s="18">
        <v>101879</v>
      </c>
      <c r="E2544" s="2" t="s">
        <v>3425</v>
      </c>
      <c r="F2544" s="15">
        <v>2317.6</v>
      </c>
      <c r="G2544" s="41">
        <v>42787</v>
      </c>
      <c r="H2544" s="15">
        <f t="shared" si="73"/>
        <v>2317.6</v>
      </c>
      <c r="I2544" s="15">
        <f t="shared" si="72"/>
        <v>0</v>
      </c>
      <c r="J2544" s="19"/>
    </row>
    <row r="2545" spans="1:10" x14ac:dyDescent="0.25">
      <c r="A2545" s="82">
        <v>42787</v>
      </c>
      <c r="B2545" s="39" t="s">
        <v>6833</v>
      </c>
      <c r="C2545" s="89"/>
      <c r="D2545" s="18">
        <v>101880</v>
      </c>
      <c r="E2545" s="2" t="s">
        <v>613</v>
      </c>
      <c r="F2545" s="15">
        <v>3385</v>
      </c>
      <c r="G2545" s="41">
        <v>42787</v>
      </c>
      <c r="H2545" s="15">
        <f t="shared" si="73"/>
        <v>3385</v>
      </c>
      <c r="I2545" s="15">
        <f t="shared" si="72"/>
        <v>0</v>
      </c>
      <c r="J2545" s="19"/>
    </row>
    <row r="2546" spans="1:10" x14ac:dyDescent="0.25">
      <c r="A2546" s="82">
        <v>42787</v>
      </c>
      <c r="B2546" s="39" t="s">
        <v>6834</v>
      </c>
      <c r="C2546" s="89"/>
      <c r="D2546" s="18">
        <v>101881</v>
      </c>
      <c r="E2546" s="2" t="s">
        <v>289</v>
      </c>
      <c r="F2546" s="15">
        <v>22916.6</v>
      </c>
      <c r="G2546" s="41">
        <v>42807</v>
      </c>
      <c r="H2546" s="15">
        <f t="shared" si="73"/>
        <v>22916.6</v>
      </c>
      <c r="I2546" s="15">
        <f t="shared" si="72"/>
        <v>0</v>
      </c>
      <c r="J2546" s="19"/>
    </row>
    <row r="2547" spans="1:10" x14ac:dyDescent="0.25">
      <c r="A2547" s="82">
        <v>42787</v>
      </c>
      <c r="B2547" s="39" t="s">
        <v>6835</v>
      </c>
      <c r="C2547" s="89"/>
      <c r="D2547" s="18">
        <v>101882</v>
      </c>
      <c r="E2547" s="2" t="s">
        <v>83</v>
      </c>
      <c r="F2547" s="15">
        <v>5396</v>
      </c>
      <c r="G2547" s="41">
        <v>42787</v>
      </c>
      <c r="H2547" s="15">
        <f t="shared" si="73"/>
        <v>5396</v>
      </c>
      <c r="I2547" s="15">
        <f t="shared" si="72"/>
        <v>0</v>
      </c>
      <c r="J2547" s="19"/>
    </row>
    <row r="2548" spans="1:10" x14ac:dyDescent="0.25">
      <c r="A2548" s="82">
        <v>42787</v>
      </c>
      <c r="B2548" s="39" t="s">
        <v>6836</v>
      </c>
      <c r="C2548" s="89"/>
      <c r="D2548" s="18">
        <v>101883</v>
      </c>
      <c r="E2548" s="2" t="s">
        <v>1259</v>
      </c>
      <c r="F2548" s="15">
        <v>2063.3000000000002</v>
      </c>
      <c r="G2548" s="41">
        <v>42787</v>
      </c>
      <c r="H2548" s="15">
        <f t="shared" si="73"/>
        <v>2063.3000000000002</v>
      </c>
      <c r="I2548" s="15">
        <f t="shared" si="72"/>
        <v>0</v>
      </c>
      <c r="J2548" s="19"/>
    </row>
    <row r="2549" spans="1:10" x14ac:dyDescent="0.25">
      <c r="A2549" s="82">
        <v>42787</v>
      </c>
      <c r="B2549" s="39" t="s">
        <v>6837</v>
      </c>
      <c r="C2549" s="89"/>
      <c r="D2549" s="18">
        <v>101884</v>
      </c>
      <c r="E2549" s="2" t="s">
        <v>291</v>
      </c>
      <c r="F2549" s="15">
        <v>2405</v>
      </c>
      <c r="G2549" s="41">
        <v>42787</v>
      </c>
      <c r="H2549" s="15">
        <f t="shared" si="73"/>
        <v>2405</v>
      </c>
      <c r="I2549" s="15">
        <f t="shared" si="72"/>
        <v>0</v>
      </c>
      <c r="J2549" s="19"/>
    </row>
    <row r="2550" spans="1:10" x14ac:dyDescent="0.25">
      <c r="A2550" s="82">
        <v>42787</v>
      </c>
      <c r="B2550" s="39" t="s">
        <v>6838</v>
      </c>
      <c r="C2550" s="89"/>
      <c r="D2550" s="18">
        <v>101885</v>
      </c>
      <c r="E2550" s="2" t="s">
        <v>240</v>
      </c>
      <c r="F2550" s="15">
        <v>5654.4</v>
      </c>
      <c r="G2550" s="41">
        <v>42787</v>
      </c>
      <c r="H2550" s="15">
        <f t="shared" si="73"/>
        <v>5654.4</v>
      </c>
      <c r="I2550" s="15">
        <f t="shared" si="72"/>
        <v>0</v>
      </c>
      <c r="J2550" s="19"/>
    </row>
    <row r="2551" spans="1:10" x14ac:dyDescent="0.25">
      <c r="A2551" s="82">
        <v>42787</v>
      </c>
      <c r="B2551" s="39" t="s">
        <v>6839</v>
      </c>
      <c r="C2551" s="89"/>
      <c r="D2551" s="18">
        <v>101886</v>
      </c>
      <c r="E2551" s="2" t="s">
        <v>79</v>
      </c>
      <c r="F2551" s="15">
        <v>3475</v>
      </c>
      <c r="G2551" s="41">
        <v>42787</v>
      </c>
      <c r="H2551" s="15">
        <f t="shared" si="73"/>
        <v>3475</v>
      </c>
      <c r="I2551" s="15">
        <f t="shared" si="72"/>
        <v>0</v>
      </c>
      <c r="J2551" s="19"/>
    </row>
    <row r="2552" spans="1:10" x14ac:dyDescent="0.25">
      <c r="A2552" s="82">
        <v>42787</v>
      </c>
      <c r="B2552" s="39" t="s">
        <v>6840</v>
      </c>
      <c r="C2552" s="89"/>
      <c r="D2552" s="18">
        <v>101887</v>
      </c>
      <c r="E2552" s="2" t="s">
        <v>236</v>
      </c>
      <c r="F2552" s="15">
        <v>73817.52</v>
      </c>
      <c r="G2552" s="41">
        <v>42791</v>
      </c>
      <c r="H2552" s="15">
        <f t="shared" si="73"/>
        <v>73817.52</v>
      </c>
      <c r="I2552" s="15">
        <f t="shared" ref="I2552:I2615" si="74">F2552-H2552</f>
        <v>0</v>
      </c>
      <c r="J2552" s="19"/>
    </row>
    <row r="2553" spans="1:10" x14ac:dyDescent="0.25">
      <c r="A2553" s="82">
        <v>42787</v>
      </c>
      <c r="B2553" s="39" t="s">
        <v>6841</v>
      </c>
      <c r="C2553" s="89"/>
      <c r="D2553" s="18">
        <v>101888</v>
      </c>
      <c r="E2553" s="2" t="s">
        <v>113</v>
      </c>
      <c r="F2553" s="15">
        <v>1903.2</v>
      </c>
      <c r="G2553" s="41">
        <v>42787</v>
      </c>
      <c r="H2553" s="15">
        <f t="shared" si="73"/>
        <v>1903.2</v>
      </c>
      <c r="I2553" s="15">
        <f t="shared" si="74"/>
        <v>0</v>
      </c>
      <c r="J2553" s="19"/>
    </row>
    <row r="2554" spans="1:10" x14ac:dyDescent="0.25">
      <c r="A2554" s="82">
        <v>42787</v>
      </c>
      <c r="B2554" s="39" t="s">
        <v>6842</v>
      </c>
      <c r="C2554" s="89"/>
      <c r="D2554" s="18">
        <v>101889</v>
      </c>
      <c r="E2554" s="2" t="s">
        <v>422</v>
      </c>
      <c r="F2554" s="15">
        <v>1106.5</v>
      </c>
      <c r="G2554" s="41">
        <v>42787</v>
      </c>
      <c r="H2554" s="15">
        <f t="shared" si="73"/>
        <v>1106.5</v>
      </c>
      <c r="I2554" s="15">
        <f t="shared" si="74"/>
        <v>0</v>
      </c>
      <c r="J2554" s="19"/>
    </row>
    <row r="2555" spans="1:10" x14ac:dyDescent="0.25">
      <c r="A2555" s="82">
        <v>42787</v>
      </c>
      <c r="B2555" s="39" t="s">
        <v>6843</v>
      </c>
      <c r="C2555" s="89"/>
      <c r="D2555" s="18">
        <v>101890</v>
      </c>
      <c r="E2555" s="2" t="s">
        <v>157</v>
      </c>
      <c r="F2555" s="15">
        <v>22156.2</v>
      </c>
      <c r="G2555" s="41">
        <v>42787</v>
      </c>
      <c r="H2555" s="15">
        <f t="shared" si="73"/>
        <v>22156.2</v>
      </c>
      <c r="I2555" s="15">
        <f t="shared" si="74"/>
        <v>0</v>
      </c>
      <c r="J2555" s="19"/>
    </row>
    <row r="2556" spans="1:10" x14ac:dyDescent="0.25">
      <c r="A2556" s="82">
        <v>42787</v>
      </c>
      <c r="B2556" s="39" t="s">
        <v>6844</v>
      </c>
      <c r="C2556" s="89"/>
      <c r="D2556" s="18">
        <v>101891</v>
      </c>
      <c r="E2556" s="2" t="s">
        <v>309</v>
      </c>
      <c r="F2556" s="15">
        <v>3112.2</v>
      </c>
      <c r="G2556" s="41">
        <v>42787</v>
      </c>
      <c r="H2556" s="15">
        <f t="shared" si="73"/>
        <v>3112.2</v>
      </c>
      <c r="I2556" s="15">
        <f t="shared" si="74"/>
        <v>0</v>
      </c>
      <c r="J2556" s="19"/>
    </row>
    <row r="2557" spans="1:10" x14ac:dyDescent="0.25">
      <c r="A2557" s="82">
        <v>42787</v>
      </c>
      <c r="B2557" s="39" t="s">
        <v>6845</v>
      </c>
      <c r="C2557" s="89"/>
      <c r="D2557" s="18">
        <v>101892</v>
      </c>
      <c r="E2557" s="2" t="s">
        <v>862</v>
      </c>
      <c r="F2557" s="15">
        <v>6559.7</v>
      </c>
      <c r="G2557" s="41">
        <v>42787</v>
      </c>
      <c r="H2557" s="15">
        <f t="shared" si="73"/>
        <v>6559.7</v>
      </c>
      <c r="I2557" s="15">
        <f t="shared" si="74"/>
        <v>0</v>
      </c>
      <c r="J2557" s="19"/>
    </row>
    <row r="2558" spans="1:10" x14ac:dyDescent="0.25">
      <c r="A2558" s="82">
        <v>42787</v>
      </c>
      <c r="B2558" s="39" t="s">
        <v>6846</v>
      </c>
      <c r="C2558" s="89"/>
      <c r="D2558" s="18">
        <v>101893</v>
      </c>
      <c r="E2558" s="2" t="s">
        <v>3219</v>
      </c>
      <c r="F2558" s="15">
        <v>45072</v>
      </c>
      <c r="G2558" s="41">
        <v>42787</v>
      </c>
      <c r="H2558" s="15">
        <f t="shared" si="73"/>
        <v>45072</v>
      </c>
      <c r="I2558" s="15">
        <f t="shared" si="74"/>
        <v>0</v>
      </c>
      <c r="J2558" s="19"/>
    </row>
    <row r="2559" spans="1:10" x14ac:dyDescent="0.25">
      <c r="A2559" s="82">
        <v>42787</v>
      </c>
      <c r="B2559" s="39" t="s">
        <v>6847</v>
      </c>
      <c r="C2559" s="89"/>
      <c r="D2559" s="18">
        <v>101894</v>
      </c>
      <c r="E2559" s="2" t="s">
        <v>457</v>
      </c>
      <c r="F2559" s="15">
        <v>3123.6</v>
      </c>
      <c r="G2559" s="41">
        <v>42787</v>
      </c>
      <c r="H2559" s="15">
        <f t="shared" si="73"/>
        <v>3123.6</v>
      </c>
      <c r="I2559" s="15">
        <f t="shared" si="74"/>
        <v>0</v>
      </c>
      <c r="J2559" s="19"/>
    </row>
    <row r="2560" spans="1:10" x14ac:dyDescent="0.25">
      <c r="A2560" s="82">
        <v>42787</v>
      </c>
      <c r="B2560" s="39" t="s">
        <v>6848</v>
      </c>
      <c r="C2560" s="89"/>
      <c r="D2560" s="18">
        <v>101895</v>
      </c>
      <c r="E2560" s="2" t="s">
        <v>3219</v>
      </c>
      <c r="F2560" s="15">
        <v>1500</v>
      </c>
      <c r="G2560" s="41">
        <v>42787</v>
      </c>
      <c r="H2560" s="15">
        <f t="shared" si="73"/>
        <v>1500</v>
      </c>
      <c r="I2560" s="15">
        <f t="shared" si="74"/>
        <v>0</v>
      </c>
      <c r="J2560" s="19"/>
    </row>
    <row r="2561" spans="1:10" x14ac:dyDescent="0.25">
      <c r="A2561" s="82">
        <v>42787</v>
      </c>
      <c r="B2561" s="39" t="s">
        <v>6849</v>
      </c>
      <c r="C2561" s="89"/>
      <c r="D2561" s="18">
        <v>101896</v>
      </c>
      <c r="E2561" s="2" t="s">
        <v>30</v>
      </c>
      <c r="F2561" s="15">
        <v>2474.5</v>
      </c>
      <c r="G2561" s="41">
        <v>42787</v>
      </c>
      <c r="H2561" s="15">
        <f t="shared" si="73"/>
        <v>2474.5</v>
      </c>
      <c r="I2561" s="15">
        <f t="shared" si="74"/>
        <v>0</v>
      </c>
      <c r="J2561" s="19"/>
    </row>
    <row r="2562" spans="1:10" x14ac:dyDescent="0.25">
      <c r="A2562" s="82">
        <v>42787</v>
      </c>
      <c r="B2562" s="39" t="s">
        <v>6850</v>
      </c>
      <c r="C2562" s="89"/>
      <c r="D2562" s="18">
        <v>101897</v>
      </c>
      <c r="E2562" s="2" t="s">
        <v>133</v>
      </c>
      <c r="F2562" s="15">
        <v>598</v>
      </c>
      <c r="G2562" s="41">
        <v>42787</v>
      </c>
      <c r="H2562" s="15">
        <f t="shared" si="73"/>
        <v>598</v>
      </c>
      <c r="I2562" s="15">
        <f t="shared" si="74"/>
        <v>0</v>
      </c>
      <c r="J2562" s="19"/>
    </row>
    <row r="2563" spans="1:10" x14ac:dyDescent="0.25">
      <c r="A2563" s="82">
        <v>42787</v>
      </c>
      <c r="B2563" s="39" t="s">
        <v>6851</v>
      </c>
      <c r="C2563" s="89"/>
      <c r="D2563" s="18">
        <v>101898</v>
      </c>
      <c r="E2563" s="2" t="s">
        <v>133</v>
      </c>
      <c r="F2563" s="15">
        <v>126</v>
      </c>
      <c r="G2563" s="41">
        <v>42787</v>
      </c>
      <c r="H2563" s="15">
        <f t="shared" si="73"/>
        <v>126</v>
      </c>
      <c r="I2563" s="15">
        <f t="shared" si="74"/>
        <v>0</v>
      </c>
      <c r="J2563" s="19"/>
    </row>
    <row r="2564" spans="1:10" x14ac:dyDescent="0.25">
      <c r="A2564" s="82">
        <v>42787</v>
      </c>
      <c r="B2564" s="39" t="s">
        <v>6852</v>
      </c>
      <c r="C2564" s="89"/>
      <c r="D2564" s="18">
        <v>101899</v>
      </c>
      <c r="E2564" s="2" t="s">
        <v>1141</v>
      </c>
      <c r="F2564" s="15">
        <v>403</v>
      </c>
      <c r="G2564" s="41">
        <v>42787</v>
      </c>
      <c r="H2564" s="15">
        <f t="shared" ref="H2564:H2627" si="75">F2564</f>
        <v>403</v>
      </c>
      <c r="I2564" s="15">
        <f t="shared" si="74"/>
        <v>0</v>
      </c>
      <c r="J2564" s="19"/>
    </row>
    <row r="2565" spans="1:10" x14ac:dyDescent="0.25">
      <c r="A2565" s="82">
        <v>42787</v>
      </c>
      <c r="B2565" s="39" t="s">
        <v>6853</v>
      </c>
      <c r="C2565" s="89"/>
      <c r="D2565" s="18">
        <v>101900</v>
      </c>
      <c r="E2565" s="2" t="s">
        <v>208</v>
      </c>
      <c r="F2565" s="15">
        <v>10310.4</v>
      </c>
      <c r="G2565" s="41">
        <v>42787</v>
      </c>
      <c r="H2565" s="15">
        <f t="shared" si="75"/>
        <v>10310.4</v>
      </c>
      <c r="I2565" s="15">
        <f t="shared" si="74"/>
        <v>0</v>
      </c>
      <c r="J2565" s="19"/>
    </row>
    <row r="2566" spans="1:10" x14ac:dyDescent="0.25">
      <c r="A2566" s="82">
        <v>42787</v>
      </c>
      <c r="B2566" s="39" t="s">
        <v>6854</v>
      </c>
      <c r="C2566" s="89"/>
      <c r="D2566" s="18">
        <v>101901</v>
      </c>
      <c r="E2566" s="2" t="s">
        <v>4930</v>
      </c>
      <c r="F2566" s="15">
        <v>4963.2</v>
      </c>
      <c r="G2566" s="41">
        <v>42787</v>
      </c>
      <c r="H2566" s="15">
        <f t="shared" si="75"/>
        <v>4963.2</v>
      </c>
      <c r="I2566" s="15">
        <f t="shared" si="74"/>
        <v>0</v>
      </c>
      <c r="J2566" s="19"/>
    </row>
    <row r="2567" spans="1:10" x14ac:dyDescent="0.25">
      <c r="A2567" s="82">
        <v>42787</v>
      </c>
      <c r="B2567" s="39" t="s">
        <v>6855</v>
      </c>
      <c r="C2567" s="89"/>
      <c r="D2567" s="18">
        <v>101902</v>
      </c>
      <c r="E2567" s="2" t="s">
        <v>53</v>
      </c>
      <c r="F2567" s="15">
        <v>1393.8</v>
      </c>
      <c r="G2567" s="41">
        <v>42787</v>
      </c>
      <c r="H2567" s="15">
        <f t="shared" si="75"/>
        <v>1393.8</v>
      </c>
      <c r="I2567" s="15">
        <f t="shared" si="74"/>
        <v>0</v>
      </c>
      <c r="J2567" s="19"/>
    </row>
    <row r="2568" spans="1:10" x14ac:dyDescent="0.25">
      <c r="A2568" s="82">
        <v>42787</v>
      </c>
      <c r="B2568" s="39" t="s">
        <v>6856</v>
      </c>
      <c r="C2568" s="89"/>
      <c r="D2568" s="18">
        <v>101903</v>
      </c>
      <c r="E2568" s="2" t="s">
        <v>10</v>
      </c>
      <c r="F2568" s="15">
        <v>220394.6</v>
      </c>
      <c r="G2568" s="41">
        <v>42790</v>
      </c>
      <c r="H2568" s="15">
        <f t="shared" si="75"/>
        <v>220394.6</v>
      </c>
      <c r="I2568" s="15">
        <f t="shared" si="74"/>
        <v>0</v>
      </c>
      <c r="J2568" s="19"/>
    </row>
    <row r="2569" spans="1:10" x14ac:dyDescent="0.25">
      <c r="A2569" s="82">
        <v>42787</v>
      </c>
      <c r="B2569" s="39" t="s">
        <v>6857</v>
      </c>
      <c r="C2569" s="89"/>
      <c r="D2569" s="18">
        <v>101904</v>
      </c>
      <c r="E2569" s="2" t="s">
        <v>1269</v>
      </c>
      <c r="F2569" s="15">
        <v>3931.2</v>
      </c>
      <c r="G2569" s="41">
        <v>42787</v>
      </c>
      <c r="H2569" s="15">
        <f t="shared" si="75"/>
        <v>3931.2</v>
      </c>
      <c r="I2569" s="15">
        <f t="shared" si="74"/>
        <v>0</v>
      </c>
      <c r="J2569" s="19"/>
    </row>
    <row r="2570" spans="1:10" x14ac:dyDescent="0.25">
      <c r="A2570" s="82">
        <v>42787</v>
      </c>
      <c r="B2570" s="39" t="s">
        <v>6858</v>
      </c>
      <c r="C2570" s="89"/>
      <c r="D2570" s="18">
        <v>101905</v>
      </c>
      <c r="E2570" s="2" t="s">
        <v>236</v>
      </c>
      <c r="F2570" s="15">
        <v>2053.4</v>
      </c>
      <c r="G2570" s="41">
        <v>42791</v>
      </c>
      <c r="H2570" s="15">
        <f t="shared" si="75"/>
        <v>2053.4</v>
      </c>
      <c r="I2570" s="15">
        <f t="shared" si="74"/>
        <v>0</v>
      </c>
      <c r="J2570" s="19"/>
    </row>
    <row r="2571" spans="1:10" x14ac:dyDescent="0.25">
      <c r="A2571" s="82">
        <v>42787</v>
      </c>
      <c r="B2571" s="39" t="s">
        <v>6859</v>
      </c>
      <c r="C2571" s="89"/>
      <c r="D2571" s="18">
        <v>101906</v>
      </c>
      <c r="E2571" s="2" t="s">
        <v>10</v>
      </c>
      <c r="F2571" s="15">
        <v>4633.3999999999996</v>
      </c>
      <c r="G2571" s="41">
        <v>42790</v>
      </c>
      <c r="H2571" s="15">
        <f t="shared" si="75"/>
        <v>4633.3999999999996</v>
      </c>
      <c r="I2571" s="15">
        <f t="shared" si="74"/>
        <v>0</v>
      </c>
      <c r="J2571" s="19"/>
    </row>
    <row r="2572" spans="1:10" x14ac:dyDescent="0.25">
      <c r="A2572" s="82">
        <v>42787</v>
      </c>
      <c r="B2572" s="39" t="s">
        <v>6860</v>
      </c>
      <c r="C2572" s="89"/>
      <c r="D2572" s="18">
        <v>101907</v>
      </c>
      <c r="E2572" s="13" t="s">
        <v>186</v>
      </c>
      <c r="F2572" s="14">
        <v>0</v>
      </c>
      <c r="G2572" s="88" t="s">
        <v>95</v>
      </c>
      <c r="H2572" s="14">
        <f t="shared" si="75"/>
        <v>0</v>
      </c>
      <c r="I2572" s="14">
        <f t="shared" si="74"/>
        <v>0</v>
      </c>
      <c r="J2572" s="19"/>
    </row>
    <row r="2573" spans="1:10" x14ac:dyDescent="0.25">
      <c r="A2573" s="82">
        <v>42787</v>
      </c>
      <c r="B2573" s="39" t="s">
        <v>6861</v>
      </c>
      <c r="C2573" s="89"/>
      <c r="D2573" s="18">
        <v>101908</v>
      </c>
      <c r="E2573" s="13" t="s">
        <v>186</v>
      </c>
      <c r="F2573" s="14">
        <v>0</v>
      </c>
      <c r="G2573" s="88" t="s">
        <v>95</v>
      </c>
      <c r="H2573" s="14">
        <f t="shared" si="75"/>
        <v>0</v>
      </c>
      <c r="I2573" s="14">
        <f t="shared" si="74"/>
        <v>0</v>
      </c>
      <c r="J2573" s="19"/>
    </row>
    <row r="2574" spans="1:10" x14ac:dyDescent="0.25">
      <c r="A2574" s="82">
        <v>42787</v>
      </c>
      <c r="B2574" s="39" t="s">
        <v>6862</v>
      </c>
      <c r="C2574" s="89"/>
      <c r="D2574" s="18">
        <v>101909</v>
      </c>
      <c r="E2574" s="2" t="s">
        <v>186</v>
      </c>
      <c r="F2574" s="15">
        <v>3200.7</v>
      </c>
      <c r="G2574" s="41">
        <v>42791</v>
      </c>
      <c r="H2574" s="15">
        <f t="shared" si="75"/>
        <v>3200.7</v>
      </c>
      <c r="I2574" s="15">
        <f t="shared" si="74"/>
        <v>0</v>
      </c>
      <c r="J2574" s="19"/>
    </row>
    <row r="2575" spans="1:10" x14ac:dyDescent="0.25">
      <c r="A2575" s="82">
        <v>42787</v>
      </c>
      <c r="B2575" s="39" t="s">
        <v>6863</v>
      </c>
      <c r="C2575" s="89"/>
      <c r="D2575" s="18">
        <v>101910</v>
      </c>
      <c r="E2575" s="2" t="s">
        <v>285</v>
      </c>
      <c r="F2575" s="15">
        <v>680</v>
      </c>
      <c r="G2575" s="86">
        <v>42787</v>
      </c>
      <c r="H2575" s="23">
        <f>2100</f>
        <v>2100</v>
      </c>
      <c r="I2575" s="23">
        <f t="shared" si="74"/>
        <v>-1420</v>
      </c>
      <c r="J2575" s="19"/>
    </row>
    <row r="2576" spans="1:10" x14ac:dyDescent="0.25">
      <c r="A2576" s="82">
        <v>42787</v>
      </c>
      <c r="B2576" s="39" t="s">
        <v>6864</v>
      </c>
      <c r="C2576" s="89"/>
      <c r="D2576" s="18">
        <v>101911</v>
      </c>
      <c r="E2576" s="2" t="s">
        <v>305</v>
      </c>
      <c r="F2576" s="15">
        <v>462.8</v>
      </c>
      <c r="G2576" s="41">
        <v>42790</v>
      </c>
      <c r="H2576" s="15">
        <f t="shared" si="75"/>
        <v>462.8</v>
      </c>
      <c r="I2576" s="15">
        <f t="shared" si="74"/>
        <v>0</v>
      </c>
      <c r="J2576" s="19"/>
    </row>
    <row r="2577" spans="1:10" x14ac:dyDescent="0.25">
      <c r="A2577" s="82">
        <v>42787</v>
      </c>
      <c r="B2577" s="39" t="s">
        <v>6865</v>
      </c>
      <c r="C2577" s="89"/>
      <c r="D2577" s="18">
        <v>101912</v>
      </c>
      <c r="E2577" s="2" t="s">
        <v>476</v>
      </c>
      <c r="F2577" s="15">
        <v>3581.4</v>
      </c>
      <c r="G2577" s="41">
        <v>42790</v>
      </c>
      <c r="H2577" s="15">
        <f t="shared" si="75"/>
        <v>3581.4</v>
      </c>
      <c r="I2577" s="15">
        <f t="shared" si="74"/>
        <v>0</v>
      </c>
      <c r="J2577" s="19"/>
    </row>
    <row r="2578" spans="1:10" x14ac:dyDescent="0.25">
      <c r="A2578" s="82">
        <v>42787</v>
      </c>
      <c r="B2578" s="39" t="s">
        <v>6866</v>
      </c>
      <c r="C2578" s="89"/>
      <c r="D2578" s="18">
        <v>101913</v>
      </c>
      <c r="E2578" s="2" t="s">
        <v>2986</v>
      </c>
      <c r="F2578" s="15">
        <v>2928.9</v>
      </c>
      <c r="G2578" s="86">
        <v>42788</v>
      </c>
      <c r="H2578" s="23">
        <f>828.9</f>
        <v>828.9</v>
      </c>
      <c r="I2578" s="23">
        <f t="shared" si="74"/>
        <v>2100</v>
      </c>
      <c r="J2578" s="19"/>
    </row>
    <row r="2579" spans="1:10" x14ac:dyDescent="0.25">
      <c r="A2579" s="82">
        <v>42787</v>
      </c>
      <c r="B2579" s="39" t="s">
        <v>6867</v>
      </c>
      <c r="C2579" s="89"/>
      <c r="D2579" s="18">
        <v>101914</v>
      </c>
      <c r="E2579" s="2" t="s">
        <v>85</v>
      </c>
      <c r="F2579" s="15">
        <v>9937.2000000000007</v>
      </c>
      <c r="G2579" s="41">
        <v>42787</v>
      </c>
      <c r="H2579" s="15">
        <f t="shared" si="75"/>
        <v>9937.2000000000007</v>
      </c>
      <c r="I2579" s="15">
        <f t="shared" si="74"/>
        <v>0</v>
      </c>
      <c r="J2579" s="19"/>
    </row>
    <row r="2580" spans="1:10" x14ac:dyDescent="0.25">
      <c r="A2580" s="82">
        <v>42787</v>
      </c>
      <c r="B2580" s="39" t="s">
        <v>6868</v>
      </c>
      <c r="C2580" s="89"/>
      <c r="D2580" s="18">
        <v>101915</v>
      </c>
      <c r="E2580" s="2" t="s">
        <v>264</v>
      </c>
      <c r="F2580" s="15">
        <v>7244.6</v>
      </c>
      <c r="G2580" s="41">
        <v>42787</v>
      </c>
      <c r="H2580" s="15">
        <f t="shared" si="75"/>
        <v>7244.6</v>
      </c>
      <c r="I2580" s="15">
        <f t="shared" si="74"/>
        <v>0</v>
      </c>
      <c r="J2580" s="19"/>
    </row>
    <row r="2581" spans="1:10" x14ac:dyDescent="0.25">
      <c r="A2581" s="82">
        <v>42787</v>
      </c>
      <c r="B2581" s="39" t="s">
        <v>6869</v>
      </c>
      <c r="C2581" s="89"/>
      <c r="D2581" s="18">
        <v>101916</v>
      </c>
      <c r="E2581" s="2" t="s">
        <v>115</v>
      </c>
      <c r="F2581" s="15">
        <v>3060.6</v>
      </c>
      <c r="G2581" s="41">
        <v>42787</v>
      </c>
      <c r="H2581" s="15">
        <f t="shared" si="75"/>
        <v>3060.6</v>
      </c>
      <c r="I2581" s="15">
        <f t="shared" si="74"/>
        <v>0</v>
      </c>
      <c r="J2581" s="19"/>
    </row>
    <row r="2582" spans="1:10" x14ac:dyDescent="0.25">
      <c r="A2582" s="82">
        <v>42787</v>
      </c>
      <c r="B2582" s="39" t="s">
        <v>6870</v>
      </c>
      <c r="C2582" s="89"/>
      <c r="D2582" s="18">
        <v>101917</v>
      </c>
      <c r="E2582" s="2" t="s">
        <v>137</v>
      </c>
      <c r="F2582" s="15">
        <v>2358.4</v>
      </c>
      <c r="G2582" s="41">
        <v>42787</v>
      </c>
      <c r="H2582" s="15">
        <f t="shared" si="75"/>
        <v>2358.4</v>
      </c>
      <c r="I2582" s="15">
        <f t="shared" si="74"/>
        <v>0</v>
      </c>
      <c r="J2582" s="19"/>
    </row>
    <row r="2583" spans="1:10" x14ac:dyDescent="0.25">
      <c r="A2583" s="82">
        <v>42787</v>
      </c>
      <c r="B2583" s="39" t="s">
        <v>6871</v>
      </c>
      <c r="C2583" s="89"/>
      <c r="D2583" s="18">
        <v>101918</v>
      </c>
      <c r="E2583" s="2" t="s">
        <v>8</v>
      </c>
      <c r="F2583" s="15">
        <v>2072</v>
      </c>
      <c r="G2583" s="41">
        <v>42788</v>
      </c>
      <c r="H2583" s="15">
        <f t="shared" si="75"/>
        <v>2072</v>
      </c>
      <c r="I2583" s="15">
        <f t="shared" si="74"/>
        <v>0</v>
      </c>
      <c r="J2583" s="19"/>
    </row>
    <row r="2584" spans="1:10" x14ac:dyDescent="0.25">
      <c r="A2584" s="82">
        <v>42787</v>
      </c>
      <c r="B2584" s="39" t="s">
        <v>6872</v>
      </c>
      <c r="C2584" s="89"/>
      <c r="D2584" s="18">
        <v>101919</v>
      </c>
      <c r="E2584" s="2" t="s">
        <v>302</v>
      </c>
      <c r="F2584" s="15">
        <v>4977.6000000000004</v>
      </c>
      <c r="G2584" s="41">
        <v>42788</v>
      </c>
      <c r="H2584" s="15">
        <f t="shared" si="75"/>
        <v>4977.6000000000004</v>
      </c>
      <c r="I2584" s="15">
        <f t="shared" si="74"/>
        <v>0</v>
      </c>
      <c r="J2584" s="19"/>
    </row>
    <row r="2585" spans="1:10" x14ac:dyDescent="0.25">
      <c r="A2585" s="82">
        <v>42787</v>
      </c>
      <c r="B2585" s="39" t="s">
        <v>6873</v>
      </c>
      <c r="C2585" s="89"/>
      <c r="D2585" s="18">
        <v>101920</v>
      </c>
      <c r="E2585" s="2" t="s">
        <v>302</v>
      </c>
      <c r="F2585" s="15">
        <v>6860.8</v>
      </c>
      <c r="G2585" s="41">
        <v>42788</v>
      </c>
      <c r="H2585" s="15">
        <f t="shared" si="75"/>
        <v>6860.8</v>
      </c>
      <c r="I2585" s="15">
        <f t="shared" si="74"/>
        <v>0</v>
      </c>
      <c r="J2585" s="19"/>
    </row>
    <row r="2586" spans="1:10" x14ac:dyDescent="0.25">
      <c r="A2586" s="82">
        <v>42787</v>
      </c>
      <c r="B2586" s="39" t="s">
        <v>6874</v>
      </c>
      <c r="C2586" s="89"/>
      <c r="D2586" s="18">
        <v>101921</v>
      </c>
      <c r="E2586" s="2" t="s">
        <v>220</v>
      </c>
      <c r="F2586" s="15">
        <v>2619.6</v>
      </c>
      <c r="G2586" s="41">
        <v>42788</v>
      </c>
      <c r="H2586" s="15">
        <f t="shared" si="75"/>
        <v>2619.6</v>
      </c>
      <c r="I2586" s="15">
        <f t="shared" si="74"/>
        <v>0</v>
      </c>
      <c r="J2586" s="19"/>
    </row>
    <row r="2587" spans="1:10" x14ac:dyDescent="0.25">
      <c r="A2587" s="82">
        <v>42787</v>
      </c>
      <c r="B2587" s="39" t="s">
        <v>6875</v>
      </c>
      <c r="C2587" s="89"/>
      <c r="D2587" s="18">
        <v>101922</v>
      </c>
      <c r="E2587" s="2" t="s">
        <v>1325</v>
      </c>
      <c r="F2587" s="15">
        <v>2055.5</v>
      </c>
      <c r="G2587" s="41">
        <v>42788</v>
      </c>
      <c r="H2587" s="15">
        <f t="shared" si="75"/>
        <v>2055.5</v>
      </c>
      <c r="I2587" s="15">
        <f t="shared" si="74"/>
        <v>0</v>
      </c>
      <c r="J2587" s="19"/>
    </row>
    <row r="2588" spans="1:10" x14ac:dyDescent="0.25">
      <c r="A2588" s="82">
        <v>42787</v>
      </c>
      <c r="B2588" s="39" t="s">
        <v>6876</v>
      </c>
      <c r="C2588" s="89"/>
      <c r="D2588" s="18">
        <v>101923</v>
      </c>
      <c r="E2588" s="2" t="s">
        <v>30</v>
      </c>
      <c r="F2588" s="15">
        <v>561</v>
      </c>
      <c r="G2588" s="41">
        <v>42788</v>
      </c>
      <c r="H2588" s="15">
        <f t="shared" si="75"/>
        <v>561</v>
      </c>
      <c r="I2588" s="15">
        <f t="shared" si="74"/>
        <v>0</v>
      </c>
      <c r="J2588" s="19"/>
    </row>
    <row r="2589" spans="1:10" x14ac:dyDescent="0.25">
      <c r="A2589" s="82">
        <v>42787</v>
      </c>
      <c r="B2589" s="39" t="s">
        <v>6877</v>
      </c>
      <c r="C2589" s="89"/>
      <c r="D2589" s="18">
        <v>101924</v>
      </c>
      <c r="E2589" s="2" t="s">
        <v>426</v>
      </c>
      <c r="F2589" s="15">
        <v>22755.8</v>
      </c>
      <c r="G2589" s="41">
        <v>42793</v>
      </c>
      <c r="H2589" s="15">
        <f t="shared" si="75"/>
        <v>22755.8</v>
      </c>
      <c r="I2589" s="15">
        <f t="shared" si="74"/>
        <v>0</v>
      </c>
      <c r="J2589" s="19"/>
    </row>
    <row r="2590" spans="1:10" x14ac:dyDescent="0.25">
      <c r="A2590" s="82">
        <v>42787</v>
      </c>
      <c r="B2590" s="39" t="s">
        <v>6878</v>
      </c>
      <c r="C2590" s="89"/>
      <c r="D2590" s="18">
        <v>101925</v>
      </c>
      <c r="E2590" s="2" t="s">
        <v>222</v>
      </c>
      <c r="F2590" s="15">
        <v>12390.4</v>
      </c>
      <c r="G2590" s="41">
        <v>42738</v>
      </c>
      <c r="H2590" s="15">
        <f t="shared" si="75"/>
        <v>12390.4</v>
      </c>
      <c r="I2590" s="15">
        <f t="shared" si="74"/>
        <v>0</v>
      </c>
      <c r="J2590" s="19"/>
    </row>
    <row r="2591" spans="1:10" x14ac:dyDescent="0.25">
      <c r="A2591" s="82">
        <v>42787</v>
      </c>
      <c r="B2591" s="39" t="s">
        <v>6879</v>
      </c>
      <c r="C2591" s="89"/>
      <c r="D2591" s="18">
        <v>101926</v>
      </c>
      <c r="E2591" s="2" t="s">
        <v>205</v>
      </c>
      <c r="F2591" s="15">
        <v>1115.4000000000001</v>
      </c>
      <c r="G2591" s="41">
        <v>42787</v>
      </c>
      <c r="H2591" s="15">
        <f t="shared" si="75"/>
        <v>1115.4000000000001</v>
      </c>
      <c r="I2591" s="15">
        <f t="shared" si="74"/>
        <v>0</v>
      </c>
      <c r="J2591" s="19"/>
    </row>
    <row r="2592" spans="1:10" x14ac:dyDescent="0.25">
      <c r="A2592" s="82">
        <v>42787</v>
      </c>
      <c r="B2592" s="39" t="s">
        <v>6880</v>
      </c>
      <c r="C2592" s="89"/>
      <c r="D2592" s="18">
        <v>101927</v>
      </c>
      <c r="E2592" s="2" t="s">
        <v>231</v>
      </c>
      <c r="F2592" s="15">
        <v>7974.6</v>
      </c>
      <c r="G2592" s="41">
        <v>42788</v>
      </c>
      <c r="H2592" s="15">
        <f t="shared" si="75"/>
        <v>7974.6</v>
      </c>
      <c r="I2592" s="15">
        <f t="shared" si="74"/>
        <v>0</v>
      </c>
      <c r="J2592" s="19"/>
    </row>
    <row r="2593" spans="1:10" x14ac:dyDescent="0.25">
      <c r="A2593" s="82">
        <v>42787</v>
      </c>
      <c r="B2593" s="39" t="s">
        <v>6881</v>
      </c>
      <c r="C2593" s="89"/>
      <c r="D2593" s="18">
        <v>101928</v>
      </c>
      <c r="E2593" s="2" t="s">
        <v>785</v>
      </c>
      <c r="F2593" s="15">
        <v>5464.8</v>
      </c>
      <c r="G2593" s="41">
        <v>42787</v>
      </c>
      <c r="H2593" s="15">
        <f t="shared" si="75"/>
        <v>5464.8</v>
      </c>
      <c r="I2593" s="15">
        <f t="shared" si="74"/>
        <v>0</v>
      </c>
      <c r="J2593" s="19"/>
    </row>
    <row r="2594" spans="1:10" x14ac:dyDescent="0.25">
      <c r="A2594" s="82">
        <v>42787</v>
      </c>
      <c r="B2594" s="39" t="s">
        <v>6882</v>
      </c>
      <c r="C2594" s="89"/>
      <c r="D2594" s="18">
        <v>101929</v>
      </c>
      <c r="E2594" s="2" t="s">
        <v>115</v>
      </c>
      <c r="F2594" s="15">
        <v>769.6</v>
      </c>
      <c r="G2594" s="41">
        <v>42787</v>
      </c>
      <c r="H2594" s="15">
        <f t="shared" si="75"/>
        <v>769.6</v>
      </c>
      <c r="I2594" s="15">
        <f t="shared" si="74"/>
        <v>0</v>
      </c>
      <c r="J2594" s="19"/>
    </row>
    <row r="2595" spans="1:10" x14ac:dyDescent="0.25">
      <c r="A2595" s="82">
        <v>42787</v>
      </c>
      <c r="B2595" s="39" t="s">
        <v>6883</v>
      </c>
      <c r="C2595" s="89"/>
      <c r="D2595" s="18">
        <v>101930</v>
      </c>
      <c r="E2595" s="2" t="s">
        <v>352</v>
      </c>
      <c r="F2595" s="15">
        <v>4508.1000000000004</v>
      </c>
      <c r="G2595" s="41">
        <v>42787</v>
      </c>
      <c r="H2595" s="15">
        <f t="shared" si="75"/>
        <v>4508.1000000000004</v>
      </c>
      <c r="I2595" s="15">
        <f t="shared" si="74"/>
        <v>0</v>
      </c>
      <c r="J2595" s="19"/>
    </row>
    <row r="2596" spans="1:10" x14ac:dyDescent="0.25">
      <c r="A2596" s="82">
        <v>42787</v>
      </c>
      <c r="B2596" s="39" t="s">
        <v>6884</v>
      </c>
      <c r="C2596" s="89"/>
      <c r="D2596" s="18">
        <v>101931</v>
      </c>
      <c r="E2596" s="2" t="s">
        <v>5113</v>
      </c>
      <c r="F2596" s="15">
        <v>2200</v>
      </c>
      <c r="G2596" s="41">
        <v>42787</v>
      </c>
      <c r="H2596" s="15">
        <f t="shared" si="75"/>
        <v>2200</v>
      </c>
      <c r="I2596" s="15">
        <f t="shared" si="74"/>
        <v>0</v>
      </c>
      <c r="J2596" s="19"/>
    </row>
    <row r="2597" spans="1:10" x14ac:dyDescent="0.25">
      <c r="A2597" s="82">
        <v>42787</v>
      </c>
      <c r="B2597" s="39" t="s">
        <v>6885</v>
      </c>
      <c r="C2597" s="89"/>
      <c r="D2597" s="18">
        <v>101932</v>
      </c>
      <c r="E2597" s="2" t="s">
        <v>921</v>
      </c>
      <c r="F2597" s="15">
        <v>2337.3000000000002</v>
      </c>
      <c r="G2597" s="41">
        <v>42787</v>
      </c>
      <c r="H2597" s="15">
        <f t="shared" si="75"/>
        <v>2337.3000000000002</v>
      </c>
      <c r="I2597" s="15">
        <f t="shared" si="74"/>
        <v>0</v>
      </c>
      <c r="J2597" s="19"/>
    </row>
    <row r="2598" spans="1:10" x14ac:dyDescent="0.25">
      <c r="A2598" s="82">
        <v>42787</v>
      </c>
      <c r="B2598" s="39" t="s">
        <v>6886</v>
      </c>
      <c r="C2598" s="89"/>
      <c r="D2598" s="18">
        <v>101933</v>
      </c>
      <c r="E2598" s="2" t="s">
        <v>472</v>
      </c>
      <c r="F2598" s="15">
        <v>20129.599999999999</v>
      </c>
      <c r="G2598" s="41">
        <v>42787</v>
      </c>
      <c r="H2598" s="15">
        <f t="shared" si="75"/>
        <v>20129.599999999999</v>
      </c>
      <c r="I2598" s="15">
        <f t="shared" si="74"/>
        <v>0</v>
      </c>
      <c r="J2598" s="19"/>
    </row>
    <row r="2599" spans="1:10" x14ac:dyDescent="0.25">
      <c r="A2599" s="82">
        <v>42787</v>
      </c>
      <c r="B2599" s="39" t="s">
        <v>6887</v>
      </c>
      <c r="C2599" s="89"/>
      <c r="D2599" s="18">
        <v>101934</v>
      </c>
      <c r="E2599" s="2" t="s">
        <v>30</v>
      </c>
      <c r="F2599" s="15">
        <v>14.44</v>
      </c>
      <c r="G2599" s="41">
        <v>42787</v>
      </c>
      <c r="H2599" s="15">
        <f t="shared" si="75"/>
        <v>14.44</v>
      </c>
      <c r="I2599" s="15">
        <f t="shared" si="74"/>
        <v>0</v>
      </c>
      <c r="J2599" s="19"/>
    </row>
    <row r="2600" spans="1:10" x14ac:dyDescent="0.25">
      <c r="A2600" s="82">
        <v>42787</v>
      </c>
      <c r="B2600" s="39" t="s">
        <v>6888</v>
      </c>
      <c r="C2600" s="89"/>
      <c r="D2600" s="18">
        <v>101935</v>
      </c>
      <c r="E2600" s="2" t="s">
        <v>544</v>
      </c>
      <c r="F2600" s="15">
        <v>4936</v>
      </c>
      <c r="G2600" s="41">
        <v>42794</v>
      </c>
      <c r="H2600" s="15">
        <f t="shared" si="75"/>
        <v>4936</v>
      </c>
      <c r="I2600" s="15">
        <f t="shared" si="74"/>
        <v>0</v>
      </c>
      <c r="J2600" s="19"/>
    </row>
    <row r="2601" spans="1:10" ht="30" x14ac:dyDescent="0.25">
      <c r="A2601" s="82">
        <v>42787</v>
      </c>
      <c r="B2601" s="39" t="s">
        <v>6889</v>
      </c>
      <c r="C2601" s="89"/>
      <c r="D2601" s="18">
        <v>101936</v>
      </c>
      <c r="E2601" s="2" t="s">
        <v>10</v>
      </c>
      <c r="F2601" s="15">
        <v>21397.06</v>
      </c>
      <c r="G2601" s="87" t="s">
        <v>6890</v>
      </c>
      <c r="H2601" s="20">
        <f>8787.84+12609.22</f>
        <v>21397.059999999998</v>
      </c>
      <c r="I2601" s="20">
        <f t="shared" si="74"/>
        <v>0</v>
      </c>
      <c r="J2601" s="19"/>
    </row>
    <row r="2602" spans="1:10" x14ac:dyDescent="0.25">
      <c r="A2602" s="82">
        <v>42787</v>
      </c>
      <c r="B2602" s="39" t="s">
        <v>6891</v>
      </c>
      <c r="C2602" s="89"/>
      <c r="D2602" s="18">
        <v>101937</v>
      </c>
      <c r="E2602" s="2" t="s">
        <v>10</v>
      </c>
      <c r="F2602" s="15">
        <v>67.2</v>
      </c>
      <c r="G2602" s="41">
        <v>42791</v>
      </c>
      <c r="H2602" s="15">
        <f t="shared" si="75"/>
        <v>67.2</v>
      </c>
      <c r="I2602" s="15">
        <f t="shared" si="74"/>
        <v>0</v>
      </c>
      <c r="J2602" s="19"/>
    </row>
    <row r="2603" spans="1:10" x14ac:dyDescent="0.25">
      <c r="A2603" s="82">
        <v>42787</v>
      </c>
      <c r="B2603" s="39" t="s">
        <v>6892</v>
      </c>
      <c r="C2603" s="89"/>
      <c r="D2603" s="18">
        <v>101938</v>
      </c>
      <c r="E2603" s="2" t="s">
        <v>800</v>
      </c>
      <c r="F2603" s="15">
        <v>12424.9</v>
      </c>
      <c r="G2603" s="41">
        <v>42794</v>
      </c>
      <c r="H2603" s="15">
        <f t="shared" si="75"/>
        <v>12424.9</v>
      </c>
      <c r="I2603" s="15">
        <f t="shared" si="74"/>
        <v>0</v>
      </c>
      <c r="J2603" s="19"/>
    </row>
    <row r="2604" spans="1:10" x14ac:dyDescent="0.25">
      <c r="A2604" s="82">
        <v>42787</v>
      </c>
      <c r="B2604" s="39" t="s">
        <v>6893</v>
      </c>
      <c r="C2604" s="89"/>
      <c r="D2604" s="18">
        <v>101939</v>
      </c>
      <c r="E2604" s="2" t="s">
        <v>30</v>
      </c>
      <c r="F2604" s="15">
        <v>742.6</v>
      </c>
      <c r="G2604" s="41">
        <v>42788</v>
      </c>
      <c r="H2604" s="15">
        <f t="shared" si="75"/>
        <v>742.6</v>
      </c>
      <c r="I2604" s="15">
        <f t="shared" si="74"/>
        <v>0</v>
      </c>
      <c r="J2604" s="19"/>
    </row>
    <row r="2605" spans="1:10" x14ac:dyDescent="0.25">
      <c r="A2605" s="82">
        <v>42788</v>
      </c>
      <c r="B2605" s="39" t="s">
        <v>6894</v>
      </c>
      <c r="C2605" s="89"/>
      <c r="D2605" s="18">
        <v>101940</v>
      </c>
      <c r="E2605" s="2" t="s">
        <v>231</v>
      </c>
      <c r="F2605" s="15">
        <v>5793.4</v>
      </c>
      <c r="G2605" s="41">
        <v>42788</v>
      </c>
      <c r="H2605" s="15">
        <f t="shared" si="75"/>
        <v>5793.4</v>
      </c>
      <c r="I2605" s="15">
        <f t="shared" si="74"/>
        <v>0</v>
      </c>
      <c r="J2605" s="19"/>
    </row>
    <row r="2606" spans="1:10" x14ac:dyDescent="0.25">
      <c r="A2606" s="82">
        <v>42788</v>
      </c>
      <c r="B2606" s="39" t="s">
        <v>6895</v>
      </c>
      <c r="C2606" s="89"/>
      <c r="D2606" s="18">
        <v>101941</v>
      </c>
      <c r="E2606" s="2" t="s">
        <v>231</v>
      </c>
      <c r="F2606" s="15">
        <v>31126.5</v>
      </c>
      <c r="G2606" s="41">
        <v>42789</v>
      </c>
      <c r="H2606" s="15">
        <f t="shared" si="75"/>
        <v>31126.5</v>
      </c>
      <c r="I2606" s="15">
        <f t="shared" si="74"/>
        <v>0</v>
      </c>
      <c r="J2606" s="19"/>
    </row>
    <row r="2607" spans="1:10" x14ac:dyDescent="0.25">
      <c r="A2607" s="82">
        <v>42788</v>
      </c>
      <c r="B2607" s="39" t="s">
        <v>6896</v>
      </c>
      <c r="C2607" s="89"/>
      <c r="D2607" s="18">
        <v>101942</v>
      </c>
      <c r="E2607" s="2" t="s">
        <v>26</v>
      </c>
      <c r="F2607" s="15">
        <v>16249.3</v>
      </c>
      <c r="G2607" s="41">
        <v>42788</v>
      </c>
      <c r="H2607" s="15">
        <f t="shared" si="75"/>
        <v>16249.3</v>
      </c>
      <c r="I2607" s="15">
        <f t="shared" si="74"/>
        <v>0</v>
      </c>
      <c r="J2607" s="19"/>
    </row>
    <row r="2608" spans="1:10" x14ac:dyDescent="0.25">
      <c r="A2608" s="82">
        <v>42788</v>
      </c>
      <c r="B2608" s="39" t="s">
        <v>6897</v>
      </c>
      <c r="C2608" s="89"/>
      <c r="D2608" s="18">
        <v>101943</v>
      </c>
      <c r="E2608" s="2" t="s">
        <v>428</v>
      </c>
      <c r="F2608" s="15">
        <v>3210.2</v>
      </c>
      <c r="G2608" s="41">
        <v>42789</v>
      </c>
      <c r="H2608" s="15">
        <f t="shared" si="75"/>
        <v>3210.2</v>
      </c>
      <c r="I2608" s="15">
        <f t="shared" si="74"/>
        <v>0</v>
      </c>
      <c r="J2608" s="19"/>
    </row>
    <row r="2609" spans="1:10" x14ac:dyDescent="0.25">
      <c r="A2609" s="82">
        <v>42788</v>
      </c>
      <c r="B2609" s="39" t="s">
        <v>6898</v>
      </c>
      <c r="C2609" s="89"/>
      <c r="D2609" s="18">
        <v>101944</v>
      </c>
      <c r="E2609" s="2" t="s">
        <v>17</v>
      </c>
      <c r="F2609" s="15">
        <v>2205</v>
      </c>
      <c r="G2609" s="41">
        <v>42788</v>
      </c>
      <c r="H2609" s="15">
        <f t="shared" si="75"/>
        <v>2205</v>
      </c>
      <c r="I2609" s="15">
        <f t="shared" si="74"/>
        <v>0</v>
      </c>
      <c r="J2609" s="19"/>
    </row>
    <row r="2610" spans="1:10" x14ac:dyDescent="0.25">
      <c r="A2610" s="82">
        <v>42788</v>
      </c>
      <c r="B2610" s="39" t="s">
        <v>6899</v>
      </c>
      <c r="C2610" s="89"/>
      <c r="D2610" s="18">
        <v>101945</v>
      </c>
      <c r="E2610" s="2" t="s">
        <v>71</v>
      </c>
      <c r="F2610" s="15">
        <v>2513</v>
      </c>
      <c r="G2610" s="41">
        <v>42788</v>
      </c>
      <c r="H2610" s="15">
        <f t="shared" si="75"/>
        <v>2513</v>
      </c>
      <c r="I2610" s="15">
        <f t="shared" si="74"/>
        <v>0</v>
      </c>
      <c r="J2610" s="19"/>
    </row>
    <row r="2611" spans="1:10" x14ac:dyDescent="0.25">
      <c r="A2611" s="82">
        <v>42788</v>
      </c>
      <c r="B2611" s="39" t="s">
        <v>6900</v>
      </c>
      <c r="C2611" s="89"/>
      <c r="D2611" s="18">
        <v>101946</v>
      </c>
      <c r="E2611" s="13" t="s">
        <v>1335</v>
      </c>
      <c r="F2611" s="14">
        <v>0</v>
      </c>
      <c r="G2611" s="88" t="s">
        <v>95</v>
      </c>
      <c r="H2611" s="14">
        <f t="shared" si="75"/>
        <v>0</v>
      </c>
      <c r="I2611" s="14">
        <f t="shared" si="74"/>
        <v>0</v>
      </c>
      <c r="J2611" s="19"/>
    </row>
    <row r="2612" spans="1:10" x14ac:dyDescent="0.25">
      <c r="A2612" s="82">
        <v>42788</v>
      </c>
      <c r="B2612" s="39" t="s">
        <v>6901</v>
      </c>
      <c r="C2612" s="89"/>
      <c r="D2612" s="18">
        <v>101947</v>
      </c>
      <c r="E2612" s="2" t="s">
        <v>1116</v>
      </c>
      <c r="F2612" s="15">
        <v>3037.3</v>
      </c>
      <c r="G2612" s="41">
        <v>42789</v>
      </c>
      <c r="H2612" s="15">
        <f t="shared" si="75"/>
        <v>3037.3</v>
      </c>
      <c r="I2612" s="15">
        <f t="shared" si="74"/>
        <v>0</v>
      </c>
      <c r="J2612" s="19"/>
    </row>
    <row r="2613" spans="1:10" x14ac:dyDescent="0.25">
      <c r="A2613" s="82">
        <v>42788</v>
      </c>
      <c r="B2613" s="39" t="s">
        <v>6902</v>
      </c>
      <c r="C2613" s="89"/>
      <c r="D2613" s="18">
        <v>101948</v>
      </c>
      <c r="E2613" s="2" t="s">
        <v>1335</v>
      </c>
      <c r="F2613" s="15">
        <v>12772.7</v>
      </c>
      <c r="G2613" s="41">
        <v>42788</v>
      </c>
      <c r="H2613" s="15">
        <f t="shared" si="75"/>
        <v>12772.7</v>
      </c>
      <c r="I2613" s="15">
        <f t="shared" si="74"/>
        <v>0</v>
      </c>
      <c r="J2613" s="19"/>
    </row>
    <row r="2614" spans="1:10" x14ac:dyDescent="0.25">
      <c r="A2614" s="82">
        <v>42788</v>
      </c>
      <c r="B2614" s="39" t="s">
        <v>6903</v>
      </c>
      <c r="C2614" s="89"/>
      <c r="D2614" s="18">
        <v>101949</v>
      </c>
      <c r="E2614" s="13" t="s">
        <v>28</v>
      </c>
      <c r="F2614" s="14">
        <v>0</v>
      </c>
      <c r="G2614" s="88" t="s">
        <v>95</v>
      </c>
      <c r="H2614" s="14">
        <f t="shared" si="75"/>
        <v>0</v>
      </c>
      <c r="I2614" s="14">
        <f t="shared" si="74"/>
        <v>0</v>
      </c>
      <c r="J2614" s="19"/>
    </row>
    <row r="2615" spans="1:10" x14ac:dyDescent="0.25">
      <c r="A2615" s="82">
        <v>42788</v>
      </c>
      <c r="B2615" s="39" t="s">
        <v>6904</v>
      </c>
      <c r="C2615" s="89"/>
      <c r="D2615" s="18">
        <v>101950</v>
      </c>
      <c r="E2615" s="2" t="s">
        <v>47</v>
      </c>
      <c r="F2615" s="15">
        <v>3971.3</v>
      </c>
      <c r="G2615" s="41">
        <v>42788</v>
      </c>
      <c r="H2615" s="15">
        <f t="shared" si="75"/>
        <v>3971.3</v>
      </c>
      <c r="I2615" s="15">
        <f t="shared" si="74"/>
        <v>0</v>
      </c>
      <c r="J2615" s="19"/>
    </row>
    <row r="2616" spans="1:10" x14ac:dyDescent="0.25">
      <c r="A2616" s="82">
        <v>42788</v>
      </c>
      <c r="B2616" s="39" t="s">
        <v>6905</v>
      </c>
      <c r="C2616" s="89"/>
      <c r="D2616" s="18">
        <v>101951</v>
      </c>
      <c r="E2616" s="2" t="s">
        <v>28</v>
      </c>
      <c r="F2616" s="15">
        <v>5039.6000000000004</v>
      </c>
      <c r="G2616" s="41">
        <v>42788</v>
      </c>
      <c r="H2616" s="15">
        <f t="shared" si="75"/>
        <v>5039.6000000000004</v>
      </c>
      <c r="I2616" s="15">
        <f t="shared" ref="I2616:I2679" si="76">F2616-H2616</f>
        <v>0</v>
      </c>
      <c r="J2616" s="19"/>
    </row>
    <row r="2617" spans="1:10" x14ac:dyDescent="0.25">
      <c r="A2617" s="82">
        <v>42788</v>
      </c>
      <c r="B2617" s="39" t="s">
        <v>6906</v>
      </c>
      <c r="C2617" s="89"/>
      <c r="D2617" s="18">
        <v>101952</v>
      </c>
      <c r="E2617" s="2" t="s">
        <v>51</v>
      </c>
      <c r="F2617" s="15">
        <v>3692.6</v>
      </c>
      <c r="G2617" s="41">
        <v>42790</v>
      </c>
      <c r="H2617" s="15">
        <f t="shared" si="75"/>
        <v>3692.6</v>
      </c>
      <c r="I2617" s="15">
        <f t="shared" si="76"/>
        <v>0</v>
      </c>
      <c r="J2617" s="19"/>
    </row>
    <row r="2618" spans="1:10" x14ac:dyDescent="0.25">
      <c r="A2618" s="82">
        <v>42788</v>
      </c>
      <c r="B2618" s="39" t="s">
        <v>6907</v>
      </c>
      <c r="C2618" s="89"/>
      <c r="D2618" s="18">
        <v>101953</v>
      </c>
      <c r="E2618" s="13" t="s">
        <v>5271</v>
      </c>
      <c r="F2618" s="14">
        <v>0</v>
      </c>
      <c r="G2618" s="88" t="s">
        <v>95</v>
      </c>
      <c r="H2618" s="14">
        <f t="shared" si="75"/>
        <v>0</v>
      </c>
      <c r="I2618" s="14">
        <f t="shared" si="76"/>
        <v>0</v>
      </c>
      <c r="J2618" s="19"/>
    </row>
    <row r="2619" spans="1:10" x14ac:dyDescent="0.25">
      <c r="A2619" s="82">
        <v>42788</v>
      </c>
      <c r="B2619" s="39" t="s">
        <v>6908</v>
      </c>
      <c r="C2619" s="89"/>
      <c r="D2619" s="18">
        <v>101954</v>
      </c>
      <c r="E2619" s="2" t="s">
        <v>250</v>
      </c>
      <c r="F2619" s="15">
        <v>7829.4</v>
      </c>
      <c r="G2619" s="41">
        <v>42789</v>
      </c>
      <c r="H2619" s="15">
        <f t="shared" si="75"/>
        <v>7829.4</v>
      </c>
      <c r="I2619" s="15">
        <f t="shared" si="76"/>
        <v>0</v>
      </c>
      <c r="J2619" s="19"/>
    </row>
    <row r="2620" spans="1:10" x14ac:dyDescent="0.25">
      <c r="A2620" s="82">
        <v>42788</v>
      </c>
      <c r="B2620" s="39" t="s">
        <v>6909</v>
      </c>
      <c r="C2620" s="89"/>
      <c r="D2620" s="18">
        <v>101955</v>
      </c>
      <c r="E2620" s="2" t="s">
        <v>35</v>
      </c>
      <c r="F2620" s="15">
        <v>10301.4</v>
      </c>
      <c r="G2620" s="41">
        <v>42790</v>
      </c>
      <c r="H2620" s="15">
        <f t="shared" si="75"/>
        <v>10301.4</v>
      </c>
      <c r="I2620" s="15">
        <f t="shared" si="76"/>
        <v>0</v>
      </c>
      <c r="J2620" s="19"/>
    </row>
    <row r="2621" spans="1:10" x14ac:dyDescent="0.25">
      <c r="A2621" s="82">
        <v>42788</v>
      </c>
      <c r="B2621" s="39" t="s">
        <v>6910</v>
      </c>
      <c r="C2621" s="89"/>
      <c r="D2621" s="18">
        <v>101956</v>
      </c>
      <c r="E2621" s="2" t="s">
        <v>43</v>
      </c>
      <c r="F2621" s="15">
        <v>1806.8</v>
      </c>
      <c r="G2621" s="41">
        <v>42790</v>
      </c>
      <c r="H2621" s="15">
        <f t="shared" si="75"/>
        <v>1806.8</v>
      </c>
      <c r="I2621" s="15">
        <f t="shared" si="76"/>
        <v>0</v>
      </c>
      <c r="J2621" s="19"/>
    </row>
    <row r="2622" spans="1:10" ht="30" x14ac:dyDescent="0.25">
      <c r="A2622" s="82">
        <v>42788</v>
      </c>
      <c r="B2622" s="39" t="s">
        <v>6911</v>
      </c>
      <c r="C2622" s="89"/>
      <c r="D2622" s="18">
        <v>101957</v>
      </c>
      <c r="E2622" s="2" t="s">
        <v>49</v>
      </c>
      <c r="F2622" s="15">
        <v>10685.6</v>
      </c>
      <c r="G2622" s="87" t="s">
        <v>6890</v>
      </c>
      <c r="H2622" s="20">
        <f>3700+6985.6</f>
        <v>10685.6</v>
      </c>
      <c r="I2622" s="20">
        <f t="shared" si="76"/>
        <v>0</v>
      </c>
      <c r="J2622" s="19"/>
    </row>
    <row r="2623" spans="1:10" x14ac:dyDescent="0.25">
      <c r="A2623" s="82">
        <v>42788</v>
      </c>
      <c r="B2623" s="39" t="s">
        <v>6912</v>
      </c>
      <c r="C2623" s="89"/>
      <c r="D2623" s="18">
        <v>101958</v>
      </c>
      <c r="E2623" s="2" t="s">
        <v>38</v>
      </c>
      <c r="F2623" s="15">
        <v>3424.2</v>
      </c>
      <c r="G2623" s="41">
        <v>42790</v>
      </c>
      <c r="H2623" s="15">
        <f t="shared" si="75"/>
        <v>3424.2</v>
      </c>
      <c r="I2623" s="15">
        <f t="shared" si="76"/>
        <v>0</v>
      </c>
      <c r="J2623" s="19"/>
    </row>
    <row r="2624" spans="1:10" x14ac:dyDescent="0.25">
      <c r="A2624" s="82">
        <v>42788</v>
      </c>
      <c r="B2624" s="39" t="s">
        <v>6913</v>
      </c>
      <c r="C2624" s="89"/>
      <c r="D2624" s="18">
        <v>101959</v>
      </c>
      <c r="E2624" s="2" t="s">
        <v>253</v>
      </c>
      <c r="F2624" s="15">
        <v>5875</v>
      </c>
      <c r="G2624" s="41">
        <v>42793</v>
      </c>
      <c r="H2624" s="15">
        <f t="shared" si="75"/>
        <v>5875</v>
      </c>
      <c r="I2624" s="15">
        <f t="shared" si="76"/>
        <v>0</v>
      </c>
      <c r="J2624" s="19"/>
    </row>
    <row r="2625" spans="1:10" x14ac:dyDescent="0.25">
      <c r="A2625" s="82">
        <v>42788</v>
      </c>
      <c r="B2625" s="39" t="s">
        <v>6914</v>
      </c>
      <c r="C2625" s="89"/>
      <c r="D2625" s="18">
        <v>101960</v>
      </c>
      <c r="E2625" s="2" t="s">
        <v>5271</v>
      </c>
      <c r="F2625" s="15">
        <v>23659.8</v>
      </c>
      <c r="G2625" s="41">
        <v>42788</v>
      </c>
      <c r="H2625" s="15">
        <f t="shared" si="75"/>
        <v>23659.8</v>
      </c>
      <c r="I2625" s="15">
        <f t="shared" si="76"/>
        <v>0</v>
      </c>
      <c r="J2625" s="19"/>
    </row>
    <row r="2626" spans="1:10" x14ac:dyDescent="0.25">
      <c r="A2626" s="82">
        <v>42788</v>
      </c>
      <c r="B2626" s="39" t="s">
        <v>6915</v>
      </c>
      <c r="C2626" s="89"/>
      <c r="D2626" s="18">
        <v>101961</v>
      </c>
      <c r="E2626" s="2" t="s">
        <v>277</v>
      </c>
      <c r="F2626" s="15">
        <v>2835.9</v>
      </c>
      <c r="G2626" s="41">
        <v>42788</v>
      </c>
      <c r="H2626" s="15">
        <f t="shared" si="75"/>
        <v>2835.9</v>
      </c>
      <c r="I2626" s="15">
        <f t="shared" si="76"/>
        <v>0</v>
      </c>
      <c r="J2626" s="19"/>
    </row>
    <row r="2627" spans="1:10" x14ac:dyDescent="0.25">
      <c r="A2627" s="82">
        <v>42788</v>
      </c>
      <c r="B2627" s="39" t="s">
        <v>6916</v>
      </c>
      <c r="C2627" s="89"/>
      <c r="D2627" s="18">
        <v>101962</v>
      </c>
      <c r="E2627" s="2" t="s">
        <v>1870</v>
      </c>
      <c r="F2627" s="15">
        <v>1755.8</v>
      </c>
      <c r="G2627" s="41">
        <v>42788</v>
      </c>
      <c r="H2627" s="15">
        <f t="shared" si="75"/>
        <v>1755.8</v>
      </c>
      <c r="I2627" s="15">
        <f t="shared" si="76"/>
        <v>0</v>
      </c>
      <c r="J2627" s="19"/>
    </row>
    <row r="2628" spans="1:10" x14ac:dyDescent="0.25">
      <c r="A2628" s="82">
        <v>42788</v>
      </c>
      <c r="B2628" s="39" t="s">
        <v>6917</v>
      </c>
      <c r="C2628" s="89"/>
      <c r="D2628" s="18">
        <v>101963</v>
      </c>
      <c r="E2628" s="2" t="s">
        <v>430</v>
      </c>
      <c r="F2628" s="15">
        <v>1724</v>
      </c>
      <c r="G2628" s="41">
        <v>42788</v>
      </c>
      <c r="H2628" s="15">
        <f t="shared" ref="H2628:H2691" si="77">F2628</f>
        <v>1724</v>
      </c>
      <c r="I2628" s="15">
        <f t="shared" si="76"/>
        <v>0</v>
      </c>
      <c r="J2628" s="19"/>
    </row>
    <row r="2629" spans="1:10" x14ac:dyDescent="0.25">
      <c r="A2629" s="82">
        <v>42788</v>
      </c>
      <c r="B2629" s="39" t="s">
        <v>6918</v>
      </c>
      <c r="C2629" s="89"/>
      <c r="D2629" s="18">
        <v>101964</v>
      </c>
      <c r="E2629" s="2" t="s">
        <v>432</v>
      </c>
      <c r="F2629" s="15">
        <v>14020</v>
      </c>
      <c r="G2629" s="41">
        <v>42788</v>
      </c>
      <c r="H2629" s="15">
        <f t="shared" si="77"/>
        <v>14020</v>
      </c>
      <c r="I2629" s="15">
        <f t="shared" si="76"/>
        <v>0</v>
      </c>
      <c r="J2629" s="19"/>
    </row>
    <row r="2630" spans="1:10" x14ac:dyDescent="0.25">
      <c r="A2630" s="82">
        <v>42788</v>
      </c>
      <c r="B2630" s="39" t="s">
        <v>6919</v>
      </c>
      <c r="C2630" s="89"/>
      <c r="D2630" s="18">
        <v>101965</v>
      </c>
      <c r="E2630" s="2" t="s">
        <v>21</v>
      </c>
      <c r="F2630" s="15">
        <v>43567.6</v>
      </c>
      <c r="G2630" s="41">
        <v>42800</v>
      </c>
      <c r="H2630" s="15">
        <f t="shared" si="77"/>
        <v>43567.6</v>
      </c>
      <c r="I2630" s="15">
        <f t="shared" si="76"/>
        <v>0</v>
      </c>
      <c r="J2630" s="19"/>
    </row>
    <row r="2631" spans="1:10" x14ac:dyDescent="0.25">
      <c r="A2631" s="82">
        <v>42788</v>
      </c>
      <c r="B2631" s="39" t="s">
        <v>6920</v>
      </c>
      <c r="C2631" s="89"/>
      <c r="D2631" s="18">
        <v>101966</v>
      </c>
      <c r="E2631" s="2" t="s">
        <v>231</v>
      </c>
      <c r="F2631" s="15">
        <v>2898</v>
      </c>
      <c r="G2631" s="41">
        <v>42789</v>
      </c>
      <c r="H2631" s="15">
        <f t="shared" si="77"/>
        <v>2898</v>
      </c>
      <c r="I2631" s="15">
        <f t="shared" si="76"/>
        <v>0</v>
      </c>
      <c r="J2631" s="19"/>
    </row>
    <row r="2632" spans="1:10" x14ac:dyDescent="0.25">
      <c r="A2632" s="82">
        <v>42788</v>
      </c>
      <c r="B2632" s="39" t="s">
        <v>6921</v>
      </c>
      <c r="C2632" s="89"/>
      <c r="D2632" s="18">
        <v>101967</v>
      </c>
      <c r="E2632" s="2" t="s">
        <v>6922</v>
      </c>
      <c r="F2632" s="15">
        <v>8668</v>
      </c>
      <c r="G2632" s="41">
        <v>42788</v>
      </c>
      <c r="H2632" s="15">
        <f t="shared" si="77"/>
        <v>8668</v>
      </c>
      <c r="I2632" s="15">
        <f t="shared" si="76"/>
        <v>0</v>
      </c>
      <c r="J2632" s="19"/>
    </row>
    <row r="2633" spans="1:10" x14ac:dyDescent="0.25">
      <c r="A2633" s="82">
        <v>42788</v>
      </c>
      <c r="B2633" s="39" t="s">
        <v>6923</v>
      </c>
      <c r="C2633" s="89"/>
      <c r="D2633" s="18">
        <v>101968</v>
      </c>
      <c r="E2633" s="2" t="s">
        <v>149</v>
      </c>
      <c r="F2633" s="15">
        <v>8833.2000000000007</v>
      </c>
      <c r="G2633" s="41">
        <v>42788</v>
      </c>
      <c r="H2633" s="15">
        <f t="shared" si="77"/>
        <v>8833.2000000000007</v>
      </c>
      <c r="I2633" s="15">
        <f t="shared" si="76"/>
        <v>0</v>
      </c>
      <c r="J2633" s="19"/>
    </row>
    <row r="2634" spans="1:10" x14ac:dyDescent="0.25">
      <c r="A2634" s="82">
        <v>42788</v>
      </c>
      <c r="B2634" s="39" t="s">
        <v>6924</v>
      </c>
      <c r="C2634" s="89"/>
      <c r="D2634" s="18">
        <v>101969</v>
      </c>
      <c r="E2634" s="2" t="s">
        <v>10</v>
      </c>
      <c r="F2634" s="15">
        <v>632.70000000000005</v>
      </c>
      <c r="G2634" s="41">
        <v>42791</v>
      </c>
      <c r="H2634" s="15">
        <f t="shared" si="77"/>
        <v>632.70000000000005</v>
      </c>
      <c r="I2634" s="15">
        <f t="shared" si="76"/>
        <v>0</v>
      </c>
      <c r="J2634" s="19"/>
    </row>
    <row r="2635" spans="1:10" x14ac:dyDescent="0.25">
      <c r="A2635" s="82">
        <v>42788</v>
      </c>
      <c r="B2635" s="39" t="s">
        <v>6925</v>
      </c>
      <c r="C2635" s="89"/>
      <c r="D2635" s="18">
        <v>101970</v>
      </c>
      <c r="E2635" s="13" t="s">
        <v>30</v>
      </c>
      <c r="F2635" s="14">
        <v>0</v>
      </c>
      <c r="G2635" s="88" t="s">
        <v>95</v>
      </c>
      <c r="H2635" s="14">
        <f t="shared" si="77"/>
        <v>0</v>
      </c>
      <c r="I2635" s="14">
        <f t="shared" si="76"/>
        <v>0</v>
      </c>
      <c r="J2635" s="19"/>
    </row>
    <row r="2636" spans="1:10" x14ac:dyDescent="0.25">
      <c r="A2636" s="82">
        <v>42788</v>
      </c>
      <c r="B2636" s="39" t="s">
        <v>6926</v>
      </c>
      <c r="C2636" s="89"/>
      <c r="D2636" s="18">
        <v>101971</v>
      </c>
      <c r="E2636" s="2" t="s">
        <v>457</v>
      </c>
      <c r="F2636" s="15">
        <v>429.6</v>
      </c>
      <c r="G2636" s="41">
        <v>42788</v>
      </c>
      <c r="H2636" s="15">
        <f t="shared" si="77"/>
        <v>429.6</v>
      </c>
      <c r="I2636" s="15">
        <f t="shared" si="76"/>
        <v>0</v>
      </c>
      <c r="J2636" s="19"/>
    </row>
    <row r="2637" spans="1:10" x14ac:dyDescent="0.25">
      <c r="A2637" s="82">
        <v>42788</v>
      </c>
      <c r="B2637" s="39" t="s">
        <v>6927</v>
      </c>
      <c r="C2637" s="89"/>
      <c r="D2637" s="18">
        <v>101972</v>
      </c>
      <c r="E2637" s="2" t="s">
        <v>153</v>
      </c>
      <c r="F2637" s="15">
        <v>12071.2</v>
      </c>
      <c r="G2637" s="41">
        <v>42789</v>
      </c>
      <c r="H2637" s="15">
        <f t="shared" si="77"/>
        <v>12071.2</v>
      </c>
      <c r="I2637" s="15">
        <f t="shared" si="76"/>
        <v>0</v>
      </c>
      <c r="J2637" s="19"/>
    </row>
    <row r="2638" spans="1:10" x14ac:dyDescent="0.25">
      <c r="A2638" s="82">
        <v>42788</v>
      </c>
      <c r="B2638" s="39" t="s">
        <v>6928</v>
      </c>
      <c r="C2638" s="89"/>
      <c r="D2638" s="18">
        <v>101973</v>
      </c>
      <c r="E2638" s="2" t="s">
        <v>268</v>
      </c>
      <c r="F2638" s="15">
        <v>8646.9</v>
      </c>
      <c r="G2638" s="41">
        <v>42790</v>
      </c>
      <c r="H2638" s="15">
        <f t="shared" si="77"/>
        <v>8646.9</v>
      </c>
      <c r="I2638" s="15">
        <f t="shared" si="76"/>
        <v>0</v>
      </c>
      <c r="J2638" s="19"/>
    </row>
    <row r="2639" spans="1:10" x14ac:dyDescent="0.25">
      <c r="A2639" s="82">
        <v>42788</v>
      </c>
      <c r="B2639" s="39" t="s">
        <v>6929</v>
      </c>
      <c r="C2639" s="89"/>
      <c r="D2639" s="18">
        <v>101974</v>
      </c>
      <c r="E2639" s="2" t="s">
        <v>240</v>
      </c>
      <c r="F2639" s="15">
        <v>3573</v>
      </c>
      <c r="G2639" s="41">
        <v>42788</v>
      </c>
      <c r="H2639" s="15">
        <f t="shared" si="77"/>
        <v>3573</v>
      </c>
      <c r="I2639" s="15">
        <f t="shared" si="76"/>
        <v>0</v>
      </c>
      <c r="J2639" s="19"/>
    </row>
    <row r="2640" spans="1:10" x14ac:dyDescent="0.25">
      <c r="A2640" s="82">
        <v>42788</v>
      </c>
      <c r="B2640" s="39" t="s">
        <v>6930</v>
      </c>
      <c r="C2640" s="89"/>
      <c r="D2640" s="18">
        <v>101975</v>
      </c>
      <c r="E2640" s="2" t="s">
        <v>30</v>
      </c>
      <c r="F2640" s="15">
        <v>3009.6</v>
      </c>
      <c r="G2640" s="41">
        <v>42788</v>
      </c>
      <c r="H2640" s="15">
        <f t="shared" si="77"/>
        <v>3009.6</v>
      </c>
      <c r="I2640" s="15">
        <f t="shared" si="76"/>
        <v>0</v>
      </c>
      <c r="J2640" s="19"/>
    </row>
    <row r="2641" spans="1:10" x14ac:dyDescent="0.25">
      <c r="A2641" s="82">
        <v>42788</v>
      </c>
      <c r="B2641" s="39" t="s">
        <v>6931</v>
      </c>
      <c r="C2641" s="89"/>
      <c r="D2641" s="18">
        <v>101976</v>
      </c>
      <c r="E2641" s="13" t="s">
        <v>161</v>
      </c>
      <c r="F2641" s="14">
        <v>0</v>
      </c>
      <c r="G2641" s="88" t="s">
        <v>95</v>
      </c>
      <c r="H2641" s="14">
        <f t="shared" si="77"/>
        <v>0</v>
      </c>
      <c r="I2641" s="14">
        <f t="shared" si="76"/>
        <v>0</v>
      </c>
      <c r="J2641" s="19"/>
    </row>
    <row r="2642" spans="1:10" x14ac:dyDescent="0.25">
      <c r="A2642" s="82">
        <v>42788</v>
      </c>
      <c r="B2642" s="39" t="s">
        <v>6932</v>
      </c>
      <c r="C2642" s="89"/>
      <c r="D2642" s="18">
        <v>101977</v>
      </c>
      <c r="E2642" s="2" t="s">
        <v>161</v>
      </c>
      <c r="F2642" s="15">
        <v>36286.400000000001</v>
      </c>
      <c r="G2642" s="41">
        <v>42804</v>
      </c>
      <c r="H2642" s="15">
        <f t="shared" si="77"/>
        <v>36286.400000000001</v>
      </c>
      <c r="I2642" s="15">
        <f t="shared" si="76"/>
        <v>0</v>
      </c>
      <c r="J2642" s="19"/>
    </row>
    <row r="2643" spans="1:10" x14ac:dyDescent="0.25">
      <c r="A2643" s="82">
        <v>42788</v>
      </c>
      <c r="B2643" s="39" t="s">
        <v>6933</v>
      </c>
      <c r="C2643" s="89"/>
      <c r="D2643" s="18">
        <v>101978</v>
      </c>
      <c r="E2643" s="2" t="s">
        <v>432</v>
      </c>
      <c r="F2643" s="15">
        <v>11025.4</v>
      </c>
      <c r="G2643" s="41">
        <v>42790</v>
      </c>
      <c r="H2643" s="15">
        <f t="shared" si="77"/>
        <v>11025.4</v>
      </c>
      <c r="I2643" s="15">
        <f t="shared" si="76"/>
        <v>0</v>
      </c>
      <c r="J2643" s="19"/>
    </row>
    <row r="2644" spans="1:10" x14ac:dyDescent="0.25">
      <c r="A2644" s="82">
        <v>42788</v>
      </c>
      <c r="B2644" s="39" t="s">
        <v>6934</v>
      </c>
      <c r="C2644" s="89"/>
      <c r="D2644" s="18">
        <v>101979</v>
      </c>
      <c r="E2644" s="2" t="s">
        <v>1666</v>
      </c>
      <c r="F2644" s="15">
        <v>5905.2</v>
      </c>
      <c r="G2644" s="41">
        <v>42790</v>
      </c>
      <c r="H2644" s="15">
        <f t="shared" si="77"/>
        <v>5905.2</v>
      </c>
      <c r="I2644" s="15">
        <f t="shared" si="76"/>
        <v>0</v>
      </c>
      <c r="J2644" s="19"/>
    </row>
    <row r="2645" spans="1:10" x14ac:dyDescent="0.25">
      <c r="A2645" s="82">
        <v>42788</v>
      </c>
      <c r="B2645" s="39" t="s">
        <v>6935</v>
      </c>
      <c r="C2645" s="89"/>
      <c r="D2645" s="18">
        <v>101980</v>
      </c>
      <c r="E2645" s="2" t="s">
        <v>1797</v>
      </c>
      <c r="F2645" s="15">
        <v>21982.7</v>
      </c>
      <c r="G2645" s="41">
        <v>42790</v>
      </c>
      <c r="H2645" s="15">
        <f t="shared" si="77"/>
        <v>21982.7</v>
      </c>
      <c r="I2645" s="15">
        <f t="shared" si="76"/>
        <v>0</v>
      </c>
      <c r="J2645" s="19"/>
    </row>
    <row r="2646" spans="1:10" x14ac:dyDescent="0.25">
      <c r="A2646" s="82">
        <v>42788</v>
      </c>
      <c r="B2646" s="39" t="s">
        <v>6936</v>
      </c>
      <c r="C2646" s="89"/>
      <c r="D2646" s="18">
        <v>101981</v>
      </c>
      <c r="E2646" s="2" t="s">
        <v>274</v>
      </c>
      <c r="F2646" s="15">
        <v>8115.9</v>
      </c>
      <c r="G2646" s="41">
        <v>42790</v>
      </c>
      <c r="H2646" s="15">
        <f t="shared" si="77"/>
        <v>8115.9</v>
      </c>
      <c r="I2646" s="15">
        <f t="shared" si="76"/>
        <v>0</v>
      </c>
      <c r="J2646" s="19"/>
    </row>
    <row r="2647" spans="1:10" x14ac:dyDescent="0.25">
      <c r="A2647" s="82">
        <v>42788</v>
      </c>
      <c r="B2647" s="39" t="s">
        <v>6937</v>
      </c>
      <c r="C2647" s="89"/>
      <c r="D2647" s="18">
        <v>101982</v>
      </c>
      <c r="E2647" s="2" t="s">
        <v>270</v>
      </c>
      <c r="F2647" s="15">
        <v>260.39999999999998</v>
      </c>
      <c r="G2647" s="41">
        <v>42790</v>
      </c>
      <c r="H2647" s="15">
        <f t="shared" si="77"/>
        <v>260.39999999999998</v>
      </c>
      <c r="I2647" s="15">
        <f t="shared" si="76"/>
        <v>0</v>
      </c>
      <c r="J2647" s="19"/>
    </row>
    <row r="2648" spans="1:10" x14ac:dyDescent="0.25">
      <c r="A2648" s="82">
        <v>42788</v>
      </c>
      <c r="B2648" s="39" t="s">
        <v>6938</v>
      </c>
      <c r="C2648" s="89"/>
      <c r="D2648" s="18">
        <v>101983</v>
      </c>
      <c r="E2648" s="13" t="s">
        <v>231</v>
      </c>
      <c r="F2648" s="14">
        <v>0</v>
      </c>
      <c r="G2648" s="88" t="s">
        <v>95</v>
      </c>
      <c r="H2648" s="14">
        <f t="shared" si="77"/>
        <v>0</v>
      </c>
      <c r="I2648" s="14">
        <f t="shared" si="76"/>
        <v>0</v>
      </c>
      <c r="J2648" s="19"/>
    </row>
    <row r="2649" spans="1:10" x14ac:dyDescent="0.25">
      <c r="A2649" s="82">
        <v>42788</v>
      </c>
      <c r="B2649" s="39" t="s">
        <v>6939</v>
      </c>
      <c r="C2649" s="89"/>
      <c r="D2649" s="18">
        <v>101984</v>
      </c>
      <c r="E2649" s="13" t="s">
        <v>51</v>
      </c>
      <c r="F2649" s="14">
        <v>0</v>
      </c>
      <c r="G2649" s="88" t="s">
        <v>95</v>
      </c>
      <c r="H2649" s="14">
        <f t="shared" si="77"/>
        <v>0</v>
      </c>
      <c r="I2649" s="14">
        <f t="shared" si="76"/>
        <v>0</v>
      </c>
      <c r="J2649" s="19"/>
    </row>
    <row r="2650" spans="1:10" x14ac:dyDescent="0.25">
      <c r="A2650" s="82">
        <v>42788</v>
      </c>
      <c r="B2650" s="39" t="s">
        <v>6940</v>
      </c>
      <c r="C2650" s="89"/>
      <c r="D2650" s="18">
        <v>101985</v>
      </c>
      <c r="E2650" s="2" t="s">
        <v>30</v>
      </c>
      <c r="F2650" s="15">
        <v>709.72</v>
      </c>
      <c r="G2650" s="41">
        <v>42788</v>
      </c>
      <c r="H2650" s="15">
        <f t="shared" si="77"/>
        <v>709.72</v>
      </c>
      <c r="I2650" s="15">
        <f t="shared" si="76"/>
        <v>0</v>
      </c>
      <c r="J2650" s="19"/>
    </row>
    <row r="2651" spans="1:10" ht="30" x14ac:dyDescent="0.25">
      <c r="A2651" s="82">
        <v>42788</v>
      </c>
      <c r="B2651" s="39" t="s">
        <v>6941</v>
      </c>
      <c r="C2651" s="89"/>
      <c r="D2651" s="18">
        <v>101986</v>
      </c>
      <c r="E2651" s="2" t="s">
        <v>85</v>
      </c>
      <c r="F2651" s="15">
        <v>22587.200000000001</v>
      </c>
      <c r="G2651" s="87" t="s">
        <v>6942</v>
      </c>
      <c r="H2651" s="20">
        <f>18000+4587.2</f>
        <v>22587.200000000001</v>
      </c>
      <c r="I2651" s="20">
        <f t="shared" si="76"/>
        <v>0</v>
      </c>
      <c r="J2651" s="19"/>
    </row>
    <row r="2652" spans="1:10" x14ac:dyDescent="0.25">
      <c r="A2652" s="82">
        <v>42788</v>
      </c>
      <c r="B2652" s="39" t="s">
        <v>6943</v>
      </c>
      <c r="C2652" s="89"/>
      <c r="D2652" s="18">
        <v>101987</v>
      </c>
      <c r="E2652" s="2" t="s">
        <v>133</v>
      </c>
      <c r="F2652" s="15">
        <v>2565.1999999999998</v>
      </c>
      <c r="G2652" s="41">
        <v>42788</v>
      </c>
      <c r="H2652" s="15">
        <f t="shared" si="77"/>
        <v>2565.1999999999998</v>
      </c>
      <c r="I2652" s="15">
        <f t="shared" si="76"/>
        <v>0</v>
      </c>
      <c r="J2652" s="19"/>
    </row>
    <row r="2653" spans="1:10" x14ac:dyDescent="0.25">
      <c r="A2653" s="82">
        <v>42788</v>
      </c>
      <c r="B2653" s="39" t="s">
        <v>6944</v>
      </c>
      <c r="C2653" s="89"/>
      <c r="D2653" s="18">
        <v>101988</v>
      </c>
      <c r="E2653" s="2" t="s">
        <v>422</v>
      </c>
      <c r="F2653" s="15">
        <v>2600.6</v>
      </c>
      <c r="G2653" s="41">
        <v>42788</v>
      </c>
      <c r="H2653" s="15">
        <f t="shared" si="77"/>
        <v>2600.6</v>
      </c>
      <c r="I2653" s="15">
        <f t="shared" si="76"/>
        <v>0</v>
      </c>
      <c r="J2653" s="19"/>
    </row>
    <row r="2654" spans="1:10" x14ac:dyDescent="0.25">
      <c r="A2654" s="82">
        <v>42788</v>
      </c>
      <c r="B2654" s="39" t="s">
        <v>6945</v>
      </c>
      <c r="C2654" s="89"/>
      <c r="D2654" s="18">
        <v>101989</v>
      </c>
      <c r="E2654" s="2" t="s">
        <v>155</v>
      </c>
      <c r="F2654" s="15">
        <v>33748.9</v>
      </c>
      <c r="G2654" s="41">
        <v>42792</v>
      </c>
      <c r="H2654" s="15">
        <f t="shared" si="77"/>
        <v>33748.9</v>
      </c>
      <c r="I2654" s="15">
        <f t="shared" si="76"/>
        <v>0</v>
      </c>
      <c r="J2654" s="19"/>
    </row>
    <row r="2655" spans="1:10" x14ac:dyDescent="0.25">
      <c r="A2655" s="82">
        <v>42788</v>
      </c>
      <c r="B2655" s="39" t="s">
        <v>6946</v>
      </c>
      <c r="C2655" s="89"/>
      <c r="D2655" s="18">
        <v>101990</v>
      </c>
      <c r="E2655" s="2" t="s">
        <v>302</v>
      </c>
      <c r="F2655" s="15">
        <v>12720.2</v>
      </c>
      <c r="G2655" s="41">
        <v>42788</v>
      </c>
      <c r="H2655" s="15">
        <f t="shared" si="77"/>
        <v>12720.2</v>
      </c>
      <c r="I2655" s="15">
        <f t="shared" si="76"/>
        <v>0</v>
      </c>
      <c r="J2655" s="19"/>
    </row>
    <row r="2656" spans="1:10" x14ac:dyDescent="0.25">
      <c r="A2656" s="82">
        <v>42788</v>
      </c>
      <c r="B2656" s="39" t="s">
        <v>6947</v>
      </c>
      <c r="C2656" s="89"/>
      <c r="D2656" s="18">
        <v>101991</v>
      </c>
      <c r="E2656" s="2" t="s">
        <v>165</v>
      </c>
      <c r="F2656" s="15">
        <v>6023.6</v>
      </c>
      <c r="G2656" s="41">
        <v>42804</v>
      </c>
      <c r="H2656" s="15">
        <f t="shared" si="77"/>
        <v>6023.6</v>
      </c>
      <c r="I2656" s="15">
        <f t="shared" si="76"/>
        <v>0</v>
      </c>
      <c r="J2656" s="19"/>
    </row>
    <row r="2657" spans="1:10" x14ac:dyDescent="0.25">
      <c r="A2657" s="82">
        <v>42788</v>
      </c>
      <c r="B2657" s="39" t="s">
        <v>6948</v>
      </c>
      <c r="C2657" s="89"/>
      <c r="D2657" s="18">
        <v>101992</v>
      </c>
      <c r="E2657" s="2" t="s">
        <v>2986</v>
      </c>
      <c r="F2657" s="15">
        <v>3357.9</v>
      </c>
      <c r="G2657" s="41">
        <v>42789</v>
      </c>
      <c r="H2657" s="15">
        <f t="shared" si="77"/>
        <v>3357.9</v>
      </c>
      <c r="I2657" s="15">
        <f t="shared" si="76"/>
        <v>0</v>
      </c>
      <c r="J2657" s="19"/>
    </row>
    <row r="2658" spans="1:10" x14ac:dyDescent="0.25">
      <c r="A2658" s="82">
        <v>42788</v>
      </c>
      <c r="B2658" s="39" t="s">
        <v>6949</v>
      </c>
      <c r="C2658" s="89"/>
      <c r="D2658" s="18">
        <v>101993</v>
      </c>
      <c r="E2658" s="2" t="s">
        <v>115</v>
      </c>
      <c r="F2658" s="15">
        <v>3643.45</v>
      </c>
      <c r="G2658" s="41">
        <v>42788</v>
      </c>
      <c r="H2658" s="15">
        <f t="shared" si="77"/>
        <v>3643.45</v>
      </c>
      <c r="I2658" s="15">
        <f t="shared" si="76"/>
        <v>0</v>
      </c>
      <c r="J2658" s="19"/>
    </row>
    <row r="2659" spans="1:10" x14ac:dyDescent="0.25">
      <c r="A2659" s="82">
        <v>42788</v>
      </c>
      <c r="B2659" s="39" t="s">
        <v>6950</v>
      </c>
      <c r="C2659" s="89"/>
      <c r="D2659" s="18">
        <v>101994</v>
      </c>
      <c r="E2659" s="2" t="s">
        <v>81</v>
      </c>
      <c r="F2659" s="15">
        <v>6468.4</v>
      </c>
      <c r="G2659" s="41">
        <v>42788</v>
      </c>
      <c r="H2659" s="15">
        <f t="shared" si="77"/>
        <v>6468.4</v>
      </c>
      <c r="I2659" s="15">
        <f t="shared" si="76"/>
        <v>0</v>
      </c>
      <c r="J2659" s="19"/>
    </row>
    <row r="2660" spans="1:10" x14ac:dyDescent="0.25">
      <c r="A2660" s="82">
        <v>42788</v>
      </c>
      <c r="B2660" s="39" t="s">
        <v>6951</v>
      </c>
      <c r="C2660" s="89"/>
      <c r="D2660" s="18">
        <v>101995</v>
      </c>
      <c r="E2660" s="2" t="s">
        <v>281</v>
      </c>
      <c r="F2660" s="15">
        <v>1225</v>
      </c>
      <c r="G2660" s="41">
        <v>42788</v>
      </c>
      <c r="H2660" s="15">
        <f t="shared" si="77"/>
        <v>1225</v>
      </c>
      <c r="I2660" s="15">
        <f t="shared" si="76"/>
        <v>0</v>
      </c>
      <c r="J2660" s="19"/>
    </row>
    <row r="2661" spans="1:10" x14ac:dyDescent="0.25">
      <c r="A2661" s="82">
        <v>42788</v>
      </c>
      <c r="B2661" s="39" t="s">
        <v>6952</v>
      </c>
      <c r="C2661" s="89"/>
      <c r="D2661" s="18">
        <v>101996</v>
      </c>
      <c r="E2661" s="2" t="s">
        <v>492</v>
      </c>
      <c r="F2661" s="15">
        <v>16851.599999999999</v>
      </c>
      <c r="G2661" s="41">
        <v>42793</v>
      </c>
      <c r="H2661" s="15">
        <f t="shared" si="77"/>
        <v>16851.599999999999</v>
      </c>
      <c r="I2661" s="15">
        <f t="shared" si="76"/>
        <v>0</v>
      </c>
      <c r="J2661" s="19"/>
    </row>
    <row r="2662" spans="1:10" x14ac:dyDescent="0.25">
      <c r="A2662" s="82">
        <v>42788</v>
      </c>
      <c r="B2662" s="39" t="s">
        <v>6953</v>
      </c>
      <c r="C2662" s="89"/>
      <c r="D2662" s="18">
        <v>101997</v>
      </c>
      <c r="E2662" s="2" t="s">
        <v>99</v>
      </c>
      <c r="F2662" s="15">
        <v>1960</v>
      </c>
      <c r="G2662" s="41">
        <v>42788</v>
      </c>
      <c r="H2662" s="15">
        <f t="shared" si="77"/>
        <v>1960</v>
      </c>
      <c r="I2662" s="15">
        <f t="shared" si="76"/>
        <v>0</v>
      </c>
      <c r="J2662" s="19"/>
    </row>
    <row r="2663" spans="1:10" x14ac:dyDescent="0.25">
      <c r="A2663" s="82">
        <v>42788</v>
      </c>
      <c r="B2663" s="39" t="s">
        <v>6954</v>
      </c>
      <c r="C2663" s="89"/>
      <c r="D2663" s="18">
        <v>101998</v>
      </c>
      <c r="E2663" s="2" t="s">
        <v>293</v>
      </c>
      <c r="F2663" s="15">
        <v>1274.9000000000001</v>
      </c>
      <c r="G2663" s="41">
        <v>42791</v>
      </c>
      <c r="H2663" s="15">
        <f t="shared" si="77"/>
        <v>1274.9000000000001</v>
      </c>
      <c r="I2663" s="15">
        <f t="shared" si="76"/>
        <v>0</v>
      </c>
      <c r="J2663" s="19"/>
    </row>
    <row r="2664" spans="1:10" x14ac:dyDescent="0.25">
      <c r="A2664" s="82">
        <v>42788</v>
      </c>
      <c r="B2664" s="39" t="s">
        <v>6955</v>
      </c>
      <c r="C2664" s="89"/>
      <c r="D2664" s="18">
        <v>101999</v>
      </c>
      <c r="E2664" s="2" t="s">
        <v>291</v>
      </c>
      <c r="F2664" s="15">
        <v>6406.8</v>
      </c>
      <c r="G2664" s="41">
        <v>42788</v>
      </c>
      <c r="H2664" s="15">
        <f t="shared" si="77"/>
        <v>6406.8</v>
      </c>
      <c r="I2664" s="15">
        <f t="shared" si="76"/>
        <v>0</v>
      </c>
      <c r="J2664" s="19"/>
    </row>
    <row r="2665" spans="1:10" x14ac:dyDescent="0.25">
      <c r="A2665" s="82">
        <v>42788</v>
      </c>
      <c r="B2665" s="39" t="s">
        <v>6956</v>
      </c>
      <c r="C2665" s="89"/>
      <c r="D2665" s="18">
        <v>102000</v>
      </c>
      <c r="E2665" s="2" t="s">
        <v>103</v>
      </c>
      <c r="F2665" s="15">
        <v>3248.8</v>
      </c>
      <c r="G2665" s="41">
        <v>42789</v>
      </c>
      <c r="H2665" s="15">
        <f t="shared" si="77"/>
        <v>3248.8</v>
      </c>
      <c r="I2665" s="15">
        <f t="shared" si="76"/>
        <v>0</v>
      </c>
      <c r="J2665" s="19"/>
    </row>
    <row r="2666" spans="1:10" x14ac:dyDescent="0.25">
      <c r="A2666" s="82">
        <v>42788</v>
      </c>
      <c r="B2666" s="39" t="s">
        <v>6957</v>
      </c>
      <c r="C2666" s="89"/>
      <c r="D2666" s="18">
        <v>102001</v>
      </c>
      <c r="E2666" s="2" t="s">
        <v>105</v>
      </c>
      <c r="F2666" s="15">
        <v>902.4</v>
      </c>
      <c r="G2666" s="41">
        <v>42789</v>
      </c>
      <c r="H2666" s="15">
        <f t="shared" si="77"/>
        <v>902.4</v>
      </c>
      <c r="I2666" s="15">
        <f t="shared" si="76"/>
        <v>0</v>
      </c>
      <c r="J2666" s="19"/>
    </row>
    <row r="2667" spans="1:10" x14ac:dyDescent="0.25">
      <c r="A2667" s="82">
        <v>42788</v>
      </c>
      <c r="B2667" s="39" t="s">
        <v>6958</v>
      </c>
      <c r="C2667" s="89"/>
      <c r="D2667" s="18">
        <v>102002</v>
      </c>
      <c r="E2667" s="2" t="s">
        <v>476</v>
      </c>
      <c r="F2667" s="15">
        <v>10217.4</v>
      </c>
      <c r="G2667" s="41">
        <v>42790</v>
      </c>
      <c r="H2667" s="15">
        <f t="shared" si="77"/>
        <v>10217.4</v>
      </c>
      <c r="I2667" s="15">
        <f t="shared" si="76"/>
        <v>0</v>
      </c>
      <c r="J2667" s="19"/>
    </row>
    <row r="2668" spans="1:10" x14ac:dyDescent="0.25">
      <c r="A2668" s="82">
        <v>42788</v>
      </c>
      <c r="B2668" s="39" t="s">
        <v>6959</v>
      </c>
      <c r="C2668" s="89"/>
      <c r="D2668" s="18">
        <v>102003</v>
      </c>
      <c r="E2668" s="2" t="s">
        <v>305</v>
      </c>
      <c r="F2668" s="15">
        <v>3199.4</v>
      </c>
      <c r="G2668" s="41">
        <v>42790</v>
      </c>
      <c r="H2668" s="15">
        <f t="shared" si="77"/>
        <v>3199.4</v>
      </c>
      <c r="I2668" s="15">
        <f t="shared" si="76"/>
        <v>0</v>
      </c>
      <c r="J2668" s="19"/>
    </row>
    <row r="2669" spans="1:10" x14ac:dyDescent="0.25">
      <c r="A2669" s="82">
        <v>42788</v>
      </c>
      <c r="B2669" s="39" t="s">
        <v>6960</v>
      </c>
      <c r="C2669" s="89"/>
      <c r="D2669" s="18">
        <v>102004</v>
      </c>
      <c r="E2669" s="2" t="s">
        <v>472</v>
      </c>
      <c r="F2669" s="15">
        <v>462.4</v>
      </c>
      <c r="H2669" s="15">
        <f t="shared" si="77"/>
        <v>462.4</v>
      </c>
      <c r="I2669" s="15">
        <f t="shared" si="76"/>
        <v>0</v>
      </c>
      <c r="J2669" s="19"/>
    </row>
    <row r="2670" spans="1:10" x14ac:dyDescent="0.25">
      <c r="A2670" s="82">
        <v>42788</v>
      </c>
      <c r="B2670" s="39" t="s">
        <v>6961</v>
      </c>
      <c r="C2670" s="89"/>
      <c r="D2670" s="18">
        <v>102005</v>
      </c>
      <c r="E2670" s="2" t="s">
        <v>83</v>
      </c>
      <c r="F2670" s="15">
        <v>7358.5</v>
      </c>
      <c r="G2670" s="41">
        <v>42788</v>
      </c>
      <c r="H2670" s="15">
        <f t="shared" si="77"/>
        <v>7358.5</v>
      </c>
      <c r="I2670" s="15">
        <f t="shared" si="76"/>
        <v>0</v>
      </c>
      <c r="J2670" s="19"/>
    </row>
    <row r="2671" spans="1:10" x14ac:dyDescent="0.25">
      <c r="A2671" s="82">
        <v>42788</v>
      </c>
      <c r="B2671" s="39" t="s">
        <v>6962</v>
      </c>
      <c r="C2671" s="89"/>
      <c r="D2671" s="18">
        <v>102006</v>
      </c>
      <c r="E2671" s="2" t="s">
        <v>472</v>
      </c>
      <c r="F2671" s="15">
        <v>4035.44</v>
      </c>
      <c r="H2671" s="15">
        <f t="shared" si="77"/>
        <v>4035.44</v>
      </c>
      <c r="I2671" s="15">
        <f t="shared" si="76"/>
        <v>0</v>
      </c>
      <c r="J2671" s="19"/>
    </row>
    <row r="2672" spans="1:10" x14ac:dyDescent="0.25">
      <c r="A2672" s="82">
        <v>42788</v>
      </c>
      <c r="B2672" s="39" t="s">
        <v>6963</v>
      </c>
      <c r="C2672" s="89"/>
      <c r="D2672" s="18">
        <v>102007</v>
      </c>
      <c r="E2672" s="2" t="s">
        <v>838</v>
      </c>
      <c r="F2672" s="15">
        <v>1908.4</v>
      </c>
      <c r="G2672" s="41">
        <v>42788</v>
      </c>
      <c r="H2672" s="15">
        <f t="shared" si="77"/>
        <v>1908.4</v>
      </c>
      <c r="I2672" s="15">
        <f t="shared" si="76"/>
        <v>0</v>
      </c>
      <c r="J2672" s="19"/>
    </row>
    <row r="2673" spans="1:10" x14ac:dyDescent="0.25">
      <c r="A2673" s="82">
        <v>42788</v>
      </c>
      <c r="B2673" s="39" t="s">
        <v>6964</v>
      </c>
      <c r="C2673" s="89"/>
      <c r="D2673" s="18">
        <v>102008</v>
      </c>
      <c r="E2673" s="2" t="s">
        <v>472</v>
      </c>
      <c r="F2673" s="15">
        <v>1855.28</v>
      </c>
      <c r="G2673" s="41">
        <v>42790</v>
      </c>
      <c r="H2673" s="15">
        <f t="shared" si="77"/>
        <v>1855.28</v>
      </c>
      <c r="I2673" s="15">
        <f t="shared" si="76"/>
        <v>0</v>
      </c>
      <c r="J2673" s="19"/>
    </row>
    <row r="2674" spans="1:10" x14ac:dyDescent="0.25">
      <c r="A2674" s="82">
        <v>42788</v>
      </c>
      <c r="B2674" s="39" t="s">
        <v>6965</v>
      </c>
      <c r="C2674" s="89"/>
      <c r="D2674" s="18">
        <v>102009</v>
      </c>
      <c r="E2674" s="2" t="s">
        <v>1081</v>
      </c>
      <c r="F2674" s="15">
        <v>538.20000000000005</v>
      </c>
      <c r="G2674" s="41">
        <v>42788</v>
      </c>
      <c r="H2674" s="15">
        <f t="shared" si="77"/>
        <v>538.20000000000005</v>
      </c>
      <c r="I2674" s="15">
        <f t="shared" si="76"/>
        <v>0</v>
      </c>
      <c r="J2674" s="19"/>
    </row>
    <row r="2675" spans="1:10" x14ac:dyDescent="0.25">
      <c r="A2675" s="82">
        <v>42788</v>
      </c>
      <c r="B2675" s="39" t="s">
        <v>6966</v>
      </c>
      <c r="C2675" s="89"/>
      <c r="D2675" s="18">
        <v>102010</v>
      </c>
      <c r="E2675" s="2" t="s">
        <v>1259</v>
      </c>
      <c r="F2675" s="15">
        <v>1481.2</v>
      </c>
      <c r="G2675" s="41">
        <v>42788</v>
      </c>
      <c r="H2675" s="15">
        <f t="shared" si="77"/>
        <v>1481.2</v>
      </c>
      <c r="I2675" s="15">
        <f t="shared" si="76"/>
        <v>0</v>
      </c>
      <c r="J2675" s="19"/>
    </row>
    <row r="2676" spans="1:10" x14ac:dyDescent="0.25">
      <c r="A2676" s="82">
        <v>42788</v>
      </c>
      <c r="B2676" s="39" t="s">
        <v>6967</v>
      </c>
      <c r="C2676" s="89"/>
      <c r="D2676" s="18">
        <v>102011</v>
      </c>
      <c r="E2676" s="2" t="s">
        <v>88</v>
      </c>
      <c r="F2676" s="15">
        <v>5313</v>
      </c>
      <c r="G2676" s="41">
        <v>42788</v>
      </c>
      <c r="H2676" s="15">
        <f t="shared" si="77"/>
        <v>5313</v>
      </c>
      <c r="I2676" s="15">
        <f t="shared" si="76"/>
        <v>0</v>
      </c>
      <c r="J2676" s="19"/>
    </row>
    <row r="2677" spans="1:10" x14ac:dyDescent="0.25">
      <c r="A2677" s="82">
        <v>42788</v>
      </c>
      <c r="B2677" s="39" t="s">
        <v>6968</v>
      </c>
      <c r="C2677" s="89"/>
      <c r="D2677" s="18">
        <v>102012</v>
      </c>
      <c r="E2677" s="2" t="s">
        <v>450</v>
      </c>
      <c r="F2677" s="15">
        <v>1892.8</v>
      </c>
      <c r="G2677" s="41">
        <v>42788</v>
      </c>
      <c r="H2677" s="15">
        <f t="shared" si="77"/>
        <v>1892.8</v>
      </c>
      <c r="I2677" s="15">
        <f t="shared" si="76"/>
        <v>0</v>
      </c>
      <c r="J2677" s="19"/>
    </row>
    <row r="2678" spans="1:10" x14ac:dyDescent="0.25">
      <c r="A2678" s="82">
        <v>42788</v>
      </c>
      <c r="B2678" s="39" t="s">
        <v>6969</v>
      </c>
      <c r="C2678" s="89"/>
      <c r="D2678" s="18">
        <v>102013</v>
      </c>
      <c r="E2678" s="2" t="s">
        <v>630</v>
      </c>
      <c r="F2678" s="15">
        <v>3951.72</v>
      </c>
      <c r="G2678" s="41">
        <v>42789</v>
      </c>
      <c r="H2678" s="15">
        <f t="shared" si="77"/>
        <v>3951.72</v>
      </c>
      <c r="I2678" s="15">
        <f t="shared" si="76"/>
        <v>0</v>
      </c>
      <c r="J2678" s="19"/>
    </row>
    <row r="2679" spans="1:10" x14ac:dyDescent="0.25">
      <c r="A2679" s="82">
        <v>42788</v>
      </c>
      <c r="B2679" s="39" t="s">
        <v>6970</v>
      </c>
      <c r="C2679" s="89"/>
      <c r="D2679" s="18">
        <v>102014</v>
      </c>
      <c r="E2679" s="2" t="s">
        <v>6971</v>
      </c>
      <c r="F2679" s="15">
        <v>580.5</v>
      </c>
      <c r="G2679" s="41">
        <v>42788</v>
      </c>
      <c r="H2679" s="15">
        <f t="shared" si="77"/>
        <v>580.5</v>
      </c>
      <c r="I2679" s="15">
        <f t="shared" si="76"/>
        <v>0</v>
      </c>
      <c r="J2679" s="19"/>
    </row>
    <row r="2680" spans="1:10" x14ac:dyDescent="0.25">
      <c r="A2680" s="82">
        <v>42788</v>
      </c>
      <c r="B2680" s="39" t="s">
        <v>6972</v>
      </c>
      <c r="C2680" s="89"/>
      <c r="D2680" s="18">
        <v>102015</v>
      </c>
      <c r="E2680" s="2" t="s">
        <v>45</v>
      </c>
      <c r="F2680" s="15">
        <v>4214.2</v>
      </c>
      <c r="G2680" s="41">
        <v>42789</v>
      </c>
      <c r="H2680" s="15">
        <f t="shared" si="77"/>
        <v>4214.2</v>
      </c>
      <c r="I2680" s="15">
        <f t="shared" ref="I2680:I2743" si="78">F2680-H2680</f>
        <v>0</v>
      </c>
      <c r="J2680" s="19"/>
    </row>
    <row r="2681" spans="1:10" x14ac:dyDescent="0.25">
      <c r="A2681" s="82">
        <v>42788</v>
      </c>
      <c r="B2681" s="39" t="s">
        <v>6973</v>
      </c>
      <c r="C2681" s="89"/>
      <c r="D2681" s="18">
        <v>102016</v>
      </c>
      <c r="E2681" s="2" t="s">
        <v>85</v>
      </c>
      <c r="F2681" s="15">
        <v>6426</v>
      </c>
      <c r="G2681" s="41">
        <v>42789</v>
      </c>
      <c r="H2681" s="15">
        <f t="shared" si="77"/>
        <v>6426</v>
      </c>
      <c r="I2681" s="15">
        <f t="shared" si="78"/>
        <v>0</v>
      </c>
      <c r="J2681" s="19"/>
    </row>
    <row r="2682" spans="1:10" x14ac:dyDescent="0.25">
      <c r="A2682" s="82">
        <v>42788</v>
      </c>
      <c r="B2682" s="39" t="s">
        <v>6974</v>
      </c>
      <c r="C2682" s="89"/>
      <c r="D2682" s="18">
        <v>102017</v>
      </c>
      <c r="E2682" s="2" t="s">
        <v>3997</v>
      </c>
      <c r="F2682" s="15">
        <v>4420.1000000000004</v>
      </c>
      <c r="G2682" s="41">
        <v>42790</v>
      </c>
      <c r="H2682" s="15">
        <f t="shared" si="77"/>
        <v>4420.1000000000004</v>
      </c>
      <c r="I2682" s="15">
        <f t="shared" si="78"/>
        <v>0</v>
      </c>
      <c r="J2682" s="19"/>
    </row>
    <row r="2683" spans="1:10" x14ac:dyDescent="0.25">
      <c r="A2683" s="82">
        <v>42788</v>
      </c>
      <c r="B2683" s="39" t="s">
        <v>6975</v>
      </c>
      <c r="C2683" s="89"/>
      <c r="D2683" s="18">
        <v>102018</v>
      </c>
      <c r="E2683" s="2" t="s">
        <v>2240</v>
      </c>
      <c r="F2683" s="15">
        <v>10370.299999999999</v>
      </c>
      <c r="G2683" s="41">
        <v>42788</v>
      </c>
      <c r="H2683" s="15">
        <f t="shared" si="77"/>
        <v>10370.299999999999</v>
      </c>
      <c r="I2683" s="15">
        <f t="shared" si="78"/>
        <v>0</v>
      </c>
      <c r="J2683" s="19"/>
    </row>
    <row r="2684" spans="1:10" x14ac:dyDescent="0.25">
      <c r="A2684" s="82">
        <v>42788</v>
      </c>
      <c r="B2684" s="39" t="s">
        <v>6976</v>
      </c>
      <c r="C2684" s="89"/>
      <c r="D2684" s="18">
        <v>102019</v>
      </c>
      <c r="E2684" s="2" t="s">
        <v>184</v>
      </c>
      <c r="F2684" s="15">
        <v>1876.7</v>
      </c>
      <c r="G2684" s="41">
        <v>42789</v>
      </c>
      <c r="H2684" s="15">
        <f t="shared" si="77"/>
        <v>1876.7</v>
      </c>
      <c r="I2684" s="15">
        <f t="shared" si="78"/>
        <v>0</v>
      </c>
      <c r="J2684" s="19"/>
    </row>
    <row r="2685" spans="1:10" x14ac:dyDescent="0.25">
      <c r="A2685" s="82">
        <v>42788</v>
      </c>
      <c r="B2685" s="39" t="s">
        <v>6977</v>
      </c>
      <c r="C2685" s="89"/>
      <c r="D2685" s="18">
        <v>102020</v>
      </c>
      <c r="E2685" s="2" t="s">
        <v>57</v>
      </c>
      <c r="F2685" s="15">
        <v>552</v>
      </c>
      <c r="G2685" s="41">
        <v>42789</v>
      </c>
      <c r="H2685" s="15">
        <f t="shared" si="77"/>
        <v>552</v>
      </c>
      <c r="I2685" s="15">
        <f t="shared" si="78"/>
        <v>0</v>
      </c>
      <c r="J2685" s="19"/>
    </row>
    <row r="2686" spans="1:10" x14ac:dyDescent="0.25">
      <c r="A2686" s="82">
        <v>42788</v>
      </c>
      <c r="B2686" s="39" t="s">
        <v>6978</v>
      </c>
      <c r="C2686" s="89"/>
      <c r="D2686" s="18">
        <v>102021</v>
      </c>
      <c r="E2686" s="2" t="s">
        <v>53</v>
      </c>
      <c r="F2686" s="15">
        <v>2380.5</v>
      </c>
      <c r="G2686" s="41">
        <v>42789</v>
      </c>
      <c r="H2686" s="15">
        <f t="shared" si="77"/>
        <v>2380.5</v>
      </c>
      <c r="I2686" s="15">
        <f t="shared" si="78"/>
        <v>0</v>
      </c>
      <c r="J2686" s="19"/>
    </row>
    <row r="2687" spans="1:10" x14ac:dyDescent="0.25">
      <c r="A2687" s="82">
        <v>42788</v>
      </c>
      <c r="B2687" s="39" t="s">
        <v>6979</v>
      </c>
      <c r="C2687" s="89"/>
      <c r="D2687" s="18">
        <v>102022</v>
      </c>
      <c r="E2687" s="2" t="s">
        <v>63</v>
      </c>
      <c r="F2687" s="15">
        <v>140.6</v>
      </c>
      <c r="G2687" s="41">
        <v>42789</v>
      </c>
      <c r="H2687" s="15">
        <f t="shared" si="77"/>
        <v>140.6</v>
      </c>
      <c r="I2687" s="15">
        <f t="shared" si="78"/>
        <v>0</v>
      </c>
      <c r="J2687" s="19"/>
    </row>
    <row r="2688" spans="1:10" x14ac:dyDescent="0.25">
      <c r="A2688" s="82">
        <v>42788</v>
      </c>
      <c r="B2688" s="39" t="s">
        <v>6980</v>
      </c>
      <c r="C2688" s="89"/>
      <c r="D2688" s="18">
        <v>102023</v>
      </c>
      <c r="E2688" s="2" t="s">
        <v>186</v>
      </c>
      <c r="F2688" s="15">
        <v>444.4</v>
      </c>
      <c r="G2688" s="41">
        <v>42789</v>
      </c>
      <c r="H2688" s="15">
        <f t="shared" si="77"/>
        <v>444.4</v>
      </c>
      <c r="I2688" s="15">
        <f t="shared" si="78"/>
        <v>0</v>
      </c>
      <c r="J2688" s="19"/>
    </row>
    <row r="2689" spans="1:10" x14ac:dyDescent="0.25">
      <c r="A2689" s="82">
        <v>42788</v>
      </c>
      <c r="B2689" s="39" t="s">
        <v>6981</v>
      </c>
      <c r="C2689" s="89"/>
      <c r="D2689" s="18">
        <v>102024</v>
      </c>
      <c r="E2689" s="2" t="s">
        <v>2545</v>
      </c>
      <c r="F2689" s="15">
        <v>3024</v>
      </c>
      <c r="G2689" s="41">
        <v>42789</v>
      </c>
      <c r="H2689" s="15">
        <f t="shared" si="77"/>
        <v>3024</v>
      </c>
      <c r="I2689" s="15">
        <f t="shared" si="78"/>
        <v>0</v>
      </c>
      <c r="J2689" s="19"/>
    </row>
    <row r="2690" spans="1:10" x14ac:dyDescent="0.25">
      <c r="A2690" s="82">
        <v>42788</v>
      </c>
      <c r="B2690" s="39" t="s">
        <v>6982</v>
      </c>
      <c r="C2690" s="89"/>
      <c r="D2690" s="18">
        <v>102025</v>
      </c>
      <c r="E2690" s="2" t="s">
        <v>145</v>
      </c>
      <c r="F2690" s="15">
        <v>25166.400000000001</v>
      </c>
      <c r="G2690" s="41">
        <v>42789</v>
      </c>
      <c r="H2690" s="15">
        <f t="shared" si="77"/>
        <v>25166.400000000001</v>
      </c>
      <c r="I2690" s="15">
        <f t="shared" si="78"/>
        <v>0</v>
      </c>
      <c r="J2690" s="19"/>
    </row>
    <row r="2691" spans="1:10" x14ac:dyDescent="0.25">
      <c r="A2691" s="82">
        <v>42788</v>
      </c>
      <c r="B2691" s="39" t="s">
        <v>6983</v>
      </c>
      <c r="C2691" s="89"/>
      <c r="D2691" s="18">
        <v>102026</v>
      </c>
      <c r="E2691" s="2" t="s">
        <v>157</v>
      </c>
      <c r="F2691" s="15">
        <v>13195.5</v>
      </c>
      <c r="G2691" s="41">
        <v>42788</v>
      </c>
      <c r="H2691" s="15">
        <f t="shared" si="77"/>
        <v>13195.5</v>
      </c>
      <c r="I2691" s="15">
        <f t="shared" si="78"/>
        <v>0</v>
      </c>
      <c r="J2691" s="19"/>
    </row>
    <row r="2692" spans="1:10" x14ac:dyDescent="0.25">
      <c r="A2692" s="82">
        <v>42788</v>
      </c>
      <c r="B2692" s="39" t="s">
        <v>6984</v>
      </c>
      <c r="C2692" s="89"/>
      <c r="D2692" s="18">
        <v>102027</v>
      </c>
      <c r="E2692" s="2" t="s">
        <v>163</v>
      </c>
      <c r="F2692" s="15">
        <v>8037.4</v>
      </c>
      <c r="G2692" s="41">
        <v>42804</v>
      </c>
      <c r="H2692" s="15">
        <f t="shared" ref="H2692:H2755" si="79">F2692</f>
        <v>8037.4</v>
      </c>
      <c r="I2692" s="15">
        <f t="shared" si="78"/>
        <v>0</v>
      </c>
      <c r="J2692" s="19"/>
    </row>
    <row r="2693" spans="1:10" x14ac:dyDescent="0.25">
      <c r="A2693" s="82">
        <v>42788</v>
      </c>
      <c r="B2693" s="39" t="s">
        <v>6985</v>
      </c>
      <c r="C2693" s="89"/>
      <c r="D2693" s="18">
        <v>102028</v>
      </c>
      <c r="E2693" s="2" t="s">
        <v>172</v>
      </c>
      <c r="F2693" s="15">
        <v>22522.6</v>
      </c>
      <c r="G2693" s="41">
        <v>42804</v>
      </c>
      <c r="H2693" s="15">
        <f t="shared" si="79"/>
        <v>22522.6</v>
      </c>
      <c r="I2693" s="15">
        <f t="shared" si="78"/>
        <v>0</v>
      </c>
      <c r="J2693" s="19"/>
    </row>
    <row r="2694" spans="1:10" x14ac:dyDescent="0.25">
      <c r="A2694" s="82">
        <v>42788</v>
      </c>
      <c r="B2694" s="39" t="s">
        <v>6986</v>
      </c>
      <c r="C2694" s="89"/>
      <c r="D2694" s="18">
        <v>102029</v>
      </c>
      <c r="E2694" s="2" t="s">
        <v>79</v>
      </c>
      <c r="F2694" s="15">
        <v>4822.3</v>
      </c>
      <c r="G2694" s="41">
        <v>42788</v>
      </c>
      <c r="H2694" s="15">
        <f t="shared" si="79"/>
        <v>4822.3</v>
      </c>
      <c r="I2694" s="15">
        <f t="shared" si="78"/>
        <v>0</v>
      </c>
      <c r="J2694" s="19"/>
    </row>
    <row r="2695" spans="1:10" x14ac:dyDescent="0.25">
      <c r="A2695" s="82">
        <v>42788</v>
      </c>
      <c r="B2695" s="39" t="s">
        <v>6987</v>
      </c>
      <c r="C2695" s="89"/>
      <c r="D2695" s="18">
        <v>102030</v>
      </c>
      <c r="E2695" s="2" t="s">
        <v>10</v>
      </c>
      <c r="F2695" s="15">
        <v>21468.799999999999</v>
      </c>
      <c r="G2695" s="41">
        <v>42791</v>
      </c>
      <c r="H2695" s="15">
        <f t="shared" si="79"/>
        <v>21468.799999999999</v>
      </c>
      <c r="I2695" s="15">
        <f t="shared" si="78"/>
        <v>0</v>
      </c>
      <c r="J2695" s="19"/>
    </row>
    <row r="2696" spans="1:10" x14ac:dyDescent="0.25">
      <c r="A2696" s="82">
        <v>42788</v>
      </c>
      <c r="B2696" s="39" t="s">
        <v>6988</v>
      </c>
      <c r="C2696" s="89"/>
      <c r="D2696" s="18">
        <v>102031</v>
      </c>
      <c r="E2696" s="2" t="s">
        <v>21</v>
      </c>
      <c r="F2696" s="15">
        <v>790.8</v>
      </c>
      <c r="G2696" s="41">
        <v>42800</v>
      </c>
      <c r="H2696" s="15">
        <f t="shared" si="79"/>
        <v>790.8</v>
      </c>
      <c r="I2696" s="15">
        <f t="shared" si="78"/>
        <v>0</v>
      </c>
      <c r="J2696" s="19"/>
    </row>
    <row r="2697" spans="1:10" x14ac:dyDescent="0.25">
      <c r="A2697" s="82">
        <v>42788</v>
      </c>
      <c r="B2697" s="39" t="s">
        <v>6989</v>
      </c>
      <c r="C2697" s="89"/>
      <c r="D2697" s="18">
        <v>102032</v>
      </c>
      <c r="E2697" s="2" t="s">
        <v>298</v>
      </c>
      <c r="F2697" s="15">
        <v>3341.7</v>
      </c>
      <c r="G2697" s="41">
        <v>42788</v>
      </c>
      <c r="H2697" s="15">
        <f t="shared" si="79"/>
        <v>3341.7</v>
      </c>
      <c r="I2697" s="15">
        <f t="shared" si="78"/>
        <v>0</v>
      </c>
      <c r="J2697" s="19"/>
    </row>
    <row r="2698" spans="1:10" x14ac:dyDescent="0.25">
      <c r="A2698" s="82">
        <v>42788</v>
      </c>
      <c r="B2698" s="39" t="s">
        <v>6990</v>
      </c>
      <c r="C2698" s="89"/>
      <c r="D2698" s="18">
        <v>102033</v>
      </c>
      <c r="E2698" s="2" t="s">
        <v>785</v>
      </c>
      <c r="F2698" s="15">
        <v>2658.68</v>
      </c>
      <c r="G2698" s="41">
        <v>42788</v>
      </c>
      <c r="H2698" s="15">
        <f t="shared" si="79"/>
        <v>2658.68</v>
      </c>
      <c r="I2698" s="15">
        <f t="shared" si="78"/>
        <v>0</v>
      </c>
      <c r="J2698" s="19"/>
    </row>
    <row r="2699" spans="1:10" x14ac:dyDescent="0.25">
      <c r="A2699" s="82">
        <v>42788</v>
      </c>
      <c r="B2699" s="39" t="s">
        <v>6991</v>
      </c>
      <c r="C2699" s="89"/>
      <c r="D2699" s="18">
        <v>102034</v>
      </c>
      <c r="E2699" s="2" t="s">
        <v>125</v>
      </c>
      <c r="F2699" s="15">
        <v>5481</v>
      </c>
      <c r="G2699" s="41">
        <v>42788</v>
      </c>
      <c r="H2699" s="15">
        <f t="shared" si="79"/>
        <v>5481</v>
      </c>
      <c r="I2699" s="15">
        <f t="shared" si="78"/>
        <v>0</v>
      </c>
      <c r="J2699" s="19"/>
    </row>
    <row r="2700" spans="1:10" x14ac:dyDescent="0.25">
      <c r="A2700" s="82">
        <v>42788</v>
      </c>
      <c r="B2700" s="39" t="s">
        <v>6992</v>
      </c>
      <c r="C2700" s="89"/>
      <c r="D2700" s="18">
        <v>102035</v>
      </c>
      <c r="E2700" s="2" t="s">
        <v>879</v>
      </c>
      <c r="F2700" s="15">
        <v>820.8</v>
      </c>
      <c r="G2700" s="41">
        <v>42788</v>
      </c>
      <c r="H2700" s="15">
        <f t="shared" si="79"/>
        <v>820.8</v>
      </c>
      <c r="I2700" s="15">
        <f t="shared" si="78"/>
        <v>0</v>
      </c>
      <c r="J2700" s="19"/>
    </row>
    <row r="2701" spans="1:10" x14ac:dyDescent="0.25">
      <c r="A2701" s="82">
        <v>42788</v>
      </c>
      <c r="B2701" s="39" t="s">
        <v>6993</v>
      </c>
      <c r="C2701" s="89"/>
      <c r="D2701" s="18">
        <v>102036</v>
      </c>
      <c r="E2701" s="2" t="s">
        <v>3360</v>
      </c>
      <c r="F2701" s="15">
        <v>1603.2</v>
      </c>
      <c r="G2701" s="41">
        <v>42788</v>
      </c>
      <c r="H2701" s="15">
        <f t="shared" si="79"/>
        <v>1603.2</v>
      </c>
      <c r="I2701" s="15">
        <f t="shared" si="78"/>
        <v>0</v>
      </c>
      <c r="J2701" s="19"/>
    </row>
    <row r="2702" spans="1:10" x14ac:dyDescent="0.25">
      <c r="A2702" s="82">
        <v>42788</v>
      </c>
      <c r="B2702" s="39" t="s">
        <v>6994</v>
      </c>
      <c r="C2702" s="89"/>
      <c r="D2702" s="18">
        <v>102037</v>
      </c>
      <c r="E2702" s="2" t="s">
        <v>428</v>
      </c>
      <c r="F2702" s="15">
        <v>420</v>
      </c>
      <c r="G2702" s="41">
        <v>42791</v>
      </c>
      <c r="H2702" s="15">
        <f t="shared" si="79"/>
        <v>420</v>
      </c>
      <c r="I2702" s="15">
        <f t="shared" si="78"/>
        <v>0</v>
      </c>
      <c r="J2702" s="19"/>
    </row>
    <row r="2703" spans="1:10" x14ac:dyDescent="0.25">
      <c r="A2703" s="82">
        <v>42788</v>
      </c>
      <c r="B2703" s="39" t="s">
        <v>6995</v>
      </c>
      <c r="C2703" s="89"/>
      <c r="D2703" s="18">
        <v>102038</v>
      </c>
      <c r="E2703" s="2" t="s">
        <v>693</v>
      </c>
      <c r="F2703" s="15">
        <v>40948</v>
      </c>
      <c r="G2703" s="41">
        <v>42802</v>
      </c>
      <c r="H2703" s="15">
        <f t="shared" si="79"/>
        <v>40948</v>
      </c>
      <c r="I2703" s="15">
        <f t="shared" si="78"/>
        <v>0</v>
      </c>
      <c r="J2703" s="19"/>
    </row>
    <row r="2704" spans="1:10" x14ac:dyDescent="0.25">
      <c r="A2704" s="82">
        <v>42788</v>
      </c>
      <c r="B2704" s="39" t="s">
        <v>6996</v>
      </c>
      <c r="C2704" s="89"/>
      <c r="D2704" s="18">
        <v>102039</v>
      </c>
      <c r="E2704" s="2" t="s">
        <v>231</v>
      </c>
      <c r="F2704" s="15">
        <v>6859</v>
      </c>
      <c r="G2704" s="41">
        <v>42789</v>
      </c>
      <c r="H2704" s="15">
        <f t="shared" si="79"/>
        <v>6859</v>
      </c>
      <c r="I2704" s="15">
        <f t="shared" si="78"/>
        <v>0</v>
      </c>
      <c r="J2704" s="19"/>
    </row>
    <row r="2705" spans="1:10" x14ac:dyDescent="0.25">
      <c r="A2705" s="82">
        <v>42788</v>
      </c>
      <c r="B2705" s="39" t="s">
        <v>6997</v>
      </c>
      <c r="C2705" s="89"/>
      <c r="D2705" s="18">
        <v>102040</v>
      </c>
      <c r="E2705" s="2" t="s">
        <v>10</v>
      </c>
      <c r="F2705" s="15">
        <v>262781</v>
      </c>
      <c r="G2705" s="41">
        <v>42791</v>
      </c>
      <c r="H2705" s="15">
        <f t="shared" si="79"/>
        <v>262781</v>
      </c>
      <c r="I2705" s="15">
        <f t="shared" si="78"/>
        <v>0</v>
      </c>
      <c r="J2705" s="19"/>
    </row>
    <row r="2706" spans="1:10" x14ac:dyDescent="0.25">
      <c r="A2706" s="82">
        <v>42788</v>
      </c>
      <c r="B2706" s="39" t="s">
        <v>6998</v>
      </c>
      <c r="C2706" s="89"/>
      <c r="D2706" s="18">
        <v>102041</v>
      </c>
      <c r="E2706" s="2" t="s">
        <v>1141</v>
      </c>
      <c r="F2706" s="15">
        <v>7679.8</v>
      </c>
      <c r="G2706" s="41">
        <v>42798</v>
      </c>
      <c r="H2706" s="15">
        <f t="shared" si="79"/>
        <v>7679.8</v>
      </c>
      <c r="I2706" s="15">
        <f t="shared" si="78"/>
        <v>0</v>
      </c>
      <c r="J2706" s="19"/>
    </row>
    <row r="2707" spans="1:10" x14ac:dyDescent="0.25">
      <c r="A2707" s="82">
        <v>42788</v>
      </c>
      <c r="B2707" s="39" t="s">
        <v>6999</v>
      </c>
      <c r="C2707" s="89"/>
      <c r="D2707" s="18">
        <v>102042</v>
      </c>
      <c r="E2707" s="2" t="s">
        <v>1141</v>
      </c>
      <c r="F2707" s="15">
        <v>382.5</v>
      </c>
      <c r="G2707" s="41">
        <v>42798</v>
      </c>
      <c r="H2707" s="15">
        <f t="shared" si="79"/>
        <v>382.5</v>
      </c>
      <c r="I2707" s="15">
        <f t="shared" si="78"/>
        <v>0</v>
      </c>
      <c r="J2707" s="19"/>
    </row>
    <row r="2708" spans="1:10" x14ac:dyDescent="0.25">
      <c r="A2708" s="82">
        <v>42788</v>
      </c>
      <c r="B2708" s="39" t="s">
        <v>7000</v>
      </c>
      <c r="C2708" s="89"/>
      <c r="D2708" s="18">
        <v>102043</v>
      </c>
      <c r="E2708" s="2" t="s">
        <v>205</v>
      </c>
      <c r="F2708" s="15">
        <v>28809.66</v>
      </c>
      <c r="G2708" s="41">
        <v>42802</v>
      </c>
      <c r="H2708" s="15">
        <f t="shared" si="79"/>
        <v>28809.66</v>
      </c>
      <c r="I2708" s="15">
        <f t="shared" si="78"/>
        <v>0</v>
      </c>
      <c r="J2708" s="19"/>
    </row>
    <row r="2709" spans="1:10" x14ac:dyDescent="0.25">
      <c r="A2709" s="82">
        <v>42788</v>
      </c>
      <c r="B2709" s="39" t="s">
        <v>7001</v>
      </c>
      <c r="C2709" s="89"/>
      <c r="D2709" s="18">
        <v>102044</v>
      </c>
      <c r="E2709" s="2" t="s">
        <v>222</v>
      </c>
      <c r="F2709" s="15">
        <v>222940</v>
      </c>
      <c r="G2709" s="41">
        <v>42738</v>
      </c>
      <c r="H2709" s="15">
        <f t="shared" si="79"/>
        <v>222940</v>
      </c>
      <c r="I2709" s="15">
        <f t="shared" si="78"/>
        <v>0</v>
      </c>
      <c r="J2709" s="19"/>
    </row>
    <row r="2710" spans="1:10" x14ac:dyDescent="0.25">
      <c r="A2710" s="82">
        <v>42788</v>
      </c>
      <c r="B2710" s="39" t="s">
        <v>7002</v>
      </c>
      <c r="C2710" s="89"/>
      <c r="D2710" s="18">
        <v>102045</v>
      </c>
      <c r="E2710" s="2" t="s">
        <v>222</v>
      </c>
      <c r="F2710" s="15">
        <v>241508</v>
      </c>
      <c r="G2710" s="41">
        <v>42738</v>
      </c>
      <c r="H2710" s="15">
        <f t="shared" si="79"/>
        <v>241508</v>
      </c>
      <c r="I2710" s="15">
        <f t="shared" si="78"/>
        <v>0</v>
      </c>
      <c r="J2710" s="19"/>
    </row>
    <row r="2711" spans="1:10" x14ac:dyDescent="0.25">
      <c r="A2711" s="82">
        <v>42788</v>
      </c>
      <c r="B2711" s="39" t="s">
        <v>7003</v>
      </c>
      <c r="C2711" s="89"/>
      <c r="D2711" s="18">
        <v>102046</v>
      </c>
      <c r="E2711" s="2" t="s">
        <v>2054</v>
      </c>
      <c r="F2711" s="15">
        <v>2751.2</v>
      </c>
      <c r="G2711" s="41">
        <v>42788</v>
      </c>
      <c r="H2711" s="15">
        <f t="shared" si="79"/>
        <v>2751.2</v>
      </c>
      <c r="I2711" s="15">
        <f t="shared" si="78"/>
        <v>0</v>
      </c>
      <c r="J2711" s="19"/>
    </row>
    <row r="2712" spans="1:10" x14ac:dyDescent="0.25">
      <c r="A2712" s="82">
        <v>42788</v>
      </c>
      <c r="B2712" s="39" t="s">
        <v>7004</v>
      </c>
      <c r="C2712" s="89"/>
      <c r="D2712" s="18">
        <v>102047</v>
      </c>
      <c r="E2712" s="2" t="s">
        <v>32</v>
      </c>
      <c r="F2712" s="15">
        <v>6399.2</v>
      </c>
      <c r="G2712" s="41">
        <v>42794</v>
      </c>
      <c r="H2712" s="15">
        <f t="shared" si="79"/>
        <v>6399.2</v>
      </c>
      <c r="I2712" s="15">
        <f t="shared" si="78"/>
        <v>0</v>
      </c>
      <c r="J2712" s="19"/>
    </row>
    <row r="2713" spans="1:10" x14ac:dyDescent="0.25">
      <c r="A2713" s="82">
        <v>42788</v>
      </c>
      <c r="B2713" s="39" t="s">
        <v>7005</v>
      </c>
      <c r="C2713" s="89"/>
      <c r="D2713" s="18">
        <v>102048</v>
      </c>
      <c r="E2713" s="13" t="s">
        <v>10</v>
      </c>
      <c r="F2713" s="14">
        <v>0</v>
      </c>
      <c r="G2713" s="88" t="s">
        <v>95</v>
      </c>
      <c r="H2713" s="14">
        <f t="shared" si="79"/>
        <v>0</v>
      </c>
      <c r="I2713" s="14">
        <f t="shared" si="78"/>
        <v>0</v>
      </c>
      <c r="J2713" s="19"/>
    </row>
    <row r="2714" spans="1:10" x14ac:dyDescent="0.25">
      <c r="A2714" s="82">
        <v>42788</v>
      </c>
      <c r="B2714" s="39" t="s">
        <v>7006</v>
      </c>
      <c r="C2714" s="89"/>
      <c r="D2714" s="18">
        <v>102049</v>
      </c>
      <c r="E2714" s="2" t="s">
        <v>10</v>
      </c>
      <c r="F2714" s="15">
        <v>84198.9</v>
      </c>
      <c r="G2714" s="41">
        <v>42791</v>
      </c>
      <c r="H2714" s="15">
        <f t="shared" si="79"/>
        <v>84198.9</v>
      </c>
      <c r="I2714" s="15">
        <f t="shared" si="78"/>
        <v>0</v>
      </c>
      <c r="J2714" s="19"/>
    </row>
    <row r="2715" spans="1:10" x14ac:dyDescent="0.25">
      <c r="A2715" s="82">
        <v>42788</v>
      </c>
      <c r="B2715" s="39" t="s">
        <v>7007</v>
      </c>
      <c r="C2715" s="89"/>
      <c r="D2715" s="18">
        <v>102050</v>
      </c>
      <c r="E2715" s="2" t="s">
        <v>1310</v>
      </c>
      <c r="F2715" s="15">
        <v>2262</v>
      </c>
      <c r="G2715" s="41">
        <v>42789</v>
      </c>
      <c r="H2715" s="15">
        <f t="shared" si="79"/>
        <v>2262</v>
      </c>
      <c r="I2715" s="15">
        <f t="shared" si="78"/>
        <v>0</v>
      </c>
      <c r="J2715" s="19"/>
    </row>
    <row r="2716" spans="1:10" x14ac:dyDescent="0.25">
      <c r="A2716" s="82">
        <v>42788</v>
      </c>
      <c r="B2716" s="39" t="s">
        <v>7008</v>
      </c>
      <c r="C2716" s="89"/>
      <c r="D2716" s="18">
        <v>102051</v>
      </c>
      <c r="E2716" s="2" t="s">
        <v>523</v>
      </c>
      <c r="F2716" s="15">
        <v>22924</v>
      </c>
      <c r="G2716" s="41">
        <v>42798</v>
      </c>
      <c r="H2716" s="15">
        <f t="shared" si="79"/>
        <v>22924</v>
      </c>
      <c r="I2716" s="15">
        <f t="shared" si="78"/>
        <v>0</v>
      </c>
      <c r="J2716" s="19"/>
    </row>
    <row r="2717" spans="1:10" x14ac:dyDescent="0.25">
      <c r="A2717" s="82">
        <v>42788</v>
      </c>
      <c r="B2717" s="39" t="s">
        <v>7009</v>
      </c>
      <c r="C2717" s="89"/>
      <c r="D2717" s="18">
        <v>102052</v>
      </c>
      <c r="E2717" s="2" t="s">
        <v>697</v>
      </c>
      <c r="F2717" s="15">
        <v>3465</v>
      </c>
      <c r="G2717" s="41">
        <v>42802</v>
      </c>
      <c r="H2717" s="15">
        <f t="shared" si="79"/>
        <v>3465</v>
      </c>
      <c r="I2717" s="15">
        <f t="shared" si="78"/>
        <v>0</v>
      </c>
      <c r="J2717" s="19"/>
    </row>
    <row r="2718" spans="1:10" x14ac:dyDescent="0.25">
      <c r="A2718" s="82">
        <v>42788</v>
      </c>
      <c r="B2718" s="39" t="s">
        <v>7010</v>
      </c>
      <c r="C2718" s="89"/>
      <c r="D2718" s="18">
        <v>102053</v>
      </c>
      <c r="E2718" s="2" t="s">
        <v>193</v>
      </c>
      <c r="F2718" s="15">
        <v>1789.4</v>
      </c>
      <c r="G2718" s="41">
        <v>42789</v>
      </c>
      <c r="H2718" s="15">
        <f t="shared" si="79"/>
        <v>1789.4</v>
      </c>
      <c r="I2718" s="15">
        <f t="shared" si="78"/>
        <v>0</v>
      </c>
      <c r="J2718" s="19"/>
    </row>
    <row r="2719" spans="1:10" x14ac:dyDescent="0.25">
      <c r="A2719" s="82">
        <v>42788</v>
      </c>
      <c r="B2719" s="39" t="s">
        <v>7011</v>
      </c>
      <c r="C2719" s="89"/>
      <c r="D2719" s="18">
        <v>102054</v>
      </c>
      <c r="E2719" s="2" t="s">
        <v>182</v>
      </c>
      <c r="F2719" s="15">
        <v>1964.9</v>
      </c>
      <c r="G2719" s="41">
        <v>42789</v>
      </c>
      <c r="H2719" s="15">
        <f t="shared" si="79"/>
        <v>1964.9</v>
      </c>
      <c r="I2719" s="15">
        <f t="shared" si="78"/>
        <v>0</v>
      </c>
      <c r="J2719" s="19"/>
    </row>
    <row r="2720" spans="1:10" x14ac:dyDescent="0.25">
      <c r="A2720" s="82">
        <v>42788</v>
      </c>
      <c r="B2720" s="39" t="s">
        <v>7012</v>
      </c>
      <c r="C2720" s="89"/>
      <c r="D2720" s="18">
        <v>102055</v>
      </c>
      <c r="E2720" s="2" t="s">
        <v>236</v>
      </c>
      <c r="F2720" s="15">
        <v>36578.46</v>
      </c>
      <c r="G2720" s="41">
        <v>42791</v>
      </c>
      <c r="H2720" s="15">
        <f t="shared" si="79"/>
        <v>36578.46</v>
      </c>
      <c r="I2720" s="15">
        <f t="shared" si="78"/>
        <v>0</v>
      </c>
      <c r="J2720" s="19"/>
    </row>
    <row r="2721" spans="1:10" x14ac:dyDescent="0.25">
      <c r="A2721" s="82">
        <v>42788</v>
      </c>
      <c r="B2721" s="39" t="s">
        <v>7013</v>
      </c>
      <c r="C2721" s="89"/>
      <c r="D2721" s="18">
        <v>102056</v>
      </c>
      <c r="E2721" s="2" t="s">
        <v>10</v>
      </c>
      <c r="F2721" s="15">
        <v>21272.400000000001</v>
      </c>
      <c r="G2721" s="41">
        <v>42791</v>
      </c>
      <c r="H2721" s="15">
        <f t="shared" si="79"/>
        <v>21272.400000000001</v>
      </c>
      <c r="I2721" s="15">
        <f t="shared" si="78"/>
        <v>0</v>
      </c>
      <c r="J2721" s="19"/>
    </row>
    <row r="2722" spans="1:10" x14ac:dyDescent="0.25">
      <c r="A2722" s="82">
        <v>42788</v>
      </c>
      <c r="B2722" s="39" t="s">
        <v>7014</v>
      </c>
      <c r="C2722" s="89"/>
      <c r="D2722" s="18">
        <v>102057</v>
      </c>
      <c r="E2722" s="2" t="s">
        <v>10</v>
      </c>
      <c r="F2722" s="15">
        <v>36006.699999999997</v>
      </c>
      <c r="G2722" s="41">
        <v>42791</v>
      </c>
      <c r="H2722" s="15">
        <f t="shared" si="79"/>
        <v>36006.699999999997</v>
      </c>
      <c r="I2722" s="15">
        <f t="shared" si="78"/>
        <v>0</v>
      </c>
      <c r="J2722" s="19"/>
    </row>
    <row r="2723" spans="1:10" x14ac:dyDescent="0.25">
      <c r="A2723" s="82">
        <v>42788</v>
      </c>
      <c r="B2723" s="39" t="s">
        <v>7015</v>
      </c>
      <c r="C2723" s="89"/>
      <c r="D2723" s="18">
        <v>102058</v>
      </c>
      <c r="E2723" s="2" t="s">
        <v>358</v>
      </c>
      <c r="F2723" s="15">
        <v>31586</v>
      </c>
      <c r="G2723" s="41">
        <v>42789</v>
      </c>
      <c r="H2723" s="15">
        <f t="shared" si="79"/>
        <v>31586</v>
      </c>
      <c r="I2723" s="15">
        <f t="shared" si="78"/>
        <v>0</v>
      </c>
      <c r="J2723" s="19"/>
    </row>
    <row r="2724" spans="1:10" x14ac:dyDescent="0.25">
      <c r="A2724" s="82">
        <v>42788</v>
      </c>
      <c r="B2724" s="39" t="s">
        <v>7016</v>
      </c>
      <c r="C2724" s="89"/>
      <c r="D2724" s="18">
        <v>102059</v>
      </c>
      <c r="E2724" s="2" t="s">
        <v>468</v>
      </c>
      <c r="F2724" s="15">
        <v>15885.2</v>
      </c>
      <c r="G2724" s="41">
        <v>42793</v>
      </c>
      <c r="H2724" s="15">
        <f t="shared" si="79"/>
        <v>15885.2</v>
      </c>
      <c r="I2724" s="15">
        <f t="shared" si="78"/>
        <v>0</v>
      </c>
      <c r="J2724" s="19"/>
    </row>
    <row r="2725" spans="1:10" x14ac:dyDescent="0.25">
      <c r="A2725" s="82">
        <v>42788</v>
      </c>
      <c r="B2725" s="39" t="s">
        <v>7017</v>
      </c>
      <c r="C2725" s="89"/>
      <c r="D2725" s="18">
        <v>102060</v>
      </c>
      <c r="E2725" s="2" t="s">
        <v>465</v>
      </c>
      <c r="F2725" s="15">
        <v>7139.1</v>
      </c>
      <c r="G2725" s="41">
        <v>42793</v>
      </c>
      <c r="H2725" s="15">
        <f t="shared" si="79"/>
        <v>7139.1</v>
      </c>
      <c r="I2725" s="15">
        <f t="shared" si="78"/>
        <v>0</v>
      </c>
      <c r="J2725" s="19"/>
    </row>
    <row r="2726" spans="1:10" x14ac:dyDescent="0.25">
      <c r="A2726" s="82">
        <v>42788</v>
      </c>
      <c r="B2726" s="39" t="s">
        <v>7018</v>
      </c>
      <c r="C2726" s="89"/>
      <c r="D2726" s="18">
        <v>102061</v>
      </c>
      <c r="E2726" s="2" t="s">
        <v>55</v>
      </c>
      <c r="F2726" s="15">
        <v>14135.8</v>
      </c>
      <c r="G2726" s="41">
        <v>42788</v>
      </c>
      <c r="H2726" s="15">
        <f t="shared" si="79"/>
        <v>14135.8</v>
      </c>
      <c r="I2726" s="15">
        <f t="shared" si="78"/>
        <v>0</v>
      </c>
      <c r="J2726" s="19"/>
    </row>
    <row r="2727" spans="1:10" x14ac:dyDescent="0.25">
      <c r="A2727" s="82">
        <v>42788</v>
      </c>
      <c r="B2727" s="39" t="s">
        <v>7019</v>
      </c>
      <c r="C2727" s="89"/>
      <c r="D2727" s="18">
        <v>102062</v>
      </c>
      <c r="E2727" s="2" t="s">
        <v>921</v>
      </c>
      <c r="F2727" s="15">
        <v>4258.8</v>
      </c>
      <c r="G2727" s="41">
        <v>42788</v>
      </c>
      <c r="H2727" s="15">
        <f t="shared" si="79"/>
        <v>4258.8</v>
      </c>
      <c r="I2727" s="15">
        <f t="shared" si="78"/>
        <v>0</v>
      </c>
      <c r="J2727" s="19"/>
    </row>
    <row r="2728" spans="1:10" x14ac:dyDescent="0.25">
      <c r="A2728" s="82">
        <v>42788</v>
      </c>
      <c r="B2728" s="39" t="s">
        <v>7020</v>
      </c>
      <c r="C2728" s="89"/>
      <c r="D2728" s="18">
        <v>102063</v>
      </c>
      <c r="E2728" s="2" t="s">
        <v>208</v>
      </c>
      <c r="F2728" s="15">
        <v>1540</v>
      </c>
      <c r="G2728" s="41">
        <v>42788</v>
      </c>
      <c r="H2728" s="15">
        <f t="shared" si="79"/>
        <v>1540</v>
      </c>
      <c r="I2728" s="15">
        <f t="shared" si="78"/>
        <v>0</v>
      </c>
      <c r="J2728" s="19"/>
    </row>
    <row r="2729" spans="1:10" x14ac:dyDescent="0.25">
      <c r="A2729" s="82">
        <v>42788</v>
      </c>
      <c r="B2729" s="39" t="s">
        <v>7021</v>
      </c>
      <c r="C2729" s="89"/>
      <c r="D2729" s="12">
        <v>102064</v>
      </c>
      <c r="E2729" s="13" t="s">
        <v>153</v>
      </c>
      <c r="F2729" s="14">
        <v>0</v>
      </c>
      <c r="G2729" s="88" t="s">
        <v>95</v>
      </c>
      <c r="H2729" s="14">
        <f t="shared" si="79"/>
        <v>0</v>
      </c>
      <c r="I2729" s="14">
        <f t="shared" si="78"/>
        <v>0</v>
      </c>
      <c r="J2729" s="19"/>
    </row>
    <row r="2730" spans="1:10" x14ac:dyDescent="0.25">
      <c r="A2730" s="82">
        <v>42788</v>
      </c>
      <c r="B2730" s="39" t="s">
        <v>7022</v>
      </c>
      <c r="C2730" s="89"/>
      <c r="D2730" s="18">
        <v>102065</v>
      </c>
      <c r="E2730" s="2" t="s">
        <v>220</v>
      </c>
      <c r="F2730" s="15">
        <v>2278.8000000000002</v>
      </c>
      <c r="G2730" s="41">
        <v>42789</v>
      </c>
      <c r="H2730" s="15">
        <f t="shared" si="79"/>
        <v>2278.8000000000002</v>
      </c>
      <c r="I2730" s="15">
        <f t="shared" si="78"/>
        <v>0</v>
      </c>
      <c r="J2730" s="19"/>
    </row>
    <row r="2731" spans="1:10" x14ac:dyDescent="0.25">
      <c r="A2731" s="82">
        <v>42789</v>
      </c>
      <c r="B2731" s="39" t="s">
        <v>7023</v>
      </c>
      <c r="C2731" s="89"/>
      <c r="D2731" s="18">
        <v>102066</v>
      </c>
      <c r="E2731" s="2" t="s">
        <v>231</v>
      </c>
      <c r="F2731" s="15">
        <v>7265.8</v>
      </c>
      <c r="G2731" s="41">
        <v>42790</v>
      </c>
      <c r="H2731" s="15">
        <f t="shared" si="79"/>
        <v>7265.8</v>
      </c>
      <c r="I2731" s="15">
        <f t="shared" si="78"/>
        <v>0</v>
      </c>
      <c r="J2731" s="19"/>
    </row>
    <row r="2732" spans="1:10" x14ac:dyDescent="0.25">
      <c r="A2732" s="82">
        <v>42789</v>
      </c>
      <c r="B2732" s="39" t="s">
        <v>7024</v>
      </c>
      <c r="C2732" s="89"/>
      <c r="D2732" s="18">
        <v>102067</v>
      </c>
      <c r="E2732" s="2" t="s">
        <v>231</v>
      </c>
      <c r="F2732" s="15">
        <v>132.30000000000001</v>
      </c>
      <c r="G2732" s="41">
        <v>42790</v>
      </c>
      <c r="H2732" s="15">
        <f t="shared" si="79"/>
        <v>132.30000000000001</v>
      </c>
      <c r="I2732" s="15">
        <f t="shared" si="78"/>
        <v>0</v>
      </c>
      <c r="J2732" s="19"/>
    </row>
    <row r="2733" spans="1:10" x14ac:dyDescent="0.25">
      <c r="A2733" s="82">
        <v>42789</v>
      </c>
      <c r="B2733" s="39" t="s">
        <v>7025</v>
      </c>
      <c r="C2733" s="89"/>
      <c r="D2733" s="18">
        <v>102068</v>
      </c>
      <c r="E2733" s="2" t="s">
        <v>231</v>
      </c>
      <c r="F2733" s="15">
        <v>41113.199999999997</v>
      </c>
      <c r="G2733" s="41">
        <v>42790</v>
      </c>
      <c r="H2733" s="15">
        <f t="shared" si="79"/>
        <v>41113.199999999997</v>
      </c>
      <c r="I2733" s="15">
        <f t="shared" si="78"/>
        <v>0</v>
      </c>
      <c r="J2733" s="19"/>
    </row>
    <row r="2734" spans="1:10" x14ac:dyDescent="0.25">
      <c r="A2734" s="82">
        <v>42789</v>
      </c>
      <c r="B2734" s="39" t="s">
        <v>7026</v>
      </c>
      <c r="C2734" s="89"/>
      <c r="D2734" s="18">
        <v>102069</v>
      </c>
      <c r="E2734" s="2" t="s">
        <v>1786</v>
      </c>
      <c r="F2734" s="15">
        <v>8785</v>
      </c>
      <c r="G2734" s="41">
        <v>42789</v>
      </c>
      <c r="H2734" s="15">
        <f t="shared" si="79"/>
        <v>8785</v>
      </c>
      <c r="I2734" s="15">
        <f t="shared" si="78"/>
        <v>0</v>
      </c>
      <c r="J2734" s="19"/>
    </row>
    <row r="2735" spans="1:10" x14ac:dyDescent="0.25">
      <c r="A2735" s="82">
        <v>42789</v>
      </c>
      <c r="B2735" s="39" t="s">
        <v>7027</v>
      </c>
      <c r="C2735" s="89"/>
      <c r="D2735" s="18">
        <v>102070</v>
      </c>
      <c r="E2735" s="2" t="s">
        <v>428</v>
      </c>
      <c r="F2735" s="15">
        <v>1656</v>
      </c>
      <c r="G2735" s="41">
        <v>42790</v>
      </c>
      <c r="H2735" s="15">
        <f t="shared" si="79"/>
        <v>1656</v>
      </c>
      <c r="I2735" s="15">
        <f t="shared" si="78"/>
        <v>0</v>
      </c>
      <c r="J2735" s="19"/>
    </row>
    <row r="2736" spans="1:10" x14ac:dyDescent="0.25">
      <c r="A2736" s="82">
        <v>42789</v>
      </c>
      <c r="B2736" s="39" t="s">
        <v>7028</v>
      </c>
      <c r="C2736" s="89"/>
      <c r="D2736" s="18">
        <v>102071</v>
      </c>
      <c r="E2736" s="2" t="s">
        <v>509</v>
      </c>
      <c r="F2736" s="15">
        <v>32588.2</v>
      </c>
      <c r="G2736" s="41">
        <v>42798</v>
      </c>
      <c r="H2736" s="15">
        <f t="shared" si="79"/>
        <v>32588.2</v>
      </c>
      <c r="I2736" s="15">
        <f t="shared" si="78"/>
        <v>0</v>
      </c>
      <c r="J2736" s="19"/>
    </row>
    <row r="2737" spans="1:10" ht="30" x14ac:dyDescent="0.25">
      <c r="A2737" s="82">
        <v>42789</v>
      </c>
      <c r="B2737" s="95" t="s">
        <v>7029</v>
      </c>
      <c r="C2737" s="96"/>
      <c r="D2737" s="54">
        <v>102072</v>
      </c>
      <c r="E2737" s="55" t="s">
        <v>35</v>
      </c>
      <c r="F2737" s="56">
        <v>13537.5</v>
      </c>
      <c r="G2737" s="87" t="s">
        <v>7756</v>
      </c>
      <c r="H2737" s="97">
        <f>10000+3537.5</f>
        <v>13537.5</v>
      </c>
      <c r="I2737" s="97">
        <f t="shared" si="78"/>
        <v>0</v>
      </c>
      <c r="J2737" s="19"/>
    </row>
    <row r="2738" spans="1:10" x14ac:dyDescent="0.25">
      <c r="A2738" s="82">
        <v>42789</v>
      </c>
      <c r="B2738" s="39" t="s">
        <v>7030</v>
      </c>
      <c r="C2738" s="89"/>
      <c r="D2738" s="18">
        <v>102073</v>
      </c>
      <c r="E2738" s="2" t="s">
        <v>143</v>
      </c>
      <c r="F2738" s="15">
        <v>3397.3</v>
      </c>
      <c r="G2738" s="41">
        <v>42789</v>
      </c>
      <c r="H2738" s="15">
        <f t="shared" si="79"/>
        <v>3397.3</v>
      </c>
      <c r="I2738" s="15">
        <f t="shared" si="78"/>
        <v>0</v>
      </c>
      <c r="J2738" s="19"/>
    </row>
    <row r="2739" spans="1:10" x14ac:dyDescent="0.25">
      <c r="A2739" s="82">
        <v>42789</v>
      </c>
      <c r="B2739" s="39" t="s">
        <v>7031</v>
      </c>
      <c r="C2739" s="89"/>
      <c r="D2739" s="18">
        <v>102074</v>
      </c>
      <c r="E2739" s="2" t="s">
        <v>26</v>
      </c>
      <c r="F2739" s="15">
        <v>20033.400000000001</v>
      </c>
      <c r="G2739" s="41">
        <v>42789</v>
      </c>
      <c r="H2739" s="15">
        <f t="shared" si="79"/>
        <v>20033.400000000001</v>
      </c>
      <c r="I2739" s="15">
        <f t="shared" si="78"/>
        <v>0</v>
      </c>
      <c r="J2739" s="19"/>
    </row>
    <row r="2740" spans="1:10" x14ac:dyDescent="0.25">
      <c r="A2740" s="82">
        <v>42789</v>
      </c>
      <c r="B2740" s="39" t="s">
        <v>7032</v>
      </c>
      <c r="C2740" s="89"/>
      <c r="D2740" s="18">
        <v>102075</v>
      </c>
      <c r="E2740" s="2" t="s">
        <v>609</v>
      </c>
      <c r="F2740" s="15">
        <v>49378.2</v>
      </c>
      <c r="G2740" s="41">
        <v>42791</v>
      </c>
      <c r="H2740" s="15">
        <f t="shared" si="79"/>
        <v>49378.2</v>
      </c>
      <c r="I2740" s="15">
        <f t="shared" si="78"/>
        <v>0</v>
      </c>
      <c r="J2740" s="19"/>
    </row>
    <row r="2741" spans="1:10" x14ac:dyDescent="0.25">
      <c r="A2741" s="82">
        <v>42789</v>
      </c>
      <c r="B2741" s="39" t="s">
        <v>7033</v>
      </c>
      <c r="C2741" s="89"/>
      <c r="D2741" s="18">
        <v>102076</v>
      </c>
      <c r="E2741" s="2" t="s">
        <v>69</v>
      </c>
      <c r="F2741" s="15">
        <v>5027.1000000000004</v>
      </c>
      <c r="G2741" s="41">
        <v>42789</v>
      </c>
      <c r="H2741" s="15">
        <f t="shared" si="79"/>
        <v>5027.1000000000004</v>
      </c>
      <c r="I2741" s="15">
        <f t="shared" si="78"/>
        <v>0</v>
      </c>
      <c r="J2741" s="19"/>
    </row>
    <row r="2742" spans="1:10" x14ac:dyDescent="0.25">
      <c r="A2742" s="82">
        <v>42789</v>
      </c>
      <c r="B2742" s="39" t="s">
        <v>7034</v>
      </c>
      <c r="C2742" s="89"/>
      <c r="D2742" s="18">
        <v>102077</v>
      </c>
      <c r="E2742" s="2" t="s">
        <v>32</v>
      </c>
      <c r="F2742" s="15">
        <v>6840</v>
      </c>
      <c r="G2742" s="41">
        <v>42794</v>
      </c>
      <c r="H2742" s="15">
        <f t="shared" si="79"/>
        <v>6840</v>
      </c>
      <c r="I2742" s="15">
        <f t="shared" si="78"/>
        <v>0</v>
      </c>
      <c r="J2742" s="19"/>
    </row>
    <row r="2743" spans="1:10" ht="30" x14ac:dyDescent="0.25">
      <c r="A2743" s="82">
        <v>42789</v>
      </c>
      <c r="B2743" s="39" t="s">
        <v>7035</v>
      </c>
      <c r="C2743" s="89"/>
      <c r="D2743" s="18">
        <v>102078</v>
      </c>
      <c r="E2743" s="2" t="s">
        <v>38</v>
      </c>
      <c r="F2743" s="15">
        <v>3570</v>
      </c>
      <c r="G2743" s="87" t="s">
        <v>7036</v>
      </c>
      <c r="H2743" s="20">
        <f>2000+1570</f>
        <v>3570</v>
      </c>
      <c r="I2743" s="20">
        <f t="shared" si="78"/>
        <v>0</v>
      </c>
      <c r="J2743" s="19"/>
    </row>
    <row r="2744" spans="1:10" x14ac:dyDescent="0.25">
      <c r="A2744" s="82">
        <v>42789</v>
      </c>
      <c r="B2744" s="39" t="s">
        <v>7037</v>
      </c>
      <c r="C2744" s="89"/>
      <c r="D2744" s="18">
        <v>102079</v>
      </c>
      <c r="E2744" s="2" t="s">
        <v>47</v>
      </c>
      <c r="F2744" s="15">
        <v>3674.1</v>
      </c>
      <c r="G2744" s="41">
        <v>42789</v>
      </c>
      <c r="H2744" s="15">
        <f t="shared" si="79"/>
        <v>3674.1</v>
      </c>
      <c r="I2744" s="15">
        <f t="shared" ref="I2744:I2807" si="80">F2744-H2744</f>
        <v>0</v>
      </c>
      <c r="J2744" s="19"/>
    </row>
    <row r="2745" spans="1:10" x14ac:dyDescent="0.25">
      <c r="A2745" s="82">
        <v>42789</v>
      </c>
      <c r="B2745" s="39" t="s">
        <v>7038</v>
      </c>
      <c r="C2745" s="89"/>
      <c r="D2745" s="18">
        <v>102080</v>
      </c>
      <c r="E2745" s="2" t="s">
        <v>1116</v>
      </c>
      <c r="F2745" s="15">
        <v>4487.7</v>
      </c>
      <c r="G2745" s="41">
        <v>42790</v>
      </c>
      <c r="H2745" s="15">
        <f t="shared" si="79"/>
        <v>4487.7</v>
      </c>
      <c r="I2745" s="15">
        <f t="shared" si="80"/>
        <v>0</v>
      </c>
      <c r="J2745" s="19"/>
    </row>
    <row r="2746" spans="1:10" x14ac:dyDescent="0.25">
      <c r="A2746" s="82">
        <v>42789</v>
      </c>
      <c r="B2746" s="39" t="s">
        <v>7039</v>
      </c>
      <c r="C2746" s="89"/>
      <c r="D2746" s="18">
        <v>102081</v>
      </c>
      <c r="E2746" s="2" t="s">
        <v>49</v>
      </c>
      <c r="F2746" s="15">
        <v>14134</v>
      </c>
      <c r="G2746" s="41">
        <v>42793</v>
      </c>
      <c r="H2746" s="15">
        <f t="shared" si="79"/>
        <v>14134</v>
      </c>
      <c r="I2746" s="15">
        <f t="shared" si="80"/>
        <v>0</v>
      </c>
      <c r="J2746" s="19"/>
    </row>
    <row r="2747" spans="1:10" x14ac:dyDescent="0.25">
      <c r="A2747" s="82">
        <v>42789</v>
      </c>
      <c r="B2747" s="39" t="s">
        <v>7040</v>
      </c>
      <c r="C2747" s="89"/>
      <c r="D2747" s="18">
        <v>102082</v>
      </c>
      <c r="E2747" s="2" t="s">
        <v>205</v>
      </c>
      <c r="F2747" s="15">
        <v>11939.4</v>
      </c>
      <c r="G2747" s="41">
        <v>42789</v>
      </c>
      <c r="H2747" s="15">
        <f t="shared" si="79"/>
        <v>11939.4</v>
      </c>
      <c r="I2747" s="15">
        <f t="shared" si="80"/>
        <v>0</v>
      </c>
      <c r="J2747" s="19"/>
    </row>
    <row r="2748" spans="1:10" x14ac:dyDescent="0.25">
      <c r="A2748" s="82">
        <v>42789</v>
      </c>
      <c r="B2748" s="39" t="s">
        <v>7041</v>
      </c>
      <c r="C2748" s="89"/>
      <c r="D2748" s="18">
        <v>102083</v>
      </c>
      <c r="E2748" s="2" t="s">
        <v>509</v>
      </c>
      <c r="F2748" s="15">
        <v>12126</v>
      </c>
      <c r="G2748" s="41">
        <v>42798</v>
      </c>
      <c r="H2748" s="15">
        <f t="shared" si="79"/>
        <v>12126</v>
      </c>
      <c r="I2748" s="15">
        <f t="shared" si="80"/>
        <v>0</v>
      </c>
      <c r="J2748" s="19"/>
    </row>
    <row r="2749" spans="1:10" x14ac:dyDescent="0.25">
      <c r="A2749" s="82">
        <v>42789</v>
      </c>
      <c r="B2749" s="39" t="s">
        <v>7042</v>
      </c>
      <c r="C2749" s="89"/>
      <c r="D2749" s="18">
        <v>102084</v>
      </c>
      <c r="E2749" s="2" t="s">
        <v>6055</v>
      </c>
      <c r="F2749" s="15">
        <v>7710.3</v>
      </c>
      <c r="G2749" s="41">
        <v>42789</v>
      </c>
      <c r="H2749" s="15">
        <f t="shared" si="79"/>
        <v>7710.3</v>
      </c>
      <c r="I2749" s="15">
        <f t="shared" si="80"/>
        <v>0</v>
      </c>
      <c r="J2749" s="19"/>
    </row>
    <row r="2750" spans="1:10" x14ac:dyDescent="0.25">
      <c r="A2750" s="82">
        <v>42789</v>
      </c>
      <c r="B2750" s="39" t="s">
        <v>7043</v>
      </c>
      <c r="C2750" s="89"/>
      <c r="D2750" s="18">
        <v>102085</v>
      </c>
      <c r="E2750" s="2" t="s">
        <v>28</v>
      </c>
      <c r="F2750" s="15">
        <v>13656.8</v>
      </c>
      <c r="G2750" s="41">
        <v>42789</v>
      </c>
      <c r="H2750" s="15">
        <f t="shared" si="79"/>
        <v>13656.8</v>
      </c>
      <c r="I2750" s="15">
        <f t="shared" si="80"/>
        <v>0</v>
      </c>
      <c r="J2750" s="19"/>
    </row>
    <row r="2751" spans="1:10" x14ac:dyDescent="0.25">
      <c r="A2751" s="82">
        <v>42789</v>
      </c>
      <c r="B2751" s="39" t="s">
        <v>7044</v>
      </c>
      <c r="C2751" s="89"/>
      <c r="D2751" s="18">
        <v>102086</v>
      </c>
      <c r="E2751" s="2" t="s">
        <v>974</v>
      </c>
      <c r="F2751" s="15">
        <v>11043</v>
      </c>
      <c r="G2751" s="41">
        <v>42789</v>
      </c>
      <c r="H2751" s="15">
        <f t="shared" si="79"/>
        <v>11043</v>
      </c>
      <c r="I2751" s="15">
        <f t="shared" si="80"/>
        <v>0</v>
      </c>
      <c r="J2751" s="19"/>
    </row>
    <row r="2752" spans="1:10" x14ac:dyDescent="0.25">
      <c r="A2752" s="82">
        <v>42789</v>
      </c>
      <c r="B2752" s="39" t="s">
        <v>7045</v>
      </c>
      <c r="C2752" s="89"/>
      <c r="D2752" s="18">
        <v>102087</v>
      </c>
      <c r="E2752" s="2" t="s">
        <v>40</v>
      </c>
      <c r="F2752" s="15">
        <v>3611.4</v>
      </c>
      <c r="G2752" s="41">
        <v>42794</v>
      </c>
      <c r="H2752" s="15">
        <f t="shared" si="79"/>
        <v>3611.4</v>
      </c>
      <c r="I2752" s="15">
        <f t="shared" si="80"/>
        <v>0</v>
      </c>
      <c r="J2752" s="19"/>
    </row>
    <row r="2753" spans="1:10" x14ac:dyDescent="0.25">
      <c r="A2753" s="82">
        <v>42789</v>
      </c>
      <c r="B2753" s="39" t="s">
        <v>7046</v>
      </c>
      <c r="C2753" s="89"/>
      <c r="D2753" s="18">
        <v>102088</v>
      </c>
      <c r="E2753" s="2" t="s">
        <v>253</v>
      </c>
      <c r="F2753" s="15">
        <v>154.19999999999999</v>
      </c>
      <c r="G2753" s="41">
        <v>42790</v>
      </c>
      <c r="H2753" s="15">
        <f t="shared" si="79"/>
        <v>154.19999999999999</v>
      </c>
      <c r="I2753" s="15">
        <f t="shared" si="80"/>
        <v>0</v>
      </c>
      <c r="J2753" s="19"/>
    </row>
    <row r="2754" spans="1:10" x14ac:dyDescent="0.25">
      <c r="A2754" s="82">
        <v>42789</v>
      </c>
      <c r="B2754" s="39" t="s">
        <v>7047</v>
      </c>
      <c r="C2754" s="89"/>
      <c r="D2754" s="18">
        <v>102089</v>
      </c>
      <c r="E2754" s="2" t="s">
        <v>43</v>
      </c>
      <c r="F2754" s="15">
        <v>5825.2</v>
      </c>
      <c r="G2754" s="41">
        <v>42791</v>
      </c>
      <c r="H2754" s="15">
        <f t="shared" si="79"/>
        <v>5825.2</v>
      </c>
      <c r="I2754" s="15">
        <f t="shared" si="80"/>
        <v>0</v>
      </c>
      <c r="J2754" s="19"/>
    </row>
    <row r="2755" spans="1:10" x14ac:dyDescent="0.25">
      <c r="A2755" s="82">
        <v>42789</v>
      </c>
      <c r="B2755" s="39" t="s">
        <v>7048</v>
      </c>
      <c r="C2755" s="89"/>
      <c r="D2755" s="18">
        <v>102090</v>
      </c>
      <c r="E2755" s="2" t="s">
        <v>51</v>
      </c>
      <c r="F2755" s="15">
        <v>4121.5</v>
      </c>
      <c r="G2755" s="41">
        <v>42791</v>
      </c>
      <c r="H2755" s="15">
        <f t="shared" si="79"/>
        <v>4121.5</v>
      </c>
      <c r="I2755" s="15">
        <f t="shared" si="80"/>
        <v>0</v>
      </c>
      <c r="J2755" s="19"/>
    </row>
    <row r="2756" spans="1:10" ht="30" x14ac:dyDescent="0.25">
      <c r="A2756" s="82">
        <v>42789</v>
      </c>
      <c r="B2756" s="90" t="s">
        <v>7049</v>
      </c>
      <c r="C2756" s="91"/>
      <c r="D2756" s="61">
        <v>102091</v>
      </c>
      <c r="E2756" s="62" t="s">
        <v>21</v>
      </c>
      <c r="F2756" s="63">
        <v>61167.5</v>
      </c>
      <c r="G2756" s="87" t="s">
        <v>7765</v>
      </c>
      <c r="H2756" s="65">
        <f>10998+50169.5</f>
        <v>61167.5</v>
      </c>
      <c r="I2756" s="65">
        <f t="shared" si="80"/>
        <v>0</v>
      </c>
      <c r="J2756" s="19"/>
    </row>
    <row r="2757" spans="1:10" x14ac:dyDescent="0.25">
      <c r="A2757" s="82">
        <v>42789</v>
      </c>
      <c r="B2757" s="39" t="s">
        <v>7050</v>
      </c>
      <c r="C2757" s="89"/>
      <c r="D2757" s="18">
        <v>102092</v>
      </c>
      <c r="E2757" s="2" t="s">
        <v>17</v>
      </c>
      <c r="F2757" s="15">
        <v>1960</v>
      </c>
      <c r="G2757" s="41">
        <v>42789</v>
      </c>
      <c r="H2757" s="15">
        <f t="shared" ref="H2757:H2819" si="81">F2757</f>
        <v>1960</v>
      </c>
      <c r="I2757" s="15">
        <f t="shared" si="80"/>
        <v>0</v>
      </c>
      <c r="J2757" s="19"/>
    </row>
    <row r="2758" spans="1:10" x14ac:dyDescent="0.25">
      <c r="A2758" s="82">
        <v>42789</v>
      </c>
      <c r="B2758" s="39" t="s">
        <v>7051</v>
      </c>
      <c r="C2758" s="89"/>
      <c r="D2758" s="18">
        <v>102093</v>
      </c>
      <c r="E2758" s="2" t="s">
        <v>71</v>
      </c>
      <c r="F2758" s="15">
        <v>1690.5</v>
      </c>
      <c r="G2758" s="41">
        <v>42789</v>
      </c>
      <c r="H2758" s="15">
        <f t="shared" si="81"/>
        <v>1690.5</v>
      </c>
      <c r="I2758" s="15">
        <f t="shared" si="80"/>
        <v>0</v>
      </c>
      <c r="J2758" s="19"/>
    </row>
    <row r="2759" spans="1:10" x14ac:dyDescent="0.25">
      <c r="A2759" s="82">
        <v>42789</v>
      </c>
      <c r="B2759" s="39" t="s">
        <v>7052</v>
      </c>
      <c r="C2759" s="89"/>
      <c r="D2759" s="18">
        <v>102094</v>
      </c>
      <c r="E2759" s="2" t="s">
        <v>35</v>
      </c>
      <c r="F2759" s="15">
        <v>382.2</v>
      </c>
      <c r="G2759" s="41">
        <v>42791</v>
      </c>
      <c r="H2759" s="15">
        <f t="shared" si="81"/>
        <v>382.2</v>
      </c>
      <c r="I2759" s="15">
        <f t="shared" si="80"/>
        <v>0</v>
      </c>
      <c r="J2759" s="19"/>
    </row>
    <row r="2760" spans="1:10" x14ac:dyDescent="0.25">
      <c r="A2760" s="82">
        <v>42789</v>
      </c>
      <c r="B2760" s="39" t="s">
        <v>7053</v>
      </c>
      <c r="C2760" s="89"/>
      <c r="D2760" s="18">
        <v>102095</v>
      </c>
      <c r="E2760" s="2" t="s">
        <v>250</v>
      </c>
      <c r="F2760" s="15">
        <v>9276.7000000000007</v>
      </c>
      <c r="G2760" s="41">
        <v>42790</v>
      </c>
      <c r="H2760" s="15">
        <f t="shared" si="81"/>
        <v>9276.7000000000007</v>
      </c>
      <c r="I2760" s="15">
        <f t="shared" si="80"/>
        <v>0</v>
      </c>
      <c r="J2760" s="19"/>
    </row>
    <row r="2761" spans="1:10" x14ac:dyDescent="0.25">
      <c r="A2761" s="82">
        <v>42789</v>
      </c>
      <c r="B2761" s="39" t="s">
        <v>7054</v>
      </c>
      <c r="C2761" s="89"/>
      <c r="D2761" s="18">
        <v>102096</v>
      </c>
      <c r="E2761" s="2" t="s">
        <v>231</v>
      </c>
      <c r="F2761" s="15">
        <v>1200</v>
      </c>
      <c r="G2761" s="41">
        <v>42790</v>
      </c>
      <c r="H2761" s="15">
        <f t="shared" si="81"/>
        <v>1200</v>
      </c>
      <c r="I2761" s="15">
        <f t="shared" si="80"/>
        <v>0</v>
      </c>
      <c r="J2761" s="19"/>
    </row>
    <row r="2762" spans="1:10" x14ac:dyDescent="0.25">
      <c r="A2762" s="82">
        <v>42789</v>
      </c>
      <c r="B2762" s="39" t="s">
        <v>7055</v>
      </c>
      <c r="C2762" s="89"/>
      <c r="D2762" s="18">
        <v>102097</v>
      </c>
      <c r="E2762" s="2" t="s">
        <v>3425</v>
      </c>
      <c r="F2762" s="15">
        <v>1752.9</v>
      </c>
      <c r="G2762" s="41">
        <v>42789</v>
      </c>
      <c r="H2762" s="15">
        <f t="shared" si="81"/>
        <v>1752.9</v>
      </c>
      <c r="I2762" s="15">
        <f t="shared" si="80"/>
        <v>0</v>
      </c>
      <c r="J2762" s="19"/>
    </row>
    <row r="2763" spans="1:10" x14ac:dyDescent="0.25">
      <c r="A2763" s="82">
        <v>42789</v>
      </c>
      <c r="B2763" s="39" t="s">
        <v>7056</v>
      </c>
      <c r="C2763" s="89"/>
      <c r="D2763" s="18">
        <v>102098</v>
      </c>
      <c r="E2763" s="2" t="s">
        <v>457</v>
      </c>
      <c r="F2763" s="15">
        <v>3847.2</v>
      </c>
      <c r="G2763" s="41">
        <v>42789</v>
      </c>
      <c r="H2763" s="15">
        <f t="shared" si="81"/>
        <v>3847.2</v>
      </c>
      <c r="I2763" s="15">
        <f t="shared" si="80"/>
        <v>0</v>
      </c>
      <c r="J2763" s="19"/>
    </row>
    <row r="2764" spans="1:10" x14ac:dyDescent="0.25">
      <c r="A2764" s="82">
        <v>42789</v>
      </c>
      <c r="B2764" s="39" t="s">
        <v>7057</v>
      </c>
      <c r="C2764" s="89"/>
      <c r="D2764" s="18">
        <v>102099</v>
      </c>
      <c r="E2764" s="2" t="s">
        <v>10</v>
      </c>
      <c r="F2764" s="15">
        <v>1967</v>
      </c>
      <c r="G2764" s="41">
        <v>42791</v>
      </c>
      <c r="H2764" s="15">
        <f t="shared" si="81"/>
        <v>1967</v>
      </c>
      <c r="I2764" s="15">
        <f t="shared" si="80"/>
        <v>0</v>
      </c>
      <c r="J2764" s="19"/>
    </row>
    <row r="2765" spans="1:10" x14ac:dyDescent="0.25">
      <c r="A2765" s="82">
        <v>42789</v>
      </c>
      <c r="B2765" s="39" t="s">
        <v>7058</v>
      </c>
      <c r="C2765" s="89"/>
      <c r="D2765" s="18">
        <v>102100</v>
      </c>
      <c r="E2765" s="2" t="s">
        <v>1666</v>
      </c>
      <c r="F2765" s="15">
        <v>6979</v>
      </c>
      <c r="G2765" s="41">
        <v>42790</v>
      </c>
      <c r="H2765" s="15">
        <f t="shared" si="81"/>
        <v>6979</v>
      </c>
      <c r="I2765" s="15">
        <f t="shared" si="80"/>
        <v>0</v>
      </c>
      <c r="J2765" s="19"/>
    </row>
    <row r="2766" spans="1:10" x14ac:dyDescent="0.25">
      <c r="A2766" s="82">
        <v>42789</v>
      </c>
      <c r="B2766" s="39" t="s">
        <v>7059</v>
      </c>
      <c r="C2766" s="89"/>
      <c r="D2766" s="18">
        <v>102101</v>
      </c>
      <c r="E2766" s="2" t="s">
        <v>151</v>
      </c>
      <c r="F2766" s="15">
        <v>20150.98</v>
      </c>
      <c r="G2766" s="41">
        <v>42789</v>
      </c>
      <c r="H2766" s="15">
        <f t="shared" si="81"/>
        <v>20150.98</v>
      </c>
      <c r="I2766" s="15">
        <f t="shared" si="80"/>
        <v>0</v>
      </c>
      <c r="J2766" s="19"/>
    </row>
    <row r="2767" spans="1:10" x14ac:dyDescent="0.25">
      <c r="A2767" s="82">
        <v>42789</v>
      </c>
      <c r="B2767" s="39" t="s">
        <v>7060</v>
      </c>
      <c r="C2767" s="89"/>
      <c r="D2767" s="18">
        <v>102102</v>
      </c>
      <c r="E2767" s="2" t="s">
        <v>432</v>
      </c>
      <c r="F2767" s="15">
        <v>13819.5</v>
      </c>
      <c r="G2767" s="41">
        <v>42738</v>
      </c>
      <c r="H2767" s="15">
        <f t="shared" si="81"/>
        <v>13819.5</v>
      </c>
      <c r="I2767" s="15">
        <f t="shared" si="80"/>
        <v>0</v>
      </c>
      <c r="J2767" s="19"/>
    </row>
    <row r="2768" spans="1:10" x14ac:dyDescent="0.25">
      <c r="A2768" s="82">
        <v>42789</v>
      </c>
      <c r="B2768" s="39" t="s">
        <v>7061</v>
      </c>
      <c r="C2768" s="89"/>
      <c r="D2768" s="18">
        <v>102103</v>
      </c>
      <c r="E2768" s="2" t="s">
        <v>270</v>
      </c>
      <c r="F2768" s="15">
        <v>3307.8</v>
      </c>
      <c r="G2768" s="41">
        <v>42790</v>
      </c>
      <c r="H2768" s="15">
        <f t="shared" si="81"/>
        <v>3307.8</v>
      </c>
      <c r="I2768" s="15">
        <f t="shared" si="80"/>
        <v>0</v>
      </c>
      <c r="J2768" s="19"/>
    </row>
    <row r="2769" spans="1:10" x14ac:dyDescent="0.25">
      <c r="A2769" s="82">
        <v>42789</v>
      </c>
      <c r="B2769" s="39" t="s">
        <v>7062</v>
      </c>
      <c r="C2769" s="89"/>
      <c r="D2769" s="18">
        <v>102104</v>
      </c>
      <c r="E2769" s="2" t="s">
        <v>442</v>
      </c>
      <c r="F2769" s="15">
        <v>3637.1</v>
      </c>
      <c r="G2769" s="41">
        <v>42790</v>
      </c>
      <c r="H2769" s="15">
        <f t="shared" si="81"/>
        <v>3637.1</v>
      </c>
      <c r="I2769" s="15">
        <f t="shared" si="80"/>
        <v>0</v>
      </c>
      <c r="J2769" s="19"/>
    </row>
    <row r="2770" spans="1:10" x14ac:dyDescent="0.25">
      <c r="A2770" s="82">
        <v>42789</v>
      </c>
      <c r="B2770" s="39" t="s">
        <v>7063</v>
      </c>
      <c r="C2770" s="89"/>
      <c r="D2770" s="18">
        <v>102105</v>
      </c>
      <c r="E2770" s="2" t="s">
        <v>268</v>
      </c>
      <c r="F2770" s="15">
        <v>14938.5</v>
      </c>
      <c r="G2770" s="41">
        <v>42738</v>
      </c>
      <c r="H2770" s="15">
        <f t="shared" si="81"/>
        <v>14938.5</v>
      </c>
      <c r="I2770" s="15">
        <f t="shared" si="80"/>
        <v>0</v>
      </c>
      <c r="J2770" s="19"/>
    </row>
    <row r="2771" spans="1:10" x14ac:dyDescent="0.25">
      <c r="A2771" s="82">
        <v>42789</v>
      </c>
      <c r="B2771" s="39" t="s">
        <v>7064</v>
      </c>
      <c r="C2771" s="89"/>
      <c r="D2771" s="18">
        <v>102106</v>
      </c>
      <c r="E2771" s="2" t="s">
        <v>613</v>
      </c>
      <c r="F2771" s="15">
        <v>3131.1</v>
      </c>
      <c r="G2771" s="41">
        <v>42789</v>
      </c>
      <c r="H2771" s="15">
        <f t="shared" si="81"/>
        <v>3131.1</v>
      </c>
      <c r="I2771" s="15">
        <f t="shared" si="80"/>
        <v>0</v>
      </c>
      <c r="J2771" s="19"/>
    </row>
    <row r="2772" spans="1:10" x14ac:dyDescent="0.25">
      <c r="A2772" s="82">
        <v>42789</v>
      </c>
      <c r="B2772" s="39" t="s">
        <v>7065</v>
      </c>
      <c r="C2772" s="89"/>
      <c r="D2772" s="18">
        <v>102107</v>
      </c>
      <c r="E2772" s="2" t="s">
        <v>133</v>
      </c>
      <c r="F2772" s="15">
        <v>11954.1</v>
      </c>
      <c r="G2772" s="41" t="s">
        <v>3806</v>
      </c>
      <c r="H2772" s="15">
        <f t="shared" si="81"/>
        <v>11954.1</v>
      </c>
      <c r="I2772" s="15">
        <f t="shared" si="80"/>
        <v>0</v>
      </c>
      <c r="J2772" s="19"/>
    </row>
    <row r="2773" spans="1:10" x14ac:dyDescent="0.25">
      <c r="A2773" s="82">
        <v>42789</v>
      </c>
      <c r="B2773" s="39" t="s">
        <v>7066</v>
      </c>
      <c r="C2773" s="89"/>
      <c r="D2773" s="18">
        <v>102108</v>
      </c>
      <c r="E2773" s="2" t="s">
        <v>712</v>
      </c>
      <c r="F2773" s="15">
        <v>3724</v>
      </c>
      <c r="G2773" s="41">
        <v>42789</v>
      </c>
      <c r="H2773" s="15">
        <f t="shared" si="81"/>
        <v>3724</v>
      </c>
      <c r="I2773" s="15">
        <f t="shared" si="80"/>
        <v>0</v>
      </c>
      <c r="J2773" s="19"/>
    </row>
    <row r="2774" spans="1:10" x14ac:dyDescent="0.25">
      <c r="A2774" s="82">
        <v>42789</v>
      </c>
      <c r="B2774" s="39" t="s">
        <v>7067</v>
      </c>
      <c r="C2774" s="89"/>
      <c r="D2774" s="18">
        <v>102109</v>
      </c>
      <c r="E2774" s="2" t="s">
        <v>30</v>
      </c>
      <c r="F2774" s="15">
        <v>3180.8</v>
      </c>
      <c r="H2774" s="15">
        <f t="shared" si="81"/>
        <v>3180.8</v>
      </c>
      <c r="I2774" s="15">
        <f t="shared" si="80"/>
        <v>0</v>
      </c>
      <c r="J2774" s="19"/>
    </row>
    <row r="2775" spans="1:10" x14ac:dyDescent="0.25">
      <c r="A2775" s="82">
        <v>42789</v>
      </c>
      <c r="B2775" s="39" t="s">
        <v>7068</v>
      </c>
      <c r="C2775" s="89"/>
      <c r="D2775" s="18">
        <v>102110</v>
      </c>
      <c r="E2775" s="2" t="s">
        <v>435</v>
      </c>
      <c r="F2775" s="15">
        <v>7070.7</v>
      </c>
      <c r="G2775" s="41">
        <v>42790</v>
      </c>
      <c r="H2775" s="15">
        <f t="shared" si="81"/>
        <v>7070.7</v>
      </c>
      <c r="I2775" s="15">
        <f t="shared" si="80"/>
        <v>0</v>
      </c>
      <c r="J2775" s="19"/>
    </row>
    <row r="2776" spans="1:10" x14ac:dyDescent="0.25">
      <c r="A2776" s="82">
        <v>42789</v>
      </c>
      <c r="B2776" s="39" t="s">
        <v>7069</v>
      </c>
      <c r="C2776" s="89"/>
      <c r="D2776" s="18">
        <v>102111</v>
      </c>
      <c r="E2776" s="2" t="s">
        <v>462</v>
      </c>
      <c r="F2776" s="15">
        <v>1468.8</v>
      </c>
      <c r="G2776" s="41">
        <v>42789</v>
      </c>
      <c r="H2776" s="15">
        <f t="shared" si="81"/>
        <v>1468.8</v>
      </c>
      <c r="I2776" s="15">
        <f t="shared" si="80"/>
        <v>0</v>
      </c>
      <c r="J2776" s="19"/>
    </row>
    <row r="2777" spans="1:10" x14ac:dyDescent="0.25">
      <c r="A2777" s="82">
        <v>42789</v>
      </c>
      <c r="B2777" s="39" t="s">
        <v>7070</v>
      </c>
      <c r="C2777" s="89"/>
      <c r="D2777" s="18">
        <v>102112</v>
      </c>
      <c r="E2777" s="2" t="s">
        <v>30</v>
      </c>
      <c r="F2777" s="15">
        <v>372.4</v>
      </c>
      <c r="G2777" s="41">
        <v>42789</v>
      </c>
      <c r="H2777" s="15">
        <f t="shared" si="81"/>
        <v>372.4</v>
      </c>
      <c r="I2777" s="15">
        <f t="shared" si="80"/>
        <v>0</v>
      </c>
      <c r="J2777" s="19"/>
    </row>
    <row r="2778" spans="1:10" x14ac:dyDescent="0.25">
      <c r="A2778" s="82">
        <v>42789</v>
      </c>
      <c r="B2778" s="39" t="s">
        <v>7071</v>
      </c>
      <c r="C2778" s="89"/>
      <c r="D2778" s="18">
        <v>102113</v>
      </c>
      <c r="E2778" s="2" t="s">
        <v>236</v>
      </c>
      <c r="F2778" s="15">
        <v>36651.620000000003</v>
      </c>
      <c r="G2778" s="41">
        <v>42791</v>
      </c>
      <c r="H2778" s="15">
        <f t="shared" si="81"/>
        <v>36651.620000000003</v>
      </c>
      <c r="I2778" s="15">
        <f t="shared" si="80"/>
        <v>0</v>
      </c>
      <c r="J2778" s="19"/>
    </row>
    <row r="2779" spans="1:10" x14ac:dyDescent="0.25">
      <c r="A2779" s="82">
        <v>42789</v>
      </c>
      <c r="B2779" s="39" t="s">
        <v>7072</v>
      </c>
      <c r="C2779" s="89"/>
      <c r="D2779" s="18">
        <v>102114</v>
      </c>
      <c r="E2779" s="2" t="s">
        <v>79</v>
      </c>
      <c r="F2779" s="15">
        <v>3070.1</v>
      </c>
      <c r="H2779" s="15">
        <f t="shared" si="81"/>
        <v>3070.1</v>
      </c>
      <c r="I2779" s="15">
        <f t="shared" si="80"/>
        <v>0</v>
      </c>
      <c r="J2779" s="19"/>
    </row>
    <row r="2780" spans="1:10" x14ac:dyDescent="0.25">
      <c r="A2780" s="82">
        <v>42789</v>
      </c>
      <c r="B2780" s="39" t="s">
        <v>7073</v>
      </c>
      <c r="C2780" s="89"/>
      <c r="D2780" s="18">
        <v>102115</v>
      </c>
      <c r="E2780" s="2" t="s">
        <v>240</v>
      </c>
      <c r="F2780" s="15">
        <v>6750.2</v>
      </c>
      <c r="G2780" s="41">
        <v>42789</v>
      </c>
      <c r="H2780" s="15">
        <f t="shared" si="81"/>
        <v>6750.2</v>
      </c>
      <c r="I2780" s="15">
        <f t="shared" si="80"/>
        <v>0</v>
      </c>
      <c r="J2780" s="19"/>
    </row>
    <row r="2781" spans="1:10" x14ac:dyDescent="0.25">
      <c r="A2781" s="82">
        <v>42789</v>
      </c>
      <c r="B2781" s="39" t="s">
        <v>7074</v>
      </c>
      <c r="C2781" s="89"/>
      <c r="D2781" s="18">
        <v>102116</v>
      </c>
      <c r="E2781" s="2" t="s">
        <v>81</v>
      </c>
      <c r="F2781" s="15">
        <v>513</v>
      </c>
      <c r="G2781" s="41">
        <v>42789</v>
      </c>
      <c r="H2781" s="15">
        <f t="shared" si="81"/>
        <v>513</v>
      </c>
      <c r="I2781" s="15">
        <f t="shared" si="80"/>
        <v>0</v>
      </c>
      <c r="J2781" s="19"/>
    </row>
    <row r="2782" spans="1:10" x14ac:dyDescent="0.25">
      <c r="A2782" s="82">
        <v>42789</v>
      </c>
      <c r="B2782" s="39" t="s">
        <v>7075</v>
      </c>
      <c r="C2782" s="89"/>
      <c r="D2782" s="18">
        <v>102117</v>
      </c>
      <c r="E2782" s="2" t="s">
        <v>281</v>
      </c>
      <c r="F2782" s="15">
        <v>1831.1</v>
      </c>
      <c r="G2782" s="41">
        <v>42789</v>
      </c>
      <c r="H2782" s="15">
        <f t="shared" si="81"/>
        <v>1831.1</v>
      </c>
      <c r="I2782" s="15">
        <f t="shared" si="80"/>
        <v>0</v>
      </c>
      <c r="J2782" s="19"/>
    </row>
    <row r="2783" spans="1:10" x14ac:dyDescent="0.25">
      <c r="A2783" s="82">
        <v>42789</v>
      </c>
      <c r="B2783" s="39" t="s">
        <v>7076</v>
      </c>
      <c r="C2783" s="89"/>
      <c r="D2783" s="18">
        <v>102118</v>
      </c>
      <c r="E2783" s="2" t="s">
        <v>99</v>
      </c>
      <c r="F2783" s="15">
        <v>1460.2</v>
      </c>
      <c r="G2783" s="41">
        <v>42789</v>
      </c>
      <c r="H2783" s="15">
        <f t="shared" si="81"/>
        <v>1460.2</v>
      </c>
      <c r="I2783" s="15">
        <f t="shared" si="80"/>
        <v>0</v>
      </c>
      <c r="J2783" s="19"/>
    </row>
    <row r="2784" spans="1:10" x14ac:dyDescent="0.25">
      <c r="A2784" s="82">
        <v>42789</v>
      </c>
      <c r="B2784" s="39" t="s">
        <v>7077</v>
      </c>
      <c r="C2784" s="89"/>
      <c r="D2784" s="18">
        <v>102119</v>
      </c>
      <c r="E2784" s="2" t="s">
        <v>4367</v>
      </c>
      <c r="F2784" s="15">
        <v>1611.5</v>
      </c>
      <c r="G2784" s="41">
        <v>42789</v>
      </c>
      <c r="H2784" s="15">
        <f t="shared" si="81"/>
        <v>1611.5</v>
      </c>
      <c r="I2784" s="15">
        <f t="shared" si="80"/>
        <v>0</v>
      </c>
      <c r="J2784" s="19"/>
    </row>
    <row r="2785" spans="1:10" x14ac:dyDescent="0.25">
      <c r="A2785" s="82">
        <v>42789</v>
      </c>
      <c r="B2785" s="39" t="s">
        <v>7078</v>
      </c>
      <c r="C2785" s="89"/>
      <c r="D2785" s="18">
        <v>102120</v>
      </c>
      <c r="E2785" s="2" t="s">
        <v>149</v>
      </c>
      <c r="F2785" s="15">
        <v>2726.4</v>
      </c>
      <c r="G2785" s="41">
        <v>42789</v>
      </c>
      <c r="H2785" s="15">
        <f t="shared" si="81"/>
        <v>2726.4</v>
      </c>
      <c r="I2785" s="15">
        <f t="shared" si="80"/>
        <v>0</v>
      </c>
      <c r="J2785" s="19"/>
    </row>
    <row r="2786" spans="1:10" x14ac:dyDescent="0.25">
      <c r="A2786" s="82">
        <v>42789</v>
      </c>
      <c r="B2786" s="39" t="s">
        <v>7079</v>
      </c>
      <c r="C2786" s="89"/>
      <c r="D2786" s="18">
        <v>102121</v>
      </c>
      <c r="E2786" s="2" t="s">
        <v>149</v>
      </c>
      <c r="F2786" s="15">
        <v>1642.5</v>
      </c>
      <c r="G2786" s="41">
        <v>42789</v>
      </c>
      <c r="H2786" s="15">
        <f t="shared" si="81"/>
        <v>1642.5</v>
      </c>
      <c r="I2786" s="15">
        <f t="shared" si="80"/>
        <v>0</v>
      </c>
      <c r="J2786" s="19"/>
    </row>
    <row r="2787" spans="1:10" x14ac:dyDescent="0.25">
      <c r="A2787" s="82">
        <v>42789</v>
      </c>
      <c r="B2787" s="39" t="s">
        <v>7080</v>
      </c>
      <c r="C2787" s="89"/>
      <c r="D2787" s="18">
        <v>102122</v>
      </c>
      <c r="E2787" s="2" t="s">
        <v>149</v>
      </c>
      <c r="F2787" s="15">
        <v>1285.4000000000001</v>
      </c>
      <c r="G2787" s="41">
        <v>42789</v>
      </c>
      <c r="H2787" s="15">
        <f t="shared" si="81"/>
        <v>1285.4000000000001</v>
      </c>
      <c r="I2787" s="15">
        <f t="shared" si="80"/>
        <v>0</v>
      </c>
      <c r="J2787" s="19"/>
    </row>
    <row r="2788" spans="1:10" x14ac:dyDescent="0.25">
      <c r="A2788" s="82">
        <v>42789</v>
      </c>
      <c r="B2788" s="39" t="s">
        <v>7081</v>
      </c>
      <c r="C2788" s="89"/>
      <c r="D2788" s="18">
        <v>102123</v>
      </c>
      <c r="E2788" s="2" t="s">
        <v>83</v>
      </c>
      <c r="F2788" s="15">
        <v>6432.2</v>
      </c>
      <c r="G2788" s="41">
        <v>42789</v>
      </c>
      <c r="H2788" s="15">
        <f t="shared" si="81"/>
        <v>6432.2</v>
      </c>
      <c r="I2788" s="15">
        <f t="shared" si="80"/>
        <v>0</v>
      </c>
      <c r="J2788" s="19"/>
    </row>
    <row r="2789" spans="1:10" x14ac:dyDescent="0.25">
      <c r="A2789" s="82">
        <v>42789</v>
      </c>
      <c r="B2789" s="39" t="s">
        <v>7082</v>
      </c>
      <c r="C2789" s="89"/>
      <c r="D2789" s="18">
        <v>102124</v>
      </c>
      <c r="E2789" s="2" t="s">
        <v>291</v>
      </c>
      <c r="F2789" s="15">
        <v>2312.8000000000002</v>
      </c>
      <c r="G2789" s="41">
        <v>42789</v>
      </c>
      <c r="H2789" s="15">
        <f t="shared" si="81"/>
        <v>2312.8000000000002</v>
      </c>
      <c r="I2789" s="15">
        <f t="shared" si="80"/>
        <v>0</v>
      </c>
      <c r="J2789" s="19"/>
    </row>
    <row r="2790" spans="1:10" ht="30" x14ac:dyDescent="0.25">
      <c r="A2790" s="82">
        <v>42789</v>
      </c>
      <c r="B2790" s="39" t="s">
        <v>7083</v>
      </c>
      <c r="C2790" s="89"/>
      <c r="D2790" s="18">
        <v>102125</v>
      </c>
      <c r="E2790" s="2" t="s">
        <v>1256</v>
      </c>
      <c r="F2790" s="15">
        <v>2995.7</v>
      </c>
      <c r="G2790" s="87" t="s">
        <v>7084</v>
      </c>
      <c r="H2790" s="20">
        <f>500+2495.7</f>
        <v>2995.7</v>
      </c>
      <c r="I2790" s="20">
        <f t="shared" si="80"/>
        <v>0</v>
      </c>
      <c r="J2790" s="19"/>
    </row>
    <row r="2791" spans="1:10" x14ac:dyDescent="0.25">
      <c r="A2791" s="82">
        <v>42789</v>
      </c>
      <c r="B2791" s="39" t="s">
        <v>7085</v>
      </c>
      <c r="C2791" s="89"/>
      <c r="D2791" s="18">
        <v>102126</v>
      </c>
      <c r="E2791" s="2" t="s">
        <v>88</v>
      </c>
      <c r="F2791" s="15">
        <v>897</v>
      </c>
      <c r="G2791" s="41">
        <v>42789</v>
      </c>
      <c r="H2791" s="15">
        <f t="shared" si="81"/>
        <v>897</v>
      </c>
      <c r="I2791" s="15">
        <f t="shared" si="80"/>
        <v>0</v>
      </c>
      <c r="J2791" s="19"/>
    </row>
    <row r="2792" spans="1:10" x14ac:dyDescent="0.25">
      <c r="A2792" s="82">
        <v>42789</v>
      </c>
      <c r="B2792" s="39" t="s">
        <v>7086</v>
      </c>
      <c r="C2792" s="89"/>
      <c r="D2792" s="18">
        <v>102127</v>
      </c>
      <c r="E2792" s="2" t="s">
        <v>88</v>
      </c>
      <c r="F2792" s="15">
        <v>1297.2</v>
      </c>
      <c r="G2792" s="41">
        <v>42789</v>
      </c>
      <c r="H2792" s="15">
        <f t="shared" si="81"/>
        <v>1297.2</v>
      </c>
      <c r="I2792" s="15">
        <f t="shared" si="80"/>
        <v>0</v>
      </c>
      <c r="J2792" s="19"/>
    </row>
    <row r="2793" spans="1:10" x14ac:dyDescent="0.25">
      <c r="A2793" s="82">
        <v>42789</v>
      </c>
      <c r="B2793" s="39" t="s">
        <v>7087</v>
      </c>
      <c r="C2793" s="89"/>
      <c r="D2793" s="18">
        <v>102128</v>
      </c>
      <c r="E2793" s="2" t="s">
        <v>92</v>
      </c>
      <c r="F2793" s="15">
        <v>2592</v>
      </c>
      <c r="H2793" s="15">
        <f t="shared" si="81"/>
        <v>2592</v>
      </c>
      <c r="I2793" s="15">
        <f t="shared" si="80"/>
        <v>0</v>
      </c>
      <c r="J2793" s="19"/>
    </row>
    <row r="2794" spans="1:10" x14ac:dyDescent="0.25">
      <c r="A2794" s="82">
        <v>42789</v>
      </c>
      <c r="B2794" s="39" t="s">
        <v>7088</v>
      </c>
      <c r="C2794" s="89"/>
      <c r="D2794" s="18">
        <v>102129</v>
      </c>
      <c r="E2794" s="2" t="s">
        <v>205</v>
      </c>
      <c r="F2794" s="15">
        <v>28165.83</v>
      </c>
      <c r="H2794" s="15">
        <f t="shared" si="81"/>
        <v>28165.83</v>
      </c>
      <c r="I2794" s="15">
        <f t="shared" si="80"/>
        <v>0</v>
      </c>
      <c r="J2794" s="19"/>
    </row>
    <row r="2795" spans="1:10" x14ac:dyDescent="0.25">
      <c r="A2795" s="82">
        <v>42789</v>
      </c>
      <c r="B2795" s="39" t="s">
        <v>7089</v>
      </c>
      <c r="C2795" s="89"/>
      <c r="D2795" s="18">
        <v>102130</v>
      </c>
      <c r="E2795" s="2" t="s">
        <v>109</v>
      </c>
      <c r="F2795" s="15">
        <v>4118.3999999999996</v>
      </c>
      <c r="G2795" s="41">
        <v>42789</v>
      </c>
      <c r="H2795" s="15">
        <f t="shared" si="81"/>
        <v>4118.3999999999996</v>
      </c>
      <c r="I2795" s="15">
        <f t="shared" si="80"/>
        <v>0</v>
      </c>
      <c r="J2795" s="19"/>
    </row>
    <row r="2796" spans="1:10" x14ac:dyDescent="0.25">
      <c r="A2796" s="82">
        <v>42789</v>
      </c>
      <c r="B2796" s="39" t="s">
        <v>7090</v>
      </c>
      <c r="C2796" s="89"/>
      <c r="D2796" s="18">
        <v>102131</v>
      </c>
      <c r="E2796" s="2" t="s">
        <v>105</v>
      </c>
      <c r="F2796" s="15">
        <v>777.6</v>
      </c>
      <c r="G2796" s="41">
        <v>42789</v>
      </c>
      <c r="H2796" s="15">
        <f t="shared" si="81"/>
        <v>777.6</v>
      </c>
      <c r="I2796" s="15">
        <f t="shared" si="80"/>
        <v>0</v>
      </c>
      <c r="J2796" s="19"/>
    </row>
    <row r="2797" spans="1:10" x14ac:dyDescent="0.25">
      <c r="A2797" s="82">
        <v>42789</v>
      </c>
      <c r="B2797" s="39" t="s">
        <v>7091</v>
      </c>
      <c r="C2797" s="89"/>
      <c r="D2797" s="18">
        <v>102132</v>
      </c>
      <c r="E2797" s="2" t="s">
        <v>103</v>
      </c>
      <c r="F2797" s="15">
        <v>3459.2</v>
      </c>
      <c r="G2797" s="41">
        <v>42791</v>
      </c>
      <c r="H2797" s="15">
        <f t="shared" si="81"/>
        <v>3459.2</v>
      </c>
      <c r="I2797" s="15">
        <f t="shared" si="80"/>
        <v>0</v>
      </c>
      <c r="J2797" s="19"/>
    </row>
    <row r="2798" spans="1:10" ht="30" x14ac:dyDescent="0.25">
      <c r="A2798" s="82">
        <v>42789</v>
      </c>
      <c r="B2798" s="39" t="s">
        <v>7092</v>
      </c>
      <c r="C2798" s="89"/>
      <c r="D2798" s="18">
        <v>102133</v>
      </c>
      <c r="E2798" s="2" t="s">
        <v>85</v>
      </c>
      <c r="F2798" s="15">
        <v>11742</v>
      </c>
      <c r="G2798" s="86" t="s">
        <v>7093</v>
      </c>
      <c r="H2798" s="23">
        <f>9000+2742</f>
        <v>11742</v>
      </c>
      <c r="I2798" s="23">
        <f t="shared" si="80"/>
        <v>0</v>
      </c>
      <c r="J2798" s="19"/>
    </row>
    <row r="2799" spans="1:10" x14ac:dyDescent="0.25">
      <c r="A2799" s="82">
        <v>42789</v>
      </c>
      <c r="B2799" s="39" t="s">
        <v>7094</v>
      </c>
      <c r="C2799" s="89"/>
      <c r="D2799" s="18">
        <v>102134</v>
      </c>
      <c r="E2799" s="2" t="s">
        <v>30</v>
      </c>
      <c r="F2799" s="15">
        <v>414</v>
      </c>
      <c r="G2799" s="41">
        <v>42789</v>
      </c>
      <c r="H2799" s="15">
        <f t="shared" si="81"/>
        <v>414</v>
      </c>
      <c r="I2799" s="15">
        <f t="shared" si="80"/>
        <v>0</v>
      </c>
      <c r="J2799" s="19"/>
    </row>
    <row r="2800" spans="1:10" x14ac:dyDescent="0.25">
      <c r="A2800" s="82">
        <v>42789</v>
      </c>
      <c r="B2800" s="39" t="s">
        <v>7095</v>
      </c>
      <c r="C2800" s="89"/>
      <c r="D2800" s="18">
        <v>102135</v>
      </c>
      <c r="E2800" s="2" t="s">
        <v>909</v>
      </c>
      <c r="F2800" s="15">
        <v>3619.2</v>
      </c>
      <c r="G2800" s="41">
        <v>42789</v>
      </c>
      <c r="H2800" s="15">
        <f t="shared" si="81"/>
        <v>3619.2</v>
      </c>
      <c r="I2800" s="15">
        <f t="shared" si="80"/>
        <v>0</v>
      </c>
      <c r="J2800" s="19"/>
    </row>
    <row r="2801" spans="1:10" x14ac:dyDescent="0.25">
      <c r="A2801" s="82">
        <v>42789</v>
      </c>
      <c r="B2801" s="39" t="s">
        <v>7096</v>
      </c>
      <c r="C2801" s="89"/>
      <c r="D2801" s="18">
        <v>102136</v>
      </c>
      <c r="E2801" s="2" t="s">
        <v>19</v>
      </c>
      <c r="F2801" s="15">
        <v>950.6</v>
      </c>
      <c r="G2801" s="41">
        <v>42789</v>
      </c>
      <c r="H2801" s="15">
        <f t="shared" si="81"/>
        <v>950.6</v>
      </c>
      <c r="I2801" s="15">
        <f t="shared" si="80"/>
        <v>0</v>
      </c>
      <c r="J2801" s="19"/>
    </row>
    <row r="2802" spans="1:10" x14ac:dyDescent="0.25">
      <c r="A2802" s="82">
        <v>42789</v>
      </c>
      <c r="B2802" s="39" t="s">
        <v>7097</v>
      </c>
      <c r="C2802" s="89"/>
      <c r="D2802" s="18">
        <v>102137</v>
      </c>
      <c r="E2802" s="2" t="s">
        <v>30</v>
      </c>
      <c r="F2802" s="15">
        <v>1368.72</v>
      </c>
      <c r="G2802" s="41">
        <v>42789</v>
      </c>
      <c r="H2802" s="15">
        <f t="shared" si="81"/>
        <v>1368.72</v>
      </c>
      <c r="I2802" s="15">
        <f t="shared" si="80"/>
        <v>0</v>
      </c>
      <c r="J2802" s="19"/>
    </row>
    <row r="2803" spans="1:10" x14ac:dyDescent="0.25">
      <c r="A2803" s="82">
        <v>42789</v>
      </c>
      <c r="B2803" s="39" t="s">
        <v>7098</v>
      </c>
      <c r="C2803" s="89"/>
      <c r="D2803" s="18">
        <v>102138</v>
      </c>
      <c r="E2803" s="2" t="s">
        <v>335</v>
      </c>
      <c r="F2803" s="15">
        <v>1598</v>
      </c>
      <c r="G2803" s="41">
        <v>42794</v>
      </c>
      <c r="H2803" s="15">
        <f t="shared" si="81"/>
        <v>1598</v>
      </c>
      <c r="I2803" s="15">
        <f t="shared" si="80"/>
        <v>0</v>
      </c>
      <c r="J2803" s="19"/>
    </row>
    <row r="2804" spans="1:10" x14ac:dyDescent="0.25">
      <c r="A2804" s="82">
        <v>42789</v>
      </c>
      <c r="B2804" s="39" t="s">
        <v>7099</v>
      </c>
      <c r="C2804" s="89"/>
      <c r="D2804" s="18">
        <v>102139</v>
      </c>
      <c r="E2804" s="2" t="s">
        <v>30</v>
      </c>
      <c r="F2804" s="15">
        <v>1334.76</v>
      </c>
      <c r="G2804" s="41">
        <v>42789</v>
      </c>
      <c r="H2804" s="15">
        <f t="shared" si="81"/>
        <v>1334.76</v>
      </c>
      <c r="I2804" s="15">
        <f t="shared" si="80"/>
        <v>0</v>
      </c>
      <c r="J2804" s="19"/>
    </row>
    <row r="2805" spans="1:10" x14ac:dyDescent="0.25">
      <c r="A2805" s="82">
        <v>42789</v>
      </c>
      <c r="B2805" s="39" t="s">
        <v>7100</v>
      </c>
      <c r="C2805" s="89"/>
      <c r="D2805" s="18">
        <v>102140</v>
      </c>
      <c r="E2805" s="2" t="s">
        <v>85</v>
      </c>
      <c r="F2805" s="15">
        <v>4943.6000000000004</v>
      </c>
      <c r="G2805" s="41">
        <v>42789</v>
      </c>
      <c r="H2805" s="15">
        <f t="shared" si="81"/>
        <v>4943.6000000000004</v>
      </c>
      <c r="I2805" s="15">
        <f t="shared" si="80"/>
        <v>0</v>
      </c>
      <c r="J2805" s="19"/>
    </row>
    <row r="2806" spans="1:10" x14ac:dyDescent="0.25">
      <c r="A2806" s="82">
        <v>42789</v>
      </c>
      <c r="B2806" s="39" t="s">
        <v>7101</v>
      </c>
      <c r="C2806" s="89"/>
      <c r="D2806" s="18">
        <v>102141</v>
      </c>
      <c r="E2806" s="2" t="s">
        <v>63</v>
      </c>
      <c r="F2806" s="15">
        <v>296.94</v>
      </c>
      <c r="G2806" s="41">
        <v>42789</v>
      </c>
      <c r="H2806" s="15">
        <f t="shared" si="81"/>
        <v>296.94</v>
      </c>
      <c r="I2806" s="15">
        <f t="shared" si="80"/>
        <v>0</v>
      </c>
      <c r="J2806" s="19"/>
    </row>
    <row r="2807" spans="1:10" x14ac:dyDescent="0.25">
      <c r="A2807" s="82">
        <v>42789</v>
      </c>
      <c r="B2807" s="39" t="s">
        <v>7102</v>
      </c>
      <c r="C2807" s="89"/>
      <c r="D2807" s="18">
        <v>102142</v>
      </c>
      <c r="E2807" s="2" t="s">
        <v>53</v>
      </c>
      <c r="F2807" s="15">
        <v>2857.5</v>
      </c>
      <c r="G2807" s="41">
        <v>42789</v>
      </c>
      <c r="H2807" s="15">
        <f t="shared" si="81"/>
        <v>2857.5</v>
      </c>
      <c r="I2807" s="15">
        <f t="shared" si="80"/>
        <v>0</v>
      </c>
      <c r="J2807" s="19"/>
    </row>
    <row r="2808" spans="1:10" x14ac:dyDescent="0.25">
      <c r="A2808" s="82">
        <v>42789</v>
      </c>
      <c r="B2808" s="39" t="s">
        <v>7103</v>
      </c>
      <c r="C2808" s="89"/>
      <c r="D2808" s="18">
        <v>102143</v>
      </c>
      <c r="E2808" s="2" t="s">
        <v>61</v>
      </c>
      <c r="F2808" s="15">
        <v>1656</v>
      </c>
      <c r="G2808" s="41">
        <v>42789</v>
      </c>
      <c r="H2808" s="15">
        <f t="shared" si="81"/>
        <v>1656</v>
      </c>
      <c r="I2808" s="15">
        <f t="shared" ref="I2808:I2871" si="82">F2808-H2808</f>
        <v>0</v>
      </c>
      <c r="J2808" s="19"/>
    </row>
    <row r="2809" spans="1:10" x14ac:dyDescent="0.25">
      <c r="A2809" s="82">
        <v>42789</v>
      </c>
      <c r="B2809" s="39" t="s">
        <v>7104</v>
      </c>
      <c r="C2809" s="89"/>
      <c r="D2809" s="18">
        <v>102144</v>
      </c>
      <c r="E2809" s="2" t="s">
        <v>3649</v>
      </c>
      <c r="F2809" s="15">
        <v>2895.8</v>
      </c>
      <c r="G2809" s="41">
        <v>42789</v>
      </c>
      <c r="H2809" s="15">
        <f t="shared" si="81"/>
        <v>2895.8</v>
      </c>
      <c r="I2809" s="15">
        <f t="shared" si="82"/>
        <v>0</v>
      </c>
      <c r="J2809" s="19"/>
    </row>
    <row r="2810" spans="1:10" x14ac:dyDescent="0.25">
      <c r="A2810" s="82">
        <v>42789</v>
      </c>
      <c r="B2810" s="39" t="s">
        <v>7105</v>
      </c>
      <c r="C2810" s="89"/>
      <c r="D2810" s="18">
        <v>102145</v>
      </c>
      <c r="E2810" s="2" t="s">
        <v>186</v>
      </c>
      <c r="F2810" s="15">
        <v>1430</v>
      </c>
      <c r="G2810" s="41">
        <v>42791</v>
      </c>
      <c r="H2810" s="15">
        <f t="shared" si="81"/>
        <v>1430</v>
      </c>
      <c r="I2810" s="15">
        <f t="shared" si="82"/>
        <v>0</v>
      </c>
      <c r="J2810" s="19"/>
    </row>
    <row r="2811" spans="1:10" x14ac:dyDescent="0.25">
      <c r="A2811" s="82">
        <v>42789</v>
      </c>
      <c r="B2811" s="39" t="s">
        <v>7106</v>
      </c>
      <c r="C2811" s="89"/>
      <c r="D2811" s="18">
        <v>102146</v>
      </c>
      <c r="E2811" s="2" t="s">
        <v>492</v>
      </c>
      <c r="F2811" s="15">
        <v>22104.7</v>
      </c>
      <c r="G2811" s="41">
        <v>42793</v>
      </c>
      <c r="H2811" s="15">
        <f t="shared" si="81"/>
        <v>22104.7</v>
      </c>
      <c r="I2811" s="15">
        <f t="shared" si="82"/>
        <v>0</v>
      </c>
      <c r="J2811" s="19"/>
    </row>
    <row r="2812" spans="1:10" x14ac:dyDescent="0.25">
      <c r="A2812" s="82">
        <v>42789</v>
      </c>
      <c r="B2812" s="39" t="s">
        <v>7107</v>
      </c>
      <c r="C2812" s="89"/>
      <c r="D2812" s="18">
        <v>102147</v>
      </c>
      <c r="E2812" s="2" t="s">
        <v>470</v>
      </c>
      <c r="F2812" s="15">
        <v>5159.7</v>
      </c>
      <c r="H2812" s="15">
        <f t="shared" si="81"/>
        <v>5159.7</v>
      </c>
      <c r="I2812" s="15">
        <f t="shared" si="82"/>
        <v>0</v>
      </c>
      <c r="J2812" s="19"/>
    </row>
    <row r="2813" spans="1:10" x14ac:dyDescent="0.25">
      <c r="A2813" s="82">
        <v>42789</v>
      </c>
      <c r="B2813" s="39" t="s">
        <v>7108</v>
      </c>
      <c r="C2813" s="89"/>
      <c r="D2813" s="18">
        <v>102148</v>
      </c>
      <c r="E2813" s="2" t="s">
        <v>7109</v>
      </c>
      <c r="F2813" s="15">
        <v>6745.4</v>
      </c>
      <c r="H2813" s="15">
        <f t="shared" si="81"/>
        <v>6745.4</v>
      </c>
      <c r="I2813" s="15">
        <f t="shared" si="82"/>
        <v>0</v>
      </c>
      <c r="J2813" s="19"/>
    </row>
    <row r="2814" spans="1:10" x14ac:dyDescent="0.25">
      <c r="A2814" s="82">
        <v>42789</v>
      </c>
      <c r="B2814" s="39" t="s">
        <v>7110</v>
      </c>
      <c r="C2814" s="89"/>
      <c r="D2814" s="18">
        <v>102149</v>
      </c>
      <c r="E2814" s="2" t="s">
        <v>122</v>
      </c>
      <c r="F2814" s="15">
        <v>3937.6</v>
      </c>
      <c r="G2814" s="41">
        <v>42790</v>
      </c>
      <c r="H2814" s="15">
        <f t="shared" si="81"/>
        <v>3937.6</v>
      </c>
      <c r="I2814" s="15">
        <f t="shared" si="82"/>
        <v>0</v>
      </c>
      <c r="J2814" s="19"/>
    </row>
    <row r="2815" spans="1:10" x14ac:dyDescent="0.25">
      <c r="A2815" s="82">
        <v>42789</v>
      </c>
      <c r="B2815" s="39" t="s">
        <v>7111</v>
      </c>
      <c r="C2815" s="89"/>
      <c r="D2815" s="18">
        <v>102150</v>
      </c>
      <c r="E2815" s="2" t="s">
        <v>12</v>
      </c>
      <c r="F2815" s="15">
        <v>1311</v>
      </c>
      <c r="G2815" s="41">
        <v>42789</v>
      </c>
      <c r="H2815" s="15">
        <f t="shared" si="81"/>
        <v>1311</v>
      </c>
      <c r="I2815" s="15">
        <f t="shared" si="82"/>
        <v>0</v>
      </c>
      <c r="J2815" s="19"/>
    </row>
    <row r="2816" spans="1:10" x14ac:dyDescent="0.25">
      <c r="A2816" s="82">
        <v>42789</v>
      </c>
      <c r="B2816" s="39" t="s">
        <v>7112</v>
      </c>
      <c r="C2816" s="89"/>
      <c r="D2816" s="18">
        <v>102151</v>
      </c>
      <c r="E2816" s="2" t="s">
        <v>159</v>
      </c>
      <c r="F2816" s="15">
        <v>5650.4</v>
      </c>
      <c r="G2816" s="41">
        <v>42790</v>
      </c>
      <c r="H2816" s="15">
        <f t="shared" si="81"/>
        <v>5650.4</v>
      </c>
      <c r="I2816" s="15">
        <f t="shared" si="82"/>
        <v>0</v>
      </c>
      <c r="J2816" s="19"/>
    </row>
    <row r="2817" spans="1:10" x14ac:dyDescent="0.25">
      <c r="A2817" s="82">
        <v>42789</v>
      </c>
      <c r="B2817" s="39" t="s">
        <v>7113</v>
      </c>
      <c r="C2817" s="89"/>
      <c r="D2817" s="18">
        <v>102152</v>
      </c>
      <c r="E2817" s="2" t="s">
        <v>879</v>
      </c>
      <c r="F2817" s="15">
        <v>3609.6</v>
      </c>
      <c r="G2817" s="41">
        <v>42789</v>
      </c>
      <c r="H2817" s="15">
        <f t="shared" si="81"/>
        <v>3609.6</v>
      </c>
      <c r="I2817" s="15">
        <f t="shared" si="82"/>
        <v>0</v>
      </c>
      <c r="J2817" s="19"/>
    </row>
    <row r="2818" spans="1:10" x14ac:dyDescent="0.25">
      <c r="A2818" s="82">
        <v>42789</v>
      </c>
      <c r="B2818" s="39" t="s">
        <v>7114</v>
      </c>
      <c r="C2818" s="89"/>
      <c r="D2818" s="18">
        <v>102153</v>
      </c>
      <c r="E2818" s="2" t="s">
        <v>305</v>
      </c>
      <c r="F2818" s="15">
        <v>5139.3999999999996</v>
      </c>
      <c r="G2818" s="41">
        <v>42793</v>
      </c>
      <c r="H2818" s="15">
        <f t="shared" si="81"/>
        <v>5139.3999999999996</v>
      </c>
      <c r="I2818" s="15">
        <f t="shared" si="82"/>
        <v>0</v>
      </c>
      <c r="J2818" s="19"/>
    </row>
    <row r="2819" spans="1:10" x14ac:dyDescent="0.25">
      <c r="A2819" s="82">
        <v>42789</v>
      </c>
      <c r="B2819" s="39" t="s">
        <v>7115</v>
      </c>
      <c r="C2819" s="89"/>
      <c r="D2819" s="18">
        <v>102154</v>
      </c>
      <c r="E2819" s="13" t="s">
        <v>476</v>
      </c>
      <c r="F2819" s="14">
        <v>0</v>
      </c>
      <c r="G2819" s="88" t="s">
        <v>95</v>
      </c>
      <c r="H2819" s="14">
        <f t="shared" si="81"/>
        <v>0</v>
      </c>
      <c r="I2819" s="14">
        <f t="shared" si="82"/>
        <v>0</v>
      </c>
      <c r="J2819" s="19"/>
    </row>
    <row r="2820" spans="1:10" x14ac:dyDescent="0.25">
      <c r="A2820" s="82">
        <v>42789</v>
      </c>
      <c r="B2820" s="39" t="s">
        <v>7116</v>
      </c>
      <c r="C2820" s="89"/>
      <c r="D2820" s="18">
        <v>102155</v>
      </c>
      <c r="E2820" s="2" t="s">
        <v>77</v>
      </c>
      <c r="F2820" s="15">
        <v>810.9</v>
      </c>
      <c r="G2820" s="41">
        <v>42789</v>
      </c>
      <c r="H2820" s="15">
        <f t="shared" ref="H2820:H2883" si="83">F2820</f>
        <v>810.9</v>
      </c>
      <c r="I2820" s="15">
        <f t="shared" si="82"/>
        <v>0</v>
      </c>
      <c r="J2820" s="19"/>
    </row>
    <row r="2821" spans="1:10" x14ac:dyDescent="0.25">
      <c r="A2821" s="82">
        <v>42789</v>
      </c>
      <c r="B2821" s="39" t="s">
        <v>7117</v>
      </c>
      <c r="C2821" s="89"/>
      <c r="D2821" s="18">
        <v>102156</v>
      </c>
      <c r="E2821" s="2" t="s">
        <v>321</v>
      </c>
      <c r="F2821" s="15">
        <v>242.4</v>
      </c>
      <c r="G2821" s="41">
        <v>42789</v>
      </c>
      <c r="H2821" s="15">
        <f t="shared" si="83"/>
        <v>242.4</v>
      </c>
      <c r="I2821" s="15">
        <f t="shared" si="82"/>
        <v>0</v>
      </c>
      <c r="J2821" s="19"/>
    </row>
    <row r="2822" spans="1:10" x14ac:dyDescent="0.25">
      <c r="A2822" s="82">
        <v>42789</v>
      </c>
      <c r="B2822" s="39" t="s">
        <v>7118</v>
      </c>
      <c r="C2822" s="89"/>
      <c r="D2822" s="18">
        <v>102157</v>
      </c>
      <c r="E2822" s="13" t="s">
        <v>30</v>
      </c>
      <c r="F2822" s="14">
        <v>0</v>
      </c>
      <c r="G2822" s="88" t="s">
        <v>95</v>
      </c>
      <c r="H2822" s="14">
        <f t="shared" si="83"/>
        <v>0</v>
      </c>
      <c r="I2822" s="14">
        <f t="shared" si="82"/>
        <v>0</v>
      </c>
      <c r="J2822" s="19"/>
    </row>
    <row r="2823" spans="1:10" x14ac:dyDescent="0.25">
      <c r="A2823" s="82">
        <v>42789</v>
      </c>
      <c r="B2823" s="39" t="s">
        <v>7119</v>
      </c>
      <c r="C2823" s="89"/>
      <c r="D2823" s="18">
        <v>102158</v>
      </c>
      <c r="E2823" s="2" t="s">
        <v>30</v>
      </c>
      <c r="F2823" s="15">
        <v>1213.8</v>
      </c>
      <c r="G2823" s="41">
        <v>42789</v>
      </c>
      <c r="H2823" s="15">
        <f t="shared" si="83"/>
        <v>1213.8</v>
      </c>
      <c r="I2823" s="15">
        <f t="shared" si="82"/>
        <v>0</v>
      </c>
      <c r="J2823" s="19"/>
    </row>
    <row r="2824" spans="1:10" x14ac:dyDescent="0.25">
      <c r="A2824" s="82">
        <v>42789</v>
      </c>
      <c r="B2824" s="39" t="s">
        <v>7120</v>
      </c>
      <c r="C2824" s="89"/>
      <c r="D2824" s="18">
        <v>102159</v>
      </c>
      <c r="E2824" s="2" t="s">
        <v>930</v>
      </c>
      <c r="F2824" s="15">
        <v>3479.6</v>
      </c>
      <c r="H2824" s="15">
        <f t="shared" si="83"/>
        <v>3479.6</v>
      </c>
      <c r="I2824" s="15">
        <f t="shared" si="82"/>
        <v>0</v>
      </c>
      <c r="J2824" s="19"/>
    </row>
    <row r="2825" spans="1:10" x14ac:dyDescent="0.25">
      <c r="A2825" s="82">
        <v>42789</v>
      </c>
      <c r="B2825" s="39" t="s">
        <v>7121</v>
      </c>
      <c r="C2825" s="89"/>
      <c r="D2825" s="18">
        <v>102160</v>
      </c>
      <c r="E2825" s="2" t="s">
        <v>930</v>
      </c>
      <c r="F2825" s="15">
        <v>3435.8</v>
      </c>
      <c r="G2825" s="41">
        <v>42789</v>
      </c>
      <c r="H2825" s="15">
        <f t="shared" si="83"/>
        <v>3435.8</v>
      </c>
      <c r="I2825" s="15">
        <f t="shared" si="82"/>
        <v>0</v>
      </c>
      <c r="J2825" s="19"/>
    </row>
    <row r="2826" spans="1:10" ht="30" x14ac:dyDescent="0.25">
      <c r="A2826" s="82">
        <v>42789</v>
      </c>
      <c r="B2826" s="90" t="s">
        <v>7122</v>
      </c>
      <c r="C2826" s="91"/>
      <c r="D2826" s="61">
        <v>102161</v>
      </c>
      <c r="E2826" s="62" t="s">
        <v>10</v>
      </c>
      <c r="F2826" s="63">
        <v>237468.88</v>
      </c>
      <c r="G2826" s="87" t="s">
        <v>7036</v>
      </c>
      <c r="H2826" s="65">
        <f>9029.5+228439.38</f>
        <v>237468.88</v>
      </c>
      <c r="I2826" s="65">
        <f t="shared" si="82"/>
        <v>0</v>
      </c>
      <c r="J2826" s="19"/>
    </row>
    <row r="2827" spans="1:10" x14ac:dyDescent="0.25">
      <c r="A2827" s="82">
        <v>42789</v>
      </c>
      <c r="B2827" s="39" t="s">
        <v>7123</v>
      </c>
      <c r="C2827" s="89"/>
      <c r="D2827" s="18">
        <v>102162</v>
      </c>
      <c r="E2827" s="2" t="s">
        <v>30</v>
      </c>
      <c r="F2827" s="15">
        <v>780</v>
      </c>
      <c r="G2827" s="41">
        <v>42789</v>
      </c>
      <c r="H2827" s="15">
        <f t="shared" si="83"/>
        <v>780</v>
      </c>
      <c r="I2827" s="15">
        <f t="shared" si="82"/>
        <v>0</v>
      </c>
      <c r="J2827" s="19"/>
    </row>
    <row r="2828" spans="1:10" x14ac:dyDescent="0.25">
      <c r="A2828" s="82">
        <v>42789</v>
      </c>
      <c r="B2828" s="39" t="s">
        <v>7124</v>
      </c>
      <c r="C2828" s="89"/>
      <c r="D2828" s="18">
        <v>102163</v>
      </c>
      <c r="E2828" s="2" t="s">
        <v>14</v>
      </c>
      <c r="F2828" s="15">
        <v>3641.4</v>
      </c>
      <c r="G2828" s="41">
        <v>42789</v>
      </c>
      <c r="H2828" s="15">
        <f t="shared" si="83"/>
        <v>3641.4</v>
      </c>
      <c r="I2828" s="15">
        <f t="shared" si="82"/>
        <v>0</v>
      </c>
      <c r="J2828" s="19"/>
    </row>
    <row r="2829" spans="1:10" x14ac:dyDescent="0.25">
      <c r="A2829" s="82">
        <v>42789</v>
      </c>
      <c r="B2829" s="39" t="s">
        <v>7125</v>
      </c>
      <c r="C2829" s="89"/>
      <c r="D2829" s="18">
        <v>102164</v>
      </c>
      <c r="E2829" s="2" t="s">
        <v>30</v>
      </c>
      <c r="F2829" s="15">
        <v>19988</v>
      </c>
      <c r="G2829" s="41">
        <v>42789</v>
      </c>
      <c r="H2829" s="15">
        <f t="shared" si="83"/>
        <v>19988</v>
      </c>
      <c r="I2829" s="15">
        <f t="shared" si="82"/>
        <v>0</v>
      </c>
      <c r="J2829" s="19"/>
    </row>
    <row r="2830" spans="1:10" x14ac:dyDescent="0.25">
      <c r="A2830" s="82">
        <v>42789</v>
      </c>
      <c r="B2830" s="39" t="s">
        <v>7126</v>
      </c>
      <c r="C2830" s="89"/>
      <c r="D2830" s="18">
        <v>102165</v>
      </c>
      <c r="E2830" s="2" t="s">
        <v>2519</v>
      </c>
      <c r="F2830" s="15">
        <v>2105.4</v>
      </c>
      <c r="G2830" s="41">
        <v>42789</v>
      </c>
      <c r="H2830" s="15">
        <f t="shared" si="83"/>
        <v>2105.4</v>
      </c>
      <c r="I2830" s="15">
        <f t="shared" si="82"/>
        <v>0</v>
      </c>
      <c r="J2830" s="19"/>
    </row>
    <row r="2831" spans="1:10" x14ac:dyDescent="0.25">
      <c r="A2831" s="82">
        <v>42789</v>
      </c>
      <c r="B2831" s="39" t="s">
        <v>7127</v>
      </c>
      <c r="C2831" s="89"/>
      <c r="D2831" s="18">
        <v>102166</v>
      </c>
      <c r="E2831" s="13" t="s">
        <v>656</v>
      </c>
      <c r="F2831" s="14">
        <v>0</v>
      </c>
      <c r="G2831" s="88" t="s">
        <v>95</v>
      </c>
      <c r="H2831" s="14">
        <f t="shared" si="83"/>
        <v>0</v>
      </c>
      <c r="I2831" s="14">
        <f t="shared" si="82"/>
        <v>0</v>
      </c>
      <c r="J2831" s="19"/>
    </row>
    <row r="2832" spans="1:10" x14ac:dyDescent="0.25">
      <c r="A2832" s="82">
        <v>42789</v>
      </c>
      <c r="B2832" s="39" t="s">
        <v>7128</v>
      </c>
      <c r="C2832" s="89"/>
      <c r="D2832" s="18">
        <v>102167</v>
      </c>
      <c r="E2832" s="2" t="s">
        <v>528</v>
      </c>
      <c r="F2832" s="15">
        <v>8922.7000000000007</v>
      </c>
      <c r="G2832" s="41">
        <v>42790</v>
      </c>
      <c r="H2832" s="15">
        <f t="shared" si="83"/>
        <v>8922.7000000000007</v>
      </c>
      <c r="I2832" s="15">
        <f t="shared" si="82"/>
        <v>0</v>
      </c>
      <c r="J2832" s="19"/>
    </row>
    <row r="2833" spans="1:10" x14ac:dyDescent="0.25">
      <c r="A2833" s="82">
        <v>42789</v>
      </c>
      <c r="B2833" s="39" t="s">
        <v>7129</v>
      </c>
      <c r="C2833" s="89"/>
      <c r="D2833" s="18">
        <v>102168</v>
      </c>
      <c r="E2833" s="2" t="s">
        <v>21</v>
      </c>
      <c r="F2833" s="15">
        <v>992</v>
      </c>
      <c r="G2833" s="41">
        <v>42805</v>
      </c>
      <c r="H2833" s="15">
        <f t="shared" si="83"/>
        <v>992</v>
      </c>
      <c r="I2833" s="15">
        <f t="shared" si="82"/>
        <v>0</v>
      </c>
      <c r="J2833" s="19"/>
    </row>
    <row r="2834" spans="1:10" x14ac:dyDescent="0.25">
      <c r="A2834" s="82">
        <v>42789</v>
      </c>
      <c r="B2834" s="39" t="s">
        <v>7130</v>
      </c>
      <c r="C2834" s="89"/>
      <c r="D2834" s="18">
        <v>102169</v>
      </c>
      <c r="E2834" s="2" t="s">
        <v>30</v>
      </c>
      <c r="F2834" s="15">
        <v>345</v>
      </c>
      <c r="G2834" s="41">
        <v>42789</v>
      </c>
      <c r="H2834" s="15">
        <f t="shared" si="83"/>
        <v>345</v>
      </c>
      <c r="I2834" s="15">
        <f t="shared" si="82"/>
        <v>0</v>
      </c>
      <c r="J2834" s="19"/>
    </row>
    <row r="2835" spans="1:10" x14ac:dyDescent="0.25">
      <c r="A2835" s="82">
        <v>42789</v>
      </c>
      <c r="B2835" s="39" t="s">
        <v>7131</v>
      </c>
      <c r="C2835" s="89"/>
      <c r="D2835" s="18">
        <v>102170</v>
      </c>
      <c r="E2835" s="2" t="s">
        <v>10</v>
      </c>
      <c r="F2835" s="15">
        <v>71296</v>
      </c>
      <c r="G2835" s="41">
        <v>42794</v>
      </c>
      <c r="H2835" s="15">
        <f t="shared" si="83"/>
        <v>71296</v>
      </c>
      <c r="I2835" s="15">
        <f t="shared" si="82"/>
        <v>0</v>
      </c>
      <c r="J2835" s="19"/>
    </row>
    <row r="2836" spans="1:10" x14ac:dyDescent="0.25">
      <c r="A2836" s="82">
        <v>42789</v>
      </c>
      <c r="B2836" s="39" t="s">
        <v>7132</v>
      </c>
      <c r="C2836" s="89"/>
      <c r="D2836" s="18">
        <v>102171</v>
      </c>
      <c r="E2836" s="2" t="s">
        <v>528</v>
      </c>
      <c r="F2836" s="15">
        <v>568.70000000000005</v>
      </c>
      <c r="G2836" s="41">
        <v>42790</v>
      </c>
      <c r="H2836" s="15">
        <f t="shared" si="83"/>
        <v>568.70000000000005</v>
      </c>
      <c r="I2836" s="15">
        <f t="shared" si="82"/>
        <v>0</v>
      </c>
      <c r="J2836" s="19"/>
    </row>
    <row r="2837" spans="1:10" x14ac:dyDescent="0.25">
      <c r="A2837" s="82">
        <v>42789</v>
      </c>
      <c r="B2837" s="39" t="s">
        <v>7133</v>
      </c>
      <c r="C2837" s="89"/>
      <c r="D2837" s="18">
        <v>102172</v>
      </c>
      <c r="E2837" s="2" t="s">
        <v>656</v>
      </c>
      <c r="F2837" s="15">
        <v>5007.6000000000004</v>
      </c>
      <c r="G2837" s="41">
        <v>42790</v>
      </c>
      <c r="H2837" s="15">
        <f t="shared" si="83"/>
        <v>5007.6000000000004</v>
      </c>
      <c r="I2837" s="15">
        <f t="shared" si="82"/>
        <v>0</v>
      </c>
      <c r="J2837" s="19"/>
    </row>
    <row r="2838" spans="1:10" x14ac:dyDescent="0.25">
      <c r="A2838" s="82">
        <v>42789</v>
      </c>
      <c r="B2838" s="39" t="s">
        <v>7134</v>
      </c>
      <c r="C2838" s="89"/>
      <c r="D2838" s="18">
        <v>102173</v>
      </c>
      <c r="E2838" s="2" t="s">
        <v>55</v>
      </c>
      <c r="F2838" s="15">
        <v>6769.6</v>
      </c>
      <c r="G2838" s="41">
        <v>42789</v>
      </c>
      <c r="H2838" s="15">
        <f t="shared" si="83"/>
        <v>6769.6</v>
      </c>
      <c r="I2838" s="15">
        <f t="shared" si="82"/>
        <v>0</v>
      </c>
      <c r="J2838" s="19"/>
    </row>
    <row r="2839" spans="1:10" x14ac:dyDescent="0.25">
      <c r="A2839" s="82">
        <v>42789</v>
      </c>
      <c r="B2839" s="39" t="s">
        <v>7135</v>
      </c>
      <c r="C2839" s="89"/>
      <c r="D2839" s="18">
        <v>102174</v>
      </c>
      <c r="E2839" s="2" t="s">
        <v>182</v>
      </c>
      <c r="F2839" s="15">
        <v>3875.9</v>
      </c>
      <c r="G2839" s="41">
        <v>42790</v>
      </c>
      <c r="H2839" s="15">
        <f t="shared" si="83"/>
        <v>3875.9</v>
      </c>
      <c r="I2839" s="15">
        <f t="shared" si="82"/>
        <v>0</v>
      </c>
      <c r="J2839" s="19"/>
    </row>
    <row r="2840" spans="1:10" x14ac:dyDescent="0.25">
      <c r="A2840" s="82">
        <v>42789</v>
      </c>
      <c r="B2840" s="39" t="s">
        <v>7136</v>
      </c>
      <c r="C2840" s="89"/>
      <c r="D2840" s="18">
        <v>102175</v>
      </c>
      <c r="E2840" s="2" t="s">
        <v>660</v>
      </c>
      <c r="F2840" s="15">
        <v>3146</v>
      </c>
      <c r="G2840" s="41">
        <v>42790</v>
      </c>
      <c r="H2840" s="15">
        <f t="shared" si="83"/>
        <v>3146</v>
      </c>
      <c r="I2840" s="15">
        <f t="shared" si="82"/>
        <v>0</v>
      </c>
      <c r="J2840" s="19"/>
    </row>
    <row r="2841" spans="1:10" x14ac:dyDescent="0.25">
      <c r="A2841" s="82">
        <v>42789</v>
      </c>
      <c r="B2841" s="39" t="s">
        <v>7137</v>
      </c>
      <c r="C2841" s="89"/>
      <c r="D2841" s="18">
        <v>102176</v>
      </c>
      <c r="E2841" s="2" t="s">
        <v>693</v>
      </c>
      <c r="F2841" s="15">
        <v>4616.6000000000004</v>
      </c>
      <c r="G2841" s="41">
        <v>42790</v>
      </c>
      <c r="H2841" s="15">
        <f t="shared" si="83"/>
        <v>4616.6000000000004</v>
      </c>
      <c r="I2841" s="15">
        <f t="shared" si="82"/>
        <v>0</v>
      </c>
      <c r="J2841" s="19"/>
    </row>
    <row r="2842" spans="1:10" x14ac:dyDescent="0.25">
      <c r="A2842" s="82">
        <v>42789</v>
      </c>
      <c r="B2842" s="39" t="s">
        <v>7138</v>
      </c>
      <c r="C2842" s="89"/>
      <c r="D2842" s="18">
        <v>102177</v>
      </c>
      <c r="E2842" s="2" t="s">
        <v>302</v>
      </c>
      <c r="F2842" s="15">
        <v>9431.6</v>
      </c>
      <c r="G2842" s="41">
        <v>42790</v>
      </c>
      <c r="H2842" s="15">
        <f t="shared" si="83"/>
        <v>9431.6</v>
      </c>
      <c r="I2842" s="15">
        <f t="shared" si="82"/>
        <v>0</v>
      </c>
      <c r="J2842" s="19"/>
    </row>
    <row r="2843" spans="1:10" x14ac:dyDescent="0.25">
      <c r="A2843" s="82">
        <v>42789</v>
      </c>
      <c r="B2843" s="39" t="s">
        <v>7139</v>
      </c>
      <c r="C2843" s="89"/>
      <c r="D2843" s="18">
        <v>102178</v>
      </c>
      <c r="E2843" s="13" t="s">
        <v>231</v>
      </c>
      <c r="F2843" s="14">
        <v>0</v>
      </c>
      <c r="G2843" s="88" t="s">
        <v>95</v>
      </c>
      <c r="H2843" s="14">
        <f t="shared" si="83"/>
        <v>0</v>
      </c>
      <c r="I2843" s="14">
        <f t="shared" si="82"/>
        <v>0</v>
      </c>
      <c r="J2843" s="19"/>
    </row>
    <row r="2844" spans="1:10" x14ac:dyDescent="0.25">
      <c r="A2844" s="82">
        <v>42789</v>
      </c>
      <c r="B2844" s="39" t="s">
        <v>7140</v>
      </c>
      <c r="C2844" s="89"/>
      <c r="D2844" s="18">
        <v>102179</v>
      </c>
      <c r="E2844" s="2" t="s">
        <v>231</v>
      </c>
      <c r="F2844" s="15">
        <v>3507.4</v>
      </c>
      <c r="G2844" s="41">
        <v>42790</v>
      </c>
      <c r="H2844" s="15">
        <f t="shared" si="83"/>
        <v>3507.4</v>
      </c>
      <c r="I2844" s="15">
        <f t="shared" si="82"/>
        <v>0</v>
      </c>
      <c r="J2844" s="19"/>
    </row>
    <row r="2845" spans="1:10" x14ac:dyDescent="0.25">
      <c r="A2845" s="82">
        <v>42789</v>
      </c>
      <c r="B2845" s="39" t="s">
        <v>7141</v>
      </c>
      <c r="C2845" s="89"/>
      <c r="D2845" s="18">
        <v>102180</v>
      </c>
      <c r="E2845" s="2" t="s">
        <v>651</v>
      </c>
      <c r="F2845" s="15">
        <v>40004.800000000003</v>
      </c>
      <c r="G2845" s="41">
        <v>42789</v>
      </c>
      <c r="H2845" s="15">
        <f t="shared" si="83"/>
        <v>40004.800000000003</v>
      </c>
      <c r="I2845" s="15">
        <f t="shared" si="82"/>
        <v>0</v>
      </c>
      <c r="J2845" s="19"/>
    </row>
    <row r="2846" spans="1:10" x14ac:dyDescent="0.25">
      <c r="A2846" s="82">
        <v>42789</v>
      </c>
      <c r="B2846" s="39" t="s">
        <v>7142</v>
      </c>
      <c r="C2846" s="89"/>
      <c r="D2846" s="18">
        <v>102181</v>
      </c>
      <c r="E2846" s="2" t="s">
        <v>472</v>
      </c>
      <c r="F2846" s="15">
        <v>12140.2</v>
      </c>
      <c r="G2846" s="41">
        <v>42790</v>
      </c>
      <c r="H2846" s="15">
        <f t="shared" si="83"/>
        <v>12140.2</v>
      </c>
      <c r="I2846" s="15">
        <f t="shared" si="82"/>
        <v>0</v>
      </c>
      <c r="J2846" s="19"/>
    </row>
    <row r="2847" spans="1:10" x14ac:dyDescent="0.25">
      <c r="A2847" s="82">
        <v>42789</v>
      </c>
      <c r="B2847" s="39" t="s">
        <v>7143</v>
      </c>
      <c r="C2847" s="89"/>
      <c r="D2847" s="18">
        <v>102182</v>
      </c>
      <c r="E2847" s="2" t="s">
        <v>222</v>
      </c>
      <c r="F2847" s="15">
        <v>256476</v>
      </c>
      <c r="G2847" s="41">
        <v>42738</v>
      </c>
      <c r="H2847" s="15">
        <f t="shared" si="83"/>
        <v>256476</v>
      </c>
      <c r="I2847" s="15">
        <f t="shared" si="82"/>
        <v>0</v>
      </c>
      <c r="J2847" s="19"/>
    </row>
    <row r="2848" spans="1:10" x14ac:dyDescent="0.25">
      <c r="A2848" s="82">
        <v>42789</v>
      </c>
      <c r="B2848" s="39" t="s">
        <v>7144</v>
      </c>
      <c r="C2848" s="89"/>
      <c r="D2848" s="18">
        <v>102183</v>
      </c>
      <c r="E2848" s="2" t="s">
        <v>352</v>
      </c>
      <c r="F2848" s="15">
        <v>2791.8</v>
      </c>
      <c r="G2848" s="41">
        <v>42789</v>
      </c>
      <c r="H2848" s="15">
        <f t="shared" si="83"/>
        <v>2791.8</v>
      </c>
      <c r="I2848" s="15">
        <f t="shared" si="82"/>
        <v>0</v>
      </c>
      <c r="J2848" s="19"/>
    </row>
    <row r="2849" spans="1:10" x14ac:dyDescent="0.25">
      <c r="A2849" s="82">
        <v>42789</v>
      </c>
      <c r="B2849" s="39" t="s">
        <v>7145</v>
      </c>
      <c r="C2849" s="89"/>
      <c r="D2849" s="18">
        <v>102184</v>
      </c>
      <c r="E2849" s="2" t="s">
        <v>509</v>
      </c>
      <c r="F2849" s="15">
        <v>9000</v>
      </c>
      <c r="G2849" s="41">
        <v>42789</v>
      </c>
      <c r="H2849" s="15">
        <f t="shared" si="83"/>
        <v>9000</v>
      </c>
      <c r="I2849" s="15">
        <f t="shared" si="82"/>
        <v>0</v>
      </c>
      <c r="J2849" s="19"/>
    </row>
    <row r="2850" spans="1:10" x14ac:dyDescent="0.25">
      <c r="A2850" s="82">
        <v>42789</v>
      </c>
      <c r="B2850" s="39" t="s">
        <v>7146</v>
      </c>
      <c r="C2850" s="89"/>
      <c r="D2850" s="18">
        <v>102185</v>
      </c>
      <c r="E2850" s="2" t="s">
        <v>7147</v>
      </c>
      <c r="F2850" s="15">
        <v>10903.2</v>
      </c>
      <c r="G2850" s="41">
        <v>42789</v>
      </c>
      <c r="H2850" s="15">
        <f t="shared" si="83"/>
        <v>10903.2</v>
      </c>
      <c r="I2850" s="15">
        <f t="shared" si="82"/>
        <v>0</v>
      </c>
      <c r="J2850" s="19"/>
    </row>
    <row r="2851" spans="1:10" x14ac:dyDescent="0.25">
      <c r="A2851" s="82">
        <v>42789</v>
      </c>
      <c r="B2851" s="39" t="s">
        <v>7148</v>
      </c>
      <c r="C2851" s="89"/>
      <c r="D2851" s="18">
        <v>102186</v>
      </c>
      <c r="E2851" s="2" t="s">
        <v>10</v>
      </c>
      <c r="F2851" s="15">
        <v>128259.46</v>
      </c>
      <c r="G2851" s="41">
        <v>42794</v>
      </c>
      <c r="H2851" s="15">
        <f t="shared" si="83"/>
        <v>128259.46</v>
      </c>
      <c r="I2851" s="15">
        <f t="shared" si="82"/>
        <v>0</v>
      </c>
      <c r="J2851" s="19"/>
    </row>
    <row r="2852" spans="1:10" x14ac:dyDescent="0.25">
      <c r="A2852" s="82">
        <v>42789</v>
      </c>
      <c r="B2852" s="39" t="s">
        <v>7149</v>
      </c>
      <c r="C2852" s="89"/>
      <c r="D2852" s="18">
        <v>102187</v>
      </c>
      <c r="E2852" s="2" t="s">
        <v>665</v>
      </c>
      <c r="F2852" s="15">
        <v>65581.600000000006</v>
      </c>
      <c r="G2852" s="41">
        <v>42798</v>
      </c>
      <c r="H2852" s="15">
        <f t="shared" si="83"/>
        <v>65581.600000000006</v>
      </c>
      <c r="I2852" s="15">
        <f t="shared" si="82"/>
        <v>0</v>
      </c>
      <c r="J2852" s="19"/>
    </row>
    <row r="2853" spans="1:10" x14ac:dyDescent="0.25">
      <c r="A2853" s="82">
        <v>42789</v>
      </c>
      <c r="B2853" s="39" t="s">
        <v>7150</v>
      </c>
      <c r="C2853" s="89"/>
      <c r="D2853" s="18">
        <v>102188</v>
      </c>
      <c r="E2853" s="2" t="s">
        <v>10</v>
      </c>
      <c r="F2853" s="15">
        <v>8440</v>
      </c>
      <c r="G2853" s="41">
        <v>42794</v>
      </c>
      <c r="H2853" s="15">
        <f t="shared" si="83"/>
        <v>8440</v>
      </c>
      <c r="I2853" s="15">
        <f t="shared" si="82"/>
        <v>0</v>
      </c>
      <c r="J2853" s="19"/>
    </row>
    <row r="2854" spans="1:10" x14ac:dyDescent="0.25">
      <c r="A2854" s="82">
        <v>42789</v>
      </c>
      <c r="B2854" s="39" t="s">
        <v>7151</v>
      </c>
      <c r="C2854" s="89"/>
      <c r="D2854" s="18">
        <v>102189</v>
      </c>
      <c r="E2854" s="2" t="s">
        <v>673</v>
      </c>
      <c r="F2854" s="15">
        <v>2587.1999999999998</v>
      </c>
      <c r="G2854" s="41">
        <v>42791</v>
      </c>
      <c r="H2854" s="15">
        <f t="shared" si="83"/>
        <v>2587.1999999999998</v>
      </c>
      <c r="I2854" s="15">
        <f t="shared" si="82"/>
        <v>0</v>
      </c>
      <c r="J2854" s="19"/>
    </row>
    <row r="2855" spans="1:10" x14ac:dyDescent="0.25">
      <c r="A2855" s="82">
        <v>42789</v>
      </c>
      <c r="B2855" s="39" t="s">
        <v>7152</v>
      </c>
      <c r="C2855" s="89"/>
      <c r="D2855" s="18">
        <v>102190</v>
      </c>
      <c r="E2855" s="2" t="s">
        <v>675</v>
      </c>
      <c r="F2855" s="15">
        <v>3263.9</v>
      </c>
      <c r="G2855" s="41">
        <v>42791</v>
      </c>
      <c r="H2855" s="15">
        <f t="shared" si="83"/>
        <v>3263.9</v>
      </c>
      <c r="I2855" s="15">
        <f t="shared" si="82"/>
        <v>0</v>
      </c>
      <c r="J2855" s="19"/>
    </row>
    <row r="2856" spans="1:10" ht="30" x14ac:dyDescent="0.25">
      <c r="A2856" s="82">
        <v>42789</v>
      </c>
      <c r="B2856" s="90" t="s">
        <v>7153</v>
      </c>
      <c r="C2856" s="91"/>
      <c r="D2856" s="61">
        <v>102191</v>
      </c>
      <c r="E2856" s="62" t="s">
        <v>1594</v>
      </c>
      <c r="F2856" s="63">
        <v>63263.8</v>
      </c>
      <c r="G2856" s="87" t="s">
        <v>7763</v>
      </c>
      <c r="H2856" s="65">
        <f>63158+105.8</f>
        <v>63263.8</v>
      </c>
      <c r="I2856" s="65">
        <f t="shared" si="82"/>
        <v>0</v>
      </c>
      <c r="J2856" s="19"/>
    </row>
    <row r="2857" spans="1:10" x14ac:dyDescent="0.25">
      <c r="A2857" s="82">
        <v>42789</v>
      </c>
      <c r="B2857" s="39" t="s">
        <v>7154</v>
      </c>
      <c r="C2857" s="89"/>
      <c r="D2857" s="18">
        <v>102192</v>
      </c>
      <c r="E2857" s="2" t="s">
        <v>1197</v>
      </c>
      <c r="F2857" s="15">
        <v>3722.4</v>
      </c>
      <c r="G2857" s="41">
        <v>42791</v>
      </c>
      <c r="H2857" s="15">
        <f t="shared" si="83"/>
        <v>3722.4</v>
      </c>
      <c r="I2857" s="15">
        <f t="shared" si="82"/>
        <v>0</v>
      </c>
      <c r="J2857" s="19"/>
    </row>
    <row r="2858" spans="1:10" x14ac:dyDescent="0.25">
      <c r="A2858" s="82">
        <v>42789</v>
      </c>
      <c r="B2858" s="39" t="s">
        <v>7155</v>
      </c>
      <c r="C2858" s="89"/>
      <c r="D2858" s="18">
        <v>102193</v>
      </c>
      <c r="E2858" s="2" t="s">
        <v>670</v>
      </c>
      <c r="F2858" s="15">
        <v>126952.6</v>
      </c>
      <c r="G2858" s="41">
        <v>42738</v>
      </c>
      <c r="H2858" s="15">
        <f t="shared" si="83"/>
        <v>126952.6</v>
      </c>
      <c r="I2858" s="15">
        <f t="shared" si="82"/>
        <v>0</v>
      </c>
      <c r="J2858" s="19"/>
    </row>
    <row r="2859" spans="1:10" x14ac:dyDescent="0.25">
      <c r="A2859" s="82">
        <v>42789</v>
      </c>
      <c r="B2859" s="39" t="s">
        <v>7156</v>
      </c>
      <c r="C2859" s="89"/>
      <c r="D2859" s="18">
        <v>102194</v>
      </c>
      <c r="E2859" s="2" t="s">
        <v>509</v>
      </c>
      <c r="F2859" s="15">
        <v>19496.2</v>
      </c>
      <c r="G2859" s="41">
        <v>42798</v>
      </c>
      <c r="H2859" s="15">
        <f t="shared" si="83"/>
        <v>19496.2</v>
      </c>
      <c r="I2859" s="15">
        <f t="shared" si="82"/>
        <v>0</v>
      </c>
      <c r="J2859" s="19"/>
    </row>
    <row r="2860" spans="1:10" x14ac:dyDescent="0.25">
      <c r="A2860" s="82">
        <v>42789</v>
      </c>
      <c r="B2860" s="39" t="s">
        <v>7157</v>
      </c>
      <c r="C2860" s="89"/>
      <c r="D2860" s="18">
        <v>102195</v>
      </c>
      <c r="E2860" s="2" t="s">
        <v>677</v>
      </c>
      <c r="F2860" s="15">
        <v>5847.9</v>
      </c>
      <c r="G2860" s="41">
        <v>42791</v>
      </c>
      <c r="H2860" s="15">
        <f t="shared" si="83"/>
        <v>5847.9</v>
      </c>
      <c r="I2860" s="15">
        <f t="shared" si="82"/>
        <v>0</v>
      </c>
      <c r="J2860" s="19"/>
    </row>
    <row r="2861" spans="1:10" x14ac:dyDescent="0.25">
      <c r="A2861" s="82">
        <v>42789</v>
      </c>
      <c r="B2861" s="39" t="s">
        <v>7158</v>
      </c>
      <c r="C2861" s="89"/>
      <c r="D2861" s="18">
        <v>102196</v>
      </c>
      <c r="E2861" s="2" t="s">
        <v>1598</v>
      </c>
      <c r="F2861" s="15">
        <v>2546.8000000000002</v>
      </c>
      <c r="G2861" s="41">
        <v>42791</v>
      </c>
      <c r="H2861" s="15">
        <f t="shared" si="83"/>
        <v>2546.8000000000002</v>
      </c>
      <c r="I2861" s="15">
        <f t="shared" si="82"/>
        <v>0</v>
      </c>
      <c r="J2861" s="19"/>
    </row>
    <row r="2862" spans="1:10" x14ac:dyDescent="0.25">
      <c r="A2862" s="82">
        <v>42789</v>
      </c>
      <c r="B2862" s="39" t="s">
        <v>7159</v>
      </c>
      <c r="C2862" s="89"/>
      <c r="D2862" s="18">
        <v>102197</v>
      </c>
      <c r="E2862" s="2" t="s">
        <v>688</v>
      </c>
      <c r="F2862" s="15">
        <v>520</v>
      </c>
      <c r="G2862" s="41">
        <v>42791</v>
      </c>
      <c r="H2862" s="15">
        <f t="shared" si="83"/>
        <v>520</v>
      </c>
      <c r="I2862" s="15">
        <f t="shared" si="82"/>
        <v>0</v>
      </c>
      <c r="J2862" s="19"/>
    </row>
    <row r="2863" spans="1:10" x14ac:dyDescent="0.25">
      <c r="A2863" s="82">
        <v>42789</v>
      </c>
      <c r="B2863" s="39" t="s">
        <v>7160</v>
      </c>
      <c r="C2863" s="89"/>
      <c r="D2863" s="18">
        <v>102198</v>
      </c>
      <c r="E2863" s="2" t="s">
        <v>680</v>
      </c>
      <c r="F2863" s="15">
        <v>2261.8000000000002</v>
      </c>
      <c r="G2863" s="41">
        <v>42791</v>
      </c>
      <c r="H2863" s="15">
        <f t="shared" si="83"/>
        <v>2261.8000000000002</v>
      </c>
      <c r="I2863" s="15">
        <f t="shared" si="82"/>
        <v>0</v>
      </c>
      <c r="J2863" s="19"/>
    </row>
    <row r="2864" spans="1:10" x14ac:dyDescent="0.25">
      <c r="A2864" s="82">
        <v>42789</v>
      </c>
      <c r="B2864" s="39" t="s">
        <v>7161</v>
      </c>
      <c r="C2864" s="89"/>
      <c r="D2864" s="18">
        <v>102199</v>
      </c>
      <c r="E2864" s="2" t="s">
        <v>677</v>
      </c>
      <c r="F2864" s="15">
        <v>3660.7</v>
      </c>
      <c r="G2864" s="41">
        <v>42791</v>
      </c>
      <c r="H2864" s="15">
        <f t="shared" si="83"/>
        <v>3660.7</v>
      </c>
      <c r="I2864" s="15">
        <f t="shared" si="82"/>
        <v>0</v>
      </c>
      <c r="J2864" s="19"/>
    </row>
    <row r="2865" spans="1:10" x14ac:dyDescent="0.25">
      <c r="A2865" s="82">
        <v>42789</v>
      </c>
      <c r="B2865" s="39" t="s">
        <v>7162</v>
      </c>
      <c r="C2865" s="89"/>
      <c r="D2865" s="18">
        <v>102200</v>
      </c>
      <c r="E2865" s="2" t="s">
        <v>1589</v>
      </c>
      <c r="F2865" s="15">
        <v>11140.2</v>
      </c>
      <c r="G2865" s="41">
        <v>42791</v>
      </c>
      <c r="H2865" s="15">
        <f t="shared" si="83"/>
        <v>11140.2</v>
      </c>
      <c r="I2865" s="15">
        <f t="shared" si="82"/>
        <v>0</v>
      </c>
      <c r="J2865" s="19"/>
    </row>
    <row r="2866" spans="1:10" x14ac:dyDescent="0.25">
      <c r="A2866" s="82">
        <v>42789</v>
      </c>
      <c r="B2866" s="39" t="s">
        <v>7163</v>
      </c>
      <c r="C2866" s="89"/>
      <c r="D2866" s="18">
        <v>102201</v>
      </c>
      <c r="E2866" s="2" t="s">
        <v>686</v>
      </c>
      <c r="F2866" s="15">
        <v>13365.3</v>
      </c>
      <c r="G2866" s="41">
        <v>42791</v>
      </c>
      <c r="H2866" s="15">
        <f t="shared" si="83"/>
        <v>13365.3</v>
      </c>
      <c r="I2866" s="15">
        <f t="shared" si="82"/>
        <v>0</v>
      </c>
      <c r="J2866" s="19"/>
    </row>
    <row r="2867" spans="1:10" x14ac:dyDescent="0.25">
      <c r="A2867" s="82">
        <v>42789</v>
      </c>
      <c r="B2867" s="39" t="s">
        <v>7164</v>
      </c>
      <c r="C2867" s="89"/>
      <c r="D2867" s="18">
        <v>102202</v>
      </c>
      <c r="E2867" s="2" t="s">
        <v>682</v>
      </c>
      <c r="F2867" s="15">
        <v>10399.56</v>
      </c>
      <c r="G2867" s="41">
        <v>42791</v>
      </c>
      <c r="H2867" s="15">
        <f t="shared" si="83"/>
        <v>10399.56</v>
      </c>
      <c r="I2867" s="15">
        <f t="shared" si="82"/>
        <v>0</v>
      </c>
      <c r="J2867" s="19"/>
    </row>
    <row r="2868" spans="1:10" x14ac:dyDescent="0.25">
      <c r="A2868" s="82">
        <v>42789</v>
      </c>
      <c r="B2868" s="39" t="s">
        <v>7165</v>
      </c>
      <c r="C2868" s="89"/>
      <c r="D2868" s="18">
        <v>102203</v>
      </c>
      <c r="E2868" s="2" t="s">
        <v>10</v>
      </c>
      <c r="F2868" s="15">
        <v>15270.5</v>
      </c>
      <c r="G2868" s="41">
        <v>42794</v>
      </c>
      <c r="H2868" s="15">
        <f t="shared" si="83"/>
        <v>15270.5</v>
      </c>
      <c r="I2868" s="15">
        <f t="shared" si="82"/>
        <v>0</v>
      </c>
      <c r="J2868" s="19"/>
    </row>
    <row r="2869" spans="1:10" x14ac:dyDescent="0.25">
      <c r="A2869" s="82">
        <v>42789</v>
      </c>
      <c r="B2869" s="39" t="s">
        <v>7166</v>
      </c>
      <c r="C2869" s="89"/>
      <c r="D2869" s="18">
        <v>102204</v>
      </c>
      <c r="E2869" s="2" t="s">
        <v>285</v>
      </c>
      <c r="F2869" s="15">
        <v>108</v>
      </c>
      <c r="G2869" s="41">
        <v>42811</v>
      </c>
      <c r="H2869" s="15">
        <f t="shared" si="83"/>
        <v>108</v>
      </c>
      <c r="I2869" s="15">
        <f t="shared" si="82"/>
        <v>0</v>
      </c>
      <c r="J2869" s="19"/>
    </row>
    <row r="2870" spans="1:10" x14ac:dyDescent="0.25">
      <c r="A2870" s="82">
        <v>42789</v>
      </c>
      <c r="B2870" s="39" t="s">
        <v>7167</v>
      </c>
      <c r="C2870" s="89"/>
      <c r="D2870" s="18">
        <v>102205</v>
      </c>
      <c r="E2870" s="2" t="s">
        <v>670</v>
      </c>
      <c r="F2870" s="15">
        <v>61212.3</v>
      </c>
      <c r="G2870" s="41">
        <v>42738</v>
      </c>
      <c r="H2870" s="15">
        <f t="shared" si="83"/>
        <v>61212.3</v>
      </c>
      <c r="I2870" s="15">
        <f t="shared" si="82"/>
        <v>0</v>
      </c>
      <c r="J2870" s="19"/>
    </row>
    <row r="2871" spans="1:10" x14ac:dyDescent="0.25">
      <c r="A2871" s="82">
        <v>42789</v>
      </c>
      <c r="B2871" s="39" t="s">
        <v>7168</v>
      </c>
      <c r="C2871" s="89"/>
      <c r="D2871" s="18">
        <v>102206</v>
      </c>
      <c r="E2871" s="2" t="s">
        <v>367</v>
      </c>
      <c r="F2871" s="15">
        <v>5816</v>
      </c>
      <c r="H2871" s="15">
        <f t="shared" si="83"/>
        <v>5816</v>
      </c>
      <c r="I2871" s="15">
        <f t="shared" si="82"/>
        <v>0</v>
      </c>
      <c r="J2871" s="19"/>
    </row>
    <row r="2872" spans="1:10" x14ac:dyDescent="0.25">
      <c r="A2872" s="82">
        <v>42789</v>
      </c>
      <c r="B2872" s="39" t="s">
        <v>7169</v>
      </c>
      <c r="C2872" s="89"/>
      <c r="D2872" s="18">
        <v>102207</v>
      </c>
      <c r="E2872" s="2" t="s">
        <v>30</v>
      </c>
      <c r="F2872" s="15">
        <v>838.6</v>
      </c>
      <c r="G2872" s="41">
        <v>42789</v>
      </c>
      <c r="H2872" s="15">
        <f t="shared" si="83"/>
        <v>838.6</v>
      </c>
      <c r="I2872" s="15">
        <f t="shared" ref="I2872:I2935" si="84">F2872-H2872</f>
        <v>0</v>
      </c>
      <c r="J2872" s="19"/>
    </row>
    <row r="2873" spans="1:10" x14ac:dyDescent="0.25">
      <c r="A2873" s="82">
        <v>42789</v>
      </c>
      <c r="B2873" s="39" t="s">
        <v>7170</v>
      </c>
      <c r="C2873" s="89"/>
      <c r="D2873" s="18">
        <v>102208</v>
      </c>
      <c r="E2873" s="2" t="s">
        <v>83</v>
      </c>
      <c r="F2873" s="15">
        <v>2322.6</v>
      </c>
      <c r="G2873" s="41">
        <v>42789</v>
      </c>
      <c r="H2873" s="15">
        <f t="shared" si="83"/>
        <v>2322.6</v>
      </c>
      <c r="I2873" s="15">
        <f t="shared" si="84"/>
        <v>0</v>
      </c>
      <c r="J2873" s="19"/>
    </row>
    <row r="2874" spans="1:10" x14ac:dyDescent="0.25">
      <c r="A2874" s="82">
        <v>42789</v>
      </c>
      <c r="B2874" s="39" t="s">
        <v>7171</v>
      </c>
      <c r="C2874" s="89"/>
      <c r="D2874" s="18">
        <v>102209</v>
      </c>
      <c r="E2874" s="2" t="s">
        <v>354</v>
      </c>
      <c r="F2874" s="15">
        <v>1287.5</v>
      </c>
      <c r="G2874" s="41" t="s">
        <v>1743</v>
      </c>
      <c r="H2874" s="15">
        <f t="shared" si="83"/>
        <v>1287.5</v>
      </c>
      <c r="I2874" s="15">
        <f t="shared" si="84"/>
        <v>0</v>
      </c>
      <c r="J2874" s="19"/>
    </row>
    <row r="2875" spans="1:10" x14ac:dyDescent="0.25">
      <c r="A2875" s="82">
        <v>42789</v>
      </c>
      <c r="B2875" s="39" t="s">
        <v>7172</v>
      </c>
      <c r="C2875" s="89"/>
      <c r="D2875" s="18">
        <v>102210</v>
      </c>
      <c r="E2875" s="2" t="s">
        <v>921</v>
      </c>
      <c r="F2875" s="15">
        <v>5233.2</v>
      </c>
      <c r="G2875" s="41">
        <v>42790</v>
      </c>
      <c r="H2875" s="15">
        <f t="shared" si="83"/>
        <v>5233.2</v>
      </c>
      <c r="I2875" s="15">
        <f t="shared" si="84"/>
        <v>0</v>
      </c>
      <c r="J2875" s="19"/>
    </row>
    <row r="2876" spans="1:10" x14ac:dyDescent="0.25">
      <c r="A2876" s="82">
        <v>42789</v>
      </c>
      <c r="B2876" s="39" t="s">
        <v>7173</v>
      </c>
      <c r="C2876" s="89"/>
      <c r="D2876" s="18">
        <v>102211</v>
      </c>
      <c r="E2876" s="2" t="s">
        <v>220</v>
      </c>
      <c r="F2876" s="15">
        <v>3657</v>
      </c>
      <c r="G2876" s="41">
        <v>42790</v>
      </c>
      <c r="H2876" s="15">
        <f t="shared" si="83"/>
        <v>3657</v>
      </c>
      <c r="I2876" s="15">
        <f t="shared" si="84"/>
        <v>0</v>
      </c>
      <c r="J2876" s="19"/>
    </row>
    <row r="2877" spans="1:10" x14ac:dyDescent="0.25">
      <c r="A2877" s="82">
        <v>42790</v>
      </c>
      <c r="B2877" s="39" t="s">
        <v>7174</v>
      </c>
      <c r="C2877" s="89"/>
      <c r="D2877" s="18">
        <v>102212</v>
      </c>
      <c r="E2877" s="2" t="s">
        <v>231</v>
      </c>
      <c r="F2877" s="15">
        <v>6760.8</v>
      </c>
      <c r="G2877" s="41">
        <v>42791</v>
      </c>
      <c r="H2877" s="15">
        <f t="shared" si="83"/>
        <v>6760.8</v>
      </c>
      <c r="I2877" s="15">
        <f t="shared" si="84"/>
        <v>0</v>
      </c>
      <c r="J2877" s="19"/>
    </row>
    <row r="2878" spans="1:10" x14ac:dyDescent="0.25">
      <c r="A2878" s="82">
        <v>42790</v>
      </c>
      <c r="B2878" s="39" t="s">
        <v>7175</v>
      </c>
      <c r="C2878" s="89"/>
      <c r="D2878" s="18">
        <v>102213</v>
      </c>
      <c r="E2878" s="2" t="s">
        <v>374</v>
      </c>
      <c r="F2878" s="15">
        <v>6111</v>
      </c>
      <c r="G2878" s="41">
        <v>42790</v>
      </c>
      <c r="H2878" s="15">
        <f t="shared" si="83"/>
        <v>6111</v>
      </c>
      <c r="I2878" s="15">
        <f t="shared" si="84"/>
        <v>0</v>
      </c>
      <c r="J2878" s="19"/>
    </row>
    <row r="2879" spans="1:10" x14ac:dyDescent="0.25">
      <c r="A2879" s="82">
        <v>42790</v>
      </c>
      <c r="B2879" s="39" t="s">
        <v>7176</v>
      </c>
      <c r="C2879" s="89"/>
      <c r="D2879" s="18">
        <v>102214</v>
      </c>
      <c r="E2879" s="2" t="s">
        <v>231</v>
      </c>
      <c r="F2879" s="15">
        <v>32850</v>
      </c>
      <c r="G2879" s="41">
        <v>42791</v>
      </c>
      <c r="H2879" s="15">
        <f t="shared" si="83"/>
        <v>32850</v>
      </c>
      <c r="I2879" s="15">
        <f t="shared" si="84"/>
        <v>0</v>
      </c>
      <c r="J2879" s="19"/>
    </row>
    <row r="2880" spans="1:10" x14ac:dyDescent="0.25">
      <c r="A2880" s="82">
        <v>42790</v>
      </c>
      <c r="B2880" s="39" t="s">
        <v>7177</v>
      </c>
      <c r="C2880" s="89"/>
      <c r="D2880" s="18">
        <v>102215</v>
      </c>
      <c r="E2880" s="2" t="s">
        <v>231</v>
      </c>
      <c r="F2880" s="15">
        <v>462.8</v>
      </c>
      <c r="G2880" s="41">
        <v>42791</v>
      </c>
      <c r="H2880" s="15">
        <f t="shared" si="83"/>
        <v>462.8</v>
      </c>
      <c r="I2880" s="15">
        <f t="shared" si="84"/>
        <v>0</v>
      </c>
      <c r="J2880" s="19"/>
    </row>
    <row r="2881" spans="1:10" x14ac:dyDescent="0.25">
      <c r="A2881" s="82">
        <v>42790</v>
      </c>
      <c r="B2881" s="39" t="s">
        <v>7178</v>
      </c>
      <c r="C2881" s="89"/>
      <c r="D2881" s="18">
        <v>102216</v>
      </c>
      <c r="E2881" s="2" t="s">
        <v>35</v>
      </c>
      <c r="F2881" s="15">
        <v>10590</v>
      </c>
      <c r="G2881" s="41">
        <v>42793</v>
      </c>
      <c r="H2881" s="15">
        <f t="shared" si="83"/>
        <v>10590</v>
      </c>
      <c r="I2881" s="15">
        <f t="shared" si="84"/>
        <v>0</v>
      </c>
      <c r="J2881" s="19"/>
    </row>
    <row r="2882" spans="1:10" x14ac:dyDescent="0.25">
      <c r="A2882" s="82">
        <v>42790</v>
      </c>
      <c r="B2882" s="39" t="s">
        <v>7179</v>
      </c>
      <c r="C2882" s="89"/>
      <c r="D2882" s="18">
        <v>102217</v>
      </c>
      <c r="E2882" s="2" t="s">
        <v>113</v>
      </c>
      <c r="F2882" s="15">
        <v>2370.1999999999998</v>
      </c>
      <c r="G2882" s="41">
        <v>42791</v>
      </c>
      <c r="H2882" s="15">
        <f t="shared" si="83"/>
        <v>2370.1999999999998</v>
      </c>
      <c r="I2882" s="15">
        <f t="shared" si="84"/>
        <v>0</v>
      </c>
      <c r="J2882" s="19"/>
    </row>
    <row r="2883" spans="1:10" x14ac:dyDescent="0.25">
      <c r="A2883" s="82">
        <v>42790</v>
      </c>
      <c r="B2883" s="39" t="s">
        <v>7180</v>
      </c>
      <c r="C2883" s="89"/>
      <c r="D2883" s="18">
        <v>102218</v>
      </c>
      <c r="E2883" s="2" t="s">
        <v>188</v>
      </c>
      <c r="F2883" s="15">
        <v>447.2</v>
      </c>
      <c r="G2883" s="41">
        <v>42790</v>
      </c>
      <c r="H2883" s="15">
        <f t="shared" si="83"/>
        <v>447.2</v>
      </c>
      <c r="I2883" s="15">
        <f t="shared" si="84"/>
        <v>0</v>
      </c>
      <c r="J2883" s="19"/>
    </row>
    <row r="2884" spans="1:10" x14ac:dyDescent="0.25">
      <c r="A2884" s="82">
        <v>42790</v>
      </c>
      <c r="B2884" s="39" t="s">
        <v>7181</v>
      </c>
      <c r="C2884" s="89"/>
      <c r="D2884" s="18">
        <v>102219</v>
      </c>
      <c r="E2884" s="2" t="s">
        <v>7182</v>
      </c>
      <c r="F2884" s="15">
        <v>1307.52</v>
      </c>
      <c r="G2884" s="41">
        <v>42790</v>
      </c>
      <c r="H2884" s="15">
        <f t="shared" ref="H2884:H2947" si="85">F2884</f>
        <v>1307.52</v>
      </c>
      <c r="I2884" s="15">
        <f t="shared" si="84"/>
        <v>0</v>
      </c>
      <c r="J2884" s="19"/>
    </row>
    <row r="2885" spans="1:10" x14ac:dyDescent="0.25">
      <c r="A2885" s="82">
        <v>42790</v>
      </c>
      <c r="B2885" s="39" t="s">
        <v>7183</v>
      </c>
      <c r="C2885" s="89"/>
      <c r="D2885" s="18">
        <v>102220</v>
      </c>
      <c r="E2885" s="2" t="s">
        <v>38</v>
      </c>
      <c r="F2885" s="15">
        <v>3375</v>
      </c>
      <c r="G2885" s="41">
        <v>42793</v>
      </c>
      <c r="H2885" s="15">
        <f t="shared" si="85"/>
        <v>3375</v>
      </c>
      <c r="I2885" s="15">
        <f t="shared" si="84"/>
        <v>0</v>
      </c>
      <c r="J2885" s="19"/>
    </row>
    <row r="2886" spans="1:10" x14ac:dyDescent="0.25">
      <c r="A2886" s="82">
        <v>42790</v>
      </c>
      <c r="B2886" s="39" t="s">
        <v>7184</v>
      </c>
      <c r="C2886" s="89"/>
      <c r="D2886" s="18">
        <v>102221</v>
      </c>
      <c r="E2886" s="2" t="s">
        <v>32</v>
      </c>
      <c r="F2886" s="15">
        <v>5250</v>
      </c>
      <c r="G2886" s="41">
        <v>42794</v>
      </c>
      <c r="H2886" s="15">
        <f t="shared" si="85"/>
        <v>5250</v>
      </c>
      <c r="I2886" s="15">
        <f t="shared" si="84"/>
        <v>0</v>
      </c>
      <c r="J2886" s="19"/>
    </row>
    <row r="2887" spans="1:10" x14ac:dyDescent="0.25">
      <c r="A2887" s="82">
        <v>42790</v>
      </c>
      <c r="B2887" s="39" t="s">
        <v>7185</v>
      </c>
      <c r="C2887" s="89"/>
      <c r="D2887" s="18">
        <v>102222</v>
      </c>
      <c r="E2887" s="2" t="s">
        <v>1335</v>
      </c>
      <c r="F2887" s="15">
        <v>5154.3</v>
      </c>
      <c r="G2887" s="41">
        <v>42790</v>
      </c>
      <c r="H2887" s="15">
        <f t="shared" si="85"/>
        <v>5154.3</v>
      </c>
      <c r="I2887" s="15">
        <f t="shared" si="84"/>
        <v>0</v>
      </c>
      <c r="J2887" s="19"/>
    </row>
    <row r="2888" spans="1:10" x14ac:dyDescent="0.25">
      <c r="A2888" s="82">
        <v>42790</v>
      </c>
      <c r="B2888" s="39" t="s">
        <v>7186</v>
      </c>
      <c r="C2888" s="89"/>
      <c r="D2888" s="18">
        <v>102223</v>
      </c>
      <c r="E2888" s="2" t="s">
        <v>21</v>
      </c>
      <c r="F2888" s="15">
        <v>47764.4</v>
      </c>
      <c r="G2888" s="41">
        <v>42805</v>
      </c>
      <c r="H2888" s="15">
        <f t="shared" si="85"/>
        <v>47764.4</v>
      </c>
      <c r="I2888" s="15">
        <f t="shared" si="84"/>
        <v>0</v>
      </c>
      <c r="J2888" s="19"/>
    </row>
    <row r="2889" spans="1:10" x14ac:dyDescent="0.25">
      <c r="A2889" s="82">
        <v>42790</v>
      </c>
      <c r="B2889" s="39" t="s">
        <v>7187</v>
      </c>
      <c r="C2889" s="89"/>
      <c r="D2889" s="18">
        <v>102224</v>
      </c>
      <c r="E2889" s="2" t="s">
        <v>1335</v>
      </c>
      <c r="F2889" s="15">
        <v>3311.5</v>
      </c>
      <c r="G2889" s="41">
        <v>42790</v>
      </c>
      <c r="H2889" s="15">
        <f t="shared" si="85"/>
        <v>3311.5</v>
      </c>
      <c r="I2889" s="15">
        <f t="shared" si="84"/>
        <v>0</v>
      </c>
      <c r="J2889" s="19"/>
    </row>
    <row r="2890" spans="1:10" x14ac:dyDescent="0.25">
      <c r="A2890" s="82">
        <v>42790</v>
      </c>
      <c r="B2890" s="39" t="s">
        <v>7188</v>
      </c>
      <c r="C2890" s="89"/>
      <c r="D2890" s="18">
        <v>102225</v>
      </c>
      <c r="E2890" s="2" t="s">
        <v>51</v>
      </c>
      <c r="F2890" s="15">
        <v>3093.2</v>
      </c>
      <c r="G2890" s="41">
        <v>42793</v>
      </c>
      <c r="H2890" s="15">
        <f t="shared" si="85"/>
        <v>3093.2</v>
      </c>
      <c r="I2890" s="15">
        <f t="shared" si="84"/>
        <v>0</v>
      </c>
      <c r="J2890" s="19"/>
    </row>
    <row r="2891" spans="1:10" x14ac:dyDescent="0.25">
      <c r="A2891" s="82">
        <v>42790</v>
      </c>
      <c r="B2891" s="39" t="s">
        <v>7189</v>
      </c>
      <c r="C2891" s="89"/>
      <c r="D2891" s="18">
        <v>102226</v>
      </c>
      <c r="E2891" s="2" t="s">
        <v>428</v>
      </c>
      <c r="F2891" s="15">
        <v>2431.1</v>
      </c>
      <c r="G2891" s="41">
        <v>42791</v>
      </c>
      <c r="H2891" s="15">
        <f t="shared" si="85"/>
        <v>2431.1</v>
      </c>
      <c r="I2891" s="15">
        <f t="shared" si="84"/>
        <v>0</v>
      </c>
      <c r="J2891" s="19"/>
    </row>
    <row r="2892" spans="1:10" x14ac:dyDescent="0.25">
      <c r="A2892" s="82">
        <v>42790</v>
      </c>
      <c r="B2892" s="39" t="s">
        <v>7190</v>
      </c>
      <c r="C2892" s="89"/>
      <c r="D2892" s="18">
        <v>102227</v>
      </c>
      <c r="E2892" s="2" t="s">
        <v>61</v>
      </c>
      <c r="F2892" s="15">
        <v>21497</v>
      </c>
      <c r="G2892" s="41">
        <v>42790</v>
      </c>
      <c r="H2892" s="15">
        <f t="shared" si="85"/>
        <v>21497</v>
      </c>
      <c r="I2892" s="15">
        <f t="shared" si="84"/>
        <v>0</v>
      </c>
      <c r="J2892" s="19"/>
    </row>
    <row r="2893" spans="1:10" x14ac:dyDescent="0.25">
      <c r="A2893" s="82">
        <v>42790</v>
      </c>
      <c r="B2893" s="39" t="s">
        <v>7191</v>
      </c>
      <c r="C2893" s="89"/>
      <c r="D2893" s="18">
        <v>102228</v>
      </c>
      <c r="E2893" s="2" t="s">
        <v>43</v>
      </c>
      <c r="F2893" s="15">
        <v>1558.2</v>
      </c>
      <c r="G2893" s="41">
        <v>42793</v>
      </c>
      <c r="H2893" s="15">
        <f t="shared" si="85"/>
        <v>1558.2</v>
      </c>
      <c r="I2893" s="15">
        <f t="shared" si="84"/>
        <v>0</v>
      </c>
      <c r="J2893" s="19"/>
    </row>
    <row r="2894" spans="1:10" x14ac:dyDescent="0.25">
      <c r="A2894" s="82">
        <v>42790</v>
      </c>
      <c r="B2894" s="39" t="s">
        <v>7192</v>
      </c>
      <c r="C2894" s="89"/>
      <c r="D2894" s="18">
        <v>102229</v>
      </c>
      <c r="E2894" s="2" t="s">
        <v>1786</v>
      </c>
      <c r="F2894" s="15">
        <v>9744</v>
      </c>
      <c r="G2894" s="41">
        <v>42790</v>
      </c>
      <c r="H2894" s="15">
        <f t="shared" si="85"/>
        <v>9744</v>
      </c>
      <c r="I2894" s="15">
        <f t="shared" si="84"/>
        <v>0</v>
      </c>
      <c r="J2894" s="19"/>
    </row>
    <row r="2895" spans="1:10" ht="30" x14ac:dyDescent="0.25">
      <c r="A2895" s="82">
        <v>42790</v>
      </c>
      <c r="B2895" s="39" t="s">
        <v>7193</v>
      </c>
      <c r="C2895" s="89"/>
      <c r="D2895" s="18">
        <v>102230</v>
      </c>
      <c r="E2895" s="2" t="s">
        <v>85</v>
      </c>
      <c r="F2895" s="15">
        <v>18582</v>
      </c>
      <c r="G2895" s="87" t="s">
        <v>6890</v>
      </c>
      <c r="H2895" s="20">
        <f>8582+10000</f>
        <v>18582</v>
      </c>
      <c r="I2895" s="20">
        <f t="shared" si="84"/>
        <v>0</v>
      </c>
      <c r="J2895" s="19"/>
    </row>
    <row r="2896" spans="1:10" x14ac:dyDescent="0.25">
      <c r="A2896" s="82">
        <v>42790</v>
      </c>
      <c r="B2896" s="39" t="s">
        <v>7194</v>
      </c>
      <c r="C2896" s="89"/>
      <c r="D2896" s="18">
        <v>102231</v>
      </c>
      <c r="E2896" s="2" t="s">
        <v>186</v>
      </c>
      <c r="F2896" s="15">
        <v>3578.8</v>
      </c>
      <c r="G2896" s="41">
        <v>42790</v>
      </c>
      <c r="H2896" s="15">
        <f t="shared" si="85"/>
        <v>3578.8</v>
      </c>
      <c r="I2896" s="15">
        <f t="shared" si="84"/>
        <v>0</v>
      </c>
      <c r="J2896" s="19"/>
    </row>
    <row r="2897" spans="1:10" x14ac:dyDescent="0.25">
      <c r="A2897" s="82">
        <v>42790</v>
      </c>
      <c r="B2897" s="39" t="s">
        <v>7195</v>
      </c>
      <c r="C2897" s="89"/>
      <c r="D2897" s="18">
        <v>102232</v>
      </c>
      <c r="E2897" s="2" t="s">
        <v>40</v>
      </c>
      <c r="F2897" s="15">
        <v>3271.6</v>
      </c>
      <c r="G2897" s="41">
        <v>42794</v>
      </c>
      <c r="H2897" s="15">
        <f t="shared" si="85"/>
        <v>3271.6</v>
      </c>
      <c r="I2897" s="15">
        <f t="shared" si="84"/>
        <v>0</v>
      </c>
      <c r="J2897" s="19"/>
    </row>
    <row r="2898" spans="1:10" x14ac:dyDescent="0.25">
      <c r="A2898" s="82">
        <v>42790</v>
      </c>
      <c r="B2898" s="39" t="s">
        <v>7196</v>
      </c>
      <c r="C2898" s="89"/>
      <c r="D2898" s="18">
        <v>102233</v>
      </c>
      <c r="E2898" s="2" t="s">
        <v>49</v>
      </c>
      <c r="F2898" s="15">
        <v>5668.4</v>
      </c>
      <c r="G2898" s="41">
        <v>42791</v>
      </c>
      <c r="H2898" s="15">
        <f t="shared" si="85"/>
        <v>5668.4</v>
      </c>
      <c r="I2898" s="15">
        <f t="shared" si="84"/>
        <v>0</v>
      </c>
      <c r="J2898" s="19"/>
    </row>
    <row r="2899" spans="1:10" x14ac:dyDescent="0.25">
      <c r="A2899" s="82">
        <v>42790</v>
      </c>
      <c r="B2899" s="39" t="s">
        <v>7197</v>
      </c>
      <c r="C2899" s="89"/>
      <c r="D2899" s="18">
        <v>102234</v>
      </c>
      <c r="E2899" s="2" t="s">
        <v>53</v>
      </c>
      <c r="F2899" s="15">
        <v>3150</v>
      </c>
      <c r="G2899" s="41">
        <v>42790</v>
      </c>
      <c r="H2899" s="15">
        <f t="shared" si="85"/>
        <v>3150</v>
      </c>
      <c r="I2899" s="15">
        <f t="shared" si="84"/>
        <v>0</v>
      </c>
      <c r="J2899" s="19"/>
    </row>
    <row r="2900" spans="1:10" x14ac:dyDescent="0.25">
      <c r="A2900" s="82">
        <v>42790</v>
      </c>
      <c r="B2900" s="39" t="s">
        <v>7198</v>
      </c>
      <c r="C2900" s="89"/>
      <c r="D2900" s="18">
        <v>102235</v>
      </c>
      <c r="E2900" s="2" t="s">
        <v>184</v>
      </c>
      <c r="F2900" s="15">
        <v>1532.2</v>
      </c>
      <c r="G2900" s="41">
        <v>42791</v>
      </c>
      <c r="H2900" s="15">
        <f t="shared" si="85"/>
        <v>1532.2</v>
      </c>
      <c r="I2900" s="15">
        <f t="shared" si="84"/>
        <v>0</v>
      </c>
      <c r="J2900" s="19"/>
    </row>
    <row r="2901" spans="1:10" x14ac:dyDescent="0.25">
      <c r="A2901" s="82">
        <v>42790</v>
      </c>
      <c r="B2901" s="39" t="s">
        <v>7199</v>
      </c>
      <c r="C2901" s="89"/>
      <c r="D2901" s="18">
        <v>102236</v>
      </c>
      <c r="E2901" s="13" t="s">
        <v>974</v>
      </c>
      <c r="F2901" s="14">
        <v>0</v>
      </c>
      <c r="G2901" s="88" t="s">
        <v>95</v>
      </c>
      <c r="H2901" s="14">
        <f t="shared" si="85"/>
        <v>0</v>
      </c>
      <c r="I2901" s="14">
        <f t="shared" si="84"/>
        <v>0</v>
      </c>
      <c r="J2901" s="19"/>
    </row>
    <row r="2902" spans="1:10" x14ac:dyDescent="0.25">
      <c r="A2902" s="82">
        <v>42790</v>
      </c>
      <c r="B2902" s="39" t="s">
        <v>7200</v>
      </c>
      <c r="C2902" s="89"/>
      <c r="D2902" s="18">
        <v>102237</v>
      </c>
      <c r="E2902" s="2" t="s">
        <v>974</v>
      </c>
      <c r="F2902" s="15">
        <v>9338</v>
      </c>
      <c r="G2902" s="41">
        <v>42790</v>
      </c>
      <c r="H2902" s="15">
        <f t="shared" si="85"/>
        <v>9338</v>
      </c>
      <c r="I2902" s="15">
        <f t="shared" si="84"/>
        <v>0</v>
      </c>
      <c r="J2902" s="19"/>
    </row>
    <row r="2903" spans="1:10" x14ac:dyDescent="0.25">
      <c r="A2903" s="82">
        <v>42790</v>
      </c>
      <c r="B2903" s="39" t="s">
        <v>7201</v>
      </c>
      <c r="C2903" s="89"/>
      <c r="D2903" s="18">
        <v>102238</v>
      </c>
      <c r="E2903" s="2" t="s">
        <v>157</v>
      </c>
      <c r="F2903" s="15">
        <v>31728.6</v>
      </c>
      <c r="G2903" s="41">
        <v>42790</v>
      </c>
      <c r="H2903" s="15">
        <f t="shared" si="85"/>
        <v>31728.6</v>
      </c>
      <c r="I2903" s="15">
        <f t="shared" si="84"/>
        <v>0</v>
      </c>
      <c r="J2903" s="19"/>
    </row>
    <row r="2904" spans="1:10" x14ac:dyDescent="0.25">
      <c r="A2904" s="82">
        <v>42790</v>
      </c>
      <c r="B2904" s="39" t="s">
        <v>7202</v>
      </c>
      <c r="C2904" s="89"/>
      <c r="D2904" s="18">
        <v>102239</v>
      </c>
      <c r="E2904" s="2" t="s">
        <v>1116</v>
      </c>
      <c r="F2904" s="15">
        <v>4041.1</v>
      </c>
      <c r="G2904" s="41">
        <v>42791</v>
      </c>
      <c r="H2904" s="15">
        <f t="shared" si="85"/>
        <v>4041.1</v>
      </c>
      <c r="I2904" s="15">
        <f t="shared" si="84"/>
        <v>0</v>
      </c>
      <c r="J2904" s="19"/>
    </row>
    <row r="2905" spans="1:10" x14ac:dyDescent="0.25">
      <c r="A2905" s="82">
        <v>42790</v>
      </c>
      <c r="B2905" s="39" t="s">
        <v>7203</v>
      </c>
      <c r="C2905" s="89"/>
      <c r="D2905" s="18">
        <v>102240</v>
      </c>
      <c r="E2905" s="2" t="s">
        <v>30</v>
      </c>
      <c r="F2905" s="15">
        <v>2361.6</v>
      </c>
      <c r="G2905" s="41">
        <v>42790</v>
      </c>
      <c r="H2905" s="15">
        <f t="shared" si="85"/>
        <v>2361.6</v>
      </c>
      <c r="I2905" s="15">
        <f t="shared" si="84"/>
        <v>0</v>
      </c>
      <c r="J2905" s="19"/>
    </row>
    <row r="2906" spans="1:10" x14ac:dyDescent="0.25">
      <c r="A2906" s="82">
        <v>42790</v>
      </c>
      <c r="B2906" s="39" t="s">
        <v>7204</v>
      </c>
      <c r="C2906" s="89"/>
      <c r="D2906" s="18">
        <v>102241</v>
      </c>
      <c r="E2906" s="2" t="s">
        <v>17</v>
      </c>
      <c r="F2906" s="15">
        <v>2454.9</v>
      </c>
      <c r="G2906" s="41">
        <v>42790</v>
      </c>
      <c r="H2906" s="15">
        <f t="shared" si="85"/>
        <v>2454.9</v>
      </c>
      <c r="I2906" s="15">
        <f t="shared" si="84"/>
        <v>0</v>
      </c>
      <c r="J2906" s="19"/>
    </row>
    <row r="2907" spans="1:10" x14ac:dyDescent="0.25">
      <c r="A2907" s="82">
        <v>42790</v>
      </c>
      <c r="B2907" s="39" t="s">
        <v>7205</v>
      </c>
      <c r="C2907" s="89"/>
      <c r="D2907" s="18">
        <v>102242</v>
      </c>
      <c r="E2907" s="2" t="s">
        <v>19</v>
      </c>
      <c r="F2907" s="15">
        <v>1470</v>
      </c>
      <c r="G2907" s="41">
        <v>42790</v>
      </c>
      <c r="H2907" s="15">
        <f t="shared" si="85"/>
        <v>1470</v>
      </c>
      <c r="I2907" s="15">
        <f t="shared" si="84"/>
        <v>0</v>
      </c>
      <c r="J2907" s="19"/>
    </row>
    <row r="2908" spans="1:10" x14ac:dyDescent="0.25">
      <c r="A2908" s="82">
        <v>42790</v>
      </c>
      <c r="B2908" s="39" t="s">
        <v>7206</v>
      </c>
      <c r="C2908" s="89"/>
      <c r="D2908" s="18">
        <v>102243</v>
      </c>
      <c r="E2908" s="2" t="s">
        <v>143</v>
      </c>
      <c r="F2908" s="15">
        <v>3017.4</v>
      </c>
      <c r="G2908" s="41">
        <v>42790</v>
      </c>
      <c r="H2908" s="15">
        <f t="shared" si="85"/>
        <v>3017.4</v>
      </c>
      <c r="I2908" s="15">
        <f t="shared" si="84"/>
        <v>0</v>
      </c>
      <c r="J2908" s="19"/>
    </row>
    <row r="2909" spans="1:10" x14ac:dyDescent="0.25">
      <c r="A2909" s="82">
        <v>42790</v>
      </c>
      <c r="B2909" s="39" t="s">
        <v>7207</v>
      </c>
      <c r="C2909" s="89"/>
      <c r="D2909" s="18">
        <v>102244</v>
      </c>
      <c r="E2909" s="2" t="s">
        <v>1645</v>
      </c>
      <c r="F2909" s="15">
        <v>2795.5</v>
      </c>
      <c r="G2909" s="41">
        <v>42790</v>
      </c>
      <c r="H2909" s="15">
        <f t="shared" si="85"/>
        <v>2795.5</v>
      </c>
      <c r="I2909" s="15">
        <f t="shared" si="84"/>
        <v>0</v>
      </c>
      <c r="J2909" s="19"/>
    </row>
    <row r="2910" spans="1:10" x14ac:dyDescent="0.25">
      <c r="A2910" s="82">
        <v>42790</v>
      </c>
      <c r="B2910" s="39" t="s">
        <v>7208</v>
      </c>
      <c r="C2910" s="89"/>
      <c r="D2910" s="18">
        <v>102245</v>
      </c>
      <c r="E2910" s="2" t="s">
        <v>28</v>
      </c>
      <c r="F2910" s="15">
        <v>8647.2999999999993</v>
      </c>
      <c r="G2910" s="41">
        <v>42790</v>
      </c>
      <c r="H2910" s="15">
        <f t="shared" si="85"/>
        <v>8647.2999999999993</v>
      </c>
      <c r="I2910" s="15">
        <f t="shared" si="84"/>
        <v>0</v>
      </c>
      <c r="J2910" s="19"/>
    </row>
    <row r="2911" spans="1:10" x14ac:dyDescent="0.25">
      <c r="A2911" s="82">
        <v>42790</v>
      </c>
      <c r="B2911" s="39" t="s">
        <v>7209</v>
      </c>
      <c r="C2911" s="89"/>
      <c r="D2911" s="18">
        <v>102246</v>
      </c>
      <c r="E2911" s="2" t="s">
        <v>1634</v>
      </c>
      <c r="F2911" s="15">
        <v>3272.4</v>
      </c>
      <c r="G2911" s="41">
        <v>42790</v>
      </c>
      <c r="H2911" s="15">
        <f t="shared" si="85"/>
        <v>3272.4</v>
      </c>
      <c r="I2911" s="15">
        <f t="shared" si="84"/>
        <v>0</v>
      </c>
      <c r="J2911" s="19"/>
    </row>
    <row r="2912" spans="1:10" x14ac:dyDescent="0.25">
      <c r="A2912" s="82">
        <v>42790</v>
      </c>
      <c r="B2912" s="39" t="s">
        <v>7210</v>
      </c>
      <c r="C2912" s="89"/>
      <c r="D2912" s="18">
        <v>102247</v>
      </c>
      <c r="E2912" s="2" t="s">
        <v>331</v>
      </c>
      <c r="F2912" s="15">
        <v>1962.8</v>
      </c>
      <c r="G2912" s="41">
        <v>42790</v>
      </c>
      <c r="H2912" s="15">
        <f t="shared" si="85"/>
        <v>1962.8</v>
      </c>
      <c r="I2912" s="15">
        <f t="shared" si="84"/>
        <v>0</v>
      </c>
      <c r="J2912" s="19"/>
    </row>
    <row r="2913" spans="1:10" x14ac:dyDescent="0.25">
      <c r="A2913" s="82">
        <v>42790</v>
      </c>
      <c r="B2913" s="39" t="s">
        <v>7211</v>
      </c>
      <c r="C2913" s="89"/>
      <c r="D2913" s="18">
        <v>102248</v>
      </c>
      <c r="E2913" s="2" t="s">
        <v>285</v>
      </c>
      <c r="F2913" s="15">
        <v>2560.56</v>
      </c>
      <c r="G2913" s="41">
        <v>42790</v>
      </c>
      <c r="H2913" s="15">
        <f t="shared" si="85"/>
        <v>2560.56</v>
      </c>
      <c r="I2913" s="15">
        <f t="shared" si="84"/>
        <v>0</v>
      </c>
      <c r="J2913" s="19"/>
    </row>
    <row r="2914" spans="1:10" x14ac:dyDescent="0.25">
      <c r="A2914" s="82">
        <v>42790</v>
      </c>
      <c r="B2914" s="39" t="s">
        <v>7212</v>
      </c>
      <c r="C2914" s="89"/>
      <c r="D2914" s="18">
        <v>102249</v>
      </c>
      <c r="E2914" s="2" t="s">
        <v>250</v>
      </c>
      <c r="F2914" s="15">
        <v>8459</v>
      </c>
      <c r="G2914" s="41">
        <v>42791</v>
      </c>
      <c r="H2914" s="15">
        <f t="shared" si="85"/>
        <v>8459</v>
      </c>
      <c r="I2914" s="15">
        <f t="shared" si="84"/>
        <v>0</v>
      </c>
      <c r="J2914" s="19"/>
    </row>
    <row r="2915" spans="1:10" x14ac:dyDescent="0.25">
      <c r="A2915" s="82">
        <v>42790</v>
      </c>
      <c r="B2915" s="39" t="s">
        <v>7213</v>
      </c>
      <c r="C2915" s="89"/>
      <c r="D2915" s="18">
        <v>102250</v>
      </c>
      <c r="E2915" s="2" t="s">
        <v>61</v>
      </c>
      <c r="F2915" s="15">
        <v>948.6</v>
      </c>
      <c r="G2915" s="41">
        <v>42790</v>
      </c>
      <c r="H2915" s="15">
        <f t="shared" si="85"/>
        <v>948.6</v>
      </c>
      <c r="I2915" s="15">
        <f t="shared" si="84"/>
        <v>0</v>
      </c>
      <c r="J2915" s="19"/>
    </row>
    <row r="2916" spans="1:10" x14ac:dyDescent="0.25">
      <c r="A2916" s="82">
        <v>42790</v>
      </c>
      <c r="B2916" s="39" t="s">
        <v>7214</v>
      </c>
      <c r="C2916" s="89"/>
      <c r="D2916" s="18">
        <v>102251</v>
      </c>
      <c r="E2916" s="2" t="s">
        <v>231</v>
      </c>
      <c r="F2916" s="15">
        <v>1792</v>
      </c>
      <c r="G2916" s="41">
        <v>42791</v>
      </c>
      <c r="H2916" s="15">
        <f t="shared" si="85"/>
        <v>1792</v>
      </c>
      <c r="I2916" s="15">
        <f t="shared" si="84"/>
        <v>0</v>
      </c>
      <c r="J2916" s="19"/>
    </row>
    <row r="2917" spans="1:10" x14ac:dyDescent="0.25">
      <c r="A2917" s="82">
        <v>42790</v>
      </c>
      <c r="B2917" s="39" t="s">
        <v>7215</v>
      </c>
      <c r="C2917" s="89"/>
      <c r="D2917" s="18">
        <v>102252</v>
      </c>
      <c r="E2917" s="2" t="s">
        <v>188</v>
      </c>
      <c r="F2917" s="15">
        <v>3205.4</v>
      </c>
      <c r="G2917" s="41">
        <v>42790</v>
      </c>
      <c r="H2917" s="15">
        <f t="shared" si="85"/>
        <v>3205.4</v>
      </c>
      <c r="I2917" s="15">
        <f t="shared" si="84"/>
        <v>0</v>
      </c>
      <c r="J2917" s="19"/>
    </row>
    <row r="2918" spans="1:10" x14ac:dyDescent="0.25">
      <c r="A2918" s="82">
        <v>42790</v>
      </c>
      <c r="B2918" s="39" t="s">
        <v>7216</v>
      </c>
      <c r="C2918" s="89"/>
      <c r="D2918" s="18">
        <v>102253</v>
      </c>
      <c r="E2918" s="2" t="s">
        <v>186</v>
      </c>
      <c r="F2918" s="15">
        <v>2668</v>
      </c>
      <c r="G2918" s="41">
        <v>42791</v>
      </c>
      <c r="H2918" s="15">
        <f t="shared" si="85"/>
        <v>2668</v>
      </c>
      <c r="I2918" s="15">
        <f t="shared" si="84"/>
        <v>0</v>
      </c>
      <c r="J2918" s="19"/>
    </row>
    <row r="2919" spans="1:10" x14ac:dyDescent="0.25">
      <c r="A2919" s="82">
        <v>42790</v>
      </c>
      <c r="B2919" s="39" t="s">
        <v>7217</v>
      </c>
      <c r="C2919" s="89"/>
      <c r="D2919" s="18">
        <v>102254</v>
      </c>
      <c r="E2919" s="2" t="s">
        <v>268</v>
      </c>
      <c r="F2919" s="15">
        <v>14578</v>
      </c>
      <c r="G2919" s="41">
        <v>42738</v>
      </c>
      <c r="H2919" s="15">
        <f t="shared" si="85"/>
        <v>14578</v>
      </c>
      <c r="I2919" s="15">
        <f t="shared" si="84"/>
        <v>0</v>
      </c>
      <c r="J2919" s="19"/>
    </row>
    <row r="2920" spans="1:10" x14ac:dyDescent="0.25">
      <c r="A2920" s="82">
        <v>42790</v>
      </c>
      <c r="B2920" s="39" t="s">
        <v>7218</v>
      </c>
      <c r="C2920" s="89"/>
      <c r="D2920" s="18">
        <v>102255</v>
      </c>
      <c r="E2920" s="2" t="s">
        <v>432</v>
      </c>
      <c r="F2920" s="15">
        <v>15014.6</v>
      </c>
      <c r="G2920" s="41">
        <v>42738</v>
      </c>
      <c r="H2920" s="15">
        <f t="shared" si="85"/>
        <v>15014.6</v>
      </c>
      <c r="I2920" s="15">
        <f t="shared" si="84"/>
        <v>0</v>
      </c>
      <c r="J2920" s="19"/>
    </row>
    <row r="2921" spans="1:10" x14ac:dyDescent="0.25">
      <c r="A2921" s="82">
        <v>42790</v>
      </c>
      <c r="B2921" s="39" t="s">
        <v>7219</v>
      </c>
      <c r="C2921" s="89"/>
      <c r="D2921" s="18">
        <v>102256</v>
      </c>
      <c r="E2921" s="2" t="s">
        <v>1666</v>
      </c>
      <c r="F2921" s="15">
        <v>14629.8</v>
      </c>
      <c r="G2921" s="41">
        <v>42738</v>
      </c>
      <c r="H2921" s="15">
        <f t="shared" si="85"/>
        <v>14629.8</v>
      </c>
      <c r="I2921" s="15">
        <f t="shared" si="84"/>
        <v>0</v>
      </c>
      <c r="J2921" s="19"/>
    </row>
    <row r="2922" spans="1:10" x14ac:dyDescent="0.25">
      <c r="A2922" s="82">
        <v>42790</v>
      </c>
      <c r="B2922" s="39" t="s">
        <v>7220</v>
      </c>
      <c r="C2922" s="89"/>
      <c r="D2922" s="18">
        <v>102257</v>
      </c>
      <c r="E2922" s="2" t="s">
        <v>442</v>
      </c>
      <c r="F2922" s="15">
        <v>12846.4</v>
      </c>
      <c r="G2922" s="41">
        <v>42738</v>
      </c>
      <c r="H2922" s="15">
        <f t="shared" si="85"/>
        <v>12846.4</v>
      </c>
      <c r="I2922" s="15">
        <f t="shared" si="84"/>
        <v>0</v>
      </c>
      <c r="J2922" s="19"/>
    </row>
    <row r="2923" spans="1:10" x14ac:dyDescent="0.25">
      <c r="A2923" s="82">
        <v>42790</v>
      </c>
      <c r="B2923" s="39" t="s">
        <v>7221</v>
      </c>
      <c r="C2923" s="89"/>
      <c r="D2923" s="18">
        <v>102258</v>
      </c>
      <c r="E2923" s="2" t="s">
        <v>590</v>
      </c>
      <c r="F2923" s="15">
        <v>2767.6</v>
      </c>
      <c r="G2923" s="41">
        <v>42738</v>
      </c>
      <c r="H2923" s="15">
        <f t="shared" si="85"/>
        <v>2767.6</v>
      </c>
      <c r="I2923" s="15">
        <f t="shared" si="84"/>
        <v>0</v>
      </c>
      <c r="J2923" s="19"/>
    </row>
    <row r="2924" spans="1:10" x14ac:dyDescent="0.25">
      <c r="A2924" s="82">
        <v>42790</v>
      </c>
      <c r="B2924" s="39" t="s">
        <v>7222</v>
      </c>
      <c r="C2924" s="89"/>
      <c r="D2924" s="18">
        <v>102259</v>
      </c>
      <c r="E2924" s="13" t="s">
        <v>272</v>
      </c>
      <c r="F2924" s="14">
        <v>0</v>
      </c>
      <c r="G2924" s="88"/>
      <c r="H2924" s="14">
        <f t="shared" si="85"/>
        <v>0</v>
      </c>
      <c r="I2924" s="14">
        <f t="shared" si="84"/>
        <v>0</v>
      </c>
      <c r="J2924" s="19"/>
    </row>
    <row r="2925" spans="1:10" x14ac:dyDescent="0.25">
      <c r="A2925" s="82">
        <v>42790</v>
      </c>
      <c r="B2925" s="39" t="s">
        <v>7223</v>
      </c>
      <c r="C2925" s="89"/>
      <c r="D2925" s="18">
        <v>102260</v>
      </c>
      <c r="E2925" s="2" t="s">
        <v>133</v>
      </c>
      <c r="F2925" s="15">
        <v>2998.7</v>
      </c>
      <c r="G2925" s="41">
        <v>42790</v>
      </c>
      <c r="H2925" s="15">
        <f t="shared" si="85"/>
        <v>2998.7</v>
      </c>
      <c r="I2925" s="15">
        <f t="shared" si="84"/>
        <v>0</v>
      </c>
      <c r="J2925" s="19"/>
    </row>
    <row r="2926" spans="1:10" x14ac:dyDescent="0.25">
      <c r="A2926" s="82">
        <v>42790</v>
      </c>
      <c r="B2926" s="39" t="s">
        <v>7224</v>
      </c>
      <c r="C2926" s="89"/>
      <c r="D2926" s="18">
        <v>102261</v>
      </c>
      <c r="E2926" s="2" t="s">
        <v>268</v>
      </c>
      <c r="F2926" s="15">
        <v>3617.6</v>
      </c>
      <c r="G2926" s="41">
        <v>42738</v>
      </c>
      <c r="H2926" s="15">
        <f t="shared" si="85"/>
        <v>3617.6</v>
      </c>
      <c r="I2926" s="15">
        <f t="shared" si="84"/>
        <v>0</v>
      </c>
      <c r="J2926" s="19"/>
    </row>
    <row r="2927" spans="1:10" x14ac:dyDescent="0.25">
      <c r="A2927" s="82">
        <v>42790</v>
      </c>
      <c r="B2927" s="39" t="s">
        <v>7225</v>
      </c>
      <c r="C2927" s="89"/>
      <c r="D2927" s="18">
        <v>102262</v>
      </c>
      <c r="E2927" s="2" t="s">
        <v>240</v>
      </c>
      <c r="F2927" s="15">
        <v>4564</v>
      </c>
      <c r="G2927" s="41">
        <v>42790</v>
      </c>
      <c r="H2927" s="15">
        <f t="shared" si="85"/>
        <v>4564</v>
      </c>
      <c r="I2927" s="15">
        <f t="shared" si="84"/>
        <v>0</v>
      </c>
      <c r="J2927" s="19"/>
    </row>
    <row r="2928" spans="1:10" x14ac:dyDescent="0.25">
      <c r="A2928" s="82">
        <v>42790</v>
      </c>
      <c r="B2928" s="39" t="s">
        <v>7226</v>
      </c>
      <c r="C2928" s="89"/>
      <c r="D2928" s="18">
        <v>102263</v>
      </c>
      <c r="E2928" s="2" t="s">
        <v>1090</v>
      </c>
      <c r="F2928" s="15">
        <v>8084.2</v>
      </c>
      <c r="G2928" s="41">
        <v>42790</v>
      </c>
      <c r="H2928" s="15">
        <f t="shared" si="85"/>
        <v>8084.2</v>
      </c>
      <c r="I2928" s="15">
        <f t="shared" si="84"/>
        <v>0</v>
      </c>
      <c r="J2928" s="19"/>
    </row>
    <row r="2929" spans="1:10" x14ac:dyDescent="0.25">
      <c r="A2929" s="82">
        <v>42790</v>
      </c>
      <c r="B2929" s="39" t="s">
        <v>7227</v>
      </c>
      <c r="C2929" s="89"/>
      <c r="D2929" s="18">
        <v>102264</v>
      </c>
      <c r="E2929" s="2" t="s">
        <v>272</v>
      </c>
      <c r="F2929" s="15">
        <v>905</v>
      </c>
      <c r="G2929" s="41">
        <v>42738</v>
      </c>
      <c r="H2929" s="15">
        <f t="shared" si="85"/>
        <v>905</v>
      </c>
      <c r="I2929" s="15">
        <f t="shared" si="84"/>
        <v>0</v>
      </c>
      <c r="J2929" s="19"/>
    </row>
    <row r="2930" spans="1:10" x14ac:dyDescent="0.25">
      <c r="A2930" s="82">
        <v>42790</v>
      </c>
      <c r="B2930" s="39" t="s">
        <v>7228</v>
      </c>
      <c r="C2930" s="89"/>
      <c r="D2930" s="18">
        <v>102265</v>
      </c>
      <c r="E2930" s="2" t="s">
        <v>457</v>
      </c>
      <c r="F2930" s="15">
        <v>3963.8</v>
      </c>
      <c r="G2930" s="41">
        <v>42790</v>
      </c>
      <c r="H2930" s="15">
        <f t="shared" si="85"/>
        <v>3963.8</v>
      </c>
      <c r="I2930" s="15">
        <f t="shared" si="84"/>
        <v>0</v>
      </c>
      <c r="J2930" s="19"/>
    </row>
    <row r="2931" spans="1:10" x14ac:dyDescent="0.25">
      <c r="A2931" s="82">
        <v>42790</v>
      </c>
      <c r="B2931" s="39" t="s">
        <v>7229</v>
      </c>
      <c r="C2931" s="89"/>
      <c r="D2931" s="18">
        <v>102266</v>
      </c>
      <c r="E2931" s="13" t="s">
        <v>274</v>
      </c>
      <c r="F2931" s="14">
        <v>0</v>
      </c>
      <c r="G2931" s="88" t="s">
        <v>95</v>
      </c>
      <c r="H2931" s="14">
        <f t="shared" si="85"/>
        <v>0</v>
      </c>
      <c r="I2931" s="14">
        <f t="shared" si="84"/>
        <v>0</v>
      </c>
      <c r="J2931" s="19"/>
    </row>
    <row r="2932" spans="1:10" x14ac:dyDescent="0.25">
      <c r="A2932" s="82">
        <v>42790</v>
      </c>
      <c r="B2932" s="39" t="s">
        <v>7230</v>
      </c>
      <c r="C2932" s="89"/>
      <c r="D2932" s="18">
        <v>102267</v>
      </c>
      <c r="E2932" s="13" t="s">
        <v>1090</v>
      </c>
      <c r="F2932" s="14">
        <v>0</v>
      </c>
      <c r="G2932" s="88" t="s">
        <v>95</v>
      </c>
      <c r="H2932" s="14">
        <f t="shared" si="85"/>
        <v>0</v>
      </c>
      <c r="I2932" s="14">
        <f t="shared" si="84"/>
        <v>0</v>
      </c>
      <c r="J2932" s="19"/>
    </row>
    <row r="2933" spans="1:10" x14ac:dyDescent="0.25">
      <c r="A2933" s="82">
        <v>42790</v>
      </c>
      <c r="B2933" s="39" t="s">
        <v>7231</v>
      </c>
      <c r="C2933" s="89"/>
      <c r="D2933" s="18">
        <v>102268</v>
      </c>
      <c r="E2933" s="2" t="s">
        <v>55</v>
      </c>
      <c r="F2933" s="15">
        <v>16748.3</v>
      </c>
      <c r="G2933" s="41">
        <v>42790</v>
      </c>
      <c r="H2933" s="15">
        <f t="shared" si="85"/>
        <v>16748.3</v>
      </c>
      <c r="I2933" s="15">
        <f t="shared" si="84"/>
        <v>0</v>
      </c>
      <c r="J2933" s="19"/>
    </row>
    <row r="2934" spans="1:10" x14ac:dyDescent="0.25">
      <c r="A2934" s="82">
        <v>42790</v>
      </c>
      <c r="B2934" s="39" t="s">
        <v>7232</v>
      </c>
      <c r="C2934" s="89"/>
      <c r="D2934" s="18">
        <v>102269</v>
      </c>
      <c r="E2934" s="2" t="s">
        <v>274</v>
      </c>
      <c r="F2934" s="15">
        <v>15001.6</v>
      </c>
      <c r="G2934" s="41">
        <v>42738</v>
      </c>
      <c r="H2934" s="15">
        <f t="shared" si="85"/>
        <v>15001.6</v>
      </c>
      <c r="I2934" s="15">
        <f t="shared" si="84"/>
        <v>0</v>
      </c>
      <c r="J2934" s="19"/>
    </row>
    <row r="2935" spans="1:10" x14ac:dyDescent="0.25">
      <c r="A2935" s="82">
        <v>42790</v>
      </c>
      <c r="B2935" s="39" t="s">
        <v>7233</v>
      </c>
      <c r="C2935" s="89"/>
      <c r="D2935" s="18">
        <v>102270</v>
      </c>
      <c r="E2935" s="2" t="s">
        <v>1797</v>
      </c>
      <c r="F2935" s="15">
        <v>3934</v>
      </c>
      <c r="G2935" s="41">
        <v>42738</v>
      </c>
      <c r="H2935" s="15">
        <f t="shared" si="85"/>
        <v>3934</v>
      </c>
      <c r="I2935" s="15">
        <f t="shared" si="84"/>
        <v>0</v>
      </c>
      <c r="J2935" s="19"/>
    </row>
    <row r="2936" spans="1:10" x14ac:dyDescent="0.25">
      <c r="A2936" s="82">
        <v>42790</v>
      </c>
      <c r="B2936" s="39" t="s">
        <v>7234</v>
      </c>
      <c r="C2936" s="89"/>
      <c r="D2936" s="18">
        <v>102271</v>
      </c>
      <c r="E2936" s="2" t="s">
        <v>435</v>
      </c>
      <c r="F2936" s="15">
        <v>444.6</v>
      </c>
      <c r="G2936" s="41">
        <v>42738</v>
      </c>
      <c r="H2936" s="15">
        <f t="shared" si="85"/>
        <v>444.6</v>
      </c>
      <c r="I2936" s="15">
        <f t="shared" ref="I2936:I2999" si="86">F2936-H2936</f>
        <v>0</v>
      </c>
      <c r="J2936" s="19"/>
    </row>
    <row r="2937" spans="1:10" x14ac:dyDescent="0.25">
      <c r="A2937" s="82">
        <v>42790</v>
      </c>
      <c r="B2937" s="39" t="s">
        <v>7235</v>
      </c>
      <c r="C2937" s="89"/>
      <c r="D2937" s="18">
        <v>102272</v>
      </c>
      <c r="E2937" s="2" t="s">
        <v>312</v>
      </c>
      <c r="F2937" s="15">
        <v>16024.6</v>
      </c>
      <c r="G2937" s="41">
        <v>42893</v>
      </c>
      <c r="H2937" s="15">
        <f t="shared" si="85"/>
        <v>16024.6</v>
      </c>
      <c r="I2937" s="15">
        <f t="shared" si="86"/>
        <v>0</v>
      </c>
      <c r="J2937" s="19"/>
    </row>
    <row r="2938" spans="1:10" x14ac:dyDescent="0.25">
      <c r="A2938" s="82">
        <v>42790</v>
      </c>
      <c r="B2938" s="39" t="s">
        <v>7236</v>
      </c>
      <c r="C2938" s="89"/>
      <c r="D2938" s="18">
        <v>102273</v>
      </c>
      <c r="E2938" s="2" t="s">
        <v>414</v>
      </c>
      <c r="F2938" s="15">
        <v>1933.7</v>
      </c>
      <c r="G2938" s="41">
        <v>42790</v>
      </c>
      <c r="H2938" s="15">
        <f t="shared" si="85"/>
        <v>1933.7</v>
      </c>
      <c r="I2938" s="15">
        <f t="shared" si="86"/>
        <v>0</v>
      </c>
      <c r="J2938" s="19"/>
    </row>
    <row r="2939" spans="1:10" x14ac:dyDescent="0.25">
      <c r="A2939" s="82">
        <v>42790</v>
      </c>
      <c r="B2939" s="39" t="s">
        <v>7237</v>
      </c>
      <c r="C2939" s="89"/>
      <c r="D2939" s="18">
        <v>102274</v>
      </c>
      <c r="E2939" s="2" t="s">
        <v>270</v>
      </c>
      <c r="F2939" s="15">
        <v>2751.6</v>
      </c>
      <c r="G2939" s="41">
        <v>42738</v>
      </c>
      <c r="H2939" s="15">
        <f t="shared" si="85"/>
        <v>2751.6</v>
      </c>
      <c r="I2939" s="15">
        <f t="shared" si="86"/>
        <v>0</v>
      </c>
      <c r="J2939" s="19"/>
    </row>
    <row r="2940" spans="1:10" x14ac:dyDescent="0.25">
      <c r="A2940" s="82">
        <v>42790</v>
      </c>
      <c r="B2940" s="39" t="s">
        <v>7238</v>
      </c>
      <c r="C2940" s="89"/>
      <c r="D2940" s="18">
        <v>102275</v>
      </c>
      <c r="E2940" s="2" t="s">
        <v>30</v>
      </c>
      <c r="F2940" s="15">
        <v>323.39999999999998</v>
      </c>
      <c r="G2940" s="41">
        <v>42790</v>
      </c>
      <c r="H2940" s="15">
        <f t="shared" si="85"/>
        <v>323.39999999999998</v>
      </c>
      <c r="I2940" s="15">
        <f t="shared" si="86"/>
        <v>0</v>
      </c>
      <c r="J2940" s="19"/>
    </row>
    <row r="2941" spans="1:10" x14ac:dyDescent="0.25">
      <c r="A2941" s="82">
        <v>42790</v>
      </c>
      <c r="B2941" s="39" t="s">
        <v>7239</v>
      </c>
      <c r="C2941" s="89"/>
      <c r="D2941" s="18">
        <v>102276</v>
      </c>
      <c r="E2941" s="2" t="s">
        <v>47</v>
      </c>
      <c r="F2941" s="15">
        <v>1847.1</v>
      </c>
      <c r="G2941" s="41">
        <v>42790</v>
      </c>
      <c r="H2941" s="15">
        <f t="shared" si="85"/>
        <v>1847.1</v>
      </c>
      <c r="I2941" s="15">
        <f t="shared" si="86"/>
        <v>0</v>
      </c>
      <c r="J2941" s="19"/>
    </row>
    <row r="2942" spans="1:10" x14ac:dyDescent="0.25">
      <c r="A2942" s="82">
        <v>42790</v>
      </c>
      <c r="B2942" s="39" t="s">
        <v>7240</v>
      </c>
      <c r="C2942" s="89"/>
      <c r="D2942" s="18">
        <v>102277</v>
      </c>
      <c r="E2942" s="2" t="s">
        <v>176</v>
      </c>
      <c r="F2942" s="15">
        <v>408.7</v>
      </c>
      <c r="G2942" s="41">
        <v>42790</v>
      </c>
      <c r="H2942" s="15">
        <f t="shared" si="85"/>
        <v>408.7</v>
      </c>
      <c r="I2942" s="15">
        <f t="shared" si="86"/>
        <v>0</v>
      </c>
      <c r="J2942" s="19"/>
    </row>
    <row r="2943" spans="1:10" x14ac:dyDescent="0.25">
      <c r="A2943" s="82">
        <v>42790</v>
      </c>
      <c r="B2943" s="39" t="s">
        <v>7241</v>
      </c>
      <c r="C2943" s="89"/>
      <c r="D2943" s="18">
        <v>102278</v>
      </c>
      <c r="E2943" s="2" t="s">
        <v>309</v>
      </c>
      <c r="F2943" s="15">
        <v>3879.8</v>
      </c>
      <c r="G2943" s="41">
        <v>42790</v>
      </c>
      <c r="H2943" s="15">
        <f t="shared" si="85"/>
        <v>3879.8</v>
      </c>
      <c r="I2943" s="15">
        <f t="shared" si="86"/>
        <v>0</v>
      </c>
      <c r="J2943" s="19"/>
    </row>
    <row r="2944" spans="1:10" x14ac:dyDescent="0.25">
      <c r="A2944" s="82">
        <v>42790</v>
      </c>
      <c r="B2944" s="39" t="s">
        <v>7242</v>
      </c>
      <c r="C2944" s="89"/>
      <c r="D2944" s="18">
        <v>102279</v>
      </c>
      <c r="E2944" s="2" t="s">
        <v>122</v>
      </c>
      <c r="F2944" s="15">
        <v>17969.599999999999</v>
      </c>
      <c r="G2944" s="41">
        <v>42804</v>
      </c>
      <c r="H2944" s="15">
        <f t="shared" si="85"/>
        <v>17969.599999999999</v>
      </c>
      <c r="I2944" s="15">
        <f t="shared" si="86"/>
        <v>0</v>
      </c>
      <c r="J2944" s="19"/>
    </row>
    <row r="2945" spans="1:10" x14ac:dyDescent="0.25">
      <c r="A2945" s="82">
        <v>42790</v>
      </c>
      <c r="B2945" s="39" t="s">
        <v>7243</v>
      </c>
      <c r="C2945" s="89"/>
      <c r="D2945" s="18">
        <v>102280</v>
      </c>
      <c r="E2945" s="2" t="s">
        <v>125</v>
      </c>
      <c r="F2945" s="15">
        <v>9457</v>
      </c>
      <c r="G2945" s="41">
        <v>42791</v>
      </c>
      <c r="H2945" s="15">
        <f t="shared" si="85"/>
        <v>9457</v>
      </c>
      <c r="I2945" s="15">
        <f t="shared" si="86"/>
        <v>0</v>
      </c>
      <c r="J2945" s="19"/>
    </row>
    <row r="2946" spans="1:10" x14ac:dyDescent="0.25">
      <c r="A2946" s="82">
        <v>42790</v>
      </c>
      <c r="B2946" s="39" t="s">
        <v>7244</v>
      </c>
      <c r="C2946" s="89"/>
      <c r="D2946" s="18">
        <v>102281</v>
      </c>
      <c r="E2946" s="2" t="s">
        <v>122</v>
      </c>
      <c r="F2946" s="15">
        <v>7544</v>
      </c>
      <c r="G2946" s="41">
        <v>42798</v>
      </c>
      <c r="H2946" s="15">
        <f t="shared" si="85"/>
        <v>7544</v>
      </c>
      <c r="I2946" s="15">
        <f t="shared" si="86"/>
        <v>0</v>
      </c>
      <c r="J2946" s="19"/>
    </row>
    <row r="2947" spans="1:10" x14ac:dyDescent="0.25">
      <c r="A2947" s="82">
        <v>42790</v>
      </c>
      <c r="B2947" s="39" t="s">
        <v>7245</v>
      </c>
      <c r="C2947" s="89"/>
      <c r="D2947" s="18">
        <v>102282</v>
      </c>
      <c r="E2947" s="2" t="s">
        <v>785</v>
      </c>
      <c r="F2947" s="15">
        <v>15067.5</v>
      </c>
      <c r="G2947" s="41">
        <v>42791</v>
      </c>
      <c r="H2947" s="15">
        <f t="shared" si="85"/>
        <v>15067.5</v>
      </c>
      <c r="I2947" s="15">
        <f t="shared" si="86"/>
        <v>0</v>
      </c>
      <c r="J2947" s="19"/>
    </row>
    <row r="2948" spans="1:10" x14ac:dyDescent="0.25">
      <c r="A2948" s="82">
        <v>42790</v>
      </c>
      <c r="B2948" s="39" t="s">
        <v>7246</v>
      </c>
      <c r="C2948" s="89"/>
      <c r="D2948" s="18">
        <v>102283</v>
      </c>
      <c r="E2948" s="2" t="s">
        <v>120</v>
      </c>
      <c r="F2948" s="15">
        <v>1383.68</v>
      </c>
      <c r="G2948" s="41">
        <v>42791</v>
      </c>
      <c r="H2948" s="15">
        <f t="shared" ref="H2948:H3011" si="87">F2948</f>
        <v>1383.68</v>
      </c>
      <c r="I2948" s="15">
        <f t="shared" si="86"/>
        <v>0</v>
      </c>
      <c r="J2948" s="19"/>
    </row>
    <row r="2949" spans="1:10" x14ac:dyDescent="0.25">
      <c r="A2949" s="82">
        <v>42790</v>
      </c>
      <c r="B2949" s="39" t="s">
        <v>7247</v>
      </c>
      <c r="C2949" s="89"/>
      <c r="D2949" s="18">
        <v>102284</v>
      </c>
      <c r="E2949" s="2" t="s">
        <v>352</v>
      </c>
      <c r="F2949" s="15">
        <v>390</v>
      </c>
      <c r="G2949" s="41">
        <v>42790</v>
      </c>
      <c r="H2949" s="15">
        <f t="shared" si="87"/>
        <v>390</v>
      </c>
      <c r="I2949" s="15">
        <f t="shared" si="86"/>
        <v>0</v>
      </c>
      <c r="J2949" s="19"/>
    </row>
    <row r="2950" spans="1:10" x14ac:dyDescent="0.25">
      <c r="A2950" s="82">
        <v>42790</v>
      </c>
      <c r="B2950" s="39" t="s">
        <v>7248</v>
      </c>
      <c r="C2950" s="89"/>
      <c r="D2950" s="18">
        <v>102285</v>
      </c>
      <c r="E2950" s="13" t="s">
        <v>305</v>
      </c>
      <c r="F2950" s="14">
        <v>0</v>
      </c>
      <c r="G2950" s="88" t="s">
        <v>95</v>
      </c>
      <c r="H2950" s="14">
        <f t="shared" si="87"/>
        <v>0</v>
      </c>
      <c r="I2950" s="14">
        <f t="shared" si="86"/>
        <v>0</v>
      </c>
      <c r="J2950" s="19"/>
    </row>
    <row r="2951" spans="1:10" x14ac:dyDescent="0.25">
      <c r="A2951" s="82">
        <v>42790</v>
      </c>
      <c r="B2951" s="39" t="s">
        <v>7249</v>
      </c>
      <c r="C2951" s="89"/>
      <c r="D2951" s="18">
        <v>102286</v>
      </c>
      <c r="E2951" s="2" t="s">
        <v>476</v>
      </c>
      <c r="F2951" s="15">
        <v>16970</v>
      </c>
      <c r="G2951" s="41">
        <v>42790</v>
      </c>
      <c r="H2951" s="15">
        <f t="shared" si="87"/>
        <v>16970</v>
      </c>
      <c r="I2951" s="15">
        <f t="shared" si="86"/>
        <v>0</v>
      </c>
      <c r="J2951" s="19"/>
    </row>
    <row r="2952" spans="1:10" x14ac:dyDescent="0.25">
      <c r="A2952" s="82">
        <v>42790</v>
      </c>
      <c r="B2952" s="39" t="s">
        <v>7250</v>
      </c>
      <c r="C2952" s="89"/>
      <c r="D2952" s="18">
        <v>102287</v>
      </c>
      <c r="E2952" s="2" t="s">
        <v>159</v>
      </c>
      <c r="F2952" s="15">
        <v>8481.6</v>
      </c>
      <c r="G2952" s="41">
        <v>42790</v>
      </c>
      <c r="H2952" s="15">
        <f t="shared" si="87"/>
        <v>8481.6</v>
      </c>
      <c r="I2952" s="15">
        <f t="shared" si="86"/>
        <v>0</v>
      </c>
      <c r="J2952" s="19"/>
    </row>
    <row r="2953" spans="1:10" x14ac:dyDescent="0.25">
      <c r="A2953" s="82">
        <v>42790</v>
      </c>
      <c r="B2953" s="39" t="s">
        <v>7251</v>
      </c>
      <c r="C2953" s="89"/>
      <c r="D2953" s="18">
        <v>102288</v>
      </c>
      <c r="E2953" s="2" t="s">
        <v>12</v>
      </c>
      <c r="F2953" s="15">
        <v>3211.2</v>
      </c>
      <c r="G2953" s="41">
        <v>42790</v>
      </c>
      <c r="H2953" s="15">
        <f t="shared" si="87"/>
        <v>3211.2</v>
      </c>
      <c r="I2953" s="15">
        <f t="shared" si="86"/>
        <v>0</v>
      </c>
      <c r="J2953" s="19"/>
    </row>
    <row r="2954" spans="1:10" x14ac:dyDescent="0.25">
      <c r="A2954" s="82">
        <v>42790</v>
      </c>
      <c r="B2954" s="39" t="s">
        <v>7252</v>
      </c>
      <c r="C2954" s="89"/>
      <c r="D2954" s="18">
        <v>102289</v>
      </c>
      <c r="E2954" s="2" t="s">
        <v>305</v>
      </c>
      <c r="F2954" s="15">
        <v>4648.2</v>
      </c>
      <c r="G2954" s="41">
        <v>42793</v>
      </c>
      <c r="H2954" s="15">
        <f t="shared" si="87"/>
        <v>4648.2</v>
      </c>
      <c r="I2954" s="15">
        <f t="shared" si="86"/>
        <v>0</v>
      </c>
      <c r="J2954" s="19"/>
    </row>
    <row r="2955" spans="1:10" x14ac:dyDescent="0.25">
      <c r="A2955" s="82">
        <v>42790</v>
      </c>
      <c r="B2955" s="39" t="s">
        <v>7253</v>
      </c>
      <c r="C2955" s="89"/>
      <c r="D2955" s="18">
        <v>102290</v>
      </c>
      <c r="E2955" s="2" t="s">
        <v>30</v>
      </c>
      <c r="F2955" s="15">
        <v>480.2</v>
      </c>
      <c r="G2955" s="41">
        <v>42790</v>
      </c>
      <c r="H2955" s="15">
        <f t="shared" si="87"/>
        <v>480.2</v>
      </c>
      <c r="I2955" s="15">
        <f t="shared" si="86"/>
        <v>0</v>
      </c>
      <c r="J2955" s="19"/>
    </row>
    <row r="2956" spans="1:10" x14ac:dyDescent="0.25">
      <c r="A2956" s="82">
        <v>42790</v>
      </c>
      <c r="B2956" s="39" t="s">
        <v>7254</v>
      </c>
      <c r="C2956" s="89"/>
      <c r="D2956" s="18">
        <v>102291</v>
      </c>
      <c r="E2956" s="2" t="s">
        <v>30</v>
      </c>
      <c r="F2956" s="15">
        <v>6733.8</v>
      </c>
      <c r="G2956" s="41">
        <v>42791</v>
      </c>
      <c r="H2956" s="15">
        <f t="shared" si="87"/>
        <v>6733.8</v>
      </c>
      <c r="I2956" s="15">
        <f t="shared" si="86"/>
        <v>0</v>
      </c>
      <c r="J2956" s="19"/>
    </row>
    <row r="2957" spans="1:10" x14ac:dyDescent="0.25">
      <c r="A2957" s="82">
        <v>42790</v>
      </c>
      <c r="B2957" s="39" t="s">
        <v>7255</v>
      </c>
      <c r="C2957" s="89"/>
      <c r="D2957" s="18">
        <v>102292</v>
      </c>
      <c r="E2957" s="2" t="s">
        <v>785</v>
      </c>
      <c r="F2957" s="15">
        <v>169</v>
      </c>
      <c r="G2957" s="41">
        <v>42791</v>
      </c>
      <c r="H2957" s="15">
        <f t="shared" si="87"/>
        <v>169</v>
      </c>
      <c r="I2957" s="15">
        <f t="shared" si="86"/>
        <v>0</v>
      </c>
      <c r="J2957" s="19"/>
    </row>
    <row r="2958" spans="1:10" x14ac:dyDescent="0.25">
      <c r="A2958" s="82">
        <v>42790</v>
      </c>
      <c r="B2958" s="39" t="s">
        <v>7256</v>
      </c>
      <c r="C2958" s="89"/>
      <c r="D2958" s="18">
        <v>102293</v>
      </c>
      <c r="E2958" s="2" t="s">
        <v>2986</v>
      </c>
      <c r="F2958" s="15">
        <v>3017.2</v>
      </c>
      <c r="G2958" s="41">
        <v>42790</v>
      </c>
      <c r="H2958" s="15">
        <f t="shared" si="87"/>
        <v>3017.2</v>
      </c>
      <c r="I2958" s="15">
        <f t="shared" si="86"/>
        <v>0</v>
      </c>
      <c r="J2958" s="19"/>
    </row>
    <row r="2959" spans="1:10" x14ac:dyDescent="0.25">
      <c r="A2959" s="82">
        <v>42790</v>
      </c>
      <c r="B2959" s="39" t="s">
        <v>7257</v>
      </c>
      <c r="C2959" s="89"/>
      <c r="D2959" s="18">
        <v>102294</v>
      </c>
      <c r="E2959" s="2" t="s">
        <v>71</v>
      </c>
      <c r="F2959" s="15">
        <v>4385.5</v>
      </c>
      <c r="G2959" s="41">
        <v>42790</v>
      </c>
      <c r="H2959" s="15">
        <f t="shared" si="87"/>
        <v>4385.5</v>
      </c>
      <c r="I2959" s="15">
        <f t="shared" si="86"/>
        <v>0</v>
      </c>
      <c r="J2959" s="19"/>
    </row>
    <row r="2960" spans="1:10" x14ac:dyDescent="0.25">
      <c r="A2960" s="82">
        <v>42790</v>
      </c>
      <c r="B2960" s="39" t="s">
        <v>7258</v>
      </c>
      <c r="C2960" s="89"/>
      <c r="D2960" s="18">
        <v>102295</v>
      </c>
      <c r="E2960" s="2" t="s">
        <v>1830</v>
      </c>
      <c r="F2960" s="15">
        <v>21546.6</v>
      </c>
      <c r="G2960" s="41">
        <v>42790</v>
      </c>
      <c r="H2960" s="15">
        <f t="shared" si="87"/>
        <v>21546.6</v>
      </c>
      <c r="I2960" s="15">
        <f t="shared" si="86"/>
        <v>0</v>
      </c>
      <c r="J2960" s="19"/>
    </row>
    <row r="2961" spans="1:10" x14ac:dyDescent="0.25">
      <c r="A2961" s="82">
        <v>42790</v>
      </c>
      <c r="B2961" s="39" t="s">
        <v>7259</v>
      </c>
      <c r="C2961" s="89"/>
      <c r="D2961" s="18">
        <v>102296</v>
      </c>
      <c r="E2961" s="13" t="s">
        <v>26</v>
      </c>
      <c r="F2961" s="14">
        <v>0</v>
      </c>
      <c r="G2961" s="88" t="s">
        <v>95</v>
      </c>
      <c r="H2961" s="14">
        <f t="shared" si="87"/>
        <v>0</v>
      </c>
      <c r="I2961" s="14">
        <f t="shared" si="86"/>
        <v>0</v>
      </c>
      <c r="J2961" s="19"/>
    </row>
    <row r="2962" spans="1:10" x14ac:dyDescent="0.25">
      <c r="A2962" s="82">
        <v>42790</v>
      </c>
      <c r="B2962" s="39" t="s">
        <v>7260</v>
      </c>
      <c r="C2962" s="89"/>
      <c r="D2962" s="18">
        <v>102297</v>
      </c>
      <c r="E2962" s="2" t="s">
        <v>866</v>
      </c>
      <c r="F2962" s="15">
        <v>6455</v>
      </c>
      <c r="G2962" s="41">
        <v>42790</v>
      </c>
      <c r="H2962" s="15">
        <f t="shared" si="87"/>
        <v>6455</v>
      </c>
      <c r="I2962" s="15">
        <f t="shared" si="86"/>
        <v>0</v>
      </c>
      <c r="J2962" s="19"/>
    </row>
    <row r="2963" spans="1:10" x14ac:dyDescent="0.25">
      <c r="A2963" s="82">
        <v>42790</v>
      </c>
      <c r="B2963" s="39" t="s">
        <v>7261</v>
      </c>
      <c r="C2963" s="89"/>
      <c r="D2963" s="18">
        <v>102298</v>
      </c>
      <c r="E2963" s="2" t="s">
        <v>2240</v>
      </c>
      <c r="F2963" s="15">
        <v>4995.7</v>
      </c>
      <c r="G2963" s="41">
        <v>42790</v>
      </c>
      <c r="H2963" s="15">
        <f t="shared" si="87"/>
        <v>4995.7</v>
      </c>
      <c r="I2963" s="15">
        <f t="shared" si="86"/>
        <v>0</v>
      </c>
      <c r="J2963" s="19"/>
    </row>
    <row r="2964" spans="1:10" x14ac:dyDescent="0.25">
      <c r="A2964" s="82">
        <v>42790</v>
      </c>
      <c r="B2964" s="39" t="s">
        <v>7262</v>
      </c>
      <c r="C2964" s="89"/>
      <c r="D2964" s="18">
        <v>102299</v>
      </c>
      <c r="E2964" s="2" t="s">
        <v>858</v>
      </c>
      <c r="F2964" s="15">
        <v>2247.3000000000002</v>
      </c>
      <c r="G2964" s="41">
        <v>42790</v>
      </c>
      <c r="H2964" s="15">
        <f t="shared" si="87"/>
        <v>2247.3000000000002</v>
      </c>
      <c r="I2964" s="15">
        <f t="shared" si="86"/>
        <v>0</v>
      </c>
      <c r="J2964" s="19"/>
    </row>
    <row r="2965" spans="1:10" x14ac:dyDescent="0.25">
      <c r="A2965" s="82">
        <v>42790</v>
      </c>
      <c r="B2965" s="39" t="s">
        <v>7263</v>
      </c>
      <c r="C2965" s="89"/>
      <c r="D2965" s="18">
        <v>102300</v>
      </c>
      <c r="E2965" s="2" t="s">
        <v>879</v>
      </c>
      <c r="F2965" s="15">
        <v>2753.4</v>
      </c>
      <c r="G2965" s="41">
        <v>42790</v>
      </c>
      <c r="H2965" s="15">
        <f t="shared" si="87"/>
        <v>2753.4</v>
      </c>
      <c r="I2965" s="15">
        <f t="shared" si="86"/>
        <v>0</v>
      </c>
      <c r="J2965" s="19"/>
    </row>
    <row r="2966" spans="1:10" x14ac:dyDescent="0.25">
      <c r="A2966" s="82">
        <v>42790</v>
      </c>
      <c r="B2966" s="39" t="s">
        <v>7264</v>
      </c>
      <c r="C2966" s="89"/>
      <c r="D2966" s="18">
        <v>102301</v>
      </c>
      <c r="E2966" s="2" t="s">
        <v>1081</v>
      </c>
      <c r="F2966" s="15">
        <v>385</v>
      </c>
      <c r="G2966" s="41">
        <v>42791</v>
      </c>
      <c r="H2966" s="15">
        <f t="shared" si="87"/>
        <v>385</v>
      </c>
      <c r="I2966" s="15">
        <f t="shared" si="86"/>
        <v>0</v>
      </c>
      <c r="J2966" s="19"/>
    </row>
    <row r="2967" spans="1:10" x14ac:dyDescent="0.25">
      <c r="A2967" s="82">
        <v>42790</v>
      </c>
      <c r="B2967" s="39" t="s">
        <v>7265</v>
      </c>
      <c r="C2967" s="89"/>
      <c r="D2967" s="18">
        <v>102302</v>
      </c>
      <c r="E2967" s="2" t="s">
        <v>109</v>
      </c>
      <c r="F2967" s="15">
        <v>2050.4</v>
      </c>
      <c r="G2967" s="41">
        <v>42791</v>
      </c>
      <c r="H2967" s="15">
        <f t="shared" si="87"/>
        <v>2050.4</v>
      </c>
      <c r="I2967" s="15">
        <f t="shared" si="86"/>
        <v>0</v>
      </c>
      <c r="J2967" s="19"/>
    </row>
    <row r="2968" spans="1:10" x14ac:dyDescent="0.25">
      <c r="A2968" s="82">
        <v>42790</v>
      </c>
      <c r="B2968" s="39" t="s">
        <v>7266</v>
      </c>
      <c r="C2968" s="89"/>
      <c r="D2968" s="18">
        <v>102303</v>
      </c>
      <c r="E2968" s="2" t="s">
        <v>492</v>
      </c>
      <c r="F2968" s="15">
        <v>21206.3</v>
      </c>
      <c r="G2968" s="41">
        <v>42793</v>
      </c>
      <c r="H2968" s="15">
        <f t="shared" si="87"/>
        <v>21206.3</v>
      </c>
      <c r="I2968" s="15">
        <f t="shared" si="86"/>
        <v>0</v>
      </c>
      <c r="J2968" s="19"/>
    </row>
    <row r="2969" spans="1:10" x14ac:dyDescent="0.25">
      <c r="A2969" s="82">
        <v>42790</v>
      </c>
      <c r="B2969" s="39" t="s">
        <v>7267</v>
      </c>
      <c r="C2969" s="89"/>
      <c r="D2969" s="18">
        <v>102304</v>
      </c>
      <c r="E2969" s="2" t="s">
        <v>92</v>
      </c>
      <c r="F2969" s="15">
        <v>2332.8000000000002</v>
      </c>
      <c r="G2969" s="41">
        <v>42791</v>
      </c>
      <c r="H2969" s="15">
        <f t="shared" si="87"/>
        <v>2332.8000000000002</v>
      </c>
      <c r="I2969" s="15">
        <f t="shared" si="86"/>
        <v>0</v>
      </c>
      <c r="J2969" s="19"/>
    </row>
    <row r="2970" spans="1:10" x14ac:dyDescent="0.25">
      <c r="A2970" s="82">
        <v>42790</v>
      </c>
      <c r="B2970" s="39" t="s">
        <v>7268</v>
      </c>
      <c r="C2970" s="89"/>
      <c r="D2970" s="18">
        <v>102305</v>
      </c>
      <c r="E2970" s="2" t="s">
        <v>445</v>
      </c>
      <c r="F2970" s="15">
        <v>3399.4</v>
      </c>
      <c r="G2970" s="41">
        <v>42791</v>
      </c>
      <c r="H2970" s="15">
        <f t="shared" si="87"/>
        <v>3399.4</v>
      </c>
      <c r="I2970" s="15">
        <f t="shared" si="86"/>
        <v>0</v>
      </c>
      <c r="J2970" s="19"/>
    </row>
    <row r="2971" spans="1:10" x14ac:dyDescent="0.25">
      <c r="A2971" s="82">
        <v>42790</v>
      </c>
      <c r="B2971" s="39" t="s">
        <v>7269</v>
      </c>
      <c r="C2971" s="89"/>
      <c r="D2971" s="18">
        <v>102306</v>
      </c>
      <c r="E2971" s="2" t="s">
        <v>103</v>
      </c>
      <c r="F2971" s="15">
        <v>654.4</v>
      </c>
      <c r="G2971" s="41">
        <v>42791</v>
      </c>
      <c r="H2971" s="15">
        <f t="shared" si="87"/>
        <v>654.4</v>
      </c>
      <c r="I2971" s="15">
        <f t="shared" si="86"/>
        <v>0</v>
      </c>
      <c r="J2971" s="19"/>
    </row>
    <row r="2972" spans="1:10" x14ac:dyDescent="0.25">
      <c r="A2972" s="82">
        <v>42790</v>
      </c>
      <c r="B2972" s="39" t="s">
        <v>7270</v>
      </c>
      <c r="C2972" s="89"/>
      <c r="D2972" s="18">
        <v>102307</v>
      </c>
      <c r="E2972" s="2" t="s">
        <v>81</v>
      </c>
      <c r="F2972" s="15">
        <v>1919.5</v>
      </c>
      <c r="G2972" s="41">
        <v>42791</v>
      </c>
      <c r="H2972" s="15">
        <f t="shared" si="87"/>
        <v>1919.5</v>
      </c>
      <c r="I2972" s="15">
        <f t="shared" si="86"/>
        <v>0</v>
      </c>
      <c r="J2972" s="19"/>
    </row>
    <row r="2973" spans="1:10" x14ac:dyDescent="0.25">
      <c r="A2973" s="82">
        <v>42790</v>
      </c>
      <c r="B2973" s="39" t="s">
        <v>7271</v>
      </c>
      <c r="C2973" s="89"/>
      <c r="D2973" s="18">
        <v>102308</v>
      </c>
      <c r="E2973" s="2" t="s">
        <v>277</v>
      </c>
      <c r="F2973" s="15">
        <v>2734.84</v>
      </c>
      <c r="G2973" s="41">
        <v>42790</v>
      </c>
      <c r="H2973" s="15">
        <f t="shared" si="87"/>
        <v>2734.84</v>
      </c>
      <c r="I2973" s="15">
        <f t="shared" si="86"/>
        <v>0</v>
      </c>
      <c r="J2973" s="19"/>
    </row>
    <row r="2974" spans="1:10" x14ac:dyDescent="0.25">
      <c r="A2974" s="82">
        <v>42790</v>
      </c>
      <c r="B2974" s="39" t="s">
        <v>7272</v>
      </c>
      <c r="C2974" s="89"/>
      <c r="D2974" s="18">
        <v>102309</v>
      </c>
      <c r="E2974" s="2" t="s">
        <v>509</v>
      </c>
      <c r="F2974" s="15">
        <v>21500</v>
      </c>
      <c r="G2974" s="41">
        <v>42798</v>
      </c>
      <c r="H2974" s="15">
        <f t="shared" si="87"/>
        <v>21500</v>
      </c>
      <c r="I2974" s="15">
        <f t="shared" si="86"/>
        <v>0</v>
      </c>
      <c r="J2974" s="19"/>
    </row>
    <row r="2975" spans="1:10" x14ac:dyDescent="0.25">
      <c r="A2975" s="82">
        <v>42790</v>
      </c>
      <c r="B2975" s="39" t="s">
        <v>7273</v>
      </c>
      <c r="C2975" s="89"/>
      <c r="D2975" s="18">
        <v>102310</v>
      </c>
      <c r="E2975" s="2" t="s">
        <v>281</v>
      </c>
      <c r="F2975" s="15">
        <v>2089.8000000000002</v>
      </c>
      <c r="G2975" s="41">
        <v>42791</v>
      </c>
      <c r="H2975" s="15">
        <f t="shared" si="87"/>
        <v>2089.8000000000002</v>
      </c>
      <c r="I2975" s="15">
        <f t="shared" si="86"/>
        <v>0</v>
      </c>
      <c r="J2975" s="19"/>
    </row>
    <row r="2976" spans="1:10" x14ac:dyDescent="0.25">
      <c r="A2976" s="82">
        <v>42790</v>
      </c>
      <c r="B2976" s="39" t="s">
        <v>7274</v>
      </c>
      <c r="C2976" s="89"/>
      <c r="D2976" s="18">
        <v>102311</v>
      </c>
      <c r="E2976" s="2" t="s">
        <v>101</v>
      </c>
      <c r="F2976" s="15">
        <v>1568</v>
      </c>
      <c r="G2976" s="41">
        <v>42791</v>
      </c>
      <c r="H2976" s="15">
        <f t="shared" si="87"/>
        <v>1568</v>
      </c>
      <c r="I2976" s="15">
        <f t="shared" si="86"/>
        <v>0</v>
      </c>
      <c r="J2976" s="19"/>
    </row>
    <row r="2977" spans="1:10" x14ac:dyDescent="0.25">
      <c r="A2977" s="82">
        <v>42790</v>
      </c>
      <c r="B2977" s="39" t="s">
        <v>7275</v>
      </c>
      <c r="C2977" s="89"/>
      <c r="D2977" s="18">
        <v>102312</v>
      </c>
      <c r="E2977" s="2" t="s">
        <v>99</v>
      </c>
      <c r="F2977" s="15">
        <v>2200.1</v>
      </c>
      <c r="G2977" s="41">
        <v>42791</v>
      </c>
      <c r="H2977" s="15">
        <f t="shared" si="87"/>
        <v>2200.1</v>
      </c>
      <c r="I2977" s="15">
        <f t="shared" si="86"/>
        <v>0</v>
      </c>
      <c r="J2977" s="19"/>
    </row>
    <row r="2978" spans="1:10" x14ac:dyDescent="0.25">
      <c r="A2978" s="82">
        <v>42790</v>
      </c>
      <c r="B2978" s="39" t="s">
        <v>7276</v>
      </c>
      <c r="C2978" s="89"/>
      <c r="D2978" s="18">
        <v>102313</v>
      </c>
      <c r="E2978" s="2" t="s">
        <v>613</v>
      </c>
      <c r="F2978" s="15">
        <v>2960</v>
      </c>
      <c r="G2978" s="41">
        <v>42791</v>
      </c>
      <c r="H2978" s="15">
        <f t="shared" si="87"/>
        <v>2960</v>
      </c>
      <c r="I2978" s="15">
        <f t="shared" si="86"/>
        <v>0</v>
      </c>
      <c r="J2978" s="19"/>
    </row>
    <row r="2979" spans="1:10" x14ac:dyDescent="0.25">
      <c r="A2979" s="82">
        <v>42790</v>
      </c>
      <c r="B2979" s="39" t="s">
        <v>7277</v>
      </c>
      <c r="C2979" s="89"/>
      <c r="D2979" s="18">
        <v>102314</v>
      </c>
      <c r="E2979" s="2" t="s">
        <v>1259</v>
      </c>
      <c r="F2979" s="15">
        <v>2254</v>
      </c>
      <c r="G2979" s="41">
        <v>42791</v>
      </c>
      <c r="H2979" s="15">
        <f t="shared" si="87"/>
        <v>2254</v>
      </c>
      <c r="I2979" s="15">
        <f t="shared" si="86"/>
        <v>0</v>
      </c>
      <c r="J2979" s="19"/>
    </row>
    <row r="2980" spans="1:10" x14ac:dyDescent="0.25">
      <c r="A2980" s="82">
        <v>42790</v>
      </c>
      <c r="B2980" s="39" t="s">
        <v>7278</v>
      </c>
      <c r="C2980" s="89"/>
      <c r="D2980" s="18">
        <v>102315</v>
      </c>
      <c r="E2980" s="2" t="s">
        <v>1380</v>
      </c>
      <c r="F2980" s="15">
        <v>4868.5</v>
      </c>
      <c r="G2980" s="41">
        <v>42791</v>
      </c>
      <c r="H2980" s="15">
        <f t="shared" si="87"/>
        <v>4868.5</v>
      </c>
      <c r="I2980" s="15">
        <f t="shared" si="86"/>
        <v>0</v>
      </c>
      <c r="J2980" s="19"/>
    </row>
    <row r="2981" spans="1:10" x14ac:dyDescent="0.25">
      <c r="A2981" s="82">
        <v>42790</v>
      </c>
      <c r="B2981" s="39" t="s">
        <v>7279</v>
      </c>
      <c r="C2981" s="89"/>
      <c r="D2981" s="18">
        <v>102316</v>
      </c>
      <c r="E2981" s="2" t="s">
        <v>105</v>
      </c>
      <c r="F2981" s="15">
        <v>2934.8</v>
      </c>
      <c r="G2981" s="41">
        <v>42791</v>
      </c>
      <c r="H2981" s="15">
        <f t="shared" si="87"/>
        <v>2934.8</v>
      </c>
      <c r="I2981" s="15">
        <f t="shared" si="86"/>
        <v>0</v>
      </c>
      <c r="J2981" s="19"/>
    </row>
    <row r="2982" spans="1:10" x14ac:dyDescent="0.25">
      <c r="A2982" s="82">
        <v>42790</v>
      </c>
      <c r="B2982" s="39" t="s">
        <v>7280</v>
      </c>
      <c r="C2982" s="89"/>
      <c r="D2982" s="18">
        <v>102317</v>
      </c>
      <c r="E2982" s="2" t="s">
        <v>470</v>
      </c>
      <c r="F2982" s="15">
        <v>15179</v>
      </c>
      <c r="G2982" s="41">
        <v>42790</v>
      </c>
      <c r="H2982" s="15">
        <f t="shared" si="87"/>
        <v>15179</v>
      </c>
      <c r="I2982" s="15">
        <f t="shared" si="86"/>
        <v>0</v>
      </c>
      <c r="J2982" s="19"/>
    </row>
    <row r="2983" spans="1:10" x14ac:dyDescent="0.25">
      <c r="A2983" s="82">
        <v>42790</v>
      </c>
      <c r="B2983" s="39" t="s">
        <v>7281</v>
      </c>
      <c r="C2983" s="89"/>
      <c r="D2983" s="18">
        <v>102318</v>
      </c>
      <c r="E2983" s="2" t="s">
        <v>30</v>
      </c>
      <c r="F2983" s="15">
        <v>418.6</v>
      </c>
      <c r="G2983" s="41">
        <v>42790</v>
      </c>
      <c r="H2983" s="15">
        <f t="shared" si="87"/>
        <v>418.6</v>
      </c>
      <c r="I2983" s="15">
        <f t="shared" si="86"/>
        <v>0</v>
      </c>
      <c r="J2983" s="19"/>
    </row>
    <row r="2984" spans="1:10" x14ac:dyDescent="0.25">
      <c r="A2984" s="82">
        <v>42790</v>
      </c>
      <c r="B2984" s="39" t="s">
        <v>7282</v>
      </c>
      <c r="C2984" s="89"/>
      <c r="D2984" s="18">
        <v>102319</v>
      </c>
      <c r="E2984" s="2" t="s">
        <v>83</v>
      </c>
      <c r="F2984" s="15">
        <v>2053.5</v>
      </c>
      <c r="G2984" s="41">
        <v>42791</v>
      </c>
      <c r="H2984" s="15">
        <f t="shared" si="87"/>
        <v>2053.5</v>
      </c>
      <c r="I2984" s="15">
        <f t="shared" si="86"/>
        <v>0</v>
      </c>
      <c r="J2984" s="19"/>
    </row>
    <row r="2985" spans="1:10" x14ac:dyDescent="0.25">
      <c r="A2985" s="82">
        <v>42790</v>
      </c>
      <c r="B2985" s="39" t="s">
        <v>7283</v>
      </c>
      <c r="C2985" s="89"/>
      <c r="D2985" s="18">
        <v>102320</v>
      </c>
      <c r="E2985" s="2" t="s">
        <v>930</v>
      </c>
      <c r="F2985" s="15">
        <v>16511.25</v>
      </c>
      <c r="G2985" s="41">
        <v>42790</v>
      </c>
      <c r="H2985" s="15">
        <f t="shared" si="87"/>
        <v>16511.25</v>
      </c>
      <c r="I2985" s="15">
        <f t="shared" si="86"/>
        <v>0</v>
      </c>
      <c r="J2985" s="19"/>
    </row>
    <row r="2986" spans="1:10" x14ac:dyDescent="0.25">
      <c r="A2986" s="82">
        <v>42790</v>
      </c>
      <c r="B2986" s="39" t="s">
        <v>7284</v>
      </c>
      <c r="C2986" s="89"/>
      <c r="D2986" s="18">
        <v>102321</v>
      </c>
      <c r="E2986" s="2" t="s">
        <v>1925</v>
      </c>
      <c r="F2986" s="15">
        <v>542.6</v>
      </c>
      <c r="G2986" s="41">
        <v>42790</v>
      </c>
      <c r="H2986" s="15">
        <f t="shared" si="87"/>
        <v>542.6</v>
      </c>
      <c r="I2986" s="15">
        <f t="shared" si="86"/>
        <v>0</v>
      </c>
      <c r="J2986" s="19"/>
    </row>
    <row r="2987" spans="1:10" x14ac:dyDescent="0.25">
      <c r="A2987" s="82">
        <v>42790</v>
      </c>
      <c r="B2987" s="39" t="s">
        <v>7285</v>
      </c>
      <c r="C2987" s="89"/>
      <c r="D2987" s="18">
        <v>102322</v>
      </c>
      <c r="E2987" s="13" t="s">
        <v>88</v>
      </c>
      <c r="F2987" s="14">
        <v>0</v>
      </c>
      <c r="G2987" s="88"/>
      <c r="H2987" s="14">
        <v>0</v>
      </c>
      <c r="I2987" s="14">
        <f t="shared" si="86"/>
        <v>0</v>
      </c>
      <c r="J2987" s="19"/>
    </row>
    <row r="2988" spans="1:10" x14ac:dyDescent="0.25">
      <c r="A2988" s="82">
        <v>42790</v>
      </c>
      <c r="B2988" s="39" t="s">
        <v>7286</v>
      </c>
      <c r="C2988" s="89"/>
      <c r="D2988" s="18">
        <v>102323</v>
      </c>
      <c r="E2988" s="2" t="s">
        <v>88</v>
      </c>
      <c r="F2988" s="15">
        <v>11178</v>
      </c>
      <c r="G2988" s="41">
        <v>42791</v>
      </c>
      <c r="H2988" s="15">
        <f t="shared" si="87"/>
        <v>11178</v>
      </c>
      <c r="I2988" s="15">
        <f t="shared" si="86"/>
        <v>0</v>
      </c>
      <c r="J2988" s="19"/>
    </row>
    <row r="2989" spans="1:10" x14ac:dyDescent="0.25">
      <c r="A2989" s="82">
        <v>42790</v>
      </c>
      <c r="B2989" s="39" t="s">
        <v>7287</v>
      </c>
      <c r="C2989" s="89"/>
      <c r="D2989" s="18">
        <v>102324</v>
      </c>
      <c r="E2989" s="2" t="s">
        <v>289</v>
      </c>
      <c r="F2989" s="15">
        <v>80829.320000000007</v>
      </c>
      <c r="G2989" s="41">
        <v>42807</v>
      </c>
      <c r="H2989" s="15">
        <f t="shared" si="87"/>
        <v>80829.320000000007</v>
      </c>
      <c r="I2989" s="15">
        <f t="shared" si="86"/>
        <v>0</v>
      </c>
      <c r="J2989" s="19"/>
    </row>
    <row r="2990" spans="1:10" x14ac:dyDescent="0.25">
      <c r="A2990" s="82">
        <v>42790</v>
      </c>
      <c r="B2990" s="39" t="s">
        <v>7288</v>
      </c>
      <c r="C2990" s="89"/>
      <c r="D2990" s="18">
        <v>102325</v>
      </c>
      <c r="E2990" s="2" t="s">
        <v>923</v>
      </c>
      <c r="F2990" s="15">
        <v>13380.2</v>
      </c>
      <c r="G2990" s="41">
        <v>42793</v>
      </c>
      <c r="H2990" s="15">
        <f t="shared" si="87"/>
        <v>13380.2</v>
      </c>
      <c r="I2990" s="15">
        <f t="shared" si="86"/>
        <v>0</v>
      </c>
      <c r="J2990" s="19"/>
    </row>
    <row r="2991" spans="1:10" x14ac:dyDescent="0.25">
      <c r="A2991" s="82">
        <v>42790</v>
      </c>
      <c r="B2991" s="39" t="s">
        <v>7289</v>
      </c>
      <c r="C2991" s="89"/>
      <c r="D2991" s="18">
        <v>102326</v>
      </c>
      <c r="E2991" s="2" t="s">
        <v>302</v>
      </c>
      <c r="F2991" s="15">
        <v>11491.2</v>
      </c>
      <c r="G2991" s="41">
        <v>42790</v>
      </c>
      <c r="H2991" s="15">
        <f t="shared" si="87"/>
        <v>11491.2</v>
      </c>
      <c r="I2991" s="15">
        <f t="shared" si="86"/>
        <v>0</v>
      </c>
      <c r="J2991" s="19"/>
    </row>
    <row r="2992" spans="1:10" x14ac:dyDescent="0.25">
      <c r="A2992" s="82">
        <v>42790</v>
      </c>
      <c r="B2992" s="39" t="s">
        <v>7290</v>
      </c>
      <c r="C2992" s="89"/>
      <c r="D2992" s="18">
        <v>102327</v>
      </c>
      <c r="E2992" s="2" t="s">
        <v>7291</v>
      </c>
      <c r="F2992" s="15">
        <v>770</v>
      </c>
      <c r="G2992" s="41">
        <v>42790</v>
      </c>
      <c r="H2992" s="15">
        <f t="shared" si="87"/>
        <v>770</v>
      </c>
      <c r="I2992" s="15">
        <f t="shared" si="86"/>
        <v>0</v>
      </c>
      <c r="J2992" s="19"/>
    </row>
    <row r="2993" spans="1:10" x14ac:dyDescent="0.25">
      <c r="A2993" s="82">
        <v>42790</v>
      </c>
      <c r="B2993" s="39" t="s">
        <v>7292</v>
      </c>
      <c r="C2993" s="89"/>
      <c r="D2993" s="18">
        <v>102328</v>
      </c>
      <c r="E2993" s="2" t="s">
        <v>806</v>
      </c>
      <c r="F2993" s="15">
        <v>3084.6</v>
      </c>
      <c r="G2993" s="41">
        <v>42790</v>
      </c>
      <c r="H2993" s="15">
        <f t="shared" si="87"/>
        <v>3084.6</v>
      </c>
      <c r="I2993" s="15">
        <f t="shared" si="86"/>
        <v>0</v>
      </c>
      <c r="J2993" s="19"/>
    </row>
    <row r="2994" spans="1:10" x14ac:dyDescent="0.25">
      <c r="A2994" s="82">
        <v>42790</v>
      </c>
      <c r="B2994" s="39" t="s">
        <v>7293</v>
      </c>
      <c r="C2994" s="89"/>
      <c r="D2994" s="18">
        <v>102329</v>
      </c>
      <c r="E2994" s="2" t="s">
        <v>236</v>
      </c>
      <c r="F2994" s="15">
        <v>4560</v>
      </c>
      <c r="G2994" s="41">
        <v>42807</v>
      </c>
      <c r="H2994" s="15">
        <f t="shared" si="87"/>
        <v>4560</v>
      </c>
      <c r="I2994" s="15">
        <f t="shared" si="86"/>
        <v>0</v>
      </c>
      <c r="J2994" s="19"/>
    </row>
    <row r="2995" spans="1:10" x14ac:dyDescent="0.25">
      <c r="A2995" s="82">
        <v>42790</v>
      </c>
      <c r="B2995" s="39" t="s">
        <v>7294</v>
      </c>
      <c r="C2995" s="89"/>
      <c r="D2995" s="18">
        <v>102330</v>
      </c>
      <c r="E2995" s="2" t="s">
        <v>133</v>
      </c>
      <c r="F2995" s="15">
        <v>80</v>
      </c>
      <c r="G2995" s="41">
        <v>42790</v>
      </c>
      <c r="H2995" s="15">
        <f t="shared" si="87"/>
        <v>80</v>
      </c>
      <c r="I2995" s="15">
        <f t="shared" si="86"/>
        <v>0</v>
      </c>
      <c r="J2995" s="19"/>
    </row>
    <row r="2996" spans="1:10" x14ac:dyDescent="0.25">
      <c r="A2996" s="82">
        <v>42790</v>
      </c>
      <c r="B2996" s="39" t="s">
        <v>7295</v>
      </c>
      <c r="C2996" s="89"/>
      <c r="D2996" s="18">
        <v>102331</v>
      </c>
      <c r="E2996" s="2" t="s">
        <v>422</v>
      </c>
      <c r="F2996" s="15">
        <v>2244</v>
      </c>
      <c r="G2996" s="41">
        <v>42790</v>
      </c>
      <c r="H2996" s="15">
        <f t="shared" si="87"/>
        <v>2244</v>
      </c>
      <c r="I2996" s="15">
        <f t="shared" si="86"/>
        <v>0</v>
      </c>
      <c r="J2996" s="19"/>
    </row>
    <row r="2997" spans="1:10" x14ac:dyDescent="0.25">
      <c r="A2997" s="82">
        <v>42790</v>
      </c>
      <c r="B2997" s="39" t="s">
        <v>7296</v>
      </c>
      <c r="C2997" s="89"/>
      <c r="D2997" s="18">
        <v>102332</v>
      </c>
      <c r="E2997" s="2" t="s">
        <v>30</v>
      </c>
      <c r="F2997" s="15">
        <v>10480</v>
      </c>
      <c r="G2997" s="41">
        <v>42790</v>
      </c>
      <c r="H2997" s="15">
        <f t="shared" si="87"/>
        <v>10480</v>
      </c>
      <c r="I2997" s="15">
        <f t="shared" si="86"/>
        <v>0</v>
      </c>
      <c r="J2997" s="19"/>
    </row>
    <row r="2998" spans="1:10" x14ac:dyDescent="0.25">
      <c r="A2998" s="82">
        <v>42790</v>
      </c>
      <c r="B2998" s="39" t="s">
        <v>7297</v>
      </c>
      <c r="C2998" s="89"/>
      <c r="D2998" s="18">
        <v>102333</v>
      </c>
      <c r="E2998" s="2" t="s">
        <v>145</v>
      </c>
      <c r="F2998" s="15">
        <v>37037.599999999999</v>
      </c>
      <c r="G2998" s="41">
        <v>42791</v>
      </c>
      <c r="H2998" s="15">
        <f t="shared" si="87"/>
        <v>37037.599999999999</v>
      </c>
      <c r="I2998" s="15">
        <f t="shared" si="86"/>
        <v>0</v>
      </c>
      <c r="J2998" s="19"/>
    </row>
    <row r="2999" spans="1:10" x14ac:dyDescent="0.25">
      <c r="A2999" s="82">
        <v>42790</v>
      </c>
      <c r="B2999" s="39" t="s">
        <v>7298</v>
      </c>
      <c r="C2999" s="89"/>
      <c r="D2999" s="18">
        <v>102334</v>
      </c>
      <c r="E2999" s="2" t="s">
        <v>115</v>
      </c>
      <c r="F2999" s="15">
        <v>3214.5</v>
      </c>
      <c r="G2999" s="41">
        <v>42791</v>
      </c>
      <c r="H2999" s="15">
        <f t="shared" si="87"/>
        <v>3214.5</v>
      </c>
      <c r="I2999" s="15">
        <f t="shared" si="86"/>
        <v>0</v>
      </c>
      <c r="J2999" s="19"/>
    </row>
    <row r="3000" spans="1:10" x14ac:dyDescent="0.25">
      <c r="A3000" s="82">
        <v>42790</v>
      </c>
      <c r="B3000" s="39" t="s">
        <v>7299</v>
      </c>
      <c r="C3000" s="89"/>
      <c r="D3000" s="18">
        <v>102335</v>
      </c>
      <c r="E3000" s="2" t="s">
        <v>161</v>
      </c>
      <c r="F3000" s="15">
        <v>42777.1</v>
      </c>
      <c r="G3000" s="41">
        <v>42804</v>
      </c>
      <c r="H3000" s="15">
        <f t="shared" si="87"/>
        <v>42777.1</v>
      </c>
      <c r="I3000" s="15">
        <f t="shared" ref="I3000:I3063" si="88">F3000-H3000</f>
        <v>0</v>
      </c>
      <c r="J3000" s="19"/>
    </row>
    <row r="3001" spans="1:10" x14ac:dyDescent="0.25">
      <c r="A3001" s="82">
        <v>42790</v>
      </c>
      <c r="B3001" s="39" t="s">
        <v>7300</v>
      </c>
      <c r="C3001" s="89"/>
      <c r="D3001" s="18">
        <v>102336</v>
      </c>
      <c r="E3001" s="2" t="s">
        <v>30</v>
      </c>
      <c r="F3001" s="15">
        <v>148</v>
      </c>
      <c r="G3001" s="41">
        <v>42790</v>
      </c>
      <c r="H3001" s="15">
        <f t="shared" si="87"/>
        <v>148</v>
      </c>
      <c r="I3001" s="15">
        <f t="shared" si="88"/>
        <v>0</v>
      </c>
      <c r="J3001" s="19"/>
    </row>
    <row r="3002" spans="1:10" x14ac:dyDescent="0.25">
      <c r="A3002" s="82">
        <v>42790</v>
      </c>
      <c r="B3002" s="39" t="s">
        <v>7301</v>
      </c>
      <c r="C3002" s="89"/>
      <c r="D3002" s="18">
        <v>102337</v>
      </c>
      <c r="E3002" s="2" t="s">
        <v>3319</v>
      </c>
      <c r="F3002" s="15">
        <v>13950</v>
      </c>
      <c r="G3002" s="41">
        <v>42791</v>
      </c>
      <c r="H3002" s="15">
        <f t="shared" si="87"/>
        <v>13950</v>
      </c>
      <c r="I3002" s="15">
        <f t="shared" si="88"/>
        <v>0</v>
      </c>
      <c r="J3002" s="19"/>
    </row>
    <row r="3003" spans="1:10" x14ac:dyDescent="0.25">
      <c r="A3003" s="82">
        <v>42790</v>
      </c>
      <c r="B3003" s="39" t="s">
        <v>7302</v>
      </c>
      <c r="C3003" s="89"/>
      <c r="D3003" s="18">
        <v>102338</v>
      </c>
      <c r="E3003" s="2" t="s">
        <v>354</v>
      </c>
      <c r="F3003" s="15">
        <v>978.6</v>
      </c>
      <c r="G3003" s="41">
        <v>42790</v>
      </c>
      <c r="H3003" s="15">
        <f t="shared" si="87"/>
        <v>978.6</v>
      </c>
      <c r="I3003" s="15">
        <f t="shared" si="88"/>
        <v>0</v>
      </c>
      <c r="J3003" s="19"/>
    </row>
    <row r="3004" spans="1:10" x14ac:dyDescent="0.25">
      <c r="A3004" s="82">
        <v>42790</v>
      </c>
      <c r="B3004" s="39" t="s">
        <v>7303</v>
      </c>
      <c r="C3004" s="89"/>
      <c r="D3004" s="18">
        <v>102339</v>
      </c>
      <c r="E3004" s="2" t="s">
        <v>10</v>
      </c>
      <c r="F3004" s="15">
        <v>121051.28</v>
      </c>
      <c r="G3004" s="41">
        <v>42794</v>
      </c>
      <c r="H3004" s="15">
        <f t="shared" si="87"/>
        <v>121051.28</v>
      </c>
      <c r="I3004" s="15">
        <f t="shared" si="88"/>
        <v>0</v>
      </c>
      <c r="J3004" s="19"/>
    </row>
    <row r="3005" spans="1:10" x14ac:dyDescent="0.25">
      <c r="A3005" s="82">
        <v>42790</v>
      </c>
      <c r="B3005" s="39" t="s">
        <v>7304</v>
      </c>
      <c r="C3005" s="89"/>
      <c r="D3005" s="18">
        <v>102340</v>
      </c>
      <c r="E3005" s="2" t="s">
        <v>10</v>
      </c>
      <c r="F3005" s="15">
        <v>20525.8</v>
      </c>
      <c r="G3005" s="41">
        <v>42794</v>
      </c>
      <c r="H3005" s="15">
        <f t="shared" si="87"/>
        <v>20525.8</v>
      </c>
      <c r="I3005" s="15">
        <f t="shared" si="88"/>
        <v>0</v>
      </c>
      <c r="J3005" s="19"/>
    </row>
    <row r="3006" spans="1:10" x14ac:dyDescent="0.25">
      <c r="A3006" s="82">
        <v>42790</v>
      </c>
      <c r="B3006" s="39" t="s">
        <v>7305</v>
      </c>
      <c r="C3006" s="89"/>
      <c r="D3006" s="18">
        <v>102341</v>
      </c>
      <c r="E3006" s="2" t="s">
        <v>3997</v>
      </c>
      <c r="F3006" s="15">
        <v>4145.3999999999996</v>
      </c>
      <c r="G3006" s="41">
        <v>42798</v>
      </c>
      <c r="H3006" s="15">
        <f t="shared" si="87"/>
        <v>4145.3999999999996</v>
      </c>
      <c r="I3006" s="15">
        <f t="shared" si="88"/>
        <v>0</v>
      </c>
      <c r="J3006" s="19"/>
    </row>
    <row r="3007" spans="1:10" x14ac:dyDescent="0.25">
      <c r="A3007" s="82">
        <v>42790</v>
      </c>
      <c r="B3007" s="39" t="s">
        <v>7306</v>
      </c>
      <c r="C3007" s="89"/>
      <c r="D3007" s="18">
        <v>102342</v>
      </c>
      <c r="E3007" s="2" t="s">
        <v>379</v>
      </c>
      <c r="F3007" s="15">
        <v>4396</v>
      </c>
      <c r="G3007" s="41">
        <v>42799</v>
      </c>
      <c r="H3007" s="15">
        <f t="shared" si="87"/>
        <v>4396</v>
      </c>
      <c r="I3007" s="15">
        <f t="shared" si="88"/>
        <v>0</v>
      </c>
      <c r="J3007" s="19"/>
    </row>
    <row r="3008" spans="1:10" x14ac:dyDescent="0.25">
      <c r="A3008" s="82">
        <v>42790</v>
      </c>
      <c r="B3008" s="39" t="s">
        <v>7307</v>
      </c>
      <c r="C3008" s="89"/>
      <c r="D3008" s="18">
        <v>102343</v>
      </c>
      <c r="E3008" s="2" t="s">
        <v>193</v>
      </c>
      <c r="F3008" s="15">
        <v>1784.8</v>
      </c>
      <c r="G3008" s="41">
        <v>42791</v>
      </c>
      <c r="H3008" s="15">
        <f t="shared" si="87"/>
        <v>1784.8</v>
      </c>
      <c r="I3008" s="15">
        <f t="shared" si="88"/>
        <v>0</v>
      </c>
      <c r="J3008" s="19"/>
    </row>
    <row r="3009" spans="1:10" x14ac:dyDescent="0.25">
      <c r="A3009" s="82">
        <v>42790</v>
      </c>
      <c r="B3009" s="39" t="s">
        <v>7308</v>
      </c>
      <c r="C3009" s="89"/>
      <c r="D3009" s="18">
        <v>102344</v>
      </c>
      <c r="E3009" s="2" t="s">
        <v>2533</v>
      </c>
      <c r="F3009" s="15">
        <v>1707.6</v>
      </c>
      <c r="G3009" s="41">
        <v>42791</v>
      </c>
      <c r="H3009" s="15">
        <f t="shared" si="87"/>
        <v>1707.6</v>
      </c>
      <c r="I3009" s="15">
        <f t="shared" si="88"/>
        <v>0</v>
      </c>
      <c r="J3009" s="19"/>
    </row>
    <row r="3010" spans="1:10" x14ac:dyDescent="0.25">
      <c r="A3010" s="82">
        <v>42790</v>
      </c>
      <c r="B3010" s="39" t="s">
        <v>7309</v>
      </c>
      <c r="C3010" s="89"/>
      <c r="D3010" s="18">
        <v>102345</v>
      </c>
      <c r="E3010" s="2" t="s">
        <v>182</v>
      </c>
      <c r="F3010" s="15">
        <v>3760</v>
      </c>
      <c r="G3010" s="41">
        <v>42791</v>
      </c>
      <c r="H3010" s="15">
        <f t="shared" si="87"/>
        <v>3760</v>
      </c>
      <c r="I3010" s="15">
        <f t="shared" si="88"/>
        <v>0</v>
      </c>
      <c r="J3010" s="19"/>
    </row>
    <row r="3011" spans="1:10" x14ac:dyDescent="0.25">
      <c r="A3011" s="82">
        <v>42790</v>
      </c>
      <c r="B3011" s="39" t="s">
        <v>7310</v>
      </c>
      <c r="C3011" s="89"/>
      <c r="D3011" s="18">
        <v>102346</v>
      </c>
      <c r="E3011" s="2" t="s">
        <v>352</v>
      </c>
      <c r="F3011" s="15">
        <v>4418.3999999999996</v>
      </c>
      <c r="G3011" s="41">
        <v>42790</v>
      </c>
      <c r="H3011" s="15">
        <f t="shared" si="87"/>
        <v>4418.3999999999996</v>
      </c>
      <c r="I3011" s="15">
        <f t="shared" si="88"/>
        <v>0</v>
      </c>
      <c r="J3011" s="19"/>
    </row>
    <row r="3012" spans="1:10" x14ac:dyDescent="0.25">
      <c r="A3012" s="82">
        <v>42790</v>
      </c>
      <c r="B3012" s="39" t="s">
        <v>7311</v>
      </c>
      <c r="C3012" s="89"/>
      <c r="D3012" s="18">
        <v>102347</v>
      </c>
      <c r="E3012" s="2" t="s">
        <v>693</v>
      </c>
      <c r="F3012" s="15">
        <v>56264</v>
      </c>
      <c r="G3012" s="41">
        <v>42802</v>
      </c>
      <c r="H3012" s="15">
        <f t="shared" ref="H3012:H3075" si="89">F3012</f>
        <v>56264</v>
      </c>
      <c r="I3012" s="15">
        <f t="shared" si="88"/>
        <v>0</v>
      </c>
      <c r="J3012" s="19"/>
    </row>
    <row r="3013" spans="1:10" x14ac:dyDescent="0.25">
      <c r="A3013" s="82">
        <v>42790</v>
      </c>
      <c r="B3013" s="39" t="s">
        <v>7312</v>
      </c>
      <c r="C3013" s="89"/>
      <c r="D3013" s="18">
        <v>102348</v>
      </c>
      <c r="E3013" s="2" t="s">
        <v>693</v>
      </c>
      <c r="F3013" s="15">
        <v>11840.7</v>
      </c>
      <c r="G3013" s="41">
        <v>42791</v>
      </c>
      <c r="H3013" s="15">
        <f t="shared" si="89"/>
        <v>11840.7</v>
      </c>
      <c r="I3013" s="15">
        <f t="shared" si="88"/>
        <v>0</v>
      </c>
      <c r="J3013" s="19"/>
    </row>
    <row r="3014" spans="1:10" x14ac:dyDescent="0.25">
      <c r="A3014" s="82">
        <v>42790</v>
      </c>
      <c r="B3014" s="39" t="s">
        <v>7313</v>
      </c>
      <c r="C3014" s="89"/>
      <c r="D3014" s="18">
        <v>102349</v>
      </c>
      <c r="E3014" s="2" t="s">
        <v>10</v>
      </c>
      <c r="F3014" s="15">
        <v>159063.22</v>
      </c>
      <c r="G3014" s="41">
        <v>42794</v>
      </c>
      <c r="H3014" s="15">
        <f t="shared" si="89"/>
        <v>159063.22</v>
      </c>
      <c r="I3014" s="15">
        <f t="shared" si="88"/>
        <v>0</v>
      </c>
      <c r="J3014" s="19"/>
    </row>
    <row r="3015" spans="1:10" x14ac:dyDescent="0.25">
      <c r="A3015" s="82">
        <v>42790</v>
      </c>
      <c r="B3015" s="39" t="s">
        <v>7314</v>
      </c>
      <c r="C3015" s="89"/>
      <c r="D3015" s="18">
        <v>102350</v>
      </c>
      <c r="E3015" s="2" t="s">
        <v>10</v>
      </c>
      <c r="F3015" s="15">
        <v>12206.4</v>
      </c>
      <c r="G3015" s="41">
        <v>42794</v>
      </c>
      <c r="H3015" s="15">
        <f t="shared" si="89"/>
        <v>12206.4</v>
      </c>
      <c r="I3015" s="15">
        <f t="shared" si="88"/>
        <v>0</v>
      </c>
      <c r="J3015" s="19"/>
    </row>
    <row r="3016" spans="1:10" x14ac:dyDescent="0.25">
      <c r="A3016" s="82">
        <v>42790</v>
      </c>
      <c r="B3016" s="39" t="s">
        <v>7315</v>
      </c>
      <c r="C3016" s="89"/>
      <c r="D3016" s="18">
        <v>102351</v>
      </c>
      <c r="E3016" s="2" t="s">
        <v>312</v>
      </c>
      <c r="F3016" s="15">
        <v>125706.22</v>
      </c>
      <c r="G3016" s="41">
        <v>42796</v>
      </c>
      <c r="H3016" s="15">
        <f t="shared" si="89"/>
        <v>125706.22</v>
      </c>
      <c r="I3016" s="15">
        <f t="shared" si="88"/>
        <v>0</v>
      </c>
      <c r="J3016" s="19"/>
    </row>
    <row r="3017" spans="1:10" x14ac:dyDescent="0.25">
      <c r="A3017" s="82">
        <v>42790</v>
      </c>
      <c r="B3017" s="39" t="s">
        <v>7316</v>
      </c>
      <c r="C3017" s="89"/>
      <c r="D3017" s="18">
        <v>102352</v>
      </c>
      <c r="E3017" s="2" t="s">
        <v>55</v>
      </c>
      <c r="F3017" s="15">
        <v>14528.6</v>
      </c>
      <c r="G3017" s="41">
        <v>42790</v>
      </c>
      <c r="H3017" s="15">
        <f t="shared" si="89"/>
        <v>14528.6</v>
      </c>
      <c r="I3017" s="15">
        <f t="shared" si="88"/>
        <v>0</v>
      </c>
      <c r="J3017" s="19"/>
    </row>
    <row r="3018" spans="1:10" x14ac:dyDescent="0.25">
      <c r="A3018" s="82">
        <v>42790</v>
      </c>
      <c r="B3018" s="39" t="s">
        <v>7317</v>
      </c>
      <c r="C3018" s="89"/>
      <c r="D3018" s="18">
        <v>102353</v>
      </c>
      <c r="E3018" s="2" t="s">
        <v>1789</v>
      </c>
      <c r="F3018" s="15">
        <v>16019.9</v>
      </c>
      <c r="G3018" s="41">
        <v>42790</v>
      </c>
      <c r="H3018" s="15">
        <f t="shared" si="89"/>
        <v>16019.9</v>
      </c>
      <c r="I3018" s="15">
        <f t="shared" si="88"/>
        <v>0</v>
      </c>
      <c r="J3018" s="19"/>
    </row>
    <row r="3019" spans="1:10" ht="30" x14ac:dyDescent="0.25">
      <c r="A3019" s="82">
        <v>42790</v>
      </c>
      <c r="B3019" s="39" t="s">
        <v>7318</v>
      </c>
      <c r="C3019" s="89"/>
      <c r="D3019" s="18">
        <v>102354</v>
      </c>
      <c r="E3019" s="2" t="s">
        <v>205</v>
      </c>
      <c r="F3019" s="15">
        <v>29937.599999999999</v>
      </c>
      <c r="G3019" s="41" t="s">
        <v>15209</v>
      </c>
      <c r="H3019" s="15">
        <f t="shared" si="89"/>
        <v>29937.599999999999</v>
      </c>
      <c r="I3019" s="15">
        <f t="shared" si="88"/>
        <v>0</v>
      </c>
      <c r="J3019" s="19"/>
    </row>
    <row r="3020" spans="1:10" x14ac:dyDescent="0.25">
      <c r="A3020" s="82">
        <v>42790</v>
      </c>
      <c r="B3020" s="39" t="s">
        <v>7319</v>
      </c>
      <c r="C3020" s="89"/>
      <c r="D3020" s="18">
        <v>102355</v>
      </c>
      <c r="E3020" s="2" t="s">
        <v>921</v>
      </c>
      <c r="F3020" s="15">
        <v>4987.5</v>
      </c>
      <c r="G3020" s="41">
        <v>42791</v>
      </c>
      <c r="H3020" s="15">
        <f t="shared" si="89"/>
        <v>4987.5</v>
      </c>
      <c r="I3020" s="15">
        <f t="shared" si="88"/>
        <v>0</v>
      </c>
      <c r="J3020" s="19"/>
    </row>
    <row r="3021" spans="1:10" x14ac:dyDescent="0.25">
      <c r="A3021" s="82">
        <v>42790</v>
      </c>
      <c r="B3021" s="39" t="s">
        <v>7320</v>
      </c>
      <c r="C3021" s="89"/>
      <c r="D3021" s="18">
        <v>102356</v>
      </c>
      <c r="E3021" s="2" t="s">
        <v>220</v>
      </c>
      <c r="F3021" s="15">
        <v>3865.2</v>
      </c>
      <c r="G3021" s="41">
        <v>42791</v>
      </c>
      <c r="H3021" s="15">
        <f t="shared" si="89"/>
        <v>3865.2</v>
      </c>
      <c r="I3021" s="15">
        <f t="shared" si="88"/>
        <v>0</v>
      </c>
      <c r="J3021" s="19"/>
    </row>
    <row r="3022" spans="1:10" x14ac:dyDescent="0.25">
      <c r="A3022" s="82">
        <v>42791</v>
      </c>
      <c r="B3022" s="39" t="s">
        <v>7321</v>
      </c>
      <c r="C3022" s="89"/>
      <c r="D3022" s="18">
        <v>102357</v>
      </c>
      <c r="E3022" s="24" t="s">
        <v>374</v>
      </c>
      <c r="F3022" s="25">
        <v>0</v>
      </c>
      <c r="G3022" s="93" t="s">
        <v>95</v>
      </c>
      <c r="H3022" s="25">
        <f t="shared" si="89"/>
        <v>0</v>
      </c>
      <c r="I3022" s="25">
        <f t="shared" si="88"/>
        <v>0</v>
      </c>
      <c r="J3022" s="19"/>
    </row>
    <row r="3023" spans="1:10" x14ac:dyDescent="0.25">
      <c r="A3023" s="82">
        <v>42791</v>
      </c>
      <c r="B3023" s="39" t="s">
        <v>7322</v>
      </c>
      <c r="C3023" s="89"/>
      <c r="D3023" s="18">
        <v>102358</v>
      </c>
      <c r="E3023" s="2" t="s">
        <v>374</v>
      </c>
      <c r="F3023" s="15">
        <v>1728</v>
      </c>
      <c r="G3023" s="41">
        <v>42791</v>
      </c>
      <c r="H3023" s="15">
        <f t="shared" si="89"/>
        <v>1728</v>
      </c>
      <c r="I3023" s="15">
        <f t="shared" si="88"/>
        <v>0</v>
      </c>
      <c r="J3023" s="19"/>
    </row>
    <row r="3024" spans="1:10" x14ac:dyDescent="0.25">
      <c r="A3024" s="82">
        <v>42791</v>
      </c>
      <c r="B3024" s="39" t="s">
        <v>7323</v>
      </c>
      <c r="C3024" s="89"/>
      <c r="D3024" s="18">
        <v>102359</v>
      </c>
      <c r="E3024" s="2" t="s">
        <v>231</v>
      </c>
      <c r="F3024" s="15">
        <v>36396</v>
      </c>
      <c r="G3024" s="41">
        <v>42792</v>
      </c>
      <c r="H3024" s="15">
        <f t="shared" si="89"/>
        <v>36396</v>
      </c>
      <c r="I3024" s="15">
        <f t="shared" si="88"/>
        <v>0</v>
      </c>
      <c r="J3024" s="19"/>
    </row>
    <row r="3025" spans="1:10" x14ac:dyDescent="0.25">
      <c r="A3025" s="82">
        <v>42791</v>
      </c>
      <c r="B3025" s="39" t="s">
        <v>7324</v>
      </c>
      <c r="C3025" s="89"/>
      <c r="D3025" s="18">
        <v>102360</v>
      </c>
      <c r="E3025" s="2" t="s">
        <v>231</v>
      </c>
      <c r="F3025" s="15">
        <v>9812</v>
      </c>
      <c r="G3025" s="41">
        <v>42792</v>
      </c>
      <c r="H3025" s="15">
        <f t="shared" si="89"/>
        <v>9812</v>
      </c>
      <c r="I3025" s="15">
        <f t="shared" si="88"/>
        <v>0</v>
      </c>
      <c r="J3025" s="19"/>
    </row>
    <row r="3026" spans="1:10" x14ac:dyDescent="0.25">
      <c r="A3026" s="82">
        <v>42791</v>
      </c>
      <c r="B3026" s="39" t="s">
        <v>7325</v>
      </c>
      <c r="C3026" s="89"/>
      <c r="D3026" s="18">
        <v>102361</v>
      </c>
      <c r="E3026" s="2" t="s">
        <v>231</v>
      </c>
      <c r="F3026" s="15">
        <v>249.9</v>
      </c>
      <c r="G3026" s="41">
        <v>42791</v>
      </c>
      <c r="H3026" s="15">
        <f t="shared" si="89"/>
        <v>249.9</v>
      </c>
      <c r="I3026" s="15">
        <f t="shared" si="88"/>
        <v>0</v>
      </c>
      <c r="J3026" s="19"/>
    </row>
    <row r="3027" spans="1:10" x14ac:dyDescent="0.25">
      <c r="A3027" s="82">
        <v>42791</v>
      </c>
      <c r="B3027" s="39" t="s">
        <v>7326</v>
      </c>
      <c r="C3027" s="89"/>
      <c r="D3027" s="18">
        <v>102362</v>
      </c>
      <c r="E3027" s="2" t="s">
        <v>55</v>
      </c>
      <c r="F3027" s="15">
        <v>12661.6</v>
      </c>
      <c r="G3027" s="87">
        <v>42791</v>
      </c>
      <c r="H3027" s="20">
        <f>11200+1461.6</f>
        <v>12661.6</v>
      </c>
      <c r="I3027" s="20">
        <f t="shared" si="88"/>
        <v>0</v>
      </c>
      <c r="J3027" s="19"/>
    </row>
    <row r="3028" spans="1:10" ht="30" x14ac:dyDescent="0.25">
      <c r="A3028" s="82">
        <v>42791</v>
      </c>
      <c r="B3028" s="95" t="s">
        <v>7327</v>
      </c>
      <c r="C3028" s="89"/>
      <c r="D3028" s="61">
        <v>102363</v>
      </c>
      <c r="E3028" s="62" t="s">
        <v>236</v>
      </c>
      <c r="F3028" s="63">
        <v>166502.74</v>
      </c>
      <c r="G3028" s="87" t="s">
        <v>7767</v>
      </c>
      <c r="H3028" s="65">
        <f>3958.24+162544.5</f>
        <v>166502.74</v>
      </c>
      <c r="I3028" s="65">
        <f t="shared" si="88"/>
        <v>0</v>
      </c>
      <c r="J3028" s="19"/>
    </row>
    <row r="3029" spans="1:10" x14ac:dyDescent="0.25">
      <c r="A3029" s="82">
        <v>42791</v>
      </c>
      <c r="B3029" s="39" t="s">
        <v>7328</v>
      </c>
      <c r="C3029" s="89"/>
      <c r="D3029" s="18">
        <v>102364</v>
      </c>
      <c r="E3029" s="2" t="s">
        <v>26</v>
      </c>
      <c r="F3029" s="15">
        <v>17170.8</v>
      </c>
      <c r="G3029" s="41">
        <v>42791</v>
      </c>
      <c r="H3029" s="15">
        <f t="shared" si="89"/>
        <v>17170.8</v>
      </c>
      <c r="I3029" s="15">
        <f t="shared" si="88"/>
        <v>0</v>
      </c>
      <c r="J3029" s="19"/>
    </row>
    <row r="3030" spans="1:10" x14ac:dyDescent="0.25">
      <c r="A3030" s="82">
        <v>42791</v>
      </c>
      <c r="B3030" s="39" t="s">
        <v>7329</v>
      </c>
      <c r="C3030" s="89"/>
      <c r="D3030" s="18">
        <v>102365</v>
      </c>
      <c r="E3030" s="2" t="s">
        <v>143</v>
      </c>
      <c r="F3030" s="15">
        <v>6280.2</v>
      </c>
      <c r="G3030" s="41">
        <v>42791</v>
      </c>
      <c r="H3030" s="15">
        <f t="shared" si="89"/>
        <v>6280.2</v>
      </c>
      <c r="I3030" s="15">
        <f t="shared" si="88"/>
        <v>0</v>
      </c>
      <c r="J3030" s="19"/>
    </row>
    <row r="3031" spans="1:10" x14ac:dyDescent="0.25">
      <c r="A3031" s="82">
        <v>42791</v>
      </c>
      <c r="B3031" s="39" t="s">
        <v>7330</v>
      </c>
      <c r="C3031" s="89"/>
      <c r="D3031" s="18">
        <v>102366</v>
      </c>
      <c r="E3031" s="2" t="s">
        <v>1786</v>
      </c>
      <c r="F3031" s="15">
        <v>8218</v>
      </c>
      <c r="G3031" s="41">
        <v>42791</v>
      </c>
      <c r="H3031" s="15">
        <f t="shared" si="89"/>
        <v>8218</v>
      </c>
      <c r="I3031" s="15">
        <f t="shared" si="88"/>
        <v>0</v>
      </c>
      <c r="J3031" s="19"/>
    </row>
    <row r="3032" spans="1:10" x14ac:dyDescent="0.25">
      <c r="A3032" s="82">
        <v>42791</v>
      </c>
      <c r="B3032" s="39" t="s">
        <v>7331</v>
      </c>
      <c r="C3032" s="89"/>
      <c r="D3032" s="18">
        <v>102367</v>
      </c>
      <c r="E3032" s="2" t="s">
        <v>71</v>
      </c>
      <c r="F3032" s="15">
        <v>3097.5</v>
      </c>
      <c r="G3032" s="41">
        <v>42791</v>
      </c>
      <c r="H3032" s="15">
        <f t="shared" si="89"/>
        <v>3097.5</v>
      </c>
      <c r="I3032" s="15">
        <f t="shared" si="88"/>
        <v>0</v>
      </c>
      <c r="J3032" s="19"/>
    </row>
    <row r="3033" spans="1:10" x14ac:dyDescent="0.25">
      <c r="A3033" s="82">
        <v>42791</v>
      </c>
      <c r="B3033" s="39" t="s">
        <v>7332</v>
      </c>
      <c r="C3033" s="89"/>
      <c r="D3033" s="18">
        <v>102368</v>
      </c>
      <c r="E3033" s="2" t="s">
        <v>17</v>
      </c>
      <c r="F3033" s="15">
        <v>5170</v>
      </c>
      <c r="G3033" s="41">
        <v>42791</v>
      </c>
      <c r="H3033" s="15">
        <f t="shared" si="89"/>
        <v>5170</v>
      </c>
      <c r="I3033" s="15">
        <f t="shared" si="88"/>
        <v>0</v>
      </c>
      <c r="J3033" s="19"/>
    </row>
    <row r="3034" spans="1:10" x14ac:dyDescent="0.25">
      <c r="A3034" s="82">
        <v>42791</v>
      </c>
      <c r="B3034" s="39" t="s">
        <v>7333</v>
      </c>
      <c r="C3034" s="89"/>
      <c r="D3034" s="18">
        <v>102369</v>
      </c>
      <c r="E3034" s="2" t="s">
        <v>218</v>
      </c>
      <c r="F3034" s="15">
        <v>61092.6</v>
      </c>
      <c r="G3034" s="41">
        <v>42824</v>
      </c>
      <c r="H3034" s="15">
        <f t="shared" si="89"/>
        <v>61092.6</v>
      </c>
      <c r="I3034" s="15">
        <f t="shared" si="88"/>
        <v>0</v>
      </c>
      <c r="J3034" s="19"/>
    </row>
    <row r="3035" spans="1:10" x14ac:dyDescent="0.25">
      <c r="A3035" s="82">
        <v>42791</v>
      </c>
      <c r="B3035" s="39" t="s">
        <v>7334</v>
      </c>
      <c r="C3035" s="89"/>
      <c r="D3035" s="18">
        <v>102370</v>
      </c>
      <c r="E3035" s="2" t="s">
        <v>428</v>
      </c>
      <c r="F3035" s="15">
        <v>2690.8</v>
      </c>
      <c r="G3035" s="41">
        <v>42793</v>
      </c>
      <c r="H3035" s="15">
        <f t="shared" si="89"/>
        <v>2690.8</v>
      </c>
      <c r="I3035" s="15">
        <f t="shared" si="88"/>
        <v>0</v>
      </c>
      <c r="J3035" s="19"/>
    </row>
    <row r="3036" spans="1:10" x14ac:dyDescent="0.25">
      <c r="A3036" s="82">
        <v>42791</v>
      </c>
      <c r="B3036" s="39" t="s">
        <v>7335</v>
      </c>
      <c r="C3036" s="89"/>
      <c r="D3036" s="18">
        <v>102371</v>
      </c>
      <c r="E3036" s="2" t="s">
        <v>186</v>
      </c>
      <c r="F3036" s="15">
        <v>480</v>
      </c>
      <c r="G3036" s="41">
        <v>42791</v>
      </c>
      <c r="H3036" s="15">
        <f t="shared" si="89"/>
        <v>480</v>
      </c>
      <c r="I3036" s="15">
        <f t="shared" si="88"/>
        <v>0</v>
      </c>
      <c r="J3036" s="19"/>
    </row>
    <row r="3037" spans="1:10" x14ac:dyDescent="0.25">
      <c r="A3037" s="82">
        <v>42791</v>
      </c>
      <c r="B3037" s="39" t="s">
        <v>7336</v>
      </c>
      <c r="C3037" s="89"/>
      <c r="D3037" s="18">
        <v>102372</v>
      </c>
      <c r="E3037" s="2" t="s">
        <v>184</v>
      </c>
      <c r="F3037" s="15">
        <v>755.2</v>
      </c>
      <c r="G3037" s="41">
        <v>42791</v>
      </c>
      <c r="H3037" s="15">
        <f t="shared" si="89"/>
        <v>755.2</v>
      </c>
      <c r="I3037" s="15">
        <f t="shared" si="88"/>
        <v>0</v>
      </c>
      <c r="J3037" s="19"/>
    </row>
    <row r="3038" spans="1:10" ht="30" x14ac:dyDescent="0.25">
      <c r="A3038" s="82">
        <v>42791</v>
      </c>
      <c r="B3038" s="39" t="s">
        <v>7337</v>
      </c>
      <c r="C3038" s="89"/>
      <c r="D3038" s="18">
        <v>102373</v>
      </c>
      <c r="E3038" s="2" t="s">
        <v>49</v>
      </c>
      <c r="F3038" s="15">
        <v>22414.6</v>
      </c>
      <c r="G3038" s="87" t="s">
        <v>7750</v>
      </c>
      <c r="H3038" s="20">
        <f>7415+14999.6</f>
        <v>22414.6</v>
      </c>
      <c r="I3038" s="20">
        <f t="shared" si="88"/>
        <v>0</v>
      </c>
      <c r="J3038" s="19"/>
    </row>
    <row r="3039" spans="1:10" x14ac:dyDescent="0.25">
      <c r="A3039" s="82">
        <v>42791</v>
      </c>
      <c r="B3039" s="39" t="s">
        <v>7338</v>
      </c>
      <c r="C3039" s="89"/>
      <c r="D3039" s="18">
        <v>102374</v>
      </c>
      <c r="E3039" s="2" t="s">
        <v>405</v>
      </c>
      <c r="F3039" s="15">
        <v>668.7</v>
      </c>
      <c r="G3039" s="41">
        <v>42791</v>
      </c>
      <c r="H3039" s="15">
        <f t="shared" si="89"/>
        <v>668.7</v>
      </c>
      <c r="I3039" s="15">
        <f t="shared" si="88"/>
        <v>0</v>
      </c>
      <c r="J3039" s="19"/>
    </row>
    <row r="3040" spans="1:10" x14ac:dyDescent="0.25">
      <c r="A3040" s="82">
        <v>42791</v>
      </c>
      <c r="B3040" s="39" t="s">
        <v>7339</v>
      </c>
      <c r="C3040" s="89"/>
      <c r="D3040" s="18">
        <v>102375</v>
      </c>
      <c r="E3040" s="2" t="s">
        <v>430</v>
      </c>
      <c r="F3040" s="15">
        <v>4668</v>
      </c>
      <c r="G3040" s="41">
        <v>42791</v>
      </c>
      <c r="H3040" s="15">
        <f t="shared" si="89"/>
        <v>4668</v>
      </c>
      <c r="I3040" s="15">
        <f t="shared" si="88"/>
        <v>0</v>
      </c>
      <c r="J3040" s="19"/>
    </row>
    <row r="3041" spans="1:10" x14ac:dyDescent="0.25">
      <c r="A3041" s="82">
        <v>42791</v>
      </c>
      <c r="B3041" s="39" t="s">
        <v>7340</v>
      </c>
      <c r="C3041" s="89"/>
      <c r="D3041" s="18">
        <v>102376</v>
      </c>
      <c r="E3041" s="2" t="s">
        <v>85</v>
      </c>
      <c r="F3041" s="15">
        <v>14835.2</v>
      </c>
      <c r="G3041" s="41">
        <v>42792</v>
      </c>
      <c r="H3041" s="15">
        <f t="shared" si="89"/>
        <v>14835.2</v>
      </c>
      <c r="I3041" s="15">
        <f t="shared" si="88"/>
        <v>0</v>
      </c>
      <c r="J3041" s="19"/>
    </row>
    <row r="3042" spans="1:10" x14ac:dyDescent="0.25">
      <c r="A3042" s="82">
        <v>42791</v>
      </c>
      <c r="B3042" s="39" t="s">
        <v>7341</v>
      </c>
      <c r="C3042" s="89"/>
      <c r="D3042" s="18">
        <v>102377</v>
      </c>
      <c r="E3042" s="2" t="s">
        <v>28</v>
      </c>
      <c r="F3042" s="15">
        <v>9184.7999999999993</v>
      </c>
      <c r="G3042" s="41">
        <v>42791</v>
      </c>
      <c r="H3042" s="15">
        <f t="shared" si="89"/>
        <v>9184.7999999999993</v>
      </c>
      <c r="I3042" s="15">
        <f t="shared" si="88"/>
        <v>0</v>
      </c>
      <c r="J3042" s="19"/>
    </row>
    <row r="3043" spans="1:10" x14ac:dyDescent="0.25">
      <c r="A3043" s="82">
        <v>42791</v>
      </c>
      <c r="B3043" s="39" t="s">
        <v>7342</v>
      </c>
      <c r="C3043" s="89"/>
      <c r="D3043" s="18">
        <v>102378</v>
      </c>
      <c r="E3043" s="2" t="s">
        <v>35</v>
      </c>
      <c r="F3043" s="15">
        <v>31280.55</v>
      </c>
      <c r="G3043" s="41">
        <v>42738</v>
      </c>
      <c r="H3043" s="15">
        <f t="shared" si="89"/>
        <v>31280.55</v>
      </c>
      <c r="I3043" s="15">
        <f t="shared" si="88"/>
        <v>0</v>
      </c>
      <c r="J3043" s="19"/>
    </row>
    <row r="3044" spans="1:10" x14ac:dyDescent="0.25">
      <c r="A3044" s="82">
        <v>42791</v>
      </c>
      <c r="B3044" s="39" t="s">
        <v>7343</v>
      </c>
      <c r="C3044" s="89"/>
      <c r="D3044" s="18">
        <v>102379</v>
      </c>
      <c r="E3044" s="2" t="s">
        <v>1256</v>
      </c>
      <c r="F3044" s="15">
        <v>1455.9</v>
      </c>
      <c r="G3044" s="41">
        <v>42791</v>
      </c>
      <c r="H3044" s="15">
        <f t="shared" si="89"/>
        <v>1455.9</v>
      </c>
      <c r="I3044" s="15">
        <f t="shared" si="88"/>
        <v>0</v>
      </c>
      <c r="J3044" s="19"/>
    </row>
    <row r="3045" spans="1:10" ht="30" x14ac:dyDescent="0.25">
      <c r="A3045" s="82">
        <v>42791</v>
      </c>
      <c r="B3045" s="39" t="s">
        <v>7344</v>
      </c>
      <c r="C3045" s="89"/>
      <c r="D3045" s="18">
        <v>102380</v>
      </c>
      <c r="E3045" s="2" t="s">
        <v>250</v>
      </c>
      <c r="F3045" s="15">
        <v>17005.099999999999</v>
      </c>
      <c r="G3045" s="87" t="s">
        <v>7345</v>
      </c>
      <c r="H3045" s="20">
        <f>6000+11005.1</f>
        <v>17005.099999999999</v>
      </c>
      <c r="I3045" s="20">
        <f t="shared" si="88"/>
        <v>0</v>
      </c>
      <c r="J3045" s="19"/>
    </row>
    <row r="3046" spans="1:10" x14ac:dyDescent="0.25">
      <c r="A3046" s="82">
        <v>42791</v>
      </c>
      <c r="B3046" s="39" t="s">
        <v>7346</v>
      </c>
      <c r="C3046" s="89"/>
      <c r="D3046" s="18">
        <v>102381</v>
      </c>
      <c r="E3046" s="2" t="s">
        <v>40</v>
      </c>
      <c r="F3046" s="15">
        <v>204</v>
      </c>
      <c r="H3046" s="15">
        <f t="shared" si="89"/>
        <v>204</v>
      </c>
      <c r="I3046" s="15">
        <f t="shared" si="88"/>
        <v>0</v>
      </c>
      <c r="J3046" s="19"/>
    </row>
    <row r="3047" spans="1:10" ht="30" x14ac:dyDescent="0.25">
      <c r="A3047" s="82">
        <v>42791</v>
      </c>
      <c r="B3047" s="39" t="s">
        <v>7347</v>
      </c>
      <c r="C3047" s="89"/>
      <c r="D3047" s="18">
        <v>102382</v>
      </c>
      <c r="E3047" s="2" t="s">
        <v>253</v>
      </c>
      <c r="F3047" s="15">
        <v>9573</v>
      </c>
      <c r="G3047" s="87" t="s">
        <v>7751</v>
      </c>
      <c r="H3047" s="20">
        <f>4000+5573</f>
        <v>9573</v>
      </c>
      <c r="I3047" s="20">
        <f t="shared" si="88"/>
        <v>0</v>
      </c>
      <c r="J3047" s="19"/>
    </row>
    <row r="3048" spans="1:10" x14ac:dyDescent="0.25">
      <c r="A3048" s="82">
        <v>42791</v>
      </c>
      <c r="B3048" s="39" t="s">
        <v>7348</v>
      </c>
      <c r="C3048" s="89"/>
      <c r="D3048" s="18">
        <v>102383</v>
      </c>
      <c r="E3048" s="24" t="s">
        <v>43</v>
      </c>
      <c r="F3048" s="25">
        <v>0</v>
      </c>
      <c r="G3048" s="93" t="s">
        <v>95</v>
      </c>
      <c r="H3048" s="25">
        <f t="shared" si="89"/>
        <v>0</v>
      </c>
      <c r="I3048" s="25">
        <f t="shared" si="88"/>
        <v>0</v>
      </c>
      <c r="J3048" s="19"/>
    </row>
    <row r="3049" spans="1:10" x14ac:dyDescent="0.25">
      <c r="A3049" s="82">
        <v>42791</v>
      </c>
      <c r="B3049" s="39" t="s">
        <v>7349</v>
      </c>
      <c r="C3049" s="89"/>
      <c r="D3049" s="18">
        <v>102384</v>
      </c>
      <c r="E3049" s="2" t="s">
        <v>43</v>
      </c>
      <c r="F3049" s="15">
        <v>11147</v>
      </c>
      <c r="G3049" s="41">
        <v>42793</v>
      </c>
      <c r="H3049" s="15">
        <f t="shared" si="89"/>
        <v>11147</v>
      </c>
      <c r="I3049" s="15">
        <f t="shared" si="88"/>
        <v>0</v>
      </c>
      <c r="J3049" s="19"/>
    </row>
    <row r="3050" spans="1:10" ht="30" x14ac:dyDescent="0.25">
      <c r="A3050" s="82">
        <v>42791</v>
      </c>
      <c r="B3050" s="39" t="s">
        <v>7350</v>
      </c>
      <c r="C3050" s="89"/>
      <c r="D3050" s="18">
        <v>102385</v>
      </c>
      <c r="E3050" s="2" t="s">
        <v>38</v>
      </c>
      <c r="F3050" s="15">
        <v>9225.6</v>
      </c>
      <c r="G3050" s="87" t="s">
        <v>7750</v>
      </c>
      <c r="H3050" s="20">
        <f>8000+1225.6</f>
        <v>9225.6</v>
      </c>
      <c r="I3050" s="20">
        <f t="shared" si="88"/>
        <v>0</v>
      </c>
      <c r="J3050" s="19"/>
    </row>
    <row r="3051" spans="1:10" x14ac:dyDescent="0.25">
      <c r="A3051" s="82">
        <v>42791</v>
      </c>
      <c r="B3051" s="39" t="s">
        <v>7351</v>
      </c>
      <c r="C3051" s="89"/>
      <c r="D3051" s="18">
        <v>102386</v>
      </c>
      <c r="E3051" s="2" t="s">
        <v>51</v>
      </c>
      <c r="F3051" s="15">
        <v>6095.8</v>
      </c>
      <c r="G3051" s="41">
        <v>42794</v>
      </c>
      <c r="H3051" s="15">
        <f t="shared" si="89"/>
        <v>6095.8</v>
      </c>
      <c r="I3051" s="15">
        <f t="shared" si="88"/>
        <v>0</v>
      </c>
      <c r="J3051" s="19"/>
    </row>
    <row r="3052" spans="1:10" x14ac:dyDescent="0.25">
      <c r="A3052" s="82">
        <v>42791</v>
      </c>
      <c r="B3052" s="39" t="s">
        <v>7352</v>
      </c>
      <c r="C3052" s="89"/>
      <c r="D3052" s="18">
        <v>102387</v>
      </c>
      <c r="E3052" s="2" t="s">
        <v>32</v>
      </c>
      <c r="F3052" s="15">
        <v>13287</v>
      </c>
      <c r="G3052" s="41">
        <v>42794</v>
      </c>
      <c r="H3052" s="15">
        <f t="shared" si="89"/>
        <v>13287</v>
      </c>
      <c r="I3052" s="15">
        <f t="shared" si="88"/>
        <v>0</v>
      </c>
      <c r="J3052" s="19"/>
    </row>
    <row r="3053" spans="1:10" x14ac:dyDescent="0.25">
      <c r="A3053" s="82">
        <v>42791</v>
      </c>
      <c r="B3053" s="39" t="s">
        <v>7353</v>
      </c>
      <c r="C3053" s="89"/>
      <c r="D3053" s="18">
        <v>102388</v>
      </c>
      <c r="E3053" s="2" t="s">
        <v>974</v>
      </c>
      <c r="F3053" s="15">
        <v>5649</v>
      </c>
      <c r="G3053" s="41">
        <v>42791</v>
      </c>
      <c r="H3053" s="15">
        <f t="shared" si="89"/>
        <v>5649</v>
      </c>
      <c r="I3053" s="15">
        <f t="shared" si="88"/>
        <v>0</v>
      </c>
      <c r="J3053" s="19"/>
    </row>
    <row r="3054" spans="1:10" x14ac:dyDescent="0.25">
      <c r="A3054" s="82">
        <v>42791</v>
      </c>
      <c r="B3054" s="39" t="s">
        <v>7354</v>
      </c>
      <c r="C3054" s="89"/>
      <c r="D3054" s="18">
        <v>102389</v>
      </c>
      <c r="E3054" s="2" t="s">
        <v>30</v>
      </c>
      <c r="F3054" s="15">
        <v>3218.4</v>
      </c>
      <c r="G3054" s="41">
        <v>42791</v>
      </c>
      <c r="H3054" s="15">
        <f t="shared" si="89"/>
        <v>3218.4</v>
      </c>
      <c r="I3054" s="15">
        <f t="shared" si="88"/>
        <v>0</v>
      </c>
      <c r="J3054" s="19"/>
    </row>
    <row r="3055" spans="1:10" x14ac:dyDescent="0.25">
      <c r="A3055" s="82">
        <v>42791</v>
      </c>
      <c r="B3055" s="39" t="s">
        <v>7355</v>
      </c>
      <c r="C3055" s="89"/>
      <c r="D3055" s="18">
        <v>102390</v>
      </c>
      <c r="E3055" s="2" t="s">
        <v>47</v>
      </c>
      <c r="F3055" s="15">
        <v>2871.2</v>
      </c>
      <c r="G3055" s="41">
        <v>42791</v>
      </c>
      <c r="H3055" s="15">
        <f t="shared" si="89"/>
        <v>2871.2</v>
      </c>
      <c r="I3055" s="15">
        <f t="shared" si="88"/>
        <v>0</v>
      </c>
      <c r="J3055" s="19"/>
    </row>
    <row r="3056" spans="1:10" x14ac:dyDescent="0.25">
      <c r="A3056" s="82">
        <v>42791</v>
      </c>
      <c r="B3056" s="39" t="s">
        <v>7356</v>
      </c>
      <c r="C3056" s="89"/>
      <c r="D3056" s="18">
        <v>102391</v>
      </c>
      <c r="E3056" s="2" t="s">
        <v>268</v>
      </c>
      <c r="F3056" s="15">
        <v>13886.1</v>
      </c>
      <c r="G3056" s="41">
        <v>42738</v>
      </c>
      <c r="H3056" s="15">
        <f t="shared" si="89"/>
        <v>13886.1</v>
      </c>
      <c r="I3056" s="15">
        <f t="shared" si="88"/>
        <v>0</v>
      </c>
      <c r="J3056" s="19"/>
    </row>
    <row r="3057" spans="1:10" x14ac:dyDescent="0.25">
      <c r="A3057" s="82">
        <v>42791</v>
      </c>
      <c r="B3057" s="39" t="s">
        <v>7357</v>
      </c>
      <c r="C3057" s="89"/>
      <c r="D3057" s="18">
        <v>102392</v>
      </c>
      <c r="E3057" s="2" t="s">
        <v>432</v>
      </c>
      <c r="F3057" s="15">
        <v>14330.1</v>
      </c>
      <c r="G3057" s="41">
        <v>42738</v>
      </c>
      <c r="H3057" s="15">
        <f t="shared" si="89"/>
        <v>14330.1</v>
      </c>
      <c r="I3057" s="15">
        <f t="shared" si="88"/>
        <v>0</v>
      </c>
      <c r="J3057" s="19"/>
    </row>
    <row r="3058" spans="1:10" x14ac:dyDescent="0.25">
      <c r="A3058" s="82">
        <v>42791</v>
      </c>
      <c r="B3058" s="39" t="s">
        <v>7358</v>
      </c>
      <c r="C3058" s="89"/>
      <c r="D3058" s="18">
        <v>102393</v>
      </c>
      <c r="E3058" s="2" t="s">
        <v>272</v>
      </c>
      <c r="F3058" s="15">
        <v>3156.1</v>
      </c>
      <c r="G3058" s="41">
        <v>42738</v>
      </c>
      <c r="H3058" s="15">
        <f t="shared" si="89"/>
        <v>3156.1</v>
      </c>
      <c r="I3058" s="15">
        <f t="shared" si="88"/>
        <v>0</v>
      </c>
      <c r="J3058" s="19"/>
    </row>
    <row r="3059" spans="1:10" x14ac:dyDescent="0.25">
      <c r="A3059" s="82">
        <v>42791</v>
      </c>
      <c r="B3059" s="39" t="s">
        <v>7359</v>
      </c>
      <c r="C3059" s="89"/>
      <c r="D3059" s="18">
        <v>102394</v>
      </c>
      <c r="E3059" s="2" t="s">
        <v>435</v>
      </c>
      <c r="F3059" s="15">
        <v>2800.9</v>
      </c>
      <c r="G3059" s="41">
        <v>42738</v>
      </c>
      <c r="H3059" s="15">
        <f t="shared" si="89"/>
        <v>2800.9</v>
      </c>
      <c r="I3059" s="15">
        <f t="shared" si="88"/>
        <v>0</v>
      </c>
      <c r="J3059" s="19"/>
    </row>
    <row r="3060" spans="1:10" x14ac:dyDescent="0.25">
      <c r="A3060" s="82">
        <v>42791</v>
      </c>
      <c r="B3060" s="39" t="s">
        <v>7360</v>
      </c>
      <c r="C3060" s="89"/>
      <c r="D3060" s="18">
        <v>102395</v>
      </c>
      <c r="E3060" s="13" t="s">
        <v>450</v>
      </c>
      <c r="F3060" s="14">
        <v>0</v>
      </c>
      <c r="G3060" s="88" t="s">
        <v>95</v>
      </c>
      <c r="H3060" s="14">
        <f t="shared" si="89"/>
        <v>0</v>
      </c>
      <c r="I3060" s="14">
        <f t="shared" si="88"/>
        <v>0</v>
      </c>
      <c r="J3060" s="19"/>
    </row>
    <row r="3061" spans="1:10" x14ac:dyDescent="0.25">
      <c r="A3061" s="82">
        <v>42791</v>
      </c>
      <c r="B3061" s="39" t="s">
        <v>7361</v>
      </c>
      <c r="C3061" s="89"/>
      <c r="D3061" s="18">
        <v>102396</v>
      </c>
      <c r="E3061" s="2" t="s">
        <v>270</v>
      </c>
      <c r="F3061" s="15">
        <v>34137</v>
      </c>
      <c r="G3061" s="41">
        <v>42738</v>
      </c>
      <c r="H3061" s="15">
        <f t="shared" si="89"/>
        <v>34137</v>
      </c>
      <c r="I3061" s="15">
        <f t="shared" si="88"/>
        <v>0</v>
      </c>
      <c r="J3061" s="19"/>
    </row>
    <row r="3062" spans="1:10" x14ac:dyDescent="0.25">
      <c r="A3062" s="82">
        <v>42791</v>
      </c>
      <c r="B3062" s="39" t="s">
        <v>7362</v>
      </c>
      <c r="C3062" s="89"/>
      <c r="D3062" s="18">
        <v>102397</v>
      </c>
      <c r="E3062" s="2" t="s">
        <v>4367</v>
      </c>
      <c r="F3062" s="15">
        <v>1558.8</v>
      </c>
      <c r="G3062" s="41">
        <v>42791</v>
      </c>
      <c r="H3062" s="15">
        <f t="shared" si="89"/>
        <v>1558.8</v>
      </c>
      <c r="I3062" s="15">
        <f t="shared" si="88"/>
        <v>0</v>
      </c>
      <c r="J3062" s="19"/>
    </row>
    <row r="3063" spans="1:10" x14ac:dyDescent="0.25">
      <c r="A3063" s="82">
        <v>42791</v>
      </c>
      <c r="B3063" s="39" t="s">
        <v>7363</v>
      </c>
      <c r="C3063" s="89"/>
      <c r="D3063" s="18">
        <v>102398</v>
      </c>
      <c r="E3063" s="2" t="s">
        <v>30</v>
      </c>
      <c r="F3063" s="15">
        <v>1179.7</v>
      </c>
      <c r="G3063" s="41">
        <v>42793</v>
      </c>
      <c r="H3063" s="15">
        <f t="shared" si="89"/>
        <v>1179.7</v>
      </c>
      <c r="I3063" s="15">
        <f t="shared" si="88"/>
        <v>0</v>
      </c>
      <c r="J3063" s="19"/>
    </row>
    <row r="3064" spans="1:10" x14ac:dyDescent="0.25">
      <c r="A3064" s="82">
        <v>42791</v>
      </c>
      <c r="B3064" s="39" t="s">
        <v>7364</v>
      </c>
      <c r="C3064" s="89"/>
      <c r="D3064" s="18">
        <v>102399</v>
      </c>
      <c r="E3064" s="2" t="s">
        <v>281</v>
      </c>
      <c r="F3064" s="15">
        <v>1353</v>
      </c>
      <c r="G3064" s="41">
        <v>42791</v>
      </c>
      <c r="H3064" s="15">
        <f t="shared" si="89"/>
        <v>1353</v>
      </c>
      <c r="I3064" s="15">
        <f t="shared" ref="I3064:I3127" si="90">F3064-H3064</f>
        <v>0</v>
      </c>
      <c r="J3064" s="19"/>
    </row>
    <row r="3065" spans="1:10" x14ac:dyDescent="0.25">
      <c r="A3065" s="82">
        <v>42791</v>
      </c>
      <c r="B3065" s="39" t="s">
        <v>7365</v>
      </c>
      <c r="C3065" s="89"/>
      <c r="D3065" s="18">
        <v>102400</v>
      </c>
      <c r="E3065" s="2" t="s">
        <v>205</v>
      </c>
      <c r="F3065" s="15">
        <v>30145.5</v>
      </c>
      <c r="G3065" s="41">
        <v>42791</v>
      </c>
      <c r="H3065" s="15">
        <f t="shared" si="89"/>
        <v>30145.5</v>
      </c>
      <c r="I3065" s="15">
        <f t="shared" si="90"/>
        <v>0</v>
      </c>
      <c r="J3065" s="19"/>
    </row>
    <row r="3066" spans="1:10" x14ac:dyDescent="0.25">
      <c r="A3066" s="82">
        <v>42791</v>
      </c>
      <c r="B3066" s="39" t="s">
        <v>7366</v>
      </c>
      <c r="C3066" s="89"/>
      <c r="D3066" s="18">
        <v>102401</v>
      </c>
      <c r="E3066" s="2" t="s">
        <v>101</v>
      </c>
      <c r="F3066" s="15">
        <v>1753.1</v>
      </c>
      <c r="G3066" s="41">
        <v>42791</v>
      </c>
      <c r="H3066" s="15">
        <f t="shared" si="89"/>
        <v>1753.1</v>
      </c>
      <c r="I3066" s="15">
        <f t="shared" si="90"/>
        <v>0</v>
      </c>
      <c r="J3066" s="19"/>
    </row>
    <row r="3067" spans="1:10" x14ac:dyDescent="0.25">
      <c r="A3067" s="82">
        <v>42791</v>
      </c>
      <c r="B3067" s="39" t="s">
        <v>7367</v>
      </c>
      <c r="C3067" s="89"/>
      <c r="D3067" s="18">
        <v>102402</v>
      </c>
      <c r="E3067" s="2" t="s">
        <v>99</v>
      </c>
      <c r="F3067" s="15">
        <v>4267.6000000000004</v>
      </c>
      <c r="G3067" s="41">
        <v>42791</v>
      </c>
      <c r="H3067" s="15">
        <f t="shared" si="89"/>
        <v>4267.6000000000004</v>
      </c>
      <c r="I3067" s="15">
        <f t="shared" si="90"/>
        <v>0</v>
      </c>
      <c r="J3067" s="19"/>
    </row>
    <row r="3068" spans="1:10" x14ac:dyDescent="0.25">
      <c r="A3068" s="82">
        <v>42791</v>
      </c>
      <c r="B3068" s="39" t="s">
        <v>7368</v>
      </c>
      <c r="C3068" s="89"/>
      <c r="D3068" s="18">
        <v>102403</v>
      </c>
      <c r="E3068" s="2" t="s">
        <v>1797</v>
      </c>
      <c r="F3068" s="15">
        <v>9505.2999999999993</v>
      </c>
      <c r="G3068" s="41">
        <v>42738</v>
      </c>
      <c r="H3068" s="15">
        <f t="shared" si="89"/>
        <v>9505.2999999999993</v>
      </c>
      <c r="I3068" s="15">
        <f t="shared" si="90"/>
        <v>0</v>
      </c>
      <c r="J3068" s="19"/>
    </row>
    <row r="3069" spans="1:10" x14ac:dyDescent="0.25">
      <c r="A3069" s="82">
        <v>42791</v>
      </c>
      <c r="B3069" s="39" t="s">
        <v>7369</v>
      </c>
      <c r="C3069" s="89"/>
      <c r="D3069" s="18">
        <v>102404</v>
      </c>
      <c r="E3069" s="2" t="s">
        <v>268</v>
      </c>
      <c r="F3069" s="15">
        <v>452.4</v>
      </c>
      <c r="G3069" s="41">
        <v>42738</v>
      </c>
      <c r="H3069" s="15">
        <f t="shared" si="89"/>
        <v>452.4</v>
      </c>
      <c r="I3069" s="15">
        <f t="shared" si="90"/>
        <v>0</v>
      </c>
      <c r="J3069" s="19"/>
    </row>
    <row r="3070" spans="1:10" x14ac:dyDescent="0.25">
      <c r="A3070" s="82">
        <v>42791</v>
      </c>
      <c r="B3070" s="39" t="s">
        <v>7370</v>
      </c>
      <c r="C3070" s="89"/>
      <c r="D3070" s="18">
        <v>102405</v>
      </c>
      <c r="E3070" s="2" t="s">
        <v>79</v>
      </c>
      <c r="F3070" s="15">
        <v>3674.6</v>
      </c>
      <c r="G3070" s="41">
        <v>42791</v>
      </c>
      <c r="H3070" s="15">
        <f t="shared" si="89"/>
        <v>3674.6</v>
      </c>
      <c r="I3070" s="15">
        <f t="shared" si="90"/>
        <v>0</v>
      </c>
      <c r="J3070" s="19"/>
    </row>
    <row r="3071" spans="1:10" x14ac:dyDescent="0.25">
      <c r="A3071" s="82">
        <v>42791</v>
      </c>
      <c r="B3071" s="39" t="s">
        <v>7371</v>
      </c>
      <c r="C3071" s="89"/>
      <c r="D3071" s="18">
        <v>102406</v>
      </c>
      <c r="E3071" s="2" t="s">
        <v>509</v>
      </c>
      <c r="F3071" s="15">
        <v>21457</v>
      </c>
      <c r="G3071" s="41">
        <v>42798</v>
      </c>
      <c r="H3071" s="15">
        <f t="shared" si="89"/>
        <v>21457</v>
      </c>
      <c r="I3071" s="15">
        <f t="shared" si="90"/>
        <v>0</v>
      </c>
      <c r="J3071" s="19"/>
    </row>
    <row r="3072" spans="1:10" x14ac:dyDescent="0.25">
      <c r="A3072" s="82">
        <v>42791</v>
      </c>
      <c r="B3072" s="39" t="s">
        <v>7372</v>
      </c>
      <c r="C3072" s="89"/>
      <c r="D3072" s="18">
        <v>102407</v>
      </c>
      <c r="E3072" s="2" t="s">
        <v>450</v>
      </c>
      <c r="F3072" s="15">
        <v>1213.5999999999999</v>
      </c>
      <c r="G3072" s="41">
        <v>42791</v>
      </c>
      <c r="H3072" s="15">
        <f t="shared" si="89"/>
        <v>1213.5999999999999</v>
      </c>
      <c r="I3072" s="15">
        <f t="shared" si="90"/>
        <v>0</v>
      </c>
      <c r="J3072" s="19"/>
    </row>
    <row r="3073" spans="1:10" x14ac:dyDescent="0.25">
      <c r="A3073" s="82">
        <v>42791</v>
      </c>
      <c r="B3073" s="39" t="s">
        <v>7373</v>
      </c>
      <c r="C3073" s="89"/>
      <c r="D3073" s="18">
        <v>102408</v>
      </c>
      <c r="E3073" s="2" t="s">
        <v>83</v>
      </c>
      <c r="F3073" s="15">
        <v>1133</v>
      </c>
      <c r="G3073" s="41">
        <v>42791</v>
      </c>
      <c r="H3073" s="15">
        <f t="shared" si="89"/>
        <v>1133</v>
      </c>
      <c r="I3073" s="15">
        <f t="shared" si="90"/>
        <v>0</v>
      </c>
      <c r="J3073" s="19"/>
    </row>
    <row r="3074" spans="1:10" x14ac:dyDescent="0.25">
      <c r="A3074" s="82">
        <v>42791</v>
      </c>
      <c r="B3074" s="39" t="s">
        <v>7374</v>
      </c>
      <c r="C3074" s="89"/>
      <c r="D3074" s="18">
        <v>102409</v>
      </c>
      <c r="E3074" s="2" t="s">
        <v>92</v>
      </c>
      <c r="F3074" s="15">
        <v>2332.8000000000002</v>
      </c>
      <c r="G3074" s="41">
        <v>42791</v>
      </c>
      <c r="H3074" s="15">
        <f t="shared" si="89"/>
        <v>2332.8000000000002</v>
      </c>
      <c r="I3074" s="15">
        <f t="shared" si="90"/>
        <v>0</v>
      </c>
      <c r="J3074" s="19"/>
    </row>
    <row r="3075" spans="1:10" x14ac:dyDescent="0.25">
      <c r="A3075" s="82">
        <v>42791</v>
      </c>
      <c r="B3075" s="39" t="s">
        <v>7375</v>
      </c>
      <c r="C3075" s="89"/>
      <c r="D3075" s="18">
        <v>102410</v>
      </c>
      <c r="E3075" s="2" t="s">
        <v>240</v>
      </c>
      <c r="F3075" s="15">
        <v>4979.1000000000004</v>
      </c>
      <c r="G3075" s="41">
        <v>42791</v>
      </c>
      <c r="H3075" s="15">
        <f t="shared" si="89"/>
        <v>4979.1000000000004</v>
      </c>
      <c r="I3075" s="15">
        <f t="shared" si="90"/>
        <v>0</v>
      </c>
      <c r="J3075" s="19"/>
    </row>
    <row r="3076" spans="1:10" x14ac:dyDescent="0.25">
      <c r="A3076" s="82">
        <v>42791</v>
      </c>
      <c r="B3076" s="39" t="s">
        <v>7376</v>
      </c>
      <c r="C3076" s="89"/>
      <c r="D3076" s="18">
        <v>102411</v>
      </c>
      <c r="E3076" s="2" t="s">
        <v>1081</v>
      </c>
      <c r="F3076" s="15">
        <v>2008.48</v>
      </c>
      <c r="G3076" s="41">
        <v>42791</v>
      </c>
      <c r="H3076" s="15">
        <f t="shared" ref="H3076:H3139" si="91">F3076</f>
        <v>2008.48</v>
      </c>
      <c r="I3076" s="15">
        <f t="shared" si="90"/>
        <v>0</v>
      </c>
      <c r="J3076" s="19"/>
    </row>
    <row r="3077" spans="1:10" x14ac:dyDescent="0.25">
      <c r="A3077" s="82">
        <v>42791</v>
      </c>
      <c r="B3077" s="39" t="s">
        <v>7377</v>
      </c>
      <c r="C3077" s="89"/>
      <c r="D3077" s="18">
        <v>102412</v>
      </c>
      <c r="E3077" s="2" t="s">
        <v>103</v>
      </c>
      <c r="F3077" s="15">
        <v>2849.4</v>
      </c>
      <c r="G3077" s="41">
        <v>42791</v>
      </c>
      <c r="H3077" s="15">
        <f t="shared" si="91"/>
        <v>2849.4</v>
      </c>
      <c r="I3077" s="15">
        <f t="shared" si="90"/>
        <v>0</v>
      </c>
      <c r="J3077" s="19"/>
    </row>
    <row r="3078" spans="1:10" x14ac:dyDescent="0.25">
      <c r="A3078" s="82">
        <v>42791</v>
      </c>
      <c r="B3078" s="39" t="s">
        <v>7378</v>
      </c>
      <c r="C3078" s="89"/>
      <c r="D3078" s="18">
        <v>102413</v>
      </c>
      <c r="E3078" s="2" t="s">
        <v>1090</v>
      </c>
      <c r="F3078" s="15">
        <v>6072</v>
      </c>
      <c r="G3078" s="41">
        <v>42791</v>
      </c>
      <c r="H3078" s="15">
        <f t="shared" si="91"/>
        <v>6072</v>
      </c>
      <c r="I3078" s="15">
        <f t="shared" si="90"/>
        <v>0</v>
      </c>
      <c r="J3078" s="19"/>
    </row>
    <row r="3079" spans="1:10" x14ac:dyDescent="0.25">
      <c r="A3079" s="82">
        <v>42791</v>
      </c>
      <c r="B3079" s="39" t="s">
        <v>7379</v>
      </c>
      <c r="C3079" s="89"/>
      <c r="D3079" s="18">
        <v>102414</v>
      </c>
      <c r="E3079" s="2" t="s">
        <v>105</v>
      </c>
      <c r="F3079" s="15">
        <v>456.6</v>
      </c>
      <c r="G3079" s="41">
        <v>42791</v>
      </c>
      <c r="H3079" s="15">
        <f t="shared" si="91"/>
        <v>456.6</v>
      </c>
      <c r="I3079" s="15">
        <f t="shared" si="90"/>
        <v>0</v>
      </c>
      <c r="J3079" s="19"/>
    </row>
    <row r="3080" spans="1:10" x14ac:dyDescent="0.25">
      <c r="A3080" s="82">
        <v>42791</v>
      </c>
      <c r="B3080" s="39" t="s">
        <v>7380</v>
      </c>
      <c r="C3080" s="89"/>
      <c r="D3080" s="18">
        <v>102415</v>
      </c>
      <c r="E3080" s="2" t="s">
        <v>88</v>
      </c>
      <c r="F3080" s="15">
        <v>1671.4</v>
      </c>
      <c r="G3080" s="41">
        <v>42791</v>
      </c>
      <c r="H3080" s="15">
        <f t="shared" si="91"/>
        <v>1671.4</v>
      </c>
      <c r="I3080" s="15">
        <f t="shared" si="90"/>
        <v>0</v>
      </c>
      <c r="J3080" s="19"/>
    </row>
    <row r="3081" spans="1:10" x14ac:dyDescent="0.25">
      <c r="A3081" s="82">
        <v>42791</v>
      </c>
      <c r="B3081" s="39" t="s">
        <v>7381</v>
      </c>
      <c r="C3081" s="89"/>
      <c r="D3081" s="18">
        <v>102416</v>
      </c>
      <c r="E3081" s="2" t="s">
        <v>274</v>
      </c>
      <c r="F3081" s="15">
        <v>6148.12</v>
      </c>
      <c r="G3081" s="41">
        <v>42738</v>
      </c>
      <c r="H3081" s="15">
        <f t="shared" si="91"/>
        <v>6148.12</v>
      </c>
      <c r="I3081" s="15">
        <f t="shared" si="90"/>
        <v>0</v>
      </c>
      <c r="J3081" s="19"/>
    </row>
    <row r="3082" spans="1:10" x14ac:dyDescent="0.25">
      <c r="A3082" s="82">
        <v>42791</v>
      </c>
      <c r="B3082" s="39" t="s">
        <v>7382</v>
      </c>
      <c r="C3082" s="89"/>
      <c r="D3082" s="18">
        <v>102417</v>
      </c>
      <c r="E3082" s="2" t="s">
        <v>268</v>
      </c>
      <c r="F3082" s="15">
        <v>4459</v>
      </c>
      <c r="G3082" s="41">
        <v>42738</v>
      </c>
      <c r="H3082" s="15">
        <f t="shared" si="91"/>
        <v>4459</v>
      </c>
      <c r="I3082" s="15">
        <f t="shared" si="90"/>
        <v>0</v>
      </c>
      <c r="J3082" s="19"/>
    </row>
    <row r="3083" spans="1:10" x14ac:dyDescent="0.25">
      <c r="A3083" s="82">
        <v>42791</v>
      </c>
      <c r="B3083" s="39" t="s">
        <v>7383</v>
      </c>
      <c r="C3083" s="89"/>
      <c r="D3083" s="18">
        <v>102418</v>
      </c>
      <c r="E3083" s="2" t="s">
        <v>1666</v>
      </c>
      <c r="F3083" s="15">
        <v>2328</v>
      </c>
      <c r="G3083" s="41">
        <v>42738</v>
      </c>
      <c r="H3083" s="15">
        <f t="shared" si="91"/>
        <v>2328</v>
      </c>
      <c r="I3083" s="15">
        <f t="shared" si="90"/>
        <v>0</v>
      </c>
      <c r="J3083" s="19"/>
    </row>
    <row r="3084" spans="1:10" x14ac:dyDescent="0.25">
      <c r="A3084" s="82">
        <v>42791</v>
      </c>
      <c r="B3084" s="39" t="s">
        <v>7384</v>
      </c>
      <c r="C3084" s="89"/>
      <c r="D3084" s="18">
        <v>102419</v>
      </c>
      <c r="E3084" s="2" t="s">
        <v>30</v>
      </c>
      <c r="F3084" s="15">
        <v>435.6</v>
      </c>
      <c r="G3084" s="41">
        <v>42791</v>
      </c>
      <c r="H3084" s="15">
        <f t="shared" si="91"/>
        <v>435.6</v>
      </c>
      <c r="I3084" s="15">
        <f t="shared" si="90"/>
        <v>0</v>
      </c>
      <c r="J3084" s="19"/>
    </row>
    <row r="3085" spans="1:10" x14ac:dyDescent="0.25">
      <c r="A3085" s="82">
        <v>42791</v>
      </c>
      <c r="B3085" s="39" t="s">
        <v>7385</v>
      </c>
      <c r="C3085" s="89"/>
      <c r="D3085" s="18">
        <v>102420</v>
      </c>
      <c r="E3085" s="2" t="s">
        <v>1259</v>
      </c>
      <c r="F3085" s="15">
        <v>2450</v>
      </c>
      <c r="G3085" s="41">
        <v>42791</v>
      </c>
      <c r="H3085" s="15">
        <f t="shared" si="91"/>
        <v>2450</v>
      </c>
      <c r="I3085" s="15">
        <f t="shared" si="90"/>
        <v>0</v>
      </c>
      <c r="J3085" s="19"/>
    </row>
    <row r="3086" spans="1:10" x14ac:dyDescent="0.25">
      <c r="A3086" s="82">
        <v>42791</v>
      </c>
      <c r="B3086" s="39" t="s">
        <v>7386</v>
      </c>
      <c r="C3086" s="89"/>
      <c r="D3086" s="18">
        <v>102421</v>
      </c>
      <c r="E3086" s="2" t="s">
        <v>457</v>
      </c>
      <c r="F3086" s="15">
        <v>4384.8999999999996</v>
      </c>
      <c r="G3086" s="41">
        <v>42791</v>
      </c>
      <c r="H3086" s="15">
        <f t="shared" si="91"/>
        <v>4384.8999999999996</v>
      </c>
      <c r="I3086" s="15">
        <f t="shared" si="90"/>
        <v>0</v>
      </c>
      <c r="J3086" s="19"/>
    </row>
    <row r="3087" spans="1:10" x14ac:dyDescent="0.25">
      <c r="A3087" s="82">
        <v>42791</v>
      </c>
      <c r="B3087" s="39" t="s">
        <v>7387</v>
      </c>
      <c r="C3087" s="89"/>
      <c r="D3087" s="18">
        <v>102422</v>
      </c>
      <c r="E3087" s="2" t="s">
        <v>88</v>
      </c>
      <c r="F3087" s="15">
        <v>5372.8</v>
      </c>
      <c r="G3087" s="41">
        <v>42791</v>
      </c>
      <c r="H3087" s="15">
        <f t="shared" si="91"/>
        <v>5372.8</v>
      </c>
      <c r="I3087" s="15">
        <f t="shared" si="90"/>
        <v>0</v>
      </c>
      <c r="J3087" s="19"/>
    </row>
    <row r="3088" spans="1:10" x14ac:dyDescent="0.25">
      <c r="A3088" s="82">
        <v>42791</v>
      </c>
      <c r="B3088" s="39" t="s">
        <v>7388</v>
      </c>
      <c r="C3088" s="89"/>
      <c r="D3088" s="18">
        <v>102423</v>
      </c>
      <c r="E3088" s="2" t="s">
        <v>5271</v>
      </c>
      <c r="F3088" s="15">
        <v>35886.199999999997</v>
      </c>
      <c r="G3088" s="41">
        <v>42791</v>
      </c>
      <c r="H3088" s="15">
        <f t="shared" si="91"/>
        <v>35886.199999999997</v>
      </c>
      <c r="I3088" s="15">
        <f t="shared" si="90"/>
        <v>0</v>
      </c>
      <c r="J3088" s="19"/>
    </row>
    <row r="3089" spans="1:10" x14ac:dyDescent="0.25">
      <c r="A3089" s="82">
        <v>42791</v>
      </c>
      <c r="B3089" s="39" t="s">
        <v>7389</v>
      </c>
      <c r="C3089" s="89"/>
      <c r="D3089" s="18">
        <v>102424</v>
      </c>
      <c r="E3089" s="2" t="s">
        <v>109</v>
      </c>
      <c r="F3089" s="15">
        <v>4895.1000000000004</v>
      </c>
      <c r="G3089" s="41">
        <v>42791</v>
      </c>
      <c r="H3089" s="15">
        <f t="shared" si="91"/>
        <v>4895.1000000000004</v>
      </c>
      <c r="I3089" s="15">
        <f t="shared" si="90"/>
        <v>0</v>
      </c>
      <c r="J3089" s="19"/>
    </row>
    <row r="3090" spans="1:10" x14ac:dyDescent="0.25">
      <c r="A3090" s="82">
        <v>42791</v>
      </c>
      <c r="B3090" s="39" t="s">
        <v>7390</v>
      </c>
      <c r="C3090" s="89"/>
      <c r="D3090" s="18">
        <v>102425</v>
      </c>
      <c r="E3090" s="2" t="s">
        <v>125</v>
      </c>
      <c r="F3090" s="15">
        <v>8995</v>
      </c>
      <c r="G3090" s="41">
        <v>42791</v>
      </c>
      <c r="H3090" s="15">
        <f t="shared" si="91"/>
        <v>8995</v>
      </c>
      <c r="I3090" s="15">
        <f t="shared" si="90"/>
        <v>0</v>
      </c>
      <c r="J3090" s="19"/>
    </row>
    <row r="3091" spans="1:10" x14ac:dyDescent="0.25">
      <c r="A3091" s="82">
        <v>42791</v>
      </c>
      <c r="B3091" s="39" t="s">
        <v>7391</v>
      </c>
      <c r="C3091" s="89"/>
      <c r="D3091" s="18">
        <v>102426</v>
      </c>
      <c r="E3091" s="2" t="s">
        <v>785</v>
      </c>
      <c r="F3091" s="15">
        <v>4389</v>
      </c>
      <c r="G3091" s="41">
        <v>42791</v>
      </c>
      <c r="H3091" s="15">
        <f t="shared" si="91"/>
        <v>4389</v>
      </c>
      <c r="I3091" s="15">
        <f t="shared" si="90"/>
        <v>0</v>
      </c>
      <c r="J3091" s="19"/>
    </row>
    <row r="3092" spans="1:10" x14ac:dyDescent="0.25">
      <c r="A3092" s="82">
        <v>42791</v>
      </c>
      <c r="B3092" s="39" t="s">
        <v>7392</v>
      </c>
      <c r="C3092" s="89"/>
      <c r="D3092" s="18">
        <v>102427</v>
      </c>
      <c r="E3092" s="2" t="s">
        <v>1830</v>
      </c>
      <c r="F3092" s="15">
        <v>16867.400000000001</v>
      </c>
      <c r="G3092" s="41">
        <v>42791</v>
      </c>
      <c r="H3092" s="15">
        <f t="shared" si="91"/>
        <v>16867.400000000001</v>
      </c>
      <c r="I3092" s="15">
        <f t="shared" si="90"/>
        <v>0</v>
      </c>
      <c r="J3092" s="19"/>
    </row>
    <row r="3093" spans="1:10" x14ac:dyDescent="0.25">
      <c r="A3093" s="82">
        <v>42791</v>
      </c>
      <c r="B3093" s="39" t="s">
        <v>7393</v>
      </c>
      <c r="C3093" s="89"/>
      <c r="D3093" s="18">
        <v>102428</v>
      </c>
      <c r="E3093" s="2" t="s">
        <v>341</v>
      </c>
      <c r="F3093" s="15">
        <v>10000.08</v>
      </c>
      <c r="G3093" s="41">
        <v>42791</v>
      </c>
      <c r="H3093" s="15">
        <f t="shared" si="91"/>
        <v>10000.08</v>
      </c>
      <c r="I3093" s="15">
        <f t="shared" si="90"/>
        <v>0</v>
      </c>
      <c r="J3093" s="19"/>
    </row>
    <row r="3094" spans="1:10" x14ac:dyDescent="0.25">
      <c r="A3094" s="82">
        <v>42791</v>
      </c>
      <c r="B3094" s="39" t="s">
        <v>7394</v>
      </c>
      <c r="C3094" s="89"/>
      <c r="D3094" s="18">
        <v>102429</v>
      </c>
      <c r="E3094" s="2" t="s">
        <v>30</v>
      </c>
      <c r="F3094" s="15">
        <v>450</v>
      </c>
      <c r="G3094" s="41">
        <v>42791</v>
      </c>
      <c r="H3094" s="15">
        <f t="shared" si="91"/>
        <v>450</v>
      </c>
      <c r="I3094" s="15">
        <f t="shared" si="90"/>
        <v>0</v>
      </c>
      <c r="J3094" s="19"/>
    </row>
    <row r="3095" spans="1:10" x14ac:dyDescent="0.25">
      <c r="A3095" s="82">
        <v>42791</v>
      </c>
      <c r="B3095" s="39" t="s">
        <v>7395</v>
      </c>
      <c r="C3095" s="89"/>
      <c r="D3095" s="18">
        <v>102430</v>
      </c>
      <c r="E3095" s="2" t="s">
        <v>30</v>
      </c>
      <c r="F3095" s="15">
        <v>116.6</v>
      </c>
      <c r="G3095" s="41">
        <v>42791</v>
      </c>
      <c r="H3095" s="15">
        <f t="shared" si="91"/>
        <v>116.6</v>
      </c>
      <c r="I3095" s="15">
        <f t="shared" si="90"/>
        <v>0</v>
      </c>
      <c r="J3095" s="19"/>
    </row>
    <row r="3096" spans="1:10" x14ac:dyDescent="0.25">
      <c r="A3096" s="82">
        <v>42791</v>
      </c>
      <c r="B3096" s="39" t="s">
        <v>7396</v>
      </c>
      <c r="C3096" s="89"/>
      <c r="D3096" s="18">
        <v>102431</v>
      </c>
      <c r="E3096" s="2" t="s">
        <v>10</v>
      </c>
      <c r="F3096" s="15">
        <v>284489.56</v>
      </c>
      <c r="G3096" s="41">
        <v>42794</v>
      </c>
      <c r="H3096" s="15">
        <f t="shared" si="91"/>
        <v>284489.56</v>
      </c>
      <c r="I3096" s="15">
        <f t="shared" si="90"/>
        <v>0</v>
      </c>
      <c r="J3096" s="19"/>
    </row>
    <row r="3097" spans="1:10" x14ac:dyDescent="0.25">
      <c r="A3097" s="82">
        <v>42791</v>
      </c>
      <c r="B3097" s="39" t="s">
        <v>7397</v>
      </c>
      <c r="C3097" s="89"/>
      <c r="D3097" s="18">
        <v>102432</v>
      </c>
      <c r="E3097" s="2" t="s">
        <v>305</v>
      </c>
      <c r="F3097" s="15">
        <v>9225.2999999999993</v>
      </c>
      <c r="G3097" s="41">
        <v>42793</v>
      </c>
      <c r="H3097" s="15">
        <f t="shared" si="91"/>
        <v>9225.2999999999993</v>
      </c>
      <c r="I3097" s="15">
        <f t="shared" si="90"/>
        <v>0</v>
      </c>
      <c r="J3097" s="19"/>
    </row>
    <row r="3098" spans="1:10" x14ac:dyDescent="0.25">
      <c r="A3098" s="82">
        <v>42791</v>
      </c>
      <c r="B3098" s="39" t="s">
        <v>7398</v>
      </c>
      <c r="C3098" s="89"/>
      <c r="D3098" s="18">
        <v>102433</v>
      </c>
      <c r="E3098" s="2" t="s">
        <v>298</v>
      </c>
      <c r="F3098" s="15">
        <v>3720.2</v>
      </c>
      <c r="G3098" s="41">
        <v>42791</v>
      </c>
      <c r="H3098" s="15">
        <f t="shared" si="91"/>
        <v>3720.2</v>
      </c>
      <c r="I3098" s="15">
        <f t="shared" si="90"/>
        <v>0</v>
      </c>
      <c r="J3098" s="19"/>
    </row>
    <row r="3099" spans="1:10" x14ac:dyDescent="0.25">
      <c r="A3099" s="82">
        <v>42791</v>
      </c>
      <c r="B3099" s="39" t="s">
        <v>7399</v>
      </c>
      <c r="C3099" s="89"/>
      <c r="D3099" s="18">
        <v>102434</v>
      </c>
      <c r="E3099" s="2" t="s">
        <v>30</v>
      </c>
      <c r="F3099" s="15">
        <v>2572.8000000000002</v>
      </c>
      <c r="G3099" s="41">
        <v>42791</v>
      </c>
      <c r="H3099" s="15">
        <f t="shared" si="91"/>
        <v>2572.8000000000002</v>
      </c>
      <c r="I3099" s="15">
        <f t="shared" si="90"/>
        <v>0</v>
      </c>
      <c r="J3099" s="19"/>
    </row>
    <row r="3100" spans="1:10" x14ac:dyDescent="0.25">
      <c r="A3100" s="82">
        <v>42791</v>
      </c>
      <c r="B3100" s="39" t="s">
        <v>7400</v>
      </c>
      <c r="C3100" s="89"/>
      <c r="D3100" s="18">
        <v>102435</v>
      </c>
      <c r="E3100" s="13" t="s">
        <v>305</v>
      </c>
      <c r="F3100" s="14">
        <v>0</v>
      </c>
      <c r="G3100" s="88" t="s">
        <v>95</v>
      </c>
      <c r="H3100" s="14">
        <f t="shared" si="91"/>
        <v>0</v>
      </c>
      <c r="I3100" s="14">
        <f t="shared" si="90"/>
        <v>0</v>
      </c>
      <c r="J3100" s="19"/>
    </row>
    <row r="3101" spans="1:10" x14ac:dyDescent="0.25">
      <c r="A3101" s="82">
        <v>42791</v>
      </c>
      <c r="B3101" s="39" t="s">
        <v>7401</v>
      </c>
      <c r="C3101" s="89"/>
      <c r="D3101" s="18">
        <v>102436</v>
      </c>
      <c r="E3101" s="2" t="s">
        <v>476</v>
      </c>
      <c r="F3101" s="15">
        <v>32114</v>
      </c>
      <c r="G3101" s="41">
        <v>42794</v>
      </c>
      <c r="H3101" s="15">
        <f t="shared" si="91"/>
        <v>32114</v>
      </c>
      <c r="I3101" s="15">
        <f t="shared" si="90"/>
        <v>0</v>
      </c>
      <c r="J3101" s="19"/>
    </row>
    <row r="3102" spans="1:10" x14ac:dyDescent="0.25">
      <c r="A3102" s="82">
        <v>42791</v>
      </c>
      <c r="B3102" s="39" t="s">
        <v>7402</v>
      </c>
      <c r="C3102" s="89"/>
      <c r="D3102" s="18">
        <v>102437</v>
      </c>
      <c r="E3102" s="2" t="s">
        <v>305</v>
      </c>
      <c r="F3102" s="15">
        <v>5116.2</v>
      </c>
      <c r="G3102" s="41">
        <v>42809</v>
      </c>
      <c r="H3102" s="15">
        <f t="shared" si="91"/>
        <v>5116.2</v>
      </c>
      <c r="I3102" s="15">
        <f t="shared" si="90"/>
        <v>0</v>
      </c>
      <c r="J3102" s="19"/>
    </row>
    <row r="3103" spans="1:10" x14ac:dyDescent="0.25">
      <c r="A3103" s="82">
        <v>42791</v>
      </c>
      <c r="B3103" s="39" t="s">
        <v>7403</v>
      </c>
      <c r="C3103" s="89"/>
      <c r="D3103" s="18">
        <v>102438</v>
      </c>
      <c r="E3103" s="2" t="s">
        <v>67</v>
      </c>
      <c r="F3103" s="15">
        <v>27473.8</v>
      </c>
      <c r="G3103" s="41">
        <v>42798</v>
      </c>
      <c r="H3103" s="15">
        <f t="shared" si="91"/>
        <v>27473.8</v>
      </c>
      <c r="I3103" s="15">
        <f t="shared" si="90"/>
        <v>0</v>
      </c>
      <c r="J3103" s="19"/>
    </row>
    <row r="3104" spans="1:10" x14ac:dyDescent="0.25">
      <c r="A3104" s="82">
        <v>42791</v>
      </c>
      <c r="B3104" s="39" t="s">
        <v>7404</v>
      </c>
      <c r="C3104" s="89"/>
      <c r="D3104" s="18">
        <v>102439</v>
      </c>
      <c r="E3104" s="2" t="s">
        <v>168</v>
      </c>
      <c r="F3104" s="15">
        <v>706.2</v>
      </c>
      <c r="G3104" s="41">
        <v>42791</v>
      </c>
      <c r="H3104" s="15">
        <f t="shared" si="91"/>
        <v>706.2</v>
      </c>
      <c r="I3104" s="15">
        <f t="shared" si="90"/>
        <v>0</v>
      </c>
      <c r="J3104" s="19"/>
    </row>
    <row r="3105" spans="1:10" x14ac:dyDescent="0.25">
      <c r="A3105" s="82">
        <v>42791</v>
      </c>
      <c r="B3105" s="39" t="s">
        <v>7405</v>
      </c>
      <c r="C3105" s="89"/>
      <c r="D3105" s="18">
        <v>102440</v>
      </c>
      <c r="E3105" s="2" t="s">
        <v>531</v>
      </c>
      <c r="F3105" s="15">
        <v>34377.800000000003</v>
      </c>
      <c r="G3105" s="41">
        <v>42792</v>
      </c>
      <c r="H3105" s="15">
        <f t="shared" si="91"/>
        <v>34377.800000000003</v>
      </c>
      <c r="I3105" s="15">
        <f t="shared" si="90"/>
        <v>0</v>
      </c>
      <c r="J3105" s="19"/>
    </row>
    <row r="3106" spans="1:10" x14ac:dyDescent="0.25">
      <c r="A3106" s="82">
        <v>42791</v>
      </c>
      <c r="B3106" s="39" t="s">
        <v>7406</v>
      </c>
      <c r="C3106" s="89"/>
      <c r="D3106" s="18">
        <v>102441</v>
      </c>
      <c r="E3106" s="2" t="s">
        <v>30</v>
      </c>
      <c r="F3106" s="15">
        <v>2194.1999999999998</v>
      </c>
      <c r="G3106" s="41">
        <v>42791</v>
      </c>
      <c r="H3106" s="15">
        <f t="shared" si="91"/>
        <v>2194.1999999999998</v>
      </c>
      <c r="I3106" s="15">
        <f t="shared" si="90"/>
        <v>0</v>
      </c>
      <c r="J3106" s="19"/>
    </row>
    <row r="3107" spans="1:10" x14ac:dyDescent="0.25">
      <c r="A3107" s="82">
        <v>42791</v>
      </c>
      <c r="B3107" s="39" t="s">
        <v>7407</v>
      </c>
      <c r="C3107" s="89"/>
      <c r="D3107" s="18">
        <v>102442</v>
      </c>
      <c r="E3107" s="2" t="s">
        <v>12</v>
      </c>
      <c r="F3107" s="15">
        <v>2560.6</v>
      </c>
      <c r="G3107" s="41">
        <v>42791</v>
      </c>
      <c r="H3107" s="15">
        <f t="shared" si="91"/>
        <v>2560.6</v>
      </c>
      <c r="I3107" s="15">
        <f t="shared" si="90"/>
        <v>0</v>
      </c>
      <c r="J3107" s="19"/>
    </row>
    <row r="3108" spans="1:10" x14ac:dyDescent="0.25">
      <c r="A3108" s="82">
        <v>42791</v>
      </c>
      <c r="B3108" s="39" t="s">
        <v>7408</v>
      </c>
      <c r="C3108" s="89"/>
      <c r="D3108" s="18">
        <v>102443</v>
      </c>
      <c r="E3108" s="2" t="s">
        <v>773</v>
      </c>
      <c r="F3108" s="15">
        <v>3339.4</v>
      </c>
      <c r="G3108" s="41">
        <v>42791</v>
      </c>
      <c r="H3108" s="15">
        <f t="shared" si="91"/>
        <v>3339.4</v>
      </c>
      <c r="I3108" s="15">
        <f t="shared" si="90"/>
        <v>0</v>
      </c>
      <c r="J3108" s="19"/>
    </row>
    <row r="3109" spans="1:10" x14ac:dyDescent="0.25">
      <c r="A3109" s="82">
        <v>42791</v>
      </c>
      <c r="B3109" s="39" t="s">
        <v>7409</v>
      </c>
      <c r="C3109" s="89"/>
      <c r="D3109" s="18">
        <v>102444</v>
      </c>
      <c r="E3109" s="2" t="s">
        <v>155</v>
      </c>
      <c r="F3109" s="15">
        <v>18231.2</v>
      </c>
      <c r="G3109" s="41">
        <v>42738</v>
      </c>
      <c r="H3109" s="15">
        <f t="shared" si="91"/>
        <v>18231.2</v>
      </c>
      <c r="I3109" s="15">
        <f t="shared" si="90"/>
        <v>0</v>
      </c>
      <c r="J3109" s="19"/>
    </row>
    <row r="3110" spans="1:10" x14ac:dyDescent="0.25">
      <c r="A3110" s="82">
        <v>42791</v>
      </c>
      <c r="B3110" s="39" t="s">
        <v>7410</v>
      </c>
      <c r="C3110" s="89"/>
      <c r="D3110" s="18">
        <v>102445</v>
      </c>
      <c r="E3110" s="2" t="s">
        <v>165</v>
      </c>
      <c r="F3110" s="15">
        <v>7581.2</v>
      </c>
      <c r="G3110" s="41">
        <v>42804</v>
      </c>
      <c r="H3110" s="15">
        <f t="shared" si="91"/>
        <v>7581.2</v>
      </c>
      <c r="I3110" s="15">
        <f t="shared" si="90"/>
        <v>0</v>
      </c>
      <c r="J3110" s="19"/>
    </row>
    <row r="3111" spans="1:10" x14ac:dyDescent="0.25">
      <c r="A3111" s="82">
        <v>42791</v>
      </c>
      <c r="B3111" s="39" t="s">
        <v>7411</v>
      </c>
      <c r="C3111" s="89"/>
      <c r="D3111" s="18">
        <v>102446</v>
      </c>
      <c r="E3111" s="2" t="s">
        <v>1116</v>
      </c>
      <c r="F3111" s="15">
        <v>4729.2</v>
      </c>
      <c r="G3111" s="41">
        <v>42792</v>
      </c>
      <c r="H3111" s="15">
        <f t="shared" si="91"/>
        <v>4729.2</v>
      </c>
      <c r="I3111" s="15">
        <f t="shared" si="90"/>
        <v>0</v>
      </c>
      <c r="J3111" s="19"/>
    </row>
    <row r="3112" spans="1:10" x14ac:dyDescent="0.25">
      <c r="A3112" s="82">
        <v>42791</v>
      </c>
      <c r="B3112" s="39" t="s">
        <v>7412</v>
      </c>
      <c r="C3112" s="89"/>
      <c r="D3112" s="18">
        <v>102447</v>
      </c>
      <c r="E3112" s="2" t="s">
        <v>289</v>
      </c>
      <c r="F3112" s="15">
        <v>102225.48</v>
      </c>
      <c r="G3112" s="41">
        <v>42807</v>
      </c>
      <c r="H3112" s="15">
        <f t="shared" si="91"/>
        <v>102225.48</v>
      </c>
      <c r="I3112" s="15">
        <f t="shared" si="90"/>
        <v>0</v>
      </c>
      <c r="J3112" s="19"/>
    </row>
    <row r="3113" spans="1:10" x14ac:dyDescent="0.25">
      <c r="A3113" s="82">
        <v>42791</v>
      </c>
      <c r="B3113" s="39" t="s">
        <v>7413</v>
      </c>
      <c r="C3113" s="89"/>
      <c r="D3113" s="18">
        <v>102448</v>
      </c>
      <c r="E3113" s="2" t="s">
        <v>858</v>
      </c>
      <c r="F3113" s="15">
        <v>2201</v>
      </c>
      <c r="G3113" s="41">
        <v>42791</v>
      </c>
      <c r="H3113" s="15">
        <f t="shared" si="91"/>
        <v>2201</v>
      </c>
      <c r="I3113" s="15">
        <f t="shared" si="90"/>
        <v>0</v>
      </c>
      <c r="J3113" s="19"/>
    </row>
    <row r="3114" spans="1:10" x14ac:dyDescent="0.25">
      <c r="A3114" s="82">
        <v>42791</v>
      </c>
      <c r="B3114" s="39" t="s">
        <v>7414</v>
      </c>
      <c r="C3114" s="89"/>
      <c r="D3114" s="18">
        <v>102449</v>
      </c>
      <c r="E3114" s="2" t="s">
        <v>172</v>
      </c>
      <c r="F3114" s="15">
        <v>13537.4</v>
      </c>
      <c r="G3114" s="41">
        <v>42804</v>
      </c>
      <c r="H3114" s="15">
        <f t="shared" si="91"/>
        <v>13537.4</v>
      </c>
      <c r="I3114" s="15">
        <f t="shared" si="90"/>
        <v>0</v>
      </c>
      <c r="J3114" s="19"/>
    </row>
    <row r="3115" spans="1:10" x14ac:dyDescent="0.25">
      <c r="A3115" s="82">
        <v>42791</v>
      </c>
      <c r="B3115" s="39" t="s">
        <v>7415</v>
      </c>
      <c r="C3115" s="89"/>
      <c r="D3115" s="18">
        <v>102450</v>
      </c>
      <c r="E3115" s="2" t="s">
        <v>163</v>
      </c>
      <c r="F3115" s="15">
        <v>17391.2</v>
      </c>
      <c r="G3115" s="41">
        <v>42804</v>
      </c>
      <c r="H3115" s="15">
        <f t="shared" si="91"/>
        <v>17391.2</v>
      </c>
      <c r="I3115" s="15">
        <f t="shared" si="90"/>
        <v>0</v>
      </c>
      <c r="J3115" s="19"/>
    </row>
    <row r="3116" spans="1:10" ht="30" x14ac:dyDescent="0.25">
      <c r="A3116" s="82">
        <v>42791</v>
      </c>
      <c r="B3116" s="39" t="s">
        <v>7416</v>
      </c>
      <c r="C3116" s="89"/>
      <c r="D3116" s="18">
        <v>102451</v>
      </c>
      <c r="E3116" s="2" t="s">
        <v>10</v>
      </c>
      <c r="F3116" s="15">
        <v>219334.68</v>
      </c>
      <c r="G3116" s="87" t="s">
        <v>7750</v>
      </c>
      <c r="H3116" s="20">
        <f>203821.83+15512.85</f>
        <v>219334.68</v>
      </c>
      <c r="I3116" s="20">
        <f t="shared" si="90"/>
        <v>0</v>
      </c>
      <c r="J3116" s="19"/>
    </row>
    <row r="3117" spans="1:10" x14ac:dyDescent="0.25">
      <c r="A3117" s="82">
        <v>42791</v>
      </c>
      <c r="B3117" s="39" t="s">
        <v>7417</v>
      </c>
      <c r="C3117" s="89"/>
      <c r="D3117" s="18">
        <v>102452</v>
      </c>
      <c r="E3117" s="2" t="s">
        <v>30</v>
      </c>
      <c r="F3117" s="15">
        <v>221</v>
      </c>
      <c r="G3117" s="41">
        <v>42791</v>
      </c>
      <c r="H3117" s="15">
        <f t="shared" si="91"/>
        <v>221</v>
      </c>
      <c r="I3117" s="15">
        <f t="shared" si="90"/>
        <v>0</v>
      </c>
      <c r="J3117" s="19"/>
    </row>
    <row r="3118" spans="1:10" x14ac:dyDescent="0.25">
      <c r="A3118" s="82">
        <v>42791</v>
      </c>
      <c r="B3118" s="39" t="s">
        <v>7418</v>
      </c>
      <c r="C3118" s="89"/>
      <c r="D3118" s="18">
        <v>102453</v>
      </c>
      <c r="E3118" s="2" t="s">
        <v>7419</v>
      </c>
      <c r="F3118" s="15">
        <v>3146.4</v>
      </c>
      <c r="G3118" s="41">
        <v>42791</v>
      </c>
      <c r="H3118" s="15">
        <f t="shared" si="91"/>
        <v>3146.4</v>
      </c>
      <c r="I3118" s="15">
        <f t="shared" si="90"/>
        <v>0</v>
      </c>
      <c r="J3118" s="19"/>
    </row>
    <row r="3119" spans="1:10" x14ac:dyDescent="0.25">
      <c r="A3119" s="82">
        <v>42791</v>
      </c>
      <c r="B3119" s="39" t="s">
        <v>7420</v>
      </c>
      <c r="C3119" s="89"/>
      <c r="D3119" s="18">
        <v>102454</v>
      </c>
      <c r="E3119" s="2" t="s">
        <v>115</v>
      </c>
      <c r="F3119" s="15">
        <v>3942.25</v>
      </c>
      <c r="G3119" s="41">
        <v>42798</v>
      </c>
      <c r="H3119" s="15">
        <f t="shared" si="91"/>
        <v>3942.25</v>
      </c>
      <c r="I3119" s="15">
        <f t="shared" si="90"/>
        <v>0</v>
      </c>
      <c r="J3119" s="19"/>
    </row>
    <row r="3120" spans="1:10" x14ac:dyDescent="0.25">
      <c r="A3120" s="82">
        <v>42791</v>
      </c>
      <c r="B3120" s="39" t="s">
        <v>7421</v>
      </c>
      <c r="C3120" s="89"/>
      <c r="D3120" s="18">
        <v>102455</v>
      </c>
      <c r="E3120" s="2" t="s">
        <v>7419</v>
      </c>
      <c r="F3120" s="15">
        <v>424.8</v>
      </c>
      <c r="G3120" s="41">
        <v>42791</v>
      </c>
      <c r="H3120" s="15">
        <f t="shared" si="91"/>
        <v>424.8</v>
      </c>
      <c r="I3120" s="15">
        <f t="shared" si="90"/>
        <v>0</v>
      </c>
      <c r="J3120" s="19"/>
    </row>
    <row r="3121" spans="1:10" x14ac:dyDescent="0.25">
      <c r="A3121" s="82">
        <v>42791</v>
      </c>
      <c r="B3121" s="39" t="s">
        <v>7422</v>
      </c>
      <c r="C3121" s="89"/>
      <c r="D3121" s="18">
        <v>102456</v>
      </c>
      <c r="E3121" s="13" t="s">
        <v>2240</v>
      </c>
      <c r="F3121" s="14">
        <v>0</v>
      </c>
      <c r="G3121" s="88" t="s">
        <v>95</v>
      </c>
      <c r="H3121" s="14">
        <f t="shared" si="91"/>
        <v>0</v>
      </c>
      <c r="I3121" s="14">
        <f t="shared" si="90"/>
        <v>0</v>
      </c>
      <c r="J3121" s="19"/>
    </row>
    <row r="3122" spans="1:10" x14ac:dyDescent="0.25">
      <c r="A3122" s="82">
        <v>42791</v>
      </c>
      <c r="B3122" s="39" t="s">
        <v>7423</v>
      </c>
      <c r="C3122" s="89"/>
      <c r="D3122" s="18">
        <v>102457</v>
      </c>
      <c r="E3122" s="2" t="s">
        <v>2240</v>
      </c>
      <c r="F3122" s="15">
        <v>8619.9</v>
      </c>
      <c r="G3122" s="41">
        <v>42791</v>
      </c>
      <c r="H3122" s="15">
        <f t="shared" si="91"/>
        <v>8619.9</v>
      </c>
      <c r="I3122" s="15">
        <f t="shared" si="90"/>
        <v>0</v>
      </c>
      <c r="J3122" s="19"/>
    </row>
    <row r="3123" spans="1:10" x14ac:dyDescent="0.25">
      <c r="A3123" s="82">
        <v>42791</v>
      </c>
      <c r="B3123" s="39" t="s">
        <v>7424</v>
      </c>
      <c r="C3123" s="89"/>
      <c r="D3123" s="18">
        <v>102458</v>
      </c>
      <c r="E3123" s="2" t="s">
        <v>133</v>
      </c>
      <c r="F3123" s="15">
        <v>352.4</v>
      </c>
      <c r="G3123" s="41">
        <v>42791</v>
      </c>
      <c r="H3123" s="15">
        <f t="shared" si="91"/>
        <v>352.4</v>
      </c>
      <c r="I3123" s="15">
        <f t="shared" si="90"/>
        <v>0</v>
      </c>
      <c r="J3123" s="19"/>
    </row>
    <row r="3124" spans="1:10" x14ac:dyDescent="0.25">
      <c r="A3124" s="82">
        <v>42791</v>
      </c>
      <c r="B3124" s="39" t="s">
        <v>7425</v>
      </c>
      <c r="C3124" s="89"/>
      <c r="D3124" s="18">
        <v>102459</v>
      </c>
      <c r="E3124" s="2" t="s">
        <v>149</v>
      </c>
      <c r="F3124" s="15">
        <v>11503</v>
      </c>
      <c r="G3124" s="41">
        <v>42791</v>
      </c>
      <c r="H3124" s="15">
        <f t="shared" si="91"/>
        <v>11503</v>
      </c>
      <c r="I3124" s="15">
        <f t="shared" si="90"/>
        <v>0</v>
      </c>
      <c r="J3124" s="19"/>
    </row>
    <row r="3125" spans="1:10" x14ac:dyDescent="0.25">
      <c r="A3125" s="82">
        <v>42791</v>
      </c>
      <c r="B3125" s="39" t="s">
        <v>7426</v>
      </c>
      <c r="C3125" s="89"/>
      <c r="D3125" s="18">
        <v>102460</v>
      </c>
      <c r="E3125" s="2" t="s">
        <v>302</v>
      </c>
      <c r="F3125" s="15">
        <v>15006.6</v>
      </c>
      <c r="G3125" s="41">
        <v>42791</v>
      </c>
      <c r="H3125" s="15">
        <f t="shared" si="91"/>
        <v>15006.6</v>
      </c>
      <c r="I3125" s="15">
        <f t="shared" si="90"/>
        <v>0</v>
      </c>
      <c r="J3125" s="19"/>
    </row>
    <row r="3126" spans="1:10" x14ac:dyDescent="0.25">
      <c r="A3126" s="82">
        <v>42791</v>
      </c>
      <c r="B3126" s="39" t="s">
        <v>7427</v>
      </c>
      <c r="C3126" s="89"/>
      <c r="D3126" s="18">
        <v>102461</v>
      </c>
      <c r="E3126" s="2" t="s">
        <v>61</v>
      </c>
      <c r="F3126" s="15">
        <v>8706.1</v>
      </c>
      <c r="G3126" s="41">
        <v>42791</v>
      </c>
      <c r="H3126" s="15">
        <f t="shared" si="91"/>
        <v>8706.1</v>
      </c>
      <c r="I3126" s="15">
        <f t="shared" si="90"/>
        <v>0</v>
      </c>
      <c r="J3126" s="19"/>
    </row>
    <row r="3127" spans="1:10" x14ac:dyDescent="0.25">
      <c r="A3127" s="82">
        <v>42791</v>
      </c>
      <c r="B3127" s="39" t="s">
        <v>7428</v>
      </c>
      <c r="C3127" s="89"/>
      <c r="D3127" s="18">
        <v>102462</v>
      </c>
      <c r="E3127" s="2" t="s">
        <v>57</v>
      </c>
      <c r="F3127" s="15">
        <v>479.4</v>
      </c>
      <c r="G3127" s="41">
        <v>42791</v>
      </c>
      <c r="H3127" s="15">
        <f t="shared" si="91"/>
        <v>479.4</v>
      </c>
      <c r="I3127" s="15">
        <f t="shared" si="90"/>
        <v>0</v>
      </c>
      <c r="J3127" s="19"/>
    </row>
    <row r="3128" spans="1:10" x14ac:dyDescent="0.25">
      <c r="A3128" s="82">
        <v>42791</v>
      </c>
      <c r="B3128" s="39" t="s">
        <v>7429</v>
      </c>
      <c r="C3128" s="89"/>
      <c r="D3128" s="18">
        <v>102463</v>
      </c>
      <c r="E3128" s="2" t="s">
        <v>486</v>
      </c>
      <c r="F3128" s="15">
        <v>3033.6</v>
      </c>
      <c r="G3128" s="41">
        <v>42791</v>
      </c>
      <c r="H3128" s="15">
        <f t="shared" si="91"/>
        <v>3033.6</v>
      </c>
      <c r="I3128" s="15">
        <f t="shared" ref="I3128:I3191" si="92">F3128-H3128</f>
        <v>0</v>
      </c>
      <c r="J3128" s="19"/>
    </row>
    <row r="3129" spans="1:10" x14ac:dyDescent="0.25">
      <c r="A3129" s="82">
        <v>42791</v>
      </c>
      <c r="B3129" s="39" t="s">
        <v>7430</v>
      </c>
      <c r="C3129" s="89"/>
      <c r="D3129" s="18">
        <v>102464</v>
      </c>
      <c r="E3129" s="2" t="s">
        <v>331</v>
      </c>
      <c r="F3129" s="15">
        <v>2187</v>
      </c>
      <c r="G3129" s="41">
        <v>42791</v>
      </c>
      <c r="H3129" s="15">
        <f t="shared" si="91"/>
        <v>2187</v>
      </c>
      <c r="I3129" s="15">
        <f t="shared" si="92"/>
        <v>0</v>
      </c>
      <c r="J3129" s="19"/>
    </row>
    <row r="3130" spans="1:10" x14ac:dyDescent="0.25">
      <c r="A3130" s="82">
        <v>42791</v>
      </c>
      <c r="B3130" s="39" t="s">
        <v>7431</v>
      </c>
      <c r="C3130" s="89"/>
      <c r="D3130" s="18">
        <v>102465</v>
      </c>
      <c r="E3130" s="2" t="s">
        <v>53</v>
      </c>
      <c r="F3130" s="15">
        <v>1732.5</v>
      </c>
      <c r="G3130" s="41">
        <v>42791</v>
      </c>
      <c r="H3130" s="15">
        <f t="shared" si="91"/>
        <v>1732.5</v>
      </c>
      <c r="I3130" s="15">
        <f t="shared" si="92"/>
        <v>0</v>
      </c>
      <c r="J3130" s="19"/>
    </row>
    <row r="3131" spans="1:10" x14ac:dyDescent="0.25">
      <c r="A3131" s="82">
        <v>42791</v>
      </c>
      <c r="B3131" s="39" t="s">
        <v>7432</v>
      </c>
      <c r="C3131" s="89"/>
      <c r="D3131" s="18">
        <v>102466</v>
      </c>
      <c r="E3131" s="2" t="s">
        <v>30</v>
      </c>
      <c r="F3131" s="15">
        <v>384</v>
      </c>
      <c r="G3131" s="41">
        <v>42791</v>
      </c>
      <c r="H3131" s="15">
        <f t="shared" si="91"/>
        <v>384</v>
      </c>
      <c r="I3131" s="15">
        <f t="shared" si="92"/>
        <v>0</v>
      </c>
      <c r="J3131" s="19"/>
    </row>
    <row r="3132" spans="1:10" x14ac:dyDescent="0.25">
      <c r="A3132" s="82">
        <v>42791</v>
      </c>
      <c r="B3132" s="39" t="s">
        <v>7433</v>
      </c>
      <c r="C3132" s="89"/>
      <c r="D3132" s="18">
        <v>102467</v>
      </c>
      <c r="E3132" s="2" t="s">
        <v>3997</v>
      </c>
      <c r="F3132" s="15">
        <v>3962.1</v>
      </c>
      <c r="G3132" s="41">
        <v>42798</v>
      </c>
      <c r="H3132" s="15">
        <f t="shared" si="91"/>
        <v>3962.1</v>
      </c>
      <c r="I3132" s="15">
        <f t="shared" si="92"/>
        <v>0</v>
      </c>
      <c r="J3132" s="19"/>
    </row>
    <row r="3133" spans="1:10" x14ac:dyDescent="0.25">
      <c r="A3133" s="82">
        <v>42791</v>
      </c>
      <c r="B3133" s="39" t="s">
        <v>7434</v>
      </c>
      <c r="C3133" s="89"/>
      <c r="D3133" s="18">
        <v>102468</v>
      </c>
      <c r="E3133" s="2" t="s">
        <v>21</v>
      </c>
      <c r="F3133" s="15">
        <v>60215.6</v>
      </c>
      <c r="G3133" s="87">
        <v>42807</v>
      </c>
      <c r="H3133" s="20">
        <f>1128.6+21899.6+37187.4</f>
        <v>60215.6</v>
      </c>
      <c r="I3133" s="20">
        <f t="shared" si="92"/>
        <v>0</v>
      </c>
      <c r="J3133" s="19"/>
    </row>
    <row r="3134" spans="1:10" x14ac:dyDescent="0.25">
      <c r="A3134" s="82">
        <v>42791</v>
      </c>
      <c r="B3134" s="39" t="s">
        <v>7435</v>
      </c>
      <c r="C3134" s="89"/>
      <c r="D3134" s="18">
        <v>102469</v>
      </c>
      <c r="E3134" s="2" t="s">
        <v>879</v>
      </c>
      <c r="F3134" s="15">
        <v>387.6</v>
      </c>
      <c r="G3134" s="41">
        <v>42791</v>
      </c>
      <c r="H3134" s="15">
        <f t="shared" si="91"/>
        <v>387.6</v>
      </c>
      <c r="I3134" s="15">
        <f t="shared" si="92"/>
        <v>0</v>
      </c>
      <c r="J3134" s="19"/>
    </row>
    <row r="3135" spans="1:10" x14ac:dyDescent="0.25">
      <c r="A3135" s="82">
        <v>42791</v>
      </c>
      <c r="B3135" s="39" t="s">
        <v>7436</v>
      </c>
      <c r="C3135" s="89"/>
      <c r="D3135" s="18">
        <v>102470</v>
      </c>
      <c r="E3135" s="2" t="s">
        <v>30</v>
      </c>
      <c r="F3135" s="15">
        <v>1079.2</v>
      </c>
      <c r="G3135" s="41">
        <v>42791</v>
      </c>
      <c r="H3135" s="15">
        <f t="shared" si="91"/>
        <v>1079.2</v>
      </c>
      <c r="I3135" s="15">
        <f t="shared" si="92"/>
        <v>0</v>
      </c>
      <c r="J3135" s="19"/>
    </row>
    <row r="3136" spans="1:10" x14ac:dyDescent="0.25">
      <c r="A3136" s="82">
        <v>42791</v>
      </c>
      <c r="B3136" s="39" t="s">
        <v>7437</v>
      </c>
      <c r="C3136" s="89"/>
      <c r="D3136" s="18">
        <v>102471</v>
      </c>
      <c r="E3136" s="2" t="s">
        <v>492</v>
      </c>
      <c r="F3136" s="15">
        <v>23961.5</v>
      </c>
      <c r="G3136" s="41">
        <v>42793</v>
      </c>
      <c r="H3136" s="15">
        <f t="shared" si="91"/>
        <v>23961.5</v>
      </c>
      <c r="I3136" s="15">
        <f t="shared" si="92"/>
        <v>0</v>
      </c>
      <c r="J3136" s="19"/>
    </row>
    <row r="3137" spans="1:10" x14ac:dyDescent="0.25">
      <c r="A3137" s="82">
        <v>42791</v>
      </c>
      <c r="B3137" s="39" t="s">
        <v>7438</v>
      </c>
      <c r="C3137" s="89"/>
      <c r="D3137" s="18">
        <v>102472</v>
      </c>
      <c r="E3137" s="2" t="s">
        <v>182</v>
      </c>
      <c r="F3137" s="15">
        <v>4700</v>
      </c>
      <c r="G3137" s="41">
        <v>42792</v>
      </c>
      <c r="H3137" s="15">
        <f t="shared" si="91"/>
        <v>4700</v>
      </c>
      <c r="I3137" s="15">
        <f t="shared" si="92"/>
        <v>0</v>
      </c>
      <c r="J3137" s="19"/>
    </row>
    <row r="3138" spans="1:10" x14ac:dyDescent="0.25">
      <c r="A3138" s="82">
        <v>42791</v>
      </c>
      <c r="B3138" s="39" t="s">
        <v>7439</v>
      </c>
      <c r="C3138" s="89"/>
      <c r="D3138" s="18">
        <v>102473</v>
      </c>
      <c r="E3138" s="2" t="s">
        <v>21</v>
      </c>
      <c r="F3138" s="15">
        <v>1644.2</v>
      </c>
      <c r="G3138" s="41">
        <v>42807</v>
      </c>
      <c r="H3138" s="15">
        <f t="shared" si="91"/>
        <v>1644.2</v>
      </c>
      <c r="I3138" s="15">
        <f t="shared" si="92"/>
        <v>0</v>
      </c>
      <c r="J3138" s="19"/>
    </row>
    <row r="3139" spans="1:10" x14ac:dyDescent="0.25">
      <c r="A3139" s="82">
        <v>42791</v>
      </c>
      <c r="B3139" s="39" t="s">
        <v>7440</v>
      </c>
      <c r="C3139" s="89"/>
      <c r="D3139" s="18">
        <v>102474</v>
      </c>
      <c r="E3139" s="2" t="s">
        <v>470</v>
      </c>
      <c r="F3139" s="15">
        <v>6347.2</v>
      </c>
      <c r="G3139" s="41">
        <v>42793</v>
      </c>
      <c r="H3139" s="15">
        <f t="shared" si="91"/>
        <v>6347.2</v>
      </c>
      <c r="I3139" s="15">
        <f t="shared" si="92"/>
        <v>0</v>
      </c>
      <c r="J3139" s="19"/>
    </row>
    <row r="3140" spans="1:10" x14ac:dyDescent="0.25">
      <c r="A3140" s="82">
        <v>42791</v>
      </c>
      <c r="B3140" s="39" t="s">
        <v>7441</v>
      </c>
      <c r="C3140" s="89"/>
      <c r="D3140" s="18">
        <v>102475</v>
      </c>
      <c r="E3140" s="2" t="s">
        <v>341</v>
      </c>
      <c r="F3140" s="15">
        <v>115.92</v>
      </c>
      <c r="G3140" s="41">
        <v>42793</v>
      </c>
      <c r="H3140" s="15">
        <f t="shared" ref="H3140:H3203" si="93">F3140</f>
        <v>115.92</v>
      </c>
      <c r="I3140" s="15">
        <f t="shared" si="92"/>
        <v>0</v>
      </c>
      <c r="J3140" s="19"/>
    </row>
    <row r="3141" spans="1:10" x14ac:dyDescent="0.25">
      <c r="A3141" s="82">
        <v>42791</v>
      </c>
      <c r="B3141" s="39" t="s">
        <v>7442</v>
      </c>
      <c r="C3141" s="89"/>
      <c r="D3141" s="18">
        <v>102476</v>
      </c>
      <c r="E3141" s="2" t="s">
        <v>193</v>
      </c>
      <c r="F3141" s="15">
        <v>3707.6</v>
      </c>
      <c r="G3141" s="41">
        <v>42792</v>
      </c>
      <c r="H3141" s="15">
        <f t="shared" si="93"/>
        <v>3707.6</v>
      </c>
      <c r="I3141" s="15">
        <f t="shared" si="92"/>
        <v>0</v>
      </c>
      <c r="J3141" s="19"/>
    </row>
    <row r="3142" spans="1:10" x14ac:dyDescent="0.25">
      <c r="A3142" s="82">
        <v>42791</v>
      </c>
      <c r="B3142" s="39" t="s">
        <v>7443</v>
      </c>
      <c r="C3142" s="89"/>
      <c r="D3142" s="18">
        <v>102477</v>
      </c>
      <c r="E3142" s="2" t="s">
        <v>2535</v>
      </c>
      <c r="F3142" s="15">
        <v>3353</v>
      </c>
      <c r="G3142" s="41">
        <v>42792</v>
      </c>
      <c r="H3142" s="15">
        <f t="shared" si="93"/>
        <v>3353</v>
      </c>
      <c r="I3142" s="15">
        <f t="shared" si="92"/>
        <v>0</v>
      </c>
      <c r="J3142" s="19"/>
    </row>
    <row r="3143" spans="1:10" x14ac:dyDescent="0.25">
      <c r="A3143" s="82">
        <v>42791</v>
      </c>
      <c r="B3143" s="39" t="s">
        <v>7444</v>
      </c>
      <c r="C3143" s="89"/>
      <c r="D3143" s="18">
        <v>102478</v>
      </c>
      <c r="E3143" s="2" t="s">
        <v>1925</v>
      </c>
      <c r="F3143" s="15">
        <v>417.6</v>
      </c>
      <c r="G3143" s="41">
        <v>42791</v>
      </c>
      <c r="H3143" s="15">
        <f t="shared" si="93"/>
        <v>417.6</v>
      </c>
      <c r="I3143" s="15">
        <f t="shared" si="92"/>
        <v>0</v>
      </c>
      <c r="J3143" s="19"/>
    </row>
    <row r="3144" spans="1:10" x14ac:dyDescent="0.25">
      <c r="A3144" s="82">
        <v>42791</v>
      </c>
      <c r="B3144" s="39" t="s">
        <v>7445</v>
      </c>
      <c r="C3144" s="89"/>
      <c r="D3144" s="18">
        <v>102479</v>
      </c>
      <c r="E3144" s="2" t="s">
        <v>21</v>
      </c>
      <c r="F3144" s="15">
        <v>762</v>
      </c>
      <c r="G3144" s="41">
        <v>42807</v>
      </c>
      <c r="H3144" s="15">
        <f t="shared" si="93"/>
        <v>762</v>
      </c>
      <c r="I3144" s="15">
        <f t="shared" si="92"/>
        <v>0</v>
      </c>
      <c r="J3144" s="19"/>
    </row>
    <row r="3145" spans="1:10" x14ac:dyDescent="0.25">
      <c r="A3145" s="82">
        <v>42791</v>
      </c>
      <c r="B3145" s="39" t="s">
        <v>7446</v>
      </c>
      <c r="C3145" s="89"/>
      <c r="D3145" s="18">
        <v>102480</v>
      </c>
      <c r="E3145" s="2" t="s">
        <v>523</v>
      </c>
      <c r="F3145" s="15">
        <v>19648</v>
      </c>
      <c r="G3145" s="41">
        <v>42802</v>
      </c>
      <c r="H3145" s="15">
        <f t="shared" si="93"/>
        <v>19648</v>
      </c>
      <c r="I3145" s="15">
        <f t="shared" si="92"/>
        <v>0</v>
      </c>
      <c r="J3145" s="19"/>
    </row>
    <row r="3146" spans="1:10" x14ac:dyDescent="0.25">
      <c r="A3146" s="82">
        <v>42791</v>
      </c>
      <c r="B3146" s="39" t="s">
        <v>7447</v>
      </c>
      <c r="C3146" s="89"/>
      <c r="D3146" s="18">
        <v>102481</v>
      </c>
      <c r="E3146" s="2" t="s">
        <v>9</v>
      </c>
      <c r="F3146" s="15">
        <v>5117.3</v>
      </c>
      <c r="G3146" s="41">
        <v>42793</v>
      </c>
      <c r="H3146" s="15">
        <f t="shared" si="93"/>
        <v>5117.3</v>
      </c>
      <c r="I3146" s="15">
        <f t="shared" si="92"/>
        <v>0</v>
      </c>
      <c r="J3146" s="19"/>
    </row>
    <row r="3147" spans="1:10" x14ac:dyDescent="0.25">
      <c r="A3147" s="82">
        <v>42791</v>
      </c>
      <c r="B3147" s="39" t="s">
        <v>7448</v>
      </c>
      <c r="C3147" s="89"/>
      <c r="D3147" s="18">
        <v>102482</v>
      </c>
      <c r="E3147" s="2" t="s">
        <v>231</v>
      </c>
      <c r="F3147" s="15">
        <v>5741.8</v>
      </c>
      <c r="G3147" s="41">
        <v>42792</v>
      </c>
      <c r="H3147" s="15">
        <f t="shared" si="93"/>
        <v>5741.8</v>
      </c>
      <c r="I3147" s="15">
        <f t="shared" si="92"/>
        <v>0</v>
      </c>
      <c r="J3147" s="19"/>
    </row>
    <row r="3148" spans="1:10" ht="30" x14ac:dyDescent="0.25">
      <c r="A3148" s="82">
        <v>42791</v>
      </c>
      <c r="B3148" s="39" t="s">
        <v>7449</v>
      </c>
      <c r="C3148" s="89"/>
      <c r="D3148" s="18">
        <v>102483</v>
      </c>
      <c r="E3148" s="2" t="s">
        <v>422</v>
      </c>
      <c r="F3148" s="15">
        <v>3058</v>
      </c>
      <c r="G3148" s="87" t="s">
        <v>7747</v>
      </c>
      <c r="H3148" s="20">
        <f>2500+558</f>
        <v>3058</v>
      </c>
      <c r="I3148" s="20">
        <f t="shared" si="92"/>
        <v>0</v>
      </c>
      <c r="J3148" s="19"/>
    </row>
    <row r="3149" spans="1:10" x14ac:dyDescent="0.25">
      <c r="A3149" s="82">
        <v>42791</v>
      </c>
      <c r="B3149" s="39" t="s">
        <v>7450</v>
      </c>
      <c r="C3149" s="89"/>
      <c r="D3149" s="18">
        <v>102484</v>
      </c>
      <c r="E3149" s="2" t="s">
        <v>30</v>
      </c>
      <c r="F3149" s="15">
        <v>1617.1</v>
      </c>
      <c r="G3149" s="41">
        <v>42791</v>
      </c>
      <c r="H3149" s="15">
        <f t="shared" si="93"/>
        <v>1617.1</v>
      </c>
      <c r="I3149" s="15">
        <f t="shared" si="92"/>
        <v>0</v>
      </c>
      <c r="J3149" s="19"/>
    </row>
    <row r="3150" spans="1:10" x14ac:dyDescent="0.25">
      <c r="A3150" s="82">
        <v>42791</v>
      </c>
      <c r="B3150" s="39" t="s">
        <v>7451</v>
      </c>
      <c r="C3150" s="89"/>
      <c r="D3150" s="18">
        <v>102485</v>
      </c>
      <c r="E3150" s="2" t="s">
        <v>131</v>
      </c>
      <c r="F3150" s="15">
        <v>22041.599999999999</v>
      </c>
      <c r="G3150" s="87">
        <v>42793</v>
      </c>
      <c r="H3150" s="20">
        <f>21541+500.6</f>
        <v>22041.599999999999</v>
      </c>
      <c r="I3150" s="20">
        <f t="shared" si="92"/>
        <v>0</v>
      </c>
      <c r="J3150" s="19"/>
    </row>
    <row r="3151" spans="1:10" x14ac:dyDescent="0.25">
      <c r="A3151" s="82">
        <v>42791</v>
      </c>
      <c r="B3151" s="39" t="s">
        <v>7452</v>
      </c>
      <c r="C3151" s="89"/>
      <c r="D3151" s="18">
        <v>102486</v>
      </c>
      <c r="E3151" s="2" t="s">
        <v>10</v>
      </c>
      <c r="F3151" s="15">
        <v>144333.68</v>
      </c>
      <c r="G3151" s="41" t="s">
        <v>3806</v>
      </c>
      <c r="H3151" s="15">
        <f t="shared" si="93"/>
        <v>144333.68</v>
      </c>
      <c r="I3151" s="15">
        <f t="shared" si="92"/>
        <v>0</v>
      </c>
      <c r="J3151" s="19"/>
    </row>
    <row r="3152" spans="1:10" x14ac:dyDescent="0.25">
      <c r="A3152" s="82">
        <v>42791</v>
      </c>
      <c r="B3152" s="39" t="s">
        <v>7453</v>
      </c>
      <c r="C3152" s="89"/>
      <c r="D3152" s="18">
        <v>102487</v>
      </c>
      <c r="E3152" s="2" t="s">
        <v>457</v>
      </c>
      <c r="F3152" s="15">
        <v>1764</v>
      </c>
      <c r="G3152" s="41">
        <v>42791</v>
      </c>
      <c r="H3152" s="15">
        <f t="shared" si="93"/>
        <v>1764</v>
      </c>
      <c r="I3152" s="15">
        <f t="shared" si="92"/>
        <v>0</v>
      </c>
      <c r="J3152" s="19"/>
    </row>
    <row r="3153" spans="1:10" x14ac:dyDescent="0.25">
      <c r="A3153" s="82">
        <v>42791</v>
      </c>
      <c r="B3153" s="39" t="s">
        <v>7454</v>
      </c>
      <c r="C3153" s="89"/>
      <c r="D3153" s="18">
        <v>102488</v>
      </c>
      <c r="E3153" s="2" t="s">
        <v>122</v>
      </c>
      <c r="F3153" s="15">
        <v>4655.2</v>
      </c>
      <c r="G3153" s="41">
        <v>42798</v>
      </c>
      <c r="H3153" s="15">
        <f t="shared" si="93"/>
        <v>4655.2</v>
      </c>
      <c r="I3153" s="15">
        <f t="shared" si="92"/>
        <v>0</v>
      </c>
      <c r="J3153" s="19"/>
    </row>
    <row r="3154" spans="1:10" x14ac:dyDescent="0.25">
      <c r="A3154" s="82">
        <v>42791</v>
      </c>
      <c r="B3154" s="39" t="s">
        <v>7455</v>
      </c>
      <c r="C3154" s="89"/>
      <c r="D3154" s="18">
        <v>102489</v>
      </c>
      <c r="E3154" s="2" t="s">
        <v>236</v>
      </c>
      <c r="F3154" s="15">
        <v>95578.18</v>
      </c>
      <c r="G3154" s="41">
        <v>42807</v>
      </c>
      <c r="H3154" s="15">
        <f t="shared" si="93"/>
        <v>95578.18</v>
      </c>
      <c r="I3154" s="15">
        <f t="shared" si="92"/>
        <v>0</v>
      </c>
      <c r="J3154" s="19"/>
    </row>
    <row r="3155" spans="1:10" x14ac:dyDescent="0.25">
      <c r="A3155" s="82">
        <v>42791</v>
      </c>
      <c r="B3155" s="39" t="s">
        <v>7456</v>
      </c>
      <c r="C3155" s="89"/>
      <c r="D3155" s="18">
        <v>102490</v>
      </c>
      <c r="E3155" s="2" t="s">
        <v>220</v>
      </c>
      <c r="F3155" s="15">
        <v>2484.6</v>
      </c>
      <c r="G3155" s="41">
        <v>42792</v>
      </c>
      <c r="H3155" s="15">
        <f t="shared" si="93"/>
        <v>2484.6</v>
      </c>
      <c r="I3155" s="15">
        <f t="shared" si="92"/>
        <v>0</v>
      </c>
      <c r="J3155" s="19"/>
    </row>
    <row r="3156" spans="1:10" ht="30" x14ac:dyDescent="0.25">
      <c r="A3156" s="82">
        <v>42791</v>
      </c>
      <c r="B3156" s="39" t="s">
        <v>7457</v>
      </c>
      <c r="C3156" s="89"/>
      <c r="D3156" s="18">
        <v>102491</v>
      </c>
      <c r="E3156" s="2" t="s">
        <v>55</v>
      </c>
      <c r="F3156" s="15">
        <v>10855</v>
      </c>
      <c r="G3156" s="87" t="s">
        <v>7084</v>
      </c>
      <c r="H3156" s="20">
        <f>10000+855</f>
        <v>10855</v>
      </c>
      <c r="I3156" s="20">
        <f t="shared" si="92"/>
        <v>0</v>
      </c>
      <c r="J3156" s="19"/>
    </row>
    <row r="3157" spans="1:10" x14ac:dyDescent="0.25">
      <c r="A3157" s="82">
        <v>42791</v>
      </c>
      <c r="B3157" s="39" t="s">
        <v>7458</v>
      </c>
      <c r="C3157" s="89"/>
      <c r="D3157" s="18">
        <v>102492</v>
      </c>
      <c r="E3157" s="2" t="s">
        <v>266</v>
      </c>
      <c r="F3157" s="15">
        <v>12178.5</v>
      </c>
      <c r="G3157" s="41">
        <v>42793</v>
      </c>
      <c r="H3157" s="15">
        <f t="shared" si="93"/>
        <v>12178.5</v>
      </c>
      <c r="I3157" s="15">
        <f t="shared" si="92"/>
        <v>0</v>
      </c>
      <c r="J3157" s="19"/>
    </row>
    <row r="3158" spans="1:10" x14ac:dyDescent="0.25">
      <c r="A3158" s="82">
        <v>42791</v>
      </c>
      <c r="B3158" s="39" t="s">
        <v>7459</v>
      </c>
      <c r="C3158" s="89"/>
      <c r="D3158" s="18">
        <v>102493</v>
      </c>
      <c r="E3158" s="2" t="s">
        <v>937</v>
      </c>
      <c r="F3158" s="15">
        <v>3106.6</v>
      </c>
      <c r="G3158" s="41">
        <v>42793</v>
      </c>
      <c r="H3158" s="15">
        <f t="shared" si="93"/>
        <v>3106.6</v>
      </c>
      <c r="I3158" s="15">
        <f t="shared" si="92"/>
        <v>0</v>
      </c>
      <c r="J3158" s="19"/>
    </row>
    <row r="3159" spans="1:10" x14ac:dyDescent="0.25">
      <c r="A3159" s="82">
        <v>42792</v>
      </c>
      <c r="B3159" s="39" t="s">
        <v>7460</v>
      </c>
      <c r="C3159" s="89"/>
      <c r="D3159" s="18">
        <v>102494</v>
      </c>
      <c r="E3159" s="13" t="s">
        <v>231</v>
      </c>
      <c r="F3159" s="14">
        <v>0</v>
      </c>
      <c r="G3159" s="88" t="s">
        <v>95</v>
      </c>
      <c r="H3159" s="14">
        <f t="shared" si="93"/>
        <v>0</v>
      </c>
      <c r="I3159" s="14">
        <f t="shared" si="92"/>
        <v>0</v>
      </c>
      <c r="J3159" s="19"/>
    </row>
    <row r="3160" spans="1:10" x14ac:dyDescent="0.25">
      <c r="A3160" s="82">
        <v>42792</v>
      </c>
      <c r="B3160" s="39" t="s">
        <v>7461</v>
      </c>
      <c r="C3160" s="89"/>
      <c r="D3160" s="18">
        <v>102495</v>
      </c>
      <c r="E3160" s="2" t="s">
        <v>231</v>
      </c>
      <c r="F3160" s="15">
        <v>9377.7000000000007</v>
      </c>
      <c r="G3160" s="41">
        <v>42793</v>
      </c>
      <c r="H3160" s="15">
        <f t="shared" si="93"/>
        <v>9377.7000000000007</v>
      </c>
      <c r="I3160" s="15">
        <f t="shared" si="92"/>
        <v>0</v>
      </c>
      <c r="J3160" s="19"/>
    </row>
    <row r="3161" spans="1:10" x14ac:dyDescent="0.25">
      <c r="A3161" s="82">
        <v>42792</v>
      </c>
      <c r="B3161" s="39" t="s">
        <v>7462</v>
      </c>
      <c r="C3161" s="89"/>
      <c r="D3161" s="18">
        <v>102496</v>
      </c>
      <c r="E3161" s="2" t="s">
        <v>231</v>
      </c>
      <c r="F3161" s="15">
        <v>39325.300000000003</v>
      </c>
      <c r="G3161" s="41">
        <v>42793</v>
      </c>
      <c r="H3161" s="15">
        <f t="shared" si="93"/>
        <v>39325.300000000003</v>
      </c>
      <c r="I3161" s="15">
        <f t="shared" si="92"/>
        <v>0</v>
      </c>
      <c r="J3161" s="19"/>
    </row>
    <row r="3162" spans="1:10" x14ac:dyDescent="0.25">
      <c r="A3162" s="82">
        <v>42792</v>
      </c>
      <c r="B3162" s="39" t="s">
        <v>7463</v>
      </c>
      <c r="C3162" s="89"/>
      <c r="D3162" s="18">
        <v>102497</v>
      </c>
      <c r="E3162" s="2" t="s">
        <v>67</v>
      </c>
      <c r="F3162" s="15">
        <v>6860</v>
      </c>
      <c r="G3162" s="41">
        <v>42798</v>
      </c>
      <c r="H3162" s="15">
        <f t="shared" si="93"/>
        <v>6860</v>
      </c>
      <c r="I3162" s="15">
        <f t="shared" si="92"/>
        <v>0</v>
      </c>
      <c r="J3162" s="19"/>
    </row>
    <row r="3163" spans="1:10" x14ac:dyDescent="0.25">
      <c r="A3163" s="82">
        <v>42792</v>
      </c>
      <c r="B3163" s="39" t="s">
        <v>7464</v>
      </c>
      <c r="C3163" s="89"/>
      <c r="D3163" s="18">
        <v>102498</v>
      </c>
      <c r="E3163" s="2" t="s">
        <v>28</v>
      </c>
      <c r="F3163" s="15">
        <v>9133.2000000000007</v>
      </c>
      <c r="G3163" s="41">
        <v>42792</v>
      </c>
      <c r="H3163" s="15">
        <f t="shared" si="93"/>
        <v>9133.2000000000007</v>
      </c>
      <c r="I3163" s="15">
        <f t="shared" si="92"/>
        <v>0</v>
      </c>
      <c r="J3163" s="19"/>
    </row>
    <row r="3164" spans="1:10" x14ac:dyDescent="0.25">
      <c r="A3164" s="82">
        <v>42792</v>
      </c>
      <c r="B3164" s="39" t="s">
        <v>7465</v>
      </c>
      <c r="C3164" s="89"/>
      <c r="D3164" s="18">
        <v>102499</v>
      </c>
      <c r="E3164" s="2" t="s">
        <v>1116</v>
      </c>
      <c r="F3164" s="15">
        <v>2646.1</v>
      </c>
      <c r="G3164" s="41">
        <v>42793</v>
      </c>
      <c r="H3164" s="15">
        <f t="shared" si="93"/>
        <v>2646.1</v>
      </c>
      <c r="I3164" s="15">
        <f t="shared" si="92"/>
        <v>0</v>
      </c>
      <c r="J3164" s="19"/>
    </row>
    <row r="3165" spans="1:10" x14ac:dyDescent="0.25">
      <c r="A3165" s="82">
        <v>42792</v>
      </c>
      <c r="B3165" s="39" t="s">
        <v>7466</v>
      </c>
      <c r="C3165" s="89"/>
      <c r="D3165" s="18">
        <v>102500</v>
      </c>
      <c r="E3165" s="13" t="s">
        <v>974</v>
      </c>
      <c r="F3165" s="14">
        <v>0</v>
      </c>
      <c r="G3165" s="88" t="s">
        <v>95</v>
      </c>
      <c r="H3165" s="14">
        <f t="shared" si="93"/>
        <v>0</v>
      </c>
      <c r="I3165" s="14">
        <f t="shared" si="92"/>
        <v>0</v>
      </c>
      <c r="J3165" s="19"/>
    </row>
    <row r="3166" spans="1:10" x14ac:dyDescent="0.25">
      <c r="A3166" s="82">
        <v>42792</v>
      </c>
      <c r="B3166" s="39" t="s">
        <v>7467</v>
      </c>
      <c r="C3166" s="89"/>
      <c r="D3166" s="18">
        <v>102501</v>
      </c>
      <c r="E3166" s="2" t="s">
        <v>974</v>
      </c>
      <c r="F3166" s="15">
        <v>10944.8</v>
      </c>
      <c r="G3166" s="41">
        <v>42792</v>
      </c>
      <c r="H3166" s="15">
        <f t="shared" si="93"/>
        <v>10944.8</v>
      </c>
      <c r="I3166" s="15">
        <f t="shared" si="92"/>
        <v>0</v>
      </c>
      <c r="J3166" s="19"/>
    </row>
    <row r="3167" spans="1:10" x14ac:dyDescent="0.25">
      <c r="A3167" s="82">
        <v>42792</v>
      </c>
      <c r="B3167" s="39" t="s">
        <v>7468</v>
      </c>
      <c r="C3167" s="89"/>
      <c r="D3167" s="18">
        <v>102502</v>
      </c>
      <c r="E3167" s="2" t="s">
        <v>143</v>
      </c>
      <c r="F3167" s="15">
        <v>10515.6</v>
      </c>
      <c r="G3167" s="41">
        <v>42792</v>
      </c>
      <c r="H3167" s="15">
        <f t="shared" si="93"/>
        <v>10515.6</v>
      </c>
      <c r="I3167" s="15">
        <f t="shared" si="92"/>
        <v>0</v>
      </c>
      <c r="J3167" s="19"/>
    </row>
    <row r="3168" spans="1:10" x14ac:dyDescent="0.25">
      <c r="A3168" s="82">
        <v>42792</v>
      </c>
      <c r="B3168" s="39" t="s">
        <v>7469</v>
      </c>
      <c r="C3168" s="89"/>
      <c r="D3168" s="18">
        <v>102503</v>
      </c>
      <c r="E3168" s="2" t="s">
        <v>17</v>
      </c>
      <c r="F3168" s="15">
        <v>4935</v>
      </c>
      <c r="G3168" s="41">
        <v>42792</v>
      </c>
      <c r="H3168" s="15">
        <f t="shared" si="93"/>
        <v>4935</v>
      </c>
      <c r="I3168" s="15">
        <f t="shared" si="92"/>
        <v>0</v>
      </c>
      <c r="J3168" s="19"/>
    </row>
    <row r="3169" spans="1:10" x14ac:dyDescent="0.25">
      <c r="A3169" s="82">
        <v>42792</v>
      </c>
      <c r="B3169" s="39" t="s">
        <v>7470</v>
      </c>
      <c r="C3169" s="89"/>
      <c r="D3169" s="18">
        <v>102504</v>
      </c>
      <c r="E3169" s="2" t="s">
        <v>71</v>
      </c>
      <c r="F3169" s="15">
        <v>3097.5</v>
      </c>
      <c r="G3169" s="41">
        <v>42792</v>
      </c>
      <c r="H3169" s="15">
        <f t="shared" si="93"/>
        <v>3097.5</v>
      </c>
      <c r="I3169" s="15">
        <f t="shared" si="92"/>
        <v>0</v>
      </c>
      <c r="J3169" s="19"/>
    </row>
    <row r="3170" spans="1:10" x14ac:dyDescent="0.25">
      <c r="A3170" s="82">
        <v>42792</v>
      </c>
      <c r="B3170" s="39" t="s">
        <v>7471</v>
      </c>
      <c r="C3170" s="89"/>
      <c r="D3170" s="18">
        <v>102505</v>
      </c>
      <c r="E3170" s="2" t="s">
        <v>10</v>
      </c>
      <c r="F3170" s="15">
        <v>2424.4</v>
      </c>
      <c r="G3170" s="41" t="s">
        <v>3806</v>
      </c>
      <c r="H3170" s="15">
        <f t="shared" si="93"/>
        <v>2424.4</v>
      </c>
      <c r="I3170" s="15">
        <f t="shared" si="92"/>
        <v>0</v>
      </c>
      <c r="J3170" s="19"/>
    </row>
    <row r="3171" spans="1:10" x14ac:dyDescent="0.25">
      <c r="A3171" s="82">
        <v>42792</v>
      </c>
      <c r="B3171" s="39" t="s">
        <v>7472</v>
      </c>
      <c r="C3171" s="89"/>
      <c r="D3171" s="18">
        <v>102506</v>
      </c>
      <c r="E3171" s="2" t="s">
        <v>609</v>
      </c>
      <c r="F3171" s="15">
        <v>51206.5</v>
      </c>
      <c r="G3171" s="41">
        <v>42794</v>
      </c>
      <c r="H3171" s="15">
        <f t="shared" si="93"/>
        <v>51206.5</v>
      </c>
      <c r="I3171" s="15">
        <f t="shared" si="92"/>
        <v>0</v>
      </c>
      <c r="J3171" s="19"/>
    </row>
    <row r="3172" spans="1:10" x14ac:dyDescent="0.25">
      <c r="A3172" s="82">
        <v>42792</v>
      </c>
      <c r="B3172" s="39" t="s">
        <v>7473</v>
      </c>
      <c r="C3172" s="89"/>
      <c r="D3172" s="18">
        <v>102507</v>
      </c>
      <c r="E3172" s="2" t="s">
        <v>354</v>
      </c>
      <c r="F3172" s="15">
        <v>550.20000000000005</v>
      </c>
      <c r="G3172" s="41">
        <v>42792</v>
      </c>
      <c r="H3172" s="15">
        <f t="shared" si="93"/>
        <v>550.20000000000005</v>
      </c>
      <c r="I3172" s="15">
        <f t="shared" si="92"/>
        <v>0</v>
      </c>
      <c r="J3172" s="19"/>
    </row>
    <row r="3173" spans="1:10" x14ac:dyDescent="0.25">
      <c r="A3173" s="82">
        <v>42792</v>
      </c>
      <c r="B3173" s="39" t="s">
        <v>7474</v>
      </c>
      <c r="C3173" s="89"/>
      <c r="D3173" s="18">
        <v>102508</v>
      </c>
      <c r="E3173" s="2" t="s">
        <v>1645</v>
      </c>
      <c r="F3173" s="15">
        <v>1545.6</v>
      </c>
      <c r="G3173" s="41">
        <v>42792</v>
      </c>
      <c r="H3173" s="15">
        <f t="shared" si="93"/>
        <v>1545.6</v>
      </c>
      <c r="I3173" s="15">
        <f t="shared" si="92"/>
        <v>0</v>
      </c>
      <c r="J3173" s="19"/>
    </row>
    <row r="3174" spans="1:10" x14ac:dyDescent="0.25">
      <c r="A3174" s="82">
        <v>42792</v>
      </c>
      <c r="B3174" s="39" t="s">
        <v>7475</v>
      </c>
      <c r="C3174" s="89"/>
      <c r="D3174" s="18">
        <v>102509</v>
      </c>
      <c r="E3174" s="13" t="s">
        <v>151</v>
      </c>
      <c r="F3174" s="14">
        <v>0</v>
      </c>
      <c r="G3174" s="88" t="s">
        <v>95</v>
      </c>
      <c r="H3174" s="14">
        <f t="shared" si="93"/>
        <v>0</v>
      </c>
      <c r="I3174" s="14">
        <f t="shared" si="92"/>
        <v>0</v>
      </c>
      <c r="J3174" s="19"/>
    </row>
    <row r="3175" spans="1:10" x14ac:dyDescent="0.25">
      <c r="A3175" s="82">
        <v>42792</v>
      </c>
      <c r="B3175" s="39" t="s">
        <v>7476</v>
      </c>
      <c r="C3175" s="89"/>
      <c r="D3175" s="18">
        <v>102510</v>
      </c>
      <c r="E3175" s="2" t="s">
        <v>157</v>
      </c>
      <c r="F3175" s="15">
        <v>30058.240000000002</v>
      </c>
      <c r="G3175" s="41">
        <v>42792</v>
      </c>
      <c r="H3175" s="15">
        <f t="shared" si="93"/>
        <v>30058.240000000002</v>
      </c>
      <c r="I3175" s="15">
        <f t="shared" si="92"/>
        <v>0</v>
      </c>
      <c r="J3175" s="19"/>
    </row>
    <row r="3176" spans="1:10" x14ac:dyDescent="0.25">
      <c r="A3176" s="82">
        <v>42792</v>
      </c>
      <c r="B3176" s="39" t="s">
        <v>7477</v>
      </c>
      <c r="C3176" s="89"/>
      <c r="D3176" s="18">
        <v>102511</v>
      </c>
      <c r="E3176" s="2" t="s">
        <v>240</v>
      </c>
      <c r="F3176" s="15">
        <v>6933.6</v>
      </c>
      <c r="G3176" s="41">
        <v>42792</v>
      </c>
      <c r="H3176" s="15">
        <f t="shared" si="93"/>
        <v>6933.6</v>
      </c>
      <c r="I3176" s="15">
        <f t="shared" si="92"/>
        <v>0</v>
      </c>
      <c r="J3176" s="19"/>
    </row>
    <row r="3177" spans="1:10" x14ac:dyDescent="0.25">
      <c r="A3177" s="82">
        <v>42792</v>
      </c>
      <c r="B3177" s="39" t="s">
        <v>7478</v>
      </c>
      <c r="C3177" s="89"/>
      <c r="D3177" s="18">
        <v>102512</v>
      </c>
      <c r="E3177" s="2" t="s">
        <v>79</v>
      </c>
      <c r="F3177" s="15">
        <v>3054.1</v>
      </c>
      <c r="G3177" s="41">
        <v>42792</v>
      </c>
      <c r="H3177" s="15">
        <f t="shared" si="93"/>
        <v>3054.1</v>
      </c>
      <c r="I3177" s="15">
        <f t="shared" si="92"/>
        <v>0</v>
      </c>
      <c r="J3177" s="19"/>
    </row>
    <row r="3178" spans="1:10" x14ac:dyDescent="0.25">
      <c r="A3178" s="82">
        <v>42792</v>
      </c>
      <c r="B3178" s="39" t="s">
        <v>7479</v>
      </c>
      <c r="C3178" s="89"/>
      <c r="D3178" s="18">
        <v>102513</v>
      </c>
      <c r="E3178" s="2" t="s">
        <v>47</v>
      </c>
      <c r="F3178" s="15">
        <v>2743.8</v>
      </c>
      <c r="G3178" s="41">
        <v>42792</v>
      </c>
      <c r="H3178" s="15">
        <f t="shared" si="93"/>
        <v>2743.8</v>
      </c>
      <c r="I3178" s="15">
        <f t="shared" si="92"/>
        <v>0</v>
      </c>
      <c r="J3178" s="19"/>
    </row>
    <row r="3179" spans="1:10" x14ac:dyDescent="0.25">
      <c r="A3179" s="82">
        <v>42792</v>
      </c>
      <c r="B3179" s="39" t="s">
        <v>7480</v>
      </c>
      <c r="C3179" s="89"/>
      <c r="D3179" s="18">
        <v>102514</v>
      </c>
      <c r="E3179" s="2" t="s">
        <v>151</v>
      </c>
      <c r="F3179" s="15">
        <v>24559.599999999999</v>
      </c>
      <c r="G3179" s="41">
        <v>42792</v>
      </c>
      <c r="H3179" s="15">
        <f t="shared" si="93"/>
        <v>24559.599999999999</v>
      </c>
      <c r="I3179" s="15">
        <f t="shared" si="92"/>
        <v>0</v>
      </c>
      <c r="J3179" s="19"/>
    </row>
    <row r="3180" spans="1:10" x14ac:dyDescent="0.25">
      <c r="A3180" s="82">
        <v>42792</v>
      </c>
      <c r="B3180" s="39" t="s">
        <v>7481</v>
      </c>
      <c r="C3180" s="89"/>
      <c r="D3180" s="18">
        <v>102515</v>
      </c>
      <c r="E3180" s="2" t="s">
        <v>30</v>
      </c>
      <c r="F3180" s="15">
        <v>30820</v>
      </c>
      <c r="G3180" s="41">
        <v>42792</v>
      </c>
      <c r="H3180" s="15">
        <f t="shared" si="93"/>
        <v>30820</v>
      </c>
      <c r="I3180" s="15">
        <f t="shared" si="92"/>
        <v>0</v>
      </c>
      <c r="J3180" s="19"/>
    </row>
    <row r="3181" spans="1:10" x14ac:dyDescent="0.25">
      <c r="A3181" s="82">
        <v>42792</v>
      </c>
      <c r="B3181" s="39" t="s">
        <v>7482</v>
      </c>
      <c r="C3181" s="89"/>
      <c r="D3181" s="18">
        <v>102516</v>
      </c>
      <c r="E3181" s="2" t="s">
        <v>457</v>
      </c>
      <c r="F3181" s="15">
        <v>4191.1000000000004</v>
      </c>
      <c r="G3181" s="41">
        <v>42792</v>
      </c>
      <c r="H3181" s="15">
        <f t="shared" si="93"/>
        <v>4191.1000000000004</v>
      </c>
      <c r="I3181" s="15">
        <f t="shared" si="92"/>
        <v>0</v>
      </c>
      <c r="J3181" s="19"/>
    </row>
    <row r="3182" spans="1:10" x14ac:dyDescent="0.25">
      <c r="A3182" s="82">
        <v>42792</v>
      </c>
      <c r="B3182" s="39" t="s">
        <v>7483</v>
      </c>
      <c r="C3182" s="89"/>
      <c r="D3182" s="18">
        <v>102517</v>
      </c>
      <c r="E3182" s="2" t="s">
        <v>81</v>
      </c>
      <c r="F3182" s="15">
        <v>14790.2</v>
      </c>
      <c r="G3182" s="41">
        <v>42793</v>
      </c>
      <c r="H3182" s="15">
        <f t="shared" si="93"/>
        <v>14790.2</v>
      </c>
      <c r="I3182" s="15">
        <f t="shared" si="92"/>
        <v>0</v>
      </c>
      <c r="J3182" s="19"/>
    </row>
    <row r="3183" spans="1:10" x14ac:dyDescent="0.25">
      <c r="A3183" s="82">
        <v>42792</v>
      </c>
      <c r="B3183" s="39" t="s">
        <v>7484</v>
      </c>
      <c r="C3183" s="89"/>
      <c r="D3183" s="18">
        <v>102518</v>
      </c>
      <c r="E3183" s="2" t="s">
        <v>291</v>
      </c>
      <c r="F3183" s="15">
        <v>2038.4</v>
      </c>
      <c r="G3183" s="41">
        <v>42793</v>
      </c>
      <c r="H3183" s="15">
        <f t="shared" si="93"/>
        <v>2038.4</v>
      </c>
      <c r="I3183" s="15">
        <f t="shared" si="92"/>
        <v>0</v>
      </c>
      <c r="J3183" s="19"/>
    </row>
    <row r="3184" spans="1:10" x14ac:dyDescent="0.25">
      <c r="A3184" s="82">
        <v>42792</v>
      </c>
      <c r="B3184" s="39" t="s">
        <v>7485</v>
      </c>
      <c r="C3184" s="89"/>
      <c r="D3184" s="18">
        <v>102519</v>
      </c>
      <c r="E3184" s="2" t="s">
        <v>101</v>
      </c>
      <c r="F3184" s="15">
        <v>1175</v>
      </c>
      <c r="G3184" s="41">
        <v>42793</v>
      </c>
      <c r="H3184" s="15">
        <f t="shared" si="93"/>
        <v>1175</v>
      </c>
      <c r="I3184" s="15">
        <f t="shared" si="92"/>
        <v>0</v>
      </c>
      <c r="J3184" s="19"/>
    </row>
    <row r="3185" spans="1:10" x14ac:dyDescent="0.25">
      <c r="A3185" s="82">
        <v>42792</v>
      </c>
      <c r="B3185" s="39" t="s">
        <v>7486</v>
      </c>
      <c r="C3185" s="89"/>
      <c r="D3185" s="18">
        <v>102520</v>
      </c>
      <c r="E3185" s="2" t="s">
        <v>99</v>
      </c>
      <c r="F3185" s="15">
        <v>3290</v>
      </c>
      <c r="G3185" s="41">
        <v>42793</v>
      </c>
      <c r="H3185" s="15">
        <f t="shared" si="93"/>
        <v>3290</v>
      </c>
      <c r="I3185" s="15">
        <f t="shared" si="92"/>
        <v>0</v>
      </c>
      <c r="J3185" s="19"/>
    </row>
    <row r="3186" spans="1:10" x14ac:dyDescent="0.25">
      <c r="A3186" s="82">
        <v>42792</v>
      </c>
      <c r="B3186" s="39" t="s">
        <v>7487</v>
      </c>
      <c r="C3186" s="89"/>
      <c r="D3186" s="18">
        <v>102521</v>
      </c>
      <c r="E3186" s="2" t="s">
        <v>1259</v>
      </c>
      <c r="F3186" s="15">
        <v>1485.8</v>
      </c>
      <c r="G3186" s="41">
        <v>42793</v>
      </c>
      <c r="H3186" s="15">
        <f t="shared" si="93"/>
        <v>1485.8</v>
      </c>
      <c r="I3186" s="15">
        <f t="shared" si="92"/>
        <v>0</v>
      </c>
      <c r="J3186" s="19"/>
    </row>
    <row r="3187" spans="1:10" x14ac:dyDescent="0.25">
      <c r="A3187" s="82">
        <v>42792</v>
      </c>
      <c r="B3187" s="39" t="s">
        <v>7488</v>
      </c>
      <c r="C3187" s="89"/>
      <c r="D3187" s="18">
        <v>102522</v>
      </c>
      <c r="E3187" s="2" t="s">
        <v>109</v>
      </c>
      <c r="F3187" s="15">
        <v>3487.6</v>
      </c>
      <c r="G3187" s="41">
        <v>42793</v>
      </c>
      <c r="H3187" s="15">
        <f t="shared" si="93"/>
        <v>3487.6</v>
      </c>
      <c r="I3187" s="15">
        <f t="shared" si="92"/>
        <v>0</v>
      </c>
      <c r="J3187" s="19"/>
    </row>
    <row r="3188" spans="1:10" x14ac:dyDescent="0.25">
      <c r="A3188" s="82">
        <v>42792</v>
      </c>
      <c r="B3188" s="39" t="s">
        <v>7489</v>
      </c>
      <c r="C3188" s="89"/>
      <c r="D3188" s="18">
        <v>102523</v>
      </c>
      <c r="E3188" s="2" t="s">
        <v>289</v>
      </c>
      <c r="F3188" s="15">
        <v>14086.5</v>
      </c>
      <c r="G3188" s="41">
        <v>42807</v>
      </c>
      <c r="H3188" s="15">
        <f t="shared" si="93"/>
        <v>14086.5</v>
      </c>
      <c r="I3188" s="15">
        <f t="shared" si="92"/>
        <v>0</v>
      </c>
      <c r="J3188" s="19"/>
    </row>
    <row r="3189" spans="1:10" x14ac:dyDescent="0.25">
      <c r="A3189" s="82">
        <v>42792</v>
      </c>
      <c r="B3189" s="39" t="s">
        <v>7490</v>
      </c>
      <c r="C3189" s="89"/>
      <c r="D3189" s="18">
        <v>102524</v>
      </c>
      <c r="E3189" s="2" t="s">
        <v>305</v>
      </c>
      <c r="F3189" s="15">
        <v>4270.3999999999996</v>
      </c>
      <c r="G3189" s="41">
        <v>42800</v>
      </c>
      <c r="H3189" s="15">
        <f t="shared" si="93"/>
        <v>4270.3999999999996</v>
      </c>
      <c r="I3189" s="15">
        <f t="shared" si="92"/>
        <v>0</v>
      </c>
      <c r="J3189" s="19"/>
    </row>
    <row r="3190" spans="1:10" x14ac:dyDescent="0.25">
      <c r="A3190" s="82">
        <v>42792</v>
      </c>
      <c r="B3190" s="39" t="s">
        <v>7491</v>
      </c>
      <c r="C3190" s="89"/>
      <c r="D3190" s="18">
        <v>102525</v>
      </c>
      <c r="E3190" s="2" t="s">
        <v>159</v>
      </c>
      <c r="F3190" s="15">
        <v>4199.5</v>
      </c>
      <c r="G3190" s="41">
        <v>42793</v>
      </c>
      <c r="H3190" s="15">
        <f t="shared" si="93"/>
        <v>4199.5</v>
      </c>
      <c r="I3190" s="15">
        <f t="shared" si="92"/>
        <v>0</v>
      </c>
      <c r="J3190" s="19"/>
    </row>
    <row r="3191" spans="1:10" x14ac:dyDescent="0.25">
      <c r="A3191" s="82">
        <v>42792</v>
      </c>
      <c r="B3191" s="39" t="s">
        <v>7492</v>
      </c>
      <c r="C3191" s="89"/>
      <c r="D3191" s="18">
        <v>102526</v>
      </c>
      <c r="E3191" s="2" t="s">
        <v>168</v>
      </c>
      <c r="F3191" s="15">
        <v>1347</v>
      </c>
      <c r="G3191" s="41">
        <v>42792</v>
      </c>
      <c r="H3191" s="15">
        <f t="shared" si="93"/>
        <v>1347</v>
      </c>
      <c r="I3191" s="15">
        <f t="shared" si="92"/>
        <v>0</v>
      </c>
      <c r="J3191" s="19"/>
    </row>
    <row r="3192" spans="1:10" x14ac:dyDescent="0.25">
      <c r="A3192" s="82">
        <v>42792</v>
      </c>
      <c r="B3192" s="39" t="s">
        <v>7493</v>
      </c>
      <c r="C3192" s="89"/>
      <c r="D3192" s="18">
        <v>102527</v>
      </c>
      <c r="E3192" s="2" t="s">
        <v>476</v>
      </c>
      <c r="F3192" s="15">
        <v>13228.3</v>
      </c>
      <c r="G3192" s="41">
        <v>42738</v>
      </c>
      <c r="H3192" s="15">
        <f t="shared" si="93"/>
        <v>13228.3</v>
      </c>
      <c r="I3192" s="15">
        <f t="shared" ref="I3192:I3255" si="94">F3192-H3192</f>
        <v>0</v>
      </c>
      <c r="J3192" s="19"/>
    </row>
    <row r="3193" spans="1:10" x14ac:dyDescent="0.25">
      <c r="A3193" s="82">
        <v>42792</v>
      </c>
      <c r="B3193" s="39" t="s">
        <v>7494</v>
      </c>
      <c r="C3193" s="89"/>
      <c r="D3193" s="18">
        <v>102528</v>
      </c>
      <c r="E3193" s="2" t="s">
        <v>115</v>
      </c>
      <c r="F3193" s="15">
        <v>3253.1</v>
      </c>
      <c r="G3193" s="41">
        <v>42792</v>
      </c>
      <c r="H3193" s="15">
        <f t="shared" si="93"/>
        <v>3253.1</v>
      </c>
      <c r="I3193" s="15">
        <f t="shared" si="94"/>
        <v>0</v>
      </c>
      <c r="J3193" s="19"/>
    </row>
    <row r="3194" spans="1:10" x14ac:dyDescent="0.25">
      <c r="A3194" s="82">
        <v>42792</v>
      </c>
      <c r="B3194" s="39" t="s">
        <v>7495</v>
      </c>
      <c r="C3194" s="89"/>
      <c r="D3194" s="18">
        <v>102529</v>
      </c>
      <c r="E3194" s="2" t="s">
        <v>133</v>
      </c>
      <c r="F3194" s="15">
        <v>801.5</v>
      </c>
      <c r="G3194" s="41">
        <v>42792</v>
      </c>
      <c r="H3194" s="15">
        <f t="shared" si="93"/>
        <v>801.5</v>
      </c>
      <c r="I3194" s="15">
        <f t="shared" si="94"/>
        <v>0</v>
      </c>
      <c r="J3194" s="19"/>
    </row>
    <row r="3195" spans="1:10" x14ac:dyDescent="0.25">
      <c r="A3195" s="82">
        <v>42792</v>
      </c>
      <c r="B3195" s="39" t="s">
        <v>7496</v>
      </c>
      <c r="C3195" s="89"/>
      <c r="D3195" s="18">
        <v>102530</v>
      </c>
      <c r="E3195" s="2" t="s">
        <v>492</v>
      </c>
      <c r="F3195" s="15">
        <v>5425.2</v>
      </c>
      <c r="G3195" s="41">
        <v>42798</v>
      </c>
      <c r="H3195" s="15">
        <f t="shared" si="93"/>
        <v>5425.2</v>
      </c>
      <c r="I3195" s="15">
        <f t="shared" si="94"/>
        <v>0</v>
      </c>
      <c r="J3195" s="19"/>
    </row>
    <row r="3196" spans="1:10" x14ac:dyDescent="0.25">
      <c r="A3196" s="82">
        <v>42792</v>
      </c>
      <c r="B3196" s="39" t="s">
        <v>7497</v>
      </c>
      <c r="C3196" s="89"/>
      <c r="D3196" s="18">
        <v>102531</v>
      </c>
      <c r="E3196" s="2" t="s">
        <v>125</v>
      </c>
      <c r="F3196" s="15">
        <v>9016</v>
      </c>
      <c r="G3196" s="41">
        <v>42793</v>
      </c>
      <c r="H3196" s="15">
        <f t="shared" si="93"/>
        <v>9016</v>
      </c>
      <c r="I3196" s="15">
        <f t="shared" si="94"/>
        <v>0</v>
      </c>
      <c r="J3196" s="19"/>
    </row>
    <row r="3197" spans="1:10" x14ac:dyDescent="0.25">
      <c r="A3197" s="82">
        <v>42792</v>
      </c>
      <c r="B3197" s="39" t="s">
        <v>7498</v>
      </c>
      <c r="C3197" s="89"/>
      <c r="D3197" s="18">
        <v>102532</v>
      </c>
      <c r="E3197" s="2" t="s">
        <v>866</v>
      </c>
      <c r="F3197" s="15">
        <v>1342.8</v>
      </c>
      <c r="G3197" s="41">
        <v>42792</v>
      </c>
      <c r="H3197" s="15">
        <f t="shared" si="93"/>
        <v>1342.8</v>
      </c>
      <c r="I3197" s="15">
        <f t="shared" si="94"/>
        <v>0</v>
      </c>
      <c r="J3197" s="19"/>
    </row>
    <row r="3198" spans="1:10" x14ac:dyDescent="0.25">
      <c r="A3198" s="82">
        <v>42792</v>
      </c>
      <c r="B3198" s="39" t="s">
        <v>7499</v>
      </c>
      <c r="C3198" s="89"/>
      <c r="D3198" s="18">
        <v>102533</v>
      </c>
      <c r="E3198" s="2" t="s">
        <v>128</v>
      </c>
      <c r="F3198" s="15">
        <v>770</v>
      </c>
      <c r="G3198" s="41">
        <v>42793</v>
      </c>
      <c r="H3198" s="15">
        <f t="shared" si="93"/>
        <v>770</v>
      </c>
      <c r="I3198" s="15">
        <f t="shared" si="94"/>
        <v>0</v>
      </c>
      <c r="J3198" s="19"/>
    </row>
    <row r="3199" spans="1:10" x14ac:dyDescent="0.25">
      <c r="A3199" s="82">
        <v>42792</v>
      </c>
      <c r="B3199" s="39" t="s">
        <v>7500</v>
      </c>
      <c r="C3199" s="89"/>
      <c r="D3199" s="18">
        <v>102534</v>
      </c>
      <c r="E3199" s="2" t="s">
        <v>30</v>
      </c>
      <c r="F3199" s="15">
        <v>1647</v>
      </c>
      <c r="G3199" s="41">
        <v>42793</v>
      </c>
      <c r="H3199" s="15">
        <f t="shared" si="93"/>
        <v>1647</v>
      </c>
      <c r="I3199" s="15">
        <f t="shared" si="94"/>
        <v>0</v>
      </c>
      <c r="J3199" s="19"/>
    </row>
    <row r="3200" spans="1:10" x14ac:dyDescent="0.25">
      <c r="A3200" s="82">
        <v>42792</v>
      </c>
      <c r="B3200" s="39" t="s">
        <v>7501</v>
      </c>
      <c r="C3200" s="89"/>
      <c r="D3200" s="18">
        <v>102535</v>
      </c>
      <c r="E3200" s="2" t="s">
        <v>470</v>
      </c>
      <c r="F3200" s="15">
        <v>7379.4</v>
      </c>
      <c r="G3200" s="41">
        <v>42793</v>
      </c>
      <c r="H3200" s="15">
        <f t="shared" si="93"/>
        <v>7379.4</v>
      </c>
      <c r="I3200" s="15">
        <f t="shared" si="94"/>
        <v>0</v>
      </c>
      <c r="J3200" s="19"/>
    </row>
    <row r="3201" spans="1:10" x14ac:dyDescent="0.25">
      <c r="A3201" s="82">
        <v>42792</v>
      </c>
      <c r="B3201" s="39" t="s">
        <v>7502</v>
      </c>
      <c r="C3201" s="89"/>
      <c r="D3201" s="18">
        <v>102536</v>
      </c>
      <c r="E3201" s="2" t="s">
        <v>222</v>
      </c>
      <c r="F3201" s="15">
        <v>20598.099999999999</v>
      </c>
      <c r="G3201" s="41">
        <v>42738</v>
      </c>
      <c r="H3201" s="15">
        <f t="shared" si="93"/>
        <v>20598.099999999999</v>
      </c>
      <c r="I3201" s="15">
        <f t="shared" si="94"/>
        <v>0</v>
      </c>
      <c r="J3201" s="19"/>
    </row>
    <row r="3202" spans="1:10" x14ac:dyDescent="0.25">
      <c r="A3202" s="82">
        <v>42792</v>
      </c>
      <c r="B3202" s="39" t="s">
        <v>7503</v>
      </c>
      <c r="C3202" s="89"/>
      <c r="D3202" s="18">
        <v>102537</v>
      </c>
      <c r="E3202" s="2" t="s">
        <v>531</v>
      </c>
      <c r="F3202" s="15">
        <v>29713.279999999999</v>
      </c>
      <c r="G3202" s="41">
        <v>42792</v>
      </c>
      <c r="H3202" s="15">
        <f t="shared" si="93"/>
        <v>29713.279999999999</v>
      </c>
      <c r="I3202" s="15">
        <f t="shared" si="94"/>
        <v>0</v>
      </c>
      <c r="J3202" s="19"/>
    </row>
    <row r="3203" spans="1:10" x14ac:dyDescent="0.25">
      <c r="A3203" s="82">
        <v>42792</v>
      </c>
      <c r="B3203" s="39" t="s">
        <v>7504</v>
      </c>
      <c r="C3203" s="89"/>
      <c r="D3203" s="18">
        <v>102538</v>
      </c>
      <c r="E3203" s="2" t="s">
        <v>480</v>
      </c>
      <c r="F3203" s="15">
        <v>1890.04</v>
      </c>
      <c r="G3203" s="41">
        <v>42793</v>
      </c>
      <c r="H3203" s="15">
        <f t="shared" si="93"/>
        <v>1890.04</v>
      </c>
      <c r="I3203" s="15">
        <f t="shared" si="94"/>
        <v>0</v>
      </c>
      <c r="J3203" s="19"/>
    </row>
    <row r="3204" spans="1:10" x14ac:dyDescent="0.25">
      <c r="A3204" s="82">
        <v>42792</v>
      </c>
      <c r="B3204" s="39" t="s">
        <v>7505</v>
      </c>
      <c r="C3204" s="89"/>
      <c r="D3204" s="18">
        <v>102539</v>
      </c>
      <c r="E3204" s="2" t="s">
        <v>53</v>
      </c>
      <c r="F3204" s="15">
        <v>1782</v>
      </c>
      <c r="G3204" s="41">
        <v>42793</v>
      </c>
      <c r="H3204" s="15">
        <f t="shared" ref="H3204:H3267" si="95">F3204</f>
        <v>1782</v>
      </c>
      <c r="I3204" s="15">
        <f t="shared" si="94"/>
        <v>0</v>
      </c>
      <c r="J3204" s="19"/>
    </row>
    <row r="3205" spans="1:10" x14ac:dyDescent="0.25">
      <c r="A3205" s="82">
        <v>42792</v>
      </c>
      <c r="B3205" s="39" t="s">
        <v>7506</v>
      </c>
      <c r="C3205" s="89"/>
      <c r="D3205" s="18">
        <v>102540</v>
      </c>
      <c r="E3205" s="13" t="s">
        <v>693</v>
      </c>
      <c r="F3205" s="14">
        <v>0</v>
      </c>
      <c r="G3205" s="88" t="s">
        <v>95</v>
      </c>
      <c r="H3205" s="14">
        <f t="shared" si="95"/>
        <v>0</v>
      </c>
      <c r="I3205" s="14">
        <f t="shared" si="94"/>
        <v>0</v>
      </c>
      <c r="J3205" s="19"/>
    </row>
    <row r="3206" spans="1:10" x14ac:dyDescent="0.25">
      <c r="A3206" s="82">
        <v>42792</v>
      </c>
      <c r="B3206" s="39" t="s">
        <v>7507</v>
      </c>
      <c r="C3206" s="89"/>
      <c r="D3206" s="18">
        <v>102541</v>
      </c>
      <c r="E3206" s="2" t="s">
        <v>35</v>
      </c>
      <c r="F3206" s="15">
        <v>2992.5</v>
      </c>
      <c r="G3206" s="41">
        <v>42738</v>
      </c>
      <c r="H3206" s="15">
        <f t="shared" si="95"/>
        <v>2992.5</v>
      </c>
      <c r="I3206" s="15">
        <f t="shared" si="94"/>
        <v>0</v>
      </c>
      <c r="J3206" s="19"/>
    </row>
    <row r="3207" spans="1:10" x14ac:dyDescent="0.25">
      <c r="A3207" s="82">
        <v>42792</v>
      </c>
      <c r="B3207" s="39" t="s">
        <v>7508</v>
      </c>
      <c r="C3207" s="89"/>
      <c r="D3207" s="18">
        <v>102542</v>
      </c>
      <c r="E3207" s="2" t="s">
        <v>3997</v>
      </c>
      <c r="F3207" s="15">
        <v>4798.7</v>
      </c>
      <c r="G3207" s="41">
        <v>42798</v>
      </c>
      <c r="H3207" s="15">
        <f t="shared" si="95"/>
        <v>4798.7</v>
      </c>
      <c r="I3207" s="15">
        <f t="shared" si="94"/>
        <v>0</v>
      </c>
      <c r="J3207" s="19"/>
    </row>
    <row r="3208" spans="1:10" x14ac:dyDescent="0.25">
      <c r="A3208" s="82">
        <v>42792</v>
      </c>
      <c r="B3208" s="39" t="s">
        <v>7509</v>
      </c>
      <c r="C3208" s="89"/>
      <c r="D3208" s="18">
        <v>102543</v>
      </c>
      <c r="E3208" s="2" t="s">
        <v>77</v>
      </c>
      <c r="F3208" s="15">
        <v>347.9</v>
      </c>
      <c r="G3208" s="41">
        <v>42792</v>
      </c>
      <c r="H3208" s="15">
        <f t="shared" si="95"/>
        <v>347.9</v>
      </c>
      <c r="I3208" s="15">
        <f t="shared" si="94"/>
        <v>0</v>
      </c>
      <c r="J3208" s="19"/>
    </row>
    <row r="3209" spans="1:10" x14ac:dyDescent="0.25">
      <c r="A3209" s="82">
        <v>42792</v>
      </c>
      <c r="B3209" s="39" t="s">
        <v>7510</v>
      </c>
      <c r="C3209" s="89"/>
      <c r="D3209" s="18">
        <v>102544</v>
      </c>
      <c r="E3209" s="2" t="s">
        <v>10</v>
      </c>
      <c r="F3209" s="15">
        <v>116678.8</v>
      </c>
      <c r="G3209" s="41" t="s">
        <v>3806</v>
      </c>
      <c r="H3209" s="15">
        <f t="shared" si="95"/>
        <v>116678.8</v>
      </c>
      <c r="I3209" s="15">
        <f t="shared" si="94"/>
        <v>0</v>
      </c>
      <c r="J3209" s="19"/>
    </row>
    <row r="3210" spans="1:10" x14ac:dyDescent="0.25">
      <c r="A3210" s="82">
        <v>42792</v>
      </c>
      <c r="B3210" s="39" t="s">
        <v>7511</v>
      </c>
      <c r="C3210" s="89"/>
      <c r="D3210" s="18">
        <v>102545</v>
      </c>
      <c r="E3210" s="2" t="s">
        <v>2997</v>
      </c>
      <c r="F3210" s="15">
        <v>1599</v>
      </c>
      <c r="G3210" s="41">
        <v>42792</v>
      </c>
      <c r="H3210" s="15">
        <f t="shared" si="95"/>
        <v>1599</v>
      </c>
      <c r="I3210" s="15">
        <f t="shared" si="94"/>
        <v>0</v>
      </c>
      <c r="J3210" s="19"/>
    </row>
    <row r="3211" spans="1:10" x14ac:dyDescent="0.25">
      <c r="A3211" s="82">
        <v>42792</v>
      </c>
      <c r="B3211" s="39" t="s">
        <v>7512</v>
      </c>
      <c r="C3211" s="89"/>
      <c r="D3211" s="18">
        <v>102546</v>
      </c>
      <c r="E3211" s="2" t="s">
        <v>14</v>
      </c>
      <c r="F3211" s="15">
        <v>17224.400000000001</v>
      </c>
      <c r="G3211" s="41">
        <v>42792</v>
      </c>
      <c r="H3211" s="15">
        <f t="shared" si="95"/>
        <v>17224.400000000001</v>
      </c>
      <c r="I3211" s="15">
        <f t="shared" si="94"/>
        <v>0</v>
      </c>
      <c r="J3211" s="19"/>
    </row>
    <row r="3212" spans="1:10" x14ac:dyDescent="0.25">
      <c r="A3212" s="82">
        <v>42792</v>
      </c>
      <c r="B3212" s="39" t="s">
        <v>7513</v>
      </c>
      <c r="C3212" s="89"/>
      <c r="D3212" s="18">
        <v>102547</v>
      </c>
      <c r="E3212" s="2" t="s">
        <v>149</v>
      </c>
      <c r="F3212" s="15">
        <v>2256.3000000000002</v>
      </c>
      <c r="G3212" s="41">
        <v>42792</v>
      </c>
      <c r="H3212" s="15">
        <f t="shared" si="95"/>
        <v>2256.3000000000002</v>
      </c>
      <c r="I3212" s="15">
        <f t="shared" si="94"/>
        <v>0</v>
      </c>
      <c r="J3212" s="19"/>
    </row>
    <row r="3213" spans="1:10" x14ac:dyDescent="0.25">
      <c r="A3213" s="82">
        <v>42792</v>
      </c>
      <c r="B3213" s="39" t="s">
        <v>7514</v>
      </c>
      <c r="C3213" s="89"/>
      <c r="D3213" s="18">
        <v>102548</v>
      </c>
      <c r="E3213" s="2" t="s">
        <v>21</v>
      </c>
      <c r="F3213" s="15">
        <v>43593.4</v>
      </c>
      <c r="G3213" s="41">
        <v>42807</v>
      </c>
      <c r="H3213" s="15">
        <f t="shared" si="95"/>
        <v>43593.4</v>
      </c>
      <c r="I3213" s="15">
        <f t="shared" si="94"/>
        <v>0</v>
      </c>
      <c r="J3213" s="19"/>
    </row>
    <row r="3214" spans="1:10" x14ac:dyDescent="0.25">
      <c r="A3214" s="82">
        <v>42792</v>
      </c>
      <c r="B3214" s="39" t="s">
        <v>7515</v>
      </c>
      <c r="C3214" s="89"/>
      <c r="D3214" s="18">
        <v>102549</v>
      </c>
      <c r="E3214" s="2" t="s">
        <v>168</v>
      </c>
      <c r="F3214" s="15">
        <v>258.39999999999998</v>
      </c>
      <c r="G3214" s="41">
        <v>42792</v>
      </c>
      <c r="H3214" s="15">
        <f t="shared" si="95"/>
        <v>258.39999999999998</v>
      </c>
      <c r="I3214" s="15">
        <f t="shared" si="94"/>
        <v>0</v>
      </c>
      <c r="J3214" s="19"/>
    </row>
    <row r="3215" spans="1:10" x14ac:dyDescent="0.25">
      <c r="A3215" s="82">
        <v>42792</v>
      </c>
      <c r="B3215" s="39" t="s">
        <v>7516</v>
      </c>
      <c r="C3215" s="89"/>
      <c r="D3215" s="18">
        <v>102550</v>
      </c>
      <c r="E3215" s="2" t="s">
        <v>211</v>
      </c>
      <c r="F3215" s="15">
        <v>8925</v>
      </c>
      <c r="G3215" s="41">
        <v>42792</v>
      </c>
      <c r="H3215" s="15">
        <f t="shared" si="95"/>
        <v>8925</v>
      </c>
      <c r="I3215" s="15">
        <f t="shared" si="94"/>
        <v>0</v>
      </c>
      <c r="J3215" s="19"/>
    </row>
    <row r="3216" spans="1:10" x14ac:dyDescent="0.25">
      <c r="A3216" s="82">
        <v>42792</v>
      </c>
      <c r="B3216" s="39" t="s">
        <v>7517</v>
      </c>
      <c r="C3216" s="89"/>
      <c r="D3216" s="18">
        <v>102551</v>
      </c>
      <c r="E3216" s="2" t="s">
        <v>12</v>
      </c>
      <c r="F3216" s="15">
        <v>1888</v>
      </c>
      <c r="G3216" s="41">
        <v>42793</v>
      </c>
      <c r="H3216" s="15">
        <f t="shared" si="95"/>
        <v>1888</v>
      </c>
      <c r="I3216" s="15">
        <f t="shared" si="94"/>
        <v>0</v>
      </c>
      <c r="J3216" s="19"/>
    </row>
    <row r="3217" spans="1:10" x14ac:dyDescent="0.25">
      <c r="A3217" s="82">
        <v>42792</v>
      </c>
      <c r="B3217" s="39" t="s">
        <v>7518</v>
      </c>
      <c r="C3217" s="89"/>
      <c r="D3217" s="18">
        <v>102552</v>
      </c>
      <c r="E3217" s="2" t="s">
        <v>226</v>
      </c>
      <c r="F3217" s="15">
        <v>1831.2</v>
      </c>
      <c r="G3217" s="41">
        <v>42793</v>
      </c>
      <c r="H3217" s="15">
        <f t="shared" si="95"/>
        <v>1831.2</v>
      </c>
      <c r="I3217" s="15">
        <f t="shared" si="94"/>
        <v>0</v>
      </c>
      <c r="J3217" s="19"/>
    </row>
    <row r="3218" spans="1:10" x14ac:dyDescent="0.25">
      <c r="A3218" s="82">
        <v>42792</v>
      </c>
      <c r="B3218" s="39" t="s">
        <v>7519</v>
      </c>
      <c r="C3218" s="89"/>
      <c r="D3218" s="18">
        <v>102553</v>
      </c>
      <c r="E3218" s="2" t="s">
        <v>858</v>
      </c>
      <c r="F3218" s="15">
        <v>1786.4</v>
      </c>
      <c r="G3218" s="41">
        <v>42792</v>
      </c>
      <c r="H3218" s="15">
        <f t="shared" si="95"/>
        <v>1786.4</v>
      </c>
      <c r="I3218" s="15">
        <f t="shared" si="94"/>
        <v>0</v>
      </c>
      <c r="J3218" s="19"/>
    </row>
    <row r="3219" spans="1:10" x14ac:dyDescent="0.25">
      <c r="A3219" s="82">
        <v>42792</v>
      </c>
      <c r="B3219" s="39" t="s">
        <v>7520</v>
      </c>
      <c r="C3219" s="89"/>
      <c r="D3219" s="18">
        <v>102554</v>
      </c>
      <c r="E3219" s="2" t="s">
        <v>205</v>
      </c>
      <c r="F3219" s="15">
        <v>27941.43</v>
      </c>
      <c r="G3219" s="41">
        <v>42884</v>
      </c>
      <c r="H3219" s="15">
        <f t="shared" si="95"/>
        <v>27941.43</v>
      </c>
      <c r="I3219" s="15">
        <f t="shared" si="94"/>
        <v>0</v>
      </c>
      <c r="J3219" s="19"/>
    </row>
    <row r="3220" spans="1:10" x14ac:dyDescent="0.25">
      <c r="A3220" s="82">
        <v>42793</v>
      </c>
      <c r="B3220" s="39" t="s">
        <v>7521</v>
      </c>
      <c r="C3220" s="89"/>
      <c r="D3220" s="18">
        <v>102555</v>
      </c>
      <c r="E3220" s="2" t="s">
        <v>231</v>
      </c>
      <c r="F3220" s="15">
        <v>6007.1</v>
      </c>
      <c r="G3220" s="41">
        <v>42794</v>
      </c>
      <c r="H3220" s="15">
        <f t="shared" si="95"/>
        <v>6007.1</v>
      </c>
      <c r="I3220" s="15">
        <f t="shared" si="94"/>
        <v>0</v>
      </c>
      <c r="J3220" s="19"/>
    </row>
    <row r="3221" spans="1:10" x14ac:dyDescent="0.25">
      <c r="A3221" s="82">
        <v>42793</v>
      </c>
      <c r="B3221" s="39" t="s">
        <v>7522</v>
      </c>
      <c r="C3221" s="89"/>
      <c r="D3221" s="18">
        <v>102556</v>
      </c>
      <c r="E3221" s="2" t="s">
        <v>17</v>
      </c>
      <c r="F3221" s="15">
        <v>2115</v>
      </c>
      <c r="G3221" s="41">
        <v>42793</v>
      </c>
      <c r="H3221" s="15">
        <f t="shared" si="95"/>
        <v>2115</v>
      </c>
      <c r="I3221" s="15">
        <f t="shared" si="94"/>
        <v>0</v>
      </c>
      <c r="J3221" s="19"/>
    </row>
    <row r="3222" spans="1:10" x14ac:dyDescent="0.25">
      <c r="A3222" s="82">
        <v>42793</v>
      </c>
      <c r="B3222" s="39" t="s">
        <v>7523</v>
      </c>
      <c r="C3222" s="89"/>
      <c r="D3222" s="18">
        <v>102557</v>
      </c>
      <c r="E3222" s="2" t="s">
        <v>374</v>
      </c>
      <c r="F3222" s="15">
        <v>1317.6</v>
      </c>
      <c r="G3222" s="41">
        <v>42793</v>
      </c>
      <c r="H3222" s="15">
        <f t="shared" si="95"/>
        <v>1317.6</v>
      </c>
      <c r="I3222" s="15">
        <f t="shared" si="94"/>
        <v>0</v>
      </c>
      <c r="J3222" s="19"/>
    </row>
    <row r="3223" spans="1:10" x14ac:dyDescent="0.25">
      <c r="A3223" s="82">
        <v>42793</v>
      </c>
      <c r="B3223" s="39" t="s">
        <v>7524</v>
      </c>
      <c r="C3223" s="89"/>
      <c r="D3223" s="18">
        <v>102558</v>
      </c>
      <c r="E3223" s="13" t="s">
        <v>231</v>
      </c>
      <c r="F3223" s="14">
        <v>0</v>
      </c>
      <c r="G3223" s="88" t="s">
        <v>95</v>
      </c>
      <c r="H3223" s="14">
        <f t="shared" si="95"/>
        <v>0</v>
      </c>
      <c r="I3223" s="14">
        <f t="shared" si="94"/>
        <v>0</v>
      </c>
      <c r="J3223" s="19"/>
    </row>
    <row r="3224" spans="1:10" x14ac:dyDescent="0.25">
      <c r="A3224" s="82">
        <v>42793</v>
      </c>
      <c r="B3224" s="39" t="s">
        <v>7525</v>
      </c>
      <c r="C3224" s="89"/>
      <c r="D3224" s="18">
        <v>102559</v>
      </c>
      <c r="E3224" s="2" t="s">
        <v>231</v>
      </c>
      <c r="F3224" s="15">
        <v>31483.599999999999</v>
      </c>
      <c r="G3224" s="41">
        <v>42794</v>
      </c>
      <c r="H3224" s="15">
        <f t="shared" si="95"/>
        <v>31483.599999999999</v>
      </c>
      <c r="I3224" s="15">
        <f t="shared" si="94"/>
        <v>0</v>
      </c>
      <c r="J3224" s="19"/>
    </row>
    <row r="3225" spans="1:10" x14ac:dyDescent="0.25">
      <c r="A3225" s="82">
        <v>42793</v>
      </c>
      <c r="B3225" s="39" t="s">
        <v>7526</v>
      </c>
      <c r="C3225" s="89"/>
      <c r="D3225" s="18">
        <v>102560</v>
      </c>
      <c r="E3225" s="2" t="s">
        <v>21</v>
      </c>
      <c r="F3225" s="15">
        <v>42871</v>
      </c>
      <c r="G3225" s="41">
        <v>42807</v>
      </c>
      <c r="H3225" s="15">
        <f t="shared" si="95"/>
        <v>42871</v>
      </c>
      <c r="I3225" s="15">
        <f t="shared" si="94"/>
        <v>0</v>
      </c>
      <c r="J3225" s="19"/>
    </row>
    <row r="3226" spans="1:10" x14ac:dyDescent="0.25">
      <c r="A3226" s="82">
        <v>42793</v>
      </c>
      <c r="B3226" s="39" t="s">
        <v>7527</v>
      </c>
      <c r="C3226" s="89"/>
      <c r="D3226" s="18">
        <v>102561</v>
      </c>
      <c r="E3226" s="13" t="s">
        <v>35</v>
      </c>
      <c r="F3226" s="14">
        <v>0</v>
      </c>
      <c r="G3226" s="88" t="s">
        <v>95</v>
      </c>
      <c r="H3226" s="14">
        <f t="shared" si="95"/>
        <v>0</v>
      </c>
      <c r="I3226" s="14">
        <f t="shared" si="94"/>
        <v>0</v>
      </c>
      <c r="J3226" s="19"/>
    </row>
    <row r="3227" spans="1:10" x14ac:dyDescent="0.25">
      <c r="A3227" s="82">
        <v>42793</v>
      </c>
      <c r="B3227" s="39" t="s">
        <v>7528</v>
      </c>
      <c r="C3227" s="89"/>
      <c r="D3227" s="18">
        <v>102562</v>
      </c>
      <c r="E3227" s="13" t="s">
        <v>35</v>
      </c>
      <c r="F3227" s="14">
        <v>0</v>
      </c>
      <c r="G3227" s="88" t="s">
        <v>95</v>
      </c>
      <c r="H3227" s="14">
        <f t="shared" si="95"/>
        <v>0</v>
      </c>
      <c r="I3227" s="14">
        <f t="shared" si="94"/>
        <v>0</v>
      </c>
      <c r="J3227" s="19"/>
    </row>
    <row r="3228" spans="1:10" x14ac:dyDescent="0.25">
      <c r="A3228" s="82">
        <v>42793</v>
      </c>
      <c r="B3228" s="39" t="s">
        <v>7529</v>
      </c>
      <c r="C3228" s="89"/>
      <c r="D3228" s="18">
        <v>102563</v>
      </c>
      <c r="E3228" s="2" t="s">
        <v>428</v>
      </c>
      <c r="F3228" s="15">
        <v>1732.8</v>
      </c>
      <c r="G3228" s="41">
        <v>42738</v>
      </c>
      <c r="H3228" s="15">
        <f t="shared" si="95"/>
        <v>1732.8</v>
      </c>
      <c r="I3228" s="15">
        <f t="shared" si="94"/>
        <v>0</v>
      </c>
      <c r="J3228" s="19"/>
    </row>
    <row r="3229" spans="1:10" x14ac:dyDescent="0.25">
      <c r="A3229" s="82">
        <v>42793</v>
      </c>
      <c r="B3229" s="39" t="s">
        <v>7530</v>
      </c>
      <c r="C3229" s="89"/>
      <c r="D3229" s="18">
        <v>102564</v>
      </c>
      <c r="E3229" s="2" t="s">
        <v>785</v>
      </c>
      <c r="F3229" s="15">
        <v>11141.8</v>
      </c>
      <c r="G3229" s="41">
        <v>42793</v>
      </c>
      <c r="H3229" s="15">
        <f t="shared" si="95"/>
        <v>11141.8</v>
      </c>
      <c r="I3229" s="15">
        <f t="shared" si="94"/>
        <v>0</v>
      </c>
      <c r="J3229" s="19"/>
    </row>
    <row r="3230" spans="1:10" x14ac:dyDescent="0.25">
      <c r="A3230" s="82">
        <v>42793</v>
      </c>
      <c r="B3230" s="39" t="s">
        <v>7531</v>
      </c>
      <c r="C3230" s="89"/>
      <c r="D3230" s="18">
        <v>102565</v>
      </c>
      <c r="E3230" s="2" t="s">
        <v>26</v>
      </c>
      <c r="F3230" s="15">
        <v>17350.8</v>
      </c>
      <c r="G3230" s="41">
        <v>42793</v>
      </c>
      <c r="H3230" s="15">
        <f t="shared" si="95"/>
        <v>17350.8</v>
      </c>
      <c r="I3230" s="15">
        <f t="shared" si="94"/>
        <v>0</v>
      </c>
      <c r="J3230" s="19"/>
    </row>
    <row r="3231" spans="1:10" x14ac:dyDescent="0.25">
      <c r="A3231" s="82">
        <v>42793</v>
      </c>
      <c r="B3231" s="39" t="s">
        <v>7532</v>
      </c>
      <c r="C3231" s="89"/>
      <c r="D3231" s="18">
        <v>102566</v>
      </c>
      <c r="E3231" s="2" t="s">
        <v>1786</v>
      </c>
      <c r="F3231" s="15">
        <v>9954</v>
      </c>
      <c r="G3231" s="41">
        <v>42793</v>
      </c>
      <c r="H3231" s="15">
        <f t="shared" si="95"/>
        <v>9954</v>
      </c>
      <c r="I3231" s="15">
        <f t="shared" si="94"/>
        <v>0</v>
      </c>
      <c r="J3231" s="19"/>
    </row>
    <row r="3232" spans="1:10" x14ac:dyDescent="0.25">
      <c r="A3232" s="82">
        <v>42793</v>
      </c>
      <c r="B3232" s="39" t="s">
        <v>7533</v>
      </c>
      <c r="C3232" s="89"/>
      <c r="D3232" s="18">
        <v>102567</v>
      </c>
      <c r="E3232" s="2" t="s">
        <v>35</v>
      </c>
      <c r="F3232" s="15">
        <v>8125.2</v>
      </c>
      <c r="G3232" s="41">
        <v>42738</v>
      </c>
      <c r="H3232" s="15">
        <f t="shared" si="95"/>
        <v>8125.2</v>
      </c>
      <c r="I3232" s="15">
        <f t="shared" si="94"/>
        <v>0</v>
      </c>
      <c r="J3232" s="19"/>
    </row>
    <row r="3233" spans="1:10" x14ac:dyDescent="0.25">
      <c r="A3233" s="82">
        <v>42793</v>
      </c>
      <c r="B3233" s="39" t="s">
        <v>7534</v>
      </c>
      <c r="C3233" s="89"/>
      <c r="D3233" s="18">
        <v>102568</v>
      </c>
      <c r="E3233" s="2" t="s">
        <v>32</v>
      </c>
      <c r="F3233" s="15">
        <v>5672.1</v>
      </c>
      <c r="G3233" s="41">
        <v>42803</v>
      </c>
      <c r="H3233" s="15">
        <f t="shared" si="95"/>
        <v>5672.1</v>
      </c>
      <c r="I3233" s="15">
        <f t="shared" si="94"/>
        <v>0</v>
      </c>
      <c r="J3233" s="19"/>
    </row>
    <row r="3234" spans="1:10" x14ac:dyDescent="0.25">
      <c r="A3234" s="82">
        <v>42793</v>
      </c>
      <c r="B3234" s="39" t="s">
        <v>7535</v>
      </c>
      <c r="C3234" s="89"/>
      <c r="D3234" s="18">
        <v>102569</v>
      </c>
      <c r="E3234" s="2" t="s">
        <v>470</v>
      </c>
      <c r="F3234" s="15">
        <v>8920</v>
      </c>
      <c r="G3234" s="41">
        <v>42793</v>
      </c>
      <c r="H3234" s="15">
        <f t="shared" si="95"/>
        <v>8920</v>
      </c>
      <c r="I3234" s="15">
        <f t="shared" si="94"/>
        <v>0</v>
      </c>
      <c r="J3234" s="19"/>
    </row>
    <row r="3235" spans="1:10" x14ac:dyDescent="0.25">
      <c r="A3235" s="82">
        <v>42793</v>
      </c>
      <c r="B3235" s="39" t="s">
        <v>7536</v>
      </c>
      <c r="C3235" s="89"/>
      <c r="D3235" s="18">
        <v>102570</v>
      </c>
      <c r="E3235" s="2" t="s">
        <v>1830</v>
      </c>
      <c r="F3235" s="15">
        <v>8584</v>
      </c>
      <c r="G3235" s="41">
        <v>42793</v>
      </c>
      <c r="H3235" s="15">
        <f t="shared" si="95"/>
        <v>8584</v>
      </c>
      <c r="I3235" s="15">
        <f t="shared" si="94"/>
        <v>0</v>
      </c>
      <c r="J3235" s="19"/>
    </row>
    <row r="3236" spans="1:10" x14ac:dyDescent="0.25">
      <c r="A3236" s="82">
        <v>42793</v>
      </c>
      <c r="B3236" s="39" t="s">
        <v>7537</v>
      </c>
      <c r="C3236" s="89"/>
      <c r="D3236" s="18">
        <v>102571</v>
      </c>
      <c r="E3236" s="2" t="s">
        <v>157</v>
      </c>
      <c r="F3236" s="15">
        <v>27234.18</v>
      </c>
      <c r="G3236" s="41">
        <v>42793</v>
      </c>
      <c r="H3236" s="15">
        <f t="shared" si="95"/>
        <v>27234.18</v>
      </c>
      <c r="I3236" s="15">
        <f t="shared" si="94"/>
        <v>0</v>
      </c>
      <c r="J3236" s="19"/>
    </row>
    <row r="3237" spans="1:10" x14ac:dyDescent="0.25">
      <c r="A3237" s="82">
        <v>42793</v>
      </c>
      <c r="B3237" s="39" t="s">
        <v>7538</v>
      </c>
      <c r="C3237" s="89"/>
      <c r="D3237" s="18">
        <v>102572</v>
      </c>
      <c r="E3237" s="2" t="s">
        <v>71</v>
      </c>
      <c r="F3237" s="15">
        <v>1858.5</v>
      </c>
      <c r="G3237" s="41">
        <v>42793</v>
      </c>
      <c r="H3237" s="15">
        <f t="shared" si="95"/>
        <v>1858.5</v>
      </c>
      <c r="I3237" s="15">
        <f t="shared" si="94"/>
        <v>0</v>
      </c>
      <c r="J3237" s="19"/>
    </row>
    <row r="3238" spans="1:10" x14ac:dyDescent="0.25">
      <c r="A3238" s="82">
        <v>42793</v>
      </c>
      <c r="B3238" s="39" t="s">
        <v>7539</v>
      </c>
      <c r="C3238" s="89"/>
      <c r="D3238" s="18">
        <v>102573</v>
      </c>
      <c r="E3238" s="2" t="s">
        <v>141</v>
      </c>
      <c r="F3238" s="15">
        <v>9164.4</v>
      </c>
      <c r="G3238" s="41">
        <v>42793</v>
      </c>
      <c r="H3238" s="15">
        <f t="shared" si="95"/>
        <v>9164.4</v>
      </c>
      <c r="I3238" s="15">
        <f t="shared" si="94"/>
        <v>0</v>
      </c>
      <c r="J3238" s="19"/>
    </row>
    <row r="3239" spans="1:10" x14ac:dyDescent="0.25">
      <c r="A3239" s="82">
        <v>42793</v>
      </c>
      <c r="B3239" s="39" t="s">
        <v>7540</v>
      </c>
      <c r="C3239" s="89"/>
      <c r="D3239" s="18">
        <v>102574</v>
      </c>
      <c r="E3239" s="2" t="s">
        <v>120</v>
      </c>
      <c r="F3239" s="15">
        <v>3489.18</v>
      </c>
      <c r="G3239" s="41">
        <v>42793</v>
      </c>
      <c r="H3239" s="15">
        <f t="shared" si="95"/>
        <v>3489.18</v>
      </c>
      <c r="I3239" s="15">
        <f t="shared" si="94"/>
        <v>0</v>
      </c>
      <c r="J3239" s="19"/>
    </row>
    <row r="3240" spans="1:10" x14ac:dyDescent="0.25">
      <c r="A3240" s="82">
        <v>42793</v>
      </c>
      <c r="B3240" s="39" t="s">
        <v>7541</v>
      </c>
      <c r="C3240" s="89"/>
      <c r="D3240" s="18">
        <v>102575</v>
      </c>
      <c r="E3240" s="2" t="s">
        <v>38</v>
      </c>
      <c r="F3240" s="15">
        <v>3343.4</v>
      </c>
      <c r="G3240" s="41">
        <v>42738</v>
      </c>
      <c r="H3240" s="15">
        <f t="shared" si="95"/>
        <v>3343.4</v>
      </c>
      <c r="I3240" s="15">
        <f t="shared" si="94"/>
        <v>0</v>
      </c>
      <c r="J3240" s="19"/>
    </row>
    <row r="3241" spans="1:10" x14ac:dyDescent="0.25">
      <c r="A3241" s="82">
        <v>42793</v>
      </c>
      <c r="B3241" s="39" t="s">
        <v>7542</v>
      </c>
      <c r="C3241" s="89"/>
      <c r="D3241" s="18">
        <v>102576</v>
      </c>
      <c r="E3241" s="2" t="s">
        <v>47</v>
      </c>
      <c r="F3241" s="15">
        <v>6294.4</v>
      </c>
      <c r="G3241" s="41">
        <v>42793</v>
      </c>
      <c r="H3241" s="15">
        <f t="shared" si="95"/>
        <v>6294.4</v>
      </c>
      <c r="I3241" s="15">
        <f t="shared" si="94"/>
        <v>0</v>
      </c>
      <c r="J3241" s="19"/>
    </row>
    <row r="3242" spans="1:10" x14ac:dyDescent="0.25">
      <c r="A3242" s="82">
        <v>42793</v>
      </c>
      <c r="B3242" s="39" t="s">
        <v>7543</v>
      </c>
      <c r="C3242" s="89"/>
      <c r="D3242" s="18">
        <v>102577</v>
      </c>
      <c r="E3242" s="2" t="s">
        <v>28</v>
      </c>
      <c r="F3242" s="15">
        <v>13330</v>
      </c>
      <c r="G3242" s="41">
        <v>42793</v>
      </c>
      <c r="H3242" s="15">
        <f t="shared" si="95"/>
        <v>13330</v>
      </c>
      <c r="I3242" s="15">
        <f t="shared" si="94"/>
        <v>0</v>
      </c>
      <c r="J3242" s="19"/>
    </row>
    <row r="3243" spans="1:10" x14ac:dyDescent="0.25">
      <c r="A3243" s="82">
        <v>42793</v>
      </c>
      <c r="B3243" s="39" t="s">
        <v>7544</v>
      </c>
      <c r="C3243" s="89"/>
      <c r="D3243" s="18">
        <v>102578</v>
      </c>
      <c r="E3243" s="2" t="s">
        <v>30</v>
      </c>
      <c r="F3243" s="15">
        <v>2739.2</v>
      </c>
      <c r="G3243" s="41">
        <v>42793</v>
      </c>
      <c r="H3243" s="15">
        <f t="shared" si="95"/>
        <v>2739.2</v>
      </c>
      <c r="I3243" s="15">
        <f t="shared" si="94"/>
        <v>0</v>
      </c>
      <c r="J3243" s="19"/>
    </row>
    <row r="3244" spans="1:10" x14ac:dyDescent="0.25">
      <c r="A3244" s="82">
        <v>42793</v>
      </c>
      <c r="B3244" s="39" t="s">
        <v>7545</v>
      </c>
      <c r="C3244" s="89"/>
      <c r="D3244" s="18">
        <v>102579</v>
      </c>
      <c r="E3244" s="2" t="s">
        <v>69</v>
      </c>
      <c r="F3244" s="15">
        <v>8308.1</v>
      </c>
      <c r="G3244" s="41">
        <v>42793</v>
      </c>
      <c r="H3244" s="15">
        <f t="shared" si="95"/>
        <v>8308.1</v>
      </c>
      <c r="I3244" s="15">
        <f t="shared" si="94"/>
        <v>0</v>
      </c>
      <c r="J3244" s="19"/>
    </row>
    <row r="3245" spans="1:10" x14ac:dyDescent="0.25">
      <c r="A3245" s="82">
        <v>42793</v>
      </c>
      <c r="B3245" s="39" t="s">
        <v>7546</v>
      </c>
      <c r="C3245" s="89"/>
      <c r="D3245" s="18">
        <v>102580</v>
      </c>
      <c r="E3245" s="2" t="s">
        <v>40</v>
      </c>
      <c r="F3245" s="15">
        <v>3697.2</v>
      </c>
      <c r="G3245" s="41" t="s">
        <v>3806</v>
      </c>
      <c r="H3245" s="15">
        <f t="shared" si="95"/>
        <v>3697.2</v>
      </c>
      <c r="I3245" s="15">
        <f t="shared" si="94"/>
        <v>0</v>
      </c>
      <c r="J3245" s="19"/>
    </row>
    <row r="3246" spans="1:10" x14ac:dyDescent="0.25">
      <c r="A3246" s="82">
        <v>42793</v>
      </c>
      <c r="B3246" s="39" t="s">
        <v>7547</v>
      </c>
      <c r="C3246" s="89"/>
      <c r="D3246" s="18">
        <v>102581</v>
      </c>
      <c r="E3246" s="2" t="s">
        <v>253</v>
      </c>
      <c r="F3246" s="15">
        <v>6094.8</v>
      </c>
      <c r="G3246" s="41">
        <v>42794</v>
      </c>
      <c r="H3246" s="15">
        <f t="shared" si="95"/>
        <v>6094.8</v>
      </c>
      <c r="I3246" s="15">
        <f t="shared" si="94"/>
        <v>0</v>
      </c>
      <c r="J3246" s="19"/>
    </row>
    <row r="3247" spans="1:10" x14ac:dyDescent="0.25">
      <c r="A3247" s="82">
        <v>42793</v>
      </c>
      <c r="B3247" s="39" t="s">
        <v>7548</v>
      </c>
      <c r="C3247" s="89"/>
      <c r="D3247" s="18">
        <v>102582</v>
      </c>
      <c r="E3247" s="2" t="s">
        <v>49</v>
      </c>
      <c r="F3247" s="15">
        <v>9223.2000000000007</v>
      </c>
      <c r="G3247" s="41">
        <v>42794</v>
      </c>
      <c r="H3247" s="15">
        <f t="shared" si="95"/>
        <v>9223.2000000000007</v>
      </c>
      <c r="I3247" s="15">
        <f t="shared" si="94"/>
        <v>0</v>
      </c>
      <c r="J3247" s="19"/>
    </row>
    <row r="3248" spans="1:10" x14ac:dyDescent="0.25">
      <c r="A3248" s="82">
        <v>42793</v>
      </c>
      <c r="B3248" s="39" t="s">
        <v>7549</v>
      </c>
      <c r="C3248" s="89"/>
      <c r="D3248" s="18">
        <v>102583</v>
      </c>
      <c r="E3248" s="2" t="s">
        <v>51</v>
      </c>
      <c r="F3248" s="15">
        <v>1284.5</v>
      </c>
      <c r="G3248" s="41" t="s">
        <v>3806</v>
      </c>
      <c r="H3248" s="15">
        <f t="shared" si="95"/>
        <v>1284.5</v>
      </c>
      <c r="I3248" s="15">
        <f t="shared" si="94"/>
        <v>0</v>
      </c>
      <c r="J3248" s="19"/>
    </row>
    <row r="3249" spans="1:10" x14ac:dyDescent="0.25">
      <c r="A3249" s="82">
        <v>42793</v>
      </c>
      <c r="B3249" s="39" t="s">
        <v>7550</v>
      </c>
      <c r="C3249" s="89"/>
      <c r="D3249" s="18">
        <v>102584</v>
      </c>
      <c r="E3249" s="2" t="s">
        <v>250</v>
      </c>
      <c r="F3249" s="15">
        <v>1715</v>
      </c>
      <c r="G3249" s="41">
        <v>42738</v>
      </c>
      <c r="H3249" s="15">
        <f t="shared" si="95"/>
        <v>1715</v>
      </c>
      <c r="I3249" s="15">
        <f t="shared" si="94"/>
        <v>0</v>
      </c>
      <c r="J3249" s="19"/>
    </row>
    <row r="3250" spans="1:10" x14ac:dyDescent="0.25">
      <c r="A3250" s="82">
        <v>42793</v>
      </c>
      <c r="B3250" s="39" t="s">
        <v>7551</v>
      </c>
      <c r="C3250" s="89"/>
      <c r="D3250" s="18">
        <v>102585</v>
      </c>
      <c r="E3250" s="2" t="s">
        <v>231</v>
      </c>
      <c r="F3250" s="15">
        <v>4526.8</v>
      </c>
      <c r="G3250" s="41">
        <v>42794</v>
      </c>
      <c r="H3250" s="15">
        <f t="shared" si="95"/>
        <v>4526.8</v>
      </c>
      <c r="I3250" s="15">
        <f t="shared" si="94"/>
        <v>0</v>
      </c>
      <c r="J3250" s="19"/>
    </row>
    <row r="3251" spans="1:10" x14ac:dyDescent="0.25">
      <c r="A3251" s="82">
        <v>42793</v>
      </c>
      <c r="B3251" s="39" t="s">
        <v>7552</v>
      </c>
      <c r="C3251" s="89"/>
      <c r="D3251" s="18">
        <v>102586</v>
      </c>
      <c r="E3251" s="2" t="s">
        <v>61</v>
      </c>
      <c r="F3251" s="15">
        <v>12265.2</v>
      </c>
      <c r="G3251" s="41">
        <v>42793</v>
      </c>
      <c r="H3251" s="15">
        <f t="shared" si="95"/>
        <v>12265.2</v>
      </c>
      <c r="I3251" s="15">
        <f t="shared" si="94"/>
        <v>0</v>
      </c>
      <c r="J3251" s="19"/>
    </row>
    <row r="3252" spans="1:10" x14ac:dyDescent="0.25">
      <c r="A3252" s="82">
        <v>42793</v>
      </c>
      <c r="B3252" s="39" t="s">
        <v>7553</v>
      </c>
      <c r="C3252" s="89"/>
      <c r="D3252" s="18">
        <v>102587</v>
      </c>
      <c r="E3252" s="2" t="s">
        <v>19</v>
      </c>
      <c r="F3252" s="15">
        <v>940</v>
      </c>
      <c r="G3252" s="41">
        <v>42793</v>
      </c>
      <c r="H3252" s="15">
        <f t="shared" si="95"/>
        <v>940</v>
      </c>
      <c r="I3252" s="15">
        <f t="shared" si="94"/>
        <v>0</v>
      </c>
      <c r="J3252" s="19"/>
    </row>
    <row r="3253" spans="1:10" x14ac:dyDescent="0.25">
      <c r="A3253" s="82">
        <v>42793</v>
      </c>
      <c r="B3253" s="39" t="s">
        <v>7554</v>
      </c>
      <c r="C3253" s="89"/>
      <c r="D3253" s="18">
        <v>102588</v>
      </c>
      <c r="E3253" s="2" t="s">
        <v>414</v>
      </c>
      <c r="F3253" s="15">
        <v>1524</v>
      </c>
      <c r="G3253" s="41">
        <v>42793</v>
      </c>
      <c r="H3253" s="15">
        <f t="shared" si="95"/>
        <v>1524</v>
      </c>
      <c r="I3253" s="15">
        <f t="shared" si="94"/>
        <v>0</v>
      </c>
      <c r="J3253" s="19"/>
    </row>
    <row r="3254" spans="1:10" x14ac:dyDescent="0.25">
      <c r="A3254" s="82">
        <v>42793</v>
      </c>
      <c r="B3254" s="39" t="s">
        <v>7555</v>
      </c>
      <c r="C3254" s="89"/>
      <c r="D3254" s="18">
        <v>102589</v>
      </c>
      <c r="E3254" s="2" t="s">
        <v>184</v>
      </c>
      <c r="F3254" s="15">
        <v>3009.2</v>
      </c>
      <c r="G3254" s="41">
        <v>42794</v>
      </c>
      <c r="H3254" s="15">
        <f t="shared" si="95"/>
        <v>3009.2</v>
      </c>
      <c r="I3254" s="15">
        <f t="shared" si="94"/>
        <v>0</v>
      </c>
      <c r="J3254" s="19"/>
    </row>
    <row r="3255" spans="1:10" x14ac:dyDescent="0.25">
      <c r="A3255" s="82">
        <v>42793</v>
      </c>
      <c r="B3255" s="39" t="s">
        <v>7556</v>
      </c>
      <c r="C3255" s="89"/>
      <c r="D3255" s="18">
        <v>102590</v>
      </c>
      <c r="E3255" s="2" t="s">
        <v>331</v>
      </c>
      <c r="F3255" s="15">
        <v>2052.8000000000002</v>
      </c>
      <c r="G3255" s="41">
        <v>42793</v>
      </c>
      <c r="H3255" s="15">
        <f t="shared" si="95"/>
        <v>2052.8000000000002</v>
      </c>
      <c r="I3255" s="15">
        <f t="shared" si="94"/>
        <v>0</v>
      </c>
      <c r="J3255" s="19"/>
    </row>
    <row r="3256" spans="1:10" x14ac:dyDescent="0.25">
      <c r="A3256" s="82">
        <v>42793</v>
      </c>
      <c r="B3256" s="39" t="s">
        <v>7557</v>
      </c>
      <c r="C3256" s="89"/>
      <c r="D3256" s="18">
        <v>102591</v>
      </c>
      <c r="E3256" s="2" t="s">
        <v>30</v>
      </c>
      <c r="F3256" s="15">
        <v>859.2</v>
      </c>
      <c r="G3256" s="41">
        <v>42793</v>
      </c>
      <c r="H3256" s="15">
        <f t="shared" si="95"/>
        <v>859.2</v>
      </c>
      <c r="I3256" s="15">
        <f t="shared" ref="I3256:I3319" si="96">F3256-H3256</f>
        <v>0</v>
      </c>
      <c r="J3256" s="19"/>
    </row>
    <row r="3257" spans="1:10" x14ac:dyDescent="0.25">
      <c r="A3257" s="82">
        <v>42793</v>
      </c>
      <c r="B3257" s="39" t="s">
        <v>7558</v>
      </c>
      <c r="C3257" s="89"/>
      <c r="D3257" s="18">
        <v>102592</v>
      </c>
      <c r="E3257" s="2" t="s">
        <v>693</v>
      </c>
      <c r="F3257" s="15">
        <v>5852</v>
      </c>
      <c r="G3257" s="41">
        <v>42793</v>
      </c>
      <c r="H3257" s="15">
        <f t="shared" si="95"/>
        <v>5852</v>
      </c>
      <c r="I3257" s="15">
        <f t="shared" si="96"/>
        <v>0</v>
      </c>
      <c r="J3257" s="19"/>
    </row>
    <row r="3258" spans="1:10" x14ac:dyDescent="0.25">
      <c r="A3258" s="82">
        <v>42793</v>
      </c>
      <c r="B3258" s="39" t="s">
        <v>7559</v>
      </c>
      <c r="C3258" s="89"/>
      <c r="D3258" s="18">
        <v>102593</v>
      </c>
      <c r="E3258" s="2" t="s">
        <v>3958</v>
      </c>
      <c r="F3258" s="15">
        <v>3636</v>
      </c>
      <c r="G3258" s="41">
        <v>42793</v>
      </c>
      <c r="H3258" s="15">
        <f t="shared" si="95"/>
        <v>3636</v>
      </c>
      <c r="I3258" s="15">
        <f t="shared" si="96"/>
        <v>0</v>
      </c>
      <c r="J3258" s="19"/>
    </row>
    <row r="3259" spans="1:10" x14ac:dyDescent="0.25">
      <c r="A3259" s="82">
        <v>42793</v>
      </c>
      <c r="B3259" s="39" t="s">
        <v>7560</v>
      </c>
      <c r="C3259" s="89"/>
      <c r="D3259" s="18">
        <v>102594</v>
      </c>
      <c r="E3259" s="2" t="s">
        <v>1870</v>
      </c>
      <c r="F3259" s="15">
        <v>2213.4</v>
      </c>
      <c r="G3259" s="41">
        <v>42793</v>
      </c>
      <c r="H3259" s="15">
        <f t="shared" si="95"/>
        <v>2213.4</v>
      </c>
      <c r="I3259" s="15">
        <f t="shared" si="96"/>
        <v>0</v>
      </c>
      <c r="J3259" s="19"/>
    </row>
    <row r="3260" spans="1:10" x14ac:dyDescent="0.25">
      <c r="A3260" s="82">
        <v>42793</v>
      </c>
      <c r="B3260" s="39" t="s">
        <v>7561</v>
      </c>
      <c r="C3260" s="89"/>
      <c r="D3260" s="18">
        <v>102595</v>
      </c>
      <c r="E3260" s="2" t="s">
        <v>30</v>
      </c>
      <c r="F3260" s="15">
        <v>387.1</v>
      </c>
      <c r="G3260" s="41">
        <v>42793</v>
      </c>
      <c r="H3260" s="15">
        <f t="shared" si="95"/>
        <v>387.1</v>
      </c>
      <c r="I3260" s="15">
        <f t="shared" si="96"/>
        <v>0</v>
      </c>
      <c r="J3260" s="19"/>
    </row>
    <row r="3261" spans="1:10" ht="30" x14ac:dyDescent="0.25">
      <c r="A3261" s="82">
        <v>42793</v>
      </c>
      <c r="B3261" s="39" t="s">
        <v>7562</v>
      </c>
      <c r="C3261" s="89"/>
      <c r="D3261" s="18">
        <v>102596</v>
      </c>
      <c r="E3261" s="2" t="s">
        <v>1256</v>
      </c>
      <c r="F3261" s="15">
        <v>3343.2</v>
      </c>
      <c r="G3261" s="87" t="s">
        <v>7751</v>
      </c>
      <c r="H3261" s="20">
        <f>800+132.5+2410.7</f>
        <v>3343.2</v>
      </c>
      <c r="I3261" s="20">
        <f t="shared" si="96"/>
        <v>0</v>
      </c>
      <c r="J3261" s="19"/>
    </row>
    <row r="3262" spans="1:10" x14ac:dyDescent="0.25">
      <c r="A3262" s="82">
        <v>42793</v>
      </c>
      <c r="B3262" s="39" t="s">
        <v>7563</v>
      </c>
      <c r="C3262" s="89"/>
      <c r="D3262" s="18">
        <v>102597</v>
      </c>
      <c r="E3262" s="2" t="s">
        <v>105</v>
      </c>
      <c r="F3262" s="15">
        <v>2999.2</v>
      </c>
      <c r="G3262" s="41">
        <v>42738</v>
      </c>
      <c r="H3262" s="15">
        <f t="shared" si="95"/>
        <v>2999.2</v>
      </c>
      <c r="I3262" s="15">
        <f t="shared" si="96"/>
        <v>0</v>
      </c>
      <c r="J3262" s="19"/>
    </row>
    <row r="3263" spans="1:10" x14ac:dyDescent="0.25">
      <c r="A3263" s="82">
        <v>42793</v>
      </c>
      <c r="B3263" s="39" t="s">
        <v>7564</v>
      </c>
      <c r="C3263" s="89"/>
      <c r="D3263" s="18">
        <v>102598</v>
      </c>
      <c r="E3263" s="2" t="s">
        <v>99</v>
      </c>
      <c r="F3263" s="15">
        <v>1870.6</v>
      </c>
      <c r="G3263" s="41">
        <v>42793</v>
      </c>
      <c r="H3263" s="15">
        <f t="shared" si="95"/>
        <v>1870.6</v>
      </c>
      <c r="I3263" s="15">
        <f t="shared" si="96"/>
        <v>0</v>
      </c>
      <c r="J3263" s="19"/>
    </row>
    <row r="3264" spans="1:10" x14ac:dyDescent="0.25">
      <c r="A3264" s="82">
        <v>42793</v>
      </c>
      <c r="B3264" s="39" t="s">
        <v>7565</v>
      </c>
      <c r="C3264" s="89"/>
      <c r="D3264" s="18">
        <v>102599</v>
      </c>
      <c r="E3264" s="2" t="s">
        <v>103</v>
      </c>
      <c r="F3264" s="15">
        <v>2875</v>
      </c>
      <c r="G3264" s="41">
        <v>42738</v>
      </c>
      <c r="H3264" s="15">
        <f t="shared" si="95"/>
        <v>2875</v>
      </c>
      <c r="I3264" s="15">
        <f t="shared" si="96"/>
        <v>0</v>
      </c>
      <c r="J3264" s="19"/>
    </row>
    <row r="3265" spans="1:10" x14ac:dyDescent="0.25">
      <c r="A3265" s="82">
        <v>42793</v>
      </c>
      <c r="B3265" s="39" t="s">
        <v>7566</v>
      </c>
      <c r="C3265" s="89"/>
      <c r="D3265" s="18">
        <v>102600</v>
      </c>
      <c r="E3265" s="2" t="s">
        <v>281</v>
      </c>
      <c r="F3265" s="15">
        <v>1531</v>
      </c>
      <c r="G3265" s="41">
        <v>42793</v>
      </c>
      <c r="H3265" s="15">
        <f t="shared" si="95"/>
        <v>1531</v>
      </c>
      <c r="I3265" s="15">
        <f t="shared" si="96"/>
        <v>0</v>
      </c>
      <c r="J3265" s="19"/>
    </row>
    <row r="3266" spans="1:10" x14ac:dyDescent="0.25">
      <c r="A3266" s="82">
        <v>42793</v>
      </c>
      <c r="B3266" s="39" t="s">
        <v>7567</v>
      </c>
      <c r="C3266" s="89"/>
      <c r="D3266" s="18">
        <v>102601</v>
      </c>
      <c r="E3266" s="2" t="s">
        <v>101</v>
      </c>
      <c r="F3266" s="15">
        <v>705</v>
      </c>
      <c r="G3266" s="41">
        <v>42793</v>
      </c>
      <c r="H3266" s="15">
        <f t="shared" si="95"/>
        <v>705</v>
      </c>
      <c r="I3266" s="15">
        <f t="shared" si="96"/>
        <v>0</v>
      </c>
      <c r="J3266" s="19"/>
    </row>
    <row r="3267" spans="1:10" x14ac:dyDescent="0.25">
      <c r="A3267" s="82">
        <v>42793</v>
      </c>
      <c r="B3267" s="39" t="s">
        <v>7568</v>
      </c>
      <c r="C3267" s="89"/>
      <c r="D3267" s="18">
        <v>102602</v>
      </c>
      <c r="E3267" s="2" t="s">
        <v>53</v>
      </c>
      <c r="F3267" s="15">
        <v>2047.5</v>
      </c>
      <c r="G3267" s="41">
        <v>42793</v>
      </c>
      <c r="H3267" s="15">
        <f t="shared" si="95"/>
        <v>2047.5</v>
      </c>
      <c r="I3267" s="15">
        <f t="shared" si="96"/>
        <v>0</v>
      </c>
      <c r="J3267" s="19"/>
    </row>
    <row r="3268" spans="1:10" x14ac:dyDescent="0.25">
      <c r="A3268" s="82">
        <v>42793</v>
      </c>
      <c r="B3268" s="39" t="s">
        <v>7569</v>
      </c>
      <c r="C3268" s="89"/>
      <c r="D3268" s="18">
        <v>102603</v>
      </c>
      <c r="E3268" s="2" t="s">
        <v>92</v>
      </c>
      <c r="F3268" s="15">
        <v>2547.6</v>
      </c>
      <c r="G3268" s="41">
        <v>42793</v>
      </c>
      <c r="H3268" s="15">
        <f t="shared" ref="H3268:H3331" si="97">F3268</f>
        <v>2547.6</v>
      </c>
      <c r="I3268" s="15">
        <f t="shared" si="96"/>
        <v>0</v>
      </c>
      <c r="J3268" s="19"/>
    </row>
    <row r="3269" spans="1:10" x14ac:dyDescent="0.25">
      <c r="A3269" s="82">
        <v>42793</v>
      </c>
      <c r="B3269" s="39" t="s">
        <v>7570</v>
      </c>
      <c r="C3269" s="89"/>
      <c r="D3269" s="18">
        <v>102604</v>
      </c>
      <c r="E3269" s="2" t="s">
        <v>88</v>
      </c>
      <c r="F3269" s="15">
        <v>368</v>
      </c>
      <c r="G3269" s="41">
        <v>42793</v>
      </c>
      <c r="H3269" s="15">
        <f t="shared" si="97"/>
        <v>368</v>
      </c>
      <c r="I3269" s="15">
        <f t="shared" si="96"/>
        <v>0</v>
      </c>
      <c r="J3269" s="19"/>
    </row>
    <row r="3270" spans="1:10" x14ac:dyDescent="0.25">
      <c r="A3270" s="82">
        <v>42793</v>
      </c>
      <c r="B3270" s="39" t="s">
        <v>7571</v>
      </c>
      <c r="C3270" s="89"/>
      <c r="D3270" s="18">
        <v>102605</v>
      </c>
      <c r="E3270" s="2" t="s">
        <v>1259</v>
      </c>
      <c r="F3270" s="15">
        <v>1812.4</v>
      </c>
      <c r="G3270" s="41">
        <v>42793</v>
      </c>
      <c r="H3270" s="15">
        <f t="shared" si="97"/>
        <v>1812.4</v>
      </c>
      <c r="I3270" s="15">
        <f t="shared" si="96"/>
        <v>0</v>
      </c>
      <c r="J3270" s="19"/>
    </row>
    <row r="3271" spans="1:10" x14ac:dyDescent="0.25">
      <c r="A3271" s="82">
        <v>42793</v>
      </c>
      <c r="B3271" s="39" t="s">
        <v>7572</v>
      </c>
      <c r="C3271" s="89"/>
      <c r="D3271" s="18">
        <v>102606</v>
      </c>
      <c r="E3271" s="2" t="s">
        <v>838</v>
      </c>
      <c r="F3271" s="15">
        <v>1734.6</v>
      </c>
      <c r="G3271" s="41">
        <v>42793</v>
      </c>
      <c r="H3271" s="15">
        <f t="shared" si="97"/>
        <v>1734.6</v>
      </c>
      <c r="I3271" s="15">
        <f t="shared" si="96"/>
        <v>0</v>
      </c>
      <c r="J3271" s="19"/>
    </row>
    <row r="3272" spans="1:10" x14ac:dyDescent="0.25">
      <c r="A3272" s="82">
        <v>42793</v>
      </c>
      <c r="B3272" s="39" t="s">
        <v>7573</v>
      </c>
      <c r="C3272" s="89"/>
      <c r="D3272" s="18">
        <v>102607</v>
      </c>
      <c r="E3272" s="2" t="s">
        <v>457</v>
      </c>
      <c r="F3272" s="15">
        <v>1068.2</v>
      </c>
      <c r="G3272" s="41">
        <v>42793</v>
      </c>
      <c r="H3272" s="15">
        <f t="shared" si="97"/>
        <v>1068.2</v>
      </c>
      <c r="I3272" s="15">
        <f t="shared" si="96"/>
        <v>0</v>
      </c>
      <c r="J3272" s="19"/>
    </row>
    <row r="3273" spans="1:10" x14ac:dyDescent="0.25">
      <c r="A3273" s="82">
        <v>42793</v>
      </c>
      <c r="B3273" s="39" t="s">
        <v>7574</v>
      </c>
      <c r="C3273" s="89"/>
      <c r="D3273" s="18">
        <v>102608</v>
      </c>
      <c r="E3273" s="2" t="s">
        <v>83</v>
      </c>
      <c r="F3273" s="15">
        <v>5620.3</v>
      </c>
      <c r="G3273" s="41">
        <v>42793</v>
      </c>
      <c r="H3273" s="15">
        <f t="shared" si="97"/>
        <v>5620.3</v>
      </c>
      <c r="I3273" s="15">
        <f t="shared" si="96"/>
        <v>0</v>
      </c>
      <c r="J3273" s="19"/>
    </row>
    <row r="3274" spans="1:10" x14ac:dyDescent="0.25">
      <c r="A3274" s="82">
        <v>42793</v>
      </c>
      <c r="B3274" s="39" t="s">
        <v>7575</v>
      </c>
      <c r="C3274" s="89"/>
      <c r="D3274" s="18">
        <v>102609</v>
      </c>
      <c r="E3274" s="2" t="s">
        <v>240</v>
      </c>
      <c r="F3274" s="15">
        <v>10495.3</v>
      </c>
      <c r="G3274" s="41">
        <v>42793</v>
      </c>
      <c r="H3274" s="15">
        <f t="shared" si="97"/>
        <v>10495.3</v>
      </c>
      <c r="I3274" s="15">
        <f t="shared" si="96"/>
        <v>0</v>
      </c>
      <c r="J3274" s="19"/>
    </row>
    <row r="3275" spans="1:10" x14ac:dyDescent="0.25">
      <c r="A3275" s="82">
        <v>42793</v>
      </c>
      <c r="B3275" s="39" t="s">
        <v>7576</v>
      </c>
      <c r="C3275" s="89"/>
      <c r="D3275" s="18">
        <v>102610</v>
      </c>
      <c r="E3275" s="2" t="s">
        <v>79</v>
      </c>
      <c r="F3275" s="15">
        <v>3637.2</v>
      </c>
      <c r="G3275" s="41">
        <v>42793</v>
      </c>
      <c r="H3275" s="15">
        <f t="shared" si="97"/>
        <v>3637.2</v>
      </c>
      <c r="I3275" s="15">
        <f t="shared" si="96"/>
        <v>0</v>
      </c>
      <c r="J3275" s="19"/>
    </row>
    <row r="3276" spans="1:10" x14ac:dyDescent="0.25">
      <c r="A3276" s="82">
        <v>42793</v>
      </c>
      <c r="B3276" s="39" t="s">
        <v>7577</v>
      </c>
      <c r="C3276" s="89"/>
      <c r="D3276" s="18">
        <v>102611</v>
      </c>
      <c r="E3276" s="2" t="s">
        <v>81</v>
      </c>
      <c r="F3276" s="15">
        <v>1728.4</v>
      </c>
      <c r="G3276" s="41">
        <v>42793</v>
      </c>
      <c r="H3276" s="15">
        <f t="shared" si="97"/>
        <v>1728.4</v>
      </c>
      <c r="I3276" s="15">
        <f t="shared" si="96"/>
        <v>0</v>
      </c>
      <c r="J3276" s="19"/>
    </row>
    <row r="3277" spans="1:10" x14ac:dyDescent="0.25">
      <c r="A3277" s="82">
        <v>42793</v>
      </c>
      <c r="B3277" s="39" t="s">
        <v>7578</v>
      </c>
      <c r="C3277" s="89"/>
      <c r="D3277" s="18">
        <v>102612</v>
      </c>
      <c r="E3277" s="2" t="s">
        <v>109</v>
      </c>
      <c r="F3277" s="15">
        <v>4882.6000000000004</v>
      </c>
      <c r="G3277" s="41">
        <v>42793</v>
      </c>
      <c r="H3277" s="15">
        <f t="shared" si="97"/>
        <v>4882.6000000000004</v>
      </c>
      <c r="I3277" s="15">
        <f t="shared" si="96"/>
        <v>0</v>
      </c>
      <c r="J3277" s="19"/>
    </row>
    <row r="3278" spans="1:10" x14ac:dyDescent="0.25">
      <c r="A3278" s="82">
        <v>42793</v>
      </c>
      <c r="B3278" s="39" t="s">
        <v>7579</v>
      </c>
      <c r="C3278" s="89"/>
      <c r="D3278" s="18">
        <v>102613</v>
      </c>
      <c r="E3278" s="2" t="s">
        <v>83</v>
      </c>
      <c r="F3278" s="15">
        <v>1820.4</v>
      </c>
      <c r="G3278" s="41">
        <v>42793</v>
      </c>
      <c r="H3278" s="15">
        <f t="shared" si="97"/>
        <v>1820.4</v>
      </c>
      <c r="I3278" s="15">
        <f t="shared" si="96"/>
        <v>0</v>
      </c>
      <c r="J3278" s="19"/>
    </row>
    <row r="3279" spans="1:10" x14ac:dyDescent="0.25">
      <c r="A3279" s="82">
        <v>42793</v>
      </c>
      <c r="B3279" s="39" t="s">
        <v>7580</v>
      </c>
      <c r="C3279" s="89"/>
      <c r="D3279" s="18">
        <v>102614</v>
      </c>
      <c r="E3279" s="2" t="s">
        <v>1116</v>
      </c>
      <c r="F3279" s="15">
        <v>2683.7</v>
      </c>
      <c r="G3279" s="41">
        <v>42794</v>
      </c>
      <c r="H3279" s="15">
        <f t="shared" si="97"/>
        <v>2683.7</v>
      </c>
      <c r="I3279" s="15">
        <f t="shared" si="96"/>
        <v>0</v>
      </c>
      <c r="J3279" s="19"/>
    </row>
    <row r="3280" spans="1:10" x14ac:dyDescent="0.25">
      <c r="A3280" s="82">
        <v>42793</v>
      </c>
      <c r="B3280" s="39" t="s">
        <v>7581</v>
      </c>
      <c r="C3280" s="89"/>
      <c r="D3280" s="18">
        <v>102615</v>
      </c>
      <c r="E3280" s="2" t="s">
        <v>613</v>
      </c>
      <c r="F3280" s="15">
        <v>3753.4</v>
      </c>
      <c r="G3280" s="41">
        <v>42793</v>
      </c>
      <c r="H3280" s="15">
        <f t="shared" si="97"/>
        <v>3753.4</v>
      </c>
      <c r="I3280" s="15">
        <f t="shared" si="96"/>
        <v>0</v>
      </c>
      <c r="J3280" s="19"/>
    </row>
    <row r="3281" spans="1:10" x14ac:dyDescent="0.25">
      <c r="A3281" s="82">
        <v>42793</v>
      </c>
      <c r="B3281" s="39" t="s">
        <v>7582</v>
      </c>
      <c r="C3281" s="89"/>
      <c r="D3281" s="18">
        <v>102616</v>
      </c>
      <c r="E3281" s="2" t="s">
        <v>10</v>
      </c>
      <c r="F3281" s="15">
        <v>82220.45</v>
      </c>
      <c r="G3281" s="41" t="s">
        <v>3806</v>
      </c>
      <c r="H3281" s="15">
        <f t="shared" si="97"/>
        <v>82220.45</v>
      </c>
      <c r="I3281" s="15">
        <f t="shared" si="96"/>
        <v>0</v>
      </c>
      <c r="J3281" s="19"/>
    </row>
    <row r="3282" spans="1:10" x14ac:dyDescent="0.25">
      <c r="A3282" s="82">
        <v>42793</v>
      </c>
      <c r="B3282" s="39" t="s">
        <v>7583</v>
      </c>
      <c r="C3282" s="89"/>
      <c r="D3282" s="18">
        <v>102617</v>
      </c>
      <c r="E3282" s="2" t="s">
        <v>10</v>
      </c>
      <c r="F3282" s="15">
        <v>17165.400000000001</v>
      </c>
      <c r="G3282" s="41" t="s">
        <v>3806</v>
      </c>
      <c r="H3282" s="15">
        <f t="shared" si="97"/>
        <v>17165.400000000001</v>
      </c>
      <c r="I3282" s="15">
        <f t="shared" si="96"/>
        <v>0</v>
      </c>
      <c r="J3282" s="19"/>
    </row>
    <row r="3283" spans="1:10" ht="30" x14ac:dyDescent="0.25">
      <c r="A3283" s="82">
        <v>42793</v>
      </c>
      <c r="B3283" s="39" t="s">
        <v>7584</v>
      </c>
      <c r="C3283" s="89"/>
      <c r="D3283" s="18">
        <v>102618</v>
      </c>
      <c r="E3283" s="2" t="s">
        <v>155</v>
      </c>
      <c r="F3283" s="15">
        <v>32316</v>
      </c>
      <c r="G3283" s="87" t="s">
        <v>7748</v>
      </c>
      <c r="H3283" s="20">
        <f>14570+17746</f>
        <v>32316</v>
      </c>
      <c r="I3283" s="20">
        <f t="shared" si="96"/>
        <v>0</v>
      </c>
      <c r="J3283" s="19"/>
    </row>
    <row r="3284" spans="1:10" x14ac:dyDescent="0.25">
      <c r="A3284" s="82">
        <v>42793</v>
      </c>
      <c r="B3284" s="39" t="s">
        <v>7585</v>
      </c>
      <c r="C3284" s="89"/>
      <c r="D3284" s="18">
        <v>102619</v>
      </c>
      <c r="E3284" s="2" t="s">
        <v>145</v>
      </c>
      <c r="F3284" s="15">
        <v>18144.2</v>
      </c>
      <c r="G3284" s="41">
        <v>42738</v>
      </c>
      <c r="H3284" s="15">
        <f t="shared" si="97"/>
        <v>18144.2</v>
      </c>
      <c r="I3284" s="15">
        <f t="shared" si="96"/>
        <v>0</v>
      </c>
      <c r="J3284" s="19"/>
    </row>
    <row r="3285" spans="1:10" x14ac:dyDescent="0.25">
      <c r="A3285" s="82">
        <v>42793</v>
      </c>
      <c r="B3285" s="39" t="s">
        <v>7586</v>
      </c>
      <c r="C3285" s="89"/>
      <c r="D3285" s="18">
        <v>102620</v>
      </c>
      <c r="E3285" s="2" t="s">
        <v>161</v>
      </c>
      <c r="F3285" s="15">
        <v>34195.4</v>
      </c>
      <c r="G3285" s="41">
        <v>42818</v>
      </c>
      <c r="H3285" s="15">
        <f t="shared" si="97"/>
        <v>34195.4</v>
      </c>
      <c r="I3285" s="15">
        <f t="shared" si="96"/>
        <v>0</v>
      </c>
      <c r="J3285" s="19"/>
    </row>
    <row r="3286" spans="1:10" x14ac:dyDescent="0.25">
      <c r="A3286" s="82">
        <v>42793</v>
      </c>
      <c r="B3286" s="39" t="s">
        <v>7587</v>
      </c>
      <c r="C3286" s="89"/>
      <c r="D3286" s="18">
        <v>102621</v>
      </c>
      <c r="E3286" s="2" t="s">
        <v>163</v>
      </c>
      <c r="F3286" s="15">
        <v>13084</v>
      </c>
      <c r="G3286" s="41">
        <v>42816</v>
      </c>
      <c r="H3286" s="15">
        <f t="shared" si="97"/>
        <v>13084</v>
      </c>
      <c r="I3286" s="15">
        <f t="shared" si="96"/>
        <v>0</v>
      </c>
      <c r="J3286" s="19"/>
    </row>
    <row r="3287" spans="1:10" x14ac:dyDescent="0.25">
      <c r="A3287" s="82">
        <v>42793</v>
      </c>
      <c r="B3287" s="39" t="s">
        <v>7588</v>
      </c>
      <c r="C3287" s="89"/>
      <c r="D3287" s="18">
        <v>102622</v>
      </c>
      <c r="E3287" s="2" t="s">
        <v>165</v>
      </c>
      <c r="F3287" s="15">
        <v>9201</v>
      </c>
      <c r="G3287" s="41">
        <v>42816</v>
      </c>
      <c r="H3287" s="15">
        <f t="shared" si="97"/>
        <v>9201</v>
      </c>
      <c r="I3287" s="15">
        <f t="shared" si="96"/>
        <v>0</v>
      </c>
      <c r="J3287" s="19"/>
    </row>
    <row r="3288" spans="1:10" x14ac:dyDescent="0.25">
      <c r="A3288" s="82">
        <v>42793</v>
      </c>
      <c r="B3288" s="39" t="s">
        <v>7589</v>
      </c>
      <c r="C3288" s="89"/>
      <c r="D3288" s="18">
        <v>102623</v>
      </c>
      <c r="E3288" s="2" t="s">
        <v>168</v>
      </c>
      <c r="F3288" s="15">
        <v>5316.1</v>
      </c>
      <c r="G3288" s="41">
        <v>42800</v>
      </c>
      <c r="H3288" s="15">
        <f t="shared" si="97"/>
        <v>5316.1</v>
      </c>
      <c r="I3288" s="15">
        <f t="shared" si="96"/>
        <v>0</v>
      </c>
      <c r="J3288" s="19"/>
    </row>
    <row r="3289" spans="1:10" x14ac:dyDescent="0.25">
      <c r="A3289" s="82">
        <v>42793</v>
      </c>
      <c r="B3289" s="39" t="s">
        <v>7590</v>
      </c>
      <c r="C3289" s="89"/>
      <c r="D3289" s="18">
        <v>102624</v>
      </c>
      <c r="E3289" s="2" t="s">
        <v>302</v>
      </c>
      <c r="F3289" s="15">
        <v>7590.4</v>
      </c>
      <c r="G3289" s="41">
        <v>42793</v>
      </c>
      <c r="H3289" s="15">
        <f t="shared" si="97"/>
        <v>7590.4</v>
      </c>
      <c r="I3289" s="15">
        <f t="shared" si="96"/>
        <v>0</v>
      </c>
      <c r="J3289" s="19"/>
    </row>
    <row r="3290" spans="1:10" x14ac:dyDescent="0.25">
      <c r="A3290" s="82">
        <v>42793</v>
      </c>
      <c r="B3290" s="39" t="s">
        <v>7591</v>
      </c>
      <c r="C3290" s="89"/>
      <c r="D3290" s="18">
        <v>102625</v>
      </c>
      <c r="E3290" s="2" t="s">
        <v>133</v>
      </c>
      <c r="F3290" s="15">
        <v>1381</v>
      </c>
      <c r="G3290" s="41">
        <v>42793</v>
      </c>
      <c r="H3290" s="15">
        <f t="shared" si="97"/>
        <v>1381</v>
      </c>
      <c r="I3290" s="15">
        <f t="shared" si="96"/>
        <v>0</v>
      </c>
      <c r="J3290" s="19"/>
    </row>
    <row r="3291" spans="1:10" x14ac:dyDescent="0.25">
      <c r="A3291" s="82">
        <v>42793</v>
      </c>
      <c r="B3291" s="39" t="s">
        <v>7592</v>
      </c>
      <c r="C3291" s="89"/>
      <c r="D3291" s="18">
        <v>102626</v>
      </c>
      <c r="E3291" s="2" t="s">
        <v>147</v>
      </c>
      <c r="F3291" s="15">
        <v>44942.8</v>
      </c>
      <c r="G3291" s="41">
        <v>42793</v>
      </c>
      <c r="H3291" s="15">
        <f t="shared" si="97"/>
        <v>44942.8</v>
      </c>
      <c r="I3291" s="15">
        <f t="shared" si="96"/>
        <v>0</v>
      </c>
      <c r="J3291" s="19"/>
    </row>
    <row r="3292" spans="1:10" x14ac:dyDescent="0.25">
      <c r="A3292" s="82">
        <v>42793</v>
      </c>
      <c r="B3292" s="39" t="s">
        <v>7593</v>
      </c>
      <c r="C3292" s="89"/>
      <c r="D3292" s="18">
        <v>102627</v>
      </c>
      <c r="E3292" s="2" t="s">
        <v>30</v>
      </c>
      <c r="F3292" s="15">
        <v>1987.88</v>
      </c>
      <c r="G3292" s="41">
        <v>42793</v>
      </c>
      <c r="H3292" s="15">
        <f t="shared" si="97"/>
        <v>1987.88</v>
      </c>
      <c r="I3292" s="15">
        <f t="shared" si="96"/>
        <v>0</v>
      </c>
      <c r="J3292" s="19"/>
    </row>
    <row r="3293" spans="1:10" x14ac:dyDescent="0.25">
      <c r="A3293" s="82">
        <v>42793</v>
      </c>
      <c r="B3293" s="39" t="s">
        <v>7594</v>
      </c>
      <c r="C3293" s="89"/>
      <c r="D3293" s="18">
        <v>102628</v>
      </c>
      <c r="E3293" s="2" t="s">
        <v>30</v>
      </c>
      <c r="F3293" s="15">
        <v>2047</v>
      </c>
      <c r="G3293" s="41">
        <v>42793</v>
      </c>
      <c r="H3293" s="15">
        <f t="shared" si="97"/>
        <v>2047</v>
      </c>
      <c r="I3293" s="15">
        <f t="shared" si="96"/>
        <v>0</v>
      </c>
      <c r="J3293" s="19"/>
    </row>
    <row r="3294" spans="1:10" x14ac:dyDescent="0.25">
      <c r="A3294" s="82">
        <v>42793</v>
      </c>
      <c r="B3294" s="39" t="s">
        <v>7595</v>
      </c>
      <c r="C3294" s="89"/>
      <c r="D3294" s="18">
        <v>102629</v>
      </c>
      <c r="E3294" s="2" t="s">
        <v>305</v>
      </c>
      <c r="F3294" s="15">
        <v>3785</v>
      </c>
      <c r="G3294" s="41">
        <v>42800</v>
      </c>
      <c r="H3294" s="15">
        <f t="shared" si="97"/>
        <v>3785</v>
      </c>
      <c r="I3294" s="15">
        <f t="shared" si="96"/>
        <v>0</v>
      </c>
      <c r="J3294" s="19"/>
    </row>
    <row r="3295" spans="1:10" x14ac:dyDescent="0.25">
      <c r="A3295" s="82">
        <v>42793</v>
      </c>
      <c r="B3295" s="39" t="s">
        <v>7596</v>
      </c>
      <c r="C3295" s="89"/>
      <c r="D3295" s="18">
        <v>102630</v>
      </c>
      <c r="E3295" s="2" t="s">
        <v>476</v>
      </c>
      <c r="F3295" s="15">
        <v>15527.8</v>
      </c>
      <c r="G3295" s="41">
        <v>42800</v>
      </c>
      <c r="H3295" s="15">
        <f t="shared" si="97"/>
        <v>15527.8</v>
      </c>
      <c r="I3295" s="15">
        <f t="shared" si="96"/>
        <v>0</v>
      </c>
      <c r="J3295" s="19"/>
    </row>
    <row r="3296" spans="1:10" x14ac:dyDescent="0.25">
      <c r="A3296" s="82">
        <v>42793</v>
      </c>
      <c r="B3296" s="39" t="s">
        <v>7597</v>
      </c>
      <c r="C3296" s="89"/>
      <c r="D3296" s="18">
        <v>102631</v>
      </c>
      <c r="E3296" s="2" t="s">
        <v>220</v>
      </c>
      <c r="F3296" s="15">
        <v>2071.1999999999998</v>
      </c>
      <c r="G3296" s="41">
        <v>42793</v>
      </c>
      <c r="H3296" s="15">
        <f t="shared" si="97"/>
        <v>2071.1999999999998</v>
      </c>
      <c r="I3296" s="15">
        <f t="shared" si="96"/>
        <v>0</v>
      </c>
      <c r="J3296" s="19"/>
    </row>
    <row r="3297" spans="1:10" x14ac:dyDescent="0.25">
      <c r="A3297" s="82">
        <v>42793</v>
      </c>
      <c r="B3297" s="39" t="s">
        <v>7598</v>
      </c>
      <c r="C3297" s="89"/>
      <c r="D3297" s="18">
        <v>102632</v>
      </c>
      <c r="E3297" s="2" t="s">
        <v>201</v>
      </c>
      <c r="F3297" s="15">
        <v>31545.200000000001</v>
      </c>
      <c r="G3297" s="41">
        <v>42738</v>
      </c>
      <c r="H3297" s="15">
        <f t="shared" si="97"/>
        <v>31545.200000000001</v>
      </c>
      <c r="I3297" s="15">
        <f t="shared" si="96"/>
        <v>0</v>
      </c>
      <c r="J3297" s="19"/>
    </row>
    <row r="3298" spans="1:10" x14ac:dyDescent="0.25">
      <c r="A3298" s="82">
        <v>42793</v>
      </c>
      <c r="B3298" s="39" t="s">
        <v>7599</v>
      </c>
      <c r="C3298" s="89"/>
      <c r="D3298" s="18">
        <v>102633</v>
      </c>
      <c r="E3298" s="2" t="s">
        <v>268</v>
      </c>
      <c r="F3298" s="15">
        <v>9190.4</v>
      </c>
      <c r="G3298" s="41">
        <v>42738</v>
      </c>
      <c r="H3298" s="15">
        <f t="shared" si="97"/>
        <v>9190.4</v>
      </c>
      <c r="I3298" s="15">
        <f t="shared" si="96"/>
        <v>0</v>
      </c>
      <c r="J3298" s="19"/>
    </row>
    <row r="3299" spans="1:10" ht="30" x14ac:dyDescent="0.25">
      <c r="A3299" s="82">
        <v>42793</v>
      </c>
      <c r="B3299" s="90" t="s">
        <v>7600</v>
      </c>
      <c r="C3299" s="91"/>
      <c r="D3299" s="61">
        <v>102634</v>
      </c>
      <c r="E3299" s="62" t="s">
        <v>10</v>
      </c>
      <c r="F3299" s="63">
        <v>187408</v>
      </c>
      <c r="G3299" s="87" t="s">
        <v>7761</v>
      </c>
      <c r="H3299" s="65">
        <f>129889.87+57518.13</f>
        <v>187408</v>
      </c>
      <c r="I3299" s="65">
        <f t="shared" si="96"/>
        <v>0</v>
      </c>
      <c r="J3299" s="19"/>
    </row>
    <row r="3300" spans="1:10" x14ac:dyDescent="0.25">
      <c r="A3300" s="82">
        <v>42793</v>
      </c>
      <c r="B3300" s="39" t="s">
        <v>7601</v>
      </c>
      <c r="C3300" s="89"/>
      <c r="D3300" s="18">
        <v>102635</v>
      </c>
      <c r="E3300" s="13" t="s">
        <v>312</v>
      </c>
      <c r="F3300" s="14">
        <v>0</v>
      </c>
      <c r="G3300" s="88" t="s">
        <v>95</v>
      </c>
      <c r="H3300" s="14">
        <f t="shared" si="97"/>
        <v>0</v>
      </c>
      <c r="I3300" s="14">
        <f t="shared" si="96"/>
        <v>0</v>
      </c>
      <c r="J3300" s="19"/>
    </row>
    <row r="3301" spans="1:10" x14ac:dyDescent="0.25">
      <c r="A3301" s="82">
        <v>42793</v>
      </c>
      <c r="B3301" s="39" t="s">
        <v>7602</v>
      </c>
      <c r="C3301" s="89"/>
      <c r="D3301" s="18">
        <v>102636</v>
      </c>
      <c r="E3301" s="2" t="s">
        <v>176</v>
      </c>
      <c r="F3301" s="15">
        <v>4572.3999999999996</v>
      </c>
      <c r="G3301" s="41">
        <v>42793</v>
      </c>
      <c r="H3301" s="15">
        <f t="shared" si="97"/>
        <v>4572.3999999999996</v>
      </c>
      <c r="I3301" s="15">
        <f t="shared" si="96"/>
        <v>0</v>
      </c>
      <c r="J3301" s="19"/>
    </row>
    <row r="3302" spans="1:10" x14ac:dyDescent="0.25">
      <c r="A3302" s="82">
        <v>42793</v>
      </c>
      <c r="B3302" s="39" t="s">
        <v>7603</v>
      </c>
      <c r="C3302" s="89"/>
      <c r="D3302" s="18">
        <v>102637</v>
      </c>
      <c r="E3302" s="2" t="s">
        <v>312</v>
      </c>
      <c r="F3302" s="15">
        <v>18985.2</v>
      </c>
      <c r="G3302" s="41">
        <v>42893</v>
      </c>
      <c r="H3302" s="15">
        <f t="shared" si="97"/>
        <v>18985.2</v>
      </c>
      <c r="I3302" s="15">
        <f t="shared" si="96"/>
        <v>0</v>
      </c>
      <c r="J3302" s="19"/>
    </row>
    <row r="3303" spans="1:10" x14ac:dyDescent="0.25">
      <c r="A3303" s="82">
        <v>42793</v>
      </c>
      <c r="B3303" s="39" t="s">
        <v>7604</v>
      </c>
      <c r="C3303" s="89"/>
      <c r="D3303" s="18">
        <v>102638</v>
      </c>
      <c r="E3303" s="2" t="s">
        <v>1325</v>
      </c>
      <c r="F3303" s="15">
        <v>2494.8000000000002</v>
      </c>
      <c r="G3303" s="41">
        <v>42793</v>
      </c>
      <c r="H3303" s="15">
        <f t="shared" si="97"/>
        <v>2494.8000000000002</v>
      </c>
      <c r="I3303" s="15">
        <f t="shared" si="96"/>
        <v>0</v>
      </c>
      <c r="J3303" s="19"/>
    </row>
    <row r="3304" spans="1:10" x14ac:dyDescent="0.25">
      <c r="A3304" s="82">
        <v>42793</v>
      </c>
      <c r="B3304" s="39" t="s">
        <v>7605</v>
      </c>
      <c r="C3304" s="89"/>
      <c r="D3304" s="18">
        <v>102639</v>
      </c>
      <c r="E3304" s="2" t="s">
        <v>69</v>
      </c>
      <c r="F3304" s="15">
        <v>520</v>
      </c>
      <c r="G3304" s="41">
        <v>42793</v>
      </c>
      <c r="H3304" s="15">
        <f t="shared" si="97"/>
        <v>520</v>
      </c>
      <c r="I3304" s="15">
        <f t="shared" si="96"/>
        <v>0</v>
      </c>
      <c r="J3304" s="19"/>
    </row>
    <row r="3305" spans="1:10" x14ac:dyDescent="0.25">
      <c r="A3305" s="82">
        <v>42793</v>
      </c>
      <c r="B3305" s="39" t="s">
        <v>7606</v>
      </c>
      <c r="C3305" s="89"/>
      <c r="D3305" s="18">
        <v>102640</v>
      </c>
      <c r="E3305" s="2" t="s">
        <v>2986</v>
      </c>
      <c r="F3305" s="15">
        <v>4704.3999999999996</v>
      </c>
      <c r="G3305" s="41">
        <v>42793</v>
      </c>
      <c r="H3305" s="15">
        <f t="shared" si="97"/>
        <v>4704.3999999999996</v>
      </c>
      <c r="I3305" s="15">
        <f t="shared" si="96"/>
        <v>0</v>
      </c>
      <c r="J3305" s="19"/>
    </row>
    <row r="3306" spans="1:10" x14ac:dyDescent="0.25">
      <c r="A3306" s="82">
        <v>42793</v>
      </c>
      <c r="B3306" s="39" t="s">
        <v>7607</v>
      </c>
      <c r="C3306" s="89"/>
      <c r="D3306" s="18">
        <v>102641</v>
      </c>
      <c r="E3306" s="2" t="s">
        <v>55</v>
      </c>
      <c r="F3306" s="15">
        <v>11719</v>
      </c>
      <c r="G3306" s="41">
        <v>42793</v>
      </c>
      <c r="H3306" s="15">
        <f t="shared" si="97"/>
        <v>11719</v>
      </c>
      <c r="I3306" s="15">
        <f t="shared" si="96"/>
        <v>0</v>
      </c>
      <c r="J3306" s="19"/>
    </row>
    <row r="3307" spans="1:10" x14ac:dyDescent="0.25">
      <c r="A3307" s="82">
        <v>42793</v>
      </c>
      <c r="B3307" s="39" t="s">
        <v>7608</v>
      </c>
      <c r="C3307" s="89"/>
      <c r="D3307" s="18">
        <v>102642</v>
      </c>
      <c r="E3307" s="2" t="s">
        <v>30</v>
      </c>
      <c r="F3307" s="15">
        <v>538.20000000000005</v>
      </c>
      <c r="G3307" s="41">
        <v>42793</v>
      </c>
      <c r="H3307" s="15">
        <f t="shared" si="97"/>
        <v>538.20000000000005</v>
      </c>
      <c r="I3307" s="15">
        <f t="shared" si="96"/>
        <v>0</v>
      </c>
      <c r="J3307" s="19"/>
    </row>
    <row r="3308" spans="1:10" x14ac:dyDescent="0.25">
      <c r="A3308" s="82">
        <v>42793</v>
      </c>
      <c r="B3308" s="39" t="s">
        <v>7609</v>
      </c>
      <c r="C3308" s="89"/>
      <c r="D3308" s="18">
        <v>102643</v>
      </c>
      <c r="E3308" s="2" t="s">
        <v>30</v>
      </c>
      <c r="F3308" s="15">
        <v>1305.2</v>
      </c>
      <c r="G3308" s="41">
        <v>42793</v>
      </c>
      <c r="H3308" s="15">
        <f t="shared" si="97"/>
        <v>1305.2</v>
      </c>
      <c r="I3308" s="15">
        <f t="shared" si="96"/>
        <v>0</v>
      </c>
      <c r="J3308" s="19"/>
    </row>
    <row r="3309" spans="1:10" x14ac:dyDescent="0.25">
      <c r="A3309" s="82">
        <v>42793</v>
      </c>
      <c r="B3309" s="39" t="s">
        <v>7610</v>
      </c>
      <c r="C3309" s="89"/>
      <c r="D3309" s="18">
        <v>102644</v>
      </c>
      <c r="E3309" s="2" t="s">
        <v>2240</v>
      </c>
      <c r="F3309" s="15">
        <v>6736.6</v>
      </c>
      <c r="G3309" s="41">
        <v>42793</v>
      </c>
      <c r="H3309" s="15">
        <f t="shared" si="97"/>
        <v>6736.6</v>
      </c>
      <c r="I3309" s="15">
        <f t="shared" si="96"/>
        <v>0</v>
      </c>
      <c r="J3309" s="19"/>
    </row>
    <row r="3310" spans="1:10" x14ac:dyDescent="0.25">
      <c r="A3310" s="82">
        <v>42793</v>
      </c>
      <c r="B3310" s="39" t="s">
        <v>7611</v>
      </c>
      <c r="C3310" s="89"/>
      <c r="D3310" s="18">
        <v>102645</v>
      </c>
      <c r="E3310" s="2" t="s">
        <v>356</v>
      </c>
      <c r="F3310" s="15">
        <v>13446.4</v>
      </c>
      <c r="H3310" s="15">
        <f t="shared" si="97"/>
        <v>13446.4</v>
      </c>
      <c r="I3310" s="15">
        <f t="shared" si="96"/>
        <v>0</v>
      </c>
      <c r="J3310" s="19"/>
    </row>
    <row r="3311" spans="1:10" x14ac:dyDescent="0.25">
      <c r="A3311" s="82">
        <v>42793</v>
      </c>
      <c r="B3311" s="39" t="s">
        <v>7612</v>
      </c>
      <c r="C3311" s="89"/>
      <c r="D3311" s="18">
        <v>102646</v>
      </c>
      <c r="E3311" s="2" t="s">
        <v>182</v>
      </c>
      <c r="F3311" s="15">
        <v>2368.8000000000002</v>
      </c>
      <c r="G3311" s="41">
        <v>42794</v>
      </c>
      <c r="H3311" s="15">
        <f t="shared" si="97"/>
        <v>2368.8000000000002</v>
      </c>
      <c r="I3311" s="15">
        <f t="shared" si="96"/>
        <v>0</v>
      </c>
      <c r="J3311" s="19"/>
    </row>
    <row r="3312" spans="1:10" x14ac:dyDescent="0.25">
      <c r="A3312" s="82">
        <v>42793</v>
      </c>
      <c r="B3312" s="39" t="s">
        <v>7613</v>
      </c>
      <c r="C3312" s="89"/>
      <c r="D3312" s="18">
        <v>102647</v>
      </c>
      <c r="E3312" s="2" t="s">
        <v>1166</v>
      </c>
      <c r="F3312" s="15">
        <v>1038.2</v>
      </c>
      <c r="G3312" s="41">
        <v>42794</v>
      </c>
      <c r="H3312" s="15">
        <f t="shared" si="97"/>
        <v>1038.2</v>
      </c>
      <c r="I3312" s="15">
        <f t="shared" si="96"/>
        <v>0</v>
      </c>
      <c r="J3312" s="19"/>
    </row>
    <row r="3313" spans="1:10" x14ac:dyDescent="0.25">
      <c r="A3313" s="82">
        <v>42793</v>
      </c>
      <c r="B3313" s="39" t="s">
        <v>7614</v>
      </c>
      <c r="C3313" s="89"/>
      <c r="D3313" s="18">
        <v>102648</v>
      </c>
      <c r="E3313" s="2" t="s">
        <v>193</v>
      </c>
      <c r="F3313" s="15">
        <v>1748</v>
      </c>
      <c r="G3313" s="41">
        <v>42794</v>
      </c>
      <c r="H3313" s="15">
        <f t="shared" si="97"/>
        <v>1748</v>
      </c>
      <c r="I3313" s="15">
        <f t="shared" si="96"/>
        <v>0</v>
      </c>
      <c r="J3313" s="19"/>
    </row>
    <row r="3314" spans="1:10" x14ac:dyDescent="0.25">
      <c r="A3314" s="82">
        <v>42793</v>
      </c>
      <c r="B3314" s="39" t="s">
        <v>7615</v>
      </c>
      <c r="C3314" s="89"/>
      <c r="D3314" s="18">
        <v>102649</v>
      </c>
      <c r="E3314" s="2" t="s">
        <v>1163</v>
      </c>
      <c r="F3314" s="15">
        <v>29281</v>
      </c>
      <c r="G3314" s="41">
        <v>42794</v>
      </c>
      <c r="H3314" s="15">
        <f t="shared" si="97"/>
        <v>29281</v>
      </c>
      <c r="I3314" s="15">
        <f t="shared" si="96"/>
        <v>0</v>
      </c>
      <c r="J3314" s="19"/>
    </row>
    <row r="3315" spans="1:10" x14ac:dyDescent="0.25">
      <c r="A3315" s="82">
        <v>42793</v>
      </c>
      <c r="B3315" s="39" t="s">
        <v>7616</v>
      </c>
      <c r="C3315" s="89"/>
      <c r="D3315" s="18">
        <v>102650</v>
      </c>
      <c r="E3315" s="2" t="s">
        <v>3997</v>
      </c>
      <c r="F3315" s="15">
        <v>7224.6</v>
      </c>
      <c r="G3315" s="41">
        <v>42798</v>
      </c>
      <c r="H3315" s="15">
        <f t="shared" si="97"/>
        <v>7224.6</v>
      </c>
      <c r="I3315" s="15">
        <f t="shared" si="96"/>
        <v>0</v>
      </c>
      <c r="J3315" s="19"/>
    </row>
    <row r="3316" spans="1:10" x14ac:dyDescent="0.25">
      <c r="A3316" s="82">
        <v>42793</v>
      </c>
      <c r="B3316" s="39" t="s">
        <v>7617</v>
      </c>
      <c r="C3316" s="89"/>
      <c r="D3316" s="18">
        <v>102651</v>
      </c>
      <c r="E3316" s="2" t="s">
        <v>1293</v>
      </c>
      <c r="F3316" s="15">
        <v>963.8</v>
      </c>
      <c r="G3316" s="41">
        <v>42794</v>
      </c>
      <c r="H3316" s="15">
        <f t="shared" si="97"/>
        <v>963.8</v>
      </c>
      <c r="I3316" s="15">
        <f t="shared" si="96"/>
        <v>0</v>
      </c>
      <c r="J3316" s="19"/>
    </row>
    <row r="3317" spans="1:10" x14ac:dyDescent="0.25">
      <c r="A3317" s="82">
        <v>42793</v>
      </c>
      <c r="B3317" s="39" t="s">
        <v>7618</v>
      </c>
      <c r="C3317" s="89"/>
      <c r="D3317" s="18">
        <v>102652</v>
      </c>
      <c r="E3317" s="2" t="s">
        <v>125</v>
      </c>
      <c r="F3317" s="15">
        <v>5530</v>
      </c>
      <c r="G3317" s="41">
        <v>42793</v>
      </c>
      <c r="H3317" s="15">
        <f t="shared" si="97"/>
        <v>5530</v>
      </c>
      <c r="I3317" s="15">
        <f t="shared" si="96"/>
        <v>0</v>
      </c>
      <c r="J3317" s="19"/>
    </row>
    <row r="3318" spans="1:10" x14ac:dyDescent="0.25">
      <c r="A3318" s="82">
        <v>42793</v>
      </c>
      <c r="B3318" s="39" t="s">
        <v>7619</v>
      </c>
      <c r="C3318" s="89"/>
      <c r="D3318" s="18">
        <v>102653</v>
      </c>
      <c r="E3318" s="2" t="s">
        <v>367</v>
      </c>
      <c r="F3318" s="15">
        <v>2818.2</v>
      </c>
      <c r="G3318" s="41">
        <v>42793</v>
      </c>
      <c r="H3318" s="15">
        <f t="shared" si="97"/>
        <v>2818.2</v>
      </c>
      <c r="I3318" s="15">
        <f t="shared" si="96"/>
        <v>0</v>
      </c>
      <c r="J3318" s="19"/>
    </row>
    <row r="3319" spans="1:10" x14ac:dyDescent="0.25">
      <c r="A3319" s="82">
        <v>42793</v>
      </c>
      <c r="B3319" s="39" t="s">
        <v>7620</v>
      </c>
      <c r="C3319" s="89"/>
      <c r="D3319" s="18">
        <v>102654</v>
      </c>
      <c r="E3319" s="2" t="s">
        <v>367</v>
      </c>
      <c r="F3319" s="15">
        <v>900</v>
      </c>
      <c r="G3319" s="41">
        <v>42793</v>
      </c>
      <c r="H3319" s="15">
        <f t="shared" si="97"/>
        <v>900</v>
      </c>
      <c r="I3319" s="15">
        <f t="shared" si="96"/>
        <v>0</v>
      </c>
      <c r="J3319" s="19"/>
    </row>
    <row r="3320" spans="1:10" x14ac:dyDescent="0.25">
      <c r="A3320" s="82">
        <v>42793</v>
      </c>
      <c r="B3320" s="39" t="s">
        <v>7621</v>
      </c>
      <c r="C3320" s="89"/>
      <c r="D3320" s="18">
        <v>102655</v>
      </c>
      <c r="E3320" s="2" t="s">
        <v>367</v>
      </c>
      <c r="F3320" s="15">
        <v>900</v>
      </c>
      <c r="G3320" s="41">
        <v>42793</v>
      </c>
      <c r="H3320" s="15">
        <f t="shared" si="97"/>
        <v>900</v>
      </c>
      <c r="I3320" s="15">
        <f t="shared" ref="I3320:I3383" si="98">F3320-H3320</f>
        <v>0</v>
      </c>
      <c r="J3320" s="19"/>
    </row>
    <row r="3321" spans="1:10" ht="60" x14ac:dyDescent="0.25">
      <c r="A3321" s="82">
        <v>42793</v>
      </c>
      <c r="B3321" s="95" t="s">
        <v>7622</v>
      </c>
      <c r="C3321" s="96"/>
      <c r="D3321" s="54">
        <v>102656</v>
      </c>
      <c r="E3321" s="55" t="s">
        <v>1594</v>
      </c>
      <c r="F3321" s="56">
        <v>62339</v>
      </c>
      <c r="G3321" s="87" t="s">
        <v>11495</v>
      </c>
      <c r="H3321" s="97">
        <f>15000+10000+10000+27339</f>
        <v>62339</v>
      </c>
      <c r="I3321" s="97">
        <f t="shared" si="98"/>
        <v>0</v>
      </c>
      <c r="J3321" s="19"/>
    </row>
    <row r="3322" spans="1:10" x14ac:dyDescent="0.25">
      <c r="A3322" s="82">
        <v>42793</v>
      </c>
      <c r="B3322" s="39" t="s">
        <v>7623</v>
      </c>
      <c r="C3322" s="89"/>
      <c r="D3322" s="18">
        <v>102657</v>
      </c>
      <c r="E3322" s="2" t="s">
        <v>670</v>
      </c>
      <c r="F3322" s="15">
        <v>125262.8</v>
      </c>
      <c r="G3322" s="41">
        <v>42738</v>
      </c>
      <c r="H3322" s="15">
        <f t="shared" si="97"/>
        <v>125262.8</v>
      </c>
      <c r="I3322" s="15">
        <f t="shared" si="98"/>
        <v>0</v>
      </c>
      <c r="J3322" s="19"/>
    </row>
    <row r="3323" spans="1:10" x14ac:dyDescent="0.25">
      <c r="A3323" s="82">
        <v>42793</v>
      </c>
      <c r="B3323" s="39" t="s">
        <v>7624</v>
      </c>
      <c r="C3323" s="89"/>
      <c r="D3323" s="18">
        <v>102658</v>
      </c>
      <c r="E3323" s="2" t="s">
        <v>680</v>
      </c>
      <c r="F3323" s="15">
        <v>2574</v>
      </c>
      <c r="G3323" s="41">
        <v>42738</v>
      </c>
      <c r="H3323" s="15">
        <f t="shared" si="97"/>
        <v>2574</v>
      </c>
      <c r="I3323" s="15">
        <f t="shared" si="98"/>
        <v>0</v>
      </c>
      <c r="J3323" s="19"/>
    </row>
    <row r="3324" spans="1:10" x14ac:dyDescent="0.25">
      <c r="A3324" s="82">
        <v>42793</v>
      </c>
      <c r="B3324" s="39" t="s">
        <v>7625</v>
      </c>
      <c r="C3324" s="89"/>
      <c r="D3324" s="18">
        <v>102659</v>
      </c>
      <c r="E3324" s="2" t="s">
        <v>688</v>
      </c>
      <c r="F3324" s="15">
        <v>4531.3999999999996</v>
      </c>
      <c r="G3324" s="41">
        <v>42738</v>
      </c>
      <c r="H3324" s="15">
        <f t="shared" si="97"/>
        <v>4531.3999999999996</v>
      </c>
      <c r="I3324" s="15">
        <f t="shared" si="98"/>
        <v>0</v>
      </c>
      <c r="J3324" s="19"/>
    </row>
    <row r="3325" spans="1:10" x14ac:dyDescent="0.25">
      <c r="A3325" s="82">
        <v>42793</v>
      </c>
      <c r="B3325" s="39" t="s">
        <v>7626</v>
      </c>
      <c r="C3325" s="89"/>
      <c r="D3325" s="18">
        <v>102660</v>
      </c>
      <c r="E3325" s="2" t="s">
        <v>670</v>
      </c>
      <c r="F3325" s="15">
        <v>46890</v>
      </c>
      <c r="G3325" s="41">
        <v>42738</v>
      </c>
      <c r="H3325" s="15">
        <f t="shared" si="97"/>
        <v>46890</v>
      </c>
      <c r="I3325" s="15">
        <f t="shared" si="98"/>
        <v>0</v>
      </c>
      <c r="J3325" s="19"/>
    </row>
    <row r="3326" spans="1:10" x14ac:dyDescent="0.25">
      <c r="A3326" s="82">
        <v>42793</v>
      </c>
      <c r="B3326" s="39" t="s">
        <v>7627</v>
      </c>
      <c r="C3326" s="89"/>
      <c r="D3326" s="18">
        <v>102661</v>
      </c>
      <c r="E3326" s="2" t="s">
        <v>1197</v>
      </c>
      <c r="F3326" s="15">
        <v>6827.2</v>
      </c>
      <c r="G3326" s="41">
        <v>42738</v>
      </c>
      <c r="H3326" s="15">
        <f t="shared" si="97"/>
        <v>6827.2</v>
      </c>
      <c r="I3326" s="15">
        <f t="shared" si="98"/>
        <v>0</v>
      </c>
      <c r="J3326" s="19"/>
    </row>
    <row r="3327" spans="1:10" x14ac:dyDescent="0.25">
      <c r="A3327" s="82">
        <v>42793</v>
      </c>
      <c r="B3327" s="39" t="s">
        <v>7628</v>
      </c>
      <c r="C3327" s="89"/>
      <c r="D3327" s="18">
        <v>102662</v>
      </c>
      <c r="E3327" s="2" t="s">
        <v>677</v>
      </c>
      <c r="F3327" s="15">
        <v>1911.8</v>
      </c>
      <c r="G3327" s="41">
        <v>42738</v>
      </c>
      <c r="H3327" s="15">
        <f t="shared" si="97"/>
        <v>1911.8</v>
      </c>
      <c r="I3327" s="15">
        <f t="shared" si="98"/>
        <v>0</v>
      </c>
      <c r="J3327" s="19"/>
    </row>
    <row r="3328" spans="1:10" x14ac:dyDescent="0.25">
      <c r="A3328" s="82">
        <v>42793</v>
      </c>
      <c r="B3328" s="39" t="s">
        <v>7629</v>
      </c>
      <c r="C3328" s="89"/>
      <c r="D3328" s="18">
        <v>102663</v>
      </c>
      <c r="E3328" s="2" t="s">
        <v>670</v>
      </c>
      <c r="F3328" s="15">
        <v>13433</v>
      </c>
      <c r="G3328" s="41">
        <v>42738</v>
      </c>
      <c r="H3328" s="15">
        <f t="shared" si="97"/>
        <v>13433</v>
      </c>
      <c r="I3328" s="15">
        <f t="shared" si="98"/>
        <v>0</v>
      </c>
      <c r="J3328" s="19"/>
    </row>
    <row r="3329" spans="1:10" ht="15.75" x14ac:dyDescent="0.25">
      <c r="A3329" s="82">
        <v>42793</v>
      </c>
      <c r="B3329" s="39" t="s">
        <v>7630</v>
      </c>
      <c r="C3329" s="89"/>
      <c r="D3329" s="18">
        <v>102664</v>
      </c>
      <c r="E3329" s="2" t="s">
        <v>1199</v>
      </c>
      <c r="F3329" s="15">
        <v>18099.32</v>
      </c>
      <c r="G3329" s="415">
        <v>43025</v>
      </c>
      <c r="H3329" s="15">
        <f t="shared" si="97"/>
        <v>18099.32</v>
      </c>
      <c r="I3329" s="15">
        <f t="shared" si="98"/>
        <v>0</v>
      </c>
      <c r="J3329" s="19"/>
    </row>
    <row r="3330" spans="1:10" x14ac:dyDescent="0.25">
      <c r="A3330" s="82">
        <v>42793</v>
      </c>
      <c r="B3330" s="39" t="s">
        <v>7631</v>
      </c>
      <c r="C3330" s="89"/>
      <c r="D3330" s="18">
        <v>102665</v>
      </c>
      <c r="E3330" s="2" t="s">
        <v>1598</v>
      </c>
      <c r="F3330" s="15">
        <v>2261.6</v>
      </c>
      <c r="G3330" s="41">
        <v>42738</v>
      </c>
      <c r="H3330" s="15">
        <f t="shared" si="97"/>
        <v>2261.6</v>
      </c>
      <c r="I3330" s="15">
        <f t="shared" si="98"/>
        <v>0</v>
      </c>
      <c r="J3330" s="19"/>
    </row>
    <row r="3331" spans="1:10" x14ac:dyDescent="0.25">
      <c r="A3331" s="82">
        <v>42793</v>
      </c>
      <c r="B3331" s="39" t="s">
        <v>7632</v>
      </c>
      <c r="C3331" s="89"/>
      <c r="D3331" s="18">
        <v>102666</v>
      </c>
      <c r="E3331" s="2" t="s">
        <v>5219</v>
      </c>
      <c r="F3331" s="15">
        <v>2156</v>
      </c>
      <c r="G3331" s="41">
        <v>42793</v>
      </c>
      <c r="H3331" s="15">
        <f t="shared" si="97"/>
        <v>2156</v>
      </c>
      <c r="I3331" s="15">
        <f t="shared" si="98"/>
        <v>0</v>
      </c>
      <c r="J3331" s="19"/>
    </row>
    <row r="3332" spans="1:10" x14ac:dyDescent="0.25">
      <c r="A3332" s="82">
        <v>42793</v>
      </c>
      <c r="B3332" s="39" t="s">
        <v>7633</v>
      </c>
      <c r="C3332" s="89"/>
      <c r="D3332" s="18">
        <v>102667</v>
      </c>
      <c r="E3332" s="2" t="s">
        <v>1199</v>
      </c>
      <c r="F3332" s="15">
        <v>2615.04</v>
      </c>
      <c r="G3332" s="121">
        <v>42920</v>
      </c>
      <c r="H3332" s="35">
        <f t="shared" ref="H3332:H3395" si="99">F3332</f>
        <v>2615.04</v>
      </c>
      <c r="I3332" s="15">
        <f t="shared" si="98"/>
        <v>0</v>
      </c>
      <c r="J3332" s="19"/>
    </row>
    <row r="3333" spans="1:10" x14ac:dyDescent="0.25">
      <c r="A3333" s="82">
        <v>42793</v>
      </c>
      <c r="B3333" s="39" t="s">
        <v>7634</v>
      </c>
      <c r="C3333" s="89"/>
      <c r="D3333" s="18">
        <v>102668</v>
      </c>
      <c r="E3333" s="2" t="s">
        <v>686</v>
      </c>
      <c r="F3333" s="15">
        <v>19170.599999999999</v>
      </c>
      <c r="G3333" s="41">
        <v>42738</v>
      </c>
      <c r="H3333" s="15">
        <f t="shared" si="99"/>
        <v>19170.599999999999</v>
      </c>
      <c r="I3333" s="15">
        <f t="shared" si="98"/>
        <v>0</v>
      </c>
      <c r="J3333" s="19"/>
    </row>
    <row r="3334" spans="1:10" x14ac:dyDescent="0.25">
      <c r="A3334" s="82">
        <v>42793</v>
      </c>
      <c r="B3334" s="39" t="s">
        <v>7635</v>
      </c>
      <c r="C3334" s="89"/>
      <c r="D3334" s="18">
        <v>102669</v>
      </c>
      <c r="E3334" s="2" t="s">
        <v>316</v>
      </c>
      <c r="F3334" s="15">
        <v>11881.08</v>
      </c>
      <c r="G3334" s="41">
        <v>42802</v>
      </c>
      <c r="H3334" s="15">
        <f t="shared" si="99"/>
        <v>11881.08</v>
      </c>
      <c r="I3334" s="15">
        <f t="shared" si="98"/>
        <v>0</v>
      </c>
      <c r="J3334" s="19"/>
    </row>
    <row r="3335" spans="1:10" x14ac:dyDescent="0.25">
      <c r="A3335" s="82">
        <v>42793</v>
      </c>
      <c r="B3335" s="39" t="s">
        <v>7636</v>
      </c>
      <c r="C3335" s="89"/>
      <c r="D3335" s="18">
        <v>102670</v>
      </c>
      <c r="E3335" s="2" t="s">
        <v>2736</v>
      </c>
      <c r="F3335" s="15">
        <v>400</v>
      </c>
      <c r="G3335" s="41">
        <v>42793</v>
      </c>
      <c r="H3335" s="15">
        <f t="shared" si="99"/>
        <v>400</v>
      </c>
      <c r="I3335" s="15">
        <f t="shared" si="98"/>
        <v>0</v>
      </c>
      <c r="J3335" s="19"/>
    </row>
    <row r="3336" spans="1:10" x14ac:dyDescent="0.25">
      <c r="A3336" s="82">
        <v>42793</v>
      </c>
      <c r="B3336" s="39" t="s">
        <v>7637</v>
      </c>
      <c r="C3336" s="89"/>
      <c r="D3336" s="18">
        <v>102671</v>
      </c>
      <c r="E3336" s="2" t="s">
        <v>211</v>
      </c>
      <c r="F3336" s="15">
        <v>8707.4</v>
      </c>
      <c r="G3336" s="41">
        <v>42793</v>
      </c>
      <c r="H3336" s="15">
        <f t="shared" si="99"/>
        <v>8707.4</v>
      </c>
      <c r="I3336" s="15">
        <f t="shared" si="98"/>
        <v>0</v>
      </c>
      <c r="J3336" s="19"/>
    </row>
    <row r="3337" spans="1:10" x14ac:dyDescent="0.25">
      <c r="A3337" s="82">
        <v>42793</v>
      </c>
      <c r="B3337" s="39" t="s">
        <v>7638</v>
      </c>
      <c r="C3337" s="89"/>
      <c r="D3337" s="18">
        <v>102672</v>
      </c>
      <c r="E3337" s="2" t="s">
        <v>354</v>
      </c>
      <c r="F3337" s="15">
        <v>527.4</v>
      </c>
      <c r="G3337" s="41">
        <v>42793</v>
      </c>
      <c r="H3337" s="15">
        <f t="shared" si="99"/>
        <v>527.4</v>
      </c>
      <c r="I3337" s="15">
        <f t="shared" si="98"/>
        <v>0</v>
      </c>
      <c r="J3337" s="19"/>
    </row>
    <row r="3338" spans="1:10" x14ac:dyDescent="0.25">
      <c r="A3338" s="82">
        <v>42793</v>
      </c>
      <c r="B3338" s="39" t="s">
        <v>7639</v>
      </c>
      <c r="C3338" s="89"/>
      <c r="D3338" s="18">
        <v>102673</v>
      </c>
      <c r="E3338" s="2" t="s">
        <v>222</v>
      </c>
      <c r="F3338" s="15">
        <v>385440</v>
      </c>
      <c r="G3338" s="41">
        <v>42738</v>
      </c>
      <c r="H3338" s="15">
        <f t="shared" si="99"/>
        <v>385440</v>
      </c>
      <c r="I3338" s="15">
        <f t="shared" si="98"/>
        <v>0</v>
      </c>
      <c r="J3338" s="19"/>
    </row>
    <row r="3339" spans="1:10" x14ac:dyDescent="0.25">
      <c r="A3339" s="82">
        <v>42793</v>
      </c>
      <c r="B3339" s="39" t="s">
        <v>7640</v>
      </c>
      <c r="C3339" s="89"/>
      <c r="D3339" s="18">
        <v>102674</v>
      </c>
      <c r="E3339" s="2" t="s">
        <v>222</v>
      </c>
      <c r="F3339" s="15">
        <v>415800</v>
      </c>
      <c r="G3339" s="41">
        <v>42738</v>
      </c>
      <c r="H3339" s="15">
        <f t="shared" si="99"/>
        <v>415800</v>
      </c>
      <c r="I3339" s="15">
        <f t="shared" si="98"/>
        <v>0</v>
      </c>
      <c r="J3339" s="19"/>
    </row>
    <row r="3340" spans="1:10" x14ac:dyDescent="0.25">
      <c r="A3340" s="82">
        <v>42793</v>
      </c>
      <c r="B3340" s="39" t="s">
        <v>7641</v>
      </c>
      <c r="C3340" s="89"/>
      <c r="D3340" s="18">
        <v>102675</v>
      </c>
      <c r="E3340" s="2" t="s">
        <v>222</v>
      </c>
      <c r="F3340" s="15">
        <v>420024</v>
      </c>
      <c r="G3340" s="41">
        <v>42800</v>
      </c>
      <c r="H3340" s="15">
        <f t="shared" si="99"/>
        <v>420024</v>
      </c>
      <c r="I3340" s="15">
        <f t="shared" si="98"/>
        <v>0</v>
      </c>
    </row>
    <row r="3341" spans="1:10" x14ac:dyDescent="0.25">
      <c r="A3341" s="82">
        <v>42793</v>
      </c>
      <c r="B3341" s="39" t="s">
        <v>7642</v>
      </c>
      <c r="C3341" s="89"/>
      <c r="D3341" s="18">
        <v>102676</v>
      </c>
      <c r="E3341" s="2" t="s">
        <v>47</v>
      </c>
      <c r="F3341" s="15">
        <v>202.4</v>
      </c>
      <c r="G3341" s="41">
        <v>42793</v>
      </c>
      <c r="H3341" s="15">
        <f t="shared" si="99"/>
        <v>202.4</v>
      </c>
      <c r="I3341" s="15">
        <f t="shared" si="98"/>
        <v>0</v>
      </c>
    </row>
    <row r="3342" spans="1:10" x14ac:dyDescent="0.25">
      <c r="A3342" s="82">
        <v>42794</v>
      </c>
      <c r="B3342" s="39" t="s">
        <v>7643</v>
      </c>
      <c r="C3342" s="89"/>
      <c r="D3342" s="18">
        <v>102677</v>
      </c>
      <c r="E3342" s="2" t="s">
        <v>231</v>
      </c>
      <c r="F3342" s="15">
        <v>6366</v>
      </c>
      <c r="G3342" s="41">
        <v>42796</v>
      </c>
      <c r="H3342" s="15">
        <f t="shared" si="99"/>
        <v>6366</v>
      </c>
      <c r="I3342" s="15">
        <f t="shared" si="98"/>
        <v>0</v>
      </c>
    </row>
    <row r="3343" spans="1:10" x14ac:dyDescent="0.25">
      <c r="A3343" s="82">
        <v>42794</v>
      </c>
      <c r="B3343" s="39" t="s">
        <v>7644</v>
      </c>
      <c r="C3343" s="89"/>
      <c r="D3343" s="18">
        <v>102678</v>
      </c>
      <c r="E3343" s="2" t="s">
        <v>231</v>
      </c>
      <c r="F3343" s="15">
        <v>48244.3</v>
      </c>
      <c r="G3343" s="41">
        <v>42796</v>
      </c>
      <c r="H3343" s="15">
        <f t="shared" si="99"/>
        <v>48244.3</v>
      </c>
      <c r="I3343" s="15">
        <f t="shared" si="98"/>
        <v>0</v>
      </c>
    </row>
    <row r="3344" spans="1:10" x14ac:dyDescent="0.25">
      <c r="A3344" s="82">
        <v>42794</v>
      </c>
      <c r="B3344" s="39" t="s">
        <v>7645</v>
      </c>
      <c r="C3344" s="89"/>
      <c r="D3344" s="18">
        <v>102679</v>
      </c>
      <c r="E3344" s="2" t="s">
        <v>55</v>
      </c>
      <c r="F3344" s="15">
        <v>9602.1</v>
      </c>
      <c r="G3344" s="41">
        <v>42794</v>
      </c>
      <c r="H3344" s="15">
        <f t="shared" si="99"/>
        <v>9602.1</v>
      </c>
      <c r="I3344" s="15">
        <f t="shared" si="98"/>
        <v>0</v>
      </c>
    </row>
    <row r="3345" spans="1:9" x14ac:dyDescent="0.25">
      <c r="A3345" s="82">
        <v>42794</v>
      </c>
      <c r="B3345" s="39" t="s">
        <v>7646</v>
      </c>
      <c r="C3345" s="89"/>
      <c r="D3345" s="18">
        <v>102680</v>
      </c>
      <c r="E3345" s="2" t="s">
        <v>428</v>
      </c>
      <c r="F3345" s="15">
        <v>3473.5</v>
      </c>
      <c r="G3345" s="41">
        <v>42738</v>
      </c>
      <c r="H3345" s="15">
        <f t="shared" si="99"/>
        <v>3473.5</v>
      </c>
      <c r="I3345" s="15">
        <f t="shared" si="98"/>
        <v>0</v>
      </c>
    </row>
    <row r="3346" spans="1:9" x14ac:dyDescent="0.25">
      <c r="A3346" s="82">
        <v>42794</v>
      </c>
      <c r="B3346" s="39" t="s">
        <v>7647</v>
      </c>
      <c r="C3346" s="89"/>
      <c r="D3346" s="18">
        <v>102681</v>
      </c>
      <c r="E3346" s="2" t="s">
        <v>35</v>
      </c>
      <c r="F3346" s="15">
        <v>18301.099999999999</v>
      </c>
      <c r="G3346" s="41">
        <v>42798</v>
      </c>
      <c r="H3346" s="15">
        <f t="shared" si="99"/>
        <v>18301.099999999999</v>
      </c>
      <c r="I3346" s="15">
        <f t="shared" si="98"/>
        <v>0</v>
      </c>
    </row>
    <row r="3347" spans="1:9" x14ac:dyDescent="0.25">
      <c r="A3347" s="82">
        <v>42794</v>
      </c>
      <c r="B3347" s="39" t="s">
        <v>7648</v>
      </c>
      <c r="C3347" s="89"/>
      <c r="D3347" s="18">
        <v>102682</v>
      </c>
      <c r="E3347" s="2" t="s">
        <v>38</v>
      </c>
      <c r="F3347" s="15">
        <v>3197.4</v>
      </c>
      <c r="G3347" s="41" t="s">
        <v>3806</v>
      </c>
      <c r="H3347" s="15">
        <f t="shared" si="99"/>
        <v>3197.4</v>
      </c>
      <c r="I3347" s="15">
        <f t="shared" si="98"/>
        <v>0</v>
      </c>
    </row>
    <row r="3348" spans="1:9" x14ac:dyDescent="0.25">
      <c r="A3348" s="82">
        <v>42794</v>
      </c>
      <c r="B3348" s="39" t="s">
        <v>7649</v>
      </c>
      <c r="C3348" s="89"/>
      <c r="D3348" s="18">
        <v>102683</v>
      </c>
      <c r="E3348" s="2" t="s">
        <v>1335</v>
      </c>
      <c r="F3348" s="15">
        <v>10704</v>
      </c>
      <c r="G3348" s="41">
        <v>42794</v>
      </c>
      <c r="H3348" s="15">
        <f t="shared" si="99"/>
        <v>10704</v>
      </c>
      <c r="I3348" s="15">
        <f t="shared" si="98"/>
        <v>0</v>
      </c>
    </row>
    <row r="3349" spans="1:9" x14ac:dyDescent="0.25">
      <c r="A3349" s="82">
        <v>42794</v>
      </c>
      <c r="B3349" s="39" t="s">
        <v>7650</v>
      </c>
      <c r="C3349" s="89"/>
      <c r="D3349" s="18">
        <v>102684</v>
      </c>
      <c r="E3349" s="2" t="s">
        <v>26</v>
      </c>
      <c r="F3349" s="15">
        <v>16431.8</v>
      </c>
      <c r="G3349" s="41">
        <v>42794</v>
      </c>
      <c r="H3349" s="15">
        <f t="shared" si="99"/>
        <v>16431.8</v>
      </c>
      <c r="I3349" s="15">
        <f t="shared" si="98"/>
        <v>0</v>
      </c>
    </row>
    <row r="3350" spans="1:9" x14ac:dyDescent="0.25">
      <c r="A3350" s="82">
        <v>42794</v>
      </c>
      <c r="B3350" s="39" t="s">
        <v>7651</v>
      </c>
      <c r="C3350" s="89"/>
      <c r="D3350" s="18">
        <v>102685</v>
      </c>
      <c r="E3350" s="2" t="s">
        <v>17</v>
      </c>
      <c r="F3350" s="15">
        <v>2115</v>
      </c>
      <c r="G3350" s="41">
        <v>42794</v>
      </c>
      <c r="H3350" s="15">
        <f t="shared" si="99"/>
        <v>2115</v>
      </c>
      <c r="I3350" s="15">
        <f t="shared" si="98"/>
        <v>0</v>
      </c>
    </row>
    <row r="3351" spans="1:9" x14ac:dyDescent="0.25">
      <c r="A3351" s="82">
        <v>42794</v>
      </c>
      <c r="B3351" s="39" t="s">
        <v>7652</v>
      </c>
      <c r="C3351" s="89"/>
      <c r="D3351" s="18">
        <v>102686</v>
      </c>
      <c r="E3351" s="13" t="s">
        <v>974</v>
      </c>
      <c r="F3351" s="14">
        <v>0</v>
      </c>
      <c r="G3351" s="88" t="s">
        <v>95</v>
      </c>
      <c r="H3351" s="14">
        <f t="shared" si="99"/>
        <v>0</v>
      </c>
      <c r="I3351" s="14">
        <f t="shared" si="98"/>
        <v>0</v>
      </c>
    </row>
    <row r="3352" spans="1:9" x14ac:dyDescent="0.25">
      <c r="A3352" s="82">
        <v>42794</v>
      </c>
      <c r="B3352" s="39" t="s">
        <v>7653</v>
      </c>
      <c r="C3352" s="89"/>
      <c r="D3352" s="18">
        <v>102687</v>
      </c>
      <c r="E3352" s="2" t="s">
        <v>974</v>
      </c>
      <c r="F3352" s="15">
        <v>10591</v>
      </c>
      <c r="G3352" s="41">
        <v>42794</v>
      </c>
      <c r="H3352" s="15">
        <f t="shared" si="99"/>
        <v>10591</v>
      </c>
      <c r="I3352" s="15">
        <f t="shared" si="98"/>
        <v>0</v>
      </c>
    </row>
    <row r="3353" spans="1:9" ht="30" x14ac:dyDescent="0.25">
      <c r="A3353" s="82">
        <v>42794</v>
      </c>
      <c r="B3353" s="95" t="s">
        <v>7654</v>
      </c>
      <c r="C3353" s="96"/>
      <c r="D3353" s="54">
        <v>102688</v>
      </c>
      <c r="E3353" s="55" t="s">
        <v>49</v>
      </c>
      <c r="F3353" s="56">
        <v>9763.2000000000007</v>
      </c>
      <c r="G3353" s="87" t="s">
        <v>7753</v>
      </c>
      <c r="H3353" s="97">
        <f>5000+4763.2</f>
        <v>9763.2000000000007</v>
      </c>
      <c r="I3353" s="97">
        <f t="shared" si="98"/>
        <v>0</v>
      </c>
    </row>
    <row r="3354" spans="1:9" x14ac:dyDescent="0.25">
      <c r="A3354" s="82">
        <v>42794</v>
      </c>
      <c r="B3354" s="39" t="s">
        <v>7655</v>
      </c>
      <c r="C3354" s="89"/>
      <c r="D3354" s="18">
        <v>102689</v>
      </c>
      <c r="E3354" s="2" t="s">
        <v>268</v>
      </c>
      <c r="F3354" s="15">
        <v>15786</v>
      </c>
      <c r="G3354" s="41">
        <v>42802</v>
      </c>
      <c r="H3354" s="15">
        <f t="shared" si="99"/>
        <v>15786</v>
      </c>
      <c r="I3354" s="15">
        <f t="shared" si="98"/>
        <v>0</v>
      </c>
    </row>
    <row r="3355" spans="1:9" x14ac:dyDescent="0.25">
      <c r="A3355" s="82">
        <v>42794</v>
      </c>
      <c r="B3355" s="39" t="s">
        <v>7656</v>
      </c>
      <c r="C3355" s="89"/>
      <c r="D3355" s="18">
        <v>102690</v>
      </c>
      <c r="E3355" s="2" t="s">
        <v>432</v>
      </c>
      <c r="F3355" s="15">
        <v>15951.6</v>
      </c>
      <c r="G3355" s="41">
        <v>42802</v>
      </c>
      <c r="H3355" s="15">
        <f t="shared" si="99"/>
        <v>15951.6</v>
      </c>
      <c r="I3355" s="15">
        <f t="shared" si="98"/>
        <v>0</v>
      </c>
    </row>
    <row r="3356" spans="1:9" x14ac:dyDescent="0.25">
      <c r="A3356" s="82">
        <v>42794</v>
      </c>
      <c r="B3356" s="39" t="s">
        <v>7657</v>
      </c>
      <c r="C3356" s="89"/>
      <c r="D3356" s="18">
        <v>102691</v>
      </c>
      <c r="E3356" s="2" t="s">
        <v>250</v>
      </c>
      <c r="F3356" s="15">
        <v>4814.3999999999996</v>
      </c>
      <c r="G3356" s="41">
        <v>42738</v>
      </c>
      <c r="H3356" s="15">
        <f t="shared" si="99"/>
        <v>4814.3999999999996</v>
      </c>
      <c r="I3356" s="15">
        <f t="shared" si="98"/>
        <v>0</v>
      </c>
    </row>
    <row r="3357" spans="1:9" ht="30" x14ac:dyDescent="0.25">
      <c r="A3357" s="82">
        <v>42794</v>
      </c>
      <c r="B3357" s="90" t="s">
        <v>7658</v>
      </c>
      <c r="C3357" s="91"/>
      <c r="D3357" s="61">
        <v>102692</v>
      </c>
      <c r="E3357" s="62" t="s">
        <v>32</v>
      </c>
      <c r="F3357" s="63">
        <v>10376.4</v>
      </c>
      <c r="G3357" s="87" t="s">
        <v>7764</v>
      </c>
      <c r="H3357" s="65">
        <f>4127.6+6248.8</f>
        <v>10376.400000000001</v>
      </c>
      <c r="I3357" s="65">
        <f t="shared" si="98"/>
        <v>0</v>
      </c>
    </row>
    <row r="3358" spans="1:9" x14ac:dyDescent="0.25">
      <c r="A3358" s="82">
        <v>42794</v>
      </c>
      <c r="B3358" s="39" t="s">
        <v>7659</v>
      </c>
      <c r="C3358" s="89"/>
      <c r="D3358" s="18">
        <v>102693</v>
      </c>
      <c r="E3358" s="2" t="s">
        <v>1666</v>
      </c>
      <c r="F3358" s="15">
        <v>1618.4</v>
      </c>
      <c r="G3358" s="41">
        <v>42802</v>
      </c>
      <c r="H3358" s="15">
        <f t="shared" si="99"/>
        <v>1618.4</v>
      </c>
      <c r="I3358" s="15">
        <f t="shared" si="98"/>
        <v>0</v>
      </c>
    </row>
    <row r="3359" spans="1:9" x14ac:dyDescent="0.25">
      <c r="A3359" s="82">
        <v>42794</v>
      </c>
      <c r="B3359" s="39" t="s">
        <v>7660</v>
      </c>
      <c r="C3359" s="89"/>
      <c r="D3359" s="18">
        <v>102694</v>
      </c>
      <c r="E3359" s="2" t="s">
        <v>272</v>
      </c>
      <c r="F3359" s="15">
        <v>1906.2</v>
      </c>
      <c r="G3359" s="41">
        <v>42738</v>
      </c>
      <c r="H3359" s="15">
        <f t="shared" si="99"/>
        <v>1906.2</v>
      </c>
      <c r="I3359" s="15">
        <f t="shared" si="98"/>
        <v>0</v>
      </c>
    </row>
    <row r="3360" spans="1:9" x14ac:dyDescent="0.25">
      <c r="A3360" s="82">
        <v>42794</v>
      </c>
      <c r="B3360" s="39" t="s">
        <v>7661</v>
      </c>
      <c r="C3360" s="89"/>
      <c r="D3360" s="18">
        <v>102695</v>
      </c>
      <c r="E3360" s="2" t="s">
        <v>250</v>
      </c>
      <c r="F3360" s="15">
        <v>1314.6</v>
      </c>
      <c r="G3360" s="41">
        <v>42738</v>
      </c>
      <c r="H3360" s="15">
        <f t="shared" si="99"/>
        <v>1314.6</v>
      </c>
      <c r="I3360" s="15">
        <f t="shared" si="98"/>
        <v>0</v>
      </c>
    </row>
    <row r="3361" spans="1:9" x14ac:dyDescent="0.25">
      <c r="A3361" s="82">
        <v>42794</v>
      </c>
      <c r="B3361" s="39" t="s">
        <v>7662</v>
      </c>
      <c r="C3361" s="89"/>
      <c r="D3361" s="18">
        <v>102696</v>
      </c>
      <c r="E3361" s="2" t="s">
        <v>43</v>
      </c>
      <c r="F3361" s="15">
        <v>6593.2</v>
      </c>
      <c r="G3361" s="41">
        <v>42796</v>
      </c>
      <c r="H3361" s="15">
        <f t="shared" si="99"/>
        <v>6593.2</v>
      </c>
      <c r="I3361" s="15">
        <f t="shared" si="98"/>
        <v>0</v>
      </c>
    </row>
    <row r="3362" spans="1:9" x14ac:dyDescent="0.25">
      <c r="A3362" s="82">
        <v>42794</v>
      </c>
      <c r="B3362" s="39" t="s">
        <v>7663</v>
      </c>
      <c r="C3362" s="89"/>
      <c r="D3362" s="18">
        <v>102697</v>
      </c>
      <c r="E3362" s="2" t="s">
        <v>509</v>
      </c>
      <c r="F3362" s="15">
        <v>1579.9</v>
      </c>
      <c r="G3362" s="41">
        <v>42794</v>
      </c>
      <c r="H3362" s="15">
        <f t="shared" si="99"/>
        <v>1579.9</v>
      </c>
      <c r="I3362" s="15">
        <f t="shared" si="98"/>
        <v>0</v>
      </c>
    </row>
    <row r="3363" spans="1:9" x14ac:dyDescent="0.25">
      <c r="A3363" s="82">
        <v>42794</v>
      </c>
      <c r="B3363" s="39" t="s">
        <v>7664</v>
      </c>
      <c r="C3363" s="89"/>
      <c r="D3363" s="18">
        <v>102698</v>
      </c>
      <c r="E3363" s="2" t="s">
        <v>30</v>
      </c>
      <c r="F3363" s="15">
        <v>2961.6</v>
      </c>
      <c r="G3363" s="41">
        <v>42794</v>
      </c>
      <c r="H3363" s="15">
        <f t="shared" si="99"/>
        <v>2961.6</v>
      </c>
      <c r="I3363" s="15">
        <f t="shared" si="98"/>
        <v>0</v>
      </c>
    </row>
    <row r="3364" spans="1:9" ht="30" x14ac:dyDescent="0.25">
      <c r="A3364" s="82">
        <v>42794</v>
      </c>
      <c r="B3364" s="39" t="s">
        <v>7665</v>
      </c>
      <c r="C3364" s="89"/>
      <c r="D3364" s="18">
        <v>102699</v>
      </c>
      <c r="E3364" s="2" t="s">
        <v>231</v>
      </c>
      <c r="F3364" s="15">
        <v>1642</v>
      </c>
      <c r="G3364" s="87" t="s">
        <v>7749</v>
      </c>
      <c r="H3364" s="20">
        <f>413.8+1228.2</f>
        <v>1642</v>
      </c>
      <c r="I3364" s="20">
        <f t="shared" si="98"/>
        <v>0</v>
      </c>
    </row>
    <row r="3365" spans="1:9" x14ac:dyDescent="0.25">
      <c r="A3365" s="82">
        <v>42794</v>
      </c>
      <c r="B3365" s="39" t="s">
        <v>7666</v>
      </c>
      <c r="C3365" s="89"/>
      <c r="D3365" s="18">
        <v>102700</v>
      </c>
      <c r="E3365" s="2" t="s">
        <v>47</v>
      </c>
      <c r="F3365" s="15">
        <v>1383.2</v>
      </c>
      <c r="G3365" s="41">
        <v>42794</v>
      </c>
      <c r="H3365" s="15">
        <f t="shared" si="99"/>
        <v>1383.2</v>
      </c>
      <c r="I3365" s="15">
        <f t="shared" si="98"/>
        <v>0</v>
      </c>
    </row>
    <row r="3366" spans="1:9" x14ac:dyDescent="0.25">
      <c r="A3366" s="82">
        <v>42794</v>
      </c>
      <c r="B3366" s="39" t="s">
        <v>7667</v>
      </c>
      <c r="C3366" s="89"/>
      <c r="D3366" s="18">
        <v>102701</v>
      </c>
      <c r="E3366" s="2" t="s">
        <v>270</v>
      </c>
      <c r="F3366" s="15">
        <v>2469.4</v>
      </c>
      <c r="G3366" s="41">
        <v>42738</v>
      </c>
      <c r="H3366" s="15">
        <f t="shared" si="99"/>
        <v>2469.4</v>
      </c>
      <c r="I3366" s="15">
        <f t="shared" si="98"/>
        <v>0</v>
      </c>
    </row>
    <row r="3367" spans="1:9" x14ac:dyDescent="0.25">
      <c r="A3367" s="82">
        <v>42794</v>
      </c>
      <c r="B3367" s="39" t="s">
        <v>7668</v>
      </c>
      <c r="C3367" s="89"/>
      <c r="D3367" s="18">
        <v>102702</v>
      </c>
      <c r="E3367" s="2" t="s">
        <v>157</v>
      </c>
      <c r="F3367" s="15">
        <v>6152.4</v>
      </c>
      <c r="G3367" s="41">
        <v>42794</v>
      </c>
      <c r="H3367" s="15">
        <f t="shared" si="99"/>
        <v>6152.4</v>
      </c>
      <c r="I3367" s="15">
        <f t="shared" si="98"/>
        <v>0</v>
      </c>
    </row>
    <row r="3368" spans="1:9" x14ac:dyDescent="0.25">
      <c r="A3368" s="82">
        <v>42794</v>
      </c>
      <c r="B3368" s="39" t="s">
        <v>7669</v>
      </c>
      <c r="C3368" s="89"/>
      <c r="D3368" s="18">
        <v>102703</v>
      </c>
      <c r="E3368" s="2" t="s">
        <v>40</v>
      </c>
      <c r="F3368" s="15">
        <v>4068</v>
      </c>
      <c r="G3368" s="41">
        <v>42794</v>
      </c>
      <c r="H3368" s="15">
        <f t="shared" si="99"/>
        <v>4068</v>
      </c>
      <c r="I3368" s="15">
        <f t="shared" si="98"/>
        <v>0</v>
      </c>
    </row>
    <row r="3369" spans="1:9" x14ac:dyDescent="0.25">
      <c r="A3369" s="82">
        <v>42794</v>
      </c>
      <c r="B3369" s="39" t="s">
        <v>7670</v>
      </c>
      <c r="C3369" s="89"/>
      <c r="D3369" s="18">
        <v>102704</v>
      </c>
      <c r="E3369" s="2" t="s">
        <v>509</v>
      </c>
      <c r="F3369" s="15">
        <v>21037.8</v>
      </c>
      <c r="G3369" s="41">
        <v>42798</v>
      </c>
      <c r="H3369" s="15">
        <f t="shared" si="99"/>
        <v>21037.8</v>
      </c>
      <c r="I3369" s="15">
        <f t="shared" si="98"/>
        <v>0</v>
      </c>
    </row>
    <row r="3370" spans="1:9" x14ac:dyDescent="0.25">
      <c r="A3370" s="82">
        <v>42794</v>
      </c>
      <c r="B3370" s="39" t="s">
        <v>7671</v>
      </c>
      <c r="C3370" s="89"/>
      <c r="D3370" s="18">
        <v>102705</v>
      </c>
      <c r="E3370" s="2" t="s">
        <v>1870</v>
      </c>
      <c r="F3370" s="15">
        <v>879.8</v>
      </c>
      <c r="G3370" s="41">
        <v>42794</v>
      </c>
      <c r="H3370" s="15">
        <f t="shared" si="99"/>
        <v>879.8</v>
      </c>
      <c r="I3370" s="15">
        <f t="shared" si="98"/>
        <v>0</v>
      </c>
    </row>
    <row r="3371" spans="1:9" x14ac:dyDescent="0.25">
      <c r="A3371" s="82">
        <v>42794</v>
      </c>
      <c r="B3371" s="39" t="s">
        <v>7672</v>
      </c>
      <c r="C3371" s="89"/>
      <c r="D3371" s="18">
        <v>102706</v>
      </c>
      <c r="E3371" s="13" t="s">
        <v>30</v>
      </c>
      <c r="F3371" s="14">
        <v>0</v>
      </c>
      <c r="G3371" s="88" t="s">
        <v>95</v>
      </c>
      <c r="H3371" s="14">
        <f t="shared" si="99"/>
        <v>0</v>
      </c>
      <c r="I3371" s="14">
        <f t="shared" si="98"/>
        <v>0</v>
      </c>
    </row>
    <row r="3372" spans="1:9" x14ac:dyDescent="0.25">
      <c r="A3372" s="82">
        <v>42794</v>
      </c>
      <c r="B3372" s="39" t="s">
        <v>7673</v>
      </c>
      <c r="C3372" s="89"/>
      <c r="D3372" s="18">
        <v>102707</v>
      </c>
      <c r="E3372" s="2" t="s">
        <v>432</v>
      </c>
      <c r="F3372" s="15">
        <v>12180</v>
      </c>
      <c r="G3372" s="41">
        <v>42794</v>
      </c>
      <c r="H3372" s="15">
        <f t="shared" si="99"/>
        <v>12180</v>
      </c>
      <c r="I3372" s="15">
        <f t="shared" si="98"/>
        <v>0</v>
      </c>
    </row>
    <row r="3373" spans="1:9" x14ac:dyDescent="0.25">
      <c r="A3373" s="82">
        <v>42794</v>
      </c>
      <c r="B3373" s="39" t="s">
        <v>7674</v>
      </c>
      <c r="C3373" s="89"/>
      <c r="D3373" s="18">
        <v>102708</v>
      </c>
      <c r="E3373" s="2" t="s">
        <v>71</v>
      </c>
      <c r="F3373" s="15">
        <v>3080</v>
      </c>
      <c r="G3373" s="41">
        <v>42794</v>
      </c>
      <c r="H3373" s="15">
        <f t="shared" si="99"/>
        <v>3080</v>
      </c>
      <c r="I3373" s="15">
        <f t="shared" si="98"/>
        <v>0</v>
      </c>
    </row>
    <row r="3374" spans="1:9" ht="30" x14ac:dyDescent="0.25">
      <c r="A3374" s="82">
        <v>42794</v>
      </c>
      <c r="B3374" s="39" t="s">
        <v>7675</v>
      </c>
      <c r="C3374" s="89"/>
      <c r="D3374" s="18">
        <v>102709</v>
      </c>
      <c r="E3374" s="62" t="s">
        <v>21</v>
      </c>
      <c r="F3374" s="63">
        <v>42436.800000000003</v>
      </c>
      <c r="G3374" s="87" t="s">
        <v>7769</v>
      </c>
      <c r="H3374" s="65">
        <f>38942+3494.8</f>
        <v>42436.800000000003</v>
      </c>
      <c r="I3374" s="65">
        <f t="shared" si="98"/>
        <v>0</v>
      </c>
    </row>
    <row r="3375" spans="1:9" x14ac:dyDescent="0.25">
      <c r="A3375" s="82">
        <v>42794</v>
      </c>
      <c r="B3375" s="39" t="s">
        <v>7676</v>
      </c>
      <c r="C3375" s="89"/>
      <c r="D3375" s="18">
        <v>102710</v>
      </c>
      <c r="E3375" s="2" t="s">
        <v>236</v>
      </c>
      <c r="F3375" s="15">
        <v>37547.699999999997</v>
      </c>
      <c r="G3375" s="41">
        <v>42818</v>
      </c>
      <c r="H3375" s="15">
        <f t="shared" si="99"/>
        <v>37547.699999999997</v>
      </c>
      <c r="I3375" s="15">
        <f t="shared" si="98"/>
        <v>0</v>
      </c>
    </row>
    <row r="3376" spans="1:9" x14ac:dyDescent="0.25">
      <c r="A3376" s="82">
        <v>42794</v>
      </c>
      <c r="B3376" s="39" t="s">
        <v>7677</v>
      </c>
      <c r="C3376" s="89"/>
      <c r="D3376" s="18">
        <v>102711</v>
      </c>
      <c r="E3376" s="2" t="s">
        <v>386</v>
      </c>
      <c r="F3376" s="15">
        <v>3640</v>
      </c>
      <c r="G3376" s="41">
        <v>42794</v>
      </c>
      <c r="H3376" s="15">
        <f t="shared" si="99"/>
        <v>3640</v>
      </c>
      <c r="I3376" s="15">
        <f t="shared" si="98"/>
        <v>0</v>
      </c>
    </row>
    <row r="3377" spans="1:9" x14ac:dyDescent="0.25">
      <c r="A3377" s="82">
        <v>42794</v>
      </c>
      <c r="B3377" s="39" t="s">
        <v>7678</v>
      </c>
      <c r="C3377" s="89"/>
      <c r="D3377" s="18">
        <v>102712</v>
      </c>
      <c r="E3377" s="2" t="s">
        <v>240</v>
      </c>
      <c r="F3377" s="15">
        <v>5198.8</v>
      </c>
      <c r="G3377" s="41">
        <v>42794</v>
      </c>
      <c r="H3377" s="15">
        <f t="shared" si="99"/>
        <v>5198.8</v>
      </c>
      <c r="I3377" s="15">
        <f t="shared" si="98"/>
        <v>0</v>
      </c>
    </row>
    <row r="3378" spans="1:9" x14ac:dyDescent="0.25">
      <c r="A3378" s="82">
        <v>42794</v>
      </c>
      <c r="B3378" s="39" t="s">
        <v>7679</v>
      </c>
      <c r="C3378" s="89"/>
      <c r="D3378" s="18">
        <v>102713</v>
      </c>
      <c r="E3378" s="2" t="s">
        <v>838</v>
      </c>
      <c r="F3378" s="15">
        <v>2893.4</v>
      </c>
      <c r="G3378" s="41">
        <v>42794</v>
      </c>
      <c r="H3378" s="15">
        <f t="shared" si="99"/>
        <v>2893.4</v>
      </c>
      <c r="I3378" s="15">
        <f t="shared" si="98"/>
        <v>0</v>
      </c>
    </row>
    <row r="3379" spans="1:9" x14ac:dyDescent="0.25">
      <c r="A3379" s="82">
        <v>42794</v>
      </c>
      <c r="B3379" s="39" t="s">
        <v>7680</v>
      </c>
      <c r="C3379" s="89"/>
      <c r="D3379" s="18">
        <v>102714</v>
      </c>
      <c r="E3379" s="13" t="s">
        <v>113</v>
      </c>
      <c r="F3379" s="14">
        <v>0</v>
      </c>
      <c r="G3379" s="88" t="s">
        <v>95</v>
      </c>
      <c r="H3379" s="14">
        <f t="shared" si="99"/>
        <v>0</v>
      </c>
      <c r="I3379" s="14">
        <f t="shared" si="98"/>
        <v>0</v>
      </c>
    </row>
    <row r="3380" spans="1:9" x14ac:dyDescent="0.25">
      <c r="A3380" s="82">
        <v>42794</v>
      </c>
      <c r="B3380" s="39" t="s">
        <v>7681</v>
      </c>
      <c r="C3380" s="89"/>
      <c r="D3380" s="18">
        <v>102715</v>
      </c>
      <c r="E3380" s="2" t="s">
        <v>105</v>
      </c>
      <c r="F3380" s="15">
        <v>3132.6</v>
      </c>
      <c r="G3380" s="41">
        <v>42738</v>
      </c>
      <c r="H3380" s="15">
        <f t="shared" si="99"/>
        <v>3132.6</v>
      </c>
      <c r="I3380" s="15">
        <f t="shared" si="98"/>
        <v>0</v>
      </c>
    </row>
    <row r="3381" spans="1:9" x14ac:dyDescent="0.25">
      <c r="A3381" s="82">
        <v>42794</v>
      </c>
      <c r="B3381" s="39" t="s">
        <v>7682</v>
      </c>
      <c r="C3381" s="89"/>
      <c r="D3381" s="18">
        <v>102716</v>
      </c>
      <c r="E3381" s="2" t="s">
        <v>3219</v>
      </c>
      <c r="F3381" s="15">
        <v>62056.5</v>
      </c>
      <c r="G3381" s="41">
        <v>42738</v>
      </c>
      <c r="H3381" s="15">
        <f t="shared" si="99"/>
        <v>62056.5</v>
      </c>
      <c r="I3381" s="15">
        <f t="shared" si="98"/>
        <v>0</v>
      </c>
    </row>
    <row r="3382" spans="1:9" x14ac:dyDescent="0.25">
      <c r="A3382" s="82">
        <v>42794</v>
      </c>
      <c r="B3382" s="39" t="s">
        <v>7683</v>
      </c>
      <c r="C3382" s="89"/>
      <c r="D3382" s="18">
        <v>102717</v>
      </c>
      <c r="E3382" s="2" t="s">
        <v>101</v>
      </c>
      <c r="F3382" s="15">
        <v>1154.5999999999999</v>
      </c>
      <c r="G3382" s="41">
        <v>42794</v>
      </c>
      <c r="H3382" s="15">
        <f t="shared" si="99"/>
        <v>1154.5999999999999</v>
      </c>
      <c r="I3382" s="15">
        <f t="shared" si="98"/>
        <v>0</v>
      </c>
    </row>
    <row r="3383" spans="1:9" x14ac:dyDescent="0.25">
      <c r="A3383" s="82">
        <v>42794</v>
      </c>
      <c r="B3383" s="39" t="s">
        <v>7684</v>
      </c>
      <c r="C3383" s="89"/>
      <c r="D3383" s="18">
        <v>102718</v>
      </c>
      <c r="E3383" s="2" t="s">
        <v>79</v>
      </c>
      <c r="F3383" s="15">
        <v>3698.2</v>
      </c>
      <c r="G3383" s="41">
        <v>42794</v>
      </c>
      <c r="H3383" s="15">
        <f t="shared" si="99"/>
        <v>3698.2</v>
      </c>
      <c r="I3383" s="15">
        <f t="shared" si="98"/>
        <v>0</v>
      </c>
    </row>
    <row r="3384" spans="1:9" x14ac:dyDescent="0.25">
      <c r="A3384" s="82">
        <v>42794</v>
      </c>
      <c r="B3384" s="39" t="s">
        <v>7685</v>
      </c>
      <c r="C3384" s="89"/>
      <c r="D3384" s="18">
        <v>102719</v>
      </c>
      <c r="E3384" s="2" t="s">
        <v>99</v>
      </c>
      <c r="F3384" s="15">
        <v>1628.4</v>
      </c>
      <c r="G3384" s="41">
        <v>42794</v>
      </c>
      <c r="H3384" s="15">
        <f t="shared" si="99"/>
        <v>1628.4</v>
      </c>
      <c r="I3384" s="15">
        <f t="shared" ref="I3384:I3447" si="100">F3384-H3384</f>
        <v>0</v>
      </c>
    </row>
    <row r="3385" spans="1:9" x14ac:dyDescent="0.25">
      <c r="A3385" s="82">
        <v>42794</v>
      </c>
      <c r="B3385" s="39" t="s">
        <v>7686</v>
      </c>
      <c r="C3385" s="89"/>
      <c r="D3385" s="18">
        <v>102720</v>
      </c>
      <c r="E3385" s="2" t="s">
        <v>281</v>
      </c>
      <c r="F3385" s="15">
        <v>1619.2</v>
      </c>
      <c r="G3385" s="41">
        <v>42794</v>
      </c>
      <c r="H3385" s="15">
        <f t="shared" si="99"/>
        <v>1619.2</v>
      </c>
      <c r="I3385" s="15">
        <f t="shared" si="100"/>
        <v>0</v>
      </c>
    </row>
    <row r="3386" spans="1:9" x14ac:dyDescent="0.25">
      <c r="A3386" s="82">
        <v>42794</v>
      </c>
      <c r="B3386" s="39" t="s">
        <v>7687</v>
      </c>
      <c r="C3386" s="89"/>
      <c r="D3386" s="18">
        <v>102721</v>
      </c>
      <c r="E3386" s="2" t="s">
        <v>186</v>
      </c>
      <c r="F3386" s="15">
        <v>2732.4</v>
      </c>
      <c r="G3386" s="41">
        <v>42738</v>
      </c>
      <c r="H3386" s="15">
        <f t="shared" si="99"/>
        <v>2732.4</v>
      </c>
      <c r="I3386" s="15">
        <f t="shared" si="100"/>
        <v>0</v>
      </c>
    </row>
    <row r="3387" spans="1:9" x14ac:dyDescent="0.25">
      <c r="A3387" s="82">
        <v>42794</v>
      </c>
      <c r="B3387" s="39" t="s">
        <v>7688</v>
      </c>
      <c r="C3387" s="89"/>
      <c r="D3387" s="18">
        <v>102722</v>
      </c>
      <c r="E3387" s="2" t="s">
        <v>4367</v>
      </c>
      <c r="F3387" s="15">
        <v>1265.5999999999999</v>
      </c>
      <c r="G3387" s="41">
        <v>42794</v>
      </c>
      <c r="H3387" s="15">
        <f t="shared" si="99"/>
        <v>1265.5999999999999</v>
      </c>
      <c r="I3387" s="15">
        <f t="shared" si="100"/>
        <v>0</v>
      </c>
    </row>
    <row r="3388" spans="1:9" x14ac:dyDescent="0.25">
      <c r="A3388" s="82">
        <v>42794</v>
      </c>
      <c r="B3388" s="39" t="s">
        <v>7689</v>
      </c>
      <c r="C3388" s="89"/>
      <c r="D3388" s="18">
        <v>102723</v>
      </c>
      <c r="E3388" s="2" t="s">
        <v>184</v>
      </c>
      <c r="F3388" s="15">
        <v>540</v>
      </c>
      <c r="G3388" s="41">
        <v>42794</v>
      </c>
      <c r="H3388" s="15">
        <f t="shared" si="99"/>
        <v>540</v>
      </c>
      <c r="I3388" s="15">
        <f t="shared" si="100"/>
        <v>0</v>
      </c>
    </row>
    <row r="3389" spans="1:9" x14ac:dyDescent="0.25">
      <c r="A3389" s="82">
        <v>42794</v>
      </c>
      <c r="B3389" s="39" t="s">
        <v>7690</v>
      </c>
      <c r="C3389" s="89"/>
      <c r="D3389" s="18">
        <v>102724</v>
      </c>
      <c r="E3389" s="2" t="s">
        <v>1259</v>
      </c>
      <c r="F3389" s="15">
        <v>1201.5</v>
      </c>
      <c r="G3389" s="41">
        <v>42794</v>
      </c>
      <c r="H3389" s="15">
        <f t="shared" si="99"/>
        <v>1201.5</v>
      </c>
      <c r="I3389" s="15">
        <f t="shared" si="100"/>
        <v>0</v>
      </c>
    </row>
    <row r="3390" spans="1:9" x14ac:dyDescent="0.25">
      <c r="A3390" s="82">
        <v>42794</v>
      </c>
      <c r="B3390" s="39" t="s">
        <v>7691</v>
      </c>
      <c r="C3390" s="89"/>
      <c r="D3390" s="18">
        <v>102725</v>
      </c>
      <c r="E3390" s="2" t="s">
        <v>103</v>
      </c>
      <c r="F3390" s="15">
        <v>1142.4000000000001</v>
      </c>
      <c r="G3390" s="41">
        <v>42738</v>
      </c>
      <c r="H3390" s="15">
        <f t="shared" si="99"/>
        <v>1142.4000000000001</v>
      </c>
      <c r="I3390" s="15">
        <f t="shared" si="100"/>
        <v>0</v>
      </c>
    </row>
    <row r="3391" spans="1:9" x14ac:dyDescent="0.25">
      <c r="A3391" s="82">
        <v>42794</v>
      </c>
      <c r="B3391" s="39" t="s">
        <v>7692</v>
      </c>
      <c r="C3391" s="89"/>
      <c r="D3391" s="18">
        <v>102726</v>
      </c>
      <c r="E3391" s="2" t="s">
        <v>188</v>
      </c>
      <c r="F3391" s="15">
        <v>3969.1</v>
      </c>
      <c r="G3391" s="41">
        <v>42794</v>
      </c>
      <c r="H3391" s="15">
        <f t="shared" si="99"/>
        <v>3969.1</v>
      </c>
      <c r="I3391" s="15">
        <f t="shared" si="100"/>
        <v>0</v>
      </c>
    </row>
    <row r="3392" spans="1:9" x14ac:dyDescent="0.25">
      <c r="A3392" s="82">
        <v>42794</v>
      </c>
      <c r="B3392" s="39" t="s">
        <v>7693</v>
      </c>
      <c r="C3392" s="89"/>
      <c r="D3392" s="18">
        <v>102727</v>
      </c>
      <c r="E3392" s="2" t="s">
        <v>335</v>
      </c>
      <c r="F3392" s="15">
        <v>1395.9</v>
      </c>
      <c r="G3392" s="41">
        <v>42798</v>
      </c>
      <c r="H3392" s="15">
        <f t="shared" si="99"/>
        <v>1395.9</v>
      </c>
      <c r="I3392" s="15">
        <f t="shared" si="100"/>
        <v>0</v>
      </c>
    </row>
    <row r="3393" spans="1:9" x14ac:dyDescent="0.25">
      <c r="A3393" s="82">
        <v>42794</v>
      </c>
      <c r="B3393" s="39" t="s">
        <v>7694</v>
      </c>
      <c r="C3393" s="89"/>
      <c r="D3393" s="18">
        <v>102728</v>
      </c>
      <c r="E3393" s="2" t="s">
        <v>53</v>
      </c>
      <c r="F3393" s="15">
        <v>1386</v>
      </c>
      <c r="G3393" s="41">
        <v>42794</v>
      </c>
      <c r="H3393" s="15">
        <f t="shared" si="99"/>
        <v>1386</v>
      </c>
      <c r="I3393" s="15">
        <f t="shared" si="100"/>
        <v>0</v>
      </c>
    </row>
    <row r="3394" spans="1:9" x14ac:dyDescent="0.25">
      <c r="A3394" s="82">
        <v>42794</v>
      </c>
      <c r="B3394" s="39" t="s">
        <v>7695</v>
      </c>
      <c r="C3394" s="89"/>
      <c r="D3394" s="18">
        <v>102729</v>
      </c>
      <c r="E3394" s="2" t="s">
        <v>88</v>
      </c>
      <c r="F3394" s="15">
        <v>5949</v>
      </c>
      <c r="H3394" s="15">
        <f t="shared" si="99"/>
        <v>5949</v>
      </c>
      <c r="I3394" s="15">
        <f t="shared" si="100"/>
        <v>0</v>
      </c>
    </row>
    <row r="3395" spans="1:9" x14ac:dyDescent="0.25">
      <c r="A3395" s="82">
        <v>42794</v>
      </c>
      <c r="B3395" s="39" t="s">
        <v>7696</v>
      </c>
      <c r="C3395" s="89"/>
      <c r="D3395" s="18">
        <v>102730</v>
      </c>
      <c r="E3395" s="2" t="s">
        <v>862</v>
      </c>
      <c r="F3395" s="15">
        <v>6721.7</v>
      </c>
      <c r="G3395" s="41">
        <v>42794</v>
      </c>
      <c r="H3395" s="15">
        <f t="shared" si="99"/>
        <v>6721.7</v>
      </c>
      <c r="I3395" s="15">
        <f t="shared" si="100"/>
        <v>0</v>
      </c>
    </row>
    <row r="3396" spans="1:9" x14ac:dyDescent="0.25">
      <c r="A3396" s="82">
        <v>42794</v>
      </c>
      <c r="B3396" s="39" t="s">
        <v>7697</v>
      </c>
      <c r="C3396" s="89"/>
      <c r="D3396" s="18">
        <v>102731</v>
      </c>
      <c r="E3396" s="2" t="s">
        <v>208</v>
      </c>
      <c r="F3396" s="15">
        <v>7316.8</v>
      </c>
      <c r="G3396" s="41">
        <v>42794</v>
      </c>
      <c r="H3396" s="15">
        <f t="shared" ref="H3396:H3445" si="101">F3396</f>
        <v>7316.8</v>
      </c>
      <c r="I3396" s="15">
        <f t="shared" si="100"/>
        <v>0</v>
      </c>
    </row>
    <row r="3397" spans="1:9" x14ac:dyDescent="0.25">
      <c r="A3397" s="82">
        <v>42794</v>
      </c>
      <c r="B3397" s="39" t="s">
        <v>7698</v>
      </c>
      <c r="C3397" s="89"/>
      <c r="D3397" s="18">
        <v>102732</v>
      </c>
      <c r="E3397" s="2" t="s">
        <v>293</v>
      </c>
      <c r="F3397" s="15">
        <v>780</v>
      </c>
      <c r="G3397" s="41" t="s">
        <v>3806</v>
      </c>
      <c r="H3397" s="15">
        <f t="shared" si="101"/>
        <v>780</v>
      </c>
      <c r="I3397" s="15">
        <f t="shared" si="100"/>
        <v>0</v>
      </c>
    </row>
    <row r="3398" spans="1:9" x14ac:dyDescent="0.25">
      <c r="A3398" s="82">
        <v>42794</v>
      </c>
      <c r="B3398" s="39" t="s">
        <v>7699</v>
      </c>
      <c r="C3398" s="89"/>
      <c r="D3398" s="18">
        <v>102733</v>
      </c>
      <c r="E3398" s="2" t="s">
        <v>1116</v>
      </c>
      <c r="F3398" s="15">
        <v>6070.6</v>
      </c>
      <c r="G3398" s="41">
        <v>42738</v>
      </c>
      <c r="H3398" s="15">
        <f t="shared" si="101"/>
        <v>6070.6</v>
      </c>
      <c r="I3398" s="15">
        <f t="shared" si="100"/>
        <v>0</v>
      </c>
    </row>
    <row r="3399" spans="1:9" x14ac:dyDescent="0.25">
      <c r="A3399" s="82">
        <v>42794</v>
      </c>
      <c r="B3399" s="39" t="s">
        <v>7700</v>
      </c>
      <c r="C3399" s="89"/>
      <c r="D3399" s="18">
        <v>102734</v>
      </c>
      <c r="E3399" s="2" t="s">
        <v>109</v>
      </c>
      <c r="F3399" s="15">
        <v>3606.4</v>
      </c>
      <c r="G3399" s="41">
        <v>42794</v>
      </c>
      <c r="H3399" s="15">
        <f t="shared" si="101"/>
        <v>3606.4</v>
      </c>
      <c r="I3399" s="15">
        <f t="shared" si="100"/>
        <v>0</v>
      </c>
    </row>
    <row r="3400" spans="1:9" x14ac:dyDescent="0.25">
      <c r="A3400" s="82">
        <v>42794</v>
      </c>
      <c r="B3400" s="39" t="s">
        <v>7701</v>
      </c>
      <c r="C3400" s="89"/>
      <c r="D3400" s="18">
        <v>102735</v>
      </c>
      <c r="E3400" s="2" t="s">
        <v>113</v>
      </c>
      <c r="F3400" s="15">
        <v>2519.6</v>
      </c>
      <c r="G3400" s="41">
        <v>42794</v>
      </c>
      <c r="H3400" s="15">
        <f t="shared" si="101"/>
        <v>2519.6</v>
      </c>
      <c r="I3400" s="15">
        <f t="shared" si="100"/>
        <v>0</v>
      </c>
    </row>
    <row r="3401" spans="1:9" x14ac:dyDescent="0.25">
      <c r="A3401" s="82">
        <v>42794</v>
      </c>
      <c r="B3401" s="39" t="s">
        <v>7702</v>
      </c>
      <c r="C3401" s="89"/>
      <c r="D3401" s="18">
        <v>102736</v>
      </c>
      <c r="E3401" s="2" t="s">
        <v>298</v>
      </c>
      <c r="F3401" s="15">
        <v>3478</v>
      </c>
      <c r="G3401" s="41">
        <v>42794</v>
      </c>
      <c r="H3401" s="15">
        <f t="shared" si="101"/>
        <v>3478</v>
      </c>
      <c r="I3401" s="15">
        <f t="shared" si="100"/>
        <v>0</v>
      </c>
    </row>
    <row r="3402" spans="1:9" x14ac:dyDescent="0.25">
      <c r="A3402" s="82">
        <v>42794</v>
      </c>
      <c r="B3402" s="39" t="s">
        <v>7703</v>
      </c>
      <c r="C3402" s="89"/>
      <c r="D3402" s="18">
        <v>102737</v>
      </c>
      <c r="E3402" s="2" t="s">
        <v>309</v>
      </c>
      <c r="F3402" s="15">
        <v>4800.6000000000004</v>
      </c>
      <c r="G3402" s="41">
        <v>42794</v>
      </c>
      <c r="H3402" s="15">
        <f t="shared" si="101"/>
        <v>4800.6000000000004</v>
      </c>
      <c r="I3402" s="15">
        <f t="shared" si="100"/>
        <v>0</v>
      </c>
    </row>
    <row r="3403" spans="1:9" x14ac:dyDescent="0.25">
      <c r="A3403" s="82">
        <v>42794</v>
      </c>
      <c r="B3403" s="39" t="s">
        <v>7704</v>
      </c>
      <c r="C3403" s="89"/>
      <c r="D3403" s="18">
        <v>102738</v>
      </c>
      <c r="E3403" s="2" t="s">
        <v>858</v>
      </c>
      <c r="F3403" s="15">
        <v>1052.3</v>
      </c>
      <c r="G3403" s="41">
        <v>42794</v>
      </c>
      <c r="H3403" s="15">
        <f t="shared" si="101"/>
        <v>1052.3</v>
      </c>
      <c r="I3403" s="15">
        <f t="shared" si="100"/>
        <v>0</v>
      </c>
    </row>
    <row r="3404" spans="1:9" x14ac:dyDescent="0.25">
      <c r="A3404" s="82">
        <v>42794</v>
      </c>
      <c r="B3404" s="39" t="s">
        <v>7705</v>
      </c>
      <c r="C3404" s="89"/>
      <c r="D3404" s="18">
        <v>102739</v>
      </c>
      <c r="E3404" s="2" t="s">
        <v>30</v>
      </c>
      <c r="F3404" s="15">
        <v>6298.8</v>
      </c>
      <c r="G3404" s="41">
        <v>42794</v>
      </c>
      <c r="H3404" s="15">
        <f t="shared" si="101"/>
        <v>6298.8</v>
      </c>
      <c r="I3404" s="15">
        <f t="shared" si="100"/>
        <v>0</v>
      </c>
    </row>
    <row r="3405" spans="1:9" x14ac:dyDescent="0.25">
      <c r="A3405" s="82">
        <v>42794</v>
      </c>
      <c r="B3405" s="39" t="s">
        <v>7706</v>
      </c>
      <c r="C3405" s="89"/>
      <c r="D3405" s="18">
        <v>102740</v>
      </c>
      <c r="E3405" s="2" t="s">
        <v>2510</v>
      </c>
      <c r="F3405" s="15">
        <v>936</v>
      </c>
      <c r="G3405" s="41">
        <v>42796</v>
      </c>
      <c r="H3405" s="15">
        <f t="shared" si="101"/>
        <v>936</v>
      </c>
      <c r="I3405" s="15">
        <f t="shared" si="100"/>
        <v>0</v>
      </c>
    </row>
    <row r="3406" spans="1:9" x14ac:dyDescent="0.25">
      <c r="A3406" s="82">
        <v>42794</v>
      </c>
      <c r="B3406" s="39" t="s">
        <v>7707</v>
      </c>
      <c r="C3406" s="89"/>
      <c r="D3406" s="18">
        <v>102741</v>
      </c>
      <c r="E3406" s="2" t="s">
        <v>125</v>
      </c>
      <c r="F3406" s="15">
        <v>6494</v>
      </c>
      <c r="G3406" s="41">
        <v>42794</v>
      </c>
      <c r="H3406" s="15">
        <f t="shared" si="101"/>
        <v>6494</v>
      </c>
      <c r="I3406" s="15">
        <f t="shared" si="100"/>
        <v>0</v>
      </c>
    </row>
    <row r="3407" spans="1:9" x14ac:dyDescent="0.25">
      <c r="A3407" s="82">
        <v>42794</v>
      </c>
      <c r="B3407" s="39" t="s">
        <v>7708</v>
      </c>
      <c r="C3407" s="89"/>
      <c r="D3407" s="18">
        <v>102742</v>
      </c>
      <c r="E3407" s="2" t="s">
        <v>133</v>
      </c>
      <c r="F3407" s="15">
        <v>11847.6</v>
      </c>
      <c r="G3407" s="41">
        <v>42801</v>
      </c>
      <c r="H3407" s="15">
        <f t="shared" si="101"/>
        <v>11847.6</v>
      </c>
      <c r="I3407" s="15">
        <f t="shared" si="100"/>
        <v>0</v>
      </c>
    </row>
    <row r="3408" spans="1:9" x14ac:dyDescent="0.25">
      <c r="A3408" s="82">
        <v>42794</v>
      </c>
      <c r="B3408" s="39" t="s">
        <v>7709</v>
      </c>
      <c r="C3408" s="89"/>
      <c r="D3408" s="18">
        <v>102743</v>
      </c>
      <c r="E3408" s="2" t="s">
        <v>30</v>
      </c>
      <c r="F3408" s="15">
        <v>382.5</v>
      </c>
      <c r="G3408" s="41">
        <v>42794</v>
      </c>
      <c r="H3408" s="15">
        <f t="shared" si="101"/>
        <v>382.5</v>
      </c>
      <c r="I3408" s="15">
        <f t="shared" si="100"/>
        <v>0</v>
      </c>
    </row>
    <row r="3409" spans="1:9" x14ac:dyDescent="0.25">
      <c r="A3409" s="82">
        <v>42794</v>
      </c>
      <c r="B3409" s="39" t="s">
        <v>7710</v>
      </c>
      <c r="C3409" s="89"/>
      <c r="D3409" s="18">
        <v>102744</v>
      </c>
      <c r="E3409" s="2" t="s">
        <v>149</v>
      </c>
      <c r="F3409" s="15">
        <v>6073.44</v>
      </c>
      <c r="G3409" s="41">
        <v>42794</v>
      </c>
      <c r="H3409" s="15">
        <f t="shared" si="101"/>
        <v>6073.44</v>
      </c>
      <c r="I3409" s="15">
        <f t="shared" si="100"/>
        <v>0</v>
      </c>
    </row>
    <row r="3410" spans="1:9" x14ac:dyDescent="0.25">
      <c r="A3410" s="82">
        <v>42794</v>
      </c>
      <c r="B3410" s="39" t="s">
        <v>7711</v>
      </c>
      <c r="C3410" s="89"/>
      <c r="D3410" s="18">
        <v>102745</v>
      </c>
      <c r="E3410" s="13" t="s">
        <v>476</v>
      </c>
      <c r="F3410" s="14">
        <v>0</v>
      </c>
      <c r="G3410" s="88" t="s">
        <v>95</v>
      </c>
      <c r="H3410" s="14">
        <f t="shared" si="101"/>
        <v>0</v>
      </c>
      <c r="I3410" s="14">
        <f t="shared" si="100"/>
        <v>0</v>
      </c>
    </row>
    <row r="3411" spans="1:9" x14ac:dyDescent="0.25">
      <c r="A3411" s="82">
        <v>42794</v>
      </c>
      <c r="B3411" s="39" t="s">
        <v>7712</v>
      </c>
      <c r="C3411" s="89"/>
      <c r="D3411" s="18">
        <v>102746</v>
      </c>
      <c r="E3411" s="2" t="s">
        <v>159</v>
      </c>
      <c r="F3411" s="15">
        <v>8671</v>
      </c>
      <c r="G3411" s="41">
        <v>42794</v>
      </c>
      <c r="H3411" s="15">
        <f t="shared" si="101"/>
        <v>8671</v>
      </c>
      <c r="I3411" s="15">
        <f t="shared" si="100"/>
        <v>0</v>
      </c>
    </row>
    <row r="3412" spans="1:9" x14ac:dyDescent="0.25">
      <c r="A3412" s="82">
        <v>42794</v>
      </c>
      <c r="B3412" s="39" t="s">
        <v>7713</v>
      </c>
      <c r="C3412" s="89"/>
      <c r="D3412" s="18">
        <v>102747</v>
      </c>
      <c r="E3412" s="2" t="s">
        <v>476</v>
      </c>
      <c r="F3412" s="15">
        <v>3819</v>
      </c>
      <c r="G3412" s="41">
        <v>42794</v>
      </c>
      <c r="H3412" s="15">
        <f t="shared" si="101"/>
        <v>3819</v>
      </c>
      <c r="I3412" s="15">
        <f t="shared" si="100"/>
        <v>0</v>
      </c>
    </row>
    <row r="3413" spans="1:9" x14ac:dyDescent="0.25">
      <c r="A3413" s="82">
        <v>42794</v>
      </c>
      <c r="B3413" s="39" t="s">
        <v>7714</v>
      </c>
      <c r="C3413" s="89"/>
      <c r="D3413" s="18">
        <v>102748</v>
      </c>
      <c r="E3413" s="2" t="s">
        <v>2986</v>
      </c>
      <c r="F3413" s="15">
        <v>2983</v>
      </c>
      <c r="G3413" s="41">
        <v>42794</v>
      </c>
      <c r="H3413" s="15">
        <f t="shared" si="101"/>
        <v>2983</v>
      </c>
      <c r="I3413" s="15">
        <f t="shared" si="100"/>
        <v>0</v>
      </c>
    </row>
    <row r="3414" spans="1:9" x14ac:dyDescent="0.25">
      <c r="A3414" s="82">
        <v>42794</v>
      </c>
      <c r="B3414" s="39" t="s">
        <v>7715</v>
      </c>
      <c r="C3414" s="89"/>
      <c r="D3414" s="18">
        <v>102749</v>
      </c>
      <c r="E3414" s="2" t="s">
        <v>30</v>
      </c>
      <c r="F3414" s="15">
        <v>1471.5</v>
      </c>
      <c r="G3414" s="41">
        <v>42794</v>
      </c>
      <c r="H3414" s="15">
        <f t="shared" si="101"/>
        <v>1471.5</v>
      </c>
      <c r="I3414" s="15">
        <f t="shared" si="100"/>
        <v>0</v>
      </c>
    </row>
    <row r="3415" spans="1:9" x14ac:dyDescent="0.25">
      <c r="A3415" s="82">
        <v>42794</v>
      </c>
      <c r="B3415" s="39" t="s">
        <v>7716</v>
      </c>
      <c r="C3415" s="89"/>
      <c r="D3415" s="18">
        <v>102750</v>
      </c>
      <c r="E3415" s="2" t="s">
        <v>30</v>
      </c>
      <c r="F3415" s="15">
        <v>3360</v>
      </c>
      <c r="G3415" s="41">
        <v>42794</v>
      </c>
      <c r="H3415" s="15">
        <f t="shared" si="101"/>
        <v>3360</v>
      </c>
      <c r="I3415" s="15">
        <f t="shared" si="100"/>
        <v>0</v>
      </c>
    </row>
    <row r="3416" spans="1:9" x14ac:dyDescent="0.25">
      <c r="A3416" s="82">
        <v>42794</v>
      </c>
      <c r="B3416" s="39" t="s">
        <v>7717</v>
      </c>
      <c r="C3416" s="89"/>
      <c r="D3416" s="18">
        <v>102751</v>
      </c>
      <c r="E3416" s="2" t="s">
        <v>10</v>
      </c>
      <c r="F3416" s="15">
        <v>288480.40000000002</v>
      </c>
      <c r="G3416" s="41">
        <v>42802</v>
      </c>
      <c r="H3416" s="15">
        <f t="shared" si="101"/>
        <v>288480.40000000002</v>
      </c>
      <c r="I3416" s="15">
        <f t="shared" si="100"/>
        <v>0</v>
      </c>
    </row>
    <row r="3417" spans="1:9" x14ac:dyDescent="0.25">
      <c r="A3417" s="82">
        <v>42794</v>
      </c>
      <c r="B3417" s="39" t="s">
        <v>7718</v>
      </c>
      <c r="C3417" s="89"/>
      <c r="D3417" s="18">
        <v>102752</v>
      </c>
      <c r="E3417" s="2" t="s">
        <v>352</v>
      </c>
      <c r="F3417" s="15">
        <v>4623.7</v>
      </c>
      <c r="G3417" s="41">
        <v>42794</v>
      </c>
      <c r="H3417" s="15">
        <f t="shared" si="101"/>
        <v>4623.7</v>
      </c>
      <c r="I3417" s="15">
        <f t="shared" si="100"/>
        <v>0</v>
      </c>
    </row>
    <row r="3418" spans="1:9" x14ac:dyDescent="0.25">
      <c r="A3418" s="82">
        <v>42794</v>
      </c>
      <c r="B3418" s="39" t="s">
        <v>7719</v>
      </c>
      <c r="C3418" s="89"/>
      <c r="D3418" s="18">
        <v>102753</v>
      </c>
      <c r="E3418" s="2" t="s">
        <v>352</v>
      </c>
      <c r="F3418" s="15">
        <v>433.3</v>
      </c>
      <c r="G3418" s="41">
        <v>42794</v>
      </c>
      <c r="H3418" s="15">
        <f t="shared" si="101"/>
        <v>433.3</v>
      </c>
      <c r="I3418" s="15">
        <f t="shared" si="100"/>
        <v>0</v>
      </c>
    </row>
    <row r="3419" spans="1:9" x14ac:dyDescent="0.25">
      <c r="A3419" s="82">
        <v>42794</v>
      </c>
      <c r="B3419" s="39" t="s">
        <v>7720</v>
      </c>
      <c r="C3419" s="89"/>
      <c r="D3419" s="18">
        <v>102754</v>
      </c>
      <c r="E3419" s="2" t="s">
        <v>115</v>
      </c>
      <c r="F3419" s="15">
        <v>3062.8</v>
      </c>
      <c r="G3419" s="41">
        <v>42794</v>
      </c>
      <c r="H3419" s="15">
        <f t="shared" si="101"/>
        <v>3062.8</v>
      </c>
      <c r="I3419" s="15">
        <f t="shared" si="100"/>
        <v>0</v>
      </c>
    </row>
    <row r="3420" spans="1:9" x14ac:dyDescent="0.25">
      <c r="A3420" s="82">
        <v>42794</v>
      </c>
      <c r="B3420" s="39" t="s">
        <v>7721</v>
      </c>
      <c r="C3420" s="89"/>
      <c r="D3420" s="18">
        <v>102755</v>
      </c>
      <c r="E3420" s="2" t="s">
        <v>329</v>
      </c>
      <c r="F3420" s="15">
        <v>831</v>
      </c>
      <c r="G3420" s="41">
        <v>42794</v>
      </c>
      <c r="H3420" s="15">
        <f t="shared" si="101"/>
        <v>831</v>
      </c>
      <c r="I3420" s="15">
        <f t="shared" si="100"/>
        <v>0</v>
      </c>
    </row>
    <row r="3421" spans="1:9" x14ac:dyDescent="0.25">
      <c r="A3421" s="82">
        <v>42794</v>
      </c>
      <c r="B3421" s="39" t="s">
        <v>7722</v>
      </c>
      <c r="C3421" s="89"/>
      <c r="D3421" s="18">
        <v>102756</v>
      </c>
      <c r="E3421" s="2" t="s">
        <v>115</v>
      </c>
      <c r="F3421" s="15">
        <v>38</v>
      </c>
      <c r="G3421" s="41">
        <v>42794</v>
      </c>
      <c r="H3421" s="15">
        <f t="shared" si="101"/>
        <v>38</v>
      </c>
      <c r="I3421" s="15">
        <f t="shared" si="100"/>
        <v>0</v>
      </c>
    </row>
    <row r="3422" spans="1:9" x14ac:dyDescent="0.25">
      <c r="A3422" s="82">
        <v>42794</v>
      </c>
      <c r="B3422" s="39" t="s">
        <v>7723</v>
      </c>
      <c r="C3422" s="89"/>
      <c r="D3422" s="18">
        <v>102757</v>
      </c>
      <c r="E3422" s="2" t="s">
        <v>879</v>
      </c>
      <c r="F3422" s="15">
        <v>861</v>
      </c>
      <c r="G3422" s="41">
        <v>42794</v>
      </c>
      <c r="H3422" s="15">
        <f t="shared" si="101"/>
        <v>861</v>
      </c>
      <c r="I3422" s="15">
        <f t="shared" si="100"/>
        <v>0</v>
      </c>
    </row>
    <row r="3423" spans="1:9" x14ac:dyDescent="0.25">
      <c r="A3423" s="82">
        <v>42794</v>
      </c>
      <c r="B3423" s="39" t="s">
        <v>7724</v>
      </c>
      <c r="C3423" s="89"/>
      <c r="D3423" s="18">
        <v>102758</v>
      </c>
      <c r="E3423" s="2" t="s">
        <v>2240</v>
      </c>
      <c r="F3423" s="15">
        <v>3884.5</v>
      </c>
      <c r="G3423" s="41">
        <v>42794</v>
      </c>
      <c r="H3423" s="15">
        <f t="shared" si="101"/>
        <v>3884.5</v>
      </c>
      <c r="I3423" s="15">
        <f t="shared" si="100"/>
        <v>0</v>
      </c>
    </row>
    <row r="3424" spans="1:9" ht="30" x14ac:dyDescent="0.25">
      <c r="A3424" s="82">
        <v>42794</v>
      </c>
      <c r="B3424" s="39" t="s">
        <v>7725</v>
      </c>
      <c r="C3424" s="91"/>
      <c r="D3424" s="61">
        <v>102759</v>
      </c>
      <c r="E3424" s="62" t="s">
        <v>800</v>
      </c>
      <c r="F3424" s="63">
        <v>14314.6</v>
      </c>
      <c r="G3424" s="87" t="s">
        <v>7768</v>
      </c>
      <c r="H3424" s="65">
        <f>13800+514.6</f>
        <v>14314.6</v>
      </c>
      <c r="I3424" s="65">
        <f t="shared" si="100"/>
        <v>0</v>
      </c>
    </row>
    <row r="3425" spans="1:9" x14ac:dyDescent="0.25">
      <c r="A3425" s="82">
        <v>42794</v>
      </c>
      <c r="B3425" s="39" t="s">
        <v>7726</v>
      </c>
      <c r="C3425" s="89"/>
      <c r="D3425" s="18">
        <v>102760</v>
      </c>
      <c r="E3425" s="2" t="s">
        <v>800</v>
      </c>
      <c r="F3425" s="15">
        <v>215.8</v>
      </c>
      <c r="G3425" s="41">
        <v>42794</v>
      </c>
      <c r="H3425" s="15">
        <f t="shared" si="101"/>
        <v>215.8</v>
      </c>
      <c r="I3425" s="15">
        <f t="shared" si="100"/>
        <v>0</v>
      </c>
    </row>
    <row r="3426" spans="1:9" x14ac:dyDescent="0.25">
      <c r="A3426" s="82">
        <v>42794</v>
      </c>
      <c r="B3426" s="39" t="s">
        <v>7727</v>
      </c>
      <c r="C3426" s="89"/>
      <c r="D3426" s="18">
        <v>102761</v>
      </c>
      <c r="E3426" s="2" t="s">
        <v>302</v>
      </c>
      <c r="F3426" s="15">
        <v>11196.8</v>
      </c>
      <c r="G3426" s="41">
        <v>42794</v>
      </c>
      <c r="H3426" s="15">
        <f t="shared" si="101"/>
        <v>11196.8</v>
      </c>
      <c r="I3426" s="15">
        <f t="shared" si="100"/>
        <v>0</v>
      </c>
    </row>
    <row r="3427" spans="1:9" x14ac:dyDescent="0.25">
      <c r="A3427" s="82">
        <v>42794</v>
      </c>
      <c r="B3427" s="39" t="s">
        <v>7728</v>
      </c>
      <c r="C3427" s="89"/>
      <c r="D3427" s="18">
        <v>102762</v>
      </c>
      <c r="E3427" s="2" t="s">
        <v>544</v>
      </c>
      <c r="F3427" s="15">
        <v>4924</v>
      </c>
      <c r="G3427" s="41">
        <v>42803</v>
      </c>
      <c r="H3427" s="15">
        <f t="shared" si="101"/>
        <v>4924</v>
      </c>
      <c r="I3427" s="15">
        <f t="shared" si="100"/>
        <v>0</v>
      </c>
    </row>
    <row r="3428" spans="1:9" x14ac:dyDescent="0.25">
      <c r="A3428" s="82">
        <v>42794</v>
      </c>
      <c r="B3428" s="39" t="s">
        <v>7729</v>
      </c>
      <c r="C3428" s="89"/>
      <c r="D3428" s="18">
        <v>102763</v>
      </c>
      <c r="E3428" s="2" t="s">
        <v>12</v>
      </c>
      <c r="F3428" s="15">
        <v>729</v>
      </c>
      <c r="G3428" s="41">
        <v>42796</v>
      </c>
      <c r="H3428" s="15">
        <f t="shared" si="101"/>
        <v>729</v>
      </c>
      <c r="I3428" s="15">
        <f t="shared" si="100"/>
        <v>0</v>
      </c>
    </row>
    <row r="3429" spans="1:9" x14ac:dyDescent="0.25">
      <c r="A3429" s="82">
        <v>42794</v>
      </c>
      <c r="B3429" s="39" t="s">
        <v>7730</v>
      </c>
      <c r="C3429" s="89"/>
      <c r="D3429" s="18">
        <v>102764</v>
      </c>
      <c r="E3429" s="2" t="s">
        <v>8</v>
      </c>
      <c r="F3429" s="15">
        <v>1944</v>
      </c>
      <c r="G3429" s="41">
        <v>42794</v>
      </c>
      <c r="H3429" s="15">
        <f t="shared" si="101"/>
        <v>1944</v>
      </c>
      <c r="I3429" s="15">
        <f t="shared" si="100"/>
        <v>0</v>
      </c>
    </row>
    <row r="3430" spans="1:9" x14ac:dyDescent="0.25">
      <c r="A3430" s="82">
        <v>42794</v>
      </c>
      <c r="B3430" s="39" t="s">
        <v>7731</v>
      </c>
      <c r="C3430" s="89"/>
      <c r="D3430" s="18">
        <v>102765</v>
      </c>
      <c r="E3430" s="2" t="s">
        <v>879</v>
      </c>
      <c r="F3430" s="15">
        <v>2151.6</v>
      </c>
      <c r="G3430" s="41">
        <v>42794</v>
      </c>
      <c r="H3430" s="15">
        <f t="shared" si="101"/>
        <v>2151.6</v>
      </c>
      <c r="I3430" s="15">
        <f t="shared" si="100"/>
        <v>0</v>
      </c>
    </row>
    <row r="3431" spans="1:9" x14ac:dyDescent="0.25">
      <c r="A3431" s="82">
        <v>42794</v>
      </c>
      <c r="B3431" s="39" t="s">
        <v>7732</v>
      </c>
      <c r="C3431" s="89"/>
      <c r="D3431" s="18">
        <v>102766</v>
      </c>
      <c r="E3431" s="2" t="s">
        <v>205</v>
      </c>
      <c r="F3431" s="107">
        <v>29958.400000000001</v>
      </c>
      <c r="G3431" s="108">
        <v>42851</v>
      </c>
      <c r="H3431" s="107">
        <f t="shared" si="101"/>
        <v>29958.400000000001</v>
      </c>
      <c r="I3431" s="15">
        <f t="shared" si="100"/>
        <v>0</v>
      </c>
    </row>
    <row r="3432" spans="1:9" x14ac:dyDescent="0.25">
      <c r="A3432" s="82">
        <v>42794</v>
      </c>
      <c r="B3432" s="39" t="s">
        <v>7733</v>
      </c>
      <c r="C3432" s="89"/>
      <c r="D3432" s="18">
        <v>102767</v>
      </c>
      <c r="E3432" s="13" t="s">
        <v>222</v>
      </c>
      <c r="F3432" s="15">
        <v>0</v>
      </c>
      <c r="G3432" s="109" t="s">
        <v>95</v>
      </c>
      <c r="H3432" s="15">
        <f t="shared" si="101"/>
        <v>0</v>
      </c>
      <c r="I3432" s="15">
        <f t="shared" si="100"/>
        <v>0</v>
      </c>
    </row>
    <row r="3433" spans="1:9" x14ac:dyDescent="0.25">
      <c r="A3433" s="82">
        <v>42794</v>
      </c>
      <c r="B3433" s="39" t="s">
        <v>7734</v>
      </c>
      <c r="C3433" s="89"/>
      <c r="D3433" s="18">
        <v>102768</v>
      </c>
      <c r="E3433" s="2" t="s">
        <v>222</v>
      </c>
      <c r="F3433" s="15">
        <v>218440</v>
      </c>
      <c r="G3433" s="41">
        <v>42802</v>
      </c>
      <c r="H3433" s="15">
        <f t="shared" si="101"/>
        <v>218440</v>
      </c>
      <c r="I3433" s="15">
        <f t="shared" si="100"/>
        <v>0</v>
      </c>
    </row>
    <row r="3434" spans="1:9" x14ac:dyDescent="0.25">
      <c r="A3434" s="82">
        <v>42794</v>
      </c>
      <c r="B3434" s="39" t="s">
        <v>7735</v>
      </c>
      <c r="C3434" s="89"/>
      <c r="D3434" s="18">
        <v>102769</v>
      </c>
      <c r="E3434" s="2" t="s">
        <v>5232</v>
      </c>
      <c r="F3434" s="15">
        <v>8080</v>
      </c>
      <c r="G3434" s="41">
        <v>42794</v>
      </c>
      <c r="H3434" s="15">
        <f t="shared" si="101"/>
        <v>8080</v>
      </c>
      <c r="I3434" s="15">
        <f t="shared" si="100"/>
        <v>0</v>
      </c>
    </row>
    <row r="3435" spans="1:9" x14ac:dyDescent="0.25">
      <c r="A3435" s="82">
        <v>42794</v>
      </c>
      <c r="B3435" s="39" t="s">
        <v>7736</v>
      </c>
      <c r="C3435" s="89"/>
      <c r="D3435" s="18">
        <v>102770</v>
      </c>
      <c r="E3435" s="2" t="s">
        <v>147</v>
      </c>
      <c r="F3435" s="15">
        <v>45474.8</v>
      </c>
      <c r="G3435" s="41">
        <v>42738</v>
      </c>
      <c r="H3435" s="15">
        <f t="shared" si="101"/>
        <v>45474.8</v>
      </c>
      <c r="I3435" s="15">
        <f t="shared" si="100"/>
        <v>0</v>
      </c>
    </row>
    <row r="3436" spans="1:9" x14ac:dyDescent="0.25">
      <c r="A3436" s="82">
        <v>42794</v>
      </c>
      <c r="B3436" s="39" t="s">
        <v>7737</v>
      </c>
      <c r="C3436" s="89"/>
      <c r="D3436" s="18">
        <v>102771</v>
      </c>
      <c r="E3436" s="2" t="s">
        <v>218</v>
      </c>
      <c r="F3436" s="15">
        <v>48715.9</v>
      </c>
      <c r="G3436" s="41">
        <v>42824</v>
      </c>
      <c r="H3436" s="15">
        <f t="shared" si="101"/>
        <v>48715.9</v>
      </c>
      <c r="I3436" s="15">
        <f t="shared" si="100"/>
        <v>0</v>
      </c>
    </row>
    <row r="3437" spans="1:9" x14ac:dyDescent="0.25">
      <c r="A3437" s="82">
        <v>42794</v>
      </c>
      <c r="B3437" s="39" t="s">
        <v>7738</v>
      </c>
      <c r="C3437" s="89"/>
      <c r="D3437" s="18">
        <v>102772</v>
      </c>
      <c r="E3437" s="2" t="s">
        <v>10</v>
      </c>
      <c r="F3437" s="15">
        <v>64843.8</v>
      </c>
      <c r="G3437" s="41">
        <v>42802</v>
      </c>
      <c r="H3437" s="15">
        <f t="shared" si="101"/>
        <v>64843.8</v>
      </c>
      <c r="I3437" s="15">
        <f t="shared" si="100"/>
        <v>0</v>
      </c>
    </row>
    <row r="3438" spans="1:9" x14ac:dyDescent="0.25">
      <c r="A3438" s="82">
        <v>42794</v>
      </c>
      <c r="B3438" s="39" t="s">
        <v>7739</v>
      </c>
      <c r="C3438" s="89"/>
      <c r="D3438" s="18">
        <v>102773</v>
      </c>
      <c r="E3438" s="2" t="s">
        <v>457</v>
      </c>
      <c r="F3438" s="15">
        <v>773</v>
      </c>
      <c r="G3438" s="41">
        <v>42794</v>
      </c>
      <c r="H3438" s="15">
        <f t="shared" si="101"/>
        <v>773</v>
      </c>
      <c r="I3438" s="15">
        <f t="shared" si="100"/>
        <v>0</v>
      </c>
    </row>
    <row r="3439" spans="1:9" x14ac:dyDescent="0.25">
      <c r="A3439" s="82">
        <v>42794</v>
      </c>
      <c r="B3439" s="39" t="s">
        <v>7740</v>
      </c>
      <c r="C3439" s="89"/>
      <c r="D3439" s="18">
        <v>102774</v>
      </c>
      <c r="E3439" s="2" t="s">
        <v>30</v>
      </c>
      <c r="F3439" s="15">
        <v>1459.2</v>
      </c>
      <c r="G3439" s="41">
        <v>42794</v>
      </c>
      <c r="H3439" s="15">
        <f t="shared" si="101"/>
        <v>1459.2</v>
      </c>
      <c r="I3439" s="15">
        <f t="shared" si="100"/>
        <v>0</v>
      </c>
    </row>
    <row r="3440" spans="1:9" x14ac:dyDescent="0.25">
      <c r="A3440" s="82">
        <v>42794</v>
      </c>
      <c r="B3440" s="39" t="s">
        <v>7741</v>
      </c>
      <c r="C3440" s="89"/>
      <c r="D3440" s="18">
        <v>102775</v>
      </c>
      <c r="E3440" s="2" t="s">
        <v>697</v>
      </c>
      <c r="F3440" s="15">
        <v>49159.8</v>
      </c>
      <c r="G3440" s="41">
        <v>42798</v>
      </c>
      <c r="H3440" s="15">
        <f t="shared" si="101"/>
        <v>49159.8</v>
      </c>
      <c r="I3440" s="15">
        <f t="shared" si="100"/>
        <v>0</v>
      </c>
    </row>
    <row r="3441" spans="1:9" x14ac:dyDescent="0.25">
      <c r="A3441" s="82">
        <v>42794</v>
      </c>
      <c r="B3441" s="39" t="s">
        <v>7742</v>
      </c>
      <c r="C3441" s="89"/>
      <c r="D3441" s="18">
        <v>102776</v>
      </c>
      <c r="E3441" s="2" t="s">
        <v>921</v>
      </c>
      <c r="F3441" s="15">
        <v>4380</v>
      </c>
      <c r="G3441" s="41">
        <v>42794</v>
      </c>
      <c r="H3441" s="15">
        <f t="shared" si="101"/>
        <v>4380</v>
      </c>
      <c r="I3441" s="15">
        <f t="shared" si="100"/>
        <v>0</v>
      </c>
    </row>
    <row r="3442" spans="1:9" x14ac:dyDescent="0.25">
      <c r="A3442" s="82">
        <v>42794</v>
      </c>
      <c r="B3442" s="39" t="s">
        <v>7743</v>
      </c>
      <c r="C3442" s="89"/>
      <c r="D3442" s="18">
        <v>102777</v>
      </c>
      <c r="E3442" s="2" t="s">
        <v>10</v>
      </c>
      <c r="F3442" s="15">
        <v>5683.6</v>
      </c>
      <c r="G3442" s="41">
        <v>42802</v>
      </c>
      <c r="H3442" s="15">
        <f t="shared" si="101"/>
        <v>5683.6</v>
      </c>
      <c r="I3442" s="15">
        <f t="shared" si="100"/>
        <v>0</v>
      </c>
    </row>
    <row r="3443" spans="1:9" x14ac:dyDescent="0.25">
      <c r="A3443" s="82">
        <v>42794</v>
      </c>
      <c r="B3443" s="39" t="s">
        <v>7744</v>
      </c>
      <c r="C3443" s="89"/>
      <c r="D3443" s="18">
        <v>102778</v>
      </c>
      <c r="E3443" s="2" t="s">
        <v>211</v>
      </c>
      <c r="F3443" s="15">
        <v>8639.4</v>
      </c>
      <c r="G3443" s="41">
        <v>42738</v>
      </c>
      <c r="H3443" s="15">
        <f t="shared" si="101"/>
        <v>8639.4</v>
      </c>
      <c r="I3443" s="15">
        <f t="shared" si="100"/>
        <v>0</v>
      </c>
    </row>
    <row r="3444" spans="1:9" x14ac:dyDescent="0.25">
      <c r="A3444" s="82">
        <v>42794</v>
      </c>
      <c r="B3444" s="39" t="s">
        <v>7745</v>
      </c>
      <c r="C3444" s="89"/>
      <c r="D3444" s="18">
        <v>102779</v>
      </c>
      <c r="E3444" s="2" t="s">
        <v>7147</v>
      </c>
      <c r="F3444" s="15">
        <v>8804.4</v>
      </c>
      <c r="G3444" s="41">
        <v>42738</v>
      </c>
      <c r="H3444" s="15">
        <f t="shared" si="101"/>
        <v>8804.4</v>
      </c>
      <c r="I3444" s="15">
        <f t="shared" si="100"/>
        <v>0</v>
      </c>
    </row>
    <row r="3445" spans="1:9" x14ac:dyDescent="0.25">
      <c r="A3445" s="82">
        <v>42794</v>
      </c>
      <c r="B3445" s="39" t="s">
        <v>7746</v>
      </c>
      <c r="C3445" s="89"/>
      <c r="D3445" s="18">
        <v>102780</v>
      </c>
      <c r="E3445" s="2" t="s">
        <v>220</v>
      </c>
      <c r="F3445" s="15">
        <v>2203.1999999999998</v>
      </c>
      <c r="G3445" s="41">
        <v>42738</v>
      </c>
      <c r="H3445" s="15">
        <f t="shared" si="101"/>
        <v>2203.1999999999998</v>
      </c>
      <c r="I3445" s="15">
        <f t="shared" si="100"/>
        <v>0</v>
      </c>
    </row>
    <row r="3446" spans="1:9" x14ac:dyDescent="0.25">
      <c r="B3446" s="39"/>
      <c r="C3446" s="17"/>
      <c r="D3446" s="18"/>
      <c r="H3446" s="15"/>
      <c r="I3446" s="15">
        <f t="shared" si="100"/>
        <v>0</v>
      </c>
    </row>
    <row r="3447" spans="1:9" x14ac:dyDescent="0.25">
      <c r="B3447" s="39"/>
      <c r="C3447" s="17"/>
      <c r="D3447" s="18"/>
      <c r="H3447" s="15"/>
      <c r="I3447" s="15">
        <f t="shared" si="100"/>
        <v>0</v>
      </c>
    </row>
    <row r="3448" spans="1:9" x14ac:dyDescent="0.25">
      <c r="B3448" s="39"/>
      <c r="C3448" s="17"/>
      <c r="D3448" s="18"/>
      <c r="H3448" s="15"/>
      <c r="I3448" s="15">
        <f t="shared" ref="I3448:I3450" si="102">F3448-H3448</f>
        <v>0</v>
      </c>
    </row>
    <row r="3449" spans="1:9" x14ac:dyDescent="0.25">
      <c r="B3449" s="39"/>
      <c r="C3449" s="17"/>
      <c r="D3449" s="18"/>
      <c r="H3449" s="15"/>
      <c r="I3449" s="15">
        <f t="shared" si="102"/>
        <v>0</v>
      </c>
    </row>
    <row r="3450" spans="1:9" ht="15.75" thickBot="1" x14ac:dyDescent="0.3">
      <c r="B3450" s="39"/>
      <c r="C3450" s="17"/>
      <c r="D3450" s="18"/>
      <c r="H3450" s="15"/>
      <c r="I3450" s="15">
        <f t="shared" si="102"/>
        <v>0</v>
      </c>
    </row>
    <row r="3451" spans="1:9" ht="21.75" thickBot="1" x14ac:dyDescent="0.4">
      <c r="E3451" s="30" t="s">
        <v>4166</v>
      </c>
      <c r="F3451" s="31">
        <f>SUM(F6:F3450)</f>
        <v>50142661.971968129</v>
      </c>
      <c r="G3451" s="42"/>
      <c r="H3451" s="32">
        <f>SUM(H6:H3450)</f>
        <v>50172872.981968135</v>
      </c>
      <c r="I3451" s="33">
        <f>SUM(I6:I3450)</f>
        <v>-30211.010000000002</v>
      </c>
    </row>
  </sheetData>
  <mergeCells count="1">
    <mergeCell ref="A1:H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L3669"/>
  <sheetViews>
    <sheetView workbookViewId="0">
      <pane xSplit="2" ySplit="2" topLeftCell="E3602" activePane="bottomRight" state="frozen"/>
      <selection pane="topRight" activeCell="C1" sqref="C1"/>
      <selection pane="bottomLeft" activeCell="A3" sqref="A3"/>
      <selection pane="bottomRight" activeCell="B916" sqref="B916"/>
    </sheetView>
  </sheetViews>
  <sheetFormatPr baseColWidth="10" defaultRowHeight="15" x14ac:dyDescent="0.25"/>
  <cols>
    <col min="1" max="1" width="14.85546875" style="51" customWidth="1"/>
    <col min="2" max="2" width="12.28515625" style="72" customWidth="1"/>
    <col min="3" max="3" width="16" style="72" customWidth="1"/>
    <col min="4" max="4" width="59.85546875" style="2" bestFit="1" customWidth="1"/>
    <col min="5" max="5" width="21" style="15" bestFit="1" customWidth="1"/>
    <col min="6" max="6" width="24.42578125" style="59" customWidth="1"/>
    <col min="7" max="7" width="26.7109375" style="15" bestFit="1" customWidth="1"/>
    <col min="8" max="8" width="21" style="15" bestFit="1" customWidth="1"/>
    <col min="9" max="9" width="11.42578125" style="2"/>
    <col min="10" max="10" width="14.140625" style="2" bestFit="1" customWidth="1"/>
    <col min="11" max="16384" width="11.42578125" style="2"/>
  </cols>
  <sheetData>
    <row r="1" spans="1:9" ht="37.5" customHeight="1" x14ac:dyDescent="0.4">
      <c r="A1" s="431" t="s">
        <v>7770</v>
      </c>
      <c r="B1" s="431"/>
      <c r="C1" s="431"/>
      <c r="D1" s="431"/>
      <c r="E1" s="431"/>
      <c r="F1" s="431"/>
      <c r="G1" s="431"/>
      <c r="H1" s="43"/>
    </row>
    <row r="2" spans="1:9" ht="31.5" customHeight="1" thickBot="1" x14ac:dyDescent="0.35">
      <c r="A2" s="44" t="s">
        <v>1</v>
      </c>
      <c r="B2" s="45" t="s">
        <v>2</v>
      </c>
      <c r="C2" s="45" t="s">
        <v>3</v>
      </c>
      <c r="D2" s="46" t="s">
        <v>7771</v>
      </c>
      <c r="E2" s="47" t="s">
        <v>5</v>
      </c>
      <c r="F2" s="48" t="s">
        <v>6</v>
      </c>
      <c r="G2" s="49" t="str">
        <f t="shared" ref="G2" si="0">E2</f>
        <v>IMPORTE</v>
      </c>
      <c r="H2" s="50" t="s">
        <v>7</v>
      </c>
    </row>
    <row r="3" spans="1:9" ht="16.5" thickTop="1" x14ac:dyDescent="0.25">
      <c r="A3" s="51">
        <v>42795</v>
      </c>
      <c r="B3" s="52" t="s">
        <v>7772</v>
      </c>
      <c r="C3" s="18">
        <v>102781</v>
      </c>
      <c r="D3" s="2" t="s">
        <v>428</v>
      </c>
      <c r="E3" s="15">
        <v>2435</v>
      </c>
      <c r="F3" s="59" t="s">
        <v>3806</v>
      </c>
      <c r="G3" s="15">
        <f>E3</f>
        <v>2435</v>
      </c>
      <c r="H3" s="15">
        <f>E3-G3</f>
        <v>0</v>
      </c>
    </row>
    <row r="4" spans="1:9" ht="15.75" x14ac:dyDescent="0.25">
      <c r="A4" s="51">
        <v>42795</v>
      </c>
      <c r="B4" s="52" t="s">
        <v>7773</v>
      </c>
      <c r="C4" s="18">
        <v>102782</v>
      </c>
      <c r="D4" s="2" t="s">
        <v>250</v>
      </c>
      <c r="E4" s="15">
        <v>5412.84</v>
      </c>
      <c r="F4" s="59">
        <v>42796</v>
      </c>
      <c r="G4" s="15">
        <f t="shared" ref="G4:G67" si="1">E4</f>
        <v>5412.84</v>
      </c>
      <c r="H4" s="15">
        <f t="shared" ref="H4:H67" si="2">E4-G4</f>
        <v>0</v>
      </c>
    </row>
    <row r="5" spans="1:9" ht="15.75" x14ac:dyDescent="0.25">
      <c r="A5" s="51">
        <v>42795</v>
      </c>
      <c r="B5" s="52" t="s">
        <v>7774</v>
      </c>
      <c r="C5" s="18">
        <v>102783</v>
      </c>
      <c r="D5" s="2" t="s">
        <v>26</v>
      </c>
      <c r="E5" s="15">
        <v>12743.8</v>
      </c>
      <c r="F5" s="59">
        <v>42795</v>
      </c>
      <c r="G5" s="15">
        <f t="shared" si="1"/>
        <v>12743.8</v>
      </c>
      <c r="H5" s="15">
        <f t="shared" si="2"/>
        <v>0</v>
      </c>
    </row>
    <row r="6" spans="1:9" ht="15.75" x14ac:dyDescent="0.25">
      <c r="A6" s="51">
        <v>42795</v>
      </c>
      <c r="B6" s="52" t="s">
        <v>7775</v>
      </c>
      <c r="C6" s="18">
        <v>102784</v>
      </c>
      <c r="D6" s="2" t="s">
        <v>236</v>
      </c>
      <c r="E6" s="15">
        <v>61281</v>
      </c>
      <c r="F6" s="59">
        <v>42807</v>
      </c>
      <c r="G6" s="15">
        <f t="shared" si="1"/>
        <v>61281</v>
      </c>
      <c r="H6" s="15">
        <f t="shared" si="2"/>
        <v>0</v>
      </c>
      <c r="I6" s="19"/>
    </row>
    <row r="7" spans="1:9" ht="15.75" x14ac:dyDescent="0.25">
      <c r="A7" s="51">
        <v>42795</v>
      </c>
      <c r="B7" s="52" t="s">
        <v>7776</v>
      </c>
      <c r="C7" s="18">
        <v>102785</v>
      </c>
      <c r="D7" s="2" t="s">
        <v>253</v>
      </c>
      <c r="E7" s="15">
        <v>3362.4</v>
      </c>
      <c r="F7" s="59">
        <v>42798</v>
      </c>
      <c r="G7" s="15">
        <f t="shared" si="1"/>
        <v>3362.4</v>
      </c>
      <c r="H7" s="15">
        <f t="shared" si="2"/>
        <v>0</v>
      </c>
      <c r="I7" s="19"/>
    </row>
    <row r="8" spans="1:9" ht="15.75" x14ac:dyDescent="0.25">
      <c r="A8" s="51">
        <v>42795</v>
      </c>
      <c r="B8" s="52" t="s">
        <v>7777</v>
      </c>
      <c r="C8" s="18">
        <v>102786</v>
      </c>
      <c r="D8" s="2" t="s">
        <v>43</v>
      </c>
      <c r="E8" s="15">
        <v>1863.8</v>
      </c>
      <c r="F8" s="59" t="s">
        <v>3806</v>
      </c>
      <c r="G8" s="15">
        <f t="shared" si="1"/>
        <v>1863.8</v>
      </c>
      <c r="H8" s="15">
        <f t="shared" si="2"/>
        <v>0</v>
      </c>
      <c r="I8" s="19"/>
    </row>
    <row r="9" spans="1:9" ht="15" customHeight="1" x14ac:dyDescent="0.25">
      <c r="A9" s="51">
        <v>42795</v>
      </c>
      <c r="B9" s="52" t="s">
        <v>7778</v>
      </c>
      <c r="C9" s="18">
        <v>102787</v>
      </c>
      <c r="D9" s="2" t="s">
        <v>143</v>
      </c>
      <c r="E9" s="15">
        <v>6114.1</v>
      </c>
      <c r="F9" s="59">
        <v>42795</v>
      </c>
      <c r="G9" s="15">
        <f t="shared" si="1"/>
        <v>6114.1</v>
      </c>
      <c r="H9" s="15">
        <f t="shared" si="2"/>
        <v>0</v>
      </c>
      <c r="I9" s="19"/>
    </row>
    <row r="10" spans="1:9" ht="15" customHeight="1" x14ac:dyDescent="0.25">
      <c r="A10" s="51">
        <v>42795</v>
      </c>
      <c r="B10" s="52" t="s">
        <v>7779</v>
      </c>
      <c r="C10" s="18">
        <v>102788</v>
      </c>
      <c r="D10" s="2" t="s">
        <v>1380</v>
      </c>
      <c r="E10" s="15">
        <v>1280.28</v>
      </c>
      <c r="F10" s="59">
        <v>42795</v>
      </c>
      <c r="G10" s="15">
        <f t="shared" si="1"/>
        <v>1280.28</v>
      </c>
      <c r="H10" s="15">
        <f t="shared" si="2"/>
        <v>0</v>
      </c>
      <c r="I10" s="19"/>
    </row>
    <row r="11" spans="1:9" ht="15" customHeight="1" x14ac:dyDescent="0.25">
      <c r="A11" s="51">
        <v>42795</v>
      </c>
      <c r="B11" s="52" t="s">
        <v>7780</v>
      </c>
      <c r="C11" s="18">
        <v>102789</v>
      </c>
      <c r="D11" s="2" t="s">
        <v>289</v>
      </c>
      <c r="E11" s="15">
        <v>12132.5</v>
      </c>
      <c r="F11" s="64" t="s">
        <v>7781</v>
      </c>
      <c r="G11" s="20">
        <f>4594.6+7537.9</f>
        <v>12132.5</v>
      </c>
      <c r="H11" s="20">
        <f t="shared" si="2"/>
        <v>0</v>
      </c>
      <c r="I11" s="19"/>
    </row>
    <row r="12" spans="1:9" ht="15" customHeight="1" x14ac:dyDescent="0.25">
      <c r="A12" s="51">
        <v>42795</v>
      </c>
      <c r="B12" s="52" t="s">
        <v>7782</v>
      </c>
      <c r="C12" s="18">
        <v>102790</v>
      </c>
      <c r="D12" s="2" t="s">
        <v>109</v>
      </c>
      <c r="E12" s="15">
        <v>3891.8</v>
      </c>
      <c r="F12" s="59">
        <v>42795</v>
      </c>
      <c r="G12" s="15">
        <f t="shared" si="1"/>
        <v>3891.8</v>
      </c>
      <c r="H12" s="15">
        <f t="shared" si="2"/>
        <v>0</v>
      </c>
      <c r="I12" s="19"/>
    </row>
    <row r="13" spans="1:9" ht="15" customHeight="1" x14ac:dyDescent="0.25">
      <c r="A13" s="51">
        <v>42795</v>
      </c>
      <c r="B13" s="52" t="s">
        <v>7783</v>
      </c>
      <c r="C13" s="18">
        <v>102791</v>
      </c>
      <c r="D13" s="2" t="s">
        <v>4367</v>
      </c>
      <c r="E13" s="15">
        <v>1258</v>
      </c>
      <c r="F13" s="59">
        <v>42795</v>
      </c>
      <c r="G13" s="15">
        <f t="shared" si="1"/>
        <v>1258</v>
      </c>
      <c r="H13" s="15">
        <f t="shared" si="2"/>
        <v>0</v>
      </c>
      <c r="I13" s="19"/>
    </row>
    <row r="14" spans="1:9" ht="15" customHeight="1" x14ac:dyDescent="0.25">
      <c r="A14" s="51">
        <v>42795</v>
      </c>
      <c r="B14" s="52" t="s">
        <v>7784</v>
      </c>
      <c r="C14" s="18">
        <v>102792</v>
      </c>
      <c r="D14" s="2" t="s">
        <v>47</v>
      </c>
      <c r="E14" s="15">
        <v>2760</v>
      </c>
      <c r="F14" s="59">
        <v>42795</v>
      </c>
      <c r="G14" s="15">
        <f t="shared" si="1"/>
        <v>2760</v>
      </c>
      <c r="H14" s="15">
        <f t="shared" si="2"/>
        <v>0</v>
      </c>
      <c r="I14" s="19"/>
    </row>
    <row r="15" spans="1:9" ht="15" customHeight="1" x14ac:dyDescent="0.25">
      <c r="A15" s="51">
        <v>42795</v>
      </c>
      <c r="B15" s="52" t="s">
        <v>7785</v>
      </c>
      <c r="C15" s="18">
        <v>102793</v>
      </c>
      <c r="D15" s="2" t="s">
        <v>71</v>
      </c>
      <c r="E15" s="15">
        <v>2464</v>
      </c>
      <c r="F15" s="59">
        <v>42795</v>
      </c>
      <c r="G15" s="15">
        <f t="shared" si="1"/>
        <v>2464</v>
      </c>
      <c r="H15" s="15">
        <f t="shared" si="2"/>
        <v>0</v>
      </c>
      <c r="I15" s="19"/>
    </row>
    <row r="16" spans="1:9" ht="15" customHeight="1" x14ac:dyDescent="0.25">
      <c r="A16" s="51">
        <v>42795</v>
      </c>
      <c r="B16" s="52" t="s">
        <v>7786</v>
      </c>
      <c r="C16" s="18">
        <v>102794</v>
      </c>
      <c r="D16" s="2" t="s">
        <v>103</v>
      </c>
      <c r="E16" s="15">
        <v>3036</v>
      </c>
      <c r="F16" s="59">
        <v>42796</v>
      </c>
      <c r="G16" s="15">
        <f t="shared" si="1"/>
        <v>3036</v>
      </c>
      <c r="H16" s="15">
        <f t="shared" si="2"/>
        <v>0</v>
      </c>
      <c r="I16" s="19"/>
    </row>
    <row r="17" spans="1:9" ht="15" customHeight="1" x14ac:dyDescent="0.25">
      <c r="A17" s="51">
        <v>42795</v>
      </c>
      <c r="B17" s="52" t="s">
        <v>7787</v>
      </c>
      <c r="C17" s="18">
        <v>102795</v>
      </c>
      <c r="D17" s="2" t="s">
        <v>10</v>
      </c>
      <c r="E17" s="15">
        <v>562.4</v>
      </c>
      <c r="F17" s="59">
        <v>42802</v>
      </c>
      <c r="G17" s="15">
        <f t="shared" si="1"/>
        <v>562.4</v>
      </c>
      <c r="H17" s="15">
        <f t="shared" si="2"/>
        <v>0</v>
      </c>
      <c r="I17" s="19"/>
    </row>
    <row r="18" spans="1:9" ht="15" customHeight="1" x14ac:dyDescent="0.25">
      <c r="A18" s="51">
        <v>42795</v>
      </c>
      <c r="B18" s="52" t="s">
        <v>7788</v>
      </c>
      <c r="C18" s="18">
        <v>102796</v>
      </c>
      <c r="D18" s="2" t="s">
        <v>81</v>
      </c>
      <c r="E18" s="15">
        <v>2986.5</v>
      </c>
      <c r="F18" s="59">
        <v>42795</v>
      </c>
      <c r="G18" s="15">
        <f t="shared" si="1"/>
        <v>2986.5</v>
      </c>
      <c r="H18" s="15">
        <f t="shared" si="2"/>
        <v>0</v>
      </c>
      <c r="I18" s="19"/>
    </row>
    <row r="19" spans="1:9" ht="15" customHeight="1" x14ac:dyDescent="0.25">
      <c r="A19" s="51">
        <v>42795</v>
      </c>
      <c r="B19" s="52" t="s">
        <v>7789</v>
      </c>
      <c r="C19" s="18">
        <v>102797</v>
      </c>
      <c r="D19" s="2" t="s">
        <v>79</v>
      </c>
      <c r="E19" s="15">
        <v>3035.8</v>
      </c>
      <c r="F19" s="59">
        <v>42795</v>
      </c>
      <c r="G19" s="15">
        <f t="shared" si="1"/>
        <v>3035.8</v>
      </c>
      <c r="H19" s="15">
        <f t="shared" si="2"/>
        <v>0</v>
      </c>
      <c r="I19" s="19"/>
    </row>
    <row r="20" spans="1:9" ht="15" customHeight="1" x14ac:dyDescent="0.25">
      <c r="A20" s="51">
        <v>42795</v>
      </c>
      <c r="B20" s="52" t="s">
        <v>7790</v>
      </c>
      <c r="C20" s="18">
        <v>102798</v>
      </c>
      <c r="D20" s="2" t="s">
        <v>14</v>
      </c>
      <c r="E20" s="15">
        <v>17057.8</v>
      </c>
      <c r="F20" s="59">
        <v>42795</v>
      </c>
      <c r="G20" s="15">
        <f t="shared" si="1"/>
        <v>17057.8</v>
      </c>
      <c r="H20" s="15">
        <f t="shared" si="2"/>
        <v>0</v>
      </c>
      <c r="I20" s="19"/>
    </row>
    <row r="21" spans="1:9" ht="15" customHeight="1" x14ac:dyDescent="0.25">
      <c r="A21" s="51">
        <v>42795</v>
      </c>
      <c r="B21" s="52" t="s">
        <v>7791</v>
      </c>
      <c r="C21" s="18">
        <v>102799</v>
      </c>
      <c r="D21" s="2" t="s">
        <v>12</v>
      </c>
      <c r="E21" s="15">
        <v>1418.6</v>
      </c>
      <c r="F21" s="59">
        <v>42795</v>
      </c>
      <c r="G21" s="15">
        <f t="shared" si="1"/>
        <v>1418.6</v>
      </c>
      <c r="H21" s="15">
        <f t="shared" si="2"/>
        <v>0</v>
      </c>
      <c r="I21" s="19"/>
    </row>
    <row r="22" spans="1:9" ht="15" customHeight="1" x14ac:dyDescent="0.25">
      <c r="A22" s="51">
        <v>42795</v>
      </c>
      <c r="B22" s="52" t="s">
        <v>7792</v>
      </c>
      <c r="C22" s="18">
        <v>102800</v>
      </c>
      <c r="D22" s="2" t="s">
        <v>472</v>
      </c>
      <c r="E22" s="15">
        <v>2805</v>
      </c>
      <c r="F22" s="59">
        <v>42796</v>
      </c>
      <c r="G22" s="15">
        <f t="shared" si="1"/>
        <v>2805</v>
      </c>
      <c r="H22" s="15">
        <f t="shared" si="2"/>
        <v>0</v>
      </c>
      <c r="I22" s="19"/>
    </row>
    <row r="23" spans="1:9" ht="15" customHeight="1" x14ac:dyDescent="0.25">
      <c r="A23" s="51">
        <v>42795</v>
      </c>
      <c r="B23" s="52" t="s">
        <v>7793</v>
      </c>
      <c r="C23" s="18">
        <v>102801</v>
      </c>
      <c r="D23" s="2" t="s">
        <v>30</v>
      </c>
      <c r="E23" s="15">
        <v>1737.6</v>
      </c>
      <c r="F23" s="59">
        <v>42795</v>
      </c>
      <c r="G23" s="15">
        <f t="shared" si="1"/>
        <v>1737.6</v>
      </c>
      <c r="H23" s="15">
        <f t="shared" si="2"/>
        <v>0</v>
      </c>
      <c r="I23" s="19"/>
    </row>
    <row r="24" spans="1:9" ht="15" customHeight="1" x14ac:dyDescent="0.25">
      <c r="A24" s="51">
        <v>42795</v>
      </c>
      <c r="B24" s="52" t="s">
        <v>7794</v>
      </c>
      <c r="C24" s="18">
        <v>102802</v>
      </c>
      <c r="D24" s="2" t="s">
        <v>85</v>
      </c>
      <c r="E24" s="15">
        <v>6125.6</v>
      </c>
      <c r="F24" s="59">
        <v>42795</v>
      </c>
      <c r="G24" s="15">
        <f t="shared" si="1"/>
        <v>6125.6</v>
      </c>
      <c r="H24" s="15">
        <f t="shared" si="2"/>
        <v>0</v>
      </c>
      <c r="I24" s="19"/>
    </row>
    <row r="25" spans="1:9" ht="15" customHeight="1" x14ac:dyDescent="0.25">
      <c r="A25" s="51">
        <v>42795</v>
      </c>
      <c r="B25" s="52" t="s">
        <v>7795</v>
      </c>
      <c r="C25" s="18">
        <v>102803</v>
      </c>
      <c r="D25" s="2" t="s">
        <v>486</v>
      </c>
      <c r="E25" s="15">
        <v>3864</v>
      </c>
      <c r="F25" s="59">
        <v>42796</v>
      </c>
      <c r="G25" s="15">
        <f t="shared" si="1"/>
        <v>3864</v>
      </c>
      <c r="H25" s="15">
        <f t="shared" si="2"/>
        <v>0</v>
      </c>
      <c r="I25" s="19"/>
    </row>
    <row r="26" spans="1:9" ht="15.75" x14ac:dyDescent="0.25">
      <c r="A26" s="51">
        <v>42795</v>
      </c>
      <c r="B26" s="52" t="s">
        <v>7796</v>
      </c>
      <c r="C26" s="18">
        <v>102804</v>
      </c>
      <c r="D26" s="2" t="s">
        <v>480</v>
      </c>
      <c r="E26" s="15">
        <v>1403.72</v>
      </c>
      <c r="F26" s="59">
        <v>42795</v>
      </c>
      <c r="G26" s="15">
        <f t="shared" si="1"/>
        <v>1403.72</v>
      </c>
      <c r="H26" s="15">
        <f t="shared" si="2"/>
        <v>0</v>
      </c>
      <c r="I26" s="19"/>
    </row>
    <row r="27" spans="1:9" ht="15.75" x14ac:dyDescent="0.25">
      <c r="A27" s="51">
        <v>42795</v>
      </c>
      <c r="B27" s="52" t="s">
        <v>7797</v>
      </c>
      <c r="C27" s="18">
        <v>102805</v>
      </c>
      <c r="D27" s="2" t="s">
        <v>630</v>
      </c>
      <c r="E27" s="15">
        <v>3233.52</v>
      </c>
      <c r="F27" s="59">
        <v>42795</v>
      </c>
      <c r="G27" s="15">
        <f t="shared" si="1"/>
        <v>3233.52</v>
      </c>
      <c r="H27" s="15">
        <f t="shared" si="2"/>
        <v>0</v>
      </c>
      <c r="I27" s="19"/>
    </row>
    <row r="28" spans="1:9" ht="15.75" x14ac:dyDescent="0.25">
      <c r="A28" s="51">
        <v>42795</v>
      </c>
      <c r="B28" s="52" t="s">
        <v>7798</v>
      </c>
      <c r="C28" s="18">
        <v>102806</v>
      </c>
      <c r="D28" s="2" t="s">
        <v>184</v>
      </c>
      <c r="E28" s="15">
        <v>1424.1</v>
      </c>
      <c r="F28" s="59">
        <v>42796</v>
      </c>
      <c r="G28" s="15">
        <f t="shared" si="1"/>
        <v>1424.1</v>
      </c>
      <c r="H28" s="15">
        <f t="shared" si="2"/>
        <v>0</v>
      </c>
      <c r="I28" s="19"/>
    </row>
    <row r="29" spans="1:9" ht="15.75" x14ac:dyDescent="0.25">
      <c r="A29" s="51">
        <v>42795</v>
      </c>
      <c r="B29" s="52" t="s">
        <v>7799</v>
      </c>
      <c r="C29" s="18">
        <v>102807</v>
      </c>
      <c r="D29" s="2" t="s">
        <v>63</v>
      </c>
      <c r="E29" s="15">
        <v>585.9</v>
      </c>
      <c r="F29" s="59">
        <v>42795</v>
      </c>
      <c r="G29" s="15">
        <f t="shared" si="1"/>
        <v>585.9</v>
      </c>
      <c r="H29" s="15">
        <f t="shared" si="2"/>
        <v>0</v>
      </c>
      <c r="I29" s="19"/>
    </row>
    <row r="30" spans="1:9" ht="15.75" x14ac:dyDescent="0.25">
      <c r="A30" s="51">
        <v>42795</v>
      </c>
      <c r="B30" s="52" t="s">
        <v>7800</v>
      </c>
      <c r="C30" s="18">
        <v>102808</v>
      </c>
      <c r="D30" s="2" t="s">
        <v>53</v>
      </c>
      <c r="E30" s="15">
        <v>2226.4</v>
      </c>
      <c r="F30" s="59">
        <v>42795</v>
      </c>
      <c r="G30" s="15">
        <f t="shared" si="1"/>
        <v>2226.4</v>
      </c>
      <c r="H30" s="15">
        <f t="shared" si="2"/>
        <v>0</v>
      </c>
      <c r="I30" s="19"/>
    </row>
    <row r="31" spans="1:9" ht="15.75" x14ac:dyDescent="0.25">
      <c r="A31" s="51">
        <v>42795</v>
      </c>
      <c r="B31" s="52" t="s">
        <v>7801</v>
      </c>
      <c r="C31" s="18">
        <v>102809</v>
      </c>
      <c r="D31" s="2" t="s">
        <v>10</v>
      </c>
      <c r="E31" s="15">
        <v>1469.6</v>
      </c>
      <c r="F31" s="59">
        <v>42802</v>
      </c>
      <c r="G31" s="15">
        <f t="shared" si="1"/>
        <v>1469.6</v>
      </c>
      <c r="H31" s="15">
        <f t="shared" si="2"/>
        <v>0</v>
      </c>
      <c r="I31" s="19"/>
    </row>
    <row r="32" spans="1:9" ht="15.75" x14ac:dyDescent="0.25">
      <c r="A32" s="51">
        <v>42795</v>
      </c>
      <c r="B32" s="52" t="s">
        <v>7802</v>
      </c>
      <c r="C32" s="18">
        <v>102810</v>
      </c>
      <c r="D32" s="2" t="s">
        <v>186</v>
      </c>
      <c r="E32" s="15">
        <v>997.2</v>
      </c>
      <c r="F32" s="59">
        <v>42800</v>
      </c>
      <c r="G32" s="15">
        <f t="shared" si="1"/>
        <v>997.2</v>
      </c>
      <c r="H32" s="15">
        <f t="shared" si="2"/>
        <v>0</v>
      </c>
      <c r="I32" s="19"/>
    </row>
    <row r="33" spans="1:9" ht="15.75" x14ac:dyDescent="0.25">
      <c r="A33" s="51">
        <v>42795</v>
      </c>
      <c r="B33" s="52" t="s">
        <v>7803</v>
      </c>
      <c r="C33" s="18">
        <v>102811</v>
      </c>
      <c r="D33" s="2" t="s">
        <v>57</v>
      </c>
      <c r="E33" s="15">
        <v>547.4</v>
      </c>
      <c r="F33" s="59">
        <v>42795</v>
      </c>
      <c r="G33" s="15">
        <f t="shared" si="1"/>
        <v>547.4</v>
      </c>
      <c r="H33" s="15">
        <f t="shared" si="2"/>
        <v>0</v>
      </c>
      <c r="I33" s="19"/>
    </row>
    <row r="34" spans="1:9" ht="15.75" x14ac:dyDescent="0.25">
      <c r="A34" s="51">
        <v>42795</v>
      </c>
      <c r="B34" s="52" t="s">
        <v>7804</v>
      </c>
      <c r="C34" s="18">
        <v>102812</v>
      </c>
      <c r="D34" s="2" t="s">
        <v>182</v>
      </c>
      <c r="E34" s="15">
        <v>2300</v>
      </c>
      <c r="F34" s="59">
        <v>42796</v>
      </c>
      <c r="G34" s="15">
        <f t="shared" si="1"/>
        <v>2300</v>
      </c>
      <c r="H34" s="15">
        <f t="shared" si="2"/>
        <v>0</v>
      </c>
      <c r="I34" s="19"/>
    </row>
    <row r="35" spans="1:9" ht="15.75" x14ac:dyDescent="0.25">
      <c r="A35" s="51">
        <v>42795</v>
      </c>
      <c r="B35" s="52" t="s">
        <v>7805</v>
      </c>
      <c r="C35" s="18">
        <v>102813</v>
      </c>
      <c r="D35" s="13" t="s">
        <v>4250</v>
      </c>
      <c r="E35" s="14">
        <v>0</v>
      </c>
      <c r="F35" s="102" t="s">
        <v>95</v>
      </c>
      <c r="G35" s="14">
        <f t="shared" si="1"/>
        <v>0</v>
      </c>
      <c r="H35" s="14">
        <f t="shared" si="2"/>
        <v>0</v>
      </c>
      <c r="I35" s="19"/>
    </row>
    <row r="36" spans="1:9" ht="15.75" x14ac:dyDescent="0.25">
      <c r="A36" s="51">
        <v>42795</v>
      </c>
      <c r="B36" s="52" t="s">
        <v>7806</v>
      </c>
      <c r="C36" s="18">
        <v>102814</v>
      </c>
      <c r="D36" s="2" t="s">
        <v>155</v>
      </c>
      <c r="E36" s="15">
        <v>18439</v>
      </c>
      <c r="F36" s="59">
        <v>42798</v>
      </c>
      <c r="G36" s="15">
        <f t="shared" si="1"/>
        <v>18439</v>
      </c>
      <c r="H36" s="15">
        <f t="shared" si="2"/>
        <v>0</v>
      </c>
      <c r="I36" s="19"/>
    </row>
    <row r="37" spans="1:9" ht="15.75" x14ac:dyDescent="0.25">
      <c r="A37" s="51">
        <v>42795</v>
      </c>
      <c r="B37" s="52" t="s">
        <v>7807</v>
      </c>
      <c r="C37" s="18">
        <v>102815</v>
      </c>
      <c r="D37" s="2" t="s">
        <v>193</v>
      </c>
      <c r="E37" s="15">
        <v>1993.5</v>
      </c>
      <c r="F37" s="59">
        <v>42796</v>
      </c>
      <c r="G37" s="15">
        <f t="shared" si="1"/>
        <v>1993.5</v>
      </c>
      <c r="H37" s="15">
        <f t="shared" si="2"/>
        <v>0</v>
      </c>
      <c r="I37" s="19"/>
    </row>
    <row r="38" spans="1:9" ht="15.75" x14ac:dyDescent="0.25">
      <c r="A38" s="51">
        <v>42795</v>
      </c>
      <c r="B38" s="52" t="s">
        <v>7808</v>
      </c>
      <c r="C38" s="18">
        <v>102816</v>
      </c>
      <c r="D38" s="13" t="s">
        <v>4250</v>
      </c>
      <c r="E38" s="14">
        <v>0</v>
      </c>
      <c r="F38" s="102" t="s">
        <v>95</v>
      </c>
      <c r="G38" s="14">
        <f t="shared" si="1"/>
        <v>0</v>
      </c>
      <c r="H38" s="14">
        <f t="shared" si="2"/>
        <v>0</v>
      </c>
      <c r="I38" s="19"/>
    </row>
    <row r="39" spans="1:9" ht="15.75" x14ac:dyDescent="0.25">
      <c r="A39" s="51">
        <v>42795</v>
      </c>
      <c r="B39" s="52" t="s">
        <v>7809</v>
      </c>
      <c r="C39" s="18">
        <v>102817</v>
      </c>
      <c r="D39" s="13" t="s">
        <v>155</v>
      </c>
      <c r="E39" s="14">
        <v>0</v>
      </c>
      <c r="F39" s="102" t="s">
        <v>95</v>
      </c>
      <c r="G39" s="14">
        <f t="shared" si="1"/>
        <v>0</v>
      </c>
      <c r="H39" s="14">
        <f t="shared" si="2"/>
        <v>0</v>
      </c>
      <c r="I39" s="19"/>
    </row>
    <row r="40" spans="1:9" ht="15.75" x14ac:dyDescent="0.25">
      <c r="A40" s="51">
        <v>42795</v>
      </c>
      <c r="B40" s="52" t="s">
        <v>7810</v>
      </c>
      <c r="C40" s="18">
        <v>102818</v>
      </c>
      <c r="D40" s="2" t="s">
        <v>145</v>
      </c>
      <c r="E40" s="15">
        <v>13994.4</v>
      </c>
      <c r="F40" s="59">
        <v>42796</v>
      </c>
      <c r="G40" s="15">
        <f t="shared" si="1"/>
        <v>13994.4</v>
      </c>
      <c r="H40" s="15">
        <f t="shared" si="2"/>
        <v>0</v>
      </c>
      <c r="I40" s="19"/>
    </row>
    <row r="41" spans="1:9" ht="15.75" x14ac:dyDescent="0.25">
      <c r="A41" s="51">
        <v>42795</v>
      </c>
      <c r="B41" s="52" t="s">
        <v>7811</v>
      </c>
      <c r="C41" s="18">
        <v>102819</v>
      </c>
      <c r="D41" s="2" t="s">
        <v>302</v>
      </c>
      <c r="E41" s="15">
        <v>5388.8</v>
      </c>
      <c r="F41" s="59">
        <v>42795</v>
      </c>
      <c r="G41" s="15">
        <f t="shared" si="1"/>
        <v>5388.8</v>
      </c>
      <c r="H41" s="15">
        <f t="shared" si="2"/>
        <v>0</v>
      </c>
      <c r="I41" s="19"/>
    </row>
    <row r="42" spans="1:9" ht="15.75" x14ac:dyDescent="0.25">
      <c r="A42" s="51">
        <v>42795</v>
      </c>
      <c r="B42" s="52" t="s">
        <v>7812</v>
      </c>
      <c r="C42" s="18">
        <v>102820</v>
      </c>
      <c r="D42" s="2" t="s">
        <v>161</v>
      </c>
      <c r="E42" s="15">
        <v>24264</v>
      </c>
      <c r="F42" s="59">
        <v>42818</v>
      </c>
      <c r="G42" s="15">
        <f t="shared" si="1"/>
        <v>24264</v>
      </c>
      <c r="H42" s="15">
        <f t="shared" si="2"/>
        <v>0</v>
      </c>
      <c r="I42" s="19"/>
    </row>
    <row r="43" spans="1:9" ht="15.75" x14ac:dyDescent="0.25">
      <c r="A43" s="51">
        <v>42795</v>
      </c>
      <c r="B43" s="52" t="s">
        <v>7813</v>
      </c>
      <c r="C43" s="18">
        <v>102821</v>
      </c>
      <c r="D43" s="2" t="s">
        <v>172</v>
      </c>
      <c r="E43" s="15">
        <v>9061.6</v>
      </c>
      <c r="F43" s="59">
        <v>42804</v>
      </c>
      <c r="G43" s="15">
        <f t="shared" si="1"/>
        <v>9061.6</v>
      </c>
      <c r="H43" s="15">
        <f t="shared" si="2"/>
        <v>0</v>
      </c>
      <c r="I43" s="19"/>
    </row>
    <row r="44" spans="1:9" ht="15.75" x14ac:dyDescent="0.25">
      <c r="A44" s="51">
        <v>42795</v>
      </c>
      <c r="B44" s="52" t="s">
        <v>7814</v>
      </c>
      <c r="C44" s="18">
        <v>102822</v>
      </c>
      <c r="D44" s="2" t="s">
        <v>163</v>
      </c>
      <c r="E44" s="15">
        <v>7346.6</v>
      </c>
      <c r="F44" s="59">
        <v>42816</v>
      </c>
      <c r="G44" s="15">
        <f t="shared" si="1"/>
        <v>7346.6</v>
      </c>
      <c r="H44" s="15">
        <f t="shared" si="2"/>
        <v>0</v>
      </c>
      <c r="I44" s="19"/>
    </row>
    <row r="45" spans="1:9" ht="15.75" x14ac:dyDescent="0.25">
      <c r="A45" s="51">
        <v>42795</v>
      </c>
      <c r="B45" s="52" t="s">
        <v>7815</v>
      </c>
      <c r="C45" s="18">
        <v>102823</v>
      </c>
      <c r="D45" s="2" t="s">
        <v>165</v>
      </c>
      <c r="E45" s="15">
        <v>7335.6</v>
      </c>
      <c r="F45" s="59">
        <v>42816</v>
      </c>
      <c r="G45" s="15">
        <f t="shared" si="1"/>
        <v>7335.6</v>
      </c>
      <c r="H45" s="15">
        <f t="shared" si="2"/>
        <v>0</v>
      </c>
      <c r="I45" s="19"/>
    </row>
    <row r="46" spans="1:9" ht="15.75" x14ac:dyDescent="0.25">
      <c r="A46" s="51">
        <v>42795</v>
      </c>
      <c r="B46" s="52" t="s">
        <v>7816</v>
      </c>
      <c r="C46" s="18">
        <v>102824</v>
      </c>
      <c r="D46" s="2" t="s">
        <v>21</v>
      </c>
      <c r="E46" s="15">
        <v>42856.800000000003</v>
      </c>
      <c r="F46" s="59">
        <v>42811</v>
      </c>
      <c r="G46" s="15">
        <f>32151+10705.8</f>
        <v>42856.800000000003</v>
      </c>
      <c r="H46" s="15">
        <f t="shared" si="2"/>
        <v>0</v>
      </c>
      <c r="I46" s="19"/>
    </row>
    <row r="47" spans="1:9" ht="15.75" x14ac:dyDescent="0.25">
      <c r="A47" s="51">
        <v>42795</v>
      </c>
      <c r="B47" s="52" t="s">
        <v>7817</v>
      </c>
      <c r="C47" s="18">
        <v>102825</v>
      </c>
      <c r="D47" s="2" t="s">
        <v>1116</v>
      </c>
      <c r="E47" s="15">
        <v>1353.6</v>
      </c>
      <c r="F47" s="59">
        <v>42796</v>
      </c>
      <c r="G47" s="15">
        <f t="shared" si="1"/>
        <v>1353.6</v>
      </c>
      <c r="H47" s="15">
        <f t="shared" si="2"/>
        <v>0</v>
      </c>
      <c r="I47" s="19"/>
    </row>
    <row r="48" spans="1:9" ht="15.75" x14ac:dyDescent="0.25">
      <c r="A48" s="51">
        <v>42795</v>
      </c>
      <c r="B48" s="52" t="s">
        <v>7818</v>
      </c>
      <c r="C48" s="18">
        <v>102826</v>
      </c>
      <c r="D48" s="2" t="s">
        <v>139</v>
      </c>
      <c r="E48" s="15">
        <v>2712.1</v>
      </c>
      <c r="F48" s="59">
        <v>42795</v>
      </c>
      <c r="G48" s="15">
        <f t="shared" si="1"/>
        <v>2712.1</v>
      </c>
      <c r="H48" s="15">
        <f t="shared" si="2"/>
        <v>0</v>
      </c>
      <c r="I48" s="19"/>
    </row>
    <row r="49" spans="1:9" ht="15.75" x14ac:dyDescent="0.25">
      <c r="A49" s="51">
        <v>42795</v>
      </c>
      <c r="B49" s="52" t="s">
        <v>7819</v>
      </c>
      <c r="C49" s="18">
        <v>102827</v>
      </c>
      <c r="D49" s="2" t="s">
        <v>135</v>
      </c>
      <c r="E49" s="15">
        <v>3783</v>
      </c>
      <c r="F49" s="59">
        <v>42795</v>
      </c>
      <c r="G49" s="15">
        <f t="shared" si="1"/>
        <v>3783</v>
      </c>
      <c r="H49" s="15">
        <f t="shared" si="2"/>
        <v>0</v>
      </c>
      <c r="I49" s="19"/>
    </row>
    <row r="50" spans="1:9" ht="15.75" x14ac:dyDescent="0.25">
      <c r="A50" s="51">
        <v>42795</v>
      </c>
      <c r="B50" s="52" t="s">
        <v>7820</v>
      </c>
      <c r="C50" s="18">
        <v>102828</v>
      </c>
      <c r="D50" s="2" t="s">
        <v>492</v>
      </c>
      <c r="E50" s="15">
        <v>18097.2</v>
      </c>
      <c r="F50" s="59">
        <v>42798</v>
      </c>
      <c r="G50" s="15">
        <f t="shared" si="1"/>
        <v>18097.2</v>
      </c>
      <c r="H50" s="15">
        <f t="shared" si="2"/>
        <v>0</v>
      </c>
      <c r="I50" s="19"/>
    </row>
    <row r="51" spans="1:9" ht="15.75" x14ac:dyDescent="0.25">
      <c r="A51" s="51">
        <v>42795</v>
      </c>
      <c r="B51" s="52" t="s">
        <v>7821</v>
      </c>
      <c r="C51" s="18">
        <v>102829</v>
      </c>
      <c r="D51" s="2" t="s">
        <v>879</v>
      </c>
      <c r="E51" s="15">
        <v>3188.2</v>
      </c>
      <c r="F51" s="59">
        <v>42795</v>
      </c>
      <c r="G51" s="15">
        <f t="shared" si="1"/>
        <v>3188.2</v>
      </c>
      <c r="H51" s="15">
        <f t="shared" si="2"/>
        <v>0</v>
      </c>
      <c r="I51" s="19"/>
    </row>
    <row r="52" spans="1:9" ht="15.75" x14ac:dyDescent="0.25">
      <c r="A52" s="51">
        <v>42795</v>
      </c>
      <c r="B52" s="52" t="s">
        <v>7822</v>
      </c>
      <c r="C52" s="18">
        <v>102830</v>
      </c>
      <c r="D52" s="2" t="s">
        <v>785</v>
      </c>
      <c r="E52" s="15">
        <v>5201.6000000000004</v>
      </c>
      <c r="F52" s="59">
        <v>42795</v>
      </c>
      <c r="G52" s="15">
        <f t="shared" si="1"/>
        <v>5201.6000000000004</v>
      </c>
      <c r="H52" s="15">
        <f t="shared" si="2"/>
        <v>0</v>
      </c>
      <c r="I52" s="19"/>
    </row>
    <row r="53" spans="1:9" ht="15.75" x14ac:dyDescent="0.25">
      <c r="A53" s="51">
        <v>42795</v>
      </c>
      <c r="B53" s="52" t="s">
        <v>7823</v>
      </c>
      <c r="C53" s="18">
        <v>102831</v>
      </c>
      <c r="D53" s="2" t="s">
        <v>470</v>
      </c>
      <c r="E53" s="15">
        <v>7725</v>
      </c>
      <c r="F53" s="59">
        <v>42795</v>
      </c>
      <c r="G53" s="15">
        <f t="shared" si="1"/>
        <v>7725</v>
      </c>
      <c r="H53" s="15">
        <f t="shared" si="2"/>
        <v>0</v>
      </c>
      <c r="I53" s="19"/>
    </row>
    <row r="54" spans="1:9" ht="15.75" x14ac:dyDescent="0.25">
      <c r="A54" s="51">
        <v>42795</v>
      </c>
      <c r="B54" s="52" t="s">
        <v>7824</v>
      </c>
      <c r="C54" s="18">
        <v>102832</v>
      </c>
      <c r="D54" s="2" t="s">
        <v>329</v>
      </c>
      <c r="E54" s="15">
        <v>1208.2</v>
      </c>
      <c r="F54" s="59">
        <v>42795</v>
      </c>
      <c r="G54" s="15">
        <f t="shared" si="1"/>
        <v>1208.2</v>
      </c>
      <c r="H54" s="15">
        <f t="shared" si="2"/>
        <v>0</v>
      </c>
      <c r="I54" s="19"/>
    </row>
    <row r="55" spans="1:9" ht="15.75" x14ac:dyDescent="0.25">
      <c r="A55" s="51">
        <v>42795</v>
      </c>
      <c r="B55" s="52" t="s">
        <v>7825</v>
      </c>
      <c r="C55" s="18">
        <v>102833</v>
      </c>
      <c r="D55" s="2" t="s">
        <v>120</v>
      </c>
      <c r="E55" s="15">
        <v>1748.8</v>
      </c>
      <c r="F55" s="59">
        <v>42795</v>
      </c>
      <c r="G55" s="15">
        <f t="shared" si="1"/>
        <v>1748.8</v>
      </c>
      <c r="H55" s="15">
        <f t="shared" si="2"/>
        <v>0</v>
      </c>
      <c r="I55" s="19"/>
    </row>
    <row r="56" spans="1:9" ht="15.75" x14ac:dyDescent="0.25">
      <c r="A56" s="51">
        <v>42795</v>
      </c>
      <c r="B56" s="52" t="s">
        <v>7826</v>
      </c>
      <c r="C56" s="18">
        <v>102834</v>
      </c>
      <c r="D56" s="2" t="s">
        <v>122</v>
      </c>
      <c r="E56" s="15">
        <v>4303.5</v>
      </c>
      <c r="F56" s="59">
        <v>42804</v>
      </c>
      <c r="G56" s="15">
        <f t="shared" si="1"/>
        <v>4303.5</v>
      </c>
      <c r="H56" s="15">
        <f t="shared" si="2"/>
        <v>0</v>
      </c>
      <c r="I56" s="19"/>
    </row>
    <row r="57" spans="1:9" ht="15.75" x14ac:dyDescent="0.25">
      <c r="A57" s="51">
        <v>42795</v>
      </c>
      <c r="B57" s="52" t="s">
        <v>7827</v>
      </c>
      <c r="C57" s="18">
        <v>102835</v>
      </c>
      <c r="D57" s="2" t="s">
        <v>422</v>
      </c>
      <c r="E57" s="15">
        <v>444</v>
      </c>
      <c r="F57" s="59">
        <v>42795</v>
      </c>
      <c r="G57" s="15">
        <f t="shared" si="1"/>
        <v>444</v>
      </c>
      <c r="H57" s="15">
        <f t="shared" si="2"/>
        <v>0</v>
      </c>
      <c r="I57" s="19"/>
    </row>
    <row r="58" spans="1:9" ht="15.75" x14ac:dyDescent="0.25">
      <c r="A58" s="51">
        <v>42795</v>
      </c>
      <c r="B58" s="52" t="s">
        <v>7828</v>
      </c>
      <c r="C58" s="18">
        <v>102836</v>
      </c>
      <c r="D58" s="2" t="s">
        <v>468</v>
      </c>
      <c r="E58" s="15">
        <v>12750.2</v>
      </c>
      <c r="F58" s="59">
        <v>42810</v>
      </c>
      <c r="G58" s="15">
        <f t="shared" si="1"/>
        <v>12750.2</v>
      </c>
      <c r="H58" s="15">
        <f t="shared" si="2"/>
        <v>0</v>
      </c>
      <c r="I58" s="19"/>
    </row>
    <row r="59" spans="1:9" ht="15.75" x14ac:dyDescent="0.25">
      <c r="A59" s="51">
        <v>42795</v>
      </c>
      <c r="B59" s="52" t="s">
        <v>7829</v>
      </c>
      <c r="C59" s="18">
        <v>102837</v>
      </c>
      <c r="D59" s="2" t="s">
        <v>10</v>
      </c>
      <c r="E59" s="15">
        <v>328896.74</v>
      </c>
      <c r="F59" s="59">
        <v>42802</v>
      </c>
      <c r="G59" s="15">
        <f t="shared" si="1"/>
        <v>328896.74</v>
      </c>
      <c r="H59" s="15">
        <f t="shared" si="2"/>
        <v>0</v>
      </c>
      <c r="I59" s="19"/>
    </row>
    <row r="60" spans="1:9" ht="15.75" x14ac:dyDescent="0.25">
      <c r="A60" s="51">
        <v>42795</v>
      </c>
      <c r="B60" s="52" t="s">
        <v>7830</v>
      </c>
      <c r="C60" s="18">
        <v>102838</v>
      </c>
      <c r="D60" s="2" t="s">
        <v>10</v>
      </c>
      <c r="E60" s="15">
        <v>53594.54</v>
      </c>
      <c r="F60" s="59">
        <v>42802</v>
      </c>
      <c r="G60" s="15">
        <f t="shared" si="1"/>
        <v>53594.54</v>
      </c>
      <c r="H60" s="15">
        <f t="shared" si="2"/>
        <v>0</v>
      </c>
      <c r="I60" s="19"/>
    </row>
    <row r="61" spans="1:9" ht="15.75" x14ac:dyDescent="0.25">
      <c r="A61" s="51">
        <v>42795</v>
      </c>
      <c r="B61" s="52" t="s">
        <v>7831</v>
      </c>
      <c r="C61" s="18">
        <v>102839</v>
      </c>
      <c r="D61" s="2" t="s">
        <v>222</v>
      </c>
      <c r="E61" s="15">
        <v>226696</v>
      </c>
      <c r="F61" s="59">
        <v>42796</v>
      </c>
      <c r="G61" s="15">
        <f t="shared" si="1"/>
        <v>226696</v>
      </c>
      <c r="H61" s="15">
        <f t="shared" si="2"/>
        <v>0</v>
      </c>
      <c r="I61" s="19"/>
    </row>
    <row r="62" spans="1:9" ht="15.75" x14ac:dyDescent="0.25">
      <c r="A62" s="51">
        <v>42795</v>
      </c>
      <c r="B62" s="52" t="s">
        <v>7832</v>
      </c>
      <c r="C62" s="18">
        <v>102840</v>
      </c>
      <c r="D62" s="2" t="s">
        <v>8</v>
      </c>
      <c r="E62" s="15">
        <v>4572</v>
      </c>
      <c r="F62" s="59">
        <v>42795</v>
      </c>
      <c r="G62" s="15">
        <f t="shared" si="1"/>
        <v>4572</v>
      </c>
      <c r="H62" s="15">
        <f t="shared" si="2"/>
        <v>0</v>
      </c>
      <c r="I62" s="19"/>
    </row>
    <row r="63" spans="1:9" ht="15.75" x14ac:dyDescent="0.25">
      <c r="A63" s="51">
        <v>42795</v>
      </c>
      <c r="B63" s="52" t="s">
        <v>7833</v>
      </c>
      <c r="C63" s="18">
        <v>102841</v>
      </c>
      <c r="D63" s="2" t="s">
        <v>428</v>
      </c>
      <c r="E63" s="15">
        <v>140</v>
      </c>
      <c r="F63" s="59" t="s">
        <v>3806</v>
      </c>
      <c r="G63" s="15">
        <f t="shared" si="1"/>
        <v>140</v>
      </c>
      <c r="H63" s="15">
        <f t="shared" si="2"/>
        <v>0</v>
      </c>
      <c r="I63" s="19"/>
    </row>
    <row r="64" spans="1:9" ht="15.75" x14ac:dyDescent="0.25">
      <c r="A64" s="51">
        <v>42795</v>
      </c>
      <c r="B64" s="52" t="s">
        <v>7834</v>
      </c>
      <c r="C64" s="18">
        <v>102842</v>
      </c>
      <c r="D64" s="2" t="s">
        <v>222</v>
      </c>
      <c r="E64" s="15">
        <v>30297.4</v>
      </c>
      <c r="F64" s="59">
        <v>42796</v>
      </c>
      <c r="G64" s="15">
        <f t="shared" si="1"/>
        <v>30297.4</v>
      </c>
      <c r="H64" s="15">
        <f t="shared" si="2"/>
        <v>0</v>
      </c>
      <c r="I64" s="19"/>
    </row>
    <row r="65" spans="1:9" ht="15.75" x14ac:dyDescent="0.25">
      <c r="A65" s="51">
        <v>42795</v>
      </c>
      <c r="B65" s="52" t="s">
        <v>7835</v>
      </c>
      <c r="C65" s="18">
        <v>102843</v>
      </c>
      <c r="D65" s="2" t="s">
        <v>47</v>
      </c>
      <c r="E65" s="15">
        <v>596.4</v>
      </c>
      <c r="F65" s="59">
        <v>42795</v>
      </c>
      <c r="G65" s="15">
        <f t="shared" si="1"/>
        <v>596.4</v>
      </c>
      <c r="H65" s="15">
        <f t="shared" si="2"/>
        <v>0</v>
      </c>
      <c r="I65" s="19"/>
    </row>
    <row r="66" spans="1:9" ht="15.75" x14ac:dyDescent="0.25">
      <c r="A66" s="51">
        <v>42795</v>
      </c>
      <c r="B66" s="52" t="s">
        <v>7836</v>
      </c>
      <c r="C66" s="18">
        <v>102844</v>
      </c>
      <c r="D66" s="2" t="s">
        <v>426</v>
      </c>
      <c r="E66" s="15">
        <v>26003.599999999999</v>
      </c>
      <c r="F66" s="59">
        <v>42802</v>
      </c>
      <c r="G66" s="15">
        <f t="shared" si="1"/>
        <v>26003.599999999999</v>
      </c>
      <c r="H66" s="15">
        <f t="shared" si="2"/>
        <v>0</v>
      </c>
      <c r="I66" s="19"/>
    </row>
    <row r="67" spans="1:9" ht="15.75" x14ac:dyDescent="0.25">
      <c r="A67" s="51">
        <v>42795</v>
      </c>
      <c r="B67" s="52" t="s">
        <v>7837</v>
      </c>
      <c r="C67" s="18">
        <v>102845</v>
      </c>
      <c r="D67" s="2" t="s">
        <v>528</v>
      </c>
      <c r="E67" s="15">
        <v>3649.5</v>
      </c>
      <c r="F67" s="59">
        <v>42796</v>
      </c>
      <c r="G67" s="15">
        <f t="shared" si="1"/>
        <v>3649.5</v>
      </c>
      <c r="H67" s="15">
        <f t="shared" si="2"/>
        <v>0</v>
      </c>
      <c r="I67" s="19"/>
    </row>
    <row r="68" spans="1:9" ht="15.75" x14ac:dyDescent="0.25">
      <c r="A68" s="51">
        <v>42795</v>
      </c>
      <c r="B68" s="52" t="s">
        <v>7838</v>
      </c>
      <c r="C68" s="18">
        <v>102846</v>
      </c>
      <c r="D68" s="2" t="s">
        <v>2519</v>
      </c>
      <c r="E68" s="15">
        <v>2134.4</v>
      </c>
      <c r="F68" s="59">
        <v>42795</v>
      </c>
      <c r="G68" s="15">
        <f t="shared" ref="G68:G131" si="3">E68</f>
        <v>2134.4</v>
      </c>
      <c r="H68" s="15">
        <f t="shared" ref="H68:H131" si="4">E68-G68</f>
        <v>0</v>
      </c>
      <c r="I68" s="19"/>
    </row>
    <row r="69" spans="1:9" ht="15.75" x14ac:dyDescent="0.25">
      <c r="A69" s="51">
        <v>42795</v>
      </c>
      <c r="B69" s="52" t="s">
        <v>7839</v>
      </c>
      <c r="C69" s="18">
        <v>102847</v>
      </c>
      <c r="D69" s="2" t="s">
        <v>30</v>
      </c>
      <c r="E69" s="15">
        <v>1680</v>
      </c>
      <c r="F69" s="59">
        <v>42795</v>
      </c>
      <c r="G69" s="15">
        <f t="shared" si="3"/>
        <v>1680</v>
      </c>
      <c r="H69" s="15">
        <f t="shared" si="4"/>
        <v>0</v>
      </c>
      <c r="I69" s="19"/>
    </row>
    <row r="70" spans="1:9" ht="15.75" x14ac:dyDescent="0.25">
      <c r="A70" s="51">
        <v>42795</v>
      </c>
      <c r="B70" s="52" t="s">
        <v>7840</v>
      </c>
      <c r="C70" s="18">
        <v>102848</v>
      </c>
      <c r="D70" s="2" t="s">
        <v>523</v>
      </c>
      <c r="E70" s="15">
        <v>24985.200000000001</v>
      </c>
      <c r="F70" s="59">
        <v>42805</v>
      </c>
      <c r="G70" s="15">
        <f t="shared" si="3"/>
        <v>24985.200000000001</v>
      </c>
      <c r="H70" s="15">
        <f t="shared" si="4"/>
        <v>0</v>
      </c>
      <c r="I70" s="19"/>
    </row>
    <row r="71" spans="1:9" ht="15.75" x14ac:dyDescent="0.25">
      <c r="A71" s="51">
        <v>42795</v>
      </c>
      <c r="B71" s="52" t="s">
        <v>7841</v>
      </c>
      <c r="C71" s="18">
        <v>102849</v>
      </c>
      <c r="D71" s="2" t="s">
        <v>30</v>
      </c>
      <c r="E71" s="15">
        <v>3350</v>
      </c>
      <c r="F71" s="59">
        <v>42795</v>
      </c>
      <c r="G71" s="15">
        <f t="shared" si="3"/>
        <v>3350</v>
      </c>
      <c r="H71" s="15">
        <f t="shared" si="4"/>
        <v>0</v>
      </c>
      <c r="I71" s="19"/>
    </row>
    <row r="72" spans="1:9" ht="15.75" x14ac:dyDescent="0.25">
      <c r="A72" s="51">
        <v>42795</v>
      </c>
      <c r="B72" s="52" t="s">
        <v>7842</v>
      </c>
      <c r="C72" s="18">
        <v>102850</v>
      </c>
      <c r="D72" s="13" t="s">
        <v>211</v>
      </c>
      <c r="E72" s="14">
        <v>0</v>
      </c>
      <c r="F72" s="102" t="s">
        <v>95</v>
      </c>
      <c r="G72" s="14">
        <f t="shared" si="3"/>
        <v>0</v>
      </c>
      <c r="H72" s="14">
        <f t="shared" si="4"/>
        <v>0</v>
      </c>
      <c r="I72" s="19"/>
    </row>
    <row r="73" spans="1:9" ht="15.75" x14ac:dyDescent="0.25">
      <c r="A73" s="51">
        <v>42795</v>
      </c>
      <c r="B73" s="52" t="s">
        <v>7843</v>
      </c>
      <c r="C73" s="18">
        <v>102851</v>
      </c>
      <c r="D73" s="2" t="s">
        <v>211</v>
      </c>
      <c r="E73" s="15">
        <v>6137</v>
      </c>
      <c r="F73" s="59">
        <v>42795</v>
      </c>
      <c r="G73" s="15">
        <f t="shared" si="3"/>
        <v>6137</v>
      </c>
      <c r="H73" s="15">
        <f t="shared" si="4"/>
        <v>0</v>
      </c>
      <c r="I73" s="19"/>
    </row>
    <row r="74" spans="1:9" ht="15.75" x14ac:dyDescent="0.25">
      <c r="A74" s="51">
        <v>42795</v>
      </c>
      <c r="B74" s="52" t="s">
        <v>7844</v>
      </c>
      <c r="C74" s="18">
        <v>102852</v>
      </c>
      <c r="D74" s="2" t="s">
        <v>220</v>
      </c>
      <c r="E74" s="15">
        <v>3104.4</v>
      </c>
      <c r="F74" s="59">
        <v>42796</v>
      </c>
      <c r="G74" s="15">
        <f t="shared" si="3"/>
        <v>3104.4</v>
      </c>
      <c r="H74" s="15">
        <f t="shared" si="4"/>
        <v>0</v>
      </c>
      <c r="I74" s="19"/>
    </row>
    <row r="75" spans="1:9" ht="15.75" x14ac:dyDescent="0.25">
      <c r="A75" s="51">
        <v>42795</v>
      </c>
      <c r="B75" s="52" t="s">
        <v>7845</v>
      </c>
      <c r="C75" s="18">
        <v>102853</v>
      </c>
      <c r="D75" s="2" t="s">
        <v>10</v>
      </c>
      <c r="E75" s="15">
        <v>51992.800000000003</v>
      </c>
      <c r="F75" s="59">
        <v>42802</v>
      </c>
      <c r="G75" s="15">
        <f t="shared" si="3"/>
        <v>51992.800000000003</v>
      </c>
      <c r="H75" s="15">
        <f t="shared" si="4"/>
        <v>0</v>
      </c>
      <c r="I75" s="19"/>
    </row>
    <row r="76" spans="1:9" ht="15.75" x14ac:dyDescent="0.25">
      <c r="A76" s="51">
        <v>42795</v>
      </c>
      <c r="B76" s="52" t="s">
        <v>7846</v>
      </c>
      <c r="C76" s="18">
        <v>102854</v>
      </c>
      <c r="D76" s="2" t="s">
        <v>30</v>
      </c>
      <c r="E76" s="15">
        <v>156.19999999999999</v>
      </c>
      <c r="F76" s="59">
        <v>42796</v>
      </c>
      <c r="G76" s="15">
        <f t="shared" si="3"/>
        <v>156.19999999999999</v>
      </c>
      <c r="H76" s="15">
        <f t="shared" si="4"/>
        <v>0</v>
      </c>
      <c r="I76" s="19"/>
    </row>
    <row r="77" spans="1:9" ht="15.75" x14ac:dyDescent="0.25">
      <c r="A77" s="51">
        <v>42795</v>
      </c>
      <c r="B77" s="52" t="s">
        <v>7847</v>
      </c>
      <c r="C77" s="18">
        <v>102855</v>
      </c>
      <c r="D77" s="2" t="s">
        <v>921</v>
      </c>
      <c r="E77" s="15">
        <v>6660</v>
      </c>
      <c r="F77" s="59">
        <v>42796</v>
      </c>
      <c r="G77" s="15">
        <f t="shared" si="3"/>
        <v>6660</v>
      </c>
      <c r="H77" s="15">
        <f t="shared" si="4"/>
        <v>0</v>
      </c>
      <c r="I77" s="19"/>
    </row>
    <row r="78" spans="1:9" ht="15.75" x14ac:dyDescent="0.25">
      <c r="A78" s="51">
        <v>42796</v>
      </c>
      <c r="B78" s="52" t="s">
        <v>7848</v>
      </c>
      <c r="C78" s="18">
        <v>102856</v>
      </c>
      <c r="D78" s="2" t="s">
        <v>231</v>
      </c>
      <c r="E78" s="15">
        <v>6298.5</v>
      </c>
      <c r="F78" s="59" t="s">
        <v>3806</v>
      </c>
      <c r="G78" s="15">
        <f t="shared" si="3"/>
        <v>6298.5</v>
      </c>
      <c r="H78" s="15">
        <f t="shared" si="4"/>
        <v>0</v>
      </c>
      <c r="I78" s="19"/>
    </row>
    <row r="79" spans="1:9" ht="15.75" x14ac:dyDescent="0.25">
      <c r="A79" s="51">
        <v>42796</v>
      </c>
      <c r="B79" s="52" t="s">
        <v>7849</v>
      </c>
      <c r="C79" s="18">
        <v>102857</v>
      </c>
      <c r="D79" s="2" t="s">
        <v>231</v>
      </c>
      <c r="E79" s="15">
        <v>31751.7</v>
      </c>
      <c r="F79" s="59" t="s">
        <v>3806</v>
      </c>
      <c r="G79" s="15">
        <f t="shared" si="3"/>
        <v>31751.7</v>
      </c>
      <c r="H79" s="15">
        <f t="shared" si="4"/>
        <v>0</v>
      </c>
      <c r="I79" s="19"/>
    </row>
    <row r="80" spans="1:9" ht="15.75" x14ac:dyDescent="0.25">
      <c r="A80" s="51">
        <v>42796</v>
      </c>
      <c r="B80" s="52" t="s">
        <v>7850</v>
      </c>
      <c r="C80" s="18">
        <v>102858</v>
      </c>
      <c r="D80" s="2" t="s">
        <v>143</v>
      </c>
      <c r="E80" s="15">
        <v>12654.1</v>
      </c>
      <c r="F80" s="59">
        <v>42796</v>
      </c>
      <c r="G80" s="15">
        <f t="shared" si="3"/>
        <v>12654.1</v>
      </c>
      <c r="H80" s="15">
        <f t="shared" si="4"/>
        <v>0</v>
      </c>
      <c r="I80" s="19"/>
    </row>
    <row r="81" spans="1:9" ht="15.75" x14ac:dyDescent="0.25">
      <c r="A81" s="51">
        <v>42796</v>
      </c>
      <c r="B81" s="52" t="s">
        <v>7851</v>
      </c>
      <c r="C81" s="18">
        <v>102859</v>
      </c>
      <c r="D81" s="2" t="s">
        <v>17</v>
      </c>
      <c r="E81" s="15">
        <v>2300</v>
      </c>
      <c r="F81" s="59">
        <v>42796</v>
      </c>
      <c r="G81" s="15">
        <f t="shared" si="3"/>
        <v>2300</v>
      </c>
      <c r="H81" s="15">
        <f t="shared" si="4"/>
        <v>0</v>
      </c>
      <c r="I81" s="19"/>
    </row>
    <row r="82" spans="1:9" ht="15.75" x14ac:dyDescent="0.25">
      <c r="A82" s="51">
        <v>42796</v>
      </c>
      <c r="B82" s="52" t="s">
        <v>7852</v>
      </c>
      <c r="C82" s="18">
        <v>102860</v>
      </c>
      <c r="D82" s="2" t="s">
        <v>218</v>
      </c>
      <c r="E82" s="15">
        <v>48873.3</v>
      </c>
      <c r="F82" s="59">
        <v>42824</v>
      </c>
      <c r="G82" s="15">
        <f t="shared" si="3"/>
        <v>48873.3</v>
      </c>
      <c r="H82" s="15">
        <f t="shared" si="4"/>
        <v>0</v>
      </c>
      <c r="I82" s="19"/>
    </row>
    <row r="83" spans="1:9" ht="15.75" x14ac:dyDescent="0.25">
      <c r="A83" s="51">
        <v>42796</v>
      </c>
      <c r="B83" s="52" t="s">
        <v>7853</v>
      </c>
      <c r="C83" s="18">
        <v>102861</v>
      </c>
      <c r="D83" s="2" t="s">
        <v>26</v>
      </c>
      <c r="E83" s="15">
        <v>15283.1</v>
      </c>
      <c r="F83" s="59">
        <v>42796</v>
      </c>
      <c r="G83" s="15">
        <f t="shared" si="3"/>
        <v>15283.1</v>
      </c>
      <c r="H83" s="15">
        <f t="shared" si="4"/>
        <v>0</v>
      </c>
      <c r="I83" s="19"/>
    </row>
    <row r="84" spans="1:9" ht="15.75" x14ac:dyDescent="0.25">
      <c r="A84" s="51">
        <v>42796</v>
      </c>
      <c r="B84" s="52" t="s">
        <v>7854</v>
      </c>
      <c r="C84" s="18">
        <v>102862</v>
      </c>
      <c r="D84" s="2" t="s">
        <v>28</v>
      </c>
      <c r="E84" s="15">
        <v>4678.8</v>
      </c>
      <c r="F84" s="59" t="s">
        <v>3806</v>
      </c>
      <c r="G84" s="15">
        <f t="shared" si="3"/>
        <v>4678.8</v>
      </c>
      <c r="H84" s="15">
        <f t="shared" si="4"/>
        <v>0</v>
      </c>
      <c r="I84" s="19"/>
    </row>
    <row r="85" spans="1:9" ht="15.75" x14ac:dyDescent="0.25">
      <c r="A85" s="51">
        <v>42796</v>
      </c>
      <c r="B85" s="52" t="s">
        <v>7855</v>
      </c>
      <c r="C85" s="18">
        <v>102863</v>
      </c>
      <c r="D85" s="2" t="s">
        <v>974</v>
      </c>
      <c r="E85" s="15">
        <v>9733.2000000000007</v>
      </c>
      <c r="F85" s="59">
        <v>42796</v>
      </c>
      <c r="G85" s="15">
        <f t="shared" si="3"/>
        <v>9733.2000000000007</v>
      </c>
      <c r="H85" s="15">
        <f t="shared" si="4"/>
        <v>0</v>
      </c>
      <c r="I85" s="19"/>
    </row>
    <row r="86" spans="1:9" ht="15.75" x14ac:dyDescent="0.25">
      <c r="A86" s="51">
        <v>42796</v>
      </c>
      <c r="B86" s="52" t="s">
        <v>7856</v>
      </c>
      <c r="C86" s="18">
        <v>102864</v>
      </c>
      <c r="D86" s="2" t="s">
        <v>222</v>
      </c>
      <c r="E86" s="15">
        <v>20502</v>
      </c>
      <c r="F86" s="59" t="s">
        <v>3806</v>
      </c>
      <c r="G86" s="15">
        <f t="shared" si="3"/>
        <v>20502</v>
      </c>
      <c r="H86" s="15">
        <f t="shared" si="4"/>
        <v>0</v>
      </c>
      <c r="I86" s="19"/>
    </row>
    <row r="87" spans="1:9" ht="15.75" x14ac:dyDescent="0.25">
      <c r="A87" s="51">
        <v>42796</v>
      </c>
      <c r="B87" s="52" t="s">
        <v>7857</v>
      </c>
      <c r="C87" s="18">
        <v>102865</v>
      </c>
      <c r="D87" s="2" t="s">
        <v>30</v>
      </c>
      <c r="E87" s="15">
        <v>3458.8</v>
      </c>
      <c r="F87" s="59">
        <v>42796</v>
      </c>
      <c r="G87" s="15">
        <f t="shared" si="3"/>
        <v>3458.8</v>
      </c>
      <c r="H87" s="15">
        <f t="shared" si="4"/>
        <v>0</v>
      </c>
      <c r="I87" s="19"/>
    </row>
    <row r="88" spans="1:9" ht="15.75" x14ac:dyDescent="0.25">
      <c r="A88" s="51">
        <v>42796</v>
      </c>
      <c r="B88" s="52" t="s">
        <v>7858</v>
      </c>
      <c r="C88" s="18">
        <v>102866</v>
      </c>
      <c r="D88" s="2" t="s">
        <v>21</v>
      </c>
      <c r="E88" s="15">
        <v>44570.400000000001</v>
      </c>
      <c r="F88" s="59">
        <v>42811</v>
      </c>
      <c r="G88" s="15">
        <f t="shared" si="3"/>
        <v>44570.400000000001</v>
      </c>
      <c r="H88" s="15">
        <f t="shared" si="4"/>
        <v>0</v>
      </c>
      <c r="I88" s="19"/>
    </row>
    <row r="89" spans="1:9" ht="15.75" x14ac:dyDescent="0.25">
      <c r="A89" s="51">
        <v>42796</v>
      </c>
      <c r="B89" s="52" t="s">
        <v>7859</v>
      </c>
      <c r="C89" s="18">
        <v>102867</v>
      </c>
      <c r="D89" s="2" t="s">
        <v>47</v>
      </c>
      <c r="E89" s="15">
        <v>1118</v>
      </c>
      <c r="F89" s="59">
        <v>42796</v>
      </c>
      <c r="G89" s="15">
        <f t="shared" si="3"/>
        <v>1118</v>
      </c>
      <c r="H89" s="15">
        <f t="shared" si="4"/>
        <v>0</v>
      </c>
      <c r="I89" s="19"/>
    </row>
    <row r="90" spans="1:9" ht="15.75" x14ac:dyDescent="0.25">
      <c r="A90" s="51">
        <v>42796</v>
      </c>
      <c r="B90" s="52" t="s">
        <v>7860</v>
      </c>
      <c r="C90" s="18">
        <v>102868</v>
      </c>
      <c r="D90" s="2" t="s">
        <v>509</v>
      </c>
      <c r="E90" s="15">
        <v>21665.4</v>
      </c>
      <c r="F90" s="59">
        <v>42798</v>
      </c>
      <c r="G90" s="15">
        <f t="shared" si="3"/>
        <v>21665.4</v>
      </c>
      <c r="H90" s="15">
        <f t="shared" si="4"/>
        <v>0</v>
      </c>
      <c r="I90" s="19"/>
    </row>
    <row r="91" spans="1:9" ht="15.75" x14ac:dyDescent="0.25">
      <c r="A91" s="51">
        <v>42796</v>
      </c>
      <c r="B91" s="52" t="s">
        <v>7861</v>
      </c>
      <c r="C91" s="18">
        <v>102869</v>
      </c>
      <c r="D91" s="2" t="s">
        <v>71</v>
      </c>
      <c r="E91" s="15">
        <v>2380</v>
      </c>
      <c r="F91" s="59">
        <v>42796</v>
      </c>
      <c r="G91" s="15">
        <f t="shared" si="3"/>
        <v>2380</v>
      </c>
      <c r="H91" s="15">
        <f t="shared" si="4"/>
        <v>0</v>
      </c>
      <c r="I91" s="19"/>
    </row>
    <row r="92" spans="1:9" ht="15.75" x14ac:dyDescent="0.25">
      <c r="A92" s="51">
        <v>42796</v>
      </c>
      <c r="B92" s="52" t="s">
        <v>7862</v>
      </c>
      <c r="C92" s="18">
        <v>102870</v>
      </c>
      <c r="D92" s="2" t="s">
        <v>12</v>
      </c>
      <c r="E92" s="15">
        <v>1179</v>
      </c>
      <c r="F92" s="59">
        <v>42796</v>
      </c>
      <c r="G92" s="15">
        <f t="shared" si="3"/>
        <v>1179</v>
      </c>
      <c r="H92" s="15">
        <f t="shared" si="4"/>
        <v>0</v>
      </c>
      <c r="I92" s="19"/>
    </row>
    <row r="93" spans="1:9" ht="15.75" x14ac:dyDescent="0.25">
      <c r="A93" s="51">
        <v>42796</v>
      </c>
      <c r="B93" s="52" t="s">
        <v>7863</v>
      </c>
      <c r="C93" s="18">
        <v>102871</v>
      </c>
      <c r="D93" s="2" t="s">
        <v>236</v>
      </c>
      <c r="E93" s="15">
        <v>31276.2</v>
      </c>
      <c r="F93" s="59">
        <v>42807</v>
      </c>
      <c r="G93" s="15">
        <f t="shared" si="3"/>
        <v>31276.2</v>
      </c>
      <c r="H93" s="15">
        <f t="shared" si="4"/>
        <v>0</v>
      </c>
      <c r="I93" s="19"/>
    </row>
    <row r="94" spans="1:9" ht="15.75" x14ac:dyDescent="0.25">
      <c r="A94" s="51">
        <v>42796</v>
      </c>
      <c r="B94" s="52" t="s">
        <v>7864</v>
      </c>
      <c r="C94" s="18">
        <v>102872</v>
      </c>
      <c r="D94" s="2" t="s">
        <v>428</v>
      </c>
      <c r="E94" s="15">
        <v>2591.6999999999998</v>
      </c>
      <c r="F94" s="59" t="s">
        <v>3806</v>
      </c>
      <c r="G94" s="15">
        <f t="shared" si="3"/>
        <v>2591.6999999999998</v>
      </c>
      <c r="H94" s="15">
        <f t="shared" si="4"/>
        <v>0</v>
      </c>
      <c r="I94" s="19"/>
    </row>
    <row r="95" spans="1:9" ht="15.75" x14ac:dyDescent="0.25">
      <c r="A95" s="51">
        <v>42796</v>
      </c>
      <c r="B95" s="52" t="s">
        <v>7865</v>
      </c>
      <c r="C95" s="18">
        <v>102873</v>
      </c>
      <c r="D95" s="2" t="s">
        <v>19</v>
      </c>
      <c r="E95" s="15">
        <v>920</v>
      </c>
      <c r="F95" s="59">
        <v>42796</v>
      </c>
      <c r="G95" s="15">
        <f t="shared" si="3"/>
        <v>920</v>
      </c>
      <c r="H95" s="15">
        <f t="shared" si="4"/>
        <v>0</v>
      </c>
      <c r="I95" s="19"/>
    </row>
    <row r="96" spans="1:9" ht="15.75" x14ac:dyDescent="0.25">
      <c r="A96" s="51">
        <v>42796</v>
      </c>
      <c r="B96" s="52" t="s">
        <v>7866</v>
      </c>
      <c r="C96" s="18">
        <v>102874</v>
      </c>
      <c r="D96" s="2" t="s">
        <v>157</v>
      </c>
      <c r="E96" s="15">
        <v>17629</v>
      </c>
      <c r="F96" s="59">
        <v>42796</v>
      </c>
      <c r="G96" s="15">
        <f t="shared" si="3"/>
        <v>17629</v>
      </c>
      <c r="H96" s="15">
        <f t="shared" si="4"/>
        <v>0</v>
      </c>
      <c r="I96" s="19"/>
    </row>
    <row r="97" spans="1:9" ht="15.75" x14ac:dyDescent="0.25">
      <c r="A97" s="51">
        <v>42796</v>
      </c>
      <c r="B97" s="52" t="s">
        <v>7867</v>
      </c>
      <c r="C97" s="18">
        <v>102875</v>
      </c>
      <c r="D97" s="2" t="s">
        <v>35</v>
      </c>
      <c r="E97" s="15">
        <v>11490.2</v>
      </c>
      <c r="F97" s="59">
        <v>42798</v>
      </c>
      <c r="G97" s="15">
        <f t="shared" si="3"/>
        <v>11490.2</v>
      </c>
      <c r="H97" s="15">
        <f t="shared" si="4"/>
        <v>0</v>
      </c>
      <c r="I97" s="19"/>
    </row>
    <row r="98" spans="1:9" ht="15.75" x14ac:dyDescent="0.25">
      <c r="A98" s="51">
        <v>42796</v>
      </c>
      <c r="B98" s="52" t="s">
        <v>7868</v>
      </c>
      <c r="C98" s="18">
        <v>102876</v>
      </c>
      <c r="D98" s="2" t="s">
        <v>32</v>
      </c>
      <c r="E98" s="15">
        <v>5606.4</v>
      </c>
      <c r="F98" s="59">
        <v>42803</v>
      </c>
      <c r="G98" s="15">
        <f t="shared" si="3"/>
        <v>5606.4</v>
      </c>
      <c r="H98" s="15">
        <f t="shared" si="4"/>
        <v>0</v>
      </c>
      <c r="I98" s="19"/>
    </row>
    <row r="99" spans="1:9" ht="15.75" x14ac:dyDescent="0.25">
      <c r="A99" s="51">
        <v>42796</v>
      </c>
      <c r="B99" s="52" t="s">
        <v>7869</v>
      </c>
      <c r="C99" s="18">
        <v>102877</v>
      </c>
      <c r="D99" s="2" t="s">
        <v>51</v>
      </c>
      <c r="E99" s="15">
        <v>3124.8</v>
      </c>
      <c r="F99" s="59">
        <v>42798</v>
      </c>
      <c r="G99" s="15">
        <f t="shared" si="3"/>
        <v>3124.8</v>
      </c>
      <c r="H99" s="15">
        <f t="shared" si="4"/>
        <v>0</v>
      </c>
      <c r="I99" s="19"/>
    </row>
    <row r="100" spans="1:9" ht="15.75" x14ac:dyDescent="0.25">
      <c r="A100" s="51">
        <v>42796</v>
      </c>
      <c r="B100" s="52" t="s">
        <v>7870</v>
      </c>
      <c r="C100" s="18">
        <v>102878</v>
      </c>
      <c r="D100" s="2" t="s">
        <v>38</v>
      </c>
      <c r="E100" s="15">
        <v>2963.8</v>
      </c>
      <c r="F100" s="59">
        <v>42800</v>
      </c>
      <c r="G100" s="15">
        <f t="shared" si="3"/>
        <v>2963.8</v>
      </c>
      <c r="H100" s="15">
        <f t="shared" si="4"/>
        <v>0</v>
      </c>
      <c r="I100" s="19"/>
    </row>
    <row r="101" spans="1:9" ht="15.75" x14ac:dyDescent="0.25">
      <c r="A101" s="51">
        <v>42796</v>
      </c>
      <c r="B101" s="53" t="s">
        <v>7871</v>
      </c>
      <c r="C101" s="54">
        <v>102879</v>
      </c>
      <c r="D101" s="55" t="s">
        <v>49</v>
      </c>
      <c r="E101" s="56">
        <v>12715.2</v>
      </c>
      <c r="F101" s="101" t="s">
        <v>7755</v>
      </c>
      <c r="G101" s="57">
        <f>5000</f>
        <v>5000</v>
      </c>
      <c r="H101" s="57">
        <f t="shared" si="4"/>
        <v>7715.2000000000007</v>
      </c>
      <c r="I101" s="19"/>
    </row>
    <row r="102" spans="1:9" ht="15.75" x14ac:dyDescent="0.25">
      <c r="A102" s="51">
        <v>42796</v>
      </c>
      <c r="B102" s="52" t="s">
        <v>7872</v>
      </c>
      <c r="C102" s="18">
        <v>102880</v>
      </c>
      <c r="D102" s="2" t="s">
        <v>149</v>
      </c>
      <c r="E102" s="15">
        <v>1620</v>
      </c>
      <c r="F102" s="59">
        <v>42796</v>
      </c>
      <c r="G102" s="15">
        <f t="shared" si="3"/>
        <v>1620</v>
      </c>
      <c r="H102" s="15">
        <f t="shared" si="4"/>
        <v>0</v>
      </c>
      <c r="I102" s="19"/>
    </row>
    <row r="103" spans="1:9" ht="15.75" x14ac:dyDescent="0.25">
      <c r="A103" s="51">
        <v>42796</v>
      </c>
      <c r="B103" s="52" t="s">
        <v>7873</v>
      </c>
      <c r="C103" s="18">
        <v>102881</v>
      </c>
      <c r="D103" s="2" t="s">
        <v>253</v>
      </c>
      <c r="E103" s="15">
        <v>1030.8</v>
      </c>
      <c r="F103" s="59" t="s">
        <v>3806</v>
      </c>
      <c r="G103" s="15">
        <f t="shared" si="3"/>
        <v>1030.8</v>
      </c>
      <c r="H103" s="15">
        <f t="shared" si="4"/>
        <v>0</v>
      </c>
      <c r="I103" s="19"/>
    </row>
    <row r="104" spans="1:9" ht="15.75" x14ac:dyDescent="0.25">
      <c r="A104" s="51">
        <v>42796</v>
      </c>
      <c r="B104" s="52" t="s">
        <v>7874</v>
      </c>
      <c r="C104" s="18">
        <v>102882</v>
      </c>
      <c r="D104" s="2" t="s">
        <v>43</v>
      </c>
      <c r="E104" s="15">
        <v>4535.6000000000004</v>
      </c>
      <c r="F104" s="59">
        <v>42798</v>
      </c>
      <c r="G104" s="15">
        <f t="shared" si="3"/>
        <v>4535.6000000000004</v>
      </c>
      <c r="H104" s="15">
        <f t="shared" si="4"/>
        <v>0</v>
      </c>
      <c r="I104" s="19"/>
    </row>
    <row r="105" spans="1:9" ht="15.75" x14ac:dyDescent="0.25">
      <c r="A105" s="51">
        <v>42796</v>
      </c>
      <c r="B105" s="52" t="s">
        <v>7875</v>
      </c>
      <c r="C105" s="18">
        <v>102883</v>
      </c>
      <c r="D105" s="2" t="s">
        <v>302</v>
      </c>
      <c r="E105" s="15">
        <v>11332</v>
      </c>
      <c r="F105" s="59">
        <v>42796</v>
      </c>
      <c r="G105" s="15">
        <f t="shared" si="3"/>
        <v>11332</v>
      </c>
      <c r="H105" s="15">
        <f t="shared" si="4"/>
        <v>0</v>
      </c>
      <c r="I105" s="19"/>
    </row>
    <row r="106" spans="1:9" ht="15.75" x14ac:dyDescent="0.25">
      <c r="A106" s="51">
        <v>42796</v>
      </c>
      <c r="B106" s="52" t="s">
        <v>7876</v>
      </c>
      <c r="C106" s="18">
        <v>102884</v>
      </c>
      <c r="D106" s="2" t="s">
        <v>457</v>
      </c>
      <c r="E106" s="15">
        <v>1843.2</v>
      </c>
      <c r="F106" s="59">
        <v>42796</v>
      </c>
      <c r="G106" s="15">
        <f t="shared" si="3"/>
        <v>1843.2</v>
      </c>
      <c r="H106" s="15">
        <f t="shared" si="4"/>
        <v>0</v>
      </c>
      <c r="I106" s="19"/>
    </row>
    <row r="107" spans="1:9" ht="15.75" x14ac:dyDescent="0.25">
      <c r="A107" s="51">
        <v>42796</v>
      </c>
      <c r="B107" s="52" t="s">
        <v>7877</v>
      </c>
      <c r="C107" s="18">
        <v>102885</v>
      </c>
      <c r="D107" s="2" t="s">
        <v>10</v>
      </c>
      <c r="E107" s="15">
        <v>4576</v>
      </c>
      <c r="F107" s="59">
        <v>42802</v>
      </c>
      <c r="G107" s="15">
        <f t="shared" si="3"/>
        <v>4576</v>
      </c>
      <c r="H107" s="15">
        <f t="shared" si="4"/>
        <v>0</v>
      </c>
      <c r="I107" s="19"/>
    </row>
    <row r="108" spans="1:9" ht="15.75" x14ac:dyDescent="0.25">
      <c r="A108" s="51">
        <v>42796</v>
      </c>
      <c r="B108" s="52" t="s">
        <v>7878</v>
      </c>
      <c r="C108" s="18">
        <v>102886</v>
      </c>
      <c r="D108" s="2" t="s">
        <v>250</v>
      </c>
      <c r="E108" s="15">
        <v>5302.8</v>
      </c>
      <c r="F108" s="59" t="s">
        <v>3806</v>
      </c>
      <c r="G108" s="15">
        <f t="shared" si="3"/>
        <v>5302.8</v>
      </c>
      <c r="H108" s="15">
        <f t="shared" si="4"/>
        <v>0</v>
      </c>
      <c r="I108" s="19"/>
    </row>
    <row r="109" spans="1:9" ht="15.75" x14ac:dyDescent="0.25">
      <c r="A109" s="51">
        <v>42796</v>
      </c>
      <c r="B109" s="52" t="s">
        <v>7879</v>
      </c>
      <c r="C109" s="18">
        <v>102887</v>
      </c>
      <c r="D109" s="2" t="s">
        <v>105</v>
      </c>
      <c r="E109" s="15">
        <v>657.3</v>
      </c>
      <c r="F109" s="59">
        <v>42798</v>
      </c>
      <c r="G109" s="15">
        <f t="shared" si="3"/>
        <v>657.3</v>
      </c>
      <c r="H109" s="15">
        <f t="shared" si="4"/>
        <v>0</v>
      </c>
      <c r="I109" s="19"/>
    </row>
    <row r="110" spans="1:9" ht="15.75" x14ac:dyDescent="0.25">
      <c r="A110" s="51">
        <v>42796</v>
      </c>
      <c r="B110" s="52" t="s">
        <v>7880</v>
      </c>
      <c r="C110" s="18">
        <v>102888</v>
      </c>
      <c r="D110" s="2" t="s">
        <v>281</v>
      </c>
      <c r="E110" s="15">
        <v>1503.4</v>
      </c>
      <c r="F110" s="59">
        <v>42796</v>
      </c>
      <c r="G110" s="15">
        <f t="shared" si="3"/>
        <v>1503.4</v>
      </c>
      <c r="H110" s="15">
        <f t="shared" si="4"/>
        <v>0</v>
      </c>
      <c r="I110" s="19"/>
    </row>
    <row r="111" spans="1:9" ht="15.75" x14ac:dyDescent="0.25">
      <c r="A111" s="51">
        <v>42796</v>
      </c>
      <c r="B111" s="52" t="s">
        <v>7881</v>
      </c>
      <c r="C111" s="18">
        <v>102889</v>
      </c>
      <c r="D111" s="2" t="s">
        <v>83</v>
      </c>
      <c r="E111" s="15">
        <v>9349.4</v>
      </c>
      <c r="F111" s="59">
        <v>42796</v>
      </c>
      <c r="G111" s="15">
        <f t="shared" si="3"/>
        <v>9349.4</v>
      </c>
      <c r="H111" s="15">
        <f t="shared" si="4"/>
        <v>0</v>
      </c>
      <c r="I111" s="19"/>
    </row>
    <row r="112" spans="1:9" ht="15.75" x14ac:dyDescent="0.25">
      <c r="A112" s="51">
        <v>42796</v>
      </c>
      <c r="B112" s="52" t="s">
        <v>7882</v>
      </c>
      <c r="C112" s="18">
        <v>102890</v>
      </c>
      <c r="D112" s="2" t="s">
        <v>613</v>
      </c>
      <c r="E112" s="15">
        <v>3177.6</v>
      </c>
      <c r="F112" s="59">
        <v>42796</v>
      </c>
      <c r="G112" s="15">
        <f t="shared" si="3"/>
        <v>3177.6</v>
      </c>
      <c r="H112" s="15">
        <f t="shared" si="4"/>
        <v>0</v>
      </c>
      <c r="I112" s="19"/>
    </row>
    <row r="113" spans="1:9" ht="15.75" x14ac:dyDescent="0.25">
      <c r="A113" s="51">
        <v>42796</v>
      </c>
      <c r="B113" s="52" t="s">
        <v>7883</v>
      </c>
      <c r="C113" s="18">
        <v>102891</v>
      </c>
      <c r="D113" s="2" t="s">
        <v>1259</v>
      </c>
      <c r="E113" s="15">
        <v>1521</v>
      </c>
      <c r="F113" s="59">
        <v>42796</v>
      </c>
      <c r="G113" s="15">
        <f t="shared" si="3"/>
        <v>1521</v>
      </c>
      <c r="H113" s="15">
        <f t="shared" si="4"/>
        <v>0</v>
      </c>
      <c r="I113" s="19"/>
    </row>
    <row r="114" spans="1:9" ht="15.75" x14ac:dyDescent="0.25">
      <c r="A114" s="51">
        <v>42796</v>
      </c>
      <c r="B114" s="52" t="s">
        <v>7884</v>
      </c>
      <c r="C114" s="18">
        <v>102892</v>
      </c>
      <c r="D114" s="2" t="s">
        <v>109</v>
      </c>
      <c r="E114" s="15">
        <v>4209.1000000000004</v>
      </c>
      <c r="F114" s="59">
        <v>42796</v>
      </c>
      <c r="G114" s="15">
        <f t="shared" si="3"/>
        <v>4209.1000000000004</v>
      </c>
      <c r="H114" s="15">
        <f t="shared" si="4"/>
        <v>0</v>
      </c>
      <c r="I114" s="19"/>
    </row>
    <row r="115" spans="1:9" ht="15.75" x14ac:dyDescent="0.25">
      <c r="A115" s="51">
        <v>42796</v>
      </c>
      <c r="B115" s="52" t="s">
        <v>7885</v>
      </c>
      <c r="C115" s="18">
        <v>102893</v>
      </c>
      <c r="D115" s="2" t="s">
        <v>341</v>
      </c>
      <c r="E115" s="15">
        <v>7987</v>
      </c>
      <c r="F115" s="59">
        <v>42796</v>
      </c>
      <c r="G115" s="15">
        <f t="shared" si="3"/>
        <v>7987</v>
      </c>
      <c r="H115" s="15">
        <f t="shared" si="4"/>
        <v>0</v>
      </c>
      <c r="I115" s="19"/>
    </row>
    <row r="116" spans="1:9" ht="15.75" x14ac:dyDescent="0.25">
      <c r="A116" s="51">
        <v>42796</v>
      </c>
      <c r="B116" s="52" t="s">
        <v>7886</v>
      </c>
      <c r="C116" s="18">
        <v>102894</v>
      </c>
      <c r="D116" s="2" t="s">
        <v>240</v>
      </c>
      <c r="E116" s="15">
        <v>6724.8</v>
      </c>
      <c r="F116" s="59">
        <v>42796</v>
      </c>
      <c r="G116" s="15">
        <f t="shared" si="3"/>
        <v>6724.8</v>
      </c>
      <c r="H116" s="15">
        <f t="shared" si="4"/>
        <v>0</v>
      </c>
      <c r="I116" s="19"/>
    </row>
    <row r="117" spans="1:9" ht="15.75" x14ac:dyDescent="0.25">
      <c r="A117" s="51">
        <v>42796</v>
      </c>
      <c r="B117" s="52" t="s">
        <v>7887</v>
      </c>
      <c r="C117" s="18">
        <v>102895</v>
      </c>
      <c r="D117" s="2" t="s">
        <v>81</v>
      </c>
      <c r="E117" s="15">
        <v>2998.8</v>
      </c>
      <c r="F117" s="59">
        <v>42796</v>
      </c>
      <c r="G117" s="15">
        <f t="shared" si="3"/>
        <v>2998.8</v>
      </c>
      <c r="H117" s="15">
        <f t="shared" si="4"/>
        <v>0</v>
      </c>
      <c r="I117" s="19"/>
    </row>
    <row r="118" spans="1:9" ht="15.75" x14ac:dyDescent="0.25">
      <c r="A118" s="51">
        <v>42796</v>
      </c>
      <c r="B118" s="52" t="s">
        <v>7888</v>
      </c>
      <c r="C118" s="18">
        <v>102896</v>
      </c>
      <c r="D118" s="2" t="s">
        <v>103</v>
      </c>
      <c r="E118" s="15">
        <v>3795</v>
      </c>
      <c r="F118" s="59" t="s">
        <v>3806</v>
      </c>
      <c r="G118" s="15">
        <f t="shared" si="3"/>
        <v>3795</v>
      </c>
      <c r="H118" s="15">
        <f t="shared" si="4"/>
        <v>0</v>
      </c>
      <c r="I118" s="19"/>
    </row>
    <row r="119" spans="1:9" ht="15.75" x14ac:dyDescent="0.25">
      <c r="A119" s="51">
        <v>42796</v>
      </c>
      <c r="B119" s="52" t="s">
        <v>7889</v>
      </c>
      <c r="C119" s="18">
        <v>102897</v>
      </c>
      <c r="D119" s="2" t="s">
        <v>79</v>
      </c>
      <c r="E119" s="15">
        <v>3786.2</v>
      </c>
      <c r="F119" s="59">
        <v>42796</v>
      </c>
      <c r="G119" s="15">
        <f t="shared" si="3"/>
        <v>3786.2</v>
      </c>
      <c r="H119" s="15">
        <f t="shared" si="4"/>
        <v>0</v>
      </c>
      <c r="I119" s="19"/>
    </row>
    <row r="120" spans="1:9" ht="15.75" x14ac:dyDescent="0.25">
      <c r="A120" s="51">
        <v>42796</v>
      </c>
      <c r="B120" s="52" t="s">
        <v>7890</v>
      </c>
      <c r="C120" s="18">
        <v>102898</v>
      </c>
      <c r="D120" s="2" t="s">
        <v>61</v>
      </c>
      <c r="E120" s="15">
        <v>13273.2</v>
      </c>
      <c r="F120" s="59">
        <v>42796</v>
      </c>
      <c r="G120" s="15">
        <f t="shared" si="3"/>
        <v>13273.2</v>
      </c>
      <c r="H120" s="15">
        <f t="shared" si="4"/>
        <v>0</v>
      </c>
      <c r="I120" s="19"/>
    </row>
    <row r="121" spans="1:9" ht="15.75" x14ac:dyDescent="0.25">
      <c r="A121" s="51">
        <v>42796</v>
      </c>
      <c r="B121" s="52" t="s">
        <v>7891</v>
      </c>
      <c r="C121" s="18">
        <v>102899</v>
      </c>
      <c r="D121" s="2" t="s">
        <v>331</v>
      </c>
      <c r="E121" s="15">
        <v>1888</v>
      </c>
      <c r="F121" s="59">
        <v>42796</v>
      </c>
      <c r="G121" s="15">
        <f t="shared" si="3"/>
        <v>1888</v>
      </c>
      <c r="H121" s="15">
        <f t="shared" si="4"/>
        <v>0</v>
      </c>
      <c r="I121" s="19"/>
    </row>
    <row r="122" spans="1:9" ht="15.75" x14ac:dyDescent="0.25">
      <c r="A122" s="51">
        <v>42796</v>
      </c>
      <c r="B122" s="52" t="s">
        <v>7892</v>
      </c>
      <c r="C122" s="18">
        <v>102900</v>
      </c>
      <c r="D122" s="2" t="s">
        <v>4930</v>
      </c>
      <c r="E122" s="15">
        <v>3198</v>
      </c>
      <c r="F122" s="59">
        <v>42796</v>
      </c>
      <c r="G122" s="15">
        <f t="shared" si="3"/>
        <v>3198</v>
      </c>
      <c r="H122" s="15">
        <f t="shared" si="4"/>
        <v>0</v>
      </c>
      <c r="I122" s="19"/>
    </row>
    <row r="123" spans="1:9" ht="15.75" x14ac:dyDescent="0.25">
      <c r="A123" s="51">
        <v>42796</v>
      </c>
      <c r="B123" s="52" t="s">
        <v>7893</v>
      </c>
      <c r="C123" s="18">
        <v>102901</v>
      </c>
      <c r="D123" s="2" t="s">
        <v>909</v>
      </c>
      <c r="E123" s="15">
        <v>376.8</v>
      </c>
      <c r="F123" s="59">
        <v>42796</v>
      </c>
      <c r="G123" s="15">
        <f t="shared" si="3"/>
        <v>376.8</v>
      </c>
      <c r="H123" s="15">
        <f t="shared" si="4"/>
        <v>0</v>
      </c>
      <c r="I123" s="19"/>
    </row>
    <row r="124" spans="1:9" ht="15.75" x14ac:dyDescent="0.25">
      <c r="A124" s="51">
        <v>42796</v>
      </c>
      <c r="B124" s="52" t="s">
        <v>7894</v>
      </c>
      <c r="C124" s="18">
        <v>102902</v>
      </c>
      <c r="D124" s="2" t="s">
        <v>57</v>
      </c>
      <c r="E124" s="15">
        <v>653.20000000000005</v>
      </c>
      <c r="F124" s="59">
        <v>42796</v>
      </c>
      <c r="G124" s="15">
        <f t="shared" si="3"/>
        <v>653.20000000000005</v>
      </c>
      <c r="H124" s="15">
        <f t="shared" si="4"/>
        <v>0</v>
      </c>
      <c r="I124" s="19"/>
    </row>
    <row r="125" spans="1:9" ht="15.75" x14ac:dyDescent="0.25">
      <c r="A125" s="51">
        <v>42796</v>
      </c>
      <c r="B125" s="52" t="s">
        <v>7895</v>
      </c>
      <c r="C125" s="18">
        <v>102903</v>
      </c>
      <c r="D125" s="2" t="s">
        <v>285</v>
      </c>
      <c r="E125" s="15">
        <v>2560.56</v>
      </c>
      <c r="F125" s="59">
        <v>42802</v>
      </c>
      <c r="G125" s="15">
        <f t="shared" si="3"/>
        <v>2560.56</v>
      </c>
      <c r="H125" s="15">
        <f t="shared" si="4"/>
        <v>0</v>
      </c>
      <c r="I125" s="19"/>
    </row>
    <row r="126" spans="1:9" ht="15.75" x14ac:dyDescent="0.25">
      <c r="A126" s="51">
        <v>42796</v>
      </c>
      <c r="B126" s="52" t="s">
        <v>7896</v>
      </c>
      <c r="C126" s="18">
        <v>102904</v>
      </c>
      <c r="D126" s="2" t="s">
        <v>7182</v>
      </c>
      <c r="E126" s="15">
        <v>1307.52</v>
      </c>
      <c r="F126" s="59">
        <v>42796</v>
      </c>
      <c r="G126" s="15">
        <f t="shared" si="3"/>
        <v>1307.52</v>
      </c>
      <c r="H126" s="15">
        <f t="shared" si="4"/>
        <v>0</v>
      </c>
      <c r="I126" s="19"/>
    </row>
    <row r="127" spans="1:9" ht="15.75" x14ac:dyDescent="0.25">
      <c r="A127" s="51">
        <v>42796</v>
      </c>
      <c r="B127" s="52" t="s">
        <v>7897</v>
      </c>
      <c r="C127" s="18">
        <v>102905</v>
      </c>
      <c r="D127" s="2" t="s">
        <v>45</v>
      </c>
      <c r="E127" s="15">
        <v>1060</v>
      </c>
      <c r="F127" s="59">
        <v>42796</v>
      </c>
      <c r="G127" s="15">
        <f t="shared" si="3"/>
        <v>1060</v>
      </c>
      <c r="H127" s="15">
        <f t="shared" si="4"/>
        <v>0</v>
      </c>
      <c r="I127" s="19"/>
    </row>
    <row r="128" spans="1:9" ht="15.75" x14ac:dyDescent="0.25">
      <c r="A128" s="51">
        <v>42796</v>
      </c>
      <c r="B128" s="52" t="s">
        <v>7898</v>
      </c>
      <c r="C128" s="18">
        <v>102906</v>
      </c>
      <c r="D128" s="2" t="s">
        <v>184</v>
      </c>
      <c r="E128" s="15">
        <v>965.3</v>
      </c>
      <c r="F128" s="59">
        <v>42796</v>
      </c>
      <c r="G128" s="15">
        <f t="shared" si="3"/>
        <v>965.3</v>
      </c>
      <c r="H128" s="15">
        <f t="shared" si="4"/>
        <v>0</v>
      </c>
      <c r="I128" s="21"/>
    </row>
    <row r="129" spans="1:9" ht="15.75" x14ac:dyDescent="0.25">
      <c r="A129" s="51">
        <v>42796</v>
      </c>
      <c r="B129" s="52" t="s">
        <v>7899</v>
      </c>
      <c r="C129" s="18">
        <v>102907</v>
      </c>
      <c r="D129" s="2" t="s">
        <v>186</v>
      </c>
      <c r="E129" s="15">
        <v>633.6</v>
      </c>
      <c r="F129" s="59">
        <v>42800</v>
      </c>
      <c r="G129" s="15">
        <f t="shared" si="3"/>
        <v>633.6</v>
      </c>
      <c r="H129" s="15">
        <f t="shared" si="4"/>
        <v>0</v>
      </c>
      <c r="I129" s="21"/>
    </row>
    <row r="130" spans="1:9" ht="15.75" x14ac:dyDescent="0.25">
      <c r="A130" s="51">
        <v>42796</v>
      </c>
      <c r="B130" s="52" t="s">
        <v>7900</v>
      </c>
      <c r="C130" s="18">
        <v>102908</v>
      </c>
      <c r="D130" s="2" t="s">
        <v>53</v>
      </c>
      <c r="E130" s="15">
        <v>2996.4</v>
      </c>
      <c r="F130" s="59">
        <v>42796</v>
      </c>
      <c r="G130" s="15">
        <f t="shared" si="3"/>
        <v>2996.4</v>
      </c>
      <c r="H130" s="15">
        <f t="shared" si="4"/>
        <v>0</v>
      </c>
      <c r="I130" s="21"/>
    </row>
    <row r="131" spans="1:9" ht="15.75" x14ac:dyDescent="0.25">
      <c r="A131" s="51">
        <v>42796</v>
      </c>
      <c r="B131" s="52" t="s">
        <v>7901</v>
      </c>
      <c r="C131" s="18">
        <v>102909</v>
      </c>
      <c r="D131" s="2" t="s">
        <v>63</v>
      </c>
      <c r="E131" s="15">
        <v>924</v>
      </c>
      <c r="F131" s="59">
        <v>42796</v>
      </c>
      <c r="G131" s="15">
        <f t="shared" si="3"/>
        <v>924</v>
      </c>
      <c r="H131" s="15">
        <f t="shared" si="4"/>
        <v>0</v>
      </c>
      <c r="I131" s="21"/>
    </row>
    <row r="132" spans="1:9" ht="15.75" x14ac:dyDescent="0.25">
      <c r="A132" s="51">
        <v>42796</v>
      </c>
      <c r="B132" s="52" t="s">
        <v>7902</v>
      </c>
      <c r="C132" s="18">
        <v>102910</v>
      </c>
      <c r="D132" s="13" t="s">
        <v>85</v>
      </c>
      <c r="E132" s="14">
        <v>0</v>
      </c>
      <c r="F132" s="102" t="s">
        <v>95</v>
      </c>
      <c r="G132" s="14">
        <f t="shared" ref="G132:G195" si="5">E132</f>
        <v>0</v>
      </c>
      <c r="H132" s="14">
        <f t="shared" ref="H132:H195" si="6">E132-G132</f>
        <v>0</v>
      </c>
      <c r="I132" s="21"/>
    </row>
    <row r="133" spans="1:9" ht="15.75" x14ac:dyDescent="0.25">
      <c r="A133" s="51">
        <v>42796</v>
      </c>
      <c r="B133" s="52" t="s">
        <v>7903</v>
      </c>
      <c r="C133" s="18">
        <v>102911</v>
      </c>
      <c r="D133" s="2" t="s">
        <v>125</v>
      </c>
      <c r="E133" s="15">
        <v>8228</v>
      </c>
      <c r="F133" s="59">
        <v>42800</v>
      </c>
      <c r="G133" s="15">
        <f t="shared" si="5"/>
        <v>8228</v>
      </c>
      <c r="H133" s="15">
        <f t="shared" si="6"/>
        <v>0</v>
      </c>
      <c r="I133" s="21"/>
    </row>
    <row r="134" spans="1:9" ht="15.75" x14ac:dyDescent="0.25">
      <c r="A134" s="51">
        <v>42796</v>
      </c>
      <c r="B134" s="52" t="s">
        <v>7904</v>
      </c>
      <c r="C134" s="18">
        <v>102912</v>
      </c>
      <c r="D134" s="2" t="s">
        <v>198</v>
      </c>
      <c r="E134" s="15">
        <v>4717.2</v>
      </c>
      <c r="F134" s="59">
        <v>42796</v>
      </c>
      <c r="G134" s="15">
        <f t="shared" si="5"/>
        <v>4717.2</v>
      </c>
      <c r="H134" s="15">
        <f t="shared" si="6"/>
        <v>0</v>
      </c>
      <c r="I134" s="21"/>
    </row>
    <row r="135" spans="1:9" ht="15.75" x14ac:dyDescent="0.25">
      <c r="A135" s="51">
        <v>42796</v>
      </c>
      <c r="B135" s="52" t="s">
        <v>7905</v>
      </c>
      <c r="C135" s="18">
        <v>102913</v>
      </c>
      <c r="D135" s="2" t="s">
        <v>85</v>
      </c>
      <c r="E135" s="15">
        <v>13012.8</v>
      </c>
      <c r="F135" s="59">
        <v>42796</v>
      </c>
      <c r="G135" s="15">
        <f t="shared" si="5"/>
        <v>13012.8</v>
      </c>
      <c r="H135" s="15">
        <f t="shared" si="6"/>
        <v>0</v>
      </c>
      <c r="I135" s="21"/>
    </row>
    <row r="136" spans="1:9" ht="15.75" x14ac:dyDescent="0.25">
      <c r="A136" s="51">
        <v>42796</v>
      </c>
      <c r="B136" s="52" t="s">
        <v>7906</v>
      </c>
      <c r="C136" s="18">
        <v>102914</v>
      </c>
      <c r="D136" s="2" t="s">
        <v>492</v>
      </c>
      <c r="E136" s="15">
        <v>20176.5</v>
      </c>
      <c r="F136" s="59">
        <v>42798</v>
      </c>
      <c r="G136" s="15">
        <f t="shared" si="5"/>
        <v>20176.5</v>
      </c>
      <c r="H136" s="15">
        <f t="shared" si="6"/>
        <v>0</v>
      </c>
      <c r="I136" s="21"/>
    </row>
    <row r="137" spans="1:9" ht="15.75" x14ac:dyDescent="0.25">
      <c r="A137" s="51">
        <v>42796</v>
      </c>
      <c r="B137" s="52" t="s">
        <v>7907</v>
      </c>
      <c r="C137" s="18">
        <v>102915</v>
      </c>
      <c r="D137" s="2" t="s">
        <v>1830</v>
      </c>
      <c r="E137" s="15">
        <v>15315</v>
      </c>
      <c r="F137" s="59">
        <v>42796</v>
      </c>
      <c r="G137" s="15">
        <f t="shared" si="5"/>
        <v>15315</v>
      </c>
      <c r="H137" s="15">
        <f t="shared" si="6"/>
        <v>0</v>
      </c>
      <c r="I137" s="21"/>
    </row>
    <row r="138" spans="1:9" ht="15.75" x14ac:dyDescent="0.25">
      <c r="A138" s="51">
        <v>42796</v>
      </c>
      <c r="B138" s="52" t="s">
        <v>7908</v>
      </c>
      <c r="C138" s="18">
        <v>102916</v>
      </c>
      <c r="D138" s="2" t="s">
        <v>30</v>
      </c>
      <c r="E138" s="15">
        <v>1908.2</v>
      </c>
      <c r="F138" s="59">
        <v>42796</v>
      </c>
      <c r="G138" s="15">
        <f t="shared" si="5"/>
        <v>1908.2</v>
      </c>
      <c r="H138" s="15">
        <f t="shared" si="6"/>
        <v>0</v>
      </c>
      <c r="I138" s="21"/>
    </row>
    <row r="139" spans="1:9" ht="15.75" x14ac:dyDescent="0.25">
      <c r="A139" s="51">
        <v>42796</v>
      </c>
      <c r="B139" s="52" t="s">
        <v>7909</v>
      </c>
      <c r="C139" s="18">
        <v>102917</v>
      </c>
      <c r="D139" s="2" t="s">
        <v>122</v>
      </c>
      <c r="E139" s="15">
        <v>12811.1</v>
      </c>
      <c r="F139" s="59">
        <v>42812</v>
      </c>
      <c r="G139" s="15">
        <f t="shared" si="5"/>
        <v>12811.1</v>
      </c>
      <c r="H139" s="15">
        <f t="shared" si="6"/>
        <v>0</v>
      </c>
      <c r="I139" s="21"/>
    </row>
    <row r="140" spans="1:9" ht="15.75" x14ac:dyDescent="0.25">
      <c r="A140" s="51">
        <v>42796</v>
      </c>
      <c r="B140" s="52" t="s">
        <v>7910</v>
      </c>
      <c r="C140" s="18">
        <v>102918</v>
      </c>
      <c r="D140" s="2" t="s">
        <v>122</v>
      </c>
      <c r="E140" s="15">
        <v>5373.2</v>
      </c>
      <c r="F140" s="59">
        <v>42804</v>
      </c>
      <c r="G140" s="15">
        <f t="shared" si="5"/>
        <v>5373.2</v>
      </c>
      <c r="H140" s="15">
        <f t="shared" si="6"/>
        <v>0</v>
      </c>
      <c r="I140" s="21"/>
    </row>
    <row r="141" spans="1:9" ht="15.75" x14ac:dyDescent="0.25">
      <c r="A141" s="51">
        <v>42796</v>
      </c>
      <c r="B141" s="52" t="s">
        <v>7911</v>
      </c>
      <c r="C141" s="18">
        <v>102919</v>
      </c>
      <c r="D141" s="2" t="s">
        <v>205</v>
      </c>
      <c r="E141" s="15">
        <v>27840</v>
      </c>
      <c r="F141" s="120" t="s">
        <v>15210</v>
      </c>
      <c r="G141" s="107">
        <f>870+26970</f>
        <v>27840</v>
      </c>
      <c r="H141" s="133">
        <f t="shared" si="6"/>
        <v>0</v>
      </c>
      <c r="I141" s="21"/>
    </row>
    <row r="142" spans="1:9" ht="15.75" x14ac:dyDescent="0.25">
      <c r="A142" s="51">
        <v>42796</v>
      </c>
      <c r="B142" s="52" t="s">
        <v>7912</v>
      </c>
      <c r="C142" s="18">
        <v>102920</v>
      </c>
      <c r="D142" s="2" t="s">
        <v>1116</v>
      </c>
      <c r="E142" s="15">
        <v>2636.2</v>
      </c>
      <c r="F142" s="59" t="s">
        <v>3806</v>
      </c>
      <c r="G142" s="15">
        <f t="shared" si="5"/>
        <v>2636.2</v>
      </c>
      <c r="H142" s="15">
        <f t="shared" si="6"/>
        <v>0</v>
      </c>
      <c r="I142" s="21"/>
    </row>
    <row r="143" spans="1:9" ht="15.75" x14ac:dyDescent="0.25">
      <c r="A143" s="51">
        <v>42796</v>
      </c>
      <c r="B143" s="52" t="s">
        <v>7913</v>
      </c>
      <c r="C143" s="18">
        <v>102921</v>
      </c>
      <c r="D143" s="2" t="s">
        <v>3649</v>
      </c>
      <c r="E143" s="15">
        <v>2024.2</v>
      </c>
      <c r="F143" s="59">
        <v>42796</v>
      </c>
      <c r="G143" s="15">
        <f t="shared" si="5"/>
        <v>2024.2</v>
      </c>
      <c r="H143" s="15">
        <f t="shared" si="6"/>
        <v>0</v>
      </c>
      <c r="I143" s="21"/>
    </row>
    <row r="144" spans="1:9" ht="15.75" x14ac:dyDescent="0.25">
      <c r="A144" s="51">
        <v>42796</v>
      </c>
      <c r="B144" s="52" t="s">
        <v>7914</v>
      </c>
      <c r="C144" s="18">
        <v>102922</v>
      </c>
      <c r="D144" s="2" t="s">
        <v>30</v>
      </c>
      <c r="E144" s="15">
        <v>8867.2000000000007</v>
      </c>
      <c r="F144" s="59">
        <v>42796</v>
      </c>
      <c r="G144" s="15">
        <f t="shared" si="5"/>
        <v>8867.2000000000007</v>
      </c>
      <c r="H144" s="15">
        <f t="shared" si="6"/>
        <v>0</v>
      </c>
      <c r="I144" s="21"/>
    </row>
    <row r="145" spans="1:9" ht="15.75" x14ac:dyDescent="0.25">
      <c r="A145" s="51">
        <v>42796</v>
      </c>
      <c r="B145" s="52" t="s">
        <v>7915</v>
      </c>
      <c r="C145" s="18">
        <v>102923</v>
      </c>
      <c r="D145" s="2" t="s">
        <v>305</v>
      </c>
      <c r="E145" s="15">
        <v>4662.6000000000004</v>
      </c>
      <c r="F145" s="59">
        <v>42800</v>
      </c>
      <c r="G145" s="15">
        <f t="shared" si="5"/>
        <v>4662.6000000000004</v>
      </c>
      <c r="H145" s="15">
        <f t="shared" si="6"/>
        <v>0</v>
      </c>
      <c r="I145" s="21"/>
    </row>
    <row r="146" spans="1:9" ht="15.75" x14ac:dyDescent="0.25">
      <c r="A146" s="51">
        <v>42796</v>
      </c>
      <c r="B146" s="52" t="s">
        <v>7916</v>
      </c>
      <c r="C146" s="18">
        <v>102924</v>
      </c>
      <c r="D146" s="2" t="s">
        <v>476</v>
      </c>
      <c r="E146" s="15">
        <v>11251.2</v>
      </c>
      <c r="F146" s="59">
        <v>42800</v>
      </c>
      <c r="G146" s="15">
        <f t="shared" si="5"/>
        <v>11251.2</v>
      </c>
      <c r="H146" s="15">
        <f t="shared" si="6"/>
        <v>0</v>
      </c>
      <c r="I146" s="21"/>
    </row>
    <row r="147" spans="1:9" ht="15.75" x14ac:dyDescent="0.25">
      <c r="A147" s="51">
        <v>42796</v>
      </c>
      <c r="B147" s="52" t="s">
        <v>7917</v>
      </c>
      <c r="C147" s="18">
        <v>102925</v>
      </c>
      <c r="D147" s="2" t="s">
        <v>125</v>
      </c>
      <c r="E147" s="15">
        <v>805.8</v>
      </c>
      <c r="F147" s="59">
        <v>42800</v>
      </c>
      <c r="G147" s="15">
        <f t="shared" si="5"/>
        <v>805.8</v>
      </c>
      <c r="H147" s="15">
        <f t="shared" si="6"/>
        <v>0</v>
      </c>
      <c r="I147" s="21"/>
    </row>
    <row r="148" spans="1:9" ht="15.75" x14ac:dyDescent="0.25">
      <c r="A148" s="51">
        <v>42796</v>
      </c>
      <c r="B148" s="52" t="s">
        <v>7918</v>
      </c>
      <c r="C148" s="18">
        <v>102926</v>
      </c>
      <c r="D148" s="2" t="s">
        <v>531</v>
      </c>
      <c r="E148" s="15">
        <v>2857.6</v>
      </c>
      <c r="F148" s="59">
        <v>42798</v>
      </c>
      <c r="G148" s="15">
        <f t="shared" si="5"/>
        <v>2857.6</v>
      </c>
      <c r="H148" s="15">
        <f t="shared" si="6"/>
        <v>0</v>
      </c>
      <c r="I148" s="21"/>
    </row>
    <row r="149" spans="1:9" ht="15.75" x14ac:dyDescent="0.25">
      <c r="A149" s="51">
        <v>42796</v>
      </c>
      <c r="B149" s="52" t="s">
        <v>7919</v>
      </c>
      <c r="C149" s="18">
        <v>102927</v>
      </c>
      <c r="D149" s="2" t="s">
        <v>77</v>
      </c>
      <c r="E149" s="15">
        <v>327</v>
      </c>
      <c r="F149" s="59">
        <v>42796</v>
      </c>
      <c r="G149" s="15">
        <f t="shared" si="5"/>
        <v>327</v>
      </c>
      <c r="H149" s="15">
        <f t="shared" si="6"/>
        <v>0</v>
      </c>
      <c r="I149" s="21"/>
    </row>
    <row r="150" spans="1:9" ht="15.75" x14ac:dyDescent="0.25">
      <c r="A150" s="51">
        <v>42796</v>
      </c>
      <c r="B150" s="52" t="s">
        <v>7920</v>
      </c>
      <c r="C150" s="18">
        <v>102928</v>
      </c>
      <c r="D150" s="2" t="s">
        <v>472</v>
      </c>
      <c r="E150" s="15">
        <v>29690.3</v>
      </c>
      <c r="F150" s="59">
        <v>42796</v>
      </c>
      <c r="G150" s="15">
        <f t="shared" si="5"/>
        <v>29690.3</v>
      </c>
      <c r="H150" s="15">
        <f t="shared" si="6"/>
        <v>0</v>
      </c>
      <c r="I150" s="21"/>
    </row>
    <row r="151" spans="1:9" ht="15.75" x14ac:dyDescent="0.25">
      <c r="A151" s="51">
        <v>42796</v>
      </c>
      <c r="B151" s="52" t="s">
        <v>7921</v>
      </c>
      <c r="C151" s="18">
        <v>102929</v>
      </c>
      <c r="D151" s="2" t="s">
        <v>321</v>
      </c>
      <c r="E151" s="15">
        <v>264</v>
      </c>
      <c r="F151" s="59">
        <v>42796</v>
      </c>
      <c r="G151" s="15">
        <f t="shared" si="5"/>
        <v>264</v>
      </c>
      <c r="H151" s="15">
        <f t="shared" si="6"/>
        <v>0</v>
      </c>
      <c r="I151" s="21"/>
    </row>
    <row r="152" spans="1:9" ht="15.75" x14ac:dyDescent="0.25">
      <c r="A152" s="51">
        <v>42796</v>
      </c>
      <c r="B152" s="52" t="s">
        <v>7922</v>
      </c>
      <c r="C152" s="18">
        <v>102930</v>
      </c>
      <c r="D152" s="2" t="s">
        <v>268</v>
      </c>
      <c r="E152" s="15">
        <v>12707.8</v>
      </c>
      <c r="F152" s="59">
        <v>42802</v>
      </c>
      <c r="G152" s="15">
        <f t="shared" si="5"/>
        <v>12707.8</v>
      </c>
      <c r="H152" s="15">
        <f t="shared" si="6"/>
        <v>0</v>
      </c>
      <c r="I152" s="21"/>
    </row>
    <row r="153" spans="1:9" ht="15.75" x14ac:dyDescent="0.25">
      <c r="A153" s="51">
        <v>42796</v>
      </c>
      <c r="B153" s="52" t="s">
        <v>7923</v>
      </c>
      <c r="C153" s="18">
        <v>102931</v>
      </c>
      <c r="D153" s="2" t="s">
        <v>432</v>
      </c>
      <c r="E153" s="15">
        <v>11085.2</v>
      </c>
      <c r="F153" s="59">
        <v>42802</v>
      </c>
      <c r="G153" s="15">
        <f t="shared" si="5"/>
        <v>11085.2</v>
      </c>
      <c r="H153" s="15">
        <f t="shared" si="6"/>
        <v>0</v>
      </c>
      <c r="I153" s="21"/>
    </row>
    <row r="154" spans="1:9" ht="15.75" x14ac:dyDescent="0.25">
      <c r="A154" s="51">
        <v>42796</v>
      </c>
      <c r="B154" s="52" t="s">
        <v>7924</v>
      </c>
      <c r="C154" s="18">
        <v>102932</v>
      </c>
      <c r="D154" s="2" t="s">
        <v>2986</v>
      </c>
      <c r="E154" s="15">
        <v>2945</v>
      </c>
      <c r="G154" s="15">
        <f t="shared" si="5"/>
        <v>2945</v>
      </c>
      <c r="H154" s="15">
        <f t="shared" si="6"/>
        <v>0</v>
      </c>
      <c r="I154" s="21"/>
    </row>
    <row r="155" spans="1:9" ht="15.75" x14ac:dyDescent="0.25">
      <c r="A155" s="51">
        <v>42796</v>
      </c>
      <c r="B155" s="52" t="s">
        <v>7925</v>
      </c>
      <c r="C155" s="18">
        <v>102933</v>
      </c>
      <c r="D155" s="13" t="s">
        <v>1666</v>
      </c>
      <c r="E155" s="14">
        <v>0</v>
      </c>
      <c r="F155" s="102" t="s">
        <v>95</v>
      </c>
      <c r="G155" s="14">
        <f t="shared" si="5"/>
        <v>0</v>
      </c>
      <c r="H155" s="14">
        <f t="shared" si="6"/>
        <v>0</v>
      </c>
      <c r="I155" s="21"/>
    </row>
    <row r="156" spans="1:9" ht="15.75" x14ac:dyDescent="0.25">
      <c r="A156" s="51">
        <v>42796</v>
      </c>
      <c r="B156" s="52" t="s">
        <v>7926</v>
      </c>
      <c r="C156" s="18">
        <v>102934</v>
      </c>
      <c r="D156" s="2" t="s">
        <v>270</v>
      </c>
      <c r="E156" s="15">
        <v>30506.9</v>
      </c>
      <c r="F156" s="59">
        <v>42802</v>
      </c>
      <c r="G156" s="15">
        <f t="shared" si="5"/>
        <v>30506.9</v>
      </c>
      <c r="H156" s="15">
        <f t="shared" si="6"/>
        <v>0</v>
      </c>
      <c r="I156" s="21"/>
    </row>
    <row r="157" spans="1:9" ht="15.75" x14ac:dyDescent="0.25">
      <c r="A157" s="51">
        <v>42796</v>
      </c>
      <c r="B157" s="52" t="s">
        <v>7927</v>
      </c>
      <c r="C157" s="18">
        <v>102935</v>
      </c>
      <c r="D157" s="2" t="s">
        <v>435</v>
      </c>
      <c r="E157" s="15">
        <v>3002.4</v>
      </c>
      <c r="F157" s="59">
        <v>42802</v>
      </c>
      <c r="G157" s="15">
        <f t="shared" si="5"/>
        <v>3002.4</v>
      </c>
      <c r="H157" s="15">
        <f t="shared" si="6"/>
        <v>0</v>
      </c>
      <c r="I157" s="21"/>
    </row>
    <row r="158" spans="1:9" ht="15.75" x14ac:dyDescent="0.25">
      <c r="A158" s="51">
        <v>42796</v>
      </c>
      <c r="B158" s="52" t="s">
        <v>7928</v>
      </c>
      <c r="C158" s="18">
        <v>102936</v>
      </c>
      <c r="D158" s="2" t="s">
        <v>442</v>
      </c>
      <c r="E158" s="15">
        <v>9651.6</v>
      </c>
      <c r="F158" s="59">
        <v>42802</v>
      </c>
      <c r="G158" s="15">
        <f t="shared" si="5"/>
        <v>9651.6</v>
      </c>
      <c r="H158" s="15">
        <f t="shared" si="6"/>
        <v>0</v>
      </c>
      <c r="I158" s="21"/>
    </row>
    <row r="159" spans="1:9" ht="15.75" x14ac:dyDescent="0.25">
      <c r="A159" s="51">
        <v>42796</v>
      </c>
      <c r="B159" s="52" t="s">
        <v>7929</v>
      </c>
      <c r="C159" s="18">
        <v>102937</v>
      </c>
      <c r="D159" s="2" t="s">
        <v>876</v>
      </c>
      <c r="E159" s="15">
        <v>7543.2</v>
      </c>
      <c r="F159" s="59">
        <v>42804</v>
      </c>
      <c r="G159" s="15">
        <f t="shared" si="5"/>
        <v>7543.2</v>
      </c>
      <c r="H159" s="15">
        <f t="shared" si="6"/>
        <v>0</v>
      </c>
      <c r="I159" s="21"/>
    </row>
    <row r="160" spans="1:9" ht="15.75" x14ac:dyDescent="0.25">
      <c r="A160" s="51">
        <v>42796</v>
      </c>
      <c r="B160" s="52" t="s">
        <v>7930</v>
      </c>
      <c r="C160" s="18">
        <v>102938</v>
      </c>
      <c r="D160" s="2" t="s">
        <v>1797</v>
      </c>
      <c r="E160" s="15">
        <v>4039.2</v>
      </c>
      <c r="F160" s="59">
        <v>42802</v>
      </c>
      <c r="G160" s="15">
        <f t="shared" si="5"/>
        <v>4039.2</v>
      </c>
      <c r="H160" s="15">
        <f t="shared" si="6"/>
        <v>0</v>
      </c>
      <c r="I160" s="21"/>
    </row>
    <row r="161" spans="1:9" ht="15.75" x14ac:dyDescent="0.25">
      <c r="A161" s="51">
        <v>42796</v>
      </c>
      <c r="B161" s="52" t="s">
        <v>7931</v>
      </c>
      <c r="C161" s="18">
        <v>102939</v>
      </c>
      <c r="D161" s="2" t="s">
        <v>272</v>
      </c>
      <c r="E161" s="15">
        <v>1283.8</v>
      </c>
      <c r="F161" s="59">
        <v>42802</v>
      </c>
      <c r="G161" s="15">
        <f t="shared" si="5"/>
        <v>1283.8</v>
      </c>
      <c r="H161" s="15">
        <f t="shared" si="6"/>
        <v>0</v>
      </c>
      <c r="I161" s="21"/>
    </row>
    <row r="162" spans="1:9" ht="15.75" x14ac:dyDescent="0.25">
      <c r="A162" s="51">
        <v>42796</v>
      </c>
      <c r="B162" s="52" t="s">
        <v>7932</v>
      </c>
      <c r="C162" s="18">
        <v>102940</v>
      </c>
      <c r="D162" s="2" t="s">
        <v>1666</v>
      </c>
      <c r="E162" s="15">
        <v>9132</v>
      </c>
      <c r="F162" s="59">
        <v>42802</v>
      </c>
      <c r="G162" s="15">
        <f t="shared" si="5"/>
        <v>9132</v>
      </c>
      <c r="H162" s="15">
        <f t="shared" si="6"/>
        <v>0</v>
      </c>
      <c r="I162" s="21"/>
    </row>
    <row r="163" spans="1:9" ht="15.75" x14ac:dyDescent="0.25">
      <c r="A163" s="51">
        <v>42796</v>
      </c>
      <c r="B163" s="52" t="s">
        <v>7933</v>
      </c>
      <c r="C163" s="18">
        <v>102941</v>
      </c>
      <c r="D163" s="2" t="s">
        <v>35</v>
      </c>
      <c r="E163" s="15">
        <v>528.64</v>
      </c>
      <c r="F163" s="59">
        <v>42796</v>
      </c>
      <c r="G163" s="15">
        <f t="shared" si="5"/>
        <v>528.64</v>
      </c>
      <c r="H163" s="15">
        <f t="shared" si="6"/>
        <v>0</v>
      </c>
      <c r="I163" s="21"/>
    </row>
    <row r="164" spans="1:9" ht="15.75" x14ac:dyDescent="0.25">
      <c r="A164" s="51">
        <v>42796</v>
      </c>
      <c r="B164" s="52" t="s">
        <v>7934</v>
      </c>
      <c r="C164" s="18">
        <v>102942</v>
      </c>
      <c r="D164" s="2" t="s">
        <v>30</v>
      </c>
      <c r="E164" s="15">
        <v>1171.2</v>
      </c>
      <c r="F164" s="59">
        <v>42796</v>
      </c>
      <c r="G164" s="15">
        <f t="shared" si="5"/>
        <v>1171.2</v>
      </c>
      <c r="H164" s="15">
        <f t="shared" si="6"/>
        <v>0</v>
      </c>
      <c r="I164" s="21"/>
    </row>
    <row r="165" spans="1:9" ht="15.75" x14ac:dyDescent="0.25">
      <c r="A165" s="51">
        <v>42796</v>
      </c>
      <c r="B165" s="52" t="s">
        <v>7935</v>
      </c>
      <c r="C165" s="18">
        <v>102943</v>
      </c>
      <c r="D165" s="2" t="s">
        <v>30</v>
      </c>
      <c r="E165" s="15">
        <v>811.2</v>
      </c>
      <c r="F165" s="59">
        <v>42796</v>
      </c>
      <c r="G165" s="15">
        <f t="shared" si="5"/>
        <v>811.2</v>
      </c>
      <c r="H165" s="15">
        <f t="shared" si="6"/>
        <v>0</v>
      </c>
      <c r="I165" s="21"/>
    </row>
    <row r="166" spans="1:9" ht="15.75" x14ac:dyDescent="0.25">
      <c r="A166" s="51">
        <v>42796</v>
      </c>
      <c r="B166" s="52" t="s">
        <v>7936</v>
      </c>
      <c r="C166" s="18">
        <v>102944</v>
      </c>
      <c r="D166" s="2" t="s">
        <v>693</v>
      </c>
      <c r="E166" s="15">
        <v>80296.5</v>
      </c>
      <c r="F166" s="59">
        <v>42796</v>
      </c>
      <c r="G166" s="15">
        <f t="shared" si="5"/>
        <v>80296.5</v>
      </c>
      <c r="H166" s="15">
        <f t="shared" si="6"/>
        <v>0</v>
      </c>
      <c r="I166" s="21"/>
    </row>
    <row r="167" spans="1:9" ht="15.75" x14ac:dyDescent="0.25">
      <c r="A167" s="51">
        <v>42796</v>
      </c>
      <c r="B167" s="52" t="s">
        <v>7937</v>
      </c>
      <c r="C167" s="18">
        <v>102945</v>
      </c>
      <c r="D167" s="2" t="s">
        <v>147</v>
      </c>
      <c r="E167" s="15">
        <v>24718.400000000001</v>
      </c>
      <c r="F167" s="59">
        <v>42796</v>
      </c>
      <c r="G167" s="15">
        <f t="shared" si="5"/>
        <v>24718.400000000001</v>
      </c>
      <c r="H167" s="15">
        <f t="shared" si="6"/>
        <v>0</v>
      </c>
      <c r="I167" s="21"/>
    </row>
    <row r="168" spans="1:9" ht="15.75" x14ac:dyDescent="0.25">
      <c r="A168" s="51">
        <v>42796</v>
      </c>
      <c r="B168" s="52" t="s">
        <v>7938</v>
      </c>
      <c r="C168" s="18">
        <v>102946</v>
      </c>
      <c r="D168" s="2" t="s">
        <v>182</v>
      </c>
      <c r="E168" s="15">
        <v>3698.4</v>
      </c>
      <c r="F168" s="59">
        <v>42796</v>
      </c>
      <c r="G168" s="15">
        <f t="shared" si="5"/>
        <v>3698.4</v>
      </c>
      <c r="H168" s="15">
        <f t="shared" si="6"/>
        <v>0</v>
      </c>
      <c r="I168" s="21"/>
    </row>
    <row r="169" spans="1:9" ht="15.75" x14ac:dyDescent="0.25">
      <c r="A169" s="51">
        <v>42796</v>
      </c>
      <c r="B169" s="52" t="s">
        <v>7939</v>
      </c>
      <c r="C169" s="18">
        <v>102947</v>
      </c>
      <c r="D169" s="2" t="s">
        <v>193</v>
      </c>
      <c r="E169" s="15">
        <v>1881</v>
      </c>
      <c r="F169" s="59">
        <v>42796</v>
      </c>
      <c r="G169" s="15">
        <f t="shared" si="5"/>
        <v>1881</v>
      </c>
      <c r="H169" s="15">
        <f t="shared" si="6"/>
        <v>0</v>
      </c>
      <c r="I169" s="21"/>
    </row>
    <row r="170" spans="1:9" ht="15.75" x14ac:dyDescent="0.25">
      <c r="A170" s="51">
        <v>42796</v>
      </c>
      <c r="B170" s="52" t="s">
        <v>7940</v>
      </c>
      <c r="C170" s="18">
        <v>102948</v>
      </c>
      <c r="D170" s="2" t="s">
        <v>405</v>
      </c>
      <c r="E170" s="15">
        <v>4981.2</v>
      </c>
      <c r="F170" s="59">
        <v>42796</v>
      </c>
      <c r="G170" s="15">
        <f t="shared" si="5"/>
        <v>4981.2</v>
      </c>
      <c r="H170" s="15">
        <f t="shared" si="6"/>
        <v>0</v>
      </c>
      <c r="I170" s="21"/>
    </row>
    <row r="171" spans="1:9" ht="15.75" x14ac:dyDescent="0.25">
      <c r="A171" s="51">
        <v>42796</v>
      </c>
      <c r="B171" s="52" t="s">
        <v>7941</v>
      </c>
      <c r="C171" s="18">
        <v>102949</v>
      </c>
      <c r="D171" s="13" t="s">
        <v>231</v>
      </c>
      <c r="E171" s="14">
        <v>0</v>
      </c>
      <c r="F171" s="102" t="s">
        <v>95</v>
      </c>
      <c r="G171" s="14">
        <f t="shared" si="5"/>
        <v>0</v>
      </c>
      <c r="H171" s="14">
        <f t="shared" si="6"/>
        <v>0</v>
      </c>
      <c r="I171" s="21"/>
    </row>
    <row r="172" spans="1:9" ht="15.75" x14ac:dyDescent="0.25">
      <c r="A172" s="51">
        <v>42796</v>
      </c>
      <c r="B172" s="52" t="s">
        <v>7942</v>
      </c>
      <c r="C172" s="18">
        <v>102950</v>
      </c>
      <c r="D172" s="2" t="s">
        <v>3997</v>
      </c>
      <c r="E172" s="15">
        <v>4230</v>
      </c>
      <c r="F172" s="59">
        <v>42798</v>
      </c>
      <c r="G172" s="15">
        <f t="shared" si="5"/>
        <v>4230</v>
      </c>
      <c r="H172" s="15">
        <f t="shared" si="6"/>
        <v>0</v>
      </c>
      <c r="I172" s="21"/>
    </row>
    <row r="173" spans="1:9" ht="15.75" x14ac:dyDescent="0.25">
      <c r="A173" s="51">
        <v>42796</v>
      </c>
      <c r="B173" s="52" t="s">
        <v>7943</v>
      </c>
      <c r="C173" s="18">
        <v>102951</v>
      </c>
      <c r="D173" s="2" t="s">
        <v>2240</v>
      </c>
      <c r="E173" s="15">
        <v>3658.8</v>
      </c>
      <c r="F173" s="59">
        <v>42796</v>
      </c>
      <c r="G173" s="15">
        <f t="shared" si="5"/>
        <v>3658.8</v>
      </c>
      <c r="H173" s="15">
        <f t="shared" si="6"/>
        <v>0</v>
      </c>
      <c r="I173" s="21"/>
    </row>
    <row r="174" spans="1:9" ht="15.75" x14ac:dyDescent="0.25">
      <c r="A174" s="51">
        <v>42796</v>
      </c>
      <c r="B174" s="52" t="s">
        <v>7944</v>
      </c>
      <c r="C174" s="18">
        <v>102952</v>
      </c>
      <c r="D174" s="13" t="s">
        <v>2240</v>
      </c>
      <c r="E174" s="14">
        <v>0</v>
      </c>
      <c r="F174" s="102" t="s">
        <v>95</v>
      </c>
      <c r="G174" s="14">
        <f t="shared" si="5"/>
        <v>0</v>
      </c>
      <c r="H174" s="14">
        <f t="shared" si="6"/>
        <v>0</v>
      </c>
      <c r="I174" s="21"/>
    </row>
    <row r="175" spans="1:9" ht="15.75" x14ac:dyDescent="0.25">
      <c r="A175" s="51">
        <v>42796</v>
      </c>
      <c r="B175" s="52" t="s">
        <v>7945</v>
      </c>
      <c r="C175" s="18">
        <v>102953</v>
      </c>
      <c r="D175" s="2" t="s">
        <v>2240</v>
      </c>
      <c r="E175" s="15">
        <v>2904.2</v>
      </c>
      <c r="F175" s="59">
        <v>42796</v>
      </c>
      <c r="G175" s="15">
        <f t="shared" si="5"/>
        <v>2904.2</v>
      </c>
      <c r="H175" s="15">
        <f t="shared" si="6"/>
        <v>0</v>
      </c>
      <c r="I175" s="21"/>
    </row>
    <row r="176" spans="1:9" ht="15.75" x14ac:dyDescent="0.25">
      <c r="A176" s="51">
        <v>42796</v>
      </c>
      <c r="B176" s="52" t="s">
        <v>7946</v>
      </c>
      <c r="C176" s="18">
        <v>102954</v>
      </c>
      <c r="D176" s="2" t="s">
        <v>2736</v>
      </c>
      <c r="E176" s="15">
        <v>1095</v>
      </c>
      <c r="F176" s="59">
        <v>42796</v>
      </c>
      <c r="G176" s="15">
        <f t="shared" si="5"/>
        <v>1095</v>
      </c>
      <c r="H176" s="15">
        <f t="shared" si="6"/>
        <v>0</v>
      </c>
      <c r="I176" s="21"/>
    </row>
    <row r="177" spans="1:9" ht="15.75" x14ac:dyDescent="0.25">
      <c r="A177" s="51">
        <v>42796</v>
      </c>
      <c r="B177" s="52" t="s">
        <v>7947</v>
      </c>
      <c r="C177" s="18">
        <v>102955</v>
      </c>
      <c r="D177" s="2" t="s">
        <v>1380</v>
      </c>
      <c r="E177" s="15">
        <v>4613.3999999999996</v>
      </c>
      <c r="F177" s="59" t="s">
        <v>3806</v>
      </c>
      <c r="G177" s="15">
        <f t="shared" si="5"/>
        <v>4613.3999999999996</v>
      </c>
      <c r="H177" s="15">
        <f t="shared" si="6"/>
        <v>0</v>
      </c>
      <c r="I177" s="21"/>
    </row>
    <row r="178" spans="1:9" ht="15.75" x14ac:dyDescent="0.25">
      <c r="A178" s="51">
        <v>42796</v>
      </c>
      <c r="B178" s="52" t="s">
        <v>7948</v>
      </c>
      <c r="C178" s="18">
        <v>102956</v>
      </c>
      <c r="D178" s="2" t="s">
        <v>289</v>
      </c>
      <c r="E178" s="15">
        <v>11609.3</v>
      </c>
      <c r="F178" s="59">
        <v>42818</v>
      </c>
      <c r="G178" s="15">
        <f t="shared" si="5"/>
        <v>11609.3</v>
      </c>
      <c r="H178" s="15">
        <f t="shared" si="6"/>
        <v>0</v>
      </c>
      <c r="I178" s="21"/>
    </row>
    <row r="179" spans="1:9" ht="15.75" x14ac:dyDescent="0.25">
      <c r="A179" s="51">
        <v>42796</v>
      </c>
      <c r="B179" s="52" t="s">
        <v>7949</v>
      </c>
      <c r="C179" s="18">
        <v>102957</v>
      </c>
      <c r="D179" s="2" t="s">
        <v>289</v>
      </c>
      <c r="E179" s="15">
        <v>30505.200000000001</v>
      </c>
      <c r="F179" s="59">
        <v>42818</v>
      </c>
      <c r="G179" s="15">
        <f t="shared" si="5"/>
        <v>30505.200000000001</v>
      </c>
      <c r="H179" s="15">
        <f t="shared" si="6"/>
        <v>0</v>
      </c>
      <c r="I179" s="21"/>
    </row>
    <row r="180" spans="1:9" ht="15.75" x14ac:dyDescent="0.25">
      <c r="A180" s="51">
        <v>42796</v>
      </c>
      <c r="B180" s="52" t="s">
        <v>7950</v>
      </c>
      <c r="C180" s="18">
        <v>102958</v>
      </c>
      <c r="D180" s="2" t="s">
        <v>10</v>
      </c>
      <c r="E180" s="15">
        <v>61066.2</v>
      </c>
      <c r="F180" s="59">
        <v>42802</v>
      </c>
      <c r="G180" s="15">
        <f t="shared" si="5"/>
        <v>61066.2</v>
      </c>
      <c r="H180" s="15">
        <f t="shared" si="6"/>
        <v>0</v>
      </c>
      <c r="I180" s="21"/>
    </row>
    <row r="181" spans="1:9" ht="15.75" x14ac:dyDescent="0.25">
      <c r="A181" s="51">
        <v>42796</v>
      </c>
      <c r="B181" s="52" t="s">
        <v>7951</v>
      </c>
      <c r="C181" s="18">
        <v>102959</v>
      </c>
      <c r="D181" s="2" t="s">
        <v>30</v>
      </c>
      <c r="E181" s="15">
        <v>808.4</v>
      </c>
      <c r="F181" s="59">
        <v>42796</v>
      </c>
      <c r="G181" s="15">
        <f t="shared" si="5"/>
        <v>808.4</v>
      </c>
      <c r="H181" s="15">
        <f t="shared" si="6"/>
        <v>0</v>
      </c>
      <c r="I181" s="21"/>
    </row>
    <row r="182" spans="1:9" ht="15.75" x14ac:dyDescent="0.25">
      <c r="A182" s="51">
        <v>42796</v>
      </c>
      <c r="B182" s="52" t="s">
        <v>7952</v>
      </c>
      <c r="C182" s="18">
        <v>102960</v>
      </c>
      <c r="D182" s="2" t="s">
        <v>10</v>
      </c>
      <c r="E182" s="15">
        <v>326930.06</v>
      </c>
      <c r="F182" s="59">
        <v>42802</v>
      </c>
      <c r="G182" s="15">
        <f t="shared" si="5"/>
        <v>326930.06</v>
      </c>
      <c r="H182" s="15">
        <f t="shared" si="6"/>
        <v>0</v>
      </c>
      <c r="I182" s="21"/>
    </row>
    <row r="183" spans="1:9" ht="15.75" x14ac:dyDescent="0.25">
      <c r="A183" s="51">
        <v>42796</v>
      </c>
      <c r="B183" s="52" t="s">
        <v>7953</v>
      </c>
      <c r="C183" s="18">
        <v>102961</v>
      </c>
      <c r="D183" s="13" t="s">
        <v>7954</v>
      </c>
      <c r="E183" s="14">
        <v>0</v>
      </c>
      <c r="F183" s="102" t="s">
        <v>95</v>
      </c>
      <c r="G183" s="14">
        <f t="shared" si="5"/>
        <v>0</v>
      </c>
      <c r="H183" s="14">
        <f t="shared" si="6"/>
        <v>0</v>
      </c>
      <c r="I183" s="21"/>
    </row>
    <row r="184" spans="1:9" ht="15.75" x14ac:dyDescent="0.25">
      <c r="A184" s="51">
        <v>42796</v>
      </c>
      <c r="B184" s="52" t="s">
        <v>7955</v>
      </c>
      <c r="C184" s="18">
        <v>102962</v>
      </c>
      <c r="D184" s="2" t="s">
        <v>7954</v>
      </c>
      <c r="E184" s="15">
        <v>828</v>
      </c>
      <c r="F184" s="59">
        <v>42796</v>
      </c>
      <c r="G184" s="15">
        <f t="shared" si="5"/>
        <v>828</v>
      </c>
      <c r="H184" s="15">
        <f t="shared" si="6"/>
        <v>0</v>
      </c>
      <c r="I184" s="21"/>
    </row>
    <row r="185" spans="1:9" ht="15.75" x14ac:dyDescent="0.25">
      <c r="A185" s="51">
        <v>42796</v>
      </c>
      <c r="B185" s="52" t="s">
        <v>7956</v>
      </c>
      <c r="C185" s="18">
        <v>102963</v>
      </c>
      <c r="D185" s="2" t="s">
        <v>651</v>
      </c>
      <c r="E185" s="15">
        <v>40858.6</v>
      </c>
      <c r="F185" s="59">
        <v>42796</v>
      </c>
      <c r="G185" s="15">
        <f t="shared" si="5"/>
        <v>40858.6</v>
      </c>
      <c r="H185" s="15">
        <f t="shared" si="6"/>
        <v>0</v>
      </c>
      <c r="I185" s="21"/>
    </row>
    <row r="186" spans="1:9" ht="15.75" x14ac:dyDescent="0.25">
      <c r="A186" s="51">
        <v>42796</v>
      </c>
      <c r="B186" s="52" t="s">
        <v>7957</v>
      </c>
      <c r="C186" s="18">
        <v>102964</v>
      </c>
      <c r="D186" s="2" t="s">
        <v>55</v>
      </c>
      <c r="E186" s="15">
        <v>7370.8</v>
      </c>
      <c r="F186" s="59">
        <v>42796</v>
      </c>
      <c r="G186" s="15">
        <f t="shared" si="5"/>
        <v>7370.8</v>
      </c>
      <c r="H186" s="15">
        <f t="shared" si="6"/>
        <v>0</v>
      </c>
      <c r="I186" s="21"/>
    </row>
    <row r="187" spans="1:9" ht="15.75" x14ac:dyDescent="0.25">
      <c r="A187" s="51">
        <v>42796</v>
      </c>
      <c r="B187" s="52" t="s">
        <v>7958</v>
      </c>
      <c r="C187" s="18">
        <v>102965</v>
      </c>
      <c r="D187" s="2" t="s">
        <v>923</v>
      </c>
      <c r="E187" s="15">
        <v>17602</v>
      </c>
      <c r="F187" s="59">
        <v>42805</v>
      </c>
      <c r="G187" s="15">
        <f t="shared" si="5"/>
        <v>17602</v>
      </c>
      <c r="H187" s="15">
        <f t="shared" si="6"/>
        <v>0</v>
      </c>
      <c r="I187" s="19"/>
    </row>
    <row r="188" spans="1:9" ht="15.75" x14ac:dyDescent="0.25">
      <c r="A188" s="51">
        <v>42796</v>
      </c>
      <c r="B188" s="52" t="s">
        <v>7959</v>
      </c>
      <c r="C188" s="18">
        <v>102966</v>
      </c>
      <c r="D188" s="2" t="s">
        <v>1325</v>
      </c>
      <c r="E188" s="15">
        <v>3689.8</v>
      </c>
      <c r="F188" s="59" t="s">
        <v>3806</v>
      </c>
      <c r="G188" s="15">
        <f t="shared" si="5"/>
        <v>3689.8</v>
      </c>
      <c r="H188" s="15">
        <f t="shared" si="6"/>
        <v>0</v>
      </c>
      <c r="I188" s="21"/>
    </row>
    <row r="189" spans="1:9" ht="15.75" x14ac:dyDescent="0.25">
      <c r="A189" s="51">
        <v>42796</v>
      </c>
      <c r="B189" s="52" t="s">
        <v>7960</v>
      </c>
      <c r="C189" s="18">
        <v>102967</v>
      </c>
      <c r="D189" s="2" t="s">
        <v>10</v>
      </c>
      <c r="E189" s="15">
        <v>20918</v>
      </c>
      <c r="F189" s="59">
        <v>42802</v>
      </c>
      <c r="G189" s="15">
        <f t="shared" si="5"/>
        <v>20918</v>
      </c>
      <c r="H189" s="15">
        <f t="shared" si="6"/>
        <v>0</v>
      </c>
      <c r="I189" s="21"/>
    </row>
    <row r="190" spans="1:9" ht="15.75" x14ac:dyDescent="0.25">
      <c r="A190" s="51">
        <v>42796</v>
      </c>
      <c r="B190" s="52" t="s">
        <v>7961</v>
      </c>
      <c r="C190" s="18">
        <v>102968</v>
      </c>
      <c r="D190" s="2" t="s">
        <v>937</v>
      </c>
      <c r="E190" s="15">
        <v>3340.8</v>
      </c>
      <c r="F190" s="59">
        <v>42796</v>
      </c>
      <c r="G190" s="15">
        <f t="shared" si="5"/>
        <v>3340.8</v>
      </c>
      <c r="H190" s="15">
        <f t="shared" si="6"/>
        <v>0</v>
      </c>
      <c r="I190" s="21"/>
    </row>
    <row r="191" spans="1:9" ht="15.75" x14ac:dyDescent="0.25">
      <c r="A191" s="51">
        <v>42796</v>
      </c>
      <c r="B191" s="52" t="s">
        <v>7962</v>
      </c>
      <c r="C191" s="18">
        <v>102969</v>
      </c>
      <c r="D191" s="2" t="s">
        <v>10</v>
      </c>
      <c r="E191" s="15">
        <v>7686</v>
      </c>
      <c r="F191" s="59">
        <v>42802</v>
      </c>
      <c r="G191" s="15">
        <f t="shared" si="5"/>
        <v>7686</v>
      </c>
      <c r="H191" s="15">
        <f t="shared" si="6"/>
        <v>0</v>
      </c>
      <c r="I191" s="21"/>
    </row>
    <row r="192" spans="1:9" ht="15.75" x14ac:dyDescent="0.25">
      <c r="A192" s="51">
        <v>42796</v>
      </c>
      <c r="B192" s="52" t="s">
        <v>7963</v>
      </c>
      <c r="C192" s="18">
        <v>102970</v>
      </c>
      <c r="D192" s="2" t="s">
        <v>321</v>
      </c>
      <c r="E192" s="15">
        <v>414</v>
      </c>
      <c r="F192" s="59">
        <v>42796</v>
      </c>
      <c r="G192" s="15">
        <f t="shared" si="5"/>
        <v>414</v>
      </c>
      <c r="H192" s="15">
        <f t="shared" si="6"/>
        <v>0</v>
      </c>
      <c r="I192" s="21"/>
    </row>
    <row r="193" spans="1:9" ht="15.75" x14ac:dyDescent="0.25">
      <c r="A193" s="51">
        <v>42796</v>
      </c>
      <c r="B193" s="52" t="s">
        <v>7964</v>
      </c>
      <c r="C193" s="18">
        <v>102971</v>
      </c>
      <c r="D193" s="2" t="s">
        <v>30</v>
      </c>
      <c r="E193" s="15">
        <v>1816.8</v>
      </c>
      <c r="F193" s="59">
        <v>42796</v>
      </c>
      <c r="G193" s="15">
        <f t="shared" si="5"/>
        <v>1816.8</v>
      </c>
      <c r="H193" s="15">
        <f t="shared" si="6"/>
        <v>0</v>
      </c>
      <c r="I193" s="21"/>
    </row>
    <row r="194" spans="1:9" ht="15.75" x14ac:dyDescent="0.25">
      <c r="A194" s="51">
        <v>42796</v>
      </c>
      <c r="B194" s="52" t="s">
        <v>7965</v>
      </c>
      <c r="C194" s="18">
        <v>102972</v>
      </c>
      <c r="D194" s="2" t="s">
        <v>222</v>
      </c>
      <c r="E194" s="15">
        <v>239778</v>
      </c>
      <c r="F194" s="59" t="s">
        <v>3806</v>
      </c>
      <c r="G194" s="15">
        <f t="shared" si="5"/>
        <v>239778</v>
      </c>
      <c r="H194" s="15">
        <f t="shared" si="6"/>
        <v>0</v>
      </c>
      <c r="I194" s="21"/>
    </row>
    <row r="195" spans="1:9" ht="15.75" x14ac:dyDescent="0.25">
      <c r="A195" s="51">
        <v>42796</v>
      </c>
      <c r="B195" s="52" t="s">
        <v>7966</v>
      </c>
      <c r="C195" s="18">
        <v>102973</v>
      </c>
      <c r="D195" s="13" t="s">
        <v>222</v>
      </c>
      <c r="E195" s="14">
        <v>0</v>
      </c>
      <c r="F195" s="102" t="s">
        <v>95</v>
      </c>
      <c r="G195" s="14">
        <f t="shared" si="5"/>
        <v>0</v>
      </c>
      <c r="H195" s="14">
        <f t="shared" si="6"/>
        <v>0</v>
      </c>
      <c r="I195" s="21"/>
    </row>
    <row r="196" spans="1:9" ht="15.75" x14ac:dyDescent="0.25">
      <c r="A196" s="51">
        <v>42796</v>
      </c>
      <c r="B196" s="52" t="s">
        <v>7967</v>
      </c>
      <c r="C196" s="18">
        <v>102974</v>
      </c>
      <c r="D196" s="2" t="s">
        <v>266</v>
      </c>
      <c r="E196" s="15">
        <v>11316</v>
      </c>
      <c r="F196" s="59" t="s">
        <v>3806</v>
      </c>
      <c r="G196" s="15">
        <f t="shared" ref="G196:G259" si="7">E196</f>
        <v>11316</v>
      </c>
      <c r="H196" s="15">
        <f t="shared" ref="H196:H259" si="8">E196-G196</f>
        <v>0</v>
      </c>
      <c r="I196" s="21"/>
    </row>
    <row r="197" spans="1:9" ht="15.75" x14ac:dyDescent="0.25">
      <c r="A197" s="51">
        <v>42796</v>
      </c>
      <c r="B197" s="52" t="s">
        <v>7968</v>
      </c>
      <c r="C197" s="18">
        <v>102975</v>
      </c>
      <c r="D197" s="2" t="s">
        <v>1197</v>
      </c>
      <c r="E197" s="15">
        <v>3832.4</v>
      </c>
      <c r="F197" s="59">
        <v>42798</v>
      </c>
      <c r="G197" s="15">
        <f t="shared" si="7"/>
        <v>3832.4</v>
      </c>
      <c r="H197" s="15">
        <f t="shared" si="8"/>
        <v>0</v>
      </c>
      <c r="I197" s="21"/>
    </row>
    <row r="198" spans="1:9" ht="15.75" x14ac:dyDescent="0.25">
      <c r="A198" s="51">
        <v>42796</v>
      </c>
      <c r="B198" s="52" t="s">
        <v>7969</v>
      </c>
      <c r="C198" s="18">
        <v>102976</v>
      </c>
      <c r="D198" s="2" t="s">
        <v>675</v>
      </c>
      <c r="E198" s="15">
        <v>2209.1999999999998</v>
      </c>
      <c r="F198" s="59">
        <v>42798</v>
      </c>
      <c r="G198" s="15">
        <f t="shared" si="7"/>
        <v>2209.1999999999998</v>
      </c>
      <c r="H198" s="15">
        <f t="shared" si="8"/>
        <v>0</v>
      </c>
      <c r="I198" s="21"/>
    </row>
    <row r="199" spans="1:9" ht="15.75" x14ac:dyDescent="0.25">
      <c r="A199" s="51">
        <v>42796</v>
      </c>
      <c r="B199" s="52" t="s">
        <v>7970</v>
      </c>
      <c r="C199" s="18">
        <v>102977</v>
      </c>
      <c r="D199" s="2" t="s">
        <v>222</v>
      </c>
      <c r="E199" s="15">
        <v>31436.400000000001</v>
      </c>
      <c r="F199" s="59">
        <v>42800</v>
      </c>
      <c r="G199" s="15">
        <f t="shared" si="7"/>
        <v>31436.400000000001</v>
      </c>
      <c r="H199" s="15">
        <f t="shared" si="8"/>
        <v>0</v>
      </c>
      <c r="I199" s="21"/>
    </row>
    <row r="200" spans="1:9" ht="15.75" x14ac:dyDescent="0.25">
      <c r="A200" s="51">
        <v>42796</v>
      </c>
      <c r="B200" s="52" t="s">
        <v>7971</v>
      </c>
      <c r="C200" s="18">
        <v>102978</v>
      </c>
      <c r="D200" s="2" t="s">
        <v>680</v>
      </c>
      <c r="E200" s="15">
        <v>2417.6</v>
      </c>
      <c r="F200" s="59">
        <v>42798</v>
      </c>
      <c r="G200" s="15">
        <f t="shared" si="7"/>
        <v>2417.6</v>
      </c>
      <c r="H200" s="15">
        <f t="shared" si="8"/>
        <v>0</v>
      </c>
      <c r="I200" s="21"/>
    </row>
    <row r="201" spans="1:9" ht="15.75" x14ac:dyDescent="0.25">
      <c r="A201" s="51">
        <v>42796</v>
      </c>
      <c r="B201" s="52" t="s">
        <v>7972</v>
      </c>
      <c r="C201" s="18">
        <v>102979</v>
      </c>
      <c r="D201" s="2" t="s">
        <v>677</v>
      </c>
      <c r="E201" s="15">
        <v>2704.7</v>
      </c>
      <c r="F201" s="59">
        <v>42798</v>
      </c>
      <c r="G201" s="15">
        <f t="shared" si="7"/>
        <v>2704.7</v>
      </c>
      <c r="H201" s="15">
        <f t="shared" si="8"/>
        <v>0</v>
      </c>
      <c r="I201" s="21"/>
    </row>
    <row r="202" spans="1:9" ht="15.75" x14ac:dyDescent="0.25">
      <c r="A202" s="51">
        <v>42796</v>
      </c>
      <c r="B202" s="52" t="s">
        <v>7973</v>
      </c>
      <c r="C202" s="18">
        <v>102980</v>
      </c>
      <c r="D202" s="2" t="s">
        <v>921</v>
      </c>
      <c r="E202" s="15">
        <v>4391.1000000000004</v>
      </c>
      <c r="F202" s="59" t="s">
        <v>3806</v>
      </c>
      <c r="G202" s="15">
        <f t="shared" si="7"/>
        <v>4391.1000000000004</v>
      </c>
      <c r="H202" s="15">
        <f t="shared" si="8"/>
        <v>0</v>
      </c>
      <c r="I202" s="21"/>
    </row>
    <row r="203" spans="1:9" ht="15.75" x14ac:dyDescent="0.25">
      <c r="A203" s="51">
        <v>42796</v>
      </c>
      <c r="B203" s="52" t="s">
        <v>7974</v>
      </c>
      <c r="C203" s="18">
        <v>102981</v>
      </c>
      <c r="D203" s="2" t="s">
        <v>231</v>
      </c>
      <c r="E203" s="15">
        <v>2480.8000000000002</v>
      </c>
      <c r="F203" s="59" t="s">
        <v>3806</v>
      </c>
      <c r="G203" s="15">
        <f t="shared" si="7"/>
        <v>2480.8000000000002</v>
      </c>
      <c r="H203" s="15">
        <f t="shared" si="8"/>
        <v>0</v>
      </c>
      <c r="I203" s="21"/>
    </row>
    <row r="204" spans="1:9" ht="15.75" x14ac:dyDescent="0.25">
      <c r="A204" s="51">
        <v>42796</v>
      </c>
      <c r="B204" s="52" t="s">
        <v>7975</v>
      </c>
      <c r="C204" s="18">
        <v>102982</v>
      </c>
      <c r="D204" s="2" t="s">
        <v>211</v>
      </c>
      <c r="E204" s="15">
        <v>8676.7999999999993</v>
      </c>
      <c r="F204" s="59">
        <v>42796</v>
      </c>
      <c r="G204" s="15">
        <f t="shared" si="7"/>
        <v>8676.7999999999993</v>
      </c>
      <c r="H204" s="15">
        <f t="shared" si="8"/>
        <v>0</v>
      </c>
      <c r="I204" s="21"/>
    </row>
    <row r="205" spans="1:9" ht="15.75" x14ac:dyDescent="0.25">
      <c r="A205" s="51">
        <v>42796</v>
      </c>
      <c r="B205" s="52" t="s">
        <v>7976</v>
      </c>
      <c r="C205" s="18">
        <v>102983</v>
      </c>
      <c r="D205" s="2" t="s">
        <v>4038</v>
      </c>
      <c r="E205" s="15">
        <v>4677.7</v>
      </c>
      <c r="F205" s="59">
        <v>42798</v>
      </c>
      <c r="G205" s="15">
        <f t="shared" si="7"/>
        <v>4677.7</v>
      </c>
      <c r="H205" s="15">
        <f t="shared" si="8"/>
        <v>0</v>
      </c>
      <c r="I205" s="21"/>
    </row>
    <row r="206" spans="1:9" ht="15.75" x14ac:dyDescent="0.25">
      <c r="A206" s="51">
        <v>42796</v>
      </c>
      <c r="B206" s="52" t="s">
        <v>7977</v>
      </c>
      <c r="C206" s="18">
        <v>102984</v>
      </c>
      <c r="D206" s="2" t="s">
        <v>688</v>
      </c>
      <c r="E206" s="15">
        <v>4573.3</v>
      </c>
      <c r="F206" s="59">
        <v>42798</v>
      </c>
      <c r="G206" s="15">
        <f t="shared" si="7"/>
        <v>4573.3</v>
      </c>
      <c r="H206" s="15">
        <f t="shared" si="8"/>
        <v>0</v>
      </c>
      <c r="I206" s="21"/>
    </row>
    <row r="207" spans="1:9" ht="15.75" x14ac:dyDescent="0.25">
      <c r="A207" s="51">
        <v>42796</v>
      </c>
      <c r="B207" s="52" t="s">
        <v>7978</v>
      </c>
      <c r="C207" s="18">
        <v>102985</v>
      </c>
      <c r="D207" s="2" t="s">
        <v>686</v>
      </c>
      <c r="E207" s="15">
        <v>16937.5</v>
      </c>
      <c r="F207" s="59">
        <v>42798</v>
      </c>
      <c r="G207" s="15">
        <f t="shared" si="7"/>
        <v>16937.5</v>
      </c>
      <c r="H207" s="15">
        <f t="shared" si="8"/>
        <v>0</v>
      </c>
      <c r="I207" s="21"/>
    </row>
    <row r="208" spans="1:9" ht="15.75" x14ac:dyDescent="0.25">
      <c r="A208" s="51">
        <v>42796</v>
      </c>
      <c r="B208" s="52" t="s">
        <v>7979</v>
      </c>
      <c r="C208" s="18">
        <v>102986</v>
      </c>
      <c r="D208" s="2" t="s">
        <v>670</v>
      </c>
      <c r="E208" s="15">
        <v>122327.37</v>
      </c>
      <c r="F208" s="59">
        <v>42802</v>
      </c>
      <c r="G208" s="15">
        <f t="shared" si="7"/>
        <v>122327.37</v>
      </c>
      <c r="H208" s="15">
        <f t="shared" si="8"/>
        <v>0</v>
      </c>
      <c r="I208" s="21"/>
    </row>
    <row r="209" spans="1:9" ht="15.75" x14ac:dyDescent="0.25">
      <c r="A209" s="51">
        <v>42796</v>
      </c>
      <c r="B209" s="52" t="s">
        <v>7980</v>
      </c>
      <c r="C209" s="18">
        <v>102987</v>
      </c>
      <c r="D209" s="2" t="s">
        <v>354</v>
      </c>
      <c r="E209" s="15">
        <v>1472.1</v>
      </c>
      <c r="F209" s="59">
        <v>42796</v>
      </c>
      <c r="G209" s="15">
        <f t="shared" si="7"/>
        <v>1472.1</v>
      </c>
      <c r="H209" s="15">
        <f t="shared" si="8"/>
        <v>0</v>
      </c>
      <c r="I209" s="21"/>
    </row>
    <row r="210" spans="1:9" ht="15.75" x14ac:dyDescent="0.25">
      <c r="A210" s="51">
        <v>42796</v>
      </c>
      <c r="B210" s="52" t="s">
        <v>7981</v>
      </c>
      <c r="C210" s="18">
        <v>102988</v>
      </c>
      <c r="D210" s="2" t="s">
        <v>1589</v>
      </c>
      <c r="E210" s="15">
        <v>7060.8</v>
      </c>
      <c r="F210" s="59">
        <v>42798</v>
      </c>
      <c r="G210" s="15">
        <f t="shared" si="7"/>
        <v>7060.8</v>
      </c>
      <c r="H210" s="15">
        <f t="shared" si="8"/>
        <v>0</v>
      </c>
      <c r="I210" s="21"/>
    </row>
    <row r="211" spans="1:9" ht="15.75" x14ac:dyDescent="0.25">
      <c r="A211" s="51">
        <v>42796</v>
      </c>
      <c r="B211" s="52" t="s">
        <v>7982</v>
      </c>
      <c r="C211" s="18">
        <v>102989</v>
      </c>
      <c r="D211" s="2" t="s">
        <v>670</v>
      </c>
      <c r="E211" s="15">
        <v>83855.100000000006</v>
      </c>
      <c r="F211" s="59">
        <v>42802</v>
      </c>
      <c r="G211" s="15">
        <f t="shared" si="7"/>
        <v>83855.100000000006</v>
      </c>
      <c r="H211" s="15">
        <f t="shared" si="8"/>
        <v>0</v>
      </c>
      <c r="I211" s="21"/>
    </row>
    <row r="212" spans="1:9" ht="15.75" x14ac:dyDescent="0.25">
      <c r="A212" s="51">
        <v>42796</v>
      </c>
      <c r="B212" s="52" t="s">
        <v>7983</v>
      </c>
      <c r="C212" s="18">
        <v>102990</v>
      </c>
      <c r="D212" s="2" t="s">
        <v>665</v>
      </c>
      <c r="E212" s="15">
        <v>61272.86</v>
      </c>
      <c r="F212" s="59">
        <v>42805</v>
      </c>
      <c r="G212" s="15">
        <f t="shared" si="7"/>
        <v>61272.86</v>
      </c>
      <c r="H212" s="15">
        <f t="shared" si="8"/>
        <v>0</v>
      </c>
      <c r="I212" s="21"/>
    </row>
    <row r="213" spans="1:9" ht="15.75" x14ac:dyDescent="0.25">
      <c r="A213" s="51">
        <v>42796</v>
      </c>
      <c r="B213" s="52" t="s">
        <v>7984</v>
      </c>
      <c r="C213" s="18">
        <v>102991</v>
      </c>
      <c r="D213" s="2" t="s">
        <v>10</v>
      </c>
      <c r="E213" s="15">
        <v>23701.8</v>
      </c>
      <c r="F213" s="59">
        <v>42802</v>
      </c>
      <c r="G213" s="15">
        <f t="shared" si="7"/>
        <v>23701.8</v>
      </c>
      <c r="H213" s="15">
        <f t="shared" si="8"/>
        <v>0</v>
      </c>
      <c r="I213" s="21"/>
    </row>
    <row r="214" spans="1:9" ht="15.75" x14ac:dyDescent="0.25">
      <c r="A214" s="51">
        <v>42796</v>
      </c>
      <c r="B214" s="52" t="s">
        <v>7985</v>
      </c>
      <c r="C214" s="18">
        <v>102992</v>
      </c>
      <c r="D214" s="2" t="s">
        <v>220</v>
      </c>
      <c r="E214" s="15">
        <v>2953.2</v>
      </c>
      <c r="F214" s="59" t="s">
        <v>3806</v>
      </c>
      <c r="G214" s="15">
        <f t="shared" si="7"/>
        <v>2953.2</v>
      </c>
      <c r="H214" s="15">
        <f t="shared" si="8"/>
        <v>0</v>
      </c>
      <c r="I214" s="21"/>
    </row>
    <row r="215" spans="1:9" ht="15.75" x14ac:dyDescent="0.25">
      <c r="A215" s="51">
        <v>42797</v>
      </c>
      <c r="B215" s="52" t="s">
        <v>7986</v>
      </c>
      <c r="C215" s="18">
        <v>102993</v>
      </c>
      <c r="D215" s="2" t="s">
        <v>231</v>
      </c>
      <c r="E215" s="15">
        <v>2593.6999999999998</v>
      </c>
      <c r="F215" s="59" t="s">
        <v>3806</v>
      </c>
      <c r="G215" s="15">
        <f t="shared" si="7"/>
        <v>2593.6999999999998</v>
      </c>
      <c r="H215" s="15">
        <f t="shared" si="8"/>
        <v>0</v>
      </c>
      <c r="I215" s="21"/>
    </row>
    <row r="216" spans="1:9" ht="15.75" x14ac:dyDescent="0.25">
      <c r="A216" s="51">
        <v>42797</v>
      </c>
      <c r="B216" s="52" t="s">
        <v>7987</v>
      </c>
      <c r="C216" s="18">
        <v>102994</v>
      </c>
      <c r="D216" s="2" t="s">
        <v>374</v>
      </c>
      <c r="E216" s="15">
        <v>5225.3999999999996</v>
      </c>
      <c r="F216" s="59" t="s">
        <v>3806</v>
      </c>
      <c r="G216" s="15">
        <f t="shared" si="7"/>
        <v>5225.3999999999996</v>
      </c>
      <c r="H216" s="15">
        <f t="shared" si="8"/>
        <v>0</v>
      </c>
      <c r="I216" s="21"/>
    </row>
    <row r="217" spans="1:9" ht="15.75" x14ac:dyDescent="0.25">
      <c r="A217" s="51">
        <v>42797</v>
      </c>
      <c r="B217" s="52" t="s">
        <v>7988</v>
      </c>
      <c r="C217" s="18">
        <v>102995</v>
      </c>
      <c r="D217" s="2" t="s">
        <v>231</v>
      </c>
      <c r="E217" s="15">
        <v>34281.4</v>
      </c>
      <c r="F217" s="59">
        <v>42798</v>
      </c>
      <c r="G217" s="15">
        <f t="shared" si="7"/>
        <v>34281.4</v>
      </c>
      <c r="H217" s="15">
        <f t="shared" si="8"/>
        <v>0</v>
      </c>
      <c r="I217" s="21"/>
    </row>
    <row r="218" spans="1:9" ht="15.75" x14ac:dyDescent="0.25">
      <c r="A218" s="51">
        <v>42797</v>
      </c>
      <c r="B218" s="52" t="s">
        <v>7989</v>
      </c>
      <c r="C218" s="18">
        <v>102996</v>
      </c>
      <c r="D218" s="2" t="s">
        <v>231</v>
      </c>
      <c r="E218" s="15">
        <v>438.6</v>
      </c>
      <c r="F218" s="59">
        <v>42798</v>
      </c>
      <c r="G218" s="15">
        <f t="shared" si="7"/>
        <v>438.6</v>
      </c>
      <c r="H218" s="15">
        <f t="shared" si="8"/>
        <v>0</v>
      </c>
      <c r="I218" s="21"/>
    </row>
    <row r="219" spans="1:9" ht="15.75" x14ac:dyDescent="0.25">
      <c r="A219" s="51">
        <v>42797</v>
      </c>
      <c r="B219" s="52" t="s">
        <v>7990</v>
      </c>
      <c r="C219" s="18">
        <v>102997</v>
      </c>
      <c r="D219" s="2" t="s">
        <v>1925</v>
      </c>
      <c r="E219" s="15">
        <v>563</v>
      </c>
      <c r="F219" s="59" t="s">
        <v>3806</v>
      </c>
      <c r="G219" s="15">
        <f t="shared" si="7"/>
        <v>563</v>
      </c>
      <c r="H219" s="15">
        <f t="shared" si="8"/>
        <v>0</v>
      </c>
      <c r="I219" s="21"/>
    </row>
    <row r="220" spans="1:9" ht="15.75" x14ac:dyDescent="0.25">
      <c r="A220" s="51">
        <v>42797</v>
      </c>
      <c r="B220" s="52" t="s">
        <v>7991</v>
      </c>
      <c r="C220" s="18">
        <v>102998</v>
      </c>
      <c r="D220" s="2" t="s">
        <v>236</v>
      </c>
      <c r="E220" s="15">
        <v>29907.9</v>
      </c>
      <c r="F220" s="59">
        <v>42807</v>
      </c>
      <c r="G220" s="15">
        <f t="shared" si="7"/>
        <v>29907.9</v>
      </c>
      <c r="H220" s="15">
        <f t="shared" si="8"/>
        <v>0</v>
      </c>
      <c r="I220" s="21"/>
    </row>
    <row r="221" spans="1:9" ht="15.75" x14ac:dyDescent="0.25">
      <c r="A221" s="51">
        <v>42797</v>
      </c>
      <c r="B221" s="52" t="s">
        <v>7992</v>
      </c>
      <c r="C221" s="18">
        <v>102999</v>
      </c>
      <c r="D221" s="2" t="s">
        <v>55</v>
      </c>
      <c r="E221" s="15">
        <v>12530.4</v>
      </c>
      <c r="F221" s="64" t="s">
        <v>7993</v>
      </c>
      <c r="G221" s="20">
        <f>7000+5530.4</f>
        <v>12530.4</v>
      </c>
      <c r="H221" s="20">
        <f t="shared" si="8"/>
        <v>0</v>
      </c>
      <c r="I221" s="21"/>
    </row>
    <row r="222" spans="1:9" ht="15.75" x14ac:dyDescent="0.25">
      <c r="A222" s="51">
        <v>42797</v>
      </c>
      <c r="B222" s="52" t="s">
        <v>7994</v>
      </c>
      <c r="C222" s="18">
        <v>103000</v>
      </c>
      <c r="D222" s="2" t="s">
        <v>26</v>
      </c>
      <c r="E222" s="15">
        <v>11726.8</v>
      </c>
      <c r="F222" s="59" t="s">
        <v>3806</v>
      </c>
      <c r="G222" s="15">
        <f t="shared" si="7"/>
        <v>11726.8</v>
      </c>
      <c r="H222" s="15">
        <f t="shared" si="8"/>
        <v>0</v>
      </c>
      <c r="I222" s="21"/>
    </row>
    <row r="223" spans="1:9" ht="15.75" x14ac:dyDescent="0.25">
      <c r="A223" s="51">
        <v>42797</v>
      </c>
      <c r="B223" s="52" t="s">
        <v>7995</v>
      </c>
      <c r="C223" s="18">
        <v>103001</v>
      </c>
      <c r="D223" s="2" t="s">
        <v>476</v>
      </c>
      <c r="E223" s="15">
        <v>22035.9</v>
      </c>
      <c r="F223" s="59">
        <v>42800</v>
      </c>
      <c r="G223" s="15">
        <f t="shared" si="7"/>
        <v>22035.9</v>
      </c>
      <c r="H223" s="15">
        <f t="shared" si="8"/>
        <v>0</v>
      </c>
      <c r="I223" s="21"/>
    </row>
    <row r="224" spans="1:9" ht="15.75" x14ac:dyDescent="0.25">
      <c r="A224" s="51">
        <v>42797</v>
      </c>
      <c r="B224" s="52" t="s">
        <v>7996</v>
      </c>
      <c r="C224" s="18">
        <v>103002</v>
      </c>
      <c r="D224" s="2" t="s">
        <v>305</v>
      </c>
      <c r="E224" s="15">
        <v>1048.5999999999999</v>
      </c>
      <c r="F224" s="59">
        <v>42800</v>
      </c>
      <c r="G224" s="15">
        <f t="shared" si="7"/>
        <v>1048.5999999999999</v>
      </c>
      <c r="H224" s="15">
        <f t="shared" si="8"/>
        <v>0</v>
      </c>
      <c r="I224" s="21"/>
    </row>
    <row r="225" spans="1:9" ht="15.75" x14ac:dyDescent="0.25">
      <c r="A225" s="51">
        <v>42797</v>
      </c>
      <c r="B225" s="52" t="s">
        <v>7997</v>
      </c>
      <c r="C225" s="18">
        <v>103003</v>
      </c>
      <c r="D225" s="2" t="s">
        <v>19</v>
      </c>
      <c r="E225" s="15">
        <v>2074.6</v>
      </c>
      <c r="F225" s="59" t="s">
        <v>3806</v>
      </c>
      <c r="G225" s="15">
        <f t="shared" si="7"/>
        <v>2074.6</v>
      </c>
      <c r="H225" s="15">
        <f t="shared" si="8"/>
        <v>0</v>
      </c>
      <c r="I225" s="21"/>
    </row>
    <row r="226" spans="1:9" ht="15.75" x14ac:dyDescent="0.25">
      <c r="A226" s="51">
        <v>42797</v>
      </c>
      <c r="B226" s="52" t="s">
        <v>7998</v>
      </c>
      <c r="C226" s="18">
        <v>103004</v>
      </c>
      <c r="D226" s="2" t="s">
        <v>1786</v>
      </c>
      <c r="E226" s="15">
        <v>8935.2000000000007</v>
      </c>
      <c r="F226" s="59" t="s">
        <v>3806</v>
      </c>
      <c r="G226" s="15">
        <f t="shared" si="7"/>
        <v>8935.2000000000007</v>
      </c>
      <c r="H226" s="15">
        <f t="shared" si="8"/>
        <v>0</v>
      </c>
      <c r="I226" s="21"/>
    </row>
    <row r="227" spans="1:9" ht="15.75" x14ac:dyDescent="0.25">
      <c r="A227" s="51">
        <v>42797</v>
      </c>
      <c r="B227" s="52" t="s">
        <v>7999</v>
      </c>
      <c r="C227" s="18">
        <v>103005</v>
      </c>
      <c r="D227" s="2" t="s">
        <v>28</v>
      </c>
      <c r="E227" s="15">
        <v>4334.3999999999996</v>
      </c>
      <c r="F227" s="59" t="s">
        <v>3806</v>
      </c>
      <c r="G227" s="15">
        <f t="shared" si="7"/>
        <v>4334.3999999999996</v>
      </c>
      <c r="H227" s="15">
        <f t="shared" si="8"/>
        <v>0</v>
      </c>
      <c r="I227" s="21"/>
    </row>
    <row r="228" spans="1:9" ht="15.75" x14ac:dyDescent="0.25">
      <c r="A228" s="51">
        <v>42797</v>
      </c>
      <c r="B228" s="52" t="s">
        <v>8000</v>
      </c>
      <c r="C228" s="18">
        <v>103006</v>
      </c>
      <c r="D228" s="2" t="s">
        <v>236</v>
      </c>
      <c r="E228" s="15">
        <v>33873.18</v>
      </c>
      <c r="F228" s="59">
        <v>42807</v>
      </c>
      <c r="G228" s="15">
        <f t="shared" si="7"/>
        <v>33873.18</v>
      </c>
      <c r="H228" s="15">
        <f t="shared" si="8"/>
        <v>0</v>
      </c>
      <c r="I228" s="21"/>
    </row>
    <row r="229" spans="1:9" ht="15.75" x14ac:dyDescent="0.25">
      <c r="A229" s="51">
        <v>42797</v>
      </c>
      <c r="B229" s="52" t="s">
        <v>8001</v>
      </c>
      <c r="C229" s="18">
        <v>103007</v>
      </c>
      <c r="D229" s="2" t="s">
        <v>21</v>
      </c>
      <c r="E229" s="15">
        <v>45007.199999999997</v>
      </c>
      <c r="F229" s="59">
        <v>42811</v>
      </c>
      <c r="G229" s="15">
        <f t="shared" si="7"/>
        <v>45007.199999999997</v>
      </c>
      <c r="H229" s="15">
        <f t="shared" si="8"/>
        <v>0</v>
      </c>
      <c r="I229" s="21"/>
    </row>
    <row r="230" spans="1:9" ht="15.75" x14ac:dyDescent="0.25">
      <c r="A230" s="51">
        <v>42797</v>
      </c>
      <c r="B230" s="52" t="s">
        <v>8002</v>
      </c>
      <c r="C230" s="18">
        <v>103008</v>
      </c>
      <c r="D230" s="2" t="s">
        <v>30</v>
      </c>
      <c r="E230" s="15">
        <v>3612</v>
      </c>
      <c r="F230" s="59" t="s">
        <v>3806</v>
      </c>
      <c r="G230" s="15">
        <f t="shared" si="7"/>
        <v>3612</v>
      </c>
      <c r="H230" s="15">
        <f t="shared" si="8"/>
        <v>0</v>
      </c>
      <c r="I230" s="21"/>
    </row>
    <row r="231" spans="1:9" ht="15.75" x14ac:dyDescent="0.25">
      <c r="A231" s="51">
        <v>42797</v>
      </c>
      <c r="B231" s="52" t="s">
        <v>8003</v>
      </c>
      <c r="C231" s="18">
        <v>103009</v>
      </c>
      <c r="D231" s="2" t="s">
        <v>35</v>
      </c>
      <c r="E231" s="15">
        <v>11906.3</v>
      </c>
      <c r="F231" s="59">
        <v>42800</v>
      </c>
      <c r="G231" s="15">
        <f t="shared" si="7"/>
        <v>11906.3</v>
      </c>
      <c r="H231" s="15">
        <f t="shared" si="8"/>
        <v>0</v>
      </c>
      <c r="I231" s="21"/>
    </row>
    <row r="232" spans="1:9" ht="15.75" x14ac:dyDescent="0.25">
      <c r="A232" s="51">
        <v>42797</v>
      </c>
      <c r="B232" s="52" t="s">
        <v>8004</v>
      </c>
      <c r="C232" s="18">
        <v>103010</v>
      </c>
      <c r="D232" s="2" t="s">
        <v>32</v>
      </c>
      <c r="E232" s="15">
        <v>5708.6</v>
      </c>
      <c r="F232" s="59">
        <v>42803</v>
      </c>
      <c r="G232" s="15">
        <f t="shared" si="7"/>
        <v>5708.6</v>
      </c>
      <c r="H232" s="15">
        <f t="shared" si="8"/>
        <v>0</v>
      </c>
      <c r="I232" s="21"/>
    </row>
    <row r="233" spans="1:9" ht="15.75" x14ac:dyDescent="0.25">
      <c r="A233" s="51">
        <v>42797</v>
      </c>
      <c r="B233" s="52" t="s">
        <v>8005</v>
      </c>
      <c r="C233" s="18">
        <v>103011</v>
      </c>
      <c r="D233" s="2" t="s">
        <v>38</v>
      </c>
      <c r="E233" s="15">
        <v>7006.8</v>
      </c>
      <c r="F233" s="64" t="s">
        <v>8006</v>
      </c>
      <c r="G233" s="20">
        <f>4000+3006.8</f>
        <v>7006.8</v>
      </c>
      <c r="H233" s="20">
        <f t="shared" si="8"/>
        <v>0</v>
      </c>
      <c r="I233" s="21"/>
    </row>
    <row r="234" spans="1:9" ht="15.75" x14ac:dyDescent="0.25">
      <c r="A234" s="51">
        <v>42797</v>
      </c>
      <c r="B234" s="52" t="s">
        <v>8007</v>
      </c>
      <c r="C234" s="18">
        <v>103012</v>
      </c>
      <c r="D234" s="2" t="s">
        <v>312</v>
      </c>
      <c r="E234" s="15">
        <v>23950</v>
      </c>
      <c r="F234" s="59">
        <v>42846</v>
      </c>
      <c r="G234" s="15">
        <f t="shared" si="7"/>
        <v>23950</v>
      </c>
      <c r="H234" s="15">
        <f t="shared" si="8"/>
        <v>0</v>
      </c>
      <c r="I234" s="21"/>
    </row>
    <row r="235" spans="1:9" ht="15.75" x14ac:dyDescent="0.25">
      <c r="A235" s="51">
        <v>42797</v>
      </c>
      <c r="B235" s="52" t="s">
        <v>8008</v>
      </c>
      <c r="C235" s="18">
        <v>103013</v>
      </c>
      <c r="D235" s="2" t="s">
        <v>1645</v>
      </c>
      <c r="E235" s="15">
        <v>2334.8000000000002</v>
      </c>
      <c r="G235" s="15">
        <f t="shared" si="7"/>
        <v>2334.8000000000002</v>
      </c>
      <c r="H235" s="15">
        <f t="shared" si="8"/>
        <v>0</v>
      </c>
      <c r="I235" s="21"/>
    </row>
    <row r="236" spans="1:9" ht="15.75" x14ac:dyDescent="0.25">
      <c r="A236" s="51">
        <v>42797</v>
      </c>
      <c r="B236" s="52" t="s">
        <v>8009</v>
      </c>
      <c r="C236" s="18">
        <v>103014</v>
      </c>
      <c r="D236" s="2" t="s">
        <v>10</v>
      </c>
      <c r="E236" s="15">
        <v>12922.8</v>
      </c>
      <c r="F236" s="59">
        <v>42802</v>
      </c>
      <c r="G236" s="15">
        <f t="shared" si="7"/>
        <v>12922.8</v>
      </c>
      <c r="H236" s="15">
        <f t="shared" si="8"/>
        <v>0</v>
      </c>
      <c r="I236" s="21"/>
    </row>
    <row r="237" spans="1:9" ht="15.75" x14ac:dyDescent="0.25">
      <c r="A237" s="51">
        <v>42797</v>
      </c>
      <c r="B237" s="52" t="s">
        <v>8010</v>
      </c>
      <c r="C237" s="18">
        <v>103015</v>
      </c>
      <c r="D237" s="2" t="s">
        <v>35</v>
      </c>
      <c r="E237" s="15">
        <v>525</v>
      </c>
      <c r="F237" s="59">
        <v>42800</v>
      </c>
      <c r="G237" s="15">
        <f t="shared" si="7"/>
        <v>525</v>
      </c>
      <c r="H237" s="15">
        <f t="shared" si="8"/>
        <v>0</v>
      </c>
      <c r="I237" s="21"/>
    </row>
    <row r="238" spans="1:9" ht="15.75" x14ac:dyDescent="0.25">
      <c r="A238" s="51">
        <v>42797</v>
      </c>
      <c r="B238" s="52" t="s">
        <v>8011</v>
      </c>
      <c r="C238" s="18">
        <v>103016</v>
      </c>
      <c r="D238" s="2" t="s">
        <v>428</v>
      </c>
      <c r="E238" s="15">
        <v>1800.1</v>
      </c>
      <c r="F238" s="59">
        <v>42800</v>
      </c>
      <c r="G238" s="15">
        <f t="shared" si="7"/>
        <v>1800.1</v>
      </c>
      <c r="H238" s="15">
        <f t="shared" si="8"/>
        <v>0</v>
      </c>
      <c r="I238" s="21"/>
    </row>
    <row r="239" spans="1:9" ht="15.75" x14ac:dyDescent="0.25">
      <c r="A239" s="51">
        <v>42797</v>
      </c>
      <c r="B239" s="52" t="s">
        <v>8012</v>
      </c>
      <c r="C239" s="18">
        <v>103017</v>
      </c>
      <c r="D239" s="2" t="s">
        <v>40</v>
      </c>
      <c r="E239" s="15">
        <v>2764.8</v>
      </c>
      <c r="F239" s="59">
        <v>42802</v>
      </c>
      <c r="G239" s="15">
        <f t="shared" si="7"/>
        <v>2764.8</v>
      </c>
      <c r="H239" s="15">
        <f t="shared" si="8"/>
        <v>0</v>
      </c>
      <c r="I239" s="21"/>
    </row>
    <row r="240" spans="1:9" ht="15.75" x14ac:dyDescent="0.25">
      <c r="A240" s="51">
        <v>42797</v>
      </c>
      <c r="B240" s="52" t="s">
        <v>8013</v>
      </c>
      <c r="C240" s="18">
        <v>103018</v>
      </c>
      <c r="D240" s="2" t="s">
        <v>231</v>
      </c>
      <c r="E240" s="15">
        <v>1482</v>
      </c>
      <c r="F240" s="59">
        <v>42798</v>
      </c>
      <c r="G240" s="15">
        <f t="shared" si="7"/>
        <v>1482</v>
      </c>
      <c r="H240" s="15">
        <f t="shared" si="8"/>
        <v>0</v>
      </c>
      <c r="I240" s="21"/>
    </row>
    <row r="241" spans="1:9" ht="15.75" x14ac:dyDescent="0.25">
      <c r="A241" s="51">
        <v>42797</v>
      </c>
      <c r="B241" s="52" t="s">
        <v>8014</v>
      </c>
      <c r="C241" s="18">
        <v>103019</v>
      </c>
      <c r="D241" s="2" t="s">
        <v>253</v>
      </c>
      <c r="E241" s="15">
        <v>2995.2</v>
      </c>
      <c r="F241" s="59">
        <v>42798</v>
      </c>
      <c r="G241" s="15">
        <f t="shared" si="7"/>
        <v>2995.2</v>
      </c>
      <c r="H241" s="15">
        <f t="shared" si="8"/>
        <v>0</v>
      </c>
      <c r="I241" s="21"/>
    </row>
    <row r="242" spans="1:9" ht="15.75" x14ac:dyDescent="0.25">
      <c r="A242" s="51">
        <v>42797</v>
      </c>
      <c r="B242" s="52" t="s">
        <v>8015</v>
      </c>
      <c r="C242" s="18">
        <v>103020</v>
      </c>
      <c r="D242" s="2" t="s">
        <v>49</v>
      </c>
      <c r="E242" s="15">
        <v>13087.2</v>
      </c>
      <c r="F242" s="59">
        <v>42800</v>
      </c>
      <c r="G242" s="15">
        <f t="shared" si="7"/>
        <v>13087.2</v>
      </c>
      <c r="H242" s="15">
        <f t="shared" si="8"/>
        <v>0</v>
      </c>
      <c r="I242" s="21"/>
    </row>
    <row r="243" spans="1:9" ht="15.75" x14ac:dyDescent="0.25">
      <c r="A243" s="51">
        <v>42797</v>
      </c>
      <c r="B243" s="52" t="s">
        <v>8016</v>
      </c>
      <c r="C243" s="18">
        <v>103021</v>
      </c>
      <c r="D243" s="2" t="s">
        <v>609</v>
      </c>
      <c r="E243" s="15">
        <v>51961.599999999999</v>
      </c>
      <c r="F243" s="59">
        <v>42798</v>
      </c>
      <c r="G243" s="15">
        <f t="shared" si="7"/>
        <v>51961.599999999999</v>
      </c>
      <c r="H243" s="15">
        <f t="shared" si="8"/>
        <v>0</v>
      </c>
      <c r="I243" s="21"/>
    </row>
    <row r="244" spans="1:9" ht="15.75" x14ac:dyDescent="0.25">
      <c r="A244" s="51">
        <v>42797</v>
      </c>
      <c r="B244" s="52" t="s">
        <v>8017</v>
      </c>
      <c r="C244" s="18">
        <v>103022</v>
      </c>
      <c r="D244" s="2" t="s">
        <v>250</v>
      </c>
      <c r="E244" s="15">
        <v>9112.7999999999993</v>
      </c>
      <c r="F244" s="59">
        <v>42798</v>
      </c>
      <c r="G244" s="15">
        <f t="shared" si="7"/>
        <v>9112.7999999999993</v>
      </c>
      <c r="H244" s="15">
        <f t="shared" si="8"/>
        <v>0</v>
      </c>
      <c r="I244" s="21"/>
    </row>
    <row r="245" spans="1:9" ht="15.75" x14ac:dyDescent="0.25">
      <c r="A245" s="51">
        <v>42797</v>
      </c>
      <c r="B245" s="52" t="s">
        <v>8018</v>
      </c>
      <c r="C245" s="18">
        <v>103023</v>
      </c>
      <c r="D245" s="2" t="s">
        <v>43</v>
      </c>
      <c r="E245" s="15">
        <v>6595.8</v>
      </c>
      <c r="F245" s="64" t="s">
        <v>8019</v>
      </c>
      <c r="G245" s="20">
        <f>2854.8+3741</f>
        <v>6595.8</v>
      </c>
      <c r="H245" s="20">
        <f t="shared" si="8"/>
        <v>0</v>
      </c>
      <c r="I245" s="21"/>
    </row>
    <row r="246" spans="1:9" ht="15.75" x14ac:dyDescent="0.25">
      <c r="A246" s="51">
        <v>42797</v>
      </c>
      <c r="B246" s="52" t="s">
        <v>8020</v>
      </c>
      <c r="C246" s="18">
        <v>103024</v>
      </c>
      <c r="D246" s="2" t="s">
        <v>51</v>
      </c>
      <c r="E246" s="15">
        <v>3749.6</v>
      </c>
      <c r="F246" s="59">
        <v>42800</v>
      </c>
      <c r="G246" s="15">
        <f t="shared" si="7"/>
        <v>3749.6</v>
      </c>
      <c r="H246" s="15">
        <f t="shared" si="8"/>
        <v>0</v>
      </c>
      <c r="I246" s="21"/>
    </row>
    <row r="247" spans="1:9" ht="15.75" x14ac:dyDescent="0.25">
      <c r="A247" s="51">
        <v>42797</v>
      </c>
      <c r="B247" s="52" t="s">
        <v>8021</v>
      </c>
      <c r="C247" s="18">
        <v>103025</v>
      </c>
      <c r="D247" s="2" t="s">
        <v>312</v>
      </c>
      <c r="E247" s="15">
        <v>60893.15</v>
      </c>
      <c r="F247" s="59">
        <v>42846</v>
      </c>
      <c r="G247" s="15">
        <f t="shared" si="7"/>
        <v>60893.15</v>
      </c>
      <c r="H247" s="15">
        <f t="shared" si="8"/>
        <v>0</v>
      </c>
      <c r="I247" s="21"/>
    </row>
    <row r="248" spans="1:9" ht="15.75" x14ac:dyDescent="0.25">
      <c r="A248" s="51">
        <v>42797</v>
      </c>
      <c r="B248" s="52" t="s">
        <v>8022</v>
      </c>
      <c r="C248" s="18">
        <v>103026</v>
      </c>
      <c r="D248" s="2" t="s">
        <v>1090</v>
      </c>
      <c r="E248" s="15">
        <v>6610.8</v>
      </c>
      <c r="F248" s="59" t="s">
        <v>3806</v>
      </c>
      <c r="G248" s="15">
        <f t="shared" si="7"/>
        <v>6610.8</v>
      </c>
      <c r="H248" s="15">
        <f t="shared" si="8"/>
        <v>0</v>
      </c>
      <c r="I248" s="21"/>
    </row>
    <row r="249" spans="1:9" ht="15.75" x14ac:dyDescent="0.25">
      <c r="A249" s="51">
        <v>42797</v>
      </c>
      <c r="B249" s="52" t="s">
        <v>8023</v>
      </c>
      <c r="C249" s="18">
        <v>103027</v>
      </c>
      <c r="D249" s="2" t="s">
        <v>47</v>
      </c>
      <c r="E249" s="15">
        <v>2900.4</v>
      </c>
      <c r="F249" s="59" t="s">
        <v>3806</v>
      </c>
      <c r="G249" s="15">
        <f t="shared" si="7"/>
        <v>2900.4</v>
      </c>
      <c r="H249" s="15">
        <f t="shared" si="8"/>
        <v>0</v>
      </c>
      <c r="I249" s="21"/>
    </row>
    <row r="250" spans="1:9" ht="15.75" x14ac:dyDescent="0.25">
      <c r="A250" s="51">
        <v>42797</v>
      </c>
      <c r="B250" s="52" t="s">
        <v>8024</v>
      </c>
      <c r="C250" s="18">
        <v>103028</v>
      </c>
      <c r="D250" s="2" t="s">
        <v>149</v>
      </c>
      <c r="E250" s="15">
        <v>13426.8</v>
      </c>
      <c r="F250" s="59" t="s">
        <v>3806</v>
      </c>
      <c r="G250" s="15">
        <f t="shared" si="7"/>
        <v>13426.8</v>
      </c>
      <c r="H250" s="15">
        <f t="shared" si="8"/>
        <v>0</v>
      </c>
      <c r="I250" s="21"/>
    </row>
    <row r="251" spans="1:9" ht="15.75" x14ac:dyDescent="0.25">
      <c r="A251" s="51">
        <v>42797</v>
      </c>
      <c r="B251" s="52" t="s">
        <v>8025</v>
      </c>
      <c r="C251" s="18">
        <v>103029</v>
      </c>
      <c r="D251" s="2" t="s">
        <v>149</v>
      </c>
      <c r="E251" s="15">
        <v>972.9</v>
      </c>
      <c r="F251" s="59" t="s">
        <v>3806</v>
      </c>
      <c r="G251" s="15">
        <f t="shared" si="7"/>
        <v>972.9</v>
      </c>
      <c r="H251" s="15">
        <f t="shared" si="8"/>
        <v>0</v>
      </c>
      <c r="I251" s="21"/>
    </row>
    <row r="252" spans="1:9" ht="15.75" x14ac:dyDescent="0.25">
      <c r="A252" s="51">
        <v>42797</v>
      </c>
      <c r="B252" s="52" t="s">
        <v>8026</v>
      </c>
      <c r="C252" s="18">
        <v>103030</v>
      </c>
      <c r="D252" s="2" t="s">
        <v>457</v>
      </c>
      <c r="E252" s="15">
        <v>1488</v>
      </c>
      <c r="G252" s="15">
        <f t="shared" si="7"/>
        <v>1488</v>
      </c>
      <c r="H252" s="15">
        <f t="shared" si="8"/>
        <v>0</v>
      </c>
      <c r="I252" s="21"/>
    </row>
    <row r="253" spans="1:9" ht="15.75" x14ac:dyDescent="0.25">
      <c r="A253" s="51">
        <v>42797</v>
      </c>
      <c r="B253" s="52" t="s">
        <v>8027</v>
      </c>
      <c r="C253" s="18">
        <v>103031</v>
      </c>
      <c r="D253" s="2" t="s">
        <v>2054</v>
      </c>
      <c r="E253" s="15">
        <v>450</v>
      </c>
      <c r="F253" s="59" t="s">
        <v>3806</v>
      </c>
      <c r="G253" s="15">
        <f t="shared" si="7"/>
        <v>450</v>
      </c>
      <c r="H253" s="15">
        <f t="shared" si="8"/>
        <v>0</v>
      </c>
      <c r="I253" s="21"/>
    </row>
    <row r="254" spans="1:9" ht="15.75" x14ac:dyDescent="0.25">
      <c r="A254" s="51">
        <v>42797</v>
      </c>
      <c r="B254" s="52" t="s">
        <v>8028</v>
      </c>
      <c r="C254" s="18">
        <v>103032</v>
      </c>
      <c r="D254" s="2" t="s">
        <v>240</v>
      </c>
      <c r="E254" s="15">
        <v>6912</v>
      </c>
      <c r="F254" s="59" t="s">
        <v>3806</v>
      </c>
      <c r="G254" s="15">
        <f t="shared" si="7"/>
        <v>6912</v>
      </c>
      <c r="H254" s="15">
        <f t="shared" si="8"/>
        <v>0</v>
      </c>
      <c r="I254" s="21"/>
    </row>
    <row r="255" spans="1:9" ht="15.75" x14ac:dyDescent="0.25">
      <c r="A255" s="51">
        <v>42797</v>
      </c>
      <c r="B255" s="52" t="s">
        <v>8029</v>
      </c>
      <c r="C255" s="18">
        <v>103033</v>
      </c>
      <c r="D255" s="2" t="s">
        <v>30</v>
      </c>
      <c r="E255" s="15">
        <v>2040</v>
      </c>
      <c r="F255" s="59" t="s">
        <v>3806</v>
      </c>
      <c r="G255" s="15">
        <f t="shared" si="7"/>
        <v>2040</v>
      </c>
      <c r="H255" s="15">
        <f t="shared" si="8"/>
        <v>0</v>
      </c>
      <c r="I255" s="21"/>
    </row>
    <row r="256" spans="1:9" ht="15.75" x14ac:dyDescent="0.25">
      <c r="A256" s="51">
        <v>42797</v>
      </c>
      <c r="B256" s="52" t="s">
        <v>8030</v>
      </c>
      <c r="C256" s="18">
        <v>103034</v>
      </c>
      <c r="D256" s="2" t="s">
        <v>240</v>
      </c>
      <c r="E256" s="15">
        <v>4230.6000000000004</v>
      </c>
      <c r="F256" s="59">
        <v>42797</v>
      </c>
      <c r="G256" s="15">
        <f t="shared" si="7"/>
        <v>4230.6000000000004</v>
      </c>
      <c r="H256" s="15">
        <f t="shared" si="8"/>
        <v>0</v>
      </c>
      <c r="I256" s="21"/>
    </row>
    <row r="257" spans="1:9" ht="15.75" x14ac:dyDescent="0.25">
      <c r="A257" s="51">
        <v>42797</v>
      </c>
      <c r="B257" s="52" t="s">
        <v>8031</v>
      </c>
      <c r="C257" s="18">
        <v>103035</v>
      </c>
      <c r="D257" s="2" t="s">
        <v>157</v>
      </c>
      <c r="E257" s="15">
        <v>32287.9</v>
      </c>
      <c r="F257" s="59">
        <v>42797</v>
      </c>
      <c r="G257" s="15">
        <f t="shared" si="7"/>
        <v>32287.9</v>
      </c>
      <c r="H257" s="15">
        <f t="shared" si="8"/>
        <v>0</v>
      </c>
      <c r="I257" s="21"/>
    </row>
    <row r="258" spans="1:9" ht="15.75" x14ac:dyDescent="0.25">
      <c r="A258" s="51">
        <v>42797</v>
      </c>
      <c r="B258" s="52" t="s">
        <v>8032</v>
      </c>
      <c r="C258" s="18">
        <v>103036</v>
      </c>
      <c r="D258" s="2" t="s">
        <v>151</v>
      </c>
      <c r="E258" s="15">
        <v>25271.1</v>
      </c>
      <c r="F258" s="59">
        <v>42797</v>
      </c>
      <c r="G258" s="15">
        <f t="shared" si="7"/>
        <v>25271.1</v>
      </c>
      <c r="H258" s="15">
        <f t="shared" si="8"/>
        <v>0</v>
      </c>
      <c r="I258" s="21"/>
    </row>
    <row r="259" spans="1:9" ht="15.75" x14ac:dyDescent="0.25">
      <c r="A259" s="51">
        <v>42797</v>
      </c>
      <c r="B259" s="52" t="s">
        <v>8033</v>
      </c>
      <c r="C259" s="18">
        <v>103037</v>
      </c>
      <c r="D259" s="2" t="s">
        <v>133</v>
      </c>
      <c r="E259" s="15">
        <v>11136.9</v>
      </c>
      <c r="F259" s="59">
        <v>42807</v>
      </c>
      <c r="G259" s="15">
        <f t="shared" si="7"/>
        <v>11136.9</v>
      </c>
      <c r="H259" s="15">
        <f t="shared" si="8"/>
        <v>0</v>
      </c>
      <c r="I259" s="21"/>
    </row>
    <row r="260" spans="1:9" ht="15.75" x14ac:dyDescent="0.25">
      <c r="A260" s="51">
        <v>42797</v>
      </c>
      <c r="B260" s="52" t="s">
        <v>8034</v>
      </c>
      <c r="C260" s="18">
        <v>103038</v>
      </c>
      <c r="D260" s="2" t="s">
        <v>133</v>
      </c>
      <c r="E260" s="15">
        <v>5350</v>
      </c>
      <c r="F260" s="59">
        <v>42804</v>
      </c>
      <c r="G260" s="15">
        <f t="shared" ref="G260:G323" si="9">E260</f>
        <v>5350</v>
      </c>
      <c r="H260" s="15">
        <f t="shared" ref="H260:H323" si="10">E260-G260</f>
        <v>0</v>
      </c>
      <c r="I260" s="21"/>
    </row>
    <row r="261" spans="1:9" ht="15.75" x14ac:dyDescent="0.25">
      <c r="A261" s="51">
        <v>42797</v>
      </c>
      <c r="B261" s="52" t="s">
        <v>8035</v>
      </c>
      <c r="C261" s="18">
        <v>103039</v>
      </c>
      <c r="D261" s="2" t="s">
        <v>155</v>
      </c>
      <c r="E261" s="15">
        <v>17661.7</v>
      </c>
      <c r="F261" s="59">
        <v>42801</v>
      </c>
      <c r="G261" s="15">
        <f t="shared" si="9"/>
        <v>17661.7</v>
      </c>
      <c r="H261" s="15">
        <f t="shared" si="10"/>
        <v>0</v>
      </c>
      <c r="I261" s="21"/>
    </row>
    <row r="262" spans="1:9" ht="15.75" x14ac:dyDescent="0.25">
      <c r="A262" s="51">
        <v>42797</v>
      </c>
      <c r="B262" s="52" t="s">
        <v>8036</v>
      </c>
      <c r="C262" s="18">
        <v>103040</v>
      </c>
      <c r="D262" s="2" t="s">
        <v>509</v>
      </c>
      <c r="E262" s="15">
        <v>19717.8</v>
      </c>
      <c r="F262" s="59">
        <v>42812</v>
      </c>
      <c r="G262" s="15">
        <f t="shared" si="9"/>
        <v>19717.8</v>
      </c>
      <c r="H262" s="15">
        <f t="shared" si="10"/>
        <v>0</v>
      </c>
      <c r="I262" s="21"/>
    </row>
    <row r="263" spans="1:9" ht="15.75" x14ac:dyDescent="0.25">
      <c r="A263" s="51">
        <v>42797</v>
      </c>
      <c r="B263" s="52" t="s">
        <v>8037</v>
      </c>
      <c r="C263" s="18">
        <v>103041</v>
      </c>
      <c r="D263" s="2" t="s">
        <v>268</v>
      </c>
      <c r="E263" s="15">
        <v>14122.8</v>
      </c>
      <c r="F263" s="59">
        <v>42802</v>
      </c>
      <c r="G263" s="15">
        <f t="shared" si="9"/>
        <v>14122.8</v>
      </c>
      <c r="H263" s="15">
        <f t="shared" si="10"/>
        <v>0</v>
      </c>
      <c r="I263" s="21"/>
    </row>
    <row r="264" spans="1:9" ht="15.75" x14ac:dyDescent="0.25">
      <c r="A264" s="51">
        <v>42797</v>
      </c>
      <c r="B264" s="52" t="s">
        <v>8038</v>
      </c>
      <c r="C264" s="18">
        <v>103042</v>
      </c>
      <c r="D264" s="2" t="s">
        <v>432</v>
      </c>
      <c r="E264" s="15">
        <v>13417.2</v>
      </c>
      <c r="F264" s="59">
        <v>42802</v>
      </c>
      <c r="G264" s="15">
        <f t="shared" si="9"/>
        <v>13417.2</v>
      </c>
      <c r="H264" s="15">
        <f t="shared" si="10"/>
        <v>0</v>
      </c>
      <c r="I264" s="21"/>
    </row>
    <row r="265" spans="1:9" ht="15.75" x14ac:dyDescent="0.25">
      <c r="A265" s="51">
        <v>42797</v>
      </c>
      <c r="B265" s="52" t="s">
        <v>8039</v>
      </c>
      <c r="C265" s="18">
        <v>103043</v>
      </c>
      <c r="D265" s="2" t="s">
        <v>272</v>
      </c>
      <c r="E265" s="15">
        <v>2862</v>
      </c>
      <c r="F265" s="59">
        <v>42802</v>
      </c>
      <c r="G265" s="15">
        <f t="shared" si="9"/>
        <v>2862</v>
      </c>
      <c r="H265" s="15">
        <f t="shared" si="10"/>
        <v>0</v>
      </c>
      <c r="I265" s="21"/>
    </row>
    <row r="266" spans="1:9" ht="15.75" x14ac:dyDescent="0.25">
      <c r="A266" s="51">
        <v>42797</v>
      </c>
      <c r="B266" s="52" t="s">
        <v>8040</v>
      </c>
      <c r="C266" s="18">
        <v>103044</v>
      </c>
      <c r="D266" s="2" t="s">
        <v>435</v>
      </c>
      <c r="E266" s="15">
        <v>2973.6</v>
      </c>
      <c r="F266" s="59">
        <v>42802</v>
      </c>
      <c r="G266" s="15">
        <f t="shared" si="9"/>
        <v>2973.6</v>
      </c>
      <c r="H266" s="15">
        <f t="shared" si="10"/>
        <v>0</v>
      </c>
      <c r="I266" s="21"/>
    </row>
    <row r="267" spans="1:9" ht="15.75" x14ac:dyDescent="0.25">
      <c r="A267" s="51">
        <v>42797</v>
      </c>
      <c r="B267" s="52" t="s">
        <v>8041</v>
      </c>
      <c r="C267" s="18">
        <v>103045</v>
      </c>
      <c r="D267" s="2" t="s">
        <v>270</v>
      </c>
      <c r="E267" s="15">
        <v>3370.58</v>
      </c>
      <c r="F267" s="59">
        <v>42802</v>
      </c>
      <c r="G267" s="15">
        <f t="shared" si="9"/>
        <v>3370.58</v>
      </c>
      <c r="H267" s="15">
        <f t="shared" si="10"/>
        <v>0</v>
      </c>
      <c r="I267" s="21"/>
    </row>
    <row r="268" spans="1:9" ht="15.75" x14ac:dyDescent="0.25">
      <c r="A268" s="51">
        <v>42797</v>
      </c>
      <c r="B268" s="52" t="s">
        <v>8042</v>
      </c>
      <c r="C268" s="18">
        <v>103046</v>
      </c>
      <c r="D268" s="2" t="s">
        <v>145</v>
      </c>
      <c r="E268" s="15">
        <v>15818</v>
      </c>
      <c r="F268" s="59">
        <v>42798</v>
      </c>
      <c r="G268" s="15">
        <f t="shared" si="9"/>
        <v>15818</v>
      </c>
      <c r="H268" s="15">
        <f t="shared" si="10"/>
        <v>0</v>
      </c>
      <c r="I268" s="21"/>
    </row>
    <row r="269" spans="1:9" ht="15.75" x14ac:dyDescent="0.25">
      <c r="A269" s="51">
        <v>42797</v>
      </c>
      <c r="B269" s="52" t="s">
        <v>8043</v>
      </c>
      <c r="C269" s="18">
        <v>103047</v>
      </c>
      <c r="D269" s="2" t="s">
        <v>3319</v>
      </c>
      <c r="E269" s="15">
        <v>11200</v>
      </c>
      <c r="F269" s="59">
        <v>42798</v>
      </c>
      <c r="G269" s="15">
        <f t="shared" si="9"/>
        <v>11200</v>
      </c>
      <c r="H269" s="15">
        <f t="shared" si="10"/>
        <v>0</v>
      </c>
      <c r="I269" s="21"/>
    </row>
    <row r="270" spans="1:9" ht="15.75" x14ac:dyDescent="0.25">
      <c r="A270" s="51">
        <v>42797</v>
      </c>
      <c r="B270" s="52" t="s">
        <v>8044</v>
      </c>
      <c r="C270" s="18">
        <v>103048</v>
      </c>
      <c r="D270" s="2" t="s">
        <v>1116</v>
      </c>
      <c r="E270" s="15">
        <v>4496.8</v>
      </c>
      <c r="F270" s="59">
        <v>42799</v>
      </c>
      <c r="G270" s="15">
        <f t="shared" si="9"/>
        <v>4496.8</v>
      </c>
      <c r="H270" s="15">
        <f t="shared" si="10"/>
        <v>0</v>
      </c>
      <c r="I270" s="21"/>
    </row>
    <row r="271" spans="1:9" ht="15.75" x14ac:dyDescent="0.25">
      <c r="A271" s="51">
        <v>42797</v>
      </c>
      <c r="B271" s="52" t="s">
        <v>8045</v>
      </c>
      <c r="C271" s="18">
        <v>103049</v>
      </c>
      <c r="D271" s="2" t="s">
        <v>30</v>
      </c>
      <c r="E271" s="15">
        <v>1160.9000000000001</v>
      </c>
      <c r="F271" s="59">
        <v>42797</v>
      </c>
      <c r="G271" s="15">
        <f t="shared" si="9"/>
        <v>1160.9000000000001</v>
      </c>
      <c r="H271" s="15">
        <f t="shared" si="10"/>
        <v>0</v>
      </c>
      <c r="I271" s="21"/>
    </row>
    <row r="272" spans="1:9" ht="15.75" x14ac:dyDescent="0.25">
      <c r="A272" s="51">
        <v>42797</v>
      </c>
      <c r="B272" s="52" t="s">
        <v>8046</v>
      </c>
      <c r="C272" s="18">
        <v>103050</v>
      </c>
      <c r="D272" s="2" t="s">
        <v>30</v>
      </c>
      <c r="E272" s="15">
        <v>2683.7</v>
      </c>
      <c r="F272" s="59">
        <v>42797</v>
      </c>
      <c r="G272" s="15">
        <f t="shared" si="9"/>
        <v>2683.7</v>
      </c>
      <c r="H272" s="15">
        <f t="shared" si="10"/>
        <v>0</v>
      </c>
      <c r="I272" s="21"/>
    </row>
    <row r="273" spans="1:9" ht="15.75" x14ac:dyDescent="0.25">
      <c r="A273" s="51">
        <v>42797</v>
      </c>
      <c r="B273" s="52" t="s">
        <v>8047</v>
      </c>
      <c r="C273" s="18">
        <v>103051</v>
      </c>
      <c r="D273" s="2" t="s">
        <v>30</v>
      </c>
      <c r="E273" s="15">
        <v>1673.2</v>
      </c>
      <c r="F273" s="59">
        <v>42797</v>
      </c>
      <c r="G273" s="15">
        <f t="shared" si="9"/>
        <v>1673.2</v>
      </c>
      <c r="H273" s="15">
        <f t="shared" si="10"/>
        <v>0</v>
      </c>
      <c r="I273" s="21"/>
    </row>
    <row r="274" spans="1:9" ht="15.75" x14ac:dyDescent="0.25">
      <c r="A274" s="51">
        <v>42797</v>
      </c>
      <c r="B274" s="52" t="s">
        <v>8048</v>
      </c>
      <c r="C274" s="18">
        <v>103052</v>
      </c>
      <c r="D274" s="2" t="s">
        <v>1797</v>
      </c>
      <c r="E274" s="15">
        <v>10713.9</v>
      </c>
      <c r="F274" s="59">
        <v>42802</v>
      </c>
      <c r="G274" s="15">
        <f t="shared" si="9"/>
        <v>10713.9</v>
      </c>
      <c r="H274" s="15">
        <f t="shared" si="10"/>
        <v>0</v>
      </c>
      <c r="I274" s="21"/>
    </row>
    <row r="275" spans="1:9" ht="15.75" x14ac:dyDescent="0.25">
      <c r="A275" s="51">
        <v>42797</v>
      </c>
      <c r="B275" s="52" t="s">
        <v>8049</v>
      </c>
      <c r="C275" s="18">
        <v>103053</v>
      </c>
      <c r="D275" s="2" t="s">
        <v>274</v>
      </c>
      <c r="E275" s="15">
        <v>14117.6</v>
      </c>
      <c r="F275" s="59">
        <v>42802</v>
      </c>
      <c r="G275" s="15">
        <f t="shared" si="9"/>
        <v>14117.6</v>
      </c>
      <c r="H275" s="15">
        <f t="shared" si="10"/>
        <v>0</v>
      </c>
      <c r="I275" s="21"/>
    </row>
    <row r="276" spans="1:9" ht="15.75" x14ac:dyDescent="0.25">
      <c r="A276" s="51">
        <v>42797</v>
      </c>
      <c r="B276" s="52" t="s">
        <v>8050</v>
      </c>
      <c r="C276" s="18">
        <v>103054</v>
      </c>
      <c r="D276" s="2" t="s">
        <v>1666</v>
      </c>
      <c r="E276" s="15">
        <v>12832.6</v>
      </c>
      <c r="F276" s="59">
        <v>42802</v>
      </c>
      <c r="G276" s="15">
        <f t="shared" si="9"/>
        <v>12832.6</v>
      </c>
      <c r="H276" s="15">
        <f t="shared" si="10"/>
        <v>0</v>
      </c>
      <c r="I276" s="21"/>
    </row>
    <row r="277" spans="1:9" ht="15.75" x14ac:dyDescent="0.25">
      <c r="A277" s="51">
        <v>42797</v>
      </c>
      <c r="B277" s="52" t="s">
        <v>8051</v>
      </c>
      <c r="C277" s="18">
        <v>103055</v>
      </c>
      <c r="D277" s="2" t="s">
        <v>30</v>
      </c>
      <c r="E277" s="15">
        <v>7983.8</v>
      </c>
      <c r="F277" s="59">
        <v>42802</v>
      </c>
      <c r="G277" s="15">
        <f t="shared" si="9"/>
        <v>7983.8</v>
      </c>
      <c r="H277" s="15">
        <f t="shared" si="10"/>
        <v>0</v>
      </c>
      <c r="I277" s="21"/>
    </row>
    <row r="278" spans="1:9" ht="15.75" x14ac:dyDescent="0.25">
      <c r="A278" s="51">
        <v>42797</v>
      </c>
      <c r="B278" s="52" t="s">
        <v>8052</v>
      </c>
      <c r="C278" s="18">
        <v>103056</v>
      </c>
      <c r="D278" s="13" t="s">
        <v>165</v>
      </c>
      <c r="E278" s="14">
        <v>0</v>
      </c>
      <c r="F278" s="102" t="s">
        <v>95</v>
      </c>
      <c r="G278" s="14">
        <f t="shared" si="9"/>
        <v>0</v>
      </c>
      <c r="H278" s="14">
        <f t="shared" si="10"/>
        <v>0</v>
      </c>
      <c r="I278" s="21"/>
    </row>
    <row r="279" spans="1:9" ht="15.75" x14ac:dyDescent="0.25">
      <c r="A279" s="51">
        <v>42797</v>
      </c>
      <c r="B279" s="52" t="s">
        <v>8053</v>
      </c>
      <c r="C279" s="18">
        <v>103057</v>
      </c>
      <c r="D279" s="2" t="s">
        <v>161</v>
      </c>
      <c r="E279" s="15">
        <v>44401</v>
      </c>
      <c r="F279" s="59">
        <v>42818</v>
      </c>
      <c r="G279" s="15">
        <f t="shared" si="9"/>
        <v>44401</v>
      </c>
      <c r="H279" s="15">
        <f t="shared" si="10"/>
        <v>0</v>
      </c>
      <c r="I279" s="21"/>
    </row>
    <row r="280" spans="1:9" ht="15.75" x14ac:dyDescent="0.25">
      <c r="A280" s="51">
        <v>42797</v>
      </c>
      <c r="B280" s="52" t="s">
        <v>8054</v>
      </c>
      <c r="C280" s="18">
        <v>103058</v>
      </c>
      <c r="D280" s="2" t="s">
        <v>83</v>
      </c>
      <c r="E280" s="15">
        <v>5092.8</v>
      </c>
      <c r="F280" s="59">
        <v>42797</v>
      </c>
      <c r="G280" s="15">
        <f t="shared" si="9"/>
        <v>5092.8</v>
      </c>
      <c r="H280" s="15">
        <f t="shared" si="10"/>
        <v>0</v>
      </c>
      <c r="I280" s="21"/>
    </row>
    <row r="281" spans="1:9" ht="15.75" x14ac:dyDescent="0.25">
      <c r="A281" s="51">
        <v>42797</v>
      </c>
      <c r="B281" s="52" t="s">
        <v>8055</v>
      </c>
      <c r="C281" s="18">
        <v>103059</v>
      </c>
      <c r="D281" s="2" t="s">
        <v>281</v>
      </c>
      <c r="E281" s="15">
        <v>2140.6</v>
      </c>
      <c r="F281" s="59">
        <v>42797</v>
      </c>
      <c r="G281" s="15">
        <f t="shared" si="9"/>
        <v>2140.6</v>
      </c>
      <c r="H281" s="15">
        <f t="shared" si="10"/>
        <v>0</v>
      </c>
      <c r="I281" s="21"/>
    </row>
    <row r="282" spans="1:9" ht="15.75" x14ac:dyDescent="0.25">
      <c r="A282" s="51">
        <v>42797</v>
      </c>
      <c r="B282" s="58" t="s">
        <v>8056</v>
      </c>
      <c r="C282" s="18">
        <v>103060</v>
      </c>
      <c r="D282" s="2" t="s">
        <v>99</v>
      </c>
      <c r="E282" s="15">
        <v>1840</v>
      </c>
      <c r="F282" s="59">
        <v>42797</v>
      </c>
      <c r="G282" s="15">
        <f t="shared" si="9"/>
        <v>1840</v>
      </c>
      <c r="H282" s="15">
        <f t="shared" si="10"/>
        <v>0</v>
      </c>
      <c r="I282" s="21"/>
    </row>
    <row r="283" spans="1:9" ht="15.75" x14ac:dyDescent="0.25">
      <c r="A283" s="51">
        <v>42797</v>
      </c>
      <c r="B283" s="52" t="s">
        <v>8057</v>
      </c>
      <c r="C283" s="18">
        <v>103061</v>
      </c>
      <c r="D283" s="2" t="s">
        <v>101</v>
      </c>
      <c r="E283" s="15">
        <v>920</v>
      </c>
      <c r="F283" s="59">
        <v>42797</v>
      </c>
      <c r="G283" s="15">
        <f t="shared" si="9"/>
        <v>920</v>
      </c>
      <c r="H283" s="15">
        <f t="shared" si="10"/>
        <v>0</v>
      </c>
      <c r="I283" s="21"/>
    </row>
    <row r="284" spans="1:9" ht="15.75" x14ac:dyDescent="0.25">
      <c r="A284" s="51">
        <v>42797</v>
      </c>
      <c r="B284" s="52" t="s">
        <v>8058</v>
      </c>
      <c r="C284" s="18">
        <v>103062</v>
      </c>
      <c r="D284" s="2" t="s">
        <v>1259</v>
      </c>
      <c r="E284" s="15">
        <v>1881</v>
      </c>
      <c r="F284" s="59">
        <v>42797</v>
      </c>
      <c r="G284" s="15">
        <f t="shared" si="9"/>
        <v>1881</v>
      </c>
      <c r="H284" s="15">
        <f t="shared" si="10"/>
        <v>0</v>
      </c>
      <c r="I284" s="21"/>
    </row>
    <row r="285" spans="1:9" ht="15.75" x14ac:dyDescent="0.25">
      <c r="A285" s="51">
        <v>42797</v>
      </c>
      <c r="B285" s="52" t="s">
        <v>8059</v>
      </c>
      <c r="C285" s="18">
        <v>103063</v>
      </c>
      <c r="D285" s="2" t="s">
        <v>92</v>
      </c>
      <c r="E285" s="15">
        <v>1974</v>
      </c>
      <c r="F285" s="59">
        <v>42797</v>
      </c>
      <c r="G285" s="15">
        <f t="shared" si="9"/>
        <v>1974</v>
      </c>
      <c r="H285" s="15">
        <f t="shared" si="10"/>
        <v>0</v>
      </c>
      <c r="I285" s="21"/>
    </row>
    <row r="286" spans="1:9" ht="15.75" x14ac:dyDescent="0.25">
      <c r="A286" s="51">
        <v>42797</v>
      </c>
      <c r="B286" s="52" t="s">
        <v>8060</v>
      </c>
      <c r="C286" s="18">
        <v>103064</v>
      </c>
      <c r="D286" s="2" t="s">
        <v>30</v>
      </c>
      <c r="E286" s="15">
        <v>1778.7</v>
      </c>
      <c r="F286" s="59">
        <v>42797</v>
      </c>
      <c r="G286" s="15">
        <f t="shared" si="9"/>
        <v>1778.7</v>
      </c>
      <c r="H286" s="15">
        <f t="shared" si="10"/>
        <v>0</v>
      </c>
      <c r="I286" s="21"/>
    </row>
    <row r="287" spans="1:9" ht="15.75" x14ac:dyDescent="0.25">
      <c r="A287" s="51">
        <v>42797</v>
      </c>
      <c r="B287" s="52" t="s">
        <v>8061</v>
      </c>
      <c r="C287" s="18">
        <v>103065</v>
      </c>
      <c r="D287" s="2" t="s">
        <v>208</v>
      </c>
      <c r="E287" s="15">
        <v>11679.2</v>
      </c>
      <c r="F287" s="59">
        <v>42797</v>
      </c>
      <c r="G287" s="15">
        <f t="shared" si="9"/>
        <v>11679.2</v>
      </c>
      <c r="H287" s="15">
        <f t="shared" si="10"/>
        <v>0</v>
      </c>
      <c r="I287" s="21"/>
    </row>
    <row r="288" spans="1:9" ht="15.75" x14ac:dyDescent="0.25">
      <c r="A288" s="51">
        <v>42797</v>
      </c>
      <c r="B288" s="52" t="s">
        <v>8062</v>
      </c>
      <c r="C288" s="18">
        <v>103066</v>
      </c>
      <c r="D288" s="2" t="s">
        <v>205</v>
      </c>
      <c r="E288" s="15">
        <v>21019</v>
      </c>
      <c r="F288" s="59">
        <v>42797</v>
      </c>
      <c r="G288" s="15">
        <f t="shared" si="9"/>
        <v>21019</v>
      </c>
      <c r="H288" s="15">
        <f t="shared" si="10"/>
        <v>0</v>
      </c>
      <c r="I288" s="21"/>
    </row>
    <row r="289" spans="1:9" ht="15.75" x14ac:dyDescent="0.25">
      <c r="A289" s="51">
        <v>42797</v>
      </c>
      <c r="B289" s="52" t="s">
        <v>8063</v>
      </c>
      <c r="C289" s="18">
        <v>103067</v>
      </c>
      <c r="D289" s="2" t="s">
        <v>103</v>
      </c>
      <c r="E289" s="15">
        <v>561.4</v>
      </c>
      <c r="F289" s="59">
        <v>42798</v>
      </c>
      <c r="G289" s="15">
        <f t="shared" si="9"/>
        <v>561.4</v>
      </c>
      <c r="H289" s="15">
        <f t="shared" si="10"/>
        <v>0</v>
      </c>
      <c r="I289" s="21"/>
    </row>
    <row r="290" spans="1:9" ht="15.75" x14ac:dyDescent="0.25">
      <c r="A290" s="51">
        <v>42797</v>
      </c>
      <c r="B290" s="52" t="s">
        <v>8064</v>
      </c>
      <c r="C290" s="18">
        <v>103068</v>
      </c>
      <c r="D290" s="2" t="s">
        <v>1081</v>
      </c>
      <c r="E290" s="15">
        <v>385</v>
      </c>
      <c r="F290" s="59">
        <v>42797</v>
      </c>
      <c r="G290" s="15">
        <f t="shared" si="9"/>
        <v>385</v>
      </c>
      <c r="H290" s="15">
        <f t="shared" si="10"/>
        <v>0</v>
      </c>
      <c r="I290" s="21"/>
    </row>
    <row r="291" spans="1:9" ht="30" x14ac:dyDescent="0.25">
      <c r="A291" s="59">
        <v>42797</v>
      </c>
      <c r="B291" s="60" t="s">
        <v>8065</v>
      </c>
      <c r="C291" s="61">
        <v>103069</v>
      </c>
      <c r="D291" s="62" t="s">
        <v>1256</v>
      </c>
      <c r="E291" s="63">
        <v>4390</v>
      </c>
      <c r="F291" s="64" t="s">
        <v>8066</v>
      </c>
      <c r="G291" s="65">
        <f>132.5+500+3757.5</f>
        <v>4390</v>
      </c>
      <c r="H291" s="65">
        <f t="shared" si="10"/>
        <v>0</v>
      </c>
      <c r="I291" s="21"/>
    </row>
    <row r="292" spans="1:9" ht="15.75" x14ac:dyDescent="0.25">
      <c r="A292" s="51">
        <v>42797</v>
      </c>
      <c r="B292" s="52" t="s">
        <v>8067</v>
      </c>
      <c r="C292" s="18">
        <v>103070</v>
      </c>
      <c r="D292" s="2" t="s">
        <v>109</v>
      </c>
      <c r="E292" s="15">
        <v>5281.2</v>
      </c>
      <c r="F292" s="59">
        <v>42797</v>
      </c>
      <c r="G292" s="15">
        <f t="shared" si="9"/>
        <v>5281.2</v>
      </c>
      <c r="H292" s="15">
        <f t="shared" si="10"/>
        <v>0</v>
      </c>
      <c r="I292" s="21"/>
    </row>
    <row r="293" spans="1:9" ht="15.75" x14ac:dyDescent="0.25">
      <c r="A293" s="51">
        <v>42797</v>
      </c>
      <c r="B293" s="52" t="s">
        <v>8068</v>
      </c>
      <c r="C293" s="18">
        <v>103071</v>
      </c>
      <c r="D293" s="2" t="s">
        <v>105</v>
      </c>
      <c r="E293" s="15">
        <v>2723.2</v>
      </c>
      <c r="F293" s="59">
        <v>42798</v>
      </c>
      <c r="G293" s="15">
        <f t="shared" si="9"/>
        <v>2723.2</v>
      </c>
      <c r="H293" s="15">
        <f t="shared" si="10"/>
        <v>0</v>
      </c>
      <c r="I293" s="21"/>
    </row>
    <row r="294" spans="1:9" ht="15.75" x14ac:dyDescent="0.25">
      <c r="A294" s="51">
        <v>42797</v>
      </c>
      <c r="B294" s="52" t="s">
        <v>8069</v>
      </c>
      <c r="C294" s="18">
        <v>103072</v>
      </c>
      <c r="D294" s="2" t="s">
        <v>81</v>
      </c>
      <c r="E294" s="15">
        <v>3191.3</v>
      </c>
      <c r="F294" s="59">
        <v>42797</v>
      </c>
      <c r="G294" s="15">
        <f t="shared" si="9"/>
        <v>3191.3</v>
      </c>
      <c r="H294" s="15">
        <f t="shared" si="10"/>
        <v>0</v>
      </c>
      <c r="I294" s="21"/>
    </row>
    <row r="295" spans="1:9" ht="15.75" x14ac:dyDescent="0.25">
      <c r="A295" s="51">
        <v>42797</v>
      </c>
      <c r="B295" s="52" t="s">
        <v>8070</v>
      </c>
      <c r="C295" s="18">
        <v>103073</v>
      </c>
      <c r="D295" s="2" t="s">
        <v>613</v>
      </c>
      <c r="E295" s="15">
        <v>3024</v>
      </c>
      <c r="F295" s="59">
        <v>42797</v>
      </c>
      <c r="G295" s="15">
        <f t="shared" si="9"/>
        <v>3024</v>
      </c>
      <c r="H295" s="15">
        <f t="shared" si="10"/>
        <v>0</v>
      </c>
      <c r="I295" s="21"/>
    </row>
    <row r="296" spans="1:9" ht="15.75" x14ac:dyDescent="0.25">
      <c r="A296" s="51">
        <v>42797</v>
      </c>
      <c r="B296" s="52" t="s">
        <v>8071</v>
      </c>
      <c r="C296" s="18">
        <v>103074</v>
      </c>
      <c r="D296" s="2" t="s">
        <v>879</v>
      </c>
      <c r="E296" s="15">
        <v>3146.4</v>
      </c>
      <c r="F296" s="59">
        <v>42797</v>
      </c>
      <c r="G296" s="15">
        <f t="shared" si="9"/>
        <v>3146.4</v>
      </c>
      <c r="H296" s="15">
        <f t="shared" si="10"/>
        <v>0</v>
      </c>
      <c r="I296" s="21"/>
    </row>
    <row r="297" spans="1:9" ht="15.75" x14ac:dyDescent="0.25">
      <c r="A297" s="51">
        <v>42797</v>
      </c>
      <c r="B297" s="52" t="s">
        <v>8072</v>
      </c>
      <c r="C297" s="18">
        <v>103075</v>
      </c>
      <c r="D297" s="2" t="s">
        <v>71</v>
      </c>
      <c r="E297" s="15">
        <v>4928</v>
      </c>
      <c r="F297" s="59">
        <v>42797</v>
      </c>
      <c r="G297" s="15">
        <f t="shared" si="9"/>
        <v>4928</v>
      </c>
      <c r="H297" s="15">
        <f t="shared" si="10"/>
        <v>0</v>
      </c>
      <c r="I297" s="19"/>
    </row>
    <row r="298" spans="1:9" ht="15.75" x14ac:dyDescent="0.25">
      <c r="A298" s="51">
        <v>42797</v>
      </c>
      <c r="B298" s="52" t="s">
        <v>8073</v>
      </c>
      <c r="C298" s="18">
        <v>103076</v>
      </c>
      <c r="D298" s="13" t="s">
        <v>88</v>
      </c>
      <c r="E298" s="14">
        <v>0</v>
      </c>
      <c r="F298" s="102" t="s">
        <v>95</v>
      </c>
      <c r="G298" s="14">
        <f t="shared" si="9"/>
        <v>0</v>
      </c>
      <c r="H298" s="14">
        <f t="shared" si="10"/>
        <v>0</v>
      </c>
      <c r="I298" s="19"/>
    </row>
    <row r="299" spans="1:9" ht="15.75" x14ac:dyDescent="0.25">
      <c r="A299" s="51">
        <v>42797</v>
      </c>
      <c r="B299" s="52" t="s">
        <v>8074</v>
      </c>
      <c r="C299" s="18">
        <v>103077</v>
      </c>
      <c r="D299" s="2" t="s">
        <v>88</v>
      </c>
      <c r="E299" s="15">
        <v>14040</v>
      </c>
      <c r="F299" s="59">
        <v>42797</v>
      </c>
      <c r="G299" s="15">
        <f t="shared" si="9"/>
        <v>14040</v>
      </c>
      <c r="H299" s="15">
        <f t="shared" si="10"/>
        <v>0</v>
      </c>
      <c r="I299" s="19"/>
    </row>
    <row r="300" spans="1:9" ht="15.75" x14ac:dyDescent="0.25">
      <c r="A300" s="51">
        <v>42797</v>
      </c>
      <c r="B300" s="52" t="s">
        <v>8075</v>
      </c>
      <c r="C300" s="18">
        <v>103078</v>
      </c>
      <c r="D300" s="2" t="s">
        <v>163</v>
      </c>
      <c r="E300" s="15">
        <v>10029.799999999999</v>
      </c>
      <c r="F300" s="59">
        <v>42816</v>
      </c>
      <c r="G300" s="15">
        <f t="shared" si="9"/>
        <v>10029.799999999999</v>
      </c>
      <c r="H300" s="15">
        <f t="shared" si="10"/>
        <v>0</v>
      </c>
      <c r="I300" s="19"/>
    </row>
    <row r="301" spans="1:9" ht="15.75" x14ac:dyDescent="0.25">
      <c r="A301" s="51">
        <v>42797</v>
      </c>
      <c r="B301" s="52" t="s">
        <v>8076</v>
      </c>
      <c r="C301" s="18">
        <v>103079</v>
      </c>
      <c r="D301" s="2" t="s">
        <v>172</v>
      </c>
      <c r="E301" s="15">
        <v>34150.400000000001</v>
      </c>
      <c r="F301" s="59">
        <v>42804</v>
      </c>
      <c r="G301" s="15">
        <f t="shared" si="9"/>
        <v>34150.400000000001</v>
      </c>
      <c r="H301" s="15">
        <f t="shared" si="10"/>
        <v>0</v>
      </c>
      <c r="I301" s="19"/>
    </row>
    <row r="302" spans="1:9" ht="15.75" x14ac:dyDescent="0.25">
      <c r="A302" s="51">
        <v>42797</v>
      </c>
      <c r="B302" s="52" t="s">
        <v>8077</v>
      </c>
      <c r="C302" s="18">
        <v>103080</v>
      </c>
      <c r="D302" s="2" t="s">
        <v>165</v>
      </c>
      <c r="E302" s="15">
        <v>2994.6</v>
      </c>
      <c r="F302" s="59">
        <v>42816</v>
      </c>
      <c r="G302" s="15">
        <f t="shared" si="9"/>
        <v>2994.6</v>
      </c>
      <c r="H302" s="15">
        <f t="shared" si="10"/>
        <v>0</v>
      </c>
      <c r="I302" s="19"/>
    </row>
    <row r="303" spans="1:9" ht="15.75" x14ac:dyDescent="0.25">
      <c r="A303" s="51">
        <v>42797</v>
      </c>
      <c r="B303" s="52" t="s">
        <v>8078</v>
      </c>
      <c r="C303" s="18">
        <v>103081</v>
      </c>
      <c r="D303" s="2" t="s">
        <v>422</v>
      </c>
      <c r="E303" s="15">
        <v>2305.6</v>
      </c>
      <c r="F303" s="59">
        <v>42797</v>
      </c>
      <c r="G303" s="15">
        <f t="shared" si="9"/>
        <v>2305.6</v>
      </c>
      <c r="H303" s="15">
        <f t="shared" si="10"/>
        <v>0</v>
      </c>
      <c r="I303" s="19"/>
    </row>
    <row r="304" spans="1:9" ht="15.75" x14ac:dyDescent="0.25">
      <c r="A304" s="51">
        <v>42797</v>
      </c>
      <c r="B304" s="52" t="s">
        <v>8079</v>
      </c>
      <c r="C304" s="18">
        <v>103082</v>
      </c>
      <c r="D304" s="2" t="s">
        <v>492</v>
      </c>
      <c r="E304" s="15">
        <v>27896.6</v>
      </c>
      <c r="F304" s="59">
        <v>42798</v>
      </c>
      <c r="G304" s="15">
        <f t="shared" si="9"/>
        <v>27896.6</v>
      </c>
      <c r="H304" s="15">
        <f t="shared" si="10"/>
        <v>0</v>
      </c>
      <c r="I304" s="19"/>
    </row>
    <row r="305" spans="1:9" ht="15.75" x14ac:dyDescent="0.25">
      <c r="A305" s="51">
        <v>42797</v>
      </c>
      <c r="B305" s="52" t="s">
        <v>8080</v>
      </c>
      <c r="C305" s="18">
        <v>103083</v>
      </c>
      <c r="D305" s="2" t="s">
        <v>866</v>
      </c>
      <c r="E305" s="15">
        <v>5598.2</v>
      </c>
      <c r="F305" s="59">
        <v>42797</v>
      </c>
      <c r="G305" s="15">
        <f t="shared" si="9"/>
        <v>5598.2</v>
      </c>
      <c r="H305" s="15">
        <f t="shared" si="10"/>
        <v>0</v>
      </c>
      <c r="I305" s="19"/>
    </row>
    <row r="306" spans="1:9" ht="15.75" x14ac:dyDescent="0.25">
      <c r="A306" s="51">
        <v>42797</v>
      </c>
      <c r="B306" s="52" t="s">
        <v>8081</v>
      </c>
      <c r="C306" s="18">
        <v>103084</v>
      </c>
      <c r="D306" s="2" t="s">
        <v>125</v>
      </c>
      <c r="E306" s="15">
        <v>7405.2</v>
      </c>
      <c r="F306" s="59">
        <v>42797</v>
      </c>
      <c r="G306" s="15">
        <f t="shared" si="9"/>
        <v>7405.2</v>
      </c>
      <c r="H306" s="15">
        <f t="shared" si="10"/>
        <v>0</v>
      </c>
      <c r="I306" s="19"/>
    </row>
    <row r="307" spans="1:9" ht="15.75" x14ac:dyDescent="0.25">
      <c r="A307" s="51">
        <v>42797</v>
      </c>
      <c r="B307" s="52" t="s">
        <v>8082</v>
      </c>
      <c r="C307" s="18">
        <v>103085</v>
      </c>
      <c r="D307" s="13" t="s">
        <v>155</v>
      </c>
      <c r="E307" s="14">
        <v>0</v>
      </c>
      <c r="F307" s="102" t="s">
        <v>95</v>
      </c>
      <c r="G307" s="14">
        <f t="shared" si="9"/>
        <v>0</v>
      </c>
      <c r="H307" s="14">
        <f t="shared" si="10"/>
        <v>0</v>
      </c>
      <c r="I307" s="19"/>
    </row>
    <row r="308" spans="1:9" ht="15.75" x14ac:dyDescent="0.25">
      <c r="A308" s="51">
        <v>42797</v>
      </c>
      <c r="B308" s="52" t="s">
        <v>8083</v>
      </c>
      <c r="C308" s="18">
        <v>103086</v>
      </c>
      <c r="D308" s="2" t="s">
        <v>302</v>
      </c>
      <c r="E308" s="15">
        <v>11021.4</v>
      </c>
      <c r="F308" s="59">
        <v>42798</v>
      </c>
      <c r="G308" s="15">
        <f t="shared" si="9"/>
        <v>11021.4</v>
      </c>
      <c r="H308" s="15">
        <f t="shared" si="10"/>
        <v>0</v>
      </c>
      <c r="I308" s="19"/>
    </row>
    <row r="309" spans="1:9" ht="15.75" x14ac:dyDescent="0.25">
      <c r="A309" s="51">
        <v>42797</v>
      </c>
      <c r="B309" s="52" t="s">
        <v>8084</v>
      </c>
      <c r="C309" s="18">
        <v>103087</v>
      </c>
      <c r="D309" s="2" t="s">
        <v>128</v>
      </c>
      <c r="E309" s="15">
        <v>1518.9</v>
      </c>
      <c r="F309" s="59">
        <v>42797</v>
      </c>
      <c r="G309" s="15">
        <f t="shared" si="9"/>
        <v>1518.9</v>
      </c>
      <c r="H309" s="15">
        <f t="shared" si="10"/>
        <v>0</v>
      </c>
      <c r="I309" s="19"/>
    </row>
    <row r="310" spans="1:9" ht="15.75" x14ac:dyDescent="0.25">
      <c r="A310" s="51">
        <v>42797</v>
      </c>
      <c r="B310" s="52" t="s">
        <v>8085</v>
      </c>
      <c r="C310" s="18">
        <v>103088</v>
      </c>
      <c r="D310" s="2" t="s">
        <v>472</v>
      </c>
      <c r="E310" s="15">
        <v>1980</v>
      </c>
      <c r="F310" s="59">
        <v>42816</v>
      </c>
      <c r="G310" s="15">
        <f t="shared" si="9"/>
        <v>1980</v>
      </c>
      <c r="H310" s="15">
        <f t="shared" si="10"/>
        <v>0</v>
      </c>
      <c r="I310" s="19"/>
    </row>
    <row r="311" spans="1:9" ht="15.75" x14ac:dyDescent="0.25">
      <c r="A311" s="51">
        <v>42797</v>
      </c>
      <c r="B311" s="52" t="s">
        <v>8086</v>
      </c>
      <c r="C311" s="18">
        <v>103089</v>
      </c>
      <c r="D311" s="2" t="s">
        <v>12</v>
      </c>
      <c r="E311" s="15">
        <v>1984.5</v>
      </c>
      <c r="F311" s="59">
        <v>42797</v>
      </c>
      <c r="G311" s="15">
        <f t="shared" si="9"/>
        <v>1984.5</v>
      </c>
      <c r="H311" s="15">
        <f t="shared" si="10"/>
        <v>0</v>
      </c>
      <c r="I311" s="19"/>
    </row>
    <row r="312" spans="1:9" ht="15.75" x14ac:dyDescent="0.25">
      <c r="A312" s="51">
        <v>42797</v>
      </c>
      <c r="B312" s="52" t="s">
        <v>8087</v>
      </c>
      <c r="C312" s="18">
        <v>103090</v>
      </c>
      <c r="D312" s="2" t="s">
        <v>30</v>
      </c>
      <c r="E312" s="15">
        <v>2416.5</v>
      </c>
      <c r="F312" s="59">
        <v>42797</v>
      </c>
      <c r="G312" s="15">
        <f t="shared" si="9"/>
        <v>2416.5</v>
      </c>
      <c r="H312" s="15">
        <f t="shared" si="10"/>
        <v>0</v>
      </c>
      <c r="I312" s="19"/>
    </row>
    <row r="313" spans="1:9" ht="15.75" x14ac:dyDescent="0.25">
      <c r="A313" s="51">
        <v>42797</v>
      </c>
      <c r="B313" s="52" t="s">
        <v>8088</v>
      </c>
      <c r="C313" s="18">
        <v>103091</v>
      </c>
      <c r="D313" s="2" t="s">
        <v>30</v>
      </c>
      <c r="E313" s="15">
        <v>720.8</v>
      </c>
      <c r="F313" s="59">
        <v>42797</v>
      </c>
      <c r="G313" s="15">
        <f t="shared" si="9"/>
        <v>720.8</v>
      </c>
      <c r="H313" s="15">
        <f t="shared" si="10"/>
        <v>0</v>
      </c>
      <c r="I313" s="19"/>
    </row>
    <row r="314" spans="1:9" ht="15.75" x14ac:dyDescent="0.25">
      <c r="A314" s="51">
        <v>42797</v>
      </c>
      <c r="B314" s="52" t="s">
        <v>8089</v>
      </c>
      <c r="C314" s="18">
        <v>103092</v>
      </c>
      <c r="D314" s="2" t="s">
        <v>277</v>
      </c>
      <c r="E314" s="15">
        <v>4038</v>
      </c>
      <c r="F314" s="59">
        <v>42797</v>
      </c>
      <c r="G314" s="15">
        <f t="shared" si="9"/>
        <v>4038</v>
      </c>
      <c r="H314" s="15">
        <f t="shared" si="10"/>
        <v>0</v>
      </c>
      <c r="I314" s="19"/>
    </row>
    <row r="315" spans="1:9" ht="15.75" x14ac:dyDescent="0.25">
      <c r="A315" s="51">
        <v>42797</v>
      </c>
      <c r="B315" s="52" t="s">
        <v>8090</v>
      </c>
      <c r="C315" s="18">
        <v>103093</v>
      </c>
      <c r="D315" s="2" t="s">
        <v>159</v>
      </c>
      <c r="E315" s="15">
        <v>8009</v>
      </c>
      <c r="F315" s="59">
        <v>42797</v>
      </c>
      <c r="G315" s="15">
        <f t="shared" si="9"/>
        <v>8009</v>
      </c>
      <c r="H315" s="15">
        <f t="shared" si="10"/>
        <v>0</v>
      </c>
      <c r="I315" s="19"/>
    </row>
    <row r="316" spans="1:9" ht="15.75" x14ac:dyDescent="0.25">
      <c r="A316" s="51">
        <v>42797</v>
      </c>
      <c r="B316" s="52" t="s">
        <v>8091</v>
      </c>
      <c r="C316" s="18">
        <v>103094</v>
      </c>
      <c r="D316" s="2" t="s">
        <v>131</v>
      </c>
      <c r="E316" s="15">
        <v>8262</v>
      </c>
      <c r="F316" s="59">
        <v>42797</v>
      </c>
      <c r="G316" s="15">
        <f t="shared" si="9"/>
        <v>8262</v>
      </c>
      <c r="H316" s="15">
        <f t="shared" si="10"/>
        <v>0</v>
      </c>
      <c r="I316" s="19"/>
    </row>
    <row r="317" spans="1:9" ht="15.75" x14ac:dyDescent="0.25">
      <c r="A317" s="51">
        <v>42797</v>
      </c>
      <c r="B317" s="52" t="s">
        <v>8092</v>
      </c>
      <c r="C317" s="18">
        <v>103095</v>
      </c>
      <c r="D317" s="2" t="s">
        <v>470</v>
      </c>
      <c r="E317" s="15">
        <v>10445.700000000001</v>
      </c>
      <c r="F317" s="59">
        <v>42797</v>
      </c>
      <c r="G317" s="15">
        <f t="shared" si="9"/>
        <v>10445.700000000001</v>
      </c>
      <c r="H317" s="15">
        <f t="shared" si="10"/>
        <v>0</v>
      </c>
      <c r="I317" s="19"/>
    </row>
    <row r="318" spans="1:9" ht="15.75" x14ac:dyDescent="0.25">
      <c r="A318" s="51">
        <v>42797</v>
      </c>
      <c r="B318" s="52" t="s">
        <v>8093</v>
      </c>
      <c r="C318" s="18">
        <v>103096</v>
      </c>
      <c r="D318" s="2" t="s">
        <v>785</v>
      </c>
      <c r="E318" s="15">
        <v>15474.8</v>
      </c>
      <c r="F318" s="59">
        <v>42797</v>
      </c>
      <c r="G318" s="15">
        <f t="shared" si="9"/>
        <v>15474.8</v>
      </c>
      <c r="H318" s="15">
        <f t="shared" si="10"/>
        <v>0</v>
      </c>
      <c r="I318" s="19"/>
    </row>
    <row r="319" spans="1:9" ht="15.75" x14ac:dyDescent="0.25">
      <c r="A319" s="51">
        <v>42797</v>
      </c>
      <c r="B319" s="52" t="s">
        <v>8094</v>
      </c>
      <c r="C319" s="18">
        <v>103097</v>
      </c>
      <c r="D319" s="2" t="s">
        <v>2240</v>
      </c>
      <c r="E319" s="15">
        <v>4289.3999999999996</v>
      </c>
      <c r="F319" s="59">
        <v>42797</v>
      </c>
      <c r="G319" s="15">
        <f t="shared" si="9"/>
        <v>4289.3999999999996</v>
      </c>
      <c r="H319" s="15">
        <f t="shared" si="10"/>
        <v>0</v>
      </c>
      <c r="I319" s="19"/>
    </row>
    <row r="320" spans="1:9" ht="15.75" x14ac:dyDescent="0.25">
      <c r="A320" s="51">
        <v>42797</v>
      </c>
      <c r="B320" s="52" t="s">
        <v>8095</v>
      </c>
      <c r="C320" s="18">
        <v>103098</v>
      </c>
      <c r="D320" s="2" t="s">
        <v>61</v>
      </c>
      <c r="E320" s="15">
        <v>2782.8</v>
      </c>
      <c r="F320" s="59">
        <v>42798</v>
      </c>
      <c r="G320" s="15">
        <f t="shared" si="9"/>
        <v>2782.8</v>
      </c>
      <c r="H320" s="15">
        <f t="shared" si="10"/>
        <v>0</v>
      </c>
      <c r="I320" s="19"/>
    </row>
    <row r="321" spans="1:9" ht="15.75" x14ac:dyDescent="0.25">
      <c r="A321" s="51">
        <v>42797</v>
      </c>
      <c r="B321" s="52" t="s">
        <v>8096</v>
      </c>
      <c r="C321" s="18">
        <v>103099</v>
      </c>
      <c r="D321" s="13" t="s">
        <v>2616</v>
      </c>
      <c r="E321" s="14">
        <v>0</v>
      </c>
      <c r="F321" s="102" t="s">
        <v>95</v>
      </c>
      <c r="G321" s="14">
        <f t="shared" si="9"/>
        <v>0</v>
      </c>
      <c r="H321" s="14">
        <f t="shared" si="10"/>
        <v>0</v>
      </c>
      <c r="I321" s="19"/>
    </row>
    <row r="322" spans="1:9" ht="15.75" x14ac:dyDescent="0.25">
      <c r="A322" s="51">
        <v>42797</v>
      </c>
      <c r="B322" s="52" t="s">
        <v>8097</v>
      </c>
      <c r="C322" s="18">
        <v>103100</v>
      </c>
      <c r="D322" s="2" t="s">
        <v>2616</v>
      </c>
      <c r="E322" s="15">
        <v>30101.61</v>
      </c>
      <c r="F322" s="59">
        <v>42798</v>
      </c>
      <c r="G322" s="15">
        <f t="shared" si="9"/>
        <v>30101.61</v>
      </c>
      <c r="H322" s="15">
        <f t="shared" si="10"/>
        <v>0</v>
      </c>
      <c r="I322" s="19"/>
    </row>
    <row r="323" spans="1:9" ht="15.75" x14ac:dyDescent="0.25">
      <c r="A323" s="51">
        <v>42797</v>
      </c>
      <c r="B323" s="52" t="s">
        <v>8098</v>
      </c>
      <c r="C323" s="18">
        <v>103101</v>
      </c>
      <c r="D323" s="2" t="s">
        <v>53</v>
      </c>
      <c r="E323" s="15">
        <v>2670.8</v>
      </c>
      <c r="F323" s="59">
        <v>42798</v>
      </c>
      <c r="G323" s="15">
        <f t="shared" si="9"/>
        <v>2670.8</v>
      </c>
      <c r="H323" s="15">
        <f t="shared" si="10"/>
        <v>0</v>
      </c>
      <c r="I323" s="19"/>
    </row>
    <row r="324" spans="1:9" ht="15.75" x14ac:dyDescent="0.25">
      <c r="A324" s="51">
        <v>42797</v>
      </c>
      <c r="B324" s="52" t="s">
        <v>8099</v>
      </c>
      <c r="C324" s="18">
        <v>103102</v>
      </c>
      <c r="D324" s="2" t="s">
        <v>609</v>
      </c>
      <c r="E324" s="15">
        <v>14590.8</v>
      </c>
      <c r="F324" s="59">
        <v>42802</v>
      </c>
      <c r="G324" s="15">
        <f t="shared" ref="G324:G387" si="11">E324</f>
        <v>14590.8</v>
      </c>
      <c r="H324" s="15">
        <f t="shared" ref="H324:H387" si="12">E324-G324</f>
        <v>0</v>
      </c>
      <c r="I324" s="19"/>
    </row>
    <row r="325" spans="1:9" ht="15.75" x14ac:dyDescent="0.25">
      <c r="A325" s="51">
        <v>42797</v>
      </c>
      <c r="B325" s="52" t="s">
        <v>8100</v>
      </c>
      <c r="C325" s="18">
        <v>103103</v>
      </c>
      <c r="D325" s="2" t="s">
        <v>806</v>
      </c>
      <c r="E325" s="15">
        <v>2921.6</v>
      </c>
      <c r="F325" s="59">
        <v>42797</v>
      </c>
      <c r="G325" s="15">
        <f t="shared" si="11"/>
        <v>2921.6</v>
      </c>
      <c r="H325" s="15">
        <f t="shared" si="12"/>
        <v>0</v>
      </c>
      <c r="I325" s="19"/>
    </row>
    <row r="326" spans="1:9" ht="15.75" x14ac:dyDescent="0.25">
      <c r="A326" s="51">
        <v>42797</v>
      </c>
      <c r="B326" s="52" t="s">
        <v>8101</v>
      </c>
      <c r="C326" s="18">
        <v>103104</v>
      </c>
      <c r="D326" s="2" t="s">
        <v>1141</v>
      </c>
      <c r="E326" s="15">
        <v>745.2</v>
      </c>
      <c r="F326" s="59">
        <v>42797</v>
      </c>
      <c r="G326" s="15">
        <f t="shared" si="11"/>
        <v>745.2</v>
      </c>
      <c r="H326" s="15">
        <f t="shared" si="12"/>
        <v>0</v>
      </c>
      <c r="I326" s="19"/>
    </row>
    <row r="327" spans="1:9" ht="15.75" x14ac:dyDescent="0.25">
      <c r="A327" s="51">
        <v>42797</v>
      </c>
      <c r="B327" s="52" t="s">
        <v>8102</v>
      </c>
      <c r="C327" s="18">
        <v>103105</v>
      </c>
      <c r="D327" s="2" t="s">
        <v>61</v>
      </c>
      <c r="E327" s="15">
        <v>440</v>
      </c>
      <c r="F327" s="59">
        <v>42798</v>
      </c>
      <c r="G327" s="15">
        <f t="shared" si="11"/>
        <v>440</v>
      </c>
      <c r="H327" s="15">
        <f t="shared" si="12"/>
        <v>0</v>
      </c>
      <c r="I327" s="19"/>
    </row>
    <row r="328" spans="1:9" ht="15.75" x14ac:dyDescent="0.25">
      <c r="A328" s="51">
        <v>42797</v>
      </c>
      <c r="B328" s="52" t="s">
        <v>8103</v>
      </c>
      <c r="C328" s="18">
        <v>103106</v>
      </c>
      <c r="D328" s="2" t="s">
        <v>8104</v>
      </c>
      <c r="E328" s="15">
        <v>3331.6</v>
      </c>
      <c r="F328" s="59">
        <v>42798</v>
      </c>
      <c r="G328" s="15">
        <f t="shared" si="11"/>
        <v>3331.6</v>
      </c>
      <c r="H328" s="15">
        <f t="shared" si="12"/>
        <v>0</v>
      </c>
      <c r="I328" s="19"/>
    </row>
    <row r="329" spans="1:9" ht="15.75" x14ac:dyDescent="0.25">
      <c r="A329" s="51">
        <v>42797</v>
      </c>
      <c r="B329" s="52" t="s">
        <v>8105</v>
      </c>
      <c r="C329" s="18">
        <v>103107</v>
      </c>
      <c r="D329" s="2" t="s">
        <v>331</v>
      </c>
      <c r="E329" s="15">
        <v>2188.1999999999998</v>
      </c>
      <c r="F329" s="59">
        <v>42798</v>
      </c>
      <c r="G329" s="15">
        <f t="shared" si="11"/>
        <v>2188.1999999999998</v>
      </c>
      <c r="H329" s="15">
        <f t="shared" si="12"/>
        <v>0</v>
      </c>
      <c r="I329" s="19"/>
    </row>
    <row r="330" spans="1:9" ht="15.75" x14ac:dyDescent="0.25">
      <c r="A330" s="51">
        <v>42797</v>
      </c>
      <c r="B330" s="52" t="s">
        <v>8106</v>
      </c>
      <c r="C330" s="18">
        <v>103108</v>
      </c>
      <c r="D330" s="2" t="s">
        <v>184</v>
      </c>
      <c r="E330" s="15">
        <v>1344.2</v>
      </c>
      <c r="F330" s="59">
        <v>42798</v>
      </c>
      <c r="G330" s="15">
        <f t="shared" si="11"/>
        <v>1344.2</v>
      </c>
      <c r="H330" s="15">
        <f t="shared" si="12"/>
        <v>0</v>
      </c>
      <c r="I330" s="19"/>
    </row>
    <row r="331" spans="1:9" ht="15.75" x14ac:dyDescent="0.25">
      <c r="A331" s="51">
        <v>42797</v>
      </c>
      <c r="B331" s="52" t="s">
        <v>8107</v>
      </c>
      <c r="C331" s="18">
        <v>103109</v>
      </c>
      <c r="D331" s="2" t="s">
        <v>188</v>
      </c>
      <c r="E331" s="15">
        <v>3473.3</v>
      </c>
      <c r="F331" s="59">
        <v>42798</v>
      </c>
      <c r="G331" s="15">
        <f t="shared" si="11"/>
        <v>3473.3</v>
      </c>
      <c r="H331" s="15">
        <f t="shared" si="12"/>
        <v>0</v>
      </c>
      <c r="I331" s="19"/>
    </row>
    <row r="332" spans="1:9" ht="15.75" x14ac:dyDescent="0.25">
      <c r="A332" s="51">
        <v>42797</v>
      </c>
      <c r="B332" s="52" t="s">
        <v>8108</v>
      </c>
      <c r="C332" s="18">
        <v>103110</v>
      </c>
      <c r="D332" s="2" t="s">
        <v>19</v>
      </c>
      <c r="E332" s="15">
        <v>2070</v>
      </c>
      <c r="F332" s="59">
        <v>42798</v>
      </c>
      <c r="G332" s="15">
        <f t="shared" si="11"/>
        <v>2070</v>
      </c>
      <c r="H332" s="15">
        <f t="shared" si="12"/>
        <v>0</v>
      </c>
      <c r="I332" s="19"/>
    </row>
    <row r="333" spans="1:9" ht="15.75" x14ac:dyDescent="0.25">
      <c r="A333" s="51">
        <v>42797</v>
      </c>
      <c r="B333" s="52" t="s">
        <v>8109</v>
      </c>
      <c r="C333" s="18">
        <v>103111</v>
      </c>
      <c r="D333" s="2" t="s">
        <v>430</v>
      </c>
      <c r="E333" s="15">
        <v>2128</v>
      </c>
      <c r="G333" s="15">
        <f t="shared" si="11"/>
        <v>2128</v>
      </c>
      <c r="H333" s="15">
        <f t="shared" si="12"/>
        <v>0</v>
      </c>
      <c r="I333" s="19"/>
    </row>
    <row r="334" spans="1:9" ht="15.75" x14ac:dyDescent="0.25">
      <c r="A334" s="51">
        <v>42797</v>
      </c>
      <c r="B334" s="52" t="s">
        <v>8110</v>
      </c>
      <c r="C334" s="18">
        <v>103112</v>
      </c>
      <c r="D334" s="2" t="s">
        <v>182</v>
      </c>
      <c r="E334" s="15">
        <v>2760</v>
      </c>
      <c r="F334" s="59">
        <v>42798</v>
      </c>
      <c r="G334" s="15">
        <f t="shared" si="11"/>
        <v>2760</v>
      </c>
      <c r="H334" s="15">
        <f t="shared" si="12"/>
        <v>0</v>
      </c>
      <c r="I334" s="19"/>
    </row>
    <row r="335" spans="1:9" ht="15.75" x14ac:dyDescent="0.25">
      <c r="A335" s="51">
        <v>42797</v>
      </c>
      <c r="B335" s="52" t="s">
        <v>8111</v>
      </c>
      <c r="C335" s="18">
        <v>103113</v>
      </c>
      <c r="D335" s="2" t="s">
        <v>193</v>
      </c>
      <c r="E335" s="15">
        <v>1935</v>
      </c>
      <c r="F335" s="59">
        <v>42798</v>
      </c>
      <c r="G335" s="15">
        <f t="shared" si="11"/>
        <v>1935</v>
      </c>
      <c r="H335" s="15">
        <f t="shared" si="12"/>
        <v>0</v>
      </c>
      <c r="I335" s="19"/>
    </row>
    <row r="336" spans="1:9" ht="15.75" x14ac:dyDescent="0.25">
      <c r="A336" s="51">
        <v>42797</v>
      </c>
      <c r="B336" s="52" t="s">
        <v>8112</v>
      </c>
      <c r="C336" s="18">
        <v>103114</v>
      </c>
      <c r="D336" s="2" t="s">
        <v>57</v>
      </c>
      <c r="E336" s="15">
        <v>644</v>
      </c>
      <c r="F336" s="59">
        <v>42798</v>
      </c>
      <c r="G336" s="15">
        <f t="shared" si="11"/>
        <v>644</v>
      </c>
      <c r="H336" s="15">
        <f t="shared" si="12"/>
        <v>0</v>
      </c>
      <c r="I336" s="19"/>
    </row>
    <row r="337" spans="1:12" ht="15.75" x14ac:dyDescent="0.25">
      <c r="A337" s="51">
        <v>42797</v>
      </c>
      <c r="B337" s="52" t="s">
        <v>8113</v>
      </c>
      <c r="C337" s="18">
        <v>103115</v>
      </c>
      <c r="D337" s="2" t="s">
        <v>205</v>
      </c>
      <c r="E337" s="15">
        <v>39938.239999999998</v>
      </c>
      <c r="F337" s="59">
        <v>42797</v>
      </c>
      <c r="G337" s="15">
        <f t="shared" si="11"/>
        <v>39938.239999999998</v>
      </c>
      <c r="H337" s="15">
        <f t="shared" si="12"/>
        <v>0</v>
      </c>
      <c r="I337" s="19"/>
    </row>
    <row r="338" spans="1:12" ht="15.75" x14ac:dyDescent="0.25">
      <c r="A338" s="51">
        <v>42797</v>
      </c>
      <c r="B338" s="52" t="s">
        <v>8114</v>
      </c>
      <c r="C338" s="18">
        <v>103116</v>
      </c>
      <c r="D338" s="2" t="s">
        <v>289</v>
      </c>
      <c r="E338" s="15">
        <v>51011.92</v>
      </c>
      <c r="F338" s="59">
        <v>42818</v>
      </c>
      <c r="G338" s="15">
        <f t="shared" si="11"/>
        <v>51011.92</v>
      </c>
      <c r="H338" s="15">
        <f t="shared" si="12"/>
        <v>0</v>
      </c>
      <c r="I338" s="19"/>
    </row>
    <row r="339" spans="1:12" ht="15.75" x14ac:dyDescent="0.25">
      <c r="A339" s="51">
        <v>42797</v>
      </c>
      <c r="B339" s="52" t="s">
        <v>8115</v>
      </c>
      <c r="C339" s="18">
        <v>103117</v>
      </c>
      <c r="D339" s="2" t="s">
        <v>118</v>
      </c>
      <c r="E339" s="15">
        <v>30939.81</v>
      </c>
      <c r="F339" s="59">
        <v>42797</v>
      </c>
      <c r="G339" s="15">
        <f t="shared" si="11"/>
        <v>30939.81</v>
      </c>
      <c r="H339" s="15">
        <f t="shared" si="12"/>
        <v>0</v>
      </c>
      <c r="I339" s="19"/>
    </row>
    <row r="340" spans="1:12" ht="15.75" x14ac:dyDescent="0.25">
      <c r="A340" s="51">
        <v>42797</v>
      </c>
      <c r="B340" s="52" t="s">
        <v>8116</v>
      </c>
      <c r="C340" s="18">
        <v>103118</v>
      </c>
      <c r="D340" s="2" t="s">
        <v>354</v>
      </c>
      <c r="E340" s="15">
        <v>804.8</v>
      </c>
      <c r="F340" s="59">
        <v>42797</v>
      </c>
      <c r="G340" s="15">
        <f t="shared" si="11"/>
        <v>804.8</v>
      </c>
      <c r="H340" s="15">
        <f t="shared" si="12"/>
        <v>0</v>
      </c>
      <c r="I340" s="19"/>
    </row>
    <row r="341" spans="1:12" ht="15.75" x14ac:dyDescent="0.25">
      <c r="A341" s="51">
        <v>42797</v>
      </c>
      <c r="B341" s="52" t="s">
        <v>8117</v>
      </c>
      <c r="C341" s="18">
        <v>103119</v>
      </c>
      <c r="D341" s="2" t="s">
        <v>2986</v>
      </c>
      <c r="E341" s="15">
        <v>2812</v>
      </c>
      <c r="F341" s="59">
        <v>42797</v>
      </c>
      <c r="G341" s="15">
        <f t="shared" si="11"/>
        <v>2812</v>
      </c>
      <c r="H341" s="15">
        <f t="shared" si="12"/>
        <v>0</v>
      </c>
      <c r="I341" s="19"/>
    </row>
    <row r="342" spans="1:12" ht="15.75" x14ac:dyDescent="0.25">
      <c r="A342" s="51">
        <v>42797</v>
      </c>
      <c r="B342" s="52" t="s">
        <v>8118</v>
      </c>
      <c r="C342" s="18">
        <v>103120</v>
      </c>
      <c r="D342" s="2" t="s">
        <v>465</v>
      </c>
      <c r="E342" s="15">
        <v>5397.6</v>
      </c>
      <c r="F342" s="59">
        <v>42810</v>
      </c>
      <c r="G342" s="15">
        <f t="shared" si="11"/>
        <v>5397.6</v>
      </c>
      <c r="H342" s="15">
        <f t="shared" si="12"/>
        <v>0</v>
      </c>
      <c r="I342" s="19"/>
    </row>
    <row r="343" spans="1:12" ht="15.75" x14ac:dyDescent="0.25">
      <c r="A343" s="51">
        <v>42797</v>
      </c>
      <c r="B343" s="52" t="s">
        <v>8119</v>
      </c>
      <c r="C343" s="18">
        <v>103121</v>
      </c>
      <c r="D343" s="2" t="s">
        <v>312</v>
      </c>
      <c r="E343" s="15">
        <v>19819.400000000001</v>
      </c>
      <c r="F343" s="59">
        <v>42846</v>
      </c>
      <c r="G343" s="15">
        <f t="shared" si="11"/>
        <v>19819.400000000001</v>
      </c>
      <c r="H343" s="15">
        <f t="shared" si="12"/>
        <v>0</v>
      </c>
      <c r="I343" s="19"/>
    </row>
    <row r="344" spans="1:12" ht="15.75" x14ac:dyDescent="0.25">
      <c r="A344" s="51">
        <v>42797</v>
      </c>
      <c r="B344" s="52" t="s">
        <v>8120</v>
      </c>
      <c r="C344" s="18">
        <v>103122</v>
      </c>
      <c r="D344" s="2" t="s">
        <v>3636</v>
      </c>
      <c r="E344" s="15">
        <v>30525.200000000001</v>
      </c>
      <c r="F344" s="59">
        <v>42797</v>
      </c>
      <c r="G344" s="15">
        <f t="shared" si="11"/>
        <v>30525.200000000001</v>
      </c>
      <c r="H344" s="15">
        <f t="shared" si="12"/>
        <v>0</v>
      </c>
      <c r="I344" s="19"/>
    </row>
    <row r="345" spans="1:12" ht="15.75" x14ac:dyDescent="0.25">
      <c r="A345" s="51">
        <v>42797</v>
      </c>
      <c r="B345" s="52" t="s">
        <v>8121</v>
      </c>
      <c r="C345" s="18">
        <v>103123</v>
      </c>
      <c r="D345" s="2" t="s">
        <v>250</v>
      </c>
      <c r="E345" s="15">
        <v>3863.2</v>
      </c>
      <c r="F345" s="64" t="s">
        <v>7755</v>
      </c>
      <c r="G345" s="20">
        <f>1900+1963.2</f>
        <v>3863.2</v>
      </c>
      <c r="H345" s="20">
        <f t="shared" si="12"/>
        <v>0</v>
      </c>
      <c r="I345" s="19"/>
    </row>
    <row r="346" spans="1:12" ht="15.75" x14ac:dyDescent="0.25">
      <c r="A346" s="51">
        <v>42797</v>
      </c>
      <c r="B346" s="52" t="s">
        <v>8122</v>
      </c>
      <c r="C346" s="18">
        <v>103124</v>
      </c>
      <c r="D346" s="2" t="s">
        <v>122</v>
      </c>
      <c r="E346" s="15">
        <v>10507</v>
      </c>
      <c r="F346" s="59">
        <v>42804</v>
      </c>
      <c r="G346" s="15">
        <f t="shared" si="11"/>
        <v>10507</v>
      </c>
      <c r="H346" s="15">
        <f t="shared" si="12"/>
        <v>0</v>
      </c>
      <c r="I346" s="19"/>
    </row>
    <row r="347" spans="1:12" ht="15.75" x14ac:dyDescent="0.25">
      <c r="A347" s="51">
        <v>42797</v>
      </c>
      <c r="B347" s="52" t="s">
        <v>8123</v>
      </c>
      <c r="C347" s="18">
        <v>103125</v>
      </c>
      <c r="D347" s="2" t="s">
        <v>352</v>
      </c>
      <c r="E347" s="15">
        <v>2335.9</v>
      </c>
      <c r="F347" s="59">
        <v>42797</v>
      </c>
      <c r="G347" s="15">
        <f t="shared" si="11"/>
        <v>2335.9</v>
      </c>
      <c r="H347" s="15">
        <f t="shared" si="12"/>
        <v>0</v>
      </c>
      <c r="I347" s="19"/>
    </row>
    <row r="348" spans="1:12" ht="15.75" x14ac:dyDescent="0.25">
      <c r="A348" s="51">
        <v>42797</v>
      </c>
      <c r="B348" s="52" t="s">
        <v>8124</v>
      </c>
      <c r="C348" s="18">
        <v>103126</v>
      </c>
      <c r="D348" s="2" t="s">
        <v>289</v>
      </c>
      <c r="E348" s="15">
        <v>32047.62</v>
      </c>
      <c r="F348" s="59">
        <v>42818</v>
      </c>
      <c r="G348" s="15">
        <f t="shared" si="11"/>
        <v>32047.62</v>
      </c>
      <c r="H348" s="15">
        <f t="shared" si="12"/>
        <v>0</v>
      </c>
      <c r="I348" s="19"/>
    </row>
    <row r="349" spans="1:12" ht="15.75" x14ac:dyDescent="0.25">
      <c r="A349" s="51">
        <v>42797</v>
      </c>
      <c r="B349" s="52" t="s">
        <v>8125</v>
      </c>
      <c r="C349" s="18">
        <v>103127</v>
      </c>
      <c r="D349" s="2" t="s">
        <v>9</v>
      </c>
      <c r="E349" s="15">
        <v>3162.4</v>
      </c>
      <c r="F349" s="59">
        <v>42802</v>
      </c>
      <c r="G349" s="15">
        <f t="shared" si="11"/>
        <v>3162.4</v>
      </c>
      <c r="H349" s="15">
        <f t="shared" si="12"/>
        <v>0</v>
      </c>
      <c r="I349" s="19"/>
    </row>
    <row r="350" spans="1:12" ht="15.75" x14ac:dyDescent="0.25">
      <c r="A350" s="51">
        <v>42797</v>
      </c>
      <c r="B350" s="52" t="s">
        <v>8126</v>
      </c>
      <c r="C350" s="18">
        <v>103128</v>
      </c>
      <c r="D350" s="2" t="s">
        <v>222</v>
      </c>
      <c r="E350" s="15">
        <v>21768.3</v>
      </c>
      <c r="G350" s="15">
        <f t="shared" si="11"/>
        <v>21768.3</v>
      </c>
      <c r="H350" s="15">
        <f t="shared" si="12"/>
        <v>0</v>
      </c>
      <c r="I350" s="19"/>
    </row>
    <row r="351" spans="1:12" ht="15.75" x14ac:dyDescent="0.25">
      <c r="A351" s="51">
        <v>42797</v>
      </c>
      <c r="B351" s="52" t="s">
        <v>8127</v>
      </c>
      <c r="C351" s="18">
        <v>103129</v>
      </c>
      <c r="D351" s="2" t="s">
        <v>1126</v>
      </c>
      <c r="E351" s="15">
        <v>3120</v>
      </c>
      <c r="F351" s="59">
        <v>42802</v>
      </c>
      <c r="G351" s="15">
        <f t="shared" si="11"/>
        <v>3120</v>
      </c>
      <c r="H351" s="15">
        <f t="shared" si="12"/>
        <v>0</v>
      </c>
      <c r="I351" s="19"/>
    </row>
    <row r="352" spans="1:12" ht="18.75" x14ac:dyDescent="0.3">
      <c r="A352" s="51">
        <v>42797</v>
      </c>
      <c r="B352" s="52" t="s">
        <v>8128</v>
      </c>
      <c r="C352" s="18">
        <v>103130</v>
      </c>
      <c r="D352" s="2" t="s">
        <v>693</v>
      </c>
      <c r="E352" s="15">
        <v>25392.400000000001</v>
      </c>
      <c r="F352" s="59">
        <v>42803</v>
      </c>
      <c r="G352" s="15">
        <f t="shared" si="11"/>
        <v>25392.400000000001</v>
      </c>
      <c r="H352" s="15">
        <f t="shared" si="12"/>
        <v>0</v>
      </c>
      <c r="I352" s="19"/>
      <c r="K352" s="22"/>
      <c r="L352" s="22"/>
    </row>
    <row r="353" spans="1:9" ht="15.75" x14ac:dyDescent="0.25">
      <c r="A353" s="51">
        <v>42797</v>
      </c>
      <c r="B353" s="52" t="s">
        <v>8129</v>
      </c>
      <c r="C353" s="18">
        <v>103131</v>
      </c>
      <c r="D353" s="2" t="s">
        <v>211</v>
      </c>
      <c r="E353" s="15">
        <v>9013.4</v>
      </c>
      <c r="F353" s="59">
        <v>42797</v>
      </c>
      <c r="G353" s="15">
        <f t="shared" si="11"/>
        <v>9013.4</v>
      </c>
      <c r="H353" s="15">
        <f t="shared" si="12"/>
        <v>0</v>
      </c>
      <c r="I353" s="19"/>
    </row>
    <row r="354" spans="1:9" ht="15.75" x14ac:dyDescent="0.25">
      <c r="A354" s="51">
        <v>42797</v>
      </c>
      <c r="B354" s="52" t="s">
        <v>8130</v>
      </c>
      <c r="C354" s="18">
        <v>103132</v>
      </c>
      <c r="D354" s="2" t="s">
        <v>10</v>
      </c>
      <c r="E354" s="15">
        <v>221388.61</v>
      </c>
      <c r="F354" s="64" t="s">
        <v>8131</v>
      </c>
      <c r="G354" s="20">
        <f>25416.22+195972.39</f>
        <v>221388.61000000002</v>
      </c>
      <c r="H354" s="20">
        <f t="shared" si="12"/>
        <v>0</v>
      </c>
      <c r="I354" s="19"/>
    </row>
    <row r="355" spans="1:9" ht="15.75" x14ac:dyDescent="0.25">
      <c r="A355" s="51">
        <v>42797</v>
      </c>
      <c r="B355" s="52" t="s">
        <v>8132</v>
      </c>
      <c r="C355" s="18">
        <v>103133</v>
      </c>
      <c r="D355" s="2" t="s">
        <v>2240</v>
      </c>
      <c r="E355" s="15">
        <v>5905.5</v>
      </c>
      <c r="F355" s="59">
        <v>42797</v>
      </c>
      <c r="G355" s="15">
        <f t="shared" si="11"/>
        <v>5905.5</v>
      </c>
      <c r="H355" s="15">
        <f t="shared" si="12"/>
        <v>0</v>
      </c>
      <c r="I355" s="19"/>
    </row>
    <row r="356" spans="1:9" ht="15.75" x14ac:dyDescent="0.25">
      <c r="A356" s="51">
        <v>42797</v>
      </c>
      <c r="B356" s="52" t="s">
        <v>8133</v>
      </c>
      <c r="C356" s="18">
        <v>103134</v>
      </c>
      <c r="D356" s="2" t="s">
        <v>379</v>
      </c>
      <c r="E356" s="15">
        <v>1516</v>
      </c>
      <c r="F356" s="59">
        <v>42797</v>
      </c>
      <c r="G356" s="15">
        <f t="shared" si="11"/>
        <v>1516</v>
      </c>
      <c r="H356" s="15">
        <f t="shared" si="12"/>
        <v>0</v>
      </c>
      <c r="I356" s="19"/>
    </row>
    <row r="357" spans="1:9" ht="15.75" x14ac:dyDescent="0.25">
      <c r="A357" s="51">
        <v>42797</v>
      </c>
      <c r="B357" s="52" t="s">
        <v>8134</v>
      </c>
      <c r="C357" s="18">
        <v>103135</v>
      </c>
      <c r="D357" s="2" t="s">
        <v>10</v>
      </c>
      <c r="E357" s="15">
        <v>40468</v>
      </c>
      <c r="F357" s="59">
        <v>42803</v>
      </c>
      <c r="G357" s="15">
        <f t="shared" si="11"/>
        <v>40468</v>
      </c>
      <c r="H357" s="15">
        <f t="shared" si="12"/>
        <v>0</v>
      </c>
      <c r="I357" s="19"/>
    </row>
    <row r="358" spans="1:9" ht="15.75" x14ac:dyDescent="0.25">
      <c r="A358" s="51">
        <v>42797</v>
      </c>
      <c r="B358" s="52" t="s">
        <v>8135</v>
      </c>
      <c r="C358" s="18">
        <v>103136</v>
      </c>
      <c r="D358" s="2" t="s">
        <v>236</v>
      </c>
      <c r="E358" s="15">
        <v>39257.08</v>
      </c>
      <c r="F358" s="59">
        <v>42807</v>
      </c>
      <c r="G358" s="15">
        <f t="shared" si="11"/>
        <v>39257.08</v>
      </c>
      <c r="H358" s="15">
        <f t="shared" si="12"/>
        <v>0</v>
      </c>
      <c r="I358" s="19"/>
    </row>
    <row r="359" spans="1:9" ht="15.75" x14ac:dyDescent="0.25">
      <c r="A359" s="51">
        <v>42797</v>
      </c>
      <c r="B359" s="52" t="s">
        <v>8136</v>
      </c>
      <c r="C359" s="18">
        <v>103137</v>
      </c>
      <c r="D359" s="2" t="s">
        <v>10</v>
      </c>
      <c r="E359" s="15">
        <v>6093.9</v>
      </c>
      <c r="F359" s="59">
        <v>42803</v>
      </c>
      <c r="G359" s="15">
        <f t="shared" si="11"/>
        <v>6093.9</v>
      </c>
      <c r="H359" s="15">
        <f t="shared" si="12"/>
        <v>0</v>
      </c>
      <c r="I359" s="19"/>
    </row>
    <row r="360" spans="1:9" ht="15.75" x14ac:dyDescent="0.25">
      <c r="A360" s="51">
        <v>42797</v>
      </c>
      <c r="B360" s="52" t="s">
        <v>8137</v>
      </c>
      <c r="C360" s="18">
        <v>103138</v>
      </c>
      <c r="D360" s="2" t="s">
        <v>921</v>
      </c>
      <c r="E360" s="15">
        <v>4307.1000000000004</v>
      </c>
      <c r="F360" s="59">
        <v>42797</v>
      </c>
      <c r="G360" s="15">
        <f t="shared" si="11"/>
        <v>4307.1000000000004</v>
      </c>
      <c r="H360" s="15">
        <f t="shared" si="12"/>
        <v>0</v>
      </c>
      <c r="I360" s="19"/>
    </row>
    <row r="361" spans="1:9" ht="15.75" x14ac:dyDescent="0.25">
      <c r="A361" s="51">
        <v>42797</v>
      </c>
      <c r="B361" s="52" t="s">
        <v>8138</v>
      </c>
      <c r="C361" s="18">
        <v>103139</v>
      </c>
      <c r="D361" s="2" t="s">
        <v>55</v>
      </c>
      <c r="E361" s="15">
        <v>3637.7</v>
      </c>
      <c r="F361" s="59">
        <v>42797</v>
      </c>
      <c r="G361" s="15">
        <f t="shared" si="11"/>
        <v>3637.7</v>
      </c>
      <c r="H361" s="15">
        <f t="shared" si="12"/>
        <v>0</v>
      </c>
      <c r="I361" s="19"/>
    </row>
    <row r="362" spans="1:9" ht="15.75" x14ac:dyDescent="0.25">
      <c r="A362" s="51">
        <v>42797</v>
      </c>
      <c r="B362" s="52" t="s">
        <v>8139</v>
      </c>
      <c r="C362" s="18">
        <v>103140</v>
      </c>
      <c r="D362" s="2" t="s">
        <v>220</v>
      </c>
      <c r="E362" s="15">
        <v>2010.8</v>
      </c>
      <c r="F362" s="59">
        <v>42798</v>
      </c>
      <c r="G362" s="15">
        <f t="shared" si="11"/>
        <v>2010.8</v>
      </c>
      <c r="H362" s="15">
        <f t="shared" si="12"/>
        <v>0</v>
      </c>
      <c r="I362" s="19"/>
    </row>
    <row r="363" spans="1:9" ht="15.75" x14ac:dyDescent="0.25">
      <c r="A363" s="51">
        <v>42798</v>
      </c>
      <c r="B363" s="52" t="s">
        <v>8140</v>
      </c>
      <c r="C363" s="18">
        <v>103141</v>
      </c>
      <c r="D363" s="2" t="s">
        <v>374</v>
      </c>
      <c r="E363" s="15">
        <v>1957.5</v>
      </c>
      <c r="F363" s="59">
        <v>42798</v>
      </c>
      <c r="G363" s="15">
        <f t="shared" si="11"/>
        <v>1957.5</v>
      </c>
      <c r="H363" s="15">
        <f t="shared" si="12"/>
        <v>0</v>
      </c>
      <c r="I363" s="19"/>
    </row>
    <row r="364" spans="1:9" ht="15.75" x14ac:dyDescent="0.25">
      <c r="A364" s="51">
        <v>42798</v>
      </c>
      <c r="B364" s="52" t="s">
        <v>8141</v>
      </c>
      <c r="C364" s="18">
        <v>103142</v>
      </c>
      <c r="D364" s="2" t="s">
        <v>231</v>
      </c>
      <c r="E364" s="15">
        <v>9118</v>
      </c>
      <c r="F364" s="59">
        <v>42799</v>
      </c>
      <c r="G364" s="15">
        <f t="shared" si="11"/>
        <v>9118</v>
      </c>
      <c r="H364" s="15">
        <f t="shared" si="12"/>
        <v>0</v>
      </c>
      <c r="I364" s="19"/>
    </row>
    <row r="365" spans="1:9" ht="15.75" customHeight="1" x14ac:dyDescent="0.25">
      <c r="A365" s="51">
        <v>42798</v>
      </c>
      <c r="B365" s="52" t="s">
        <v>8142</v>
      </c>
      <c r="C365" s="18">
        <v>103143</v>
      </c>
      <c r="D365" s="2" t="s">
        <v>28</v>
      </c>
      <c r="E365" s="15">
        <v>4485.6000000000004</v>
      </c>
      <c r="F365" s="59">
        <v>42798</v>
      </c>
      <c r="G365" s="15">
        <f t="shared" si="11"/>
        <v>4485.6000000000004</v>
      </c>
      <c r="H365" s="15">
        <f t="shared" si="12"/>
        <v>0</v>
      </c>
      <c r="I365" s="19"/>
    </row>
    <row r="366" spans="1:9" ht="15.75" x14ac:dyDescent="0.25">
      <c r="A366" s="51">
        <v>42798</v>
      </c>
      <c r="B366" s="52" t="s">
        <v>8143</v>
      </c>
      <c r="C366" s="18">
        <v>103144</v>
      </c>
      <c r="D366" s="2" t="s">
        <v>231</v>
      </c>
      <c r="E366" s="15">
        <v>38475.699999999997</v>
      </c>
      <c r="F366" s="59">
        <v>42799</v>
      </c>
      <c r="G366" s="15">
        <f t="shared" si="11"/>
        <v>38475.699999999997</v>
      </c>
      <c r="H366" s="15">
        <f t="shared" si="12"/>
        <v>0</v>
      </c>
      <c r="I366" s="19"/>
    </row>
    <row r="367" spans="1:9" ht="15.75" x14ac:dyDescent="0.25">
      <c r="A367" s="51">
        <v>42798</v>
      </c>
      <c r="B367" s="52" t="s">
        <v>8144</v>
      </c>
      <c r="C367" s="18">
        <v>103145</v>
      </c>
      <c r="D367" s="2" t="s">
        <v>55</v>
      </c>
      <c r="E367" s="15">
        <v>7322</v>
      </c>
      <c r="F367" s="59">
        <v>42798</v>
      </c>
      <c r="G367" s="15">
        <f t="shared" si="11"/>
        <v>7322</v>
      </c>
      <c r="H367" s="15">
        <f t="shared" si="12"/>
        <v>0</v>
      </c>
      <c r="I367" s="19"/>
    </row>
    <row r="368" spans="1:9" ht="15.75" x14ac:dyDescent="0.25">
      <c r="A368" s="51">
        <v>42798</v>
      </c>
      <c r="B368" s="52" t="s">
        <v>8145</v>
      </c>
      <c r="C368" s="18">
        <v>103146</v>
      </c>
      <c r="D368" s="2" t="s">
        <v>26</v>
      </c>
      <c r="E368" s="15">
        <v>18960</v>
      </c>
      <c r="F368" s="59">
        <v>42798</v>
      </c>
      <c r="G368" s="15">
        <f t="shared" si="11"/>
        <v>18960</v>
      </c>
      <c r="H368" s="15">
        <f t="shared" si="12"/>
        <v>0</v>
      </c>
      <c r="I368" s="19"/>
    </row>
    <row r="369" spans="1:9" ht="15.75" x14ac:dyDescent="0.25">
      <c r="A369" s="51">
        <v>42798</v>
      </c>
      <c r="B369" s="52" t="s">
        <v>8146</v>
      </c>
      <c r="C369" s="18">
        <v>103147</v>
      </c>
      <c r="D369" s="2" t="s">
        <v>35</v>
      </c>
      <c r="E369" s="15">
        <v>31506.799999999999</v>
      </c>
      <c r="F369" s="64" t="s">
        <v>8147</v>
      </c>
      <c r="G369" s="20">
        <f>24000+7506.8</f>
        <v>31506.799999999999</v>
      </c>
      <c r="H369" s="20">
        <f t="shared" si="12"/>
        <v>0</v>
      </c>
      <c r="I369" s="19"/>
    </row>
    <row r="370" spans="1:9" ht="15.75" x14ac:dyDescent="0.25">
      <c r="A370" s="51">
        <v>42798</v>
      </c>
      <c r="B370" s="52" t="s">
        <v>8148</v>
      </c>
      <c r="C370" s="18">
        <v>103148</v>
      </c>
      <c r="D370" s="2" t="s">
        <v>1335</v>
      </c>
      <c r="E370" s="15">
        <v>8353.7999999999993</v>
      </c>
      <c r="F370" s="59">
        <v>42798</v>
      </c>
      <c r="G370" s="15">
        <f t="shared" si="11"/>
        <v>8353.7999999999993</v>
      </c>
      <c r="H370" s="15">
        <f t="shared" si="12"/>
        <v>0</v>
      </c>
      <c r="I370" s="19"/>
    </row>
    <row r="371" spans="1:9" ht="15.75" x14ac:dyDescent="0.25">
      <c r="A371" s="51">
        <v>42798</v>
      </c>
      <c r="B371" s="52" t="s">
        <v>8149</v>
      </c>
      <c r="C371" s="18">
        <v>103149</v>
      </c>
      <c r="D371" s="2" t="s">
        <v>17</v>
      </c>
      <c r="E371" s="15">
        <v>5060</v>
      </c>
      <c r="F371" s="59">
        <v>42798</v>
      </c>
      <c r="G371" s="15">
        <f t="shared" si="11"/>
        <v>5060</v>
      </c>
      <c r="H371" s="15">
        <f t="shared" si="12"/>
        <v>0</v>
      </c>
      <c r="I371" s="19"/>
    </row>
    <row r="372" spans="1:9" ht="15.75" x14ac:dyDescent="0.25">
      <c r="A372" s="51">
        <v>42798</v>
      </c>
      <c r="B372" s="52" t="s">
        <v>8150</v>
      </c>
      <c r="C372" s="18">
        <v>103150</v>
      </c>
      <c r="D372" s="2" t="s">
        <v>19</v>
      </c>
      <c r="E372" s="15">
        <v>1380</v>
      </c>
      <c r="F372" s="59">
        <v>42798</v>
      </c>
      <c r="G372" s="15">
        <f t="shared" si="11"/>
        <v>1380</v>
      </c>
      <c r="H372" s="15">
        <f t="shared" si="12"/>
        <v>0</v>
      </c>
      <c r="I372" s="19"/>
    </row>
    <row r="373" spans="1:9" ht="15.75" x14ac:dyDescent="0.25">
      <c r="A373" s="51">
        <v>42798</v>
      </c>
      <c r="B373" s="52" t="s">
        <v>8151</v>
      </c>
      <c r="C373" s="18">
        <v>103151</v>
      </c>
      <c r="D373" s="2" t="s">
        <v>428</v>
      </c>
      <c r="E373" s="15">
        <v>1927</v>
      </c>
      <c r="F373" s="59">
        <v>42800</v>
      </c>
      <c r="G373" s="15">
        <f t="shared" si="11"/>
        <v>1927</v>
      </c>
      <c r="H373" s="15">
        <f t="shared" si="12"/>
        <v>0</v>
      </c>
      <c r="I373" s="19"/>
    </row>
    <row r="374" spans="1:9" ht="15.75" x14ac:dyDescent="0.25">
      <c r="A374" s="51">
        <v>42798</v>
      </c>
      <c r="B374" s="52" t="s">
        <v>8152</v>
      </c>
      <c r="C374" s="18">
        <v>103152</v>
      </c>
      <c r="D374" s="2" t="s">
        <v>1335</v>
      </c>
      <c r="E374" s="15">
        <v>253.3</v>
      </c>
      <c r="F374" s="59">
        <v>42798</v>
      </c>
      <c r="G374" s="15">
        <f t="shared" si="11"/>
        <v>253.3</v>
      </c>
      <c r="H374" s="15">
        <f t="shared" si="12"/>
        <v>0</v>
      </c>
      <c r="I374" s="19"/>
    </row>
    <row r="375" spans="1:9" ht="15.75" x14ac:dyDescent="0.25">
      <c r="A375" s="51">
        <v>42798</v>
      </c>
      <c r="B375" s="52" t="s">
        <v>8153</v>
      </c>
      <c r="C375" s="18">
        <v>103153</v>
      </c>
      <c r="D375" s="2" t="s">
        <v>32</v>
      </c>
      <c r="E375" s="15">
        <v>13173</v>
      </c>
      <c r="F375" s="59">
        <v>42803</v>
      </c>
      <c r="G375" s="15">
        <f t="shared" si="11"/>
        <v>13173</v>
      </c>
      <c r="H375" s="15">
        <f t="shared" si="12"/>
        <v>0</v>
      </c>
      <c r="I375" s="19"/>
    </row>
    <row r="376" spans="1:9" ht="15.75" x14ac:dyDescent="0.25">
      <c r="A376" s="51">
        <v>42798</v>
      </c>
      <c r="B376" s="52" t="s">
        <v>8154</v>
      </c>
      <c r="C376" s="18">
        <v>103154</v>
      </c>
      <c r="D376" s="2" t="s">
        <v>222</v>
      </c>
      <c r="E376" s="15">
        <v>20345.599999999999</v>
      </c>
      <c r="F376" s="59">
        <v>42800</v>
      </c>
      <c r="G376" s="15">
        <f t="shared" si="11"/>
        <v>20345.599999999999</v>
      </c>
      <c r="H376" s="15">
        <f t="shared" si="12"/>
        <v>0</v>
      </c>
      <c r="I376" s="19"/>
    </row>
    <row r="377" spans="1:9" ht="15.75" x14ac:dyDescent="0.25">
      <c r="A377" s="51">
        <v>42798</v>
      </c>
      <c r="B377" s="52" t="s">
        <v>8155</v>
      </c>
      <c r="C377" s="18">
        <v>103155</v>
      </c>
      <c r="D377" s="2" t="s">
        <v>32</v>
      </c>
      <c r="E377" s="15">
        <v>1120</v>
      </c>
      <c r="F377" s="59">
        <v>42803</v>
      </c>
      <c r="G377" s="15">
        <f t="shared" si="11"/>
        <v>1120</v>
      </c>
      <c r="H377" s="15">
        <f t="shared" si="12"/>
        <v>0</v>
      </c>
      <c r="I377" s="19"/>
    </row>
    <row r="378" spans="1:9" ht="15.75" x14ac:dyDescent="0.25">
      <c r="A378" s="51">
        <v>42798</v>
      </c>
      <c r="B378" s="52" t="s">
        <v>8156</v>
      </c>
      <c r="C378" s="18">
        <v>103156</v>
      </c>
      <c r="D378" s="2" t="s">
        <v>69</v>
      </c>
      <c r="E378" s="15">
        <v>1956.7</v>
      </c>
      <c r="F378" s="59">
        <v>42798</v>
      </c>
      <c r="G378" s="15">
        <f t="shared" si="11"/>
        <v>1956.7</v>
      </c>
      <c r="H378" s="15">
        <f t="shared" si="12"/>
        <v>0</v>
      </c>
      <c r="I378" s="19"/>
    </row>
    <row r="379" spans="1:9" ht="15.75" x14ac:dyDescent="0.25">
      <c r="A379" s="51">
        <v>42798</v>
      </c>
      <c r="B379" s="52" t="s">
        <v>8157</v>
      </c>
      <c r="C379" s="18">
        <v>103157</v>
      </c>
      <c r="D379" s="13" t="s">
        <v>974</v>
      </c>
      <c r="E379" s="14">
        <v>0</v>
      </c>
      <c r="F379" s="102" t="s">
        <v>95</v>
      </c>
      <c r="G379" s="14">
        <f t="shared" si="11"/>
        <v>0</v>
      </c>
      <c r="H379" s="14">
        <f t="shared" si="12"/>
        <v>0</v>
      </c>
      <c r="I379" s="19"/>
    </row>
    <row r="380" spans="1:9" ht="15.75" x14ac:dyDescent="0.25">
      <c r="A380" s="51">
        <v>42798</v>
      </c>
      <c r="B380" s="52" t="s">
        <v>8158</v>
      </c>
      <c r="C380" s="18">
        <v>103158</v>
      </c>
      <c r="D380" s="2" t="s">
        <v>974</v>
      </c>
      <c r="E380" s="15">
        <v>6147.2</v>
      </c>
      <c r="F380" s="59">
        <v>42798</v>
      </c>
      <c r="G380" s="15">
        <f t="shared" si="11"/>
        <v>6147.2</v>
      </c>
      <c r="H380" s="15">
        <f t="shared" si="12"/>
        <v>0</v>
      </c>
      <c r="I380" s="19"/>
    </row>
    <row r="381" spans="1:9" ht="15.75" x14ac:dyDescent="0.25">
      <c r="A381" s="51">
        <v>42798</v>
      </c>
      <c r="B381" s="52" t="s">
        <v>8159</v>
      </c>
      <c r="C381" s="18">
        <v>103159</v>
      </c>
      <c r="D381" s="2" t="s">
        <v>49</v>
      </c>
      <c r="E381" s="15">
        <v>25185.599999999999</v>
      </c>
      <c r="F381" s="59">
        <v>42801</v>
      </c>
      <c r="G381" s="15">
        <f t="shared" si="11"/>
        <v>25185.599999999999</v>
      </c>
      <c r="H381" s="15">
        <f t="shared" si="12"/>
        <v>0</v>
      </c>
      <c r="I381" s="19"/>
    </row>
    <row r="382" spans="1:9" ht="15.75" x14ac:dyDescent="0.25">
      <c r="A382" s="51">
        <v>42798</v>
      </c>
      <c r="B382" s="52" t="s">
        <v>8160</v>
      </c>
      <c r="C382" s="18">
        <v>103160</v>
      </c>
      <c r="D382" s="2" t="s">
        <v>250</v>
      </c>
      <c r="E382" s="15">
        <v>12709.5</v>
      </c>
      <c r="F382" s="64" t="s">
        <v>8161</v>
      </c>
      <c r="G382" s="20">
        <f>10000+2709.5</f>
        <v>12709.5</v>
      </c>
      <c r="H382" s="20">
        <f t="shared" si="12"/>
        <v>0</v>
      </c>
      <c r="I382" s="19"/>
    </row>
    <row r="383" spans="1:9" ht="15.75" x14ac:dyDescent="0.25">
      <c r="A383" s="51">
        <v>42798</v>
      </c>
      <c r="B383" s="52" t="s">
        <v>8162</v>
      </c>
      <c r="C383" s="18">
        <v>103161</v>
      </c>
      <c r="D383" s="2" t="s">
        <v>509</v>
      </c>
      <c r="E383" s="15">
        <v>27642</v>
      </c>
      <c r="F383" s="64" t="s">
        <v>8163</v>
      </c>
      <c r="G383" s="20">
        <f>798+26844</f>
        <v>27642</v>
      </c>
      <c r="H383" s="20">
        <f t="shared" si="12"/>
        <v>0</v>
      </c>
      <c r="I383" s="19"/>
    </row>
    <row r="384" spans="1:9" ht="15.75" x14ac:dyDescent="0.25">
      <c r="A384" s="51">
        <v>42798</v>
      </c>
      <c r="B384" s="52" t="s">
        <v>8164</v>
      </c>
      <c r="C384" s="18">
        <v>103162</v>
      </c>
      <c r="D384" s="2" t="s">
        <v>38</v>
      </c>
      <c r="E384" s="15">
        <v>6849.5</v>
      </c>
      <c r="F384" s="59">
        <v>42802</v>
      </c>
      <c r="G384" s="15">
        <f t="shared" si="11"/>
        <v>6849.5</v>
      </c>
      <c r="H384" s="15">
        <f t="shared" si="12"/>
        <v>0</v>
      </c>
      <c r="I384" s="19"/>
    </row>
    <row r="385" spans="1:9" ht="15.75" x14ac:dyDescent="0.25">
      <c r="A385" s="51">
        <v>42798</v>
      </c>
      <c r="B385" s="52" t="s">
        <v>8165</v>
      </c>
      <c r="C385" s="18">
        <v>103163</v>
      </c>
      <c r="D385" s="2" t="s">
        <v>51</v>
      </c>
      <c r="E385" s="15">
        <v>8022.4</v>
      </c>
      <c r="F385" s="64" t="s">
        <v>8161</v>
      </c>
      <c r="G385" s="20">
        <f>6500+1522.4</f>
        <v>8022.4</v>
      </c>
      <c r="H385" s="20">
        <f t="shared" si="12"/>
        <v>0</v>
      </c>
      <c r="I385" s="19"/>
    </row>
    <row r="386" spans="1:9" ht="15.75" x14ac:dyDescent="0.25">
      <c r="A386" s="51">
        <v>42798</v>
      </c>
      <c r="B386" s="52" t="s">
        <v>8166</v>
      </c>
      <c r="C386" s="18">
        <v>103164</v>
      </c>
      <c r="D386" s="2" t="s">
        <v>721</v>
      </c>
      <c r="E386" s="15">
        <v>7196.5</v>
      </c>
      <c r="F386" s="59">
        <v>42798</v>
      </c>
      <c r="G386" s="15">
        <f>E386</f>
        <v>7196.5</v>
      </c>
      <c r="H386" s="15">
        <f t="shared" si="12"/>
        <v>0</v>
      </c>
      <c r="I386" s="19"/>
    </row>
    <row r="387" spans="1:9" ht="15.75" x14ac:dyDescent="0.25">
      <c r="A387" s="51">
        <v>42798</v>
      </c>
      <c r="B387" s="52" t="s">
        <v>8167</v>
      </c>
      <c r="C387" s="18">
        <v>103165</v>
      </c>
      <c r="D387" s="2" t="s">
        <v>43</v>
      </c>
      <c r="E387" s="15">
        <v>14577.6</v>
      </c>
      <c r="F387" s="59">
        <v>42800</v>
      </c>
      <c r="G387" s="15">
        <f t="shared" si="11"/>
        <v>14577.6</v>
      </c>
      <c r="H387" s="15">
        <f t="shared" si="12"/>
        <v>0</v>
      </c>
      <c r="I387" s="19"/>
    </row>
    <row r="388" spans="1:9" ht="15.75" x14ac:dyDescent="0.25">
      <c r="A388" s="51">
        <v>42798</v>
      </c>
      <c r="B388" s="52" t="s">
        <v>8168</v>
      </c>
      <c r="C388" s="18">
        <v>103166</v>
      </c>
      <c r="D388" s="2" t="s">
        <v>40</v>
      </c>
      <c r="E388" s="15">
        <v>228</v>
      </c>
      <c r="F388" s="59">
        <v>42800</v>
      </c>
      <c r="G388" s="15">
        <f t="shared" ref="G388:G451" si="13">E388</f>
        <v>228</v>
      </c>
      <c r="H388" s="15">
        <f t="shared" ref="H388:H451" si="14">E388-G388</f>
        <v>0</v>
      </c>
      <c r="I388" s="19"/>
    </row>
    <row r="389" spans="1:9" ht="30" x14ac:dyDescent="0.25">
      <c r="A389" s="51">
        <v>42798</v>
      </c>
      <c r="B389" s="60" t="s">
        <v>8169</v>
      </c>
      <c r="C389" s="61">
        <v>103167</v>
      </c>
      <c r="D389" s="62" t="s">
        <v>253</v>
      </c>
      <c r="E389" s="63">
        <v>34933.800000000003</v>
      </c>
      <c r="F389" s="64" t="s">
        <v>8170</v>
      </c>
      <c r="G389" s="65">
        <f>8000+21500+5433.8</f>
        <v>34933.800000000003</v>
      </c>
      <c r="H389" s="65">
        <f t="shared" si="14"/>
        <v>0</v>
      </c>
      <c r="I389" s="19"/>
    </row>
    <row r="390" spans="1:9" ht="15.75" x14ac:dyDescent="0.25">
      <c r="A390" s="51">
        <v>42798</v>
      </c>
      <c r="B390" s="52" t="s">
        <v>8171</v>
      </c>
      <c r="C390" s="18">
        <v>103168</v>
      </c>
      <c r="D390" s="2" t="s">
        <v>1870</v>
      </c>
      <c r="E390" s="15">
        <v>3840.6</v>
      </c>
      <c r="F390" s="59">
        <v>42798</v>
      </c>
      <c r="G390" s="15">
        <f t="shared" si="13"/>
        <v>3840.6</v>
      </c>
      <c r="H390" s="15">
        <f t="shared" si="14"/>
        <v>0</v>
      </c>
      <c r="I390" s="19"/>
    </row>
    <row r="391" spans="1:9" ht="15.75" x14ac:dyDescent="0.25">
      <c r="A391" s="51">
        <v>42798</v>
      </c>
      <c r="B391" s="52" t="s">
        <v>8172</v>
      </c>
      <c r="C391" s="18">
        <v>103169</v>
      </c>
      <c r="D391" s="2" t="s">
        <v>1116</v>
      </c>
      <c r="E391" s="15">
        <v>4120.5</v>
      </c>
      <c r="F391" s="59">
        <v>42799</v>
      </c>
      <c r="G391" s="15">
        <f t="shared" si="13"/>
        <v>4120.5</v>
      </c>
      <c r="H391" s="15">
        <f t="shared" si="14"/>
        <v>0</v>
      </c>
      <c r="I391" s="19"/>
    </row>
    <row r="392" spans="1:9" ht="15.75" x14ac:dyDescent="0.25">
      <c r="A392" s="51">
        <v>42798</v>
      </c>
      <c r="B392" s="52" t="s">
        <v>8173</v>
      </c>
      <c r="C392" s="18">
        <v>103170</v>
      </c>
      <c r="D392" s="2" t="s">
        <v>47</v>
      </c>
      <c r="E392" s="15">
        <v>853.2</v>
      </c>
      <c r="F392" s="59">
        <v>42798</v>
      </c>
      <c r="G392" s="15">
        <f t="shared" si="13"/>
        <v>853.2</v>
      </c>
      <c r="H392" s="15">
        <f t="shared" si="14"/>
        <v>0</v>
      </c>
      <c r="I392" s="19"/>
    </row>
    <row r="393" spans="1:9" ht="15.75" x14ac:dyDescent="0.25">
      <c r="A393" s="51">
        <v>42798</v>
      </c>
      <c r="B393" s="52" t="s">
        <v>8174</v>
      </c>
      <c r="C393" s="18">
        <v>103171</v>
      </c>
      <c r="D393" s="2" t="s">
        <v>312</v>
      </c>
      <c r="E393" s="15">
        <v>12012.6</v>
      </c>
      <c r="F393" s="59">
        <v>42846</v>
      </c>
      <c r="G393" s="15">
        <f t="shared" si="13"/>
        <v>12012.6</v>
      </c>
      <c r="H393" s="15">
        <f t="shared" si="14"/>
        <v>0</v>
      </c>
      <c r="I393" s="19"/>
    </row>
    <row r="394" spans="1:9" ht="15.75" x14ac:dyDescent="0.25">
      <c r="A394" s="51">
        <v>42798</v>
      </c>
      <c r="B394" s="52" t="s">
        <v>8175</v>
      </c>
      <c r="C394" s="18">
        <v>103172</v>
      </c>
      <c r="D394" s="2" t="s">
        <v>457</v>
      </c>
      <c r="E394" s="15">
        <v>1608</v>
      </c>
      <c r="F394" s="59">
        <v>42798</v>
      </c>
      <c r="G394" s="15">
        <f t="shared" si="13"/>
        <v>1608</v>
      </c>
      <c r="H394" s="15">
        <f t="shared" si="14"/>
        <v>0</v>
      </c>
      <c r="I394" s="19"/>
    </row>
    <row r="395" spans="1:9" ht="15.75" x14ac:dyDescent="0.25">
      <c r="A395" s="51">
        <v>42798</v>
      </c>
      <c r="B395" s="52" t="s">
        <v>8176</v>
      </c>
      <c r="C395" s="18">
        <v>103173</v>
      </c>
      <c r="D395" s="2" t="s">
        <v>30</v>
      </c>
      <c r="E395" s="15">
        <v>432</v>
      </c>
      <c r="F395" s="59">
        <v>42798</v>
      </c>
      <c r="G395" s="15">
        <f t="shared" si="13"/>
        <v>432</v>
      </c>
      <c r="H395" s="15">
        <f t="shared" si="14"/>
        <v>0</v>
      </c>
      <c r="I395" s="19"/>
    </row>
    <row r="396" spans="1:9" ht="15.75" x14ac:dyDescent="0.25">
      <c r="A396" s="51">
        <v>42798</v>
      </c>
      <c r="B396" s="52" t="s">
        <v>8177</v>
      </c>
      <c r="C396" s="18">
        <v>103174</v>
      </c>
      <c r="D396" s="2" t="s">
        <v>30</v>
      </c>
      <c r="E396" s="15">
        <v>1809.6</v>
      </c>
      <c r="F396" s="59">
        <v>42798</v>
      </c>
      <c r="G396" s="15">
        <f t="shared" si="13"/>
        <v>1809.6</v>
      </c>
      <c r="H396" s="15">
        <f t="shared" si="14"/>
        <v>0</v>
      </c>
      <c r="I396" s="19"/>
    </row>
    <row r="397" spans="1:9" ht="15.75" x14ac:dyDescent="0.25">
      <c r="A397" s="51">
        <v>42798</v>
      </c>
      <c r="B397" s="52" t="s">
        <v>8178</v>
      </c>
      <c r="C397" s="18">
        <v>103175</v>
      </c>
      <c r="D397" s="2" t="s">
        <v>79</v>
      </c>
      <c r="E397" s="15">
        <v>3016.2</v>
      </c>
      <c r="F397" s="59">
        <v>42798</v>
      </c>
      <c r="G397" s="15">
        <f t="shared" si="13"/>
        <v>3016.2</v>
      </c>
      <c r="H397" s="15">
        <f t="shared" si="14"/>
        <v>0</v>
      </c>
      <c r="I397" s="19"/>
    </row>
    <row r="398" spans="1:9" ht="15.75" x14ac:dyDescent="0.25">
      <c r="A398" s="51">
        <v>42798</v>
      </c>
      <c r="B398" s="52" t="s">
        <v>8179</v>
      </c>
      <c r="C398" s="18">
        <v>103176</v>
      </c>
      <c r="D398" s="2" t="s">
        <v>21</v>
      </c>
      <c r="E398" s="15">
        <v>64360.800000000003</v>
      </c>
      <c r="F398" s="59">
        <v>42811</v>
      </c>
      <c r="G398" s="15">
        <f t="shared" si="13"/>
        <v>64360.800000000003</v>
      </c>
      <c r="H398" s="15">
        <f t="shared" si="14"/>
        <v>0</v>
      </c>
      <c r="I398" s="19"/>
    </row>
    <row r="399" spans="1:9" ht="15.75" x14ac:dyDescent="0.25">
      <c r="A399" s="51">
        <v>42798</v>
      </c>
      <c r="B399" s="52" t="s">
        <v>8180</v>
      </c>
      <c r="C399" s="18">
        <v>103177</v>
      </c>
      <c r="D399" s="2" t="s">
        <v>101</v>
      </c>
      <c r="E399" s="15">
        <v>1844.6</v>
      </c>
      <c r="F399" s="59">
        <v>42798</v>
      </c>
      <c r="G399" s="15">
        <f t="shared" si="13"/>
        <v>1844.6</v>
      </c>
      <c r="H399" s="15">
        <f t="shared" si="14"/>
        <v>0</v>
      </c>
      <c r="I399" s="19"/>
    </row>
    <row r="400" spans="1:9" ht="15.75" x14ac:dyDescent="0.25">
      <c r="A400" s="51">
        <v>42798</v>
      </c>
      <c r="B400" s="52" t="s">
        <v>8181</v>
      </c>
      <c r="C400" s="18">
        <v>103178</v>
      </c>
      <c r="D400" s="2" t="s">
        <v>697</v>
      </c>
      <c r="E400" s="15">
        <v>3105</v>
      </c>
      <c r="F400" s="59">
        <v>42802</v>
      </c>
      <c r="G400" s="15">
        <f t="shared" si="13"/>
        <v>3105</v>
      </c>
      <c r="H400" s="15">
        <f t="shared" si="14"/>
        <v>0</v>
      </c>
      <c r="I400" s="19"/>
    </row>
    <row r="401" spans="1:9" ht="15.75" x14ac:dyDescent="0.25">
      <c r="A401" s="51">
        <v>42798</v>
      </c>
      <c r="B401" s="52" t="s">
        <v>8182</v>
      </c>
      <c r="C401" s="18">
        <v>103179</v>
      </c>
      <c r="D401" s="2" t="s">
        <v>281</v>
      </c>
      <c r="E401" s="15">
        <v>2188.8000000000002</v>
      </c>
      <c r="F401" s="59">
        <v>42798</v>
      </c>
      <c r="G401" s="15">
        <f t="shared" si="13"/>
        <v>2188.8000000000002</v>
      </c>
      <c r="H401" s="15">
        <f t="shared" si="14"/>
        <v>0</v>
      </c>
      <c r="I401" s="19"/>
    </row>
    <row r="402" spans="1:9" ht="15.75" x14ac:dyDescent="0.25">
      <c r="A402" s="51">
        <v>42798</v>
      </c>
      <c r="B402" s="52" t="s">
        <v>8183</v>
      </c>
      <c r="C402" s="18">
        <v>103180</v>
      </c>
      <c r="D402" s="2" t="s">
        <v>240</v>
      </c>
      <c r="E402" s="15">
        <v>5805.2</v>
      </c>
      <c r="F402" s="59">
        <v>42798</v>
      </c>
      <c r="G402" s="15">
        <f t="shared" si="13"/>
        <v>5805.2</v>
      </c>
      <c r="H402" s="15">
        <f t="shared" si="14"/>
        <v>0</v>
      </c>
      <c r="I402" s="19"/>
    </row>
    <row r="403" spans="1:9" ht="15.75" x14ac:dyDescent="0.25">
      <c r="A403" s="51">
        <v>42798</v>
      </c>
      <c r="B403" s="52" t="s">
        <v>8184</v>
      </c>
      <c r="C403" s="18">
        <v>103181</v>
      </c>
      <c r="D403" s="2" t="s">
        <v>4367</v>
      </c>
      <c r="E403" s="15">
        <v>1514.2</v>
      </c>
      <c r="F403" s="59">
        <v>42798</v>
      </c>
      <c r="G403" s="15">
        <f t="shared" si="13"/>
        <v>1514.2</v>
      </c>
      <c r="H403" s="15">
        <f t="shared" si="14"/>
        <v>0</v>
      </c>
      <c r="I403" s="19"/>
    </row>
    <row r="404" spans="1:9" ht="15.75" x14ac:dyDescent="0.25">
      <c r="A404" s="51">
        <v>42798</v>
      </c>
      <c r="B404" s="52" t="s">
        <v>8185</v>
      </c>
      <c r="C404" s="18">
        <v>103182</v>
      </c>
      <c r="D404" s="2" t="s">
        <v>103</v>
      </c>
      <c r="E404" s="15">
        <v>3758.2</v>
      </c>
      <c r="F404" s="59">
        <v>42800</v>
      </c>
      <c r="G404" s="15">
        <f t="shared" si="13"/>
        <v>3758.2</v>
      </c>
      <c r="H404" s="15">
        <f t="shared" si="14"/>
        <v>0</v>
      </c>
      <c r="I404" s="19"/>
    </row>
    <row r="405" spans="1:9" ht="15.75" x14ac:dyDescent="0.25">
      <c r="A405" s="51">
        <v>42798</v>
      </c>
      <c r="B405" s="52" t="s">
        <v>8186</v>
      </c>
      <c r="C405" s="18">
        <v>103183</v>
      </c>
      <c r="D405" s="2" t="s">
        <v>99</v>
      </c>
      <c r="E405" s="15">
        <v>3680</v>
      </c>
      <c r="F405" s="59">
        <v>42798</v>
      </c>
      <c r="G405" s="15">
        <f t="shared" si="13"/>
        <v>3680</v>
      </c>
      <c r="H405" s="15">
        <f t="shared" si="14"/>
        <v>0</v>
      </c>
      <c r="I405" s="19"/>
    </row>
    <row r="406" spans="1:9" ht="15.75" x14ac:dyDescent="0.25">
      <c r="A406" s="51">
        <v>42798</v>
      </c>
      <c r="B406" s="52" t="s">
        <v>8187</v>
      </c>
      <c r="C406" s="18">
        <v>103184</v>
      </c>
      <c r="D406" s="2" t="s">
        <v>3425</v>
      </c>
      <c r="E406" s="15">
        <v>965.2</v>
      </c>
      <c r="F406" s="59">
        <v>42798</v>
      </c>
      <c r="G406" s="15">
        <f t="shared" si="13"/>
        <v>965.2</v>
      </c>
      <c r="H406" s="15">
        <f t="shared" si="14"/>
        <v>0</v>
      </c>
      <c r="I406" s="19"/>
    </row>
    <row r="407" spans="1:9" ht="15.75" x14ac:dyDescent="0.25">
      <c r="A407" s="51">
        <v>42798</v>
      </c>
      <c r="B407" s="52" t="s">
        <v>8188</v>
      </c>
      <c r="C407" s="18">
        <v>103185</v>
      </c>
      <c r="D407" s="2" t="s">
        <v>298</v>
      </c>
      <c r="E407" s="15">
        <v>4660.5</v>
      </c>
      <c r="F407" s="59">
        <v>42798</v>
      </c>
      <c r="G407" s="15">
        <f t="shared" si="13"/>
        <v>4660.5</v>
      </c>
      <c r="H407" s="15">
        <f t="shared" si="14"/>
        <v>0</v>
      </c>
      <c r="I407" s="19"/>
    </row>
    <row r="408" spans="1:9" ht="15.75" x14ac:dyDescent="0.25">
      <c r="A408" s="51">
        <v>42798</v>
      </c>
      <c r="B408" s="52" t="s">
        <v>8189</v>
      </c>
      <c r="C408" s="18">
        <v>103186</v>
      </c>
      <c r="D408" s="2" t="s">
        <v>88</v>
      </c>
      <c r="E408" s="15">
        <v>5035.5</v>
      </c>
      <c r="F408" s="59">
        <v>42798</v>
      </c>
      <c r="G408" s="15">
        <f t="shared" si="13"/>
        <v>5035.5</v>
      </c>
      <c r="H408" s="15">
        <f t="shared" si="14"/>
        <v>0</v>
      </c>
      <c r="I408" s="19"/>
    </row>
    <row r="409" spans="1:9" ht="15.75" x14ac:dyDescent="0.25">
      <c r="A409" s="51">
        <v>42798</v>
      </c>
      <c r="B409" s="52" t="s">
        <v>8190</v>
      </c>
      <c r="C409" s="18">
        <v>103187</v>
      </c>
      <c r="D409" s="2" t="s">
        <v>83</v>
      </c>
      <c r="E409" s="15">
        <v>4996.8</v>
      </c>
      <c r="F409" s="59">
        <v>42798</v>
      </c>
      <c r="G409" s="15">
        <f t="shared" si="13"/>
        <v>4996.8</v>
      </c>
      <c r="H409" s="15">
        <f t="shared" si="14"/>
        <v>0</v>
      </c>
      <c r="I409" s="19"/>
    </row>
    <row r="410" spans="1:9" ht="15.75" x14ac:dyDescent="0.25">
      <c r="A410" s="51">
        <v>42798</v>
      </c>
      <c r="B410" s="52" t="s">
        <v>8191</v>
      </c>
      <c r="C410" s="18">
        <v>103188</v>
      </c>
      <c r="D410" s="2" t="s">
        <v>30</v>
      </c>
      <c r="E410" s="15">
        <v>84</v>
      </c>
      <c r="F410" s="59">
        <v>42798</v>
      </c>
      <c r="G410" s="15">
        <f t="shared" si="13"/>
        <v>84</v>
      </c>
      <c r="H410" s="15">
        <f t="shared" si="14"/>
        <v>0</v>
      </c>
      <c r="I410" s="19"/>
    </row>
    <row r="411" spans="1:9" ht="15.75" x14ac:dyDescent="0.25">
      <c r="A411" s="51">
        <v>42798</v>
      </c>
      <c r="B411" s="52" t="s">
        <v>8192</v>
      </c>
      <c r="C411" s="18">
        <v>103189</v>
      </c>
      <c r="D411" s="2" t="s">
        <v>613</v>
      </c>
      <c r="E411" s="15">
        <v>5270.4</v>
      </c>
      <c r="F411" s="59">
        <v>42798</v>
      </c>
      <c r="G411" s="15">
        <f t="shared" si="13"/>
        <v>5270.4</v>
      </c>
      <c r="H411" s="15">
        <f t="shared" si="14"/>
        <v>0</v>
      </c>
      <c r="I411" s="19"/>
    </row>
    <row r="412" spans="1:9" ht="15.75" x14ac:dyDescent="0.25">
      <c r="A412" s="51">
        <v>42798</v>
      </c>
      <c r="B412" s="52" t="s">
        <v>8193</v>
      </c>
      <c r="C412" s="18">
        <v>103190</v>
      </c>
      <c r="D412" s="2" t="s">
        <v>71</v>
      </c>
      <c r="E412" s="15">
        <v>2464</v>
      </c>
      <c r="F412" s="59">
        <v>42798</v>
      </c>
      <c r="G412" s="15">
        <f t="shared" si="13"/>
        <v>2464</v>
      </c>
      <c r="H412" s="15">
        <f t="shared" si="14"/>
        <v>0</v>
      </c>
      <c r="I412" s="19"/>
    </row>
    <row r="413" spans="1:9" ht="15.75" x14ac:dyDescent="0.25">
      <c r="A413" s="51">
        <v>42798</v>
      </c>
      <c r="B413" s="52" t="s">
        <v>8194</v>
      </c>
      <c r="C413" s="18">
        <v>103191</v>
      </c>
      <c r="D413" s="2" t="s">
        <v>157</v>
      </c>
      <c r="E413" s="15">
        <v>14748</v>
      </c>
      <c r="F413" s="59">
        <v>42798</v>
      </c>
      <c r="G413" s="15">
        <f t="shared" si="13"/>
        <v>14748</v>
      </c>
      <c r="H413" s="15">
        <f t="shared" si="14"/>
        <v>0</v>
      </c>
      <c r="I413" s="19"/>
    </row>
    <row r="414" spans="1:9" ht="15.75" x14ac:dyDescent="0.25">
      <c r="A414" s="51">
        <v>42798</v>
      </c>
      <c r="B414" s="52" t="s">
        <v>8195</v>
      </c>
      <c r="C414" s="18">
        <v>103192</v>
      </c>
      <c r="D414" s="2" t="s">
        <v>1081</v>
      </c>
      <c r="E414" s="15">
        <v>663.2</v>
      </c>
      <c r="F414" s="59">
        <v>42798</v>
      </c>
      <c r="G414" s="15">
        <f t="shared" si="13"/>
        <v>663.2</v>
      </c>
      <c r="H414" s="15">
        <f t="shared" si="14"/>
        <v>0</v>
      </c>
      <c r="I414" s="19"/>
    </row>
    <row r="415" spans="1:9" ht="15.75" x14ac:dyDescent="0.25">
      <c r="A415" s="51">
        <v>42798</v>
      </c>
      <c r="B415" s="52" t="s">
        <v>8196</v>
      </c>
      <c r="C415" s="18">
        <v>103193</v>
      </c>
      <c r="D415" s="2" t="s">
        <v>405</v>
      </c>
      <c r="E415" s="15">
        <v>4773.3</v>
      </c>
      <c r="F415" s="59">
        <v>42798</v>
      </c>
      <c r="G415" s="15">
        <f t="shared" si="13"/>
        <v>4773.3</v>
      </c>
      <c r="H415" s="15">
        <f t="shared" si="14"/>
        <v>0</v>
      </c>
      <c r="I415" s="19"/>
    </row>
    <row r="416" spans="1:9" ht="15.75" x14ac:dyDescent="0.25">
      <c r="A416" s="51">
        <v>42798</v>
      </c>
      <c r="B416" s="52" t="s">
        <v>8197</v>
      </c>
      <c r="C416" s="18">
        <v>103194</v>
      </c>
      <c r="D416" s="2" t="s">
        <v>448</v>
      </c>
      <c r="E416" s="15">
        <v>371.8</v>
      </c>
      <c r="F416" s="59">
        <v>42798</v>
      </c>
      <c r="G416" s="15">
        <f t="shared" si="13"/>
        <v>371.8</v>
      </c>
      <c r="H416" s="15">
        <f t="shared" si="14"/>
        <v>0</v>
      </c>
      <c r="I416" s="19"/>
    </row>
    <row r="417" spans="1:9" ht="15.75" x14ac:dyDescent="0.25">
      <c r="A417" s="51">
        <v>42798</v>
      </c>
      <c r="B417" s="52" t="s">
        <v>8198</v>
      </c>
      <c r="C417" s="18">
        <v>103195</v>
      </c>
      <c r="D417" s="2" t="s">
        <v>105</v>
      </c>
      <c r="E417" s="15">
        <v>895.8</v>
      </c>
      <c r="F417" s="59">
        <v>42798</v>
      </c>
      <c r="G417" s="15">
        <f t="shared" si="13"/>
        <v>895.8</v>
      </c>
      <c r="H417" s="15">
        <f t="shared" si="14"/>
        <v>0</v>
      </c>
      <c r="I417" s="19"/>
    </row>
    <row r="418" spans="1:9" ht="15.75" x14ac:dyDescent="0.25">
      <c r="A418" s="51">
        <v>42798</v>
      </c>
      <c r="B418" s="52" t="s">
        <v>8199</v>
      </c>
      <c r="C418" s="18">
        <v>103196</v>
      </c>
      <c r="D418" s="2" t="s">
        <v>1259</v>
      </c>
      <c r="E418" s="15">
        <v>2713.5</v>
      </c>
      <c r="F418" s="59">
        <v>42798</v>
      </c>
      <c r="G418" s="15">
        <f t="shared" si="13"/>
        <v>2713.5</v>
      </c>
      <c r="H418" s="15">
        <f t="shared" si="14"/>
        <v>0</v>
      </c>
      <c r="I418" s="19"/>
    </row>
    <row r="419" spans="1:9" ht="15.75" x14ac:dyDescent="0.25">
      <c r="A419" s="51">
        <v>42798</v>
      </c>
      <c r="B419" s="52" t="s">
        <v>8200</v>
      </c>
      <c r="C419" s="18">
        <v>103197</v>
      </c>
      <c r="D419" s="2" t="s">
        <v>168</v>
      </c>
      <c r="E419" s="15">
        <v>510.8</v>
      </c>
      <c r="F419" s="59">
        <v>42798</v>
      </c>
      <c r="G419" s="15">
        <f t="shared" si="13"/>
        <v>510.8</v>
      </c>
      <c r="H419" s="15">
        <f t="shared" si="14"/>
        <v>0</v>
      </c>
      <c r="I419" s="19"/>
    </row>
    <row r="420" spans="1:9" ht="15.75" x14ac:dyDescent="0.25">
      <c r="A420" s="51">
        <v>42798</v>
      </c>
      <c r="B420" s="52" t="s">
        <v>8201</v>
      </c>
      <c r="C420" s="18">
        <v>103198</v>
      </c>
      <c r="D420" s="2" t="s">
        <v>445</v>
      </c>
      <c r="E420" s="15">
        <v>3707.6</v>
      </c>
      <c r="F420" s="59">
        <v>42798</v>
      </c>
      <c r="G420" s="15">
        <f t="shared" si="13"/>
        <v>3707.6</v>
      </c>
      <c r="H420" s="15">
        <f t="shared" si="14"/>
        <v>0</v>
      </c>
      <c r="I420" s="19"/>
    </row>
    <row r="421" spans="1:9" ht="15.75" x14ac:dyDescent="0.25">
      <c r="A421" s="51">
        <v>42798</v>
      </c>
      <c r="B421" s="52" t="s">
        <v>8202</v>
      </c>
      <c r="C421" s="18">
        <v>103199</v>
      </c>
      <c r="D421" s="2" t="s">
        <v>10</v>
      </c>
      <c r="E421" s="15">
        <v>4402.2</v>
      </c>
      <c r="F421" s="59">
        <v>42803</v>
      </c>
      <c r="G421" s="15">
        <f t="shared" si="13"/>
        <v>4402.2</v>
      </c>
      <c r="H421" s="15">
        <f t="shared" si="14"/>
        <v>0</v>
      </c>
      <c r="I421" s="19"/>
    </row>
    <row r="422" spans="1:9" ht="15.75" x14ac:dyDescent="0.25">
      <c r="A422" s="51">
        <v>42798</v>
      </c>
      <c r="B422" s="52" t="s">
        <v>8203</v>
      </c>
      <c r="C422" s="18">
        <v>103200</v>
      </c>
      <c r="D422" s="2" t="s">
        <v>492</v>
      </c>
      <c r="E422" s="15">
        <v>26840.799999999999</v>
      </c>
      <c r="F422" s="59">
        <v>42798</v>
      </c>
      <c r="G422" s="15">
        <f t="shared" si="13"/>
        <v>26840.799999999999</v>
      </c>
      <c r="H422" s="15">
        <f t="shared" si="14"/>
        <v>0</v>
      </c>
      <c r="I422" s="19"/>
    </row>
    <row r="423" spans="1:9" ht="15.75" x14ac:dyDescent="0.25">
      <c r="A423" s="51">
        <v>42798</v>
      </c>
      <c r="B423" s="52" t="s">
        <v>8204</v>
      </c>
      <c r="C423" s="18">
        <v>103201</v>
      </c>
      <c r="D423" s="2" t="s">
        <v>92</v>
      </c>
      <c r="E423" s="15">
        <v>2044.5</v>
      </c>
      <c r="F423" s="59">
        <v>42798</v>
      </c>
      <c r="G423" s="15">
        <f t="shared" si="13"/>
        <v>2044.5</v>
      </c>
      <c r="H423" s="15">
        <f t="shared" si="14"/>
        <v>0</v>
      </c>
      <c r="I423" s="19"/>
    </row>
    <row r="424" spans="1:9" ht="15.75" x14ac:dyDescent="0.25">
      <c r="A424" s="51">
        <v>42798</v>
      </c>
      <c r="B424" s="52" t="s">
        <v>8205</v>
      </c>
      <c r="C424" s="18">
        <v>103202</v>
      </c>
      <c r="D424" s="2" t="s">
        <v>5271</v>
      </c>
      <c r="E424" s="15">
        <v>29317.3</v>
      </c>
      <c r="F424" s="59">
        <v>42798</v>
      </c>
      <c r="G424" s="15">
        <f t="shared" si="13"/>
        <v>29317.3</v>
      </c>
      <c r="H424" s="15">
        <f t="shared" si="14"/>
        <v>0</v>
      </c>
      <c r="I424" s="19"/>
    </row>
    <row r="425" spans="1:9" ht="15.75" x14ac:dyDescent="0.25">
      <c r="A425" s="51">
        <v>42798</v>
      </c>
      <c r="B425" s="52" t="s">
        <v>8206</v>
      </c>
      <c r="C425" s="18">
        <v>103203</v>
      </c>
      <c r="D425" s="2" t="s">
        <v>12</v>
      </c>
      <c r="E425" s="15">
        <v>1971</v>
      </c>
      <c r="F425" s="59">
        <v>42798</v>
      </c>
      <c r="G425" s="15">
        <f t="shared" si="13"/>
        <v>1971</v>
      </c>
      <c r="H425" s="15">
        <f t="shared" si="14"/>
        <v>0</v>
      </c>
      <c r="I425" s="19"/>
    </row>
    <row r="426" spans="1:9" ht="15.75" x14ac:dyDescent="0.25">
      <c r="A426" s="51">
        <v>42798</v>
      </c>
      <c r="B426" s="52" t="s">
        <v>8207</v>
      </c>
      <c r="C426" s="18">
        <v>103204</v>
      </c>
      <c r="D426" s="2" t="s">
        <v>125</v>
      </c>
      <c r="E426" s="15">
        <v>10744</v>
      </c>
      <c r="F426" s="59">
        <v>42798</v>
      </c>
      <c r="G426" s="15">
        <f t="shared" si="13"/>
        <v>10744</v>
      </c>
      <c r="H426" s="15">
        <f t="shared" si="14"/>
        <v>0</v>
      </c>
      <c r="I426" s="19"/>
    </row>
    <row r="427" spans="1:9" ht="15.75" x14ac:dyDescent="0.25">
      <c r="A427" s="51">
        <v>42798</v>
      </c>
      <c r="B427" s="52" t="s">
        <v>8208</v>
      </c>
      <c r="C427" s="18">
        <v>103205</v>
      </c>
      <c r="D427" s="2" t="s">
        <v>30</v>
      </c>
      <c r="E427" s="15">
        <v>17261.3</v>
      </c>
      <c r="F427" s="59">
        <v>42798</v>
      </c>
      <c r="G427" s="15">
        <f t="shared" si="13"/>
        <v>17261.3</v>
      </c>
      <c r="H427" s="15">
        <f t="shared" si="14"/>
        <v>0</v>
      </c>
      <c r="I427" s="19"/>
    </row>
    <row r="428" spans="1:9" ht="15.75" x14ac:dyDescent="0.25">
      <c r="A428" s="51">
        <v>42798</v>
      </c>
      <c r="B428" s="52" t="s">
        <v>8209</v>
      </c>
      <c r="C428" s="18">
        <v>103206</v>
      </c>
      <c r="D428" s="2" t="s">
        <v>109</v>
      </c>
      <c r="E428" s="15">
        <v>5360.6</v>
      </c>
      <c r="F428" s="59">
        <v>42798</v>
      </c>
      <c r="G428" s="15">
        <f t="shared" si="13"/>
        <v>5360.6</v>
      </c>
      <c r="H428" s="15">
        <f t="shared" si="14"/>
        <v>0</v>
      </c>
      <c r="I428" s="19"/>
    </row>
    <row r="429" spans="1:9" ht="15.75" x14ac:dyDescent="0.25">
      <c r="A429" s="51">
        <v>42798</v>
      </c>
      <c r="B429" s="52" t="s">
        <v>8210</v>
      </c>
      <c r="C429" s="18">
        <v>103207</v>
      </c>
      <c r="D429" s="2" t="s">
        <v>277</v>
      </c>
      <c r="E429" s="15">
        <v>3627.68</v>
      </c>
      <c r="F429" s="59">
        <v>42798</v>
      </c>
      <c r="G429" s="15">
        <f t="shared" si="13"/>
        <v>3627.68</v>
      </c>
      <c r="H429" s="15">
        <f t="shared" si="14"/>
        <v>0</v>
      </c>
      <c r="I429" s="19"/>
    </row>
    <row r="430" spans="1:9" ht="15.75" x14ac:dyDescent="0.25">
      <c r="A430" s="51">
        <v>42798</v>
      </c>
      <c r="B430" s="52" t="s">
        <v>8211</v>
      </c>
      <c r="C430" s="18">
        <v>103208</v>
      </c>
      <c r="D430" s="2" t="s">
        <v>470</v>
      </c>
      <c r="E430" s="15">
        <v>4819.2</v>
      </c>
      <c r="F430" s="59">
        <v>42798</v>
      </c>
      <c r="G430" s="15">
        <f t="shared" si="13"/>
        <v>4819.2</v>
      </c>
      <c r="H430" s="15">
        <f t="shared" si="14"/>
        <v>0</v>
      </c>
      <c r="I430" s="19"/>
    </row>
    <row r="431" spans="1:9" ht="15.75" x14ac:dyDescent="0.25">
      <c r="A431" s="51">
        <v>42798</v>
      </c>
      <c r="B431" s="52" t="s">
        <v>8212</v>
      </c>
      <c r="C431" s="18">
        <v>103209</v>
      </c>
      <c r="D431" s="2" t="s">
        <v>305</v>
      </c>
      <c r="E431" s="15">
        <v>8447</v>
      </c>
      <c r="F431" s="59">
        <v>42800</v>
      </c>
      <c r="G431" s="15">
        <f t="shared" si="13"/>
        <v>8447</v>
      </c>
      <c r="H431" s="15">
        <f t="shared" si="14"/>
        <v>0</v>
      </c>
      <c r="I431" s="19"/>
    </row>
    <row r="432" spans="1:9" ht="15.75" x14ac:dyDescent="0.25">
      <c r="A432" s="51">
        <v>42798</v>
      </c>
      <c r="B432" s="52" t="s">
        <v>8213</v>
      </c>
      <c r="C432" s="18">
        <v>103210</v>
      </c>
      <c r="D432" s="2" t="s">
        <v>205</v>
      </c>
      <c r="E432" s="15">
        <v>29481.62</v>
      </c>
      <c r="F432" s="59">
        <v>42798</v>
      </c>
      <c r="G432" s="15">
        <f t="shared" si="13"/>
        <v>29481.62</v>
      </c>
      <c r="H432" s="15">
        <f t="shared" si="14"/>
        <v>0</v>
      </c>
      <c r="I432" s="19"/>
    </row>
    <row r="433" spans="1:9" ht="15.75" x14ac:dyDescent="0.25">
      <c r="A433" s="51">
        <v>42798</v>
      </c>
      <c r="B433" s="52" t="s">
        <v>8214</v>
      </c>
      <c r="C433" s="18">
        <v>103211</v>
      </c>
      <c r="D433" s="2" t="s">
        <v>115</v>
      </c>
      <c r="E433" s="15">
        <v>10763.5</v>
      </c>
      <c r="F433" s="59">
        <v>42800</v>
      </c>
      <c r="G433" s="15">
        <f t="shared" si="13"/>
        <v>10763.5</v>
      </c>
      <c r="H433" s="15">
        <f t="shared" si="14"/>
        <v>0</v>
      </c>
      <c r="I433" s="19"/>
    </row>
    <row r="434" spans="1:9" ht="15.75" x14ac:dyDescent="0.25">
      <c r="A434" s="51">
        <v>42798</v>
      </c>
      <c r="B434" s="52" t="s">
        <v>8215</v>
      </c>
      <c r="C434" s="18">
        <v>103212</v>
      </c>
      <c r="D434" s="2" t="s">
        <v>5219</v>
      </c>
      <c r="E434" s="15">
        <v>11565.6</v>
      </c>
      <c r="F434" s="59">
        <v>42798</v>
      </c>
      <c r="G434" s="15">
        <f t="shared" si="13"/>
        <v>11565.6</v>
      </c>
      <c r="H434" s="15">
        <f t="shared" si="14"/>
        <v>0</v>
      </c>
      <c r="I434" s="19"/>
    </row>
    <row r="435" spans="1:9" ht="15.75" x14ac:dyDescent="0.25">
      <c r="A435" s="51">
        <v>42798</v>
      </c>
      <c r="B435" s="52" t="s">
        <v>8216</v>
      </c>
      <c r="C435" s="18">
        <v>103213</v>
      </c>
      <c r="D435" s="2" t="s">
        <v>289</v>
      </c>
      <c r="E435" s="15">
        <v>20043.2</v>
      </c>
      <c r="F435" s="59">
        <v>42818</v>
      </c>
      <c r="G435" s="15">
        <f t="shared" si="13"/>
        <v>20043.2</v>
      </c>
      <c r="H435" s="15">
        <f t="shared" si="14"/>
        <v>0</v>
      </c>
      <c r="I435" s="19"/>
    </row>
    <row r="436" spans="1:9" ht="15.75" x14ac:dyDescent="0.25">
      <c r="A436" s="51">
        <v>42798</v>
      </c>
      <c r="B436" s="52" t="s">
        <v>8217</v>
      </c>
      <c r="C436" s="18">
        <v>103214</v>
      </c>
      <c r="D436" s="2" t="s">
        <v>30</v>
      </c>
      <c r="E436" s="15">
        <v>2290.5</v>
      </c>
      <c r="F436" s="59">
        <v>42798</v>
      </c>
      <c r="G436" s="15">
        <f t="shared" si="13"/>
        <v>2290.5</v>
      </c>
      <c r="H436" s="15">
        <f t="shared" si="14"/>
        <v>0</v>
      </c>
      <c r="I436" s="19"/>
    </row>
    <row r="437" spans="1:9" ht="15.75" x14ac:dyDescent="0.25">
      <c r="A437" s="51">
        <v>42798</v>
      </c>
      <c r="B437" s="52" t="s">
        <v>8218</v>
      </c>
      <c r="C437" s="18">
        <v>103215</v>
      </c>
      <c r="D437" s="2" t="s">
        <v>476</v>
      </c>
      <c r="E437" s="15">
        <v>15703.9</v>
      </c>
      <c r="F437" s="59">
        <v>42800</v>
      </c>
      <c r="G437" s="15">
        <f t="shared" si="13"/>
        <v>15703.9</v>
      </c>
      <c r="H437" s="15">
        <f t="shared" si="14"/>
        <v>0</v>
      </c>
      <c r="I437" s="19"/>
    </row>
    <row r="438" spans="1:9" ht="15.75" x14ac:dyDescent="0.25">
      <c r="A438" s="51">
        <v>42798</v>
      </c>
      <c r="B438" s="52" t="s">
        <v>8219</v>
      </c>
      <c r="C438" s="18">
        <v>103216</v>
      </c>
      <c r="D438" s="2" t="s">
        <v>30</v>
      </c>
      <c r="E438" s="15">
        <v>872.2</v>
      </c>
      <c r="F438" s="59">
        <v>42798</v>
      </c>
      <c r="G438" s="15">
        <f t="shared" si="13"/>
        <v>872.2</v>
      </c>
      <c r="H438" s="15">
        <f t="shared" si="14"/>
        <v>0</v>
      </c>
      <c r="I438" s="19"/>
    </row>
    <row r="439" spans="1:9" ht="15.75" x14ac:dyDescent="0.25">
      <c r="A439" s="51">
        <v>42798</v>
      </c>
      <c r="B439" s="52" t="s">
        <v>8220</v>
      </c>
      <c r="C439" s="18">
        <v>103217</v>
      </c>
      <c r="D439" s="2" t="s">
        <v>7419</v>
      </c>
      <c r="E439" s="15">
        <v>4428.8999999999996</v>
      </c>
      <c r="F439" s="59">
        <v>42798</v>
      </c>
      <c r="G439" s="15">
        <f t="shared" si="13"/>
        <v>4428.8999999999996</v>
      </c>
      <c r="H439" s="15">
        <f t="shared" si="14"/>
        <v>0</v>
      </c>
      <c r="I439" s="19"/>
    </row>
    <row r="440" spans="1:9" ht="15.75" x14ac:dyDescent="0.25">
      <c r="A440" s="51">
        <v>42798</v>
      </c>
      <c r="B440" s="52" t="s">
        <v>8221</v>
      </c>
      <c r="C440" s="18">
        <v>103218</v>
      </c>
      <c r="D440" s="2" t="s">
        <v>205</v>
      </c>
      <c r="E440" s="15">
        <v>28848.91</v>
      </c>
      <c r="F440" s="59">
        <v>42847</v>
      </c>
      <c r="G440" s="15">
        <f t="shared" si="13"/>
        <v>28848.91</v>
      </c>
      <c r="H440" s="15">
        <f t="shared" si="14"/>
        <v>0</v>
      </c>
      <c r="I440" s="19"/>
    </row>
    <row r="441" spans="1:9" ht="15.75" x14ac:dyDescent="0.25">
      <c r="A441" s="51">
        <v>42798</v>
      </c>
      <c r="B441" s="52" t="s">
        <v>8222</v>
      </c>
      <c r="C441" s="18">
        <v>103219</v>
      </c>
      <c r="D441" s="2" t="s">
        <v>264</v>
      </c>
      <c r="E441" s="15">
        <v>3783</v>
      </c>
      <c r="F441" s="59">
        <v>42798</v>
      </c>
      <c r="G441" s="15">
        <f t="shared" si="13"/>
        <v>3783</v>
      </c>
      <c r="H441" s="15">
        <f t="shared" si="14"/>
        <v>0</v>
      </c>
      <c r="I441" s="19"/>
    </row>
    <row r="442" spans="1:9" ht="15.75" x14ac:dyDescent="0.25">
      <c r="A442" s="51">
        <v>42798</v>
      </c>
      <c r="B442" s="52" t="s">
        <v>8223</v>
      </c>
      <c r="C442" s="18">
        <v>103220</v>
      </c>
      <c r="D442" s="2" t="s">
        <v>773</v>
      </c>
      <c r="E442" s="15">
        <v>340.6</v>
      </c>
      <c r="F442" s="59">
        <v>42798</v>
      </c>
      <c r="G442" s="15">
        <f t="shared" si="13"/>
        <v>340.6</v>
      </c>
      <c r="H442" s="15">
        <f t="shared" si="14"/>
        <v>0</v>
      </c>
      <c r="I442" s="19"/>
    </row>
    <row r="443" spans="1:9" ht="15.75" x14ac:dyDescent="0.25">
      <c r="A443" s="51">
        <v>42798</v>
      </c>
      <c r="B443" s="52" t="s">
        <v>8224</v>
      </c>
      <c r="C443" s="18">
        <v>103221</v>
      </c>
      <c r="D443" s="2" t="s">
        <v>627</v>
      </c>
      <c r="E443" s="15">
        <v>354</v>
      </c>
      <c r="F443" s="59">
        <v>42798</v>
      </c>
      <c r="G443" s="15">
        <f t="shared" si="13"/>
        <v>354</v>
      </c>
      <c r="H443" s="15">
        <f t="shared" si="14"/>
        <v>0</v>
      </c>
      <c r="I443" s="19"/>
    </row>
    <row r="444" spans="1:9" ht="15.75" x14ac:dyDescent="0.25">
      <c r="A444" s="51">
        <v>42798</v>
      </c>
      <c r="B444" s="52" t="s">
        <v>8225</v>
      </c>
      <c r="C444" s="18">
        <v>103222</v>
      </c>
      <c r="D444" s="2" t="s">
        <v>1141</v>
      </c>
      <c r="E444" s="15">
        <v>6854</v>
      </c>
      <c r="F444" s="59">
        <v>42804</v>
      </c>
      <c r="G444" s="15">
        <f t="shared" si="13"/>
        <v>6854</v>
      </c>
      <c r="H444" s="15">
        <f t="shared" si="14"/>
        <v>0</v>
      </c>
      <c r="I444" s="19"/>
    </row>
    <row r="445" spans="1:9" ht="15.75" x14ac:dyDescent="0.25">
      <c r="A445" s="51">
        <v>42798</v>
      </c>
      <c r="B445" s="52" t="s">
        <v>8226</v>
      </c>
      <c r="C445" s="18">
        <v>103223</v>
      </c>
      <c r="D445" s="2" t="s">
        <v>131</v>
      </c>
      <c r="E445" s="15">
        <v>9648.6</v>
      </c>
      <c r="F445" s="59">
        <v>42798</v>
      </c>
      <c r="G445" s="15">
        <f t="shared" si="13"/>
        <v>9648.6</v>
      </c>
      <c r="H445" s="15">
        <f t="shared" si="14"/>
        <v>0</v>
      </c>
      <c r="I445" s="19"/>
    </row>
    <row r="446" spans="1:9" ht="15.75" x14ac:dyDescent="0.25">
      <c r="A446" s="51">
        <v>42798</v>
      </c>
      <c r="B446" s="52" t="s">
        <v>8227</v>
      </c>
      <c r="C446" s="18">
        <v>103224</v>
      </c>
      <c r="D446" s="2" t="s">
        <v>1830</v>
      </c>
      <c r="E446" s="15">
        <v>15477.6</v>
      </c>
      <c r="F446" s="59">
        <v>42798</v>
      </c>
      <c r="G446" s="15">
        <f t="shared" si="13"/>
        <v>15477.6</v>
      </c>
      <c r="H446" s="15">
        <f t="shared" si="14"/>
        <v>0</v>
      </c>
      <c r="I446" s="19"/>
    </row>
    <row r="447" spans="1:9" ht="15.75" x14ac:dyDescent="0.25">
      <c r="A447" s="51">
        <v>42798</v>
      </c>
      <c r="B447" s="52" t="s">
        <v>8228</v>
      </c>
      <c r="C447" s="18">
        <v>103225</v>
      </c>
      <c r="D447" s="2" t="s">
        <v>785</v>
      </c>
      <c r="E447" s="15">
        <v>6027.12</v>
      </c>
      <c r="F447" s="59">
        <v>42798</v>
      </c>
      <c r="G447" s="15">
        <f t="shared" si="13"/>
        <v>6027.12</v>
      </c>
      <c r="H447" s="15">
        <f t="shared" si="14"/>
        <v>0</v>
      </c>
      <c r="I447" s="19"/>
    </row>
    <row r="448" spans="1:9" ht="15.75" x14ac:dyDescent="0.25">
      <c r="A448" s="51">
        <v>42798</v>
      </c>
      <c r="B448" s="52" t="s">
        <v>8229</v>
      </c>
      <c r="C448" s="18">
        <v>103226</v>
      </c>
      <c r="D448" s="2" t="s">
        <v>879</v>
      </c>
      <c r="E448" s="15">
        <v>297</v>
      </c>
      <c r="F448" s="59">
        <v>42798</v>
      </c>
      <c r="G448" s="15">
        <f t="shared" si="13"/>
        <v>297</v>
      </c>
      <c r="H448" s="15">
        <f t="shared" si="14"/>
        <v>0</v>
      </c>
      <c r="I448" s="19"/>
    </row>
    <row r="449" spans="1:9" ht="15.75" x14ac:dyDescent="0.25">
      <c r="A449" s="51">
        <v>42798</v>
      </c>
      <c r="B449" s="52" t="s">
        <v>8230</v>
      </c>
      <c r="C449" s="18">
        <v>103227</v>
      </c>
      <c r="D449" s="2" t="s">
        <v>67</v>
      </c>
      <c r="E449" s="15">
        <v>26101.599999999999</v>
      </c>
      <c r="F449" s="59">
        <v>42801</v>
      </c>
      <c r="G449" s="15">
        <f t="shared" si="13"/>
        <v>26101.599999999999</v>
      </c>
      <c r="H449" s="15">
        <f t="shared" si="14"/>
        <v>0</v>
      </c>
      <c r="I449" s="19"/>
    </row>
    <row r="450" spans="1:9" ht="15.75" x14ac:dyDescent="0.25">
      <c r="A450" s="51">
        <v>42798</v>
      </c>
      <c r="B450" s="52" t="s">
        <v>8231</v>
      </c>
      <c r="C450" s="18">
        <v>103228</v>
      </c>
      <c r="D450" s="2" t="s">
        <v>61</v>
      </c>
      <c r="E450" s="15">
        <v>4713.7</v>
      </c>
      <c r="F450" s="59">
        <v>42798</v>
      </c>
      <c r="G450" s="15">
        <f t="shared" si="13"/>
        <v>4713.7</v>
      </c>
      <c r="H450" s="15">
        <f t="shared" si="14"/>
        <v>0</v>
      </c>
      <c r="I450" s="19"/>
    </row>
    <row r="451" spans="1:9" ht="15.75" x14ac:dyDescent="0.25">
      <c r="A451" s="51">
        <v>42798</v>
      </c>
      <c r="B451" s="52" t="s">
        <v>8232</v>
      </c>
      <c r="C451" s="18">
        <v>103229</v>
      </c>
      <c r="D451" s="2" t="s">
        <v>428</v>
      </c>
      <c r="E451" s="15">
        <v>935.2</v>
      </c>
      <c r="F451" s="59">
        <v>42801</v>
      </c>
      <c r="G451" s="15">
        <f t="shared" si="13"/>
        <v>935.2</v>
      </c>
      <c r="H451" s="15">
        <f t="shared" si="14"/>
        <v>0</v>
      </c>
      <c r="I451" s="19"/>
    </row>
    <row r="452" spans="1:9" ht="15.75" x14ac:dyDescent="0.25">
      <c r="A452" s="51">
        <v>42798</v>
      </c>
      <c r="B452" s="52" t="s">
        <v>8233</v>
      </c>
      <c r="C452" s="18">
        <v>103230</v>
      </c>
      <c r="D452" s="2" t="s">
        <v>909</v>
      </c>
      <c r="E452" s="15">
        <v>3062.8</v>
      </c>
      <c r="F452" s="59">
        <v>42798</v>
      </c>
      <c r="G452" s="15">
        <f t="shared" ref="G452:G515" si="15">E452</f>
        <v>3062.8</v>
      </c>
      <c r="H452" s="15">
        <f t="shared" ref="H452:H515" si="16">E452-G452</f>
        <v>0</v>
      </c>
      <c r="I452" s="19"/>
    </row>
    <row r="453" spans="1:9" ht="15.75" x14ac:dyDescent="0.25">
      <c r="A453" s="51">
        <v>42798</v>
      </c>
      <c r="B453" s="52" t="s">
        <v>8234</v>
      </c>
      <c r="C453" s="18">
        <v>103231</v>
      </c>
      <c r="D453" s="2" t="s">
        <v>302</v>
      </c>
      <c r="E453" s="15">
        <v>9612.7999999999993</v>
      </c>
      <c r="F453" s="59">
        <v>42798</v>
      </c>
      <c r="G453" s="15">
        <f t="shared" si="15"/>
        <v>9612.7999999999993</v>
      </c>
      <c r="H453" s="15">
        <f t="shared" si="16"/>
        <v>0</v>
      </c>
      <c r="I453" s="19"/>
    </row>
    <row r="454" spans="1:9" ht="15.75" x14ac:dyDescent="0.25">
      <c r="A454" s="51">
        <v>42798</v>
      </c>
      <c r="B454" s="52" t="s">
        <v>8235</v>
      </c>
      <c r="C454" s="18">
        <v>103232</v>
      </c>
      <c r="D454" s="2" t="s">
        <v>57</v>
      </c>
      <c r="E454" s="15">
        <v>368</v>
      </c>
      <c r="F454" s="59">
        <v>42798</v>
      </c>
      <c r="G454" s="15">
        <f t="shared" si="15"/>
        <v>368</v>
      </c>
      <c r="H454" s="15">
        <f t="shared" si="16"/>
        <v>0</v>
      </c>
      <c r="I454" s="19"/>
    </row>
    <row r="455" spans="1:9" ht="15.75" x14ac:dyDescent="0.25">
      <c r="A455" s="51">
        <v>42798</v>
      </c>
      <c r="B455" s="52" t="s">
        <v>8236</v>
      </c>
      <c r="C455" s="18">
        <v>103233</v>
      </c>
      <c r="D455" s="13" t="s">
        <v>523</v>
      </c>
      <c r="E455" s="14">
        <v>0</v>
      </c>
      <c r="F455" s="102" t="s">
        <v>95</v>
      </c>
      <c r="G455" s="14">
        <f t="shared" si="15"/>
        <v>0</v>
      </c>
      <c r="H455" s="14">
        <f t="shared" si="16"/>
        <v>0</v>
      </c>
      <c r="I455" s="19"/>
    </row>
    <row r="456" spans="1:9" ht="15.75" x14ac:dyDescent="0.25">
      <c r="A456" s="51">
        <v>42798</v>
      </c>
      <c r="B456" s="52" t="s">
        <v>8237</v>
      </c>
      <c r="C456" s="18">
        <v>103234</v>
      </c>
      <c r="D456" s="13" t="s">
        <v>113</v>
      </c>
      <c r="E456" s="14">
        <v>0</v>
      </c>
      <c r="F456" s="102" t="s">
        <v>95</v>
      </c>
      <c r="G456" s="14">
        <f t="shared" si="15"/>
        <v>0</v>
      </c>
      <c r="H456" s="14">
        <f t="shared" si="16"/>
        <v>0</v>
      </c>
      <c r="I456" s="19"/>
    </row>
    <row r="457" spans="1:9" ht="15.75" x14ac:dyDescent="0.25">
      <c r="A457" s="51">
        <v>42798</v>
      </c>
      <c r="B457" s="52" t="s">
        <v>8238</v>
      </c>
      <c r="C457" s="18">
        <v>103235</v>
      </c>
      <c r="D457" s="13" t="s">
        <v>186</v>
      </c>
      <c r="E457" s="14">
        <v>0</v>
      </c>
      <c r="F457" s="102" t="s">
        <v>95</v>
      </c>
      <c r="G457" s="14">
        <f t="shared" si="15"/>
        <v>0</v>
      </c>
      <c r="H457" s="14">
        <f t="shared" si="16"/>
        <v>0</v>
      </c>
      <c r="I457" s="19"/>
    </row>
    <row r="458" spans="1:9" ht="15.75" x14ac:dyDescent="0.25">
      <c r="A458" s="51">
        <v>42798</v>
      </c>
      <c r="B458" s="52" t="s">
        <v>8239</v>
      </c>
      <c r="C458" s="18">
        <v>103236</v>
      </c>
      <c r="D458" s="2" t="s">
        <v>186</v>
      </c>
      <c r="E458" s="15">
        <v>3335</v>
      </c>
      <c r="F458" s="59">
        <v>42800</v>
      </c>
      <c r="G458" s="15">
        <f t="shared" si="15"/>
        <v>3335</v>
      </c>
      <c r="H458" s="15">
        <f t="shared" si="16"/>
        <v>0</v>
      </c>
      <c r="I458" s="19"/>
    </row>
    <row r="459" spans="1:9" ht="15.75" x14ac:dyDescent="0.25">
      <c r="A459" s="51">
        <v>42798</v>
      </c>
      <c r="B459" s="52" t="s">
        <v>8240</v>
      </c>
      <c r="C459" s="18">
        <v>103237</v>
      </c>
      <c r="D459" s="2" t="s">
        <v>523</v>
      </c>
      <c r="E459" s="15">
        <v>22432</v>
      </c>
      <c r="F459" s="59">
        <v>42809</v>
      </c>
      <c r="G459" s="15">
        <f t="shared" si="15"/>
        <v>22432</v>
      </c>
      <c r="H459" s="15">
        <f t="shared" si="16"/>
        <v>0</v>
      </c>
      <c r="I459" s="19"/>
    </row>
    <row r="460" spans="1:9" ht="15.75" x14ac:dyDescent="0.25">
      <c r="A460" s="51">
        <v>42798</v>
      </c>
      <c r="B460" s="52" t="s">
        <v>8241</v>
      </c>
      <c r="C460" s="18">
        <v>103238</v>
      </c>
      <c r="D460" s="2" t="s">
        <v>113</v>
      </c>
      <c r="E460" s="15">
        <v>2428.4</v>
      </c>
      <c r="F460" s="59">
        <v>42798</v>
      </c>
      <c r="G460" s="15">
        <f t="shared" si="15"/>
        <v>2428.4</v>
      </c>
      <c r="H460" s="15">
        <f t="shared" si="16"/>
        <v>0</v>
      </c>
      <c r="I460" s="19"/>
    </row>
    <row r="461" spans="1:9" ht="15.75" x14ac:dyDescent="0.25">
      <c r="A461" s="51">
        <v>42798</v>
      </c>
      <c r="B461" s="52" t="s">
        <v>8242</v>
      </c>
      <c r="C461" s="18">
        <v>103239</v>
      </c>
      <c r="D461" s="2" t="s">
        <v>331</v>
      </c>
      <c r="E461" s="15">
        <v>1899.8</v>
      </c>
      <c r="F461" s="59">
        <v>42798</v>
      </c>
      <c r="G461" s="15">
        <f t="shared" si="15"/>
        <v>1899.8</v>
      </c>
      <c r="H461" s="15">
        <f t="shared" si="16"/>
        <v>0</v>
      </c>
      <c r="I461" s="19"/>
    </row>
    <row r="462" spans="1:9" ht="15.75" x14ac:dyDescent="0.25">
      <c r="A462" s="51">
        <v>42798</v>
      </c>
      <c r="B462" s="52" t="s">
        <v>8243</v>
      </c>
      <c r="C462" s="18">
        <v>103240</v>
      </c>
      <c r="D462" s="2" t="s">
        <v>335</v>
      </c>
      <c r="E462" s="15">
        <v>1548.4</v>
      </c>
      <c r="F462" s="59">
        <v>42803</v>
      </c>
      <c r="G462" s="15">
        <f t="shared" si="15"/>
        <v>1548.4</v>
      </c>
      <c r="H462" s="15">
        <f t="shared" si="16"/>
        <v>0</v>
      </c>
      <c r="I462" s="19"/>
    </row>
    <row r="463" spans="1:9" ht="15.75" x14ac:dyDescent="0.25">
      <c r="A463" s="51">
        <v>42798</v>
      </c>
      <c r="B463" s="52" t="s">
        <v>8244</v>
      </c>
      <c r="C463" s="18">
        <v>103241</v>
      </c>
      <c r="D463" s="2" t="s">
        <v>264</v>
      </c>
      <c r="E463" s="15">
        <v>10250</v>
      </c>
      <c r="F463" s="59">
        <v>42800</v>
      </c>
      <c r="G463" s="15">
        <f t="shared" si="15"/>
        <v>10250</v>
      </c>
      <c r="H463" s="15">
        <f t="shared" si="16"/>
        <v>0</v>
      </c>
      <c r="I463" s="19"/>
    </row>
    <row r="464" spans="1:9" ht="15.75" x14ac:dyDescent="0.25">
      <c r="A464" s="51">
        <v>42798</v>
      </c>
      <c r="B464" s="52" t="s">
        <v>8245</v>
      </c>
      <c r="C464" s="18">
        <v>103242</v>
      </c>
      <c r="D464" s="2" t="s">
        <v>53</v>
      </c>
      <c r="E464" s="15">
        <v>2200</v>
      </c>
      <c r="F464" s="59">
        <v>42798</v>
      </c>
      <c r="G464" s="15">
        <f t="shared" si="15"/>
        <v>2200</v>
      </c>
      <c r="H464" s="15">
        <f t="shared" si="16"/>
        <v>0</v>
      </c>
      <c r="I464" s="19"/>
    </row>
    <row r="465" spans="1:9" ht="15.75" x14ac:dyDescent="0.25">
      <c r="A465" s="51">
        <v>42798</v>
      </c>
      <c r="B465" s="52" t="s">
        <v>8246</v>
      </c>
      <c r="C465" s="18">
        <v>103243</v>
      </c>
      <c r="D465" s="2" t="s">
        <v>45</v>
      </c>
      <c r="E465" s="15">
        <v>17972.400000000001</v>
      </c>
      <c r="F465" s="59">
        <v>42800</v>
      </c>
      <c r="G465" s="15">
        <f t="shared" si="15"/>
        <v>17972.400000000001</v>
      </c>
      <c r="H465" s="15">
        <f t="shared" si="16"/>
        <v>0</v>
      </c>
      <c r="I465" s="19"/>
    </row>
    <row r="466" spans="1:9" ht="15.75" x14ac:dyDescent="0.25">
      <c r="A466" s="51">
        <v>42798</v>
      </c>
      <c r="B466" s="52" t="s">
        <v>8247</v>
      </c>
      <c r="C466" s="18">
        <v>103244</v>
      </c>
      <c r="D466" s="2" t="s">
        <v>47</v>
      </c>
      <c r="E466" s="15">
        <v>2775.6</v>
      </c>
      <c r="F466" s="59">
        <v>42798</v>
      </c>
      <c r="G466" s="15">
        <f t="shared" si="15"/>
        <v>2775.6</v>
      </c>
      <c r="H466" s="15">
        <f t="shared" si="16"/>
        <v>0</v>
      </c>
      <c r="I466" s="19"/>
    </row>
    <row r="467" spans="1:9" ht="15.75" x14ac:dyDescent="0.25">
      <c r="A467" s="51">
        <v>42798</v>
      </c>
      <c r="B467" s="52" t="s">
        <v>8248</v>
      </c>
      <c r="C467" s="18">
        <v>103245</v>
      </c>
      <c r="D467" s="2" t="s">
        <v>176</v>
      </c>
      <c r="E467" s="15">
        <v>3100.4</v>
      </c>
      <c r="F467" s="59">
        <v>42799</v>
      </c>
      <c r="G467" s="15">
        <f t="shared" si="15"/>
        <v>3100.4</v>
      </c>
      <c r="H467" s="15">
        <f t="shared" si="16"/>
        <v>0</v>
      </c>
      <c r="I467" s="19"/>
    </row>
    <row r="468" spans="1:9" ht="15.75" x14ac:dyDescent="0.25">
      <c r="A468" s="51">
        <v>42798</v>
      </c>
      <c r="B468" s="52" t="s">
        <v>8249</v>
      </c>
      <c r="C468" s="18">
        <v>103246</v>
      </c>
      <c r="D468" s="2" t="s">
        <v>30</v>
      </c>
      <c r="E468" s="15">
        <v>2127</v>
      </c>
      <c r="F468" s="59">
        <v>42798</v>
      </c>
      <c r="G468" s="15">
        <f t="shared" si="15"/>
        <v>2127</v>
      </c>
      <c r="H468" s="15">
        <f t="shared" si="16"/>
        <v>0</v>
      </c>
      <c r="I468" s="19"/>
    </row>
    <row r="469" spans="1:9" ht="15.75" x14ac:dyDescent="0.25">
      <c r="A469" s="51">
        <v>42798</v>
      </c>
      <c r="B469" s="52" t="s">
        <v>8250</v>
      </c>
      <c r="C469" s="18">
        <v>103247</v>
      </c>
      <c r="D469" s="2" t="s">
        <v>3219</v>
      </c>
      <c r="E469" s="15">
        <v>33696</v>
      </c>
      <c r="F469" s="59">
        <v>42798</v>
      </c>
      <c r="G469" s="15">
        <f t="shared" si="15"/>
        <v>33696</v>
      </c>
      <c r="H469" s="15">
        <f t="shared" si="16"/>
        <v>0</v>
      </c>
      <c r="I469" s="19"/>
    </row>
    <row r="470" spans="1:9" ht="15.75" x14ac:dyDescent="0.25">
      <c r="A470" s="51">
        <v>42798</v>
      </c>
      <c r="B470" s="52" t="s">
        <v>8251</v>
      </c>
      <c r="C470" s="18">
        <v>103248</v>
      </c>
      <c r="D470" s="2" t="s">
        <v>422</v>
      </c>
      <c r="E470" s="15">
        <v>4254.3999999999996</v>
      </c>
      <c r="F470" s="59">
        <v>42798</v>
      </c>
      <c r="G470" s="15">
        <f t="shared" si="15"/>
        <v>4254.3999999999996</v>
      </c>
      <c r="H470" s="15">
        <f t="shared" si="16"/>
        <v>0</v>
      </c>
      <c r="I470" s="19"/>
    </row>
    <row r="471" spans="1:9" ht="15.75" x14ac:dyDescent="0.25">
      <c r="A471" s="51">
        <v>42798</v>
      </c>
      <c r="B471" s="52" t="s">
        <v>8252</v>
      </c>
      <c r="C471" s="18">
        <v>103249</v>
      </c>
      <c r="D471" s="2" t="s">
        <v>222</v>
      </c>
      <c r="E471" s="15">
        <v>65987.199999999997</v>
      </c>
      <c r="F471" s="59">
        <v>42802</v>
      </c>
      <c r="G471" s="15">
        <f t="shared" si="15"/>
        <v>65987.199999999997</v>
      </c>
      <c r="H471" s="15">
        <f t="shared" si="16"/>
        <v>0</v>
      </c>
      <c r="I471" s="19"/>
    </row>
    <row r="472" spans="1:9" ht="15.75" x14ac:dyDescent="0.25">
      <c r="A472" s="51">
        <v>42798</v>
      </c>
      <c r="B472" s="52" t="s">
        <v>8253</v>
      </c>
      <c r="C472" s="18">
        <v>103250</v>
      </c>
      <c r="D472" s="2" t="s">
        <v>30</v>
      </c>
      <c r="E472" s="15">
        <v>5336</v>
      </c>
      <c r="F472" s="59">
        <v>42798</v>
      </c>
      <c r="G472" s="15">
        <f t="shared" si="15"/>
        <v>5336</v>
      </c>
      <c r="H472" s="15">
        <f t="shared" si="16"/>
        <v>0</v>
      </c>
      <c r="I472" s="19"/>
    </row>
    <row r="473" spans="1:9" ht="15.75" x14ac:dyDescent="0.25">
      <c r="A473" s="51">
        <v>42798</v>
      </c>
      <c r="B473" s="52" t="s">
        <v>8254</v>
      </c>
      <c r="C473" s="18">
        <v>103251</v>
      </c>
      <c r="D473" s="13" t="s">
        <v>236</v>
      </c>
      <c r="E473" s="14">
        <v>0</v>
      </c>
      <c r="F473" s="102" t="s">
        <v>95</v>
      </c>
      <c r="G473" s="14">
        <f t="shared" si="15"/>
        <v>0</v>
      </c>
      <c r="H473" s="14">
        <f t="shared" si="16"/>
        <v>0</v>
      </c>
      <c r="I473" s="19"/>
    </row>
    <row r="474" spans="1:9" ht="15.75" x14ac:dyDescent="0.25">
      <c r="A474" s="51">
        <v>42798</v>
      </c>
      <c r="B474" s="52" t="s">
        <v>8255</v>
      </c>
      <c r="C474" s="18">
        <v>103252</v>
      </c>
      <c r="D474" s="2" t="s">
        <v>1925</v>
      </c>
      <c r="E474" s="15">
        <v>507.3</v>
      </c>
      <c r="F474" s="59">
        <v>42798</v>
      </c>
      <c r="G474" s="15">
        <f t="shared" si="15"/>
        <v>507.3</v>
      </c>
      <c r="H474" s="15">
        <f t="shared" si="16"/>
        <v>0</v>
      </c>
      <c r="I474" s="19"/>
    </row>
    <row r="475" spans="1:9" ht="15.75" x14ac:dyDescent="0.25">
      <c r="A475" s="51">
        <v>42798</v>
      </c>
      <c r="B475" s="52" t="s">
        <v>8256</v>
      </c>
      <c r="C475" s="18">
        <v>103253</v>
      </c>
      <c r="D475" s="13" t="s">
        <v>55</v>
      </c>
      <c r="E475" s="14">
        <v>0</v>
      </c>
      <c r="F475" s="102" t="s">
        <v>95</v>
      </c>
      <c r="G475" s="14">
        <f t="shared" si="15"/>
        <v>0</v>
      </c>
      <c r="H475" s="14">
        <f t="shared" si="16"/>
        <v>0</v>
      </c>
      <c r="I475" s="19"/>
    </row>
    <row r="476" spans="1:9" ht="15.75" x14ac:dyDescent="0.25">
      <c r="A476" s="51">
        <v>42798</v>
      </c>
      <c r="B476" s="52" t="s">
        <v>8257</v>
      </c>
      <c r="C476" s="18">
        <v>103254</v>
      </c>
      <c r="D476" s="2" t="s">
        <v>55</v>
      </c>
      <c r="E476" s="15">
        <v>36536.300000000003</v>
      </c>
      <c r="F476" s="59">
        <v>42798</v>
      </c>
      <c r="G476" s="15">
        <f t="shared" si="15"/>
        <v>36536.300000000003</v>
      </c>
      <c r="H476" s="15">
        <f t="shared" si="16"/>
        <v>0</v>
      </c>
      <c r="I476" s="19"/>
    </row>
    <row r="477" spans="1:9" ht="15.75" x14ac:dyDescent="0.25">
      <c r="A477" s="51">
        <v>42798</v>
      </c>
      <c r="B477" s="52" t="s">
        <v>8258</v>
      </c>
      <c r="C477" s="18">
        <v>103255</v>
      </c>
      <c r="D477" s="2" t="s">
        <v>182</v>
      </c>
      <c r="E477" s="15">
        <v>2309.1999999999998</v>
      </c>
      <c r="F477" s="59">
        <v>42800</v>
      </c>
      <c r="G477" s="15">
        <f t="shared" si="15"/>
        <v>2309.1999999999998</v>
      </c>
      <c r="H477" s="15">
        <f t="shared" si="16"/>
        <v>0</v>
      </c>
      <c r="I477" s="19"/>
    </row>
    <row r="478" spans="1:9" ht="15.75" x14ac:dyDescent="0.25">
      <c r="A478" s="51">
        <v>42798</v>
      </c>
      <c r="B478" s="52" t="s">
        <v>8259</v>
      </c>
      <c r="C478" s="18">
        <v>103256</v>
      </c>
      <c r="D478" s="2" t="s">
        <v>2533</v>
      </c>
      <c r="E478" s="15">
        <v>507</v>
      </c>
      <c r="F478" s="59">
        <v>42800</v>
      </c>
      <c r="G478" s="15">
        <f t="shared" si="15"/>
        <v>507</v>
      </c>
      <c r="H478" s="15">
        <f t="shared" si="16"/>
        <v>0</v>
      </c>
      <c r="I478" s="19"/>
    </row>
    <row r="479" spans="1:9" ht="15.75" x14ac:dyDescent="0.25">
      <c r="A479" s="51">
        <v>42798</v>
      </c>
      <c r="B479" s="52" t="s">
        <v>8260</v>
      </c>
      <c r="C479" s="18">
        <v>103257</v>
      </c>
      <c r="D479" s="2" t="s">
        <v>193</v>
      </c>
      <c r="E479" s="15">
        <v>3496.5</v>
      </c>
      <c r="F479" s="59">
        <v>42800</v>
      </c>
      <c r="G479" s="15">
        <f t="shared" si="15"/>
        <v>3496.5</v>
      </c>
      <c r="H479" s="15">
        <f t="shared" si="16"/>
        <v>0</v>
      </c>
      <c r="I479" s="19"/>
    </row>
    <row r="480" spans="1:9" ht="15.75" x14ac:dyDescent="0.25">
      <c r="A480" s="51">
        <v>42798</v>
      </c>
      <c r="B480" s="52" t="s">
        <v>8261</v>
      </c>
      <c r="C480" s="18">
        <v>103258</v>
      </c>
      <c r="D480" s="2" t="s">
        <v>2528</v>
      </c>
      <c r="E480" s="15">
        <v>782</v>
      </c>
      <c r="F480" s="59">
        <v>42800</v>
      </c>
      <c r="G480" s="15">
        <f t="shared" si="15"/>
        <v>782</v>
      </c>
      <c r="H480" s="15">
        <f t="shared" si="16"/>
        <v>0</v>
      </c>
      <c r="I480" s="19"/>
    </row>
    <row r="481" spans="1:9" ht="15.75" x14ac:dyDescent="0.25">
      <c r="A481" s="51">
        <v>42798</v>
      </c>
      <c r="B481" s="52" t="s">
        <v>8262</v>
      </c>
      <c r="C481" s="18">
        <v>103259</v>
      </c>
      <c r="D481" s="2" t="s">
        <v>528</v>
      </c>
      <c r="E481" s="15">
        <v>10295.200000000001</v>
      </c>
      <c r="F481" s="59">
        <v>42798</v>
      </c>
      <c r="G481" s="15">
        <f t="shared" si="15"/>
        <v>10295.200000000001</v>
      </c>
      <c r="H481" s="15">
        <f t="shared" si="16"/>
        <v>0</v>
      </c>
      <c r="I481" s="19"/>
    </row>
    <row r="482" spans="1:9" ht="15.75" x14ac:dyDescent="0.25">
      <c r="A482" s="51">
        <v>42798</v>
      </c>
      <c r="B482" s="52" t="s">
        <v>8263</v>
      </c>
      <c r="C482" s="18">
        <v>103260</v>
      </c>
      <c r="D482" s="2" t="s">
        <v>186</v>
      </c>
      <c r="E482" s="15">
        <v>616</v>
      </c>
      <c r="F482" s="59">
        <v>42800</v>
      </c>
      <c r="G482" s="15">
        <f t="shared" si="15"/>
        <v>616</v>
      </c>
      <c r="H482" s="15">
        <f t="shared" si="16"/>
        <v>0</v>
      </c>
      <c r="I482" s="19"/>
    </row>
    <row r="483" spans="1:9" ht="15.75" x14ac:dyDescent="0.25">
      <c r="A483" s="51">
        <v>42798</v>
      </c>
      <c r="B483" s="52" t="s">
        <v>8264</v>
      </c>
      <c r="C483" s="18">
        <v>103261</v>
      </c>
      <c r="D483" s="2" t="s">
        <v>236</v>
      </c>
      <c r="E483" s="15">
        <v>39929.42</v>
      </c>
      <c r="F483" s="59">
        <v>42807</v>
      </c>
      <c r="G483" s="15">
        <f t="shared" si="15"/>
        <v>39929.42</v>
      </c>
      <c r="H483" s="15">
        <f t="shared" si="16"/>
        <v>0</v>
      </c>
      <c r="I483" s="19"/>
    </row>
    <row r="484" spans="1:9" ht="15.75" x14ac:dyDescent="0.25">
      <c r="A484" s="51">
        <v>42798</v>
      </c>
      <c r="B484" s="52" t="s">
        <v>8265</v>
      </c>
      <c r="C484" s="18">
        <v>103262</v>
      </c>
      <c r="D484" s="2" t="s">
        <v>268</v>
      </c>
      <c r="E484" s="15">
        <v>6757.2</v>
      </c>
      <c r="F484" s="59">
        <v>42802</v>
      </c>
      <c r="G484" s="15">
        <f t="shared" si="15"/>
        <v>6757.2</v>
      </c>
      <c r="H484" s="15">
        <f t="shared" si="16"/>
        <v>0</v>
      </c>
      <c r="I484" s="19"/>
    </row>
    <row r="485" spans="1:9" ht="15.75" x14ac:dyDescent="0.25">
      <c r="A485" s="51">
        <v>42798</v>
      </c>
      <c r="B485" s="52" t="s">
        <v>8266</v>
      </c>
      <c r="C485" s="18">
        <v>103263</v>
      </c>
      <c r="D485" s="2" t="s">
        <v>268</v>
      </c>
      <c r="E485" s="15">
        <v>38755.199999999997</v>
      </c>
      <c r="F485" s="59">
        <v>42802</v>
      </c>
      <c r="G485" s="15">
        <f t="shared" si="15"/>
        <v>38755.199999999997</v>
      </c>
      <c r="H485" s="15">
        <f t="shared" si="16"/>
        <v>0</v>
      </c>
      <c r="I485" s="19"/>
    </row>
    <row r="486" spans="1:9" ht="15.75" x14ac:dyDescent="0.25">
      <c r="A486" s="51">
        <v>42798</v>
      </c>
      <c r="B486" s="52" t="s">
        <v>8267</v>
      </c>
      <c r="C486" s="18">
        <v>103264</v>
      </c>
      <c r="D486" s="2" t="s">
        <v>10</v>
      </c>
      <c r="E486" s="15">
        <v>340011.03</v>
      </c>
      <c r="F486" s="59">
        <v>42803</v>
      </c>
      <c r="G486" s="15">
        <f t="shared" si="15"/>
        <v>340011.03</v>
      </c>
      <c r="H486" s="15">
        <f t="shared" si="16"/>
        <v>0</v>
      </c>
      <c r="I486" s="19"/>
    </row>
    <row r="487" spans="1:9" ht="15.75" x14ac:dyDescent="0.25">
      <c r="A487" s="51">
        <v>42798</v>
      </c>
      <c r="B487" s="52" t="s">
        <v>8268</v>
      </c>
      <c r="C487" s="18">
        <v>103265</v>
      </c>
      <c r="D487" s="2" t="s">
        <v>30</v>
      </c>
      <c r="E487" s="15">
        <v>10138.799999999999</v>
      </c>
      <c r="F487" s="59">
        <v>42799</v>
      </c>
      <c r="G487" s="15">
        <f t="shared" si="15"/>
        <v>10138.799999999999</v>
      </c>
      <c r="H487" s="15">
        <f t="shared" si="16"/>
        <v>0</v>
      </c>
      <c r="I487" s="19"/>
    </row>
    <row r="488" spans="1:9" ht="15.75" x14ac:dyDescent="0.25">
      <c r="A488" s="51">
        <v>42798</v>
      </c>
      <c r="B488" s="52" t="s">
        <v>8269</v>
      </c>
      <c r="C488" s="18">
        <v>103266</v>
      </c>
      <c r="D488" s="2" t="s">
        <v>10</v>
      </c>
      <c r="E488" s="15">
        <v>194477.66</v>
      </c>
      <c r="F488" s="59">
        <v>42803</v>
      </c>
      <c r="G488" s="15">
        <f t="shared" si="15"/>
        <v>194477.66</v>
      </c>
      <c r="H488" s="15">
        <f t="shared" si="16"/>
        <v>0</v>
      </c>
      <c r="I488" s="19"/>
    </row>
    <row r="489" spans="1:9" ht="15.75" x14ac:dyDescent="0.25">
      <c r="A489" s="51">
        <v>42798</v>
      </c>
      <c r="B489" s="52" t="s">
        <v>8270</v>
      </c>
      <c r="C489" s="18">
        <v>103267</v>
      </c>
      <c r="D489" s="2" t="s">
        <v>1325</v>
      </c>
      <c r="E489" s="15">
        <v>1738.4</v>
      </c>
      <c r="F489" s="59">
        <v>42798</v>
      </c>
      <c r="G489" s="15">
        <f t="shared" si="15"/>
        <v>1738.4</v>
      </c>
      <c r="H489" s="15">
        <f t="shared" si="16"/>
        <v>0</v>
      </c>
      <c r="I489" s="19"/>
    </row>
    <row r="490" spans="1:9" ht="15.75" x14ac:dyDescent="0.25">
      <c r="A490" s="51">
        <v>42798</v>
      </c>
      <c r="B490" s="52" t="s">
        <v>8271</v>
      </c>
      <c r="C490" s="18">
        <v>103268</v>
      </c>
      <c r="D490" s="2" t="s">
        <v>693</v>
      </c>
      <c r="E490" s="15">
        <v>52466.400000000001</v>
      </c>
      <c r="F490" s="59">
        <v>42805</v>
      </c>
      <c r="G490" s="15">
        <f t="shared" si="15"/>
        <v>52466.400000000001</v>
      </c>
      <c r="H490" s="15">
        <f t="shared" si="16"/>
        <v>0</v>
      </c>
      <c r="I490" s="19"/>
    </row>
    <row r="491" spans="1:9" ht="15.75" x14ac:dyDescent="0.25">
      <c r="A491" s="51">
        <v>42798</v>
      </c>
      <c r="B491" s="52" t="s">
        <v>8272</v>
      </c>
      <c r="C491" s="18">
        <v>103269</v>
      </c>
      <c r="D491" s="2" t="s">
        <v>222</v>
      </c>
      <c r="E491" s="15">
        <v>446760</v>
      </c>
      <c r="F491" s="59">
        <v>42800</v>
      </c>
      <c r="G491" s="15">
        <f t="shared" si="15"/>
        <v>446760</v>
      </c>
      <c r="H491" s="15">
        <f t="shared" si="16"/>
        <v>0</v>
      </c>
      <c r="I491" s="19"/>
    </row>
    <row r="492" spans="1:9" ht="15.75" x14ac:dyDescent="0.25">
      <c r="A492" s="51">
        <v>42798</v>
      </c>
      <c r="B492" s="52" t="s">
        <v>8273</v>
      </c>
      <c r="C492" s="18">
        <v>103270</v>
      </c>
      <c r="D492" s="2" t="s">
        <v>430</v>
      </c>
      <c r="E492" s="15">
        <v>2668</v>
      </c>
      <c r="F492" s="59">
        <v>42798</v>
      </c>
      <c r="G492" s="15">
        <f t="shared" si="15"/>
        <v>2668</v>
      </c>
      <c r="H492" s="15">
        <f t="shared" si="16"/>
        <v>0</v>
      </c>
      <c r="I492" s="19"/>
    </row>
    <row r="493" spans="1:9" ht="15.75" x14ac:dyDescent="0.25">
      <c r="A493" s="51">
        <v>42798</v>
      </c>
      <c r="B493" s="52" t="s">
        <v>8274</v>
      </c>
      <c r="C493" s="18">
        <v>103271</v>
      </c>
      <c r="D493" s="2" t="s">
        <v>921</v>
      </c>
      <c r="E493" s="15">
        <v>7318.5</v>
      </c>
      <c r="F493" s="59">
        <v>42800</v>
      </c>
      <c r="G493" s="15">
        <f t="shared" si="15"/>
        <v>7318.5</v>
      </c>
      <c r="H493" s="15">
        <f t="shared" si="16"/>
        <v>0</v>
      </c>
      <c r="I493" s="19"/>
    </row>
    <row r="494" spans="1:9" ht="15.75" x14ac:dyDescent="0.25">
      <c r="A494" s="51">
        <v>42798</v>
      </c>
      <c r="B494" s="52" t="s">
        <v>8275</v>
      </c>
      <c r="C494" s="18">
        <v>103272</v>
      </c>
      <c r="D494" s="2" t="s">
        <v>10</v>
      </c>
      <c r="E494" s="15">
        <v>68236.7</v>
      </c>
      <c r="F494" s="59">
        <v>42803</v>
      </c>
      <c r="G494" s="15">
        <f t="shared" si="15"/>
        <v>68236.7</v>
      </c>
      <c r="H494" s="15">
        <f t="shared" si="16"/>
        <v>0</v>
      </c>
      <c r="I494" s="19"/>
    </row>
    <row r="495" spans="1:9" ht="15.75" x14ac:dyDescent="0.25">
      <c r="A495" s="51">
        <v>42798</v>
      </c>
      <c r="B495" s="52" t="s">
        <v>8276</v>
      </c>
      <c r="C495" s="18">
        <v>103273</v>
      </c>
      <c r="D495" s="2" t="s">
        <v>55</v>
      </c>
      <c r="E495" s="15">
        <v>3259.6</v>
      </c>
      <c r="F495" s="59">
        <v>42798</v>
      </c>
      <c r="G495" s="15">
        <f t="shared" si="15"/>
        <v>3259.6</v>
      </c>
      <c r="H495" s="15">
        <f t="shared" si="16"/>
        <v>0</v>
      </c>
      <c r="I495" s="19"/>
    </row>
    <row r="496" spans="1:9" ht="15.75" x14ac:dyDescent="0.25">
      <c r="A496" s="51">
        <v>42798</v>
      </c>
      <c r="B496" s="52" t="s">
        <v>8277</v>
      </c>
      <c r="C496" s="18">
        <v>103274</v>
      </c>
      <c r="D496" s="2" t="s">
        <v>10</v>
      </c>
      <c r="E496" s="15">
        <v>45966</v>
      </c>
      <c r="F496" s="59">
        <v>42803</v>
      </c>
      <c r="G496" s="15">
        <f t="shared" si="15"/>
        <v>45966</v>
      </c>
      <c r="H496" s="15">
        <f t="shared" si="16"/>
        <v>0</v>
      </c>
      <c r="I496" s="19"/>
    </row>
    <row r="497" spans="1:9" ht="15.75" x14ac:dyDescent="0.25">
      <c r="A497" s="51">
        <v>42799</v>
      </c>
      <c r="B497" s="52" t="s">
        <v>8278</v>
      </c>
      <c r="C497" s="18">
        <v>103275</v>
      </c>
      <c r="D497" s="2" t="s">
        <v>30</v>
      </c>
      <c r="E497" s="15">
        <v>3935.4</v>
      </c>
      <c r="F497" s="59">
        <v>42799</v>
      </c>
      <c r="G497" s="15">
        <f t="shared" si="15"/>
        <v>3935.4</v>
      </c>
      <c r="H497" s="15">
        <f t="shared" si="16"/>
        <v>0</v>
      </c>
      <c r="I497" s="19"/>
    </row>
    <row r="498" spans="1:9" ht="15.75" x14ac:dyDescent="0.25">
      <c r="A498" s="51">
        <v>42799</v>
      </c>
      <c r="B498" s="52" t="s">
        <v>8279</v>
      </c>
      <c r="C498" s="18">
        <v>103276</v>
      </c>
      <c r="D498" s="2" t="s">
        <v>231</v>
      </c>
      <c r="E498" s="15">
        <v>9093.2000000000007</v>
      </c>
      <c r="F498" s="59">
        <v>42800</v>
      </c>
      <c r="G498" s="15">
        <f t="shared" si="15"/>
        <v>9093.2000000000007</v>
      </c>
      <c r="H498" s="15">
        <f t="shared" si="16"/>
        <v>0</v>
      </c>
      <c r="I498" s="19"/>
    </row>
    <row r="499" spans="1:9" ht="15.75" x14ac:dyDescent="0.25">
      <c r="A499" s="51">
        <v>42799</v>
      </c>
      <c r="B499" s="52" t="s">
        <v>8280</v>
      </c>
      <c r="C499" s="18">
        <v>103277</v>
      </c>
      <c r="D499" s="2" t="s">
        <v>1335</v>
      </c>
      <c r="E499" s="15">
        <v>8909.1</v>
      </c>
      <c r="F499" s="59">
        <v>42799</v>
      </c>
      <c r="G499" s="15">
        <f t="shared" si="15"/>
        <v>8909.1</v>
      </c>
      <c r="H499" s="15">
        <f t="shared" si="16"/>
        <v>0</v>
      </c>
      <c r="I499" s="19"/>
    </row>
    <row r="500" spans="1:9" ht="15.75" x14ac:dyDescent="0.25">
      <c r="A500" s="51">
        <v>42799</v>
      </c>
      <c r="B500" s="52" t="s">
        <v>8281</v>
      </c>
      <c r="C500" s="18">
        <v>103278</v>
      </c>
      <c r="D500" s="2" t="s">
        <v>17</v>
      </c>
      <c r="E500" s="15">
        <v>4830</v>
      </c>
      <c r="F500" s="59">
        <v>42799</v>
      </c>
      <c r="G500" s="15">
        <f t="shared" si="15"/>
        <v>4830</v>
      </c>
      <c r="H500" s="15">
        <f t="shared" si="16"/>
        <v>0</v>
      </c>
      <c r="I500" s="19"/>
    </row>
    <row r="501" spans="1:9" ht="15.75" x14ac:dyDescent="0.25">
      <c r="A501" s="51">
        <v>42799</v>
      </c>
      <c r="B501" s="52" t="s">
        <v>8282</v>
      </c>
      <c r="C501" s="18">
        <v>103279</v>
      </c>
      <c r="D501" s="2" t="s">
        <v>231</v>
      </c>
      <c r="E501" s="15">
        <v>40700.6</v>
      </c>
      <c r="F501" s="59">
        <v>42800</v>
      </c>
      <c r="G501" s="15">
        <f t="shared" si="15"/>
        <v>40700.6</v>
      </c>
      <c r="H501" s="15">
        <f t="shared" si="16"/>
        <v>0</v>
      </c>
      <c r="I501" s="19"/>
    </row>
    <row r="502" spans="1:9" ht="15.75" x14ac:dyDescent="0.25">
      <c r="A502" s="51">
        <v>42799</v>
      </c>
      <c r="B502" s="52" t="s">
        <v>8283</v>
      </c>
      <c r="C502" s="18">
        <v>103280</v>
      </c>
      <c r="D502" s="2" t="s">
        <v>379</v>
      </c>
      <c r="E502" s="15">
        <v>767.2</v>
      </c>
      <c r="F502" s="59">
        <v>42804</v>
      </c>
      <c r="G502" s="15">
        <f t="shared" si="15"/>
        <v>767.2</v>
      </c>
      <c r="H502" s="15">
        <f t="shared" si="16"/>
        <v>0</v>
      </c>
      <c r="I502" s="19"/>
    </row>
    <row r="503" spans="1:9" ht="15.75" x14ac:dyDescent="0.25">
      <c r="A503" s="51">
        <v>42799</v>
      </c>
      <c r="B503" s="52" t="s">
        <v>8284</v>
      </c>
      <c r="C503" s="18">
        <v>103281</v>
      </c>
      <c r="D503" s="2" t="s">
        <v>143</v>
      </c>
      <c r="E503" s="15">
        <v>6340.3</v>
      </c>
      <c r="F503" s="59">
        <v>42799</v>
      </c>
      <c r="G503" s="15">
        <f t="shared" si="15"/>
        <v>6340.3</v>
      </c>
      <c r="H503" s="15">
        <f t="shared" si="16"/>
        <v>0</v>
      </c>
      <c r="I503" s="19"/>
    </row>
    <row r="504" spans="1:9" ht="15.75" x14ac:dyDescent="0.25">
      <c r="A504" s="51">
        <v>42799</v>
      </c>
      <c r="B504" s="52" t="s">
        <v>8285</v>
      </c>
      <c r="C504" s="18">
        <v>103282</v>
      </c>
      <c r="D504" s="2" t="s">
        <v>476</v>
      </c>
      <c r="E504" s="15">
        <v>18289.7</v>
      </c>
      <c r="F504" s="59">
        <v>42802</v>
      </c>
      <c r="G504" s="15">
        <f t="shared" si="15"/>
        <v>18289.7</v>
      </c>
      <c r="H504" s="15">
        <f t="shared" si="16"/>
        <v>0</v>
      </c>
      <c r="I504" s="19"/>
    </row>
    <row r="505" spans="1:9" ht="15.75" x14ac:dyDescent="0.25">
      <c r="A505" s="51">
        <v>42799</v>
      </c>
      <c r="B505" s="52" t="s">
        <v>8286</v>
      </c>
      <c r="C505" s="18">
        <v>103283</v>
      </c>
      <c r="D505" s="2" t="s">
        <v>236</v>
      </c>
      <c r="E505" s="15">
        <v>33066</v>
      </c>
      <c r="F505" s="59">
        <v>42807</v>
      </c>
      <c r="G505" s="15">
        <f t="shared" si="15"/>
        <v>33066</v>
      </c>
      <c r="H505" s="15">
        <f t="shared" si="16"/>
        <v>0</v>
      </c>
      <c r="I505" s="19"/>
    </row>
    <row r="506" spans="1:9" ht="15.75" x14ac:dyDescent="0.25">
      <c r="A506" s="51">
        <v>42799</v>
      </c>
      <c r="B506" s="52" t="s">
        <v>8287</v>
      </c>
      <c r="C506" s="18">
        <v>103284</v>
      </c>
      <c r="D506" s="2" t="s">
        <v>28</v>
      </c>
      <c r="E506" s="15">
        <v>4611.6000000000004</v>
      </c>
      <c r="F506" s="59">
        <v>42799</v>
      </c>
      <c r="G506" s="15">
        <f t="shared" si="15"/>
        <v>4611.6000000000004</v>
      </c>
      <c r="H506" s="15">
        <f t="shared" si="16"/>
        <v>0</v>
      </c>
      <c r="I506" s="19"/>
    </row>
    <row r="507" spans="1:9" ht="15.75" x14ac:dyDescent="0.25">
      <c r="A507" s="51">
        <v>42799</v>
      </c>
      <c r="B507" s="52" t="s">
        <v>8288</v>
      </c>
      <c r="C507" s="18">
        <v>103285</v>
      </c>
      <c r="D507" s="24" t="s">
        <v>974</v>
      </c>
      <c r="E507" s="25">
        <v>0</v>
      </c>
      <c r="F507" s="103" t="s">
        <v>95</v>
      </c>
      <c r="G507" s="25">
        <f t="shared" si="15"/>
        <v>0</v>
      </c>
      <c r="H507" s="25">
        <f t="shared" si="16"/>
        <v>0</v>
      </c>
      <c r="I507" s="19"/>
    </row>
    <row r="508" spans="1:9" ht="15.75" x14ac:dyDescent="0.25">
      <c r="A508" s="51">
        <v>42799</v>
      </c>
      <c r="B508" s="52" t="s">
        <v>8289</v>
      </c>
      <c r="C508" s="18">
        <v>103286</v>
      </c>
      <c r="D508" s="2" t="s">
        <v>974</v>
      </c>
      <c r="E508" s="15">
        <v>6011.2</v>
      </c>
      <c r="F508" s="59">
        <v>42799</v>
      </c>
      <c r="G508" s="15">
        <f t="shared" si="15"/>
        <v>6011.2</v>
      </c>
      <c r="H508" s="15">
        <f t="shared" si="16"/>
        <v>0</v>
      </c>
      <c r="I508" s="19"/>
    </row>
    <row r="509" spans="1:9" ht="15.75" x14ac:dyDescent="0.25">
      <c r="A509" s="51">
        <v>42799</v>
      </c>
      <c r="B509" s="52" t="s">
        <v>8290</v>
      </c>
      <c r="C509" s="18">
        <v>103287</v>
      </c>
      <c r="D509" s="13" t="s">
        <v>236</v>
      </c>
      <c r="E509" s="14">
        <v>0</v>
      </c>
      <c r="F509" s="102" t="s">
        <v>95</v>
      </c>
      <c r="G509" s="14">
        <f t="shared" si="15"/>
        <v>0</v>
      </c>
      <c r="H509" s="14">
        <f t="shared" si="16"/>
        <v>0</v>
      </c>
      <c r="I509" s="19"/>
    </row>
    <row r="510" spans="1:9" ht="15.75" x14ac:dyDescent="0.25">
      <c r="A510" s="51">
        <v>42799</v>
      </c>
      <c r="B510" s="52" t="s">
        <v>8291</v>
      </c>
      <c r="C510" s="18">
        <v>103288</v>
      </c>
      <c r="D510" s="2" t="s">
        <v>236</v>
      </c>
      <c r="E510" s="15">
        <v>44247.4</v>
      </c>
      <c r="F510" s="59">
        <v>42807</v>
      </c>
      <c r="G510" s="15">
        <f t="shared" si="15"/>
        <v>44247.4</v>
      </c>
      <c r="H510" s="15">
        <f t="shared" si="16"/>
        <v>0</v>
      </c>
      <c r="I510" s="19"/>
    </row>
    <row r="511" spans="1:9" ht="15.75" x14ac:dyDescent="0.25">
      <c r="A511" s="51">
        <v>42799</v>
      </c>
      <c r="B511" s="52" t="s">
        <v>8292</v>
      </c>
      <c r="C511" s="18">
        <v>103289</v>
      </c>
      <c r="D511" s="2" t="s">
        <v>47</v>
      </c>
      <c r="E511" s="15">
        <v>2602</v>
      </c>
      <c r="F511" s="59">
        <v>42799</v>
      </c>
      <c r="G511" s="15">
        <f t="shared" si="15"/>
        <v>2602</v>
      </c>
      <c r="H511" s="15">
        <f t="shared" si="16"/>
        <v>0</v>
      </c>
      <c r="I511" s="19"/>
    </row>
    <row r="512" spans="1:9" ht="15.75" x14ac:dyDescent="0.25">
      <c r="A512" s="51">
        <v>42799</v>
      </c>
      <c r="B512" s="52" t="s">
        <v>8293</v>
      </c>
      <c r="C512" s="18">
        <v>103290</v>
      </c>
      <c r="D512" s="2" t="s">
        <v>8294</v>
      </c>
      <c r="E512" s="15">
        <v>2241</v>
      </c>
      <c r="F512" s="59">
        <v>42799</v>
      </c>
      <c r="G512" s="15">
        <f t="shared" si="15"/>
        <v>2241</v>
      </c>
      <c r="H512" s="15">
        <f t="shared" si="16"/>
        <v>0</v>
      </c>
      <c r="I512" s="19"/>
    </row>
    <row r="513" spans="1:9" ht="15.75" x14ac:dyDescent="0.25">
      <c r="A513" s="51">
        <v>42799</v>
      </c>
      <c r="B513" s="52" t="s">
        <v>8295</v>
      </c>
      <c r="C513" s="18">
        <v>103291</v>
      </c>
      <c r="D513" s="2" t="s">
        <v>21</v>
      </c>
      <c r="E513" s="15">
        <v>41949.599999999999</v>
      </c>
      <c r="F513" s="59">
        <v>42811</v>
      </c>
      <c r="G513" s="15">
        <f t="shared" si="15"/>
        <v>41949.599999999999</v>
      </c>
      <c r="H513" s="15">
        <f t="shared" si="16"/>
        <v>0</v>
      </c>
      <c r="I513" s="19"/>
    </row>
    <row r="514" spans="1:9" ht="15.75" x14ac:dyDescent="0.25">
      <c r="A514" s="51">
        <v>42799</v>
      </c>
      <c r="B514" s="52" t="s">
        <v>8296</v>
      </c>
      <c r="C514" s="18">
        <v>103292</v>
      </c>
      <c r="D514" s="2" t="s">
        <v>157</v>
      </c>
      <c r="E514" s="15">
        <v>19578.2</v>
      </c>
      <c r="F514" s="59">
        <v>42799</v>
      </c>
      <c r="G514" s="15">
        <f t="shared" si="15"/>
        <v>19578.2</v>
      </c>
      <c r="H514" s="15">
        <f t="shared" si="16"/>
        <v>0</v>
      </c>
      <c r="I514" s="19"/>
    </row>
    <row r="515" spans="1:9" ht="15.75" x14ac:dyDescent="0.25">
      <c r="A515" s="51">
        <v>42799</v>
      </c>
      <c r="B515" s="52" t="s">
        <v>8297</v>
      </c>
      <c r="C515" s="18">
        <v>103293</v>
      </c>
      <c r="D515" s="2" t="s">
        <v>1968</v>
      </c>
      <c r="E515" s="15">
        <v>2890.5</v>
      </c>
      <c r="F515" s="59">
        <v>42799</v>
      </c>
      <c r="G515" s="15">
        <f t="shared" si="15"/>
        <v>2890.5</v>
      </c>
      <c r="H515" s="15">
        <f t="shared" si="16"/>
        <v>0</v>
      </c>
      <c r="I515" s="19"/>
    </row>
    <row r="516" spans="1:9" ht="15.75" x14ac:dyDescent="0.25">
      <c r="A516" s="51">
        <v>42799</v>
      </c>
      <c r="B516" s="52" t="s">
        <v>8298</v>
      </c>
      <c r="C516" s="18">
        <v>103294</v>
      </c>
      <c r="D516" s="2" t="s">
        <v>240</v>
      </c>
      <c r="E516" s="15">
        <v>4182</v>
      </c>
      <c r="F516" s="59">
        <v>42799</v>
      </c>
      <c r="G516" s="15">
        <f t="shared" ref="G516:G579" si="17">E516</f>
        <v>4182</v>
      </c>
      <c r="H516" s="15">
        <f t="shared" ref="H516:H579" si="18">E516-G516</f>
        <v>0</v>
      </c>
      <c r="I516" s="19"/>
    </row>
    <row r="517" spans="1:9" ht="15.75" x14ac:dyDescent="0.25">
      <c r="A517" s="51">
        <v>42799</v>
      </c>
      <c r="B517" s="52" t="s">
        <v>8299</v>
      </c>
      <c r="C517" s="18">
        <v>103295</v>
      </c>
      <c r="D517" s="2" t="s">
        <v>79</v>
      </c>
      <c r="E517" s="15">
        <v>2425.1999999999998</v>
      </c>
      <c r="F517" s="59">
        <v>42799</v>
      </c>
      <c r="G517" s="15">
        <f t="shared" si="17"/>
        <v>2425.1999999999998</v>
      </c>
      <c r="H517" s="15">
        <f t="shared" si="18"/>
        <v>0</v>
      </c>
      <c r="I517" s="19"/>
    </row>
    <row r="518" spans="1:9" ht="15.75" x14ac:dyDescent="0.25">
      <c r="A518" s="51">
        <v>42799</v>
      </c>
      <c r="B518" s="52" t="s">
        <v>8300</v>
      </c>
      <c r="C518" s="18">
        <v>103296</v>
      </c>
      <c r="D518" s="2" t="s">
        <v>1645</v>
      </c>
      <c r="E518" s="15">
        <v>1496</v>
      </c>
      <c r="F518" s="59">
        <v>42799</v>
      </c>
      <c r="G518" s="15">
        <f t="shared" si="17"/>
        <v>1496</v>
      </c>
      <c r="H518" s="15">
        <f t="shared" si="18"/>
        <v>0</v>
      </c>
      <c r="I518" s="19"/>
    </row>
    <row r="519" spans="1:9" ht="15.75" x14ac:dyDescent="0.25">
      <c r="A519" s="51">
        <v>42799</v>
      </c>
      <c r="B519" s="52" t="s">
        <v>8301</v>
      </c>
      <c r="C519" s="18">
        <v>103297</v>
      </c>
      <c r="D519" s="2" t="s">
        <v>71</v>
      </c>
      <c r="E519" s="15">
        <v>1848</v>
      </c>
      <c r="F519" s="59">
        <v>42799</v>
      </c>
      <c r="G519" s="15">
        <f t="shared" si="17"/>
        <v>1848</v>
      </c>
      <c r="H519" s="15">
        <f t="shared" si="18"/>
        <v>0</v>
      </c>
      <c r="I519" s="19"/>
    </row>
    <row r="520" spans="1:9" ht="15.75" x14ac:dyDescent="0.25">
      <c r="A520" s="51">
        <v>42799</v>
      </c>
      <c r="B520" s="52" t="s">
        <v>8302</v>
      </c>
      <c r="C520" s="18">
        <v>103298</v>
      </c>
      <c r="D520" s="2" t="s">
        <v>3958</v>
      </c>
      <c r="E520" s="15">
        <v>21089.9</v>
      </c>
      <c r="F520" s="59">
        <v>42799</v>
      </c>
      <c r="G520" s="15">
        <f t="shared" si="17"/>
        <v>21089.9</v>
      </c>
      <c r="H520" s="15">
        <f t="shared" si="18"/>
        <v>0</v>
      </c>
      <c r="I520" s="19"/>
    </row>
    <row r="521" spans="1:9" ht="15.75" x14ac:dyDescent="0.25">
      <c r="A521" s="51">
        <v>42799</v>
      </c>
      <c r="B521" s="52" t="s">
        <v>8303</v>
      </c>
      <c r="C521" s="18">
        <v>103299</v>
      </c>
      <c r="D521" s="2" t="s">
        <v>3425</v>
      </c>
      <c r="E521" s="15">
        <v>336</v>
      </c>
      <c r="F521" s="59">
        <v>42799</v>
      </c>
      <c r="G521" s="15">
        <f t="shared" si="17"/>
        <v>336</v>
      </c>
      <c r="H521" s="15">
        <f t="shared" si="18"/>
        <v>0</v>
      </c>
      <c r="I521" s="19"/>
    </row>
    <row r="522" spans="1:9" ht="15.75" x14ac:dyDescent="0.25">
      <c r="A522" s="51">
        <v>42799</v>
      </c>
      <c r="B522" s="52" t="s">
        <v>8304</v>
      </c>
      <c r="C522" s="18">
        <v>103300</v>
      </c>
      <c r="D522" s="2" t="s">
        <v>457</v>
      </c>
      <c r="E522" s="15">
        <v>6632.4</v>
      </c>
      <c r="F522" s="59">
        <v>42799</v>
      </c>
      <c r="G522" s="15">
        <f t="shared" si="17"/>
        <v>6632.4</v>
      </c>
      <c r="H522" s="15">
        <f t="shared" si="18"/>
        <v>0</v>
      </c>
      <c r="I522" s="19"/>
    </row>
    <row r="523" spans="1:9" ht="15.75" x14ac:dyDescent="0.25">
      <c r="A523" s="51">
        <v>42799</v>
      </c>
      <c r="B523" s="52" t="s">
        <v>8305</v>
      </c>
      <c r="C523" s="18">
        <v>103301</v>
      </c>
      <c r="D523" s="2" t="s">
        <v>3958</v>
      </c>
      <c r="E523" s="15">
        <v>1352</v>
      </c>
      <c r="F523" s="59">
        <v>42799</v>
      </c>
      <c r="G523" s="15">
        <f t="shared" si="17"/>
        <v>1352</v>
      </c>
      <c r="H523" s="15">
        <f t="shared" si="18"/>
        <v>0</v>
      </c>
      <c r="I523" s="19"/>
    </row>
    <row r="524" spans="1:9" ht="15.75" x14ac:dyDescent="0.25">
      <c r="A524" s="51">
        <v>42799</v>
      </c>
      <c r="B524" s="52" t="s">
        <v>8306</v>
      </c>
      <c r="C524" s="18">
        <v>103302</v>
      </c>
      <c r="D524" s="2" t="s">
        <v>30</v>
      </c>
      <c r="E524" s="15">
        <v>19801.8</v>
      </c>
      <c r="F524" s="59">
        <v>42799</v>
      </c>
      <c r="G524" s="15">
        <f t="shared" si="17"/>
        <v>19801.8</v>
      </c>
      <c r="H524" s="15">
        <f t="shared" si="18"/>
        <v>0</v>
      </c>
      <c r="I524" s="19"/>
    </row>
    <row r="525" spans="1:9" ht="15.75" x14ac:dyDescent="0.25">
      <c r="A525" s="51">
        <v>42799</v>
      </c>
      <c r="B525" s="52" t="s">
        <v>8307</v>
      </c>
      <c r="C525" s="18">
        <v>103303</v>
      </c>
      <c r="D525" s="2" t="s">
        <v>10</v>
      </c>
      <c r="E525" s="15">
        <v>2838</v>
      </c>
      <c r="F525" s="59">
        <v>42803</v>
      </c>
      <c r="G525" s="15">
        <f t="shared" si="17"/>
        <v>2838</v>
      </c>
      <c r="H525" s="15">
        <f t="shared" si="18"/>
        <v>0</v>
      </c>
      <c r="I525" s="19"/>
    </row>
    <row r="526" spans="1:9" ht="15.75" x14ac:dyDescent="0.25">
      <c r="A526" s="51">
        <v>42799</v>
      </c>
      <c r="B526" s="52" t="s">
        <v>8308</v>
      </c>
      <c r="C526" s="18">
        <v>103304</v>
      </c>
      <c r="D526" s="2" t="s">
        <v>1116</v>
      </c>
      <c r="E526" s="15">
        <v>2951.6</v>
      </c>
      <c r="F526" s="64" t="s">
        <v>8309</v>
      </c>
      <c r="G526" s="20">
        <f>2400+551.6</f>
        <v>2951.6</v>
      </c>
      <c r="H526" s="20">
        <f t="shared" si="18"/>
        <v>0</v>
      </c>
      <c r="I526" s="19"/>
    </row>
    <row r="527" spans="1:9" ht="15.75" x14ac:dyDescent="0.25">
      <c r="A527" s="51">
        <v>42799</v>
      </c>
      <c r="B527" s="52" t="s">
        <v>8310</v>
      </c>
      <c r="C527" s="18">
        <v>103305</v>
      </c>
      <c r="D527" s="2" t="s">
        <v>298</v>
      </c>
      <c r="E527" s="15">
        <v>2937.5</v>
      </c>
      <c r="F527" s="59">
        <v>42799</v>
      </c>
      <c r="G527" s="15">
        <f t="shared" si="17"/>
        <v>2937.5</v>
      </c>
      <c r="H527" s="15">
        <f t="shared" si="18"/>
        <v>0</v>
      </c>
      <c r="I527" s="19"/>
    </row>
    <row r="528" spans="1:9" ht="15.75" x14ac:dyDescent="0.25">
      <c r="A528" s="51">
        <v>42799</v>
      </c>
      <c r="B528" s="52" t="s">
        <v>8311</v>
      </c>
      <c r="C528" s="18">
        <v>103306</v>
      </c>
      <c r="D528" s="2" t="s">
        <v>115</v>
      </c>
      <c r="E528" s="15">
        <v>2622.8</v>
      </c>
      <c r="F528" s="59">
        <v>42799</v>
      </c>
      <c r="G528" s="15">
        <f t="shared" si="17"/>
        <v>2622.8</v>
      </c>
      <c r="H528" s="15">
        <f t="shared" si="18"/>
        <v>0</v>
      </c>
      <c r="I528" s="19"/>
    </row>
    <row r="529" spans="1:9" ht="15.75" x14ac:dyDescent="0.25">
      <c r="A529" s="51">
        <v>42799</v>
      </c>
      <c r="B529" s="52" t="s">
        <v>8312</v>
      </c>
      <c r="C529" s="18">
        <v>103307</v>
      </c>
      <c r="D529" s="2" t="s">
        <v>81</v>
      </c>
      <c r="E529" s="15">
        <v>13062.8</v>
      </c>
      <c r="F529" s="59">
        <v>42800</v>
      </c>
      <c r="G529" s="15">
        <f t="shared" si="17"/>
        <v>13062.8</v>
      </c>
      <c r="H529" s="15">
        <f t="shared" si="18"/>
        <v>0</v>
      </c>
      <c r="I529" s="19"/>
    </row>
    <row r="530" spans="1:9" ht="15.75" x14ac:dyDescent="0.25">
      <c r="A530" s="51">
        <v>42799</v>
      </c>
      <c r="B530" s="52" t="s">
        <v>8313</v>
      </c>
      <c r="C530" s="18">
        <v>103308</v>
      </c>
      <c r="D530" s="2" t="s">
        <v>613</v>
      </c>
      <c r="E530" s="15">
        <v>5011.2</v>
      </c>
      <c r="F530" s="59">
        <v>42800</v>
      </c>
      <c r="G530" s="15">
        <f t="shared" si="17"/>
        <v>5011.2</v>
      </c>
      <c r="H530" s="15">
        <f t="shared" si="18"/>
        <v>0</v>
      </c>
      <c r="I530" s="19"/>
    </row>
    <row r="531" spans="1:9" ht="15.75" x14ac:dyDescent="0.25">
      <c r="A531" s="51">
        <v>42799</v>
      </c>
      <c r="B531" s="52" t="s">
        <v>8314</v>
      </c>
      <c r="C531" s="18">
        <v>103309</v>
      </c>
      <c r="D531" s="2" t="s">
        <v>101</v>
      </c>
      <c r="E531" s="15">
        <v>699.2</v>
      </c>
      <c r="F531" s="59">
        <v>42800</v>
      </c>
      <c r="G531" s="15">
        <f t="shared" si="17"/>
        <v>699.2</v>
      </c>
      <c r="H531" s="15">
        <f t="shared" si="18"/>
        <v>0</v>
      </c>
      <c r="I531" s="19"/>
    </row>
    <row r="532" spans="1:9" ht="15.75" x14ac:dyDescent="0.25">
      <c r="A532" s="51">
        <v>42799</v>
      </c>
      <c r="B532" s="52" t="s">
        <v>8315</v>
      </c>
      <c r="C532" s="18">
        <v>103310</v>
      </c>
      <c r="D532" s="2" t="s">
        <v>99</v>
      </c>
      <c r="E532" s="15">
        <v>3220</v>
      </c>
      <c r="F532" s="59">
        <v>42800</v>
      </c>
      <c r="G532" s="15">
        <f t="shared" si="17"/>
        <v>3220</v>
      </c>
      <c r="H532" s="15">
        <f t="shared" si="18"/>
        <v>0</v>
      </c>
      <c r="I532" s="19"/>
    </row>
    <row r="533" spans="1:9" ht="15.75" x14ac:dyDescent="0.25">
      <c r="A533" s="51">
        <v>42799</v>
      </c>
      <c r="B533" s="52" t="s">
        <v>8316</v>
      </c>
      <c r="C533" s="18">
        <v>103311</v>
      </c>
      <c r="D533" s="2" t="s">
        <v>1259</v>
      </c>
      <c r="E533" s="15">
        <v>1854</v>
      </c>
      <c r="F533" s="59">
        <v>42800</v>
      </c>
      <c r="G533" s="15">
        <f t="shared" si="17"/>
        <v>1854</v>
      </c>
      <c r="H533" s="15">
        <f t="shared" si="18"/>
        <v>0</v>
      </c>
      <c r="I533" s="19"/>
    </row>
    <row r="534" spans="1:9" ht="15.75" x14ac:dyDescent="0.25">
      <c r="A534" s="51">
        <v>42799</v>
      </c>
      <c r="B534" s="52" t="s">
        <v>8317</v>
      </c>
      <c r="C534" s="18">
        <v>103312</v>
      </c>
      <c r="D534" s="2" t="s">
        <v>309</v>
      </c>
      <c r="E534" s="15">
        <v>3180.6</v>
      </c>
      <c r="F534" s="59">
        <v>42799</v>
      </c>
      <c r="G534" s="15">
        <f t="shared" si="17"/>
        <v>3180.6</v>
      </c>
      <c r="H534" s="15">
        <f t="shared" si="18"/>
        <v>0</v>
      </c>
      <c r="I534" s="19"/>
    </row>
    <row r="535" spans="1:9" ht="15.75" x14ac:dyDescent="0.25">
      <c r="A535" s="51">
        <v>42799</v>
      </c>
      <c r="B535" s="52" t="s">
        <v>8318</v>
      </c>
      <c r="C535" s="18">
        <v>103313</v>
      </c>
      <c r="D535" s="2" t="s">
        <v>109</v>
      </c>
      <c r="E535" s="15">
        <v>6198.5</v>
      </c>
      <c r="F535" s="59">
        <v>42800</v>
      </c>
      <c r="G535" s="15">
        <f t="shared" si="17"/>
        <v>6198.5</v>
      </c>
      <c r="H535" s="15">
        <f t="shared" si="18"/>
        <v>0</v>
      </c>
      <c r="I535" s="19"/>
    </row>
    <row r="536" spans="1:9" ht="15.75" x14ac:dyDescent="0.25">
      <c r="A536" s="51">
        <v>42799</v>
      </c>
      <c r="B536" s="52" t="s">
        <v>8319</v>
      </c>
      <c r="C536" s="18">
        <v>103314</v>
      </c>
      <c r="D536" s="2" t="s">
        <v>83</v>
      </c>
      <c r="E536" s="15">
        <v>3129.6</v>
      </c>
      <c r="F536" s="59">
        <v>42800</v>
      </c>
      <c r="G536" s="15">
        <f t="shared" si="17"/>
        <v>3129.6</v>
      </c>
      <c r="H536" s="15">
        <f t="shared" si="18"/>
        <v>0</v>
      </c>
      <c r="I536" s="19"/>
    </row>
    <row r="537" spans="1:9" ht="15.75" x14ac:dyDescent="0.25">
      <c r="A537" s="51">
        <v>42799</v>
      </c>
      <c r="B537" s="52" t="s">
        <v>8320</v>
      </c>
      <c r="C537" s="18">
        <v>103315</v>
      </c>
      <c r="D537" s="2" t="s">
        <v>309</v>
      </c>
      <c r="E537" s="15">
        <v>40</v>
      </c>
      <c r="F537" s="59">
        <v>42799</v>
      </c>
      <c r="G537" s="15">
        <f t="shared" si="17"/>
        <v>40</v>
      </c>
      <c r="H537" s="15">
        <f t="shared" si="18"/>
        <v>0</v>
      </c>
      <c r="I537" s="19"/>
    </row>
    <row r="538" spans="1:9" ht="15.75" x14ac:dyDescent="0.25">
      <c r="A538" s="51">
        <v>42799</v>
      </c>
      <c r="B538" s="52" t="s">
        <v>8321</v>
      </c>
      <c r="C538" s="18">
        <v>103316</v>
      </c>
      <c r="D538" s="2" t="s">
        <v>305</v>
      </c>
      <c r="E538" s="15">
        <v>5157.6000000000004</v>
      </c>
      <c r="F538" s="59">
        <v>42800</v>
      </c>
      <c r="G538" s="15">
        <f t="shared" si="17"/>
        <v>5157.6000000000004</v>
      </c>
      <c r="H538" s="15">
        <f t="shared" si="18"/>
        <v>0</v>
      </c>
      <c r="I538" s="19"/>
    </row>
    <row r="539" spans="1:9" ht="15.75" x14ac:dyDescent="0.25">
      <c r="A539" s="51">
        <v>42799</v>
      </c>
      <c r="B539" s="52" t="s">
        <v>8322</v>
      </c>
      <c r="C539" s="18">
        <v>103317</v>
      </c>
      <c r="D539" s="2" t="s">
        <v>139</v>
      </c>
      <c r="E539" s="15">
        <v>1158.5</v>
      </c>
      <c r="F539" s="59">
        <v>42799</v>
      </c>
      <c r="G539" s="15">
        <f t="shared" si="17"/>
        <v>1158.5</v>
      </c>
      <c r="H539" s="15">
        <f t="shared" si="18"/>
        <v>0</v>
      </c>
      <c r="I539" s="19"/>
    </row>
    <row r="540" spans="1:9" ht="15.75" x14ac:dyDescent="0.25">
      <c r="A540" s="51">
        <v>42799</v>
      </c>
      <c r="B540" s="52" t="s">
        <v>8323</v>
      </c>
      <c r="C540" s="18">
        <v>103318</v>
      </c>
      <c r="D540" s="2" t="s">
        <v>2997</v>
      </c>
      <c r="E540" s="15">
        <v>1522.8</v>
      </c>
      <c r="F540" s="59">
        <v>42799</v>
      </c>
      <c r="G540" s="15">
        <f t="shared" si="17"/>
        <v>1522.8</v>
      </c>
      <c r="H540" s="15">
        <f t="shared" si="18"/>
        <v>0</v>
      </c>
      <c r="I540" s="19"/>
    </row>
    <row r="541" spans="1:9" ht="15.75" x14ac:dyDescent="0.25">
      <c r="A541" s="51">
        <v>42799</v>
      </c>
      <c r="B541" s="52" t="s">
        <v>8324</v>
      </c>
      <c r="C541" s="18">
        <v>103319</v>
      </c>
      <c r="D541" s="2" t="s">
        <v>492</v>
      </c>
      <c r="E541" s="15">
        <v>6400.8</v>
      </c>
      <c r="F541" s="59">
        <v>42806</v>
      </c>
      <c r="G541" s="15">
        <f t="shared" si="17"/>
        <v>6400.8</v>
      </c>
      <c r="H541" s="15">
        <f t="shared" si="18"/>
        <v>0</v>
      </c>
      <c r="I541" s="19"/>
    </row>
    <row r="542" spans="1:9" ht="15.75" x14ac:dyDescent="0.25">
      <c r="A542" s="51">
        <v>42799</v>
      </c>
      <c r="B542" s="52" t="s">
        <v>8325</v>
      </c>
      <c r="C542" s="18">
        <v>103320</v>
      </c>
      <c r="D542" s="2" t="s">
        <v>879</v>
      </c>
      <c r="E542" s="15">
        <v>2979.2</v>
      </c>
      <c r="F542" s="59">
        <v>42799</v>
      </c>
      <c r="G542" s="15">
        <f t="shared" si="17"/>
        <v>2979.2</v>
      </c>
      <c r="H542" s="15">
        <f t="shared" si="18"/>
        <v>0</v>
      </c>
      <c r="I542" s="19"/>
    </row>
    <row r="543" spans="1:9" ht="15.75" x14ac:dyDescent="0.25">
      <c r="A543" s="51">
        <v>42799</v>
      </c>
      <c r="B543" s="52" t="s">
        <v>8326</v>
      </c>
      <c r="C543" s="18">
        <v>103321</v>
      </c>
      <c r="D543" s="2" t="s">
        <v>168</v>
      </c>
      <c r="E543" s="15">
        <v>1319.6</v>
      </c>
      <c r="F543" s="59">
        <v>42799</v>
      </c>
      <c r="G543" s="15">
        <f t="shared" si="17"/>
        <v>1319.6</v>
      </c>
      <c r="H543" s="15">
        <f t="shared" si="18"/>
        <v>0</v>
      </c>
      <c r="I543" s="19"/>
    </row>
    <row r="544" spans="1:9" ht="15.75" x14ac:dyDescent="0.25">
      <c r="A544" s="51">
        <v>42799</v>
      </c>
      <c r="B544" s="52" t="s">
        <v>8327</v>
      </c>
      <c r="C544" s="18">
        <v>103322</v>
      </c>
      <c r="D544" s="2" t="s">
        <v>470</v>
      </c>
      <c r="E544" s="15">
        <v>10212.92</v>
      </c>
      <c r="F544" s="59">
        <v>42799</v>
      </c>
      <c r="G544" s="15">
        <f t="shared" si="17"/>
        <v>10212.92</v>
      </c>
      <c r="H544" s="15">
        <f t="shared" si="18"/>
        <v>0</v>
      </c>
      <c r="I544" s="19"/>
    </row>
    <row r="545" spans="1:9" ht="15.75" x14ac:dyDescent="0.25">
      <c r="A545" s="51">
        <v>42799</v>
      </c>
      <c r="B545" s="52" t="s">
        <v>8328</v>
      </c>
      <c r="C545" s="18">
        <v>103323</v>
      </c>
      <c r="D545" s="2" t="s">
        <v>122</v>
      </c>
      <c r="E545" s="15">
        <v>5703.6</v>
      </c>
      <c r="F545" s="59">
        <v>42804</v>
      </c>
      <c r="G545" s="15">
        <f t="shared" si="17"/>
        <v>5703.6</v>
      </c>
      <c r="H545" s="15">
        <f t="shared" si="18"/>
        <v>0</v>
      </c>
      <c r="I545" s="19"/>
    </row>
    <row r="546" spans="1:9" ht="15.75" x14ac:dyDescent="0.25">
      <c r="A546" s="51">
        <v>42799</v>
      </c>
      <c r="B546" s="52" t="s">
        <v>8329</v>
      </c>
      <c r="C546" s="18">
        <v>103324</v>
      </c>
      <c r="D546" s="2" t="s">
        <v>531</v>
      </c>
      <c r="E546" s="15">
        <v>3149</v>
      </c>
      <c r="F546" s="59">
        <v>42803</v>
      </c>
      <c r="G546" s="15">
        <f t="shared" si="17"/>
        <v>3149</v>
      </c>
      <c r="H546" s="15">
        <f t="shared" si="18"/>
        <v>0</v>
      </c>
      <c r="I546" s="19"/>
    </row>
    <row r="547" spans="1:9" ht="15.75" x14ac:dyDescent="0.25">
      <c r="A547" s="51">
        <v>42799</v>
      </c>
      <c r="B547" s="52" t="s">
        <v>8330</v>
      </c>
      <c r="C547" s="18">
        <v>103325</v>
      </c>
      <c r="D547" s="2" t="s">
        <v>226</v>
      </c>
      <c r="E547" s="15">
        <v>1508</v>
      </c>
      <c r="F547" s="59">
        <v>42799</v>
      </c>
      <c r="G547" s="15">
        <f t="shared" si="17"/>
        <v>1508</v>
      </c>
      <c r="H547" s="15">
        <f t="shared" si="18"/>
        <v>0</v>
      </c>
      <c r="I547" s="19"/>
    </row>
    <row r="548" spans="1:9" ht="15.75" x14ac:dyDescent="0.25">
      <c r="A548" s="51">
        <v>42799</v>
      </c>
      <c r="B548" s="52" t="s">
        <v>8331</v>
      </c>
      <c r="C548" s="18">
        <v>103326</v>
      </c>
      <c r="D548" s="2" t="s">
        <v>331</v>
      </c>
      <c r="E548" s="15">
        <v>766.1</v>
      </c>
      <c r="F548" s="59">
        <v>42799</v>
      </c>
      <c r="G548" s="15">
        <f t="shared" si="17"/>
        <v>766.1</v>
      </c>
      <c r="H548" s="15">
        <f t="shared" si="18"/>
        <v>0</v>
      </c>
      <c r="I548" s="19"/>
    </row>
    <row r="549" spans="1:9" ht="15.75" x14ac:dyDescent="0.25">
      <c r="A549" s="51">
        <v>42799</v>
      </c>
      <c r="B549" s="52" t="s">
        <v>8332</v>
      </c>
      <c r="C549" s="18">
        <v>103327</v>
      </c>
      <c r="D549" s="2" t="s">
        <v>480</v>
      </c>
      <c r="E549" s="15">
        <v>2109.86</v>
      </c>
      <c r="F549" s="59">
        <v>42799</v>
      </c>
      <c r="G549" s="15">
        <f t="shared" si="17"/>
        <v>2109.86</v>
      </c>
      <c r="H549" s="15">
        <f t="shared" si="18"/>
        <v>0</v>
      </c>
      <c r="I549" s="19"/>
    </row>
    <row r="550" spans="1:9" ht="15.75" x14ac:dyDescent="0.25">
      <c r="A550" s="51">
        <v>42799</v>
      </c>
      <c r="B550" s="52" t="s">
        <v>8333</v>
      </c>
      <c r="C550" s="18">
        <v>103328</v>
      </c>
      <c r="D550" s="2" t="s">
        <v>422</v>
      </c>
      <c r="E550" s="15">
        <v>1268.5</v>
      </c>
      <c r="F550" s="59">
        <v>42799</v>
      </c>
      <c r="G550" s="15">
        <f t="shared" si="17"/>
        <v>1268.5</v>
      </c>
      <c r="H550" s="15">
        <f t="shared" si="18"/>
        <v>0</v>
      </c>
      <c r="I550" s="19"/>
    </row>
    <row r="551" spans="1:9" ht="15.75" x14ac:dyDescent="0.25">
      <c r="A551" s="51">
        <v>42799</v>
      </c>
      <c r="B551" s="52" t="s">
        <v>8334</v>
      </c>
      <c r="C551" s="18">
        <v>103329</v>
      </c>
      <c r="D551" s="2" t="s">
        <v>2240</v>
      </c>
      <c r="E551" s="15">
        <v>2051.6999999999998</v>
      </c>
      <c r="F551" s="59">
        <v>42799</v>
      </c>
      <c r="G551" s="15">
        <f t="shared" si="17"/>
        <v>2051.6999999999998</v>
      </c>
      <c r="H551" s="15">
        <f t="shared" si="18"/>
        <v>0</v>
      </c>
      <c r="I551" s="19"/>
    </row>
    <row r="552" spans="1:9" ht="15.75" x14ac:dyDescent="0.25">
      <c r="A552" s="51">
        <v>42799</v>
      </c>
      <c r="B552" s="52" t="s">
        <v>8335</v>
      </c>
      <c r="C552" s="18">
        <v>103330</v>
      </c>
      <c r="D552" s="2" t="s">
        <v>367</v>
      </c>
      <c r="E552" s="15">
        <v>1350</v>
      </c>
      <c r="F552" s="59">
        <v>42799</v>
      </c>
      <c r="G552" s="15">
        <f t="shared" si="17"/>
        <v>1350</v>
      </c>
      <c r="H552" s="15">
        <f t="shared" si="18"/>
        <v>0</v>
      </c>
      <c r="I552" s="19"/>
    </row>
    <row r="553" spans="1:9" ht="15.75" x14ac:dyDescent="0.25">
      <c r="A553" s="51">
        <v>42799</v>
      </c>
      <c r="B553" s="52" t="s">
        <v>8336</v>
      </c>
      <c r="C553" s="18">
        <v>103331</v>
      </c>
      <c r="D553" s="2" t="s">
        <v>125</v>
      </c>
      <c r="E553" s="15">
        <v>8908</v>
      </c>
      <c r="F553" s="59">
        <v>42799</v>
      </c>
      <c r="G553" s="15">
        <f t="shared" si="17"/>
        <v>8908</v>
      </c>
      <c r="H553" s="15">
        <f t="shared" si="18"/>
        <v>0</v>
      </c>
      <c r="I553" s="19"/>
    </row>
    <row r="554" spans="1:9" ht="15.75" x14ac:dyDescent="0.25">
      <c r="A554" s="51">
        <v>42799</v>
      </c>
      <c r="B554" s="52" t="s">
        <v>8337</v>
      </c>
      <c r="C554" s="18">
        <v>103332</v>
      </c>
      <c r="D554" s="2" t="s">
        <v>12</v>
      </c>
      <c r="E554" s="15">
        <v>2133</v>
      </c>
      <c r="F554" s="59">
        <v>42799</v>
      </c>
      <c r="G554" s="15">
        <f t="shared" si="17"/>
        <v>2133</v>
      </c>
      <c r="H554" s="15">
        <f t="shared" si="18"/>
        <v>0</v>
      </c>
      <c r="I554" s="19"/>
    </row>
    <row r="555" spans="1:9" ht="15.75" x14ac:dyDescent="0.25">
      <c r="A555" s="51">
        <v>42799</v>
      </c>
      <c r="B555" s="52" t="s">
        <v>8338</v>
      </c>
      <c r="C555" s="18">
        <v>103333</v>
      </c>
      <c r="D555" s="2" t="s">
        <v>1925</v>
      </c>
      <c r="E555" s="15">
        <v>463</v>
      </c>
      <c r="F555" s="59">
        <v>42799</v>
      </c>
      <c r="G555" s="15">
        <f t="shared" si="17"/>
        <v>463</v>
      </c>
      <c r="H555" s="15">
        <f t="shared" si="18"/>
        <v>0</v>
      </c>
      <c r="I555" s="19"/>
    </row>
    <row r="556" spans="1:9" ht="15.75" x14ac:dyDescent="0.25">
      <c r="A556" s="51">
        <v>42799</v>
      </c>
      <c r="B556" s="52" t="s">
        <v>8339</v>
      </c>
      <c r="C556" s="18">
        <v>103334</v>
      </c>
      <c r="D556" s="2" t="s">
        <v>379</v>
      </c>
      <c r="E556" s="15">
        <v>717.6</v>
      </c>
      <c r="F556" s="59">
        <v>42804</v>
      </c>
      <c r="G556" s="15">
        <f t="shared" si="17"/>
        <v>717.6</v>
      </c>
      <c r="H556" s="15">
        <f t="shared" si="18"/>
        <v>0</v>
      </c>
      <c r="I556" s="19"/>
    </row>
    <row r="557" spans="1:9" ht="15.75" x14ac:dyDescent="0.25">
      <c r="A557" s="51">
        <v>42799</v>
      </c>
      <c r="B557" s="52" t="s">
        <v>8340</v>
      </c>
      <c r="C557" s="18">
        <v>103335</v>
      </c>
      <c r="D557" s="2" t="s">
        <v>77</v>
      </c>
      <c r="E557" s="15">
        <v>546</v>
      </c>
      <c r="F557" s="59">
        <v>42799</v>
      </c>
      <c r="G557" s="15">
        <f t="shared" si="17"/>
        <v>546</v>
      </c>
      <c r="H557" s="15">
        <f t="shared" si="18"/>
        <v>0</v>
      </c>
      <c r="I557" s="19"/>
    </row>
    <row r="558" spans="1:9" ht="15.75" x14ac:dyDescent="0.25">
      <c r="A558" s="51">
        <v>42799</v>
      </c>
      <c r="B558" s="52" t="s">
        <v>8341</v>
      </c>
      <c r="C558" s="18">
        <v>103336</v>
      </c>
      <c r="D558" s="2" t="s">
        <v>55</v>
      </c>
      <c r="E558" s="15">
        <v>8023</v>
      </c>
      <c r="F558" s="59">
        <v>42799</v>
      </c>
      <c r="G558" s="15">
        <f t="shared" si="17"/>
        <v>8023</v>
      </c>
      <c r="H558" s="15">
        <f t="shared" si="18"/>
        <v>0</v>
      </c>
      <c r="I558" s="19"/>
    </row>
    <row r="559" spans="1:9" ht="15.75" x14ac:dyDescent="0.25">
      <c r="A559" s="51">
        <v>42799</v>
      </c>
      <c r="B559" s="52" t="s">
        <v>8342</v>
      </c>
      <c r="C559" s="18">
        <v>103337</v>
      </c>
      <c r="D559" s="2" t="s">
        <v>218</v>
      </c>
      <c r="E559" s="15">
        <v>5616</v>
      </c>
      <c r="F559" s="59">
        <v>42824</v>
      </c>
      <c r="G559" s="15">
        <f t="shared" si="17"/>
        <v>5616</v>
      </c>
      <c r="H559" s="15">
        <f t="shared" si="18"/>
        <v>0</v>
      </c>
      <c r="I559" s="19"/>
    </row>
    <row r="560" spans="1:9" ht="15.75" x14ac:dyDescent="0.25">
      <c r="A560" s="51">
        <v>42799</v>
      </c>
      <c r="B560" s="52" t="s">
        <v>8343</v>
      </c>
      <c r="C560" s="18">
        <v>103338</v>
      </c>
      <c r="D560" s="2" t="s">
        <v>14</v>
      </c>
      <c r="E560" s="15">
        <v>22807.200000000001</v>
      </c>
      <c r="F560" s="59">
        <v>42799</v>
      </c>
      <c r="G560" s="15">
        <f t="shared" si="17"/>
        <v>22807.200000000001</v>
      </c>
      <c r="H560" s="15">
        <f t="shared" si="18"/>
        <v>0</v>
      </c>
      <c r="I560" s="19"/>
    </row>
    <row r="561" spans="1:9" ht="15.75" x14ac:dyDescent="0.25">
      <c r="A561" s="51">
        <v>42800</v>
      </c>
      <c r="B561" s="52" t="s">
        <v>8344</v>
      </c>
      <c r="C561" s="18">
        <v>103339</v>
      </c>
      <c r="D561" s="2" t="s">
        <v>374</v>
      </c>
      <c r="E561" s="15">
        <v>1846.8</v>
      </c>
      <c r="F561" s="59">
        <v>42800</v>
      </c>
      <c r="G561" s="15">
        <f t="shared" si="17"/>
        <v>1846.8</v>
      </c>
      <c r="H561" s="15">
        <f t="shared" si="18"/>
        <v>0</v>
      </c>
      <c r="I561" s="19"/>
    </row>
    <row r="562" spans="1:9" ht="15.75" x14ac:dyDescent="0.25">
      <c r="A562" s="51">
        <v>42800</v>
      </c>
      <c r="B562" s="52" t="s">
        <v>8345</v>
      </c>
      <c r="C562" s="18">
        <v>103340</v>
      </c>
      <c r="D562" s="2" t="s">
        <v>231</v>
      </c>
      <c r="E562" s="15">
        <v>6262.2</v>
      </c>
      <c r="F562" s="59">
        <v>42800</v>
      </c>
      <c r="G562" s="15">
        <f t="shared" si="17"/>
        <v>6262.2</v>
      </c>
      <c r="H562" s="15">
        <f t="shared" si="18"/>
        <v>0</v>
      </c>
      <c r="I562" s="19"/>
    </row>
    <row r="563" spans="1:9" ht="15.75" x14ac:dyDescent="0.25">
      <c r="A563" s="51">
        <v>42800</v>
      </c>
      <c r="B563" s="52" t="s">
        <v>8346</v>
      </c>
      <c r="C563" s="18">
        <v>103341</v>
      </c>
      <c r="D563" s="2" t="s">
        <v>17</v>
      </c>
      <c r="E563" s="15">
        <v>1840</v>
      </c>
      <c r="F563" s="59">
        <v>42800</v>
      </c>
      <c r="G563" s="15">
        <f t="shared" si="17"/>
        <v>1840</v>
      </c>
      <c r="H563" s="15">
        <f t="shared" si="18"/>
        <v>0</v>
      </c>
      <c r="I563" s="19"/>
    </row>
    <row r="564" spans="1:9" ht="15.75" x14ac:dyDescent="0.25">
      <c r="A564" s="51">
        <v>42800</v>
      </c>
      <c r="B564" s="52" t="s">
        <v>8347</v>
      </c>
      <c r="C564" s="18">
        <v>103342</v>
      </c>
      <c r="D564" s="2" t="s">
        <v>231</v>
      </c>
      <c r="E564" s="15">
        <v>39006.6</v>
      </c>
      <c r="F564" s="64" t="s">
        <v>8161</v>
      </c>
      <c r="G564" s="20">
        <f>19400+19606.6</f>
        <v>39006.6</v>
      </c>
      <c r="H564" s="20">
        <f t="shared" si="18"/>
        <v>0</v>
      </c>
      <c r="I564" s="19"/>
    </row>
    <row r="565" spans="1:9" ht="15.75" x14ac:dyDescent="0.25">
      <c r="A565" s="51">
        <v>42800</v>
      </c>
      <c r="B565" s="52" t="s">
        <v>8348</v>
      </c>
      <c r="C565" s="18">
        <v>103343</v>
      </c>
      <c r="D565" s="2" t="s">
        <v>69</v>
      </c>
      <c r="E565" s="15">
        <v>5523</v>
      </c>
      <c r="F565" s="59">
        <v>42800</v>
      </c>
      <c r="G565" s="15">
        <f t="shared" si="17"/>
        <v>5523</v>
      </c>
      <c r="H565" s="15">
        <f t="shared" si="18"/>
        <v>0</v>
      </c>
      <c r="I565" s="19"/>
    </row>
    <row r="566" spans="1:9" ht="15.75" x14ac:dyDescent="0.25">
      <c r="A566" s="51">
        <v>42800</v>
      </c>
      <c r="B566" s="52" t="s">
        <v>8349</v>
      </c>
      <c r="C566" s="18">
        <v>103344</v>
      </c>
      <c r="D566" s="2" t="s">
        <v>1786</v>
      </c>
      <c r="E566" s="15">
        <v>7983.2</v>
      </c>
      <c r="F566" s="59">
        <v>42800</v>
      </c>
      <c r="G566" s="15">
        <f t="shared" si="17"/>
        <v>7983.2</v>
      </c>
      <c r="H566" s="15">
        <f t="shared" si="18"/>
        <v>0</v>
      </c>
      <c r="I566" s="19"/>
    </row>
    <row r="567" spans="1:9" ht="15.75" x14ac:dyDescent="0.25">
      <c r="A567" s="51">
        <v>42800</v>
      </c>
      <c r="B567" s="52" t="s">
        <v>8350</v>
      </c>
      <c r="C567" s="18">
        <v>103345</v>
      </c>
      <c r="D567" s="2" t="s">
        <v>47</v>
      </c>
      <c r="E567" s="15">
        <v>4742.8</v>
      </c>
      <c r="F567" s="59">
        <v>42800</v>
      </c>
      <c r="G567" s="15">
        <f t="shared" si="17"/>
        <v>4742.8</v>
      </c>
      <c r="H567" s="15">
        <f t="shared" si="18"/>
        <v>0</v>
      </c>
      <c r="I567" s="19"/>
    </row>
    <row r="568" spans="1:9" ht="15.75" x14ac:dyDescent="0.25">
      <c r="A568" s="51">
        <v>42800</v>
      </c>
      <c r="B568" s="52" t="s">
        <v>8351</v>
      </c>
      <c r="C568" s="18">
        <v>103346</v>
      </c>
      <c r="D568" s="2" t="s">
        <v>428</v>
      </c>
      <c r="E568" s="15">
        <v>1814.2</v>
      </c>
      <c r="F568" s="59">
        <v>42804</v>
      </c>
      <c r="G568" s="15">
        <f t="shared" si="17"/>
        <v>1814.2</v>
      </c>
      <c r="H568" s="15">
        <f t="shared" si="18"/>
        <v>0</v>
      </c>
      <c r="I568" s="19"/>
    </row>
    <row r="569" spans="1:9" ht="15.75" x14ac:dyDescent="0.25">
      <c r="A569" s="51">
        <v>42800</v>
      </c>
      <c r="B569" s="52" t="s">
        <v>8352</v>
      </c>
      <c r="C569" s="18">
        <v>103347</v>
      </c>
      <c r="D569" s="2" t="s">
        <v>47</v>
      </c>
      <c r="E569" s="15">
        <v>289.10000000000002</v>
      </c>
      <c r="F569" s="59">
        <v>42800</v>
      </c>
      <c r="G569" s="15">
        <f t="shared" si="17"/>
        <v>289.10000000000002</v>
      </c>
      <c r="H569" s="15">
        <f t="shared" si="18"/>
        <v>0</v>
      </c>
      <c r="I569" s="19"/>
    </row>
    <row r="570" spans="1:9" ht="15.75" x14ac:dyDescent="0.25">
      <c r="A570" s="51">
        <v>42800</v>
      </c>
      <c r="B570" s="52" t="s">
        <v>8353</v>
      </c>
      <c r="C570" s="18">
        <v>103348</v>
      </c>
      <c r="D570" s="2" t="s">
        <v>26</v>
      </c>
      <c r="E570" s="15">
        <v>16022.7</v>
      </c>
      <c r="F570" s="59">
        <v>42800</v>
      </c>
      <c r="G570" s="15">
        <f t="shared" si="17"/>
        <v>16022.7</v>
      </c>
      <c r="H570" s="15">
        <f t="shared" si="18"/>
        <v>0</v>
      </c>
      <c r="I570" s="19"/>
    </row>
    <row r="571" spans="1:9" ht="15.75" x14ac:dyDescent="0.25">
      <c r="A571" s="51">
        <v>42800</v>
      </c>
      <c r="B571" s="52" t="s">
        <v>8354</v>
      </c>
      <c r="C571" s="18">
        <v>103349</v>
      </c>
      <c r="D571" s="2" t="s">
        <v>28</v>
      </c>
      <c r="E571" s="15">
        <v>4510.8</v>
      </c>
      <c r="F571" s="59">
        <v>42800</v>
      </c>
      <c r="G571" s="15">
        <f t="shared" si="17"/>
        <v>4510.8</v>
      </c>
      <c r="H571" s="15">
        <f t="shared" si="18"/>
        <v>0</v>
      </c>
      <c r="I571" s="19"/>
    </row>
    <row r="572" spans="1:9" ht="15.75" x14ac:dyDescent="0.25">
      <c r="A572" s="51">
        <v>42800</v>
      </c>
      <c r="B572" s="52" t="s">
        <v>8355</v>
      </c>
      <c r="C572" s="18">
        <v>103350</v>
      </c>
      <c r="D572" s="2" t="s">
        <v>71</v>
      </c>
      <c r="E572" s="15">
        <v>3696</v>
      </c>
      <c r="F572" s="59">
        <v>42800</v>
      </c>
      <c r="G572" s="15">
        <f t="shared" si="17"/>
        <v>3696</v>
      </c>
      <c r="H572" s="15">
        <f t="shared" si="18"/>
        <v>0</v>
      </c>
      <c r="I572" s="19"/>
    </row>
    <row r="573" spans="1:9" ht="30" x14ac:dyDescent="0.25">
      <c r="A573" s="51">
        <v>42800</v>
      </c>
      <c r="B573" s="52" t="s">
        <v>8356</v>
      </c>
      <c r="C573" s="18">
        <v>103351</v>
      </c>
      <c r="D573" s="2" t="s">
        <v>21</v>
      </c>
      <c r="E573" s="15">
        <v>40476</v>
      </c>
      <c r="F573" s="64" t="s">
        <v>8357</v>
      </c>
      <c r="G573" s="20">
        <f>9411.4+15231+1172+14360.8+300.8</f>
        <v>40476</v>
      </c>
      <c r="H573" s="20">
        <f t="shared" si="18"/>
        <v>0</v>
      </c>
      <c r="I573" s="19"/>
    </row>
    <row r="574" spans="1:9" ht="15.75" x14ac:dyDescent="0.25">
      <c r="A574" s="51">
        <v>42800</v>
      </c>
      <c r="B574" s="52" t="s">
        <v>8358</v>
      </c>
      <c r="C574" s="18">
        <v>103352</v>
      </c>
      <c r="D574" s="2" t="s">
        <v>49</v>
      </c>
      <c r="E574" s="15">
        <v>13752.6</v>
      </c>
      <c r="F574" s="59">
        <v>42804</v>
      </c>
      <c r="G574" s="15">
        <f t="shared" si="17"/>
        <v>13752.6</v>
      </c>
      <c r="H574" s="15">
        <f t="shared" si="18"/>
        <v>0</v>
      </c>
      <c r="I574" s="19"/>
    </row>
    <row r="575" spans="1:9" ht="15.75" x14ac:dyDescent="0.25">
      <c r="A575" s="51">
        <v>42800</v>
      </c>
      <c r="B575" s="52" t="s">
        <v>8359</v>
      </c>
      <c r="C575" s="18">
        <v>103353</v>
      </c>
      <c r="D575" s="2" t="s">
        <v>253</v>
      </c>
      <c r="E575" s="15">
        <v>165.6</v>
      </c>
      <c r="F575" s="59">
        <v>42801</v>
      </c>
      <c r="G575" s="15">
        <f t="shared" si="17"/>
        <v>165.6</v>
      </c>
      <c r="H575" s="15">
        <f t="shared" si="18"/>
        <v>0</v>
      </c>
      <c r="I575" s="19"/>
    </row>
    <row r="576" spans="1:9" ht="15.75" x14ac:dyDescent="0.25">
      <c r="A576" s="51">
        <v>42800</v>
      </c>
      <c r="B576" s="52" t="s">
        <v>8360</v>
      </c>
      <c r="C576" s="18">
        <v>103354</v>
      </c>
      <c r="D576" s="2" t="s">
        <v>151</v>
      </c>
      <c r="E576" s="15">
        <v>14086.4</v>
      </c>
      <c r="F576" s="59">
        <v>42800</v>
      </c>
      <c r="G576" s="15">
        <f t="shared" si="17"/>
        <v>14086.4</v>
      </c>
      <c r="H576" s="15">
        <f t="shared" si="18"/>
        <v>0</v>
      </c>
      <c r="I576" s="19"/>
    </row>
    <row r="577" spans="1:9" ht="15.75" x14ac:dyDescent="0.25">
      <c r="A577" s="51">
        <v>42800</v>
      </c>
      <c r="B577" s="52" t="s">
        <v>8361</v>
      </c>
      <c r="C577" s="18">
        <v>103355</v>
      </c>
      <c r="D577" s="2" t="s">
        <v>157</v>
      </c>
      <c r="E577" s="15">
        <v>10031.5</v>
      </c>
      <c r="F577" s="59">
        <v>42800</v>
      </c>
      <c r="G577" s="15">
        <f t="shared" si="17"/>
        <v>10031.5</v>
      </c>
      <c r="H577" s="15">
        <f t="shared" si="18"/>
        <v>0</v>
      </c>
      <c r="I577" s="19"/>
    </row>
    <row r="578" spans="1:9" ht="15.75" x14ac:dyDescent="0.25">
      <c r="A578" s="51">
        <v>42800</v>
      </c>
      <c r="B578" s="52" t="s">
        <v>8362</v>
      </c>
      <c r="C578" s="18">
        <v>103356</v>
      </c>
      <c r="D578" s="2" t="s">
        <v>172</v>
      </c>
      <c r="E578" s="15">
        <v>22105.599999999999</v>
      </c>
      <c r="F578" s="59">
        <v>42816</v>
      </c>
      <c r="G578" s="15">
        <f t="shared" si="17"/>
        <v>22105.599999999999</v>
      </c>
      <c r="H578" s="15">
        <f t="shared" si="18"/>
        <v>0</v>
      </c>
      <c r="I578" s="19"/>
    </row>
    <row r="579" spans="1:9" ht="15.75" x14ac:dyDescent="0.25">
      <c r="A579" s="51">
        <v>42800</v>
      </c>
      <c r="B579" s="52" t="s">
        <v>8363</v>
      </c>
      <c r="C579" s="18">
        <v>103357</v>
      </c>
      <c r="D579" s="2" t="s">
        <v>35</v>
      </c>
      <c r="E579" s="15">
        <v>9095.7999999999993</v>
      </c>
      <c r="F579" s="59">
        <v>42803</v>
      </c>
      <c r="G579" s="15">
        <f t="shared" si="17"/>
        <v>9095.7999999999993</v>
      </c>
      <c r="H579" s="15">
        <f t="shared" si="18"/>
        <v>0</v>
      </c>
      <c r="I579" s="19"/>
    </row>
    <row r="580" spans="1:9" ht="15.75" x14ac:dyDescent="0.25">
      <c r="A580" s="51">
        <v>42800</v>
      </c>
      <c r="B580" s="52" t="s">
        <v>8364</v>
      </c>
      <c r="C580" s="18">
        <v>103358</v>
      </c>
      <c r="D580" s="2" t="s">
        <v>32</v>
      </c>
      <c r="E580" s="15">
        <v>6292.6</v>
      </c>
      <c r="F580" s="59">
        <v>42803</v>
      </c>
      <c r="G580" s="15">
        <f t="shared" ref="G580:G643" si="19">E580</f>
        <v>6292.6</v>
      </c>
      <c r="H580" s="15">
        <f t="shared" ref="H580:H643" si="20">E580-G580</f>
        <v>0</v>
      </c>
      <c r="I580" s="19"/>
    </row>
    <row r="581" spans="1:9" ht="15.75" x14ac:dyDescent="0.25">
      <c r="A581" s="51">
        <v>42800</v>
      </c>
      <c r="B581" s="52" t="s">
        <v>8365</v>
      </c>
      <c r="C581" s="18">
        <v>103359</v>
      </c>
      <c r="D581" s="2" t="s">
        <v>38</v>
      </c>
      <c r="E581" s="15">
        <v>2941.9</v>
      </c>
      <c r="F581" s="59">
        <v>42802</v>
      </c>
      <c r="G581" s="15">
        <f t="shared" si="19"/>
        <v>2941.9</v>
      </c>
      <c r="H581" s="15">
        <f t="shared" si="20"/>
        <v>0</v>
      </c>
      <c r="I581" s="19"/>
    </row>
    <row r="582" spans="1:9" ht="15.75" x14ac:dyDescent="0.25">
      <c r="A582" s="51">
        <v>42800</v>
      </c>
      <c r="B582" s="52" t="s">
        <v>8366</v>
      </c>
      <c r="C582" s="18">
        <v>103360</v>
      </c>
      <c r="D582" s="2" t="s">
        <v>165</v>
      </c>
      <c r="E582" s="15">
        <v>9828.7000000000007</v>
      </c>
      <c r="F582" s="59">
        <v>42826</v>
      </c>
      <c r="G582" s="15">
        <f t="shared" si="19"/>
        <v>9828.7000000000007</v>
      </c>
      <c r="H582" s="15">
        <f t="shared" si="20"/>
        <v>0</v>
      </c>
      <c r="I582" s="19"/>
    </row>
    <row r="583" spans="1:9" ht="15.75" x14ac:dyDescent="0.25">
      <c r="A583" s="51">
        <v>42800</v>
      </c>
      <c r="B583" s="52" t="s">
        <v>8367</v>
      </c>
      <c r="C583" s="18">
        <v>103361</v>
      </c>
      <c r="D583" s="2" t="s">
        <v>59</v>
      </c>
      <c r="E583" s="15">
        <v>1377.6</v>
      </c>
      <c r="F583" s="59">
        <v>42802</v>
      </c>
      <c r="G583" s="15">
        <f t="shared" si="19"/>
        <v>1377.6</v>
      </c>
      <c r="H583" s="15">
        <f t="shared" si="20"/>
        <v>0</v>
      </c>
      <c r="I583" s="19"/>
    </row>
    <row r="584" spans="1:9" ht="15.75" x14ac:dyDescent="0.25">
      <c r="A584" s="51">
        <v>42800</v>
      </c>
      <c r="B584" s="52" t="s">
        <v>8368</v>
      </c>
      <c r="C584" s="18">
        <v>103362</v>
      </c>
      <c r="D584" s="2" t="s">
        <v>40</v>
      </c>
      <c r="E584" s="15">
        <v>3636</v>
      </c>
      <c r="F584" s="59">
        <v>42807</v>
      </c>
      <c r="G584" s="15">
        <f t="shared" si="19"/>
        <v>3636</v>
      </c>
      <c r="H584" s="15">
        <f t="shared" si="20"/>
        <v>0</v>
      </c>
      <c r="I584" s="19"/>
    </row>
    <row r="585" spans="1:9" ht="15.75" x14ac:dyDescent="0.25">
      <c r="A585" s="51">
        <v>42800</v>
      </c>
      <c r="B585" s="52" t="s">
        <v>8369</v>
      </c>
      <c r="C585" s="18">
        <v>103363</v>
      </c>
      <c r="D585" s="2" t="s">
        <v>43</v>
      </c>
      <c r="E585" s="15">
        <v>2244</v>
      </c>
      <c r="F585" s="59">
        <v>42801</v>
      </c>
      <c r="G585" s="15">
        <f t="shared" si="19"/>
        <v>2244</v>
      </c>
      <c r="H585" s="15">
        <f t="shared" si="20"/>
        <v>0</v>
      </c>
      <c r="I585" s="19"/>
    </row>
    <row r="586" spans="1:9" ht="15.75" x14ac:dyDescent="0.25">
      <c r="A586" s="51">
        <v>42800</v>
      </c>
      <c r="B586" s="52" t="s">
        <v>8370</v>
      </c>
      <c r="C586" s="18">
        <v>103364</v>
      </c>
      <c r="D586" s="2" t="s">
        <v>414</v>
      </c>
      <c r="E586" s="15">
        <v>1284</v>
      </c>
      <c r="F586" s="59">
        <v>42800</v>
      </c>
      <c r="G586" s="15">
        <f t="shared" si="19"/>
        <v>1284</v>
      </c>
      <c r="H586" s="15">
        <f t="shared" si="20"/>
        <v>0</v>
      </c>
      <c r="I586" s="19"/>
    </row>
    <row r="587" spans="1:9" ht="15.75" x14ac:dyDescent="0.25">
      <c r="A587" s="51">
        <v>42800</v>
      </c>
      <c r="B587" s="52" t="s">
        <v>8371</v>
      </c>
      <c r="C587" s="18">
        <v>103365</v>
      </c>
      <c r="D587" s="2" t="s">
        <v>155</v>
      </c>
      <c r="E587" s="15">
        <v>20290.2</v>
      </c>
      <c r="F587" s="59">
        <v>42803</v>
      </c>
      <c r="G587" s="15">
        <f t="shared" si="19"/>
        <v>20290.2</v>
      </c>
      <c r="H587" s="15">
        <f t="shared" si="20"/>
        <v>0</v>
      </c>
      <c r="I587" s="19"/>
    </row>
    <row r="588" spans="1:9" ht="15.75" x14ac:dyDescent="0.25">
      <c r="A588" s="51">
        <v>42800</v>
      </c>
      <c r="B588" s="52" t="s">
        <v>8372</v>
      </c>
      <c r="C588" s="18">
        <v>103366</v>
      </c>
      <c r="D588" s="2" t="s">
        <v>509</v>
      </c>
      <c r="E588" s="15">
        <v>19785.599999999999</v>
      </c>
      <c r="F588" s="59">
        <v>42812</v>
      </c>
      <c r="G588" s="15">
        <f t="shared" si="19"/>
        <v>19785.599999999999</v>
      </c>
      <c r="H588" s="15">
        <f t="shared" si="20"/>
        <v>0</v>
      </c>
      <c r="I588" s="19"/>
    </row>
    <row r="589" spans="1:9" ht="15.75" x14ac:dyDescent="0.25">
      <c r="A589" s="51">
        <v>42800</v>
      </c>
      <c r="B589" s="52" t="s">
        <v>8373</v>
      </c>
      <c r="C589" s="18">
        <v>103367</v>
      </c>
      <c r="D589" s="2" t="s">
        <v>161</v>
      </c>
      <c r="E589" s="15">
        <v>30184</v>
      </c>
      <c r="F589" s="59">
        <v>42818</v>
      </c>
      <c r="G589" s="15">
        <f t="shared" si="19"/>
        <v>30184</v>
      </c>
      <c r="H589" s="15">
        <f t="shared" si="20"/>
        <v>0</v>
      </c>
      <c r="I589" s="19"/>
    </row>
    <row r="590" spans="1:9" ht="15.75" x14ac:dyDescent="0.25">
      <c r="A590" s="51">
        <v>42800</v>
      </c>
      <c r="B590" s="52" t="s">
        <v>8374</v>
      </c>
      <c r="C590" s="18">
        <v>103368</v>
      </c>
      <c r="D590" s="2" t="s">
        <v>145</v>
      </c>
      <c r="E590" s="15">
        <v>12637.4</v>
      </c>
      <c r="F590" s="59">
        <v>42801</v>
      </c>
      <c r="G590" s="15">
        <f t="shared" si="19"/>
        <v>12637.4</v>
      </c>
      <c r="H590" s="15">
        <f t="shared" si="20"/>
        <v>0</v>
      </c>
      <c r="I590" s="19"/>
    </row>
    <row r="591" spans="1:9" ht="15.75" x14ac:dyDescent="0.25">
      <c r="A591" s="51">
        <v>42800</v>
      </c>
      <c r="B591" s="52" t="s">
        <v>8375</v>
      </c>
      <c r="C591" s="18">
        <v>103369</v>
      </c>
      <c r="D591" s="2" t="s">
        <v>149</v>
      </c>
      <c r="E591" s="15">
        <v>4424.2</v>
      </c>
      <c r="F591" s="59">
        <v>42800</v>
      </c>
      <c r="G591" s="15">
        <f t="shared" si="19"/>
        <v>4424.2</v>
      </c>
      <c r="H591" s="15">
        <f t="shared" si="20"/>
        <v>0</v>
      </c>
      <c r="I591" s="19"/>
    </row>
    <row r="592" spans="1:9" ht="15.75" x14ac:dyDescent="0.25">
      <c r="A592" s="51">
        <v>42800</v>
      </c>
      <c r="B592" s="52" t="s">
        <v>8376</v>
      </c>
      <c r="C592" s="18">
        <v>103370</v>
      </c>
      <c r="D592" s="2" t="s">
        <v>30</v>
      </c>
      <c r="E592" s="15">
        <v>3311.25</v>
      </c>
      <c r="F592" s="59">
        <v>42800</v>
      </c>
      <c r="G592" s="15">
        <f t="shared" si="19"/>
        <v>3311.25</v>
      </c>
      <c r="H592" s="15">
        <f t="shared" si="20"/>
        <v>0</v>
      </c>
      <c r="I592" s="19"/>
    </row>
    <row r="593" spans="1:9" ht="15.75" x14ac:dyDescent="0.25">
      <c r="A593" s="51">
        <v>42800</v>
      </c>
      <c r="B593" s="52" t="s">
        <v>8377</v>
      </c>
      <c r="C593" s="18">
        <v>103371</v>
      </c>
      <c r="D593" s="2" t="s">
        <v>302</v>
      </c>
      <c r="E593" s="15">
        <v>9610.4</v>
      </c>
      <c r="F593" s="59">
        <v>42800</v>
      </c>
      <c r="G593" s="15">
        <f t="shared" si="19"/>
        <v>9610.4</v>
      </c>
      <c r="H593" s="15">
        <f t="shared" si="20"/>
        <v>0</v>
      </c>
      <c r="I593" s="19"/>
    </row>
    <row r="594" spans="1:9" ht="15.75" x14ac:dyDescent="0.25">
      <c r="A594" s="51">
        <v>42800</v>
      </c>
      <c r="B594" s="52" t="s">
        <v>8378</v>
      </c>
      <c r="C594" s="18">
        <v>103372</v>
      </c>
      <c r="D594" s="2" t="s">
        <v>321</v>
      </c>
      <c r="E594" s="15">
        <v>653.4</v>
      </c>
      <c r="F594" s="59">
        <v>42800</v>
      </c>
      <c r="G594" s="15">
        <f t="shared" si="19"/>
        <v>653.4</v>
      </c>
      <c r="H594" s="15">
        <f t="shared" si="20"/>
        <v>0</v>
      </c>
      <c r="I594" s="19"/>
    </row>
    <row r="595" spans="1:9" ht="15.75" x14ac:dyDescent="0.25">
      <c r="A595" s="51">
        <v>42800</v>
      </c>
      <c r="B595" s="52" t="s">
        <v>8379</v>
      </c>
      <c r="C595" s="18">
        <v>103373</v>
      </c>
      <c r="D595" s="2" t="s">
        <v>30</v>
      </c>
      <c r="E595" s="15">
        <v>388.8</v>
      </c>
      <c r="F595" s="59">
        <v>42800</v>
      </c>
      <c r="G595" s="15">
        <f t="shared" si="19"/>
        <v>388.8</v>
      </c>
      <c r="H595" s="15">
        <f t="shared" si="20"/>
        <v>0</v>
      </c>
      <c r="I595" s="19"/>
    </row>
    <row r="596" spans="1:9" ht="15.75" x14ac:dyDescent="0.25">
      <c r="A596" s="51">
        <v>42800</v>
      </c>
      <c r="B596" s="52" t="s">
        <v>8380</v>
      </c>
      <c r="C596" s="18">
        <v>103374</v>
      </c>
      <c r="D596" s="2" t="s">
        <v>974</v>
      </c>
      <c r="E596" s="15">
        <v>10962</v>
      </c>
      <c r="F596" s="59">
        <v>42800</v>
      </c>
      <c r="G596" s="15">
        <f t="shared" si="19"/>
        <v>10962</v>
      </c>
      <c r="H596" s="15">
        <f t="shared" si="20"/>
        <v>0</v>
      </c>
      <c r="I596" s="19"/>
    </row>
    <row r="597" spans="1:9" ht="15.75" x14ac:dyDescent="0.25">
      <c r="A597" s="51">
        <v>42800</v>
      </c>
      <c r="B597" s="52" t="s">
        <v>8381</v>
      </c>
      <c r="C597" s="18">
        <v>103375</v>
      </c>
      <c r="D597" s="2" t="s">
        <v>10</v>
      </c>
      <c r="E597" s="15">
        <v>43985.4</v>
      </c>
      <c r="F597" s="59">
        <v>42803</v>
      </c>
      <c r="G597" s="15">
        <f t="shared" si="19"/>
        <v>43985.4</v>
      </c>
      <c r="H597" s="15">
        <f t="shared" si="20"/>
        <v>0</v>
      </c>
      <c r="I597" s="19"/>
    </row>
    <row r="598" spans="1:9" ht="15.75" x14ac:dyDescent="0.25">
      <c r="A598" s="51">
        <v>42800</v>
      </c>
      <c r="B598" s="52" t="s">
        <v>8382</v>
      </c>
      <c r="C598" s="18">
        <v>103376</v>
      </c>
      <c r="D598" s="2" t="s">
        <v>79</v>
      </c>
      <c r="E598" s="15">
        <v>3598.4</v>
      </c>
      <c r="F598" s="59">
        <v>42800</v>
      </c>
      <c r="G598" s="15">
        <f t="shared" si="19"/>
        <v>3598.4</v>
      </c>
      <c r="H598" s="15">
        <f t="shared" si="20"/>
        <v>0</v>
      </c>
      <c r="I598" s="19"/>
    </row>
    <row r="599" spans="1:9" ht="15.75" x14ac:dyDescent="0.25">
      <c r="A599" s="51">
        <v>42800</v>
      </c>
      <c r="B599" s="52" t="s">
        <v>8383</v>
      </c>
      <c r="C599" s="18">
        <v>103377</v>
      </c>
      <c r="D599" s="2" t="s">
        <v>240</v>
      </c>
      <c r="E599" s="15">
        <v>3054.2</v>
      </c>
      <c r="F599" s="59">
        <v>42800</v>
      </c>
      <c r="G599" s="15">
        <f t="shared" si="19"/>
        <v>3054.2</v>
      </c>
      <c r="H599" s="15">
        <f t="shared" si="20"/>
        <v>0</v>
      </c>
      <c r="I599" s="19"/>
    </row>
    <row r="600" spans="1:9" ht="15.75" x14ac:dyDescent="0.25">
      <c r="A600" s="51">
        <v>42800</v>
      </c>
      <c r="B600" s="52" t="s">
        <v>8384</v>
      </c>
      <c r="C600" s="18">
        <v>103378</v>
      </c>
      <c r="D600" s="2" t="s">
        <v>133</v>
      </c>
      <c r="E600" s="15">
        <v>182</v>
      </c>
      <c r="F600" s="59">
        <v>42800</v>
      </c>
      <c r="G600" s="15">
        <f t="shared" si="19"/>
        <v>182</v>
      </c>
      <c r="H600" s="15">
        <f t="shared" si="20"/>
        <v>0</v>
      </c>
      <c r="I600" s="19"/>
    </row>
    <row r="601" spans="1:9" ht="15.75" x14ac:dyDescent="0.25">
      <c r="A601" s="51">
        <v>42800</v>
      </c>
      <c r="B601" s="52" t="s">
        <v>8385</v>
      </c>
      <c r="C601" s="18">
        <v>103379</v>
      </c>
      <c r="D601" s="2" t="s">
        <v>1116</v>
      </c>
      <c r="E601" s="15">
        <v>4895.1000000000004</v>
      </c>
      <c r="F601" s="59">
        <v>42801</v>
      </c>
      <c r="G601" s="15">
        <f t="shared" si="19"/>
        <v>4895.1000000000004</v>
      </c>
      <c r="H601" s="15">
        <f t="shared" si="20"/>
        <v>0</v>
      </c>
      <c r="I601" s="19"/>
    </row>
    <row r="602" spans="1:9" ht="15.75" x14ac:dyDescent="0.25">
      <c r="A602" s="51">
        <v>42800</v>
      </c>
      <c r="B602" s="52" t="s">
        <v>8386</v>
      </c>
      <c r="C602" s="18">
        <v>103380</v>
      </c>
      <c r="D602" s="2" t="s">
        <v>3425</v>
      </c>
      <c r="E602" s="15">
        <v>550</v>
      </c>
      <c r="F602" s="59">
        <v>42800</v>
      </c>
      <c r="G602" s="15">
        <f t="shared" si="19"/>
        <v>550</v>
      </c>
      <c r="H602" s="15">
        <f t="shared" si="20"/>
        <v>0</v>
      </c>
      <c r="I602" s="19"/>
    </row>
    <row r="603" spans="1:9" ht="15.75" x14ac:dyDescent="0.25">
      <c r="A603" s="51">
        <v>42800</v>
      </c>
      <c r="B603" s="52" t="s">
        <v>8387</v>
      </c>
      <c r="C603" s="18">
        <v>103381</v>
      </c>
      <c r="D603" s="2" t="s">
        <v>105</v>
      </c>
      <c r="E603" s="15">
        <v>3376.4</v>
      </c>
      <c r="F603" s="59">
        <v>42801</v>
      </c>
      <c r="G603" s="15">
        <f t="shared" si="19"/>
        <v>3376.4</v>
      </c>
      <c r="H603" s="15">
        <f t="shared" si="20"/>
        <v>0</v>
      </c>
      <c r="I603" s="19"/>
    </row>
    <row r="604" spans="1:9" ht="15.75" x14ac:dyDescent="0.25">
      <c r="A604" s="51">
        <v>42800</v>
      </c>
      <c r="B604" s="52" t="s">
        <v>8388</v>
      </c>
      <c r="C604" s="18">
        <v>103382</v>
      </c>
      <c r="D604" s="2" t="s">
        <v>30</v>
      </c>
      <c r="E604" s="15">
        <v>867.4</v>
      </c>
      <c r="F604" s="59">
        <v>42800</v>
      </c>
      <c r="G604" s="15">
        <f t="shared" si="19"/>
        <v>867.4</v>
      </c>
      <c r="H604" s="15">
        <f t="shared" si="20"/>
        <v>0</v>
      </c>
      <c r="I604" s="19"/>
    </row>
    <row r="605" spans="1:9" ht="15.75" x14ac:dyDescent="0.25">
      <c r="A605" s="51">
        <v>42800</v>
      </c>
      <c r="B605" s="52" t="s">
        <v>8389</v>
      </c>
      <c r="C605" s="18">
        <v>103383</v>
      </c>
      <c r="D605" s="2" t="s">
        <v>103</v>
      </c>
      <c r="E605" s="15">
        <v>4060.6</v>
      </c>
      <c r="F605" s="59">
        <v>42801</v>
      </c>
      <c r="G605" s="15">
        <f t="shared" si="19"/>
        <v>4060.6</v>
      </c>
      <c r="H605" s="15">
        <f t="shared" si="20"/>
        <v>0</v>
      </c>
      <c r="I605" s="19"/>
    </row>
    <row r="606" spans="1:9" ht="15.75" x14ac:dyDescent="0.25">
      <c r="A606" s="51">
        <v>42800</v>
      </c>
      <c r="B606" s="52" t="s">
        <v>8390</v>
      </c>
      <c r="C606" s="18">
        <v>103384</v>
      </c>
      <c r="D606" s="2" t="s">
        <v>151</v>
      </c>
      <c r="E606" s="15">
        <v>6315.8</v>
      </c>
      <c r="F606" s="59">
        <v>42800</v>
      </c>
      <c r="G606" s="15">
        <f t="shared" si="19"/>
        <v>6315.8</v>
      </c>
      <c r="H606" s="15">
        <f t="shared" si="20"/>
        <v>0</v>
      </c>
      <c r="I606" s="19"/>
    </row>
    <row r="607" spans="1:9" ht="15.75" x14ac:dyDescent="0.25">
      <c r="A607" s="51">
        <v>42800</v>
      </c>
      <c r="B607" s="52" t="s">
        <v>8391</v>
      </c>
      <c r="C607" s="18">
        <v>103385</v>
      </c>
      <c r="D607" s="2" t="s">
        <v>101</v>
      </c>
      <c r="E607" s="15">
        <v>2547</v>
      </c>
      <c r="F607" s="59">
        <v>42800</v>
      </c>
      <c r="G607" s="15">
        <f t="shared" si="19"/>
        <v>2547</v>
      </c>
      <c r="H607" s="15">
        <f t="shared" si="20"/>
        <v>0</v>
      </c>
      <c r="I607" s="19"/>
    </row>
    <row r="608" spans="1:9" ht="15.75" x14ac:dyDescent="0.25">
      <c r="A608" s="51">
        <v>42800</v>
      </c>
      <c r="B608" s="52" t="s">
        <v>8392</v>
      </c>
      <c r="C608" s="18">
        <v>103386</v>
      </c>
      <c r="D608" s="2" t="s">
        <v>99</v>
      </c>
      <c r="E608" s="15">
        <v>3689.2</v>
      </c>
      <c r="G608" s="15">
        <f t="shared" si="19"/>
        <v>3689.2</v>
      </c>
      <c r="H608" s="15">
        <f t="shared" si="20"/>
        <v>0</v>
      </c>
      <c r="I608" s="19"/>
    </row>
    <row r="609" spans="1:9" ht="15.75" x14ac:dyDescent="0.25">
      <c r="A609" s="51">
        <v>42800</v>
      </c>
      <c r="B609" s="52" t="s">
        <v>8393</v>
      </c>
      <c r="C609" s="18">
        <v>103387</v>
      </c>
      <c r="D609" s="2" t="s">
        <v>99</v>
      </c>
      <c r="E609" s="15">
        <v>1844.6</v>
      </c>
      <c r="F609" s="59">
        <v>42800</v>
      </c>
      <c r="G609" s="15">
        <f t="shared" si="19"/>
        <v>1844.6</v>
      </c>
      <c r="H609" s="15">
        <f t="shared" si="20"/>
        <v>0</v>
      </c>
      <c r="I609" s="19"/>
    </row>
    <row r="610" spans="1:9" ht="15.75" x14ac:dyDescent="0.25">
      <c r="A610" s="51">
        <v>42800</v>
      </c>
      <c r="B610" s="52" t="s">
        <v>8394</v>
      </c>
      <c r="C610" s="18">
        <v>103388</v>
      </c>
      <c r="D610" s="2" t="s">
        <v>289</v>
      </c>
      <c r="E610" s="15">
        <v>46218.04</v>
      </c>
      <c r="F610" s="59">
        <v>42818</v>
      </c>
      <c r="G610" s="15">
        <f t="shared" si="19"/>
        <v>46218.04</v>
      </c>
      <c r="H610" s="15">
        <f t="shared" si="20"/>
        <v>0</v>
      </c>
      <c r="I610" s="19"/>
    </row>
    <row r="611" spans="1:9" ht="15.75" x14ac:dyDescent="0.25">
      <c r="A611" s="51">
        <v>42800</v>
      </c>
      <c r="B611" s="52" t="s">
        <v>8395</v>
      </c>
      <c r="C611" s="18">
        <v>103389</v>
      </c>
      <c r="D611" s="2" t="s">
        <v>92</v>
      </c>
      <c r="E611" s="15">
        <v>2119.6999999999998</v>
      </c>
      <c r="F611" s="59">
        <v>42800</v>
      </c>
      <c r="G611" s="15">
        <f t="shared" si="19"/>
        <v>2119.6999999999998</v>
      </c>
      <c r="H611" s="15">
        <f t="shared" si="20"/>
        <v>0</v>
      </c>
      <c r="I611" s="19"/>
    </row>
    <row r="612" spans="1:9" ht="15.75" x14ac:dyDescent="0.25">
      <c r="A612" s="51">
        <v>42800</v>
      </c>
      <c r="B612" s="52" t="s">
        <v>8396</v>
      </c>
      <c r="C612" s="18">
        <v>103390</v>
      </c>
      <c r="D612" s="2" t="s">
        <v>1256</v>
      </c>
      <c r="E612" s="15">
        <v>1201.2</v>
      </c>
      <c r="F612" s="59">
        <v>42800</v>
      </c>
      <c r="G612" s="15">
        <f t="shared" si="19"/>
        <v>1201.2</v>
      </c>
      <c r="H612" s="15">
        <f t="shared" si="20"/>
        <v>0</v>
      </c>
      <c r="I612" s="19"/>
    </row>
    <row r="613" spans="1:9" ht="15.75" x14ac:dyDescent="0.25">
      <c r="A613" s="51">
        <v>42800</v>
      </c>
      <c r="B613" s="52" t="s">
        <v>8397</v>
      </c>
      <c r="C613" s="18">
        <v>103391</v>
      </c>
      <c r="D613" s="2" t="s">
        <v>1259</v>
      </c>
      <c r="E613" s="15">
        <v>1539</v>
      </c>
      <c r="F613" s="59">
        <v>42800</v>
      </c>
      <c r="G613" s="15">
        <f t="shared" si="19"/>
        <v>1539</v>
      </c>
      <c r="H613" s="15">
        <f t="shared" si="20"/>
        <v>0</v>
      </c>
      <c r="I613" s="19"/>
    </row>
    <row r="614" spans="1:9" ht="15.75" x14ac:dyDescent="0.25">
      <c r="A614" s="51">
        <v>42800</v>
      </c>
      <c r="B614" s="52" t="s">
        <v>8398</v>
      </c>
      <c r="C614" s="18">
        <v>103392</v>
      </c>
      <c r="D614" s="2" t="s">
        <v>88</v>
      </c>
      <c r="E614" s="15">
        <v>4774.8</v>
      </c>
      <c r="F614" s="59">
        <v>42800</v>
      </c>
      <c r="G614" s="15">
        <f t="shared" si="19"/>
        <v>4774.8</v>
      </c>
      <c r="H614" s="15">
        <f t="shared" si="20"/>
        <v>0</v>
      </c>
      <c r="I614" s="19"/>
    </row>
    <row r="615" spans="1:9" ht="15.75" x14ac:dyDescent="0.25">
      <c r="A615" s="51">
        <v>42800</v>
      </c>
      <c r="B615" s="52" t="s">
        <v>8399</v>
      </c>
      <c r="C615" s="18">
        <v>103393</v>
      </c>
      <c r="D615" s="2" t="s">
        <v>291</v>
      </c>
      <c r="E615" s="15">
        <v>2184</v>
      </c>
      <c r="F615" s="59">
        <v>42800</v>
      </c>
      <c r="G615" s="15">
        <f t="shared" si="19"/>
        <v>2184</v>
      </c>
      <c r="H615" s="15">
        <f t="shared" si="20"/>
        <v>0</v>
      </c>
      <c r="I615" s="19"/>
    </row>
    <row r="616" spans="1:9" ht="15.75" x14ac:dyDescent="0.25">
      <c r="A616" s="51">
        <v>42800</v>
      </c>
      <c r="B616" s="52" t="s">
        <v>8400</v>
      </c>
      <c r="C616" s="18">
        <v>103394</v>
      </c>
      <c r="D616" s="2" t="s">
        <v>109</v>
      </c>
      <c r="E616" s="15">
        <v>4610.8999999999996</v>
      </c>
      <c r="F616" s="59">
        <v>42800</v>
      </c>
      <c r="G616" s="15">
        <f t="shared" si="19"/>
        <v>4610.8999999999996</v>
      </c>
      <c r="H616" s="15">
        <f t="shared" si="20"/>
        <v>0</v>
      </c>
      <c r="I616" s="19"/>
    </row>
    <row r="617" spans="1:9" ht="15.75" x14ac:dyDescent="0.25">
      <c r="A617" s="51">
        <v>42800</v>
      </c>
      <c r="B617" s="52" t="s">
        <v>8401</v>
      </c>
      <c r="C617" s="18">
        <v>103395</v>
      </c>
      <c r="D617" s="2" t="s">
        <v>61</v>
      </c>
      <c r="E617" s="15">
        <v>14012.4</v>
      </c>
      <c r="F617" s="59">
        <v>42800</v>
      </c>
      <c r="G617" s="15">
        <f t="shared" si="19"/>
        <v>14012.4</v>
      </c>
      <c r="H617" s="15">
        <f t="shared" si="20"/>
        <v>0</v>
      </c>
      <c r="I617" s="19"/>
    </row>
    <row r="618" spans="1:9" ht="15.75" x14ac:dyDescent="0.25">
      <c r="A618" s="51">
        <v>42800</v>
      </c>
      <c r="B618" s="52" t="s">
        <v>8402</v>
      </c>
      <c r="C618" s="18">
        <v>103396</v>
      </c>
      <c r="D618" s="2" t="s">
        <v>289</v>
      </c>
      <c r="E618" s="15">
        <v>1339</v>
      </c>
      <c r="F618" s="59">
        <v>42818</v>
      </c>
      <c r="G618" s="15">
        <f t="shared" si="19"/>
        <v>1339</v>
      </c>
      <c r="H618" s="15">
        <f t="shared" si="20"/>
        <v>0</v>
      </c>
      <c r="I618" s="19"/>
    </row>
    <row r="619" spans="1:9" ht="15.75" x14ac:dyDescent="0.25">
      <c r="A619" s="51">
        <v>42800</v>
      </c>
      <c r="B619" s="52" t="s">
        <v>8403</v>
      </c>
      <c r="C619" s="18">
        <v>103397</v>
      </c>
      <c r="D619" s="2" t="s">
        <v>184</v>
      </c>
      <c r="E619" s="15">
        <v>3842.8</v>
      </c>
      <c r="F619" s="59">
        <v>42802</v>
      </c>
      <c r="G619" s="15">
        <f t="shared" si="19"/>
        <v>3842.8</v>
      </c>
      <c r="H619" s="15">
        <f t="shared" si="20"/>
        <v>0</v>
      </c>
      <c r="I619" s="19"/>
    </row>
    <row r="620" spans="1:9" ht="15.75" x14ac:dyDescent="0.25">
      <c r="A620" s="51">
        <v>42800</v>
      </c>
      <c r="B620" s="52" t="s">
        <v>8404</v>
      </c>
      <c r="C620" s="18">
        <v>103398</v>
      </c>
      <c r="D620" s="2" t="s">
        <v>188</v>
      </c>
      <c r="E620" s="15">
        <v>4706.5</v>
      </c>
      <c r="F620" s="59">
        <v>42800</v>
      </c>
      <c r="G620" s="15">
        <f t="shared" si="19"/>
        <v>4706.5</v>
      </c>
      <c r="H620" s="15">
        <f t="shared" si="20"/>
        <v>0</v>
      </c>
      <c r="I620" s="19"/>
    </row>
    <row r="621" spans="1:9" ht="15.75" x14ac:dyDescent="0.25">
      <c r="A621" s="51">
        <v>42800</v>
      </c>
      <c r="B621" s="52" t="s">
        <v>8405</v>
      </c>
      <c r="C621" s="18">
        <v>103399</v>
      </c>
      <c r="D621" s="2" t="s">
        <v>3997</v>
      </c>
      <c r="E621" s="15">
        <v>3233.6</v>
      </c>
      <c r="F621" s="59">
        <v>42812</v>
      </c>
      <c r="G621" s="15">
        <f t="shared" si="19"/>
        <v>3233.6</v>
      </c>
      <c r="H621" s="15">
        <f t="shared" si="20"/>
        <v>0</v>
      </c>
      <c r="I621" s="19"/>
    </row>
    <row r="622" spans="1:9" ht="15.75" x14ac:dyDescent="0.25">
      <c r="A622" s="51">
        <v>42800</v>
      </c>
      <c r="B622" s="52" t="s">
        <v>8406</v>
      </c>
      <c r="C622" s="18">
        <v>103400</v>
      </c>
      <c r="D622" s="2" t="s">
        <v>193</v>
      </c>
      <c r="E622" s="15">
        <v>1926</v>
      </c>
      <c r="F622" s="59">
        <v>42800</v>
      </c>
      <c r="G622" s="15">
        <f t="shared" si="19"/>
        <v>1926</v>
      </c>
      <c r="H622" s="15">
        <f t="shared" si="20"/>
        <v>0</v>
      </c>
      <c r="I622" s="19"/>
    </row>
    <row r="623" spans="1:9" ht="15.75" x14ac:dyDescent="0.25">
      <c r="A623" s="51">
        <v>42800</v>
      </c>
      <c r="B623" s="52" t="s">
        <v>8407</v>
      </c>
      <c r="C623" s="18">
        <v>103401</v>
      </c>
      <c r="D623" s="2" t="s">
        <v>182</v>
      </c>
      <c r="E623" s="15">
        <v>3689.2</v>
      </c>
      <c r="F623" s="59">
        <v>42800</v>
      </c>
      <c r="G623" s="15">
        <f t="shared" si="19"/>
        <v>3689.2</v>
      </c>
      <c r="H623" s="15">
        <f t="shared" si="20"/>
        <v>0</v>
      </c>
      <c r="I623" s="19"/>
    </row>
    <row r="624" spans="1:9" ht="15.75" x14ac:dyDescent="0.25">
      <c r="A624" s="51">
        <v>42800</v>
      </c>
      <c r="B624" s="52" t="s">
        <v>8408</v>
      </c>
      <c r="C624" s="18">
        <v>103402</v>
      </c>
      <c r="D624" s="2" t="s">
        <v>609</v>
      </c>
      <c r="E624" s="15">
        <v>41225.199999999997</v>
      </c>
      <c r="F624" s="59">
        <v>42802</v>
      </c>
      <c r="G624" s="15">
        <f t="shared" si="19"/>
        <v>41225.199999999997</v>
      </c>
      <c r="H624" s="15">
        <f t="shared" si="20"/>
        <v>0</v>
      </c>
      <c r="I624" s="19"/>
    </row>
    <row r="625" spans="1:9" ht="15.75" x14ac:dyDescent="0.25">
      <c r="A625" s="51">
        <v>42800</v>
      </c>
      <c r="B625" s="52" t="s">
        <v>8409</v>
      </c>
      <c r="C625" s="18">
        <v>103403</v>
      </c>
      <c r="D625" s="2" t="s">
        <v>63</v>
      </c>
      <c r="E625" s="15">
        <v>1330</v>
      </c>
      <c r="F625" s="59">
        <v>42800</v>
      </c>
      <c r="G625" s="15">
        <f t="shared" si="19"/>
        <v>1330</v>
      </c>
      <c r="H625" s="15">
        <f t="shared" si="20"/>
        <v>0</v>
      </c>
      <c r="I625" s="19"/>
    </row>
    <row r="626" spans="1:9" ht="15.75" x14ac:dyDescent="0.25">
      <c r="A626" s="51">
        <v>42800</v>
      </c>
      <c r="B626" s="52" t="s">
        <v>8410</v>
      </c>
      <c r="C626" s="18">
        <v>103404</v>
      </c>
      <c r="D626" s="2" t="s">
        <v>45</v>
      </c>
      <c r="E626" s="15">
        <v>843.8</v>
      </c>
      <c r="F626" s="59">
        <v>42800</v>
      </c>
      <c r="G626" s="15">
        <f t="shared" si="19"/>
        <v>843.8</v>
      </c>
      <c r="H626" s="15">
        <f t="shared" si="20"/>
        <v>0</v>
      </c>
      <c r="I626" s="19"/>
    </row>
    <row r="627" spans="1:9" ht="15.75" x14ac:dyDescent="0.25">
      <c r="A627" s="51">
        <v>42800</v>
      </c>
      <c r="B627" s="52" t="s">
        <v>8411</v>
      </c>
      <c r="C627" s="18">
        <v>103405</v>
      </c>
      <c r="D627" s="2" t="s">
        <v>2986</v>
      </c>
      <c r="E627" s="15">
        <v>3028.6</v>
      </c>
      <c r="F627" s="59">
        <v>42800</v>
      </c>
      <c r="G627" s="15">
        <f t="shared" si="19"/>
        <v>3028.6</v>
      </c>
      <c r="H627" s="15">
        <f t="shared" si="20"/>
        <v>0</v>
      </c>
      <c r="I627" s="19"/>
    </row>
    <row r="628" spans="1:9" ht="15.75" x14ac:dyDescent="0.25">
      <c r="A628" s="51">
        <v>42800</v>
      </c>
      <c r="B628" s="52" t="s">
        <v>8412</v>
      </c>
      <c r="C628" s="18">
        <v>103406</v>
      </c>
      <c r="D628" s="2" t="s">
        <v>57</v>
      </c>
      <c r="E628" s="15">
        <v>508.5</v>
      </c>
      <c r="F628" s="59">
        <v>42800</v>
      </c>
      <c r="G628" s="15">
        <f t="shared" si="19"/>
        <v>508.5</v>
      </c>
      <c r="H628" s="15">
        <f t="shared" si="20"/>
        <v>0</v>
      </c>
      <c r="I628" s="19"/>
    </row>
    <row r="629" spans="1:9" ht="15.75" x14ac:dyDescent="0.25">
      <c r="A629" s="51">
        <v>42800</v>
      </c>
      <c r="B629" s="52" t="s">
        <v>8413</v>
      </c>
      <c r="C629" s="18">
        <v>103407</v>
      </c>
      <c r="D629" s="2" t="s">
        <v>331</v>
      </c>
      <c r="E629" s="15">
        <v>4405.4799999999996</v>
      </c>
      <c r="F629" s="59">
        <v>42800</v>
      </c>
      <c r="G629" s="15">
        <f t="shared" si="19"/>
        <v>4405.4799999999996</v>
      </c>
      <c r="H629" s="15">
        <f t="shared" si="20"/>
        <v>0</v>
      </c>
      <c r="I629" s="19"/>
    </row>
    <row r="630" spans="1:9" ht="15.75" x14ac:dyDescent="0.25">
      <c r="A630" s="51">
        <v>42800</v>
      </c>
      <c r="B630" s="52" t="s">
        <v>8414</v>
      </c>
      <c r="C630" s="18">
        <v>103408</v>
      </c>
      <c r="D630" s="2" t="s">
        <v>186</v>
      </c>
      <c r="E630" s="15">
        <v>480.2</v>
      </c>
      <c r="F630" s="59">
        <v>42802</v>
      </c>
      <c r="G630" s="15">
        <f t="shared" si="19"/>
        <v>480.2</v>
      </c>
      <c r="H630" s="15">
        <f t="shared" si="20"/>
        <v>0</v>
      </c>
      <c r="I630" s="19"/>
    </row>
    <row r="631" spans="1:9" ht="15.75" x14ac:dyDescent="0.25">
      <c r="A631" s="51">
        <v>42800</v>
      </c>
      <c r="B631" s="52" t="s">
        <v>8415</v>
      </c>
      <c r="C631" s="18">
        <v>103409</v>
      </c>
      <c r="D631" s="2" t="s">
        <v>168</v>
      </c>
      <c r="E631" s="15">
        <v>4816.8</v>
      </c>
      <c r="F631" s="59">
        <v>42807</v>
      </c>
      <c r="G631" s="15">
        <f t="shared" si="19"/>
        <v>4816.8</v>
      </c>
      <c r="H631" s="15">
        <f t="shared" si="20"/>
        <v>0</v>
      </c>
      <c r="I631" s="19"/>
    </row>
    <row r="632" spans="1:9" ht="15.75" x14ac:dyDescent="0.25">
      <c r="A632" s="51">
        <v>42800</v>
      </c>
      <c r="B632" s="52" t="s">
        <v>8416</v>
      </c>
      <c r="C632" s="18">
        <v>103410</v>
      </c>
      <c r="D632" s="2" t="s">
        <v>268</v>
      </c>
      <c r="E632" s="15">
        <v>12968.56</v>
      </c>
      <c r="F632" s="59">
        <v>42802</v>
      </c>
      <c r="G632" s="15">
        <f t="shared" si="19"/>
        <v>12968.56</v>
      </c>
      <c r="H632" s="15">
        <f t="shared" si="20"/>
        <v>0</v>
      </c>
      <c r="I632" s="19"/>
    </row>
    <row r="633" spans="1:9" ht="15.75" x14ac:dyDescent="0.25">
      <c r="A633" s="51">
        <v>42800</v>
      </c>
      <c r="B633" s="52" t="s">
        <v>8417</v>
      </c>
      <c r="C633" s="18">
        <v>103411</v>
      </c>
      <c r="D633" s="2" t="s">
        <v>270</v>
      </c>
      <c r="E633" s="15">
        <v>15691.4</v>
      </c>
      <c r="F633" s="59">
        <v>42802</v>
      </c>
      <c r="G633" s="15">
        <f t="shared" si="19"/>
        <v>15691.4</v>
      </c>
      <c r="H633" s="15">
        <f t="shared" si="20"/>
        <v>0</v>
      </c>
      <c r="I633" s="19"/>
    </row>
    <row r="634" spans="1:9" ht="15.75" x14ac:dyDescent="0.25">
      <c r="A634" s="51">
        <v>42800</v>
      </c>
      <c r="B634" s="52" t="s">
        <v>8418</v>
      </c>
      <c r="C634" s="18">
        <v>103412</v>
      </c>
      <c r="D634" s="2" t="s">
        <v>305</v>
      </c>
      <c r="E634" s="15">
        <v>7120.7</v>
      </c>
      <c r="F634" s="59">
        <v>42803</v>
      </c>
      <c r="G634" s="15">
        <f t="shared" si="19"/>
        <v>7120.7</v>
      </c>
      <c r="H634" s="15">
        <f t="shared" si="20"/>
        <v>0</v>
      </c>
      <c r="I634" s="19"/>
    </row>
    <row r="635" spans="1:9" ht="15.75" x14ac:dyDescent="0.25">
      <c r="A635" s="51">
        <v>42800</v>
      </c>
      <c r="B635" s="52" t="s">
        <v>8419</v>
      </c>
      <c r="C635" s="18">
        <v>103413</v>
      </c>
      <c r="D635" s="2" t="s">
        <v>159</v>
      </c>
      <c r="E635" s="15">
        <v>7863.7</v>
      </c>
      <c r="F635" s="59">
        <v>42801</v>
      </c>
      <c r="G635" s="15">
        <f t="shared" si="19"/>
        <v>7863.7</v>
      </c>
      <c r="H635" s="15">
        <f t="shared" si="20"/>
        <v>0</v>
      </c>
      <c r="I635" s="19"/>
    </row>
    <row r="636" spans="1:9" ht="15.75" x14ac:dyDescent="0.25">
      <c r="A636" s="51">
        <v>42800</v>
      </c>
      <c r="B636" s="52" t="s">
        <v>8420</v>
      </c>
      <c r="C636" s="18">
        <v>103414</v>
      </c>
      <c r="D636" s="2" t="s">
        <v>30</v>
      </c>
      <c r="E636" s="15">
        <v>7545.6</v>
      </c>
      <c r="F636" s="59">
        <v>42802</v>
      </c>
      <c r="G636" s="15">
        <f t="shared" si="19"/>
        <v>7545.6</v>
      </c>
      <c r="H636" s="15">
        <f t="shared" si="20"/>
        <v>0</v>
      </c>
      <c r="I636" s="19"/>
    </row>
    <row r="637" spans="1:9" ht="15.75" x14ac:dyDescent="0.25">
      <c r="A637" s="51">
        <v>42800</v>
      </c>
      <c r="B637" s="52" t="s">
        <v>8421</v>
      </c>
      <c r="C637" s="18">
        <v>103415</v>
      </c>
      <c r="D637" s="2" t="s">
        <v>341</v>
      </c>
      <c r="E637" s="15">
        <v>7696.8</v>
      </c>
      <c r="F637" s="59">
        <v>42800</v>
      </c>
      <c r="G637" s="15">
        <f t="shared" si="19"/>
        <v>7696.8</v>
      </c>
      <c r="H637" s="15">
        <f t="shared" si="20"/>
        <v>0</v>
      </c>
      <c r="I637" s="19"/>
    </row>
    <row r="638" spans="1:9" ht="15.75" x14ac:dyDescent="0.25">
      <c r="A638" s="51">
        <v>42800</v>
      </c>
      <c r="B638" s="52" t="s">
        <v>8422</v>
      </c>
      <c r="C638" s="18">
        <v>103416</v>
      </c>
      <c r="D638" s="2" t="s">
        <v>133</v>
      </c>
      <c r="E638" s="15">
        <v>827.4</v>
      </c>
      <c r="F638" s="59">
        <v>42800</v>
      </c>
      <c r="G638" s="15">
        <f t="shared" si="19"/>
        <v>827.4</v>
      </c>
      <c r="H638" s="15">
        <f t="shared" si="20"/>
        <v>0</v>
      </c>
      <c r="I638" s="19"/>
    </row>
    <row r="639" spans="1:9" ht="15.75" x14ac:dyDescent="0.25">
      <c r="A639" s="51">
        <v>42800</v>
      </c>
      <c r="B639" s="52" t="s">
        <v>8423</v>
      </c>
      <c r="C639" s="18">
        <v>103417</v>
      </c>
      <c r="D639" s="2" t="s">
        <v>476</v>
      </c>
      <c r="E639" s="15">
        <v>8986.6</v>
      </c>
      <c r="F639" s="59">
        <v>42800</v>
      </c>
      <c r="G639" s="15">
        <f t="shared" si="19"/>
        <v>8986.6</v>
      </c>
      <c r="H639" s="15">
        <f t="shared" si="20"/>
        <v>0</v>
      </c>
      <c r="I639" s="19"/>
    </row>
    <row r="640" spans="1:9" ht="15.75" x14ac:dyDescent="0.25">
      <c r="A640" s="51">
        <v>42800</v>
      </c>
      <c r="B640" s="52" t="s">
        <v>8424</v>
      </c>
      <c r="C640" s="18">
        <v>103418</v>
      </c>
      <c r="D640" s="2" t="s">
        <v>131</v>
      </c>
      <c r="E640" s="15">
        <v>9275</v>
      </c>
      <c r="F640" s="59">
        <v>42800</v>
      </c>
      <c r="G640" s="15">
        <f t="shared" si="19"/>
        <v>9275</v>
      </c>
      <c r="H640" s="15">
        <f t="shared" si="20"/>
        <v>0</v>
      </c>
      <c r="I640" s="19"/>
    </row>
    <row r="641" spans="1:9" ht="15.75" x14ac:dyDescent="0.25">
      <c r="A641" s="51">
        <v>42800</v>
      </c>
      <c r="B641" s="52" t="s">
        <v>8425</v>
      </c>
      <c r="C641" s="18">
        <v>103419</v>
      </c>
      <c r="D641" s="2" t="s">
        <v>422</v>
      </c>
      <c r="E641" s="15">
        <v>882</v>
      </c>
      <c r="F641" s="59">
        <v>42800</v>
      </c>
      <c r="G641" s="15">
        <f t="shared" si="19"/>
        <v>882</v>
      </c>
      <c r="H641" s="15">
        <f t="shared" si="20"/>
        <v>0</v>
      </c>
      <c r="I641" s="19"/>
    </row>
    <row r="642" spans="1:9" ht="15.75" x14ac:dyDescent="0.25">
      <c r="A642" s="51">
        <v>42800</v>
      </c>
      <c r="B642" s="52" t="s">
        <v>8426</v>
      </c>
      <c r="C642" s="18">
        <v>103420</v>
      </c>
      <c r="D642" s="2" t="s">
        <v>122</v>
      </c>
      <c r="E642" s="15">
        <v>2422.5</v>
      </c>
      <c r="F642" s="59">
        <v>42804</v>
      </c>
      <c r="G642" s="15">
        <f t="shared" si="19"/>
        <v>2422.5</v>
      </c>
      <c r="H642" s="15">
        <f t="shared" si="20"/>
        <v>0</v>
      </c>
      <c r="I642" s="19"/>
    </row>
    <row r="643" spans="1:9" ht="15.75" x14ac:dyDescent="0.25">
      <c r="A643" s="51">
        <v>42800</v>
      </c>
      <c r="B643" s="52" t="s">
        <v>8427</v>
      </c>
      <c r="C643" s="18">
        <v>103421</v>
      </c>
      <c r="D643" s="2" t="s">
        <v>125</v>
      </c>
      <c r="E643" s="15">
        <v>6052</v>
      </c>
      <c r="F643" s="59">
        <v>42803</v>
      </c>
      <c r="G643" s="15">
        <f t="shared" si="19"/>
        <v>6052</v>
      </c>
      <c r="H643" s="15">
        <f t="shared" si="20"/>
        <v>0</v>
      </c>
      <c r="I643" s="19"/>
    </row>
    <row r="644" spans="1:9" ht="15.75" x14ac:dyDescent="0.25">
      <c r="A644" s="51">
        <v>42800</v>
      </c>
      <c r="B644" s="52" t="s">
        <v>8428</v>
      </c>
      <c r="C644" s="18">
        <v>103422</v>
      </c>
      <c r="D644" s="2" t="s">
        <v>470</v>
      </c>
      <c r="E644" s="15">
        <v>12285.6</v>
      </c>
      <c r="F644" s="59">
        <v>42800</v>
      </c>
      <c r="G644" s="15">
        <f t="shared" ref="G644:G707" si="21">E644</f>
        <v>12285.6</v>
      </c>
      <c r="H644" s="15">
        <f t="shared" ref="H644:H707" si="22">E644-G644</f>
        <v>0</v>
      </c>
      <c r="I644" s="19"/>
    </row>
    <row r="645" spans="1:9" ht="15.75" x14ac:dyDescent="0.25">
      <c r="A645" s="51">
        <v>42800</v>
      </c>
      <c r="B645" s="52" t="s">
        <v>8429</v>
      </c>
      <c r="C645" s="18">
        <v>103423</v>
      </c>
      <c r="D645" s="2" t="s">
        <v>1830</v>
      </c>
      <c r="E645" s="15">
        <v>10350.6</v>
      </c>
      <c r="F645" s="59">
        <v>42800</v>
      </c>
      <c r="G645" s="15">
        <f t="shared" si="21"/>
        <v>10350.6</v>
      </c>
      <c r="H645" s="15">
        <f t="shared" si="22"/>
        <v>0</v>
      </c>
      <c r="I645" s="19"/>
    </row>
    <row r="646" spans="1:9" ht="15.75" x14ac:dyDescent="0.25">
      <c r="A646" s="51">
        <v>42800</v>
      </c>
      <c r="B646" s="52" t="s">
        <v>8430</v>
      </c>
      <c r="C646" s="18">
        <v>103424</v>
      </c>
      <c r="D646" s="2" t="s">
        <v>120</v>
      </c>
      <c r="E646" s="15">
        <v>3738.8</v>
      </c>
      <c r="F646" s="59">
        <v>42800</v>
      </c>
      <c r="G646" s="15">
        <f t="shared" si="21"/>
        <v>3738.8</v>
      </c>
      <c r="H646" s="15">
        <f t="shared" si="22"/>
        <v>0</v>
      </c>
      <c r="I646" s="19"/>
    </row>
    <row r="647" spans="1:9" ht="15.75" x14ac:dyDescent="0.25">
      <c r="A647" s="51">
        <v>42800</v>
      </c>
      <c r="B647" s="52" t="s">
        <v>8431</v>
      </c>
      <c r="C647" s="18">
        <v>103425</v>
      </c>
      <c r="D647" s="2" t="s">
        <v>30</v>
      </c>
      <c r="E647" s="15">
        <v>73225.8</v>
      </c>
      <c r="F647" s="59">
        <v>42800</v>
      </c>
      <c r="G647" s="15">
        <f t="shared" si="21"/>
        <v>73225.8</v>
      </c>
      <c r="H647" s="15">
        <f t="shared" si="22"/>
        <v>0</v>
      </c>
      <c r="I647" s="19"/>
    </row>
    <row r="648" spans="1:9" ht="15.75" x14ac:dyDescent="0.25">
      <c r="A648" s="51">
        <v>42800</v>
      </c>
      <c r="B648" s="52" t="s">
        <v>8432</v>
      </c>
      <c r="C648" s="18">
        <v>103426</v>
      </c>
      <c r="D648" s="2" t="s">
        <v>10</v>
      </c>
      <c r="E648" s="15">
        <v>54499.4</v>
      </c>
      <c r="F648" s="64" t="s">
        <v>8433</v>
      </c>
      <c r="G648" s="20">
        <f>13227.74+41271.66</f>
        <v>54499.4</v>
      </c>
      <c r="H648" s="20">
        <f t="shared" si="22"/>
        <v>0</v>
      </c>
      <c r="I648" s="19"/>
    </row>
    <row r="649" spans="1:9" ht="15.75" x14ac:dyDescent="0.25">
      <c r="A649" s="51">
        <v>42800</v>
      </c>
      <c r="B649" s="52" t="s">
        <v>8434</v>
      </c>
      <c r="C649" s="18">
        <v>103427</v>
      </c>
      <c r="D649" s="2" t="s">
        <v>30</v>
      </c>
      <c r="E649" s="15">
        <v>1211.5999999999999</v>
      </c>
      <c r="F649" s="59">
        <v>42800</v>
      </c>
      <c r="G649" s="15">
        <f t="shared" si="21"/>
        <v>1211.5999999999999</v>
      </c>
      <c r="H649" s="15">
        <f t="shared" si="22"/>
        <v>0</v>
      </c>
      <c r="I649" s="19"/>
    </row>
    <row r="650" spans="1:9" ht="15.75" x14ac:dyDescent="0.25">
      <c r="A650" s="51">
        <v>42800</v>
      </c>
      <c r="B650" s="52" t="s">
        <v>8435</v>
      </c>
      <c r="C650" s="18">
        <v>103428</v>
      </c>
      <c r="D650" s="2" t="s">
        <v>2240</v>
      </c>
      <c r="E650" s="15">
        <v>5145.8</v>
      </c>
      <c r="F650" s="59">
        <v>42800</v>
      </c>
      <c r="G650" s="15">
        <f t="shared" si="21"/>
        <v>5145.8</v>
      </c>
      <c r="H650" s="15">
        <f t="shared" si="22"/>
        <v>0</v>
      </c>
      <c r="I650" s="19"/>
    </row>
    <row r="651" spans="1:9" ht="15.75" x14ac:dyDescent="0.25">
      <c r="A651" s="51">
        <v>42800</v>
      </c>
      <c r="B651" s="52" t="s">
        <v>8436</v>
      </c>
      <c r="C651" s="18">
        <v>103429</v>
      </c>
      <c r="D651" s="2" t="s">
        <v>30</v>
      </c>
      <c r="E651" s="15">
        <v>2908.4</v>
      </c>
      <c r="F651" s="59">
        <v>42800</v>
      </c>
      <c r="G651" s="15">
        <f t="shared" si="21"/>
        <v>2908.4</v>
      </c>
      <c r="H651" s="15">
        <f t="shared" si="22"/>
        <v>0</v>
      </c>
      <c r="I651" s="19"/>
    </row>
    <row r="652" spans="1:9" ht="15.75" x14ac:dyDescent="0.25">
      <c r="A652" s="51">
        <v>42800</v>
      </c>
      <c r="B652" s="52" t="s">
        <v>8437</v>
      </c>
      <c r="C652" s="18">
        <v>103430</v>
      </c>
      <c r="D652" s="2" t="s">
        <v>30</v>
      </c>
      <c r="E652" s="15">
        <v>2839.1</v>
      </c>
      <c r="F652" s="59">
        <v>42800</v>
      </c>
      <c r="G652" s="15">
        <f t="shared" si="21"/>
        <v>2839.1</v>
      </c>
      <c r="H652" s="15">
        <f t="shared" si="22"/>
        <v>0</v>
      </c>
      <c r="I652" s="19"/>
    </row>
    <row r="653" spans="1:9" ht="15.75" x14ac:dyDescent="0.25">
      <c r="A653" s="51">
        <v>42800</v>
      </c>
      <c r="B653" s="52" t="s">
        <v>8438</v>
      </c>
      <c r="C653" s="18">
        <v>103431</v>
      </c>
      <c r="D653" s="2" t="s">
        <v>10</v>
      </c>
      <c r="E653" s="15">
        <v>28908.400000000001</v>
      </c>
      <c r="F653" s="59">
        <v>42804</v>
      </c>
      <c r="G653" s="15">
        <f t="shared" si="21"/>
        <v>28908.400000000001</v>
      </c>
      <c r="H653" s="15">
        <f t="shared" si="22"/>
        <v>0</v>
      </c>
      <c r="I653" s="19"/>
    </row>
    <row r="654" spans="1:9" ht="15.75" x14ac:dyDescent="0.25">
      <c r="A654" s="51">
        <v>42800</v>
      </c>
      <c r="B654" s="52" t="s">
        <v>8439</v>
      </c>
      <c r="C654" s="18">
        <v>103432</v>
      </c>
      <c r="D654" s="2" t="s">
        <v>205</v>
      </c>
      <c r="E654" s="15">
        <v>53171.4</v>
      </c>
      <c r="F654" s="59">
        <v>42848</v>
      </c>
      <c r="G654" s="15">
        <f t="shared" si="21"/>
        <v>53171.4</v>
      </c>
      <c r="H654" s="15">
        <f t="shared" si="22"/>
        <v>0</v>
      </c>
      <c r="I654" s="19"/>
    </row>
    <row r="655" spans="1:9" ht="15.75" x14ac:dyDescent="0.25">
      <c r="A655" s="51">
        <v>42800</v>
      </c>
      <c r="B655" s="52" t="s">
        <v>8440</v>
      </c>
      <c r="C655" s="18">
        <v>103433</v>
      </c>
      <c r="D655" s="2" t="s">
        <v>316</v>
      </c>
      <c r="E655" s="15">
        <v>28859.1</v>
      </c>
      <c r="F655" s="59">
        <v>42848</v>
      </c>
      <c r="G655" s="15">
        <f t="shared" si="21"/>
        <v>28859.1</v>
      </c>
      <c r="H655" s="15">
        <f t="shared" si="22"/>
        <v>0</v>
      </c>
      <c r="I655" s="19"/>
    </row>
    <row r="656" spans="1:9" ht="15.75" x14ac:dyDescent="0.25">
      <c r="A656" s="51">
        <v>42800</v>
      </c>
      <c r="B656" s="52" t="s">
        <v>8441</v>
      </c>
      <c r="C656" s="18">
        <v>103434</v>
      </c>
      <c r="D656" s="2" t="s">
        <v>352</v>
      </c>
      <c r="E656" s="15">
        <v>3445.1</v>
      </c>
      <c r="F656" s="59">
        <v>42800</v>
      </c>
      <c r="G656" s="15">
        <f t="shared" si="21"/>
        <v>3445.1</v>
      </c>
      <c r="H656" s="15">
        <f t="shared" si="22"/>
        <v>0</v>
      </c>
      <c r="I656" s="19"/>
    </row>
    <row r="657" spans="1:9" ht="15.75" x14ac:dyDescent="0.25">
      <c r="A657" s="51">
        <v>42800</v>
      </c>
      <c r="B657" s="52" t="s">
        <v>8442</v>
      </c>
      <c r="C657" s="18">
        <v>103435</v>
      </c>
      <c r="D657" s="2" t="s">
        <v>222</v>
      </c>
      <c r="E657" s="15">
        <v>435897</v>
      </c>
      <c r="F657" s="59">
        <v>42807</v>
      </c>
      <c r="G657" s="15">
        <f t="shared" si="21"/>
        <v>435897</v>
      </c>
      <c r="H657" s="15">
        <f t="shared" si="22"/>
        <v>0</v>
      </c>
      <c r="I657" s="19"/>
    </row>
    <row r="658" spans="1:9" ht="15.75" x14ac:dyDescent="0.25">
      <c r="A658" s="51">
        <v>42800</v>
      </c>
      <c r="B658" s="52" t="s">
        <v>8443</v>
      </c>
      <c r="C658" s="18">
        <v>103436</v>
      </c>
      <c r="D658" s="13" t="s">
        <v>163</v>
      </c>
      <c r="E658" s="14">
        <v>0</v>
      </c>
      <c r="F658" s="102" t="s">
        <v>95</v>
      </c>
      <c r="G658" s="14">
        <f t="shared" si="21"/>
        <v>0</v>
      </c>
      <c r="H658" s="14">
        <f t="shared" si="22"/>
        <v>0</v>
      </c>
      <c r="I658" s="19"/>
    </row>
    <row r="659" spans="1:9" ht="15.75" x14ac:dyDescent="0.25">
      <c r="A659" s="51">
        <v>42800</v>
      </c>
      <c r="B659" s="52" t="s">
        <v>8444</v>
      </c>
      <c r="C659" s="18">
        <v>103437</v>
      </c>
      <c r="D659" s="2" t="s">
        <v>163</v>
      </c>
      <c r="E659" s="15">
        <v>21115.599999999999</v>
      </c>
      <c r="F659" s="59">
        <v>42816</v>
      </c>
      <c r="G659" s="15">
        <f t="shared" si="21"/>
        <v>21115.599999999999</v>
      </c>
      <c r="H659" s="15">
        <f t="shared" si="22"/>
        <v>0</v>
      </c>
      <c r="I659" s="19"/>
    </row>
    <row r="660" spans="1:9" ht="15.75" x14ac:dyDescent="0.25">
      <c r="A660" s="51">
        <v>42800</v>
      </c>
      <c r="B660" s="52" t="s">
        <v>8445</v>
      </c>
      <c r="C660" s="18">
        <v>103438</v>
      </c>
      <c r="D660" s="2" t="s">
        <v>937</v>
      </c>
      <c r="E660" s="15">
        <v>3489.6</v>
      </c>
      <c r="F660" s="59">
        <v>42801</v>
      </c>
      <c r="G660" s="15">
        <f t="shared" si="21"/>
        <v>3489.6</v>
      </c>
      <c r="H660" s="15">
        <f t="shared" si="22"/>
        <v>0</v>
      </c>
      <c r="I660" s="19"/>
    </row>
    <row r="661" spans="1:9" ht="15.75" x14ac:dyDescent="0.25">
      <c r="A661" s="51">
        <v>42800</v>
      </c>
      <c r="B661" s="52" t="s">
        <v>8446</v>
      </c>
      <c r="C661" s="18">
        <v>103439</v>
      </c>
      <c r="D661" s="2" t="s">
        <v>1163</v>
      </c>
      <c r="E661" s="15">
        <v>27554</v>
      </c>
      <c r="F661" s="59">
        <v>42801</v>
      </c>
      <c r="G661" s="15">
        <f t="shared" si="21"/>
        <v>27554</v>
      </c>
      <c r="H661" s="15">
        <f t="shared" si="22"/>
        <v>0</v>
      </c>
      <c r="I661" s="19"/>
    </row>
    <row r="662" spans="1:9" ht="15.75" x14ac:dyDescent="0.25">
      <c r="A662" s="51">
        <v>42800</v>
      </c>
      <c r="B662" s="52" t="s">
        <v>8447</v>
      </c>
      <c r="C662" s="18">
        <v>103440</v>
      </c>
      <c r="D662" s="2" t="s">
        <v>354</v>
      </c>
      <c r="E662" s="15">
        <v>1297.4000000000001</v>
      </c>
      <c r="F662" s="59">
        <v>42800</v>
      </c>
      <c r="G662" s="15">
        <f t="shared" si="21"/>
        <v>1297.4000000000001</v>
      </c>
      <c r="H662" s="15">
        <f t="shared" si="22"/>
        <v>0</v>
      </c>
      <c r="I662" s="19"/>
    </row>
    <row r="663" spans="1:9" ht="15.75" x14ac:dyDescent="0.25">
      <c r="A663" s="51">
        <v>42800</v>
      </c>
      <c r="B663" s="52" t="s">
        <v>8448</v>
      </c>
      <c r="C663" s="18">
        <v>103441</v>
      </c>
      <c r="D663" s="2" t="s">
        <v>47</v>
      </c>
      <c r="E663" s="15">
        <v>1160.5</v>
      </c>
      <c r="F663" s="59">
        <v>42800</v>
      </c>
      <c r="G663" s="15">
        <f t="shared" si="21"/>
        <v>1160.5</v>
      </c>
      <c r="H663" s="15">
        <f t="shared" si="22"/>
        <v>0</v>
      </c>
      <c r="I663" s="19"/>
    </row>
    <row r="664" spans="1:9" ht="15.75" x14ac:dyDescent="0.25">
      <c r="A664" s="51">
        <v>42800</v>
      </c>
      <c r="B664" s="52" t="s">
        <v>8449</v>
      </c>
      <c r="C664" s="18">
        <v>103442</v>
      </c>
      <c r="D664" s="2" t="s">
        <v>115</v>
      </c>
      <c r="E664" s="15">
        <v>6339.55</v>
      </c>
      <c r="F664" s="59">
        <v>42805</v>
      </c>
      <c r="G664" s="15">
        <f t="shared" si="21"/>
        <v>6339.55</v>
      </c>
      <c r="H664" s="15">
        <f t="shared" si="22"/>
        <v>0</v>
      </c>
      <c r="I664" s="19"/>
    </row>
    <row r="665" spans="1:9" ht="15.75" x14ac:dyDescent="0.25">
      <c r="A665" s="51">
        <v>42800</v>
      </c>
      <c r="B665" s="52" t="s">
        <v>8450</v>
      </c>
      <c r="C665" s="18">
        <v>103443</v>
      </c>
      <c r="D665" s="2" t="s">
        <v>356</v>
      </c>
      <c r="E665" s="15">
        <v>11334.4</v>
      </c>
      <c r="F665" s="59">
        <v>42802</v>
      </c>
      <c r="G665" s="15">
        <f t="shared" si="21"/>
        <v>11334.4</v>
      </c>
      <c r="H665" s="15">
        <f t="shared" si="22"/>
        <v>0</v>
      </c>
      <c r="I665" s="19"/>
    </row>
    <row r="666" spans="1:9" ht="15.75" x14ac:dyDescent="0.25">
      <c r="A666" s="51">
        <v>42800</v>
      </c>
      <c r="B666" s="52" t="s">
        <v>8451</v>
      </c>
      <c r="C666" s="18">
        <v>103444</v>
      </c>
      <c r="D666" s="2" t="s">
        <v>563</v>
      </c>
      <c r="E666" s="15">
        <v>1229</v>
      </c>
      <c r="F666" s="59">
        <v>42800</v>
      </c>
      <c r="G666" s="15">
        <f t="shared" si="21"/>
        <v>1229</v>
      </c>
      <c r="H666" s="15">
        <f t="shared" si="22"/>
        <v>0</v>
      </c>
      <c r="I666" s="19"/>
    </row>
    <row r="667" spans="1:9" ht="15.75" x14ac:dyDescent="0.25">
      <c r="A667" s="51">
        <v>42800</v>
      </c>
      <c r="B667" s="52" t="s">
        <v>8452</v>
      </c>
      <c r="C667" s="18">
        <v>103445</v>
      </c>
      <c r="D667" s="2" t="s">
        <v>222</v>
      </c>
      <c r="E667" s="15">
        <v>43812.4</v>
      </c>
      <c r="F667" s="59">
        <v>42802</v>
      </c>
      <c r="G667" s="15">
        <f t="shared" si="21"/>
        <v>43812.4</v>
      </c>
      <c r="H667" s="15">
        <f t="shared" si="22"/>
        <v>0</v>
      </c>
      <c r="I667" s="19"/>
    </row>
    <row r="668" spans="1:9" ht="15.75" x14ac:dyDescent="0.25">
      <c r="A668" s="51">
        <v>42800</v>
      </c>
      <c r="B668" s="52" t="s">
        <v>8453</v>
      </c>
      <c r="C668" s="18">
        <v>103446</v>
      </c>
      <c r="D668" s="2" t="s">
        <v>147</v>
      </c>
      <c r="E668" s="15">
        <v>24029.599999999999</v>
      </c>
      <c r="F668" s="59">
        <v>42801</v>
      </c>
      <c r="G668" s="15">
        <f t="shared" si="21"/>
        <v>24029.599999999999</v>
      </c>
      <c r="H668" s="15">
        <f t="shared" si="22"/>
        <v>0</v>
      </c>
      <c r="I668" s="19"/>
    </row>
    <row r="669" spans="1:9" ht="15.75" x14ac:dyDescent="0.25">
      <c r="A669" s="51">
        <v>42800</v>
      </c>
      <c r="B669" s="52" t="s">
        <v>8454</v>
      </c>
      <c r="C669" s="18">
        <v>103447</v>
      </c>
      <c r="D669" s="2" t="s">
        <v>675</v>
      </c>
      <c r="E669" s="15">
        <v>1852.8</v>
      </c>
      <c r="F669" s="59">
        <v>42802</v>
      </c>
      <c r="G669" s="15">
        <f t="shared" si="21"/>
        <v>1852.8</v>
      </c>
      <c r="H669" s="15">
        <f t="shared" si="22"/>
        <v>0</v>
      </c>
      <c r="I669" s="19"/>
    </row>
    <row r="670" spans="1:9" ht="15.75" x14ac:dyDescent="0.25">
      <c r="A670" s="51">
        <v>42800</v>
      </c>
      <c r="B670" s="52" t="s">
        <v>8455</v>
      </c>
      <c r="C670" s="18">
        <v>103448</v>
      </c>
      <c r="D670" s="2" t="s">
        <v>428</v>
      </c>
      <c r="E670" s="15">
        <v>616</v>
      </c>
      <c r="F670" s="59">
        <v>42804</v>
      </c>
      <c r="G670" s="15">
        <f t="shared" si="21"/>
        <v>616</v>
      </c>
      <c r="H670" s="15">
        <f t="shared" si="22"/>
        <v>0</v>
      </c>
      <c r="I670" s="19"/>
    </row>
    <row r="671" spans="1:9" ht="15.75" x14ac:dyDescent="0.25">
      <c r="A671" s="51">
        <v>42800</v>
      </c>
      <c r="B671" s="52" t="s">
        <v>8456</v>
      </c>
      <c r="C671" s="18">
        <v>103449</v>
      </c>
      <c r="D671" s="2" t="s">
        <v>680</v>
      </c>
      <c r="E671" s="15">
        <v>1757</v>
      </c>
      <c r="F671" s="59">
        <v>42802</v>
      </c>
      <c r="G671" s="15">
        <f t="shared" si="21"/>
        <v>1757</v>
      </c>
      <c r="H671" s="15">
        <f t="shared" si="22"/>
        <v>0</v>
      </c>
      <c r="I671" s="19"/>
    </row>
    <row r="672" spans="1:9" ht="15.75" x14ac:dyDescent="0.25">
      <c r="A672" s="51">
        <v>42800</v>
      </c>
      <c r="B672" s="52" t="s">
        <v>8457</v>
      </c>
      <c r="C672" s="18">
        <v>103450</v>
      </c>
      <c r="D672" s="2" t="s">
        <v>677</v>
      </c>
      <c r="E672" s="15">
        <v>3821.2</v>
      </c>
      <c r="F672" s="59">
        <v>42802</v>
      </c>
      <c r="G672" s="15">
        <f t="shared" si="21"/>
        <v>3821.2</v>
      </c>
      <c r="H672" s="15">
        <f t="shared" si="22"/>
        <v>0</v>
      </c>
      <c r="I672" s="19"/>
    </row>
    <row r="673" spans="1:9" ht="15.75" x14ac:dyDescent="0.25">
      <c r="A673" s="51">
        <v>42800</v>
      </c>
      <c r="B673" s="52" t="s">
        <v>8458</v>
      </c>
      <c r="C673" s="18">
        <v>103451</v>
      </c>
      <c r="D673" s="2" t="s">
        <v>211</v>
      </c>
      <c r="E673" s="15">
        <v>8693.7999999999993</v>
      </c>
      <c r="F673" s="59">
        <v>42800</v>
      </c>
      <c r="G673" s="15">
        <f t="shared" si="21"/>
        <v>8693.7999999999993</v>
      </c>
      <c r="H673" s="15">
        <f t="shared" si="22"/>
        <v>0</v>
      </c>
      <c r="I673" s="19"/>
    </row>
    <row r="674" spans="1:9" ht="15.75" x14ac:dyDescent="0.25">
      <c r="A674" s="51">
        <v>42800</v>
      </c>
      <c r="B674" s="52" t="s">
        <v>8459</v>
      </c>
      <c r="C674" s="18">
        <v>103452</v>
      </c>
      <c r="D674" s="2" t="s">
        <v>682</v>
      </c>
      <c r="E674" s="15">
        <v>2002.2</v>
      </c>
      <c r="F674" s="59">
        <v>42802</v>
      </c>
      <c r="G674" s="15">
        <f t="shared" si="21"/>
        <v>2002.2</v>
      </c>
      <c r="H674" s="15">
        <f t="shared" si="22"/>
        <v>0</v>
      </c>
      <c r="I674" s="19"/>
    </row>
    <row r="675" spans="1:9" ht="15.75" x14ac:dyDescent="0.25">
      <c r="A675" s="51">
        <v>42800</v>
      </c>
      <c r="B675" s="52" t="s">
        <v>8460</v>
      </c>
      <c r="C675" s="18">
        <v>103453</v>
      </c>
      <c r="D675" s="2" t="s">
        <v>211</v>
      </c>
      <c r="E675" s="15">
        <v>185</v>
      </c>
      <c r="F675" s="59">
        <v>42800</v>
      </c>
      <c r="G675" s="15">
        <f t="shared" si="21"/>
        <v>185</v>
      </c>
      <c r="H675" s="15">
        <f t="shared" si="22"/>
        <v>0</v>
      </c>
      <c r="I675" s="19"/>
    </row>
    <row r="676" spans="1:9" ht="15.75" x14ac:dyDescent="0.25">
      <c r="A676" s="51">
        <v>42800</v>
      </c>
      <c r="B676" s="52" t="s">
        <v>8461</v>
      </c>
      <c r="C676" s="18">
        <v>103454</v>
      </c>
      <c r="D676" s="2" t="s">
        <v>1598</v>
      </c>
      <c r="E676" s="15">
        <v>5064.3999999999996</v>
      </c>
      <c r="F676" s="59">
        <v>42802</v>
      </c>
      <c r="G676" s="15">
        <f t="shared" si="21"/>
        <v>5064.3999999999996</v>
      </c>
      <c r="H676" s="15">
        <f t="shared" si="22"/>
        <v>0</v>
      </c>
      <c r="I676" s="19"/>
    </row>
    <row r="677" spans="1:9" ht="15.75" x14ac:dyDescent="0.25">
      <c r="A677" s="51">
        <v>42800</v>
      </c>
      <c r="B677" s="52" t="s">
        <v>8462</v>
      </c>
      <c r="C677" s="18">
        <v>103455</v>
      </c>
      <c r="D677" s="2" t="s">
        <v>688</v>
      </c>
      <c r="E677" s="15">
        <v>2843.8</v>
      </c>
      <c r="F677" s="59">
        <v>42802</v>
      </c>
      <c r="G677" s="15">
        <f t="shared" si="21"/>
        <v>2843.8</v>
      </c>
      <c r="H677" s="15">
        <f t="shared" si="22"/>
        <v>0</v>
      </c>
      <c r="I677" s="19"/>
    </row>
    <row r="678" spans="1:9" ht="15.75" x14ac:dyDescent="0.25">
      <c r="A678" s="51">
        <v>42800</v>
      </c>
      <c r="B678" s="52" t="s">
        <v>8463</v>
      </c>
      <c r="C678" s="18">
        <v>103456</v>
      </c>
      <c r="D678" s="2" t="s">
        <v>686</v>
      </c>
      <c r="E678" s="15">
        <v>19487.5</v>
      </c>
      <c r="F678" s="59">
        <v>42802</v>
      </c>
      <c r="G678" s="15">
        <f t="shared" si="21"/>
        <v>19487.5</v>
      </c>
      <c r="H678" s="15">
        <f t="shared" si="22"/>
        <v>0</v>
      </c>
      <c r="I678" s="19"/>
    </row>
    <row r="679" spans="1:9" ht="15.75" x14ac:dyDescent="0.25">
      <c r="A679" s="51">
        <v>42800</v>
      </c>
      <c r="B679" s="52" t="s">
        <v>8464</v>
      </c>
      <c r="C679" s="18">
        <v>103457</v>
      </c>
      <c r="D679" s="2" t="s">
        <v>1197</v>
      </c>
      <c r="E679" s="15">
        <v>5610</v>
      </c>
      <c r="F679" s="59">
        <v>42802</v>
      </c>
      <c r="G679" s="15">
        <f t="shared" si="21"/>
        <v>5610</v>
      </c>
      <c r="H679" s="15">
        <f t="shared" si="22"/>
        <v>0</v>
      </c>
      <c r="I679" s="19"/>
    </row>
    <row r="680" spans="1:9" ht="15.75" x14ac:dyDescent="0.25">
      <c r="A680" s="51">
        <v>42800</v>
      </c>
      <c r="B680" s="52" t="s">
        <v>8465</v>
      </c>
      <c r="C680" s="18">
        <v>103458</v>
      </c>
      <c r="D680" s="2" t="s">
        <v>673</v>
      </c>
      <c r="E680" s="15">
        <v>4492.3999999999996</v>
      </c>
      <c r="F680" s="59">
        <v>42802</v>
      </c>
      <c r="G680" s="15">
        <f t="shared" si="21"/>
        <v>4492.3999999999996</v>
      </c>
      <c r="H680" s="15">
        <f t="shared" si="22"/>
        <v>0</v>
      </c>
      <c r="I680" s="19"/>
    </row>
    <row r="681" spans="1:9" ht="15.75" x14ac:dyDescent="0.25">
      <c r="A681" s="51">
        <v>42800</v>
      </c>
      <c r="B681" s="52" t="s">
        <v>8466</v>
      </c>
      <c r="C681" s="18">
        <v>103459</v>
      </c>
      <c r="D681" s="2" t="s">
        <v>670</v>
      </c>
      <c r="E681" s="15">
        <v>128370</v>
      </c>
      <c r="F681" s="59">
        <v>42802</v>
      </c>
      <c r="G681" s="15">
        <f t="shared" si="21"/>
        <v>128370</v>
      </c>
      <c r="H681" s="15">
        <f t="shared" si="22"/>
        <v>0</v>
      </c>
      <c r="I681" s="19"/>
    </row>
    <row r="682" spans="1:9" ht="15.75" x14ac:dyDescent="0.25">
      <c r="A682" s="51">
        <v>42800</v>
      </c>
      <c r="B682" s="52" t="s">
        <v>8467</v>
      </c>
      <c r="C682" s="18">
        <v>103460</v>
      </c>
      <c r="D682" s="2" t="s">
        <v>176</v>
      </c>
      <c r="E682" s="15">
        <v>4432.8</v>
      </c>
      <c r="F682" s="59">
        <v>42800</v>
      </c>
      <c r="G682" s="15">
        <f t="shared" si="21"/>
        <v>4432.8</v>
      </c>
      <c r="H682" s="15">
        <f t="shared" si="22"/>
        <v>0</v>
      </c>
      <c r="I682" s="19"/>
    </row>
    <row r="683" spans="1:9" ht="15.75" x14ac:dyDescent="0.25">
      <c r="A683" s="51">
        <v>42800</v>
      </c>
      <c r="B683" s="52" t="s">
        <v>8468</v>
      </c>
      <c r="C683" s="18">
        <v>103461</v>
      </c>
      <c r="D683" s="2" t="s">
        <v>670</v>
      </c>
      <c r="E683" s="15">
        <v>68014.5</v>
      </c>
      <c r="F683" s="59">
        <v>42802</v>
      </c>
      <c r="G683" s="15">
        <f t="shared" si="21"/>
        <v>68014.5</v>
      </c>
      <c r="H683" s="15">
        <f t="shared" si="22"/>
        <v>0</v>
      </c>
      <c r="I683" s="19"/>
    </row>
    <row r="684" spans="1:9" ht="15.75" x14ac:dyDescent="0.25">
      <c r="A684" s="51">
        <v>42800</v>
      </c>
      <c r="B684" s="52" t="s">
        <v>8469</v>
      </c>
      <c r="C684" s="18">
        <v>103462</v>
      </c>
      <c r="D684" s="2" t="s">
        <v>220</v>
      </c>
      <c r="E684" s="15">
        <v>2060.4</v>
      </c>
      <c r="F684" s="59">
        <v>42800</v>
      </c>
      <c r="G684" s="15">
        <f t="shared" si="21"/>
        <v>2060.4</v>
      </c>
      <c r="H684" s="15">
        <f t="shared" si="22"/>
        <v>0</v>
      </c>
      <c r="I684" s="19"/>
    </row>
    <row r="685" spans="1:9" ht="15.75" x14ac:dyDescent="0.25">
      <c r="A685" s="51">
        <v>42801</v>
      </c>
      <c r="B685" s="52" t="s">
        <v>8470</v>
      </c>
      <c r="C685" s="18">
        <v>103463</v>
      </c>
      <c r="D685" s="2" t="s">
        <v>231</v>
      </c>
      <c r="E685" s="15">
        <v>9526.2000000000007</v>
      </c>
      <c r="F685" s="59">
        <v>42802</v>
      </c>
      <c r="G685" s="15">
        <f t="shared" si="21"/>
        <v>9526.2000000000007</v>
      </c>
      <c r="H685" s="15">
        <f t="shared" si="22"/>
        <v>0</v>
      </c>
      <c r="I685" s="19"/>
    </row>
    <row r="686" spans="1:9" ht="15.75" x14ac:dyDescent="0.25">
      <c r="A686" s="51">
        <v>42801</v>
      </c>
      <c r="B686" s="52" t="s">
        <v>8471</v>
      </c>
      <c r="C686" s="18">
        <v>103464</v>
      </c>
      <c r="D686" s="2" t="s">
        <v>17</v>
      </c>
      <c r="E686" s="15">
        <v>2070</v>
      </c>
      <c r="F686" s="59">
        <v>42801</v>
      </c>
      <c r="G686" s="15">
        <f t="shared" si="21"/>
        <v>2070</v>
      </c>
      <c r="H686" s="15">
        <f t="shared" si="22"/>
        <v>0</v>
      </c>
      <c r="I686" s="19"/>
    </row>
    <row r="687" spans="1:9" ht="15.75" x14ac:dyDescent="0.25">
      <c r="A687" s="51">
        <v>42801</v>
      </c>
      <c r="B687" s="52" t="s">
        <v>8472</v>
      </c>
      <c r="C687" s="18">
        <v>103465</v>
      </c>
      <c r="D687" s="2" t="s">
        <v>231</v>
      </c>
      <c r="E687" s="15">
        <v>36145.9</v>
      </c>
      <c r="F687" s="64" t="s">
        <v>8131</v>
      </c>
      <c r="G687" s="20">
        <f>27000+9145.9</f>
        <v>36145.9</v>
      </c>
      <c r="H687" s="20">
        <f t="shared" si="22"/>
        <v>0</v>
      </c>
      <c r="I687" s="19"/>
    </row>
    <row r="688" spans="1:9" ht="15.75" x14ac:dyDescent="0.25">
      <c r="A688" s="51">
        <v>42801</v>
      </c>
      <c r="B688" s="52" t="s">
        <v>8473</v>
      </c>
      <c r="C688" s="18">
        <v>103466</v>
      </c>
      <c r="D688" s="2" t="s">
        <v>55</v>
      </c>
      <c r="E688" s="15">
        <v>7163.2</v>
      </c>
      <c r="F688" s="59">
        <v>42801</v>
      </c>
      <c r="G688" s="15">
        <f t="shared" si="21"/>
        <v>7163.2</v>
      </c>
      <c r="H688" s="15">
        <f t="shared" si="22"/>
        <v>0</v>
      </c>
      <c r="I688" s="19"/>
    </row>
    <row r="689" spans="1:9" ht="15.75" x14ac:dyDescent="0.25">
      <c r="A689" s="51">
        <v>42801</v>
      </c>
      <c r="B689" s="52" t="s">
        <v>8474</v>
      </c>
      <c r="C689" s="18">
        <v>103467</v>
      </c>
      <c r="D689" s="13" t="s">
        <v>47</v>
      </c>
      <c r="E689" s="14">
        <v>0</v>
      </c>
      <c r="F689" s="102" t="s">
        <v>95</v>
      </c>
      <c r="G689" s="14">
        <f t="shared" si="21"/>
        <v>0</v>
      </c>
      <c r="H689" s="14">
        <f t="shared" si="22"/>
        <v>0</v>
      </c>
      <c r="I689" s="19"/>
    </row>
    <row r="690" spans="1:9" ht="15.75" x14ac:dyDescent="0.25">
      <c r="A690" s="51">
        <v>42801</v>
      </c>
      <c r="B690" s="52" t="s">
        <v>8475</v>
      </c>
      <c r="C690" s="18">
        <v>103468</v>
      </c>
      <c r="D690" s="2" t="s">
        <v>47</v>
      </c>
      <c r="E690" s="15">
        <v>4003.6</v>
      </c>
      <c r="F690" s="59">
        <v>42801</v>
      </c>
      <c r="G690" s="15">
        <f t="shared" si="21"/>
        <v>4003.6</v>
      </c>
      <c r="H690" s="15">
        <f t="shared" si="22"/>
        <v>0</v>
      </c>
      <c r="I690" s="19"/>
    </row>
    <row r="691" spans="1:9" ht="15.75" x14ac:dyDescent="0.25">
      <c r="A691" s="51">
        <v>42801</v>
      </c>
      <c r="B691" s="52" t="s">
        <v>8476</v>
      </c>
      <c r="C691" s="18">
        <v>103469</v>
      </c>
      <c r="D691" s="2" t="s">
        <v>40</v>
      </c>
      <c r="E691" s="15">
        <v>6754.9</v>
      </c>
      <c r="F691" s="59">
        <v>42801</v>
      </c>
      <c r="G691" s="15">
        <f t="shared" si="21"/>
        <v>6754.9</v>
      </c>
      <c r="H691" s="15">
        <f t="shared" si="22"/>
        <v>0</v>
      </c>
      <c r="I691" s="19"/>
    </row>
    <row r="692" spans="1:9" ht="15.75" x14ac:dyDescent="0.25">
      <c r="A692" s="51">
        <v>42801</v>
      </c>
      <c r="B692" s="52" t="s">
        <v>8477</v>
      </c>
      <c r="C692" s="18">
        <v>103470</v>
      </c>
      <c r="D692" s="2" t="s">
        <v>69</v>
      </c>
      <c r="E692" s="15">
        <v>6624.8</v>
      </c>
      <c r="F692" s="59">
        <v>42801</v>
      </c>
      <c r="G692" s="15">
        <f t="shared" si="21"/>
        <v>6624.8</v>
      </c>
      <c r="H692" s="15">
        <f t="shared" si="22"/>
        <v>0</v>
      </c>
      <c r="I692" s="19"/>
    </row>
    <row r="693" spans="1:9" ht="15.75" x14ac:dyDescent="0.25">
      <c r="A693" s="51">
        <v>42801</v>
      </c>
      <c r="B693" s="52" t="s">
        <v>8478</v>
      </c>
      <c r="C693" s="18">
        <v>103471</v>
      </c>
      <c r="D693" s="2" t="s">
        <v>69</v>
      </c>
      <c r="E693" s="15">
        <v>1593.8</v>
      </c>
      <c r="F693" s="59">
        <v>42801</v>
      </c>
      <c r="G693" s="15">
        <f t="shared" si="21"/>
        <v>1593.8</v>
      </c>
      <c r="H693" s="15">
        <f t="shared" si="22"/>
        <v>0</v>
      </c>
      <c r="I693" s="19"/>
    </row>
    <row r="694" spans="1:9" ht="15.75" x14ac:dyDescent="0.25">
      <c r="A694" s="51">
        <v>42801</v>
      </c>
      <c r="B694" s="52" t="s">
        <v>8479</v>
      </c>
      <c r="C694" s="18">
        <v>103472</v>
      </c>
      <c r="D694" s="2" t="s">
        <v>428</v>
      </c>
      <c r="E694" s="15">
        <v>2855.2</v>
      </c>
      <c r="F694" s="59">
        <v>42804</v>
      </c>
      <c r="G694" s="15">
        <f t="shared" si="21"/>
        <v>2855.2</v>
      </c>
      <c r="H694" s="15">
        <f t="shared" si="22"/>
        <v>0</v>
      </c>
      <c r="I694" s="19"/>
    </row>
    <row r="695" spans="1:9" ht="15.75" x14ac:dyDescent="0.25">
      <c r="A695" s="51">
        <v>42801</v>
      </c>
      <c r="B695" s="52" t="s">
        <v>8480</v>
      </c>
      <c r="C695" s="18">
        <v>103473</v>
      </c>
      <c r="D695" s="2" t="s">
        <v>40</v>
      </c>
      <c r="E695" s="15">
        <v>134.4</v>
      </c>
      <c r="F695" s="59">
        <v>42801</v>
      </c>
      <c r="G695" s="15">
        <f t="shared" si="21"/>
        <v>134.4</v>
      </c>
      <c r="H695" s="15">
        <f t="shared" si="22"/>
        <v>0</v>
      </c>
      <c r="I695" s="19"/>
    </row>
    <row r="696" spans="1:9" ht="15.75" x14ac:dyDescent="0.25">
      <c r="A696" s="51">
        <v>42801</v>
      </c>
      <c r="B696" s="52" t="s">
        <v>8481</v>
      </c>
      <c r="C696" s="18">
        <v>103474</v>
      </c>
      <c r="D696" s="2" t="s">
        <v>157</v>
      </c>
      <c r="E696" s="15">
        <v>31601.3</v>
      </c>
      <c r="F696" s="59">
        <v>42801</v>
      </c>
      <c r="G696" s="15">
        <f t="shared" si="21"/>
        <v>31601.3</v>
      </c>
      <c r="H696" s="15">
        <f t="shared" si="22"/>
        <v>0</v>
      </c>
      <c r="I696" s="19"/>
    </row>
    <row r="697" spans="1:9" ht="15.75" x14ac:dyDescent="0.25">
      <c r="A697" s="51">
        <v>42801</v>
      </c>
      <c r="B697" s="52" t="s">
        <v>8482</v>
      </c>
      <c r="C697" s="18">
        <v>103475</v>
      </c>
      <c r="D697" s="2" t="s">
        <v>236</v>
      </c>
      <c r="E697" s="15">
        <v>40311.07</v>
      </c>
      <c r="F697" s="59">
        <v>42807</v>
      </c>
      <c r="G697" s="15">
        <f t="shared" si="21"/>
        <v>40311.07</v>
      </c>
      <c r="H697" s="15">
        <f t="shared" si="22"/>
        <v>0</v>
      </c>
      <c r="I697" s="19"/>
    </row>
    <row r="698" spans="1:9" ht="15.75" x14ac:dyDescent="0.25">
      <c r="A698" s="51">
        <v>42801</v>
      </c>
      <c r="B698" s="52" t="s">
        <v>8483</v>
      </c>
      <c r="C698" s="18">
        <v>103476</v>
      </c>
      <c r="D698" s="2" t="s">
        <v>386</v>
      </c>
      <c r="E698" s="15">
        <v>1491</v>
      </c>
      <c r="F698" s="59">
        <v>42801</v>
      </c>
      <c r="G698" s="15">
        <f t="shared" si="21"/>
        <v>1491</v>
      </c>
      <c r="H698" s="15">
        <f t="shared" si="22"/>
        <v>0</v>
      </c>
      <c r="I698" s="19"/>
    </row>
    <row r="699" spans="1:9" ht="15.75" x14ac:dyDescent="0.25">
      <c r="A699" s="51">
        <v>42801</v>
      </c>
      <c r="B699" s="52" t="s">
        <v>8484</v>
      </c>
      <c r="C699" s="18">
        <v>103477</v>
      </c>
      <c r="D699" s="2" t="s">
        <v>26</v>
      </c>
      <c r="E699" s="15">
        <v>12622</v>
      </c>
      <c r="F699" s="59">
        <v>42801</v>
      </c>
      <c r="G699" s="15">
        <f t="shared" si="21"/>
        <v>12622</v>
      </c>
      <c r="H699" s="15">
        <f t="shared" si="22"/>
        <v>0</v>
      </c>
      <c r="I699" s="19"/>
    </row>
    <row r="700" spans="1:9" ht="15.75" x14ac:dyDescent="0.25">
      <c r="A700" s="51">
        <v>42801</v>
      </c>
      <c r="B700" s="52" t="s">
        <v>8485</v>
      </c>
      <c r="C700" s="18">
        <v>103478</v>
      </c>
      <c r="D700" s="2" t="s">
        <v>21</v>
      </c>
      <c r="E700" s="15">
        <v>43163.4</v>
      </c>
      <c r="F700" s="59">
        <v>42815</v>
      </c>
      <c r="G700" s="15">
        <f t="shared" si="21"/>
        <v>43163.4</v>
      </c>
      <c r="H700" s="15">
        <f t="shared" si="22"/>
        <v>0</v>
      </c>
      <c r="I700" s="19"/>
    </row>
    <row r="701" spans="1:9" ht="15.75" x14ac:dyDescent="0.25">
      <c r="A701" s="51">
        <v>42801</v>
      </c>
      <c r="B701" s="52" t="s">
        <v>8486</v>
      </c>
      <c r="C701" s="18">
        <v>103479</v>
      </c>
      <c r="D701" s="2" t="s">
        <v>71</v>
      </c>
      <c r="E701" s="15">
        <v>1848</v>
      </c>
      <c r="F701" s="59">
        <v>42801</v>
      </c>
      <c r="G701" s="15">
        <f t="shared" si="21"/>
        <v>1848</v>
      </c>
      <c r="H701" s="15">
        <f t="shared" si="22"/>
        <v>0</v>
      </c>
      <c r="I701" s="19"/>
    </row>
    <row r="702" spans="1:9" ht="15.75" x14ac:dyDescent="0.25">
      <c r="A702" s="51">
        <v>42801</v>
      </c>
      <c r="B702" s="52" t="s">
        <v>8487</v>
      </c>
      <c r="C702" s="18">
        <v>103480</v>
      </c>
      <c r="D702" s="2" t="s">
        <v>38</v>
      </c>
      <c r="E702" s="15">
        <v>3124.4</v>
      </c>
      <c r="F702" s="59">
        <v>42804</v>
      </c>
      <c r="G702" s="15">
        <f t="shared" si="21"/>
        <v>3124.4</v>
      </c>
      <c r="H702" s="15">
        <f t="shared" si="22"/>
        <v>0</v>
      </c>
      <c r="I702" s="19"/>
    </row>
    <row r="703" spans="1:9" ht="15.75" x14ac:dyDescent="0.25">
      <c r="A703" s="51">
        <v>42801</v>
      </c>
      <c r="B703" s="52" t="s">
        <v>8488</v>
      </c>
      <c r="C703" s="18">
        <v>103481</v>
      </c>
      <c r="D703" s="2" t="s">
        <v>250</v>
      </c>
      <c r="E703" s="15">
        <v>4698.8</v>
      </c>
      <c r="F703" s="59">
        <v>42802</v>
      </c>
      <c r="G703" s="15">
        <f t="shared" si="21"/>
        <v>4698.8</v>
      </c>
      <c r="H703" s="15">
        <f t="shared" si="22"/>
        <v>0</v>
      </c>
      <c r="I703" s="19"/>
    </row>
    <row r="704" spans="1:9" ht="15.75" x14ac:dyDescent="0.25">
      <c r="A704" s="51">
        <v>42801</v>
      </c>
      <c r="B704" s="52" t="s">
        <v>8489</v>
      </c>
      <c r="C704" s="18">
        <v>103482</v>
      </c>
      <c r="D704" s="2" t="s">
        <v>49</v>
      </c>
      <c r="E704" s="15">
        <v>9892.7999999999993</v>
      </c>
      <c r="F704" s="59">
        <v>42802</v>
      </c>
      <c r="G704" s="15">
        <f t="shared" si="21"/>
        <v>9892.7999999999993</v>
      </c>
      <c r="H704" s="15">
        <f t="shared" si="22"/>
        <v>0</v>
      </c>
      <c r="I704" s="19"/>
    </row>
    <row r="705" spans="1:9" ht="15.75" x14ac:dyDescent="0.25">
      <c r="A705" s="51">
        <v>42801</v>
      </c>
      <c r="B705" s="52" t="s">
        <v>8490</v>
      </c>
      <c r="C705" s="18">
        <v>103483</v>
      </c>
      <c r="D705" s="2" t="s">
        <v>43</v>
      </c>
      <c r="E705" s="15">
        <v>4539.3999999999996</v>
      </c>
      <c r="F705" s="59">
        <v>42803</v>
      </c>
      <c r="G705" s="15">
        <f t="shared" si="21"/>
        <v>4539.3999999999996</v>
      </c>
      <c r="H705" s="15">
        <f t="shared" si="22"/>
        <v>0</v>
      </c>
      <c r="I705" s="19"/>
    </row>
    <row r="706" spans="1:9" ht="15.75" x14ac:dyDescent="0.25">
      <c r="A706" s="51">
        <v>42801</v>
      </c>
      <c r="B706" s="52" t="s">
        <v>8491</v>
      </c>
      <c r="C706" s="18">
        <v>103484</v>
      </c>
      <c r="D706" s="2" t="s">
        <v>253</v>
      </c>
      <c r="E706" s="15">
        <v>6782.2</v>
      </c>
      <c r="F706" s="59">
        <v>42803</v>
      </c>
      <c r="G706" s="15">
        <f t="shared" si="21"/>
        <v>6782.2</v>
      </c>
      <c r="H706" s="15">
        <f t="shared" si="22"/>
        <v>0</v>
      </c>
      <c r="I706" s="19"/>
    </row>
    <row r="707" spans="1:9" ht="15.75" x14ac:dyDescent="0.25">
      <c r="A707" s="51">
        <v>42801</v>
      </c>
      <c r="B707" s="52" t="s">
        <v>8492</v>
      </c>
      <c r="C707" s="18">
        <v>103485</v>
      </c>
      <c r="D707" s="2" t="s">
        <v>35</v>
      </c>
      <c r="E707" s="15">
        <v>9103</v>
      </c>
      <c r="F707" s="59">
        <v>42803</v>
      </c>
      <c r="G707" s="15">
        <f t="shared" si="21"/>
        <v>9103</v>
      </c>
      <c r="H707" s="15">
        <f t="shared" si="22"/>
        <v>0</v>
      </c>
      <c r="I707" s="19"/>
    </row>
    <row r="708" spans="1:9" ht="15.75" x14ac:dyDescent="0.25">
      <c r="A708" s="51">
        <v>42801</v>
      </c>
      <c r="B708" s="52" t="s">
        <v>8493</v>
      </c>
      <c r="C708" s="18">
        <v>103486</v>
      </c>
      <c r="D708" s="2" t="s">
        <v>32</v>
      </c>
      <c r="E708" s="15">
        <v>6044.4</v>
      </c>
      <c r="F708" s="59">
        <v>42810</v>
      </c>
      <c r="G708" s="15">
        <f t="shared" ref="G708:G771" si="23">E708</f>
        <v>6044.4</v>
      </c>
      <c r="H708" s="15">
        <f t="shared" ref="H708:H771" si="24">E708-G708</f>
        <v>0</v>
      </c>
      <c r="I708" s="19"/>
    </row>
    <row r="709" spans="1:9" ht="15.75" x14ac:dyDescent="0.25">
      <c r="A709" s="51">
        <v>42801</v>
      </c>
      <c r="B709" s="52" t="s">
        <v>8494</v>
      </c>
      <c r="C709" s="18">
        <v>103487</v>
      </c>
      <c r="D709" s="2" t="s">
        <v>51</v>
      </c>
      <c r="E709" s="15">
        <v>3168</v>
      </c>
      <c r="F709" s="59">
        <v>42803</v>
      </c>
      <c r="G709" s="15">
        <f t="shared" si="23"/>
        <v>3168</v>
      </c>
      <c r="H709" s="15">
        <f t="shared" si="24"/>
        <v>0</v>
      </c>
      <c r="I709" s="19"/>
    </row>
    <row r="710" spans="1:9" ht="15.75" x14ac:dyDescent="0.25">
      <c r="A710" s="51">
        <v>42801</v>
      </c>
      <c r="B710" s="52" t="s">
        <v>8495</v>
      </c>
      <c r="C710" s="18">
        <v>103488</v>
      </c>
      <c r="D710" s="2" t="s">
        <v>268</v>
      </c>
      <c r="E710" s="15">
        <v>15145.2</v>
      </c>
      <c r="F710" s="59">
        <v>42802</v>
      </c>
      <c r="G710" s="15">
        <f t="shared" si="23"/>
        <v>15145.2</v>
      </c>
      <c r="H710" s="15">
        <f t="shared" si="24"/>
        <v>0</v>
      </c>
      <c r="I710" s="19"/>
    </row>
    <row r="711" spans="1:9" ht="15.75" x14ac:dyDescent="0.25">
      <c r="A711" s="51">
        <v>42801</v>
      </c>
      <c r="B711" s="52" t="s">
        <v>8496</v>
      </c>
      <c r="C711" s="18">
        <v>103489</v>
      </c>
      <c r="D711" s="2" t="s">
        <v>432</v>
      </c>
      <c r="E711" s="15">
        <v>15098.4</v>
      </c>
      <c r="F711" s="59">
        <v>42804</v>
      </c>
      <c r="G711" s="15">
        <f t="shared" si="23"/>
        <v>15098.4</v>
      </c>
      <c r="H711" s="15">
        <f t="shared" si="24"/>
        <v>0</v>
      </c>
      <c r="I711" s="19"/>
    </row>
    <row r="712" spans="1:9" ht="15.75" x14ac:dyDescent="0.25">
      <c r="A712" s="51">
        <v>42801</v>
      </c>
      <c r="B712" s="52" t="s">
        <v>8497</v>
      </c>
      <c r="C712" s="18">
        <v>103490</v>
      </c>
      <c r="D712" s="2" t="s">
        <v>442</v>
      </c>
      <c r="E712" s="15">
        <v>10080</v>
      </c>
      <c r="F712" s="59">
        <v>42804</v>
      </c>
      <c r="G712" s="15">
        <f t="shared" si="23"/>
        <v>10080</v>
      </c>
      <c r="H712" s="15">
        <f t="shared" si="24"/>
        <v>0</v>
      </c>
      <c r="I712" s="19"/>
    </row>
    <row r="713" spans="1:9" ht="15.75" x14ac:dyDescent="0.25">
      <c r="A713" s="51">
        <v>42801</v>
      </c>
      <c r="B713" s="52" t="s">
        <v>8498</v>
      </c>
      <c r="C713" s="18">
        <v>103491</v>
      </c>
      <c r="D713" s="2" t="s">
        <v>272</v>
      </c>
      <c r="E713" s="15">
        <v>3020.4</v>
      </c>
      <c r="F713" s="59">
        <v>42802</v>
      </c>
      <c r="G713" s="15">
        <f t="shared" si="23"/>
        <v>3020.4</v>
      </c>
      <c r="H713" s="15">
        <f t="shared" si="24"/>
        <v>0</v>
      </c>
      <c r="I713" s="19"/>
    </row>
    <row r="714" spans="1:9" ht="15.75" x14ac:dyDescent="0.25">
      <c r="A714" s="51">
        <v>42801</v>
      </c>
      <c r="B714" s="52" t="s">
        <v>8499</v>
      </c>
      <c r="C714" s="18">
        <v>103492</v>
      </c>
      <c r="D714" s="2" t="s">
        <v>270</v>
      </c>
      <c r="E714" s="15">
        <v>4913.2</v>
      </c>
      <c r="F714" s="59">
        <v>42804</v>
      </c>
      <c r="G714" s="15">
        <f t="shared" si="23"/>
        <v>4913.2</v>
      </c>
      <c r="H714" s="15">
        <f t="shared" si="24"/>
        <v>0</v>
      </c>
      <c r="I714" s="19"/>
    </row>
    <row r="715" spans="1:9" ht="15.75" x14ac:dyDescent="0.25">
      <c r="A715" s="51">
        <v>42801</v>
      </c>
      <c r="B715" s="52" t="s">
        <v>8500</v>
      </c>
      <c r="C715" s="18">
        <v>103493</v>
      </c>
      <c r="D715" s="2" t="s">
        <v>1666</v>
      </c>
      <c r="E715" s="15">
        <v>7897.4</v>
      </c>
      <c r="F715" s="59">
        <v>42804</v>
      </c>
      <c r="G715" s="15">
        <f t="shared" si="23"/>
        <v>7897.4</v>
      </c>
      <c r="H715" s="15">
        <f t="shared" si="24"/>
        <v>0</v>
      </c>
      <c r="I715" s="19"/>
    </row>
    <row r="716" spans="1:9" ht="15.75" x14ac:dyDescent="0.25">
      <c r="A716" s="51">
        <v>42801</v>
      </c>
      <c r="B716" s="52" t="s">
        <v>8501</v>
      </c>
      <c r="C716" s="18">
        <v>103494</v>
      </c>
      <c r="D716" s="2" t="s">
        <v>435</v>
      </c>
      <c r="E716" s="15">
        <v>808.3</v>
      </c>
      <c r="F716" s="59">
        <v>42802</v>
      </c>
      <c r="G716" s="15">
        <f t="shared" si="23"/>
        <v>808.3</v>
      </c>
      <c r="H716" s="15">
        <f t="shared" si="24"/>
        <v>0</v>
      </c>
      <c r="I716" s="19"/>
    </row>
    <row r="717" spans="1:9" ht="15.75" x14ac:dyDescent="0.25">
      <c r="A717" s="51">
        <v>42801</v>
      </c>
      <c r="B717" s="52" t="s">
        <v>8502</v>
      </c>
      <c r="C717" s="18">
        <v>103495</v>
      </c>
      <c r="D717" s="2" t="s">
        <v>125</v>
      </c>
      <c r="E717" s="15">
        <v>7105</v>
      </c>
      <c r="F717" s="59">
        <v>42801</v>
      </c>
      <c r="G717" s="15">
        <f t="shared" si="23"/>
        <v>7105</v>
      </c>
      <c r="H717" s="15">
        <f t="shared" si="24"/>
        <v>0</v>
      </c>
      <c r="I717" s="19"/>
    </row>
    <row r="718" spans="1:9" ht="15.75" x14ac:dyDescent="0.25">
      <c r="A718" s="51">
        <v>42801</v>
      </c>
      <c r="B718" s="52" t="s">
        <v>8503</v>
      </c>
      <c r="C718" s="18">
        <v>103496</v>
      </c>
      <c r="D718" s="2" t="s">
        <v>149</v>
      </c>
      <c r="E718" s="15">
        <v>13356.3</v>
      </c>
      <c r="F718" s="59">
        <v>42801</v>
      </c>
      <c r="G718" s="15">
        <f t="shared" si="23"/>
        <v>13356.3</v>
      </c>
      <c r="H718" s="15">
        <f t="shared" si="24"/>
        <v>0</v>
      </c>
      <c r="I718" s="19"/>
    </row>
    <row r="719" spans="1:9" ht="15.75" x14ac:dyDescent="0.25">
      <c r="A719" s="51">
        <v>42801</v>
      </c>
      <c r="B719" s="52" t="s">
        <v>8504</v>
      </c>
      <c r="C719" s="18">
        <v>103497</v>
      </c>
      <c r="D719" s="2" t="s">
        <v>321</v>
      </c>
      <c r="E719" s="15">
        <v>951.2</v>
      </c>
      <c r="F719" s="59">
        <v>42801</v>
      </c>
      <c r="G719" s="15">
        <f t="shared" si="23"/>
        <v>951.2</v>
      </c>
      <c r="H719" s="15">
        <f t="shared" si="24"/>
        <v>0</v>
      </c>
      <c r="I719" s="19"/>
    </row>
    <row r="720" spans="1:9" ht="15.75" x14ac:dyDescent="0.25">
      <c r="A720" s="51">
        <v>42801</v>
      </c>
      <c r="B720" s="52" t="s">
        <v>8505</v>
      </c>
      <c r="C720" s="18">
        <v>103498</v>
      </c>
      <c r="D720" s="2" t="s">
        <v>3425</v>
      </c>
      <c r="E720" s="15">
        <v>972.8</v>
      </c>
      <c r="F720" s="59">
        <v>42801</v>
      </c>
      <c r="G720" s="15">
        <f t="shared" si="23"/>
        <v>972.8</v>
      </c>
      <c r="H720" s="15">
        <f t="shared" si="24"/>
        <v>0</v>
      </c>
      <c r="I720" s="19"/>
    </row>
    <row r="721" spans="1:9" ht="15.75" x14ac:dyDescent="0.25">
      <c r="A721" s="51">
        <v>42801</v>
      </c>
      <c r="B721" s="52" t="s">
        <v>8506</v>
      </c>
      <c r="C721" s="18">
        <v>103499</v>
      </c>
      <c r="D721" s="2" t="s">
        <v>785</v>
      </c>
      <c r="E721" s="15">
        <v>16558.599999999999</v>
      </c>
      <c r="F721" s="59">
        <v>42801</v>
      </c>
      <c r="G721" s="15">
        <f t="shared" si="23"/>
        <v>16558.599999999999</v>
      </c>
      <c r="H721" s="15">
        <f t="shared" si="24"/>
        <v>0</v>
      </c>
      <c r="I721" s="19"/>
    </row>
    <row r="722" spans="1:9" ht="15.75" x14ac:dyDescent="0.25">
      <c r="A722" s="51">
        <v>42801</v>
      </c>
      <c r="B722" s="52" t="s">
        <v>8507</v>
      </c>
      <c r="C722" s="18">
        <v>103500</v>
      </c>
      <c r="D722" s="2" t="s">
        <v>785</v>
      </c>
      <c r="E722" s="15">
        <v>5828.8</v>
      </c>
      <c r="F722" s="59">
        <v>42801</v>
      </c>
      <c r="G722" s="15">
        <f t="shared" si="23"/>
        <v>5828.8</v>
      </c>
      <c r="H722" s="15">
        <f t="shared" si="24"/>
        <v>0</v>
      </c>
      <c r="I722" s="19"/>
    </row>
    <row r="723" spans="1:9" ht="15.75" x14ac:dyDescent="0.25">
      <c r="A723" s="51">
        <v>42801</v>
      </c>
      <c r="B723" s="52" t="s">
        <v>8508</v>
      </c>
      <c r="C723" s="18">
        <v>103501</v>
      </c>
      <c r="D723" s="2" t="s">
        <v>79</v>
      </c>
      <c r="E723" s="15">
        <v>3296</v>
      </c>
      <c r="F723" s="59">
        <v>42801</v>
      </c>
      <c r="G723" s="15">
        <f t="shared" si="23"/>
        <v>3296</v>
      </c>
      <c r="H723" s="15">
        <f t="shared" si="24"/>
        <v>0</v>
      </c>
      <c r="I723" s="19"/>
    </row>
    <row r="724" spans="1:9" ht="15.75" x14ac:dyDescent="0.25">
      <c r="A724" s="51">
        <v>42801</v>
      </c>
      <c r="B724" s="52" t="s">
        <v>8509</v>
      </c>
      <c r="C724" s="18">
        <v>103502</v>
      </c>
      <c r="D724" s="2" t="s">
        <v>1160</v>
      </c>
      <c r="E724" s="15">
        <v>5688</v>
      </c>
      <c r="F724" s="59">
        <v>42801</v>
      </c>
      <c r="G724" s="15">
        <f t="shared" si="23"/>
        <v>5688</v>
      </c>
      <c r="H724" s="15">
        <f t="shared" si="24"/>
        <v>0</v>
      </c>
      <c r="I724" s="19"/>
    </row>
    <row r="725" spans="1:9" ht="15.75" x14ac:dyDescent="0.25">
      <c r="A725" s="51">
        <v>42801</v>
      </c>
      <c r="B725" s="52" t="s">
        <v>8510</v>
      </c>
      <c r="C725" s="18">
        <v>103503</v>
      </c>
      <c r="D725" s="2" t="s">
        <v>838</v>
      </c>
      <c r="E725" s="15">
        <v>3151</v>
      </c>
      <c r="F725" s="59">
        <v>42801</v>
      </c>
      <c r="G725" s="15">
        <f t="shared" si="23"/>
        <v>3151</v>
      </c>
      <c r="H725" s="15">
        <f t="shared" si="24"/>
        <v>0</v>
      </c>
      <c r="I725" s="19"/>
    </row>
    <row r="726" spans="1:9" ht="15.75" x14ac:dyDescent="0.25">
      <c r="A726" s="51">
        <v>42801</v>
      </c>
      <c r="B726" s="52" t="s">
        <v>8511</v>
      </c>
      <c r="C726" s="18">
        <v>103504</v>
      </c>
      <c r="D726" s="2" t="s">
        <v>240</v>
      </c>
      <c r="E726" s="15">
        <v>15470.1</v>
      </c>
      <c r="F726" s="59">
        <v>42801</v>
      </c>
      <c r="G726" s="15">
        <f t="shared" si="23"/>
        <v>15470.1</v>
      </c>
      <c r="H726" s="15">
        <f t="shared" si="24"/>
        <v>0</v>
      </c>
      <c r="I726" s="19"/>
    </row>
    <row r="727" spans="1:9" ht="15.75" x14ac:dyDescent="0.25">
      <c r="A727" s="51">
        <v>42801</v>
      </c>
      <c r="B727" s="52" t="s">
        <v>8512</v>
      </c>
      <c r="C727" s="18">
        <v>103505</v>
      </c>
      <c r="D727" s="2" t="s">
        <v>470</v>
      </c>
      <c r="E727" s="15">
        <v>906.6</v>
      </c>
      <c r="F727" s="59">
        <v>42801</v>
      </c>
      <c r="G727" s="15">
        <f t="shared" si="23"/>
        <v>906.6</v>
      </c>
      <c r="H727" s="15">
        <f t="shared" si="24"/>
        <v>0</v>
      </c>
      <c r="I727" s="19"/>
    </row>
    <row r="728" spans="1:9" ht="15.75" x14ac:dyDescent="0.25">
      <c r="A728" s="51">
        <v>42801</v>
      </c>
      <c r="B728" s="52" t="s">
        <v>8513</v>
      </c>
      <c r="C728" s="18">
        <v>103506</v>
      </c>
      <c r="D728" s="2" t="s">
        <v>459</v>
      </c>
      <c r="E728" s="15">
        <v>2310</v>
      </c>
      <c r="F728" s="59">
        <v>42801</v>
      </c>
      <c r="G728" s="15">
        <f t="shared" si="23"/>
        <v>2310</v>
      </c>
      <c r="H728" s="15">
        <f t="shared" si="24"/>
        <v>0</v>
      </c>
      <c r="I728" s="19"/>
    </row>
    <row r="729" spans="1:9" ht="15.75" x14ac:dyDescent="0.25">
      <c r="A729" s="51">
        <v>42801</v>
      </c>
      <c r="B729" s="52" t="s">
        <v>8514</v>
      </c>
      <c r="C729" s="18">
        <v>103507</v>
      </c>
      <c r="D729" s="2" t="s">
        <v>101</v>
      </c>
      <c r="E729" s="15">
        <v>598</v>
      </c>
      <c r="F729" s="59">
        <v>42801</v>
      </c>
      <c r="G729" s="15">
        <f t="shared" si="23"/>
        <v>598</v>
      </c>
      <c r="H729" s="15">
        <f t="shared" si="24"/>
        <v>0</v>
      </c>
      <c r="I729" s="19"/>
    </row>
    <row r="730" spans="1:9" ht="15.75" x14ac:dyDescent="0.25">
      <c r="A730" s="51">
        <v>42801</v>
      </c>
      <c r="B730" s="52" t="s">
        <v>8515</v>
      </c>
      <c r="C730" s="18">
        <v>103508</v>
      </c>
      <c r="D730" s="2" t="s">
        <v>131</v>
      </c>
      <c r="E730" s="15">
        <v>3230</v>
      </c>
      <c r="F730" s="59">
        <v>42801</v>
      </c>
      <c r="G730" s="15">
        <f t="shared" si="23"/>
        <v>3230</v>
      </c>
      <c r="H730" s="15">
        <f t="shared" si="24"/>
        <v>0</v>
      </c>
      <c r="I730" s="19"/>
    </row>
    <row r="731" spans="1:9" ht="15.75" x14ac:dyDescent="0.25">
      <c r="A731" s="51">
        <v>42801</v>
      </c>
      <c r="B731" s="52" t="s">
        <v>8516</v>
      </c>
      <c r="C731" s="18">
        <v>103509</v>
      </c>
      <c r="D731" s="2" t="s">
        <v>99</v>
      </c>
      <c r="E731" s="15">
        <v>920</v>
      </c>
      <c r="F731" s="59">
        <v>42801</v>
      </c>
      <c r="G731" s="15">
        <f t="shared" si="23"/>
        <v>920</v>
      </c>
      <c r="H731" s="15">
        <f t="shared" si="24"/>
        <v>0</v>
      </c>
      <c r="I731" s="19"/>
    </row>
    <row r="732" spans="1:9" ht="15.75" x14ac:dyDescent="0.25">
      <c r="A732" s="51">
        <v>42801</v>
      </c>
      <c r="B732" s="52" t="s">
        <v>8517</v>
      </c>
      <c r="C732" s="18">
        <v>103510</v>
      </c>
      <c r="D732" s="2" t="s">
        <v>30</v>
      </c>
      <c r="E732" s="15">
        <v>1560</v>
      </c>
      <c r="F732" s="59">
        <v>42801</v>
      </c>
      <c r="G732" s="15">
        <f t="shared" si="23"/>
        <v>1560</v>
      </c>
      <c r="H732" s="15">
        <f t="shared" si="24"/>
        <v>0</v>
      </c>
      <c r="I732" s="19"/>
    </row>
    <row r="733" spans="1:9" ht="15.75" x14ac:dyDescent="0.25">
      <c r="A733" s="51">
        <v>42801</v>
      </c>
      <c r="B733" s="52" t="s">
        <v>8518</v>
      </c>
      <c r="C733" s="18">
        <v>103511</v>
      </c>
      <c r="D733" s="2" t="s">
        <v>281</v>
      </c>
      <c r="E733" s="15">
        <v>1499.2</v>
      </c>
      <c r="F733" s="59">
        <v>42801</v>
      </c>
      <c r="G733" s="15">
        <f t="shared" si="23"/>
        <v>1499.2</v>
      </c>
      <c r="H733" s="15">
        <f t="shared" si="24"/>
        <v>0</v>
      </c>
      <c r="I733" s="19"/>
    </row>
    <row r="734" spans="1:9" ht="15.75" x14ac:dyDescent="0.25">
      <c r="A734" s="51">
        <v>42801</v>
      </c>
      <c r="B734" s="52" t="s">
        <v>8519</v>
      </c>
      <c r="C734" s="18">
        <v>103512</v>
      </c>
      <c r="D734" s="2" t="s">
        <v>4367</v>
      </c>
      <c r="E734" s="15">
        <v>1533.4</v>
      </c>
      <c r="F734" s="59">
        <v>42801</v>
      </c>
      <c r="G734" s="15">
        <f t="shared" si="23"/>
        <v>1533.4</v>
      </c>
      <c r="H734" s="15">
        <f t="shared" si="24"/>
        <v>0</v>
      </c>
      <c r="I734" s="19"/>
    </row>
    <row r="735" spans="1:9" ht="15.75" x14ac:dyDescent="0.25">
      <c r="A735" s="51">
        <v>42801</v>
      </c>
      <c r="B735" s="52" t="s">
        <v>8520</v>
      </c>
      <c r="C735" s="18">
        <v>103513</v>
      </c>
      <c r="D735" s="2" t="s">
        <v>103</v>
      </c>
      <c r="E735" s="15">
        <v>46.8</v>
      </c>
      <c r="F735" s="59">
        <v>42801</v>
      </c>
      <c r="G735" s="15">
        <f t="shared" si="23"/>
        <v>46.8</v>
      </c>
      <c r="H735" s="15">
        <f t="shared" si="24"/>
        <v>0</v>
      </c>
      <c r="I735" s="19"/>
    </row>
    <row r="736" spans="1:9" ht="15.75" x14ac:dyDescent="0.25">
      <c r="A736" s="51">
        <v>42801</v>
      </c>
      <c r="B736" s="52" t="s">
        <v>8521</v>
      </c>
      <c r="C736" s="18">
        <v>103514</v>
      </c>
      <c r="D736" s="2" t="s">
        <v>1259</v>
      </c>
      <c r="E736" s="15">
        <v>1458.2</v>
      </c>
      <c r="F736" s="59">
        <v>42801</v>
      </c>
      <c r="G736" s="15">
        <f t="shared" si="23"/>
        <v>1458.2</v>
      </c>
      <c r="H736" s="15">
        <f t="shared" si="24"/>
        <v>0</v>
      </c>
      <c r="I736" s="19"/>
    </row>
    <row r="737" spans="1:9" ht="15.75" x14ac:dyDescent="0.25">
      <c r="A737" s="51">
        <v>42801</v>
      </c>
      <c r="B737" s="52" t="s">
        <v>8522</v>
      </c>
      <c r="C737" s="18">
        <v>103515</v>
      </c>
      <c r="D737" s="2" t="s">
        <v>133</v>
      </c>
      <c r="E737" s="15">
        <v>11211.8</v>
      </c>
      <c r="F737" s="59">
        <v>42810</v>
      </c>
      <c r="G737" s="15">
        <f t="shared" si="23"/>
        <v>11211.8</v>
      </c>
      <c r="H737" s="15">
        <f t="shared" si="24"/>
        <v>0</v>
      </c>
      <c r="I737" s="19"/>
    </row>
    <row r="738" spans="1:9" ht="15.75" x14ac:dyDescent="0.25">
      <c r="A738" s="51">
        <v>42801</v>
      </c>
      <c r="B738" s="52" t="s">
        <v>8523</v>
      </c>
      <c r="C738" s="18">
        <v>103516</v>
      </c>
      <c r="D738" s="2" t="s">
        <v>205</v>
      </c>
      <c r="E738" s="15">
        <v>4303</v>
      </c>
      <c r="F738" s="59">
        <v>42801</v>
      </c>
      <c r="G738" s="15">
        <f t="shared" si="23"/>
        <v>4303</v>
      </c>
      <c r="H738" s="15">
        <f t="shared" si="24"/>
        <v>0</v>
      </c>
      <c r="I738" s="19"/>
    </row>
    <row r="739" spans="1:9" ht="15.75" x14ac:dyDescent="0.25">
      <c r="A739" s="51">
        <v>42801</v>
      </c>
      <c r="B739" s="52" t="s">
        <v>8524</v>
      </c>
      <c r="C739" s="18">
        <v>103517</v>
      </c>
      <c r="D739" s="13" t="s">
        <v>182</v>
      </c>
      <c r="E739" s="14">
        <v>0</v>
      </c>
      <c r="F739" s="102" t="s">
        <v>95</v>
      </c>
      <c r="G739" s="14">
        <f t="shared" si="23"/>
        <v>0</v>
      </c>
      <c r="H739" s="14">
        <f t="shared" si="24"/>
        <v>0</v>
      </c>
      <c r="I739" s="19"/>
    </row>
    <row r="740" spans="1:9" ht="15.75" x14ac:dyDescent="0.25">
      <c r="A740" s="51">
        <v>42801</v>
      </c>
      <c r="B740" s="52" t="s">
        <v>8525</v>
      </c>
      <c r="C740" s="18">
        <v>103518</v>
      </c>
      <c r="D740" s="2" t="s">
        <v>1166</v>
      </c>
      <c r="E740" s="15">
        <v>980.2</v>
      </c>
      <c r="F740" s="59">
        <v>42801</v>
      </c>
      <c r="G740" s="15">
        <f t="shared" si="23"/>
        <v>980.2</v>
      </c>
      <c r="H740" s="15">
        <f t="shared" si="24"/>
        <v>0</v>
      </c>
      <c r="I740" s="19"/>
    </row>
    <row r="741" spans="1:9" ht="15.75" x14ac:dyDescent="0.25">
      <c r="A741" s="51">
        <v>42801</v>
      </c>
      <c r="B741" s="52" t="s">
        <v>8526</v>
      </c>
      <c r="C741" s="18">
        <v>103519</v>
      </c>
      <c r="D741" s="2" t="s">
        <v>193</v>
      </c>
      <c r="E741" s="15">
        <v>1881.4</v>
      </c>
      <c r="F741" s="59">
        <v>42801</v>
      </c>
      <c r="G741" s="15">
        <f t="shared" si="23"/>
        <v>1881.4</v>
      </c>
      <c r="H741" s="15">
        <f t="shared" si="24"/>
        <v>0</v>
      </c>
      <c r="I741" s="19"/>
    </row>
    <row r="742" spans="1:9" ht="15.75" x14ac:dyDescent="0.25">
      <c r="A742" s="51">
        <v>42801</v>
      </c>
      <c r="B742" s="52" t="s">
        <v>8527</v>
      </c>
      <c r="C742" s="18">
        <v>103520</v>
      </c>
      <c r="D742" s="2" t="s">
        <v>184</v>
      </c>
      <c r="E742" s="15">
        <v>748.8</v>
      </c>
      <c r="F742" s="59">
        <v>42801</v>
      </c>
      <c r="G742" s="15">
        <f t="shared" si="23"/>
        <v>748.8</v>
      </c>
      <c r="H742" s="15">
        <f t="shared" si="24"/>
        <v>0</v>
      </c>
      <c r="I742" s="19"/>
    </row>
    <row r="743" spans="1:9" ht="15.75" x14ac:dyDescent="0.25">
      <c r="A743" s="51">
        <v>42801</v>
      </c>
      <c r="B743" s="52" t="s">
        <v>8528</v>
      </c>
      <c r="C743" s="18">
        <v>103521</v>
      </c>
      <c r="D743" s="2" t="s">
        <v>53</v>
      </c>
      <c r="E743" s="15">
        <v>1417.5</v>
      </c>
      <c r="F743" s="59">
        <v>42801</v>
      </c>
      <c r="G743" s="15">
        <f t="shared" si="23"/>
        <v>1417.5</v>
      </c>
      <c r="H743" s="15">
        <f t="shared" si="24"/>
        <v>0</v>
      </c>
      <c r="I743" s="19"/>
    </row>
    <row r="744" spans="1:9" ht="15.75" x14ac:dyDescent="0.25">
      <c r="A744" s="51">
        <v>42801</v>
      </c>
      <c r="B744" s="52" t="s">
        <v>8529</v>
      </c>
      <c r="C744" s="18">
        <v>103522</v>
      </c>
      <c r="D744" s="2" t="s">
        <v>186</v>
      </c>
      <c r="E744" s="15">
        <v>3220</v>
      </c>
      <c r="F744" s="59">
        <v>42802</v>
      </c>
      <c r="G744" s="15">
        <f t="shared" si="23"/>
        <v>3220</v>
      </c>
      <c r="H744" s="15">
        <f t="shared" si="24"/>
        <v>0</v>
      </c>
      <c r="I744" s="19"/>
    </row>
    <row r="745" spans="1:9" ht="15.75" x14ac:dyDescent="0.25">
      <c r="A745" s="51">
        <v>42801</v>
      </c>
      <c r="B745" s="52" t="s">
        <v>8530</v>
      </c>
      <c r="C745" s="18">
        <v>103523</v>
      </c>
      <c r="D745" s="2" t="s">
        <v>57</v>
      </c>
      <c r="E745" s="15">
        <v>768.2</v>
      </c>
      <c r="F745" s="59">
        <v>42801</v>
      </c>
      <c r="G745" s="15">
        <f t="shared" si="23"/>
        <v>768.2</v>
      </c>
      <c r="H745" s="15">
        <f t="shared" si="24"/>
        <v>0</v>
      </c>
      <c r="I745" s="19"/>
    </row>
    <row r="746" spans="1:9" ht="15.75" x14ac:dyDescent="0.25">
      <c r="A746" s="51">
        <v>42801</v>
      </c>
      <c r="B746" s="52" t="s">
        <v>8531</v>
      </c>
      <c r="C746" s="18">
        <v>103524</v>
      </c>
      <c r="D746" s="2" t="s">
        <v>1870</v>
      </c>
      <c r="E746" s="15">
        <v>738.4</v>
      </c>
      <c r="F746" s="59">
        <v>42801</v>
      </c>
      <c r="G746" s="15">
        <f t="shared" si="23"/>
        <v>738.4</v>
      </c>
      <c r="H746" s="15">
        <f t="shared" si="24"/>
        <v>0</v>
      </c>
      <c r="I746" s="19"/>
    </row>
    <row r="747" spans="1:9" ht="15.75" x14ac:dyDescent="0.25">
      <c r="A747" s="51">
        <v>42801</v>
      </c>
      <c r="B747" s="52" t="s">
        <v>8532</v>
      </c>
      <c r="C747" s="18">
        <v>103525</v>
      </c>
      <c r="D747" s="13" t="s">
        <v>61</v>
      </c>
      <c r="E747" s="14">
        <v>0</v>
      </c>
      <c r="F747" s="102" t="s">
        <v>95</v>
      </c>
      <c r="G747" s="14">
        <f t="shared" si="23"/>
        <v>0</v>
      </c>
      <c r="H747" s="14">
        <f t="shared" si="24"/>
        <v>0</v>
      </c>
      <c r="I747" s="19"/>
    </row>
    <row r="748" spans="1:9" ht="15.75" x14ac:dyDescent="0.25">
      <c r="A748" s="51">
        <v>42801</v>
      </c>
      <c r="B748" s="52" t="s">
        <v>8533</v>
      </c>
      <c r="C748" s="18">
        <v>103526</v>
      </c>
      <c r="D748" s="2" t="s">
        <v>298</v>
      </c>
      <c r="E748" s="15">
        <v>3740.7</v>
      </c>
      <c r="F748" s="59">
        <v>42801</v>
      </c>
      <c r="G748" s="15">
        <f t="shared" si="23"/>
        <v>3740.7</v>
      </c>
      <c r="H748" s="15">
        <f t="shared" si="24"/>
        <v>0</v>
      </c>
      <c r="I748" s="19"/>
    </row>
    <row r="749" spans="1:9" ht="15.75" x14ac:dyDescent="0.25">
      <c r="A749" s="51">
        <v>42801</v>
      </c>
      <c r="B749" s="52" t="s">
        <v>8534</v>
      </c>
      <c r="C749" s="18">
        <v>103527</v>
      </c>
      <c r="D749" s="2" t="s">
        <v>182</v>
      </c>
      <c r="E749" s="15">
        <v>2313.8000000000002</v>
      </c>
      <c r="F749" s="59">
        <v>42801</v>
      </c>
      <c r="G749" s="15">
        <f t="shared" si="23"/>
        <v>2313.8000000000002</v>
      </c>
      <c r="H749" s="15">
        <f t="shared" si="24"/>
        <v>0</v>
      </c>
      <c r="I749" s="19"/>
    </row>
    <row r="750" spans="1:9" ht="15.75" x14ac:dyDescent="0.25">
      <c r="A750" s="51">
        <v>42801</v>
      </c>
      <c r="B750" s="52" t="s">
        <v>8535</v>
      </c>
      <c r="C750" s="18">
        <v>103528</v>
      </c>
      <c r="D750" s="2" t="s">
        <v>2986</v>
      </c>
      <c r="E750" s="15">
        <v>3264.2</v>
      </c>
      <c r="F750" s="64" t="s">
        <v>8147</v>
      </c>
      <c r="G750" s="20">
        <f>1200+2064.2</f>
        <v>3264.2</v>
      </c>
      <c r="H750" s="20">
        <f t="shared" si="24"/>
        <v>0</v>
      </c>
      <c r="I750" s="19"/>
    </row>
    <row r="751" spans="1:9" ht="15.75" x14ac:dyDescent="0.25">
      <c r="A751" s="51">
        <v>42801</v>
      </c>
      <c r="B751" s="52" t="s">
        <v>8536</v>
      </c>
      <c r="C751" s="18">
        <v>103529</v>
      </c>
      <c r="D751" s="2" t="s">
        <v>92</v>
      </c>
      <c r="E751" s="15">
        <v>2227.8000000000002</v>
      </c>
      <c r="F751" s="59">
        <v>42801</v>
      </c>
      <c r="G751" s="15">
        <f t="shared" si="23"/>
        <v>2227.8000000000002</v>
      </c>
      <c r="H751" s="15">
        <f t="shared" si="24"/>
        <v>0</v>
      </c>
      <c r="I751" s="19"/>
    </row>
    <row r="752" spans="1:9" ht="15.75" x14ac:dyDescent="0.25">
      <c r="A752" s="51">
        <v>42801</v>
      </c>
      <c r="B752" s="52" t="s">
        <v>8537</v>
      </c>
      <c r="C752" s="18">
        <v>103530</v>
      </c>
      <c r="D752" s="2" t="s">
        <v>309</v>
      </c>
      <c r="E752" s="15">
        <v>3344</v>
      </c>
      <c r="F752" s="59">
        <v>42801</v>
      </c>
      <c r="G752" s="15">
        <f t="shared" si="23"/>
        <v>3344</v>
      </c>
      <c r="H752" s="15">
        <f t="shared" si="24"/>
        <v>0</v>
      </c>
      <c r="I752" s="19"/>
    </row>
    <row r="753" spans="1:9" ht="15.75" x14ac:dyDescent="0.25">
      <c r="A753" s="51">
        <v>42801</v>
      </c>
      <c r="B753" s="52" t="s">
        <v>8538</v>
      </c>
      <c r="C753" s="18">
        <v>103531</v>
      </c>
      <c r="D753" s="2" t="s">
        <v>109</v>
      </c>
      <c r="E753" s="15">
        <v>5149.8999999999996</v>
      </c>
      <c r="F753" s="59">
        <v>42801</v>
      </c>
      <c r="G753" s="15">
        <f t="shared" si="23"/>
        <v>5149.8999999999996</v>
      </c>
      <c r="H753" s="15">
        <f t="shared" si="24"/>
        <v>0</v>
      </c>
      <c r="I753" s="19"/>
    </row>
    <row r="754" spans="1:9" ht="15.75" x14ac:dyDescent="0.25">
      <c r="A754" s="51">
        <v>42801</v>
      </c>
      <c r="B754" s="52" t="s">
        <v>8539</v>
      </c>
      <c r="C754" s="18">
        <v>103532</v>
      </c>
      <c r="D754" s="2" t="s">
        <v>293</v>
      </c>
      <c r="E754" s="15">
        <v>767.3</v>
      </c>
      <c r="F754" s="59">
        <v>42804</v>
      </c>
      <c r="G754" s="15">
        <f t="shared" si="23"/>
        <v>767.3</v>
      </c>
      <c r="H754" s="15">
        <f t="shared" si="24"/>
        <v>0</v>
      </c>
      <c r="I754" s="19"/>
    </row>
    <row r="755" spans="1:9" ht="15.75" x14ac:dyDescent="0.25">
      <c r="A755" s="51">
        <v>42801</v>
      </c>
      <c r="B755" s="52" t="s">
        <v>8540</v>
      </c>
      <c r="C755" s="18">
        <v>103533</v>
      </c>
      <c r="D755" s="2" t="s">
        <v>105</v>
      </c>
      <c r="E755" s="15">
        <v>715.2</v>
      </c>
      <c r="F755" s="59">
        <v>42801</v>
      </c>
      <c r="G755" s="15">
        <f t="shared" si="23"/>
        <v>715.2</v>
      </c>
      <c r="H755" s="15">
        <f t="shared" si="24"/>
        <v>0</v>
      </c>
      <c r="I755" s="19"/>
    </row>
    <row r="756" spans="1:9" ht="15.75" x14ac:dyDescent="0.25">
      <c r="A756" s="51">
        <v>42801</v>
      </c>
      <c r="B756" s="52" t="s">
        <v>8541</v>
      </c>
      <c r="C756" s="18">
        <v>103534</v>
      </c>
      <c r="D756" s="2" t="s">
        <v>435</v>
      </c>
      <c r="E756" s="15">
        <v>7376</v>
      </c>
      <c r="F756" s="59">
        <v>42801</v>
      </c>
      <c r="G756" s="15">
        <f t="shared" si="23"/>
        <v>7376</v>
      </c>
      <c r="H756" s="15">
        <f t="shared" si="24"/>
        <v>0</v>
      </c>
      <c r="I756" s="19"/>
    </row>
    <row r="757" spans="1:9" ht="15.75" x14ac:dyDescent="0.25">
      <c r="A757" s="51">
        <v>42801</v>
      </c>
      <c r="B757" s="52" t="s">
        <v>8542</v>
      </c>
      <c r="C757" s="18">
        <v>103535</v>
      </c>
      <c r="D757" s="2" t="s">
        <v>30</v>
      </c>
      <c r="E757" s="15">
        <v>1875.3</v>
      </c>
      <c r="F757" s="59">
        <v>42801</v>
      </c>
      <c r="G757" s="15">
        <f t="shared" si="23"/>
        <v>1875.3</v>
      </c>
      <c r="H757" s="15">
        <f t="shared" si="24"/>
        <v>0</v>
      </c>
      <c r="I757" s="19"/>
    </row>
    <row r="758" spans="1:9" ht="15.75" x14ac:dyDescent="0.25">
      <c r="A758" s="51">
        <v>42801</v>
      </c>
      <c r="B758" s="52" t="s">
        <v>8543</v>
      </c>
      <c r="C758" s="18">
        <v>103536</v>
      </c>
      <c r="D758" s="2" t="s">
        <v>83</v>
      </c>
      <c r="E758" s="15">
        <v>5218.5</v>
      </c>
      <c r="F758" s="59">
        <v>42801</v>
      </c>
      <c r="G758" s="15">
        <f t="shared" si="23"/>
        <v>5218.5</v>
      </c>
      <c r="H758" s="15">
        <f t="shared" si="24"/>
        <v>0</v>
      </c>
      <c r="I758" s="19"/>
    </row>
    <row r="759" spans="1:9" ht="15.75" x14ac:dyDescent="0.25">
      <c r="A759" s="51">
        <v>42801</v>
      </c>
      <c r="B759" s="52" t="s">
        <v>8544</v>
      </c>
      <c r="C759" s="18">
        <v>103537</v>
      </c>
      <c r="D759" s="2" t="s">
        <v>231</v>
      </c>
      <c r="E759" s="15">
        <v>7026.9</v>
      </c>
      <c r="F759" s="59">
        <v>42802</v>
      </c>
      <c r="G759" s="15">
        <f t="shared" si="23"/>
        <v>7026.9</v>
      </c>
      <c r="H759" s="15">
        <f t="shared" si="24"/>
        <v>0</v>
      </c>
      <c r="I759" s="19"/>
    </row>
    <row r="760" spans="1:9" ht="15.75" x14ac:dyDescent="0.25">
      <c r="A760" s="51">
        <v>42801</v>
      </c>
      <c r="B760" s="52" t="s">
        <v>8545</v>
      </c>
      <c r="C760" s="18">
        <v>103538</v>
      </c>
      <c r="D760" s="2" t="s">
        <v>305</v>
      </c>
      <c r="E760" s="15">
        <v>1034.5999999999999</v>
      </c>
      <c r="F760" s="59">
        <v>42803</v>
      </c>
      <c r="G760" s="15">
        <f t="shared" si="23"/>
        <v>1034.5999999999999</v>
      </c>
      <c r="H760" s="15">
        <f t="shared" si="24"/>
        <v>0</v>
      </c>
      <c r="I760" s="19"/>
    </row>
    <row r="761" spans="1:9" ht="15.75" x14ac:dyDescent="0.25">
      <c r="A761" s="51">
        <v>42801</v>
      </c>
      <c r="B761" s="52" t="s">
        <v>8546</v>
      </c>
      <c r="C761" s="18">
        <v>103539</v>
      </c>
      <c r="D761" s="2" t="s">
        <v>10</v>
      </c>
      <c r="E761" s="15">
        <v>215919.88</v>
      </c>
      <c r="F761" s="59">
        <v>42804</v>
      </c>
      <c r="G761" s="15">
        <f t="shared" si="23"/>
        <v>215919.88</v>
      </c>
      <c r="H761" s="15">
        <f t="shared" si="24"/>
        <v>0</v>
      </c>
      <c r="I761" s="19"/>
    </row>
    <row r="762" spans="1:9" ht="15.75" x14ac:dyDescent="0.25">
      <c r="A762" s="51">
        <v>42801</v>
      </c>
      <c r="B762" s="52" t="s">
        <v>8547</v>
      </c>
      <c r="C762" s="18">
        <v>103540</v>
      </c>
      <c r="D762" s="2" t="s">
        <v>476</v>
      </c>
      <c r="E762" s="15">
        <v>4055.6</v>
      </c>
      <c r="F762" s="59">
        <v>42803</v>
      </c>
      <c r="G762" s="15">
        <f t="shared" si="23"/>
        <v>4055.6</v>
      </c>
      <c r="H762" s="15">
        <f t="shared" si="24"/>
        <v>0</v>
      </c>
      <c r="I762" s="19"/>
    </row>
    <row r="763" spans="1:9" ht="15.75" x14ac:dyDescent="0.25">
      <c r="A763" s="51">
        <v>42801</v>
      </c>
      <c r="B763" s="52" t="s">
        <v>8548</v>
      </c>
      <c r="C763" s="18">
        <v>103541</v>
      </c>
      <c r="D763" s="2" t="s">
        <v>472</v>
      </c>
      <c r="E763" s="15">
        <v>17179.099999999999</v>
      </c>
      <c r="F763" s="59">
        <v>42816</v>
      </c>
      <c r="G763" s="15">
        <f t="shared" si="23"/>
        <v>17179.099999999999</v>
      </c>
      <c r="H763" s="15">
        <f t="shared" si="24"/>
        <v>0</v>
      </c>
      <c r="I763" s="19"/>
    </row>
    <row r="764" spans="1:9" ht="15.75" x14ac:dyDescent="0.25">
      <c r="A764" s="51">
        <v>42801</v>
      </c>
      <c r="B764" s="52" t="s">
        <v>8549</v>
      </c>
      <c r="C764" s="18">
        <v>103542</v>
      </c>
      <c r="D764" s="2" t="s">
        <v>1116</v>
      </c>
      <c r="E764" s="15">
        <v>1442</v>
      </c>
      <c r="F764" s="59">
        <v>42802</v>
      </c>
      <c r="G764" s="15">
        <f t="shared" si="23"/>
        <v>1442</v>
      </c>
      <c r="H764" s="15">
        <f t="shared" si="24"/>
        <v>0</v>
      </c>
      <c r="I764" s="19"/>
    </row>
    <row r="765" spans="1:9" ht="15.75" x14ac:dyDescent="0.25">
      <c r="A765" s="51">
        <v>42801</v>
      </c>
      <c r="B765" s="52" t="s">
        <v>8550</v>
      </c>
      <c r="C765" s="18">
        <v>103543</v>
      </c>
      <c r="D765" s="2" t="s">
        <v>137</v>
      </c>
      <c r="E765" s="15">
        <v>2178</v>
      </c>
      <c r="F765" s="59">
        <v>42801</v>
      </c>
      <c r="G765" s="15">
        <f t="shared" si="23"/>
        <v>2178</v>
      </c>
      <c r="H765" s="15">
        <f t="shared" si="24"/>
        <v>0</v>
      </c>
      <c r="I765" s="19"/>
    </row>
    <row r="766" spans="1:9" ht="15.75" x14ac:dyDescent="0.25">
      <c r="A766" s="51">
        <v>42801</v>
      </c>
      <c r="B766" s="52" t="s">
        <v>8551</v>
      </c>
      <c r="C766" s="18">
        <v>103544</v>
      </c>
      <c r="D766" s="2" t="s">
        <v>2240</v>
      </c>
      <c r="E766" s="15">
        <v>8075</v>
      </c>
      <c r="F766" s="59">
        <v>42801</v>
      </c>
      <c r="G766" s="15">
        <f t="shared" si="23"/>
        <v>8075</v>
      </c>
      <c r="H766" s="15">
        <f t="shared" si="24"/>
        <v>0</v>
      </c>
      <c r="I766" s="19"/>
    </row>
    <row r="767" spans="1:9" ht="15.75" x14ac:dyDescent="0.25">
      <c r="A767" s="51">
        <v>42801</v>
      </c>
      <c r="B767" s="52" t="s">
        <v>8552</v>
      </c>
      <c r="C767" s="18">
        <v>103545</v>
      </c>
      <c r="D767" s="13" t="s">
        <v>352</v>
      </c>
      <c r="E767" s="14">
        <v>0</v>
      </c>
      <c r="F767" s="102" t="s">
        <v>95</v>
      </c>
      <c r="G767" s="14">
        <f t="shared" si="23"/>
        <v>0</v>
      </c>
      <c r="H767" s="14">
        <f t="shared" si="24"/>
        <v>0</v>
      </c>
      <c r="I767" s="19"/>
    </row>
    <row r="768" spans="1:9" ht="15.75" x14ac:dyDescent="0.25">
      <c r="A768" s="51">
        <v>42801</v>
      </c>
      <c r="B768" s="52" t="s">
        <v>8553</v>
      </c>
      <c r="C768" s="18">
        <v>103546</v>
      </c>
      <c r="D768" s="2" t="s">
        <v>352</v>
      </c>
      <c r="E768" s="15">
        <v>4123.2</v>
      </c>
      <c r="F768" s="59">
        <v>42801</v>
      </c>
      <c r="G768" s="15">
        <f t="shared" si="23"/>
        <v>4123.2</v>
      </c>
      <c r="H768" s="15">
        <f t="shared" si="24"/>
        <v>0</v>
      </c>
      <c r="I768" s="19"/>
    </row>
    <row r="769" spans="1:9" ht="15.75" x14ac:dyDescent="0.25">
      <c r="A769" s="51">
        <v>42801</v>
      </c>
      <c r="B769" s="52" t="s">
        <v>8554</v>
      </c>
      <c r="C769" s="18">
        <v>103547</v>
      </c>
      <c r="D769" s="2" t="s">
        <v>367</v>
      </c>
      <c r="E769" s="15">
        <v>1980</v>
      </c>
      <c r="F769" s="59">
        <v>42801</v>
      </c>
      <c r="G769" s="15">
        <f t="shared" si="23"/>
        <v>1980</v>
      </c>
      <c r="H769" s="15">
        <f t="shared" si="24"/>
        <v>0</v>
      </c>
      <c r="I769" s="19"/>
    </row>
    <row r="770" spans="1:9" ht="15.75" x14ac:dyDescent="0.25">
      <c r="A770" s="51">
        <v>42801</v>
      </c>
      <c r="B770" s="52" t="s">
        <v>8555</v>
      </c>
      <c r="C770" s="18">
        <v>103548</v>
      </c>
      <c r="D770" s="2" t="s">
        <v>509</v>
      </c>
      <c r="E770" s="15">
        <v>20847.8</v>
      </c>
      <c r="F770" s="59">
        <v>42812</v>
      </c>
      <c r="G770" s="15">
        <f t="shared" si="23"/>
        <v>20847.8</v>
      </c>
      <c r="H770" s="15">
        <f t="shared" si="24"/>
        <v>0</v>
      </c>
      <c r="I770" s="19"/>
    </row>
    <row r="771" spans="1:9" ht="15.75" x14ac:dyDescent="0.25">
      <c r="A771" s="51">
        <v>42801</v>
      </c>
      <c r="B771" s="52" t="s">
        <v>8556</v>
      </c>
      <c r="C771" s="18">
        <v>103549</v>
      </c>
      <c r="D771" s="2" t="s">
        <v>302</v>
      </c>
      <c r="E771" s="15">
        <v>7977.3</v>
      </c>
      <c r="F771" s="59">
        <v>42801</v>
      </c>
      <c r="G771" s="15">
        <f t="shared" si="23"/>
        <v>7977.3</v>
      </c>
      <c r="H771" s="15">
        <f t="shared" si="24"/>
        <v>0</v>
      </c>
      <c r="I771" s="19"/>
    </row>
    <row r="772" spans="1:9" ht="15.75" x14ac:dyDescent="0.25">
      <c r="A772" s="51">
        <v>42801</v>
      </c>
      <c r="B772" s="52" t="s">
        <v>8557</v>
      </c>
      <c r="C772" s="18">
        <v>103550</v>
      </c>
      <c r="D772" s="2" t="s">
        <v>222</v>
      </c>
      <c r="E772" s="15">
        <v>216132</v>
      </c>
      <c r="F772" s="59">
        <v>42802</v>
      </c>
      <c r="G772" s="15">
        <f t="shared" ref="G772:G835" si="25">E772</f>
        <v>216132</v>
      </c>
      <c r="H772" s="15">
        <f t="shared" ref="H772:H835" si="26">E772-G772</f>
        <v>0</v>
      </c>
      <c r="I772" s="19"/>
    </row>
    <row r="773" spans="1:9" ht="15.75" x14ac:dyDescent="0.25">
      <c r="A773" s="51">
        <v>42801</v>
      </c>
      <c r="B773" s="52" t="s">
        <v>8558</v>
      </c>
      <c r="C773" s="18">
        <v>103551</v>
      </c>
      <c r="D773" s="2" t="s">
        <v>205</v>
      </c>
      <c r="E773" s="15">
        <v>29577.9</v>
      </c>
      <c r="F773" s="120">
        <v>42892</v>
      </c>
      <c r="G773" s="107">
        <f t="shared" si="25"/>
        <v>29577.9</v>
      </c>
      <c r="H773" s="15">
        <f t="shared" si="26"/>
        <v>0</v>
      </c>
      <c r="I773" s="19"/>
    </row>
    <row r="774" spans="1:9" ht="15.75" x14ac:dyDescent="0.25">
      <c r="A774" s="51">
        <v>42801</v>
      </c>
      <c r="B774" s="52" t="s">
        <v>8559</v>
      </c>
      <c r="C774" s="18">
        <v>103552</v>
      </c>
      <c r="D774" s="2" t="s">
        <v>205</v>
      </c>
      <c r="E774" s="15">
        <v>29399.7</v>
      </c>
      <c r="F774" s="120">
        <v>42892</v>
      </c>
      <c r="G774" s="107">
        <f t="shared" si="25"/>
        <v>29399.7</v>
      </c>
      <c r="H774" s="15">
        <f t="shared" si="26"/>
        <v>0</v>
      </c>
      <c r="I774" s="19"/>
    </row>
    <row r="775" spans="1:9" ht="15.75" x14ac:dyDescent="0.25">
      <c r="A775" s="51">
        <v>42801</v>
      </c>
      <c r="B775" s="52" t="s">
        <v>8560</v>
      </c>
      <c r="C775" s="18">
        <v>103553</v>
      </c>
      <c r="D775" s="2" t="s">
        <v>432</v>
      </c>
      <c r="E775" s="15">
        <v>11260</v>
      </c>
      <c r="F775" s="59">
        <v>42802</v>
      </c>
      <c r="G775" s="15">
        <f t="shared" si="25"/>
        <v>11260</v>
      </c>
      <c r="H775" s="15">
        <f t="shared" si="26"/>
        <v>0</v>
      </c>
      <c r="I775" s="19"/>
    </row>
    <row r="776" spans="1:9" ht="15.75" x14ac:dyDescent="0.25">
      <c r="A776" s="51">
        <v>42801</v>
      </c>
      <c r="B776" s="52" t="s">
        <v>8561</v>
      </c>
      <c r="C776" s="18">
        <v>103554</v>
      </c>
      <c r="D776" s="2" t="s">
        <v>55</v>
      </c>
      <c r="E776" s="15">
        <v>2370</v>
      </c>
      <c r="F776" s="59">
        <v>42801</v>
      </c>
      <c r="G776" s="15">
        <f t="shared" si="25"/>
        <v>2370</v>
      </c>
      <c r="H776" s="15">
        <f t="shared" si="26"/>
        <v>0</v>
      </c>
      <c r="I776" s="19"/>
    </row>
    <row r="777" spans="1:9" ht="15.75" x14ac:dyDescent="0.25">
      <c r="A777" s="51">
        <v>42801</v>
      </c>
      <c r="B777" s="52" t="s">
        <v>8562</v>
      </c>
      <c r="C777" s="18">
        <v>103555</v>
      </c>
      <c r="D777" s="2" t="s">
        <v>10</v>
      </c>
      <c r="E777" s="15">
        <v>244363.4</v>
      </c>
      <c r="F777" s="59">
        <v>42804</v>
      </c>
      <c r="G777" s="15">
        <f t="shared" si="25"/>
        <v>244363.4</v>
      </c>
      <c r="H777" s="15">
        <f t="shared" si="26"/>
        <v>0</v>
      </c>
      <c r="I777" s="19"/>
    </row>
    <row r="778" spans="1:9" ht="15.75" x14ac:dyDescent="0.25">
      <c r="A778" s="51">
        <v>42801</v>
      </c>
      <c r="B778" s="52" t="s">
        <v>8563</v>
      </c>
      <c r="C778" s="18">
        <v>103556</v>
      </c>
      <c r="D778" s="2" t="s">
        <v>55</v>
      </c>
      <c r="E778" s="15">
        <v>7530</v>
      </c>
      <c r="F778" s="59">
        <v>42801</v>
      </c>
      <c r="G778" s="15">
        <f t="shared" si="25"/>
        <v>7530</v>
      </c>
      <c r="H778" s="15">
        <f t="shared" si="26"/>
        <v>0</v>
      </c>
      <c r="I778" s="19"/>
    </row>
    <row r="779" spans="1:9" ht="15.75" x14ac:dyDescent="0.25">
      <c r="A779" s="51">
        <v>42801</v>
      </c>
      <c r="B779" s="52" t="s">
        <v>8564</v>
      </c>
      <c r="C779" s="18">
        <v>103557</v>
      </c>
      <c r="D779" s="2" t="s">
        <v>222</v>
      </c>
      <c r="E779" s="15">
        <v>30805.5</v>
      </c>
      <c r="F779" s="59">
        <v>42802</v>
      </c>
      <c r="G779" s="15">
        <f t="shared" si="25"/>
        <v>30805.5</v>
      </c>
      <c r="H779" s="15">
        <f t="shared" si="26"/>
        <v>0</v>
      </c>
      <c r="I779" s="19"/>
    </row>
    <row r="780" spans="1:9" ht="15.75" x14ac:dyDescent="0.25">
      <c r="A780" s="51">
        <v>42801</v>
      </c>
      <c r="B780" s="52" t="s">
        <v>8565</v>
      </c>
      <c r="C780" s="18">
        <v>103558</v>
      </c>
      <c r="D780" s="2" t="s">
        <v>55</v>
      </c>
      <c r="E780" s="15">
        <v>7920</v>
      </c>
      <c r="F780" s="59">
        <v>42801</v>
      </c>
      <c r="G780" s="15">
        <f t="shared" si="25"/>
        <v>7920</v>
      </c>
      <c r="H780" s="15">
        <f t="shared" si="26"/>
        <v>0</v>
      </c>
      <c r="I780" s="19"/>
    </row>
    <row r="781" spans="1:9" ht="15.75" x14ac:dyDescent="0.25">
      <c r="A781" s="51">
        <v>42801</v>
      </c>
      <c r="B781" s="52" t="s">
        <v>8566</v>
      </c>
      <c r="C781" s="18">
        <v>103559</v>
      </c>
      <c r="D781" s="2" t="s">
        <v>468</v>
      </c>
      <c r="E781" s="15">
        <v>10226.98</v>
      </c>
      <c r="F781" s="59">
        <v>42816</v>
      </c>
      <c r="G781" s="15">
        <f t="shared" si="25"/>
        <v>10226.98</v>
      </c>
      <c r="H781" s="15">
        <f t="shared" si="26"/>
        <v>0</v>
      </c>
      <c r="I781" s="19"/>
    </row>
    <row r="782" spans="1:9" ht="15.75" x14ac:dyDescent="0.25">
      <c r="A782" s="51">
        <v>42801</v>
      </c>
      <c r="B782" s="52" t="s">
        <v>8567</v>
      </c>
      <c r="C782" s="18">
        <v>103560</v>
      </c>
      <c r="D782" s="2" t="s">
        <v>465</v>
      </c>
      <c r="E782" s="15">
        <v>5077.3999999999996</v>
      </c>
      <c r="F782" s="59">
        <v>42810</v>
      </c>
      <c r="G782" s="15">
        <f t="shared" si="25"/>
        <v>5077.3999999999996</v>
      </c>
      <c r="H782" s="15">
        <f t="shared" si="26"/>
        <v>0</v>
      </c>
      <c r="I782" s="19"/>
    </row>
    <row r="783" spans="1:9" ht="15.75" x14ac:dyDescent="0.25">
      <c r="A783" s="51">
        <v>42801</v>
      </c>
      <c r="B783" s="52" t="s">
        <v>8568</v>
      </c>
      <c r="C783" s="18">
        <v>103561</v>
      </c>
      <c r="D783" s="13" t="s">
        <v>5113</v>
      </c>
      <c r="E783" s="14">
        <v>0</v>
      </c>
      <c r="F783" s="102" t="s">
        <v>95</v>
      </c>
      <c r="G783" s="14">
        <f t="shared" si="25"/>
        <v>0</v>
      </c>
      <c r="H783" s="14">
        <f t="shared" si="26"/>
        <v>0</v>
      </c>
      <c r="I783" s="19"/>
    </row>
    <row r="784" spans="1:9" ht="15.75" x14ac:dyDescent="0.25">
      <c r="A784" s="51">
        <v>42801</v>
      </c>
      <c r="B784" s="52" t="s">
        <v>8569</v>
      </c>
      <c r="C784" s="18">
        <v>103562</v>
      </c>
      <c r="D784" s="2" t="s">
        <v>5113</v>
      </c>
      <c r="E784" s="15">
        <v>5513.2</v>
      </c>
      <c r="F784" s="59">
        <v>42801</v>
      </c>
      <c r="G784" s="15">
        <f t="shared" si="25"/>
        <v>5513.2</v>
      </c>
      <c r="H784" s="15">
        <f t="shared" si="26"/>
        <v>0</v>
      </c>
      <c r="I784" s="19"/>
    </row>
    <row r="785" spans="1:9" ht="15.75" x14ac:dyDescent="0.25">
      <c r="A785" s="51">
        <v>42801</v>
      </c>
      <c r="B785" s="52" t="s">
        <v>8570</v>
      </c>
      <c r="C785" s="18">
        <v>103563</v>
      </c>
      <c r="D785" s="2" t="s">
        <v>291</v>
      </c>
      <c r="E785" s="15">
        <v>31276.6</v>
      </c>
      <c r="F785" s="59">
        <v>42802</v>
      </c>
      <c r="G785" s="15">
        <f t="shared" si="25"/>
        <v>31276.6</v>
      </c>
      <c r="H785" s="15">
        <f t="shared" si="26"/>
        <v>0</v>
      </c>
      <c r="I785" s="19"/>
    </row>
    <row r="786" spans="1:9" ht="15.75" x14ac:dyDescent="0.25">
      <c r="A786" s="51">
        <v>42801</v>
      </c>
      <c r="B786" s="52" t="s">
        <v>8571</v>
      </c>
      <c r="C786" s="18">
        <v>103564</v>
      </c>
      <c r="D786" s="2" t="s">
        <v>250</v>
      </c>
      <c r="E786" s="15">
        <v>1461.6</v>
      </c>
      <c r="F786" s="59">
        <v>42802</v>
      </c>
      <c r="G786" s="15">
        <f t="shared" si="25"/>
        <v>1461.6</v>
      </c>
      <c r="H786" s="15">
        <f t="shared" si="26"/>
        <v>0</v>
      </c>
      <c r="I786" s="19"/>
    </row>
    <row r="787" spans="1:9" ht="15.75" x14ac:dyDescent="0.25">
      <c r="A787" s="51">
        <v>42801</v>
      </c>
      <c r="B787" s="52" t="s">
        <v>8572</v>
      </c>
      <c r="C787" s="18">
        <v>103565</v>
      </c>
      <c r="D787" s="2" t="s">
        <v>426</v>
      </c>
      <c r="E787" s="15">
        <v>22170.1</v>
      </c>
      <c r="F787" s="59">
        <v>42810</v>
      </c>
      <c r="G787" s="15">
        <f t="shared" si="25"/>
        <v>22170.1</v>
      </c>
      <c r="H787" s="15">
        <f t="shared" si="26"/>
        <v>0</v>
      </c>
      <c r="I787" s="19"/>
    </row>
    <row r="788" spans="1:9" ht="15.75" x14ac:dyDescent="0.25">
      <c r="A788" s="51">
        <v>42801</v>
      </c>
      <c r="B788" s="52" t="s">
        <v>8573</v>
      </c>
      <c r="C788" s="18">
        <v>103566</v>
      </c>
      <c r="D788" s="2" t="s">
        <v>10</v>
      </c>
      <c r="E788" s="15">
        <v>16715.2</v>
      </c>
      <c r="F788" s="59">
        <v>42804</v>
      </c>
      <c r="G788" s="15">
        <f t="shared" si="25"/>
        <v>16715.2</v>
      </c>
      <c r="H788" s="15">
        <f t="shared" si="26"/>
        <v>0</v>
      </c>
      <c r="I788" s="19"/>
    </row>
    <row r="789" spans="1:9" ht="15.75" x14ac:dyDescent="0.25">
      <c r="A789" s="51">
        <v>42801</v>
      </c>
      <c r="B789" s="52" t="s">
        <v>8574</v>
      </c>
      <c r="C789" s="18">
        <v>103567</v>
      </c>
      <c r="D789" s="2" t="s">
        <v>30</v>
      </c>
      <c r="E789" s="15">
        <v>772.8</v>
      </c>
      <c r="F789" s="59">
        <v>42801</v>
      </c>
      <c r="G789" s="15">
        <f t="shared" si="25"/>
        <v>772.8</v>
      </c>
      <c r="H789" s="15">
        <f t="shared" si="26"/>
        <v>0</v>
      </c>
      <c r="I789" s="19"/>
    </row>
    <row r="790" spans="1:9" ht="15.75" x14ac:dyDescent="0.25">
      <c r="A790" s="51">
        <v>42801</v>
      </c>
      <c r="B790" s="52" t="s">
        <v>8575</v>
      </c>
      <c r="C790" s="18">
        <v>103568</v>
      </c>
      <c r="D790" s="2" t="s">
        <v>544</v>
      </c>
      <c r="E790" s="15">
        <v>5096</v>
      </c>
      <c r="F790" s="64" t="s">
        <v>8576</v>
      </c>
      <c r="G790" s="20">
        <f>4000+1096</f>
        <v>5096</v>
      </c>
      <c r="H790" s="20">
        <f t="shared" si="26"/>
        <v>0</v>
      </c>
      <c r="I790" s="19"/>
    </row>
    <row r="791" spans="1:9" ht="15.75" x14ac:dyDescent="0.25">
      <c r="A791" s="51">
        <v>42801</v>
      </c>
      <c r="B791" s="52" t="s">
        <v>8577</v>
      </c>
      <c r="C791" s="18">
        <v>103569</v>
      </c>
      <c r="D791" s="2" t="s">
        <v>12</v>
      </c>
      <c r="E791" s="15">
        <v>777.4</v>
      </c>
      <c r="F791" s="59">
        <v>42803</v>
      </c>
      <c r="G791" s="15">
        <f t="shared" si="25"/>
        <v>777.4</v>
      </c>
      <c r="H791" s="15">
        <f t="shared" si="26"/>
        <v>0</v>
      </c>
      <c r="I791" s="19"/>
    </row>
    <row r="792" spans="1:9" ht="15.75" x14ac:dyDescent="0.25">
      <c r="A792" s="51">
        <v>42801</v>
      </c>
      <c r="B792" s="52" t="s">
        <v>8578</v>
      </c>
      <c r="C792" s="18">
        <v>103570</v>
      </c>
      <c r="D792" s="2" t="s">
        <v>61</v>
      </c>
      <c r="E792" s="15">
        <v>225</v>
      </c>
      <c r="F792" s="59">
        <v>42801</v>
      </c>
      <c r="G792" s="15">
        <f t="shared" si="25"/>
        <v>225</v>
      </c>
      <c r="H792" s="15">
        <f t="shared" si="26"/>
        <v>0</v>
      </c>
      <c r="I792" s="19"/>
    </row>
    <row r="793" spans="1:9" ht="15.75" x14ac:dyDescent="0.25">
      <c r="A793" s="51">
        <v>42801</v>
      </c>
      <c r="B793" s="52" t="s">
        <v>8579</v>
      </c>
      <c r="C793" s="18">
        <v>103571</v>
      </c>
      <c r="D793" s="2" t="s">
        <v>10</v>
      </c>
      <c r="E793" s="15">
        <v>218283.4</v>
      </c>
      <c r="F793" s="59">
        <v>42804</v>
      </c>
      <c r="G793" s="15">
        <f t="shared" si="25"/>
        <v>218283.4</v>
      </c>
      <c r="H793" s="15">
        <f t="shared" si="26"/>
        <v>0</v>
      </c>
      <c r="I793" s="19"/>
    </row>
    <row r="794" spans="1:9" ht="15.75" x14ac:dyDescent="0.25">
      <c r="A794" s="51">
        <v>42801</v>
      </c>
      <c r="B794" s="52" t="s">
        <v>8580</v>
      </c>
      <c r="C794" s="18">
        <v>103572</v>
      </c>
      <c r="D794" s="2" t="s">
        <v>220</v>
      </c>
      <c r="E794" s="15">
        <v>3003.6</v>
      </c>
      <c r="F794" s="59">
        <v>42802</v>
      </c>
      <c r="G794" s="15">
        <f t="shared" si="25"/>
        <v>3003.6</v>
      </c>
      <c r="H794" s="15">
        <f t="shared" si="26"/>
        <v>0</v>
      </c>
      <c r="I794" s="19"/>
    </row>
    <row r="795" spans="1:9" ht="15.75" x14ac:dyDescent="0.25">
      <c r="A795" s="51">
        <v>42802</v>
      </c>
      <c r="B795" s="52" t="s">
        <v>8581</v>
      </c>
      <c r="C795" s="18">
        <v>103573</v>
      </c>
      <c r="D795" s="2" t="s">
        <v>374</v>
      </c>
      <c r="E795" s="15">
        <v>1593</v>
      </c>
      <c r="F795" s="59">
        <v>42802</v>
      </c>
      <c r="G795" s="15">
        <f t="shared" si="25"/>
        <v>1593</v>
      </c>
      <c r="H795" s="15">
        <f t="shared" si="26"/>
        <v>0</v>
      </c>
      <c r="I795" s="19"/>
    </row>
    <row r="796" spans="1:9" ht="15.75" x14ac:dyDescent="0.25">
      <c r="A796" s="51">
        <v>42802</v>
      </c>
      <c r="B796" s="52" t="s">
        <v>8582</v>
      </c>
      <c r="C796" s="18">
        <v>103574</v>
      </c>
      <c r="D796" s="2" t="s">
        <v>231</v>
      </c>
      <c r="E796" s="15">
        <v>6276.9</v>
      </c>
      <c r="F796" s="59">
        <v>42803</v>
      </c>
      <c r="G796" s="15">
        <f t="shared" si="25"/>
        <v>6276.9</v>
      </c>
      <c r="H796" s="15">
        <f t="shared" si="26"/>
        <v>0</v>
      </c>
      <c r="I796" s="19"/>
    </row>
    <row r="797" spans="1:9" ht="15.75" x14ac:dyDescent="0.25">
      <c r="A797" s="51">
        <v>42802</v>
      </c>
      <c r="B797" s="52" t="s">
        <v>8583</v>
      </c>
      <c r="C797" s="18">
        <v>103575</v>
      </c>
      <c r="D797" s="2" t="s">
        <v>231</v>
      </c>
      <c r="E797" s="15">
        <v>31621.1</v>
      </c>
      <c r="F797" s="59">
        <v>42803</v>
      </c>
      <c r="G797" s="15">
        <f t="shared" si="25"/>
        <v>31621.1</v>
      </c>
      <c r="H797" s="15">
        <f t="shared" si="26"/>
        <v>0</v>
      </c>
      <c r="I797" s="19"/>
    </row>
    <row r="798" spans="1:9" ht="15.75" x14ac:dyDescent="0.25">
      <c r="A798" s="51">
        <v>42802</v>
      </c>
      <c r="B798" s="52" t="s">
        <v>8584</v>
      </c>
      <c r="C798" s="18">
        <v>103576</v>
      </c>
      <c r="D798" s="2" t="s">
        <v>17</v>
      </c>
      <c r="E798" s="15">
        <v>2124.4</v>
      </c>
      <c r="F798" s="59">
        <v>42802</v>
      </c>
      <c r="G798" s="15">
        <f t="shared" si="25"/>
        <v>2124.4</v>
      </c>
      <c r="H798" s="15">
        <f t="shared" si="26"/>
        <v>0</v>
      </c>
      <c r="I798" s="19"/>
    </row>
    <row r="799" spans="1:9" ht="15.75" x14ac:dyDescent="0.25">
      <c r="A799" s="51">
        <v>42802</v>
      </c>
      <c r="B799" s="52" t="s">
        <v>8585</v>
      </c>
      <c r="C799" s="18">
        <v>103577</v>
      </c>
      <c r="D799" s="2" t="s">
        <v>26</v>
      </c>
      <c r="E799" s="15">
        <v>15357.8</v>
      </c>
      <c r="F799" s="59">
        <v>42802</v>
      </c>
      <c r="G799" s="15">
        <f t="shared" si="25"/>
        <v>15357.8</v>
      </c>
      <c r="H799" s="15">
        <f t="shared" si="26"/>
        <v>0</v>
      </c>
      <c r="I799" s="19"/>
    </row>
    <row r="800" spans="1:9" ht="15.75" x14ac:dyDescent="0.25">
      <c r="A800" s="51">
        <v>42802</v>
      </c>
      <c r="B800" s="52" t="s">
        <v>8586</v>
      </c>
      <c r="C800" s="18">
        <v>103578</v>
      </c>
      <c r="D800" s="2" t="s">
        <v>26</v>
      </c>
      <c r="E800" s="15">
        <v>1041</v>
      </c>
      <c r="F800" s="59">
        <v>42802</v>
      </c>
      <c r="G800" s="15">
        <f t="shared" si="25"/>
        <v>1041</v>
      </c>
      <c r="H800" s="15">
        <f t="shared" si="26"/>
        <v>0</v>
      </c>
      <c r="I800" s="19"/>
    </row>
    <row r="801" spans="1:9" ht="15.75" x14ac:dyDescent="0.25">
      <c r="A801" s="51">
        <v>42802</v>
      </c>
      <c r="B801" s="52" t="s">
        <v>8587</v>
      </c>
      <c r="C801" s="18">
        <v>103579</v>
      </c>
      <c r="D801" s="2" t="s">
        <v>236</v>
      </c>
      <c r="E801" s="15">
        <v>31661.48</v>
      </c>
      <c r="F801" s="59">
        <v>42807</v>
      </c>
      <c r="G801" s="15">
        <f t="shared" si="25"/>
        <v>31661.48</v>
      </c>
      <c r="H801" s="15">
        <f t="shared" si="26"/>
        <v>0</v>
      </c>
      <c r="I801" s="19"/>
    </row>
    <row r="802" spans="1:9" ht="15.75" x14ac:dyDescent="0.25">
      <c r="A802" s="51">
        <v>42802</v>
      </c>
      <c r="B802" s="52" t="s">
        <v>8588</v>
      </c>
      <c r="C802" s="18">
        <v>103580</v>
      </c>
      <c r="D802" s="2" t="s">
        <v>35</v>
      </c>
      <c r="E802" s="15">
        <v>8995.7000000000007</v>
      </c>
      <c r="F802" s="59">
        <v>42805</v>
      </c>
      <c r="G802" s="15">
        <f t="shared" si="25"/>
        <v>8995.7000000000007</v>
      </c>
      <c r="H802" s="15">
        <f t="shared" si="26"/>
        <v>0</v>
      </c>
      <c r="I802" s="19"/>
    </row>
    <row r="803" spans="1:9" ht="15.75" x14ac:dyDescent="0.25">
      <c r="A803" s="51">
        <v>42802</v>
      </c>
      <c r="B803" s="52" t="s">
        <v>8589</v>
      </c>
      <c r="C803" s="18">
        <v>103581</v>
      </c>
      <c r="D803" s="2" t="s">
        <v>428</v>
      </c>
      <c r="E803" s="15">
        <v>2082.8000000000002</v>
      </c>
      <c r="F803" s="59">
        <v>42804</v>
      </c>
      <c r="G803" s="15">
        <f t="shared" si="25"/>
        <v>2082.8000000000002</v>
      </c>
      <c r="H803" s="15">
        <f t="shared" si="26"/>
        <v>0</v>
      </c>
      <c r="I803" s="19"/>
    </row>
    <row r="804" spans="1:9" ht="15.75" x14ac:dyDescent="0.25">
      <c r="A804" s="51">
        <v>42802</v>
      </c>
      <c r="B804" s="52" t="s">
        <v>8590</v>
      </c>
      <c r="C804" s="18">
        <v>103582</v>
      </c>
      <c r="D804" s="2" t="s">
        <v>32</v>
      </c>
      <c r="E804" s="15">
        <v>5765.2</v>
      </c>
      <c r="F804" s="59">
        <v>42810</v>
      </c>
      <c r="G804" s="15">
        <f t="shared" si="25"/>
        <v>5765.2</v>
      </c>
      <c r="H804" s="15">
        <f t="shared" si="26"/>
        <v>0</v>
      </c>
      <c r="I804" s="19"/>
    </row>
    <row r="805" spans="1:9" ht="15.75" x14ac:dyDescent="0.25">
      <c r="A805" s="51">
        <v>42802</v>
      </c>
      <c r="B805" s="52" t="s">
        <v>8591</v>
      </c>
      <c r="C805" s="18">
        <v>103583</v>
      </c>
      <c r="D805" s="2" t="s">
        <v>38</v>
      </c>
      <c r="E805" s="15">
        <v>3468.8</v>
      </c>
      <c r="F805" s="64">
        <v>42810</v>
      </c>
      <c r="G805" s="20">
        <f>3000+468.8</f>
        <v>3468.8</v>
      </c>
      <c r="H805" s="20">
        <f t="shared" si="26"/>
        <v>0</v>
      </c>
      <c r="I805" s="19"/>
    </row>
    <row r="806" spans="1:9" ht="15.75" x14ac:dyDescent="0.25">
      <c r="A806" s="51">
        <v>42802</v>
      </c>
      <c r="B806" s="52" t="s">
        <v>8592</v>
      </c>
      <c r="C806" s="18">
        <v>103584</v>
      </c>
      <c r="D806" s="2" t="s">
        <v>974</v>
      </c>
      <c r="E806" s="15">
        <v>8812.7999999999993</v>
      </c>
      <c r="G806" s="15">
        <f t="shared" si="25"/>
        <v>8812.7999999999993</v>
      </c>
      <c r="H806" s="15">
        <f t="shared" si="26"/>
        <v>0</v>
      </c>
      <c r="I806" s="19"/>
    </row>
    <row r="807" spans="1:9" ht="15.75" x14ac:dyDescent="0.25">
      <c r="A807" s="51">
        <v>42802</v>
      </c>
      <c r="B807" s="52" t="s">
        <v>8593</v>
      </c>
      <c r="C807" s="18">
        <v>103585</v>
      </c>
      <c r="D807" s="2" t="s">
        <v>21</v>
      </c>
      <c r="E807" s="15">
        <v>41950.8</v>
      </c>
      <c r="F807" s="59">
        <v>42815</v>
      </c>
      <c r="G807" s="15">
        <f t="shared" si="25"/>
        <v>41950.8</v>
      </c>
      <c r="H807" s="15">
        <f t="shared" si="26"/>
        <v>0</v>
      </c>
      <c r="I807" s="19"/>
    </row>
    <row r="808" spans="1:9" ht="15.75" x14ac:dyDescent="0.25">
      <c r="A808" s="51">
        <v>42802</v>
      </c>
      <c r="B808" s="52" t="s">
        <v>8594</v>
      </c>
      <c r="C808" s="18">
        <v>103586</v>
      </c>
      <c r="D808" s="2" t="s">
        <v>47</v>
      </c>
      <c r="E808" s="15">
        <v>2576</v>
      </c>
      <c r="F808" s="59">
        <v>42802</v>
      </c>
      <c r="G808" s="15">
        <f t="shared" si="25"/>
        <v>2576</v>
      </c>
      <c r="H808" s="15">
        <f t="shared" si="26"/>
        <v>0</v>
      </c>
      <c r="I808" s="19"/>
    </row>
    <row r="809" spans="1:9" ht="15.75" x14ac:dyDescent="0.25">
      <c r="A809" s="51">
        <v>42802</v>
      </c>
      <c r="B809" s="52" t="s">
        <v>8595</v>
      </c>
      <c r="C809" s="18">
        <v>103587</v>
      </c>
      <c r="D809" s="2" t="s">
        <v>28</v>
      </c>
      <c r="E809" s="15">
        <v>4704.2</v>
      </c>
      <c r="F809" s="59">
        <v>42802</v>
      </c>
      <c r="G809" s="15">
        <f t="shared" si="25"/>
        <v>4704.2</v>
      </c>
      <c r="H809" s="15">
        <f t="shared" si="26"/>
        <v>0</v>
      </c>
      <c r="I809" s="19"/>
    </row>
    <row r="810" spans="1:9" ht="15.75" x14ac:dyDescent="0.25">
      <c r="A810" s="51">
        <v>42802</v>
      </c>
      <c r="B810" s="52" t="s">
        <v>8596</v>
      </c>
      <c r="C810" s="18">
        <v>103588</v>
      </c>
      <c r="D810" s="2" t="s">
        <v>30</v>
      </c>
      <c r="E810" s="15">
        <v>8568</v>
      </c>
      <c r="F810" s="59">
        <v>42804</v>
      </c>
      <c r="G810" s="15">
        <f t="shared" si="25"/>
        <v>8568</v>
      </c>
      <c r="H810" s="15">
        <f t="shared" si="26"/>
        <v>0</v>
      </c>
      <c r="I810" s="19"/>
    </row>
    <row r="811" spans="1:9" ht="15.75" x14ac:dyDescent="0.25">
      <c r="A811" s="51">
        <v>42802</v>
      </c>
      <c r="B811" s="52" t="s">
        <v>8597</v>
      </c>
      <c r="C811" s="18">
        <v>103589</v>
      </c>
      <c r="D811" s="2" t="s">
        <v>49</v>
      </c>
      <c r="E811" s="15">
        <v>9933</v>
      </c>
      <c r="F811" s="64" t="s">
        <v>8598</v>
      </c>
      <c r="G811" s="20">
        <f>4000+5933</f>
        <v>9933</v>
      </c>
      <c r="H811" s="20">
        <f t="shared" si="26"/>
        <v>0</v>
      </c>
      <c r="I811" s="19"/>
    </row>
    <row r="812" spans="1:9" ht="15.75" x14ac:dyDescent="0.25">
      <c r="A812" s="51">
        <v>42802</v>
      </c>
      <c r="B812" s="52" t="s">
        <v>8599</v>
      </c>
      <c r="C812" s="18">
        <v>103590</v>
      </c>
      <c r="D812" s="2" t="s">
        <v>51</v>
      </c>
      <c r="E812" s="15">
        <v>3391.5</v>
      </c>
      <c r="F812" s="59">
        <v>42804</v>
      </c>
      <c r="G812" s="15">
        <f t="shared" si="25"/>
        <v>3391.5</v>
      </c>
      <c r="H812" s="15">
        <f t="shared" si="26"/>
        <v>0</v>
      </c>
      <c r="I812" s="19"/>
    </row>
    <row r="813" spans="1:9" ht="15.75" x14ac:dyDescent="0.25">
      <c r="A813" s="51">
        <v>42802</v>
      </c>
      <c r="B813" s="52" t="s">
        <v>8600</v>
      </c>
      <c r="C813" s="18">
        <v>103591</v>
      </c>
      <c r="D813" s="2" t="s">
        <v>253</v>
      </c>
      <c r="E813" s="15">
        <v>3874.8</v>
      </c>
      <c r="F813" s="59">
        <v>42804</v>
      </c>
      <c r="G813" s="15">
        <f t="shared" si="25"/>
        <v>3874.8</v>
      </c>
      <c r="H813" s="15">
        <f t="shared" si="26"/>
        <v>0</v>
      </c>
      <c r="I813" s="19"/>
    </row>
    <row r="814" spans="1:9" ht="15.75" x14ac:dyDescent="0.25">
      <c r="A814" s="51">
        <v>42802</v>
      </c>
      <c r="B814" s="52" t="s">
        <v>8601</v>
      </c>
      <c r="C814" s="18">
        <v>103592</v>
      </c>
      <c r="D814" s="2" t="s">
        <v>236</v>
      </c>
      <c r="E814" s="15">
        <v>32694.74</v>
      </c>
      <c r="F814" s="59">
        <v>42807</v>
      </c>
      <c r="G814" s="15">
        <f t="shared" si="25"/>
        <v>32694.74</v>
      </c>
      <c r="H814" s="15">
        <f t="shared" si="26"/>
        <v>0</v>
      </c>
      <c r="I814" s="19"/>
    </row>
    <row r="815" spans="1:9" ht="15.75" x14ac:dyDescent="0.25">
      <c r="A815" s="51">
        <v>42802</v>
      </c>
      <c r="B815" s="52" t="s">
        <v>8602</v>
      </c>
      <c r="C815" s="18">
        <v>103593</v>
      </c>
      <c r="D815" s="2" t="s">
        <v>414</v>
      </c>
      <c r="E815" s="15">
        <v>2064</v>
      </c>
      <c r="F815" s="59">
        <v>42802</v>
      </c>
      <c r="G815" s="15">
        <f t="shared" si="25"/>
        <v>2064</v>
      </c>
      <c r="H815" s="15">
        <f t="shared" si="26"/>
        <v>0</v>
      </c>
      <c r="I815" s="19"/>
    </row>
    <row r="816" spans="1:9" ht="15.75" x14ac:dyDescent="0.25">
      <c r="A816" s="51">
        <v>42802</v>
      </c>
      <c r="B816" s="52" t="s">
        <v>8603</v>
      </c>
      <c r="C816" s="18">
        <v>103594</v>
      </c>
      <c r="D816" s="2" t="s">
        <v>236</v>
      </c>
      <c r="E816" s="15">
        <v>30134.54</v>
      </c>
      <c r="F816" s="59">
        <v>42807</v>
      </c>
      <c r="G816" s="15">
        <f t="shared" si="25"/>
        <v>30134.54</v>
      </c>
      <c r="H816" s="15">
        <f t="shared" si="26"/>
        <v>0</v>
      </c>
      <c r="I816" s="19"/>
    </row>
    <row r="817" spans="1:9" ht="15.75" x14ac:dyDescent="0.25">
      <c r="A817" s="51">
        <v>42802</v>
      </c>
      <c r="B817" s="52" t="s">
        <v>8604</v>
      </c>
      <c r="C817" s="18">
        <v>103595</v>
      </c>
      <c r="D817" s="2" t="s">
        <v>43</v>
      </c>
      <c r="E817" s="15">
        <v>2317.6999999999998</v>
      </c>
      <c r="F817" s="59">
        <v>42804</v>
      </c>
      <c r="G817" s="15">
        <f t="shared" si="25"/>
        <v>2317.6999999999998</v>
      </c>
      <c r="H817" s="15">
        <f t="shared" si="26"/>
        <v>0</v>
      </c>
      <c r="I817" s="19"/>
    </row>
    <row r="818" spans="1:9" ht="15.75" x14ac:dyDescent="0.25">
      <c r="A818" s="51">
        <v>42802</v>
      </c>
      <c r="B818" s="52" t="s">
        <v>8605</v>
      </c>
      <c r="C818" s="18">
        <v>103596</v>
      </c>
      <c r="D818" s="2" t="s">
        <v>30</v>
      </c>
      <c r="E818" s="15">
        <v>2426.4</v>
      </c>
      <c r="F818" s="59">
        <v>42802</v>
      </c>
      <c r="G818" s="15">
        <f t="shared" si="25"/>
        <v>2426.4</v>
      </c>
      <c r="H818" s="15">
        <f t="shared" si="26"/>
        <v>0</v>
      </c>
      <c r="I818" s="19"/>
    </row>
    <row r="819" spans="1:9" ht="15.75" x14ac:dyDescent="0.25">
      <c r="A819" s="51">
        <v>42802</v>
      </c>
      <c r="B819" s="52" t="s">
        <v>8606</v>
      </c>
      <c r="C819" s="18">
        <v>103597</v>
      </c>
      <c r="D819" s="2" t="s">
        <v>40</v>
      </c>
      <c r="E819" s="15">
        <v>680.4</v>
      </c>
      <c r="F819" s="59">
        <v>42803</v>
      </c>
      <c r="G819" s="15">
        <f t="shared" si="25"/>
        <v>680.4</v>
      </c>
      <c r="H819" s="15">
        <f t="shared" si="26"/>
        <v>0</v>
      </c>
      <c r="I819" s="19"/>
    </row>
    <row r="820" spans="1:9" ht="15.75" x14ac:dyDescent="0.25">
      <c r="A820" s="51">
        <v>42802</v>
      </c>
      <c r="B820" s="52" t="s">
        <v>8607</v>
      </c>
      <c r="C820" s="18">
        <v>103598</v>
      </c>
      <c r="D820" s="2" t="s">
        <v>250</v>
      </c>
      <c r="E820" s="15">
        <v>3969</v>
      </c>
      <c r="F820" s="59">
        <v>42803</v>
      </c>
      <c r="G820" s="15">
        <f t="shared" si="25"/>
        <v>3969</v>
      </c>
      <c r="H820" s="15">
        <f t="shared" si="26"/>
        <v>0</v>
      </c>
      <c r="I820" s="19"/>
    </row>
    <row r="821" spans="1:9" ht="15.75" x14ac:dyDescent="0.25">
      <c r="A821" s="51">
        <v>42802</v>
      </c>
      <c r="B821" s="52" t="s">
        <v>8608</v>
      </c>
      <c r="C821" s="18">
        <v>103599</v>
      </c>
      <c r="D821" s="2" t="s">
        <v>59</v>
      </c>
      <c r="E821" s="15">
        <v>1273.7</v>
      </c>
      <c r="F821" s="59">
        <v>42806</v>
      </c>
      <c r="G821" s="15">
        <f t="shared" si="25"/>
        <v>1273.7</v>
      </c>
      <c r="H821" s="15">
        <f t="shared" si="26"/>
        <v>0</v>
      </c>
      <c r="I821" s="19"/>
    </row>
    <row r="822" spans="1:9" ht="15.75" x14ac:dyDescent="0.25">
      <c r="A822" s="51">
        <v>42802</v>
      </c>
      <c r="B822" s="52" t="s">
        <v>8609</v>
      </c>
      <c r="C822" s="18">
        <v>103600</v>
      </c>
      <c r="D822" s="2" t="s">
        <v>67</v>
      </c>
      <c r="E822" s="15">
        <v>6160</v>
      </c>
      <c r="G822" s="15">
        <f t="shared" si="25"/>
        <v>6160</v>
      </c>
      <c r="H822" s="15">
        <f t="shared" si="26"/>
        <v>0</v>
      </c>
      <c r="I822" s="19"/>
    </row>
    <row r="823" spans="1:9" ht="15.75" x14ac:dyDescent="0.25">
      <c r="A823" s="51">
        <v>42802</v>
      </c>
      <c r="B823" s="52" t="s">
        <v>8610</v>
      </c>
      <c r="C823" s="18">
        <v>103601</v>
      </c>
      <c r="D823" s="2" t="s">
        <v>268</v>
      </c>
      <c r="E823" s="15">
        <v>18792.599999999999</v>
      </c>
      <c r="F823" s="59">
        <v>42804</v>
      </c>
      <c r="G823" s="15">
        <f t="shared" si="25"/>
        <v>18792.599999999999</v>
      </c>
      <c r="H823" s="15">
        <f t="shared" si="26"/>
        <v>0</v>
      </c>
      <c r="I823" s="19"/>
    </row>
    <row r="824" spans="1:9" ht="15.75" x14ac:dyDescent="0.25">
      <c r="A824" s="51">
        <v>42802</v>
      </c>
      <c r="B824" s="52" t="s">
        <v>8611</v>
      </c>
      <c r="C824" s="18">
        <v>103602</v>
      </c>
      <c r="D824" s="2" t="s">
        <v>432</v>
      </c>
      <c r="E824" s="15">
        <v>15998.5</v>
      </c>
      <c r="F824" s="59">
        <v>42804</v>
      </c>
      <c r="G824" s="15">
        <f t="shared" si="25"/>
        <v>15998.5</v>
      </c>
      <c r="H824" s="15">
        <f t="shared" si="26"/>
        <v>0</v>
      </c>
      <c r="I824" s="19"/>
    </row>
    <row r="825" spans="1:9" ht="15.75" x14ac:dyDescent="0.25">
      <c r="A825" s="51">
        <v>42802</v>
      </c>
      <c r="B825" s="52" t="s">
        <v>8612</v>
      </c>
      <c r="C825" s="18">
        <v>103603</v>
      </c>
      <c r="D825" s="2" t="s">
        <v>30</v>
      </c>
      <c r="E825" s="15">
        <v>2412</v>
      </c>
      <c r="F825" s="59">
        <v>42802</v>
      </c>
      <c r="G825" s="15">
        <f t="shared" si="25"/>
        <v>2412</v>
      </c>
      <c r="H825" s="15">
        <f t="shared" si="26"/>
        <v>0</v>
      </c>
      <c r="I825" s="19"/>
    </row>
    <row r="826" spans="1:9" ht="15.75" x14ac:dyDescent="0.25">
      <c r="A826" s="51">
        <v>42802</v>
      </c>
      <c r="B826" s="52" t="s">
        <v>8613</v>
      </c>
      <c r="C826" s="18">
        <v>103604</v>
      </c>
      <c r="D826" s="2" t="s">
        <v>1666</v>
      </c>
      <c r="E826" s="15">
        <v>15578.5</v>
      </c>
      <c r="F826" s="64" t="s">
        <v>8614</v>
      </c>
      <c r="G826" s="20">
        <f>8000+7578.5</f>
        <v>15578.5</v>
      </c>
      <c r="H826" s="20">
        <f t="shared" si="26"/>
        <v>0</v>
      </c>
      <c r="I826" s="19"/>
    </row>
    <row r="827" spans="1:9" ht="15.75" x14ac:dyDescent="0.25">
      <c r="A827" s="51">
        <v>42802</v>
      </c>
      <c r="B827" s="52" t="s">
        <v>8615</v>
      </c>
      <c r="C827" s="18">
        <v>103605</v>
      </c>
      <c r="D827" s="13" t="s">
        <v>1666</v>
      </c>
      <c r="E827" s="14">
        <v>0</v>
      </c>
      <c r="F827" s="102" t="s">
        <v>95</v>
      </c>
      <c r="G827" s="14">
        <f>E827</f>
        <v>0</v>
      </c>
      <c r="H827" s="14">
        <f t="shared" si="26"/>
        <v>0</v>
      </c>
      <c r="I827" s="19"/>
    </row>
    <row r="828" spans="1:9" ht="15.75" x14ac:dyDescent="0.25">
      <c r="A828" s="51">
        <v>42802</v>
      </c>
      <c r="B828" s="52" t="s">
        <v>8616</v>
      </c>
      <c r="C828" s="18">
        <v>103606</v>
      </c>
      <c r="D828" s="2" t="s">
        <v>270</v>
      </c>
      <c r="E828" s="15">
        <v>15718.2</v>
      </c>
      <c r="F828" s="64">
        <v>42804</v>
      </c>
      <c r="G828" s="20">
        <f>455.6+15262.6</f>
        <v>15718.2</v>
      </c>
      <c r="H828" s="20">
        <f t="shared" si="26"/>
        <v>0</v>
      </c>
      <c r="I828" s="19"/>
    </row>
    <row r="829" spans="1:9" ht="15.75" x14ac:dyDescent="0.25">
      <c r="A829" s="51">
        <v>42802</v>
      </c>
      <c r="B829" s="52" t="s">
        <v>8617</v>
      </c>
      <c r="C829" s="18">
        <v>103607</v>
      </c>
      <c r="D829" s="2" t="s">
        <v>435</v>
      </c>
      <c r="E829" s="15">
        <v>2835</v>
      </c>
      <c r="F829" s="59">
        <v>42809</v>
      </c>
      <c r="G829" s="15">
        <f t="shared" si="25"/>
        <v>2835</v>
      </c>
      <c r="H829" s="15">
        <f t="shared" si="26"/>
        <v>0</v>
      </c>
      <c r="I829" s="19"/>
    </row>
    <row r="830" spans="1:9" ht="15.75" x14ac:dyDescent="0.25">
      <c r="A830" s="51">
        <v>42802</v>
      </c>
      <c r="B830" s="52" t="s">
        <v>8618</v>
      </c>
      <c r="C830" s="18">
        <v>103608</v>
      </c>
      <c r="D830" s="2" t="s">
        <v>442</v>
      </c>
      <c r="E830" s="15">
        <v>8557.6</v>
      </c>
      <c r="F830" s="59">
        <v>42804</v>
      </c>
      <c r="G830" s="15">
        <f t="shared" si="25"/>
        <v>8557.6</v>
      </c>
      <c r="H830" s="15">
        <f t="shared" si="26"/>
        <v>0</v>
      </c>
      <c r="I830" s="19"/>
    </row>
    <row r="831" spans="1:9" ht="15.75" x14ac:dyDescent="0.25">
      <c r="A831" s="51">
        <v>42802</v>
      </c>
      <c r="B831" s="52" t="s">
        <v>8619</v>
      </c>
      <c r="C831" s="18">
        <v>103609</v>
      </c>
      <c r="D831" s="2" t="s">
        <v>274</v>
      </c>
      <c r="E831" s="15">
        <v>6807.7</v>
      </c>
      <c r="F831" s="59">
        <v>42804</v>
      </c>
      <c r="G831" s="15">
        <f t="shared" si="25"/>
        <v>6807.7</v>
      </c>
      <c r="H831" s="15">
        <f t="shared" si="26"/>
        <v>0</v>
      </c>
      <c r="I831" s="19"/>
    </row>
    <row r="832" spans="1:9" ht="15.75" x14ac:dyDescent="0.25">
      <c r="A832" s="51">
        <v>42802</v>
      </c>
      <c r="B832" s="52" t="s">
        <v>8620</v>
      </c>
      <c r="C832" s="18">
        <v>103610</v>
      </c>
      <c r="D832" s="2" t="s">
        <v>876</v>
      </c>
      <c r="E832" s="15">
        <v>3244.5</v>
      </c>
      <c r="F832" s="59">
        <v>42811</v>
      </c>
      <c r="G832" s="15">
        <f t="shared" si="25"/>
        <v>3244.5</v>
      </c>
      <c r="H832" s="15">
        <f t="shared" si="26"/>
        <v>0</v>
      </c>
      <c r="I832" s="19"/>
    </row>
    <row r="833" spans="1:9" ht="15.75" x14ac:dyDescent="0.25">
      <c r="A833" s="51">
        <v>42802</v>
      </c>
      <c r="B833" s="52" t="s">
        <v>8621</v>
      </c>
      <c r="C833" s="18">
        <v>103611</v>
      </c>
      <c r="D833" s="2" t="s">
        <v>71</v>
      </c>
      <c r="E833" s="15">
        <v>2478</v>
      </c>
      <c r="F833" s="59">
        <v>42802</v>
      </c>
      <c r="G833" s="15">
        <f t="shared" si="25"/>
        <v>2478</v>
      </c>
      <c r="H833" s="15">
        <f t="shared" si="26"/>
        <v>0</v>
      </c>
      <c r="I833" s="19"/>
    </row>
    <row r="834" spans="1:9" ht="15.75" x14ac:dyDescent="0.25">
      <c r="A834" s="51">
        <v>42802</v>
      </c>
      <c r="B834" s="52" t="s">
        <v>8622</v>
      </c>
      <c r="C834" s="18">
        <v>103612</v>
      </c>
      <c r="D834" s="13" t="s">
        <v>149</v>
      </c>
      <c r="E834" s="14">
        <v>0</v>
      </c>
      <c r="F834" s="102" t="s">
        <v>95</v>
      </c>
      <c r="G834" s="14">
        <f t="shared" si="25"/>
        <v>0</v>
      </c>
      <c r="H834" s="14">
        <f t="shared" si="26"/>
        <v>0</v>
      </c>
      <c r="I834" s="19"/>
    </row>
    <row r="835" spans="1:9" ht="15.75" x14ac:dyDescent="0.25">
      <c r="A835" s="51">
        <v>42802</v>
      </c>
      <c r="B835" s="52" t="s">
        <v>8623</v>
      </c>
      <c r="C835" s="18">
        <v>103613</v>
      </c>
      <c r="D835" s="2" t="s">
        <v>149</v>
      </c>
      <c r="E835" s="15">
        <v>2268</v>
      </c>
      <c r="F835" s="59">
        <v>42802</v>
      </c>
      <c r="G835" s="15">
        <f t="shared" si="25"/>
        <v>2268</v>
      </c>
      <c r="H835" s="15">
        <f t="shared" si="26"/>
        <v>0</v>
      </c>
      <c r="I835" s="19"/>
    </row>
    <row r="836" spans="1:9" ht="15.75" x14ac:dyDescent="0.25">
      <c r="A836" s="51">
        <v>42802</v>
      </c>
      <c r="B836" s="52" t="s">
        <v>8624</v>
      </c>
      <c r="C836" s="18">
        <v>103614</v>
      </c>
      <c r="D836" s="2" t="s">
        <v>302</v>
      </c>
      <c r="E836" s="15">
        <v>8735.6</v>
      </c>
      <c r="F836" s="59">
        <v>42802</v>
      </c>
      <c r="G836" s="15">
        <f t="shared" ref="G836:G899" si="27">E836</f>
        <v>8735.6</v>
      </c>
      <c r="H836" s="15">
        <f t="shared" ref="H836:H899" si="28">E836-G836</f>
        <v>0</v>
      </c>
      <c r="I836" s="19"/>
    </row>
    <row r="837" spans="1:9" ht="15.75" x14ac:dyDescent="0.25">
      <c r="A837" s="51">
        <v>42802</v>
      </c>
      <c r="B837" s="52" t="s">
        <v>8625</v>
      </c>
      <c r="C837" s="18">
        <v>103615</v>
      </c>
      <c r="D837" s="2" t="s">
        <v>289</v>
      </c>
      <c r="E837" s="15">
        <v>101899.98</v>
      </c>
      <c r="F837" s="59">
        <v>42818</v>
      </c>
      <c r="G837" s="15">
        <f t="shared" si="27"/>
        <v>101899.98</v>
      </c>
      <c r="H837" s="15">
        <f t="shared" si="28"/>
        <v>0</v>
      </c>
      <c r="I837" s="19"/>
    </row>
    <row r="838" spans="1:9" ht="15.75" x14ac:dyDescent="0.25">
      <c r="A838" s="51">
        <v>42802</v>
      </c>
      <c r="B838" s="52" t="s">
        <v>8626</v>
      </c>
      <c r="C838" s="18">
        <v>103616</v>
      </c>
      <c r="D838" s="2" t="s">
        <v>1090</v>
      </c>
      <c r="E838" s="15">
        <v>7035.9</v>
      </c>
      <c r="F838" s="59">
        <v>42802</v>
      </c>
      <c r="G838" s="15">
        <f t="shared" si="27"/>
        <v>7035.9</v>
      </c>
      <c r="H838" s="15">
        <f t="shared" si="28"/>
        <v>0</v>
      </c>
      <c r="I838" s="19"/>
    </row>
    <row r="839" spans="1:9" ht="15.75" x14ac:dyDescent="0.25">
      <c r="A839" s="51">
        <v>42802</v>
      </c>
      <c r="B839" s="52" t="s">
        <v>8627</v>
      </c>
      <c r="C839" s="18">
        <v>103617</v>
      </c>
      <c r="D839" s="2" t="s">
        <v>1830</v>
      </c>
      <c r="E839" s="15">
        <v>8992.7999999999993</v>
      </c>
      <c r="F839" s="59">
        <v>42802</v>
      </c>
      <c r="G839" s="15">
        <f t="shared" si="27"/>
        <v>8992.7999999999993</v>
      </c>
      <c r="H839" s="15">
        <f t="shared" si="28"/>
        <v>0</v>
      </c>
      <c r="I839" s="19"/>
    </row>
    <row r="840" spans="1:9" ht="15.75" x14ac:dyDescent="0.25">
      <c r="A840" s="51">
        <v>42802</v>
      </c>
      <c r="B840" s="52" t="s">
        <v>8628</v>
      </c>
      <c r="C840" s="18">
        <v>103618</v>
      </c>
      <c r="D840" s="2" t="s">
        <v>125</v>
      </c>
      <c r="E840" s="15">
        <v>7168</v>
      </c>
      <c r="F840" s="59">
        <v>42803</v>
      </c>
      <c r="G840" s="15">
        <f t="shared" si="27"/>
        <v>7168</v>
      </c>
      <c r="H840" s="15">
        <f t="shared" si="28"/>
        <v>0</v>
      </c>
      <c r="I840" s="19"/>
    </row>
    <row r="841" spans="1:9" ht="15.75" x14ac:dyDescent="0.25">
      <c r="A841" s="51">
        <v>42802</v>
      </c>
      <c r="B841" s="52" t="s">
        <v>8629</v>
      </c>
      <c r="C841" s="18">
        <v>103619</v>
      </c>
      <c r="D841" s="2" t="s">
        <v>128</v>
      </c>
      <c r="E841" s="15">
        <v>2355.3000000000002</v>
      </c>
      <c r="F841" s="59">
        <v>42802</v>
      </c>
      <c r="G841" s="15">
        <f t="shared" si="27"/>
        <v>2355.3000000000002</v>
      </c>
      <c r="H841" s="15">
        <f t="shared" si="28"/>
        <v>0</v>
      </c>
      <c r="I841" s="19"/>
    </row>
    <row r="842" spans="1:9" ht="15.75" x14ac:dyDescent="0.25">
      <c r="A842" s="51">
        <v>42802</v>
      </c>
      <c r="B842" s="52" t="s">
        <v>8630</v>
      </c>
      <c r="C842" s="18">
        <v>103620</v>
      </c>
      <c r="D842" s="2" t="s">
        <v>19</v>
      </c>
      <c r="E842" s="15">
        <v>940</v>
      </c>
      <c r="F842" s="59">
        <v>42802</v>
      </c>
      <c r="G842" s="15">
        <f t="shared" si="27"/>
        <v>940</v>
      </c>
      <c r="H842" s="15">
        <f t="shared" si="28"/>
        <v>0</v>
      </c>
      <c r="I842" s="19"/>
    </row>
    <row r="843" spans="1:9" ht="15.75" x14ac:dyDescent="0.25">
      <c r="A843" s="51">
        <v>42802</v>
      </c>
      <c r="B843" s="52" t="s">
        <v>8631</v>
      </c>
      <c r="C843" s="18">
        <v>103621</v>
      </c>
      <c r="D843" s="2" t="s">
        <v>470</v>
      </c>
      <c r="E843" s="15">
        <v>9447.2000000000007</v>
      </c>
      <c r="F843" s="59">
        <v>42802</v>
      </c>
      <c r="G843" s="15">
        <f t="shared" si="27"/>
        <v>9447.2000000000007</v>
      </c>
      <c r="H843" s="15">
        <f t="shared" si="28"/>
        <v>0</v>
      </c>
      <c r="I843" s="19"/>
    </row>
    <row r="844" spans="1:9" ht="15.75" x14ac:dyDescent="0.25">
      <c r="A844" s="51">
        <v>42802</v>
      </c>
      <c r="B844" s="52" t="s">
        <v>8632</v>
      </c>
      <c r="C844" s="18">
        <v>103622</v>
      </c>
      <c r="D844" s="2" t="s">
        <v>120</v>
      </c>
      <c r="E844" s="15">
        <v>1353.2</v>
      </c>
      <c r="F844" s="59">
        <v>42802</v>
      </c>
      <c r="G844" s="15">
        <f t="shared" si="27"/>
        <v>1353.2</v>
      </c>
      <c r="H844" s="15">
        <f t="shared" si="28"/>
        <v>0</v>
      </c>
      <c r="I844" s="19"/>
    </row>
    <row r="845" spans="1:9" ht="15.75" x14ac:dyDescent="0.25">
      <c r="A845" s="51">
        <v>42802</v>
      </c>
      <c r="B845" s="52" t="s">
        <v>8633</v>
      </c>
      <c r="C845" s="18">
        <v>103623</v>
      </c>
      <c r="D845" s="2" t="s">
        <v>633</v>
      </c>
      <c r="E845" s="15">
        <v>817.2</v>
      </c>
      <c r="F845" s="59">
        <v>42802</v>
      </c>
      <c r="G845" s="15">
        <f t="shared" si="27"/>
        <v>817.2</v>
      </c>
      <c r="H845" s="15">
        <f t="shared" si="28"/>
        <v>0</v>
      </c>
      <c r="I845" s="19"/>
    </row>
    <row r="846" spans="1:9" ht="15.75" x14ac:dyDescent="0.25">
      <c r="A846" s="51">
        <v>42802</v>
      </c>
      <c r="B846" s="52" t="s">
        <v>8634</v>
      </c>
      <c r="C846" s="18">
        <v>103624</v>
      </c>
      <c r="D846" s="2" t="s">
        <v>57</v>
      </c>
      <c r="E846" s="15">
        <v>470</v>
      </c>
      <c r="F846" s="59">
        <v>42802</v>
      </c>
      <c r="G846" s="15">
        <f t="shared" si="27"/>
        <v>470</v>
      </c>
      <c r="H846" s="15">
        <f t="shared" si="28"/>
        <v>0</v>
      </c>
      <c r="I846" s="19"/>
    </row>
    <row r="847" spans="1:9" ht="15.75" x14ac:dyDescent="0.25">
      <c r="A847" s="51">
        <v>42802</v>
      </c>
      <c r="B847" s="52" t="s">
        <v>8635</v>
      </c>
      <c r="C847" s="18">
        <v>103625</v>
      </c>
      <c r="D847" s="2" t="s">
        <v>85</v>
      </c>
      <c r="E847" s="15">
        <v>13269.6</v>
      </c>
      <c r="F847" s="104" t="s">
        <v>8131</v>
      </c>
      <c r="G847" s="66">
        <f>5000+8269.6</f>
        <v>13269.6</v>
      </c>
      <c r="H847" s="66">
        <f t="shared" si="28"/>
        <v>0</v>
      </c>
      <c r="I847" s="19"/>
    </row>
    <row r="848" spans="1:9" ht="15.75" x14ac:dyDescent="0.25">
      <c r="A848" s="51">
        <v>42802</v>
      </c>
      <c r="B848" s="52" t="s">
        <v>8636</v>
      </c>
      <c r="C848" s="18">
        <v>103626</v>
      </c>
      <c r="D848" s="2" t="s">
        <v>61</v>
      </c>
      <c r="E848" s="15">
        <v>8858.1</v>
      </c>
      <c r="F848" s="59">
        <v>42802</v>
      </c>
      <c r="G848" s="15">
        <f t="shared" si="27"/>
        <v>8858.1</v>
      </c>
      <c r="H848" s="15">
        <f t="shared" si="28"/>
        <v>0</v>
      </c>
      <c r="I848" s="19"/>
    </row>
    <row r="849" spans="1:9" ht="15.75" x14ac:dyDescent="0.25">
      <c r="A849" s="51">
        <v>42802</v>
      </c>
      <c r="B849" s="52" t="s">
        <v>8637</v>
      </c>
      <c r="C849" s="18">
        <v>103627</v>
      </c>
      <c r="D849" s="2" t="s">
        <v>405</v>
      </c>
      <c r="E849" s="15">
        <v>2452.8000000000002</v>
      </c>
      <c r="F849" s="59">
        <v>42802</v>
      </c>
      <c r="G849" s="15">
        <f t="shared" si="27"/>
        <v>2452.8000000000002</v>
      </c>
      <c r="H849" s="15">
        <f t="shared" si="28"/>
        <v>0</v>
      </c>
      <c r="I849" s="19"/>
    </row>
    <row r="850" spans="1:9" ht="15.75" x14ac:dyDescent="0.25">
      <c r="A850" s="51">
        <v>42802</v>
      </c>
      <c r="B850" s="52" t="s">
        <v>8638</v>
      </c>
      <c r="C850" s="18">
        <v>103628</v>
      </c>
      <c r="D850" s="2" t="s">
        <v>30</v>
      </c>
      <c r="E850" s="15">
        <v>809.6</v>
      </c>
      <c r="F850" s="59">
        <v>42802</v>
      </c>
      <c r="G850" s="15">
        <f t="shared" si="27"/>
        <v>809.6</v>
      </c>
      <c r="H850" s="15">
        <f t="shared" si="28"/>
        <v>0</v>
      </c>
      <c r="I850" s="19"/>
    </row>
    <row r="851" spans="1:9" ht="15.75" x14ac:dyDescent="0.25">
      <c r="A851" s="51">
        <v>42802</v>
      </c>
      <c r="B851" s="52" t="s">
        <v>8639</v>
      </c>
      <c r="C851" s="18">
        <v>103629</v>
      </c>
      <c r="D851" s="2" t="s">
        <v>186</v>
      </c>
      <c r="E851" s="15">
        <v>441</v>
      </c>
      <c r="F851" s="59">
        <v>42802</v>
      </c>
      <c r="G851" s="15">
        <f t="shared" si="27"/>
        <v>441</v>
      </c>
      <c r="H851" s="15">
        <f t="shared" si="28"/>
        <v>0</v>
      </c>
      <c r="I851" s="19"/>
    </row>
    <row r="852" spans="1:9" ht="15.75" x14ac:dyDescent="0.25">
      <c r="A852" s="51">
        <v>42802</v>
      </c>
      <c r="B852" s="52" t="s">
        <v>8640</v>
      </c>
      <c r="C852" s="18">
        <v>103630</v>
      </c>
      <c r="D852" s="2" t="s">
        <v>1293</v>
      </c>
      <c r="E852" s="15">
        <v>340.4</v>
      </c>
      <c r="F852" s="59">
        <v>42802</v>
      </c>
      <c r="G852" s="15">
        <f t="shared" si="27"/>
        <v>340.4</v>
      </c>
      <c r="H852" s="15">
        <f t="shared" si="28"/>
        <v>0</v>
      </c>
      <c r="I852" s="19"/>
    </row>
    <row r="853" spans="1:9" ht="15.75" x14ac:dyDescent="0.25">
      <c r="A853" s="51">
        <v>42802</v>
      </c>
      <c r="B853" s="52" t="s">
        <v>8641</v>
      </c>
      <c r="C853" s="18">
        <v>103631</v>
      </c>
      <c r="D853" s="2" t="s">
        <v>240</v>
      </c>
      <c r="E853" s="15">
        <v>4544.7</v>
      </c>
      <c r="F853" s="59">
        <v>42802</v>
      </c>
      <c r="G853" s="15">
        <f t="shared" si="27"/>
        <v>4544.7</v>
      </c>
      <c r="H853" s="15">
        <f t="shared" si="28"/>
        <v>0</v>
      </c>
      <c r="I853" s="19"/>
    </row>
    <row r="854" spans="1:9" ht="15.75" x14ac:dyDescent="0.25">
      <c r="A854" s="51">
        <v>42802</v>
      </c>
      <c r="B854" s="52" t="s">
        <v>8642</v>
      </c>
      <c r="C854" s="18">
        <v>103632</v>
      </c>
      <c r="D854" s="2" t="s">
        <v>53</v>
      </c>
      <c r="E854" s="15">
        <v>1822.5</v>
      </c>
      <c r="F854" s="59">
        <v>42802</v>
      </c>
      <c r="G854" s="15">
        <f t="shared" si="27"/>
        <v>1822.5</v>
      </c>
      <c r="H854" s="15">
        <f t="shared" si="28"/>
        <v>0</v>
      </c>
      <c r="I854" s="19"/>
    </row>
    <row r="855" spans="1:9" ht="15.75" x14ac:dyDescent="0.25">
      <c r="A855" s="51">
        <v>42802</v>
      </c>
      <c r="B855" s="52" t="s">
        <v>8643</v>
      </c>
      <c r="C855" s="18">
        <v>103633</v>
      </c>
      <c r="D855" s="2" t="s">
        <v>63</v>
      </c>
      <c r="E855" s="15">
        <v>1437</v>
      </c>
      <c r="F855" s="59">
        <v>42802</v>
      </c>
      <c r="G855" s="15">
        <f t="shared" si="27"/>
        <v>1437</v>
      </c>
      <c r="H855" s="15">
        <f t="shared" si="28"/>
        <v>0</v>
      </c>
      <c r="I855" s="19"/>
    </row>
    <row r="856" spans="1:9" ht="15.75" x14ac:dyDescent="0.25">
      <c r="A856" s="51">
        <v>42802</v>
      </c>
      <c r="B856" s="52" t="s">
        <v>8644</v>
      </c>
      <c r="C856" s="18">
        <v>103634</v>
      </c>
      <c r="D856" s="2" t="s">
        <v>184</v>
      </c>
      <c r="E856" s="15">
        <v>1518</v>
      </c>
      <c r="F856" s="59">
        <v>42802</v>
      </c>
      <c r="G856" s="15">
        <f t="shared" si="27"/>
        <v>1518</v>
      </c>
      <c r="H856" s="15">
        <f t="shared" si="28"/>
        <v>0</v>
      </c>
      <c r="I856" s="19"/>
    </row>
    <row r="857" spans="1:9" ht="15.75" x14ac:dyDescent="0.25">
      <c r="A857" s="51">
        <v>42802</v>
      </c>
      <c r="B857" s="52" t="s">
        <v>8645</v>
      </c>
      <c r="C857" s="18">
        <v>103635</v>
      </c>
      <c r="D857" s="2" t="s">
        <v>1116</v>
      </c>
      <c r="E857" s="15">
        <v>4833.6000000000004</v>
      </c>
      <c r="F857" s="59">
        <v>42803</v>
      </c>
      <c r="G857" s="15">
        <f t="shared" si="27"/>
        <v>4833.6000000000004</v>
      </c>
      <c r="H857" s="15">
        <f t="shared" si="28"/>
        <v>0</v>
      </c>
      <c r="I857" s="19"/>
    </row>
    <row r="858" spans="1:9" ht="15.75" x14ac:dyDescent="0.25">
      <c r="A858" s="51">
        <v>42802</v>
      </c>
      <c r="B858" s="52" t="s">
        <v>8646</v>
      </c>
      <c r="C858" s="18">
        <v>103636</v>
      </c>
      <c r="D858" s="2" t="s">
        <v>79</v>
      </c>
      <c r="E858" s="15">
        <v>780</v>
      </c>
      <c r="F858" s="59">
        <v>42802</v>
      </c>
      <c r="G858" s="15">
        <f t="shared" si="27"/>
        <v>780</v>
      </c>
      <c r="H858" s="15">
        <f t="shared" si="28"/>
        <v>0</v>
      </c>
      <c r="I858" s="19"/>
    </row>
    <row r="859" spans="1:9" ht="15.75" x14ac:dyDescent="0.25">
      <c r="A859" s="51">
        <v>42802</v>
      </c>
      <c r="B859" s="52" t="s">
        <v>8647</v>
      </c>
      <c r="C859" s="18">
        <v>103637</v>
      </c>
      <c r="D859" s="2" t="s">
        <v>509</v>
      </c>
      <c r="E859" s="15">
        <v>21577.200000000001</v>
      </c>
      <c r="F859" s="59">
        <v>42812</v>
      </c>
      <c r="G859" s="15">
        <f t="shared" si="27"/>
        <v>21577.200000000001</v>
      </c>
      <c r="H859" s="15">
        <f t="shared" si="28"/>
        <v>0</v>
      </c>
      <c r="I859" s="19"/>
    </row>
    <row r="860" spans="1:9" ht="15.75" x14ac:dyDescent="0.25">
      <c r="A860" s="51">
        <v>42802</v>
      </c>
      <c r="B860" s="52" t="s">
        <v>8648</v>
      </c>
      <c r="C860" s="18">
        <v>103638</v>
      </c>
      <c r="D860" s="2" t="s">
        <v>103</v>
      </c>
      <c r="E860" s="15">
        <v>3415.5</v>
      </c>
      <c r="F860" s="59">
        <v>42808</v>
      </c>
      <c r="G860" s="15">
        <f t="shared" si="27"/>
        <v>3415.5</v>
      </c>
      <c r="H860" s="15">
        <f t="shared" si="28"/>
        <v>0</v>
      </c>
      <c r="I860" s="19"/>
    </row>
    <row r="861" spans="1:9" ht="15.75" x14ac:dyDescent="0.25">
      <c r="A861" s="51">
        <v>42802</v>
      </c>
      <c r="B861" s="52" t="s">
        <v>8649</v>
      </c>
      <c r="C861" s="18">
        <v>103639</v>
      </c>
      <c r="D861" s="2" t="s">
        <v>1259</v>
      </c>
      <c r="E861" s="15">
        <v>789.39</v>
      </c>
      <c r="F861" s="59">
        <v>42802</v>
      </c>
      <c r="G861" s="15">
        <f t="shared" si="27"/>
        <v>789.39</v>
      </c>
      <c r="H861" s="15">
        <f t="shared" si="28"/>
        <v>0</v>
      </c>
      <c r="I861" s="19"/>
    </row>
    <row r="862" spans="1:9" ht="15.75" x14ac:dyDescent="0.25">
      <c r="A862" s="51">
        <v>42802</v>
      </c>
      <c r="B862" s="52" t="s">
        <v>8650</v>
      </c>
      <c r="C862" s="18">
        <v>103640</v>
      </c>
      <c r="D862" s="2" t="s">
        <v>88</v>
      </c>
      <c r="E862" s="15">
        <v>5211.8</v>
      </c>
      <c r="F862" s="59">
        <v>42802</v>
      </c>
      <c r="G862" s="15">
        <f t="shared" si="27"/>
        <v>5211.8</v>
      </c>
      <c r="H862" s="15">
        <f t="shared" si="28"/>
        <v>0</v>
      </c>
      <c r="I862" s="19"/>
    </row>
    <row r="863" spans="1:9" ht="15.75" x14ac:dyDescent="0.25">
      <c r="A863" s="51">
        <v>42802</v>
      </c>
      <c r="B863" s="52" t="s">
        <v>8651</v>
      </c>
      <c r="C863" s="18">
        <v>103641</v>
      </c>
      <c r="D863" s="2" t="s">
        <v>105</v>
      </c>
      <c r="E863" s="15">
        <v>3226.5</v>
      </c>
      <c r="F863" s="59">
        <v>42805</v>
      </c>
      <c r="G863" s="15">
        <f t="shared" si="27"/>
        <v>3226.5</v>
      </c>
      <c r="H863" s="15">
        <f t="shared" si="28"/>
        <v>0</v>
      </c>
      <c r="I863" s="19"/>
    </row>
    <row r="864" spans="1:9" ht="15.75" x14ac:dyDescent="0.25">
      <c r="A864" s="51">
        <v>42802</v>
      </c>
      <c r="B864" s="52" t="s">
        <v>8652</v>
      </c>
      <c r="C864" s="18">
        <v>103642</v>
      </c>
      <c r="D864" s="2" t="s">
        <v>10</v>
      </c>
      <c r="E864" s="15">
        <v>7661.5</v>
      </c>
      <c r="F864" s="59">
        <v>42804</v>
      </c>
      <c r="G864" s="15">
        <f t="shared" si="27"/>
        <v>7661.5</v>
      </c>
      <c r="H864" s="15">
        <f t="shared" si="28"/>
        <v>0</v>
      </c>
      <c r="I864" s="19"/>
    </row>
    <row r="865" spans="1:9" ht="15.75" x14ac:dyDescent="0.25">
      <c r="A865" s="51">
        <v>42802</v>
      </c>
      <c r="B865" s="52" t="s">
        <v>8653</v>
      </c>
      <c r="C865" s="18">
        <v>103643</v>
      </c>
      <c r="D865" s="2" t="s">
        <v>838</v>
      </c>
      <c r="E865" s="15">
        <v>1710.1</v>
      </c>
      <c r="F865" s="59">
        <v>42802</v>
      </c>
      <c r="G865" s="15">
        <f t="shared" si="27"/>
        <v>1710.1</v>
      </c>
      <c r="H865" s="15">
        <f t="shared" si="28"/>
        <v>0</v>
      </c>
      <c r="I865" s="19"/>
    </row>
    <row r="866" spans="1:9" ht="15.75" x14ac:dyDescent="0.25">
      <c r="A866" s="51">
        <v>42802</v>
      </c>
      <c r="B866" s="52" t="s">
        <v>8654</v>
      </c>
      <c r="C866" s="18">
        <v>103644</v>
      </c>
      <c r="D866" s="2" t="s">
        <v>109</v>
      </c>
      <c r="E866" s="15">
        <v>3134.3</v>
      </c>
      <c r="F866" s="59">
        <v>42802</v>
      </c>
      <c r="G866" s="15">
        <f t="shared" si="27"/>
        <v>3134.3</v>
      </c>
      <c r="H866" s="15">
        <f t="shared" si="28"/>
        <v>0</v>
      </c>
      <c r="I866" s="19"/>
    </row>
    <row r="867" spans="1:9" ht="15.75" x14ac:dyDescent="0.25">
      <c r="A867" s="51">
        <v>42802</v>
      </c>
      <c r="B867" s="52" t="s">
        <v>8655</v>
      </c>
      <c r="C867" s="18">
        <v>103645</v>
      </c>
      <c r="D867" s="2" t="s">
        <v>81</v>
      </c>
      <c r="E867" s="15">
        <v>6497.8</v>
      </c>
      <c r="F867" s="59">
        <v>42802</v>
      </c>
      <c r="G867" s="15">
        <f t="shared" si="27"/>
        <v>6497.8</v>
      </c>
      <c r="H867" s="15">
        <f t="shared" si="28"/>
        <v>0</v>
      </c>
      <c r="I867" s="19"/>
    </row>
    <row r="868" spans="1:9" ht="15.75" x14ac:dyDescent="0.25">
      <c r="A868" s="51">
        <v>42802</v>
      </c>
      <c r="B868" s="52" t="s">
        <v>8656</v>
      </c>
      <c r="C868" s="18">
        <v>103646</v>
      </c>
      <c r="D868" s="2" t="s">
        <v>448</v>
      </c>
      <c r="E868" s="15">
        <v>309.39999999999998</v>
      </c>
      <c r="F868" s="59">
        <v>42802</v>
      </c>
      <c r="G868" s="15">
        <f t="shared" si="27"/>
        <v>309.39999999999998</v>
      </c>
      <c r="H868" s="15">
        <f t="shared" si="28"/>
        <v>0</v>
      </c>
      <c r="I868" s="19"/>
    </row>
    <row r="869" spans="1:9" ht="15.75" x14ac:dyDescent="0.25">
      <c r="A869" s="51">
        <v>42802</v>
      </c>
      <c r="B869" s="52" t="s">
        <v>8657</v>
      </c>
      <c r="C869" s="18">
        <v>103647</v>
      </c>
      <c r="D869" s="2" t="s">
        <v>862</v>
      </c>
      <c r="E869" s="15">
        <v>5701.8</v>
      </c>
      <c r="F869" s="59">
        <v>42802</v>
      </c>
      <c r="G869" s="15">
        <f t="shared" si="27"/>
        <v>5701.8</v>
      </c>
      <c r="H869" s="15">
        <f t="shared" si="28"/>
        <v>0</v>
      </c>
      <c r="I869" s="19"/>
    </row>
    <row r="870" spans="1:9" ht="15.75" x14ac:dyDescent="0.25">
      <c r="A870" s="51">
        <v>42802</v>
      </c>
      <c r="B870" s="52" t="s">
        <v>8658</v>
      </c>
      <c r="C870" s="18">
        <v>103648</v>
      </c>
      <c r="D870" s="2" t="s">
        <v>99</v>
      </c>
      <c r="E870" s="15">
        <v>1645</v>
      </c>
      <c r="F870" s="59">
        <v>42802</v>
      </c>
      <c r="G870" s="15">
        <f t="shared" si="27"/>
        <v>1645</v>
      </c>
      <c r="H870" s="15">
        <f t="shared" si="28"/>
        <v>0</v>
      </c>
      <c r="I870" s="19"/>
    </row>
    <row r="871" spans="1:9" ht="15.75" x14ac:dyDescent="0.25">
      <c r="A871" s="51">
        <v>42802</v>
      </c>
      <c r="B871" s="52" t="s">
        <v>8659</v>
      </c>
      <c r="C871" s="18">
        <v>103649</v>
      </c>
      <c r="D871" s="2" t="s">
        <v>281</v>
      </c>
      <c r="E871" s="15">
        <v>1763.5</v>
      </c>
      <c r="F871" s="59">
        <v>42802</v>
      </c>
      <c r="G871" s="15">
        <f t="shared" si="27"/>
        <v>1763.5</v>
      </c>
      <c r="H871" s="15">
        <f t="shared" si="28"/>
        <v>0</v>
      </c>
      <c r="I871" s="19"/>
    </row>
    <row r="872" spans="1:9" ht="15.75" x14ac:dyDescent="0.25">
      <c r="A872" s="51">
        <v>42802</v>
      </c>
      <c r="B872" s="52" t="s">
        <v>8660</v>
      </c>
      <c r="C872" s="18">
        <v>103650</v>
      </c>
      <c r="D872" s="2" t="s">
        <v>450</v>
      </c>
      <c r="E872" s="15">
        <v>2121.6999999999998</v>
      </c>
      <c r="F872" s="59">
        <v>42802</v>
      </c>
      <c r="G872" s="15">
        <f t="shared" si="27"/>
        <v>2121.6999999999998</v>
      </c>
      <c r="H872" s="15">
        <f t="shared" si="28"/>
        <v>0</v>
      </c>
      <c r="I872" s="19"/>
    </row>
    <row r="873" spans="1:9" ht="15.75" x14ac:dyDescent="0.25">
      <c r="A873" s="51">
        <v>42802</v>
      </c>
      <c r="B873" s="52" t="s">
        <v>8661</v>
      </c>
      <c r="C873" s="18">
        <v>103651</v>
      </c>
      <c r="D873" s="2" t="s">
        <v>83</v>
      </c>
      <c r="E873" s="15">
        <v>3675</v>
      </c>
      <c r="G873" s="15">
        <f t="shared" si="27"/>
        <v>3675</v>
      </c>
      <c r="H873" s="15">
        <f t="shared" si="28"/>
        <v>0</v>
      </c>
      <c r="I873" s="19"/>
    </row>
    <row r="874" spans="1:9" ht="15.75" x14ac:dyDescent="0.25">
      <c r="A874" s="51">
        <v>42802</v>
      </c>
      <c r="B874" s="52" t="s">
        <v>8662</v>
      </c>
      <c r="C874" s="18">
        <v>103652</v>
      </c>
      <c r="D874" s="2" t="s">
        <v>1267</v>
      </c>
      <c r="E874" s="15">
        <v>5706.2</v>
      </c>
      <c r="F874" s="59">
        <v>42802</v>
      </c>
      <c r="G874" s="15">
        <f t="shared" si="27"/>
        <v>5706.2</v>
      </c>
      <c r="H874" s="15">
        <f t="shared" si="28"/>
        <v>0</v>
      </c>
      <c r="I874" s="19"/>
    </row>
    <row r="875" spans="1:9" ht="15.75" x14ac:dyDescent="0.25">
      <c r="A875" s="51">
        <v>42802</v>
      </c>
      <c r="B875" s="52" t="s">
        <v>8663</v>
      </c>
      <c r="C875" s="18">
        <v>103653</v>
      </c>
      <c r="D875" s="2" t="s">
        <v>3649</v>
      </c>
      <c r="E875" s="15">
        <v>2844.2</v>
      </c>
      <c r="F875" s="59">
        <v>42802</v>
      </c>
      <c r="G875" s="15">
        <f t="shared" si="27"/>
        <v>2844.2</v>
      </c>
      <c r="H875" s="15">
        <f t="shared" si="28"/>
        <v>0</v>
      </c>
      <c r="I875" s="19"/>
    </row>
    <row r="876" spans="1:9" ht="15.75" x14ac:dyDescent="0.25">
      <c r="A876" s="51">
        <v>42802</v>
      </c>
      <c r="B876" s="52" t="s">
        <v>8664</v>
      </c>
      <c r="C876" s="18">
        <v>103654</v>
      </c>
      <c r="D876" s="2" t="s">
        <v>773</v>
      </c>
      <c r="E876" s="15">
        <v>1944</v>
      </c>
      <c r="F876" s="59">
        <v>42802</v>
      </c>
      <c r="G876" s="15">
        <f t="shared" si="27"/>
        <v>1944</v>
      </c>
      <c r="H876" s="15">
        <f t="shared" si="28"/>
        <v>0</v>
      </c>
      <c r="I876" s="19"/>
    </row>
    <row r="877" spans="1:9" ht="15.75" x14ac:dyDescent="0.25">
      <c r="A877" s="51">
        <v>42802</v>
      </c>
      <c r="B877" s="52" t="s">
        <v>8665</v>
      </c>
      <c r="C877" s="18">
        <v>103655</v>
      </c>
      <c r="D877" s="2" t="s">
        <v>159</v>
      </c>
      <c r="E877" s="15">
        <v>8159.6</v>
      </c>
      <c r="F877" s="59">
        <v>42803</v>
      </c>
      <c r="G877" s="15">
        <f t="shared" si="27"/>
        <v>8159.6</v>
      </c>
      <c r="H877" s="15">
        <f t="shared" si="28"/>
        <v>0</v>
      </c>
      <c r="I877" s="19"/>
    </row>
    <row r="878" spans="1:9" ht="15.75" x14ac:dyDescent="0.25">
      <c r="A878" s="51">
        <v>42802</v>
      </c>
      <c r="B878" s="52" t="s">
        <v>8666</v>
      </c>
      <c r="C878" s="18">
        <v>103656</v>
      </c>
      <c r="D878" s="2" t="s">
        <v>305</v>
      </c>
      <c r="E878" s="15">
        <v>2339.4</v>
      </c>
      <c r="F878" s="59">
        <v>42809</v>
      </c>
      <c r="G878" s="15">
        <f t="shared" si="27"/>
        <v>2339.4</v>
      </c>
      <c r="H878" s="15">
        <f t="shared" si="28"/>
        <v>0</v>
      </c>
      <c r="I878" s="19"/>
    </row>
    <row r="879" spans="1:9" ht="15.75" x14ac:dyDescent="0.25">
      <c r="A879" s="51">
        <v>42802</v>
      </c>
      <c r="B879" s="52" t="s">
        <v>8667</v>
      </c>
      <c r="C879" s="18">
        <v>103657</v>
      </c>
      <c r="D879" s="2" t="s">
        <v>476</v>
      </c>
      <c r="E879" s="15">
        <v>9376.1</v>
      </c>
      <c r="F879" s="59">
        <v>42808</v>
      </c>
      <c r="G879" s="15">
        <f t="shared" si="27"/>
        <v>9376.1</v>
      </c>
      <c r="H879" s="15">
        <f t="shared" si="28"/>
        <v>0</v>
      </c>
      <c r="I879" s="19"/>
    </row>
    <row r="880" spans="1:9" ht="15.75" x14ac:dyDescent="0.25">
      <c r="A880" s="51">
        <v>42802</v>
      </c>
      <c r="B880" s="52" t="s">
        <v>8668</v>
      </c>
      <c r="C880" s="18">
        <v>103658</v>
      </c>
      <c r="D880" s="2" t="s">
        <v>697</v>
      </c>
      <c r="E880" s="15">
        <v>34701</v>
      </c>
      <c r="F880" s="59">
        <v>42810</v>
      </c>
      <c r="G880" s="15">
        <f t="shared" si="27"/>
        <v>34701</v>
      </c>
      <c r="H880" s="15">
        <f t="shared" si="28"/>
        <v>0</v>
      </c>
      <c r="I880" s="19"/>
    </row>
    <row r="881" spans="1:9" ht="15.75" x14ac:dyDescent="0.25">
      <c r="A881" s="51">
        <v>42802</v>
      </c>
      <c r="B881" s="52" t="s">
        <v>8669</v>
      </c>
      <c r="C881" s="18">
        <v>103659</v>
      </c>
      <c r="D881" s="2" t="s">
        <v>30</v>
      </c>
      <c r="E881" s="15">
        <v>3427.6</v>
      </c>
      <c r="F881" s="59">
        <v>42802</v>
      </c>
      <c r="G881" s="15">
        <f t="shared" si="27"/>
        <v>3427.6</v>
      </c>
      <c r="H881" s="15">
        <f t="shared" si="28"/>
        <v>0</v>
      </c>
      <c r="I881" s="19"/>
    </row>
    <row r="882" spans="1:9" ht="15.75" x14ac:dyDescent="0.25">
      <c r="A882" s="51">
        <v>42802</v>
      </c>
      <c r="B882" s="52" t="s">
        <v>8670</v>
      </c>
      <c r="C882" s="18">
        <v>103660</v>
      </c>
      <c r="D882" s="2" t="s">
        <v>492</v>
      </c>
      <c r="E882" s="15">
        <v>16835.900000000001</v>
      </c>
      <c r="F882" s="59">
        <v>42806</v>
      </c>
      <c r="G882" s="15">
        <f t="shared" si="27"/>
        <v>16835.900000000001</v>
      </c>
      <c r="H882" s="15">
        <f t="shared" si="28"/>
        <v>0</v>
      </c>
      <c r="I882" s="19"/>
    </row>
    <row r="883" spans="1:9" ht="15.75" x14ac:dyDescent="0.25">
      <c r="A883" s="51">
        <v>42802</v>
      </c>
      <c r="B883" s="52" t="s">
        <v>8671</v>
      </c>
      <c r="C883" s="18">
        <v>103661</v>
      </c>
      <c r="D883" s="2" t="s">
        <v>30</v>
      </c>
      <c r="E883" s="15">
        <v>1593</v>
      </c>
      <c r="F883" s="59">
        <v>42802</v>
      </c>
      <c r="G883" s="15">
        <f t="shared" si="27"/>
        <v>1593</v>
      </c>
      <c r="H883" s="15">
        <f t="shared" si="28"/>
        <v>0</v>
      </c>
      <c r="I883" s="19"/>
    </row>
    <row r="884" spans="1:9" ht="15.75" x14ac:dyDescent="0.25">
      <c r="A884" s="51">
        <v>42802</v>
      </c>
      <c r="B884" s="52" t="s">
        <v>8672</v>
      </c>
      <c r="C884" s="18">
        <v>103662</v>
      </c>
      <c r="D884" s="13" t="s">
        <v>879</v>
      </c>
      <c r="E884" s="14">
        <v>0</v>
      </c>
      <c r="F884" s="102" t="s">
        <v>95</v>
      </c>
      <c r="G884" s="14">
        <f t="shared" si="27"/>
        <v>0</v>
      </c>
      <c r="H884" s="14">
        <f t="shared" si="28"/>
        <v>0</v>
      </c>
      <c r="I884" s="19"/>
    </row>
    <row r="885" spans="1:9" ht="15.75" x14ac:dyDescent="0.25">
      <c r="A885" s="51">
        <v>42802</v>
      </c>
      <c r="B885" s="52" t="s">
        <v>8673</v>
      </c>
      <c r="C885" s="18">
        <v>103663</v>
      </c>
      <c r="D885" s="2" t="s">
        <v>879</v>
      </c>
      <c r="E885" s="15">
        <v>2893.4</v>
      </c>
      <c r="F885" s="59">
        <v>42802</v>
      </c>
      <c r="G885" s="15">
        <f t="shared" si="27"/>
        <v>2893.4</v>
      </c>
      <c r="H885" s="15">
        <f t="shared" si="28"/>
        <v>0</v>
      </c>
      <c r="I885" s="19"/>
    </row>
    <row r="886" spans="1:9" ht="15.75" x14ac:dyDescent="0.25">
      <c r="A886" s="51">
        <v>42802</v>
      </c>
      <c r="B886" s="52" t="s">
        <v>8674</v>
      </c>
      <c r="C886" s="18">
        <v>103664</v>
      </c>
      <c r="D886" s="2" t="s">
        <v>329</v>
      </c>
      <c r="E886" s="15">
        <v>546.4</v>
      </c>
      <c r="F886" s="59">
        <v>42802</v>
      </c>
      <c r="G886" s="15">
        <f t="shared" si="27"/>
        <v>546.4</v>
      </c>
      <c r="H886" s="15">
        <f t="shared" si="28"/>
        <v>0</v>
      </c>
      <c r="I886" s="19"/>
    </row>
    <row r="887" spans="1:9" ht="15.75" x14ac:dyDescent="0.25">
      <c r="A887" s="51">
        <v>42802</v>
      </c>
      <c r="B887" s="52" t="s">
        <v>8675</v>
      </c>
      <c r="C887" s="18">
        <v>103665</v>
      </c>
      <c r="D887" s="2" t="s">
        <v>2240</v>
      </c>
      <c r="E887" s="15">
        <v>2469.6</v>
      </c>
      <c r="F887" s="59">
        <v>42802</v>
      </c>
      <c r="G887" s="15">
        <f t="shared" si="27"/>
        <v>2469.6</v>
      </c>
      <c r="H887" s="15">
        <f t="shared" si="28"/>
        <v>0</v>
      </c>
      <c r="I887" s="19"/>
    </row>
    <row r="888" spans="1:9" ht="15.75" x14ac:dyDescent="0.25">
      <c r="A888" s="51">
        <v>42802</v>
      </c>
      <c r="B888" s="52" t="s">
        <v>8676</v>
      </c>
      <c r="C888" s="18">
        <v>103666</v>
      </c>
      <c r="D888" s="2" t="s">
        <v>155</v>
      </c>
      <c r="E888" s="15">
        <v>18284.3</v>
      </c>
      <c r="F888" s="59">
        <v>42805</v>
      </c>
      <c r="G888" s="15">
        <f t="shared" si="27"/>
        <v>18284.3</v>
      </c>
      <c r="H888" s="15">
        <f t="shared" si="28"/>
        <v>0</v>
      </c>
      <c r="I888" s="19"/>
    </row>
    <row r="889" spans="1:9" ht="15.75" x14ac:dyDescent="0.25">
      <c r="A889" s="51">
        <v>42802</v>
      </c>
      <c r="B889" s="52" t="s">
        <v>8677</v>
      </c>
      <c r="C889" s="18">
        <v>103667</v>
      </c>
      <c r="D889" s="2" t="s">
        <v>145</v>
      </c>
      <c r="E889" s="15">
        <v>14799.9</v>
      </c>
      <c r="F889" s="59">
        <v>42803</v>
      </c>
      <c r="G889" s="15">
        <f t="shared" si="27"/>
        <v>14799.9</v>
      </c>
      <c r="H889" s="15">
        <f t="shared" si="28"/>
        <v>0</v>
      </c>
      <c r="I889" s="19"/>
    </row>
    <row r="890" spans="1:9" ht="15.75" x14ac:dyDescent="0.25">
      <c r="A890" s="51">
        <v>42802</v>
      </c>
      <c r="B890" s="52" t="s">
        <v>8678</v>
      </c>
      <c r="C890" s="18">
        <v>103668</v>
      </c>
      <c r="D890" s="13" t="s">
        <v>61</v>
      </c>
      <c r="E890" s="14">
        <v>0</v>
      </c>
      <c r="F890" s="102" t="s">
        <v>95</v>
      </c>
      <c r="G890" s="14">
        <f t="shared" si="27"/>
        <v>0</v>
      </c>
      <c r="H890" s="14">
        <f t="shared" si="28"/>
        <v>0</v>
      </c>
      <c r="I890" s="19"/>
    </row>
    <row r="891" spans="1:9" ht="15.75" x14ac:dyDescent="0.25">
      <c r="A891" s="51">
        <v>42802</v>
      </c>
      <c r="B891" s="52" t="s">
        <v>8679</v>
      </c>
      <c r="C891" s="18">
        <v>103669</v>
      </c>
      <c r="D891" s="2" t="s">
        <v>172</v>
      </c>
      <c r="E891" s="15">
        <v>14950.6</v>
      </c>
      <c r="F891" s="59">
        <v>42816</v>
      </c>
      <c r="G891" s="15">
        <f t="shared" si="27"/>
        <v>14950.6</v>
      </c>
      <c r="H891" s="15">
        <f t="shared" si="28"/>
        <v>0</v>
      </c>
      <c r="I891" s="19"/>
    </row>
    <row r="892" spans="1:9" ht="15.75" x14ac:dyDescent="0.25">
      <c r="A892" s="51">
        <v>42802</v>
      </c>
      <c r="B892" s="52" t="s">
        <v>8680</v>
      </c>
      <c r="C892" s="18">
        <v>103670</v>
      </c>
      <c r="D892" s="2" t="s">
        <v>165</v>
      </c>
      <c r="E892" s="15">
        <v>10037.1</v>
      </c>
      <c r="F892" s="59">
        <v>42826</v>
      </c>
      <c r="G892" s="15">
        <f t="shared" si="27"/>
        <v>10037.1</v>
      </c>
      <c r="H892" s="15">
        <f t="shared" si="28"/>
        <v>0</v>
      </c>
      <c r="I892" s="19"/>
    </row>
    <row r="893" spans="1:9" ht="15.75" x14ac:dyDescent="0.25">
      <c r="A893" s="51">
        <v>42802</v>
      </c>
      <c r="B893" s="52" t="s">
        <v>8681</v>
      </c>
      <c r="C893" s="18">
        <v>103671</v>
      </c>
      <c r="D893" s="2" t="s">
        <v>30</v>
      </c>
      <c r="E893" s="15">
        <v>817.2</v>
      </c>
      <c r="F893" s="59">
        <v>42802</v>
      </c>
      <c r="G893" s="15">
        <f t="shared" si="27"/>
        <v>817.2</v>
      </c>
      <c r="H893" s="15">
        <f t="shared" si="28"/>
        <v>0</v>
      </c>
      <c r="I893" s="19"/>
    </row>
    <row r="894" spans="1:9" ht="15.75" x14ac:dyDescent="0.25">
      <c r="A894" s="51">
        <v>42802</v>
      </c>
      <c r="B894" s="52" t="s">
        <v>8682</v>
      </c>
      <c r="C894" s="18">
        <v>103672</v>
      </c>
      <c r="D894" s="2" t="s">
        <v>2054</v>
      </c>
      <c r="E894" s="15">
        <v>1400.6</v>
      </c>
      <c r="F894" s="59">
        <v>42802</v>
      </c>
      <c r="G894" s="15">
        <f t="shared" si="27"/>
        <v>1400.6</v>
      </c>
      <c r="H894" s="15">
        <f t="shared" si="28"/>
        <v>0</v>
      </c>
      <c r="I894" s="19"/>
    </row>
    <row r="895" spans="1:9" ht="15.75" x14ac:dyDescent="0.25">
      <c r="A895" s="51">
        <v>42802</v>
      </c>
      <c r="B895" s="52" t="s">
        <v>8683</v>
      </c>
      <c r="C895" s="18">
        <v>103673</v>
      </c>
      <c r="D895" s="2" t="s">
        <v>2054</v>
      </c>
      <c r="E895" s="15">
        <v>382.5</v>
      </c>
      <c r="F895" s="59">
        <v>42802</v>
      </c>
      <c r="G895" s="15">
        <f t="shared" si="27"/>
        <v>382.5</v>
      </c>
      <c r="H895" s="15">
        <f t="shared" si="28"/>
        <v>0</v>
      </c>
      <c r="I895" s="19"/>
    </row>
    <row r="896" spans="1:9" ht="15.75" x14ac:dyDescent="0.25">
      <c r="A896" s="51">
        <v>42802</v>
      </c>
      <c r="B896" s="52" t="s">
        <v>8684</v>
      </c>
      <c r="C896" s="18">
        <v>103674</v>
      </c>
      <c r="D896" s="2" t="s">
        <v>161</v>
      </c>
      <c r="E896" s="15">
        <v>26402.6</v>
      </c>
      <c r="F896" s="59">
        <v>42818</v>
      </c>
      <c r="G896" s="15">
        <f t="shared" si="27"/>
        <v>26402.6</v>
      </c>
      <c r="H896" s="15">
        <f t="shared" si="28"/>
        <v>0</v>
      </c>
      <c r="I896" s="19"/>
    </row>
    <row r="897" spans="1:9" ht="15.75" x14ac:dyDescent="0.25">
      <c r="A897" s="51">
        <v>42802</v>
      </c>
      <c r="B897" s="52" t="s">
        <v>8685</v>
      </c>
      <c r="C897" s="18">
        <v>103675</v>
      </c>
      <c r="D897" s="2" t="s">
        <v>205</v>
      </c>
      <c r="E897" s="15">
        <v>31343.4</v>
      </c>
      <c r="F897" s="59">
        <v>42850</v>
      </c>
      <c r="G897" s="15">
        <f t="shared" si="27"/>
        <v>31343.4</v>
      </c>
      <c r="H897" s="15">
        <f t="shared" si="28"/>
        <v>0</v>
      </c>
      <c r="I897" s="19"/>
    </row>
    <row r="898" spans="1:9" ht="15.75" x14ac:dyDescent="0.25">
      <c r="A898" s="51">
        <v>42802</v>
      </c>
      <c r="B898" s="52" t="s">
        <v>8686</v>
      </c>
      <c r="C898" s="18">
        <v>103676</v>
      </c>
      <c r="D898" s="2" t="s">
        <v>2528</v>
      </c>
      <c r="E898" s="15">
        <v>1715</v>
      </c>
      <c r="F898" s="59">
        <v>42802</v>
      </c>
      <c r="G898" s="15">
        <f t="shared" si="27"/>
        <v>1715</v>
      </c>
      <c r="H898" s="15">
        <f t="shared" si="28"/>
        <v>0</v>
      </c>
      <c r="I898" s="19"/>
    </row>
    <row r="899" spans="1:9" ht="15.75" x14ac:dyDescent="0.25">
      <c r="A899" s="51">
        <v>42802</v>
      </c>
      <c r="B899" s="52" t="s">
        <v>8687</v>
      </c>
      <c r="C899" s="18">
        <v>103677</v>
      </c>
      <c r="D899" s="2" t="s">
        <v>486</v>
      </c>
      <c r="E899" s="15">
        <v>2918.4</v>
      </c>
      <c r="F899" s="59">
        <v>42802</v>
      </c>
      <c r="G899" s="15">
        <f t="shared" si="27"/>
        <v>2918.4</v>
      </c>
      <c r="H899" s="15">
        <f t="shared" si="28"/>
        <v>0</v>
      </c>
      <c r="I899" s="19"/>
    </row>
    <row r="900" spans="1:9" ht="15.75" x14ac:dyDescent="0.25">
      <c r="A900" s="51">
        <v>42802</v>
      </c>
      <c r="B900" s="52" t="s">
        <v>8688</v>
      </c>
      <c r="C900" s="18">
        <v>103678</v>
      </c>
      <c r="D900" s="2" t="s">
        <v>2616</v>
      </c>
      <c r="E900" s="15">
        <v>1536</v>
      </c>
      <c r="F900" s="59">
        <v>42802</v>
      </c>
      <c r="G900" s="15">
        <f t="shared" ref="G900:G963" si="29">E900</f>
        <v>1536</v>
      </c>
      <c r="H900" s="15">
        <f t="shared" ref="H900:H963" si="30">E900-G900</f>
        <v>0</v>
      </c>
      <c r="I900" s="19"/>
    </row>
    <row r="901" spans="1:9" ht="15.75" x14ac:dyDescent="0.25">
      <c r="A901" s="51">
        <v>42802</v>
      </c>
      <c r="B901" s="52" t="s">
        <v>8689</v>
      </c>
      <c r="C901" s="18">
        <v>103679</v>
      </c>
      <c r="D901" s="2" t="s">
        <v>10</v>
      </c>
      <c r="E901" s="15">
        <v>84562.1</v>
      </c>
      <c r="F901" s="59">
        <v>42804</v>
      </c>
      <c r="G901" s="15">
        <f t="shared" si="29"/>
        <v>84562.1</v>
      </c>
      <c r="H901" s="15">
        <f t="shared" si="30"/>
        <v>0</v>
      </c>
      <c r="I901" s="19"/>
    </row>
    <row r="902" spans="1:9" ht="15.75" x14ac:dyDescent="0.25">
      <c r="A902" s="51">
        <v>42802</v>
      </c>
      <c r="B902" s="52" t="s">
        <v>8690</v>
      </c>
      <c r="C902" s="18">
        <v>103680</v>
      </c>
      <c r="D902" s="2" t="s">
        <v>115</v>
      </c>
      <c r="E902" s="15">
        <v>323.2</v>
      </c>
      <c r="F902" s="59">
        <v>42802</v>
      </c>
      <c r="G902" s="15">
        <f t="shared" si="29"/>
        <v>323.2</v>
      </c>
      <c r="H902" s="15">
        <f t="shared" si="30"/>
        <v>0</v>
      </c>
      <c r="I902" s="19"/>
    </row>
    <row r="903" spans="1:9" ht="15.75" x14ac:dyDescent="0.25">
      <c r="A903" s="51">
        <v>42802</v>
      </c>
      <c r="B903" s="52" t="s">
        <v>8691</v>
      </c>
      <c r="C903" s="18">
        <v>103681</v>
      </c>
      <c r="D903" s="2" t="s">
        <v>9</v>
      </c>
      <c r="E903" s="15">
        <v>7520.1</v>
      </c>
      <c r="F903" s="59">
        <v>42810</v>
      </c>
      <c r="G903" s="15">
        <f t="shared" si="29"/>
        <v>7520.1</v>
      </c>
      <c r="H903" s="15">
        <f t="shared" si="30"/>
        <v>0</v>
      </c>
      <c r="I903" s="19"/>
    </row>
    <row r="904" spans="1:9" ht="15.75" x14ac:dyDescent="0.25">
      <c r="A904" s="51">
        <v>42802</v>
      </c>
      <c r="B904" s="52" t="s">
        <v>8692</v>
      </c>
      <c r="C904" s="18">
        <v>103682</v>
      </c>
      <c r="D904" s="2" t="s">
        <v>147</v>
      </c>
      <c r="E904" s="15">
        <v>15388.8</v>
      </c>
      <c r="G904" s="15">
        <f t="shared" si="29"/>
        <v>15388.8</v>
      </c>
      <c r="H904" s="15">
        <f t="shared" si="30"/>
        <v>0</v>
      </c>
      <c r="I904" s="19"/>
    </row>
    <row r="905" spans="1:9" ht="15.75" x14ac:dyDescent="0.25">
      <c r="A905" s="51">
        <v>42802</v>
      </c>
      <c r="B905" s="52" t="s">
        <v>8693</v>
      </c>
      <c r="C905" s="18">
        <v>103683</v>
      </c>
      <c r="D905" s="2" t="s">
        <v>1380</v>
      </c>
      <c r="E905" s="15">
        <v>6534.5</v>
      </c>
      <c r="F905" s="59">
        <v>42803</v>
      </c>
      <c r="G905" s="15">
        <f t="shared" si="29"/>
        <v>6534.5</v>
      </c>
      <c r="H905" s="15">
        <f t="shared" si="30"/>
        <v>0</v>
      </c>
      <c r="I905" s="19"/>
    </row>
    <row r="906" spans="1:9" ht="15.75" x14ac:dyDescent="0.25">
      <c r="A906" s="51">
        <v>42802</v>
      </c>
      <c r="B906" s="52" t="s">
        <v>8694</v>
      </c>
      <c r="C906" s="18">
        <v>103684</v>
      </c>
      <c r="D906" s="2" t="s">
        <v>61</v>
      </c>
      <c r="E906" s="15">
        <v>3630</v>
      </c>
      <c r="F906" s="59">
        <v>42803</v>
      </c>
      <c r="G906" s="15">
        <f t="shared" si="29"/>
        <v>3630</v>
      </c>
      <c r="H906" s="15">
        <f t="shared" si="30"/>
        <v>0</v>
      </c>
      <c r="I906" s="19"/>
    </row>
    <row r="907" spans="1:9" ht="15.75" x14ac:dyDescent="0.25">
      <c r="A907" s="51">
        <v>42802</v>
      </c>
      <c r="B907" s="52" t="s">
        <v>8695</v>
      </c>
      <c r="C907" s="18">
        <v>103685</v>
      </c>
      <c r="D907" s="2" t="s">
        <v>10</v>
      </c>
      <c r="E907" s="15">
        <v>60596.800000000003</v>
      </c>
      <c r="F907" s="64" t="s">
        <v>8598</v>
      </c>
      <c r="G907" s="20">
        <f>34801.57+25795.23</f>
        <v>60596.800000000003</v>
      </c>
      <c r="H907" s="20">
        <f t="shared" si="30"/>
        <v>0</v>
      </c>
      <c r="I907" s="19"/>
    </row>
    <row r="908" spans="1:9" ht="15.75" x14ac:dyDescent="0.25">
      <c r="A908" s="51">
        <v>42802</v>
      </c>
      <c r="B908" s="52" t="s">
        <v>8696</v>
      </c>
      <c r="C908" s="18">
        <v>103686</v>
      </c>
      <c r="D908" s="2" t="s">
        <v>222</v>
      </c>
      <c r="E908" s="15">
        <v>184815</v>
      </c>
      <c r="F908" s="59">
        <v>42803</v>
      </c>
      <c r="G908" s="15">
        <f t="shared" si="29"/>
        <v>184815</v>
      </c>
      <c r="H908" s="15">
        <f t="shared" si="30"/>
        <v>0</v>
      </c>
      <c r="I908" s="19"/>
    </row>
    <row r="909" spans="1:9" ht="15.75" x14ac:dyDescent="0.25">
      <c r="A909" s="51">
        <v>42802</v>
      </c>
      <c r="B909" s="52" t="s">
        <v>8697</v>
      </c>
      <c r="C909" s="18">
        <v>103687</v>
      </c>
      <c r="D909" s="2" t="s">
        <v>10</v>
      </c>
      <c r="E909" s="15">
        <v>191709.34</v>
      </c>
      <c r="F909" s="59">
        <v>42805</v>
      </c>
      <c r="G909" s="15">
        <f t="shared" si="29"/>
        <v>191709.34</v>
      </c>
      <c r="H909" s="15">
        <f t="shared" si="30"/>
        <v>0</v>
      </c>
      <c r="I909" s="19"/>
    </row>
    <row r="910" spans="1:9" ht="15.75" x14ac:dyDescent="0.25">
      <c r="A910" s="51">
        <v>42802</v>
      </c>
      <c r="B910" s="52" t="s">
        <v>8698</v>
      </c>
      <c r="C910" s="18">
        <v>103688</v>
      </c>
      <c r="D910" s="2" t="s">
        <v>523</v>
      </c>
      <c r="E910" s="15">
        <v>27543.599999999999</v>
      </c>
      <c r="F910" s="59">
        <v>42812</v>
      </c>
      <c r="G910" s="15">
        <f t="shared" si="29"/>
        <v>27543.599999999999</v>
      </c>
      <c r="H910" s="15">
        <f t="shared" si="30"/>
        <v>0</v>
      </c>
      <c r="I910" s="19"/>
    </row>
    <row r="911" spans="1:9" ht="15.75" x14ac:dyDescent="0.25">
      <c r="A911" s="51">
        <v>42802</v>
      </c>
      <c r="B911" s="52" t="s">
        <v>8699</v>
      </c>
      <c r="C911" s="18">
        <v>103689</v>
      </c>
      <c r="D911" s="2" t="s">
        <v>10</v>
      </c>
      <c r="E911" s="15">
        <v>4600</v>
      </c>
      <c r="F911" s="59">
        <v>42805</v>
      </c>
      <c r="G911" s="15">
        <f t="shared" si="29"/>
        <v>4600</v>
      </c>
      <c r="H911" s="15">
        <f t="shared" si="30"/>
        <v>0</v>
      </c>
      <c r="I911" s="19"/>
    </row>
    <row r="912" spans="1:9" ht="15.75" x14ac:dyDescent="0.25">
      <c r="A912" s="51">
        <v>42802</v>
      </c>
      <c r="B912" s="52" t="s">
        <v>8700</v>
      </c>
      <c r="C912" s="18">
        <v>103690</v>
      </c>
      <c r="D912" s="2" t="s">
        <v>205</v>
      </c>
      <c r="E912" s="15">
        <v>36500</v>
      </c>
      <c r="F912" s="59">
        <v>42850</v>
      </c>
      <c r="G912" s="15">
        <f t="shared" si="29"/>
        <v>36500</v>
      </c>
      <c r="H912" s="15">
        <f t="shared" si="30"/>
        <v>0</v>
      </c>
      <c r="I912" s="19"/>
    </row>
    <row r="913" spans="1:9" ht="67.5" x14ac:dyDescent="0.25">
      <c r="A913" s="51">
        <v>42802</v>
      </c>
      <c r="B913" s="52" t="s">
        <v>8701</v>
      </c>
      <c r="C913" s="18">
        <v>103691</v>
      </c>
      <c r="D913" s="2" t="s">
        <v>8702</v>
      </c>
      <c r="E913" s="15">
        <v>4550</v>
      </c>
      <c r="F913" s="223" t="s">
        <v>19663</v>
      </c>
      <c r="G913" s="107">
        <f>300+300+300+300+350+300+300+400+300+300+300+300+300+500</f>
        <v>4550</v>
      </c>
      <c r="H913" s="133">
        <f t="shared" si="30"/>
        <v>0</v>
      </c>
      <c r="I913" s="19"/>
    </row>
    <row r="914" spans="1:9" ht="15.75" x14ac:dyDescent="0.25">
      <c r="A914" s="51">
        <v>42802</v>
      </c>
      <c r="B914" s="52" t="s">
        <v>8703</v>
      </c>
      <c r="C914" s="18">
        <v>103692</v>
      </c>
      <c r="D914" s="2" t="s">
        <v>800</v>
      </c>
      <c r="E914" s="15">
        <v>12217.68</v>
      </c>
      <c r="F914" s="59">
        <v>42808</v>
      </c>
      <c r="G914" s="15">
        <f t="shared" si="29"/>
        <v>12217.68</v>
      </c>
      <c r="H914" s="15">
        <f t="shared" si="30"/>
        <v>0</v>
      </c>
      <c r="I914" s="19"/>
    </row>
    <row r="915" spans="1:9" ht="15.75" x14ac:dyDescent="0.25">
      <c r="A915" s="51">
        <v>42802</v>
      </c>
      <c r="B915" s="52" t="s">
        <v>8704</v>
      </c>
      <c r="C915" s="18">
        <v>103693</v>
      </c>
      <c r="D915" s="2" t="s">
        <v>222</v>
      </c>
      <c r="E915" s="15">
        <v>47056</v>
      </c>
      <c r="F915" s="59">
        <v>42803</v>
      </c>
      <c r="G915" s="15">
        <f t="shared" si="29"/>
        <v>47056</v>
      </c>
      <c r="H915" s="15">
        <f t="shared" si="30"/>
        <v>0</v>
      </c>
      <c r="I915" s="19"/>
    </row>
    <row r="916" spans="1:9" ht="15.75" x14ac:dyDescent="0.25">
      <c r="A916" s="51">
        <v>42802</v>
      </c>
      <c r="B916" s="52" t="s">
        <v>8705</v>
      </c>
      <c r="C916" s="18">
        <v>103694</v>
      </c>
      <c r="D916" s="2" t="s">
        <v>921</v>
      </c>
      <c r="E916" s="15">
        <v>6839.7</v>
      </c>
      <c r="F916" s="59">
        <v>42804</v>
      </c>
      <c r="G916" s="15">
        <f t="shared" si="29"/>
        <v>6839.7</v>
      </c>
      <c r="H916" s="15">
        <f t="shared" si="30"/>
        <v>0</v>
      </c>
      <c r="I916" s="19"/>
    </row>
    <row r="917" spans="1:9" ht="15.75" x14ac:dyDescent="0.25">
      <c r="A917" s="51">
        <v>42802</v>
      </c>
      <c r="B917" s="52" t="s">
        <v>8706</v>
      </c>
      <c r="C917" s="18">
        <v>103695</v>
      </c>
      <c r="D917" s="2" t="s">
        <v>211</v>
      </c>
      <c r="E917" s="15">
        <v>8632.6</v>
      </c>
      <c r="F917" s="59">
        <v>42802</v>
      </c>
      <c r="G917" s="15">
        <f t="shared" si="29"/>
        <v>8632.6</v>
      </c>
      <c r="H917" s="15">
        <f t="shared" si="30"/>
        <v>0</v>
      </c>
      <c r="I917" s="19"/>
    </row>
    <row r="918" spans="1:9" ht="15.75" x14ac:dyDescent="0.25">
      <c r="A918" s="51">
        <v>42802</v>
      </c>
      <c r="B918" s="52" t="s">
        <v>8707</v>
      </c>
      <c r="C918" s="18">
        <v>103696</v>
      </c>
      <c r="D918" s="2" t="s">
        <v>30</v>
      </c>
      <c r="E918" s="15">
        <v>3592.6</v>
      </c>
      <c r="F918" s="59">
        <v>42802</v>
      </c>
      <c r="G918" s="15">
        <f t="shared" si="29"/>
        <v>3592.6</v>
      </c>
      <c r="H918" s="15">
        <f t="shared" si="30"/>
        <v>0</v>
      </c>
      <c r="I918" s="19"/>
    </row>
    <row r="919" spans="1:9" ht="15.75" x14ac:dyDescent="0.25">
      <c r="A919" s="51">
        <v>42802</v>
      </c>
      <c r="B919" s="52" t="s">
        <v>8708</v>
      </c>
      <c r="C919" s="18">
        <v>103697</v>
      </c>
      <c r="D919" s="2" t="s">
        <v>208</v>
      </c>
      <c r="E919" s="15">
        <v>6321</v>
      </c>
      <c r="F919" s="59">
        <v>42804</v>
      </c>
      <c r="G919" s="15">
        <f t="shared" si="29"/>
        <v>6321</v>
      </c>
      <c r="H919" s="15">
        <f t="shared" si="30"/>
        <v>0</v>
      </c>
      <c r="I919" s="19"/>
    </row>
    <row r="920" spans="1:9" ht="15.75" x14ac:dyDescent="0.25">
      <c r="A920" s="51">
        <v>42802</v>
      </c>
      <c r="B920" s="52" t="s">
        <v>8709</v>
      </c>
      <c r="C920" s="18">
        <v>103698</v>
      </c>
      <c r="D920" s="2" t="s">
        <v>220</v>
      </c>
      <c r="E920" s="15">
        <v>2897.6</v>
      </c>
      <c r="F920" s="59">
        <v>42803</v>
      </c>
      <c r="G920" s="15">
        <f t="shared" si="29"/>
        <v>2897.6</v>
      </c>
      <c r="H920" s="15">
        <f t="shared" si="30"/>
        <v>0</v>
      </c>
      <c r="I920" s="19"/>
    </row>
    <row r="921" spans="1:9" ht="15.75" x14ac:dyDescent="0.25">
      <c r="A921" s="51">
        <v>42802</v>
      </c>
      <c r="B921" s="52" t="s">
        <v>8710</v>
      </c>
      <c r="C921" s="18">
        <v>103699</v>
      </c>
      <c r="D921" s="2" t="s">
        <v>21</v>
      </c>
      <c r="E921" s="15">
        <v>45958.400000000001</v>
      </c>
      <c r="F921" s="59">
        <v>42815</v>
      </c>
      <c r="G921" s="15">
        <f t="shared" si="29"/>
        <v>45958.400000000001</v>
      </c>
      <c r="H921" s="15">
        <f t="shared" si="30"/>
        <v>0</v>
      </c>
      <c r="I921" s="19"/>
    </row>
    <row r="922" spans="1:9" ht="15.75" x14ac:dyDescent="0.25">
      <c r="A922" s="51">
        <v>42803</v>
      </c>
      <c r="B922" s="52" t="s">
        <v>8711</v>
      </c>
      <c r="C922" s="18">
        <v>103700</v>
      </c>
      <c r="D922" s="2" t="s">
        <v>231</v>
      </c>
      <c r="E922" s="15">
        <v>6491.8</v>
      </c>
      <c r="F922" s="59">
        <v>42805</v>
      </c>
      <c r="G922" s="15">
        <f t="shared" si="29"/>
        <v>6491.8</v>
      </c>
      <c r="H922" s="15">
        <f t="shared" si="30"/>
        <v>0</v>
      </c>
      <c r="I922" s="19"/>
    </row>
    <row r="923" spans="1:9" ht="15.75" x14ac:dyDescent="0.25">
      <c r="A923" s="51">
        <v>42803</v>
      </c>
      <c r="B923" s="52" t="s">
        <v>8712</v>
      </c>
      <c r="C923" s="18">
        <v>103701</v>
      </c>
      <c r="D923" s="2" t="s">
        <v>17</v>
      </c>
      <c r="E923" s="15">
        <v>2354.6999999999998</v>
      </c>
      <c r="F923" s="59">
        <v>42803</v>
      </c>
      <c r="G923" s="15">
        <f t="shared" si="29"/>
        <v>2354.6999999999998</v>
      </c>
      <c r="H923" s="15">
        <f t="shared" si="30"/>
        <v>0</v>
      </c>
      <c r="I923" s="19"/>
    </row>
    <row r="924" spans="1:9" ht="15.75" x14ac:dyDescent="0.25">
      <c r="A924" s="51">
        <v>42803</v>
      </c>
      <c r="B924" s="52" t="s">
        <v>8713</v>
      </c>
      <c r="C924" s="18">
        <v>103702</v>
      </c>
      <c r="D924" s="2" t="s">
        <v>231</v>
      </c>
      <c r="E924" s="15">
        <v>34061</v>
      </c>
      <c r="F924" s="64" t="s">
        <v>8598</v>
      </c>
      <c r="G924" s="20">
        <f>30000+4061</f>
        <v>34061</v>
      </c>
      <c r="H924" s="20">
        <f t="shared" si="30"/>
        <v>0</v>
      </c>
      <c r="I924" s="19"/>
    </row>
    <row r="925" spans="1:9" ht="15.75" x14ac:dyDescent="0.25">
      <c r="A925" s="51">
        <v>42803</v>
      </c>
      <c r="B925" s="52" t="s">
        <v>8714</v>
      </c>
      <c r="C925" s="18">
        <v>103703</v>
      </c>
      <c r="D925" s="2" t="s">
        <v>428</v>
      </c>
      <c r="E925" s="15">
        <v>1599.4</v>
      </c>
      <c r="F925" s="59">
        <v>42805</v>
      </c>
      <c r="G925" s="15">
        <f t="shared" si="29"/>
        <v>1599.4</v>
      </c>
      <c r="H925" s="15">
        <f t="shared" si="30"/>
        <v>0</v>
      </c>
      <c r="I925" s="19"/>
    </row>
    <row r="926" spans="1:9" ht="15.75" x14ac:dyDescent="0.25">
      <c r="A926" s="51">
        <v>42803</v>
      </c>
      <c r="B926" s="52" t="s">
        <v>8715</v>
      </c>
      <c r="C926" s="18">
        <v>103704</v>
      </c>
      <c r="D926" s="2" t="s">
        <v>26</v>
      </c>
      <c r="E926" s="15">
        <v>20738.7</v>
      </c>
      <c r="F926" s="59">
        <v>42803</v>
      </c>
      <c r="G926" s="15">
        <f t="shared" si="29"/>
        <v>20738.7</v>
      </c>
      <c r="H926" s="15">
        <f t="shared" si="30"/>
        <v>0</v>
      </c>
      <c r="I926" s="19"/>
    </row>
    <row r="927" spans="1:9" ht="15.75" x14ac:dyDescent="0.25">
      <c r="A927" s="51">
        <v>42803</v>
      </c>
      <c r="B927" s="52" t="s">
        <v>8716</v>
      </c>
      <c r="C927" s="18">
        <v>103705</v>
      </c>
      <c r="D927" s="2" t="s">
        <v>69</v>
      </c>
      <c r="E927" s="15">
        <v>3163.1</v>
      </c>
      <c r="F927" s="59">
        <v>42803</v>
      </c>
      <c r="G927" s="15">
        <f t="shared" si="29"/>
        <v>3163.1</v>
      </c>
      <c r="H927" s="15">
        <f t="shared" si="30"/>
        <v>0</v>
      </c>
      <c r="I927" s="19"/>
    </row>
    <row r="928" spans="1:9" ht="15.75" x14ac:dyDescent="0.25">
      <c r="A928" s="51">
        <v>42803</v>
      </c>
      <c r="B928" s="52" t="s">
        <v>8717</v>
      </c>
      <c r="C928" s="18">
        <v>103706</v>
      </c>
      <c r="D928" s="67" t="s">
        <v>32</v>
      </c>
      <c r="E928" s="20">
        <v>6120.2</v>
      </c>
      <c r="F928" s="64">
        <v>42810</v>
      </c>
      <c r="G928" s="20">
        <f t="shared" si="29"/>
        <v>6120.2</v>
      </c>
      <c r="H928" s="20">
        <f t="shared" si="30"/>
        <v>0</v>
      </c>
      <c r="I928" s="19"/>
    </row>
    <row r="929" spans="1:9" ht="15.75" x14ac:dyDescent="0.25">
      <c r="A929" s="51">
        <v>42803</v>
      </c>
      <c r="B929" s="52" t="s">
        <v>8718</v>
      </c>
      <c r="C929" s="18">
        <v>103707</v>
      </c>
      <c r="D929" s="2" t="s">
        <v>35</v>
      </c>
      <c r="E929" s="15">
        <v>8938.9</v>
      </c>
      <c r="F929" s="59">
        <v>42805</v>
      </c>
      <c r="G929" s="15">
        <f t="shared" si="29"/>
        <v>8938.9</v>
      </c>
      <c r="H929" s="15">
        <f t="shared" si="30"/>
        <v>0</v>
      </c>
      <c r="I929" s="19"/>
    </row>
    <row r="930" spans="1:9" ht="15.75" x14ac:dyDescent="0.25">
      <c r="A930" s="51">
        <v>42803</v>
      </c>
      <c r="B930" s="52" t="s">
        <v>8719</v>
      </c>
      <c r="C930" s="18">
        <v>103708</v>
      </c>
      <c r="D930" s="2" t="s">
        <v>38</v>
      </c>
      <c r="E930" s="15">
        <v>3053</v>
      </c>
      <c r="F930" s="59">
        <v>42805</v>
      </c>
      <c r="G930" s="15">
        <f t="shared" si="29"/>
        <v>3053</v>
      </c>
      <c r="H930" s="15">
        <f t="shared" si="30"/>
        <v>0</v>
      </c>
      <c r="I930" s="19"/>
    </row>
    <row r="931" spans="1:9" ht="15.75" x14ac:dyDescent="0.25">
      <c r="A931" s="51">
        <v>42803</v>
      </c>
      <c r="B931" s="52" t="s">
        <v>8720</v>
      </c>
      <c r="C931" s="18">
        <v>103709</v>
      </c>
      <c r="D931" s="2" t="s">
        <v>43</v>
      </c>
      <c r="E931" s="15">
        <v>3199</v>
      </c>
      <c r="F931" s="59">
        <v>42805</v>
      </c>
      <c r="G931" s="15">
        <f t="shared" si="29"/>
        <v>3199</v>
      </c>
      <c r="H931" s="15">
        <f t="shared" si="30"/>
        <v>0</v>
      </c>
      <c r="I931" s="19"/>
    </row>
    <row r="932" spans="1:9" ht="15.75" x14ac:dyDescent="0.25">
      <c r="A932" s="51">
        <v>42803</v>
      </c>
      <c r="B932" s="52" t="s">
        <v>8721</v>
      </c>
      <c r="C932" s="18">
        <v>103710</v>
      </c>
      <c r="D932" s="2" t="s">
        <v>253</v>
      </c>
      <c r="E932" s="15">
        <v>3318</v>
      </c>
      <c r="F932" s="59">
        <v>42807</v>
      </c>
      <c r="G932" s="15">
        <f t="shared" si="29"/>
        <v>3318</v>
      </c>
      <c r="H932" s="15">
        <f t="shared" si="30"/>
        <v>0</v>
      </c>
      <c r="I932" s="19"/>
    </row>
    <row r="933" spans="1:9" ht="15.75" x14ac:dyDescent="0.25">
      <c r="A933" s="51">
        <v>42803</v>
      </c>
      <c r="B933" s="52" t="s">
        <v>8722</v>
      </c>
      <c r="C933" s="18">
        <v>103711</v>
      </c>
      <c r="D933" s="2" t="s">
        <v>1573</v>
      </c>
      <c r="E933" s="15">
        <v>4806</v>
      </c>
      <c r="G933" s="15">
        <f t="shared" si="29"/>
        <v>4806</v>
      </c>
      <c r="H933" s="15">
        <f t="shared" si="30"/>
        <v>0</v>
      </c>
      <c r="I933" s="19"/>
    </row>
    <row r="934" spans="1:9" ht="15.75" x14ac:dyDescent="0.25">
      <c r="A934" s="51">
        <v>42803</v>
      </c>
      <c r="B934" s="52" t="s">
        <v>8723</v>
      </c>
      <c r="C934" s="18">
        <v>103712</v>
      </c>
      <c r="D934" s="2" t="s">
        <v>21</v>
      </c>
      <c r="E934" s="15">
        <v>41065</v>
      </c>
      <c r="F934" s="59">
        <v>42815</v>
      </c>
      <c r="G934" s="15">
        <f t="shared" si="29"/>
        <v>41065</v>
      </c>
      <c r="H934" s="15">
        <f t="shared" si="30"/>
        <v>0</v>
      </c>
      <c r="I934" s="19"/>
    </row>
    <row r="935" spans="1:9" ht="15.75" x14ac:dyDescent="0.25">
      <c r="A935" s="51">
        <v>42803</v>
      </c>
      <c r="B935" s="52" t="s">
        <v>8724</v>
      </c>
      <c r="C935" s="18">
        <v>103713</v>
      </c>
      <c r="D935" s="2" t="s">
        <v>151</v>
      </c>
      <c r="E935" s="15">
        <v>19314.5</v>
      </c>
      <c r="F935" s="59">
        <v>42803</v>
      </c>
      <c r="G935" s="15">
        <f t="shared" si="29"/>
        <v>19314.5</v>
      </c>
      <c r="H935" s="15">
        <f t="shared" si="30"/>
        <v>0</v>
      </c>
      <c r="I935" s="19"/>
    </row>
    <row r="936" spans="1:9" ht="15.75" x14ac:dyDescent="0.25">
      <c r="A936" s="51">
        <v>42803</v>
      </c>
      <c r="B936" s="52" t="s">
        <v>8725</v>
      </c>
      <c r="C936" s="18">
        <v>103714</v>
      </c>
      <c r="D936" s="2" t="s">
        <v>151</v>
      </c>
      <c r="E936" s="15">
        <v>1283.7</v>
      </c>
      <c r="F936" s="59">
        <v>42803</v>
      </c>
      <c r="G936" s="15">
        <f t="shared" si="29"/>
        <v>1283.7</v>
      </c>
      <c r="H936" s="15">
        <f t="shared" si="30"/>
        <v>0</v>
      </c>
      <c r="I936" s="19"/>
    </row>
    <row r="937" spans="1:9" ht="15.75" x14ac:dyDescent="0.25">
      <c r="A937" s="51">
        <v>42803</v>
      </c>
      <c r="B937" s="52" t="s">
        <v>8726</v>
      </c>
      <c r="C937" s="18">
        <v>103715</v>
      </c>
      <c r="D937" s="2" t="s">
        <v>28</v>
      </c>
      <c r="E937" s="15">
        <v>4592.3999999999996</v>
      </c>
      <c r="F937" s="59">
        <v>42803</v>
      </c>
      <c r="G937" s="15">
        <f t="shared" si="29"/>
        <v>4592.3999999999996</v>
      </c>
      <c r="H937" s="15">
        <f t="shared" si="30"/>
        <v>0</v>
      </c>
      <c r="I937" s="19"/>
    </row>
    <row r="938" spans="1:9" ht="15.75" x14ac:dyDescent="0.25">
      <c r="A938" s="51">
        <v>42803</v>
      </c>
      <c r="B938" s="52" t="s">
        <v>8727</v>
      </c>
      <c r="C938" s="18">
        <v>103716</v>
      </c>
      <c r="D938" s="2" t="s">
        <v>509</v>
      </c>
      <c r="E938" s="15">
        <v>9457</v>
      </c>
      <c r="F938" s="59">
        <v>42803</v>
      </c>
      <c r="G938" s="15">
        <f t="shared" si="29"/>
        <v>9457</v>
      </c>
      <c r="H938" s="15">
        <f t="shared" si="30"/>
        <v>0</v>
      </c>
      <c r="I938" s="19"/>
    </row>
    <row r="939" spans="1:9" ht="15.75" x14ac:dyDescent="0.25">
      <c r="A939" s="51">
        <v>42803</v>
      </c>
      <c r="B939" s="52" t="s">
        <v>8728</v>
      </c>
      <c r="C939" s="18">
        <v>103717</v>
      </c>
      <c r="D939" s="2" t="s">
        <v>40</v>
      </c>
      <c r="E939" s="15">
        <v>3545</v>
      </c>
      <c r="F939" s="59">
        <v>42808</v>
      </c>
      <c r="G939" s="15">
        <f t="shared" si="29"/>
        <v>3545</v>
      </c>
      <c r="H939" s="15">
        <f t="shared" si="30"/>
        <v>0</v>
      </c>
      <c r="I939" s="19"/>
    </row>
    <row r="940" spans="1:9" ht="15.75" x14ac:dyDescent="0.25">
      <c r="A940" s="51">
        <v>42803</v>
      </c>
      <c r="B940" s="52" t="s">
        <v>8729</v>
      </c>
      <c r="C940" s="18">
        <v>103718</v>
      </c>
      <c r="D940" s="2" t="s">
        <v>250</v>
      </c>
      <c r="E940" s="15">
        <v>3424.9</v>
      </c>
      <c r="F940" s="59">
        <v>42804</v>
      </c>
      <c r="G940" s="15">
        <f t="shared" si="29"/>
        <v>3424.9</v>
      </c>
      <c r="H940" s="15">
        <f t="shared" si="30"/>
        <v>0</v>
      </c>
      <c r="I940" s="19"/>
    </row>
    <row r="941" spans="1:9" ht="15.75" x14ac:dyDescent="0.25">
      <c r="A941" s="51">
        <v>42803</v>
      </c>
      <c r="B941" s="52" t="s">
        <v>8730</v>
      </c>
      <c r="C941" s="18">
        <v>103719</v>
      </c>
      <c r="D941" s="2" t="s">
        <v>51</v>
      </c>
      <c r="E941" s="15">
        <v>4396</v>
      </c>
      <c r="F941" s="59">
        <v>42805</v>
      </c>
      <c r="G941" s="15">
        <f t="shared" si="29"/>
        <v>4396</v>
      </c>
      <c r="H941" s="15">
        <f t="shared" si="30"/>
        <v>0</v>
      </c>
      <c r="I941" s="19"/>
    </row>
    <row r="942" spans="1:9" ht="15.75" x14ac:dyDescent="0.25">
      <c r="A942" s="51">
        <v>42803</v>
      </c>
      <c r="B942" s="52" t="s">
        <v>8731</v>
      </c>
      <c r="C942" s="18">
        <v>103720</v>
      </c>
      <c r="D942" s="2" t="s">
        <v>49</v>
      </c>
      <c r="E942" s="15">
        <v>10043.200000000001</v>
      </c>
      <c r="F942" s="59">
        <v>42807</v>
      </c>
      <c r="G942" s="15">
        <f t="shared" si="29"/>
        <v>10043.200000000001</v>
      </c>
      <c r="H942" s="15">
        <f t="shared" si="30"/>
        <v>0</v>
      </c>
      <c r="I942" s="19"/>
    </row>
    <row r="943" spans="1:9" ht="15.75" x14ac:dyDescent="0.25">
      <c r="A943" s="51">
        <v>42803</v>
      </c>
      <c r="B943" s="52" t="s">
        <v>8732</v>
      </c>
      <c r="C943" s="18">
        <v>103721</v>
      </c>
      <c r="D943" s="2" t="s">
        <v>99</v>
      </c>
      <c r="E943" s="15">
        <v>2115</v>
      </c>
      <c r="F943" s="59">
        <v>42804</v>
      </c>
      <c r="G943" s="15">
        <f t="shared" si="29"/>
        <v>2115</v>
      </c>
      <c r="H943" s="15">
        <f t="shared" si="30"/>
        <v>0</v>
      </c>
      <c r="I943" s="19"/>
    </row>
    <row r="944" spans="1:9" ht="15.75" x14ac:dyDescent="0.25">
      <c r="A944" s="51">
        <v>42803</v>
      </c>
      <c r="B944" s="52" t="s">
        <v>8733</v>
      </c>
      <c r="C944" s="18">
        <v>103722</v>
      </c>
      <c r="D944" s="2" t="s">
        <v>83</v>
      </c>
      <c r="E944" s="15">
        <v>4282.6000000000004</v>
      </c>
      <c r="F944" s="59">
        <v>42804</v>
      </c>
      <c r="G944" s="15">
        <f t="shared" si="29"/>
        <v>4282.6000000000004</v>
      </c>
      <c r="H944" s="15">
        <f t="shared" si="30"/>
        <v>0</v>
      </c>
      <c r="I944" s="19"/>
    </row>
    <row r="945" spans="1:9" ht="15.75" x14ac:dyDescent="0.25">
      <c r="A945" s="51">
        <v>42803</v>
      </c>
      <c r="B945" s="52" t="s">
        <v>8734</v>
      </c>
      <c r="C945" s="18">
        <v>103723</v>
      </c>
      <c r="D945" s="2" t="s">
        <v>47</v>
      </c>
      <c r="E945" s="15">
        <v>1341</v>
      </c>
      <c r="F945" s="59">
        <v>42803</v>
      </c>
      <c r="G945" s="15">
        <f t="shared" si="29"/>
        <v>1341</v>
      </c>
      <c r="H945" s="15">
        <f t="shared" si="30"/>
        <v>0</v>
      </c>
      <c r="I945" s="19"/>
    </row>
    <row r="946" spans="1:9" ht="15.75" x14ac:dyDescent="0.25">
      <c r="A946" s="51">
        <v>42803</v>
      </c>
      <c r="B946" s="52" t="s">
        <v>8735</v>
      </c>
      <c r="C946" s="18">
        <v>103724</v>
      </c>
      <c r="D946" s="2" t="s">
        <v>1256</v>
      </c>
      <c r="E946" s="15">
        <v>5481.5</v>
      </c>
      <c r="F946" s="64" t="s">
        <v>8736</v>
      </c>
      <c r="G946" s="20">
        <f>1000+1200+500+2781.5</f>
        <v>5481.5</v>
      </c>
      <c r="H946" s="20">
        <f t="shared" si="30"/>
        <v>0</v>
      </c>
      <c r="I946" s="19"/>
    </row>
    <row r="947" spans="1:9" ht="15.75" x14ac:dyDescent="0.25">
      <c r="A947" s="51">
        <v>42803</v>
      </c>
      <c r="B947" s="52" t="s">
        <v>8737</v>
      </c>
      <c r="C947" s="18">
        <v>103725</v>
      </c>
      <c r="D947" s="2" t="s">
        <v>1259</v>
      </c>
      <c r="E947" s="15">
        <v>1398.4</v>
      </c>
      <c r="F947" s="59">
        <v>42804</v>
      </c>
      <c r="G947" s="15">
        <f t="shared" si="29"/>
        <v>1398.4</v>
      </c>
      <c r="H947" s="15">
        <f t="shared" si="30"/>
        <v>0</v>
      </c>
      <c r="I947" s="19"/>
    </row>
    <row r="948" spans="1:9" ht="15.75" x14ac:dyDescent="0.25">
      <c r="A948" s="51">
        <v>42803</v>
      </c>
      <c r="B948" s="52" t="s">
        <v>8738</v>
      </c>
      <c r="C948" s="18">
        <v>103726</v>
      </c>
      <c r="D948" s="2" t="s">
        <v>1081</v>
      </c>
      <c r="E948" s="15">
        <v>837.4</v>
      </c>
      <c r="F948" s="59">
        <v>42804</v>
      </c>
      <c r="G948" s="15">
        <f t="shared" si="29"/>
        <v>837.4</v>
      </c>
      <c r="H948" s="15">
        <f t="shared" si="30"/>
        <v>0</v>
      </c>
      <c r="I948" s="19"/>
    </row>
    <row r="949" spans="1:9" ht="15.75" x14ac:dyDescent="0.25">
      <c r="A949" s="51">
        <v>42803</v>
      </c>
      <c r="B949" s="52" t="s">
        <v>8739</v>
      </c>
      <c r="C949" s="18">
        <v>103727</v>
      </c>
      <c r="D949" s="2" t="s">
        <v>81</v>
      </c>
      <c r="E949" s="15">
        <v>521.1</v>
      </c>
      <c r="F949" s="59">
        <v>42804</v>
      </c>
      <c r="G949" s="15">
        <f t="shared" si="29"/>
        <v>521.1</v>
      </c>
      <c r="H949" s="15">
        <f t="shared" si="30"/>
        <v>0</v>
      </c>
      <c r="I949" s="19"/>
    </row>
    <row r="950" spans="1:9" ht="15.75" x14ac:dyDescent="0.25">
      <c r="A950" s="51">
        <v>42803</v>
      </c>
      <c r="B950" s="52" t="s">
        <v>8740</v>
      </c>
      <c r="C950" s="18">
        <v>103728</v>
      </c>
      <c r="D950" s="2" t="s">
        <v>71</v>
      </c>
      <c r="E950" s="15">
        <v>619.5</v>
      </c>
      <c r="F950" s="59">
        <v>42803</v>
      </c>
      <c r="G950" s="15">
        <f t="shared" si="29"/>
        <v>619.5</v>
      </c>
      <c r="H950" s="15">
        <f t="shared" si="30"/>
        <v>0</v>
      </c>
      <c r="I950" s="19"/>
    </row>
    <row r="951" spans="1:9" ht="15.75" x14ac:dyDescent="0.25">
      <c r="A951" s="51">
        <v>42803</v>
      </c>
      <c r="B951" s="52" t="s">
        <v>8741</v>
      </c>
      <c r="C951" s="18">
        <v>103729</v>
      </c>
      <c r="D951" s="2" t="s">
        <v>302</v>
      </c>
      <c r="E951" s="15">
        <v>10363.280000000001</v>
      </c>
      <c r="F951" s="59">
        <v>42804</v>
      </c>
      <c r="G951" s="15">
        <f t="shared" si="29"/>
        <v>10363.280000000001</v>
      </c>
      <c r="H951" s="15">
        <f t="shared" si="30"/>
        <v>0</v>
      </c>
      <c r="I951" s="19"/>
    </row>
    <row r="952" spans="1:9" ht="15.75" x14ac:dyDescent="0.25">
      <c r="A952" s="51">
        <v>42803</v>
      </c>
      <c r="B952" s="52" t="s">
        <v>8742</v>
      </c>
      <c r="C952" s="18">
        <v>103730</v>
      </c>
      <c r="D952" s="2" t="s">
        <v>103</v>
      </c>
      <c r="E952" s="15">
        <v>3391.2</v>
      </c>
      <c r="F952" s="59">
        <v>42805</v>
      </c>
      <c r="G952" s="15">
        <f t="shared" si="29"/>
        <v>3391.2</v>
      </c>
      <c r="H952" s="15">
        <f t="shared" si="30"/>
        <v>0</v>
      </c>
      <c r="I952" s="19"/>
    </row>
    <row r="953" spans="1:9" ht="15.75" x14ac:dyDescent="0.25">
      <c r="A953" s="51">
        <v>42803</v>
      </c>
      <c r="B953" s="52" t="s">
        <v>8743</v>
      </c>
      <c r="C953" s="18">
        <v>103731</v>
      </c>
      <c r="D953" s="2" t="s">
        <v>838</v>
      </c>
      <c r="E953" s="15">
        <v>1554.8</v>
      </c>
      <c r="F953" s="59">
        <v>42804</v>
      </c>
      <c r="G953" s="15">
        <f t="shared" si="29"/>
        <v>1554.8</v>
      </c>
      <c r="H953" s="15">
        <f t="shared" si="30"/>
        <v>0</v>
      </c>
      <c r="I953" s="19"/>
    </row>
    <row r="954" spans="1:9" ht="15.75" x14ac:dyDescent="0.25">
      <c r="A954" s="51">
        <v>42803</v>
      </c>
      <c r="B954" s="52" t="s">
        <v>8744</v>
      </c>
      <c r="C954" s="18">
        <v>103732</v>
      </c>
      <c r="D954" s="2" t="s">
        <v>289</v>
      </c>
      <c r="E954" s="15">
        <v>30677.4</v>
      </c>
      <c r="F954" s="59">
        <v>42818</v>
      </c>
      <c r="G954" s="15">
        <f t="shared" si="29"/>
        <v>30677.4</v>
      </c>
      <c r="H954" s="15">
        <f t="shared" si="30"/>
        <v>0</v>
      </c>
      <c r="I954" s="19"/>
    </row>
    <row r="955" spans="1:9" ht="15.75" x14ac:dyDescent="0.25">
      <c r="A955" s="51">
        <v>42803</v>
      </c>
      <c r="B955" s="52" t="s">
        <v>8745</v>
      </c>
      <c r="C955" s="18">
        <v>103733</v>
      </c>
      <c r="D955" s="2" t="s">
        <v>109</v>
      </c>
      <c r="E955" s="15">
        <v>3052.7</v>
      </c>
      <c r="F955" s="59">
        <v>42804</v>
      </c>
      <c r="G955" s="15">
        <f t="shared" si="29"/>
        <v>3052.7</v>
      </c>
      <c r="H955" s="15">
        <f t="shared" si="30"/>
        <v>0</v>
      </c>
      <c r="I955" s="19"/>
    </row>
    <row r="956" spans="1:9" ht="15.75" x14ac:dyDescent="0.25">
      <c r="A956" s="51">
        <v>42803</v>
      </c>
      <c r="B956" s="52" t="s">
        <v>8746</v>
      </c>
      <c r="C956" s="18">
        <v>103734</v>
      </c>
      <c r="D956" s="2" t="s">
        <v>1269</v>
      </c>
      <c r="E956" s="15">
        <v>5514</v>
      </c>
      <c r="F956" s="59">
        <v>42804</v>
      </c>
      <c r="G956" s="15">
        <f t="shared" si="29"/>
        <v>5514</v>
      </c>
      <c r="H956" s="15">
        <f t="shared" si="30"/>
        <v>0</v>
      </c>
      <c r="I956" s="19"/>
    </row>
    <row r="957" spans="1:9" ht="15.75" x14ac:dyDescent="0.25">
      <c r="A957" s="51">
        <v>42803</v>
      </c>
      <c r="B957" s="52" t="s">
        <v>8747</v>
      </c>
      <c r="C957" s="18">
        <v>103735</v>
      </c>
      <c r="D957" s="2" t="s">
        <v>157</v>
      </c>
      <c r="E957" s="15">
        <v>22774.7</v>
      </c>
      <c r="F957" s="59">
        <v>42803</v>
      </c>
      <c r="G957" s="15">
        <f t="shared" si="29"/>
        <v>22774.7</v>
      </c>
      <c r="H957" s="15">
        <f t="shared" si="30"/>
        <v>0</v>
      </c>
      <c r="I957" s="19"/>
    </row>
    <row r="958" spans="1:9" ht="15.75" x14ac:dyDescent="0.25">
      <c r="A958" s="51">
        <v>42803</v>
      </c>
      <c r="B958" s="52" t="s">
        <v>8748</v>
      </c>
      <c r="C958" s="18">
        <v>103736</v>
      </c>
      <c r="D958" s="2" t="s">
        <v>281</v>
      </c>
      <c r="E958" s="15">
        <v>1520</v>
      </c>
      <c r="F958" s="59">
        <v>42804</v>
      </c>
      <c r="G958" s="15">
        <f t="shared" si="29"/>
        <v>1520</v>
      </c>
      <c r="H958" s="15">
        <f t="shared" si="30"/>
        <v>0</v>
      </c>
      <c r="I958" s="19"/>
    </row>
    <row r="959" spans="1:9" ht="15.75" x14ac:dyDescent="0.25">
      <c r="A959" s="51">
        <v>42803</v>
      </c>
      <c r="B959" s="52" t="s">
        <v>8749</v>
      </c>
      <c r="C959" s="18">
        <v>103737</v>
      </c>
      <c r="D959" s="2" t="s">
        <v>55</v>
      </c>
      <c r="E959" s="15">
        <v>3976.8</v>
      </c>
      <c r="F959" s="59">
        <v>42803</v>
      </c>
      <c r="G959" s="15">
        <f t="shared" si="29"/>
        <v>3976.8</v>
      </c>
      <c r="H959" s="15">
        <f t="shared" si="30"/>
        <v>0</v>
      </c>
      <c r="I959" s="19"/>
    </row>
    <row r="960" spans="1:9" ht="15.75" x14ac:dyDescent="0.25">
      <c r="A960" s="51">
        <v>42803</v>
      </c>
      <c r="B960" s="52" t="s">
        <v>8750</v>
      </c>
      <c r="C960" s="18">
        <v>103738</v>
      </c>
      <c r="D960" s="2" t="s">
        <v>4930</v>
      </c>
      <c r="E960" s="15">
        <v>5414.5</v>
      </c>
      <c r="F960" s="59">
        <v>42803</v>
      </c>
      <c r="G960" s="15">
        <f t="shared" si="29"/>
        <v>5414.5</v>
      </c>
      <c r="H960" s="15">
        <f t="shared" si="30"/>
        <v>0</v>
      </c>
      <c r="I960" s="19"/>
    </row>
    <row r="961" spans="1:9" ht="15.75" x14ac:dyDescent="0.25">
      <c r="A961" s="51">
        <v>42803</v>
      </c>
      <c r="B961" s="52" t="s">
        <v>8751</v>
      </c>
      <c r="C961" s="18">
        <v>103739</v>
      </c>
      <c r="D961" s="2" t="s">
        <v>268</v>
      </c>
      <c r="E961" s="15">
        <v>14843.5</v>
      </c>
      <c r="F961" s="59">
        <v>42809</v>
      </c>
      <c r="G961" s="15">
        <f t="shared" si="29"/>
        <v>14843.5</v>
      </c>
      <c r="H961" s="15">
        <f t="shared" si="30"/>
        <v>0</v>
      </c>
      <c r="I961" s="19"/>
    </row>
    <row r="962" spans="1:9" ht="15.75" x14ac:dyDescent="0.25">
      <c r="A962" s="51">
        <v>42803</v>
      </c>
      <c r="B962" s="52" t="s">
        <v>8752</v>
      </c>
      <c r="C962" s="18">
        <v>103740</v>
      </c>
      <c r="D962" s="2" t="s">
        <v>432</v>
      </c>
      <c r="E962" s="15">
        <v>14854</v>
      </c>
      <c r="F962" s="59">
        <v>42809</v>
      </c>
      <c r="G962" s="15">
        <f t="shared" si="29"/>
        <v>14854</v>
      </c>
      <c r="H962" s="15">
        <f t="shared" si="30"/>
        <v>0</v>
      </c>
      <c r="I962" s="19"/>
    </row>
    <row r="963" spans="1:9" ht="15.75" x14ac:dyDescent="0.25">
      <c r="A963" s="51">
        <v>42803</v>
      </c>
      <c r="B963" s="52" t="s">
        <v>8753</v>
      </c>
      <c r="C963" s="18">
        <v>103741</v>
      </c>
      <c r="D963" s="2" t="s">
        <v>1666</v>
      </c>
      <c r="E963" s="15">
        <v>14392</v>
      </c>
      <c r="F963" s="59">
        <v>42809</v>
      </c>
      <c r="G963" s="15">
        <f t="shared" si="29"/>
        <v>14392</v>
      </c>
      <c r="H963" s="15">
        <f t="shared" si="30"/>
        <v>0</v>
      </c>
      <c r="I963" s="19"/>
    </row>
    <row r="964" spans="1:9" ht="15.75" x14ac:dyDescent="0.25">
      <c r="A964" s="51">
        <v>42803</v>
      </c>
      <c r="B964" s="52" t="s">
        <v>8754</v>
      </c>
      <c r="C964" s="18">
        <v>103742</v>
      </c>
      <c r="D964" s="2" t="s">
        <v>272</v>
      </c>
      <c r="E964" s="15">
        <v>2887.5</v>
      </c>
      <c r="F964" s="59">
        <v>42804</v>
      </c>
      <c r="G964" s="15">
        <f t="shared" ref="G964:G1027" si="31">E964</f>
        <v>2887.5</v>
      </c>
      <c r="H964" s="15">
        <f t="shared" ref="H964:H1027" si="32">E964-G964</f>
        <v>0</v>
      </c>
      <c r="I964" s="19"/>
    </row>
    <row r="965" spans="1:9" ht="15.75" x14ac:dyDescent="0.25">
      <c r="A965" s="51">
        <v>42803</v>
      </c>
      <c r="B965" s="52" t="s">
        <v>8755</v>
      </c>
      <c r="C965" s="18">
        <v>103743</v>
      </c>
      <c r="D965" s="2" t="s">
        <v>435</v>
      </c>
      <c r="E965" s="15">
        <v>3311</v>
      </c>
      <c r="F965" s="59">
        <v>42804</v>
      </c>
      <c r="G965" s="15">
        <f t="shared" si="31"/>
        <v>3311</v>
      </c>
      <c r="H965" s="15">
        <f t="shared" si="32"/>
        <v>0</v>
      </c>
      <c r="I965" s="19"/>
    </row>
    <row r="966" spans="1:9" ht="15.75" x14ac:dyDescent="0.25">
      <c r="A966" s="51">
        <v>42803</v>
      </c>
      <c r="B966" s="52" t="s">
        <v>8756</v>
      </c>
      <c r="C966" s="18">
        <v>103744</v>
      </c>
      <c r="D966" s="2" t="s">
        <v>270</v>
      </c>
      <c r="E966" s="15">
        <v>2051.6999999999998</v>
      </c>
      <c r="F966" s="59">
        <v>42804</v>
      </c>
      <c r="G966" s="15">
        <f t="shared" si="31"/>
        <v>2051.6999999999998</v>
      </c>
      <c r="H966" s="15">
        <f t="shared" si="32"/>
        <v>0</v>
      </c>
      <c r="I966" s="19"/>
    </row>
    <row r="967" spans="1:9" ht="15.75" x14ac:dyDescent="0.25">
      <c r="A967" s="51">
        <v>42803</v>
      </c>
      <c r="B967" s="52" t="s">
        <v>8757</v>
      </c>
      <c r="C967" s="18">
        <v>103745</v>
      </c>
      <c r="D967" s="2" t="s">
        <v>236</v>
      </c>
      <c r="E967" s="15">
        <v>34247.5</v>
      </c>
      <c r="F967" s="59">
        <v>42807</v>
      </c>
      <c r="G967" s="15">
        <f t="shared" si="31"/>
        <v>34247.5</v>
      </c>
      <c r="H967" s="15">
        <f t="shared" si="32"/>
        <v>0</v>
      </c>
      <c r="I967" s="19"/>
    </row>
    <row r="968" spans="1:9" ht="15.75" x14ac:dyDescent="0.25">
      <c r="A968" s="51">
        <v>42803</v>
      </c>
      <c r="B968" s="52" t="s">
        <v>8758</v>
      </c>
      <c r="C968" s="18">
        <v>103746</v>
      </c>
      <c r="D968" s="2" t="s">
        <v>435</v>
      </c>
      <c r="E968" s="15">
        <v>1666</v>
      </c>
      <c r="F968" s="59">
        <v>42804</v>
      </c>
      <c r="G968" s="15">
        <f t="shared" si="31"/>
        <v>1666</v>
      </c>
      <c r="H968" s="15">
        <f t="shared" si="32"/>
        <v>0</v>
      </c>
      <c r="I968" s="19"/>
    </row>
    <row r="969" spans="1:9" ht="15.75" x14ac:dyDescent="0.25">
      <c r="A969" s="51">
        <v>42803</v>
      </c>
      <c r="B969" s="52" t="s">
        <v>8759</v>
      </c>
      <c r="C969" s="18">
        <v>103747</v>
      </c>
      <c r="D969" s="2" t="s">
        <v>61</v>
      </c>
      <c r="E969" s="15">
        <v>9704.5</v>
      </c>
      <c r="G969" s="15">
        <f t="shared" si="31"/>
        <v>9704.5</v>
      </c>
      <c r="H969" s="15">
        <f t="shared" si="32"/>
        <v>0</v>
      </c>
      <c r="I969" s="19"/>
    </row>
    <row r="970" spans="1:9" ht="15.75" x14ac:dyDescent="0.25">
      <c r="A970" s="51">
        <v>42803</v>
      </c>
      <c r="B970" s="52" t="s">
        <v>8760</v>
      </c>
      <c r="C970" s="18">
        <v>103748</v>
      </c>
      <c r="D970" s="2" t="s">
        <v>53</v>
      </c>
      <c r="E970" s="15">
        <v>2637</v>
      </c>
      <c r="F970" s="59">
        <v>42803</v>
      </c>
      <c r="G970" s="15">
        <f t="shared" si="31"/>
        <v>2637</v>
      </c>
      <c r="H970" s="15">
        <f t="shared" si="32"/>
        <v>0</v>
      </c>
      <c r="I970" s="19"/>
    </row>
    <row r="971" spans="1:9" ht="15.75" x14ac:dyDescent="0.25">
      <c r="A971" s="51">
        <v>42803</v>
      </c>
      <c r="B971" s="52" t="s">
        <v>8761</v>
      </c>
      <c r="C971" s="18">
        <v>103749</v>
      </c>
      <c r="D971" s="2" t="s">
        <v>30</v>
      </c>
      <c r="E971" s="15">
        <v>3987</v>
      </c>
      <c r="F971" s="59">
        <v>42811</v>
      </c>
      <c r="G971" s="15">
        <f t="shared" si="31"/>
        <v>3987</v>
      </c>
      <c r="H971" s="15">
        <f t="shared" si="32"/>
        <v>0</v>
      </c>
      <c r="I971" s="19"/>
    </row>
    <row r="972" spans="1:9" ht="15.75" x14ac:dyDescent="0.25">
      <c r="A972" s="51">
        <v>42803</v>
      </c>
      <c r="B972" s="52" t="s">
        <v>8762</v>
      </c>
      <c r="C972" s="18">
        <v>103750</v>
      </c>
      <c r="D972" s="2" t="s">
        <v>45</v>
      </c>
      <c r="E972" s="15">
        <v>633.6</v>
      </c>
      <c r="F972" s="59">
        <v>42803</v>
      </c>
      <c r="G972" s="15">
        <f t="shared" si="31"/>
        <v>633.6</v>
      </c>
      <c r="H972" s="15">
        <f t="shared" si="32"/>
        <v>0</v>
      </c>
      <c r="I972" s="19"/>
    </row>
    <row r="973" spans="1:9" ht="15.75" x14ac:dyDescent="0.25">
      <c r="A973" s="51">
        <v>42803</v>
      </c>
      <c r="B973" s="52" t="s">
        <v>8763</v>
      </c>
      <c r="C973" s="18">
        <v>103751</v>
      </c>
      <c r="D973" s="2" t="s">
        <v>2986</v>
      </c>
      <c r="E973" s="15">
        <v>3133.9</v>
      </c>
      <c r="F973" s="59">
        <v>42803</v>
      </c>
      <c r="G973" s="15">
        <f t="shared" si="31"/>
        <v>3133.9</v>
      </c>
      <c r="H973" s="15">
        <f t="shared" si="32"/>
        <v>0</v>
      </c>
      <c r="I973" s="19"/>
    </row>
    <row r="974" spans="1:9" ht="15.75" x14ac:dyDescent="0.25">
      <c r="A974" s="51">
        <v>42803</v>
      </c>
      <c r="B974" s="52" t="s">
        <v>8764</v>
      </c>
      <c r="C974" s="18">
        <v>103752</v>
      </c>
      <c r="D974" s="2" t="s">
        <v>63</v>
      </c>
      <c r="E974" s="15">
        <v>1630.8</v>
      </c>
      <c r="F974" s="59">
        <v>42803</v>
      </c>
      <c r="G974" s="15">
        <f t="shared" si="31"/>
        <v>1630.8</v>
      </c>
      <c r="H974" s="15">
        <f t="shared" si="32"/>
        <v>0</v>
      </c>
      <c r="I974" s="19"/>
    </row>
    <row r="975" spans="1:9" ht="15.75" x14ac:dyDescent="0.25">
      <c r="A975" s="51">
        <v>42803</v>
      </c>
      <c r="B975" s="52" t="s">
        <v>8765</v>
      </c>
      <c r="C975" s="18">
        <v>103753</v>
      </c>
      <c r="D975" s="2" t="s">
        <v>184</v>
      </c>
      <c r="E975" s="15">
        <v>1523.2</v>
      </c>
      <c r="F975" s="59">
        <v>42803</v>
      </c>
      <c r="G975" s="15">
        <f t="shared" si="31"/>
        <v>1523.2</v>
      </c>
      <c r="H975" s="15">
        <f t="shared" si="32"/>
        <v>0</v>
      </c>
      <c r="I975" s="19"/>
    </row>
    <row r="976" spans="1:9" ht="15.75" x14ac:dyDescent="0.25">
      <c r="A976" s="51">
        <v>42803</v>
      </c>
      <c r="B976" s="52" t="s">
        <v>8766</v>
      </c>
      <c r="C976" s="18">
        <v>103754</v>
      </c>
      <c r="D976" s="2" t="s">
        <v>79</v>
      </c>
      <c r="E976" s="15">
        <v>2922.8</v>
      </c>
      <c r="F976" s="59">
        <v>42803</v>
      </c>
      <c r="G976" s="15">
        <f t="shared" si="31"/>
        <v>2922.8</v>
      </c>
      <c r="H976" s="15">
        <f t="shared" si="32"/>
        <v>0</v>
      </c>
      <c r="I976" s="19"/>
    </row>
    <row r="977" spans="1:9" ht="15.75" x14ac:dyDescent="0.25">
      <c r="A977" s="51">
        <v>42803</v>
      </c>
      <c r="B977" s="52" t="s">
        <v>8767</v>
      </c>
      <c r="C977" s="18">
        <v>103755</v>
      </c>
      <c r="D977" s="2" t="s">
        <v>335</v>
      </c>
      <c r="E977" s="15">
        <v>1676.4</v>
      </c>
      <c r="F977" s="59">
        <v>42807</v>
      </c>
      <c r="G977" s="15">
        <f t="shared" si="31"/>
        <v>1676.4</v>
      </c>
      <c r="H977" s="15">
        <f t="shared" si="32"/>
        <v>0</v>
      </c>
      <c r="I977" s="19"/>
    </row>
    <row r="978" spans="1:9" ht="15.75" x14ac:dyDescent="0.25">
      <c r="A978" s="51">
        <v>42803</v>
      </c>
      <c r="B978" s="52" t="s">
        <v>8768</v>
      </c>
      <c r="C978" s="18">
        <v>103756</v>
      </c>
      <c r="D978" s="2" t="s">
        <v>57</v>
      </c>
      <c r="E978" s="15">
        <v>470</v>
      </c>
      <c r="F978" s="59">
        <v>42803</v>
      </c>
      <c r="G978" s="15">
        <f t="shared" si="31"/>
        <v>470</v>
      </c>
      <c r="H978" s="15">
        <f t="shared" si="32"/>
        <v>0</v>
      </c>
      <c r="I978" s="19"/>
    </row>
    <row r="979" spans="1:9" ht="15.75" x14ac:dyDescent="0.25">
      <c r="A979" s="51">
        <v>42803</v>
      </c>
      <c r="B979" s="52" t="s">
        <v>8769</v>
      </c>
      <c r="C979" s="18">
        <v>103757</v>
      </c>
      <c r="D979" s="2" t="s">
        <v>240</v>
      </c>
      <c r="E979" s="15">
        <v>6156.2</v>
      </c>
      <c r="F979" s="59">
        <v>42803</v>
      </c>
      <c r="G979" s="15">
        <f t="shared" si="31"/>
        <v>6156.2</v>
      </c>
      <c r="H979" s="15">
        <f t="shared" si="32"/>
        <v>0</v>
      </c>
      <c r="I979" s="19"/>
    </row>
    <row r="980" spans="1:9" ht="15.75" x14ac:dyDescent="0.25">
      <c r="A980" s="51">
        <v>42803</v>
      </c>
      <c r="B980" s="52" t="s">
        <v>8770</v>
      </c>
      <c r="C980" s="18">
        <v>103758</v>
      </c>
      <c r="D980" s="2" t="s">
        <v>3997</v>
      </c>
      <c r="E980" s="15">
        <v>3473.6</v>
      </c>
      <c r="F980" s="59">
        <v>42812</v>
      </c>
      <c r="G980" s="15">
        <f t="shared" si="31"/>
        <v>3473.6</v>
      </c>
      <c r="H980" s="15">
        <f t="shared" si="32"/>
        <v>0</v>
      </c>
      <c r="I980" s="19"/>
    </row>
    <row r="981" spans="1:9" ht="15.75" x14ac:dyDescent="0.25">
      <c r="A981" s="51">
        <v>42803</v>
      </c>
      <c r="B981" s="52" t="s">
        <v>8771</v>
      </c>
      <c r="C981" s="18">
        <v>103759</v>
      </c>
      <c r="D981" s="2" t="s">
        <v>492</v>
      </c>
      <c r="E981" s="15">
        <v>16353.7</v>
      </c>
      <c r="F981" s="59">
        <v>42806</v>
      </c>
      <c r="G981" s="15">
        <f t="shared" si="31"/>
        <v>16353.7</v>
      </c>
      <c r="H981" s="15">
        <f t="shared" si="32"/>
        <v>0</v>
      </c>
      <c r="I981" s="19"/>
    </row>
    <row r="982" spans="1:9" ht="15.75" x14ac:dyDescent="0.25">
      <c r="A982" s="51">
        <v>42803</v>
      </c>
      <c r="B982" s="52" t="s">
        <v>8772</v>
      </c>
      <c r="C982" s="18">
        <v>103760</v>
      </c>
      <c r="D982" s="2" t="s">
        <v>30</v>
      </c>
      <c r="E982" s="15">
        <v>1804.4</v>
      </c>
      <c r="F982" s="59">
        <v>42803</v>
      </c>
      <c r="G982" s="15">
        <f t="shared" si="31"/>
        <v>1804.4</v>
      </c>
      <c r="H982" s="15">
        <f t="shared" si="32"/>
        <v>0</v>
      </c>
      <c r="I982" s="19"/>
    </row>
    <row r="983" spans="1:9" ht="15.75" x14ac:dyDescent="0.25">
      <c r="A983" s="51">
        <v>42803</v>
      </c>
      <c r="B983" s="52" t="s">
        <v>8773</v>
      </c>
      <c r="C983" s="18">
        <v>103761</v>
      </c>
      <c r="D983" s="2" t="s">
        <v>1830</v>
      </c>
      <c r="E983" s="15">
        <v>8906.4</v>
      </c>
      <c r="F983" s="59">
        <v>42803</v>
      </c>
      <c r="G983" s="15">
        <f t="shared" si="31"/>
        <v>8906.4</v>
      </c>
      <c r="H983" s="15">
        <f t="shared" si="32"/>
        <v>0</v>
      </c>
      <c r="I983" s="19"/>
    </row>
    <row r="984" spans="1:9" ht="15.75" x14ac:dyDescent="0.25">
      <c r="A984" s="51">
        <v>42803</v>
      </c>
      <c r="B984" s="52" t="s">
        <v>8774</v>
      </c>
      <c r="C984" s="18">
        <v>103762</v>
      </c>
      <c r="D984" s="2" t="s">
        <v>125</v>
      </c>
      <c r="E984" s="15">
        <v>6174</v>
      </c>
      <c r="F984" s="59">
        <v>42803</v>
      </c>
      <c r="G984" s="15">
        <f t="shared" si="31"/>
        <v>6174</v>
      </c>
      <c r="H984" s="15">
        <f t="shared" si="32"/>
        <v>0</v>
      </c>
      <c r="I984" s="19"/>
    </row>
    <row r="985" spans="1:9" ht="15.75" x14ac:dyDescent="0.25">
      <c r="A985" s="51">
        <v>42803</v>
      </c>
      <c r="B985" s="52" t="s">
        <v>8775</v>
      </c>
      <c r="C985" s="18">
        <v>103763</v>
      </c>
      <c r="D985" s="2" t="s">
        <v>470</v>
      </c>
      <c r="E985" s="15">
        <v>234.9</v>
      </c>
      <c r="F985" s="59">
        <v>42803</v>
      </c>
      <c r="G985" s="15">
        <f t="shared" si="31"/>
        <v>234.9</v>
      </c>
      <c r="H985" s="15">
        <f t="shared" si="32"/>
        <v>0</v>
      </c>
      <c r="I985" s="19"/>
    </row>
    <row r="986" spans="1:9" ht="15.75" x14ac:dyDescent="0.25">
      <c r="A986" s="51">
        <v>42803</v>
      </c>
      <c r="B986" s="52" t="s">
        <v>8776</v>
      </c>
      <c r="C986" s="18">
        <v>103764</v>
      </c>
      <c r="D986" s="2" t="s">
        <v>1830</v>
      </c>
      <c r="E986" s="15">
        <v>837.2</v>
      </c>
      <c r="F986" s="59">
        <v>42803</v>
      </c>
      <c r="G986" s="15">
        <f t="shared" si="31"/>
        <v>837.2</v>
      </c>
      <c r="H986" s="15">
        <f t="shared" si="32"/>
        <v>0</v>
      </c>
      <c r="I986" s="19"/>
    </row>
    <row r="987" spans="1:9" ht="15.75" x14ac:dyDescent="0.25">
      <c r="A987" s="51">
        <v>42803</v>
      </c>
      <c r="B987" s="52" t="s">
        <v>8777</v>
      </c>
      <c r="C987" s="18">
        <v>103765</v>
      </c>
      <c r="D987" s="2" t="s">
        <v>131</v>
      </c>
      <c r="E987" s="15">
        <v>10300.1</v>
      </c>
      <c r="F987" s="59">
        <v>42803</v>
      </c>
      <c r="G987" s="15">
        <f t="shared" si="31"/>
        <v>10300.1</v>
      </c>
      <c r="H987" s="15">
        <f t="shared" si="32"/>
        <v>0</v>
      </c>
      <c r="I987" s="19"/>
    </row>
    <row r="988" spans="1:9" ht="15.75" x14ac:dyDescent="0.25">
      <c r="A988" s="51">
        <v>42803</v>
      </c>
      <c r="B988" s="52" t="s">
        <v>8778</v>
      </c>
      <c r="C988" s="18">
        <v>103766</v>
      </c>
      <c r="D988" s="2" t="s">
        <v>125</v>
      </c>
      <c r="E988" s="15">
        <v>393.3</v>
      </c>
      <c r="F988" s="59">
        <v>42803</v>
      </c>
      <c r="G988" s="15">
        <f t="shared" si="31"/>
        <v>393.3</v>
      </c>
      <c r="H988" s="15">
        <f t="shared" si="32"/>
        <v>0</v>
      </c>
      <c r="I988" s="19"/>
    </row>
    <row r="989" spans="1:9" ht="15.75" x14ac:dyDescent="0.25">
      <c r="A989" s="51">
        <v>42803</v>
      </c>
      <c r="B989" s="52" t="s">
        <v>8779</v>
      </c>
      <c r="C989" s="18">
        <v>103767</v>
      </c>
      <c r="D989" s="2" t="s">
        <v>186</v>
      </c>
      <c r="E989" s="15">
        <v>3226.5</v>
      </c>
      <c r="F989" s="59">
        <v>42807</v>
      </c>
      <c r="G989" s="15">
        <f t="shared" si="31"/>
        <v>3226.5</v>
      </c>
      <c r="H989" s="15">
        <f t="shared" si="32"/>
        <v>0</v>
      </c>
      <c r="I989" s="19"/>
    </row>
    <row r="990" spans="1:9" ht="15.75" x14ac:dyDescent="0.25">
      <c r="A990" s="51">
        <v>42803</v>
      </c>
      <c r="B990" s="52" t="s">
        <v>8780</v>
      </c>
      <c r="C990" s="18">
        <v>103768</v>
      </c>
      <c r="D990" s="2" t="s">
        <v>1116</v>
      </c>
      <c r="E990" s="15">
        <v>3670.7</v>
      </c>
      <c r="F990" s="59">
        <v>42805</v>
      </c>
      <c r="G990" s="15">
        <f t="shared" si="31"/>
        <v>3670.7</v>
      </c>
      <c r="H990" s="15">
        <f t="shared" si="32"/>
        <v>0</v>
      </c>
      <c r="I990" s="19"/>
    </row>
    <row r="991" spans="1:9" ht="15.75" x14ac:dyDescent="0.25">
      <c r="A991" s="51">
        <v>42803</v>
      </c>
      <c r="B991" s="52" t="s">
        <v>8781</v>
      </c>
      <c r="C991" s="18">
        <v>103769</v>
      </c>
      <c r="D991" s="2" t="s">
        <v>30</v>
      </c>
      <c r="E991" s="15">
        <v>1133.7</v>
      </c>
      <c r="F991" s="59">
        <v>42804</v>
      </c>
      <c r="G991" s="15">
        <f t="shared" si="31"/>
        <v>1133.7</v>
      </c>
      <c r="H991" s="15">
        <f t="shared" si="32"/>
        <v>0</v>
      </c>
      <c r="I991" s="19"/>
    </row>
    <row r="992" spans="1:9" ht="15.75" x14ac:dyDescent="0.25">
      <c r="A992" s="51">
        <v>42803</v>
      </c>
      <c r="B992" s="52" t="s">
        <v>8782</v>
      </c>
      <c r="C992" s="18">
        <v>103770</v>
      </c>
      <c r="D992" s="2" t="s">
        <v>122</v>
      </c>
      <c r="E992" s="15">
        <v>7173.6</v>
      </c>
      <c r="F992" s="59">
        <v>42812</v>
      </c>
      <c r="G992" s="15">
        <f t="shared" si="31"/>
        <v>7173.6</v>
      </c>
      <c r="H992" s="15">
        <f t="shared" si="32"/>
        <v>0</v>
      </c>
      <c r="I992" s="19"/>
    </row>
    <row r="993" spans="1:9" ht="15.75" x14ac:dyDescent="0.25">
      <c r="A993" s="51">
        <v>42803</v>
      </c>
      <c r="B993" s="52" t="s">
        <v>8783</v>
      </c>
      <c r="C993" s="18">
        <v>103771</v>
      </c>
      <c r="D993" s="2" t="s">
        <v>205</v>
      </c>
      <c r="E993" s="15">
        <v>29931.99</v>
      </c>
      <c r="F993" s="59">
        <v>42847</v>
      </c>
      <c r="G993" s="15">
        <f t="shared" si="31"/>
        <v>29931.99</v>
      </c>
      <c r="H993" s="15">
        <f t="shared" si="32"/>
        <v>0</v>
      </c>
      <c r="I993" s="19"/>
    </row>
    <row r="994" spans="1:9" ht="15.75" x14ac:dyDescent="0.25">
      <c r="A994" s="51">
        <v>42803</v>
      </c>
      <c r="B994" s="52" t="s">
        <v>8784</v>
      </c>
      <c r="C994" s="18">
        <v>103772</v>
      </c>
      <c r="D994" s="13" t="s">
        <v>30</v>
      </c>
      <c r="E994" s="14">
        <v>0</v>
      </c>
      <c r="F994" s="102" t="s">
        <v>95</v>
      </c>
      <c r="G994" s="14">
        <f t="shared" si="31"/>
        <v>0</v>
      </c>
      <c r="H994" s="14">
        <f t="shared" si="32"/>
        <v>0</v>
      </c>
      <c r="I994" s="19"/>
    </row>
    <row r="995" spans="1:9" ht="15.75" x14ac:dyDescent="0.25">
      <c r="A995" s="51">
        <v>42803</v>
      </c>
      <c r="B995" s="52" t="s">
        <v>8785</v>
      </c>
      <c r="C995" s="18">
        <v>103773</v>
      </c>
      <c r="D995" s="2" t="s">
        <v>109</v>
      </c>
      <c r="E995" s="15">
        <v>185</v>
      </c>
      <c r="F995" s="59">
        <v>42804</v>
      </c>
      <c r="G995" s="15">
        <f t="shared" si="31"/>
        <v>185</v>
      </c>
      <c r="H995" s="15">
        <f t="shared" si="32"/>
        <v>0</v>
      </c>
      <c r="I995" s="19"/>
    </row>
    <row r="996" spans="1:9" ht="15.75" x14ac:dyDescent="0.25">
      <c r="A996" s="51">
        <v>42803</v>
      </c>
      <c r="B996" s="52" t="s">
        <v>8786</v>
      </c>
      <c r="C996" s="18">
        <v>103774</v>
      </c>
      <c r="D996" s="2" t="s">
        <v>30</v>
      </c>
      <c r="E996" s="15">
        <v>7444.8</v>
      </c>
      <c r="F996" s="59">
        <v>42804</v>
      </c>
      <c r="G996" s="15">
        <f t="shared" si="31"/>
        <v>7444.8</v>
      </c>
      <c r="H996" s="15">
        <f t="shared" si="32"/>
        <v>0</v>
      </c>
      <c r="I996" s="19"/>
    </row>
    <row r="997" spans="1:9" ht="15.75" x14ac:dyDescent="0.25">
      <c r="A997" s="51">
        <v>42803</v>
      </c>
      <c r="B997" s="52" t="s">
        <v>8787</v>
      </c>
      <c r="C997" s="18">
        <v>103775</v>
      </c>
      <c r="D997" s="2" t="s">
        <v>236</v>
      </c>
      <c r="E997" s="15">
        <v>30484.400000000001</v>
      </c>
      <c r="F997" s="64" t="s">
        <v>7781</v>
      </c>
      <c r="G997" s="20">
        <f>24649.19+5835.21</f>
        <v>30484.399999999998</v>
      </c>
      <c r="H997" s="20">
        <f t="shared" si="32"/>
        <v>0</v>
      </c>
      <c r="I997" s="19"/>
    </row>
    <row r="998" spans="1:9" ht="15.75" x14ac:dyDescent="0.25">
      <c r="A998" s="51">
        <v>42803</v>
      </c>
      <c r="B998" s="52" t="s">
        <v>8788</v>
      </c>
      <c r="C998" s="18">
        <v>103776</v>
      </c>
      <c r="D998" s="2" t="s">
        <v>3374</v>
      </c>
      <c r="E998" s="15">
        <v>1716</v>
      </c>
      <c r="F998" s="59">
        <v>42803</v>
      </c>
      <c r="G998" s="15">
        <f t="shared" si="31"/>
        <v>1716</v>
      </c>
      <c r="H998" s="15">
        <f t="shared" si="32"/>
        <v>0</v>
      </c>
      <c r="I998" s="19"/>
    </row>
    <row r="999" spans="1:9" ht="15.75" x14ac:dyDescent="0.25">
      <c r="A999" s="51">
        <v>42803</v>
      </c>
      <c r="B999" s="52" t="s">
        <v>8789</v>
      </c>
      <c r="C999" s="18">
        <v>103777</v>
      </c>
      <c r="D999" s="2" t="s">
        <v>305</v>
      </c>
      <c r="E999" s="15">
        <v>4102.6000000000004</v>
      </c>
      <c r="F999" s="59">
        <v>42809</v>
      </c>
      <c r="G999" s="15">
        <f t="shared" si="31"/>
        <v>4102.6000000000004</v>
      </c>
      <c r="H999" s="15">
        <f t="shared" si="32"/>
        <v>0</v>
      </c>
      <c r="I999" s="19"/>
    </row>
    <row r="1000" spans="1:9" ht="15.75" x14ac:dyDescent="0.25">
      <c r="A1000" s="51">
        <v>42803</v>
      </c>
      <c r="B1000" s="52" t="s">
        <v>8790</v>
      </c>
      <c r="C1000" s="18">
        <v>103778</v>
      </c>
      <c r="D1000" s="2" t="s">
        <v>476</v>
      </c>
      <c r="E1000" s="15">
        <v>11793.2</v>
      </c>
      <c r="F1000" s="59">
        <v>42808</v>
      </c>
      <c r="G1000" s="15">
        <f t="shared" si="31"/>
        <v>11793.2</v>
      </c>
      <c r="H1000" s="15">
        <f t="shared" si="32"/>
        <v>0</v>
      </c>
      <c r="I1000" s="19"/>
    </row>
    <row r="1001" spans="1:9" ht="15.75" x14ac:dyDescent="0.25">
      <c r="A1001" s="51">
        <v>42803</v>
      </c>
      <c r="B1001" s="52" t="s">
        <v>8791</v>
      </c>
      <c r="C1001" s="18">
        <v>103779</v>
      </c>
      <c r="D1001" s="2" t="s">
        <v>472</v>
      </c>
      <c r="E1001" s="15">
        <v>10378.5</v>
      </c>
      <c r="F1001" s="59">
        <v>42808</v>
      </c>
      <c r="G1001" s="15">
        <f t="shared" si="31"/>
        <v>10378.5</v>
      </c>
      <c r="H1001" s="15">
        <f t="shared" si="32"/>
        <v>0</v>
      </c>
      <c r="I1001" s="19"/>
    </row>
    <row r="1002" spans="1:9" ht="15.75" x14ac:dyDescent="0.25">
      <c r="A1002" s="51">
        <v>42803</v>
      </c>
      <c r="B1002" s="52" t="s">
        <v>8792</v>
      </c>
      <c r="C1002" s="18">
        <v>103780</v>
      </c>
      <c r="D1002" s="2" t="s">
        <v>12</v>
      </c>
      <c r="E1002" s="15">
        <v>996.2</v>
      </c>
      <c r="F1002" s="59">
        <v>42803</v>
      </c>
      <c r="G1002" s="15">
        <f t="shared" si="31"/>
        <v>996.2</v>
      </c>
      <c r="H1002" s="15">
        <f t="shared" si="32"/>
        <v>0</v>
      </c>
      <c r="I1002" s="19"/>
    </row>
    <row r="1003" spans="1:9" ht="15.75" x14ac:dyDescent="0.25">
      <c r="A1003" s="51">
        <v>42803</v>
      </c>
      <c r="B1003" s="52" t="s">
        <v>8793</v>
      </c>
      <c r="C1003" s="18">
        <v>103781</v>
      </c>
      <c r="D1003" s="2" t="s">
        <v>30</v>
      </c>
      <c r="E1003" s="15">
        <v>2693.9</v>
      </c>
      <c r="F1003" s="59">
        <v>42803</v>
      </c>
      <c r="G1003" s="15">
        <f t="shared" si="31"/>
        <v>2693.9</v>
      </c>
      <c r="H1003" s="15">
        <f t="shared" si="32"/>
        <v>0</v>
      </c>
      <c r="I1003" s="19"/>
    </row>
    <row r="1004" spans="1:9" ht="15.75" x14ac:dyDescent="0.25">
      <c r="A1004" s="51">
        <v>42803</v>
      </c>
      <c r="B1004" s="52" t="s">
        <v>8794</v>
      </c>
      <c r="C1004" s="18">
        <v>103782</v>
      </c>
      <c r="D1004" s="2" t="s">
        <v>10</v>
      </c>
      <c r="E1004" s="15">
        <v>6650.4</v>
      </c>
      <c r="F1004" s="59">
        <v>42805</v>
      </c>
      <c r="G1004" s="15">
        <f t="shared" si="31"/>
        <v>6650.4</v>
      </c>
      <c r="H1004" s="15">
        <f t="shared" si="32"/>
        <v>0</v>
      </c>
      <c r="I1004" s="19"/>
    </row>
    <row r="1005" spans="1:9" ht="15.75" x14ac:dyDescent="0.25">
      <c r="A1005" s="51">
        <v>42803</v>
      </c>
      <c r="B1005" s="52" t="s">
        <v>8795</v>
      </c>
      <c r="C1005" s="18">
        <v>103783</v>
      </c>
      <c r="D1005" s="2" t="s">
        <v>10</v>
      </c>
      <c r="E1005" s="15">
        <v>39468</v>
      </c>
      <c r="F1005" s="59">
        <v>42805</v>
      </c>
      <c r="G1005" s="15">
        <f t="shared" si="31"/>
        <v>39468</v>
      </c>
      <c r="H1005" s="15">
        <f t="shared" si="32"/>
        <v>0</v>
      </c>
      <c r="I1005" s="19"/>
    </row>
    <row r="1006" spans="1:9" ht="15.75" x14ac:dyDescent="0.25">
      <c r="A1006" s="51">
        <v>42803</v>
      </c>
      <c r="B1006" s="52" t="s">
        <v>8796</v>
      </c>
      <c r="C1006" s="18">
        <v>103784</v>
      </c>
      <c r="D1006" s="2" t="s">
        <v>10</v>
      </c>
      <c r="E1006" s="15">
        <v>11707.2</v>
      </c>
      <c r="F1006" s="59">
        <v>42805</v>
      </c>
      <c r="G1006" s="15">
        <f t="shared" si="31"/>
        <v>11707.2</v>
      </c>
      <c r="H1006" s="15">
        <f t="shared" si="32"/>
        <v>0</v>
      </c>
      <c r="I1006" s="19"/>
    </row>
    <row r="1007" spans="1:9" ht="15.75" x14ac:dyDescent="0.25">
      <c r="A1007" s="51">
        <v>42803</v>
      </c>
      <c r="B1007" s="52" t="s">
        <v>8797</v>
      </c>
      <c r="C1007" s="18">
        <v>103785</v>
      </c>
      <c r="D1007" s="2" t="s">
        <v>176</v>
      </c>
      <c r="E1007" s="15">
        <v>1679.6</v>
      </c>
      <c r="F1007" s="59">
        <v>42803</v>
      </c>
      <c r="G1007" s="15">
        <f t="shared" si="31"/>
        <v>1679.6</v>
      </c>
      <c r="H1007" s="15">
        <f t="shared" si="32"/>
        <v>0</v>
      </c>
      <c r="I1007" s="19"/>
    </row>
    <row r="1008" spans="1:9" ht="15.75" x14ac:dyDescent="0.25">
      <c r="A1008" s="51">
        <v>42803</v>
      </c>
      <c r="B1008" s="52" t="s">
        <v>8798</v>
      </c>
      <c r="C1008" s="18">
        <v>103786</v>
      </c>
      <c r="D1008" s="2" t="s">
        <v>28</v>
      </c>
      <c r="E1008" s="15">
        <v>21225.599999999999</v>
      </c>
      <c r="F1008" s="59">
        <v>42803</v>
      </c>
      <c r="G1008" s="15">
        <f t="shared" si="31"/>
        <v>21225.599999999999</v>
      </c>
      <c r="H1008" s="15">
        <f t="shared" si="32"/>
        <v>0</v>
      </c>
      <c r="I1008" s="19"/>
    </row>
    <row r="1009" spans="1:9" ht="15.75" x14ac:dyDescent="0.25">
      <c r="A1009" s="51">
        <v>42803</v>
      </c>
      <c r="B1009" s="52" t="s">
        <v>8799</v>
      </c>
      <c r="C1009" s="18">
        <v>103787</v>
      </c>
      <c r="D1009" s="2" t="s">
        <v>30</v>
      </c>
      <c r="E1009" s="15">
        <v>1954.2</v>
      </c>
      <c r="F1009" s="59">
        <v>42803</v>
      </c>
      <c r="G1009" s="15">
        <f t="shared" si="31"/>
        <v>1954.2</v>
      </c>
      <c r="H1009" s="15">
        <f t="shared" si="32"/>
        <v>0</v>
      </c>
      <c r="I1009" s="19"/>
    </row>
    <row r="1010" spans="1:9" ht="15.75" x14ac:dyDescent="0.25">
      <c r="A1010" s="51">
        <v>42803</v>
      </c>
      <c r="B1010" s="52" t="s">
        <v>8800</v>
      </c>
      <c r="C1010" s="18">
        <v>103788</v>
      </c>
      <c r="D1010" s="2" t="s">
        <v>205</v>
      </c>
      <c r="E1010" s="15">
        <v>29303.34</v>
      </c>
      <c r="F1010" s="59">
        <v>42847</v>
      </c>
      <c r="G1010" s="15">
        <f t="shared" si="31"/>
        <v>29303.34</v>
      </c>
      <c r="H1010" s="15">
        <f t="shared" si="32"/>
        <v>0</v>
      </c>
      <c r="I1010" s="19"/>
    </row>
    <row r="1011" spans="1:9" ht="15.75" x14ac:dyDescent="0.25">
      <c r="A1011" s="51">
        <v>42803</v>
      </c>
      <c r="B1011" s="52" t="s">
        <v>8801</v>
      </c>
      <c r="C1011" s="18">
        <v>103789</v>
      </c>
      <c r="D1011" s="2" t="s">
        <v>264</v>
      </c>
      <c r="E1011" s="15">
        <v>14600</v>
      </c>
      <c r="F1011" s="59">
        <v>42803</v>
      </c>
      <c r="G1011" s="15">
        <f t="shared" si="31"/>
        <v>14600</v>
      </c>
      <c r="H1011" s="15">
        <f t="shared" si="32"/>
        <v>0</v>
      </c>
      <c r="I1011" s="19"/>
    </row>
    <row r="1012" spans="1:9" ht="15.75" x14ac:dyDescent="0.25">
      <c r="A1012" s="51">
        <v>42803</v>
      </c>
      <c r="B1012" s="52" t="s">
        <v>8802</v>
      </c>
      <c r="C1012" s="18">
        <v>103790</v>
      </c>
      <c r="D1012" s="2" t="s">
        <v>30</v>
      </c>
      <c r="E1012" s="15">
        <v>20056</v>
      </c>
      <c r="F1012" s="59">
        <v>42803</v>
      </c>
      <c r="G1012" s="15">
        <f t="shared" si="31"/>
        <v>20056</v>
      </c>
      <c r="H1012" s="15">
        <f t="shared" si="32"/>
        <v>0</v>
      </c>
      <c r="I1012" s="19"/>
    </row>
    <row r="1013" spans="1:9" ht="15.75" x14ac:dyDescent="0.25">
      <c r="A1013" s="51">
        <v>42803</v>
      </c>
      <c r="B1013" s="52" t="s">
        <v>8803</v>
      </c>
      <c r="C1013" s="18">
        <v>103791</v>
      </c>
      <c r="D1013" s="13" t="s">
        <v>30</v>
      </c>
      <c r="E1013" s="14">
        <v>0</v>
      </c>
      <c r="F1013" s="102" t="s">
        <v>95</v>
      </c>
      <c r="G1013" s="14">
        <f t="shared" si="31"/>
        <v>0</v>
      </c>
      <c r="H1013" s="14">
        <f t="shared" si="32"/>
        <v>0</v>
      </c>
      <c r="I1013" s="19"/>
    </row>
    <row r="1014" spans="1:9" ht="15.75" x14ac:dyDescent="0.25">
      <c r="A1014" s="51">
        <v>42803</v>
      </c>
      <c r="B1014" s="52" t="s">
        <v>8804</v>
      </c>
      <c r="C1014" s="18">
        <v>103792</v>
      </c>
      <c r="D1014" s="2" t="s">
        <v>231</v>
      </c>
      <c r="E1014" s="15">
        <v>3002.4</v>
      </c>
      <c r="F1014" s="59">
        <v>42804</v>
      </c>
      <c r="G1014" s="15">
        <f t="shared" si="31"/>
        <v>3002.4</v>
      </c>
      <c r="H1014" s="15">
        <f t="shared" si="32"/>
        <v>0</v>
      </c>
      <c r="I1014" s="19"/>
    </row>
    <row r="1015" spans="1:9" ht="15.75" x14ac:dyDescent="0.25">
      <c r="A1015" s="51">
        <v>42803</v>
      </c>
      <c r="B1015" s="52" t="s">
        <v>8805</v>
      </c>
      <c r="C1015" s="18">
        <v>103793</v>
      </c>
      <c r="D1015" s="13" t="s">
        <v>923</v>
      </c>
      <c r="E1015" s="14">
        <v>0</v>
      </c>
      <c r="F1015" s="102" t="s">
        <v>95</v>
      </c>
      <c r="G1015" s="14">
        <f t="shared" si="31"/>
        <v>0</v>
      </c>
      <c r="H1015" s="14">
        <f t="shared" si="32"/>
        <v>0</v>
      </c>
      <c r="I1015" s="19"/>
    </row>
    <row r="1016" spans="1:9" ht="15.75" x14ac:dyDescent="0.25">
      <c r="A1016" s="51">
        <v>42803</v>
      </c>
      <c r="B1016" s="52" t="s">
        <v>8806</v>
      </c>
      <c r="C1016" s="18">
        <v>103794</v>
      </c>
      <c r="D1016" s="2" t="s">
        <v>30</v>
      </c>
      <c r="E1016" s="15">
        <v>18387.2</v>
      </c>
      <c r="F1016" s="59">
        <v>42804</v>
      </c>
      <c r="G1016" s="15">
        <f t="shared" si="31"/>
        <v>18387.2</v>
      </c>
      <c r="H1016" s="15">
        <f t="shared" si="32"/>
        <v>0</v>
      </c>
      <c r="I1016" s="19"/>
    </row>
    <row r="1017" spans="1:9" ht="15.75" x14ac:dyDescent="0.25">
      <c r="A1017" s="51">
        <v>42803</v>
      </c>
      <c r="B1017" s="52" t="s">
        <v>8807</v>
      </c>
      <c r="C1017" s="18">
        <v>103795</v>
      </c>
      <c r="D1017" s="2" t="s">
        <v>250</v>
      </c>
      <c r="E1017" s="15">
        <v>990</v>
      </c>
      <c r="F1017" s="59">
        <v>42805</v>
      </c>
      <c r="G1017" s="15">
        <f t="shared" si="31"/>
        <v>990</v>
      </c>
      <c r="H1017" s="15">
        <f t="shared" si="32"/>
        <v>0</v>
      </c>
      <c r="I1017" s="19"/>
    </row>
    <row r="1018" spans="1:9" ht="15.75" x14ac:dyDescent="0.25">
      <c r="A1018" s="51">
        <v>42803</v>
      </c>
      <c r="B1018" s="52" t="s">
        <v>8808</v>
      </c>
      <c r="C1018" s="18">
        <v>103796</v>
      </c>
      <c r="D1018" s="2" t="s">
        <v>21</v>
      </c>
      <c r="E1018" s="15">
        <v>942</v>
      </c>
      <c r="F1018" s="59">
        <v>42815</v>
      </c>
      <c r="G1018" s="15">
        <f t="shared" si="31"/>
        <v>942</v>
      </c>
      <c r="H1018" s="15">
        <f t="shared" si="32"/>
        <v>0</v>
      </c>
      <c r="I1018" s="19"/>
    </row>
    <row r="1019" spans="1:9" ht="15.75" x14ac:dyDescent="0.25">
      <c r="A1019" s="51">
        <v>42803</v>
      </c>
      <c r="B1019" s="52" t="s">
        <v>8809</v>
      </c>
      <c r="C1019" s="18">
        <v>103797</v>
      </c>
      <c r="D1019" s="2" t="s">
        <v>528</v>
      </c>
      <c r="E1019" s="15">
        <v>10330</v>
      </c>
      <c r="F1019" s="59">
        <v>42804</v>
      </c>
      <c r="G1019" s="15">
        <f t="shared" si="31"/>
        <v>10330</v>
      </c>
      <c r="H1019" s="15">
        <f t="shared" si="32"/>
        <v>0</v>
      </c>
      <c r="I1019" s="19"/>
    </row>
    <row r="1020" spans="1:9" ht="15.75" x14ac:dyDescent="0.25">
      <c r="A1020" s="51">
        <v>42803</v>
      </c>
      <c r="B1020" s="52" t="s">
        <v>8810</v>
      </c>
      <c r="C1020" s="18">
        <v>103798</v>
      </c>
      <c r="D1020" s="2" t="s">
        <v>656</v>
      </c>
      <c r="E1020" s="15">
        <v>8013.6</v>
      </c>
      <c r="F1020" s="59">
        <v>42804</v>
      </c>
      <c r="G1020" s="15">
        <f t="shared" si="31"/>
        <v>8013.6</v>
      </c>
      <c r="H1020" s="15">
        <f t="shared" si="32"/>
        <v>0</v>
      </c>
      <c r="I1020" s="19"/>
    </row>
    <row r="1021" spans="1:9" ht="15.75" x14ac:dyDescent="0.25">
      <c r="A1021" s="51">
        <v>42803</v>
      </c>
      <c r="B1021" s="52" t="s">
        <v>8811</v>
      </c>
      <c r="C1021" s="18">
        <v>103799</v>
      </c>
      <c r="D1021" s="2" t="s">
        <v>193</v>
      </c>
      <c r="E1021" s="15">
        <v>1830.8</v>
      </c>
      <c r="F1021" s="59">
        <v>42804</v>
      </c>
      <c r="G1021" s="15">
        <f t="shared" si="31"/>
        <v>1830.8</v>
      </c>
      <c r="H1021" s="15">
        <f t="shared" si="32"/>
        <v>0</v>
      </c>
      <c r="I1021" s="19"/>
    </row>
    <row r="1022" spans="1:9" ht="15.75" x14ac:dyDescent="0.25">
      <c r="A1022" s="51">
        <v>42803</v>
      </c>
      <c r="B1022" s="52" t="s">
        <v>8812</v>
      </c>
      <c r="C1022" s="18">
        <v>103800</v>
      </c>
      <c r="D1022" s="2" t="s">
        <v>182</v>
      </c>
      <c r="E1022" s="15">
        <v>3760</v>
      </c>
      <c r="F1022" s="59">
        <v>42804</v>
      </c>
      <c r="G1022" s="15">
        <f t="shared" si="31"/>
        <v>3760</v>
      </c>
      <c r="H1022" s="15">
        <f t="shared" si="32"/>
        <v>0</v>
      </c>
      <c r="I1022" s="19"/>
    </row>
    <row r="1023" spans="1:9" ht="15.75" x14ac:dyDescent="0.25">
      <c r="A1023" s="51">
        <v>42803</v>
      </c>
      <c r="B1023" s="52" t="s">
        <v>8813</v>
      </c>
      <c r="C1023" s="18">
        <v>103801</v>
      </c>
      <c r="D1023" s="2" t="s">
        <v>630</v>
      </c>
      <c r="E1023" s="15">
        <v>3160.92</v>
      </c>
      <c r="F1023" s="59">
        <v>42804</v>
      </c>
      <c r="G1023" s="15">
        <f t="shared" si="31"/>
        <v>3160.92</v>
      </c>
      <c r="H1023" s="15">
        <f t="shared" si="32"/>
        <v>0</v>
      </c>
    </row>
    <row r="1024" spans="1:9" ht="15.75" x14ac:dyDescent="0.25">
      <c r="A1024" s="51">
        <v>42803</v>
      </c>
      <c r="B1024" s="52" t="s">
        <v>8814</v>
      </c>
      <c r="C1024" s="18">
        <v>103802</v>
      </c>
      <c r="D1024" s="2" t="s">
        <v>367</v>
      </c>
      <c r="E1024" s="15">
        <v>1350</v>
      </c>
      <c r="F1024" s="59">
        <v>42803</v>
      </c>
      <c r="G1024" s="15">
        <f t="shared" si="31"/>
        <v>1350</v>
      </c>
      <c r="H1024" s="15">
        <f t="shared" si="32"/>
        <v>0</v>
      </c>
      <c r="I1024" s="19"/>
    </row>
    <row r="1025" spans="1:8" ht="15.75" x14ac:dyDescent="0.25">
      <c r="A1025" s="51">
        <v>42803</v>
      </c>
      <c r="B1025" s="52" t="s">
        <v>8815</v>
      </c>
      <c r="C1025" s="18">
        <v>103803</v>
      </c>
      <c r="D1025" s="2" t="s">
        <v>55</v>
      </c>
      <c r="E1025" s="15">
        <v>1398.6</v>
      </c>
      <c r="F1025" s="59">
        <v>42803</v>
      </c>
      <c r="G1025" s="15">
        <f t="shared" si="31"/>
        <v>1398.6</v>
      </c>
      <c r="H1025" s="15">
        <f t="shared" si="32"/>
        <v>0</v>
      </c>
    </row>
    <row r="1026" spans="1:8" ht="15.75" x14ac:dyDescent="0.25">
      <c r="A1026" s="51">
        <v>42803</v>
      </c>
      <c r="B1026" s="52" t="s">
        <v>8816</v>
      </c>
      <c r="C1026" s="18">
        <v>103804</v>
      </c>
      <c r="D1026" s="2" t="s">
        <v>1789</v>
      </c>
      <c r="E1026" s="15">
        <v>7550</v>
      </c>
      <c r="F1026" s="59">
        <v>42803</v>
      </c>
      <c r="G1026" s="15">
        <f t="shared" si="31"/>
        <v>7550</v>
      </c>
      <c r="H1026" s="15">
        <f t="shared" si="32"/>
        <v>0</v>
      </c>
    </row>
    <row r="1027" spans="1:8" ht="15.75" x14ac:dyDescent="0.25">
      <c r="A1027" s="51">
        <v>42803</v>
      </c>
      <c r="B1027" s="52" t="s">
        <v>8817</v>
      </c>
      <c r="C1027" s="18">
        <v>103805</v>
      </c>
      <c r="D1027" s="2" t="s">
        <v>222</v>
      </c>
      <c r="E1027" s="15">
        <v>182381</v>
      </c>
      <c r="F1027" s="59">
        <v>42807</v>
      </c>
      <c r="G1027" s="15">
        <f t="shared" si="31"/>
        <v>182381</v>
      </c>
      <c r="H1027" s="15">
        <f t="shared" si="32"/>
        <v>0</v>
      </c>
    </row>
    <row r="1028" spans="1:8" ht="15.75" x14ac:dyDescent="0.25">
      <c r="A1028" s="51">
        <v>42803</v>
      </c>
      <c r="B1028" s="52" t="s">
        <v>8818</v>
      </c>
      <c r="C1028" s="18">
        <v>103806</v>
      </c>
      <c r="D1028" s="13" t="s">
        <v>7147</v>
      </c>
      <c r="E1028" s="14">
        <v>0</v>
      </c>
      <c r="F1028" s="102" t="s">
        <v>95</v>
      </c>
      <c r="G1028" s="14">
        <f t="shared" ref="G1028:G1091" si="33">E1028</f>
        <v>0</v>
      </c>
      <c r="H1028" s="14">
        <f t="shared" ref="H1028:H1091" si="34">E1028-G1028</f>
        <v>0</v>
      </c>
    </row>
    <row r="1029" spans="1:8" ht="15.75" x14ac:dyDescent="0.25">
      <c r="A1029" s="51">
        <v>42803</v>
      </c>
      <c r="B1029" s="52" t="s">
        <v>8819</v>
      </c>
      <c r="C1029" s="18">
        <v>103807</v>
      </c>
      <c r="D1029" s="2" t="s">
        <v>7147</v>
      </c>
      <c r="E1029" s="15">
        <v>11374</v>
      </c>
      <c r="F1029" s="59">
        <v>42803</v>
      </c>
      <c r="G1029" s="15">
        <f t="shared" si="33"/>
        <v>11374</v>
      </c>
      <c r="H1029" s="15">
        <f t="shared" si="34"/>
        <v>0</v>
      </c>
    </row>
    <row r="1030" spans="1:8" ht="15.75" x14ac:dyDescent="0.25">
      <c r="A1030" s="51">
        <v>42803</v>
      </c>
      <c r="B1030" s="52" t="s">
        <v>8820</v>
      </c>
      <c r="C1030" s="18">
        <v>103808</v>
      </c>
      <c r="D1030" s="2" t="s">
        <v>10</v>
      </c>
      <c r="E1030" s="15">
        <v>62720.3</v>
      </c>
      <c r="F1030" s="59">
        <v>42805</v>
      </c>
      <c r="G1030" s="15">
        <f t="shared" si="33"/>
        <v>62720.3</v>
      </c>
      <c r="H1030" s="15">
        <f t="shared" si="34"/>
        <v>0</v>
      </c>
    </row>
    <row r="1031" spans="1:8" ht="15.75" x14ac:dyDescent="0.25">
      <c r="A1031" s="51">
        <v>42803</v>
      </c>
      <c r="B1031" s="53" t="s">
        <v>8821</v>
      </c>
      <c r="C1031" s="61">
        <v>103809</v>
      </c>
      <c r="D1031" s="62" t="s">
        <v>10</v>
      </c>
      <c r="E1031" s="68">
        <v>187871.92</v>
      </c>
      <c r="F1031" s="64" t="s">
        <v>8822</v>
      </c>
      <c r="G1031" s="69">
        <f>38747.26+149124.66</f>
        <v>187871.92</v>
      </c>
      <c r="H1031" s="69">
        <f t="shared" si="34"/>
        <v>0</v>
      </c>
    </row>
    <row r="1032" spans="1:8" ht="15.75" x14ac:dyDescent="0.25">
      <c r="A1032" s="51">
        <v>42803</v>
      </c>
      <c r="B1032" s="52" t="s">
        <v>8823</v>
      </c>
      <c r="C1032" s="18">
        <v>103810</v>
      </c>
      <c r="D1032" s="2" t="s">
        <v>531</v>
      </c>
      <c r="E1032" s="15">
        <v>30484.400000000001</v>
      </c>
      <c r="F1032" s="59">
        <v>42803</v>
      </c>
      <c r="G1032" s="15">
        <f t="shared" si="33"/>
        <v>30484.400000000001</v>
      </c>
      <c r="H1032" s="15">
        <f t="shared" si="34"/>
        <v>0</v>
      </c>
    </row>
    <row r="1033" spans="1:8" ht="15.75" x14ac:dyDescent="0.25">
      <c r="A1033" s="51">
        <v>42803</v>
      </c>
      <c r="B1033" s="52" t="s">
        <v>8824</v>
      </c>
      <c r="C1033" s="18">
        <v>103811</v>
      </c>
      <c r="D1033" s="2" t="s">
        <v>677</v>
      </c>
      <c r="E1033" s="15">
        <v>2535.4</v>
      </c>
      <c r="F1033" s="59">
        <v>42805</v>
      </c>
      <c r="G1033" s="15">
        <f t="shared" si="33"/>
        <v>2535.4</v>
      </c>
      <c r="H1033" s="15">
        <f t="shared" si="34"/>
        <v>0</v>
      </c>
    </row>
    <row r="1034" spans="1:8" ht="15.75" x14ac:dyDescent="0.25">
      <c r="A1034" s="51">
        <v>42803</v>
      </c>
      <c r="B1034" s="52" t="s">
        <v>8825</v>
      </c>
      <c r="C1034" s="18">
        <v>103812</v>
      </c>
      <c r="D1034" s="2" t="s">
        <v>680</v>
      </c>
      <c r="E1034" s="15">
        <v>1972</v>
      </c>
      <c r="F1034" s="59">
        <v>42805</v>
      </c>
      <c r="G1034" s="15">
        <f t="shared" si="33"/>
        <v>1972</v>
      </c>
      <c r="H1034" s="15">
        <f t="shared" si="34"/>
        <v>0</v>
      </c>
    </row>
    <row r="1035" spans="1:8" ht="15.75" x14ac:dyDescent="0.25">
      <c r="A1035" s="51">
        <v>42803</v>
      </c>
      <c r="B1035" s="52" t="s">
        <v>8826</v>
      </c>
      <c r="C1035" s="18">
        <v>103813</v>
      </c>
      <c r="D1035" s="2" t="s">
        <v>665</v>
      </c>
      <c r="E1035" s="15">
        <v>63094.28</v>
      </c>
      <c r="F1035" s="59">
        <v>42812</v>
      </c>
      <c r="G1035" s="15">
        <f t="shared" si="33"/>
        <v>63094.28</v>
      </c>
      <c r="H1035" s="15">
        <f t="shared" si="34"/>
        <v>0</v>
      </c>
    </row>
    <row r="1036" spans="1:8" ht="15.75" x14ac:dyDescent="0.25">
      <c r="A1036" s="51">
        <v>42803</v>
      </c>
      <c r="B1036" s="52" t="s">
        <v>8827</v>
      </c>
      <c r="C1036" s="18">
        <v>103814</v>
      </c>
      <c r="D1036" s="2" t="s">
        <v>1197</v>
      </c>
      <c r="E1036" s="15">
        <v>6073.2</v>
      </c>
      <c r="F1036" s="59">
        <v>42805</v>
      </c>
      <c r="G1036" s="15">
        <f t="shared" si="33"/>
        <v>6073.2</v>
      </c>
      <c r="H1036" s="15">
        <f t="shared" si="34"/>
        <v>0</v>
      </c>
    </row>
    <row r="1037" spans="1:8" ht="15.75" x14ac:dyDescent="0.25">
      <c r="A1037" s="51">
        <v>42803</v>
      </c>
      <c r="B1037" s="52" t="s">
        <v>8828</v>
      </c>
      <c r="C1037" s="18">
        <v>103815</v>
      </c>
      <c r="D1037" s="2" t="s">
        <v>673</v>
      </c>
      <c r="E1037" s="15">
        <v>2538.8000000000002</v>
      </c>
      <c r="F1037" s="59">
        <v>42805</v>
      </c>
      <c r="G1037" s="15">
        <f t="shared" si="33"/>
        <v>2538.8000000000002</v>
      </c>
      <c r="H1037" s="15">
        <f t="shared" si="34"/>
        <v>0</v>
      </c>
    </row>
    <row r="1038" spans="1:8" ht="15.75" x14ac:dyDescent="0.25">
      <c r="A1038" s="51">
        <v>42803</v>
      </c>
      <c r="B1038" s="52" t="s">
        <v>8829</v>
      </c>
      <c r="C1038" s="18">
        <v>103816</v>
      </c>
      <c r="D1038" s="2" t="s">
        <v>1598</v>
      </c>
      <c r="E1038" s="15">
        <v>2073.6</v>
      </c>
      <c r="F1038" s="59">
        <v>42805</v>
      </c>
      <c r="G1038" s="15">
        <f t="shared" si="33"/>
        <v>2073.6</v>
      </c>
      <c r="H1038" s="15">
        <f t="shared" si="34"/>
        <v>0</v>
      </c>
    </row>
    <row r="1039" spans="1:8" ht="15.75" x14ac:dyDescent="0.25">
      <c r="A1039" s="51">
        <v>42803</v>
      </c>
      <c r="B1039" s="52" t="s">
        <v>8830</v>
      </c>
      <c r="C1039" s="18">
        <v>103817</v>
      </c>
      <c r="D1039" s="2" t="s">
        <v>688</v>
      </c>
      <c r="E1039" s="15">
        <v>4788.8</v>
      </c>
      <c r="F1039" s="59">
        <v>42805</v>
      </c>
      <c r="G1039" s="15">
        <f t="shared" si="33"/>
        <v>4788.8</v>
      </c>
      <c r="H1039" s="15">
        <f t="shared" si="34"/>
        <v>0</v>
      </c>
    </row>
    <row r="1040" spans="1:8" ht="15.75" x14ac:dyDescent="0.25">
      <c r="A1040" s="51">
        <v>42803</v>
      </c>
      <c r="B1040" s="52" t="s">
        <v>8831</v>
      </c>
      <c r="C1040" s="18">
        <v>103818</v>
      </c>
      <c r="D1040" s="2" t="s">
        <v>686</v>
      </c>
      <c r="E1040" s="15">
        <v>13497.1</v>
      </c>
      <c r="F1040" s="59">
        <v>42805</v>
      </c>
      <c r="G1040" s="15">
        <f t="shared" si="33"/>
        <v>13497.1</v>
      </c>
      <c r="H1040" s="15">
        <f t="shared" si="34"/>
        <v>0</v>
      </c>
    </row>
    <row r="1041" spans="1:8" ht="15.75" x14ac:dyDescent="0.25">
      <c r="A1041" s="51">
        <v>42803</v>
      </c>
      <c r="B1041" s="52" t="s">
        <v>8832</v>
      </c>
      <c r="C1041" s="18">
        <v>103819</v>
      </c>
      <c r="D1041" s="2" t="s">
        <v>1589</v>
      </c>
      <c r="E1041" s="15">
        <v>10033.6</v>
      </c>
      <c r="F1041" s="59">
        <v>42805</v>
      </c>
      <c r="G1041" s="15">
        <f t="shared" si="33"/>
        <v>10033.6</v>
      </c>
      <c r="H1041" s="15">
        <f t="shared" si="34"/>
        <v>0</v>
      </c>
    </row>
    <row r="1042" spans="1:8" ht="15.75" x14ac:dyDescent="0.25">
      <c r="A1042" s="51">
        <v>42803</v>
      </c>
      <c r="B1042" s="52" t="s">
        <v>8833</v>
      </c>
      <c r="C1042" s="18">
        <v>103820</v>
      </c>
      <c r="D1042" s="2" t="s">
        <v>682</v>
      </c>
      <c r="E1042" s="15">
        <v>8034</v>
      </c>
      <c r="F1042" s="59">
        <v>42805</v>
      </c>
      <c r="G1042" s="15">
        <f t="shared" si="33"/>
        <v>8034</v>
      </c>
      <c r="H1042" s="15">
        <f t="shared" si="34"/>
        <v>0</v>
      </c>
    </row>
    <row r="1043" spans="1:8" ht="15.75" x14ac:dyDescent="0.25">
      <c r="A1043" s="51">
        <v>42803</v>
      </c>
      <c r="B1043" s="52" t="s">
        <v>8834</v>
      </c>
      <c r="C1043" s="18">
        <v>103821</v>
      </c>
      <c r="D1043" s="2" t="s">
        <v>670</v>
      </c>
      <c r="E1043" s="15">
        <v>167622.5</v>
      </c>
      <c r="F1043" s="59">
        <v>42810</v>
      </c>
      <c r="G1043" s="15">
        <f t="shared" si="33"/>
        <v>167622.5</v>
      </c>
      <c r="H1043" s="15">
        <f t="shared" si="34"/>
        <v>0</v>
      </c>
    </row>
    <row r="1044" spans="1:8" ht="15.75" x14ac:dyDescent="0.25">
      <c r="A1044" s="51">
        <v>42803</v>
      </c>
      <c r="B1044" s="52" t="s">
        <v>8835</v>
      </c>
      <c r="C1044" s="18">
        <v>103822</v>
      </c>
      <c r="D1044" s="2" t="s">
        <v>3513</v>
      </c>
      <c r="E1044" s="15">
        <v>1592</v>
      </c>
      <c r="F1044" s="59">
        <v>42805</v>
      </c>
      <c r="G1044" s="15">
        <f t="shared" si="33"/>
        <v>1592</v>
      </c>
      <c r="H1044" s="15">
        <f t="shared" si="34"/>
        <v>0</v>
      </c>
    </row>
    <row r="1045" spans="1:8" ht="30" x14ac:dyDescent="0.25">
      <c r="A1045" s="51">
        <v>42803</v>
      </c>
      <c r="B1045" s="52" t="s">
        <v>8836</v>
      </c>
      <c r="C1045" s="18">
        <v>103823</v>
      </c>
      <c r="D1045" s="2" t="s">
        <v>55</v>
      </c>
      <c r="E1045" s="15">
        <v>22293.4</v>
      </c>
      <c r="F1045" s="64" t="s">
        <v>8837</v>
      </c>
      <c r="G1045" s="20">
        <f>15000+7293.4</f>
        <v>22293.4</v>
      </c>
      <c r="H1045" s="20">
        <f t="shared" si="34"/>
        <v>0</v>
      </c>
    </row>
    <row r="1046" spans="1:8" ht="15.75" x14ac:dyDescent="0.25">
      <c r="A1046" s="51">
        <v>42803</v>
      </c>
      <c r="B1046" s="52" t="s">
        <v>8838</v>
      </c>
      <c r="C1046" s="18">
        <v>103824</v>
      </c>
      <c r="D1046" s="2" t="s">
        <v>236</v>
      </c>
      <c r="E1046" s="15">
        <v>31075.32</v>
      </c>
      <c r="F1046" s="59">
        <v>42818</v>
      </c>
      <c r="G1046" s="15">
        <f t="shared" si="33"/>
        <v>31075.32</v>
      </c>
      <c r="H1046" s="15">
        <f t="shared" si="34"/>
        <v>0</v>
      </c>
    </row>
    <row r="1047" spans="1:8" ht="15.75" x14ac:dyDescent="0.25">
      <c r="A1047" s="51">
        <v>42803</v>
      </c>
      <c r="B1047" s="52" t="s">
        <v>8839</v>
      </c>
      <c r="C1047" s="18">
        <v>103825</v>
      </c>
      <c r="D1047" s="2" t="s">
        <v>354</v>
      </c>
      <c r="E1047" s="15">
        <v>1842.8</v>
      </c>
      <c r="F1047" s="59">
        <v>42803</v>
      </c>
      <c r="G1047" s="15">
        <f t="shared" si="33"/>
        <v>1842.8</v>
      </c>
      <c r="H1047" s="15">
        <f t="shared" si="34"/>
        <v>0</v>
      </c>
    </row>
    <row r="1048" spans="1:8" ht="15.75" x14ac:dyDescent="0.25">
      <c r="A1048" s="51">
        <v>42803</v>
      </c>
      <c r="B1048" s="52" t="s">
        <v>8840</v>
      </c>
      <c r="C1048" s="18">
        <v>103826</v>
      </c>
      <c r="D1048" s="2" t="s">
        <v>211</v>
      </c>
      <c r="E1048" s="15">
        <v>8676.7999999999993</v>
      </c>
      <c r="F1048" s="59">
        <v>42803</v>
      </c>
      <c r="G1048" s="15">
        <f t="shared" si="33"/>
        <v>8676.7999999999993</v>
      </c>
      <c r="H1048" s="15">
        <f t="shared" si="34"/>
        <v>0</v>
      </c>
    </row>
    <row r="1049" spans="1:8" ht="15.75" x14ac:dyDescent="0.25">
      <c r="A1049" s="51">
        <v>42803</v>
      </c>
      <c r="B1049" s="52" t="s">
        <v>8841</v>
      </c>
      <c r="C1049" s="18">
        <v>103827</v>
      </c>
      <c r="D1049" s="2" t="s">
        <v>220</v>
      </c>
      <c r="E1049" s="15">
        <v>4328.8</v>
      </c>
      <c r="F1049" s="59">
        <v>42804</v>
      </c>
      <c r="G1049" s="15">
        <f t="shared" si="33"/>
        <v>4328.8</v>
      </c>
      <c r="H1049" s="15">
        <f t="shared" si="34"/>
        <v>0</v>
      </c>
    </row>
    <row r="1050" spans="1:8" ht="15.75" x14ac:dyDescent="0.25">
      <c r="A1050" s="51">
        <v>42803</v>
      </c>
      <c r="B1050" s="52" t="s">
        <v>8842</v>
      </c>
      <c r="C1050" s="18">
        <v>103828</v>
      </c>
      <c r="D1050" s="2" t="s">
        <v>220</v>
      </c>
      <c r="E1050" s="15">
        <v>1788.2</v>
      </c>
      <c r="F1050" s="59">
        <v>42804</v>
      </c>
      <c r="G1050" s="15">
        <f t="shared" si="33"/>
        <v>1788.2</v>
      </c>
      <c r="H1050" s="15">
        <f t="shared" si="34"/>
        <v>0</v>
      </c>
    </row>
    <row r="1051" spans="1:8" ht="15.75" x14ac:dyDescent="0.25">
      <c r="A1051" s="51">
        <v>42804</v>
      </c>
      <c r="B1051" s="52" t="s">
        <v>8843</v>
      </c>
      <c r="C1051" s="18">
        <v>103829</v>
      </c>
      <c r="D1051" s="2" t="s">
        <v>374</v>
      </c>
      <c r="E1051" s="15">
        <v>6481.2</v>
      </c>
      <c r="F1051" s="59">
        <v>42804</v>
      </c>
      <c r="G1051" s="15">
        <f t="shared" si="33"/>
        <v>6481.2</v>
      </c>
      <c r="H1051" s="15">
        <f t="shared" si="34"/>
        <v>0</v>
      </c>
    </row>
    <row r="1052" spans="1:8" ht="15.75" x14ac:dyDescent="0.25">
      <c r="A1052" s="51">
        <v>42804</v>
      </c>
      <c r="B1052" s="52" t="s">
        <v>8844</v>
      </c>
      <c r="C1052" s="18">
        <v>103830</v>
      </c>
      <c r="D1052" s="2" t="s">
        <v>157</v>
      </c>
      <c r="E1052" s="15">
        <v>15152.4</v>
      </c>
      <c r="F1052" s="59">
        <v>42804</v>
      </c>
      <c r="G1052" s="15">
        <f t="shared" si="33"/>
        <v>15152.4</v>
      </c>
      <c r="H1052" s="15">
        <f t="shared" si="34"/>
        <v>0</v>
      </c>
    </row>
    <row r="1053" spans="1:8" ht="15.75" x14ac:dyDescent="0.25">
      <c r="A1053" s="51">
        <v>42804</v>
      </c>
      <c r="B1053" s="52" t="s">
        <v>8845</v>
      </c>
      <c r="C1053" s="18">
        <v>103831</v>
      </c>
      <c r="D1053" s="2" t="s">
        <v>26</v>
      </c>
      <c r="E1053" s="15">
        <v>12091.4</v>
      </c>
      <c r="F1053" s="59">
        <v>42804</v>
      </c>
      <c r="G1053" s="15">
        <f t="shared" si="33"/>
        <v>12091.4</v>
      </c>
      <c r="H1053" s="15">
        <f t="shared" si="34"/>
        <v>0</v>
      </c>
    </row>
    <row r="1054" spans="1:8" ht="15.75" x14ac:dyDescent="0.25">
      <c r="A1054" s="51">
        <v>42804</v>
      </c>
      <c r="B1054" s="52" t="s">
        <v>8846</v>
      </c>
      <c r="C1054" s="18">
        <v>103832</v>
      </c>
      <c r="D1054" s="2" t="s">
        <v>231</v>
      </c>
      <c r="E1054" s="15">
        <v>26912.400000000001</v>
      </c>
      <c r="F1054" s="59">
        <v>42805</v>
      </c>
      <c r="G1054" s="15">
        <f>17700+9212.4</f>
        <v>26912.400000000001</v>
      </c>
      <c r="H1054" s="15">
        <f t="shared" si="34"/>
        <v>0</v>
      </c>
    </row>
    <row r="1055" spans="1:8" ht="15.75" x14ac:dyDescent="0.25">
      <c r="A1055" s="51">
        <v>42804</v>
      </c>
      <c r="B1055" s="52" t="s">
        <v>8847</v>
      </c>
      <c r="C1055" s="18">
        <v>103833</v>
      </c>
      <c r="D1055" s="2" t="s">
        <v>428</v>
      </c>
      <c r="E1055" s="15">
        <v>2222.4</v>
      </c>
      <c r="F1055" s="59">
        <v>42805</v>
      </c>
      <c r="G1055" s="15">
        <f t="shared" si="33"/>
        <v>2222.4</v>
      </c>
      <c r="H1055" s="15">
        <f t="shared" si="34"/>
        <v>0</v>
      </c>
    </row>
    <row r="1056" spans="1:8" ht="15.75" x14ac:dyDescent="0.25">
      <c r="A1056" s="51">
        <v>42804</v>
      </c>
      <c r="B1056" s="52" t="s">
        <v>8848</v>
      </c>
      <c r="C1056" s="18">
        <v>103834</v>
      </c>
      <c r="D1056" s="2" t="s">
        <v>28</v>
      </c>
      <c r="E1056" s="15">
        <v>4549.3999999999996</v>
      </c>
      <c r="F1056" s="59">
        <v>42804</v>
      </c>
      <c r="G1056" s="15">
        <f t="shared" si="33"/>
        <v>4549.3999999999996</v>
      </c>
      <c r="H1056" s="15">
        <f t="shared" si="34"/>
        <v>0</v>
      </c>
    </row>
    <row r="1057" spans="1:9" ht="15.75" x14ac:dyDescent="0.25">
      <c r="A1057" s="51">
        <v>42804</v>
      </c>
      <c r="B1057" s="52" t="s">
        <v>8849</v>
      </c>
      <c r="C1057" s="18">
        <v>103835</v>
      </c>
      <c r="D1057" s="2" t="s">
        <v>35</v>
      </c>
      <c r="E1057" s="15">
        <v>8967.2999999999993</v>
      </c>
      <c r="F1057" s="59">
        <v>42808</v>
      </c>
      <c r="G1057" s="15">
        <f t="shared" si="33"/>
        <v>8967.2999999999993</v>
      </c>
      <c r="H1057" s="15">
        <f t="shared" si="34"/>
        <v>0</v>
      </c>
    </row>
    <row r="1058" spans="1:9" ht="15.75" x14ac:dyDescent="0.25">
      <c r="A1058" s="51">
        <v>42804</v>
      </c>
      <c r="B1058" s="52" t="s">
        <v>8850</v>
      </c>
      <c r="C1058" s="18">
        <v>103836</v>
      </c>
      <c r="D1058" s="2" t="s">
        <v>21</v>
      </c>
      <c r="E1058" s="15">
        <v>42664.6</v>
      </c>
      <c r="F1058" s="59">
        <v>42815</v>
      </c>
      <c r="G1058" s="15">
        <f t="shared" si="33"/>
        <v>42664.6</v>
      </c>
      <c r="H1058" s="15">
        <f t="shared" si="34"/>
        <v>0</v>
      </c>
    </row>
    <row r="1059" spans="1:9" ht="15.75" x14ac:dyDescent="0.25">
      <c r="A1059" s="51">
        <v>42804</v>
      </c>
      <c r="B1059" s="52" t="s">
        <v>8851</v>
      </c>
      <c r="C1059" s="18">
        <v>103837</v>
      </c>
      <c r="D1059" s="2" t="s">
        <v>32</v>
      </c>
      <c r="E1059" s="15">
        <v>6134.4</v>
      </c>
      <c r="F1059" s="59">
        <v>42810</v>
      </c>
      <c r="G1059" s="15">
        <f t="shared" si="33"/>
        <v>6134.4</v>
      </c>
      <c r="H1059" s="15">
        <f t="shared" si="34"/>
        <v>0</v>
      </c>
    </row>
    <row r="1060" spans="1:9" ht="15.75" x14ac:dyDescent="0.25">
      <c r="A1060" s="51">
        <v>42804</v>
      </c>
      <c r="B1060" s="52" t="s">
        <v>8852</v>
      </c>
      <c r="C1060" s="18">
        <v>103838</v>
      </c>
      <c r="D1060" s="2" t="s">
        <v>38</v>
      </c>
      <c r="E1060" s="15">
        <v>3702.6</v>
      </c>
      <c r="F1060" s="59">
        <v>42807</v>
      </c>
      <c r="G1060" s="15">
        <f t="shared" si="33"/>
        <v>3702.6</v>
      </c>
      <c r="H1060" s="15">
        <f t="shared" si="34"/>
        <v>0</v>
      </c>
    </row>
    <row r="1061" spans="1:9" ht="15.75" x14ac:dyDescent="0.25">
      <c r="A1061" s="51">
        <v>42804</v>
      </c>
      <c r="B1061" s="52" t="s">
        <v>8853</v>
      </c>
      <c r="C1061" s="18">
        <v>103839</v>
      </c>
      <c r="D1061" s="2" t="s">
        <v>49</v>
      </c>
      <c r="E1061" s="15">
        <v>6912.5</v>
      </c>
      <c r="F1061" s="59">
        <v>42805</v>
      </c>
      <c r="G1061" s="15">
        <f t="shared" si="33"/>
        <v>6912.5</v>
      </c>
      <c r="H1061" s="15">
        <f t="shared" si="34"/>
        <v>0</v>
      </c>
    </row>
    <row r="1062" spans="1:9" ht="15.75" x14ac:dyDescent="0.25">
      <c r="A1062" s="51">
        <v>42804</v>
      </c>
      <c r="B1062" s="52" t="s">
        <v>8854</v>
      </c>
      <c r="C1062" s="18">
        <v>103840</v>
      </c>
      <c r="D1062" s="2" t="s">
        <v>51</v>
      </c>
      <c r="E1062" s="15">
        <v>3661</v>
      </c>
      <c r="F1062" s="59">
        <v>42807</v>
      </c>
      <c r="G1062" s="15">
        <f t="shared" si="33"/>
        <v>3661</v>
      </c>
      <c r="H1062" s="15">
        <f t="shared" si="34"/>
        <v>0</v>
      </c>
    </row>
    <row r="1063" spans="1:9" ht="15.75" x14ac:dyDescent="0.25">
      <c r="A1063" s="51">
        <v>42804</v>
      </c>
      <c r="B1063" s="52" t="s">
        <v>8855</v>
      </c>
      <c r="C1063" s="18">
        <v>103841</v>
      </c>
      <c r="D1063" s="2" t="s">
        <v>43</v>
      </c>
      <c r="E1063" s="15">
        <v>1382.5</v>
      </c>
      <c r="F1063" s="59">
        <v>42807</v>
      </c>
      <c r="G1063" s="15">
        <f t="shared" si="33"/>
        <v>1382.5</v>
      </c>
      <c r="H1063" s="15">
        <f t="shared" si="34"/>
        <v>0</v>
      </c>
    </row>
    <row r="1064" spans="1:9" ht="15.75" x14ac:dyDescent="0.25">
      <c r="A1064" s="51">
        <v>42804</v>
      </c>
      <c r="B1064" s="52" t="s">
        <v>8856</v>
      </c>
      <c r="C1064" s="18">
        <v>103842</v>
      </c>
      <c r="D1064" s="2" t="s">
        <v>69</v>
      </c>
      <c r="E1064" s="15">
        <v>1942.3</v>
      </c>
      <c r="F1064" s="59">
        <v>42804</v>
      </c>
      <c r="G1064" s="15">
        <f t="shared" si="33"/>
        <v>1942.3</v>
      </c>
      <c r="H1064" s="15">
        <f t="shared" si="34"/>
        <v>0</v>
      </c>
    </row>
    <row r="1065" spans="1:9" ht="15.75" x14ac:dyDescent="0.25">
      <c r="A1065" s="51">
        <v>42804</v>
      </c>
      <c r="B1065" s="52" t="s">
        <v>8857</v>
      </c>
      <c r="C1065" s="18">
        <v>103843</v>
      </c>
      <c r="D1065" s="2" t="s">
        <v>250</v>
      </c>
      <c r="E1065" s="15">
        <v>6220.9</v>
      </c>
      <c r="F1065" s="59">
        <v>42807</v>
      </c>
      <c r="G1065" s="15">
        <f t="shared" si="33"/>
        <v>6220.9</v>
      </c>
      <c r="H1065" s="15">
        <f t="shared" si="34"/>
        <v>0</v>
      </c>
    </row>
    <row r="1066" spans="1:9" ht="15.75" x14ac:dyDescent="0.25">
      <c r="A1066" s="51">
        <v>42804</v>
      </c>
      <c r="B1066" s="52" t="s">
        <v>8858</v>
      </c>
      <c r="C1066" s="18">
        <v>103844</v>
      </c>
      <c r="D1066" s="2" t="s">
        <v>47</v>
      </c>
      <c r="E1066" s="15">
        <v>1833.1</v>
      </c>
      <c r="F1066" s="59">
        <v>42804</v>
      </c>
      <c r="G1066" s="15">
        <f t="shared" si="33"/>
        <v>1833.1</v>
      </c>
      <c r="H1066" s="15">
        <f t="shared" si="34"/>
        <v>0</v>
      </c>
    </row>
    <row r="1067" spans="1:9" ht="15.75" x14ac:dyDescent="0.25">
      <c r="A1067" s="51">
        <v>42804</v>
      </c>
      <c r="B1067" s="52" t="s">
        <v>8859</v>
      </c>
      <c r="C1067" s="18">
        <v>103845</v>
      </c>
      <c r="D1067" s="2" t="s">
        <v>1645</v>
      </c>
      <c r="E1067" s="15">
        <v>2234.1999999999998</v>
      </c>
      <c r="F1067" s="59">
        <v>42804</v>
      </c>
      <c r="G1067" s="15">
        <f t="shared" si="33"/>
        <v>2234.1999999999998</v>
      </c>
      <c r="H1067" s="15">
        <f t="shared" si="34"/>
        <v>0</v>
      </c>
    </row>
    <row r="1068" spans="1:9" ht="15.75" x14ac:dyDescent="0.25">
      <c r="A1068" s="51">
        <v>42804</v>
      </c>
      <c r="B1068" s="52" t="s">
        <v>8860</v>
      </c>
      <c r="C1068" s="18">
        <v>103846</v>
      </c>
      <c r="D1068" s="2" t="s">
        <v>222</v>
      </c>
      <c r="E1068" s="15">
        <v>52978.8</v>
      </c>
      <c r="F1068" s="59">
        <v>42807</v>
      </c>
      <c r="G1068" s="15">
        <f t="shared" si="33"/>
        <v>52978.8</v>
      </c>
      <c r="H1068" s="15">
        <f t="shared" si="34"/>
        <v>0</v>
      </c>
    </row>
    <row r="1069" spans="1:9" ht="15.75" x14ac:dyDescent="0.25">
      <c r="A1069" s="51">
        <v>42804</v>
      </c>
      <c r="B1069" s="52" t="s">
        <v>8861</v>
      </c>
      <c r="C1069" s="18">
        <v>103847</v>
      </c>
      <c r="D1069" s="2" t="s">
        <v>8294</v>
      </c>
      <c r="E1069" s="15">
        <v>3412.8</v>
      </c>
      <c r="F1069" s="59">
        <v>42804</v>
      </c>
      <c r="G1069" s="15">
        <f t="shared" si="33"/>
        <v>3412.8</v>
      </c>
      <c r="H1069" s="15">
        <f t="shared" si="34"/>
        <v>0</v>
      </c>
      <c r="I1069" s="19"/>
    </row>
    <row r="1070" spans="1:9" ht="15.75" x14ac:dyDescent="0.25">
      <c r="A1070" s="51">
        <v>42804</v>
      </c>
      <c r="B1070" s="52" t="s">
        <v>8862</v>
      </c>
      <c r="C1070" s="18">
        <v>103848</v>
      </c>
      <c r="D1070" s="2" t="s">
        <v>30</v>
      </c>
      <c r="E1070" s="15">
        <v>2702.4</v>
      </c>
      <c r="F1070" s="59">
        <v>42804</v>
      </c>
      <c r="G1070" s="15">
        <f t="shared" si="33"/>
        <v>2702.4</v>
      </c>
      <c r="H1070" s="15">
        <f t="shared" si="34"/>
        <v>0</v>
      </c>
      <c r="I1070" s="19"/>
    </row>
    <row r="1071" spans="1:9" ht="15.75" x14ac:dyDescent="0.25">
      <c r="A1071" s="51">
        <v>42804</v>
      </c>
      <c r="B1071" s="52" t="s">
        <v>8863</v>
      </c>
      <c r="C1071" s="18">
        <v>103849</v>
      </c>
      <c r="D1071" s="2" t="s">
        <v>103</v>
      </c>
      <c r="E1071" s="15">
        <v>3411</v>
      </c>
      <c r="F1071" s="59">
        <v>42805</v>
      </c>
      <c r="G1071" s="15">
        <f t="shared" si="33"/>
        <v>3411</v>
      </c>
      <c r="H1071" s="15">
        <f t="shared" si="34"/>
        <v>0</v>
      </c>
      <c r="I1071" s="19"/>
    </row>
    <row r="1072" spans="1:9" ht="15.75" x14ac:dyDescent="0.25">
      <c r="A1072" s="51">
        <v>42804</v>
      </c>
      <c r="B1072" s="52" t="s">
        <v>8864</v>
      </c>
      <c r="C1072" s="18">
        <v>103850</v>
      </c>
      <c r="D1072" s="2" t="s">
        <v>105</v>
      </c>
      <c r="E1072" s="15">
        <v>3132</v>
      </c>
      <c r="F1072" s="59">
        <v>42805</v>
      </c>
      <c r="G1072" s="15">
        <f t="shared" si="33"/>
        <v>3132</v>
      </c>
      <c r="H1072" s="15">
        <f t="shared" si="34"/>
        <v>0</v>
      </c>
      <c r="I1072" s="19"/>
    </row>
    <row r="1073" spans="1:9" ht="15.75" x14ac:dyDescent="0.25">
      <c r="A1073" s="51">
        <v>42804</v>
      </c>
      <c r="B1073" s="52" t="s">
        <v>8865</v>
      </c>
      <c r="C1073" s="18">
        <v>103851</v>
      </c>
      <c r="D1073" s="2" t="s">
        <v>613</v>
      </c>
      <c r="E1073" s="15">
        <v>3665.2</v>
      </c>
      <c r="F1073" s="59">
        <v>42804</v>
      </c>
      <c r="G1073" s="15">
        <f t="shared" si="33"/>
        <v>3665.2</v>
      </c>
      <c r="H1073" s="15">
        <f t="shared" si="34"/>
        <v>0</v>
      </c>
      <c r="I1073" s="19"/>
    </row>
    <row r="1074" spans="1:9" ht="15.75" x14ac:dyDescent="0.25">
      <c r="A1074" s="51">
        <v>42804</v>
      </c>
      <c r="B1074" s="52" t="s">
        <v>8866</v>
      </c>
      <c r="C1074" s="18">
        <v>103852</v>
      </c>
      <c r="D1074" s="2" t="s">
        <v>105</v>
      </c>
      <c r="E1074" s="15">
        <v>434.7</v>
      </c>
      <c r="F1074" s="59">
        <v>42805</v>
      </c>
      <c r="G1074" s="15">
        <f t="shared" si="33"/>
        <v>434.7</v>
      </c>
      <c r="H1074" s="15">
        <f t="shared" si="34"/>
        <v>0</v>
      </c>
      <c r="I1074" s="19"/>
    </row>
    <row r="1075" spans="1:9" ht="15.75" x14ac:dyDescent="0.25">
      <c r="A1075" s="51">
        <v>42804</v>
      </c>
      <c r="B1075" s="52" t="s">
        <v>8867</v>
      </c>
      <c r="C1075" s="18">
        <v>103853</v>
      </c>
      <c r="D1075" s="2" t="s">
        <v>83</v>
      </c>
      <c r="E1075" s="15">
        <v>3675</v>
      </c>
      <c r="F1075" s="59">
        <v>42804</v>
      </c>
      <c r="G1075" s="15">
        <f t="shared" si="33"/>
        <v>3675</v>
      </c>
      <c r="H1075" s="15">
        <f t="shared" si="34"/>
        <v>0</v>
      </c>
      <c r="I1075" s="19"/>
    </row>
    <row r="1076" spans="1:9" ht="15.75" x14ac:dyDescent="0.25">
      <c r="A1076" s="51">
        <v>42804</v>
      </c>
      <c r="B1076" s="52" t="s">
        <v>8868</v>
      </c>
      <c r="C1076" s="18">
        <v>103854</v>
      </c>
      <c r="D1076" s="2" t="s">
        <v>101</v>
      </c>
      <c r="E1076" s="15">
        <v>1179.7</v>
      </c>
      <c r="F1076" s="59">
        <v>42804</v>
      </c>
      <c r="G1076" s="15">
        <f t="shared" si="33"/>
        <v>1179.7</v>
      </c>
      <c r="H1076" s="15">
        <f t="shared" si="34"/>
        <v>0</v>
      </c>
      <c r="I1076" s="19"/>
    </row>
    <row r="1077" spans="1:9" ht="15.75" x14ac:dyDescent="0.25">
      <c r="A1077" s="51">
        <v>42804</v>
      </c>
      <c r="B1077" s="52" t="s">
        <v>8869</v>
      </c>
      <c r="C1077" s="18">
        <v>103855</v>
      </c>
      <c r="D1077" s="2" t="s">
        <v>99</v>
      </c>
      <c r="E1077" s="15">
        <v>1880</v>
      </c>
      <c r="F1077" s="59">
        <v>42804</v>
      </c>
      <c r="G1077" s="15">
        <f t="shared" si="33"/>
        <v>1880</v>
      </c>
      <c r="H1077" s="15">
        <f t="shared" si="34"/>
        <v>0</v>
      </c>
      <c r="I1077" s="19"/>
    </row>
    <row r="1078" spans="1:9" ht="15.75" x14ac:dyDescent="0.25">
      <c r="A1078" s="51">
        <v>42804</v>
      </c>
      <c r="B1078" s="52" t="s">
        <v>8870</v>
      </c>
      <c r="C1078" s="18">
        <v>103856</v>
      </c>
      <c r="D1078" s="2" t="s">
        <v>281</v>
      </c>
      <c r="E1078" s="15">
        <v>1759.4</v>
      </c>
      <c r="F1078" s="59">
        <v>42804</v>
      </c>
      <c r="G1078" s="15">
        <f t="shared" si="33"/>
        <v>1759.4</v>
      </c>
      <c r="H1078" s="15">
        <f t="shared" si="34"/>
        <v>0</v>
      </c>
      <c r="I1078" s="19"/>
    </row>
    <row r="1079" spans="1:9" ht="15.75" x14ac:dyDescent="0.25">
      <c r="A1079" s="51">
        <v>42804</v>
      </c>
      <c r="B1079" s="52" t="s">
        <v>8871</v>
      </c>
      <c r="C1079" s="18">
        <v>103857</v>
      </c>
      <c r="D1079" s="2" t="s">
        <v>1259</v>
      </c>
      <c r="E1079" s="15">
        <v>2180.4</v>
      </c>
      <c r="F1079" s="59">
        <v>42804</v>
      </c>
      <c r="G1079" s="15">
        <f t="shared" si="33"/>
        <v>2180.4</v>
      </c>
      <c r="H1079" s="15">
        <f t="shared" si="34"/>
        <v>0</v>
      </c>
      <c r="I1079" s="19"/>
    </row>
    <row r="1080" spans="1:9" ht="15.75" x14ac:dyDescent="0.25">
      <c r="A1080" s="51">
        <v>42804</v>
      </c>
      <c r="B1080" s="52" t="s">
        <v>8872</v>
      </c>
      <c r="C1080" s="18">
        <v>103858</v>
      </c>
      <c r="D1080" s="2" t="s">
        <v>88</v>
      </c>
      <c r="E1080" s="15">
        <v>5607.4</v>
      </c>
      <c r="F1080" s="59">
        <v>42804</v>
      </c>
      <c r="G1080" s="15">
        <f t="shared" si="33"/>
        <v>5607.4</v>
      </c>
      <c r="H1080" s="15">
        <f t="shared" si="34"/>
        <v>0</v>
      </c>
      <c r="I1080" s="19"/>
    </row>
    <row r="1081" spans="1:9" ht="15.75" x14ac:dyDescent="0.25">
      <c r="A1081" s="51">
        <v>42804</v>
      </c>
      <c r="B1081" s="52" t="s">
        <v>8873</v>
      </c>
      <c r="C1081" s="18">
        <v>103859</v>
      </c>
      <c r="D1081" s="2" t="s">
        <v>188</v>
      </c>
      <c r="E1081" s="15">
        <v>2921</v>
      </c>
      <c r="F1081" s="59">
        <v>42804</v>
      </c>
      <c r="G1081" s="15">
        <f t="shared" si="33"/>
        <v>2921</v>
      </c>
      <c r="H1081" s="15">
        <f t="shared" si="34"/>
        <v>0</v>
      </c>
      <c r="I1081" s="19"/>
    </row>
    <row r="1082" spans="1:9" ht="15.75" x14ac:dyDescent="0.25">
      <c r="A1082" s="51">
        <v>42804</v>
      </c>
      <c r="B1082" s="52" t="s">
        <v>8874</v>
      </c>
      <c r="C1082" s="18">
        <v>103860</v>
      </c>
      <c r="D1082" s="2" t="s">
        <v>149</v>
      </c>
      <c r="E1082" s="15">
        <v>4297.2</v>
      </c>
      <c r="F1082" s="59">
        <v>42804</v>
      </c>
      <c r="G1082" s="15">
        <f t="shared" si="33"/>
        <v>4297.2</v>
      </c>
      <c r="H1082" s="15">
        <f t="shared" si="34"/>
        <v>0</v>
      </c>
      <c r="I1082" s="19"/>
    </row>
    <row r="1083" spans="1:9" ht="15.75" x14ac:dyDescent="0.25">
      <c r="A1083" s="51">
        <v>42804</v>
      </c>
      <c r="B1083" s="52" t="s">
        <v>8875</v>
      </c>
      <c r="C1083" s="18">
        <v>103861</v>
      </c>
      <c r="D1083" s="2" t="s">
        <v>341</v>
      </c>
      <c r="E1083" s="15">
        <v>10000.08</v>
      </c>
      <c r="F1083" s="59">
        <v>42804</v>
      </c>
      <c r="G1083" s="15">
        <f t="shared" si="33"/>
        <v>10000.08</v>
      </c>
      <c r="H1083" s="15">
        <f t="shared" si="34"/>
        <v>0</v>
      </c>
      <c r="I1083" s="19"/>
    </row>
    <row r="1084" spans="1:9" ht="15.75" x14ac:dyDescent="0.25">
      <c r="A1084" s="51">
        <v>42804</v>
      </c>
      <c r="B1084" s="52" t="s">
        <v>8876</v>
      </c>
      <c r="C1084" s="18">
        <v>103862</v>
      </c>
      <c r="D1084" s="2" t="s">
        <v>109</v>
      </c>
      <c r="E1084" s="15">
        <v>3082.1</v>
      </c>
      <c r="F1084" s="59">
        <v>42804</v>
      </c>
      <c r="G1084" s="15">
        <f t="shared" si="33"/>
        <v>3082.1</v>
      </c>
      <c r="H1084" s="15">
        <f t="shared" si="34"/>
        <v>0</v>
      </c>
      <c r="I1084" s="19"/>
    </row>
    <row r="1085" spans="1:9" ht="15.75" x14ac:dyDescent="0.25">
      <c r="A1085" s="51">
        <v>42804</v>
      </c>
      <c r="B1085" s="52" t="s">
        <v>8877</v>
      </c>
      <c r="C1085" s="18">
        <v>103863</v>
      </c>
      <c r="D1085" s="2" t="s">
        <v>293</v>
      </c>
      <c r="E1085" s="15">
        <v>390</v>
      </c>
      <c r="F1085" s="59">
        <v>42805</v>
      </c>
      <c r="G1085" s="15">
        <f t="shared" si="33"/>
        <v>390</v>
      </c>
      <c r="H1085" s="15">
        <f t="shared" si="34"/>
        <v>0</v>
      </c>
      <c r="I1085" s="19"/>
    </row>
    <row r="1086" spans="1:9" ht="15.75" x14ac:dyDescent="0.25">
      <c r="A1086" s="51">
        <v>42804</v>
      </c>
      <c r="B1086" s="52" t="s">
        <v>8878</v>
      </c>
      <c r="C1086" s="18">
        <v>103864</v>
      </c>
      <c r="D1086" s="2" t="s">
        <v>457</v>
      </c>
      <c r="E1086" s="15">
        <v>853.2</v>
      </c>
      <c r="F1086" s="59">
        <v>42804</v>
      </c>
      <c r="G1086" s="15">
        <f t="shared" si="33"/>
        <v>853.2</v>
      </c>
      <c r="H1086" s="15">
        <f t="shared" si="34"/>
        <v>0</v>
      </c>
      <c r="I1086" s="19"/>
    </row>
    <row r="1087" spans="1:9" ht="15.75" x14ac:dyDescent="0.25">
      <c r="A1087" s="51">
        <v>42804</v>
      </c>
      <c r="B1087" s="52" t="s">
        <v>8879</v>
      </c>
      <c r="C1087" s="18">
        <v>103865</v>
      </c>
      <c r="D1087" s="2" t="s">
        <v>231</v>
      </c>
      <c r="E1087" s="15">
        <v>232</v>
      </c>
      <c r="F1087" s="59">
        <v>42805</v>
      </c>
      <c r="G1087" s="15">
        <f t="shared" si="33"/>
        <v>232</v>
      </c>
      <c r="H1087" s="15">
        <f t="shared" si="34"/>
        <v>0</v>
      </c>
      <c r="I1087" s="19"/>
    </row>
    <row r="1088" spans="1:9" ht="15.75" x14ac:dyDescent="0.25">
      <c r="A1088" s="51">
        <v>42804</v>
      </c>
      <c r="B1088" s="52" t="s">
        <v>8880</v>
      </c>
      <c r="C1088" s="18">
        <v>103866</v>
      </c>
      <c r="D1088" s="2" t="s">
        <v>1090</v>
      </c>
      <c r="E1088" s="15">
        <v>8902.6</v>
      </c>
      <c r="F1088" s="59">
        <v>42804</v>
      </c>
      <c r="G1088" s="15">
        <f t="shared" si="33"/>
        <v>8902.6</v>
      </c>
      <c r="H1088" s="15">
        <f t="shared" si="34"/>
        <v>0</v>
      </c>
      <c r="I1088" s="19"/>
    </row>
    <row r="1089" spans="1:9" ht="15.75" x14ac:dyDescent="0.25">
      <c r="A1089" s="51">
        <v>42804</v>
      </c>
      <c r="B1089" s="52" t="s">
        <v>8881</v>
      </c>
      <c r="C1089" s="18">
        <v>103867</v>
      </c>
      <c r="D1089" s="2" t="s">
        <v>92</v>
      </c>
      <c r="E1089" s="15">
        <v>3110.4</v>
      </c>
      <c r="F1089" s="59">
        <v>42804</v>
      </c>
      <c r="G1089" s="15">
        <f t="shared" si="33"/>
        <v>3110.4</v>
      </c>
      <c r="H1089" s="15">
        <f t="shared" si="34"/>
        <v>0</v>
      </c>
      <c r="I1089" s="19"/>
    </row>
    <row r="1090" spans="1:9" ht="15.75" x14ac:dyDescent="0.25">
      <c r="A1090" s="51">
        <v>42804</v>
      </c>
      <c r="B1090" s="52" t="s">
        <v>8882</v>
      </c>
      <c r="C1090" s="18">
        <v>103868</v>
      </c>
      <c r="D1090" s="2" t="s">
        <v>1090</v>
      </c>
      <c r="E1090" s="15">
        <v>200</v>
      </c>
      <c r="F1090" s="59">
        <v>42804</v>
      </c>
      <c r="G1090" s="15">
        <f t="shared" si="33"/>
        <v>200</v>
      </c>
      <c r="H1090" s="15">
        <f t="shared" si="34"/>
        <v>0</v>
      </c>
      <c r="I1090" s="19"/>
    </row>
    <row r="1091" spans="1:9" ht="15.75" x14ac:dyDescent="0.25">
      <c r="A1091" s="51">
        <v>42804</v>
      </c>
      <c r="B1091" s="52" t="s">
        <v>8883</v>
      </c>
      <c r="C1091" s="18">
        <v>103869</v>
      </c>
      <c r="D1091" s="2" t="s">
        <v>341</v>
      </c>
      <c r="E1091" s="15">
        <v>187.2</v>
      </c>
      <c r="F1091" s="59">
        <v>42804</v>
      </c>
      <c r="G1091" s="15">
        <f t="shared" si="33"/>
        <v>187.2</v>
      </c>
      <c r="H1091" s="15">
        <f t="shared" si="34"/>
        <v>0</v>
      </c>
      <c r="I1091" s="19"/>
    </row>
    <row r="1092" spans="1:9" ht="15.75" x14ac:dyDescent="0.25">
      <c r="A1092" s="51">
        <v>42804</v>
      </c>
      <c r="B1092" s="52" t="s">
        <v>8884</v>
      </c>
      <c r="C1092" s="18">
        <v>103870</v>
      </c>
      <c r="D1092" s="2" t="s">
        <v>240</v>
      </c>
      <c r="E1092" s="15">
        <v>5140.6000000000004</v>
      </c>
      <c r="F1092" s="59">
        <v>42804</v>
      </c>
      <c r="G1092" s="15">
        <f t="shared" ref="G1092:G1155" si="35">E1092</f>
        <v>5140.6000000000004</v>
      </c>
      <c r="H1092" s="15">
        <f t="shared" ref="H1092:H1155" si="36">E1092-G1092</f>
        <v>0</v>
      </c>
      <c r="I1092" s="19"/>
    </row>
    <row r="1093" spans="1:9" ht="15.75" x14ac:dyDescent="0.25">
      <c r="A1093" s="51">
        <v>42804</v>
      </c>
      <c r="B1093" s="52" t="s">
        <v>8885</v>
      </c>
      <c r="C1093" s="18">
        <v>103871</v>
      </c>
      <c r="D1093" s="2" t="s">
        <v>81</v>
      </c>
      <c r="E1093" s="15">
        <v>2171.1999999999998</v>
      </c>
      <c r="F1093" s="59">
        <v>42804</v>
      </c>
      <c r="G1093" s="15">
        <f t="shared" si="35"/>
        <v>2171.1999999999998</v>
      </c>
      <c r="H1093" s="15">
        <f t="shared" si="36"/>
        <v>0</v>
      </c>
      <c r="I1093" s="19"/>
    </row>
    <row r="1094" spans="1:9" ht="15.75" x14ac:dyDescent="0.25">
      <c r="A1094" s="51">
        <v>42804</v>
      </c>
      <c r="B1094" s="52" t="s">
        <v>8886</v>
      </c>
      <c r="C1094" s="18">
        <v>103872</v>
      </c>
      <c r="D1094" s="2" t="s">
        <v>61</v>
      </c>
      <c r="E1094" s="15">
        <v>11690.5</v>
      </c>
      <c r="F1094" s="59">
        <v>42804</v>
      </c>
      <c r="G1094" s="15">
        <f t="shared" si="35"/>
        <v>11690.5</v>
      </c>
      <c r="H1094" s="15">
        <f t="shared" si="36"/>
        <v>0</v>
      </c>
      <c r="I1094" s="19"/>
    </row>
    <row r="1095" spans="1:9" ht="15.75" x14ac:dyDescent="0.25">
      <c r="A1095" s="51">
        <v>42804</v>
      </c>
      <c r="B1095" s="52" t="s">
        <v>8887</v>
      </c>
      <c r="C1095" s="18">
        <v>103873</v>
      </c>
      <c r="D1095" s="2" t="s">
        <v>184</v>
      </c>
      <c r="E1095" s="15">
        <v>331.2</v>
      </c>
      <c r="F1095" s="59">
        <v>42804</v>
      </c>
      <c r="G1095" s="15">
        <f t="shared" si="35"/>
        <v>331.2</v>
      </c>
      <c r="H1095" s="15">
        <f t="shared" si="36"/>
        <v>0</v>
      </c>
      <c r="I1095" s="19"/>
    </row>
    <row r="1096" spans="1:9" ht="15.75" x14ac:dyDescent="0.25">
      <c r="A1096" s="51">
        <v>42804</v>
      </c>
      <c r="B1096" s="52" t="s">
        <v>8888</v>
      </c>
      <c r="C1096" s="18">
        <v>103874</v>
      </c>
      <c r="D1096" s="2" t="s">
        <v>186</v>
      </c>
      <c r="E1096" s="15">
        <v>391.5</v>
      </c>
      <c r="F1096" s="59">
        <v>42808</v>
      </c>
      <c r="G1096" s="15">
        <f t="shared" si="35"/>
        <v>391.5</v>
      </c>
      <c r="H1096" s="15">
        <f t="shared" si="36"/>
        <v>0</v>
      </c>
      <c r="I1096" s="19"/>
    </row>
    <row r="1097" spans="1:9" ht="15.75" x14ac:dyDescent="0.25">
      <c r="A1097" s="51">
        <v>42804</v>
      </c>
      <c r="B1097" s="52" t="s">
        <v>8889</v>
      </c>
      <c r="C1097" s="18">
        <v>103875</v>
      </c>
      <c r="D1097" s="2" t="s">
        <v>57</v>
      </c>
      <c r="E1097" s="15">
        <v>667.4</v>
      </c>
      <c r="F1097" s="59">
        <v>42804</v>
      </c>
      <c r="G1097" s="15">
        <f t="shared" si="35"/>
        <v>667.4</v>
      </c>
      <c r="H1097" s="15">
        <f t="shared" si="36"/>
        <v>0</v>
      </c>
      <c r="I1097" s="19"/>
    </row>
    <row r="1098" spans="1:9" ht="15.75" x14ac:dyDescent="0.25">
      <c r="A1098" s="51">
        <v>42804</v>
      </c>
      <c r="B1098" s="52" t="s">
        <v>8890</v>
      </c>
      <c r="C1098" s="18">
        <v>103876</v>
      </c>
      <c r="D1098" s="2" t="s">
        <v>85</v>
      </c>
      <c r="E1098" s="15">
        <v>5832.6</v>
      </c>
      <c r="F1098" s="59">
        <v>42805</v>
      </c>
      <c r="G1098" s="15">
        <f t="shared" si="35"/>
        <v>5832.6</v>
      </c>
      <c r="H1098" s="15">
        <f t="shared" si="36"/>
        <v>0</v>
      </c>
      <c r="I1098" s="19"/>
    </row>
    <row r="1099" spans="1:9" ht="15.75" x14ac:dyDescent="0.25">
      <c r="A1099" s="51">
        <v>42804</v>
      </c>
      <c r="B1099" s="52" t="s">
        <v>8891</v>
      </c>
      <c r="C1099" s="18">
        <v>103877</v>
      </c>
      <c r="D1099" s="2" t="s">
        <v>285</v>
      </c>
      <c r="E1099" s="15">
        <v>2560.56</v>
      </c>
      <c r="F1099" s="59">
        <v>42810</v>
      </c>
      <c r="G1099" s="15">
        <f t="shared" si="35"/>
        <v>2560.56</v>
      </c>
      <c r="H1099" s="15">
        <f t="shared" si="36"/>
        <v>0</v>
      </c>
      <c r="I1099" s="19"/>
    </row>
    <row r="1100" spans="1:9" ht="15.75" x14ac:dyDescent="0.25">
      <c r="A1100" s="51">
        <v>42804</v>
      </c>
      <c r="B1100" s="52" t="s">
        <v>8892</v>
      </c>
      <c r="C1100" s="18">
        <v>103878</v>
      </c>
      <c r="D1100" s="2" t="s">
        <v>1256</v>
      </c>
      <c r="E1100" s="15">
        <v>744.8</v>
      </c>
      <c r="F1100" s="59">
        <v>42804</v>
      </c>
      <c r="G1100" s="15">
        <f t="shared" si="35"/>
        <v>744.8</v>
      </c>
      <c r="H1100" s="15">
        <f t="shared" si="36"/>
        <v>0</v>
      </c>
      <c r="I1100" s="19"/>
    </row>
    <row r="1101" spans="1:9" ht="15.75" x14ac:dyDescent="0.25">
      <c r="A1101" s="51">
        <v>42804</v>
      </c>
      <c r="B1101" s="52" t="s">
        <v>8893</v>
      </c>
      <c r="C1101" s="18">
        <v>103879</v>
      </c>
      <c r="D1101" s="2" t="s">
        <v>30</v>
      </c>
      <c r="E1101" s="15">
        <v>1598.4</v>
      </c>
      <c r="F1101" s="59">
        <v>42804</v>
      </c>
      <c r="G1101" s="15">
        <f t="shared" si="35"/>
        <v>1598.4</v>
      </c>
      <c r="H1101" s="15">
        <f t="shared" si="36"/>
        <v>0</v>
      </c>
      <c r="I1101" s="19"/>
    </row>
    <row r="1102" spans="1:9" ht="15.75" x14ac:dyDescent="0.25">
      <c r="A1102" s="51">
        <v>42804</v>
      </c>
      <c r="B1102" s="52" t="s">
        <v>8894</v>
      </c>
      <c r="C1102" s="18">
        <v>103880</v>
      </c>
      <c r="D1102" s="2" t="s">
        <v>923</v>
      </c>
      <c r="E1102" s="15">
        <v>6123.2</v>
      </c>
      <c r="F1102" s="59">
        <v>42804</v>
      </c>
      <c r="G1102" s="15">
        <f t="shared" si="35"/>
        <v>6123.2</v>
      </c>
      <c r="H1102" s="15">
        <f t="shared" si="36"/>
        <v>0</v>
      </c>
      <c r="I1102" s="19"/>
    </row>
    <row r="1103" spans="1:9" ht="15.75" x14ac:dyDescent="0.25">
      <c r="A1103" s="51">
        <v>42804</v>
      </c>
      <c r="B1103" s="52" t="s">
        <v>8895</v>
      </c>
      <c r="C1103" s="18">
        <v>103881</v>
      </c>
      <c r="D1103" s="2" t="s">
        <v>858</v>
      </c>
      <c r="E1103" s="15">
        <v>548.1</v>
      </c>
      <c r="F1103" s="59">
        <v>42804</v>
      </c>
      <c r="G1103" s="15">
        <f t="shared" si="35"/>
        <v>548.1</v>
      </c>
      <c r="H1103" s="15">
        <f t="shared" si="36"/>
        <v>0</v>
      </c>
      <c r="I1103" s="19"/>
    </row>
    <row r="1104" spans="1:9" ht="15.75" x14ac:dyDescent="0.25">
      <c r="A1104" s="51">
        <v>42804</v>
      </c>
      <c r="B1104" s="52" t="s">
        <v>8896</v>
      </c>
      <c r="C1104" s="18">
        <v>103882</v>
      </c>
      <c r="D1104" s="2" t="s">
        <v>71</v>
      </c>
      <c r="E1104" s="15">
        <v>3533</v>
      </c>
      <c r="F1104" s="59">
        <v>42804</v>
      </c>
      <c r="G1104" s="15">
        <f t="shared" si="35"/>
        <v>3533</v>
      </c>
      <c r="H1104" s="15">
        <f t="shared" si="36"/>
        <v>0</v>
      </c>
      <c r="I1104" s="19"/>
    </row>
    <row r="1105" spans="1:9" ht="15.75" x14ac:dyDescent="0.25">
      <c r="A1105" s="51">
        <v>42804</v>
      </c>
      <c r="B1105" s="52" t="s">
        <v>8897</v>
      </c>
      <c r="C1105" s="18">
        <v>103883</v>
      </c>
      <c r="D1105" s="2" t="s">
        <v>115</v>
      </c>
      <c r="E1105" s="15">
        <v>2255</v>
      </c>
      <c r="F1105" s="59">
        <v>42804</v>
      </c>
      <c r="G1105" s="15">
        <f t="shared" si="35"/>
        <v>2255</v>
      </c>
      <c r="H1105" s="15">
        <f t="shared" si="36"/>
        <v>0</v>
      </c>
      <c r="I1105" s="19"/>
    </row>
    <row r="1106" spans="1:9" ht="15.75" x14ac:dyDescent="0.25">
      <c r="A1106" s="51">
        <v>42804</v>
      </c>
      <c r="B1106" s="52" t="s">
        <v>8898</v>
      </c>
      <c r="C1106" s="18">
        <v>103884</v>
      </c>
      <c r="D1106" s="2" t="s">
        <v>302</v>
      </c>
      <c r="E1106" s="15">
        <v>12643.6</v>
      </c>
      <c r="F1106" s="59">
        <v>42804</v>
      </c>
      <c r="G1106" s="15">
        <f t="shared" si="35"/>
        <v>12643.6</v>
      </c>
      <c r="H1106" s="15">
        <f t="shared" si="36"/>
        <v>0</v>
      </c>
      <c r="I1106" s="19"/>
    </row>
    <row r="1107" spans="1:9" ht="15.75" x14ac:dyDescent="0.25">
      <c r="A1107" s="51">
        <v>42804</v>
      </c>
      <c r="B1107" s="52" t="s">
        <v>8899</v>
      </c>
      <c r="C1107" s="18">
        <v>103885</v>
      </c>
      <c r="D1107" s="2" t="s">
        <v>12</v>
      </c>
      <c r="E1107" s="15">
        <v>1518</v>
      </c>
      <c r="F1107" s="59">
        <v>42806</v>
      </c>
      <c r="G1107" s="15">
        <f t="shared" si="35"/>
        <v>1518</v>
      </c>
      <c r="H1107" s="15">
        <f t="shared" si="36"/>
        <v>0</v>
      </c>
      <c r="I1107" s="19"/>
    </row>
    <row r="1108" spans="1:9" ht="15.75" x14ac:dyDescent="0.25">
      <c r="A1108" s="51">
        <v>42804</v>
      </c>
      <c r="B1108" s="52" t="s">
        <v>8900</v>
      </c>
      <c r="C1108" s="18">
        <v>103886</v>
      </c>
      <c r="D1108" s="2" t="s">
        <v>19</v>
      </c>
      <c r="E1108" s="15">
        <v>2119.6999999999998</v>
      </c>
      <c r="F1108" s="59">
        <v>42804</v>
      </c>
      <c r="G1108" s="15">
        <f t="shared" si="35"/>
        <v>2119.6999999999998</v>
      </c>
      <c r="H1108" s="15">
        <f t="shared" si="36"/>
        <v>0</v>
      </c>
      <c r="I1108" s="19"/>
    </row>
    <row r="1109" spans="1:9" ht="15.75" x14ac:dyDescent="0.25">
      <c r="A1109" s="51">
        <v>42804</v>
      </c>
      <c r="B1109" s="52" t="s">
        <v>8901</v>
      </c>
      <c r="C1109" s="18">
        <v>103887</v>
      </c>
      <c r="D1109" s="2" t="s">
        <v>30</v>
      </c>
      <c r="E1109" s="15">
        <v>11466.4</v>
      </c>
      <c r="G1109" s="15">
        <f t="shared" si="35"/>
        <v>11466.4</v>
      </c>
      <c r="H1109" s="15">
        <f t="shared" si="36"/>
        <v>0</v>
      </c>
      <c r="I1109" s="19"/>
    </row>
    <row r="1110" spans="1:9" ht="15.75" x14ac:dyDescent="0.25">
      <c r="A1110" s="51">
        <v>42804</v>
      </c>
      <c r="B1110" s="52" t="s">
        <v>8902</v>
      </c>
      <c r="C1110" s="18">
        <v>103888</v>
      </c>
      <c r="D1110" s="2" t="s">
        <v>176</v>
      </c>
      <c r="E1110" s="15">
        <v>1773.2</v>
      </c>
      <c r="F1110" s="59">
        <v>42804</v>
      </c>
      <c r="G1110" s="15">
        <f t="shared" si="35"/>
        <v>1773.2</v>
      </c>
      <c r="H1110" s="15">
        <f t="shared" si="36"/>
        <v>0</v>
      </c>
      <c r="I1110" s="19"/>
    </row>
    <row r="1111" spans="1:9" ht="15.75" x14ac:dyDescent="0.25">
      <c r="A1111" s="51">
        <v>42804</v>
      </c>
      <c r="B1111" s="52" t="s">
        <v>8903</v>
      </c>
      <c r="C1111" s="18">
        <v>103889</v>
      </c>
      <c r="D1111" s="2" t="s">
        <v>268</v>
      </c>
      <c r="E1111" s="15">
        <v>15722</v>
      </c>
      <c r="F1111" s="59">
        <v>42809</v>
      </c>
      <c r="G1111" s="15">
        <f t="shared" si="35"/>
        <v>15722</v>
      </c>
      <c r="H1111" s="15">
        <f t="shared" si="36"/>
        <v>0</v>
      </c>
      <c r="I1111" s="19"/>
    </row>
    <row r="1112" spans="1:9" ht="15.75" x14ac:dyDescent="0.25">
      <c r="A1112" s="51">
        <v>42804</v>
      </c>
      <c r="B1112" s="52" t="s">
        <v>8904</v>
      </c>
      <c r="C1112" s="18">
        <v>103890</v>
      </c>
      <c r="D1112" s="2" t="s">
        <v>122</v>
      </c>
      <c r="E1112" s="15">
        <v>7030</v>
      </c>
      <c r="G1112" s="15">
        <f t="shared" si="35"/>
        <v>7030</v>
      </c>
      <c r="H1112" s="15">
        <f t="shared" si="36"/>
        <v>0</v>
      </c>
      <c r="I1112" s="19"/>
    </row>
    <row r="1113" spans="1:9" ht="15.75" x14ac:dyDescent="0.25">
      <c r="A1113" s="51">
        <v>42804</v>
      </c>
      <c r="B1113" s="52" t="s">
        <v>8905</v>
      </c>
      <c r="C1113" s="18">
        <v>103891</v>
      </c>
      <c r="D1113" s="2" t="s">
        <v>432</v>
      </c>
      <c r="E1113" s="15">
        <v>15729</v>
      </c>
      <c r="F1113" s="59">
        <v>42809</v>
      </c>
      <c r="G1113" s="15">
        <f t="shared" si="35"/>
        <v>15729</v>
      </c>
      <c r="H1113" s="15">
        <f t="shared" si="36"/>
        <v>0</v>
      </c>
      <c r="I1113" s="19"/>
    </row>
    <row r="1114" spans="1:9" ht="15.75" x14ac:dyDescent="0.25">
      <c r="A1114" s="51">
        <v>42804</v>
      </c>
      <c r="B1114" s="52" t="s">
        <v>8906</v>
      </c>
      <c r="C1114" s="18">
        <v>103892</v>
      </c>
      <c r="D1114" s="2" t="s">
        <v>1666</v>
      </c>
      <c r="E1114" s="15">
        <v>15092</v>
      </c>
      <c r="F1114" s="59">
        <v>42809</v>
      </c>
      <c r="G1114" s="15">
        <f t="shared" si="35"/>
        <v>15092</v>
      </c>
      <c r="H1114" s="15">
        <f t="shared" si="36"/>
        <v>0</v>
      </c>
      <c r="I1114" s="19"/>
    </row>
    <row r="1115" spans="1:9" ht="15.75" x14ac:dyDescent="0.25">
      <c r="A1115" s="51">
        <v>42804</v>
      </c>
      <c r="B1115" s="52" t="s">
        <v>8907</v>
      </c>
      <c r="C1115" s="18">
        <v>103893</v>
      </c>
      <c r="D1115" s="2" t="s">
        <v>272</v>
      </c>
      <c r="E1115" s="15">
        <v>3136</v>
      </c>
      <c r="F1115" s="59">
        <v>42809</v>
      </c>
      <c r="G1115" s="15">
        <f t="shared" si="35"/>
        <v>3136</v>
      </c>
      <c r="H1115" s="15">
        <f t="shared" si="36"/>
        <v>0</v>
      </c>
      <c r="I1115" s="19"/>
    </row>
    <row r="1116" spans="1:9" ht="15.75" x14ac:dyDescent="0.25">
      <c r="A1116" s="51">
        <v>42804</v>
      </c>
      <c r="B1116" s="52" t="s">
        <v>8908</v>
      </c>
      <c r="C1116" s="18">
        <v>103894</v>
      </c>
      <c r="D1116" s="2" t="s">
        <v>274</v>
      </c>
      <c r="E1116" s="15">
        <v>13153.8</v>
      </c>
      <c r="F1116" s="59">
        <v>42811</v>
      </c>
      <c r="G1116" s="15">
        <f t="shared" si="35"/>
        <v>13153.8</v>
      </c>
      <c r="H1116" s="15">
        <f t="shared" si="36"/>
        <v>0</v>
      </c>
      <c r="I1116" s="19"/>
    </row>
    <row r="1117" spans="1:9" ht="15.75" x14ac:dyDescent="0.25">
      <c r="A1117" s="51">
        <v>42804</v>
      </c>
      <c r="B1117" s="52" t="s">
        <v>8909</v>
      </c>
      <c r="C1117" s="18">
        <v>103895</v>
      </c>
      <c r="D1117" s="2" t="s">
        <v>270</v>
      </c>
      <c r="E1117" s="15">
        <v>33142.18</v>
      </c>
      <c r="F1117" s="59">
        <v>42809</v>
      </c>
      <c r="G1117" s="15">
        <f t="shared" si="35"/>
        <v>33142.18</v>
      </c>
      <c r="H1117" s="15">
        <f t="shared" si="36"/>
        <v>0</v>
      </c>
      <c r="I1117" s="19"/>
    </row>
    <row r="1118" spans="1:9" ht="15.75" x14ac:dyDescent="0.25">
      <c r="A1118" s="51">
        <v>42804</v>
      </c>
      <c r="B1118" s="52" t="s">
        <v>8910</v>
      </c>
      <c r="C1118" s="18">
        <v>103896</v>
      </c>
      <c r="D1118" s="2" t="s">
        <v>30</v>
      </c>
      <c r="E1118" s="15">
        <v>20595.599999999999</v>
      </c>
      <c r="F1118" s="59">
        <v>42809</v>
      </c>
      <c r="G1118" s="15">
        <f t="shared" si="35"/>
        <v>20595.599999999999</v>
      </c>
      <c r="H1118" s="15">
        <f t="shared" si="36"/>
        <v>0</v>
      </c>
      <c r="I1118" s="19"/>
    </row>
    <row r="1119" spans="1:9" ht="15.75" x14ac:dyDescent="0.25">
      <c r="A1119" s="51">
        <v>42804</v>
      </c>
      <c r="B1119" s="52" t="s">
        <v>8911</v>
      </c>
      <c r="C1119" s="18">
        <v>103897</v>
      </c>
      <c r="D1119" s="13" t="s">
        <v>492</v>
      </c>
      <c r="E1119" s="14">
        <v>0</v>
      </c>
      <c r="F1119" s="102" t="s">
        <v>95</v>
      </c>
      <c r="G1119" s="14">
        <f t="shared" si="35"/>
        <v>0</v>
      </c>
      <c r="H1119" s="14">
        <f t="shared" si="36"/>
        <v>0</v>
      </c>
      <c r="I1119" s="19"/>
    </row>
    <row r="1120" spans="1:9" ht="15.75" x14ac:dyDescent="0.25">
      <c r="A1120" s="51">
        <v>42804</v>
      </c>
      <c r="B1120" s="52" t="s">
        <v>8912</v>
      </c>
      <c r="C1120" s="18">
        <v>103898</v>
      </c>
      <c r="D1120" s="2" t="s">
        <v>125</v>
      </c>
      <c r="E1120" s="15">
        <v>7619.5</v>
      </c>
      <c r="F1120" s="59">
        <v>42804</v>
      </c>
      <c r="G1120" s="15">
        <f t="shared" si="35"/>
        <v>7619.5</v>
      </c>
      <c r="H1120" s="15">
        <f t="shared" si="36"/>
        <v>0</v>
      </c>
      <c r="I1120" s="19"/>
    </row>
    <row r="1121" spans="1:9" ht="15.75" x14ac:dyDescent="0.25">
      <c r="A1121" s="51">
        <v>42804</v>
      </c>
      <c r="B1121" s="52" t="s">
        <v>8913</v>
      </c>
      <c r="C1121" s="18">
        <v>103899</v>
      </c>
      <c r="D1121" s="2" t="s">
        <v>1335</v>
      </c>
      <c r="E1121" s="15">
        <v>5449.8</v>
      </c>
      <c r="F1121" s="59">
        <v>42804</v>
      </c>
      <c r="G1121" s="15">
        <f t="shared" si="35"/>
        <v>5449.8</v>
      </c>
      <c r="H1121" s="15">
        <f t="shared" si="36"/>
        <v>0</v>
      </c>
      <c r="I1121" s="19"/>
    </row>
    <row r="1122" spans="1:9" ht="15.75" x14ac:dyDescent="0.25">
      <c r="A1122" s="51">
        <v>42804</v>
      </c>
      <c r="B1122" s="52" t="s">
        <v>8914</v>
      </c>
      <c r="C1122" s="18">
        <v>103900</v>
      </c>
      <c r="D1122" s="2" t="s">
        <v>122</v>
      </c>
      <c r="E1122" s="15">
        <v>10127</v>
      </c>
      <c r="F1122" s="59">
        <v>42812</v>
      </c>
      <c r="G1122" s="15">
        <f t="shared" si="35"/>
        <v>10127</v>
      </c>
      <c r="H1122" s="15">
        <f t="shared" si="36"/>
        <v>0</v>
      </c>
      <c r="I1122" s="19"/>
    </row>
    <row r="1123" spans="1:9" ht="15.75" x14ac:dyDescent="0.25">
      <c r="A1123" s="51">
        <v>42804</v>
      </c>
      <c r="B1123" s="52" t="s">
        <v>8915</v>
      </c>
      <c r="C1123" s="18">
        <v>103901</v>
      </c>
      <c r="D1123" s="2" t="s">
        <v>155</v>
      </c>
      <c r="E1123" s="15">
        <v>22960.799999999999</v>
      </c>
      <c r="F1123" s="64" t="s">
        <v>8916</v>
      </c>
      <c r="G1123" s="20">
        <f>5000+17960.8</f>
        <v>22960.799999999999</v>
      </c>
      <c r="H1123" s="20">
        <f t="shared" si="36"/>
        <v>0</v>
      </c>
      <c r="I1123" s="19"/>
    </row>
    <row r="1124" spans="1:9" ht="15.75" x14ac:dyDescent="0.25">
      <c r="A1124" s="51">
        <v>42804</v>
      </c>
      <c r="B1124" s="52" t="s">
        <v>8917</v>
      </c>
      <c r="C1124" s="18">
        <v>103902</v>
      </c>
      <c r="D1124" s="2" t="s">
        <v>470</v>
      </c>
      <c r="E1124" s="15">
        <v>12357.5</v>
      </c>
      <c r="F1124" s="59">
        <v>42804</v>
      </c>
      <c r="G1124" s="15">
        <f t="shared" si="35"/>
        <v>12357.5</v>
      </c>
      <c r="H1124" s="15">
        <f t="shared" si="36"/>
        <v>0</v>
      </c>
      <c r="I1124" s="19"/>
    </row>
    <row r="1125" spans="1:9" ht="15.75" x14ac:dyDescent="0.25">
      <c r="A1125" s="51">
        <v>42804</v>
      </c>
      <c r="B1125" s="52" t="s">
        <v>8918</v>
      </c>
      <c r="C1125" s="18">
        <v>103903</v>
      </c>
      <c r="D1125" s="2" t="s">
        <v>161</v>
      </c>
      <c r="E1125" s="15">
        <v>48502.5</v>
      </c>
      <c r="F1125" s="59">
        <v>42818</v>
      </c>
      <c r="G1125" s="15">
        <f t="shared" si="35"/>
        <v>48502.5</v>
      </c>
      <c r="H1125" s="15">
        <f t="shared" si="36"/>
        <v>0</v>
      </c>
      <c r="I1125" s="19"/>
    </row>
    <row r="1126" spans="1:9" ht="15.75" x14ac:dyDescent="0.25">
      <c r="A1126" s="51">
        <v>42804</v>
      </c>
      <c r="B1126" s="52" t="s">
        <v>8919</v>
      </c>
      <c r="C1126" s="18">
        <v>103904</v>
      </c>
      <c r="D1126" s="2" t="s">
        <v>172</v>
      </c>
      <c r="E1126" s="15">
        <v>36051.199999999997</v>
      </c>
      <c r="F1126" s="59">
        <v>42816</v>
      </c>
      <c r="G1126" s="15">
        <f t="shared" si="35"/>
        <v>36051.199999999997</v>
      </c>
      <c r="H1126" s="15">
        <f t="shared" si="36"/>
        <v>0</v>
      </c>
      <c r="I1126" s="19"/>
    </row>
    <row r="1127" spans="1:9" ht="15.75" x14ac:dyDescent="0.25">
      <c r="A1127" s="51">
        <v>42804</v>
      </c>
      <c r="B1127" s="52" t="s">
        <v>8920</v>
      </c>
      <c r="C1127" s="18">
        <v>103905</v>
      </c>
      <c r="D1127" s="2" t="s">
        <v>268</v>
      </c>
      <c r="E1127" s="15">
        <v>4459</v>
      </c>
      <c r="F1127" s="59">
        <v>42809</v>
      </c>
      <c r="G1127" s="15">
        <f t="shared" si="35"/>
        <v>4459</v>
      </c>
      <c r="H1127" s="15">
        <f t="shared" si="36"/>
        <v>0</v>
      </c>
      <c r="I1127" s="19"/>
    </row>
    <row r="1128" spans="1:9" ht="15.75" x14ac:dyDescent="0.25">
      <c r="A1128" s="51">
        <v>42804</v>
      </c>
      <c r="B1128" s="52" t="s">
        <v>8921</v>
      </c>
      <c r="C1128" s="18">
        <v>103906</v>
      </c>
      <c r="D1128" s="2" t="s">
        <v>79</v>
      </c>
      <c r="E1128" s="15">
        <v>2630.4</v>
      </c>
      <c r="F1128" s="59">
        <v>42804</v>
      </c>
      <c r="G1128" s="15">
        <f t="shared" si="35"/>
        <v>2630.4</v>
      </c>
      <c r="H1128" s="15">
        <f t="shared" si="36"/>
        <v>0</v>
      </c>
      <c r="I1128" s="19"/>
    </row>
    <row r="1129" spans="1:9" ht="15.75" x14ac:dyDescent="0.25">
      <c r="A1129" s="51">
        <v>42804</v>
      </c>
      <c r="B1129" s="52" t="s">
        <v>8922</v>
      </c>
      <c r="C1129" s="18">
        <v>103907</v>
      </c>
      <c r="D1129" s="2" t="s">
        <v>785</v>
      </c>
      <c r="E1129" s="15">
        <v>9400</v>
      </c>
      <c r="F1129" s="59">
        <v>42804</v>
      </c>
      <c r="G1129" s="15">
        <f t="shared" si="35"/>
        <v>9400</v>
      </c>
      <c r="H1129" s="15">
        <f t="shared" si="36"/>
        <v>0</v>
      </c>
      <c r="I1129" s="19"/>
    </row>
    <row r="1130" spans="1:9" ht="15.75" x14ac:dyDescent="0.25">
      <c r="A1130" s="51">
        <v>42804</v>
      </c>
      <c r="B1130" s="52" t="s">
        <v>8923</v>
      </c>
      <c r="C1130" s="18">
        <v>103908</v>
      </c>
      <c r="D1130" s="2" t="s">
        <v>1116</v>
      </c>
      <c r="E1130" s="15">
        <v>143</v>
      </c>
      <c r="F1130" s="59">
        <v>42804</v>
      </c>
      <c r="G1130" s="15">
        <f t="shared" si="35"/>
        <v>143</v>
      </c>
      <c r="H1130" s="15">
        <f t="shared" si="36"/>
        <v>0</v>
      </c>
      <c r="I1130" s="19"/>
    </row>
    <row r="1131" spans="1:9" ht="15.75" x14ac:dyDescent="0.25">
      <c r="A1131" s="51">
        <v>42804</v>
      </c>
      <c r="B1131" s="52" t="s">
        <v>8924</v>
      </c>
      <c r="C1131" s="18">
        <v>103909</v>
      </c>
      <c r="D1131" s="2" t="s">
        <v>131</v>
      </c>
      <c r="E1131" s="15">
        <v>620.6</v>
      </c>
      <c r="F1131" s="59">
        <v>42804</v>
      </c>
      <c r="G1131" s="15">
        <f t="shared" si="35"/>
        <v>620.6</v>
      </c>
      <c r="H1131" s="15">
        <f t="shared" si="36"/>
        <v>0</v>
      </c>
      <c r="I1131" s="19"/>
    </row>
    <row r="1132" spans="1:9" ht="15.75" x14ac:dyDescent="0.25">
      <c r="A1132" s="51">
        <v>42804</v>
      </c>
      <c r="B1132" s="52" t="s">
        <v>8925</v>
      </c>
      <c r="C1132" s="18">
        <v>103910</v>
      </c>
      <c r="D1132" s="2" t="s">
        <v>459</v>
      </c>
      <c r="E1132" s="15">
        <v>1017</v>
      </c>
      <c r="F1132" s="59">
        <v>42804</v>
      </c>
      <c r="G1132" s="15">
        <f t="shared" si="35"/>
        <v>1017</v>
      </c>
      <c r="H1132" s="15">
        <f t="shared" si="36"/>
        <v>0</v>
      </c>
      <c r="I1132" s="19"/>
    </row>
    <row r="1133" spans="1:9" ht="15.75" x14ac:dyDescent="0.25">
      <c r="A1133" s="51">
        <v>42804</v>
      </c>
      <c r="B1133" s="52" t="s">
        <v>8926</v>
      </c>
      <c r="C1133" s="18">
        <v>103911</v>
      </c>
      <c r="D1133" s="2" t="s">
        <v>133</v>
      </c>
      <c r="E1133" s="15">
        <v>6288.2</v>
      </c>
      <c r="F1133" s="59">
        <v>42810</v>
      </c>
      <c r="G1133" s="15">
        <f t="shared" si="35"/>
        <v>6288.2</v>
      </c>
      <c r="H1133" s="15">
        <f t="shared" si="36"/>
        <v>0</v>
      </c>
      <c r="I1133" s="19"/>
    </row>
    <row r="1134" spans="1:9" ht="15.75" x14ac:dyDescent="0.25">
      <c r="A1134" s="51">
        <v>42804</v>
      </c>
      <c r="B1134" s="52" t="s">
        <v>8927</v>
      </c>
      <c r="C1134" s="18">
        <v>103912</v>
      </c>
      <c r="D1134" s="2" t="s">
        <v>2510</v>
      </c>
      <c r="E1134" s="15">
        <v>1036.8</v>
      </c>
      <c r="F1134" s="59">
        <v>42804</v>
      </c>
      <c r="G1134" s="15">
        <f t="shared" si="35"/>
        <v>1036.8</v>
      </c>
      <c r="H1134" s="15">
        <f t="shared" si="36"/>
        <v>0</v>
      </c>
      <c r="I1134" s="19"/>
    </row>
    <row r="1135" spans="1:9" ht="15.75" x14ac:dyDescent="0.25">
      <c r="A1135" s="51">
        <v>42804</v>
      </c>
      <c r="B1135" s="52" t="s">
        <v>8928</v>
      </c>
      <c r="C1135" s="18">
        <v>103913</v>
      </c>
      <c r="D1135" s="2" t="s">
        <v>122</v>
      </c>
      <c r="E1135" s="15">
        <v>959.5</v>
      </c>
      <c r="F1135" s="59">
        <v>42812</v>
      </c>
      <c r="G1135" s="15">
        <f t="shared" si="35"/>
        <v>959.5</v>
      </c>
      <c r="H1135" s="15">
        <f t="shared" si="36"/>
        <v>0</v>
      </c>
      <c r="I1135" s="19"/>
    </row>
    <row r="1136" spans="1:9" ht="15.75" x14ac:dyDescent="0.25">
      <c r="A1136" s="51">
        <v>42804</v>
      </c>
      <c r="B1136" s="52" t="s">
        <v>8929</v>
      </c>
      <c r="C1136" s="18">
        <v>103914</v>
      </c>
      <c r="D1136" s="2" t="s">
        <v>773</v>
      </c>
      <c r="E1136" s="15">
        <v>1352.9</v>
      </c>
      <c r="F1136" s="59">
        <v>42804</v>
      </c>
      <c r="G1136" s="15">
        <f t="shared" si="35"/>
        <v>1352.9</v>
      </c>
      <c r="H1136" s="15">
        <f t="shared" si="36"/>
        <v>0</v>
      </c>
      <c r="I1136" s="19"/>
    </row>
    <row r="1137" spans="1:9" ht="15.75" x14ac:dyDescent="0.25">
      <c r="A1137" s="51">
        <v>42804</v>
      </c>
      <c r="B1137" s="52" t="s">
        <v>8930</v>
      </c>
      <c r="C1137" s="18">
        <v>103915</v>
      </c>
      <c r="D1137" s="2" t="s">
        <v>163</v>
      </c>
      <c r="E1137" s="15">
        <v>12067.2</v>
      </c>
      <c r="F1137" s="59">
        <v>42816</v>
      </c>
      <c r="G1137" s="15">
        <f t="shared" si="35"/>
        <v>12067.2</v>
      </c>
      <c r="H1137" s="15">
        <f t="shared" si="36"/>
        <v>0</v>
      </c>
      <c r="I1137" s="19"/>
    </row>
    <row r="1138" spans="1:9" ht="15.75" x14ac:dyDescent="0.25">
      <c r="A1138" s="51">
        <v>42804</v>
      </c>
      <c r="B1138" s="52" t="s">
        <v>8931</v>
      </c>
      <c r="C1138" s="18">
        <v>103916</v>
      </c>
      <c r="D1138" s="2" t="s">
        <v>2240</v>
      </c>
      <c r="E1138" s="15">
        <v>7130.9</v>
      </c>
      <c r="F1138" s="59">
        <v>42804</v>
      </c>
      <c r="G1138" s="15">
        <f t="shared" si="35"/>
        <v>7130.9</v>
      </c>
      <c r="H1138" s="15">
        <f t="shared" si="36"/>
        <v>0</v>
      </c>
      <c r="I1138" s="19"/>
    </row>
    <row r="1139" spans="1:9" ht="15.75" x14ac:dyDescent="0.25">
      <c r="A1139" s="51">
        <v>42804</v>
      </c>
      <c r="B1139" s="52" t="s">
        <v>8932</v>
      </c>
      <c r="C1139" s="18">
        <v>103917</v>
      </c>
      <c r="D1139" s="2" t="s">
        <v>165</v>
      </c>
      <c r="E1139" s="15">
        <v>6941.1</v>
      </c>
      <c r="F1139" s="59">
        <v>42816</v>
      </c>
      <c r="G1139" s="15">
        <f t="shared" si="35"/>
        <v>6941.1</v>
      </c>
      <c r="H1139" s="15">
        <f t="shared" si="36"/>
        <v>0</v>
      </c>
      <c r="I1139" s="19"/>
    </row>
    <row r="1140" spans="1:9" ht="15.75" x14ac:dyDescent="0.25">
      <c r="A1140" s="51">
        <v>42804</v>
      </c>
      <c r="B1140" s="52" t="s">
        <v>8933</v>
      </c>
      <c r="C1140" s="18">
        <v>103918</v>
      </c>
      <c r="D1140" s="2" t="s">
        <v>145</v>
      </c>
      <c r="E1140" s="15">
        <v>19734.8</v>
      </c>
      <c r="F1140" s="59">
        <v>42805</v>
      </c>
      <c r="G1140" s="15">
        <f t="shared" si="35"/>
        <v>19734.8</v>
      </c>
      <c r="H1140" s="15">
        <f t="shared" si="36"/>
        <v>0</v>
      </c>
      <c r="I1140" s="19"/>
    </row>
    <row r="1141" spans="1:9" ht="15.75" x14ac:dyDescent="0.25">
      <c r="A1141" s="51">
        <v>42804</v>
      </c>
      <c r="B1141" s="52" t="s">
        <v>8934</v>
      </c>
      <c r="C1141" s="18">
        <v>103919</v>
      </c>
      <c r="D1141" s="2" t="s">
        <v>422</v>
      </c>
      <c r="E1141" s="15">
        <v>2358.4</v>
      </c>
      <c r="F1141" s="59">
        <v>42804</v>
      </c>
      <c r="G1141" s="15">
        <f t="shared" si="35"/>
        <v>2358.4</v>
      </c>
      <c r="H1141" s="15">
        <f t="shared" si="36"/>
        <v>0</v>
      </c>
      <c r="I1141" s="19"/>
    </row>
    <row r="1142" spans="1:9" ht="15.75" x14ac:dyDescent="0.25">
      <c r="A1142" s="51">
        <v>42804</v>
      </c>
      <c r="B1142" s="52" t="s">
        <v>8935</v>
      </c>
      <c r="C1142" s="18">
        <v>103920</v>
      </c>
      <c r="D1142" s="2" t="s">
        <v>211</v>
      </c>
      <c r="E1142" s="15">
        <v>2310</v>
      </c>
      <c r="F1142" s="59">
        <v>42804</v>
      </c>
      <c r="G1142" s="15">
        <f t="shared" si="35"/>
        <v>2310</v>
      </c>
      <c r="H1142" s="15">
        <f t="shared" si="36"/>
        <v>0</v>
      </c>
      <c r="I1142" s="19"/>
    </row>
    <row r="1143" spans="1:9" ht="15.75" x14ac:dyDescent="0.25">
      <c r="A1143" s="51">
        <v>42804</v>
      </c>
      <c r="B1143" s="52" t="s">
        <v>8936</v>
      </c>
      <c r="C1143" s="18">
        <v>103921</v>
      </c>
      <c r="D1143" s="2" t="s">
        <v>1925</v>
      </c>
      <c r="E1143" s="15">
        <v>517.6</v>
      </c>
      <c r="F1143" s="59">
        <v>42804</v>
      </c>
      <c r="G1143" s="15">
        <f t="shared" si="35"/>
        <v>517.6</v>
      </c>
      <c r="H1143" s="15">
        <f t="shared" si="36"/>
        <v>0</v>
      </c>
      <c r="I1143" s="19"/>
    </row>
    <row r="1144" spans="1:9" ht="15.75" x14ac:dyDescent="0.25">
      <c r="A1144" s="51">
        <v>42804</v>
      </c>
      <c r="B1144" s="52" t="s">
        <v>8937</v>
      </c>
      <c r="C1144" s="18">
        <v>103922</v>
      </c>
      <c r="D1144" s="2" t="s">
        <v>135</v>
      </c>
      <c r="E1144" s="15">
        <v>899.1</v>
      </c>
      <c r="F1144" s="59">
        <v>42804</v>
      </c>
      <c r="G1144" s="15">
        <f t="shared" si="35"/>
        <v>899.1</v>
      </c>
      <c r="H1144" s="15">
        <f t="shared" si="36"/>
        <v>0</v>
      </c>
      <c r="I1144" s="19"/>
    </row>
    <row r="1145" spans="1:9" ht="15.75" x14ac:dyDescent="0.25">
      <c r="A1145" s="51">
        <v>42804</v>
      </c>
      <c r="B1145" s="52" t="s">
        <v>8938</v>
      </c>
      <c r="C1145" s="18">
        <v>103923</v>
      </c>
      <c r="D1145" s="2" t="s">
        <v>289</v>
      </c>
      <c r="E1145" s="15">
        <v>92913.88</v>
      </c>
      <c r="F1145" s="59">
        <v>42818</v>
      </c>
      <c r="G1145" s="15">
        <f t="shared" si="35"/>
        <v>92913.88</v>
      </c>
      <c r="H1145" s="15">
        <f t="shared" si="36"/>
        <v>0</v>
      </c>
      <c r="I1145" s="19"/>
    </row>
    <row r="1146" spans="1:9" ht="15.75" x14ac:dyDescent="0.25">
      <c r="A1146" s="51">
        <v>42804</v>
      </c>
      <c r="B1146" s="52" t="s">
        <v>8939</v>
      </c>
      <c r="C1146" s="18">
        <v>103924</v>
      </c>
      <c r="D1146" s="2" t="s">
        <v>10</v>
      </c>
      <c r="E1146" s="15">
        <v>56389.4</v>
      </c>
      <c r="F1146" s="59">
        <v>42809</v>
      </c>
      <c r="G1146" s="15">
        <f t="shared" si="35"/>
        <v>56389.4</v>
      </c>
      <c r="H1146" s="15">
        <f t="shared" si="36"/>
        <v>0</v>
      </c>
      <c r="I1146" s="19"/>
    </row>
    <row r="1147" spans="1:9" ht="15.75" x14ac:dyDescent="0.25">
      <c r="A1147" s="51">
        <v>42804</v>
      </c>
      <c r="B1147" s="52" t="s">
        <v>8940</v>
      </c>
      <c r="C1147" s="18">
        <v>103925</v>
      </c>
      <c r="D1147" s="2" t="s">
        <v>208</v>
      </c>
      <c r="E1147" s="15">
        <v>14155.8</v>
      </c>
      <c r="F1147" s="59">
        <v>42804</v>
      </c>
      <c r="G1147" s="15">
        <f t="shared" si="35"/>
        <v>14155.8</v>
      </c>
      <c r="H1147" s="15">
        <f t="shared" si="36"/>
        <v>0</v>
      </c>
      <c r="I1147" s="19"/>
    </row>
    <row r="1148" spans="1:9" ht="15.75" x14ac:dyDescent="0.25">
      <c r="A1148" s="51">
        <v>42804</v>
      </c>
      <c r="B1148" s="52" t="s">
        <v>8941</v>
      </c>
      <c r="C1148" s="18">
        <v>103926</v>
      </c>
      <c r="D1148" s="2" t="s">
        <v>806</v>
      </c>
      <c r="E1148" s="15">
        <v>6016</v>
      </c>
      <c r="F1148" s="59">
        <v>42804</v>
      </c>
      <c r="G1148" s="15">
        <f t="shared" si="35"/>
        <v>6016</v>
      </c>
      <c r="H1148" s="15">
        <f t="shared" si="36"/>
        <v>0</v>
      </c>
      <c r="I1148" s="19"/>
    </row>
    <row r="1149" spans="1:9" ht="15.75" x14ac:dyDescent="0.25">
      <c r="A1149" s="51">
        <v>42804</v>
      </c>
      <c r="B1149" s="52" t="s">
        <v>8942</v>
      </c>
      <c r="C1149" s="18">
        <v>103927</v>
      </c>
      <c r="D1149" s="2" t="s">
        <v>866</v>
      </c>
      <c r="E1149" s="15">
        <v>5856</v>
      </c>
      <c r="F1149" s="59">
        <v>42804</v>
      </c>
      <c r="G1149" s="15">
        <f t="shared" si="35"/>
        <v>5856</v>
      </c>
      <c r="H1149" s="15">
        <f t="shared" si="36"/>
        <v>0</v>
      </c>
      <c r="I1149" s="19"/>
    </row>
    <row r="1150" spans="1:9" ht="15.75" x14ac:dyDescent="0.25">
      <c r="A1150" s="51">
        <v>42804</v>
      </c>
      <c r="B1150" s="52" t="s">
        <v>8943</v>
      </c>
      <c r="C1150" s="18">
        <v>103928</v>
      </c>
      <c r="D1150" s="2" t="s">
        <v>3319</v>
      </c>
      <c r="E1150" s="15">
        <v>13650</v>
      </c>
      <c r="F1150" s="59">
        <v>42805</v>
      </c>
      <c r="G1150" s="15">
        <f t="shared" si="35"/>
        <v>13650</v>
      </c>
      <c r="H1150" s="15">
        <f t="shared" si="36"/>
        <v>0</v>
      </c>
      <c r="I1150" s="19"/>
    </row>
    <row r="1151" spans="1:9" ht="15.75" x14ac:dyDescent="0.25">
      <c r="A1151" s="51">
        <v>42804</v>
      </c>
      <c r="B1151" s="52" t="s">
        <v>8944</v>
      </c>
      <c r="C1151" s="18">
        <v>103929</v>
      </c>
      <c r="D1151" s="2" t="s">
        <v>879</v>
      </c>
      <c r="E1151" s="15">
        <v>1674</v>
      </c>
      <c r="F1151" s="59">
        <v>42804</v>
      </c>
      <c r="G1151" s="15">
        <f t="shared" si="35"/>
        <v>1674</v>
      </c>
      <c r="H1151" s="15">
        <f t="shared" si="36"/>
        <v>0</v>
      </c>
      <c r="I1151" s="19"/>
    </row>
    <row r="1152" spans="1:9" ht="15.75" x14ac:dyDescent="0.25">
      <c r="A1152" s="51">
        <v>42804</v>
      </c>
      <c r="B1152" s="52" t="s">
        <v>8945</v>
      </c>
      <c r="C1152" s="18">
        <v>103930</v>
      </c>
      <c r="D1152" s="2" t="s">
        <v>182</v>
      </c>
      <c r="E1152" s="15">
        <v>3290</v>
      </c>
      <c r="F1152" s="59">
        <v>42805</v>
      </c>
      <c r="G1152" s="15">
        <f t="shared" si="35"/>
        <v>3290</v>
      </c>
      <c r="H1152" s="15">
        <f t="shared" si="36"/>
        <v>0</v>
      </c>
      <c r="I1152" s="19"/>
    </row>
    <row r="1153" spans="1:9" ht="15.75" x14ac:dyDescent="0.25">
      <c r="A1153" s="51">
        <v>42804</v>
      </c>
      <c r="B1153" s="52" t="s">
        <v>8946</v>
      </c>
      <c r="C1153" s="18">
        <v>103931</v>
      </c>
      <c r="D1153" s="2" t="s">
        <v>47</v>
      </c>
      <c r="E1153" s="15">
        <v>508.2</v>
      </c>
      <c r="F1153" s="59">
        <v>42804</v>
      </c>
      <c r="G1153" s="15">
        <f t="shared" si="35"/>
        <v>508.2</v>
      </c>
      <c r="H1153" s="15">
        <f t="shared" si="36"/>
        <v>0</v>
      </c>
      <c r="I1153" s="19"/>
    </row>
    <row r="1154" spans="1:9" ht="15.75" x14ac:dyDescent="0.25">
      <c r="A1154" s="51">
        <v>42804</v>
      </c>
      <c r="B1154" s="52" t="s">
        <v>8947</v>
      </c>
      <c r="C1154" s="18">
        <v>103932</v>
      </c>
      <c r="D1154" s="2" t="s">
        <v>693</v>
      </c>
      <c r="E1154" s="15">
        <v>11928.2</v>
      </c>
      <c r="F1154" s="64" t="s">
        <v>8948</v>
      </c>
      <c r="G1154" s="20">
        <f>9000+2928.2</f>
        <v>11928.2</v>
      </c>
      <c r="H1154" s="20">
        <f t="shared" si="36"/>
        <v>0</v>
      </c>
      <c r="I1154" s="19"/>
    </row>
    <row r="1155" spans="1:9" ht="15.75" x14ac:dyDescent="0.25">
      <c r="A1155" s="51">
        <v>42804</v>
      </c>
      <c r="B1155" s="52" t="s">
        <v>8949</v>
      </c>
      <c r="C1155" s="18">
        <v>103933</v>
      </c>
      <c r="D1155" s="2" t="s">
        <v>30</v>
      </c>
      <c r="E1155" s="15">
        <v>999.6</v>
      </c>
      <c r="F1155" s="59">
        <v>42805</v>
      </c>
      <c r="G1155" s="15">
        <f t="shared" si="35"/>
        <v>999.6</v>
      </c>
      <c r="H1155" s="15">
        <f t="shared" si="36"/>
        <v>0</v>
      </c>
      <c r="I1155" s="19"/>
    </row>
    <row r="1156" spans="1:9" ht="15.75" x14ac:dyDescent="0.25">
      <c r="A1156" s="51">
        <v>42804</v>
      </c>
      <c r="B1156" s="52" t="s">
        <v>8950</v>
      </c>
      <c r="C1156" s="18">
        <v>103934</v>
      </c>
      <c r="D1156" s="2" t="s">
        <v>113</v>
      </c>
      <c r="E1156" s="15">
        <v>1786.4</v>
      </c>
      <c r="F1156" s="59">
        <v>42805</v>
      </c>
      <c r="G1156" s="15">
        <f t="shared" ref="G1156:G1219" si="37">E1156</f>
        <v>1786.4</v>
      </c>
      <c r="H1156" s="15">
        <f t="shared" ref="H1156:H1219" si="38">E1156-G1156</f>
        <v>0</v>
      </c>
      <c r="I1156" s="19"/>
    </row>
    <row r="1157" spans="1:9" ht="15.75" x14ac:dyDescent="0.25">
      <c r="A1157" s="51">
        <v>42804</v>
      </c>
      <c r="B1157" s="52" t="s">
        <v>8951</v>
      </c>
      <c r="C1157" s="18">
        <v>103935</v>
      </c>
      <c r="D1157" s="2" t="s">
        <v>113</v>
      </c>
      <c r="E1157" s="15">
        <v>564</v>
      </c>
      <c r="F1157" s="59">
        <v>42805</v>
      </c>
      <c r="G1157" s="15">
        <f t="shared" si="37"/>
        <v>564</v>
      </c>
      <c r="H1157" s="15">
        <f t="shared" si="38"/>
        <v>0</v>
      </c>
      <c r="I1157" s="19"/>
    </row>
    <row r="1158" spans="1:9" ht="15.75" x14ac:dyDescent="0.25">
      <c r="A1158" s="51">
        <v>42804</v>
      </c>
      <c r="B1158" s="52" t="s">
        <v>8952</v>
      </c>
      <c r="C1158" s="18">
        <v>103936</v>
      </c>
      <c r="D1158" s="2" t="s">
        <v>30</v>
      </c>
      <c r="E1158" s="15">
        <v>795.8</v>
      </c>
      <c r="F1158" s="59">
        <v>42805</v>
      </c>
      <c r="G1158" s="15">
        <f t="shared" si="37"/>
        <v>795.8</v>
      </c>
      <c r="H1158" s="15">
        <f t="shared" si="38"/>
        <v>0</v>
      </c>
      <c r="I1158" s="19"/>
    </row>
    <row r="1159" spans="1:9" ht="15.75" x14ac:dyDescent="0.25">
      <c r="A1159" s="51">
        <v>42804</v>
      </c>
      <c r="B1159" s="52" t="s">
        <v>8953</v>
      </c>
      <c r="C1159" s="18">
        <v>103937</v>
      </c>
      <c r="D1159" s="2" t="s">
        <v>193</v>
      </c>
      <c r="E1159" s="15">
        <v>3795</v>
      </c>
      <c r="F1159" s="59">
        <v>42805</v>
      </c>
      <c r="G1159" s="15">
        <f t="shared" si="37"/>
        <v>3795</v>
      </c>
      <c r="H1159" s="15">
        <f t="shared" si="38"/>
        <v>0</v>
      </c>
      <c r="I1159" s="19"/>
    </row>
    <row r="1160" spans="1:9" ht="15.75" x14ac:dyDescent="0.25">
      <c r="A1160" s="51">
        <v>42804</v>
      </c>
      <c r="B1160" s="52" t="s">
        <v>8954</v>
      </c>
      <c r="C1160" s="18">
        <v>103938</v>
      </c>
      <c r="D1160" s="2" t="s">
        <v>633</v>
      </c>
      <c r="E1160" s="15">
        <v>450</v>
      </c>
      <c r="F1160" s="59">
        <v>42805</v>
      </c>
      <c r="G1160" s="15">
        <f t="shared" si="37"/>
        <v>450</v>
      </c>
      <c r="H1160" s="15">
        <f t="shared" si="38"/>
        <v>0</v>
      </c>
      <c r="I1160" s="19"/>
    </row>
    <row r="1161" spans="1:9" ht="15.75" x14ac:dyDescent="0.25">
      <c r="A1161" s="51">
        <v>42804</v>
      </c>
      <c r="B1161" s="52" t="s">
        <v>8955</v>
      </c>
      <c r="C1161" s="18">
        <v>103939</v>
      </c>
      <c r="D1161" s="2" t="s">
        <v>693</v>
      </c>
      <c r="E1161" s="15">
        <v>3459.4</v>
      </c>
      <c r="F1161" s="59">
        <v>42805</v>
      </c>
      <c r="G1161" s="15">
        <f t="shared" si="37"/>
        <v>3459.4</v>
      </c>
      <c r="H1161" s="15">
        <f t="shared" si="38"/>
        <v>0</v>
      </c>
      <c r="I1161" s="19"/>
    </row>
    <row r="1162" spans="1:9" ht="15.75" x14ac:dyDescent="0.25">
      <c r="A1162" s="51">
        <v>42804</v>
      </c>
      <c r="B1162" s="52" t="s">
        <v>8956</v>
      </c>
      <c r="C1162" s="18">
        <v>103940</v>
      </c>
      <c r="D1162" s="2" t="s">
        <v>10</v>
      </c>
      <c r="E1162" s="15">
        <v>38343</v>
      </c>
      <c r="F1162" s="59">
        <v>42809</v>
      </c>
      <c r="G1162" s="15">
        <f t="shared" si="37"/>
        <v>38343</v>
      </c>
      <c r="H1162" s="15">
        <f t="shared" si="38"/>
        <v>0</v>
      </c>
      <c r="I1162" s="19"/>
    </row>
    <row r="1163" spans="1:9" ht="15.75" x14ac:dyDescent="0.25">
      <c r="A1163" s="51">
        <v>42804</v>
      </c>
      <c r="B1163" s="52" t="s">
        <v>8957</v>
      </c>
      <c r="C1163" s="18">
        <v>103941</v>
      </c>
      <c r="D1163" s="2" t="s">
        <v>236</v>
      </c>
      <c r="E1163" s="15">
        <v>32556.02</v>
      </c>
      <c r="F1163" s="59">
        <v>42818</v>
      </c>
      <c r="G1163" s="15">
        <f t="shared" si="37"/>
        <v>32556.02</v>
      </c>
      <c r="H1163" s="15">
        <f t="shared" si="38"/>
        <v>0</v>
      </c>
      <c r="I1163" s="19"/>
    </row>
    <row r="1164" spans="1:9" ht="15.75" x14ac:dyDescent="0.25">
      <c r="A1164" s="51">
        <v>42804</v>
      </c>
      <c r="B1164" s="52" t="s">
        <v>8958</v>
      </c>
      <c r="C1164" s="18">
        <v>103942</v>
      </c>
      <c r="D1164" s="2" t="s">
        <v>10</v>
      </c>
      <c r="E1164" s="15">
        <v>199593.9</v>
      </c>
      <c r="F1164" s="59">
        <v>42809</v>
      </c>
      <c r="G1164" s="15">
        <f t="shared" si="37"/>
        <v>199593.9</v>
      </c>
      <c r="H1164" s="15">
        <f t="shared" si="38"/>
        <v>0</v>
      </c>
      <c r="I1164" s="19"/>
    </row>
    <row r="1165" spans="1:9" ht="15.75" x14ac:dyDescent="0.25">
      <c r="A1165" s="51">
        <v>42804</v>
      </c>
      <c r="B1165" s="52" t="s">
        <v>8959</v>
      </c>
      <c r="C1165" s="18">
        <v>103943</v>
      </c>
      <c r="D1165" s="2" t="s">
        <v>8</v>
      </c>
      <c r="E1165" s="15">
        <v>4802.6000000000004</v>
      </c>
      <c r="F1165" s="59">
        <v>42805</v>
      </c>
      <c r="G1165" s="15">
        <f t="shared" si="37"/>
        <v>4802.6000000000004</v>
      </c>
      <c r="H1165" s="15">
        <f t="shared" si="38"/>
        <v>0</v>
      </c>
      <c r="I1165" s="19"/>
    </row>
    <row r="1166" spans="1:9" ht="15.75" x14ac:dyDescent="0.25">
      <c r="A1166" s="51">
        <v>42804</v>
      </c>
      <c r="B1166" s="52" t="s">
        <v>8960</v>
      </c>
      <c r="C1166" s="18">
        <v>103944</v>
      </c>
      <c r="D1166" s="2" t="s">
        <v>697</v>
      </c>
      <c r="E1166" s="15">
        <v>34434.5</v>
      </c>
      <c r="F1166" s="59">
        <v>42810</v>
      </c>
      <c r="G1166" s="15">
        <f t="shared" si="37"/>
        <v>34434.5</v>
      </c>
      <c r="H1166" s="15">
        <f t="shared" si="38"/>
        <v>0</v>
      </c>
      <c r="I1166" s="19"/>
    </row>
    <row r="1167" spans="1:9" ht="15.75" x14ac:dyDescent="0.25">
      <c r="A1167" s="51">
        <v>42804</v>
      </c>
      <c r="B1167" s="52" t="s">
        <v>8961</v>
      </c>
      <c r="C1167" s="18">
        <v>103945</v>
      </c>
      <c r="D1167" s="2" t="s">
        <v>205</v>
      </c>
      <c r="E1167" s="15">
        <v>4618.3999999999996</v>
      </c>
      <c r="F1167" s="59">
        <v>42804</v>
      </c>
      <c r="G1167" s="15">
        <f t="shared" si="37"/>
        <v>4618.3999999999996</v>
      </c>
      <c r="H1167" s="15">
        <f t="shared" si="38"/>
        <v>0</v>
      </c>
      <c r="I1167" s="19"/>
    </row>
    <row r="1168" spans="1:9" ht="15.75" x14ac:dyDescent="0.25">
      <c r="A1168" s="51">
        <v>42804</v>
      </c>
      <c r="B1168" s="52" t="s">
        <v>8962</v>
      </c>
      <c r="C1168" s="18">
        <v>103946</v>
      </c>
      <c r="D1168" s="2" t="s">
        <v>1141</v>
      </c>
      <c r="E1168" s="15">
        <v>9221.2000000000007</v>
      </c>
      <c r="F1168" s="59">
        <v>42791</v>
      </c>
      <c r="G1168" s="15">
        <f t="shared" si="37"/>
        <v>9221.2000000000007</v>
      </c>
      <c r="H1168" s="15">
        <f t="shared" si="38"/>
        <v>0</v>
      </c>
      <c r="I1168" s="19"/>
    </row>
    <row r="1169" spans="1:9" ht="15.75" x14ac:dyDescent="0.25">
      <c r="A1169" s="51">
        <v>42804</v>
      </c>
      <c r="B1169" s="52" t="s">
        <v>8963</v>
      </c>
      <c r="C1169" s="18">
        <v>103947</v>
      </c>
      <c r="D1169" s="2" t="s">
        <v>354</v>
      </c>
      <c r="E1169" s="15">
        <v>1235</v>
      </c>
      <c r="F1169" s="59">
        <v>42804</v>
      </c>
      <c r="G1169" s="15">
        <f t="shared" si="37"/>
        <v>1235</v>
      </c>
      <c r="H1169" s="15">
        <f t="shared" si="38"/>
        <v>0</v>
      </c>
      <c r="I1169" s="19"/>
    </row>
    <row r="1170" spans="1:9" ht="15.75" x14ac:dyDescent="0.25">
      <c r="A1170" s="51">
        <v>42804</v>
      </c>
      <c r="B1170" s="52" t="s">
        <v>8964</v>
      </c>
      <c r="C1170" s="18">
        <v>103948</v>
      </c>
      <c r="D1170" s="2" t="s">
        <v>370</v>
      </c>
      <c r="E1170" s="15">
        <v>2469.6</v>
      </c>
      <c r="F1170" s="59">
        <v>42804</v>
      </c>
      <c r="G1170" s="15">
        <f t="shared" si="37"/>
        <v>2469.6</v>
      </c>
      <c r="H1170" s="15">
        <f t="shared" si="38"/>
        <v>0</v>
      </c>
      <c r="I1170" s="19"/>
    </row>
    <row r="1171" spans="1:9" ht="15.75" x14ac:dyDescent="0.25">
      <c r="A1171" s="51">
        <v>42804</v>
      </c>
      <c r="B1171" s="52" t="s">
        <v>8965</v>
      </c>
      <c r="C1171" s="18">
        <v>103949</v>
      </c>
      <c r="D1171" s="2" t="s">
        <v>472</v>
      </c>
      <c r="E1171" s="15">
        <v>16115.2</v>
      </c>
      <c r="F1171" s="59">
        <v>42807</v>
      </c>
      <c r="G1171" s="15">
        <f t="shared" si="37"/>
        <v>16115.2</v>
      </c>
      <c r="H1171" s="15">
        <f t="shared" si="38"/>
        <v>0</v>
      </c>
      <c r="I1171" s="19"/>
    </row>
    <row r="1172" spans="1:9" ht="15.75" x14ac:dyDescent="0.25">
      <c r="A1172" s="51">
        <v>42804</v>
      </c>
      <c r="B1172" s="52" t="s">
        <v>8966</v>
      </c>
      <c r="C1172" s="18">
        <v>103950</v>
      </c>
      <c r="D1172" s="2" t="s">
        <v>379</v>
      </c>
      <c r="E1172" s="15">
        <v>4570.3999999999996</v>
      </c>
      <c r="F1172" s="59">
        <v>42811</v>
      </c>
      <c r="G1172" s="15">
        <f t="shared" si="37"/>
        <v>4570.3999999999996</v>
      </c>
      <c r="H1172" s="15">
        <f t="shared" si="38"/>
        <v>0</v>
      </c>
      <c r="I1172" s="19"/>
    </row>
    <row r="1173" spans="1:9" ht="15.75" x14ac:dyDescent="0.25">
      <c r="A1173" s="51">
        <v>42804</v>
      </c>
      <c r="B1173" s="52" t="s">
        <v>8967</v>
      </c>
      <c r="C1173" s="18">
        <v>103951</v>
      </c>
      <c r="D1173" s="2" t="s">
        <v>220</v>
      </c>
      <c r="E1173" s="15">
        <v>4201.6000000000004</v>
      </c>
      <c r="F1173" s="59">
        <v>42804</v>
      </c>
      <c r="G1173" s="15">
        <f t="shared" si="37"/>
        <v>4201.6000000000004</v>
      </c>
      <c r="H1173" s="15">
        <f t="shared" si="38"/>
        <v>0</v>
      </c>
      <c r="I1173" s="19"/>
    </row>
    <row r="1174" spans="1:9" ht="15.75" x14ac:dyDescent="0.25">
      <c r="A1174" s="51">
        <v>42804</v>
      </c>
      <c r="B1174" s="52" t="s">
        <v>8968</v>
      </c>
      <c r="C1174" s="18">
        <v>103952</v>
      </c>
      <c r="D1174" s="2" t="s">
        <v>236</v>
      </c>
      <c r="E1174" s="15">
        <v>37502.5</v>
      </c>
      <c r="F1174" s="59">
        <v>42818</v>
      </c>
      <c r="G1174" s="15">
        <f t="shared" si="37"/>
        <v>37502.5</v>
      </c>
      <c r="H1174" s="15">
        <f t="shared" si="38"/>
        <v>0</v>
      </c>
      <c r="I1174" s="19"/>
    </row>
    <row r="1175" spans="1:9" ht="15.75" x14ac:dyDescent="0.25">
      <c r="A1175" s="51">
        <v>42804</v>
      </c>
      <c r="B1175" s="52" t="s">
        <v>8969</v>
      </c>
      <c r="C1175" s="18">
        <v>103953</v>
      </c>
      <c r="D1175" s="2" t="s">
        <v>879</v>
      </c>
      <c r="E1175" s="15">
        <v>3355.9</v>
      </c>
      <c r="F1175" s="59">
        <v>42804</v>
      </c>
      <c r="G1175" s="15">
        <f t="shared" si="37"/>
        <v>3355.9</v>
      </c>
      <c r="H1175" s="15">
        <f t="shared" si="38"/>
        <v>0</v>
      </c>
      <c r="I1175" s="19"/>
    </row>
    <row r="1176" spans="1:9" ht="15.75" x14ac:dyDescent="0.25">
      <c r="A1176" s="51">
        <v>42804</v>
      </c>
      <c r="B1176" s="52" t="s">
        <v>8970</v>
      </c>
      <c r="C1176" s="18">
        <v>103954</v>
      </c>
      <c r="D1176" s="2" t="s">
        <v>492</v>
      </c>
      <c r="E1176" s="15">
        <v>19001.2</v>
      </c>
      <c r="F1176" s="59">
        <v>42806</v>
      </c>
      <c r="G1176" s="15">
        <f t="shared" si="37"/>
        <v>19001.2</v>
      </c>
      <c r="H1176" s="15">
        <f t="shared" si="38"/>
        <v>0</v>
      </c>
      <c r="I1176" s="19"/>
    </row>
    <row r="1177" spans="1:9" ht="15.75" x14ac:dyDescent="0.25">
      <c r="A1177" s="51">
        <v>42804</v>
      </c>
      <c r="B1177" s="52" t="s">
        <v>8971</v>
      </c>
      <c r="C1177" s="18">
        <v>103955</v>
      </c>
      <c r="D1177" s="2" t="s">
        <v>211</v>
      </c>
      <c r="E1177" s="15">
        <v>8895.7999999999993</v>
      </c>
      <c r="F1177" s="59">
        <v>42804</v>
      </c>
      <c r="G1177" s="15">
        <f t="shared" si="37"/>
        <v>8895.7999999999993</v>
      </c>
      <c r="H1177" s="15">
        <f t="shared" si="38"/>
        <v>0</v>
      </c>
      <c r="I1177" s="19"/>
    </row>
    <row r="1178" spans="1:9" ht="15.75" x14ac:dyDescent="0.25">
      <c r="A1178" s="51">
        <v>42804</v>
      </c>
      <c r="B1178" s="52" t="s">
        <v>8972</v>
      </c>
      <c r="C1178" s="18">
        <v>103956</v>
      </c>
      <c r="D1178" s="2" t="s">
        <v>5219</v>
      </c>
      <c r="E1178" s="15">
        <v>3607.5</v>
      </c>
      <c r="G1178" s="15">
        <f t="shared" si="37"/>
        <v>3607.5</v>
      </c>
      <c r="H1178" s="15">
        <f t="shared" si="38"/>
        <v>0</v>
      </c>
      <c r="I1178" s="19"/>
    </row>
    <row r="1179" spans="1:9" ht="15.75" x14ac:dyDescent="0.25">
      <c r="A1179" s="51">
        <v>42804</v>
      </c>
      <c r="B1179" s="52" t="s">
        <v>8973</v>
      </c>
      <c r="C1179" s="18">
        <v>103957</v>
      </c>
      <c r="D1179" s="2" t="s">
        <v>921</v>
      </c>
      <c r="E1179" s="15">
        <v>6650.7</v>
      </c>
      <c r="F1179" s="59">
        <v>42804</v>
      </c>
      <c r="G1179" s="15">
        <f t="shared" si="37"/>
        <v>6650.7</v>
      </c>
      <c r="H1179" s="15">
        <f t="shared" si="38"/>
        <v>0</v>
      </c>
      <c r="I1179" s="19"/>
    </row>
    <row r="1180" spans="1:9" ht="15.75" x14ac:dyDescent="0.25">
      <c r="A1180" s="51">
        <v>42804</v>
      </c>
      <c r="B1180" s="52" t="s">
        <v>8974</v>
      </c>
      <c r="C1180" s="18">
        <v>103958</v>
      </c>
      <c r="D1180" s="2" t="s">
        <v>10</v>
      </c>
      <c r="E1180" s="15">
        <v>204673.88</v>
      </c>
      <c r="F1180" s="59">
        <v>42809</v>
      </c>
      <c r="G1180" s="15">
        <f t="shared" si="37"/>
        <v>204673.88</v>
      </c>
      <c r="H1180" s="15">
        <f t="shared" si="38"/>
        <v>0</v>
      </c>
      <c r="I1180" s="19"/>
    </row>
    <row r="1181" spans="1:9" ht="15.75" x14ac:dyDescent="0.25">
      <c r="A1181" s="51">
        <v>42804</v>
      </c>
      <c r="B1181" s="52" t="s">
        <v>8975</v>
      </c>
      <c r="C1181" s="18">
        <v>103959</v>
      </c>
      <c r="D1181" s="2" t="s">
        <v>923</v>
      </c>
      <c r="E1181" s="15">
        <v>23711</v>
      </c>
      <c r="F1181" s="59">
        <v>42816</v>
      </c>
      <c r="G1181" s="15">
        <f t="shared" si="37"/>
        <v>23711</v>
      </c>
      <c r="H1181" s="15">
        <f t="shared" si="38"/>
        <v>0</v>
      </c>
      <c r="I1181" s="19"/>
    </row>
    <row r="1182" spans="1:9" ht="15.75" x14ac:dyDescent="0.25">
      <c r="A1182" s="51">
        <v>42804</v>
      </c>
      <c r="B1182" s="52" t="s">
        <v>8976</v>
      </c>
      <c r="C1182" s="18">
        <v>103960</v>
      </c>
      <c r="D1182" s="2" t="s">
        <v>30</v>
      </c>
      <c r="E1182" s="15">
        <v>272.8</v>
      </c>
      <c r="F1182" s="59">
        <v>42805</v>
      </c>
      <c r="G1182" s="15">
        <f t="shared" si="37"/>
        <v>272.8</v>
      </c>
      <c r="H1182" s="15">
        <f t="shared" si="38"/>
        <v>0</v>
      </c>
      <c r="I1182" s="19"/>
    </row>
    <row r="1183" spans="1:9" ht="15.75" x14ac:dyDescent="0.25">
      <c r="A1183" s="51">
        <v>42804</v>
      </c>
      <c r="B1183" s="52" t="s">
        <v>8977</v>
      </c>
      <c r="C1183" s="18">
        <v>103961</v>
      </c>
      <c r="D1183" s="2" t="s">
        <v>10</v>
      </c>
      <c r="E1183" s="15">
        <v>2052.6</v>
      </c>
      <c r="F1183" s="59">
        <v>42809</v>
      </c>
      <c r="G1183" s="15">
        <f t="shared" si="37"/>
        <v>2052.6</v>
      </c>
      <c r="H1183" s="15">
        <f t="shared" si="38"/>
        <v>0</v>
      </c>
      <c r="I1183" s="19"/>
    </row>
    <row r="1184" spans="1:9" ht="15.75" x14ac:dyDescent="0.25">
      <c r="A1184" s="51">
        <v>42805</v>
      </c>
      <c r="B1184" s="52" t="s">
        <v>8978</v>
      </c>
      <c r="C1184" s="18">
        <v>103962</v>
      </c>
      <c r="D1184" s="2" t="s">
        <v>231</v>
      </c>
      <c r="E1184" s="15">
        <v>6469.8</v>
      </c>
      <c r="F1184" s="59">
        <v>42806</v>
      </c>
      <c r="G1184" s="15">
        <f t="shared" si="37"/>
        <v>6469.8</v>
      </c>
      <c r="H1184" s="15">
        <f t="shared" si="38"/>
        <v>0</v>
      </c>
      <c r="I1184" s="19"/>
    </row>
    <row r="1185" spans="1:9" ht="15.75" x14ac:dyDescent="0.25">
      <c r="A1185" s="51">
        <v>42805</v>
      </c>
      <c r="B1185" s="52" t="s">
        <v>8979</v>
      </c>
      <c r="C1185" s="18">
        <v>103963</v>
      </c>
      <c r="D1185" s="2" t="s">
        <v>231</v>
      </c>
      <c r="E1185" s="15">
        <v>2973.6</v>
      </c>
      <c r="F1185" s="59">
        <v>42806</v>
      </c>
      <c r="G1185" s="15">
        <f t="shared" si="37"/>
        <v>2973.6</v>
      </c>
      <c r="H1185" s="15">
        <f t="shared" si="38"/>
        <v>0</v>
      </c>
      <c r="I1185" s="19"/>
    </row>
    <row r="1186" spans="1:9" ht="15.75" x14ac:dyDescent="0.25">
      <c r="A1186" s="51">
        <v>42805</v>
      </c>
      <c r="B1186" s="52" t="s">
        <v>8980</v>
      </c>
      <c r="C1186" s="18">
        <v>103964</v>
      </c>
      <c r="D1186" s="2" t="s">
        <v>26</v>
      </c>
      <c r="E1186" s="15">
        <v>29179.4</v>
      </c>
      <c r="F1186" s="59">
        <v>42805</v>
      </c>
      <c r="G1186" s="15">
        <f t="shared" si="37"/>
        <v>29179.4</v>
      </c>
      <c r="H1186" s="15">
        <f t="shared" si="38"/>
        <v>0</v>
      </c>
      <c r="I1186" s="19"/>
    </row>
    <row r="1187" spans="1:9" ht="15.75" x14ac:dyDescent="0.25">
      <c r="A1187" s="51">
        <v>42805</v>
      </c>
      <c r="B1187" s="52" t="s">
        <v>8981</v>
      </c>
      <c r="C1187" s="18">
        <v>103965</v>
      </c>
      <c r="D1187" s="2" t="s">
        <v>26</v>
      </c>
      <c r="E1187" s="15">
        <v>1058.4000000000001</v>
      </c>
      <c r="F1187" s="59">
        <v>42805</v>
      </c>
      <c r="G1187" s="15">
        <f t="shared" si="37"/>
        <v>1058.4000000000001</v>
      </c>
      <c r="H1187" s="15">
        <f t="shared" si="38"/>
        <v>0</v>
      </c>
      <c r="I1187" s="19"/>
    </row>
    <row r="1188" spans="1:9" ht="15.75" x14ac:dyDescent="0.25">
      <c r="A1188" s="51">
        <v>42805</v>
      </c>
      <c r="B1188" s="52" t="s">
        <v>8982</v>
      </c>
      <c r="C1188" s="18">
        <v>103966</v>
      </c>
      <c r="D1188" s="2" t="s">
        <v>231</v>
      </c>
      <c r="E1188" s="15">
        <v>25438.799999999999</v>
      </c>
      <c r="F1188" s="59">
        <v>42806</v>
      </c>
      <c r="G1188" s="15">
        <f t="shared" si="37"/>
        <v>25438.799999999999</v>
      </c>
      <c r="H1188" s="15">
        <f t="shared" si="38"/>
        <v>0</v>
      </c>
      <c r="I1188" s="19"/>
    </row>
    <row r="1189" spans="1:9" ht="15.75" x14ac:dyDescent="0.25">
      <c r="A1189" s="51">
        <v>42805</v>
      </c>
      <c r="B1189" s="52" t="s">
        <v>8983</v>
      </c>
      <c r="C1189" s="18">
        <v>103967</v>
      </c>
      <c r="D1189" s="2" t="s">
        <v>69</v>
      </c>
      <c r="E1189" s="15">
        <v>5586.1</v>
      </c>
      <c r="F1189" s="59">
        <v>42805</v>
      </c>
      <c r="G1189" s="15">
        <f t="shared" si="37"/>
        <v>5586.1</v>
      </c>
      <c r="H1189" s="15">
        <f t="shared" si="38"/>
        <v>0</v>
      </c>
      <c r="I1189" s="19"/>
    </row>
    <row r="1190" spans="1:9" ht="15.75" x14ac:dyDescent="0.25">
      <c r="A1190" s="51">
        <v>42805</v>
      </c>
      <c r="B1190" s="52" t="s">
        <v>8984</v>
      </c>
      <c r="C1190" s="18">
        <v>103968</v>
      </c>
      <c r="D1190" s="2" t="s">
        <v>430</v>
      </c>
      <c r="E1190" s="15">
        <v>1892</v>
      </c>
      <c r="F1190" s="59">
        <v>42805</v>
      </c>
      <c r="G1190" s="15">
        <f t="shared" si="37"/>
        <v>1892</v>
      </c>
      <c r="H1190" s="15">
        <f t="shared" si="38"/>
        <v>0</v>
      </c>
      <c r="I1190" s="19"/>
    </row>
    <row r="1191" spans="1:9" ht="15.75" x14ac:dyDescent="0.25">
      <c r="A1191" s="51">
        <v>42805</v>
      </c>
      <c r="B1191" s="52" t="s">
        <v>8985</v>
      </c>
      <c r="C1191" s="18">
        <v>103969</v>
      </c>
      <c r="D1191" s="2" t="s">
        <v>21</v>
      </c>
      <c r="E1191" s="15">
        <v>45992.800000000003</v>
      </c>
      <c r="F1191" s="59">
        <v>42815</v>
      </c>
      <c r="G1191" s="15">
        <f t="shared" si="37"/>
        <v>45992.800000000003</v>
      </c>
      <c r="H1191" s="15">
        <f t="shared" si="38"/>
        <v>0</v>
      </c>
      <c r="I1191" s="19"/>
    </row>
    <row r="1192" spans="1:9" ht="15.75" x14ac:dyDescent="0.25">
      <c r="A1192" s="51">
        <v>42805</v>
      </c>
      <c r="B1192" s="52" t="s">
        <v>8986</v>
      </c>
      <c r="C1192" s="18">
        <v>103970</v>
      </c>
      <c r="D1192" s="2" t="s">
        <v>157</v>
      </c>
      <c r="E1192" s="15">
        <v>13524.7</v>
      </c>
      <c r="F1192" s="59">
        <v>42805</v>
      </c>
      <c r="G1192" s="15">
        <f t="shared" si="37"/>
        <v>13524.7</v>
      </c>
      <c r="H1192" s="15">
        <f t="shared" si="38"/>
        <v>0</v>
      </c>
      <c r="I1192" s="19"/>
    </row>
    <row r="1193" spans="1:9" ht="15.75" x14ac:dyDescent="0.25">
      <c r="A1193" s="51">
        <v>42805</v>
      </c>
      <c r="B1193" s="52" t="s">
        <v>8987</v>
      </c>
      <c r="C1193" s="18">
        <v>103971</v>
      </c>
      <c r="D1193" s="2" t="s">
        <v>17</v>
      </c>
      <c r="E1193" s="15">
        <v>4935</v>
      </c>
      <c r="F1193" s="59">
        <v>42805</v>
      </c>
      <c r="G1193" s="15">
        <f t="shared" si="37"/>
        <v>4935</v>
      </c>
      <c r="H1193" s="15">
        <f t="shared" si="38"/>
        <v>0</v>
      </c>
      <c r="I1193" s="19"/>
    </row>
    <row r="1194" spans="1:9" ht="15.75" x14ac:dyDescent="0.25">
      <c r="A1194" s="51">
        <v>42805</v>
      </c>
      <c r="B1194" s="52" t="s">
        <v>8988</v>
      </c>
      <c r="C1194" s="18">
        <v>103972</v>
      </c>
      <c r="D1194" s="2" t="s">
        <v>712</v>
      </c>
      <c r="E1194" s="15">
        <v>7620.3</v>
      </c>
      <c r="F1194" s="59">
        <v>42805</v>
      </c>
      <c r="G1194" s="15">
        <f t="shared" si="37"/>
        <v>7620.3</v>
      </c>
      <c r="H1194" s="15">
        <f t="shared" si="38"/>
        <v>0</v>
      </c>
      <c r="I1194" s="19"/>
    </row>
    <row r="1195" spans="1:9" ht="15.75" x14ac:dyDescent="0.25">
      <c r="A1195" s="51">
        <v>42805</v>
      </c>
      <c r="B1195" s="52" t="s">
        <v>8989</v>
      </c>
      <c r="C1195" s="18">
        <v>103973</v>
      </c>
      <c r="D1195" s="2" t="s">
        <v>28</v>
      </c>
      <c r="E1195" s="15">
        <v>12917.2</v>
      </c>
      <c r="F1195" s="59">
        <v>42807</v>
      </c>
      <c r="G1195" s="15">
        <f t="shared" si="37"/>
        <v>12917.2</v>
      </c>
      <c r="H1195" s="15">
        <f t="shared" si="38"/>
        <v>0</v>
      </c>
      <c r="I1195" s="19"/>
    </row>
    <row r="1196" spans="1:9" ht="15.75" x14ac:dyDescent="0.25">
      <c r="A1196" s="51">
        <v>42805</v>
      </c>
      <c r="B1196" s="52" t="s">
        <v>8990</v>
      </c>
      <c r="C1196" s="18">
        <v>103974</v>
      </c>
      <c r="D1196" s="2" t="s">
        <v>457</v>
      </c>
      <c r="E1196" s="15">
        <v>3385.6</v>
      </c>
      <c r="F1196" s="59">
        <v>42805</v>
      </c>
      <c r="G1196" s="15">
        <f t="shared" si="37"/>
        <v>3385.6</v>
      </c>
      <c r="H1196" s="15">
        <f t="shared" si="38"/>
        <v>0</v>
      </c>
      <c r="I1196" s="19"/>
    </row>
    <row r="1197" spans="1:9" ht="15.75" x14ac:dyDescent="0.25">
      <c r="A1197" s="51">
        <v>42805</v>
      </c>
      <c r="B1197" s="52" t="s">
        <v>8991</v>
      </c>
      <c r="C1197" s="18">
        <v>103975</v>
      </c>
      <c r="D1197" s="2" t="s">
        <v>38</v>
      </c>
      <c r="E1197" s="15">
        <v>8385</v>
      </c>
      <c r="F1197" s="59">
        <v>42808</v>
      </c>
      <c r="G1197" s="15">
        <f t="shared" si="37"/>
        <v>8385</v>
      </c>
      <c r="H1197" s="15">
        <f t="shared" si="38"/>
        <v>0</v>
      </c>
      <c r="I1197" s="19"/>
    </row>
    <row r="1198" spans="1:9" ht="15.75" x14ac:dyDescent="0.25">
      <c r="A1198" s="51">
        <v>42805</v>
      </c>
      <c r="B1198" s="52" t="s">
        <v>8992</v>
      </c>
      <c r="C1198" s="18">
        <v>103976</v>
      </c>
      <c r="D1198" s="2" t="s">
        <v>35</v>
      </c>
      <c r="E1198" s="15">
        <v>30625.85</v>
      </c>
      <c r="F1198" s="59">
        <v>42808</v>
      </c>
      <c r="G1198" s="15">
        <f t="shared" si="37"/>
        <v>30625.85</v>
      </c>
      <c r="H1198" s="15">
        <f t="shared" si="38"/>
        <v>0</v>
      </c>
      <c r="I1198" s="19"/>
    </row>
    <row r="1199" spans="1:9" ht="15.75" x14ac:dyDescent="0.25">
      <c r="A1199" s="51">
        <v>42805</v>
      </c>
      <c r="B1199" s="52" t="s">
        <v>8993</v>
      </c>
      <c r="C1199" s="18">
        <v>103977</v>
      </c>
      <c r="D1199" s="2" t="s">
        <v>99</v>
      </c>
      <c r="E1199" s="15">
        <v>4234.7</v>
      </c>
      <c r="F1199" s="59">
        <v>42805</v>
      </c>
      <c r="G1199" s="15">
        <f t="shared" si="37"/>
        <v>4234.7</v>
      </c>
      <c r="H1199" s="15">
        <f t="shared" si="38"/>
        <v>0</v>
      </c>
      <c r="I1199" s="19"/>
    </row>
    <row r="1200" spans="1:9" ht="15.75" x14ac:dyDescent="0.25">
      <c r="A1200" s="51">
        <v>42805</v>
      </c>
      <c r="B1200" s="52" t="s">
        <v>8994</v>
      </c>
      <c r="C1200" s="18">
        <v>103978</v>
      </c>
      <c r="D1200" s="2" t="s">
        <v>101</v>
      </c>
      <c r="E1200" s="15">
        <v>1410</v>
      </c>
      <c r="F1200" s="59">
        <v>42805</v>
      </c>
      <c r="G1200" s="15">
        <f t="shared" si="37"/>
        <v>1410</v>
      </c>
      <c r="H1200" s="15">
        <f t="shared" si="38"/>
        <v>0</v>
      </c>
      <c r="I1200" s="19"/>
    </row>
    <row r="1201" spans="1:9" ht="15.75" x14ac:dyDescent="0.25">
      <c r="A1201" s="51">
        <v>42805</v>
      </c>
      <c r="B1201" s="52" t="s">
        <v>8995</v>
      </c>
      <c r="C1201" s="18">
        <v>103979</v>
      </c>
      <c r="D1201" s="2" t="s">
        <v>281</v>
      </c>
      <c r="E1201" s="15">
        <v>1994.4</v>
      </c>
      <c r="F1201" s="59">
        <v>42805</v>
      </c>
      <c r="G1201" s="15">
        <f t="shared" si="37"/>
        <v>1994.4</v>
      </c>
      <c r="H1201" s="15">
        <f t="shared" si="38"/>
        <v>0</v>
      </c>
      <c r="I1201" s="19"/>
    </row>
    <row r="1202" spans="1:9" ht="15.75" x14ac:dyDescent="0.25">
      <c r="A1202" s="51">
        <v>42805</v>
      </c>
      <c r="B1202" s="52" t="s">
        <v>8996</v>
      </c>
      <c r="C1202" s="18">
        <v>103980</v>
      </c>
      <c r="D1202" s="2" t="s">
        <v>253</v>
      </c>
      <c r="E1202" s="15">
        <v>12926.8</v>
      </c>
      <c r="F1202" s="59">
        <v>42810</v>
      </c>
      <c r="G1202" s="15">
        <f t="shared" si="37"/>
        <v>12926.8</v>
      </c>
      <c r="H1202" s="15">
        <f t="shared" si="38"/>
        <v>0</v>
      </c>
      <c r="I1202" s="19"/>
    </row>
    <row r="1203" spans="1:9" ht="15.75" x14ac:dyDescent="0.25">
      <c r="A1203" s="51">
        <v>42805</v>
      </c>
      <c r="B1203" s="52" t="s">
        <v>8997</v>
      </c>
      <c r="C1203" s="18">
        <v>103981</v>
      </c>
      <c r="D1203" s="2" t="s">
        <v>47</v>
      </c>
      <c r="E1203" s="15">
        <v>2412</v>
      </c>
      <c r="F1203" s="59">
        <v>42805</v>
      </c>
      <c r="G1203" s="15">
        <f t="shared" si="37"/>
        <v>2412</v>
      </c>
      <c r="H1203" s="15">
        <f t="shared" si="38"/>
        <v>0</v>
      </c>
      <c r="I1203" s="19"/>
    </row>
    <row r="1204" spans="1:9" ht="15.75" x14ac:dyDescent="0.25">
      <c r="A1204" s="51">
        <v>42805</v>
      </c>
      <c r="B1204" s="52" t="s">
        <v>8998</v>
      </c>
      <c r="C1204" s="18">
        <v>103982</v>
      </c>
      <c r="D1204" s="2" t="s">
        <v>32</v>
      </c>
      <c r="E1204" s="15">
        <v>12533.2</v>
      </c>
      <c r="F1204" s="59">
        <v>42810</v>
      </c>
      <c r="G1204" s="15">
        <f t="shared" si="37"/>
        <v>12533.2</v>
      </c>
      <c r="H1204" s="15">
        <f t="shared" si="38"/>
        <v>0</v>
      </c>
      <c r="I1204" s="19"/>
    </row>
    <row r="1205" spans="1:9" ht="15.75" x14ac:dyDescent="0.25">
      <c r="A1205" s="51">
        <v>42805</v>
      </c>
      <c r="B1205" s="52" t="s">
        <v>8999</v>
      </c>
      <c r="C1205" s="18">
        <v>103983</v>
      </c>
      <c r="D1205" s="2" t="s">
        <v>4367</v>
      </c>
      <c r="E1205" s="15">
        <v>1554</v>
      </c>
      <c r="F1205" s="59">
        <v>42805</v>
      </c>
      <c r="G1205" s="15">
        <f t="shared" si="37"/>
        <v>1554</v>
      </c>
      <c r="H1205" s="15">
        <f t="shared" si="38"/>
        <v>0</v>
      </c>
      <c r="I1205" s="19"/>
    </row>
    <row r="1206" spans="1:9" ht="15.75" x14ac:dyDescent="0.25">
      <c r="A1206" s="51">
        <v>42805</v>
      </c>
      <c r="B1206" s="52" t="s">
        <v>9000</v>
      </c>
      <c r="C1206" s="18">
        <v>103984</v>
      </c>
      <c r="D1206" s="2" t="s">
        <v>92</v>
      </c>
      <c r="E1206" s="15">
        <v>2078.4</v>
      </c>
      <c r="F1206" s="59">
        <v>42805</v>
      </c>
      <c r="G1206" s="15">
        <f t="shared" si="37"/>
        <v>2078.4</v>
      </c>
      <c r="H1206" s="15">
        <f t="shared" si="38"/>
        <v>0</v>
      </c>
      <c r="I1206" s="19"/>
    </row>
    <row r="1207" spans="1:9" ht="15.75" x14ac:dyDescent="0.25">
      <c r="A1207" s="51">
        <v>42805</v>
      </c>
      <c r="B1207" s="52" t="s">
        <v>9001</v>
      </c>
      <c r="C1207" s="18">
        <v>103985</v>
      </c>
      <c r="D1207" s="2" t="s">
        <v>81</v>
      </c>
      <c r="E1207" s="15">
        <v>869.4</v>
      </c>
      <c r="F1207" s="59">
        <v>42805</v>
      </c>
      <c r="G1207" s="15">
        <f t="shared" si="37"/>
        <v>869.4</v>
      </c>
      <c r="H1207" s="15">
        <f t="shared" si="38"/>
        <v>0</v>
      </c>
      <c r="I1207" s="19"/>
    </row>
    <row r="1208" spans="1:9" ht="15.75" x14ac:dyDescent="0.25">
      <c r="A1208" s="51">
        <v>42805</v>
      </c>
      <c r="B1208" s="52" t="s">
        <v>9002</v>
      </c>
      <c r="C1208" s="18">
        <v>103986</v>
      </c>
      <c r="D1208" s="2" t="s">
        <v>49</v>
      </c>
      <c r="E1208" s="15">
        <v>26649</v>
      </c>
      <c r="F1208" s="64" t="s">
        <v>8916</v>
      </c>
      <c r="G1208" s="20">
        <f>12000+14649</f>
        <v>26649</v>
      </c>
      <c r="H1208" s="20">
        <f t="shared" si="38"/>
        <v>0</v>
      </c>
      <c r="I1208" s="19"/>
    </row>
    <row r="1209" spans="1:9" ht="15.75" x14ac:dyDescent="0.25">
      <c r="A1209" s="51">
        <v>42805</v>
      </c>
      <c r="B1209" s="52" t="s">
        <v>9003</v>
      </c>
      <c r="C1209" s="18">
        <v>103987</v>
      </c>
      <c r="D1209" s="2" t="s">
        <v>445</v>
      </c>
      <c r="E1209" s="15">
        <v>1861.6</v>
      </c>
      <c r="F1209" s="59">
        <v>42805</v>
      </c>
      <c r="G1209" s="15">
        <f t="shared" si="37"/>
        <v>1861.6</v>
      </c>
      <c r="H1209" s="15">
        <f t="shared" si="38"/>
        <v>0</v>
      </c>
      <c r="I1209" s="19"/>
    </row>
    <row r="1210" spans="1:9" ht="15.75" x14ac:dyDescent="0.25">
      <c r="A1210" s="51">
        <v>42805</v>
      </c>
      <c r="B1210" s="52" t="s">
        <v>9004</v>
      </c>
      <c r="C1210" s="18">
        <v>103988</v>
      </c>
      <c r="D1210" s="2" t="s">
        <v>83</v>
      </c>
      <c r="E1210" s="15">
        <v>2587.1999999999998</v>
      </c>
      <c r="F1210" s="59">
        <v>42805</v>
      </c>
      <c r="G1210" s="15">
        <f t="shared" si="37"/>
        <v>2587.1999999999998</v>
      </c>
      <c r="H1210" s="15">
        <f t="shared" si="38"/>
        <v>0</v>
      </c>
      <c r="I1210" s="19"/>
    </row>
    <row r="1211" spans="1:9" ht="15.75" x14ac:dyDescent="0.25">
      <c r="A1211" s="51">
        <v>42805</v>
      </c>
      <c r="B1211" s="52" t="s">
        <v>9005</v>
      </c>
      <c r="C1211" s="18">
        <v>103989</v>
      </c>
      <c r="D1211" s="2" t="s">
        <v>51</v>
      </c>
      <c r="E1211" s="15">
        <v>5964</v>
      </c>
      <c r="F1211" s="59">
        <v>42808</v>
      </c>
      <c r="G1211" s="15">
        <f t="shared" si="37"/>
        <v>5964</v>
      </c>
      <c r="H1211" s="15">
        <f t="shared" si="38"/>
        <v>0</v>
      </c>
      <c r="I1211" s="19"/>
    </row>
    <row r="1212" spans="1:9" ht="15.75" x14ac:dyDescent="0.25">
      <c r="A1212" s="51">
        <v>42805</v>
      </c>
      <c r="B1212" s="52" t="s">
        <v>9006</v>
      </c>
      <c r="C1212" s="18">
        <v>103990</v>
      </c>
      <c r="D1212" s="2" t="s">
        <v>43</v>
      </c>
      <c r="E1212" s="15">
        <v>11616.2</v>
      </c>
      <c r="F1212" s="59">
        <v>42807</v>
      </c>
      <c r="G1212" s="15">
        <f t="shared" si="37"/>
        <v>11616.2</v>
      </c>
      <c r="H1212" s="15">
        <f t="shared" si="38"/>
        <v>0</v>
      </c>
      <c r="I1212" s="19"/>
    </row>
    <row r="1213" spans="1:9" ht="15.75" x14ac:dyDescent="0.25">
      <c r="A1213" s="51">
        <v>42805</v>
      </c>
      <c r="B1213" s="52" t="s">
        <v>9007</v>
      </c>
      <c r="C1213" s="18">
        <v>103991</v>
      </c>
      <c r="D1213" s="2" t="s">
        <v>613</v>
      </c>
      <c r="E1213" s="15">
        <v>4978.3999999999996</v>
      </c>
      <c r="F1213" s="59">
        <v>42805</v>
      </c>
      <c r="G1213" s="15">
        <f t="shared" si="37"/>
        <v>4978.3999999999996</v>
      </c>
      <c r="H1213" s="15">
        <f t="shared" si="38"/>
        <v>0</v>
      </c>
      <c r="I1213" s="19"/>
    </row>
    <row r="1214" spans="1:9" ht="15.75" x14ac:dyDescent="0.25">
      <c r="A1214" s="51">
        <v>42805</v>
      </c>
      <c r="B1214" s="52" t="s">
        <v>9008</v>
      </c>
      <c r="C1214" s="18">
        <v>103992</v>
      </c>
      <c r="D1214" s="2" t="s">
        <v>250</v>
      </c>
      <c r="E1214" s="15">
        <v>10654</v>
      </c>
      <c r="F1214" s="59">
        <v>42807</v>
      </c>
      <c r="G1214" s="15">
        <f t="shared" si="37"/>
        <v>10654</v>
      </c>
      <c r="H1214" s="15">
        <f t="shared" si="38"/>
        <v>0</v>
      </c>
      <c r="I1214" s="19"/>
    </row>
    <row r="1215" spans="1:9" ht="15.75" x14ac:dyDescent="0.25">
      <c r="A1215" s="51">
        <v>42805</v>
      </c>
      <c r="B1215" s="52" t="s">
        <v>9009</v>
      </c>
      <c r="C1215" s="18">
        <v>103993</v>
      </c>
      <c r="D1215" s="2" t="s">
        <v>85</v>
      </c>
      <c r="E1215" s="15">
        <v>15991.2</v>
      </c>
      <c r="F1215" s="59">
        <v>42807</v>
      </c>
      <c r="G1215" s="15">
        <f t="shared" si="37"/>
        <v>15991.2</v>
      </c>
      <c r="H1215" s="15">
        <f t="shared" si="38"/>
        <v>0</v>
      </c>
      <c r="I1215" s="19"/>
    </row>
    <row r="1216" spans="1:9" ht="15.75" x14ac:dyDescent="0.25">
      <c r="A1216" s="51">
        <v>42805</v>
      </c>
      <c r="B1216" s="52" t="s">
        <v>9010</v>
      </c>
      <c r="C1216" s="18">
        <v>103994</v>
      </c>
      <c r="D1216" s="2" t="s">
        <v>293</v>
      </c>
      <c r="E1216" s="15">
        <v>436.1</v>
      </c>
      <c r="F1216" s="59">
        <v>42805</v>
      </c>
      <c r="G1216" s="15">
        <f t="shared" si="37"/>
        <v>436.1</v>
      </c>
      <c r="H1216" s="15">
        <f t="shared" si="38"/>
        <v>0</v>
      </c>
      <c r="I1216" s="19"/>
    </row>
    <row r="1217" spans="1:9" ht="15.75" x14ac:dyDescent="0.25">
      <c r="A1217" s="51">
        <v>42805</v>
      </c>
      <c r="B1217" s="52" t="s">
        <v>9011</v>
      </c>
      <c r="C1217" s="18">
        <v>103995</v>
      </c>
      <c r="D1217" s="2" t="s">
        <v>428</v>
      </c>
      <c r="E1217" s="15">
        <v>1713.6</v>
      </c>
      <c r="F1217" s="59">
        <v>42807</v>
      </c>
      <c r="G1217" s="15">
        <f t="shared" si="37"/>
        <v>1713.6</v>
      </c>
      <c r="H1217" s="15">
        <f t="shared" si="38"/>
        <v>0</v>
      </c>
      <c r="I1217" s="19"/>
    </row>
    <row r="1218" spans="1:9" ht="15.75" x14ac:dyDescent="0.25">
      <c r="A1218" s="51">
        <v>42805</v>
      </c>
      <c r="B1218" s="52" t="s">
        <v>9012</v>
      </c>
      <c r="C1218" s="18">
        <v>103996</v>
      </c>
      <c r="D1218" s="2" t="s">
        <v>1259</v>
      </c>
      <c r="E1218" s="15">
        <v>2300</v>
      </c>
      <c r="F1218" s="59">
        <v>42805</v>
      </c>
      <c r="G1218" s="15">
        <f t="shared" si="37"/>
        <v>2300</v>
      </c>
      <c r="H1218" s="15">
        <f t="shared" si="38"/>
        <v>0</v>
      </c>
      <c r="I1218" s="19"/>
    </row>
    <row r="1219" spans="1:9" ht="15.75" x14ac:dyDescent="0.25">
      <c r="A1219" s="51">
        <v>42805</v>
      </c>
      <c r="B1219" s="52" t="s">
        <v>9013</v>
      </c>
      <c r="C1219" s="18">
        <v>103997</v>
      </c>
      <c r="D1219" s="2" t="s">
        <v>305</v>
      </c>
      <c r="E1219" s="15">
        <v>7787.6</v>
      </c>
      <c r="F1219" s="59">
        <v>42811</v>
      </c>
      <c r="G1219" s="15">
        <f t="shared" si="37"/>
        <v>7787.6</v>
      </c>
      <c r="H1219" s="15">
        <f t="shared" si="38"/>
        <v>0</v>
      </c>
      <c r="I1219" s="19"/>
    </row>
    <row r="1220" spans="1:9" ht="15.75" x14ac:dyDescent="0.25">
      <c r="A1220" s="51">
        <v>42805</v>
      </c>
      <c r="B1220" s="52" t="s">
        <v>9014</v>
      </c>
      <c r="C1220" s="18">
        <v>103998</v>
      </c>
      <c r="D1220" s="2" t="s">
        <v>240</v>
      </c>
      <c r="E1220" s="15">
        <v>5235.6000000000004</v>
      </c>
      <c r="F1220" s="59">
        <v>42805</v>
      </c>
      <c r="G1220" s="15">
        <f t="shared" ref="G1220:G1283" si="39">E1220</f>
        <v>5235.6000000000004</v>
      </c>
      <c r="H1220" s="15">
        <f t="shared" ref="H1220:H1283" si="40">E1220-G1220</f>
        <v>0</v>
      </c>
      <c r="I1220" s="19"/>
    </row>
    <row r="1221" spans="1:9" ht="15.75" x14ac:dyDescent="0.25">
      <c r="A1221" s="51">
        <v>42805</v>
      </c>
      <c r="B1221" s="52" t="s">
        <v>9015</v>
      </c>
      <c r="C1221" s="18">
        <v>103999</v>
      </c>
      <c r="D1221" s="2" t="s">
        <v>3425</v>
      </c>
      <c r="E1221" s="15">
        <v>1041.2</v>
      </c>
      <c r="F1221" s="59">
        <v>42805</v>
      </c>
      <c r="G1221" s="15">
        <f t="shared" si="39"/>
        <v>1041.2</v>
      </c>
      <c r="H1221" s="15">
        <f t="shared" si="40"/>
        <v>0</v>
      </c>
      <c r="I1221" s="19"/>
    </row>
    <row r="1222" spans="1:9" ht="15.75" x14ac:dyDescent="0.25">
      <c r="A1222" s="51">
        <v>42805</v>
      </c>
      <c r="B1222" s="52" t="s">
        <v>9016</v>
      </c>
      <c r="C1222" s="18">
        <v>104000</v>
      </c>
      <c r="D1222" s="2" t="s">
        <v>88</v>
      </c>
      <c r="E1222" s="15">
        <v>11427.8</v>
      </c>
      <c r="F1222" s="59">
        <v>42805</v>
      </c>
      <c r="G1222" s="15">
        <f t="shared" si="39"/>
        <v>11427.8</v>
      </c>
      <c r="H1222" s="15">
        <f t="shared" si="40"/>
        <v>0</v>
      </c>
      <c r="I1222" s="19"/>
    </row>
    <row r="1223" spans="1:9" ht="15.75" x14ac:dyDescent="0.25">
      <c r="A1223" s="51">
        <v>42805</v>
      </c>
      <c r="B1223" s="52" t="s">
        <v>9017</v>
      </c>
      <c r="C1223" s="18">
        <v>104001</v>
      </c>
      <c r="D1223" s="2" t="s">
        <v>1256</v>
      </c>
      <c r="E1223" s="15">
        <v>2286.1</v>
      </c>
      <c r="F1223" s="59">
        <v>42805</v>
      </c>
      <c r="G1223" s="15">
        <f t="shared" si="39"/>
        <v>2286.1</v>
      </c>
      <c r="H1223" s="15">
        <f t="shared" si="40"/>
        <v>0</v>
      </c>
      <c r="I1223" s="19"/>
    </row>
    <row r="1224" spans="1:9" ht="15.75" x14ac:dyDescent="0.25">
      <c r="A1224" s="51">
        <v>42805</v>
      </c>
      <c r="B1224" s="52" t="s">
        <v>9018</v>
      </c>
      <c r="C1224" s="18">
        <v>104002</v>
      </c>
      <c r="D1224" s="2" t="s">
        <v>109</v>
      </c>
      <c r="E1224" s="15">
        <v>3572.1</v>
      </c>
      <c r="F1224" s="59">
        <v>42805</v>
      </c>
      <c r="G1224" s="15">
        <f t="shared" si="39"/>
        <v>3572.1</v>
      </c>
      <c r="H1224" s="15">
        <f t="shared" si="40"/>
        <v>0</v>
      </c>
      <c r="I1224" s="19"/>
    </row>
    <row r="1225" spans="1:9" ht="15.75" x14ac:dyDescent="0.25">
      <c r="A1225" s="51">
        <v>42805</v>
      </c>
      <c r="B1225" s="52" t="s">
        <v>9019</v>
      </c>
      <c r="C1225" s="18">
        <v>104003</v>
      </c>
      <c r="D1225" s="2" t="s">
        <v>30</v>
      </c>
      <c r="E1225" s="15">
        <v>20032</v>
      </c>
      <c r="F1225" s="59">
        <v>42805</v>
      </c>
      <c r="G1225" s="15">
        <f t="shared" si="39"/>
        <v>20032</v>
      </c>
      <c r="H1225" s="15">
        <f t="shared" si="40"/>
        <v>0</v>
      </c>
      <c r="I1225" s="19"/>
    </row>
    <row r="1226" spans="1:9" ht="15.75" x14ac:dyDescent="0.25">
      <c r="A1226" s="51">
        <v>42805</v>
      </c>
      <c r="B1226" s="52" t="s">
        <v>9020</v>
      </c>
      <c r="C1226" s="18">
        <v>104004</v>
      </c>
      <c r="D1226" s="2" t="s">
        <v>1380</v>
      </c>
      <c r="E1226" s="15">
        <v>1116.8399999999999</v>
      </c>
      <c r="F1226" s="59">
        <v>42805</v>
      </c>
      <c r="G1226" s="15">
        <f t="shared" si="39"/>
        <v>1116.8399999999999</v>
      </c>
      <c r="H1226" s="15">
        <f t="shared" si="40"/>
        <v>0</v>
      </c>
      <c r="I1226" s="19"/>
    </row>
    <row r="1227" spans="1:9" ht="15.75" x14ac:dyDescent="0.25">
      <c r="A1227" s="51">
        <v>42805</v>
      </c>
      <c r="B1227" s="52" t="s">
        <v>9021</v>
      </c>
      <c r="C1227" s="18">
        <v>104005</v>
      </c>
      <c r="D1227" s="2" t="s">
        <v>30</v>
      </c>
      <c r="E1227" s="15">
        <v>3327.5</v>
      </c>
      <c r="F1227" s="59">
        <v>42805</v>
      </c>
      <c r="G1227" s="15">
        <f t="shared" si="39"/>
        <v>3327.5</v>
      </c>
      <c r="H1227" s="15">
        <f t="shared" si="40"/>
        <v>0</v>
      </c>
      <c r="I1227" s="19"/>
    </row>
    <row r="1228" spans="1:9" ht="15.75" x14ac:dyDescent="0.25">
      <c r="A1228" s="51">
        <v>42805</v>
      </c>
      <c r="B1228" s="52" t="s">
        <v>9022</v>
      </c>
      <c r="C1228" s="18">
        <v>104006</v>
      </c>
      <c r="D1228" s="2" t="s">
        <v>289</v>
      </c>
      <c r="E1228" s="15">
        <v>3555.2</v>
      </c>
      <c r="F1228" s="59">
        <v>42818</v>
      </c>
      <c r="G1228" s="15">
        <f t="shared" si="39"/>
        <v>3555.2</v>
      </c>
      <c r="H1228" s="15">
        <f t="shared" si="40"/>
        <v>0</v>
      </c>
      <c r="I1228" s="19"/>
    </row>
    <row r="1229" spans="1:9" ht="15.75" x14ac:dyDescent="0.25">
      <c r="A1229" s="51">
        <v>42805</v>
      </c>
      <c r="B1229" s="52" t="s">
        <v>9023</v>
      </c>
      <c r="C1229" s="18">
        <v>104007</v>
      </c>
      <c r="D1229" s="2" t="s">
        <v>1989</v>
      </c>
      <c r="E1229" s="15">
        <v>583.79999999999995</v>
      </c>
      <c r="F1229" s="59">
        <v>42805</v>
      </c>
      <c r="G1229" s="15">
        <f t="shared" si="39"/>
        <v>583.79999999999995</v>
      </c>
      <c r="H1229" s="15">
        <f t="shared" si="40"/>
        <v>0</v>
      </c>
      <c r="I1229" s="19"/>
    </row>
    <row r="1230" spans="1:9" ht="15.75" x14ac:dyDescent="0.25">
      <c r="A1230" s="51">
        <v>42805</v>
      </c>
      <c r="B1230" s="52" t="s">
        <v>9024</v>
      </c>
      <c r="C1230" s="18">
        <v>104008</v>
      </c>
      <c r="D1230" s="2" t="s">
        <v>476</v>
      </c>
      <c r="E1230" s="15">
        <v>17254.900000000001</v>
      </c>
      <c r="F1230" s="59">
        <v>42810</v>
      </c>
      <c r="G1230" s="15">
        <f t="shared" si="39"/>
        <v>17254.900000000001</v>
      </c>
      <c r="H1230" s="15">
        <f t="shared" si="40"/>
        <v>0</v>
      </c>
      <c r="I1230" s="19"/>
    </row>
    <row r="1231" spans="1:9" ht="15.75" x14ac:dyDescent="0.25">
      <c r="A1231" s="51">
        <v>42805</v>
      </c>
      <c r="B1231" s="52" t="s">
        <v>9025</v>
      </c>
      <c r="C1231" s="18">
        <v>104009</v>
      </c>
      <c r="D1231" s="2" t="s">
        <v>302</v>
      </c>
      <c r="E1231" s="15">
        <v>10796.6</v>
      </c>
      <c r="F1231" s="59">
        <v>42805</v>
      </c>
      <c r="G1231" s="15">
        <f t="shared" si="39"/>
        <v>10796.6</v>
      </c>
      <c r="H1231" s="15">
        <f t="shared" si="40"/>
        <v>0</v>
      </c>
      <c r="I1231" s="19"/>
    </row>
    <row r="1232" spans="1:9" ht="15.75" x14ac:dyDescent="0.25">
      <c r="A1232" s="51">
        <v>42805</v>
      </c>
      <c r="B1232" s="52" t="s">
        <v>9026</v>
      </c>
      <c r="C1232" s="18">
        <v>104010</v>
      </c>
      <c r="D1232" s="2" t="s">
        <v>168</v>
      </c>
      <c r="E1232" s="15">
        <v>1165.5999999999999</v>
      </c>
      <c r="F1232" s="59">
        <v>42805</v>
      </c>
      <c r="G1232" s="15">
        <f t="shared" si="39"/>
        <v>1165.5999999999999</v>
      </c>
      <c r="H1232" s="15">
        <f t="shared" si="40"/>
        <v>0</v>
      </c>
      <c r="I1232" s="19"/>
    </row>
    <row r="1233" spans="1:9" ht="15.75" x14ac:dyDescent="0.25">
      <c r="A1233" s="51">
        <v>42805</v>
      </c>
      <c r="B1233" s="52" t="s">
        <v>9027</v>
      </c>
      <c r="C1233" s="18">
        <v>104011</v>
      </c>
      <c r="D1233" s="2" t="s">
        <v>12</v>
      </c>
      <c r="E1233" s="15">
        <v>1610.4</v>
      </c>
      <c r="F1233" s="59">
        <v>42805</v>
      </c>
      <c r="G1233" s="15">
        <f t="shared" si="39"/>
        <v>1610.4</v>
      </c>
      <c r="H1233" s="15">
        <f t="shared" si="40"/>
        <v>0</v>
      </c>
      <c r="I1233" s="19"/>
    </row>
    <row r="1234" spans="1:9" ht="15.75" x14ac:dyDescent="0.25">
      <c r="A1234" s="51">
        <v>42805</v>
      </c>
      <c r="B1234" s="52" t="s">
        <v>9028</v>
      </c>
      <c r="C1234" s="18">
        <v>104012</v>
      </c>
      <c r="D1234" s="2" t="s">
        <v>159</v>
      </c>
      <c r="E1234" s="15">
        <v>809.4</v>
      </c>
      <c r="F1234" s="59">
        <v>42805</v>
      </c>
      <c r="G1234" s="15">
        <f t="shared" si="39"/>
        <v>809.4</v>
      </c>
      <c r="H1234" s="15">
        <f t="shared" si="40"/>
        <v>0</v>
      </c>
      <c r="I1234" s="19"/>
    </row>
    <row r="1235" spans="1:9" ht="15.75" x14ac:dyDescent="0.25">
      <c r="A1235" s="51">
        <v>42805</v>
      </c>
      <c r="B1235" s="52" t="s">
        <v>9029</v>
      </c>
      <c r="C1235" s="18">
        <v>104013</v>
      </c>
      <c r="D1235" s="2" t="s">
        <v>71</v>
      </c>
      <c r="E1235" s="15">
        <v>3097.5</v>
      </c>
      <c r="F1235" s="59">
        <v>42805</v>
      </c>
      <c r="G1235" s="15">
        <f t="shared" si="39"/>
        <v>3097.5</v>
      </c>
      <c r="H1235" s="15">
        <f t="shared" si="40"/>
        <v>0</v>
      </c>
      <c r="I1235" s="19"/>
    </row>
    <row r="1236" spans="1:9" ht="15.75" x14ac:dyDescent="0.25">
      <c r="A1236" s="51">
        <v>42805</v>
      </c>
      <c r="B1236" s="52" t="s">
        <v>9030</v>
      </c>
      <c r="C1236" s="18">
        <v>104014</v>
      </c>
      <c r="D1236" s="2" t="s">
        <v>492</v>
      </c>
      <c r="E1236" s="15">
        <v>24486.5</v>
      </c>
      <c r="F1236" s="59">
        <v>42806</v>
      </c>
      <c r="G1236" s="15">
        <f t="shared" si="39"/>
        <v>24486.5</v>
      </c>
      <c r="H1236" s="15">
        <f t="shared" si="40"/>
        <v>0</v>
      </c>
      <c r="I1236" s="19"/>
    </row>
    <row r="1237" spans="1:9" ht="15.75" x14ac:dyDescent="0.25">
      <c r="A1237" s="51">
        <v>42805</v>
      </c>
      <c r="B1237" s="52" t="s">
        <v>9031</v>
      </c>
      <c r="C1237" s="18">
        <v>104015</v>
      </c>
      <c r="D1237" s="2" t="s">
        <v>422</v>
      </c>
      <c r="E1237" s="15">
        <v>5130.2</v>
      </c>
      <c r="F1237" s="64" t="s">
        <v>8822</v>
      </c>
      <c r="G1237" s="20">
        <f>3000+2130.2</f>
        <v>5130.2</v>
      </c>
      <c r="H1237" s="20">
        <f t="shared" si="40"/>
        <v>0</v>
      </c>
      <c r="I1237" s="19"/>
    </row>
    <row r="1238" spans="1:9" ht="15.75" x14ac:dyDescent="0.25">
      <c r="A1238" s="51">
        <v>42805</v>
      </c>
      <c r="B1238" s="52" t="s">
        <v>9032</v>
      </c>
      <c r="C1238" s="18">
        <v>104016</v>
      </c>
      <c r="D1238" s="2" t="s">
        <v>693</v>
      </c>
      <c r="E1238" s="15">
        <v>19076</v>
      </c>
      <c r="F1238" s="59">
        <v>42822</v>
      </c>
      <c r="G1238" s="15">
        <f t="shared" si="39"/>
        <v>19076</v>
      </c>
      <c r="H1238" s="15">
        <f t="shared" si="40"/>
        <v>0</v>
      </c>
      <c r="I1238" s="19"/>
    </row>
    <row r="1239" spans="1:9" ht="15.75" x14ac:dyDescent="0.25">
      <c r="A1239" s="51">
        <v>42805</v>
      </c>
      <c r="B1239" s="52" t="s">
        <v>9033</v>
      </c>
      <c r="C1239" s="18">
        <v>104017</v>
      </c>
      <c r="D1239" s="2" t="s">
        <v>531</v>
      </c>
      <c r="E1239" s="15">
        <v>25195.360000000001</v>
      </c>
      <c r="F1239" s="59">
        <v>42806</v>
      </c>
      <c r="G1239" s="15">
        <f t="shared" si="39"/>
        <v>25195.360000000001</v>
      </c>
      <c r="H1239" s="15">
        <f t="shared" si="40"/>
        <v>0</v>
      </c>
      <c r="I1239" s="19"/>
    </row>
    <row r="1240" spans="1:9" ht="15.75" x14ac:dyDescent="0.25">
      <c r="A1240" s="51">
        <v>42805</v>
      </c>
      <c r="B1240" s="52" t="s">
        <v>9034</v>
      </c>
      <c r="C1240" s="18">
        <v>104018</v>
      </c>
      <c r="D1240" s="2" t="s">
        <v>1830</v>
      </c>
      <c r="E1240" s="15">
        <v>23007.9</v>
      </c>
      <c r="F1240" s="59">
        <v>42806</v>
      </c>
      <c r="G1240" s="15">
        <f t="shared" si="39"/>
        <v>23007.9</v>
      </c>
      <c r="H1240" s="15">
        <f t="shared" si="40"/>
        <v>0</v>
      </c>
      <c r="I1240" s="19"/>
    </row>
    <row r="1241" spans="1:9" ht="15.75" x14ac:dyDescent="0.25">
      <c r="A1241" s="51">
        <v>42805</v>
      </c>
      <c r="B1241" s="52" t="s">
        <v>9035</v>
      </c>
      <c r="C1241" s="18">
        <v>104019</v>
      </c>
      <c r="D1241" s="2" t="s">
        <v>785</v>
      </c>
      <c r="E1241" s="15">
        <v>5954.4</v>
      </c>
      <c r="F1241" s="59">
        <v>42806</v>
      </c>
      <c r="G1241" s="15">
        <f t="shared" si="39"/>
        <v>5954.4</v>
      </c>
      <c r="H1241" s="15">
        <f t="shared" si="40"/>
        <v>0</v>
      </c>
      <c r="I1241" s="19"/>
    </row>
    <row r="1242" spans="1:9" ht="15.75" x14ac:dyDescent="0.25">
      <c r="A1242" s="51">
        <v>42805</v>
      </c>
      <c r="B1242" s="52" t="s">
        <v>9036</v>
      </c>
      <c r="C1242" s="18">
        <v>104020</v>
      </c>
      <c r="D1242" s="2" t="s">
        <v>1830</v>
      </c>
      <c r="E1242" s="15">
        <v>4588.8</v>
      </c>
      <c r="F1242" s="59">
        <v>42806</v>
      </c>
      <c r="G1242" s="15">
        <f t="shared" si="39"/>
        <v>4588.8</v>
      </c>
      <c r="H1242" s="15">
        <f t="shared" si="40"/>
        <v>0</v>
      </c>
      <c r="I1242" s="19"/>
    </row>
    <row r="1243" spans="1:9" ht="15.75" x14ac:dyDescent="0.25">
      <c r="A1243" s="51">
        <v>42805</v>
      </c>
      <c r="B1243" s="52" t="s">
        <v>9037</v>
      </c>
      <c r="C1243" s="18">
        <v>104021</v>
      </c>
      <c r="D1243" s="2" t="s">
        <v>61</v>
      </c>
      <c r="E1243" s="15">
        <v>5939.5</v>
      </c>
      <c r="F1243" s="59">
        <v>42807</v>
      </c>
      <c r="G1243" s="15">
        <f t="shared" si="39"/>
        <v>5939.5</v>
      </c>
      <c r="H1243" s="15">
        <f t="shared" si="40"/>
        <v>0</v>
      </c>
      <c r="I1243" s="19"/>
    </row>
    <row r="1244" spans="1:9" ht="15.75" x14ac:dyDescent="0.25">
      <c r="A1244" s="51">
        <v>42805</v>
      </c>
      <c r="B1244" s="52" t="s">
        <v>9038</v>
      </c>
      <c r="C1244" s="18">
        <v>104022</v>
      </c>
      <c r="D1244" s="2" t="s">
        <v>909</v>
      </c>
      <c r="E1244" s="15">
        <v>2941.5</v>
      </c>
      <c r="F1244" s="59">
        <v>42807</v>
      </c>
      <c r="G1244" s="15">
        <f t="shared" si="39"/>
        <v>2941.5</v>
      </c>
      <c r="H1244" s="15">
        <f t="shared" si="40"/>
        <v>0</v>
      </c>
      <c r="I1244" s="19"/>
    </row>
    <row r="1245" spans="1:9" ht="15.75" x14ac:dyDescent="0.25">
      <c r="A1245" s="51">
        <v>42805</v>
      </c>
      <c r="B1245" s="52" t="s">
        <v>9039</v>
      </c>
      <c r="C1245" s="18">
        <v>104023</v>
      </c>
      <c r="D1245" s="2" t="s">
        <v>125</v>
      </c>
      <c r="E1245" s="15">
        <v>7896</v>
      </c>
      <c r="F1245" s="59">
        <v>42807</v>
      </c>
      <c r="G1245" s="15">
        <f t="shared" si="39"/>
        <v>7896</v>
      </c>
      <c r="H1245" s="15">
        <f t="shared" si="40"/>
        <v>0</v>
      </c>
      <c r="I1245" s="19"/>
    </row>
    <row r="1246" spans="1:9" ht="15.75" x14ac:dyDescent="0.25">
      <c r="A1246" s="51">
        <v>42805</v>
      </c>
      <c r="B1246" s="52" t="s">
        <v>9040</v>
      </c>
      <c r="C1246" s="18">
        <v>104024</v>
      </c>
      <c r="D1246" s="2" t="s">
        <v>131</v>
      </c>
      <c r="E1246" s="15">
        <v>9900</v>
      </c>
      <c r="F1246" s="59">
        <v>42807</v>
      </c>
      <c r="G1246" s="15">
        <f t="shared" si="39"/>
        <v>9900</v>
      </c>
      <c r="H1246" s="15">
        <f t="shared" si="40"/>
        <v>0</v>
      </c>
      <c r="I1246" s="19"/>
    </row>
    <row r="1247" spans="1:9" ht="15.75" x14ac:dyDescent="0.25">
      <c r="A1247" s="51">
        <v>42805</v>
      </c>
      <c r="B1247" s="52" t="s">
        <v>9041</v>
      </c>
      <c r="C1247" s="18">
        <v>104025</v>
      </c>
      <c r="D1247" s="2" t="s">
        <v>331</v>
      </c>
      <c r="E1247" s="15">
        <v>2193.6</v>
      </c>
      <c r="F1247" s="59">
        <v>42807</v>
      </c>
      <c r="G1247" s="15">
        <f t="shared" si="39"/>
        <v>2193.6</v>
      </c>
      <c r="H1247" s="15">
        <f t="shared" si="40"/>
        <v>0</v>
      </c>
      <c r="I1247" s="19"/>
    </row>
    <row r="1248" spans="1:9" ht="15.75" x14ac:dyDescent="0.25">
      <c r="A1248" s="51">
        <v>42805</v>
      </c>
      <c r="B1248" s="52" t="s">
        <v>9042</v>
      </c>
      <c r="C1248" s="18">
        <v>104026</v>
      </c>
      <c r="D1248" s="2" t="s">
        <v>61</v>
      </c>
      <c r="E1248" s="15">
        <v>2383.9</v>
      </c>
      <c r="F1248" s="59">
        <v>42807</v>
      </c>
      <c r="G1248" s="15">
        <f t="shared" si="39"/>
        <v>2383.9</v>
      </c>
      <c r="H1248" s="15">
        <f t="shared" si="40"/>
        <v>0</v>
      </c>
      <c r="I1248" s="19"/>
    </row>
    <row r="1249" spans="1:9" ht="15.75" x14ac:dyDescent="0.25">
      <c r="A1249" s="51">
        <v>42805</v>
      </c>
      <c r="B1249" s="52" t="s">
        <v>9043</v>
      </c>
      <c r="C1249" s="18">
        <v>104027</v>
      </c>
      <c r="D1249" s="2" t="s">
        <v>45</v>
      </c>
      <c r="E1249" s="15">
        <v>921</v>
      </c>
      <c r="F1249" s="59">
        <v>42807</v>
      </c>
      <c r="G1249" s="15">
        <f t="shared" si="39"/>
        <v>921</v>
      </c>
      <c r="H1249" s="15">
        <f t="shared" si="40"/>
        <v>0</v>
      </c>
      <c r="I1249" s="19"/>
    </row>
    <row r="1250" spans="1:9" ht="15.75" x14ac:dyDescent="0.25">
      <c r="A1250" s="51">
        <v>42805</v>
      </c>
      <c r="B1250" s="52" t="s">
        <v>9044</v>
      </c>
      <c r="C1250" s="18">
        <v>104028</v>
      </c>
      <c r="D1250" s="2" t="s">
        <v>186</v>
      </c>
      <c r="E1250" s="15">
        <v>1088.5</v>
      </c>
      <c r="F1250" s="59">
        <v>42808</v>
      </c>
      <c r="G1250" s="15">
        <f t="shared" si="39"/>
        <v>1088.5</v>
      </c>
      <c r="H1250" s="15">
        <f t="shared" si="40"/>
        <v>0</v>
      </c>
      <c r="I1250" s="19"/>
    </row>
    <row r="1251" spans="1:9" ht="15.75" x14ac:dyDescent="0.25">
      <c r="A1251" s="51">
        <v>42805</v>
      </c>
      <c r="B1251" s="52" t="s">
        <v>9045</v>
      </c>
      <c r="C1251" s="18">
        <v>104029</v>
      </c>
      <c r="D1251" s="2" t="s">
        <v>57</v>
      </c>
      <c r="E1251" s="15">
        <v>470</v>
      </c>
      <c r="F1251" s="59">
        <v>42807</v>
      </c>
      <c r="G1251" s="15">
        <f t="shared" si="39"/>
        <v>470</v>
      </c>
      <c r="H1251" s="15">
        <f t="shared" si="40"/>
        <v>0</v>
      </c>
      <c r="I1251" s="19"/>
    </row>
    <row r="1252" spans="1:9" ht="15.75" x14ac:dyDescent="0.25">
      <c r="A1252" s="51">
        <v>42805</v>
      </c>
      <c r="B1252" s="52" t="s">
        <v>9046</v>
      </c>
      <c r="C1252" s="18">
        <v>104030</v>
      </c>
      <c r="D1252" s="2" t="s">
        <v>335</v>
      </c>
      <c r="E1252" s="15">
        <v>700.6</v>
      </c>
      <c r="F1252" s="59">
        <v>42810</v>
      </c>
      <c r="G1252" s="15">
        <f t="shared" si="39"/>
        <v>700.6</v>
      </c>
      <c r="H1252" s="15">
        <f t="shared" si="40"/>
        <v>0</v>
      </c>
      <c r="I1252" s="19"/>
    </row>
    <row r="1253" spans="1:9" ht="15.75" x14ac:dyDescent="0.25">
      <c r="A1253" s="51">
        <v>42805</v>
      </c>
      <c r="B1253" s="52" t="s">
        <v>9047</v>
      </c>
      <c r="C1253" s="18">
        <v>104031</v>
      </c>
      <c r="D1253" s="2" t="s">
        <v>2545</v>
      </c>
      <c r="E1253" s="15">
        <v>2041.2</v>
      </c>
      <c r="F1253" s="59">
        <v>42807</v>
      </c>
      <c r="G1253" s="15">
        <f t="shared" si="39"/>
        <v>2041.2</v>
      </c>
      <c r="H1253" s="15">
        <f t="shared" si="40"/>
        <v>0</v>
      </c>
      <c r="I1253" s="19"/>
    </row>
    <row r="1254" spans="1:9" ht="15.75" x14ac:dyDescent="0.25">
      <c r="A1254" s="51">
        <v>42805</v>
      </c>
      <c r="B1254" s="52" t="s">
        <v>9048</v>
      </c>
      <c r="C1254" s="18">
        <v>104032</v>
      </c>
      <c r="D1254" s="2" t="s">
        <v>198</v>
      </c>
      <c r="E1254" s="15">
        <v>2247.8000000000002</v>
      </c>
      <c r="F1254" s="59">
        <v>42807</v>
      </c>
      <c r="G1254" s="15">
        <f t="shared" si="39"/>
        <v>2247.8000000000002</v>
      </c>
      <c r="H1254" s="15">
        <f t="shared" si="40"/>
        <v>0</v>
      </c>
      <c r="I1254" s="19"/>
    </row>
    <row r="1255" spans="1:9" ht="15.75" x14ac:dyDescent="0.25">
      <c r="A1255" s="51">
        <v>42805</v>
      </c>
      <c r="B1255" s="52" t="s">
        <v>9049</v>
      </c>
      <c r="C1255" s="18">
        <v>104033</v>
      </c>
      <c r="D1255" s="2" t="s">
        <v>2986</v>
      </c>
      <c r="E1255" s="15">
        <v>4880.3</v>
      </c>
      <c r="F1255" s="59">
        <v>42807</v>
      </c>
      <c r="G1255" s="15">
        <f t="shared" si="39"/>
        <v>4880.3</v>
      </c>
      <c r="H1255" s="15">
        <f t="shared" si="40"/>
        <v>0</v>
      </c>
      <c r="I1255" s="19"/>
    </row>
    <row r="1256" spans="1:9" ht="15.75" x14ac:dyDescent="0.25">
      <c r="A1256" s="51">
        <v>42805</v>
      </c>
      <c r="B1256" s="52" t="s">
        <v>9050</v>
      </c>
      <c r="C1256" s="18">
        <v>104034</v>
      </c>
      <c r="D1256" s="2" t="s">
        <v>3958</v>
      </c>
      <c r="E1256" s="15">
        <v>2690.6</v>
      </c>
      <c r="F1256" s="59">
        <v>42805</v>
      </c>
      <c r="G1256" s="15">
        <f t="shared" si="39"/>
        <v>2690.6</v>
      </c>
      <c r="H1256" s="15">
        <f t="shared" si="40"/>
        <v>0</v>
      </c>
      <c r="I1256" s="19"/>
    </row>
    <row r="1257" spans="1:9" ht="15.75" x14ac:dyDescent="0.25">
      <c r="A1257" s="51">
        <v>42805</v>
      </c>
      <c r="B1257" s="52" t="s">
        <v>9051</v>
      </c>
      <c r="C1257" s="18">
        <v>104035</v>
      </c>
      <c r="D1257" s="2" t="s">
        <v>115</v>
      </c>
      <c r="E1257" s="15">
        <v>8302.25</v>
      </c>
      <c r="F1257" s="59">
        <v>42807</v>
      </c>
      <c r="G1257" s="15">
        <f t="shared" si="39"/>
        <v>8302.25</v>
      </c>
      <c r="H1257" s="15">
        <f t="shared" si="40"/>
        <v>0</v>
      </c>
      <c r="I1257" s="19"/>
    </row>
    <row r="1258" spans="1:9" ht="15.75" x14ac:dyDescent="0.25">
      <c r="A1258" s="51">
        <v>42805</v>
      </c>
      <c r="B1258" s="52" t="s">
        <v>9052</v>
      </c>
      <c r="C1258" s="18">
        <v>104036</v>
      </c>
      <c r="D1258" s="2" t="s">
        <v>1666</v>
      </c>
      <c r="E1258" s="15">
        <v>10640</v>
      </c>
      <c r="F1258" s="59">
        <v>42809</v>
      </c>
      <c r="G1258" s="15">
        <f t="shared" si="39"/>
        <v>10640</v>
      </c>
      <c r="H1258" s="15">
        <f t="shared" si="40"/>
        <v>0</v>
      </c>
      <c r="I1258" s="19"/>
    </row>
    <row r="1259" spans="1:9" ht="15.75" x14ac:dyDescent="0.25">
      <c r="A1259" s="51">
        <v>42805</v>
      </c>
      <c r="B1259" s="52" t="s">
        <v>9053</v>
      </c>
      <c r="C1259" s="18">
        <v>104037</v>
      </c>
      <c r="D1259" s="2" t="s">
        <v>442</v>
      </c>
      <c r="E1259" s="15">
        <v>6398</v>
      </c>
      <c r="F1259" s="59">
        <v>42809</v>
      </c>
      <c r="G1259" s="15">
        <f t="shared" si="39"/>
        <v>6398</v>
      </c>
      <c r="H1259" s="15">
        <f t="shared" si="40"/>
        <v>0</v>
      </c>
      <c r="I1259" s="19"/>
    </row>
    <row r="1260" spans="1:9" ht="15.75" x14ac:dyDescent="0.25">
      <c r="A1260" s="51">
        <v>42805</v>
      </c>
      <c r="B1260" s="52" t="s">
        <v>9054</v>
      </c>
      <c r="C1260" s="18">
        <v>104038</v>
      </c>
      <c r="D1260" s="2" t="s">
        <v>442</v>
      </c>
      <c r="E1260" s="15">
        <v>14733.5</v>
      </c>
      <c r="F1260" s="59">
        <v>42809</v>
      </c>
      <c r="G1260" s="15">
        <f t="shared" si="39"/>
        <v>14733.5</v>
      </c>
      <c r="H1260" s="15">
        <f t="shared" si="40"/>
        <v>0</v>
      </c>
      <c r="I1260" s="19"/>
    </row>
    <row r="1261" spans="1:9" ht="15.75" x14ac:dyDescent="0.25">
      <c r="A1261" s="51">
        <v>42805</v>
      </c>
      <c r="B1261" s="52" t="s">
        <v>9055</v>
      </c>
      <c r="C1261" s="18">
        <v>104039</v>
      </c>
      <c r="D1261" s="2" t="s">
        <v>270</v>
      </c>
      <c r="E1261" s="15">
        <v>1676.7</v>
      </c>
      <c r="F1261" s="59">
        <v>42811</v>
      </c>
      <c r="G1261" s="15">
        <f t="shared" si="39"/>
        <v>1676.7</v>
      </c>
      <c r="H1261" s="15">
        <f t="shared" si="40"/>
        <v>0</v>
      </c>
      <c r="I1261" s="19"/>
    </row>
    <row r="1262" spans="1:9" ht="15.75" x14ac:dyDescent="0.25">
      <c r="A1262" s="51">
        <v>42805</v>
      </c>
      <c r="B1262" s="52" t="s">
        <v>9056</v>
      </c>
      <c r="C1262" s="18">
        <v>104040</v>
      </c>
      <c r="D1262" s="2" t="s">
        <v>370</v>
      </c>
      <c r="E1262" s="15">
        <v>450</v>
      </c>
      <c r="F1262" s="59">
        <v>42805</v>
      </c>
      <c r="G1262" s="15">
        <f t="shared" si="39"/>
        <v>450</v>
      </c>
      <c r="H1262" s="15">
        <f t="shared" si="40"/>
        <v>0</v>
      </c>
      <c r="I1262" s="19"/>
    </row>
    <row r="1263" spans="1:9" ht="15.75" x14ac:dyDescent="0.25">
      <c r="A1263" s="51">
        <v>42805</v>
      </c>
      <c r="B1263" s="52" t="s">
        <v>9057</v>
      </c>
      <c r="C1263" s="18">
        <v>104041</v>
      </c>
      <c r="D1263" s="2" t="s">
        <v>268</v>
      </c>
      <c r="E1263" s="15">
        <v>18647.900000000001</v>
      </c>
      <c r="F1263" s="59">
        <v>42809</v>
      </c>
      <c r="G1263" s="15">
        <f t="shared" si="39"/>
        <v>18647.900000000001</v>
      </c>
      <c r="H1263" s="15">
        <f t="shared" si="40"/>
        <v>0</v>
      </c>
      <c r="I1263" s="19"/>
    </row>
    <row r="1264" spans="1:9" ht="15.75" x14ac:dyDescent="0.25">
      <c r="A1264" s="51">
        <v>42805</v>
      </c>
      <c r="B1264" s="52" t="s">
        <v>9058</v>
      </c>
      <c r="C1264" s="18">
        <v>104042</v>
      </c>
      <c r="D1264" s="2" t="s">
        <v>176</v>
      </c>
      <c r="E1264" s="15">
        <v>3015</v>
      </c>
      <c r="F1264" s="59">
        <v>42805</v>
      </c>
      <c r="G1264" s="15">
        <f t="shared" si="39"/>
        <v>3015</v>
      </c>
      <c r="H1264" s="15">
        <f t="shared" si="40"/>
        <v>0</v>
      </c>
      <c r="I1264" s="19"/>
    </row>
    <row r="1265" spans="1:9" ht="15.75" x14ac:dyDescent="0.25">
      <c r="A1265" s="51">
        <v>42805</v>
      </c>
      <c r="B1265" s="52" t="s">
        <v>9059</v>
      </c>
      <c r="C1265" s="18">
        <v>104043</v>
      </c>
      <c r="D1265" s="2" t="s">
        <v>274</v>
      </c>
      <c r="E1265" s="15">
        <v>394</v>
      </c>
      <c r="F1265" s="59">
        <v>42811</v>
      </c>
      <c r="G1265" s="15">
        <f t="shared" si="39"/>
        <v>394</v>
      </c>
      <c r="H1265" s="15">
        <f t="shared" si="40"/>
        <v>0</v>
      </c>
      <c r="I1265" s="19"/>
    </row>
    <row r="1266" spans="1:9" ht="15.75" x14ac:dyDescent="0.25">
      <c r="A1266" s="51">
        <v>42805</v>
      </c>
      <c r="B1266" s="52" t="s">
        <v>9060</v>
      </c>
      <c r="C1266" s="18">
        <v>104044</v>
      </c>
      <c r="D1266" s="2" t="s">
        <v>5219</v>
      </c>
      <c r="E1266" s="15">
        <v>3383.5</v>
      </c>
      <c r="F1266" s="59">
        <v>42805</v>
      </c>
      <c r="G1266" s="15">
        <f t="shared" si="39"/>
        <v>3383.5</v>
      </c>
      <c r="H1266" s="15">
        <f t="shared" si="40"/>
        <v>0</v>
      </c>
      <c r="I1266" s="19"/>
    </row>
    <row r="1267" spans="1:9" ht="15.75" x14ac:dyDescent="0.25">
      <c r="A1267" s="51">
        <v>42805</v>
      </c>
      <c r="B1267" s="52" t="s">
        <v>9061</v>
      </c>
      <c r="C1267" s="18">
        <v>104045</v>
      </c>
      <c r="D1267" s="2" t="s">
        <v>79</v>
      </c>
      <c r="E1267" s="15">
        <v>3874.9</v>
      </c>
      <c r="F1267" s="59">
        <v>42805</v>
      </c>
      <c r="G1267" s="15">
        <f t="shared" si="39"/>
        <v>3874.9</v>
      </c>
      <c r="H1267" s="15">
        <f t="shared" si="40"/>
        <v>0</v>
      </c>
      <c r="I1267" s="19"/>
    </row>
    <row r="1268" spans="1:9" ht="15.75" x14ac:dyDescent="0.25">
      <c r="A1268" s="51">
        <v>42805</v>
      </c>
      <c r="B1268" s="52" t="s">
        <v>9062</v>
      </c>
      <c r="C1268" s="18">
        <v>104046</v>
      </c>
      <c r="D1268" s="2" t="s">
        <v>773</v>
      </c>
      <c r="E1268" s="15">
        <v>847.6</v>
      </c>
      <c r="F1268" s="59">
        <v>42805</v>
      </c>
      <c r="G1268" s="15">
        <f t="shared" si="39"/>
        <v>847.6</v>
      </c>
      <c r="H1268" s="15">
        <f t="shared" si="40"/>
        <v>0</v>
      </c>
      <c r="I1268" s="19"/>
    </row>
    <row r="1269" spans="1:9" ht="15.75" x14ac:dyDescent="0.25">
      <c r="A1269" s="51">
        <v>42805</v>
      </c>
      <c r="B1269" s="52" t="s">
        <v>9063</v>
      </c>
      <c r="C1269" s="18">
        <v>104047</v>
      </c>
      <c r="D1269" s="2" t="s">
        <v>1116</v>
      </c>
      <c r="E1269" s="15">
        <v>2694.1</v>
      </c>
      <c r="F1269" s="59">
        <v>42806</v>
      </c>
      <c r="G1269" s="15">
        <f t="shared" si="39"/>
        <v>2694.1</v>
      </c>
      <c r="H1269" s="15">
        <f t="shared" si="40"/>
        <v>0</v>
      </c>
      <c r="I1269" s="19"/>
    </row>
    <row r="1270" spans="1:9" ht="15.75" x14ac:dyDescent="0.25">
      <c r="A1270" s="51">
        <v>42805</v>
      </c>
      <c r="B1270" s="52" t="s">
        <v>9064</v>
      </c>
      <c r="C1270" s="18">
        <v>104048</v>
      </c>
      <c r="D1270" s="2" t="s">
        <v>30</v>
      </c>
      <c r="E1270" s="15">
        <v>832</v>
      </c>
      <c r="F1270" s="59">
        <v>42805</v>
      </c>
      <c r="G1270" s="15">
        <f t="shared" si="39"/>
        <v>832</v>
      </c>
      <c r="H1270" s="15">
        <f t="shared" si="40"/>
        <v>0</v>
      </c>
      <c r="I1270" s="19"/>
    </row>
    <row r="1271" spans="1:9" ht="15.75" x14ac:dyDescent="0.25">
      <c r="A1271" s="51">
        <v>42805</v>
      </c>
      <c r="B1271" s="52" t="s">
        <v>9065</v>
      </c>
      <c r="C1271" s="18">
        <v>104049</v>
      </c>
      <c r="D1271" s="2" t="s">
        <v>131</v>
      </c>
      <c r="E1271" s="15">
        <v>6148.8</v>
      </c>
      <c r="F1271" s="59">
        <v>42807</v>
      </c>
      <c r="G1271" s="15">
        <f t="shared" si="39"/>
        <v>6148.8</v>
      </c>
      <c r="H1271" s="15">
        <f t="shared" si="40"/>
        <v>0</v>
      </c>
      <c r="I1271" s="19"/>
    </row>
    <row r="1272" spans="1:9" ht="15.75" x14ac:dyDescent="0.25">
      <c r="A1272" s="51">
        <v>42805</v>
      </c>
      <c r="B1272" s="52" t="s">
        <v>9066</v>
      </c>
      <c r="C1272" s="18">
        <v>104050</v>
      </c>
      <c r="D1272" s="2" t="s">
        <v>231</v>
      </c>
      <c r="E1272" s="15">
        <v>4450.3999999999996</v>
      </c>
      <c r="G1272" s="15">
        <f t="shared" si="39"/>
        <v>4450.3999999999996</v>
      </c>
      <c r="H1272" s="15">
        <f t="shared" si="40"/>
        <v>0</v>
      </c>
      <c r="I1272" s="19"/>
    </row>
    <row r="1273" spans="1:9" ht="15.75" x14ac:dyDescent="0.25">
      <c r="A1273" s="51">
        <v>42805</v>
      </c>
      <c r="B1273" s="52" t="s">
        <v>9067</v>
      </c>
      <c r="C1273" s="18">
        <v>104051</v>
      </c>
      <c r="D1273" s="2" t="s">
        <v>30</v>
      </c>
      <c r="E1273" s="15">
        <v>1828.3</v>
      </c>
      <c r="F1273" s="59">
        <v>42805</v>
      </c>
      <c r="G1273" s="15">
        <f t="shared" si="39"/>
        <v>1828.3</v>
      </c>
      <c r="H1273" s="15">
        <f t="shared" si="40"/>
        <v>0</v>
      </c>
      <c r="I1273" s="19"/>
    </row>
    <row r="1274" spans="1:9" ht="15.75" x14ac:dyDescent="0.25">
      <c r="A1274" s="51">
        <v>42805</v>
      </c>
      <c r="B1274" s="52" t="s">
        <v>9068</v>
      </c>
      <c r="C1274" s="18">
        <v>104052</v>
      </c>
      <c r="D1274" s="2" t="s">
        <v>182</v>
      </c>
      <c r="E1274" s="15">
        <v>5640</v>
      </c>
      <c r="F1274" s="59">
        <v>42808</v>
      </c>
      <c r="G1274" s="15">
        <f t="shared" si="39"/>
        <v>5640</v>
      </c>
      <c r="H1274" s="15">
        <f t="shared" si="40"/>
        <v>0</v>
      </c>
      <c r="I1274" s="19"/>
    </row>
    <row r="1275" spans="1:9" ht="15.75" x14ac:dyDescent="0.25">
      <c r="A1275" s="51">
        <v>42805</v>
      </c>
      <c r="B1275" s="52" t="s">
        <v>9069</v>
      </c>
      <c r="C1275" s="18">
        <v>104053</v>
      </c>
      <c r="D1275" s="2" t="s">
        <v>21</v>
      </c>
      <c r="E1275" s="15">
        <v>33419.599999999999</v>
      </c>
      <c r="F1275" s="59">
        <v>42825</v>
      </c>
      <c r="G1275" s="15">
        <f t="shared" si="39"/>
        <v>33419.599999999999</v>
      </c>
      <c r="H1275" s="15">
        <f t="shared" si="40"/>
        <v>0</v>
      </c>
      <c r="I1275" s="19"/>
    </row>
    <row r="1276" spans="1:9" ht="15.75" x14ac:dyDescent="0.25">
      <c r="A1276" s="51">
        <v>42805</v>
      </c>
      <c r="B1276" s="52" t="s">
        <v>9070</v>
      </c>
      <c r="C1276" s="18">
        <v>104054</v>
      </c>
      <c r="D1276" s="2" t="s">
        <v>1380</v>
      </c>
      <c r="E1276" s="15">
        <v>29297.119999999999</v>
      </c>
      <c r="F1276" s="59">
        <v>42806</v>
      </c>
      <c r="G1276" s="15">
        <f t="shared" si="39"/>
        <v>29297.119999999999</v>
      </c>
      <c r="H1276" s="15">
        <f t="shared" si="40"/>
        <v>0</v>
      </c>
      <c r="I1276" s="19"/>
    </row>
    <row r="1277" spans="1:9" ht="15.75" x14ac:dyDescent="0.25">
      <c r="A1277" s="51">
        <v>42805</v>
      </c>
      <c r="B1277" s="52" t="s">
        <v>9071</v>
      </c>
      <c r="C1277" s="18">
        <v>104055</v>
      </c>
      <c r="D1277" s="2" t="s">
        <v>205</v>
      </c>
      <c r="E1277" s="15">
        <v>59829</v>
      </c>
      <c r="F1277" s="59">
        <v>42805</v>
      </c>
      <c r="G1277" s="15">
        <f t="shared" si="39"/>
        <v>59829</v>
      </c>
      <c r="H1277" s="15">
        <f t="shared" si="40"/>
        <v>0</v>
      </c>
      <c r="I1277" s="19"/>
    </row>
    <row r="1278" spans="1:9" ht="15.75" x14ac:dyDescent="0.25">
      <c r="A1278" s="51">
        <v>42805</v>
      </c>
      <c r="B1278" s="52" t="s">
        <v>9072</v>
      </c>
      <c r="C1278" s="18">
        <v>104056</v>
      </c>
      <c r="D1278" s="2" t="s">
        <v>250</v>
      </c>
      <c r="E1278" s="15">
        <v>5532.6</v>
      </c>
      <c r="F1278" s="59">
        <v>42807</v>
      </c>
      <c r="G1278" s="15">
        <f t="shared" si="39"/>
        <v>5532.6</v>
      </c>
      <c r="H1278" s="15">
        <f t="shared" si="40"/>
        <v>0</v>
      </c>
      <c r="I1278" s="19"/>
    </row>
    <row r="1279" spans="1:9" ht="15.75" x14ac:dyDescent="0.25">
      <c r="A1279" s="51">
        <v>42805</v>
      </c>
      <c r="B1279" s="52" t="s">
        <v>9073</v>
      </c>
      <c r="C1279" s="18">
        <v>104057</v>
      </c>
      <c r="D1279" s="2" t="s">
        <v>159</v>
      </c>
      <c r="E1279" s="15">
        <v>392</v>
      </c>
      <c r="F1279" s="59">
        <v>42807</v>
      </c>
      <c r="G1279" s="15">
        <f t="shared" si="39"/>
        <v>392</v>
      </c>
      <c r="H1279" s="15">
        <f t="shared" si="40"/>
        <v>0</v>
      </c>
      <c r="I1279" s="19"/>
    </row>
    <row r="1280" spans="1:9" ht="15.75" x14ac:dyDescent="0.25">
      <c r="A1280" s="51">
        <v>42805</v>
      </c>
      <c r="B1280" s="52" t="s">
        <v>9074</v>
      </c>
      <c r="C1280" s="18">
        <v>104058</v>
      </c>
      <c r="D1280" s="2" t="s">
        <v>523</v>
      </c>
      <c r="E1280" s="15">
        <v>27108.400000000001</v>
      </c>
      <c r="F1280" s="59">
        <v>42816</v>
      </c>
      <c r="G1280" s="15">
        <f t="shared" si="39"/>
        <v>27108.400000000001</v>
      </c>
      <c r="H1280" s="15">
        <f t="shared" si="40"/>
        <v>0</v>
      </c>
      <c r="I1280" s="19"/>
    </row>
    <row r="1281" spans="1:9" ht="15.75" x14ac:dyDescent="0.25">
      <c r="A1281" s="51">
        <v>42805</v>
      </c>
      <c r="B1281" s="52" t="s">
        <v>9075</v>
      </c>
      <c r="C1281" s="18">
        <v>104059</v>
      </c>
      <c r="D1281" s="2" t="s">
        <v>5352</v>
      </c>
      <c r="E1281" s="15">
        <v>9721.6</v>
      </c>
      <c r="F1281" s="59">
        <v>42805</v>
      </c>
      <c r="G1281" s="15">
        <f t="shared" si="39"/>
        <v>9721.6</v>
      </c>
      <c r="H1281" s="15">
        <f t="shared" si="40"/>
        <v>0</v>
      </c>
      <c r="I1281" s="19"/>
    </row>
    <row r="1282" spans="1:9" ht="15.75" x14ac:dyDescent="0.25">
      <c r="A1282" s="51">
        <v>42805</v>
      </c>
      <c r="B1282" s="52" t="s">
        <v>9076</v>
      </c>
      <c r="C1282" s="18">
        <v>104060</v>
      </c>
      <c r="D1282" s="2" t="s">
        <v>231</v>
      </c>
      <c r="E1282" s="15">
        <v>4132.88</v>
      </c>
      <c r="F1282" s="59">
        <v>42806</v>
      </c>
      <c r="G1282" s="15">
        <f t="shared" si="39"/>
        <v>4132.88</v>
      </c>
      <c r="H1282" s="15">
        <f t="shared" si="40"/>
        <v>0</v>
      </c>
      <c r="I1282" s="19"/>
    </row>
    <row r="1283" spans="1:9" ht="15.75" x14ac:dyDescent="0.25">
      <c r="A1283" s="51">
        <v>42805</v>
      </c>
      <c r="B1283" s="52" t="s">
        <v>9077</v>
      </c>
      <c r="C1283" s="18">
        <v>104061</v>
      </c>
      <c r="D1283" s="2" t="s">
        <v>509</v>
      </c>
      <c r="E1283" s="15">
        <v>20644.3</v>
      </c>
      <c r="F1283" s="59">
        <v>42823</v>
      </c>
      <c r="G1283" s="15">
        <f t="shared" si="39"/>
        <v>20644.3</v>
      </c>
      <c r="H1283" s="15">
        <f t="shared" si="40"/>
        <v>0</v>
      </c>
      <c r="I1283" s="19"/>
    </row>
    <row r="1284" spans="1:9" ht="15.75" x14ac:dyDescent="0.25">
      <c r="A1284" s="51">
        <v>42805</v>
      </c>
      <c r="B1284" s="52" t="s">
        <v>9078</v>
      </c>
      <c r="C1284" s="18">
        <v>104062</v>
      </c>
      <c r="D1284" s="2" t="s">
        <v>222</v>
      </c>
      <c r="E1284" s="15">
        <v>429940</v>
      </c>
      <c r="F1284" s="59">
        <v>42812</v>
      </c>
      <c r="G1284" s="15">
        <f t="shared" ref="G1284:G1347" si="41">E1284</f>
        <v>429940</v>
      </c>
      <c r="H1284" s="15">
        <f t="shared" ref="H1284:H1347" si="42">E1284-G1284</f>
        <v>0</v>
      </c>
      <c r="I1284" s="19"/>
    </row>
    <row r="1285" spans="1:9" ht="15.75" x14ac:dyDescent="0.25">
      <c r="A1285" s="51">
        <v>42805</v>
      </c>
      <c r="B1285" s="52" t="s">
        <v>9079</v>
      </c>
      <c r="C1285" s="18">
        <v>104063</v>
      </c>
      <c r="D1285" s="2" t="s">
        <v>222</v>
      </c>
      <c r="E1285" s="15">
        <v>437913</v>
      </c>
      <c r="F1285" s="59">
        <v>42807</v>
      </c>
      <c r="G1285" s="15">
        <f t="shared" si="41"/>
        <v>437913</v>
      </c>
      <c r="H1285" s="15">
        <f t="shared" si="42"/>
        <v>0</v>
      </c>
      <c r="I1285" s="19"/>
    </row>
    <row r="1286" spans="1:9" ht="15.75" x14ac:dyDescent="0.25">
      <c r="A1286" s="51">
        <v>42805</v>
      </c>
      <c r="B1286" s="52" t="s">
        <v>9080</v>
      </c>
      <c r="C1286" s="18">
        <v>104064</v>
      </c>
      <c r="D1286" s="2" t="s">
        <v>10</v>
      </c>
      <c r="E1286" s="15">
        <v>2962.8</v>
      </c>
      <c r="F1286" s="59">
        <v>42809</v>
      </c>
      <c r="G1286" s="15">
        <f t="shared" si="41"/>
        <v>2962.8</v>
      </c>
      <c r="H1286" s="15">
        <f t="shared" si="42"/>
        <v>0</v>
      </c>
      <c r="I1286" s="19"/>
    </row>
    <row r="1287" spans="1:9" ht="15.75" x14ac:dyDescent="0.25">
      <c r="A1287" s="51">
        <v>42805</v>
      </c>
      <c r="B1287" s="52" t="s">
        <v>9081</v>
      </c>
      <c r="C1287" s="18">
        <v>104065</v>
      </c>
      <c r="D1287" s="2" t="s">
        <v>19</v>
      </c>
      <c r="E1287" s="15">
        <v>1175</v>
      </c>
      <c r="F1287" s="59">
        <v>42806</v>
      </c>
      <c r="G1287" s="15">
        <f t="shared" si="41"/>
        <v>1175</v>
      </c>
      <c r="H1287" s="15">
        <f t="shared" si="42"/>
        <v>0</v>
      </c>
      <c r="I1287" s="19"/>
    </row>
    <row r="1288" spans="1:9" ht="15.75" x14ac:dyDescent="0.25">
      <c r="A1288" s="51">
        <v>42805</v>
      </c>
      <c r="B1288" s="52" t="s">
        <v>9082</v>
      </c>
      <c r="C1288" s="18">
        <v>104066</v>
      </c>
      <c r="D1288" s="2" t="s">
        <v>188</v>
      </c>
      <c r="E1288" s="15">
        <v>452.4</v>
      </c>
      <c r="F1288" s="59">
        <v>42807</v>
      </c>
      <c r="G1288" s="15">
        <f t="shared" si="41"/>
        <v>452.4</v>
      </c>
      <c r="H1288" s="15">
        <f t="shared" si="42"/>
        <v>0</v>
      </c>
      <c r="I1288" s="19"/>
    </row>
    <row r="1289" spans="1:9" ht="15.75" x14ac:dyDescent="0.25">
      <c r="A1289" s="51">
        <v>42805</v>
      </c>
      <c r="B1289" s="52" t="s">
        <v>9083</v>
      </c>
      <c r="C1289" s="18">
        <v>104067</v>
      </c>
      <c r="D1289" s="2" t="s">
        <v>331</v>
      </c>
      <c r="E1289" s="15">
        <v>1699.2</v>
      </c>
      <c r="F1289" s="59">
        <v>42807</v>
      </c>
      <c r="G1289" s="15">
        <f t="shared" si="41"/>
        <v>1699.2</v>
      </c>
      <c r="H1289" s="15">
        <f t="shared" si="42"/>
        <v>0</v>
      </c>
      <c r="I1289" s="19"/>
    </row>
    <row r="1290" spans="1:9" ht="15.75" x14ac:dyDescent="0.25">
      <c r="A1290" s="51">
        <v>42805</v>
      </c>
      <c r="B1290" s="52" t="s">
        <v>9084</v>
      </c>
      <c r="C1290" s="18">
        <v>104068</v>
      </c>
      <c r="D1290" s="2" t="s">
        <v>30</v>
      </c>
      <c r="E1290" s="15">
        <v>537.6</v>
      </c>
      <c r="F1290" s="59">
        <v>42807</v>
      </c>
      <c r="G1290" s="15">
        <f t="shared" si="41"/>
        <v>537.6</v>
      </c>
      <c r="H1290" s="15">
        <f t="shared" si="42"/>
        <v>0</v>
      </c>
      <c r="I1290" s="19"/>
    </row>
    <row r="1291" spans="1:9" ht="15.75" x14ac:dyDescent="0.25">
      <c r="A1291" s="51">
        <v>42805</v>
      </c>
      <c r="B1291" s="52" t="s">
        <v>9085</v>
      </c>
      <c r="C1291" s="18">
        <v>104069</v>
      </c>
      <c r="D1291" s="2" t="s">
        <v>457</v>
      </c>
      <c r="E1291" s="15">
        <v>1374</v>
      </c>
      <c r="F1291" s="59">
        <v>42805</v>
      </c>
      <c r="G1291" s="15">
        <f t="shared" si="41"/>
        <v>1374</v>
      </c>
      <c r="H1291" s="15">
        <f t="shared" si="42"/>
        <v>0</v>
      </c>
      <c r="I1291" s="19"/>
    </row>
    <row r="1292" spans="1:9" ht="15.75" x14ac:dyDescent="0.25">
      <c r="A1292" s="51">
        <v>42805</v>
      </c>
      <c r="B1292" s="52" t="s">
        <v>9086</v>
      </c>
      <c r="C1292" s="18">
        <v>104070</v>
      </c>
      <c r="D1292" s="2" t="s">
        <v>10</v>
      </c>
      <c r="E1292" s="15">
        <v>115606.68</v>
      </c>
      <c r="F1292" s="59">
        <v>42809</v>
      </c>
      <c r="G1292" s="15">
        <f t="shared" si="41"/>
        <v>115606.68</v>
      </c>
      <c r="H1292" s="15">
        <f t="shared" si="42"/>
        <v>0</v>
      </c>
      <c r="I1292" s="19"/>
    </row>
    <row r="1293" spans="1:9" ht="15.75" x14ac:dyDescent="0.25">
      <c r="A1293" s="51">
        <v>42805</v>
      </c>
      <c r="B1293" s="52" t="s">
        <v>9087</v>
      </c>
      <c r="C1293" s="18">
        <v>104071</v>
      </c>
      <c r="D1293" s="2" t="s">
        <v>182</v>
      </c>
      <c r="E1293" s="15">
        <v>2815.2</v>
      </c>
      <c r="F1293" s="59">
        <v>42808</v>
      </c>
      <c r="G1293" s="15">
        <f t="shared" si="41"/>
        <v>2815.2</v>
      </c>
      <c r="H1293" s="15">
        <f t="shared" si="42"/>
        <v>0</v>
      </c>
      <c r="I1293" s="19"/>
    </row>
    <row r="1294" spans="1:9" ht="15.75" x14ac:dyDescent="0.25">
      <c r="A1294" s="51">
        <v>42805</v>
      </c>
      <c r="B1294" s="52" t="s">
        <v>9088</v>
      </c>
      <c r="C1294" s="18">
        <v>104072</v>
      </c>
      <c r="D1294" s="2" t="s">
        <v>3425</v>
      </c>
      <c r="E1294" s="15">
        <v>1074.5</v>
      </c>
      <c r="F1294" s="59">
        <v>42805</v>
      </c>
      <c r="G1294" s="15">
        <f t="shared" si="41"/>
        <v>1074.5</v>
      </c>
      <c r="H1294" s="15">
        <f t="shared" si="42"/>
        <v>0</v>
      </c>
      <c r="I1294" s="19"/>
    </row>
    <row r="1295" spans="1:9" ht="15.75" x14ac:dyDescent="0.25">
      <c r="A1295" s="51">
        <v>42805</v>
      </c>
      <c r="B1295" s="52" t="s">
        <v>9089</v>
      </c>
      <c r="C1295" s="18">
        <v>104073</v>
      </c>
      <c r="D1295" s="2" t="s">
        <v>139</v>
      </c>
      <c r="E1295" s="15">
        <v>1656</v>
      </c>
      <c r="F1295" s="59">
        <v>42805</v>
      </c>
      <c r="G1295" s="15">
        <f t="shared" si="41"/>
        <v>1656</v>
      </c>
      <c r="H1295" s="15">
        <f t="shared" si="42"/>
        <v>0</v>
      </c>
      <c r="I1295" s="19"/>
    </row>
    <row r="1296" spans="1:9" ht="15.75" x14ac:dyDescent="0.25">
      <c r="A1296" s="51">
        <v>42805</v>
      </c>
      <c r="B1296" s="52" t="s">
        <v>9090</v>
      </c>
      <c r="C1296" s="18">
        <v>104074</v>
      </c>
      <c r="D1296" s="13" t="s">
        <v>7147</v>
      </c>
      <c r="E1296" s="14">
        <v>0</v>
      </c>
      <c r="F1296" s="102" t="s">
        <v>95</v>
      </c>
      <c r="G1296" s="14">
        <f t="shared" si="41"/>
        <v>0</v>
      </c>
      <c r="H1296" s="14">
        <f t="shared" si="42"/>
        <v>0</v>
      </c>
      <c r="I1296" s="19"/>
    </row>
    <row r="1297" spans="1:9" ht="15.75" x14ac:dyDescent="0.25">
      <c r="A1297" s="51">
        <v>42805</v>
      </c>
      <c r="B1297" s="52" t="s">
        <v>9091</v>
      </c>
      <c r="C1297" s="18">
        <v>104075</v>
      </c>
      <c r="D1297" s="2" t="s">
        <v>7147</v>
      </c>
      <c r="E1297" s="15">
        <v>13178</v>
      </c>
      <c r="F1297" s="59">
        <v>42806</v>
      </c>
      <c r="G1297" s="15">
        <f t="shared" si="41"/>
        <v>13178</v>
      </c>
      <c r="H1297" s="15">
        <f t="shared" si="42"/>
        <v>0</v>
      </c>
      <c r="I1297" s="19"/>
    </row>
    <row r="1298" spans="1:9" ht="15.75" x14ac:dyDescent="0.25">
      <c r="A1298" s="51">
        <v>42805</v>
      </c>
      <c r="B1298" s="52" t="s">
        <v>9092</v>
      </c>
      <c r="C1298" s="18">
        <v>104076</v>
      </c>
      <c r="D1298" s="2" t="s">
        <v>430</v>
      </c>
      <c r="E1298" s="15">
        <v>2108</v>
      </c>
      <c r="F1298" s="59">
        <v>42806</v>
      </c>
      <c r="G1298" s="15">
        <f t="shared" si="41"/>
        <v>2108</v>
      </c>
      <c r="H1298" s="15">
        <f t="shared" si="42"/>
        <v>0</v>
      </c>
      <c r="I1298" s="19"/>
    </row>
    <row r="1299" spans="1:9" ht="15.75" x14ac:dyDescent="0.25">
      <c r="A1299" s="51">
        <v>42805</v>
      </c>
      <c r="B1299" s="52" t="s">
        <v>9093</v>
      </c>
      <c r="C1299" s="18">
        <v>104077</v>
      </c>
      <c r="D1299" s="2" t="s">
        <v>10</v>
      </c>
      <c r="E1299" s="15">
        <v>248366.6</v>
      </c>
      <c r="F1299" s="59">
        <v>42809</v>
      </c>
      <c r="G1299" s="15">
        <f t="shared" si="41"/>
        <v>248366.6</v>
      </c>
      <c r="H1299" s="15">
        <f t="shared" si="42"/>
        <v>0</v>
      </c>
      <c r="I1299" s="19"/>
    </row>
    <row r="1300" spans="1:9" ht="15.75" x14ac:dyDescent="0.25">
      <c r="A1300" s="51">
        <v>42805</v>
      </c>
      <c r="B1300" s="52" t="s">
        <v>9094</v>
      </c>
      <c r="C1300" s="18">
        <v>104078</v>
      </c>
      <c r="D1300" s="2" t="s">
        <v>921</v>
      </c>
      <c r="E1300" s="15">
        <v>6279</v>
      </c>
      <c r="F1300" s="59">
        <v>42806</v>
      </c>
      <c r="G1300" s="15">
        <f t="shared" si="41"/>
        <v>6279</v>
      </c>
      <c r="H1300" s="15">
        <f t="shared" si="42"/>
        <v>0</v>
      </c>
      <c r="I1300" s="19"/>
    </row>
    <row r="1301" spans="1:9" ht="15.75" x14ac:dyDescent="0.25">
      <c r="A1301" s="51">
        <v>42805</v>
      </c>
      <c r="B1301" s="52" t="s">
        <v>9095</v>
      </c>
      <c r="C1301" s="18">
        <v>104079</v>
      </c>
      <c r="D1301" s="2" t="s">
        <v>10</v>
      </c>
      <c r="E1301" s="15">
        <v>64065.5</v>
      </c>
      <c r="F1301" s="64" t="s">
        <v>9096</v>
      </c>
      <c r="G1301" s="20">
        <f>30196.44+33869.06</f>
        <v>64065.5</v>
      </c>
      <c r="H1301" s="20">
        <f t="shared" si="42"/>
        <v>0</v>
      </c>
      <c r="I1301" s="19"/>
    </row>
    <row r="1302" spans="1:9" ht="15.75" x14ac:dyDescent="0.25">
      <c r="A1302" s="51">
        <v>42806</v>
      </c>
      <c r="B1302" s="52" t="s">
        <v>9097</v>
      </c>
      <c r="C1302" s="18">
        <v>104080</v>
      </c>
      <c r="D1302" s="2" t="s">
        <v>231</v>
      </c>
      <c r="E1302" s="15">
        <v>5817.6</v>
      </c>
      <c r="F1302" s="59">
        <v>42807</v>
      </c>
      <c r="G1302" s="15">
        <f t="shared" si="41"/>
        <v>5817.6</v>
      </c>
      <c r="H1302" s="15">
        <f t="shared" si="42"/>
        <v>0</v>
      </c>
      <c r="I1302" s="19"/>
    </row>
    <row r="1303" spans="1:9" ht="15.75" x14ac:dyDescent="0.25">
      <c r="A1303" s="51">
        <v>42806</v>
      </c>
      <c r="B1303" s="52" t="s">
        <v>9098</v>
      </c>
      <c r="C1303" s="18">
        <v>104081</v>
      </c>
      <c r="D1303" s="2" t="s">
        <v>17</v>
      </c>
      <c r="E1303" s="15">
        <v>4935</v>
      </c>
      <c r="F1303" s="59">
        <v>42806</v>
      </c>
      <c r="G1303" s="15">
        <f t="shared" si="41"/>
        <v>4935</v>
      </c>
      <c r="H1303" s="15">
        <f t="shared" si="42"/>
        <v>0</v>
      </c>
      <c r="I1303" s="19"/>
    </row>
    <row r="1304" spans="1:9" ht="15.75" x14ac:dyDescent="0.25">
      <c r="A1304" s="51">
        <v>42806</v>
      </c>
      <c r="B1304" s="52" t="s">
        <v>9099</v>
      </c>
      <c r="C1304" s="18">
        <v>104082</v>
      </c>
      <c r="D1304" s="2" t="s">
        <v>1925</v>
      </c>
      <c r="E1304" s="15">
        <v>462</v>
      </c>
      <c r="F1304" s="59">
        <v>42806</v>
      </c>
      <c r="G1304" s="15">
        <f t="shared" si="41"/>
        <v>462</v>
      </c>
      <c r="H1304" s="15">
        <f t="shared" si="42"/>
        <v>0</v>
      </c>
      <c r="I1304" s="19"/>
    </row>
    <row r="1305" spans="1:9" ht="15.75" x14ac:dyDescent="0.25">
      <c r="A1305" s="51">
        <v>42806</v>
      </c>
      <c r="B1305" s="52" t="s">
        <v>9100</v>
      </c>
      <c r="C1305" s="18">
        <v>104083</v>
      </c>
      <c r="D1305" s="2" t="s">
        <v>26</v>
      </c>
      <c r="E1305" s="15">
        <v>30324.3</v>
      </c>
      <c r="F1305" s="59">
        <v>42806</v>
      </c>
      <c r="G1305" s="15">
        <f t="shared" si="41"/>
        <v>30324.3</v>
      </c>
      <c r="H1305" s="15">
        <f t="shared" si="42"/>
        <v>0</v>
      </c>
      <c r="I1305" s="19"/>
    </row>
    <row r="1306" spans="1:9" ht="15.75" x14ac:dyDescent="0.25">
      <c r="A1306" s="51">
        <v>42806</v>
      </c>
      <c r="B1306" s="52" t="s">
        <v>9101</v>
      </c>
      <c r="C1306" s="18">
        <v>104084</v>
      </c>
      <c r="D1306" s="2" t="s">
        <v>28</v>
      </c>
      <c r="E1306" s="15">
        <v>4609.6000000000004</v>
      </c>
      <c r="F1306" s="59">
        <v>42806</v>
      </c>
      <c r="G1306" s="15">
        <f t="shared" si="41"/>
        <v>4609.6000000000004</v>
      </c>
      <c r="H1306" s="15">
        <f t="shared" si="42"/>
        <v>0</v>
      </c>
      <c r="I1306" s="19"/>
    </row>
    <row r="1307" spans="1:9" ht="15.75" x14ac:dyDescent="0.25">
      <c r="A1307" s="51">
        <v>42806</v>
      </c>
      <c r="B1307" s="52" t="s">
        <v>9102</v>
      </c>
      <c r="C1307" s="18">
        <v>104085</v>
      </c>
      <c r="D1307" s="2" t="s">
        <v>974</v>
      </c>
      <c r="E1307" s="15">
        <v>11928.6</v>
      </c>
      <c r="F1307" s="59">
        <v>42806</v>
      </c>
      <c r="G1307" s="15">
        <f t="shared" si="41"/>
        <v>11928.6</v>
      </c>
      <c r="H1307" s="15">
        <f t="shared" si="42"/>
        <v>0</v>
      </c>
      <c r="I1307" s="19"/>
    </row>
    <row r="1308" spans="1:9" ht="15.75" x14ac:dyDescent="0.25">
      <c r="A1308" s="51">
        <v>42806</v>
      </c>
      <c r="B1308" s="52" t="s">
        <v>9103</v>
      </c>
      <c r="C1308" s="18">
        <v>104086</v>
      </c>
      <c r="D1308" s="2" t="s">
        <v>231</v>
      </c>
      <c r="E1308" s="15">
        <v>37105.199999999997</v>
      </c>
      <c r="F1308" s="59">
        <v>42807</v>
      </c>
      <c r="G1308" s="15">
        <f t="shared" si="41"/>
        <v>37105.199999999997</v>
      </c>
      <c r="H1308" s="15">
        <f t="shared" si="42"/>
        <v>0</v>
      </c>
      <c r="I1308" s="19"/>
    </row>
    <row r="1309" spans="1:9" ht="15.75" x14ac:dyDescent="0.25">
      <c r="A1309" s="51">
        <v>42806</v>
      </c>
      <c r="B1309" s="52" t="s">
        <v>9104</v>
      </c>
      <c r="C1309" s="18">
        <v>104087</v>
      </c>
      <c r="D1309" s="2" t="s">
        <v>67</v>
      </c>
      <c r="E1309" s="15">
        <v>13910.4</v>
      </c>
      <c r="F1309" s="59">
        <v>42806</v>
      </c>
      <c r="G1309" s="15">
        <f t="shared" si="41"/>
        <v>13910.4</v>
      </c>
      <c r="H1309" s="15">
        <f t="shared" si="42"/>
        <v>0</v>
      </c>
      <c r="I1309" s="19"/>
    </row>
    <row r="1310" spans="1:9" ht="15.75" x14ac:dyDescent="0.25">
      <c r="A1310" s="51">
        <v>42806</v>
      </c>
      <c r="B1310" s="52" t="s">
        <v>9105</v>
      </c>
      <c r="C1310" s="18">
        <v>104088</v>
      </c>
      <c r="D1310" s="13" t="s">
        <v>264</v>
      </c>
      <c r="E1310" s="14">
        <v>0</v>
      </c>
      <c r="F1310" s="102" t="s">
        <v>95</v>
      </c>
      <c r="G1310" s="14">
        <f t="shared" si="41"/>
        <v>0</v>
      </c>
      <c r="H1310" s="14">
        <f t="shared" si="42"/>
        <v>0</v>
      </c>
      <c r="I1310" s="19"/>
    </row>
    <row r="1311" spans="1:9" ht="15.75" x14ac:dyDescent="0.25">
      <c r="A1311" s="51">
        <v>42806</v>
      </c>
      <c r="B1311" s="52" t="s">
        <v>9106</v>
      </c>
      <c r="C1311" s="18">
        <v>104089</v>
      </c>
      <c r="D1311" s="2" t="s">
        <v>8294</v>
      </c>
      <c r="E1311" s="15">
        <v>1886</v>
      </c>
      <c r="F1311" s="59">
        <v>42806</v>
      </c>
      <c r="G1311" s="15">
        <f t="shared" si="41"/>
        <v>1886</v>
      </c>
      <c r="H1311" s="15">
        <f t="shared" si="42"/>
        <v>0</v>
      </c>
      <c r="I1311" s="19"/>
    </row>
    <row r="1312" spans="1:9" ht="15.75" x14ac:dyDescent="0.25">
      <c r="A1312" s="51">
        <v>42806</v>
      </c>
      <c r="B1312" s="52" t="s">
        <v>9107</v>
      </c>
      <c r="C1312" s="18">
        <v>104090</v>
      </c>
      <c r="D1312" s="2" t="s">
        <v>30</v>
      </c>
      <c r="E1312" s="15">
        <v>2744.5</v>
      </c>
      <c r="F1312" s="59">
        <v>42806</v>
      </c>
      <c r="G1312" s="15">
        <f t="shared" si="41"/>
        <v>2744.5</v>
      </c>
      <c r="H1312" s="15">
        <f t="shared" si="42"/>
        <v>0</v>
      </c>
      <c r="I1312" s="19"/>
    </row>
    <row r="1313" spans="1:9" ht="15.75" x14ac:dyDescent="0.25">
      <c r="A1313" s="51">
        <v>42806</v>
      </c>
      <c r="B1313" s="52" t="s">
        <v>9108</v>
      </c>
      <c r="C1313" s="18">
        <v>104091</v>
      </c>
      <c r="D1313" s="2" t="s">
        <v>222</v>
      </c>
      <c r="E1313" s="15">
        <v>20552.5</v>
      </c>
      <c r="F1313" s="59">
        <v>42807</v>
      </c>
      <c r="G1313" s="15">
        <f t="shared" si="41"/>
        <v>20552.5</v>
      </c>
      <c r="H1313" s="15">
        <f t="shared" si="42"/>
        <v>0</v>
      </c>
      <c r="I1313" s="19"/>
    </row>
    <row r="1314" spans="1:9" ht="15.75" x14ac:dyDescent="0.25">
      <c r="A1314" s="51">
        <v>42806</v>
      </c>
      <c r="B1314" s="52" t="s">
        <v>9109</v>
      </c>
      <c r="C1314" s="18">
        <v>104092</v>
      </c>
      <c r="D1314" s="2" t="s">
        <v>9110</v>
      </c>
      <c r="E1314" s="15">
        <v>14184</v>
      </c>
      <c r="F1314" s="59">
        <v>42806</v>
      </c>
      <c r="G1314" s="15">
        <f t="shared" si="41"/>
        <v>14184</v>
      </c>
      <c r="H1314" s="15">
        <f t="shared" si="42"/>
        <v>0</v>
      </c>
      <c r="I1314" s="26"/>
    </row>
    <row r="1315" spans="1:9" ht="15.75" x14ac:dyDescent="0.25">
      <c r="A1315" s="51">
        <v>42806</v>
      </c>
      <c r="B1315" s="52" t="s">
        <v>9111</v>
      </c>
      <c r="C1315" s="18">
        <v>104093</v>
      </c>
      <c r="D1315" s="2" t="s">
        <v>21</v>
      </c>
      <c r="E1315" s="15">
        <v>45369</v>
      </c>
      <c r="F1315" s="59">
        <v>42825</v>
      </c>
      <c r="G1315" s="15">
        <f t="shared" si="41"/>
        <v>45369</v>
      </c>
      <c r="H1315" s="15">
        <f t="shared" si="42"/>
        <v>0</v>
      </c>
      <c r="I1315" s="19"/>
    </row>
    <row r="1316" spans="1:9" ht="15.75" x14ac:dyDescent="0.25">
      <c r="A1316" s="51">
        <v>42806</v>
      </c>
      <c r="B1316" s="52" t="s">
        <v>9112</v>
      </c>
      <c r="C1316" s="18">
        <v>104094</v>
      </c>
      <c r="D1316" s="2" t="s">
        <v>1645</v>
      </c>
      <c r="E1316" s="15">
        <v>1765.2</v>
      </c>
      <c r="F1316" s="59">
        <v>42806</v>
      </c>
      <c r="G1316" s="15">
        <f t="shared" si="41"/>
        <v>1765.2</v>
      </c>
      <c r="H1316" s="15">
        <f t="shared" si="42"/>
        <v>0</v>
      </c>
      <c r="I1316" s="19"/>
    </row>
    <row r="1317" spans="1:9" ht="15.75" x14ac:dyDescent="0.25">
      <c r="A1317" s="51">
        <v>42806</v>
      </c>
      <c r="B1317" s="52" t="s">
        <v>9113</v>
      </c>
      <c r="C1317" s="18">
        <v>104095</v>
      </c>
      <c r="D1317" s="2" t="s">
        <v>476</v>
      </c>
      <c r="E1317" s="15">
        <v>5224</v>
      </c>
      <c r="F1317" s="59">
        <v>42808</v>
      </c>
      <c r="G1317" s="15">
        <f t="shared" si="41"/>
        <v>5224</v>
      </c>
      <c r="H1317" s="15">
        <f t="shared" si="42"/>
        <v>0</v>
      </c>
      <c r="I1317" s="19"/>
    </row>
    <row r="1318" spans="1:9" ht="15.75" x14ac:dyDescent="0.25">
      <c r="A1318" s="51">
        <v>42806</v>
      </c>
      <c r="B1318" s="52" t="s">
        <v>9114</v>
      </c>
      <c r="C1318" s="18">
        <v>104096</v>
      </c>
      <c r="D1318" s="2" t="s">
        <v>12</v>
      </c>
      <c r="E1318" s="15">
        <v>2540</v>
      </c>
      <c r="F1318" s="59">
        <v>42806</v>
      </c>
      <c r="G1318" s="15">
        <f t="shared" si="41"/>
        <v>2540</v>
      </c>
      <c r="H1318" s="15">
        <f t="shared" si="42"/>
        <v>0</v>
      </c>
      <c r="I1318" s="19"/>
    </row>
    <row r="1319" spans="1:9" ht="15.75" x14ac:dyDescent="0.25">
      <c r="A1319" s="51">
        <v>42806</v>
      </c>
      <c r="B1319" s="52" t="s">
        <v>9115</v>
      </c>
      <c r="C1319" s="18">
        <v>104097</v>
      </c>
      <c r="D1319" s="2" t="s">
        <v>47</v>
      </c>
      <c r="E1319" s="15">
        <v>2961</v>
      </c>
      <c r="F1319" s="59">
        <v>42806</v>
      </c>
      <c r="G1319" s="15">
        <f t="shared" si="41"/>
        <v>2961</v>
      </c>
      <c r="H1319" s="15">
        <f t="shared" si="42"/>
        <v>0</v>
      </c>
      <c r="I1319" s="19"/>
    </row>
    <row r="1320" spans="1:9" ht="15.75" x14ac:dyDescent="0.25">
      <c r="A1320" s="51">
        <v>42806</v>
      </c>
      <c r="B1320" s="52" t="s">
        <v>9116</v>
      </c>
      <c r="C1320" s="18">
        <v>104098</v>
      </c>
      <c r="D1320" s="2" t="s">
        <v>321</v>
      </c>
      <c r="E1320" s="15">
        <v>237.6</v>
      </c>
      <c r="F1320" s="59">
        <v>42806</v>
      </c>
      <c r="G1320" s="15">
        <f t="shared" si="41"/>
        <v>237.6</v>
      </c>
      <c r="H1320" s="15">
        <f t="shared" si="42"/>
        <v>0</v>
      </c>
      <c r="I1320" s="19"/>
    </row>
    <row r="1321" spans="1:9" ht="15.75" x14ac:dyDescent="0.25">
      <c r="A1321" s="51">
        <v>42806</v>
      </c>
      <c r="B1321" s="52" t="s">
        <v>9117</v>
      </c>
      <c r="C1321" s="18">
        <v>104099</v>
      </c>
      <c r="D1321" s="2" t="s">
        <v>321</v>
      </c>
      <c r="E1321" s="15">
        <v>109.2</v>
      </c>
      <c r="F1321" s="59">
        <v>42806</v>
      </c>
      <c r="G1321" s="15">
        <f t="shared" si="41"/>
        <v>109.2</v>
      </c>
      <c r="H1321" s="15">
        <f t="shared" si="42"/>
        <v>0</v>
      </c>
      <c r="I1321" s="19"/>
    </row>
    <row r="1322" spans="1:9" ht="15.75" x14ac:dyDescent="0.25">
      <c r="A1322" s="51">
        <v>42806</v>
      </c>
      <c r="B1322" s="52" t="s">
        <v>9118</v>
      </c>
      <c r="C1322" s="18">
        <v>104100</v>
      </c>
      <c r="D1322" s="2" t="s">
        <v>151</v>
      </c>
      <c r="E1322" s="15">
        <v>21183.7</v>
      </c>
      <c r="F1322" s="59">
        <v>42806</v>
      </c>
      <c r="G1322" s="15">
        <f t="shared" si="41"/>
        <v>21183.7</v>
      </c>
      <c r="H1322" s="15">
        <f t="shared" si="42"/>
        <v>0</v>
      </c>
      <c r="I1322" s="19"/>
    </row>
    <row r="1323" spans="1:9" ht="15.75" x14ac:dyDescent="0.25">
      <c r="A1323" s="51">
        <v>42806</v>
      </c>
      <c r="B1323" s="52" t="s">
        <v>9119</v>
      </c>
      <c r="C1323" s="18">
        <v>104101</v>
      </c>
      <c r="D1323" s="2" t="s">
        <v>59</v>
      </c>
      <c r="E1323" s="15">
        <v>1686</v>
      </c>
      <c r="F1323" s="225">
        <v>42915</v>
      </c>
      <c r="G1323" s="226">
        <f t="shared" si="41"/>
        <v>1686</v>
      </c>
      <c r="H1323" s="15">
        <f t="shared" si="42"/>
        <v>0</v>
      </c>
      <c r="I1323" s="19"/>
    </row>
    <row r="1324" spans="1:9" ht="15.75" x14ac:dyDescent="0.25">
      <c r="A1324" s="51">
        <v>42806</v>
      </c>
      <c r="B1324" s="52" t="s">
        <v>9120</v>
      </c>
      <c r="C1324" s="18">
        <v>104102</v>
      </c>
      <c r="D1324" s="2" t="s">
        <v>298</v>
      </c>
      <c r="E1324" s="15">
        <v>3744.4</v>
      </c>
      <c r="F1324" s="59">
        <v>42806</v>
      </c>
      <c r="G1324" s="15">
        <f t="shared" si="41"/>
        <v>3744.4</v>
      </c>
      <c r="H1324" s="15">
        <f t="shared" si="42"/>
        <v>0</v>
      </c>
      <c r="I1324" s="19"/>
    </row>
    <row r="1325" spans="1:9" ht="15.75" x14ac:dyDescent="0.25">
      <c r="A1325" s="51">
        <v>42806</v>
      </c>
      <c r="B1325" s="52" t="s">
        <v>9121</v>
      </c>
      <c r="C1325" s="18">
        <v>104103</v>
      </c>
      <c r="D1325" s="2" t="s">
        <v>240</v>
      </c>
      <c r="E1325" s="15">
        <v>5064.2</v>
      </c>
      <c r="F1325" s="59">
        <v>42806</v>
      </c>
      <c r="G1325" s="15">
        <f t="shared" si="41"/>
        <v>5064.2</v>
      </c>
      <c r="H1325" s="15">
        <f t="shared" si="42"/>
        <v>0</v>
      </c>
      <c r="I1325" s="19"/>
    </row>
    <row r="1326" spans="1:9" ht="15.75" x14ac:dyDescent="0.25">
      <c r="A1326" s="51">
        <v>42806</v>
      </c>
      <c r="B1326" s="52" t="s">
        <v>9122</v>
      </c>
      <c r="C1326" s="18">
        <v>104104</v>
      </c>
      <c r="D1326" s="2" t="s">
        <v>1126</v>
      </c>
      <c r="E1326" s="15">
        <v>14429.6</v>
      </c>
      <c r="F1326" s="59">
        <v>42806</v>
      </c>
      <c r="G1326" s="15">
        <f t="shared" si="41"/>
        <v>14429.6</v>
      </c>
      <c r="H1326" s="15">
        <f t="shared" si="42"/>
        <v>0</v>
      </c>
      <c r="I1326" s="19"/>
    </row>
    <row r="1327" spans="1:9" ht="15.75" x14ac:dyDescent="0.25">
      <c r="A1327" s="51">
        <v>42806</v>
      </c>
      <c r="B1327" s="52" t="s">
        <v>9123</v>
      </c>
      <c r="C1327" s="18">
        <v>104105</v>
      </c>
      <c r="D1327" s="2" t="s">
        <v>1116</v>
      </c>
      <c r="E1327" s="15">
        <v>5384.2</v>
      </c>
      <c r="F1327" s="59">
        <v>42807</v>
      </c>
      <c r="G1327" s="15">
        <f t="shared" si="41"/>
        <v>5384.2</v>
      </c>
      <c r="H1327" s="15">
        <f t="shared" si="42"/>
        <v>0</v>
      </c>
      <c r="I1327" s="19"/>
    </row>
    <row r="1328" spans="1:9" ht="15.75" x14ac:dyDescent="0.25">
      <c r="A1328" s="51">
        <v>42806</v>
      </c>
      <c r="B1328" s="52" t="s">
        <v>9124</v>
      </c>
      <c r="C1328" s="18">
        <v>104106</v>
      </c>
      <c r="D1328" s="2" t="s">
        <v>1116</v>
      </c>
      <c r="E1328" s="15">
        <v>686</v>
      </c>
      <c r="F1328" s="59">
        <v>42808</v>
      </c>
      <c r="G1328" s="15">
        <f t="shared" si="41"/>
        <v>686</v>
      </c>
      <c r="H1328" s="15">
        <f t="shared" si="42"/>
        <v>0</v>
      </c>
      <c r="I1328" s="19"/>
    </row>
    <row r="1329" spans="1:9" ht="15.75" x14ac:dyDescent="0.25">
      <c r="A1329" s="51">
        <v>42806</v>
      </c>
      <c r="B1329" s="52" t="s">
        <v>9125</v>
      </c>
      <c r="C1329" s="18">
        <v>104107</v>
      </c>
      <c r="D1329" s="2" t="s">
        <v>457</v>
      </c>
      <c r="E1329" s="15">
        <v>5198.28</v>
      </c>
      <c r="F1329" s="59">
        <v>42806</v>
      </c>
      <c r="G1329" s="15">
        <f t="shared" si="41"/>
        <v>5198.28</v>
      </c>
      <c r="H1329" s="15">
        <f t="shared" si="42"/>
        <v>0</v>
      </c>
      <c r="I1329" s="19"/>
    </row>
    <row r="1330" spans="1:9" ht="15.75" x14ac:dyDescent="0.25">
      <c r="A1330" s="51">
        <v>42806</v>
      </c>
      <c r="B1330" s="52" t="s">
        <v>9126</v>
      </c>
      <c r="C1330" s="18">
        <v>104108</v>
      </c>
      <c r="D1330" s="2" t="s">
        <v>14</v>
      </c>
      <c r="E1330" s="15">
        <v>8615.6</v>
      </c>
      <c r="F1330" s="59">
        <v>42806</v>
      </c>
      <c r="G1330" s="15">
        <f t="shared" si="41"/>
        <v>8615.6</v>
      </c>
      <c r="H1330" s="15">
        <f t="shared" si="42"/>
        <v>0</v>
      </c>
      <c r="I1330" s="19"/>
    </row>
    <row r="1331" spans="1:9" ht="15.75" x14ac:dyDescent="0.25">
      <c r="A1331" s="51">
        <v>42806</v>
      </c>
      <c r="B1331" s="52" t="s">
        <v>9127</v>
      </c>
      <c r="C1331" s="18">
        <v>104109</v>
      </c>
      <c r="D1331" s="2" t="s">
        <v>432</v>
      </c>
      <c r="E1331" s="15">
        <v>240</v>
      </c>
      <c r="F1331" s="59">
        <v>42806</v>
      </c>
      <c r="G1331" s="15">
        <f t="shared" si="41"/>
        <v>240</v>
      </c>
      <c r="H1331" s="15">
        <f t="shared" si="42"/>
        <v>0</v>
      </c>
      <c r="I1331" s="19"/>
    </row>
    <row r="1332" spans="1:9" ht="15.75" x14ac:dyDescent="0.25">
      <c r="A1332" s="51">
        <v>42806</v>
      </c>
      <c r="B1332" s="52" t="s">
        <v>9128</v>
      </c>
      <c r="C1332" s="18">
        <v>104110</v>
      </c>
      <c r="D1332" s="2" t="s">
        <v>432</v>
      </c>
      <c r="E1332" s="15">
        <v>96</v>
      </c>
      <c r="F1332" s="59">
        <v>42806</v>
      </c>
      <c r="G1332" s="15">
        <f t="shared" si="41"/>
        <v>96</v>
      </c>
      <c r="H1332" s="15">
        <f t="shared" si="42"/>
        <v>0</v>
      </c>
      <c r="I1332" s="19"/>
    </row>
    <row r="1333" spans="1:9" ht="15.75" x14ac:dyDescent="0.25">
      <c r="A1333" s="51">
        <v>42806</v>
      </c>
      <c r="B1333" s="52" t="s">
        <v>9129</v>
      </c>
      <c r="C1333" s="18">
        <v>104111</v>
      </c>
      <c r="D1333" s="2" t="s">
        <v>111</v>
      </c>
      <c r="E1333" s="15">
        <v>2975.4</v>
      </c>
      <c r="F1333" s="59">
        <v>42806</v>
      </c>
      <c r="G1333" s="15">
        <f t="shared" si="41"/>
        <v>2975.4</v>
      </c>
      <c r="H1333" s="15">
        <f t="shared" si="42"/>
        <v>0</v>
      </c>
      <c r="I1333" s="19"/>
    </row>
    <row r="1334" spans="1:9" ht="15.75" x14ac:dyDescent="0.25">
      <c r="A1334" s="51">
        <v>42806</v>
      </c>
      <c r="B1334" s="52" t="s">
        <v>9130</v>
      </c>
      <c r="C1334" s="18">
        <v>104112</v>
      </c>
      <c r="D1334" s="2" t="s">
        <v>115</v>
      </c>
      <c r="E1334" s="15">
        <v>3527.2</v>
      </c>
      <c r="F1334" s="59">
        <v>42806</v>
      </c>
      <c r="G1334" s="15">
        <f t="shared" si="41"/>
        <v>3527.2</v>
      </c>
      <c r="H1334" s="15">
        <f t="shared" si="42"/>
        <v>0</v>
      </c>
      <c r="I1334" s="19"/>
    </row>
    <row r="1335" spans="1:9" ht="15.75" x14ac:dyDescent="0.25">
      <c r="A1335" s="51">
        <v>42806</v>
      </c>
      <c r="B1335" s="52" t="s">
        <v>9131</v>
      </c>
      <c r="C1335" s="18">
        <v>104113</v>
      </c>
      <c r="D1335" s="2" t="s">
        <v>168</v>
      </c>
      <c r="E1335" s="15">
        <v>283.2</v>
      </c>
      <c r="F1335" s="59">
        <v>42806</v>
      </c>
      <c r="G1335" s="15">
        <f t="shared" si="41"/>
        <v>283.2</v>
      </c>
      <c r="H1335" s="15">
        <f t="shared" si="42"/>
        <v>0</v>
      </c>
      <c r="I1335" s="19"/>
    </row>
    <row r="1336" spans="1:9" ht="15.75" x14ac:dyDescent="0.25">
      <c r="A1336" s="51">
        <v>42806</v>
      </c>
      <c r="B1336" s="52" t="s">
        <v>9132</v>
      </c>
      <c r="C1336" s="18">
        <v>104114</v>
      </c>
      <c r="D1336" s="2" t="s">
        <v>149</v>
      </c>
      <c r="E1336" s="15">
        <v>1129.2</v>
      </c>
      <c r="F1336" s="59">
        <v>42806</v>
      </c>
      <c r="G1336" s="15">
        <f t="shared" si="41"/>
        <v>1129.2</v>
      </c>
      <c r="H1336" s="15">
        <f t="shared" si="42"/>
        <v>0</v>
      </c>
      <c r="I1336" s="19"/>
    </row>
    <row r="1337" spans="1:9" ht="15.75" x14ac:dyDescent="0.25">
      <c r="A1337" s="51">
        <v>42806</v>
      </c>
      <c r="B1337" s="52" t="s">
        <v>9133</v>
      </c>
      <c r="C1337" s="18">
        <v>104115</v>
      </c>
      <c r="D1337" s="2" t="s">
        <v>85</v>
      </c>
      <c r="E1337" s="15">
        <v>13345.9</v>
      </c>
      <c r="F1337" s="64" t="s">
        <v>9134</v>
      </c>
      <c r="G1337" s="20">
        <f>3000+10345.9</f>
        <v>13345.9</v>
      </c>
      <c r="H1337" s="20">
        <f t="shared" si="42"/>
        <v>0</v>
      </c>
      <c r="I1337" s="19"/>
    </row>
    <row r="1338" spans="1:9" ht="15.75" x14ac:dyDescent="0.25">
      <c r="A1338" s="51">
        <v>42806</v>
      </c>
      <c r="B1338" s="52" t="s">
        <v>9135</v>
      </c>
      <c r="C1338" s="18">
        <v>104116</v>
      </c>
      <c r="D1338" s="2" t="s">
        <v>109</v>
      </c>
      <c r="E1338" s="15">
        <v>3949.4</v>
      </c>
      <c r="F1338" s="59">
        <v>42807</v>
      </c>
      <c r="G1338" s="15">
        <f t="shared" si="41"/>
        <v>3949.4</v>
      </c>
      <c r="H1338" s="15">
        <f t="shared" si="42"/>
        <v>0</v>
      </c>
      <c r="I1338" s="19"/>
    </row>
    <row r="1339" spans="1:9" ht="15.75" x14ac:dyDescent="0.25">
      <c r="A1339" s="51">
        <v>42806</v>
      </c>
      <c r="B1339" s="52" t="s">
        <v>9136</v>
      </c>
      <c r="C1339" s="18">
        <v>104117</v>
      </c>
      <c r="D1339" s="2" t="s">
        <v>480</v>
      </c>
      <c r="E1339" s="15">
        <v>1837.38</v>
      </c>
      <c r="F1339" s="59">
        <v>42807</v>
      </c>
      <c r="G1339" s="15">
        <f t="shared" si="41"/>
        <v>1837.38</v>
      </c>
      <c r="H1339" s="15">
        <f t="shared" si="42"/>
        <v>0</v>
      </c>
      <c r="I1339" s="19"/>
    </row>
    <row r="1340" spans="1:9" ht="15.75" x14ac:dyDescent="0.25">
      <c r="A1340" s="51">
        <v>42806</v>
      </c>
      <c r="B1340" s="52" t="s">
        <v>9137</v>
      </c>
      <c r="C1340" s="18">
        <v>104118</v>
      </c>
      <c r="D1340" s="2" t="s">
        <v>57</v>
      </c>
      <c r="E1340" s="15">
        <v>564</v>
      </c>
      <c r="F1340" s="59">
        <v>42807</v>
      </c>
      <c r="G1340" s="15">
        <f t="shared" si="41"/>
        <v>564</v>
      </c>
      <c r="H1340" s="15">
        <f t="shared" si="42"/>
        <v>0</v>
      </c>
      <c r="I1340" s="19"/>
    </row>
    <row r="1341" spans="1:9" ht="15.75" x14ac:dyDescent="0.25">
      <c r="A1341" s="51">
        <v>42806</v>
      </c>
      <c r="B1341" s="52" t="s">
        <v>9138</v>
      </c>
      <c r="C1341" s="18">
        <v>104119</v>
      </c>
      <c r="D1341" s="2" t="s">
        <v>101</v>
      </c>
      <c r="E1341" s="15">
        <v>705</v>
      </c>
      <c r="F1341" s="59">
        <v>42807</v>
      </c>
      <c r="G1341" s="15">
        <f t="shared" si="41"/>
        <v>705</v>
      </c>
      <c r="H1341" s="15">
        <f t="shared" si="42"/>
        <v>0</v>
      </c>
      <c r="I1341" s="19"/>
    </row>
    <row r="1342" spans="1:9" ht="15.75" x14ac:dyDescent="0.25">
      <c r="A1342" s="51">
        <v>42806</v>
      </c>
      <c r="B1342" s="52" t="s">
        <v>9139</v>
      </c>
      <c r="C1342" s="18">
        <v>104120</v>
      </c>
      <c r="D1342" s="2" t="s">
        <v>99</v>
      </c>
      <c r="E1342" s="15">
        <v>3290</v>
      </c>
      <c r="F1342" s="59">
        <v>42807</v>
      </c>
      <c r="G1342" s="15">
        <f t="shared" si="41"/>
        <v>3290</v>
      </c>
      <c r="H1342" s="15">
        <f t="shared" si="42"/>
        <v>0</v>
      </c>
      <c r="I1342" s="19"/>
    </row>
    <row r="1343" spans="1:9" ht="15.75" x14ac:dyDescent="0.25">
      <c r="A1343" s="51">
        <v>42806</v>
      </c>
      <c r="B1343" s="52" t="s">
        <v>9140</v>
      </c>
      <c r="C1343" s="18">
        <v>104121</v>
      </c>
      <c r="D1343" s="2" t="s">
        <v>88</v>
      </c>
      <c r="E1343" s="15">
        <v>1950.4</v>
      </c>
      <c r="F1343" s="59">
        <v>42807</v>
      </c>
      <c r="G1343" s="15">
        <f t="shared" si="41"/>
        <v>1950.4</v>
      </c>
      <c r="H1343" s="15">
        <f t="shared" si="42"/>
        <v>0</v>
      </c>
      <c r="I1343" s="19"/>
    </row>
    <row r="1344" spans="1:9" ht="15.75" x14ac:dyDescent="0.25">
      <c r="A1344" s="51">
        <v>42806</v>
      </c>
      <c r="B1344" s="52" t="s">
        <v>9141</v>
      </c>
      <c r="C1344" s="18">
        <v>104122</v>
      </c>
      <c r="D1344" s="2" t="s">
        <v>71</v>
      </c>
      <c r="E1344" s="15">
        <v>1858.5</v>
      </c>
      <c r="F1344" s="59">
        <v>42807</v>
      </c>
      <c r="G1344" s="15">
        <f t="shared" si="41"/>
        <v>1858.5</v>
      </c>
      <c r="H1344" s="15">
        <f t="shared" si="42"/>
        <v>0</v>
      </c>
      <c r="I1344" s="19"/>
    </row>
    <row r="1345" spans="1:9" ht="15.75" x14ac:dyDescent="0.25">
      <c r="A1345" s="51">
        <v>42806</v>
      </c>
      <c r="B1345" s="52" t="s">
        <v>9142</v>
      </c>
      <c r="C1345" s="18">
        <v>104123</v>
      </c>
      <c r="D1345" s="2" t="s">
        <v>613</v>
      </c>
      <c r="E1345" s="15">
        <v>5633.4</v>
      </c>
      <c r="F1345" s="59">
        <v>42807</v>
      </c>
      <c r="G1345" s="15">
        <f t="shared" si="41"/>
        <v>5633.4</v>
      </c>
      <c r="H1345" s="15">
        <f t="shared" si="42"/>
        <v>0</v>
      </c>
      <c r="I1345" s="19"/>
    </row>
    <row r="1346" spans="1:9" ht="15.75" x14ac:dyDescent="0.25">
      <c r="A1346" s="51">
        <v>42806</v>
      </c>
      <c r="B1346" s="52" t="s">
        <v>9143</v>
      </c>
      <c r="C1346" s="18">
        <v>104124</v>
      </c>
      <c r="D1346" s="2" t="s">
        <v>531</v>
      </c>
      <c r="E1346" s="15">
        <v>31739</v>
      </c>
      <c r="F1346" s="59">
        <v>42806</v>
      </c>
      <c r="G1346" s="15">
        <f t="shared" si="41"/>
        <v>31739</v>
      </c>
      <c r="H1346" s="15">
        <f t="shared" si="42"/>
        <v>0</v>
      </c>
      <c r="I1346" s="19"/>
    </row>
    <row r="1347" spans="1:9" ht="15.75" x14ac:dyDescent="0.25">
      <c r="A1347" s="51">
        <v>42806</v>
      </c>
      <c r="B1347" s="52" t="s">
        <v>9144</v>
      </c>
      <c r="C1347" s="18">
        <v>104125</v>
      </c>
      <c r="D1347" s="2" t="s">
        <v>81</v>
      </c>
      <c r="E1347" s="15">
        <v>17248.5</v>
      </c>
      <c r="F1347" s="59">
        <v>42807</v>
      </c>
      <c r="G1347" s="15">
        <f t="shared" si="41"/>
        <v>17248.5</v>
      </c>
      <c r="H1347" s="15">
        <f t="shared" si="42"/>
        <v>0</v>
      </c>
      <c r="I1347" s="19"/>
    </row>
    <row r="1348" spans="1:9" ht="15.75" x14ac:dyDescent="0.25">
      <c r="A1348" s="51">
        <v>42806</v>
      </c>
      <c r="B1348" s="52" t="s">
        <v>9145</v>
      </c>
      <c r="C1348" s="18">
        <v>104126</v>
      </c>
      <c r="D1348" s="2" t="s">
        <v>79</v>
      </c>
      <c r="E1348" s="15">
        <v>3259</v>
      </c>
      <c r="F1348" s="59">
        <v>42806</v>
      </c>
      <c r="G1348" s="15">
        <f t="shared" ref="G1348:G1411" si="43">E1348</f>
        <v>3259</v>
      </c>
      <c r="H1348" s="15">
        <f t="shared" ref="H1348:H1411" si="44">E1348-G1348</f>
        <v>0</v>
      </c>
      <c r="I1348" s="19"/>
    </row>
    <row r="1349" spans="1:9" ht="15.75" x14ac:dyDescent="0.25">
      <c r="A1349" s="51">
        <v>42806</v>
      </c>
      <c r="B1349" s="52" t="s">
        <v>9146</v>
      </c>
      <c r="C1349" s="18">
        <v>104127</v>
      </c>
      <c r="D1349" s="2" t="s">
        <v>305</v>
      </c>
      <c r="E1349" s="15">
        <v>4687.8999999999996</v>
      </c>
      <c r="F1349" s="59">
        <v>42806</v>
      </c>
      <c r="G1349" s="15">
        <f t="shared" si="43"/>
        <v>4687.8999999999996</v>
      </c>
      <c r="H1349" s="15">
        <f t="shared" si="44"/>
        <v>0</v>
      </c>
      <c r="I1349" s="19"/>
    </row>
    <row r="1350" spans="1:9" ht="15.75" x14ac:dyDescent="0.25">
      <c r="A1350" s="51">
        <v>42806</v>
      </c>
      <c r="B1350" s="52" t="s">
        <v>9147</v>
      </c>
      <c r="C1350" s="18">
        <v>104128</v>
      </c>
      <c r="D1350" s="2" t="s">
        <v>2986</v>
      </c>
      <c r="E1350" s="15">
        <v>1755</v>
      </c>
      <c r="F1350" s="59">
        <v>42806</v>
      </c>
      <c r="G1350" s="15">
        <f t="shared" si="43"/>
        <v>1755</v>
      </c>
      <c r="H1350" s="15">
        <f t="shared" si="44"/>
        <v>0</v>
      </c>
      <c r="I1350" s="19"/>
    </row>
    <row r="1351" spans="1:9" ht="15.75" x14ac:dyDescent="0.25">
      <c r="A1351" s="51">
        <v>42806</v>
      </c>
      <c r="B1351" s="52" t="s">
        <v>9148</v>
      </c>
      <c r="C1351" s="18">
        <v>104129</v>
      </c>
      <c r="D1351" s="2" t="s">
        <v>125</v>
      </c>
      <c r="E1351" s="15">
        <v>9275</v>
      </c>
      <c r="F1351" s="59">
        <v>42807</v>
      </c>
      <c r="G1351" s="15">
        <f t="shared" si="43"/>
        <v>9275</v>
      </c>
      <c r="H1351" s="15">
        <f t="shared" si="44"/>
        <v>0</v>
      </c>
      <c r="I1351" s="19"/>
    </row>
    <row r="1352" spans="1:9" ht="15.75" x14ac:dyDescent="0.25">
      <c r="A1352" s="51">
        <v>42806</v>
      </c>
      <c r="B1352" s="52" t="s">
        <v>9149</v>
      </c>
      <c r="C1352" s="18">
        <v>104130</v>
      </c>
      <c r="D1352" s="2" t="s">
        <v>141</v>
      </c>
      <c r="E1352" s="15">
        <v>10585.2</v>
      </c>
      <c r="F1352" s="59">
        <v>42807</v>
      </c>
      <c r="G1352" s="15">
        <f t="shared" si="43"/>
        <v>10585.2</v>
      </c>
      <c r="H1352" s="15">
        <f t="shared" si="44"/>
        <v>0</v>
      </c>
      <c r="I1352" s="19"/>
    </row>
    <row r="1353" spans="1:9" ht="15.75" x14ac:dyDescent="0.25">
      <c r="A1353" s="51">
        <v>42806</v>
      </c>
      <c r="B1353" s="52" t="s">
        <v>9150</v>
      </c>
      <c r="C1353" s="18">
        <v>104131</v>
      </c>
      <c r="D1353" s="2" t="s">
        <v>492</v>
      </c>
      <c r="E1353" s="15">
        <v>6019.2</v>
      </c>
      <c r="F1353" s="59">
        <v>42816</v>
      </c>
      <c r="G1353" s="15">
        <f t="shared" si="43"/>
        <v>6019.2</v>
      </c>
      <c r="H1353" s="15">
        <f t="shared" si="44"/>
        <v>0</v>
      </c>
      <c r="I1353" s="19"/>
    </row>
    <row r="1354" spans="1:9" ht="15.75" x14ac:dyDescent="0.25">
      <c r="A1354" s="51">
        <v>42806</v>
      </c>
      <c r="B1354" s="52" t="s">
        <v>9151</v>
      </c>
      <c r="C1354" s="18">
        <v>104132</v>
      </c>
      <c r="D1354" s="2" t="s">
        <v>470</v>
      </c>
      <c r="E1354" s="15">
        <v>12240.2</v>
      </c>
      <c r="F1354" s="59">
        <v>42807</v>
      </c>
      <c r="G1354" s="15">
        <f t="shared" si="43"/>
        <v>12240.2</v>
      </c>
      <c r="H1354" s="15">
        <f t="shared" si="44"/>
        <v>0</v>
      </c>
      <c r="I1354" s="19"/>
    </row>
    <row r="1355" spans="1:9" ht="15.75" x14ac:dyDescent="0.25">
      <c r="A1355" s="51">
        <v>42806</v>
      </c>
      <c r="B1355" s="52" t="s">
        <v>9152</v>
      </c>
      <c r="C1355" s="18">
        <v>104133</v>
      </c>
      <c r="D1355" s="2" t="s">
        <v>2392</v>
      </c>
      <c r="E1355" s="15">
        <v>1514.1</v>
      </c>
      <c r="F1355" s="59">
        <v>42807</v>
      </c>
      <c r="G1355" s="15">
        <f t="shared" si="43"/>
        <v>1514.1</v>
      </c>
      <c r="H1355" s="15">
        <f t="shared" si="44"/>
        <v>0</v>
      </c>
      <c r="I1355" s="19"/>
    </row>
    <row r="1356" spans="1:9" ht="15.75" x14ac:dyDescent="0.25">
      <c r="A1356" s="51">
        <v>42806</v>
      </c>
      <c r="B1356" s="52" t="s">
        <v>9153</v>
      </c>
      <c r="C1356" s="18">
        <v>104134</v>
      </c>
      <c r="D1356" s="2" t="s">
        <v>55</v>
      </c>
      <c r="E1356" s="15">
        <v>1924</v>
      </c>
      <c r="F1356" s="59">
        <v>42806</v>
      </c>
      <c r="G1356" s="15">
        <f t="shared" si="43"/>
        <v>1924</v>
      </c>
      <c r="H1356" s="15">
        <f t="shared" si="44"/>
        <v>0</v>
      </c>
      <c r="I1356" s="19"/>
    </row>
    <row r="1357" spans="1:9" ht="15.75" x14ac:dyDescent="0.25">
      <c r="A1357" s="51">
        <v>42806</v>
      </c>
      <c r="B1357" s="52" t="s">
        <v>9154</v>
      </c>
      <c r="C1357" s="18">
        <v>104135</v>
      </c>
      <c r="D1357" s="2" t="s">
        <v>1141</v>
      </c>
      <c r="E1357" s="15">
        <v>255</v>
      </c>
      <c r="F1357" s="59">
        <v>42806</v>
      </c>
      <c r="G1357" s="15">
        <f t="shared" si="43"/>
        <v>255</v>
      </c>
      <c r="H1357" s="15">
        <f t="shared" si="44"/>
        <v>0</v>
      </c>
      <c r="I1357" s="19"/>
    </row>
    <row r="1358" spans="1:9" ht="15.75" x14ac:dyDescent="0.25">
      <c r="A1358" s="51">
        <v>42806</v>
      </c>
      <c r="B1358" s="52" t="s">
        <v>9155</v>
      </c>
      <c r="C1358" s="18">
        <v>104136</v>
      </c>
      <c r="D1358" s="2" t="s">
        <v>563</v>
      </c>
      <c r="E1358" s="15">
        <v>501.5</v>
      </c>
      <c r="F1358" s="59">
        <v>42806</v>
      </c>
      <c r="G1358" s="15">
        <f t="shared" si="43"/>
        <v>501.5</v>
      </c>
      <c r="H1358" s="15">
        <f t="shared" si="44"/>
        <v>0</v>
      </c>
      <c r="I1358" s="19"/>
    </row>
    <row r="1359" spans="1:9" ht="15.75" x14ac:dyDescent="0.25">
      <c r="A1359" s="51">
        <v>42806</v>
      </c>
      <c r="B1359" s="52" t="s">
        <v>9156</v>
      </c>
      <c r="C1359" s="18">
        <v>104137</v>
      </c>
      <c r="D1359" s="2" t="s">
        <v>10</v>
      </c>
      <c r="E1359" s="15">
        <v>1240.8</v>
      </c>
      <c r="F1359" s="59">
        <v>42810</v>
      </c>
      <c r="G1359" s="15">
        <f t="shared" si="43"/>
        <v>1240.8</v>
      </c>
      <c r="H1359" s="15">
        <f t="shared" si="44"/>
        <v>0</v>
      </c>
      <c r="I1359" s="19"/>
    </row>
    <row r="1360" spans="1:9" ht="15.75" x14ac:dyDescent="0.25">
      <c r="A1360" s="51">
        <v>42806</v>
      </c>
      <c r="B1360" s="52" t="s">
        <v>9157</v>
      </c>
      <c r="C1360" s="18">
        <v>104138</v>
      </c>
      <c r="D1360" s="2" t="s">
        <v>937</v>
      </c>
      <c r="E1360" s="15">
        <v>3341.8</v>
      </c>
      <c r="F1360" s="59">
        <v>42807</v>
      </c>
      <c r="G1360" s="15">
        <f t="shared" si="43"/>
        <v>3341.8</v>
      </c>
      <c r="H1360" s="15">
        <f t="shared" si="44"/>
        <v>0</v>
      </c>
      <c r="I1360" s="19"/>
    </row>
    <row r="1361" spans="1:9" ht="15.75" x14ac:dyDescent="0.25">
      <c r="A1361" s="51">
        <v>42806</v>
      </c>
      <c r="B1361" s="52" t="s">
        <v>9158</v>
      </c>
      <c r="C1361" s="18">
        <v>104139</v>
      </c>
      <c r="D1361" s="2" t="s">
        <v>1380</v>
      </c>
      <c r="E1361" s="15">
        <v>31616.6</v>
      </c>
      <c r="F1361" s="59">
        <v>42807</v>
      </c>
      <c r="G1361" s="15">
        <f t="shared" si="43"/>
        <v>31616.6</v>
      </c>
      <c r="H1361" s="15">
        <f t="shared" si="44"/>
        <v>0</v>
      </c>
      <c r="I1361" s="19"/>
    </row>
    <row r="1362" spans="1:9" ht="15.75" x14ac:dyDescent="0.25">
      <c r="A1362" s="51">
        <v>42806</v>
      </c>
      <c r="B1362" s="52" t="s">
        <v>9159</v>
      </c>
      <c r="C1362" s="18">
        <v>104140</v>
      </c>
      <c r="D1362" s="2" t="s">
        <v>531</v>
      </c>
      <c r="E1362" s="15">
        <v>2824.4</v>
      </c>
      <c r="F1362" s="59">
        <v>42806</v>
      </c>
      <c r="G1362" s="15">
        <f t="shared" si="43"/>
        <v>2824.4</v>
      </c>
      <c r="H1362" s="15">
        <f t="shared" si="44"/>
        <v>0</v>
      </c>
      <c r="I1362" s="19"/>
    </row>
    <row r="1363" spans="1:9" ht="15.75" x14ac:dyDescent="0.25">
      <c r="A1363" s="51">
        <v>42806</v>
      </c>
      <c r="B1363" s="52" t="s">
        <v>9160</v>
      </c>
      <c r="C1363" s="18">
        <v>104141</v>
      </c>
      <c r="D1363" s="2" t="s">
        <v>367</v>
      </c>
      <c r="E1363" s="15">
        <v>900</v>
      </c>
      <c r="F1363" s="59">
        <v>42806</v>
      </c>
      <c r="G1363" s="15">
        <f t="shared" si="43"/>
        <v>900</v>
      </c>
      <c r="H1363" s="15">
        <f t="shared" si="44"/>
        <v>0</v>
      </c>
      <c r="I1363" s="19"/>
    </row>
    <row r="1364" spans="1:9" ht="15.75" x14ac:dyDescent="0.25">
      <c r="A1364" s="51">
        <v>42806</v>
      </c>
      <c r="B1364" s="52" t="s">
        <v>9161</v>
      </c>
      <c r="C1364" s="18">
        <v>104142</v>
      </c>
      <c r="D1364" s="2" t="s">
        <v>457</v>
      </c>
      <c r="E1364" s="15">
        <v>823.2</v>
      </c>
      <c r="F1364" s="59">
        <v>42806</v>
      </c>
      <c r="G1364" s="15">
        <f t="shared" si="43"/>
        <v>823.2</v>
      </c>
      <c r="H1364" s="15">
        <f t="shared" si="44"/>
        <v>0</v>
      </c>
      <c r="I1364" s="19"/>
    </row>
    <row r="1365" spans="1:9" ht="15.75" x14ac:dyDescent="0.25">
      <c r="A1365" s="51">
        <v>42806</v>
      </c>
      <c r="B1365" s="52" t="s">
        <v>9162</v>
      </c>
      <c r="C1365" s="18">
        <v>104143</v>
      </c>
      <c r="D1365" s="2" t="s">
        <v>55</v>
      </c>
      <c r="E1365" s="15">
        <v>8529.2000000000007</v>
      </c>
      <c r="F1365" s="59">
        <v>42806</v>
      </c>
      <c r="G1365" s="15">
        <f t="shared" si="43"/>
        <v>8529.2000000000007</v>
      </c>
      <c r="H1365" s="15">
        <f t="shared" si="44"/>
        <v>0</v>
      </c>
      <c r="I1365" s="19"/>
    </row>
    <row r="1366" spans="1:9" ht="15.75" x14ac:dyDescent="0.25">
      <c r="A1366" s="51">
        <v>42807</v>
      </c>
      <c r="B1366" s="52" t="s">
        <v>9163</v>
      </c>
      <c r="C1366" s="18">
        <v>104144</v>
      </c>
      <c r="D1366" s="2" t="s">
        <v>374</v>
      </c>
      <c r="E1366" s="15">
        <v>2011.5</v>
      </c>
      <c r="G1366" s="15">
        <f t="shared" si="43"/>
        <v>2011.5</v>
      </c>
      <c r="H1366" s="15">
        <f t="shared" si="44"/>
        <v>0</v>
      </c>
      <c r="I1366" s="19"/>
    </row>
    <row r="1367" spans="1:9" ht="15.75" x14ac:dyDescent="0.25">
      <c r="A1367" s="51">
        <v>42807</v>
      </c>
      <c r="B1367" s="52" t="s">
        <v>9164</v>
      </c>
      <c r="C1367" s="18">
        <v>104145</v>
      </c>
      <c r="D1367" s="2" t="s">
        <v>231</v>
      </c>
      <c r="E1367" s="15">
        <v>9247</v>
      </c>
      <c r="F1367" s="59">
        <v>42808</v>
      </c>
      <c r="G1367" s="15">
        <f t="shared" si="43"/>
        <v>9247</v>
      </c>
      <c r="H1367" s="15">
        <f t="shared" si="44"/>
        <v>0</v>
      </c>
      <c r="I1367" s="19"/>
    </row>
    <row r="1368" spans="1:9" ht="15.75" x14ac:dyDescent="0.25">
      <c r="A1368" s="51">
        <v>42807</v>
      </c>
      <c r="B1368" s="52" t="s">
        <v>9165</v>
      </c>
      <c r="C1368" s="18">
        <v>104146</v>
      </c>
      <c r="D1368" s="2" t="s">
        <v>222</v>
      </c>
      <c r="E1368" s="15">
        <v>18988.2</v>
      </c>
      <c r="G1368" s="15">
        <f t="shared" si="43"/>
        <v>18988.2</v>
      </c>
      <c r="H1368" s="15">
        <f t="shared" si="44"/>
        <v>0</v>
      </c>
      <c r="I1368" s="19"/>
    </row>
    <row r="1369" spans="1:9" ht="15.75" x14ac:dyDescent="0.25">
      <c r="A1369" s="51">
        <v>42807</v>
      </c>
      <c r="B1369" s="52" t="s">
        <v>9166</v>
      </c>
      <c r="C1369" s="18">
        <v>104147</v>
      </c>
      <c r="D1369" s="2" t="s">
        <v>26</v>
      </c>
      <c r="E1369" s="15">
        <v>17668.3</v>
      </c>
      <c r="G1369" s="15">
        <f t="shared" si="43"/>
        <v>17668.3</v>
      </c>
      <c r="H1369" s="15">
        <f t="shared" si="44"/>
        <v>0</v>
      </c>
      <c r="I1369" s="19"/>
    </row>
    <row r="1370" spans="1:9" ht="15.75" x14ac:dyDescent="0.25">
      <c r="A1370" s="51">
        <v>42807</v>
      </c>
      <c r="B1370" s="52" t="s">
        <v>9167</v>
      </c>
      <c r="C1370" s="18">
        <v>104148</v>
      </c>
      <c r="D1370" s="2" t="s">
        <v>231</v>
      </c>
      <c r="E1370" s="15">
        <v>25226.5</v>
      </c>
      <c r="F1370" s="59">
        <v>42808</v>
      </c>
      <c r="G1370" s="15">
        <f t="shared" si="43"/>
        <v>25226.5</v>
      </c>
      <c r="H1370" s="15">
        <f t="shared" si="44"/>
        <v>0</v>
      </c>
      <c r="I1370" s="19"/>
    </row>
    <row r="1371" spans="1:9" ht="15.75" x14ac:dyDescent="0.25">
      <c r="A1371" s="51">
        <v>42807</v>
      </c>
      <c r="B1371" s="52" t="s">
        <v>9168</v>
      </c>
      <c r="C1371" s="18">
        <v>104149</v>
      </c>
      <c r="D1371" s="2" t="s">
        <v>428</v>
      </c>
      <c r="E1371" s="15">
        <v>1948.8</v>
      </c>
      <c r="F1371" s="59">
        <v>42810</v>
      </c>
      <c r="G1371" s="15">
        <f t="shared" si="43"/>
        <v>1948.8</v>
      </c>
      <c r="H1371" s="15">
        <f t="shared" si="44"/>
        <v>0</v>
      </c>
      <c r="I1371" s="19"/>
    </row>
    <row r="1372" spans="1:9" ht="15.75" x14ac:dyDescent="0.25">
      <c r="A1372" s="51">
        <v>42807</v>
      </c>
      <c r="B1372" s="52" t="s">
        <v>9169</v>
      </c>
      <c r="C1372" s="18">
        <v>104150</v>
      </c>
      <c r="D1372" s="2" t="s">
        <v>69</v>
      </c>
      <c r="E1372" s="15">
        <v>3326.6</v>
      </c>
      <c r="G1372" s="15">
        <f t="shared" si="43"/>
        <v>3326.6</v>
      </c>
      <c r="H1372" s="15">
        <f t="shared" si="44"/>
        <v>0</v>
      </c>
      <c r="I1372" s="19"/>
    </row>
    <row r="1373" spans="1:9" ht="15.75" x14ac:dyDescent="0.25">
      <c r="A1373" s="51">
        <v>42807</v>
      </c>
      <c r="B1373" s="52" t="s">
        <v>9170</v>
      </c>
      <c r="C1373" s="18">
        <v>104151</v>
      </c>
      <c r="D1373" s="2" t="s">
        <v>40</v>
      </c>
      <c r="E1373" s="15">
        <v>273.60000000000002</v>
      </c>
      <c r="F1373" s="59">
        <v>42811</v>
      </c>
      <c r="G1373" s="15">
        <f t="shared" si="43"/>
        <v>273.60000000000002</v>
      </c>
      <c r="H1373" s="15">
        <f t="shared" si="44"/>
        <v>0</v>
      </c>
      <c r="I1373" s="19"/>
    </row>
    <row r="1374" spans="1:9" ht="15.75" x14ac:dyDescent="0.25">
      <c r="A1374" s="51">
        <v>42807</v>
      </c>
      <c r="B1374" s="52" t="s">
        <v>9171</v>
      </c>
      <c r="C1374" s="18">
        <v>104152</v>
      </c>
      <c r="D1374" s="2" t="s">
        <v>35</v>
      </c>
      <c r="E1374" s="15">
        <v>2731.6</v>
      </c>
      <c r="F1374" s="59">
        <v>42808</v>
      </c>
      <c r="G1374" s="15">
        <f t="shared" si="43"/>
        <v>2731.6</v>
      </c>
      <c r="H1374" s="15">
        <f t="shared" si="44"/>
        <v>0</v>
      </c>
      <c r="I1374" s="19"/>
    </row>
    <row r="1375" spans="1:9" ht="15.75" x14ac:dyDescent="0.25">
      <c r="A1375" s="51">
        <v>42807</v>
      </c>
      <c r="B1375" s="52" t="s">
        <v>9172</v>
      </c>
      <c r="C1375" s="18">
        <v>104153</v>
      </c>
      <c r="D1375" s="2" t="s">
        <v>38</v>
      </c>
      <c r="E1375" s="15">
        <v>3067.2</v>
      </c>
      <c r="F1375" s="59" t="s">
        <v>9173</v>
      </c>
      <c r="G1375" s="15">
        <f t="shared" si="43"/>
        <v>3067.2</v>
      </c>
      <c r="H1375" s="15">
        <f t="shared" si="44"/>
        <v>0</v>
      </c>
      <c r="I1375" s="19"/>
    </row>
    <row r="1376" spans="1:9" ht="15.75" x14ac:dyDescent="0.25">
      <c r="A1376" s="51">
        <v>42807</v>
      </c>
      <c r="B1376" s="52" t="s">
        <v>9174</v>
      </c>
      <c r="C1376" s="18">
        <v>104154</v>
      </c>
      <c r="D1376" s="2" t="s">
        <v>32</v>
      </c>
      <c r="E1376" s="15">
        <v>6397.1</v>
      </c>
      <c r="F1376" s="59">
        <v>42810</v>
      </c>
      <c r="G1376" s="15">
        <f t="shared" si="43"/>
        <v>6397.1</v>
      </c>
      <c r="H1376" s="15">
        <f t="shared" si="44"/>
        <v>0</v>
      </c>
      <c r="I1376" s="19"/>
    </row>
    <row r="1377" spans="1:9" ht="15.75" x14ac:dyDescent="0.25">
      <c r="A1377" s="51">
        <v>42807</v>
      </c>
      <c r="B1377" s="52" t="s">
        <v>9175</v>
      </c>
      <c r="C1377" s="18">
        <v>104155</v>
      </c>
      <c r="D1377" s="2" t="s">
        <v>17</v>
      </c>
      <c r="E1377" s="15">
        <v>2115</v>
      </c>
      <c r="G1377" s="15">
        <f t="shared" si="43"/>
        <v>2115</v>
      </c>
      <c r="H1377" s="15">
        <f t="shared" si="44"/>
        <v>0</v>
      </c>
      <c r="I1377" s="19"/>
    </row>
    <row r="1378" spans="1:9" ht="15.75" x14ac:dyDescent="0.25">
      <c r="A1378" s="51">
        <v>42807</v>
      </c>
      <c r="B1378" s="52" t="s">
        <v>9176</v>
      </c>
      <c r="C1378" s="18">
        <v>104156</v>
      </c>
      <c r="D1378" s="2" t="s">
        <v>47</v>
      </c>
      <c r="E1378" s="15">
        <v>6180.3</v>
      </c>
      <c r="G1378" s="15">
        <f t="shared" si="43"/>
        <v>6180.3</v>
      </c>
      <c r="H1378" s="15">
        <f t="shared" si="44"/>
        <v>0</v>
      </c>
      <c r="I1378" s="19"/>
    </row>
    <row r="1379" spans="1:9" ht="15.75" x14ac:dyDescent="0.25">
      <c r="A1379" s="51">
        <v>42807</v>
      </c>
      <c r="B1379" s="52" t="s">
        <v>9177</v>
      </c>
      <c r="C1379" s="18">
        <v>104157</v>
      </c>
      <c r="D1379" s="2" t="s">
        <v>43</v>
      </c>
      <c r="E1379" s="15">
        <v>5865</v>
      </c>
      <c r="F1379" s="59">
        <v>42809</v>
      </c>
      <c r="G1379" s="15">
        <f t="shared" si="43"/>
        <v>5865</v>
      </c>
      <c r="H1379" s="15">
        <f t="shared" si="44"/>
        <v>0</v>
      </c>
      <c r="I1379" s="19"/>
    </row>
    <row r="1380" spans="1:9" ht="15.75" x14ac:dyDescent="0.25">
      <c r="A1380" s="51">
        <v>42807</v>
      </c>
      <c r="B1380" s="52" t="s">
        <v>9178</v>
      </c>
      <c r="C1380" s="18">
        <v>104158</v>
      </c>
      <c r="D1380" s="2" t="s">
        <v>21</v>
      </c>
      <c r="E1380" s="15">
        <v>45055.4</v>
      </c>
      <c r="F1380" s="59">
        <v>42825</v>
      </c>
      <c r="G1380" s="15">
        <f t="shared" si="43"/>
        <v>45055.4</v>
      </c>
      <c r="H1380" s="15">
        <f t="shared" si="44"/>
        <v>0</v>
      </c>
      <c r="I1380" s="19"/>
    </row>
    <row r="1381" spans="1:9" ht="15.75" x14ac:dyDescent="0.25">
      <c r="A1381" s="51">
        <v>42807</v>
      </c>
      <c r="B1381" s="52" t="s">
        <v>9179</v>
      </c>
      <c r="C1381" s="18">
        <v>104159</v>
      </c>
      <c r="D1381" s="2" t="s">
        <v>231</v>
      </c>
      <c r="E1381" s="15">
        <v>1310</v>
      </c>
      <c r="F1381" s="59">
        <v>42808</v>
      </c>
      <c r="G1381" s="15">
        <f t="shared" si="43"/>
        <v>1310</v>
      </c>
      <c r="H1381" s="15">
        <f t="shared" si="44"/>
        <v>0</v>
      </c>
      <c r="I1381" s="19"/>
    </row>
    <row r="1382" spans="1:9" ht="15.75" x14ac:dyDescent="0.25">
      <c r="A1382" s="51">
        <v>42807</v>
      </c>
      <c r="B1382" s="52" t="s">
        <v>9180</v>
      </c>
      <c r="C1382" s="18">
        <v>104160</v>
      </c>
      <c r="D1382" s="2" t="s">
        <v>28</v>
      </c>
      <c r="E1382" s="15">
        <v>4652.6000000000004</v>
      </c>
      <c r="G1382" s="15">
        <f t="shared" si="43"/>
        <v>4652.6000000000004</v>
      </c>
      <c r="H1382" s="15">
        <f t="shared" si="44"/>
        <v>0</v>
      </c>
      <c r="I1382" s="19"/>
    </row>
    <row r="1383" spans="1:9" ht="15.75" x14ac:dyDescent="0.25">
      <c r="A1383" s="51">
        <v>42807</v>
      </c>
      <c r="B1383" s="52" t="s">
        <v>9181</v>
      </c>
      <c r="C1383" s="18">
        <v>104161</v>
      </c>
      <c r="D1383" s="2" t="s">
        <v>49</v>
      </c>
      <c r="E1383" s="15">
        <v>6086.5</v>
      </c>
      <c r="F1383" s="59">
        <v>42808</v>
      </c>
      <c r="G1383" s="15">
        <f t="shared" si="43"/>
        <v>6086.5</v>
      </c>
      <c r="H1383" s="15">
        <f t="shared" si="44"/>
        <v>0</v>
      </c>
      <c r="I1383" s="19"/>
    </row>
    <row r="1384" spans="1:9" ht="15.75" x14ac:dyDescent="0.25">
      <c r="A1384" s="51">
        <v>42807</v>
      </c>
      <c r="B1384" s="52" t="s">
        <v>9182</v>
      </c>
      <c r="C1384" s="18">
        <v>104162</v>
      </c>
      <c r="D1384" s="2" t="s">
        <v>61</v>
      </c>
      <c r="E1384" s="15">
        <v>13423</v>
      </c>
      <c r="G1384" s="15">
        <f t="shared" si="43"/>
        <v>13423</v>
      </c>
      <c r="H1384" s="15">
        <f t="shared" si="44"/>
        <v>0</v>
      </c>
      <c r="I1384" s="19"/>
    </row>
    <row r="1385" spans="1:9" ht="15.75" x14ac:dyDescent="0.25">
      <c r="A1385" s="51">
        <v>42807</v>
      </c>
      <c r="B1385" s="52" t="s">
        <v>9183</v>
      </c>
      <c r="C1385" s="18">
        <v>104163</v>
      </c>
      <c r="D1385" s="2" t="s">
        <v>358</v>
      </c>
      <c r="E1385" s="15">
        <v>32498.28</v>
      </c>
      <c r="G1385" s="15">
        <f t="shared" si="43"/>
        <v>32498.28</v>
      </c>
      <c r="H1385" s="15">
        <f t="shared" si="44"/>
        <v>0</v>
      </c>
      <c r="I1385" s="19"/>
    </row>
    <row r="1386" spans="1:9" ht="15.75" x14ac:dyDescent="0.25">
      <c r="A1386" s="51">
        <v>42807</v>
      </c>
      <c r="B1386" s="52" t="s">
        <v>9184</v>
      </c>
      <c r="C1386" s="18">
        <v>104164</v>
      </c>
      <c r="D1386" s="2" t="s">
        <v>236</v>
      </c>
      <c r="E1386" s="15">
        <v>33028.6</v>
      </c>
      <c r="F1386" s="59">
        <v>42818</v>
      </c>
      <c r="G1386" s="15">
        <f t="shared" si="43"/>
        <v>33028.6</v>
      </c>
      <c r="H1386" s="15">
        <f t="shared" si="44"/>
        <v>0</v>
      </c>
      <c r="I1386" s="19"/>
    </row>
    <row r="1387" spans="1:9" ht="15.75" x14ac:dyDescent="0.25">
      <c r="A1387" s="51">
        <v>42807</v>
      </c>
      <c r="B1387" s="52" t="s">
        <v>9185</v>
      </c>
      <c r="C1387" s="18">
        <v>104165</v>
      </c>
      <c r="D1387" s="2" t="s">
        <v>69</v>
      </c>
      <c r="E1387" s="15">
        <v>704</v>
      </c>
      <c r="G1387" s="15">
        <f t="shared" si="43"/>
        <v>704</v>
      </c>
      <c r="H1387" s="15">
        <f t="shared" si="44"/>
        <v>0</v>
      </c>
      <c r="I1387" s="19"/>
    </row>
    <row r="1388" spans="1:9" ht="15.75" x14ac:dyDescent="0.25">
      <c r="A1388" s="51">
        <v>42807</v>
      </c>
      <c r="B1388" s="52" t="s">
        <v>9186</v>
      </c>
      <c r="C1388" s="18">
        <v>104166</v>
      </c>
      <c r="D1388" s="2" t="s">
        <v>205</v>
      </c>
      <c r="E1388" s="15">
        <v>30594.3</v>
      </c>
      <c r="G1388" s="15">
        <f t="shared" si="43"/>
        <v>30594.3</v>
      </c>
      <c r="H1388" s="15">
        <f t="shared" si="44"/>
        <v>0</v>
      </c>
      <c r="I1388" s="19"/>
    </row>
    <row r="1389" spans="1:9" ht="15.75" x14ac:dyDescent="0.25">
      <c r="A1389" s="51">
        <v>42807</v>
      </c>
      <c r="B1389" s="52" t="s">
        <v>9187</v>
      </c>
      <c r="C1389" s="18">
        <v>104167</v>
      </c>
      <c r="D1389" s="2" t="s">
        <v>71</v>
      </c>
      <c r="E1389" s="15">
        <v>1858.5</v>
      </c>
      <c r="G1389" s="15">
        <f t="shared" si="43"/>
        <v>1858.5</v>
      </c>
      <c r="H1389" s="15">
        <f t="shared" si="44"/>
        <v>0</v>
      </c>
      <c r="I1389" s="19"/>
    </row>
    <row r="1390" spans="1:9" ht="15.75" x14ac:dyDescent="0.25">
      <c r="A1390" s="51">
        <v>42807</v>
      </c>
      <c r="B1390" s="52" t="s">
        <v>9188</v>
      </c>
      <c r="C1390" s="18">
        <v>104168</v>
      </c>
      <c r="D1390" s="2" t="s">
        <v>414</v>
      </c>
      <c r="E1390" s="15">
        <v>1686</v>
      </c>
      <c r="G1390" s="15">
        <f t="shared" si="43"/>
        <v>1686</v>
      </c>
      <c r="H1390" s="15">
        <f t="shared" si="44"/>
        <v>0</v>
      </c>
      <c r="I1390" s="19"/>
    </row>
    <row r="1391" spans="1:9" ht="15.75" x14ac:dyDescent="0.25">
      <c r="A1391" s="51">
        <v>42807</v>
      </c>
      <c r="B1391" s="52" t="s">
        <v>9189</v>
      </c>
      <c r="C1391" s="18">
        <v>104169</v>
      </c>
      <c r="D1391" s="2" t="s">
        <v>143</v>
      </c>
      <c r="E1391" s="15">
        <v>3518.3</v>
      </c>
      <c r="G1391" s="15">
        <f t="shared" si="43"/>
        <v>3518.3</v>
      </c>
      <c r="H1391" s="15">
        <f t="shared" si="44"/>
        <v>0</v>
      </c>
      <c r="I1391" s="19"/>
    </row>
    <row r="1392" spans="1:9" ht="15.75" x14ac:dyDescent="0.25">
      <c r="A1392" s="51">
        <v>42807</v>
      </c>
      <c r="B1392" s="52" t="s">
        <v>9190</v>
      </c>
      <c r="C1392" s="18">
        <v>104170</v>
      </c>
      <c r="D1392" s="2" t="s">
        <v>609</v>
      </c>
      <c r="E1392" s="15">
        <v>35513.199999999997</v>
      </c>
      <c r="F1392" s="59">
        <v>42810</v>
      </c>
      <c r="G1392" s="15">
        <f t="shared" si="43"/>
        <v>35513.199999999997</v>
      </c>
      <c r="H1392" s="15">
        <f t="shared" si="44"/>
        <v>0</v>
      </c>
      <c r="I1392" s="19"/>
    </row>
    <row r="1393" spans="1:9" ht="15.75" x14ac:dyDescent="0.25">
      <c r="A1393" s="51">
        <v>42807</v>
      </c>
      <c r="B1393" s="52" t="s">
        <v>9191</v>
      </c>
      <c r="C1393" s="18">
        <v>104171</v>
      </c>
      <c r="D1393" s="2" t="s">
        <v>149</v>
      </c>
      <c r="E1393" s="15">
        <v>2642.5</v>
      </c>
      <c r="G1393" s="15">
        <f t="shared" si="43"/>
        <v>2642.5</v>
      </c>
      <c r="H1393" s="15">
        <f t="shared" si="44"/>
        <v>0</v>
      </c>
      <c r="I1393" s="19"/>
    </row>
    <row r="1394" spans="1:9" ht="15.75" x14ac:dyDescent="0.25">
      <c r="A1394" s="51">
        <v>42807</v>
      </c>
      <c r="B1394" s="52" t="s">
        <v>9192</v>
      </c>
      <c r="C1394" s="18">
        <v>104172</v>
      </c>
      <c r="D1394" s="2" t="s">
        <v>147</v>
      </c>
      <c r="E1394" s="15">
        <v>27162</v>
      </c>
      <c r="G1394" s="15">
        <f t="shared" si="43"/>
        <v>27162</v>
      </c>
      <c r="H1394" s="15">
        <f t="shared" si="44"/>
        <v>0</v>
      </c>
      <c r="I1394" s="19"/>
    </row>
    <row r="1395" spans="1:9" ht="15.75" x14ac:dyDescent="0.25">
      <c r="A1395" s="51">
        <v>42807</v>
      </c>
      <c r="B1395" s="52" t="s">
        <v>9193</v>
      </c>
      <c r="C1395" s="18">
        <v>104173</v>
      </c>
      <c r="D1395" s="2" t="s">
        <v>6922</v>
      </c>
      <c r="E1395" s="15">
        <v>11831.6</v>
      </c>
      <c r="G1395" s="15">
        <f t="shared" si="43"/>
        <v>11831.6</v>
      </c>
      <c r="H1395" s="15">
        <f t="shared" si="44"/>
        <v>0</v>
      </c>
      <c r="I1395" s="19"/>
    </row>
    <row r="1396" spans="1:9" ht="15.75" x14ac:dyDescent="0.25">
      <c r="A1396" s="51">
        <v>42807</v>
      </c>
      <c r="B1396" s="52" t="s">
        <v>9194</v>
      </c>
      <c r="C1396" s="18">
        <v>104174</v>
      </c>
      <c r="D1396" s="2" t="s">
        <v>1090</v>
      </c>
      <c r="E1396" s="15">
        <v>4194.6400000000003</v>
      </c>
      <c r="G1396" s="15">
        <f t="shared" si="43"/>
        <v>4194.6400000000003</v>
      </c>
      <c r="H1396" s="15">
        <f t="shared" si="44"/>
        <v>0</v>
      </c>
      <c r="I1396" s="19"/>
    </row>
    <row r="1397" spans="1:9" ht="15.75" x14ac:dyDescent="0.25">
      <c r="A1397" s="51">
        <v>42807</v>
      </c>
      <c r="B1397" s="52" t="s">
        <v>9195</v>
      </c>
      <c r="C1397" s="18">
        <v>104175</v>
      </c>
      <c r="D1397" s="2" t="s">
        <v>85</v>
      </c>
      <c r="E1397" s="15">
        <v>15817.5</v>
      </c>
      <c r="F1397" s="59">
        <v>42808</v>
      </c>
      <c r="G1397" s="15">
        <f>5000+10817.5</f>
        <v>15817.5</v>
      </c>
      <c r="H1397" s="15">
        <f t="shared" si="44"/>
        <v>0</v>
      </c>
      <c r="I1397" s="19"/>
    </row>
    <row r="1398" spans="1:9" ht="15.75" x14ac:dyDescent="0.25">
      <c r="A1398" s="51">
        <v>42807</v>
      </c>
      <c r="B1398" s="52" t="s">
        <v>9196</v>
      </c>
      <c r="C1398" s="18">
        <v>104176</v>
      </c>
      <c r="D1398" s="2" t="s">
        <v>3425</v>
      </c>
      <c r="E1398" s="15">
        <v>972.8</v>
      </c>
      <c r="G1398" s="15">
        <f t="shared" si="43"/>
        <v>972.8</v>
      </c>
      <c r="H1398" s="15">
        <f t="shared" si="44"/>
        <v>0</v>
      </c>
      <c r="I1398" s="19"/>
    </row>
    <row r="1399" spans="1:9" ht="15.75" x14ac:dyDescent="0.25">
      <c r="A1399" s="51">
        <v>42807</v>
      </c>
      <c r="B1399" s="52" t="s">
        <v>9197</v>
      </c>
      <c r="C1399" s="18">
        <v>104177</v>
      </c>
      <c r="D1399" s="2" t="s">
        <v>157</v>
      </c>
      <c r="E1399" s="15">
        <v>26958.799999999999</v>
      </c>
      <c r="G1399" s="15">
        <f t="shared" si="43"/>
        <v>26958.799999999999</v>
      </c>
      <c r="H1399" s="15">
        <f t="shared" si="44"/>
        <v>0</v>
      </c>
      <c r="I1399" s="19"/>
    </row>
    <row r="1400" spans="1:9" ht="15.75" x14ac:dyDescent="0.25">
      <c r="A1400" s="51">
        <v>42807</v>
      </c>
      <c r="B1400" s="52" t="s">
        <v>9198</v>
      </c>
      <c r="C1400" s="18">
        <v>104178</v>
      </c>
      <c r="D1400" s="2" t="s">
        <v>240</v>
      </c>
      <c r="E1400" s="15">
        <v>4361.6000000000004</v>
      </c>
      <c r="G1400" s="15">
        <f t="shared" si="43"/>
        <v>4361.6000000000004</v>
      </c>
      <c r="H1400" s="15">
        <f t="shared" si="44"/>
        <v>0</v>
      </c>
      <c r="I1400" s="19"/>
    </row>
    <row r="1401" spans="1:9" ht="15.75" x14ac:dyDescent="0.25">
      <c r="A1401" s="51">
        <v>42807</v>
      </c>
      <c r="B1401" s="52" t="s">
        <v>9199</v>
      </c>
      <c r="C1401" s="18">
        <v>104179</v>
      </c>
      <c r="D1401" s="2" t="s">
        <v>1116</v>
      </c>
      <c r="E1401" s="15">
        <v>5019.6000000000004</v>
      </c>
      <c r="F1401" s="59">
        <v>42808</v>
      </c>
      <c r="G1401" s="15">
        <f t="shared" si="43"/>
        <v>5019.6000000000004</v>
      </c>
      <c r="H1401" s="15">
        <f t="shared" si="44"/>
        <v>0</v>
      </c>
      <c r="I1401" s="19"/>
    </row>
    <row r="1402" spans="1:9" ht="15.75" x14ac:dyDescent="0.25">
      <c r="A1402" s="51">
        <v>42807</v>
      </c>
      <c r="B1402" s="52" t="s">
        <v>9200</v>
      </c>
      <c r="C1402" s="18">
        <v>104180</v>
      </c>
      <c r="D1402" s="2" t="s">
        <v>309</v>
      </c>
      <c r="E1402" s="15">
        <v>2094.1999999999998</v>
      </c>
      <c r="G1402" s="15">
        <f t="shared" si="43"/>
        <v>2094.1999999999998</v>
      </c>
      <c r="H1402" s="15">
        <f t="shared" si="44"/>
        <v>0</v>
      </c>
      <c r="I1402" s="19"/>
    </row>
    <row r="1403" spans="1:9" ht="15.75" x14ac:dyDescent="0.25">
      <c r="A1403" s="51">
        <v>42807</v>
      </c>
      <c r="B1403" s="52" t="s">
        <v>9201</v>
      </c>
      <c r="C1403" s="18">
        <v>104181</v>
      </c>
      <c r="D1403" s="2" t="s">
        <v>168</v>
      </c>
      <c r="E1403" s="15">
        <v>5112</v>
      </c>
      <c r="F1403" s="59">
        <v>42815</v>
      </c>
      <c r="G1403" s="15">
        <f t="shared" si="43"/>
        <v>5112</v>
      </c>
      <c r="H1403" s="15">
        <f t="shared" si="44"/>
        <v>0</v>
      </c>
      <c r="I1403" s="19"/>
    </row>
    <row r="1404" spans="1:9" ht="15.75" x14ac:dyDescent="0.25">
      <c r="A1404" s="51">
        <v>42807</v>
      </c>
      <c r="B1404" s="52" t="s">
        <v>9202</v>
      </c>
      <c r="C1404" s="18">
        <v>104182</v>
      </c>
      <c r="D1404" s="2" t="s">
        <v>205</v>
      </c>
      <c r="E1404" s="15">
        <v>29937.599999999999</v>
      </c>
      <c r="F1404" s="110">
        <v>42851</v>
      </c>
      <c r="G1404" s="35">
        <f t="shared" si="43"/>
        <v>29937.599999999999</v>
      </c>
      <c r="H1404" s="15">
        <f t="shared" si="44"/>
        <v>0</v>
      </c>
      <c r="I1404" s="19"/>
    </row>
    <row r="1405" spans="1:9" ht="15.75" x14ac:dyDescent="0.25">
      <c r="A1405" s="51">
        <v>42807</v>
      </c>
      <c r="B1405" s="52" t="s">
        <v>9203</v>
      </c>
      <c r="C1405" s="18">
        <v>104183</v>
      </c>
      <c r="D1405" s="2" t="s">
        <v>302</v>
      </c>
      <c r="E1405" s="15">
        <v>11115.2</v>
      </c>
      <c r="G1405" s="15">
        <f t="shared" si="43"/>
        <v>11115.2</v>
      </c>
      <c r="H1405" s="15">
        <f t="shared" si="44"/>
        <v>0</v>
      </c>
      <c r="I1405" s="19"/>
    </row>
    <row r="1406" spans="1:9" ht="15.75" x14ac:dyDescent="0.25">
      <c r="A1406" s="51">
        <v>42807</v>
      </c>
      <c r="B1406" s="52" t="s">
        <v>9204</v>
      </c>
      <c r="C1406" s="18">
        <v>104184</v>
      </c>
      <c r="D1406" s="2" t="s">
        <v>305</v>
      </c>
      <c r="E1406" s="15">
        <v>5738.1</v>
      </c>
      <c r="G1406" s="15">
        <f t="shared" si="43"/>
        <v>5738.1</v>
      </c>
      <c r="H1406" s="15">
        <f t="shared" si="44"/>
        <v>0</v>
      </c>
      <c r="I1406" s="19"/>
    </row>
    <row r="1407" spans="1:9" ht="15.75" x14ac:dyDescent="0.25">
      <c r="A1407" s="51">
        <v>42807</v>
      </c>
      <c r="B1407" s="52" t="s">
        <v>9205</v>
      </c>
      <c r="C1407" s="18">
        <v>104185</v>
      </c>
      <c r="D1407" s="2" t="s">
        <v>476</v>
      </c>
      <c r="E1407" s="15">
        <v>13090</v>
      </c>
      <c r="F1407" s="59">
        <v>42810</v>
      </c>
      <c r="G1407" s="15">
        <f t="shared" si="43"/>
        <v>13090</v>
      </c>
      <c r="H1407" s="15">
        <f t="shared" si="44"/>
        <v>0</v>
      </c>
      <c r="I1407" s="19"/>
    </row>
    <row r="1408" spans="1:9" ht="15.75" x14ac:dyDescent="0.25">
      <c r="A1408" s="51">
        <v>42807</v>
      </c>
      <c r="B1408" s="52" t="s">
        <v>9206</v>
      </c>
      <c r="C1408" s="18">
        <v>104186</v>
      </c>
      <c r="D1408" s="2" t="s">
        <v>176</v>
      </c>
      <c r="E1408" s="15">
        <v>3267</v>
      </c>
      <c r="G1408" s="15">
        <f t="shared" si="43"/>
        <v>3267</v>
      </c>
      <c r="H1408" s="15">
        <f t="shared" si="44"/>
        <v>0</v>
      </c>
      <c r="I1408" s="19"/>
    </row>
    <row r="1409" spans="1:9" ht="15.75" x14ac:dyDescent="0.25">
      <c r="A1409" s="51">
        <v>42807</v>
      </c>
      <c r="B1409" s="52" t="s">
        <v>9207</v>
      </c>
      <c r="C1409" s="18">
        <v>104187</v>
      </c>
      <c r="D1409" s="2" t="s">
        <v>21</v>
      </c>
      <c r="E1409" s="15">
        <v>3638</v>
      </c>
      <c r="F1409" s="59">
        <v>42825</v>
      </c>
      <c r="G1409" s="15">
        <f t="shared" si="43"/>
        <v>3638</v>
      </c>
      <c r="H1409" s="15">
        <f t="shared" si="44"/>
        <v>0</v>
      </c>
      <c r="I1409" s="19"/>
    </row>
    <row r="1410" spans="1:9" ht="15.75" x14ac:dyDescent="0.25">
      <c r="A1410" s="51">
        <v>42807</v>
      </c>
      <c r="B1410" s="52" t="s">
        <v>9208</v>
      </c>
      <c r="C1410" s="18">
        <v>104188</v>
      </c>
      <c r="D1410" s="2" t="s">
        <v>721</v>
      </c>
      <c r="E1410" s="15">
        <v>3460.2</v>
      </c>
      <c r="G1410" s="15">
        <f t="shared" si="43"/>
        <v>3460.2</v>
      </c>
      <c r="H1410" s="15">
        <f t="shared" si="44"/>
        <v>0</v>
      </c>
      <c r="I1410" s="19"/>
    </row>
    <row r="1411" spans="1:9" ht="15.75" x14ac:dyDescent="0.25">
      <c r="A1411" s="51">
        <v>42807</v>
      </c>
      <c r="B1411" s="52" t="s">
        <v>9209</v>
      </c>
      <c r="C1411" s="18">
        <v>104189</v>
      </c>
      <c r="D1411" s="2" t="s">
        <v>105</v>
      </c>
      <c r="E1411" s="15">
        <v>3379.5</v>
      </c>
      <c r="F1411" s="59">
        <v>42809</v>
      </c>
      <c r="G1411" s="15">
        <f t="shared" si="43"/>
        <v>3379.5</v>
      </c>
      <c r="H1411" s="15">
        <f t="shared" si="44"/>
        <v>0</v>
      </c>
      <c r="I1411" s="19"/>
    </row>
    <row r="1412" spans="1:9" ht="15.75" x14ac:dyDescent="0.25">
      <c r="A1412" s="51">
        <v>42807</v>
      </c>
      <c r="B1412" s="52" t="s">
        <v>9210</v>
      </c>
      <c r="C1412" s="18">
        <v>104190</v>
      </c>
      <c r="D1412" s="2" t="s">
        <v>109</v>
      </c>
      <c r="E1412" s="15">
        <v>4569</v>
      </c>
      <c r="G1412" s="15">
        <f t="shared" ref="G1412:G1475" si="45">E1412</f>
        <v>4569</v>
      </c>
      <c r="H1412" s="15">
        <f t="shared" ref="H1412:H1475" si="46">E1412-G1412</f>
        <v>0</v>
      </c>
      <c r="I1412" s="19"/>
    </row>
    <row r="1413" spans="1:9" ht="15.75" x14ac:dyDescent="0.25">
      <c r="A1413" s="51">
        <v>42807</v>
      </c>
      <c r="B1413" s="52" t="s">
        <v>9211</v>
      </c>
      <c r="C1413" s="18">
        <v>104191</v>
      </c>
      <c r="D1413" s="2" t="s">
        <v>101</v>
      </c>
      <c r="E1413" s="15">
        <v>1179.7</v>
      </c>
      <c r="G1413" s="15">
        <f t="shared" si="45"/>
        <v>1179.7</v>
      </c>
      <c r="H1413" s="15">
        <f t="shared" si="46"/>
        <v>0</v>
      </c>
      <c r="I1413" s="19"/>
    </row>
    <row r="1414" spans="1:9" ht="15.75" x14ac:dyDescent="0.25">
      <c r="A1414" s="51">
        <v>42807</v>
      </c>
      <c r="B1414" s="52" t="s">
        <v>9212</v>
      </c>
      <c r="C1414" s="18">
        <v>104192</v>
      </c>
      <c r="D1414" s="2" t="s">
        <v>92</v>
      </c>
      <c r="E1414" s="15">
        <v>1401.6</v>
      </c>
      <c r="G1414" s="15">
        <f t="shared" si="45"/>
        <v>1401.6</v>
      </c>
      <c r="H1414" s="15">
        <f t="shared" si="46"/>
        <v>0</v>
      </c>
      <c r="I1414" s="19"/>
    </row>
    <row r="1415" spans="1:9" ht="15.75" x14ac:dyDescent="0.25">
      <c r="A1415" s="51">
        <v>42807</v>
      </c>
      <c r="B1415" s="52" t="s">
        <v>9213</v>
      </c>
      <c r="C1415" s="18">
        <v>104193</v>
      </c>
      <c r="D1415" s="2" t="s">
        <v>281</v>
      </c>
      <c r="E1415" s="15">
        <v>1755</v>
      </c>
      <c r="G1415" s="15">
        <f t="shared" si="45"/>
        <v>1755</v>
      </c>
      <c r="H1415" s="15">
        <f t="shared" si="46"/>
        <v>0</v>
      </c>
      <c r="I1415" s="19"/>
    </row>
    <row r="1416" spans="1:9" ht="15.75" x14ac:dyDescent="0.25">
      <c r="A1416" s="51">
        <v>42807</v>
      </c>
      <c r="B1416" s="52" t="s">
        <v>9214</v>
      </c>
      <c r="C1416" s="18">
        <v>104194</v>
      </c>
      <c r="D1416" s="2" t="s">
        <v>83</v>
      </c>
      <c r="E1416" s="15">
        <v>4130.7</v>
      </c>
      <c r="G1416" s="15">
        <f t="shared" si="45"/>
        <v>4130.7</v>
      </c>
      <c r="H1416" s="15">
        <f t="shared" si="46"/>
        <v>0</v>
      </c>
      <c r="I1416" s="19"/>
    </row>
    <row r="1417" spans="1:9" ht="15.75" x14ac:dyDescent="0.25">
      <c r="A1417" s="51">
        <v>42807</v>
      </c>
      <c r="B1417" s="52" t="s">
        <v>9215</v>
      </c>
      <c r="C1417" s="18">
        <v>104195</v>
      </c>
      <c r="D1417" s="2" t="s">
        <v>81</v>
      </c>
      <c r="E1417" s="15">
        <v>3661.6</v>
      </c>
      <c r="G1417" s="15">
        <f t="shared" si="45"/>
        <v>3661.6</v>
      </c>
      <c r="H1417" s="15">
        <f t="shared" si="46"/>
        <v>0</v>
      </c>
      <c r="I1417" s="19"/>
    </row>
    <row r="1418" spans="1:9" ht="15.75" x14ac:dyDescent="0.25">
      <c r="A1418" s="51">
        <v>42807</v>
      </c>
      <c r="B1418" s="52" t="s">
        <v>9216</v>
      </c>
      <c r="C1418" s="18">
        <v>104196</v>
      </c>
      <c r="D1418" s="2" t="s">
        <v>1380</v>
      </c>
      <c r="E1418" s="15">
        <v>3696</v>
      </c>
      <c r="G1418" s="15">
        <f t="shared" si="45"/>
        <v>3696</v>
      </c>
      <c r="H1418" s="15">
        <f t="shared" si="46"/>
        <v>0</v>
      </c>
      <c r="I1418" s="19"/>
    </row>
    <row r="1419" spans="1:9" ht="15.75" x14ac:dyDescent="0.25">
      <c r="A1419" s="51">
        <v>42807</v>
      </c>
      <c r="B1419" s="52" t="s">
        <v>9217</v>
      </c>
      <c r="C1419" s="18">
        <v>104197</v>
      </c>
      <c r="D1419" s="2" t="s">
        <v>103</v>
      </c>
      <c r="E1419" s="15">
        <v>808.6</v>
      </c>
      <c r="G1419" s="15">
        <f t="shared" si="45"/>
        <v>808.6</v>
      </c>
      <c r="H1419" s="15">
        <f t="shared" si="46"/>
        <v>0</v>
      </c>
      <c r="I1419" s="19"/>
    </row>
    <row r="1420" spans="1:9" ht="15.75" x14ac:dyDescent="0.25">
      <c r="A1420" s="51">
        <v>42807</v>
      </c>
      <c r="B1420" s="52" t="s">
        <v>9218</v>
      </c>
      <c r="C1420" s="18">
        <v>104198</v>
      </c>
      <c r="D1420" s="2" t="s">
        <v>103</v>
      </c>
      <c r="E1420" s="15">
        <v>205.2</v>
      </c>
      <c r="G1420" s="15">
        <f t="shared" si="45"/>
        <v>205.2</v>
      </c>
      <c r="H1420" s="15">
        <f t="shared" si="46"/>
        <v>0</v>
      </c>
      <c r="I1420" s="19"/>
    </row>
    <row r="1421" spans="1:9" ht="15.75" x14ac:dyDescent="0.25">
      <c r="A1421" s="51">
        <v>42807</v>
      </c>
      <c r="B1421" s="52" t="s">
        <v>9219</v>
      </c>
      <c r="C1421" s="18">
        <v>104199</v>
      </c>
      <c r="D1421" s="2" t="s">
        <v>1081</v>
      </c>
      <c r="E1421" s="15">
        <v>270.39999999999998</v>
      </c>
      <c r="G1421" s="15">
        <f t="shared" si="45"/>
        <v>270.39999999999998</v>
      </c>
      <c r="H1421" s="15">
        <f t="shared" si="46"/>
        <v>0</v>
      </c>
      <c r="I1421" s="19"/>
    </row>
    <row r="1422" spans="1:9" ht="15.75" x14ac:dyDescent="0.25">
      <c r="A1422" s="51">
        <v>42807</v>
      </c>
      <c r="B1422" s="52" t="s">
        <v>9220</v>
      </c>
      <c r="C1422" s="18">
        <v>104200</v>
      </c>
      <c r="D1422" s="2" t="s">
        <v>79</v>
      </c>
      <c r="E1422" s="15">
        <v>5566.8</v>
      </c>
      <c r="G1422" s="15">
        <f t="shared" si="45"/>
        <v>5566.8</v>
      </c>
      <c r="H1422" s="15">
        <f t="shared" si="46"/>
        <v>0</v>
      </c>
      <c r="I1422" s="19"/>
    </row>
    <row r="1423" spans="1:9" ht="15.75" x14ac:dyDescent="0.25">
      <c r="A1423" s="51">
        <v>42807</v>
      </c>
      <c r="B1423" s="52" t="s">
        <v>9221</v>
      </c>
      <c r="C1423" s="18">
        <v>104201</v>
      </c>
      <c r="D1423" s="2" t="s">
        <v>1989</v>
      </c>
      <c r="E1423" s="15">
        <v>1760.4</v>
      </c>
      <c r="G1423" s="15">
        <f t="shared" si="45"/>
        <v>1760.4</v>
      </c>
      <c r="H1423" s="15">
        <f t="shared" si="46"/>
        <v>0</v>
      </c>
      <c r="I1423" s="19"/>
    </row>
    <row r="1424" spans="1:9" ht="15.75" x14ac:dyDescent="0.25">
      <c r="A1424" s="51">
        <v>42807</v>
      </c>
      <c r="B1424" s="52" t="s">
        <v>9222</v>
      </c>
      <c r="C1424" s="18">
        <v>104202</v>
      </c>
      <c r="D1424" s="2" t="s">
        <v>329</v>
      </c>
      <c r="E1424" s="15">
        <v>598.20000000000005</v>
      </c>
      <c r="G1424" s="15">
        <f t="shared" si="45"/>
        <v>598.20000000000005</v>
      </c>
      <c r="H1424" s="15">
        <f t="shared" si="46"/>
        <v>0</v>
      </c>
      <c r="I1424" s="19"/>
    </row>
    <row r="1425" spans="1:9" ht="15.75" x14ac:dyDescent="0.25">
      <c r="A1425" s="51">
        <v>42807</v>
      </c>
      <c r="B1425" s="52" t="s">
        <v>9223</v>
      </c>
      <c r="C1425" s="18">
        <v>104203</v>
      </c>
      <c r="D1425" s="2" t="s">
        <v>184</v>
      </c>
      <c r="E1425" s="15">
        <v>3539.4</v>
      </c>
      <c r="F1425" s="59">
        <v>42808</v>
      </c>
      <c r="G1425" s="15">
        <f t="shared" si="45"/>
        <v>3539.4</v>
      </c>
      <c r="H1425" s="15">
        <f t="shared" si="46"/>
        <v>0</v>
      </c>
      <c r="I1425" s="19"/>
    </row>
    <row r="1426" spans="1:9" ht="15.75" x14ac:dyDescent="0.25">
      <c r="A1426" s="51">
        <v>42807</v>
      </c>
      <c r="B1426" s="52" t="s">
        <v>9224</v>
      </c>
      <c r="C1426" s="18">
        <v>104204</v>
      </c>
      <c r="D1426" s="2" t="s">
        <v>145</v>
      </c>
      <c r="E1426" s="15">
        <v>13447.6</v>
      </c>
      <c r="F1426" s="59">
        <v>42808</v>
      </c>
      <c r="G1426" s="15">
        <f t="shared" si="45"/>
        <v>13447.6</v>
      </c>
      <c r="H1426" s="15">
        <f t="shared" si="46"/>
        <v>0</v>
      </c>
      <c r="I1426" s="19"/>
    </row>
    <row r="1427" spans="1:9" ht="15.75" x14ac:dyDescent="0.25">
      <c r="A1427" s="51">
        <v>42807</v>
      </c>
      <c r="B1427" s="52" t="s">
        <v>9225</v>
      </c>
      <c r="C1427" s="18">
        <v>104205</v>
      </c>
      <c r="D1427" s="2" t="s">
        <v>172</v>
      </c>
      <c r="E1427" s="15">
        <v>19991.7</v>
      </c>
      <c r="F1427" s="59">
        <v>42818</v>
      </c>
      <c r="G1427" s="15">
        <f t="shared" si="45"/>
        <v>19991.7</v>
      </c>
      <c r="H1427" s="15">
        <f t="shared" si="46"/>
        <v>0</v>
      </c>
      <c r="I1427" s="19"/>
    </row>
    <row r="1428" spans="1:9" ht="15.75" x14ac:dyDescent="0.25">
      <c r="A1428" s="51">
        <v>42807</v>
      </c>
      <c r="B1428" s="52" t="s">
        <v>9226</v>
      </c>
      <c r="C1428" s="18">
        <v>104206</v>
      </c>
      <c r="D1428" s="2" t="s">
        <v>155</v>
      </c>
      <c r="E1428" s="15">
        <v>11022.8</v>
      </c>
      <c r="F1428" s="59">
        <v>42808</v>
      </c>
      <c r="G1428" s="15">
        <f t="shared" si="45"/>
        <v>11022.8</v>
      </c>
      <c r="H1428" s="15">
        <f t="shared" si="46"/>
        <v>0</v>
      </c>
      <c r="I1428" s="19"/>
    </row>
    <row r="1429" spans="1:9" ht="15.75" x14ac:dyDescent="0.25">
      <c r="A1429" s="51">
        <v>42807</v>
      </c>
      <c r="B1429" s="52" t="s">
        <v>9227</v>
      </c>
      <c r="C1429" s="18">
        <v>104207</v>
      </c>
      <c r="D1429" s="2" t="s">
        <v>161</v>
      </c>
      <c r="E1429" s="15">
        <v>28266.5</v>
      </c>
      <c r="F1429" s="59">
        <v>42818</v>
      </c>
      <c r="G1429" s="15">
        <f t="shared" si="45"/>
        <v>28266.5</v>
      </c>
      <c r="H1429" s="15">
        <f t="shared" si="46"/>
        <v>0</v>
      </c>
      <c r="I1429" s="19"/>
    </row>
    <row r="1430" spans="1:9" ht="15.75" x14ac:dyDescent="0.25">
      <c r="A1430" s="51">
        <v>42807</v>
      </c>
      <c r="B1430" s="52" t="s">
        <v>9228</v>
      </c>
      <c r="C1430" s="18">
        <v>104208</v>
      </c>
      <c r="D1430" s="2" t="s">
        <v>163</v>
      </c>
      <c r="E1430" s="15">
        <v>15994.2</v>
      </c>
      <c r="F1430" s="59">
        <v>42816</v>
      </c>
      <c r="G1430" s="15">
        <f t="shared" si="45"/>
        <v>15994.2</v>
      </c>
      <c r="H1430" s="15">
        <f t="shared" si="46"/>
        <v>0</v>
      </c>
      <c r="I1430" s="19"/>
    </row>
    <row r="1431" spans="1:9" ht="15.75" x14ac:dyDescent="0.25">
      <c r="A1431" s="51">
        <v>42807</v>
      </c>
      <c r="B1431" s="52" t="s">
        <v>9229</v>
      </c>
      <c r="C1431" s="18">
        <v>104209</v>
      </c>
      <c r="D1431" s="2" t="s">
        <v>165</v>
      </c>
      <c r="E1431" s="15">
        <v>7542</v>
      </c>
      <c r="F1431" s="59">
        <v>42826</v>
      </c>
      <c r="G1431" s="15">
        <f t="shared" si="45"/>
        <v>7542</v>
      </c>
      <c r="H1431" s="15">
        <f t="shared" si="46"/>
        <v>0</v>
      </c>
      <c r="I1431" s="19"/>
    </row>
    <row r="1432" spans="1:9" ht="15.75" x14ac:dyDescent="0.25">
      <c r="A1432" s="51">
        <v>42807</v>
      </c>
      <c r="B1432" s="52" t="s">
        <v>9230</v>
      </c>
      <c r="C1432" s="18">
        <v>104210</v>
      </c>
      <c r="D1432" s="2" t="s">
        <v>879</v>
      </c>
      <c r="E1432" s="15">
        <v>544.20000000000005</v>
      </c>
      <c r="G1432" s="15">
        <f t="shared" si="45"/>
        <v>544.20000000000005</v>
      </c>
      <c r="H1432" s="15">
        <f t="shared" si="46"/>
        <v>0</v>
      </c>
      <c r="I1432" s="19"/>
    </row>
    <row r="1433" spans="1:9" ht="15.75" x14ac:dyDescent="0.25">
      <c r="A1433" s="51">
        <v>42807</v>
      </c>
      <c r="B1433" s="52" t="s">
        <v>9231</v>
      </c>
      <c r="C1433" s="18">
        <v>104211</v>
      </c>
      <c r="D1433" s="2" t="s">
        <v>133</v>
      </c>
      <c r="E1433" s="15">
        <v>18569.099999999999</v>
      </c>
      <c r="F1433" s="59">
        <v>42815</v>
      </c>
      <c r="G1433" s="15">
        <f t="shared" si="45"/>
        <v>18569.099999999999</v>
      </c>
      <c r="H1433" s="15">
        <f t="shared" si="46"/>
        <v>0</v>
      </c>
      <c r="I1433" s="19"/>
    </row>
    <row r="1434" spans="1:9" ht="15.75" x14ac:dyDescent="0.25">
      <c r="A1434" s="51">
        <v>42807</v>
      </c>
      <c r="B1434" s="52" t="s">
        <v>9232</v>
      </c>
      <c r="C1434" s="18">
        <v>104212</v>
      </c>
      <c r="D1434" s="2" t="s">
        <v>30</v>
      </c>
      <c r="E1434" s="15">
        <v>1352</v>
      </c>
      <c r="G1434" s="15">
        <f t="shared" si="45"/>
        <v>1352</v>
      </c>
      <c r="H1434" s="15">
        <f t="shared" si="46"/>
        <v>0</v>
      </c>
      <c r="I1434" s="19"/>
    </row>
    <row r="1435" spans="1:9" ht="15.75" x14ac:dyDescent="0.25">
      <c r="A1435" s="51">
        <v>42807</v>
      </c>
      <c r="B1435" s="52" t="s">
        <v>9233</v>
      </c>
      <c r="C1435" s="18">
        <v>104213</v>
      </c>
      <c r="D1435" s="2" t="s">
        <v>30</v>
      </c>
      <c r="E1435" s="15">
        <v>517.4</v>
      </c>
      <c r="G1435" s="15">
        <f t="shared" si="45"/>
        <v>517.4</v>
      </c>
      <c r="H1435" s="15">
        <f t="shared" si="46"/>
        <v>0</v>
      </c>
      <c r="I1435" s="19"/>
    </row>
    <row r="1436" spans="1:9" ht="15.75" x14ac:dyDescent="0.25">
      <c r="A1436" s="51">
        <v>42807</v>
      </c>
      <c r="B1436" s="52" t="s">
        <v>9234</v>
      </c>
      <c r="C1436" s="18">
        <v>104214</v>
      </c>
      <c r="D1436" s="2" t="s">
        <v>115</v>
      </c>
      <c r="E1436" s="15">
        <v>2978.4</v>
      </c>
      <c r="F1436" s="59">
        <v>42809</v>
      </c>
      <c r="G1436" s="15">
        <f t="shared" si="45"/>
        <v>2978.4</v>
      </c>
      <c r="H1436" s="15">
        <f t="shared" si="46"/>
        <v>0</v>
      </c>
      <c r="I1436" s="19"/>
    </row>
    <row r="1437" spans="1:9" ht="15.75" x14ac:dyDescent="0.25">
      <c r="A1437" s="51">
        <v>42807</v>
      </c>
      <c r="B1437" s="52" t="s">
        <v>9235</v>
      </c>
      <c r="C1437" s="18">
        <v>104215</v>
      </c>
      <c r="D1437" s="2" t="s">
        <v>205</v>
      </c>
      <c r="E1437" s="15">
        <v>31313.7</v>
      </c>
      <c r="F1437" s="110">
        <v>42884</v>
      </c>
      <c r="G1437" s="35">
        <f t="shared" si="45"/>
        <v>31313.7</v>
      </c>
      <c r="H1437" s="15">
        <f t="shared" si="46"/>
        <v>0</v>
      </c>
      <c r="I1437" s="19"/>
    </row>
    <row r="1438" spans="1:9" ht="15.75" x14ac:dyDescent="0.25">
      <c r="A1438" s="51">
        <v>42807</v>
      </c>
      <c r="B1438" s="52" t="s">
        <v>9236</v>
      </c>
      <c r="C1438" s="18">
        <v>104216</v>
      </c>
      <c r="D1438" s="2" t="s">
        <v>205</v>
      </c>
      <c r="E1438" s="15">
        <v>29548.2</v>
      </c>
      <c r="F1438" s="110">
        <v>42851</v>
      </c>
      <c r="G1438" s="35">
        <f t="shared" si="45"/>
        <v>29548.2</v>
      </c>
      <c r="H1438" s="15">
        <f t="shared" si="46"/>
        <v>0</v>
      </c>
      <c r="I1438" s="19"/>
    </row>
    <row r="1439" spans="1:9" ht="15.75" x14ac:dyDescent="0.25">
      <c r="A1439" s="51">
        <v>42807</v>
      </c>
      <c r="B1439" s="52" t="s">
        <v>9237</v>
      </c>
      <c r="C1439" s="18">
        <v>104217</v>
      </c>
      <c r="D1439" s="2" t="s">
        <v>125</v>
      </c>
      <c r="E1439" s="15">
        <v>6251</v>
      </c>
      <c r="F1439" s="59">
        <v>42810</v>
      </c>
      <c r="G1439" s="15">
        <f t="shared" si="45"/>
        <v>6251</v>
      </c>
      <c r="H1439" s="15">
        <f t="shared" si="46"/>
        <v>0</v>
      </c>
      <c r="I1439" s="19"/>
    </row>
    <row r="1440" spans="1:9" ht="15.75" x14ac:dyDescent="0.25">
      <c r="A1440" s="51">
        <v>42807</v>
      </c>
      <c r="B1440" s="52" t="s">
        <v>9238</v>
      </c>
      <c r="C1440" s="18">
        <v>104218</v>
      </c>
      <c r="D1440" s="2" t="s">
        <v>785</v>
      </c>
      <c r="E1440" s="15">
        <v>7684</v>
      </c>
      <c r="G1440" s="15">
        <f t="shared" si="45"/>
        <v>7684</v>
      </c>
      <c r="H1440" s="15">
        <f t="shared" si="46"/>
        <v>0</v>
      </c>
      <c r="I1440" s="19"/>
    </row>
    <row r="1441" spans="1:9" ht="15.75" x14ac:dyDescent="0.25">
      <c r="A1441" s="51">
        <v>42807</v>
      </c>
      <c r="B1441" s="52" t="s">
        <v>9239</v>
      </c>
      <c r="C1441" s="18">
        <v>104219</v>
      </c>
      <c r="D1441" s="2" t="s">
        <v>2240</v>
      </c>
      <c r="E1441" s="15">
        <v>4290.8999999999996</v>
      </c>
      <c r="G1441" s="15">
        <f t="shared" si="45"/>
        <v>4290.8999999999996</v>
      </c>
      <c r="H1441" s="15">
        <f t="shared" si="46"/>
        <v>0</v>
      </c>
      <c r="I1441" s="19"/>
    </row>
    <row r="1442" spans="1:9" ht="15.75" x14ac:dyDescent="0.25">
      <c r="A1442" s="51">
        <v>42807</v>
      </c>
      <c r="B1442" s="52" t="s">
        <v>9240</v>
      </c>
      <c r="C1442" s="18">
        <v>104220</v>
      </c>
      <c r="D1442" s="2" t="s">
        <v>785</v>
      </c>
      <c r="E1442" s="15">
        <v>9037</v>
      </c>
      <c r="G1442" s="15">
        <f t="shared" si="45"/>
        <v>9037</v>
      </c>
      <c r="H1442" s="15">
        <f t="shared" si="46"/>
        <v>0</v>
      </c>
      <c r="I1442" s="19"/>
    </row>
    <row r="1443" spans="1:9" ht="15.75" x14ac:dyDescent="0.25">
      <c r="A1443" s="51">
        <v>42807</v>
      </c>
      <c r="B1443" s="52" t="s">
        <v>9241</v>
      </c>
      <c r="C1443" s="18">
        <v>104221</v>
      </c>
      <c r="D1443" s="2" t="s">
        <v>10</v>
      </c>
      <c r="E1443" s="15">
        <v>201312.4</v>
      </c>
      <c r="F1443" s="59">
        <v>42810</v>
      </c>
      <c r="G1443" s="15">
        <f t="shared" si="45"/>
        <v>201312.4</v>
      </c>
      <c r="H1443" s="15">
        <f t="shared" si="46"/>
        <v>0</v>
      </c>
      <c r="I1443" s="19"/>
    </row>
    <row r="1444" spans="1:9" ht="15.75" x14ac:dyDescent="0.25">
      <c r="A1444" s="51">
        <v>42807</v>
      </c>
      <c r="B1444" s="52" t="s">
        <v>9242</v>
      </c>
      <c r="C1444" s="18">
        <v>104222</v>
      </c>
      <c r="D1444" s="2" t="s">
        <v>55</v>
      </c>
      <c r="E1444" s="15">
        <v>15057.2</v>
      </c>
      <c r="G1444" s="15">
        <f t="shared" si="45"/>
        <v>15057.2</v>
      </c>
      <c r="H1444" s="15">
        <f t="shared" si="46"/>
        <v>0</v>
      </c>
      <c r="I1444" s="19"/>
    </row>
    <row r="1445" spans="1:9" ht="15.75" x14ac:dyDescent="0.25">
      <c r="A1445" s="51">
        <v>42807</v>
      </c>
      <c r="B1445" s="52" t="s">
        <v>9243</v>
      </c>
      <c r="C1445" s="18">
        <v>104223</v>
      </c>
      <c r="D1445" s="2" t="s">
        <v>196</v>
      </c>
      <c r="E1445" s="15">
        <v>2861</v>
      </c>
      <c r="G1445" s="15">
        <f t="shared" si="45"/>
        <v>2861</v>
      </c>
      <c r="H1445" s="15">
        <f t="shared" si="46"/>
        <v>0</v>
      </c>
      <c r="I1445" s="19"/>
    </row>
    <row r="1446" spans="1:9" ht="15.75" x14ac:dyDescent="0.25">
      <c r="A1446" s="51">
        <v>42807</v>
      </c>
      <c r="B1446" s="52" t="s">
        <v>9244</v>
      </c>
      <c r="C1446" s="18">
        <v>104224</v>
      </c>
      <c r="D1446" s="2" t="s">
        <v>120</v>
      </c>
      <c r="E1446" s="15">
        <v>2824</v>
      </c>
      <c r="G1446" s="15">
        <f t="shared" si="45"/>
        <v>2824</v>
      </c>
      <c r="H1446" s="15">
        <f t="shared" si="46"/>
        <v>0</v>
      </c>
      <c r="I1446" s="19"/>
    </row>
    <row r="1447" spans="1:9" ht="15.75" x14ac:dyDescent="0.25">
      <c r="A1447" s="51">
        <v>42807</v>
      </c>
      <c r="B1447" s="52" t="s">
        <v>9245</v>
      </c>
      <c r="C1447" s="18">
        <v>104225</v>
      </c>
      <c r="D1447" s="2" t="s">
        <v>470</v>
      </c>
      <c r="E1447" s="15">
        <v>11884.66</v>
      </c>
      <c r="G1447" s="15">
        <f t="shared" si="45"/>
        <v>11884.66</v>
      </c>
      <c r="H1447" s="15">
        <f t="shared" si="46"/>
        <v>0</v>
      </c>
      <c r="I1447" s="19"/>
    </row>
    <row r="1448" spans="1:9" ht="15.75" x14ac:dyDescent="0.25">
      <c r="A1448" s="51">
        <v>42807</v>
      </c>
      <c r="B1448" s="52" t="s">
        <v>9246</v>
      </c>
      <c r="C1448" s="18">
        <v>104226</v>
      </c>
      <c r="D1448" s="2" t="s">
        <v>352</v>
      </c>
      <c r="E1448" s="15">
        <v>3043.2</v>
      </c>
      <c r="G1448" s="15">
        <f t="shared" si="45"/>
        <v>3043.2</v>
      </c>
      <c r="H1448" s="15">
        <f t="shared" si="46"/>
        <v>0</v>
      </c>
      <c r="I1448" s="19"/>
    </row>
    <row r="1449" spans="1:9" ht="15.75" x14ac:dyDescent="0.25">
      <c r="A1449" s="51">
        <v>42807</v>
      </c>
      <c r="B1449" s="52" t="s">
        <v>9247</v>
      </c>
      <c r="C1449" s="18">
        <v>104227</v>
      </c>
      <c r="D1449" s="2" t="s">
        <v>509</v>
      </c>
      <c r="E1449" s="15">
        <v>1849.2</v>
      </c>
      <c r="G1449" s="15">
        <f t="shared" si="45"/>
        <v>1849.2</v>
      </c>
      <c r="H1449" s="15">
        <f t="shared" si="46"/>
        <v>0</v>
      </c>
      <c r="I1449" s="19"/>
    </row>
    <row r="1450" spans="1:9" ht="15.75" x14ac:dyDescent="0.25">
      <c r="A1450" s="51">
        <v>42807</v>
      </c>
      <c r="B1450" s="52" t="s">
        <v>9248</v>
      </c>
      <c r="C1450" s="18">
        <v>104228</v>
      </c>
      <c r="D1450" s="2" t="s">
        <v>264</v>
      </c>
      <c r="E1450" s="15">
        <v>14594.58</v>
      </c>
      <c r="F1450" s="59">
        <v>42842</v>
      </c>
      <c r="G1450" s="15">
        <f t="shared" si="45"/>
        <v>14594.58</v>
      </c>
      <c r="H1450" s="15">
        <f t="shared" si="46"/>
        <v>0</v>
      </c>
      <c r="I1450" s="19"/>
    </row>
    <row r="1451" spans="1:9" ht="15.75" x14ac:dyDescent="0.25">
      <c r="A1451" s="51">
        <v>42807</v>
      </c>
      <c r="B1451" s="52" t="s">
        <v>9249</v>
      </c>
      <c r="C1451" s="18">
        <v>104229</v>
      </c>
      <c r="D1451" s="2" t="s">
        <v>9250</v>
      </c>
      <c r="E1451" s="15">
        <v>13329.8</v>
      </c>
      <c r="F1451" s="59">
        <v>42808</v>
      </c>
      <c r="G1451" s="15">
        <f t="shared" si="45"/>
        <v>13329.8</v>
      </c>
      <c r="H1451" s="15">
        <f t="shared" si="46"/>
        <v>0</v>
      </c>
      <c r="I1451" s="19"/>
    </row>
    <row r="1452" spans="1:9" ht="15.75" x14ac:dyDescent="0.25">
      <c r="A1452" s="51">
        <v>42807</v>
      </c>
      <c r="B1452" s="52" t="s">
        <v>9251</v>
      </c>
      <c r="C1452" s="18">
        <v>104230</v>
      </c>
      <c r="D1452" s="2" t="s">
        <v>2986</v>
      </c>
      <c r="E1452" s="15">
        <v>5098.6000000000004</v>
      </c>
      <c r="F1452" s="59">
        <v>42808</v>
      </c>
      <c r="G1452" s="15">
        <f t="shared" si="45"/>
        <v>5098.6000000000004</v>
      </c>
      <c r="H1452" s="15">
        <f t="shared" si="46"/>
        <v>0</v>
      </c>
      <c r="I1452" s="19"/>
    </row>
    <row r="1453" spans="1:9" ht="15.75" x14ac:dyDescent="0.25">
      <c r="A1453" s="51">
        <v>42807</v>
      </c>
      <c r="B1453" s="52" t="s">
        <v>9252</v>
      </c>
      <c r="C1453" s="18">
        <v>104231</v>
      </c>
      <c r="D1453" s="2" t="s">
        <v>53</v>
      </c>
      <c r="E1453" s="15">
        <v>1980</v>
      </c>
      <c r="F1453" s="59">
        <v>42808</v>
      </c>
      <c r="G1453" s="15">
        <f t="shared" si="45"/>
        <v>1980</v>
      </c>
      <c r="H1453" s="15">
        <f t="shared" si="46"/>
        <v>0</v>
      </c>
      <c r="I1453" s="19"/>
    </row>
    <row r="1454" spans="1:9" ht="15.75" x14ac:dyDescent="0.25">
      <c r="A1454" s="51">
        <v>42807</v>
      </c>
      <c r="B1454" s="52" t="s">
        <v>9253</v>
      </c>
      <c r="C1454" s="18">
        <v>104232</v>
      </c>
      <c r="D1454" s="2" t="s">
        <v>316</v>
      </c>
      <c r="E1454" s="15">
        <v>27522.639999999999</v>
      </c>
      <c r="F1454" s="59">
        <v>42828</v>
      </c>
      <c r="G1454" s="15">
        <f t="shared" si="45"/>
        <v>27522.639999999999</v>
      </c>
      <c r="H1454" s="15">
        <f t="shared" si="46"/>
        <v>0</v>
      </c>
      <c r="I1454" s="19"/>
    </row>
    <row r="1455" spans="1:9" ht="15.75" x14ac:dyDescent="0.25">
      <c r="A1455" s="51">
        <v>42807</v>
      </c>
      <c r="B1455" s="52" t="s">
        <v>9254</v>
      </c>
      <c r="C1455" s="18">
        <v>104233</v>
      </c>
      <c r="D1455" s="2" t="s">
        <v>457</v>
      </c>
      <c r="E1455" s="15">
        <v>638.4</v>
      </c>
      <c r="G1455" s="15">
        <f t="shared" si="45"/>
        <v>638.4</v>
      </c>
      <c r="H1455" s="15">
        <f t="shared" si="46"/>
        <v>0</v>
      </c>
      <c r="I1455" s="19"/>
    </row>
    <row r="1456" spans="1:9" ht="15.75" x14ac:dyDescent="0.25">
      <c r="A1456" s="51">
        <v>42807</v>
      </c>
      <c r="B1456" s="52" t="s">
        <v>9255</v>
      </c>
      <c r="C1456" s="18">
        <v>104234</v>
      </c>
      <c r="D1456" s="2" t="s">
        <v>457</v>
      </c>
      <c r="E1456" s="15">
        <v>266.39999999999998</v>
      </c>
      <c r="G1456" s="15">
        <f t="shared" si="45"/>
        <v>266.39999999999998</v>
      </c>
      <c r="H1456" s="15">
        <f t="shared" si="46"/>
        <v>0</v>
      </c>
      <c r="I1456" s="19"/>
    </row>
    <row r="1457" spans="1:9" ht="15.75" x14ac:dyDescent="0.25">
      <c r="A1457" s="51">
        <v>42807</v>
      </c>
      <c r="B1457" s="52" t="s">
        <v>9256</v>
      </c>
      <c r="C1457" s="18">
        <v>104235</v>
      </c>
      <c r="D1457" s="2" t="s">
        <v>57</v>
      </c>
      <c r="E1457" s="15">
        <v>592.20000000000005</v>
      </c>
      <c r="F1457" s="59">
        <v>42808</v>
      </c>
      <c r="G1457" s="15">
        <f t="shared" si="45"/>
        <v>592.20000000000005</v>
      </c>
      <c r="H1457" s="15">
        <f t="shared" si="46"/>
        <v>0</v>
      </c>
      <c r="I1457" s="19"/>
    </row>
    <row r="1458" spans="1:9" ht="15.75" x14ac:dyDescent="0.25">
      <c r="A1458" s="51">
        <v>42807</v>
      </c>
      <c r="B1458" s="52" t="s">
        <v>9257</v>
      </c>
      <c r="C1458" s="18">
        <v>104236</v>
      </c>
      <c r="D1458" s="2" t="s">
        <v>331</v>
      </c>
      <c r="E1458" s="15">
        <v>2218.64</v>
      </c>
      <c r="F1458" s="59">
        <v>42808</v>
      </c>
      <c r="G1458" s="15">
        <f t="shared" si="45"/>
        <v>2218.64</v>
      </c>
      <c r="H1458" s="15">
        <f t="shared" si="46"/>
        <v>0</v>
      </c>
      <c r="I1458" s="19"/>
    </row>
    <row r="1459" spans="1:9" ht="15.75" x14ac:dyDescent="0.25">
      <c r="A1459" s="51">
        <v>42807</v>
      </c>
      <c r="B1459" s="52" t="s">
        <v>9258</v>
      </c>
      <c r="C1459" s="18">
        <v>104237</v>
      </c>
      <c r="D1459" s="2" t="s">
        <v>2616</v>
      </c>
      <c r="E1459" s="15">
        <v>16324</v>
      </c>
      <c r="F1459" s="59">
        <v>42809</v>
      </c>
      <c r="G1459" s="15">
        <f t="shared" si="45"/>
        <v>16324</v>
      </c>
      <c r="H1459" s="15">
        <f t="shared" si="46"/>
        <v>0</v>
      </c>
      <c r="I1459" s="19"/>
    </row>
    <row r="1460" spans="1:9" ht="15.75" x14ac:dyDescent="0.25">
      <c r="A1460" s="51">
        <v>42807</v>
      </c>
      <c r="B1460" s="52" t="s">
        <v>9259</v>
      </c>
      <c r="C1460" s="18">
        <v>104238</v>
      </c>
      <c r="D1460" s="2" t="s">
        <v>509</v>
      </c>
      <c r="E1460" s="15">
        <v>14296.6</v>
      </c>
      <c r="F1460" s="59">
        <v>42823</v>
      </c>
      <c r="G1460" s="15">
        <f t="shared" si="45"/>
        <v>14296.6</v>
      </c>
      <c r="H1460" s="15">
        <f t="shared" si="46"/>
        <v>0</v>
      </c>
      <c r="I1460" s="19"/>
    </row>
    <row r="1461" spans="1:9" ht="15.75" x14ac:dyDescent="0.25">
      <c r="A1461" s="51">
        <v>42807</v>
      </c>
      <c r="B1461" s="52" t="s">
        <v>9260</v>
      </c>
      <c r="C1461" s="18">
        <v>104239</v>
      </c>
      <c r="D1461" s="2" t="s">
        <v>122</v>
      </c>
      <c r="E1461" s="15">
        <v>5719</v>
      </c>
      <c r="F1461" s="59">
        <v>42812</v>
      </c>
      <c r="G1461" s="15">
        <f t="shared" si="45"/>
        <v>5719</v>
      </c>
      <c r="H1461" s="15">
        <f t="shared" si="46"/>
        <v>0</v>
      </c>
      <c r="I1461" s="19"/>
    </row>
    <row r="1462" spans="1:9" ht="15.75" x14ac:dyDescent="0.25">
      <c r="A1462" s="51">
        <v>42807</v>
      </c>
      <c r="B1462" s="52" t="s">
        <v>9261</v>
      </c>
      <c r="C1462" s="18">
        <v>104240</v>
      </c>
      <c r="D1462" s="2" t="s">
        <v>193</v>
      </c>
      <c r="E1462" s="15">
        <v>1959.6</v>
      </c>
      <c r="F1462" s="59">
        <v>42809</v>
      </c>
      <c r="G1462" s="15">
        <f t="shared" si="45"/>
        <v>1959.6</v>
      </c>
      <c r="H1462" s="15">
        <f t="shared" si="46"/>
        <v>0</v>
      </c>
      <c r="I1462" s="19"/>
    </row>
    <row r="1463" spans="1:9" ht="15.75" x14ac:dyDescent="0.25">
      <c r="A1463" s="51">
        <v>42807</v>
      </c>
      <c r="B1463" s="52" t="s">
        <v>9262</v>
      </c>
      <c r="C1463" s="18">
        <v>104241</v>
      </c>
      <c r="D1463" s="2" t="s">
        <v>182</v>
      </c>
      <c r="E1463" s="15">
        <v>2345.3000000000002</v>
      </c>
      <c r="F1463" s="59">
        <v>42809</v>
      </c>
      <c r="G1463" s="15">
        <f t="shared" si="45"/>
        <v>2345.3000000000002</v>
      </c>
      <c r="H1463" s="15">
        <f t="shared" si="46"/>
        <v>0</v>
      </c>
      <c r="I1463" s="19"/>
    </row>
    <row r="1464" spans="1:9" ht="15.75" x14ac:dyDescent="0.25">
      <c r="A1464" s="51">
        <v>42807</v>
      </c>
      <c r="B1464" s="52" t="s">
        <v>9263</v>
      </c>
      <c r="C1464" s="18">
        <v>104242</v>
      </c>
      <c r="D1464" s="2" t="s">
        <v>2535</v>
      </c>
      <c r="E1464" s="15">
        <v>1470</v>
      </c>
      <c r="F1464" s="59">
        <v>42809</v>
      </c>
      <c r="G1464" s="15">
        <f t="shared" si="45"/>
        <v>1470</v>
      </c>
      <c r="H1464" s="15">
        <f t="shared" si="46"/>
        <v>0</v>
      </c>
      <c r="I1464" s="19"/>
    </row>
    <row r="1465" spans="1:9" ht="15.75" x14ac:dyDescent="0.25">
      <c r="A1465" s="51">
        <v>42807</v>
      </c>
      <c r="B1465" s="52" t="s">
        <v>9264</v>
      </c>
      <c r="C1465" s="18">
        <v>104243</v>
      </c>
      <c r="D1465" s="2" t="s">
        <v>8104</v>
      </c>
      <c r="E1465" s="15">
        <v>3249.7</v>
      </c>
      <c r="F1465" s="59">
        <v>42809</v>
      </c>
      <c r="G1465" s="15">
        <f t="shared" si="45"/>
        <v>3249.7</v>
      </c>
      <c r="H1465" s="15">
        <f t="shared" si="46"/>
        <v>0</v>
      </c>
      <c r="I1465" s="19"/>
    </row>
    <row r="1466" spans="1:9" ht="15.75" x14ac:dyDescent="0.25">
      <c r="A1466" s="51">
        <v>42807</v>
      </c>
      <c r="B1466" s="52" t="s">
        <v>9265</v>
      </c>
      <c r="C1466" s="18">
        <v>104244</v>
      </c>
      <c r="D1466" s="2" t="s">
        <v>428</v>
      </c>
      <c r="E1466" s="15">
        <v>420</v>
      </c>
      <c r="F1466" s="59">
        <v>42810</v>
      </c>
      <c r="G1466" s="15">
        <f t="shared" si="45"/>
        <v>420</v>
      </c>
      <c r="H1466" s="15">
        <f t="shared" si="46"/>
        <v>0</v>
      </c>
      <c r="I1466" s="19"/>
    </row>
    <row r="1467" spans="1:9" ht="15.75" x14ac:dyDescent="0.25">
      <c r="A1467" s="51">
        <v>42807</v>
      </c>
      <c r="B1467" s="52" t="s">
        <v>9266</v>
      </c>
      <c r="C1467" s="18">
        <v>104245</v>
      </c>
      <c r="D1467" s="2" t="s">
        <v>656</v>
      </c>
      <c r="E1467" s="15">
        <v>10641.6</v>
      </c>
      <c r="F1467" s="59">
        <v>42809</v>
      </c>
      <c r="G1467" s="15">
        <f t="shared" si="45"/>
        <v>10641.6</v>
      </c>
      <c r="H1467" s="15">
        <f t="shared" si="46"/>
        <v>0</v>
      </c>
      <c r="I1467" s="19"/>
    </row>
    <row r="1468" spans="1:9" ht="15.75" x14ac:dyDescent="0.25">
      <c r="A1468" s="51">
        <v>42807</v>
      </c>
      <c r="B1468" s="52" t="s">
        <v>9267</v>
      </c>
      <c r="C1468" s="18">
        <v>104246</v>
      </c>
      <c r="D1468" s="2" t="s">
        <v>917</v>
      </c>
      <c r="E1468" s="15">
        <v>2350</v>
      </c>
      <c r="F1468" s="59">
        <v>42809</v>
      </c>
      <c r="G1468" s="15">
        <f t="shared" si="45"/>
        <v>2350</v>
      </c>
      <c r="H1468" s="15">
        <f t="shared" si="46"/>
        <v>0</v>
      </c>
      <c r="I1468" s="19"/>
    </row>
    <row r="1469" spans="1:9" ht="15.75" x14ac:dyDescent="0.25">
      <c r="A1469" s="51">
        <v>42807</v>
      </c>
      <c r="B1469" s="52" t="s">
        <v>9268</v>
      </c>
      <c r="C1469" s="18">
        <v>104247</v>
      </c>
      <c r="D1469" s="2" t="s">
        <v>370</v>
      </c>
      <c r="E1469" s="15">
        <v>2560.5</v>
      </c>
      <c r="G1469" s="15">
        <f t="shared" si="45"/>
        <v>2560.5</v>
      </c>
      <c r="H1469" s="15">
        <f t="shared" si="46"/>
        <v>0</v>
      </c>
      <c r="I1469" s="19"/>
    </row>
    <row r="1470" spans="1:9" ht="15.75" x14ac:dyDescent="0.25">
      <c r="A1470" s="51">
        <v>42807</v>
      </c>
      <c r="B1470" s="52" t="s">
        <v>9269</v>
      </c>
      <c r="C1470" s="18">
        <v>104248</v>
      </c>
      <c r="D1470" s="2" t="s">
        <v>10</v>
      </c>
      <c r="E1470" s="15">
        <v>39840.400000000001</v>
      </c>
      <c r="F1470" s="64" t="s">
        <v>9173</v>
      </c>
      <c r="G1470" s="20">
        <f>11822.88+28017.2+0.32</f>
        <v>39840.400000000001</v>
      </c>
      <c r="H1470" s="20">
        <f t="shared" si="46"/>
        <v>0</v>
      </c>
      <c r="I1470" s="19"/>
    </row>
    <row r="1471" spans="1:9" ht="15.75" x14ac:dyDescent="0.25">
      <c r="A1471" s="51">
        <v>42807</v>
      </c>
      <c r="B1471" s="52" t="s">
        <v>9270</v>
      </c>
      <c r="C1471" s="18">
        <v>104249</v>
      </c>
      <c r="D1471" s="2" t="s">
        <v>10</v>
      </c>
      <c r="E1471" s="15">
        <v>57472.9</v>
      </c>
      <c r="F1471" s="59">
        <v>42812</v>
      </c>
      <c r="G1471" s="15">
        <f>E1471</f>
        <v>57472.9</v>
      </c>
      <c r="H1471" s="15">
        <f t="shared" si="46"/>
        <v>0</v>
      </c>
      <c r="I1471" s="19"/>
    </row>
    <row r="1472" spans="1:9" ht="15.75" x14ac:dyDescent="0.25">
      <c r="A1472" s="51">
        <v>42807</v>
      </c>
      <c r="B1472" s="52" t="s">
        <v>9271</v>
      </c>
      <c r="C1472" s="18">
        <v>104250</v>
      </c>
      <c r="D1472" s="2" t="s">
        <v>354</v>
      </c>
      <c r="E1472" s="15">
        <v>1350.2</v>
      </c>
      <c r="G1472" s="15">
        <f t="shared" si="45"/>
        <v>1350.2</v>
      </c>
      <c r="H1472" s="15">
        <f t="shared" si="46"/>
        <v>0</v>
      </c>
      <c r="I1472" s="19"/>
    </row>
    <row r="1473" spans="1:9" ht="15.75" x14ac:dyDescent="0.25">
      <c r="A1473" s="51">
        <v>42807</v>
      </c>
      <c r="B1473" s="52" t="s">
        <v>9272</v>
      </c>
      <c r="C1473" s="18">
        <v>104251</v>
      </c>
      <c r="D1473" s="2" t="s">
        <v>10</v>
      </c>
      <c r="E1473" s="15">
        <v>30753.9</v>
      </c>
      <c r="F1473" s="59">
        <v>42812</v>
      </c>
      <c r="G1473" s="15">
        <f t="shared" si="45"/>
        <v>30753.9</v>
      </c>
      <c r="H1473" s="15">
        <f t="shared" si="46"/>
        <v>0</v>
      </c>
      <c r="I1473" s="19"/>
    </row>
    <row r="1474" spans="1:9" ht="15.75" x14ac:dyDescent="0.25">
      <c r="A1474" s="51">
        <v>42807</v>
      </c>
      <c r="B1474" s="52" t="s">
        <v>9273</v>
      </c>
      <c r="C1474" s="18">
        <v>104252</v>
      </c>
      <c r="D1474" s="2" t="s">
        <v>222</v>
      </c>
      <c r="E1474" s="15">
        <v>41298.400000000001</v>
      </c>
      <c r="F1474" s="59">
        <v>42812</v>
      </c>
      <c r="G1474" s="15">
        <f t="shared" si="45"/>
        <v>41298.400000000001</v>
      </c>
      <c r="H1474" s="15">
        <f t="shared" si="46"/>
        <v>0</v>
      </c>
      <c r="I1474" s="19"/>
    </row>
    <row r="1475" spans="1:9" ht="15.75" x14ac:dyDescent="0.25">
      <c r="A1475" s="51">
        <v>42807</v>
      </c>
      <c r="B1475" s="52" t="s">
        <v>9274</v>
      </c>
      <c r="C1475" s="18">
        <v>104253</v>
      </c>
      <c r="D1475" s="2" t="s">
        <v>312</v>
      </c>
      <c r="E1475" s="15">
        <v>8839.5</v>
      </c>
      <c r="F1475" s="59">
        <v>42846</v>
      </c>
      <c r="G1475" s="15">
        <f t="shared" si="45"/>
        <v>8839.5</v>
      </c>
      <c r="H1475" s="15">
        <f t="shared" si="46"/>
        <v>0</v>
      </c>
      <c r="I1475" s="19"/>
    </row>
    <row r="1476" spans="1:9" ht="15.75" x14ac:dyDescent="0.25">
      <c r="A1476" s="51">
        <v>42807</v>
      </c>
      <c r="B1476" s="52" t="s">
        <v>9275</v>
      </c>
      <c r="C1476" s="18">
        <v>104254</v>
      </c>
      <c r="D1476" s="2" t="s">
        <v>675</v>
      </c>
      <c r="E1476" s="15">
        <v>1663.4</v>
      </c>
      <c r="F1476" s="59">
        <v>42810</v>
      </c>
      <c r="G1476" s="15">
        <f t="shared" ref="G1476:G1539" si="47">E1476</f>
        <v>1663.4</v>
      </c>
      <c r="H1476" s="15">
        <f t="shared" ref="H1476:H1539" si="48">E1476-G1476</f>
        <v>0</v>
      </c>
      <c r="I1476" s="19"/>
    </row>
    <row r="1477" spans="1:9" ht="15.75" x14ac:dyDescent="0.25">
      <c r="A1477" s="51">
        <v>42807</v>
      </c>
      <c r="B1477" s="52" t="s">
        <v>9276</v>
      </c>
      <c r="C1477" s="18">
        <v>104255</v>
      </c>
      <c r="D1477" s="2" t="s">
        <v>680</v>
      </c>
      <c r="E1477" s="15">
        <v>3405.8</v>
      </c>
      <c r="F1477" s="59">
        <v>42810</v>
      </c>
      <c r="G1477" s="15">
        <f t="shared" si="47"/>
        <v>3405.8</v>
      </c>
      <c r="H1477" s="15">
        <f t="shared" si="48"/>
        <v>0</v>
      </c>
      <c r="I1477" s="19"/>
    </row>
    <row r="1478" spans="1:9" ht="15.75" x14ac:dyDescent="0.25">
      <c r="A1478" s="51">
        <v>42807</v>
      </c>
      <c r="B1478" s="52" t="s">
        <v>9277</v>
      </c>
      <c r="C1478" s="18">
        <v>104256</v>
      </c>
      <c r="D1478" s="2" t="s">
        <v>688</v>
      </c>
      <c r="E1478" s="15">
        <v>2857.6</v>
      </c>
      <c r="F1478" s="59">
        <v>42810</v>
      </c>
      <c r="G1478" s="15">
        <f t="shared" si="47"/>
        <v>2857.6</v>
      </c>
      <c r="H1478" s="15">
        <f t="shared" si="48"/>
        <v>0</v>
      </c>
      <c r="I1478" s="19"/>
    </row>
    <row r="1479" spans="1:9" ht="15.75" x14ac:dyDescent="0.25">
      <c r="A1479" s="51">
        <v>42807</v>
      </c>
      <c r="B1479" s="52" t="s">
        <v>9278</v>
      </c>
      <c r="C1479" s="18">
        <v>104257</v>
      </c>
      <c r="D1479" s="2" t="s">
        <v>677</v>
      </c>
      <c r="E1479" s="15">
        <v>1400.2</v>
      </c>
      <c r="G1479" s="15">
        <f t="shared" si="47"/>
        <v>1400.2</v>
      </c>
      <c r="H1479" s="15">
        <f t="shared" si="48"/>
        <v>0</v>
      </c>
      <c r="I1479" s="19"/>
    </row>
    <row r="1480" spans="1:9" ht="15.75" x14ac:dyDescent="0.25">
      <c r="A1480" s="51">
        <v>42807</v>
      </c>
      <c r="B1480" s="52" t="s">
        <v>9279</v>
      </c>
      <c r="C1480" s="18">
        <v>104258</v>
      </c>
      <c r="D1480" s="2" t="s">
        <v>10</v>
      </c>
      <c r="E1480" s="15">
        <v>15492.9</v>
      </c>
      <c r="F1480" s="59">
        <v>42812</v>
      </c>
      <c r="G1480" s="15">
        <f t="shared" si="47"/>
        <v>15492.9</v>
      </c>
      <c r="H1480" s="15">
        <f t="shared" si="48"/>
        <v>0</v>
      </c>
      <c r="I1480" s="19"/>
    </row>
    <row r="1481" spans="1:9" ht="15.75" x14ac:dyDescent="0.25">
      <c r="A1481" s="51">
        <v>42807</v>
      </c>
      <c r="B1481" s="52" t="s">
        <v>9280</v>
      </c>
      <c r="C1481" s="18">
        <v>104259</v>
      </c>
      <c r="D1481" s="2" t="s">
        <v>1598</v>
      </c>
      <c r="E1481" s="15">
        <v>4386.8</v>
      </c>
      <c r="F1481" s="59">
        <v>42810</v>
      </c>
      <c r="G1481" s="15">
        <f t="shared" si="47"/>
        <v>4386.8</v>
      </c>
      <c r="H1481" s="15">
        <f t="shared" si="48"/>
        <v>0</v>
      </c>
      <c r="I1481" s="19"/>
    </row>
    <row r="1482" spans="1:9" ht="15.75" x14ac:dyDescent="0.25">
      <c r="A1482" s="51">
        <v>42807</v>
      </c>
      <c r="B1482" s="52" t="s">
        <v>9281</v>
      </c>
      <c r="C1482" s="18">
        <v>104260</v>
      </c>
      <c r="D1482" s="2" t="s">
        <v>677</v>
      </c>
      <c r="E1482" s="15">
        <v>1280.5999999999999</v>
      </c>
      <c r="F1482" s="59">
        <v>42810</v>
      </c>
      <c r="G1482" s="15">
        <f t="shared" si="47"/>
        <v>1280.5999999999999</v>
      </c>
      <c r="H1482" s="15">
        <f t="shared" si="48"/>
        <v>0</v>
      </c>
      <c r="I1482" s="19"/>
    </row>
    <row r="1483" spans="1:9" ht="15.75" x14ac:dyDescent="0.25">
      <c r="A1483" s="51">
        <v>42807</v>
      </c>
      <c r="B1483" s="52" t="s">
        <v>9282</v>
      </c>
      <c r="C1483" s="18">
        <v>104261</v>
      </c>
      <c r="D1483" s="2" t="s">
        <v>1197</v>
      </c>
      <c r="E1483" s="15">
        <v>6948</v>
      </c>
      <c r="F1483" s="59">
        <v>42810</v>
      </c>
      <c r="G1483" s="15">
        <f t="shared" si="47"/>
        <v>6948</v>
      </c>
      <c r="H1483" s="15">
        <f t="shared" si="48"/>
        <v>0</v>
      </c>
      <c r="I1483" s="19"/>
    </row>
    <row r="1484" spans="1:9" ht="15.75" x14ac:dyDescent="0.25">
      <c r="A1484" s="51">
        <v>42807</v>
      </c>
      <c r="B1484" s="52" t="s">
        <v>9283</v>
      </c>
      <c r="C1484" s="18">
        <v>104262</v>
      </c>
      <c r="D1484" s="2" t="s">
        <v>670</v>
      </c>
      <c r="E1484" s="15">
        <v>71064.2</v>
      </c>
      <c r="G1484" s="15">
        <f t="shared" si="47"/>
        <v>71064.2</v>
      </c>
      <c r="H1484" s="15">
        <f t="shared" si="48"/>
        <v>0</v>
      </c>
      <c r="I1484" s="19"/>
    </row>
    <row r="1485" spans="1:9" ht="15.75" x14ac:dyDescent="0.25">
      <c r="A1485" s="51">
        <v>42807</v>
      </c>
      <c r="B1485" s="52" t="s">
        <v>9284</v>
      </c>
      <c r="C1485" s="18">
        <v>104263</v>
      </c>
      <c r="D1485" s="2" t="s">
        <v>673</v>
      </c>
      <c r="E1485" s="15">
        <v>4728</v>
      </c>
      <c r="F1485" s="59">
        <v>42810</v>
      </c>
      <c r="G1485" s="15">
        <f t="shared" si="47"/>
        <v>4728</v>
      </c>
      <c r="H1485" s="15">
        <f t="shared" si="48"/>
        <v>0</v>
      </c>
      <c r="I1485" s="19"/>
    </row>
    <row r="1486" spans="1:9" ht="15.75" x14ac:dyDescent="0.25">
      <c r="A1486" s="51">
        <v>42807</v>
      </c>
      <c r="B1486" s="52" t="s">
        <v>9285</v>
      </c>
      <c r="C1486" s="18">
        <v>104264</v>
      </c>
      <c r="D1486" s="2" t="s">
        <v>211</v>
      </c>
      <c r="E1486" s="15">
        <v>8181.6</v>
      </c>
      <c r="G1486" s="15">
        <f t="shared" si="47"/>
        <v>8181.6</v>
      </c>
      <c r="H1486" s="15">
        <f t="shared" si="48"/>
        <v>0</v>
      </c>
      <c r="I1486" s="19"/>
    </row>
    <row r="1487" spans="1:9" ht="15.75" x14ac:dyDescent="0.25">
      <c r="A1487" s="51">
        <v>42807</v>
      </c>
      <c r="B1487" s="52" t="s">
        <v>9286</v>
      </c>
      <c r="C1487" s="18">
        <v>104265</v>
      </c>
      <c r="D1487" s="2" t="s">
        <v>670</v>
      </c>
      <c r="E1487" s="15">
        <v>228943.95</v>
      </c>
      <c r="F1487" s="59">
        <v>42812</v>
      </c>
      <c r="G1487" s="15">
        <f t="shared" si="47"/>
        <v>228943.95</v>
      </c>
      <c r="H1487" s="15">
        <f t="shared" si="48"/>
        <v>0</v>
      </c>
      <c r="I1487" s="19"/>
    </row>
    <row r="1488" spans="1:9" ht="15.75" x14ac:dyDescent="0.25">
      <c r="A1488" s="51">
        <v>42807</v>
      </c>
      <c r="B1488" s="52" t="s">
        <v>9287</v>
      </c>
      <c r="C1488" s="18">
        <v>104266</v>
      </c>
      <c r="D1488" s="2" t="s">
        <v>673</v>
      </c>
      <c r="E1488" s="15">
        <v>4334</v>
      </c>
      <c r="G1488" s="15">
        <f t="shared" si="47"/>
        <v>4334</v>
      </c>
      <c r="H1488" s="15">
        <f t="shared" si="48"/>
        <v>0</v>
      </c>
      <c r="I1488" s="19"/>
    </row>
    <row r="1489" spans="1:9" ht="15.75" x14ac:dyDescent="0.25">
      <c r="A1489" s="51">
        <v>42807</v>
      </c>
      <c r="B1489" s="52" t="s">
        <v>9288</v>
      </c>
      <c r="C1489" s="18">
        <v>104267</v>
      </c>
      <c r="D1489" s="2" t="s">
        <v>686</v>
      </c>
      <c r="E1489" s="15">
        <v>22763.9</v>
      </c>
      <c r="F1489" s="59">
        <v>42810</v>
      </c>
      <c r="G1489" s="15">
        <f t="shared" si="47"/>
        <v>22763.9</v>
      </c>
      <c r="H1489" s="15">
        <f t="shared" si="48"/>
        <v>0</v>
      </c>
      <c r="I1489" s="19"/>
    </row>
    <row r="1490" spans="1:9" ht="15.75" x14ac:dyDescent="0.25">
      <c r="A1490" s="51">
        <v>42807</v>
      </c>
      <c r="B1490" s="52" t="s">
        <v>9289</v>
      </c>
      <c r="C1490" s="18">
        <v>104268</v>
      </c>
      <c r="D1490" s="2" t="s">
        <v>222</v>
      </c>
      <c r="E1490" s="15">
        <v>400075</v>
      </c>
      <c r="F1490" s="59">
        <v>42812</v>
      </c>
      <c r="G1490" s="15">
        <f t="shared" si="47"/>
        <v>400075</v>
      </c>
      <c r="H1490" s="15">
        <f t="shared" si="48"/>
        <v>0</v>
      </c>
      <c r="I1490" s="19"/>
    </row>
    <row r="1491" spans="1:9" ht="15.75" x14ac:dyDescent="0.25">
      <c r="A1491" s="51">
        <v>42807</v>
      </c>
      <c r="B1491" s="52" t="s">
        <v>9290</v>
      </c>
      <c r="C1491" s="18">
        <v>104269</v>
      </c>
      <c r="D1491" s="2" t="s">
        <v>10</v>
      </c>
      <c r="E1491" s="15">
        <v>2340</v>
      </c>
      <c r="F1491" s="59">
        <v>42812</v>
      </c>
      <c r="G1491" s="15">
        <f t="shared" si="47"/>
        <v>2340</v>
      </c>
      <c r="H1491" s="15">
        <f t="shared" si="48"/>
        <v>0</v>
      </c>
      <c r="I1491" s="19"/>
    </row>
    <row r="1492" spans="1:9" ht="15.75" x14ac:dyDescent="0.25">
      <c r="A1492" s="51">
        <v>42807</v>
      </c>
      <c r="B1492" s="52" t="s">
        <v>9291</v>
      </c>
      <c r="C1492" s="18">
        <v>104270</v>
      </c>
      <c r="D1492" s="2" t="s">
        <v>220</v>
      </c>
      <c r="E1492" s="15">
        <v>2405.1999999999998</v>
      </c>
      <c r="G1492" s="15">
        <f t="shared" si="47"/>
        <v>2405.1999999999998</v>
      </c>
      <c r="H1492" s="15">
        <f t="shared" si="48"/>
        <v>0</v>
      </c>
      <c r="I1492" s="19"/>
    </row>
    <row r="1493" spans="1:9" ht="15.75" x14ac:dyDescent="0.25">
      <c r="A1493" s="51">
        <v>42808</v>
      </c>
      <c r="B1493" s="52" t="s">
        <v>9292</v>
      </c>
      <c r="C1493" s="18">
        <v>104271</v>
      </c>
      <c r="D1493" s="2" t="s">
        <v>231</v>
      </c>
      <c r="E1493" s="15">
        <v>6482.9</v>
      </c>
      <c r="F1493" s="59">
        <v>42809</v>
      </c>
      <c r="G1493" s="15">
        <f t="shared" si="47"/>
        <v>6482.9</v>
      </c>
      <c r="H1493" s="15">
        <f t="shared" si="48"/>
        <v>0</v>
      </c>
      <c r="I1493" s="19"/>
    </row>
    <row r="1494" spans="1:9" ht="15.75" x14ac:dyDescent="0.25">
      <c r="A1494" s="51">
        <v>42808</v>
      </c>
      <c r="B1494" s="52" t="s">
        <v>9293</v>
      </c>
      <c r="C1494" s="18">
        <v>104272</v>
      </c>
      <c r="D1494" s="13" t="s">
        <v>231</v>
      </c>
      <c r="E1494" s="14">
        <v>0</v>
      </c>
      <c r="F1494" s="102" t="s">
        <v>95</v>
      </c>
      <c r="G1494" s="14">
        <f t="shared" si="47"/>
        <v>0</v>
      </c>
      <c r="H1494" s="14">
        <f t="shared" si="48"/>
        <v>0</v>
      </c>
      <c r="I1494" s="19"/>
    </row>
    <row r="1495" spans="1:9" ht="15.75" x14ac:dyDescent="0.25">
      <c r="A1495" s="51">
        <v>42808</v>
      </c>
      <c r="B1495" s="52" t="s">
        <v>9294</v>
      </c>
      <c r="C1495" s="18">
        <v>104273</v>
      </c>
      <c r="D1495" s="2" t="s">
        <v>231</v>
      </c>
      <c r="E1495" s="15">
        <v>37906.199999999997</v>
      </c>
      <c r="F1495" s="59">
        <v>42809</v>
      </c>
      <c r="G1495" s="15">
        <f t="shared" si="47"/>
        <v>37906.199999999997</v>
      </c>
      <c r="H1495" s="15">
        <f t="shared" si="48"/>
        <v>0</v>
      </c>
      <c r="I1495" s="19"/>
    </row>
    <row r="1496" spans="1:9" ht="15.75" x14ac:dyDescent="0.25">
      <c r="A1496" s="51">
        <v>42808</v>
      </c>
      <c r="B1496" s="52" t="s">
        <v>9295</v>
      </c>
      <c r="C1496" s="18">
        <v>104274</v>
      </c>
      <c r="D1496" s="13" t="s">
        <v>26</v>
      </c>
      <c r="E1496" s="14">
        <v>0</v>
      </c>
      <c r="F1496" s="102" t="s">
        <v>95</v>
      </c>
      <c r="G1496" s="14">
        <f t="shared" si="47"/>
        <v>0</v>
      </c>
      <c r="H1496" s="14">
        <f t="shared" si="48"/>
        <v>0</v>
      </c>
      <c r="I1496" s="19"/>
    </row>
    <row r="1497" spans="1:9" ht="15.75" x14ac:dyDescent="0.25">
      <c r="A1497" s="51">
        <v>42808</v>
      </c>
      <c r="B1497" s="52" t="s">
        <v>9296</v>
      </c>
      <c r="C1497" s="18">
        <v>104275</v>
      </c>
      <c r="D1497" s="2" t="s">
        <v>26</v>
      </c>
      <c r="E1497" s="15">
        <v>19525.400000000001</v>
      </c>
      <c r="F1497" s="59">
        <v>42808</v>
      </c>
      <c r="G1497" s="15">
        <f t="shared" si="47"/>
        <v>19525.400000000001</v>
      </c>
      <c r="H1497" s="15">
        <f t="shared" si="48"/>
        <v>0</v>
      </c>
      <c r="I1497" s="19"/>
    </row>
    <row r="1498" spans="1:9" ht="15.75" x14ac:dyDescent="0.25">
      <c r="A1498" s="51">
        <v>42808</v>
      </c>
      <c r="B1498" s="52" t="s">
        <v>9297</v>
      </c>
      <c r="C1498" s="18">
        <v>104276</v>
      </c>
      <c r="D1498" s="2" t="s">
        <v>428</v>
      </c>
      <c r="E1498" s="15">
        <v>1680</v>
      </c>
      <c r="F1498" s="59">
        <v>42810</v>
      </c>
      <c r="G1498" s="15">
        <f t="shared" si="47"/>
        <v>1680</v>
      </c>
      <c r="H1498" s="15">
        <f t="shared" si="48"/>
        <v>0</v>
      </c>
      <c r="I1498" s="19"/>
    </row>
    <row r="1499" spans="1:9" ht="15.75" x14ac:dyDescent="0.25">
      <c r="A1499" s="51">
        <v>42808</v>
      </c>
      <c r="B1499" s="52" t="s">
        <v>9298</v>
      </c>
      <c r="C1499" s="18">
        <v>104277</v>
      </c>
      <c r="D1499" s="2" t="s">
        <v>69</v>
      </c>
      <c r="E1499" s="15">
        <v>4031.6</v>
      </c>
      <c r="F1499" s="59">
        <v>42808</v>
      </c>
      <c r="G1499" s="15">
        <f t="shared" si="47"/>
        <v>4031.6</v>
      </c>
      <c r="H1499" s="15">
        <f t="shared" si="48"/>
        <v>0</v>
      </c>
      <c r="I1499" s="19"/>
    </row>
    <row r="1500" spans="1:9" ht="15.75" x14ac:dyDescent="0.25">
      <c r="A1500" s="51">
        <v>42808</v>
      </c>
      <c r="B1500" s="52" t="s">
        <v>9299</v>
      </c>
      <c r="C1500" s="18">
        <v>104278</v>
      </c>
      <c r="D1500" s="2" t="s">
        <v>17</v>
      </c>
      <c r="E1500" s="15">
        <v>2124.4</v>
      </c>
      <c r="F1500" s="59">
        <v>42808</v>
      </c>
      <c r="G1500" s="15">
        <f t="shared" si="47"/>
        <v>2124.4</v>
      </c>
      <c r="H1500" s="15">
        <f t="shared" si="48"/>
        <v>0</v>
      </c>
      <c r="I1500" s="19"/>
    </row>
    <row r="1501" spans="1:9" ht="15.75" x14ac:dyDescent="0.25">
      <c r="A1501" s="51">
        <v>42808</v>
      </c>
      <c r="B1501" s="52" t="s">
        <v>9300</v>
      </c>
      <c r="C1501" s="18">
        <v>104279</v>
      </c>
      <c r="D1501" s="2" t="s">
        <v>222</v>
      </c>
      <c r="E1501" s="15">
        <v>20954.150000000001</v>
      </c>
      <c r="F1501" s="59">
        <v>42812</v>
      </c>
      <c r="G1501" s="15">
        <f t="shared" si="47"/>
        <v>20954.150000000001</v>
      </c>
      <c r="H1501" s="15">
        <f t="shared" si="48"/>
        <v>0</v>
      </c>
      <c r="I1501" s="19"/>
    </row>
    <row r="1502" spans="1:9" ht="15.75" x14ac:dyDescent="0.25">
      <c r="A1502" s="51">
        <v>42808</v>
      </c>
      <c r="B1502" s="52" t="s">
        <v>9301</v>
      </c>
      <c r="C1502" s="18">
        <v>104280</v>
      </c>
      <c r="D1502" s="2" t="s">
        <v>9302</v>
      </c>
      <c r="E1502" s="15">
        <v>6561.6</v>
      </c>
      <c r="F1502" s="59">
        <v>42808</v>
      </c>
      <c r="G1502" s="15">
        <f t="shared" si="47"/>
        <v>6561.6</v>
      </c>
      <c r="H1502" s="15">
        <f t="shared" si="48"/>
        <v>0</v>
      </c>
      <c r="I1502" s="19"/>
    </row>
    <row r="1503" spans="1:9" ht="15.75" x14ac:dyDescent="0.25">
      <c r="A1503" s="51">
        <v>42808</v>
      </c>
      <c r="B1503" s="52" t="s">
        <v>9303</v>
      </c>
      <c r="C1503" s="18">
        <v>104281</v>
      </c>
      <c r="D1503" s="2" t="s">
        <v>40</v>
      </c>
      <c r="E1503" s="15">
        <v>3053.2</v>
      </c>
      <c r="F1503" s="59">
        <v>42808</v>
      </c>
      <c r="G1503" s="15">
        <f t="shared" si="47"/>
        <v>3053.2</v>
      </c>
      <c r="H1503" s="15">
        <f t="shared" si="48"/>
        <v>0</v>
      </c>
      <c r="I1503" s="19"/>
    </row>
    <row r="1504" spans="1:9" ht="15.75" x14ac:dyDescent="0.25">
      <c r="A1504" s="51">
        <v>42808</v>
      </c>
      <c r="B1504" s="52" t="s">
        <v>9304</v>
      </c>
      <c r="C1504" s="18">
        <v>104282</v>
      </c>
      <c r="D1504" s="2" t="s">
        <v>509</v>
      </c>
      <c r="E1504" s="15">
        <v>7648.9</v>
      </c>
      <c r="F1504" s="59">
        <v>42808</v>
      </c>
      <c r="G1504" s="15">
        <f t="shared" si="47"/>
        <v>7648.9</v>
      </c>
      <c r="H1504" s="15">
        <f t="shared" si="48"/>
        <v>0</v>
      </c>
      <c r="I1504" s="19"/>
    </row>
    <row r="1505" spans="1:9" ht="15.75" x14ac:dyDescent="0.25">
      <c r="A1505" s="51">
        <v>42808</v>
      </c>
      <c r="B1505" s="52" t="s">
        <v>9305</v>
      </c>
      <c r="C1505" s="18">
        <v>104283</v>
      </c>
      <c r="D1505" s="13" t="s">
        <v>28</v>
      </c>
      <c r="E1505" s="14">
        <v>0</v>
      </c>
      <c r="F1505" s="102" t="s">
        <v>95</v>
      </c>
      <c r="G1505" s="14">
        <f t="shared" si="47"/>
        <v>0</v>
      </c>
      <c r="H1505" s="14">
        <f t="shared" si="48"/>
        <v>0</v>
      </c>
      <c r="I1505" s="19"/>
    </row>
    <row r="1506" spans="1:9" ht="15.75" x14ac:dyDescent="0.25">
      <c r="A1506" s="51">
        <v>42808</v>
      </c>
      <c r="B1506" s="52" t="s">
        <v>9306</v>
      </c>
      <c r="C1506" s="18">
        <v>104284</v>
      </c>
      <c r="D1506" s="2" t="s">
        <v>47</v>
      </c>
      <c r="E1506" s="15">
        <v>3780.5</v>
      </c>
      <c r="F1506" s="59">
        <v>42808</v>
      </c>
      <c r="G1506" s="15">
        <f t="shared" si="47"/>
        <v>3780.5</v>
      </c>
      <c r="H1506" s="15">
        <f t="shared" si="48"/>
        <v>0</v>
      </c>
      <c r="I1506" s="19"/>
    </row>
    <row r="1507" spans="1:9" ht="15.75" x14ac:dyDescent="0.25">
      <c r="A1507" s="51">
        <v>42808</v>
      </c>
      <c r="B1507" s="52" t="s">
        <v>9307</v>
      </c>
      <c r="C1507" s="18">
        <v>104285</v>
      </c>
      <c r="D1507" s="2" t="s">
        <v>28</v>
      </c>
      <c r="E1507" s="15">
        <v>4807.3999999999996</v>
      </c>
      <c r="F1507" s="59">
        <v>42808</v>
      </c>
      <c r="G1507" s="15">
        <f t="shared" si="47"/>
        <v>4807.3999999999996</v>
      </c>
      <c r="H1507" s="15">
        <f t="shared" si="48"/>
        <v>0</v>
      </c>
      <c r="I1507" s="19"/>
    </row>
    <row r="1508" spans="1:9" ht="15.75" x14ac:dyDescent="0.25">
      <c r="A1508" s="51">
        <v>42808</v>
      </c>
      <c r="B1508" s="52" t="s">
        <v>9308</v>
      </c>
      <c r="C1508" s="18">
        <v>104286</v>
      </c>
      <c r="D1508" s="2" t="s">
        <v>236</v>
      </c>
      <c r="E1508" s="15">
        <v>34961.1</v>
      </c>
      <c r="F1508" s="59">
        <v>42818</v>
      </c>
      <c r="G1508" s="15">
        <f t="shared" si="47"/>
        <v>34961.1</v>
      </c>
      <c r="H1508" s="15">
        <f t="shared" si="48"/>
        <v>0</v>
      </c>
      <c r="I1508" s="19"/>
    </row>
    <row r="1509" spans="1:9" ht="15.75" x14ac:dyDescent="0.25">
      <c r="A1509" s="51">
        <v>42808</v>
      </c>
      <c r="B1509" s="52" t="s">
        <v>9309</v>
      </c>
      <c r="C1509" s="18">
        <v>104287</v>
      </c>
      <c r="D1509" s="2" t="s">
        <v>222</v>
      </c>
      <c r="E1509" s="15">
        <v>44756.15</v>
      </c>
      <c r="F1509" s="59">
        <v>42812</v>
      </c>
      <c r="G1509" s="15">
        <f t="shared" si="47"/>
        <v>44756.15</v>
      </c>
      <c r="H1509" s="15">
        <f t="shared" si="48"/>
        <v>0</v>
      </c>
      <c r="I1509" s="19"/>
    </row>
    <row r="1510" spans="1:9" ht="15.75" x14ac:dyDescent="0.25">
      <c r="A1510" s="51">
        <v>42808</v>
      </c>
      <c r="B1510" s="52" t="s">
        <v>9310</v>
      </c>
      <c r="C1510" s="18">
        <v>104288</v>
      </c>
      <c r="D1510" s="2" t="s">
        <v>38</v>
      </c>
      <c r="E1510" s="15">
        <v>2982</v>
      </c>
      <c r="F1510" s="59">
        <v>42810</v>
      </c>
      <c r="G1510" s="15">
        <f t="shared" si="47"/>
        <v>2982</v>
      </c>
      <c r="H1510" s="15">
        <f t="shared" si="48"/>
        <v>0</v>
      </c>
      <c r="I1510" s="19"/>
    </row>
    <row r="1511" spans="1:9" ht="15.75" x14ac:dyDescent="0.25">
      <c r="A1511" s="51">
        <v>42808</v>
      </c>
      <c r="B1511" s="52" t="s">
        <v>9311</v>
      </c>
      <c r="C1511" s="18">
        <v>104289</v>
      </c>
      <c r="D1511" s="2" t="s">
        <v>49</v>
      </c>
      <c r="E1511" s="15">
        <v>9567.6</v>
      </c>
      <c r="F1511" s="64">
        <v>42811</v>
      </c>
      <c r="G1511" s="20">
        <f>3000+4000+2567.6</f>
        <v>9567.6</v>
      </c>
      <c r="H1511" s="20">
        <f t="shared" si="48"/>
        <v>0</v>
      </c>
      <c r="I1511" s="19"/>
    </row>
    <row r="1512" spans="1:9" ht="15.75" x14ac:dyDescent="0.25">
      <c r="A1512" s="51">
        <v>42808</v>
      </c>
      <c r="B1512" s="52" t="s">
        <v>9312</v>
      </c>
      <c r="C1512" s="18">
        <v>104290</v>
      </c>
      <c r="D1512" s="2" t="s">
        <v>35</v>
      </c>
      <c r="E1512" s="15">
        <v>9184.7999999999993</v>
      </c>
      <c r="F1512" s="59">
        <v>42810</v>
      </c>
      <c r="G1512" s="15">
        <f t="shared" si="47"/>
        <v>9184.7999999999993</v>
      </c>
      <c r="H1512" s="15">
        <f t="shared" si="48"/>
        <v>0</v>
      </c>
      <c r="I1512" s="19"/>
    </row>
    <row r="1513" spans="1:9" ht="15.75" x14ac:dyDescent="0.25">
      <c r="A1513" s="51">
        <v>42808</v>
      </c>
      <c r="B1513" s="52" t="s">
        <v>9313</v>
      </c>
      <c r="C1513" s="18">
        <v>104291</v>
      </c>
      <c r="D1513" s="2" t="s">
        <v>32</v>
      </c>
      <c r="E1513" s="15">
        <v>6013.7</v>
      </c>
      <c r="F1513" s="59">
        <v>42810</v>
      </c>
      <c r="G1513" s="15">
        <f t="shared" si="47"/>
        <v>6013.7</v>
      </c>
      <c r="H1513" s="15">
        <f t="shared" si="48"/>
        <v>0</v>
      </c>
      <c r="I1513" s="19"/>
    </row>
    <row r="1514" spans="1:9" ht="15.75" x14ac:dyDescent="0.25">
      <c r="A1514" s="51">
        <v>42808</v>
      </c>
      <c r="B1514" s="52" t="s">
        <v>9314</v>
      </c>
      <c r="C1514" s="18">
        <v>104292</v>
      </c>
      <c r="D1514" s="2" t="s">
        <v>40</v>
      </c>
      <c r="E1514" s="15">
        <v>4013.6</v>
      </c>
      <c r="F1514" s="59">
        <v>42810</v>
      </c>
      <c r="G1514" s="15">
        <f t="shared" si="47"/>
        <v>4013.6</v>
      </c>
      <c r="H1514" s="15">
        <f t="shared" si="48"/>
        <v>0</v>
      </c>
      <c r="I1514" s="19"/>
    </row>
    <row r="1515" spans="1:9" ht="15.75" x14ac:dyDescent="0.25">
      <c r="A1515" s="51">
        <v>42808</v>
      </c>
      <c r="B1515" s="52" t="s">
        <v>9315</v>
      </c>
      <c r="C1515" s="18">
        <v>104293</v>
      </c>
      <c r="D1515" s="2" t="s">
        <v>250</v>
      </c>
      <c r="E1515" s="15">
        <v>4158.2</v>
      </c>
      <c r="F1515" s="59">
        <v>42810</v>
      </c>
      <c r="G1515" s="15">
        <f t="shared" si="47"/>
        <v>4158.2</v>
      </c>
      <c r="H1515" s="15">
        <f t="shared" si="48"/>
        <v>0</v>
      </c>
      <c r="I1515" s="19"/>
    </row>
    <row r="1516" spans="1:9" ht="15.75" x14ac:dyDescent="0.25">
      <c r="A1516" s="51">
        <v>42808</v>
      </c>
      <c r="B1516" s="52" t="s">
        <v>9316</v>
      </c>
      <c r="C1516" s="18">
        <v>104294</v>
      </c>
      <c r="D1516" s="2" t="s">
        <v>51</v>
      </c>
      <c r="E1516" s="15">
        <v>3250.4</v>
      </c>
      <c r="F1516" s="59">
        <v>42810</v>
      </c>
      <c r="G1516" s="15">
        <f t="shared" si="47"/>
        <v>3250.4</v>
      </c>
      <c r="H1516" s="15">
        <f t="shared" si="48"/>
        <v>0</v>
      </c>
      <c r="I1516" s="19"/>
    </row>
    <row r="1517" spans="1:9" ht="15.75" x14ac:dyDescent="0.25">
      <c r="A1517" s="51">
        <v>42808</v>
      </c>
      <c r="B1517" s="52" t="s">
        <v>9317</v>
      </c>
      <c r="C1517" s="18">
        <v>104295</v>
      </c>
      <c r="D1517" s="2" t="s">
        <v>43</v>
      </c>
      <c r="E1517" s="15">
        <v>2506</v>
      </c>
      <c r="F1517" s="59">
        <v>42810</v>
      </c>
      <c r="G1517" s="15">
        <f t="shared" si="47"/>
        <v>2506</v>
      </c>
      <c r="H1517" s="15">
        <f t="shared" si="48"/>
        <v>0</v>
      </c>
      <c r="I1517" s="19"/>
    </row>
    <row r="1518" spans="1:9" ht="15.75" x14ac:dyDescent="0.25">
      <c r="A1518" s="51">
        <v>42808</v>
      </c>
      <c r="B1518" s="52" t="s">
        <v>9318</v>
      </c>
      <c r="C1518" s="18">
        <v>104296</v>
      </c>
      <c r="D1518" s="2" t="s">
        <v>120</v>
      </c>
      <c r="E1518" s="15">
        <v>1310.2</v>
      </c>
      <c r="F1518" s="59">
        <v>42808</v>
      </c>
      <c r="G1518" s="15">
        <f t="shared" si="47"/>
        <v>1310.2</v>
      </c>
      <c r="H1518" s="15">
        <f t="shared" si="48"/>
        <v>0</v>
      </c>
      <c r="I1518" s="19"/>
    </row>
    <row r="1519" spans="1:9" ht="15.75" x14ac:dyDescent="0.25">
      <c r="A1519" s="51">
        <v>42808</v>
      </c>
      <c r="B1519" s="52" t="s">
        <v>9319</v>
      </c>
      <c r="C1519" s="18">
        <v>104297</v>
      </c>
      <c r="D1519" s="2" t="s">
        <v>289</v>
      </c>
      <c r="E1519" s="15">
        <v>135881.9</v>
      </c>
      <c r="F1519" s="59">
        <v>42818</v>
      </c>
      <c r="G1519" s="15">
        <f>4370.71+131511.19</f>
        <v>135881.9</v>
      </c>
      <c r="H1519" s="15">
        <f t="shared" si="48"/>
        <v>0</v>
      </c>
      <c r="I1519" s="19"/>
    </row>
    <row r="1520" spans="1:9" ht="15.75" x14ac:dyDescent="0.25">
      <c r="A1520" s="51">
        <v>42808</v>
      </c>
      <c r="B1520" s="52" t="s">
        <v>9320</v>
      </c>
      <c r="C1520" s="18">
        <v>104298</v>
      </c>
      <c r="D1520" s="2" t="s">
        <v>1259</v>
      </c>
      <c r="E1520" s="15">
        <v>1955</v>
      </c>
      <c r="F1520" s="59">
        <v>42808</v>
      </c>
      <c r="G1520" s="15">
        <f t="shared" si="47"/>
        <v>1955</v>
      </c>
      <c r="H1520" s="15">
        <f t="shared" si="48"/>
        <v>0</v>
      </c>
      <c r="I1520" s="19"/>
    </row>
    <row r="1521" spans="1:9" ht="15.75" x14ac:dyDescent="0.25">
      <c r="A1521" s="51">
        <v>42808</v>
      </c>
      <c r="B1521" s="52" t="s">
        <v>9321</v>
      </c>
      <c r="C1521" s="18">
        <v>104299</v>
      </c>
      <c r="D1521" s="2" t="s">
        <v>83</v>
      </c>
      <c r="E1521" s="15">
        <v>3586.8</v>
      </c>
      <c r="F1521" s="59">
        <v>42808</v>
      </c>
      <c r="G1521" s="15">
        <f t="shared" si="47"/>
        <v>3586.8</v>
      </c>
      <c r="H1521" s="15">
        <f t="shared" si="48"/>
        <v>0</v>
      </c>
      <c r="I1521" s="19"/>
    </row>
    <row r="1522" spans="1:9" ht="15.75" x14ac:dyDescent="0.25">
      <c r="A1522" s="51">
        <v>42808</v>
      </c>
      <c r="B1522" s="52" t="s">
        <v>9322</v>
      </c>
      <c r="C1522" s="18">
        <v>104300</v>
      </c>
      <c r="D1522" s="2" t="s">
        <v>281</v>
      </c>
      <c r="E1522" s="15">
        <v>1303.8</v>
      </c>
      <c r="F1522" s="59">
        <v>42808</v>
      </c>
      <c r="G1522" s="15">
        <f t="shared" si="47"/>
        <v>1303.8</v>
      </c>
      <c r="H1522" s="15">
        <f t="shared" si="48"/>
        <v>0</v>
      </c>
      <c r="I1522" s="19"/>
    </row>
    <row r="1523" spans="1:9" ht="15.75" x14ac:dyDescent="0.25">
      <c r="A1523" s="51">
        <v>42808</v>
      </c>
      <c r="B1523" s="52" t="s">
        <v>9323</v>
      </c>
      <c r="C1523" s="18">
        <v>104301</v>
      </c>
      <c r="D1523" s="2" t="s">
        <v>103</v>
      </c>
      <c r="E1523" s="15">
        <v>3685.5</v>
      </c>
      <c r="F1523" s="59">
        <v>42809</v>
      </c>
      <c r="G1523" s="15">
        <f t="shared" si="47"/>
        <v>3685.5</v>
      </c>
      <c r="H1523" s="15">
        <f t="shared" si="48"/>
        <v>0</v>
      </c>
      <c r="I1523" s="19"/>
    </row>
    <row r="1524" spans="1:9" ht="15.75" x14ac:dyDescent="0.25">
      <c r="A1524" s="51">
        <v>42808</v>
      </c>
      <c r="B1524" s="52" t="s">
        <v>9324</v>
      </c>
      <c r="C1524" s="18">
        <v>104302</v>
      </c>
      <c r="D1524" s="2" t="s">
        <v>99</v>
      </c>
      <c r="E1524" s="15">
        <v>1884.7</v>
      </c>
      <c r="F1524" s="59">
        <v>42808</v>
      </c>
      <c r="G1524" s="15">
        <f t="shared" si="47"/>
        <v>1884.7</v>
      </c>
      <c r="H1524" s="15">
        <f t="shared" si="48"/>
        <v>0</v>
      </c>
      <c r="I1524" s="19"/>
    </row>
    <row r="1525" spans="1:9" ht="15.75" x14ac:dyDescent="0.25">
      <c r="A1525" s="51">
        <v>42808</v>
      </c>
      <c r="B1525" s="52" t="s">
        <v>9325</v>
      </c>
      <c r="C1525" s="18">
        <v>104303</v>
      </c>
      <c r="D1525" s="2" t="s">
        <v>101</v>
      </c>
      <c r="E1525" s="15">
        <v>944.7</v>
      </c>
      <c r="F1525" s="59">
        <v>42808</v>
      </c>
      <c r="G1525" s="15">
        <f t="shared" si="47"/>
        <v>944.7</v>
      </c>
      <c r="H1525" s="15">
        <f t="shared" si="48"/>
        <v>0</v>
      </c>
      <c r="I1525" s="19"/>
    </row>
    <row r="1526" spans="1:9" ht="15.75" x14ac:dyDescent="0.25">
      <c r="A1526" s="51">
        <v>42808</v>
      </c>
      <c r="B1526" s="52" t="s">
        <v>9326</v>
      </c>
      <c r="C1526" s="18">
        <v>104304</v>
      </c>
      <c r="D1526" s="2" t="s">
        <v>1081</v>
      </c>
      <c r="E1526" s="15">
        <v>385</v>
      </c>
      <c r="F1526" s="59">
        <v>42808</v>
      </c>
      <c r="G1526" s="15">
        <f t="shared" si="47"/>
        <v>385</v>
      </c>
      <c r="H1526" s="15">
        <f t="shared" si="48"/>
        <v>0</v>
      </c>
      <c r="I1526" s="19"/>
    </row>
    <row r="1527" spans="1:9" ht="15.75" x14ac:dyDescent="0.25">
      <c r="A1527" s="51">
        <v>42808</v>
      </c>
      <c r="B1527" s="52" t="s">
        <v>9327</v>
      </c>
      <c r="C1527" s="18">
        <v>104305</v>
      </c>
      <c r="D1527" s="2" t="s">
        <v>293</v>
      </c>
      <c r="E1527" s="15">
        <v>1172</v>
      </c>
      <c r="F1527" s="59">
        <v>42812</v>
      </c>
      <c r="G1527" s="15">
        <f t="shared" si="47"/>
        <v>1172</v>
      </c>
      <c r="H1527" s="15">
        <f t="shared" si="48"/>
        <v>0</v>
      </c>
      <c r="I1527" s="19"/>
    </row>
    <row r="1528" spans="1:9" ht="15.75" x14ac:dyDescent="0.25">
      <c r="A1528" s="51">
        <v>42808</v>
      </c>
      <c r="B1528" s="52" t="s">
        <v>9328</v>
      </c>
      <c r="C1528" s="18">
        <v>104306</v>
      </c>
      <c r="D1528" s="2" t="s">
        <v>92</v>
      </c>
      <c r="E1528" s="15">
        <v>1473.6</v>
      </c>
      <c r="F1528" s="59">
        <v>42808</v>
      </c>
      <c r="G1528" s="15">
        <f t="shared" si="47"/>
        <v>1473.6</v>
      </c>
      <c r="H1528" s="15">
        <f t="shared" si="48"/>
        <v>0</v>
      </c>
      <c r="I1528" s="19"/>
    </row>
    <row r="1529" spans="1:9" ht="15.75" x14ac:dyDescent="0.25">
      <c r="A1529" s="51">
        <v>42808</v>
      </c>
      <c r="B1529" s="52" t="s">
        <v>9329</v>
      </c>
      <c r="C1529" s="18">
        <v>104307</v>
      </c>
      <c r="D1529" s="2" t="s">
        <v>448</v>
      </c>
      <c r="E1529" s="15">
        <v>196.3</v>
      </c>
      <c r="F1529" s="59">
        <v>42808</v>
      </c>
      <c r="G1529" s="15">
        <f t="shared" si="47"/>
        <v>196.3</v>
      </c>
      <c r="H1529" s="15">
        <f t="shared" si="48"/>
        <v>0</v>
      </c>
      <c r="I1529" s="19"/>
    </row>
    <row r="1530" spans="1:9" ht="15.75" x14ac:dyDescent="0.25">
      <c r="A1530" s="51">
        <v>42808</v>
      </c>
      <c r="B1530" s="52" t="s">
        <v>9330</v>
      </c>
      <c r="C1530" s="18">
        <v>104308</v>
      </c>
      <c r="D1530" s="2" t="s">
        <v>88</v>
      </c>
      <c r="E1530" s="15">
        <v>5934</v>
      </c>
      <c r="F1530" s="59">
        <v>42808</v>
      </c>
      <c r="G1530" s="15">
        <f t="shared" si="47"/>
        <v>5934</v>
      </c>
      <c r="H1530" s="15">
        <f t="shared" si="48"/>
        <v>0</v>
      </c>
      <c r="I1530" s="19"/>
    </row>
    <row r="1531" spans="1:9" ht="15.75" x14ac:dyDescent="0.25">
      <c r="A1531" s="51">
        <v>42808</v>
      </c>
      <c r="B1531" s="52" t="s">
        <v>9331</v>
      </c>
      <c r="C1531" s="18">
        <v>104309</v>
      </c>
      <c r="D1531" s="2" t="s">
        <v>1256</v>
      </c>
      <c r="E1531" s="15">
        <v>2136.6999999999998</v>
      </c>
      <c r="F1531" s="59">
        <v>42808</v>
      </c>
      <c r="G1531" s="15">
        <f t="shared" si="47"/>
        <v>2136.6999999999998</v>
      </c>
      <c r="H1531" s="15">
        <f t="shared" si="48"/>
        <v>0</v>
      </c>
      <c r="I1531" s="19"/>
    </row>
    <row r="1532" spans="1:9" ht="15.75" x14ac:dyDescent="0.25">
      <c r="A1532" s="51">
        <v>42808</v>
      </c>
      <c r="B1532" s="52" t="s">
        <v>9332</v>
      </c>
      <c r="C1532" s="18">
        <v>104310</v>
      </c>
      <c r="D1532" s="2" t="s">
        <v>105</v>
      </c>
      <c r="E1532" s="15">
        <v>205.2</v>
      </c>
      <c r="F1532" s="59">
        <v>42809</v>
      </c>
      <c r="G1532" s="15">
        <f t="shared" si="47"/>
        <v>205.2</v>
      </c>
      <c r="H1532" s="15">
        <f t="shared" si="48"/>
        <v>0</v>
      </c>
      <c r="I1532" s="19"/>
    </row>
    <row r="1533" spans="1:9" ht="15.75" x14ac:dyDescent="0.25">
      <c r="A1533" s="51">
        <v>42808</v>
      </c>
      <c r="B1533" s="52" t="s">
        <v>9333</v>
      </c>
      <c r="C1533" s="18">
        <v>104311</v>
      </c>
      <c r="D1533" s="2" t="s">
        <v>109</v>
      </c>
      <c r="E1533" s="15">
        <v>3905.3</v>
      </c>
      <c r="F1533" s="59">
        <v>42808</v>
      </c>
      <c r="G1533" s="15">
        <f t="shared" si="47"/>
        <v>3905.3</v>
      </c>
      <c r="H1533" s="15">
        <f t="shared" si="48"/>
        <v>0</v>
      </c>
      <c r="I1533" s="19"/>
    </row>
    <row r="1534" spans="1:9" ht="15.75" x14ac:dyDescent="0.25">
      <c r="A1534" s="51">
        <v>42808</v>
      </c>
      <c r="B1534" s="52" t="s">
        <v>9334</v>
      </c>
      <c r="C1534" s="18">
        <v>104312</v>
      </c>
      <c r="D1534" s="2" t="s">
        <v>1325</v>
      </c>
      <c r="E1534" s="15">
        <v>1854.4</v>
      </c>
      <c r="F1534" s="59">
        <v>42808</v>
      </c>
      <c r="G1534" s="15">
        <f t="shared" si="47"/>
        <v>1854.4</v>
      </c>
      <c r="H1534" s="15">
        <f t="shared" si="48"/>
        <v>0</v>
      </c>
      <c r="I1534" s="19"/>
    </row>
    <row r="1535" spans="1:9" ht="15.75" x14ac:dyDescent="0.25">
      <c r="A1535" s="51">
        <v>42808</v>
      </c>
      <c r="B1535" s="52" t="s">
        <v>9335</v>
      </c>
      <c r="C1535" s="18">
        <v>104313</v>
      </c>
      <c r="D1535" s="2" t="s">
        <v>291</v>
      </c>
      <c r="E1535" s="15">
        <v>2342.1999999999998</v>
      </c>
      <c r="F1535" s="59">
        <v>42808</v>
      </c>
      <c r="G1535" s="15">
        <f t="shared" si="47"/>
        <v>2342.1999999999998</v>
      </c>
      <c r="H1535" s="15">
        <f t="shared" si="48"/>
        <v>0</v>
      </c>
      <c r="I1535" s="19"/>
    </row>
    <row r="1536" spans="1:9" ht="15.75" x14ac:dyDescent="0.25">
      <c r="A1536" s="51">
        <v>42808</v>
      </c>
      <c r="B1536" s="52" t="s">
        <v>9336</v>
      </c>
      <c r="C1536" s="18">
        <v>104314</v>
      </c>
      <c r="D1536" s="2" t="s">
        <v>240</v>
      </c>
      <c r="E1536" s="15">
        <v>4831.2</v>
      </c>
      <c r="F1536" s="59">
        <v>42808</v>
      </c>
      <c r="G1536" s="15">
        <f t="shared" si="47"/>
        <v>4831.2</v>
      </c>
      <c r="H1536" s="15">
        <f t="shared" si="48"/>
        <v>0</v>
      </c>
      <c r="I1536" s="19"/>
    </row>
    <row r="1537" spans="1:9" ht="15.75" x14ac:dyDescent="0.25">
      <c r="A1537" s="51">
        <v>42808</v>
      </c>
      <c r="B1537" s="52" t="s">
        <v>9337</v>
      </c>
      <c r="C1537" s="18">
        <v>104315</v>
      </c>
      <c r="D1537" s="2" t="s">
        <v>341</v>
      </c>
      <c r="E1537" s="15">
        <v>7603.2</v>
      </c>
      <c r="F1537" s="59">
        <v>42808</v>
      </c>
      <c r="G1537" s="15">
        <f t="shared" si="47"/>
        <v>7603.2</v>
      </c>
      <c r="H1537" s="15">
        <f t="shared" si="48"/>
        <v>0</v>
      </c>
      <c r="I1537" s="19"/>
    </row>
    <row r="1538" spans="1:9" ht="15.75" x14ac:dyDescent="0.25">
      <c r="A1538" s="51">
        <v>42808</v>
      </c>
      <c r="B1538" s="52" t="s">
        <v>9338</v>
      </c>
      <c r="C1538" s="18">
        <v>104316</v>
      </c>
      <c r="D1538" s="2" t="s">
        <v>1380</v>
      </c>
      <c r="E1538" s="15">
        <v>31953.200000000001</v>
      </c>
      <c r="F1538" s="59">
        <v>42808</v>
      </c>
      <c r="G1538" s="15">
        <f t="shared" si="47"/>
        <v>31953.200000000001</v>
      </c>
      <c r="H1538" s="15">
        <f t="shared" si="48"/>
        <v>0</v>
      </c>
      <c r="I1538" s="19"/>
    </row>
    <row r="1539" spans="1:9" ht="15.75" x14ac:dyDescent="0.25">
      <c r="A1539" s="51">
        <v>42808</v>
      </c>
      <c r="B1539" s="52" t="s">
        <v>9339</v>
      </c>
      <c r="C1539" s="18">
        <v>104317</v>
      </c>
      <c r="D1539" s="2" t="s">
        <v>30</v>
      </c>
      <c r="E1539" s="15">
        <v>2889.6</v>
      </c>
      <c r="F1539" s="59">
        <v>42808</v>
      </c>
      <c r="G1539" s="15">
        <f t="shared" si="47"/>
        <v>2889.6</v>
      </c>
      <c r="H1539" s="15">
        <f t="shared" si="48"/>
        <v>0</v>
      </c>
      <c r="I1539" s="19"/>
    </row>
    <row r="1540" spans="1:9" ht="15.75" x14ac:dyDescent="0.25">
      <c r="A1540" s="51">
        <v>42808</v>
      </c>
      <c r="B1540" s="52" t="s">
        <v>9340</v>
      </c>
      <c r="C1540" s="18">
        <v>104318</v>
      </c>
      <c r="D1540" s="2" t="s">
        <v>1830</v>
      </c>
      <c r="E1540" s="15">
        <v>12021.3</v>
      </c>
      <c r="F1540" s="59">
        <v>42808</v>
      </c>
      <c r="G1540" s="15">
        <f t="shared" ref="G1540:G1603" si="49">E1540</f>
        <v>12021.3</v>
      </c>
      <c r="H1540" s="15">
        <f t="shared" ref="H1540:H1603" si="50">E1540-G1540</f>
        <v>0</v>
      </c>
      <c r="I1540" s="19"/>
    </row>
    <row r="1541" spans="1:9" ht="15.75" x14ac:dyDescent="0.25">
      <c r="A1541" s="51">
        <v>42808</v>
      </c>
      <c r="B1541" s="52" t="s">
        <v>9341</v>
      </c>
      <c r="C1541" s="18">
        <v>104319</v>
      </c>
      <c r="D1541" s="2" t="s">
        <v>125</v>
      </c>
      <c r="E1541" s="15">
        <v>6202</v>
      </c>
      <c r="F1541" s="59">
        <v>42808</v>
      </c>
      <c r="G1541" s="15">
        <f t="shared" si="49"/>
        <v>6202</v>
      </c>
      <c r="H1541" s="15">
        <f t="shared" si="50"/>
        <v>0</v>
      </c>
      <c r="I1541" s="19"/>
    </row>
    <row r="1542" spans="1:9" ht="15.75" x14ac:dyDescent="0.25">
      <c r="A1542" s="51">
        <v>42808</v>
      </c>
      <c r="B1542" s="52" t="s">
        <v>9342</v>
      </c>
      <c r="C1542" s="18">
        <v>104320</v>
      </c>
      <c r="D1542" s="2" t="s">
        <v>131</v>
      </c>
      <c r="E1542" s="15">
        <v>13585.4</v>
      </c>
      <c r="F1542" s="59">
        <v>42808</v>
      </c>
      <c r="G1542" s="15">
        <f t="shared" si="49"/>
        <v>13585.4</v>
      </c>
      <c r="H1542" s="15">
        <f t="shared" si="50"/>
        <v>0</v>
      </c>
      <c r="I1542" s="19"/>
    </row>
    <row r="1543" spans="1:9" ht="15.75" x14ac:dyDescent="0.25">
      <c r="A1543" s="51">
        <v>42808</v>
      </c>
      <c r="B1543" s="52" t="s">
        <v>9343</v>
      </c>
      <c r="C1543" s="18">
        <v>104321</v>
      </c>
      <c r="D1543" s="2" t="s">
        <v>45</v>
      </c>
      <c r="E1543" s="15">
        <v>3654</v>
      </c>
      <c r="F1543" s="59">
        <v>42808</v>
      </c>
      <c r="G1543" s="15">
        <f t="shared" si="49"/>
        <v>3654</v>
      </c>
      <c r="H1543" s="15">
        <f t="shared" si="50"/>
        <v>0</v>
      </c>
      <c r="I1543" s="19"/>
    </row>
    <row r="1544" spans="1:9" ht="15.75" x14ac:dyDescent="0.25">
      <c r="A1544" s="51">
        <v>42808</v>
      </c>
      <c r="B1544" s="52" t="s">
        <v>9344</v>
      </c>
      <c r="C1544" s="18">
        <v>104322</v>
      </c>
      <c r="D1544" s="2" t="s">
        <v>45</v>
      </c>
      <c r="E1544" s="15">
        <v>516</v>
      </c>
      <c r="F1544" s="59">
        <v>42808</v>
      </c>
      <c r="G1544" s="15">
        <f t="shared" si="49"/>
        <v>516</v>
      </c>
      <c r="H1544" s="15">
        <f t="shared" si="50"/>
        <v>0</v>
      </c>
      <c r="I1544" s="19"/>
    </row>
    <row r="1545" spans="1:9" ht="15.75" x14ac:dyDescent="0.25">
      <c r="A1545" s="51">
        <v>42808</v>
      </c>
      <c r="B1545" s="52" t="s">
        <v>9345</v>
      </c>
      <c r="C1545" s="18">
        <v>104323</v>
      </c>
      <c r="D1545" s="2" t="s">
        <v>331</v>
      </c>
      <c r="E1545" s="15">
        <v>2390</v>
      </c>
      <c r="F1545" s="59">
        <v>42808</v>
      </c>
      <c r="G1545" s="15">
        <f t="shared" si="49"/>
        <v>2390</v>
      </c>
      <c r="H1545" s="15">
        <f t="shared" si="50"/>
        <v>0</v>
      </c>
      <c r="I1545" s="19"/>
    </row>
    <row r="1546" spans="1:9" ht="15.75" x14ac:dyDescent="0.25">
      <c r="A1546" s="51">
        <v>42808</v>
      </c>
      <c r="B1546" s="52" t="s">
        <v>9346</v>
      </c>
      <c r="C1546" s="18">
        <v>104324</v>
      </c>
      <c r="D1546" s="2" t="s">
        <v>57</v>
      </c>
      <c r="E1546" s="15">
        <v>568.70000000000005</v>
      </c>
      <c r="F1546" s="59">
        <v>42808</v>
      </c>
      <c r="G1546" s="15">
        <f t="shared" si="49"/>
        <v>568.70000000000005</v>
      </c>
      <c r="H1546" s="15">
        <f t="shared" si="50"/>
        <v>0</v>
      </c>
      <c r="I1546" s="19"/>
    </row>
    <row r="1547" spans="1:9" ht="15.75" x14ac:dyDescent="0.25">
      <c r="A1547" s="51">
        <v>42808</v>
      </c>
      <c r="B1547" s="52" t="s">
        <v>9347</v>
      </c>
      <c r="C1547" s="18">
        <v>104325</v>
      </c>
      <c r="D1547" s="2" t="s">
        <v>184</v>
      </c>
      <c r="E1547" s="15">
        <v>906.5</v>
      </c>
      <c r="F1547" s="59">
        <v>42808</v>
      </c>
      <c r="G1547" s="15">
        <f t="shared" si="49"/>
        <v>906.5</v>
      </c>
      <c r="H1547" s="15">
        <f t="shared" si="50"/>
        <v>0</v>
      </c>
      <c r="I1547" s="19"/>
    </row>
    <row r="1548" spans="1:9" ht="15.75" x14ac:dyDescent="0.25">
      <c r="A1548" s="51">
        <v>42808</v>
      </c>
      <c r="B1548" s="52" t="s">
        <v>9348</v>
      </c>
      <c r="C1548" s="18">
        <v>104326</v>
      </c>
      <c r="D1548" s="2" t="s">
        <v>61</v>
      </c>
      <c r="E1548" s="15">
        <v>7660</v>
      </c>
      <c r="F1548" s="59">
        <v>42808</v>
      </c>
      <c r="G1548" s="15">
        <f t="shared" si="49"/>
        <v>7660</v>
      </c>
      <c r="H1548" s="15">
        <f t="shared" si="50"/>
        <v>0</v>
      </c>
      <c r="I1548" s="19"/>
    </row>
    <row r="1549" spans="1:9" ht="15.75" x14ac:dyDescent="0.25">
      <c r="A1549" s="51">
        <v>42808</v>
      </c>
      <c r="B1549" s="52" t="s">
        <v>9349</v>
      </c>
      <c r="C1549" s="18">
        <v>104327</v>
      </c>
      <c r="D1549" s="2" t="s">
        <v>188</v>
      </c>
      <c r="E1549" s="15">
        <v>3036</v>
      </c>
      <c r="F1549" s="59">
        <v>42808</v>
      </c>
      <c r="G1549" s="15">
        <f t="shared" si="49"/>
        <v>3036</v>
      </c>
      <c r="H1549" s="15">
        <f t="shared" si="50"/>
        <v>0</v>
      </c>
      <c r="I1549" s="19"/>
    </row>
    <row r="1550" spans="1:9" ht="15.75" x14ac:dyDescent="0.25">
      <c r="A1550" s="51">
        <v>42808</v>
      </c>
      <c r="B1550" s="52" t="s">
        <v>9350</v>
      </c>
      <c r="C1550" s="18">
        <v>104328</v>
      </c>
      <c r="D1550" s="2" t="s">
        <v>1116</v>
      </c>
      <c r="E1550" s="15">
        <v>3191.8</v>
      </c>
      <c r="F1550" s="59">
        <v>42809</v>
      </c>
      <c r="G1550" s="15">
        <f t="shared" si="49"/>
        <v>3191.8</v>
      </c>
      <c r="H1550" s="15">
        <f t="shared" si="50"/>
        <v>0</v>
      </c>
      <c r="I1550" s="19"/>
    </row>
    <row r="1551" spans="1:9" ht="15.75" x14ac:dyDescent="0.25">
      <c r="A1551" s="51">
        <v>42808</v>
      </c>
      <c r="B1551" s="52" t="s">
        <v>9351</v>
      </c>
      <c r="C1551" s="18">
        <v>104329</v>
      </c>
      <c r="D1551" s="2" t="s">
        <v>459</v>
      </c>
      <c r="E1551" s="15">
        <v>1857.6</v>
      </c>
      <c r="F1551" s="59">
        <v>42808</v>
      </c>
      <c r="G1551" s="15">
        <f t="shared" si="49"/>
        <v>1857.6</v>
      </c>
      <c r="H1551" s="15">
        <f t="shared" si="50"/>
        <v>0</v>
      </c>
      <c r="I1551" s="19"/>
    </row>
    <row r="1552" spans="1:9" ht="15.75" x14ac:dyDescent="0.25">
      <c r="A1552" s="51">
        <v>42808</v>
      </c>
      <c r="B1552" s="52" t="s">
        <v>9352</v>
      </c>
      <c r="C1552" s="18">
        <v>104330</v>
      </c>
      <c r="D1552" s="2" t="s">
        <v>186</v>
      </c>
      <c r="E1552" s="15">
        <v>2853</v>
      </c>
      <c r="F1552" s="59">
        <v>42812</v>
      </c>
      <c r="G1552" s="15">
        <f t="shared" si="49"/>
        <v>2853</v>
      </c>
      <c r="H1552" s="15">
        <f t="shared" si="50"/>
        <v>0</v>
      </c>
      <c r="I1552" s="19"/>
    </row>
    <row r="1553" spans="1:9" ht="15.75" x14ac:dyDescent="0.25">
      <c r="A1553" s="51">
        <v>42808</v>
      </c>
      <c r="B1553" s="52" t="s">
        <v>9353</v>
      </c>
      <c r="C1553" s="18">
        <v>104331</v>
      </c>
      <c r="D1553" s="2" t="s">
        <v>858</v>
      </c>
      <c r="E1553" s="15">
        <v>392</v>
      </c>
      <c r="F1553" s="59">
        <v>42808</v>
      </c>
      <c r="G1553" s="15">
        <f t="shared" si="49"/>
        <v>392</v>
      </c>
      <c r="H1553" s="15">
        <f t="shared" si="50"/>
        <v>0</v>
      </c>
      <c r="I1553" s="19"/>
    </row>
    <row r="1554" spans="1:9" ht="15.75" x14ac:dyDescent="0.25">
      <c r="A1554" s="51">
        <v>42808</v>
      </c>
      <c r="B1554" s="52" t="s">
        <v>9354</v>
      </c>
      <c r="C1554" s="18">
        <v>104332</v>
      </c>
      <c r="D1554" s="2" t="s">
        <v>85</v>
      </c>
      <c r="E1554" s="15">
        <v>6722</v>
      </c>
      <c r="F1554" s="59">
        <v>42808</v>
      </c>
      <c r="G1554" s="15">
        <f t="shared" si="49"/>
        <v>6722</v>
      </c>
      <c r="H1554" s="15">
        <f t="shared" si="50"/>
        <v>0</v>
      </c>
      <c r="I1554" s="19"/>
    </row>
    <row r="1555" spans="1:9" ht="15.75" x14ac:dyDescent="0.25">
      <c r="A1555" s="51">
        <v>42808</v>
      </c>
      <c r="B1555" s="52" t="s">
        <v>9355</v>
      </c>
      <c r="C1555" s="18">
        <v>104333</v>
      </c>
      <c r="D1555" s="2" t="s">
        <v>531</v>
      </c>
      <c r="E1555" s="15">
        <v>30967.200000000001</v>
      </c>
      <c r="F1555" s="59">
        <v>42809</v>
      </c>
      <c r="G1555" s="15">
        <f t="shared" si="49"/>
        <v>30967.200000000001</v>
      </c>
      <c r="H1555" s="15">
        <f t="shared" si="50"/>
        <v>0</v>
      </c>
      <c r="I1555" s="19"/>
    </row>
    <row r="1556" spans="1:9" ht="15.75" x14ac:dyDescent="0.25">
      <c r="A1556" s="51">
        <v>42808</v>
      </c>
      <c r="B1556" s="52" t="s">
        <v>9356</v>
      </c>
      <c r="C1556" s="18">
        <v>104334</v>
      </c>
      <c r="D1556" s="2" t="s">
        <v>30</v>
      </c>
      <c r="E1556" s="15">
        <v>352.3</v>
      </c>
      <c r="F1556" s="59">
        <v>42808</v>
      </c>
      <c r="G1556" s="15">
        <f t="shared" si="49"/>
        <v>352.3</v>
      </c>
      <c r="H1556" s="15">
        <f t="shared" si="50"/>
        <v>0</v>
      </c>
      <c r="I1556" s="19"/>
    </row>
    <row r="1557" spans="1:9" ht="15.75" x14ac:dyDescent="0.25">
      <c r="A1557" s="51">
        <v>42808</v>
      </c>
      <c r="B1557" s="52" t="s">
        <v>9357</v>
      </c>
      <c r="C1557" s="18">
        <v>104335</v>
      </c>
      <c r="D1557" s="2" t="s">
        <v>358</v>
      </c>
      <c r="E1557" s="15">
        <v>34844.400000000001</v>
      </c>
      <c r="F1557" s="59">
        <v>42808</v>
      </c>
      <c r="G1557" s="15">
        <f t="shared" si="49"/>
        <v>34844.400000000001</v>
      </c>
      <c r="H1557" s="15">
        <f t="shared" si="50"/>
        <v>0</v>
      </c>
      <c r="I1557" s="19"/>
    </row>
    <row r="1558" spans="1:9" ht="15.75" x14ac:dyDescent="0.25">
      <c r="A1558" s="51">
        <v>42808</v>
      </c>
      <c r="B1558" s="52" t="s">
        <v>9358</v>
      </c>
      <c r="C1558" s="18">
        <v>104336</v>
      </c>
      <c r="D1558" s="2" t="s">
        <v>432</v>
      </c>
      <c r="E1558" s="15">
        <v>9054.2000000000007</v>
      </c>
      <c r="F1558" s="59">
        <v>42811</v>
      </c>
      <c r="G1558" s="15">
        <f t="shared" si="49"/>
        <v>9054.2000000000007</v>
      </c>
      <c r="H1558" s="15">
        <f t="shared" si="50"/>
        <v>0</v>
      </c>
      <c r="I1558" s="19"/>
    </row>
    <row r="1559" spans="1:9" ht="15.75" x14ac:dyDescent="0.25">
      <c r="A1559" s="51">
        <v>42808</v>
      </c>
      <c r="B1559" s="52" t="s">
        <v>9359</v>
      </c>
      <c r="C1559" s="18">
        <v>104337</v>
      </c>
      <c r="D1559" s="2" t="s">
        <v>272</v>
      </c>
      <c r="E1559" s="15">
        <v>3583.6</v>
      </c>
      <c r="F1559" s="59">
        <v>42809</v>
      </c>
      <c r="G1559" s="15">
        <f t="shared" si="49"/>
        <v>3583.6</v>
      </c>
      <c r="H1559" s="15">
        <f t="shared" si="50"/>
        <v>0</v>
      </c>
      <c r="I1559" s="19"/>
    </row>
    <row r="1560" spans="1:9" ht="15.75" x14ac:dyDescent="0.25">
      <c r="A1560" s="51">
        <v>42808</v>
      </c>
      <c r="B1560" s="52" t="s">
        <v>9360</v>
      </c>
      <c r="C1560" s="18">
        <v>104338</v>
      </c>
      <c r="D1560" s="2" t="s">
        <v>544</v>
      </c>
      <c r="E1560" s="15">
        <v>4976</v>
      </c>
      <c r="F1560" s="59">
        <v>42808</v>
      </c>
      <c r="G1560" s="15">
        <f t="shared" si="49"/>
        <v>4976</v>
      </c>
      <c r="H1560" s="15">
        <f t="shared" si="50"/>
        <v>0</v>
      </c>
      <c r="I1560" s="19"/>
    </row>
    <row r="1561" spans="1:9" ht="15.75" x14ac:dyDescent="0.25">
      <c r="A1561" s="51">
        <v>42808</v>
      </c>
      <c r="B1561" s="52" t="s">
        <v>9361</v>
      </c>
      <c r="C1561" s="18">
        <v>104339</v>
      </c>
      <c r="D1561" s="13" t="s">
        <v>272</v>
      </c>
      <c r="E1561" s="14">
        <v>0</v>
      </c>
      <c r="F1561" s="102" t="s">
        <v>95</v>
      </c>
      <c r="G1561" s="14">
        <f t="shared" si="49"/>
        <v>0</v>
      </c>
      <c r="H1561" s="14">
        <f t="shared" si="50"/>
        <v>0</v>
      </c>
      <c r="I1561" s="19"/>
    </row>
    <row r="1562" spans="1:9" ht="15.75" x14ac:dyDescent="0.25">
      <c r="A1562" s="51">
        <v>42808</v>
      </c>
      <c r="B1562" s="52" t="s">
        <v>9362</v>
      </c>
      <c r="C1562" s="18">
        <v>104340</v>
      </c>
      <c r="D1562" s="2" t="s">
        <v>435</v>
      </c>
      <c r="E1562" s="15">
        <v>3083.8</v>
      </c>
      <c r="F1562" s="59">
        <v>42809</v>
      </c>
      <c r="G1562" s="15">
        <f t="shared" si="49"/>
        <v>3083.8</v>
      </c>
      <c r="H1562" s="15">
        <f t="shared" si="50"/>
        <v>0</v>
      </c>
      <c r="I1562" s="19"/>
    </row>
    <row r="1563" spans="1:9" ht="15.75" x14ac:dyDescent="0.25">
      <c r="A1563" s="51">
        <v>42808</v>
      </c>
      <c r="B1563" s="52" t="s">
        <v>9363</v>
      </c>
      <c r="C1563" s="18">
        <v>104341</v>
      </c>
      <c r="D1563" s="2" t="s">
        <v>55</v>
      </c>
      <c r="E1563" s="15">
        <v>1486.8</v>
      </c>
      <c r="F1563" s="59">
        <v>42808</v>
      </c>
      <c r="G1563" s="15">
        <f t="shared" si="49"/>
        <v>1486.8</v>
      </c>
      <c r="H1563" s="15">
        <f t="shared" si="50"/>
        <v>0</v>
      </c>
      <c r="I1563" s="19"/>
    </row>
    <row r="1564" spans="1:9" ht="15.75" x14ac:dyDescent="0.25">
      <c r="A1564" s="51">
        <v>42808</v>
      </c>
      <c r="B1564" s="52" t="s">
        <v>9364</v>
      </c>
      <c r="C1564" s="18">
        <v>104342</v>
      </c>
      <c r="D1564" s="2" t="s">
        <v>71</v>
      </c>
      <c r="E1564" s="15">
        <v>2482.6999999999998</v>
      </c>
      <c r="F1564" s="59">
        <v>42808</v>
      </c>
      <c r="G1564" s="15">
        <f t="shared" si="49"/>
        <v>2482.6999999999998</v>
      </c>
      <c r="H1564" s="15">
        <f t="shared" si="50"/>
        <v>0</v>
      </c>
      <c r="I1564" s="19"/>
    </row>
    <row r="1565" spans="1:9" ht="15.75" x14ac:dyDescent="0.25">
      <c r="A1565" s="51">
        <v>42808</v>
      </c>
      <c r="B1565" s="52" t="s">
        <v>9365</v>
      </c>
      <c r="C1565" s="18">
        <v>104343</v>
      </c>
      <c r="D1565" s="2" t="s">
        <v>268</v>
      </c>
      <c r="E1565" s="15">
        <v>17717.5</v>
      </c>
      <c r="F1565" s="59">
        <v>42811</v>
      </c>
      <c r="G1565" s="15">
        <f t="shared" si="49"/>
        <v>17717.5</v>
      </c>
      <c r="H1565" s="15">
        <f t="shared" si="50"/>
        <v>0</v>
      </c>
      <c r="I1565" s="19"/>
    </row>
    <row r="1566" spans="1:9" ht="15.75" x14ac:dyDescent="0.25">
      <c r="A1566" s="51">
        <v>42808</v>
      </c>
      <c r="B1566" s="52" t="s">
        <v>9366</v>
      </c>
      <c r="C1566" s="18">
        <v>104344</v>
      </c>
      <c r="D1566" s="2" t="s">
        <v>302</v>
      </c>
      <c r="E1566" s="15">
        <v>10413.1</v>
      </c>
      <c r="F1566" s="59">
        <v>42808</v>
      </c>
      <c r="G1566" s="15">
        <f t="shared" si="49"/>
        <v>10413.1</v>
      </c>
      <c r="H1566" s="15">
        <f t="shared" si="50"/>
        <v>0</v>
      </c>
      <c r="I1566" s="19"/>
    </row>
    <row r="1567" spans="1:9" ht="15.75" x14ac:dyDescent="0.25">
      <c r="A1567" s="51">
        <v>42808</v>
      </c>
      <c r="B1567" s="52" t="s">
        <v>9367</v>
      </c>
      <c r="C1567" s="18">
        <v>104345</v>
      </c>
      <c r="D1567" s="2" t="s">
        <v>270</v>
      </c>
      <c r="E1567" s="15">
        <v>5167.6000000000004</v>
      </c>
      <c r="F1567" s="59">
        <v>42811</v>
      </c>
      <c r="G1567" s="15">
        <f t="shared" si="49"/>
        <v>5167.6000000000004</v>
      </c>
      <c r="H1567" s="15">
        <f t="shared" si="50"/>
        <v>0</v>
      </c>
      <c r="I1567" s="19"/>
    </row>
    <row r="1568" spans="1:9" ht="15.75" x14ac:dyDescent="0.25">
      <c r="A1568" s="51">
        <v>42808</v>
      </c>
      <c r="B1568" s="52" t="s">
        <v>9368</v>
      </c>
      <c r="C1568" s="18">
        <v>104346</v>
      </c>
      <c r="D1568" s="2" t="s">
        <v>2240</v>
      </c>
      <c r="E1568" s="15">
        <v>6794.4</v>
      </c>
      <c r="F1568" s="59">
        <v>42808</v>
      </c>
      <c r="G1568" s="15">
        <f t="shared" si="49"/>
        <v>6794.4</v>
      </c>
      <c r="H1568" s="15">
        <f t="shared" si="50"/>
        <v>0</v>
      </c>
      <c r="I1568" s="19"/>
    </row>
    <row r="1569" spans="1:9" ht="15.75" x14ac:dyDescent="0.25">
      <c r="A1569" s="51">
        <v>42808</v>
      </c>
      <c r="B1569" s="52" t="s">
        <v>9369</v>
      </c>
      <c r="C1569" s="18">
        <v>104347</v>
      </c>
      <c r="D1569" s="2" t="s">
        <v>879</v>
      </c>
      <c r="E1569" s="15">
        <v>3319.2</v>
      </c>
      <c r="F1569" s="59">
        <v>42808</v>
      </c>
      <c r="G1569" s="15">
        <f t="shared" si="49"/>
        <v>3319.2</v>
      </c>
      <c r="H1569" s="15">
        <f t="shared" si="50"/>
        <v>0</v>
      </c>
      <c r="I1569" s="19"/>
    </row>
    <row r="1570" spans="1:9" ht="15.75" x14ac:dyDescent="0.25">
      <c r="A1570" s="51">
        <v>42808</v>
      </c>
      <c r="B1570" s="52" t="s">
        <v>9370</v>
      </c>
      <c r="C1570" s="18">
        <v>104348</v>
      </c>
      <c r="D1570" s="2" t="s">
        <v>168</v>
      </c>
      <c r="E1570" s="15">
        <v>358.8</v>
      </c>
      <c r="F1570" s="59">
        <v>42808</v>
      </c>
      <c r="G1570" s="15">
        <f t="shared" si="49"/>
        <v>358.8</v>
      </c>
      <c r="H1570" s="15">
        <f t="shared" si="50"/>
        <v>0</v>
      </c>
      <c r="I1570" s="19"/>
    </row>
    <row r="1571" spans="1:9" ht="15.75" x14ac:dyDescent="0.25">
      <c r="A1571" s="51">
        <v>42808</v>
      </c>
      <c r="B1571" s="52" t="s">
        <v>9371</v>
      </c>
      <c r="C1571" s="18">
        <v>104349</v>
      </c>
      <c r="D1571" s="2" t="s">
        <v>21</v>
      </c>
      <c r="E1571" s="15">
        <v>47171</v>
      </c>
      <c r="F1571" s="59">
        <v>42825</v>
      </c>
      <c r="G1571" s="15">
        <f t="shared" si="49"/>
        <v>47171</v>
      </c>
      <c r="H1571" s="15">
        <f t="shared" si="50"/>
        <v>0</v>
      </c>
      <c r="I1571" s="19"/>
    </row>
    <row r="1572" spans="1:9" ht="15.75" x14ac:dyDescent="0.25">
      <c r="A1572" s="51">
        <v>42808</v>
      </c>
      <c r="B1572" s="52" t="s">
        <v>9372</v>
      </c>
      <c r="C1572" s="18">
        <v>104350</v>
      </c>
      <c r="D1572" s="2" t="s">
        <v>157</v>
      </c>
      <c r="E1572" s="15">
        <v>33714.1</v>
      </c>
      <c r="F1572" s="59">
        <v>42808</v>
      </c>
      <c r="G1572" s="15">
        <f t="shared" si="49"/>
        <v>33714.1</v>
      </c>
      <c r="H1572" s="15">
        <f t="shared" si="50"/>
        <v>0</v>
      </c>
      <c r="I1572" s="19"/>
    </row>
    <row r="1573" spans="1:9" ht="15.75" x14ac:dyDescent="0.25">
      <c r="A1573" s="51">
        <v>42808</v>
      </c>
      <c r="B1573" s="52" t="s">
        <v>9373</v>
      </c>
      <c r="C1573" s="18">
        <v>104351</v>
      </c>
      <c r="D1573" s="2" t="s">
        <v>274</v>
      </c>
      <c r="E1573" s="15">
        <v>6927.76</v>
      </c>
      <c r="F1573" s="59">
        <v>42818</v>
      </c>
      <c r="G1573" s="15">
        <f t="shared" si="49"/>
        <v>6927.76</v>
      </c>
      <c r="H1573" s="15">
        <f t="shared" si="50"/>
        <v>0</v>
      </c>
      <c r="I1573" s="19"/>
    </row>
    <row r="1574" spans="1:9" ht="15.75" x14ac:dyDescent="0.25">
      <c r="A1574" s="51">
        <v>42808</v>
      </c>
      <c r="B1574" s="52" t="s">
        <v>9374</v>
      </c>
      <c r="C1574" s="18">
        <v>104352</v>
      </c>
      <c r="D1574" s="2" t="s">
        <v>12</v>
      </c>
      <c r="E1574" s="15">
        <v>1337.2</v>
      </c>
      <c r="F1574" s="59">
        <v>42808</v>
      </c>
      <c r="G1574" s="15">
        <f t="shared" si="49"/>
        <v>1337.2</v>
      </c>
      <c r="H1574" s="15">
        <f t="shared" si="50"/>
        <v>0</v>
      </c>
      <c r="I1574" s="19"/>
    </row>
    <row r="1575" spans="1:9" ht="15.75" x14ac:dyDescent="0.25">
      <c r="A1575" s="51">
        <v>42808</v>
      </c>
      <c r="B1575" s="52" t="s">
        <v>9375</v>
      </c>
      <c r="C1575" s="18">
        <v>104353</v>
      </c>
      <c r="D1575" s="13" t="s">
        <v>159</v>
      </c>
      <c r="E1575" s="14">
        <v>0</v>
      </c>
      <c r="F1575" s="102" t="s">
        <v>95</v>
      </c>
      <c r="G1575" s="14">
        <f t="shared" si="49"/>
        <v>0</v>
      </c>
      <c r="H1575" s="14">
        <f t="shared" si="50"/>
        <v>0</v>
      </c>
      <c r="I1575" s="19"/>
    </row>
    <row r="1576" spans="1:9" ht="15.75" x14ac:dyDescent="0.25">
      <c r="A1576" s="51">
        <v>42808</v>
      </c>
      <c r="B1576" s="52" t="s">
        <v>9376</v>
      </c>
      <c r="C1576" s="18">
        <v>104354</v>
      </c>
      <c r="D1576" s="2" t="s">
        <v>159</v>
      </c>
      <c r="E1576" s="15">
        <v>7706.6</v>
      </c>
      <c r="F1576" s="59">
        <v>42809</v>
      </c>
      <c r="G1576" s="15">
        <f t="shared" si="49"/>
        <v>7706.6</v>
      </c>
      <c r="H1576" s="15">
        <f t="shared" si="50"/>
        <v>0</v>
      </c>
      <c r="I1576" s="19"/>
    </row>
    <row r="1577" spans="1:9" ht="15.75" x14ac:dyDescent="0.25">
      <c r="A1577" s="51">
        <v>42808</v>
      </c>
      <c r="B1577" s="52" t="s">
        <v>9377</v>
      </c>
      <c r="C1577" s="18">
        <v>104355</v>
      </c>
      <c r="D1577" s="2" t="s">
        <v>305</v>
      </c>
      <c r="E1577" s="15">
        <v>3458</v>
      </c>
      <c r="G1577" s="15">
        <f t="shared" si="49"/>
        <v>3458</v>
      </c>
      <c r="H1577" s="15">
        <f t="shared" si="50"/>
        <v>0</v>
      </c>
      <c r="I1577" s="19"/>
    </row>
    <row r="1578" spans="1:9" ht="15.75" x14ac:dyDescent="0.25">
      <c r="A1578" s="51">
        <v>42808</v>
      </c>
      <c r="B1578" s="52" t="s">
        <v>9378</v>
      </c>
      <c r="C1578" s="18">
        <v>104356</v>
      </c>
      <c r="D1578" s="2" t="s">
        <v>472</v>
      </c>
      <c r="E1578" s="15">
        <v>14746</v>
      </c>
      <c r="F1578" s="59">
        <v>42808</v>
      </c>
      <c r="G1578" s="15">
        <f t="shared" si="49"/>
        <v>14746</v>
      </c>
      <c r="H1578" s="15">
        <f t="shared" si="50"/>
        <v>0</v>
      </c>
      <c r="I1578" s="19"/>
    </row>
    <row r="1579" spans="1:9" ht="15.75" x14ac:dyDescent="0.25">
      <c r="A1579" s="51">
        <v>42808</v>
      </c>
      <c r="B1579" s="52" t="s">
        <v>9379</v>
      </c>
      <c r="C1579" s="18">
        <v>104357</v>
      </c>
      <c r="D1579" s="2" t="s">
        <v>800</v>
      </c>
      <c r="E1579" s="15">
        <v>13206</v>
      </c>
      <c r="F1579" s="64" t="s">
        <v>9380</v>
      </c>
      <c r="G1579" s="20">
        <f>10200+3006</f>
        <v>13206</v>
      </c>
      <c r="H1579" s="20">
        <f t="shared" si="50"/>
        <v>0</v>
      </c>
      <c r="I1579" s="19"/>
    </row>
    <row r="1580" spans="1:9" ht="15.75" x14ac:dyDescent="0.25">
      <c r="A1580" s="51">
        <v>42808</v>
      </c>
      <c r="B1580" s="52" t="s">
        <v>9381</v>
      </c>
      <c r="C1580" s="18">
        <v>104358</v>
      </c>
      <c r="D1580" s="2" t="s">
        <v>30</v>
      </c>
      <c r="E1580" s="15">
        <v>1987.2</v>
      </c>
      <c r="F1580" s="59">
        <v>42808</v>
      </c>
      <c r="G1580" s="15">
        <f t="shared" si="49"/>
        <v>1987.2</v>
      </c>
      <c r="H1580" s="15">
        <f t="shared" si="50"/>
        <v>0</v>
      </c>
      <c r="I1580" s="19"/>
    </row>
    <row r="1581" spans="1:9" ht="15.75" x14ac:dyDescent="0.25">
      <c r="A1581" s="51">
        <v>42808</v>
      </c>
      <c r="B1581" s="52" t="s">
        <v>9382</v>
      </c>
      <c r="C1581" s="18">
        <v>104359</v>
      </c>
      <c r="D1581" s="2" t="s">
        <v>2054</v>
      </c>
      <c r="E1581" s="15">
        <v>1554.5</v>
      </c>
      <c r="F1581" s="59">
        <v>42808</v>
      </c>
      <c r="G1581" s="15">
        <f t="shared" si="49"/>
        <v>1554.5</v>
      </c>
      <c r="H1581" s="15">
        <f t="shared" si="50"/>
        <v>0</v>
      </c>
      <c r="I1581" s="19"/>
    </row>
    <row r="1582" spans="1:9" ht="15.75" x14ac:dyDescent="0.25">
      <c r="A1582" s="51">
        <v>42808</v>
      </c>
      <c r="B1582" s="52" t="s">
        <v>9383</v>
      </c>
      <c r="C1582" s="18">
        <v>104360</v>
      </c>
      <c r="D1582" s="2" t="s">
        <v>352</v>
      </c>
      <c r="E1582" s="15">
        <v>4192</v>
      </c>
      <c r="F1582" s="59">
        <v>42808</v>
      </c>
      <c r="G1582" s="15">
        <f t="shared" si="49"/>
        <v>4192</v>
      </c>
      <c r="H1582" s="15">
        <f t="shared" si="50"/>
        <v>0</v>
      </c>
      <c r="I1582" s="19"/>
    </row>
    <row r="1583" spans="1:9" ht="15.75" x14ac:dyDescent="0.25">
      <c r="A1583" s="51">
        <v>42808</v>
      </c>
      <c r="B1583" s="52" t="s">
        <v>9384</v>
      </c>
      <c r="C1583" s="18">
        <v>104361</v>
      </c>
      <c r="D1583" s="2" t="s">
        <v>879</v>
      </c>
      <c r="E1583" s="15">
        <v>2052</v>
      </c>
      <c r="F1583" s="59">
        <v>42808</v>
      </c>
      <c r="G1583" s="15">
        <f t="shared" si="49"/>
        <v>2052</v>
      </c>
      <c r="H1583" s="15">
        <f t="shared" si="50"/>
        <v>0</v>
      </c>
      <c r="I1583" s="19"/>
    </row>
    <row r="1584" spans="1:9" ht="15.75" x14ac:dyDescent="0.25">
      <c r="A1584" s="51">
        <v>42808</v>
      </c>
      <c r="B1584" s="52" t="s">
        <v>9385</v>
      </c>
      <c r="C1584" s="18">
        <v>104362</v>
      </c>
      <c r="D1584" s="13" t="s">
        <v>7954</v>
      </c>
      <c r="E1584" s="14">
        <v>0</v>
      </c>
      <c r="F1584" s="102" t="s">
        <v>95</v>
      </c>
      <c r="G1584" s="14">
        <f t="shared" si="49"/>
        <v>0</v>
      </c>
      <c r="H1584" s="14">
        <f t="shared" si="50"/>
        <v>0</v>
      </c>
      <c r="I1584" s="19"/>
    </row>
    <row r="1585" spans="1:9" ht="15.75" x14ac:dyDescent="0.25">
      <c r="A1585" s="51">
        <v>42808</v>
      </c>
      <c r="B1585" s="52" t="s">
        <v>9386</v>
      </c>
      <c r="C1585" s="18">
        <v>104363</v>
      </c>
      <c r="D1585" s="2" t="s">
        <v>7954</v>
      </c>
      <c r="E1585" s="15">
        <v>1632.6</v>
      </c>
      <c r="F1585" s="59">
        <v>42808</v>
      </c>
      <c r="G1585" s="15">
        <f t="shared" si="49"/>
        <v>1632.6</v>
      </c>
      <c r="H1585" s="15">
        <f t="shared" si="50"/>
        <v>0</v>
      </c>
      <c r="I1585" s="19"/>
    </row>
    <row r="1586" spans="1:9" ht="15.75" x14ac:dyDescent="0.25">
      <c r="A1586" s="51">
        <v>42808</v>
      </c>
      <c r="B1586" s="52" t="s">
        <v>9387</v>
      </c>
      <c r="C1586" s="18">
        <v>104364</v>
      </c>
      <c r="D1586" s="2" t="s">
        <v>5352</v>
      </c>
      <c r="E1586" s="15">
        <v>15940.8</v>
      </c>
      <c r="F1586" s="59">
        <v>42808</v>
      </c>
      <c r="G1586" s="15">
        <f t="shared" si="49"/>
        <v>15940.8</v>
      </c>
      <c r="H1586" s="15">
        <f t="shared" si="50"/>
        <v>0</v>
      </c>
      <c r="I1586" s="19"/>
    </row>
    <row r="1587" spans="1:9" ht="15.75" x14ac:dyDescent="0.25">
      <c r="A1587" s="51">
        <v>42808</v>
      </c>
      <c r="B1587" s="52" t="s">
        <v>9388</v>
      </c>
      <c r="C1587" s="18">
        <v>104365</v>
      </c>
      <c r="D1587" s="2" t="s">
        <v>118</v>
      </c>
      <c r="E1587" s="15">
        <v>32386.36</v>
      </c>
      <c r="F1587" s="59">
        <v>42809</v>
      </c>
      <c r="G1587" s="15">
        <f t="shared" si="49"/>
        <v>32386.36</v>
      </c>
      <c r="H1587" s="15">
        <f t="shared" si="50"/>
        <v>0</v>
      </c>
      <c r="I1587" s="19"/>
    </row>
    <row r="1588" spans="1:9" ht="15.75" x14ac:dyDescent="0.25">
      <c r="A1588" s="51">
        <v>42808</v>
      </c>
      <c r="B1588" s="52" t="s">
        <v>9389</v>
      </c>
      <c r="C1588" s="18">
        <v>104366</v>
      </c>
      <c r="D1588" s="2" t="s">
        <v>9110</v>
      </c>
      <c r="E1588" s="15">
        <v>10952</v>
      </c>
      <c r="F1588" s="59">
        <v>42809</v>
      </c>
      <c r="G1588" s="15">
        <f t="shared" si="49"/>
        <v>10952</v>
      </c>
      <c r="H1588" s="15">
        <f t="shared" si="50"/>
        <v>0</v>
      </c>
      <c r="I1588" s="19"/>
    </row>
    <row r="1589" spans="1:9" ht="15.75" x14ac:dyDescent="0.25">
      <c r="A1589" s="51">
        <v>42808</v>
      </c>
      <c r="B1589" s="52" t="s">
        <v>9390</v>
      </c>
      <c r="C1589" s="18">
        <v>104367</v>
      </c>
      <c r="D1589" s="2" t="s">
        <v>354</v>
      </c>
      <c r="E1589" s="15">
        <v>508</v>
      </c>
      <c r="F1589" s="59">
        <v>42808</v>
      </c>
      <c r="G1589" s="15">
        <f t="shared" si="49"/>
        <v>508</v>
      </c>
      <c r="H1589" s="15">
        <f t="shared" si="50"/>
        <v>0</v>
      </c>
      <c r="I1589" s="19"/>
    </row>
    <row r="1590" spans="1:9" ht="15.75" x14ac:dyDescent="0.25">
      <c r="A1590" s="51">
        <v>42808</v>
      </c>
      <c r="B1590" s="52" t="s">
        <v>9391</v>
      </c>
      <c r="C1590" s="18">
        <v>104368</v>
      </c>
      <c r="D1590" s="2" t="s">
        <v>5113</v>
      </c>
      <c r="E1590" s="15">
        <v>2472.8000000000002</v>
      </c>
      <c r="F1590" s="59">
        <v>42808</v>
      </c>
      <c r="G1590" s="15">
        <f t="shared" si="49"/>
        <v>2472.8000000000002</v>
      </c>
      <c r="H1590" s="15">
        <f t="shared" si="50"/>
        <v>0</v>
      </c>
      <c r="I1590" s="19"/>
    </row>
    <row r="1591" spans="1:9" ht="15.75" x14ac:dyDescent="0.25">
      <c r="A1591" s="51">
        <v>42808</v>
      </c>
      <c r="B1591" s="52" t="s">
        <v>9392</v>
      </c>
      <c r="C1591" s="18">
        <v>104369</v>
      </c>
      <c r="D1591" s="2" t="s">
        <v>205</v>
      </c>
      <c r="E1591" s="15">
        <v>49032</v>
      </c>
      <c r="F1591" s="59">
        <v>42808</v>
      </c>
      <c r="G1591" s="15">
        <f t="shared" si="49"/>
        <v>49032</v>
      </c>
      <c r="H1591" s="15">
        <f t="shared" si="50"/>
        <v>0</v>
      </c>
      <c r="I1591" s="19"/>
    </row>
    <row r="1592" spans="1:9" ht="15.75" x14ac:dyDescent="0.25">
      <c r="A1592" s="51">
        <v>42808</v>
      </c>
      <c r="B1592" s="52" t="s">
        <v>9393</v>
      </c>
      <c r="C1592" s="18">
        <v>104370</v>
      </c>
      <c r="D1592" s="2" t="s">
        <v>118</v>
      </c>
      <c r="E1592" s="15">
        <v>3663</v>
      </c>
      <c r="F1592" s="59">
        <v>42809</v>
      </c>
      <c r="G1592" s="15">
        <f t="shared" si="49"/>
        <v>3663</v>
      </c>
      <c r="H1592" s="15">
        <f t="shared" si="50"/>
        <v>0</v>
      </c>
      <c r="I1592" s="19"/>
    </row>
    <row r="1593" spans="1:9" ht="15.75" x14ac:dyDescent="0.25">
      <c r="A1593" s="51">
        <v>42808</v>
      </c>
      <c r="B1593" s="52" t="s">
        <v>9394</v>
      </c>
      <c r="C1593" s="18">
        <v>104371</v>
      </c>
      <c r="D1593" s="2" t="s">
        <v>193</v>
      </c>
      <c r="E1593" s="15">
        <v>1945.8</v>
      </c>
      <c r="F1593" s="59">
        <v>42809</v>
      </c>
      <c r="G1593" s="15">
        <f t="shared" si="49"/>
        <v>1945.8</v>
      </c>
      <c r="H1593" s="15">
        <f t="shared" si="50"/>
        <v>0</v>
      </c>
      <c r="I1593" s="19"/>
    </row>
    <row r="1594" spans="1:9" ht="15.75" x14ac:dyDescent="0.25">
      <c r="A1594" s="51">
        <v>42808</v>
      </c>
      <c r="B1594" s="52" t="s">
        <v>9395</v>
      </c>
      <c r="C1594" s="18">
        <v>104372</v>
      </c>
      <c r="D1594" s="2" t="s">
        <v>182</v>
      </c>
      <c r="E1594" s="15">
        <v>2350</v>
      </c>
      <c r="F1594" s="59">
        <v>42809</v>
      </c>
      <c r="G1594" s="15">
        <f t="shared" si="49"/>
        <v>2350</v>
      </c>
      <c r="H1594" s="15">
        <f t="shared" si="50"/>
        <v>0</v>
      </c>
      <c r="I1594" s="19"/>
    </row>
    <row r="1595" spans="1:9" ht="15.75" x14ac:dyDescent="0.25">
      <c r="A1595" s="51">
        <v>42808</v>
      </c>
      <c r="B1595" s="52" t="s">
        <v>9396</v>
      </c>
      <c r="C1595" s="18">
        <v>104373</v>
      </c>
      <c r="D1595" s="2" t="s">
        <v>693</v>
      </c>
      <c r="E1595" s="15">
        <v>20062.099999999999</v>
      </c>
      <c r="F1595" s="59">
        <v>42822</v>
      </c>
      <c r="G1595" s="15">
        <f t="shared" si="49"/>
        <v>20062.099999999999</v>
      </c>
      <c r="H1595" s="15">
        <f t="shared" si="50"/>
        <v>0</v>
      </c>
      <c r="I1595" s="19"/>
    </row>
    <row r="1596" spans="1:9" ht="15.75" x14ac:dyDescent="0.25">
      <c r="A1596" s="51">
        <v>42808</v>
      </c>
      <c r="B1596" s="52" t="s">
        <v>9397</v>
      </c>
      <c r="C1596" s="18">
        <v>104374</v>
      </c>
      <c r="D1596" s="2" t="s">
        <v>222</v>
      </c>
      <c r="E1596" s="15">
        <v>53299.85</v>
      </c>
      <c r="F1596" s="59">
        <v>42812</v>
      </c>
      <c r="G1596" s="15">
        <f t="shared" si="49"/>
        <v>53299.85</v>
      </c>
      <c r="H1596" s="15">
        <f t="shared" si="50"/>
        <v>0</v>
      </c>
      <c r="I1596" s="19"/>
    </row>
    <row r="1597" spans="1:9" ht="15.75" x14ac:dyDescent="0.25">
      <c r="A1597" s="51">
        <v>42808</v>
      </c>
      <c r="B1597" s="52" t="s">
        <v>9398</v>
      </c>
      <c r="C1597" s="18">
        <v>104375</v>
      </c>
      <c r="D1597" s="2" t="s">
        <v>3997</v>
      </c>
      <c r="E1597" s="15">
        <v>5198</v>
      </c>
      <c r="F1597" s="59">
        <v>42812</v>
      </c>
      <c r="G1597" s="15">
        <f t="shared" si="49"/>
        <v>5198</v>
      </c>
      <c r="H1597" s="15">
        <f t="shared" si="50"/>
        <v>0</v>
      </c>
      <c r="I1597" s="19"/>
    </row>
    <row r="1598" spans="1:9" ht="15.75" x14ac:dyDescent="0.25">
      <c r="A1598" s="51">
        <v>42808</v>
      </c>
      <c r="B1598" s="52" t="s">
        <v>9399</v>
      </c>
      <c r="C1598" s="18">
        <v>104376</v>
      </c>
      <c r="D1598" s="2" t="s">
        <v>697</v>
      </c>
      <c r="E1598" s="15">
        <v>22559</v>
      </c>
      <c r="F1598" s="59">
        <v>42818</v>
      </c>
      <c r="G1598" s="15">
        <f t="shared" si="49"/>
        <v>22559</v>
      </c>
      <c r="H1598" s="15">
        <f t="shared" si="50"/>
        <v>0</v>
      </c>
      <c r="I1598" s="19"/>
    </row>
    <row r="1599" spans="1:9" ht="15.75" x14ac:dyDescent="0.25">
      <c r="A1599" s="51">
        <v>42808</v>
      </c>
      <c r="B1599" s="52" t="s">
        <v>9400</v>
      </c>
      <c r="C1599" s="18">
        <v>104377</v>
      </c>
      <c r="D1599" s="2" t="s">
        <v>10</v>
      </c>
      <c r="E1599" s="15">
        <v>135084.29999999999</v>
      </c>
      <c r="F1599" s="59">
        <v>42812</v>
      </c>
      <c r="G1599" s="15">
        <f t="shared" si="49"/>
        <v>135084.29999999999</v>
      </c>
      <c r="H1599" s="15">
        <f t="shared" si="50"/>
        <v>0</v>
      </c>
      <c r="I1599" s="19"/>
    </row>
    <row r="1600" spans="1:9" ht="15.75" x14ac:dyDescent="0.25">
      <c r="A1600" s="51">
        <v>42808</v>
      </c>
      <c r="B1600" s="52" t="s">
        <v>9401</v>
      </c>
      <c r="C1600" s="18">
        <v>104378</v>
      </c>
      <c r="D1600" s="2" t="s">
        <v>405</v>
      </c>
      <c r="E1600" s="15">
        <v>7291.2</v>
      </c>
      <c r="F1600" s="59">
        <v>42808</v>
      </c>
      <c r="G1600" s="15">
        <f t="shared" si="49"/>
        <v>7291.2</v>
      </c>
      <c r="H1600" s="15">
        <f t="shared" si="50"/>
        <v>0</v>
      </c>
      <c r="I1600" s="19"/>
    </row>
    <row r="1601" spans="1:9" ht="15.75" x14ac:dyDescent="0.25">
      <c r="A1601" s="51">
        <v>42808</v>
      </c>
      <c r="B1601" s="52" t="s">
        <v>9402</v>
      </c>
      <c r="C1601" s="18">
        <v>104379</v>
      </c>
      <c r="D1601" s="2" t="s">
        <v>222</v>
      </c>
      <c r="E1601" s="15">
        <v>160550</v>
      </c>
      <c r="F1601" s="59">
        <v>42812</v>
      </c>
      <c r="G1601" s="15">
        <f t="shared" si="49"/>
        <v>160550</v>
      </c>
      <c r="H1601" s="15">
        <f t="shared" si="50"/>
        <v>0</v>
      </c>
      <c r="I1601" s="19"/>
    </row>
    <row r="1602" spans="1:9" ht="15.75" x14ac:dyDescent="0.25">
      <c r="A1602" s="51">
        <v>42808</v>
      </c>
      <c r="B1602" s="52" t="s">
        <v>9403</v>
      </c>
      <c r="C1602" s="18">
        <v>104380</v>
      </c>
      <c r="D1602" s="2" t="s">
        <v>10</v>
      </c>
      <c r="E1602" s="15">
        <v>47028.62</v>
      </c>
      <c r="F1602" s="59">
        <v>42812</v>
      </c>
      <c r="G1602" s="15">
        <f t="shared" si="49"/>
        <v>47028.62</v>
      </c>
      <c r="H1602" s="15">
        <f t="shared" si="50"/>
        <v>0</v>
      </c>
      <c r="I1602" s="19"/>
    </row>
    <row r="1603" spans="1:9" ht="15.75" x14ac:dyDescent="0.25">
      <c r="A1603" s="51">
        <v>42808</v>
      </c>
      <c r="B1603" s="52" t="s">
        <v>9404</v>
      </c>
      <c r="C1603" s="18">
        <v>104381</v>
      </c>
      <c r="D1603" s="2" t="s">
        <v>10</v>
      </c>
      <c r="E1603" s="15">
        <v>63660.58</v>
      </c>
      <c r="F1603" s="59">
        <v>42812</v>
      </c>
      <c r="G1603" s="15">
        <f t="shared" si="49"/>
        <v>63660.58</v>
      </c>
      <c r="H1603" s="15">
        <f t="shared" si="50"/>
        <v>0</v>
      </c>
      <c r="I1603" s="19"/>
    </row>
    <row r="1604" spans="1:9" ht="15.75" x14ac:dyDescent="0.25">
      <c r="A1604" s="51">
        <v>42808</v>
      </c>
      <c r="B1604" s="52" t="s">
        <v>9405</v>
      </c>
      <c r="C1604" s="18">
        <v>104382</v>
      </c>
      <c r="D1604" s="2" t="s">
        <v>211</v>
      </c>
      <c r="E1604" s="15">
        <v>8925</v>
      </c>
      <c r="F1604" s="59">
        <v>42808</v>
      </c>
      <c r="G1604" s="15">
        <f t="shared" ref="G1604:G1667" si="51">E1604</f>
        <v>8925</v>
      </c>
      <c r="H1604" s="15">
        <f t="shared" ref="H1604:H1667" si="52">E1604-G1604</f>
        <v>0</v>
      </c>
      <c r="I1604" s="19"/>
    </row>
    <row r="1605" spans="1:9" ht="15.75" x14ac:dyDescent="0.25">
      <c r="A1605" s="51">
        <v>42808</v>
      </c>
      <c r="B1605" s="52" t="s">
        <v>9406</v>
      </c>
      <c r="C1605" s="18">
        <v>104383</v>
      </c>
      <c r="D1605" s="2" t="s">
        <v>921</v>
      </c>
      <c r="E1605" s="15">
        <v>4909.8</v>
      </c>
      <c r="F1605" s="59">
        <v>42808</v>
      </c>
      <c r="G1605" s="15">
        <f t="shared" si="51"/>
        <v>4909.8</v>
      </c>
      <c r="H1605" s="15">
        <f t="shared" si="52"/>
        <v>0</v>
      </c>
      <c r="I1605" s="19"/>
    </row>
    <row r="1606" spans="1:9" ht="15.75" x14ac:dyDescent="0.25">
      <c r="A1606" s="51">
        <v>42808</v>
      </c>
      <c r="B1606" s="52" t="s">
        <v>9407</v>
      </c>
      <c r="C1606" s="18">
        <v>104384</v>
      </c>
      <c r="D1606" s="2" t="s">
        <v>10</v>
      </c>
      <c r="E1606" s="15">
        <v>34081.300000000003</v>
      </c>
      <c r="F1606" s="59">
        <v>42812</v>
      </c>
      <c r="G1606" s="15">
        <f t="shared" si="51"/>
        <v>34081.300000000003</v>
      </c>
      <c r="H1606" s="15">
        <f t="shared" si="52"/>
        <v>0</v>
      </c>
      <c r="I1606" s="19"/>
    </row>
    <row r="1607" spans="1:9" ht="15.75" x14ac:dyDescent="0.25">
      <c r="A1607" s="51">
        <v>42808</v>
      </c>
      <c r="B1607" s="52" t="s">
        <v>9408</v>
      </c>
      <c r="C1607" s="18">
        <v>104385</v>
      </c>
      <c r="D1607" s="2" t="s">
        <v>10</v>
      </c>
      <c r="E1607" s="15">
        <v>33282.6</v>
      </c>
      <c r="F1607" s="59">
        <v>42812</v>
      </c>
      <c r="G1607" s="15">
        <f t="shared" si="51"/>
        <v>33282.6</v>
      </c>
      <c r="H1607" s="15">
        <f t="shared" si="52"/>
        <v>0</v>
      </c>
      <c r="I1607" s="19"/>
    </row>
    <row r="1608" spans="1:9" ht="15.75" x14ac:dyDescent="0.25">
      <c r="A1608" s="51">
        <v>42808</v>
      </c>
      <c r="B1608" s="52" t="s">
        <v>9409</v>
      </c>
      <c r="C1608" s="18">
        <v>104386</v>
      </c>
      <c r="D1608" s="2" t="s">
        <v>7147</v>
      </c>
      <c r="E1608" s="15">
        <v>4536.3999999999996</v>
      </c>
      <c r="F1608" s="59">
        <v>42808</v>
      </c>
      <c r="G1608" s="15">
        <f t="shared" si="51"/>
        <v>4536.3999999999996</v>
      </c>
      <c r="H1608" s="15">
        <f t="shared" si="52"/>
        <v>0</v>
      </c>
      <c r="I1608" s="19"/>
    </row>
    <row r="1609" spans="1:9" ht="15.75" x14ac:dyDescent="0.25">
      <c r="A1609" s="51">
        <v>42808</v>
      </c>
      <c r="B1609" s="52" t="s">
        <v>9410</v>
      </c>
      <c r="C1609" s="18">
        <v>104387</v>
      </c>
      <c r="D1609" s="2" t="s">
        <v>10</v>
      </c>
      <c r="E1609" s="15">
        <v>4489.3999999999996</v>
      </c>
      <c r="G1609" s="15">
        <f t="shared" si="51"/>
        <v>4489.3999999999996</v>
      </c>
      <c r="H1609" s="15">
        <f t="shared" si="52"/>
        <v>0</v>
      </c>
      <c r="I1609" s="19"/>
    </row>
    <row r="1610" spans="1:9" ht="15.75" x14ac:dyDescent="0.25">
      <c r="A1610" s="51">
        <v>42808</v>
      </c>
      <c r="B1610" s="52" t="s">
        <v>9411</v>
      </c>
      <c r="C1610" s="18">
        <v>104388</v>
      </c>
      <c r="D1610" s="2" t="s">
        <v>220</v>
      </c>
      <c r="E1610" s="15">
        <v>2372</v>
      </c>
      <c r="F1610" s="59">
        <v>42809</v>
      </c>
      <c r="G1610" s="15">
        <f t="shared" si="51"/>
        <v>2372</v>
      </c>
      <c r="H1610" s="15">
        <f t="shared" si="52"/>
        <v>0</v>
      </c>
      <c r="I1610" s="19"/>
    </row>
    <row r="1611" spans="1:9" ht="15.75" x14ac:dyDescent="0.25">
      <c r="A1611" s="51">
        <v>42809</v>
      </c>
      <c r="B1611" s="52" t="s">
        <v>9412</v>
      </c>
      <c r="C1611" s="18">
        <v>104389</v>
      </c>
      <c r="D1611" s="2" t="s">
        <v>231</v>
      </c>
      <c r="E1611" s="15">
        <v>7507</v>
      </c>
      <c r="F1611" s="59">
        <v>42810</v>
      </c>
      <c r="G1611" s="15">
        <f t="shared" si="51"/>
        <v>7507</v>
      </c>
      <c r="H1611" s="15">
        <f t="shared" si="52"/>
        <v>0</v>
      </c>
      <c r="I1611" s="19"/>
    </row>
    <row r="1612" spans="1:9" ht="15.75" x14ac:dyDescent="0.25">
      <c r="A1612" s="51">
        <v>42809</v>
      </c>
      <c r="B1612" s="52" t="s">
        <v>9413</v>
      </c>
      <c r="C1612" s="18">
        <v>104390</v>
      </c>
      <c r="D1612" s="2" t="s">
        <v>28</v>
      </c>
      <c r="E1612" s="15">
        <v>4721.3999999999996</v>
      </c>
      <c r="F1612" s="59">
        <v>42809</v>
      </c>
      <c r="G1612" s="15">
        <f t="shared" si="51"/>
        <v>4721.3999999999996</v>
      </c>
      <c r="H1612" s="15">
        <f t="shared" si="52"/>
        <v>0</v>
      </c>
      <c r="I1612" s="19"/>
    </row>
    <row r="1613" spans="1:9" ht="15.75" x14ac:dyDescent="0.25">
      <c r="A1613" s="51">
        <v>42809</v>
      </c>
      <c r="B1613" s="52" t="s">
        <v>9414</v>
      </c>
      <c r="C1613" s="18">
        <v>104391</v>
      </c>
      <c r="D1613" s="2" t="s">
        <v>428</v>
      </c>
      <c r="E1613" s="15">
        <v>2313.6</v>
      </c>
      <c r="F1613" s="59">
        <v>42810</v>
      </c>
      <c r="G1613" s="15">
        <f t="shared" si="51"/>
        <v>2313.6</v>
      </c>
      <c r="H1613" s="15">
        <f t="shared" si="52"/>
        <v>0</v>
      </c>
      <c r="I1613" s="19"/>
    </row>
    <row r="1614" spans="1:9" ht="15.75" x14ac:dyDescent="0.25">
      <c r="A1614" s="51">
        <v>42809</v>
      </c>
      <c r="B1614" s="52" t="s">
        <v>9415</v>
      </c>
      <c r="C1614" s="18">
        <v>104392</v>
      </c>
      <c r="D1614" s="2" t="s">
        <v>428</v>
      </c>
      <c r="E1614" s="15">
        <v>430.7</v>
      </c>
      <c r="F1614" s="59">
        <v>42810</v>
      </c>
      <c r="G1614" s="15">
        <f t="shared" si="51"/>
        <v>430.7</v>
      </c>
      <c r="H1614" s="15">
        <f t="shared" si="52"/>
        <v>0</v>
      </c>
      <c r="I1614" s="19"/>
    </row>
    <row r="1615" spans="1:9" ht="15.75" x14ac:dyDescent="0.25">
      <c r="A1615" s="51">
        <v>42809</v>
      </c>
      <c r="B1615" s="52" t="s">
        <v>9416</v>
      </c>
      <c r="C1615" s="18">
        <v>104393</v>
      </c>
      <c r="D1615" s="2" t="s">
        <v>231</v>
      </c>
      <c r="E1615" s="15">
        <v>25310.7</v>
      </c>
      <c r="F1615" s="59">
        <v>42810</v>
      </c>
      <c r="G1615" s="15">
        <f t="shared" si="51"/>
        <v>25310.7</v>
      </c>
      <c r="H1615" s="15">
        <f t="shared" si="52"/>
        <v>0</v>
      </c>
      <c r="I1615" s="19"/>
    </row>
    <row r="1616" spans="1:9" ht="15.75" x14ac:dyDescent="0.25">
      <c r="A1616" s="51">
        <v>42809</v>
      </c>
      <c r="B1616" s="52" t="s">
        <v>9417</v>
      </c>
      <c r="C1616" s="18">
        <v>104394</v>
      </c>
      <c r="D1616" s="2" t="s">
        <v>26</v>
      </c>
      <c r="E1616" s="15">
        <v>16234.9</v>
      </c>
      <c r="F1616" s="59">
        <v>42809</v>
      </c>
      <c r="G1616" s="15">
        <f t="shared" si="51"/>
        <v>16234.9</v>
      </c>
      <c r="H1616" s="15">
        <f t="shared" si="52"/>
        <v>0</v>
      </c>
      <c r="I1616" s="19"/>
    </row>
    <row r="1617" spans="1:9" ht="15.75" x14ac:dyDescent="0.25">
      <c r="A1617" s="51">
        <v>42809</v>
      </c>
      <c r="B1617" s="52" t="s">
        <v>9418</v>
      </c>
      <c r="C1617" s="18">
        <v>104395</v>
      </c>
      <c r="D1617" s="2" t="s">
        <v>55</v>
      </c>
      <c r="E1617" s="15">
        <v>13889.6</v>
      </c>
      <c r="F1617" s="59">
        <v>42809</v>
      </c>
      <c r="G1617" s="20">
        <f>12000+1889.6</f>
        <v>13889.6</v>
      </c>
      <c r="H1617" s="20">
        <f t="shared" si="52"/>
        <v>0</v>
      </c>
      <c r="I1617" s="19"/>
    </row>
    <row r="1618" spans="1:9" ht="15.75" x14ac:dyDescent="0.25">
      <c r="A1618" s="51">
        <v>42809</v>
      </c>
      <c r="B1618" s="52" t="s">
        <v>9419</v>
      </c>
      <c r="C1618" s="18">
        <v>104396</v>
      </c>
      <c r="D1618" s="2" t="s">
        <v>69</v>
      </c>
      <c r="E1618" s="15">
        <v>4880.6000000000004</v>
      </c>
      <c r="F1618" s="59">
        <v>42809</v>
      </c>
      <c r="G1618" s="15">
        <f t="shared" si="51"/>
        <v>4880.6000000000004</v>
      </c>
      <c r="H1618" s="15">
        <f t="shared" si="52"/>
        <v>0</v>
      </c>
      <c r="I1618" s="19"/>
    </row>
    <row r="1619" spans="1:9" ht="15.75" x14ac:dyDescent="0.25">
      <c r="A1619" s="51">
        <v>42809</v>
      </c>
      <c r="B1619" s="52" t="s">
        <v>9420</v>
      </c>
      <c r="C1619" s="18">
        <v>104397</v>
      </c>
      <c r="D1619" s="2" t="s">
        <v>17</v>
      </c>
      <c r="E1619" s="15">
        <v>2115</v>
      </c>
      <c r="F1619" s="59">
        <v>42809</v>
      </c>
      <c r="G1619" s="15">
        <f t="shared" si="51"/>
        <v>2115</v>
      </c>
      <c r="H1619" s="15">
        <f t="shared" si="52"/>
        <v>0</v>
      </c>
      <c r="I1619" s="19"/>
    </row>
    <row r="1620" spans="1:9" ht="15.75" x14ac:dyDescent="0.25">
      <c r="A1620" s="51">
        <v>42809</v>
      </c>
      <c r="B1620" s="52" t="s">
        <v>9421</v>
      </c>
      <c r="C1620" s="18">
        <v>104398</v>
      </c>
      <c r="D1620" s="2" t="s">
        <v>236</v>
      </c>
      <c r="E1620" s="15">
        <v>100999.4</v>
      </c>
      <c r="F1620" s="59">
        <v>42818</v>
      </c>
      <c r="G1620" s="15">
        <f t="shared" si="51"/>
        <v>100999.4</v>
      </c>
      <c r="H1620" s="15">
        <f t="shared" si="52"/>
        <v>0</v>
      </c>
      <c r="I1620" s="19"/>
    </row>
    <row r="1621" spans="1:9" ht="15.75" x14ac:dyDescent="0.25">
      <c r="A1621" s="51">
        <v>42809</v>
      </c>
      <c r="B1621" s="52" t="s">
        <v>9422</v>
      </c>
      <c r="C1621" s="18">
        <v>104399</v>
      </c>
      <c r="D1621" s="2" t="s">
        <v>298</v>
      </c>
      <c r="E1621" s="15">
        <v>1432.6</v>
      </c>
      <c r="F1621" s="59">
        <v>42809</v>
      </c>
      <c r="G1621" s="15">
        <f t="shared" si="51"/>
        <v>1432.6</v>
      </c>
      <c r="H1621" s="15">
        <f t="shared" si="52"/>
        <v>0</v>
      </c>
      <c r="I1621" s="19"/>
    </row>
    <row r="1622" spans="1:9" ht="15.75" x14ac:dyDescent="0.25">
      <c r="A1622" s="51">
        <v>42809</v>
      </c>
      <c r="B1622" s="52" t="s">
        <v>9423</v>
      </c>
      <c r="C1622" s="18">
        <v>104400</v>
      </c>
      <c r="D1622" s="2" t="s">
        <v>30</v>
      </c>
      <c r="E1622" s="15">
        <v>2126.6</v>
      </c>
      <c r="F1622" s="59">
        <v>42809</v>
      </c>
      <c r="G1622" s="15">
        <f t="shared" si="51"/>
        <v>2126.6</v>
      </c>
      <c r="H1622" s="15">
        <f t="shared" si="52"/>
        <v>0</v>
      </c>
      <c r="I1622" s="19"/>
    </row>
    <row r="1623" spans="1:9" ht="15.75" x14ac:dyDescent="0.25">
      <c r="A1623" s="51">
        <v>42809</v>
      </c>
      <c r="B1623" s="52" t="s">
        <v>9424</v>
      </c>
      <c r="C1623" s="18">
        <v>104401</v>
      </c>
      <c r="D1623" s="2" t="s">
        <v>721</v>
      </c>
      <c r="E1623" s="15">
        <v>3465</v>
      </c>
      <c r="F1623" s="59">
        <v>42809</v>
      </c>
      <c r="G1623" s="15">
        <f t="shared" si="51"/>
        <v>3465</v>
      </c>
      <c r="H1623" s="15">
        <f t="shared" si="52"/>
        <v>0</v>
      </c>
      <c r="I1623" s="19"/>
    </row>
    <row r="1624" spans="1:9" ht="15.75" x14ac:dyDescent="0.25">
      <c r="A1624" s="51">
        <v>42809</v>
      </c>
      <c r="B1624" s="52" t="s">
        <v>9425</v>
      </c>
      <c r="C1624" s="18">
        <v>104402</v>
      </c>
      <c r="D1624" s="2" t="s">
        <v>30</v>
      </c>
      <c r="E1624" s="15">
        <v>666.4</v>
      </c>
      <c r="F1624" s="59">
        <v>42809</v>
      </c>
      <c r="G1624" s="15">
        <f t="shared" si="51"/>
        <v>666.4</v>
      </c>
      <c r="H1624" s="15">
        <f t="shared" si="52"/>
        <v>0</v>
      </c>
      <c r="I1624" s="19"/>
    </row>
    <row r="1625" spans="1:9" ht="15.75" x14ac:dyDescent="0.25">
      <c r="A1625" s="51">
        <v>42809</v>
      </c>
      <c r="B1625" s="52" t="s">
        <v>9426</v>
      </c>
      <c r="C1625" s="18">
        <v>104403</v>
      </c>
      <c r="D1625" s="2" t="s">
        <v>47</v>
      </c>
      <c r="E1625" s="15">
        <v>2185.9</v>
      </c>
      <c r="F1625" s="59">
        <v>42809</v>
      </c>
      <c r="G1625" s="15">
        <f t="shared" si="51"/>
        <v>2185.9</v>
      </c>
      <c r="H1625" s="15">
        <f t="shared" si="52"/>
        <v>0</v>
      </c>
      <c r="I1625" s="19"/>
    </row>
    <row r="1626" spans="1:9" ht="15.75" x14ac:dyDescent="0.25">
      <c r="A1626" s="51">
        <v>42809</v>
      </c>
      <c r="B1626" s="52" t="s">
        <v>9427</v>
      </c>
      <c r="C1626" s="18">
        <v>104404</v>
      </c>
      <c r="D1626" s="2" t="s">
        <v>8294</v>
      </c>
      <c r="E1626" s="15">
        <v>2091.6</v>
      </c>
      <c r="F1626" s="59">
        <v>42809</v>
      </c>
      <c r="G1626" s="15">
        <f t="shared" si="51"/>
        <v>2091.6</v>
      </c>
      <c r="H1626" s="15">
        <f t="shared" si="52"/>
        <v>0</v>
      </c>
      <c r="I1626" s="19"/>
    </row>
    <row r="1627" spans="1:9" ht="15.75" x14ac:dyDescent="0.25">
      <c r="A1627" s="51">
        <v>42809</v>
      </c>
      <c r="B1627" s="52" t="s">
        <v>9428</v>
      </c>
      <c r="C1627" s="18">
        <v>104405</v>
      </c>
      <c r="D1627" s="2" t="s">
        <v>69</v>
      </c>
      <c r="E1627" s="15">
        <v>5362</v>
      </c>
      <c r="F1627" s="59">
        <v>42809</v>
      </c>
      <c r="G1627" s="15">
        <f t="shared" si="51"/>
        <v>5362</v>
      </c>
      <c r="H1627" s="15">
        <f t="shared" si="52"/>
        <v>0</v>
      </c>
      <c r="I1627" s="19"/>
    </row>
    <row r="1628" spans="1:9" ht="15.75" x14ac:dyDescent="0.25">
      <c r="A1628" s="51">
        <v>42809</v>
      </c>
      <c r="B1628" s="52" t="s">
        <v>9429</v>
      </c>
      <c r="C1628" s="18">
        <v>104406</v>
      </c>
      <c r="D1628" s="2" t="s">
        <v>430</v>
      </c>
      <c r="E1628" s="15">
        <v>1826</v>
      </c>
      <c r="F1628" s="59">
        <v>42809</v>
      </c>
      <c r="G1628" s="15">
        <f t="shared" si="51"/>
        <v>1826</v>
      </c>
      <c r="H1628" s="15">
        <f t="shared" si="52"/>
        <v>0</v>
      </c>
      <c r="I1628" s="19"/>
    </row>
    <row r="1629" spans="1:9" ht="15.75" x14ac:dyDescent="0.25">
      <c r="A1629" s="51">
        <v>42809</v>
      </c>
      <c r="B1629" s="52" t="s">
        <v>9430</v>
      </c>
      <c r="C1629" s="18">
        <v>104407</v>
      </c>
      <c r="D1629" s="2" t="s">
        <v>115</v>
      </c>
      <c r="E1629" s="15">
        <v>6098.8</v>
      </c>
      <c r="G1629" s="15">
        <f t="shared" si="51"/>
        <v>6098.8</v>
      </c>
      <c r="H1629" s="15">
        <f t="shared" si="52"/>
        <v>0</v>
      </c>
      <c r="I1629" s="19"/>
    </row>
    <row r="1630" spans="1:9" ht="15.75" x14ac:dyDescent="0.25">
      <c r="A1630" s="51">
        <v>42809</v>
      </c>
      <c r="B1630" s="52" t="s">
        <v>9431</v>
      </c>
      <c r="C1630" s="18">
        <v>104408</v>
      </c>
      <c r="D1630" s="2" t="s">
        <v>49</v>
      </c>
      <c r="E1630" s="15">
        <v>10394</v>
      </c>
      <c r="F1630" s="64" t="s">
        <v>9432</v>
      </c>
      <c r="G1630" s="20">
        <f>4000+6394</f>
        <v>10394</v>
      </c>
      <c r="H1630" s="20">
        <f t="shared" si="52"/>
        <v>0</v>
      </c>
      <c r="I1630" s="19"/>
    </row>
    <row r="1631" spans="1:9" ht="15.75" x14ac:dyDescent="0.25">
      <c r="A1631" s="51">
        <v>42809</v>
      </c>
      <c r="B1631" s="52" t="s">
        <v>9433</v>
      </c>
      <c r="C1631" s="18">
        <v>104409</v>
      </c>
      <c r="D1631" s="2" t="s">
        <v>71</v>
      </c>
      <c r="E1631" s="15">
        <v>1858.5</v>
      </c>
      <c r="F1631" s="59">
        <v>42809</v>
      </c>
      <c r="G1631" s="15">
        <f t="shared" si="51"/>
        <v>1858.5</v>
      </c>
      <c r="H1631" s="15">
        <f t="shared" si="52"/>
        <v>0</v>
      </c>
      <c r="I1631" s="19"/>
    </row>
    <row r="1632" spans="1:9" ht="15.75" x14ac:dyDescent="0.25">
      <c r="A1632" s="51">
        <v>42809</v>
      </c>
      <c r="B1632" s="52" t="s">
        <v>9434</v>
      </c>
      <c r="C1632" s="18">
        <v>104410</v>
      </c>
      <c r="D1632" s="2" t="s">
        <v>43</v>
      </c>
      <c r="E1632" s="15">
        <v>5804.4</v>
      </c>
      <c r="F1632" s="59">
        <v>42811</v>
      </c>
      <c r="G1632" s="15">
        <f t="shared" si="51"/>
        <v>5804.4</v>
      </c>
      <c r="H1632" s="15">
        <f t="shared" si="52"/>
        <v>0</v>
      </c>
      <c r="I1632" s="19"/>
    </row>
    <row r="1633" spans="1:9" ht="15.75" x14ac:dyDescent="0.25">
      <c r="A1633" s="51">
        <v>42809</v>
      </c>
      <c r="B1633" s="52" t="s">
        <v>9435</v>
      </c>
      <c r="C1633" s="18">
        <v>104411</v>
      </c>
      <c r="D1633" s="2" t="s">
        <v>51</v>
      </c>
      <c r="E1633" s="15">
        <v>5158.2</v>
      </c>
      <c r="F1633" s="59">
        <v>42811</v>
      </c>
      <c r="G1633" s="15">
        <f t="shared" si="51"/>
        <v>5158.2</v>
      </c>
      <c r="H1633" s="15">
        <f t="shared" si="52"/>
        <v>0</v>
      </c>
      <c r="I1633" s="19"/>
    </row>
    <row r="1634" spans="1:9" ht="15.75" x14ac:dyDescent="0.25">
      <c r="A1634" s="51">
        <v>42809</v>
      </c>
      <c r="B1634" s="52" t="s">
        <v>9436</v>
      </c>
      <c r="C1634" s="18">
        <v>104412</v>
      </c>
      <c r="D1634" s="2" t="s">
        <v>35</v>
      </c>
      <c r="E1634" s="15">
        <v>9691.5</v>
      </c>
      <c r="G1634" s="15">
        <f t="shared" si="51"/>
        <v>9691.5</v>
      </c>
      <c r="H1634" s="15">
        <f t="shared" si="52"/>
        <v>0</v>
      </c>
      <c r="I1634" s="19"/>
    </row>
    <row r="1635" spans="1:9" ht="15.75" x14ac:dyDescent="0.25">
      <c r="A1635" s="51">
        <v>42809</v>
      </c>
      <c r="B1635" s="52" t="s">
        <v>9437</v>
      </c>
      <c r="C1635" s="18">
        <v>104413</v>
      </c>
      <c r="D1635" s="2" t="s">
        <v>32</v>
      </c>
      <c r="E1635" s="15">
        <v>7426.6</v>
      </c>
      <c r="F1635" s="59">
        <v>43062</v>
      </c>
      <c r="G1635" s="15">
        <f t="shared" si="51"/>
        <v>7426.6</v>
      </c>
      <c r="H1635" s="15">
        <f t="shared" si="52"/>
        <v>0</v>
      </c>
      <c r="I1635" s="19"/>
    </row>
    <row r="1636" spans="1:9" ht="15.75" x14ac:dyDescent="0.25">
      <c r="A1636" s="51">
        <v>42809</v>
      </c>
      <c r="B1636" s="52" t="s">
        <v>9438</v>
      </c>
      <c r="C1636" s="18">
        <v>104414</v>
      </c>
      <c r="D1636" s="2" t="s">
        <v>250</v>
      </c>
      <c r="E1636" s="15">
        <v>6502.2</v>
      </c>
      <c r="F1636" s="59">
        <v>42811</v>
      </c>
      <c r="G1636" s="15">
        <f t="shared" si="51"/>
        <v>6502.2</v>
      </c>
      <c r="H1636" s="15">
        <f t="shared" si="52"/>
        <v>0</v>
      </c>
      <c r="I1636" s="19"/>
    </row>
    <row r="1637" spans="1:9" ht="15.75" x14ac:dyDescent="0.25">
      <c r="A1637" s="51">
        <v>42809</v>
      </c>
      <c r="B1637" s="52" t="s">
        <v>9439</v>
      </c>
      <c r="C1637" s="18">
        <v>104415</v>
      </c>
      <c r="D1637" s="2" t="s">
        <v>149</v>
      </c>
      <c r="E1637" s="15">
        <v>6855.4</v>
      </c>
      <c r="F1637" s="59">
        <v>42809</v>
      </c>
      <c r="G1637" s="15">
        <f t="shared" si="51"/>
        <v>6855.4</v>
      </c>
      <c r="H1637" s="15">
        <f t="shared" si="52"/>
        <v>0</v>
      </c>
      <c r="I1637" s="19"/>
    </row>
    <row r="1638" spans="1:9" ht="15.75" x14ac:dyDescent="0.25">
      <c r="A1638" s="51">
        <v>42809</v>
      </c>
      <c r="B1638" s="52" t="s">
        <v>9440</v>
      </c>
      <c r="C1638" s="18">
        <v>104416</v>
      </c>
      <c r="D1638" s="2" t="s">
        <v>38</v>
      </c>
      <c r="E1638" s="15">
        <v>3251.8</v>
      </c>
      <c r="F1638" s="59">
        <v>42815</v>
      </c>
      <c r="G1638" s="15">
        <f t="shared" si="51"/>
        <v>3251.8</v>
      </c>
      <c r="H1638" s="15">
        <f t="shared" si="52"/>
        <v>0</v>
      </c>
      <c r="I1638" s="19"/>
    </row>
    <row r="1639" spans="1:9" ht="15.75" x14ac:dyDescent="0.25">
      <c r="A1639" s="51">
        <v>42809</v>
      </c>
      <c r="B1639" s="52" t="s">
        <v>9441</v>
      </c>
      <c r="C1639" s="18">
        <v>104417</v>
      </c>
      <c r="D1639" s="2" t="s">
        <v>268</v>
      </c>
      <c r="E1639" s="15">
        <v>17785.400000000001</v>
      </c>
      <c r="F1639" s="59">
        <v>42811</v>
      </c>
      <c r="G1639" s="15">
        <f t="shared" si="51"/>
        <v>17785.400000000001</v>
      </c>
      <c r="H1639" s="15">
        <f t="shared" si="52"/>
        <v>0</v>
      </c>
      <c r="I1639" s="19"/>
    </row>
    <row r="1640" spans="1:9" ht="15.75" x14ac:dyDescent="0.25">
      <c r="A1640" s="51">
        <v>42809</v>
      </c>
      <c r="B1640" s="52" t="s">
        <v>9442</v>
      </c>
      <c r="C1640" s="18">
        <v>104418</v>
      </c>
      <c r="D1640" s="2" t="s">
        <v>432</v>
      </c>
      <c r="E1640" s="15">
        <v>16350.6</v>
      </c>
      <c r="F1640" s="59">
        <v>42811</v>
      </c>
      <c r="G1640" s="15">
        <f t="shared" si="51"/>
        <v>16350.6</v>
      </c>
      <c r="H1640" s="15">
        <f t="shared" si="52"/>
        <v>0</v>
      </c>
      <c r="I1640" s="19"/>
    </row>
    <row r="1641" spans="1:9" ht="15.75" x14ac:dyDescent="0.25">
      <c r="A1641" s="51">
        <v>42809</v>
      </c>
      <c r="B1641" s="52" t="s">
        <v>9443</v>
      </c>
      <c r="C1641" s="18">
        <v>104419</v>
      </c>
      <c r="D1641" s="2" t="s">
        <v>208</v>
      </c>
      <c r="E1641" s="15">
        <v>8634.7999999999993</v>
      </c>
      <c r="F1641" s="59">
        <v>42809</v>
      </c>
      <c r="G1641" s="15">
        <f t="shared" si="51"/>
        <v>8634.7999999999993</v>
      </c>
      <c r="H1641" s="15">
        <f t="shared" si="52"/>
        <v>0</v>
      </c>
      <c r="I1641" s="19"/>
    </row>
    <row r="1642" spans="1:9" ht="15.75" x14ac:dyDescent="0.25">
      <c r="A1642" s="51">
        <v>42809</v>
      </c>
      <c r="B1642" s="52" t="s">
        <v>9444</v>
      </c>
      <c r="C1642" s="18">
        <v>104420</v>
      </c>
      <c r="D1642" s="2" t="s">
        <v>1666</v>
      </c>
      <c r="E1642" s="15">
        <v>15505</v>
      </c>
      <c r="F1642" s="59">
        <v>42811</v>
      </c>
      <c r="G1642" s="15">
        <f t="shared" si="51"/>
        <v>15505</v>
      </c>
      <c r="H1642" s="15">
        <f t="shared" si="52"/>
        <v>0</v>
      </c>
      <c r="I1642" s="19"/>
    </row>
    <row r="1643" spans="1:9" ht="15.75" x14ac:dyDescent="0.25">
      <c r="A1643" s="51">
        <v>42809</v>
      </c>
      <c r="B1643" s="52" t="s">
        <v>9445</v>
      </c>
      <c r="C1643" s="18">
        <v>104421</v>
      </c>
      <c r="D1643" s="2" t="s">
        <v>272</v>
      </c>
      <c r="E1643" s="15">
        <v>5178.3999999999996</v>
      </c>
      <c r="F1643" s="59">
        <v>42811</v>
      </c>
      <c r="G1643" s="15">
        <f t="shared" si="51"/>
        <v>5178.3999999999996</v>
      </c>
      <c r="H1643" s="15">
        <f t="shared" si="52"/>
        <v>0</v>
      </c>
      <c r="I1643" s="19"/>
    </row>
    <row r="1644" spans="1:9" ht="15.75" x14ac:dyDescent="0.25">
      <c r="A1644" s="51">
        <v>42809</v>
      </c>
      <c r="B1644" s="52" t="s">
        <v>9446</v>
      </c>
      <c r="C1644" s="18">
        <v>104422</v>
      </c>
      <c r="D1644" s="2" t="s">
        <v>240</v>
      </c>
      <c r="E1644" s="15">
        <v>12615.5</v>
      </c>
      <c r="F1644" s="59">
        <v>42809</v>
      </c>
      <c r="G1644" s="15">
        <f t="shared" si="51"/>
        <v>12615.5</v>
      </c>
      <c r="H1644" s="15">
        <f t="shared" si="52"/>
        <v>0</v>
      </c>
      <c r="I1644" s="19"/>
    </row>
    <row r="1645" spans="1:9" ht="15.75" x14ac:dyDescent="0.25">
      <c r="A1645" s="51">
        <v>42809</v>
      </c>
      <c r="B1645" s="52" t="s">
        <v>9447</v>
      </c>
      <c r="C1645" s="18">
        <v>104423</v>
      </c>
      <c r="D1645" s="2" t="s">
        <v>270</v>
      </c>
      <c r="E1645" s="15">
        <v>1073.5999999999999</v>
      </c>
      <c r="F1645" s="59">
        <v>42811</v>
      </c>
      <c r="G1645" s="15">
        <f t="shared" si="51"/>
        <v>1073.5999999999999</v>
      </c>
      <c r="H1645" s="15">
        <f t="shared" si="52"/>
        <v>0</v>
      </c>
      <c r="I1645" s="19"/>
    </row>
    <row r="1646" spans="1:9" ht="15.75" x14ac:dyDescent="0.25">
      <c r="A1646" s="51">
        <v>42809</v>
      </c>
      <c r="B1646" s="52" t="s">
        <v>9448</v>
      </c>
      <c r="C1646" s="18">
        <v>104424</v>
      </c>
      <c r="D1646" s="2" t="s">
        <v>270</v>
      </c>
      <c r="E1646" s="15">
        <v>19147.3</v>
      </c>
      <c r="F1646" s="59">
        <v>42811</v>
      </c>
      <c r="G1646" s="15">
        <f t="shared" si="51"/>
        <v>19147.3</v>
      </c>
      <c r="H1646" s="15">
        <f t="shared" si="52"/>
        <v>0</v>
      </c>
      <c r="I1646" s="19"/>
    </row>
    <row r="1647" spans="1:9" ht="15.75" x14ac:dyDescent="0.25">
      <c r="A1647" s="51">
        <v>42809</v>
      </c>
      <c r="B1647" s="52" t="s">
        <v>9449</v>
      </c>
      <c r="C1647" s="18">
        <v>104425</v>
      </c>
      <c r="D1647" s="2" t="s">
        <v>79</v>
      </c>
      <c r="E1647" s="15">
        <v>3131.6</v>
      </c>
      <c r="F1647" s="59">
        <v>42809</v>
      </c>
      <c r="G1647" s="15">
        <f t="shared" si="51"/>
        <v>3131.6</v>
      </c>
      <c r="H1647" s="15">
        <f t="shared" si="52"/>
        <v>0</v>
      </c>
      <c r="I1647" s="19"/>
    </row>
    <row r="1648" spans="1:9" ht="15.75" x14ac:dyDescent="0.25">
      <c r="A1648" s="51">
        <v>42809</v>
      </c>
      <c r="B1648" s="52" t="s">
        <v>9450</v>
      </c>
      <c r="C1648" s="18">
        <v>104426</v>
      </c>
      <c r="D1648" s="2" t="s">
        <v>442</v>
      </c>
      <c r="E1648" s="15">
        <v>11726.3</v>
      </c>
      <c r="F1648" s="59">
        <v>42811</v>
      </c>
      <c r="G1648" s="15">
        <f t="shared" si="51"/>
        <v>11726.3</v>
      </c>
      <c r="H1648" s="15">
        <f t="shared" si="52"/>
        <v>0</v>
      </c>
      <c r="I1648" s="19"/>
    </row>
    <row r="1649" spans="1:9" ht="15.75" x14ac:dyDescent="0.25">
      <c r="A1649" s="51">
        <v>42809</v>
      </c>
      <c r="B1649" s="52" t="s">
        <v>9451</v>
      </c>
      <c r="C1649" s="18">
        <v>104427</v>
      </c>
      <c r="D1649" s="2" t="s">
        <v>590</v>
      </c>
      <c r="E1649" s="15">
        <v>2402.6</v>
      </c>
      <c r="F1649" s="59">
        <v>42811</v>
      </c>
      <c r="G1649" s="15">
        <f t="shared" si="51"/>
        <v>2402.6</v>
      </c>
      <c r="H1649" s="15">
        <f t="shared" si="52"/>
        <v>0</v>
      </c>
      <c r="I1649" s="19"/>
    </row>
    <row r="1650" spans="1:9" ht="15.75" x14ac:dyDescent="0.25">
      <c r="A1650" s="51">
        <v>42809</v>
      </c>
      <c r="B1650" s="52" t="s">
        <v>9452</v>
      </c>
      <c r="C1650" s="18">
        <v>104428</v>
      </c>
      <c r="D1650" s="2" t="s">
        <v>21</v>
      </c>
      <c r="E1650" s="15">
        <v>43877.2</v>
      </c>
      <c r="F1650" s="59">
        <v>42825</v>
      </c>
      <c r="G1650" s="15">
        <f t="shared" si="51"/>
        <v>43877.2</v>
      </c>
      <c r="H1650" s="15">
        <f t="shared" si="52"/>
        <v>0</v>
      </c>
      <c r="I1650" s="19"/>
    </row>
    <row r="1651" spans="1:9" ht="15.75" x14ac:dyDescent="0.25">
      <c r="A1651" s="51">
        <v>42809</v>
      </c>
      <c r="B1651" s="52" t="s">
        <v>9453</v>
      </c>
      <c r="C1651" s="18">
        <v>104429</v>
      </c>
      <c r="D1651" s="2" t="s">
        <v>3425</v>
      </c>
      <c r="E1651" s="15">
        <v>1026</v>
      </c>
      <c r="F1651" s="59">
        <v>42809</v>
      </c>
      <c r="G1651" s="15">
        <f t="shared" si="51"/>
        <v>1026</v>
      </c>
      <c r="H1651" s="15">
        <f t="shared" si="52"/>
        <v>0</v>
      </c>
      <c r="I1651" s="19"/>
    </row>
    <row r="1652" spans="1:9" ht="15.75" x14ac:dyDescent="0.25">
      <c r="A1652" s="51">
        <v>42809</v>
      </c>
      <c r="B1652" s="52" t="s">
        <v>9454</v>
      </c>
      <c r="C1652" s="18">
        <v>104430</v>
      </c>
      <c r="D1652" s="2" t="s">
        <v>151</v>
      </c>
      <c r="E1652" s="15">
        <v>20048.5</v>
      </c>
      <c r="F1652" s="59">
        <v>42809</v>
      </c>
      <c r="G1652" s="15">
        <f t="shared" si="51"/>
        <v>20048.5</v>
      </c>
      <c r="H1652" s="15">
        <f t="shared" si="52"/>
        <v>0</v>
      </c>
      <c r="I1652" s="19"/>
    </row>
    <row r="1653" spans="1:9" ht="15.75" x14ac:dyDescent="0.25">
      <c r="A1653" s="51">
        <v>42809</v>
      </c>
      <c r="B1653" s="52" t="s">
        <v>9455</v>
      </c>
      <c r="C1653" s="18">
        <v>104431</v>
      </c>
      <c r="D1653" s="2" t="s">
        <v>838</v>
      </c>
      <c r="E1653" s="15">
        <v>3510</v>
      </c>
      <c r="F1653" s="59">
        <v>42809</v>
      </c>
      <c r="G1653" s="15">
        <f t="shared" si="51"/>
        <v>3510</v>
      </c>
      <c r="H1653" s="15">
        <f t="shared" si="52"/>
        <v>0</v>
      </c>
      <c r="I1653" s="19"/>
    </row>
    <row r="1654" spans="1:9" ht="15.75" x14ac:dyDescent="0.25">
      <c r="A1654" s="51">
        <v>42809</v>
      </c>
      <c r="B1654" s="52" t="s">
        <v>9456</v>
      </c>
      <c r="C1654" s="18">
        <v>104432</v>
      </c>
      <c r="D1654" s="2" t="s">
        <v>103</v>
      </c>
      <c r="E1654" s="15">
        <v>597.4</v>
      </c>
      <c r="F1654" s="59">
        <v>42811</v>
      </c>
      <c r="G1654" s="15">
        <f t="shared" si="51"/>
        <v>597.4</v>
      </c>
      <c r="H1654" s="15">
        <f t="shared" si="52"/>
        <v>0</v>
      </c>
      <c r="I1654" s="19"/>
    </row>
    <row r="1655" spans="1:9" ht="15.75" x14ac:dyDescent="0.25">
      <c r="A1655" s="51">
        <v>42809</v>
      </c>
      <c r="B1655" s="52" t="s">
        <v>9457</v>
      </c>
      <c r="C1655" s="18">
        <v>104433</v>
      </c>
      <c r="D1655" s="24" t="s">
        <v>9458</v>
      </c>
      <c r="E1655" s="25">
        <v>0</v>
      </c>
      <c r="F1655" s="103" t="s">
        <v>95</v>
      </c>
      <c r="G1655" s="25">
        <f t="shared" si="51"/>
        <v>0</v>
      </c>
      <c r="H1655" s="25">
        <f t="shared" si="52"/>
        <v>0</v>
      </c>
      <c r="I1655" s="19"/>
    </row>
    <row r="1656" spans="1:9" ht="15.75" x14ac:dyDescent="0.25">
      <c r="A1656" s="51">
        <v>42809</v>
      </c>
      <c r="B1656" s="52" t="s">
        <v>9459</v>
      </c>
      <c r="C1656" s="18">
        <v>104434</v>
      </c>
      <c r="D1656" s="2" t="s">
        <v>122</v>
      </c>
      <c r="E1656" s="15">
        <v>31028.400000000001</v>
      </c>
      <c r="F1656" s="59">
        <v>42824</v>
      </c>
      <c r="G1656" s="15">
        <f t="shared" si="51"/>
        <v>31028.400000000001</v>
      </c>
      <c r="H1656" s="15">
        <f t="shared" si="52"/>
        <v>0</v>
      </c>
      <c r="I1656" s="19"/>
    </row>
    <row r="1657" spans="1:9" ht="15.75" x14ac:dyDescent="0.25">
      <c r="A1657" s="51">
        <v>42809</v>
      </c>
      <c r="B1657" s="52" t="s">
        <v>9460</v>
      </c>
      <c r="C1657" s="18">
        <v>104435</v>
      </c>
      <c r="D1657" s="2" t="s">
        <v>2240</v>
      </c>
      <c r="E1657" s="15">
        <v>3361.4</v>
      </c>
      <c r="F1657" s="59">
        <v>42809</v>
      </c>
      <c r="G1657" s="15">
        <f t="shared" si="51"/>
        <v>3361.4</v>
      </c>
      <c r="H1657" s="15">
        <f t="shared" si="52"/>
        <v>0</v>
      </c>
      <c r="I1657" s="19"/>
    </row>
    <row r="1658" spans="1:9" ht="15.75" x14ac:dyDescent="0.25">
      <c r="A1658" s="51">
        <v>42809</v>
      </c>
      <c r="B1658" s="52" t="s">
        <v>9461</v>
      </c>
      <c r="C1658" s="18">
        <v>104436</v>
      </c>
      <c r="D1658" s="2" t="s">
        <v>2240</v>
      </c>
      <c r="E1658" s="15">
        <v>266.39999999999998</v>
      </c>
      <c r="F1658" s="59">
        <v>42809</v>
      </c>
      <c r="G1658" s="15">
        <f t="shared" si="51"/>
        <v>266.39999999999998</v>
      </c>
      <c r="H1658" s="15">
        <f t="shared" si="52"/>
        <v>0</v>
      </c>
      <c r="I1658" s="19"/>
    </row>
    <row r="1659" spans="1:9" ht="15.75" x14ac:dyDescent="0.25">
      <c r="A1659" s="51">
        <v>42809</v>
      </c>
      <c r="B1659" s="52" t="s">
        <v>9462</v>
      </c>
      <c r="C1659" s="18">
        <v>104437</v>
      </c>
      <c r="D1659" s="2" t="s">
        <v>1116</v>
      </c>
      <c r="E1659" s="15">
        <v>3641</v>
      </c>
      <c r="F1659" s="59">
        <v>42810</v>
      </c>
      <c r="G1659" s="15">
        <f t="shared" si="51"/>
        <v>3641</v>
      </c>
      <c r="H1659" s="15">
        <f t="shared" si="52"/>
        <v>0</v>
      </c>
      <c r="I1659" s="19"/>
    </row>
    <row r="1660" spans="1:9" ht="15.75" x14ac:dyDescent="0.25">
      <c r="A1660" s="51">
        <v>42809</v>
      </c>
      <c r="B1660" s="52" t="s">
        <v>9463</v>
      </c>
      <c r="C1660" s="18">
        <v>104438</v>
      </c>
      <c r="D1660" s="2" t="s">
        <v>83</v>
      </c>
      <c r="E1660" s="15">
        <v>5498.7</v>
      </c>
      <c r="F1660" s="59">
        <v>42809</v>
      </c>
      <c r="G1660" s="15">
        <f t="shared" si="51"/>
        <v>5498.7</v>
      </c>
      <c r="H1660" s="15">
        <f t="shared" si="52"/>
        <v>0</v>
      </c>
      <c r="I1660" s="19"/>
    </row>
    <row r="1661" spans="1:9" ht="15.75" x14ac:dyDescent="0.25">
      <c r="A1661" s="51">
        <v>42809</v>
      </c>
      <c r="B1661" s="52" t="s">
        <v>9464</v>
      </c>
      <c r="C1661" s="18">
        <v>104439</v>
      </c>
      <c r="D1661" s="2" t="s">
        <v>122</v>
      </c>
      <c r="E1661" s="15">
        <v>2337</v>
      </c>
      <c r="F1661" s="59">
        <v>42812</v>
      </c>
      <c r="G1661" s="15">
        <f t="shared" si="51"/>
        <v>2337</v>
      </c>
      <c r="H1661" s="15">
        <f t="shared" si="52"/>
        <v>0</v>
      </c>
      <c r="I1661" s="19"/>
    </row>
    <row r="1662" spans="1:9" ht="15.75" x14ac:dyDescent="0.25">
      <c r="A1662" s="51">
        <v>42809</v>
      </c>
      <c r="B1662" s="52" t="s">
        <v>9465</v>
      </c>
      <c r="C1662" s="18">
        <v>104440</v>
      </c>
      <c r="D1662" s="2" t="s">
        <v>99</v>
      </c>
      <c r="E1662" s="15">
        <v>2129.1</v>
      </c>
      <c r="F1662" s="59">
        <v>42809</v>
      </c>
      <c r="G1662" s="15">
        <f t="shared" si="51"/>
        <v>2129.1</v>
      </c>
      <c r="H1662" s="15">
        <f t="shared" si="52"/>
        <v>0</v>
      </c>
      <c r="I1662" s="19"/>
    </row>
    <row r="1663" spans="1:9" ht="15.75" x14ac:dyDescent="0.25">
      <c r="A1663" s="51">
        <v>42809</v>
      </c>
      <c r="B1663" s="52" t="s">
        <v>9466</v>
      </c>
      <c r="C1663" s="18">
        <v>104441</v>
      </c>
      <c r="D1663" s="2" t="s">
        <v>281</v>
      </c>
      <c r="E1663" s="15">
        <v>470</v>
      </c>
      <c r="F1663" s="59">
        <v>42809</v>
      </c>
      <c r="G1663" s="15">
        <f t="shared" si="51"/>
        <v>470</v>
      </c>
      <c r="H1663" s="15">
        <f t="shared" si="52"/>
        <v>0</v>
      </c>
      <c r="I1663" s="19"/>
    </row>
    <row r="1664" spans="1:9" ht="15.75" x14ac:dyDescent="0.25">
      <c r="A1664" s="51">
        <v>42809</v>
      </c>
      <c r="B1664" s="52" t="s">
        <v>9467</v>
      </c>
      <c r="C1664" s="18">
        <v>104442</v>
      </c>
      <c r="D1664" s="2" t="s">
        <v>125</v>
      </c>
      <c r="E1664" s="15">
        <v>5594.4</v>
      </c>
      <c r="F1664" s="59">
        <v>42809</v>
      </c>
      <c r="G1664" s="15">
        <f t="shared" si="51"/>
        <v>5594.4</v>
      </c>
      <c r="H1664" s="15">
        <f t="shared" si="52"/>
        <v>0</v>
      </c>
      <c r="I1664" s="19"/>
    </row>
    <row r="1665" spans="1:9" ht="15.75" x14ac:dyDescent="0.25">
      <c r="A1665" s="51">
        <v>42809</v>
      </c>
      <c r="B1665" s="52" t="s">
        <v>9468</v>
      </c>
      <c r="C1665" s="18">
        <v>104443</v>
      </c>
      <c r="D1665" s="2" t="s">
        <v>4367</v>
      </c>
      <c r="E1665" s="15">
        <v>1306.8</v>
      </c>
      <c r="F1665" s="59">
        <v>42809</v>
      </c>
      <c r="G1665" s="15">
        <f t="shared" si="51"/>
        <v>1306.8</v>
      </c>
      <c r="H1665" s="15">
        <f t="shared" si="52"/>
        <v>0</v>
      </c>
      <c r="I1665" s="19"/>
    </row>
    <row r="1666" spans="1:9" ht="15.75" x14ac:dyDescent="0.25">
      <c r="A1666" s="51">
        <v>42809</v>
      </c>
      <c r="B1666" s="52" t="s">
        <v>9469</v>
      </c>
      <c r="C1666" s="18">
        <v>104444</v>
      </c>
      <c r="D1666" s="2" t="s">
        <v>1830</v>
      </c>
      <c r="E1666" s="15">
        <v>18842.099999999999</v>
      </c>
      <c r="F1666" s="59">
        <v>42809</v>
      </c>
      <c r="G1666" s="15">
        <f t="shared" si="51"/>
        <v>18842.099999999999</v>
      </c>
      <c r="H1666" s="15">
        <f t="shared" si="52"/>
        <v>0</v>
      </c>
      <c r="I1666" s="19"/>
    </row>
    <row r="1667" spans="1:9" ht="15.75" x14ac:dyDescent="0.25">
      <c r="A1667" s="51">
        <v>42809</v>
      </c>
      <c r="B1667" s="52" t="s">
        <v>9470</v>
      </c>
      <c r="C1667" s="18">
        <v>104445</v>
      </c>
      <c r="D1667" s="2" t="s">
        <v>92</v>
      </c>
      <c r="E1667" s="15">
        <v>2025.6</v>
      </c>
      <c r="F1667" s="59">
        <v>42809</v>
      </c>
      <c r="G1667" s="15">
        <f t="shared" si="51"/>
        <v>2025.6</v>
      </c>
      <c r="H1667" s="15">
        <f t="shared" si="52"/>
        <v>0</v>
      </c>
      <c r="I1667" s="19"/>
    </row>
    <row r="1668" spans="1:9" ht="15.75" x14ac:dyDescent="0.25">
      <c r="A1668" s="51">
        <v>42809</v>
      </c>
      <c r="B1668" s="52" t="s">
        <v>9471</v>
      </c>
      <c r="C1668" s="18">
        <v>104446</v>
      </c>
      <c r="D1668" s="2" t="s">
        <v>1259</v>
      </c>
      <c r="E1668" s="15">
        <v>1053.4000000000001</v>
      </c>
      <c r="F1668" s="59">
        <v>42809</v>
      </c>
      <c r="G1668" s="15">
        <f t="shared" ref="G1668:G1731" si="53">E1668</f>
        <v>1053.4000000000001</v>
      </c>
      <c r="H1668" s="15">
        <f t="shared" ref="H1668:H1731" si="54">E1668-G1668</f>
        <v>0</v>
      </c>
      <c r="I1668" s="19"/>
    </row>
    <row r="1669" spans="1:9" ht="15.75" x14ac:dyDescent="0.25">
      <c r="A1669" s="51">
        <v>42809</v>
      </c>
      <c r="B1669" s="52" t="s">
        <v>9472</v>
      </c>
      <c r="C1669" s="18">
        <v>104447</v>
      </c>
      <c r="D1669" s="2" t="s">
        <v>1830</v>
      </c>
      <c r="E1669" s="15">
        <v>450</v>
      </c>
      <c r="F1669" s="59">
        <v>42809</v>
      </c>
      <c r="G1669" s="15">
        <f t="shared" si="53"/>
        <v>450</v>
      </c>
      <c r="H1669" s="15">
        <f t="shared" si="54"/>
        <v>0</v>
      </c>
      <c r="I1669" s="19"/>
    </row>
    <row r="1670" spans="1:9" ht="15.75" x14ac:dyDescent="0.25">
      <c r="A1670" s="51">
        <v>42809</v>
      </c>
      <c r="B1670" s="52" t="s">
        <v>9473</v>
      </c>
      <c r="C1670" s="18">
        <v>104448</v>
      </c>
      <c r="D1670" s="2" t="s">
        <v>88</v>
      </c>
      <c r="E1670" s="15">
        <v>777.4</v>
      </c>
      <c r="F1670" s="59">
        <v>42809</v>
      </c>
      <c r="G1670" s="15">
        <f t="shared" si="53"/>
        <v>777.4</v>
      </c>
      <c r="H1670" s="15">
        <f t="shared" si="54"/>
        <v>0</v>
      </c>
      <c r="I1670" s="19"/>
    </row>
    <row r="1671" spans="1:9" ht="15.75" x14ac:dyDescent="0.25">
      <c r="A1671" s="51">
        <v>42809</v>
      </c>
      <c r="B1671" s="52" t="s">
        <v>9474</v>
      </c>
      <c r="C1671" s="18">
        <v>104449</v>
      </c>
      <c r="D1671" s="2" t="s">
        <v>291</v>
      </c>
      <c r="E1671" s="15">
        <v>2347.1</v>
      </c>
      <c r="F1671" s="59">
        <v>42809</v>
      </c>
      <c r="G1671" s="15">
        <f t="shared" si="53"/>
        <v>2347.1</v>
      </c>
      <c r="H1671" s="15">
        <f t="shared" si="54"/>
        <v>0</v>
      </c>
      <c r="I1671" s="19"/>
    </row>
    <row r="1672" spans="1:9" ht="15.75" x14ac:dyDescent="0.25">
      <c r="A1672" s="51">
        <v>42809</v>
      </c>
      <c r="B1672" s="52" t="s">
        <v>9475</v>
      </c>
      <c r="C1672" s="18">
        <v>104450</v>
      </c>
      <c r="D1672" s="2" t="s">
        <v>450</v>
      </c>
      <c r="E1672" s="15">
        <v>1852.2</v>
      </c>
      <c r="F1672" s="59">
        <v>42809</v>
      </c>
      <c r="G1672" s="15">
        <f t="shared" si="53"/>
        <v>1852.2</v>
      </c>
      <c r="H1672" s="15">
        <f t="shared" si="54"/>
        <v>0</v>
      </c>
      <c r="I1672" s="19"/>
    </row>
    <row r="1673" spans="1:9" ht="15.75" x14ac:dyDescent="0.25">
      <c r="A1673" s="51">
        <v>42809</v>
      </c>
      <c r="B1673" s="52" t="s">
        <v>9476</v>
      </c>
      <c r="C1673" s="18">
        <v>104451</v>
      </c>
      <c r="D1673" s="2" t="s">
        <v>3636</v>
      </c>
      <c r="E1673" s="15">
        <v>29197</v>
      </c>
      <c r="F1673" s="59">
        <v>42809</v>
      </c>
      <c r="G1673" s="15">
        <f t="shared" si="53"/>
        <v>29197</v>
      </c>
      <c r="H1673" s="15">
        <f t="shared" si="54"/>
        <v>0</v>
      </c>
      <c r="I1673" s="19"/>
    </row>
    <row r="1674" spans="1:9" ht="15.75" x14ac:dyDescent="0.25">
      <c r="A1674" s="51">
        <v>42809</v>
      </c>
      <c r="B1674" s="52" t="s">
        <v>9477</v>
      </c>
      <c r="C1674" s="18">
        <v>104452</v>
      </c>
      <c r="D1674" s="2" t="s">
        <v>448</v>
      </c>
      <c r="E1674" s="15">
        <v>158.6</v>
      </c>
      <c r="F1674" s="59">
        <v>42809</v>
      </c>
      <c r="G1674" s="15">
        <f t="shared" si="53"/>
        <v>158.6</v>
      </c>
      <c r="H1674" s="15">
        <f t="shared" si="54"/>
        <v>0</v>
      </c>
      <c r="I1674" s="19"/>
    </row>
    <row r="1675" spans="1:9" ht="15.75" x14ac:dyDescent="0.25">
      <c r="A1675" s="51">
        <v>42809</v>
      </c>
      <c r="B1675" s="52" t="s">
        <v>9478</v>
      </c>
      <c r="C1675" s="18">
        <v>104453</v>
      </c>
      <c r="D1675" s="2" t="s">
        <v>168</v>
      </c>
      <c r="E1675" s="15">
        <v>38</v>
      </c>
      <c r="F1675" s="59">
        <v>42809</v>
      </c>
      <c r="G1675" s="15">
        <f t="shared" si="53"/>
        <v>38</v>
      </c>
      <c r="H1675" s="15">
        <f t="shared" si="54"/>
        <v>0</v>
      </c>
      <c r="I1675" s="19"/>
    </row>
    <row r="1676" spans="1:9" ht="15.75" x14ac:dyDescent="0.25">
      <c r="A1676" s="51">
        <v>42809</v>
      </c>
      <c r="B1676" s="52" t="s">
        <v>9479</v>
      </c>
      <c r="C1676" s="18">
        <v>104454</v>
      </c>
      <c r="D1676" s="2" t="s">
        <v>1380</v>
      </c>
      <c r="E1676" s="15">
        <v>30859.42</v>
      </c>
      <c r="F1676" s="59">
        <v>42809</v>
      </c>
      <c r="G1676" s="15">
        <f t="shared" si="53"/>
        <v>30859.42</v>
      </c>
      <c r="H1676" s="15">
        <f t="shared" si="54"/>
        <v>0</v>
      </c>
      <c r="I1676" s="19"/>
    </row>
    <row r="1677" spans="1:9" ht="15.75" x14ac:dyDescent="0.25">
      <c r="A1677" s="51">
        <v>42809</v>
      </c>
      <c r="B1677" s="52" t="s">
        <v>9480</v>
      </c>
      <c r="C1677" s="18">
        <v>104455</v>
      </c>
      <c r="D1677" s="2" t="s">
        <v>109</v>
      </c>
      <c r="E1677" s="15">
        <v>3219.3</v>
      </c>
      <c r="F1677" s="59">
        <v>42809</v>
      </c>
      <c r="G1677" s="15">
        <f t="shared" si="53"/>
        <v>3219.3</v>
      </c>
      <c r="H1677" s="15">
        <f t="shared" si="54"/>
        <v>0</v>
      </c>
      <c r="I1677" s="19"/>
    </row>
    <row r="1678" spans="1:9" ht="15.75" x14ac:dyDescent="0.25">
      <c r="A1678" s="51">
        <v>42809</v>
      </c>
      <c r="B1678" s="52" t="s">
        <v>9481</v>
      </c>
      <c r="C1678" s="18">
        <v>104456</v>
      </c>
      <c r="D1678" s="2" t="s">
        <v>7182</v>
      </c>
      <c r="E1678" s="15">
        <v>1089.5999999999999</v>
      </c>
      <c r="F1678" s="59">
        <v>42810</v>
      </c>
      <c r="G1678" s="15">
        <f t="shared" si="53"/>
        <v>1089.5999999999999</v>
      </c>
      <c r="H1678" s="15">
        <f t="shared" si="54"/>
        <v>0</v>
      </c>
      <c r="I1678" s="19"/>
    </row>
    <row r="1679" spans="1:9" ht="15.75" x14ac:dyDescent="0.25">
      <c r="A1679" s="51">
        <v>42809</v>
      </c>
      <c r="B1679" s="52" t="s">
        <v>9482</v>
      </c>
      <c r="C1679" s="18">
        <v>104457</v>
      </c>
      <c r="D1679" s="2" t="s">
        <v>480</v>
      </c>
      <c r="E1679" s="15">
        <v>1232.4000000000001</v>
      </c>
      <c r="F1679" s="59">
        <v>42810</v>
      </c>
      <c r="G1679" s="15">
        <f t="shared" si="53"/>
        <v>1232.4000000000001</v>
      </c>
      <c r="H1679" s="15">
        <f t="shared" si="54"/>
        <v>0</v>
      </c>
      <c r="I1679" s="19"/>
    </row>
    <row r="1680" spans="1:9" ht="15.75" x14ac:dyDescent="0.25">
      <c r="A1680" s="51">
        <v>42809</v>
      </c>
      <c r="B1680" s="52" t="s">
        <v>9483</v>
      </c>
      <c r="C1680" s="18">
        <v>104458</v>
      </c>
      <c r="D1680" s="2" t="s">
        <v>630</v>
      </c>
      <c r="E1680" s="15">
        <v>1582.6</v>
      </c>
      <c r="F1680" s="59">
        <v>42810</v>
      </c>
      <c r="G1680" s="15">
        <f t="shared" si="53"/>
        <v>1582.6</v>
      </c>
      <c r="H1680" s="15">
        <f t="shared" si="54"/>
        <v>0</v>
      </c>
      <c r="I1680" s="19"/>
    </row>
    <row r="1681" spans="1:9" ht="15.75" x14ac:dyDescent="0.25">
      <c r="A1681" s="51">
        <v>42809</v>
      </c>
      <c r="B1681" s="52" t="s">
        <v>9484</v>
      </c>
      <c r="C1681" s="18">
        <v>104459</v>
      </c>
      <c r="D1681" s="2" t="s">
        <v>45</v>
      </c>
      <c r="E1681" s="15">
        <v>1335.7</v>
      </c>
      <c r="F1681" s="59">
        <v>42810</v>
      </c>
      <c r="G1681" s="15">
        <f t="shared" si="53"/>
        <v>1335.7</v>
      </c>
      <c r="H1681" s="15">
        <f t="shared" si="54"/>
        <v>0</v>
      </c>
      <c r="I1681" s="19"/>
    </row>
    <row r="1682" spans="1:9" ht="15.75" x14ac:dyDescent="0.25">
      <c r="A1682" s="51">
        <v>42809</v>
      </c>
      <c r="B1682" s="52" t="s">
        <v>9485</v>
      </c>
      <c r="C1682" s="18">
        <v>104460</v>
      </c>
      <c r="D1682" s="2" t="s">
        <v>61</v>
      </c>
      <c r="E1682" s="15">
        <v>7530.1</v>
      </c>
      <c r="F1682" s="59">
        <v>42810</v>
      </c>
      <c r="G1682" s="15">
        <f t="shared" si="53"/>
        <v>7530.1</v>
      </c>
      <c r="H1682" s="15">
        <f t="shared" si="54"/>
        <v>0</v>
      </c>
      <c r="I1682" s="19"/>
    </row>
    <row r="1683" spans="1:9" ht="15.75" x14ac:dyDescent="0.25">
      <c r="A1683" s="51">
        <v>42809</v>
      </c>
      <c r="B1683" s="52" t="s">
        <v>9486</v>
      </c>
      <c r="C1683" s="18">
        <v>104461</v>
      </c>
      <c r="D1683" s="2" t="s">
        <v>492</v>
      </c>
      <c r="E1683" s="15">
        <v>15453</v>
      </c>
      <c r="F1683" s="59">
        <v>42816</v>
      </c>
      <c r="G1683" s="15">
        <f t="shared" si="53"/>
        <v>15453</v>
      </c>
      <c r="H1683" s="15">
        <f t="shared" si="54"/>
        <v>0</v>
      </c>
      <c r="I1683" s="19"/>
    </row>
    <row r="1684" spans="1:9" ht="15.75" x14ac:dyDescent="0.25">
      <c r="A1684" s="51">
        <v>42809</v>
      </c>
      <c r="B1684" s="52" t="s">
        <v>9487</v>
      </c>
      <c r="C1684" s="18">
        <v>104462</v>
      </c>
      <c r="D1684" s="2" t="s">
        <v>57</v>
      </c>
      <c r="E1684" s="15">
        <v>470</v>
      </c>
      <c r="F1684" s="59">
        <v>42810</v>
      </c>
      <c r="G1684" s="15">
        <f t="shared" si="53"/>
        <v>470</v>
      </c>
      <c r="H1684" s="15">
        <f t="shared" si="54"/>
        <v>0</v>
      </c>
      <c r="I1684" s="19"/>
    </row>
    <row r="1685" spans="1:9" ht="15.75" x14ac:dyDescent="0.25">
      <c r="A1685" s="51">
        <v>42809</v>
      </c>
      <c r="B1685" s="52" t="s">
        <v>9488</v>
      </c>
      <c r="C1685" s="18">
        <v>104463</v>
      </c>
      <c r="D1685" s="2" t="s">
        <v>486</v>
      </c>
      <c r="E1685" s="15">
        <v>2928</v>
      </c>
      <c r="F1685" s="59">
        <v>42810</v>
      </c>
      <c r="G1685" s="15">
        <f t="shared" si="53"/>
        <v>2928</v>
      </c>
      <c r="H1685" s="15">
        <f t="shared" si="54"/>
        <v>0</v>
      </c>
      <c r="I1685" s="19"/>
    </row>
    <row r="1686" spans="1:9" ht="15.75" x14ac:dyDescent="0.25">
      <c r="A1686" s="51">
        <v>42809</v>
      </c>
      <c r="B1686" s="52" t="s">
        <v>9489</v>
      </c>
      <c r="C1686" s="18">
        <v>104464</v>
      </c>
      <c r="D1686" s="2" t="s">
        <v>184</v>
      </c>
      <c r="E1686" s="15">
        <v>1789.4</v>
      </c>
      <c r="F1686" s="59">
        <v>42810</v>
      </c>
      <c r="G1686" s="15">
        <f t="shared" si="53"/>
        <v>1789.4</v>
      </c>
      <c r="H1686" s="15">
        <f t="shared" si="54"/>
        <v>0</v>
      </c>
      <c r="I1686" s="19"/>
    </row>
    <row r="1687" spans="1:9" ht="15.75" x14ac:dyDescent="0.25">
      <c r="A1687" s="51">
        <v>42809</v>
      </c>
      <c r="B1687" s="52" t="s">
        <v>9490</v>
      </c>
      <c r="C1687" s="18">
        <v>104465</v>
      </c>
      <c r="D1687" s="2" t="s">
        <v>335</v>
      </c>
      <c r="E1687" s="15">
        <v>1665.2</v>
      </c>
      <c r="G1687" s="15">
        <f t="shared" si="53"/>
        <v>1665.2</v>
      </c>
      <c r="H1687" s="15">
        <f t="shared" si="54"/>
        <v>0</v>
      </c>
      <c r="I1687" s="19"/>
    </row>
    <row r="1688" spans="1:9" ht="15.75" x14ac:dyDescent="0.25">
      <c r="A1688" s="51">
        <v>42809</v>
      </c>
      <c r="B1688" s="52" t="s">
        <v>9491</v>
      </c>
      <c r="C1688" s="18">
        <v>104466</v>
      </c>
      <c r="D1688" s="2" t="s">
        <v>2986</v>
      </c>
      <c r="E1688" s="15">
        <v>5047.2</v>
      </c>
      <c r="F1688" s="59">
        <v>42810</v>
      </c>
      <c r="G1688" s="15">
        <f t="shared" si="53"/>
        <v>5047.2</v>
      </c>
      <c r="H1688" s="15">
        <f t="shared" si="54"/>
        <v>0</v>
      </c>
    </row>
    <row r="1689" spans="1:9" ht="15.75" x14ac:dyDescent="0.25">
      <c r="A1689" s="51">
        <v>42809</v>
      </c>
      <c r="B1689" s="52" t="s">
        <v>9492</v>
      </c>
      <c r="C1689" s="18">
        <v>104467</v>
      </c>
      <c r="D1689" s="2" t="s">
        <v>63</v>
      </c>
      <c r="E1689" s="15">
        <v>956.9</v>
      </c>
      <c r="F1689" s="59">
        <v>42810</v>
      </c>
      <c r="G1689" s="15">
        <f t="shared" si="53"/>
        <v>956.9</v>
      </c>
      <c r="H1689" s="15">
        <f t="shared" si="54"/>
        <v>0</v>
      </c>
    </row>
    <row r="1690" spans="1:9" ht="15.75" x14ac:dyDescent="0.25">
      <c r="A1690" s="51">
        <v>42809</v>
      </c>
      <c r="B1690" s="52" t="s">
        <v>9493</v>
      </c>
      <c r="C1690" s="18">
        <v>104468</v>
      </c>
      <c r="D1690" s="2" t="s">
        <v>12</v>
      </c>
      <c r="E1690" s="15">
        <v>924.6</v>
      </c>
      <c r="F1690" s="59">
        <v>42809</v>
      </c>
      <c r="G1690" s="15">
        <f t="shared" si="53"/>
        <v>924.6</v>
      </c>
      <c r="H1690" s="15">
        <f t="shared" si="54"/>
        <v>0</v>
      </c>
    </row>
    <row r="1691" spans="1:9" ht="15.75" x14ac:dyDescent="0.25">
      <c r="A1691" s="51">
        <v>42809</v>
      </c>
      <c r="B1691" s="52" t="s">
        <v>9494</v>
      </c>
      <c r="C1691" s="18">
        <v>104469</v>
      </c>
      <c r="D1691" s="2" t="s">
        <v>85</v>
      </c>
      <c r="E1691" s="15">
        <v>17720.5</v>
      </c>
      <c r="F1691" s="59">
        <v>42810</v>
      </c>
      <c r="G1691" s="15">
        <f t="shared" si="53"/>
        <v>17720.5</v>
      </c>
      <c r="H1691" s="15">
        <f t="shared" si="54"/>
        <v>0</v>
      </c>
    </row>
    <row r="1692" spans="1:9" ht="15.75" x14ac:dyDescent="0.25">
      <c r="A1692" s="51">
        <v>42809</v>
      </c>
      <c r="B1692" s="52" t="s">
        <v>9495</v>
      </c>
      <c r="C1692" s="18">
        <v>104470</v>
      </c>
      <c r="D1692" s="2" t="s">
        <v>302</v>
      </c>
      <c r="E1692" s="15">
        <v>10094.4</v>
      </c>
      <c r="F1692" s="59">
        <v>42809</v>
      </c>
      <c r="G1692" s="15">
        <f t="shared" si="53"/>
        <v>10094.4</v>
      </c>
      <c r="H1692" s="15">
        <f t="shared" si="54"/>
        <v>0</v>
      </c>
    </row>
    <row r="1693" spans="1:9" ht="15.75" x14ac:dyDescent="0.25">
      <c r="A1693" s="51">
        <v>42809</v>
      </c>
      <c r="B1693" s="52" t="s">
        <v>9496</v>
      </c>
      <c r="C1693" s="18">
        <v>104471</v>
      </c>
      <c r="D1693" s="2" t="s">
        <v>305</v>
      </c>
      <c r="E1693" s="15">
        <v>4176.9799999999996</v>
      </c>
      <c r="F1693" s="59">
        <v>42809</v>
      </c>
      <c r="G1693" s="15">
        <f t="shared" si="53"/>
        <v>4176.9799999999996</v>
      </c>
      <c r="H1693" s="15">
        <f t="shared" si="54"/>
        <v>0</v>
      </c>
    </row>
    <row r="1694" spans="1:9" ht="15.75" x14ac:dyDescent="0.25">
      <c r="A1694" s="51">
        <v>42809</v>
      </c>
      <c r="B1694" s="52" t="s">
        <v>9497</v>
      </c>
      <c r="C1694" s="18">
        <v>104472</v>
      </c>
      <c r="D1694" s="2" t="s">
        <v>476</v>
      </c>
      <c r="E1694" s="15">
        <v>19762.3</v>
      </c>
      <c r="F1694" s="59">
        <v>42816</v>
      </c>
      <c r="G1694" s="15">
        <f t="shared" si="53"/>
        <v>19762.3</v>
      </c>
      <c r="H1694" s="15">
        <f t="shared" si="54"/>
        <v>0</v>
      </c>
    </row>
    <row r="1695" spans="1:9" ht="15.75" x14ac:dyDescent="0.25">
      <c r="A1695" s="51">
        <v>42809</v>
      </c>
      <c r="B1695" s="52" t="s">
        <v>9498</v>
      </c>
      <c r="C1695" s="18">
        <v>104473</v>
      </c>
      <c r="D1695" s="2" t="s">
        <v>879</v>
      </c>
      <c r="E1695" s="15">
        <v>3124.8</v>
      </c>
      <c r="F1695" s="59">
        <v>42809</v>
      </c>
      <c r="G1695" s="15">
        <f t="shared" si="53"/>
        <v>3124.8</v>
      </c>
      <c r="H1695" s="15">
        <f t="shared" si="54"/>
        <v>0</v>
      </c>
      <c r="I1695" s="19"/>
    </row>
    <row r="1696" spans="1:9" ht="15.75" x14ac:dyDescent="0.25">
      <c r="A1696" s="51">
        <v>42809</v>
      </c>
      <c r="B1696" s="52" t="s">
        <v>9499</v>
      </c>
      <c r="C1696" s="18">
        <v>104474</v>
      </c>
      <c r="D1696" s="2" t="s">
        <v>274</v>
      </c>
      <c r="E1696" s="15">
        <v>5099.6000000000004</v>
      </c>
      <c r="F1696" s="59">
        <v>42811</v>
      </c>
      <c r="G1696" s="15">
        <f t="shared" si="53"/>
        <v>5099.6000000000004</v>
      </c>
      <c r="H1696" s="15">
        <f t="shared" si="54"/>
        <v>0</v>
      </c>
    </row>
    <row r="1697" spans="1:8" ht="15.75" x14ac:dyDescent="0.25">
      <c r="A1697" s="51">
        <v>42809</v>
      </c>
      <c r="B1697" s="52" t="s">
        <v>9500</v>
      </c>
      <c r="C1697" s="18">
        <v>104475</v>
      </c>
      <c r="D1697" s="2" t="s">
        <v>30</v>
      </c>
      <c r="E1697" s="15">
        <v>2959.6</v>
      </c>
      <c r="F1697" s="59">
        <v>42810</v>
      </c>
      <c r="G1697" s="15">
        <f t="shared" si="53"/>
        <v>2959.6</v>
      </c>
      <c r="H1697" s="15">
        <f t="shared" si="54"/>
        <v>0</v>
      </c>
    </row>
    <row r="1698" spans="1:8" ht="15.75" x14ac:dyDescent="0.25">
      <c r="A1698" s="51">
        <v>42809</v>
      </c>
      <c r="B1698" s="52" t="s">
        <v>9501</v>
      </c>
      <c r="C1698" s="18">
        <v>104476</v>
      </c>
      <c r="D1698" s="2" t="s">
        <v>145</v>
      </c>
      <c r="E1698" s="15">
        <v>12040.2</v>
      </c>
      <c r="F1698" s="59">
        <v>42810</v>
      </c>
      <c r="G1698" s="15">
        <f t="shared" si="53"/>
        <v>12040.2</v>
      </c>
      <c r="H1698" s="15">
        <f t="shared" si="54"/>
        <v>0</v>
      </c>
    </row>
    <row r="1699" spans="1:8" ht="15.75" x14ac:dyDescent="0.25">
      <c r="A1699" s="51">
        <v>42809</v>
      </c>
      <c r="B1699" s="52" t="s">
        <v>9502</v>
      </c>
      <c r="C1699" s="18">
        <v>104477</v>
      </c>
      <c r="D1699" s="2" t="s">
        <v>155</v>
      </c>
      <c r="E1699" s="15">
        <v>18156.599999999999</v>
      </c>
      <c r="F1699" s="59">
        <v>42812</v>
      </c>
      <c r="G1699" s="15">
        <f t="shared" si="53"/>
        <v>18156.599999999999</v>
      </c>
      <c r="H1699" s="15">
        <f t="shared" si="54"/>
        <v>0</v>
      </c>
    </row>
    <row r="1700" spans="1:8" ht="15.75" x14ac:dyDescent="0.25">
      <c r="A1700" s="51">
        <v>42809</v>
      </c>
      <c r="B1700" s="52" t="s">
        <v>9503</v>
      </c>
      <c r="C1700" s="18">
        <v>104478</v>
      </c>
      <c r="D1700" s="2" t="s">
        <v>161</v>
      </c>
      <c r="E1700" s="15">
        <v>21682.2</v>
      </c>
      <c r="F1700" s="59">
        <v>42818</v>
      </c>
      <c r="G1700" s="15">
        <f t="shared" si="53"/>
        <v>21682.2</v>
      </c>
      <c r="H1700" s="15">
        <f t="shared" si="54"/>
        <v>0</v>
      </c>
    </row>
    <row r="1701" spans="1:8" ht="15.75" x14ac:dyDescent="0.25">
      <c r="A1701" s="51">
        <v>42809</v>
      </c>
      <c r="B1701" s="52" t="s">
        <v>9504</v>
      </c>
      <c r="C1701" s="18">
        <v>104479</v>
      </c>
      <c r="D1701" s="2" t="s">
        <v>3649</v>
      </c>
      <c r="E1701" s="15">
        <v>2865</v>
      </c>
      <c r="F1701" s="59">
        <v>42809</v>
      </c>
      <c r="G1701" s="15">
        <f t="shared" si="53"/>
        <v>2865</v>
      </c>
      <c r="H1701" s="15">
        <f t="shared" si="54"/>
        <v>0</v>
      </c>
    </row>
    <row r="1702" spans="1:8" ht="15.75" x14ac:dyDescent="0.25">
      <c r="A1702" s="51">
        <v>42809</v>
      </c>
      <c r="B1702" s="52" t="s">
        <v>9505</v>
      </c>
      <c r="C1702" s="18">
        <v>104480</v>
      </c>
      <c r="D1702" s="2" t="s">
        <v>426</v>
      </c>
      <c r="E1702" s="15">
        <v>7372.6</v>
      </c>
      <c r="F1702" s="59">
        <v>42816</v>
      </c>
      <c r="G1702" s="15">
        <f t="shared" si="53"/>
        <v>7372.6</v>
      </c>
      <c r="H1702" s="15">
        <f t="shared" si="54"/>
        <v>0</v>
      </c>
    </row>
    <row r="1703" spans="1:8" ht="15.75" x14ac:dyDescent="0.25">
      <c r="A1703" s="51">
        <v>42809</v>
      </c>
      <c r="B1703" s="52" t="s">
        <v>9506</v>
      </c>
      <c r="C1703" s="18">
        <v>104481</v>
      </c>
      <c r="D1703" s="2" t="s">
        <v>165</v>
      </c>
      <c r="E1703" s="15">
        <v>14659.5</v>
      </c>
      <c r="F1703" s="59">
        <v>42833</v>
      </c>
      <c r="G1703" s="15">
        <f t="shared" si="53"/>
        <v>14659.5</v>
      </c>
      <c r="H1703" s="15">
        <f t="shared" si="54"/>
        <v>0</v>
      </c>
    </row>
    <row r="1704" spans="1:8" ht="15.75" x14ac:dyDescent="0.25">
      <c r="A1704" s="51">
        <v>42809</v>
      </c>
      <c r="B1704" s="52" t="s">
        <v>9507</v>
      </c>
      <c r="C1704" s="18">
        <v>104482</v>
      </c>
      <c r="D1704" s="13" t="s">
        <v>442</v>
      </c>
      <c r="E1704" s="14">
        <v>0</v>
      </c>
      <c r="F1704" s="102" t="s">
        <v>95</v>
      </c>
      <c r="G1704" s="14">
        <f t="shared" si="53"/>
        <v>0</v>
      </c>
      <c r="H1704" s="14">
        <f t="shared" si="54"/>
        <v>0</v>
      </c>
    </row>
    <row r="1705" spans="1:8" ht="15.75" x14ac:dyDescent="0.25">
      <c r="A1705" s="51">
        <v>42809</v>
      </c>
      <c r="B1705" s="52" t="s">
        <v>9508</v>
      </c>
      <c r="C1705" s="18">
        <v>104483</v>
      </c>
      <c r="D1705" s="2" t="s">
        <v>531</v>
      </c>
      <c r="E1705" s="15">
        <v>31692.42</v>
      </c>
      <c r="F1705" s="59">
        <v>42809</v>
      </c>
      <c r="G1705" s="15">
        <f t="shared" si="53"/>
        <v>31692.42</v>
      </c>
      <c r="H1705" s="15">
        <f t="shared" si="54"/>
        <v>0</v>
      </c>
    </row>
    <row r="1706" spans="1:8" ht="15.75" x14ac:dyDescent="0.25">
      <c r="A1706" s="51">
        <v>42809</v>
      </c>
      <c r="B1706" s="52" t="s">
        <v>9509</v>
      </c>
      <c r="C1706" s="18">
        <v>104484</v>
      </c>
      <c r="D1706" s="2" t="s">
        <v>153</v>
      </c>
      <c r="E1706" s="15">
        <v>5090.3999999999996</v>
      </c>
      <c r="F1706" s="59">
        <v>42810</v>
      </c>
      <c r="G1706" s="15">
        <f t="shared" si="53"/>
        <v>5090.3999999999996</v>
      </c>
      <c r="H1706" s="15">
        <f t="shared" si="54"/>
        <v>0</v>
      </c>
    </row>
    <row r="1707" spans="1:8" ht="15.75" x14ac:dyDescent="0.25">
      <c r="A1707" s="51">
        <v>42809</v>
      </c>
      <c r="B1707" s="52" t="s">
        <v>9510</v>
      </c>
      <c r="C1707" s="18">
        <v>104485</v>
      </c>
      <c r="D1707" s="2" t="s">
        <v>30</v>
      </c>
      <c r="E1707" s="15">
        <v>789.6</v>
      </c>
      <c r="F1707" s="59">
        <v>42809</v>
      </c>
      <c r="G1707" s="15">
        <f t="shared" si="53"/>
        <v>789.6</v>
      </c>
      <c r="H1707" s="15">
        <f t="shared" si="54"/>
        <v>0</v>
      </c>
    </row>
    <row r="1708" spans="1:8" ht="15.75" x14ac:dyDescent="0.25">
      <c r="A1708" s="51">
        <v>42809</v>
      </c>
      <c r="B1708" s="52" t="s">
        <v>9511</v>
      </c>
      <c r="C1708" s="18">
        <v>104486</v>
      </c>
      <c r="D1708" s="2" t="s">
        <v>172</v>
      </c>
      <c r="E1708" s="15">
        <v>26133.7</v>
      </c>
      <c r="F1708" s="59">
        <v>42818</v>
      </c>
      <c r="G1708" s="15">
        <f t="shared" si="53"/>
        <v>26133.7</v>
      </c>
      <c r="H1708" s="15">
        <f t="shared" si="54"/>
        <v>0</v>
      </c>
    </row>
    <row r="1709" spans="1:8" ht="15.75" x14ac:dyDescent="0.25">
      <c r="A1709" s="51">
        <v>42809</v>
      </c>
      <c r="B1709" s="52" t="s">
        <v>9512</v>
      </c>
      <c r="C1709" s="18">
        <v>104487</v>
      </c>
      <c r="D1709" s="2" t="s">
        <v>2704</v>
      </c>
      <c r="E1709" s="15">
        <v>13459.2</v>
      </c>
      <c r="F1709" s="59">
        <v>42810</v>
      </c>
      <c r="G1709" s="15">
        <f t="shared" si="53"/>
        <v>13459.2</v>
      </c>
      <c r="H1709" s="15">
        <f t="shared" si="54"/>
        <v>0</v>
      </c>
    </row>
    <row r="1710" spans="1:8" ht="15.75" x14ac:dyDescent="0.25">
      <c r="A1710" s="51">
        <v>42809</v>
      </c>
      <c r="B1710" s="52" t="s">
        <v>9513</v>
      </c>
      <c r="C1710" s="18">
        <v>104488</v>
      </c>
      <c r="D1710" s="2" t="s">
        <v>163</v>
      </c>
      <c r="E1710" s="15">
        <v>7783.5</v>
      </c>
      <c r="F1710" s="59">
        <v>42826</v>
      </c>
      <c r="G1710" s="15">
        <f t="shared" si="53"/>
        <v>7783.5</v>
      </c>
      <c r="H1710" s="15">
        <f t="shared" si="54"/>
        <v>0</v>
      </c>
    </row>
    <row r="1711" spans="1:8" ht="15.75" x14ac:dyDescent="0.25">
      <c r="A1711" s="51">
        <v>42809</v>
      </c>
      <c r="B1711" s="52" t="s">
        <v>9514</v>
      </c>
      <c r="C1711" s="18">
        <v>104489</v>
      </c>
      <c r="D1711" s="2" t="s">
        <v>3219</v>
      </c>
      <c r="E1711" s="15">
        <v>31818</v>
      </c>
      <c r="F1711" s="59">
        <v>42809</v>
      </c>
      <c r="G1711" s="15">
        <f t="shared" si="53"/>
        <v>31818</v>
      </c>
      <c r="H1711" s="15">
        <f t="shared" si="54"/>
        <v>0</v>
      </c>
    </row>
    <row r="1712" spans="1:8" ht="15.75" x14ac:dyDescent="0.25">
      <c r="A1712" s="51">
        <v>42809</v>
      </c>
      <c r="B1712" s="52" t="s">
        <v>9515</v>
      </c>
      <c r="C1712" s="18">
        <v>104490</v>
      </c>
      <c r="D1712" s="2" t="s">
        <v>3219</v>
      </c>
      <c r="E1712" s="15">
        <v>1500</v>
      </c>
      <c r="F1712" s="59">
        <v>42809</v>
      </c>
      <c r="G1712" s="15">
        <f t="shared" si="53"/>
        <v>1500</v>
      </c>
      <c r="H1712" s="15">
        <f t="shared" si="54"/>
        <v>0</v>
      </c>
    </row>
    <row r="1713" spans="1:8" ht="15.75" x14ac:dyDescent="0.25">
      <c r="A1713" s="51">
        <v>42809</v>
      </c>
      <c r="B1713" s="52" t="s">
        <v>9516</v>
      </c>
      <c r="C1713" s="18">
        <v>104491</v>
      </c>
      <c r="D1713" s="2" t="s">
        <v>422</v>
      </c>
      <c r="E1713" s="15">
        <v>481.4</v>
      </c>
      <c r="F1713" s="59">
        <v>42809</v>
      </c>
      <c r="G1713" s="15">
        <f t="shared" si="53"/>
        <v>481.4</v>
      </c>
      <c r="H1713" s="15">
        <f t="shared" si="54"/>
        <v>0</v>
      </c>
    </row>
    <row r="1714" spans="1:8" ht="15.75" x14ac:dyDescent="0.25">
      <c r="A1714" s="51">
        <v>42809</v>
      </c>
      <c r="B1714" s="52" t="s">
        <v>9517</v>
      </c>
      <c r="C1714" s="18">
        <v>104492</v>
      </c>
      <c r="D1714" s="2" t="s">
        <v>222</v>
      </c>
      <c r="E1714" s="15">
        <v>0</v>
      </c>
      <c r="F1714" s="59" t="s">
        <v>95</v>
      </c>
      <c r="G1714" s="15">
        <f t="shared" si="53"/>
        <v>0</v>
      </c>
      <c r="H1714" s="15">
        <f t="shared" si="54"/>
        <v>0</v>
      </c>
    </row>
    <row r="1715" spans="1:8" ht="15.75" x14ac:dyDescent="0.25">
      <c r="A1715" s="51">
        <v>42809</v>
      </c>
      <c r="B1715" s="52" t="s">
        <v>9518</v>
      </c>
      <c r="C1715" s="18">
        <v>104493</v>
      </c>
      <c r="D1715" s="2" t="s">
        <v>30</v>
      </c>
      <c r="E1715" s="15">
        <v>3056.6</v>
      </c>
      <c r="F1715" s="59">
        <v>42809</v>
      </c>
      <c r="G1715" s="15">
        <f t="shared" si="53"/>
        <v>3056.6</v>
      </c>
      <c r="H1715" s="15">
        <f t="shared" si="54"/>
        <v>0</v>
      </c>
    </row>
    <row r="1716" spans="1:8" ht="15.75" x14ac:dyDescent="0.25">
      <c r="A1716" s="51">
        <v>42809</v>
      </c>
      <c r="B1716" s="52" t="s">
        <v>9519</v>
      </c>
      <c r="C1716" s="18">
        <v>104494</v>
      </c>
      <c r="D1716" s="2" t="s">
        <v>352</v>
      </c>
      <c r="E1716" s="15">
        <v>2232</v>
      </c>
      <c r="F1716" s="59">
        <v>42809</v>
      </c>
      <c r="G1716" s="15">
        <f t="shared" si="53"/>
        <v>2232</v>
      </c>
      <c r="H1716" s="15">
        <f t="shared" si="54"/>
        <v>0</v>
      </c>
    </row>
    <row r="1717" spans="1:8" ht="15.75" x14ac:dyDescent="0.25">
      <c r="A1717" s="51">
        <v>42809</v>
      </c>
      <c r="B1717" s="52" t="s">
        <v>9520</v>
      </c>
      <c r="C1717" s="18">
        <v>104495</v>
      </c>
      <c r="D1717" s="2" t="s">
        <v>405</v>
      </c>
      <c r="E1717" s="15">
        <v>622.79999999999995</v>
      </c>
      <c r="F1717" s="59">
        <v>42809</v>
      </c>
      <c r="G1717" s="15">
        <f t="shared" si="53"/>
        <v>622.79999999999995</v>
      </c>
      <c r="H1717" s="15">
        <f t="shared" si="54"/>
        <v>0</v>
      </c>
    </row>
    <row r="1718" spans="1:8" ht="15.75" x14ac:dyDescent="0.25">
      <c r="A1718" s="51">
        <v>42809</v>
      </c>
      <c r="B1718" s="52" t="s">
        <v>9521</v>
      </c>
      <c r="C1718" s="18">
        <v>104496</v>
      </c>
      <c r="D1718" s="2" t="s">
        <v>205</v>
      </c>
      <c r="E1718" s="15">
        <v>39637.599999999999</v>
      </c>
      <c r="F1718" s="59">
        <v>42809</v>
      </c>
      <c r="G1718" s="15">
        <f t="shared" si="53"/>
        <v>39637.599999999999</v>
      </c>
      <c r="H1718" s="15">
        <f t="shared" si="54"/>
        <v>0</v>
      </c>
    </row>
    <row r="1719" spans="1:8" ht="15.75" x14ac:dyDescent="0.25">
      <c r="A1719" s="51">
        <v>42809</v>
      </c>
      <c r="B1719" s="52" t="s">
        <v>9522</v>
      </c>
      <c r="C1719" s="18">
        <v>104497</v>
      </c>
      <c r="D1719" s="13" t="s">
        <v>523</v>
      </c>
      <c r="E1719" s="14">
        <v>0</v>
      </c>
      <c r="F1719" s="102" t="s">
        <v>95</v>
      </c>
      <c r="G1719" s="14">
        <f t="shared" si="53"/>
        <v>0</v>
      </c>
      <c r="H1719" s="14">
        <f t="shared" si="54"/>
        <v>0</v>
      </c>
    </row>
    <row r="1720" spans="1:8" ht="15.75" x14ac:dyDescent="0.25">
      <c r="A1720" s="51">
        <v>42809</v>
      </c>
      <c r="B1720" s="52" t="s">
        <v>9523</v>
      </c>
      <c r="C1720" s="18">
        <v>104498</v>
      </c>
      <c r="D1720" s="2" t="s">
        <v>523</v>
      </c>
      <c r="E1720" s="15">
        <v>25374.799999999999</v>
      </c>
      <c r="F1720" s="59">
        <v>42791</v>
      </c>
      <c r="G1720" s="15">
        <f t="shared" si="53"/>
        <v>25374.799999999999</v>
      </c>
      <c r="H1720" s="15">
        <f t="shared" si="54"/>
        <v>0</v>
      </c>
    </row>
    <row r="1721" spans="1:8" ht="15.75" x14ac:dyDescent="0.25">
      <c r="A1721" s="51">
        <v>42809</v>
      </c>
      <c r="B1721" s="52" t="s">
        <v>9524</v>
      </c>
      <c r="C1721" s="18">
        <v>104499</v>
      </c>
      <c r="D1721" s="2" t="s">
        <v>205</v>
      </c>
      <c r="E1721" s="15">
        <v>31677.8</v>
      </c>
      <c r="F1721" s="59">
        <v>42845</v>
      </c>
      <c r="G1721" s="15">
        <f t="shared" si="53"/>
        <v>31677.8</v>
      </c>
      <c r="H1721" s="15">
        <f t="shared" si="54"/>
        <v>0</v>
      </c>
    </row>
    <row r="1722" spans="1:8" ht="15.75" x14ac:dyDescent="0.25">
      <c r="A1722" s="51">
        <v>42809</v>
      </c>
      <c r="B1722" s="52" t="s">
        <v>9525</v>
      </c>
      <c r="C1722" s="18">
        <v>104500</v>
      </c>
      <c r="D1722" s="2" t="s">
        <v>10</v>
      </c>
      <c r="E1722" s="15">
        <v>323218</v>
      </c>
      <c r="F1722" s="64" t="s">
        <v>9526</v>
      </c>
      <c r="G1722" s="20">
        <f>168566.48+154651.52</f>
        <v>323218</v>
      </c>
      <c r="H1722" s="20">
        <f t="shared" si="54"/>
        <v>0</v>
      </c>
    </row>
    <row r="1723" spans="1:8" ht="15.75" x14ac:dyDescent="0.25">
      <c r="A1723" s="51">
        <v>42809</v>
      </c>
      <c r="B1723" s="52" t="s">
        <v>9527</v>
      </c>
      <c r="C1723" s="18">
        <v>104501</v>
      </c>
      <c r="D1723" s="2" t="s">
        <v>205</v>
      </c>
      <c r="E1723" s="15">
        <v>32262.6</v>
      </c>
      <c r="F1723" s="59">
        <v>42845</v>
      </c>
      <c r="G1723" s="15">
        <f t="shared" si="53"/>
        <v>32262.6</v>
      </c>
      <c r="H1723" s="15">
        <f t="shared" si="54"/>
        <v>0</v>
      </c>
    </row>
    <row r="1724" spans="1:8" ht="15.75" x14ac:dyDescent="0.25">
      <c r="A1724" s="51">
        <v>42809</v>
      </c>
      <c r="B1724" s="52" t="s">
        <v>9528</v>
      </c>
      <c r="C1724" s="18">
        <v>104502</v>
      </c>
      <c r="D1724" s="2" t="s">
        <v>222</v>
      </c>
      <c r="E1724" s="15">
        <v>61822.2</v>
      </c>
      <c r="F1724" s="59">
        <v>42812</v>
      </c>
      <c r="G1724" s="15">
        <f t="shared" si="53"/>
        <v>61822.2</v>
      </c>
      <c r="H1724" s="15">
        <f t="shared" si="54"/>
        <v>0</v>
      </c>
    </row>
    <row r="1725" spans="1:8" ht="15.75" x14ac:dyDescent="0.25">
      <c r="A1725" s="51">
        <v>42809</v>
      </c>
      <c r="B1725" s="52" t="s">
        <v>9529</v>
      </c>
      <c r="C1725" s="18">
        <v>104503</v>
      </c>
      <c r="D1725" s="2" t="s">
        <v>10</v>
      </c>
      <c r="E1725" s="15">
        <v>65640.800000000003</v>
      </c>
      <c r="F1725" s="59">
        <v>42815</v>
      </c>
      <c r="G1725" s="15">
        <f t="shared" si="53"/>
        <v>65640.800000000003</v>
      </c>
      <c r="H1725" s="15">
        <f t="shared" si="54"/>
        <v>0</v>
      </c>
    </row>
    <row r="1726" spans="1:8" ht="15.75" x14ac:dyDescent="0.25">
      <c r="A1726" s="51">
        <v>42809</v>
      </c>
      <c r="B1726" s="52" t="s">
        <v>9530</v>
      </c>
      <c r="C1726" s="18">
        <v>104504</v>
      </c>
      <c r="D1726" s="2" t="s">
        <v>211</v>
      </c>
      <c r="E1726" s="15">
        <v>9489.4</v>
      </c>
      <c r="F1726" s="59">
        <v>42809</v>
      </c>
      <c r="G1726" s="15">
        <f t="shared" si="53"/>
        <v>9489.4</v>
      </c>
      <c r="H1726" s="15">
        <f t="shared" si="54"/>
        <v>0</v>
      </c>
    </row>
    <row r="1727" spans="1:8" ht="15.75" x14ac:dyDescent="0.25">
      <c r="A1727" s="51">
        <v>42809</v>
      </c>
      <c r="B1727" s="52" t="s">
        <v>9531</v>
      </c>
      <c r="C1727" s="18">
        <v>104505</v>
      </c>
      <c r="D1727" s="2" t="s">
        <v>10</v>
      </c>
      <c r="E1727" s="15">
        <v>11170.8</v>
      </c>
      <c r="F1727" s="59">
        <v>42815</v>
      </c>
      <c r="G1727" s="15">
        <f t="shared" si="53"/>
        <v>11170.8</v>
      </c>
      <c r="H1727" s="15">
        <f t="shared" si="54"/>
        <v>0</v>
      </c>
    </row>
    <row r="1728" spans="1:8" ht="15.75" x14ac:dyDescent="0.25">
      <c r="A1728" s="51">
        <v>42809</v>
      </c>
      <c r="B1728" s="52" t="s">
        <v>9532</v>
      </c>
      <c r="C1728" s="18">
        <v>104506</v>
      </c>
      <c r="D1728" s="2" t="s">
        <v>509</v>
      </c>
      <c r="E1728" s="15">
        <v>10697.3</v>
      </c>
      <c r="F1728" s="59">
        <v>42823</v>
      </c>
      <c r="G1728" s="15">
        <f t="shared" si="53"/>
        <v>10697.3</v>
      </c>
      <c r="H1728" s="15">
        <f t="shared" si="54"/>
        <v>0</v>
      </c>
    </row>
    <row r="1729" spans="1:8" ht="15.75" x14ac:dyDescent="0.25">
      <c r="A1729" s="51">
        <v>42809</v>
      </c>
      <c r="B1729" s="52" t="s">
        <v>9533</v>
      </c>
      <c r="C1729" s="18">
        <v>104507</v>
      </c>
      <c r="D1729" s="2" t="s">
        <v>186</v>
      </c>
      <c r="E1729" s="15">
        <v>3582.1</v>
      </c>
      <c r="F1729" s="59">
        <v>42812</v>
      </c>
      <c r="G1729" s="15">
        <f t="shared" si="53"/>
        <v>3582.1</v>
      </c>
      <c r="H1729" s="15">
        <f t="shared" si="54"/>
        <v>0</v>
      </c>
    </row>
    <row r="1730" spans="1:8" ht="15.75" x14ac:dyDescent="0.25">
      <c r="A1730" s="51">
        <v>42809</v>
      </c>
      <c r="B1730" s="52" t="s">
        <v>9534</v>
      </c>
      <c r="C1730" s="18">
        <v>104508</v>
      </c>
      <c r="D1730" s="2" t="s">
        <v>186</v>
      </c>
      <c r="E1730" s="15">
        <v>455.7</v>
      </c>
      <c r="F1730" s="59">
        <v>42812</v>
      </c>
      <c r="G1730" s="15">
        <f t="shared" si="53"/>
        <v>455.7</v>
      </c>
      <c r="H1730" s="15">
        <f t="shared" si="54"/>
        <v>0</v>
      </c>
    </row>
    <row r="1731" spans="1:8" ht="15.75" x14ac:dyDescent="0.25">
      <c r="A1731" s="51">
        <v>42809</v>
      </c>
      <c r="B1731" s="52" t="s">
        <v>9535</v>
      </c>
      <c r="C1731" s="18">
        <v>104509</v>
      </c>
      <c r="D1731" s="2" t="s">
        <v>220</v>
      </c>
      <c r="E1731" s="15">
        <v>2698.8</v>
      </c>
      <c r="F1731" s="59">
        <v>42809</v>
      </c>
      <c r="G1731" s="15">
        <f t="shared" si="53"/>
        <v>2698.8</v>
      </c>
      <c r="H1731" s="15">
        <f t="shared" si="54"/>
        <v>0</v>
      </c>
    </row>
    <row r="1732" spans="1:8" ht="15.75" x14ac:dyDescent="0.25">
      <c r="A1732" s="51">
        <v>42810</v>
      </c>
      <c r="B1732" s="52" t="s">
        <v>9536</v>
      </c>
      <c r="C1732" s="18">
        <v>104510</v>
      </c>
      <c r="D1732" s="2" t="s">
        <v>231</v>
      </c>
      <c r="E1732" s="15">
        <v>8673</v>
      </c>
      <c r="F1732" s="59">
        <v>42811</v>
      </c>
      <c r="G1732" s="15">
        <f t="shared" ref="G1732:G1795" si="55">E1732</f>
        <v>8673</v>
      </c>
      <c r="H1732" s="15">
        <f t="shared" ref="H1732:H1795" si="56">E1732-G1732</f>
        <v>0</v>
      </c>
    </row>
    <row r="1733" spans="1:8" ht="15.75" x14ac:dyDescent="0.25">
      <c r="A1733" s="51">
        <v>42810</v>
      </c>
      <c r="B1733" s="52" t="s">
        <v>9537</v>
      </c>
      <c r="C1733" s="18">
        <v>104511</v>
      </c>
      <c r="D1733" s="2" t="s">
        <v>231</v>
      </c>
      <c r="E1733" s="15">
        <v>42174.400000000001</v>
      </c>
      <c r="F1733" s="59">
        <v>42812</v>
      </c>
      <c r="G1733" s="15">
        <f t="shared" si="55"/>
        <v>42174.400000000001</v>
      </c>
      <c r="H1733" s="15">
        <f t="shared" si="56"/>
        <v>0</v>
      </c>
    </row>
    <row r="1734" spans="1:8" ht="15.75" x14ac:dyDescent="0.25">
      <c r="A1734" s="51">
        <v>42810</v>
      </c>
      <c r="B1734" s="52" t="s">
        <v>9538</v>
      </c>
      <c r="C1734" s="18">
        <v>104512</v>
      </c>
      <c r="D1734" s="24" t="s">
        <v>55</v>
      </c>
      <c r="E1734" s="25">
        <v>0</v>
      </c>
      <c r="F1734" s="103" t="s">
        <v>95</v>
      </c>
      <c r="G1734" s="25">
        <f t="shared" si="55"/>
        <v>0</v>
      </c>
      <c r="H1734" s="25">
        <f t="shared" si="56"/>
        <v>0</v>
      </c>
    </row>
    <row r="1735" spans="1:8" ht="15.75" x14ac:dyDescent="0.25">
      <c r="A1735" s="51">
        <v>42810</v>
      </c>
      <c r="B1735" s="52" t="s">
        <v>9539</v>
      </c>
      <c r="C1735" s="18">
        <v>104513</v>
      </c>
      <c r="D1735" s="2" t="s">
        <v>55</v>
      </c>
      <c r="E1735" s="15">
        <v>7233.6</v>
      </c>
      <c r="F1735" s="59">
        <v>42810</v>
      </c>
      <c r="G1735" s="15">
        <f t="shared" si="55"/>
        <v>7233.6</v>
      </c>
      <c r="H1735" s="15">
        <f t="shared" si="56"/>
        <v>0</v>
      </c>
    </row>
    <row r="1736" spans="1:8" ht="15.75" x14ac:dyDescent="0.25">
      <c r="A1736" s="51">
        <v>42810</v>
      </c>
      <c r="B1736" s="52" t="s">
        <v>9540</v>
      </c>
      <c r="C1736" s="18">
        <v>104514</v>
      </c>
      <c r="D1736" s="2" t="s">
        <v>32</v>
      </c>
      <c r="E1736" s="15">
        <v>6581.7</v>
      </c>
      <c r="F1736" s="59">
        <v>43062</v>
      </c>
      <c r="G1736" s="15">
        <f t="shared" si="55"/>
        <v>6581.7</v>
      </c>
      <c r="H1736" s="15">
        <f t="shared" si="56"/>
        <v>0</v>
      </c>
    </row>
    <row r="1737" spans="1:8" ht="15.75" x14ac:dyDescent="0.25">
      <c r="A1737" s="51">
        <v>42810</v>
      </c>
      <c r="B1737" s="52" t="s">
        <v>9541</v>
      </c>
      <c r="C1737" s="18">
        <v>104515</v>
      </c>
      <c r="D1737" s="2" t="s">
        <v>428</v>
      </c>
      <c r="E1737" s="15">
        <v>1800</v>
      </c>
      <c r="F1737" s="59">
        <v>42812</v>
      </c>
      <c r="G1737" s="15">
        <f t="shared" si="55"/>
        <v>1800</v>
      </c>
      <c r="H1737" s="15">
        <f t="shared" si="56"/>
        <v>0</v>
      </c>
    </row>
    <row r="1738" spans="1:8" ht="15.75" x14ac:dyDescent="0.25">
      <c r="A1738" s="51">
        <v>42810</v>
      </c>
      <c r="B1738" s="52" t="s">
        <v>9542</v>
      </c>
      <c r="C1738" s="18">
        <v>104516</v>
      </c>
      <c r="D1738" s="2" t="s">
        <v>35</v>
      </c>
      <c r="E1738" s="15">
        <v>8796.9</v>
      </c>
      <c r="G1738" s="15">
        <f t="shared" si="55"/>
        <v>8796.9</v>
      </c>
      <c r="H1738" s="15">
        <f t="shared" si="56"/>
        <v>0</v>
      </c>
    </row>
    <row r="1739" spans="1:8" ht="15.75" x14ac:dyDescent="0.25">
      <c r="A1739" s="51">
        <v>42810</v>
      </c>
      <c r="B1739" s="52" t="s">
        <v>9543</v>
      </c>
      <c r="C1739" s="18">
        <v>104517</v>
      </c>
      <c r="D1739" s="2" t="s">
        <v>26</v>
      </c>
      <c r="E1739" s="15">
        <v>13174.8</v>
      </c>
      <c r="F1739" s="59">
        <v>42810</v>
      </c>
      <c r="G1739" s="15">
        <f t="shared" si="55"/>
        <v>13174.8</v>
      </c>
      <c r="H1739" s="15">
        <f t="shared" si="56"/>
        <v>0</v>
      </c>
    </row>
    <row r="1740" spans="1:8" ht="15.75" x14ac:dyDescent="0.25">
      <c r="A1740" s="51">
        <v>42810</v>
      </c>
      <c r="B1740" s="52" t="s">
        <v>9544</v>
      </c>
      <c r="C1740" s="18">
        <v>104518</v>
      </c>
      <c r="D1740" s="2" t="s">
        <v>26</v>
      </c>
      <c r="E1740" s="15">
        <v>1191.4000000000001</v>
      </c>
      <c r="F1740" s="59">
        <v>42810</v>
      </c>
      <c r="G1740" s="15">
        <f t="shared" si="55"/>
        <v>1191.4000000000001</v>
      </c>
      <c r="H1740" s="15">
        <f t="shared" si="56"/>
        <v>0</v>
      </c>
    </row>
    <row r="1741" spans="1:8" ht="15.75" x14ac:dyDescent="0.25">
      <c r="A1741" s="51">
        <v>42810</v>
      </c>
      <c r="B1741" s="52" t="s">
        <v>9545</v>
      </c>
      <c r="C1741" s="18">
        <v>104519</v>
      </c>
      <c r="D1741" s="2" t="s">
        <v>71</v>
      </c>
      <c r="E1741" s="15">
        <v>3097.5</v>
      </c>
      <c r="F1741" s="59">
        <v>42810</v>
      </c>
      <c r="G1741" s="15">
        <f t="shared" si="55"/>
        <v>3097.5</v>
      </c>
      <c r="H1741" s="15">
        <f t="shared" si="56"/>
        <v>0</v>
      </c>
    </row>
    <row r="1742" spans="1:8" ht="15.75" x14ac:dyDescent="0.25">
      <c r="A1742" s="51">
        <v>42810</v>
      </c>
      <c r="B1742" s="52" t="s">
        <v>9546</v>
      </c>
      <c r="C1742" s="18">
        <v>104520</v>
      </c>
      <c r="D1742" s="2" t="s">
        <v>19</v>
      </c>
      <c r="E1742" s="15">
        <v>940</v>
      </c>
      <c r="F1742" s="59">
        <v>42810</v>
      </c>
      <c r="G1742" s="15">
        <f t="shared" si="55"/>
        <v>940</v>
      </c>
      <c r="H1742" s="15">
        <f t="shared" si="56"/>
        <v>0</v>
      </c>
    </row>
    <row r="1743" spans="1:8" ht="15.75" x14ac:dyDescent="0.25">
      <c r="A1743" s="51">
        <v>42810</v>
      </c>
      <c r="B1743" s="52" t="s">
        <v>9547</v>
      </c>
      <c r="C1743" s="18">
        <v>104521</v>
      </c>
      <c r="D1743" s="2" t="s">
        <v>51</v>
      </c>
      <c r="E1743" s="15">
        <v>2672.4</v>
      </c>
      <c r="F1743" s="59">
        <v>42812</v>
      </c>
      <c r="G1743" s="15">
        <f t="shared" si="55"/>
        <v>2672.4</v>
      </c>
      <c r="H1743" s="15">
        <f t="shared" si="56"/>
        <v>0</v>
      </c>
    </row>
    <row r="1744" spans="1:8" ht="15.75" x14ac:dyDescent="0.25">
      <c r="A1744" s="51">
        <v>42810</v>
      </c>
      <c r="B1744" s="52" t="s">
        <v>9548</v>
      </c>
      <c r="C1744" s="18">
        <v>104522</v>
      </c>
      <c r="D1744" s="2" t="s">
        <v>231</v>
      </c>
      <c r="E1744" s="15">
        <v>952</v>
      </c>
      <c r="F1744" s="59">
        <v>42812</v>
      </c>
      <c r="G1744" s="15">
        <f t="shared" si="55"/>
        <v>952</v>
      </c>
      <c r="H1744" s="15">
        <f t="shared" si="56"/>
        <v>0</v>
      </c>
    </row>
    <row r="1745" spans="1:8" ht="15.75" x14ac:dyDescent="0.25">
      <c r="A1745" s="51">
        <v>42810</v>
      </c>
      <c r="B1745" s="52" t="s">
        <v>9549</v>
      </c>
      <c r="C1745" s="18">
        <v>104523</v>
      </c>
      <c r="D1745" s="2" t="s">
        <v>28</v>
      </c>
      <c r="E1745" s="15">
        <v>13553.6</v>
      </c>
      <c r="F1745" s="59">
        <v>42810</v>
      </c>
      <c r="G1745" s="15">
        <f t="shared" si="55"/>
        <v>13553.6</v>
      </c>
      <c r="H1745" s="15">
        <f t="shared" si="56"/>
        <v>0</v>
      </c>
    </row>
    <row r="1746" spans="1:8" ht="15.75" x14ac:dyDescent="0.25">
      <c r="A1746" s="51">
        <v>42810</v>
      </c>
      <c r="B1746" s="52" t="s">
        <v>9550</v>
      </c>
      <c r="C1746" s="18">
        <v>104524</v>
      </c>
      <c r="D1746" s="2" t="s">
        <v>49</v>
      </c>
      <c r="E1746" s="15">
        <v>9302.4</v>
      </c>
      <c r="F1746" s="59">
        <v>42812</v>
      </c>
      <c r="G1746" s="15">
        <f t="shared" si="55"/>
        <v>9302.4</v>
      </c>
      <c r="H1746" s="15">
        <f t="shared" si="56"/>
        <v>0</v>
      </c>
    </row>
    <row r="1747" spans="1:8" ht="15.75" x14ac:dyDescent="0.25">
      <c r="A1747" s="51">
        <v>42810</v>
      </c>
      <c r="B1747" s="52" t="s">
        <v>9551</v>
      </c>
      <c r="C1747" s="18">
        <v>104525</v>
      </c>
      <c r="D1747" s="2" t="s">
        <v>120</v>
      </c>
      <c r="E1747" s="15">
        <v>1368.8</v>
      </c>
      <c r="F1747" s="59">
        <v>42810</v>
      </c>
      <c r="G1747" s="15">
        <f t="shared" si="55"/>
        <v>1368.8</v>
      </c>
      <c r="H1747" s="15">
        <f t="shared" si="56"/>
        <v>0</v>
      </c>
    </row>
    <row r="1748" spans="1:8" ht="15.75" x14ac:dyDescent="0.25">
      <c r="A1748" s="51">
        <v>42810</v>
      </c>
      <c r="B1748" s="52" t="s">
        <v>9552</v>
      </c>
      <c r="C1748" s="18">
        <v>104526</v>
      </c>
      <c r="D1748" s="2" t="s">
        <v>386</v>
      </c>
      <c r="E1748" s="15">
        <v>4299.3999999999996</v>
      </c>
      <c r="F1748" s="59">
        <v>42810</v>
      </c>
      <c r="G1748" s="15">
        <f t="shared" si="55"/>
        <v>4299.3999999999996</v>
      </c>
      <c r="H1748" s="15">
        <f t="shared" si="56"/>
        <v>0</v>
      </c>
    </row>
    <row r="1749" spans="1:8" ht="15.75" x14ac:dyDescent="0.25">
      <c r="A1749" s="51">
        <v>42810</v>
      </c>
      <c r="B1749" s="52" t="s">
        <v>9553</v>
      </c>
      <c r="C1749" s="18">
        <v>104527</v>
      </c>
      <c r="D1749" s="2" t="s">
        <v>264</v>
      </c>
      <c r="E1749" s="15">
        <v>21818.02</v>
      </c>
      <c r="F1749" s="59">
        <v>42810</v>
      </c>
      <c r="G1749" s="15">
        <f t="shared" si="55"/>
        <v>21818.02</v>
      </c>
      <c r="H1749" s="15">
        <f t="shared" si="56"/>
        <v>0</v>
      </c>
    </row>
    <row r="1750" spans="1:8" ht="15.75" x14ac:dyDescent="0.25">
      <c r="A1750" s="51">
        <v>42810</v>
      </c>
      <c r="B1750" s="52" t="s">
        <v>9554</v>
      </c>
      <c r="C1750" s="18">
        <v>104528</v>
      </c>
      <c r="D1750" s="2" t="s">
        <v>222</v>
      </c>
      <c r="E1750" s="15">
        <v>21707.65</v>
      </c>
      <c r="F1750" s="59">
        <v>42812</v>
      </c>
      <c r="G1750" s="15">
        <f t="shared" si="55"/>
        <v>21707.65</v>
      </c>
      <c r="H1750" s="15">
        <f t="shared" si="56"/>
        <v>0</v>
      </c>
    </row>
    <row r="1751" spans="1:8" ht="15.75" x14ac:dyDescent="0.25">
      <c r="A1751" s="51">
        <v>42810</v>
      </c>
      <c r="B1751" s="52" t="s">
        <v>9555</v>
      </c>
      <c r="C1751" s="18">
        <v>104529</v>
      </c>
      <c r="D1751" s="2" t="s">
        <v>205</v>
      </c>
      <c r="E1751" s="15">
        <v>4452.5</v>
      </c>
      <c r="F1751" s="59">
        <v>42810</v>
      </c>
      <c r="G1751" s="15">
        <f t="shared" si="55"/>
        <v>4452.5</v>
      </c>
      <c r="H1751" s="15">
        <f t="shared" si="56"/>
        <v>0</v>
      </c>
    </row>
    <row r="1752" spans="1:8" ht="15.75" x14ac:dyDescent="0.25">
      <c r="A1752" s="51">
        <v>42810</v>
      </c>
      <c r="B1752" s="52" t="s">
        <v>9556</v>
      </c>
      <c r="C1752" s="18">
        <v>104530</v>
      </c>
      <c r="D1752" s="2" t="s">
        <v>250</v>
      </c>
      <c r="E1752" s="15">
        <v>6848.2</v>
      </c>
      <c r="F1752" s="64" t="s">
        <v>9432</v>
      </c>
      <c r="G1752" s="20">
        <f>6100+748.2</f>
        <v>6848.2</v>
      </c>
      <c r="H1752" s="20">
        <f t="shared" si="56"/>
        <v>0</v>
      </c>
    </row>
    <row r="1753" spans="1:8" ht="15.75" x14ac:dyDescent="0.25">
      <c r="A1753" s="51">
        <v>42810</v>
      </c>
      <c r="B1753" s="52" t="s">
        <v>9557</v>
      </c>
      <c r="C1753" s="18">
        <v>104531</v>
      </c>
      <c r="D1753" s="2" t="s">
        <v>40</v>
      </c>
      <c r="E1753" s="15">
        <v>3692.2</v>
      </c>
      <c r="G1753" s="15">
        <f t="shared" si="55"/>
        <v>3692.2</v>
      </c>
      <c r="H1753" s="15">
        <f t="shared" si="56"/>
        <v>0</v>
      </c>
    </row>
    <row r="1754" spans="1:8" ht="15.75" x14ac:dyDescent="0.25">
      <c r="A1754" s="51">
        <v>42810</v>
      </c>
      <c r="B1754" s="52" t="s">
        <v>9558</v>
      </c>
      <c r="C1754" s="18">
        <v>104532</v>
      </c>
      <c r="D1754" s="2" t="s">
        <v>253</v>
      </c>
      <c r="E1754" s="15">
        <v>3481.6</v>
      </c>
      <c r="F1754" s="59">
        <v>42811</v>
      </c>
      <c r="G1754" s="15">
        <f t="shared" si="55"/>
        <v>3481.6</v>
      </c>
      <c r="H1754" s="15">
        <f t="shared" si="56"/>
        <v>0</v>
      </c>
    </row>
    <row r="1755" spans="1:8" ht="15.75" x14ac:dyDescent="0.25">
      <c r="A1755" s="51">
        <v>42810</v>
      </c>
      <c r="B1755" s="52" t="s">
        <v>9559</v>
      </c>
      <c r="C1755" s="18">
        <v>104533</v>
      </c>
      <c r="D1755" s="2" t="s">
        <v>21</v>
      </c>
      <c r="E1755" s="15">
        <v>41486.400000000001</v>
      </c>
      <c r="F1755" s="59">
        <v>42825</v>
      </c>
      <c r="G1755" s="15">
        <f t="shared" si="55"/>
        <v>41486.400000000001</v>
      </c>
      <c r="H1755" s="15">
        <f t="shared" si="56"/>
        <v>0</v>
      </c>
    </row>
    <row r="1756" spans="1:8" ht="15.75" x14ac:dyDescent="0.25">
      <c r="A1756" s="51">
        <v>42810</v>
      </c>
      <c r="B1756" s="52" t="s">
        <v>9560</v>
      </c>
      <c r="C1756" s="18">
        <v>104534</v>
      </c>
      <c r="D1756" s="2" t="s">
        <v>236</v>
      </c>
      <c r="E1756" s="15">
        <v>102867.05</v>
      </c>
      <c r="F1756" s="59">
        <v>42818</v>
      </c>
      <c r="G1756" s="15">
        <f t="shared" si="55"/>
        <v>102867.05</v>
      </c>
      <c r="H1756" s="15">
        <f t="shared" si="56"/>
        <v>0</v>
      </c>
    </row>
    <row r="1757" spans="1:8" ht="15.75" x14ac:dyDescent="0.25">
      <c r="A1757" s="51">
        <v>42810</v>
      </c>
      <c r="B1757" s="52" t="s">
        <v>9561</v>
      </c>
      <c r="C1757" s="18">
        <v>104535</v>
      </c>
      <c r="D1757" s="2" t="s">
        <v>268</v>
      </c>
      <c r="E1757" s="15">
        <v>13222.6</v>
      </c>
      <c r="F1757" s="59">
        <v>42816</v>
      </c>
      <c r="G1757" s="15">
        <f t="shared" si="55"/>
        <v>13222.6</v>
      </c>
      <c r="H1757" s="15">
        <f t="shared" si="56"/>
        <v>0</v>
      </c>
    </row>
    <row r="1758" spans="1:8" ht="15.75" x14ac:dyDescent="0.25">
      <c r="A1758" s="51">
        <v>42810</v>
      </c>
      <c r="B1758" s="52" t="s">
        <v>9562</v>
      </c>
      <c r="C1758" s="18">
        <v>104536</v>
      </c>
      <c r="D1758" s="2" t="s">
        <v>157</v>
      </c>
      <c r="E1758" s="15">
        <v>13971</v>
      </c>
      <c r="F1758" s="59">
        <v>42810</v>
      </c>
      <c r="G1758" s="15">
        <f t="shared" si="55"/>
        <v>13971</v>
      </c>
      <c r="H1758" s="15">
        <f t="shared" si="56"/>
        <v>0</v>
      </c>
    </row>
    <row r="1759" spans="1:8" ht="15.75" x14ac:dyDescent="0.25">
      <c r="A1759" s="51">
        <v>42810</v>
      </c>
      <c r="B1759" s="52" t="s">
        <v>9563</v>
      </c>
      <c r="C1759" s="18">
        <v>104537</v>
      </c>
      <c r="D1759" s="13" t="s">
        <v>432</v>
      </c>
      <c r="E1759" s="14">
        <v>0</v>
      </c>
      <c r="F1759" s="102" t="s">
        <v>95</v>
      </c>
      <c r="G1759" s="14">
        <f t="shared" si="55"/>
        <v>0</v>
      </c>
      <c r="H1759" s="14">
        <f t="shared" si="56"/>
        <v>0</v>
      </c>
    </row>
    <row r="1760" spans="1:8" ht="15.75" x14ac:dyDescent="0.25">
      <c r="A1760" s="51">
        <v>42810</v>
      </c>
      <c r="B1760" s="52" t="s">
        <v>9564</v>
      </c>
      <c r="C1760" s="18">
        <v>104538</v>
      </c>
      <c r="D1760" s="13" t="s">
        <v>432</v>
      </c>
      <c r="E1760" s="14">
        <v>0</v>
      </c>
      <c r="F1760" s="102" t="s">
        <v>95</v>
      </c>
      <c r="G1760" s="14">
        <f t="shared" si="55"/>
        <v>0</v>
      </c>
      <c r="H1760" s="14">
        <f t="shared" si="56"/>
        <v>0</v>
      </c>
    </row>
    <row r="1761" spans="1:8" ht="15.75" x14ac:dyDescent="0.25">
      <c r="A1761" s="51">
        <v>42810</v>
      </c>
      <c r="B1761" s="52" t="s">
        <v>9565</v>
      </c>
      <c r="C1761" s="18">
        <v>104539</v>
      </c>
      <c r="D1761" s="2" t="s">
        <v>270</v>
      </c>
      <c r="E1761" s="15">
        <v>2144.58</v>
      </c>
      <c r="F1761" s="59">
        <v>42816</v>
      </c>
      <c r="G1761" s="15">
        <f t="shared" si="55"/>
        <v>2144.58</v>
      </c>
      <c r="H1761" s="15">
        <f t="shared" si="56"/>
        <v>0</v>
      </c>
    </row>
    <row r="1762" spans="1:8" ht="15.75" x14ac:dyDescent="0.25">
      <c r="A1762" s="51">
        <v>42810</v>
      </c>
      <c r="B1762" s="52" t="s">
        <v>9566</v>
      </c>
      <c r="C1762" s="18">
        <v>104540</v>
      </c>
      <c r="D1762" s="2" t="s">
        <v>435</v>
      </c>
      <c r="E1762" s="15">
        <v>1832.36</v>
      </c>
      <c r="F1762" s="59">
        <v>42811</v>
      </c>
      <c r="G1762" s="15">
        <f t="shared" si="55"/>
        <v>1832.36</v>
      </c>
      <c r="H1762" s="15">
        <f t="shared" si="56"/>
        <v>0</v>
      </c>
    </row>
    <row r="1763" spans="1:8" ht="15.75" x14ac:dyDescent="0.25">
      <c r="A1763" s="51">
        <v>42810</v>
      </c>
      <c r="B1763" s="52" t="s">
        <v>9567</v>
      </c>
      <c r="C1763" s="18">
        <v>104541</v>
      </c>
      <c r="D1763" s="2" t="s">
        <v>876</v>
      </c>
      <c r="E1763" s="15">
        <v>3907.2</v>
      </c>
      <c r="F1763" s="59">
        <v>42818</v>
      </c>
      <c r="G1763" s="15">
        <f t="shared" si="55"/>
        <v>3907.2</v>
      </c>
      <c r="H1763" s="15">
        <f t="shared" si="56"/>
        <v>0</v>
      </c>
    </row>
    <row r="1764" spans="1:8" ht="15.75" x14ac:dyDescent="0.25">
      <c r="A1764" s="51">
        <v>42810</v>
      </c>
      <c r="B1764" s="52" t="s">
        <v>9568</v>
      </c>
      <c r="C1764" s="18">
        <v>104542</v>
      </c>
      <c r="D1764" s="2" t="s">
        <v>17</v>
      </c>
      <c r="E1764" s="15">
        <v>2350</v>
      </c>
      <c r="F1764" s="59">
        <v>42810</v>
      </c>
      <c r="G1764" s="15">
        <f t="shared" si="55"/>
        <v>2350</v>
      </c>
      <c r="H1764" s="15">
        <f t="shared" si="56"/>
        <v>0</v>
      </c>
    </row>
    <row r="1765" spans="1:8" ht="15.75" x14ac:dyDescent="0.25">
      <c r="A1765" s="51">
        <v>42810</v>
      </c>
      <c r="B1765" s="52" t="s">
        <v>9569</v>
      </c>
      <c r="C1765" s="18">
        <v>104543</v>
      </c>
      <c r="D1765" s="2" t="s">
        <v>435</v>
      </c>
      <c r="E1765" s="15">
        <v>239.2</v>
      </c>
      <c r="G1765" s="15">
        <f t="shared" si="55"/>
        <v>239.2</v>
      </c>
      <c r="H1765" s="15">
        <f t="shared" si="56"/>
        <v>0</v>
      </c>
    </row>
    <row r="1766" spans="1:8" ht="15.75" x14ac:dyDescent="0.25">
      <c r="A1766" s="51">
        <v>42810</v>
      </c>
      <c r="B1766" s="52" t="s">
        <v>9570</v>
      </c>
      <c r="C1766" s="18">
        <v>104544</v>
      </c>
      <c r="D1766" s="2" t="s">
        <v>1786</v>
      </c>
      <c r="E1766" s="15">
        <v>6660</v>
      </c>
      <c r="F1766" s="59">
        <v>42810</v>
      </c>
      <c r="G1766" s="15">
        <f t="shared" si="55"/>
        <v>6660</v>
      </c>
      <c r="H1766" s="15">
        <f t="shared" si="56"/>
        <v>0</v>
      </c>
    </row>
    <row r="1767" spans="1:8" ht="15.75" x14ac:dyDescent="0.25">
      <c r="A1767" s="51">
        <v>42810</v>
      </c>
      <c r="B1767" s="52" t="s">
        <v>9571</v>
      </c>
      <c r="C1767" s="18">
        <v>104545</v>
      </c>
      <c r="D1767" s="2" t="s">
        <v>435</v>
      </c>
      <c r="E1767" s="15">
        <v>202.4</v>
      </c>
      <c r="F1767" s="59">
        <v>42811</v>
      </c>
      <c r="G1767" s="15">
        <f t="shared" si="55"/>
        <v>202.4</v>
      </c>
      <c r="H1767" s="15">
        <f t="shared" si="56"/>
        <v>0</v>
      </c>
    </row>
    <row r="1768" spans="1:8" ht="15.75" x14ac:dyDescent="0.25">
      <c r="A1768" s="51">
        <v>42810</v>
      </c>
      <c r="B1768" s="52" t="s">
        <v>9572</v>
      </c>
      <c r="C1768" s="18">
        <v>104546</v>
      </c>
      <c r="D1768" s="2" t="s">
        <v>69</v>
      </c>
      <c r="E1768" s="15">
        <v>3800.9</v>
      </c>
      <c r="F1768" s="59">
        <v>42810</v>
      </c>
      <c r="G1768" s="15">
        <f t="shared" si="55"/>
        <v>3800.9</v>
      </c>
      <c r="H1768" s="15">
        <f t="shared" si="56"/>
        <v>0</v>
      </c>
    </row>
    <row r="1769" spans="1:8" ht="15.75" x14ac:dyDescent="0.25">
      <c r="A1769" s="51">
        <v>42810</v>
      </c>
      <c r="B1769" s="52" t="s">
        <v>9573</v>
      </c>
      <c r="C1769" s="18">
        <v>104547</v>
      </c>
      <c r="D1769" s="2" t="s">
        <v>270</v>
      </c>
      <c r="E1769" s="15">
        <v>2862.8</v>
      </c>
      <c r="F1769" s="59">
        <v>42816</v>
      </c>
      <c r="G1769" s="15">
        <f t="shared" si="55"/>
        <v>2862.8</v>
      </c>
      <c r="H1769" s="15">
        <f t="shared" si="56"/>
        <v>0</v>
      </c>
    </row>
    <row r="1770" spans="1:8" ht="15.75" x14ac:dyDescent="0.25">
      <c r="A1770" s="51">
        <v>42810</v>
      </c>
      <c r="B1770" s="52" t="s">
        <v>9574</v>
      </c>
      <c r="C1770" s="18">
        <v>104548</v>
      </c>
      <c r="D1770" s="2" t="s">
        <v>509</v>
      </c>
      <c r="E1770" s="15">
        <v>4547.3999999999996</v>
      </c>
      <c r="F1770" s="59">
        <v>42810</v>
      </c>
      <c r="G1770" s="15">
        <f t="shared" si="55"/>
        <v>4547.3999999999996</v>
      </c>
      <c r="H1770" s="15">
        <f t="shared" si="56"/>
        <v>0</v>
      </c>
    </row>
    <row r="1771" spans="1:8" ht="15.75" x14ac:dyDescent="0.25">
      <c r="A1771" s="51">
        <v>42810</v>
      </c>
      <c r="B1771" s="52" t="s">
        <v>9575</v>
      </c>
      <c r="C1771" s="18">
        <v>104549</v>
      </c>
      <c r="D1771" s="2" t="s">
        <v>47</v>
      </c>
      <c r="E1771" s="15">
        <v>2349</v>
      </c>
      <c r="F1771" s="59">
        <v>42810</v>
      </c>
      <c r="G1771" s="15">
        <f t="shared" si="55"/>
        <v>2349</v>
      </c>
      <c r="H1771" s="15">
        <f t="shared" si="56"/>
        <v>0</v>
      </c>
    </row>
    <row r="1772" spans="1:8" ht="15.75" x14ac:dyDescent="0.25">
      <c r="A1772" s="51">
        <v>42810</v>
      </c>
      <c r="B1772" s="52" t="s">
        <v>9576</v>
      </c>
      <c r="C1772" s="18">
        <v>104550</v>
      </c>
      <c r="D1772" s="2" t="s">
        <v>272</v>
      </c>
      <c r="E1772" s="15">
        <v>880</v>
      </c>
      <c r="F1772" s="59">
        <v>42811</v>
      </c>
      <c r="G1772" s="15">
        <f t="shared" si="55"/>
        <v>880</v>
      </c>
      <c r="H1772" s="15">
        <f t="shared" si="56"/>
        <v>0</v>
      </c>
    </row>
    <row r="1773" spans="1:8" ht="15.75" x14ac:dyDescent="0.25">
      <c r="A1773" s="51">
        <v>42810</v>
      </c>
      <c r="B1773" s="52" t="s">
        <v>9577</v>
      </c>
      <c r="C1773" s="18">
        <v>104551</v>
      </c>
      <c r="D1773" s="2" t="s">
        <v>105</v>
      </c>
      <c r="E1773" s="15">
        <v>3280.5</v>
      </c>
      <c r="F1773" s="59">
        <v>42812</v>
      </c>
      <c r="G1773" s="15">
        <f t="shared" si="55"/>
        <v>3280.5</v>
      </c>
      <c r="H1773" s="15">
        <f t="shared" si="56"/>
        <v>0</v>
      </c>
    </row>
    <row r="1774" spans="1:8" ht="15.75" x14ac:dyDescent="0.25">
      <c r="A1774" s="51">
        <v>42810</v>
      </c>
      <c r="B1774" s="52" t="s">
        <v>9578</v>
      </c>
      <c r="C1774" s="18">
        <v>104552</v>
      </c>
      <c r="D1774" s="2" t="s">
        <v>103</v>
      </c>
      <c r="E1774" s="15">
        <v>3802.5</v>
      </c>
      <c r="F1774" s="59">
        <v>42812</v>
      </c>
      <c r="G1774" s="15">
        <f t="shared" si="55"/>
        <v>3802.5</v>
      </c>
      <c r="H1774" s="15">
        <f t="shared" si="56"/>
        <v>0</v>
      </c>
    </row>
    <row r="1775" spans="1:8" ht="15.75" x14ac:dyDescent="0.25">
      <c r="A1775" s="51">
        <v>42810</v>
      </c>
      <c r="B1775" s="52" t="s">
        <v>9579</v>
      </c>
      <c r="C1775" s="18">
        <v>104553</v>
      </c>
      <c r="D1775" s="2" t="s">
        <v>309</v>
      </c>
      <c r="E1775" s="15">
        <v>4991.5</v>
      </c>
      <c r="F1775" s="59">
        <v>42810</v>
      </c>
      <c r="G1775" s="15">
        <f t="shared" si="55"/>
        <v>4991.5</v>
      </c>
      <c r="H1775" s="15">
        <f t="shared" si="56"/>
        <v>0</v>
      </c>
    </row>
    <row r="1776" spans="1:8" ht="15.75" x14ac:dyDescent="0.25">
      <c r="A1776" s="51">
        <v>42810</v>
      </c>
      <c r="B1776" s="52" t="s">
        <v>9580</v>
      </c>
      <c r="C1776" s="18">
        <v>104554</v>
      </c>
      <c r="D1776" s="2" t="s">
        <v>149</v>
      </c>
      <c r="E1776" s="15">
        <v>725.4</v>
      </c>
      <c r="F1776" s="59">
        <v>42810</v>
      </c>
      <c r="G1776" s="15">
        <f t="shared" si="55"/>
        <v>725.4</v>
      </c>
      <c r="H1776" s="15">
        <f t="shared" si="56"/>
        <v>0</v>
      </c>
    </row>
    <row r="1777" spans="1:8" ht="15.75" x14ac:dyDescent="0.25">
      <c r="A1777" s="51">
        <v>42810</v>
      </c>
      <c r="B1777" s="52" t="s">
        <v>9581</v>
      </c>
      <c r="C1777" s="18">
        <v>104555</v>
      </c>
      <c r="D1777" s="2" t="s">
        <v>149</v>
      </c>
      <c r="E1777" s="15">
        <v>15563</v>
      </c>
      <c r="F1777" s="59">
        <v>42810</v>
      </c>
      <c r="G1777" s="15">
        <f t="shared" si="55"/>
        <v>15563</v>
      </c>
      <c r="H1777" s="15">
        <f t="shared" si="56"/>
        <v>0</v>
      </c>
    </row>
    <row r="1778" spans="1:8" ht="15.75" x14ac:dyDescent="0.25">
      <c r="A1778" s="51">
        <v>42810</v>
      </c>
      <c r="B1778" s="52" t="s">
        <v>9582</v>
      </c>
      <c r="C1778" s="18">
        <v>104556</v>
      </c>
      <c r="D1778" s="2" t="s">
        <v>1090</v>
      </c>
      <c r="E1778" s="15">
        <v>6555.8</v>
      </c>
      <c r="F1778" s="59">
        <v>42810</v>
      </c>
      <c r="G1778" s="15">
        <f t="shared" si="55"/>
        <v>6555.8</v>
      </c>
      <c r="H1778" s="15">
        <f t="shared" si="56"/>
        <v>0</v>
      </c>
    </row>
    <row r="1779" spans="1:8" ht="15.75" x14ac:dyDescent="0.25">
      <c r="A1779" s="51">
        <v>42810</v>
      </c>
      <c r="B1779" s="52" t="s">
        <v>9583</v>
      </c>
      <c r="C1779" s="18">
        <v>104557</v>
      </c>
      <c r="D1779" s="2" t="s">
        <v>30</v>
      </c>
      <c r="E1779" s="15">
        <v>2639.3</v>
      </c>
      <c r="F1779" s="59">
        <v>42810</v>
      </c>
      <c r="G1779" s="15">
        <f t="shared" si="55"/>
        <v>2639.3</v>
      </c>
      <c r="H1779" s="15">
        <f t="shared" si="56"/>
        <v>0</v>
      </c>
    </row>
    <row r="1780" spans="1:8" ht="15.75" x14ac:dyDescent="0.25">
      <c r="A1780" s="51">
        <v>42810</v>
      </c>
      <c r="B1780" s="52" t="s">
        <v>9584</v>
      </c>
      <c r="C1780" s="18">
        <v>104558</v>
      </c>
      <c r="D1780" s="2" t="s">
        <v>4930</v>
      </c>
      <c r="E1780" s="15">
        <v>4602.8999999999996</v>
      </c>
      <c r="F1780" s="59">
        <v>42810</v>
      </c>
      <c r="G1780" s="15">
        <f t="shared" si="55"/>
        <v>4602.8999999999996</v>
      </c>
      <c r="H1780" s="15">
        <f t="shared" si="56"/>
        <v>0</v>
      </c>
    </row>
    <row r="1781" spans="1:8" ht="15.75" x14ac:dyDescent="0.25">
      <c r="A1781" s="51">
        <v>42810</v>
      </c>
      <c r="B1781" s="52" t="s">
        <v>9585</v>
      </c>
      <c r="C1781" s="18">
        <v>104559</v>
      </c>
      <c r="D1781" s="2" t="s">
        <v>909</v>
      </c>
      <c r="E1781" s="15">
        <v>2998.8</v>
      </c>
      <c r="F1781" s="59">
        <v>42810</v>
      </c>
      <c r="G1781" s="15">
        <f t="shared" si="55"/>
        <v>2998.8</v>
      </c>
      <c r="H1781" s="15">
        <f t="shared" si="56"/>
        <v>0</v>
      </c>
    </row>
    <row r="1782" spans="1:8" ht="15.75" x14ac:dyDescent="0.25">
      <c r="A1782" s="51">
        <v>42810</v>
      </c>
      <c r="B1782" s="52" t="s">
        <v>9586</v>
      </c>
      <c r="C1782" s="18">
        <v>104560</v>
      </c>
      <c r="D1782" s="2" t="s">
        <v>61</v>
      </c>
      <c r="E1782" s="15">
        <v>8930</v>
      </c>
      <c r="F1782" s="59">
        <v>42810</v>
      </c>
      <c r="G1782" s="15">
        <f t="shared" si="55"/>
        <v>8930</v>
      </c>
      <c r="H1782" s="15">
        <f t="shared" si="56"/>
        <v>0</v>
      </c>
    </row>
    <row r="1783" spans="1:8" ht="15.75" x14ac:dyDescent="0.25">
      <c r="A1783" s="51">
        <v>42810</v>
      </c>
      <c r="B1783" s="52" t="s">
        <v>9587</v>
      </c>
      <c r="C1783" s="18">
        <v>104561</v>
      </c>
      <c r="D1783" s="2" t="s">
        <v>30</v>
      </c>
      <c r="E1783" s="15">
        <v>782.4</v>
      </c>
      <c r="F1783" s="59">
        <v>42810</v>
      </c>
      <c r="G1783" s="15">
        <f t="shared" si="55"/>
        <v>782.4</v>
      </c>
      <c r="H1783" s="15">
        <f t="shared" si="56"/>
        <v>0</v>
      </c>
    </row>
    <row r="1784" spans="1:8" ht="15.75" x14ac:dyDescent="0.25">
      <c r="A1784" s="51">
        <v>42810</v>
      </c>
      <c r="B1784" s="52" t="s">
        <v>9588</v>
      </c>
      <c r="C1784" s="18">
        <v>104562</v>
      </c>
      <c r="D1784" s="2" t="s">
        <v>240</v>
      </c>
      <c r="E1784" s="15">
        <v>4809.6000000000004</v>
      </c>
      <c r="F1784" s="59">
        <v>42810</v>
      </c>
      <c r="G1784" s="15">
        <f t="shared" si="55"/>
        <v>4809.6000000000004</v>
      </c>
      <c r="H1784" s="15">
        <f t="shared" si="56"/>
        <v>0</v>
      </c>
    </row>
    <row r="1785" spans="1:8" ht="15.75" x14ac:dyDescent="0.25">
      <c r="A1785" s="51">
        <v>42810</v>
      </c>
      <c r="B1785" s="52" t="s">
        <v>9589</v>
      </c>
      <c r="C1785" s="18">
        <v>104563</v>
      </c>
      <c r="D1785" s="2" t="s">
        <v>14</v>
      </c>
      <c r="E1785" s="15">
        <v>9588</v>
      </c>
      <c r="F1785" s="59">
        <v>42810</v>
      </c>
      <c r="G1785" s="15">
        <f t="shared" si="55"/>
        <v>9588</v>
      </c>
      <c r="H1785" s="15">
        <f t="shared" si="56"/>
        <v>0</v>
      </c>
    </row>
    <row r="1786" spans="1:8" ht="15.75" x14ac:dyDescent="0.25">
      <c r="A1786" s="51">
        <v>42810</v>
      </c>
      <c r="B1786" s="52" t="s">
        <v>9590</v>
      </c>
      <c r="C1786" s="18">
        <v>104564</v>
      </c>
      <c r="D1786" s="2" t="s">
        <v>281</v>
      </c>
      <c r="E1786" s="15">
        <v>1759.7</v>
      </c>
      <c r="F1786" s="59">
        <v>42810</v>
      </c>
      <c r="G1786" s="15">
        <f t="shared" si="55"/>
        <v>1759.7</v>
      </c>
      <c r="H1786" s="15">
        <f t="shared" si="56"/>
        <v>0</v>
      </c>
    </row>
    <row r="1787" spans="1:8" ht="15.75" x14ac:dyDescent="0.25">
      <c r="A1787" s="51">
        <v>42810</v>
      </c>
      <c r="B1787" s="52" t="s">
        <v>9591</v>
      </c>
      <c r="C1787" s="18">
        <v>104565</v>
      </c>
      <c r="D1787" s="2" t="s">
        <v>79</v>
      </c>
      <c r="E1787" s="15">
        <v>3420</v>
      </c>
      <c r="F1787" s="59">
        <v>42810</v>
      </c>
      <c r="G1787" s="15">
        <f t="shared" si="55"/>
        <v>3420</v>
      </c>
      <c r="H1787" s="15">
        <f t="shared" si="56"/>
        <v>0</v>
      </c>
    </row>
    <row r="1788" spans="1:8" ht="15.75" x14ac:dyDescent="0.25">
      <c r="A1788" s="51">
        <v>42810</v>
      </c>
      <c r="B1788" s="52" t="s">
        <v>9592</v>
      </c>
      <c r="C1788" s="18">
        <v>104566</v>
      </c>
      <c r="D1788" s="2" t="s">
        <v>101</v>
      </c>
      <c r="E1788" s="15">
        <v>940</v>
      </c>
      <c r="F1788" s="59">
        <v>42810</v>
      </c>
      <c r="G1788" s="15">
        <f t="shared" si="55"/>
        <v>940</v>
      </c>
      <c r="H1788" s="15">
        <f t="shared" si="56"/>
        <v>0</v>
      </c>
    </row>
    <row r="1789" spans="1:8" ht="15.75" x14ac:dyDescent="0.25">
      <c r="A1789" s="51">
        <v>42810</v>
      </c>
      <c r="B1789" s="52" t="s">
        <v>9593</v>
      </c>
      <c r="C1789" s="18">
        <v>104567</v>
      </c>
      <c r="D1789" s="2" t="s">
        <v>1116</v>
      </c>
      <c r="E1789" s="15">
        <v>3355.1</v>
      </c>
      <c r="F1789" s="59">
        <v>42829</v>
      </c>
      <c r="G1789" s="15">
        <f t="shared" si="55"/>
        <v>3355.1</v>
      </c>
      <c r="H1789" s="15">
        <f t="shared" si="56"/>
        <v>0</v>
      </c>
    </row>
    <row r="1790" spans="1:8" ht="15.75" x14ac:dyDescent="0.25">
      <c r="A1790" s="51">
        <v>42810</v>
      </c>
      <c r="B1790" s="52" t="s">
        <v>9594</v>
      </c>
      <c r="C1790" s="18">
        <v>104568</v>
      </c>
      <c r="D1790" s="2" t="s">
        <v>133</v>
      </c>
      <c r="E1790" s="15">
        <v>11668.9</v>
      </c>
      <c r="F1790" s="59">
        <v>43062</v>
      </c>
      <c r="G1790" s="15">
        <f t="shared" si="55"/>
        <v>11668.9</v>
      </c>
      <c r="H1790" s="15">
        <f t="shared" si="56"/>
        <v>0</v>
      </c>
    </row>
    <row r="1791" spans="1:8" ht="15.75" x14ac:dyDescent="0.25">
      <c r="A1791" s="51">
        <v>42810</v>
      </c>
      <c r="B1791" s="52" t="s">
        <v>9595</v>
      </c>
      <c r="C1791" s="18">
        <v>104569</v>
      </c>
      <c r="D1791" s="2" t="s">
        <v>1081</v>
      </c>
      <c r="E1791" s="15">
        <v>385</v>
      </c>
      <c r="F1791" s="59">
        <v>42810</v>
      </c>
      <c r="G1791" s="15">
        <f t="shared" si="55"/>
        <v>385</v>
      </c>
      <c r="H1791" s="15">
        <f t="shared" si="56"/>
        <v>0</v>
      </c>
    </row>
    <row r="1792" spans="1:8" ht="15.75" x14ac:dyDescent="0.25">
      <c r="A1792" s="51">
        <v>42810</v>
      </c>
      <c r="B1792" s="52" t="s">
        <v>9596</v>
      </c>
      <c r="C1792" s="18">
        <v>104570</v>
      </c>
      <c r="D1792" s="2" t="s">
        <v>289</v>
      </c>
      <c r="E1792" s="15">
        <v>44595.9</v>
      </c>
      <c r="F1792" s="59">
        <v>42824</v>
      </c>
      <c r="G1792" s="15">
        <f t="shared" si="55"/>
        <v>44595.9</v>
      </c>
      <c r="H1792" s="15">
        <f t="shared" si="56"/>
        <v>0</v>
      </c>
    </row>
    <row r="1793" spans="1:8" ht="15.75" x14ac:dyDescent="0.25">
      <c r="A1793" s="51">
        <v>42810</v>
      </c>
      <c r="B1793" s="52" t="s">
        <v>9597</v>
      </c>
      <c r="C1793" s="18">
        <v>104571</v>
      </c>
      <c r="D1793" s="2" t="s">
        <v>99</v>
      </c>
      <c r="E1793" s="15">
        <v>2152.6</v>
      </c>
      <c r="F1793" s="59">
        <v>42810</v>
      </c>
      <c r="G1793" s="15">
        <f t="shared" si="55"/>
        <v>2152.6</v>
      </c>
      <c r="H1793" s="15">
        <f t="shared" si="56"/>
        <v>0</v>
      </c>
    </row>
    <row r="1794" spans="1:8" ht="15.75" x14ac:dyDescent="0.25">
      <c r="A1794" s="51">
        <v>42810</v>
      </c>
      <c r="B1794" s="52" t="s">
        <v>9598</v>
      </c>
      <c r="C1794" s="18">
        <v>104572</v>
      </c>
      <c r="D1794" s="2" t="s">
        <v>1116</v>
      </c>
      <c r="E1794" s="15">
        <v>464</v>
      </c>
      <c r="F1794" s="59">
        <v>42815</v>
      </c>
      <c r="G1794" s="15">
        <f t="shared" si="55"/>
        <v>464</v>
      </c>
      <c r="H1794" s="15">
        <f t="shared" si="56"/>
        <v>0</v>
      </c>
    </row>
    <row r="1795" spans="1:8" ht="15.75" x14ac:dyDescent="0.25">
      <c r="A1795" s="51">
        <v>42810</v>
      </c>
      <c r="B1795" s="52" t="s">
        <v>9599</v>
      </c>
      <c r="C1795" s="18">
        <v>104573</v>
      </c>
      <c r="D1795" s="2" t="s">
        <v>1259</v>
      </c>
      <c r="E1795" s="15">
        <v>1955.2</v>
      </c>
      <c r="F1795" s="59">
        <v>42810</v>
      </c>
      <c r="G1795" s="15">
        <f t="shared" si="55"/>
        <v>1955.2</v>
      </c>
      <c r="H1795" s="15">
        <f t="shared" si="56"/>
        <v>0</v>
      </c>
    </row>
    <row r="1796" spans="1:8" ht="15.75" x14ac:dyDescent="0.25">
      <c r="A1796" s="51">
        <v>42810</v>
      </c>
      <c r="B1796" s="52" t="s">
        <v>9600</v>
      </c>
      <c r="C1796" s="18">
        <v>104574</v>
      </c>
      <c r="D1796" s="2" t="s">
        <v>291</v>
      </c>
      <c r="E1796" s="15">
        <v>2185.4</v>
      </c>
      <c r="F1796" s="59">
        <v>42810</v>
      </c>
      <c r="G1796" s="15">
        <f t="shared" ref="G1796:G1859" si="57">E1796</f>
        <v>2185.4</v>
      </c>
      <c r="H1796" s="15">
        <f t="shared" ref="H1796:H1859" si="58">E1796-G1796</f>
        <v>0</v>
      </c>
    </row>
    <row r="1797" spans="1:8" ht="15.75" x14ac:dyDescent="0.25">
      <c r="A1797" s="51">
        <v>42810</v>
      </c>
      <c r="B1797" s="52" t="s">
        <v>9601</v>
      </c>
      <c r="C1797" s="18">
        <v>104575</v>
      </c>
      <c r="D1797" s="2" t="s">
        <v>3425</v>
      </c>
      <c r="E1797" s="15">
        <v>1482.6</v>
      </c>
      <c r="F1797" s="59">
        <v>42810</v>
      </c>
      <c r="G1797" s="15">
        <f t="shared" si="57"/>
        <v>1482.6</v>
      </c>
      <c r="H1797" s="15">
        <f t="shared" si="58"/>
        <v>0</v>
      </c>
    </row>
    <row r="1798" spans="1:8" ht="15.75" x14ac:dyDescent="0.25">
      <c r="A1798" s="51">
        <v>42810</v>
      </c>
      <c r="B1798" s="52" t="s">
        <v>9602</v>
      </c>
      <c r="C1798" s="18">
        <v>104576</v>
      </c>
      <c r="D1798" s="2" t="s">
        <v>83</v>
      </c>
      <c r="E1798" s="15">
        <v>4086.6</v>
      </c>
      <c r="F1798" s="59">
        <v>42810</v>
      </c>
      <c r="G1798" s="15">
        <f t="shared" si="57"/>
        <v>4086.6</v>
      </c>
      <c r="H1798" s="15">
        <f t="shared" si="58"/>
        <v>0</v>
      </c>
    </row>
    <row r="1799" spans="1:8" ht="15.75" x14ac:dyDescent="0.25">
      <c r="A1799" s="51">
        <v>42810</v>
      </c>
      <c r="B1799" s="52" t="s">
        <v>9603</v>
      </c>
      <c r="C1799" s="18">
        <v>104577</v>
      </c>
      <c r="D1799" s="2" t="s">
        <v>1269</v>
      </c>
      <c r="E1799" s="15">
        <v>4844</v>
      </c>
      <c r="F1799" s="59">
        <v>42810</v>
      </c>
      <c r="G1799" s="15">
        <f t="shared" si="57"/>
        <v>4844</v>
      </c>
      <c r="H1799" s="15">
        <f t="shared" si="58"/>
        <v>0</v>
      </c>
    </row>
    <row r="1800" spans="1:8" ht="15.75" x14ac:dyDescent="0.25">
      <c r="A1800" s="51">
        <v>42810</v>
      </c>
      <c r="B1800" s="52" t="s">
        <v>9604</v>
      </c>
      <c r="C1800" s="18">
        <v>104578</v>
      </c>
      <c r="D1800" s="2" t="s">
        <v>88</v>
      </c>
      <c r="E1800" s="15">
        <v>9879.4</v>
      </c>
      <c r="F1800" s="59">
        <v>42810</v>
      </c>
      <c r="G1800" s="15">
        <f t="shared" si="57"/>
        <v>9879.4</v>
      </c>
      <c r="H1800" s="15">
        <f t="shared" si="58"/>
        <v>0</v>
      </c>
    </row>
    <row r="1801" spans="1:8" ht="15.75" x14ac:dyDescent="0.25">
      <c r="A1801" s="51">
        <v>42810</v>
      </c>
      <c r="B1801" s="52" t="s">
        <v>9605</v>
      </c>
      <c r="C1801" s="18">
        <v>104579</v>
      </c>
      <c r="D1801" s="2" t="s">
        <v>159</v>
      </c>
      <c r="E1801" s="15">
        <v>6172.7</v>
      </c>
      <c r="F1801" s="59">
        <v>42810</v>
      </c>
      <c r="G1801" s="15">
        <f t="shared" si="57"/>
        <v>6172.7</v>
      </c>
      <c r="H1801" s="15">
        <f t="shared" si="58"/>
        <v>0</v>
      </c>
    </row>
    <row r="1802" spans="1:8" ht="15.75" x14ac:dyDescent="0.25">
      <c r="A1802" s="51">
        <v>42810</v>
      </c>
      <c r="B1802" s="52" t="s">
        <v>9606</v>
      </c>
      <c r="C1802" s="18">
        <v>104580</v>
      </c>
      <c r="D1802" s="2" t="s">
        <v>305</v>
      </c>
      <c r="E1802" s="15">
        <v>552</v>
      </c>
      <c r="G1802" s="15">
        <f t="shared" si="57"/>
        <v>552</v>
      </c>
      <c r="H1802" s="15">
        <f t="shared" si="58"/>
        <v>0</v>
      </c>
    </row>
    <row r="1803" spans="1:8" ht="15.75" x14ac:dyDescent="0.25">
      <c r="A1803" s="51">
        <v>42810</v>
      </c>
      <c r="B1803" s="52" t="s">
        <v>9607</v>
      </c>
      <c r="C1803" s="18">
        <v>104581</v>
      </c>
      <c r="D1803" s="2" t="s">
        <v>476</v>
      </c>
      <c r="E1803" s="15">
        <v>9953.2999999999993</v>
      </c>
      <c r="F1803" s="59">
        <v>43062</v>
      </c>
      <c r="G1803" s="15">
        <f t="shared" si="57"/>
        <v>9953.2999999999993</v>
      </c>
      <c r="H1803" s="15">
        <f t="shared" si="58"/>
        <v>0</v>
      </c>
    </row>
    <row r="1804" spans="1:8" ht="15.75" x14ac:dyDescent="0.25">
      <c r="A1804" s="51">
        <v>42810</v>
      </c>
      <c r="B1804" s="52" t="s">
        <v>9608</v>
      </c>
      <c r="C1804" s="18">
        <v>104582</v>
      </c>
      <c r="D1804" s="2" t="s">
        <v>113</v>
      </c>
      <c r="E1804" s="15">
        <v>2831.2</v>
      </c>
      <c r="F1804" s="59">
        <v>42810</v>
      </c>
      <c r="G1804" s="15">
        <f t="shared" si="57"/>
        <v>2831.2</v>
      </c>
      <c r="H1804" s="15">
        <f t="shared" si="58"/>
        <v>0</v>
      </c>
    </row>
    <row r="1805" spans="1:8" ht="15.75" x14ac:dyDescent="0.25">
      <c r="A1805" s="51">
        <v>42810</v>
      </c>
      <c r="B1805" s="52" t="s">
        <v>9609</v>
      </c>
      <c r="C1805" s="18">
        <v>104583</v>
      </c>
      <c r="D1805" s="2" t="s">
        <v>109</v>
      </c>
      <c r="E1805" s="15">
        <v>4679.5</v>
      </c>
      <c r="F1805" s="59">
        <v>42810</v>
      </c>
      <c r="G1805" s="15">
        <f t="shared" si="57"/>
        <v>4679.5</v>
      </c>
      <c r="H1805" s="15">
        <f t="shared" si="58"/>
        <v>0</v>
      </c>
    </row>
    <row r="1806" spans="1:8" ht="15.75" x14ac:dyDescent="0.25">
      <c r="A1806" s="51">
        <v>42810</v>
      </c>
      <c r="B1806" s="52" t="s">
        <v>9610</v>
      </c>
      <c r="C1806" s="18">
        <v>104584</v>
      </c>
      <c r="D1806" s="2" t="s">
        <v>492</v>
      </c>
      <c r="E1806" s="15">
        <v>13516.7</v>
      </c>
      <c r="F1806" s="59">
        <v>42816</v>
      </c>
      <c r="G1806" s="15">
        <f t="shared" si="57"/>
        <v>13516.7</v>
      </c>
      <c r="H1806" s="15">
        <f t="shared" si="58"/>
        <v>0</v>
      </c>
    </row>
    <row r="1807" spans="1:8" ht="15.75" x14ac:dyDescent="0.25">
      <c r="A1807" s="51">
        <v>42810</v>
      </c>
      <c r="B1807" s="52" t="s">
        <v>9611</v>
      </c>
      <c r="C1807" s="18">
        <v>104585</v>
      </c>
      <c r="D1807" s="2" t="s">
        <v>57</v>
      </c>
      <c r="E1807" s="15">
        <v>658</v>
      </c>
      <c r="F1807" s="59">
        <v>42810</v>
      </c>
      <c r="G1807" s="15">
        <f t="shared" si="57"/>
        <v>658</v>
      </c>
      <c r="H1807" s="15">
        <f t="shared" si="58"/>
        <v>0</v>
      </c>
    </row>
    <row r="1808" spans="1:8" ht="15.75" x14ac:dyDescent="0.25">
      <c r="A1808" s="51">
        <v>42810</v>
      </c>
      <c r="B1808" s="52" t="s">
        <v>9612</v>
      </c>
      <c r="C1808" s="18">
        <v>104586</v>
      </c>
      <c r="D1808" s="2" t="s">
        <v>133</v>
      </c>
      <c r="E1808" s="15">
        <v>2222</v>
      </c>
      <c r="F1808" s="59">
        <v>42810</v>
      </c>
      <c r="G1808" s="15">
        <f t="shared" si="57"/>
        <v>2222</v>
      </c>
      <c r="H1808" s="15">
        <f t="shared" si="58"/>
        <v>0</v>
      </c>
    </row>
    <row r="1809" spans="1:8" ht="15.75" x14ac:dyDescent="0.25">
      <c r="A1809" s="51">
        <v>42810</v>
      </c>
      <c r="B1809" s="52" t="s">
        <v>9613</v>
      </c>
      <c r="C1809" s="18">
        <v>104587</v>
      </c>
      <c r="D1809" s="2" t="s">
        <v>141</v>
      </c>
      <c r="E1809" s="15">
        <v>7122</v>
      </c>
      <c r="F1809" s="59">
        <v>42810</v>
      </c>
      <c r="G1809" s="15">
        <f t="shared" si="57"/>
        <v>7122</v>
      </c>
      <c r="H1809" s="15">
        <f t="shared" si="58"/>
        <v>0</v>
      </c>
    </row>
    <row r="1810" spans="1:8" ht="15.75" x14ac:dyDescent="0.25">
      <c r="A1810" s="51">
        <v>42810</v>
      </c>
      <c r="B1810" s="52" t="s">
        <v>9614</v>
      </c>
      <c r="C1810" s="18">
        <v>104588</v>
      </c>
      <c r="D1810" s="2" t="s">
        <v>125</v>
      </c>
      <c r="E1810" s="15">
        <v>6854.4</v>
      </c>
      <c r="F1810" s="59">
        <v>42810</v>
      </c>
      <c r="G1810" s="15">
        <f t="shared" si="57"/>
        <v>6854.4</v>
      </c>
      <c r="H1810" s="15">
        <f t="shared" si="58"/>
        <v>0</v>
      </c>
    </row>
    <row r="1811" spans="1:8" ht="15.75" x14ac:dyDescent="0.25">
      <c r="A1811" s="51">
        <v>42810</v>
      </c>
      <c r="B1811" s="52" t="s">
        <v>9615</v>
      </c>
      <c r="C1811" s="18">
        <v>104589</v>
      </c>
      <c r="D1811" s="2" t="s">
        <v>122</v>
      </c>
      <c r="E1811" s="15">
        <v>9709</v>
      </c>
      <c r="F1811" s="59">
        <v>42824</v>
      </c>
      <c r="G1811" s="15">
        <f t="shared" si="57"/>
        <v>9709</v>
      </c>
      <c r="H1811" s="15">
        <f t="shared" si="58"/>
        <v>0</v>
      </c>
    </row>
    <row r="1812" spans="1:8" ht="15.75" x14ac:dyDescent="0.25">
      <c r="A1812" s="51">
        <v>42810</v>
      </c>
      <c r="B1812" s="52" t="s">
        <v>9616</v>
      </c>
      <c r="C1812" s="18">
        <v>104590</v>
      </c>
      <c r="D1812" s="2" t="s">
        <v>472</v>
      </c>
      <c r="E1812" s="15">
        <v>11677.5</v>
      </c>
      <c r="F1812" s="59">
        <v>42812</v>
      </c>
      <c r="G1812" s="15">
        <f t="shared" si="57"/>
        <v>11677.5</v>
      </c>
      <c r="H1812" s="15">
        <f t="shared" si="58"/>
        <v>0</v>
      </c>
    </row>
    <row r="1813" spans="1:8" ht="15.75" x14ac:dyDescent="0.25">
      <c r="A1813" s="51">
        <v>42810</v>
      </c>
      <c r="B1813" s="52" t="s">
        <v>9617</v>
      </c>
      <c r="C1813" s="18">
        <v>104591</v>
      </c>
      <c r="D1813" s="2" t="s">
        <v>305</v>
      </c>
      <c r="E1813" s="15">
        <v>1209.9000000000001</v>
      </c>
      <c r="G1813" s="15">
        <f t="shared" si="57"/>
        <v>1209.9000000000001</v>
      </c>
      <c r="H1813" s="15">
        <f t="shared" si="58"/>
        <v>0</v>
      </c>
    </row>
    <row r="1814" spans="1:8" ht="15.75" x14ac:dyDescent="0.25">
      <c r="A1814" s="51">
        <v>42810</v>
      </c>
      <c r="B1814" s="52" t="s">
        <v>9618</v>
      </c>
      <c r="C1814" s="18">
        <v>104592</v>
      </c>
      <c r="D1814" s="2" t="s">
        <v>470</v>
      </c>
      <c r="E1814" s="15">
        <v>13292.5</v>
      </c>
      <c r="F1814" s="59">
        <v>42810</v>
      </c>
      <c r="G1814" s="15">
        <f t="shared" si="57"/>
        <v>13292.5</v>
      </c>
      <c r="H1814" s="15">
        <f t="shared" si="58"/>
        <v>0</v>
      </c>
    </row>
    <row r="1815" spans="1:8" ht="15.75" x14ac:dyDescent="0.25">
      <c r="A1815" s="51">
        <v>42810</v>
      </c>
      <c r="B1815" s="52" t="s">
        <v>9619</v>
      </c>
      <c r="C1815" s="18">
        <v>104593</v>
      </c>
      <c r="D1815" s="2" t="s">
        <v>30</v>
      </c>
      <c r="E1815" s="15">
        <v>730</v>
      </c>
      <c r="F1815" s="59">
        <v>42810</v>
      </c>
      <c r="G1815" s="15">
        <f t="shared" si="57"/>
        <v>730</v>
      </c>
      <c r="H1815" s="15">
        <f t="shared" si="58"/>
        <v>0</v>
      </c>
    </row>
    <row r="1816" spans="1:8" ht="15.75" x14ac:dyDescent="0.25">
      <c r="A1816" s="51">
        <v>42810</v>
      </c>
      <c r="B1816" s="52" t="s">
        <v>9620</v>
      </c>
      <c r="C1816" s="18">
        <v>104594</v>
      </c>
      <c r="D1816" s="2" t="s">
        <v>302</v>
      </c>
      <c r="E1816" s="15">
        <v>11024.6</v>
      </c>
      <c r="F1816" s="59">
        <v>42811</v>
      </c>
      <c r="G1816" s="15">
        <f t="shared" si="57"/>
        <v>11024.6</v>
      </c>
      <c r="H1816" s="15">
        <f t="shared" si="58"/>
        <v>0</v>
      </c>
    </row>
    <row r="1817" spans="1:8" ht="15.75" x14ac:dyDescent="0.25">
      <c r="A1817" s="51">
        <v>42810</v>
      </c>
      <c r="B1817" s="52" t="s">
        <v>9621</v>
      </c>
      <c r="C1817" s="18">
        <v>104595</v>
      </c>
      <c r="D1817" s="2" t="s">
        <v>77</v>
      </c>
      <c r="E1817" s="15">
        <v>516.79999999999995</v>
      </c>
      <c r="F1817" s="59">
        <v>42810</v>
      </c>
      <c r="G1817" s="15">
        <f t="shared" si="57"/>
        <v>516.79999999999995</v>
      </c>
      <c r="H1817" s="15">
        <f t="shared" si="58"/>
        <v>0</v>
      </c>
    </row>
    <row r="1818" spans="1:8" ht="15.75" x14ac:dyDescent="0.25">
      <c r="A1818" s="51">
        <v>42810</v>
      </c>
      <c r="B1818" s="52" t="s">
        <v>9622</v>
      </c>
      <c r="C1818" s="18">
        <v>104596</v>
      </c>
      <c r="D1818" s="2" t="s">
        <v>3997</v>
      </c>
      <c r="E1818" s="15">
        <v>12078.8</v>
      </c>
      <c r="F1818" s="59">
        <v>42812</v>
      </c>
      <c r="G1818" s="15">
        <f t="shared" si="57"/>
        <v>12078.8</v>
      </c>
      <c r="H1818" s="15">
        <f t="shared" si="58"/>
        <v>0</v>
      </c>
    </row>
    <row r="1819" spans="1:8" ht="15.75" x14ac:dyDescent="0.25">
      <c r="A1819" s="51">
        <v>42810</v>
      </c>
      <c r="B1819" s="52" t="s">
        <v>9623</v>
      </c>
      <c r="C1819" s="18">
        <v>104597</v>
      </c>
      <c r="D1819" s="2" t="s">
        <v>465</v>
      </c>
      <c r="E1819" s="15">
        <v>6870</v>
      </c>
      <c r="F1819" s="59">
        <v>42816</v>
      </c>
      <c r="G1819" s="15">
        <f t="shared" si="57"/>
        <v>6870</v>
      </c>
      <c r="H1819" s="15">
        <f t="shared" si="58"/>
        <v>0</v>
      </c>
    </row>
    <row r="1820" spans="1:8" ht="15.75" x14ac:dyDescent="0.25">
      <c r="A1820" s="51">
        <v>42810</v>
      </c>
      <c r="B1820" s="52" t="s">
        <v>9624</v>
      </c>
      <c r="C1820" s="18">
        <v>104598</v>
      </c>
      <c r="D1820" s="2" t="s">
        <v>468</v>
      </c>
      <c r="E1820" s="15">
        <v>13192</v>
      </c>
      <c r="F1820" s="59">
        <v>42791</v>
      </c>
      <c r="G1820" s="15">
        <f t="shared" si="57"/>
        <v>13192</v>
      </c>
      <c r="H1820" s="15">
        <f t="shared" si="58"/>
        <v>0</v>
      </c>
    </row>
    <row r="1821" spans="1:8" ht="15.75" x14ac:dyDescent="0.25">
      <c r="A1821" s="51">
        <v>42810</v>
      </c>
      <c r="B1821" s="52" t="s">
        <v>9625</v>
      </c>
      <c r="C1821" s="18">
        <v>104599</v>
      </c>
      <c r="D1821" s="2" t="s">
        <v>135</v>
      </c>
      <c r="E1821" s="15">
        <v>3886</v>
      </c>
      <c r="F1821" s="59">
        <v>42810</v>
      </c>
      <c r="G1821" s="15">
        <f t="shared" si="57"/>
        <v>3886</v>
      </c>
      <c r="H1821" s="15">
        <f t="shared" si="58"/>
        <v>0</v>
      </c>
    </row>
    <row r="1822" spans="1:8" ht="15.75" x14ac:dyDescent="0.25">
      <c r="A1822" s="51">
        <v>42810</v>
      </c>
      <c r="B1822" s="52" t="s">
        <v>9626</v>
      </c>
      <c r="C1822" s="18">
        <v>104600</v>
      </c>
      <c r="D1822" s="2" t="s">
        <v>10</v>
      </c>
      <c r="E1822" s="15">
        <v>81180.2</v>
      </c>
      <c r="F1822" s="59">
        <v>42815</v>
      </c>
      <c r="G1822" s="15">
        <f t="shared" si="57"/>
        <v>81180.2</v>
      </c>
      <c r="H1822" s="15">
        <f t="shared" si="58"/>
        <v>0</v>
      </c>
    </row>
    <row r="1823" spans="1:8" ht="15.75" x14ac:dyDescent="0.25">
      <c r="A1823" s="51">
        <v>42810</v>
      </c>
      <c r="B1823" s="52" t="s">
        <v>9627</v>
      </c>
      <c r="C1823" s="18">
        <v>104601</v>
      </c>
      <c r="D1823" s="2" t="s">
        <v>693</v>
      </c>
      <c r="E1823" s="15">
        <v>19680</v>
      </c>
      <c r="F1823" s="59">
        <v>42822</v>
      </c>
      <c r="G1823" s="15">
        <f t="shared" si="57"/>
        <v>19680</v>
      </c>
      <c r="H1823" s="15">
        <f t="shared" si="58"/>
        <v>0</v>
      </c>
    </row>
    <row r="1824" spans="1:8" ht="15.75" x14ac:dyDescent="0.25">
      <c r="A1824" s="51">
        <v>42810</v>
      </c>
      <c r="B1824" s="52" t="s">
        <v>9628</v>
      </c>
      <c r="C1824" s="18">
        <v>104602</v>
      </c>
      <c r="D1824" s="2" t="s">
        <v>205</v>
      </c>
      <c r="E1824" s="15">
        <v>41023.08</v>
      </c>
      <c r="F1824" s="59">
        <v>42848</v>
      </c>
      <c r="G1824" s="15">
        <f t="shared" si="57"/>
        <v>41023.08</v>
      </c>
      <c r="H1824" s="15">
        <f t="shared" si="58"/>
        <v>0</v>
      </c>
    </row>
    <row r="1825" spans="1:8" ht="15.75" x14ac:dyDescent="0.25">
      <c r="A1825" s="51">
        <v>42810</v>
      </c>
      <c r="B1825" s="52" t="s">
        <v>9629</v>
      </c>
      <c r="C1825" s="18">
        <v>104603</v>
      </c>
      <c r="D1825" s="2" t="s">
        <v>10</v>
      </c>
      <c r="E1825" s="15">
        <v>297631.55</v>
      </c>
      <c r="F1825" s="59">
        <v>42815</v>
      </c>
      <c r="G1825" s="15">
        <f t="shared" si="57"/>
        <v>297631.55</v>
      </c>
      <c r="H1825" s="15">
        <f t="shared" si="58"/>
        <v>0</v>
      </c>
    </row>
    <row r="1826" spans="1:8" ht="15.75" x14ac:dyDescent="0.25">
      <c r="A1826" s="51">
        <v>42810</v>
      </c>
      <c r="B1826" s="52" t="s">
        <v>9630</v>
      </c>
      <c r="C1826" s="18">
        <v>104604</v>
      </c>
      <c r="D1826" s="2" t="s">
        <v>30</v>
      </c>
      <c r="E1826" s="15">
        <v>286.89999999999998</v>
      </c>
      <c r="F1826" s="59">
        <v>42810</v>
      </c>
      <c r="G1826" s="15">
        <f t="shared" si="57"/>
        <v>286.89999999999998</v>
      </c>
      <c r="H1826" s="15">
        <f t="shared" si="58"/>
        <v>0</v>
      </c>
    </row>
    <row r="1827" spans="1:8" ht="15.75" x14ac:dyDescent="0.25">
      <c r="A1827" s="51">
        <v>42810</v>
      </c>
      <c r="B1827" s="52" t="s">
        <v>9631</v>
      </c>
      <c r="C1827" s="18">
        <v>104605</v>
      </c>
      <c r="D1827" s="2" t="s">
        <v>432</v>
      </c>
      <c r="E1827" s="15">
        <v>13079.8</v>
      </c>
      <c r="F1827" s="59">
        <v>42816</v>
      </c>
      <c r="G1827" s="15">
        <f t="shared" si="57"/>
        <v>13079.8</v>
      </c>
      <c r="H1827" s="15">
        <f t="shared" si="58"/>
        <v>0</v>
      </c>
    </row>
    <row r="1828" spans="1:8" ht="15.75" x14ac:dyDescent="0.25">
      <c r="A1828" s="51">
        <v>42810</v>
      </c>
      <c r="B1828" s="52" t="s">
        <v>9632</v>
      </c>
      <c r="C1828" s="18">
        <v>104606</v>
      </c>
      <c r="D1828" s="2" t="s">
        <v>465</v>
      </c>
      <c r="E1828" s="15">
        <v>136</v>
      </c>
      <c r="F1828" s="59">
        <v>42791</v>
      </c>
      <c r="G1828" s="15">
        <f t="shared" si="57"/>
        <v>136</v>
      </c>
      <c r="H1828" s="15">
        <f t="shared" si="58"/>
        <v>0</v>
      </c>
    </row>
    <row r="1829" spans="1:8" ht="15.75" x14ac:dyDescent="0.25">
      <c r="A1829" s="51">
        <v>42810</v>
      </c>
      <c r="B1829" s="52" t="s">
        <v>9633</v>
      </c>
      <c r="C1829" s="18">
        <v>104607</v>
      </c>
      <c r="D1829" s="2" t="s">
        <v>30</v>
      </c>
      <c r="E1829" s="15">
        <v>803.6</v>
      </c>
      <c r="F1829" s="59">
        <v>42810</v>
      </c>
      <c r="G1829" s="15">
        <f t="shared" si="57"/>
        <v>803.6</v>
      </c>
      <c r="H1829" s="15">
        <f t="shared" si="58"/>
        <v>0</v>
      </c>
    </row>
    <row r="1830" spans="1:8" ht="15.75" x14ac:dyDescent="0.25">
      <c r="A1830" s="51">
        <v>42810</v>
      </c>
      <c r="B1830" s="52" t="s">
        <v>9634</v>
      </c>
      <c r="C1830" s="18">
        <v>104608</v>
      </c>
      <c r="D1830" s="2" t="s">
        <v>10</v>
      </c>
      <c r="E1830" s="15">
        <v>70409.600000000006</v>
      </c>
      <c r="F1830" s="59">
        <v>42815</v>
      </c>
      <c r="G1830" s="15">
        <f t="shared" si="57"/>
        <v>70409.600000000006</v>
      </c>
      <c r="H1830" s="15">
        <f t="shared" si="58"/>
        <v>0</v>
      </c>
    </row>
    <row r="1831" spans="1:8" ht="15.75" x14ac:dyDescent="0.25">
      <c r="A1831" s="51">
        <v>42810</v>
      </c>
      <c r="B1831" s="52" t="s">
        <v>9635</v>
      </c>
      <c r="C1831" s="18">
        <v>104609</v>
      </c>
      <c r="D1831" s="13" t="s">
        <v>697</v>
      </c>
      <c r="E1831" s="14">
        <v>0</v>
      </c>
      <c r="F1831" s="102" t="s">
        <v>95</v>
      </c>
      <c r="G1831" s="14">
        <f t="shared" si="57"/>
        <v>0</v>
      </c>
      <c r="H1831" s="14">
        <f t="shared" si="58"/>
        <v>0</v>
      </c>
    </row>
    <row r="1832" spans="1:8" ht="15.75" x14ac:dyDescent="0.25">
      <c r="A1832" s="51">
        <v>42810</v>
      </c>
      <c r="B1832" s="52" t="s">
        <v>9636</v>
      </c>
      <c r="C1832" s="18">
        <v>104610</v>
      </c>
      <c r="D1832" s="2" t="s">
        <v>352</v>
      </c>
      <c r="E1832" s="15">
        <v>661.7</v>
      </c>
      <c r="F1832" s="59">
        <v>42810</v>
      </c>
      <c r="G1832" s="15">
        <f t="shared" si="57"/>
        <v>661.7</v>
      </c>
      <c r="H1832" s="15">
        <f t="shared" si="58"/>
        <v>0</v>
      </c>
    </row>
    <row r="1833" spans="1:8" ht="15.75" x14ac:dyDescent="0.25">
      <c r="A1833" s="51">
        <v>42810</v>
      </c>
      <c r="B1833" s="52" t="s">
        <v>9637</v>
      </c>
      <c r="C1833" s="18">
        <v>104611</v>
      </c>
      <c r="D1833" s="2" t="s">
        <v>697</v>
      </c>
      <c r="E1833" s="15">
        <v>66676</v>
      </c>
      <c r="F1833" s="59">
        <v>42829</v>
      </c>
      <c r="G1833" s="15">
        <f t="shared" si="57"/>
        <v>66676</v>
      </c>
      <c r="H1833" s="15">
        <f t="shared" si="58"/>
        <v>0</v>
      </c>
    </row>
    <row r="1834" spans="1:8" ht="15.75" x14ac:dyDescent="0.25">
      <c r="A1834" s="51">
        <v>42810</v>
      </c>
      <c r="B1834" s="52" t="s">
        <v>9638</v>
      </c>
      <c r="C1834" s="18">
        <v>104612</v>
      </c>
      <c r="D1834" s="2" t="s">
        <v>222</v>
      </c>
      <c r="E1834" s="15">
        <v>167508</v>
      </c>
      <c r="F1834" s="59">
        <v>42812</v>
      </c>
      <c r="G1834" s="15">
        <f t="shared" si="57"/>
        <v>167508</v>
      </c>
      <c r="H1834" s="15">
        <f t="shared" si="58"/>
        <v>0</v>
      </c>
    </row>
    <row r="1835" spans="1:8" ht="15.75" x14ac:dyDescent="0.25">
      <c r="A1835" s="51">
        <v>42810</v>
      </c>
      <c r="B1835" s="52" t="s">
        <v>9639</v>
      </c>
      <c r="C1835" s="18">
        <v>104613</v>
      </c>
      <c r="D1835" s="2" t="s">
        <v>222</v>
      </c>
      <c r="E1835" s="15">
        <v>159088</v>
      </c>
      <c r="F1835" s="59">
        <v>42812</v>
      </c>
      <c r="G1835" s="15">
        <f t="shared" si="57"/>
        <v>159088</v>
      </c>
      <c r="H1835" s="15">
        <f t="shared" si="58"/>
        <v>0</v>
      </c>
    </row>
    <row r="1836" spans="1:8" ht="15.75" x14ac:dyDescent="0.25">
      <c r="A1836" s="51">
        <v>42810</v>
      </c>
      <c r="B1836" s="52" t="s">
        <v>9640</v>
      </c>
      <c r="C1836" s="18">
        <v>104614</v>
      </c>
      <c r="D1836" s="2" t="s">
        <v>182</v>
      </c>
      <c r="E1836" s="15">
        <v>3760</v>
      </c>
      <c r="F1836" s="59">
        <v>42811</v>
      </c>
      <c r="G1836" s="15">
        <f t="shared" si="57"/>
        <v>3760</v>
      </c>
      <c r="H1836" s="15">
        <f t="shared" si="58"/>
        <v>0</v>
      </c>
    </row>
    <row r="1837" spans="1:8" ht="15.75" x14ac:dyDescent="0.25">
      <c r="A1837" s="51">
        <v>42810</v>
      </c>
      <c r="B1837" s="52" t="s">
        <v>9641</v>
      </c>
      <c r="C1837" s="18">
        <v>104615</v>
      </c>
      <c r="D1837" s="2" t="s">
        <v>656</v>
      </c>
      <c r="E1837" s="15">
        <v>8398.6</v>
      </c>
      <c r="F1837" s="59">
        <v>42811</v>
      </c>
      <c r="G1837" s="15">
        <f t="shared" si="57"/>
        <v>8398.6</v>
      </c>
      <c r="H1837" s="15">
        <f t="shared" si="58"/>
        <v>0</v>
      </c>
    </row>
    <row r="1838" spans="1:8" ht="15.75" x14ac:dyDescent="0.25">
      <c r="A1838" s="51">
        <v>42810</v>
      </c>
      <c r="B1838" s="52" t="s">
        <v>9642</v>
      </c>
      <c r="C1838" s="18">
        <v>104616</v>
      </c>
      <c r="D1838" s="2" t="s">
        <v>1166</v>
      </c>
      <c r="E1838" s="15">
        <v>1044</v>
      </c>
      <c r="F1838" s="59">
        <v>42811</v>
      </c>
      <c r="G1838" s="15">
        <f t="shared" si="57"/>
        <v>1044</v>
      </c>
      <c r="H1838" s="15">
        <f t="shared" si="58"/>
        <v>0</v>
      </c>
    </row>
    <row r="1839" spans="1:8" ht="15.75" x14ac:dyDescent="0.25">
      <c r="A1839" s="51">
        <v>42810</v>
      </c>
      <c r="B1839" s="52" t="s">
        <v>9643</v>
      </c>
      <c r="C1839" s="18">
        <v>104617</v>
      </c>
      <c r="D1839" s="2" t="s">
        <v>9</v>
      </c>
      <c r="E1839" s="15">
        <v>6428.6</v>
      </c>
      <c r="F1839" s="59">
        <v>42816</v>
      </c>
      <c r="G1839" s="15">
        <f t="shared" si="57"/>
        <v>6428.6</v>
      </c>
      <c r="H1839" s="15">
        <f t="shared" si="58"/>
        <v>0</v>
      </c>
    </row>
    <row r="1840" spans="1:8" ht="15.75" x14ac:dyDescent="0.25">
      <c r="A1840" s="51">
        <v>42810</v>
      </c>
      <c r="B1840" s="52" t="s">
        <v>9644</v>
      </c>
      <c r="C1840" s="18">
        <v>104618</v>
      </c>
      <c r="D1840" s="2" t="s">
        <v>30</v>
      </c>
      <c r="E1840" s="15">
        <v>1146.5999999999999</v>
      </c>
      <c r="F1840" s="59">
        <v>42810</v>
      </c>
      <c r="G1840" s="15">
        <f t="shared" si="57"/>
        <v>1146.5999999999999</v>
      </c>
      <c r="H1840" s="15">
        <f t="shared" si="58"/>
        <v>0</v>
      </c>
    </row>
    <row r="1841" spans="1:8" ht="15.75" x14ac:dyDescent="0.25">
      <c r="A1841" s="51">
        <v>42810</v>
      </c>
      <c r="B1841" s="52" t="s">
        <v>9645</v>
      </c>
      <c r="C1841" s="18">
        <v>104619</v>
      </c>
      <c r="D1841" s="13" t="s">
        <v>30</v>
      </c>
      <c r="E1841" s="14">
        <v>0</v>
      </c>
      <c r="F1841" s="102" t="s">
        <v>95</v>
      </c>
      <c r="G1841" s="14">
        <f t="shared" si="57"/>
        <v>0</v>
      </c>
      <c r="H1841" s="14">
        <f t="shared" si="58"/>
        <v>0</v>
      </c>
    </row>
    <row r="1842" spans="1:8" ht="15.75" x14ac:dyDescent="0.25">
      <c r="A1842" s="51">
        <v>42810</v>
      </c>
      <c r="B1842" s="52" t="s">
        <v>9646</v>
      </c>
      <c r="C1842" s="18">
        <v>104620</v>
      </c>
      <c r="D1842" s="2" t="s">
        <v>30</v>
      </c>
      <c r="E1842" s="15">
        <v>284.39999999999998</v>
      </c>
      <c r="F1842" s="59">
        <v>42810</v>
      </c>
      <c r="G1842" s="15">
        <f t="shared" si="57"/>
        <v>284.39999999999998</v>
      </c>
      <c r="H1842" s="15">
        <f t="shared" si="58"/>
        <v>0</v>
      </c>
    </row>
    <row r="1843" spans="1:8" ht="15.75" x14ac:dyDescent="0.25">
      <c r="A1843" s="51">
        <v>42810</v>
      </c>
      <c r="B1843" s="52" t="s">
        <v>9647</v>
      </c>
      <c r="C1843" s="18">
        <v>104621</v>
      </c>
      <c r="D1843" s="2" t="s">
        <v>2240</v>
      </c>
      <c r="E1843" s="15">
        <v>7119.1</v>
      </c>
      <c r="F1843" s="59">
        <v>42810</v>
      </c>
      <c r="G1843" s="15">
        <f t="shared" si="57"/>
        <v>7119.1</v>
      </c>
      <c r="H1843" s="15">
        <f t="shared" si="58"/>
        <v>0</v>
      </c>
    </row>
    <row r="1844" spans="1:8" ht="15.75" x14ac:dyDescent="0.25">
      <c r="A1844" s="51">
        <v>42810</v>
      </c>
      <c r="B1844" s="52" t="s">
        <v>9648</v>
      </c>
      <c r="C1844" s="18">
        <v>104622</v>
      </c>
      <c r="D1844" s="2" t="s">
        <v>12</v>
      </c>
      <c r="E1844" s="15">
        <v>949.4</v>
      </c>
      <c r="F1844" s="59">
        <v>42811</v>
      </c>
      <c r="G1844" s="15">
        <f t="shared" si="57"/>
        <v>949.4</v>
      </c>
      <c r="H1844" s="15">
        <f t="shared" si="58"/>
        <v>0</v>
      </c>
    </row>
    <row r="1845" spans="1:8" ht="15.75" x14ac:dyDescent="0.25">
      <c r="A1845" s="51">
        <v>42810</v>
      </c>
      <c r="B1845" s="52" t="s">
        <v>9649</v>
      </c>
      <c r="C1845" s="18">
        <v>104623</v>
      </c>
      <c r="D1845" s="2" t="s">
        <v>1380</v>
      </c>
      <c r="E1845" s="15">
        <v>33097.230000000003</v>
      </c>
      <c r="F1845" s="59">
        <v>42811</v>
      </c>
      <c r="G1845" s="15">
        <f t="shared" si="57"/>
        <v>33097.230000000003</v>
      </c>
      <c r="H1845" s="15">
        <f t="shared" si="58"/>
        <v>0</v>
      </c>
    </row>
    <row r="1846" spans="1:8" ht="15.75" x14ac:dyDescent="0.25">
      <c r="A1846" s="51">
        <v>42810</v>
      </c>
      <c r="B1846" s="52" t="s">
        <v>9650</v>
      </c>
      <c r="C1846" s="18">
        <v>104624</v>
      </c>
      <c r="D1846" s="2" t="s">
        <v>231</v>
      </c>
      <c r="E1846" s="15">
        <v>758</v>
      </c>
      <c r="F1846" s="59">
        <v>42812</v>
      </c>
      <c r="G1846" s="15">
        <f t="shared" si="57"/>
        <v>758</v>
      </c>
      <c r="H1846" s="15">
        <f t="shared" si="58"/>
        <v>0</v>
      </c>
    </row>
    <row r="1847" spans="1:8" ht="15.75" x14ac:dyDescent="0.25">
      <c r="A1847" s="51">
        <v>42810</v>
      </c>
      <c r="B1847" s="52" t="s">
        <v>9651</v>
      </c>
      <c r="C1847" s="18">
        <v>104625</v>
      </c>
      <c r="D1847" s="2" t="s">
        <v>531</v>
      </c>
      <c r="E1847" s="15">
        <v>31862.25</v>
      </c>
      <c r="F1847" s="59">
        <v>42812</v>
      </c>
      <c r="G1847" s="15">
        <f t="shared" si="57"/>
        <v>31862.25</v>
      </c>
      <c r="H1847" s="15">
        <f t="shared" si="58"/>
        <v>0</v>
      </c>
    </row>
    <row r="1848" spans="1:8" ht="15.75" x14ac:dyDescent="0.25">
      <c r="A1848" s="51">
        <v>42810</v>
      </c>
      <c r="B1848" s="52" t="s">
        <v>9652</v>
      </c>
      <c r="C1848" s="18">
        <v>104626</v>
      </c>
      <c r="D1848" s="2" t="s">
        <v>1380</v>
      </c>
      <c r="E1848" s="15">
        <v>4573.8</v>
      </c>
      <c r="F1848" s="59">
        <v>42811</v>
      </c>
      <c r="G1848" s="15">
        <f t="shared" si="57"/>
        <v>4573.8</v>
      </c>
      <c r="H1848" s="15">
        <f t="shared" si="58"/>
        <v>0</v>
      </c>
    </row>
    <row r="1849" spans="1:8" ht="15.75" x14ac:dyDescent="0.25">
      <c r="A1849" s="51">
        <v>42810</v>
      </c>
      <c r="B1849" s="52" t="s">
        <v>9653</v>
      </c>
      <c r="C1849" s="18">
        <v>104627</v>
      </c>
      <c r="D1849" s="2" t="s">
        <v>220</v>
      </c>
      <c r="E1849" s="15">
        <v>3746.4</v>
      </c>
      <c r="F1849" s="59">
        <v>42810</v>
      </c>
      <c r="G1849" s="15">
        <f t="shared" si="57"/>
        <v>3746.4</v>
      </c>
      <c r="H1849" s="15">
        <f t="shared" si="58"/>
        <v>0</v>
      </c>
    </row>
    <row r="1850" spans="1:8" ht="15.75" x14ac:dyDescent="0.25">
      <c r="A1850" s="51">
        <v>42810</v>
      </c>
      <c r="B1850" s="52" t="s">
        <v>9654</v>
      </c>
      <c r="C1850" s="18">
        <v>104628</v>
      </c>
      <c r="D1850" s="2" t="s">
        <v>21</v>
      </c>
      <c r="E1850" s="15">
        <v>22958.400000000001</v>
      </c>
      <c r="F1850" s="59">
        <v>42825</v>
      </c>
      <c r="G1850" s="15">
        <f t="shared" si="57"/>
        <v>22958.400000000001</v>
      </c>
      <c r="H1850" s="15">
        <f t="shared" si="58"/>
        <v>0</v>
      </c>
    </row>
    <row r="1851" spans="1:8" ht="15.75" x14ac:dyDescent="0.25">
      <c r="A1851" s="51">
        <v>42810</v>
      </c>
      <c r="B1851" s="52" t="s">
        <v>9655</v>
      </c>
      <c r="C1851" s="18">
        <v>104629</v>
      </c>
      <c r="D1851" s="2" t="s">
        <v>665</v>
      </c>
      <c r="E1851" s="15">
        <v>66918.649999999994</v>
      </c>
      <c r="F1851" s="59">
        <v>42791</v>
      </c>
      <c r="G1851" s="15">
        <f t="shared" si="57"/>
        <v>66918.649999999994</v>
      </c>
      <c r="H1851" s="15">
        <f t="shared" si="58"/>
        <v>0</v>
      </c>
    </row>
    <row r="1852" spans="1:8" ht="15.75" x14ac:dyDescent="0.25">
      <c r="A1852" s="51">
        <v>42810</v>
      </c>
      <c r="B1852" s="52" t="s">
        <v>9656</v>
      </c>
      <c r="C1852" s="18">
        <v>104630</v>
      </c>
      <c r="D1852" s="2" t="s">
        <v>680</v>
      </c>
      <c r="E1852" s="15">
        <v>2683.8</v>
      </c>
      <c r="F1852" s="59">
        <v>42812</v>
      </c>
      <c r="G1852" s="15">
        <f t="shared" si="57"/>
        <v>2683.8</v>
      </c>
      <c r="H1852" s="15">
        <f t="shared" si="58"/>
        <v>0</v>
      </c>
    </row>
    <row r="1853" spans="1:8" ht="15.75" x14ac:dyDescent="0.25">
      <c r="A1853" s="51">
        <v>42810</v>
      </c>
      <c r="B1853" s="52" t="s">
        <v>9657</v>
      </c>
      <c r="C1853" s="18">
        <v>104631</v>
      </c>
      <c r="D1853" s="2" t="s">
        <v>682</v>
      </c>
      <c r="E1853" s="15">
        <v>6989.6</v>
      </c>
      <c r="F1853" s="59">
        <v>42812</v>
      </c>
      <c r="G1853" s="15">
        <f t="shared" si="57"/>
        <v>6989.6</v>
      </c>
      <c r="H1853" s="15">
        <f t="shared" si="58"/>
        <v>0</v>
      </c>
    </row>
    <row r="1854" spans="1:8" ht="15.75" x14ac:dyDescent="0.25">
      <c r="A1854" s="51">
        <v>42810</v>
      </c>
      <c r="B1854" s="52" t="s">
        <v>9658</v>
      </c>
      <c r="C1854" s="18">
        <v>104632</v>
      </c>
      <c r="D1854" s="13" t="s">
        <v>367</v>
      </c>
      <c r="E1854" s="14">
        <v>0</v>
      </c>
      <c r="F1854" s="102" t="s">
        <v>95</v>
      </c>
      <c r="G1854" s="14">
        <f t="shared" si="57"/>
        <v>0</v>
      </c>
      <c r="H1854" s="14">
        <f t="shared" si="58"/>
        <v>0</v>
      </c>
    </row>
    <row r="1855" spans="1:8" ht="15.75" x14ac:dyDescent="0.25">
      <c r="A1855" s="51">
        <v>42810</v>
      </c>
      <c r="B1855" s="52" t="s">
        <v>9659</v>
      </c>
      <c r="C1855" s="18">
        <v>104633</v>
      </c>
      <c r="D1855" s="2" t="s">
        <v>367</v>
      </c>
      <c r="E1855" s="15">
        <v>525</v>
      </c>
      <c r="F1855" s="59">
        <v>42810</v>
      </c>
      <c r="G1855" s="15">
        <f t="shared" si="57"/>
        <v>525</v>
      </c>
      <c r="H1855" s="15">
        <f t="shared" si="58"/>
        <v>0</v>
      </c>
    </row>
    <row r="1856" spans="1:8" ht="15.75" x14ac:dyDescent="0.25">
      <c r="A1856" s="51">
        <v>42810</v>
      </c>
      <c r="B1856" s="52" t="s">
        <v>9660</v>
      </c>
      <c r="C1856" s="18">
        <v>104634</v>
      </c>
      <c r="D1856" s="2" t="s">
        <v>686</v>
      </c>
      <c r="E1856" s="15">
        <v>15102.2</v>
      </c>
      <c r="G1856" s="15">
        <f t="shared" si="57"/>
        <v>15102.2</v>
      </c>
      <c r="H1856" s="15">
        <f t="shared" si="58"/>
        <v>0</v>
      </c>
    </row>
    <row r="1857" spans="1:9" ht="15.75" x14ac:dyDescent="0.25">
      <c r="A1857" s="51">
        <v>42810</v>
      </c>
      <c r="B1857" s="52" t="s">
        <v>9661</v>
      </c>
      <c r="C1857" s="18">
        <v>104635</v>
      </c>
      <c r="D1857" s="2" t="s">
        <v>4038</v>
      </c>
      <c r="E1857" s="15">
        <v>3530.9</v>
      </c>
      <c r="F1857" s="59">
        <v>42812</v>
      </c>
      <c r="G1857" s="15">
        <f t="shared" si="57"/>
        <v>3530.9</v>
      </c>
      <c r="H1857" s="15">
        <f t="shared" si="58"/>
        <v>0</v>
      </c>
    </row>
    <row r="1858" spans="1:9" ht="15.75" x14ac:dyDescent="0.25">
      <c r="A1858" s="51">
        <v>42810</v>
      </c>
      <c r="B1858" s="52" t="s">
        <v>9662</v>
      </c>
      <c r="C1858" s="18">
        <v>104636</v>
      </c>
      <c r="D1858" s="2" t="s">
        <v>686</v>
      </c>
      <c r="E1858" s="15">
        <v>15102.2</v>
      </c>
      <c r="G1858" s="15">
        <f t="shared" si="57"/>
        <v>15102.2</v>
      </c>
      <c r="H1858" s="15">
        <f t="shared" si="58"/>
        <v>0</v>
      </c>
    </row>
    <row r="1859" spans="1:9" ht="15.75" x14ac:dyDescent="0.25">
      <c r="A1859" s="51">
        <v>42810</v>
      </c>
      <c r="B1859" s="52" t="s">
        <v>9663</v>
      </c>
      <c r="C1859" s="18">
        <v>104637</v>
      </c>
      <c r="D1859" s="2" t="s">
        <v>677</v>
      </c>
      <c r="E1859" s="15">
        <v>2183.1999999999998</v>
      </c>
      <c r="F1859" s="59">
        <v>42812</v>
      </c>
      <c r="G1859" s="15">
        <f t="shared" si="57"/>
        <v>2183.1999999999998</v>
      </c>
      <c r="H1859" s="15">
        <f t="shared" si="58"/>
        <v>0</v>
      </c>
    </row>
    <row r="1860" spans="1:9" ht="15.75" x14ac:dyDescent="0.25">
      <c r="A1860" s="51">
        <v>42810</v>
      </c>
      <c r="B1860" s="52" t="s">
        <v>9664</v>
      </c>
      <c r="C1860" s="18">
        <v>104638</v>
      </c>
      <c r="D1860" s="2" t="s">
        <v>670</v>
      </c>
      <c r="E1860" s="15">
        <v>157139.79999999999</v>
      </c>
      <c r="F1860" s="59">
        <v>42816</v>
      </c>
      <c r="G1860" s="15">
        <f t="shared" ref="G1860:G1923" si="59">E1860</f>
        <v>157139.79999999999</v>
      </c>
      <c r="H1860" s="15">
        <f t="shared" ref="H1860:H1923" si="60">E1860-G1860</f>
        <v>0</v>
      </c>
    </row>
    <row r="1861" spans="1:9" ht="15.75" x14ac:dyDescent="0.25">
      <c r="A1861" s="51">
        <v>42810</v>
      </c>
      <c r="B1861" s="52" t="s">
        <v>9665</v>
      </c>
      <c r="C1861" s="18">
        <v>104639</v>
      </c>
      <c r="D1861" s="2" t="s">
        <v>1589</v>
      </c>
      <c r="E1861" s="15">
        <v>4147.2</v>
      </c>
      <c r="F1861" s="59">
        <v>42812</v>
      </c>
      <c r="G1861" s="15">
        <f t="shared" si="59"/>
        <v>4147.2</v>
      </c>
      <c r="H1861" s="15">
        <f t="shared" si="60"/>
        <v>0</v>
      </c>
    </row>
    <row r="1862" spans="1:9" ht="15.75" x14ac:dyDescent="0.25">
      <c r="A1862" s="51">
        <v>42810</v>
      </c>
      <c r="B1862" s="52" t="s">
        <v>9666</v>
      </c>
      <c r="C1862" s="18">
        <v>104640</v>
      </c>
      <c r="D1862" s="2" t="s">
        <v>688</v>
      </c>
      <c r="E1862" s="15">
        <v>7097.9</v>
      </c>
      <c r="F1862" s="59">
        <v>42812</v>
      </c>
      <c r="G1862" s="15">
        <f t="shared" si="59"/>
        <v>7097.9</v>
      </c>
      <c r="H1862" s="15">
        <f t="shared" si="60"/>
        <v>0</v>
      </c>
    </row>
    <row r="1863" spans="1:9" ht="15.75" x14ac:dyDescent="0.25">
      <c r="A1863" s="51">
        <v>42810</v>
      </c>
      <c r="B1863" s="52" t="s">
        <v>9667</v>
      </c>
      <c r="C1863" s="18">
        <v>104641</v>
      </c>
      <c r="D1863" s="2" t="s">
        <v>1197</v>
      </c>
      <c r="E1863" s="15">
        <v>2113.8000000000002</v>
      </c>
      <c r="F1863" s="59">
        <v>42812</v>
      </c>
      <c r="G1863" s="15">
        <f t="shared" si="59"/>
        <v>2113.8000000000002</v>
      </c>
      <c r="H1863" s="15">
        <f t="shared" si="60"/>
        <v>0</v>
      </c>
    </row>
    <row r="1864" spans="1:9" ht="15.75" x14ac:dyDescent="0.25">
      <c r="A1864" s="51">
        <v>42810</v>
      </c>
      <c r="B1864" s="52" t="s">
        <v>9668</v>
      </c>
      <c r="C1864" s="18">
        <v>104642</v>
      </c>
      <c r="D1864" s="2" t="s">
        <v>354</v>
      </c>
      <c r="E1864" s="15">
        <v>2045.7</v>
      </c>
      <c r="F1864" s="59">
        <v>42810</v>
      </c>
      <c r="G1864" s="15">
        <f t="shared" si="59"/>
        <v>2045.7</v>
      </c>
      <c r="H1864" s="15">
        <f t="shared" si="60"/>
        <v>0</v>
      </c>
    </row>
    <row r="1865" spans="1:9" ht="15.75" x14ac:dyDescent="0.25">
      <c r="A1865" s="51">
        <v>42810</v>
      </c>
      <c r="B1865" s="52" t="s">
        <v>9669</v>
      </c>
      <c r="C1865" s="18">
        <v>104643</v>
      </c>
      <c r="D1865" s="2" t="s">
        <v>686</v>
      </c>
      <c r="E1865" s="15">
        <v>1986.4</v>
      </c>
      <c r="F1865" s="59">
        <v>42812</v>
      </c>
      <c r="G1865" s="15">
        <f t="shared" si="59"/>
        <v>1986.4</v>
      </c>
      <c r="H1865" s="15">
        <f t="shared" si="60"/>
        <v>0</v>
      </c>
      <c r="I1865" s="19"/>
    </row>
    <row r="1866" spans="1:9" ht="15.75" x14ac:dyDescent="0.25">
      <c r="A1866" s="51">
        <v>42810</v>
      </c>
      <c r="B1866" s="52" t="s">
        <v>9670</v>
      </c>
      <c r="C1866" s="18">
        <v>104644</v>
      </c>
      <c r="D1866" s="2" t="s">
        <v>675</v>
      </c>
      <c r="E1866" s="15">
        <v>2030</v>
      </c>
      <c r="F1866" s="59">
        <v>42812</v>
      </c>
      <c r="G1866" s="15">
        <f t="shared" si="59"/>
        <v>2030</v>
      </c>
      <c r="H1866" s="15">
        <f t="shared" si="60"/>
        <v>0</v>
      </c>
      <c r="I1866" s="19"/>
    </row>
    <row r="1867" spans="1:9" ht="15.75" x14ac:dyDescent="0.25">
      <c r="A1867" s="51">
        <v>42810</v>
      </c>
      <c r="B1867" s="52" t="s">
        <v>9671</v>
      </c>
      <c r="C1867" s="18">
        <v>104645</v>
      </c>
      <c r="D1867" s="2" t="s">
        <v>211</v>
      </c>
      <c r="E1867" s="15">
        <v>8731.2000000000007</v>
      </c>
      <c r="F1867" s="59">
        <v>42810</v>
      </c>
      <c r="G1867" s="15">
        <f t="shared" si="59"/>
        <v>8731.2000000000007</v>
      </c>
      <c r="H1867" s="15">
        <f t="shared" si="60"/>
        <v>0</v>
      </c>
      <c r="I1867" s="19"/>
    </row>
    <row r="1868" spans="1:9" ht="15.75" x14ac:dyDescent="0.25">
      <c r="A1868" s="51">
        <v>42810</v>
      </c>
      <c r="B1868" s="52" t="s">
        <v>9672</v>
      </c>
      <c r="C1868" s="18">
        <v>104646</v>
      </c>
      <c r="D1868" s="2" t="s">
        <v>10</v>
      </c>
      <c r="E1868" s="15">
        <v>18500.2</v>
      </c>
      <c r="F1868" s="59">
        <v>42815</v>
      </c>
      <c r="G1868" s="15">
        <f t="shared" si="59"/>
        <v>18500.2</v>
      </c>
      <c r="H1868" s="15">
        <f t="shared" si="60"/>
        <v>0</v>
      </c>
      <c r="I1868" s="19"/>
    </row>
    <row r="1869" spans="1:9" ht="15.75" x14ac:dyDescent="0.25">
      <c r="A1869" s="51">
        <v>42810</v>
      </c>
      <c r="B1869" s="52" t="s">
        <v>9673</v>
      </c>
      <c r="C1869" s="18">
        <v>104647</v>
      </c>
      <c r="D1869" s="2" t="s">
        <v>21</v>
      </c>
      <c r="E1869" s="15">
        <v>858</v>
      </c>
      <c r="F1869" s="59">
        <v>42825</v>
      </c>
      <c r="G1869" s="15">
        <f t="shared" si="59"/>
        <v>858</v>
      </c>
      <c r="H1869" s="15">
        <f t="shared" si="60"/>
        <v>0</v>
      </c>
      <c r="I1869" s="19"/>
    </row>
    <row r="1870" spans="1:9" ht="15.75" x14ac:dyDescent="0.25">
      <c r="A1870" s="51">
        <v>42810</v>
      </c>
      <c r="B1870" s="52" t="s">
        <v>9674</v>
      </c>
      <c r="C1870" s="18">
        <v>104648</v>
      </c>
      <c r="D1870" s="2" t="s">
        <v>921</v>
      </c>
      <c r="E1870" s="15">
        <v>1927.8</v>
      </c>
      <c r="F1870" s="59">
        <v>42811</v>
      </c>
      <c r="G1870" s="15">
        <f t="shared" si="59"/>
        <v>1927.8</v>
      </c>
      <c r="H1870" s="15">
        <f t="shared" si="60"/>
        <v>0</v>
      </c>
      <c r="I1870" s="19"/>
    </row>
    <row r="1871" spans="1:9" ht="15.75" x14ac:dyDescent="0.25">
      <c r="A1871" s="51">
        <v>42811</v>
      </c>
      <c r="B1871" s="52" t="s">
        <v>9675</v>
      </c>
      <c r="C1871" s="18">
        <v>104649</v>
      </c>
      <c r="D1871" s="2" t="s">
        <v>374</v>
      </c>
      <c r="E1871" s="15">
        <v>2759.4</v>
      </c>
      <c r="F1871" s="59">
        <v>42811</v>
      </c>
      <c r="G1871" s="15">
        <f t="shared" si="59"/>
        <v>2759.4</v>
      </c>
      <c r="H1871" s="15">
        <f t="shared" si="60"/>
        <v>0</v>
      </c>
      <c r="I1871" s="19"/>
    </row>
    <row r="1872" spans="1:9" ht="15.75" x14ac:dyDescent="0.25">
      <c r="A1872" s="51">
        <v>42811</v>
      </c>
      <c r="B1872" s="52" t="s">
        <v>9676</v>
      </c>
      <c r="C1872" s="18">
        <v>104650</v>
      </c>
      <c r="D1872" s="2" t="s">
        <v>374</v>
      </c>
      <c r="E1872" s="15">
        <v>4680</v>
      </c>
      <c r="F1872" s="59">
        <v>42811</v>
      </c>
      <c r="G1872" s="15">
        <f t="shared" si="59"/>
        <v>4680</v>
      </c>
      <c r="H1872" s="15">
        <f t="shared" si="60"/>
        <v>0</v>
      </c>
      <c r="I1872" s="19"/>
    </row>
    <row r="1873" spans="1:9" ht="15.75" x14ac:dyDescent="0.25">
      <c r="A1873" s="51">
        <v>42811</v>
      </c>
      <c r="B1873" s="52" t="s">
        <v>9677</v>
      </c>
      <c r="C1873" s="18">
        <v>104651</v>
      </c>
      <c r="D1873" s="2" t="s">
        <v>231</v>
      </c>
      <c r="E1873" s="15">
        <v>4473.1000000000004</v>
      </c>
      <c r="F1873" s="59">
        <v>42812</v>
      </c>
      <c r="G1873" s="15">
        <f t="shared" si="59"/>
        <v>4473.1000000000004</v>
      </c>
      <c r="H1873" s="15">
        <f t="shared" si="60"/>
        <v>0</v>
      </c>
      <c r="I1873" s="19"/>
    </row>
    <row r="1874" spans="1:9" ht="15.75" x14ac:dyDescent="0.25">
      <c r="A1874" s="51">
        <v>42811</v>
      </c>
      <c r="B1874" s="52" t="s">
        <v>9678</v>
      </c>
      <c r="C1874" s="18">
        <v>104652</v>
      </c>
      <c r="D1874" s="2" t="s">
        <v>26</v>
      </c>
      <c r="E1874" s="15">
        <v>8491.7999999999993</v>
      </c>
      <c r="F1874" s="59">
        <v>42811</v>
      </c>
      <c r="G1874" s="15">
        <f t="shared" si="59"/>
        <v>8491.7999999999993</v>
      </c>
      <c r="H1874" s="15">
        <f t="shared" si="60"/>
        <v>0</v>
      </c>
      <c r="I1874" s="19"/>
    </row>
    <row r="1875" spans="1:9" ht="15.75" x14ac:dyDescent="0.25">
      <c r="A1875" s="51">
        <v>42811</v>
      </c>
      <c r="B1875" s="52" t="s">
        <v>9679</v>
      </c>
      <c r="C1875" s="18">
        <v>104653</v>
      </c>
      <c r="D1875" s="13" t="s">
        <v>35</v>
      </c>
      <c r="E1875" s="14">
        <v>0</v>
      </c>
      <c r="F1875" s="102" t="s">
        <v>95</v>
      </c>
      <c r="G1875" s="14">
        <f t="shared" si="59"/>
        <v>0</v>
      </c>
      <c r="H1875" s="14">
        <f t="shared" si="60"/>
        <v>0</v>
      </c>
      <c r="I1875" s="19"/>
    </row>
    <row r="1876" spans="1:9" ht="15.75" x14ac:dyDescent="0.25">
      <c r="A1876" s="51">
        <v>42811</v>
      </c>
      <c r="B1876" s="52" t="s">
        <v>9680</v>
      </c>
      <c r="C1876" s="18">
        <v>104654</v>
      </c>
      <c r="D1876" s="2" t="s">
        <v>55</v>
      </c>
      <c r="E1876" s="15">
        <v>13741.7</v>
      </c>
      <c r="F1876" s="59">
        <v>42811</v>
      </c>
      <c r="G1876" s="15">
        <f t="shared" si="59"/>
        <v>13741.7</v>
      </c>
      <c r="H1876" s="15">
        <f t="shared" si="60"/>
        <v>0</v>
      </c>
      <c r="I1876" s="19"/>
    </row>
    <row r="1877" spans="1:9" ht="15.75" x14ac:dyDescent="0.25">
      <c r="A1877" s="51">
        <v>42811</v>
      </c>
      <c r="B1877" s="52" t="s">
        <v>9681</v>
      </c>
      <c r="C1877" s="18">
        <v>104655</v>
      </c>
      <c r="D1877" s="2" t="s">
        <v>28</v>
      </c>
      <c r="E1877" s="15">
        <v>4725.6000000000004</v>
      </c>
      <c r="F1877" s="59">
        <v>42811</v>
      </c>
      <c r="G1877" s="15">
        <f t="shared" si="59"/>
        <v>4725.6000000000004</v>
      </c>
      <c r="H1877" s="15">
        <f t="shared" si="60"/>
        <v>0</v>
      </c>
      <c r="I1877" s="19"/>
    </row>
    <row r="1878" spans="1:9" ht="15.75" x14ac:dyDescent="0.25">
      <c r="A1878" s="51">
        <v>42811</v>
      </c>
      <c r="B1878" s="52" t="s">
        <v>9682</v>
      </c>
      <c r="C1878" s="18">
        <v>104656</v>
      </c>
      <c r="D1878" s="2" t="s">
        <v>35</v>
      </c>
      <c r="E1878" s="15">
        <v>12957.5</v>
      </c>
      <c r="G1878" s="15">
        <f t="shared" si="59"/>
        <v>12957.5</v>
      </c>
      <c r="H1878" s="15">
        <f t="shared" si="60"/>
        <v>0</v>
      </c>
      <c r="I1878" s="19"/>
    </row>
    <row r="1879" spans="1:9" ht="15.75" x14ac:dyDescent="0.25">
      <c r="A1879" s="51">
        <v>42811</v>
      </c>
      <c r="B1879" s="52" t="s">
        <v>9683</v>
      </c>
      <c r="C1879" s="18">
        <v>104657</v>
      </c>
      <c r="D1879" s="13" t="s">
        <v>32</v>
      </c>
      <c r="E1879" s="14">
        <v>0</v>
      </c>
      <c r="F1879" s="102" t="s">
        <v>95</v>
      </c>
      <c r="G1879" s="14">
        <f t="shared" si="59"/>
        <v>0</v>
      </c>
      <c r="H1879" s="14">
        <f t="shared" si="60"/>
        <v>0</v>
      </c>
      <c r="I1879" s="19"/>
    </row>
    <row r="1880" spans="1:9" ht="15.75" x14ac:dyDescent="0.25">
      <c r="A1880" s="51">
        <v>42811</v>
      </c>
      <c r="B1880" s="52" t="s">
        <v>9684</v>
      </c>
      <c r="C1880" s="18">
        <v>104658</v>
      </c>
      <c r="D1880" s="2" t="s">
        <v>38</v>
      </c>
      <c r="E1880" s="15">
        <v>2726.4</v>
      </c>
      <c r="G1880" s="15">
        <f t="shared" si="59"/>
        <v>2726.4</v>
      </c>
      <c r="H1880" s="15">
        <f t="shared" si="60"/>
        <v>0</v>
      </c>
      <c r="I1880" s="19"/>
    </row>
    <row r="1881" spans="1:9" ht="15.75" x14ac:dyDescent="0.25">
      <c r="A1881" s="51">
        <v>42811</v>
      </c>
      <c r="B1881" s="52" t="s">
        <v>9685</v>
      </c>
      <c r="C1881" s="18">
        <v>104659</v>
      </c>
      <c r="D1881" s="2" t="s">
        <v>71</v>
      </c>
      <c r="E1881" s="15">
        <v>4372.8</v>
      </c>
      <c r="F1881" s="59">
        <v>42812</v>
      </c>
      <c r="G1881" s="15">
        <f t="shared" si="59"/>
        <v>4372.8</v>
      </c>
      <c r="H1881" s="15">
        <f t="shared" si="60"/>
        <v>0</v>
      </c>
      <c r="I1881" s="19"/>
    </row>
    <row r="1882" spans="1:9" ht="15.75" x14ac:dyDescent="0.25">
      <c r="A1882" s="51">
        <v>42811</v>
      </c>
      <c r="B1882" s="52" t="s">
        <v>9686</v>
      </c>
      <c r="C1882" s="18">
        <v>104660</v>
      </c>
      <c r="D1882" s="2" t="s">
        <v>428</v>
      </c>
      <c r="E1882" s="15">
        <v>1896.3</v>
      </c>
      <c r="F1882" s="59">
        <v>42812</v>
      </c>
      <c r="G1882" s="15">
        <f t="shared" si="59"/>
        <v>1896.3</v>
      </c>
      <c r="H1882" s="15">
        <f t="shared" si="60"/>
        <v>0</v>
      </c>
      <c r="I1882" s="19"/>
    </row>
    <row r="1883" spans="1:9" ht="15.75" x14ac:dyDescent="0.25">
      <c r="A1883" s="51">
        <v>42811</v>
      </c>
      <c r="B1883" s="52" t="s">
        <v>9687</v>
      </c>
      <c r="C1883" s="18">
        <v>104661</v>
      </c>
      <c r="D1883" s="2" t="s">
        <v>19</v>
      </c>
      <c r="E1883" s="15">
        <v>1440</v>
      </c>
      <c r="F1883" s="59">
        <v>42812</v>
      </c>
      <c r="G1883" s="15">
        <f t="shared" si="59"/>
        <v>1440</v>
      </c>
      <c r="H1883" s="15">
        <f t="shared" si="60"/>
        <v>0</v>
      </c>
      <c r="I1883" s="19"/>
    </row>
    <row r="1884" spans="1:9" ht="15.75" x14ac:dyDescent="0.25">
      <c r="A1884" s="51">
        <v>42811</v>
      </c>
      <c r="B1884" s="52" t="s">
        <v>9688</v>
      </c>
      <c r="C1884" s="18">
        <v>104662</v>
      </c>
      <c r="D1884" s="2" t="s">
        <v>10</v>
      </c>
      <c r="E1884" s="15">
        <v>1004.4</v>
      </c>
      <c r="F1884" s="59">
        <v>42815</v>
      </c>
      <c r="G1884" s="15">
        <f t="shared" si="59"/>
        <v>1004.4</v>
      </c>
      <c r="H1884" s="15">
        <f t="shared" si="60"/>
        <v>0</v>
      </c>
      <c r="I1884" s="19"/>
    </row>
    <row r="1885" spans="1:9" ht="15.75" x14ac:dyDescent="0.25">
      <c r="A1885" s="51">
        <v>42811</v>
      </c>
      <c r="B1885" s="52" t="s">
        <v>9689</v>
      </c>
      <c r="C1885" s="18">
        <v>104663</v>
      </c>
      <c r="D1885" s="2" t="s">
        <v>49</v>
      </c>
      <c r="E1885" s="15">
        <v>9628.7999999999993</v>
      </c>
      <c r="G1885" s="15">
        <f t="shared" si="59"/>
        <v>9628.7999999999993</v>
      </c>
      <c r="H1885" s="15">
        <f t="shared" si="60"/>
        <v>0</v>
      </c>
      <c r="I1885" s="19"/>
    </row>
    <row r="1886" spans="1:9" ht="15.75" x14ac:dyDescent="0.25">
      <c r="A1886" s="51">
        <v>42811</v>
      </c>
      <c r="B1886" s="52" t="s">
        <v>9690</v>
      </c>
      <c r="C1886" s="18">
        <v>104664</v>
      </c>
      <c r="D1886" s="2" t="s">
        <v>1666</v>
      </c>
      <c r="E1886" s="15">
        <v>14833</v>
      </c>
      <c r="F1886" s="59">
        <v>42816</v>
      </c>
      <c r="G1886" s="15">
        <f t="shared" si="59"/>
        <v>14833</v>
      </c>
      <c r="H1886" s="15">
        <f t="shared" si="60"/>
        <v>0</v>
      </c>
      <c r="I1886" s="19"/>
    </row>
    <row r="1887" spans="1:9" ht="15.75" x14ac:dyDescent="0.25">
      <c r="A1887" s="51">
        <v>42811</v>
      </c>
      <c r="B1887" s="52" t="s">
        <v>9691</v>
      </c>
      <c r="C1887" s="18">
        <v>104665</v>
      </c>
      <c r="D1887" s="2" t="s">
        <v>1786</v>
      </c>
      <c r="E1887" s="15">
        <v>8474.4</v>
      </c>
      <c r="F1887" s="59">
        <v>42811</v>
      </c>
      <c r="G1887" s="15">
        <f t="shared" si="59"/>
        <v>8474.4</v>
      </c>
      <c r="H1887" s="15">
        <f t="shared" si="60"/>
        <v>0</v>
      </c>
      <c r="I1887" s="19"/>
    </row>
    <row r="1888" spans="1:9" ht="15.75" x14ac:dyDescent="0.25">
      <c r="A1888" s="51">
        <v>42811</v>
      </c>
      <c r="B1888" s="52" t="s">
        <v>9692</v>
      </c>
      <c r="C1888" s="18">
        <v>104666</v>
      </c>
      <c r="D1888" s="2" t="s">
        <v>432</v>
      </c>
      <c r="E1888" s="15">
        <v>14592.8</v>
      </c>
      <c r="F1888" s="59">
        <v>42816</v>
      </c>
      <c r="G1888" s="15">
        <f t="shared" si="59"/>
        <v>14592.8</v>
      </c>
      <c r="H1888" s="15">
        <f t="shared" si="60"/>
        <v>0</v>
      </c>
      <c r="I1888" s="19"/>
    </row>
    <row r="1889" spans="1:9" ht="15.75" x14ac:dyDescent="0.25">
      <c r="A1889" s="51">
        <v>42811</v>
      </c>
      <c r="B1889" s="52" t="s">
        <v>9693</v>
      </c>
      <c r="C1889" s="18">
        <v>104667</v>
      </c>
      <c r="D1889" s="2" t="s">
        <v>222</v>
      </c>
      <c r="E1889" s="15">
        <v>64431.1</v>
      </c>
      <c r="F1889" s="59">
        <v>42812</v>
      </c>
      <c r="G1889" s="15">
        <f t="shared" si="59"/>
        <v>64431.1</v>
      </c>
      <c r="H1889" s="15">
        <f t="shared" si="60"/>
        <v>0</v>
      </c>
      <c r="I1889" s="19"/>
    </row>
    <row r="1890" spans="1:9" ht="15.75" x14ac:dyDescent="0.25">
      <c r="A1890" s="51">
        <v>42811</v>
      </c>
      <c r="B1890" s="52" t="s">
        <v>9694</v>
      </c>
      <c r="C1890" s="18">
        <v>104668</v>
      </c>
      <c r="D1890" s="2" t="s">
        <v>1634</v>
      </c>
      <c r="E1890" s="15">
        <v>1112.8</v>
      </c>
      <c r="F1890" s="59">
        <v>42811</v>
      </c>
      <c r="G1890" s="15">
        <f t="shared" si="59"/>
        <v>1112.8</v>
      </c>
      <c r="H1890" s="15">
        <f t="shared" si="60"/>
        <v>0</v>
      </c>
      <c r="I1890" s="19"/>
    </row>
    <row r="1891" spans="1:9" ht="15.75" x14ac:dyDescent="0.25">
      <c r="A1891" s="51">
        <v>42811</v>
      </c>
      <c r="B1891" s="52" t="s">
        <v>9695</v>
      </c>
      <c r="C1891" s="18">
        <v>104669</v>
      </c>
      <c r="D1891" s="2" t="s">
        <v>8294</v>
      </c>
      <c r="E1891" s="15">
        <v>1936.4</v>
      </c>
      <c r="F1891" s="59">
        <v>42811</v>
      </c>
      <c r="G1891" s="15">
        <f t="shared" si="59"/>
        <v>1936.4</v>
      </c>
      <c r="H1891" s="15">
        <f t="shared" si="60"/>
        <v>0</v>
      </c>
      <c r="I1891" s="19"/>
    </row>
    <row r="1892" spans="1:9" ht="15.75" x14ac:dyDescent="0.25">
      <c r="A1892" s="51">
        <v>42811</v>
      </c>
      <c r="B1892" s="52" t="s">
        <v>9696</v>
      </c>
      <c r="C1892" s="18">
        <v>104670</v>
      </c>
      <c r="D1892" s="2" t="s">
        <v>270</v>
      </c>
      <c r="E1892" s="15">
        <v>35170.1</v>
      </c>
      <c r="F1892" s="59">
        <v>42816</v>
      </c>
      <c r="G1892" s="15">
        <f t="shared" si="59"/>
        <v>35170.1</v>
      </c>
      <c r="H1892" s="15">
        <f t="shared" si="60"/>
        <v>0</v>
      </c>
      <c r="I1892" s="19"/>
    </row>
    <row r="1893" spans="1:9" ht="15.75" x14ac:dyDescent="0.25">
      <c r="A1893" s="51">
        <v>42811</v>
      </c>
      <c r="B1893" s="52" t="s">
        <v>9697</v>
      </c>
      <c r="C1893" s="18">
        <v>104671</v>
      </c>
      <c r="D1893" s="2" t="s">
        <v>1645</v>
      </c>
      <c r="E1893" s="15">
        <v>3839.4</v>
      </c>
      <c r="F1893" s="59">
        <v>42811</v>
      </c>
      <c r="G1893" s="15">
        <f t="shared" si="59"/>
        <v>3839.4</v>
      </c>
      <c r="H1893" s="15">
        <f t="shared" si="60"/>
        <v>0</v>
      </c>
      <c r="I1893" s="19"/>
    </row>
    <row r="1894" spans="1:9" ht="15.75" x14ac:dyDescent="0.25">
      <c r="A1894" s="51">
        <v>42811</v>
      </c>
      <c r="B1894" s="52" t="s">
        <v>9698</v>
      </c>
      <c r="C1894" s="18">
        <v>104672</v>
      </c>
      <c r="D1894" s="2" t="s">
        <v>69</v>
      </c>
      <c r="E1894" s="15">
        <v>2452.1</v>
      </c>
      <c r="F1894" s="59">
        <v>42811</v>
      </c>
      <c r="G1894" s="15">
        <f t="shared" si="59"/>
        <v>2452.1</v>
      </c>
      <c r="H1894" s="15">
        <f t="shared" si="60"/>
        <v>0</v>
      </c>
      <c r="I1894" s="19"/>
    </row>
    <row r="1895" spans="1:9" ht="15.75" x14ac:dyDescent="0.25">
      <c r="A1895" s="51">
        <v>42811</v>
      </c>
      <c r="B1895" s="52" t="s">
        <v>9699</v>
      </c>
      <c r="C1895" s="18">
        <v>104673</v>
      </c>
      <c r="D1895" s="2" t="s">
        <v>250</v>
      </c>
      <c r="E1895" s="15">
        <v>8740.6</v>
      </c>
      <c r="F1895" s="59">
        <v>42812</v>
      </c>
      <c r="G1895" s="15">
        <f t="shared" si="59"/>
        <v>8740.6</v>
      </c>
      <c r="H1895" s="15">
        <f t="shared" si="60"/>
        <v>0</v>
      </c>
      <c r="I1895" s="19"/>
    </row>
    <row r="1896" spans="1:9" ht="15.75" x14ac:dyDescent="0.25">
      <c r="A1896" s="51">
        <v>42811</v>
      </c>
      <c r="B1896" s="52" t="s">
        <v>9700</v>
      </c>
      <c r="C1896" s="18">
        <v>104674</v>
      </c>
      <c r="D1896" s="2" t="s">
        <v>270</v>
      </c>
      <c r="E1896" s="15">
        <v>526.5</v>
      </c>
      <c r="F1896" s="59">
        <v>42816</v>
      </c>
      <c r="G1896" s="15">
        <f t="shared" si="59"/>
        <v>526.5</v>
      </c>
      <c r="H1896" s="15">
        <f t="shared" si="60"/>
        <v>0</v>
      </c>
      <c r="I1896" s="19"/>
    </row>
    <row r="1897" spans="1:9" ht="15.75" x14ac:dyDescent="0.25">
      <c r="A1897" s="51">
        <v>42811</v>
      </c>
      <c r="B1897" s="52" t="s">
        <v>9701</v>
      </c>
      <c r="C1897" s="18">
        <v>104675</v>
      </c>
      <c r="D1897" s="2" t="s">
        <v>21</v>
      </c>
      <c r="E1897" s="15">
        <v>44545.599999999999</v>
      </c>
      <c r="F1897" s="59">
        <v>42825</v>
      </c>
      <c r="G1897" s="15">
        <f t="shared" si="59"/>
        <v>44545.599999999999</v>
      </c>
      <c r="H1897" s="15">
        <f t="shared" si="60"/>
        <v>0</v>
      </c>
      <c r="I1897" s="19"/>
    </row>
    <row r="1898" spans="1:9" ht="15.75" x14ac:dyDescent="0.25">
      <c r="A1898" s="51">
        <v>42811</v>
      </c>
      <c r="B1898" s="52" t="s">
        <v>9702</v>
      </c>
      <c r="C1898" s="18">
        <v>104676</v>
      </c>
      <c r="D1898" s="2" t="s">
        <v>43</v>
      </c>
      <c r="E1898" s="15">
        <v>5587.8</v>
      </c>
      <c r="G1898" s="15">
        <f t="shared" si="59"/>
        <v>5587.8</v>
      </c>
      <c r="H1898" s="15">
        <f t="shared" si="60"/>
        <v>0</v>
      </c>
      <c r="I1898" s="19"/>
    </row>
    <row r="1899" spans="1:9" ht="15.75" x14ac:dyDescent="0.25">
      <c r="A1899" s="51">
        <v>42811</v>
      </c>
      <c r="B1899" s="52" t="s">
        <v>9703</v>
      </c>
      <c r="C1899" s="18">
        <v>104677</v>
      </c>
      <c r="D1899" s="2" t="s">
        <v>268</v>
      </c>
      <c r="E1899" s="15">
        <v>16598.599999999999</v>
      </c>
      <c r="F1899" s="59">
        <v>42816</v>
      </c>
      <c r="G1899" s="15">
        <f t="shared" si="59"/>
        <v>16598.599999999999</v>
      </c>
      <c r="H1899" s="15">
        <f t="shared" si="60"/>
        <v>0</v>
      </c>
      <c r="I1899" s="19"/>
    </row>
    <row r="1900" spans="1:9" ht="15.75" x14ac:dyDescent="0.25">
      <c r="A1900" s="51">
        <v>42811</v>
      </c>
      <c r="B1900" s="52" t="s">
        <v>9704</v>
      </c>
      <c r="C1900" s="18">
        <v>104678</v>
      </c>
      <c r="D1900" s="2" t="s">
        <v>51</v>
      </c>
      <c r="E1900" s="15">
        <v>6099.6</v>
      </c>
      <c r="G1900" s="15">
        <f t="shared" si="59"/>
        <v>6099.6</v>
      </c>
      <c r="H1900" s="15">
        <f t="shared" si="60"/>
        <v>0</v>
      </c>
      <c r="I1900" s="19"/>
    </row>
    <row r="1901" spans="1:9" ht="15.75" x14ac:dyDescent="0.25">
      <c r="A1901" s="51">
        <v>42811</v>
      </c>
      <c r="B1901" s="52" t="s">
        <v>9705</v>
      </c>
      <c r="C1901" s="18">
        <v>104679</v>
      </c>
      <c r="D1901" s="2" t="s">
        <v>236</v>
      </c>
      <c r="E1901" s="15">
        <v>37343.449999999997</v>
      </c>
      <c r="F1901" s="59">
        <v>42818</v>
      </c>
      <c r="G1901" s="15">
        <f t="shared" si="59"/>
        <v>37343.449999999997</v>
      </c>
      <c r="H1901" s="15">
        <f t="shared" si="60"/>
        <v>0</v>
      </c>
      <c r="I1901" s="19"/>
    </row>
    <row r="1902" spans="1:9" ht="15.75" x14ac:dyDescent="0.25">
      <c r="A1902" s="51">
        <v>42811</v>
      </c>
      <c r="B1902" s="52" t="s">
        <v>9706</v>
      </c>
      <c r="C1902" s="18">
        <v>104680</v>
      </c>
      <c r="D1902" s="2" t="s">
        <v>274</v>
      </c>
      <c r="E1902" s="15">
        <v>12691.9</v>
      </c>
      <c r="F1902" s="59">
        <v>42818</v>
      </c>
      <c r="G1902" s="15">
        <f t="shared" si="59"/>
        <v>12691.9</v>
      </c>
      <c r="H1902" s="15">
        <f t="shared" si="60"/>
        <v>0</v>
      </c>
      <c r="I1902" s="19"/>
    </row>
    <row r="1903" spans="1:9" ht="15.75" x14ac:dyDescent="0.25">
      <c r="A1903" s="51">
        <v>42811</v>
      </c>
      <c r="B1903" s="52" t="s">
        <v>9707</v>
      </c>
      <c r="C1903" s="18">
        <v>104681</v>
      </c>
      <c r="D1903" s="2" t="s">
        <v>30</v>
      </c>
      <c r="E1903" s="15">
        <v>2538.8000000000002</v>
      </c>
      <c r="F1903" s="59">
        <v>42811</v>
      </c>
      <c r="G1903" s="15">
        <f t="shared" si="59"/>
        <v>2538.8000000000002</v>
      </c>
      <c r="H1903" s="15">
        <f t="shared" si="60"/>
        <v>0</v>
      </c>
      <c r="I1903" s="19"/>
    </row>
    <row r="1904" spans="1:9" ht="15.75" x14ac:dyDescent="0.25">
      <c r="A1904" s="51">
        <v>42811</v>
      </c>
      <c r="B1904" s="52" t="s">
        <v>9708</v>
      </c>
      <c r="C1904" s="18">
        <v>104682</v>
      </c>
      <c r="D1904" s="2" t="s">
        <v>236</v>
      </c>
      <c r="E1904" s="15">
        <v>33069.050000000003</v>
      </c>
      <c r="F1904" s="59">
        <v>42818</v>
      </c>
      <c r="G1904" s="15">
        <f t="shared" si="59"/>
        <v>33069.050000000003</v>
      </c>
      <c r="H1904" s="15">
        <f t="shared" si="60"/>
        <v>0</v>
      </c>
      <c r="I1904" s="19"/>
    </row>
    <row r="1905" spans="1:9" ht="15.75" x14ac:dyDescent="0.25">
      <c r="A1905" s="51">
        <v>42811</v>
      </c>
      <c r="B1905" s="52" t="s">
        <v>9709</v>
      </c>
      <c r="C1905" s="18">
        <v>104683</v>
      </c>
      <c r="D1905" s="2" t="s">
        <v>30</v>
      </c>
      <c r="E1905" s="15">
        <v>8263.93</v>
      </c>
      <c r="F1905" s="59">
        <v>42816</v>
      </c>
      <c r="G1905" s="15">
        <f t="shared" si="59"/>
        <v>8263.93</v>
      </c>
      <c r="H1905" s="15">
        <f t="shared" si="60"/>
        <v>0</v>
      </c>
      <c r="I1905" s="19"/>
    </row>
    <row r="1906" spans="1:9" ht="15.75" x14ac:dyDescent="0.25">
      <c r="A1906" s="51">
        <v>42811</v>
      </c>
      <c r="B1906" s="52" t="s">
        <v>9710</v>
      </c>
      <c r="C1906" s="18">
        <v>104684</v>
      </c>
      <c r="D1906" s="2" t="s">
        <v>47</v>
      </c>
      <c r="E1906" s="15">
        <v>3327.4</v>
      </c>
      <c r="F1906" s="59">
        <v>42811</v>
      </c>
      <c r="G1906" s="15">
        <f t="shared" si="59"/>
        <v>3327.4</v>
      </c>
      <c r="H1906" s="15">
        <f t="shared" si="60"/>
        <v>0</v>
      </c>
      <c r="I1906" s="19"/>
    </row>
    <row r="1907" spans="1:9" ht="15.75" x14ac:dyDescent="0.25">
      <c r="A1907" s="51">
        <v>42811</v>
      </c>
      <c r="B1907" s="52" t="s">
        <v>9711</v>
      </c>
      <c r="C1907" s="18">
        <v>104685</v>
      </c>
      <c r="D1907" s="2" t="s">
        <v>613</v>
      </c>
      <c r="E1907" s="15">
        <v>5335</v>
      </c>
      <c r="F1907" s="59">
        <v>42811</v>
      </c>
      <c r="G1907" s="15">
        <f t="shared" si="59"/>
        <v>5335</v>
      </c>
      <c r="H1907" s="15">
        <f t="shared" si="60"/>
        <v>0</v>
      </c>
      <c r="I1907" s="19"/>
    </row>
    <row r="1908" spans="1:9" ht="15.75" x14ac:dyDescent="0.25">
      <c r="A1908" s="51">
        <v>42811</v>
      </c>
      <c r="B1908" s="52" t="s">
        <v>9712</v>
      </c>
      <c r="C1908" s="18">
        <v>104686</v>
      </c>
      <c r="D1908" s="2" t="s">
        <v>1116</v>
      </c>
      <c r="E1908" s="15">
        <v>138</v>
      </c>
      <c r="F1908" s="59">
        <v>42811</v>
      </c>
      <c r="G1908" s="15">
        <f t="shared" si="59"/>
        <v>138</v>
      </c>
      <c r="H1908" s="15">
        <f t="shared" si="60"/>
        <v>0</v>
      </c>
      <c r="I1908" s="19"/>
    </row>
    <row r="1909" spans="1:9" ht="16.5" customHeight="1" x14ac:dyDescent="0.25">
      <c r="A1909" s="51">
        <v>42811</v>
      </c>
      <c r="B1909" s="52" t="s">
        <v>9713</v>
      </c>
      <c r="C1909" s="18">
        <v>104687</v>
      </c>
      <c r="D1909" s="2" t="s">
        <v>30</v>
      </c>
      <c r="E1909" s="15">
        <v>6360</v>
      </c>
      <c r="F1909" s="59">
        <v>42811</v>
      </c>
      <c r="G1909" s="15">
        <f t="shared" si="59"/>
        <v>6360</v>
      </c>
      <c r="H1909" s="15">
        <f t="shared" si="60"/>
        <v>0</v>
      </c>
      <c r="I1909" s="19"/>
    </row>
    <row r="1910" spans="1:9" ht="15.75" x14ac:dyDescent="0.25">
      <c r="A1910" s="51">
        <v>42811</v>
      </c>
      <c r="B1910" s="52" t="s">
        <v>9714</v>
      </c>
      <c r="C1910" s="18">
        <v>104688</v>
      </c>
      <c r="D1910" s="2" t="s">
        <v>3649</v>
      </c>
      <c r="E1910" s="15">
        <v>3112.8</v>
      </c>
      <c r="F1910" s="59">
        <v>42811</v>
      </c>
      <c r="G1910" s="15">
        <f t="shared" si="59"/>
        <v>3112.8</v>
      </c>
      <c r="H1910" s="15">
        <f t="shared" si="60"/>
        <v>0</v>
      </c>
      <c r="I1910" s="19"/>
    </row>
    <row r="1911" spans="1:9" ht="15.75" x14ac:dyDescent="0.25">
      <c r="A1911" s="51">
        <v>42811</v>
      </c>
      <c r="B1911" s="52" t="s">
        <v>9715</v>
      </c>
      <c r="C1911" s="18">
        <v>104689</v>
      </c>
      <c r="D1911" s="2" t="s">
        <v>445</v>
      </c>
      <c r="E1911" s="15">
        <v>2321.4</v>
      </c>
      <c r="F1911" s="59">
        <v>42811</v>
      </c>
      <c r="G1911" s="15">
        <f t="shared" si="59"/>
        <v>2321.4</v>
      </c>
      <c r="H1911" s="15">
        <f t="shared" si="60"/>
        <v>0</v>
      </c>
      <c r="I1911" s="19"/>
    </row>
    <row r="1912" spans="1:9" ht="15.75" x14ac:dyDescent="0.25">
      <c r="A1912" s="51">
        <v>42811</v>
      </c>
      <c r="B1912" s="52" t="s">
        <v>9716</v>
      </c>
      <c r="C1912" s="18">
        <v>104690</v>
      </c>
      <c r="D1912" s="2" t="s">
        <v>1259</v>
      </c>
      <c r="E1912" s="15">
        <v>2895.2</v>
      </c>
      <c r="F1912" s="59">
        <v>42811</v>
      </c>
      <c r="G1912" s="15">
        <f t="shared" si="59"/>
        <v>2895.2</v>
      </c>
      <c r="H1912" s="15">
        <f t="shared" si="60"/>
        <v>0</v>
      </c>
      <c r="I1912" s="19"/>
    </row>
    <row r="1913" spans="1:9" ht="15.75" x14ac:dyDescent="0.25">
      <c r="A1913" s="51">
        <v>42811</v>
      </c>
      <c r="B1913" s="52" t="s">
        <v>9717</v>
      </c>
      <c r="C1913" s="18">
        <v>104691</v>
      </c>
      <c r="D1913" s="2" t="s">
        <v>321</v>
      </c>
      <c r="E1913" s="15">
        <v>561.6</v>
      </c>
      <c r="F1913" s="59">
        <v>42811</v>
      </c>
      <c r="G1913" s="15">
        <f t="shared" si="59"/>
        <v>561.6</v>
      </c>
      <c r="H1913" s="15">
        <f t="shared" si="60"/>
        <v>0</v>
      </c>
      <c r="I1913" s="19"/>
    </row>
    <row r="1914" spans="1:9" ht="15.75" x14ac:dyDescent="0.25">
      <c r="A1914" s="51">
        <v>42811</v>
      </c>
      <c r="B1914" s="52" t="s">
        <v>9718</v>
      </c>
      <c r="C1914" s="18">
        <v>104692</v>
      </c>
      <c r="D1914" s="2" t="s">
        <v>30</v>
      </c>
      <c r="E1914" s="15">
        <v>27188.799999999999</v>
      </c>
      <c r="F1914" s="59">
        <v>42816</v>
      </c>
      <c r="G1914" s="15">
        <f t="shared" si="59"/>
        <v>27188.799999999999</v>
      </c>
      <c r="H1914" s="15">
        <f t="shared" si="60"/>
        <v>0</v>
      </c>
      <c r="I1914" s="19"/>
    </row>
    <row r="1915" spans="1:9" ht="15.75" x14ac:dyDescent="0.25">
      <c r="A1915" s="51">
        <v>42811</v>
      </c>
      <c r="B1915" s="52" t="s">
        <v>9719</v>
      </c>
      <c r="C1915" s="18">
        <v>104693</v>
      </c>
      <c r="D1915" s="2" t="s">
        <v>30</v>
      </c>
      <c r="E1915" s="15">
        <v>2552.9</v>
      </c>
      <c r="F1915" s="59">
        <v>42811</v>
      </c>
      <c r="G1915" s="15">
        <f t="shared" si="59"/>
        <v>2552.9</v>
      </c>
      <c r="H1915" s="15">
        <f t="shared" si="60"/>
        <v>0</v>
      </c>
      <c r="I1915" s="19"/>
    </row>
    <row r="1916" spans="1:9" ht="15.75" x14ac:dyDescent="0.25">
      <c r="A1916" s="51">
        <v>42811</v>
      </c>
      <c r="B1916" s="52" t="s">
        <v>9720</v>
      </c>
      <c r="C1916" s="18">
        <v>104694</v>
      </c>
      <c r="D1916" s="2" t="s">
        <v>92</v>
      </c>
      <c r="E1916" s="15">
        <v>2283.4</v>
      </c>
      <c r="F1916" s="59">
        <v>42811</v>
      </c>
      <c r="G1916" s="15">
        <f t="shared" si="59"/>
        <v>2283.4</v>
      </c>
      <c r="H1916" s="15">
        <f t="shared" si="60"/>
        <v>0</v>
      </c>
      <c r="I1916" s="19"/>
    </row>
    <row r="1917" spans="1:9" ht="15.75" x14ac:dyDescent="0.25">
      <c r="A1917" s="51">
        <v>42811</v>
      </c>
      <c r="B1917" s="52" t="s">
        <v>9721</v>
      </c>
      <c r="C1917" s="18">
        <v>104695</v>
      </c>
      <c r="D1917" s="2" t="s">
        <v>4367</v>
      </c>
      <c r="E1917" s="15">
        <v>964.8</v>
      </c>
      <c r="F1917" s="59">
        <v>42811</v>
      </c>
      <c r="G1917" s="15">
        <f t="shared" si="59"/>
        <v>964.8</v>
      </c>
      <c r="H1917" s="15">
        <f t="shared" si="60"/>
        <v>0</v>
      </c>
      <c r="I1917" s="19"/>
    </row>
    <row r="1918" spans="1:9" ht="15.75" x14ac:dyDescent="0.25">
      <c r="A1918" s="51">
        <v>42811</v>
      </c>
      <c r="B1918" s="52" t="s">
        <v>9722</v>
      </c>
      <c r="C1918" s="18">
        <v>104696</v>
      </c>
      <c r="D1918" s="2" t="s">
        <v>281</v>
      </c>
      <c r="E1918" s="15">
        <v>2274.4</v>
      </c>
      <c r="F1918" s="59">
        <v>42811</v>
      </c>
      <c r="G1918" s="15">
        <f t="shared" si="59"/>
        <v>2274.4</v>
      </c>
      <c r="H1918" s="15">
        <f t="shared" si="60"/>
        <v>0</v>
      </c>
      <c r="I1918" s="19"/>
    </row>
    <row r="1919" spans="1:9" ht="15.75" x14ac:dyDescent="0.25">
      <c r="A1919" s="51">
        <v>42811</v>
      </c>
      <c r="B1919" s="52" t="s">
        <v>9723</v>
      </c>
      <c r="C1919" s="18">
        <v>104697</v>
      </c>
      <c r="D1919" s="2" t="s">
        <v>99</v>
      </c>
      <c r="E1919" s="15">
        <v>2400</v>
      </c>
      <c r="F1919" s="59">
        <v>42811</v>
      </c>
      <c r="G1919" s="15">
        <f t="shared" si="59"/>
        <v>2400</v>
      </c>
      <c r="H1919" s="15">
        <f t="shared" si="60"/>
        <v>0</v>
      </c>
      <c r="I1919" s="19"/>
    </row>
    <row r="1920" spans="1:9" ht="15.75" x14ac:dyDescent="0.25">
      <c r="A1920" s="51">
        <v>42811</v>
      </c>
      <c r="B1920" s="52" t="s">
        <v>9724</v>
      </c>
      <c r="C1920" s="18">
        <v>104698</v>
      </c>
      <c r="D1920" s="2" t="s">
        <v>101</v>
      </c>
      <c r="E1920" s="15">
        <v>960</v>
      </c>
      <c r="F1920" s="59">
        <v>42811</v>
      </c>
      <c r="G1920" s="15">
        <f t="shared" si="59"/>
        <v>960</v>
      </c>
      <c r="H1920" s="15">
        <f t="shared" si="60"/>
        <v>0</v>
      </c>
      <c r="I1920" s="19"/>
    </row>
    <row r="1921" spans="1:9" ht="15.75" x14ac:dyDescent="0.25">
      <c r="A1921" s="51">
        <v>42811</v>
      </c>
      <c r="B1921" s="52" t="s">
        <v>9725</v>
      </c>
      <c r="C1921" s="18">
        <v>104699</v>
      </c>
      <c r="D1921" s="2" t="s">
        <v>341</v>
      </c>
      <c r="E1921" s="15">
        <v>10426.6</v>
      </c>
      <c r="F1921" s="59">
        <v>42811</v>
      </c>
      <c r="G1921" s="15">
        <f t="shared" si="59"/>
        <v>10426.6</v>
      </c>
      <c r="H1921" s="15">
        <f t="shared" si="60"/>
        <v>0</v>
      </c>
      <c r="I1921" s="19"/>
    </row>
    <row r="1922" spans="1:9" ht="15.75" x14ac:dyDescent="0.25">
      <c r="A1922" s="51">
        <v>42811</v>
      </c>
      <c r="B1922" s="52" t="s">
        <v>9726</v>
      </c>
      <c r="C1922" s="18">
        <v>104700</v>
      </c>
      <c r="D1922" s="2" t="s">
        <v>291</v>
      </c>
      <c r="E1922" s="15">
        <v>3860</v>
      </c>
      <c r="F1922" s="59">
        <v>42811</v>
      </c>
      <c r="G1922" s="15">
        <f t="shared" si="59"/>
        <v>3860</v>
      </c>
      <c r="H1922" s="15">
        <f t="shared" si="60"/>
        <v>0</v>
      </c>
      <c r="I1922" s="19"/>
    </row>
    <row r="1923" spans="1:9" ht="15.75" x14ac:dyDescent="0.25">
      <c r="A1923" s="51">
        <v>42811</v>
      </c>
      <c r="B1923" s="52" t="s">
        <v>9727</v>
      </c>
      <c r="C1923" s="18">
        <v>104701</v>
      </c>
      <c r="D1923" s="2" t="s">
        <v>240</v>
      </c>
      <c r="E1923" s="15">
        <v>3708</v>
      </c>
      <c r="F1923" s="59">
        <v>42811</v>
      </c>
      <c r="G1923" s="15">
        <f t="shared" si="59"/>
        <v>3708</v>
      </c>
      <c r="H1923" s="15">
        <f t="shared" si="60"/>
        <v>0</v>
      </c>
      <c r="I1923" s="19"/>
    </row>
    <row r="1924" spans="1:9" ht="15.75" x14ac:dyDescent="0.25">
      <c r="A1924" s="51">
        <v>42811</v>
      </c>
      <c r="B1924" s="52" t="s">
        <v>9728</v>
      </c>
      <c r="C1924" s="18">
        <v>104702</v>
      </c>
      <c r="D1924" s="2" t="s">
        <v>1090</v>
      </c>
      <c r="E1924" s="15">
        <v>3826.6</v>
      </c>
      <c r="F1924" s="59">
        <v>42811</v>
      </c>
      <c r="G1924" s="15">
        <f t="shared" ref="G1924:G1987" si="61">E1924</f>
        <v>3826.6</v>
      </c>
      <c r="H1924" s="15">
        <f t="shared" ref="H1924:H1987" si="62">E1924-G1924</f>
        <v>0</v>
      </c>
      <c r="I1924" s="19"/>
    </row>
    <row r="1925" spans="1:9" ht="15.75" x14ac:dyDescent="0.25">
      <c r="A1925" s="51">
        <v>42811</v>
      </c>
      <c r="B1925" s="52" t="s">
        <v>9729</v>
      </c>
      <c r="C1925" s="18">
        <v>104703</v>
      </c>
      <c r="D1925" s="2" t="s">
        <v>79</v>
      </c>
      <c r="E1925" s="15">
        <v>4582.3999999999996</v>
      </c>
      <c r="F1925" s="59">
        <v>42811</v>
      </c>
      <c r="G1925" s="15">
        <f t="shared" si="61"/>
        <v>4582.3999999999996</v>
      </c>
      <c r="H1925" s="15">
        <f t="shared" si="62"/>
        <v>0</v>
      </c>
      <c r="I1925" s="19"/>
    </row>
    <row r="1926" spans="1:9" ht="15.75" x14ac:dyDescent="0.25">
      <c r="A1926" s="51">
        <v>42811</v>
      </c>
      <c r="B1926" s="52" t="s">
        <v>9730</v>
      </c>
      <c r="C1926" s="18">
        <v>104704</v>
      </c>
      <c r="D1926" s="2" t="s">
        <v>103</v>
      </c>
      <c r="E1926" s="15">
        <v>3249.9</v>
      </c>
      <c r="F1926" s="59">
        <v>42812</v>
      </c>
      <c r="G1926" s="15">
        <f t="shared" si="61"/>
        <v>3249.9</v>
      </c>
      <c r="H1926" s="15">
        <f t="shared" si="62"/>
        <v>0</v>
      </c>
      <c r="I1926" s="19"/>
    </row>
    <row r="1927" spans="1:9" ht="15.75" x14ac:dyDescent="0.25">
      <c r="A1927" s="51">
        <v>42811</v>
      </c>
      <c r="B1927" s="52" t="s">
        <v>9731</v>
      </c>
      <c r="C1927" s="18">
        <v>104705</v>
      </c>
      <c r="D1927" s="2" t="s">
        <v>83</v>
      </c>
      <c r="E1927" s="15">
        <v>5035</v>
      </c>
      <c r="F1927" s="59">
        <v>42811</v>
      </c>
      <c r="G1927" s="15">
        <f t="shared" si="61"/>
        <v>5035</v>
      </c>
      <c r="H1927" s="15">
        <f t="shared" si="62"/>
        <v>0</v>
      </c>
      <c r="I1927" s="19"/>
    </row>
    <row r="1928" spans="1:9" ht="15.75" x14ac:dyDescent="0.25">
      <c r="A1928" s="51">
        <v>42811</v>
      </c>
      <c r="B1928" s="52" t="s">
        <v>9732</v>
      </c>
      <c r="C1928" s="18">
        <v>104706</v>
      </c>
      <c r="D1928" s="2" t="s">
        <v>85</v>
      </c>
      <c r="E1928" s="15">
        <v>11865</v>
      </c>
      <c r="F1928" s="64" t="s">
        <v>9432</v>
      </c>
      <c r="G1928" s="20">
        <f>6000+5865</f>
        <v>11865</v>
      </c>
      <c r="H1928" s="20">
        <f t="shared" si="62"/>
        <v>0</v>
      </c>
      <c r="I1928" s="19"/>
    </row>
    <row r="1929" spans="1:9" ht="15.75" x14ac:dyDescent="0.25">
      <c r="A1929" s="51">
        <v>42811</v>
      </c>
      <c r="B1929" s="52" t="s">
        <v>9733</v>
      </c>
      <c r="C1929" s="18">
        <v>104707</v>
      </c>
      <c r="D1929" s="13" t="s">
        <v>1256</v>
      </c>
      <c r="E1929" s="14">
        <v>0</v>
      </c>
      <c r="F1929" s="102" t="s">
        <v>95</v>
      </c>
      <c r="G1929" s="14">
        <f t="shared" si="61"/>
        <v>0</v>
      </c>
      <c r="H1929" s="14">
        <f t="shared" si="62"/>
        <v>0</v>
      </c>
      <c r="I1929" s="19"/>
    </row>
    <row r="1930" spans="1:9" ht="15.75" x14ac:dyDescent="0.25">
      <c r="A1930" s="51">
        <v>42811</v>
      </c>
      <c r="B1930" s="52" t="s">
        <v>9734</v>
      </c>
      <c r="C1930" s="18">
        <v>104708</v>
      </c>
      <c r="D1930" s="2" t="s">
        <v>105</v>
      </c>
      <c r="E1930" s="15">
        <v>201.6</v>
      </c>
      <c r="F1930" s="59">
        <v>42812</v>
      </c>
      <c r="G1930" s="15">
        <f t="shared" si="61"/>
        <v>201.6</v>
      </c>
      <c r="H1930" s="15">
        <f t="shared" si="62"/>
        <v>0</v>
      </c>
      <c r="I1930" s="19"/>
    </row>
    <row r="1931" spans="1:9" ht="15.75" x14ac:dyDescent="0.25">
      <c r="A1931" s="51">
        <v>42811</v>
      </c>
      <c r="B1931" s="52" t="s">
        <v>9735</v>
      </c>
      <c r="C1931" s="18">
        <v>104709</v>
      </c>
      <c r="D1931" s="2" t="s">
        <v>109</v>
      </c>
      <c r="E1931" s="15">
        <v>5047</v>
      </c>
      <c r="F1931" s="59">
        <v>42811</v>
      </c>
      <c r="G1931" s="15">
        <f t="shared" si="61"/>
        <v>5047</v>
      </c>
      <c r="H1931" s="15">
        <f t="shared" si="62"/>
        <v>0</v>
      </c>
      <c r="I1931" s="19"/>
    </row>
    <row r="1932" spans="1:9" ht="15.75" x14ac:dyDescent="0.25">
      <c r="A1932" s="51">
        <v>42811</v>
      </c>
      <c r="B1932" s="52" t="s">
        <v>9736</v>
      </c>
      <c r="C1932" s="18">
        <v>104710</v>
      </c>
      <c r="D1932" s="13" t="s">
        <v>1269</v>
      </c>
      <c r="E1932" s="14">
        <v>0</v>
      </c>
      <c r="F1932" s="102" t="s">
        <v>95</v>
      </c>
      <c r="G1932" s="14">
        <f t="shared" si="61"/>
        <v>0</v>
      </c>
      <c r="H1932" s="14">
        <f t="shared" si="62"/>
        <v>0</v>
      </c>
      <c r="I1932" s="19"/>
    </row>
    <row r="1933" spans="1:9" ht="15.75" x14ac:dyDescent="0.25">
      <c r="A1933" s="51">
        <v>42811</v>
      </c>
      <c r="B1933" s="52" t="s">
        <v>9737</v>
      </c>
      <c r="C1933" s="18">
        <v>104711</v>
      </c>
      <c r="D1933" s="2" t="s">
        <v>1256</v>
      </c>
      <c r="E1933" s="15">
        <v>2833.8</v>
      </c>
      <c r="F1933" s="59">
        <v>42811</v>
      </c>
      <c r="G1933" s="15">
        <f t="shared" si="61"/>
        <v>2833.8</v>
      </c>
      <c r="H1933" s="15">
        <f t="shared" si="62"/>
        <v>0</v>
      </c>
      <c r="I1933" s="19"/>
    </row>
    <row r="1934" spans="1:9" ht="15.75" x14ac:dyDescent="0.25">
      <c r="A1934" s="51">
        <v>42811</v>
      </c>
      <c r="B1934" s="52" t="s">
        <v>9738</v>
      </c>
      <c r="C1934" s="18">
        <v>104712</v>
      </c>
      <c r="D1934" s="2" t="s">
        <v>492</v>
      </c>
      <c r="E1934" s="15">
        <v>22139.599999999999</v>
      </c>
      <c r="F1934" s="59">
        <v>42816</v>
      </c>
      <c r="G1934" s="15">
        <f t="shared" si="61"/>
        <v>22139.599999999999</v>
      </c>
      <c r="H1934" s="15">
        <f t="shared" si="62"/>
        <v>0</v>
      </c>
      <c r="I1934" s="19"/>
    </row>
    <row r="1935" spans="1:9" ht="15.75" x14ac:dyDescent="0.25">
      <c r="A1935" s="51">
        <v>42811</v>
      </c>
      <c r="B1935" s="52" t="s">
        <v>9739</v>
      </c>
      <c r="C1935" s="18">
        <v>104713</v>
      </c>
      <c r="D1935" s="2" t="s">
        <v>302</v>
      </c>
      <c r="E1935" s="15">
        <v>10921.6</v>
      </c>
      <c r="F1935" s="59">
        <v>42811</v>
      </c>
      <c r="G1935" s="15">
        <f t="shared" si="61"/>
        <v>10921.6</v>
      </c>
      <c r="H1935" s="15">
        <f t="shared" si="62"/>
        <v>0</v>
      </c>
      <c r="I1935" s="19"/>
    </row>
    <row r="1936" spans="1:9" ht="15.75" x14ac:dyDescent="0.25">
      <c r="A1936" s="51">
        <v>42811</v>
      </c>
      <c r="B1936" s="52" t="s">
        <v>9740</v>
      </c>
      <c r="C1936" s="18">
        <v>104714</v>
      </c>
      <c r="D1936" s="2" t="s">
        <v>472</v>
      </c>
      <c r="E1936" s="15">
        <v>3440.4</v>
      </c>
      <c r="F1936" s="59">
        <v>42816</v>
      </c>
      <c r="G1936" s="15">
        <f t="shared" si="61"/>
        <v>3440.4</v>
      </c>
      <c r="H1936" s="15">
        <f t="shared" si="62"/>
        <v>0</v>
      </c>
      <c r="I1936" s="19"/>
    </row>
    <row r="1937" spans="1:9" ht="15.75" x14ac:dyDescent="0.25">
      <c r="A1937" s="51">
        <v>42811</v>
      </c>
      <c r="B1937" s="52" t="s">
        <v>9741</v>
      </c>
      <c r="C1937" s="18">
        <v>104715</v>
      </c>
      <c r="D1937" s="2" t="s">
        <v>305</v>
      </c>
      <c r="E1937" s="15">
        <v>4375.6000000000004</v>
      </c>
      <c r="F1937" s="59">
        <v>42815</v>
      </c>
      <c r="G1937" s="15">
        <f t="shared" si="61"/>
        <v>4375.6000000000004</v>
      </c>
      <c r="H1937" s="15">
        <f t="shared" si="62"/>
        <v>0</v>
      </c>
      <c r="I1937" s="19"/>
    </row>
    <row r="1938" spans="1:9" ht="15.75" x14ac:dyDescent="0.25">
      <c r="A1938" s="51">
        <v>42811</v>
      </c>
      <c r="B1938" s="52" t="s">
        <v>9742</v>
      </c>
      <c r="C1938" s="18">
        <v>104716</v>
      </c>
      <c r="D1938" s="2" t="s">
        <v>476</v>
      </c>
      <c r="E1938" s="15">
        <v>10927.4</v>
      </c>
      <c r="F1938" s="59">
        <v>42811</v>
      </c>
      <c r="G1938" s="15">
        <f t="shared" si="61"/>
        <v>10927.4</v>
      </c>
      <c r="H1938" s="15">
        <f t="shared" si="62"/>
        <v>0</v>
      </c>
      <c r="I1938" s="19"/>
    </row>
    <row r="1939" spans="1:9" ht="15.75" x14ac:dyDescent="0.25">
      <c r="A1939" s="51">
        <v>42811</v>
      </c>
      <c r="B1939" s="52" t="s">
        <v>9743</v>
      </c>
      <c r="C1939" s="18">
        <v>104717</v>
      </c>
      <c r="D1939" s="2" t="s">
        <v>81</v>
      </c>
      <c r="E1939" s="15">
        <v>5555.08</v>
      </c>
      <c r="F1939" s="59">
        <v>42811</v>
      </c>
      <c r="G1939" s="15">
        <f t="shared" si="61"/>
        <v>5555.08</v>
      </c>
      <c r="H1939" s="15">
        <f t="shared" si="62"/>
        <v>0</v>
      </c>
      <c r="I1939" s="19"/>
    </row>
    <row r="1940" spans="1:9" ht="15.75" x14ac:dyDescent="0.25">
      <c r="A1940" s="51">
        <v>42811</v>
      </c>
      <c r="B1940" s="52" t="s">
        <v>9744</v>
      </c>
      <c r="C1940" s="18">
        <v>104718</v>
      </c>
      <c r="D1940" s="2" t="s">
        <v>120</v>
      </c>
      <c r="E1940" s="15">
        <v>2100.4</v>
      </c>
      <c r="F1940" s="59">
        <v>42811</v>
      </c>
      <c r="G1940" s="15">
        <f t="shared" si="61"/>
        <v>2100.4</v>
      </c>
      <c r="H1940" s="15">
        <f t="shared" si="62"/>
        <v>0</v>
      </c>
      <c r="I1940" s="19"/>
    </row>
    <row r="1941" spans="1:9" ht="15.75" x14ac:dyDescent="0.25">
      <c r="A1941" s="51">
        <v>42811</v>
      </c>
      <c r="B1941" s="52" t="s">
        <v>9745</v>
      </c>
      <c r="C1941" s="18">
        <v>104719</v>
      </c>
      <c r="D1941" s="2" t="s">
        <v>12</v>
      </c>
      <c r="E1941" s="15">
        <v>1951.7</v>
      </c>
      <c r="F1941" s="59">
        <v>42811</v>
      </c>
      <c r="G1941" s="15">
        <f t="shared" si="61"/>
        <v>1951.7</v>
      </c>
      <c r="H1941" s="15">
        <f t="shared" si="62"/>
        <v>0</v>
      </c>
      <c r="I1941" s="19"/>
    </row>
    <row r="1942" spans="1:9" ht="15.75" x14ac:dyDescent="0.25">
      <c r="A1942" s="51">
        <v>42811</v>
      </c>
      <c r="B1942" s="52" t="s">
        <v>9746</v>
      </c>
      <c r="C1942" s="18">
        <v>104720</v>
      </c>
      <c r="D1942" s="2" t="s">
        <v>785</v>
      </c>
      <c r="E1942" s="15">
        <v>5796</v>
      </c>
      <c r="F1942" s="59">
        <v>42811</v>
      </c>
      <c r="G1942" s="15">
        <f t="shared" si="61"/>
        <v>5796</v>
      </c>
      <c r="H1942" s="15">
        <f t="shared" si="62"/>
        <v>0</v>
      </c>
      <c r="I1942" s="19"/>
    </row>
    <row r="1943" spans="1:9" ht="15.75" x14ac:dyDescent="0.25">
      <c r="A1943" s="51">
        <v>42811</v>
      </c>
      <c r="B1943" s="52" t="s">
        <v>9747</v>
      </c>
      <c r="C1943" s="18">
        <v>104721</v>
      </c>
      <c r="D1943" s="13" t="s">
        <v>1830</v>
      </c>
      <c r="E1943" s="14">
        <v>0</v>
      </c>
      <c r="F1943" s="102" t="s">
        <v>95</v>
      </c>
      <c r="G1943" s="14">
        <f t="shared" si="61"/>
        <v>0</v>
      </c>
      <c r="H1943" s="14">
        <f t="shared" si="62"/>
        <v>0</v>
      </c>
      <c r="I1943" s="19"/>
    </row>
    <row r="1944" spans="1:9" ht="15.75" x14ac:dyDescent="0.25">
      <c r="A1944" s="51">
        <v>42811</v>
      </c>
      <c r="B1944" s="52" t="s">
        <v>9748</v>
      </c>
      <c r="C1944" s="18">
        <v>104722</v>
      </c>
      <c r="D1944" s="2" t="s">
        <v>157</v>
      </c>
      <c r="E1944" s="15">
        <v>14854.3</v>
      </c>
      <c r="F1944" s="59">
        <v>42811</v>
      </c>
      <c r="G1944" s="15">
        <f t="shared" si="61"/>
        <v>14854.3</v>
      </c>
      <c r="H1944" s="15">
        <f t="shared" si="62"/>
        <v>0</v>
      </c>
    </row>
    <row r="1945" spans="1:9" ht="15.75" x14ac:dyDescent="0.25">
      <c r="A1945" s="51">
        <v>42811</v>
      </c>
      <c r="B1945" s="52" t="s">
        <v>9749</v>
      </c>
      <c r="C1945" s="18">
        <v>104723</v>
      </c>
      <c r="D1945" s="2" t="s">
        <v>125</v>
      </c>
      <c r="E1945" s="15">
        <v>9122.4</v>
      </c>
      <c r="F1945" s="59">
        <v>42811</v>
      </c>
      <c r="G1945" s="15">
        <f t="shared" si="61"/>
        <v>9122.4</v>
      </c>
      <c r="H1945" s="15">
        <f t="shared" si="62"/>
        <v>0</v>
      </c>
    </row>
    <row r="1946" spans="1:9" ht="15.75" x14ac:dyDescent="0.25">
      <c r="A1946" s="51">
        <v>42811</v>
      </c>
      <c r="B1946" s="52" t="s">
        <v>9750</v>
      </c>
      <c r="C1946" s="18">
        <v>104724</v>
      </c>
      <c r="D1946" s="13" t="s">
        <v>785</v>
      </c>
      <c r="E1946" s="14">
        <v>0</v>
      </c>
      <c r="F1946" s="102" t="s">
        <v>95</v>
      </c>
      <c r="G1946" s="14">
        <f t="shared" si="61"/>
        <v>0</v>
      </c>
      <c r="H1946" s="14">
        <f t="shared" si="62"/>
        <v>0</v>
      </c>
    </row>
    <row r="1947" spans="1:9" ht="15.75" x14ac:dyDescent="0.25">
      <c r="A1947" s="51">
        <v>42811</v>
      </c>
      <c r="B1947" s="52" t="s">
        <v>9751</v>
      </c>
      <c r="C1947" s="18">
        <v>104725</v>
      </c>
      <c r="D1947" s="2" t="s">
        <v>122</v>
      </c>
      <c r="E1947" s="15">
        <v>5966</v>
      </c>
      <c r="F1947" s="59">
        <v>42824</v>
      </c>
      <c r="G1947" s="15">
        <f t="shared" si="61"/>
        <v>5966</v>
      </c>
      <c r="H1947" s="15">
        <f t="shared" si="62"/>
        <v>0</v>
      </c>
    </row>
    <row r="1948" spans="1:9" ht="15.75" x14ac:dyDescent="0.25">
      <c r="A1948" s="51">
        <v>42811</v>
      </c>
      <c r="B1948" s="52" t="s">
        <v>9752</v>
      </c>
      <c r="C1948" s="18">
        <v>104726</v>
      </c>
      <c r="D1948" s="2" t="s">
        <v>773</v>
      </c>
      <c r="E1948" s="15">
        <v>1892.6</v>
      </c>
      <c r="F1948" s="59">
        <v>42811</v>
      </c>
      <c r="G1948" s="15">
        <f t="shared" si="61"/>
        <v>1892.6</v>
      </c>
      <c r="H1948" s="15">
        <f t="shared" si="62"/>
        <v>0</v>
      </c>
    </row>
    <row r="1949" spans="1:9" ht="15.75" x14ac:dyDescent="0.25">
      <c r="A1949" s="51">
        <v>42811</v>
      </c>
      <c r="B1949" s="52" t="s">
        <v>9753</v>
      </c>
      <c r="C1949" s="18">
        <v>104727</v>
      </c>
      <c r="D1949" s="2" t="s">
        <v>9754</v>
      </c>
      <c r="E1949" s="15">
        <v>6282</v>
      </c>
      <c r="F1949" s="59">
        <v>43062</v>
      </c>
      <c r="G1949" s="15">
        <f t="shared" si="61"/>
        <v>6282</v>
      </c>
      <c r="H1949" s="15">
        <f t="shared" si="62"/>
        <v>0</v>
      </c>
    </row>
    <row r="1950" spans="1:9" ht="15.75" x14ac:dyDescent="0.25">
      <c r="A1950" s="51">
        <v>42811</v>
      </c>
      <c r="B1950" s="52" t="s">
        <v>9755</v>
      </c>
      <c r="C1950" s="18">
        <v>104728</v>
      </c>
      <c r="D1950" s="2" t="s">
        <v>222</v>
      </c>
      <c r="E1950" s="15">
        <v>23200</v>
      </c>
      <c r="F1950" s="59">
        <v>42812</v>
      </c>
      <c r="G1950" s="15">
        <f t="shared" si="61"/>
        <v>23200</v>
      </c>
      <c r="H1950" s="15">
        <f t="shared" si="62"/>
        <v>0</v>
      </c>
    </row>
    <row r="1951" spans="1:9" ht="15.75" x14ac:dyDescent="0.25">
      <c r="A1951" s="51">
        <v>42811</v>
      </c>
      <c r="B1951" s="52" t="s">
        <v>9756</v>
      </c>
      <c r="C1951" s="18">
        <v>104729</v>
      </c>
      <c r="D1951" s="2" t="s">
        <v>785</v>
      </c>
      <c r="E1951" s="15">
        <v>12919.2</v>
      </c>
      <c r="F1951" s="59">
        <v>42811</v>
      </c>
      <c r="G1951" s="15">
        <f t="shared" si="61"/>
        <v>12919.2</v>
      </c>
      <c r="H1951" s="15">
        <f t="shared" si="62"/>
        <v>0</v>
      </c>
    </row>
    <row r="1952" spans="1:9" ht="15.75" x14ac:dyDescent="0.25">
      <c r="A1952" s="51">
        <v>42811</v>
      </c>
      <c r="B1952" s="52" t="s">
        <v>9757</v>
      </c>
      <c r="C1952" s="18">
        <v>104730</v>
      </c>
      <c r="D1952" s="2" t="s">
        <v>693</v>
      </c>
      <c r="E1952" s="15">
        <v>9472.56</v>
      </c>
      <c r="F1952" s="59">
        <v>42812</v>
      </c>
      <c r="G1952" s="15">
        <f t="shared" si="61"/>
        <v>9472.56</v>
      </c>
      <c r="H1952" s="15">
        <f t="shared" si="62"/>
        <v>0</v>
      </c>
    </row>
    <row r="1953" spans="1:8" ht="15.75" x14ac:dyDescent="0.25">
      <c r="A1953" s="51">
        <v>42811</v>
      </c>
      <c r="B1953" s="52" t="s">
        <v>9758</v>
      </c>
      <c r="C1953" s="18">
        <v>104731</v>
      </c>
      <c r="D1953" s="2" t="s">
        <v>2986</v>
      </c>
      <c r="E1953" s="15">
        <v>3034.8</v>
      </c>
      <c r="F1953" s="59">
        <v>42812</v>
      </c>
      <c r="G1953" s="15">
        <f t="shared" si="61"/>
        <v>3034.8</v>
      </c>
      <c r="H1953" s="15">
        <f t="shared" si="62"/>
        <v>0</v>
      </c>
    </row>
    <row r="1954" spans="1:8" ht="15.75" x14ac:dyDescent="0.25">
      <c r="A1954" s="51">
        <v>42811</v>
      </c>
      <c r="B1954" s="52" t="s">
        <v>9759</v>
      </c>
      <c r="C1954" s="18">
        <v>104732</v>
      </c>
      <c r="D1954" s="2" t="s">
        <v>188</v>
      </c>
      <c r="E1954" s="15">
        <v>3652.4</v>
      </c>
      <c r="F1954" s="59">
        <v>42812</v>
      </c>
      <c r="G1954" s="15">
        <f t="shared" si="61"/>
        <v>3652.4</v>
      </c>
      <c r="H1954" s="15">
        <f t="shared" si="62"/>
        <v>0</v>
      </c>
    </row>
    <row r="1955" spans="1:8" ht="15.75" x14ac:dyDescent="0.25">
      <c r="A1955" s="51">
        <v>42811</v>
      </c>
      <c r="B1955" s="52" t="s">
        <v>9760</v>
      </c>
      <c r="C1955" s="18">
        <v>104733</v>
      </c>
      <c r="D1955" s="2" t="s">
        <v>30</v>
      </c>
      <c r="E1955" s="15">
        <v>7885.62</v>
      </c>
      <c r="F1955" s="59">
        <v>42812</v>
      </c>
      <c r="G1955" s="15">
        <f t="shared" si="61"/>
        <v>7885.62</v>
      </c>
      <c r="H1955" s="15">
        <f t="shared" si="62"/>
        <v>0</v>
      </c>
    </row>
    <row r="1956" spans="1:8" ht="15.75" x14ac:dyDescent="0.25">
      <c r="A1956" s="51">
        <v>42811</v>
      </c>
      <c r="B1956" s="52" t="s">
        <v>9761</v>
      </c>
      <c r="C1956" s="18">
        <v>104734</v>
      </c>
      <c r="D1956" s="2" t="s">
        <v>3997</v>
      </c>
      <c r="E1956" s="15">
        <v>3993.4</v>
      </c>
      <c r="F1956" s="59">
        <v>42812</v>
      </c>
      <c r="G1956" s="15">
        <f t="shared" si="61"/>
        <v>3993.4</v>
      </c>
      <c r="H1956" s="15">
        <f t="shared" si="62"/>
        <v>0</v>
      </c>
    </row>
    <row r="1957" spans="1:8" ht="15.75" x14ac:dyDescent="0.25">
      <c r="A1957" s="51">
        <v>42811</v>
      </c>
      <c r="B1957" s="52" t="s">
        <v>9762</v>
      </c>
      <c r="C1957" s="18">
        <v>104735</v>
      </c>
      <c r="D1957" s="2" t="s">
        <v>188</v>
      </c>
      <c r="E1957" s="15">
        <v>494</v>
      </c>
      <c r="F1957" s="59">
        <v>42812</v>
      </c>
      <c r="G1957" s="15">
        <f t="shared" si="61"/>
        <v>494</v>
      </c>
      <c r="H1957" s="15">
        <f t="shared" si="62"/>
        <v>0</v>
      </c>
    </row>
    <row r="1958" spans="1:8" ht="15.75" x14ac:dyDescent="0.25">
      <c r="A1958" s="51">
        <v>42811</v>
      </c>
      <c r="B1958" s="52" t="s">
        <v>9763</v>
      </c>
      <c r="C1958" s="18">
        <v>104736</v>
      </c>
      <c r="D1958" s="2" t="s">
        <v>193</v>
      </c>
      <c r="E1958" s="15">
        <v>2425.1999999999998</v>
      </c>
      <c r="F1958" s="59">
        <v>42812</v>
      </c>
      <c r="G1958" s="15">
        <f t="shared" si="61"/>
        <v>2425.1999999999998</v>
      </c>
      <c r="H1958" s="15">
        <f t="shared" si="62"/>
        <v>0</v>
      </c>
    </row>
    <row r="1959" spans="1:8" ht="15.75" x14ac:dyDescent="0.25">
      <c r="A1959" s="51">
        <v>42811</v>
      </c>
      <c r="B1959" s="52" t="s">
        <v>9764</v>
      </c>
      <c r="C1959" s="18">
        <v>104737</v>
      </c>
      <c r="D1959" s="2" t="s">
        <v>63</v>
      </c>
      <c r="E1959" s="15">
        <v>1276.5</v>
      </c>
      <c r="F1959" s="59">
        <v>42812</v>
      </c>
      <c r="G1959" s="15">
        <f t="shared" si="61"/>
        <v>1276.5</v>
      </c>
      <c r="H1959" s="15">
        <f t="shared" si="62"/>
        <v>0</v>
      </c>
    </row>
    <row r="1960" spans="1:8" ht="15.75" x14ac:dyDescent="0.25">
      <c r="A1960" s="51">
        <v>42811</v>
      </c>
      <c r="B1960" s="52" t="s">
        <v>9765</v>
      </c>
      <c r="C1960" s="18">
        <v>104738</v>
      </c>
      <c r="D1960" s="2" t="s">
        <v>184</v>
      </c>
      <c r="E1960" s="15">
        <v>1801.8</v>
      </c>
      <c r="G1960" s="15">
        <f t="shared" si="61"/>
        <v>1801.8</v>
      </c>
      <c r="H1960" s="15">
        <f t="shared" si="62"/>
        <v>0</v>
      </c>
    </row>
    <row r="1961" spans="1:8" ht="15.75" x14ac:dyDescent="0.25">
      <c r="A1961" s="51">
        <v>42811</v>
      </c>
      <c r="B1961" s="52" t="s">
        <v>9766</v>
      </c>
      <c r="C1961" s="18">
        <v>104739</v>
      </c>
      <c r="D1961" s="2" t="s">
        <v>331</v>
      </c>
      <c r="E1961" s="15">
        <v>2634.2</v>
      </c>
      <c r="F1961" s="59">
        <v>42812</v>
      </c>
      <c r="G1961" s="15">
        <f t="shared" si="61"/>
        <v>2634.2</v>
      </c>
      <c r="H1961" s="15">
        <f t="shared" si="62"/>
        <v>0</v>
      </c>
    </row>
    <row r="1962" spans="1:8" ht="15.75" x14ac:dyDescent="0.25">
      <c r="A1962" s="51">
        <v>42811</v>
      </c>
      <c r="B1962" s="52" t="s">
        <v>9767</v>
      </c>
      <c r="C1962" s="18">
        <v>104740</v>
      </c>
      <c r="D1962" s="2" t="s">
        <v>45</v>
      </c>
      <c r="E1962" s="15">
        <v>1531.8</v>
      </c>
      <c r="F1962" s="59">
        <v>42812</v>
      </c>
      <c r="G1962" s="15">
        <f t="shared" si="61"/>
        <v>1531.8</v>
      </c>
      <c r="H1962" s="15">
        <f t="shared" si="62"/>
        <v>0</v>
      </c>
    </row>
    <row r="1963" spans="1:8" ht="15.75" x14ac:dyDescent="0.25">
      <c r="A1963" s="51">
        <v>42811</v>
      </c>
      <c r="B1963" s="52" t="s">
        <v>9768</v>
      </c>
      <c r="C1963" s="18">
        <v>104741</v>
      </c>
      <c r="D1963" s="2" t="s">
        <v>61</v>
      </c>
      <c r="E1963" s="15">
        <v>13288.9</v>
      </c>
      <c r="F1963" s="59">
        <v>42812</v>
      </c>
      <c r="G1963" s="15">
        <f t="shared" si="61"/>
        <v>13288.9</v>
      </c>
      <c r="H1963" s="15">
        <f t="shared" si="62"/>
        <v>0</v>
      </c>
    </row>
    <row r="1964" spans="1:8" ht="15.75" x14ac:dyDescent="0.25">
      <c r="A1964" s="51">
        <v>42811</v>
      </c>
      <c r="B1964" s="52" t="s">
        <v>9769</v>
      </c>
      <c r="C1964" s="18">
        <v>104742</v>
      </c>
      <c r="D1964" s="2" t="s">
        <v>208</v>
      </c>
      <c r="E1964" s="15">
        <v>10432.799999999999</v>
      </c>
      <c r="F1964" s="59">
        <v>42811</v>
      </c>
      <c r="G1964" s="15">
        <f t="shared" si="61"/>
        <v>10432.799999999999</v>
      </c>
      <c r="H1964" s="15">
        <f t="shared" si="62"/>
        <v>0</v>
      </c>
    </row>
    <row r="1965" spans="1:8" ht="15.75" x14ac:dyDescent="0.25">
      <c r="A1965" s="51">
        <v>42811</v>
      </c>
      <c r="B1965" s="52" t="s">
        <v>9770</v>
      </c>
      <c r="C1965" s="18">
        <v>104743</v>
      </c>
      <c r="D1965" s="2" t="s">
        <v>57</v>
      </c>
      <c r="E1965" s="15">
        <v>969.6</v>
      </c>
      <c r="F1965" s="59">
        <v>42812</v>
      </c>
      <c r="G1965" s="15">
        <f t="shared" si="61"/>
        <v>969.6</v>
      </c>
      <c r="H1965" s="15">
        <f t="shared" si="62"/>
        <v>0</v>
      </c>
    </row>
    <row r="1966" spans="1:8" ht="15.75" x14ac:dyDescent="0.25">
      <c r="A1966" s="51">
        <v>42811</v>
      </c>
      <c r="B1966" s="52" t="s">
        <v>9771</v>
      </c>
      <c r="C1966" s="18">
        <v>104744</v>
      </c>
      <c r="D1966" s="2" t="s">
        <v>9772</v>
      </c>
      <c r="E1966" s="15">
        <v>8367.4</v>
      </c>
      <c r="F1966" s="59">
        <v>42812</v>
      </c>
      <c r="G1966" s="15">
        <f t="shared" si="61"/>
        <v>8367.4</v>
      </c>
      <c r="H1966" s="15">
        <f t="shared" si="62"/>
        <v>0</v>
      </c>
    </row>
    <row r="1967" spans="1:8" ht="15.75" x14ac:dyDescent="0.25">
      <c r="A1967" s="51">
        <v>42811</v>
      </c>
      <c r="B1967" s="52" t="s">
        <v>9773</v>
      </c>
      <c r="C1967" s="18">
        <v>104745</v>
      </c>
      <c r="D1967" s="2" t="s">
        <v>182</v>
      </c>
      <c r="E1967" s="15">
        <v>4800</v>
      </c>
      <c r="F1967" s="59">
        <v>42812</v>
      </c>
      <c r="G1967" s="15">
        <f t="shared" si="61"/>
        <v>4800</v>
      </c>
      <c r="H1967" s="15">
        <f t="shared" si="62"/>
        <v>0</v>
      </c>
    </row>
    <row r="1968" spans="1:8" ht="15.75" x14ac:dyDescent="0.25">
      <c r="A1968" s="51">
        <v>42811</v>
      </c>
      <c r="B1968" s="52" t="s">
        <v>9774</v>
      </c>
      <c r="C1968" s="18">
        <v>104746</v>
      </c>
      <c r="D1968" s="2" t="s">
        <v>176</v>
      </c>
      <c r="E1968" s="15">
        <v>7029</v>
      </c>
      <c r="F1968" s="59">
        <v>42811</v>
      </c>
      <c r="G1968" s="15">
        <f t="shared" si="61"/>
        <v>7029</v>
      </c>
      <c r="H1968" s="15">
        <f t="shared" si="62"/>
        <v>0</v>
      </c>
    </row>
    <row r="1969" spans="1:8" ht="15.75" x14ac:dyDescent="0.25">
      <c r="A1969" s="51">
        <v>42811</v>
      </c>
      <c r="B1969" s="52" t="s">
        <v>9775</v>
      </c>
      <c r="C1969" s="18">
        <v>104747</v>
      </c>
      <c r="D1969" s="2" t="s">
        <v>14</v>
      </c>
      <c r="E1969" s="15">
        <v>9554</v>
      </c>
      <c r="F1969" s="59">
        <v>42811</v>
      </c>
      <c r="G1969" s="15">
        <f t="shared" si="61"/>
        <v>9554</v>
      </c>
      <c r="H1969" s="15">
        <f t="shared" si="62"/>
        <v>0</v>
      </c>
    </row>
    <row r="1970" spans="1:8" ht="15.75" x14ac:dyDescent="0.25">
      <c r="A1970" s="51">
        <v>42811</v>
      </c>
      <c r="B1970" s="52" t="s">
        <v>9776</v>
      </c>
      <c r="C1970" s="18">
        <v>104748</v>
      </c>
      <c r="D1970" s="2" t="s">
        <v>155</v>
      </c>
      <c r="E1970" s="15">
        <v>17136</v>
      </c>
      <c r="F1970" s="59">
        <v>42815</v>
      </c>
      <c r="G1970" s="15">
        <f t="shared" si="61"/>
        <v>17136</v>
      </c>
      <c r="H1970" s="15">
        <f t="shared" si="62"/>
        <v>0</v>
      </c>
    </row>
    <row r="1971" spans="1:8" ht="15.75" x14ac:dyDescent="0.25">
      <c r="A1971" s="51">
        <v>42811</v>
      </c>
      <c r="B1971" s="52" t="s">
        <v>9777</v>
      </c>
      <c r="C1971" s="18">
        <v>104749</v>
      </c>
      <c r="D1971" s="2" t="s">
        <v>155</v>
      </c>
      <c r="E1971" s="15">
        <v>7900.8</v>
      </c>
      <c r="F1971" s="59">
        <v>42812</v>
      </c>
      <c r="G1971" s="15">
        <f t="shared" si="61"/>
        <v>7900.8</v>
      </c>
      <c r="H1971" s="15">
        <f t="shared" si="62"/>
        <v>0</v>
      </c>
    </row>
    <row r="1972" spans="1:8" ht="15.75" x14ac:dyDescent="0.25">
      <c r="A1972" s="51">
        <v>42811</v>
      </c>
      <c r="B1972" s="52" t="s">
        <v>9778</v>
      </c>
      <c r="C1972" s="18">
        <v>104750</v>
      </c>
      <c r="D1972" s="2" t="s">
        <v>30</v>
      </c>
      <c r="E1972" s="15">
        <v>1298.5999999999999</v>
      </c>
      <c r="F1972" s="59">
        <v>42812</v>
      </c>
      <c r="G1972" s="15">
        <f t="shared" si="61"/>
        <v>1298.5999999999999</v>
      </c>
      <c r="H1972" s="15">
        <f t="shared" si="62"/>
        <v>0</v>
      </c>
    </row>
    <row r="1973" spans="1:8" ht="15.75" x14ac:dyDescent="0.25">
      <c r="A1973" s="51">
        <v>42811</v>
      </c>
      <c r="B1973" s="52" t="s">
        <v>9779</v>
      </c>
      <c r="C1973" s="18">
        <v>104751</v>
      </c>
      <c r="D1973" s="2" t="s">
        <v>145</v>
      </c>
      <c r="E1973" s="15">
        <v>18069.599999999999</v>
      </c>
      <c r="F1973" s="59">
        <v>42812</v>
      </c>
      <c r="G1973" s="15">
        <f t="shared" si="61"/>
        <v>18069.599999999999</v>
      </c>
      <c r="H1973" s="15">
        <f t="shared" si="62"/>
        <v>0</v>
      </c>
    </row>
    <row r="1974" spans="1:8" ht="15.75" x14ac:dyDescent="0.25">
      <c r="A1974" s="51">
        <v>42811</v>
      </c>
      <c r="B1974" s="52" t="s">
        <v>9780</v>
      </c>
      <c r="C1974" s="18">
        <v>104752</v>
      </c>
      <c r="D1974" s="2" t="s">
        <v>1325</v>
      </c>
      <c r="E1974" s="15">
        <v>4364</v>
      </c>
      <c r="F1974" s="59">
        <v>42811</v>
      </c>
      <c r="G1974" s="15">
        <f t="shared" si="61"/>
        <v>4364</v>
      </c>
      <c r="H1974" s="15">
        <f t="shared" si="62"/>
        <v>0</v>
      </c>
    </row>
    <row r="1975" spans="1:8" ht="15.75" x14ac:dyDescent="0.25">
      <c r="A1975" s="51">
        <v>42811</v>
      </c>
      <c r="B1975" s="52" t="s">
        <v>9781</v>
      </c>
      <c r="C1975" s="18">
        <v>104753</v>
      </c>
      <c r="D1975" s="13" t="s">
        <v>528</v>
      </c>
      <c r="E1975" s="14">
        <v>0</v>
      </c>
      <c r="F1975" s="102" t="s">
        <v>95</v>
      </c>
      <c r="G1975" s="14">
        <f t="shared" si="61"/>
        <v>0</v>
      </c>
      <c r="H1975" s="14">
        <f t="shared" si="62"/>
        <v>0</v>
      </c>
    </row>
    <row r="1976" spans="1:8" ht="15.75" x14ac:dyDescent="0.25">
      <c r="A1976" s="51">
        <v>42811</v>
      </c>
      <c r="B1976" s="52" t="s">
        <v>9782</v>
      </c>
      <c r="C1976" s="18">
        <v>104754</v>
      </c>
      <c r="D1976" s="2" t="s">
        <v>2704</v>
      </c>
      <c r="E1976" s="15">
        <v>17591</v>
      </c>
      <c r="F1976" s="59">
        <v>42812</v>
      </c>
      <c r="G1976" s="15">
        <f t="shared" si="61"/>
        <v>17591</v>
      </c>
      <c r="H1976" s="15">
        <f t="shared" si="62"/>
        <v>0</v>
      </c>
    </row>
    <row r="1977" spans="1:8" ht="15.75" x14ac:dyDescent="0.25">
      <c r="A1977" s="51">
        <v>42811</v>
      </c>
      <c r="B1977" s="52" t="s">
        <v>9783</v>
      </c>
      <c r="C1977" s="18">
        <v>104755</v>
      </c>
      <c r="D1977" s="2" t="s">
        <v>35</v>
      </c>
      <c r="E1977" s="15">
        <v>2783.2</v>
      </c>
      <c r="F1977" s="59">
        <v>43062</v>
      </c>
      <c r="G1977" s="15">
        <f t="shared" si="61"/>
        <v>2783.2</v>
      </c>
      <c r="H1977" s="15">
        <f t="shared" si="62"/>
        <v>0</v>
      </c>
    </row>
    <row r="1978" spans="1:8" ht="15.75" x14ac:dyDescent="0.25">
      <c r="A1978" s="51">
        <v>42811</v>
      </c>
      <c r="B1978" s="52" t="s">
        <v>9784</v>
      </c>
      <c r="C1978" s="18">
        <v>104756</v>
      </c>
      <c r="D1978" s="2" t="s">
        <v>30</v>
      </c>
      <c r="E1978" s="15">
        <v>2160</v>
      </c>
      <c r="F1978" s="59">
        <v>42811</v>
      </c>
      <c r="G1978" s="15">
        <f t="shared" si="61"/>
        <v>2160</v>
      </c>
      <c r="H1978" s="15">
        <f t="shared" si="62"/>
        <v>0</v>
      </c>
    </row>
    <row r="1979" spans="1:8" ht="15.75" x14ac:dyDescent="0.25">
      <c r="A1979" s="51">
        <v>42811</v>
      </c>
      <c r="B1979" s="52" t="s">
        <v>9785</v>
      </c>
      <c r="C1979" s="18">
        <v>104757</v>
      </c>
      <c r="D1979" s="2" t="s">
        <v>6055</v>
      </c>
      <c r="E1979" s="15">
        <v>3930.12</v>
      </c>
      <c r="F1979" s="59">
        <v>42811</v>
      </c>
      <c r="G1979" s="15">
        <f t="shared" si="61"/>
        <v>3930.12</v>
      </c>
      <c r="H1979" s="15">
        <f t="shared" si="62"/>
        <v>0</v>
      </c>
    </row>
    <row r="1980" spans="1:8" ht="15.75" x14ac:dyDescent="0.25">
      <c r="A1980" s="51">
        <v>42811</v>
      </c>
      <c r="B1980" s="52" t="s">
        <v>9786</v>
      </c>
      <c r="C1980" s="18">
        <v>104758</v>
      </c>
      <c r="D1980" s="2" t="s">
        <v>6055</v>
      </c>
      <c r="E1980" s="15">
        <v>1339.2</v>
      </c>
      <c r="F1980" s="59">
        <v>42811</v>
      </c>
      <c r="G1980" s="15">
        <f t="shared" si="61"/>
        <v>1339.2</v>
      </c>
      <c r="H1980" s="15">
        <f t="shared" si="62"/>
        <v>0</v>
      </c>
    </row>
    <row r="1981" spans="1:8" ht="15.75" x14ac:dyDescent="0.25">
      <c r="A1981" s="51">
        <v>42811</v>
      </c>
      <c r="B1981" s="52" t="s">
        <v>9787</v>
      </c>
      <c r="C1981" s="18">
        <v>104759</v>
      </c>
      <c r="D1981" s="2" t="s">
        <v>329</v>
      </c>
      <c r="E1981" s="15">
        <v>442</v>
      </c>
      <c r="F1981" s="59">
        <v>42811</v>
      </c>
      <c r="G1981" s="15">
        <f t="shared" si="61"/>
        <v>442</v>
      </c>
      <c r="H1981" s="15">
        <f t="shared" si="62"/>
        <v>0</v>
      </c>
    </row>
    <row r="1982" spans="1:8" ht="15.75" x14ac:dyDescent="0.25">
      <c r="A1982" s="51">
        <v>42811</v>
      </c>
      <c r="B1982" s="52" t="s">
        <v>9788</v>
      </c>
      <c r="C1982" s="18">
        <v>104760</v>
      </c>
      <c r="D1982" s="2" t="s">
        <v>8</v>
      </c>
      <c r="E1982" s="15">
        <v>5557.4</v>
      </c>
      <c r="F1982" s="59">
        <v>42811</v>
      </c>
      <c r="G1982" s="15">
        <f t="shared" si="61"/>
        <v>5557.4</v>
      </c>
      <c r="H1982" s="15">
        <f t="shared" si="62"/>
        <v>0</v>
      </c>
    </row>
    <row r="1983" spans="1:8" ht="15.75" x14ac:dyDescent="0.25">
      <c r="A1983" s="51">
        <v>42811</v>
      </c>
      <c r="B1983" s="52" t="s">
        <v>9789</v>
      </c>
      <c r="C1983" s="18">
        <v>104761</v>
      </c>
      <c r="D1983" s="2" t="s">
        <v>426</v>
      </c>
      <c r="E1983" s="15">
        <v>17845.2</v>
      </c>
      <c r="F1983" s="59">
        <v>42816</v>
      </c>
      <c r="G1983" s="15">
        <f t="shared" si="61"/>
        <v>17845.2</v>
      </c>
      <c r="H1983" s="15">
        <f t="shared" si="62"/>
        <v>0</v>
      </c>
    </row>
    <row r="1984" spans="1:8" ht="15.75" x14ac:dyDescent="0.25">
      <c r="A1984" s="51">
        <v>42811</v>
      </c>
      <c r="B1984" s="52" t="s">
        <v>9790</v>
      </c>
      <c r="C1984" s="18">
        <v>104762</v>
      </c>
      <c r="D1984" s="2" t="s">
        <v>205</v>
      </c>
      <c r="E1984" s="15">
        <v>104141.14</v>
      </c>
      <c r="F1984" s="59">
        <v>42845</v>
      </c>
      <c r="G1984" s="15">
        <f t="shared" si="61"/>
        <v>104141.14</v>
      </c>
      <c r="H1984" s="15">
        <f t="shared" si="62"/>
        <v>0</v>
      </c>
    </row>
    <row r="1985" spans="1:8" ht="15.75" x14ac:dyDescent="0.25">
      <c r="A1985" s="51">
        <v>42811</v>
      </c>
      <c r="B1985" s="52" t="s">
        <v>9791</v>
      </c>
      <c r="C1985" s="18">
        <v>104763</v>
      </c>
      <c r="D1985" s="2" t="s">
        <v>806</v>
      </c>
      <c r="E1985" s="15">
        <v>3181</v>
      </c>
      <c r="F1985" s="59">
        <v>42811</v>
      </c>
      <c r="G1985" s="15">
        <f t="shared" si="61"/>
        <v>3181</v>
      </c>
      <c r="H1985" s="15">
        <f t="shared" si="62"/>
        <v>0</v>
      </c>
    </row>
    <row r="1986" spans="1:8" ht="15.75" x14ac:dyDescent="0.25">
      <c r="A1986" s="51">
        <v>42811</v>
      </c>
      <c r="B1986" s="52" t="s">
        <v>9792</v>
      </c>
      <c r="C1986" s="18">
        <v>104764</v>
      </c>
      <c r="D1986" s="2" t="s">
        <v>161</v>
      </c>
      <c r="E1986" s="15">
        <v>42210.6</v>
      </c>
      <c r="F1986" s="59">
        <v>42818</v>
      </c>
      <c r="G1986" s="15">
        <f t="shared" si="61"/>
        <v>42210.6</v>
      </c>
      <c r="H1986" s="15">
        <f t="shared" si="62"/>
        <v>0</v>
      </c>
    </row>
    <row r="1987" spans="1:8" ht="15.75" x14ac:dyDescent="0.25">
      <c r="A1987" s="51">
        <v>42811</v>
      </c>
      <c r="B1987" s="52" t="s">
        <v>9793</v>
      </c>
      <c r="C1987" s="18">
        <v>104765</v>
      </c>
      <c r="D1987" s="2" t="s">
        <v>165</v>
      </c>
      <c r="E1987" s="15">
        <v>7620.7</v>
      </c>
      <c r="F1987" s="59">
        <v>42833</v>
      </c>
      <c r="G1987" s="15">
        <f t="shared" si="61"/>
        <v>7620.7</v>
      </c>
      <c r="H1987" s="15">
        <f t="shared" si="62"/>
        <v>0</v>
      </c>
    </row>
    <row r="1988" spans="1:8" ht="15.75" x14ac:dyDescent="0.25">
      <c r="A1988" s="51">
        <v>42811</v>
      </c>
      <c r="B1988" s="52" t="s">
        <v>9794</v>
      </c>
      <c r="C1988" s="18">
        <v>104766</v>
      </c>
      <c r="D1988" s="2" t="s">
        <v>163</v>
      </c>
      <c r="E1988" s="15">
        <v>16712.3</v>
      </c>
      <c r="F1988" s="59">
        <v>42826</v>
      </c>
      <c r="G1988" s="15">
        <f t="shared" ref="G1988:G2051" si="63">E1988</f>
        <v>16712.3</v>
      </c>
      <c r="H1988" s="15">
        <f t="shared" ref="H1988:H2051" si="64">E1988-G1988</f>
        <v>0</v>
      </c>
    </row>
    <row r="1989" spans="1:8" ht="15.75" x14ac:dyDescent="0.25">
      <c r="A1989" s="51">
        <v>42811</v>
      </c>
      <c r="B1989" s="52" t="s">
        <v>9795</v>
      </c>
      <c r="C1989" s="18">
        <v>104767</v>
      </c>
      <c r="D1989" s="13" t="s">
        <v>172</v>
      </c>
      <c r="E1989" s="14">
        <v>0</v>
      </c>
      <c r="F1989" s="102" t="s">
        <v>95</v>
      </c>
      <c r="G1989" s="14">
        <f t="shared" si="63"/>
        <v>0</v>
      </c>
      <c r="H1989" s="14">
        <f t="shared" si="64"/>
        <v>0</v>
      </c>
    </row>
    <row r="1990" spans="1:8" ht="15.75" x14ac:dyDescent="0.25">
      <c r="A1990" s="51">
        <v>42811</v>
      </c>
      <c r="B1990" s="52" t="s">
        <v>9796</v>
      </c>
      <c r="C1990" s="18">
        <v>104768</v>
      </c>
      <c r="D1990" s="2" t="s">
        <v>133</v>
      </c>
      <c r="E1990" s="15">
        <v>3938</v>
      </c>
      <c r="F1990" s="59">
        <v>42811</v>
      </c>
      <c r="G1990" s="15">
        <f t="shared" si="63"/>
        <v>3938</v>
      </c>
      <c r="H1990" s="15">
        <f t="shared" si="64"/>
        <v>0</v>
      </c>
    </row>
    <row r="1991" spans="1:8" ht="15.75" x14ac:dyDescent="0.25">
      <c r="A1991" s="51">
        <v>42811</v>
      </c>
      <c r="B1991" s="52" t="s">
        <v>9797</v>
      </c>
      <c r="C1991" s="18">
        <v>104769</v>
      </c>
      <c r="D1991" s="2" t="s">
        <v>172</v>
      </c>
      <c r="E1991" s="15">
        <v>6903</v>
      </c>
      <c r="F1991" s="59">
        <v>42818</v>
      </c>
      <c r="G1991" s="15">
        <f t="shared" si="63"/>
        <v>6903</v>
      </c>
      <c r="H1991" s="15">
        <f t="shared" si="64"/>
        <v>0</v>
      </c>
    </row>
    <row r="1992" spans="1:8" ht="15.75" x14ac:dyDescent="0.25">
      <c r="A1992" s="51">
        <v>42811</v>
      </c>
      <c r="B1992" s="52" t="s">
        <v>9798</v>
      </c>
      <c r="C1992" s="18">
        <v>104770</v>
      </c>
      <c r="D1992" s="2" t="s">
        <v>352</v>
      </c>
      <c r="E1992" s="15">
        <v>2626.4</v>
      </c>
      <c r="F1992" s="59">
        <v>42811</v>
      </c>
      <c r="G1992" s="15">
        <f t="shared" si="63"/>
        <v>2626.4</v>
      </c>
      <c r="H1992" s="15">
        <f t="shared" si="64"/>
        <v>0</v>
      </c>
    </row>
    <row r="1993" spans="1:8" ht="15.75" x14ac:dyDescent="0.25">
      <c r="A1993" s="51">
        <v>42811</v>
      </c>
      <c r="B1993" s="52" t="s">
        <v>9799</v>
      </c>
      <c r="C1993" s="18">
        <v>104771</v>
      </c>
      <c r="D1993" s="2" t="s">
        <v>422</v>
      </c>
      <c r="E1993" s="15">
        <v>2462.4</v>
      </c>
      <c r="F1993" s="59">
        <v>42811</v>
      </c>
      <c r="G1993" s="15">
        <f t="shared" si="63"/>
        <v>2462.4</v>
      </c>
      <c r="H1993" s="15">
        <f t="shared" si="64"/>
        <v>0</v>
      </c>
    </row>
    <row r="1994" spans="1:8" ht="15.75" x14ac:dyDescent="0.25">
      <c r="A1994" s="51">
        <v>42811</v>
      </c>
      <c r="B1994" s="52" t="s">
        <v>9800</v>
      </c>
      <c r="C1994" s="18">
        <v>104772</v>
      </c>
      <c r="D1994" s="2" t="s">
        <v>3319</v>
      </c>
      <c r="E1994" s="15">
        <v>16200</v>
      </c>
      <c r="F1994" s="59">
        <v>42812</v>
      </c>
      <c r="G1994" s="15">
        <f t="shared" si="63"/>
        <v>16200</v>
      </c>
      <c r="H1994" s="15">
        <f t="shared" si="64"/>
        <v>0</v>
      </c>
    </row>
    <row r="1995" spans="1:8" ht="15.75" x14ac:dyDescent="0.25">
      <c r="A1995" s="51">
        <v>42811</v>
      </c>
      <c r="B1995" s="52" t="s">
        <v>9801</v>
      </c>
      <c r="C1995" s="18">
        <v>104773</v>
      </c>
      <c r="D1995" s="2" t="s">
        <v>250</v>
      </c>
      <c r="E1995" s="15">
        <v>560</v>
      </c>
      <c r="F1995" s="59">
        <v>42812</v>
      </c>
      <c r="G1995" s="15">
        <f t="shared" si="63"/>
        <v>560</v>
      </c>
      <c r="H1995" s="15">
        <f t="shared" si="64"/>
        <v>0</v>
      </c>
    </row>
    <row r="1996" spans="1:8" ht="15.75" x14ac:dyDescent="0.25">
      <c r="A1996" s="51">
        <v>42811</v>
      </c>
      <c r="B1996" s="52" t="s">
        <v>9802</v>
      </c>
      <c r="C1996" s="18">
        <v>104774</v>
      </c>
      <c r="D1996" s="2" t="s">
        <v>1380</v>
      </c>
      <c r="E1996" s="15">
        <v>34138.129999999997</v>
      </c>
      <c r="F1996" s="59">
        <v>42812</v>
      </c>
      <c r="G1996" s="15">
        <f t="shared" si="63"/>
        <v>34138.129999999997</v>
      </c>
      <c r="H1996" s="15">
        <f t="shared" si="64"/>
        <v>0</v>
      </c>
    </row>
    <row r="1997" spans="1:8" ht="15.75" x14ac:dyDescent="0.25">
      <c r="A1997" s="51">
        <v>42811</v>
      </c>
      <c r="B1997" s="52" t="s">
        <v>9803</v>
      </c>
      <c r="C1997" s="18">
        <v>104775</v>
      </c>
      <c r="D1997" s="2" t="s">
        <v>10</v>
      </c>
      <c r="E1997" s="15">
        <v>266615.2</v>
      </c>
      <c r="F1997" s="59">
        <v>42815</v>
      </c>
      <c r="G1997" s="15">
        <f t="shared" si="63"/>
        <v>266615.2</v>
      </c>
      <c r="H1997" s="15">
        <f t="shared" si="64"/>
        <v>0</v>
      </c>
    </row>
    <row r="1998" spans="1:8" ht="15.75" x14ac:dyDescent="0.25">
      <c r="A1998" s="51">
        <v>42811</v>
      </c>
      <c r="B1998" s="52" t="s">
        <v>9804</v>
      </c>
      <c r="C1998" s="18">
        <v>104776</v>
      </c>
      <c r="D1998" s="2" t="s">
        <v>10</v>
      </c>
      <c r="E1998" s="15">
        <v>94505.25</v>
      </c>
      <c r="F1998" s="59">
        <v>42815</v>
      </c>
      <c r="G1998" s="15">
        <f t="shared" si="63"/>
        <v>94505.25</v>
      </c>
      <c r="H1998" s="15">
        <f t="shared" si="64"/>
        <v>0</v>
      </c>
    </row>
    <row r="1999" spans="1:8" ht="15.75" x14ac:dyDescent="0.25">
      <c r="A1999" s="51">
        <v>42811</v>
      </c>
      <c r="B1999" s="52" t="s">
        <v>9805</v>
      </c>
      <c r="C1999" s="18">
        <v>104777</v>
      </c>
      <c r="D1999" s="2" t="s">
        <v>379</v>
      </c>
      <c r="E1999" s="15">
        <v>3672</v>
      </c>
      <c r="F1999" s="59">
        <v>42818</v>
      </c>
      <c r="G1999" s="15">
        <f t="shared" si="63"/>
        <v>3672</v>
      </c>
      <c r="H1999" s="15">
        <f t="shared" si="64"/>
        <v>0</v>
      </c>
    </row>
    <row r="2000" spans="1:8" ht="15.75" x14ac:dyDescent="0.25">
      <c r="A2000" s="51">
        <v>42811</v>
      </c>
      <c r="B2000" s="52" t="s">
        <v>9806</v>
      </c>
      <c r="C2000" s="18">
        <v>104778</v>
      </c>
      <c r="D2000" s="2" t="s">
        <v>866</v>
      </c>
      <c r="E2000" s="15">
        <v>6042.9</v>
      </c>
      <c r="F2000" s="59">
        <v>42811</v>
      </c>
      <c r="G2000" s="15">
        <f t="shared" si="63"/>
        <v>6042.9</v>
      </c>
      <c r="H2000" s="15">
        <f t="shared" si="64"/>
        <v>0</v>
      </c>
    </row>
    <row r="2001" spans="1:8" ht="15.75" x14ac:dyDescent="0.25">
      <c r="A2001" s="51">
        <v>42811</v>
      </c>
      <c r="B2001" s="52" t="s">
        <v>9807</v>
      </c>
      <c r="C2001" s="18">
        <v>104779</v>
      </c>
      <c r="D2001" s="2" t="s">
        <v>457</v>
      </c>
      <c r="E2001" s="15">
        <v>750</v>
      </c>
      <c r="F2001" s="59">
        <v>42811</v>
      </c>
      <c r="G2001" s="15">
        <f t="shared" si="63"/>
        <v>750</v>
      </c>
      <c r="H2001" s="15">
        <f t="shared" si="64"/>
        <v>0</v>
      </c>
    </row>
    <row r="2002" spans="1:8" ht="15.75" x14ac:dyDescent="0.25">
      <c r="A2002" s="51">
        <v>42811</v>
      </c>
      <c r="B2002" s="52" t="s">
        <v>9808</v>
      </c>
      <c r="C2002" s="18">
        <v>104780</v>
      </c>
      <c r="D2002" s="2" t="s">
        <v>5352</v>
      </c>
      <c r="E2002" s="15">
        <v>16878.400000000001</v>
      </c>
      <c r="F2002" s="59">
        <v>42811</v>
      </c>
      <c r="G2002" s="15">
        <f t="shared" si="63"/>
        <v>16878.400000000001</v>
      </c>
      <c r="H2002" s="15">
        <f t="shared" si="64"/>
        <v>0</v>
      </c>
    </row>
    <row r="2003" spans="1:8" ht="15.75" x14ac:dyDescent="0.25">
      <c r="A2003" s="51">
        <v>42811</v>
      </c>
      <c r="B2003" s="52" t="s">
        <v>9809</v>
      </c>
      <c r="C2003" s="18">
        <v>104781</v>
      </c>
      <c r="D2003" s="2" t="s">
        <v>211</v>
      </c>
      <c r="E2003" s="15">
        <v>8421.7999999999993</v>
      </c>
      <c r="F2003" s="59">
        <v>42811</v>
      </c>
      <c r="G2003" s="15">
        <f t="shared" si="63"/>
        <v>8421.7999999999993</v>
      </c>
      <c r="H2003" s="15">
        <f t="shared" si="64"/>
        <v>0</v>
      </c>
    </row>
    <row r="2004" spans="1:8" ht="15.75" x14ac:dyDescent="0.25">
      <c r="A2004" s="51">
        <v>42811</v>
      </c>
      <c r="B2004" s="52" t="s">
        <v>9810</v>
      </c>
      <c r="C2004" s="18">
        <v>104782</v>
      </c>
      <c r="D2004" s="2" t="s">
        <v>205</v>
      </c>
      <c r="E2004" s="15">
        <v>17270.5</v>
      </c>
      <c r="F2004" s="59">
        <v>42847</v>
      </c>
      <c r="G2004" s="15">
        <f t="shared" si="63"/>
        <v>17270.5</v>
      </c>
      <c r="H2004" s="15">
        <f t="shared" si="64"/>
        <v>0</v>
      </c>
    </row>
    <row r="2005" spans="1:8" ht="15.75" x14ac:dyDescent="0.25">
      <c r="A2005" s="51">
        <v>42811</v>
      </c>
      <c r="B2005" s="52" t="s">
        <v>9811</v>
      </c>
      <c r="C2005" s="18">
        <v>104783</v>
      </c>
      <c r="D2005" s="2" t="s">
        <v>220</v>
      </c>
      <c r="E2005" s="15">
        <v>2017.6</v>
      </c>
      <c r="F2005" s="59">
        <v>42811</v>
      </c>
      <c r="G2005" s="15">
        <f t="shared" si="63"/>
        <v>2017.6</v>
      </c>
      <c r="H2005" s="15">
        <f t="shared" si="64"/>
        <v>0</v>
      </c>
    </row>
    <row r="2006" spans="1:8" ht="15.75" x14ac:dyDescent="0.25">
      <c r="A2006" s="51">
        <v>42812</v>
      </c>
      <c r="B2006" s="52" t="s">
        <v>9812</v>
      </c>
      <c r="C2006" s="18">
        <v>104784</v>
      </c>
      <c r="D2006" s="2" t="s">
        <v>71</v>
      </c>
      <c r="E2006" s="15">
        <v>2492</v>
      </c>
      <c r="F2006" s="59">
        <v>42812</v>
      </c>
      <c r="G2006" s="15">
        <f t="shared" si="63"/>
        <v>2492</v>
      </c>
      <c r="H2006" s="15">
        <f t="shared" si="64"/>
        <v>0</v>
      </c>
    </row>
    <row r="2007" spans="1:8" ht="15.75" x14ac:dyDescent="0.25">
      <c r="A2007" s="51">
        <v>42812</v>
      </c>
      <c r="B2007" s="52" t="s">
        <v>9813</v>
      </c>
      <c r="C2007" s="18">
        <v>104785</v>
      </c>
      <c r="D2007" s="2" t="s">
        <v>231</v>
      </c>
      <c r="E2007" s="15">
        <v>9148.1</v>
      </c>
      <c r="G2007" s="15">
        <f t="shared" si="63"/>
        <v>9148.1</v>
      </c>
      <c r="H2007" s="15">
        <f t="shared" si="64"/>
        <v>0</v>
      </c>
    </row>
    <row r="2008" spans="1:8" ht="15.75" x14ac:dyDescent="0.25">
      <c r="A2008" s="51">
        <v>42812</v>
      </c>
      <c r="B2008" s="52" t="s">
        <v>9814</v>
      </c>
      <c r="C2008" s="18">
        <v>104786</v>
      </c>
      <c r="D2008" s="2" t="s">
        <v>55</v>
      </c>
      <c r="E2008" s="15">
        <v>6440</v>
      </c>
      <c r="F2008" s="59">
        <v>42812</v>
      </c>
      <c r="G2008" s="15">
        <f t="shared" si="63"/>
        <v>6440</v>
      </c>
      <c r="H2008" s="15">
        <f t="shared" si="64"/>
        <v>0</v>
      </c>
    </row>
    <row r="2009" spans="1:8" ht="15.75" x14ac:dyDescent="0.25">
      <c r="A2009" s="51">
        <v>42812</v>
      </c>
      <c r="B2009" s="52" t="s">
        <v>9815</v>
      </c>
      <c r="C2009" s="18">
        <v>104787</v>
      </c>
      <c r="D2009" s="2" t="s">
        <v>28</v>
      </c>
      <c r="E2009" s="15">
        <v>4540.8</v>
      </c>
      <c r="F2009" s="59">
        <v>42812</v>
      </c>
      <c r="G2009" s="15">
        <f t="shared" si="63"/>
        <v>4540.8</v>
      </c>
      <c r="H2009" s="15">
        <f t="shared" si="64"/>
        <v>0</v>
      </c>
    </row>
    <row r="2010" spans="1:8" ht="15.75" x14ac:dyDescent="0.25">
      <c r="A2010" s="51">
        <v>42812</v>
      </c>
      <c r="B2010" s="52" t="s">
        <v>9816</v>
      </c>
      <c r="C2010" s="18">
        <v>104788</v>
      </c>
      <c r="D2010" s="2" t="s">
        <v>17</v>
      </c>
      <c r="E2010" s="15">
        <v>5280</v>
      </c>
      <c r="F2010" s="59">
        <v>42812</v>
      </c>
      <c r="G2010" s="15">
        <f t="shared" si="63"/>
        <v>5280</v>
      </c>
      <c r="H2010" s="15">
        <f t="shared" si="64"/>
        <v>0</v>
      </c>
    </row>
    <row r="2011" spans="1:8" ht="15.75" x14ac:dyDescent="0.25">
      <c r="A2011" s="51">
        <v>42812</v>
      </c>
      <c r="B2011" s="52" t="s">
        <v>9817</v>
      </c>
      <c r="C2011" s="18">
        <v>104789</v>
      </c>
      <c r="D2011" s="2" t="s">
        <v>26</v>
      </c>
      <c r="E2011" s="15">
        <v>26986.5</v>
      </c>
      <c r="F2011" s="59">
        <v>42812</v>
      </c>
      <c r="G2011" s="15">
        <f t="shared" si="63"/>
        <v>26986.5</v>
      </c>
      <c r="H2011" s="15">
        <f t="shared" si="64"/>
        <v>0</v>
      </c>
    </row>
    <row r="2012" spans="1:8" ht="15.75" x14ac:dyDescent="0.25">
      <c r="A2012" s="51">
        <v>42812</v>
      </c>
      <c r="B2012" s="52" t="s">
        <v>9818</v>
      </c>
      <c r="C2012" s="18">
        <v>104790</v>
      </c>
      <c r="D2012" s="13" t="s">
        <v>231</v>
      </c>
      <c r="E2012" s="14">
        <v>0</v>
      </c>
      <c r="F2012" s="102" t="s">
        <v>95</v>
      </c>
      <c r="G2012" s="14">
        <f t="shared" si="63"/>
        <v>0</v>
      </c>
      <c r="H2012" s="14">
        <f t="shared" si="64"/>
        <v>0</v>
      </c>
    </row>
    <row r="2013" spans="1:8" ht="15.75" x14ac:dyDescent="0.25">
      <c r="A2013" s="51">
        <v>42812</v>
      </c>
      <c r="B2013" s="52" t="s">
        <v>9819</v>
      </c>
      <c r="C2013" s="18">
        <v>104791</v>
      </c>
      <c r="D2013" s="2" t="s">
        <v>21</v>
      </c>
      <c r="E2013" s="15">
        <v>45073.599999999999</v>
      </c>
      <c r="F2013" s="59">
        <v>42825</v>
      </c>
      <c r="G2013" s="15">
        <f t="shared" si="63"/>
        <v>45073.599999999999</v>
      </c>
      <c r="H2013" s="15">
        <f t="shared" si="64"/>
        <v>0</v>
      </c>
    </row>
    <row r="2014" spans="1:8" ht="15.75" x14ac:dyDescent="0.25">
      <c r="A2014" s="51">
        <v>42812</v>
      </c>
      <c r="B2014" s="52" t="s">
        <v>9820</v>
      </c>
      <c r="C2014" s="18">
        <v>104792</v>
      </c>
      <c r="D2014" s="13" t="s">
        <v>231</v>
      </c>
      <c r="E2014" s="14">
        <v>0</v>
      </c>
      <c r="F2014" s="102" t="s">
        <v>95</v>
      </c>
      <c r="G2014" s="14">
        <f t="shared" si="63"/>
        <v>0</v>
      </c>
      <c r="H2014" s="14">
        <f t="shared" si="64"/>
        <v>0</v>
      </c>
    </row>
    <row r="2015" spans="1:8" ht="15.75" x14ac:dyDescent="0.25">
      <c r="A2015" s="51">
        <v>42812</v>
      </c>
      <c r="B2015" s="52" t="s">
        <v>9821</v>
      </c>
      <c r="C2015" s="18">
        <v>104793</v>
      </c>
      <c r="D2015" s="13" t="s">
        <v>35</v>
      </c>
      <c r="E2015" s="14">
        <v>0</v>
      </c>
      <c r="F2015" s="102" t="s">
        <v>95</v>
      </c>
      <c r="G2015" s="14">
        <f t="shared" si="63"/>
        <v>0</v>
      </c>
      <c r="H2015" s="14">
        <f t="shared" si="64"/>
        <v>0</v>
      </c>
    </row>
    <row r="2016" spans="1:8" ht="15.75" x14ac:dyDescent="0.25">
      <c r="A2016" s="51">
        <v>42812</v>
      </c>
      <c r="B2016" s="52" t="s">
        <v>9822</v>
      </c>
      <c r="C2016" s="18">
        <v>104794</v>
      </c>
      <c r="D2016" s="2" t="s">
        <v>1786</v>
      </c>
      <c r="E2016" s="15">
        <v>9201.6</v>
      </c>
      <c r="F2016" s="59">
        <v>42812</v>
      </c>
      <c r="G2016" s="15">
        <f t="shared" si="63"/>
        <v>9201.6</v>
      </c>
      <c r="H2016" s="15">
        <f t="shared" si="64"/>
        <v>0</v>
      </c>
    </row>
    <row r="2017" spans="1:8" ht="15.75" x14ac:dyDescent="0.25">
      <c r="A2017" s="51">
        <v>42812</v>
      </c>
      <c r="B2017" s="52" t="s">
        <v>9823</v>
      </c>
      <c r="C2017" s="18">
        <v>104795</v>
      </c>
      <c r="D2017" s="2" t="s">
        <v>32</v>
      </c>
      <c r="E2017" s="15">
        <v>15919</v>
      </c>
      <c r="F2017" s="59">
        <v>43062</v>
      </c>
      <c r="G2017" s="15">
        <f t="shared" si="63"/>
        <v>15919</v>
      </c>
      <c r="H2017" s="15">
        <f t="shared" si="64"/>
        <v>0</v>
      </c>
    </row>
    <row r="2018" spans="1:8" ht="15.75" x14ac:dyDescent="0.25">
      <c r="A2018" s="51">
        <v>42812</v>
      </c>
      <c r="B2018" s="52" t="s">
        <v>9824</v>
      </c>
      <c r="C2018" s="18">
        <v>104796</v>
      </c>
      <c r="D2018" s="13" t="s">
        <v>35</v>
      </c>
      <c r="E2018" s="14">
        <v>0</v>
      </c>
      <c r="F2018" s="102" t="s">
        <v>95</v>
      </c>
      <c r="G2018" s="14">
        <f t="shared" si="63"/>
        <v>0</v>
      </c>
      <c r="H2018" s="14">
        <f t="shared" si="64"/>
        <v>0</v>
      </c>
    </row>
    <row r="2019" spans="1:8" ht="15.75" x14ac:dyDescent="0.25">
      <c r="A2019" s="51">
        <v>42812</v>
      </c>
      <c r="B2019" s="52" t="s">
        <v>9825</v>
      </c>
      <c r="C2019" s="18">
        <v>104797</v>
      </c>
      <c r="D2019" s="2" t="s">
        <v>528</v>
      </c>
      <c r="E2019" s="15">
        <v>9609.5</v>
      </c>
      <c r="F2019" s="59">
        <v>42812</v>
      </c>
      <c r="G2019" s="15">
        <f t="shared" si="63"/>
        <v>9609.5</v>
      </c>
      <c r="H2019" s="15">
        <f t="shared" si="64"/>
        <v>0</v>
      </c>
    </row>
    <row r="2020" spans="1:8" ht="15.75" x14ac:dyDescent="0.25">
      <c r="A2020" s="51">
        <v>42812</v>
      </c>
      <c r="B2020" s="52" t="s">
        <v>9826</v>
      </c>
      <c r="C2020" s="18">
        <v>104798</v>
      </c>
      <c r="D2020" s="2" t="s">
        <v>69</v>
      </c>
      <c r="E2020" s="15">
        <v>1965.2</v>
      </c>
      <c r="F2020" s="59">
        <v>42812</v>
      </c>
      <c r="G2020" s="15">
        <f t="shared" si="63"/>
        <v>1965.2</v>
      </c>
      <c r="H2020" s="15">
        <f t="shared" si="64"/>
        <v>0</v>
      </c>
    </row>
    <row r="2021" spans="1:8" ht="15.75" x14ac:dyDescent="0.25">
      <c r="A2021" s="51">
        <v>42812</v>
      </c>
      <c r="B2021" s="52" t="s">
        <v>9827</v>
      </c>
      <c r="C2021" s="18">
        <v>104799</v>
      </c>
      <c r="D2021" s="2" t="s">
        <v>430</v>
      </c>
      <c r="E2021" s="15">
        <v>1665.4</v>
      </c>
      <c r="F2021" s="59">
        <v>42812</v>
      </c>
      <c r="G2021" s="15">
        <f t="shared" si="63"/>
        <v>1665.4</v>
      </c>
      <c r="H2021" s="15">
        <f t="shared" si="64"/>
        <v>0</v>
      </c>
    </row>
    <row r="2022" spans="1:8" ht="15.75" x14ac:dyDescent="0.25">
      <c r="A2022" s="51">
        <v>42812</v>
      </c>
      <c r="B2022" s="52" t="s">
        <v>9828</v>
      </c>
      <c r="C2022" s="18">
        <v>104800</v>
      </c>
      <c r="D2022" s="2" t="s">
        <v>231</v>
      </c>
      <c r="E2022" s="15">
        <v>40249.800000000003</v>
      </c>
      <c r="G2022" s="15">
        <f t="shared" si="63"/>
        <v>40249.800000000003</v>
      </c>
      <c r="H2022" s="15">
        <f t="shared" si="64"/>
        <v>0</v>
      </c>
    </row>
    <row r="2023" spans="1:8" ht="15.75" x14ac:dyDescent="0.25">
      <c r="A2023" s="51">
        <v>42812</v>
      </c>
      <c r="B2023" s="52" t="s">
        <v>9829</v>
      </c>
      <c r="C2023" s="18">
        <v>104801</v>
      </c>
      <c r="D2023" s="2" t="s">
        <v>35</v>
      </c>
      <c r="E2023" s="15">
        <v>32475.4</v>
      </c>
      <c r="F2023" s="64" t="s">
        <v>9830</v>
      </c>
      <c r="G2023" s="20">
        <f>28000+914.8+3560.6</f>
        <v>32475.399999999998</v>
      </c>
      <c r="H2023" s="20">
        <f t="shared" si="64"/>
        <v>0</v>
      </c>
    </row>
    <row r="2024" spans="1:8" ht="15.75" x14ac:dyDescent="0.25">
      <c r="A2024" s="51">
        <v>42812</v>
      </c>
      <c r="B2024" s="52" t="s">
        <v>9831</v>
      </c>
      <c r="C2024" s="18">
        <v>104802</v>
      </c>
      <c r="D2024" s="2" t="s">
        <v>19</v>
      </c>
      <c r="E2024" s="15">
        <v>1440</v>
      </c>
      <c r="F2024" s="59">
        <v>42812</v>
      </c>
      <c r="G2024" s="15">
        <f t="shared" si="63"/>
        <v>1440</v>
      </c>
      <c r="H2024" s="15">
        <f t="shared" si="64"/>
        <v>0</v>
      </c>
    </row>
    <row r="2025" spans="1:8" ht="15.75" x14ac:dyDescent="0.25">
      <c r="A2025" s="51">
        <v>42812</v>
      </c>
      <c r="B2025" s="52" t="s">
        <v>9832</v>
      </c>
      <c r="C2025" s="18">
        <v>104803</v>
      </c>
      <c r="D2025" s="2" t="s">
        <v>358</v>
      </c>
      <c r="E2025" s="15">
        <v>40199.9</v>
      </c>
      <c r="F2025" s="59">
        <v>42812</v>
      </c>
      <c r="G2025" s="15">
        <f t="shared" si="63"/>
        <v>40199.9</v>
      </c>
      <c r="H2025" s="15">
        <f t="shared" si="64"/>
        <v>0</v>
      </c>
    </row>
    <row r="2026" spans="1:8" ht="15.75" x14ac:dyDescent="0.25">
      <c r="A2026" s="51">
        <v>42812</v>
      </c>
      <c r="B2026" s="52" t="s">
        <v>9833</v>
      </c>
      <c r="C2026" s="18">
        <v>104804</v>
      </c>
      <c r="D2026" s="2" t="s">
        <v>49</v>
      </c>
      <c r="E2026" s="15">
        <v>23043</v>
      </c>
      <c r="F2026" s="59">
        <v>42815</v>
      </c>
      <c r="G2026" s="15">
        <f t="shared" si="63"/>
        <v>23043</v>
      </c>
      <c r="H2026" s="15">
        <f t="shared" si="64"/>
        <v>0</v>
      </c>
    </row>
    <row r="2027" spans="1:8" ht="15.75" x14ac:dyDescent="0.25">
      <c r="A2027" s="51">
        <v>42812</v>
      </c>
      <c r="B2027" s="52" t="s">
        <v>9834</v>
      </c>
      <c r="C2027" s="18">
        <v>104805</v>
      </c>
      <c r="D2027" s="2" t="s">
        <v>386</v>
      </c>
      <c r="E2027" s="15">
        <v>750</v>
      </c>
      <c r="F2027" s="59">
        <v>42812</v>
      </c>
      <c r="G2027" s="15">
        <f t="shared" si="63"/>
        <v>750</v>
      </c>
      <c r="H2027" s="15">
        <f t="shared" si="64"/>
        <v>0</v>
      </c>
    </row>
    <row r="2028" spans="1:8" ht="15.75" x14ac:dyDescent="0.25">
      <c r="A2028" s="51">
        <v>42812</v>
      </c>
      <c r="B2028" s="52" t="s">
        <v>9835</v>
      </c>
      <c r="C2028" s="18">
        <v>104806</v>
      </c>
      <c r="D2028" s="2" t="s">
        <v>43</v>
      </c>
      <c r="E2028" s="15">
        <v>10744.5</v>
      </c>
      <c r="F2028" s="59">
        <v>42815</v>
      </c>
      <c r="G2028" s="15">
        <f t="shared" si="63"/>
        <v>10744.5</v>
      </c>
      <c r="H2028" s="15">
        <f t="shared" si="64"/>
        <v>0</v>
      </c>
    </row>
    <row r="2029" spans="1:8" ht="15.75" x14ac:dyDescent="0.25">
      <c r="A2029" s="51">
        <v>42812</v>
      </c>
      <c r="B2029" s="52" t="s">
        <v>9836</v>
      </c>
      <c r="C2029" s="18">
        <v>104807</v>
      </c>
      <c r="D2029" s="2" t="s">
        <v>712</v>
      </c>
      <c r="E2029" s="15">
        <v>12151.1</v>
      </c>
      <c r="F2029" s="59">
        <v>42812</v>
      </c>
      <c r="G2029" s="15">
        <f t="shared" si="63"/>
        <v>12151.1</v>
      </c>
      <c r="H2029" s="15">
        <f t="shared" si="64"/>
        <v>0</v>
      </c>
    </row>
    <row r="2030" spans="1:8" ht="15.75" x14ac:dyDescent="0.25">
      <c r="A2030" s="51">
        <v>42812</v>
      </c>
      <c r="B2030" s="52" t="s">
        <v>9837</v>
      </c>
      <c r="C2030" s="18">
        <v>104808</v>
      </c>
      <c r="D2030" s="2" t="s">
        <v>253</v>
      </c>
      <c r="E2030" s="15">
        <v>9879.7999999999993</v>
      </c>
      <c r="F2030" s="64" t="s">
        <v>9838</v>
      </c>
      <c r="G2030" s="20">
        <f>5500+4379.8</f>
        <v>9879.7999999999993</v>
      </c>
      <c r="H2030" s="20">
        <f t="shared" si="64"/>
        <v>0</v>
      </c>
    </row>
    <row r="2031" spans="1:8" ht="15.75" x14ac:dyDescent="0.25">
      <c r="A2031" s="51">
        <v>42812</v>
      </c>
      <c r="B2031" s="52" t="s">
        <v>9839</v>
      </c>
      <c r="C2031" s="18">
        <v>104809</v>
      </c>
      <c r="D2031" s="2" t="s">
        <v>51</v>
      </c>
      <c r="E2031" s="15">
        <v>6160.8</v>
      </c>
      <c r="F2031" s="59">
        <v>43062</v>
      </c>
      <c r="G2031" s="15">
        <f t="shared" si="63"/>
        <v>6160.8</v>
      </c>
      <c r="H2031" s="15">
        <f t="shared" si="64"/>
        <v>0</v>
      </c>
    </row>
    <row r="2032" spans="1:8" ht="15.75" x14ac:dyDescent="0.25">
      <c r="A2032" s="51">
        <v>42812</v>
      </c>
      <c r="B2032" s="52" t="s">
        <v>9840</v>
      </c>
      <c r="C2032" s="18">
        <v>104810</v>
      </c>
      <c r="D2032" s="2" t="s">
        <v>30</v>
      </c>
      <c r="E2032" s="15">
        <v>1078.5</v>
      </c>
      <c r="F2032" s="59">
        <v>42812</v>
      </c>
      <c r="G2032" s="15">
        <f t="shared" si="63"/>
        <v>1078.5</v>
      </c>
      <c r="H2032" s="15">
        <f t="shared" si="64"/>
        <v>0</v>
      </c>
    </row>
    <row r="2033" spans="1:8" ht="15.75" x14ac:dyDescent="0.25">
      <c r="A2033" s="51">
        <v>42812</v>
      </c>
      <c r="B2033" s="52" t="s">
        <v>9841</v>
      </c>
      <c r="C2033" s="18">
        <v>104811</v>
      </c>
      <c r="D2033" s="2" t="s">
        <v>250</v>
      </c>
      <c r="E2033" s="15">
        <v>15713.1</v>
      </c>
      <c r="G2033" s="15">
        <f t="shared" si="63"/>
        <v>15713.1</v>
      </c>
      <c r="H2033" s="15">
        <f t="shared" si="64"/>
        <v>0</v>
      </c>
    </row>
    <row r="2034" spans="1:8" ht="15.75" x14ac:dyDescent="0.25">
      <c r="A2034" s="51">
        <v>42812</v>
      </c>
      <c r="B2034" s="52" t="s">
        <v>9842</v>
      </c>
      <c r="C2034" s="18">
        <v>104812</v>
      </c>
      <c r="D2034" s="2" t="s">
        <v>38</v>
      </c>
      <c r="E2034" s="15">
        <v>4520.6000000000004</v>
      </c>
      <c r="F2034" s="59">
        <v>42815</v>
      </c>
      <c r="G2034" s="15">
        <f t="shared" si="63"/>
        <v>4520.6000000000004</v>
      </c>
      <c r="H2034" s="15">
        <f t="shared" si="64"/>
        <v>0</v>
      </c>
    </row>
    <row r="2035" spans="1:8" ht="15.75" x14ac:dyDescent="0.25">
      <c r="A2035" s="51">
        <v>42812</v>
      </c>
      <c r="B2035" s="52" t="s">
        <v>9843</v>
      </c>
      <c r="C2035" s="18">
        <v>104813</v>
      </c>
      <c r="D2035" s="2" t="s">
        <v>268</v>
      </c>
      <c r="E2035" s="15">
        <v>14079.9</v>
      </c>
      <c r="F2035" s="59">
        <v>42816</v>
      </c>
      <c r="G2035" s="15">
        <f t="shared" si="63"/>
        <v>14079.9</v>
      </c>
      <c r="H2035" s="15">
        <f t="shared" si="64"/>
        <v>0</v>
      </c>
    </row>
    <row r="2036" spans="1:8" ht="15.75" x14ac:dyDescent="0.25">
      <c r="A2036" s="51">
        <v>42812</v>
      </c>
      <c r="B2036" s="52" t="s">
        <v>9844</v>
      </c>
      <c r="C2036" s="18">
        <v>104814</v>
      </c>
      <c r="D2036" s="2" t="s">
        <v>47</v>
      </c>
      <c r="E2036" s="15">
        <v>4886.72</v>
      </c>
      <c r="F2036" s="59">
        <v>42812</v>
      </c>
      <c r="G2036" s="15">
        <f t="shared" si="63"/>
        <v>4886.72</v>
      </c>
      <c r="H2036" s="15">
        <f t="shared" si="64"/>
        <v>0</v>
      </c>
    </row>
    <row r="2037" spans="1:8" ht="15.75" x14ac:dyDescent="0.25">
      <c r="A2037" s="51">
        <v>42812</v>
      </c>
      <c r="B2037" s="52" t="s">
        <v>9845</v>
      </c>
      <c r="C2037" s="18">
        <v>104815</v>
      </c>
      <c r="D2037" s="2" t="s">
        <v>236</v>
      </c>
      <c r="E2037" s="15">
        <v>37602.6</v>
      </c>
      <c r="F2037" s="59">
        <v>42818</v>
      </c>
      <c r="G2037" s="15">
        <f t="shared" si="63"/>
        <v>37602.6</v>
      </c>
      <c r="H2037" s="15">
        <f t="shared" si="64"/>
        <v>0</v>
      </c>
    </row>
    <row r="2038" spans="1:8" ht="15.75" x14ac:dyDescent="0.25">
      <c r="A2038" s="51">
        <v>42812</v>
      </c>
      <c r="B2038" s="52" t="s">
        <v>9846</v>
      </c>
      <c r="C2038" s="18">
        <v>104816</v>
      </c>
      <c r="D2038" s="2" t="s">
        <v>414</v>
      </c>
      <c r="E2038" s="15">
        <v>2376</v>
      </c>
      <c r="F2038" s="59">
        <v>42812</v>
      </c>
      <c r="G2038" s="15">
        <f t="shared" si="63"/>
        <v>2376</v>
      </c>
      <c r="H2038" s="15">
        <f t="shared" si="64"/>
        <v>0</v>
      </c>
    </row>
    <row r="2039" spans="1:8" ht="15.75" x14ac:dyDescent="0.25">
      <c r="A2039" s="51">
        <v>42812</v>
      </c>
      <c r="B2039" s="52" t="s">
        <v>9847</v>
      </c>
      <c r="C2039" s="18">
        <v>104817</v>
      </c>
      <c r="D2039" s="2" t="s">
        <v>3425</v>
      </c>
      <c r="E2039" s="15">
        <v>874</v>
      </c>
      <c r="F2039" s="59">
        <v>42812</v>
      </c>
      <c r="G2039" s="15">
        <f t="shared" si="63"/>
        <v>874</v>
      </c>
      <c r="H2039" s="15">
        <f t="shared" si="64"/>
        <v>0</v>
      </c>
    </row>
    <row r="2040" spans="1:8" ht="15.75" x14ac:dyDescent="0.25">
      <c r="A2040" s="51">
        <v>42812</v>
      </c>
      <c r="B2040" s="52" t="s">
        <v>9848</v>
      </c>
      <c r="C2040" s="18">
        <v>104818</v>
      </c>
      <c r="D2040" s="2" t="s">
        <v>157</v>
      </c>
      <c r="E2040" s="15">
        <v>25555.200000000001</v>
      </c>
      <c r="F2040" s="59">
        <v>42812</v>
      </c>
      <c r="G2040" s="15">
        <f t="shared" si="63"/>
        <v>25555.200000000001</v>
      </c>
      <c r="H2040" s="15">
        <f t="shared" si="64"/>
        <v>0</v>
      </c>
    </row>
    <row r="2041" spans="1:8" ht="15.75" x14ac:dyDescent="0.25">
      <c r="A2041" s="51">
        <v>42812</v>
      </c>
      <c r="B2041" s="52" t="s">
        <v>9849</v>
      </c>
      <c r="C2041" s="18">
        <v>104819</v>
      </c>
      <c r="D2041" s="2" t="s">
        <v>151</v>
      </c>
      <c r="E2041" s="15">
        <v>18552.3</v>
      </c>
      <c r="F2041" s="59">
        <v>42812</v>
      </c>
      <c r="G2041" s="15">
        <f t="shared" si="63"/>
        <v>18552.3</v>
      </c>
      <c r="H2041" s="15">
        <f t="shared" si="64"/>
        <v>0</v>
      </c>
    </row>
    <row r="2042" spans="1:8" ht="15.75" x14ac:dyDescent="0.25">
      <c r="A2042" s="51">
        <v>42812</v>
      </c>
      <c r="B2042" s="52" t="s">
        <v>9850</v>
      </c>
      <c r="C2042" s="18">
        <v>104820</v>
      </c>
      <c r="D2042" s="2" t="s">
        <v>428</v>
      </c>
      <c r="E2042" s="15">
        <v>1509.2</v>
      </c>
      <c r="F2042" s="59">
        <v>43062</v>
      </c>
      <c r="G2042" s="15">
        <f t="shared" si="63"/>
        <v>1509.2</v>
      </c>
      <c r="H2042" s="15">
        <f t="shared" si="64"/>
        <v>0</v>
      </c>
    </row>
    <row r="2043" spans="1:8" ht="15.75" x14ac:dyDescent="0.25">
      <c r="A2043" s="51">
        <v>42812</v>
      </c>
      <c r="B2043" s="52" t="s">
        <v>9851</v>
      </c>
      <c r="C2043" s="18">
        <v>104821</v>
      </c>
      <c r="D2043" s="2" t="s">
        <v>1870</v>
      </c>
      <c r="E2043" s="15">
        <v>2030.2</v>
      </c>
      <c r="F2043" s="59">
        <v>42812</v>
      </c>
      <c r="G2043" s="15">
        <f t="shared" si="63"/>
        <v>2030.2</v>
      </c>
      <c r="H2043" s="15">
        <f t="shared" si="64"/>
        <v>0</v>
      </c>
    </row>
    <row r="2044" spans="1:8" ht="15.75" x14ac:dyDescent="0.25">
      <c r="A2044" s="51">
        <v>42812</v>
      </c>
      <c r="B2044" s="52" t="s">
        <v>9852</v>
      </c>
      <c r="C2044" s="18">
        <v>104822</v>
      </c>
      <c r="D2044" s="2" t="s">
        <v>240</v>
      </c>
      <c r="E2044" s="15">
        <v>6309.4</v>
      </c>
      <c r="F2044" s="59">
        <v>42812</v>
      </c>
      <c r="G2044" s="15">
        <f t="shared" si="63"/>
        <v>6309.4</v>
      </c>
      <c r="H2044" s="15">
        <f t="shared" si="64"/>
        <v>0</v>
      </c>
    </row>
    <row r="2045" spans="1:8" ht="15.75" x14ac:dyDescent="0.25">
      <c r="A2045" s="51">
        <v>42812</v>
      </c>
      <c r="B2045" s="52" t="s">
        <v>9853</v>
      </c>
      <c r="C2045" s="18">
        <v>104823</v>
      </c>
      <c r="D2045" s="2" t="s">
        <v>61</v>
      </c>
      <c r="E2045" s="15">
        <v>10789.4</v>
      </c>
      <c r="F2045" s="59">
        <v>42812</v>
      </c>
      <c r="G2045" s="15">
        <f t="shared" si="63"/>
        <v>10789.4</v>
      </c>
      <c r="H2045" s="15">
        <f t="shared" si="64"/>
        <v>0</v>
      </c>
    </row>
    <row r="2046" spans="1:8" ht="15.75" x14ac:dyDescent="0.25">
      <c r="A2046" s="51">
        <v>42812</v>
      </c>
      <c r="B2046" s="52" t="s">
        <v>9854</v>
      </c>
      <c r="C2046" s="18">
        <v>104824</v>
      </c>
      <c r="D2046" s="2" t="s">
        <v>509</v>
      </c>
      <c r="E2046" s="15">
        <v>18991.2</v>
      </c>
      <c r="G2046" s="15">
        <f t="shared" si="63"/>
        <v>18991.2</v>
      </c>
      <c r="H2046" s="15">
        <f t="shared" si="64"/>
        <v>0</v>
      </c>
    </row>
    <row r="2047" spans="1:8" ht="15.75" x14ac:dyDescent="0.25">
      <c r="A2047" s="51">
        <v>42812</v>
      </c>
      <c r="B2047" s="52" t="s">
        <v>9855</v>
      </c>
      <c r="C2047" s="18">
        <v>104825</v>
      </c>
      <c r="D2047" s="2" t="s">
        <v>909</v>
      </c>
      <c r="E2047" s="15">
        <v>732</v>
      </c>
      <c r="F2047" s="59">
        <v>42812</v>
      </c>
      <c r="G2047" s="15">
        <f t="shared" si="63"/>
        <v>732</v>
      </c>
      <c r="H2047" s="15">
        <f t="shared" si="64"/>
        <v>0</v>
      </c>
    </row>
    <row r="2048" spans="1:8" ht="15.75" x14ac:dyDescent="0.25">
      <c r="A2048" s="51">
        <v>42812</v>
      </c>
      <c r="B2048" s="52" t="s">
        <v>9856</v>
      </c>
      <c r="C2048" s="18">
        <v>104826</v>
      </c>
      <c r="D2048" s="2" t="s">
        <v>198</v>
      </c>
      <c r="E2048" s="15">
        <v>2486.4</v>
      </c>
      <c r="F2048" s="59">
        <v>42812</v>
      </c>
      <c r="G2048" s="15">
        <f t="shared" si="63"/>
        <v>2486.4</v>
      </c>
      <c r="H2048" s="15">
        <f t="shared" si="64"/>
        <v>0</v>
      </c>
    </row>
    <row r="2049" spans="1:8" ht="15.75" x14ac:dyDescent="0.25">
      <c r="A2049" s="51">
        <v>42812</v>
      </c>
      <c r="B2049" s="52" t="s">
        <v>9857</v>
      </c>
      <c r="C2049" s="18">
        <v>104827</v>
      </c>
      <c r="D2049" s="2" t="s">
        <v>45</v>
      </c>
      <c r="E2049" s="15">
        <v>1087</v>
      </c>
      <c r="F2049" s="59">
        <v>42812</v>
      </c>
      <c r="G2049" s="15">
        <f t="shared" si="63"/>
        <v>1087</v>
      </c>
      <c r="H2049" s="15">
        <f t="shared" si="64"/>
        <v>0</v>
      </c>
    </row>
    <row r="2050" spans="1:8" ht="15.75" x14ac:dyDescent="0.25">
      <c r="A2050" s="51">
        <v>42812</v>
      </c>
      <c r="B2050" s="52" t="s">
        <v>9858</v>
      </c>
      <c r="C2050" s="18">
        <v>104828</v>
      </c>
      <c r="D2050" s="2" t="s">
        <v>45</v>
      </c>
      <c r="E2050" s="15">
        <v>1302.4000000000001</v>
      </c>
      <c r="F2050" s="59">
        <v>42812</v>
      </c>
      <c r="G2050" s="15">
        <f t="shared" si="63"/>
        <v>1302.4000000000001</v>
      </c>
      <c r="H2050" s="15">
        <f t="shared" si="64"/>
        <v>0</v>
      </c>
    </row>
    <row r="2051" spans="1:8" ht="15.75" x14ac:dyDescent="0.25">
      <c r="A2051" s="51">
        <v>42812</v>
      </c>
      <c r="B2051" s="52" t="s">
        <v>9859</v>
      </c>
      <c r="C2051" s="18">
        <v>104829</v>
      </c>
      <c r="D2051" s="2" t="s">
        <v>186</v>
      </c>
      <c r="E2051" s="15">
        <v>962.8</v>
      </c>
      <c r="G2051" s="15">
        <f t="shared" si="63"/>
        <v>962.8</v>
      </c>
      <c r="H2051" s="15">
        <f t="shared" si="64"/>
        <v>0</v>
      </c>
    </row>
    <row r="2052" spans="1:8" ht="15.75" x14ac:dyDescent="0.25">
      <c r="A2052" s="51">
        <v>42812</v>
      </c>
      <c r="B2052" s="52" t="s">
        <v>9860</v>
      </c>
      <c r="C2052" s="18">
        <v>104830</v>
      </c>
      <c r="D2052" s="2" t="s">
        <v>63</v>
      </c>
      <c r="E2052" s="15">
        <v>527.79999999999995</v>
      </c>
      <c r="F2052" s="59">
        <v>42812</v>
      </c>
      <c r="G2052" s="15">
        <f t="shared" ref="G2052:G2115" si="65">E2052</f>
        <v>527.79999999999995</v>
      </c>
      <c r="H2052" s="15">
        <f t="shared" ref="H2052:H2115" si="66">E2052-G2052</f>
        <v>0</v>
      </c>
    </row>
    <row r="2053" spans="1:8" ht="15.75" x14ac:dyDescent="0.25">
      <c r="A2053" s="51">
        <v>42812</v>
      </c>
      <c r="B2053" s="52" t="s">
        <v>9861</v>
      </c>
      <c r="C2053" s="18">
        <v>104831</v>
      </c>
      <c r="D2053" s="2" t="s">
        <v>331</v>
      </c>
      <c r="E2053" s="15">
        <v>2575.1999999999998</v>
      </c>
      <c r="F2053" s="59">
        <v>42812</v>
      </c>
      <c r="G2053" s="15">
        <f t="shared" si="65"/>
        <v>2575.1999999999998</v>
      </c>
      <c r="H2053" s="15">
        <f t="shared" si="66"/>
        <v>0</v>
      </c>
    </row>
    <row r="2054" spans="1:8" ht="15.75" x14ac:dyDescent="0.25">
      <c r="A2054" s="51">
        <v>42812</v>
      </c>
      <c r="B2054" s="52" t="s">
        <v>9862</v>
      </c>
      <c r="C2054" s="18">
        <v>104832</v>
      </c>
      <c r="D2054" s="2" t="s">
        <v>79</v>
      </c>
      <c r="E2054" s="15">
        <v>2665.6</v>
      </c>
      <c r="F2054" s="59">
        <v>42812</v>
      </c>
      <c r="G2054" s="15">
        <f t="shared" si="65"/>
        <v>2665.6</v>
      </c>
      <c r="H2054" s="15">
        <f t="shared" si="66"/>
        <v>0</v>
      </c>
    </row>
    <row r="2055" spans="1:8" ht="15.75" x14ac:dyDescent="0.25">
      <c r="A2055" s="51">
        <v>42812</v>
      </c>
      <c r="B2055" s="52" t="s">
        <v>9863</v>
      </c>
      <c r="C2055" s="18">
        <v>104833</v>
      </c>
      <c r="D2055" s="2" t="s">
        <v>57</v>
      </c>
      <c r="E2055" s="15">
        <v>480</v>
      </c>
      <c r="F2055" s="59">
        <v>42812</v>
      </c>
      <c r="G2055" s="15">
        <f t="shared" si="65"/>
        <v>480</v>
      </c>
      <c r="H2055" s="15">
        <f t="shared" si="66"/>
        <v>0</v>
      </c>
    </row>
    <row r="2056" spans="1:8" ht="15.75" x14ac:dyDescent="0.25">
      <c r="A2056" s="51">
        <v>42812</v>
      </c>
      <c r="B2056" s="52" t="s">
        <v>9864</v>
      </c>
      <c r="C2056" s="18">
        <v>104834</v>
      </c>
      <c r="D2056" s="2" t="s">
        <v>285</v>
      </c>
      <c r="E2056" s="15">
        <v>4224.72</v>
      </c>
      <c r="F2056" s="59">
        <v>42816</v>
      </c>
      <c r="G2056" s="15">
        <f t="shared" si="65"/>
        <v>4224.72</v>
      </c>
      <c r="H2056" s="15">
        <f t="shared" si="66"/>
        <v>0</v>
      </c>
    </row>
    <row r="2057" spans="1:8" ht="15.75" x14ac:dyDescent="0.25">
      <c r="A2057" s="51">
        <v>42812</v>
      </c>
      <c r="B2057" s="52" t="s">
        <v>9865</v>
      </c>
      <c r="C2057" s="18">
        <v>104835</v>
      </c>
      <c r="D2057" s="2" t="s">
        <v>10</v>
      </c>
      <c r="E2057" s="15">
        <v>1017.6</v>
      </c>
      <c r="F2057" s="59">
        <v>42815</v>
      </c>
      <c r="G2057" s="15">
        <f t="shared" si="65"/>
        <v>1017.6</v>
      </c>
      <c r="H2057" s="15">
        <f t="shared" si="66"/>
        <v>0</v>
      </c>
    </row>
    <row r="2058" spans="1:8" ht="15.75" x14ac:dyDescent="0.25">
      <c r="A2058" s="51">
        <v>42812</v>
      </c>
      <c r="B2058" s="52" t="s">
        <v>9866</v>
      </c>
      <c r="C2058" s="18">
        <v>104836</v>
      </c>
      <c r="D2058" s="2" t="s">
        <v>139</v>
      </c>
      <c r="E2058" s="15">
        <v>2284.5</v>
      </c>
      <c r="F2058" s="59">
        <v>42812</v>
      </c>
      <c r="G2058" s="15">
        <f t="shared" si="65"/>
        <v>2284.5</v>
      </c>
      <c r="H2058" s="15">
        <f t="shared" si="66"/>
        <v>0</v>
      </c>
    </row>
    <row r="2059" spans="1:8" ht="15.75" x14ac:dyDescent="0.25">
      <c r="A2059" s="51">
        <v>42812</v>
      </c>
      <c r="B2059" s="52" t="s">
        <v>9867</v>
      </c>
      <c r="C2059" s="18">
        <v>104837</v>
      </c>
      <c r="D2059" s="2" t="s">
        <v>298</v>
      </c>
      <c r="E2059" s="15">
        <v>3167.5</v>
      </c>
      <c r="F2059" s="59">
        <v>42812</v>
      </c>
      <c r="G2059" s="15">
        <f t="shared" si="65"/>
        <v>3167.5</v>
      </c>
      <c r="H2059" s="15">
        <f t="shared" si="66"/>
        <v>0</v>
      </c>
    </row>
    <row r="2060" spans="1:8" ht="15.75" x14ac:dyDescent="0.25">
      <c r="A2060" s="51">
        <v>42812</v>
      </c>
      <c r="B2060" s="52" t="s">
        <v>9868</v>
      </c>
      <c r="C2060" s="18">
        <v>104838</v>
      </c>
      <c r="D2060" s="2" t="s">
        <v>168</v>
      </c>
      <c r="E2060" s="15">
        <v>1235.8</v>
      </c>
      <c r="F2060" s="59">
        <v>42812</v>
      </c>
      <c r="G2060" s="15">
        <f t="shared" si="65"/>
        <v>1235.8</v>
      </c>
      <c r="H2060" s="15">
        <f t="shared" si="66"/>
        <v>0</v>
      </c>
    </row>
    <row r="2061" spans="1:8" ht="15.75" x14ac:dyDescent="0.25">
      <c r="A2061" s="51">
        <v>42812</v>
      </c>
      <c r="B2061" s="52" t="s">
        <v>9869</v>
      </c>
      <c r="C2061" s="18">
        <v>104839</v>
      </c>
      <c r="D2061" s="2" t="s">
        <v>838</v>
      </c>
      <c r="E2061" s="15">
        <v>3406.5</v>
      </c>
      <c r="F2061" s="59">
        <v>42812</v>
      </c>
      <c r="G2061" s="15">
        <f t="shared" si="65"/>
        <v>3406.5</v>
      </c>
      <c r="H2061" s="15">
        <f t="shared" si="66"/>
        <v>0</v>
      </c>
    </row>
    <row r="2062" spans="1:8" ht="15.75" x14ac:dyDescent="0.25">
      <c r="A2062" s="51">
        <v>42812</v>
      </c>
      <c r="B2062" s="52" t="s">
        <v>9870</v>
      </c>
      <c r="C2062" s="18">
        <v>104840</v>
      </c>
      <c r="D2062" s="2" t="s">
        <v>99</v>
      </c>
      <c r="E2062" s="15">
        <v>3830.4</v>
      </c>
      <c r="F2062" s="59">
        <v>42812</v>
      </c>
      <c r="G2062" s="15">
        <f t="shared" si="65"/>
        <v>3830.4</v>
      </c>
      <c r="H2062" s="15">
        <f t="shared" si="66"/>
        <v>0</v>
      </c>
    </row>
    <row r="2063" spans="1:8" ht="15.75" x14ac:dyDescent="0.25">
      <c r="A2063" s="51">
        <v>42812</v>
      </c>
      <c r="B2063" s="52" t="s">
        <v>9871</v>
      </c>
      <c r="C2063" s="18">
        <v>104841</v>
      </c>
      <c r="D2063" s="2" t="s">
        <v>101</v>
      </c>
      <c r="E2063" s="15">
        <v>2164.8000000000002</v>
      </c>
      <c r="F2063" s="59">
        <v>42812</v>
      </c>
      <c r="G2063" s="15">
        <f t="shared" si="65"/>
        <v>2164.8000000000002</v>
      </c>
      <c r="H2063" s="15">
        <f t="shared" si="66"/>
        <v>0</v>
      </c>
    </row>
    <row r="2064" spans="1:8" ht="15.75" x14ac:dyDescent="0.25">
      <c r="A2064" s="51">
        <v>42812</v>
      </c>
      <c r="B2064" s="52" t="s">
        <v>9872</v>
      </c>
      <c r="C2064" s="18">
        <v>104842</v>
      </c>
      <c r="D2064" s="2" t="s">
        <v>4367</v>
      </c>
      <c r="E2064" s="15">
        <v>1327.2</v>
      </c>
      <c r="F2064" s="59">
        <v>42812</v>
      </c>
      <c r="G2064" s="15">
        <f t="shared" si="65"/>
        <v>1327.2</v>
      </c>
      <c r="H2064" s="15">
        <f t="shared" si="66"/>
        <v>0</v>
      </c>
    </row>
    <row r="2065" spans="1:8" ht="15.75" x14ac:dyDescent="0.25">
      <c r="A2065" s="51">
        <v>42812</v>
      </c>
      <c r="B2065" s="52" t="s">
        <v>9873</v>
      </c>
      <c r="C2065" s="18">
        <v>104843</v>
      </c>
      <c r="D2065" s="2" t="s">
        <v>281</v>
      </c>
      <c r="E2065" s="15">
        <v>2855.6</v>
      </c>
      <c r="F2065" s="59">
        <v>42812</v>
      </c>
      <c r="G2065" s="15">
        <f t="shared" si="65"/>
        <v>2855.6</v>
      </c>
      <c r="H2065" s="15">
        <f t="shared" si="66"/>
        <v>0</v>
      </c>
    </row>
    <row r="2066" spans="1:8" ht="15.75" x14ac:dyDescent="0.25">
      <c r="A2066" s="51">
        <v>42812</v>
      </c>
      <c r="B2066" s="52" t="s">
        <v>9874</v>
      </c>
      <c r="C2066" s="18">
        <v>104844</v>
      </c>
      <c r="D2066" s="2" t="s">
        <v>448</v>
      </c>
      <c r="E2066" s="15">
        <v>336</v>
      </c>
      <c r="F2066" s="59">
        <v>42812</v>
      </c>
      <c r="G2066" s="15">
        <f t="shared" si="65"/>
        <v>336</v>
      </c>
      <c r="H2066" s="15">
        <f t="shared" si="66"/>
        <v>0</v>
      </c>
    </row>
    <row r="2067" spans="1:8" ht="15.75" x14ac:dyDescent="0.25">
      <c r="A2067" s="51">
        <v>42812</v>
      </c>
      <c r="B2067" s="52" t="s">
        <v>9875</v>
      </c>
      <c r="C2067" s="18">
        <v>104845</v>
      </c>
      <c r="D2067" s="2" t="s">
        <v>81</v>
      </c>
      <c r="E2067" s="15">
        <v>313.2</v>
      </c>
      <c r="F2067" s="59">
        <v>42812</v>
      </c>
      <c r="G2067" s="15">
        <f t="shared" si="65"/>
        <v>313.2</v>
      </c>
      <c r="H2067" s="15">
        <f t="shared" si="66"/>
        <v>0</v>
      </c>
    </row>
    <row r="2068" spans="1:8" ht="15.75" x14ac:dyDescent="0.25">
      <c r="A2068" s="51">
        <v>42812</v>
      </c>
      <c r="B2068" s="52" t="s">
        <v>9876</v>
      </c>
      <c r="C2068" s="18">
        <v>104846</v>
      </c>
      <c r="D2068" s="2" t="s">
        <v>92</v>
      </c>
      <c r="E2068" s="15">
        <v>1793.4</v>
      </c>
      <c r="F2068" s="59">
        <v>42812</v>
      </c>
      <c r="G2068" s="15">
        <f t="shared" si="65"/>
        <v>1793.4</v>
      </c>
      <c r="H2068" s="15">
        <f t="shared" si="66"/>
        <v>0</v>
      </c>
    </row>
    <row r="2069" spans="1:8" ht="15.75" x14ac:dyDescent="0.25">
      <c r="A2069" s="51">
        <v>42812</v>
      </c>
      <c r="B2069" s="52" t="s">
        <v>9877</v>
      </c>
      <c r="C2069" s="18">
        <v>104847</v>
      </c>
      <c r="D2069" s="2" t="s">
        <v>2240</v>
      </c>
      <c r="E2069" s="15">
        <v>8437.5</v>
      </c>
      <c r="F2069" s="59">
        <v>42812</v>
      </c>
      <c r="G2069" s="15">
        <f t="shared" si="65"/>
        <v>8437.5</v>
      </c>
      <c r="H2069" s="15">
        <f t="shared" si="66"/>
        <v>0</v>
      </c>
    </row>
    <row r="2070" spans="1:8" ht="15.75" x14ac:dyDescent="0.25">
      <c r="A2070" s="51">
        <v>42812</v>
      </c>
      <c r="B2070" s="52" t="s">
        <v>9878</v>
      </c>
      <c r="C2070" s="18">
        <v>104848</v>
      </c>
      <c r="D2070" s="2" t="s">
        <v>103</v>
      </c>
      <c r="E2070" s="15">
        <v>136</v>
      </c>
      <c r="F2070" s="59">
        <v>1</v>
      </c>
      <c r="G2070" s="15">
        <f t="shared" si="65"/>
        <v>136</v>
      </c>
      <c r="H2070" s="15">
        <f t="shared" si="66"/>
        <v>0</v>
      </c>
    </row>
    <row r="2071" spans="1:8" ht="15.75" x14ac:dyDescent="0.25">
      <c r="A2071" s="51">
        <v>42812</v>
      </c>
      <c r="B2071" s="52" t="s">
        <v>9879</v>
      </c>
      <c r="C2071" s="18">
        <v>104849</v>
      </c>
      <c r="D2071" s="2" t="s">
        <v>105</v>
      </c>
      <c r="E2071" s="15">
        <v>1247.9000000000001</v>
      </c>
      <c r="F2071" s="59">
        <v>42812</v>
      </c>
      <c r="G2071" s="15">
        <f t="shared" si="65"/>
        <v>1247.9000000000001</v>
      </c>
      <c r="H2071" s="15">
        <f t="shared" si="66"/>
        <v>0</v>
      </c>
    </row>
    <row r="2072" spans="1:8" ht="15.75" x14ac:dyDescent="0.25">
      <c r="A2072" s="51">
        <v>42812</v>
      </c>
      <c r="B2072" s="52" t="s">
        <v>9880</v>
      </c>
      <c r="C2072" s="18">
        <v>104850</v>
      </c>
      <c r="D2072" s="2" t="s">
        <v>1081</v>
      </c>
      <c r="E2072" s="15">
        <v>221</v>
      </c>
      <c r="F2072" s="59">
        <v>42812</v>
      </c>
      <c r="G2072" s="15">
        <f t="shared" si="65"/>
        <v>221</v>
      </c>
      <c r="H2072" s="15">
        <f t="shared" si="66"/>
        <v>0</v>
      </c>
    </row>
    <row r="2073" spans="1:8" ht="15.75" x14ac:dyDescent="0.25">
      <c r="A2073" s="51">
        <v>42812</v>
      </c>
      <c r="B2073" s="52" t="s">
        <v>9881</v>
      </c>
      <c r="C2073" s="18">
        <v>104851</v>
      </c>
      <c r="D2073" s="2" t="s">
        <v>613</v>
      </c>
      <c r="E2073" s="15">
        <v>5271.5</v>
      </c>
      <c r="F2073" s="59">
        <v>42812</v>
      </c>
      <c r="G2073" s="15">
        <f t="shared" si="65"/>
        <v>5271.5</v>
      </c>
      <c r="H2073" s="15">
        <f t="shared" si="66"/>
        <v>0</v>
      </c>
    </row>
    <row r="2074" spans="1:8" ht="15.75" x14ac:dyDescent="0.25">
      <c r="A2074" s="51">
        <v>42812</v>
      </c>
      <c r="B2074" s="52" t="s">
        <v>9882</v>
      </c>
      <c r="C2074" s="18">
        <v>104852</v>
      </c>
      <c r="D2074" s="2" t="s">
        <v>83</v>
      </c>
      <c r="E2074" s="15">
        <v>5050</v>
      </c>
      <c r="F2074" s="59">
        <v>42812</v>
      </c>
      <c r="G2074" s="15">
        <f t="shared" si="65"/>
        <v>5050</v>
      </c>
      <c r="H2074" s="15">
        <f t="shared" si="66"/>
        <v>0</v>
      </c>
    </row>
    <row r="2075" spans="1:8" ht="15.75" x14ac:dyDescent="0.25">
      <c r="A2075" s="51">
        <v>42812</v>
      </c>
      <c r="B2075" s="52" t="s">
        <v>9883</v>
      </c>
      <c r="C2075" s="18">
        <v>104853</v>
      </c>
      <c r="D2075" s="2" t="s">
        <v>1259</v>
      </c>
      <c r="E2075" s="15">
        <v>1831.5</v>
      </c>
      <c r="F2075" s="59">
        <v>42812</v>
      </c>
      <c r="G2075" s="15">
        <f t="shared" si="65"/>
        <v>1831.5</v>
      </c>
      <c r="H2075" s="15">
        <f t="shared" si="66"/>
        <v>0</v>
      </c>
    </row>
    <row r="2076" spans="1:8" ht="15.75" x14ac:dyDescent="0.25">
      <c r="A2076" s="51">
        <v>42812</v>
      </c>
      <c r="B2076" s="52" t="s">
        <v>9884</v>
      </c>
      <c r="C2076" s="18">
        <v>104854</v>
      </c>
      <c r="D2076" s="2" t="s">
        <v>445</v>
      </c>
      <c r="E2076" s="15">
        <v>1877</v>
      </c>
      <c r="F2076" s="59">
        <v>42812</v>
      </c>
      <c r="G2076" s="15">
        <f t="shared" si="65"/>
        <v>1877</v>
      </c>
      <c r="H2076" s="15">
        <f t="shared" si="66"/>
        <v>0</v>
      </c>
    </row>
    <row r="2077" spans="1:8" ht="15.75" x14ac:dyDescent="0.25">
      <c r="A2077" s="51">
        <v>42812</v>
      </c>
      <c r="B2077" s="52" t="s">
        <v>9885</v>
      </c>
      <c r="C2077" s="18">
        <v>104855</v>
      </c>
      <c r="D2077" s="2" t="s">
        <v>88</v>
      </c>
      <c r="E2077" s="15">
        <v>10644.5</v>
      </c>
      <c r="F2077" s="59">
        <v>42812</v>
      </c>
      <c r="G2077" s="15">
        <f t="shared" si="65"/>
        <v>10644.5</v>
      </c>
      <c r="H2077" s="15">
        <f t="shared" si="66"/>
        <v>0</v>
      </c>
    </row>
    <row r="2078" spans="1:8" ht="15.75" x14ac:dyDescent="0.25">
      <c r="A2078" s="51">
        <v>42812</v>
      </c>
      <c r="B2078" s="52" t="s">
        <v>9886</v>
      </c>
      <c r="C2078" s="18">
        <v>104856</v>
      </c>
      <c r="D2078" s="2" t="s">
        <v>305</v>
      </c>
      <c r="E2078" s="15">
        <v>7578.1</v>
      </c>
      <c r="F2078" s="59">
        <v>42815</v>
      </c>
      <c r="G2078" s="15">
        <f t="shared" si="65"/>
        <v>7578.1</v>
      </c>
      <c r="H2078" s="15">
        <f t="shared" si="66"/>
        <v>0</v>
      </c>
    </row>
    <row r="2079" spans="1:8" ht="15.75" x14ac:dyDescent="0.25">
      <c r="A2079" s="51">
        <v>42812</v>
      </c>
      <c r="B2079" s="52" t="s">
        <v>9887</v>
      </c>
      <c r="C2079" s="18">
        <v>104857</v>
      </c>
      <c r="D2079" s="2" t="s">
        <v>109</v>
      </c>
      <c r="E2079" s="15">
        <v>5259.9</v>
      </c>
      <c r="F2079" s="59">
        <v>42812</v>
      </c>
      <c r="G2079" s="15">
        <f t="shared" si="65"/>
        <v>5259.9</v>
      </c>
      <c r="H2079" s="15">
        <f t="shared" si="66"/>
        <v>0</v>
      </c>
    </row>
    <row r="2080" spans="1:8" ht="15.75" x14ac:dyDescent="0.25">
      <c r="A2080" s="51">
        <v>42812</v>
      </c>
      <c r="B2080" s="52" t="s">
        <v>9888</v>
      </c>
      <c r="C2080" s="18">
        <v>104858</v>
      </c>
      <c r="D2080" s="2" t="s">
        <v>476</v>
      </c>
      <c r="E2080" s="15">
        <v>23565.8</v>
      </c>
      <c r="F2080" s="59">
        <v>42791</v>
      </c>
      <c r="G2080" s="15">
        <f t="shared" si="65"/>
        <v>23565.8</v>
      </c>
      <c r="H2080" s="15">
        <f t="shared" si="66"/>
        <v>0</v>
      </c>
    </row>
    <row r="2081" spans="1:8" ht="15.75" x14ac:dyDescent="0.25">
      <c r="A2081" s="51">
        <v>42812</v>
      </c>
      <c r="B2081" s="52" t="s">
        <v>9889</v>
      </c>
      <c r="C2081" s="18">
        <v>104859</v>
      </c>
      <c r="D2081" s="2" t="s">
        <v>268</v>
      </c>
      <c r="E2081" s="15">
        <v>15718.2</v>
      </c>
      <c r="F2081" s="59">
        <v>42816</v>
      </c>
      <c r="G2081" s="15">
        <f t="shared" si="65"/>
        <v>15718.2</v>
      </c>
      <c r="H2081" s="15">
        <f t="shared" si="66"/>
        <v>0</v>
      </c>
    </row>
    <row r="2082" spans="1:8" ht="15.75" x14ac:dyDescent="0.25">
      <c r="A2082" s="51">
        <v>42812</v>
      </c>
      <c r="B2082" s="52" t="s">
        <v>9890</v>
      </c>
      <c r="C2082" s="18">
        <v>104860</v>
      </c>
      <c r="D2082" s="2" t="s">
        <v>432</v>
      </c>
      <c r="E2082" s="15">
        <v>14756</v>
      </c>
      <c r="F2082" s="59">
        <v>42816</v>
      </c>
      <c r="G2082" s="15">
        <f t="shared" si="65"/>
        <v>14756</v>
      </c>
      <c r="H2082" s="15">
        <f t="shared" si="66"/>
        <v>0</v>
      </c>
    </row>
    <row r="2083" spans="1:8" ht="15.75" x14ac:dyDescent="0.25">
      <c r="A2083" s="51">
        <v>42812</v>
      </c>
      <c r="B2083" s="52" t="s">
        <v>9891</v>
      </c>
      <c r="C2083" s="18">
        <v>104861</v>
      </c>
      <c r="D2083" s="2" t="s">
        <v>1666</v>
      </c>
      <c r="E2083" s="15">
        <v>14732.2</v>
      </c>
      <c r="F2083" s="59">
        <v>42816</v>
      </c>
      <c r="G2083" s="15">
        <f t="shared" si="65"/>
        <v>14732.2</v>
      </c>
      <c r="H2083" s="15">
        <f t="shared" si="66"/>
        <v>0</v>
      </c>
    </row>
    <row r="2084" spans="1:8" ht="15.75" x14ac:dyDescent="0.25">
      <c r="A2084" s="51">
        <v>42812</v>
      </c>
      <c r="B2084" s="52" t="s">
        <v>9892</v>
      </c>
      <c r="C2084" s="18">
        <v>104862</v>
      </c>
      <c r="D2084" s="2" t="s">
        <v>270</v>
      </c>
      <c r="E2084" s="15">
        <v>4739.3999999999996</v>
      </c>
      <c r="F2084" s="59">
        <v>42816</v>
      </c>
      <c r="G2084" s="15">
        <f t="shared" si="65"/>
        <v>4739.3999999999996</v>
      </c>
      <c r="H2084" s="15">
        <f t="shared" si="66"/>
        <v>0</v>
      </c>
    </row>
    <row r="2085" spans="1:8" ht="15.75" x14ac:dyDescent="0.25">
      <c r="A2085" s="51">
        <v>42812</v>
      </c>
      <c r="B2085" s="52" t="s">
        <v>9893</v>
      </c>
      <c r="C2085" s="18">
        <v>104863</v>
      </c>
      <c r="D2085" s="2" t="s">
        <v>159</v>
      </c>
      <c r="E2085" s="15">
        <v>9562</v>
      </c>
      <c r="F2085" s="59">
        <v>42812</v>
      </c>
      <c r="G2085" s="15">
        <f t="shared" si="65"/>
        <v>9562</v>
      </c>
      <c r="H2085" s="15">
        <f t="shared" si="66"/>
        <v>0</v>
      </c>
    </row>
    <row r="2086" spans="1:8" ht="15.75" x14ac:dyDescent="0.25">
      <c r="A2086" s="51">
        <v>42812</v>
      </c>
      <c r="B2086" s="52" t="s">
        <v>9894</v>
      </c>
      <c r="C2086" s="18">
        <v>104864</v>
      </c>
      <c r="D2086" s="2" t="s">
        <v>30</v>
      </c>
      <c r="E2086" s="15">
        <v>18367.8</v>
      </c>
      <c r="F2086" s="59">
        <v>42812</v>
      </c>
      <c r="G2086" s="15">
        <f t="shared" si="65"/>
        <v>18367.8</v>
      </c>
      <c r="H2086" s="15">
        <f t="shared" si="66"/>
        <v>0</v>
      </c>
    </row>
    <row r="2087" spans="1:8" ht="15.75" x14ac:dyDescent="0.25">
      <c r="A2087" s="51">
        <v>42812</v>
      </c>
      <c r="B2087" s="52" t="s">
        <v>9895</v>
      </c>
      <c r="C2087" s="18">
        <v>104865</v>
      </c>
      <c r="D2087" s="2" t="s">
        <v>30</v>
      </c>
      <c r="E2087" s="15">
        <v>2598.3000000000002</v>
      </c>
      <c r="F2087" s="59">
        <v>42812</v>
      </c>
      <c r="G2087" s="15">
        <f t="shared" si="65"/>
        <v>2598.3000000000002</v>
      </c>
      <c r="H2087" s="15">
        <f t="shared" si="66"/>
        <v>0</v>
      </c>
    </row>
    <row r="2088" spans="1:8" ht="15.75" x14ac:dyDescent="0.25">
      <c r="A2088" s="51">
        <v>42812</v>
      </c>
      <c r="B2088" s="52" t="s">
        <v>9896</v>
      </c>
      <c r="C2088" s="18">
        <v>104866</v>
      </c>
      <c r="D2088" s="2" t="s">
        <v>472</v>
      </c>
      <c r="E2088" s="15">
        <v>9235.2000000000007</v>
      </c>
      <c r="F2088" s="59">
        <v>42816</v>
      </c>
      <c r="G2088" s="15">
        <f t="shared" si="65"/>
        <v>9235.2000000000007</v>
      </c>
      <c r="H2088" s="15">
        <f t="shared" si="66"/>
        <v>0</v>
      </c>
    </row>
    <row r="2089" spans="1:8" ht="15.75" x14ac:dyDescent="0.25">
      <c r="A2089" s="51">
        <v>42812</v>
      </c>
      <c r="B2089" s="52" t="s">
        <v>9897</v>
      </c>
      <c r="C2089" s="18">
        <v>104867</v>
      </c>
      <c r="D2089" s="2" t="s">
        <v>422</v>
      </c>
      <c r="E2089" s="15">
        <v>3180.6</v>
      </c>
      <c r="F2089" s="59">
        <v>42812</v>
      </c>
      <c r="G2089" s="15">
        <f t="shared" si="65"/>
        <v>3180.6</v>
      </c>
      <c r="H2089" s="15">
        <f t="shared" si="66"/>
        <v>0</v>
      </c>
    </row>
    <row r="2090" spans="1:8" ht="15.75" x14ac:dyDescent="0.25">
      <c r="A2090" s="51">
        <v>42812</v>
      </c>
      <c r="B2090" s="52" t="s">
        <v>9898</v>
      </c>
      <c r="C2090" s="18">
        <v>104868</v>
      </c>
      <c r="D2090" s="2" t="s">
        <v>30</v>
      </c>
      <c r="E2090" s="15">
        <v>750</v>
      </c>
      <c r="F2090" s="59">
        <v>42812</v>
      </c>
      <c r="G2090" s="15">
        <f t="shared" si="65"/>
        <v>750</v>
      </c>
      <c r="H2090" s="15">
        <f t="shared" si="66"/>
        <v>0</v>
      </c>
    </row>
    <row r="2091" spans="1:8" ht="15.75" x14ac:dyDescent="0.25">
      <c r="A2091" s="51">
        <v>42812</v>
      </c>
      <c r="B2091" s="52" t="s">
        <v>9899</v>
      </c>
      <c r="C2091" s="18">
        <v>104869</v>
      </c>
      <c r="D2091" s="2" t="s">
        <v>30</v>
      </c>
      <c r="E2091" s="15">
        <v>1891.4</v>
      </c>
      <c r="F2091" s="59">
        <v>42812</v>
      </c>
      <c r="G2091" s="15">
        <f t="shared" si="65"/>
        <v>1891.4</v>
      </c>
      <c r="H2091" s="15">
        <f t="shared" si="66"/>
        <v>0</v>
      </c>
    </row>
    <row r="2092" spans="1:8" ht="15.75" x14ac:dyDescent="0.25">
      <c r="A2092" s="51">
        <v>42812</v>
      </c>
      <c r="B2092" s="52" t="s">
        <v>9900</v>
      </c>
      <c r="C2092" s="18">
        <v>104870</v>
      </c>
      <c r="D2092" s="2" t="s">
        <v>1634</v>
      </c>
      <c r="E2092" s="15">
        <v>2080</v>
      </c>
      <c r="F2092" s="59">
        <v>42812</v>
      </c>
      <c r="G2092" s="15">
        <f t="shared" si="65"/>
        <v>2080</v>
      </c>
      <c r="H2092" s="15">
        <f t="shared" si="66"/>
        <v>0</v>
      </c>
    </row>
    <row r="2093" spans="1:8" ht="15.75" x14ac:dyDescent="0.25">
      <c r="A2093" s="51">
        <v>42812</v>
      </c>
      <c r="B2093" s="52" t="s">
        <v>9901</v>
      </c>
      <c r="C2093" s="18">
        <v>104871</v>
      </c>
      <c r="D2093" s="2" t="s">
        <v>12</v>
      </c>
      <c r="E2093" s="15">
        <v>3001.5</v>
      </c>
      <c r="F2093" s="59">
        <v>42812</v>
      </c>
      <c r="G2093" s="15">
        <f t="shared" si="65"/>
        <v>3001.5</v>
      </c>
      <c r="H2093" s="15">
        <f t="shared" si="66"/>
        <v>0</v>
      </c>
    </row>
    <row r="2094" spans="1:8" ht="15.75" x14ac:dyDescent="0.25">
      <c r="A2094" s="51">
        <v>42812</v>
      </c>
      <c r="B2094" s="52" t="s">
        <v>9902</v>
      </c>
      <c r="C2094" s="18">
        <v>104872</v>
      </c>
      <c r="D2094" s="2" t="s">
        <v>492</v>
      </c>
      <c r="E2094" s="15">
        <v>25813.200000000001</v>
      </c>
      <c r="F2094" s="59">
        <v>42816</v>
      </c>
      <c r="G2094" s="15">
        <f t="shared" si="65"/>
        <v>25813.200000000001</v>
      </c>
      <c r="H2094" s="15">
        <f t="shared" si="66"/>
        <v>0</v>
      </c>
    </row>
    <row r="2095" spans="1:8" ht="15.75" x14ac:dyDescent="0.25">
      <c r="A2095" s="51">
        <v>42812</v>
      </c>
      <c r="B2095" s="52" t="s">
        <v>9903</v>
      </c>
      <c r="C2095" s="18">
        <v>104873</v>
      </c>
      <c r="D2095" s="2" t="s">
        <v>879</v>
      </c>
      <c r="E2095" s="15">
        <v>2822.4</v>
      </c>
      <c r="F2095" s="59">
        <v>42812</v>
      </c>
      <c r="G2095" s="15">
        <f t="shared" si="65"/>
        <v>2822.4</v>
      </c>
      <c r="H2095" s="15">
        <f t="shared" si="66"/>
        <v>0</v>
      </c>
    </row>
    <row r="2096" spans="1:8" ht="15.75" x14ac:dyDescent="0.25">
      <c r="A2096" s="51">
        <v>42812</v>
      </c>
      <c r="B2096" s="52" t="s">
        <v>9904</v>
      </c>
      <c r="C2096" s="18">
        <v>104874</v>
      </c>
      <c r="D2096" s="2" t="s">
        <v>141</v>
      </c>
      <c r="E2096" s="15">
        <v>11356.9</v>
      </c>
      <c r="F2096" s="59">
        <v>42812</v>
      </c>
      <c r="G2096" s="15">
        <f t="shared" si="65"/>
        <v>11356.9</v>
      </c>
      <c r="H2096" s="15">
        <f t="shared" si="66"/>
        <v>0</v>
      </c>
    </row>
    <row r="2097" spans="1:8" ht="15.75" x14ac:dyDescent="0.25">
      <c r="A2097" s="51">
        <v>42812</v>
      </c>
      <c r="B2097" s="52" t="s">
        <v>9905</v>
      </c>
      <c r="C2097" s="18">
        <v>104875</v>
      </c>
      <c r="D2097" s="2" t="s">
        <v>7419</v>
      </c>
      <c r="E2097" s="15">
        <v>4254.5</v>
      </c>
      <c r="F2097" s="59">
        <v>42812</v>
      </c>
      <c r="G2097" s="15">
        <f t="shared" si="65"/>
        <v>4254.5</v>
      </c>
      <c r="H2097" s="15">
        <f t="shared" si="66"/>
        <v>0</v>
      </c>
    </row>
    <row r="2098" spans="1:8" ht="15.75" x14ac:dyDescent="0.25">
      <c r="A2098" s="51">
        <v>42812</v>
      </c>
      <c r="B2098" s="52" t="s">
        <v>9906</v>
      </c>
      <c r="C2098" s="18">
        <v>104876</v>
      </c>
      <c r="D2098" s="2" t="s">
        <v>9907</v>
      </c>
      <c r="E2098" s="15">
        <v>14407.2</v>
      </c>
      <c r="F2098" s="59">
        <v>42812</v>
      </c>
      <c r="G2098" s="15">
        <f t="shared" si="65"/>
        <v>14407.2</v>
      </c>
      <c r="H2098" s="15">
        <f t="shared" si="66"/>
        <v>0</v>
      </c>
    </row>
    <row r="2099" spans="1:8" ht="15.75" x14ac:dyDescent="0.25">
      <c r="A2099" s="51">
        <v>42812</v>
      </c>
      <c r="B2099" s="52" t="s">
        <v>9908</v>
      </c>
      <c r="C2099" s="18">
        <v>104877</v>
      </c>
      <c r="D2099" s="2" t="s">
        <v>1830</v>
      </c>
      <c r="E2099" s="15">
        <v>14468</v>
      </c>
      <c r="F2099" s="59">
        <v>42812</v>
      </c>
      <c r="G2099" s="15">
        <f t="shared" si="65"/>
        <v>14468</v>
      </c>
      <c r="H2099" s="15">
        <f t="shared" si="66"/>
        <v>0</v>
      </c>
    </row>
    <row r="2100" spans="1:8" ht="15.75" x14ac:dyDescent="0.25">
      <c r="A2100" s="51">
        <v>42812</v>
      </c>
      <c r="B2100" s="52" t="s">
        <v>9909</v>
      </c>
      <c r="C2100" s="18">
        <v>104878</v>
      </c>
      <c r="D2100" s="2" t="s">
        <v>125</v>
      </c>
      <c r="E2100" s="15">
        <v>8906.4</v>
      </c>
      <c r="F2100" s="59">
        <v>42812</v>
      </c>
      <c r="G2100" s="15">
        <f t="shared" si="65"/>
        <v>8906.4</v>
      </c>
      <c r="H2100" s="15">
        <f t="shared" si="66"/>
        <v>0</v>
      </c>
    </row>
    <row r="2101" spans="1:8" ht="15.75" x14ac:dyDescent="0.25">
      <c r="A2101" s="51">
        <v>42812</v>
      </c>
      <c r="B2101" s="52" t="s">
        <v>9910</v>
      </c>
      <c r="C2101" s="18">
        <v>104879</v>
      </c>
      <c r="D2101" s="2" t="s">
        <v>131</v>
      </c>
      <c r="E2101" s="15">
        <v>10715.2</v>
      </c>
      <c r="F2101" s="59">
        <v>42812</v>
      </c>
      <c r="G2101" s="15">
        <f t="shared" si="65"/>
        <v>10715.2</v>
      </c>
      <c r="H2101" s="15">
        <f t="shared" si="66"/>
        <v>0</v>
      </c>
    </row>
    <row r="2102" spans="1:8" ht="15.75" x14ac:dyDescent="0.25">
      <c r="A2102" s="51">
        <v>42812</v>
      </c>
      <c r="B2102" s="52" t="s">
        <v>9911</v>
      </c>
      <c r="C2102" s="18">
        <v>104880</v>
      </c>
      <c r="D2102" s="2" t="s">
        <v>470</v>
      </c>
      <c r="E2102" s="15">
        <v>14315</v>
      </c>
      <c r="F2102" s="59">
        <v>42812</v>
      </c>
      <c r="G2102" s="15">
        <f t="shared" si="65"/>
        <v>14315</v>
      </c>
      <c r="H2102" s="15">
        <f t="shared" si="66"/>
        <v>0</v>
      </c>
    </row>
    <row r="2103" spans="1:8" ht="15.75" x14ac:dyDescent="0.25">
      <c r="A2103" s="51">
        <v>42812</v>
      </c>
      <c r="B2103" s="52" t="s">
        <v>9912</v>
      </c>
      <c r="C2103" s="18">
        <v>104881</v>
      </c>
      <c r="D2103" s="2" t="s">
        <v>10</v>
      </c>
      <c r="E2103" s="15">
        <v>314238.05</v>
      </c>
      <c r="F2103" s="59">
        <v>42815</v>
      </c>
      <c r="G2103" s="15">
        <f t="shared" si="65"/>
        <v>314238.05</v>
      </c>
      <c r="H2103" s="15">
        <f t="shared" si="66"/>
        <v>0</v>
      </c>
    </row>
    <row r="2104" spans="1:8" ht="15.75" x14ac:dyDescent="0.25">
      <c r="A2104" s="51">
        <v>42812</v>
      </c>
      <c r="B2104" s="52" t="s">
        <v>9913</v>
      </c>
      <c r="C2104" s="18">
        <v>104882</v>
      </c>
      <c r="D2104" s="2" t="s">
        <v>10</v>
      </c>
      <c r="E2104" s="15">
        <v>48893.599999999999</v>
      </c>
      <c r="F2104" s="59">
        <v>42815</v>
      </c>
      <c r="G2104" s="15">
        <f t="shared" si="65"/>
        <v>48893.599999999999</v>
      </c>
      <c r="H2104" s="15">
        <f t="shared" si="66"/>
        <v>0</v>
      </c>
    </row>
    <row r="2105" spans="1:8" ht="15.75" x14ac:dyDescent="0.25">
      <c r="A2105" s="51">
        <v>42812</v>
      </c>
      <c r="B2105" s="52" t="s">
        <v>9914</v>
      </c>
      <c r="C2105" s="18">
        <v>104883</v>
      </c>
      <c r="D2105" s="13" t="s">
        <v>302</v>
      </c>
      <c r="E2105" s="14">
        <v>0</v>
      </c>
      <c r="F2105" s="102" t="s">
        <v>95</v>
      </c>
      <c r="G2105" s="14">
        <f t="shared" si="65"/>
        <v>0</v>
      </c>
      <c r="H2105" s="14">
        <f t="shared" si="66"/>
        <v>0</v>
      </c>
    </row>
    <row r="2106" spans="1:8" ht="15.75" x14ac:dyDescent="0.25">
      <c r="A2106" s="51">
        <v>42812</v>
      </c>
      <c r="B2106" s="52" t="s">
        <v>9915</v>
      </c>
      <c r="C2106" s="18">
        <v>104884</v>
      </c>
      <c r="D2106" s="2" t="s">
        <v>531</v>
      </c>
      <c r="E2106" s="15">
        <v>35315.699999999997</v>
      </c>
      <c r="F2106" s="59">
        <v>42812</v>
      </c>
      <c r="G2106" s="15">
        <f t="shared" si="65"/>
        <v>35315.699999999997</v>
      </c>
      <c r="H2106" s="15">
        <f t="shared" si="66"/>
        <v>0</v>
      </c>
    </row>
    <row r="2107" spans="1:8" ht="15.75" x14ac:dyDescent="0.25">
      <c r="A2107" s="51">
        <v>42812</v>
      </c>
      <c r="B2107" s="52" t="s">
        <v>9916</v>
      </c>
      <c r="C2107" s="18">
        <v>104885</v>
      </c>
      <c r="D2107" s="2" t="s">
        <v>264</v>
      </c>
      <c r="E2107" s="15">
        <v>14600</v>
      </c>
      <c r="F2107" s="59">
        <v>42812</v>
      </c>
      <c r="G2107" s="15">
        <f t="shared" si="65"/>
        <v>14600</v>
      </c>
      <c r="H2107" s="15">
        <f t="shared" si="66"/>
        <v>0</v>
      </c>
    </row>
    <row r="2108" spans="1:8" ht="15.75" x14ac:dyDescent="0.25">
      <c r="A2108" s="51">
        <v>42812</v>
      </c>
      <c r="B2108" s="52" t="s">
        <v>9917</v>
      </c>
      <c r="C2108" s="18">
        <v>104886</v>
      </c>
      <c r="D2108" s="2" t="s">
        <v>9918</v>
      </c>
      <c r="E2108" s="15">
        <v>783.8</v>
      </c>
      <c r="F2108" s="59">
        <v>42812</v>
      </c>
      <c r="G2108" s="15">
        <f t="shared" si="65"/>
        <v>783.8</v>
      </c>
      <c r="H2108" s="15">
        <f t="shared" si="66"/>
        <v>0</v>
      </c>
    </row>
    <row r="2109" spans="1:8" ht="15.75" x14ac:dyDescent="0.25">
      <c r="A2109" s="51">
        <v>42812</v>
      </c>
      <c r="B2109" s="52" t="s">
        <v>9919</v>
      </c>
      <c r="C2109" s="18">
        <v>104887</v>
      </c>
      <c r="D2109" s="2" t="s">
        <v>405</v>
      </c>
      <c r="E2109" s="15">
        <v>1516.8</v>
      </c>
      <c r="F2109" s="59">
        <v>42812</v>
      </c>
      <c r="G2109" s="15">
        <f t="shared" si="65"/>
        <v>1516.8</v>
      </c>
      <c r="H2109" s="15">
        <f t="shared" si="66"/>
        <v>0</v>
      </c>
    </row>
    <row r="2110" spans="1:8" ht="15.75" x14ac:dyDescent="0.25">
      <c r="A2110" s="51">
        <v>42812</v>
      </c>
      <c r="B2110" s="52" t="s">
        <v>9920</v>
      </c>
      <c r="C2110" s="18">
        <v>104888</v>
      </c>
      <c r="D2110" s="2" t="s">
        <v>7182</v>
      </c>
      <c r="E2110" s="15">
        <v>1089.5999999999999</v>
      </c>
      <c r="G2110" s="15">
        <f t="shared" si="65"/>
        <v>1089.5999999999999</v>
      </c>
      <c r="H2110" s="15">
        <f t="shared" si="66"/>
        <v>0</v>
      </c>
    </row>
    <row r="2111" spans="1:8" ht="15.75" x14ac:dyDescent="0.25">
      <c r="A2111" s="51">
        <v>42812</v>
      </c>
      <c r="B2111" s="52" t="s">
        <v>9921</v>
      </c>
      <c r="C2111" s="18">
        <v>104889</v>
      </c>
      <c r="D2111" s="2" t="s">
        <v>523</v>
      </c>
      <c r="E2111" s="15">
        <v>23338.799999999999</v>
      </c>
      <c r="F2111" s="59">
        <v>42823</v>
      </c>
      <c r="G2111" s="15">
        <f t="shared" si="65"/>
        <v>23338.799999999999</v>
      </c>
      <c r="H2111" s="15">
        <f t="shared" si="66"/>
        <v>0</v>
      </c>
    </row>
    <row r="2112" spans="1:8" ht="15.75" x14ac:dyDescent="0.25">
      <c r="A2112" s="51">
        <v>42812</v>
      </c>
      <c r="B2112" s="52" t="s">
        <v>9922</v>
      </c>
      <c r="C2112" s="18">
        <v>104890</v>
      </c>
      <c r="D2112" s="2" t="s">
        <v>2533</v>
      </c>
      <c r="E2112" s="15">
        <v>582.4</v>
      </c>
      <c r="G2112" s="15">
        <f t="shared" si="65"/>
        <v>582.4</v>
      </c>
      <c r="H2112" s="15">
        <f t="shared" si="66"/>
        <v>0</v>
      </c>
    </row>
    <row r="2113" spans="1:9" ht="15.75" x14ac:dyDescent="0.25">
      <c r="A2113" s="51">
        <v>42812</v>
      </c>
      <c r="B2113" s="52" t="s">
        <v>9923</v>
      </c>
      <c r="C2113" s="18">
        <v>104891</v>
      </c>
      <c r="D2113" s="2" t="s">
        <v>193</v>
      </c>
      <c r="E2113" s="15">
        <v>3717</v>
      </c>
      <c r="G2113" s="15">
        <f t="shared" si="65"/>
        <v>3717</v>
      </c>
      <c r="H2113" s="15">
        <f t="shared" si="66"/>
        <v>0</v>
      </c>
    </row>
    <row r="2114" spans="1:9" ht="15.75" x14ac:dyDescent="0.25">
      <c r="A2114" s="51">
        <v>42812</v>
      </c>
      <c r="B2114" s="52" t="s">
        <v>9924</v>
      </c>
      <c r="C2114" s="18">
        <v>104892</v>
      </c>
      <c r="D2114" s="2" t="s">
        <v>182</v>
      </c>
      <c r="E2114" s="15">
        <v>4800</v>
      </c>
      <c r="G2114" s="15">
        <f t="shared" si="65"/>
        <v>4800</v>
      </c>
      <c r="H2114" s="15">
        <f t="shared" si="66"/>
        <v>0</v>
      </c>
    </row>
    <row r="2115" spans="1:9" ht="15.75" x14ac:dyDescent="0.25">
      <c r="A2115" s="51">
        <v>42812</v>
      </c>
      <c r="B2115" s="52" t="s">
        <v>9925</v>
      </c>
      <c r="C2115" s="18">
        <v>104893</v>
      </c>
      <c r="D2115" s="2" t="s">
        <v>693</v>
      </c>
      <c r="E2115" s="15">
        <v>16319.2</v>
      </c>
      <c r="G2115" s="15">
        <f t="shared" si="65"/>
        <v>16319.2</v>
      </c>
      <c r="H2115" s="15">
        <f t="shared" si="66"/>
        <v>0</v>
      </c>
    </row>
    <row r="2116" spans="1:9" ht="15.75" x14ac:dyDescent="0.25">
      <c r="A2116" s="51">
        <v>42812</v>
      </c>
      <c r="B2116" s="52" t="s">
        <v>9926</v>
      </c>
      <c r="C2116" s="18">
        <v>104894</v>
      </c>
      <c r="D2116" s="2" t="s">
        <v>115</v>
      </c>
      <c r="E2116" s="15">
        <v>671.4</v>
      </c>
      <c r="F2116" s="59">
        <v>42812</v>
      </c>
      <c r="G2116" s="15">
        <f t="shared" ref="G2116:G2179" si="67">E2116</f>
        <v>671.4</v>
      </c>
      <c r="H2116" s="15">
        <f t="shared" ref="H2116:H2179" si="68">E2116-G2116</f>
        <v>0</v>
      </c>
    </row>
    <row r="2117" spans="1:9" ht="15.75" x14ac:dyDescent="0.25">
      <c r="A2117" s="51">
        <v>42812</v>
      </c>
      <c r="B2117" s="52" t="s">
        <v>9927</v>
      </c>
      <c r="C2117" s="18">
        <v>104895</v>
      </c>
      <c r="D2117" s="2" t="s">
        <v>10</v>
      </c>
      <c r="E2117" s="15">
        <v>78926.7</v>
      </c>
      <c r="F2117" s="64" t="s">
        <v>9928</v>
      </c>
      <c r="G2117" s="20">
        <f>14057.47+64869.23</f>
        <v>78926.7</v>
      </c>
      <c r="H2117" s="20">
        <f t="shared" si="68"/>
        <v>0</v>
      </c>
    </row>
    <row r="2118" spans="1:9" ht="15.75" x14ac:dyDescent="0.25">
      <c r="A2118" s="51">
        <v>42812</v>
      </c>
      <c r="B2118" s="52" t="s">
        <v>9929</v>
      </c>
      <c r="C2118" s="18">
        <v>104896</v>
      </c>
      <c r="D2118" s="2" t="s">
        <v>302</v>
      </c>
      <c r="E2118" s="15">
        <v>4992</v>
      </c>
      <c r="G2118" s="15">
        <f t="shared" si="67"/>
        <v>4992</v>
      </c>
      <c r="H2118" s="15">
        <f t="shared" si="68"/>
        <v>0</v>
      </c>
    </row>
    <row r="2119" spans="1:9" ht="15.75" x14ac:dyDescent="0.25">
      <c r="A2119" s="51">
        <v>42812</v>
      </c>
      <c r="B2119" s="52" t="s">
        <v>9930</v>
      </c>
      <c r="C2119" s="18">
        <v>104897</v>
      </c>
      <c r="D2119" s="2" t="s">
        <v>379</v>
      </c>
      <c r="E2119" s="15">
        <v>1204.8</v>
      </c>
      <c r="F2119" s="59">
        <v>42818</v>
      </c>
      <c r="G2119" s="15">
        <f t="shared" si="67"/>
        <v>1204.8</v>
      </c>
      <c r="H2119" s="15">
        <f t="shared" si="68"/>
        <v>0</v>
      </c>
      <c r="I2119" s="19"/>
    </row>
    <row r="2120" spans="1:9" ht="15.75" x14ac:dyDescent="0.25">
      <c r="A2120" s="51">
        <v>42812</v>
      </c>
      <c r="B2120" s="52" t="s">
        <v>9931</v>
      </c>
      <c r="C2120" s="18">
        <v>104898</v>
      </c>
      <c r="D2120" s="2" t="s">
        <v>118</v>
      </c>
      <c r="E2120" s="15">
        <v>2972.4</v>
      </c>
      <c r="F2120" s="59">
        <v>42812</v>
      </c>
      <c r="G2120" s="15">
        <f t="shared" si="67"/>
        <v>2972.4</v>
      </c>
      <c r="H2120" s="15">
        <f t="shared" si="68"/>
        <v>0</v>
      </c>
      <c r="I2120" s="19"/>
    </row>
    <row r="2121" spans="1:9" ht="15.75" x14ac:dyDescent="0.25">
      <c r="A2121" s="51">
        <v>42812</v>
      </c>
      <c r="B2121" s="52" t="s">
        <v>9932</v>
      </c>
      <c r="C2121" s="18">
        <v>104899</v>
      </c>
      <c r="D2121" s="2" t="s">
        <v>686</v>
      </c>
      <c r="E2121" s="15">
        <v>15102.2</v>
      </c>
      <c r="F2121" s="59">
        <v>42812</v>
      </c>
      <c r="G2121" s="15">
        <f t="shared" si="67"/>
        <v>15102.2</v>
      </c>
      <c r="H2121" s="15">
        <f t="shared" si="68"/>
        <v>0</v>
      </c>
      <c r="I2121" s="19"/>
    </row>
    <row r="2122" spans="1:9" ht="15.75" x14ac:dyDescent="0.25">
      <c r="A2122" s="51">
        <v>42812</v>
      </c>
      <c r="B2122" s="52" t="s">
        <v>9933</v>
      </c>
      <c r="C2122" s="18">
        <v>104900</v>
      </c>
      <c r="D2122" s="2" t="s">
        <v>358</v>
      </c>
      <c r="E2122" s="15">
        <v>32070.5</v>
      </c>
      <c r="G2122" s="15">
        <f t="shared" si="67"/>
        <v>32070.5</v>
      </c>
      <c r="H2122" s="15">
        <f t="shared" si="68"/>
        <v>0</v>
      </c>
      <c r="I2122" s="19"/>
    </row>
    <row r="2123" spans="1:9" ht="15.75" x14ac:dyDescent="0.25">
      <c r="A2123" s="51">
        <v>42812</v>
      </c>
      <c r="B2123" s="52" t="s">
        <v>9934</v>
      </c>
      <c r="C2123" s="18">
        <v>104901</v>
      </c>
      <c r="D2123" s="2" t="s">
        <v>21</v>
      </c>
      <c r="E2123" s="15">
        <v>43130.3</v>
      </c>
      <c r="F2123" s="59">
        <v>42825</v>
      </c>
      <c r="G2123" s="15">
        <f t="shared" si="67"/>
        <v>43130.3</v>
      </c>
      <c r="H2123" s="15">
        <f t="shared" si="68"/>
        <v>0</v>
      </c>
      <c r="I2123" s="19"/>
    </row>
    <row r="2124" spans="1:9" ht="15.75" x14ac:dyDescent="0.25">
      <c r="A2124" s="51">
        <v>42812</v>
      </c>
      <c r="B2124" s="52" t="s">
        <v>9935</v>
      </c>
      <c r="C2124" s="18">
        <v>104902</v>
      </c>
      <c r="D2124" s="2" t="s">
        <v>10</v>
      </c>
      <c r="E2124" s="15">
        <v>39851.5</v>
      </c>
      <c r="F2124" s="59">
        <v>42791</v>
      </c>
      <c r="G2124" s="15">
        <f t="shared" si="67"/>
        <v>39851.5</v>
      </c>
      <c r="H2124" s="15">
        <f t="shared" si="68"/>
        <v>0</v>
      </c>
      <c r="I2124" s="19"/>
    </row>
    <row r="2125" spans="1:9" ht="15.75" x14ac:dyDescent="0.25">
      <c r="A2125" s="51">
        <v>42812</v>
      </c>
      <c r="B2125" s="52" t="s">
        <v>9936</v>
      </c>
      <c r="C2125" s="18">
        <v>104903</v>
      </c>
      <c r="D2125" s="2" t="s">
        <v>222</v>
      </c>
      <c r="E2125" s="15">
        <v>13500</v>
      </c>
      <c r="F2125" s="59">
        <v>43062</v>
      </c>
      <c r="G2125" s="15">
        <f t="shared" si="67"/>
        <v>13500</v>
      </c>
      <c r="H2125" s="15">
        <f t="shared" si="68"/>
        <v>0</v>
      </c>
      <c r="I2125" s="19"/>
    </row>
    <row r="2126" spans="1:9" ht="15.75" x14ac:dyDescent="0.25">
      <c r="A2126" s="51">
        <v>42812</v>
      </c>
      <c r="B2126" s="52" t="s">
        <v>9937</v>
      </c>
      <c r="C2126" s="18">
        <v>104904</v>
      </c>
      <c r="D2126" s="2" t="s">
        <v>222</v>
      </c>
      <c r="E2126" s="15">
        <v>23755.8</v>
      </c>
      <c r="F2126" s="64" t="s">
        <v>9938</v>
      </c>
      <c r="G2126" s="20">
        <f>138+23617.8</f>
        <v>23755.8</v>
      </c>
      <c r="H2126" s="20">
        <f t="shared" si="68"/>
        <v>0</v>
      </c>
      <c r="I2126" s="19"/>
    </row>
    <row r="2127" spans="1:9" ht="15.75" x14ac:dyDescent="0.25">
      <c r="A2127" s="51">
        <v>42812</v>
      </c>
      <c r="B2127" s="52" t="s">
        <v>9939</v>
      </c>
      <c r="C2127" s="18">
        <v>104905</v>
      </c>
      <c r="D2127" s="2" t="s">
        <v>10</v>
      </c>
      <c r="E2127" s="15">
        <v>8080</v>
      </c>
      <c r="F2127" s="59">
        <v>42791</v>
      </c>
      <c r="G2127" s="15">
        <f t="shared" si="67"/>
        <v>8080</v>
      </c>
      <c r="H2127" s="15">
        <f t="shared" si="68"/>
        <v>0</v>
      </c>
      <c r="I2127" s="19"/>
    </row>
    <row r="2128" spans="1:9" ht="15.75" x14ac:dyDescent="0.25">
      <c r="A2128" s="51">
        <v>42812</v>
      </c>
      <c r="B2128" s="52" t="s">
        <v>9940</v>
      </c>
      <c r="C2128" s="18">
        <v>104906</v>
      </c>
      <c r="D2128" s="2" t="s">
        <v>222</v>
      </c>
      <c r="E2128" s="15">
        <v>384552</v>
      </c>
      <c r="F2128" s="59">
        <v>43062</v>
      </c>
      <c r="G2128" s="15">
        <f t="shared" si="67"/>
        <v>384552</v>
      </c>
      <c r="H2128" s="15">
        <f t="shared" si="68"/>
        <v>0</v>
      </c>
      <c r="I2128" s="19"/>
    </row>
    <row r="2129" spans="1:9" ht="15.75" x14ac:dyDescent="0.25">
      <c r="A2129" s="51">
        <v>42812</v>
      </c>
      <c r="B2129" s="52" t="s">
        <v>9941</v>
      </c>
      <c r="C2129" s="18">
        <v>104907</v>
      </c>
      <c r="D2129" s="2" t="s">
        <v>222</v>
      </c>
      <c r="E2129" s="15">
        <v>399127.5</v>
      </c>
      <c r="F2129" s="59">
        <v>43062</v>
      </c>
      <c r="G2129" s="15">
        <f t="shared" si="67"/>
        <v>399127.5</v>
      </c>
      <c r="H2129" s="15">
        <f t="shared" si="68"/>
        <v>0</v>
      </c>
      <c r="I2129" s="19"/>
    </row>
    <row r="2130" spans="1:9" ht="15.75" x14ac:dyDescent="0.25">
      <c r="A2130" s="51">
        <v>42812</v>
      </c>
      <c r="B2130" s="52" t="s">
        <v>9942</v>
      </c>
      <c r="C2130" s="18">
        <v>104908</v>
      </c>
      <c r="D2130" s="2" t="s">
        <v>9110</v>
      </c>
      <c r="E2130" s="15">
        <v>10312</v>
      </c>
      <c r="G2130" s="15">
        <f t="shared" si="67"/>
        <v>10312</v>
      </c>
      <c r="H2130" s="15">
        <f t="shared" si="68"/>
        <v>0</v>
      </c>
      <c r="I2130" s="19"/>
    </row>
    <row r="2131" spans="1:9" ht="15.75" x14ac:dyDescent="0.25">
      <c r="A2131" s="51">
        <v>42812</v>
      </c>
      <c r="B2131" s="52" t="s">
        <v>9943</v>
      </c>
      <c r="C2131" s="18">
        <v>104909</v>
      </c>
      <c r="D2131" s="2" t="s">
        <v>472</v>
      </c>
      <c r="E2131" s="15">
        <v>1404</v>
      </c>
      <c r="F2131" s="59">
        <v>42816</v>
      </c>
      <c r="G2131" s="15">
        <f t="shared" si="67"/>
        <v>1404</v>
      </c>
      <c r="H2131" s="15">
        <f t="shared" si="68"/>
        <v>0</v>
      </c>
      <c r="I2131" s="19"/>
    </row>
    <row r="2132" spans="1:9" ht="15.75" x14ac:dyDescent="0.25">
      <c r="A2132" s="51">
        <v>42812</v>
      </c>
      <c r="B2132" s="52" t="s">
        <v>9944</v>
      </c>
      <c r="C2132" s="18">
        <v>104910</v>
      </c>
      <c r="D2132" s="2" t="s">
        <v>921</v>
      </c>
      <c r="E2132" s="15">
        <v>10307.1</v>
      </c>
      <c r="F2132" s="59">
        <v>42812</v>
      </c>
      <c r="G2132" s="15">
        <f t="shared" si="67"/>
        <v>10307.1</v>
      </c>
      <c r="H2132" s="15">
        <f t="shared" si="68"/>
        <v>0</v>
      </c>
      <c r="I2132" s="19"/>
    </row>
    <row r="2133" spans="1:9" ht="15.75" x14ac:dyDescent="0.25">
      <c r="A2133" s="51">
        <v>42812</v>
      </c>
      <c r="B2133" s="52" t="s">
        <v>9945</v>
      </c>
      <c r="C2133" s="18">
        <v>104911</v>
      </c>
      <c r="D2133" s="2" t="s">
        <v>10</v>
      </c>
      <c r="E2133" s="15">
        <v>47407.6</v>
      </c>
      <c r="F2133" s="59">
        <v>42791</v>
      </c>
      <c r="G2133" s="15">
        <f t="shared" si="67"/>
        <v>47407.6</v>
      </c>
      <c r="H2133" s="15">
        <f t="shared" si="68"/>
        <v>0</v>
      </c>
      <c r="I2133" s="19"/>
    </row>
    <row r="2134" spans="1:9" ht="15.75" x14ac:dyDescent="0.25">
      <c r="A2134" s="51">
        <v>42812</v>
      </c>
      <c r="B2134" s="52" t="s">
        <v>9946</v>
      </c>
      <c r="C2134" s="18">
        <v>104912</v>
      </c>
      <c r="D2134" s="2" t="s">
        <v>354</v>
      </c>
      <c r="E2134" s="15">
        <v>601.4</v>
      </c>
      <c r="F2134" s="59">
        <v>42812</v>
      </c>
      <c r="G2134" s="15">
        <f t="shared" si="67"/>
        <v>601.4</v>
      </c>
      <c r="H2134" s="15">
        <f t="shared" si="68"/>
        <v>0</v>
      </c>
      <c r="I2134" s="19"/>
    </row>
    <row r="2135" spans="1:9" ht="15.75" x14ac:dyDescent="0.25">
      <c r="A2135" s="51">
        <v>42812</v>
      </c>
      <c r="B2135" s="52" t="s">
        <v>9947</v>
      </c>
      <c r="C2135" s="18">
        <v>104913</v>
      </c>
      <c r="D2135" s="2" t="s">
        <v>430</v>
      </c>
      <c r="E2135" s="15">
        <v>2649.6</v>
      </c>
      <c r="F2135" s="59">
        <v>42812</v>
      </c>
      <c r="G2135" s="15">
        <f t="shared" si="67"/>
        <v>2649.6</v>
      </c>
      <c r="H2135" s="15">
        <f t="shared" si="68"/>
        <v>0</v>
      </c>
      <c r="I2135" s="19"/>
    </row>
    <row r="2136" spans="1:9" ht="15.75" x14ac:dyDescent="0.25">
      <c r="A2136" s="51">
        <v>42813</v>
      </c>
      <c r="B2136" s="52" t="s">
        <v>9948</v>
      </c>
      <c r="C2136" s="18">
        <v>104914</v>
      </c>
      <c r="D2136" s="2" t="s">
        <v>28</v>
      </c>
      <c r="E2136" s="15">
        <v>4470.3999999999996</v>
      </c>
      <c r="G2136" s="15">
        <f t="shared" si="67"/>
        <v>4470.3999999999996</v>
      </c>
      <c r="H2136" s="15">
        <f t="shared" si="68"/>
        <v>0</v>
      </c>
      <c r="I2136" s="19"/>
    </row>
    <row r="2137" spans="1:9" ht="15.75" x14ac:dyDescent="0.25">
      <c r="A2137" s="51">
        <v>42813</v>
      </c>
      <c r="B2137" s="52" t="s">
        <v>9949</v>
      </c>
      <c r="C2137" s="18">
        <v>104915</v>
      </c>
      <c r="D2137" s="2" t="s">
        <v>231</v>
      </c>
      <c r="E2137" s="15">
        <v>5647.65</v>
      </c>
      <c r="G2137" s="15">
        <f t="shared" si="67"/>
        <v>5647.65</v>
      </c>
      <c r="H2137" s="15">
        <f t="shared" si="68"/>
        <v>0</v>
      </c>
      <c r="I2137" s="19"/>
    </row>
    <row r="2138" spans="1:9" ht="15.75" x14ac:dyDescent="0.25">
      <c r="A2138" s="51">
        <v>42813</v>
      </c>
      <c r="B2138" s="52" t="s">
        <v>9950</v>
      </c>
      <c r="C2138" s="18">
        <v>104916</v>
      </c>
      <c r="D2138" s="2" t="s">
        <v>17</v>
      </c>
      <c r="E2138" s="15">
        <v>5040</v>
      </c>
      <c r="G2138" s="15">
        <f t="shared" si="67"/>
        <v>5040</v>
      </c>
      <c r="H2138" s="15">
        <f t="shared" si="68"/>
        <v>0</v>
      </c>
      <c r="I2138" s="19"/>
    </row>
    <row r="2139" spans="1:9" ht="15.75" x14ac:dyDescent="0.25">
      <c r="A2139" s="51">
        <v>42813</v>
      </c>
      <c r="B2139" s="52" t="s">
        <v>9951</v>
      </c>
      <c r="C2139" s="18">
        <v>104917</v>
      </c>
      <c r="D2139" s="2" t="s">
        <v>721</v>
      </c>
      <c r="E2139" s="15">
        <v>7741.6</v>
      </c>
      <c r="G2139" s="15">
        <f t="shared" si="67"/>
        <v>7741.6</v>
      </c>
      <c r="H2139" s="15">
        <f t="shared" si="68"/>
        <v>0</v>
      </c>
      <c r="I2139" s="19"/>
    </row>
    <row r="2140" spans="1:9" ht="15.75" x14ac:dyDescent="0.25">
      <c r="A2140" s="51">
        <v>42813</v>
      </c>
      <c r="B2140" s="52" t="s">
        <v>9952</v>
      </c>
      <c r="C2140" s="18">
        <v>104918</v>
      </c>
      <c r="D2140" s="2" t="s">
        <v>1786</v>
      </c>
      <c r="E2140" s="15">
        <v>7848</v>
      </c>
      <c r="G2140" s="15">
        <f t="shared" si="67"/>
        <v>7848</v>
      </c>
      <c r="H2140" s="15">
        <f t="shared" si="68"/>
        <v>0</v>
      </c>
      <c r="I2140" s="19"/>
    </row>
    <row r="2141" spans="1:9" ht="15.75" x14ac:dyDescent="0.25">
      <c r="A2141" s="51">
        <v>42813</v>
      </c>
      <c r="B2141" s="52" t="s">
        <v>9953</v>
      </c>
      <c r="C2141" s="18">
        <v>104919</v>
      </c>
      <c r="D2141" s="2" t="s">
        <v>231</v>
      </c>
      <c r="E2141" s="15">
        <v>34477.5</v>
      </c>
      <c r="G2141" s="15">
        <f t="shared" si="67"/>
        <v>34477.5</v>
      </c>
      <c r="H2141" s="15">
        <f t="shared" si="68"/>
        <v>0</v>
      </c>
      <c r="I2141" s="19"/>
    </row>
    <row r="2142" spans="1:9" ht="15.75" x14ac:dyDescent="0.25">
      <c r="A2142" s="51">
        <v>42813</v>
      </c>
      <c r="B2142" s="52" t="s">
        <v>9954</v>
      </c>
      <c r="C2142" s="18">
        <v>104920</v>
      </c>
      <c r="D2142" s="2" t="s">
        <v>67</v>
      </c>
      <c r="E2142" s="15">
        <v>18397.400000000001</v>
      </c>
      <c r="G2142" s="15">
        <f t="shared" si="67"/>
        <v>18397.400000000001</v>
      </c>
      <c r="H2142" s="15">
        <f t="shared" si="68"/>
        <v>0</v>
      </c>
      <c r="I2142" s="19"/>
    </row>
    <row r="2143" spans="1:9" ht="15.75" x14ac:dyDescent="0.25">
      <c r="A2143" s="51">
        <v>42813</v>
      </c>
      <c r="B2143" s="52" t="s">
        <v>9955</v>
      </c>
      <c r="C2143" s="18">
        <v>104921</v>
      </c>
      <c r="D2143" s="2" t="s">
        <v>69</v>
      </c>
      <c r="E2143" s="15">
        <v>1269</v>
      </c>
      <c r="G2143" s="15">
        <f t="shared" si="67"/>
        <v>1269</v>
      </c>
      <c r="H2143" s="15">
        <f t="shared" si="68"/>
        <v>0</v>
      </c>
      <c r="I2143" s="19"/>
    </row>
    <row r="2144" spans="1:9" ht="15.75" x14ac:dyDescent="0.25">
      <c r="A2144" s="51">
        <v>42813</v>
      </c>
      <c r="B2144" s="52" t="s">
        <v>9956</v>
      </c>
      <c r="C2144" s="18">
        <v>104922</v>
      </c>
      <c r="D2144" s="2" t="s">
        <v>47</v>
      </c>
      <c r="E2144" s="15">
        <v>3067.8</v>
      </c>
      <c r="G2144" s="15">
        <f t="shared" si="67"/>
        <v>3067.8</v>
      </c>
      <c r="H2144" s="15">
        <f t="shared" si="68"/>
        <v>0</v>
      </c>
      <c r="I2144" s="19"/>
    </row>
    <row r="2145" spans="1:9" ht="15.75" x14ac:dyDescent="0.25">
      <c r="A2145" s="51">
        <v>42813</v>
      </c>
      <c r="B2145" s="52" t="s">
        <v>9957</v>
      </c>
      <c r="C2145" s="18">
        <v>104923</v>
      </c>
      <c r="D2145" s="2" t="s">
        <v>26</v>
      </c>
      <c r="E2145" s="15">
        <v>23547.360000000001</v>
      </c>
      <c r="G2145" s="15">
        <f t="shared" si="67"/>
        <v>23547.360000000001</v>
      </c>
      <c r="H2145" s="15">
        <f t="shared" si="68"/>
        <v>0</v>
      </c>
      <c r="I2145" s="19"/>
    </row>
    <row r="2146" spans="1:9" ht="15.75" x14ac:dyDescent="0.25">
      <c r="A2146" s="51">
        <v>42813</v>
      </c>
      <c r="B2146" s="52" t="s">
        <v>9958</v>
      </c>
      <c r="C2146" s="18">
        <v>104924</v>
      </c>
      <c r="D2146" s="2" t="s">
        <v>10</v>
      </c>
      <c r="E2146" s="15">
        <v>15767.9</v>
      </c>
      <c r="F2146" s="59">
        <v>42791</v>
      </c>
      <c r="G2146" s="15">
        <f t="shared" si="67"/>
        <v>15767.9</v>
      </c>
      <c r="H2146" s="15">
        <f t="shared" si="68"/>
        <v>0</v>
      </c>
      <c r="I2146" s="19"/>
    </row>
    <row r="2147" spans="1:9" ht="15.75" x14ac:dyDescent="0.25">
      <c r="A2147" s="51">
        <v>42813</v>
      </c>
      <c r="B2147" s="52" t="s">
        <v>9959</v>
      </c>
      <c r="C2147" s="18">
        <v>104925</v>
      </c>
      <c r="D2147" s="2" t="s">
        <v>143</v>
      </c>
      <c r="E2147" s="15">
        <v>2562.1999999999998</v>
      </c>
      <c r="G2147" s="15">
        <f t="shared" si="67"/>
        <v>2562.1999999999998</v>
      </c>
      <c r="H2147" s="15">
        <f t="shared" si="68"/>
        <v>0</v>
      </c>
      <c r="I2147" s="19"/>
    </row>
    <row r="2148" spans="1:9" ht="15.75" x14ac:dyDescent="0.25">
      <c r="A2148" s="51">
        <v>42813</v>
      </c>
      <c r="B2148" s="52" t="s">
        <v>9960</v>
      </c>
      <c r="C2148" s="18">
        <v>104926</v>
      </c>
      <c r="D2148" s="2" t="s">
        <v>17</v>
      </c>
      <c r="E2148" s="15">
        <v>240</v>
      </c>
      <c r="G2148" s="15">
        <f t="shared" si="67"/>
        <v>240</v>
      </c>
      <c r="H2148" s="15">
        <f t="shared" si="68"/>
        <v>0</v>
      </c>
      <c r="I2148" s="19"/>
    </row>
    <row r="2149" spans="1:9" ht="15.75" x14ac:dyDescent="0.25">
      <c r="A2149" s="51">
        <v>42813</v>
      </c>
      <c r="B2149" s="52" t="s">
        <v>9961</v>
      </c>
      <c r="C2149" s="18">
        <v>104927</v>
      </c>
      <c r="D2149" s="2" t="s">
        <v>111</v>
      </c>
      <c r="E2149" s="15">
        <v>2509</v>
      </c>
      <c r="G2149" s="15">
        <f t="shared" si="67"/>
        <v>2509</v>
      </c>
      <c r="H2149" s="15">
        <f t="shared" si="68"/>
        <v>0</v>
      </c>
      <c r="I2149" s="19"/>
    </row>
    <row r="2150" spans="1:9" ht="15.75" x14ac:dyDescent="0.25">
      <c r="A2150" s="51">
        <v>42813</v>
      </c>
      <c r="B2150" s="52" t="s">
        <v>9962</v>
      </c>
      <c r="C2150" s="18">
        <v>104928</v>
      </c>
      <c r="D2150" s="2" t="s">
        <v>3425</v>
      </c>
      <c r="E2150" s="15">
        <v>1733</v>
      </c>
      <c r="G2150" s="15">
        <f t="shared" si="67"/>
        <v>1733</v>
      </c>
      <c r="H2150" s="15">
        <f t="shared" si="68"/>
        <v>0</v>
      </c>
      <c r="I2150" s="19"/>
    </row>
    <row r="2151" spans="1:9" ht="15.75" x14ac:dyDescent="0.25">
      <c r="A2151" s="51">
        <v>42813</v>
      </c>
      <c r="B2151" s="52" t="s">
        <v>9963</v>
      </c>
      <c r="C2151" s="18">
        <v>104929</v>
      </c>
      <c r="D2151" s="2" t="s">
        <v>30</v>
      </c>
      <c r="E2151" s="15">
        <v>432</v>
      </c>
      <c r="G2151" s="15">
        <f t="shared" si="67"/>
        <v>432</v>
      </c>
      <c r="H2151" s="15">
        <f t="shared" si="68"/>
        <v>0</v>
      </c>
      <c r="I2151" s="19"/>
    </row>
    <row r="2152" spans="1:9" ht="15.75" x14ac:dyDescent="0.25">
      <c r="A2152" s="51">
        <v>42813</v>
      </c>
      <c r="B2152" s="52" t="s">
        <v>9964</v>
      </c>
      <c r="C2152" s="18">
        <v>104930</v>
      </c>
      <c r="D2152" s="2" t="s">
        <v>1090</v>
      </c>
      <c r="E2152" s="15">
        <v>4647.3</v>
      </c>
      <c r="G2152" s="15">
        <f t="shared" si="67"/>
        <v>4647.3</v>
      </c>
      <c r="H2152" s="15">
        <f t="shared" si="68"/>
        <v>0</v>
      </c>
      <c r="I2152" s="19"/>
    </row>
    <row r="2153" spans="1:9" ht="15.75" x14ac:dyDescent="0.25">
      <c r="A2153" s="51">
        <v>42813</v>
      </c>
      <c r="B2153" s="52" t="s">
        <v>9965</v>
      </c>
      <c r="C2153" s="18">
        <v>104931</v>
      </c>
      <c r="D2153" s="2" t="s">
        <v>1968</v>
      </c>
      <c r="E2153" s="15">
        <v>5583</v>
      </c>
      <c r="G2153" s="15">
        <f t="shared" si="67"/>
        <v>5583</v>
      </c>
      <c r="H2153" s="15">
        <f t="shared" si="68"/>
        <v>0</v>
      </c>
      <c r="I2153" s="19"/>
    </row>
    <row r="2154" spans="1:9" ht="15.75" x14ac:dyDescent="0.25">
      <c r="A2154" s="51">
        <v>42813</v>
      </c>
      <c r="B2154" s="52" t="s">
        <v>9966</v>
      </c>
      <c r="C2154" s="18">
        <v>104932</v>
      </c>
      <c r="D2154" s="2" t="s">
        <v>1645</v>
      </c>
      <c r="E2154" s="15">
        <v>1173.2</v>
      </c>
      <c r="G2154" s="15">
        <f t="shared" si="67"/>
        <v>1173.2</v>
      </c>
      <c r="H2154" s="15">
        <f t="shared" si="68"/>
        <v>0</v>
      </c>
      <c r="I2154" s="19"/>
    </row>
    <row r="2155" spans="1:9" ht="15.75" x14ac:dyDescent="0.25">
      <c r="A2155" s="51">
        <v>42813</v>
      </c>
      <c r="B2155" s="52" t="s">
        <v>9967</v>
      </c>
      <c r="C2155" s="18">
        <v>104933</v>
      </c>
      <c r="D2155" s="2" t="s">
        <v>1126</v>
      </c>
      <c r="E2155" s="15">
        <v>22273</v>
      </c>
      <c r="G2155" s="15">
        <f t="shared" si="67"/>
        <v>22273</v>
      </c>
      <c r="H2155" s="15">
        <f t="shared" si="68"/>
        <v>0</v>
      </c>
      <c r="I2155" s="19"/>
    </row>
    <row r="2156" spans="1:9" ht="15.75" x14ac:dyDescent="0.25">
      <c r="A2156" s="51">
        <v>42813</v>
      </c>
      <c r="B2156" s="52" t="s">
        <v>9968</v>
      </c>
      <c r="C2156" s="18">
        <v>104934</v>
      </c>
      <c r="D2156" s="2" t="s">
        <v>240</v>
      </c>
      <c r="E2156" s="15">
        <v>4237.8</v>
      </c>
      <c r="G2156" s="15">
        <f t="shared" si="67"/>
        <v>4237.8</v>
      </c>
      <c r="H2156" s="15">
        <f t="shared" si="68"/>
        <v>0</v>
      </c>
      <c r="I2156" s="19"/>
    </row>
    <row r="2157" spans="1:9" ht="15.75" x14ac:dyDescent="0.25">
      <c r="A2157" s="51">
        <v>42813</v>
      </c>
      <c r="B2157" s="52" t="s">
        <v>9969</v>
      </c>
      <c r="C2157" s="18">
        <v>104935</v>
      </c>
      <c r="D2157" s="2" t="s">
        <v>21</v>
      </c>
      <c r="E2157" s="15">
        <v>43199.199999999997</v>
      </c>
      <c r="F2157" s="59">
        <v>42832</v>
      </c>
      <c r="G2157" s="15">
        <f t="shared" si="67"/>
        <v>43199.199999999997</v>
      </c>
      <c r="H2157" s="15">
        <f t="shared" si="68"/>
        <v>0</v>
      </c>
      <c r="I2157" s="19"/>
    </row>
    <row r="2158" spans="1:9" ht="15.75" x14ac:dyDescent="0.25">
      <c r="A2158" s="51">
        <v>42813</v>
      </c>
      <c r="B2158" s="52" t="s">
        <v>9970</v>
      </c>
      <c r="C2158" s="18">
        <v>104936</v>
      </c>
      <c r="D2158" s="2" t="s">
        <v>226</v>
      </c>
      <c r="E2158" s="15">
        <v>1627.6</v>
      </c>
      <c r="G2158" s="15">
        <f t="shared" si="67"/>
        <v>1627.6</v>
      </c>
      <c r="H2158" s="15">
        <f t="shared" si="68"/>
        <v>0</v>
      </c>
      <c r="I2158" s="19"/>
    </row>
    <row r="2159" spans="1:9" ht="15.75" x14ac:dyDescent="0.25">
      <c r="A2159" s="51">
        <v>42813</v>
      </c>
      <c r="B2159" s="52" t="s">
        <v>9971</v>
      </c>
      <c r="C2159" s="18">
        <v>104937</v>
      </c>
      <c r="D2159" s="2" t="s">
        <v>222</v>
      </c>
      <c r="E2159" s="15">
        <v>11795.7</v>
      </c>
      <c r="F2159" s="59">
        <v>43062</v>
      </c>
      <c r="G2159" s="15">
        <f t="shared" si="67"/>
        <v>11795.7</v>
      </c>
      <c r="H2159" s="15">
        <f t="shared" si="68"/>
        <v>0</v>
      </c>
      <c r="I2159" s="19"/>
    </row>
    <row r="2160" spans="1:9" ht="15.75" x14ac:dyDescent="0.25">
      <c r="A2160" s="51">
        <v>42813</v>
      </c>
      <c r="B2160" s="52" t="s">
        <v>9972</v>
      </c>
      <c r="C2160" s="18">
        <v>104938</v>
      </c>
      <c r="D2160" s="2" t="s">
        <v>476</v>
      </c>
      <c r="E2160" s="15">
        <v>13034.1</v>
      </c>
      <c r="F2160" s="59">
        <v>43062</v>
      </c>
      <c r="G2160" s="15">
        <f t="shared" si="67"/>
        <v>13034.1</v>
      </c>
      <c r="H2160" s="15">
        <f t="shared" si="68"/>
        <v>0</v>
      </c>
      <c r="I2160" s="19"/>
    </row>
    <row r="2161" spans="1:9" ht="15.75" x14ac:dyDescent="0.25">
      <c r="A2161" s="51">
        <v>42813</v>
      </c>
      <c r="B2161" s="52" t="s">
        <v>9973</v>
      </c>
      <c r="C2161" s="18">
        <v>104939</v>
      </c>
      <c r="D2161" s="2" t="s">
        <v>12</v>
      </c>
      <c r="E2161" s="15">
        <v>2075.1</v>
      </c>
      <c r="G2161" s="15">
        <f t="shared" si="67"/>
        <v>2075.1</v>
      </c>
      <c r="H2161" s="15">
        <f t="shared" si="68"/>
        <v>0</v>
      </c>
      <c r="I2161" s="19"/>
    </row>
    <row r="2162" spans="1:9" ht="15.75" x14ac:dyDescent="0.25">
      <c r="A2162" s="51">
        <v>42813</v>
      </c>
      <c r="B2162" s="52" t="s">
        <v>9974</v>
      </c>
      <c r="C2162" s="18">
        <v>104940</v>
      </c>
      <c r="D2162" s="2" t="s">
        <v>305</v>
      </c>
      <c r="E2162" s="15">
        <v>3003</v>
      </c>
      <c r="F2162" s="59">
        <v>42815</v>
      </c>
      <c r="G2162" s="15">
        <f t="shared" si="67"/>
        <v>3003</v>
      </c>
      <c r="H2162" s="15">
        <f t="shared" si="68"/>
        <v>0</v>
      </c>
      <c r="I2162" s="19"/>
    </row>
    <row r="2163" spans="1:9" ht="15.75" x14ac:dyDescent="0.25">
      <c r="A2163" s="51">
        <v>42813</v>
      </c>
      <c r="B2163" s="52" t="s">
        <v>9975</v>
      </c>
      <c r="C2163" s="18">
        <v>104941</v>
      </c>
      <c r="D2163" s="2" t="s">
        <v>157</v>
      </c>
      <c r="E2163" s="15">
        <v>23130.5</v>
      </c>
      <c r="G2163" s="15">
        <f t="shared" si="67"/>
        <v>23130.5</v>
      </c>
      <c r="H2163" s="15">
        <f t="shared" si="68"/>
        <v>0</v>
      </c>
      <c r="I2163" s="19"/>
    </row>
    <row r="2164" spans="1:9" ht="15.75" x14ac:dyDescent="0.25">
      <c r="A2164" s="51">
        <v>42813</v>
      </c>
      <c r="B2164" s="52" t="s">
        <v>9976</v>
      </c>
      <c r="C2164" s="18">
        <v>104942</v>
      </c>
      <c r="D2164" s="2" t="s">
        <v>168</v>
      </c>
      <c r="E2164" s="15">
        <v>976.8</v>
      </c>
      <c r="G2164" s="15">
        <f t="shared" si="67"/>
        <v>976.8</v>
      </c>
      <c r="H2164" s="15">
        <f t="shared" si="68"/>
        <v>0</v>
      </c>
      <c r="I2164" s="19"/>
    </row>
    <row r="2165" spans="1:9" ht="15.75" x14ac:dyDescent="0.25">
      <c r="A2165" s="51">
        <v>42813</v>
      </c>
      <c r="B2165" s="52" t="s">
        <v>9977</v>
      </c>
      <c r="C2165" s="18">
        <v>104943</v>
      </c>
      <c r="D2165" s="2" t="s">
        <v>85</v>
      </c>
      <c r="E2165" s="15">
        <v>12337.5</v>
      </c>
      <c r="G2165" s="15">
        <f t="shared" si="67"/>
        <v>12337.5</v>
      </c>
      <c r="H2165" s="15">
        <f t="shared" si="68"/>
        <v>0</v>
      </c>
      <c r="I2165" s="19"/>
    </row>
    <row r="2166" spans="1:9" ht="15.75" x14ac:dyDescent="0.25">
      <c r="A2166" s="51">
        <v>42813</v>
      </c>
      <c r="B2166" s="52" t="s">
        <v>9978</v>
      </c>
      <c r="C2166" s="18">
        <v>104944</v>
      </c>
      <c r="D2166" s="2" t="s">
        <v>168</v>
      </c>
      <c r="E2166" s="15">
        <v>16.899999999999999</v>
      </c>
      <c r="G2166" s="15">
        <f t="shared" si="67"/>
        <v>16.899999999999999</v>
      </c>
      <c r="H2166" s="15">
        <f t="shared" si="68"/>
        <v>0</v>
      </c>
      <c r="I2166" s="21"/>
    </row>
    <row r="2167" spans="1:9" ht="15.75" x14ac:dyDescent="0.25">
      <c r="A2167" s="51">
        <v>42813</v>
      </c>
      <c r="B2167" s="52" t="s">
        <v>9979</v>
      </c>
      <c r="C2167" s="18">
        <v>104945</v>
      </c>
      <c r="D2167" s="2" t="s">
        <v>289</v>
      </c>
      <c r="E2167" s="15">
        <v>107124.75</v>
      </c>
      <c r="G2167" s="15">
        <f t="shared" si="67"/>
        <v>107124.75</v>
      </c>
      <c r="H2167" s="15">
        <f t="shared" si="68"/>
        <v>0</v>
      </c>
      <c r="I2167" s="21"/>
    </row>
    <row r="2168" spans="1:9" ht="15.75" x14ac:dyDescent="0.25">
      <c r="A2168" s="51">
        <v>42813</v>
      </c>
      <c r="B2168" s="52" t="s">
        <v>9980</v>
      </c>
      <c r="C2168" s="18">
        <v>104946</v>
      </c>
      <c r="D2168" s="2" t="s">
        <v>289</v>
      </c>
      <c r="E2168" s="15">
        <v>106205.4</v>
      </c>
      <c r="F2168" s="64" t="s">
        <v>11503</v>
      </c>
      <c r="G2168" s="20">
        <f>67664.61+38540.79</f>
        <v>106205.4</v>
      </c>
      <c r="H2168" s="20">
        <f t="shared" si="68"/>
        <v>0</v>
      </c>
      <c r="I2168" s="21"/>
    </row>
    <row r="2169" spans="1:9" ht="15.75" x14ac:dyDescent="0.25">
      <c r="A2169" s="51">
        <v>42813</v>
      </c>
      <c r="B2169" s="52" t="s">
        <v>9981</v>
      </c>
      <c r="C2169" s="18">
        <v>104947</v>
      </c>
      <c r="D2169" s="2" t="s">
        <v>7182</v>
      </c>
      <c r="E2169" s="15">
        <v>3625.55</v>
      </c>
      <c r="G2169" s="15">
        <f t="shared" si="67"/>
        <v>3625.55</v>
      </c>
      <c r="H2169" s="15">
        <f t="shared" si="68"/>
        <v>0</v>
      </c>
      <c r="I2169" s="21"/>
    </row>
    <row r="2170" spans="1:9" ht="15.75" x14ac:dyDescent="0.25">
      <c r="A2170" s="51">
        <v>42813</v>
      </c>
      <c r="B2170" s="52" t="s">
        <v>9982</v>
      </c>
      <c r="C2170" s="18">
        <v>104948</v>
      </c>
      <c r="D2170" s="2" t="s">
        <v>289</v>
      </c>
      <c r="E2170" s="15">
        <v>800.8</v>
      </c>
      <c r="F2170" s="59">
        <v>42824</v>
      </c>
      <c r="G2170" s="15">
        <f t="shared" si="67"/>
        <v>800.8</v>
      </c>
      <c r="H2170" s="15">
        <f t="shared" si="68"/>
        <v>0</v>
      </c>
      <c r="I2170" s="21"/>
    </row>
    <row r="2171" spans="1:9" ht="15.75" x14ac:dyDescent="0.25">
      <c r="A2171" s="51">
        <v>42813</v>
      </c>
      <c r="B2171" s="52" t="s">
        <v>9983</v>
      </c>
      <c r="C2171" s="18">
        <v>104949</v>
      </c>
      <c r="D2171" s="2" t="s">
        <v>81</v>
      </c>
      <c r="E2171" s="15">
        <v>8436.1</v>
      </c>
      <c r="G2171" s="15">
        <f t="shared" si="67"/>
        <v>8436.1</v>
      </c>
      <c r="H2171" s="15">
        <f t="shared" si="68"/>
        <v>0</v>
      </c>
      <c r="I2171" s="21"/>
    </row>
    <row r="2172" spans="1:9" ht="15.75" x14ac:dyDescent="0.25">
      <c r="A2172" s="51">
        <v>42813</v>
      </c>
      <c r="B2172" s="52" t="s">
        <v>9984</v>
      </c>
      <c r="C2172" s="18">
        <v>104950</v>
      </c>
      <c r="D2172" s="2" t="s">
        <v>101</v>
      </c>
      <c r="E2172" s="15">
        <v>1536</v>
      </c>
      <c r="G2172" s="15">
        <f t="shared" si="67"/>
        <v>1536</v>
      </c>
      <c r="H2172" s="15">
        <f t="shared" si="68"/>
        <v>0</v>
      </c>
      <c r="I2172" s="21"/>
    </row>
    <row r="2173" spans="1:9" ht="15.75" x14ac:dyDescent="0.25">
      <c r="A2173" s="51">
        <v>42813</v>
      </c>
      <c r="B2173" s="52" t="s">
        <v>9985</v>
      </c>
      <c r="C2173" s="18">
        <v>104951</v>
      </c>
      <c r="D2173" s="2" t="s">
        <v>99</v>
      </c>
      <c r="E2173" s="15">
        <v>3369.6</v>
      </c>
      <c r="G2173" s="15">
        <f t="shared" si="67"/>
        <v>3369.6</v>
      </c>
      <c r="H2173" s="15">
        <f t="shared" si="68"/>
        <v>0</v>
      </c>
      <c r="I2173" s="21"/>
    </row>
    <row r="2174" spans="1:9" ht="15.75" x14ac:dyDescent="0.25">
      <c r="A2174" s="51">
        <v>42813</v>
      </c>
      <c r="B2174" s="52" t="s">
        <v>9986</v>
      </c>
      <c r="C2174" s="18">
        <v>104952</v>
      </c>
      <c r="D2174" s="2" t="s">
        <v>1081</v>
      </c>
      <c r="E2174" s="15">
        <v>2123.16</v>
      </c>
      <c r="G2174" s="15">
        <f t="shared" si="67"/>
        <v>2123.16</v>
      </c>
      <c r="H2174" s="15">
        <f t="shared" si="68"/>
        <v>0</v>
      </c>
      <c r="I2174" s="21"/>
    </row>
    <row r="2175" spans="1:9" ht="15.75" x14ac:dyDescent="0.25">
      <c r="A2175" s="51">
        <v>42813</v>
      </c>
      <c r="B2175" s="52" t="s">
        <v>9987</v>
      </c>
      <c r="C2175" s="18">
        <v>104953</v>
      </c>
      <c r="D2175" s="2" t="s">
        <v>30</v>
      </c>
      <c r="E2175" s="15">
        <v>228.8</v>
      </c>
      <c r="G2175" s="15">
        <f t="shared" si="67"/>
        <v>228.8</v>
      </c>
      <c r="H2175" s="15">
        <f t="shared" si="68"/>
        <v>0</v>
      </c>
      <c r="I2175" s="21"/>
    </row>
    <row r="2176" spans="1:9" ht="15.75" x14ac:dyDescent="0.25">
      <c r="A2176" s="51">
        <v>42813</v>
      </c>
      <c r="B2176" s="52" t="s">
        <v>9988</v>
      </c>
      <c r="C2176" s="18">
        <v>104954</v>
      </c>
      <c r="D2176" s="2" t="s">
        <v>879</v>
      </c>
      <c r="E2176" s="15">
        <v>3171.6</v>
      </c>
      <c r="G2176" s="15">
        <f t="shared" si="67"/>
        <v>3171.6</v>
      </c>
      <c r="H2176" s="15">
        <f t="shared" si="68"/>
        <v>0</v>
      </c>
      <c r="I2176" s="21"/>
    </row>
    <row r="2177" spans="1:9" ht="15.75" x14ac:dyDescent="0.25">
      <c r="A2177" s="51">
        <v>42813</v>
      </c>
      <c r="B2177" s="52" t="s">
        <v>9989</v>
      </c>
      <c r="C2177" s="18">
        <v>104955</v>
      </c>
      <c r="D2177" s="2" t="s">
        <v>83</v>
      </c>
      <c r="E2177" s="15">
        <v>5195</v>
      </c>
      <c r="G2177" s="15">
        <f t="shared" si="67"/>
        <v>5195</v>
      </c>
      <c r="H2177" s="15">
        <f t="shared" si="68"/>
        <v>0</v>
      </c>
      <c r="I2177" s="21"/>
    </row>
    <row r="2178" spans="1:9" ht="15.75" x14ac:dyDescent="0.25">
      <c r="A2178" s="51">
        <v>42813</v>
      </c>
      <c r="B2178" s="52" t="s">
        <v>9990</v>
      </c>
      <c r="C2178" s="18">
        <v>104956</v>
      </c>
      <c r="D2178" s="2" t="s">
        <v>937</v>
      </c>
      <c r="E2178" s="15">
        <v>3840</v>
      </c>
      <c r="F2178" s="59">
        <v>42815</v>
      </c>
      <c r="G2178" s="15">
        <f t="shared" si="67"/>
        <v>3840</v>
      </c>
      <c r="H2178" s="15">
        <f t="shared" si="68"/>
        <v>0</v>
      </c>
      <c r="I2178" s="21"/>
    </row>
    <row r="2179" spans="1:9" ht="15.75" x14ac:dyDescent="0.25">
      <c r="A2179" s="51">
        <v>42813</v>
      </c>
      <c r="B2179" s="52" t="s">
        <v>9991</v>
      </c>
      <c r="C2179" s="18">
        <v>104957</v>
      </c>
      <c r="D2179" s="2" t="s">
        <v>125</v>
      </c>
      <c r="E2179" s="15">
        <v>11563.2</v>
      </c>
      <c r="G2179" s="15">
        <f t="shared" si="67"/>
        <v>11563.2</v>
      </c>
      <c r="H2179" s="15">
        <f t="shared" si="68"/>
        <v>0</v>
      </c>
      <c r="I2179" s="21"/>
    </row>
    <row r="2180" spans="1:9" ht="15.75" x14ac:dyDescent="0.25">
      <c r="A2180" s="51">
        <v>42813</v>
      </c>
      <c r="B2180" s="52" t="s">
        <v>9992</v>
      </c>
      <c r="C2180" s="18">
        <v>104958</v>
      </c>
      <c r="D2180" s="2" t="s">
        <v>30</v>
      </c>
      <c r="E2180" s="15">
        <v>330.2</v>
      </c>
      <c r="G2180" s="15">
        <f t="shared" ref="G2180:G2243" si="69">E2180</f>
        <v>330.2</v>
      </c>
      <c r="H2180" s="15">
        <f t="shared" ref="H2180:H2243" si="70">E2180-G2180</f>
        <v>0</v>
      </c>
      <c r="I2180" s="21"/>
    </row>
    <row r="2181" spans="1:9" ht="15.75" x14ac:dyDescent="0.25">
      <c r="A2181" s="51">
        <v>42813</v>
      </c>
      <c r="B2181" s="52" t="s">
        <v>9993</v>
      </c>
      <c r="C2181" s="18">
        <v>104959</v>
      </c>
      <c r="D2181" s="2" t="s">
        <v>492</v>
      </c>
      <c r="E2181" s="15">
        <v>5605.2</v>
      </c>
      <c r="F2181" s="59">
        <v>42791</v>
      </c>
      <c r="G2181" s="15">
        <f t="shared" si="69"/>
        <v>5605.2</v>
      </c>
      <c r="H2181" s="15">
        <f t="shared" si="70"/>
        <v>0</v>
      </c>
      <c r="I2181" s="21"/>
    </row>
    <row r="2182" spans="1:9" ht="15.75" x14ac:dyDescent="0.25">
      <c r="A2182" s="51">
        <v>42813</v>
      </c>
      <c r="B2182" s="52" t="s">
        <v>9994</v>
      </c>
      <c r="C2182" s="18">
        <v>104960</v>
      </c>
      <c r="D2182" s="2" t="s">
        <v>118</v>
      </c>
      <c r="E2182" s="15">
        <v>32830</v>
      </c>
      <c r="G2182" s="15">
        <f t="shared" si="69"/>
        <v>32830</v>
      </c>
      <c r="H2182" s="15">
        <f t="shared" si="70"/>
        <v>0</v>
      </c>
      <c r="I2182" s="21"/>
    </row>
    <row r="2183" spans="1:9" ht="15.75" x14ac:dyDescent="0.25">
      <c r="A2183" s="51">
        <v>42813</v>
      </c>
      <c r="B2183" s="52" t="s">
        <v>9995</v>
      </c>
      <c r="C2183" s="18">
        <v>104961</v>
      </c>
      <c r="D2183" s="2" t="s">
        <v>55</v>
      </c>
      <c r="E2183" s="15">
        <v>2434.8000000000002</v>
      </c>
      <c r="G2183" s="15">
        <f t="shared" si="69"/>
        <v>2434.8000000000002</v>
      </c>
      <c r="H2183" s="15">
        <f t="shared" si="70"/>
        <v>0</v>
      </c>
      <c r="I2183" s="21"/>
    </row>
    <row r="2184" spans="1:9" ht="15.75" x14ac:dyDescent="0.25">
      <c r="A2184" s="51">
        <v>42813</v>
      </c>
      <c r="B2184" s="52" t="s">
        <v>9996</v>
      </c>
      <c r="C2184" s="18">
        <v>104962</v>
      </c>
      <c r="D2184" s="2" t="s">
        <v>470</v>
      </c>
      <c r="E2184" s="15">
        <v>10575.9</v>
      </c>
      <c r="F2184" s="59">
        <v>42822</v>
      </c>
      <c r="G2184" s="15">
        <f>3653+6922.9</f>
        <v>10575.9</v>
      </c>
      <c r="H2184" s="15">
        <f t="shared" si="70"/>
        <v>0</v>
      </c>
      <c r="I2184" s="21"/>
    </row>
    <row r="2185" spans="1:9" ht="15.75" x14ac:dyDescent="0.25">
      <c r="A2185" s="51">
        <v>42813</v>
      </c>
      <c r="B2185" s="52" t="s">
        <v>9997</v>
      </c>
      <c r="C2185" s="18">
        <v>104963</v>
      </c>
      <c r="D2185" s="2" t="s">
        <v>71</v>
      </c>
      <c r="E2185" s="15">
        <v>597</v>
      </c>
      <c r="G2185" s="15">
        <f t="shared" si="69"/>
        <v>597</v>
      </c>
      <c r="H2185" s="15">
        <f t="shared" si="70"/>
        <v>0</v>
      </c>
      <c r="I2185" s="21"/>
    </row>
    <row r="2186" spans="1:9" ht="15.75" x14ac:dyDescent="0.25">
      <c r="A2186" s="51">
        <v>42813</v>
      </c>
      <c r="B2186" s="52" t="s">
        <v>9998</v>
      </c>
      <c r="C2186" s="18">
        <v>104964</v>
      </c>
      <c r="D2186" s="2" t="s">
        <v>71</v>
      </c>
      <c r="E2186" s="15">
        <v>623</v>
      </c>
      <c r="G2186" s="15">
        <f t="shared" si="69"/>
        <v>623</v>
      </c>
      <c r="H2186" s="15">
        <f t="shared" si="70"/>
        <v>0</v>
      </c>
      <c r="I2186" s="21"/>
    </row>
    <row r="2187" spans="1:9" ht="15.75" x14ac:dyDescent="0.25">
      <c r="A2187" s="51">
        <v>42813</v>
      </c>
      <c r="B2187" s="52" t="s">
        <v>9999</v>
      </c>
      <c r="C2187" s="18">
        <v>104965</v>
      </c>
      <c r="D2187" s="2" t="s">
        <v>109</v>
      </c>
      <c r="E2187" s="15">
        <v>5086.2</v>
      </c>
      <c r="G2187" s="15">
        <f t="shared" si="69"/>
        <v>5086.2</v>
      </c>
      <c r="H2187" s="15">
        <f t="shared" si="70"/>
        <v>0</v>
      </c>
      <c r="I2187" s="21"/>
    </row>
    <row r="2188" spans="1:9" ht="15.75" x14ac:dyDescent="0.25">
      <c r="A2188" s="51">
        <v>42813</v>
      </c>
      <c r="B2188" s="52" t="s">
        <v>10000</v>
      </c>
      <c r="C2188" s="18">
        <v>104966</v>
      </c>
      <c r="D2188" s="2" t="s">
        <v>133</v>
      </c>
      <c r="E2188" s="15">
        <v>547.9</v>
      </c>
      <c r="G2188" s="15">
        <f t="shared" si="69"/>
        <v>547.9</v>
      </c>
      <c r="H2188" s="15">
        <f t="shared" si="70"/>
        <v>0</v>
      </c>
      <c r="I2188" s="19"/>
    </row>
    <row r="2189" spans="1:9" ht="15.75" x14ac:dyDescent="0.25">
      <c r="A2189" s="51">
        <v>42813</v>
      </c>
      <c r="B2189" s="52" t="s">
        <v>10001</v>
      </c>
      <c r="C2189" s="18">
        <v>104967</v>
      </c>
      <c r="D2189" s="2" t="s">
        <v>30</v>
      </c>
      <c r="E2189" s="15">
        <v>279.39999999999998</v>
      </c>
      <c r="G2189" s="15">
        <f t="shared" si="69"/>
        <v>279.39999999999998</v>
      </c>
      <c r="H2189" s="15">
        <f t="shared" si="70"/>
        <v>0</v>
      </c>
      <c r="I2189" s="21"/>
    </row>
    <row r="2190" spans="1:9" ht="15.75" x14ac:dyDescent="0.25">
      <c r="A2190" s="51">
        <v>42813</v>
      </c>
      <c r="B2190" s="52" t="s">
        <v>10002</v>
      </c>
      <c r="C2190" s="18">
        <v>104968</v>
      </c>
      <c r="D2190" s="2" t="s">
        <v>291</v>
      </c>
      <c r="E2190" s="15">
        <v>4100</v>
      </c>
      <c r="G2190" s="15">
        <f t="shared" si="69"/>
        <v>4100</v>
      </c>
      <c r="H2190" s="15">
        <f t="shared" si="70"/>
        <v>0</v>
      </c>
      <c r="I2190" s="21"/>
    </row>
    <row r="2191" spans="1:9" ht="15.75" x14ac:dyDescent="0.25">
      <c r="A2191" s="51">
        <v>42813</v>
      </c>
      <c r="B2191" s="52" t="s">
        <v>10003</v>
      </c>
      <c r="C2191" s="18">
        <v>104969</v>
      </c>
      <c r="D2191" s="2" t="s">
        <v>1925</v>
      </c>
      <c r="E2191" s="15">
        <v>91</v>
      </c>
      <c r="G2191" s="15">
        <f t="shared" si="69"/>
        <v>91</v>
      </c>
      <c r="H2191" s="15">
        <f t="shared" si="70"/>
        <v>0</v>
      </c>
      <c r="I2191" s="21"/>
    </row>
    <row r="2192" spans="1:9" ht="15.75" x14ac:dyDescent="0.25">
      <c r="A2192" s="51">
        <v>42813</v>
      </c>
      <c r="B2192" s="52" t="s">
        <v>10004</v>
      </c>
      <c r="C2192" s="18">
        <v>104970</v>
      </c>
      <c r="D2192" s="2" t="s">
        <v>1380</v>
      </c>
      <c r="E2192" s="15">
        <v>31746.05</v>
      </c>
      <c r="G2192" s="15">
        <f t="shared" si="69"/>
        <v>31746.05</v>
      </c>
      <c r="H2192" s="15">
        <f t="shared" si="70"/>
        <v>0</v>
      </c>
      <c r="I2192" s="21"/>
    </row>
    <row r="2193" spans="1:9" ht="15.75" x14ac:dyDescent="0.25">
      <c r="A2193" s="51">
        <v>42813</v>
      </c>
      <c r="B2193" s="52" t="s">
        <v>10005</v>
      </c>
      <c r="C2193" s="18">
        <v>104971</v>
      </c>
      <c r="D2193" s="2" t="s">
        <v>480</v>
      </c>
      <c r="E2193" s="15">
        <v>1927.2</v>
      </c>
      <c r="G2193" s="15">
        <f t="shared" si="69"/>
        <v>1927.2</v>
      </c>
      <c r="H2193" s="15">
        <f t="shared" si="70"/>
        <v>0</v>
      </c>
      <c r="I2193" s="21"/>
    </row>
    <row r="2194" spans="1:9" ht="15.75" x14ac:dyDescent="0.25">
      <c r="A2194" s="51">
        <v>42813</v>
      </c>
      <c r="B2194" s="52" t="s">
        <v>10006</v>
      </c>
      <c r="C2194" s="18">
        <v>104972</v>
      </c>
      <c r="D2194" s="2" t="s">
        <v>205</v>
      </c>
      <c r="E2194" s="15">
        <v>4465.5</v>
      </c>
      <c r="G2194" s="15">
        <f t="shared" si="69"/>
        <v>4465.5</v>
      </c>
      <c r="H2194" s="15">
        <f t="shared" si="70"/>
        <v>0</v>
      </c>
      <c r="I2194" s="21"/>
    </row>
    <row r="2195" spans="1:9" ht="15.75" x14ac:dyDescent="0.25">
      <c r="A2195" s="51">
        <v>42813</v>
      </c>
      <c r="B2195" s="52" t="s">
        <v>10007</v>
      </c>
      <c r="C2195" s="18">
        <v>104973</v>
      </c>
      <c r="D2195" s="2" t="s">
        <v>10008</v>
      </c>
      <c r="E2195" s="15">
        <v>179.1</v>
      </c>
      <c r="G2195" s="15">
        <f t="shared" si="69"/>
        <v>179.1</v>
      </c>
      <c r="H2195" s="15">
        <f t="shared" si="70"/>
        <v>0</v>
      </c>
      <c r="I2195" s="21"/>
    </row>
    <row r="2196" spans="1:9" ht="15.75" x14ac:dyDescent="0.25">
      <c r="A2196" s="51">
        <v>42813</v>
      </c>
      <c r="B2196" s="52" t="s">
        <v>10009</v>
      </c>
      <c r="C2196" s="18">
        <v>104974</v>
      </c>
      <c r="D2196" s="2" t="s">
        <v>211</v>
      </c>
      <c r="E2196" s="15">
        <v>9319.4</v>
      </c>
      <c r="G2196" s="15">
        <f t="shared" si="69"/>
        <v>9319.4</v>
      </c>
      <c r="H2196" s="15">
        <f t="shared" si="70"/>
        <v>0</v>
      </c>
      <c r="I2196" s="21"/>
    </row>
    <row r="2197" spans="1:9" ht="15.75" x14ac:dyDescent="0.25">
      <c r="A2197" s="51">
        <v>42813</v>
      </c>
      <c r="B2197" s="52" t="s">
        <v>10010</v>
      </c>
      <c r="C2197" s="18">
        <v>104975</v>
      </c>
      <c r="D2197" s="2" t="s">
        <v>10</v>
      </c>
      <c r="E2197" s="15">
        <v>22373.200000000001</v>
      </c>
      <c r="F2197" s="59">
        <v>42791</v>
      </c>
      <c r="G2197" s="15">
        <f t="shared" si="69"/>
        <v>22373.200000000001</v>
      </c>
      <c r="H2197" s="15">
        <f t="shared" si="70"/>
        <v>0</v>
      </c>
      <c r="I2197" s="21"/>
    </row>
    <row r="2198" spans="1:9" ht="15.75" x14ac:dyDescent="0.25">
      <c r="A2198" s="51">
        <v>42813</v>
      </c>
      <c r="B2198" s="52" t="s">
        <v>10011</v>
      </c>
      <c r="C2198" s="18">
        <v>104976</v>
      </c>
      <c r="D2198" s="2" t="s">
        <v>10</v>
      </c>
      <c r="E2198" s="15">
        <v>825.2</v>
      </c>
      <c r="F2198" s="59">
        <v>42791</v>
      </c>
      <c r="G2198" s="15">
        <f t="shared" si="69"/>
        <v>825.2</v>
      </c>
      <c r="H2198" s="15">
        <f t="shared" si="70"/>
        <v>0</v>
      </c>
      <c r="I2198" s="21"/>
    </row>
    <row r="2199" spans="1:9" ht="15.75" x14ac:dyDescent="0.25">
      <c r="A2199" s="51">
        <v>42813</v>
      </c>
      <c r="B2199" s="52" t="s">
        <v>10012</v>
      </c>
      <c r="C2199" s="18">
        <v>104977</v>
      </c>
      <c r="D2199" s="2" t="s">
        <v>55</v>
      </c>
      <c r="E2199" s="15">
        <v>3466</v>
      </c>
      <c r="G2199" s="15">
        <f t="shared" si="69"/>
        <v>3466</v>
      </c>
      <c r="H2199" s="15">
        <f t="shared" si="70"/>
        <v>0</v>
      </c>
      <c r="I2199" s="21"/>
    </row>
    <row r="2200" spans="1:9" ht="15.75" x14ac:dyDescent="0.25">
      <c r="A2200" s="51">
        <v>42814</v>
      </c>
      <c r="B2200" s="52" t="s">
        <v>10013</v>
      </c>
      <c r="C2200" s="18">
        <v>104978</v>
      </c>
      <c r="D2200" s="2" t="s">
        <v>231</v>
      </c>
      <c r="E2200" s="15">
        <v>5906</v>
      </c>
      <c r="F2200" s="59">
        <v>42815</v>
      </c>
      <c r="G2200" s="15">
        <f t="shared" si="69"/>
        <v>5906</v>
      </c>
      <c r="H2200" s="15">
        <f t="shared" si="70"/>
        <v>0</v>
      </c>
      <c r="I2200" s="21"/>
    </row>
    <row r="2201" spans="1:9" ht="15.75" x14ac:dyDescent="0.25">
      <c r="A2201" s="51">
        <v>42814</v>
      </c>
      <c r="B2201" s="52" t="s">
        <v>10014</v>
      </c>
      <c r="C2201" s="18">
        <v>104979</v>
      </c>
      <c r="D2201" s="2" t="s">
        <v>55</v>
      </c>
      <c r="E2201" s="15">
        <v>12177.6</v>
      </c>
      <c r="G2201" s="15">
        <f t="shared" si="69"/>
        <v>12177.6</v>
      </c>
      <c r="H2201" s="15">
        <f t="shared" si="70"/>
        <v>0</v>
      </c>
      <c r="I2201" s="21"/>
    </row>
    <row r="2202" spans="1:9" ht="15.75" x14ac:dyDescent="0.25">
      <c r="A2202" s="51">
        <v>42814</v>
      </c>
      <c r="B2202" s="52" t="s">
        <v>10015</v>
      </c>
      <c r="C2202" s="18">
        <v>104980</v>
      </c>
      <c r="D2202" s="2" t="s">
        <v>17</v>
      </c>
      <c r="E2202" s="15">
        <v>2160</v>
      </c>
      <c r="G2202" s="15">
        <f t="shared" si="69"/>
        <v>2160</v>
      </c>
      <c r="H2202" s="15">
        <f t="shared" si="70"/>
        <v>0</v>
      </c>
      <c r="I2202" s="21"/>
    </row>
    <row r="2203" spans="1:9" ht="15.75" x14ac:dyDescent="0.25">
      <c r="A2203" s="51">
        <v>42814</v>
      </c>
      <c r="B2203" s="52" t="s">
        <v>10016</v>
      </c>
      <c r="C2203" s="18">
        <v>104981</v>
      </c>
      <c r="D2203" s="2" t="s">
        <v>231</v>
      </c>
      <c r="E2203" s="15">
        <v>31084</v>
      </c>
      <c r="F2203" s="59">
        <v>42815</v>
      </c>
      <c r="G2203" s="15">
        <f t="shared" si="69"/>
        <v>31084</v>
      </c>
      <c r="H2203" s="15">
        <f t="shared" si="70"/>
        <v>0</v>
      </c>
      <c r="I2203" s="21"/>
    </row>
    <row r="2204" spans="1:9" ht="15.75" x14ac:dyDescent="0.25">
      <c r="A2204" s="51">
        <v>42814</v>
      </c>
      <c r="B2204" s="52" t="s">
        <v>10017</v>
      </c>
      <c r="C2204" s="18">
        <v>104982</v>
      </c>
      <c r="D2204" s="2" t="s">
        <v>26</v>
      </c>
      <c r="E2204" s="15">
        <v>21208.2</v>
      </c>
      <c r="G2204" s="15">
        <f t="shared" si="69"/>
        <v>21208.2</v>
      </c>
      <c r="H2204" s="15">
        <f t="shared" si="70"/>
        <v>0</v>
      </c>
      <c r="I2204" s="21"/>
    </row>
    <row r="2205" spans="1:9" ht="15.75" x14ac:dyDescent="0.25">
      <c r="A2205" s="51">
        <v>42814</v>
      </c>
      <c r="B2205" s="52" t="s">
        <v>10018</v>
      </c>
      <c r="C2205" s="18">
        <v>104983</v>
      </c>
      <c r="D2205" s="2" t="s">
        <v>47</v>
      </c>
      <c r="E2205" s="15">
        <v>4744.8</v>
      </c>
      <c r="G2205" s="15">
        <f t="shared" si="69"/>
        <v>4744.8</v>
      </c>
      <c r="H2205" s="15">
        <f t="shared" si="70"/>
        <v>0</v>
      </c>
      <c r="I2205" s="21"/>
    </row>
    <row r="2206" spans="1:9" ht="15.75" x14ac:dyDescent="0.25">
      <c r="A2206" s="51">
        <v>42814</v>
      </c>
      <c r="B2206" s="52" t="s">
        <v>10019</v>
      </c>
      <c r="C2206" s="18">
        <v>104984</v>
      </c>
      <c r="D2206" s="2" t="s">
        <v>19</v>
      </c>
      <c r="E2206" s="15">
        <v>960</v>
      </c>
      <c r="F2206" s="59">
        <v>42815</v>
      </c>
      <c r="G2206" s="15">
        <f t="shared" si="69"/>
        <v>960</v>
      </c>
      <c r="H2206" s="15">
        <f t="shared" si="70"/>
        <v>0</v>
      </c>
      <c r="I2206" s="21"/>
    </row>
    <row r="2207" spans="1:9" ht="15.75" x14ac:dyDescent="0.25">
      <c r="A2207" s="51">
        <v>42814</v>
      </c>
      <c r="B2207" s="52" t="s">
        <v>10020</v>
      </c>
      <c r="C2207" s="18">
        <v>104985</v>
      </c>
      <c r="D2207" s="2" t="s">
        <v>1786</v>
      </c>
      <c r="E2207" s="15">
        <v>8359.2000000000007</v>
      </c>
      <c r="G2207" s="15">
        <f t="shared" si="69"/>
        <v>8359.2000000000007</v>
      </c>
      <c r="H2207" s="15">
        <f t="shared" si="70"/>
        <v>0</v>
      </c>
      <c r="I2207" s="21"/>
    </row>
    <row r="2208" spans="1:9" ht="15.75" x14ac:dyDescent="0.25">
      <c r="A2208" s="51">
        <v>42814</v>
      </c>
      <c r="B2208" s="52" t="s">
        <v>10021</v>
      </c>
      <c r="C2208" s="18">
        <v>104986</v>
      </c>
      <c r="D2208" s="2" t="s">
        <v>38</v>
      </c>
      <c r="E2208" s="15">
        <v>6084.7</v>
      </c>
      <c r="G2208" s="15">
        <f t="shared" si="69"/>
        <v>6084.7</v>
      </c>
      <c r="H2208" s="15">
        <f t="shared" si="70"/>
        <v>0</v>
      </c>
      <c r="I2208" s="21"/>
    </row>
    <row r="2209" spans="1:9" ht="15.75" x14ac:dyDescent="0.25">
      <c r="A2209" s="51">
        <v>42814</v>
      </c>
      <c r="B2209" s="52" t="s">
        <v>10022</v>
      </c>
      <c r="C2209" s="18">
        <v>104987</v>
      </c>
      <c r="D2209" s="2" t="s">
        <v>38</v>
      </c>
      <c r="E2209" s="15">
        <v>3031.7</v>
      </c>
      <c r="F2209" s="59">
        <v>42818</v>
      </c>
      <c r="G2209" s="15">
        <f t="shared" si="69"/>
        <v>3031.7</v>
      </c>
      <c r="H2209" s="15">
        <f t="shared" si="70"/>
        <v>0</v>
      </c>
      <c r="I2209" s="21"/>
    </row>
    <row r="2210" spans="1:9" ht="15.75" x14ac:dyDescent="0.25">
      <c r="A2210" s="51">
        <v>42814</v>
      </c>
      <c r="B2210" s="52" t="s">
        <v>10023</v>
      </c>
      <c r="C2210" s="18">
        <v>104988</v>
      </c>
      <c r="D2210" s="2" t="s">
        <v>28</v>
      </c>
      <c r="E2210" s="15">
        <v>5288.8</v>
      </c>
      <c r="F2210" s="59">
        <v>42815</v>
      </c>
      <c r="G2210" s="15">
        <f t="shared" si="69"/>
        <v>5288.8</v>
      </c>
      <c r="H2210" s="15">
        <f t="shared" si="70"/>
        <v>0</v>
      </c>
      <c r="I2210" s="21"/>
    </row>
    <row r="2211" spans="1:9" ht="15.75" x14ac:dyDescent="0.25">
      <c r="A2211" s="51">
        <v>42814</v>
      </c>
      <c r="B2211" s="52" t="s">
        <v>10024</v>
      </c>
      <c r="C2211" s="18">
        <v>104989</v>
      </c>
      <c r="D2211" s="2" t="s">
        <v>21</v>
      </c>
      <c r="E2211" s="15">
        <v>44510.400000000001</v>
      </c>
      <c r="F2211" s="59">
        <v>42832</v>
      </c>
      <c r="G2211" s="15">
        <f t="shared" si="69"/>
        <v>44510.400000000001</v>
      </c>
      <c r="H2211" s="15">
        <f t="shared" si="70"/>
        <v>0</v>
      </c>
      <c r="I2211" s="21"/>
    </row>
    <row r="2212" spans="1:9" ht="15.75" x14ac:dyDescent="0.25">
      <c r="A2212" s="51">
        <v>42814</v>
      </c>
      <c r="B2212" s="52" t="s">
        <v>10025</v>
      </c>
      <c r="C2212" s="18">
        <v>104990</v>
      </c>
      <c r="D2212" s="2" t="s">
        <v>253</v>
      </c>
      <c r="E2212" s="15">
        <v>3463.4</v>
      </c>
      <c r="F2212" s="59">
        <v>42815</v>
      </c>
      <c r="G2212" s="15">
        <f t="shared" si="69"/>
        <v>3463.4</v>
      </c>
      <c r="H2212" s="15">
        <f t="shared" si="70"/>
        <v>0</v>
      </c>
      <c r="I2212" s="21"/>
    </row>
    <row r="2213" spans="1:9" ht="30" x14ac:dyDescent="0.25">
      <c r="A2213" s="51">
        <v>42814</v>
      </c>
      <c r="B2213" s="52" t="s">
        <v>10026</v>
      </c>
      <c r="C2213" s="18">
        <v>104991</v>
      </c>
      <c r="D2213" s="2" t="s">
        <v>40</v>
      </c>
      <c r="E2213" s="15">
        <v>6064.8</v>
      </c>
      <c r="F2213" s="64" t="s">
        <v>10027</v>
      </c>
      <c r="G2213" s="20">
        <f>2500+2800+764.8</f>
        <v>6064.8</v>
      </c>
      <c r="H2213" s="20">
        <f t="shared" si="70"/>
        <v>0</v>
      </c>
      <c r="I2213" s="21"/>
    </row>
    <row r="2214" spans="1:9" ht="15.75" x14ac:dyDescent="0.25">
      <c r="A2214" s="51">
        <v>42814</v>
      </c>
      <c r="B2214" s="52" t="s">
        <v>10028</v>
      </c>
      <c r="C2214" s="18">
        <v>104992</v>
      </c>
      <c r="D2214" s="2" t="s">
        <v>49</v>
      </c>
      <c r="E2214" s="15">
        <v>12586</v>
      </c>
      <c r="F2214" s="64" t="s">
        <v>10029</v>
      </c>
      <c r="G2214" s="20">
        <f>6000+6586</f>
        <v>12586</v>
      </c>
      <c r="H2214" s="20">
        <f t="shared" si="70"/>
        <v>0</v>
      </c>
      <c r="I2214" s="21"/>
    </row>
    <row r="2215" spans="1:9" ht="15.75" x14ac:dyDescent="0.25">
      <c r="A2215" s="51">
        <v>42814</v>
      </c>
      <c r="B2215" s="52" t="s">
        <v>10030</v>
      </c>
      <c r="C2215" s="18">
        <v>104993</v>
      </c>
      <c r="D2215" s="2" t="s">
        <v>10031</v>
      </c>
      <c r="E2215" s="15">
        <v>5836.2</v>
      </c>
      <c r="F2215" s="59">
        <v>43062</v>
      </c>
      <c r="G2215" s="15">
        <f t="shared" si="69"/>
        <v>5836.2</v>
      </c>
      <c r="H2215" s="15">
        <f t="shared" si="70"/>
        <v>0</v>
      </c>
      <c r="I2215" s="21"/>
    </row>
    <row r="2216" spans="1:9" ht="15.75" x14ac:dyDescent="0.25">
      <c r="A2216" s="51">
        <v>42814</v>
      </c>
      <c r="B2216" s="52" t="s">
        <v>10032</v>
      </c>
      <c r="C2216" s="18">
        <v>104994</v>
      </c>
      <c r="D2216" s="2" t="s">
        <v>43</v>
      </c>
      <c r="E2216" s="15">
        <v>2786.4</v>
      </c>
      <c r="F2216" s="59">
        <v>43062</v>
      </c>
      <c r="G2216" s="15">
        <f t="shared" si="69"/>
        <v>2786.4</v>
      </c>
      <c r="H2216" s="15">
        <f t="shared" si="70"/>
        <v>0</v>
      </c>
      <c r="I2216" s="21"/>
    </row>
    <row r="2217" spans="1:9" ht="15.75" x14ac:dyDescent="0.25">
      <c r="A2217" s="51">
        <v>42814</v>
      </c>
      <c r="B2217" s="52" t="s">
        <v>10033</v>
      </c>
      <c r="C2217" s="18">
        <v>104995</v>
      </c>
      <c r="D2217" s="2" t="s">
        <v>428</v>
      </c>
      <c r="E2217" s="15">
        <v>2009</v>
      </c>
      <c r="F2217" s="59">
        <v>43062</v>
      </c>
      <c r="G2217" s="15">
        <f t="shared" si="69"/>
        <v>2009</v>
      </c>
      <c r="H2217" s="15">
        <f t="shared" si="70"/>
        <v>0</v>
      </c>
      <c r="I2217" s="21"/>
    </row>
    <row r="2218" spans="1:9" ht="15.75" x14ac:dyDescent="0.25">
      <c r="A2218" s="51">
        <v>42814</v>
      </c>
      <c r="B2218" s="52" t="s">
        <v>10034</v>
      </c>
      <c r="C2218" s="18">
        <v>104996</v>
      </c>
      <c r="D2218" s="2" t="s">
        <v>32</v>
      </c>
      <c r="E2218" s="15">
        <v>5782</v>
      </c>
      <c r="F2218" s="59">
        <v>43062</v>
      </c>
      <c r="G2218" s="15">
        <f t="shared" si="69"/>
        <v>5782</v>
      </c>
      <c r="H2218" s="15">
        <f t="shared" si="70"/>
        <v>0</v>
      </c>
      <c r="I2218" s="21"/>
    </row>
    <row r="2219" spans="1:9" ht="15.75" x14ac:dyDescent="0.25">
      <c r="A2219" s="51">
        <v>42814</v>
      </c>
      <c r="B2219" s="52" t="s">
        <v>10035</v>
      </c>
      <c r="C2219" s="18">
        <v>104997</v>
      </c>
      <c r="D2219" s="2" t="s">
        <v>30</v>
      </c>
      <c r="E2219" s="15">
        <v>2414.6999999999998</v>
      </c>
      <c r="G2219" s="15">
        <f t="shared" si="69"/>
        <v>2414.6999999999998</v>
      </c>
      <c r="H2219" s="15">
        <f t="shared" si="70"/>
        <v>0</v>
      </c>
      <c r="I2219" s="21"/>
    </row>
    <row r="2220" spans="1:9" ht="15.75" x14ac:dyDescent="0.25">
      <c r="A2220" s="51">
        <v>42814</v>
      </c>
      <c r="B2220" s="52" t="s">
        <v>10036</v>
      </c>
      <c r="C2220" s="18">
        <v>104998</v>
      </c>
      <c r="D2220" s="2" t="s">
        <v>69</v>
      </c>
      <c r="E2220" s="15">
        <v>3050.3</v>
      </c>
      <c r="G2220" s="15">
        <f t="shared" si="69"/>
        <v>3050.3</v>
      </c>
      <c r="H2220" s="15">
        <f t="shared" si="70"/>
        <v>0</v>
      </c>
      <c r="I2220" s="21"/>
    </row>
    <row r="2221" spans="1:9" ht="15.75" x14ac:dyDescent="0.25">
      <c r="A2221" s="51">
        <v>42814</v>
      </c>
      <c r="B2221" s="52" t="s">
        <v>10037</v>
      </c>
      <c r="C2221" s="18">
        <v>104999</v>
      </c>
      <c r="D2221" s="2" t="s">
        <v>236</v>
      </c>
      <c r="E2221" s="15">
        <v>35976.6</v>
      </c>
      <c r="F2221" s="59">
        <v>42818</v>
      </c>
      <c r="G2221" s="15">
        <f t="shared" si="69"/>
        <v>35976.6</v>
      </c>
      <c r="H2221" s="15">
        <f t="shared" si="70"/>
        <v>0</v>
      </c>
      <c r="I2221" s="21"/>
    </row>
    <row r="2222" spans="1:9" ht="15.75" x14ac:dyDescent="0.25">
      <c r="A2222" s="51">
        <v>42814</v>
      </c>
      <c r="B2222" s="52" t="s">
        <v>10038</v>
      </c>
      <c r="C2222" s="18">
        <v>105000</v>
      </c>
      <c r="D2222" s="2" t="s">
        <v>14</v>
      </c>
      <c r="E2222" s="15">
        <v>17935</v>
      </c>
      <c r="G2222" s="15">
        <f t="shared" si="69"/>
        <v>17935</v>
      </c>
      <c r="H2222" s="15">
        <f t="shared" si="70"/>
        <v>0</v>
      </c>
      <c r="I2222" s="21"/>
    </row>
    <row r="2223" spans="1:9" ht="15.75" x14ac:dyDescent="0.25">
      <c r="A2223" s="51">
        <v>42814</v>
      </c>
      <c r="B2223" s="52" t="s">
        <v>10039</v>
      </c>
      <c r="C2223" s="18">
        <v>105001</v>
      </c>
      <c r="D2223" s="2" t="s">
        <v>10040</v>
      </c>
      <c r="E2223" s="15">
        <v>62603.1</v>
      </c>
      <c r="G2223" s="15">
        <f t="shared" si="69"/>
        <v>62603.1</v>
      </c>
      <c r="H2223" s="15">
        <f t="shared" si="70"/>
        <v>0</v>
      </c>
      <c r="I2223" s="21"/>
    </row>
    <row r="2224" spans="1:9" ht="15.75" x14ac:dyDescent="0.25">
      <c r="A2224" s="51">
        <v>42814</v>
      </c>
      <c r="B2224" s="52" t="s">
        <v>10041</v>
      </c>
      <c r="C2224" s="18">
        <v>105002</v>
      </c>
      <c r="D2224" s="2" t="s">
        <v>10040</v>
      </c>
      <c r="E2224" s="15">
        <v>1185.8</v>
      </c>
      <c r="G2224" s="15">
        <f t="shared" si="69"/>
        <v>1185.8</v>
      </c>
      <c r="H2224" s="15">
        <f t="shared" si="70"/>
        <v>0</v>
      </c>
      <c r="I2224" s="21"/>
    </row>
    <row r="2225" spans="1:9" ht="15.75" x14ac:dyDescent="0.25">
      <c r="A2225" s="51">
        <v>42814</v>
      </c>
      <c r="B2225" s="52" t="s">
        <v>10042</v>
      </c>
      <c r="C2225" s="18">
        <v>105003</v>
      </c>
      <c r="D2225" s="2" t="s">
        <v>414</v>
      </c>
      <c r="E2225" s="15">
        <v>774</v>
      </c>
      <c r="G2225" s="15">
        <f t="shared" si="69"/>
        <v>774</v>
      </c>
      <c r="H2225" s="15">
        <f t="shared" si="70"/>
        <v>0</v>
      </c>
      <c r="I2225" s="21"/>
    </row>
    <row r="2226" spans="1:9" ht="15.75" x14ac:dyDescent="0.25">
      <c r="A2226" s="51">
        <v>42814</v>
      </c>
      <c r="B2226" s="52" t="s">
        <v>10043</v>
      </c>
      <c r="C2226" s="18">
        <v>105004</v>
      </c>
      <c r="D2226" s="2" t="s">
        <v>231</v>
      </c>
      <c r="E2226" s="15">
        <v>932.8</v>
      </c>
      <c r="F2226" s="59">
        <v>42815</v>
      </c>
      <c r="G2226" s="15">
        <f t="shared" si="69"/>
        <v>932.8</v>
      </c>
      <c r="H2226" s="15">
        <f t="shared" si="70"/>
        <v>0</v>
      </c>
      <c r="I2226" s="21"/>
    </row>
    <row r="2227" spans="1:9" ht="15.75" x14ac:dyDescent="0.25">
      <c r="A2227" s="51">
        <v>42814</v>
      </c>
      <c r="B2227" s="52" t="s">
        <v>10044</v>
      </c>
      <c r="C2227" s="18">
        <v>105005</v>
      </c>
      <c r="D2227" s="2" t="s">
        <v>92</v>
      </c>
      <c r="E2227" s="15">
        <v>2645</v>
      </c>
      <c r="G2227" s="15">
        <f t="shared" si="69"/>
        <v>2645</v>
      </c>
      <c r="H2227" s="15">
        <f t="shared" si="70"/>
        <v>0</v>
      </c>
      <c r="I2227" s="21"/>
    </row>
    <row r="2228" spans="1:9" ht="15.75" x14ac:dyDescent="0.25">
      <c r="A2228" s="51">
        <v>42814</v>
      </c>
      <c r="B2228" s="52" t="s">
        <v>10045</v>
      </c>
      <c r="C2228" s="18">
        <v>105006</v>
      </c>
      <c r="D2228" s="2" t="s">
        <v>101</v>
      </c>
      <c r="E2228" s="15">
        <v>2730</v>
      </c>
      <c r="G2228" s="15">
        <f t="shared" si="69"/>
        <v>2730</v>
      </c>
      <c r="H2228" s="15">
        <f t="shared" si="70"/>
        <v>0</v>
      </c>
      <c r="I2228" s="21"/>
    </row>
    <row r="2229" spans="1:9" ht="15.75" x14ac:dyDescent="0.25">
      <c r="A2229" s="51">
        <v>42814</v>
      </c>
      <c r="B2229" s="52" t="s">
        <v>10046</v>
      </c>
      <c r="C2229" s="18">
        <v>105007</v>
      </c>
      <c r="D2229" s="2" t="s">
        <v>69</v>
      </c>
      <c r="E2229" s="15">
        <v>1894.4</v>
      </c>
      <c r="G2229" s="15">
        <f t="shared" si="69"/>
        <v>1894.4</v>
      </c>
      <c r="H2229" s="15">
        <f t="shared" si="70"/>
        <v>0</v>
      </c>
      <c r="I2229" s="21"/>
    </row>
    <row r="2230" spans="1:9" ht="15.75" x14ac:dyDescent="0.25">
      <c r="A2230" s="51">
        <v>42814</v>
      </c>
      <c r="B2230" s="52" t="s">
        <v>10047</v>
      </c>
      <c r="C2230" s="18">
        <v>105008</v>
      </c>
      <c r="D2230" s="2" t="s">
        <v>99</v>
      </c>
      <c r="E2230" s="15">
        <v>1920</v>
      </c>
      <c r="G2230" s="15">
        <f t="shared" si="69"/>
        <v>1920</v>
      </c>
      <c r="H2230" s="15">
        <f t="shared" si="70"/>
        <v>0</v>
      </c>
      <c r="I2230" s="21"/>
    </row>
    <row r="2231" spans="1:9" ht="15.75" x14ac:dyDescent="0.25">
      <c r="A2231" s="51">
        <v>42814</v>
      </c>
      <c r="B2231" s="52" t="s">
        <v>10048</v>
      </c>
      <c r="C2231" s="18">
        <v>105009</v>
      </c>
      <c r="D2231" s="2" t="s">
        <v>281</v>
      </c>
      <c r="E2231" s="15">
        <v>2289.1999999999998</v>
      </c>
      <c r="G2231" s="15">
        <f t="shared" si="69"/>
        <v>2289.1999999999998</v>
      </c>
      <c r="H2231" s="15">
        <f t="shared" si="70"/>
        <v>0</v>
      </c>
      <c r="I2231" s="21"/>
    </row>
    <row r="2232" spans="1:9" ht="15.75" x14ac:dyDescent="0.25">
      <c r="A2232" s="51">
        <v>42814</v>
      </c>
      <c r="B2232" s="52" t="s">
        <v>10049</v>
      </c>
      <c r="C2232" s="18">
        <v>105010</v>
      </c>
      <c r="D2232" s="2" t="s">
        <v>291</v>
      </c>
      <c r="E2232" s="15">
        <v>2710</v>
      </c>
      <c r="G2232" s="15">
        <f t="shared" si="69"/>
        <v>2710</v>
      </c>
      <c r="H2232" s="15">
        <f t="shared" si="70"/>
        <v>0</v>
      </c>
      <c r="I2232" s="21"/>
    </row>
    <row r="2233" spans="1:9" ht="15.75" x14ac:dyDescent="0.25">
      <c r="A2233" s="51">
        <v>42814</v>
      </c>
      <c r="B2233" s="52" t="s">
        <v>10050</v>
      </c>
      <c r="C2233" s="18">
        <v>105011</v>
      </c>
      <c r="D2233" s="2" t="s">
        <v>105</v>
      </c>
      <c r="E2233" s="15">
        <v>3145.7</v>
      </c>
      <c r="F2233" s="59">
        <v>43062</v>
      </c>
      <c r="G2233" s="15">
        <f t="shared" si="69"/>
        <v>3145.7</v>
      </c>
      <c r="H2233" s="15">
        <f t="shared" si="70"/>
        <v>0</v>
      </c>
      <c r="I2233" s="21"/>
    </row>
    <row r="2234" spans="1:9" ht="15.75" x14ac:dyDescent="0.25">
      <c r="A2234" s="51">
        <v>42814</v>
      </c>
      <c r="B2234" s="52" t="s">
        <v>10051</v>
      </c>
      <c r="C2234" s="18">
        <v>105012</v>
      </c>
      <c r="D2234" s="2" t="s">
        <v>147</v>
      </c>
      <c r="E2234" s="15">
        <v>24693</v>
      </c>
      <c r="G2234" s="15">
        <f t="shared" si="69"/>
        <v>24693</v>
      </c>
      <c r="H2234" s="15">
        <f t="shared" si="70"/>
        <v>0</v>
      </c>
      <c r="I2234" s="21"/>
    </row>
    <row r="2235" spans="1:9" ht="15.75" x14ac:dyDescent="0.25">
      <c r="A2235" s="51">
        <v>42814</v>
      </c>
      <c r="B2235" s="52" t="s">
        <v>10052</v>
      </c>
      <c r="C2235" s="18">
        <v>105013</v>
      </c>
      <c r="D2235" s="2" t="s">
        <v>1259</v>
      </c>
      <c r="E2235" s="15">
        <v>1143</v>
      </c>
      <c r="G2235" s="15">
        <f t="shared" si="69"/>
        <v>1143</v>
      </c>
      <c r="H2235" s="15">
        <f t="shared" si="70"/>
        <v>0</v>
      </c>
      <c r="I2235" s="21"/>
    </row>
    <row r="2236" spans="1:9" ht="15.75" x14ac:dyDescent="0.25">
      <c r="A2236" s="51">
        <v>42814</v>
      </c>
      <c r="B2236" s="52" t="s">
        <v>10053</v>
      </c>
      <c r="C2236" s="18">
        <v>105014</v>
      </c>
      <c r="D2236" s="2" t="s">
        <v>88</v>
      </c>
      <c r="E2236" s="15">
        <v>5850</v>
      </c>
      <c r="G2236" s="15">
        <f t="shared" si="69"/>
        <v>5850</v>
      </c>
      <c r="H2236" s="15">
        <f t="shared" si="70"/>
        <v>0</v>
      </c>
      <c r="I2236" s="21"/>
    </row>
    <row r="2237" spans="1:9" ht="15.75" x14ac:dyDescent="0.25">
      <c r="A2237" s="51">
        <v>42814</v>
      </c>
      <c r="B2237" s="52" t="s">
        <v>10054</v>
      </c>
      <c r="C2237" s="18">
        <v>105015</v>
      </c>
      <c r="D2237" s="2" t="s">
        <v>81</v>
      </c>
      <c r="E2237" s="15">
        <v>6559.2</v>
      </c>
      <c r="G2237" s="15">
        <f t="shared" si="69"/>
        <v>6559.2</v>
      </c>
      <c r="H2237" s="15">
        <f t="shared" si="70"/>
        <v>0</v>
      </c>
      <c r="I2237" s="21"/>
    </row>
    <row r="2238" spans="1:9" ht="15.75" x14ac:dyDescent="0.25">
      <c r="A2238" s="51">
        <v>42814</v>
      </c>
      <c r="B2238" s="52" t="s">
        <v>10055</v>
      </c>
      <c r="C2238" s="18">
        <v>105016</v>
      </c>
      <c r="D2238" s="2" t="s">
        <v>240</v>
      </c>
      <c r="E2238" s="15">
        <v>2418</v>
      </c>
      <c r="G2238" s="15">
        <f t="shared" si="69"/>
        <v>2418</v>
      </c>
      <c r="H2238" s="15">
        <f t="shared" si="70"/>
        <v>0</v>
      </c>
      <c r="I2238" s="21"/>
    </row>
    <row r="2239" spans="1:9" ht="15.75" x14ac:dyDescent="0.25">
      <c r="A2239" s="51">
        <v>42814</v>
      </c>
      <c r="B2239" s="52" t="s">
        <v>10056</v>
      </c>
      <c r="C2239" s="18">
        <v>105017</v>
      </c>
      <c r="D2239" s="2" t="s">
        <v>240</v>
      </c>
      <c r="E2239" s="15">
        <v>4407.8</v>
      </c>
      <c r="G2239" s="15">
        <f t="shared" si="69"/>
        <v>4407.8</v>
      </c>
      <c r="H2239" s="15">
        <f t="shared" si="70"/>
        <v>0</v>
      </c>
      <c r="I2239" s="21"/>
    </row>
    <row r="2240" spans="1:9" ht="15.75" x14ac:dyDescent="0.25">
      <c r="A2240" s="51">
        <v>42814</v>
      </c>
      <c r="B2240" s="52" t="s">
        <v>10057</v>
      </c>
      <c r="C2240" s="18">
        <v>105018</v>
      </c>
      <c r="D2240" s="2" t="s">
        <v>1256</v>
      </c>
      <c r="E2240" s="15">
        <v>2050.3000000000002</v>
      </c>
      <c r="F2240" s="59">
        <v>43062</v>
      </c>
      <c r="G2240" s="15">
        <f t="shared" si="69"/>
        <v>2050.3000000000002</v>
      </c>
      <c r="H2240" s="15">
        <f t="shared" si="70"/>
        <v>0</v>
      </c>
      <c r="I2240" s="21"/>
    </row>
    <row r="2241" spans="1:9" ht="15.75" x14ac:dyDescent="0.25">
      <c r="A2241" s="51">
        <v>42814</v>
      </c>
      <c r="B2241" s="52" t="s">
        <v>10058</v>
      </c>
      <c r="C2241" s="18">
        <v>105019</v>
      </c>
      <c r="D2241" s="2" t="s">
        <v>79</v>
      </c>
      <c r="E2241" s="15">
        <v>3506.5</v>
      </c>
      <c r="G2241" s="15">
        <f t="shared" si="69"/>
        <v>3506.5</v>
      </c>
      <c r="H2241" s="15">
        <f t="shared" si="70"/>
        <v>0</v>
      </c>
      <c r="I2241" s="21"/>
    </row>
    <row r="2242" spans="1:9" ht="15.75" x14ac:dyDescent="0.25">
      <c r="A2242" s="51">
        <v>42814</v>
      </c>
      <c r="B2242" s="52" t="s">
        <v>10059</v>
      </c>
      <c r="C2242" s="18">
        <v>105020</v>
      </c>
      <c r="D2242" s="2" t="s">
        <v>109</v>
      </c>
      <c r="E2242" s="15">
        <v>4984.0600000000004</v>
      </c>
      <c r="G2242" s="15">
        <f t="shared" si="69"/>
        <v>4984.0600000000004</v>
      </c>
      <c r="H2242" s="15">
        <f t="shared" si="70"/>
        <v>0</v>
      </c>
      <c r="I2242" s="21"/>
    </row>
    <row r="2243" spans="1:9" ht="15.75" x14ac:dyDescent="0.25">
      <c r="A2243" s="51">
        <v>42814</v>
      </c>
      <c r="B2243" s="52" t="s">
        <v>10060</v>
      </c>
      <c r="C2243" s="18">
        <v>105021</v>
      </c>
      <c r="D2243" s="2" t="s">
        <v>103</v>
      </c>
      <c r="E2243" s="15">
        <v>3019.5</v>
      </c>
      <c r="F2243" s="59">
        <v>43062</v>
      </c>
      <c r="G2243" s="15">
        <f t="shared" si="69"/>
        <v>3019.5</v>
      </c>
      <c r="H2243" s="15">
        <f t="shared" si="70"/>
        <v>0</v>
      </c>
      <c r="I2243" s="21"/>
    </row>
    <row r="2244" spans="1:9" ht="15.75" x14ac:dyDescent="0.25">
      <c r="A2244" s="51">
        <v>42814</v>
      </c>
      <c r="B2244" s="52" t="s">
        <v>10061</v>
      </c>
      <c r="C2244" s="18">
        <v>105022</v>
      </c>
      <c r="D2244" s="2" t="s">
        <v>45</v>
      </c>
      <c r="E2244" s="15">
        <v>1953.6</v>
      </c>
      <c r="G2244" s="15">
        <f t="shared" ref="G2244:G2307" si="71">E2244</f>
        <v>1953.6</v>
      </c>
      <c r="H2244" s="15">
        <f t="shared" ref="H2244:H2307" si="72">E2244-G2244</f>
        <v>0</v>
      </c>
      <c r="I2244" s="21"/>
    </row>
    <row r="2245" spans="1:9" ht="15.75" x14ac:dyDescent="0.25">
      <c r="A2245" s="51">
        <v>42814</v>
      </c>
      <c r="B2245" s="52" t="s">
        <v>10062</v>
      </c>
      <c r="C2245" s="18">
        <v>105023</v>
      </c>
      <c r="D2245" s="2" t="s">
        <v>331</v>
      </c>
      <c r="E2245" s="15">
        <v>1563.1</v>
      </c>
      <c r="G2245" s="15">
        <f t="shared" si="71"/>
        <v>1563.1</v>
      </c>
      <c r="H2245" s="15">
        <f t="shared" si="72"/>
        <v>0</v>
      </c>
      <c r="I2245" s="21"/>
    </row>
    <row r="2246" spans="1:9" ht="15.75" x14ac:dyDescent="0.25">
      <c r="A2246" s="51">
        <v>42814</v>
      </c>
      <c r="B2246" s="52" t="s">
        <v>10063</v>
      </c>
      <c r="C2246" s="18">
        <v>105024</v>
      </c>
      <c r="D2246" s="2" t="s">
        <v>188</v>
      </c>
      <c r="E2246" s="15">
        <v>3802</v>
      </c>
      <c r="G2246" s="15">
        <f t="shared" si="71"/>
        <v>3802</v>
      </c>
      <c r="H2246" s="15">
        <f t="shared" si="72"/>
        <v>0</v>
      </c>
      <c r="I2246" s="21"/>
    </row>
    <row r="2247" spans="1:9" ht="15.75" x14ac:dyDescent="0.25">
      <c r="A2247" s="51">
        <v>42814</v>
      </c>
      <c r="B2247" s="52" t="s">
        <v>10064</v>
      </c>
      <c r="C2247" s="18">
        <v>105025</v>
      </c>
      <c r="D2247" s="2" t="s">
        <v>184</v>
      </c>
      <c r="E2247" s="15">
        <v>3577.5</v>
      </c>
      <c r="F2247" s="59">
        <v>42816</v>
      </c>
      <c r="G2247" s="15">
        <f t="shared" si="71"/>
        <v>3577.5</v>
      </c>
      <c r="H2247" s="15">
        <f t="shared" si="72"/>
        <v>0</v>
      </c>
      <c r="I2247" s="21"/>
    </row>
    <row r="2248" spans="1:9" ht="15.75" x14ac:dyDescent="0.25">
      <c r="A2248" s="51">
        <v>42814</v>
      </c>
      <c r="B2248" s="52" t="s">
        <v>10065</v>
      </c>
      <c r="C2248" s="18">
        <v>105026</v>
      </c>
      <c r="D2248" s="2" t="s">
        <v>186</v>
      </c>
      <c r="E2248" s="15">
        <v>3096</v>
      </c>
      <c r="F2248" s="59">
        <v>42791</v>
      </c>
      <c r="G2248" s="15">
        <f t="shared" si="71"/>
        <v>3096</v>
      </c>
      <c r="H2248" s="15">
        <f t="shared" si="72"/>
        <v>0</v>
      </c>
      <c r="I2248" s="21"/>
    </row>
    <row r="2249" spans="1:9" ht="15.75" x14ac:dyDescent="0.25">
      <c r="A2249" s="51">
        <v>42814</v>
      </c>
      <c r="B2249" s="52" t="s">
        <v>10066</v>
      </c>
      <c r="C2249" s="18">
        <v>105027</v>
      </c>
      <c r="D2249" s="2" t="s">
        <v>61</v>
      </c>
      <c r="E2249" s="15">
        <v>8925</v>
      </c>
      <c r="G2249" s="15">
        <f t="shared" si="71"/>
        <v>8925</v>
      </c>
      <c r="H2249" s="15">
        <f t="shared" si="72"/>
        <v>0</v>
      </c>
      <c r="I2249" s="21"/>
    </row>
    <row r="2250" spans="1:9" ht="15.75" x14ac:dyDescent="0.25">
      <c r="A2250" s="51">
        <v>42814</v>
      </c>
      <c r="B2250" s="52" t="s">
        <v>10067</v>
      </c>
      <c r="C2250" s="18">
        <v>105028</v>
      </c>
      <c r="D2250" s="2" t="s">
        <v>432</v>
      </c>
      <c r="E2250" s="15">
        <v>2852.5</v>
      </c>
      <c r="G2250" s="15">
        <f t="shared" si="71"/>
        <v>2852.5</v>
      </c>
      <c r="H2250" s="15">
        <f t="shared" si="72"/>
        <v>0</v>
      </c>
      <c r="I2250" s="21"/>
    </row>
    <row r="2251" spans="1:9" ht="15.75" x14ac:dyDescent="0.25">
      <c r="A2251" s="51">
        <v>42814</v>
      </c>
      <c r="B2251" s="52" t="s">
        <v>10068</v>
      </c>
      <c r="C2251" s="18">
        <v>105029</v>
      </c>
      <c r="D2251" s="2" t="s">
        <v>2986</v>
      </c>
      <c r="E2251" s="15">
        <v>5925.6</v>
      </c>
      <c r="G2251" s="15">
        <f t="shared" si="71"/>
        <v>5925.6</v>
      </c>
      <c r="H2251" s="15">
        <f t="shared" si="72"/>
        <v>0</v>
      </c>
      <c r="I2251" s="21"/>
    </row>
    <row r="2252" spans="1:9" ht="15.75" x14ac:dyDescent="0.25">
      <c r="A2252" s="51">
        <v>42814</v>
      </c>
      <c r="B2252" s="52" t="s">
        <v>10069</v>
      </c>
      <c r="C2252" s="18">
        <v>105030</v>
      </c>
      <c r="D2252" s="2" t="s">
        <v>236</v>
      </c>
      <c r="E2252" s="15">
        <v>31095.4</v>
      </c>
      <c r="G2252" s="15">
        <f t="shared" si="71"/>
        <v>31095.4</v>
      </c>
      <c r="H2252" s="15">
        <f t="shared" si="72"/>
        <v>0</v>
      </c>
      <c r="I2252" s="21"/>
    </row>
    <row r="2253" spans="1:9" ht="15.75" x14ac:dyDescent="0.25">
      <c r="A2253" s="51">
        <v>42814</v>
      </c>
      <c r="B2253" s="52" t="s">
        <v>10070</v>
      </c>
      <c r="C2253" s="18">
        <v>105031</v>
      </c>
      <c r="D2253" s="2" t="s">
        <v>531</v>
      </c>
      <c r="E2253" s="15">
        <v>32704</v>
      </c>
      <c r="F2253" s="59">
        <v>42815</v>
      </c>
      <c r="G2253" s="15">
        <f t="shared" si="71"/>
        <v>32704</v>
      </c>
      <c r="H2253" s="15">
        <f t="shared" si="72"/>
        <v>0</v>
      </c>
      <c r="I2253" s="21"/>
    </row>
    <row r="2254" spans="1:9" ht="15.75" x14ac:dyDescent="0.25">
      <c r="A2254" s="51">
        <v>42814</v>
      </c>
      <c r="B2254" s="52" t="s">
        <v>10071</v>
      </c>
      <c r="C2254" s="18">
        <v>105032</v>
      </c>
      <c r="D2254" s="2" t="s">
        <v>236</v>
      </c>
      <c r="E2254" s="15">
        <v>31476.2</v>
      </c>
      <c r="F2254" s="59">
        <v>42818</v>
      </c>
      <c r="G2254" s="15">
        <f>29518.2+1958</f>
        <v>31476.2</v>
      </c>
      <c r="H2254" s="15">
        <f t="shared" si="72"/>
        <v>0</v>
      </c>
      <c r="I2254" s="21"/>
    </row>
    <row r="2255" spans="1:9" ht="15.75" x14ac:dyDescent="0.25">
      <c r="A2255" s="51">
        <v>42814</v>
      </c>
      <c r="B2255" s="52" t="s">
        <v>10072</v>
      </c>
      <c r="C2255" s="18">
        <v>105033</v>
      </c>
      <c r="D2255" s="2" t="s">
        <v>85</v>
      </c>
      <c r="E2255" s="15">
        <v>12162.5</v>
      </c>
      <c r="F2255" s="59">
        <v>42821</v>
      </c>
      <c r="G2255" s="15">
        <f t="shared" si="71"/>
        <v>12162.5</v>
      </c>
      <c r="H2255" s="15">
        <f t="shared" si="72"/>
        <v>0</v>
      </c>
      <c r="I2255" s="21"/>
    </row>
    <row r="2256" spans="1:9" ht="15.75" x14ac:dyDescent="0.25">
      <c r="A2256" s="51">
        <v>42814</v>
      </c>
      <c r="B2256" s="52" t="s">
        <v>10073</v>
      </c>
      <c r="C2256" s="18">
        <v>105034</v>
      </c>
      <c r="D2256" s="2" t="s">
        <v>335</v>
      </c>
      <c r="E2256" s="15">
        <v>1370.8</v>
      </c>
      <c r="F2256" s="59">
        <v>42822</v>
      </c>
      <c r="G2256" s="15">
        <f t="shared" si="71"/>
        <v>1370.8</v>
      </c>
      <c r="H2256" s="15">
        <f t="shared" si="72"/>
        <v>0</v>
      </c>
      <c r="I2256" s="21"/>
    </row>
    <row r="2257" spans="1:9" ht="15.75" x14ac:dyDescent="0.25">
      <c r="A2257" s="51">
        <v>42814</v>
      </c>
      <c r="B2257" s="52" t="s">
        <v>10074</v>
      </c>
      <c r="C2257" s="18">
        <v>105035</v>
      </c>
      <c r="D2257" s="2" t="s">
        <v>305</v>
      </c>
      <c r="E2257" s="15">
        <v>3625.4</v>
      </c>
      <c r="F2257" s="59">
        <v>42822</v>
      </c>
      <c r="G2257" s="15">
        <f t="shared" si="71"/>
        <v>3625.4</v>
      </c>
      <c r="H2257" s="15">
        <f t="shared" si="72"/>
        <v>0</v>
      </c>
      <c r="I2257" s="21"/>
    </row>
    <row r="2258" spans="1:9" ht="15.75" x14ac:dyDescent="0.25">
      <c r="A2258" s="51">
        <v>42814</v>
      </c>
      <c r="B2258" s="52" t="s">
        <v>10075</v>
      </c>
      <c r="C2258" s="18">
        <v>105036</v>
      </c>
      <c r="D2258" s="2" t="s">
        <v>476</v>
      </c>
      <c r="E2258" s="15">
        <v>20038.2</v>
      </c>
      <c r="F2258" s="59">
        <v>42815</v>
      </c>
      <c r="G2258" s="15">
        <f t="shared" si="71"/>
        <v>20038.2</v>
      </c>
      <c r="H2258" s="15">
        <f t="shared" si="72"/>
        <v>0</v>
      </c>
      <c r="I2258" s="21"/>
    </row>
    <row r="2259" spans="1:9" ht="15.75" x14ac:dyDescent="0.25">
      <c r="A2259" s="51">
        <v>42814</v>
      </c>
      <c r="B2259" s="52" t="s">
        <v>10076</v>
      </c>
      <c r="C2259" s="18">
        <v>105037</v>
      </c>
      <c r="D2259" s="2" t="s">
        <v>4930</v>
      </c>
      <c r="E2259" s="15">
        <v>3229.4</v>
      </c>
      <c r="G2259" s="15">
        <f t="shared" si="71"/>
        <v>3229.4</v>
      </c>
      <c r="H2259" s="15">
        <f t="shared" si="72"/>
        <v>0</v>
      </c>
      <c r="I2259" s="21"/>
    </row>
    <row r="2260" spans="1:9" ht="15.75" x14ac:dyDescent="0.25">
      <c r="A2260" s="51">
        <v>42814</v>
      </c>
      <c r="B2260" s="52" t="s">
        <v>10077</v>
      </c>
      <c r="C2260" s="18">
        <v>105038</v>
      </c>
      <c r="D2260" s="2" t="s">
        <v>432</v>
      </c>
      <c r="E2260" s="15">
        <v>13909.4</v>
      </c>
      <c r="F2260" s="59">
        <v>42816</v>
      </c>
      <c r="G2260" s="15">
        <f t="shared" si="71"/>
        <v>13909.4</v>
      </c>
      <c r="H2260" s="15">
        <f t="shared" si="72"/>
        <v>0</v>
      </c>
      <c r="I2260" s="21"/>
    </row>
    <row r="2261" spans="1:9" ht="15.75" x14ac:dyDescent="0.25">
      <c r="A2261" s="51">
        <v>42814</v>
      </c>
      <c r="B2261" s="52" t="s">
        <v>10078</v>
      </c>
      <c r="C2261" s="18">
        <v>105039</v>
      </c>
      <c r="D2261" s="2" t="s">
        <v>125</v>
      </c>
      <c r="E2261" s="15">
        <v>7120.8</v>
      </c>
      <c r="F2261" s="59">
        <v>42815</v>
      </c>
      <c r="G2261" s="15">
        <f t="shared" si="71"/>
        <v>7120.8</v>
      </c>
      <c r="H2261" s="15">
        <f t="shared" si="72"/>
        <v>0</v>
      </c>
      <c r="I2261" s="21"/>
    </row>
    <row r="2262" spans="1:9" ht="15.75" x14ac:dyDescent="0.25">
      <c r="A2262" s="51">
        <v>42814</v>
      </c>
      <c r="B2262" s="52" t="s">
        <v>10079</v>
      </c>
      <c r="C2262" s="18">
        <v>105040</v>
      </c>
      <c r="D2262" s="2" t="s">
        <v>272</v>
      </c>
      <c r="E2262" s="15">
        <v>2903.6</v>
      </c>
      <c r="F2262" s="59">
        <v>42816</v>
      </c>
      <c r="G2262" s="15">
        <f t="shared" si="71"/>
        <v>2903.6</v>
      </c>
      <c r="H2262" s="15">
        <f t="shared" si="72"/>
        <v>0</v>
      </c>
      <c r="I2262" s="21"/>
    </row>
    <row r="2263" spans="1:9" ht="15.75" x14ac:dyDescent="0.25">
      <c r="A2263" s="51">
        <v>42814</v>
      </c>
      <c r="B2263" s="52" t="s">
        <v>10080</v>
      </c>
      <c r="C2263" s="18">
        <v>105041</v>
      </c>
      <c r="D2263" s="2" t="s">
        <v>435</v>
      </c>
      <c r="E2263" s="15">
        <v>3005.6</v>
      </c>
      <c r="F2263" s="59">
        <v>42816</v>
      </c>
      <c r="G2263" s="15">
        <f t="shared" si="71"/>
        <v>3005.6</v>
      </c>
      <c r="H2263" s="15">
        <f t="shared" si="72"/>
        <v>0</v>
      </c>
      <c r="I2263" s="21"/>
    </row>
    <row r="2264" spans="1:9" ht="15.75" x14ac:dyDescent="0.25">
      <c r="A2264" s="51">
        <v>42814</v>
      </c>
      <c r="B2264" s="52" t="s">
        <v>10081</v>
      </c>
      <c r="C2264" s="18">
        <v>105042</v>
      </c>
      <c r="D2264" s="2" t="s">
        <v>274</v>
      </c>
      <c r="E2264" s="15">
        <v>4008.6</v>
      </c>
      <c r="F2264" s="59">
        <v>42823</v>
      </c>
      <c r="G2264" s="15">
        <f t="shared" si="71"/>
        <v>4008.6</v>
      </c>
      <c r="H2264" s="15">
        <f t="shared" si="72"/>
        <v>0</v>
      </c>
      <c r="I2264" s="21"/>
    </row>
    <row r="2265" spans="1:9" ht="15.75" x14ac:dyDescent="0.25">
      <c r="A2265" s="51">
        <v>42814</v>
      </c>
      <c r="B2265" s="52" t="s">
        <v>10082</v>
      </c>
      <c r="C2265" s="18">
        <v>105043</v>
      </c>
      <c r="D2265" s="2" t="s">
        <v>1666</v>
      </c>
      <c r="E2265" s="15">
        <v>14252</v>
      </c>
      <c r="F2265" s="59">
        <v>42816</v>
      </c>
      <c r="G2265" s="15">
        <f t="shared" si="71"/>
        <v>14252</v>
      </c>
      <c r="H2265" s="15">
        <f t="shared" si="72"/>
        <v>0</v>
      </c>
      <c r="I2265" s="21"/>
    </row>
    <row r="2266" spans="1:9" ht="15.75" x14ac:dyDescent="0.25">
      <c r="A2266" s="51">
        <v>42814</v>
      </c>
      <c r="B2266" s="52" t="s">
        <v>10083</v>
      </c>
      <c r="C2266" s="18">
        <v>105044</v>
      </c>
      <c r="D2266" s="2" t="s">
        <v>442</v>
      </c>
      <c r="E2266" s="15">
        <v>1459.2</v>
      </c>
      <c r="F2266" s="59">
        <v>42816</v>
      </c>
      <c r="G2266" s="15">
        <f t="shared" si="71"/>
        <v>1459.2</v>
      </c>
      <c r="H2266" s="15">
        <f t="shared" si="72"/>
        <v>0</v>
      </c>
      <c r="I2266" s="21"/>
    </row>
    <row r="2267" spans="1:9" ht="15.75" x14ac:dyDescent="0.25">
      <c r="A2267" s="51">
        <v>42814</v>
      </c>
      <c r="B2267" s="52" t="s">
        <v>10084</v>
      </c>
      <c r="C2267" s="18">
        <v>105045</v>
      </c>
      <c r="D2267" s="2" t="s">
        <v>131</v>
      </c>
      <c r="E2267" s="15">
        <v>7414.8</v>
      </c>
      <c r="G2267" s="15">
        <f t="shared" si="71"/>
        <v>7414.8</v>
      </c>
      <c r="H2267" s="15">
        <f t="shared" si="72"/>
        <v>0</v>
      </c>
      <c r="I2267" s="21"/>
    </row>
    <row r="2268" spans="1:9" ht="15.75" x14ac:dyDescent="0.25">
      <c r="A2268" s="51">
        <v>42814</v>
      </c>
      <c r="B2268" s="52" t="s">
        <v>10085</v>
      </c>
      <c r="C2268" s="18">
        <v>105046</v>
      </c>
      <c r="D2268" s="2" t="s">
        <v>270</v>
      </c>
      <c r="E2268" s="15">
        <v>19635.8</v>
      </c>
      <c r="G2268" s="15">
        <f t="shared" si="71"/>
        <v>19635.8</v>
      </c>
      <c r="H2268" s="15">
        <f t="shared" si="72"/>
        <v>0</v>
      </c>
      <c r="I2268" s="21"/>
    </row>
    <row r="2269" spans="1:9" ht="15.75" x14ac:dyDescent="0.25">
      <c r="A2269" s="51">
        <v>42814</v>
      </c>
      <c r="B2269" s="52" t="s">
        <v>10086</v>
      </c>
      <c r="C2269" s="18">
        <v>105047</v>
      </c>
      <c r="D2269" s="2" t="s">
        <v>270</v>
      </c>
      <c r="E2269" s="15">
        <v>19700.599999999999</v>
      </c>
      <c r="F2269" s="59">
        <v>42818</v>
      </c>
      <c r="G2269" s="15">
        <f t="shared" si="71"/>
        <v>19700.599999999999</v>
      </c>
      <c r="H2269" s="15">
        <f t="shared" si="72"/>
        <v>0</v>
      </c>
      <c r="I2269" s="21"/>
    </row>
    <row r="2270" spans="1:9" ht="15.75" x14ac:dyDescent="0.25">
      <c r="A2270" s="51">
        <v>42814</v>
      </c>
      <c r="B2270" s="52" t="s">
        <v>10087</v>
      </c>
      <c r="C2270" s="18">
        <v>105048</v>
      </c>
      <c r="D2270" s="2" t="s">
        <v>268</v>
      </c>
      <c r="E2270" s="15">
        <v>17093</v>
      </c>
      <c r="F2270" s="59">
        <v>42816</v>
      </c>
      <c r="G2270" s="15">
        <f t="shared" si="71"/>
        <v>17093</v>
      </c>
      <c r="H2270" s="15">
        <f t="shared" si="72"/>
        <v>0</v>
      </c>
      <c r="I2270" s="21"/>
    </row>
    <row r="2271" spans="1:9" ht="15.75" x14ac:dyDescent="0.25">
      <c r="A2271" s="51">
        <v>42814</v>
      </c>
      <c r="B2271" s="52" t="s">
        <v>10088</v>
      </c>
      <c r="C2271" s="18">
        <v>105049</v>
      </c>
      <c r="D2271" s="2" t="s">
        <v>131</v>
      </c>
      <c r="E2271" s="15">
        <v>2649.6</v>
      </c>
      <c r="G2271" s="15">
        <f t="shared" si="71"/>
        <v>2649.6</v>
      </c>
      <c r="H2271" s="15">
        <f t="shared" si="72"/>
        <v>0</v>
      </c>
      <c r="I2271" s="21"/>
    </row>
    <row r="2272" spans="1:9" ht="15.75" x14ac:dyDescent="0.25">
      <c r="A2272" s="51">
        <v>42814</v>
      </c>
      <c r="B2272" s="52" t="s">
        <v>10089</v>
      </c>
      <c r="C2272" s="18">
        <v>105050</v>
      </c>
      <c r="D2272" s="2" t="s">
        <v>1830</v>
      </c>
      <c r="E2272" s="15">
        <v>12539.2</v>
      </c>
      <c r="G2272" s="15">
        <f t="shared" si="71"/>
        <v>12539.2</v>
      </c>
      <c r="H2272" s="15">
        <f t="shared" si="72"/>
        <v>0</v>
      </c>
      <c r="I2272" s="21"/>
    </row>
    <row r="2273" spans="1:9" ht="15.75" x14ac:dyDescent="0.25">
      <c r="A2273" s="51">
        <v>42814</v>
      </c>
      <c r="B2273" s="52" t="s">
        <v>10090</v>
      </c>
      <c r="C2273" s="18">
        <v>105051</v>
      </c>
      <c r="D2273" s="2" t="s">
        <v>122</v>
      </c>
      <c r="E2273" s="15">
        <v>4645.2</v>
      </c>
      <c r="F2273" s="59">
        <v>42824</v>
      </c>
      <c r="G2273" s="15">
        <f t="shared" si="71"/>
        <v>4645.2</v>
      </c>
      <c r="H2273" s="15">
        <f t="shared" si="72"/>
        <v>0</v>
      </c>
      <c r="I2273" s="21"/>
    </row>
    <row r="2274" spans="1:9" ht="15.75" x14ac:dyDescent="0.25">
      <c r="A2274" s="51">
        <v>42814</v>
      </c>
      <c r="B2274" s="52" t="s">
        <v>10091</v>
      </c>
      <c r="C2274" s="18">
        <v>105052</v>
      </c>
      <c r="D2274" s="2" t="s">
        <v>128</v>
      </c>
      <c r="E2274" s="15">
        <v>770</v>
      </c>
      <c r="G2274" s="15">
        <f t="shared" si="71"/>
        <v>770</v>
      </c>
      <c r="H2274" s="15">
        <f t="shared" si="72"/>
        <v>0</v>
      </c>
      <c r="I2274" s="21"/>
    </row>
    <row r="2275" spans="1:9" ht="15.75" x14ac:dyDescent="0.25">
      <c r="A2275" s="51">
        <v>42814</v>
      </c>
      <c r="B2275" s="52" t="s">
        <v>10092</v>
      </c>
      <c r="C2275" s="18">
        <v>105053</v>
      </c>
      <c r="D2275" s="2" t="s">
        <v>155</v>
      </c>
      <c r="E2275" s="15">
        <v>21049.8</v>
      </c>
      <c r="F2275" s="59">
        <v>43062</v>
      </c>
      <c r="G2275" s="15">
        <f t="shared" si="71"/>
        <v>21049.8</v>
      </c>
      <c r="H2275" s="15">
        <f t="shared" si="72"/>
        <v>0</v>
      </c>
      <c r="I2275" s="21"/>
    </row>
    <row r="2276" spans="1:9" ht="15.75" x14ac:dyDescent="0.25">
      <c r="A2276" s="51">
        <v>42814</v>
      </c>
      <c r="B2276" s="52" t="s">
        <v>10093</v>
      </c>
      <c r="C2276" s="18">
        <v>105054</v>
      </c>
      <c r="D2276" s="2" t="s">
        <v>149</v>
      </c>
      <c r="E2276" s="15">
        <v>2203.9</v>
      </c>
      <c r="G2276" s="15">
        <f t="shared" si="71"/>
        <v>2203.9</v>
      </c>
      <c r="H2276" s="15">
        <f t="shared" si="72"/>
        <v>0</v>
      </c>
      <c r="I2276" s="19"/>
    </row>
    <row r="2277" spans="1:9" ht="15.75" x14ac:dyDescent="0.25">
      <c r="A2277" s="51">
        <v>42814</v>
      </c>
      <c r="B2277" s="52" t="s">
        <v>10094</v>
      </c>
      <c r="C2277" s="18">
        <v>105055</v>
      </c>
      <c r="D2277" s="2" t="s">
        <v>5487</v>
      </c>
      <c r="E2277" s="15">
        <v>12635.2</v>
      </c>
      <c r="F2277" s="59">
        <v>42815</v>
      </c>
      <c r="G2277" s="15">
        <f t="shared" si="71"/>
        <v>12635.2</v>
      </c>
      <c r="H2277" s="15">
        <f t="shared" si="72"/>
        <v>0</v>
      </c>
      <c r="I2277" s="19"/>
    </row>
    <row r="2278" spans="1:9" ht="15.75" x14ac:dyDescent="0.25">
      <c r="A2278" s="51">
        <v>42814</v>
      </c>
      <c r="B2278" s="52" t="s">
        <v>10095</v>
      </c>
      <c r="C2278" s="18">
        <v>105056</v>
      </c>
      <c r="D2278" s="2" t="s">
        <v>172</v>
      </c>
      <c r="E2278" s="15">
        <v>14199.8</v>
      </c>
      <c r="F2278" s="59">
        <v>42826</v>
      </c>
      <c r="G2278" s="15">
        <f t="shared" si="71"/>
        <v>14199.8</v>
      </c>
      <c r="H2278" s="15">
        <f t="shared" si="72"/>
        <v>0</v>
      </c>
      <c r="I2278" s="19"/>
    </row>
    <row r="2279" spans="1:9" ht="15.75" x14ac:dyDescent="0.25">
      <c r="A2279" s="51">
        <v>42814</v>
      </c>
      <c r="B2279" s="52" t="s">
        <v>10096</v>
      </c>
      <c r="C2279" s="18">
        <v>105057</v>
      </c>
      <c r="D2279" s="2" t="s">
        <v>30</v>
      </c>
      <c r="E2279" s="15">
        <v>562.79999999999995</v>
      </c>
      <c r="G2279" s="15">
        <f t="shared" si="71"/>
        <v>562.79999999999995</v>
      </c>
      <c r="H2279" s="15">
        <f t="shared" si="72"/>
        <v>0</v>
      </c>
      <c r="I2279" s="19"/>
    </row>
    <row r="2280" spans="1:9" ht="15.75" x14ac:dyDescent="0.25">
      <c r="A2280" s="51">
        <v>42814</v>
      </c>
      <c r="B2280" s="52" t="s">
        <v>10097</v>
      </c>
      <c r="C2280" s="18">
        <v>105058</v>
      </c>
      <c r="D2280" s="2" t="s">
        <v>30</v>
      </c>
      <c r="E2280" s="15">
        <v>1282.4000000000001</v>
      </c>
      <c r="G2280" s="15">
        <f t="shared" si="71"/>
        <v>1282.4000000000001</v>
      </c>
      <c r="H2280" s="15">
        <f t="shared" si="72"/>
        <v>0</v>
      </c>
      <c r="I2280" s="19"/>
    </row>
    <row r="2281" spans="1:9" ht="15.75" x14ac:dyDescent="0.25">
      <c r="A2281" s="51">
        <v>42814</v>
      </c>
      <c r="B2281" s="52" t="s">
        <v>10098</v>
      </c>
      <c r="C2281" s="18">
        <v>105059</v>
      </c>
      <c r="D2281" s="2" t="s">
        <v>163</v>
      </c>
      <c r="E2281" s="15">
        <v>16664.7</v>
      </c>
      <c r="F2281" s="59">
        <v>42826</v>
      </c>
      <c r="G2281" s="15">
        <f t="shared" si="71"/>
        <v>16664.7</v>
      </c>
      <c r="H2281" s="15">
        <f t="shared" si="72"/>
        <v>0</v>
      </c>
      <c r="I2281" s="19"/>
    </row>
    <row r="2282" spans="1:9" ht="15.75" x14ac:dyDescent="0.25">
      <c r="A2282" s="51">
        <v>42814</v>
      </c>
      <c r="B2282" s="52" t="s">
        <v>10099</v>
      </c>
      <c r="C2282" s="18">
        <v>105060</v>
      </c>
      <c r="D2282" s="2" t="s">
        <v>329</v>
      </c>
      <c r="E2282" s="15">
        <v>571.20000000000005</v>
      </c>
      <c r="G2282" s="15">
        <f t="shared" si="71"/>
        <v>571.20000000000005</v>
      </c>
      <c r="H2282" s="15">
        <f t="shared" si="72"/>
        <v>0</v>
      </c>
      <c r="I2282" s="19"/>
    </row>
    <row r="2283" spans="1:9" ht="15.75" x14ac:dyDescent="0.25">
      <c r="A2283" s="51">
        <v>42814</v>
      </c>
      <c r="B2283" s="52" t="s">
        <v>10100</v>
      </c>
      <c r="C2283" s="18">
        <v>105061</v>
      </c>
      <c r="D2283" s="2" t="s">
        <v>168</v>
      </c>
      <c r="E2283" s="15">
        <v>193.2</v>
      </c>
      <c r="G2283" s="15">
        <f t="shared" si="71"/>
        <v>193.2</v>
      </c>
      <c r="H2283" s="15">
        <f t="shared" si="72"/>
        <v>0</v>
      </c>
      <c r="I2283" s="19"/>
    </row>
    <row r="2284" spans="1:9" ht="15.75" x14ac:dyDescent="0.25">
      <c r="A2284" s="51">
        <v>42814</v>
      </c>
      <c r="B2284" s="52" t="s">
        <v>10101</v>
      </c>
      <c r="C2284" s="18">
        <v>105062</v>
      </c>
      <c r="D2284" s="2" t="s">
        <v>165</v>
      </c>
      <c r="E2284" s="15">
        <v>9223.5</v>
      </c>
      <c r="F2284" s="59">
        <v>42833</v>
      </c>
      <c r="G2284" s="15">
        <f t="shared" si="71"/>
        <v>9223.5</v>
      </c>
      <c r="H2284" s="15">
        <f t="shared" si="72"/>
        <v>0</v>
      </c>
      <c r="I2284" s="19"/>
    </row>
    <row r="2285" spans="1:9" ht="15.75" x14ac:dyDescent="0.25">
      <c r="A2285" s="51">
        <v>42814</v>
      </c>
      <c r="B2285" s="52" t="s">
        <v>10102</v>
      </c>
      <c r="C2285" s="18">
        <v>105063</v>
      </c>
      <c r="D2285" s="2" t="s">
        <v>205</v>
      </c>
      <c r="E2285" s="15">
        <v>61981.2</v>
      </c>
      <c r="G2285" s="15">
        <f t="shared" si="71"/>
        <v>61981.2</v>
      </c>
      <c r="H2285" s="15">
        <f t="shared" si="72"/>
        <v>0</v>
      </c>
      <c r="I2285" s="19"/>
    </row>
    <row r="2286" spans="1:9" ht="15.75" x14ac:dyDescent="0.25">
      <c r="A2286" s="51">
        <v>42814</v>
      </c>
      <c r="B2286" s="52" t="s">
        <v>10103</v>
      </c>
      <c r="C2286" s="18">
        <v>105064</v>
      </c>
      <c r="D2286" s="2" t="s">
        <v>161</v>
      </c>
      <c r="E2286" s="15">
        <v>38934.800000000003</v>
      </c>
      <c r="G2286" s="15">
        <f t="shared" si="71"/>
        <v>38934.800000000003</v>
      </c>
      <c r="H2286" s="15">
        <f t="shared" si="72"/>
        <v>0</v>
      </c>
      <c r="I2286" s="19"/>
    </row>
    <row r="2287" spans="1:9" ht="15.75" x14ac:dyDescent="0.25">
      <c r="A2287" s="51">
        <v>42814</v>
      </c>
      <c r="B2287" s="52" t="s">
        <v>10104</v>
      </c>
      <c r="C2287" s="18">
        <v>105065</v>
      </c>
      <c r="D2287" s="2" t="s">
        <v>71</v>
      </c>
      <c r="E2287" s="15">
        <v>2492</v>
      </c>
      <c r="F2287" s="59">
        <v>42815</v>
      </c>
      <c r="G2287" s="15">
        <f t="shared" si="71"/>
        <v>2492</v>
      </c>
      <c r="H2287" s="15">
        <f t="shared" si="72"/>
        <v>0</v>
      </c>
      <c r="I2287" s="19"/>
    </row>
    <row r="2288" spans="1:9" ht="15.75" x14ac:dyDescent="0.25">
      <c r="A2288" s="51">
        <v>42814</v>
      </c>
      <c r="B2288" s="52" t="s">
        <v>10105</v>
      </c>
      <c r="C2288" s="18">
        <v>105066</v>
      </c>
      <c r="D2288" s="2" t="s">
        <v>10106</v>
      </c>
      <c r="E2288" s="15">
        <v>14330</v>
      </c>
      <c r="G2288" s="15">
        <f t="shared" si="71"/>
        <v>14330</v>
      </c>
      <c r="H2288" s="15">
        <f t="shared" si="72"/>
        <v>0</v>
      </c>
      <c r="I2288" s="19"/>
    </row>
    <row r="2289" spans="1:9" ht="15.75" x14ac:dyDescent="0.25">
      <c r="A2289" s="51">
        <v>42814</v>
      </c>
      <c r="B2289" s="52" t="s">
        <v>10107</v>
      </c>
      <c r="C2289" s="18">
        <v>105067</v>
      </c>
      <c r="D2289" s="2" t="s">
        <v>161</v>
      </c>
      <c r="E2289" s="15">
        <v>39129.4</v>
      </c>
      <c r="F2289" s="59">
        <v>42826</v>
      </c>
      <c r="G2289" s="15">
        <f t="shared" si="71"/>
        <v>39129.4</v>
      </c>
      <c r="H2289" s="15">
        <f t="shared" si="72"/>
        <v>0</v>
      </c>
      <c r="I2289" s="19"/>
    </row>
    <row r="2290" spans="1:9" ht="15.75" x14ac:dyDescent="0.25">
      <c r="A2290" s="51">
        <v>42814</v>
      </c>
      <c r="B2290" s="52" t="s">
        <v>10108</v>
      </c>
      <c r="C2290" s="18">
        <v>105068</v>
      </c>
      <c r="D2290" s="2" t="s">
        <v>145</v>
      </c>
      <c r="E2290" s="15">
        <v>13515.6</v>
      </c>
      <c r="F2290" s="59">
        <v>42815</v>
      </c>
      <c r="G2290" s="15">
        <f t="shared" si="71"/>
        <v>13515.6</v>
      </c>
      <c r="H2290" s="15">
        <f t="shared" si="72"/>
        <v>0</v>
      </c>
      <c r="I2290" s="19"/>
    </row>
    <row r="2291" spans="1:9" ht="15.75" x14ac:dyDescent="0.25">
      <c r="A2291" s="51">
        <v>42814</v>
      </c>
      <c r="B2291" s="52" t="s">
        <v>10109</v>
      </c>
      <c r="C2291" s="18">
        <v>105069</v>
      </c>
      <c r="D2291" s="2" t="s">
        <v>157</v>
      </c>
      <c r="E2291" s="15">
        <v>20113.099999999999</v>
      </c>
      <c r="G2291" s="15">
        <f t="shared" si="71"/>
        <v>20113.099999999999</v>
      </c>
      <c r="H2291" s="15">
        <f t="shared" si="72"/>
        <v>0</v>
      </c>
      <c r="I2291" s="19"/>
    </row>
    <row r="2292" spans="1:9" ht="15.75" x14ac:dyDescent="0.25">
      <c r="A2292" s="51">
        <v>42814</v>
      </c>
      <c r="B2292" s="52" t="s">
        <v>10110</v>
      </c>
      <c r="C2292" s="18">
        <v>105070</v>
      </c>
      <c r="D2292" s="2" t="s">
        <v>2240</v>
      </c>
      <c r="E2292" s="15">
        <v>9042.6</v>
      </c>
      <c r="G2292" s="15">
        <f t="shared" si="71"/>
        <v>9042.6</v>
      </c>
      <c r="H2292" s="15">
        <f t="shared" si="72"/>
        <v>0</v>
      </c>
      <c r="I2292" s="19"/>
    </row>
    <row r="2293" spans="1:9" ht="15.75" x14ac:dyDescent="0.25">
      <c r="A2293" s="51">
        <v>42814</v>
      </c>
      <c r="B2293" s="52" t="s">
        <v>10111</v>
      </c>
      <c r="C2293" s="18">
        <v>105071</v>
      </c>
      <c r="D2293" s="2" t="s">
        <v>30</v>
      </c>
      <c r="E2293" s="15">
        <v>2754.4</v>
      </c>
      <c r="G2293" s="15">
        <f t="shared" si="71"/>
        <v>2754.4</v>
      </c>
      <c r="H2293" s="15">
        <f t="shared" si="72"/>
        <v>0</v>
      </c>
      <c r="I2293" s="19"/>
    </row>
    <row r="2294" spans="1:9" ht="15.75" x14ac:dyDescent="0.25">
      <c r="A2294" s="51">
        <v>42814</v>
      </c>
      <c r="B2294" s="52" t="s">
        <v>10112</v>
      </c>
      <c r="C2294" s="18">
        <v>105072</v>
      </c>
      <c r="D2294" s="2" t="s">
        <v>1325</v>
      </c>
      <c r="E2294" s="15">
        <v>2542.8000000000002</v>
      </c>
      <c r="G2294" s="15">
        <f t="shared" si="71"/>
        <v>2542.8000000000002</v>
      </c>
      <c r="H2294" s="15">
        <f t="shared" si="72"/>
        <v>0</v>
      </c>
      <c r="I2294" s="19"/>
    </row>
    <row r="2295" spans="1:9" ht="15.75" x14ac:dyDescent="0.25">
      <c r="A2295" s="51">
        <v>42814</v>
      </c>
      <c r="B2295" s="52" t="s">
        <v>10113</v>
      </c>
      <c r="C2295" s="18">
        <v>105073</v>
      </c>
      <c r="D2295" s="2" t="s">
        <v>1141</v>
      </c>
      <c r="E2295" s="15">
        <v>356.4</v>
      </c>
      <c r="G2295" s="15">
        <f t="shared" si="71"/>
        <v>356.4</v>
      </c>
      <c r="H2295" s="15">
        <f t="shared" si="72"/>
        <v>0</v>
      </c>
      <c r="I2295" s="19"/>
    </row>
    <row r="2296" spans="1:9" ht="15.75" x14ac:dyDescent="0.25">
      <c r="A2296" s="51">
        <v>42814</v>
      </c>
      <c r="B2296" s="52" t="s">
        <v>10114</v>
      </c>
      <c r="C2296" s="18">
        <v>105074</v>
      </c>
      <c r="D2296" s="2" t="s">
        <v>1141</v>
      </c>
      <c r="E2296" s="15">
        <v>777.6</v>
      </c>
      <c r="G2296" s="15">
        <f t="shared" si="71"/>
        <v>777.6</v>
      </c>
      <c r="H2296" s="15">
        <f t="shared" si="72"/>
        <v>0</v>
      </c>
      <c r="I2296" s="19"/>
    </row>
    <row r="2297" spans="1:9" ht="15.75" x14ac:dyDescent="0.25">
      <c r="A2297" s="51">
        <v>42814</v>
      </c>
      <c r="B2297" s="52" t="s">
        <v>10115</v>
      </c>
      <c r="C2297" s="18">
        <v>105075</v>
      </c>
      <c r="D2297" s="2" t="s">
        <v>563</v>
      </c>
      <c r="E2297" s="15">
        <v>4025.7</v>
      </c>
      <c r="G2297" s="15">
        <f t="shared" si="71"/>
        <v>4025.7</v>
      </c>
      <c r="H2297" s="15">
        <f t="shared" si="72"/>
        <v>0</v>
      </c>
      <c r="I2297" s="19"/>
    </row>
    <row r="2298" spans="1:9" ht="15.75" x14ac:dyDescent="0.25">
      <c r="A2298" s="51">
        <v>42814</v>
      </c>
      <c r="B2298" s="52" t="s">
        <v>10116</v>
      </c>
      <c r="C2298" s="18">
        <v>105076</v>
      </c>
      <c r="D2298" s="2" t="s">
        <v>1062</v>
      </c>
      <c r="E2298" s="15">
        <v>2631.2</v>
      </c>
      <c r="G2298" s="15">
        <f t="shared" si="71"/>
        <v>2631.2</v>
      </c>
      <c r="H2298" s="15">
        <f t="shared" si="72"/>
        <v>0</v>
      </c>
      <c r="I2298" s="19"/>
    </row>
    <row r="2299" spans="1:9" ht="15.75" x14ac:dyDescent="0.25">
      <c r="A2299" s="51">
        <v>42814</v>
      </c>
      <c r="B2299" s="52" t="s">
        <v>10117</v>
      </c>
      <c r="C2299" s="18">
        <v>105077</v>
      </c>
      <c r="D2299" s="2" t="s">
        <v>302</v>
      </c>
      <c r="E2299" s="15">
        <v>9980.7999999999993</v>
      </c>
      <c r="G2299" s="15">
        <f t="shared" si="71"/>
        <v>9980.7999999999993</v>
      </c>
      <c r="H2299" s="15">
        <f t="shared" si="72"/>
        <v>0</v>
      </c>
      <c r="I2299" s="19"/>
    </row>
    <row r="2300" spans="1:9" ht="15.75" x14ac:dyDescent="0.25">
      <c r="A2300" s="51">
        <v>42814</v>
      </c>
      <c r="B2300" s="52" t="s">
        <v>10118</v>
      </c>
      <c r="C2300" s="18">
        <v>105078</v>
      </c>
      <c r="D2300" s="2" t="s">
        <v>509</v>
      </c>
      <c r="E2300" s="15">
        <v>13367.2</v>
      </c>
      <c r="F2300" s="59">
        <v>42823</v>
      </c>
      <c r="G2300" s="15">
        <f t="shared" si="71"/>
        <v>13367.2</v>
      </c>
      <c r="H2300" s="15">
        <f t="shared" si="72"/>
        <v>0</v>
      </c>
      <c r="I2300" s="19"/>
    </row>
    <row r="2301" spans="1:9" ht="15.75" x14ac:dyDescent="0.25">
      <c r="A2301" s="51">
        <v>42814</v>
      </c>
      <c r="B2301" s="52" t="s">
        <v>10119</v>
      </c>
      <c r="C2301" s="18">
        <v>105079</v>
      </c>
      <c r="D2301" s="2" t="s">
        <v>422</v>
      </c>
      <c r="E2301" s="15">
        <v>336.4</v>
      </c>
      <c r="G2301" s="15">
        <f t="shared" si="71"/>
        <v>336.4</v>
      </c>
      <c r="H2301" s="15">
        <f t="shared" si="72"/>
        <v>0</v>
      </c>
      <c r="I2301" s="19"/>
    </row>
    <row r="2302" spans="1:9" ht="15.75" x14ac:dyDescent="0.25">
      <c r="A2302" s="51">
        <v>42814</v>
      </c>
      <c r="B2302" s="52" t="s">
        <v>10120</v>
      </c>
      <c r="C2302" s="18">
        <v>105080</v>
      </c>
      <c r="D2302" s="2" t="s">
        <v>7182</v>
      </c>
      <c r="E2302" s="15">
        <v>3606</v>
      </c>
      <c r="F2302" s="59">
        <v>42815</v>
      </c>
      <c r="G2302" s="15">
        <f t="shared" si="71"/>
        <v>3606</v>
      </c>
      <c r="H2302" s="15">
        <f t="shared" si="72"/>
        <v>0</v>
      </c>
      <c r="I2302" s="19"/>
    </row>
    <row r="2303" spans="1:9" ht="15.75" x14ac:dyDescent="0.25">
      <c r="A2303" s="51">
        <v>42814</v>
      </c>
      <c r="B2303" s="52" t="s">
        <v>10121</v>
      </c>
      <c r="C2303" s="18">
        <v>105081</v>
      </c>
      <c r="D2303" s="2" t="s">
        <v>693</v>
      </c>
      <c r="E2303" s="15">
        <v>22799.5</v>
      </c>
      <c r="F2303" s="59">
        <v>42815</v>
      </c>
      <c r="G2303" s="15">
        <f t="shared" si="71"/>
        <v>22799.5</v>
      </c>
      <c r="H2303" s="15">
        <f t="shared" si="72"/>
        <v>0</v>
      </c>
      <c r="I2303" s="19"/>
    </row>
    <row r="2304" spans="1:9" ht="15.75" x14ac:dyDescent="0.25">
      <c r="A2304" s="51">
        <v>42814</v>
      </c>
      <c r="B2304" s="52" t="s">
        <v>10122</v>
      </c>
      <c r="C2304" s="18">
        <v>105082</v>
      </c>
      <c r="D2304" s="2" t="s">
        <v>5219</v>
      </c>
      <c r="E2304" s="15">
        <v>280</v>
      </c>
      <c r="G2304" s="15">
        <f t="shared" si="71"/>
        <v>280</v>
      </c>
      <c r="H2304" s="15">
        <f t="shared" si="72"/>
        <v>0</v>
      </c>
      <c r="I2304" s="19"/>
    </row>
    <row r="2305" spans="1:9" ht="15.75" x14ac:dyDescent="0.25">
      <c r="A2305" s="51">
        <v>42814</v>
      </c>
      <c r="B2305" s="52" t="s">
        <v>10123</v>
      </c>
      <c r="C2305" s="18">
        <v>105083</v>
      </c>
      <c r="D2305" s="2" t="s">
        <v>9250</v>
      </c>
      <c r="E2305" s="15">
        <v>7326</v>
      </c>
      <c r="F2305" s="59">
        <v>42815</v>
      </c>
      <c r="G2305" s="15">
        <f t="shared" si="71"/>
        <v>7326</v>
      </c>
      <c r="H2305" s="15">
        <f t="shared" si="72"/>
        <v>0</v>
      </c>
      <c r="I2305" s="19"/>
    </row>
    <row r="2306" spans="1:9" ht="15.75" x14ac:dyDescent="0.25">
      <c r="A2306" s="51">
        <v>42814</v>
      </c>
      <c r="B2306" s="52" t="s">
        <v>10124</v>
      </c>
      <c r="C2306" s="18">
        <v>105084</v>
      </c>
      <c r="D2306" s="2" t="s">
        <v>656</v>
      </c>
      <c r="E2306" s="15">
        <v>9856.7999999999993</v>
      </c>
      <c r="F2306" s="59">
        <v>42816</v>
      </c>
      <c r="G2306" s="15">
        <f t="shared" si="71"/>
        <v>9856.7999999999993</v>
      </c>
      <c r="H2306" s="15">
        <f t="shared" si="72"/>
        <v>0</v>
      </c>
      <c r="I2306" s="19"/>
    </row>
    <row r="2307" spans="1:9" ht="15.75" x14ac:dyDescent="0.25">
      <c r="A2307" s="51">
        <v>42814</v>
      </c>
      <c r="B2307" s="52" t="s">
        <v>10125</v>
      </c>
      <c r="C2307" s="18">
        <v>105085</v>
      </c>
      <c r="D2307" s="2" t="s">
        <v>8104</v>
      </c>
      <c r="E2307" s="15">
        <v>2935</v>
      </c>
      <c r="F2307" s="59">
        <v>42816</v>
      </c>
      <c r="G2307" s="15">
        <f t="shared" si="71"/>
        <v>2935</v>
      </c>
      <c r="H2307" s="15">
        <f t="shared" si="72"/>
        <v>0</v>
      </c>
      <c r="I2307" s="19"/>
    </row>
    <row r="2308" spans="1:9" ht="15.75" x14ac:dyDescent="0.25">
      <c r="A2308" s="51">
        <v>42814</v>
      </c>
      <c r="B2308" s="52" t="s">
        <v>10126</v>
      </c>
      <c r="C2308" s="18">
        <v>105086</v>
      </c>
      <c r="D2308" s="2" t="s">
        <v>182</v>
      </c>
      <c r="E2308" s="15">
        <v>1920</v>
      </c>
      <c r="F2308" s="59">
        <v>42816</v>
      </c>
      <c r="G2308" s="15">
        <f t="shared" ref="G2308:G2371" si="73">E2308</f>
        <v>1920</v>
      </c>
      <c r="H2308" s="15">
        <f t="shared" ref="H2308:H2371" si="74">E2308-G2308</f>
        <v>0</v>
      </c>
      <c r="I2308" s="19"/>
    </row>
    <row r="2309" spans="1:9" ht="15.75" x14ac:dyDescent="0.25">
      <c r="A2309" s="51">
        <v>42814</v>
      </c>
      <c r="B2309" s="52" t="s">
        <v>10127</v>
      </c>
      <c r="C2309" s="18">
        <v>105087</v>
      </c>
      <c r="D2309" s="2" t="s">
        <v>193</v>
      </c>
      <c r="E2309" s="15">
        <v>1957.5</v>
      </c>
      <c r="F2309" s="59">
        <v>42816</v>
      </c>
      <c r="G2309" s="15">
        <f t="shared" si="73"/>
        <v>1957.5</v>
      </c>
      <c r="H2309" s="15">
        <f t="shared" si="74"/>
        <v>0</v>
      </c>
      <c r="I2309" s="19"/>
    </row>
    <row r="2310" spans="1:9" ht="15.75" x14ac:dyDescent="0.25">
      <c r="A2310" s="51">
        <v>42814</v>
      </c>
      <c r="B2310" s="52" t="s">
        <v>10128</v>
      </c>
      <c r="C2310" s="18">
        <v>105088</v>
      </c>
      <c r="D2310" s="2" t="s">
        <v>316</v>
      </c>
      <c r="E2310" s="15">
        <v>26927.18</v>
      </c>
      <c r="F2310" s="59">
        <v>42828</v>
      </c>
      <c r="G2310" s="15">
        <f t="shared" si="73"/>
        <v>26927.18</v>
      </c>
      <c r="H2310" s="15">
        <f t="shared" si="74"/>
        <v>0</v>
      </c>
      <c r="I2310" s="19"/>
    </row>
    <row r="2311" spans="1:9" ht="15.75" x14ac:dyDescent="0.25">
      <c r="A2311" s="51">
        <v>42814</v>
      </c>
      <c r="B2311" s="52" t="s">
        <v>10129</v>
      </c>
      <c r="C2311" s="18">
        <v>105089</v>
      </c>
      <c r="D2311" s="2" t="s">
        <v>10</v>
      </c>
      <c r="E2311" s="15">
        <v>245538.25</v>
      </c>
      <c r="G2311" s="15">
        <f t="shared" si="73"/>
        <v>245538.25</v>
      </c>
      <c r="H2311" s="15">
        <f t="shared" si="74"/>
        <v>0</v>
      </c>
      <c r="I2311" s="19"/>
    </row>
    <row r="2312" spans="1:9" ht="15.75" x14ac:dyDescent="0.25">
      <c r="A2312" s="51">
        <v>42814</v>
      </c>
      <c r="B2312" s="52" t="s">
        <v>10130</v>
      </c>
      <c r="C2312" s="18">
        <v>105090</v>
      </c>
      <c r="D2312" s="2" t="s">
        <v>211</v>
      </c>
      <c r="E2312" s="15">
        <v>8384.4</v>
      </c>
      <c r="G2312" s="15">
        <f t="shared" si="73"/>
        <v>8384.4</v>
      </c>
      <c r="H2312" s="15">
        <f t="shared" si="74"/>
        <v>0</v>
      </c>
      <c r="I2312" s="19"/>
    </row>
    <row r="2313" spans="1:9" ht="15.75" x14ac:dyDescent="0.25">
      <c r="A2313" s="51">
        <v>42814</v>
      </c>
      <c r="B2313" s="52" t="s">
        <v>10131</v>
      </c>
      <c r="C2313" s="18">
        <v>105091</v>
      </c>
      <c r="D2313" s="2" t="s">
        <v>10</v>
      </c>
      <c r="E2313" s="15">
        <v>245458.45</v>
      </c>
      <c r="F2313" s="59">
        <v>42791</v>
      </c>
      <c r="G2313" s="15">
        <f t="shared" si="73"/>
        <v>245458.45</v>
      </c>
      <c r="H2313" s="15">
        <f t="shared" si="74"/>
        <v>0</v>
      </c>
      <c r="I2313" s="19"/>
    </row>
    <row r="2314" spans="1:9" ht="15.75" x14ac:dyDescent="0.25">
      <c r="A2314" s="51">
        <v>42814</v>
      </c>
      <c r="B2314" s="52" t="s">
        <v>10132</v>
      </c>
      <c r="C2314" s="18">
        <v>105092</v>
      </c>
      <c r="D2314" s="2" t="s">
        <v>10</v>
      </c>
      <c r="E2314" s="15">
        <v>66192.399999999994</v>
      </c>
      <c r="F2314" s="59">
        <v>42791</v>
      </c>
      <c r="G2314" s="15">
        <f t="shared" si="73"/>
        <v>66192.399999999994</v>
      </c>
      <c r="H2314" s="15">
        <f t="shared" si="74"/>
        <v>0</v>
      </c>
      <c r="I2314" s="19"/>
    </row>
    <row r="2315" spans="1:9" ht="15.75" x14ac:dyDescent="0.25">
      <c r="A2315" s="51">
        <v>42814</v>
      </c>
      <c r="B2315" s="52" t="s">
        <v>10133</v>
      </c>
      <c r="C2315" s="18">
        <v>105093</v>
      </c>
      <c r="D2315" s="2" t="s">
        <v>222</v>
      </c>
      <c r="E2315" s="15">
        <v>70959.149999999994</v>
      </c>
      <c r="G2315" s="15">
        <f t="shared" si="73"/>
        <v>70959.149999999994</v>
      </c>
      <c r="H2315" s="15">
        <f t="shared" si="74"/>
        <v>0</v>
      </c>
      <c r="I2315" s="19"/>
    </row>
    <row r="2316" spans="1:9" ht="15.75" x14ac:dyDescent="0.25">
      <c r="A2316" s="51">
        <v>42814</v>
      </c>
      <c r="B2316" s="52" t="s">
        <v>10134</v>
      </c>
      <c r="C2316" s="18">
        <v>105094</v>
      </c>
      <c r="D2316" s="2" t="s">
        <v>10</v>
      </c>
      <c r="E2316" s="15">
        <v>48778.3</v>
      </c>
      <c r="F2316" s="59">
        <v>42791</v>
      </c>
      <c r="G2316" s="15">
        <f t="shared" si="73"/>
        <v>48778.3</v>
      </c>
      <c r="H2316" s="15">
        <f t="shared" si="74"/>
        <v>0</v>
      </c>
      <c r="I2316" s="19"/>
    </row>
    <row r="2317" spans="1:9" ht="15.75" x14ac:dyDescent="0.25">
      <c r="A2317" s="51">
        <v>42814</v>
      </c>
      <c r="B2317" s="52" t="s">
        <v>10135</v>
      </c>
      <c r="C2317" s="18">
        <v>105095</v>
      </c>
      <c r="D2317" s="2" t="s">
        <v>677</v>
      </c>
      <c r="E2317" s="15">
        <v>3065.6</v>
      </c>
      <c r="F2317" s="59">
        <v>42816</v>
      </c>
      <c r="G2317" s="15">
        <f t="shared" si="73"/>
        <v>3065.6</v>
      </c>
      <c r="H2317" s="15">
        <f t="shared" si="74"/>
        <v>0</v>
      </c>
      <c r="I2317" s="19"/>
    </row>
    <row r="2318" spans="1:9" ht="15.75" x14ac:dyDescent="0.25">
      <c r="A2318" s="51">
        <v>42814</v>
      </c>
      <c r="B2318" s="52" t="s">
        <v>10136</v>
      </c>
      <c r="C2318" s="18">
        <v>105096</v>
      </c>
      <c r="D2318" s="2" t="s">
        <v>680</v>
      </c>
      <c r="E2318" s="15">
        <v>2203.1999999999998</v>
      </c>
      <c r="F2318" s="59">
        <v>42816</v>
      </c>
      <c r="G2318" s="15">
        <f t="shared" si="73"/>
        <v>2203.1999999999998</v>
      </c>
      <c r="H2318" s="15">
        <f t="shared" si="74"/>
        <v>0</v>
      </c>
      <c r="I2318" s="19"/>
    </row>
    <row r="2319" spans="1:9" ht="15.75" x14ac:dyDescent="0.25">
      <c r="A2319" s="51">
        <v>42814</v>
      </c>
      <c r="B2319" s="52" t="s">
        <v>10137</v>
      </c>
      <c r="C2319" s="18">
        <v>105097</v>
      </c>
      <c r="D2319" s="2" t="s">
        <v>675</v>
      </c>
      <c r="E2319" s="15">
        <v>2117.4</v>
      </c>
      <c r="F2319" s="59">
        <v>42816</v>
      </c>
      <c r="G2319" s="15">
        <f t="shared" si="73"/>
        <v>2117.4</v>
      </c>
      <c r="H2319" s="15">
        <f t="shared" si="74"/>
        <v>0</v>
      </c>
      <c r="I2319" s="19"/>
    </row>
    <row r="2320" spans="1:9" ht="15.75" x14ac:dyDescent="0.25">
      <c r="A2320" s="51">
        <v>42814</v>
      </c>
      <c r="B2320" s="52" t="s">
        <v>10138</v>
      </c>
      <c r="C2320" s="18">
        <v>105098</v>
      </c>
      <c r="D2320" s="2" t="s">
        <v>1197</v>
      </c>
      <c r="E2320" s="15">
        <v>2378.8000000000002</v>
      </c>
      <c r="F2320" s="59">
        <v>42816</v>
      </c>
      <c r="G2320" s="15">
        <f t="shared" si="73"/>
        <v>2378.8000000000002</v>
      </c>
      <c r="H2320" s="15">
        <f t="shared" si="74"/>
        <v>0</v>
      </c>
      <c r="I2320" s="19"/>
    </row>
    <row r="2321" spans="1:9" ht="15.75" x14ac:dyDescent="0.25">
      <c r="A2321" s="51">
        <v>42814</v>
      </c>
      <c r="B2321" s="52" t="s">
        <v>10139</v>
      </c>
      <c r="C2321" s="18">
        <v>105099</v>
      </c>
      <c r="D2321" s="2" t="s">
        <v>670</v>
      </c>
      <c r="E2321" s="15">
        <v>219988.7</v>
      </c>
      <c r="F2321" s="59">
        <v>42791</v>
      </c>
      <c r="G2321" s="15">
        <f t="shared" si="73"/>
        <v>219988.7</v>
      </c>
      <c r="H2321" s="15">
        <f t="shared" si="74"/>
        <v>0</v>
      </c>
      <c r="I2321" s="19"/>
    </row>
    <row r="2322" spans="1:9" ht="15.75" x14ac:dyDescent="0.25">
      <c r="A2322" s="51">
        <v>42814</v>
      </c>
      <c r="B2322" s="52" t="s">
        <v>10140</v>
      </c>
      <c r="C2322" s="18">
        <v>105100</v>
      </c>
      <c r="D2322" s="2" t="s">
        <v>682</v>
      </c>
      <c r="E2322" s="15">
        <v>2446.8000000000002</v>
      </c>
      <c r="F2322" s="59">
        <v>42816</v>
      </c>
      <c r="G2322" s="15">
        <f t="shared" si="73"/>
        <v>2446.8000000000002</v>
      </c>
      <c r="H2322" s="15">
        <f t="shared" si="74"/>
        <v>0</v>
      </c>
      <c r="I2322" s="19"/>
    </row>
    <row r="2323" spans="1:9" ht="15.75" x14ac:dyDescent="0.25">
      <c r="A2323" s="51">
        <v>42814</v>
      </c>
      <c r="B2323" s="52" t="s">
        <v>10141</v>
      </c>
      <c r="C2323" s="18">
        <v>105101</v>
      </c>
      <c r="D2323" s="2" t="s">
        <v>686</v>
      </c>
      <c r="E2323" s="15">
        <v>20680.2</v>
      </c>
      <c r="F2323" s="59">
        <v>42816</v>
      </c>
      <c r="G2323" s="15">
        <f t="shared" si="73"/>
        <v>20680.2</v>
      </c>
      <c r="H2323" s="15">
        <f t="shared" si="74"/>
        <v>0</v>
      </c>
      <c r="I2323" s="19"/>
    </row>
    <row r="2324" spans="1:9" ht="15.75" x14ac:dyDescent="0.25">
      <c r="A2324" s="51">
        <v>42814</v>
      </c>
      <c r="B2324" s="52" t="s">
        <v>10142</v>
      </c>
      <c r="C2324" s="18">
        <v>105102</v>
      </c>
      <c r="D2324" s="2" t="s">
        <v>688</v>
      </c>
      <c r="E2324" s="15">
        <v>5249.3</v>
      </c>
      <c r="F2324" s="59">
        <v>42816</v>
      </c>
      <c r="G2324" s="15">
        <f t="shared" si="73"/>
        <v>5249.3</v>
      </c>
      <c r="H2324" s="15">
        <f t="shared" si="74"/>
        <v>0</v>
      </c>
      <c r="I2324" s="19"/>
    </row>
    <row r="2325" spans="1:9" ht="15.75" x14ac:dyDescent="0.25">
      <c r="A2325" s="51">
        <v>42814</v>
      </c>
      <c r="B2325" s="52" t="s">
        <v>10143</v>
      </c>
      <c r="C2325" s="18">
        <v>105103</v>
      </c>
      <c r="D2325" s="2" t="s">
        <v>673</v>
      </c>
      <c r="E2325" s="15">
        <v>1862.4</v>
      </c>
      <c r="F2325" s="59">
        <v>42816</v>
      </c>
      <c r="G2325" s="15">
        <f t="shared" si="73"/>
        <v>1862.4</v>
      </c>
      <c r="H2325" s="15">
        <f t="shared" si="74"/>
        <v>0</v>
      </c>
      <c r="I2325" s="19"/>
    </row>
    <row r="2326" spans="1:9" ht="15.75" x14ac:dyDescent="0.25">
      <c r="A2326" s="51">
        <v>42814</v>
      </c>
      <c r="B2326" s="52" t="s">
        <v>10144</v>
      </c>
      <c r="C2326" s="18">
        <v>105104</v>
      </c>
      <c r="D2326" s="2" t="s">
        <v>10</v>
      </c>
      <c r="E2326" s="15">
        <v>27075.599999999999</v>
      </c>
      <c r="F2326" s="59">
        <v>42791</v>
      </c>
      <c r="G2326" s="15">
        <f t="shared" si="73"/>
        <v>27075.599999999999</v>
      </c>
      <c r="H2326" s="15">
        <f t="shared" si="74"/>
        <v>0</v>
      </c>
      <c r="I2326" s="19"/>
    </row>
    <row r="2327" spans="1:9" ht="15.75" x14ac:dyDescent="0.25">
      <c r="A2327" s="51">
        <v>42814</v>
      </c>
      <c r="B2327" s="52" t="s">
        <v>10145</v>
      </c>
      <c r="C2327" s="18">
        <v>105105</v>
      </c>
      <c r="D2327" s="2" t="s">
        <v>30</v>
      </c>
      <c r="E2327" s="15">
        <v>845</v>
      </c>
      <c r="F2327" s="59">
        <v>42815</v>
      </c>
      <c r="G2327" s="15">
        <f t="shared" si="73"/>
        <v>845</v>
      </c>
      <c r="H2327" s="15">
        <f t="shared" si="74"/>
        <v>0</v>
      </c>
      <c r="I2327" s="19"/>
    </row>
    <row r="2328" spans="1:9" ht="15.75" x14ac:dyDescent="0.25">
      <c r="A2328" s="51">
        <v>42814</v>
      </c>
      <c r="B2328" s="52" t="s">
        <v>10146</v>
      </c>
      <c r="C2328" s="18">
        <v>105106</v>
      </c>
      <c r="D2328" s="2" t="s">
        <v>1598</v>
      </c>
      <c r="E2328" s="15">
        <v>4891.2</v>
      </c>
      <c r="F2328" s="59">
        <v>42816</v>
      </c>
      <c r="G2328" s="15">
        <f t="shared" si="73"/>
        <v>4891.2</v>
      </c>
      <c r="H2328" s="15">
        <f t="shared" si="74"/>
        <v>0</v>
      </c>
      <c r="I2328" s="19"/>
    </row>
    <row r="2329" spans="1:9" ht="15.75" x14ac:dyDescent="0.25">
      <c r="A2329" s="51">
        <v>42814</v>
      </c>
      <c r="B2329" s="52" t="s">
        <v>10147</v>
      </c>
      <c r="C2329" s="18">
        <v>105107</v>
      </c>
      <c r="D2329" s="2" t="s">
        <v>220</v>
      </c>
      <c r="E2329" s="15">
        <v>191.2</v>
      </c>
      <c r="G2329" s="15">
        <f t="shared" si="73"/>
        <v>191.2</v>
      </c>
      <c r="H2329" s="15">
        <f t="shared" si="74"/>
        <v>0</v>
      </c>
      <c r="I2329" s="19"/>
    </row>
    <row r="2330" spans="1:9" ht="15.75" x14ac:dyDescent="0.25">
      <c r="A2330" s="51">
        <v>42814</v>
      </c>
      <c r="B2330" s="52" t="s">
        <v>10148</v>
      </c>
      <c r="C2330" s="18">
        <v>105108</v>
      </c>
      <c r="D2330" s="2" t="s">
        <v>220</v>
      </c>
      <c r="E2330" s="15">
        <v>1751.2</v>
      </c>
      <c r="F2330" s="59">
        <v>42815</v>
      </c>
      <c r="G2330" s="15">
        <f t="shared" si="73"/>
        <v>1751.2</v>
      </c>
      <c r="H2330" s="15">
        <f t="shared" si="74"/>
        <v>0</v>
      </c>
      <c r="I2330" s="19"/>
    </row>
    <row r="2331" spans="1:9" ht="15.75" x14ac:dyDescent="0.25">
      <c r="A2331" s="51">
        <v>42815</v>
      </c>
      <c r="B2331" s="52" t="s">
        <v>10149</v>
      </c>
      <c r="C2331" s="18">
        <v>105109</v>
      </c>
      <c r="D2331" s="2" t="s">
        <v>231</v>
      </c>
      <c r="E2331" s="15">
        <v>5767.1</v>
      </c>
      <c r="F2331" s="59">
        <v>42816</v>
      </c>
      <c r="G2331" s="15">
        <f t="shared" si="73"/>
        <v>5767.1</v>
      </c>
      <c r="H2331" s="15">
        <f t="shared" si="74"/>
        <v>0</v>
      </c>
      <c r="I2331" s="19"/>
    </row>
    <row r="2332" spans="1:9" ht="15.75" x14ac:dyDescent="0.25">
      <c r="A2332" s="51">
        <v>42815</v>
      </c>
      <c r="B2332" s="52" t="s">
        <v>10150</v>
      </c>
      <c r="C2332" s="18">
        <v>105110</v>
      </c>
      <c r="D2332" s="2" t="s">
        <v>1335</v>
      </c>
      <c r="E2332" s="15">
        <v>10617.9</v>
      </c>
      <c r="F2332" s="59">
        <v>42815</v>
      </c>
      <c r="G2332" s="15">
        <f t="shared" si="73"/>
        <v>10617.9</v>
      </c>
      <c r="H2332" s="15">
        <f t="shared" si="74"/>
        <v>0</v>
      </c>
      <c r="I2332" s="19"/>
    </row>
    <row r="2333" spans="1:9" ht="15.75" x14ac:dyDescent="0.25">
      <c r="A2333" s="51">
        <v>42815</v>
      </c>
      <c r="B2333" s="52" t="s">
        <v>10151</v>
      </c>
      <c r="C2333" s="18">
        <v>105111</v>
      </c>
      <c r="D2333" s="2" t="s">
        <v>26</v>
      </c>
      <c r="E2333" s="15">
        <v>20598.3</v>
      </c>
      <c r="F2333" s="59">
        <v>42815</v>
      </c>
      <c r="G2333" s="15">
        <f t="shared" si="73"/>
        <v>20598.3</v>
      </c>
      <c r="H2333" s="15">
        <f t="shared" si="74"/>
        <v>0</v>
      </c>
      <c r="I2333" s="19"/>
    </row>
    <row r="2334" spans="1:9" ht="15.75" x14ac:dyDescent="0.25">
      <c r="A2334" s="51">
        <v>42815</v>
      </c>
      <c r="B2334" s="52" t="s">
        <v>10152</v>
      </c>
      <c r="C2334" s="18">
        <v>105112</v>
      </c>
      <c r="D2334" s="2" t="s">
        <v>26</v>
      </c>
      <c r="E2334" s="15">
        <v>1760.4</v>
      </c>
      <c r="F2334" s="59">
        <v>42815</v>
      </c>
      <c r="G2334" s="15">
        <f t="shared" si="73"/>
        <v>1760.4</v>
      </c>
      <c r="H2334" s="15">
        <f t="shared" si="74"/>
        <v>0</v>
      </c>
      <c r="I2334" s="19"/>
    </row>
    <row r="2335" spans="1:9" ht="15.75" x14ac:dyDescent="0.25">
      <c r="A2335" s="51">
        <v>42815</v>
      </c>
      <c r="B2335" s="52" t="s">
        <v>10153</v>
      </c>
      <c r="C2335" s="18">
        <v>105113</v>
      </c>
      <c r="D2335" s="2" t="s">
        <v>28</v>
      </c>
      <c r="E2335" s="15">
        <v>5156.8</v>
      </c>
      <c r="F2335" s="59">
        <v>42815</v>
      </c>
      <c r="G2335" s="15">
        <f t="shared" si="73"/>
        <v>5156.8</v>
      </c>
      <c r="H2335" s="15">
        <f t="shared" si="74"/>
        <v>0</v>
      </c>
      <c r="I2335" s="19"/>
    </row>
    <row r="2336" spans="1:9" ht="15.75" x14ac:dyDescent="0.25">
      <c r="A2336" s="51">
        <v>42815</v>
      </c>
      <c r="B2336" s="52" t="s">
        <v>10154</v>
      </c>
      <c r="C2336" s="18">
        <v>105114</v>
      </c>
      <c r="D2336" s="2" t="s">
        <v>231</v>
      </c>
      <c r="E2336" s="15">
        <v>28676.1</v>
      </c>
      <c r="F2336" s="59">
        <v>42816</v>
      </c>
      <c r="G2336" s="15">
        <f t="shared" si="73"/>
        <v>28676.1</v>
      </c>
      <c r="H2336" s="15">
        <f t="shared" si="74"/>
        <v>0</v>
      </c>
      <c r="I2336" s="19"/>
    </row>
    <row r="2337" spans="1:9" ht="15.75" x14ac:dyDescent="0.25">
      <c r="A2337" s="51">
        <v>42815</v>
      </c>
      <c r="B2337" s="52" t="s">
        <v>10155</v>
      </c>
      <c r="C2337" s="18">
        <v>105115</v>
      </c>
      <c r="D2337" s="2" t="s">
        <v>55</v>
      </c>
      <c r="E2337" s="15">
        <v>19831.599999999999</v>
      </c>
      <c r="F2337" s="59">
        <v>42815</v>
      </c>
      <c r="G2337" s="15">
        <f t="shared" si="73"/>
        <v>19831.599999999999</v>
      </c>
      <c r="H2337" s="15">
        <f t="shared" si="74"/>
        <v>0</v>
      </c>
      <c r="I2337" s="19"/>
    </row>
    <row r="2338" spans="1:9" ht="15.75" x14ac:dyDescent="0.25">
      <c r="A2338" s="51">
        <v>42815</v>
      </c>
      <c r="B2338" s="52" t="s">
        <v>10156</v>
      </c>
      <c r="C2338" s="18">
        <v>105116</v>
      </c>
      <c r="D2338" s="2" t="s">
        <v>1335</v>
      </c>
      <c r="E2338" s="15">
        <v>473.1</v>
      </c>
      <c r="F2338" s="59">
        <v>42815</v>
      </c>
      <c r="G2338" s="15">
        <f t="shared" si="73"/>
        <v>473.1</v>
      </c>
      <c r="H2338" s="15">
        <f t="shared" si="74"/>
        <v>0</v>
      </c>
      <c r="I2338" s="19"/>
    </row>
    <row r="2339" spans="1:9" ht="15.75" x14ac:dyDescent="0.25">
      <c r="A2339" s="51">
        <v>42815</v>
      </c>
      <c r="B2339" s="52" t="s">
        <v>10157</v>
      </c>
      <c r="C2339" s="18">
        <v>105117</v>
      </c>
      <c r="D2339" s="2" t="s">
        <v>17</v>
      </c>
      <c r="E2339" s="15">
        <v>2400</v>
      </c>
      <c r="F2339" s="59">
        <v>42818</v>
      </c>
      <c r="G2339" s="15">
        <f t="shared" si="73"/>
        <v>2400</v>
      </c>
      <c r="H2339" s="15">
        <f t="shared" si="74"/>
        <v>0</v>
      </c>
      <c r="I2339" s="19"/>
    </row>
    <row r="2340" spans="1:9" ht="15.75" x14ac:dyDescent="0.25">
      <c r="A2340" s="51">
        <v>42815</v>
      </c>
      <c r="B2340" s="52" t="s">
        <v>10158</v>
      </c>
      <c r="C2340" s="18">
        <v>105118</v>
      </c>
      <c r="D2340" s="2" t="s">
        <v>32</v>
      </c>
      <c r="E2340" s="15">
        <v>6148.6</v>
      </c>
      <c r="F2340" s="59">
        <v>42824</v>
      </c>
      <c r="G2340" s="15">
        <f t="shared" si="73"/>
        <v>6148.6</v>
      </c>
      <c r="H2340" s="15">
        <f t="shared" si="74"/>
        <v>0</v>
      </c>
      <c r="I2340" s="19"/>
    </row>
    <row r="2341" spans="1:9" ht="15.75" x14ac:dyDescent="0.25">
      <c r="A2341" s="51">
        <v>42815</v>
      </c>
      <c r="B2341" s="52" t="s">
        <v>10159</v>
      </c>
      <c r="C2341" s="18">
        <v>105119</v>
      </c>
      <c r="D2341" s="13" t="s">
        <v>51</v>
      </c>
      <c r="E2341" s="14">
        <v>0</v>
      </c>
      <c r="F2341" s="102" t="s">
        <v>95</v>
      </c>
      <c r="G2341" s="14">
        <f t="shared" si="73"/>
        <v>0</v>
      </c>
      <c r="H2341" s="14">
        <f t="shared" si="74"/>
        <v>0</v>
      </c>
      <c r="I2341" s="19"/>
    </row>
    <row r="2342" spans="1:9" ht="15.75" x14ac:dyDescent="0.25">
      <c r="A2342" s="51">
        <v>42815</v>
      </c>
      <c r="B2342" s="52" t="s">
        <v>10160</v>
      </c>
      <c r="C2342" s="18">
        <v>105120</v>
      </c>
      <c r="D2342" s="2" t="s">
        <v>51</v>
      </c>
      <c r="E2342" s="15">
        <v>3325.2</v>
      </c>
      <c r="F2342" s="59">
        <v>42818</v>
      </c>
      <c r="G2342" s="15">
        <f t="shared" si="73"/>
        <v>3325.2</v>
      </c>
      <c r="H2342" s="15">
        <f t="shared" si="74"/>
        <v>0</v>
      </c>
      <c r="I2342" s="19"/>
    </row>
    <row r="2343" spans="1:9" ht="15.75" x14ac:dyDescent="0.25">
      <c r="A2343" s="51">
        <v>42815</v>
      </c>
      <c r="B2343" s="52" t="s">
        <v>10161</v>
      </c>
      <c r="C2343" s="18">
        <v>105121</v>
      </c>
      <c r="D2343" s="2" t="s">
        <v>21</v>
      </c>
      <c r="E2343" s="15">
        <v>44088</v>
      </c>
      <c r="F2343" s="59">
        <v>42832</v>
      </c>
      <c r="G2343" s="15">
        <f t="shared" si="73"/>
        <v>44088</v>
      </c>
      <c r="H2343" s="15">
        <f t="shared" si="74"/>
        <v>0</v>
      </c>
      <c r="I2343" s="19"/>
    </row>
    <row r="2344" spans="1:9" ht="15.75" x14ac:dyDescent="0.25">
      <c r="A2344" s="51">
        <v>42815</v>
      </c>
      <c r="B2344" s="52" t="s">
        <v>10162</v>
      </c>
      <c r="C2344" s="18">
        <v>105122</v>
      </c>
      <c r="D2344" s="2" t="s">
        <v>428</v>
      </c>
      <c r="E2344" s="15">
        <v>2175.9</v>
      </c>
      <c r="F2344" s="59">
        <v>43062</v>
      </c>
      <c r="G2344" s="15">
        <f t="shared" si="73"/>
        <v>2175.9</v>
      </c>
      <c r="H2344" s="15">
        <f t="shared" si="74"/>
        <v>0</v>
      </c>
      <c r="I2344" s="19"/>
    </row>
    <row r="2345" spans="1:9" ht="15.75" x14ac:dyDescent="0.25">
      <c r="A2345" s="51">
        <v>42815</v>
      </c>
      <c r="B2345" s="52" t="s">
        <v>10163</v>
      </c>
      <c r="C2345" s="18">
        <v>105123</v>
      </c>
      <c r="D2345" s="2" t="s">
        <v>71</v>
      </c>
      <c r="E2345" s="15">
        <v>1869</v>
      </c>
      <c r="F2345" s="59">
        <v>42818</v>
      </c>
      <c r="G2345" s="15">
        <f t="shared" si="73"/>
        <v>1869</v>
      </c>
      <c r="H2345" s="15">
        <f t="shared" si="74"/>
        <v>0</v>
      </c>
      <c r="I2345" s="19"/>
    </row>
    <row r="2346" spans="1:9" ht="15.75" x14ac:dyDescent="0.25">
      <c r="A2346" s="51">
        <v>42815</v>
      </c>
      <c r="B2346" s="52" t="s">
        <v>10164</v>
      </c>
      <c r="C2346" s="18">
        <v>105124</v>
      </c>
      <c r="D2346" s="2" t="s">
        <v>24</v>
      </c>
      <c r="E2346" s="15">
        <v>2709</v>
      </c>
      <c r="F2346" s="59">
        <v>42815</v>
      </c>
      <c r="G2346" s="15">
        <f t="shared" si="73"/>
        <v>2709</v>
      </c>
      <c r="H2346" s="15">
        <f t="shared" si="74"/>
        <v>0</v>
      </c>
      <c r="I2346" s="19"/>
    </row>
    <row r="2347" spans="1:9" ht="15.75" x14ac:dyDescent="0.25">
      <c r="A2347" s="51">
        <v>42815</v>
      </c>
      <c r="B2347" s="52" t="s">
        <v>10165</v>
      </c>
      <c r="C2347" s="18">
        <v>105125</v>
      </c>
      <c r="D2347" s="2" t="s">
        <v>9302</v>
      </c>
      <c r="E2347" s="15">
        <v>10179.799999999999</v>
      </c>
      <c r="F2347" s="59">
        <v>42815</v>
      </c>
      <c r="G2347" s="15">
        <f t="shared" si="73"/>
        <v>10179.799999999999</v>
      </c>
      <c r="H2347" s="15">
        <f t="shared" si="74"/>
        <v>0</v>
      </c>
      <c r="I2347" s="19"/>
    </row>
    <row r="2348" spans="1:9" ht="15.75" x14ac:dyDescent="0.25">
      <c r="A2348" s="51">
        <v>42815</v>
      </c>
      <c r="B2348" s="52" t="s">
        <v>10166</v>
      </c>
      <c r="C2348" s="18">
        <v>105126</v>
      </c>
      <c r="D2348" s="2" t="s">
        <v>30</v>
      </c>
      <c r="E2348" s="15">
        <v>4608</v>
      </c>
      <c r="F2348" s="59">
        <v>42815</v>
      </c>
      <c r="G2348" s="15">
        <f t="shared" si="73"/>
        <v>4608</v>
      </c>
      <c r="H2348" s="15">
        <f t="shared" si="74"/>
        <v>0</v>
      </c>
      <c r="I2348" s="19"/>
    </row>
    <row r="2349" spans="1:9" ht="15.75" x14ac:dyDescent="0.25">
      <c r="A2349" s="51">
        <v>42815</v>
      </c>
      <c r="B2349" s="52" t="s">
        <v>10167</v>
      </c>
      <c r="C2349" s="18">
        <v>105127</v>
      </c>
      <c r="D2349" s="2" t="s">
        <v>69</v>
      </c>
      <c r="E2349" s="15">
        <v>3890.4</v>
      </c>
      <c r="F2349" s="59">
        <v>42815</v>
      </c>
      <c r="G2349" s="15">
        <f t="shared" si="73"/>
        <v>3890.4</v>
      </c>
      <c r="H2349" s="15">
        <f t="shared" si="74"/>
        <v>0</v>
      </c>
      <c r="I2349" s="19"/>
    </row>
    <row r="2350" spans="1:9" ht="15.75" x14ac:dyDescent="0.25">
      <c r="A2350" s="51">
        <v>42815</v>
      </c>
      <c r="B2350" s="52" t="s">
        <v>10168</v>
      </c>
      <c r="C2350" s="18">
        <v>105128</v>
      </c>
      <c r="D2350" s="2" t="s">
        <v>49</v>
      </c>
      <c r="E2350" s="15">
        <v>9139.2000000000007</v>
      </c>
      <c r="F2350" s="59">
        <v>42818</v>
      </c>
      <c r="G2350" s="15">
        <f t="shared" si="73"/>
        <v>9139.2000000000007</v>
      </c>
      <c r="H2350" s="15">
        <f t="shared" si="74"/>
        <v>0</v>
      </c>
      <c r="I2350" s="19"/>
    </row>
    <row r="2351" spans="1:9" ht="15.75" x14ac:dyDescent="0.25">
      <c r="A2351" s="51">
        <v>42815</v>
      </c>
      <c r="B2351" s="52" t="s">
        <v>10169</v>
      </c>
      <c r="C2351" s="18">
        <v>105129</v>
      </c>
      <c r="D2351" s="2" t="s">
        <v>293</v>
      </c>
      <c r="E2351" s="15">
        <v>1160</v>
      </c>
      <c r="F2351" s="59">
        <v>42815</v>
      </c>
      <c r="G2351" s="15">
        <f t="shared" si="73"/>
        <v>1160</v>
      </c>
      <c r="H2351" s="15">
        <f t="shared" si="74"/>
        <v>0</v>
      </c>
      <c r="I2351" s="19"/>
    </row>
    <row r="2352" spans="1:9" ht="15.75" x14ac:dyDescent="0.25">
      <c r="A2352" s="51">
        <v>42815</v>
      </c>
      <c r="B2352" s="52" t="s">
        <v>10170</v>
      </c>
      <c r="C2352" s="18">
        <v>105130</v>
      </c>
      <c r="D2352" s="2" t="s">
        <v>1259</v>
      </c>
      <c r="E2352" s="15">
        <v>1633.5</v>
      </c>
      <c r="F2352" s="59">
        <v>42815</v>
      </c>
      <c r="G2352" s="15">
        <f t="shared" si="73"/>
        <v>1633.5</v>
      </c>
      <c r="H2352" s="15">
        <f t="shared" si="74"/>
        <v>0</v>
      </c>
      <c r="I2352" s="19"/>
    </row>
    <row r="2353" spans="1:9" ht="15.75" x14ac:dyDescent="0.25">
      <c r="A2353" s="51">
        <v>42815</v>
      </c>
      <c r="B2353" s="52" t="s">
        <v>10171</v>
      </c>
      <c r="C2353" s="18">
        <v>105131</v>
      </c>
      <c r="D2353" s="2" t="s">
        <v>613</v>
      </c>
      <c r="E2353" s="15">
        <v>5265</v>
      </c>
      <c r="F2353" s="59">
        <v>42815</v>
      </c>
      <c r="G2353" s="15">
        <f t="shared" si="73"/>
        <v>5265</v>
      </c>
      <c r="H2353" s="15">
        <f t="shared" si="74"/>
        <v>0</v>
      </c>
      <c r="I2353" s="19"/>
    </row>
    <row r="2354" spans="1:9" ht="15.75" x14ac:dyDescent="0.25">
      <c r="A2354" s="51">
        <v>42815</v>
      </c>
      <c r="B2354" s="52" t="s">
        <v>10172</v>
      </c>
      <c r="C2354" s="18">
        <v>105132</v>
      </c>
      <c r="D2354" s="2" t="s">
        <v>83</v>
      </c>
      <c r="E2354" s="15">
        <v>3005</v>
      </c>
      <c r="F2354" s="59">
        <v>42815</v>
      </c>
      <c r="G2354" s="15">
        <f t="shared" si="73"/>
        <v>3005</v>
      </c>
      <c r="H2354" s="15">
        <f t="shared" si="74"/>
        <v>0</v>
      </c>
      <c r="I2354" s="19"/>
    </row>
    <row r="2355" spans="1:9" ht="15.75" x14ac:dyDescent="0.25">
      <c r="A2355" s="51">
        <v>42815</v>
      </c>
      <c r="B2355" s="52" t="s">
        <v>10173</v>
      </c>
      <c r="C2355" s="18">
        <v>105133</v>
      </c>
      <c r="D2355" s="2" t="s">
        <v>250</v>
      </c>
      <c r="E2355" s="15">
        <v>3335</v>
      </c>
      <c r="F2355" s="59">
        <v>43062</v>
      </c>
      <c r="G2355" s="15">
        <f t="shared" si="73"/>
        <v>3335</v>
      </c>
      <c r="H2355" s="15">
        <f t="shared" si="74"/>
        <v>0</v>
      </c>
      <c r="I2355" s="19"/>
    </row>
    <row r="2356" spans="1:9" ht="15.75" x14ac:dyDescent="0.25">
      <c r="A2356" s="51">
        <v>42815</v>
      </c>
      <c r="B2356" s="52" t="s">
        <v>10174</v>
      </c>
      <c r="C2356" s="18">
        <v>105134</v>
      </c>
      <c r="D2356" s="2" t="s">
        <v>1163</v>
      </c>
      <c r="E2356" s="15">
        <v>28973.759999999998</v>
      </c>
      <c r="F2356" s="59">
        <v>42816</v>
      </c>
      <c r="G2356" s="15">
        <f t="shared" si="73"/>
        <v>28973.759999999998</v>
      </c>
      <c r="H2356" s="15">
        <f t="shared" si="74"/>
        <v>0</v>
      </c>
      <c r="I2356" s="19"/>
    </row>
    <row r="2357" spans="1:9" ht="15.75" x14ac:dyDescent="0.25">
      <c r="A2357" s="51">
        <v>42815</v>
      </c>
      <c r="B2357" s="52" t="s">
        <v>10175</v>
      </c>
      <c r="C2357" s="18">
        <v>105135</v>
      </c>
      <c r="D2357" s="2" t="s">
        <v>99</v>
      </c>
      <c r="E2357" s="15">
        <v>1920</v>
      </c>
      <c r="F2357" s="59">
        <v>42815</v>
      </c>
      <c r="G2357" s="15">
        <f t="shared" si="73"/>
        <v>1920</v>
      </c>
      <c r="H2357" s="15">
        <f t="shared" si="74"/>
        <v>0</v>
      </c>
      <c r="I2357" s="19"/>
    </row>
    <row r="2358" spans="1:9" ht="15.75" x14ac:dyDescent="0.25">
      <c r="A2358" s="51">
        <v>42815</v>
      </c>
      <c r="B2358" s="52" t="s">
        <v>10176</v>
      </c>
      <c r="C2358" s="18">
        <v>105136</v>
      </c>
      <c r="D2358" s="2" t="s">
        <v>43</v>
      </c>
      <c r="E2358" s="15">
        <v>4262</v>
      </c>
      <c r="F2358" s="59">
        <v>43062</v>
      </c>
      <c r="G2358" s="15">
        <f t="shared" si="73"/>
        <v>4262</v>
      </c>
      <c r="H2358" s="15">
        <f t="shared" si="74"/>
        <v>0</v>
      </c>
      <c r="I2358" s="19"/>
    </row>
    <row r="2359" spans="1:9" ht="15.75" x14ac:dyDescent="0.25">
      <c r="A2359" s="51">
        <v>42815</v>
      </c>
      <c r="B2359" s="52" t="s">
        <v>10177</v>
      </c>
      <c r="C2359" s="18">
        <v>105137</v>
      </c>
      <c r="D2359" s="2" t="s">
        <v>47</v>
      </c>
      <c r="E2359" s="15">
        <v>3936.4</v>
      </c>
      <c r="F2359" s="59">
        <v>42815</v>
      </c>
      <c r="G2359" s="15">
        <f t="shared" si="73"/>
        <v>3936.4</v>
      </c>
      <c r="H2359" s="15">
        <f t="shared" si="74"/>
        <v>0</v>
      </c>
      <c r="I2359" s="19"/>
    </row>
    <row r="2360" spans="1:9" ht="15.75" x14ac:dyDescent="0.25">
      <c r="A2360" s="51">
        <v>42815</v>
      </c>
      <c r="B2360" s="52" t="s">
        <v>10178</v>
      </c>
      <c r="C2360" s="18">
        <v>105138</v>
      </c>
      <c r="D2360" s="2" t="s">
        <v>35</v>
      </c>
      <c r="E2360" s="15">
        <v>9323.7000000000007</v>
      </c>
      <c r="F2360" s="59">
        <v>43062</v>
      </c>
      <c r="G2360" s="15">
        <f t="shared" si="73"/>
        <v>9323.7000000000007</v>
      </c>
      <c r="H2360" s="15">
        <f t="shared" si="74"/>
        <v>0</v>
      </c>
      <c r="I2360" s="19"/>
    </row>
    <row r="2361" spans="1:9" ht="15.75" x14ac:dyDescent="0.25">
      <c r="A2361" s="51">
        <v>42815</v>
      </c>
      <c r="B2361" s="52" t="s">
        <v>10179</v>
      </c>
      <c r="C2361" s="18">
        <v>105139</v>
      </c>
      <c r="D2361" s="2" t="s">
        <v>253</v>
      </c>
      <c r="E2361" s="15">
        <v>3510</v>
      </c>
      <c r="F2361" s="59">
        <v>43062</v>
      </c>
      <c r="G2361" s="15">
        <f t="shared" si="73"/>
        <v>3510</v>
      </c>
      <c r="H2361" s="15">
        <f t="shared" si="74"/>
        <v>0</v>
      </c>
      <c r="I2361" s="19"/>
    </row>
    <row r="2362" spans="1:9" ht="15.75" x14ac:dyDescent="0.25">
      <c r="A2362" s="51">
        <v>42815</v>
      </c>
      <c r="B2362" s="52" t="s">
        <v>10180</v>
      </c>
      <c r="C2362" s="18">
        <v>105140</v>
      </c>
      <c r="D2362" s="2" t="s">
        <v>101</v>
      </c>
      <c r="E2362" s="15">
        <v>1200</v>
      </c>
      <c r="F2362" s="59">
        <v>42815</v>
      </c>
      <c r="G2362" s="15">
        <f t="shared" si="73"/>
        <v>1200</v>
      </c>
      <c r="H2362" s="15">
        <f t="shared" si="74"/>
        <v>0</v>
      </c>
      <c r="I2362" s="19"/>
    </row>
    <row r="2363" spans="1:9" ht="15.75" x14ac:dyDescent="0.25">
      <c r="A2363" s="51">
        <v>42815</v>
      </c>
      <c r="B2363" s="52" t="s">
        <v>10181</v>
      </c>
      <c r="C2363" s="18">
        <v>105141</v>
      </c>
      <c r="D2363" s="2" t="s">
        <v>838</v>
      </c>
      <c r="E2363" s="15">
        <v>1651.3</v>
      </c>
      <c r="F2363" s="59">
        <v>42815</v>
      </c>
      <c r="G2363" s="15">
        <f t="shared" si="73"/>
        <v>1651.3</v>
      </c>
      <c r="H2363" s="15">
        <f t="shared" si="74"/>
        <v>0</v>
      </c>
      <c r="I2363" s="19"/>
    </row>
    <row r="2364" spans="1:9" ht="15.75" x14ac:dyDescent="0.25">
      <c r="A2364" s="51">
        <v>42815</v>
      </c>
      <c r="B2364" s="52" t="s">
        <v>10182</v>
      </c>
      <c r="C2364" s="18">
        <v>105142</v>
      </c>
      <c r="D2364" s="2" t="s">
        <v>109</v>
      </c>
      <c r="E2364" s="15">
        <v>2935.1</v>
      </c>
      <c r="F2364" s="59">
        <v>42815</v>
      </c>
      <c r="G2364" s="15">
        <f t="shared" si="73"/>
        <v>2935.1</v>
      </c>
      <c r="H2364" s="15">
        <f t="shared" si="74"/>
        <v>0</v>
      </c>
      <c r="I2364" s="19"/>
    </row>
    <row r="2365" spans="1:9" ht="15.75" x14ac:dyDescent="0.25">
      <c r="A2365" s="51">
        <v>42815</v>
      </c>
      <c r="B2365" s="52" t="s">
        <v>10183</v>
      </c>
      <c r="C2365" s="18">
        <v>105143</v>
      </c>
      <c r="D2365" s="2" t="s">
        <v>57</v>
      </c>
      <c r="E2365" s="15">
        <v>528</v>
      </c>
      <c r="F2365" s="59">
        <v>42816</v>
      </c>
      <c r="G2365" s="15">
        <f t="shared" si="73"/>
        <v>528</v>
      </c>
      <c r="H2365" s="15">
        <f t="shared" si="74"/>
        <v>0</v>
      </c>
      <c r="I2365" s="19"/>
    </row>
    <row r="2366" spans="1:9" ht="15.75" x14ac:dyDescent="0.25">
      <c r="A2366" s="51">
        <v>42815</v>
      </c>
      <c r="B2366" s="52" t="s">
        <v>10184</v>
      </c>
      <c r="C2366" s="18">
        <v>105144</v>
      </c>
      <c r="D2366" s="2" t="s">
        <v>426</v>
      </c>
      <c r="E2366" s="15">
        <v>1746.6</v>
      </c>
      <c r="F2366" s="59">
        <v>42791</v>
      </c>
      <c r="G2366" s="15">
        <f t="shared" si="73"/>
        <v>1746.6</v>
      </c>
      <c r="H2366" s="15">
        <f t="shared" si="74"/>
        <v>0</v>
      </c>
      <c r="I2366" s="19"/>
    </row>
    <row r="2367" spans="1:9" ht="15.75" x14ac:dyDescent="0.25">
      <c r="A2367" s="51">
        <v>42815</v>
      </c>
      <c r="B2367" s="52" t="s">
        <v>10185</v>
      </c>
      <c r="C2367" s="18">
        <v>105145</v>
      </c>
      <c r="D2367" s="2" t="s">
        <v>712</v>
      </c>
      <c r="E2367" s="15">
        <v>7652.5</v>
      </c>
      <c r="F2367" s="59">
        <v>42815</v>
      </c>
      <c r="G2367" s="15">
        <f t="shared" si="73"/>
        <v>7652.5</v>
      </c>
      <c r="H2367" s="15">
        <f t="shared" si="74"/>
        <v>0</v>
      </c>
      <c r="I2367" s="19"/>
    </row>
    <row r="2368" spans="1:9" ht="15.75" x14ac:dyDescent="0.25">
      <c r="A2368" s="51">
        <v>42815</v>
      </c>
      <c r="B2368" s="52" t="s">
        <v>10186</v>
      </c>
      <c r="C2368" s="18">
        <v>105146</v>
      </c>
      <c r="D2368" s="2" t="s">
        <v>53</v>
      </c>
      <c r="E2368" s="15">
        <v>1922.8</v>
      </c>
      <c r="F2368" s="59">
        <v>42816</v>
      </c>
      <c r="G2368" s="15">
        <f t="shared" si="73"/>
        <v>1922.8</v>
      </c>
      <c r="H2368" s="15">
        <f t="shared" si="74"/>
        <v>0</v>
      </c>
      <c r="I2368" s="19"/>
    </row>
    <row r="2369" spans="1:9" ht="15.75" x14ac:dyDescent="0.25">
      <c r="A2369" s="51">
        <v>42815</v>
      </c>
      <c r="B2369" s="52" t="s">
        <v>10187</v>
      </c>
      <c r="C2369" s="18">
        <v>105147</v>
      </c>
      <c r="D2369" s="2" t="s">
        <v>61</v>
      </c>
      <c r="E2369" s="15">
        <v>3630.3</v>
      </c>
      <c r="F2369" s="59">
        <v>42816</v>
      </c>
      <c r="G2369" s="15">
        <f t="shared" si="73"/>
        <v>3630.3</v>
      </c>
      <c r="H2369" s="15">
        <f t="shared" si="74"/>
        <v>0</v>
      </c>
      <c r="I2369" s="19"/>
    </row>
    <row r="2370" spans="1:9" ht="15.75" x14ac:dyDescent="0.25">
      <c r="A2370" s="51">
        <v>42815</v>
      </c>
      <c r="B2370" s="52" t="s">
        <v>10188</v>
      </c>
      <c r="C2370" s="18">
        <v>105148</v>
      </c>
      <c r="D2370" s="2" t="s">
        <v>30</v>
      </c>
      <c r="E2370" s="15">
        <v>643.5</v>
      </c>
      <c r="F2370" s="59">
        <v>42816</v>
      </c>
      <c r="G2370" s="15">
        <f t="shared" si="73"/>
        <v>643.5</v>
      </c>
      <c r="H2370" s="15">
        <f t="shared" si="74"/>
        <v>0</v>
      </c>
      <c r="I2370" s="19"/>
    </row>
    <row r="2371" spans="1:9" ht="15.75" x14ac:dyDescent="0.25">
      <c r="A2371" s="51">
        <v>42815</v>
      </c>
      <c r="B2371" s="52" t="s">
        <v>10189</v>
      </c>
      <c r="C2371" s="18">
        <v>105149</v>
      </c>
      <c r="D2371" s="2" t="s">
        <v>38</v>
      </c>
      <c r="E2371" s="15">
        <v>4456.7</v>
      </c>
      <c r="F2371" s="59">
        <v>42818</v>
      </c>
      <c r="G2371" s="15">
        <f t="shared" si="73"/>
        <v>4456.7</v>
      </c>
      <c r="H2371" s="15">
        <f t="shared" si="74"/>
        <v>0</v>
      </c>
      <c r="I2371" s="19"/>
    </row>
    <row r="2372" spans="1:9" ht="15.75" x14ac:dyDescent="0.25">
      <c r="A2372" s="51">
        <v>42815</v>
      </c>
      <c r="B2372" s="52" t="s">
        <v>10190</v>
      </c>
      <c r="C2372" s="18">
        <v>105150</v>
      </c>
      <c r="D2372" s="2" t="s">
        <v>486</v>
      </c>
      <c r="E2372" s="15">
        <v>3264</v>
      </c>
      <c r="F2372" s="59">
        <v>42816</v>
      </c>
      <c r="G2372" s="15">
        <f t="shared" ref="G2372:G2435" si="75">E2372</f>
        <v>3264</v>
      </c>
      <c r="H2372" s="15">
        <f t="shared" ref="H2372:H2435" si="76">E2372-G2372</f>
        <v>0</v>
      </c>
      <c r="I2372" s="19"/>
    </row>
    <row r="2373" spans="1:9" ht="15.75" x14ac:dyDescent="0.25">
      <c r="A2373" s="51">
        <v>42815</v>
      </c>
      <c r="B2373" s="52" t="s">
        <v>10191</v>
      </c>
      <c r="C2373" s="18">
        <v>105151</v>
      </c>
      <c r="D2373" s="2" t="s">
        <v>422</v>
      </c>
      <c r="E2373" s="15">
        <v>875.8</v>
      </c>
      <c r="F2373" s="59">
        <v>42815</v>
      </c>
      <c r="G2373" s="15">
        <f t="shared" si="75"/>
        <v>875.8</v>
      </c>
      <c r="H2373" s="15">
        <f t="shared" si="76"/>
        <v>0</v>
      </c>
      <c r="I2373" s="19"/>
    </row>
    <row r="2374" spans="1:9" ht="15.75" x14ac:dyDescent="0.25">
      <c r="A2374" s="51">
        <v>42815</v>
      </c>
      <c r="B2374" s="52" t="s">
        <v>10192</v>
      </c>
      <c r="C2374" s="18">
        <v>105152</v>
      </c>
      <c r="D2374" s="2" t="s">
        <v>151</v>
      </c>
      <c r="E2374" s="15">
        <v>23253.599999999999</v>
      </c>
      <c r="F2374" s="59">
        <v>42815</v>
      </c>
      <c r="G2374" s="15">
        <f t="shared" si="75"/>
        <v>23253.599999999999</v>
      </c>
      <c r="H2374" s="15">
        <f t="shared" si="76"/>
        <v>0</v>
      </c>
      <c r="I2374" s="19"/>
    </row>
    <row r="2375" spans="1:9" ht="15.75" x14ac:dyDescent="0.25">
      <c r="A2375" s="51">
        <v>42815</v>
      </c>
      <c r="B2375" s="52" t="s">
        <v>10193</v>
      </c>
      <c r="C2375" s="18">
        <v>105153</v>
      </c>
      <c r="D2375" s="2" t="s">
        <v>157</v>
      </c>
      <c r="E2375" s="15">
        <v>14937.5</v>
      </c>
      <c r="F2375" s="59">
        <v>42815</v>
      </c>
      <c r="G2375" s="15">
        <f t="shared" si="75"/>
        <v>14937.5</v>
      </c>
      <c r="H2375" s="15">
        <f t="shared" si="76"/>
        <v>0</v>
      </c>
      <c r="I2375" s="19"/>
    </row>
    <row r="2376" spans="1:9" ht="15.75" x14ac:dyDescent="0.25">
      <c r="A2376" s="51">
        <v>42815</v>
      </c>
      <c r="B2376" s="52" t="s">
        <v>10194</v>
      </c>
      <c r="C2376" s="18">
        <v>105154</v>
      </c>
      <c r="D2376" s="2" t="s">
        <v>633</v>
      </c>
      <c r="E2376" s="15">
        <v>418.1</v>
      </c>
      <c r="F2376" s="59">
        <v>42816</v>
      </c>
      <c r="G2376" s="15">
        <f t="shared" si="75"/>
        <v>418.1</v>
      </c>
      <c r="H2376" s="15">
        <f t="shared" si="76"/>
        <v>0</v>
      </c>
      <c r="I2376" s="19"/>
    </row>
    <row r="2377" spans="1:9" ht="15.75" x14ac:dyDescent="0.25">
      <c r="A2377" s="51">
        <v>42815</v>
      </c>
      <c r="B2377" s="52" t="s">
        <v>10195</v>
      </c>
      <c r="C2377" s="18">
        <v>105155</v>
      </c>
      <c r="D2377" s="2" t="s">
        <v>331</v>
      </c>
      <c r="E2377" s="15">
        <v>1726.3</v>
      </c>
      <c r="F2377" s="59">
        <v>42816</v>
      </c>
      <c r="G2377" s="15">
        <f t="shared" si="75"/>
        <v>1726.3</v>
      </c>
      <c r="H2377" s="15">
        <f t="shared" si="76"/>
        <v>0</v>
      </c>
      <c r="I2377" s="19"/>
    </row>
    <row r="2378" spans="1:9" ht="15.75" x14ac:dyDescent="0.25">
      <c r="A2378" s="51">
        <v>42815</v>
      </c>
      <c r="B2378" s="52" t="s">
        <v>10196</v>
      </c>
      <c r="C2378" s="18">
        <v>105156</v>
      </c>
      <c r="D2378" s="2" t="s">
        <v>45</v>
      </c>
      <c r="E2378" s="15">
        <v>1306.0999999999999</v>
      </c>
      <c r="F2378" s="59">
        <v>42816</v>
      </c>
      <c r="G2378" s="15">
        <f t="shared" si="75"/>
        <v>1306.0999999999999</v>
      </c>
      <c r="H2378" s="15">
        <f t="shared" si="76"/>
        <v>0</v>
      </c>
      <c r="I2378" s="19"/>
    </row>
    <row r="2379" spans="1:9" ht="15.75" x14ac:dyDescent="0.25">
      <c r="A2379" s="51">
        <v>42815</v>
      </c>
      <c r="B2379" s="52" t="s">
        <v>10197</v>
      </c>
      <c r="C2379" s="18">
        <v>105157</v>
      </c>
      <c r="D2379" s="13" t="s">
        <v>531</v>
      </c>
      <c r="E2379" s="14">
        <v>0</v>
      </c>
      <c r="F2379" s="102" t="s">
        <v>95</v>
      </c>
      <c r="G2379" s="14">
        <f t="shared" si="75"/>
        <v>0</v>
      </c>
      <c r="H2379" s="14">
        <f t="shared" si="76"/>
        <v>0</v>
      </c>
      <c r="I2379" s="19"/>
    </row>
    <row r="2380" spans="1:9" ht="15.75" x14ac:dyDescent="0.25">
      <c r="A2380" s="51">
        <v>42815</v>
      </c>
      <c r="B2380" s="52" t="s">
        <v>10198</v>
      </c>
      <c r="C2380" s="18">
        <v>105158</v>
      </c>
      <c r="D2380" s="2" t="s">
        <v>531</v>
      </c>
      <c r="E2380" s="15">
        <v>32947</v>
      </c>
      <c r="F2380" s="59">
        <v>43062</v>
      </c>
      <c r="G2380" s="15">
        <f t="shared" si="75"/>
        <v>32947</v>
      </c>
      <c r="H2380" s="15">
        <f t="shared" si="76"/>
        <v>0</v>
      </c>
      <c r="I2380" s="19"/>
    </row>
    <row r="2381" spans="1:9" ht="15.75" x14ac:dyDescent="0.25">
      <c r="A2381" s="51">
        <v>42815</v>
      </c>
      <c r="B2381" s="52" t="s">
        <v>10199</v>
      </c>
      <c r="C2381" s="18">
        <v>105159</v>
      </c>
      <c r="D2381" s="2" t="s">
        <v>1116</v>
      </c>
      <c r="E2381" s="15">
        <v>2197.6</v>
      </c>
      <c r="F2381" s="59">
        <v>42829</v>
      </c>
      <c r="G2381" s="15">
        <f t="shared" si="75"/>
        <v>2197.6</v>
      </c>
      <c r="H2381" s="15">
        <f t="shared" si="76"/>
        <v>0</v>
      </c>
      <c r="I2381" s="19"/>
    </row>
    <row r="2382" spans="1:9" ht="15.75" x14ac:dyDescent="0.25">
      <c r="A2382" s="51">
        <v>42815</v>
      </c>
      <c r="B2382" s="52" t="s">
        <v>10200</v>
      </c>
      <c r="C2382" s="18">
        <v>105160</v>
      </c>
      <c r="D2382" s="2" t="s">
        <v>79</v>
      </c>
      <c r="E2382" s="15">
        <v>2851.8</v>
      </c>
      <c r="F2382" s="59">
        <v>42815</v>
      </c>
      <c r="G2382" s="15">
        <f t="shared" si="75"/>
        <v>2851.8</v>
      </c>
      <c r="H2382" s="15">
        <f t="shared" si="76"/>
        <v>0</v>
      </c>
      <c r="I2382" s="19"/>
    </row>
    <row r="2383" spans="1:9" ht="15.75" x14ac:dyDescent="0.25">
      <c r="A2383" s="51">
        <v>42815</v>
      </c>
      <c r="B2383" s="52" t="s">
        <v>10201</v>
      </c>
      <c r="C2383" s="18">
        <v>105161</v>
      </c>
      <c r="D2383" s="2" t="s">
        <v>149</v>
      </c>
      <c r="E2383" s="15">
        <v>1226.2</v>
      </c>
      <c r="F2383" s="59">
        <v>42815</v>
      </c>
      <c r="G2383" s="15">
        <f t="shared" si="75"/>
        <v>1226.2</v>
      </c>
      <c r="H2383" s="15">
        <f t="shared" si="76"/>
        <v>0</v>
      </c>
      <c r="I2383" s="19"/>
    </row>
    <row r="2384" spans="1:9" ht="15.75" x14ac:dyDescent="0.25">
      <c r="A2384" s="51">
        <v>42815</v>
      </c>
      <c r="B2384" s="52" t="s">
        <v>10202</v>
      </c>
      <c r="C2384" s="18">
        <v>105162</v>
      </c>
      <c r="D2384" s="2" t="s">
        <v>122</v>
      </c>
      <c r="E2384" s="15">
        <v>30924</v>
      </c>
      <c r="F2384" s="59">
        <v>42824</v>
      </c>
      <c r="G2384" s="15">
        <f t="shared" si="75"/>
        <v>30924</v>
      </c>
      <c r="H2384" s="15">
        <f t="shared" si="76"/>
        <v>0</v>
      </c>
      <c r="I2384" s="19"/>
    </row>
    <row r="2385" spans="1:9" ht="15.75" x14ac:dyDescent="0.25">
      <c r="A2385" s="51">
        <v>42815</v>
      </c>
      <c r="B2385" s="52" t="s">
        <v>10203</v>
      </c>
      <c r="C2385" s="18">
        <v>105163</v>
      </c>
      <c r="D2385" s="2" t="s">
        <v>2054</v>
      </c>
      <c r="E2385" s="15">
        <v>2874.6</v>
      </c>
      <c r="F2385" s="59">
        <v>42815</v>
      </c>
      <c r="G2385" s="15">
        <f t="shared" si="75"/>
        <v>2874.6</v>
      </c>
      <c r="H2385" s="15">
        <f t="shared" si="76"/>
        <v>0</v>
      </c>
      <c r="I2385" s="19"/>
    </row>
    <row r="2386" spans="1:9" ht="15.75" x14ac:dyDescent="0.25">
      <c r="A2386" s="51">
        <v>42815</v>
      </c>
      <c r="B2386" s="52" t="s">
        <v>10204</v>
      </c>
      <c r="C2386" s="18">
        <v>105164</v>
      </c>
      <c r="D2386" s="2" t="s">
        <v>3425</v>
      </c>
      <c r="E2386" s="15">
        <v>942.4</v>
      </c>
      <c r="F2386" s="59">
        <v>42815</v>
      </c>
      <c r="G2386" s="15">
        <f t="shared" si="75"/>
        <v>942.4</v>
      </c>
      <c r="H2386" s="15">
        <f t="shared" si="76"/>
        <v>0</v>
      </c>
      <c r="I2386" s="19"/>
    </row>
    <row r="2387" spans="1:9" ht="15.75" x14ac:dyDescent="0.25">
      <c r="A2387" s="51">
        <v>42815</v>
      </c>
      <c r="B2387" s="52" t="s">
        <v>10205</v>
      </c>
      <c r="C2387" s="18">
        <v>105165</v>
      </c>
      <c r="D2387" s="13" t="s">
        <v>133</v>
      </c>
      <c r="E2387" s="14">
        <v>0</v>
      </c>
      <c r="F2387" s="102" t="s">
        <v>95</v>
      </c>
      <c r="G2387" s="14">
        <f t="shared" si="75"/>
        <v>0</v>
      </c>
      <c r="H2387" s="14">
        <f t="shared" si="76"/>
        <v>0</v>
      </c>
      <c r="I2387" s="19"/>
    </row>
    <row r="2388" spans="1:9" ht="15.75" x14ac:dyDescent="0.25">
      <c r="A2388" s="51">
        <v>42815</v>
      </c>
      <c r="B2388" s="52" t="s">
        <v>10206</v>
      </c>
      <c r="C2388" s="18">
        <v>105166</v>
      </c>
      <c r="D2388" s="2" t="s">
        <v>133</v>
      </c>
      <c r="E2388" s="15">
        <v>10831</v>
      </c>
      <c r="F2388" s="59">
        <v>42821</v>
      </c>
      <c r="G2388" s="15">
        <f t="shared" si="75"/>
        <v>10831</v>
      </c>
      <c r="H2388" s="15">
        <f t="shared" si="76"/>
        <v>0</v>
      </c>
      <c r="I2388" s="19"/>
    </row>
    <row r="2389" spans="1:9" ht="15.75" x14ac:dyDescent="0.25">
      <c r="A2389" s="51">
        <v>42815</v>
      </c>
      <c r="B2389" s="52" t="s">
        <v>10207</v>
      </c>
      <c r="C2389" s="18">
        <v>105167</v>
      </c>
      <c r="D2389" s="2" t="s">
        <v>240</v>
      </c>
      <c r="E2389" s="15">
        <v>4545.8999999999996</v>
      </c>
      <c r="G2389" s="15">
        <f t="shared" si="75"/>
        <v>4545.8999999999996</v>
      </c>
      <c r="H2389" s="15">
        <f t="shared" si="76"/>
        <v>0</v>
      </c>
      <c r="I2389" s="19"/>
    </row>
    <row r="2390" spans="1:9" ht="15.75" x14ac:dyDescent="0.25">
      <c r="A2390" s="51">
        <v>42815</v>
      </c>
      <c r="B2390" s="52" t="s">
        <v>10208</v>
      </c>
      <c r="C2390" s="18">
        <v>105168</v>
      </c>
      <c r="D2390" s="2" t="s">
        <v>1870</v>
      </c>
      <c r="E2390" s="15">
        <v>2257.4</v>
      </c>
      <c r="F2390" s="59">
        <v>42815</v>
      </c>
      <c r="G2390" s="15">
        <f t="shared" si="75"/>
        <v>2257.4</v>
      </c>
      <c r="H2390" s="15">
        <f t="shared" si="76"/>
        <v>0</v>
      </c>
      <c r="I2390" s="19"/>
    </row>
    <row r="2391" spans="1:9" ht="15.75" x14ac:dyDescent="0.25">
      <c r="A2391" s="51">
        <v>42815</v>
      </c>
      <c r="B2391" s="52" t="s">
        <v>10209</v>
      </c>
      <c r="C2391" s="18">
        <v>105169</v>
      </c>
      <c r="D2391" s="2" t="s">
        <v>785</v>
      </c>
      <c r="E2391" s="15">
        <v>8121.6</v>
      </c>
      <c r="F2391" s="59">
        <v>42815</v>
      </c>
      <c r="G2391" s="15">
        <f t="shared" si="75"/>
        <v>8121.6</v>
      </c>
      <c r="H2391" s="15">
        <f t="shared" si="76"/>
        <v>0</v>
      </c>
      <c r="I2391" s="19"/>
    </row>
    <row r="2392" spans="1:9" ht="15.75" x14ac:dyDescent="0.25">
      <c r="A2392" s="51">
        <v>42815</v>
      </c>
      <c r="B2392" s="52" t="s">
        <v>10210</v>
      </c>
      <c r="C2392" s="18">
        <v>105170</v>
      </c>
      <c r="D2392" s="2" t="s">
        <v>432</v>
      </c>
      <c r="E2392" s="15">
        <v>4101.2</v>
      </c>
      <c r="F2392" s="59">
        <v>42818</v>
      </c>
      <c r="G2392" s="15">
        <f t="shared" si="75"/>
        <v>4101.2</v>
      </c>
      <c r="H2392" s="15">
        <f t="shared" si="76"/>
        <v>0</v>
      </c>
      <c r="I2392" s="19"/>
    </row>
    <row r="2393" spans="1:9" ht="15.75" x14ac:dyDescent="0.25">
      <c r="A2393" s="51">
        <v>42815</v>
      </c>
      <c r="B2393" s="52" t="s">
        <v>10211</v>
      </c>
      <c r="C2393" s="18">
        <v>105171</v>
      </c>
      <c r="D2393" s="2" t="s">
        <v>270</v>
      </c>
      <c r="E2393" s="15">
        <v>2911.8</v>
      </c>
      <c r="F2393" s="59">
        <v>42816</v>
      </c>
      <c r="G2393" s="15">
        <f t="shared" si="75"/>
        <v>2911.8</v>
      </c>
      <c r="H2393" s="15">
        <f t="shared" si="76"/>
        <v>0</v>
      </c>
      <c r="I2393" s="19"/>
    </row>
    <row r="2394" spans="1:9" ht="15.75" x14ac:dyDescent="0.25">
      <c r="A2394" s="51">
        <v>42815</v>
      </c>
      <c r="B2394" s="52" t="s">
        <v>10212</v>
      </c>
      <c r="C2394" s="18">
        <v>105172</v>
      </c>
      <c r="D2394" s="2" t="s">
        <v>442</v>
      </c>
      <c r="E2394" s="15">
        <v>9968.7999999999993</v>
      </c>
      <c r="F2394" s="59">
        <v>42818</v>
      </c>
      <c r="G2394" s="15">
        <f t="shared" si="75"/>
        <v>9968.7999999999993</v>
      </c>
      <c r="H2394" s="15">
        <f t="shared" si="76"/>
        <v>0</v>
      </c>
      <c r="I2394" s="19"/>
    </row>
    <row r="2395" spans="1:9" ht="15.75" x14ac:dyDescent="0.25">
      <c r="A2395" s="51">
        <v>42815</v>
      </c>
      <c r="B2395" s="52" t="s">
        <v>10213</v>
      </c>
      <c r="C2395" s="18">
        <v>105173</v>
      </c>
      <c r="D2395" s="2" t="s">
        <v>1666</v>
      </c>
      <c r="E2395" s="15">
        <v>15293.2</v>
      </c>
      <c r="F2395" s="59">
        <v>42818</v>
      </c>
      <c r="G2395" s="15">
        <f t="shared" si="75"/>
        <v>15293.2</v>
      </c>
      <c r="H2395" s="15">
        <f t="shared" si="76"/>
        <v>0</v>
      </c>
      <c r="I2395" s="19"/>
    </row>
    <row r="2396" spans="1:9" ht="15.75" x14ac:dyDescent="0.25">
      <c r="A2396" s="51">
        <v>42815</v>
      </c>
      <c r="B2396" s="52" t="s">
        <v>10214</v>
      </c>
      <c r="C2396" s="18">
        <v>105174</v>
      </c>
      <c r="D2396" s="2" t="s">
        <v>10</v>
      </c>
      <c r="E2396" s="15">
        <v>830.4</v>
      </c>
      <c r="F2396" s="59">
        <v>42791</v>
      </c>
      <c r="G2396" s="15">
        <f t="shared" si="75"/>
        <v>830.4</v>
      </c>
      <c r="H2396" s="15">
        <f t="shared" si="76"/>
        <v>0</v>
      </c>
      <c r="I2396" s="19"/>
    </row>
    <row r="2397" spans="1:9" ht="15.75" x14ac:dyDescent="0.25">
      <c r="A2397" s="51">
        <v>42815</v>
      </c>
      <c r="B2397" s="52" t="s">
        <v>10215</v>
      </c>
      <c r="C2397" s="18">
        <v>105175</v>
      </c>
      <c r="D2397" s="2" t="s">
        <v>268</v>
      </c>
      <c r="E2397" s="15">
        <v>14579.2</v>
      </c>
      <c r="F2397" s="59">
        <v>42818</v>
      </c>
      <c r="G2397" s="15">
        <f t="shared" si="75"/>
        <v>14579.2</v>
      </c>
      <c r="H2397" s="15">
        <f t="shared" si="76"/>
        <v>0</v>
      </c>
      <c r="I2397" s="19"/>
    </row>
    <row r="2398" spans="1:9" ht="15.75" x14ac:dyDescent="0.25">
      <c r="A2398" s="51">
        <v>42815</v>
      </c>
      <c r="B2398" s="52" t="s">
        <v>10216</v>
      </c>
      <c r="C2398" s="18">
        <v>105176</v>
      </c>
      <c r="D2398" s="2" t="s">
        <v>168</v>
      </c>
      <c r="E2398" s="15">
        <v>5742.5</v>
      </c>
      <c r="F2398" s="59">
        <v>42821</v>
      </c>
      <c r="G2398" s="15">
        <f t="shared" si="75"/>
        <v>5742.5</v>
      </c>
      <c r="H2398" s="15">
        <f t="shared" si="76"/>
        <v>0</v>
      </c>
      <c r="I2398" s="19"/>
    </row>
    <row r="2399" spans="1:9" ht="15.75" x14ac:dyDescent="0.25">
      <c r="A2399" s="51">
        <v>42815</v>
      </c>
      <c r="B2399" s="52" t="s">
        <v>10217</v>
      </c>
      <c r="C2399" s="18">
        <v>105177</v>
      </c>
      <c r="D2399" s="2" t="s">
        <v>298</v>
      </c>
      <c r="E2399" s="15">
        <v>3352.5</v>
      </c>
      <c r="F2399" s="59">
        <v>42815</v>
      </c>
      <c r="G2399" s="15">
        <f t="shared" si="75"/>
        <v>3352.5</v>
      </c>
      <c r="H2399" s="15">
        <f t="shared" si="76"/>
        <v>0</v>
      </c>
      <c r="I2399" s="19"/>
    </row>
    <row r="2400" spans="1:9" ht="15.75" x14ac:dyDescent="0.25">
      <c r="A2400" s="51">
        <v>42815</v>
      </c>
      <c r="B2400" s="52" t="s">
        <v>10218</v>
      </c>
      <c r="C2400" s="18">
        <v>105178</v>
      </c>
      <c r="D2400" s="2" t="s">
        <v>1830</v>
      </c>
      <c r="E2400" s="15">
        <v>9981.2000000000007</v>
      </c>
      <c r="F2400" s="59">
        <v>42815</v>
      </c>
      <c r="G2400" s="15">
        <f t="shared" si="75"/>
        <v>9981.2000000000007</v>
      </c>
      <c r="H2400" s="15">
        <f t="shared" si="76"/>
        <v>0</v>
      </c>
      <c r="I2400" s="19"/>
    </row>
    <row r="2401" spans="1:9" ht="15.75" x14ac:dyDescent="0.25">
      <c r="A2401" s="51">
        <v>42815</v>
      </c>
      <c r="B2401" s="52" t="s">
        <v>10219</v>
      </c>
      <c r="C2401" s="18">
        <v>105179</v>
      </c>
      <c r="D2401" s="2" t="s">
        <v>208</v>
      </c>
      <c r="E2401" s="15">
        <v>6235.2</v>
      </c>
      <c r="F2401" s="59">
        <v>42822</v>
      </c>
      <c r="G2401" s="15">
        <f t="shared" si="75"/>
        <v>6235.2</v>
      </c>
      <c r="H2401" s="15">
        <f t="shared" si="76"/>
        <v>0</v>
      </c>
      <c r="I2401" s="19"/>
    </row>
    <row r="2402" spans="1:9" ht="15.75" x14ac:dyDescent="0.25">
      <c r="A2402" s="51">
        <v>42815</v>
      </c>
      <c r="B2402" s="52" t="s">
        <v>10220</v>
      </c>
      <c r="C2402" s="18">
        <v>105180</v>
      </c>
      <c r="D2402" s="2" t="s">
        <v>1160</v>
      </c>
      <c r="E2402" s="15">
        <v>1089.5999999999999</v>
      </c>
      <c r="F2402" s="59">
        <v>42815</v>
      </c>
      <c r="G2402" s="15">
        <f t="shared" si="75"/>
        <v>1089.5999999999999</v>
      </c>
      <c r="H2402" s="15">
        <f t="shared" si="76"/>
        <v>0</v>
      </c>
      <c r="I2402" s="19"/>
    </row>
    <row r="2403" spans="1:9" ht="15.75" x14ac:dyDescent="0.25">
      <c r="A2403" s="51">
        <v>42815</v>
      </c>
      <c r="B2403" s="52" t="s">
        <v>10221</v>
      </c>
      <c r="C2403" s="18">
        <v>105181</v>
      </c>
      <c r="D2403" s="2" t="s">
        <v>272</v>
      </c>
      <c r="E2403" s="15">
        <v>1681.2</v>
      </c>
      <c r="F2403" s="59">
        <v>42816</v>
      </c>
      <c r="G2403" s="15">
        <f t="shared" si="75"/>
        <v>1681.2</v>
      </c>
      <c r="H2403" s="15">
        <f t="shared" si="76"/>
        <v>0</v>
      </c>
      <c r="I2403" s="19"/>
    </row>
    <row r="2404" spans="1:9" ht="15.75" x14ac:dyDescent="0.25">
      <c r="A2404" s="51">
        <v>42815</v>
      </c>
      <c r="B2404" s="52" t="s">
        <v>10222</v>
      </c>
      <c r="C2404" s="18">
        <v>105182</v>
      </c>
      <c r="D2404" s="13" t="s">
        <v>128</v>
      </c>
      <c r="E2404" s="14">
        <v>0</v>
      </c>
      <c r="F2404" s="102" t="s">
        <v>95</v>
      </c>
      <c r="G2404" s="14">
        <f t="shared" si="75"/>
        <v>0</v>
      </c>
      <c r="H2404" s="14">
        <f t="shared" si="76"/>
        <v>0</v>
      </c>
      <c r="I2404" s="19"/>
    </row>
    <row r="2405" spans="1:9" ht="15.75" x14ac:dyDescent="0.25">
      <c r="A2405" s="51">
        <v>42815</v>
      </c>
      <c r="B2405" s="52" t="s">
        <v>10223</v>
      </c>
      <c r="C2405" s="18">
        <v>105183</v>
      </c>
      <c r="D2405" s="2" t="s">
        <v>128</v>
      </c>
      <c r="E2405" s="15">
        <v>3012.86</v>
      </c>
      <c r="F2405" s="59">
        <v>42815</v>
      </c>
      <c r="G2405" s="15">
        <f t="shared" si="75"/>
        <v>3012.86</v>
      </c>
      <c r="H2405" s="15">
        <f t="shared" si="76"/>
        <v>0</v>
      </c>
      <c r="I2405" s="19"/>
    </row>
    <row r="2406" spans="1:9" ht="15.75" x14ac:dyDescent="0.25">
      <c r="A2406" s="51">
        <v>42815</v>
      </c>
      <c r="B2406" s="52" t="s">
        <v>10224</v>
      </c>
      <c r="C2406" s="18">
        <v>105184</v>
      </c>
      <c r="D2406" s="2" t="s">
        <v>785</v>
      </c>
      <c r="E2406" s="15">
        <v>15715.2</v>
      </c>
      <c r="F2406" s="59">
        <v>42815</v>
      </c>
      <c r="G2406" s="15">
        <f t="shared" si="75"/>
        <v>15715.2</v>
      </c>
      <c r="H2406" s="15">
        <f t="shared" si="76"/>
        <v>0</v>
      </c>
      <c r="I2406" s="19"/>
    </row>
    <row r="2407" spans="1:9" ht="15.75" x14ac:dyDescent="0.25">
      <c r="A2407" s="51">
        <v>42815</v>
      </c>
      <c r="B2407" s="52" t="s">
        <v>10225</v>
      </c>
      <c r="C2407" s="18">
        <v>105185</v>
      </c>
      <c r="D2407" s="2" t="s">
        <v>30</v>
      </c>
      <c r="E2407" s="15">
        <v>4521.3999999999996</v>
      </c>
      <c r="F2407" s="59">
        <v>42816</v>
      </c>
      <c r="G2407" s="15">
        <f t="shared" si="75"/>
        <v>4521.3999999999996</v>
      </c>
      <c r="H2407" s="15">
        <f t="shared" si="76"/>
        <v>0</v>
      </c>
      <c r="I2407" s="19"/>
    </row>
    <row r="2408" spans="1:9" ht="15.75" x14ac:dyDescent="0.25">
      <c r="A2408" s="51">
        <v>42815</v>
      </c>
      <c r="B2408" s="52" t="s">
        <v>10226</v>
      </c>
      <c r="C2408" s="18">
        <v>105186</v>
      </c>
      <c r="D2408" s="2" t="s">
        <v>125</v>
      </c>
      <c r="E2408" s="15">
        <v>6703.2</v>
      </c>
      <c r="F2408" s="59">
        <v>42815</v>
      </c>
      <c r="G2408" s="15">
        <f t="shared" si="75"/>
        <v>6703.2</v>
      </c>
      <c r="H2408" s="15">
        <f t="shared" si="76"/>
        <v>0</v>
      </c>
      <c r="I2408" s="19"/>
    </row>
    <row r="2409" spans="1:9" ht="15.75" x14ac:dyDescent="0.25">
      <c r="A2409" s="51">
        <v>42815</v>
      </c>
      <c r="B2409" s="52" t="s">
        <v>10227</v>
      </c>
      <c r="C2409" s="18">
        <v>105187</v>
      </c>
      <c r="D2409" s="2" t="s">
        <v>470</v>
      </c>
      <c r="E2409" s="15">
        <v>9454.7999999999993</v>
      </c>
      <c r="F2409" s="59">
        <v>42815</v>
      </c>
      <c r="G2409" s="15">
        <f t="shared" si="75"/>
        <v>9454.7999999999993</v>
      </c>
      <c r="H2409" s="15">
        <f t="shared" si="76"/>
        <v>0</v>
      </c>
      <c r="I2409" s="19"/>
    </row>
    <row r="2410" spans="1:9" ht="15.75" x14ac:dyDescent="0.25">
      <c r="A2410" s="51">
        <v>42815</v>
      </c>
      <c r="B2410" s="52" t="s">
        <v>10228</v>
      </c>
      <c r="C2410" s="18">
        <v>105188</v>
      </c>
      <c r="D2410" s="2" t="s">
        <v>30</v>
      </c>
      <c r="E2410" s="15">
        <v>459.6</v>
      </c>
      <c r="F2410" s="59">
        <v>42815</v>
      </c>
      <c r="G2410" s="15">
        <f t="shared" si="75"/>
        <v>459.6</v>
      </c>
      <c r="H2410" s="15">
        <f t="shared" si="76"/>
        <v>0</v>
      </c>
      <c r="I2410" s="19"/>
    </row>
    <row r="2411" spans="1:9" ht="15.75" x14ac:dyDescent="0.25">
      <c r="A2411" s="51">
        <v>42815</v>
      </c>
      <c r="B2411" s="52" t="s">
        <v>10229</v>
      </c>
      <c r="C2411" s="18">
        <v>105189</v>
      </c>
      <c r="D2411" s="2" t="s">
        <v>122</v>
      </c>
      <c r="E2411" s="15">
        <v>511.1</v>
      </c>
      <c r="F2411" s="59">
        <v>42824</v>
      </c>
      <c r="G2411" s="15">
        <f t="shared" si="75"/>
        <v>511.1</v>
      </c>
      <c r="H2411" s="15">
        <f t="shared" si="76"/>
        <v>0</v>
      </c>
      <c r="I2411" s="19"/>
    </row>
    <row r="2412" spans="1:9" ht="15.75" x14ac:dyDescent="0.25">
      <c r="A2412" s="51">
        <v>42815</v>
      </c>
      <c r="B2412" s="52" t="s">
        <v>10230</v>
      </c>
      <c r="C2412" s="18">
        <v>105190</v>
      </c>
      <c r="D2412" s="2" t="s">
        <v>176</v>
      </c>
      <c r="E2412" s="15">
        <v>2930.4</v>
      </c>
      <c r="F2412" s="59">
        <v>42815</v>
      </c>
      <c r="G2412" s="15">
        <f t="shared" si="75"/>
        <v>2930.4</v>
      </c>
      <c r="H2412" s="15">
        <f t="shared" si="76"/>
        <v>0</v>
      </c>
      <c r="I2412" s="19"/>
    </row>
    <row r="2413" spans="1:9" ht="15.75" x14ac:dyDescent="0.25">
      <c r="A2413" s="51">
        <v>42815</v>
      </c>
      <c r="B2413" s="52" t="s">
        <v>10231</v>
      </c>
      <c r="C2413" s="18">
        <v>105191</v>
      </c>
      <c r="D2413" s="2" t="s">
        <v>12</v>
      </c>
      <c r="E2413" s="15">
        <v>1566</v>
      </c>
      <c r="F2413" s="59">
        <v>42815</v>
      </c>
      <c r="G2413" s="15">
        <f t="shared" si="75"/>
        <v>1566</v>
      </c>
      <c r="H2413" s="15">
        <f t="shared" si="76"/>
        <v>0</v>
      </c>
      <c r="I2413" s="19"/>
    </row>
    <row r="2414" spans="1:9" ht="15.75" x14ac:dyDescent="0.25">
      <c r="A2414" s="51">
        <v>42815</v>
      </c>
      <c r="B2414" s="52" t="s">
        <v>10232</v>
      </c>
      <c r="C2414" s="18">
        <v>105192</v>
      </c>
      <c r="D2414" s="2" t="s">
        <v>302</v>
      </c>
      <c r="E2414" s="15">
        <v>3974.4</v>
      </c>
      <c r="F2414" s="59">
        <v>42815</v>
      </c>
      <c r="G2414" s="15">
        <f t="shared" si="75"/>
        <v>3974.4</v>
      </c>
      <c r="H2414" s="15">
        <f t="shared" si="76"/>
        <v>0</v>
      </c>
      <c r="I2414" s="19"/>
    </row>
    <row r="2415" spans="1:9" ht="15.75" x14ac:dyDescent="0.25">
      <c r="A2415" s="51">
        <v>42815</v>
      </c>
      <c r="B2415" s="52" t="s">
        <v>10233</v>
      </c>
      <c r="C2415" s="18">
        <v>105193</v>
      </c>
      <c r="D2415" s="2" t="s">
        <v>305</v>
      </c>
      <c r="E2415" s="15">
        <v>3679.4</v>
      </c>
      <c r="F2415" s="59">
        <v>42822</v>
      </c>
      <c r="G2415" s="15">
        <f t="shared" si="75"/>
        <v>3679.4</v>
      </c>
      <c r="H2415" s="15">
        <f t="shared" si="76"/>
        <v>0</v>
      </c>
      <c r="I2415" s="19"/>
    </row>
    <row r="2416" spans="1:9" ht="15.75" x14ac:dyDescent="0.25">
      <c r="A2416" s="51">
        <v>42815</v>
      </c>
      <c r="B2416" s="52" t="s">
        <v>10234</v>
      </c>
      <c r="C2416" s="18">
        <v>105194</v>
      </c>
      <c r="D2416" s="2" t="s">
        <v>159</v>
      </c>
      <c r="E2416" s="15">
        <v>6114.3</v>
      </c>
      <c r="F2416" s="59">
        <v>42815</v>
      </c>
      <c r="G2416" s="15">
        <f t="shared" si="75"/>
        <v>6114.3</v>
      </c>
      <c r="H2416" s="15">
        <f t="shared" si="76"/>
        <v>0</v>
      </c>
      <c r="I2416" s="19"/>
    </row>
    <row r="2417" spans="1:9" ht="15.75" x14ac:dyDescent="0.25">
      <c r="A2417" s="51">
        <v>42815</v>
      </c>
      <c r="B2417" s="52" t="s">
        <v>10235</v>
      </c>
      <c r="C2417" s="18">
        <v>105195</v>
      </c>
      <c r="D2417" s="2" t="s">
        <v>476</v>
      </c>
      <c r="E2417" s="15">
        <v>16674.599999999999</v>
      </c>
      <c r="F2417" s="59">
        <v>43062</v>
      </c>
      <c r="G2417" s="15">
        <f t="shared" si="75"/>
        <v>16674.599999999999</v>
      </c>
      <c r="H2417" s="15">
        <f t="shared" si="76"/>
        <v>0</v>
      </c>
      <c r="I2417" s="19"/>
    </row>
    <row r="2418" spans="1:9" ht="15.75" x14ac:dyDescent="0.25">
      <c r="A2418" s="51">
        <v>42815</v>
      </c>
      <c r="B2418" s="52" t="s">
        <v>10236</v>
      </c>
      <c r="C2418" s="18">
        <v>105196</v>
      </c>
      <c r="D2418" s="2" t="s">
        <v>472</v>
      </c>
      <c r="E2418" s="15">
        <v>12063.2</v>
      </c>
      <c r="F2418" s="59">
        <v>42816</v>
      </c>
      <c r="G2418" s="15">
        <f t="shared" si="75"/>
        <v>12063.2</v>
      </c>
      <c r="H2418" s="15">
        <f t="shared" si="76"/>
        <v>0</v>
      </c>
      <c r="I2418" s="19"/>
    </row>
    <row r="2419" spans="1:9" ht="15.75" x14ac:dyDescent="0.25">
      <c r="A2419" s="51">
        <v>42815</v>
      </c>
      <c r="B2419" s="52" t="s">
        <v>10237</v>
      </c>
      <c r="C2419" s="18">
        <v>105197</v>
      </c>
      <c r="D2419" s="2" t="s">
        <v>30</v>
      </c>
      <c r="E2419" s="15">
        <v>2410.8000000000002</v>
      </c>
      <c r="F2419" s="59">
        <v>42815</v>
      </c>
      <c r="G2419" s="15">
        <f t="shared" si="75"/>
        <v>2410.8000000000002</v>
      </c>
      <c r="H2419" s="15">
        <f t="shared" si="76"/>
        <v>0</v>
      </c>
      <c r="I2419" s="19"/>
    </row>
    <row r="2420" spans="1:9" ht="15.75" x14ac:dyDescent="0.25">
      <c r="A2420" s="51">
        <v>42815</v>
      </c>
      <c r="B2420" s="52" t="s">
        <v>10238</v>
      </c>
      <c r="C2420" s="18">
        <v>105198</v>
      </c>
      <c r="D2420" s="2" t="s">
        <v>231</v>
      </c>
      <c r="E2420" s="15">
        <v>9054.5</v>
      </c>
      <c r="F2420" s="59">
        <v>42816</v>
      </c>
      <c r="G2420" s="15">
        <f t="shared" si="75"/>
        <v>9054.5</v>
      </c>
      <c r="H2420" s="15">
        <f t="shared" si="76"/>
        <v>0</v>
      </c>
      <c r="I2420" s="19"/>
    </row>
    <row r="2421" spans="1:9" ht="15.75" x14ac:dyDescent="0.25">
      <c r="A2421" s="51">
        <v>42815</v>
      </c>
      <c r="B2421" s="52" t="s">
        <v>10239</v>
      </c>
      <c r="C2421" s="18">
        <v>105199</v>
      </c>
      <c r="D2421" s="2" t="s">
        <v>10</v>
      </c>
      <c r="E2421" s="15">
        <v>243643.75</v>
      </c>
      <c r="F2421" s="59">
        <v>42791</v>
      </c>
      <c r="G2421" s="15">
        <f t="shared" si="75"/>
        <v>243643.75</v>
      </c>
      <c r="H2421" s="15">
        <f t="shared" si="76"/>
        <v>0</v>
      </c>
      <c r="I2421" s="19"/>
    </row>
    <row r="2422" spans="1:9" ht="15.75" x14ac:dyDescent="0.25">
      <c r="A2422" s="51">
        <v>42815</v>
      </c>
      <c r="B2422" s="52" t="s">
        <v>10240</v>
      </c>
      <c r="C2422" s="18">
        <v>105200</v>
      </c>
      <c r="D2422" s="2" t="s">
        <v>329</v>
      </c>
      <c r="E2422" s="15">
        <v>409.2</v>
      </c>
      <c r="F2422" s="59">
        <v>42815</v>
      </c>
      <c r="G2422" s="15">
        <f t="shared" si="75"/>
        <v>409.2</v>
      </c>
      <c r="H2422" s="15">
        <f t="shared" si="76"/>
        <v>0</v>
      </c>
      <c r="I2422" s="19"/>
    </row>
    <row r="2423" spans="1:9" ht="15.75" x14ac:dyDescent="0.25">
      <c r="A2423" s="51">
        <v>42815</v>
      </c>
      <c r="B2423" s="52" t="s">
        <v>10241</v>
      </c>
      <c r="C2423" s="18">
        <v>105201</v>
      </c>
      <c r="D2423" s="2" t="s">
        <v>2240</v>
      </c>
      <c r="E2423" s="15">
        <v>5262.8</v>
      </c>
      <c r="F2423" s="59">
        <v>42815</v>
      </c>
      <c r="G2423" s="15">
        <f t="shared" si="75"/>
        <v>5262.8</v>
      </c>
      <c r="H2423" s="15">
        <f t="shared" si="76"/>
        <v>0</v>
      </c>
      <c r="I2423" s="19"/>
    </row>
    <row r="2424" spans="1:9" ht="15.75" x14ac:dyDescent="0.25">
      <c r="A2424" s="51">
        <v>42815</v>
      </c>
      <c r="B2424" s="52" t="s">
        <v>10242</v>
      </c>
      <c r="C2424" s="18">
        <v>105202</v>
      </c>
      <c r="D2424" s="2" t="s">
        <v>341</v>
      </c>
      <c r="E2424" s="15">
        <v>16012.2</v>
      </c>
      <c r="F2424" s="59">
        <v>42815</v>
      </c>
      <c r="G2424" s="15">
        <f t="shared" si="75"/>
        <v>16012.2</v>
      </c>
      <c r="H2424" s="15">
        <f t="shared" si="76"/>
        <v>0</v>
      </c>
      <c r="I2424" s="19"/>
    </row>
    <row r="2425" spans="1:9" ht="15.75" x14ac:dyDescent="0.25">
      <c r="A2425" s="51">
        <v>42815</v>
      </c>
      <c r="B2425" s="52" t="s">
        <v>10243</v>
      </c>
      <c r="C2425" s="18">
        <v>105203</v>
      </c>
      <c r="D2425" s="2" t="s">
        <v>1666</v>
      </c>
      <c r="E2425" s="15">
        <v>5726.15</v>
      </c>
      <c r="F2425" s="59">
        <v>42815</v>
      </c>
      <c r="G2425" s="15">
        <f t="shared" si="75"/>
        <v>5726.15</v>
      </c>
      <c r="H2425" s="15">
        <f t="shared" si="76"/>
        <v>0</v>
      </c>
      <c r="I2425" s="19"/>
    </row>
    <row r="2426" spans="1:9" ht="15.75" x14ac:dyDescent="0.25">
      <c r="A2426" s="51">
        <v>42815</v>
      </c>
      <c r="B2426" s="52" t="s">
        <v>10244</v>
      </c>
      <c r="C2426" s="18">
        <v>105204</v>
      </c>
      <c r="D2426" s="2" t="s">
        <v>2986</v>
      </c>
      <c r="E2426" s="15">
        <v>3232.8</v>
      </c>
      <c r="F2426" s="59">
        <v>42815</v>
      </c>
      <c r="G2426" s="15">
        <f t="shared" si="75"/>
        <v>3232.8</v>
      </c>
      <c r="H2426" s="15">
        <f t="shared" si="76"/>
        <v>0</v>
      </c>
      <c r="I2426" s="19"/>
    </row>
    <row r="2427" spans="1:9" ht="15.75" x14ac:dyDescent="0.25">
      <c r="A2427" s="51">
        <v>42815</v>
      </c>
      <c r="B2427" s="52" t="s">
        <v>10245</v>
      </c>
      <c r="C2427" s="18">
        <v>105205</v>
      </c>
      <c r="D2427" s="2" t="s">
        <v>222</v>
      </c>
      <c r="E2427" s="15">
        <v>31184.799999999999</v>
      </c>
      <c r="F2427" s="59">
        <v>42818</v>
      </c>
      <c r="G2427" s="15">
        <f t="shared" si="75"/>
        <v>31184.799999999999</v>
      </c>
      <c r="H2427" s="15">
        <f t="shared" si="76"/>
        <v>0</v>
      </c>
      <c r="I2427" s="19"/>
    </row>
    <row r="2428" spans="1:9" ht="15.75" x14ac:dyDescent="0.25">
      <c r="A2428" s="51">
        <v>42815</v>
      </c>
      <c r="B2428" s="52" t="s">
        <v>10246</v>
      </c>
      <c r="C2428" s="18">
        <v>105206</v>
      </c>
      <c r="D2428" s="13" t="s">
        <v>1141</v>
      </c>
      <c r="E2428" s="14">
        <v>0</v>
      </c>
      <c r="F2428" s="102" t="s">
        <v>95</v>
      </c>
      <c r="G2428" s="14">
        <f t="shared" si="75"/>
        <v>0</v>
      </c>
      <c r="H2428" s="14">
        <f t="shared" si="76"/>
        <v>0</v>
      </c>
      <c r="I2428" s="19"/>
    </row>
    <row r="2429" spans="1:9" ht="15.75" x14ac:dyDescent="0.25">
      <c r="A2429" s="51">
        <v>42815</v>
      </c>
      <c r="B2429" s="52" t="s">
        <v>10247</v>
      </c>
      <c r="C2429" s="18">
        <v>105207</v>
      </c>
      <c r="D2429" s="2" t="s">
        <v>1141</v>
      </c>
      <c r="E2429" s="15">
        <v>255</v>
      </c>
      <c r="F2429" s="59">
        <v>42815</v>
      </c>
      <c r="G2429" s="15">
        <f t="shared" si="75"/>
        <v>255</v>
      </c>
      <c r="H2429" s="15">
        <f t="shared" si="76"/>
        <v>0</v>
      </c>
      <c r="I2429" s="19"/>
    </row>
    <row r="2430" spans="1:9" ht="15.75" x14ac:dyDescent="0.25">
      <c r="A2430" s="51">
        <v>42815</v>
      </c>
      <c r="B2430" s="52" t="s">
        <v>10248</v>
      </c>
      <c r="C2430" s="18">
        <v>105208</v>
      </c>
      <c r="D2430" s="2" t="s">
        <v>352</v>
      </c>
      <c r="E2430" s="15">
        <v>4257</v>
      </c>
      <c r="F2430" s="59">
        <v>42815</v>
      </c>
      <c r="G2430" s="15">
        <f t="shared" si="75"/>
        <v>4257</v>
      </c>
      <c r="H2430" s="15">
        <f t="shared" si="76"/>
        <v>0</v>
      </c>
      <c r="I2430" s="19"/>
    </row>
    <row r="2431" spans="1:9" ht="15.75" x14ac:dyDescent="0.25">
      <c r="A2431" s="51">
        <v>42815</v>
      </c>
      <c r="B2431" s="52" t="s">
        <v>10249</v>
      </c>
      <c r="C2431" s="18">
        <v>105209</v>
      </c>
      <c r="D2431" s="2" t="s">
        <v>118</v>
      </c>
      <c r="E2431" s="15">
        <v>32546.5</v>
      </c>
      <c r="F2431" s="59">
        <v>42815</v>
      </c>
      <c r="G2431" s="15">
        <f t="shared" si="75"/>
        <v>32546.5</v>
      </c>
      <c r="H2431" s="15">
        <f t="shared" si="76"/>
        <v>0</v>
      </c>
      <c r="I2431" s="19"/>
    </row>
    <row r="2432" spans="1:9" ht="15.75" x14ac:dyDescent="0.25">
      <c r="A2432" s="51">
        <v>42815</v>
      </c>
      <c r="B2432" s="52" t="s">
        <v>10250</v>
      </c>
      <c r="C2432" s="18">
        <v>105210</v>
      </c>
      <c r="D2432" s="2" t="s">
        <v>459</v>
      </c>
      <c r="E2432" s="15">
        <v>2251.1999999999998</v>
      </c>
      <c r="F2432" s="59">
        <v>42815</v>
      </c>
      <c r="G2432" s="15">
        <f t="shared" si="75"/>
        <v>2251.1999999999998</v>
      </c>
      <c r="H2432" s="15">
        <f t="shared" si="76"/>
        <v>0</v>
      </c>
      <c r="I2432" s="19"/>
    </row>
    <row r="2433" spans="1:9" ht="15.75" x14ac:dyDescent="0.25">
      <c r="A2433" s="51">
        <v>42815</v>
      </c>
      <c r="B2433" s="52" t="s">
        <v>10251</v>
      </c>
      <c r="C2433" s="18">
        <v>105211</v>
      </c>
      <c r="D2433" s="2" t="s">
        <v>205</v>
      </c>
      <c r="E2433" s="15">
        <v>31490.799999999999</v>
      </c>
      <c r="F2433" s="59">
        <v>42847</v>
      </c>
      <c r="G2433" s="15">
        <f t="shared" si="75"/>
        <v>31490.799999999999</v>
      </c>
      <c r="H2433" s="15">
        <f t="shared" si="76"/>
        <v>0</v>
      </c>
      <c r="I2433" s="19"/>
    </row>
    <row r="2434" spans="1:9" ht="15.75" x14ac:dyDescent="0.25">
      <c r="A2434" s="51">
        <v>42815</v>
      </c>
      <c r="B2434" s="52" t="s">
        <v>10252</v>
      </c>
      <c r="C2434" s="18">
        <v>105212</v>
      </c>
      <c r="D2434" s="13" t="s">
        <v>30</v>
      </c>
      <c r="E2434" s="14">
        <v>0</v>
      </c>
      <c r="F2434" s="102" t="s">
        <v>95</v>
      </c>
      <c r="G2434" s="14">
        <f t="shared" si="75"/>
        <v>0</v>
      </c>
      <c r="H2434" s="14">
        <f t="shared" si="76"/>
        <v>0</v>
      </c>
      <c r="I2434" s="19"/>
    </row>
    <row r="2435" spans="1:9" ht="15.75" x14ac:dyDescent="0.25">
      <c r="A2435" s="51">
        <v>42815</v>
      </c>
      <c r="B2435" s="52" t="s">
        <v>10253</v>
      </c>
      <c r="C2435" s="18">
        <v>105213</v>
      </c>
      <c r="D2435" s="2" t="s">
        <v>222</v>
      </c>
      <c r="E2435" s="15">
        <v>31276.6</v>
      </c>
      <c r="F2435" s="59">
        <v>42818</v>
      </c>
      <c r="G2435" s="15">
        <f t="shared" si="75"/>
        <v>31276.6</v>
      </c>
      <c r="H2435" s="15">
        <f t="shared" si="76"/>
        <v>0</v>
      </c>
      <c r="I2435" s="19"/>
    </row>
    <row r="2436" spans="1:9" ht="15.75" x14ac:dyDescent="0.25">
      <c r="A2436" s="51">
        <v>42815</v>
      </c>
      <c r="B2436" s="52" t="s">
        <v>10254</v>
      </c>
      <c r="C2436" s="18">
        <v>105214</v>
      </c>
      <c r="D2436" s="2" t="s">
        <v>159</v>
      </c>
      <c r="E2436" s="15">
        <v>2385</v>
      </c>
      <c r="F2436" s="59">
        <v>42815</v>
      </c>
      <c r="G2436" s="15">
        <f t="shared" ref="G2436:G2499" si="77">E2436</f>
        <v>2385</v>
      </c>
      <c r="H2436" s="15">
        <f t="shared" ref="H2436:H2499" si="78">E2436-G2436</f>
        <v>0</v>
      </c>
      <c r="I2436" s="19"/>
    </row>
    <row r="2437" spans="1:9" ht="15.75" x14ac:dyDescent="0.25">
      <c r="A2437" s="51">
        <v>42815</v>
      </c>
      <c r="B2437" s="52" t="s">
        <v>10255</v>
      </c>
      <c r="C2437" s="18">
        <v>105215</v>
      </c>
      <c r="D2437" s="2" t="s">
        <v>5113</v>
      </c>
      <c r="E2437" s="15">
        <v>5627.6</v>
      </c>
      <c r="F2437" s="59">
        <v>42815</v>
      </c>
      <c r="G2437" s="15">
        <f t="shared" si="77"/>
        <v>5627.6</v>
      </c>
      <c r="H2437" s="15">
        <f t="shared" si="78"/>
        <v>0</v>
      </c>
      <c r="I2437" s="19"/>
    </row>
    <row r="2438" spans="1:9" ht="15.75" x14ac:dyDescent="0.25">
      <c r="A2438" s="51">
        <v>42815</v>
      </c>
      <c r="B2438" s="52" t="s">
        <v>10256</v>
      </c>
      <c r="C2438" s="18">
        <v>105216</v>
      </c>
      <c r="D2438" s="2" t="s">
        <v>2616</v>
      </c>
      <c r="E2438" s="15">
        <v>8510.4</v>
      </c>
      <c r="F2438" s="59">
        <v>42818</v>
      </c>
      <c r="G2438" s="15">
        <f t="shared" si="77"/>
        <v>8510.4</v>
      </c>
      <c r="H2438" s="15">
        <f t="shared" si="78"/>
        <v>0</v>
      </c>
      <c r="I2438" s="19"/>
    </row>
    <row r="2439" spans="1:9" ht="15.75" x14ac:dyDescent="0.25">
      <c r="A2439" s="51">
        <v>42815</v>
      </c>
      <c r="B2439" s="52" t="s">
        <v>10257</v>
      </c>
      <c r="C2439" s="18">
        <v>105217</v>
      </c>
      <c r="D2439" s="2" t="s">
        <v>800</v>
      </c>
      <c r="E2439" s="15">
        <v>13802.7</v>
      </c>
      <c r="F2439" s="59">
        <v>42823</v>
      </c>
      <c r="G2439" s="15">
        <f t="shared" si="77"/>
        <v>13802.7</v>
      </c>
      <c r="H2439" s="15">
        <f t="shared" si="78"/>
        <v>0</v>
      </c>
      <c r="I2439" s="19"/>
    </row>
    <row r="2440" spans="1:9" ht="15.75" x14ac:dyDescent="0.25">
      <c r="A2440" s="51">
        <v>42815</v>
      </c>
      <c r="B2440" s="52" t="s">
        <v>10258</v>
      </c>
      <c r="C2440" s="18">
        <v>105218</v>
      </c>
      <c r="D2440" s="2" t="s">
        <v>182</v>
      </c>
      <c r="E2440" s="15">
        <v>3840</v>
      </c>
      <c r="F2440" s="59">
        <v>42818</v>
      </c>
      <c r="G2440" s="15">
        <f t="shared" si="77"/>
        <v>3840</v>
      </c>
      <c r="H2440" s="15">
        <f t="shared" si="78"/>
        <v>0</v>
      </c>
      <c r="I2440" s="19"/>
    </row>
    <row r="2441" spans="1:9" ht="15.75" x14ac:dyDescent="0.25">
      <c r="A2441" s="51">
        <v>42815</v>
      </c>
      <c r="B2441" s="52" t="s">
        <v>10259</v>
      </c>
      <c r="C2441" s="18">
        <v>105219</v>
      </c>
      <c r="D2441" s="2" t="s">
        <v>193</v>
      </c>
      <c r="E2441" s="15">
        <v>2049.6</v>
      </c>
      <c r="F2441" s="59">
        <v>42818</v>
      </c>
      <c r="G2441" s="15">
        <f t="shared" si="77"/>
        <v>2049.6</v>
      </c>
      <c r="H2441" s="15">
        <f t="shared" si="78"/>
        <v>0</v>
      </c>
      <c r="I2441" s="19"/>
    </row>
    <row r="2442" spans="1:9" ht="15.75" x14ac:dyDescent="0.25">
      <c r="A2442" s="51">
        <v>42815</v>
      </c>
      <c r="B2442" s="52" t="s">
        <v>10260</v>
      </c>
      <c r="C2442" s="18">
        <v>105220</v>
      </c>
      <c r="D2442" s="2" t="s">
        <v>182</v>
      </c>
      <c r="E2442" s="15">
        <v>2793.6</v>
      </c>
      <c r="F2442" s="59">
        <v>42818</v>
      </c>
      <c r="G2442" s="15">
        <f t="shared" si="77"/>
        <v>2793.6</v>
      </c>
      <c r="H2442" s="15">
        <f t="shared" si="78"/>
        <v>0</v>
      </c>
      <c r="I2442" s="19"/>
    </row>
    <row r="2443" spans="1:9" ht="15.75" x14ac:dyDescent="0.25">
      <c r="A2443" s="51">
        <v>42815</v>
      </c>
      <c r="B2443" s="52" t="s">
        <v>10261</v>
      </c>
      <c r="C2443" s="18">
        <v>105221</v>
      </c>
      <c r="D2443" s="2" t="s">
        <v>188</v>
      </c>
      <c r="E2443" s="15">
        <v>2826</v>
      </c>
      <c r="F2443" s="59">
        <v>42818</v>
      </c>
      <c r="G2443" s="15">
        <f t="shared" si="77"/>
        <v>2826</v>
      </c>
      <c r="H2443" s="15">
        <f t="shared" si="78"/>
        <v>0</v>
      </c>
      <c r="I2443" s="19"/>
    </row>
    <row r="2444" spans="1:9" ht="15.75" x14ac:dyDescent="0.25">
      <c r="A2444" s="51">
        <v>42815</v>
      </c>
      <c r="B2444" s="52" t="s">
        <v>10262</v>
      </c>
      <c r="C2444" s="18">
        <v>105222</v>
      </c>
      <c r="D2444" s="2" t="s">
        <v>3997</v>
      </c>
      <c r="E2444" s="15">
        <v>3952</v>
      </c>
      <c r="F2444" s="59">
        <v>42816</v>
      </c>
      <c r="G2444" s="15">
        <f t="shared" si="77"/>
        <v>3952</v>
      </c>
      <c r="H2444" s="15">
        <f t="shared" si="78"/>
        <v>0</v>
      </c>
      <c r="I2444" s="19"/>
    </row>
    <row r="2445" spans="1:9" ht="15.75" x14ac:dyDescent="0.25">
      <c r="A2445" s="51">
        <v>42815</v>
      </c>
      <c r="B2445" s="52" t="s">
        <v>10263</v>
      </c>
      <c r="C2445" s="18">
        <v>105223</v>
      </c>
      <c r="D2445" s="2" t="s">
        <v>115</v>
      </c>
      <c r="E2445" s="15">
        <v>965.6</v>
      </c>
      <c r="F2445" s="59">
        <v>42815</v>
      </c>
      <c r="G2445" s="15">
        <f t="shared" si="77"/>
        <v>965.6</v>
      </c>
      <c r="H2445" s="15">
        <f t="shared" si="78"/>
        <v>0</v>
      </c>
      <c r="I2445" s="19"/>
    </row>
    <row r="2446" spans="1:9" ht="15.75" x14ac:dyDescent="0.25">
      <c r="A2446" s="51">
        <v>42815</v>
      </c>
      <c r="B2446" s="52" t="s">
        <v>10264</v>
      </c>
      <c r="C2446" s="18">
        <v>105224</v>
      </c>
      <c r="D2446" s="2" t="s">
        <v>115</v>
      </c>
      <c r="E2446" s="15">
        <v>8583.1</v>
      </c>
      <c r="F2446" s="59">
        <v>42826</v>
      </c>
      <c r="G2446" s="15">
        <f t="shared" si="77"/>
        <v>8583.1</v>
      </c>
      <c r="H2446" s="15">
        <f t="shared" si="78"/>
        <v>0</v>
      </c>
      <c r="I2446" s="19"/>
    </row>
    <row r="2447" spans="1:9" ht="15.75" x14ac:dyDescent="0.25">
      <c r="A2447" s="51">
        <v>42815</v>
      </c>
      <c r="B2447" s="52" t="s">
        <v>10265</v>
      </c>
      <c r="C2447" s="18">
        <v>105225</v>
      </c>
      <c r="D2447" s="2" t="s">
        <v>10</v>
      </c>
      <c r="E2447" s="15">
        <v>210020.4</v>
      </c>
      <c r="F2447" s="59">
        <v>42791</v>
      </c>
      <c r="G2447" s="15">
        <f t="shared" si="77"/>
        <v>210020.4</v>
      </c>
      <c r="H2447" s="15">
        <f t="shared" si="78"/>
        <v>0</v>
      </c>
      <c r="I2447" s="19"/>
    </row>
    <row r="2448" spans="1:9" ht="15.75" x14ac:dyDescent="0.25">
      <c r="A2448" s="51">
        <v>42815</v>
      </c>
      <c r="B2448" s="52" t="s">
        <v>10266</v>
      </c>
      <c r="C2448" s="18">
        <v>105226</v>
      </c>
      <c r="D2448" s="2" t="s">
        <v>509</v>
      </c>
      <c r="E2448" s="15">
        <v>13500</v>
      </c>
      <c r="F2448" s="59">
        <v>42823</v>
      </c>
      <c r="G2448" s="15">
        <f t="shared" si="77"/>
        <v>13500</v>
      </c>
      <c r="H2448" s="15">
        <f t="shared" si="78"/>
        <v>0</v>
      </c>
      <c r="I2448" s="19"/>
    </row>
    <row r="2449" spans="1:9" ht="15.75" x14ac:dyDescent="0.25">
      <c r="A2449" s="51">
        <v>42815</v>
      </c>
      <c r="B2449" s="52" t="s">
        <v>10267</v>
      </c>
      <c r="C2449" s="18">
        <v>105227</v>
      </c>
      <c r="D2449" s="2" t="s">
        <v>220</v>
      </c>
      <c r="E2449" s="15">
        <v>1627.4</v>
      </c>
      <c r="F2449" s="59">
        <v>42815</v>
      </c>
      <c r="G2449" s="15">
        <f t="shared" si="77"/>
        <v>1627.4</v>
      </c>
      <c r="H2449" s="15">
        <f t="shared" si="78"/>
        <v>0</v>
      </c>
      <c r="I2449" s="19"/>
    </row>
    <row r="2450" spans="1:9" ht="15.75" x14ac:dyDescent="0.25">
      <c r="A2450" s="51">
        <v>42815</v>
      </c>
      <c r="B2450" s="52" t="s">
        <v>10268</v>
      </c>
      <c r="C2450" s="18">
        <v>105228</v>
      </c>
      <c r="D2450" s="2" t="s">
        <v>921</v>
      </c>
      <c r="E2450" s="15">
        <v>4155.8999999999996</v>
      </c>
      <c r="F2450" s="59">
        <v>42815</v>
      </c>
      <c r="G2450" s="15">
        <f t="shared" si="77"/>
        <v>4155.8999999999996</v>
      </c>
      <c r="H2450" s="15">
        <f t="shared" si="78"/>
        <v>0</v>
      </c>
      <c r="I2450" s="19"/>
    </row>
    <row r="2451" spans="1:9" ht="15.75" x14ac:dyDescent="0.25">
      <c r="A2451" s="51">
        <v>42815</v>
      </c>
      <c r="B2451" s="52" t="s">
        <v>10269</v>
      </c>
      <c r="C2451" s="18">
        <v>105229</v>
      </c>
      <c r="D2451" s="2" t="s">
        <v>55</v>
      </c>
      <c r="E2451" s="15">
        <v>8780</v>
      </c>
      <c r="F2451" s="59">
        <v>42815</v>
      </c>
      <c r="G2451" s="15">
        <f t="shared" si="77"/>
        <v>8780</v>
      </c>
      <c r="H2451" s="15">
        <f t="shared" si="78"/>
        <v>0</v>
      </c>
      <c r="I2451" s="19"/>
    </row>
    <row r="2452" spans="1:9" ht="15.75" x14ac:dyDescent="0.25">
      <c r="A2452" s="51">
        <v>42815</v>
      </c>
      <c r="B2452" s="52" t="s">
        <v>10270</v>
      </c>
      <c r="C2452" s="18">
        <v>105230</v>
      </c>
      <c r="D2452" s="2" t="s">
        <v>205</v>
      </c>
      <c r="E2452" s="15">
        <v>3755.6</v>
      </c>
      <c r="F2452" s="59">
        <v>42815</v>
      </c>
      <c r="G2452" s="15">
        <f t="shared" si="77"/>
        <v>3755.6</v>
      </c>
      <c r="H2452" s="15">
        <f t="shared" si="78"/>
        <v>0</v>
      </c>
      <c r="I2452" s="19"/>
    </row>
    <row r="2453" spans="1:9" ht="15.75" x14ac:dyDescent="0.25">
      <c r="A2453" s="51">
        <v>42815</v>
      </c>
      <c r="B2453" s="52" t="s">
        <v>10271</v>
      </c>
      <c r="C2453" s="18">
        <v>105231</v>
      </c>
      <c r="D2453" s="2" t="s">
        <v>122</v>
      </c>
      <c r="E2453" s="15">
        <v>5804.5</v>
      </c>
      <c r="F2453" s="59">
        <v>42829</v>
      </c>
      <c r="G2453" s="15">
        <f t="shared" si="77"/>
        <v>5804.5</v>
      </c>
      <c r="H2453" s="15">
        <f t="shared" si="78"/>
        <v>0</v>
      </c>
      <c r="I2453" s="19"/>
    </row>
    <row r="2454" spans="1:9" ht="15.75" x14ac:dyDescent="0.25">
      <c r="A2454" s="51">
        <v>42815</v>
      </c>
      <c r="B2454" s="52" t="s">
        <v>10272</v>
      </c>
      <c r="C2454" s="18">
        <v>105232</v>
      </c>
      <c r="D2454" s="2" t="s">
        <v>7147</v>
      </c>
      <c r="E2454" s="15">
        <v>8291.2000000000007</v>
      </c>
      <c r="F2454" s="59">
        <v>42816</v>
      </c>
      <c r="G2454" s="15">
        <f t="shared" si="77"/>
        <v>8291.2000000000007</v>
      </c>
      <c r="H2454" s="15">
        <f t="shared" si="78"/>
        <v>0</v>
      </c>
      <c r="I2454" s="19"/>
    </row>
    <row r="2455" spans="1:9" ht="15.75" x14ac:dyDescent="0.25">
      <c r="A2455" s="51">
        <v>42816</v>
      </c>
      <c r="B2455" s="52" t="s">
        <v>10273</v>
      </c>
      <c r="C2455" s="18">
        <v>105233</v>
      </c>
      <c r="D2455" s="2" t="s">
        <v>374</v>
      </c>
      <c r="E2455" s="15">
        <v>1366.2</v>
      </c>
      <c r="F2455" s="59">
        <v>42816</v>
      </c>
      <c r="G2455" s="15">
        <f t="shared" si="77"/>
        <v>1366.2</v>
      </c>
      <c r="H2455" s="15">
        <f t="shared" si="78"/>
        <v>0</v>
      </c>
      <c r="I2455" s="19"/>
    </row>
    <row r="2456" spans="1:9" ht="15.75" x14ac:dyDescent="0.25">
      <c r="A2456" s="51">
        <v>42816</v>
      </c>
      <c r="B2456" s="52" t="s">
        <v>10274</v>
      </c>
      <c r="C2456" s="18">
        <v>105234</v>
      </c>
      <c r="D2456" s="2" t="s">
        <v>231</v>
      </c>
      <c r="E2456" s="15">
        <v>6409</v>
      </c>
      <c r="F2456" s="59">
        <v>42820</v>
      </c>
      <c r="G2456" s="15">
        <f t="shared" si="77"/>
        <v>6409</v>
      </c>
      <c r="H2456" s="15">
        <f t="shared" si="78"/>
        <v>0</v>
      </c>
      <c r="I2456" s="19"/>
    </row>
    <row r="2457" spans="1:9" ht="15.75" x14ac:dyDescent="0.25">
      <c r="A2457" s="51">
        <v>42816</v>
      </c>
      <c r="B2457" s="52" t="s">
        <v>10275</v>
      </c>
      <c r="C2457" s="18">
        <v>105235</v>
      </c>
      <c r="D2457" s="2" t="s">
        <v>26</v>
      </c>
      <c r="E2457" s="15">
        <v>11899.2</v>
      </c>
      <c r="F2457" s="59">
        <v>42816</v>
      </c>
      <c r="G2457" s="15">
        <f t="shared" si="77"/>
        <v>11899.2</v>
      </c>
      <c r="H2457" s="15">
        <f t="shared" si="78"/>
        <v>0</v>
      </c>
      <c r="I2457" s="19"/>
    </row>
    <row r="2458" spans="1:9" ht="15.75" x14ac:dyDescent="0.25">
      <c r="A2458" s="51">
        <v>42816</v>
      </c>
      <c r="B2458" s="52" t="s">
        <v>10276</v>
      </c>
      <c r="C2458" s="18">
        <v>105236</v>
      </c>
      <c r="D2458" s="2" t="s">
        <v>231</v>
      </c>
      <c r="E2458" s="15">
        <v>32135.4</v>
      </c>
      <c r="F2458" s="59">
        <v>43062</v>
      </c>
      <c r="G2458" s="15">
        <f t="shared" si="77"/>
        <v>32135.4</v>
      </c>
      <c r="H2458" s="15">
        <f t="shared" si="78"/>
        <v>0</v>
      </c>
      <c r="I2458" s="19"/>
    </row>
    <row r="2459" spans="1:9" ht="15.75" x14ac:dyDescent="0.25">
      <c r="A2459" s="51">
        <v>42816</v>
      </c>
      <c r="B2459" s="52" t="s">
        <v>10277</v>
      </c>
      <c r="C2459" s="18">
        <v>105237</v>
      </c>
      <c r="D2459" s="2" t="s">
        <v>17</v>
      </c>
      <c r="E2459" s="15">
        <v>2160</v>
      </c>
      <c r="F2459" s="59">
        <v>42816</v>
      </c>
      <c r="G2459" s="15">
        <f t="shared" si="77"/>
        <v>2160</v>
      </c>
      <c r="H2459" s="15">
        <f t="shared" si="78"/>
        <v>0</v>
      </c>
      <c r="I2459" s="19"/>
    </row>
    <row r="2460" spans="1:9" ht="15.75" x14ac:dyDescent="0.25">
      <c r="A2460" s="51">
        <v>42816</v>
      </c>
      <c r="B2460" s="52" t="s">
        <v>10278</v>
      </c>
      <c r="C2460" s="18">
        <v>105238</v>
      </c>
      <c r="D2460" s="2" t="s">
        <v>30</v>
      </c>
      <c r="E2460" s="15">
        <v>2855</v>
      </c>
      <c r="F2460" s="59">
        <v>42816</v>
      </c>
      <c r="G2460" s="15">
        <f t="shared" si="77"/>
        <v>2855</v>
      </c>
      <c r="H2460" s="15">
        <f t="shared" si="78"/>
        <v>0</v>
      </c>
      <c r="I2460" s="19"/>
    </row>
    <row r="2461" spans="1:9" ht="15.75" x14ac:dyDescent="0.25">
      <c r="A2461" s="51">
        <v>42816</v>
      </c>
      <c r="B2461" s="52" t="s">
        <v>10279</v>
      </c>
      <c r="C2461" s="18">
        <v>105239</v>
      </c>
      <c r="D2461" s="2" t="s">
        <v>222</v>
      </c>
      <c r="E2461" s="15">
        <v>79370.95</v>
      </c>
      <c r="F2461" s="59">
        <v>42823</v>
      </c>
      <c r="G2461" s="15">
        <f t="shared" si="77"/>
        <v>79370.95</v>
      </c>
      <c r="H2461" s="15">
        <f t="shared" si="78"/>
        <v>0</v>
      </c>
      <c r="I2461" s="19"/>
    </row>
    <row r="2462" spans="1:9" ht="15.75" x14ac:dyDescent="0.25">
      <c r="A2462" s="51">
        <v>42816</v>
      </c>
      <c r="B2462" s="52" t="s">
        <v>10280</v>
      </c>
      <c r="C2462" s="18">
        <v>105240</v>
      </c>
      <c r="D2462" s="2" t="s">
        <v>250</v>
      </c>
      <c r="E2462" s="15">
        <v>3503.3</v>
      </c>
      <c r="F2462" s="59">
        <v>43062</v>
      </c>
      <c r="G2462" s="15">
        <f t="shared" si="77"/>
        <v>3503.3</v>
      </c>
      <c r="H2462" s="15">
        <f t="shared" si="78"/>
        <v>0</v>
      </c>
      <c r="I2462" s="19"/>
    </row>
    <row r="2463" spans="1:9" ht="15.75" x14ac:dyDescent="0.25">
      <c r="A2463" s="51">
        <v>42816</v>
      </c>
      <c r="B2463" s="52" t="s">
        <v>10281</v>
      </c>
      <c r="C2463" s="18">
        <v>105241</v>
      </c>
      <c r="D2463" s="2" t="s">
        <v>35</v>
      </c>
      <c r="E2463" s="15">
        <v>9225.2999999999993</v>
      </c>
      <c r="F2463" s="59">
        <v>43062</v>
      </c>
      <c r="G2463" s="15">
        <f t="shared" si="77"/>
        <v>9225.2999999999993</v>
      </c>
      <c r="H2463" s="15">
        <f t="shared" si="78"/>
        <v>0</v>
      </c>
      <c r="I2463" s="19"/>
    </row>
    <row r="2464" spans="1:9" ht="15.75" x14ac:dyDescent="0.25">
      <c r="A2464" s="51">
        <v>42816</v>
      </c>
      <c r="B2464" s="52" t="s">
        <v>10282</v>
      </c>
      <c r="C2464" s="18">
        <v>105242</v>
      </c>
      <c r="D2464" s="2" t="s">
        <v>47</v>
      </c>
      <c r="E2464" s="15">
        <v>3624.9</v>
      </c>
      <c r="F2464" s="59">
        <v>42816</v>
      </c>
      <c r="G2464" s="15">
        <f t="shared" si="77"/>
        <v>3624.9</v>
      </c>
      <c r="H2464" s="15">
        <f t="shared" si="78"/>
        <v>0</v>
      </c>
      <c r="I2464" s="19"/>
    </row>
    <row r="2465" spans="1:9" ht="15.75" x14ac:dyDescent="0.25">
      <c r="A2465" s="51">
        <v>42816</v>
      </c>
      <c r="B2465" s="52" t="s">
        <v>10283</v>
      </c>
      <c r="C2465" s="18">
        <v>105243</v>
      </c>
      <c r="D2465" s="2" t="s">
        <v>32</v>
      </c>
      <c r="E2465" s="15">
        <v>5947.8</v>
      </c>
      <c r="F2465" s="59">
        <v>42824</v>
      </c>
      <c r="G2465" s="15">
        <f t="shared" si="77"/>
        <v>5947.8</v>
      </c>
      <c r="H2465" s="15">
        <f t="shared" si="78"/>
        <v>0</v>
      </c>
      <c r="I2465" s="19"/>
    </row>
    <row r="2466" spans="1:9" ht="15.75" x14ac:dyDescent="0.25">
      <c r="A2466" s="51">
        <v>42816</v>
      </c>
      <c r="B2466" s="52" t="s">
        <v>10284</v>
      </c>
      <c r="C2466" s="18">
        <v>105244</v>
      </c>
      <c r="D2466" s="2" t="s">
        <v>38</v>
      </c>
      <c r="E2466" s="15">
        <v>3118.8</v>
      </c>
      <c r="F2466" s="59">
        <v>42821</v>
      </c>
      <c r="G2466" s="15">
        <f t="shared" si="77"/>
        <v>3118.8</v>
      </c>
      <c r="H2466" s="15">
        <f t="shared" si="78"/>
        <v>0</v>
      </c>
      <c r="I2466" s="19"/>
    </row>
    <row r="2467" spans="1:9" ht="15.75" x14ac:dyDescent="0.25">
      <c r="A2467" s="51">
        <v>42816</v>
      </c>
      <c r="B2467" s="52" t="s">
        <v>10285</v>
      </c>
      <c r="C2467" s="18">
        <v>105245</v>
      </c>
      <c r="D2467" s="2" t="s">
        <v>43</v>
      </c>
      <c r="E2467" s="15">
        <v>2203.1999999999998</v>
      </c>
      <c r="F2467" s="59">
        <v>42818</v>
      </c>
      <c r="G2467" s="15">
        <f t="shared" si="77"/>
        <v>2203.1999999999998</v>
      </c>
      <c r="H2467" s="15">
        <f t="shared" si="78"/>
        <v>0</v>
      </c>
      <c r="I2467" s="19"/>
    </row>
    <row r="2468" spans="1:9" ht="15.75" x14ac:dyDescent="0.25">
      <c r="A2468" s="51">
        <v>42816</v>
      </c>
      <c r="B2468" s="52" t="s">
        <v>10286</v>
      </c>
      <c r="C2468" s="18">
        <v>105246</v>
      </c>
      <c r="D2468" s="2" t="s">
        <v>49</v>
      </c>
      <c r="E2468" s="15">
        <v>10941.2</v>
      </c>
      <c r="F2468" s="59">
        <v>42821</v>
      </c>
      <c r="G2468" s="15">
        <f t="shared" si="77"/>
        <v>10941.2</v>
      </c>
      <c r="H2468" s="15">
        <f t="shared" si="78"/>
        <v>0</v>
      </c>
      <c r="I2468" s="19"/>
    </row>
    <row r="2469" spans="1:9" ht="15.75" x14ac:dyDescent="0.25">
      <c r="A2469" s="51">
        <v>42816</v>
      </c>
      <c r="B2469" s="52" t="s">
        <v>10287</v>
      </c>
      <c r="C2469" s="18">
        <v>105247</v>
      </c>
      <c r="D2469" s="2" t="s">
        <v>40</v>
      </c>
      <c r="E2469" s="15">
        <v>163.19999999999999</v>
      </c>
      <c r="F2469" s="59">
        <v>43062</v>
      </c>
      <c r="G2469" s="15">
        <f t="shared" si="77"/>
        <v>163.19999999999999</v>
      </c>
      <c r="H2469" s="15">
        <f t="shared" si="78"/>
        <v>0</v>
      </c>
      <c r="I2469" s="19"/>
    </row>
    <row r="2470" spans="1:9" ht="15.75" x14ac:dyDescent="0.25">
      <c r="A2470" s="51">
        <v>42816</v>
      </c>
      <c r="B2470" s="52" t="s">
        <v>10288</v>
      </c>
      <c r="C2470" s="18">
        <v>105248</v>
      </c>
      <c r="D2470" s="2" t="s">
        <v>253</v>
      </c>
      <c r="E2470" s="15">
        <v>3617.4</v>
      </c>
      <c r="F2470" s="59">
        <v>42821</v>
      </c>
      <c r="G2470" s="15">
        <f t="shared" si="77"/>
        <v>3617.4</v>
      </c>
      <c r="H2470" s="15">
        <f t="shared" si="78"/>
        <v>0</v>
      </c>
      <c r="I2470" s="19"/>
    </row>
    <row r="2471" spans="1:9" ht="15.75" x14ac:dyDescent="0.25">
      <c r="A2471" s="51">
        <v>42816</v>
      </c>
      <c r="B2471" s="52" t="s">
        <v>10289</v>
      </c>
      <c r="C2471" s="18">
        <v>105249</v>
      </c>
      <c r="D2471" s="2" t="s">
        <v>8294</v>
      </c>
      <c r="E2471" s="15">
        <v>3085.6</v>
      </c>
      <c r="F2471" s="59">
        <v>42816</v>
      </c>
      <c r="G2471" s="15">
        <f t="shared" si="77"/>
        <v>3085.6</v>
      </c>
      <c r="H2471" s="15">
        <f t="shared" si="78"/>
        <v>0</v>
      </c>
      <c r="I2471" s="19"/>
    </row>
    <row r="2472" spans="1:9" ht="15.75" x14ac:dyDescent="0.25">
      <c r="A2472" s="51">
        <v>42816</v>
      </c>
      <c r="B2472" s="52" t="s">
        <v>10290</v>
      </c>
      <c r="C2472" s="18">
        <v>105250</v>
      </c>
      <c r="D2472" s="2" t="s">
        <v>157</v>
      </c>
      <c r="E2472" s="15">
        <v>18672.400000000001</v>
      </c>
      <c r="F2472" s="59">
        <v>42816</v>
      </c>
      <c r="G2472" s="15">
        <f t="shared" si="77"/>
        <v>18672.400000000001</v>
      </c>
      <c r="H2472" s="15">
        <f t="shared" si="78"/>
        <v>0</v>
      </c>
      <c r="I2472" s="19"/>
    </row>
    <row r="2473" spans="1:9" ht="15.75" x14ac:dyDescent="0.25">
      <c r="A2473" s="51">
        <v>42816</v>
      </c>
      <c r="B2473" s="52" t="s">
        <v>10291</v>
      </c>
      <c r="C2473" s="18">
        <v>105251</v>
      </c>
      <c r="D2473" s="2" t="s">
        <v>1786</v>
      </c>
      <c r="E2473" s="15">
        <v>5087.6000000000004</v>
      </c>
      <c r="F2473" s="59">
        <v>42816</v>
      </c>
      <c r="G2473" s="15">
        <f t="shared" si="77"/>
        <v>5087.6000000000004</v>
      </c>
      <c r="H2473" s="15">
        <f t="shared" si="78"/>
        <v>0</v>
      </c>
      <c r="I2473" s="19"/>
    </row>
    <row r="2474" spans="1:9" ht="15.75" x14ac:dyDescent="0.25">
      <c r="A2474" s="51">
        <v>42816</v>
      </c>
      <c r="B2474" s="52" t="s">
        <v>10292</v>
      </c>
      <c r="C2474" s="18">
        <v>105252</v>
      </c>
      <c r="D2474" s="2" t="s">
        <v>21</v>
      </c>
      <c r="E2474" s="15">
        <v>54777</v>
      </c>
      <c r="F2474" s="59">
        <v>42832</v>
      </c>
      <c r="G2474" s="15">
        <f t="shared" si="77"/>
        <v>54777</v>
      </c>
      <c r="H2474" s="15">
        <f t="shared" si="78"/>
        <v>0</v>
      </c>
      <c r="I2474" s="19"/>
    </row>
    <row r="2475" spans="1:9" ht="15.75" x14ac:dyDescent="0.25">
      <c r="A2475" s="51">
        <v>42816</v>
      </c>
      <c r="B2475" s="52" t="s">
        <v>10293</v>
      </c>
      <c r="C2475" s="18">
        <v>105253</v>
      </c>
      <c r="D2475" s="2" t="s">
        <v>430</v>
      </c>
      <c r="E2475" s="15">
        <v>2057</v>
      </c>
      <c r="F2475" s="59">
        <v>42816</v>
      </c>
      <c r="G2475" s="15">
        <f t="shared" si="77"/>
        <v>2057</v>
      </c>
      <c r="H2475" s="15">
        <f t="shared" si="78"/>
        <v>0</v>
      </c>
      <c r="I2475" s="19"/>
    </row>
    <row r="2476" spans="1:9" ht="15.75" x14ac:dyDescent="0.25">
      <c r="A2476" s="51">
        <v>42816</v>
      </c>
      <c r="B2476" s="52" t="s">
        <v>10294</v>
      </c>
      <c r="C2476" s="18">
        <v>105254</v>
      </c>
      <c r="D2476" s="13" t="s">
        <v>240</v>
      </c>
      <c r="E2476" s="14">
        <v>0</v>
      </c>
      <c r="F2476" s="102" t="s">
        <v>95</v>
      </c>
      <c r="G2476" s="14">
        <f t="shared" si="77"/>
        <v>0</v>
      </c>
      <c r="H2476" s="14">
        <f t="shared" si="78"/>
        <v>0</v>
      </c>
      <c r="I2476" s="19"/>
    </row>
    <row r="2477" spans="1:9" ht="15.75" x14ac:dyDescent="0.25">
      <c r="A2477" s="51">
        <v>42816</v>
      </c>
      <c r="B2477" s="52" t="s">
        <v>10295</v>
      </c>
      <c r="C2477" s="18">
        <v>105255</v>
      </c>
      <c r="D2477" s="2" t="s">
        <v>240</v>
      </c>
      <c r="E2477" s="15">
        <v>9547.7999999999993</v>
      </c>
      <c r="F2477" s="59">
        <v>42816</v>
      </c>
      <c r="G2477" s="15">
        <f t="shared" si="77"/>
        <v>9547.7999999999993</v>
      </c>
      <c r="H2477" s="15">
        <f t="shared" si="78"/>
        <v>0</v>
      </c>
      <c r="I2477" s="19"/>
    </row>
    <row r="2478" spans="1:9" ht="15.75" x14ac:dyDescent="0.25">
      <c r="A2478" s="51">
        <v>42816</v>
      </c>
      <c r="B2478" s="52" t="s">
        <v>10296</v>
      </c>
      <c r="C2478" s="18">
        <v>105256</v>
      </c>
      <c r="D2478" s="2" t="s">
        <v>432</v>
      </c>
      <c r="E2478" s="15">
        <v>14721.3</v>
      </c>
      <c r="F2478" s="59">
        <v>42818</v>
      </c>
      <c r="G2478" s="15">
        <f t="shared" si="77"/>
        <v>14721.3</v>
      </c>
      <c r="H2478" s="15">
        <f t="shared" si="78"/>
        <v>0</v>
      </c>
      <c r="I2478" s="19"/>
    </row>
    <row r="2479" spans="1:9" ht="15.75" x14ac:dyDescent="0.25">
      <c r="A2479" s="51">
        <v>42816</v>
      </c>
      <c r="B2479" s="52" t="s">
        <v>10297</v>
      </c>
      <c r="C2479" s="18">
        <v>105257</v>
      </c>
      <c r="D2479" s="2" t="s">
        <v>435</v>
      </c>
      <c r="E2479" s="15">
        <v>3187.8</v>
      </c>
      <c r="F2479" s="59">
        <v>42818</v>
      </c>
      <c r="G2479" s="15">
        <f t="shared" si="77"/>
        <v>3187.8</v>
      </c>
      <c r="H2479" s="15">
        <f t="shared" si="78"/>
        <v>0</v>
      </c>
      <c r="I2479" s="19"/>
    </row>
    <row r="2480" spans="1:9" ht="15.75" x14ac:dyDescent="0.25">
      <c r="A2480" s="51">
        <v>42816</v>
      </c>
      <c r="B2480" s="52" t="s">
        <v>10298</v>
      </c>
      <c r="C2480" s="18">
        <v>105258</v>
      </c>
      <c r="D2480" s="2" t="s">
        <v>274</v>
      </c>
      <c r="E2480" s="15">
        <v>6392</v>
      </c>
      <c r="F2480" s="59">
        <v>42823</v>
      </c>
      <c r="G2480" s="15">
        <f t="shared" si="77"/>
        <v>6392</v>
      </c>
      <c r="H2480" s="15">
        <f t="shared" si="78"/>
        <v>0</v>
      </c>
      <c r="I2480" s="19"/>
    </row>
    <row r="2481" spans="1:9" ht="15.75" x14ac:dyDescent="0.25">
      <c r="A2481" s="51">
        <v>42816</v>
      </c>
      <c r="B2481" s="52" t="s">
        <v>10299</v>
      </c>
      <c r="C2481" s="18">
        <v>105259</v>
      </c>
      <c r="D2481" s="2" t="s">
        <v>268</v>
      </c>
      <c r="E2481" s="15">
        <v>8506.2999999999993</v>
      </c>
      <c r="F2481" s="59">
        <v>42818</v>
      </c>
      <c r="G2481" s="15">
        <f t="shared" si="77"/>
        <v>8506.2999999999993</v>
      </c>
      <c r="H2481" s="15">
        <f t="shared" si="78"/>
        <v>0</v>
      </c>
      <c r="I2481" s="19"/>
    </row>
    <row r="2482" spans="1:9" ht="15.75" x14ac:dyDescent="0.25">
      <c r="A2482" s="51">
        <v>42816</v>
      </c>
      <c r="B2482" s="52" t="s">
        <v>10300</v>
      </c>
      <c r="C2482" s="18">
        <v>105260</v>
      </c>
      <c r="D2482" s="2" t="s">
        <v>268</v>
      </c>
      <c r="E2482" s="15">
        <v>18749.599999999999</v>
      </c>
      <c r="F2482" s="59">
        <v>42818</v>
      </c>
      <c r="G2482" s="15">
        <f t="shared" si="77"/>
        <v>18749.599999999999</v>
      </c>
      <c r="H2482" s="15">
        <f t="shared" si="78"/>
        <v>0</v>
      </c>
      <c r="I2482" s="19"/>
    </row>
    <row r="2483" spans="1:9" ht="15.75" x14ac:dyDescent="0.25">
      <c r="A2483" s="51">
        <v>42816</v>
      </c>
      <c r="B2483" s="52" t="s">
        <v>10301</v>
      </c>
      <c r="C2483" s="18">
        <v>105261</v>
      </c>
      <c r="D2483" s="2" t="s">
        <v>149</v>
      </c>
      <c r="E2483" s="15">
        <v>13433.8</v>
      </c>
      <c r="F2483" s="59">
        <v>42816</v>
      </c>
      <c r="G2483" s="15">
        <f t="shared" si="77"/>
        <v>13433.8</v>
      </c>
      <c r="H2483" s="15">
        <f t="shared" si="78"/>
        <v>0</v>
      </c>
      <c r="I2483" s="19"/>
    </row>
    <row r="2484" spans="1:9" ht="15.75" x14ac:dyDescent="0.25">
      <c r="A2484" s="51">
        <v>42816</v>
      </c>
      <c r="B2484" s="52" t="s">
        <v>10302</v>
      </c>
      <c r="C2484" s="18">
        <v>105262</v>
      </c>
      <c r="D2484" s="2" t="s">
        <v>272</v>
      </c>
      <c r="E2484" s="15">
        <v>7339.9</v>
      </c>
      <c r="F2484" s="59">
        <v>42818</v>
      </c>
      <c r="G2484" s="15">
        <f t="shared" si="77"/>
        <v>7339.9</v>
      </c>
      <c r="H2484" s="15">
        <f t="shared" si="78"/>
        <v>0</v>
      </c>
      <c r="I2484" s="19"/>
    </row>
    <row r="2485" spans="1:9" ht="15.75" x14ac:dyDescent="0.25">
      <c r="A2485" s="51">
        <v>42816</v>
      </c>
      <c r="B2485" s="52" t="s">
        <v>10303</v>
      </c>
      <c r="C2485" s="18">
        <v>105263</v>
      </c>
      <c r="D2485" s="2" t="s">
        <v>270</v>
      </c>
      <c r="E2485" s="15">
        <v>19328.849999999999</v>
      </c>
      <c r="F2485" s="59">
        <v>42818</v>
      </c>
      <c r="G2485" s="15">
        <f t="shared" si="77"/>
        <v>19328.849999999999</v>
      </c>
      <c r="H2485" s="15">
        <f t="shared" si="78"/>
        <v>0</v>
      </c>
      <c r="I2485" s="19"/>
    </row>
    <row r="2486" spans="1:9" ht="15.75" x14ac:dyDescent="0.25">
      <c r="A2486" s="51">
        <v>42816</v>
      </c>
      <c r="B2486" s="52" t="s">
        <v>10304</v>
      </c>
      <c r="C2486" s="18">
        <v>105264</v>
      </c>
      <c r="D2486" s="2" t="s">
        <v>79</v>
      </c>
      <c r="E2486" s="15">
        <v>3184.2</v>
      </c>
      <c r="F2486" s="59">
        <v>42816</v>
      </c>
      <c r="G2486" s="15">
        <f t="shared" si="77"/>
        <v>3184.2</v>
      </c>
      <c r="H2486" s="15">
        <f t="shared" si="78"/>
        <v>0</v>
      </c>
      <c r="I2486" s="19"/>
    </row>
    <row r="2487" spans="1:9" ht="15.75" x14ac:dyDescent="0.25">
      <c r="A2487" s="51">
        <v>42816</v>
      </c>
      <c r="B2487" s="52" t="s">
        <v>10305</v>
      </c>
      <c r="C2487" s="18">
        <v>105265</v>
      </c>
      <c r="D2487" s="2" t="s">
        <v>10</v>
      </c>
      <c r="E2487" s="15">
        <v>349.1</v>
      </c>
      <c r="F2487" s="59">
        <v>42791</v>
      </c>
      <c r="G2487" s="15">
        <f t="shared" si="77"/>
        <v>349.1</v>
      </c>
      <c r="H2487" s="15">
        <f t="shared" si="78"/>
        <v>0</v>
      </c>
      <c r="I2487" s="19"/>
    </row>
    <row r="2488" spans="1:9" ht="15.75" x14ac:dyDescent="0.25">
      <c r="A2488" s="51">
        <v>42816</v>
      </c>
      <c r="B2488" s="52" t="s">
        <v>10306</v>
      </c>
      <c r="C2488" s="18">
        <v>105266</v>
      </c>
      <c r="D2488" s="2" t="s">
        <v>281</v>
      </c>
      <c r="E2488" s="15">
        <v>2130.4</v>
      </c>
      <c r="F2488" s="59">
        <v>42816</v>
      </c>
      <c r="G2488" s="15">
        <f t="shared" si="77"/>
        <v>2130.4</v>
      </c>
      <c r="H2488" s="15">
        <f t="shared" si="78"/>
        <v>0</v>
      </c>
      <c r="I2488" s="19"/>
    </row>
    <row r="2489" spans="1:9" ht="15.75" x14ac:dyDescent="0.25">
      <c r="A2489" s="51">
        <v>42816</v>
      </c>
      <c r="B2489" s="52" t="s">
        <v>10307</v>
      </c>
      <c r="C2489" s="18">
        <v>105267</v>
      </c>
      <c r="D2489" s="2" t="s">
        <v>92</v>
      </c>
      <c r="E2489" s="15">
        <v>2160</v>
      </c>
      <c r="F2489" s="59">
        <v>42816</v>
      </c>
      <c r="G2489" s="15">
        <f t="shared" si="77"/>
        <v>2160</v>
      </c>
      <c r="H2489" s="15">
        <f t="shared" si="78"/>
        <v>0</v>
      </c>
      <c r="I2489" s="19"/>
    </row>
    <row r="2490" spans="1:9" ht="15.75" x14ac:dyDescent="0.25">
      <c r="A2490" s="51">
        <v>42816</v>
      </c>
      <c r="B2490" s="52" t="s">
        <v>10308</v>
      </c>
      <c r="C2490" s="18">
        <v>105268</v>
      </c>
      <c r="D2490" s="13" t="s">
        <v>99</v>
      </c>
      <c r="E2490" s="14">
        <v>0</v>
      </c>
      <c r="F2490" s="102" t="s">
        <v>95</v>
      </c>
      <c r="G2490" s="14">
        <f t="shared" si="77"/>
        <v>0</v>
      </c>
      <c r="H2490" s="14">
        <f t="shared" si="78"/>
        <v>0</v>
      </c>
      <c r="I2490" s="19"/>
    </row>
    <row r="2491" spans="1:9" ht="15.75" x14ac:dyDescent="0.25">
      <c r="A2491" s="51">
        <v>42816</v>
      </c>
      <c r="B2491" s="52" t="s">
        <v>10309</v>
      </c>
      <c r="C2491" s="18">
        <v>105269</v>
      </c>
      <c r="D2491" s="2" t="s">
        <v>99</v>
      </c>
      <c r="E2491" s="15">
        <v>1920</v>
      </c>
      <c r="F2491" s="59">
        <v>42816</v>
      </c>
      <c r="G2491" s="15">
        <f t="shared" si="77"/>
        <v>1920</v>
      </c>
      <c r="H2491" s="15">
        <f t="shared" si="78"/>
        <v>0</v>
      </c>
      <c r="I2491" s="19"/>
    </row>
    <row r="2492" spans="1:9" ht="15.75" x14ac:dyDescent="0.25">
      <c r="A2492" s="51">
        <v>42816</v>
      </c>
      <c r="B2492" s="52" t="s">
        <v>10310</v>
      </c>
      <c r="C2492" s="18">
        <v>105270</v>
      </c>
      <c r="D2492" s="2" t="s">
        <v>4367</v>
      </c>
      <c r="E2492" s="15">
        <v>1516.8</v>
      </c>
      <c r="F2492" s="59">
        <v>42816</v>
      </c>
      <c r="G2492" s="15">
        <f t="shared" si="77"/>
        <v>1516.8</v>
      </c>
      <c r="H2492" s="15">
        <f t="shared" si="78"/>
        <v>0</v>
      </c>
      <c r="I2492" s="19"/>
    </row>
    <row r="2493" spans="1:9" ht="15.75" x14ac:dyDescent="0.25">
      <c r="A2493" s="51">
        <v>42816</v>
      </c>
      <c r="B2493" s="52" t="s">
        <v>10311</v>
      </c>
      <c r="C2493" s="18">
        <v>105271</v>
      </c>
      <c r="D2493" s="2" t="s">
        <v>103</v>
      </c>
      <c r="E2493" s="15">
        <v>3603.4</v>
      </c>
      <c r="F2493" s="59">
        <v>42821</v>
      </c>
      <c r="G2493" s="15">
        <f t="shared" si="77"/>
        <v>3603.4</v>
      </c>
      <c r="H2493" s="15">
        <f t="shared" si="78"/>
        <v>0</v>
      </c>
      <c r="I2493" s="19"/>
    </row>
    <row r="2494" spans="1:9" ht="15.75" x14ac:dyDescent="0.25">
      <c r="A2494" s="51">
        <v>42816</v>
      </c>
      <c r="B2494" s="52" t="s">
        <v>10312</v>
      </c>
      <c r="C2494" s="18">
        <v>105272</v>
      </c>
      <c r="D2494" s="2" t="s">
        <v>105</v>
      </c>
      <c r="E2494" s="15">
        <v>3064.6</v>
      </c>
      <c r="F2494" s="59">
        <v>43062</v>
      </c>
      <c r="G2494" s="15">
        <f t="shared" si="77"/>
        <v>3064.6</v>
      </c>
      <c r="H2494" s="15">
        <f t="shared" si="78"/>
        <v>0</v>
      </c>
      <c r="I2494" s="19"/>
    </row>
    <row r="2495" spans="1:9" ht="15.75" x14ac:dyDescent="0.25">
      <c r="A2495" s="51">
        <v>42816</v>
      </c>
      <c r="B2495" s="52" t="s">
        <v>10313</v>
      </c>
      <c r="C2495" s="18">
        <v>105273</v>
      </c>
      <c r="D2495" s="2" t="s">
        <v>450</v>
      </c>
      <c r="E2495" s="15">
        <v>1983.9</v>
      </c>
      <c r="F2495" s="59">
        <v>42816</v>
      </c>
      <c r="G2495" s="15">
        <f t="shared" si="77"/>
        <v>1983.9</v>
      </c>
      <c r="H2495" s="15">
        <f t="shared" si="78"/>
        <v>0</v>
      </c>
      <c r="I2495" s="19"/>
    </row>
    <row r="2496" spans="1:9" ht="15.75" x14ac:dyDescent="0.25">
      <c r="A2496" s="51">
        <v>42816</v>
      </c>
      <c r="B2496" s="52" t="s">
        <v>10314</v>
      </c>
      <c r="C2496" s="18">
        <v>105274</v>
      </c>
      <c r="D2496" s="2" t="s">
        <v>428</v>
      </c>
      <c r="E2496" s="15">
        <v>1760</v>
      </c>
      <c r="F2496" s="59">
        <v>42818</v>
      </c>
      <c r="G2496" s="15">
        <f t="shared" si="77"/>
        <v>1760</v>
      </c>
      <c r="H2496" s="15">
        <f t="shared" si="78"/>
        <v>0</v>
      </c>
      <c r="I2496" s="19"/>
    </row>
    <row r="2497" spans="1:9" ht="15.75" x14ac:dyDescent="0.25">
      <c r="A2497" s="51">
        <v>42816</v>
      </c>
      <c r="B2497" s="52" t="s">
        <v>10315</v>
      </c>
      <c r="C2497" s="18">
        <v>105275</v>
      </c>
      <c r="D2497" s="2" t="s">
        <v>71</v>
      </c>
      <c r="E2497" s="15">
        <v>1869</v>
      </c>
      <c r="F2497" s="59">
        <v>42816</v>
      </c>
      <c r="G2497" s="15">
        <f t="shared" si="77"/>
        <v>1869</v>
      </c>
      <c r="H2497" s="15">
        <f t="shared" si="78"/>
        <v>0</v>
      </c>
      <c r="I2497" s="19"/>
    </row>
    <row r="2498" spans="1:9" ht="15.75" x14ac:dyDescent="0.25">
      <c r="A2498" s="51">
        <v>42816</v>
      </c>
      <c r="B2498" s="52" t="s">
        <v>10316</v>
      </c>
      <c r="C2498" s="18">
        <v>105276</v>
      </c>
      <c r="D2498" s="2" t="s">
        <v>236</v>
      </c>
      <c r="E2498" s="15">
        <v>34877.800000000003</v>
      </c>
      <c r="F2498" s="59">
        <v>42824</v>
      </c>
      <c r="G2498" s="15">
        <f t="shared" si="77"/>
        <v>34877.800000000003</v>
      </c>
      <c r="H2498" s="15">
        <f t="shared" si="78"/>
        <v>0</v>
      </c>
      <c r="I2498" s="19"/>
    </row>
    <row r="2499" spans="1:9" ht="15.75" x14ac:dyDescent="0.25">
      <c r="A2499" s="51">
        <v>42816</v>
      </c>
      <c r="B2499" s="52" t="s">
        <v>10317</v>
      </c>
      <c r="C2499" s="18">
        <v>105277</v>
      </c>
      <c r="D2499" s="2" t="s">
        <v>613</v>
      </c>
      <c r="E2499" s="15">
        <v>3891.3</v>
      </c>
      <c r="F2499" s="59">
        <v>42816</v>
      </c>
      <c r="G2499" s="15">
        <f t="shared" si="77"/>
        <v>3891.3</v>
      </c>
      <c r="H2499" s="15">
        <f t="shared" si="78"/>
        <v>0</v>
      </c>
      <c r="I2499" s="19"/>
    </row>
    <row r="2500" spans="1:9" ht="15.75" x14ac:dyDescent="0.25">
      <c r="A2500" s="51">
        <v>42816</v>
      </c>
      <c r="B2500" s="52" t="s">
        <v>10318</v>
      </c>
      <c r="C2500" s="18">
        <v>105278</v>
      </c>
      <c r="D2500" s="2" t="s">
        <v>544</v>
      </c>
      <c r="E2500" s="15">
        <v>5040</v>
      </c>
      <c r="F2500" s="59">
        <v>42824</v>
      </c>
      <c r="G2500" s="15">
        <f t="shared" ref="G2500:G2563" si="79">E2500</f>
        <v>5040</v>
      </c>
      <c r="H2500" s="15">
        <f t="shared" ref="H2500:H2563" si="80">E2500-G2500</f>
        <v>0</v>
      </c>
      <c r="I2500" s="19"/>
    </row>
    <row r="2501" spans="1:9" ht="15.75" x14ac:dyDescent="0.25">
      <c r="A2501" s="51">
        <v>42816</v>
      </c>
      <c r="B2501" s="52" t="s">
        <v>10319</v>
      </c>
      <c r="C2501" s="18">
        <v>105279</v>
      </c>
      <c r="D2501" s="2" t="s">
        <v>1259</v>
      </c>
      <c r="E2501" s="15">
        <v>1617.6</v>
      </c>
      <c r="F2501" s="59">
        <v>42816</v>
      </c>
      <c r="G2501" s="15">
        <f t="shared" si="79"/>
        <v>1617.6</v>
      </c>
      <c r="H2501" s="15">
        <f t="shared" si="80"/>
        <v>0</v>
      </c>
      <c r="I2501" s="19"/>
    </row>
    <row r="2502" spans="1:9" ht="15.75" x14ac:dyDescent="0.25">
      <c r="A2502" s="51">
        <v>42816</v>
      </c>
      <c r="B2502" s="52" t="s">
        <v>10320</v>
      </c>
      <c r="C2502" s="18">
        <v>105280</v>
      </c>
      <c r="D2502" s="2" t="s">
        <v>88</v>
      </c>
      <c r="E2502" s="15">
        <v>5208</v>
      </c>
      <c r="F2502" s="59">
        <v>42816</v>
      </c>
      <c r="G2502" s="15">
        <f t="shared" si="79"/>
        <v>5208</v>
      </c>
      <c r="H2502" s="15">
        <f t="shared" si="80"/>
        <v>0</v>
      </c>
      <c r="I2502" s="19"/>
    </row>
    <row r="2503" spans="1:9" ht="15.75" x14ac:dyDescent="0.25">
      <c r="A2503" s="51">
        <v>42816</v>
      </c>
      <c r="B2503" s="52" t="s">
        <v>10321</v>
      </c>
      <c r="C2503" s="18">
        <v>105281</v>
      </c>
      <c r="D2503" s="2" t="s">
        <v>81</v>
      </c>
      <c r="E2503" s="15">
        <v>2719.2</v>
      </c>
      <c r="F2503" s="59">
        <v>42816</v>
      </c>
      <c r="G2503" s="15">
        <f t="shared" si="79"/>
        <v>2719.2</v>
      </c>
      <c r="H2503" s="15">
        <f t="shared" si="80"/>
        <v>0</v>
      </c>
      <c r="I2503" s="19"/>
    </row>
    <row r="2504" spans="1:9" ht="15.75" x14ac:dyDescent="0.25">
      <c r="A2504" s="51">
        <v>42816</v>
      </c>
      <c r="B2504" s="52" t="s">
        <v>10322</v>
      </c>
      <c r="C2504" s="18">
        <v>105282</v>
      </c>
      <c r="D2504" s="2" t="s">
        <v>302</v>
      </c>
      <c r="E2504" s="15">
        <v>4248</v>
      </c>
      <c r="F2504" s="59">
        <v>42816</v>
      </c>
      <c r="G2504" s="15">
        <f t="shared" si="79"/>
        <v>4248</v>
      </c>
      <c r="H2504" s="15">
        <f t="shared" si="80"/>
        <v>0</v>
      </c>
      <c r="I2504" s="19"/>
    </row>
    <row r="2505" spans="1:9" ht="15.75" x14ac:dyDescent="0.25">
      <c r="A2505" s="51">
        <v>42816</v>
      </c>
      <c r="B2505" s="52" t="s">
        <v>10323</v>
      </c>
      <c r="C2505" s="18">
        <v>105283</v>
      </c>
      <c r="D2505" s="2" t="s">
        <v>1269</v>
      </c>
      <c r="E2505" s="15">
        <v>3416.4</v>
      </c>
      <c r="F2505" s="59">
        <v>42816</v>
      </c>
      <c r="G2505" s="15">
        <f t="shared" si="79"/>
        <v>3416.4</v>
      </c>
      <c r="H2505" s="15">
        <f t="shared" si="80"/>
        <v>0</v>
      </c>
      <c r="I2505" s="19"/>
    </row>
    <row r="2506" spans="1:9" ht="15.75" x14ac:dyDescent="0.25">
      <c r="A2506" s="51">
        <v>42816</v>
      </c>
      <c r="B2506" s="52" t="s">
        <v>10324</v>
      </c>
      <c r="C2506" s="18">
        <v>105284</v>
      </c>
      <c r="D2506" s="2" t="s">
        <v>1989</v>
      </c>
      <c r="E2506" s="15">
        <v>759.2</v>
      </c>
      <c r="F2506" s="59">
        <v>42816</v>
      </c>
      <c r="G2506" s="15">
        <f t="shared" si="79"/>
        <v>759.2</v>
      </c>
      <c r="H2506" s="15">
        <f t="shared" si="80"/>
        <v>0</v>
      </c>
      <c r="I2506" s="19"/>
    </row>
    <row r="2507" spans="1:9" ht="15.75" x14ac:dyDescent="0.25">
      <c r="A2507" s="51">
        <v>42816</v>
      </c>
      <c r="B2507" s="52" t="s">
        <v>10325</v>
      </c>
      <c r="C2507" s="18">
        <v>105285</v>
      </c>
      <c r="D2507" s="2" t="s">
        <v>457</v>
      </c>
      <c r="E2507" s="15">
        <v>634.20000000000005</v>
      </c>
      <c r="F2507" s="59">
        <v>42816</v>
      </c>
      <c r="G2507" s="15">
        <f t="shared" si="79"/>
        <v>634.20000000000005</v>
      </c>
      <c r="H2507" s="15">
        <f t="shared" si="80"/>
        <v>0</v>
      </c>
      <c r="I2507" s="19"/>
    </row>
    <row r="2508" spans="1:9" ht="15.75" x14ac:dyDescent="0.25">
      <c r="A2508" s="51">
        <v>42816</v>
      </c>
      <c r="B2508" s="52" t="s">
        <v>10326</v>
      </c>
      <c r="C2508" s="18">
        <v>105286</v>
      </c>
      <c r="D2508" s="2" t="s">
        <v>862</v>
      </c>
      <c r="E2508" s="15">
        <v>9847.4</v>
      </c>
      <c r="F2508" s="59">
        <v>42816</v>
      </c>
      <c r="G2508" s="15">
        <f t="shared" si="79"/>
        <v>9847.4</v>
      </c>
      <c r="H2508" s="15">
        <f t="shared" si="80"/>
        <v>0</v>
      </c>
      <c r="I2508" s="19"/>
    </row>
    <row r="2509" spans="1:9" ht="15.75" x14ac:dyDescent="0.25">
      <c r="A2509" s="51">
        <v>42816</v>
      </c>
      <c r="B2509" s="52" t="s">
        <v>10327</v>
      </c>
      <c r="C2509" s="18">
        <v>105287</v>
      </c>
      <c r="D2509" s="2" t="s">
        <v>19</v>
      </c>
      <c r="E2509" s="15">
        <v>960</v>
      </c>
      <c r="F2509" s="59">
        <v>42816</v>
      </c>
      <c r="G2509" s="15">
        <f t="shared" si="79"/>
        <v>960</v>
      </c>
      <c r="H2509" s="15">
        <f t="shared" si="80"/>
        <v>0</v>
      </c>
      <c r="I2509" s="19"/>
    </row>
    <row r="2510" spans="1:9" ht="15.75" x14ac:dyDescent="0.25">
      <c r="A2510" s="51">
        <v>42816</v>
      </c>
      <c r="B2510" s="52" t="s">
        <v>10328</v>
      </c>
      <c r="C2510" s="18">
        <v>105288</v>
      </c>
      <c r="D2510" s="2" t="s">
        <v>109</v>
      </c>
      <c r="E2510" s="15">
        <v>3475</v>
      </c>
      <c r="F2510" s="59">
        <v>42816</v>
      </c>
      <c r="G2510" s="15">
        <f t="shared" si="79"/>
        <v>3475</v>
      </c>
      <c r="H2510" s="15">
        <f t="shared" si="80"/>
        <v>0</v>
      </c>
      <c r="I2510" s="19"/>
    </row>
    <row r="2511" spans="1:9" ht="15.75" x14ac:dyDescent="0.25">
      <c r="A2511" s="51">
        <v>42816</v>
      </c>
      <c r="B2511" s="52" t="s">
        <v>10329</v>
      </c>
      <c r="C2511" s="18">
        <v>105289</v>
      </c>
      <c r="D2511" s="2" t="s">
        <v>205</v>
      </c>
      <c r="E2511" s="15">
        <v>2200</v>
      </c>
      <c r="F2511" s="59">
        <v>42816</v>
      </c>
      <c r="G2511" s="15">
        <f t="shared" si="79"/>
        <v>2200</v>
      </c>
      <c r="H2511" s="15">
        <f t="shared" si="80"/>
        <v>0</v>
      </c>
      <c r="I2511" s="19"/>
    </row>
    <row r="2512" spans="1:9" ht="15.75" x14ac:dyDescent="0.25">
      <c r="A2512" s="51">
        <v>42816</v>
      </c>
      <c r="B2512" s="52" t="s">
        <v>10330</v>
      </c>
      <c r="C2512" s="18">
        <v>105290</v>
      </c>
      <c r="D2512" s="2" t="s">
        <v>858</v>
      </c>
      <c r="E2512" s="15">
        <v>384.8</v>
      </c>
      <c r="F2512" s="59">
        <v>42816</v>
      </c>
      <c r="G2512" s="15">
        <f t="shared" si="79"/>
        <v>384.8</v>
      </c>
      <c r="H2512" s="15">
        <f t="shared" si="80"/>
        <v>0</v>
      </c>
      <c r="I2512" s="19"/>
    </row>
    <row r="2513" spans="1:9" ht="15.75" x14ac:dyDescent="0.25">
      <c r="A2513" s="51">
        <v>42816</v>
      </c>
      <c r="B2513" s="52" t="s">
        <v>10331</v>
      </c>
      <c r="C2513" s="18">
        <v>105291</v>
      </c>
      <c r="D2513" s="2" t="s">
        <v>531</v>
      </c>
      <c r="E2513" s="15">
        <v>2855.6</v>
      </c>
      <c r="F2513" s="59">
        <v>43062</v>
      </c>
      <c r="G2513" s="15">
        <f t="shared" si="79"/>
        <v>2855.6</v>
      </c>
      <c r="H2513" s="15">
        <f t="shared" si="80"/>
        <v>0</v>
      </c>
      <c r="I2513" s="19"/>
    </row>
    <row r="2514" spans="1:9" ht="15.75" x14ac:dyDescent="0.25">
      <c r="A2514" s="51">
        <v>42816</v>
      </c>
      <c r="B2514" s="52" t="s">
        <v>10332</v>
      </c>
      <c r="C2514" s="18">
        <v>105292</v>
      </c>
      <c r="D2514" s="2" t="s">
        <v>30</v>
      </c>
      <c r="E2514" s="15">
        <v>474.3</v>
      </c>
      <c r="F2514" s="59">
        <v>42816</v>
      </c>
      <c r="G2514" s="15">
        <f t="shared" si="79"/>
        <v>474.3</v>
      </c>
      <c r="H2514" s="15">
        <f t="shared" si="80"/>
        <v>0</v>
      </c>
      <c r="I2514" s="19"/>
    </row>
    <row r="2515" spans="1:9" ht="15.75" x14ac:dyDescent="0.25">
      <c r="A2515" s="51">
        <v>42816</v>
      </c>
      <c r="B2515" s="52" t="s">
        <v>10333</v>
      </c>
      <c r="C2515" s="18">
        <v>105293</v>
      </c>
      <c r="D2515" s="2" t="s">
        <v>45</v>
      </c>
      <c r="E2515" s="15">
        <v>1402.2</v>
      </c>
      <c r="F2515" s="59">
        <v>42816</v>
      </c>
      <c r="G2515" s="15">
        <f t="shared" si="79"/>
        <v>1402.2</v>
      </c>
      <c r="H2515" s="15">
        <f t="shared" si="80"/>
        <v>0</v>
      </c>
      <c r="I2515" s="19"/>
    </row>
    <row r="2516" spans="1:9" ht="15.75" x14ac:dyDescent="0.25">
      <c r="A2516" s="51">
        <v>42816</v>
      </c>
      <c r="B2516" s="52" t="s">
        <v>10334</v>
      </c>
      <c r="C2516" s="18">
        <v>105294</v>
      </c>
      <c r="D2516" s="2" t="s">
        <v>630</v>
      </c>
      <c r="E2516" s="15">
        <v>1744.8</v>
      </c>
      <c r="F2516" s="59">
        <v>42816</v>
      </c>
      <c r="G2516" s="15">
        <f t="shared" si="79"/>
        <v>1744.8</v>
      </c>
      <c r="H2516" s="15">
        <f t="shared" si="80"/>
        <v>0</v>
      </c>
      <c r="I2516" s="19"/>
    </row>
    <row r="2517" spans="1:9" ht="15.75" x14ac:dyDescent="0.25">
      <c r="A2517" s="51">
        <v>42816</v>
      </c>
      <c r="B2517" s="52" t="s">
        <v>10335</v>
      </c>
      <c r="C2517" s="18">
        <v>105295</v>
      </c>
      <c r="D2517" s="2" t="s">
        <v>285</v>
      </c>
      <c r="E2517" s="15">
        <v>2124.7199999999998</v>
      </c>
      <c r="F2517" s="59">
        <v>42791</v>
      </c>
      <c r="G2517" s="15">
        <f t="shared" si="79"/>
        <v>2124.7199999999998</v>
      </c>
      <c r="H2517" s="15">
        <f t="shared" si="80"/>
        <v>0</v>
      </c>
      <c r="I2517" s="19"/>
    </row>
    <row r="2518" spans="1:9" ht="15.75" x14ac:dyDescent="0.25">
      <c r="A2518" s="51">
        <v>42816</v>
      </c>
      <c r="B2518" s="52" t="s">
        <v>10336</v>
      </c>
      <c r="C2518" s="18">
        <v>105296</v>
      </c>
      <c r="D2518" s="2" t="s">
        <v>480</v>
      </c>
      <c r="E2518" s="15">
        <v>1708.4</v>
      </c>
      <c r="F2518" s="59">
        <v>42816</v>
      </c>
      <c r="G2518" s="15">
        <f t="shared" si="79"/>
        <v>1708.4</v>
      </c>
      <c r="H2518" s="15">
        <f t="shared" si="80"/>
        <v>0</v>
      </c>
      <c r="I2518" s="19"/>
    </row>
    <row r="2519" spans="1:9" ht="15.75" x14ac:dyDescent="0.25">
      <c r="A2519" s="51">
        <v>42816</v>
      </c>
      <c r="B2519" s="52" t="s">
        <v>10337</v>
      </c>
      <c r="C2519" s="18">
        <v>105297</v>
      </c>
      <c r="D2519" s="2" t="s">
        <v>53</v>
      </c>
      <c r="E2519" s="15">
        <v>2086.8000000000002</v>
      </c>
      <c r="F2519" s="59">
        <v>42816</v>
      </c>
      <c r="G2519" s="15">
        <f t="shared" si="79"/>
        <v>2086.8000000000002</v>
      </c>
      <c r="H2519" s="15">
        <f t="shared" si="80"/>
        <v>0</v>
      </c>
      <c r="I2519" s="19"/>
    </row>
    <row r="2520" spans="1:9" ht="15.75" x14ac:dyDescent="0.25">
      <c r="A2520" s="51">
        <v>42816</v>
      </c>
      <c r="B2520" s="52" t="s">
        <v>10338</v>
      </c>
      <c r="C2520" s="18">
        <v>105298</v>
      </c>
      <c r="D2520" s="2" t="s">
        <v>329</v>
      </c>
      <c r="E2520" s="15">
        <v>959.8</v>
      </c>
      <c r="F2520" s="59">
        <v>42816</v>
      </c>
      <c r="G2520" s="15">
        <f t="shared" si="79"/>
        <v>959.8</v>
      </c>
      <c r="H2520" s="15">
        <f t="shared" si="80"/>
        <v>0</v>
      </c>
      <c r="I2520" s="19"/>
    </row>
    <row r="2521" spans="1:9" ht="15.75" x14ac:dyDescent="0.25">
      <c r="A2521" s="51">
        <v>42816</v>
      </c>
      <c r="B2521" s="52" t="s">
        <v>10339</v>
      </c>
      <c r="C2521" s="18">
        <v>105299</v>
      </c>
      <c r="D2521" s="2" t="s">
        <v>633</v>
      </c>
      <c r="E2521" s="15">
        <v>440.8</v>
      </c>
      <c r="F2521" s="59">
        <v>42816</v>
      </c>
      <c r="G2521" s="15">
        <f t="shared" si="79"/>
        <v>440.8</v>
      </c>
      <c r="H2521" s="15">
        <f t="shared" si="80"/>
        <v>0</v>
      </c>
      <c r="I2521" s="19"/>
    </row>
    <row r="2522" spans="1:9" ht="15.75" x14ac:dyDescent="0.25">
      <c r="A2522" s="51">
        <v>42816</v>
      </c>
      <c r="B2522" s="52" t="s">
        <v>10340</v>
      </c>
      <c r="C2522" s="18">
        <v>105300</v>
      </c>
      <c r="D2522" s="2" t="s">
        <v>331</v>
      </c>
      <c r="E2522" s="15">
        <v>1616</v>
      </c>
      <c r="F2522" s="59">
        <v>42816</v>
      </c>
      <c r="G2522" s="15">
        <f t="shared" si="79"/>
        <v>1616</v>
      </c>
      <c r="H2522" s="15">
        <f t="shared" si="80"/>
        <v>0</v>
      </c>
      <c r="I2522" s="19"/>
    </row>
    <row r="2523" spans="1:9" ht="15.75" x14ac:dyDescent="0.25">
      <c r="A2523" s="51">
        <v>42816</v>
      </c>
      <c r="B2523" s="52" t="s">
        <v>10341</v>
      </c>
      <c r="C2523" s="18">
        <v>105301</v>
      </c>
      <c r="D2523" s="2" t="s">
        <v>9250</v>
      </c>
      <c r="E2523" s="15">
        <v>4290</v>
      </c>
      <c r="F2523" s="59">
        <v>42816</v>
      </c>
      <c r="G2523" s="15">
        <f t="shared" si="79"/>
        <v>4290</v>
      </c>
      <c r="H2523" s="15">
        <f t="shared" si="80"/>
        <v>0</v>
      </c>
      <c r="I2523" s="19"/>
    </row>
    <row r="2524" spans="1:9" ht="15.75" x14ac:dyDescent="0.25">
      <c r="A2524" s="51">
        <v>42816</v>
      </c>
      <c r="B2524" s="52" t="s">
        <v>10342</v>
      </c>
      <c r="C2524" s="18">
        <v>105302</v>
      </c>
      <c r="D2524" s="2" t="s">
        <v>184</v>
      </c>
      <c r="E2524" s="15">
        <v>1741.5</v>
      </c>
      <c r="F2524" s="59">
        <v>42816</v>
      </c>
      <c r="G2524" s="15">
        <f t="shared" si="79"/>
        <v>1741.5</v>
      </c>
      <c r="H2524" s="15">
        <f t="shared" si="80"/>
        <v>0</v>
      </c>
      <c r="I2524" s="19"/>
    </row>
    <row r="2525" spans="1:9" ht="15.75" x14ac:dyDescent="0.25">
      <c r="A2525" s="51">
        <v>42816</v>
      </c>
      <c r="B2525" s="52" t="s">
        <v>10343</v>
      </c>
      <c r="C2525" s="18">
        <v>105303</v>
      </c>
      <c r="D2525" s="2" t="s">
        <v>57</v>
      </c>
      <c r="E2525" s="15">
        <v>576</v>
      </c>
      <c r="F2525" s="59">
        <v>42816</v>
      </c>
      <c r="G2525" s="15">
        <f t="shared" si="79"/>
        <v>576</v>
      </c>
      <c r="H2525" s="15">
        <f t="shared" si="80"/>
        <v>0</v>
      </c>
      <c r="I2525" s="19"/>
    </row>
    <row r="2526" spans="1:9" ht="15.75" x14ac:dyDescent="0.25">
      <c r="A2526" s="51">
        <v>42816</v>
      </c>
      <c r="B2526" s="52" t="s">
        <v>10344</v>
      </c>
      <c r="C2526" s="18">
        <v>105304</v>
      </c>
      <c r="D2526" s="2" t="s">
        <v>186</v>
      </c>
      <c r="E2526" s="15">
        <v>2928.3</v>
      </c>
      <c r="F2526" s="59">
        <v>42791</v>
      </c>
      <c r="G2526" s="15">
        <f t="shared" si="79"/>
        <v>2928.3</v>
      </c>
      <c r="H2526" s="15">
        <f t="shared" si="80"/>
        <v>0</v>
      </c>
      <c r="I2526" s="19"/>
    </row>
    <row r="2527" spans="1:9" ht="15.75" x14ac:dyDescent="0.25">
      <c r="A2527" s="51">
        <v>42816</v>
      </c>
      <c r="B2527" s="52" t="s">
        <v>10345</v>
      </c>
      <c r="C2527" s="18">
        <v>105305</v>
      </c>
      <c r="D2527" s="2" t="s">
        <v>492</v>
      </c>
      <c r="E2527" s="15">
        <v>15995.2</v>
      </c>
      <c r="F2527" s="59">
        <v>42791</v>
      </c>
      <c r="G2527" s="15">
        <f t="shared" si="79"/>
        <v>15995.2</v>
      </c>
      <c r="H2527" s="15">
        <f t="shared" si="80"/>
        <v>0</v>
      </c>
      <c r="I2527" s="19"/>
    </row>
    <row r="2528" spans="1:9" ht="15.75" x14ac:dyDescent="0.25">
      <c r="A2528" s="51">
        <v>42816</v>
      </c>
      <c r="B2528" s="52" t="s">
        <v>10346</v>
      </c>
      <c r="C2528" s="18">
        <v>105306</v>
      </c>
      <c r="D2528" s="2" t="s">
        <v>879</v>
      </c>
      <c r="E2528" s="15">
        <v>2744</v>
      </c>
      <c r="F2528" s="59">
        <v>42816</v>
      </c>
      <c r="G2528" s="15">
        <f t="shared" si="79"/>
        <v>2744</v>
      </c>
      <c r="H2528" s="15">
        <f t="shared" si="80"/>
        <v>0</v>
      </c>
      <c r="I2528" s="19"/>
    </row>
    <row r="2529" spans="1:9" ht="15.75" x14ac:dyDescent="0.25">
      <c r="A2529" s="51">
        <v>42816</v>
      </c>
      <c r="B2529" s="52" t="s">
        <v>10347</v>
      </c>
      <c r="C2529" s="18">
        <v>105307</v>
      </c>
      <c r="D2529" s="2" t="s">
        <v>305</v>
      </c>
      <c r="E2529" s="15">
        <v>3631</v>
      </c>
      <c r="F2529" s="59">
        <v>42822</v>
      </c>
      <c r="G2529" s="15">
        <f t="shared" si="79"/>
        <v>3631</v>
      </c>
      <c r="H2529" s="15">
        <f t="shared" si="80"/>
        <v>0</v>
      </c>
      <c r="I2529" s="19"/>
    </row>
    <row r="2530" spans="1:9" ht="15.75" x14ac:dyDescent="0.25">
      <c r="A2530" s="51">
        <v>42816</v>
      </c>
      <c r="B2530" s="52" t="s">
        <v>10348</v>
      </c>
      <c r="C2530" s="18">
        <v>105308</v>
      </c>
      <c r="D2530" s="2" t="s">
        <v>476</v>
      </c>
      <c r="E2530" s="15">
        <v>8491.7000000000007</v>
      </c>
      <c r="F2530" s="59">
        <v>42822</v>
      </c>
      <c r="G2530" s="15">
        <f t="shared" si="79"/>
        <v>8491.7000000000007</v>
      </c>
      <c r="H2530" s="15">
        <f t="shared" si="80"/>
        <v>0</v>
      </c>
      <c r="I2530" s="19"/>
    </row>
    <row r="2531" spans="1:9" ht="15.75" x14ac:dyDescent="0.25">
      <c r="A2531" s="51">
        <v>42816</v>
      </c>
      <c r="B2531" s="52" t="s">
        <v>10349</v>
      </c>
      <c r="C2531" s="18">
        <v>105309</v>
      </c>
      <c r="D2531" s="2" t="s">
        <v>465</v>
      </c>
      <c r="E2531" s="15">
        <v>6491.1</v>
      </c>
      <c r="F2531" s="59">
        <v>42791</v>
      </c>
      <c r="G2531" s="15">
        <f t="shared" si="79"/>
        <v>6491.1</v>
      </c>
      <c r="H2531" s="15">
        <f t="shared" si="80"/>
        <v>0</v>
      </c>
      <c r="I2531" s="19"/>
    </row>
    <row r="2532" spans="1:9" ht="15.75" x14ac:dyDescent="0.25">
      <c r="A2532" s="51">
        <v>42816</v>
      </c>
      <c r="B2532" s="52" t="s">
        <v>10350</v>
      </c>
      <c r="C2532" s="18">
        <v>105310</v>
      </c>
      <c r="D2532" s="2" t="s">
        <v>468</v>
      </c>
      <c r="E2532" s="15">
        <v>15677.9</v>
      </c>
      <c r="F2532" s="59">
        <v>42828</v>
      </c>
      <c r="G2532" s="15">
        <f t="shared" si="79"/>
        <v>15677.9</v>
      </c>
      <c r="H2532" s="15">
        <f t="shared" si="80"/>
        <v>0</v>
      </c>
      <c r="I2532" s="19"/>
    </row>
    <row r="2533" spans="1:9" ht="15.75" x14ac:dyDescent="0.25">
      <c r="A2533" s="51">
        <v>42816</v>
      </c>
      <c r="B2533" s="52" t="s">
        <v>10351</v>
      </c>
      <c r="C2533" s="18">
        <v>105311</v>
      </c>
      <c r="D2533" s="2" t="s">
        <v>3219</v>
      </c>
      <c r="E2533" s="15">
        <v>30825</v>
      </c>
      <c r="F2533" s="59">
        <v>42816</v>
      </c>
      <c r="G2533" s="15">
        <f t="shared" si="79"/>
        <v>30825</v>
      </c>
      <c r="H2533" s="15">
        <f t="shared" si="80"/>
        <v>0</v>
      </c>
      <c r="I2533" s="19"/>
    </row>
    <row r="2534" spans="1:9" ht="15.75" x14ac:dyDescent="0.25">
      <c r="A2534" s="51">
        <v>42816</v>
      </c>
      <c r="B2534" s="52" t="s">
        <v>10352</v>
      </c>
      <c r="C2534" s="18">
        <v>105312</v>
      </c>
      <c r="D2534" s="2" t="s">
        <v>122</v>
      </c>
      <c r="E2534" s="15">
        <v>9329</v>
      </c>
      <c r="F2534" s="59">
        <v>42824</v>
      </c>
      <c r="G2534" s="15">
        <f t="shared" si="79"/>
        <v>9329</v>
      </c>
      <c r="H2534" s="15">
        <f t="shared" si="80"/>
        <v>0</v>
      </c>
      <c r="I2534" s="19"/>
    </row>
    <row r="2535" spans="1:9" ht="15.75" x14ac:dyDescent="0.25">
      <c r="A2535" s="51">
        <v>42816</v>
      </c>
      <c r="B2535" s="52" t="s">
        <v>10353</v>
      </c>
      <c r="C2535" s="18">
        <v>105313</v>
      </c>
      <c r="D2535" s="2" t="s">
        <v>125</v>
      </c>
      <c r="E2535" s="15">
        <v>5705.4</v>
      </c>
      <c r="F2535" s="59">
        <v>42818</v>
      </c>
      <c r="G2535" s="15">
        <f t="shared" si="79"/>
        <v>5705.4</v>
      </c>
      <c r="H2535" s="15">
        <f t="shared" si="80"/>
        <v>0</v>
      </c>
      <c r="I2535" s="19"/>
    </row>
    <row r="2536" spans="1:9" ht="15.75" x14ac:dyDescent="0.25">
      <c r="A2536" s="51">
        <v>42816</v>
      </c>
      <c r="B2536" s="52" t="s">
        <v>10354</v>
      </c>
      <c r="C2536" s="18">
        <v>105314</v>
      </c>
      <c r="D2536" s="2" t="s">
        <v>131</v>
      </c>
      <c r="E2536" s="15">
        <v>11911.6</v>
      </c>
      <c r="G2536" s="15">
        <f t="shared" si="79"/>
        <v>11911.6</v>
      </c>
      <c r="H2536" s="15">
        <f t="shared" si="80"/>
        <v>0</v>
      </c>
      <c r="I2536" s="19"/>
    </row>
    <row r="2537" spans="1:9" ht="15.75" x14ac:dyDescent="0.25">
      <c r="A2537" s="51">
        <v>42816</v>
      </c>
      <c r="B2537" s="52" t="s">
        <v>10355</v>
      </c>
      <c r="C2537" s="18">
        <v>105315</v>
      </c>
      <c r="D2537" s="2" t="s">
        <v>879</v>
      </c>
      <c r="E2537" s="15">
        <v>1219.5</v>
      </c>
      <c r="F2537" s="59">
        <v>42816</v>
      </c>
      <c r="G2537" s="15">
        <f t="shared" si="79"/>
        <v>1219.5</v>
      </c>
      <c r="H2537" s="15">
        <f t="shared" si="80"/>
        <v>0</v>
      </c>
      <c r="I2537" s="19"/>
    </row>
    <row r="2538" spans="1:9" ht="15.75" x14ac:dyDescent="0.25">
      <c r="A2538" s="51">
        <v>42816</v>
      </c>
      <c r="B2538" s="52" t="s">
        <v>10356</v>
      </c>
      <c r="C2538" s="18">
        <v>105316</v>
      </c>
      <c r="D2538" s="2" t="s">
        <v>161</v>
      </c>
      <c r="E2538" s="15">
        <v>25671.5</v>
      </c>
      <c r="F2538" s="59">
        <v>42826</v>
      </c>
      <c r="G2538" s="15">
        <f t="shared" si="79"/>
        <v>25671.5</v>
      </c>
      <c r="H2538" s="15">
        <f t="shared" si="80"/>
        <v>0</v>
      </c>
      <c r="I2538" s="19"/>
    </row>
    <row r="2539" spans="1:9" ht="15.75" x14ac:dyDescent="0.25">
      <c r="A2539" s="51">
        <v>42816</v>
      </c>
      <c r="B2539" s="52" t="s">
        <v>10357</v>
      </c>
      <c r="C2539" s="18">
        <v>105317</v>
      </c>
      <c r="D2539" s="2" t="s">
        <v>2240</v>
      </c>
      <c r="E2539" s="15">
        <v>6937.1</v>
      </c>
      <c r="F2539" s="59">
        <v>42816</v>
      </c>
      <c r="G2539" s="15">
        <f t="shared" si="79"/>
        <v>6937.1</v>
      </c>
      <c r="H2539" s="15">
        <f t="shared" si="80"/>
        <v>0</v>
      </c>
      <c r="I2539" s="19"/>
    </row>
    <row r="2540" spans="1:9" ht="15.75" x14ac:dyDescent="0.25">
      <c r="A2540" s="51">
        <v>42816</v>
      </c>
      <c r="B2540" s="52" t="s">
        <v>10358</v>
      </c>
      <c r="C2540" s="18">
        <v>105318</v>
      </c>
      <c r="D2540" s="2" t="s">
        <v>155</v>
      </c>
      <c r="E2540" s="15">
        <v>20374.400000000001</v>
      </c>
      <c r="F2540" s="59">
        <v>42791</v>
      </c>
      <c r="G2540" s="15">
        <f t="shared" si="79"/>
        <v>20374.400000000001</v>
      </c>
      <c r="H2540" s="15">
        <f t="shared" si="80"/>
        <v>0</v>
      </c>
      <c r="I2540" s="19"/>
    </row>
    <row r="2541" spans="1:9" ht="15.75" x14ac:dyDescent="0.25">
      <c r="A2541" s="51">
        <v>42816</v>
      </c>
      <c r="B2541" s="52" t="s">
        <v>10359</v>
      </c>
      <c r="C2541" s="18">
        <v>105319</v>
      </c>
      <c r="D2541" s="2" t="s">
        <v>155</v>
      </c>
      <c r="E2541" s="15">
        <v>577.79999999999995</v>
      </c>
      <c r="F2541" s="59">
        <v>43062</v>
      </c>
      <c r="G2541" s="15">
        <f t="shared" si="79"/>
        <v>577.79999999999995</v>
      </c>
      <c r="H2541" s="15">
        <f t="shared" si="80"/>
        <v>0</v>
      </c>
      <c r="I2541" s="19"/>
    </row>
    <row r="2542" spans="1:9" ht="15.75" x14ac:dyDescent="0.25">
      <c r="A2542" s="51">
        <v>42816</v>
      </c>
      <c r="B2542" s="52" t="s">
        <v>10360</v>
      </c>
      <c r="C2542" s="18">
        <v>105320</v>
      </c>
      <c r="D2542" s="2" t="s">
        <v>145</v>
      </c>
      <c r="E2542" s="15">
        <v>6631.2</v>
      </c>
      <c r="F2542" s="59">
        <v>43062</v>
      </c>
      <c r="G2542" s="15">
        <f t="shared" si="79"/>
        <v>6631.2</v>
      </c>
      <c r="H2542" s="15">
        <f t="shared" si="80"/>
        <v>0</v>
      </c>
      <c r="I2542" s="19"/>
    </row>
    <row r="2543" spans="1:9" ht="15.75" x14ac:dyDescent="0.25">
      <c r="A2543" s="51">
        <v>42816</v>
      </c>
      <c r="B2543" s="52" t="s">
        <v>10361</v>
      </c>
      <c r="C2543" s="18">
        <v>105321</v>
      </c>
      <c r="D2543" s="13" t="s">
        <v>509</v>
      </c>
      <c r="E2543" s="14">
        <v>0</v>
      </c>
      <c r="F2543" s="102" t="s">
        <v>95</v>
      </c>
      <c r="G2543" s="14">
        <f t="shared" si="79"/>
        <v>0</v>
      </c>
      <c r="H2543" s="14">
        <f t="shared" si="80"/>
        <v>0</v>
      </c>
      <c r="I2543" s="19"/>
    </row>
    <row r="2544" spans="1:9" ht="15.75" x14ac:dyDescent="0.25">
      <c r="A2544" s="51">
        <v>42816</v>
      </c>
      <c r="B2544" s="52" t="s">
        <v>10362</v>
      </c>
      <c r="C2544" s="18">
        <v>105322</v>
      </c>
      <c r="D2544" s="2" t="s">
        <v>509</v>
      </c>
      <c r="E2544" s="15">
        <v>4382.3999999999996</v>
      </c>
      <c r="F2544" s="59">
        <v>42816</v>
      </c>
      <c r="G2544" s="15">
        <f t="shared" si="79"/>
        <v>4382.3999999999996</v>
      </c>
      <c r="H2544" s="15">
        <f t="shared" si="80"/>
        <v>0</v>
      </c>
      <c r="I2544" s="19"/>
    </row>
    <row r="2545" spans="1:9" ht="15.75" x14ac:dyDescent="0.25">
      <c r="A2545" s="51">
        <v>42816</v>
      </c>
      <c r="B2545" s="52" t="s">
        <v>10363</v>
      </c>
      <c r="C2545" s="18">
        <v>105323</v>
      </c>
      <c r="D2545" s="2" t="s">
        <v>165</v>
      </c>
      <c r="E2545" s="15">
        <v>9701.2000000000007</v>
      </c>
      <c r="F2545" s="59">
        <v>42846</v>
      </c>
      <c r="G2545" s="15">
        <f t="shared" si="79"/>
        <v>9701.2000000000007</v>
      </c>
      <c r="H2545" s="15">
        <f t="shared" si="80"/>
        <v>0</v>
      </c>
      <c r="I2545" s="19"/>
    </row>
    <row r="2546" spans="1:9" ht="15.75" x14ac:dyDescent="0.25">
      <c r="A2546" s="51">
        <v>42816</v>
      </c>
      <c r="B2546" s="52" t="s">
        <v>10364</v>
      </c>
      <c r="C2546" s="18">
        <v>105324</v>
      </c>
      <c r="D2546" s="2" t="s">
        <v>3319</v>
      </c>
      <c r="E2546" s="15">
        <v>11400</v>
      </c>
      <c r="F2546" s="59">
        <v>43062</v>
      </c>
      <c r="G2546" s="15">
        <f t="shared" si="79"/>
        <v>11400</v>
      </c>
      <c r="H2546" s="15">
        <f t="shared" si="80"/>
        <v>0</v>
      </c>
      <c r="I2546" s="19"/>
    </row>
    <row r="2547" spans="1:9" ht="15.75" x14ac:dyDescent="0.25">
      <c r="A2547" s="51">
        <v>42816</v>
      </c>
      <c r="B2547" s="52" t="s">
        <v>10365</v>
      </c>
      <c r="C2547" s="18">
        <v>105325</v>
      </c>
      <c r="D2547" s="2" t="s">
        <v>163</v>
      </c>
      <c r="E2547" s="15">
        <v>7041.6</v>
      </c>
      <c r="F2547" s="59">
        <v>42833</v>
      </c>
      <c r="G2547" s="15">
        <f t="shared" si="79"/>
        <v>7041.6</v>
      </c>
      <c r="H2547" s="15">
        <f t="shared" si="80"/>
        <v>0</v>
      </c>
      <c r="I2547" s="19"/>
    </row>
    <row r="2548" spans="1:9" ht="15.75" x14ac:dyDescent="0.25">
      <c r="A2548" s="51">
        <v>42816</v>
      </c>
      <c r="B2548" s="52" t="s">
        <v>10366</v>
      </c>
      <c r="C2548" s="18">
        <v>105326</v>
      </c>
      <c r="D2548" s="2" t="s">
        <v>145</v>
      </c>
      <c r="E2548" s="15">
        <v>22148</v>
      </c>
      <c r="F2548" s="59">
        <v>43062</v>
      </c>
      <c r="G2548" s="15">
        <f t="shared" si="79"/>
        <v>22148</v>
      </c>
      <c r="H2548" s="15">
        <f t="shared" si="80"/>
        <v>0</v>
      </c>
      <c r="I2548" s="19"/>
    </row>
    <row r="2549" spans="1:9" ht="15.75" x14ac:dyDescent="0.25">
      <c r="A2549" s="51">
        <v>42816</v>
      </c>
      <c r="B2549" s="52" t="s">
        <v>10367</v>
      </c>
      <c r="C2549" s="18">
        <v>105327</v>
      </c>
      <c r="D2549" s="2" t="s">
        <v>193</v>
      </c>
      <c r="E2549" s="15">
        <v>2040</v>
      </c>
      <c r="F2549" s="59">
        <v>43062</v>
      </c>
      <c r="G2549" s="15">
        <f t="shared" si="79"/>
        <v>2040</v>
      </c>
      <c r="H2549" s="15">
        <f t="shared" si="80"/>
        <v>0</v>
      </c>
      <c r="I2549" s="19"/>
    </row>
    <row r="2550" spans="1:9" ht="15.75" x14ac:dyDescent="0.25">
      <c r="A2550" s="51">
        <v>42816</v>
      </c>
      <c r="B2550" s="52" t="s">
        <v>10368</v>
      </c>
      <c r="C2550" s="18">
        <v>105328</v>
      </c>
      <c r="D2550" s="2" t="s">
        <v>182</v>
      </c>
      <c r="E2550" s="15">
        <v>2450</v>
      </c>
      <c r="F2550" s="59">
        <v>43062</v>
      </c>
      <c r="G2550" s="15">
        <f t="shared" si="79"/>
        <v>2450</v>
      </c>
      <c r="H2550" s="15">
        <f t="shared" si="80"/>
        <v>0</v>
      </c>
      <c r="I2550" s="19"/>
    </row>
    <row r="2551" spans="1:9" ht="15.75" x14ac:dyDescent="0.25">
      <c r="A2551" s="51">
        <v>42816</v>
      </c>
      <c r="B2551" s="52" t="s">
        <v>10369</v>
      </c>
      <c r="C2551" s="18">
        <v>105329</v>
      </c>
      <c r="D2551" s="2" t="s">
        <v>10370</v>
      </c>
      <c r="E2551" s="15">
        <v>1598</v>
      </c>
      <c r="F2551" s="59">
        <v>43062</v>
      </c>
      <c r="G2551" s="15">
        <f t="shared" si="79"/>
        <v>1598</v>
      </c>
      <c r="H2551" s="15">
        <f t="shared" si="80"/>
        <v>0</v>
      </c>
      <c r="I2551" s="19"/>
    </row>
    <row r="2552" spans="1:9" ht="15.75" x14ac:dyDescent="0.25">
      <c r="A2552" s="51">
        <v>42816</v>
      </c>
      <c r="B2552" s="52" t="s">
        <v>10371</v>
      </c>
      <c r="C2552" s="18">
        <v>105330</v>
      </c>
      <c r="D2552" s="2" t="s">
        <v>289</v>
      </c>
      <c r="E2552" s="15">
        <v>129251.8</v>
      </c>
      <c r="F2552" s="59">
        <v>42838</v>
      </c>
      <c r="G2552" s="15">
        <f t="shared" si="79"/>
        <v>129251.8</v>
      </c>
      <c r="H2552" s="15">
        <f t="shared" si="80"/>
        <v>0</v>
      </c>
      <c r="I2552" s="19"/>
    </row>
    <row r="2553" spans="1:9" ht="15.75" x14ac:dyDescent="0.25">
      <c r="A2553" s="51">
        <v>42816</v>
      </c>
      <c r="B2553" s="52" t="s">
        <v>10372</v>
      </c>
      <c r="C2553" s="18">
        <v>105331</v>
      </c>
      <c r="D2553" s="2" t="s">
        <v>133</v>
      </c>
      <c r="E2553" s="15">
        <v>42</v>
      </c>
      <c r="F2553" s="59">
        <v>42816</v>
      </c>
      <c r="G2553" s="15">
        <f t="shared" si="79"/>
        <v>42</v>
      </c>
      <c r="H2553" s="15">
        <f t="shared" si="80"/>
        <v>0</v>
      </c>
      <c r="I2553" s="19"/>
    </row>
    <row r="2554" spans="1:9" ht="15.75" x14ac:dyDescent="0.25">
      <c r="A2554" s="51">
        <v>42816</v>
      </c>
      <c r="B2554" s="52" t="s">
        <v>10373</v>
      </c>
      <c r="C2554" s="18">
        <v>105332</v>
      </c>
      <c r="D2554" s="2" t="s">
        <v>1310</v>
      </c>
      <c r="E2554" s="15">
        <v>5040</v>
      </c>
      <c r="F2554" s="59">
        <v>43062</v>
      </c>
      <c r="G2554" s="15">
        <f t="shared" si="79"/>
        <v>5040</v>
      </c>
      <c r="H2554" s="15">
        <f t="shared" si="80"/>
        <v>0</v>
      </c>
      <c r="I2554" s="19"/>
    </row>
    <row r="2555" spans="1:9" ht="15.75" x14ac:dyDescent="0.25">
      <c r="A2555" s="51">
        <v>42816</v>
      </c>
      <c r="B2555" s="52" t="s">
        <v>10374</v>
      </c>
      <c r="C2555" s="18">
        <v>105333</v>
      </c>
      <c r="D2555" s="2" t="s">
        <v>222</v>
      </c>
      <c r="E2555" s="15">
        <v>219153</v>
      </c>
      <c r="F2555" s="59">
        <v>42823</v>
      </c>
      <c r="G2555" s="15">
        <f t="shared" si="79"/>
        <v>219153</v>
      </c>
      <c r="H2555" s="15">
        <f t="shared" si="80"/>
        <v>0</v>
      </c>
      <c r="I2555" s="19"/>
    </row>
    <row r="2556" spans="1:9" ht="15.75" x14ac:dyDescent="0.25">
      <c r="A2556" s="51">
        <v>42816</v>
      </c>
      <c r="B2556" s="52" t="s">
        <v>10375</v>
      </c>
      <c r="C2556" s="18">
        <v>105334</v>
      </c>
      <c r="D2556" s="2" t="s">
        <v>5219</v>
      </c>
      <c r="E2556" s="15">
        <v>4400</v>
      </c>
      <c r="F2556" s="59">
        <v>42816</v>
      </c>
      <c r="G2556" s="15">
        <f t="shared" si="79"/>
        <v>4400</v>
      </c>
      <c r="H2556" s="15">
        <f t="shared" si="80"/>
        <v>0</v>
      </c>
      <c r="I2556" s="19"/>
    </row>
    <row r="2557" spans="1:9" ht="15.75" x14ac:dyDescent="0.25">
      <c r="A2557" s="51">
        <v>42816</v>
      </c>
      <c r="B2557" s="52" t="s">
        <v>10376</v>
      </c>
      <c r="C2557" s="18">
        <v>105335</v>
      </c>
      <c r="D2557" s="2" t="s">
        <v>405</v>
      </c>
      <c r="E2557" s="15">
        <v>3061.8</v>
      </c>
      <c r="F2557" s="59">
        <v>42816</v>
      </c>
      <c r="G2557" s="15">
        <f t="shared" si="79"/>
        <v>3061.8</v>
      </c>
      <c r="H2557" s="15">
        <f t="shared" si="80"/>
        <v>0</v>
      </c>
      <c r="I2557" s="19"/>
    </row>
    <row r="2558" spans="1:9" ht="15.75" x14ac:dyDescent="0.25">
      <c r="A2558" s="51">
        <v>42816</v>
      </c>
      <c r="B2558" s="52" t="s">
        <v>10377</v>
      </c>
      <c r="C2558" s="18">
        <v>105336</v>
      </c>
      <c r="D2558" s="2" t="s">
        <v>5219</v>
      </c>
      <c r="E2558" s="15">
        <v>6351</v>
      </c>
      <c r="F2558" s="59">
        <v>42816</v>
      </c>
      <c r="G2558" s="15">
        <f t="shared" si="79"/>
        <v>6351</v>
      </c>
      <c r="H2558" s="15">
        <f t="shared" si="80"/>
        <v>0</v>
      </c>
      <c r="I2558" s="19"/>
    </row>
    <row r="2559" spans="1:9" ht="15.75" x14ac:dyDescent="0.25">
      <c r="A2559" s="51">
        <v>42816</v>
      </c>
      <c r="B2559" s="52" t="s">
        <v>10378</v>
      </c>
      <c r="C2559" s="18">
        <v>105337</v>
      </c>
      <c r="D2559" s="2" t="s">
        <v>697</v>
      </c>
      <c r="E2559" s="15">
        <v>40331.599999999999</v>
      </c>
      <c r="F2559" s="59">
        <v>42832</v>
      </c>
      <c r="G2559" s="15">
        <f t="shared" si="79"/>
        <v>40331.599999999999</v>
      </c>
      <c r="H2559" s="15">
        <f t="shared" si="80"/>
        <v>0</v>
      </c>
      <c r="I2559" s="19"/>
    </row>
    <row r="2560" spans="1:9" ht="15.75" x14ac:dyDescent="0.25">
      <c r="A2560" s="51">
        <v>42816</v>
      </c>
      <c r="B2560" s="52" t="s">
        <v>10379</v>
      </c>
      <c r="C2560" s="18">
        <v>105338</v>
      </c>
      <c r="D2560" s="2" t="s">
        <v>352</v>
      </c>
      <c r="E2560" s="15">
        <v>1759.4</v>
      </c>
      <c r="F2560" s="59">
        <v>42816</v>
      </c>
      <c r="G2560" s="15">
        <f t="shared" si="79"/>
        <v>1759.4</v>
      </c>
      <c r="H2560" s="15">
        <f t="shared" si="80"/>
        <v>0</v>
      </c>
      <c r="I2560" s="19"/>
    </row>
    <row r="2561" spans="1:9" ht="15.75" x14ac:dyDescent="0.25">
      <c r="A2561" s="51">
        <v>42816</v>
      </c>
      <c r="B2561" s="52" t="s">
        <v>10380</v>
      </c>
      <c r="C2561" s="18">
        <v>105339</v>
      </c>
      <c r="D2561" s="2" t="s">
        <v>115</v>
      </c>
      <c r="E2561" s="15">
        <v>160.80000000000001</v>
      </c>
      <c r="F2561" s="59">
        <v>42816</v>
      </c>
      <c r="G2561" s="15">
        <f t="shared" si="79"/>
        <v>160.80000000000001</v>
      </c>
      <c r="H2561" s="15">
        <f t="shared" si="80"/>
        <v>0</v>
      </c>
      <c r="I2561" s="19"/>
    </row>
    <row r="2562" spans="1:9" ht="15.75" x14ac:dyDescent="0.25">
      <c r="A2562" s="51">
        <v>42816</v>
      </c>
      <c r="B2562" s="52" t="s">
        <v>10381</v>
      </c>
      <c r="C2562" s="18">
        <v>105340</v>
      </c>
      <c r="D2562" s="2" t="s">
        <v>3360</v>
      </c>
      <c r="E2562" s="15">
        <v>2483.1999999999998</v>
      </c>
      <c r="F2562" s="59">
        <v>42816</v>
      </c>
      <c r="G2562" s="15">
        <f t="shared" si="79"/>
        <v>2483.1999999999998</v>
      </c>
      <c r="H2562" s="15">
        <f t="shared" si="80"/>
        <v>0</v>
      </c>
      <c r="I2562" s="19"/>
    </row>
    <row r="2563" spans="1:9" ht="15.75" x14ac:dyDescent="0.25">
      <c r="A2563" s="51">
        <v>42816</v>
      </c>
      <c r="B2563" s="52" t="s">
        <v>10382</v>
      </c>
      <c r="C2563" s="18">
        <v>105341</v>
      </c>
      <c r="D2563" s="2" t="s">
        <v>523</v>
      </c>
      <c r="E2563" s="15">
        <v>31628.400000000001</v>
      </c>
      <c r="F2563" s="59">
        <v>42826</v>
      </c>
      <c r="G2563" s="15">
        <f t="shared" si="79"/>
        <v>31628.400000000001</v>
      </c>
      <c r="H2563" s="15">
        <f t="shared" si="80"/>
        <v>0</v>
      </c>
      <c r="I2563" s="19"/>
    </row>
    <row r="2564" spans="1:9" ht="15.75" x14ac:dyDescent="0.25">
      <c r="A2564" s="51">
        <v>42816</v>
      </c>
      <c r="B2564" s="52" t="s">
        <v>10383</v>
      </c>
      <c r="C2564" s="18">
        <v>105342</v>
      </c>
      <c r="D2564" s="2" t="s">
        <v>222</v>
      </c>
      <c r="E2564" s="15">
        <v>191719</v>
      </c>
      <c r="F2564" s="59">
        <v>42823</v>
      </c>
      <c r="G2564" s="15">
        <f t="shared" ref="G2564:G2627" si="81">E2564</f>
        <v>191719</v>
      </c>
      <c r="H2564" s="15">
        <f t="shared" ref="H2564:H2627" si="82">E2564-G2564</f>
        <v>0</v>
      </c>
      <c r="I2564" s="19"/>
    </row>
    <row r="2565" spans="1:9" ht="15.75" x14ac:dyDescent="0.25">
      <c r="A2565" s="51">
        <v>42816</v>
      </c>
      <c r="B2565" s="52" t="s">
        <v>10384</v>
      </c>
      <c r="C2565" s="18">
        <v>105343</v>
      </c>
      <c r="D2565" s="2" t="s">
        <v>9907</v>
      </c>
      <c r="E2565" s="15">
        <v>5188.3999999999996</v>
      </c>
      <c r="F2565" s="59">
        <v>42816</v>
      </c>
      <c r="G2565" s="15">
        <f t="shared" si="81"/>
        <v>5188.3999999999996</v>
      </c>
      <c r="H2565" s="15">
        <f t="shared" si="82"/>
        <v>0</v>
      </c>
      <c r="I2565" s="19"/>
    </row>
    <row r="2566" spans="1:9" ht="15.75" x14ac:dyDescent="0.25">
      <c r="A2566" s="51">
        <v>42816</v>
      </c>
      <c r="B2566" s="52" t="s">
        <v>10385</v>
      </c>
      <c r="C2566" s="18">
        <v>105344</v>
      </c>
      <c r="D2566" s="2" t="s">
        <v>358</v>
      </c>
      <c r="E2566" s="15">
        <v>32366.06</v>
      </c>
      <c r="F2566" s="59">
        <v>43062</v>
      </c>
      <c r="G2566" s="15">
        <f t="shared" si="81"/>
        <v>32366.06</v>
      </c>
      <c r="H2566" s="15">
        <f t="shared" si="82"/>
        <v>0</v>
      </c>
      <c r="I2566" s="19"/>
    </row>
    <row r="2567" spans="1:9" ht="15.75" x14ac:dyDescent="0.25">
      <c r="A2567" s="51">
        <v>42816</v>
      </c>
      <c r="B2567" s="52" t="s">
        <v>10386</v>
      </c>
      <c r="C2567" s="18">
        <v>105345</v>
      </c>
      <c r="D2567" s="2" t="s">
        <v>205</v>
      </c>
      <c r="E2567" s="15">
        <v>33415.800000000003</v>
      </c>
      <c r="F2567" s="59">
        <v>42847</v>
      </c>
      <c r="G2567" s="15">
        <f t="shared" si="81"/>
        <v>33415.800000000003</v>
      </c>
      <c r="H2567" s="15">
        <f t="shared" si="82"/>
        <v>0</v>
      </c>
      <c r="I2567" s="19"/>
    </row>
    <row r="2568" spans="1:9" ht="15.75" x14ac:dyDescent="0.25">
      <c r="A2568" s="51">
        <v>42816</v>
      </c>
      <c r="B2568" s="52" t="s">
        <v>10387</v>
      </c>
      <c r="C2568" s="18">
        <v>105346</v>
      </c>
      <c r="D2568" s="2" t="s">
        <v>509</v>
      </c>
      <c r="E2568" s="15">
        <v>13527</v>
      </c>
      <c r="F2568" s="59">
        <v>42823</v>
      </c>
      <c r="G2568" s="15">
        <f t="shared" si="81"/>
        <v>13527</v>
      </c>
      <c r="H2568" s="15">
        <f t="shared" si="82"/>
        <v>0</v>
      </c>
      <c r="I2568" s="19"/>
    </row>
    <row r="2569" spans="1:9" ht="15.75" x14ac:dyDescent="0.25">
      <c r="A2569" s="51">
        <v>42816</v>
      </c>
      <c r="B2569" s="52" t="s">
        <v>10388</v>
      </c>
      <c r="C2569" s="18">
        <v>105347</v>
      </c>
      <c r="D2569" s="2" t="s">
        <v>1126</v>
      </c>
      <c r="E2569" s="15">
        <v>3365.3</v>
      </c>
      <c r="F2569" s="59">
        <v>43062</v>
      </c>
      <c r="G2569" s="15">
        <f t="shared" si="81"/>
        <v>3365.3</v>
      </c>
      <c r="H2569" s="15">
        <f t="shared" si="82"/>
        <v>0</v>
      </c>
      <c r="I2569" s="19"/>
    </row>
    <row r="2570" spans="1:9" ht="15.75" x14ac:dyDescent="0.25">
      <c r="A2570" s="51">
        <v>42816</v>
      </c>
      <c r="B2570" s="52" t="s">
        <v>10389</v>
      </c>
      <c r="C2570" s="18">
        <v>105348</v>
      </c>
      <c r="D2570" s="2" t="s">
        <v>923</v>
      </c>
      <c r="E2570" s="15">
        <v>23019.200000000001</v>
      </c>
      <c r="F2570" s="59">
        <v>42821</v>
      </c>
      <c r="G2570" s="15">
        <f t="shared" si="81"/>
        <v>23019.200000000001</v>
      </c>
      <c r="H2570" s="15">
        <f t="shared" si="82"/>
        <v>0</v>
      </c>
      <c r="I2570" s="19"/>
    </row>
    <row r="2571" spans="1:9" ht="15.75" x14ac:dyDescent="0.25">
      <c r="A2571" s="51">
        <v>42816</v>
      </c>
      <c r="B2571" s="52" t="s">
        <v>10390</v>
      </c>
      <c r="C2571" s="18">
        <v>105349</v>
      </c>
      <c r="D2571" s="2" t="s">
        <v>236</v>
      </c>
      <c r="E2571" s="15">
        <v>32724</v>
      </c>
      <c r="F2571" s="59">
        <v>42824</v>
      </c>
      <c r="G2571" s="15">
        <f t="shared" si="81"/>
        <v>32724</v>
      </c>
      <c r="H2571" s="15">
        <f t="shared" si="82"/>
        <v>0</v>
      </c>
      <c r="I2571" s="19"/>
    </row>
    <row r="2572" spans="1:9" ht="15.75" x14ac:dyDescent="0.25">
      <c r="A2572" s="51">
        <v>42816</v>
      </c>
      <c r="B2572" s="52" t="s">
        <v>10391</v>
      </c>
      <c r="C2572" s="18">
        <v>105350</v>
      </c>
      <c r="D2572" s="2" t="s">
        <v>55</v>
      </c>
      <c r="E2572" s="15">
        <v>6831.2</v>
      </c>
      <c r="F2572" s="59">
        <v>42816</v>
      </c>
      <c r="G2572" s="15">
        <f t="shared" si="81"/>
        <v>6831.2</v>
      </c>
      <c r="H2572" s="15">
        <f t="shared" si="82"/>
        <v>0</v>
      </c>
      <c r="I2572" s="19"/>
    </row>
    <row r="2573" spans="1:9" ht="15.75" x14ac:dyDescent="0.25">
      <c r="A2573" s="51">
        <v>42816</v>
      </c>
      <c r="B2573" s="52" t="s">
        <v>10392</v>
      </c>
      <c r="C2573" s="18">
        <v>105351</v>
      </c>
      <c r="D2573" s="2" t="s">
        <v>10</v>
      </c>
      <c r="E2573" s="15">
        <v>240129.56</v>
      </c>
      <c r="F2573" s="64" t="s">
        <v>10393</v>
      </c>
      <c r="G2573" s="20">
        <f>106836.07+133293.49</f>
        <v>240129.56</v>
      </c>
      <c r="H2573" s="20">
        <f t="shared" si="82"/>
        <v>0</v>
      </c>
      <c r="I2573" s="19"/>
    </row>
    <row r="2574" spans="1:9" ht="15.75" x14ac:dyDescent="0.25">
      <c r="A2574" s="51">
        <v>42816</v>
      </c>
      <c r="B2574" s="52" t="s">
        <v>10394</v>
      </c>
      <c r="C2574" s="18">
        <v>105352</v>
      </c>
      <c r="D2574" s="2" t="s">
        <v>3219</v>
      </c>
      <c r="E2574" s="15">
        <v>33393</v>
      </c>
      <c r="F2574" s="59">
        <v>42816</v>
      </c>
      <c r="G2574" s="15">
        <f t="shared" si="81"/>
        <v>33393</v>
      </c>
      <c r="H2574" s="15">
        <f t="shared" si="82"/>
        <v>0</v>
      </c>
      <c r="I2574" s="19"/>
    </row>
    <row r="2575" spans="1:9" ht="15.75" x14ac:dyDescent="0.25">
      <c r="A2575" s="51">
        <v>42816</v>
      </c>
      <c r="B2575" s="52" t="s">
        <v>10395</v>
      </c>
      <c r="C2575" s="18">
        <v>105353</v>
      </c>
      <c r="D2575" s="2" t="s">
        <v>10</v>
      </c>
      <c r="E2575" s="15">
        <v>88897.5</v>
      </c>
      <c r="F2575" s="59">
        <v>42821</v>
      </c>
      <c r="G2575" s="15">
        <f t="shared" si="81"/>
        <v>88897.5</v>
      </c>
      <c r="H2575" s="15">
        <f t="shared" si="82"/>
        <v>0</v>
      </c>
      <c r="I2575" s="19"/>
    </row>
    <row r="2576" spans="1:9" ht="15.75" x14ac:dyDescent="0.25">
      <c r="A2576" s="51">
        <v>42816</v>
      </c>
      <c r="B2576" s="52" t="s">
        <v>10396</v>
      </c>
      <c r="C2576" s="18">
        <v>105354</v>
      </c>
      <c r="D2576" s="2" t="s">
        <v>10</v>
      </c>
      <c r="E2576" s="15">
        <v>21584</v>
      </c>
      <c r="F2576" s="59">
        <v>42821</v>
      </c>
      <c r="G2576" s="15">
        <f t="shared" si="81"/>
        <v>21584</v>
      </c>
      <c r="H2576" s="15">
        <f t="shared" si="82"/>
        <v>0</v>
      </c>
      <c r="I2576" s="19"/>
    </row>
    <row r="2577" spans="1:9" ht="15.75" x14ac:dyDescent="0.25">
      <c r="A2577" s="51">
        <v>42816</v>
      </c>
      <c r="B2577" s="52" t="s">
        <v>10397</v>
      </c>
      <c r="C2577" s="18">
        <v>105355</v>
      </c>
      <c r="D2577" s="2" t="s">
        <v>220</v>
      </c>
      <c r="E2577" s="15">
        <v>2108.6</v>
      </c>
      <c r="F2577" s="59">
        <v>42816</v>
      </c>
      <c r="G2577" s="15">
        <f t="shared" si="81"/>
        <v>2108.6</v>
      </c>
      <c r="H2577" s="15">
        <f t="shared" si="82"/>
        <v>0</v>
      </c>
      <c r="I2577" s="19"/>
    </row>
    <row r="2578" spans="1:9" ht="15.75" x14ac:dyDescent="0.25">
      <c r="A2578" s="51">
        <v>42817</v>
      </c>
      <c r="B2578" s="52" t="s">
        <v>10398</v>
      </c>
      <c r="C2578" s="18">
        <v>105356</v>
      </c>
      <c r="D2578" s="2" t="s">
        <v>231</v>
      </c>
      <c r="E2578" s="15">
        <v>8247.9</v>
      </c>
      <c r="F2578" s="59">
        <v>42818</v>
      </c>
      <c r="G2578" s="15">
        <f t="shared" si="81"/>
        <v>8247.9</v>
      </c>
      <c r="H2578" s="15">
        <f t="shared" si="82"/>
        <v>0</v>
      </c>
      <c r="I2578" s="19"/>
    </row>
    <row r="2579" spans="1:9" ht="15.75" x14ac:dyDescent="0.25">
      <c r="A2579" s="51">
        <v>42817</v>
      </c>
      <c r="B2579" s="52" t="s">
        <v>10399</v>
      </c>
      <c r="C2579" s="18">
        <v>105357</v>
      </c>
      <c r="D2579" s="2" t="s">
        <v>231</v>
      </c>
      <c r="E2579" s="15">
        <v>35797.199999999997</v>
      </c>
      <c r="F2579" s="59">
        <v>42791</v>
      </c>
      <c r="G2579" s="15">
        <f t="shared" si="81"/>
        <v>35797.199999999997</v>
      </c>
      <c r="H2579" s="15">
        <f t="shared" si="82"/>
        <v>0</v>
      </c>
      <c r="I2579" s="19"/>
    </row>
    <row r="2580" spans="1:9" ht="15.75" x14ac:dyDescent="0.25">
      <c r="A2580" s="51">
        <v>42817</v>
      </c>
      <c r="B2580" s="52" t="s">
        <v>10400</v>
      </c>
      <c r="C2580" s="18">
        <v>105358</v>
      </c>
      <c r="D2580" s="13" t="s">
        <v>312</v>
      </c>
      <c r="E2580" s="14">
        <v>0</v>
      </c>
      <c r="F2580" s="102" t="s">
        <v>95</v>
      </c>
      <c r="G2580" s="14">
        <f t="shared" si="81"/>
        <v>0</v>
      </c>
      <c r="H2580" s="14">
        <f t="shared" si="82"/>
        <v>0</v>
      </c>
      <c r="I2580" s="19"/>
    </row>
    <row r="2581" spans="1:9" ht="15.75" x14ac:dyDescent="0.25">
      <c r="A2581" s="51">
        <v>42817</v>
      </c>
      <c r="B2581" s="52" t="s">
        <v>10401</v>
      </c>
      <c r="C2581" s="18">
        <v>105359</v>
      </c>
      <c r="D2581" s="2" t="s">
        <v>69</v>
      </c>
      <c r="E2581" s="15">
        <v>3205.2</v>
      </c>
      <c r="F2581" s="59">
        <v>43062</v>
      </c>
      <c r="G2581" s="15">
        <f t="shared" si="81"/>
        <v>3205.2</v>
      </c>
      <c r="H2581" s="15">
        <f t="shared" si="82"/>
        <v>0</v>
      </c>
      <c r="I2581" s="19"/>
    </row>
    <row r="2582" spans="1:9" ht="15.75" x14ac:dyDescent="0.25">
      <c r="A2582" s="51">
        <v>42817</v>
      </c>
      <c r="B2582" s="52" t="s">
        <v>10402</v>
      </c>
      <c r="C2582" s="18">
        <v>105360</v>
      </c>
      <c r="D2582" s="2" t="s">
        <v>312</v>
      </c>
      <c r="E2582" s="15">
        <v>64257.599999999999</v>
      </c>
      <c r="F2582" s="59">
        <v>42846</v>
      </c>
      <c r="G2582" s="15">
        <f t="shared" si="81"/>
        <v>64257.599999999999</v>
      </c>
      <c r="H2582" s="15">
        <f t="shared" si="82"/>
        <v>0</v>
      </c>
      <c r="I2582" s="19"/>
    </row>
    <row r="2583" spans="1:9" ht="15.75" x14ac:dyDescent="0.25">
      <c r="A2583" s="51">
        <v>42817</v>
      </c>
      <c r="B2583" s="52" t="s">
        <v>10403</v>
      </c>
      <c r="C2583" s="18">
        <v>105361</v>
      </c>
      <c r="D2583" s="2" t="s">
        <v>26</v>
      </c>
      <c r="E2583" s="15">
        <v>20635.8</v>
      </c>
      <c r="F2583" s="59">
        <v>43062</v>
      </c>
      <c r="G2583" s="15">
        <f t="shared" si="81"/>
        <v>20635.8</v>
      </c>
      <c r="H2583" s="15">
        <f t="shared" si="82"/>
        <v>0</v>
      </c>
      <c r="I2583" s="19"/>
    </row>
    <row r="2584" spans="1:9" ht="15.75" x14ac:dyDescent="0.25">
      <c r="A2584" s="51">
        <v>42817</v>
      </c>
      <c r="B2584" s="52" t="s">
        <v>10404</v>
      </c>
      <c r="C2584" s="18">
        <v>105362</v>
      </c>
      <c r="D2584" s="2" t="s">
        <v>55</v>
      </c>
      <c r="E2584" s="15">
        <v>14144</v>
      </c>
      <c r="F2584" s="59">
        <v>43062</v>
      </c>
      <c r="G2584" s="15">
        <f t="shared" si="81"/>
        <v>14144</v>
      </c>
      <c r="H2584" s="15">
        <f t="shared" si="82"/>
        <v>0</v>
      </c>
      <c r="I2584" s="19"/>
    </row>
    <row r="2585" spans="1:9" ht="15.75" x14ac:dyDescent="0.25">
      <c r="A2585" s="51">
        <v>42817</v>
      </c>
      <c r="B2585" s="52" t="s">
        <v>10405</v>
      </c>
      <c r="C2585" s="18">
        <v>105363</v>
      </c>
      <c r="D2585" s="2" t="s">
        <v>428</v>
      </c>
      <c r="E2585" s="15">
        <v>1500</v>
      </c>
      <c r="F2585" s="59">
        <v>42818</v>
      </c>
      <c r="G2585" s="15">
        <f t="shared" si="81"/>
        <v>1500</v>
      </c>
      <c r="H2585" s="15">
        <f t="shared" si="82"/>
        <v>0</v>
      </c>
      <c r="I2585" s="19"/>
    </row>
    <row r="2586" spans="1:9" ht="15.75" x14ac:dyDescent="0.25">
      <c r="A2586" s="51">
        <v>42817</v>
      </c>
      <c r="B2586" s="52" t="s">
        <v>10406</v>
      </c>
      <c r="C2586" s="18">
        <v>105364</v>
      </c>
      <c r="D2586" s="2" t="s">
        <v>32</v>
      </c>
      <c r="E2586" s="15">
        <v>5788.8</v>
      </c>
      <c r="F2586" s="59">
        <v>42824</v>
      </c>
      <c r="G2586" s="15">
        <f t="shared" si="81"/>
        <v>5788.8</v>
      </c>
      <c r="H2586" s="15">
        <f t="shared" si="82"/>
        <v>0</v>
      </c>
      <c r="I2586" s="19"/>
    </row>
    <row r="2587" spans="1:9" ht="15.75" x14ac:dyDescent="0.25">
      <c r="A2587" s="51">
        <v>42817</v>
      </c>
      <c r="B2587" s="52" t="s">
        <v>10407</v>
      </c>
      <c r="C2587" s="18">
        <v>105365</v>
      </c>
      <c r="D2587" s="2" t="s">
        <v>10</v>
      </c>
      <c r="E2587" s="15">
        <v>8324.7000000000007</v>
      </c>
      <c r="F2587" s="59">
        <v>42821</v>
      </c>
      <c r="G2587" s="15">
        <f t="shared" si="81"/>
        <v>8324.7000000000007</v>
      </c>
      <c r="H2587" s="15">
        <f t="shared" si="82"/>
        <v>0</v>
      </c>
      <c r="I2587" s="19"/>
    </row>
    <row r="2588" spans="1:9" ht="15.75" x14ac:dyDescent="0.25">
      <c r="A2588" s="51">
        <v>42817</v>
      </c>
      <c r="B2588" s="52" t="s">
        <v>10408</v>
      </c>
      <c r="C2588" s="18">
        <v>105366</v>
      </c>
      <c r="D2588" s="2" t="s">
        <v>30</v>
      </c>
      <c r="E2588" s="15">
        <v>4012.9</v>
      </c>
      <c r="F2588" s="59">
        <v>43062</v>
      </c>
      <c r="G2588" s="15">
        <f t="shared" si="81"/>
        <v>4012.9</v>
      </c>
      <c r="H2588" s="15">
        <f t="shared" si="82"/>
        <v>0</v>
      </c>
      <c r="I2588" s="19"/>
    </row>
    <row r="2589" spans="1:9" ht="15.75" x14ac:dyDescent="0.25">
      <c r="A2589" s="51">
        <v>42817</v>
      </c>
      <c r="B2589" s="52" t="s">
        <v>10409</v>
      </c>
      <c r="C2589" s="18">
        <v>105367</v>
      </c>
      <c r="D2589" s="2" t="s">
        <v>51</v>
      </c>
      <c r="E2589" s="15">
        <v>3306.6</v>
      </c>
      <c r="F2589" s="59">
        <v>42821</v>
      </c>
      <c r="G2589" s="15">
        <f t="shared" si="81"/>
        <v>3306.6</v>
      </c>
      <c r="H2589" s="15">
        <f t="shared" si="82"/>
        <v>0</v>
      </c>
      <c r="I2589" s="19"/>
    </row>
    <row r="2590" spans="1:9" ht="15.75" x14ac:dyDescent="0.25">
      <c r="A2590" s="51">
        <v>42817</v>
      </c>
      <c r="B2590" s="52" t="s">
        <v>10410</v>
      </c>
      <c r="C2590" s="18">
        <v>105368</v>
      </c>
      <c r="D2590" s="2" t="s">
        <v>28</v>
      </c>
      <c r="E2590" s="15">
        <v>4918.5</v>
      </c>
      <c r="F2590" s="59">
        <v>43062</v>
      </c>
      <c r="G2590" s="15">
        <f t="shared" si="81"/>
        <v>4918.5</v>
      </c>
      <c r="H2590" s="15">
        <f t="shared" si="82"/>
        <v>0</v>
      </c>
      <c r="I2590" s="19"/>
    </row>
    <row r="2591" spans="1:9" ht="15.75" x14ac:dyDescent="0.25">
      <c r="A2591" s="51">
        <v>42817</v>
      </c>
      <c r="B2591" s="52" t="s">
        <v>10411</v>
      </c>
      <c r="C2591" s="18">
        <v>105369</v>
      </c>
      <c r="D2591" s="2" t="s">
        <v>49</v>
      </c>
      <c r="E2591" s="15">
        <v>5973</v>
      </c>
      <c r="F2591" s="59">
        <v>42818</v>
      </c>
      <c r="G2591" s="15">
        <f t="shared" si="81"/>
        <v>5973</v>
      </c>
      <c r="H2591" s="15">
        <f t="shared" si="82"/>
        <v>0</v>
      </c>
      <c r="I2591" s="19"/>
    </row>
    <row r="2592" spans="1:9" ht="15.75" x14ac:dyDescent="0.25">
      <c r="A2592" s="51">
        <v>42817</v>
      </c>
      <c r="B2592" s="52" t="s">
        <v>10412</v>
      </c>
      <c r="C2592" s="18">
        <v>105370</v>
      </c>
      <c r="D2592" s="2" t="s">
        <v>236</v>
      </c>
      <c r="E2592" s="15">
        <v>31024.799999999999</v>
      </c>
      <c r="F2592" s="59">
        <v>42824</v>
      </c>
      <c r="G2592" s="15">
        <f t="shared" si="81"/>
        <v>31024.799999999999</v>
      </c>
      <c r="H2592" s="15">
        <f t="shared" si="82"/>
        <v>0</v>
      </c>
      <c r="I2592" s="19"/>
    </row>
    <row r="2593" spans="1:9" ht="15.75" x14ac:dyDescent="0.25">
      <c r="A2593" s="51">
        <v>42817</v>
      </c>
      <c r="B2593" s="52" t="s">
        <v>10413</v>
      </c>
      <c r="C2593" s="18">
        <v>105371</v>
      </c>
      <c r="D2593" s="2" t="s">
        <v>38</v>
      </c>
      <c r="E2593" s="15">
        <v>2921.2</v>
      </c>
      <c r="F2593" s="64" t="s">
        <v>10414</v>
      </c>
      <c r="G2593" s="20">
        <f>2000+921.2</f>
        <v>2921.2</v>
      </c>
      <c r="H2593" s="20">
        <f t="shared" si="82"/>
        <v>0</v>
      </c>
      <c r="I2593" s="19"/>
    </row>
    <row r="2594" spans="1:9" ht="15.75" x14ac:dyDescent="0.25">
      <c r="A2594" s="51">
        <v>42817</v>
      </c>
      <c r="B2594" s="52" t="s">
        <v>10415</v>
      </c>
      <c r="C2594" s="18">
        <v>105372</v>
      </c>
      <c r="D2594" s="2" t="s">
        <v>10</v>
      </c>
      <c r="E2594" s="15">
        <v>17023.7</v>
      </c>
      <c r="F2594" s="59">
        <v>42821</v>
      </c>
      <c r="G2594" s="15">
        <f t="shared" si="81"/>
        <v>17023.7</v>
      </c>
      <c r="H2594" s="15">
        <f t="shared" si="82"/>
        <v>0</v>
      </c>
      <c r="I2594" s="19"/>
    </row>
    <row r="2595" spans="1:9" ht="15.75" x14ac:dyDescent="0.25">
      <c r="A2595" s="51">
        <v>42817</v>
      </c>
      <c r="B2595" s="52" t="s">
        <v>10416</v>
      </c>
      <c r="C2595" s="18">
        <v>105373</v>
      </c>
      <c r="D2595" s="2" t="s">
        <v>71</v>
      </c>
      <c r="E2595" s="15">
        <v>2402</v>
      </c>
      <c r="F2595" s="59">
        <v>43062</v>
      </c>
      <c r="G2595" s="15">
        <f t="shared" si="81"/>
        <v>2402</v>
      </c>
      <c r="H2595" s="15">
        <f t="shared" si="82"/>
        <v>0</v>
      </c>
      <c r="I2595" s="19"/>
    </row>
    <row r="2596" spans="1:9" ht="15.75" x14ac:dyDescent="0.25">
      <c r="A2596" s="51">
        <v>42817</v>
      </c>
      <c r="B2596" s="52" t="s">
        <v>10417</v>
      </c>
      <c r="C2596" s="18">
        <v>105374</v>
      </c>
      <c r="D2596" s="2" t="s">
        <v>17</v>
      </c>
      <c r="E2596" s="15">
        <v>2450</v>
      </c>
      <c r="F2596" s="59">
        <v>43062</v>
      </c>
      <c r="G2596" s="15">
        <f t="shared" si="81"/>
        <v>2450</v>
      </c>
      <c r="H2596" s="15">
        <f t="shared" si="82"/>
        <v>0</v>
      </c>
      <c r="I2596" s="19"/>
    </row>
    <row r="2597" spans="1:9" ht="15.75" x14ac:dyDescent="0.25">
      <c r="A2597" s="51">
        <v>42817</v>
      </c>
      <c r="B2597" s="52" t="s">
        <v>10418</v>
      </c>
      <c r="C2597" s="18">
        <v>105375</v>
      </c>
      <c r="D2597" s="2" t="s">
        <v>272</v>
      </c>
      <c r="E2597" s="15">
        <v>3078.9</v>
      </c>
      <c r="F2597" s="59">
        <v>42823</v>
      </c>
      <c r="G2597" s="15">
        <f t="shared" si="81"/>
        <v>3078.9</v>
      </c>
      <c r="H2597" s="15">
        <f t="shared" si="82"/>
        <v>0</v>
      </c>
      <c r="I2597" s="19"/>
    </row>
    <row r="2598" spans="1:9" ht="15.75" x14ac:dyDescent="0.25">
      <c r="A2598" s="51">
        <v>42817</v>
      </c>
      <c r="B2598" s="52" t="s">
        <v>10419</v>
      </c>
      <c r="C2598" s="18">
        <v>105376</v>
      </c>
      <c r="D2598" s="2" t="s">
        <v>270</v>
      </c>
      <c r="E2598" s="15">
        <v>4427.1000000000004</v>
      </c>
      <c r="F2598" s="59">
        <v>42823</v>
      </c>
      <c r="G2598" s="15">
        <f t="shared" si="81"/>
        <v>4427.1000000000004</v>
      </c>
      <c r="H2598" s="15">
        <f t="shared" si="82"/>
        <v>0</v>
      </c>
      <c r="I2598" s="19"/>
    </row>
    <row r="2599" spans="1:9" ht="15.75" x14ac:dyDescent="0.25">
      <c r="A2599" s="51">
        <v>42817</v>
      </c>
      <c r="B2599" s="52" t="s">
        <v>10420</v>
      </c>
      <c r="C2599" s="18">
        <v>105377</v>
      </c>
      <c r="D2599" s="2" t="s">
        <v>231</v>
      </c>
      <c r="E2599" s="15">
        <v>1760</v>
      </c>
      <c r="F2599" s="59">
        <v>42791</v>
      </c>
      <c r="G2599" s="15">
        <f t="shared" si="81"/>
        <v>1760</v>
      </c>
      <c r="H2599" s="15">
        <f t="shared" si="82"/>
        <v>0</v>
      </c>
      <c r="I2599" s="19"/>
    </row>
    <row r="2600" spans="1:9" ht="15.75" x14ac:dyDescent="0.25">
      <c r="A2600" s="51">
        <v>42817</v>
      </c>
      <c r="B2600" s="52" t="s">
        <v>10421</v>
      </c>
      <c r="C2600" s="18">
        <v>105378</v>
      </c>
      <c r="D2600" s="2" t="s">
        <v>432</v>
      </c>
      <c r="E2600" s="15">
        <v>12102.2</v>
      </c>
      <c r="F2600" s="59">
        <v>42823</v>
      </c>
      <c r="G2600" s="15">
        <f t="shared" si="81"/>
        <v>12102.2</v>
      </c>
      <c r="H2600" s="15">
        <f t="shared" si="82"/>
        <v>0</v>
      </c>
      <c r="I2600" s="19"/>
    </row>
    <row r="2601" spans="1:9" ht="15.75" x14ac:dyDescent="0.25">
      <c r="A2601" s="51">
        <v>42817</v>
      </c>
      <c r="B2601" s="52" t="s">
        <v>10422</v>
      </c>
      <c r="C2601" s="18">
        <v>105379</v>
      </c>
      <c r="D2601" s="2" t="s">
        <v>133</v>
      </c>
      <c r="E2601" s="15">
        <v>3330.8</v>
      </c>
      <c r="F2601" s="59">
        <v>43062</v>
      </c>
      <c r="G2601" s="15">
        <f t="shared" si="81"/>
        <v>3330.8</v>
      </c>
      <c r="H2601" s="15">
        <f t="shared" si="82"/>
        <v>0</v>
      </c>
      <c r="I2601" s="19"/>
    </row>
    <row r="2602" spans="1:9" ht="15.75" x14ac:dyDescent="0.25">
      <c r="A2602" s="51">
        <v>42817</v>
      </c>
      <c r="B2602" s="52" t="s">
        <v>10423</v>
      </c>
      <c r="C2602" s="18">
        <v>105380</v>
      </c>
      <c r="D2602" s="2" t="s">
        <v>250</v>
      </c>
      <c r="E2602" s="15">
        <v>9385.2000000000007</v>
      </c>
      <c r="F2602" s="59" t="s">
        <v>10424</v>
      </c>
      <c r="G2602" s="15">
        <f>6600+2785.2</f>
        <v>9385.2000000000007</v>
      </c>
      <c r="H2602" s="15">
        <f t="shared" si="82"/>
        <v>0</v>
      </c>
      <c r="I2602" s="19"/>
    </row>
    <row r="2603" spans="1:9" ht="15.75" x14ac:dyDescent="0.25">
      <c r="A2603" s="51">
        <v>42817</v>
      </c>
      <c r="B2603" s="52" t="s">
        <v>10425</v>
      </c>
      <c r="C2603" s="18">
        <v>105381</v>
      </c>
      <c r="D2603" s="13" t="s">
        <v>35</v>
      </c>
      <c r="E2603" s="14">
        <v>0</v>
      </c>
      <c r="F2603" s="102" t="s">
        <v>95</v>
      </c>
      <c r="G2603" s="14">
        <f t="shared" si="81"/>
        <v>0</v>
      </c>
      <c r="H2603" s="14">
        <f t="shared" si="82"/>
        <v>0</v>
      </c>
      <c r="I2603" s="19"/>
    </row>
    <row r="2604" spans="1:9" ht="15.75" x14ac:dyDescent="0.25">
      <c r="A2604" s="51">
        <v>42817</v>
      </c>
      <c r="B2604" s="52" t="s">
        <v>10426</v>
      </c>
      <c r="C2604" s="18">
        <v>105382</v>
      </c>
      <c r="D2604" s="2" t="s">
        <v>157</v>
      </c>
      <c r="E2604" s="15">
        <v>9965.4</v>
      </c>
      <c r="F2604" s="59">
        <v>43062</v>
      </c>
      <c r="G2604" s="15">
        <f t="shared" si="81"/>
        <v>9965.4</v>
      </c>
      <c r="H2604" s="15">
        <f t="shared" si="82"/>
        <v>0</v>
      </c>
      <c r="I2604" s="19"/>
    </row>
    <row r="2605" spans="1:9" ht="15.75" x14ac:dyDescent="0.25">
      <c r="A2605" s="51">
        <v>42817</v>
      </c>
      <c r="B2605" s="52" t="s">
        <v>10427</v>
      </c>
      <c r="C2605" s="18">
        <v>105383</v>
      </c>
      <c r="D2605" s="2" t="s">
        <v>35</v>
      </c>
      <c r="E2605" s="15">
        <v>8489.4500000000007</v>
      </c>
      <c r="F2605" s="59">
        <v>42821</v>
      </c>
      <c r="G2605" s="15">
        <f t="shared" si="81"/>
        <v>8489.4500000000007</v>
      </c>
      <c r="H2605" s="15">
        <f t="shared" si="82"/>
        <v>0</v>
      </c>
      <c r="I2605" s="19"/>
    </row>
    <row r="2606" spans="1:9" ht="15.75" x14ac:dyDescent="0.25">
      <c r="A2606" s="51">
        <v>42817</v>
      </c>
      <c r="B2606" s="52" t="s">
        <v>10428</v>
      </c>
      <c r="C2606" s="18">
        <v>105384</v>
      </c>
      <c r="D2606" s="2" t="s">
        <v>40</v>
      </c>
      <c r="E2606" s="15">
        <v>3663.4</v>
      </c>
      <c r="F2606" s="59">
        <v>42821</v>
      </c>
      <c r="G2606" s="15">
        <f t="shared" si="81"/>
        <v>3663.4</v>
      </c>
      <c r="H2606" s="15">
        <f t="shared" si="82"/>
        <v>0</v>
      </c>
      <c r="I2606" s="19"/>
    </row>
    <row r="2607" spans="1:9" ht="15.75" x14ac:dyDescent="0.25">
      <c r="A2607" s="51">
        <v>42817</v>
      </c>
      <c r="B2607" s="52" t="s">
        <v>10429</v>
      </c>
      <c r="C2607" s="18">
        <v>105385</v>
      </c>
      <c r="D2607" s="2" t="s">
        <v>236</v>
      </c>
      <c r="E2607" s="15">
        <v>32986.800000000003</v>
      </c>
      <c r="F2607" s="59">
        <v>42824</v>
      </c>
      <c r="G2607" s="15">
        <f t="shared" si="81"/>
        <v>32986.800000000003</v>
      </c>
      <c r="H2607" s="15">
        <f t="shared" si="82"/>
        <v>0</v>
      </c>
      <c r="I2607" s="19"/>
    </row>
    <row r="2608" spans="1:9" ht="15.75" x14ac:dyDescent="0.25">
      <c r="A2608" s="51">
        <v>42817</v>
      </c>
      <c r="B2608" s="52" t="s">
        <v>10430</v>
      </c>
      <c r="C2608" s="18">
        <v>105386</v>
      </c>
      <c r="D2608" s="2" t="s">
        <v>47</v>
      </c>
      <c r="E2608" s="15">
        <v>1939.1</v>
      </c>
      <c r="F2608" s="59">
        <v>43062</v>
      </c>
      <c r="G2608" s="15">
        <f t="shared" si="81"/>
        <v>1939.1</v>
      </c>
      <c r="H2608" s="15">
        <f t="shared" si="82"/>
        <v>0</v>
      </c>
      <c r="I2608" s="19"/>
    </row>
    <row r="2609" spans="1:9" ht="15.75" x14ac:dyDescent="0.25">
      <c r="A2609" s="51">
        <v>42817</v>
      </c>
      <c r="B2609" s="52" t="s">
        <v>10431</v>
      </c>
      <c r="C2609" s="18">
        <v>105387</v>
      </c>
      <c r="D2609" s="2" t="s">
        <v>43</v>
      </c>
      <c r="E2609" s="15">
        <v>4213.2</v>
      </c>
      <c r="F2609" s="59">
        <v>42821</v>
      </c>
      <c r="G2609" s="15">
        <f t="shared" si="81"/>
        <v>4213.2</v>
      </c>
      <c r="H2609" s="15">
        <f t="shared" si="82"/>
        <v>0</v>
      </c>
      <c r="I2609" s="19"/>
    </row>
    <row r="2610" spans="1:9" ht="15.75" x14ac:dyDescent="0.25">
      <c r="A2610" s="51">
        <v>42817</v>
      </c>
      <c r="B2610" s="52" t="s">
        <v>10432</v>
      </c>
      <c r="C2610" s="18">
        <v>105388</v>
      </c>
      <c r="D2610" s="2" t="s">
        <v>268</v>
      </c>
      <c r="E2610" s="15">
        <v>16216.2</v>
      </c>
      <c r="F2610" s="59">
        <v>42823</v>
      </c>
      <c r="G2610" s="15">
        <f t="shared" si="81"/>
        <v>16216.2</v>
      </c>
      <c r="H2610" s="15">
        <f t="shared" si="82"/>
        <v>0</v>
      </c>
      <c r="I2610" s="19"/>
    </row>
    <row r="2611" spans="1:9" ht="15.75" x14ac:dyDescent="0.25">
      <c r="A2611" s="51">
        <v>42817</v>
      </c>
      <c r="B2611" s="52" t="s">
        <v>10433</v>
      </c>
      <c r="C2611" s="18">
        <v>105389</v>
      </c>
      <c r="D2611" s="2" t="s">
        <v>30</v>
      </c>
      <c r="E2611" s="15">
        <v>6910</v>
      </c>
      <c r="F2611" s="101" t="s">
        <v>11500</v>
      </c>
      <c r="G2611" s="23">
        <f>6740</f>
        <v>6740</v>
      </c>
      <c r="H2611" s="23">
        <f t="shared" si="82"/>
        <v>170</v>
      </c>
      <c r="I2611" s="19"/>
    </row>
    <row r="2612" spans="1:9" ht="15.75" x14ac:dyDescent="0.25">
      <c r="A2612" s="51">
        <v>42817</v>
      </c>
      <c r="B2612" s="52" t="s">
        <v>10434</v>
      </c>
      <c r="C2612" s="18">
        <v>105390</v>
      </c>
      <c r="D2612" s="2" t="s">
        <v>30</v>
      </c>
      <c r="E2612" s="15">
        <v>18625.2</v>
      </c>
      <c r="F2612" s="59">
        <v>43062</v>
      </c>
      <c r="G2612" s="15">
        <f t="shared" si="81"/>
        <v>18625.2</v>
      </c>
      <c r="H2612" s="15">
        <f t="shared" si="82"/>
        <v>0</v>
      </c>
      <c r="I2612" s="19"/>
    </row>
    <row r="2613" spans="1:9" ht="15.75" x14ac:dyDescent="0.25">
      <c r="A2613" s="51">
        <v>42817</v>
      </c>
      <c r="B2613" s="52" t="s">
        <v>10435</v>
      </c>
      <c r="C2613" s="18">
        <v>105391</v>
      </c>
      <c r="D2613" s="2" t="s">
        <v>5232</v>
      </c>
      <c r="E2613" s="15">
        <v>12134.9</v>
      </c>
      <c r="F2613" s="59">
        <v>43062</v>
      </c>
      <c r="G2613" s="15">
        <f t="shared" si="81"/>
        <v>12134.9</v>
      </c>
      <c r="H2613" s="15">
        <f t="shared" si="82"/>
        <v>0</v>
      </c>
      <c r="I2613" s="19"/>
    </row>
    <row r="2614" spans="1:9" ht="15.75" x14ac:dyDescent="0.25">
      <c r="A2614" s="51">
        <v>42817</v>
      </c>
      <c r="B2614" s="52" t="s">
        <v>10436</v>
      </c>
      <c r="C2614" s="18">
        <v>105392</v>
      </c>
      <c r="D2614" s="2" t="s">
        <v>386</v>
      </c>
      <c r="E2614" s="15">
        <v>4970.3999999999996</v>
      </c>
      <c r="F2614" s="59">
        <v>43062</v>
      </c>
      <c r="G2614" s="15">
        <f t="shared" si="81"/>
        <v>4970.3999999999996</v>
      </c>
      <c r="H2614" s="15">
        <f t="shared" si="82"/>
        <v>0</v>
      </c>
      <c r="I2614" s="19"/>
    </row>
    <row r="2615" spans="1:9" ht="15.75" x14ac:dyDescent="0.25">
      <c r="A2615" s="51">
        <v>42817</v>
      </c>
      <c r="B2615" s="52" t="s">
        <v>10437</v>
      </c>
      <c r="C2615" s="18">
        <v>105393</v>
      </c>
      <c r="D2615" s="2" t="s">
        <v>10438</v>
      </c>
      <c r="E2615" s="15">
        <v>11907</v>
      </c>
      <c r="F2615" s="59">
        <v>43062</v>
      </c>
      <c r="G2615" s="15">
        <f t="shared" si="81"/>
        <v>11907</v>
      </c>
      <c r="H2615" s="15">
        <f t="shared" si="82"/>
        <v>0</v>
      </c>
      <c r="I2615" s="19"/>
    </row>
    <row r="2616" spans="1:9" ht="15.75" x14ac:dyDescent="0.25">
      <c r="A2616" s="51">
        <v>42817</v>
      </c>
      <c r="B2616" s="52" t="s">
        <v>10439</v>
      </c>
      <c r="C2616" s="18">
        <v>105394</v>
      </c>
      <c r="D2616" s="2" t="s">
        <v>21</v>
      </c>
      <c r="E2616" s="15">
        <v>64685</v>
      </c>
      <c r="F2616" s="59">
        <v>42832</v>
      </c>
      <c r="G2616" s="15">
        <f t="shared" si="81"/>
        <v>64685</v>
      </c>
      <c r="H2616" s="15">
        <f t="shared" si="82"/>
        <v>0</v>
      </c>
      <c r="I2616" s="19"/>
    </row>
    <row r="2617" spans="1:9" ht="15.75" x14ac:dyDescent="0.25">
      <c r="A2617" s="51">
        <v>42817</v>
      </c>
      <c r="B2617" s="52" t="s">
        <v>10440</v>
      </c>
      <c r="C2617" s="18">
        <v>105395</v>
      </c>
      <c r="D2617" s="2" t="s">
        <v>1090</v>
      </c>
      <c r="E2617" s="15">
        <v>8731.1</v>
      </c>
      <c r="G2617" s="15">
        <f t="shared" si="81"/>
        <v>8731.1</v>
      </c>
      <c r="H2617" s="15">
        <f t="shared" si="82"/>
        <v>0</v>
      </c>
      <c r="I2617" s="19"/>
    </row>
    <row r="2618" spans="1:9" ht="15.75" x14ac:dyDescent="0.25">
      <c r="A2618" s="51">
        <v>42817</v>
      </c>
      <c r="B2618" s="52" t="s">
        <v>10441</v>
      </c>
      <c r="C2618" s="18">
        <v>105396</v>
      </c>
      <c r="D2618" s="2" t="s">
        <v>240</v>
      </c>
      <c r="E2618" s="15">
        <v>6412.8</v>
      </c>
      <c r="F2618" s="59">
        <v>43062</v>
      </c>
      <c r="G2618" s="15">
        <f t="shared" si="81"/>
        <v>6412.8</v>
      </c>
      <c r="H2618" s="15">
        <f t="shared" si="82"/>
        <v>0</v>
      </c>
      <c r="I2618" s="19"/>
    </row>
    <row r="2619" spans="1:9" ht="15.75" x14ac:dyDescent="0.25">
      <c r="A2619" s="51">
        <v>42817</v>
      </c>
      <c r="B2619" s="52" t="s">
        <v>10442</v>
      </c>
      <c r="C2619" s="18">
        <v>105397</v>
      </c>
      <c r="D2619" s="2" t="s">
        <v>79</v>
      </c>
      <c r="E2619" s="15">
        <v>3318.6</v>
      </c>
      <c r="G2619" s="15">
        <f t="shared" si="81"/>
        <v>3318.6</v>
      </c>
      <c r="H2619" s="15">
        <f t="shared" si="82"/>
        <v>0</v>
      </c>
      <c r="I2619" s="19"/>
    </row>
    <row r="2620" spans="1:9" ht="15.75" x14ac:dyDescent="0.25">
      <c r="A2620" s="51">
        <v>42817</v>
      </c>
      <c r="B2620" s="52" t="s">
        <v>10443</v>
      </c>
      <c r="C2620" s="18">
        <v>105398</v>
      </c>
      <c r="D2620" s="2" t="s">
        <v>120</v>
      </c>
      <c r="E2620" s="15">
        <v>1360</v>
      </c>
      <c r="F2620" s="59">
        <v>43062</v>
      </c>
      <c r="G2620" s="15">
        <f t="shared" si="81"/>
        <v>1360</v>
      </c>
      <c r="H2620" s="15">
        <f t="shared" si="82"/>
        <v>0</v>
      </c>
      <c r="I2620" s="19"/>
    </row>
    <row r="2621" spans="1:9" ht="15.75" x14ac:dyDescent="0.25">
      <c r="A2621" s="51">
        <v>42817</v>
      </c>
      <c r="B2621" s="52" t="s">
        <v>10444</v>
      </c>
      <c r="C2621" s="18">
        <v>105399</v>
      </c>
      <c r="D2621" s="2" t="s">
        <v>188</v>
      </c>
      <c r="E2621" s="15">
        <v>3313.2</v>
      </c>
      <c r="F2621" s="59">
        <v>43062</v>
      </c>
      <c r="G2621" s="15">
        <f t="shared" si="81"/>
        <v>3313.2</v>
      </c>
      <c r="H2621" s="15">
        <f t="shared" si="82"/>
        <v>0</v>
      </c>
      <c r="I2621" s="19"/>
    </row>
    <row r="2622" spans="1:9" ht="15.75" x14ac:dyDescent="0.25">
      <c r="A2622" s="51">
        <v>42817</v>
      </c>
      <c r="B2622" s="52" t="s">
        <v>10445</v>
      </c>
      <c r="C2622" s="18">
        <v>105400</v>
      </c>
      <c r="D2622" s="2" t="s">
        <v>57</v>
      </c>
      <c r="E2622" s="15">
        <v>637</v>
      </c>
      <c r="F2622" s="59">
        <v>43062</v>
      </c>
      <c r="G2622" s="15">
        <f t="shared" si="81"/>
        <v>637</v>
      </c>
      <c r="H2622" s="15">
        <f t="shared" si="82"/>
        <v>0</v>
      </c>
      <c r="I2622" s="19"/>
    </row>
    <row r="2623" spans="1:9" ht="15.75" x14ac:dyDescent="0.25">
      <c r="A2623" s="51">
        <v>42817</v>
      </c>
      <c r="B2623" s="52" t="s">
        <v>10446</v>
      </c>
      <c r="C2623" s="18">
        <v>105401</v>
      </c>
      <c r="D2623" s="2" t="s">
        <v>693</v>
      </c>
      <c r="E2623" s="15">
        <v>15060</v>
      </c>
      <c r="F2623" s="59">
        <v>42822</v>
      </c>
      <c r="G2623" s="15">
        <f t="shared" si="81"/>
        <v>15060</v>
      </c>
      <c r="H2623" s="15">
        <f t="shared" si="82"/>
        <v>0</v>
      </c>
      <c r="I2623" s="19"/>
    </row>
    <row r="2624" spans="1:9" ht="15.75" x14ac:dyDescent="0.25">
      <c r="A2624" s="51">
        <v>42817</v>
      </c>
      <c r="B2624" s="52" t="s">
        <v>10447</v>
      </c>
      <c r="C2624" s="18">
        <v>105402</v>
      </c>
      <c r="D2624" s="2" t="s">
        <v>133</v>
      </c>
      <c r="E2624" s="15">
        <v>19018.8</v>
      </c>
      <c r="F2624" s="59">
        <v>42824</v>
      </c>
      <c r="G2624" s="15">
        <f t="shared" si="81"/>
        <v>19018.8</v>
      </c>
      <c r="H2624" s="15">
        <f t="shared" si="82"/>
        <v>0</v>
      </c>
      <c r="I2624" s="19"/>
    </row>
    <row r="2625" spans="1:9" ht="15.75" x14ac:dyDescent="0.25">
      <c r="A2625" s="51">
        <v>42817</v>
      </c>
      <c r="B2625" s="52" t="s">
        <v>10448</v>
      </c>
      <c r="C2625" s="18">
        <v>105403</v>
      </c>
      <c r="D2625" s="2" t="s">
        <v>45</v>
      </c>
      <c r="E2625" s="15">
        <v>1808.8</v>
      </c>
      <c r="F2625" s="59">
        <v>43062</v>
      </c>
      <c r="G2625" s="15">
        <f t="shared" si="81"/>
        <v>1808.8</v>
      </c>
      <c r="H2625" s="15">
        <f t="shared" si="82"/>
        <v>0</v>
      </c>
      <c r="I2625" s="19"/>
    </row>
    <row r="2626" spans="1:9" ht="15.75" x14ac:dyDescent="0.25">
      <c r="A2626" s="51">
        <v>42817</v>
      </c>
      <c r="B2626" s="52" t="s">
        <v>10449</v>
      </c>
      <c r="C2626" s="18">
        <v>105404</v>
      </c>
      <c r="D2626" s="2" t="s">
        <v>30</v>
      </c>
      <c r="E2626" s="15">
        <v>1888.7</v>
      </c>
      <c r="G2626" s="15">
        <f t="shared" si="81"/>
        <v>1888.7</v>
      </c>
      <c r="H2626" s="15">
        <f t="shared" si="82"/>
        <v>0</v>
      </c>
      <c r="I2626" s="19"/>
    </row>
    <row r="2627" spans="1:9" ht="15.75" x14ac:dyDescent="0.25">
      <c r="A2627" s="51">
        <v>42817</v>
      </c>
      <c r="B2627" s="52" t="s">
        <v>10450</v>
      </c>
      <c r="C2627" s="18">
        <v>105405</v>
      </c>
      <c r="D2627" s="2" t="s">
        <v>492</v>
      </c>
      <c r="E2627" s="15">
        <v>12004.4</v>
      </c>
      <c r="F2627" s="59">
        <v>42791</v>
      </c>
      <c r="G2627" s="15">
        <f t="shared" si="81"/>
        <v>12004.4</v>
      </c>
      <c r="H2627" s="15">
        <f t="shared" si="82"/>
        <v>0</v>
      </c>
      <c r="I2627" s="19"/>
    </row>
    <row r="2628" spans="1:9" ht="15.75" x14ac:dyDescent="0.25">
      <c r="A2628" s="51">
        <v>42817</v>
      </c>
      <c r="B2628" s="52" t="s">
        <v>10451</v>
      </c>
      <c r="C2628" s="18">
        <v>105406</v>
      </c>
      <c r="D2628" s="2" t="s">
        <v>61</v>
      </c>
      <c r="E2628" s="15">
        <v>8910</v>
      </c>
      <c r="F2628" s="59">
        <v>43062</v>
      </c>
      <c r="G2628" s="15">
        <f t="shared" ref="G2628:G2691" si="83">E2628</f>
        <v>8910</v>
      </c>
      <c r="H2628" s="15">
        <f t="shared" ref="H2628:H2691" si="84">E2628-G2628</f>
        <v>0</v>
      </c>
      <c r="I2628" s="19"/>
    </row>
    <row r="2629" spans="1:9" ht="15.75" x14ac:dyDescent="0.25">
      <c r="A2629" s="51">
        <v>42817</v>
      </c>
      <c r="B2629" s="52" t="s">
        <v>10452</v>
      </c>
      <c r="C2629" s="18">
        <v>105407</v>
      </c>
      <c r="D2629" s="2" t="s">
        <v>61</v>
      </c>
      <c r="E2629" s="15">
        <v>1159.5999999999999</v>
      </c>
      <c r="F2629" s="59">
        <v>43062</v>
      </c>
      <c r="G2629" s="15">
        <f t="shared" si="83"/>
        <v>1159.5999999999999</v>
      </c>
      <c r="H2629" s="15">
        <f t="shared" si="84"/>
        <v>0</v>
      </c>
      <c r="I2629" s="19"/>
    </row>
    <row r="2630" spans="1:9" ht="15.75" x14ac:dyDescent="0.25">
      <c r="A2630" s="51">
        <v>42817</v>
      </c>
      <c r="B2630" s="52" t="s">
        <v>10453</v>
      </c>
      <c r="C2630" s="18">
        <v>105408</v>
      </c>
      <c r="D2630" s="2" t="s">
        <v>208</v>
      </c>
      <c r="E2630" s="15">
        <v>18999.7</v>
      </c>
      <c r="F2630" s="59">
        <v>42822</v>
      </c>
      <c r="G2630" s="15">
        <f t="shared" si="83"/>
        <v>18999.7</v>
      </c>
      <c r="H2630" s="15">
        <f t="shared" si="84"/>
        <v>0</v>
      </c>
      <c r="I2630" s="19"/>
    </row>
    <row r="2631" spans="1:9" ht="15.75" x14ac:dyDescent="0.25">
      <c r="A2631" s="51">
        <v>42817</v>
      </c>
      <c r="B2631" s="52" t="s">
        <v>10454</v>
      </c>
      <c r="C2631" s="18">
        <v>105409</v>
      </c>
      <c r="D2631" s="2" t="s">
        <v>30</v>
      </c>
      <c r="E2631" s="15">
        <v>1949.9</v>
      </c>
      <c r="F2631" s="59">
        <v>43062</v>
      </c>
      <c r="G2631" s="15">
        <f t="shared" si="83"/>
        <v>1949.9</v>
      </c>
      <c r="H2631" s="15">
        <f t="shared" si="84"/>
        <v>0</v>
      </c>
      <c r="I2631" s="19"/>
    </row>
    <row r="2632" spans="1:9" ht="15.75" x14ac:dyDescent="0.25">
      <c r="A2632" s="51">
        <v>42817</v>
      </c>
      <c r="B2632" s="52" t="s">
        <v>10455</v>
      </c>
      <c r="C2632" s="18">
        <v>105410</v>
      </c>
      <c r="D2632" s="2" t="s">
        <v>30</v>
      </c>
      <c r="E2632" s="15">
        <v>720</v>
      </c>
      <c r="F2632" s="59">
        <v>43062</v>
      </c>
      <c r="G2632" s="15">
        <f t="shared" si="83"/>
        <v>720</v>
      </c>
      <c r="H2632" s="15">
        <f t="shared" si="84"/>
        <v>0</v>
      </c>
      <c r="I2632" s="19"/>
    </row>
    <row r="2633" spans="1:9" ht="15.75" x14ac:dyDescent="0.25">
      <c r="A2633" s="51">
        <v>42817</v>
      </c>
      <c r="B2633" s="52" t="s">
        <v>10456</v>
      </c>
      <c r="C2633" s="18">
        <v>105411</v>
      </c>
      <c r="D2633" s="2" t="s">
        <v>125</v>
      </c>
      <c r="E2633" s="15">
        <v>7363</v>
      </c>
      <c r="F2633" s="59">
        <v>43062</v>
      </c>
      <c r="G2633" s="15">
        <f t="shared" si="83"/>
        <v>7363</v>
      </c>
      <c r="H2633" s="15">
        <f t="shared" si="84"/>
        <v>0</v>
      </c>
      <c r="I2633" s="19"/>
    </row>
    <row r="2634" spans="1:9" ht="15.75" x14ac:dyDescent="0.25">
      <c r="A2634" s="51">
        <v>42817</v>
      </c>
      <c r="B2634" s="52" t="s">
        <v>10457</v>
      </c>
      <c r="C2634" s="18">
        <v>105412</v>
      </c>
      <c r="D2634" s="2" t="s">
        <v>53</v>
      </c>
      <c r="E2634" s="15">
        <v>1931.7</v>
      </c>
      <c r="F2634" s="59">
        <v>43062</v>
      </c>
      <c r="G2634" s="15">
        <f t="shared" si="83"/>
        <v>1931.7</v>
      </c>
      <c r="H2634" s="15">
        <f t="shared" si="84"/>
        <v>0</v>
      </c>
      <c r="I2634" s="19"/>
    </row>
    <row r="2635" spans="1:9" ht="15.75" x14ac:dyDescent="0.25">
      <c r="A2635" s="51">
        <v>42817</v>
      </c>
      <c r="B2635" s="52" t="s">
        <v>10458</v>
      </c>
      <c r="C2635" s="18">
        <v>105413</v>
      </c>
      <c r="D2635" s="2" t="s">
        <v>103</v>
      </c>
      <c r="E2635" s="15">
        <v>3691.4</v>
      </c>
      <c r="F2635" s="59">
        <v>42818</v>
      </c>
      <c r="G2635" s="15">
        <f t="shared" si="83"/>
        <v>3691.4</v>
      </c>
      <c r="H2635" s="15">
        <f t="shared" si="84"/>
        <v>0</v>
      </c>
      <c r="I2635" s="19"/>
    </row>
    <row r="2636" spans="1:9" ht="15.75" x14ac:dyDescent="0.25">
      <c r="A2636" s="51">
        <v>42817</v>
      </c>
      <c r="B2636" s="52" t="s">
        <v>10459</v>
      </c>
      <c r="C2636" s="18">
        <v>105414</v>
      </c>
      <c r="D2636" s="2" t="s">
        <v>2986</v>
      </c>
      <c r="E2636" s="15">
        <v>3041.5</v>
      </c>
      <c r="F2636" s="59">
        <v>43062</v>
      </c>
      <c r="G2636" s="15">
        <f t="shared" si="83"/>
        <v>3041.5</v>
      </c>
      <c r="H2636" s="15">
        <f t="shared" si="84"/>
        <v>0</v>
      </c>
      <c r="I2636" s="19"/>
    </row>
    <row r="2637" spans="1:9" ht="15.75" x14ac:dyDescent="0.25">
      <c r="A2637" s="51">
        <v>42817</v>
      </c>
      <c r="B2637" s="52" t="s">
        <v>10460</v>
      </c>
      <c r="C2637" s="18">
        <v>105415</v>
      </c>
      <c r="D2637" s="2" t="s">
        <v>122</v>
      </c>
      <c r="E2637" s="15">
        <v>15594</v>
      </c>
      <c r="F2637" s="59">
        <v>42824</v>
      </c>
      <c r="G2637" s="15">
        <f t="shared" si="83"/>
        <v>15594</v>
      </c>
      <c r="H2637" s="15">
        <f t="shared" si="84"/>
        <v>0</v>
      </c>
      <c r="I2637" s="19"/>
    </row>
    <row r="2638" spans="1:9" ht="15.75" x14ac:dyDescent="0.25">
      <c r="A2638" s="51">
        <v>42817</v>
      </c>
      <c r="B2638" s="52" t="s">
        <v>10461</v>
      </c>
      <c r="C2638" s="18">
        <v>105416</v>
      </c>
      <c r="D2638" s="2" t="s">
        <v>1830</v>
      </c>
      <c r="E2638" s="15">
        <v>6370</v>
      </c>
      <c r="F2638" s="59">
        <v>43062</v>
      </c>
      <c r="G2638" s="15">
        <f t="shared" si="83"/>
        <v>6370</v>
      </c>
      <c r="H2638" s="15">
        <f t="shared" si="84"/>
        <v>0</v>
      </c>
      <c r="I2638" s="19"/>
    </row>
    <row r="2639" spans="1:9" ht="15.75" x14ac:dyDescent="0.25">
      <c r="A2639" s="51">
        <v>42817</v>
      </c>
      <c r="B2639" s="52" t="s">
        <v>10462</v>
      </c>
      <c r="C2639" s="18">
        <v>105417</v>
      </c>
      <c r="D2639" s="2" t="s">
        <v>122</v>
      </c>
      <c r="E2639" s="15">
        <v>5662</v>
      </c>
      <c r="F2639" s="59">
        <v>42824</v>
      </c>
      <c r="G2639" s="15">
        <f t="shared" si="83"/>
        <v>5662</v>
      </c>
      <c r="H2639" s="15">
        <f t="shared" si="84"/>
        <v>0</v>
      </c>
      <c r="I2639" s="19"/>
    </row>
    <row r="2640" spans="1:9" ht="15.75" x14ac:dyDescent="0.25">
      <c r="A2640" s="51">
        <v>42817</v>
      </c>
      <c r="B2640" s="52" t="s">
        <v>10463</v>
      </c>
      <c r="C2640" s="18">
        <v>105418</v>
      </c>
      <c r="D2640" s="2" t="s">
        <v>99</v>
      </c>
      <c r="E2640" s="15">
        <v>1974.7</v>
      </c>
      <c r="F2640" s="59">
        <v>43062</v>
      </c>
      <c r="G2640" s="15">
        <f t="shared" si="83"/>
        <v>1974.7</v>
      </c>
      <c r="H2640" s="15">
        <f t="shared" si="84"/>
        <v>0</v>
      </c>
      <c r="I2640" s="19"/>
    </row>
    <row r="2641" spans="1:9" ht="15.75" x14ac:dyDescent="0.25">
      <c r="A2641" s="51">
        <v>42817</v>
      </c>
      <c r="B2641" s="52" t="s">
        <v>10464</v>
      </c>
      <c r="C2641" s="18">
        <v>105419</v>
      </c>
      <c r="D2641" s="2" t="s">
        <v>281</v>
      </c>
      <c r="E2641" s="15">
        <v>2422.8000000000002</v>
      </c>
      <c r="F2641" s="59">
        <v>43062</v>
      </c>
      <c r="G2641" s="15">
        <f t="shared" si="83"/>
        <v>2422.8000000000002</v>
      </c>
      <c r="H2641" s="15">
        <f t="shared" si="84"/>
        <v>0</v>
      </c>
      <c r="I2641" s="19"/>
    </row>
    <row r="2642" spans="1:9" ht="15.75" x14ac:dyDescent="0.25">
      <c r="A2642" s="51">
        <v>42817</v>
      </c>
      <c r="B2642" s="52" t="s">
        <v>10465</v>
      </c>
      <c r="C2642" s="18">
        <v>105420</v>
      </c>
      <c r="D2642" s="2" t="s">
        <v>105</v>
      </c>
      <c r="E2642" s="15">
        <v>518.70000000000005</v>
      </c>
      <c r="F2642" s="59">
        <v>42818</v>
      </c>
      <c r="G2642" s="15">
        <f t="shared" si="83"/>
        <v>518.70000000000005</v>
      </c>
      <c r="H2642" s="15">
        <f t="shared" si="84"/>
        <v>0</v>
      </c>
      <c r="I2642" s="19"/>
    </row>
    <row r="2643" spans="1:9" ht="15.75" x14ac:dyDescent="0.25">
      <c r="A2643" s="51">
        <v>42817</v>
      </c>
      <c r="B2643" s="52" t="s">
        <v>10466</v>
      </c>
      <c r="C2643" s="18">
        <v>105421</v>
      </c>
      <c r="D2643" s="2" t="s">
        <v>12</v>
      </c>
      <c r="E2643" s="15">
        <v>403.2</v>
      </c>
      <c r="F2643" s="59">
        <v>43062</v>
      </c>
      <c r="G2643" s="15">
        <f t="shared" si="83"/>
        <v>403.2</v>
      </c>
      <c r="H2643" s="15">
        <f t="shared" si="84"/>
        <v>0</v>
      </c>
      <c r="I2643" s="19"/>
    </row>
    <row r="2644" spans="1:9" ht="15.75" x14ac:dyDescent="0.25">
      <c r="A2644" s="51">
        <v>42817</v>
      </c>
      <c r="B2644" s="52" t="s">
        <v>10467</v>
      </c>
      <c r="C2644" s="18">
        <v>105422</v>
      </c>
      <c r="D2644" s="2" t="s">
        <v>773</v>
      </c>
      <c r="E2644" s="15">
        <v>1050</v>
      </c>
      <c r="F2644" s="59">
        <v>43062</v>
      </c>
      <c r="G2644" s="15">
        <f t="shared" si="83"/>
        <v>1050</v>
      </c>
      <c r="H2644" s="15">
        <f t="shared" si="84"/>
        <v>0</v>
      </c>
      <c r="I2644" s="19"/>
    </row>
    <row r="2645" spans="1:9" ht="15.75" x14ac:dyDescent="0.25">
      <c r="A2645" s="51">
        <v>42817</v>
      </c>
      <c r="B2645" s="52" t="s">
        <v>10468</v>
      </c>
      <c r="C2645" s="18">
        <v>105423</v>
      </c>
      <c r="D2645" s="2" t="s">
        <v>1259</v>
      </c>
      <c r="E2645" s="15">
        <v>1185.5999999999999</v>
      </c>
      <c r="F2645" s="59">
        <v>43062</v>
      </c>
      <c r="G2645" s="15">
        <f t="shared" si="83"/>
        <v>1185.5999999999999</v>
      </c>
      <c r="H2645" s="15">
        <f t="shared" si="84"/>
        <v>0</v>
      </c>
      <c r="I2645" s="19"/>
    </row>
    <row r="2646" spans="1:9" ht="15.75" x14ac:dyDescent="0.25">
      <c r="A2646" s="51">
        <v>42817</v>
      </c>
      <c r="B2646" s="52" t="s">
        <v>10469</v>
      </c>
      <c r="C2646" s="18">
        <v>105424</v>
      </c>
      <c r="D2646" s="2" t="s">
        <v>291</v>
      </c>
      <c r="E2646" s="15">
        <v>2228.6999999999998</v>
      </c>
      <c r="F2646" s="59">
        <v>43062</v>
      </c>
      <c r="G2646" s="15">
        <f t="shared" si="83"/>
        <v>2228.6999999999998</v>
      </c>
      <c r="H2646" s="15">
        <f t="shared" si="84"/>
        <v>0</v>
      </c>
      <c r="I2646" s="19"/>
    </row>
    <row r="2647" spans="1:9" ht="15.75" x14ac:dyDescent="0.25">
      <c r="A2647" s="51">
        <v>42817</v>
      </c>
      <c r="B2647" s="52" t="s">
        <v>10470</v>
      </c>
      <c r="C2647" s="18">
        <v>105425</v>
      </c>
      <c r="D2647" s="2" t="s">
        <v>470</v>
      </c>
      <c r="E2647" s="15">
        <v>10689.6</v>
      </c>
      <c r="F2647" s="59">
        <v>43062</v>
      </c>
      <c r="G2647" s="15">
        <f t="shared" si="83"/>
        <v>10689.6</v>
      </c>
      <c r="H2647" s="15">
        <f t="shared" si="84"/>
        <v>0</v>
      </c>
      <c r="I2647" s="19"/>
    </row>
    <row r="2648" spans="1:9" ht="15.75" x14ac:dyDescent="0.25">
      <c r="A2648" s="51">
        <v>42817</v>
      </c>
      <c r="B2648" s="52" t="s">
        <v>10471</v>
      </c>
      <c r="C2648" s="18">
        <v>105426</v>
      </c>
      <c r="D2648" s="2" t="s">
        <v>83</v>
      </c>
      <c r="E2648" s="15">
        <v>2621.4</v>
      </c>
      <c r="F2648" s="59">
        <v>43062</v>
      </c>
      <c r="G2648" s="15">
        <f t="shared" si="83"/>
        <v>2621.4</v>
      </c>
      <c r="H2648" s="15">
        <f t="shared" si="84"/>
        <v>0</v>
      </c>
      <c r="I2648" s="19"/>
    </row>
    <row r="2649" spans="1:9" ht="15.75" x14ac:dyDescent="0.25">
      <c r="A2649" s="51">
        <v>42817</v>
      </c>
      <c r="B2649" s="52" t="s">
        <v>10472</v>
      </c>
      <c r="C2649" s="18">
        <v>105427</v>
      </c>
      <c r="D2649" s="2" t="s">
        <v>1380</v>
      </c>
      <c r="E2649" s="15">
        <v>5310.8</v>
      </c>
      <c r="F2649" s="59">
        <v>43062</v>
      </c>
      <c r="G2649" s="15">
        <f t="shared" si="83"/>
        <v>5310.8</v>
      </c>
      <c r="H2649" s="15">
        <f t="shared" si="84"/>
        <v>0</v>
      </c>
      <c r="I2649" s="19"/>
    </row>
    <row r="2650" spans="1:9" ht="15.75" x14ac:dyDescent="0.25">
      <c r="A2650" s="51">
        <v>42817</v>
      </c>
      <c r="B2650" s="52" t="s">
        <v>10473</v>
      </c>
      <c r="C2650" s="18">
        <v>105428</v>
      </c>
      <c r="D2650" s="2" t="s">
        <v>1256</v>
      </c>
      <c r="E2650" s="15">
        <v>3879.6</v>
      </c>
      <c r="F2650" s="59" t="s">
        <v>10474</v>
      </c>
      <c r="G2650" s="15">
        <f>1000+2879.6</f>
        <v>3879.6</v>
      </c>
      <c r="H2650" s="15">
        <f t="shared" si="84"/>
        <v>0</v>
      </c>
      <c r="I2650" s="19"/>
    </row>
    <row r="2651" spans="1:9" ht="15.75" x14ac:dyDescent="0.25">
      <c r="A2651" s="51">
        <v>42817</v>
      </c>
      <c r="B2651" s="52" t="s">
        <v>10475</v>
      </c>
      <c r="C2651" s="18">
        <v>105429</v>
      </c>
      <c r="D2651" s="2" t="s">
        <v>109</v>
      </c>
      <c r="E2651" s="15">
        <v>3305.6</v>
      </c>
      <c r="F2651" s="59">
        <v>43062</v>
      </c>
      <c r="G2651" s="15">
        <f t="shared" si="83"/>
        <v>3305.6</v>
      </c>
      <c r="H2651" s="15">
        <f t="shared" si="84"/>
        <v>0</v>
      </c>
      <c r="I2651" s="19"/>
    </row>
    <row r="2652" spans="1:9" ht="15.75" x14ac:dyDescent="0.25">
      <c r="A2652" s="51">
        <v>42817</v>
      </c>
      <c r="B2652" s="52" t="s">
        <v>10476</v>
      </c>
      <c r="C2652" s="18">
        <v>105430</v>
      </c>
      <c r="D2652" s="2" t="s">
        <v>293</v>
      </c>
      <c r="E2652" s="15">
        <v>780</v>
      </c>
      <c r="F2652" s="59">
        <v>43062</v>
      </c>
      <c r="G2652" s="15">
        <f t="shared" si="83"/>
        <v>780</v>
      </c>
      <c r="H2652" s="15">
        <f t="shared" si="84"/>
        <v>0</v>
      </c>
      <c r="I2652" s="19"/>
    </row>
    <row r="2653" spans="1:9" ht="15.75" x14ac:dyDescent="0.25">
      <c r="A2653" s="51">
        <v>42817</v>
      </c>
      <c r="B2653" s="52" t="s">
        <v>10477</v>
      </c>
      <c r="C2653" s="18">
        <v>105431</v>
      </c>
      <c r="D2653" s="2" t="s">
        <v>231</v>
      </c>
      <c r="E2653" s="15">
        <v>8731.2000000000007</v>
      </c>
      <c r="F2653" s="59">
        <v>42791</v>
      </c>
      <c r="G2653" s="15">
        <f t="shared" si="83"/>
        <v>8731.2000000000007</v>
      </c>
      <c r="H2653" s="15">
        <f t="shared" si="84"/>
        <v>0</v>
      </c>
      <c r="I2653" s="19"/>
    </row>
    <row r="2654" spans="1:9" ht="15.75" x14ac:dyDescent="0.25">
      <c r="A2654" s="51">
        <v>42817</v>
      </c>
      <c r="B2654" s="52" t="s">
        <v>10478</v>
      </c>
      <c r="C2654" s="18">
        <v>105432</v>
      </c>
      <c r="D2654" s="2" t="s">
        <v>305</v>
      </c>
      <c r="E2654" s="15">
        <v>4206.1000000000004</v>
      </c>
      <c r="F2654" s="59">
        <v>42822</v>
      </c>
      <c r="G2654" s="15">
        <f t="shared" si="83"/>
        <v>4206.1000000000004</v>
      </c>
      <c r="H2654" s="15">
        <f t="shared" si="84"/>
        <v>0</v>
      </c>
      <c r="I2654" s="19"/>
    </row>
    <row r="2655" spans="1:9" ht="15.75" x14ac:dyDescent="0.25">
      <c r="A2655" s="51">
        <v>42817</v>
      </c>
      <c r="B2655" s="52" t="s">
        <v>10479</v>
      </c>
      <c r="C2655" s="18">
        <v>105433</v>
      </c>
      <c r="D2655" s="2" t="s">
        <v>159</v>
      </c>
      <c r="E2655" s="15">
        <v>8780.6</v>
      </c>
      <c r="F2655" s="59">
        <v>42818</v>
      </c>
      <c r="G2655" s="15">
        <f t="shared" si="83"/>
        <v>8780.6</v>
      </c>
      <c r="H2655" s="15">
        <f t="shared" si="84"/>
        <v>0</v>
      </c>
      <c r="I2655" s="19"/>
    </row>
    <row r="2656" spans="1:9" ht="15.75" x14ac:dyDescent="0.25">
      <c r="A2656" s="51">
        <v>42817</v>
      </c>
      <c r="B2656" s="52" t="s">
        <v>10480</v>
      </c>
      <c r="C2656" s="18">
        <v>105434</v>
      </c>
      <c r="D2656" s="2" t="s">
        <v>476</v>
      </c>
      <c r="E2656" s="15">
        <v>22887.599999999999</v>
      </c>
      <c r="F2656" s="59">
        <v>42822</v>
      </c>
      <c r="G2656" s="15">
        <f t="shared" si="83"/>
        <v>22887.599999999999</v>
      </c>
      <c r="H2656" s="15">
        <f t="shared" si="84"/>
        <v>0</v>
      </c>
      <c r="I2656" s="19"/>
    </row>
    <row r="2657" spans="1:9" ht="15.75" x14ac:dyDescent="0.25">
      <c r="A2657" s="51">
        <v>42817</v>
      </c>
      <c r="B2657" s="52" t="s">
        <v>10481</v>
      </c>
      <c r="C2657" s="18">
        <v>105435</v>
      </c>
      <c r="D2657" s="2" t="s">
        <v>1634</v>
      </c>
      <c r="E2657" s="15">
        <v>1120</v>
      </c>
      <c r="F2657" s="59">
        <v>43062</v>
      </c>
      <c r="G2657" s="15">
        <f t="shared" si="83"/>
        <v>1120</v>
      </c>
      <c r="H2657" s="15">
        <f t="shared" si="84"/>
        <v>0</v>
      </c>
      <c r="I2657" s="19"/>
    </row>
    <row r="2658" spans="1:9" ht="15.75" x14ac:dyDescent="0.25">
      <c r="A2658" s="51">
        <v>42817</v>
      </c>
      <c r="B2658" s="52" t="s">
        <v>10482</v>
      </c>
      <c r="C2658" s="18">
        <v>105436</v>
      </c>
      <c r="D2658" s="2" t="s">
        <v>205</v>
      </c>
      <c r="E2658" s="15">
        <v>9658.5</v>
      </c>
      <c r="F2658" s="59">
        <v>43062</v>
      </c>
      <c r="G2658" s="15">
        <f t="shared" si="83"/>
        <v>9658.5</v>
      </c>
      <c r="H2658" s="15">
        <f t="shared" si="84"/>
        <v>0</v>
      </c>
      <c r="I2658" s="19"/>
    </row>
    <row r="2659" spans="1:9" ht="15.75" x14ac:dyDescent="0.25">
      <c r="A2659" s="51">
        <v>42817</v>
      </c>
      <c r="B2659" s="52" t="s">
        <v>10483</v>
      </c>
      <c r="C2659" s="18">
        <v>105437</v>
      </c>
      <c r="D2659" s="2" t="s">
        <v>2054</v>
      </c>
      <c r="E2659" s="15">
        <v>1118.7</v>
      </c>
      <c r="F2659" s="59">
        <v>43062</v>
      </c>
      <c r="G2659" s="15">
        <f t="shared" si="83"/>
        <v>1118.7</v>
      </c>
      <c r="H2659" s="15">
        <f t="shared" si="84"/>
        <v>0</v>
      </c>
      <c r="I2659" s="19"/>
    </row>
    <row r="2660" spans="1:9" ht="15.75" x14ac:dyDescent="0.25">
      <c r="A2660" s="51">
        <v>42817</v>
      </c>
      <c r="B2660" s="52" t="s">
        <v>10484</v>
      </c>
      <c r="C2660" s="18">
        <v>105438</v>
      </c>
      <c r="D2660" s="2" t="s">
        <v>10</v>
      </c>
      <c r="E2660" s="15">
        <v>257236.42</v>
      </c>
      <c r="F2660" s="59">
        <v>42821</v>
      </c>
      <c r="G2660" s="15">
        <f t="shared" si="83"/>
        <v>257236.42</v>
      </c>
      <c r="H2660" s="15">
        <f t="shared" si="84"/>
        <v>0</v>
      </c>
      <c r="I2660" s="19"/>
    </row>
    <row r="2661" spans="1:9" ht="15.75" x14ac:dyDescent="0.25">
      <c r="A2661" s="51">
        <v>42817</v>
      </c>
      <c r="B2661" s="52" t="s">
        <v>10485</v>
      </c>
      <c r="C2661" s="18">
        <v>105439</v>
      </c>
      <c r="D2661" s="2" t="s">
        <v>298</v>
      </c>
      <c r="E2661" s="15">
        <v>780</v>
      </c>
      <c r="F2661" s="59">
        <v>43062</v>
      </c>
      <c r="G2661" s="15">
        <f t="shared" si="83"/>
        <v>780</v>
      </c>
      <c r="H2661" s="15">
        <f t="shared" si="84"/>
        <v>0</v>
      </c>
      <c r="I2661" s="19"/>
    </row>
    <row r="2662" spans="1:9" ht="15.75" x14ac:dyDescent="0.25">
      <c r="A2662" s="51">
        <v>42817</v>
      </c>
      <c r="B2662" s="52" t="s">
        <v>10486</v>
      </c>
      <c r="C2662" s="18">
        <v>105440</v>
      </c>
      <c r="D2662" s="2" t="s">
        <v>176</v>
      </c>
      <c r="E2662" s="15">
        <v>777</v>
      </c>
      <c r="G2662" s="15">
        <f t="shared" si="83"/>
        <v>777</v>
      </c>
      <c r="H2662" s="15">
        <f t="shared" si="84"/>
        <v>0</v>
      </c>
      <c r="I2662" s="19"/>
    </row>
    <row r="2663" spans="1:9" ht="15.75" x14ac:dyDescent="0.25">
      <c r="A2663" s="51">
        <v>42817</v>
      </c>
      <c r="B2663" s="52" t="s">
        <v>10487</v>
      </c>
      <c r="C2663" s="18">
        <v>105441</v>
      </c>
      <c r="D2663" s="2" t="s">
        <v>176</v>
      </c>
      <c r="E2663" s="15">
        <v>956.8</v>
      </c>
      <c r="F2663" s="59">
        <v>43062</v>
      </c>
      <c r="G2663" s="15">
        <f t="shared" si="83"/>
        <v>956.8</v>
      </c>
      <c r="H2663" s="15">
        <f t="shared" si="84"/>
        <v>0</v>
      </c>
      <c r="I2663" s="19"/>
    </row>
    <row r="2664" spans="1:9" ht="15.75" x14ac:dyDescent="0.25">
      <c r="A2664" s="51">
        <v>42817</v>
      </c>
      <c r="B2664" s="52" t="s">
        <v>10488</v>
      </c>
      <c r="C2664" s="18">
        <v>105442</v>
      </c>
      <c r="D2664" s="2" t="s">
        <v>329</v>
      </c>
      <c r="E2664" s="15">
        <v>338</v>
      </c>
      <c r="F2664" s="59">
        <v>43062</v>
      </c>
      <c r="G2664" s="15">
        <f t="shared" si="83"/>
        <v>338</v>
      </c>
      <c r="H2664" s="15">
        <f t="shared" si="84"/>
        <v>0</v>
      </c>
      <c r="I2664" s="19"/>
    </row>
    <row r="2665" spans="1:9" ht="15.75" x14ac:dyDescent="0.25">
      <c r="A2665" s="51">
        <v>42817</v>
      </c>
      <c r="B2665" s="52" t="s">
        <v>10489</v>
      </c>
      <c r="C2665" s="18">
        <v>105443</v>
      </c>
      <c r="D2665" s="2" t="s">
        <v>10</v>
      </c>
      <c r="E2665" s="15">
        <v>86014.92</v>
      </c>
      <c r="F2665" s="59">
        <v>42821</v>
      </c>
      <c r="G2665" s="15">
        <f>54261.06+31753.86</f>
        <v>86014.92</v>
      </c>
      <c r="H2665" s="15">
        <f t="shared" si="84"/>
        <v>0</v>
      </c>
      <c r="I2665" s="19"/>
    </row>
    <row r="2666" spans="1:9" ht="15.75" x14ac:dyDescent="0.25">
      <c r="A2666" s="51">
        <v>42817</v>
      </c>
      <c r="B2666" s="52" t="s">
        <v>10490</v>
      </c>
      <c r="C2666" s="18">
        <v>105444</v>
      </c>
      <c r="D2666" s="2" t="s">
        <v>335</v>
      </c>
      <c r="E2666" s="15">
        <v>1431</v>
      </c>
      <c r="F2666" s="59">
        <v>42827</v>
      </c>
      <c r="G2666" s="15">
        <f t="shared" si="83"/>
        <v>1431</v>
      </c>
      <c r="H2666" s="15">
        <f t="shared" si="84"/>
        <v>0</v>
      </c>
      <c r="I2666" s="19"/>
    </row>
    <row r="2667" spans="1:9" ht="15.75" x14ac:dyDescent="0.25">
      <c r="A2667" s="51">
        <v>42817</v>
      </c>
      <c r="B2667" s="52" t="s">
        <v>10491</v>
      </c>
      <c r="C2667" s="18">
        <v>105445</v>
      </c>
      <c r="D2667" s="2" t="s">
        <v>186</v>
      </c>
      <c r="E2667" s="15">
        <v>500</v>
      </c>
      <c r="F2667" s="59">
        <v>42827</v>
      </c>
      <c r="G2667" s="15">
        <f t="shared" si="83"/>
        <v>500</v>
      </c>
      <c r="H2667" s="15">
        <f t="shared" si="84"/>
        <v>0</v>
      </c>
      <c r="I2667" s="19"/>
    </row>
    <row r="2668" spans="1:9" ht="15.75" x14ac:dyDescent="0.25">
      <c r="A2668" s="51">
        <v>42817</v>
      </c>
      <c r="B2668" s="52" t="s">
        <v>10492</v>
      </c>
      <c r="C2668" s="18">
        <v>105446</v>
      </c>
      <c r="D2668" s="2" t="s">
        <v>656</v>
      </c>
      <c r="E2668" s="15">
        <v>9796.4</v>
      </c>
      <c r="F2668" s="59">
        <v>42818</v>
      </c>
      <c r="G2668" s="15">
        <f t="shared" si="83"/>
        <v>9796.4</v>
      </c>
      <c r="H2668" s="15">
        <f t="shared" si="84"/>
        <v>0</v>
      </c>
      <c r="I2668" s="19"/>
    </row>
    <row r="2669" spans="1:9" ht="15.75" x14ac:dyDescent="0.25">
      <c r="A2669" s="51">
        <v>42817</v>
      </c>
      <c r="B2669" s="52" t="s">
        <v>10493</v>
      </c>
      <c r="C2669" s="18">
        <v>105447</v>
      </c>
      <c r="D2669" s="2" t="s">
        <v>182</v>
      </c>
      <c r="E2669" s="15">
        <v>2464.6999999999998</v>
      </c>
      <c r="F2669" s="59">
        <v>42818</v>
      </c>
      <c r="G2669" s="15">
        <f t="shared" si="83"/>
        <v>2464.6999999999998</v>
      </c>
      <c r="H2669" s="15">
        <f t="shared" si="84"/>
        <v>0</v>
      </c>
      <c r="I2669" s="19"/>
    </row>
    <row r="2670" spans="1:9" ht="15.75" x14ac:dyDescent="0.25">
      <c r="A2670" s="51">
        <v>42817</v>
      </c>
      <c r="B2670" s="52" t="s">
        <v>10494</v>
      </c>
      <c r="C2670" s="18">
        <v>105448</v>
      </c>
      <c r="D2670" s="2" t="s">
        <v>236</v>
      </c>
      <c r="E2670" s="15">
        <v>2273.1999999999998</v>
      </c>
      <c r="F2670" s="59">
        <v>42824</v>
      </c>
      <c r="G2670" s="15">
        <f t="shared" si="83"/>
        <v>2273.1999999999998</v>
      </c>
      <c r="H2670" s="15">
        <f t="shared" si="84"/>
        <v>0</v>
      </c>
      <c r="I2670" s="19"/>
    </row>
    <row r="2671" spans="1:9" ht="15.75" x14ac:dyDescent="0.25">
      <c r="A2671" s="51">
        <v>42817</v>
      </c>
      <c r="B2671" s="52" t="s">
        <v>10495</v>
      </c>
      <c r="C2671" s="18">
        <v>105449</v>
      </c>
      <c r="D2671" s="2" t="s">
        <v>9</v>
      </c>
      <c r="E2671" s="15">
        <v>6290.8</v>
      </c>
      <c r="F2671" s="59">
        <v>42791</v>
      </c>
      <c r="G2671" s="15">
        <f t="shared" si="83"/>
        <v>6290.8</v>
      </c>
      <c r="H2671" s="15">
        <f t="shared" si="84"/>
        <v>0</v>
      </c>
      <c r="I2671" s="19"/>
    </row>
    <row r="2672" spans="1:9" ht="15.75" x14ac:dyDescent="0.25">
      <c r="A2672" s="51">
        <v>42817</v>
      </c>
      <c r="B2672" s="52" t="s">
        <v>10496</v>
      </c>
      <c r="C2672" s="18">
        <v>105450</v>
      </c>
      <c r="D2672" s="2" t="s">
        <v>528</v>
      </c>
      <c r="E2672" s="15">
        <v>5445.5</v>
      </c>
      <c r="F2672" s="59">
        <v>42818</v>
      </c>
      <c r="G2672" s="15">
        <f t="shared" si="83"/>
        <v>5445.5</v>
      </c>
      <c r="H2672" s="15">
        <f t="shared" si="84"/>
        <v>0</v>
      </c>
      <c r="I2672" s="19"/>
    </row>
    <row r="2673" spans="1:9" ht="15.75" x14ac:dyDescent="0.25">
      <c r="A2673" s="51">
        <v>42817</v>
      </c>
      <c r="B2673" s="52" t="s">
        <v>10497</v>
      </c>
      <c r="C2673" s="18">
        <v>105451</v>
      </c>
      <c r="D2673" s="2" t="s">
        <v>205</v>
      </c>
      <c r="E2673" s="15">
        <v>10119.200000000001</v>
      </c>
      <c r="G2673" s="15">
        <f t="shared" si="83"/>
        <v>10119.200000000001</v>
      </c>
      <c r="H2673" s="15">
        <f t="shared" si="84"/>
        <v>0</v>
      </c>
      <c r="I2673" s="19"/>
    </row>
    <row r="2674" spans="1:9" ht="15.75" x14ac:dyDescent="0.25">
      <c r="A2674" s="51">
        <v>42817</v>
      </c>
      <c r="B2674" s="52" t="s">
        <v>10498</v>
      </c>
      <c r="C2674" s="18">
        <v>105452</v>
      </c>
      <c r="D2674" s="2" t="s">
        <v>69</v>
      </c>
      <c r="E2674" s="15">
        <v>2816</v>
      </c>
      <c r="F2674" s="59">
        <v>42818</v>
      </c>
      <c r="G2674" s="15">
        <f t="shared" si="83"/>
        <v>2816</v>
      </c>
      <c r="H2674" s="15">
        <f t="shared" si="84"/>
        <v>0</v>
      </c>
      <c r="I2674" s="19"/>
    </row>
    <row r="2675" spans="1:9" ht="15.75" x14ac:dyDescent="0.25">
      <c r="A2675" s="51">
        <v>42817</v>
      </c>
      <c r="B2675" s="52" t="s">
        <v>10499</v>
      </c>
      <c r="C2675" s="18">
        <v>105453</v>
      </c>
      <c r="D2675" s="2" t="s">
        <v>302</v>
      </c>
      <c r="E2675" s="15">
        <v>12387.4</v>
      </c>
      <c r="F2675" s="59">
        <v>42818</v>
      </c>
      <c r="G2675" s="15">
        <f t="shared" si="83"/>
        <v>12387.4</v>
      </c>
      <c r="H2675" s="15">
        <f t="shared" si="84"/>
        <v>0</v>
      </c>
      <c r="I2675" s="19"/>
    </row>
    <row r="2676" spans="1:9" ht="15.75" x14ac:dyDescent="0.25">
      <c r="A2676" s="51">
        <v>42817</v>
      </c>
      <c r="B2676" s="52" t="s">
        <v>10500</v>
      </c>
      <c r="C2676" s="18">
        <v>105454</v>
      </c>
      <c r="D2676" s="2" t="s">
        <v>367</v>
      </c>
      <c r="E2676" s="15">
        <v>1050</v>
      </c>
      <c r="F2676" s="59">
        <v>43062</v>
      </c>
      <c r="G2676" s="15">
        <f t="shared" si="83"/>
        <v>1050</v>
      </c>
      <c r="H2676" s="15">
        <f t="shared" si="84"/>
        <v>0</v>
      </c>
      <c r="I2676" s="19"/>
    </row>
    <row r="2677" spans="1:9" ht="15.75" x14ac:dyDescent="0.25">
      <c r="A2677" s="51">
        <v>42817</v>
      </c>
      <c r="B2677" s="52" t="s">
        <v>10501</v>
      </c>
      <c r="C2677" s="18">
        <v>105455</v>
      </c>
      <c r="D2677" s="2" t="s">
        <v>30</v>
      </c>
      <c r="E2677" s="15">
        <v>1050</v>
      </c>
      <c r="F2677" s="59">
        <v>43062</v>
      </c>
      <c r="G2677" s="15">
        <f t="shared" si="83"/>
        <v>1050</v>
      </c>
      <c r="H2677" s="15">
        <f t="shared" si="84"/>
        <v>0</v>
      </c>
      <c r="I2677" s="19"/>
    </row>
    <row r="2678" spans="1:9" ht="15.75" x14ac:dyDescent="0.25">
      <c r="A2678" s="51">
        <v>42817</v>
      </c>
      <c r="B2678" s="52" t="s">
        <v>10502</v>
      </c>
      <c r="C2678" s="18">
        <v>105456</v>
      </c>
      <c r="D2678" s="2" t="s">
        <v>1141</v>
      </c>
      <c r="E2678" s="15">
        <v>9770.6</v>
      </c>
      <c r="F2678" s="59">
        <v>42831</v>
      </c>
      <c r="G2678" s="15">
        <f t="shared" si="83"/>
        <v>9770.6</v>
      </c>
      <c r="H2678" s="15">
        <f t="shared" si="84"/>
        <v>0</v>
      </c>
      <c r="I2678" s="19"/>
    </row>
    <row r="2679" spans="1:9" ht="15.75" x14ac:dyDescent="0.25">
      <c r="A2679" s="51">
        <v>42817</v>
      </c>
      <c r="B2679" s="52" t="s">
        <v>10503</v>
      </c>
      <c r="C2679" s="18">
        <v>105457</v>
      </c>
      <c r="D2679" s="2" t="s">
        <v>360</v>
      </c>
      <c r="E2679" s="15">
        <v>99365.35</v>
      </c>
      <c r="F2679" s="59">
        <v>42829</v>
      </c>
      <c r="G2679" s="15">
        <f t="shared" si="83"/>
        <v>99365.35</v>
      </c>
      <c r="H2679" s="15">
        <f t="shared" si="84"/>
        <v>0</v>
      </c>
      <c r="I2679" s="19"/>
    </row>
    <row r="2680" spans="1:9" ht="15.75" x14ac:dyDescent="0.25">
      <c r="A2680" s="51">
        <v>42817</v>
      </c>
      <c r="B2680" s="52" t="s">
        <v>10504</v>
      </c>
      <c r="C2680" s="18">
        <v>105458</v>
      </c>
      <c r="D2680" s="2" t="s">
        <v>10</v>
      </c>
      <c r="E2680" s="15">
        <v>22373.599999999999</v>
      </c>
      <c r="F2680" s="59">
        <v>42824</v>
      </c>
      <c r="G2680" s="15">
        <f t="shared" si="83"/>
        <v>22373.599999999999</v>
      </c>
      <c r="H2680" s="15">
        <f t="shared" si="84"/>
        <v>0</v>
      </c>
      <c r="I2680" s="19"/>
    </row>
    <row r="2681" spans="1:9" ht="15.75" x14ac:dyDescent="0.25">
      <c r="A2681" s="51">
        <v>42817</v>
      </c>
      <c r="B2681" s="52" t="s">
        <v>10505</v>
      </c>
      <c r="C2681" s="18">
        <v>105459</v>
      </c>
      <c r="D2681" s="2" t="s">
        <v>205</v>
      </c>
      <c r="E2681" s="15">
        <v>31171.8</v>
      </c>
      <c r="G2681" s="15">
        <f t="shared" si="83"/>
        <v>31171.8</v>
      </c>
      <c r="H2681" s="15">
        <f t="shared" si="84"/>
        <v>0</v>
      </c>
      <c r="I2681" s="19"/>
    </row>
    <row r="2682" spans="1:9" ht="15.75" x14ac:dyDescent="0.25">
      <c r="A2682" s="51">
        <v>42817</v>
      </c>
      <c r="B2682" s="52" t="s">
        <v>10506</v>
      </c>
      <c r="C2682" s="18">
        <v>105460</v>
      </c>
      <c r="D2682" s="2" t="s">
        <v>5219</v>
      </c>
      <c r="E2682" s="15">
        <v>4490</v>
      </c>
      <c r="F2682" s="59">
        <v>43062</v>
      </c>
      <c r="G2682" s="15">
        <f t="shared" si="83"/>
        <v>4490</v>
      </c>
      <c r="H2682" s="15">
        <f t="shared" si="84"/>
        <v>0</v>
      </c>
      <c r="I2682" s="19"/>
    </row>
    <row r="2683" spans="1:9" ht="15.75" x14ac:dyDescent="0.25">
      <c r="A2683" s="51">
        <v>42817</v>
      </c>
      <c r="B2683" s="52" t="s">
        <v>10507</v>
      </c>
      <c r="C2683" s="18">
        <v>105461</v>
      </c>
      <c r="D2683" s="2" t="s">
        <v>531</v>
      </c>
      <c r="E2683" s="15">
        <v>32862.550000000003</v>
      </c>
      <c r="F2683" s="59">
        <v>43062</v>
      </c>
      <c r="G2683" s="15">
        <f t="shared" si="83"/>
        <v>32862.550000000003</v>
      </c>
      <c r="H2683" s="15">
        <f t="shared" si="84"/>
        <v>0</v>
      </c>
      <c r="I2683" s="19"/>
    </row>
    <row r="2684" spans="1:9" ht="15.75" x14ac:dyDescent="0.25">
      <c r="A2684" s="51">
        <v>42817</v>
      </c>
      <c r="B2684" s="52" t="s">
        <v>10508</v>
      </c>
      <c r="C2684" s="18">
        <v>105462</v>
      </c>
      <c r="D2684" s="2" t="s">
        <v>55</v>
      </c>
      <c r="E2684" s="15">
        <v>5812.6</v>
      </c>
      <c r="F2684" s="59">
        <v>43062</v>
      </c>
      <c r="G2684" s="15">
        <f t="shared" si="83"/>
        <v>5812.6</v>
      </c>
      <c r="H2684" s="15">
        <f t="shared" si="84"/>
        <v>0</v>
      </c>
      <c r="I2684" s="19"/>
    </row>
    <row r="2685" spans="1:9" ht="15.75" x14ac:dyDescent="0.25">
      <c r="A2685" s="51">
        <v>42817</v>
      </c>
      <c r="B2685" s="52" t="s">
        <v>10509</v>
      </c>
      <c r="C2685" s="18">
        <v>105463</v>
      </c>
      <c r="D2685" s="2" t="s">
        <v>211</v>
      </c>
      <c r="E2685" s="15">
        <v>8802.6</v>
      </c>
      <c r="F2685" s="59">
        <v>43062</v>
      </c>
      <c r="G2685" s="15">
        <f t="shared" si="83"/>
        <v>8802.6</v>
      </c>
      <c r="H2685" s="15">
        <f t="shared" si="84"/>
        <v>0</v>
      </c>
      <c r="I2685" s="19"/>
    </row>
    <row r="2686" spans="1:9" ht="15.75" x14ac:dyDescent="0.25">
      <c r="A2686" s="51">
        <v>42817</v>
      </c>
      <c r="B2686" s="52" t="s">
        <v>10510</v>
      </c>
      <c r="C2686" s="18">
        <v>105464</v>
      </c>
      <c r="D2686" s="2" t="s">
        <v>205</v>
      </c>
      <c r="E2686" s="15">
        <v>29858.799999999999</v>
      </c>
      <c r="F2686" s="59">
        <v>42818</v>
      </c>
      <c r="G2686" s="15">
        <f t="shared" si="83"/>
        <v>29858.799999999999</v>
      </c>
      <c r="H2686" s="15">
        <f t="shared" si="84"/>
        <v>0</v>
      </c>
      <c r="I2686" s="19"/>
    </row>
    <row r="2687" spans="1:9" ht="15.75" x14ac:dyDescent="0.25">
      <c r="A2687" s="51">
        <v>42817</v>
      </c>
      <c r="B2687" s="52" t="s">
        <v>10511</v>
      </c>
      <c r="C2687" s="18">
        <v>105465</v>
      </c>
      <c r="D2687" s="2" t="s">
        <v>1598</v>
      </c>
      <c r="E2687" s="15">
        <v>2472.6</v>
      </c>
      <c r="F2687" s="59">
        <v>42791</v>
      </c>
      <c r="G2687" s="15">
        <f t="shared" si="83"/>
        <v>2472.6</v>
      </c>
      <c r="H2687" s="15">
        <f t="shared" si="84"/>
        <v>0</v>
      </c>
      <c r="I2687" s="19"/>
    </row>
    <row r="2688" spans="1:9" ht="15.75" x14ac:dyDescent="0.25">
      <c r="A2688" s="51">
        <v>42817</v>
      </c>
      <c r="B2688" s="52" t="s">
        <v>10512</v>
      </c>
      <c r="C2688" s="18">
        <v>105466</v>
      </c>
      <c r="D2688" s="2" t="s">
        <v>670</v>
      </c>
      <c r="E2688" s="15">
        <v>192205.6</v>
      </c>
      <c r="F2688" s="59">
        <v>42791</v>
      </c>
      <c r="G2688" s="15">
        <f t="shared" si="83"/>
        <v>192205.6</v>
      </c>
      <c r="H2688" s="15">
        <f t="shared" si="84"/>
        <v>0</v>
      </c>
      <c r="I2688" s="19"/>
    </row>
    <row r="2689" spans="1:9" ht="15.75" x14ac:dyDescent="0.25">
      <c r="A2689" s="51">
        <v>42817</v>
      </c>
      <c r="B2689" s="52" t="s">
        <v>10513</v>
      </c>
      <c r="C2689" s="18">
        <v>105467</v>
      </c>
      <c r="D2689" s="2" t="s">
        <v>3636</v>
      </c>
      <c r="E2689" s="15">
        <v>24311</v>
      </c>
      <c r="F2689" s="59">
        <v>43062</v>
      </c>
      <c r="G2689" s="15">
        <f t="shared" si="83"/>
        <v>24311</v>
      </c>
      <c r="H2689" s="15">
        <f t="shared" si="84"/>
        <v>0</v>
      </c>
      <c r="I2689" s="19"/>
    </row>
    <row r="2690" spans="1:9" ht="15.75" x14ac:dyDescent="0.25">
      <c r="A2690" s="51">
        <v>42817</v>
      </c>
      <c r="B2690" s="52" t="s">
        <v>10514</v>
      </c>
      <c r="C2690" s="18">
        <v>105468</v>
      </c>
      <c r="D2690" s="2" t="s">
        <v>677</v>
      </c>
      <c r="E2690" s="15">
        <v>2669.4</v>
      </c>
      <c r="F2690" s="59">
        <v>42791</v>
      </c>
      <c r="G2690" s="15">
        <f t="shared" si="83"/>
        <v>2669.4</v>
      </c>
      <c r="H2690" s="15">
        <f t="shared" si="84"/>
        <v>0</v>
      </c>
      <c r="I2690" s="19"/>
    </row>
    <row r="2691" spans="1:9" ht="15.75" x14ac:dyDescent="0.25">
      <c r="A2691" s="51">
        <v>42817</v>
      </c>
      <c r="B2691" s="52" t="s">
        <v>10515</v>
      </c>
      <c r="C2691" s="18">
        <v>105469</v>
      </c>
      <c r="D2691" s="13" t="s">
        <v>205</v>
      </c>
      <c r="E2691" s="14">
        <v>0</v>
      </c>
      <c r="F2691" s="102" t="s">
        <v>95</v>
      </c>
      <c r="G2691" s="14">
        <f t="shared" si="83"/>
        <v>0</v>
      </c>
      <c r="H2691" s="14">
        <f t="shared" si="84"/>
        <v>0</v>
      </c>
      <c r="I2691" s="19"/>
    </row>
    <row r="2692" spans="1:9" ht="15.75" x14ac:dyDescent="0.25">
      <c r="A2692" s="51">
        <v>42817</v>
      </c>
      <c r="B2692" s="52" t="s">
        <v>10516</v>
      </c>
      <c r="C2692" s="18">
        <v>105470</v>
      </c>
      <c r="D2692" s="2" t="s">
        <v>205</v>
      </c>
      <c r="E2692" s="15">
        <v>113523.1</v>
      </c>
      <c r="G2692" s="15">
        <f t="shared" ref="G2692:G2755" si="85">E2692</f>
        <v>113523.1</v>
      </c>
      <c r="H2692" s="15">
        <f t="shared" ref="H2692:H2755" si="86">E2692-G2692</f>
        <v>0</v>
      </c>
      <c r="I2692" s="19"/>
    </row>
    <row r="2693" spans="1:9" ht="15.75" x14ac:dyDescent="0.25">
      <c r="A2693" s="51">
        <v>42817</v>
      </c>
      <c r="B2693" s="52" t="s">
        <v>10517</v>
      </c>
      <c r="C2693" s="18">
        <v>105471</v>
      </c>
      <c r="D2693" s="2" t="s">
        <v>205</v>
      </c>
      <c r="E2693" s="15">
        <v>113523.1</v>
      </c>
      <c r="F2693" s="59">
        <v>42847</v>
      </c>
      <c r="G2693" s="15">
        <f t="shared" si="85"/>
        <v>113523.1</v>
      </c>
      <c r="H2693" s="15">
        <f t="shared" si="86"/>
        <v>0</v>
      </c>
      <c r="I2693" s="19"/>
    </row>
    <row r="2694" spans="1:9" ht="15.75" x14ac:dyDescent="0.25">
      <c r="A2694" s="51">
        <v>42817</v>
      </c>
      <c r="B2694" s="52" t="s">
        <v>10518</v>
      </c>
      <c r="C2694" s="18">
        <v>105472</v>
      </c>
      <c r="D2694" s="2" t="s">
        <v>1197</v>
      </c>
      <c r="E2694" s="15">
        <v>2714.4</v>
      </c>
      <c r="F2694" s="59">
        <v>42791</v>
      </c>
      <c r="G2694" s="15">
        <f t="shared" si="85"/>
        <v>2714.4</v>
      </c>
      <c r="H2694" s="15">
        <f t="shared" si="86"/>
        <v>0</v>
      </c>
      <c r="I2694" s="19"/>
    </row>
    <row r="2695" spans="1:9" ht="15.75" x14ac:dyDescent="0.25">
      <c r="A2695" s="51">
        <v>42817</v>
      </c>
      <c r="B2695" s="52" t="s">
        <v>10519</v>
      </c>
      <c r="C2695" s="18">
        <v>105473</v>
      </c>
      <c r="D2695" s="2" t="s">
        <v>688</v>
      </c>
      <c r="E2695" s="15">
        <v>3338.8</v>
      </c>
      <c r="F2695" s="59">
        <v>42791</v>
      </c>
      <c r="G2695" s="15">
        <f t="shared" si="85"/>
        <v>3338.8</v>
      </c>
      <c r="H2695" s="15">
        <f t="shared" si="86"/>
        <v>0</v>
      </c>
      <c r="I2695" s="19"/>
    </row>
    <row r="2696" spans="1:9" ht="15.75" x14ac:dyDescent="0.25">
      <c r="A2696" s="51">
        <v>42817</v>
      </c>
      <c r="B2696" s="52" t="s">
        <v>10520</v>
      </c>
      <c r="C2696" s="18">
        <v>105474</v>
      </c>
      <c r="D2696" s="2" t="s">
        <v>686</v>
      </c>
      <c r="E2696" s="15">
        <v>22174.5</v>
      </c>
      <c r="F2696" s="59">
        <v>42791</v>
      </c>
      <c r="G2696" s="15">
        <f t="shared" si="85"/>
        <v>22174.5</v>
      </c>
      <c r="H2696" s="15">
        <f t="shared" si="86"/>
        <v>0</v>
      </c>
      <c r="I2696" s="19"/>
    </row>
    <row r="2697" spans="1:9" ht="15.75" x14ac:dyDescent="0.25">
      <c r="A2697" s="51">
        <v>42817</v>
      </c>
      <c r="B2697" s="52" t="s">
        <v>10521</v>
      </c>
      <c r="C2697" s="18">
        <v>105475</v>
      </c>
      <c r="D2697" s="2" t="s">
        <v>1197</v>
      </c>
      <c r="E2697" s="15">
        <v>3120</v>
      </c>
      <c r="F2697" s="59">
        <v>42791</v>
      </c>
      <c r="G2697" s="15">
        <f t="shared" si="85"/>
        <v>3120</v>
      </c>
      <c r="H2697" s="15">
        <f t="shared" si="86"/>
        <v>0</v>
      </c>
      <c r="I2697" s="19"/>
    </row>
    <row r="2698" spans="1:9" ht="15.75" x14ac:dyDescent="0.25">
      <c r="A2698" s="51">
        <v>42817</v>
      </c>
      <c r="B2698" s="52" t="s">
        <v>10522</v>
      </c>
      <c r="C2698" s="18">
        <v>105476</v>
      </c>
      <c r="D2698" s="2" t="s">
        <v>680</v>
      </c>
      <c r="E2698" s="15">
        <v>2331.5</v>
      </c>
      <c r="F2698" s="59">
        <v>42791</v>
      </c>
      <c r="G2698" s="15">
        <f t="shared" si="85"/>
        <v>2331.5</v>
      </c>
      <c r="H2698" s="15">
        <f t="shared" si="86"/>
        <v>0</v>
      </c>
      <c r="I2698" s="19"/>
    </row>
    <row r="2699" spans="1:9" ht="15.75" x14ac:dyDescent="0.25">
      <c r="A2699" s="51">
        <v>42817</v>
      </c>
      <c r="B2699" s="52" t="s">
        <v>10523</v>
      </c>
      <c r="C2699" s="18">
        <v>105477</v>
      </c>
      <c r="D2699" s="2" t="s">
        <v>1589</v>
      </c>
      <c r="E2699" s="15">
        <v>16743.400000000001</v>
      </c>
      <c r="F2699" s="59">
        <v>42791</v>
      </c>
      <c r="G2699" s="15">
        <f t="shared" si="85"/>
        <v>16743.400000000001</v>
      </c>
      <c r="H2699" s="15">
        <f t="shared" si="86"/>
        <v>0</v>
      </c>
      <c r="I2699" s="19"/>
    </row>
    <row r="2700" spans="1:9" ht="15.75" x14ac:dyDescent="0.25">
      <c r="A2700" s="51">
        <v>42817</v>
      </c>
      <c r="B2700" s="52" t="s">
        <v>10524</v>
      </c>
      <c r="C2700" s="18">
        <v>105478</v>
      </c>
      <c r="D2700" s="13" t="s">
        <v>426</v>
      </c>
      <c r="E2700" s="14">
        <v>0</v>
      </c>
      <c r="F2700" s="102" t="s">
        <v>95</v>
      </c>
      <c r="G2700" s="14">
        <f t="shared" si="85"/>
        <v>0</v>
      </c>
      <c r="H2700" s="14">
        <f t="shared" si="86"/>
        <v>0</v>
      </c>
      <c r="I2700" s="19"/>
    </row>
    <row r="2701" spans="1:9" ht="15.75" x14ac:dyDescent="0.25">
      <c r="A2701" s="51">
        <v>42817</v>
      </c>
      <c r="B2701" s="52" t="s">
        <v>10525</v>
      </c>
      <c r="C2701" s="18">
        <v>105479</v>
      </c>
      <c r="D2701" s="2" t="s">
        <v>665</v>
      </c>
      <c r="E2701" s="15">
        <v>69910.92</v>
      </c>
      <c r="F2701" s="59">
        <v>42826</v>
      </c>
      <c r="G2701" s="15">
        <f t="shared" si="85"/>
        <v>69910.92</v>
      </c>
      <c r="H2701" s="15">
        <f t="shared" si="86"/>
        <v>0</v>
      </c>
      <c r="I2701" s="19"/>
    </row>
    <row r="2702" spans="1:9" ht="15.75" x14ac:dyDescent="0.25">
      <c r="A2702" s="51">
        <v>42817</v>
      </c>
      <c r="B2702" s="52" t="s">
        <v>10526</v>
      </c>
      <c r="C2702" s="18">
        <v>105480</v>
      </c>
      <c r="D2702" s="2" t="s">
        <v>426</v>
      </c>
      <c r="E2702" s="15">
        <v>8079.1</v>
      </c>
      <c r="F2702" s="59">
        <v>42791</v>
      </c>
      <c r="G2702" s="15">
        <f t="shared" si="85"/>
        <v>8079.1</v>
      </c>
      <c r="H2702" s="15">
        <f t="shared" si="86"/>
        <v>0</v>
      </c>
      <c r="I2702" s="19"/>
    </row>
    <row r="2703" spans="1:9" ht="15.75" x14ac:dyDescent="0.25">
      <c r="A2703" s="51">
        <v>42817</v>
      </c>
      <c r="B2703" s="52" t="s">
        <v>10527</v>
      </c>
      <c r="C2703" s="18">
        <v>105481</v>
      </c>
      <c r="D2703" s="2" t="s">
        <v>7147</v>
      </c>
      <c r="E2703" s="15">
        <v>2600.4</v>
      </c>
      <c r="F2703" s="59">
        <v>43062</v>
      </c>
      <c r="G2703" s="15">
        <f t="shared" si="85"/>
        <v>2600.4</v>
      </c>
      <c r="H2703" s="15">
        <f t="shared" si="86"/>
        <v>0</v>
      </c>
      <c r="I2703" s="19"/>
    </row>
    <row r="2704" spans="1:9" ht="15.75" x14ac:dyDescent="0.25">
      <c r="A2704" s="51">
        <v>42817</v>
      </c>
      <c r="B2704" s="52" t="s">
        <v>10528</v>
      </c>
      <c r="C2704" s="18">
        <v>105482</v>
      </c>
      <c r="D2704" s="2" t="s">
        <v>220</v>
      </c>
      <c r="E2704" s="15">
        <v>3390</v>
      </c>
      <c r="F2704" s="59">
        <v>42818</v>
      </c>
      <c r="G2704" s="15">
        <f t="shared" si="85"/>
        <v>3390</v>
      </c>
      <c r="H2704" s="15">
        <f t="shared" si="86"/>
        <v>0</v>
      </c>
      <c r="I2704" s="19"/>
    </row>
    <row r="2705" spans="1:9" ht="15.75" x14ac:dyDescent="0.25">
      <c r="A2705" s="51">
        <v>42817</v>
      </c>
      <c r="B2705" s="52" t="s">
        <v>10529</v>
      </c>
      <c r="C2705" s="18">
        <v>105483</v>
      </c>
      <c r="D2705" s="2" t="s">
        <v>220</v>
      </c>
      <c r="E2705" s="15">
        <v>1155</v>
      </c>
      <c r="F2705" s="59">
        <v>42818</v>
      </c>
      <c r="G2705" s="15">
        <f t="shared" si="85"/>
        <v>1155</v>
      </c>
      <c r="H2705" s="15">
        <f t="shared" si="86"/>
        <v>0</v>
      </c>
      <c r="I2705" s="19"/>
    </row>
    <row r="2706" spans="1:9" ht="15.75" x14ac:dyDescent="0.25">
      <c r="A2706" s="51">
        <v>42817</v>
      </c>
      <c r="B2706" s="52" t="s">
        <v>10530</v>
      </c>
      <c r="C2706" s="18">
        <v>105484</v>
      </c>
      <c r="D2706" s="2" t="s">
        <v>921</v>
      </c>
      <c r="E2706" s="15">
        <v>7163.4</v>
      </c>
      <c r="F2706" s="59">
        <v>42818</v>
      </c>
      <c r="G2706" s="15">
        <f t="shared" si="85"/>
        <v>7163.4</v>
      </c>
      <c r="H2706" s="15">
        <f t="shared" si="86"/>
        <v>0</v>
      </c>
      <c r="I2706" s="19"/>
    </row>
    <row r="2707" spans="1:9" ht="15.75" x14ac:dyDescent="0.25">
      <c r="A2707" s="51">
        <v>42818</v>
      </c>
      <c r="B2707" s="52" t="s">
        <v>10531</v>
      </c>
      <c r="C2707" s="18">
        <v>105485</v>
      </c>
      <c r="D2707" s="2" t="s">
        <v>231</v>
      </c>
      <c r="E2707" s="15">
        <v>2634.8</v>
      </c>
      <c r="F2707" s="59">
        <v>42818</v>
      </c>
      <c r="G2707" s="15">
        <f t="shared" si="85"/>
        <v>2634.8</v>
      </c>
      <c r="H2707" s="15">
        <f t="shared" si="86"/>
        <v>0</v>
      </c>
      <c r="I2707" s="19"/>
    </row>
    <row r="2708" spans="1:9" ht="15.75" x14ac:dyDescent="0.25">
      <c r="A2708" s="51">
        <v>42818</v>
      </c>
      <c r="B2708" s="52" t="s">
        <v>10532</v>
      </c>
      <c r="C2708" s="18">
        <v>105486</v>
      </c>
      <c r="D2708" s="2" t="s">
        <v>428</v>
      </c>
      <c r="E2708" s="15">
        <v>1896.3</v>
      </c>
      <c r="F2708" s="59">
        <v>42821</v>
      </c>
      <c r="G2708" s="15">
        <f t="shared" si="85"/>
        <v>1896.3</v>
      </c>
      <c r="H2708" s="15">
        <f t="shared" si="86"/>
        <v>0</v>
      </c>
      <c r="I2708" s="19"/>
    </row>
    <row r="2709" spans="1:9" ht="15.75" x14ac:dyDescent="0.25">
      <c r="A2709" s="51">
        <v>42818</v>
      </c>
      <c r="B2709" s="52" t="s">
        <v>10533</v>
      </c>
      <c r="C2709" s="18">
        <v>105487</v>
      </c>
      <c r="D2709" s="2" t="s">
        <v>374</v>
      </c>
      <c r="E2709" s="15">
        <v>232.2</v>
      </c>
      <c r="F2709" s="59">
        <v>42818</v>
      </c>
      <c r="G2709" s="15">
        <f t="shared" si="85"/>
        <v>232.2</v>
      </c>
      <c r="H2709" s="15">
        <f t="shared" si="86"/>
        <v>0</v>
      </c>
      <c r="I2709" s="19"/>
    </row>
    <row r="2710" spans="1:9" ht="15.75" x14ac:dyDescent="0.25">
      <c r="A2710" s="51">
        <v>42818</v>
      </c>
      <c r="B2710" s="52" t="s">
        <v>10534</v>
      </c>
      <c r="C2710" s="18">
        <v>105488</v>
      </c>
      <c r="D2710" s="2" t="s">
        <v>205</v>
      </c>
      <c r="E2710" s="15">
        <v>18174</v>
      </c>
      <c r="F2710" s="59">
        <v>42818</v>
      </c>
      <c r="G2710" s="15">
        <f t="shared" si="85"/>
        <v>18174</v>
      </c>
      <c r="H2710" s="15">
        <f t="shared" si="86"/>
        <v>0</v>
      </c>
      <c r="I2710" s="19"/>
    </row>
    <row r="2711" spans="1:9" ht="15.75" x14ac:dyDescent="0.25">
      <c r="A2711" s="51">
        <v>42818</v>
      </c>
      <c r="B2711" s="52" t="s">
        <v>10535</v>
      </c>
      <c r="C2711" s="18">
        <v>105489</v>
      </c>
      <c r="D2711" s="2" t="s">
        <v>26</v>
      </c>
      <c r="E2711" s="15">
        <v>7420.7</v>
      </c>
      <c r="F2711" s="59">
        <v>42818</v>
      </c>
      <c r="G2711" s="15">
        <f t="shared" si="85"/>
        <v>7420.7</v>
      </c>
      <c r="H2711" s="15">
        <f t="shared" si="86"/>
        <v>0</v>
      </c>
      <c r="I2711" s="19"/>
    </row>
    <row r="2712" spans="1:9" ht="15.75" x14ac:dyDescent="0.25">
      <c r="A2712" s="51">
        <v>42818</v>
      </c>
      <c r="B2712" s="52" t="s">
        <v>10536</v>
      </c>
      <c r="C2712" s="18">
        <v>105490</v>
      </c>
      <c r="D2712" s="2" t="s">
        <v>10</v>
      </c>
      <c r="E2712" s="15">
        <v>1347.3</v>
      </c>
      <c r="F2712" s="59">
        <v>42824</v>
      </c>
      <c r="G2712" s="15">
        <f t="shared" si="85"/>
        <v>1347.3</v>
      </c>
      <c r="H2712" s="15">
        <f t="shared" si="86"/>
        <v>0</v>
      </c>
      <c r="I2712" s="19"/>
    </row>
    <row r="2713" spans="1:9" ht="15.75" x14ac:dyDescent="0.25">
      <c r="A2713" s="51">
        <v>42818</v>
      </c>
      <c r="B2713" s="52" t="s">
        <v>10537</v>
      </c>
      <c r="C2713" s="18">
        <v>105491</v>
      </c>
      <c r="D2713" s="2" t="s">
        <v>3319</v>
      </c>
      <c r="E2713" s="15">
        <v>5750</v>
      </c>
      <c r="F2713" s="59">
        <v>42791</v>
      </c>
      <c r="G2713" s="15">
        <f t="shared" si="85"/>
        <v>5750</v>
      </c>
      <c r="H2713" s="15">
        <f t="shared" si="86"/>
        <v>0</v>
      </c>
      <c r="I2713" s="19"/>
    </row>
    <row r="2714" spans="1:9" ht="15.75" x14ac:dyDescent="0.25">
      <c r="A2714" s="51">
        <v>42818</v>
      </c>
      <c r="B2714" s="52" t="s">
        <v>10538</v>
      </c>
      <c r="C2714" s="18">
        <v>105492</v>
      </c>
      <c r="D2714" s="2" t="s">
        <v>19</v>
      </c>
      <c r="E2714" s="15">
        <v>980</v>
      </c>
      <c r="F2714" s="59">
        <v>42818</v>
      </c>
      <c r="G2714" s="15">
        <f t="shared" si="85"/>
        <v>980</v>
      </c>
      <c r="H2714" s="15">
        <f t="shared" si="86"/>
        <v>0</v>
      </c>
      <c r="I2714" s="19"/>
    </row>
    <row r="2715" spans="1:9" ht="15.75" x14ac:dyDescent="0.25">
      <c r="A2715" s="51">
        <v>42818</v>
      </c>
      <c r="B2715" s="52" t="s">
        <v>10539</v>
      </c>
      <c r="C2715" s="18">
        <v>105493</v>
      </c>
      <c r="D2715" s="2" t="s">
        <v>28</v>
      </c>
      <c r="E2715" s="15">
        <v>4752</v>
      </c>
      <c r="G2715" s="15">
        <f t="shared" si="85"/>
        <v>4752</v>
      </c>
      <c r="H2715" s="15">
        <f t="shared" si="86"/>
        <v>0</v>
      </c>
      <c r="I2715" s="19"/>
    </row>
    <row r="2716" spans="1:9" ht="15.75" x14ac:dyDescent="0.25">
      <c r="A2716" s="51">
        <v>42818</v>
      </c>
      <c r="B2716" s="52" t="s">
        <v>10540</v>
      </c>
      <c r="C2716" s="18">
        <v>105494</v>
      </c>
      <c r="D2716" s="2" t="s">
        <v>30</v>
      </c>
      <c r="E2716" s="15">
        <v>3269.4</v>
      </c>
      <c r="F2716" s="59">
        <v>42818</v>
      </c>
      <c r="G2716" s="15">
        <f t="shared" si="85"/>
        <v>3269.4</v>
      </c>
      <c r="H2716" s="15">
        <f t="shared" si="86"/>
        <v>0</v>
      </c>
      <c r="I2716" s="19"/>
    </row>
    <row r="2717" spans="1:9" ht="15.75" x14ac:dyDescent="0.25">
      <c r="A2717" s="51">
        <v>42818</v>
      </c>
      <c r="B2717" s="52" t="s">
        <v>10541</v>
      </c>
      <c r="C2717" s="18">
        <v>105495</v>
      </c>
      <c r="D2717" s="2" t="s">
        <v>71</v>
      </c>
      <c r="E2717" s="15">
        <v>4203.5</v>
      </c>
      <c r="F2717" s="59">
        <v>42818</v>
      </c>
      <c r="G2717" s="15">
        <f t="shared" si="85"/>
        <v>4203.5</v>
      </c>
      <c r="H2717" s="15">
        <f t="shared" si="86"/>
        <v>0</v>
      </c>
      <c r="I2717" s="19"/>
    </row>
    <row r="2718" spans="1:9" ht="15.75" x14ac:dyDescent="0.25">
      <c r="A2718" s="51">
        <v>42818</v>
      </c>
      <c r="B2718" s="52" t="s">
        <v>10542</v>
      </c>
      <c r="C2718" s="18">
        <v>105496</v>
      </c>
      <c r="D2718" s="2" t="s">
        <v>1786</v>
      </c>
      <c r="E2718" s="15">
        <v>8302.7999999999993</v>
      </c>
      <c r="F2718" s="59">
        <v>42818</v>
      </c>
      <c r="G2718" s="15">
        <f t="shared" si="85"/>
        <v>8302.7999999999993</v>
      </c>
      <c r="H2718" s="15">
        <f t="shared" si="86"/>
        <v>0</v>
      </c>
      <c r="I2718" s="19"/>
    </row>
    <row r="2719" spans="1:9" ht="15.75" x14ac:dyDescent="0.25">
      <c r="A2719" s="51">
        <v>42818</v>
      </c>
      <c r="B2719" s="52" t="s">
        <v>10543</v>
      </c>
      <c r="C2719" s="18">
        <v>105497</v>
      </c>
      <c r="D2719" s="2" t="s">
        <v>1645</v>
      </c>
      <c r="E2719" s="15">
        <v>2537.4</v>
      </c>
      <c r="F2719" s="59">
        <v>42818</v>
      </c>
      <c r="G2719" s="15">
        <f t="shared" si="85"/>
        <v>2537.4</v>
      </c>
      <c r="H2719" s="15">
        <f t="shared" si="86"/>
        <v>0</v>
      </c>
      <c r="I2719" s="19"/>
    </row>
    <row r="2720" spans="1:9" ht="15.75" x14ac:dyDescent="0.25">
      <c r="A2720" s="51">
        <v>42818</v>
      </c>
      <c r="B2720" s="52" t="s">
        <v>10544</v>
      </c>
      <c r="C2720" s="18">
        <v>105498</v>
      </c>
      <c r="D2720" s="2" t="s">
        <v>236</v>
      </c>
      <c r="E2720" s="15">
        <v>36666</v>
      </c>
      <c r="F2720" s="59">
        <v>42824</v>
      </c>
      <c r="G2720" s="15">
        <f t="shared" si="85"/>
        <v>36666</v>
      </c>
      <c r="H2720" s="15">
        <f t="shared" si="86"/>
        <v>0</v>
      </c>
      <c r="I2720" s="19"/>
    </row>
    <row r="2721" spans="1:9" ht="15.75" x14ac:dyDescent="0.25">
      <c r="A2721" s="51">
        <v>42818</v>
      </c>
      <c r="B2721" s="52" t="s">
        <v>10545</v>
      </c>
      <c r="C2721" s="18">
        <v>105499</v>
      </c>
      <c r="D2721" s="2" t="s">
        <v>35</v>
      </c>
      <c r="E2721" s="15">
        <v>13747.4</v>
      </c>
      <c r="F2721" s="59">
        <v>42821</v>
      </c>
      <c r="G2721" s="15">
        <f t="shared" si="85"/>
        <v>13747.4</v>
      </c>
      <c r="H2721" s="15">
        <f t="shared" si="86"/>
        <v>0</v>
      </c>
      <c r="I2721" s="19"/>
    </row>
    <row r="2722" spans="1:9" ht="15.75" x14ac:dyDescent="0.25">
      <c r="A2722" s="51">
        <v>42818</v>
      </c>
      <c r="B2722" s="52" t="s">
        <v>10546</v>
      </c>
      <c r="C2722" s="18">
        <v>105500</v>
      </c>
      <c r="D2722" s="2" t="s">
        <v>8294</v>
      </c>
      <c r="E2722" s="15">
        <v>3130.2</v>
      </c>
      <c r="F2722" s="59">
        <v>42818</v>
      </c>
      <c r="G2722" s="15">
        <f t="shared" si="85"/>
        <v>3130.2</v>
      </c>
      <c r="H2722" s="15">
        <f t="shared" si="86"/>
        <v>0</v>
      </c>
      <c r="I2722" s="19"/>
    </row>
    <row r="2723" spans="1:9" ht="15.75" x14ac:dyDescent="0.25">
      <c r="A2723" s="51">
        <v>42818</v>
      </c>
      <c r="B2723" s="52" t="s">
        <v>10547</v>
      </c>
      <c r="C2723" s="18">
        <v>105501</v>
      </c>
      <c r="D2723" s="2" t="s">
        <v>250</v>
      </c>
      <c r="E2723" s="15">
        <v>9078.6</v>
      </c>
      <c r="F2723" s="59">
        <v>42821</v>
      </c>
      <c r="G2723" s="15">
        <f t="shared" si="85"/>
        <v>9078.6</v>
      </c>
      <c r="H2723" s="15">
        <f t="shared" si="86"/>
        <v>0</v>
      </c>
      <c r="I2723" s="19"/>
    </row>
    <row r="2724" spans="1:9" ht="15.75" x14ac:dyDescent="0.25">
      <c r="A2724" s="51">
        <v>42818</v>
      </c>
      <c r="B2724" s="52" t="s">
        <v>10548</v>
      </c>
      <c r="C2724" s="18">
        <v>105502</v>
      </c>
      <c r="D2724" s="2" t="s">
        <v>1634</v>
      </c>
      <c r="E2724" s="15">
        <v>3740</v>
      </c>
      <c r="F2724" s="59">
        <v>42818</v>
      </c>
      <c r="G2724" s="15">
        <f t="shared" si="85"/>
        <v>3740</v>
      </c>
      <c r="H2724" s="15">
        <f t="shared" si="86"/>
        <v>0</v>
      </c>
      <c r="I2724" s="19"/>
    </row>
    <row r="2725" spans="1:9" ht="15.75" x14ac:dyDescent="0.25">
      <c r="A2725" s="51">
        <v>42818</v>
      </c>
      <c r="B2725" s="52" t="s">
        <v>10549</v>
      </c>
      <c r="C2725" s="18">
        <v>105503</v>
      </c>
      <c r="D2725" s="2" t="s">
        <v>51</v>
      </c>
      <c r="E2725" s="15">
        <v>5550.6</v>
      </c>
      <c r="F2725" s="59">
        <v>42821</v>
      </c>
      <c r="G2725" s="15">
        <f t="shared" si="85"/>
        <v>5550.6</v>
      </c>
      <c r="H2725" s="15">
        <f t="shared" si="86"/>
        <v>0</v>
      </c>
      <c r="I2725" s="19"/>
    </row>
    <row r="2726" spans="1:9" ht="15.75" x14ac:dyDescent="0.25">
      <c r="A2726" s="51">
        <v>42818</v>
      </c>
      <c r="B2726" s="52" t="s">
        <v>10550</v>
      </c>
      <c r="C2726" s="18">
        <v>105504</v>
      </c>
      <c r="D2726" s="2" t="s">
        <v>47</v>
      </c>
      <c r="E2726" s="15">
        <v>6119.8</v>
      </c>
      <c r="F2726" s="59">
        <v>42818</v>
      </c>
      <c r="G2726" s="15">
        <f t="shared" si="85"/>
        <v>6119.8</v>
      </c>
      <c r="H2726" s="15">
        <f t="shared" si="86"/>
        <v>0</v>
      </c>
      <c r="I2726" s="19"/>
    </row>
    <row r="2727" spans="1:9" ht="15.75" x14ac:dyDescent="0.25">
      <c r="A2727" s="51">
        <v>42818</v>
      </c>
      <c r="B2727" s="52" t="s">
        <v>10551</v>
      </c>
      <c r="C2727" s="18">
        <v>105505</v>
      </c>
      <c r="D2727" s="2" t="s">
        <v>43</v>
      </c>
      <c r="E2727" s="15">
        <v>6601.8</v>
      </c>
      <c r="F2727" s="59">
        <v>42821</v>
      </c>
      <c r="G2727" s="15">
        <f t="shared" si="85"/>
        <v>6601.8</v>
      </c>
      <c r="H2727" s="15">
        <f t="shared" si="86"/>
        <v>0</v>
      </c>
      <c r="I2727" s="19"/>
    </row>
    <row r="2728" spans="1:9" ht="15.75" x14ac:dyDescent="0.25">
      <c r="A2728" s="51">
        <v>42818</v>
      </c>
      <c r="B2728" s="52" t="s">
        <v>10552</v>
      </c>
      <c r="C2728" s="18">
        <v>105506</v>
      </c>
      <c r="D2728" s="2" t="s">
        <v>40</v>
      </c>
      <c r="E2728" s="15">
        <v>6678.4</v>
      </c>
      <c r="F2728" s="64" t="s">
        <v>10474</v>
      </c>
      <c r="G2728" s="20">
        <f>5700+978.4</f>
        <v>6678.4</v>
      </c>
      <c r="H2728" s="20">
        <f t="shared" si="86"/>
        <v>0</v>
      </c>
      <c r="I2728" s="19"/>
    </row>
    <row r="2729" spans="1:9" ht="15.75" x14ac:dyDescent="0.25">
      <c r="A2729" s="51">
        <v>42818</v>
      </c>
      <c r="B2729" s="52" t="s">
        <v>10553</v>
      </c>
      <c r="C2729" s="18">
        <v>105507</v>
      </c>
      <c r="D2729" s="2" t="s">
        <v>49</v>
      </c>
      <c r="E2729" s="15">
        <v>12125.2</v>
      </c>
      <c r="F2729" s="59">
        <v>42821</v>
      </c>
      <c r="G2729" s="15">
        <f t="shared" si="85"/>
        <v>12125.2</v>
      </c>
      <c r="H2729" s="15">
        <f t="shared" si="86"/>
        <v>0</v>
      </c>
      <c r="I2729" s="19"/>
    </row>
    <row r="2730" spans="1:9" ht="15.75" x14ac:dyDescent="0.25">
      <c r="A2730" s="51">
        <v>42818</v>
      </c>
      <c r="B2730" s="52" t="s">
        <v>10554</v>
      </c>
      <c r="C2730" s="18">
        <v>105508</v>
      </c>
      <c r="D2730" s="2" t="s">
        <v>270</v>
      </c>
      <c r="E2730" s="15">
        <v>35027.1</v>
      </c>
      <c r="F2730" s="59">
        <v>42823</v>
      </c>
      <c r="G2730" s="15">
        <f t="shared" si="85"/>
        <v>35027.1</v>
      </c>
      <c r="H2730" s="15">
        <f t="shared" si="86"/>
        <v>0</v>
      </c>
      <c r="I2730" s="19"/>
    </row>
    <row r="2731" spans="1:9" ht="15.75" x14ac:dyDescent="0.25">
      <c r="A2731" s="51">
        <v>42818</v>
      </c>
      <c r="B2731" s="52" t="s">
        <v>10555</v>
      </c>
      <c r="C2731" s="18">
        <v>105509</v>
      </c>
      <c r="D2731" s="2" t="s">
        <v>30</v>
      </c>
      <c r="E2731" s="15">
        <v>3988</v>
      </c>
      <c r="F2731" s="59">
        <v>42818</v>
      </c>
      <c r="G2731" s="15">
        <f t="shared" si="85"/>
        <v>3988</v>
      </c>
      <c r="H2731" s="15">
        <f t="shared" si="86"/>
        <v>0</v>
      </c>
      <c r="I2731" s="19"/>
    </row>
    <row r="2732" spans="1:9" ht="15.75" x14ac:dyDescent="0.25">
      <c r="A2732" s="51">
        <v>42818</v>
      </c>
      <c r="B2732" s="52" t="s">
        <v>10556</v>
      </c>
      <c r="C2732" s="18">
        <v>105510</v>
      </c>
      <c r="D2732" s="2" t="s">
        <v>30</v>
      </c>
      <c r="E2732" s="15">
        <v>2360</v>
      </c>
      <c r="F2732" s="59">
        <v>42818</v>
      </c>
      <c r="G2732" s="15">
        <f t="shared" si="85"/>
        <v>2360</v>
      </c>
      <c r="H2732" s="15">
        <f t="shared" si="86"/>
        <v>0</v>
      </c>
      <c r="I2732" s="19"/>
    </row>
    <row r="2733" spans="1:9" ht="15.75" x14ac:dyDescent="0.25">
      <c r="A2733" s="51">
        <v>42818</v>
      </c>
      <c r="B2733" s="52" t="s">
        <v>10557</v>
      </c>
      <c r="C2733" s="18">
        <v>105511</v>
      </c>
      <c r="D2733" s="13" t="s">
        <v>268</v>
      </c>
      <c r="E2733" s="14">
        <v>0</v>
      </c>
      <c r="F2733" s="102" t="s">
        <v>95</v>
      </c>
      <c r="G2733" s="14">
        <f t="shared" si="85"/>
        <v>0</v>
      </c>
      <c r="H2733" s="14">
        <f t="shared" si="86"/>
        <v>0</v>
      </c>
      <c r="I2733" s="19"/>
    </row>
    <row r="2734" spans="1:9" ht="15.75" x14ac:dyDescent="0.25">
      <c r="A2734" s="51">
        <v>42818</v>
      </c>
      <c r="B2734" s="52" t="s">
        <v>10558</v>
      </c>
      <c r="C2734" s="18">
        <v>105512</v>
      </c>
      <c r="D2734" s="2" t="s">
        <v>1090</v>
      </c>
      <c r="E2734" s="15">
        <v>6114.8</v>
      </c>
      <c r="F2734" s="59">
        <v>42818</v>
      </c>
      <c r="G2734" s="15">
        <f t="shared" si="85"/>
        <v>6114.8</v>
      </c>
      <c r="H2734" s="15">
        <f t="shared" si="86"/>
        <v>0</v>
      </c>
      <c r="I2734" s="19"/>
    </row>
    <row r="2735" spans="1:9" ht="15.75" x14ac:dyDescent="0.25">
      <c r="A2735" s="51">
        <v>42818</v>
      </c>
      <c r="B2735" s="52" t="s">
        <v>10559</v>
      </c>
      <c r="C2735" s="18">
        <v>105513</v>
      </c>
      <c r="D2735" s="2" t="s">
        <v>21</v>
      </c>
      <c r="E2735" s="15">
        <v>44167.199999999997</v>
      </c>
      <c r="F2735" s="59">
        <v>42832</v>
      </c>
      <c r="G2735" s="15">
        <f t="shared" si="85"/>
        <v>44167.199999999997</v>
      </c>
      <c r="H2735" s="15">
        <f t="shared" si="86"/>
        <v>0</v>
      </c>
      <c r="I2735" s="19"/>
    </row>
    <row r="2736" spans="1:9" ht="15.75" x14ac:dyDescent="0.25">
      <c r="A2736" s="51">
        <v>42818</v>
      </c>
      <c r="B2736" s="52" t="s">
        <v>10560</v>
      </c>
      <c r="C2736" s="18">
        <v>105514</v>
      </c>
      <c r="D2736" s="2" t="s">
        <v>157</v>
      </c>
      <c r="E2736" s="15">
        <v>7749.3</v>
      </c>
      <c r="F2736" s="59">
        <v>42818</v>
      </c>
      <c r="G2736" s="15">
        <f t="shared" si="85"/>
        <v>7749.3</v>
      </c>
      <c r="H2736" s="15">
        <f t="shared" si="86"/>
        <v>0</v>
      </c>
      <c r="I2736" s="19"/>
    </row>
    <row r="2737" spans="1:9" ht="15.75" x14ac:dyDescent="0.25">
      <c r="A2737" s="51">
        <v>42818</v>
      </c>
      <c r="B2737" s="52" t="s">
        <v>10561</v>
      </c>
      <c r="C2737" s="18">
        <v>105515</v>
      </c>
      <c r="D2737" s="2" t="s">
        <v>151</v>
      </c>
      <c r="E2737" s="15">
        <v>16323.68</v>
      </c>
      <c r="F2737" s="59">
        <v>42818</v>
      </c>
      <c r="G2737" s="15">
        <f t="shared" si="85"/>
        <v>16323.68</v>
      </c>
      <c r="H2737" s="15">
        <f t="shared" si="86"/>
        <v>0</v>
      </c>
      <c r="I2737" s="19"/>
    </row>
    <row r="2738" spans="1:9" ht="15.75" x14ac:dyDescent="0.25">
      <c r="A2738" s="51">
        <v>42818</v>
      </c>
      <c r="B2738" s="52" t="s">
        <v>10562</v>
      </c>
      <c r="C2738" s="18">
        <v>105516</v>
      </c>
      <c r="D2738" s="2" t="s">
        <v>139</v>
      </c>
      <c r="E2738" s="15">
        <v>1125.5999999999999</v>
      </c>
      <c r="F2738" s="59">
        <v>42818</v>
      </c>
      <c r="G2738" s="15">
        <f t="shared" si="85"/>
        <v>1125.5999999999999</v>
      </c>
      <c r="H2738" s="15">
        <f t="shared" si="86"/>
        <v>0</v>
      </c>
      <c r="I2738" s="19"/>
    </row>
    <row r="2739" spans="1:9" ht="15.75" x14ac:dyDescent="0.25">
      <c r="A2739" s="51">
        <v>42818</v>
      </c>
      <c r="B2739" s="52" t="s">
        <v>10563</v>
      </c>
      <c r="C2739" s="18">
        <v>105517</v>
      </c>
      <c r="D2739" s="2" t="s">
        <v>2240</v>
      </c>
      <c r="E2739" s="15">
        <v>9449.2999999999993</v>
      </c>
      <c r="F2739" s="59">
        <v>42818</v>
      </c>
      <c r="G2739" s="15">
        <f t="shared" si="85"/>
        <v>9449.2999999999993</v>
      </c>
      <c r="H2739" s="15">
        <f t="shared" si="86"/>
        <v>0</v>
      </c>
      <c r="I2739" s="19"/>
    </row>
    <row r="2740" spans="1:9" ht="15.75" x14ac:dyDescent="0.25">
      <c r="A2740" s="51">
        <v>42818</v>
      </c>
      <c r="B2740" s="52" t="s">
        <v>10564</v>
      </c>
      <c r="C2740" s="18">
        <v>105518</v>
      </c>
      <c r="D2740" s="2" t="s">
        <v>79</v>
      </c>
      <c r="E2740" s="15">
        <v>2977.8</v>
      </c>
      <c r="F2740" s="59">
        <v>42818</v>
      </c>
      <c r="G2740" s="15">
        <f t="shared" si="85"/>
        <v>2977.8</v>
      </c>
      <c r="H2740" s="15">
        <f t="shared" si="86"/>
        <v>0</v>
      </c>
      <c r="I2740" s="19"/>
    </row>
    <row r="2741" spans="1:9" ht="15.75" x14ac:dyDescent="0.25">
      <c r="A2741" s="51">
        <v>42818</v>
      </c>
      <c r="B2741" s="52" t="s">
        <v>10565</v>
      </c>
      <c r="C2741" s="18">
        <v>105519</v>
      </c>
      <c r="D2741" s="2" t="s">
        <v>14</v>
      </c>
      <c r="E2741" s="15">
        <v>9050.7999999999993</v>
      </c>
      <c r="F2741" s="59">
        <v>42818</v>
      </c>
      <c r="G2741" s="15">
        <f t="shared" si="85"/>
        <v>9050.7999999999993</v>
      </c>
      <c r="H2741" s="15">
        <f t="shared" si="86"/>
        <v>0</v>
      </c>
      <c r="I2741" s="19"/>
    </row>
    <row r="2742" spans="1:9" ht="15.75" x14ac:dyDescent="0.25">
      <c r="A2742" s="51">
        <v>42818</v>
      </c>
      <c r="B2742" s="52" t="s">
        <v>10566</v>
      </c>
      <c r="C2742" s="18">
        <v>105520</v>
      </c>
      <c r="D2742" s="2" t="s">
        <v>240</v>
      </c>
      <c r="E2742" s="15">
        <v>9280</v>
      </c>
      <c r="F2742" s="59">
        <v>42818</v>
      </c>
      <c r="G2742" s="15">
        <f t="shared" si="85"/>
        <v>9280</v>
      </c>
      <c r="H2742" s="15">
        <f t="shared" si="86"/>
        <v>0</v>
      </c>
      <c r="I2742" s="19"/>
    </row>
    <row r="2743" spans="1:9" ht="15.75" x14ac:dyDescent="0.25">
      <c r="A2743" s="51">
        <v>42818</v>
      </c>
      <c r="B2743" s="52" t="s">
        <v>10567</v>
      </c>
      <c r="C2743" s="18">
        <v>105521</v>
      </c>
      <c r="D2743" s="2" t="s">
        <v>272</v>
      </c>
      <c r="E2743" s="15">
        <v>2702.7</v>
      </c>
      <c r="F2743" s="59">
        <v>42823</v>
      </c>
      <c r="G2743" s="15">
        <f t="shared" si="85"/>
        <v>2702.7</v>
      </c>
      <c r="H2743" s="15">
        <f t="shared" si="86"/>
        <v>0</v>
      </c>
      <c r="I2743" s="19"/>
    </row>
    <row r="2744" spans="1:9" ht="15.75" x14ac:dyDescent="0.25">
      <c r="A2744" s="51">
        <v>42818</v>
      </c>
      <c r="B2744" s="52" t="s">
        <v>10568</v>
      </c>
      <c r="C2744" s="18">
        <v>105522</v>
      </c>
      <c r="D2744" s="2" t="s">
        <v>432</v>
      </c>
      <c r="E2744" s="15">
        <v>13289.1</v>
      </c>
      <c r="F2744" s="59">
        <v>42823</v>
      </c>
      <c r="G2744" s="15">
        <f t="shared" si="85"/>
        <v>13289.1</v>
      </c>
      <c r="H2744" s="15">
        <f t="shared" si="86"/>
        <v>0</v>
      </c>
      <c r="I2744" s="19"/>
    </row>
    <row r="2745" spans="1:9" ht="15.75" x14ac:dyDescent="0.25">
      <c r="A2745" s="51">
        <v>42818</v>
      </c>
      <c r="B2745" s="52" t="s">
        <v>10569</v>
      </c>
      <c r="C2745" s="18">
        <v>105523</v>
      </c>
      <c r="D2745" s="13" t="s">
        <v>1666</v>
      </c>
      <c r="E2745" s="14">
        <v>0</v>
      </c>
      <c r="F2745" s="102" t="s">
        <v>95</v>
      </c>
      <c r="G2745" s="14">
        <f t="shared" si="85"/>
        <v>0</v>
      </c>
      <c r="H2745" s="14">
        <f t="shared" si="86"/>
        <v>0</v>
      </c>
      <c r="I2745" s="19"/>
    </row>
    <row r="2746" spans="1:9" ht="15.75" x14ac:dyDescent="0.25">
      <c r="A2746" s="51">
        <v>42818</v>
      </c>
      <c r="B2746" s="52" t="s">
        <v>10570</v>
      </c>
      <c r="C2746" s="18">
        <v>105524</v>
      </c>
      <c r="D2746" s="2" t="s">
        <v>302</v>
      </c>
      <c r="E2746" s="15">
        <v>8664</v>
      </c>
      <c r="F2746" s="59">
        <v>42818</v>
      </c>
      <c r="G2746" s="15">
        <f t="shared" si="85"/>
        <v>8664</v>
      </c>
      <c r="H2746" s="15">
        <f t="shared" si="86"/>
        <v>0</v>
      </c>
      <c r="I2746" s="19"/>
    </row>
    <row r="2747" spans="1:9" ht="15.75" x14ac:dyDescent="0.25">
      <c r="A2747" s="51">
        <v>42818</v>
      </c>
      <c r="B2747" s="52" t="s">
        <v>10571</v>
      </c>
      <c r="C2747" s="18">
        <v>105525</v>
      </c>
      <c r="D2747" s="2" t="s">
        <v>1666</v>
      </c>
      <c r="E2747" s="15">
        <v>13555.8</v>
      </c>
      <c r="F2747" s="59">
        <v>42823</v>
      </c>
      <c r="G2747" s="15">
        <f t="shared" si="85"/>
        <v>13555.8</v>
      </c>
      <c r="H2747" s="15">
        <f t="shared" si="86"/>
        <v>0</v>
      </c>
      <c r="I2747" s="19"/>
    </row>
    <row r="2748" spans="1:9" ht="15.75" x14ac:dyDescent="0.25">
      <c r="A2748" s="51">
        <v>42818</v>
      </c>
      <c r="B2748" s="52" t="s">
        <v>10572</v>
      </c>
      <c r="C2748" s="18">
        <v>105526</v>
      </c>
      <c r="D2748" s="2" t="s">
        <v>274</v>
      </c>
      <c r="E2748" s="15">
        <v>15327.9</v>
      </c>
      <c r="F2748" s="59">
        <v>42825</v>
      </c>
      <c r="G2748" s="15">
        <f t="shared" si="85"/>
        <v>15327.9</v>
      </c>
      <c r="H2748" s="15">
        <f t="shared" si="86"/>
        <v>0</v>
      </c>
      <c r="I2748" s="19"/>
    </row>
    <row r="2749" spans="1:9" ht="15.75" x14ac:dyDescent="0.25">
      <c r="A2749" s="51">
        <v>42818</v>
      </c>
      <c r="B2749" s="52" t="s">
        <v>10573</v>
      </c>
      <c r="C2749" s="18">
        <v>105527</v>
      </c>
      <c r="D2749" s="2" t="s">
        <v>10</v>
      </c>
      <c r="E2749" s="15">
        <v>44291</v>
      </c>
      <c r="F2749" s="59">
        <v>42824</v>
      </c>
      <c r="G2749" s="15">
        <f t="shared" si="85"/>
        <v>44291</v>
      </c>
      <c r="H2749" s="15">
        <f t="shared" si="86"/>
        <v>0</v>
      </c>
      <c r="I2749" s="19"/>
    </row>
    <row r="2750" spans="1:9" ht="15.75" x14ac:dyDescent="0.25">
      <c r="A2750" s="51">
        <v>42818</v>
      </c>
      <c r="B2750" s="52" t="s">
        <v>10574</v>
      </c>
      <c r="C2750" s="18">
        <v>105528</v>
      </c>
      <c r="D2750" s="2" t="s">
        <v>268</v>
      </c>
      <c r="E2750" s="15">
        <v>19782.2</v>
      </c>
      <c r="F2750" s="59">
        <v>42823</v>
      </c>
      <c r="G2750" s="15">
        <f t="shared" si="85"/>
        <v>19782.2</v>
      </c>
      <c r="H2750" s="15">
        <f t="shared" si="86"/>
        <v>0</v>
      </c>
      <c r="I2750" s="19"/>
    </row>
    <row r="2751" spans="1:9" ht="15.75" x14ac:dyDescent="0.25">
      <c r="A2751" s="51">
        <v>42818</v>
      </c>
      <c r="B2751" s="52" t="s">
        <v>10575</v>
      </c>
      <c r="C2751" s="18">
        <v>105529</v>
      </c>
      <c r="D2751" s="2" t="s">
        <v>30</v>
      </c>
      <c r="E2751" s="15">
        <v>6455.4</v>
      </c>
      <c r="F2751" s="59">
        <v>42818</v>
      </c>
      <c r="G2751" s="15">
        <f t="shared" si="85"/>
        <v>6455.4</v>
      </c>
      <c r="H2751" s="15">
        <f t="shared" si="86"/>
        <v>0</v>
      </c>
      <c r="I2751" s="19"/>
    </row>
    <row r="2752" spans="1:9" ht="15.75" x14ac:dyDescent="0.25">
      <c r="A2752" s="51">
        <v>42818</v>
      </c>
      <c r="B2752" s="52" t="s">
        <v>10576</v>
      </c>
      <c r="C2752" s="18">
        <v>105530</v>
      </c>
      <c r="D2752" s="2" t="s">
        <v>435</v>
      </c>
      <c r="E2752" s="15">
        <v>21978.799999999999</v>
      </c>
      <c r="F2752" s="59">
        <v>42823</v>
      </c>
      <c r="G2752" s="15">
        <f t="shared" si="85"/>
        <v>21978.799999999999</v>
      </c>
      <c r="H2752" s="15">
        <f t="shared" si="86"/>
        <v>0</v>
      </c>
      <c r="I2752" s="19"/>
    </row>
    <row r="2753" spans="1:9" ht="15.75" x14ac:dyDescent="0.25">
      <c r="A2753" s="51">
        <v>42818</v>
      </c>
      <c r="B2753" s="52" t="s">
        <v>10577</v>
      </c>
      <c r="C2753" s="18">
        <v>105531</v>
      </c>
      <c r="D2753" s="2" t="s">
        <v>442</v>
      </c>
      <c r="E2753" s="15">
        <v>12880.3</v>
      </c>
      <c r="F2753" s="59">
        <v>42823</v>
      </c>
      <c r="G2753" s="15">
        <f t="shared" si="85"/>
        <v>12880.3</v>
      </c>
      <c r="H2753" s="15">
        <f t="shared" si="86"/>
        <v>0</v>
      </c>
      <c r="I2753" s="19"/>
    </row>
    <row r="2754" spans="1:9" ht="15.75" x14ac:dyDescent="0.25">
      <c r="A2754" s="51">
        <v>42818</v>
      </c>
      <c r="B2754" s="52" t="s">
        <v>10578</v>
      </c>
      <c r="C2754" s="18">
        <v>105532</v>
      </c>
      <c r="D2754" s="2" t="s">
        <v>1380</v>
      </c>
      <c r="E2754" s="15">
        <v>1668.3</v>
      </c>
      <c r="F2754" s="59">
        <v>42818</v>
      </c>
      <c r="G2754" s="15">
        <f t="shared" si="85"/>
        <v>1668.3</v>
      </c>
      <c r="H2754" s="15">
        <f t="shared" si="86"/>
        <v>0</v>
      </c>
      <c r="I2754" s="19"/>
    </row>
    <row r="2755" spans="1:9" ht="15.75" x14ac:dyDescent="0.25">
      <c r="A2755" s="51">
        <v>42818</v>
      </c>
      <c r="B2755" s="52" t="s">
        <v>10579</v>
      </c>
      <c r="C2755" s="18">
        <v>105533</v>
      </c>
      <c r="D2755" s="2" t="s">
        <v>105</v>
      </c>
      <c r="E2755" s="15">
        <v>3123</v>
      </c>
      <c r="F2755" s="59">
        <v>42821</v>
      </c>
      <c r="G2755" s="15">
        <f t="shared" si="85"/>
        <v>3123</v>
      </c>
      <c r="H2755" s="15">
        <f t="shared" si="86"/>
        <v>0</v>
      </c>
      <c r="I2755" s="19"/>
    </row>
    <row r="2756" spans="1:9" ht="15.75" x14ac:dyDescent="0.25">
      <c r="A2756" s="51">
        <v>42818</v>
      </c>
      <c r="B2756" s="52" t="s">
        <v>10580</v>
      </c>
      <c r="C2756" s="18">
        <v>105534</v>
      </c>
      <c r="D2756" s="2" t="s">
        <v>291</v>
      </c>
      <c r="E2756" s="15">
        <v>2310</v>
      </c>
      <c r="F2756" s="59">
        <v>42818</v>
      </c>
      <c r="G2756" s="15">
        <f t="shared" ref="G2756:G2819" si="87">E2756</f>
        <v>2310</v>
      </c>
      <c r="H2756" s="15">
        <f t="shared" ref="H2756:H2819" si="88">E2756-G2756</f>
        <v>0</v>
      </c>
      <c r="I2756" s="19"/>
    </row>
    <row r="2757" spans="1:9" ht="15.75" x14ac:dyDescent="0.25">
      <c r="A2757" s="51">
        <v>42818</v>
      </c>
      <c r="B2757" s="52" t="s">
        <v>10581</v>
      </c>
      <c r="C2757" s="18">
        <v>105535</v>
      </c>
      <c r="D2757" s="2" t="s">
        <v>83</v>
      </c>
      <c r="E2757" s="15">
        <v>2740</v>
      </c>
      <c r="F2757" s="59">
        <v>42818</v>
      </c>
      <c r="G2757" s="15">
        <f t="shared" si="87"/>
        <v>2740</v>
      </c>
      <c r="H2757" s="15">
        <f t="shared" si="88"/>
        <v>0</v>
      </c>
      <c r="I2757" s="19"/>
    </row>
    <row r="2758" spans="1:9" ht="15.75" x14ac:dyDescent="0.25">
      <c r="A2758" s="51">
        <v>42818</v>
      </c>
      <c r="B2758" s="52" t="s">
        <v>10582</v>
      </c>
      <c r="C2758" s="18">
        <v>105536</v>
      </c>
      <c r="D2758" s="2" t="s">
        <v>10583</v>
      </c>
      <c r="E2758" s="15">
        <v>1560</v>
      </c>
      <c r="F2758" s="59">
        <v>42818</v>
      </c>
      <c r="G2758" s="15">
        <f t="shared" si="87"/>
        <v>1560</v>
      </c>
      <c r="H2758" s="15">
        <f t="shared" si="88"/>
        <v>0</v>
      </c>
      <c r="I2758" s="19"/>
    </row>
    <row r="2759" spans="1:9" ht="15.75" x14ac:dyDescent="0.25">
      <c r="A2759" s="51">
        <v>42818</v>
      </c>
      <c r="B2759" s="52" t="s">
        <v>10584</v>
      </c>
      <c r="C2759" s="18">
        <v>105537</v>
      </c>
      <c r="D2759" s="2" t="s">
        <v>289</v>
      </c>
      <c r="E2759" s="15">
        <v>17182.400000000001</v>
      </c>
      <c r="F2759" s="59">
        <v>42838</v>
      </c>
      <c r="G2759" s="15">
        <f t="shared" si="87"/>
        <v>17182.400000000001</v>
      </c>
      <c r="H2759" s="15">
        <f t="shared" si="88"/>
        <v>0</v>
      </c>
      <c r="I2759" s="19"/>
    </row>
    <row r="2760" spans="1:9" ht="15.75" x14ac:dyDescent="0.25">
      <c r="A2760" s="51">
        <v>42818</v>
      </c>
      <c r="B2760" s="52" t="s">
        <v>10585</v>
      </c>
      <c r="C2760" s="18">
        <v>105538</v>
      </c>
      <c r="D2760" s="2" t="s">
        <v>613</v>
      </c>
      <c r="E2760" s="15">
        <v>5400</v>
      </c>
      <c r="F2760" s="59">
        <v>42818</v>
      </c>
      <c r="G2760" s="15">
        <f t="shared" si="87"/>
        <v>5400</v>
      </c>
      <c r="H2760" s="15">
        <f t="shared" si="88"/>
        <v>0</v>
      </c>
      <c r="I2760" s="19"/>
    </row>
    <row r="2761" spans="1:9" ht="15.75" x14ac:dyDescent="0.25">
      <c r="A2761" s="51">
        <v>42818</v>
      </c>
      <c r="B2761" s="52" t="s">
        <v>10586</v>
      </c>
      <c r="C2761" s="18">
        <v>105539</v>
      </c>
      <c r="D2761" s="2" t="s">
        <v>430</v>
      </c>
      <c r="E2761" s="15">
        <v>2310</v>
      </c>
      <c r="F2761" s="59">
        <v>42818</v>
      </c>
      <c r="G2761" s="15">
        <f t="shared" si="87"/>
        <v>2310</v>
      </c>
      <c r="H2761" s="15">
        <f t="shared" si="88"/>
        <v>0</v>
      </c>
      <c r="I2761" s="19"/>
    </row>
    <row r="2762" spans="1:9" ht="15.75" x14ac:dyDescent="0.25">
      <c r="A2762" s="51">
        <v>42818</v>
      </c>
      <c r="B2762" s="52" t="s">
        <v>10587</v>
      </c>
      <c r="C2762" s="18">
        <v>105540</v>
      </c>
      <c r="D2762" s="2" t="s">
        <v>101</v>
      </c>
      <c r="E2762" s="15">
        <v>1719.9</v>
      </c>
      <c r="F2762" s="59">
        <v>42818</v>
      </c>
      <c r="G2762" s="15">
        <f t="shared" si="87"/>
        <v>1719.9</v>
      </c>
      <c r="H2762" s="15">
        <f t="shared" si="88"/>
        <v>0</v>
      </c>
      <c r="I2762" s="19"/>
    </row>
    <row r="2763" spans="1:9" ht="15.75" x14ac:dyDescent="0.25">
      <c r="A2763" s="51">
        <v>42818</v>
      </c>
      <c r="B2763" s="52" t="s">
        <v>10588</v>
      </c>
      <c r="C2763" s="18">
        <v>105541</v>
      </c>
      <c r="D2763" s="2" t="s">
        <v>99</v>
      </c>
      <c r="E2763" s="15">
        <v>2695</v>
      </c>
      <c r="F2763" s="59">
        <v>42818</v>
      </c>
      <c r="G2763" s="15">
        <f t="shared" si="87"/>
        <v>2695</v>
      </c>
      <c r="H2763" s="15">
        <f t="shared" si="88"/>
        <v>0</v>
      </c>
      <c r="I2763" s="19"/>
    </row>
    <row r="2764" spans="1:9" ht="15.75" x14ac:dyDescent="0.25">
      <c r="A2764" s="51">
        <v>42818</v>
      </c>
      <c r="B2764" s="52" t="s">
        <v>10589</v>
      </c>
      <c r="C2764" s="18">
        <v>105542</v>
      </c>
      <c r="D2764" s="13" t="s">
        <v>476</v>
      </c>
      <c r="E2764" s="14">
        <v>0</v>
      </c>
      <c r="F2764" s="102" t="s">
        <v>95</v>
      </c>
      <c r="G2764" s="14">
        <f t="shared" si="87"/>
        <v>0</v>
      </c>
      <c r="H2764" s="14">
        <f t="shared" si="88"/>
        <v>0</v>
      </c>
      <c r="I2764" s="19"/>
    </row>
    <row r="2765" spans="1:9" ht="15.75" x14ac:dyDescent="0.25">
      <c r="A2765" s="51">
        <v>42818</v>
      </c>
      <c r="B2765" s="52" t="s">
        <v>10590</v>
      </c>
      <c r="C2765" s="18">
        <v>105543</v>
      </c>
      <c r="D2765" s="2" t="s">
        <v>281</v>
      </c>
      <c r="E2765" s="15">
        <v>2076.6</v>
      </c>
      <c r="F2765" s="59">
        <v>42818</v>
      </c>
      <c r="G2765" s="15">
        <f t="shared" si="87"/>
        <v>2076.6</v>
      </c>
      <c r="H2765" s="15">
        <f t="shared" si="88"/>
        <v>0</v>
      </c>
      <c r="I2765" s="19"/>
    </row>
    <row r="2766" spans="1:9" ht="15.75" x14ac:dyDescent="0.25">
      <c r="A2766" s="51">
        <v>42818</v>
      </c>
      <c r="B2766" s="52" t="s">
        <v>10591</v>
      </c>
      <c r="C2766" s="18">
        <v>105544</v>
      </c>
      <c r="D2766" s="2" t="s">
        <v>4367</v>
      </c>
      <c r="E2766" s="15">
        <v>1614</v>
      </c>
      <c r="F2766" s="59">
        <v>42818</v>
      </c>
      <c r="G2766" s="15">
        <f t="shared" si="87"/>
        <v>1614</v>
      </c>
      <c r="H2766" s="15">
        <f t="shared" si="88"/>
        <v>0</v>
      </c>
      <c r="I2766" s="19"/>
    </row>
    <row r="2767" spans="1:9" ht="15.75" x14ac:dyDescent="0.25">
      <c r="A2767" s="51">
        <v>42818</v>
      </c>
      <c r="B2767" s="52" t="s">
        <v>10592</v>
      </c>
      <c r="C2767" s="18">
        <v>105545</v>
      </c>
      <c r="D2767" s="2" t="s">
        <v>30</v>
      </c>
      <c r="E2767" s="15">
        <v>1974.7</v>
      </c>
      <c r="F2767" s="59">
        <v>42818</v>
      </c>
      <c r="G2767" s="15">
        <f t="shared" si="87"/>
        <v>1974.7</v>
      </c>
      <c r="H2767" s="15">
        <f t="shared" si="88"/>
        <v>0</v>
      </c>
      <c r="I2767" s="19"/>
    </row>
    <row r="2768" spans="1:9" ht="15.75" x14ac:dyDescent="0.25">
      <c r="A2768" s="51">
        <v>42818</v>
      </c>
      <c r="B2768" s="52" t="s">
        <v>10593</v>
      </c>
      <c r="C2768" s="18">
        <v>105546</v>
      </c>
      <c r="D2768" s="2" t="s">
        <v>92</v>
      </c>
      <c r="E2768" s="15">
        <v>2680.3</v>
      </c>
      <c r="F2768" s="59">
        <v>42818</v>
      </c>
      <c r="G2768" s="15">
        <f t="shared" si="87"/>
        <v>2680.3</v>
      </c>
      <c r="H2768" s="15">
        <f t="shared" si="88"/>
        <v>0</v>
      </c>
      <c r="I2768" s="19"/>
    </row>
    <row r="2769" spans="1:9" ht="15.75" x14ac:dyDescent="0.25">
      <c r="A2769" s="51">
        <v>42818</v>
      </c>
      <c r="B2769" s="52" t="s">
        <v>10594</v>
      </c>
      <c r="C2769" s="18">
        <v>105547</v>
      </c>
      <c r="D2769" s="2" t="s">
        <v>220</v>
      </c>
      <c r="E2769" s="15">
        <v>3247.2</v>
      </c>
      <c r="F2769" s="59">
        <v>42818</v>
      </c>
      <c r="G2769" s="15">
        <f t="shared" si="87"/>
        <v>3247.2</v>
      </c>
      <c r="H2769" s="15">
        <f t="shared" si="88"/>
        <v>0</v>
      </c>
      <c r="I2769" s="19"/>
    </row>
    <row r="2770" spans="1:9" ht="15.75" x14ac:dyDescent="0.25">
      <c r="A2770" s="51">
        <v>42818</v>
      </c>
      <c r="B2770" s="52" t="s">
        <v>10595</v>
      </c>
      <c r="C2770" s="18">
        <v>105548</v>
      </c>
      <c r="D2770" s="2" t="s">
        <v>1259</v>
      </c>
      <c r="E2770" s="15">
        <v>1489.9</v>
      </c>
      <c r="F2770" s="59">
        <v>42818</v>
      </c>
      <c r="G2770" s="15">
        <f t="shared" si="87"/>
        <v>1489.9</v>
      </c>
      <c r="H2770" s="15">
        <f t="shared" si="88"/>
        <v>0</v>
      </c>
      <c r="I2770" s="19"/>
    </row>
    <row r="2771" spans="1:9" ht="15.75" x14ac:dyDescent="0.25">
      <c r="A2771" s="51">
        <v>42818</v>
      </c>
      <c r="B2771" s="52" t="s">
        <v>10596</v>
      </c>
      <c r="C2771" s="18">
        <v>105549</v>
      </c>
      <c r="D2771" s="2" t="s">
        <v>448</v>
      </c>
      <c r="E2771" s="15">
        <v>270.39999999999998</v>
      </c>
      <c r="F2771" s="59">
        <v>42818</v>
      </c>
      <c r="G2771" s="15">
        <f t="shared" si="87"/>
        <v>270.39999999999998</v>
      </c>
      <c r="H2771" s="15">
        <f t="shared" si="88"/>
        <v>0</v>
      </c>
      <c r="I2771" s="19"/>
    </row>
    <row r="2772" spans="1:9" ht="15.75" x14ac:dyDescent="0.25">
      <c r="A2772" s="51">
        <v>42818</v>
      </c>
      <c r="B2772" s="52" t="s">
        <v>10597</v>
      </c>
      <c r="C2772" s="18">
        <v>105550</v>
      </c>
      <c r="D2772" s="2" t="s">
        <v>88</v>
      </c>
      <c r="E2772" s="15">
        <v>5701</v>
      </c>
      <c r="F2772" s="59">
        <v>42818</v>
      </c>
      <c r="G2772" s="15">
        <f t="shared" si="87"/>
        <v>5701</v>
      </c>
      <c r="H2772" s="15">
        <f t="shared" si="88"/>
        <v>0</v>
      </c>
      <c r="I2772" s="19"/>
    </row>
    <row r="2773" spans="1:9" ht="15.75" x14ac:dyDescent="0.25">
      <c r="A2773" s="51">
        <v>42818</v>
      </c>
      <c r="B2773" s="52" t="s">
        <v>10598</v>
      </c>
      <c r="C2773" s="18">
        <v>105551</v>
      </c>
      <c r="D2773" s="2" t="s">
        <v>109</v>
      </c>
      <c r="E2773" s="15">
        <v>3258.5</v>
      </c>
      <c r="F2773" s="59">
        <v>42818</v>
      </c>
      <c r="G2773" s="15">
        <f t="shared" si="87"/>
        <v>3258.5</v>
      </c>
      <c r="H2773" s="15">
        <f t="shared" si="88"/>
        <v>0</v>
      </c>
      <c r="I2773" s="19"/>
    </row>
    <row r="2774" spans="1:9" ht="15.75" x14ac:dyDescent="0.25">
      <c r="A2774" s="51">
        <v>42818</v>
      </c>
      <c r="B2774" s="52" t="s">
        <v>10599</v>
      </c>
      <c r="C2774" s="18">
        <v>105552</v>
      </c>
      <c r="D2774" s="2" t="s">
        <v>113</v>
      </c>
      <c r="E2774" s="15">
        <v>1783.4</v>
      </c>
      <c r="F2774" s="59">
        <v>42818</v>
      </c>
      <c r="G2774" s="15">
        <f t="shared" si="87"/>
        <v>1783.4</v>
      </c>
      <c r="H2774" s="15">
        <f t="shared" si="88"/>
        <v>0</v>
      </c>
      <c r="I2774" s="19"/>
    </row>
    <row r="2775" spans="1:9" ht="15.75" x14ac:dyDescent="0.25">
      <c r="A2775" s="51">
        <v>42818</v>
      </c>
      <c r="B2775" s="52" t="s">
        <v>10600</v>
      </c>
      <c r="C2775" s="18">
        <v>105553</v>
      </c>
      <c r="D2775" s="2" t="s">
        <v>12</v>
      </c>
      <c r="E2775" s="15">
        <v>2153.1</v>
      </c>
      <c r="F2775" s="59">
        <v>42818</v>
      </c>
      <c r="G2775" s="15">
        <f t="shared" si="87"/>
        <v>2153.1</v>
      </c>
      <c r="H2775" s="15">
        <f t="shared" si="88"/>
        <v>0</v>
      </c>
      <c r="I2775" s="19"/>
    </row>
    <row r="2776" spans="1:9" ht="15.75" x14ac:dyDescent="0.25">
      <c r="A2776" s="51">
        <v>42818</v>
      </c>
      <c r="B2776" s="52" t="s">
        <v>10601</v>
      </c>
      <c r="C2776" s="18">
        <v>105554</v>
      </c>
      <c r="D2776" s="2" t="s">
        <v>472</v>
      </c>
      <c r="E2776" s="15">
        <v>13678</v>
      </c>
      <c r="F2776" s="59">
        <v>42822</v>
      </c>
      <c r="G2776" s="15">
        <f t="shared" si="87"/>
        <v>13678</v>
      </c>
      <c r="H2776" s="15">
        <f t="shared" si="88"/>
        <v>0</v>
      </c>
      <c r="I2776" s="19"/>
    </row>
    <row r="2777" spans="1:9" ht="15.75" x14ac:dyDescent="0.25">
      <c r="A2777" s="51">
        <v>42818</v>
      </c>
      <c r="B2777" s="52" t="s">
        <v>10602</v>
      </c>
      <c r="C2777" s="18">
        <v>105555</v>
      </c>
      <c r="D2777" s="2" t="s">
        <v>476</v>
      </c>
      <c r="E2777" s="15">
        <v>13274.5</v>
      </c>
      <c r="F2777" s="59">
        <v>42822</v>
      </c>
      <c r="G2777" s="15">
        <f t="shared" si="87"/>
        <v>13274.5</v>
      </c>
      <c r="H2777" s="15">
        <f t="shared" si="88"/>
        <v>0</v>
      </c>
      <c r="I2777" s="19"/>
    </row>
    <row r="2778" spans="1:9" ht="15.75" x14ac:dyDescent="0.25">
      <c r="A2778" s="51">
        <v>42818</v>
      </c>
      <c r="B2778" s="52" t="s">
        <v>10603</v>
      </c>
      <c r="C2778" s="18">
        <v>105556</v>
      </c>
      <c r="D2778" s="2" t="s">
        <v>45</v>
      </c>
      <c r="E2778" s="15">
        <v>912</v>
      </c>
      <c r="F2778" s="59">
        <v>42791</v>
      </c>
      <c r="G2778" s="15">
        <f t="shared" si="87"/>
        <v>912</v>
      </c>
      <c r="H2778" s="15">
        <f t="shared" si="88"/>
        <v>0</v>
      </c>
      <c r="I2778" s="19"/>
    </row>
    <row r="2779" spans="1:9" ht="15.75" x14ac:dyDescent="0.25">
      <c r="A2779" s="51">
        <v>42818</v>
      </c>
      <c r="B2779" s="52" t="s">
        <v>10604</v>
      </c>
      <c r="C2779" s="18">
        <v>105557</v>
      </c>
      <c r="D2779" s="2" t="s">
        <v>193</v>
      </c>
      <c r="E2779" s="15">
        <v>2459.8000000000002</v>
      </c>
      <c r="F2779" s="59">
        <v>42791</v>
      </c>
      <c r="G2779" s="15">
        <f t="shared" si="87"/>
        <v>2459.8000000000002</v>
      </c>
      <c r="H2779" s="15">
        <f t="shared" si="88"/>
        <v>0</v>
      </c>
      <c r="I2779" s="19"/>
    </row>
    <row r="2780" spans="1:9" ht="15.75" x14ac:dyDescent="0.25">
      <c r="A2780" s="51">
        <v>42818</v>
      </c>
      <c r="B2780" s="52" t="s">
        <v>10605</v>
      </c>
      <c r="C2780" s="18">
        <v>105558</v>
      </c>
      <c r="D2780" s="2" t="s">
        <v>182</v>
      </c>
      <c r="E2780" s="15">
        <v>2030.4</v>
      </c>
      <c r="F2780" s="59">
        <v>42791</v>
      </c>
      <c r="G2780" s="15">
        <f t="shared" si="87"/>
        <v>2030.4</v>
      </c>
      <c r="H2780" s="15">
        <f t="shared" si="88"/>
        <v>0</v>
      </c>
      <c r="I2780" s="19"/>
    </row>
    <row r="2781" spans="1:9" ht="15.75" x14ac:dyDescent="0.25">
      <c r="A2781" s="51">
        <v>42818</v>
      </c>
      <c r="B2781" s="52" t="s">
        <v>10606</v>
      </c>
      <c r="C2781" s="18">
        <v>105559</v>
      </c>
      <c r="D2781" s="2" t="s">
        <v>57</v>
      </c>
      <c r="E2781" s="15">
        <v>896.7</v>
      </c>
      <c r="F2781" s="59">
        <v>42791</v>
      </c>
      <c r="G2781" s="15">
        <f t="shared" si="87"/>
        <v>896.7</v>
      </c>
      <c r="H2781" s="15">
        <f t="shared" si="88"/>
        <v>0</v>
      </c>
      <c r="I2781" s="19"/>
    </row>
    <row r="2782" spans="1:9" ht="15.75" x14ac:dyDescent="0.25">
      <c r="A2782" s="51">
        <v>42818</v>
      </c>
      <c r="B2782" s="52" t="s">
        <v>10607</v>
      </c>
      <c r="C2782" s="18">
        <v>105560</v>
      </c>
      <c r="D2782" s="2" t="s">
        <v>61</v>
      </c>
      <c r="E2782" s="15">
        <v>7200.2</v>
      </c>
      <c r="F2782" s="59">
        <v>42791</v>
      </c>
      <c r="G2782" s="15">
        <f t="shared" si="87"/>
        <v>7200.2</v>
      </c>
      <c r="H2782" s="15">
        <f t="shared" si="88"/>
        <v>0</v>
      </c>
      <c r="I2782" s="19"/>
    </row>
    <row r="2783" spans="1:9" ht="15.75" x14ac:dyDescent="0.25">
      <c r="A2783" s="51">
        <v>42818</v>
      </c>
      <c r="B2783" s="52" t="s">
        <v>10608</v>
      </c>
      <c r="C2783" s="18">
        <v>105561</v>
      </c>
      <c r="D2783" s="2" t="s">
        <v>231</v>
      </c>
      <c r="E2783" s="15">
        <v>2716.6</v>
      </c>
      <c r="F2783" s="59">
        <v>42791</v>
      </c>
      <c r="G2783" s="15">
        <f t="shared" si="87"/>
        <v>2716.6</v>
      </c>
      <c r="H2783" s="15">
        <f t="shared" si="88"/>
        <v>0</v>
      </c>
      <c r="I2783" s="19"/>
    </row>
    <row r="2784" spans="1:9" ht="15.75" x14ac:dyDescent="0.25">
      <c r="A2784" s="51">
        <v>42818</v>
      </c>
      <c r="B2784" s="52" t="s">
        <v>10609</v>
      </c>
      <c r="C2784" s="18">
        <v>105562</v>
      </c>
      <c r="D2784" s="2" t="s">
        <v>879</v>
      </c>
      <c r="E2784" s="15">
        <v>2905</v>
      </c>
      <c r="F2784" s="59">
        <v>42818</v>
      </c>
      <c r="G2784" s="15">
        <f t="shared" si="87"/>
        <v>2905</v>
      </c>
      <c r="H2784" s="15">
        <f t="shared" si="88"/>
        <v>0</v>
      </c>
      <c r="I2784" s="19"/>
    </row>
    <row r="2785" spans="1:9" ht="15.75" x14ac:dyDescent="0.25">
      <c r="A2785" s="51">
        <v>42818</v>
      </c>
      <c r="B2785" s="52" t="s">
        <v>10610</v>
      </c>
      <c r="C2785" s="18">
        <v>105563</v>
      </c>
      <c r="D2785" s="2" t="s">
        <v>4930</v>
      </c>
      <c r="E2785" s="15">
        <v>3457.2</v>
      </c>
      <c r="F2785" s="59">
        <v>42791</v>
      </c>
      <c r="G2785" s="15">
        <f t="shared" si="87"/>
        <v>3457.2</v>
      </c>
      <c r="H2785" s="15">
        <f t="shared" si="88"/>
        <v>0</v>
      </c>
      <c r="I2785" s="19"/>
    </row>
    <row r="2786" spans="1:9" ht="15.75" x14ac:dyDescent="0.25">
      <c r="A2786" s="51">
        <v>42818</v>
      </c>
      <c r="B2786" s="52" t="s">
        <v>10611</v>
      </c>
      <c r="C2786" s="18">
        <v>105564</v>
      </c>
      <c r="D2786" s="2" t="s">
        <v>184</v>
      </c>
      <c r="E2786" s="15">
        <v>2030.5</v>
      </c>
      <c r="F2786" s="59">
        <v>42791</v>
      </c>
      <c r="G2786" s="15">
        <f t="shared" si="87"/>
        <v>2030.5</v>
      </c>
      <c r="H2786" s="15">
        <f t="shared" si="88"/>
        <v>0</v>
      </c>
      <c r="I2786" s="19"/>
    </row>
    <row r="2787" spans="1:9" ht="15.75" x14ac:dyDescent="0.25">
      <c r="A2787" s="51">
        <v>42818</v>
      </c>
      <c r="B2787" s="52" t="s">
        <v>10612</v>
      </c>
      <c r="C2787" s="18">
        <v>105565</v>
      </c>
      <c r="D2787" s="2" t="s">
        <v>2986</v>
      </c>
      <c r="E2787" s="15">
        <v>2768.5</v>
      </c>
      <c r="F2787" s="59">
        <v>42791</v>
      </c>
      <c r="G2787" s="15">
        <f t="shared" si="87"/>
        <v>2768.5</v>
      </c>
      <c r="H2787" s="15">
        <f t="shared" si="88"/>
        <v>0</v>
      </c>
      <c r="I2787" s="19"/>
    </row>
    <row r="2788" spans="1:9" ht="15.75" x14ac:dyDescent="0.25">
      <c r="A2788" s="51">
        <v>42818</v>
      </c>
      <c r="B2788" s="52" t="s">
        <v>10613</v>
      </c>
      <c r="C2788" s="18">
        <v>105566</v>
      </c>
      <c r="D2788" s="2" t="s">
        <v>3997</v>
      </c>
      <c r="E2788" s="15">
        <v>4355.2</v>
      </c>
      <c r="F2788" s="59">
        <v>42826</v>
      </c>
      <c r="G2788" s="15">
        <f t="shared" si="87"/>
        <v>4355.2</v>
      </c>
      <c r="H2788" s="15">
        <f t="shared" si="88"/>
        <v>0</v>
      </c>
      <c r="I2788" s="19"/>
    </row>
    <row r="2789" spans="1:9" ht="15.75" x14ac:dyDescent="0.25">
      <c r="A2789" s="51">
        <v>42818</v>
      </c>
      <c r="B2789" s="52" t="s">
        <v>10614</v>
      </c>
      <c r="C2789" s="18">
        <v>105567</v>
      </c>
      <c r="D2789" s="2" t="s">
        <v>155</v>
      </c>
      <c r="E2789" s="15">
        <v>19576.599999999999</v>
      </c>
      <c r="F2789" s="59">
        <v>42822</v>
      </c>
      <c r="G2789" s="15">
        <f t="shared" si="87"/>
        <v>19576.599999999999</v>
      </c>
      <c r="H2789" s="15">
        <f t="shared" si="88"/>
        <v>0</v>
      </c>
      <c r="I2789" s="19"/>
    </row>
    <row r="2790" spans="1:9" ht="15.75" x14ac:dyDescent="0.25">
      <c r="A2790" s="51">
        <v>42818</v>
      </c>
      <c r="B2790" s="52" t="s">
        <v>10615</v>
      </c>
      <c r="C2790" s="18">
        <v>105568</v>
      </c>
      <c r="D2790" s="2" t="s">
        <v>30</v>
      </c>
      <c r="E2790" s="15">
        <v>839.9</v>
      </c>
      <c r="F2790" s="59">
        <v>42818</v>
      </c>
      <c r="G2790" s="15">
        <f t="shared" si="87"/>
        <v>839.9</v>
      </c>
      <c r="H2790" s="15">
        <f t="shared" si="88"/>
        <v>0</v>
      </c>
      <c r="I2790" s="19"/>
    </row>
    <row r="2791" spans="1:9" ht="15.75" x14ac:dyDescent="0.25">
      <c r="A2791" s="51">
        <v>42818</v>
      </c>
      <c r="B2791" s="52" t="s">
        <v>10616</v>
      </c>
      <c r="C2791" s="18">
        <v>105569</v>
      </c>
      <c r="D2791" s="2" t="s">
        <v>693</v>
      </c>
      <c r="E2791" s="15">
        <v>3350</v>
      </c>
      <c r="F2791" s="59">
        <v>42791</v>
      </c>
      <c r="G2791" s="15">
        <f t="shared" si="87"/>
        <v>3350</v>
      </c>
      <c r="H2791" s="15">
        <f t="shared" si="88"/>
        <v>0</v>
      </c>
      <c r="I2791" s="19"/>
    </row>
    <row r="2792" spans="1:9" ht="15.75" x14ac:dyDescent="0.25">
      <c r="A2792" s="51">
        <v>42818</v>
      </c>
      <c r="B2792" s="52" t="s">
        <v>10617</v>
      </c>
      <c r="C2792" s="18">
        <v>105570</v>
      </c>
      <c r="D2792" s="2" t="s">
        <v>161</v>
      </c>
      <c r="E2792" s="15">
        <v>45130.5</v>
      </c>
      <c r="F2792" s="59">
        <v>42826</v>
      </c>
      <c r="G2792" s="15">
        <f t="shared" si="87"/>
        <v>45130.5</v>
      </c>
      <c r="H2792" s="15">
        <f t="shared" si="88"/>
        <v>0</v>
      </c>
      <c r="I2792" s="19"/>
    </row>
    <row r="2793" spans="1:9" ht="15.75" x14ac:dyDescent="0.25">
      <c r="A2793" s="51">
        <v>42818</v>
      </c>
      <c r="B2793" s="52" t="s">
        <v>10618</v>
      </c>
      <c r="C2793" s="18">
        <v>105571</v>
      </c>
      <c r="D2793" s="2" t="s">
        <v>145</v>
      </c>
      <c r="E2793" s="15">
        <v>3717</v>
      </c>
      <c r="F2793" s="59">
        <v>42791</v>
      </c>
      <c r="G2793" s="15">
        <f t="shared" si="87"/>
        <v>3717</v>
      </c>
      <c r="H2793" s="15">
        <f t="shared" si="88"/>
        <v>0</v>
      </c>
      <c r="I2793" s="19"/>
    </row>
    <row r="2794" spans="1:9" ht="15.75" x14ac:dyDescent="0.25">
      <c r="A2794" s="51">
        <v>42818</v>
      </c>
      <c r="B2794" s="52" t="s">
        <v>10619</v>
      </c>
      <c r="C2794" s="18">
        <v>105572</v>
      </c>
      <c r="D2794" s="13" t="s">
        <v>5487</v>
      </c>
      <c r="E2794" s="14">
        <v>0</v>
      </c>
      <c r="F2794" s="102" t="s">
        <v>95</v>
      </c>
      <c r="G2794" s="14">
        <f t="shared" si="87"/>
        <v>0</v>
      </c>
      <c r="H2794" s="14">
        <f t="shared" si="88"/>
        <v>0</v>
      </c>
      <c r="I2794" s="19"/>
    </row>
    <row r="2795" spans="1:9" ht="15.75" x14ac:dyDescent="0.25">
      <c r="A2795" s="51">
        <v>42818</v>
      </c>
      <c r="B2795" s="52" t="s">
        <v>10620</v>
      </c>
      <c r="C2795" s="18">
        <v>105573</v>
      </c>
      <c r="D2795" s="2" t="s">
        <v>163</v>
      </c>
      <c r="E2795" s="15">
        <v>17050.900000000001</v>
      </c>
      <c r="F2795" s="59">
        <v>42833</v>
      </c>
      <c r="G2795" s="15">
        <f t="shared" si="87"/>
        <v>17050.900000000001</v>
      </c>
      <c r="H2795" s="15">
        <f t="shared" si="88"/>
        <v>0</v>
      </c>
      <c r="I2795" s="19"/>
    </row>
    <row r="2796" spans="1:9" ht="15.75" x14ac:dyDescent="0.25">
      <c r="A2796" s="51">
        <v>42818</v>
      </c>
      <c r="B2796" s="52" t="s">
        <v>10621</v>
      </c>
      <c r="C2796" s="18">
        <v>105574</v>
      </c>
      <c r="D2796" s="2" t="s">
        <v>2704</v>
      </c>
      <c r="E2796" s="15">
        <v>16890.2</v>
      </c>
      <c r="F2796" s="59">
        <v>42791</v>
      </c>
      <c r="G2796" s="15">
        <f t="shared" si="87"/>
        <v>16890.2</v>
      </c>
      <c r="H2796" s="15">
        <f t="shared" si="88"/>
        <v>0</v>
      </c>
      <c r="I2796" s="19"/>
    </row>
    <row r="2797" spans="1:9" ht="15.75" x14ac:dyDescent="0.25">
      <c r="A2797" s="51">
        <v>42818</v>
      </c>
      <c r="B2797" s="52" t="s">
        <v>10622</v>
      </c>
      <c r="C2797" s="18">
        <v>105575</v>
      </c>
      <c r="D2797" s="2" t="s">
        <v>172</v>
      </c>
      <c r="E2797" s="15">
        <v>15424.9</v>
      </c>
      <c r="F2797" s="59">
        <v>42826</v>
      </c>
      <c r="G2797" s="15">
        <f t="shared" si="87"/>
        <v>15424.9</v>
      </c>
      <c r="H2797" s="15">
        <f t="shared" si="88"/>
        <v>0</v>
      </c>
      <c r="I2797" s="19"/>
    </row>
    <row r="2798" spans="1:9" ht="15.75" x14ac:dyDescent="0.25">
      <c r="A2798" s="51">
        <v>42818</v>
      </c>
      <c r="B2798" s="52" t="s">
        <v>10623</v>
      </c>
      <c r="C2798" s="18">
        <v>105576</v>
      </c>
      <c r="D2798" s="2" t="s">
        <v>806</v>
      </c>
      <c r="E2798" s="15">
        <v>3317</v>
      </c>
      <c r="F2798" s="59">
        <v>42818</v>
      </c>
      <c r="G2798" s="15">
        <f t="shared" si="87"/>
        <v>3317</v>
      </c>
      <c r="H2798" s="15">
        <f t="shared" si="88"/>
        <v>0</v>
      </c>
      <c r="I2798" s="19"/>
    </row>
    <row r="2799" spans="1:9" ht="15.75" x14ac:dyDescent="0.25">
      <c r="A2799" s="51">
        <v>42818</v>
      </c>
      <c r="B2799" s="52" t="s">
        <v>10624</v>
      </c>
      <c r="C2799" s="18">
        <v>105577</v>
      </c>
      <c r="D2799" s="2" t="s">
        <v>125</v>
      </c>
      <c r="E2799" s="15">
        <v>8473</v>
      </c>
      <c r="F2799" s="59">
        <v>42818</v>
      </c>
      <c r="G2799" s="15">
        <f t="shared" si="87"/>
        <v>8473</v>
      </c>
      <c r="H2799" s="15">
        <f t="shared" si="88"/>
        <v>0</v>
      </c>
      <c r="I2799" s="19"/>
    </row>
    <row r="2800" spans="1:9" ht="15.75" x14ac:dyDescent="0.25">
      <c r="A2800" s="51">
        <v>42818</v>
      </c>
      <c r="B2800" s="52" t="s">
        <v>10625</v>
      </c>
      <c r="C2800" s="18">
        <v>105578</v>
      </c>
      <c r="D2800" s="2" t="s">
        <v>149</v>
      </c>
      <c r="E2800" s="15">
        <v>4173</v>
      </c>
      <c r="F2800" s="59">
        <v>42818</v>
      </c>
      <c r="G2800" s="15">
        <f t="shared" si="87"/>
        <v>4173</v>
      </c>
      <c r="H2800" s="15">
        <f t="shared" si="88"/>
        <v>0</v>
      </c>
      <c r="I2800" s="19"/>
    </row>
    <row r="2801" spans="1:9" ht="15.75" x14ac:dyDescent="0.25">
      <c r="A2801" s="51">
        <v>42818</v>
      </c>
      <c r="B2801" s="52" t="s">
        <v>10626</v>
      </c>
      <c r="C2801" s="18">
        <v>105579</v>
      </c>
      <c r="D2801" s="2" t="s">
        <v>149</v>
      </c>
      <c r="E2801" s="15">
        <v>305</v>
      </c>
      <c r="F2801" s="59">
        <v>42818</v>
      </c>
      <c r="G2801" s="15">
        <f t="shared" si="87"/>
        <v>305</v>
      </c>
      <c r="H2801" s="15">
        <f t="shared" si="88"/>
        <v>0</v>
      </c>
      <c r="I2801" s="19"/>
    </row>
    <row r="2802" spans="1:9" ht="15.75" x14ac:dyDescent="0.25">
      <c r="A2802" s="51">
        <v>42818</v>
      </c>
      <c r="B2802" s="52" t="s">
        <v>10627</v>
      </c>
      <c r="C2802" s="18">
        <v>105580</v>
      </c>
      <c r="D2802" s="2" t="s">
        <v>208</v>
      </c>
      <c r="E2802" s="15">
        <v>8784.6</v>
      </c>
      <c r="F2802" s="59">
        <v>42822</v>
      </c>
      <c r="G2802" s="15">
        <f t="shared" si="87"/>
        <v>8784.6</v>
      </c>
      <c r="H2802" s="15">
        <f t="shared" si="88"/>
        <v>0</v>
      </c>
      <c r="I2802" s="19"/>
    </row>
    <row r="2803" spans="1:9" ht="15.75" x14ac:dyDescent="0.25">
      <c r="A2803" s="51">
        <v>42818</v>
      </c>
      <c r="B2803" s="52" t="s">
        <v>10628</v>
      </c>
      <c r="C2803" s="18">
        <v>105581</v>
      </c>
      <c r="D2803" s="2" t="s">
        <v>131</v>
      </c>
      <c r="E2803" s="15">
        <v>13303.8</v>
      </c>
      <c r="F2803" s="59">
        <v>42791</v>
      </c>
      <c r="G2803" s="15">
        <f t="shared" si="87"/>
        <v>13303.8</v>
      </c>
      <c r="H2803" s="15">
        <f t="shared" si="88"/>
        <v>0</v>
      </c>
      <c r="I2803" s="19"/>
    </row>
    <row r="2804" spans="1:9" ht="15.75" x14ac:dyDescent="0.25">
      <c r="A2804" s="51">
        <v>42818</v>
      </c>
      <c r="B2804" s="52" t="s">
        <v>10629</v>
      </c>
      <c r="C2804" s="18">
        <v>105582</v>
      </c>
      <c r="D2804" s="13" t="s">
        <v>122</v>
      </c>
      <c r="E2804" s="14">
        <v>0</v>
      </c>
      <c r="F2804" s="102" t="s">
        <v>95</v>
      </c>
      <c r="G2804" s="14">
        <f t="shared" si="87"/>
        <v>0</v>
      </c>
      <c r="H2804" s="14">
        <f t="shared" si="88"/>
        <v>0</v>
      </c>
      <c r="I2804" s="19"/>
    </row>
    <row r="2805" spans="1:9" ht="15.75" x14ac:dyDescent="0.25">
      <c r="A2805" s="51">
        <v>42818</v>
      </c>
      <c r="B2805" s="52" t="s">
        <v>10630</v>
      </c>
      <c r="C2805" s="18">
        <v>105583</v>
      </c>
      <c r="D2805" s="13" t="s">
        <v>428</v>
      </c>
      <c r="E2805" s="14">
        <v>0</v>
      </c>
      <c r="F2805" s="102" t="s">
        <v>95</v>
      </c>
      <c r="G2805" s="14">
        <f t="shared" si="87"/>
        <v>0</v>
      </c>
      <c r="H2805" s="14">
        <f t="shared" si="88"/>
        <v>0</v>
      </c>
      <c r="I2805" s="19"/>
    </row>
    <row r="2806" spans="1:9" ht="15.75" x14ac:dyDescent="0.25">
      <c r="A2806" s="51">
        <v>42818</v>
      </c>
      <c r="B2806" s="52" t="s">
        <v>10631</v>
      </c>
      <c r="C2806" s="18">
        <v>105584</v>
      </c>
      <c r="D2806" s="2" t="s">
        <v>428</v>
      </c>
      <c r="E2806" s="15">
        <v>726</v>
      </c>
      <c r="F2806" s="64" t="s">
        <v>10474</v>
      </c>
      <c r="G2806" s="20">
        <f>698+28</f>
        <v>726</v>
      </c>
      <c r="H2806" s="20">
        <f t="shared" si="88"/>
        <v>0</v>
      </c>
      <c r="I2806" s="19"/>
    </row>
    <row r="2807" spans="1:9" ht="15.75" x14ac:dyDescent="0.25">
      <c r="A2807" s="51">
        <v>42818</v>
      </c>
      <c r="B2807" s="52" t="s">
        <v>10632</v>
      </c>
      <c r="C2807" s="18">
        <v>105585</v>
      </c>
      <c r="D2807" s="2" t="s">
        <v>459</v>
      </c>
      <c r="E2807" s="15">
        <v>450</v>
      </c>
      <c r="F2807" s="59">
        <v>42791</v>
      </c>
      <c r="G2807" s="15">
        <f t="shared" si="87"/>
        <v>450</v>
      </c>
      <c r="H2807" s="15">
        <f t="shared" si="88"/>
        <v>0</v>
      </c>
      <c r="I2807" s="19"/>
    </row>
    <row r="2808" spans="1:9" ht="15.75" x14ac:dyDescent="0.25">
      <c r="A2808" s="51">
        <v>42818</v>
      </c>
      <c r="B2808" s="52" t="s">
        <v>10633</v>
      </c>
      <c r="C2808" s="18">
        <v>105586</v>
      </c>
      <c r="D2808" s="2" t="s">
        <v>459</v>
      </c>
      <c r="E2808" s="15">
        <v>1123.2</v>
      </c>
      <c r="F2808" s="59">
        <v>42791</v>
      </c>
      <c r="G2808" s="15">
        <f t="shared" si="87"/>
        <v>1123.2</v>
      </c>
      <c r="H2808" s="15">
        <f t="shared" si="88"/>
        <v>0</v>
      </c>
      <c r="I2808" s="19"/>
    </row>
    <row r="2809" spans="1:9" ht="15.75" x14ac:dyDescent="0.25">
      <c r="A2809" s="51">
        <v>42818</v>
      </c>
      <c r="B2809" s="52" t="s">
        <v>10634</v>
      </c>
      <c r="C2809" s="18">
        <v>105587</v>
      </c>
      <c r="D2809" s="2" t="s">
        <v>122</v>
      </c>
      <c r="E2809" s="15">
        <v>5331.2</v>
      </c>
      <c r="F2809" s="59">
        <v>42824</v>
      </c>
      <c r="G2809" s="15">
        <f t="shared" si="87"/>
        <v>5331.2</v>
      </c>
      <c r="H2809" s="15">
        <f t="shared" si="88"/>
        <v>0</v>
      </c>
      <c r="I2809" s="19"/>
    </row>
    <row r="2810" spans="1:9" ht="15.75" x14ac:dyDescent="0.25">
      <c r="A2810" s="51">
        <v>42818</v>
      </c>
      <c r="B2810" s="52" t="s">
        <v>10635</v>
      </c>
      <c r="C2810" s="18">
        <v>105588</v>
      </c>
      <c r="D2810" s="2" t="s">
        <v>492</v>
      </c>
      <c r="E2810" s="15">
        <v>19247.2</v>
      </c>
      <c r="F2810" s="59">
        <v>42791</v>
      </c>
      <c r="G2810" s="15">
        <f t="shared" si="87"/>
        <v>19247.2</v>
      </c>
      <c r="H2810" s="15">
        <f t="shared" si="88"/>
        <v>0</v>
      </c>
      <c r="I2810" s="19"/>
    </row>
    <row r="2811" spans="1:9" ht="15.75" x14ac:dyDescent="0.25">
      <c r="A2811" s="51">
        <v>42818</v>
      </c>
      <c r="B2811" s="52" t="s">
        <v>10636</v>
      </c>
      <c r="C2811" s="18">
        <v>105589</v>
      </c>
      <c r="D2811" s="2" t="s">
        <v>509</v>
      </c>
      <c r="E2811" s="15">
        <v>13420</v>
      </c>
      <c r="F2811" s="59">
        <v>42833</v>
      </c>
      <c r="G2811" s="15">
        <f t="shared" si="87"/>
        <v>13420</v>
      </c>
      <c r="H2811" s="15">
        <f t="shared" si="88"/>
        <v>0</v>
      </c>
      <c r="I2811" s="19"/>
    </row>
    <row r="2812" spans="1:9" ht="15.75" x14ac:dyDescent="0.25">
      <c r="A2812" s="51">
        <v>42818</v>
      </c>
      <c r="B2812" s="52" t="s">
        <v>10637</v>
      </c>
      <c r="C2812" s="18">
        <v>105590</v>
      </c>
      <c r="D2812" s="2" t="s">
        <v>492</v>
      </c>
      <c r="E2812" s="15">
        <v>873.6</v>
      </c>
      <c r="F2812" s="59">
        <v>42791</v>
      </c>
      <c r="G2812" s="15">
        <f t="shared" si="87"/>
        <v>873.6</v>
      </c>
      <c r="H2812" s="15">
        <f t="shared" si="88"/>
        <v>0</v>
      </c>
      <c r="I2812" s="19"/>
    </row>
    <row r="2813" spans="1:9" ht="15.75" x14ac:dyDescent="0.25">
      <c r="A2813" s="51">
        <v>42818</v>
      </c>
      <c r="B2813" s="52" t="s">
        <v>10638</v>
      </c>
      <c r="C2813" s="18">
        <v>105591</v>
      </c>
      <c r="D2813" s="2" t="s">
        <v>165</v>
      </c>
      <c r="E2813" s="15">
        <v>12552.9</v>
      </c>
      <c r="F2813" s="59">
        <v>42846</v>
      </c>
      <c r="G2813" s="15">
        <f t="shared" si="87"/>
        <v>12552.9</v>
      </c>
      <c r="H2813" s="15">
        <f t="shared" si="88"/>
        <v>0</v>
      </c>
      <c r="I2813" s="19"/>
    </row>
    <row r="2814" spans="1:9" ht="15.75" x14ac:dyDescent="0.25">
      <c r="A2814" s="51">
        <v>42818</v>
      </c>
      <c r="B2814" s="52" t="s">
        <v>10639</v>
      </c>
      <c r="C2814" s="18">
        <v>105592</v>
      </c>
      <c r="D2814" s="2" t="s">
        <v>10</v>
      </c>
      <c r="E2814" s="15">
        <v>9965</v>
      </c>
      <c r="F2814" s="59">
        <v>42824</v>
      </c>
      <c r="G2814" s="15">
        <f t="shared" si="87"/>
        <v>9965</v>
      </c>
      <c r="H2814" s="15">
        <f t="shared" si="88"/>
        <v>0</v>
      </c>
      <c r="I2814" s="19"/>
    </row>
    <row r="2815" spans="1:9" ht="15.75" x14ac:dyDescent="0.25">
      <c r="A2815" s="51">
        <v>42818</v>
      </c>
      <c r="B2815" s="52" t="s">
        <v>10640</v>
      </c>
      <c r="C2815" s="18">
        <v>105593</v>
      </c>
      <c r="D2815" s="2" t="s">
        <v>354</v>
      </c>
      <c r="E2815" s="15">
        <v>2615.6</v>
      </c>
      <c r="F2815" s="59">
        <v>42818</v>
      </c>
      <c r="G2815" s="15">
        <f t="shared" si="87"/>
        <v>2615.6</v>
      </c>
      <c r="H2815" s="15">
        <f t="shared" si="88"/>
        <v>0</v>
      </c>
      <c r="I2815" s="19"/>
    </row>
    <row r="2816" spans="1:9" ht="15.75" x14ac:dyDescent="0.25">
      <c r="A2816" s="51">
        <v>42818</v>
      </c>
      <c r="B2816" s="52" t="s">
        <v>10641</v>
      </c>
      <c r="C2816" s="18">
        <v>105594</v>
      </c>
      <c r="D2816" s="2" t="s">
        <v>205</v>
      </c>
      <c r="E2816" s="15">
        <v>31707.72</v>
      </c>
      <c r="F2816" s="59">
        <v>42818</v>
      </c>
      <c r="G2816" s="15">
        <f t="shared" si="87"/>
        <v>31707.72</v>
      </c>
      <c r="H2816" s="15">
        <f t="shared" si="88"/>
        <v>0</v>
      </c>
      <c r="I2816" s="19"/>
    </row>
    <row r="2817" spans="1:9" ht="15.75" x14ac:dyDescent="0.25">
      <c r="A2817" s="51">
        <v>42818</v>
      </c>
      <c r="B2817" s="52" t="s">
        <v>10642</v>
      </c>
      <c r="C2817" s="18">
        <v>105595</v>
      </c>
      <c r="D2817" s="2" t="s">
        <v>422</v>
      </c>
      <c r="E2817" s="15">
        <v>2894.4</v>
      </c>
      <c r="F2817" s="59">
        <v>42818</v>
      </c>
      <c r="G2817" s="15">
        <f t="shared" si="87"/>
        <v>2894.4</v>
      </c>
      <c r="H2817" s="15">
        <f t="shared" si="88"/>
        <v>0</v>
      </c>
      <c r="I2817" s="19"/>
    </row>
    <row r="2818" spans="1:9" ht="15.75" x14ac:dyDescent="0.25">
      <c r="A2818" s="51">
        <v>42818</v>
      </c>
      <c r="B2818" s="52" t="s">
        <v>10643</v>
      </c>
      <c r="C2818" s="18">
        <v>105596</v>
      </c>
      <c r="D2818" s="2" t="s">
        <v>379</v>
      </c>
      <c r="E2818" s="15">
        <v>5172</v>
      </c>
      <c r="F2818" s="59">
        <v>42832</v>
      </c>
      <c r="G2818" s="15">
        <f t="shared" si="87"/>
        <v>5172</v>
      </c>
      <c r="H2818" s="15">
        <f t="shared" si="88"/>
        <v>0</v>
      </c>
      <c r="I2818" s="19"/>
    </row>
    <row r="2819" spans="1:9" ht="15.75" x14ac:dyDescent="0.25">
      <c r="A2819" s="51">
        <v>42818</v>
      </c>
      <c r="B2819" s="52" t="s">
        <v>10644</v>
      </c>
      <c r="C2819" s="18">
        <v>105597</v>
      </c>
      <c r="D2819" s="2" t="s">
        <v>1925</v>
      </c>
      <c r="E2819" s="15">
        <v>570.29999999999995</v>
      </c>
      <c r="F2819" s="59">
        <v>42818</v>
      </c>
      <c r="G2819" s="15">
        <f t="shared" si="87"/>
        <v>570.29999999999995</v>
      </c>
      <c r="H2819" s="15">
        <f t="shared" si="88"/>
        <v>0</v>
      </c>
      <c r="I2819" s="19"/>
    </row>
    <row r="2820" spans="1:9" ht="15.75" x14ac:dyDescent="0.25">
      <c r="A2820" s="51">
        <v>42818</v>
      </c>
      <c r="B2820" s="52" t="s">
        <v>10645</v>
      </c>
      <c r="C2820" s="18">
        <v>105598</v>
      </c>
      <c r="D2820" s="2" t="s">
        <v>205</v>
      </c>
      <c r="E2820" s="15">
        <v>31647.200000000001</v>
      </c>
      <c r="F2820" s="59">
        <v>42818</v>
      </c>
      <c r="G2820" s="15">
        <f t="shared" ref="G2820:G2883" si="89">E2820</f>
        <v>31647.200000000001</v>
      </c>
      <c r="H2820" s="15">
        <f t="shared" ref="H2820:H2883" si="90">E2820-G2820</f>
        <v>0</v>
      </c>
      <c r="I2820" s="19"/>
    </row>
    <row r="2821" spans="1:9" ht="15.75" x14ac:dyDescent="0.25">
      <c r="A2821" s="51">
        <v>42818</v>
      </c>
      <c r="B2821" s="52" t="s">
        <v>10646</v>
      </c>
      <c r="C2821" s="18">
        <v>105599</v>
      </c>
      <c r="D2821" s="2" t="s">
        <v>866</v>
      </c>
      <c r="E2821" s="15">
        <v>5512.2</v>
      </c>
      <c r="F2821" s="59">
        <v>42818</v>
      </c>
      <c r="G2821" s="15">
        <f t="shared" si="89"/>
        <v>5512.2</v>
      </c>
      <c r="H2821" s="15">
        <f t="shared" si="90"/>
        <v>0</v>
      </c>
      <c r="I2821" s="19"/>
    </row>
    <row r="2822" spans="1:9" ht="15.75" x14ac:dyDescent="0.25">
      <c r="A2822" s="51">
        <v>42818</v>
      </c>
      <c r="B2822" s="52" t="s">
        <v>10647</v>
      </c>
      <c r="C2822" s="18">
        <v>105600</v>
      </c>
      <c r="D2822" s="2" t="s">
        <v>55</v>
      </c>
      <c r="E2822" s="15">
        <v>25013.4</v>
      </c>
      <c r="F2822" s="64">
        <v>42818</v>
      </c>
      <c r="G2822" s="20">
        <f>20000+5013.4</f>
        <v>25013.4</v>
      </c>
      <c r="H2822" s="20">
        <f t="shared" si="90"/>
        <v>0</v>
      </c>
      <c r="I2822" s="19"/>
    </row>
    <row r="2823" spans="1:9" ht="15.75" x14ac:dyDescent="0.25">
      <c r="A2823" s="51">
        <v>42818</v>
      </c>
      <c r="B2823" s="52" t="s">
        <v>10648</v>
      </c>
      <c r="C2823" s="18">
        <v>105601</v>
      </c>
      <c r="D2823" s="2" t="s">
        <v>55</v>
      </c>
      <c r="E2823" s="15">
        <v>1560</v>
      </c>
      <c r="F2823" s="59">
        <v>42818</v>
      </c>
      <c r="G2823" s="15">
        <f t="shared" si="89"/>
        <v>1560</v>
      </c>
      <c r="H2823" s="15">
        <f t="shared" si="90"/>
        <v>0</v>
      </c>
      <c r="I2823" s="19"/>
    </row>
    <row r="2824" spans="1:9" ht="15.75" x14ac:dyDescent="0.25">
      <c r="A2824" s="51">
        <v>42818</v>
      </c>
      <c r="B2824" s="52" t="s">
        <v>10649</v>
      </c>
      <c r="C2824" s="18">
        <v>105602</v>
      </c>
      <c r="D2824" s="2" t="s">
        <v>236</v>
      </c>
      <c r="E2824" s="15">
        <v>4476.2</v>
      </c>
      <c r="F2824" s="59">
        <v>42824</v>
      </c>
      <c r="G2824" s="15">
        <f t="shared" si="89"/>
        <v>4476.2</v>
      </c>
      <c r="H2824" s="15">
        <f t="shared" si="90"/>
        <v>0</v>
      </c>
      <c r="I2824" s="19"/>
    </row>
    <row r="2825" spans="1:9" ht="15.75" x14ac:dyDescent="0.25">
      <c r="A2825" s="51">
        <v>42818</v>
      </c>
      <c r="B2825" s="52" t="s">
        <v>10650</v>
      </c>
      <c r="C2825" s="18">
        <v>105603</v>
      </c>
      <c r="D2825" s="2" t="s">
        <v>352</v>
      </c>
      <c r="E2825" s="15">
        <v>3061.5</v>
      </c>
      <c r="F2825" s="59">
        <v>42818</v>
      </c>
      <c r="G2825" s="15">
        <f t="shared" si="89"/>
        <v>3061.5</v>
      </c>
      <c r="H2825" s="15">
        <f t="shared" si="90"/>
        <v>0</v>
      </c>
      <c r="I2825" s="19"/>
    </row>
    <row r="2826" spans="1:9" ht="15.75" x14ac:dyDescent="0.25">
      <c r="A2826" s="51">
        <v>42818</v>
      </c>
      <c r="B2826" s="52" t="s">
        <v>10651</v>
      </c>
      <c r="C2826" s="18">
        <v>105604</v>
      </c>
      <c r="D2826" s="2" t="s">
        <v>5352</v>
      </c>
      <c r="E2826" s="15">
        <v>7221.6</v>
      </c>
      <c r="F2826" s="59">
        <v>42818</v>
      </c>
      <c r="G2826" s="15">
        <f t="shared" si="89"/>
        <v>7221.6</v>
      </c>
      <c r="H2826" s="15">
        <f t="shared" si="90"/>
        <v>0</v>
      </c>
      <c r="I2826" s="19"/>
    </row>
    <row r="2827" spans="1:9" ht="15.75" x14ac:dyDescent="0.25">
      <c r="A2827" s="51">
        <v>42818</v>
      </c>
      <c r="B2827" s="52" t="s">
        <v>10652</v>
      </c>
      <c r="C2827" s="18">
        <v>105605</v>
      </c>
      <c r="D2827" s="2" t="s">
        <v>9907</v>
      </c>
      <c r="E2827" s="15">
        <v>1802</v>
      </c>
      <c r="F2827" s="59">
        <v>42818</v>
      </c>
      <c r="G2827" s="15">
        <f t="shared" si="89"/>
        <v>1802</v>
      </c>
      <c r="H2827" s="15">
        <f t="shared" si="90"/>
        <v>0</v>
      </c>
      <c r="I2827" s="19"/>
    </row>
    <row r="2828" spans="1:9" ht="15.75" x14ac:dyDescent="0.25">
      <c r="A2828" s="51">
        <v>42818</v>
      </c>
      <c r="B2828" s="52" t="s">
        <v>10653</v>
      </c>
      <c r="C2828" s="18">
        <v>105606</v>
      </c>
      <c r="D2828" s="2" t="s">
        <v>5352</v>
      </c>
      <c r="E2828" s="15">
        <v>11600.8</v>
      </c>
      <c r="F2828" s="59">
        <v>42818</v>
      </c>
      <c r="G2828" s="15">
        <f t="shared" si="89"/>
        <v>11600.8</v>
      </c>
      <c r="H2828" s="15">
        <f t="shared" si="90"/>
        <v>0</v>
      </c>
      <c r="I2828" s="19"/>
    </row>
    <row r="2829" spans="1:9" ht="15.75" x14ac:dyDescent="0.25">
      <c r="A2829" s="51">
        <v>42818</v>
      </c>
      <c r="B2829" s="52" t="s">
        <v>10654</v>
      </c>
      <c r="C2829" s="18">
        <v>105607</v>
      </c>
      <c r="D2829" s="2" t="s">
        <v>222</v>
      </c>
      <c r="E2829" s="15">
        <v>31647.200000000001</v>
      </c>
      <c r="F2829" s="59">
        <v>42823</v>
      </c>
      <c r="G2829" s="15">
        <f t="shared" si="89"/>
        <v>31647.200000000001</v>
      </c>
      <c r="H2829" s="15">
        <f t="shared" si="90"/>
        <v>0</v>
      </c>
      <c r="I2829" s="19"/>
    </row>
    <row r="2830" spans="1:9" ht="15.75" x14ac:dyDescent="0.25">
      <c r="A2830" s="51">
        <v>42818</v>
      </c>
      <c r="B2830" s="52" t="s">
        <v>10655</v>
      </c>
      <c r="C2830" s="18">
        <v>105608</v>
      </c>
      <c r="D2830" s="2" t="s">
        <v>222</v>
      </c>
      <c r="E2830" s="15">
        <v>50621.5</v>
      </c>
      <c r="F2830" s="59">
        <v>42823</v>
      </c>
      <c r="G2830" s="15">
        <f t="shared" si="89"/>
        <v>50621.5</v>
      </c>
      <c r="H2830" s="15">
        <f t="shared" si="90"/>
        <v>0</v>
      </c>
      <c r="I2830" s="19"/>
    </row>
    <row r="2831" spans="1:9" ht="15.75" x14ac:dyDescent="0.25">
      <c r="A2831" s="51">
        <v>42818</v>
      </c>
      <c r="B2831" s="52" t="s">
        <v>10656</v>
      </c>
      <c r="C2831" s="18">
        <v>105609</v>
      </c>
      <c r="D2831" s="2" t="s">
        <v>222</v>
      </c>
      <c r="E2831" s="15">
        <v>31399.34</v>
      </c>
      <c r="F2831" s="59">
        <v>42823</v>
      </c>
      <c r="G2831" s="15">
        <f t="shared" si="89"/>
        <v>31399.34</v>
      </c>
      <c r="H2831" s="15">
        <f t="shared" si="90"/>
        <v>0</v>
      </c>
      <c r="I2831" s="19"/>
    </row>
    <row r="2832" spans="1:9" ht="15.75" x14ac:dyDescent="0.25">
      <c r="A2832" s="51">
        <v>42818</v>
      </c>
      <c r="B2832" s="52" t="s">
        <v>10657</v>
      </c>
      <c r="C2832" s="18">
        <v>105610</v>
      </c>
      <c r="D2832" s="2" t="s">
        <v>10658</v>
      </c>
      <c r="E2832" s="15">
        <v>20685.599999999999</v>
      </c>
      <c r="F2832" s="59">
        <v>42791</v>
      </c>
      <c r="G2832" s="15">
        <f t="shared" si="89"/>
        <v>20685.599999999999</v>
      </c>
      <c r="H2832" s="15">
        <f t="shared" si="90"/>
        <v>0</v>
      </c>
      <c r="I2832" s="19"/>
    </row>
    <row r="2833" spans="1:9" ht="15.75" x14ac:dyDescent="0.25">
      <c r="A2833" s="51">
        <v>42818</v>
      </c>
      <c r="B2833" s="52" t="s">
        <v>10659</v>
      </c>
      <c r="C2833" s="18">
        <v>105611</v>
      </c>
      <c r="D2833" s="13" t="s">
        <v>10</v>
      </c>
      <c r="E2833" s="14">
        <v>0</v>
      </c>
      <c r="F2833" s="102" t="s">
        <v>95</v>
      </c>
      <c r="G2833" s="14">
        <f t="shared" si="89"/>
        <v>0</v>
      </c>
      <c r="H2833" s="14">
        <f t="shared" si="90"/>
        <v>0</v>
      </c>
      <c r="I2833" s="19"/>
    </row>
    <row r="2834" spans="1:9" ht="15.75" x14ac:dyDescent="0.25">
      <c r="A2834" s="51">
        <v>42818</v>
      </c>
      <c r="B2834" s="52" t="s">
        <v>10660</v>
      </c>
      <c r="C2834" s="18">
        <v>105612</v>
      </c>
      <c r="D2834" s="2" t="s">
        <v>222</v>
      </c>
      <c r="E2834" s="15">
        <v>185658</v>
      </c>
      <c r="F2834" s="59">
        <v>42823</v>
      </c>
      <c r="G2834" s="15">
        <f t="shared" si="89"/>
        <v>185658</v>
      </c>
      <c r="H2834" s="15">
        <f t="shared" si="90"/>
        <v>0</v>
      </c>
      <c r="I2834" s="19"/>
    </row>
    <row r="2835" spans="1:9" ht="15.75" x14ac:dyDescent="0.25">
      <c r="A2835" s="51">
        <v>42818</v>
      </c>
      <c r="B2835" s="52" t="s">
        <v>10661</v>
      </c>
      <c r="C2835" s="18">
        <v>105613</v>
      </c>
      <c r="D2835" s="2" t="s">
        <v>222</v>
      </c>
      <c r="E2835" s="15">
        <v>382800</v>
      </c>
      <c r="F2835" s="59">
        <v>42830</v>
      </c>
      <c r="G2835" s="15">
        <f t="shared" si="89"/>
        <v>382800</v>
      </c>
      <c r="H2835" s="15">
        <f t="shared" si="90"/>
        <v>0</v>
      </c>
      <c r="I2835" s="19"/>
    </row>
    <row r="2836" spans="1:9" ht="15.75" x14ac:dyDescent="0.25">
      <c r="A2836" s="51">
        <v>42818</v>
      </c>
      <c r="B2836" s="52" t="s">
        <v>10662</v>
      </c>
      <c r="C2836" s="18">
        <v>105614</v>
      </c>
      <c r="D2836" s="2" t="s">
        <v>921</v>
      </c>
      <c r="E2836" s="15">
        <v>7182.6</v>
      </c>
      <c r="F2836" s="59">
        <v>42818</v>
      </c>
      <c r="G2836" s="15">
        <f t="shared" si="89"/>
        <v>7182.6</v>
      </c>
      <c r="H2836" s="15">
        <f t="shared" si="90"/>
        <v>0</v>
      </c>
      <c r="I2836" s="19"/>
    </row>
    <row r="2837" spans="1:9" ht="15.75" x14ac:dyDescent="0.25">
      <c r="A2837" s="51">
        <v>42818</v>
      </c>
      <c r="B2837" s="52" t="s">
        <v>10663</v>
      </c>
      <c r="C2837" s="18">
        <v>105615</v>
      </c>
      <c r="D2837" s="2" t="s">
        <v>30</v>
      </c>
      <c r="E2837" s="15">
        <v>292.60000000000002</v>
      </c>
      <c r="F2837" s="59">
        <v>42818</v>
      </c>
      <c r="G2837" s="15">
        <f t="shared" si="89"/>
        <v>292.60000000000002</v>
      </c>
      <c r="H2837" s="15">
        <f t="shared" si="90"/>
        <v>0</v>
      </c>
      <c r="I2837" s="19"/>
    </row>
    <row r="2838" spans="1:9" ht="15.75" x14ac:dyDescent="0.25">
      <c r="A2838" s="51">
        <v>42818</v>
      </c>
      <c r="B2838" s="52" t="s">
        <v>10664</v>
      </c>
      <c r="C2838" s="18">
        <v>105616</v>
      </c>
      <c r="D2838" s="2" t="s">
        <v>30</v>
      </c>
      <c r="E2838" s="15">
        <v>8243</v>
      </c>
      <c r="F2838" s="59">
        <v>42818</v>
      </c>
      <c r="G2838" s="15">
        <f t="shared" si="89"/>
        <v>8243</v>
      </c>
      <c r="H2838" s="15">
        <f t="shared" si="90"/>
        <v>0</v>
      </c>
      <c r="I2838" s="19"/>
    </row>
    <row r="2839" spans="1:9" ht="15.75" x14ac:dyDescent="0.25">
      <c r="A2839" s="51">
        <v>42818</v>
      </c>
      <c r="B2839" s="52" t="s">
        <v>10665</v>
      </c>
      <c r="C2839" s="18">
        <v>105617</v>
      </c>
      <c r="D2839" s="13" t="s">
        <v>7147</v>
      </c>
      <c r="E2839" s="14">
        <v>0</v>
      </c>
      <c r="F2839" s="102" t="s">
        <v>95</v>
      </c>
      <c r="G2839" s="14">
        <f t="shared" si="89"/>
        <v>0</v>
      </c>
      <c r="H2839" s="14">
        <f t="shared" si="90"/>
        <v>0</v>
      </c>
      <c r="I2839" s="19"/>
    </row>
    <row r="2840" spans="1:9" ht="15.75" x14ac:dyDescent="0.25">
      <c r="A2840" s="51">
        <v>42818</v>
      </c>
      <c r="B2840" s="52" t="s">
        <v>10666</v>
      </c>
      <c r="C2840" s="18">
        <v>105618</v>
      </c>
      <c r="D2840" s="2" t="s">
        <v>7147</v>
      </c>
      <c r="E2840" s="15">
        <v>9634.7999999999993</v>
      </c>
      <c r="F2840" s="59">
        <v>42818</v>
      </c>
      <c r="G2840" s="15">
        <f t="shared" si="89"/>
        <v>9634.7999999999993</v>
      </c>
      <c r="H2840" s="15">
        <f t="shared" si="90"/>
        <v>0</v>
      </c>
      <c r="I2840" s="19"/>
    </row>
    <row r="2841" spans="1:9" ht="15.75" x14ac:dyDescent="0.25">
      <c r="A2841" s="51">
        <v>42819</v>
      </c>
      <c r="B2841" s="52" t="s">
        <v>10667</v>
      </c>
      <c r="C2841" s="18">
        <v>105619</v>
      </c>
      <c r="D2841" s="2" t="s">
        <v>122</v>
      </c>
      <c r="E2841" s="15">
        <v>22787</v>
      </c>
      <c r="F2841" s="59">
        <v>42829</v>
      </c>
      <c r="G2841" s="15">
        <f t="shared" si="89"/>
        <v>22787</v>
      </c>
      <c r="H2841" s="15">
        <f t="shared" si="90"/>
        <v>0</v>
      </c>
      <c r="I2841" s="19"/>
    </row>
    <row r="2842" spans="1:9" ht="15.75" x14ac:dyDescent="0.25">
      <c r="A2842" s="51">
        <v>42819</v>
      </c>
      <c r="B2842" s="52" t="s">
        <v>10668</v>
      </c>
      <c r="C2842" s="18">
        <v>105620</v>
      </c>
      <c r="D2842" s="2" t="s">
        <v>374</v>
      </c>
      <c r="E2842" s="15">
        <v>6178.8</v>
      </c>
      <c r="F2842" s="59">
        <v>42791</v>
      </c>
      <c r="G2842" s="15">
        <f t="shared" si="89"/>
        <v>6178.8</v>
      </c>
      <c r="H2842" s="15">
        <f t="shared" si="90"/>
        <v>0</v>
      </c>
      <c r="I2842" s="19"/>
    </row>
    <row r="2843" spans="1:9" ht="15.75" x14ac:dyDescent="0.25">
      <c r="A2843" s="51">
        <v>42819</v>
      </c>
      <c r="B2843" s="52" t="s">
        <v>10669</v>
      </c>
      <c r="C2843" s="18">
        <v>105621</v>
      </c>
      <c r="D2843" s="2" t="s">
        <v>231</v>
      </c>
      <c r="E2843" s="15">
        <v>9048.1</v>
      </c>
      <c r="F2843" s="59">
        <v>42820</v>
      </c>
      <c r="G2843" s="15">
        <f t="shared" si="89"/>
        <v>9048.1</v>
      </c>
      <c r="H2843" s="15">
        <f t="shared" si="90"/>
        <v>0</v>
      </c>
      <c r="I2843" s="19"/>
    </row>
    <row r="2844" spans="1:9" ht="15.75" x14ac:dyDescent="0.25">
      <c r="A2844" s="51">
        <v>42819</v>
      </c>
      <c r="B2844" s="52" t="s">
        <v>10670</v>
      </c>
      <c r="C2844" s="18">
        <v>105622</v>
      </c>
      <c r="D2844" s="2" t="s">
        <v>17</v>
      </c>
      <c r="E2844" s="15">
        <v>5145</v>
      </c>
      <c r="F2844" s="59">
        <v>42791</v>
      </c>
      <c r="G2844" s="15">
        <f t="shared" si="89"/>
        <v>5145</v>
      </c>
      <c r="H2844" s="15">
        <f t="shared" si="90"/>
        <v>0</v>
      </c>
      <c r="I2844" s="19"/>
    </row>
    <row r="2845" spans="1:9" ht="15.75" x14ac:dyDescent="0.25">
      <c r="A2845" s="51">
        <v>42819</v>
      </c>
      <c r="B2845" s="52" t="s">
        <v>10671</v>
      </c>
      <c r="C2845" s="18">
        <v>105623</v>
      </c>
      <c r="D2845" s="2" t="s">
        <v>71</v>
      </c>
      <c r="E2845" s="15">
        <v>1801.5</v>
      </c>
      <c r="F2845" s="59">
        <v>42791</v>
      </c>
      <c r="G2845" s="15">
        <f t="shared" si="89"/>
        <v>1801.5</v>
      </c>
      <c r="H2845" s="15">
        <f t="shared" si="90"/>
        <v>0</v>
      </c>
      <c r="I2845" s="19"/>
    </row>
    <row r="2846" spans="1:9" ht="15.75" x14ac:dyDescent="0.25">
      <c r="A2846" s="51">
        <v>42819</v>
      </c>
      <c r="B2846" s="52" t="s">
        <v>10672</v>
      </c>
      <c r="C2846" s="18">
        <v>105624</v>
      </c>
      <c r="D2846" s="2" t="s">
        <v>231</v>
      </c>
      <c r="E2846" s="15">
        <v>30973.200000000001</v>
      </c>
      <c r="F2846" s="59">
        <v>42820</v>
      </c>
      <c r="G2846" s="15">
        <f t="shared" si="89"/>
        <v>30973.200000000001</v>
      </c>
      <c r="H2846" s="15">
        <f t="shared" si="90"/>
        <v>0</v>
      </c>
      <c r="I2846" s="19"/>
    </row>
    <row r="2847" spans="1:9" ht="15.75" x14ac:dyDescent="0.25">
      <c r="A2847" s="51">
        <v>42819</v>
      </c>
      <c r="B2847" s="52" t="s">
        <v>10673</v>
      </c>
      <c r="C2847" s="18">
        <v>105625</v>
      </c>
      <c r="D2847" s="2" t="s">
        <v>26</v>
      </c>
      <c r="E2847" s="15">
        <v>20897.599999999999</v>
      </c>
      <c r="F2847" s="59">
        <v>42791</v>
      </c>
      <c r="G2847" s="15">
        <f t="shared" si="89"/>
        <v>20897.599999999999</v>
      </c>
      <c r="H2847" s="15">
        <f t="shared" si="90"/>
        <v>0</v>
      </c>
      <c r="I2847" s="19"/>
    </row>
    <row r="2848" spans="1:9" ht="15.75" x14ac:dyDescent="0.25">
      <c r="A2848" s="51">
        <v>42819</v>
      </c>
      <c r="B2848" s="52" t="s">
        <v>10674</v>
      </c>
      <c r="C2848" s="18">
        <v>105626</v>
      </c>
      <c r="D2848" s="2" t="s">
        <v>222</v>
      </c>
      <c r="E2848" s="15">
        <v>4815</v>
      </c>
      <c r="F2848" s="59">
        <v>42823</v>
      </c>
      <c r="G2848" s="15">
        <f t="shared" si="89"/>
        <v>4815</v>
      </c>
      <c r="H2848" s="15">
        <f t="shared" si="90"/>
        <v>0</v>
      </c>
      <c r="I2848" s="19"/>
    </row>
    <row r="2849" spans="1:9" ht="15.75" x14ac:dyDescent="0.25">
      <c r="A2849" s="51">
        <v>42819</v>
      </c>
      <c r="B2849" s="52" t="s">
        <v>10675</v>
      </c>
      <c r="C2849" s="18">
        <v>105627</v>
      </c>
      <c r="D2849" s="2" t="s">
        <v>19</v>
      </c>
      <c r="E2849" s="15">
        <v>1225</v>
      </c>
      <c r="F2849" s="59">
        <v>42791</v>
      </c>
      <c r="G2849" s="15">
        <f t="shared" si="89"/>
        <v>1225</v>
      </c>
      <c r="H2849" s="15">
        <f t="shared" si="90"/>
        <v>0</v>
      </c>
      <c r="I2849" s="19"/>
    </row>
    <row r="2850" spans="1:9" ht="15.75" x14ac:dyDescent="0.25">
      <c r="A2850" s="51">
        <v>42819</v>
      </c>
      <c r="B2850" s="52" t="s">
        <v>10676</v>
      </c>
      <c r="C2850" s="18">
        <v>105628</v>
      </c>
      <c r="D2850" s="2" t="s">
        <v>55</v>
      </c>
      <c r="E2850" s="15">
        <v>4591.8</v>
      </c>
      <c r="F2850" s="59">
        <v>42791</v>
      </c>
      <c r="G2850" s="15">
        <f t="shared" si="89"/>
        <v>4591.8</v>
      </c>
      <c r="H2850" s="15">
        <f t="shared" si="90"/>
        <v>0</v>
      </c>
      <c r="I2850" s="19"/>
    </row>
    <row r="2851" spans="1:9" ht="15.75" x14ac:dyDescent="0.25">
      <c r="A2851" s="51">
        <v>42819</v>
      </c>
      <c r="B2851" s="52" t="s">
        <v>10677</v>
      </c>
      <c r="C2851" s="18">
        <v>105629</v>
      </c>
      <c r="D2851" s="13" t="s">
        <v>67</v>
      </c>
      <c r="E2851" s="14">
        <v>0</v>
      </c>
      <c r="F2851" s="102" t="s">
        <v>95</v>
      </c>
      <c r="G2851" s="14">
        <f t="shared" si="89"/>
        <v>0</v>
      </c>
      <c r="H2851" s="14">
        <f t="shared" si="90"/>
        <v>0</v>
      </c>
      <c r="I2851" s="19"/>
    </row>
    <row r="2852" spans="1:9" ht="15.75" x14ac:dyDescent="0.25">
      <c r="A2852" s="51">
        <v>42819</v>
      </c>
      <c r="B2852" s="52" t="s">
        <v>10678</v>
      </c>
      <c r="C2852" s="18">
        <v>105630</v>
      </c>
      <c r="D2852" s="2" t="s">
        <v>69</v>
      </c>
      <c r="E2852" s="15">
        <v>2761.2</v>
      </c>
      <c r="F2852" s="59">
        <v>42791</v>
      </c>
      <c r="G2852" s="15">
        <f t="shared" si="89"/>
        <v>2761.2</v>
      </c>
      <c r="H2852" s="15">
        <f t="shared" si="90"/>
        <v>0</v>
      </c>
      <c r="I2852" s="19"/>
    </row>
    <row r="2853" spans="1:9" ht="15.75" x14ac:dyDescent="0.25">
      <c r="A2853" s="51">
        <v>42819</v>
      </c>
      <c r="B2853" s="52" t="s">
        <v>10679</v>
      </c>
      <c r="C2853" s="18">
        <v>105631</v>
      </c>
      <c r="D2853" s="2" t="s">
        <v>426</v>
      </c>
      <c r="E2853" s="15">
        <v>13035.6</v>
      </c>
      <c r="F2853" s="59">
        <v>42828</v>
      </c>
      <c r="G2853" s="15">
        <f t="shared" si="89"/>
        <v>13035.6</v>
      </c>
      <c r="H2853" s="15">
        <f t="shared" si="90"/>
        <v>0</v>
      </c>
      <c r="I2853" s="19"/>
    </row>
    <row r="2854" spans="1:9" ht="15.75" x14ac:dyDescent="0.25">
      <c r="A2854" s="51">
        <v>42819</v>
      </c>
      <c r="B2854" s="52" t="s">
        <v>10680</v>
      </c>
      <c r="C2854" s="18">
        <v>105632</v>
      </c>
      <c r="D2854" s="2" t="s">
        <v>10</v>
      </c>
      <c r="E2854" s="15">
        <v>47609.3</v>
      </c>
      <c r="F2854" s="59">
        <v>42824</v>
      </c>
      <c r="G2854" s="15">
        <f t="shared" si="89"/>
        <v>47609.3</v>
      </c>
      <c r="H2854" s="15">
        <f t="shared" si="90"/>
        <v>0</v>
      </c>
      <c r="I2854" s="19"/>
    </row>
    <row r="2855" spans="1:9" ht="15.75" x14ac:dyDescent="0.25">
      <c r="A2855" s="51">
        <v>42819</v>
      </c>
      <c r="B2855" s="52" t="s">
        <v>10681</v>
      </c>
      <c r="C2855" s="18">
        <v>105633</v>
      </c>
      <c r="D2855" s="2" t="s">
        <v>1870</v>
      </c>
      <c r="E2855" s="15">
        <v>2458.6</v>
      </c>
      <c r="F2855" s="59">
        <v>42791</v>
      </c>
      <c r="G2855" s="15">
        <f t="shared" si="89"/>
        <v>2458.6</v>
      </c>
      <c r="H2855" s="15">
        <f t="shared" si="90"/>
        <v>0</v>
      </c>
      <c r="I2855" s="19"/>
    </row>
    <row r="2856" spans="1:9" ht="15.75" x14ac:dyDescent="0.25">
      <c r="A2856" s="51">
        <v>42819</v>
      </c>
      <c r="B2856" s="52" t="s">
        <v>10682</v>
      </c>
      <c r="C2856" s="18">
        <v>105634</v>
      </c>
      <c r="D2856" s="2" t="s">
        <v>1786</v>
      </c>
      <c r="E2856" s="15">
        <v>9367.2000000000007</v>
      </c>
      <c r="F2856" s="59">
        <v>42791</v>
      </c>
      <c r="G2856" s="15">
        <f t="shared" si="89"/>
        <v>9367.2000000000007</v>
      </c>
      <c r="H2856" s="15">
        <f t="shared" si="90"/>
        <v>0</v>
      </c>
      <c r="I2856" s="19"/>
    </row>
    <row r="2857" spans="1:9" ht="15.75" x14ac:dyDescent="0.25">
      <c r="A2857" s="51">
        <v>42819</v>
      </c>
      <c r="B2857" s="52" t="s">
        <v>10683</v>
      </c>
      <c r="C2857" s="18">
        <v>105635</v>
      </c>
      <c r="D2857" s="13" t="s">
        <v>28</v>
      </c>
      <c r="E2857" s="14">
        <v>0</v>
      </c>
      <c r="F2857" s="102" t="s">
        <v>95</v>
      </c>
      <c r="G2857" s="14">
        <f t="shared" si="89"/>
        <v>0</v>
      </c>
      <c r="H2857" s="14">
        <f t="shared" si="90"/>
        <v>0</v>
      </c>
      <c r="I2857" s="19"/>
    </row>
    <row r="2858" spans="1:9" ht="15.75" x14ac:dyDescent="0.25">
      <c r="A2858" s="51">
        <v>42819</v>
      </c>
      <c r="B2858" s="52" t="s">
        <v>10684</v>
      </c>
      <c r="C2858" s="18">
        <v>105636</v>
      </c>
      <c r="D2858" s="2" t="s">
        <v>47</v>
      </c>
      <c r="E2858" s="15">
        <v>3641.2</v>
      </c>
      <c r="F2858" s="59">
        <v>42791</v>
      </c>
      <c r="G2858" s="15">
        <f t="shared" si="89"/>
        <v>3641.2</v>
      </c>
      <c r="H2858" s="15">
        <f t="shared" si="90"/>
        <v>0</v>
      </c>
      <c r="I2858" s="19"/>
    </row>
    <row r="2859" spans="1:9" ht="15.75" x14ac:dyDescent="0.25">
      <c r="A2859" s="51">
        <v>42819</v>
      </c>
      <c r="B2859" s="52" t="s">
        <v>10685</v>
      </c>
      <c r="C2859" s="18">
        <v>105637</v>
      </c>
      <c r="D2859" s="2" t="s">
        <v>509</v>
      </c>
      <c r="E2859" s="15">
        <v>7897.2</v>
      </c>
      <c r="F2859" s="59">
        <v>42791</v>
      </c>
      <c r="G2859" s="15">
        <f t="shared" si="89"/>
        <v>7897.2</v>
      </c>
      <c r="H2859" s="15">
        <f t="shared" si="90"/>
        <v>0</v>
      </c>
      <c r="I2859" s="19"/>
    </row>
    <row r="2860" spans="1:9" ht="15.75" x14ac:dyDescent="0.25">
      <c r="A2860" s="51">
        <v>42819</v>
      </c>
      <c r="B2860" s="52" t="s">
        <v>10686</v>
      </c>
      <c r="C2860" s="18">
        <v>105638</v>
      </c>
      <c r="D2860" s="2" t="s">
        <v>28</v>
      </c>
      <c r="E2860" s="15">
        <v>13631</v>
      </c>
      <c r="F2860" s="59">
        <v>42791</v>
      </c>
      <c r="G2860" s="15">
        <f t="shared" si="89"/>
        <v>13631</v>
      </c>
      <c r="H2860" s="15">
        <f t="shared" si="90"/>
        <v>0</v>
      </c>
      <c r="I2860" s="19"/>
    </row>
    <row r="2861" spans="1:9" ht="15.75" x14ac:dyDescent="0.25">
      <c r="A2861" s="51">
        <v>42819</v>
      </c>
      <c r="B2861" s="52" t="s">
        <v>10687</v>
      </c>
      <c r="C2861" s="18">
        <v>105639</v>
      </c>
      <c r="D2861" s="2" t="s">
        <v>35</v>
      </c>
      <c r="E2861" s="15">
        <v>27456.6</v>
      </c>
      <c r="F2861" s="59">
        <v>42824</v>
      </c>
      <c r="G2861" s="15">
        <f t="shared" si="89"/>
        <v>27456.6</v>
      </c>
      <c r="H2861" s="15">
        <f t="shared" si="90"/>
        <v>0</v>
      </c>
      <c r="I2861" s="19"/>
    </row>
    <row r="2862" spans="1:9" ht="15.75" x14ac:dyDescent="0.25">
      <c r="A2862" s="51">
        <v>42819</v>
      </c>
      <c r="B2862" s="52" t="s">
        <v>10688</v>
      </c>
      <c r="C2862" s="18">
        <v>105640</v>
      </c>
      <c r="D2862" s="2" t="s">
        <v>43</v>
      </c>
      <c r="E2862" s="15">
        <v>11378.8</v>
      </c>
      <c r="F2862" s="59">
        <v>42822</v>
      </c>
      <c r="G2862" s="15">
        <f t="shared" si="89"/>
        <v>11378.8</v>
      </c>
      <c r="H2862" s="15">
        <f t="shared" si="90"/>
        <v>0</v>
      </c>
      <c r="I2862" s="19"/>
    </row>
    <row r="2863" spans="1:9" ht="15.75" x14ac:dyDescent="0.25">
      <c r="A2863" s="51">
        <v>42819</v>
      </c>
      <c r="B2863" s="52" t="s">
        <v>10689</v>
      </c>
      <c r="C2863" s="18">
        <v>105641</v>
      </c>
      <c r="D2863" s="2" t="s">
        <v>30</v>
      </c>
      <c r="E2863" s="15">
        <v>2415.6999999999998</v>
      </c>
      <c r="F2863" s="59">
        <v>42791</v>
      </c>
      <c r="G2863" s="15">
        <f t="shared" si="89"/>
        <v>2415.6999999999998</v>
      </c>
      <c r="H2863" s="15">
        <f t="shared" si="90"/>
        <v>0</v>
      </c>
      <c r="I2863" s="19"/>
    </row>
    <row r="2864" spans="1:9" ht="15.75" x14ac:dyDescent="0.25">
      <c r="A2864" s="51">
        <v>42819</v>
      </c>
      <c r="B2864" s="52" t="s">
        <v>10690</v>
      </c>
      <c r="C2864" s="18">
        <v>105642</v>
      </c>
      <c r="D2864" s="2" t="s">
        <v>32</v>
      </c>
      <c r="E2864" s="15">
        <v>15018.6</v>
      </c>
      <c r="F2864" s="59">
        <v>42824</v>
      </c>
      <c r="G2864" s="15">
        <f t="shared" si="89"/>
        <v>15018.6</v>
      </c>
      <c r="H2864" s="15">
        <f t="shared" si="90"/>
        <v>0</v>
      </c>
      <c r="I2864" s="19"/>
    </row>
    <row r="2865" spans="1:9" ht="15.75" x14ac:dyDescent="0.25">
      <c r="A2865" s="51">
        <v>42819</v>
      </c>
      <c r="B2865" s="52" t="s">
        <v>10691</v>
      </c>
      <c r="C2865" s="18">
        <v>105643</v>
      </c>
      <c r="D2865" s="2" t="s">
        <v>38</v>
      </c>
      <c r="E2865" s="15">
        <v>5841.5</v>
      </c>
      <c r="F2865" s="59">
        <v>42822</v>
      </c>
      <c r="G2865" s="15">
        <f t="shared" si="89"/>
        <v>5841.5</v>
      </c>
      <c r="H2865" s="15">
        <f t="shared" si="90"/>
        <v>0</v>
      </c>
      <c r="I2865" s="19"/>
    </row>
    <row r="2866" spans="1:9" ht="15.75" x14ac:dyDescent="0.25">
      <c r="A2866" s="51">
        <v>42819</v>
      </c>
      <c r="B2866" s="52" t="s">
        <v>10692</v>
      </c>
      <c r="C2866" s="18">
        <v>105644</v>
      </c>
      <c r="D2866" s="2" t="s">
        <v>1090</v>
      </c>
      <c r="E2866" s="15">
        <v>1950</v>
      </c>
      <c r="F2866" s="59">
        <v>42791</v>
      </c>
      <c r="G2866" s="15">
        <f t="shared" si="89"/>
        <v>1950</v>
      </c>
      <c r="H2866" s="15">
        <f t="shared" si="90"/>
        <v>0</v>
      </c>
      <c r="I2866" s="19"/>
    </row>
    <row r="2867" spans="1:9" ht="15.75" x14ac:dyDescent="0.25">
      <c r="A2867" s="51">
        <v>42819</v>
      </c>
      <c r="B2867" s="52" t="s">
        <v>10693</v>
      </c>
      <c r="C2867" s="18">
        <v>105645</v>
      </c>
      <c r="D2867" s="2" t="s">
        <v>30</v>
      </c>
      <c r="E2867" s="15">
        <v>2656.5</v>
      </c>
      <c r="F2867" s="59">
        <v>42791</v>
      </c>
      <c r="G2867" s="15">
        <f t="shared" si="89"/>
        <v>2656.5</v>
      </c>
      <c r="H2867" s="15">
        <f t="shared" si="90"/>
        <v>0</v>
      </c>
      <c r="I2867" s="19"/>
    </row>
    <row r="2868" spans="1:9" ht="15.75" x14ac:dyDescent="0.25">
      <c r="A2868" s="51">
        <v>42819</v>
      </c>
      <c r="B2868" s="52" t="s">
        <v>10694</v>
      </c>
      <c r="C2868" s="18">
        <v>105646</v>
      </c>
      <c r="D2868" s="2" t="s">
        <v>67</v>
      </c>
      <c r="E2868" s="15">
        <v>25845.9</v>
      </c>
      <c r="F2868" s="59">
        <v>42822</v>
      </c>
      <c r="G2868" s="15">
        <f t="shared" si="89"/>
        <v>25845.9</v>
      </c>
      <c r="H2868" s="15">
        <f t="shared" si="90"/>
        <v>0</v>
      </c>
      <c r="I2868" s="19"/>
    </row>
    <row r="2869" spans="1:9" ht="15.75" x14ac:dyDescent="0.25">
      <c r="A2869" s="51">
        <v>42819</v>
      </c>
      <c r="B2869" s="52" t="s">
        <v>10695</v>
      </c>
      <c r="C2869" s="18">
        <v>105647</v>
      </c>
      <c r="D2869" s="2" t="s">
        <v>21</v>
      </c>
      <c r="E2869" s="15">
        <v>43794</v>
      </c>
      <c r="F2869" s="59">
        <v>42832</v>
      </c>
      <c r="G2869" s="15">
        <f t="shared" si="89"/>
        <v>43794</v>
      </c>
      <c r="H2869" s="15">
        <f t="shared" si="90"/>
        <v>0</v>
      </c>
      <c r="I2869" s="19"/>
    </row>
    <row r="2870" spans="1:9" ht="15.75" x14ac:dyDescent="0.25">
      <c r="A2870" s="51">
        <v>42819</v>
      </c>
      <c r="B2870" s="52" t="s">
        <v>10696</v>
      </c>
      <c r="C2870" s="18">
        <v>105648</v>
      </c>
      <c r="D2870" s="2" t="s">
        <v>414</v>
      </c>
      <c r="E2870" s="15">
        <v>980</v>
      </c>
      <c r="F2870" s="59">
        <v>42791</v>
      </c>
      <c r="G2870" s="15">
        <f t="shared" si="89"/>
        <v>980</v>
      </c>
      <c r="H2870" s="15">
        <f t="shared" si="90"/>
        <v>0</v>
      </c>
      <c r="I2870" s="19"/>
    </row>
    <row r="2871" spans="1:9" ht="15.75" x14ac:dyDescent="0.25">
      <c r="A2871" s="51">
        <v>42819</v>
      </c>
      <c r="B2871" s="52" t="s">
        <v>10697</v>
      </c>
      <c r="C2871" s="18">
        <v>105649</v>
      </c>
      <c r="D2871" s="2" t="s">
        <v>712</v>
      </c>
      <c r="E2871" s="15">
        <v>10213.799999999999</v>
      </c>
      <c r="F2871" s="59">
        <v>42791</v>
      </c>
      <c r="G2871" s="15">
        <f t="shared" si="89"/>
        <v>10213.799999999999</v>
      </c>
      <c r="H2871" s="15">
        <f t="shared" si="90"/>
        <v>0</v>
      </c>
      <c r="I2871" s="19"/>
    </row>
    <row r="2872" spans="1:9" ht="15.75" x14ac:dyDescent="0.25">
      <c r="A2872" s="51">
        <v>42819</v>
      </c>
      <c r="B2872" s="52" t="s">
        <v>10698</v>
      </c>
      <c r="C2872" s="18">
        <v>105650</v>
      </c>
      <c r="D2872" s="2" t="s">
        <v>157</v>
      </c>
      <c r="E2872" s="15">
        <v>27794.400000000001</v>
      </c>
      <c r="F2872" s="59">
        <v>42791</v>
      </c>
      <c r="G2872" s="15">
        <f t="shared" si="89"/>
        <v>27794.400000000001</v>
      </c>
      <c r="H2872" s="15">
        <f t="shared" si="90"/>
        <v>0</v>
      </c>
      <c r="I2872" s="19"/>
    </row>
    <row r="2873" spans="1:9" ht="30" x14ac:dyDescent="0.25">
      <c r="A2873" s="51">
        <v>42819</v>
      </c>
      <c r="B2873" s="52" t="s">
        <v>10699</v>
      </c>
      <c r="C2873" s="18">
        <v>105651</v>
      </c>
      <c r="D2873" s="2" t="s">
        <v>49</v>
      </c>
      <c r="E2873" s="15">
        <v>25700.3</v>
      </c>
      <c r="F2873" s="64" t="s">
        <v>10700</v>
      </c>
      <c r="G2873" s="20">
        <f>5000+10700+10000.3</f>
        <v>25700.3</v>
      </c>
      <c r="H2873" s="20">
        <f t="shared" si="90"/>
        <v>0</v>
      </c>
      <c r="I2873" s="19"/>
    </row>
    <row r="2874" spans="1:9" ht="15.75" x14ac:dyDescent="0.25">
      <c r="A2874" s="51">
        <v>42819</v>
      </c>
      <c r="B2874" s="52" t="s">
        <v>10701</v>
      </c>
      <c r="C2874" s="18">
        <v>105652</v>
      </c>
      <c r="D2874" s="2" t="s">
        <v>250</v>
      </c>
      <c r="E2874" s="15">
        <v>20434</v>
      </c>
      <c r="F2874" s="64" t="s">
        <v>10702</v>
      </c>
      <c r="G2874" s="20">
        <f>18200+2234</f>
        <v>20434</v>
      </c>
      <c r="H2874" s="20">
        <f t="shared" si="90"/>
        <v>0</v>
      </c>
      <c r="I2874" s="19"/>
    </row>
    <row r="2875" spans="1:9" ht="30" x14ac:dyDescent="0.25">
      <c r="A2875" s="51">
        <v>42819</v>
      </c>
      <c r="B2875" s="52" t="s">
        <v>10703</v>
      </c>
      <c r="C2875" s="18">
        <v>105653</v>
      </c>
      <c r="D2875" s="2" t="s">
        <v>40</v>
      </c>
      <c r="E2875" s="15">
        <v>8863.7999999999993</v>
      </c>
      <c r="F2875" s="64" t="s">
        <v>10704</v>
      </c>
      <c r="G2875" s="20">
        <f>2500+2100+1500+2763.8</f>
        <v>8863.7999999999993</v>
      </c>
      <c r="H2875" s="20">
        <f t="shared" si="90"/>
        <v>0</v>
      </c>
      <c r="I2875" s="19"/>
    </row>
    <row r="2876" spans="1:9" ht="15.75" x14ac:dyDescent="0.25">
      <c r="A2876" s="51">
        <v>42819</v>
      </c>
      <c r="B2876" s="52" t="s">
        <v>10705</v>
      </c>
      <c r="C2876" s="18">
        <v>105654</v>
      </c>
      <c r="D2876" s="2" t="s">
        <v>721</v>
      </c>
      <c r="E2876" s="15">
        <v>8684.6</v>
      </c>
      <c r="F2876" s="59">
        <v>42791</v>
      </c>
      <c r="G2876" s="15">
        <f t="shared" si="89"/>
        <v>8684.6</v>
      </c>
      <c r="H2876" s="15">
        <f t="shared" si="90"/>
        <v>0</v>
      </c>
      <c r="I2876" s="19"/>
    </row>
    <row r="2877" spans="1:9" ht="15.75" x14ac:dyDescent="0.25">
      <c r="A2877" s="51">
        <v>42819</v>
      </c>
      <c r="B2877" s="52" t="s">
        <v>10706</v>
      </c>
      <c r="C2877" s="18">
        <v>105655</v>
      </c>
      <c r="D2877" s="2" t="s">
        <v>240</v>
      </c>
      <c r="E2877" s="15">
        <v>5314.7</v>
      </c>
      <c r="F2877" s="59">
        <v>42791</v>
      </c>
      <c r="G2877" s="15">
        <f t="shared" si="89"/>
        <v>5314.7</v>
      </c>
      <c r="H2877" s="15">
        <f t="shared" si="90"/>
        <v>0</v>
      </c>
      <c r="I2877" s="19"/>
    </row>
    <row r="2878" spans="1:9" ht="15.75" x14ac:dyDescent="0.25">
      <c r="A2878" s="51">
        <v>42819</v>
      </c>
      <c r="B2878" s="52" t="s">
        <v>10707</v>
      </c>
      <c r="C2878" s="18">
        <v>105656</v>
      </c>
      <c r="D2878" s="2" t="s">
        <v>253</v>
      </c>
      <c r="E2878" s="15">
        <v>9689.7999999999993</v>
      </c>
      <c r="F2878" s="64" t="s">
        <v>11498</v>
      </c>
      <c r="G2878" s="20">
        <f>6500+3189.8</f>
        <v>9689.7999999999993</v>
      </c>
      <c r="H2878" s="20">
        <f t="shared" si="90"/>
        <v>0</v>
      </c>
      <c r="I2878" s="19"/>
    </row>
    <row r="2879" spans="1:9" ht="15.75" x14ac:dyDescent="0.25">
      <c r="A2879" s="51">
        <v>42819</v>
      </c>
      <c r="B2879" s="52" t="s">
        <v>10708</v>
      </c>
      <c r="C2879" s="18">
        <v>105657</v>
      </c>
      <c r="D2879" s="2" t="s">
        <v>51</v>
      </c>
      <c r="E2879" s="15">
        <v>6349.2</v>
      </c>
      <c r="F2879" s="59">
        <v>42823</v>
      </c>
      <c r="G2879" s="15">
        <f t="shared" si="89"/>
        <v>6349.2</v>
      </c>
      <c r="H2879" s="15">
        <f t="shared" si="90"/>
        <v>0</v>
      </c>
      <c r="I2879" s="19"/>
    </row>
    <row r="2880" spans="1:9" ht="15.75" x14ac:dyDescent="0.25">
      <c r="A2880" s="51">
        <v>42819</v>
      </c>
      <c r="B2880" s="52" t="s">
        <v>10709</v>
      </c>
      <c r="C2880" s="18">
        <v>105658</v>
      </c>
      <c r="D2880" s="2" t="s">
        <v>79</v>
      </c>
      <c r="E2880" s="15">
        <v>3627.9</v>
      </c>
      <c r="F2880" s="59">
        <v>42791</v>
      </c>
      <c r="G2880" s="15">
        <f t="shared" si="89"/>
        <v>3627.9</v>
      </c>
      <c r="H2880" s="15">
        <f t="shared" si="90"/>
        <v>0</v>
      </c>
      <c r="I2880" s="19"/>
    </row>
    <row r="2881" spans="1:9" ht="15.75" x14ac:dyDescent="0.25">
      <c r="A2881" s="51">
        <v>42819</v>
      </c>
      <c r="B2881" s="52" t="s">
        <v>10710</v>
      </c>
      <c r="C2881" s="18">
        <v>105659</v>
      </c>
      <c r="D2881" s="2" t="s">
        <v>120</v>
      </c>
      <c r="E2881" s="15">
        <v>2817.56</v>
      </c>
      <c r="F2881" s="59">
        <v>42791</v>
      </c>
      <c r="G2881" s="15">
        <f t="shared" si="89"/>
        <v>2817.56</v>
      </c>
      <c r="H2881" s="15">
        <f t="shared" si="90"/>
        <v>0</v>
      </c>
      <c r="I2881" s="19"/>
    </row>
    <row r="2882" spans="1:9" ht="15.75" x14ac:dyDescent="0.25">
      <c r="A2882" s="51">
        <v>42819</v>
      </c>
      <c r="B2882" s="52" t="s">
        <v>10711</v>
      </c>
      <c r="C2882" s="18">
        <v>105660</v>
      </c>
      <c r="D2882" s="2" t="s">
        <v>139</v>
      </c>
      <c r="E2882" s="15">
        <v>904.4</v>
      </c>
      <c r="F2882" s="59">
        <v>42791</v>
      </c>
      <c r="G2882" s="15">
        <f t="shared" si="89"/>
        <v>904.4</v>
      </c>
      <c r="H2882" s="15">
        <f t="shared" si="90"/>
        <v>0</v>
      </c>
      <c r="I2882" s="19"/>
    </row>
    <row r="2883" spans="1:9" ht="15.75" x14ac:dyDescent="0.25">
      <c r="A2883" s="51">
        <v>42819</v>
      </c>
      <c r="B2883" s="52" t="s">
        <v>10712</v>
      </c>
      <c r="C2883" s="18">
        <v>105661</v>
      </c>
      <c r="D2883" s="2" t="s">
        <v>2240</v>
      </c>
      <c r="E2883" s="15">
        <v>5945.2</v>
      </c>
      <c r="F2883" s="59">
        <v>42791</v>
      </c>
      <c r="G2883" s="15">
        <f t="shared" si="89"/>
        <v>5945.2</v>
      </c>
      <c r="H2883" s="15">
        <f t="shared" si="90"/>
        <v>0</v>
      </c>
      <c r="I2883" s="19"/>
    </row>
    <row r="2884" spans="1:9" ht="15.75" x14ac:dyDescent="0.25">
      <c r="A2884" s="51">
        <v>42819</v>
      </c>
      <c r="B2884" s="52" t="s">
        <v>10713</v>
      </c>
      <c r="C2884" s="18">
        <v>105662</v>
      </c>
      <c r="D2884" s="2" t="s">
        <v>405</v>
      </c>
      <c r="E2884" s="15">
        <v>1486.8</v>
      </c>
      <c r="F2884" s="59">
        <v>42791</v>
      </c>
      <c r="G2884" s="15">
        <f t="shared" ref="G2884:G2947" si="91">E2884</f>
        <v>1486.8</v>
      </c>
      <c r="H2884" s="15">
        <f t="shared" ref="H2884:H2947" si="92">E2884-G2884</f>
        <v>0</v>
      </c>
      <c r="I2884" s="19"/>
    </row>
    <row r="2885" spans="1:9" ht="15.75" x14ac:dyDescent="0.25">
      <c r="A2885" s="51">
        <v>42819</v>
      </c>
      <c r="B2885" s="52" t="s">
        <v>10714</v>
      </c>
      <c r="C2885" s="18">
        <v>105663</v>
      </c>
      <c r="D2885" s="2" t="s">
        <v>115</v>
      </c>
      <c r="E2885" s="15">
        <v>3013.35</v>
      </c>
      <c r="F2885" s="59">
        <v>42791</v>
      </c>
      <c r="G2885" s="15">
        <f t="shared" si="91"/>
        <v>3013.35</v>
      </c>
      <c r="H2885" s="15">
        <f t="shared" si="92"/>
        <v>0</v>
      </c>
      <c r="I2885" s="19"/>
    </row>
    <row r="2886" spans="1:9" ht="15.75" x14ac:dyDescent="0.25">
      <c r="A2886" s="51">
        <v>42819</v>
      </c>
      <c r="B2886" s="52" t="s">
        <v>10715</v>
      </c>
      <c r="C2886" s="18">
        <v>105664</v>
      </c>
      <c r="D2886" s="2" t="s">
        <v>45</v>
      </c>
      <c r="E2886" s="15">
        <v>14165</v>
      </c>
      <c r="F2886" s="59">
        <v>42791</v>
      </c>
      <c r="G2886" s="15">
        <f t="shared" si="91"/>
        <v>14165</v>
      </c>
      <c r="H2886" s="15">
        <f t="shared" si="92"/>
        <v>0</v>
      </c>
      <c r="I2886" s="19"/>
    </row>
    <row r="2887" spans="1:9" ht="15.75" x14ac:dyDescent="0.25">
      <c r="A2887" s="51">
        <v>42819</v>
      </c>
      <c r="B2887" s="52" t="s">
        <v>10716</v>
      </c>
      <c r="C2887" s="18">
        <v>105665</v>
      </c>
      <c r="D2887" s="2" t="s">
        <v>483</v>
      </c>
      <c r="E2887" s="15">
        <v>5929.6</v>
      </c>
      <c r="F2887" s="59">
        <v>42791</v>
      </c>
      <c r="G2887" s="15">
        <f t="shared" si="91"/>
        <v>5929.6</v>
      </c>
      <c r="H2887" s="15">
        <f t="shared" si="92"/>
        <v>0</v>
      </c>
      <c r="I2887" s="19"/>
    </row>
    <row r="2888" spans="1:9" ht="15.75" x14ac:dyDescent="0.25">
      <c r="A2888" s="51">
        <v>42819</v>
      </c>
      <c r="B2888" s="52" t="s">
        <v>10717</v>
      </c>
      <c r="C2888" s="18">
        <v>105666</v>
      </c>
      <c r="D2888" s="2" t="s">
        <v>909</v>
      </c>
      <c r="E2888" s="15">
        <v>3150</v>
      </c>
      <c r="F2888" s="59">
        <v>42791</v>
      </c>
      <c r="G2888" s="15">
        <f t="shared" si="91"/>
        <v>3150</v>
      </c>
      <c r="H2888" s="15">
        <f t="shared" si="92"/>
        <v>0</v>
      </c>
      <c r="I2888" s="19"/>
    </row>
    <row r="2889" spans="1:9" ht="15.75" x14ac:dyDescent="0.25">
      <c r="A2889" s="51">
        <v>42819</v>
      </c>
      <c r="B2889" s="52" t="s">
        <v>10718</v>
      </c>
      <c r="C2889" s="18">
        <v>105667</v>
      </c>
      <c r="D2889" s="2" t="s">
        <v>693</v>
      </c>
      <c r="E2889" s="15">
        <v>3850</v>
      </c>
      <c r="F2889" s="59">
        <v>42822</v>
      </c>
      <c r="G2889" s="15">
        <f t="shared" si="91"/>
        <v>3850</v>
      </c>
      <c r="H2889" s="15">
        <f t="shared" si="92"/>
        <v>0</v>
      </c>
      <c r="I2889" s="19"/>
    </row>
    <row r="2890" spans="1:9" ht="15.75" x14ac:dyDescent="0.25">
      <c r="A2890" s="51">
        <v>42819</v>
      </c>
      <c r="B2890" s="52" t="s">
        <v>10719</v>
      </c>
      <c r="C2890" s="18">
        <v>105668</v>
      </c>
      <c r="D2890" s="2" t="s">
        <v>2986</v>
      </c>
      <c r="E2890" s="15">
        <v>2747.5</v>
      </c>
      <c r="F2890" s="59">
        <v>42791</v>
      </c>
      <c r="G2890" s="15">
        <f t="shared" si="91"/>
        <v>2747.5</v>
      </c>
      <c r="H2890" s="15">
        <f t="shared" si="92"/>
        <v>0</v>
      </c>
      <c r="I2890" s="19"/>
    </row>
    <row r="2891" spans="1:9" ht="15.75" x14ac:dyDescent="0.25">
      <c r="A2891" s="51">
        <v>42819</v>
      </c>
      <c r="B2891" s="52" t="s">
        <v>10720</v>
      </c>
      <c r="C2891" s="18">
        <v>105669</v>
      </c>
      <c r="D2891" s="2" t="s">
        <v>57</v>
      </c>
      <c r="E2891" s="15">
        <v>490</v>
      </c>
      <c r="F2891" s="59">
        <v>42791</v>
      </c>
      <c r="G2891" s="15">
        <f t="shared" si="91"/>
        <v>490</v>
      </c>
      <c r="H2891" s="15">
        <f t="shared" si="92"/>
        <v>0</v>
      </c>
      <c r="I2891" s="19"/>
    </row>
    <row r="2892" spans="1:9" ht="15.75" x14ac:dyDescent="0.25">
      <c r="A2892" s="51">
        <v>42819</v>
      </c>
      <c r="B2892" s="52" t="s">
        <v>10721</v>
      </c>
      <c r="C2892" s="18">
        <v>105670</v>
      </c>
      <c r="D2892" s="2" t="s">
        <v>61</v>
      </c>
      <c r="E2892" s="15">
        <v>6022.5</v>
      </c>
      <c r="F2892" s="59">
        <v>42791</v>
      </c>
      <c r="G2892" s="15">
        <f t="shared" si="91"/>
        <v>6022.5</v>
      </c>
      <c r="H2892" s="15">
        <f t="shared" si="92"/>
        <v>0</v>
      </c>
      <c r="I2892" s="19"/>
    </row>
    <row r="2893" spans="1:9" ht="15.75" x14ac:dyDescent="0.25">
      <c r="A2893" s="51">
        <v>42819</v>
      </c>
      <c r="B2893" s="52" t="s">
        <v>10722</v>
      </c>
      <c r="C2893" s="18">
        <v>105671</v>
      </c>
      <c r="D2893" s="2" t="s">
        <v>28</v>
      </c>
      <c r="E2893" s="15">
        <v>4752</v>
      </c>
      <c r="F2893" s="59">
        <v>42791</v>
      </c>
      <c r="G2893" s="15">
        <f t="shared" si="91"/>
        <v>4752</v>
      </c>
      <c r="H2893" s="15">
        <f t="shared" si="92"/>
        <v>0</v>
      </c>
      <c r="I2893" s="19"/>
    </row>
    <row r="2894" spans="1:9" ht="15.75" x14ac:dyDescent="0.25">
      <c r="A2894" s="51">
        <v>42819</v>
      </c>
      <c r="B2894" s="52" t="s">
        <v>10723</v>
      </c>
      <c r="C2894" s="18">
        <v>105672</v>
      </c>
      <c r="D2894" s="2" t="s">
        <v>188</v>
      </c>
      <c r="E2894" s="15">
        <v>3586.6</v>
      </c>
      <c r="F2894" s="59">
        <v>42791</v>
      </c>
      <c r="G2894" s="15">
        <f t="shared" si="91"/>
        <v>3586.6</v>
      </c>
      <c r="H2894" s="15">
        <f t="shared" si="92"/>
        <v>0</v>
      </c>
      <c r="I2894" s="19"/>
    </row>
    <row r="2895" spans="1:9" ht="15.75" x14ac:dyDescent="0.25">
      <c r="A2895" s="51">
        <v>42819</v>
      </c>
      <c r="B2895" s="52" t="s">
        <v>10724</v>
      </c>
      <c r="C2895" s="18">
        <v>105673</v>
      </c>
      <c r="D2895" s="2" t="s">
        <v>186</v>
      </c>
      <c r="E2895" s="15">
        <v>543</v>
      </c>
      <c r="F2895" s="59">
        <v>42791</v>
      </c>
      <c r="G2895" s="15">
        <f t="shared" si="91"/>
        <v>543</v>
      </c>
      <c r="H2895" s="15">
        <f t="shared" si="92"/>
        <v>0</v>
      </c>
      <c r="I2895" s="19"/>
    </row>
    <row r="2896" spans="1:9" ht="15.75" x14ac:dyDescent="0.25">
      <c r="A2896" s="51">
        <v>42819</v>
      </c>
      <c r="B2896" s="52" t="s">
        <v>10725</v>
      </c>
      <c r="C2896" s="18">
        <v>105674</v>
      </c>
      <c r="D2896" s="2" t="s">
        <v>331</v>
      </c>
      <c r="E2896" s="15">
        <v>3143.4</v>
      </c>
      <c r="F2896" s="59">
        <v>42791</v>
      </c>
      <c r="G2896" s="15">
        <f t="shared" si="91"/>
        <v>3143.4</v>
      </c>
      <c r="H2896" s="15">
        <f t="shared" si="92"/>
        <v>0</v>
      </c>
      <c r="I2896" s="19"/>
    </row>
    <row r="2897" spans="1:9" ht="15.75" x14ac:dyDescent="0.25">
      <c r="A2897" s="51">
        <v>42819</v>
      </c>
      <c r="B2897" s="52" t="s">
        <v>10726</v>
      </c>
      <c r="C2897" s="18">
        <v>105675</v>
      </c>
      <c r="D2897" s="2" t="s">
        <v>30</v>
      </c>
      <c r="E2897" s="15">
        <v>5050.7</v>
      </c>
      <c r="F2897" s="59">
        <v>42791</v>
      </c>
      <c r="G2897" s="15">
        <f t="shared" si="91"/>
        <v>5050.7</v>
      </c>
      <c r="H2897" s="15">
        <f t="shared" si="92"/>
        <v>0</v>
      </c>
      <c r="I2897" s="19"/>
    </row>
    <row r="2898" spans="1:9" ht="15.75" x14ac:dyDescent="0.25">
      <c r="A2898" s="51">
        <v>42819</v>
      </c>
      <c r="B2898" s="52" t="s">
        <v>10727</v>
      </c>
      <c r="C2898" s="18">
        <v>105676</v>
      </c>
      <c r="D2898" s="2" t="s">
        <v>184</v>
      </c>
      <c r="E2898" s="15">
        <v>540</v>
      </c>
      <c r="F2898" s="59">
        <v>42791</v>
      </c>
      <c r="G2898" s="15">
        <f t="shared" si="91"/>
        <v>540</v>
      </c>
      <c r="H2898" s="15">
        <f t="shared" si="92"/>
        <v>0</v>
      </c>
      <c r="I2898" s="19"/>
    </row>
    <row r="2899" spans="1:9" ht="15.75" x14ac:dyDescent="0.25">
      <c r="A2899" s="51">
        <v>42819</v>
      </c>
      <c r="B2899" s="52" t="s">
        <v>10728</v>
      </c>
      <c r="C2899" s="18">
        <v>105677</v>
      </c>
      <c r="D2899" s="2" t="s">
        <v>5219</v>
      </c>
      <c r="E2899" s="15">
        <v>6217.9</v>
      </c>
      <c r="F2899" s="59">
        <v>42791</v>
      </c>
      <c r="G2899" s="15">
        <f t="shared" si="91"/>
        <v>6217.9</v>
      </c>
      <c r="H2899" s="15">
        <f t="shared" si="92"/>
        <v>0</v>
      </c>
      <c r="I2899" s="19"/>
    </row>
    <row r="2900" spans="1:9" ht="15.75" x14ac:dyDescent="0.25">
      <c r="A2900" s="51">
        <v>42819</v>
      </c>
      <c r="B2900" s="52" t="s">
        <v>10729</v>
      </c>
      <c r="C2900" s="18">
        <v>105678</v>
      </c>
      <c r="D2900" s="2" t="s">
        <v>298</v>
      </c>
      <c r="E2900" s="15">
        <v>2930.8</v>
      </c>
      <c r="F2900" s="59">
        <v>42791</v>
      </c>
      <c r="G2900" s="15">
        <f t="shared" si="91"/>
        <v>2930.8</v>
      </c>
      <c r="H2900" s="15">
        <f t="shared" si="92"/>
        <v>0</v>
      </c>
      <c r="I2900" s="19"/>
    </row>
    <row r="2901" spans="1:9" ht="15.75" x14ac:dyDescent="0.25">
      <c r="A2901" s="51">
        <v>42819</v>
      </c>
      <c r="B2901" s="52" t="s">
        <v>10730</v>
      </c>
      <c r="C2901" s="18">
        <v>105679</v>
      </c>
      <c r="D2901" s="2" t="s">
        <v>492</v>
      </c>
      <c r="E2901" s="15">
        <v>23048</v>
      </c>
      <c r="F2901" s="59">
        <v>42791</v>
      </c>
      <c r="G2901" s="15">
        <f t="shared" si="91"/>
        <v>23048</v>
      </c>
      <c r="H2901" s="15">
        <f t="shared" si="92"/>
        <v>0</v>
      </c>
      <c r="I2901" s="19"/>
    </row>
    <row r="2902" spans="1:9" ht="15.75" x14ac:dyDescent="0.25">
      <c r="A2902" s="51">
        <v>42819</v>
      </c>
      <c r="B2902" s="52" t="s">
        <v>10731</v>
      </c>
      <c r="C2902" s="18">
        <v>105680</v>
      </c>
      <c r="D2902" s="2" t="s">
        <v>2545</v>
      </c>
      <c r="E2902" s="15">
        <v>2174.4</v>
      </c>
      <c r="F2902" s="59">
        <v>42791</v>
      </c>
      <c r="G2902" s="15">
        <f t="shared" si="91"/>
        <v>2174.4</v>
      </c>
      <c r="H2902" s="15">
        <f t="shared" si="92"/>
        <v>0</v>
      </c>
      <c r="I2902" s="19"/>
    </row>
    <row r="2903" spans="1:9" ht="15.75" x14ac:dyDescent="0.25">
      <c r="A2903" s="51">
        <v>42819</v>
      </c>
      <c r="B2903" s="52" t="s">
        <v>10732</v>
      </c>
      <c r="C2903" s="18">
        <v>105681</v>
      </c>
      <c r="D2903" s="13" t="s">
        <v>10733</v>
      </c>
      <c r="E2903" s="14">
        <v>0</v>
      </c>
      <c r="F2903" s="102" t="s">
        <v>95</v>
      </c>
      <c r="G2903" s="14">
        <f t="shared" si="91"/>
        <v>0</v>
      </c>
      <c r="H2903" s="14">
        <f t="shared" si="92"/>
        <v>0</v>
      </c>
      <c r="I2903" s="19"/>
    </row>
    <row r="2904" spans="1:9" ht="15.75" x14ac:dyDescent="0.25">
      <c r="A2904" s="51">
        <v>42819</v>
      </c>
      <c r="B2904" s="52" t="s">
        <v>10734</v>
      </c>
      <c r="C2904" s="18">
        <v>105682</v>
      </c>
      <c r="D2904" s="2" t="s">
        <v>281</v>
      </c>
      <c r="E2904" s="15">
        <v>3297.7</v>
      </c>
      <c r="F2904" s="59">
        <v>42821</v>
      </c>
      <c r="G2904" s="15">
        <f t="shared" si="91"/>
        <v>3297.7</v>
      </c>
      <c r="H2904" s="15">
        <f t="shared" si="92"/>
        <v>0</v>
      </c>
      <c r="I2904" s="19"/>
    </row>
    <row r="2905" spans="1:9" ht="15.75" x14ac:dyDescent="0.25">
      <c r="A2905" s="51">
        <v>42819</v>
      </c>
      <c r="B2905" s="52" t="s">
        <v>10735</v>
      </c>
      <c r="C2905" s="18">
        <v>105683</v>
      </c>
      <c r="D2905" s="2" t="s">
        <v>125</v>
      </c>
      <c r="E2905" s="15">
        <v>9527</v>
      </c>
      <c r="F2905" s="59">
        <v>42791</v>
      </c>
      <c r="G2905" s="15">
        <f t="shared" si="91"/>
        <v>9527</v>
      </c>
      <c r="H2905" s="15">
        <f t="shared" si="92"/>
        <v>0</v>
      </c>
      <c r="I2905" s="19"/>
    </row>
    <row r="2906" spans="1:9" ht="15.75" x14ac:dyDescent="0.25">
      <c r="A2906" s="51">
        <v>42819</v>
      </c>
      <c r="B2906" s="52" t="s">
        <v>10736</v>
      </c>
      <c r="C2906" s="18">
        <v>105684</v>
      </c>
      <c r="D2906" s="2" t="s">
        <v>1256</v>
      </c>
      <c r="E2906" s="15">
        <v>1535</v>
      </c>
      <c r="F2906" s="59">
        <v>42822</v>
      </c>
      <c r="G2906" s="15">
        <f t="shared" si="91"/>
        <v>1535</v>
      </c>
      <c r="H2906" s="15">
        <f t="shared" si="92"/>
        <v>0</v>
      </c>
      <c r="I2906" s="19"/>
    </row>
    <row r="2907" spans="1:9" ht="15.75" x14ac:dyDescent="0.25">
      <c r="A2907" s="51">
        <v>42819</v>
      </c>
      <c r="B2907" s="52" t="s">
        <v>10737</v>
      </c>
      <c r="C2907" s="18">
        <v>105685</v>
      </c>
      <c r="D2907" s="2" t="s">
        <v>99</v>
      </c>
      <c r="E2907" s="15">
        <v>3920</v>
      </c>
      <c r="F2907" s="59">
        <v>42821</v>
      </c>
      <c r="G2907" s="15">
        <f t="shared" si="91"/>
        <v>3920</v>
      </c>
      <c r="H2907" s="15">
        <f t="shared" si="92"/>
        <v>0</v>
      </c>
      <c r="I2907" s="19"/>
    </row>
    <row r="2908" spans="1:9" ht="15.75" x14ac:dyDescent="0.25">
      <c r="A2908" s="51">
        <v>42819</v>
      </c>
      <c r="B2908" s="52" t="s">
        <v>10738</v>
      </c>
      <c r="C2908" s="18">
        <v>105686</v>
      </c>
      <c r="D2908" s="2" t="s">
        <v>101</v>
      </c>
      <c r="E2908" s="15">
        <v>1470</v>
      </c>
      <c r="F2908" s="59">
        <v>42821</v>
      </c>
      <c r="G2908" s="15">
        <f t="shared" si="91"/>
        <v>1470</v>
      </c>
      <c r="H2908" s="15">
        <f t="shared" si="92"/>
        <v>0</v>
      </c>
      <c r="I2908" s="19"/>
    </row>
    <row r="2909" spans="1:9" ht="15.75" x14ac:dyDescent="0.25">
      <c r="A2909" s="51">
        <v>42819</v>
      </c>
      <c r="B2909" s="52" t="s">
        <v>10739</v>
      </c>
      <c r="C2909" s="18">
        <v>105687</v>
      </c>
      <c r="D2909" s="2" t="s">
        <v>291</v>
      </c>
      <c r="E2909" s="15">
        <v>2400</v>
      </c>
      <c r="F2909" s="59">
        <v>42821</v>
      </c>
      <c r="G2909" s="15">
        <f t="shared" si="91"/>
        <v>2400</v>
      </c>
      <c r="H2909" s="15">
        <f t="shared" si="92"/>
        <v>0</v>
      </c>
      <c r="I2909" s="19"/>
    </row>
    <row r="2910" spans="1:9" ht="15.75" x14ac:dyDescent="0.25">
      <c r="A2910" s="51">
        <v>42819</v>
      </c>
      <c r="B2910" s="52" t="s">
        <v>10740</v>
      </c>
      <c r="C2910" s="18">
        <v>105688</v>
      </c>
      <c r="D2910" s="2" t="s">
        <v>450</v>
      </c>
      <c r="E2910" s="15">
        <v>406.8</v>
      </c>
      <c r="F2910" s="59">
        <v>42821</v>
      </c>
      <c r="G2910" s="15">
        <f t="shared" si="91"/>
        <v>406.8</v>
      </c>
      <c r="H2910" s="15">
        <f t="shared" si="92"/>
        <v>0</v>
      </c>
      <c r="I2910" s="19"/>
    </row>
    <row r="2911" spans="1:9" ht="15.75" x14ac:dyDescent="0.25">
      <c r="A2911" s="51">
        <v>42819</v>
      </c>
      <c r="B2911" s="52" t="s">
        <v>10741</v>
      </c>
      <c r="C2911" s="18">
        <v>105689</v>
      </c>
      <c r="D2911" s="2" t="s">
        <v>289</v>
      </c>
      <c r="E2911" s="15">
        <v>30839.02</v>
      </c>
      <c r="F2911" s="59">
        <v>42838</v>
      </c>
      <c r="G2911" s="15">
        <f t="shared" si="91"/>
        <v>30839.02</v>
      </c>
      <c r="H2911" s="15">
        <f t="shared" si="92"/>
        <v>0</v>
      </c>
      <c r="I2911" s="19"/>
    </row>
    <row r="2912" spans="1:9" ht="15.75" x14ac:dyDescent="0.25">
      <c r="A2912" s="51">
        <v>42819</v>
      </c>
      <c r="B2912" s="52" t="s">
        <v>10742</v>
      </c>
      <c r="C2912" s="18">
        <v>105690</v>
      </c>
      <c r="D2912" s="2" t="s">
        <v>83</v>
      </c>
      <c r="E2912" s="15">
        <v>5260</v>
      </c>
      <c r="F2912" s="59">
        <v>42821</v>
      </c>
      <c r="G2912" s="15">
        <f t="shared" si="91"/>
        <v>5260</v>
      </c>
      <c r="H2912" s="15">
        <f t="shared" si="92"/>
        <v>0</v>
      </c>
      <c r="I2912" s="19"/>
    </row>
    <row r="2913" spans="1:9" ht="15.75" x14ac:dyDescent="0.25">
      <c r="A2913" s="51">
        <v>42819</v>
      </c>
      <c r="B2913" s="52" t="s">
        <v>10743</v>
      </c>
      <c r="C2913" s="18">
        <v>105691</v>
      </c>
      <c r="D2913" s="2" t="s">
        <v>122</v>
      </c>
      <c r="E2913" s="15">
        <v>5035</v>
      </c>
      <c r="F2913" s="59">
        <v>42829</v>
      </c>
      <c r="G2913" s="15">
        <f t="shared" si="91"/>
        <v>5035</v>
      </c>
      <c r="H2913" s="15">
        <f t="shared" si="92"/>
        <v>0</v>
      </c>
      <c r="I2913" s="19"/>
    </row>
    <row r="2914" spans="1:9" ht="15.75" x14ac:dyDescent="0.25">
      <c r="A2914" s="51">
        <v>42819</v>
      </c>
      <c r="B2914" s="52" t="s">
        <v>10744</v>
      </c>
      <c r="C2914" s="18">
        <v>105692</v>
      </c>
      <c r="D2914" s="2" t="s">
        <v>131</v>
      </c>
      <c r="E2914" s="15">
        <v>2726.5</v>
      </c>
      <c r="F2914" s="59">
        <v>42791</v>
      </c>
      <c r="G2914" s="15">
        <f t="shared" si="91"/>
        <v>2726.5</v>
      </c>
      <c r="H2914" s="15">
        <f t="shared" si="92"/>
        <v>0</v>
      </c>
      <c r="I2914" s="19"/>
    </row>
    <row r="2915" spans="1:9" ht="15.75" x14ac:dyDescent="0.25">
      <c r="A2915" s="51">
        <v>42819</v>
      </c>
      <c r="B2915" s="52" t="s">
        <v>10745</v>
      </c>
      <c r="C2915" s="18">
        <v>105693</v>
      </c>
      <c r="D2915" s="2" t="s">
        <v>1830</v>
      </c>
      <c r="E2915" s="15">
        <v>13562.6</v>
      </c>
      <c r="F2915" s="59">
        <v>42791</v>
      </c>
      <c r="G2915" s="15">
        <f t="shared" si="91"/>
        <v>13562.6</v>
      </c>
      <c r="H2915" s="15">
        <f t="shared" si="92"/>
        <v>0</v>
      </c>
      <c r="I2915" s="19"/>
    </row>
    <row r="2916" spans="1:9" ht="15.75" x14ac:dyDescent="0.25">
      <c r="A2916" s="51">
        <v>42819</v>
      </c>
      <c r="B2916" s="52" t="s">
        <v>10746</v>
      </c>
      <c r="C2916" s="18">
        <v>105694</v>
      </c>
      <c r="D2916" s="2" t="s">
        <v>470</v>
      </c>
      <c r="E2916" s="15">
        <v>10390</v>
      </c>
      <c r="F2916" s="59">
        <v>42791</v>
      </c>
      <c r="G2916" s="15">
        <f t="shared" si="91"/>
        <v>10390</v>
      </c>
      <c r="H2916" s="15">
        <f t="shared" si="92"/>
        <v>0</v>
      </c>
      <c r="I2916" s="19"/>
    </row>
    <row r="2917" spans="1:9" ht="15.75" x14ac:dyDescent="0.25">
      <c r="A2917" s="51">
        <v>42819</v>
      </c>
      <c r="B2917" s="52" t="s">
        <v>10747</v>
      </c>
      <c r="C2917" s="18">
        <v>105695</v>
      </c>
      <c r="D2917" s="2" t="s">
        <v>88</v>
      </c>
      <c r="E2917" s="15">
        <v>10687.8</v>
      </c>
      <c r="F2917" s="59">
        <v>42821</v>
      </c>
      <c r="G2917" s="15">
        <f t="shared" si="91"/>
        <v>10687.8</v>
      </c>
      <c r="H2917" s="15">
        <f t="shared" si="92"/>
        <v>0</v>
      </c>
      <c r="I2917" s="19"/>
    </row>
    <row r="2918" spans="1:9" ht="15.75" x14ac:dyDescent="0.25">
      <c r="A2918" s="51">
        <v>42819</v>
      </c>
      <c r="B2918" s="52" t="s">
        <v>10748</v>
      </c>
      <c r="C2918" s="18">
        <v>105696</v>
      </c>
      <c r="D2918" s="2" t="s">
        <v>168</v>
      </c>
      <c r="E2918" s="15">
        <v>254.8</v>
      </c>
      <c r="F2918" s="59">
        <v>42791</v>
      </c>
      <c r="G2918" s="15">
        <f t="shared" si="91"/>
        <v>254.8</v>
      </c>
      <c r="H2918" s="15">
        <f t="shared" si="92"/>
        <v>0</v>
      </c>
      <c r="I2918" s="19"/>
    </row>
    <row r="2919" spans="1:9" ht="15.75" x14ac:dyDescent="0.25">
      <c r="A2919" s="51">
        <v>42819</v>
      </c>
      <c r="B2919" s="52" t="s">
        <v>10749</v>
      </c>
      <c r="C2919" s="18">
        <v>105697</v>
      </c>
      <c r="D2919" s="2" t="s">
        <v>1259</v>
      </c>
      <c r="E2919" s="15">
        <v>2716.6</v>
      </c>
      <c r="F2919" s="59">
        <v>42821</v>
      </c>
      <c r="G2919" s="15">
        <f t="shared" si="91"/>
        <v>2716.6</v>
      </c>
      <c r="H2919" s="15">
        <f t="shared" si="92"/>
        <v>0</v>
      </c>
      <c r="I2919" s="19"/>
    </row>
    <row r="2920" spans="1:9" ht="15.75" x14ac:dyDescent="0.25">
      <c r="A2920" s="51">
        <v>42819</v>
      </c>
      <c r="B2920" s="52" t="s">
        <v>10750</v>
      </c>
      <c r="C2920" s="18">
        <v>105698</v>
      </c>
      <c r="D2920" s="2" t="s">
        <v>176</v>
      </c>
      <c r="E2920" s="15">
        <v>3087.4</v>
      </c>
      <c r="F2920" s="59">
        <v>42821</v>
      </c>
      <c r="G2920" s="15">
        <f t="shared" si="91"/>
        <v>3087.4</v>
      </c>
      <c r="H2920" s="15">
        <f t="shared" si="92"/>
        <v>0</v>
      </c>
      <c r="I2920" s="19"/>
    </row>
    <row r="2921" spans="1:9" ht="15.75" x14ac:dyDescent="0.25">
      <c r="A2921" s="51">
        <v>42819</v>
      </c>
      <c r="B2921" s="52" t="s">
        <v>10751</v>
      </c>
      <c r="C2921" s="18">
        <v>105699</v>
      </c>
      <c r="D2921" s="2" t="s">
        <v>92</v>
      </c>
      <c r="E2921" s="15">
        <v>2013.9</v>
      </c>
      <c r="F2921" s="59">
        <v>42821</v>
      </c>
      <c r="G2921" s="15">
        <f t="shared" si="91"/>
        <v>2013.9</v>
      </c>
      <c r="H2921" s="15">
        <f t="shared" si="92"/>
        <v>0</v>
      </c>
      <c r="I2921" s="19"/>
    </row>
    <row r="2922" spans="1:9" ht="15.75" x14ac:dyDescent="0.25">
      <c r="A2922" s="51">
        <v>42819</v>
      </c>
      <c r="B2922" s="52" t="s">
        <v>10752</v>
      </c>
      <c r="C2922" s="18">
        <v>105700</v>
      </c>
      <c r="D2922" s="2" t="s">
        <v>879</v>
      </c>
      <c r="E2922" s="15">
        <v>2758</v>
      </c>
      <c r="F2922" s="59">
        <v>42791</v>
      </c>
      <c r="G2922" s="15">
        <f t="shared" si="91"/>
        <v>2758</v>
      </c>
      <c r="H2922" s="15">
        <f t="shared" si="92"/>
        <v>0</v>
      </c>
      <c r="I2922" s="19"/>
    </row>
    <row r="2923" spans="1:9" ht="15.75" x14ac:dyDescent="0.25">
      <c r="A2923" s="51">
        <v>42819</v>
      </c>
      <c r="B2923" s="52" t="s">
        <v>10753</v>
      </c>
      <c r="C2923" s="18">
        <v>105701</v>
      </c>
      <c r="D2923" s="2" t="s">
        <v>445</v>
      </c>
      <c r="E2923" s="15">
        <v>1365.2</v>
      </c>
      <c r="F2923" s="59">
        <v>42821</v>
      </c>
      <c r="G2923" s="15">
        <f t="shared" si="91"/>
        <v>1365.2</v>
      </c>
      <c r="H2923" s="15">
        <f t="shared" si="92"/>
        <v>0</v>
      </c>
      <c r="I2923" s="19"/>
    </row>
    <row r="2924" spans="1:9" ht="15.75" x14ac:dyDescent="0.25">
      <c r="A2924" s="51">
        <v>42819</v>
      </c>
      <c r="B2924" s="52" t="s">
        <v>10754</v>
      </c>
      <c r="C2924" s="18">
        <v>105702</v>
      </c>
      <c r="D2924" s="2" t="s">
        <v>613</v>
      </c>
      <c r="E2924" s="15">
        <v>6190</v>
      </c>
      <c r="F2924" s="59">
        <v>42821</v>
      </c>
      <c r="G2924" s="15">
        <f t="shared" si="91"/>
        <v>6190</v>
      </c>
      <c r="H2924" s="15">
        <f t="shared" si="92"/>
        <v>0</v>
      </c>
      <c r="I2924" s="19"/>
    </row>
    <row r="2925" spans="1:9" ht="15.75" x14ac:dyDescent="0.25">
      <c r="A2925" s="51">
        <v>42819</v>
      </c>
      <c r="B2925" s="52" t="s">
        <v>10755</v>
      </c>
      <c r="C2925" s="18">
        <v>105703</v>
      </c>
      <c r="D2925" s="2" t="s">
        <v>103</v>
      </c>
      <c r="E2925" s="15">
        <v>3501.9</v>
      </c>
      <c r="F2925" s="59">
        <v>42821</v>
      </c>
      <c r="G2925" s="15">
        <f t="shared" si="91"/>
        <v>3501.9</v>
      </c>
      <c r="H2925" s="15">
        <f t="shared" si="92"/>
        <v>0</v>
      </c>
      <c r="I2925" s="19"/>
    </row>
    <row r="2926" spans="1:9" ht="15.75" x14ac:dyDescent="0.25">
      <c r="A2926" s="51">
        <v>42819</v>
      </c>
      <c r="B2926" s="52" t="s">
        <v>10756</v>
      </c>
      <c r="C2926" s="18">
        <v>105704</v>
      </c>
      <c r="D2926" s="2" t="s">
        <v>509</v>
      </c>
      <c r="E2926" s="15">
        <v>17948.2</v>
      </c>
      <c r="F2926" s="59">
        <v>42833</v>
      </c>
      <c r="G2926" s="15">
        <f t="shared" si="91"/>
        <v>17948.2</v>
      </c>
      <c r="H2926" s="15">
        <f t="shared" si="92"/>
        <v>0</v>
      </c>
      <c r="I2926" s="19"/>
    </row>
    <row r="2927" spans="1:9" ht="15.75" x14ac:dyDescent="0.25">
      <c r="A2927" s="51">
        <v>42819</v>
      </c>
      <c r="B2927" s="52" t="s">
        <v>10757</v>
      </c>
      <c r="C2927" s="18">
        <v>105705</v>
      </c>
      <c r="D2927" s="2" t="s">
        <v>12</v>
      </c>
      <c r="E2927" s="15">
        <v>2061.1</v>
      </c>
      <c r="F2927" s="59">
        <v>42791</v>
      </c>
      <c r="G2927" s="15">
        <f t="shared" si="91"/>
        <v>2061.1</v>
      </c>
      <c r="H2927" s="15">
        <f t="shared" si="92"/>
        <v>0</v>
      </c>
      <c r="I2927" s="19"/>
    </row>
    <row r="2928" spans="1:9" ht="15.75" x14ac:dyDescent="0.25">
      <c r="A2928" s="51">
        <v>42819</v>
      </c>
      <c r="B2928" s="52" t="s">
        <v>10758</v>
      </c>
      <c r="C2928" s="18">
        <v>105706</v>
      </c>
      <c r="D2928" s="2" t="s">
        <v>305</v>
      </c>
      <c r="E2928" s="15">
        <v>7495</v>
      </c>
      <c r="F2928" s="59">
        <v>42822</v>
      </c>
      <c r="G2928" s="15">
        <f t="shared" si="91"/>
        <v>7495</v>
      </c>
      <c r="H2928" s="15">
        <f t="shared" si="92"/>
        <v>0</v>
      </c>
      <c r="I2928" s="19"/>
    </row>
    <row r="2929" spans="1:9" ht="15.75" x14ac:dyDescent="0.25">
      <c r="A2929" s="51">
        <v>42819</v>
      </c>
      <c r="B2929" s="52" t="s">
        <v>10759</v>
      </c>
      <c r="C2929" s="18">
        <v>105707</v>
      </c>
      <c r="D2929" s="2" t="s">
        <v>268</v>
      </c>
      <c r="E2929" s="15">
        <v>13784.1</v>
      </c>
      <c r="F2929" s="59">
        <v>42823</v>
      </c>
      <c r="G2929" s="15">
        <f t="shared" si="91"/>
        <v>13784.1</v>
      </c>
      <c r="H2929" s="15">
        <f t="shared" si="92"/>
        <v>0</v>
      </c>
      <c r="I2929" s="19"/>
    </row>
    <row r="2930" spans="1:9" ht="15.75" x14ac:dyDescent="0.25">
      <c r="A2930" s="51">
        <v>42819</v>
      </c>
      <c r="B2930" s="52" t="s">
        <v>10760</v>
      </c>
      <c r="C2930" s="18">
        <v>105708</v>
      </c>
      <c r="D2930" s="2" t="s">
        <v>432</v>
      </c>
      <c r="E2930" s="15">
        <v>13803.9</v>
      </c>
      <c r="F2930" s="59">
        <v>42823</v>
      </c>
      <c r="G2930" s="15">
        <f t="shared" si="91"/>
        <v>13803.9</v>
      </c>
      <c r="H2930" s="15">
        <f t="shared" si="92"/>
        <v>0</v>
      </c>
      <c r="I2930" s="19"/>
    </row>
    <row r="2931" spans="1:9" ht="15.75" x14ac:dyDescent="0.25">
      <c r="A2931" s="51">
        <v>42819</v>
      </c>
      <c r="B2931" s="52" t="s">
        <v>10761</v>
      </c>
      <c r="C2931" s="18">
        <v>105709</v>
      </c>
      <c r="D2931" s="2" t="s">
        <v>141</v>
      </c>
      <c r="E2931" s="15">
        <v>11394.6</v>
      </c>
      <c r="F2931" s="59">
        <v>42791</v>
      </c>
      <c r="G2931" s="15">
        <f t="shared" si="91"/>
        <v>11394.6</v>
      </c>
      <c r="H2931" s="15">
        <f t="shared" si="92"/>
        <v>0</v>
      </c>
      <c r="I2931" s="19"/>
    </row>
    <row r="2932" spans="1:9" ht="15.75" x14ac:dyDescent="0.25">
      <c r="A2932" s="51">
        <v>42819</v>
      </c>
      <c r="B2932" s="52" t="s">
        <v>10762</v>
      </c>
      <c r="C2932" s="18">
        <v>105710</v>
      </c>
      <c r="D2932" s="2" t="s">
        <v>81</v>
      </c>
      <c r="E2932" s="15">
        <v>5962</v>
      </c>
      <c r="F2932" s="59">
        <v>42821</v>
      </c>
      <c r="G2932" s="15">
        <f t="shared" si="91"/>
        <v>5962</v>
      </c>
      <c r="H2932" s="15">
        <f t="shared" si="92"/>
        <v>0</v>
      </c>
      <c r="I2932" s="19"/>
    </row>
    <row r="2933" spans="1:9" ht="15.75" x14ac:dyDescent="0.25">
      <c r="A2933" s="51">
        <v>42819</v>
      </c>
      <c r="B2933" s="52" t="s">
        <v>10763</v>
      </c>
      <c r="C2933" s="18">
        <v>105711</v>
      </c>
      <c r="D2933" s="2" t="s">
        <v>476</v>
      </c>
      <c r="E2933" s="15">
        <v>17790.2</v>
      </c>
      <c r="F2933" s="59">
        <v>42822</v>
      </c>
      <c r="G2933" s="15">
        <f t="shared" si="91"/>
        <v>17790.2</v>
      </c>
      <c r="H2933" s="15">
        <f t="shared" si="92"/>
        <v>0</v>
      </c>
      <c r="I2933" s="19"/>
    </row>
    <row r="2934" spans="1:9" ht="15.75" x14ac:dyDescent="0.25">
      <c r="A2934" s="51">
        <v>42819</v>
      </c>
      <c r="B2934" s="52" t="s">
        <v>10764</v>
      </c>
      <c r="C2934" s="18">
        <v>105712</v>
      </c>
      <c r="D2934" s="2" t="s">
        <v>109</v>
      </c>
      <c r="E2934" s="15">
        <v>2837.1</v>
      </c>
      <c r="F2934" s="59">
        <v>42821</v>
      </c>
      <c r="G2934" s="15">
        <f t="shared" si="91"/>
        <v>2837.1</v>
      </c>
      <c r="H2934" s="15">
        <f t="shared" si="92"/>
        <v>0</v>
      </c>
      <c r="I2934" s="19"/>
    </row>
    <row r="2935" spans="1:9" ht="15.75" x14ac:dyDescent="0.25">
      <c r="A2935" s="51">
        <v>42819</v>
      </c>
      <c r="B2935" s="52" t="s">
        <v>10765</v>
      </c>
      <c r="C2935" s="18">
        <v>105713</v>
      </c>
      <c r="D2935" s="2" t="s">
        <v>876</v>
      </c>
      <c r="E2935" s="15">
        <v>3556.3</v>
      </c>
      <c r="F2935" s="59">
        <v>42823</v>
      </c>
      <c r="G2935" s="15">
        <f t="shared" si="91"/>
        <v>3556.3</v>
      </c>
      <c r="H2935" s="15">
        <f t="shared" si="92"/>
        <v>0</v>
      </c>
      <c r="I2935" s="19"/>
    </row>
    <row r="2936" spans="1:9" ht="15.75" x14ac:dyDescent="0.25">
      <c r="A2936" s="51">
        <v>42819</v>
      </c>
      <c r="B2936" s="52" t="s">
        <v>10766</v>
      </c>
      <c r="C2936" s="18">
        <v>105714</v>
      </c>
      <c r="D2936" s="2" t="s">
        <v>272</v>
      </c>
      <c r="E2936" s="15">
        <v>2831.4</v>
      </c>
      <c r="F2936" s="59">
        <v>42823</v>
      </c>
      <c r="G2936" s="15">
        <f t="shared" si="91"/>
        <v>2831.4</v>
      </c>
      <c r="H2936" s="15">
        <f t="shared" si="92"/>
        <v>0</v>
      </c>
      <c r="I2936" s="19"/>
    </row>
    <row r="2937" spans="1:9" ht="15.75" x14ac:dyDescent="0.25">
      <c r="A2937" s="51">
        <v>42819</v>
      </c>
      <c r="B2937" s="52" t="s">
        <v>10767</v>
      </c>
      <c r="C2937" s="18">
        <v>105715</v>
      </c>
      <c r="D2937" s="2" t="s">
        <v>1666</v>
      </c>
      <c r="E2937" s="15">
        <v>11371.4</v>
      </c>
      <c r="F2937" s="59">
        <v>42823</v>
      </c>
      <c r="G2937" s="15">
        <f t="shared" si="91"/>
        <v>11371.4</v>
      </c>
      <c r="H2937" s="15">
        <f t="shared" si="92"/>
        <v>0</v>
      </c>
      <c r="I2937" s="19"/>
    </row>
    <row r="2938" spans="1:9" ht="15.75" x14ac:dyDescent="0.25">
      <c r="A2938" s="51">
        <v>42819</v>
      </c>
      <c r="B2938" s="52" t="s">
        <v>10768</v>
      </c>
      <c r="C2938" s="18">
        <v>105716</v>
      </c>
      <c r="D2938" s="2" t="s">
        <v>231</v>
      </c>
      <c r="E2938" s="15">
        <v>1258.4000000000001</v>
      </c>
      <c r="F2938" s="59">
        <v>42820</v>
      </c>
      <c r="G2938" s="15">
        <f t="shared" si="91"/>
        <v>1258.4000000000001</v>
      </c>
      <c r="H2938" s="15">
        <f t="shared" si="92"/>
        <v>0</v>
      </c>
      <c r="I2938" s="19"/>
    </row>
    <row r="2939" spans="1:9" ht="15.75" x14ac:dyDescent="0.25">
      <c r="A2939" s="51">
        <v>42819</v>
      </c>
      <c r="B2939" s="52" t="s">
        <v>10769</v>
      </c>
      <c r="C2939" s="18">
        <v>105717</v>
      </c>
      <c r="D2939" s="2" t="s">
        <v>10</v>
      </c>
      <c r="E2939" s="15">
        <v>273557.84000000003</v>
      </c>
      <c r="F2939" s="59">
        <v>42824</v>
      </c>
      <c r="G2939" s="15">
        <f t="shared" si="91"/>
        <v>273557.84000000003</v>
      </c>
      <c r="H2939" s="15">
        <f t="shared" si="92"/>
        <v>0</v>
      </c>
      <c r="I2939" s="19"/>
    </row>
    <row r="2940" spans="1:9" ht="15.75" x14ac:dyDescent="0.25">
      <c r="A2940" s="51">
        <v>42819</v>
      </c>
      <c r="B2940" s="52" t="s">
        <v>10770</v>
      </c>
      <c r="C2940" s="18">
        <v>105718</v>
      </c>
      <c r="D2940" s="2" t="s">
        <v>302</v>
      </c>
      <c r="E2940" s="15">
        <v>10478.4</v>
      </c>
      <c r="F2940" s="59">
        <v>42822</v>
      </c>
      <c r="G2940" s="15">
        <f t="shared" si="91"/>
        <v>10478.4</v>
      </c>
      <c r="H2940" s="15">
        <f t="shared" si="92"/>
        <v>0</v>
      </c>
      <c r="I2940" s="19"/>
    </row>
    <row r="2941" spans="1:9" ht="15.75" x14ac:dyDescent="0.25">
      <c r="A2941" s="51">
        <v>42819</v>
      </c>
      <c r="B2941" s="52" t="s">
        <v>10771</v>
      </c>
      <c r="C2941" s="18">
        <v>105719</v>
      </c>
      <c r="D2941" s="2" t="s">
        <v>773</v>
      </c>
      <c r="E2941" s="15">
        <v>1194.8</v>
      </c>
      <c r="F2941" s="59">
        <v>42791</v>
      </c>
      <c r="G2941" s="15">
        <f t="shared" si="91"/>
        <v>1194.8</v>
      </c>
      <c r="H2941" s="15">
        <f t="shared" si="92"/>
        <v>0</v>
      </c>
      <c r="I2941" s="19"/>
    </row>
    <row r="2942" spans="1:9" ht="15.75" x14ac:dyDescent="0.25">
      <c r="A2942" s="51">
        <v>42819</v>
      </c>
      <c r="B2942" s="52" t="s">
        <v>10772</v>
      </c>
      <c r="C2942" s="18">
        <v>105720</v>
      </c>
      <c r="D2942" s="2" t="s">
        <v>5352</v>
      </c>
      <c r="E2942" s="15">
        <v>20420.400000000001</v>
      </c>
      <c r="F2942" s="59">
        <v>42791</v>
      </c>
      <c r="G2942" s="15">
        <f t="shared" si="91"/>
        <v>20420.400000000001</v>
      </c>
      <c r="H2942" s="15">
        <f t="shared" si="92"/>
        <v>0</v>
      </c>
      <c r="I2942" s="19"/>
    </row>
    <row r="2943" spans="1:9" ht="15.75" x14ac:dyDescent="0.25">
      <c r="A2943" s="51">
        <v>42819</v>
      </c>
      <c r="B2943" s="52" t="s">
        <v>10773</v>
      </c>
      <c r="C2943" s="18">
        <v>105721</v>
      </c>
      <c r="D2943" s="2" t="s">
        <v>422</v>
      </c>
      <c r="E2943" s="15">
        <v>4488</v>
      </c>
      <c r="F2943" s="59">
        <v>42791</v>
      </c>
      <c r="G2943" s="15">
        <f t="shared" si="91"/>
        <v>4488</v>
      </c>
      <c r="H2943" s="15">
        <f t="shared" si="92"/>
        <v>0</v>
      </c>
      <c r="I2943" s="19"/>
    </row>
    <row r="2944" spans="1:9" ht="15.75" x14ac:dyDescent="0.25">
      <c r="A2944" s="51">
        <v>42819</v>
      </c>
      <c r="B2944" s="52" t="s">
        <v>10774</v>
      </c>
      <c r="C2944" s="18">
        <v>105722</v>
      </c>
      <c r="D2944" s="2" t="s">
        <v>30</v>
      </c>
      <c r="E2944" s="15">
        <v>1695.8</v>
      </c>
      <c r="F2944" s="59">
        <v>42791</v>
      </c>
      <c r="G2944" s="15">
        <f t="shared" si="91"/>
        <v>1695.8</v>
      </c>
      <c r="H2944" s="15">
        <f t="shared" si="92"/>
        <v>0</v>
      </c>
      <c r="I2944" s="19"/>
    </row>
    <row r="2945" spans="1:9" ht="15.75" x14ac:dyDescent="0.25">
      <c r="A2945" s="51">
        <v>42819</v>
      </c>
      <c r="B2945" s="52" t="s">
        <v>10775</v>
      </c>
      <c r="C2945" s="18">
        <v>105723</v>
      </c>
      <c r="D2945" s="2" t="s">
        <v>30</v>
      </c>
      <c r="E2945" s="15">
        <v>1840.4</v>
      </c>
      <c r="F2945" s="59">
        <v>42791</v>
      </c>
      <c r="G2945" s="15">
        <f t="shared" si="91"/>
        <v>1840.4</v>
      </c>
      <c r="H2945" s="15">
        <f t="shared" si="92"/>
        <v>0</v>
      </c>
      <c r="I2945" s="19"/>
    </row>
    <row r="2946" spans="1:9" ht="15.75" x14ac:dyDescent="0.25">
      <c r="A2946" s="51">
        <v>42819</v>
      </c>
      <c r="B2946" s="52" t="s">
        <v>10776</v>
      </c>
      <c r="C2946" s="18">
        <v>105724</v>
      </c>
      <c r="D2946" s="2" t="s">
        <v>8</v>
      </c>
      <c r="E2946" s="15">
        <v>5001.6000000000004</v>
      </c>
      <c r="F2946" s="59">
        <v>42821</v>
      </c>
      <c r="G2946" s="15">
        <f t="shared" si="91"/>
        <v>5001.6000000000004</v>
      </c>
      <c r="H2946" s="15">
        <f t="shared" si="92"/>
        <v>0</v>
      </c>
      <c r="I2946" s="19"/>
    </row>
    <row r="2947" spans="1:9" ht="15.75" x14ac:dyDescent="0.25">
      <c r="A2947" s="51">
        <v>42819</v>
      </c>
      <c r="B2947" s="52" t="s">
        <v>10777</v>
      </c>
      <c r="C2947" s="18">
        <v>105725</v>
      </c>
      <c r="D2947" s="2" t="s">
        <v>523</v>
      </c>
      <c r="E2947" s="15">
        <v>18276</v>
      </c>
      <c r="F2947" s="59">
        <v>42830</v>
      </c>
      <c r="G2947" s="15">
        <f t="shared" si="91"/>
        <v>18276</v>
      </c>
      <c r="H2947" s="15">
        <f t="shared" si="92"/>
        <v>0</v>
      </c>
      <c r="I2947" s="19"/>
    </row>
    <row r="2948" spans="1:9" ht="15.75" x14ac:dyDescent="0.25">
      <c r="A2948" s="51">
        <v>42819</v>
      </c>
      <c r="B2948" s="52" t="s">
        <v>10778</v>
      </c>
      <c r="C2948" s="18">
        <v>105726</v>
      </c>
      <c r="D2948" s="2" t="s">
        <v>264</v>
      </c>
      <c r="E2948" s="15">
        <v>29200</v>
      </c>
      <c r="F2948" s="59">
        <v>42791</v>
      </c>
      <c r="G2948" s="15">
        <f t="shared" ref="G2948:G3011" si="93">E2948</f>
        <v>29200</v>
      </c>
      <c r="H2948" s="15">
        <f t="shared" ref="H2948:H3011" si="94">E2948-G2948</f>
        <v>0</v>
      </c>
      <c r="I2948" s="19"/>
    </row>
    <row r="2949" spans="1:9" ht="15.75" x14ac:dyDescent="0.25">
      <c r="A2949" s="51">
        <v>42819</v>
      </c>
      <c r="B2949" s="52" t="s">
        <v>10779</v>
      </c>
      <c r="C2949" s="18">
        <v>105727</v>
      </c>
      <c r="D2949" s="2" t="s">
        <v>10</v>
      </c>
      <c r="E2949" s="15">
        <v>242728.92</v>
      </c>
      <c r="F2949" s="59">
        <v>42824</v>
      </c>
      <c r="G2949" s="15">
        <f t="shared" si="93"/>
        <v>242728.92</v>
      </c>
      <c r="H2949" s="15">
        <f t="shared" si="94"/>
        <v>0</v>
      </c>
      <c r="I2949" s="19"/>
    </row>
    <row r="2950" spans="1:9" ht="15.75" x14ac:dyDescent="0.25">
      <c r="A2950" s="51">
        <v>42819</v>
      </c>
      <c r="B2950" s="52" t="s">
        <v>10780</v>
      </c>
      <c r="C2950" s="18">
        <v>105728</v>
      </c>
      <c r="D2950" s="2" t="s">
        <v>205</v>
      </c>
      <c r="E2950" s="15">
        <v>15926.4</v>
      </c>
      <c r="F2950" s="59">
        <v>42791</v>
      </c>
      <c r="G2950" s="15">
        <f t="shared" si="93"/>
        <v>15926.4</v>
      </c>
      <c r="H2950" s="15">
        <f t="shared" si="94"/>
        <v>0</v>
      </c>
      <c r="I2950" s="19"/>
    </row>
    <row r="2951" spans="1:9" ht="15.75" x14ac:dyDescent="0.25">
      <c r="A2951" s="51">
        <v>42819</v>
      </c>
      <c r="B2951" s="52" t="s">
        <v>10781</v>
      </c>
      <c r="C2951" s="18">
        <v>105729</v>
      </c>
      <c r="D2951" s="2" t="s">
        <v>10</v>
      </c>
      <c r="E2951" s="15">
        <v>66345.5</v>
      </c>
      <c r="F2951" s="59">
        <v>42824</v>
      </c>
      <c r="G2951" s="15">
        <f t="shared" si="93"/>
        <v>66345.5</v>
      </c>
      <c r="H2951" s="15">
        <f t="shared" si="94"/>
        <v>0</v>
      </c>
      <c r="I2951" s="19"/>
    </row>
    <row r="2952" spans="1:9" ht="15.75" x14ac:dyDescent="0.25">
      <c r="A2952" s="51">
        <v>42819</v>
      </c>
      <c r="B2952" s="52" t="s">
        <v>10782</v>
      </c>
      <c r="C2952" s="18">
        <v>105730</v>
      </c>
      <c r="D2952" s="2" t="s">
        <v>3997</v>
      </c>
      <c r="E2952" s="15">
        <v>3848.5</v>
      </c>
      <c r="F2952" s="59">
        <v>42826</v>
      </c>
      <c r="G2952" s="15">
        <f t="shared" si="93"/>
        <v>3848.5</v>
      </c>
      <c r="H2952" s="15">
        <f t="shared" si="94"/>
        <v>0</v>
      </c>
      <c r="I2952" s="19"/>
    </row>
    <row r="2953" spans="1:9" ht="15.75" x14ac:dyDescent="0.25">
      <c r="A2953" s="51">
        <v>42819</v>
      </c>
      <c r="B2953" s="52" t="s">
        <v>10783</v>
      </c>
      <c r="C2953" s="18">
        <v>105731</v>
      </c>
      <c r="D2953" s="2" t="s">
        <v>2616</v>
      </c>
      <c r="E2953" s="15">
        <v>9369</v>
      </c>
      <c r="F2953" s="59">
        <v>42821</v>
      </c>
      <c r="G2953" s="15">
        <f t="shared" si="93"/>
        <v>9369</v>
      </c>
      <c r="H2953" s="15">
        <f t="shared" si="94"/>
        <v>0</v>
      </c>
      <c r="I2953" s="19"/>
    </row>
    <row r="2954" spans="1:9" ht="15.75" x14ac:dyDescent="0.25">
      <c r="A2954" s="51">
        <v>42819</v>
      </c>
      <c r="B2954" s="52" t="s">
        <v>10784</v>
      </c>
      <c r="C2954" s="18">
        <v>105732</v>
      </c>
      <c r="D2954" s="2" t="s">
        <v>10</v>
      </c>
      <c r="E2954" s="15">
        <v>19649.8</v>
      </c>
      <c r="F2954" s="59">
        <v>42824</v>
      </c>
      <c r="G2954" s="15">
        <f t="shared" si="93"/>
        <v>19649.8</v>
      </c>
      <c r="H2954" s="15">
        <f t="shared" si="94"/>
        <v>0</v>
      </c>
      <c r="I2954" s="19"/>
    </row>
    <row r="2955" spans="1:9" ht="15.75" x14ac:dyDescent="0.25">
      <c r="A2955" s="51">
        <v>42819</v>
      </c>
      <c r="B2955" s="52" t="s">
        <v>10785</v>
      </c>
      <c r="C2955" s="18">
        <v>105733</v>
      </c>
      <c r="D2955" s="2" t="s">
        <v>3997</v>
      </c>
      <c r="E2955" s="15">
        <v>1089.5999999999999</v>
      </c>
      <c r="F2955" s="59">
        <v>42826</v>
      </c>
      <c r="G2955" s="15">
        <f t="shared" si="93"/>
        <v>1089.5999999999999</v>
      </c>
      <c r="H2955" s="15">
        <f t="shared" si="94"/>
        <v>0</v>
      </c>
      <c r="I2955" s="19"/>
    </row>
    <row r="2956" spans="1:9" ht="15.75" x14ac:dyDescent="0.25">
      <c r="A2956" s="51">
        <v>42819</v>
      </c>
      <c r="B2956" s="52" t="s">
        <v>10786</v>
      </c>
      <c r="C2956" s="18">
        <v>105734</v>
      </c>
      <c r="D2956" s="2" t="s">
        <v>193</v>
      </c>
      <c r="E2956" s="15">
        <v>4079.6</v>
      </c>
      <c r="F2956" s="59">
        <v>42821</v>
      </c>
      <c r="G2956" s="15">
        <f t="shared" si="93"/>
        <v>4079.6</v>
      </c>
      <c r="H2956" s="15">
        <f t="shared" si="94"/>
        <v>0</v>
      </c>
      <c r="I2956" s="19"/>
    </row>
    <row r="2957" spans="1:9" ht="15.75" x14ac:dyDescent="0.25">
      <c r="A2957" s="51">
        <v>42819</v>
      </c>
      <c r="B2957" s="52" t="s">
        <v>10787</v>
      </c>
      <c r="C2957" s="18">
        <v>105735</v>
      </c>
      <c r="D2957" s="2" t="s">
        <v>2528</v>
      </c>
      <c r="E2957" s="15">
        <v>1577.6</v>
      </c>
      <c r="F2957" s="59">
        <v>42821</v>
      </c>
      <c r="G2957" s="15">
        <f t="shared" si="93"/>
        <v>1577.6</v>
      </c>
      <c r="H2957" s="15">
        <f t="shared" si="94"/>
        <v>0</v>
      </c>
      <c r="I2957" s="19"/>
    </row>
    <row r="2958" spans="1:9" ht="15.75" x14ac:dyDescent="0.25">
      <c r="A2958" s="51">
        <v>42819</v>
      </c>
      <c r="B2958" s="52" t="s">
        <v>10788</v>
      </c>
      <c r="C2958" s="18">
        <v>105736</v>
      </c>
      <c r="D2958" s="2" t="s">
        <v>1166</v>
      </c>
      <c r="E2958" s="15">
        <v>1165.8</v>
      </c>
      <c r="F2958" s="59">
        <v>42821</v>
      </c>
      <c r="G2958" s="15">
        <f t="shared" si="93"/>
        <v>1165.8</v>
      </c>
      <c r="H2958" s="15">
        <f t="shared" si="94"/>
        <v>0</v>
      </c>
      <c r="I2958" s="19"/>
    </row>
    <row r="2959" spans="1:9" ht="15.75" x14ac:dyDescent="0.25">
      <c r="A2959" s="51">
        <v>42819</v>
      </c>
      <c r="B2959" s="52" t="s">
        <v>10789</v>
      </c>
      <c r="C2959" s="18">
        <v>105737</v>
      </c>
      <c r="D2959" s="2" t="s">
        <v>182</v>
      </c>
      <c r="E2959" s="15">
        <v>4949</v>
      </c>
      <c r="F2959" s="59">
        <v>42821</v>
      </c>
      <c r="G2959" s="15">
        <f t="shared" si="93"/>
        <v>4949</v>
      </c>
      <c r="H2959" s="15">
        <f t="shared" si="94"/>
        <v>0</v>
      </c>
      <c r="I2959" s="19"/>
    </row>
    <row r="2960" spans="1:9" ht="15.75" x14ac:dyDescent="0.25">
      <c r="A2960" s="51">
        <v>42819</v>
      </c>
      <c r="B2960" s="52" t="s">
        <v>10790</v>
      </c>
      <c r="C2960" s="18">
        <v>105738</v>
      </c>
      <c r="D2960" s="2" t="s">
        <v>26</v>
      </c>
      <c r="E2960" s="15">
        <v>2252.1999999999998</v>
      </c>
      <c r="F2960" s="59">
        <v>42791</v>
      </c>
      <c r="G2960" s="15">
        <f t="shared" si="93"/>
        <v>2252.1999999999998</v>
      </c>
      <c r="H2960" s="15">
        <f t="shared" si="94"/>
        <v>0</v>
      </c>
      <c r="I2960" s="19"/>
    </row>
    <row r="2961" spans="1:9" ht="15.75" x14ac:dyDescent="0.25">
      <c r="A2961" s="51">
        <v>42819</v>
      </c>
      <c r="B2961" s="52" t="s">
        <v>10791</v>
      </c>
      <c r="C2961" s="18">
        <v>105739</v>
      </c>
      <c r="D2961" s="2" t="s">
        <v>937</v>
      </c>
      <c r="E2961" s="15">
        <v>3410</v>
      </c>
      <c r="F2961" s="59">
        <v>42820</v>
      </c>
      <c r="G2961" s="15">
        <f t="shared" si="93"/>
        <v>3410</v>
      </c>
      <c r="H2961" s="15">
        <f t="shared" si="94"/>
        <v>0</v>
      </c>
      <c r="I2961" s="19"/>
    </row>
    <row r="2962" spans="1:9" ht="15.75" x14ac:dyDescent="0.25">
      <c r="A2962" s="51">
        <v>42819</v>
      </c>
      <c r="B2962" s="52" t="s">
        <v>10792</v>
      </c>
      <c r="C2962" s="18">
        <v>105740</v>
      </c>
      <c r="D2962" s="2" t="s">
        <v>10</v>
      </c>
      <c r="E2962" s="15">
        <v>52753.2</v>
      </c>
      <c r="F2962" s="59">
        <v>42824</v>
      </c>
      <c r="G2962" s="15">
        <f t="shared" si="93"/>
        <v>52753.2</v>
      </c>
      <c r="H2962" s="15">
        <f t="shared" si="94"/>
        <v>0</v>
      </c>
      <c r="I2962" s="19"/>
    </row>
    <row r="2963" spans="1:9" ht="15.75" x14ac:dyDescent="0.25">
      <c r="A2963" s="51">
        <v>42819</v>
      </c>
      <c r="B2963" s="52" t="s">
        <v>10793</v>
      </c>
      <c r="C2963" s="18">
        <v>105741</v>
      </c>
      <c r="D2963" s="2" t="s">
        <v>1267</v>
      </c>
      <c r="E2963" s="15">
        <v>12188.7</v>
      </c>
      <c r="F2963" s="59">
        <v>42820</v>
      </c>
      <c r="G2963" s="15">
        <f t="shared" si="93"/>
        <v>12188.7</v>
      </c>
      <c r="H2963" s="15">
        <f t="shared" si="94"/>
        <v>0</v>
      </c>
      <c r="I2963" s="19"/>
    </row>
    <row r="2964" spans="1:9" ht="15.75" x14ac:dyDescent="0.25">
      <c r="A2964" s="51">
        <v>42819</v>
      </c>
      <c r="B2964" s="52" t="s">
        <v>10794</v>
      </c>
      <c r="C2964" s="18">
        <v>105742</v>
      </c>
      <c r="D2964" s="2" t="s">
        <v>1925</v>
      </c>
      <c r="E2964" s="15">
        <v>378</v>
      </c>
      <c r="F2964" s="59">
        <v>42791</v>
      </c>
      <c r="G2964" s="15">
        <f t="shared" si="93"/>
        <v>378</v>
      </c>
      <c r="H2964" s="15">
        <f t="shared" si="94"/>
        <v>0</v>
      </c>
      <c r="I2964" s="19"/>
    </row>
    <row r="2965" spans="1:9" ht="15.75" x14ac:dyDescent="0.25">
      <c r="A2965" s="51">
        <v>42819</v>
      </c>
      <c r="B2965" s="52" t="s">
        <v>10795</v>
      </c>
      <c r="C2965" s="18">
        <v>105743</v>
      </c>
      <c r="D2965" s="2" t="s">
        <v>55</v>
      </c>
      <c r="E2965" s="15">
        <v>6963</v>
      </c>
      <c r="F2965" s="59">
        <v>42791</v>
      </c>
      <c r="G2965" s="15">
        <f t="shared" si="93"/>
        <v>6963</v>
      </c>
      <c r="H2965" s="15">
        <f t="shared" si="94"/>
        <v>0</v>
      </c>
      <c r="I2965" s="19"/>
    </row>
    <row r="2966" spans="1:9" ht="15.75" x14ac:dyDescent="0.25">
      <c r="A2966" s="51">
        <v>42819</v>
      </c>
      <c r="B2966" s="52" t="s">
        <v>10796</v>
      </c>
      <c r="C2966" s="18">
        <v>105744</v>
      </c>
      <c r="D2966" s="2" t="s">
        <v>222</v>
      </c>
      <c r="E2966" s="15">
        <v>381440</v>
      </c>
      <c r="F2966" s="59">
        <v>42830</v>
      </c>
      <c r="G2966" s="15">
        <f t="shared" si="93"/>
        <v>381440</v>
      </c>
      <c r="H2966" s="15">
        <f t="shared" si="94"/>
        <v>0</v>
      </c>
      <c r="I2966" s="19"/>
    </row>
    <row r="2967" spans="1:9" ht="15.75" x14ac:dyDescent="0.25">
      <c r="A2967" s="51">
        <v>42819</v>
      </c>
      <c r="B2967" s="52" t="s">
        <v>10797</v>
      </c>
      <c r="C2967" s="18">
        <v>105745</v>
      </c>
      <c r="D2967" s="2" t="s">
        <v>205</v>
      </c>
      <c r="E2967" s="15">
        <v>19694.400000000001</v>
      </c>
      <c r="F2967" s="59">
        <v>42820</v>
      </c>
      <c r="G2967" s="15">
        <f t="shared" si="93"/>
        <v>19694.400000000001</v>
      </c>
      <c r="H2967" s="15">
        <f t="shared" si="94"/>
        <v>0</v>
      </c>
      <c r="I2967" s="19"/>
    </row>
    <row r="2968" spans="1:9" ht="15.75" x14ac:dyDescent="0.25">
      <c r="A2968" s="51">
        <v>42819</v>
      </c>
      <c r="B2968" s="52" t="s">
        <v>10798</v>
      </c>
      <c r="C2968" s="18">
        <v>105746</v>
      </c>
      <c r="D2968" s="2" t="s">
        <v>10</v>
      </c>
      <c r="E2968" s="15">
        <v>790.4</v>
      </c>
      <c r="F2968" s="59">
        <v>42824</v>
      </c>
      <c r="G2968" s="15">
        <f t="shared" si="93"/>
        <v>790.4</v>
      </c>
      <c r="H2968" s="15">
        <f t="shared" si="94"/>
        <v>0</v>
      </c>
      <c r="I2968" s="19"/>
    </row>
    <row r="2969" spans="1:9" ht="15.75" x14ac:dyDescent="0.25">
      <c r="A2969" s="51">
        <v>42819</v>
      </c>
      <c r="B2969" s="52" t="s">
        <v>10799</v>
      </c>
      <c r="C2969" s="18">
        <v>105747</v>
      </c>
      <c r="D2969" s="2" t="s">
        <v>430</v>
      </c>
      <c r="E2969" s="15">
        <v>2803.16</v>
      </c>
      <c r="F2969" s="59">
        <v>42791</v>
      </c>
      <c r="G2969" s="15">
        <f t="shared" si="93"/>
        <v>2803.16</v>
      </c>
      <c r="H2969" s="15">
        <f t="shared" si="94"/>
        <v>0</v>
      </c>
      <c r="I2969" s="19"/>
    </row>
    <row r="2970" spans="1:9" ht="15.75" x14ac:dyDescent="0.25">
      <c r="A2970" s="51">
        <v>42820</v>
      </c>
      <c r="B2970" s="52" t="s">
        <v>10800</v>
      </c>
      <c r="C2970" s="18">
        <v>105748</v>
      </c>
      <c r="D2970" s="2" t="s">
        <v>17</v>
      </c>
      <c r="E2970" s="15">
        <v>4410</v>
      </c>
      <c r="F2970" s="59">
        <v>42820</v>
      </c>
      <c r="G2970" s="15">
        <f t="shared" si="93"/>
        <v>4410</v>
      </c>
      <c r="H2970" s="15">
        <f t="shared" si="94"/>
        <v>0</v>
      </c>
      <c r="I2970" s="19"/>
    </row>
    <row r="2971" spans="1:9" ht="15.75" x14ac:dyDescent="0.25">
      <c r="A2971" s="51">
        <v>42820</v>
      </c>
      <c r="B2971" s="52" t="s">
        <v>10801</v>
      </c>
      <c r="C2971" s="18">
        <v>105749</v>
      </c>
      <c r="D2971" s="2" t="s">
        <v>231</v>
      </c>
      <c r="E2971" s="15">
        <v>8988.4</v>
      </c>
      <c r="F2971" s="59">
        <v>42821</v>
      </c>
      <c r="G2971" s="15">
        <f t="shared" si="93"/>
        <v>8988.4</v>
      </c>
      <c r="H2971" s="15">
        <f t="shared" si="94"/>
        <v>0</v>
      </c>
      <c r="I2971" s="19"/>
    </row>
    <row r="2972" spans="1:9" ht="15.75" x14ac:dyDescent="0.25">
      <c r="A2972" s="51">
        <v>42820</v>
      </c>
      <c r="B2972" s="52" t="s">
        <v>10802</v>
      </c>
      <c r="C2972" s="18">
        <v>105750</v>
      </c>
      <c r="D2972" s="2" t="s">
        <v>236</v>
      </c>
      <c r="E2972" s="15">
        <v>30792.78</v>
      </c>
      <c r="F2972" s="59">
        <v>42824</v>
      </c>
      <c r="G2972" s="15">
        <f t="shared" si="93"/>
        <v>30792.78</v>
      </c>
      <c r="H2972" s="15">
        <f t="shared" si="94"/>
        <v>0</v>
      </c>
      <c r="I2972" s="19"/>
    </row>
    <row r="2973" spans="1:9" ht="15.75" x14ac:dyDescent="0.25">
      <c r="A2973" s="51">
        <v>42820</v>
      </c>
      <c r="B2973" s="52" t="s">
        <v>10803</v>
      </c>
      <c r="C2973" s="18">
        <v>105751</v>
      </c>
      <c r="D2973" s="2" t="s">
        <v>1786</v>
      </c>
      <c r="E2973" s="15">
        <v>9107</v>
      </c>
      <c r="F2973" s="59">
        <v>42820</v>
      </c>
      <c r="G2973" s="15">
        <f t="shared" si="93"/>
        <v>9107</v>
      </c>
      <c r="H2973" s="15">
        <f t="shared" si="94"/>
        <v>0</v>
      </c>
      <c r="I2973" s="19"/>
    </row>
    <row r="2974" spans="1:9" ht="15.75" x14ac:dyDescent="0.25">
      <c r="A2974" s="51">
        <v>42820</v>
      </c>
      <c r="B2974" s="52" t="s">
        <v>10804</v>
      </c>
      <c r="C2974" s="18">
        <v>105752</v>
      </c>
      <c r="D2974" s="2" t="s">
        <v>236</v>
      </c>
      <c r="E2974" s="15">
        <v>30145.08</v>
      </c>
      <c r="F2974" s="59">
        <v>42824</v>
      </c>
      <c r="G2974" s="15">
        <f t="shared" si="93"/>
        <v>30145.08</v>
      </c>
      <c r="H2974" s="15">
        <f t="shared" si="94"/>
        <v>0</v>
      </c>
      <c r="I2974" s="19"/>
    </row>
    <row r="2975" spans="1:9" ht="15.75" x14ac:dyDescent="0.25">
      <c r="A2975" s="51">
        <v>42820</v>
      </c>
      <c r="B2975" s="52" t="s">
        <v>10805</v>
      </c>
      <c r="C2975" s="18">
        <v>105753</v>
      </c>
      <c r="D2975" s="2" t="s">
        <v>28</v>
      </c>
      <c r="E2975" s="15">
        <v>13407.4</v>
      </c>
      <c r="F2975" s="59">
        <v>42820</v>
      </c>
      <c r="G2975" s="15">
        <f t="shared" si="93"/>
        <v>13407.4</v>
      </c>
      <c r="H2975" s="15">
        <f t="shared" si="94"/>
        <v>0</v>
      </c>
      <c r="I2975" s="19"/>
    </row>
    <row r="2976" spans="1:9" ht="15.75" x14ac:dyDescent="0.25">
      <c r="A2976" s="51">
        <v>42820</v>
      </c>
      <c r="B2976" s="52" t="s">
        <v>10806</v>
      </c>
      <c r="C2976" s="18">
        <v>105754</v>
      </c>
      <c r="D2976" s="2" t="s">
        <v>26</v>
      </c>
      <c r="E2976" s="15">
        <v>28004.5</v>
      </c>
      <c r="F2976" s="59">
        <v>42820</v>
      </c>
      <c r="G2976" s="15">
        <f t="shared" si="93"/>
        <v>28004.5</v>
      </c>
      <c r="H2976" s="15">
        <f t="shared" si="94"/>
        <v>0</v>
      </c>
      <c r="I2976" s="19"/>
    </row>
    <row r="2977" spans="1:9" ht="15.75" x14ac:dyDescent="0.25">
      <c r="A2977" s="51">
        <v>42820</v>
      </c>
      <c r="B2977" s="52" t="s">
        <v>10807</v>
      </c>
      <c r="C2977" s="18">
        <v>105755</v>
      </c>
      <c r="D2977" s="2" t="s">
        <v>492</v>
      </c>
      <c r="E2977" s="15">
        <v>3096</v>
      </c>
      <c r="F2977" s="59">
        <v>42828</v>
      </c>
      <c r="G2977" s="15">
        <f t="shared" si="93"/>
        <v>3096</v>
      </c>
      <c r="H2977" s="15">
        <f t="shared" si="94"/>
        <v>0</v>
      </c>
      <c r="I2977" s="19"/>
    </row>
    <row r="2978" spans="1:9" ht="15.75" x14ac:dyDescent="0.25">
      <c r="A2978" s="51">
        <v>42820</v>
      </c>
      <c r="B2978" s="52" t="s">
        <v>10808</v>
      </c>
      <c r="C2978" s="18">
        <v>105756</v>
      </c>
      <c r="D2978" s="2" t="s">
        <v>231</v>
      </c>
      <c r="E2978" s="15">
        <v>37006</v>
      </c>
      <c r="F2978" s="59">
        <v>42821</v>
      </c>
      <c r="G2978" s="15">
        <f t="shared" si="93"/>
        <v>37006</v>
      </c>
      <c r="H2978" s="15">
        <f t="shared" si="94"/>
        <v>0</v>
      </c>
      <c r="I2978" s="19"/>
    </row>
    <row r="2979" spans="1:9" ht="15.75" x14ac:dyDescent="0.25">
      <c r="A2979" s="51">
        <v>42820</v>
      </c>
      <c r="B2979" s="52" t="s">
        <v>10809</v>
      </c>
      <c r="C2979" s="18">
        <v>105757</v>
      </c>
      <c r="D2979" s="13" t="s">
        <v>222</v>
      </c>
      <c r="E2979" s="14">
        <v>0</v>
      </c>
      <c r="F2979" s="102" t="s">
        <v>95</v>
      </c>
      <c r="G2979" s="14">
        <f t="shared" si="93"/>
        <v>0</v>
      </c>
      <c r="H2979" s="14">
        <f t="shared" si="94"/>
        <v>0</v>
      </c>
      <c r="I2979" s="19"/>
    </row>
    <row r="2980" spans="1:9" ht="15.75" x14ac:dyDescent="0.25">
      <c r="A2980" s="51">
        <v>42820</v>
      </c>
      <c r="B2980" s="52" t="s">
        <v>10810</v>
      </c>
      <c r="C2980" s="18">
        <v>105758</v>
      </c>
      <c r="D2980" s="2" t="s">
        <v>14</v>
      </c>
      <c r="E2980" s="15">
        <v>10347</v>
      </c>
      <c r="F2980" s="59">
        <v>42820</v>
      </c>
      <c r="G2980" s="15">
        <f t="shared" si="93"/>
        <v>10347</v>
      </c>
      <c r="H2980" s="15">
        <f t="shared" si="94"/>
        <v>0</v>
      </c>
      <c r="I2980" s="19"/>
    </row>
    <row r="2981" spans="1:9" ht="15.75" x14ac:dyDescent="0.25">
      <c r="A2981" s="51">
        <v>42820</v>
      </c>
      <c r="B2981" s="52" t="s">
        <v>10811</v>
      </c>
      <c r="C2981" s="18">
        <v>105759</v>
      </c>
      <c r="D2981" s="2" t="s">
        <v>3425</v>
      </c>
      <c r="E2981" s="15">
        <v>360</v>
      </c>
      <c r="F2981" s="59">
        <v>42820</v>
      </c>
      <c r="G2981" s="15">
        <f t="shared" si="93"/>
        <v>360</v>
      </c>
      <c r="H2981" s="15">
        <f t="shared" si="94"/>
        <v>0</v>
      </c>
      <c r="I2981" s="19"/>
    </row>
    <row r="2982" spans="1:9" ht="15.75" x14ac:dyDescent="0.25">
      <c r="A2982" s="51">
        <v>42820</v>
      </c>
      <c r="B2982" s="52" t="s">
        <v>10812</v>
      </c>
      <c r="C2982" s="18">
        <v>105760</v>
      </c>
      <c r="D2982" s="2" t="s">
        <v>47</v>
      </c>
      <c r="E2982" s="15">
        <v>2522.9</v>
      </c>
      <c r="F2982" s="59">
        <v>42820</v>
      </c>
      <c r="G2982" s="15">
        <f t="shared" si="93"/>
        <v>2522.9</v>
      </c>
      <c r="H2982" s="15">
        <f t="shared" si="94"/>
        <v>0</v>
      </c>
      <c r="I2982" s="19"/>
    </row>
    <row r="2983" spans="1:9" ht="15.75" x14ac:dyDescent="0.25">
      <c r="A2983" s="51">
        <v>42820</v>
      </c>
      <c r="B2983" s="52" t="s">
        <v>10813</v>
      </c>
      <c r="C2983" s="18">
        <v>105761</v>
      </c>
      <c r="D2983" s="2" t="s">
        <v>222</v>
      </c>
      <c r="E2983" s="15">
        <v>49834.45</v>
      </c>
      <c r="F2983" s="59">
        <v>42823</v>
      </c>
      <c r="G2983" s="15">
        <f t="shared" si="93"/>
        <v>49834.45</v>
      </c>
      <c r="H2983" s="15">
        <f t="shared" si="94"/>
        <v>0</v>
      </c>
      <c r="I2983" s="19"/>
    </row>
    <row r="2984" spans="1:9" ht="15.75" x14ac:dyDescent="0.25">
      <c r="A2984" s="51">
        <v>42820</v>
      </c>
      <c r="B2984" s="52" t="s">
        <v>10814</v>
      </c>
      <c r="C2984" s="18">
        <v>105762</v>
      </c>
      <c r="D2984" s="2" t="s">
        <v>309</v>
      </c>
      <c r="E2984" s="15">
        <v>4502.2</v>
      </c>
      <c r="F2984" s="59">
        <v>42820</v>
      </c>
      <c r="G2984" s="15">
        <f t="shared" si="93"/>
        <v>4502.2</v>
      </c>
      <c r="H2984" s="15">
        <f t="shared" si="94"/>
        <v>0</v>
      </c>
      <c r="I2984" s="19"/>
    </row>
    <row r="2985" spans="1:9" ht="15.75" x14ac:dyDescent="0.25">
      <c r="A2985" s="51">
        <v>42820</v>
      </c>
      <c r="B2985" s="52" t="s">
        <v>10815</v>
      </c>
      <c r="C2985" s="18">
        <v>105763</v>
      </c>
      <c r="D2985" s="2" t="s">
        <v>79</v>
      </c>
      <c r="E2985" s="15">
        <v>2246.6</v>
      </c>
      <c r="F2985" s="59">
        <v>42820</v>
      </c>
      <c r="G2985" s="15">
        <f t="shared" si="93"/>
        <v>2246.6</v>
      </c>
      <c r="H2985" s="15">
        <f t="shared" si="94"/>
        <v>0</v>
      </c>
      <c r="I2985" s="19"/>
    </row>
    <row r="2986" spans="1:9" ht="15.75" x14ac:dyDescent="0.25">
      <c r="A2986" s="51">
        <v>42820</v>
      </c>
      <c r="B2986" s="52" t="s">
        <v>10816</v>
      </c>
      <c r="C2986" s="18">
        <v>105764</v>
      </c>
      <c r="D2986" s="2" t="s">
        <v>205</v>
      </c>
      <c r="E2986" s="15">
        <v>4082</v>
      </c>
      <c r="F2986" s="59">
        <v>42820</v>
      </c>
      <c r="G2986" s="15">
        <f t="shared" si="93"/>
        <v>4082</v>
      </c>
      <c r="H2986" s="15">
        <f t="shared" si="94"/>
        <v>0</v>
      </c>
      <c r="I2986" s="19"/>
    </row>
    <row r="2987" spans="1:9" ht="15.75" x14ac:dyDescent="0.25">
      <c r="A2987" s="51">
        <v>42820</v>
      </c>
      <c r="B2987" s="52" t="s">
        <v>10817</v>
      </c>
      <c r="C2987" s="18">
        <v>105765</v>
      </c>
      <c r="D2987" s="2" t="s">
        <v>1925</v>
      </c>
      <c r="E2987" s="15">
        <v>439.2</v>
      </c>
      <c r="F2987" s="59">
        <v>42820</v>
      </c>
      <c r="G2987" s="15">
        <f t="shared" si="93"/>
        <v>439.2</v>
      </c>
      <c r="H2987" s="15">
        <f t="shared" si="94"/>
        <v>0</v>
      </c>
      <c r="I2987" s="19"/>
    </row>
    <row r="2988" spans="1:9" ht="15.75" x14ac:dyDescent="0.25">
      <c r="A2988" s="51">
        <v>42820</v>
      </c>
      <c r="B2988" s="52" t="s">
        <v>10818</v>
      </c>
      <c r="C2988" s="18">
        <v>105766</v>
      </c>
      <c r="D2988" s="2" t="s">
        <v>10</v>
      </c>
      <c r="E2988" s="15">
        <v>15230.6</v>
      </c>
      <c r="F2988" s="59">
        <v>42824</v>
      </c>
      <c r="G2988" s="15">
        <f t="shared" si="93"/>
        <v>15230.6</v>
      </c>
      <c r="H2988" s="15">
        <f t="shared" si="94"/>
        <v>0</v>
      </c>
      <c r="I2988" s="19"/>
    </row>
    <row r="2989" spans="1:9" ht="15.75" x14ac:dyDescent="0.25">
      <c r="A2989" s="51">
        <v>42820</v>
      </c>
      <c r="B2989" s="52" t="s">
        <v>10819</v>
      </c>
      <c r="C2989" s="18">
        <v>105767</v>
      </c>
      <c r="D2989" s="2" t="s">
        <v>240</v>
      </c>
      <c r="E2989" s="15">
        <v>5580</v>
      </c>
      <c r="F2989" s="59">
        <v>42820</v>
      </c>
      <c r="G2989" s="15">
        <f t="shared" si="93"/>
        <v>5580</v>
      </c>
      <c r="H2989" s="15">
        <f t="shared" si="94"/>
        <v>0</v>
      </c>
      <c r="I2989" s="19"/>
    </row>
    <row r="2990" spans="1:9" ht="15.75" x14ac:dyDescent="0.25">
      <c r="A2990" s="51">
        <v>42820</v>
      </c>
      <c r="B2990" s="52" t="s">
        <v>10820</v>
      </c>
      <c r="C2990" s="18">
        <v>105768</v>
      </c>
      <c r="D2990" s="2" t="s">
        <v>143</v>
      </c>
      <c r="E2990" s="15">
        <v>2541.3000000000002</v>
      </c>
      <c r="F2990" s="59">
        <v>42820</v>
      </c>
      <c r="G2990" s="15">
        <f t="shared" si="93"/>
        <v>2541.3000000000002</v>
      </c>
      <c r="H2990" s="15">
        <f t="shared" si="94"/>
        <v>0</v>
      </c>
      <c r="I2990" s="19"/>
    </row>
    <row r="2991" spans="1:9" ht="15.75" x14ac:dyDescent="0.25">
      <c r="A2991" s="51">
        <v>42820</v>
      </c>
      <c r="B2991" s="52" t="s">
        <v>10821</v>
      </c>
      <c r="C2991" s="18">
        <v>105769</v>
      </c>
      <c r="D2991" s="2" t="s">
        <v>71</v>
      </c>
      <c r="E2991" s="15">
        <v>1180</v>
      </c>
      <c r="F2991" s="59">
        <v>42820</v>
      </c>
      <c r="G2991" s="15">
        <f t="shared" si="93"/>
        <v>1180</v>
      </c>
      <c r="H2991" s="15">
        <f t="shared" si="94"/>
        <v>0</v>
      </c>
      <c r="I2991" s="19"/>
    </row>
    <row r="2992" spans="1:9" ht="15.75" x14ac:dyDescent="0.25">
      <c r="A2992" s="51">
        <v>42820</v>
      </c>
      <c r="B2992" s="52" t="s">
        <v>10822</v>
      </c>
      <c r="C2992" s="18">
        <v>105770</v>
      </c>
      <c r="D2992" s="2" t="s">
        <v>1645</v>
      </c>
      <c r="E2992" s="15">
        <v>935</v>
      </c>
      <c r="F2992" s="59">
        <v>42820</v>
      </c>
      <c r="G2992" s="15">
        <f t="shared" si="93"/>
        <v>935</v>
      </c>
      <c r="H2992" s="15">
        <f t="shared" si="94"/>
        <v>0</v>
      </c>
      <c r="I2992" s="19"/>
    </row>
    <row r="2993" spans="1:9" ht="15.75" x14ac:dyDescent="0.25">
      <c r="A2993" s="51">
        <v>42820</v>
      </c>
      <c r="B2993" s="52" t="s">
        <v>10823</v>
      </c>
      <c r="C2993" s="18">
        <v>105771</v>
      </c>
      <c r="D2993" s="2" t="s">
        <v>99</v>
      </c>
      <c r="E2993" s="15">
        <v>3220</v>
      </c>
      <c r="F2993" s="59">
        <v>42821</v>
      </c>
      <c r="G2993" s="15">
        <f t="shared" si="93"/>
        <v>3220</v>
      </c>
      <c r="H2993" s="15">
        <f t="shared" si="94"/>
        <v>0</v>
      </c>
      <c r="I2993" s="19"/>
    </row>
    <row r="2994" spans="1:9" ht="15.75" x14ac:dyDescent="0.25">
      <c r="A2994" s="51">
        <v>42820</v>
      </c>
      <c r="B2994" s="52" t="s">
        <v>10824</v>
      </c>
      <c r="C2994" s="18">
        <v>105772</v>
      </c>
      <c r="D2994" s="2" t="s">
        <v>101</v>
      </c>
      <c r="E2994" s="15">
        <v>920</v>
      </c>
      <c r="F2994" s="59">
        <v>42821</v>
      </c>
      <c r="G2994" s="15">
        <f t="shared" si="93"/>
        <v>920</v>
      </c>
      <c r="H2994" s="15">
        <f t="shared" si="94"/>
        <v>0</v>
      </c>
      <c r="I2994" s="19"/>
    </row>
    <row r="2995" spans="1:9" ht="15.75" x14ac:dyDescent="0.25">
      <c r="A2995" s="51">
        <v>42820</v>
      </c>
      <c r="B2995" s="52" t="s">
        <v>10825</v>
      </c>
      <c r="C2995" s="18">
        <v>105773</v>
      </c>
      <c r="D2995" s="2" t="s">
        <v>281</v>
      </c>
      <c r="E2995" s="15">
        <v>1354</v>
      </c>
      <c r="F2995" s="59">
        <v>42821</v>
      </c>
      <c r="G2995" s="15">
        <f t="shared" si="93"/>
        <v>1354</v>
      </c>
      <c r="H2995" s="15">
        <f t="shared" si="94"/>
        <v>0</v>
      </c>
      <c r="I2995" s="19"/>
    </row>
    <row r="2996" spans="1:9" ht="15.75" x14ac:dyDescent="0.25">
      <c r="A2996" s="51">
        <v>42820</v>
      </c>
      <c r="B2996" s="52" t="s">
        <v>10826</v>
      </c>
      <c r="C2996" s="18">
        <v>105774</v>
      </c>
      <c r="D2996" s="2" t="s">
        <v>81</v>
      </c>
      <c r="E2996" s="15">
        <v>5948</v>
      </c>
      <c r="F2996" s="59">
        <v>42821</v>
      </c>
      <c r="G2996" s="15">
        <f t="shared" si="93"/>
        <v>5948</v>
      </c>
      <c r="H2996" s="15">
        <f t="shared" si="94"/>
        <v>0</v>
      </c>
      <c r="I2996" s="19"/>
    </row>
    <row r="2997" spans="1:9" ht="15.75" x14ac:dyDescent="0.25">
      <c r="A2997" s="51">
        <v>42820</v>
      </c>
      <c r="B2997" s="52" t="s">
        <v>10827</v>
      </c>
      <c r="C2997" s="18">
        <v>105775</v>
      </c>
      <c r="D2997" s="2" t="s">
        <v>480</v>
      </c>
      <c r="E2997" s="15">
        <v>1807.6</v>
      </c>
      <c r="F2997" s="59">
        <v>42821</v>
      </c>
      <c r="G2997" s="15">
        <f t="shared" si="93"/>
        <v>1807.6</v>
      </c>
      <c r="H2997" s="15">
        <f t="shared" si="94"/>
        <v>0</v>
      </c>
      <c r="I2997" s="19"/>
    </row>
    <row r="2998" spans="1:9" ht="15.75" x14ac:dyDescent="0.25">
      <c r="A2998" s="51">
        <v>42820</v>
      </c>
      <c r="B2998" s="52" t="s">
        <v>10828</v>
      </c>
      <c r="C2998" s="18">
        <v>105776</v>
      </c>
      <c r="D2998" s="2" t="s">
        <v>613</v>
      </c>
      <c r="E2998" s="15">
        <v>4108.8</v>
      </c>
      <c r="F2998" s="59">
        <v>42821</v>
      </c>
      <c r="G2998" s="15">
        <f t="shared" si="93"/>
        <v>4108.8</v>
      </c>
      <c r="H2998" s="15">
        <f t="shared" si="94"/>
        <v>0</v>
      </c>
      <c r="I2998" s="19"/>
    </row>
    <row r="2999" spans="1:9" ht="15.75" x14ac:dyDescent="0.25">
      <c r="A2999" s="51">
        <v>42820</v>
      </c>
      <c r="B2999" s="52" t="s">
        <v>10829</v>
      </c>
      <c r="C2999" s="18">
        <v>105777</v>
      </c>
      <c r="D2999" s="2" t="s">
        <v>168</v>
      </c>
      <c r="E2999" s="15">
        <v>271.2</v>
      </c>
      <c r="F2999" s="59">
        <v>42820</v>
      </c>
      <c r="G2999" s="15">
        <f t="shared" si="93"/>
        <v>271.2</v>
      </c>
      <c r="H2999" s="15">
        <f t="shared" si="94"/>
        <v>0</v>
      </c>
      <c r="I2999" s="19"/>
    </row>
    <row r="3000" spans="1:9" ht="15.75" x14ac:dyDescent="0.25">
      <c r="A3000" s="51">
        <v>42820</v>
      </c>
      <c r="B3000" s="52" t="s">
        <v>10830</v>
      </c>
      <c r="C3000" s="18">
        <v>105778</v>
      </c>
      <c r="D3000" s="2" t="s">
        <v>83</v>
      </c>
      <c r="E3000" s="15">
        <v>5121.6000000000004</v>
      </c>
      <c r="F3000" s="59">
        <v>42821</v>
      </c>
      <c r="G3000" s="15">
        <f t="shared" si="93"/>
        <v>5121.6000000000004</v>
      </c>
      <c r="H3000" s="15">
        <f t="shared" si="94"/>
        <v>0</v>
      </c>
      <c r="I3000" s="19"/>
    </row>
    <row r="3001" spans="1:9" ht="15.75" x14ac:dyDescent="0.25">
      <c r="A3001" s="51">
        <v>42820</v>
      </c>
      <c r="B3001" s="52" t="s">
        <v>10831</v>
      </c>
      <c r="C3001" s="18">
        <v>105779</v>
      </c>
      <c r="D3001" s="2" t="s">
        <v>109</v>
      </c>
      <c r="E3001" s="15">
        <v>5718.3</v>
      </c>
      <c r="F3001" s="59">
        <v>42821</v>
      </c>
      <c r="G3001" s="15">
        <f t="shared" si="93"/>
        <v>5718.3</v>
      </c>
      <c r="H3001" s="15">
        <f t="shared" si="94"/>
        <v>0</v>
      </c>
      <c r="I3001" s="19"/>
    </row>
    <row r="3002" spans="1:9" ht="15.75" x14ac:dyDescent="0.25">
      <c r="A3002" s="51">
        <v>42820</v>
      </c>
      <c r="B3002" s="52" t="s">
        <v>10832</v>
      </c>
      <c r="C3002" s="18">
        <v>105780</v>
      </c>
      <c r="D3002" s="2" t="s">
        <v>448</v>
      </c>
      <c r="E3002" s="15">
        <v>257.39999999999998</v>
      </c>
      <c r="F3002" s="59">
        <v>42821</v>
      </c>
      <c r="G3002" s="15">
        <f t="shared" si="93"/>
        <v>257.39999999999998</v>
      </c>
      <c r="H3002" s="15">
        <f t="shared" si="94"/>
        <v>0</v>
      </c>
      <c r="I3002" s="19"/>
    </row>
    <row r="3003" spans="1:9" ht="15.75" x14ac:dyDescent="0.25">
      <c r="A3003" s="51">
        <v>42820</v>
      </c>
      <c r="B3003" s="52" t="s">
        <v>10833</v>
      </c>
      <c r="C3003" s="18">
        <v>105781</v>
      </c>
      <c r="D3003" s="2" t="s">
        <v>1259</v>
      </c>
      <c r="E3003" s="15">
        <v>2286.1999999999998</v>
      </c>
      <c r="F3003" s="59">
        <v>42821</v>
      </c>
      <c r="G3003" s="15">
        <f t="shared" si="93"/>
        <v>2286.1999999999998</v>
      </c>
      <c r="H3003" s="15">
        <f t="shared" si="94"/>
        <v>0</v>
      </c>
      <c r="I3003" s="19"/>
    </row>
    <row r="3004" spans="1:9" ht="15.75" x14ac:dyDescent="0.25">
      <c r="A3004" s="51">
        <v>42820</v>
      </c>
      <c r="B3004" s="52" t="s">
        <v>10834</v>
      </c>
      <c r="C3004" s="18">
        <v>105782</v>
      </c>
      <c r="D3004" s="2" t="s">
        <v>10</v>
      </c>
      <c r="E3004" s="15">
        <v>22980.2</v>
      </c>
      <c r="F3004" s="59">
        <v>42824</v>
      </c>
      <c r="G3004" s="15">
        <f t="shared" si="93"/>
        <v>22980.2</v>
      </c>
      <c r="H3004" s="15">
        <f t="shared" si="94"/>
        <v>0</v>
      </c>
      <c r="I3004" s="19"/>
    </row>
    <row r="3005" spans="1:9" ht="15.75" x14ac:dyDescent="0.25">
      <c r="A3005" s="51">
        <v>42820</v>
      </c>
      <c r="B3005" s="52" t="s">
        <v>10835</v>
      </c>
      <c r="C3005" s="18">
        <v>105783</v>
      </c>
      <c r="D3005" s="2" t="s">
        <v>305</v>
      </c>
      <c r="E3005" s="15">
        <v>6140</v>
      </c>
      <c r="F3005" s="59">
        <v>42824</v>
      </c>
      <c r="G3005" s="15">
        <f t="shared" si="93"/>
        <v>6140</v>
      </c>
      <c r="H3005" s="15">
        <f t="shared" si="94"/>
        <v>0</v>
      </c>
      <c r="I3005" s="19"/>
    </row>
    <row r="3006" spans="1:9" ht="15.75" x14ac:dyDescent="0.25">
      <c r="A3006" s="51">
        <v>42820</v>
      </c>
      <c r="B3006" s="52" t="s">
        <v>10836</v>
      </c>
      <c r="C3006" s="18">
        <v>105784</v>
      </c>
      <c r="D3006" s="2" t="s">
        <v>12</v>
      </c>
      <c r="E3006" s="15">
        <v>2415.4</v>
      </c>
      <c r="F3006" s="59">
        <v>42820</v>
      </c>
      <c r="G3006" s="15">
        <f t="shared" si="93"/>
        <v>2415.4</v>
      </c>
      <c r="H3006" s="15">
        <f t="shared" si="94"/>
        <v>0</v>
      </c>
      <c r="I3006" s="19"/>
    </row>
    <row r="3007" spans="1:9" ht="15.75" x14ac:dyDescent="0.25">
      <c r="A3007" s="51">
        <v>42820</v>
      </c>
      <c r="B3007" s="52" t="s">
        <v>10837</v>
      </c>
      <c r="C3007" s="18">
        <v>105785</v>
      </c>
      <c r="D3007" s="2" t="s">
        <v>476</v>
      </c>
      <c r="E3007" s="15">
        <v>18333</v>
      </c>
      <c r="F3007" s="59">
        <v>42822</v>
      </c>
      <c r="G3007" s="15">
        <f t="shared" si="93"/>
        <v>18333</v>
      </c>
      <c r="H3007" s="15">
        <f t="shared" si="94"/>
        <v>0</v>
      </c>
      <c r="I3007" s="19"/>
    </row>
    <row r="3008" spans="1:9" ht="15.75" x14ac:dyDescent="0.25">
      <c r="A3008" s="51">
        <v>42820</v>
      </c>
      <c r="B3008" s="52" t="s">
        <v>10838</v>
      </c>
      <c r="C3008" s="18">
        <v>105786</v>
      </c>
      <c r="D3008" s="2" t="s">
        <v>159</v>
      </c>
      <c r="E3008" s="15">
        <v>3055.5</v>
      </c>
      <c r="F3008" s="59">
        <v>42820</v>
      </c>
      <c r="G3008" s="15">
        <f t="shared" si="93"/>
        <v>3055.5</v>
      </c>
      <c r="H3008" s="15">
        <f t="shared" si="94"/>
        <v>0</v>
      </c>
      <c r="I3008" s="19"/>
    </row>
    <row r="3009" spans="1:9" ht="15.75" x14ac:dyDescent="0.25">
      <c r="A3009" s="51">
        <v>42820</v>
      </c>
      <c r="B3009" s="52" t="s">
        <v>10839</v>
      </c>
      <c r="C3009" s="18">
        <v>105787</v>
      </c>
      <c r="D3009" s="2" t="s">
        <v>159</v>
      </c>
      <c r="E3009" s="15">
        <v>3696</v>
      </c>
      <c r="F3009" s="59">
        <v>42820</v>
      </c>
      <c r="G3009" s="15">
        <f t="shared" si="93"/>
        <v>3696</v>
      </c>
      <c r="H3009" s="15">
        <f t="shared" si="94"/>
        <v>0</v>
      </c>
      <c r="I3009" s="19"/>
    </row>
    <row r="3010" spans="1:9" ht="15.75" x14ac:dyDescent="0.25">
      <c r="A3010" s="51">
        <v>42820</v>
      </c>
      <c r="B3010" s="52" t="s">
        <v>10840</v>
      </c>
      <c r="C3010" s="18">
        <v>105788</v>
      </c>
      <c r="D3010" s="2" t="s">
        <v>157</v>
      </c>
      <c r="E3010" s="15">
        <v>37082.5</v>
      </c>
      <c r="F3010" s="59">
        <v>42820</v>
      </c>
      <c r="G3010" s="15">
        <f t="shared" si="93"/>
        <v>37082.5</v>
      </c>
      <c r="H3010" s="15">
        <f t="shared" si="94"/>
        <v>0</v>
      </c>
      <c r="I3010" s="19"/>
    </row>
    <row r="3011" spans="1:9" ht="15.75" x14ac:dyDescent="0.25">
      <c r="A3011" s="51">
        <v>42820</v>
      </c>
      <c r="B3011" s="52" t="s">
        <v>10841</v>
      </c>
      <c r="C3011" s="18">
        <v>105789</v>
      </c>
      <c r="D3011" s="2" t="s">
        <v>226</v>
      </c>
      <c r="E3011" s="15">
        <v>1530</v>
      </c>
      <c r="F3011" s="59">
        <v>42820</v>
      </c>
      <c r="G3011" s="15">
        <f t="shared" si="93"/>
        <v>1530</v>
      </c>
      <c r="H3011" s="15">
        <f t="shared" si="94"/>
        <v>0</v>
      </c>
      <c r="I3011" s="19"/>
    </row>
    <row r="3012" spans="1:9" ht="15.75" x14ac:dyDescent="0.25">
      <c r="A3012" s="51">
        <v>42820</v>
      </c>
      <c r="B3012" s="52" t="s">
        <v>10842</v>
      </c>
      <c r="C3012" s="18">
        <v>105790</v>
      </c>
      <c r="D3012" s="2" t="s">
        <v>472</v>
      </c>
      <c r="E3012" s="15">
        <v>2340</v>
      </c>
      <c r="F3012" s="59">
        <v>42822</v>
      </c>
      <c r="G3012" s="15">
        <f t="shared" ref="G3012:G3075" si="95">E3012</f>
        <v>2340</v>
      </c>
      <c r="H3012" s="15">
        <f t="shared" ref="H3012:H3075" si="96">E3012-G3012</f>
        <v>0</v>
      </c>
      <c r="I3012" s="19"/>
    </row>
    <row r="3013" spans="1:9" ht="15.75" x14ac:dyDescent="0.25">
      <c r="A3013" s="51">
        <v>42820</v>
      </c>
      <c r="B3013" s="52" t="s">
        <v>10843</v>
      </c>
      <c r="C3013" s="18">
        <v>105791</v>
      </c>
      <c r="D3013" s="2" t="s">
        <v>115</v>
      </c>
      <c r="E3013" s="15">
        <v>3278.95</v>
      </c>
      <c r="F3013" s="59">
        <v>42820</v>
      </c>
      <c r="G3013" s="15">
        <f t="shared" si="95"/>
        <v>3278.95</v>
      </c>
      <c r="H3013" s="15">
        <f t="shared" si="96"/>
        <v>0</v>
      </c>
      <c r="I3013" s="19"/>
    </row>
    <row r="3014" spans="1:9" ht="15.75" x14ac:dyDescent="0.25">
      <c r="A3014" s="51">
        <v>42820</v>
      </c>
      <c r="B3014" s="52" t="s">
        <v>10844</v>
      </c>
      <c r="C3014" s="18">
        <v>105792</v>
      </c>
      <c r="D3014" s="2" t="s">
        <v>21</v>
      </c>
      <c r="E3014" s="15">
        <v>43666.400000000001</v>
      </c>
      <c r="F3014" s="59">
        <v>42832</v>
      </c>
      <c r="G3014" s="15">
        <f t="shared" si="95"/>
        <v>43666.400000000001</v>
      </c>
      <c r="H3014" s="15">
        <f t="shared" si="96"/>
        <v>0</v>
      </c>
      <c r="I3014" s="19"/>
    </row>
    <row r="3015" spans="1:9" ht="15.75" x14ac:dyDescent="0.25">
      <c r="A3015" s="51">
        <v>42820</v>
      </c>
      <c r="B3015" s="52" t="s">
        <v>10845</v>
      </c>
      <c r="C3015" s="18">
        <v>105793</v>
      </c>
      <c r="D3015" s="2" t="s">
        <v>55</v>
      </c>
      <c r="E3015" s="15">
        <v>16622.400000000001</v>
      </c>
      <c r="F3015" s="64" t="s">
        <v>10846</v>
      </c>
      <c r="G3015" s="20">
        <f>10000+6622.4</f>
        <v>16622.400000000001</v>
      </c>
      <c r="H3015" s="20">
        <f t="shared" si="96"/>
        <v>0</v>
      </c>
      <c r="I3015" s="19"/>
    </row>
    <row r="3016" spans="1:9" ht="15.75" x14ac:dyDescent="0.25">
      <c r="A3016" s="51">
        <v>42820</v>
      </c>
      <c r="B3016" s="52" t="s">
        <v>10847</v>
      </c>
      <c r="C3016" s="18">
        <v>105794</v>
      </c>
      <c r="D3016" s="2" t="s">
        <v>10</v>
      </c>
      <c r="E3016" s="15">
        <v>18832.099999999999</v>
      </c>
      <c r="F3016" s="59">
        <v>42824</v>
      </c>
      <c r="G3016" s="15">
        <f t="shared" si="95"/>
        <v>18832.099999999999</v>
      </c>
      <c r="H3016" s="15">
        <f t="shared" si="96"/>
        <v>0</v>
      </c>
      <c r="I3016" s="19"/>
    </row>
    <row r="3017" spans="1:9" ht="15.75" x14ac:dyDescent="0.25">
      <c r="A3017" s="51">
        <v>42820</v>
      </c>
      <c r="B3017" s="52" t="s">
        <v>10848</v>
      </c>
      <c r="C3017" s="18">
        <v>105795</v>
      </c>
      <c r="D3017" s="2" t="s">
        <v>492</v>
      </c>
      <c r="E3017" s="15">
        <v>5896.8</v>
      </c>
      <c r="F3017" s="59">
        <v>42828</v>
      </c>
      <c r="G3017" s="15">
        <f t="shared" si="95"/>
        <v>5896.8</v>
      </c>
      <c r="H3017" s="15">
        <f t="shared" si="96"/>
        <v>0</v>
      </c>
      <c r="I3017" s="19"/>
    </row>
    <row r="3018" spans="1:9" ht="15.75" x14ac:dyDescent="0.25">
      <c r="A3018" s="51">
        <v>42820</v>
      </c>
      <c r="B3018" s="52" t="s">
        <v>10849</v>
      </c>
      <c r="C3018" s="18">
        <v>105796</v>
      </c>
      <c r="D3018" s="2" t="s">
        <v>125</v>
      </c>
      <c r="E3018" s="15">
        <v>9744</v>
      </c>
      <c r="F3018" s="59">
        <v>42821</v>
      </c>
      <c r="G3018" s="15">
        <f t="shared" si="95"/>
        <v>9744</v>
      </c>
      <c r="H3018" s="15">
        <f t="shared" si="96"/>
        <v>0</v>
      </c>
      <c r="I3018" s="19"/>
    </row>
    <row r="3019" spans="1:9" ht="15.75" x14ac:dyDescent="0.25">
      <c r="A3019" s="51">
        <v>42820</v>
      </c>
      <c r="B3019" s="52" t="s">
        <v>10850</v>
      </c>
      <c r="C3019" s="18">
        <v>105797</v>
      </c>
      <c r="D3019" s="2" t="s">
        <v>470</v>
      </c>
      <c r="E3019" s="15">
        <v>9705.6</v>
      </c>
      <c r="F3019" s="59">
        <v>42821</v>
      </c>
      <c r="G3019" s="15">
        <f t="shared" si="95"/>
        <v>9705.6</v>
      </c>
      <c r="H3019" s="15">
        <f t="shared" si="96"/>
        <v>0</v>
      </c>
      <c r="I3019" s="19"/>
    </row>
    <row r="3020" spans="1:9" ht="15.75" x14ac:dyDescent="0.25">
      <c r="A3020" s="51">
        <v>42820</v>
      </c>
      <c r="B3020" s="52" t="s">
        <v>10851</v>
      </c>
      <c r="C3020" s="18">
        <v>105798</v>
      </c>
      <c r="D3020" s="2" t="s">
        <v>563</v>
      </c>
      <c r="E3020" s="15">
        <v>492.8</v>
      </c>
      <c r="F3020" s="59">
        <v>42820</v>
      </c>
      <c r="G3020" s="15">
        <f t="shared" si="95"/>
        <v>492.8</v>
      </c>
      <c r="H3020" s="15">
        <f t="shared" si="96"/>
        <v>0</v>
      </c>
      <c r="I3020" s="19"/>
    </row>
    <row r="3021" spans="1:9" ht="15.75" x14ac:dyDescent="0.25">
      <c r="A3021" s="51">
        <v>42820</v>
      </c>
      <c r="B3021" s="52" t="s">
        <v>10852</v>
      </c>
      <c r="C3021" s="18">
        <v>105799</v>
      </c>
      <c r="D3021" s="2" t="s">
        <v>77</v>
      </c>
      <c r="E3021" s="15">
        <v>340.8</v>
      </c>
      <c r="G3021" s="15">
        <f t="shared" si="95"/>
        <v>340.8</v>
      </c>
      <c r="H3021" s="15">
        <f t="shared" si="96"/>
        <v>0</v>
      </c>
      <c r="I3021" s="19"/>
    </row>
    <row r="3022" spans="1:9" ht="15.75" x14ac:dyDescent="0.25">
      <c r="A3022" s="51">
        <v>42820</v>
      </c>
      <c r="B3022" s="52" t="s">
        <v>10853</v>
      </c>
      <c r="C3022" s="18">
        <v>105800</v>
      </c>
      <c r="D3022" s="2" t="s">
        <v>231</v>
      </c>
      <c r="E3022" s="15">
        <v>3247.6</v>
      </c>
      <c r="F3022" s="59">
        <v>42821</v>
      </c>
      <c r="G3022" s="15">
        <f t="shared" si="95"/>
        <v>3247.6</v>
      </c>
      <c r="H3022" s="15">
        <f t="shared" si="96"/>
        <v>0</v>
      </c>
      <c r="I3022" s="19"/>
    </row>
    <row r="3023" spans="1:9" ht="15.75" x14ac:dyDescent="0.25">
      <c r="A3023" s="51">
        <v>42820</v>
      </c>
      <c r="B3023" s="52" t="s">
        <v>10854</v>
      </c>
      <c r="C3023" s="18">
        <v>105801</v>
      </c>
      <c r="D3023" s="2" t="s">
        <v>47</v>
      </c>
      <c r="E3023" s="15">
        <v>405</v>
      </c>
      <c r="F3023" s="59">
        <v>42820</v>
      </c>
      <c r="G3023" s="15">
        <f t="shared" si="95"/>
        <v>405</v>
      </c>
      <c r="H3023" s="15">
        <f t="shared" si="96"/>
        <v>0</v>
      </c>
      <c r="I3023" s="19"/>
    </row>
    <row r="3024" spans="1:9" ht="15.75" x14ac:dyDescent="0.25">
      <c r="A3024" s="51">
        <v>42820</v>
      </c>
      <c r="B3024" s="52" t="s">
        <v>10855</v>
      </c>
      <c r="C3024" s="18">
        <v>105802</v>
      </c>
      <c r="D3024" s="2" t="s">
        <v>211</v>
      </c>
      <c r="E3024" s="15">
        <v>8976</v>
      </c>
      <c r="F3024" s="59">
        <v>42820</v>
      </c>
      <c r="G3024" s="15">
        <f t="shared" si="95"/>
        <v>8976</v>
      </c>
      <c r="H3024" s="15">
        <f t="shared" si="96"/>
        <v>0</v>
      </c>
      <c r="I3024" s="19"/>
    </row>
    <row r="3025" spans="1:9" ht="15.75" x14ac:dyDescent="0.25">
      <c r="A3025" s="51">
        <v>42820</v>
      </c>
      <c r="B3025" s="52" t="s">
        <v>10856</v>
      </c>
      <c r="C3025" s="18">
        <v>105803</v>
      </c>
      <c r="D3025" s="2" t="s">
        <v>222</v>
      </c>
      <c r="E3025" s="15">
        <v>52403.56</v>
      </c>
      <c r="F3025" s="59">
        <v>42823</v>
      </c>
      <c r="G3025" s="15">
        <f t="shared" si="95"/>
        <v>52403.56</v>
      </c>
      <c r="H3025" s="15">
        <f t="shared" si="96"/>
        <v>0</v>
      </c>
      <c r="I3025" s="19"/>
    </row>
    <row r="3026" spans="1:9" ht="15.75" x14ac:dyDescent="0.25">
      <c r="A3026" s="51">
        <v>42820</v>
      </c>
      <c r="B3026" s="52" t="s">
        <v>10857</v>
      </c>
      <c r="C3026" s="18">
        <v>105804</v>
      </c>
      <c r="D3026" s="2" t="s">
        <v>800</v>
      </c>
      <c r="E3026" s="15">
        <v>5805</v>
      </c>
      <c r="F3026" s="59">
        <v>42820</v>
      </c>
      <c r="G3026" s="15">
        <f t="shared" si="95"/>
        <v>5805</v>
      </c>
      <c r="H3026" s="15">
        <f t="shared" si="96"/>
        <v>0</v>
      </c>
      <c r="I3026" s="19"/>
    </row>
    <row r="3027" spans="1:9" ht="15.75" x14ac:dyDescent="0.25">
      <c r="A3027" s="51">
        <v>42821</v>
      </c>
      <c r="B3027" s="52" t="s">
        <v>10858</v>
      </c>
      <c r="C3027" s="18">
        <v>105805</v>
      </c>
      <c r="D3027" s="2" t="s">
        <v>231</v>
      </c>
      <c r="E3027" s="15">
        <v>5783.2</v>
      </c>
      <c r="F3027" s="59">
        <v>42822</v>
      </c>
      <c r="G3027" s="15">
        <f t="shared" si="95"/>
        <v>5783.2</v>
      </c>
      <c r="H3027" s="15">
        <f t="shared" si="96"/>
        <v>0</v>
      </c>
      <c r="I3027" s="19"/>
    </row>
    <row r="3028" spans="1:9" ht="15.75" x14ac:dyDescent="0.25">
      <c r="A3028" s="51">
        <v>42821</v>
      </c>
      <c r="B3028" s="52" t="s">
        <v>10859</v>
      </c>
      <c r="C3028" s="18">
        <v>105806</v>
      </c>
      <c r="D3028" s="13" t="s">
        <v>428</v>
      </c>
      <c r="E3028" s="14">
        <v>0</v>
      </c>
      <c r="F3028" s="102" t="s">
        <v>95</v>
      </c>
      <c r="G3028" s="14">
        <f t="shared" si="95"/>
        <v>0</v>
      </c>
      <c r="H3028" s="14">
        <f t="shared" si="96"/>
        <v>0</v>
      </c>
      <c r="I3028" s="19"/>
    </row>
    <row r="3029" spans="1:9" ht="15.75" x14ac:dyDescent="0.25">
      <c r="A3029" s="51">
        <v>42821</v>
      </c>
      <c r="B3029" s="52" t="s">
        <v>10860</v>
      </c>
      <c r="C3029" s="18">
        <v>105807</v>
      </c>
      <c r="D3029" s="2" t="s">
        <v>17</v>
      </c>
      <c r="E3029" s="15">
        <v>2070</v>
      </c>
      <c r="F3029" s="59">
        <v>42821</v>
      </c>
      <c r="G3029" s="15">
        <f t="shared" si="95"/>
        <v>2070</v>
      </c>
      <c r="H3029" s="15">
        <f t="shared" si="96"/>
        <v>0</v>
      </c>
      <c r="I3029" s="19"/>
    </row>
    <row r="3030" spans="1:9" ht="15.75" x14ac:dyDescent="0.25">
      <c r="A3030" s="51">
        <v>42821</v>
      </c>
      <c r="B3030" s="52" t="s">
        <v>10861</v>
      </c>
      <c r="C3030" s="18">
        <v>105808</v>
      </c>
      <c r="D3030" s="2" t="s">
        <v>55</v>
      </c>
      <c r="E3030" s="15">
        <v>4876.8</v>
      </c>
      <c r="F3030" s="59">
        <v>42821</v>
      </c>
      <c r="G3030" s="15">
        <f t="shared" si="95"/>
        <v>4876.8</v>
      </c>
      <c r="H3030" s="15">
        <f t="shared" si="96"/>
        <v>0</v>
      </c>
      <c r="I3030" s="19"/>
    </row>
    <row r="3031" spans="1:9" ht="15.75" x14ac:dyDescent="0.25">
      <c r="A3031" s="51">
        <v>42821</v>
      </c>
      <c r="B3031" s="52" t="s">
        <v>10862</v>
      </c>
      <c r="C3031" s="18">
        <v>105809</v>
      </c>
      <c r="D3031" s="2" t="s">
        <v>231</v>
      </c>
      <c r="E3031" s="15">
        <v>30430.2</v>
      </c>
      <c r="F3031" s="59">
        <v>42822</v>
      </c>
      <c r="G3031" s="15">
        <f t="shared" si="95"/>
        <v>30430.2</v>
      </c>
      <c r="H3031" s="15">
        <f t="shared" si="96"/>
        <v>0</v>
      </c>
      <c r="I3031" s="19"/>
    </row>
    <row r="3032" spans="1:9" ht="15.75" x14ac:dyDescent="0.25">
      <c r="A3032" s="51">
        <v>42821</v>
      </c>
      <c r="B3032" s="52" t="s">
        <v>10863</v>
      </c>
      <c r="C3032" s="18">
        <v>105810</v>
      </c>
      <c r="D3032" s="2" t="s">
        <v>26</v>
      </c>
      <c r="E3032" s="15">
        <v>15166.8</v>
      </c>
      <c r="F3032" s="59">
        <v>42821</v>
      </c>
      <c r="G3032" s="15">
        <f t="shared" si="95"/>
        <v>15166.8</v>
      </c>
      <c r="H3032" s="15">
        <f t="shared" si="96"/>
        <v>0</v>
      </c>
      <c r="I3032" s="19"/>
    </row>
    <row r="3033" spans="1:9" ht="15.75" x14ac:dyDescent="0.25">
      <c r="A3033" s="51">
        <v>42821</v>
      </c>
      <c r="B3033" s="52" t="s">
        <v>10864</v>
      </c>
      <c r="C3033" s="18">
        <v>105811</v>
      </c>
      <c r="D3033" s="2" t="s">
        <v>55</v>
      </c>
      <c r="E3033" s="15">
        <v>642.6</v>
      </c>
      <c r="F3033" s="59">
        <v>42821</v>
      </c>
      <c r="G3033" s="15">
        <f t="shared" si="95"/>
        <v>642.6</v>
      </c>
      <c r="H3033" s="15">
        <f t="shared" si="96"/>
        <v>0</v>
      </c>
      <c r="I3033" s="19"/>
    </row>
    <row r="3034" spans="1:9" ht="15.75" x14ac:dyDescent="0.25">
      <c r="A3034" s="51">
        <v>42821</v>
      </c>
      <c r="B3034" s="52" t="s">
        <v>10865</v>
      </c>
      <c r="C3034" s="18">
        <v>105812</v>
      </c>
      <c r="D3034" s="2" t="s">
        <v>236</v>
      </c>
      <c r="E3034" s="15">
        <v>64685.760000000002</v>
      </c>
      <c r="F3034" s="59">
        <v>42824</v>
      </c>
      <c r="G3034" s="15">
        <f t="shared" si="95"/>
        <v>64685.760000000002</v>
      </c>
      <c r="H3034" s="15">
        <f t="shared" si="96"/>
        <v>0</v>
      </c>
      <c r="I3034" s="19"/>
    </row>
    <row r="3035" spans="1:9" ht="15.75" x14ac:dyDescent="0.25">
      <c r="A3035" s="51">
        <v>42821</v>
      </c>
      <c r="B3035" s="52" t="s">
        <v>10866</v>
      </c>
      <c r="C3035" s="18">
        <v>105813</v>
      </c>
      <c r="D3035" s="2" t="s">
        <v>428</v>
      </c>
      <c r="E3035" s="15">
        <v>1828.3</v>
      </c>
      <c r="G3035" s="15">
        <f t="shared" si="95"/>
        <v>1828.3</v>
      </c>
      <c r="H3035" s="15">
        <f t="shared" si="96"/>
        <v>0</v>
      </c>
      <c r="I3035" s="19"/>
    </row>
    <row r="3036" spans="1:9" ht="15.75" x14ac:dyDescent="0.25">
      <c r="A3036" s="51">
        <v>42821</v>
      </c>
      <c r="B3036" s="52" t="s">
        <v>10867</v>
      </c>
      <c r="C3036" s="18">
        <v>105814</v>
      </c>
      <c r="D3036" s="2" t="s">
        <v>236</v>
      </c>
      <c r="E3036" s="15">
        <v>31089.599999999999</v>
      </c>
      <c r="F3036" s="59">
        <v>42824</v>
      </c>
      <c r="G3036" s="15">
        <f t="shared" si="95"/>
        <v>31089.599999999999</v>
      </c>
      <c r="H3036" s="15">
        <f t="shared" si="96"/>
        <v>0</v>
      </c>
      <c r="I3036" s="19"/>
    </row>
    <row r="3037" spans="1:9" ht="15.75" x14ac:dyDescent="0.25">
      <c r="A3037" s="51">
        <v>42821</v>
      </c>
      <c r="B3037" s="52" t="s">
        <v>10868</v>
      </c>
      <c r="C3037" s="18">
        <v>105815</v>
      </c>
      <c r="D3037" s="2" t="s">
        <v>69</v>
      </c>
      <c r="E3037" s="15">
        <v>3327.5</v>
      </c>
      <c r="F3037" s="59">
        <v>42821</v>
      </c>
      <c r="G3037" s="15">
        <f t="shared" si="95"/>
        <v>3327.5</v>
      </c>
      <c r="H3037" s="15">
        <f t="shared" si="96"/>
        <v>0</v>
      </c>
      <c r="I3037" s="19"/>
    </row>
    <row r="3038" spans="1:9" ht="15.75" x14ac:dyDescent="0.25">
      <c r="A3038" s="51">
        <v>42821</v>
      </c>
      <c r="B3038" s="52" t="s">
        <v>10869</v>
      </c>
      <c r="C3038" s="18">
        <v>105816</v>
      </c>
      <c r="D3038" s="2" t="s">
        <v>21</v>
      </c>
      <c r="E3038" s="15">
        <v>39456</v>
      </c>
      <c r="F3038" s="59">
        <v>42832</v>
      </c>
      <c r="G3038" s="15">
        <f t="shared" si="95"/>
        <v>39456</v>
      </c>
      <c r="H3038" s="15">
        <f t="shared" si="96"/>
        <v>0</v>
      </c>
      <c r="I3038" s="19"/>
    </row>
    <row r="3039" spans="1:9" ht="15.75" x14ac:dyDescent="0.25">
      <c r="A3039" s="51">
        <v>42821</v>
      </c>
      <c r="B3039" s="52" t="s">
        <v>10870</v>
      </c>
      <c r="C3039" s="18">
        <v>105817</v>
      </c>
      <c r="D3039" s="13" t="s">
        <v>151</v>
      </c>
      <c r="E3039" s="14">
        <v>0</v>
      </c>
      <c r="F3039" s="102" t="s">
        <v>95</v>
      </c>
      <c r="G3039" s="14">
        <f t="shared" si="95"/>
        <v>0</v>
      </c>
      <c r="H3039" s="14">
        <f t="shared" si="96"/>
        <v>0</v>
      </c>
      <c r="I3039" s="19"/>
    </row>
    <row r="3040" spans="1:9" ht="15.75" x14ac:dyDescent="0.25">
      <c r="A3040" s="51">
        <v>42821</v>
      </c>
      <c r="B3040" s="52" t="s">
        <v>10871</v>
      </c>
      <c r="C3040" s="18">
        <v>105818</v>
      </c>
      <c r="D3040" s="13" t="s">
        <v>35</v>
      </c>
      <c r="E3040" s="14">
        <v>0</v>
      </c>
      <c r="F3040" s="102" t="s">
        <v>95</v>
      </c>
      <c r="G3040" s="14">
        <f t="shared" si="95"/>
        <v>0</v>
      </c>
      <c r="H3040" s="14">
        <f t="shared" si="96"/>
        <v>0</v>
      </c>
      <c r="I3040" s="19"/>
    </row>
    <row r="3041" spans="1:9" ht="15.75" x14ac:dyDescent="0.25">
      <c r="A3041" s="51">
        <v>42821</v>
      </c>
      <c r="B3041" s="52" t="s">
        <v>10872</v>
      </c>
      <c r="C3041" s="18">
        <v>105819</v>
      </c>
      <c r="D3041" s="13" t="s">
        <v>32</v>
      </c>
      <c r="E3041" s="14">
        <v>0</v>
      </c>
      <c r="F3041" s="102" t="s">
        <v>95</v>
      </c>
      <c r="G3041" s="14">
        <f t="shared" si="95"/>
        <v>0</v>
      </c>
      <c r="H3041" s="14">
        <f t="shared" si="96"/>
        <v>0</v>
      </c>
      <c r="I3041" s="19"/>
    </row>
    <row r="3042" spans="1:9" ht="15.75" x14ac:dyDescent="0.25">
      <c r="A3042" s="51">
        <v>42821</v>
      </c>
      <c r="B3042" s="52" t="s">
        <v>10873</v>
      </c>
      <c r="C3042" s="18">
        <v>105820</v>
      </c>
      <c r="D3042" s="13" t="s">
        <v>38</v>
      </c>
      <c r="E3042" s="14">
        <v>0</v>
      </c>
      <c r="F3042" s="102" t="s">
        <v>95</v>
      </c>
      <c r="G3042" s="14">
        <f t="shared" si="95"/>
        <v>0</v>
      </c>
      <c r="H3042" s="14">
        <f t="shared" si="96"/>
        <v>0</v>
      </c>
      <c r="I3042" s="19"/>
    </row>
    <row r="3043" spans="1:9" ht="15.75" x14ac:dyDescent="0.25">
      <c r="A3043" s="51">
        <v>42821</v>
      </c>
      <c r="B3043" s="52" t="s">
        <v>10874</v>
      </c>
      <c r="C3043" s="18">
        <v>105821</v>
      </c>
      <c r="D3043" s="2" t="s">
        <v>40</v>
      </c>
      <c r="E3043" s="15">
        <v>3178.8</v>
      </c>
      <c r="F3043" s="101">
        <v>42826</v>
      </c>
      <c r="G3043" s="23">
        <f>2500</f>
        <v>2500</v>
      </c>
      <c r="H3043" s="23">
        <f t="shared" si="96"/>
        <v>678.80000000000018</v>
      </c>
      <c r="I3043" s="19"/>
    </row>
    <row r="3044" spans="1:9" ht="15.75" x14ac:dyDescent="0.25">
      <c r="A3044" s="51">
        <v>42821</v>
      </c>
      <c r="B3044" s="52" t="s">
        <v>10875</v>
      </c>
      <c r="C3044" s="18">
        <v>105822</v>
      </c>
      <c r="D3044" s="2" t="s">
        <v>49</v>
      </c>
      <c r="E3044" s="15">
        <v>12936</v>
      </c>
      <c r="F3044" s="59">
        <v>42822</v>
      </c>
      <c r="G3044" s="15">
        <f t="shared" si="95"/>
        <v>12936</v>
      </c>
      <c r="H3044" s="15">
        <f t="shared" si="96"/>
        <v>0</v>
      </c>
      <c r="I3044" s="19"/>
    </row>
    <row r="3045" spans="1:9" ht="15.75" x14ac:dyDescent="0.25">
      <c r="A3045" s="51">
        <v>42821</v>
      </c>
      <c r="B3045" s="52" t="s">
        <v>10876</v>
      </c>
      <c r="C3045" s="18">
        <v>105823</v>
      </c>
      <c r="D3045" s="2" t="s">
        <v>151</v>
      </c>
      <c r="E3045" s="15">
        <v>19546.900000000001</v>
      </c>
      <c r="F3045" s="59">
        <v>42821</v>
      </c>
      <c r="G3045" s="15">
        <f t="shared" si="95"/>
        <v>19546.900000000001</v>
      </c>
      <c r="H3045" s="15">
        <f t="shared" si="96"/>
        <v>0</v>
      </c>
      <c r="I3045" s="19"/>
    </row>
    <row r="3046" spans="1:9" ht="15.75" x14ac:dyDescent="0.25">
      <c r="A3046" s="51">
        <v>42821</v>
      </c>
      <c r="B3046" s="52" t="s">
        <v>10877</v>
      </c>
      <c r="C3046" s="18">
        <v>105824</v>
      </c>
      <c r="D3046" s="2" t="s">
        <v>71</v>
      </c>
      <c r="E3046" s="15">
        <v>1770</v>
      </c>
      <c r="F3046" s="59">
        <v>42821</v>
      </c>
      <c r="G3046" s="15">
        <f t="shared" si="95"/>
        <v>1770</v>
      </c>
      <c r="H3046" s="15">
        <f t="shared" si="96"/>
        <v>0</v>
      </c>
      <c r="I3046" s="19"/>
    </row>
    <row r="3047" spans="1:9" ht="15.75" x14ac:dyDescent="0.25">
      <c r="A3047" s="51">
        <v>42821</v>
      </c>
      <c r="B3047" s="52" t="s">
        <v>10878</v>
      </c>
      <c r="C3047" s="18">
        <v>105825</v>
      </c>
      <c r="D3047" s="2" t="s">
        <v>302</v>
      </c>
      <c r="E3047" s="15">
        <v>8983.7999999999993</v>
      </c>
      <c r="F3047" s="59">
        <v>42822</v>
      </c>
      <c r="G3047" s="15">
        <f t="shared" si="95"/>
        <v>8983.7999999999993</v>
      </c>
      <c r="H3047" s="15">
        <f t="shared" si="96"/>
        <v>0</v>
      </c>
      <c r="I3047" s="19"/>
    </row>
    <row r="3048" spans="1:9" ht="15.75" x14ac:dyDescent="0.25">
      <c r="A3048" s="51">
        <v>42821</v>
      </c>
      <c r="B3048" s="52" t="s">
        <v>10879</v>
      </c>
      <c r="C3048" s="18">
        <v>105826</v>
      </c>
      <c r="D3048" s="2" t="s">
        <v>47</v>
      </c>
      <c r="E3048" s="15">
        <v>5534.5</v>
      </c>
      <c r="F3048" s="59">
        <v>42821</v>
      </c>
      <c r="G3048" s="15">
        <f t="shared" si="95"/>
        <v>5534.5</v>
      </c>
      <c r="H3048" s="15">
        <f t="shared" si="96"/>
        <v>0</v>
      </c>
      <c r="I3048" s="19"/>
    </row>
    <row r="3049" spans="1:9" ht="15.75" x14ac:dyDescent="0.25">
      <c r="A3049" s="51">
        <v>42821</v>
      </c>
      <c r="B3049" s="52" t="s">
        <v>10880</v>
      </c>
      <c r="C3049" s="18">
        <v>105827</v>
      </c>
      <c r="D3049" s="2" t="s">
        <v>28</v>
      </c>
      <c r="E3049" s="15">
        <v>8978.4</v>
      </c>
      <c r="F3049" s="59">
        <v>42821</v>
      </c>
      <c r="G3049" s="15">
        <f t="shared" si="95"/>
        <v>8978.4</v>
      </c>
      <c r="H3049" s="15">
        <f t="shared" si="96"/>
        <v>0</v>
      </c>
      <c r="I3049" s="19"/>
    </row>
    <row r="3050" spans="1:9" ht="15.75" x14ac:dyDescent="0.25">
      <c r="A3050" s="51">
        <v>42821</v>
      </c>
      <c r="B3050" s="52" t="s">
        <v>10881</v>
      </c>
      <c r="C3050" s="18">
        <v>105828</v>
      </c>
      <c r="D3050" s="2" t="s">
        <v>184</v>
      </c>
      <c r="E3050" s="15">
        <v>2885.4</v>
      </c>
      <c r="F3050" s="59">
        <v>42822</v>
      </c>
      <c r="G3050" s="15">
        <f t="shared" si="95"/>
        <v>2885.4</v>
      </c>
      <c r="H3050" s="15">
        <f t="shared" si="96"/>
        <v>0</v>
      </c>
      <c r="I3050" s="19"/>
    </row>
    <row r="3051" spans="1:9" ht="15.75" x14ac:dyDescent="0.25">
      <c r="A3051" s="51">
        <v>42821</v>
      </c>
      <c r="B3051" s="52" t="s">
        <v>10882</v>
      </c>
      <c r="C3051" s="18">
        <v>105829</v>
      </c>
      <c r="D3051" s="2" t="s">
        <v>61</v>
      </c>
      <c r="E3051" s="15">
        <v>6755.1</v>
      </c>
      <c r="F3051" s="59">
        <v>42821</v>
      </c>
      <c r="G3051" s="15">
        <f t="shared" si="95"/>
        <v>6755.1</v>
      </c>
      <c r="H3051" s="15">
        <f t="shared" si="96"/>
        <v>0</v>
      </c>
      <c r="I3051" s="19"/>
    </row>
    <row r="3052" spans="1:9" ht="15.75" x14ac:dyDescent="0.25">
      <c r="A3052" s="51">
        <v>42821</v>
      </c>
      <c r="B3052" s="52" t="s">
        <v>10883</v>
      </c>
      <c r="C3052" s="18">
        <v>105830</v>
      </c>
      <c r="D3052" s="2" t="s">
        <v>483</v>
      </c>
      <c r="E3052" s="15">
        <v>6504.3</v>
      </c>
      <c r="F3052" s="59">
        <v>42821</v>
      </c>
      <c r="G3052" s="15">
        <f t="shared" si="95"/>
        <v>6504.3</v>
      </c>
      <c r="H3052" s="15">
        <f t="shared" si="96"/>
        <v>0</v>
      </c>
      <c r="I3052" s="19"/>
    </row>
    <row r="3053" spans="1:9" ht="15.75" x14ac:dyDescent="0.25">
      <c r="A3053" s="51">
        <v>42821</v>
      </c>
      <c r="B3053" s="52" t="s">
        <v>10884</v>
      </c>
      <c r="C3053" s="18">
        <v>105831</v>
      </c>
      <c r="D3053" s="2" t="s">
        <v>67</v>
      </c>
      <c r="E3053" s="15">
        <v>6098.4</v>
      </c>
      <c r="F3053" s="59">
        <v>42822</v>
      </c>
      <c r="G3053" s="15">
        <f t="shared" si="95"/>
        <v>6098.4</v>
      </c>
      <c r="H3053" s="15">
        <f t="shared" si="96"/>
        <v>0</v>
      </c>
      <c r="I3053" s="19"/>
    </row>
    <row r="3054" spans="1:9" ht="15.75" x14ac:dyDescent="0.25">
      <c r="A3054" s="51">
        <v>42821</v>
      </c>
      <c r="B3054" s="52" t="s">
        <v>10885</v>
      </c>
      <c r="C3054" s="18">
        <v>105832</v>
      </c>
      <c r="D3054" s="2" t="s">
        <v>105</v>
      </c>
      <c r="E3054" s="15">
        <v>2721.6</v>
      </c>
      <c r="F3054" s="59">
        <v>42822</v>
      </c>
      <c r="G3054" s="15">
        <f t="shared" si="95"/>
        <v>2721.6</v>
      </c>
      <c r="H3054" s="15">
        <f t="shared" si="96"/>
        <v>0</v>
      </c>
      <c r="I3054" s="19"/>
    </row>
    <row r="3055" spans="1:9" ht="15.75" x14ac:dyDescent="0.25">
      <c r="A3055" s="51">
        <v>42821</v>
      </c>
      <c r="B3055" s="52" t="s">
        <v>10886</v>
      </c>
      <c r="C3055" s="18">
        <v>105833</v>
      </c>
      <c r="D3055" s="2" t="s">
        <v>81</v>
      </c>
      <c r="E3055" s="15">
        <v>2902.5</v>
      </c>
      <c r="F3055" s="59">
        <v>42821</v>
      </c>
      <c r="G3055" s="15">
        <f t="shared" si="95"/>
        <v>2902.5</v>
      </c>
      <c r="H3055" s="15">
        <f t="shared" si="96"/>
        <v>0</v>
      </c>
      <c r="I3055" s="19"/>
    </row>
    <row r="3056" spans="1:9" ht="15.75" x14ac:dyDescent="0.25">
      <c r="A3056" s="51">
        <v>42821</v>
      </c>
      <c r="B3056" s="52" t="s">
        <v>10887</v>
      </c>
      <c r="C3056" s="18">
        <v>105834</v>
      </c>
      <c r="D3056" s="2" t="s">
        <v>45</v>
      </c>
      <c r="E3056" s="15">
        <v>1239.7</v>
      </c>
      <c r="F3056" s="59">
        <v>42821</v>
      </c>
      <c r="G3056" s="15">
        <f t="shared" si="95"/>
        <v>1239.7</v>
      </c>
      <c r="H3056" s="15">
        <f t="shared" si="96"/>
        <v>0</v>
      </c>
      <c r="I3056" s="19"/>
    </row>
    <row r="3057" spans="1:9" ht="15.75" x14ac:dyDescent="0.25">
      <c r="A3057" s="51">
        <v>42821</v>
      </c>
      <c r="B3057" s="52" t="s">
        <v>10888</v>
      </c>
      <c r="C3057" s="18">
        <v>105835</v>
      </c>
      <c r="D3057" s="2" t="s">
        <v>85</v>
      </c>
      <c r="E3057" s="15">
        <v>525</v>
      </c>
      <c r="F3057" s="59">
        <v>42821</v>
      </c>
      <c r="G3057" s="15">
        <f t="shared" si="95"/>
        <v>525</v>
      </c>
      <c r="H3057" s="15">
        <f t="shared" si="96"/>
        <v>0</v>
      </c>
      <c r="I3057" s="19"/>
    </row>
    <row r="3058" spans="1:9" ht="15.75" x14ac:dyDescent="0.25">
      <c r="A3058" s="51">
        <v>42821</v>
      </c>
      <c r="B3058" s="52" t="s">
        <v>10889</v>
      </c>
      <c r="C3058" s="18">
        <v>105836</v>
      </c>
      <c r="D3058" s="2" t="s">
        <v>414</v>
      </c>
      <c r="E3058" s="15">
        <v>1400</v>
      </c>
      <c r="F3058" s="59">
        <v>42821</v>
      </c>
      <c r="G3058" s="15">
        <f t="shared" si="95"/>
        <v>1400</v>
      </c>
      <c r="H3058" s="15">
        <f t="shared" si="96"/>
        <v>0</v>
      </c>
      <c r="I3058" s="19"/>
    </row>
    <row r="3059" spans="1:9" ht="15.75" x14ac:dyDescent="0.25">
      <c r="A3059" s="51">
        <v>42821</v>
      </c>
      <c r="B3059" s="52" t="s">
        <v>10890</v>
      </c>
      <c r="C3059" s="18">
        <v>105837</v>
      </c>
      <c r="D3059" s="2" t="s">
        <v>57</v>
      </c>
      <c r="E3059" s="15">
        <v>598</v>
      </c>
      <c r="F3059" s="59">
        <v>42821</v>
      </c>
      <c r="G3059" s="15">
        <f t="shared" si="95"/>
        <v>598</v>
      </c>
      <c r="H3059" s="15">
        <f t="shared" si="96"/>
        <v>0</v>
      </c>
      <c r="I3059" s="19"/>
    </row>
    <row r="3060" spans="1:9" ht="15.75" x14ac:dyDescent="0.25">
      <c r="A3060" s="51">
        <v>42821</v>
      </c>
      <c r="B3060" s="52" t="s">
        <v>10891</v>
      </c>
      <c r="C3060" s="18">
        <v>105838</v>
      </c>
      <c r="D3060" s="2" t="s">
        <v>10</v>
      </c>
      <c r="E3060" s="15">
        <v>8680</v>
      </c>
      <c r="F3060" s="59">
        <v>42824</v>
      </c>
      <c r="G3060" s="15">
        <f t="shared" si="95"/>
        <v>8680</v>
      </c>
      <c r="H3060" s="15">
        <f t="shared" si="96"/>
        <v>0</v>
      </c>
      <c r="I3060" s="19"/>
    </row>
    <row r="3061" spans="1:9" ht="15.75" x14ac:dyDescent="0.25">
      <c r="A3061" s="51">
        <v>42821</v>
      </c>
      <c r="B3061" s="52" t="s">
        <v>10892</v>
      </c>
      <c r="C3061" s="18">
        <v>105839</v>
      </c>
      <c r="D3061" s="2" t="s">
        <v>2986</v>
      </c>
      <c r="E3061" s="15">
        <v>3209.5</v>
      </c>
      <c r="F3061" s="59">
        <v>42821</v>
      </c>
      <c r="G3061" s="15">
        <f t="shared" si="95"/>
        <v>3209.5</v>
      </c>
      <c r="H3061" s="15">
        <f t="shared" si="96"/>
        <v>0</v>
      </c>
      <c r="I3061" s="19"/>
    </row>
    <row r="3062" spans="1:9" ht="15.75" x14ac:dyDescent="0.25">
      <c r="A3062" s="51">
        <v>42821</v>
      </c>
      <c r="B3062" s="52" t="s">
        <v>10893</v>
      </c>
      <c r="C3062" s="18">
        <v>105840</v>
      </c>
      <c r="D3062" s="2" t="s">
        <v>1141</v>
      </c>
      <c r="E3062" s="15">
        <v>598</v>
      </c>
      <c r="F3062" s="59">
        <v>42821</v>
      </c>
      <c r="G3062" s="15">
        <f t="shared" si="95"/>
        <v>598</v>
      </c>
      <c r="H3062" s="15">
        <f t="shared" si="96"/>
        <v>0</v>
      </c>
      <c r="I3062" s="19"/>
    </row>
    <row r="3063" spans="1:9" ht="15.75" x14ac:dyDescent="0.25">
      <c r="A3063" s="51">
        <v>42821</v>
      </c>
      <c r="B3063" s="52" t="s">
        <v>10894</v>
      </c>
      <c r="C3063" s="18">
        <v>105841</v>
      </c>
      <c r="D3063" s="2" t="s">
        <v>289</v>
      </c>
      <c r="E3063" s="15">
        <v>87604.800000000003</v>
      </c>
      <c r="F3063" s="59">
        <v>42838</v>
      </c>
      <c r="G3063" s="15">
        <f t="shared" si="95"/>
        <v>87604.800000000003</v>
      </c>
      <c r="H3063" s="15">
        <f t="shared" si="96"/>
        <v>0</v>
      </c>
      <c r="I3063" s="19"/>
    </row>
    <row r="3064" spans="1:9" ht="15.75" x14ac:dyDescent="0.25">
      <c r="A3064" s="51">
        <v>42821</v>
      </c>
      <c r="B3064" s="52" t="s">
        <v>10895</v>
      </c>
      <c r="C3064" s="18">
        <v>105842</v>
      </c>
      <c r="D3064" s="2" t="s">
        <v>103</v>
      </c>
      <c r="E3064" s="15">
        <v>2770.8</v>
      </c>
      <c r="F3064" s="59">
        <v>42822</v>
      </c>
      <c r="G3064" s="15">
        <f t="shared" si="95"/>
        <v>2770.8</v>
      </c>
      <c r="H3064" s="15">
        <f t="shared" si="96"/>
        <v>0</v>
      </c>
      <c r="I3064" s="19"/>
    </row>
    <row r="3065" spans="1:9" ht="15.75" x14ac:dyDescent="0.25">
      <c r="A3065" s="51">
        <v>42821</v>
      </c>
      <c r="B3065" s="52" t="s">
        <v>10896</v>
      </c>
      <c r="C3065" s="18">
        <v>105843</v>
      </c>
      <c r="D3065" s="2" t="s">
        <v>105</v>
      </c>
      <c r="E3065" s="15">
        <v>271.60000000000002</v>
      </c>
      <c r="F3065" s="59">
        <v>42822</v>
      </c>
      <c r="G3065" s="15">
        <f t="shared" si="95"/>
        <v>271.60000000000002</v>
      </c>
      <c r="H3065" s="15">
        <f t="shared" si="96"/>
        <v>0</v>
      </c>
      <c r="I3065" s="19"/>
    </row>
    <row r="3066" spans="1:9" ht="15.75" x14ac:dyDescent="0.25">
      <c r="A3066" s="51">
        <v>42821</v>
      </c>
      <c r="B3066" s="52" t="s">
        <v>10897</v>
      </c>
      <c r="C3066" s="18">
        <v>105844</v>
      </c>
      <c r="D3066" s="2" t="s">
        <v>422</v>
      </c>
      <c r="E3066" s="15">
        <v>1654</v>
      </c>
      <c r="F3066" s="59">
        <v>42821</v>
      </c>
      <c r="G3066" s="15">
        <f t="shared" si="95"/>
        <v>1654</v>
      </c>
      <c r="H3066" s="15">
        <f t="shared" si="96"/>
        <v>0</v>
      </c>
      <c r="I3066" s="19"/>
    </row>
    <row r="3067" spans="1:9" ht="15.75" x14ac:dyDescent="0.25">
      <c r="A3067" s="51">
        <v>42821</v>
      </c>
      <c r="B3067" s="52" t="s">
        <v>10898</v>
      </c>
      <c r="C3067" s="18">
        <v>105845</v>
      </c>
      <c r="D3067" s="2" t="s">
        <v>92</v>
      </c>
      <c r="E3067" s="15">
        <v>2609.4</v>
      </c>
      <c r="F3067" s="59">
        <v>42821</v>
      </c>
      <c r="G3067" s="15">
        <f t="shared" si="95"/>
        <v>2609.4</v>
      </c>
      <c r="H3067" s="15">
        <f t="shared" si="96"/>
        <v>0</v>
      </c>
      <c r="I3067" s="19"/>
    </row>
    <row r="3068" spans="1:9" ht="15.75" x14ac:dyDescent="0.25">
      <c r="A3068" s="51">
        <v>42821</v>
      </c>
      <c r="B3068" s="52" t="s">
        <v>10899</v>
      </c>
      <c r="C3068" s="18">
        <v>105846</v>
      </c>
      <c r="D3068" s="2" t="s">
        <v>101</v>
      </c>
      <c r="E3068" s="15">
        <v>924.6</v>
      </c>
      <c r="F3068" s="59">
        <v>42821</v>
      </c>
      <c r="G3068" s="15">
        <f t="shared" si="95"/>
        <v>924.6</v>
      </c>
      <c r="H3068" s="15">
        <f t="shared" si="96"/>
        <v>0</v>
      </c>
      <c r="I3068" s="19"/>
    </row>
    <row r="3069" spans="1:9" ht="15.75" x14ac:dyDescent="0.25">
      <c r="A3069" s="51">
        <v>42821</v>
      </c>
      <c r="B3069" s="52" t="s">
        <v>10900</v>
      </c>
      <c r="C3069" s="18">
        <v>105847</v>
      </c>
      <c r="D3069" s="2" t="s">
        <v>79</v>
      </c>
      <c r="E3069" s="15">
        <v>1156.8</v>
      </c>
      <c r="F3069" s="59">
        <v>42821</v>
      </c>
      <c r="G3069" s="15">
        <f t="shared" si="95"/>
        <v>1156.8</v>
      </c>
      <c r="H3069" s="15">
        <f t="shared" si="96"/>
        <v>0</v>
      </c>
      <c r="I3069" s="19"/>
    </row>
    <row r="3070" spans="1:9" ht="15.75" x14ac:dyDescent="0.25">
      <c r="A3070" s="51">
        <v>42821</v>
      </c>
      <c r="B3070" s="52" t="s">
        <v>10901</v>
      </c>
      <c r="C3070" s="18">
        <v>105848</v>
      </c>
      <c r="D3070" s="2" t="s">
        <v>240</v>
      </c>
      <c r="E3070" s="15">
        <v>2739</v>
      </c>
      <c r="F3070" s="59">
        <v>42821</v>
      </c>
      <c r="G3070" s="15">
        <f t="shared" si="95"/>
        <v>2739</v>
      </c>
      <c r="H3070" s="15">
        <f t="shared" si="96"/>
        <v>0</v>
      </c>
      <c r="I3070" s="19"/>
    </row>
    <row r="3071" spans="1:9" ht="15.75" x14ac:dyDescent="0.25">
      <c r="A3071" s="51">
        <v>42821</v>
      </c>
      <c r="B3071" s="52" t="s">
        <v>10902</v>
      </c>
      <c r="C3071" s="18">
        <v>105849</v>
      </c>
      <c r="D3071" s="2" t="s">
        <v>3425</v>
      </c>
      <c r="E3071" s="15">
        <v>530</v>
      </c>
      <c r="F3071" s="59">
        <v>42821</v>
      </c>
      <c r="G3071" s="15">
        <f t="shared" si="95"/>
        <v>530</v>
      </c>
      <c r="H3071" s="15">
        <f t="shared" si="96"/>
        <v>0</v>
      </c>
      <c r="I3071" s="19"/>
    </row>
    <row r="3072" spans="1:9" ht="15.75" x14ac:dyDescent="0.25">
      <c r="A3072" s="51">
        <v>42821</v>
      </c>
      <c r="B3072" s="52" t="s">
        <v>10903</v>
      </c>
      <c r="C3072" s="18">
        <v>105850</v>
      </c>
      <c r="D3072" s="2" t="s">
        <v>99</v>
      </c>
      <c r="E3072" s="15">
        <v>1610</v>
      </c>
      <c r="F3072" s="59">
        <v>42821</v>
      </c>
      <c r="G3072" s="15">
        <f t="shared" si="95"/>
        <v>1610</v>
      </c>
      <c r="H3072" s="15">
        <f t="shared" si="96"/>
        <v>0</v>
      </c>
      <c r="I3072" s="19"/>
    </row>
    <row r="3073" spans="1:9" ht="15.75" x14ac:dyDescent="0.25">
      <c r="A3073" s="51">
        <v>42821</v>
      </c>
      <c r="B3073" s="52" t="s">
        <v>10904</v>
      </c>
      <c r="C3073" s="18">
        <v>105851</v>
      </c>
      <c r="D3073" s="2" t="s">
        <v>268</v>
      </c>
      <c r="E3073" s="15">
        <v>14896.2</v>
      </c>
      <c r="F3073" s="59">
        <v>42823</v>
      </c>
      <c r="G3073" s="15">
        <f t="shared" si="95"/>
        <v>14896.2</v>
      </c>
      <c r="H3073" s="15">
        <f t="shared" si="96"/>
        <v>0</v>
      </c>
      <c r="I3073" s="19"/>
    </row>
    <row r="3074" spans="1:9" ht="15.75" x14ac:dyDescent="0.25">
      <c r="A3074" s="51">
        <v>42821</v>
      </c>
      <c r="B3074" s="52" t="s">
        <v>10905</v>
      </c>
      <c r="C3074" s="18">
        <v>105852</v>
      </c>
      <c r="D3074" s="2" t="s">
        <v>281</v>
      </c>
      <c r="E3074" s="15">
        <v>1726.8</v>
      </c>
      <c r="F3074" s="59">
        <v>42821</v>
      </c>
      <c r="G3074" s="15">
        <f t="shared" si="95"/>
        <v>1726.8</v>
      </c>
      <c r="H3074" s="15">
        <f t="shared" si="96"/>
        <v>0</v>
      </c>
      <c r="I3074" s="19"/>
    </row>
    <row r="3075" spans="1:9" ht="15.75" x14ac:dyDescent="0.25">
      <c r="A3075" s="51">
        <v>42821</v>
      </c>
      <c r="B3075" s="52" t="s">
        <v>10906</v>
      </c>
      <c r="C3075" s="18">
        <v>105853</v>
      </c>
      <c r="D3075" s="2" t="s">
        <v>405</v>
      </c>
      <c r="E3075" s="15">
        <v>4956</v>
      </c>
      <c r="F3075" s="59">
        <v>42821</v>
      </c>
      <c r="G3075" s="15">
        <f t="shared" si="95"/>
        <v>4956</v>
      </c>
      <c r="H3075" s="15">
        <f t="shared" si="96"/>
        <v>0</v>
      </c>
      <c r="I3075" s="19"/>
    </row>
    <row r="3076" spans="1:9" ht="15.75" x14ac:dyDescent="0.25">
      <c r="A3076" s="51">
        <v>42821</v>
      </c>
      <c r="B3076" s="52" t="s">
        <v>10907</v>
      </c>
      <c r="C3076" s="18">
        <v>105854</v>
      </c>
      <c r="D3076" s="2" t="s">
        <v>432</v>
      </c>
      <c r="E3076" s="15">
        <v>14094.3</v>
      </c>
      <c r="F3076" s="59">
        <v>42823</v>
      </c>
      <c r="G3076" s="15">
        <f t="shared" ref="G3076:G3139" si="97">E3076</f>
        <v>14094.3</v>
      </c>
      <c r="H3076" s="15">
        <f t="shared" ref="H3076:H3139" si="98">E3076-G3076</f>
        <v>0</v>
      </c>
      <c r="I3076" s="19"/>
    </row>
    <row r="3077" spans="1:9" ht="15.75" x14ac:dyDescent="0.25">
      <c r="A3077" s="51">
        <v>42821</v>
      </c>
      <c r="B3077" s="52" t="s">
        <v>10908</v>
      </c>
      <c r="C3077" s="18">
        <v>105855</v>
      </c>
      <c r="D3077" s="2" t="s">
        <v>531</v>
      </c>
      <c r="E3077" s="15">
        <v>31800.2</v>
      </c>
      <c r="F3077" s="59">
        <v>42822</v>
      </c>
      <c r="G3077" s="15">
        <f t="shared" si="97"/>
        <v>31800.2</v>
      </c>
      <c r="H3077" s="15">
        <f t="shared" si="98"/>
        <v>0</v>
      </c>
      <c r="I3077" s="19"/>
    </row>
    <row r="3078" spans="1:9" ht="15.75" x14ac:dyDescent="0.25">
      <c r="A3078" s="51">
        <v>42821</v>
      </c>
      <c r="B3078" s="52" t="s">
        <v>10909</v>
      </c>
      <c r="C3078" s="18">
        <v>105856</v>
      </c>
      <c r="D3078" s="2" t="s">
        <v>109</v>
      </c>
      <c r="E3078" s="15">
        <v>3763.2</v>
      </c>
      <c r="F3078" s="59">
        <v>42821</v>
      </c>
      <c r="G3078" s="15">
        <f t="shared" si="97"/>
        <v>3763.2</v>
      </c>
      <c r="H3078" s="15">
        <f t="shared" si="98"/>
        <v>0</v>
      </c>
      <c r="I3078" s="19"/>
    </row>
    <row r="3079" spans="1:9" ht="15.75" x14ac:dyDescent="0.25">
      <c r="A3079" s="51">
        <v>42821</v>
      </c>
      <c r="B3079" s="52" t="s">
        <v>10910</v>
      </c>
      <c r="C3079" s="18">
        <v>105857</v>
      </c>
      <c r="D3079" s="2" t="s">
        <v>83</v>
      </c>
      <c r="E3079" s="15">
        <v>3144</v>
      </c>
      <c r="F3079" s="59">
        <v>42821</v>
      </c>
      <c r="G3079" s="15">
        <f t="shared" si="97"/>
        <v>3144</v>
      </c>
      <c r="H3079" s="15">
        <f t="shared" si="98"/>
        <v>0</v>
      </c>
      <c r="I3079" s="19"/>
    </row>
    <row r="3080" spans="1:9" ht="15.75" x14ac:dyDescent="0.25">
      <c r="A3080" s="51">
        <v>42821</v>
      </c>
      <c r="B3080" s="52" t="s">
        <v>10911</v>
      </c>
      <c r="C3080" s="18">
        <v>105858</v>
      </c>
      <c r="D3080" s="2" t="s">
        <v>291</v>
      </c>
      <c r="E3080" s="15">
        <v>2112</v>
      </c>
      <c r="F3080" s="59">
        <v>42821</v>
      </c>
      <c r="G3080" s="15">
        <f t="shared" si="97"/>
        <v>2112</v>
      </c>
      <c r="H3080" s="15">
        <f t="shared" si="98"/>
        <v>0</v>
      </c>
      <c r="I3080" s="19"/>
    </row>
    <row r="3081" spans="1:9" ht="15.75" x14ac:dyDescent="0.25">
      <c r="A3081" s="51">
        <v>42821</v>
      </c>
      <c r="B3081" s="52" t="s">
        <v>10912</v>
      </c>
      <c r="C3081" s="18">
        <v>105859</v>
      </c>
      <c r="D3081" s="2" t="s">
        <v>1259</v>
      </c>
      <c r="E3081" s="15">
        <v>1596.2</v>
      </c>
      <c r="F3081" s="59">
        <v>42821</v>
      </c>
      <c r="G3081" s="15">
        <f t="shared" si="97"/>
        <v>1596.2</v>
      </c>
      <c r="H3081" s="15">
        <f t="shared" si="98"/>
        <v>0</v>
      </c>
      <c r="I3081" s="19"/>
    </row>
    <row r="3082" spans="1:9" ht="15.75" x14ac:dyDescent="0.25">
      <c r="A3082" s="51">
        <v>42821</v>
      </c>
      <c r="B3082" s="52" t="s">
        <v>10913</v>
      </c>
      <c r="C3082" s="18">
        <v>105860</v>
      </c>
      <c r="D3082" s="2" t="s">
        <v>88</v>
      </c>
      <c r="E3082" s="15">
        <v>5814.4</v>
      </c>
      <c r="F3082" s="59">
        <v>42821</v>
      </c>
      <c r="G3082" s="15">
        <f t="shared" si="97"/>
        <v>5814.4</v>
      </c>
      <c r="H3082" s="15">
        <f t="shared" si="98"/>
        <v>0</v>
      </c>
      <c r="I3082" s="19"/>
    </row>
    <row r="3083" spans="1:9" ht="15.75" x14ac:dyDescent="0.25">
      <c r="A3083" s="51">
        <v>42821</v>
      </c>
      <c r="B3083" s="52" t="s">
        <v>10914</v>
      </c>
      <c r="C3083" s="18">
        <v>105861</v>
      </c>
      <c r="D3083" s="2" t="s">
        <v>168</v>
      </c>
      <c r="E3083" s="15">
        <v>3966.8</v>
      </c>
      <c r="F3083" s="59">
        <v>42828</v>
      </c>
      <c r="G3083" s="15">
        <f t="shared" si="97"/>
        <v>3966.8</v>
      </c>
      <c r="H3083" s="15">
        <f t="shared" si="98"/>
        <v>0</v>
      </c>
      <c r="I3083" s="19"/>
    </row>
    <row r="3084" spans="1:9" ht="15.75" x14ac:dyDescent="0.25">
      <c r="A3084" s="51">
        <v>42821</v>
      </c>
      <c r="B3084" s="52" t="s">
        <v>10915</v>
      </c>
      <c r="C3084" s="18">
        <v>105862</v>
      </c>
      <c r="D3084" s="2" t="s">
        <v>149</v>
      </c>
      <c r="E3084" s="15">
        <v>6569.9</v>
      </c>
      <c r="F3084" s="59">
        <v>42821</v>
      </c>
      <c r="G3084" s="15">
        <f t="shared" si="97"/>
        <v>6569.9</v>
      </c>
      <c r="H3084" s="15">
        <f t="shared" si="98"/>
        <v>0</v>
      </c>
      <c r="I3084" s="19"/>
    </row>
    <row r="3085" spans="1:9" ht="15.75" x14ac:dyDescent="0.25">
      <c r="A3085" s="51">
        <v>42821</v>
      </c>
      <c r="B3085" s="52" t="s">
        <v>10916</v>
      </c>
      <c r="C3085" s="18">
        <v>105863</v>
      </c>
      <c r="D3085" s="2" t="s">
        <v>405</v>
      </c>
      <c r="E3085" s="15">
        <v>2765</v>
      </c>
      <c r="F3085" s="59">
        <v>42821</v>
      </c>
      <c r="G3085" s="15">
        <f t="shared" si="97"/>
        <v>2765</v>
      </c>
      <c r="H3085" s="15">
        <f t="shared" si="98"/>
        <v>0</v>
      </c>
      <c r="I3085" s="19"/>
    </row>
    <row r="3086" spans="1:9" ht="15.75" x14ac:dyDescent="0.25">
      <c r="A3086" s="51">
        <v>42821</v>
      </c>
      <c r="B3086" s="52" t="s">
        <v>10917</v>
      </c>
      <c r="C3086" s="18">
        <v>105864</v>
      </c>
      <c r="D3086" s="2" t="s">
        <v>876</v>
      </c>
      <c r="E3086" s="15">
        <v>1716.8</v>
      </c>
      <c r="F3086" s="59">
        <v>42825</v>
      </c>
      <c r="G3086" s="15">
        <f t="shared" si="97"/>
        <v>1716.8</v>
      </c>
      <c r="H3086" s="15">
        <f t="shared" si="98"/>
        <v>0</v>
      </c>
      <c r="I3086" s="19"/>
    </row>
    <row r="3087" spans="1:9" ht="15.75" x14ac:dyDescent="0.25">
      <c r="A3087" s="51">
        <v>42821</v>
      </c>
      <c r="B3087" s="52" t="s">
        <v>10918</v>
      </c>
      <c r="C3087" s="18">
        <v>105865</v>
      </c>
      <c r="D3087" s="2" t="s">
        <v>30</v>
      </c>
      <c r="E3087" s="15">
        <v>7321.45</v>
      </c>
      <c r="F3087" s="59">
        <v>42823</v>
      </c>
      <c r="G3087" s="15">
        <f t="shared" si="97"/>
        <v>7321.45</v>
      </c>
      <c r="H3087" s="15">
        <f t="shared" si="98"/>
        <v>0</v>
      </c>
      <c r="I3087" s="19"/>
    </row>
    <row r="3088" spans="1:9" ht="15.75" x14ac:dyDescent="0.25">
      <c r="A3088" s="51">
        <v>42821</v>
      </c>
      <c r="B3088" s="52" t="s">
        <v>10919</v>
      </c>
      <c r="C3088" s="18">
        <v>105866</v>
      </c>
      <c r="D3088" s="2" t="s">
        <v>270</v>
      </c>
      <c r="E3088" s="15">
        <v>3101.2</v>
      </c>
      <c r="F3088" s="64" t="s">
        <v>11504</v>
      </c>
      <c r="G3088" s="20">
        <f>1600+1501.2</f>
        <v>3101.2</v>
      </c>
      <c r="H3088" s="20">
        <f t="shared" si="98"/>
        <v>0</v>
      </c>
      <c r="I3088" s="19"/>
    </row>
    <row r="3089" spans="1:9" ht="15.75" x14ac:dyDescent="0.25">
      <c r="A3089" s="51">
        <v>42821</v>
      </c>
      <c r="B3089" s="52" t="s">
        <v>10920</v>
      </c>
      <c r="C3089" s="18">
        <v>105867</v>
      </c>
      <c r="D3089" s="2" t="s">
        <v>272</v>
      </c>
      <c r="E3089" s="15">
        <v>5313</v>
      </c>
      <c r="F3089" s="59">
        <v>42823</v>
      </c>
      <c r="G3089" s="15">
        <f t="shared" si="97"/>
        <v>5313</v>
      </c>
      <c r="H3089" s="15">
        <f t="shared" si="98"/>
        <v>0</v>
      </c>
      <c r="I3089" s="19"/>
    </row>
    <row r="3090" spans="1:9" ht="15.75" x14ac:dyDescent="0.25">
      <c r="A3090" s="51">
        <v>42821</v>
      </c>
      <c r="B3090" s="52" t="s">
        <v>10921</v>
      </c>
      <c r="C3090" s="18">
        <v>105868</v>
      </c>
      <c r="D3090" s="2" t="s">
        <v>133</v>
      </c>
      <c r="E3090" s="15">
        <v>13497.5</v>
      </c>
      <c r="F3090" s="59">
        <v>42828</v>
      </c>
      <c r="G3090" s="15">
        <f t="shared" si="97"/>
        <v>13497.5</v>
      </c>
      <c r="H3090" s="15">
        <f t="shared" si="98"/>
        <v>0</v>
      </c>
      <c r="I3090" s="19"/>
    </row>
    <row r="3091" spans="1:9" ht="15.75" x14ac:dyDescent="0.25">
      <c r="A3091" s="51">
        <v>42821</v>
      </c>
      <c r="B3091" s="52" t="s">
        <v>10922</v>
      </c>
      <c r="C3091" s="18">
        <v>105869</v>
      </c>
      <c r="D3091" s="13" t="s">
        <v>122</v>
      </c>
      <c r="E3091" s="14">
        <v>0</v>
      </c>
      <c r="F3091" s="102" t="s">
        <v>95</v>
      </c>
      <c r="G3091" s="14">
        <f t="shared" si="97"/>
        <v>0</v>
      </c>
      <c r="H3091" s="14">
        <f t="shared" si="98"/>
        <v>0</v>
      </c>
      <c r="I3091" s="19"/>
    </row>
    <row r="3092" spans="1:9" ht="15.75" x14ac:dyDescent="0.25">
      <c r="A3092" s="51">
        <v>42821</v>
      </c>
      <c r="B3092" s="52" t="s">
        <v>10923</v>
      </c>
      <c r="C3092" s="18">
        <v>105870</v>
      </c>
      <c r="D3092" s="2" t="s">
        <v>133</v>
      </c>
      <c r="E3092" s="15">
        <v>40</v>
      </c>
      <c r="F3092" s="59">
        <v>42821</v>
      </c>
      <c r="G3092" s="15">
        <f t="shared" si="97"/>
        <v>40</v>
      </c>
      <c r="H3092" s="15">
        <f t="shared" si="98"/>
        <v>0</v>
      </c>
      <c r="I3092" s="19"/>
    </row>
    <row r="3093" spans="1:9" ht="15.75" x14ac:dyDescent="0.25">
      <c r="A3093" s="51">
        <v>42821</v>
      </c>
      <c r="B3093" s="52" t="s">
        <v>10924</v>
      </c>
      <c r="C3093" s="18">
        <v>105871</v>
      </c>
      <c r="D3093" s="13" t="s">
        <v>30</v>
      </c>
      <c r="E3093" s="14">
        <v>0</v>
      </c>
      <c r="F3093" s="102" t="s">
        <v>95</v>
      </c>
      <c r="G3093" s="14">
        <f t="shared" si="97"/>
        <v>0</v>
      </c>
      <c r="H3093" s="14">
        <f t="shared" si="98"/>
        <v>0</v>
      </c>
      <c r="I3093" s="19"/>
    </row>
    <row r="3094" spans="1:9" ht="15.75" x14ac:dyDescent="0.25">
      <c r="A3094" s="51">
        <v>42821</v>
      </c>
      <c r="B3094" s="52" t="s">
        <v>10925</v>
      </c>
      <c r="C3094" s="18">
        <v>105872</v>
      </c>
      <c r="D3094" s="2" t="s">
        <v>10</v>
      </c>
      <c r="E3094" s="15">
        <v>223159.4</v>
      </c>
      <c r="F3094" s="59">
        <v>42824</v>
      </c>
      <c r="G3094" s="15">
        <f t="shared" si="97"/>
        <v>223159.4</v>
      </c>
      <c r="H3094" s="15">
        <f t="shared" si="98"/>
        <v>0</v>
      </c>
      <c r="I3094" s="19"/>
    </row>
    <row r="3095" spans="1:9" ht="15.75" x14ac:dyDescent="0.25">
      <c r="A3095" s="51">
        <v>42821</v>
      </c>
      <c r="B3095" s="52" t="s">
        <v>10926</v>
      </c>
      <c r="C3095" s="18">
        <v>105873</v>
      </c>
      <c r="D3095" s="2" t="s">
        <v>125</v>
      </c>
      <c r="E3095" s="15">
        <v>6706</v>
      </c>
      <c r="F3095" s="59">
        <v>42822</v>
      </c>
      <c r="G3095" s="15">
        <f t="shared" si="97"/>
        <v>6706</v>
      </c>
      <c r="H3095" s="15">
        <f t="shared" si="98"/>
        <v>0</v>
      </c>
      <c r="I3095" s="19"/>
    </row>
    <row r="3096" spans="1:9" ht="15.75" x14ac:dyDescent="0.25">
      <c r="A3096" s="51">
        <v>42821</v>
      </c>
      <c r="B3096" s="52" t="s">
        <v>10927</v>
      </c>
      <c r="C3096" s="18">
        <v>105874</v>
      </c>
      <c r="D3096" s="2" t="s">
        <v>1160</v>
      </c>
      <c r="E3096" s="15">
        <v>2239.1999999999998</v>
      </c>
      <c r="F3096" s="59">
        <v>42821</v>
      </c>
      <c r="G3096" s="15">
        <f t="shared" si="97"/>
        <v>2239.1999999999998</v>
      </c>
      <c r="H3096" s="15">
        <f t="shared" si="98"/>
        <v>0</v>
      </c>
      <c r="I3096" s="19"/>
    </row>
    <row r="3097" spans="1:9" ht="15.75" x14ac:dyDescent="0.25">
      <c r="A3097" s="51">
        <v>42821</v>
      </c>
      <c r="B3097" s="52" t="s">
        <v>10928</v>
      </c>
      <c r="C3097" s="18">
        <v>105875</v>
      </c>
      <c r="D3097" s="2" t="s">
        <v>10</v>
      </c>
      <c r="E3097" s="15">
        <v>30116.5</v>
      </c>
      <c r="F3097" s="59">
        <v>42824</v>
      </c>
      <c r="G3097" s="15">
        <f t="shared" si="97"/>
        <v>30116.5</v>
      </c>
      <c r="H3097" s="15">
        <f t="shared" si="98"/>
        <v>0</v>
      </c>
      <c r="I3097" s="19"/>
    </row>
    <row r="3098" spans="1:9" ht="15.75" x14ac:dyDescent="0.25">
      <c r="A3098" s="51">
        <v>42821</v>
      </c>
      <c r="B3098" s="52" t="s">
        <v>10929</v>
      </c>
      <c r="C3098" s="18">
        <v>105876</v>
      </c>
      <c r="D3098" s="2" t="s">
        <v>30</v>
      </c>
      <c r="E3098" s="15">
        <v>1466.4</v>
      </c>
      <c r="F3098" s="59">
        <v>42821</v>
      </c>
      <c r="G3098" s="15">
        <f t="shared" si="97"/>
        <v>1466.4</v>
      </c>
      <c r="H3098" s="15">
        <f t="shared" si="98"/>
        <v>0</v>
      </c>
      <c r="I3098" s="19"/>
    </row>
    <row r="3099" spans="1:9" ht="15.75" x14ac:dyDescent="0.25">
      <c r="A3099" s="51">
        <v>42821</v>
      </c>
      <c r="B3099" s="52" t="s">
        <v>10930</v>
      </c>
      <c r="C3099" s="18">
        <v>105877</v>
      </c>
      <c r="D3099" s="2" t="s">
        <v>470</v>
      </c>
      <c r="E3099" s="15">
        <v>189</v>
      </c>
      <c r="F3099" s="59">
        <v>42821</v>
      </c>
      <c r="G3099" s="15">
        <f t="shared" si="97"/>
        <v>189</v>
      </c>
      <c r="H3099" s="15">
        <f t="shared" si="98"/>
        <v>0</v>
      </c>
      <c r="I3099" s="19"/>
    </row>
    <row r="3100" spans="1:9" ht="15.75" x14ac:dyDescent="0.25">
      <c r="A3100" s="51">
        <v>42821</v>
      </c>
      <c r="B3100" s="52" t="s">
        <v>10931</v>
      </c>
      <c r="C3100" s="18">
        <v>105878</v>
      </c>
      <c r="D3100" s="2" t="s">
        <v>131</v>
      </c>
      <c r="E3100" s="15">
        <v>8560.7999999999993</v>
      </c>
      <c r="F3100" s="59">
        <v>42821</v>
      </c>
      <c r="G3100" s="15">
        <f t="shared" si="97"/>
        <v>8560.7999999999993</v>
      </c>
      <c r="H3100" s="15">
        <f t="shared" si="98"/>
        <v>0</v>
      </c>
      <c r="I3100" s="19"/>
    </row>
    <row r="3101" spans="1:9" ht="15.75" x14ac:dyDescent="0.25">
      <c r="A3101" s="51">
        <v>42821</v>
      </c>
      <c r="B3101" s="52" t="s">
        <v>10932</v>
      </c>
      <c r="C3101" s="18">
        <v>105879</v>
      </c>
      <c r="D3101" s="2" t="s">
        <v>30</v>
      </c>
      <c r="E3101" s="15">
        <v>148.4</v>
      </c>
      <c r="F3101" s="59">
        <v>42821</v>
      </c>
      <c r="G3101" s="15">
        <f t="shared" si="97"/>
        <v>148.4</v>
      </c>
      <c r="H3101" s="15">
        <f t="shared" si="98"/>
        <v>0</v>
      </c>
      <c r="I3101" s="19"/>
    </row>
    <row r="3102" spans="1:9" ht="15.75" x14ac:dyDescent="0.25">
      <c r="A3102" s="51">
        <v>42821</v>
      </c>
      <c r="B3102" s="52" t="s">
        <v>10933</v>
      </c>
      <c r="C3102" s="18">
        <v>105880</v>
      </c>
      <c r="D3102" s="2" t="s">
        <v>10</v>
      </c>
      <c r="E3102" s="15">
        <v>48464</v>
      </c>
      <c r="F3102" s="59">
        <v>42824</v>
      </c>
      <c r="G3102" s="15">
        <f t="shared" si="97"/>
        <v>48464</v>
      </c>
      <c r="H3102" s="15">
        <f t="shared" si="98"/>
        <v>0</v>
      </c>
      <c r="I3102" s="19"/>
    </row>
    <row r="3103" spans="1:9" ht="15.75" x14ac:dyDescent="0.25">
      <c r="A3103" s="51">
        <v>42821</v>
      </c>
      <c r="B3103" s="52" t="s">
        <v>10934</v>
      </c>
      <c r="C3103" s="18">
        <v>105881</v>
      </c>
      <c r="D3103" s="2" t="s">
        <v>1830</v>
      </c>
      <c r="E3103" s="15">
        <v>11082</v>
      </c>
      <c r="F3103" s="59">
        <v>42821</v>
      </c>
      <c r="G3103" s="15">
        <f t="shared" si="97"/>
        <v>11082</v>
      </c>
      <c r="H3103" s="15">
        <f t="shared" si="98"/>
        <v>0</v>
      </c>
      <c r="I3103" s="19"/>
    </row>
    <row r="3104" spans="1:9" ht="15.75" x14ac:dyDescent="0.25">
      <c r="A3104" s="51">
        <v>42821</v>
      </c>
      <c r="B3104" s="52" t="s">
        <v>10935</v>
      </c>
      <c r="C3104" s="18">
        <v>105882</v>
      </c>
      <c r="D3104" s="2" t="s">
        <v>2510</v>
      </c>
      <c r="E3104" s="15">
        <v>1054.8</v>
      </c>
      <c r="F3104" s="59">
        <v>42821</v>
      </c>
      <c r="G3104" s="15">
        <f t="shared" si="97"/>
        <v>1054.8</v>
      </c>
      <c r="H3104" s="15">
        <f t="shared" si="98"/>
        <v>0</v>
      </c>
      <c r="I3104" s="19"/>
    </row>
    <row r="3105" spans="1:9" ht="15.75" x14ac:dyDescent="0.25">
      <c r="A3105" s="51">
        <v>42821</v>
      </c>
      <c r="B3105" s="52" t="s">
        <v>10936</v>
      </c>
      <c r="C3105" s="18">
        <v>105883</v>
      </c>
      <c r="D3105" s="2" t="s">
        <v>1830</v>
      </c>
      <c r="E3105" s="15">
        <v>11620</v>
      </c>
      <c r="F3105" s="59">
        <v>42821</v>
      </c>
      <c r="G3105" s="15">
        <f t="shared" si="97"/>
        <v>11620</v>
      </c>
      <c r="H3105" s="15">
        <f t="shared" si="98"/>
        <v>0</v>
      </c>
      <c r="I3105" s="19"/>
    </row>
    <row r="3106" spans="1:9" ht="15.75" x14ac:dyDescent="0.25">
      <c r="A3106" s="51">
        <v>42821</v>
      </c>
      <c r="B3106" s="52" t="s">
        <v>10937</v>
      </c>
      <c r="C3106" s="18">
        <v>105884</v>
      </c>
      <c r="D3106" s="2" t="s">
        <v>305</v>
      </c>
      <c r="E3106" s="15">
        <v>2654.3</v>
      </c>
      <c r="F3106" s="59">
        <v>42824</v>
      </c>
      <c r="G3106" s="15">
        <f t="shared" si="97"/>
        <v>2654.3</v>
      </c>
      <c r="H3106" s="15">
        <f t="shared" si="98"/>
        <v>0</v>
      </c>
      <c r="I3106" s="19"/>
    </row>
    <row r="3107" spans="1:9" ht="15.75" x14ac:dyDescent="0.25">
      <c r="A3107" s="51">
        <v>42821</v>
      </c>
      <c r="B3107" s="52" t="s">
        <v>10938</v>
      </c>
      <c r="C3107" s="18">
        <v>105885</v>
      </c>
      <c r="D3107" s="2" t="s">
        <v>476</v>
      </c>
      <c r="E3107" s="15">
        <v>16100.9</v>
      </c>
      <c r="F3107" s="59">
        <v>42824</v>
      </c>
      <c r="G3107" s="15">
        <f t="shared" si="97"/>
        <v>16100.9</v>
      </c>
      <c r="H3107" s="15">
        <f t="shared" si="98"/>
        <v>0</v>
      </c>
      <c r="I3107" s="19"/>
    </row>
    <row r="3108" spans="1:9" ht="15.75" x14ac:dyDescent="0.25">
      <c r="A3108" s="51">
        <v>42821</v>
      </c>
      <c r="B3108" s="52" t="s">
        <v>10939</v>
      </c>
      <c r="C3108" s="18">
        <v>105886</v>
      </c>
      <c r="D3108" s="2" t="s">
        <v>159</v>
      </c>
      <c r="E3108" s="15">
        <v>8800</v>
      </c>
      <c r="F3108" s="59">
        <v>42822</v>
      </c>
      <c r="G3108" s="15">
        <f t="shared" si="97"/>
        <v>8800</v>
      </c>
      <c r="H3108" s="15">
        <f t="shared" si="98"/>
        <v>0</v>
      </c>
      <c r="I3108" s="19"/>
    </row>
    <row r="3109" spans="1:9" ht="15.75" x14ac:dyDescent="0.25">
      <c r="A3109" s="51">
        <v>42821</v>
      </c>
      <c r="B3109" s="52" t="s">
        <v>10940</v>
      </c>
      <c r="C3109" s="18">
        <v>105887</v>
      </c>
      <c r="D3109" s="2" t="s">
        <v>176</v>
      </c>
      <c r="E3109" s="15">
        <v>929.2</v>
      </c>
      <c r="F3109" s="59">
        <v>42823</v>
      </c>
      <c r="G3109" s="15">
        <f t="shared" si="97"/>
        <v>929.2</v>
      </c>
      <c r="H3109" s="15">
        <f t="shared" si="98"/>
        <v>0</v>
      </c>
      <c r="I3109" s="19"/>
    </row>
    <row r="3110" spans="1:9" ht="15.75" x14ac:dyDescent="0.25">
      <c r="A3110" s="51">
        <v>42821</v>
      </c>
      <c r="B3110" s="52" t="s">
        <v>10941</v>
      </c>
      <c r="C3110" s="18">
        <v>105888</v>
      </c>
      <c r="D3110" s="2" t="s">
        <v>472</v>
      </c>
      <c r="E3110" s="15">
        <v>16674.2</v>
      </c>
      <c r="F3110" s="59">
        <v>42822</v>
      </c>
      <c r="G3110" s="15">
        <f t="shared" si="97"/>
        <v>16674.2</v>
      </c>
      <c r="H3110" s="15">
        <f t="shared" si="98"/>
        <v>0</v>
      </c>
      <c r="I3110" s="19"/>
    </row>
    <row r="3111" spans="1:9" ht="15.75" x14ac:dyDescent="0.25">
      <c r="A3111" s="51">
        <v>42821</v>
      </c>
      <c r="B3111" s="52" t="s">
        <v>10942</v>
      </c>
      <c r="C3111" s="18">
        <v>105889</v>
      </c>
      <c r="D3111" s="2" t="s">
        <v>329</v>
      </c>
      <c r="E3111" s="15">
        <v>553.6</v>
      </c>
      <c r="F3111" s="59">
        <v>42821</v>
      </c>
      <c r="G3111" s="15">
        <f t="shared" si="97"/>
        <v>553.6</v>
      </c>
      <c r="H3111" s="15">
        <f t="shared" si="98"/>
        <v>0</v>
      </c>
      <c r="I3111" s="19"/>
    </row>
    <row r="3112" spans="1:9" ht="15.75" x14ac:dyDescent="0.25">
      <c r="A3112" s="51">
        <v>42821</v>
      </c>
      <c r="B3112" s="52" t="s">
        <v>10943</v>
      </c>
      <c r="C3112" s="18">
        <v>105890</v>
      </c>
      <c r="D3112" s="2" t="s">
        <v>879</v>
      </c>
      <c r="E3112" s="15">
        <v>1102.8</v>
      </c>
      <c r="F3112" s="59">
        <v>42821</v>
      </c>
      <c r="G3112" s="15">
        <f t="shared" si="97"/>
        <v>1102.8</v>
      </c>
      <c r="H3112" s="15">
        <f t="shared" si="98"/>
        <v>0</v>
      </c>
      <c r="I3112" s="19"/>
    </row>
    <row r="3113" spans="1:9" ht="15.75" x14ac:dyDescent="0.25">
      <c r="A3113" s="51">
        <v>42821</v>
      </c>
      <c r="B3113" s="52" t="s">
        <v>10944</v>
      </c>
      <c r="C3113" s="18">
        <v>105891</v>
      </c>
      <c r="D3113" s="2" t="s">
        <v>2240</v>
      </c>
      <c r="E3113" s="15">
        <v>4589.2</v>
      </c>
      <c r="F3113" s="59">
        <v>42821</v>
      </c>
      <c r="G3113" s="15">
        <f t="shared" si="97"/>
        <v>4589.2</v>
      </c>
      <c r="H3113" s="15">
        <f t="shared" si="98"/>
        <v>0</v>
      </c>
      <c r="I3113" s="19"/>
    </row>
    <row r="3114" spans="1:9" ht="15.75" x14ac:dyDescent="0.25">
      <c r="A3114" s="51">
        <v>42821</v>
      </c>
      <c r="B3114" s="52" t="s">
        <v>10945</v>
      </c>
      <c r="C3114" s="18">
        <v>105892</v>
      </c>
      <c r="D3114" s="2" t="s">
        <v>35</v>
      </c>
      <c r="E3114" s="15">
        <v>8596.1</v>
      </c>
      <c r="F3114" s="59">
        <v>42824</v>
      </c>
      <c r="G3114" s="15">
        <f t="shared" si="97"/>
        <v>8596.1</v>
      </c>
      <c r="H3114" s="15">
        <f t="shared" si="98"/>
        <v>0</v>
      </c>
      <c r="I3114" s="19"/>
    </row>
    <row r="3115" spans="1:9" ht="15.75" x14ac:dyDescent="0.25">
      <c r="A3115" s="51">
        <v>42821</v>
      </c>
      <c r="B3115" s="52" t="s">
        <v>10946</v>
      </c>
      <c r="C3115" s="18">
        <v>105893</v>
      </c>
      <c r="D3115" s="2" t="s">
        <v>38</v>
      </c>
      <c r="E3115" s="15">
        <v>3118.85</v>
      </c>
      <c r="F3115" s="101" t="s">
        <v>10947</v>
      </c>
      <c r="G3115" s="23">
        <f>2118+1000.85</f>
        <v>3118.85</v>
      </c>
      <c r="H3115" s="23">
        <f t="shared" si="98"/>
        <v>0</v>
      </c>
      <c r="I3115" s="19"/>
    </row>
    <row r="3116" spans="1:9" ht="15.75" x14ac:dyDescent="0.25">
      <c r="A3116" s="51">
        <v>42821</v>
      </c>
      <c r="B3116" s="52" t="s">
        <v>10948</v>
      </c>
      <c r="C3116" s="18">
        <v>105894</v>
      </c>
      <c r="D3116" s="2" t="s">
        <v>32</v>
      </c>
      <c r="E3116" s="15">
        <v>2720.2</v>
      </c>
      <c r="F3116" s="59">
        <v>42826</v>
      </c>
      <c r="G3116" s="15">
        <f t="shared" si="97"/>
        <v>2720.2</v>
      </c>
      <c r="H3116" s="15">
        <f t="shared" si="98"/>
        <v>0</v>
      </c>
      <c r="I3116" s="19"/>
    </row>
    <row r="3117" spans="1:9" ht="15.75" x14ac:dyDescent="0.25">
      <c r="A3117" s="51">
        <v>42821</v>
      </c>
      <c r="B3117" s="52" t="s">
        <v>10949</v>
      </c>
      <c r="C3117" s="18">
        <v>105895</v>
      </c>
      <c r="D3117" s="2" t="s">
        <v>231</v>
      </c>
      <c r="E3117" s="15">
        <v>5426.4</v>
      </c>
      <c r="F3117" s="59">
        <v>42822</v>
      </c>
      <c r="G3117" s="15">
        <f t="shared" si="97"/>
        <v>5426.4</v>
      </c>
      <c r="H3117" s="15">
        <f t="shared" si="98"/>
        <v>0</v>
      </c>
      <c r="I3117" s="19"/>
    </row>
    <row r="3118" spans="1:9" ht="15.75" x14ac:dyDescent="0.25">
      <c r="A3118" s="51">
        <v>42821</v>
      </c>
      <c r="B3118" s="52" t="s">
        <v>10950</v>
      </c>
      <c r="C3118" s="18">
        <v>105896</v>
      </c>
      <c r="D3118" s="2" t="s">
        <v>220</v>
      </c>
      <c r="E3118" s="15">
        <v>1824</v>
      </c>
      <c r="F3118" s="59">
        <v>42821</v>
      </c>
      <c r="G3118" s="15">
        <f t="shared" si="97"/>
        <v>1824</v>
      </c>
      <c r="H3118" s="15">
        <f t="shared" si="98"/>
        <v>0</v>
      </c>
      <c r="I3118" s="19"/>
    </row>
    <row r="3119" spans="1:9" ht="15.75" x14ac:dyDescent="0.25">
      <c r="A3119" s="51">
        <v>42821</v>
      </c>
      <c r="B3119" s="52" t="s">
        <v>10951</v>
      </c>
      <c r="C3119" s="18">
        <v>105897</v>
      </c>
      <c r="D3119" s="2" t="s">
        <v>30</v>
      </c>
      <c r="E3119" s="15">
        <v>1271.2</v>
      </c>
      <c r="F3119" s="59">
        <v>42821</v>
      </c>
      <c r="G3119" s="15">
        <f t="shared" si="97"/>
        <v>1271.2</v>
      </c>
      <c r="H3119" s="15">
        <f t="shared" si="98"/>
        <v>0</v>
      </c>
      <c r="I3119" s="19"/>
    </row>
    <row r="3120" spans="1:9" ht="15.75" x14ac:dyDescent="0.25">
      <c r="A3120" s="51">
        <v>42821</v>
      </c>
      <c r="B3120" s="52" t="s">
        <v>10952</v>
      </c>
      <c r="C3120" s="18">
        <v>105898</v>
      </c>
      <c r="D3120" s="2" t="s">
        <v>1325</v>
      </c>
      <c r="E3120" s="15">
        <v>3185.2</v>
      </c>
      <c r="F3120" s="59">
        <v>42821</v>
      </c>
      <c r="G3120" s="15">
        <f t="shared" si="97"/>
        <v>3185.2</v>
      </c>
      <c r="H3120" s="15">
        <f t="shared" si="98"/>
        <v>0</v>
      </c>
      <c r="I3120" s="19"/>
    </row>
    <row r="3121" spans="1:9" ht="15.75" x14ac:dyDescent="0.25">
      <c r="A3121" s="51">
        <v>42821</v>
      </c>
      <c r="B3121" s="52" t="s">
        <v>10953</v>
      </c>
      <c r="C3121" s="18">
        <v>105899</v>
      </c>
      <c r="D3121" s="2" t="s">
        <v>609</v>
      </c>
      <c r="E3121" s="15">
        <v>32549.599999999999</v>
      </c>
      <c r="F3121" s="59">
        <v>42823</v>
      </c>
      <c r="G3121" s="15">
        <f t="shared" si="97"/>
        <v>32549.599999999999</v>
      </c>
      <c r="H3121" s="15">
        <f t="shared" si="98"/>
        <v>0</v>
      </c>
      <c r="I3121" s="19"/>
    </row>
    <row r="3122" spans="1:9" ht="15.75" x14ac:dyDescent="0.25">
      <c r="A3122" s="51">
        <v>42821</v>
      </c>
      <c r="B3122" s="52" t="s">
        <v>10954</v>
      </c>
      <c r="C3122" s="18">
        <v>105900</v>
      </c>
      <c r="D3122" s="2" t="s">
        <v>2704</v>
      </c>
      <c r="E3122" s="15">
        <v>3800</v>
      </c>
      <c r="F3122" s="59">
        <v>42822</v>
      </c>
      <c r="G3122" s="15">
        <f t="shared" si="97"/>
        <v>3800</v>
      </c>
      <c r="H3122" s="15">
        <f t="shared" si="98"/>
        <v>0</v>
      </c>
      <c r="I3122" s="19"/>
    </row>
    <row r="3123" spans="1:9" ht="15.75" x14ac:dyDescent="0.25">
      <c r="A3123" s="51">
        <v>42821</v>
      </c>
      <c r="B3123" s="52" t="s">
        <v>10955</v>
      </c>
      <c r="C3123" s="18">
        <v>105901</v>
      </c>
      <c r="D3123" s="2" t="s">
        <v>155</v>
      </c>
      <c r="E3123" s="15">
        <v>20271.400000000001</v>
      </c>
      <c r="F3123" s="59">
        <v>42824</v>
      </c>
      <c r="G3123" s="15">
        <f t="shared" si="97"/>
        <v>20271.400000000001</v>
      </c>
      <c r="H3123" s="15">
        <f t="shared" si="98"/>
        <v>0</v>
      </c>
      <c r="I3123" s="19"/>
    </row>
    <row r="3124" spans="1:9" ht="15.75" x14ac:dyDescent="0.25">
      <c r="A3124" s="51">
        <v>42821</v>
      </c>
      <c r="B3124" s="52" t="s">
        <v>10956</v>
      </c>
      <c r="C3124" s="18">
        <v>105902</v>
      </c>
      <c r="D3124" s="2" t="s">
        <v>145</v>
      </c>
      <c r="E3124" s="15">
        <v>19093.2</v>
      </c>
      <c r="F3124" s="59">
        <v>42822</v>
      </c>
      <c r="G3124" s="15">
        <f t="shared" si="97"/>
        <v>19093.2</v>
      </c>
      <c r="H3124" s="15">
        <f t="shared" si="98"/>
        <v>0</v>
      </c>
      <c r="I3124" s="19"/>
    </row>
    <row r="3125" spans="1:9" ht="15.75" x14ac:dyDescent="0.25">
      <c r="A3125" s="51">
        <v>42821</v>
      </c>
      <c r="B3125" s="52" t="s">
        <v>10957</v>
      </c>
      <c r="C3125" s="18">
        <v>105903</v>
      </c>
      <c r="D3125" s="2" t="s">
        <v>165</v>
      </c>
      <c r="E3125" s="15">
        <v>7981.5</v>
      </c>
      <c r="F3125" s="59">
        <v>42846</v>
      </c>
      <c r="G3125" s="15">
        <f t="shared" si="97"/>
        <v>7981.5</v>
      </c>
      <c r="H3125" s="15">
        <f t="shared" si="98"/>
        <v>0</v>
      </c>
      <c r="I3125" s="19"/>
    </row>
    <row r="3126" spans="1:9" ht="15.75" x14ac:dyDescent="0.25">
      <c r="A3126" s="51">
        <v>42821</v>
      </c>
      <c r="B3126" s="52" t="s">
        <v>10958</v>
      </c>
      <c r="C3126" s="18">
        <v>105904</v>
      </c>
      <c r="D3126" s="2" t="s">
        <v>161</v>
      </c>
      <c r="E3126" s="15">
        <v>22578.7</v>
      </c>
      <c r="F3126" s="59">
        <v>42833</v>
      </c>
      <c r="G3126" s="15">
        <f t="shared" si="97"/>
        <v>22578.7</v>
      </c>
      <c r="H3126" s="15">
        <f t="shared" si="98"/>
        <v>0</v>
      </c>
      <c r="I3126" s="19"/>
    </row>
    <row r="3127" spans="1:9" ht="15.75" x14ac:dyDescent="0.25">
      <c r="A3127" s="51">
        <v>42821</v>
      </c>
      <c r="B3127" s="52" t="s">
        <v>10959</v>
      </c>
      <c r="C3127" s="18">
        <v>105905</v>
      </c>
      <c r="D3127" s="2" t="s">
        <v>163</v>
      </c>
      <c r="E3127" s="15">
        <v>16925.2</v>
      </c>
      <c r="F3127" s="59">
        <v>42833</v>
      </c>
      <c r="G3127" s="15">
        <f t="shared" si="97"/>
        <v>16925.2</v>
      </c>
      <c r="H3127" s="15">
        <f t="shared" si="98"/>
        <v>0</v>
      </c>
      <c r="I3127" s="19"/>
    </row>
    <row r="3128" spans="1:9" ht="15.75" x14ac:dyDescent="0.25">
      <c r="A3128" s="51">
        <v>42821</v>
      </c>
      <c r="B3128" s="52" t="s">
        <v>10960</v>
      </c>
      <c r="C3128" s="18">
        <v>105906</v>
      </c>
      <c r="D3128" s="2" t="s">
        <v>3319</v>
      </c>
      <c r="E3128" s="15">
        <v>10813.2</v>
      </c>
      <c r="F3128" s="59">
        <v>42822</v>
      </c>
      <c r="G3128" s="15">
        <f t="shared" si="97"/>
        <v>10813.2</v>
      </c>
      <c r="H3128" s="15">
        <f t="shared" si="98"/>
        <v>0</v>
      </c>
      <c r="I3128" s="19"/>
    </row>
    <row r="3129" spans="1:9" ht="15.75" x14ac:dyDescent="0.25">
      <c r="A3129" s="51">
        <v>42821</v>
      </c>
      <c r="B3129" s="52" t="s">
        <v>10961</v>
      </c>
      <c r="C3129" s="18">
        <v>105907</v>
      </c>
      <c r="D3129" s="2" t="s">
        <v>47</v>
      </c>
      <c r="E3129" s="15">
        <v>208.8</v>
      </c>
      <c r="F3129" s="59">
        <v>42821</v>
      </c>
      <c r="G3129" s="15">
        <f t="shared" si="97"/>
        <v>208.8</v>
      </c>
      <c r="H3129" s="15">
        <f t="shared" si="98"/>
        <v>0</v>
      </c>
      <c r="I3129" s="19"/>
    </row>
    <row r="3130" spans="1:9" ht="15.75" x14ac:dyDescent="0.25">
      <c r="A3130" s="51">
        <v>42821</v>
      </c>
      <c r="B3130" s="52" t="s">
        <v>10962</v>
      </c>
      <c r="C3130" s="18">
        <v>105908</v>
      </c>
      <c r="D3130" s="2" t="s">
        <v>697</v>
      </c>
      <c r="E3130" s="15">
        <v>79336.399999999994</v>
      </c>
      <c r="F3130" s="59">
        <v>42829</v>
      </c>
      <c r="G3130" s="15">
        <f t="shared" si="97"/>
        <v>79336.399999999994</v>
      </c>
      <c r="H3130" s="15">
        <f t="shared" si="98"/>
        <v>0</v>
      </c>
      <c r="I3130" s="19"/>
    </row>
    <row r="3131" spans="1:9" ht="15.75" x14ac:dyDescent="0.25">
      <c r="A3131" s="51">
        <v>42821</v>
      </c>
      <c r="B3131" s="52" t="s">
        <v>10963</v>
      </c>
      <c r="C3131" s="18">
        <v>105909</v>
      </c>
      <c r="D3131" s="2" t="s">
        <v>2986</v>
      </c>
      <c r="E3131" s="15">
        <v>1834</v>
      </c>
      <c r="F3131" s="59">
        <v>42821</v>
      </c>
      <c r="G3131" s="15">
        <f t="shared" si="97"/>
        <v>1834</v>
      </c>
      <c r="H3131" s="15">
        <f t="shared" si="98"/>
        <v>0</v>
      </c>
      <c r="I3131" s="19"/>
    </row>
    <row r="3132" spans="1:9" ht="15.75" x14ac:dyDescent="0.25">
      <c r="A3132" s="51">
        <v>42821</v>
      </c>
      <c r="B3132" s="52" t="s">
        <v>10964</v>
      </c>
      <c r="C3132" s="18">
        <v>105910</v>
      </c>
      <c r="D3132" s="2" t="s">
        <v>222</v>
      </c>
      <c r="E3132" s="15">
        <v>41058.9</v>
      </c>
      <c r="F3132" s="59">
        <v>42823</v>
      </c>
      <c r="G3132" s="15">
        <f t="shared" si="97"/>
        <v>41058.9</v>
      </c>
      <c r="H3132" s="15">
        <f t="shared" si="98"/>
        <v>0</v>
      </c>
      <c r="I3132" s="19"/>
    </row>
    <row r="3133" spans="1:9" ht="15.75" x14ac:dyDescent="0.25">
      <c r="A3133" s="51">
        <v>42821</v>
      </c>
      <c r="B3133" s="52" t="s">
        <v>10965</v>
      </c>
      <c r="C3133" s="18">
        <v>105911</v>
      </c>
      <c r="D3133" s="2" t="s">
        <v>352</v>
      </c>
      <c r="E3133" s="15">
        <v>2542.6999999999998</v>
      </c>
      <c r="F3133" s="59">
        <v>42821</v>
      </c>
      <c r="G3133" s="15">
        <f t="shared" si="97"/>
        <v>2542.6999999999998</v>
      </c>
      <c r="H3133" s="15">
        <f t="shared" si="98"/>
        <v>0</v>
      </c>
      <c r="I3133" s="19"/>
    </row>
    <row r="3134" spans="1:9" ht="15.75" x14ac:dyDescent="0.25">
      <c r="A3134" s="51">
        <v>42821</v>
      </c>
      <c r="B3134" s="52" t="s">
        <v>10966</v>
      </c>
      <c r="C3134" s="18">
        <v>105912</v>
      </c>
      <c r="D3134" s="2" t="s">
        <v>1163</v>
      </c>
      <c r="E3134" s="15">
        <v>27784</v>
      </c>
      <c r="F3134" s="59">
        <v>42822</v>
      </c>
      <c r="G3134" s="15">
        <f t="shared" si="97"/>
        <v>27784</v>
      </c>
      <c r="H3134" s="15">
        <f t="shared" si="98"/>
        <v>0</v>
      </c>
      <c r="I3134" s="19"/>
    </row>
    <row r="3135" spans="1:9" ht="15.75" x14ac:dyDescent="0.25">
      <c r="A3135" s="51">
        <v>42821</v>
      </c>
      <c r="B3135" s="52" t="s">
        <v>10967</v>
      </c>
      <c r="C3135" s="18">
        <v>105913</v>
      </c>
      <c r="D3135" s="2" t="s">
        <v>14</v>
      </c>
      <c r="E3135" s="15">
        <v>10557</v>
      </c>
      <c r="F3135" s="59">
        <v>42821</v>
      </c>
      <c r="G3135" s="15">
        <f t="shared" si="97"/>
        <v>10557</v>
      </c>
      <c r="H3135" s="15">
        <f t="shared" si="98"/>
        <v>0</v>
      </c>
      <c r="I3135" s="19"/>
    </row>
    <row r="3136" spans="1:9" ht="15.75" x14ac:dyDescent="0.25">
      <c r="A3136" s="51">
        <v>42821</v>
      </c>
      <c r="B3136" s="52" t="s">
        <v>10968</v>
      </c>
      <c r="C3136" s="18">
        <v>105914</v>
      </c>
      <c r="D3136" s="2" t="s">
        <v>358</v>
      </c>
      <c r="E3136" s="15">
        <v>31337.599999999999</v>
      </c>
      <c r="F3136" s="59">
        <v>42822</v>
      </c>
      <c r="G3136" s="15">
        <f t="shared" si="97"/>
        <v>31337.599999999999</v>
      </c>
      <c r="H3136" s="15">
        <f t="shared" si="98"/>
        <v>0</v>
      </c>
      <c r="I3136" s="19"/>
    </row>
    <row r="3137" spans="1:9" ht="15.75" x14ac:dyDescent="0.25">
      <c r="A3137" s="51">
        <v>42821</v>
      </c>
      <c r="B3137" s="52" t="s">
        <v>10969</v>
      </c>
      <c r="C3137" s="18">
        <v>105915</v>
      </c>
      <c r="D3137" s="2" t="s">
        <v>115</v>
      </c>
      <c r="E3137" s="15">
        <v>3590.9</v>
      </c>
      <c r="F3137" s="59" t="s">
        <v>10970</v>
      </c>
      <c r="G3137" s="15">
        <f t="shared" si="97"/>
        <v>3590.9</v>
      </c>
      <c r="H3137" s="15">
        <f t="shared" si="98"/>
        <v>0</v>
      </c>
      <c r="I3137" s="19"/>
    </row>
    <row r="3138" spans="1:9" ht="15.75" x14ac:dyDescent="0.25">
      <c r="A3138" s="51">
        <v>42821</v>
      </c>
      <c r="B3138" s="52" t="s">
        <v>10971</v>
      </c>
      <c r="C3138" s="18">
        <v>105916</v>
      </c>
      <c r="D3138" s="2" t="s">
        <v>670</v>
      </c>
      <c r="E3138" s="15">
        <v>156753.60000000001</v>
      </c>
      <c r="F3138" s="59">
        <v>42826</v>
      </c>
      <c r="G3138" s="15">
        <f t="shared" si="97"/>
        <v>156753.60000000001</v>
      </c>
      <c r="H3138" s="15">
        <f t="shared" si="98"/>
        <v>0</v>
      </c>
      <c r="I3138" s="19"/>
    </row>
    <row r="3139" spans="1:9" ht="15.75" x14ac:dyDescent="0.25">
      <c r="A3139" s="51">
        <v>42821</v>
      </c>
      <c r="B3139" s="52" t="s">
        <v>10972</v>
      </c>
      <c r="C3139" s="18">
        <v>105917</v>
      </c>
      <c r="D3139" s="2" t="s">
        <v>3360</v>
      </c>
      <c r="E3139" s="15">
        <v>2448</v>
      </c>
      <c r="F3139" s="59">
        <v>42821</v>
      </c>
      <c r="G3139" s="15">
        <f t="shared" si="97"/>
        <v>2448</v>
      </c>
      <c r="H3139" s="15">
        <f t="shared" si="98"/>
        <v>0</v>
      </c>
      <c r="I3139" s="19"/>
    </row>
    <row r="3140" spans="1:9" ht="15.75" x14ac:dyDescent="0.25">
      <c r="A3140" s="51">
        <v>42821</v>
      </c>
      <c r="B3140" s="52" t="s">
        <v>10973</v>
      </c>
      <c r="C3140" s="18">
        <v>105918</v>
      </c>
      <c r="D3140" s="13" t="s">
        <v>316</v>
      </c>
      <c r="E3140" s="14">
        <v>0</v>
      </c>
      <c r="F3140" s="102" t="s">
        <v>95</v>
      </c>
      <c r="G3140" s="14">
        <f t="shared" ref="G3140:G3203" si="99">E3140</f>
        <v>0</v>
      </c>
      <c r="H3140" s="14">
        <f t="shared" ref="H3140:H3203" si="100">E3140-G3140</f>
        <v>0</v>
      </c>
      <c r="I3140" s="19"/>
    </row>
    <row r="3141" spans="1:9" ht="15.75" x14ac:dyDescent="0.25">
      <c r="A3141" s="51">
        <v>42821</v>
      </c>
      <c r="B3141" s="52" t="s">
        <v>10974</v>
      </c>
      <c r="C3141" s="18">
        <v>105919</v>
      </c>
      <c r="D3141" s="2" t="s">
        <v>316</v>
      </c>
      <c r="E3141" s="15">
        <v>19177.12</v>
      </c>
      <c r="F3141" s="59">
        <v>42828</v>
      </c>
      <c r="G3141" s="15">
        <f t="shared" si="99"/>
        <v>19177.12</v>
      </c>
      <c r="H3141" s="15">
        <f t="shared" si="100"/>
        <v>0</v>
      </c>
      <c r="I3141" s="19"/>
    </row>
    <row r="3142" spans="1:9" ht="15.75" x14ac:dyDescent="0.25">
      <c r="A3142" s="51">
        <v>42821</v>
      </c>
      <c r="B3142" s="52" t="s">
        <v>10975</v>
      </c>
      <c r="C3142" s="18">
        <v>105920</v>
      </c>
      <c r="D3142" s="2" t="s">
        <v>656</v>
      </c>
      <c r="E3142" s="15">
        <v>7315.2</v>
      </c>
      <c r="F3142" s="59">
        <v>42822</v>
      </c>
      <c r="G3142" s="15">
        <f t="shared" si="99"/>
        <v>7315.2</v>
      </c>
      <c r="H3142" s="15">
        <f t="shared" si="100"/>
        <v>0</v>
      </c>
      <c r="I3142" s="19"/>
    </row>
    <row r="3143" spans="1:9" ht="15.75" x14ac:dyDescent="0.25">
      <c r="A3143" s="51">
        <v>42821</v>
      </c>
      <c r="B3143" s="52" t="s">
        <v>10976</v>
      </c>
      <c r="C3143" s="18">
        <v>105921</v>
      </c>
      <c r="D3143" s="2" t="s">
        <v>182</v>
      </c>
      <c r="E3143" s="15">
        <v>3680</v>
      </c>
      <c r="F3143" s="59">
        <v>42822</v>
      </c>
      <c r="G3143" s="15">
        <f t="shared" si="99"/>
        <v>3680</v>
      </c>
      <c r="H3143" s="15">
        <f t="shared" si="100"/>
        <v>0</v>
      </c>
      <c r="I3143" s="19"/>
    </row>
    <row r="3144" spans="1:9" ht="15.75" x14ac:dyDescent="0.25">
      <c r="A3144" s="51">
        <v>42821</v>
      </c>
      <c r="B3144" s="52" t="s">
        <v>10977</v>
      </c>
      <c r="C3144" s="18">
        <v>105922</v>
      </c>
      <c r="D3144" s="2" t="s">
        <v>10370</v>
      </c>
      <c r="E3144" s="15">
        <v>1269</v>
      </c>
      <c r="F3144" s="59">
        <v>42822</v>
      </c>
      <c r="G3144" s="15">
        <f t="shared" si="99"/>
        <v>1269</v>
      </c>
      <c r="H3144" s="15">
        <f t="shared" si="100"/>
        <v>0</v>
      </c>
      <c r="I3144" s="19"/>
    </row>
    <row r="3145" spans="1:9" ht="15.75" x14ac:dyDescent="0.25">
      <c r="A3145" s="51">
        <v>42821</v>
      </c>
      <c r="B3145" s="52" t="s">
        <v>10978</v>
      </c>
      <c r="C3145" s="18">
        <v>105923</v>
      </c>
      <c r="D3145" s="2" t="s">
        <v>528</v>
      </c>
      <c r="E3145" s="15">
        <v>8302.7000000000007</v>
      </c>
      <c r="F3145" s="59">
        <v>42822</v>
      </c>
      <c r="G3145" s="15">
        <f t="shared" si="99"/>
        <v>8302.7000000000007</v>
      </c>
      <c r="H3145" s="15">
        <f t="shared" si="100"/>
        <v>0</v>
      </c>
      <c r="I3145" s="19"/>
    </row>
    <row r="3146" spans="1:9" ht="15.75" x14ac:dyDescent="0.25">
      <c r="A3146" s="51">
        <v>42821</v>
      </c>
      <c r="B3146" s="52" t="s">
        <v>10979</v>
      </c>
      <c r="C3146" s="18">
        <v>105924</v>
      </c>
      <c r="D3146" s="2" t="s">
        <v>193</v>
      </c>
      <c r="E3146" s="15">
        <v>1936.6</v>
      </c>
      <c r="F3146" s="59">
        <v>42822</v>
      </c>
      <c r="G3146" s="15">
        <f t="shared" si="99"/>
        <v>1936.6</v>
      </c>
      <c r="H3146" s="15">
        <f t="shared" si="100"/>
        <v>0</v>
      </c>
      <c r="I3146" s="19"/>
    </row>
    <row r="3147" spans="1:9" ht="15.75" x14ac:dyDescent="0.25">
      <c r="A3147" s="51">
        <v>42821</v>
      </c>
      <c r="B3147" s="52" t="s">
        <v>10980</v>
      </c>
      <c r="C3147" s="18">
        <v>105925</v>
      </c>
      <c r="D3147" s="2" t="s">
        <v>358</v>
      </c>
      <c r="E3147" s="15">
        <v>32140.2</v>
      </c>
      <c r="F3147" s="59">
        <v>42822</v>
      </c>
      <c r="G3147" s="15">
        <f t="shared" si="99"/>
        <v>32140.2</v>
      </c>
      <c r="H3147" s="15">
        <f t="shared" si="100"/>
        <v>0</v>
      </c>
      <c r="I3147" s="19"/>
    </row>
    <row r="3148" spans="1:9" ht="15.75" x14ac:dyDescent="0.25">
      <c r="A3148" s="51">
        <v>42821</v>
      </c>
      <c r="B3148" s="52" t="s">
        <v>10981</v>
      </c>
      <c r="C3148" s="18">
        <v>105926</v>
      </c>
      <c r="D3148" s="2" t="s">
        <v>367</v>
      </c>
      <c r="E3148" s="15">
        <v>1575</v>
      </c>
      <c r="F3148" s="59">
        <v>42821</v>
      </c>
      <c r="G3148" s="15">
        <f t="shared" si="99"/>
        <v>1575</v>
      </c>
      <c r="H3148" s="15">
        <f t="shared" si="100"/>
        <v>0</v>
      </c>
      <c r="I3148" s="19"/>
    </row>
    <row r="3149" spans="1:9" ht="15.75" x14ac:dyDescent="0.25">
      <c r="A3149" s="51">
        <v>42821</v>
      </c>
      <c r="B3149" s="52" t="s">
        <v>10982</v>
      </c>
      <c r="C3149" s="18">
        <v>105927</v>
      </c>
      <c r="D3149" s="2" t="s">
        <v>186</v>
      </c>
      <c r="E3149" s="15">
        <v>3447</v>
      </c>
      <c r="F3149" s="59">
        <v>42823</v>
      </c>
      <c r="G3149" s="15">
        <f t="shared" si="99"/>
        <v>3447</v>
      </c>
      <c r="H3149" s="15">
        <f t="shared" si="100"/>
        <v>0</v>
      </c>
      <c r="I3149" s="19"/>
    </row>
    <row r="3150" spans="1:9" ht="15.75" x14ac:dyDescent="0.25">
      <c r="A3150" s="51">
        <v>42821</v>
      </c>
      <c r="B3150" s="52" t="s">
        <v>10983</v>
      </c>
      <c r="C3150" s="18">
        <v>105928</v>
      </c>
      <c r="D3150" s="2" t="s">
        <v>9907</v>
      </c>
      <c r="E3150" s="15">
        <v>8921.6</v>
      </c>
      <c r="F3150" s="59">
        <v>42821</v>
      </c>
      <c r="G3150" s="15">
        <f t="shared" si="99"/>
        <v>8921.6</v>
      </c>
      <c r="H3150" s="15">
        <f t="shared" si="100"/>
        <v>0</v>
      </c>
      <c r="I3150" s="19"/>
    </row>
    <row r="3151" spans="1:9" ht="15.75" x14ac:dyDescent="0.25">
      <c r="A3151" s="51">
        <v>42821</v>
      </c>
      <c r="B3151" s="52" t="s">
        <v>10984</v>
      </c>
      <c r="C3151" s="18">
        <v>105929</v>
      </c>
      <c r="D3151" s="2" t="s">
        <v>670</v>
      </c>
      <c r="E3151" s="15">
        <v>71307.8</v>
      </c>
      <c r="F3151" s="59">
        <v>42826</v>
      </c>
      <c r="G3151" s="15">
        <f t="shared" si="99"/>
        <v>71307.8</v>
      </c>
      <c r="H3151" s="15">
        <f t="shared" si="100"/>
        <v>0</v>
      </c>
      <c r="I3151" s="19"/>
    </row>
    <row r="3152" spans="1:9" ht="15.75" x14ac:dyDescent="0.25">
      <c r="A3152" s="51">
        <v>42821</v>
      </c>
      <c r="B3152" s="52" t="s">
        <v>10985</v>
      </c>
      <c r="C3152" s="18">
        <v>105930</v>
      </c>
      <c r="D3152" s="2" t="s">
        <v>30</v>
      </c>
      <c r="E3152" s="15">
        <v>780</v>
      </c>
      <c r="F3152" s="59">
        <v>42821</v>
      </c>
      <c r="G3152" s="15">
        <f t="shared" si="99"/>
        <v>780</v>
      </c>
      <c r="H3152" s="15">
        <f t="shared" si="100"/>
        <v>0</v>
      </c>
      <c r="I3152" s="19"/>
    </row>
    <row r="3153" spans="1:9" ht="15.75" x14ac:dyDescent="0.25">
      <c r="A3153" s="51">
        <v>42821</v>
      </c>
      <c r="B3153" s="52" t="s">
        <v>10986</v>
      </c>
      <c r="C3153" s="18">
        <v>105931</v>
      </c>
      <c r="D3153" s="2" t="s">
        <v>4038</v>
      </c>
      <c r="E3153" s="15">
        <v>6052.8</v>
      </c>
      <c r="F3153" s="59">
        <v>42823</v>
      </c>
      <c r="G3153" s="15">
        <f t="shared" si="99"/>
        <v>6052.8</v>
      </c>
      <c r="H3153" s="15">
        <f t="shared" si="100"/>
        <v>0</v>
      </c>
      <c r="I3153" s="19"/>
    </row>
    <row r="3154" spans="1:9" ht="15.75" x14ac:dyDescent="0.25">
      <c r="A3154" s="51">
        <v>42821</v>
      </c>
      <c r="B3154" s="52" t="s">
        <v>10987</v>
      </c>
      <c r="C3154" s="18">
        <v>105932</v>
      </c>
      <c r="D3154" s="2" t="s">
        <v>5219</v>
      </c>
      <c r="E3154" s="15">
        <v>2537.6</v>
      </c>
      <c r="F3154" s="59">
        <v>42821</v>
      </c>
      <c r="G3154" s="15">
        <f t="shared" si="99"/>
        <v>2537.6</v>
      </c>
      <c r="H3154" s="15">
        <f t="shared" si="100"/>
        <v>0</v>
      </c>
      <c r="I3154" s="19"/>
    </row>
    <row r="3155" spans="1:9" ht="15.75" x14ac:dyDescent="0.25">
      <c r="A3155" s="51">
        <v>42821</v>
      </c>
      <c r="B3155" s="52" t="s">
        <v>10988</v>
      </c>
      <c r="C3155" s="18">
        <v>105933</v>
      </c>
      <c r="D3155" s="2" t="s">
        <v>686</v>
      </c>
      <c r="E3155" s="15">
        <v>12064.6</v>
      </c>
      <c r="F3155" s="59">
        <v>42823</v>
      </c>
      <c r="G3155" s="15">
        <f t="shared" si="99"/>
        <v>12064.6</v>
      </c>
      <c r="H3155" s="15">
        <f t="shared" si="100"/>
        <v>0</v>
      </c>
      <c r="I3155" s="19"/>
    </row>
    <row r="3156" spans="1:9" ht="15.75" x14ac:dyDescent="0.25">
      <c r="A3156" s="51">
        <v>42821</v>
      </c>
      <c r="B3156" s="52" t="s">
        <v>10989</v>
      </c>
      <c r="C3156" s="18">
        <v>105934</v>
      </c>
      <c r="D3156" s="2" t="s">
        <v>680</v>
      </c>
      <c r="E3156" s="15">
        <v>1588.6</v>
      </c>
      <c r="F3156" s="59">
        <v>42823</v>
      </c>
      <c r="G3156" s="15">
        <f t="shared" si="99"/>
        <v>1588.6</v>
      </c>
      <c r="H3156" s="15">
        <f t="shared" si="100"/>
        <v>0</v>
      </c>
      <c r="I3156" s="19"/>
    </row>
    <row r="3157" spans="1:9" ht="15.75" x14ac:dyDescent="0.25">
      <c r="A3157" s="51">
        <v>42821</v>
      </c>
      <c r="B3157" s="52" t="s">
        <v>10990</v>
      </c>
      <c r="C3157" s="18">
        <v>105935</v>
      </c>
      <c r="D3157" s="2" t="s">
        <v>1197</v>
      </c>
      <c r="E3157" s="15">
        <v>2884.8</v>
      </c>
      <c r="F3157" s="59">
        <v>42823</v>
      </c>
      <c r="G3157" s="15">
        <f t="shared" si="99"/>
        <v>2884.8</v>
      </c>
      <c r="H3157" s="15">
        <f t="shared" si="100"/>
        <v>0</v>
      </c>
      <c r="I3157" s="19"/>
    </row>
    <row r="3158" spans="1:9" ht="15.75" x14ac:dyDescent="0.25">
      <c r="A3158" s="51">
        <v>42821</v>
      </c>
      <c r="B3158" s="52" t="s">
        <v>10991</v>
      </c>
      <c r="C3158" s="18">
        <v>105936</v>
      </c>
      <c r="D3158" s="2" t="s">
        <v>675</v>
      </c>
      <c r="E3158" s="15">
        <v>1924.8</v>
      </c>
      <c r="F3158" s="59">
        <v>42823</v>
      </c>
      <c r="G3158" s="15">
        <f t="shared" si="99"/>
        <v>1924.8</v>
      </c>
      <c r="H3158" s="15">
        <f t="shared" si="100"/>
        <v>0</v>
      </c>
      <c r="I3158" s="19"/>
    </row>
    <row r="3159" spans="1:9" ht="15.75" x14ac:dyDescent="0.25">
      <c r="A3159" s="51">
        <v>42821</v>
      </c>
      <c r="B3159" s="52" t="s">
        <v>10992</v>
      </c>
      <c r="C3159" s="18">
        <v>105937</v>
      </c>
      <c r="D3159" s="2" t="s">
        <v>147</v>
      </c>
      <c r="E3159" s="15">
        <v>26556</v>
      </c>
      <c r="F3159" s="59">
        <v>42822</v>
      </c>
      <c r="G3159" s="15">
        <f t="shared" si="99"/>
        <v>26556</v>
      </c>
      <c r="H3159" s="15">
        <f t="shared" si="100"/>
        <v>0</v>
      </c>
      <c r="I3159" s="19"/>
    </row>
    <row r="3160" spans="1:9" ht="15.75" x14ac:dyDescent="0.25">
      <c r="A3160" s="51">
        <v>42821</v>
      </c>
      <c r="B3160" s="52" t="s">
        <v>10993</v>
      </c>
      <c r="C3160" s="18">
        <v>105938</v>
      </c>
      <c r="D3160" s="2" t="s">
        <v>682</v>
      </c>
      <c r="E3160" s="15">
        <v>2149.4</v>
      </c>
      <c r="F3160" s="59">
        <v>42823</v>
      </c>
      <c r="G3160" s="15">
        <f t="shared" si="99"/>
        <v>2149.4</v>
      </c>
      <c r="H3160" s="15">
        <f t="shared" si="100"/>
        <v>0</v>
      </c>
      <c r="I3160" s="19"/>
    </row>
    <row r="3161" spans="1:9" ht="15.75" x14ac:dyDescent="0.25">
      <c r="A3161" s="51">
        <v>42821</v>
      </c>
      <c r="B3161" s="52" t="s">
        <v>10994</v>
      </c>
      <c r="C3161" s="18">
        <v>105939</v>
      </c>
      <c r="D3161" s="2" t="s">
        <v>677</v>
      </c>
      <c r="E3161" s="15">
        <v>7254.58</v>
      </c>
      <c r="F3161" s="59">
        <v>42823</v>
      </c>
      <c r="G3161" s="15">
        <f t="shared" si="99"/>
        <v>7254.58</v>
      </c>
      <c r="H3161" s="15">
        <f t="shared" si="100"/>
        <v>0</v>
      </c>
      <c r="I3161" s="19"/>
    </row>
    <row r="3162" spans="1:9" ht="15.75" x14ac:dyDescent="0.25">
      <c r="A3162" s="51">
        <v>42821</v>
      </c>
      <c r="B3162" s="52" t="s">
        <v>10995</v>
      </c>
      <c r="C3162" s="18">
        <v>105940</v>
      </c>
      <c r="D3162" s="2" t="s">
        <v>356</v>
      </c>
      <c r="E3162" s="15">
        <v>12355.2</v>
      </c>
      <c r="F3162" s="59">
        <v>42823</v>
      </c>
      <c r="G3162" s="15">
        <f t="shared" si="99"/>
        <v>12355.2</v>
      </c>
      <c r="H3162" s="15">
        <f t="shared" si="100"/>
        <v>0</v>
      </c>
      <c r="I3162" s="19"/>
    </row>
    <row r="3163" spans="1:9" ht="15.75" x14ac:dyDescent="0.25">
      <c r="A3163" s="51">
        <v>42821</v>
      </c>
      <c r="B3163" s="52" t="s">
        <v>10996</v>
      </c>
      <c r="C3163" s="18">
        <v>105941</v>
      </c>
      <c r="D3163" s="2" t="s">
        <v>785</v>
      </c>
      <c r="E3163" s="15">
        <v>10544</v>
      </c>
      <c r="F3163" s="59">
        <v>42822</v>
      </c>
      <c r="G3163" s="15">
        <f t="shared" si="99"/>
        <v>10544</v>
      </c>
      <c r="H3163" s="15">
        <f t="shared" si="100"/>
        <v>0</v>
      </c>
      <c r="I3163" s="19"/>
    </row>
    <row r="3164" spans="1:9" ht="15.75" x14ac:dyDescent="0.25">
      <c r="A3164" s="51">
        <v>42821</v>
      </c>
      <c r="B3164" s="52" t="s">
        <v>10997</v>
      </c>
      <c r="C3164" s="18">
        <v>105942</v>
      </c>
      <c r="D3164" s="2" t="s">
        <v>785</v>
      </c>
      <c r="E3164" s="15">
        <v>6085</v>
      </c>
      <c r="F3164" s="59">
        <v>42822</v>
      </c>
      <c r="G3164" s="15">
        <f t="shared" si="99"/>
        <v>6085</v>
      </c>
      <c r="H3164" s="15">
        <f t="shared" si="100"/>
        <v>0</v>
      </c>
      <c r="I3164" s="19"/>
    </row>
    <row r="3165" spans="1:9" ht="15.75" x14ac:dyDescent="0.25">
      <c r="A3165" s="51">
        <v>42821</v>
      </c>
      <c r="B3165" s="52" t="s">
        <v>10998</v>
      </c>
      <c r="C3165" s="18">
        <v>105943</v>
      </c>
      <c r="D3165" s="2" t="s">
        <v>131</v>
      </c>
      <c r="E3165" s="15">
        <v>9648.6</v>
      </c>
      <c r="F3165" s="59">
        <v>42822</v>
      </c>
      <c r="G3165" s="15">
        <f t="shared" si="99"/>
        <v>9648.6</v>
      </c>
      <c r="H3165" s="15">
        <f t="shared" si="100"/>
        <v>0</v>
      </c>
      <c r="I3165" s="19"/>
    </row>
    <row r="3166" spans="1:9" ht="15.75" x14ac:dyDescent="0.25">
      <c r="A3166" s="51">
        <v>42821</v>
      </c>
      <c r="B3166" s="52" t="s">
        <v>10999</v>
      </c>
      <c r="C3166" s="18">
        <v>105944</v>
      </c>
      <c r="D3166" s="2" t="s">
        <v>688</v>
      </c>
      <c r="E3166" s="15">
        <v>3944.8</v>
      </c>
      <c r="F3166" s="59">
        <v>42823</v>
      </c>
      <c r="G3166" s="15">
        <f t="shared" si="99"/>
        <v>3944.8</v>
      </c>
      <c r="H3166" s="15">
        <f t="shared" si="100"/>
        <v>0</v>
      </c>
      <c r="I3166" s="19"/>
    </row>
    <row r="3167" spans="1:9" ht="15.75" x14ac:dyDescent="0.25">
      <c r="A3167" s="51">
        <v>42821</v>
      </c>
      <c r="B3167" s="52" t="s">
        <v>11000</v>
      </c>
      <c r="C3167" s="18">
        <v>105945</v>
      </c>
      <c r="D3167" s="2" t="s">
        <v>673</v>
      </c>
      <c r="E3167" s="15">
        <v>9070.4</v>
      </c>
      <c r="F3167" s="59">
        <v>42823</v>
      </c>
      <c r="G3167" s="15">
        <f t="shared" si="99"/>
        <v>9070.4</v>
      </c>
      <c r="H3167" s="15">
        <f t="shared" si="100"/>
        <v>0</v>
      </c>
      <c r="I3167" s="19"/>
    </row>
    <row r="3168" spans="1:9" ht="15.75" x14ac:dyDescent="0.25">
      <c r="A3168" s="51">
        <v>42821</v>
      </c>
      <c r="B3168" s="52" t="s">
        <v>11001</v>
      </c>
      <c r="C3168" s="18">
        <v>105946</v>
      </c>
      <c r="D3168" s="2" t="s">
        <v>1598</v>
      </c>
      <c r="E3168" s="15">
        <v>4032</v>
      </c>
      <c r="F3168" s="59">
        <v>42823</v>
      </c>
      <c r="G3168" s="15">
        <f t="shared" si="99"/>
        <v>4032</v>
      </c>
      <c r="H3168" s="15">
        <f t="shared" si="100"/>
        <v>0</v>
      </c>
      <c r="I3168" s="19"/>
    </row>
    <row r="3169" spans="1:9" ht="15.75" x14ac:dyDescent="0.25">
      <c r="A3169" s="51">
        <v>42821</v>
      </c>
      <c r="B3169" s="52" t="s">
        <v>11002</v>
      </c>
      <c r="C3169" s="18">
        <v>105947</v>
      </c>
      <c r="D3169" s="2" t="s">
        <v>921</v>
      </c>
      <c r="E3169" s="15">
        <v>3922.8</v>
      </c>
      <c r="F3169" s="59">
        <v>42821</v>
      </c>
      <c r="G3169" s="15">
        <f t="shared" si="99"/>
        <v>3922.8</v>
      </c>
      <c r="H3169" s="15">
        <f t="shared" si="100"/>
        <v>0</v>
      </c>
      <c r="I3169" s="19"/>
    </row>
    <row r="3170" spans="1:9" ht="15.75" x14ac:dyDescent="0.25">
      <c r="A3170" s="51">
        <v>42821</v>
      </c>
      <c r="B3170" s="52" t="s">
        <v>11003</v>
      </c>
      <c r="C3170" s="18">
        <v>105948</v>
      </c>
      <c r="D3170" s="2" t="s">
        <v>47</v>
      </c>
      <c r="E3170" s="15">
        <v>2864.4</v>
      </c>
      <c r="F3170" s="59">
        <v>42821</v>
      </c>
      <c r="G3170" s="15">
        <f t="shared" si="99"/>
        <v>2864.4</v>
      </c>
      <c r="H3170" s="15">
        <f t="shared" si="100"/>
        <v>0</v>
      </c>
      <c r="I3170" s="19"/>
    </row>
    <row r="3171" spans="1:9" ht="15.75" x14ac:dyDescent="0.25">
      <c r="A3171" s="51">
        <v>42821</v>
      </c>
      <c r="B3171" s="52" t="s">
        <v>11004</v>
      </c>
      <c r="C3171" s="18">
        <v>105949</v>
      </c>
      <c r="D3171" s="2" t="s">
        <v>2054</v>
      </c>
      <c r="E3171" s="15">
        <v>2758</v>
      </c>
      <c r="F3171" s="59">
        <v>42821</v>
      </c>
      <c r="G3171" s="15">
        <f t="shared" si="99"/>
        <v>2758</v>
      </c>
      <c r="H3171" s="15">
        <f t="shared" si="100"/>
        <v>0</v>
      </c>
      <c r="I3171" s="19"/>
    </row>
    <row r="3172" spans="1:9" ht="15.75" x14ac:dyDescent="0.25">
      <c r="A3172" s="51">
        <v>42821</v>
      </c>
      <c r="B3172" s="52" t="s">
        <v>11005</v>
      </c>
      <c r="C3172" s="18">
        <v>105950</v>
      </c>
      <c r="D3172" s="2" t="s">
        <v>122</v>
      </c>
      <c r="E3172" s="15">
        <v>27024.799999999999</v>
      </c>
      <c r="F3172" s="59">
        <v>42829</v>
      </c>
      <c r="G3172" s="15">
        <f t="shared" si="99"/>
        <v>27024.799999999999</v>
      </c>
      <c r="H3172" s="15">
        <f t="shared" si="100"/>
        <v>0</v>
      </c>
      <c r="I3172" s="19"/>
    </row>
    <row r="3173" spans="1:9" ht="15.75" x14ac:dyDescent="0.25">
      <c r="A3173" s="51">
        <v>42821</v>
      </c>
      <c r="B3173" s="52" t="s">
        <v>11006</v>
      </c>
      <c r="C3173" s="18">
        <v>105951</v>
      </c>
      <c r="D3173" s="2" t="s">
        <v>222</v>
      </c>
      <c r="E3173" s="15">
        <v>408272</v>
      </c>
      <c r="F3173" s="59">
        <v>42824</v>
      </c>
      <c r="G3173" s="15">
        <f t="shared" si="99"/>
        <v>408272</v>
      </c>
      <c r="H3173" s="15">
        <f t="shared" si="100"/>
        <v>0</v>
      </c>
      <c r="I3173" s="19"/>
    </row>
    <row r="3174" spans="1:9" ht="15.75" x14ac:dyDescent="0.25">
      <c r="A3174" s="51">
        <v>42822</v>
      </c>
      <c r="B3174" s="52" t="s">
        <v>11007</v>
      </c>
      <c r="C3174" s="18">
        <v>105952</v>
      </c>
      <c r="D3174" s="2" t="s">
        <v>231</v>
      </c>
      <c r="E3174" s="15">
        <v>7292</v>
      </c>
      <c r="F3174" s="59">
        <v>42823</v>
      </c>
      <c r="G3174" s="15">
        <f t="shared" si="99"/>
        <v>7292</v>
      </c>
      <c r="H3174" s="15">
        <f t="shared" si="100"/>
        <v>0</v>
      </c>
      <c r="I3174" s="19"/>
    </row>
    <row r="3175" spans="1:9" ht="15.75" x14ac:dyDescent="0.25">
      <c r="A3175" s="51">
        <v>42822</v>
      </c>
      <c r="B3175" s="52" t="s">
        <v>11008</v>
      </c>
      <c r="C3175" s="18">
        <v>105953</v>
      </c>
      <c r="D3175" s="2" t="s">
        <v>231</v>
      </c>
      <c r="E3175" s="15">
        <v>37729.599999999999</v>
      </c>
      <c r="F3175" s="59" t="s">
        <v>11009</v>
      </c>
      <c r="G3175" s="15">
        <f>33729.6+4000</f>
        <v>37729.599999999999</v>
      </c>
      <c r="H3175" s="15">
        <f t="shared" si="100"/>
        <v>0</v>
      </c>
      <c r="I3175" s="19"/>
    </row>
    <row r="3176" spans="1:9" ht="15.75" x14ac:dyDescent="0.25">
      <c r="A3176" s="51">
        <v>42822</v>
      </c>
      <c r="B3176" s="52" t="s">
        <v>11010</v>
      </c>
      <c r="C3176" s="18">
        <v>105954</v>
      </c>
      <c r="D3176" s="2" t="s">
        <v>428</v>
      </c>
      <c r="E3176" s="15">
        <v>1818.9</v>
      </c>
      <c r="F3176" s="59">
        <v>42823</v>
      </c>
      <c r="G3176" s="15">
        <f t="shared" si="99"/>
        <v>1818.9</v>
      </c>
      <c r="H3176" s="15">
        <f t="shared" si="100"/>
        <v>0</v>
      </c>
      <c r="I3176" s="19"/>
    </row>
    <row r="3177" spans="1:9" ht="15.75" x14ac:dyDescent="0.25">
      <c r="A3177" s="51">
        <v>42822</v>
      </c>
      <c r="B3177" s="52" t="s">
        <v>11011</v>
      </c>
      <c r="C3177" s="18">
        <v>105955</v>
      </c>
      <c r="D3177" s="2" t="s">
        <v>26</v>
      </c>
      <c r="E3177" s="15">
        <v>14988.6</v>
      </c>
      <c r="F3177" s="59">
        <v>42822</v>
      </c>
      <c r="G3177" s="15">
        <f t="shared" si="99"/>
        <v>14988.6</v>
      </c>
      <c r="H3177" s="15">
        <f t="shared" si="100"/>
        <v>0</v>
      </c>
      <c r="I3177" s="19"/>
    </row>
    <row r="3178" spans="1:9" ht="15.75" x14ac:dyDescent="0.25">
      <c r="A3178" s="51">
        <v>42822</v>
      </c>
      <c r="B3178" s="52" t="s">
        <v>11012</v>
      </c>
      <c r="C3178" s="18">
        <v>105956</v>
      </c>
      <c r="D3178" s="2" t="s">
        <v>21</v>
      </c>
      <c r="E3178" s="15">
        <v>48658.8</v>
      </c>
      <c r="F3178" s="59">
        <v>42832</v>
      </c>
      <c r="G3178" s="15">
        <f t="shared" si="99"/>
        <v>48658.8</v>
      </c>
      <c r="H3178" s="15">
        <f t="shared" si="100"/>
        <v>0</v>
      </c>
      <c r="I3178" s="19"/>
    </row>
    <row r="3179" spans="1:9" ht="15.75" x14ac:dyDescent="0.25">
      <c r="A3179" s="51">
        <v>42822</v>
      </c>
      <c r="B3179" s="52" t="s">
        <v>11013</v>
      </c>
      <c r="C3179" s="18">
        <v>105957</v>
      </c>
      <c r="D3179" s="2" t="s">
        <v>1335</v>
      </c>
      <c r="E3179" s="15">
        <v>10435.5</v>
      </c>
      <c r="F3179" s="59">
        <v>42822</v>
      </c>
      <c r="G3179" s="15">
        <f t="shared" si="99"/>
        <v>10435.5</v>
      </c>
      <c r="H3179" s="15">
        <f t="shared" si="100"/>
        <v>0</v>
      </c>
      <c r="I3179" s="19"/>
    </row>
    <row r="3180" spans="1:9" ht="15.75" x14ac:dyDescent="0.25">
      <c r="A3180" s="51">
        <v>42822</v>
      </c>
      <c r="B3180" s="52" t="s">
        <v>11014</v>
      </c>
      <c r="C3180" s="18">
        <v>105958</v>
      </c>
      <c r="D3180" s="2" t="s">
        <v>1335</v>
      </c>
      <c r="E3180" s="15">
        <v>768.3</v>
      </c>
      <c r="F3180" s="59">
        <v>42822</v>
      </c>
      <c r="G3180" s="15">
        <f t="shared" si="99"/>
        <v>768.3</v>
      </c>
      <c r="H3180" s="15">
        <f t="shared" si="100"/>
        <v>0</v>
      </c>
      <c r="I3180" s="19"/>
    </row>
    <row r="3181" spans="1:9" ht="15.75" x14ac:dyDescent="0.25">
      <c r="A3181" s="51">
        <v>42822</v>
      </c>
      <c r="B3181" s="52" t="s">
        <v>11015</v>
      </c>
      <c r="C3181" s="18">
        <v>105959</v>
      </c>
      <c r="D3181" s="2" t="s">
        <v>9302</v>
      </c>
      <c r="E3181" s="15">
        <v>555.32000000000005</v>
      </c>
      <c r="F3181" s="59">
        <v>42822</v>
      </c>
      <c r="G3181" s="15">
        <f t="shared" si="99"/>
        <v>555.32000000000005</v>
      </c>
      <c r="H3181" s="15">
        <f t="shared" si="100"/>
        <v>0</v>
      </c>
      <c r="I3181" s="19"/>
    </row>
    <row r="3182" spans="1:9" ht="15.75" x14ac:dyDescent="0.25">
      <c r="A3182" s="51">
        <v>42822</v>
      </c>
      <c r="B3182" s="52" t="s">
        <v>11016</v>
      </c>
      <c r="C3182" s="18">
        <v>105960</v>
      </c>
      <c r="D3182" s="2" t="s">
        <v>17</v>
      </c>
      <c r="E3182" s="15">
        <v>2300</v>
      </c>
      <c r="F3182" s="59">
        <v>42822</v>
      </c>
      <c r="G3182" s="15">
        <f t="shared" si="99"/>
        <v>2300</v>
      </c>
      <c r="H3182" s="15">
        <f t="shared" si="100"/>
        <v>0</v>
      </c>
      <c r="I3182" s="19"/>
    </row>
    <row r="3183" spans="1:9" ht="15.75" x14ac:dyDescent="0.25">
      <c r="A3183" s="51">
        <v>42822</v>
      </c>
      <c r="B3183" s="52" t="s">
        <v>11017</v>
      </c>
      <c r="C3183" s="18">
        <v>105961</v>
      </c>
      <c r="D3183" s="13" t="s">
        <v>26</v>
      </c>
      <c r="E3183" s="14">
        <v>0</v>
      </c>
      <c r="F3183" s="102" t="s">
        <v>95</v>
      </c>
      <c r="G3183" s="14">
        <f t="shared" si="99"/>
        <v>0</v>
      </c>
      <c r="H3183" s="14">
        <f t="shared" si="100"/>
        <v>0</v>
      </c>
      <c r="I3183" s="19"/>
    </row>
    <row r="3184" spans="1:9" ht="15.75" x14ac:dyDescent="0.25">
      <c r="A3184" s="51">
        <v>42822</v>
      </c>
      <c r="B3184" s="52" t="s">
        <v>11018</v>
      </c>
      <c r="C3184" s="18">
        <v>105962</v>
      </c>
      <c r="D3184" s="2" t="s">
        <v>28</v>
      </c>
      <c r="E3184" s="15">
        <v>14190</v>
      </c>
      <c r="F3184" s="59">
        <v>42822</v>
      </c>
      <c r="G3184" s="15">
        <f t="shared" si="99"/>
        <v>14190</v>
      </c>
      <c r="H3184" s="15">
        <f t="shared" si="100"/>
        <v>0</v>
      </c>
      <c r="I3184" s="19"/>
    </row>
    <row r="3185" spans="1:9" ht="15.75" x14ac:dyDescent="0.25">
      <c r="A3185" s="51">
        <v>42822</v>
      </c>
      <c r="B3185" s="52" t="s">
        <v>11019</v>
      </c>
      <c r="C3185" s="18">
        <v>105963</v>
      </c>
      <c r="D3185" s="2" t="s">
        <v>47</v>
      </c>
      <c r="E3185" s="15">
        <v>3700.7</v>
      </c>
      <c r="F3185" s="59">
        <v>42822</v>
      </c>
      <c r="G3185" s="15">
        <f t="shared" si="99"/>
        <v>3700.7</v>
      </c>
      <c r="H3185" s="15">
        <f t="shared" si="100"/>
        <v>0</v>
      </c>
      <c r="I3185" s="19"/>
    </row>
    <row r="3186" spans="1:9" ht="15.75" x14ac:dyDescent="0.25">
      <c r="A3186" s="51">
        <v>42822</v>
      </c>
      <c r="B3186" s="52" t="s">
        <v>11020</v>
      </c>
      <c r="C3186" s="18">
        <v>105964</v>
      </c>
      <c r="D3186" s="2" t="s">
        <v>1335</v>
      </c>
      <c r="E3186" s="15">
        <v>484.8</v>
      </c>
      <c r="F3186" s="59">
        <v>42822</v>
      </c>
      <c r="G3186" s="15">
        <f t="shared" si="99"/>
        <v>484.8</v>
      </c>
      <c r="H3186" s="15">
        <f t="shared" si="100"/>
        <v>0</v>
      </c>
      <c r="I3186" s="19"/>
    </row>
    <row r="3187" spans="1:9" ht="15.75" x14ac:dyDescent="0.25">
      <c r="A3187" s="51">
        <v>42822</v>
      </c>
      <c r="B3187" s="52" t="s">
        <v>11021</v>
      </c>
      <c r="C3187" s="18">
        <v>105965</v>
      </c>
      <c r="D3187" s="2" t="s">
        <v>69</v>
      </c>
      <c r="E3187" s="15">
        <v>2924</v>
      </c>
      <c r="F3187" s="59">
        <v>42822</v>
      </c>
      <c r="G3187" s="15">
        <f t="shared" si="99"/>
        <v>2924</v>
      </c>
      <c r="H3187" s="15">
        <f t="shared" si="100"/>
        <v>0</v>
      </c>
      <c r="I3187" s="19"/>
    </row>
    <row r="3188" spans="1:9" ht="15.75" x14ac:dyDescent="0.25">
      <c r="A3188" s="51">
        <v>42822</v>
      </c>
      <c r="B3188" s="52" t="s">
        <v>11022</v>
      </c>
      <c r="C3188" s="18">
        <v>105966</v>
      </c>
      <c r="D3188" s="2" t="s">
        <v>509</v>
      </c>
      <c r="E3188" s="15">
        <v>19083.400000000001</v>
      </c>
      <c r="F3188" s="59">
        <v>42833</v>
      </c>
      <c r="G3188" s="15">
        <f t="shared" si="99"/>
        <v>19083.400000000001</v>
      </c>
      <c r="H3188" s="15">
        <f t="shared" si="100"/>
        <v>0</v>
      </c>
      <c r="I3188" s="19"/>
    </row>
    <row r="3189" spans="1:9" ht="15.75" x14ac:dyDescent="0.25">
      <c r="A3189" s="51">
        <v>42822</v>
      </c>
      <c r="B3189" s="52" t="s">
        <v>11023</v>
      </c>
      <c r="C3189" s="18">
        <v>105967</v>
      </c>
      <c r="D3189" s="2" t="s">
        <v>435</v>
      </c>
      <c r="E3189" s="15">
        <v>2660.4</v>
      </c>
      <c r="F3189" s="59">
        <v>42825</v>
      </c>
      <c r="G3189" s="15">
        <f t="shared" si="99"/>
        <v>2660.4</v>
      </c>
      <c r="H3189" s="15">
        <f t="shared" si="100"/>
        <v>0</v>
      </c>
      <c r="I3189" s="19"/>
    </row>
    <row r="3190" spans="1:9" ht="15.75" x14ac:dyDescent="0.25">
      <c r="A3190" s="51">
        <v>42822</v>
      </c>
      <c r="B3190" s="52" t="s">
        <v>11024</v>
      </c>
      <c r="C3190" s="18">
        <v>105968</v>
      </c>
      <c r="D3190" s="2" t="s">
        <v>442</v>
      </c>
      <c r="E3190" s="15">
        <v>3238.2</v>
      </c>
      <c r="F3190" s="59">
        <v>42823</v>
      </c>
      <c r="G3190" s="15">
        <f t="shared" si="99"/>
        <v>3238.2</v>
      </c>
      <c r="H3190" s="15">
        <f t="shared" si="100"/>
        <v>0</v>
      </c>
      <c r="I3190" s="19"/>
    </row>
    <row r="3191" spans="1:9" ht="15.75" x14ac:dyDescent="0.25">
      <c r="A3191" s="51">
        <v>42822</v>
      </c>
      <c r="B3191" s="52" t="s">
        <v>11025</v>
      </c>
      <c r="C3191" s="18">
        <v>105969</v>
      </c>
      <c r="D3191" s="2" t="s">
        <v>432</v>
      </c>
      <c r="E3191" s="15">
        <v>15038.1</v>
      </c>
      <c r="F3191" s="59">
        <v>42825</v>
      </c>
      <c r="G3191" s="15">
        <f t="shared" si="99"/>
        <v>15038.1</v>
      </c>
      <c r="H3191" s="15">
        <f t="shared" si="100"/>
        <v>0</v>
      </c>
      <c r="I3191" s="19"/>
    </row>
    <row r="3192" spans="1:9" ht="15.75" x14ac:dyDescent="0.25">
      <c r="A3192" s="51">
        <v>42822</v>
      </c>
      <c r="B3192" s="52" t="s">
        <v>11026</v>
      </c>
      <c r="C3192" s="18">
        <v>105970</v>
      </c>
      <c r="D3192" s="2" t="s">
        <v>268</v>
      </c>
      <c r="E3192" s="15">
        <v>15500.1</v>
      </c>
      <c r="F3192" s="59">
        <v>42825</v>
      </c>
      <c r="G3192" s="15">
        <f t="shared" si="99"/>
        <v>15500.1</v>
      </c>
      <c r="H3192" s="15">
        <f t="shared" si="100"/>
        <v>0</v>
      </c>
      <c r="I3192" s="19"/>
    </row>
    <row r="3193" spans="1:9" ht="15.75" x14ac:dyDescent="0.25">
      <c r="A3193" s="51">
        <v>42822</v>
      </c>
      <c r="B3193" s="52" t="s">
        <v>11027</v>
      </c>
      <c r="C3193" s="18">
        <v>105971</v>
      </c>
      <c r="D3193" s="2" t="s">
        <v>67</v>
      </c>
      <c r="E3193" s="15">
        <v>6375.6</v>
      </c>
      <c r="F3193" s="64" t="s">
        <v>11501</v>
      </c>
      <c r="G3193" s="20">
        <f>6098.4+277.2</f>
        <v>6375.5999999999995</v>
      </c>
      <c r="H3193" s="20">
        <f t="shared" si="100"/>
        <v>0</v>
      </c>
      <c r="I3193" s="19"/>
    </row>
    <row r="3194" spans="1:9" ht="15.75" x14ac:dyDescent="0.25">
      <c r="A3194" s="51">
        <v>42822</v>
      </c>
      <c r="B3194" s="52" t="s">
        <v>11028</v>
      </c>
      <c r="C3194" s="18">
        <v>105972</v>
      </c>
      <c r="D3194" s="2" t="s">
        <v>272</v>
      </c>
      <c r="E3194" s="15">
        <v>3682.9</v>
      </c>
      <c r="F3194" s="64" t="s">
        <v>10947</v>
      </c>
      <c r="G3194" s="20">
        <f>3308.9+374</f>
        <v>3682.9</v>
      </c>
      <c r="H3194" s="20">
        <f t="shared" si="100"/>
        <v>0</v>
      </c>
      <c r="I3194" s="19"/>
    </row>
    <row r="3195" spans="1:9" ht="15.75" x14ac:dyDescent="0.25">
      <c r="A3195" s="51">
        <v>42822</v>
      </c>
      <c r="B3195" s="52" t="s">
        <v>11029</v>
      </c>
      <c r="C3195" s="18">
        <v>105973</v>
      </c>
      <c r="D3195" s="2" t="s">
        <v>268</v>
      </c>
      <c r="E3195" s="15">
        <v>4606</v>
      </c>
      <c r="F3195" s="59">
        <v>42825</v>
      </c>
      <c r="G3195" s="15">
        <f t="shared" si="99"/>
        <v>4606</v>
      </c>
      <c r="H3195" s="15">
        <f t="shared" si="100"/>
        <v>0</v>
      </c>
      <c r="I3195" s="19"/>
    </row>
    <row r="3196" spans="1:9" ht="15.75" x14ac:dyDescent="0.25">
      <c r="A3196" s="51">
        <v>42822</v>
      </c>
      <c r="B3196" s="52" t="s">
        <v>11030</v>
      </c>
      <c r="C3196" s="18">
        <v>105974</v>
      </c>
      <c r="D3196" s="2" t="s">
        <v>157</v>
      </c>
      <c r="E3196" s="15">
        <v>30291.1</v>
      </c>
      <c r="F3196" s="59">
        <v>42822</v>
      </c>
      <c r="G3196" s="15">
        <f t="shared" si="99"/>
        <v>30291.1</v>
      </c>
      <c r="H3196" s="15">
        <f t="shared" si="100"/>
        <v>0</v>
      </c>
      <c r="I3196" s="19"/>
    </row>
    <row r="3197" spans="1:9" ht="15.75" x14ac:dyDescent="0.25">
      <c r="A3197" s="51">
        <v>42822</v>
      </c>
      <c r="B3197" s="52" t="s">
        <v>11031</v>
      </c>
      <c r="C3197" s="18">
        <v>105975</v>
      </c>
      <c r="D3197" s="2" t="s">
        <v>270</v>
      </c>
      <c r="E3197" s="15">
        <v>3281.28</v>
      </c>
      <c r="F3197" s="59">
        <v>42825</v>
      </c>
      <c r="G3197" s="15">
        <f t="shared" si="99"/>
        <v>3281.28</v>
      </c>
      <c r="H3197" s="15">
        <f t="shared" si="100"/>
        <v>0</v>
      </c>
      <c r="I3197" s="19"/>
    </row>
    <row r="3198" spans="1:9" ht="15.75" x14ac:dyDescent="0.25">
      <c r="A3198" s="51">
        <v>42822</v>
      </c>
      <c r="B3198" s="52" t="s">
        <v>11032</v>
      </c>
      <c r="C3198" s="18">
        <v>105976</v>
      </c>
      <c r="D3198" s="2" t="s">
        <v>71</v>
      </c>
      <c r="E3198" s="15">
        <v>1180</v>
      </c>
      <c r="F3198" s="59">
        <v>42822</v>
      </c>
      <c r="G3198" s="15">
        <f t="shared" si="99"/>
        <v>1180</v>
      </c>
      <c r="H3198" s="15">
        <f t="shared" si="100"/>
        <v>0</v>
      </c>
      <c r="I3198" s="19"/>
    </row>
    <row r="3199" spans="1:9" ht="15.75" x14ac:dyDescent="0.25">
      <c r="A3199" s="51">
        <v>42822</v>
      </c>
      <c r="B3199" s="52" t="s">
        <v>11033</v>
      </c>
      <c r="C3199" s="18">
        <v>105977</v>
      </c>
      <c r="D3199" s="2" t="s">
        <v>35</v>
      </c>
      <c r="E3199" s="15">
        <v>9468.7999999999993</v>
      </c>
      <c r="F3199" s="59">
        <v>42824</v>
      </c>
      <c r="G3199" s="15">
        <f t="shared" si="99"/>
        <v>9468.7999999999993</v>
      </c>
      <c r="H3199" s="15">
        <f t="shared" si="100"/>
        <v>0</v>
      </c>
      <c r="I3199" s="19"/>
    </row>
    <row r="3200" spans="1:9" ht="15.75" x14ac:dyDescent="0.25">
      <c r="A3200" s="51">
        <v>42822</v>
      </c>
      <c r="B3200" s="52" t="s">
        <v>11034</v>
      </c>
      <c r="C3200" s="18">
        <v>105978</v>
      </c>
      <c r="D3200" s="2" t="s">
        <v>32</v>
      </c>
      <c r="E3200" s="15">
        <v>5567.7</v>
      </c>
      <c r="F3200" s="59">
        <v>42826</v>
      </c>
      <c r="G3200" s="15">
        <f t="shared" si="99"/>
        <v>5567.7</v>
      </c>
      <c r="H3200" s="15">
        <f t="shared" si="100"/>
        <v>0</v>
      </c>
      <c r="I3200" s="19"/>
    </row>
    <row r="3201" spans="1:9" ht="15.75" x14ac:dyDescent="0.25">
      <c r="A3201" s="51">
        <v>42822</v>
      </c>
      <c r="B3201" s="52" t="s">
        <v>11035</v>
      </c>
      <c r="C3201" s="18">
        <v>105979</v>
      </c>
      <c r="D3201" s="2" t="s">
        <v>38</v>
      </c>
      <c r="E3201" s="15">
        <v>3356.7</v>
      </c>
      <c r="F3201" s="64" t="s">
        <v>11496</v>
      </c>
      <c r="G3201" s="20">
        <f>2356.7+1000</f>
        <v>3356.7</v>
      </c>
      <c r="H3201" s="20">
        <f t="shared" si="100"/>
        <v>0</v>
      </c>
      <c r="I3201" s="19"/>
    </row>
    <row r="3202" spans="1:9" ht="15.75" x14ac:dyDescent="0.25">
      <c r="A3202" s="51">
        <v>42822</v>
      </c>
      <c r="B3202" s="52" t="s">
        <v>11036</v>
      </c>
      <c r="C3202" s="18">
        <v>105980</v>
      </c>
      <c r="D3202" s="2" t="s">
        <v>51</v>
      </c>
      <c r="E3202" s="15">
        <v>3201</v>
      </c>
      <c r="F3202" s="59">
        <v>42824</v>
      </c>
      <c r="G3202" s="15">
        <f t="shared" si="99"/>
        <v>3201</v>
      </c>
      <c r="H3202" s="15">
        <f t="shared" si="100"/>
        <v>0</v>
      </c>
      <c r="I3202" s="19"/>
    </row>
    <row r="3203" spans="1:9" ht="15.75" x14ac:dyDescent="0.25">
      <c r="A3203" s="51">
        <v>42822</v>
      </c>
      <c r="B3203" s="52" t="s">
        <v>11037</v>
      </c>
      <c r="C3203" s="18">
        <v>105981</v>
      </c>
      <c r="D3203" s="2" t="s">
        <v>43</v>
      </c>
      <c r="E3203" s="15">
        <v>5178.6000000000004</v>
      </c>
      <c r="F3203" s="59">
        <v>42824</v>
      </c>
      <c r="G3203" s="15">
        <f t="shared" si="99"/>
        <v>5178.6000000000004</v>
      </c>
      <c r="H3203" s="15">
        <f t="shared" si="100"/>
        <v>0</v>
      </c>
      <c r="I3203" s="19"/>
    </row>
    <row r="3204" spans="1:9" ht="15.75" x14ac:dyDescent="0.25">
      <c r="A3204" s="51">
        <v>42822</v>
      </c>
      <c r="B3204" s="52" t="s">
        <v>11038</v>
      </c>
      <c r="C3204" s="18">
        <v>105982</v>
      </c>
      <c r="D3204" s="2" t="s">
        <v>149</v>
      </c>
      <c r="E3204" s="15">
        <v>11081</v>
      </c>
      <c r="F3204" s="59">
        <v>42822</v>
      </c>
      <c r="G3204" s="15">
        <f t="shared" ref="G3204:G3267" si="101">E3204</f>
        <v>11081</v>
      </c>
      <c r="H3204" s="15">
        <f t="shared" ref="H3204:H3267" si="102">E3204-G3204</f>
        <v>0</v>
      </c>
      <c r="I3204" s="19"/>
    </row>
    <row r="3205" spans="1:9" ht="15.75" x14ac:dyDescent="0.25">
      <c r="A3205" s="51">
        <v>42822</v>
      </c>
      <c r="B3205" s="52" t="s">
        <v>11039</v>
      </c>
      <c r="C3205" s="18">
        <v>105983</v>
      </c>
      <c r="D3205" s="2" t="s">
        <v>149</v>
      </c>
      <c r="E3205" s="15">
        <v>720.5</v>
      </c>
      <c r="F3205" s="59">
        <v>42822</v>
      </c>
      <c r="G3205" s="15">
        <f t="shared" si="101"/>
        <v>720.5</v>
      </c>
      <c r="H3205" s="15">
        <f t="shared" si="102"/>
        <v>0</v>
      </c>
      <c r="I3205" s="19"/>
    </row>
    <row r="3206" spans="1:9" ht="15.75" x14ac:dyDescent="0.25">
      <c r="A3206" s="51">
        <v>42822</v>
      </c>
      <c r="B3206" s="52" t="s">
        <v>11040</v>
      </c>
      <c r="C3206" s="18">
        <v>105984</v>
      </c>
      <c r="D3206" s="2" t="s">
        <v>40</v>
      </c>
      <c r="E3206" s="15">
        <v>3201.98</v>
      </c>
      <c r="F3206" s="59">
        <v>42828</v>
      </c>
      <c r="G3206" s="15">
        <f t="shared" si="101"/>
        <v>3201.98</v>
      </c>
      <c r="H3206" s="15">
        <f t="shared" si="102"/>
        <v>0</v>
      </c>
      <c r="I3206" s="19"/>
    </row>
    <row r="3207" spans="1:9" ht="15.75" x14ac:dyDescent="0.25">
      <c r="A3207" s="51">
        <v>42822</v>
      </c>
      <c r="B3207" s="52" t="s">
        <v>11041</v>
      </c>
      <c r="C3207" s="18">
        <v>105985</v>
      </c>
      <c r="D3207" s="2" t="s">
        <v>250</v>
      </c>
      <c r="E3207" s="15">
        <v>5968.5</v>
      </c>
      <c r="F3207" s="64" t="s">
        <v>11009</v>
      </c>
      <c r="G3207" s="20">
        <f>5000+968.5</f>
        <v>5968.5</v>
      </c>
      <c r="H3207" s="20">
        <f t="shared" si="102"/>
        <v>0</v>
      </c>
      <c r="I3207" s="19"/>
    </row>
    <row r="3208" spans="1:9" ht="15.75" x14ac:dyDescent="0.25">
      <c r="A3208" s="51">
        <v>42822</v>
      </c>
      <c r="B3208" s="52" t="s">
        <v>11042</v>
      </c>
      <c r="C3208" s="18">
        <v>105986</v>
      </c>
      <c r="D3208" s="2" t="s">
        <v>49</v>
      </c>
      <c r="E3208" s="15">
        <v>9913.2000000000007</v>
      </c>
      <c r="F3208" s="59">
        <v>42825</v>
      </c>
      <c r="G3208" s="15">
        <f>4000+5913.2</f>
        <v>9913.2000000000007</v>
      </c>
      <c r="H3208" s="15">
        <f t="shared" si="102"/>
        <v>0</v>
      </c>
      <c r="I3208" s="19"/>
    </row>
    <row r="3209" spans="1:9" ht="15.75" x14ac:dyDescent="0.25">
      <c r="A3209" s="51">
        <v>42822</v>
      </c>
      <c r="B3209" s="52" t="s">
        <v>11043</v>
      </c>
      <c r="C3209" s="18">
        <v>105987</v>
      </c>
      <c r="D3209" s="2" t="s">
        <v>43</v>
      </c>
      <c r="E3209" s="15">
        <v>1086.8</v>
      </c>
      <c r="F3209" s="59">
        <v>42824</v>
      </c>
      <c r="G3209" s="15">
        <f t="shared" si="101"/>
        <v>1086.8</v>
      </c>
      <c r="H3209" s="15">
        <f t="shared" si="102"/>
        <v>0</v>
      </c>
      <c r="I3209" s="19"/>
    </row>
    <row r="3210" spans="1:9" ht="15.75" x14ac:dyDescent="0.25">
      <c r="A3210" s="51">
        <v>42822</v>
      </c>
      <c r="B3210" s="52" t="s">
        <v>11044</v>
      </c>
      <c r="C3210" s="18">
        <v>105988</v>
      </c>
      <c r="D3210" s="2" t="s">
        <v>3425</v>
      </c>
      <c r="E3210" s="15">
        <v>864</v>
      </c>
      <c r="F3210" s="59">
        <v>42822</v>
      </c>
      <c r="G3210" s="15">
        <f t="shared" si="101"/>
        <v>864</v>
      </c>
      <c r="H3210" s="15">
        <f t="shared" si="102"/>
        <v>0</v>
      </c>
      <c r="I3210" s="19"/>
    </row>
    <row r="3211" spans="1:9" ht="15.75" x14ac:dyDescent="0.25">
      <c r="A3211" s="51">
        <v>42822</v>
      </c>
      <c r="B3211" s="52" t="s">
        <v>11045</v>
      </c>
      <c r="C3211" s="18">
        <v>105989</v>
      </c>
      <c r="D3211" s="2" t="s">
        <v>19</v>
      </c>
      <c r="E3211" s="15">
        <v>1150</v>
      </c>
      <c r="F3211" s="59">
        <v>42822</v>
      </c>
      <c r="G3211" s="15">
        <f t="shared" si="101"/>
        <v>1150</v>
      </c>
      <c r="H3211" s="15">
        <f t="shared" si="102"/>
        <v>0</v>
      </c>
      <c r="I3211" s="19"/>
    </row>
    <row r="3212" spans="1:9" ht="15.75" x14ac:dyDescent="0.25">
      <c r="A3212" s="51">
        <v>42822</v>
      </c>
      <c r="B3212" s="52" t="s">
        <v>11046</v>
      </c>
      <c r="C3212" s="18">
        <v>105990</v>
      </c>
      <c r="D3212" s="2" t="s">
        <v>79</v>
      </c>
      <c r="E3212" s="15">
        <v>2816.3</v>
      </c>
      <c r="F3212" s="59">
        <v>42822</v>
      </c>
      <c r="G3212" s="15">
        <f t="shared" si="101"/>
        <v>2816.3</v>
      </c>
      <c r="H3212" s="15">
        <f t="shared" si="102"/>
        <v>0</v>
      </c>
      <c r="I3212" s="19"/>
    </row>
    <row r="3213" spans="1:9" ht="15.75" x14ac:dyDescent="0.25">
      <c r="A3213" s="51">
        <v>42822</v>
      </c>
      <c r="B3213" s="52" t="s">
        <v>11047</v>
      </c>
      <c r="C3213" s="18">
        <v>105991</v>
      </c>
      <c r="D3213" s="2" t="s">
        <v>240</v>
      </c>
      <c r="E3213" s="15">
        <v>11004.3</v>
      </c>
      <c r="F3213" s="59">
        <v>42822</v>
      </c>
      <c r="G3213" s="15">
        <f t="shared" si="101"/>
        <v>11004.3</v>
      </c>
      <c r="H3213" s="15">
        <f t="shared" si="102"/>
        <v>0</v>
      </c>
      <c r="I3213" s="19"/>
    </row>
    <row r="3214" spans="1:9" ht="15.75" x14ac:dyDescent="0.25">
      <c r="A3214" s="51">
        <v>42822</v>
      </c>
      <c r="B3214" s="52" t="s">
        <v>11048</v>
      </c>
      <c r="C3214" s="18">
        <v>105992</v>
      </c>
      <c r="D3214" s="2" t="s">
        <v>3425</v>
      </c>
      <c r="E3214" s="15">
        <v>339.2</v>
      </c>
      <c r="F3214" s="59">
        <v>42822</v>
      </c>
      <c r="G3214" s="15">
        <f t="shared" si="101"/>
        <v>339.2</v>
      </c>
      <c r="H3214" s="15">
        <f t="shared" si="102"/>
        <v>0</v>
      </c>
      <c r="I3214" s="19"/>
    </row>
    <row r="3215" spans="1:9" ht="15.75" x14ac:dyDescent="0.25">
      <c r="A3215" s="51">
        <v>42822</v>
      </c>
      <c r="B3215" s="52" t="s">
        <v>11049</v>
      </c>
      <c r="C3215" s="18">
        <v>105993</v>
      </c>
      <c r="D3215" s="2" t="s">
        <v>289</v>
      </c>
      <c r="E3215" s="15">
        <v>31892</v>
      </c>
      <c r="F3215" s="59">
        <v>42838</v>
      </c>
      <c r="G3215" s="15">
        <f t="shared" si="101"/>
        <v>31892</v>
      </c>
      <c r="H3215" s="15">
        <f t="shared" si="102"/>
        <v>0</v>
      </c>
      <c r="I3215" s="19"/>
    </row>
    <row r="3216" spans="1:9" ht="15.75" x14ac:dyDescent="0.25">
      <c r="A3216" s="51">
        <v>42822</v>
      </c>
      <c r="B3216" s="52" t="s">
        <v>11050</v>
      </c>
      <c r="C3216" s="18">
        <v>105994</v>
      </c>
      <c r="D3216" s="13" t="s">
        <v>122</v>
      </c>
      <c r="E3216" s="14">
        <v>0</v>
      </c>
      <c r="F3216" s="102" t="s">
        <v>95</v>
      </c>
      <c r="G3216" s="14">
        <f t="shared" si="101"/>
        <v>0</v>
      </c>
      <c r="H3216" s="14">
        <f t="shared" si="102"/>
        <v>0</v>
      </c>
      <c r="I3216" s="19"/>
    </row>
    <row r="3217" spans="1:9" ht="15.75" x14ac:dyDescent="0.25">
      <c r="A3217" s="51">
        <v>42822</v>
      </c>
      <c r="B3217" s="52" t="s">
        <v>11051</v>
      </c>
      <c r="C3217" s="18">
        <v>105995</v>
      </c>
      <c r="D3217" s="2" t="s">
        <v>341</v>
      </c>
      <c r="E3217" s="15">
        <v>10123.200000000001</v>
      </c>
      <c r="F3217" s="59">
        <v>42822</v>
      </c>
      <c r="G3217" s="15">
        <f t="shared" si="101"/>
        <v>10123.200000000001</v>
      </c>
      <c r="H3217" s="15">
        <f t="shared" si="102"/>
        <v>0</v>
      </c>
      <c r="I3217" s="19"/>
    </row>
    <row r="3218" spans="1:9" ht="15.75" x14ac:dyDescent="0.25">
      <c r="A3218" s="51">
        <v>42822</v>
      </c>
      <c r="B3218" s="52" t="s">
        <v>11052</v>
      </c>
      <c r="C3218" s="18">
        <v>105996</v>
      </c>
      <c r="D3218" s="2" t="s">
        <v>208</v>
      </c>
      <c r="E3218" s="15">
        <v>10786.6</v>
      </c>
      <c r="F3218" s="59">
        <v>42822</v>
      </c>
      <c r="G3218" s="15">
        <f t="shared" si="101"/>
        <v>10786.6</v>
      </c>
      <c r="H3218" s="15">
        <f t="shared" si="102"/>
        <v>0</v>
      </c>
      <c r="I3218" s="19"/>
    </row>
    <row r="3219" spans="1:9" ht="15.75" x14ac:dyDescent="0.25">
      <c r="A3219" s="51">
        <v>42822</v>
      </c>
      <c r="B3219" s="52" t="s">
        <v>11053</v>
      </c>
      <c r="C3219" s="18">
        <v>105997</v>
      </c>
      <c r="D3219" s="2" t="s">
        <v>125</v>
      </c>
      <c r="E3219" s="15">
        <v>6804</v>
      </c>
      <c r="F3219" s="59">
        <v>42822</v>
      </c>
      <c r="G3219" s="15">
        <f t="shared" si="101"/>
        <v>6804</v>
      </c>
      <c r="H3219" s="15">
        <f t="shared" si="102"/>
        <v>0</v>
      </c>
      <c r="I3219" s="19"/>
    </row>
    <row r="3220" spans="1:9" ht="15.75" x14ac:dyDescent="0.25">
      <c r="A3220" s="51">
        <v>42822</v>
      </c>
      <c r="B3220" s="52" t="s">
        <v>11054</v>
      </c>
      <c r="C3220" s="18">
        <v>105998</v>
      </c>
      <c r="D3220" s="2" t="s">
        <v>1830</v>
      </c>
      <c r="E3220" s="15">
        <v>8880.7999999999993</v>
      </c>
      <c r="F3220" s="59">
        <v>42822</v>
      </c>
      <c r="G3220" s="15">
        <f t="shared" si="101"/>
        <v>8880.7999999999993</v>
      </c>
      <c r="H3220" s="15">
        <f t="shared" si="102"/>
        <v>0</v>
      </c>
      <c r="I3220" s="19"/>
    </row>
    <row r="3221" spans="1:9" ht="15.75" x14ac:dyDescent="0.25">
      <c r="A3221" s="51">
        <v>42822</v>
      </c>
      <c r="B3221" s="52" t="s">
        <v>11055</v>
      </c>
      <c r="C3221" s="18">
        <v>105999</v>
      </c>
      <c r="D3221" s="2" t="s">
        <v>459</v>
      </c>
      <c r="E3221" s="15">
        <v>2145.6</v>
      </c>
      <c r="F3221" s="59">
        <v>42822</v>
      </c>
      <c r="G3221" s="15">
        <f t="shared" si="101"/>
        <v>2145.6</v>
      </c>
      <c r="H3221" s="15">
        <f t="shared" si="102"/>
        <v>0</v>
      </c>
      <c r="I3221" s="19"/>
    </row>
    <row r="3222" spans="1:9" ht="15.75" x14ac:dyDescent="0.25">
      <c r="A3222" s="51">
        <v>42822</v>
      </c>
      <c r="B3222" s="52" t="s">
        <v>11056</v>
      </c>
      <c r="C3222" s="18">
        <v>106000</v>
      </c>
      <c r="D3222" s="2" t="s">
        <v>1160</v>
      </c>
      <c r="E3222" s="15">
        <v>3031.2</v>
      </c>
      <c r="F3222" s="59">
        <v>42822</v>
      </c>
      <c r="G3222" s="15">
        <f t="shared" si="101"/>
        <v>3031.2</v>
      </c>
      <c r="H3222" s="15">
        <f t="shared" si="102"/>
        <v>0</v>
      </c>
      <c r="I3222" s="19"/>
    </row>
    <row r="3223" spans="1:9" ht="15.75" x14ac:dyDescent="0.25">
      <c r="A3223" s="51">
        <v>42822</v>
      </c>
      <c r="B3223" s="52" t="s">
        <v>11057</v>
      </c>
      <c r="C3223" s="18">
        <v>106001</v>
      </c>
      <c r="D3223" s="2" t="s">
        <v>281</v>
      </c>
      <c r="E3223" s="15">
        <v>690</v>
      </c>
      <c r="F3223" s="59">
        <v>42822</v>
      </c>
      <c r="G3223" s="15">
        <f t="shared" si="101"/>
        <v>690</v>
      </c>
      <c r="H3223" s="15">
        <f t="shared" si="102"/>
        <v>0</v>
      </c>
      <c r="I3223" s="19"/>
    </row>
    <row r="3224" spans="1:9" ht="45" x14ac:dyDescent="0.25">
      <c r="A3224" s="51">
        <v>42822</v>
      </c>
      <c r="B3224" s="52" t="s">
        <v>11058</v>
      </c>
      <c r="C3224" s="18">
        <v>106002</v>
      </c>
      <c r="D3224" s="2" t="s">
        <v>470</v>
      </c>
      <c r="E3224" s="15">
        <v>10415.4</v>
      </c>
      <c r="F3224" s="224" t="s">
        <v>19667</v>
      </c>
      <c r="G3224" s="133">
        <f>3700+300+500+300+4000+1615.4</f>
        <v>10415.4</v>
      </c>
      <c r="H3224" s="133">
        <f t="shared" si="102"/>
        <v>0</v>
      </c>
      <c r="I3224" s="19"/>
    </row>
    <row r="3225" spans="1:9" ht="15.75" x14ac:dyDescent="0.25">
      <c r="A3225" s="51">
        <v>42822</v>
      </c>
      <c r="B3225" s="52" t="s">
        <v>11059</v>
      </c>
      <c r="C3225" s="18">
        <v>106003</v>
      </c>
      <c r="D3225" s="2" t="s">
        <v>298</v>
      </c>
      <c r="E3225" s="15">
        <v>3190.6</v>
      </c>
      <c r="F3225" s="59">
        <v>42822</v>
      </c>
      <c r="G3225" s="15">
        <f t="shared" si="101"/>
        <v>3190.6</v>
      </c>
      <c r="H3225" s="15">
        <f t="shared" si="102"/>
        <v>0</v>
      </c>
      <c r="I3225" s="19"/>
    </row>
    <row r="3226" spans="1:9" ht="15.75" x14ac:dyDescent="0.25">
      <c r="A3226" s="51">
        <v>42822</v>
      </c>
      <c r="B3226" s="52" t="s">
        <v>11060</v>
      </c>
      <c r="C3226" s="18">
        <v>106004</v>
      </c>
      <c r="D3226" s="2" t="s">
        <v>101</v>
      </c>
      <c r="E3226" s="15">
        <v>920</v>
      </c>
      <c r="F3226" s="59">
        <v>42822</v>
      </c>
      <c r="G3226" s="15">
        <f t="shared" si="101"/>
        <v>920</v>
      </c>
      <c r="H3226" s="15">
        <f t="shared" si="102"/>
        <v>0</v>
      </c>
      <c r="I3226" s="19"/>
    </row>
    <row r="3227" spans="1:9" ht="15.75" x14ac:dyDescent="0.25">
      <c r="A3227" s="51">
        <v>42822</v>
      </c>
      <c r="B3227" s="52" t="s">
        <v>11061</v>
      </c>
      <c r="C3227" s="18">
        <v>106005</v>
      </c>
      <c r="D3227" s="2" t="s">
        <v>4367</v>
      </c>
      <c r="E3227" s="15">
        <v>1528.6</v>
      </c>
      <c r="F3227" s="59">
        <v>42822</v>
      </c>
      <c r="G3227" s="15">
        <f t="shared" si="101"/>
        <v>1528.6</v>
      </c>
      <c r="H3227" s="15">
        <f t="shared" si="102"/>
        <v>0</v>
      </c>
      <c r="I3227" s="19"/>
    </row>
    <row r="3228" spans="1:9" ht="15.75" x14ac:dyDescent="0.25">
      <c r="A3228" s="51">
        <v>42822</v>
      </c>
      <c r="B3228" s="52" t="s">
        <v>11062</v>
      </c>
      <c r="C3228" s="18">
        <v>106006</v>
      </c>
      <c r="D3228" s="2" t="s">
        <v>1256</v>
      </c>
      <c r="E3228" s="15">
        <v>2846</v>
      </c>
      <c r="F3228" s="59">
        <v>42825</v>
      </c>
      <c r="G3228" s="15">
        <f t="shared" si="101"/>
        <v>2846</v>
      </c>
      <c r="H3228" s="15">
        <f t="shared" si="102"/>
        <v>0</v>
      </c>
      <c r="I3228" s="19"/>
    </row>
    <row r="3229" spans="1:9" ht="15.75" x14ac:dyDescent="0.25">
      <c r="A3229" s="51">
        <v>42822</v>
      </c>
      <c r="B3229" s="52" t="s">
        <v>11063</v>
      </c>
      <c r="C3229" s="18">
        <v>106007</v>
      </c>
      <c r="D3229" s="2" t="s">
        <v>838</v>
      </c>
      <c r="E3229" s="15">
        <v>5434.8</v>
      </c>
      <c r="F3229" s="59">
        <v>42822</v>
      </c>
      <c r="G3229" s="15">
        <f t="shared" si="101"/>
        <v>5434.8</v>
      </c>
      <c r="H3229" s="15">
        <f t="shared" si="102"/>
        <v>0</v>
      </c>
      <c r="I3229" s="19"/>
    </row>
    <row r="3230" spans="1:9" ht="15.75" x14ac:dyDescent="0.25">
      <c r="A3230" s="51">
        <v>42822</v>
      </c>
      <c r="B3230" s="52" t="s">
        <v>11064</v>
      </c>
      <c r="C3230" s="18">
        <v>106008</v>
      </c>
      <c r="D3230" s="13" t="s">
        <v>1259</v>
      </c>
      <c r="E3230" s="14">
        <v>0</v>
      </c>
      <c r="F3230" s="102" t="s">
        <v>95</v>
      </c>
      <c r="G3230" s="14">
        <f t="shared" si="101"/>
        <v>0</v>
      </c>
      <c r="H3230" s="14">
        <f t="shared" si="102"/>
        <v>0</v>
      </c>
      <c r="I3230" s="19"/>
    </row>
    <row r="3231" spans="1:9" ht="15.75" x14ac:dyDescent="0.25">
      <c r="A3231" s="51">
        <v>42822</v>
      </c>
      <c r="B3231" s="52" t="s">
        <v>11065</v>
      </c>
      <c r="C3231" s="18">
        <v>106009</v>
      </c>
      <c r="D3231" s="2" t="s">
        <v>105</v>
      </c>
      <c r="E3231" s="15">
        <v>352.5</v>
      </c>
      <c r="F3231" s="59">
        <v>42822</v>
      </c>
      <c r="G3231" s="15">
        <f t="shared" si="101"/>
        <v>352.5</v>
      </c>
      <c r="H3231" s="15">
        <f t="shared" si="102"/>
        <v>0</v>
      </c>
      <c r="I3231" s="19"/>
    </row>
    <row r="3232" spans="1:9" ht="15.75" x14ac:dyDescent="0.25">
      <c r="A3232" s="51">
        <v>42822</v>
      </c>
      <c r="B3232" s="52" t="s">
        <v>11066</v>
      </c>
      <c r="C3232" s="18">
        <v>106010</v>
      </c>
      <c r="D3232" s="2" t="s">
        <v>1259</v>
      </c>
      <c r="E3232" s="15">
        <v>1196</v>
      </c>
      <c r="F3232" s="59">
        <v>42822</v>
      </c>
      <c r="G3232" s="15">
        <f t="shared" si="101"/>
        <v>1196</v>
      </c>
      <c r="H3232" s="15">
        <f t="shared" si="102"/>
        <v>0</v>
      </c>
      <c r="I3232" s="19"/>
    </row>
    <row r="3233" spans="1:9" ht="15.75" x14ac:dyDescent="0.25">
      <c r="A3233" s="51">
        <v>42822</v>
      </c>
      <c r="B3233" s="52" t="s">
        <v>11067</v>
      </c>
      <c r="C3233" s="18">
        <v>106011</v>
      </c>
      <c r="D3233" s="2" t="s">
        <v>92</v>
      </c>
      <c r="E3233" s="15">
        <v>1701.4</v>
      </c>
      <c r="F3233" s="59">
        <v>42822</v>
      </c>
      <c r="G3233" s="15">
        <f t="shared" si="101"/>
        <v>1701.4</v>
      </c>
      <c r="H3233" s="15">
        <f t="shared" si="102"/>
        <v>0</v>
      </c>
      <c r="I3233" s="19"/>
    </row>
    <row r="3234" spans="1:9" ht="15.75" x14ac:dyDescent="0.25">
      <c r="A3234" s="51">
        <v>42822</v>
      </c>
      <c r="B3234" s="52" t="s">
        <v>11068</v>
      </c>
      <c r="C3234" s="18">
        <v>106012</v>
      </c>
      <c r="D3234" s="2" t="s">
        <v>109</v>
      </c>
      <c r="E3234" s="15">
        <v>4101.3</v>
      </c>
      <c r="F3234" s="59">
        <v>42822</v>
      </c>
      <c r="G3234" s="15">
        <f t="shared" si="101"/>
        <v>4101.3</v>
      </c>
      <c r="H3234" s="15">
        <f t="shared" si="102"/>
        <v>0</v>
      </c>
      <c r="I3234" s="19"/>
    </row>
    <row r="3235" spans="1:9" ht="15.75" x14ac:dyDescent="0.25">
      <c r="A3235" s="51">
        <v>42822</v>
      </c>
      <c r="B3235" s="52" t="s">
        <v>11069</v>
      </c>
      <c r="C3235" s="18">
        <v>106013</v>
      </c>
      <c r="D3235" s="2" t="s">
        <v>120</v>
      </c>
      <c r="E3235" s="15">
        <v>2516.8000000000002</v>
      </c>
      <c r="F3235" s="59">
        <v>42822</v>
      </c>
      <c r="G3235" s="15">
        <f t="shared" si="101"/>
        <v>2516.8000000000002</v>
      </c>
      <c r="H3235" s="15">
        <f t="shared" si="102"/>
        <v>0</v>
      </c>
      <c r="I3235" s="19"/>
    </row>
    <row r="3236" spans="1:9" ht="15.75" x14ac:dyDescent="0.25">
      <c r="A3236" s="51">
        <v>42822</v>
      </c>
      <c r="B3236" s="52" t="s">
        <v>11070</v>
      </c>
      <c r="C3236" s="18">
        <v>106014</v>
      </c>
      <c r="D3236" s="2" t="s">
        <v>291</v>
      </c>
      <c r="E3236" s="15">
        <v>2284.8000000000002</v>
      </c>
      <c r="F3236" s="59">
        <v>42822</v>
      </c>
      <c r="G3236" s="15">
        <f t="shared" si="101"/>
        <v>2284.8000000000002</v>
      </c>
      <c r="H3236" s="15">
        <f t="shared" si="102"/>
        <v>0</v>
      </c>
      <c r="I3236" s="19"/>
    </row>
    <row r="3237" spans="1:9" ht="15.75" x14ac:dyDescent="0.25">
      <c r="A3237" s="51">
        <v>42822</v>
      </c>
      <c r="B3237" s="52" t="s">
        <v>11071</v>
      </c>
      <c r="C3237" s="18">
        <v>106015</v>
      </c>
      <c r="D3237" s="2" t="s">
        <v>103</v>
      </c>
      <c r="E3237" s="15">
        <v>49.4</v>
      </c>
      <c r="F3237" s="59">
        <v>42822</v>
      </c>
      <c r="G3237" s="15">
        <f t="shared" si="101"/>
        <v>49.4</v>
      </c>
      <c r="H3237" s="15">
        <f t="shared" si="102"/>
        <v>0</v>
      </c>
      <c r="I3237" s="19"/>
    </row>
    <row r="3238" spans="1:9" ht="15.75" x14ac:dyDescent="0.25">
      <c r="A3238" s="51">
        <v>42822</v>
      </c>
      <c r="B3238" s="52" t="s">
        <v>11072</v>
      </c>
      <c r="C3238" s="18">
        <v>106016</v>
      </c>
      <c r="D3238" s="2" t="s">
        <v>1081</v>
      </c>
      <c r="E3238" s="15">
        <v>330.2</v>
      </c>
      <c r="F3238" s="59">
        <v>42822</v>
      </c>
      <c r="G3238" s="15">
        <f t="shared" si="101"/>
        <v>330.2</v>
      </c>
      <c r="H3238" s="15">
        <f t="shared" si="102"/>
        <v>0</v>
      </c>
      <c r="I3238" s="19"/>
    </row>
    <row r="3239" spans="1:9" ht="15.75" x14ac:dyDescent="0.25">
      <c r="A3239" s="51">
        <v>42822</v>
      </c>
      <c r="B3239" s="52" t="s">
        <v>11073</v>
      </c>
      <c r="C3239" s="18">
        <v>106017</v>
      </c>
      <c r="D3239" s="2" t="s">
        <v>231</v>
      </c>
      <c r="E3239" s="15">
        <v>8887.6</v>
      </c>
      <c r="F3239" s="59">
        <v>42823</v>
      </c>
      <c r="G3239" s="15">
        <f t="shared" si="101"/>
        <v>8887.6</v>
      </c>
      <c r="H3239" s="15">
        <f t="shared" si="102"/>
        <v>0</v>
      </c>
      <c r="I3239" s="19"/>
    </row>
    <row r="3240" spans="1:9" ht="15.75" x14ac:dyDescent="0.25">
      <c r="A3240" s="51">
        <v>42822</v>
      </c>
      <c r="B3240" s="52" t="s">
        <v>11074</v>
      </c>
      <c r="C3240" s="18">
        <v>106018</v>
      </c>
      <c r="D3240" s="13" t="s">
        <v>143</v>
      </c>
      <c r="E3240" s="14">
        <v>0</v>
      </c>
      <c r="F3240" s="102" t="s">
        <v>95</v>
      </c>
      <c r="G3240" s="14">
        <f t="shared" si="101"/>
        <v>0</v>
      </c>
      <c r="H3240" s="14">
        <f t="shared" si="102"/>
        <v>0</v>
      </c>
      <c r="I3240" s="19"/>
    </row>
    <row r="3241" spans="1:9" ht="15.75" x14ac:dyDescent="0.25">
      <c r="A3241" s="51">
        <v>42822</v>
      </c>
      <c r="B3241" s="52" t="s">
        <v>11075</v>
      </c>
      <c r="C3241" s="18">
        <v>106019</v>
      </c>
      <c r="D3241" s="2" t="s">
        <v>205</v>
      </c>
      <c r="E3241" s="15">
        <v>20391.75</v>
      </c>
      <c r="F3241" s="59">
        <v>42822</v>
      </c>
      <c r="G3241" s="15">
        <f t="shared" si="101"/>
        <v>20391.75</v>
      </c>
      <c r="H3241" s="15">
        <f t="shared" si="102"/>
        <v>0</v>
      </c>
      <c r="I3241" s="19"/>
    </row>
    <row r="3242" spans="1:9" ht="15.75" x14ac:dyDescent="0.25">
      <c r="A3242" s="51">
        <v>42822</v>
      </c>
      <c r="B3242" s="52" t="s">
        <v>11076</v>
      </c>
      <c r="C3242" s="18">
        <v>106020</v>
      </c>
      <c r="D3242" s="2" t="s">
        <v>222</v>
      </c>
      <c r="E3242" s="15">
        <v>22029.599999999999</v>
      </c>
      <c r="F3242" s="59">
        <v>42823</v>
      </c>
      <c r="G3242" s="15">
        <f t="shared" si="101"/>
        <v>22029.599999999999</v>
      </c>
      <c r="H3242" s="15">
        <f t="shared" si="102"/>
        <v>0</v>
      </c>
      <c r="I3242" s="19"/>
    </row>
    <row r="3243" spans="1:9" ht="15.75" x14ac:dyDescent="0.25">
      <c r="A3243" s="51">
        <v>42822</v>
      </c>
      <c r="B3243" s="52" t="s">
        <v>11077</v>
      </c>
      <c r="C3243" s="18">
        <v>106021</v>
      </c>
      <c r="D3243" s="2" t="s">
        <v>476</v>
      </c>
      <c r="E3243" s="15">
        <v>3126.2</v>
      </c>
      <c r="F3243" s="59">
        <v>42822</v>
      </c>
      <c r="G3243" s="15">
        <f t="shared" si="101"/>
        <v>3126.2</v>
      </c>
      <c r="H3243" s="15">
        <f t="shared" si="102"/>
        <v>0</v>
      </c>
      <c r="I3243" s="19"/>
    </row>
    <row r="3244" spans="1:9" ht="15.75" x14ac:dyDescent="0.25">
      <c r="A3244" s="51">
        <v>42822</v>
      </c>
      <c r="B3244" s="52" t="s">
        <v>11078</v>
      </c>
      <c r="C3244" s="18">
        <v>106022</v>
      </c>
      <c r="D3244" s="2" t="s">
        <v>476</v>
      </c>
      <c r="E3244" s="15">
        <v>279.39999999999998</v>
      </c>
      <c r="F3244" s="59">
        <v>42822</v>
      </c>
      <c r="G3244" s="15">
        <f t="shared" si="101"/>
        <v>279.39999999999998</v>
      </c>
      <c r="H3244" s="15">
        <f t="shared" si="102"/>
        <v>0</v>
      </c>
      <c r="I3244" s="19"/>
    </row>
    <row r="3245" spans="1:9" ht="15.75" x14ac:dyDescent="0.25">
      <c r="A3245" s="51">
        <v>42822</v>
      </c>
      <c r="B3245" s="52" t="s">
        <v>11079</v>
      </c>
      <c r="C3245" s="18">
        <v>106023</v>
      </c>
      <c r="D3245" s="2" t="s">
        <v>305</v>
      </c>
      <c r="E3245" s="15">
        <v>4687</v>
      </c>
      <c r="F3245" s="59">
        <v>42826</v>
      </c>
      <c r="G3245" s="15">
        <f t="shared" si="101"/>
        <v>4687</v>
      </c>
      <c r="H3245" s="15">
        <f t="shared" si="102"/>
        <v>0</v>
      </c>
      <c r="I3245" s="19"/>
    </row>
    <row r="3246" spans="1:9" ht="15.75" x14ac:dyDescent="0.25">
      <c r="A3246" s="51">
        <v>42822</v>
      </c>
      <c r="B3246" s="52" t="s">
        <v>11080</v>
      </c>
      <c r="C3246" s="18">
        <v>106024</v>
      </c>
      <c r="D3246" s="2" t="s">
        <v>302</v>
      </c>
      <c r="E3246" s="15">
        <v>7980</v>
      </c>
      <c r="F3246" s="59">
        <v>42822</v>
      </c>
      <c r="G3246" s="15">
        <f t="shared" si="101"/>
        <v>7980</v>
      </c>
      <c r="H3246" s="15">
        <f t="shared" si="102"/>
        <v>0</v>
      </c>
      <c r="I3246" s="19"/>
    </row>
    <row r="3247" spans="1:9" ht="15.75" x14ac:dyDescent="0.25">
      <c r="A3247" s="51">
        <v>42822</v>
      </c>
      <c r="B3247" s="52" t="s">
        <v>11081</v>
      </c>
      <c r="C3247" s="18">
        <v>106025</v>
      </c>
      <c r="D3247" s="2" t="s">
        <v>879</v>
      </c>
      <c r="E3247" s="15">
        <v>3059</v>
      </c>
      <c r="F3247" s="59">
        <v>42822</v>
      </c>
      <c r="G3247" s="15">
        <f t="shared" si="101"/>
        <v>3059</v>
      </c>
      <c r="H3247" s="15">
        <f t="shared" si="102"/>
        <v>0</v>
      </c>
      <c r="I3247" s="19"/>
    </row>
    <row r="3248" spans="1:9" ht="15.75" x14ac:dyDescent="0.25">
      <c r="A3248" s="51">
        <v>42822</v>
      </c>
      <c r="B3248" s="52" t="s">
        <v>11082</v>
      </c>
      <c r="C3248" s="18">
        <v>106026</v>
      </c>
      <c r="D3248" s="2" t="s">
        <v>57</v>
      </c>
      <c r="E3248" s="15">
        <v>496.8</v>
      </c>
      <c r="F3248" s="59">
        <v>42822</v>
      </c>
      <c r="G3248" s="15">
        <f t="shared" si="101"/>
        <v>496.8</v>
      </c>
      <c r="H3248" s="15">
        <f t="shared" si="102"/>
        <v>0</v>
      </c>
      <c r="I3248" s="19"/>
    </row>
    <row r="3249" spans="1:9" ht="15.75" x14ac:dyDescent="0.25">
      <c r="A3249" s="51">
        <v>42822</v>
      </c>
      <c r="B3249" s="52" t="s">
        <v>11083</v>
      </c>
      <c r="C3249" s="18">
        <v>106027</v>
      </c>
      <c r="D3249" s="2" t="s">
        <v>30</v>
      </c>
      <c r="E3249" s="15">
        <v>376</v>
      </c>
      <c r="F3249" s="59">
        <v>42822</v>
      </c>
      <c r="G3249" s="15">
        <f t="shared" si="101"/>
        <v>376</v>
      </c>
      <c r="H3249" s="15">
        <f t="shared" si="102"/>
        <v>0</v>
      </c>
      <c r="I3249" s="19"/>
    </row>
    <row r="3250" spans="1:9" ht="15.75" x14ac:dyDescent="0.25">
      <c r="A3250" s="51">
        <v>42822</v>
      </c>
      <c r="B3250" s="52" t="s">
        <v>11084</v>
      </c>
      <c r="C3250" s="18">
        <v>106028</v>
      </c>
      <c r="D3250" s="2" t="s">
        <v>61</v>
      </c>
      <c r="E3250" s="15">
        <v>6237</v>
      </c>
      <c r="F3250" s="59">
        <v>42822</v>
      </c>
      <c r="G3250" s="15">
        <f t="shared" si="101"/>
        <v>6237</v>
      </c>
      <c r="H3250" s="15">
        <f t="shared" si="102"/>
        <v>0</v>
      </c>
      <c r="I3250" s="19"/>
    </row>
    <row r="3251" spans="1:9" ht="15.75" x14ac:dyDescent="0.25">
      <c r="A3251" s="51">
        <v>42822</v>
      </c>
      <c r="B3251" s="52" t="s">
        <v>11085</v>
      </c>
      <c r="C3251" s="18">
        <v>106029</v>
      </c>
      <c r="D3251" s="2" t="s">
        <v>693</v>
      </c>
      <c r="E3251" s="15">
        <v>17036</v>
      </c>
      <c r="F3251" s="59">
        <v>42824</v>
      </c>
      <c r="G3251" s="15">
        <f t="shared" si="101"/>
        <v>17036</v>
      </c>
      <c r="H3251" s="15">
        <f t="shared" si="102"/>
        <v>0</v>
      </c>
      <c r="I3251" s="19"/>
    </row>
    <row r="3252" spans="1:9" ht="15.75" x14ac:dyDescent="0.25">
      <c r="A3252" s="51">
        <v>42822</v>
      </c>
      <c r="B3252" s="52" t="s">
        <v>11086</v>
      </c>
      <c r="C3252" s="18">
        <v>106030</v>
      </c>
      <c r="D3252" s="2" t="s">
        <v>205</v>
      </c>
      <c r="E3252" s="15">
        <v>30805.5</v>
      </c>
      <c r="F3252" s="59">
        <v>42822</v>
      </c>
      <c r="G3252" s="15">
        <f t="shared" si="101"/>
        <v>30805.5</v>
      </c>
      <c r="H3252" s="15">
        <f t="shared" si="102"/>
        <v>0</v>
      </c>
      <c r="I3252" s="19"/>
    </row>
    <row r="3253" spans="1:9" ht="15.75" x14ac:dyDescent="0.25">
      <c r="A3253" s="51">
        <v>42822</v>
      </c>
      <c r="B3253" s="52" t="s">
        <v>11087</v>
      </c>
      <c r="C3253" s="18">
        <v>106031</v>
      </c>
      <c r="D3253" s="2" t="s">
        <v>55</v>
      </c>
      <c r="E3253" s="15">
        <v>12594.4</v>
      </c>
      <c r="F3253" s="59">
        <v>42822</v>
      </c>
      <c r="G3253" s="15">
        <f t="shared" si="101"/>
        <v>12594.4</v>
      </c>
      <c r="H3253" s="15">
        <f t="shared" si="102"/>
        <v>0</v>
      </c>
      <c r="I3253" s="19"/>
    </row>
    <row r="3254" spans="1:9" ht="15.75" x14ac:dyDescent="0.25">
      <c r="A3254" s="51">
        <v>42822</v>
      </c>
      <c r="B3254" s="52" t="s">
        <v>11088</v>
      </c>
      <c r="C3254" s="18">
        <v>106032</v>
      </c>
      <c r="D3254" s="2" t="s">
        <v>184</v>
      </c>
      <c r="E3254" s="15">
        <v>331.2</v>
      </c>
      <c r="F3254" s="59">
        <v>42822</v>
      </c>
      <c r="G3254" s="15">
        <f t="shared" si="101"/>
        <v>331.2</v>
      </c>
      <c r="H3254" s="15">
        <f t="shared" si="102"/>
        <v>0</v>
      </c>
      <c r="I3254" s="19"/>
    </row>
    <row r="3255" spans="1:9" ht="15.75" x14ac:dyDescent="0.25">
      <c r="A3255" s="51">
        <v>42822</v>
      </c>
      <c r="B3255" s="52" t="s">
        <v>11089</v>
      </c>
      <c r="C3255" s="18">
        <v>106033</v>
      </c>
      <c r="D3255" s="2" t="s">
        <v>2240</v>
      </c>
      <c r="E3255" s="15">
        <v>6425.78</v>
      </c>
      <c r="F3255" s="59">
        <v>42822</v>
      </c>
      <c r="G3255" s="15">
        <f t="shared" si="101"/>
        <v>6425.78</v>
      </c>
      <c r="H3255" s="15">
        <f t="shared" si="102"/>
        <v>0</v>
      </c>
      <c r="I3255" s="19"/>
    </row>
    <row r="3256" spans="1:9" ht="15.75" x14ac:dyDescent="0.25">
      <c r="A3256" s="51">
        <v>42822</v>
      </c>
      <c r="B3256" s="52" t="s">
        <v>11090</v>
      </c>
      <c r="C3256" s="18">
        <v>106034</v>
      </c>
      <c r="D3256" s="2" t="s">
        <v>2240</v>
      </c>
      <c r="E3256" s="15">
        <v>904.8</v>
      </c>
      <c r="F3256" s="59">
        <v>42822</v>
      </c>
      <c r="G3256" s="15">
        <f t="shared" si="101"/>
        <v>904.8</v>
      </c>
      <c r="H3256" s="15">
        <f t="shared" si="102"/>
        <v>0</v>
      </c>
      <c r="I3256" s="19"/>
    </row>
    <row r="3257" spans="1:9" ht="15.75" x14ac:dyDescent="0.25">
      <c r="A3257" s="51">
        <v>42822</v>
      </c>
      <c r="B3257" s="52" t="s">
        <v>11091</v>
      </c>
      <c r="C3257" s="18">
        <v>106035</v>
      </c>
      <c r="D3257" s="2" t="s">
        <v>118</v>
      </c>
      <c r="E3257" s="15">
        <v>31769.599999999999</v>
      </c>
      <c r="F3257" s="59">
        <v>42822</v>
      </c>
      <c r="G3257" s="15">
        <f t="shared" si="101"/>
        <v>31769.599999999999</v>
      </c>
      <c r="H3257" s="15">
        <f t="shared" si="102"/>
        <v>0</v>
      </c>
      <c r="I3257" s="19"/>
    </row>
    <row r="3258" spans="1:9" ht="15.75" x14ac:dyDescent="0.25">
      <c r="A3258" s="51">
        <v>42822</v>
      </c>
      <c r="B3258" s="52" t="s">
        <v>11092</v>
      </c>
      <c r="C3258" s="18">
        <v>106036</v>
      </c>
      <c r="D3258" s="2" t="s">
        <v>30</v>
      </c>
      <c r="E3258" s="15">
        <v>1262.4000000000001</v>
      </c>
      <c r="F3258" s="59">
        <v>42822</v>
      </c>
      <c r="G3258" s="15">
        <f t="shared" si="101"/>
        <v>1262.4000000000001</v>
      </c>
      <c r="H3258" s="15">
        <f t="shared" si="102"/>
        <v>0</v>
      </c>
      <c r="I3258" s="19"/>
    </row>
    <row r="3259" spans="1:9" ht="15.75" x14ac:dyDescent="0.25">
      <c r="A3259" s="51">
        <v>42822</v>
      </c>
      <c r="B3259" s="52" t="s">
        <v>11093</v>
      </c>
      <c r="C3259" s="18">
        <v>106037</v>
      </c>
      <c r="D3259" s="2" t="s">
        <v>10</v>
      </c>
      <c r="E3259" s="15">
        <v>72114</v>
      </c>
      <c r="F3259" s="64" t="s">
        <v>11497</v>
      </c>
      <c r="G3259" s="20">
        <f>46845.34+25268.66</f>
        <v>72114</v>
      </c>
      <c r="H3259" s="20">
        <f t="shared" si="102"/>
        <v>0</v>
      </c>
      <c r="I3259" s="19"/>
    </row>
    <row r="3260" spans="1:9" ht="15.75" x14ac:dyDescent="0.25">
      <c r="A3260" s="51">
        <v>42822</v>
      </c>
      <c r="B3260" s="52" t="s">
        <v>11094</v>
      </c>
      <c r="C3260" s="18">
        <v>106038</v>
      </c>
      <c r="D3260" s="2" t="s">
        <v>30</v>
      </c>
      <c r="E3260" s="15">
        <v>638.4</v>
      </c>
      <c r="F3260" s="59">
        <v>42822</v>
      </c>
      <c r="G3260" s="15">
        <f t="shared" si="101"/>
        <v>638.4</v>
      </c>
      <c r="H3260" s="15">
        <f t="shared" si="102"/>
        <v>0</v>
      </c>
      <c r="I3260" s="19"/>
    </row>
    <row r="3261" spans="1:9" ht="15.75" x14ac:dyDescent="0.25">
      <c r="A3261" s="51">
        <v>42822</v>
      </c>
      <c r="B3261" s="52" t="s">
        <v>11095</v>
      </c>
      <c r="C3261" s="18">
        <v>106039</v>
      </c>
      <c r="D3261" s="2" t="s">
        <v>352</v>
      </c>
      <c r="E3261" s="15">
        <v>3910.2</v>
      </c>
      <c r="F3261" s="59">
        <v>42822</v>
      </c>
      <c r="G3261" s="15">
        <f t="shared" si="101"/>
        <v>3910.2</v>
      </c>
      <c r="H3261" s="15">
        <f t="shared" si="102"/>
        <v>0</v>
      </c>
      <c r="I3261" s="19"/>
    </row>
    <row r="3262" spans="1:9" ht="15.75" x14ac:dyDescent="0.25">
      <c r="A3262" s="51">
        <v>42822</v>
      </c>
      <c r="B3262" s="52" t="s">
        <v>11096</v>
      </c>
      <c r="C3262" s="18">
        <v>106040</v>
      </c>
      <c r="D3262" s="2" t="s">
        <v>10</v>
      </c>
      <c r="E3262" s="15">
        <v>66916</v>
      </c>
      <c r="F3262" s="59">
        <v>42826</v>
      </c>
      <c r="G3262" s="15">
        <f t="shared" si="101"/>
        <v>66916</v>
      </c>
      <c r="H3262" s="15">
        <f t="shared" si="102"/>
        <v>0</v>
      </c>
      <c r="I3262" s="19"/>
    </row>
    <row r="3263" spans="1:9" ht="15.75" x14ac:dyDescent="0.25">
      <c r="A3263" s="51">
        <v>42822</v>
      </c>
      <c r="B3263" s="52" t="s">
        <v>11097</v>
      </c>
      <c r="C3263" s="18">
        <v>106041</v>
      </c>
      <c r="D3263" s="2" t="s">
        <v>468</v>
      </c>
      <c r="E3263" s="15">
        <v>10414.6</v>
      </c>
      <c r="F3263" s="59">
        <v>42837</v>
      </c>
      <c r="G3263" s="15">
        <f t="shared" si="101"/>
        <v>10414.6</v>
      </c>
      <c r="H3263" s="15">
        <f t="shared" si="102"/>
        <v>0</v>
      </c>
      <c r="I3263" s="19"/>
    </row>
    <row r="3264" spans="1:9" ht="15.75" x14ac:dyDescent="0.25">
      <c r="A3264" s="51">
        <v>42822</v>
      </c>
      <c r="B3264" s="52" t="s">
        <v>11098</v>
      </c>
      <c r="C3264" s="18">
        <v>106042</v>
      </c>
      <c r="D3264" s="2" t="s">
        <v>465</v>
      </c>
      <c r="E3264" s="15">
        <v>6464.5</v>
      </c>
      <c r="F3264" s="59">
        <v>42825</v>
      </c>
      <c r="G3264" s="15">
        <f t="shared" si="101"/>
        <v>6464.5</v>
      </c>
      <c r="H3264" s="15">
        <f t="shared" si="102"/>
        <v>0</v>
      </c>
      <c r="I3264" s="19"/>
    </row>
    <row r="3265" spans="1:9" ht="15.75" x14ac:dyDescent="0.25">
      <c r="A3265" s="51">
        <v>42822</v>
      </c>
      <c r="B3265" s="52" t="s">
        <v>11099</v>
      </c>
      <c r="C3265" s="18">
        <v>106043</v>
      </c>
      <c r="D3265" s="2" t="s">
        <v>354</v>
      </c>
      <c r="E3265" s="15">
        <v>1123.5999999999999</v>
      </c>
      <c r="F3265" s="59">
        <v>42822</v>
      </c>
      <c r="G3265" s="15">
        <f t="shared" si="101"/>
        <v>1123.5999999999999</v>
      </c>
      <c r="H3265" s="15">
        <f t="shared" si="102"/>
        <v>0</v>
      </c>
      <c r="I3265" s="19"/>
    </row>
    <row r="3266" spans="1:9" ht="15.75" x14ac:dyDescent="0.25">
      <c r="A3266" s="51">
        <v>42822</v>
      </c>
      <c r="B3266" s="52" t="s">
        <v>11100</v>
      </c>
      <c r="C3266" s="18">
        <v>106044</v>
      </c>
      <c r="D3266" s="2" t="s">
        <v>426</v>
      </c>
      <c r="E3266" s="15">
        <v>11789</v>
      </c>
      <c r="F3266" s="59">
        <v>42828</v>
      </c>
      <c r="G3266" s="15">
        <f t="shared" si="101"/>
        <v>11789</v>
      </c>
      <c r="H3266" s="15">
        <f t="shared" si="102"/>
        <v>0</v>
      </c>
      <c r="I3266" s="19"/>
    </row>
    <row r="3267" spans="1:9" ht="15.75" x14ac:dyDescent="0.25">
      <c r="A3267" s="51">
        <v>42822</v>
      </c>
      <c r="B3267" s="52" t="s">
        <v>11101</v>
      </c>
      <c r="C3267" s="18">
        <v>106045</v>
      </c>
      <c r="D3267" s="2" t="s">
        <v>5113</v>
      </c>
      <c r="E3267" s="15">
        <v>3326.4</v>
      </c>
      <c r="F3267" s="59">
        <v>42822</v>
      </c>
      <c r="G3267" s="15">
        <f t="shared" si="101"/>
        <v>3326.4</v>
      </c>
      <c r="H3267" s="15">
        <f t="shared" si="102"/>
        <v>0</v>
      </c>
      <c r="I3267" s="19"/>
    </row>
    <row r="3268" spans="1:9" ht="15.75" x14ac:dyDescent="0.25">
      <c r="A3268" s="51">
        <v>42822</v>
      </c>
      <c r="B3268" s="52" t="s">
        <v>11102</v>
      </c>
      <c r="C3268" s="18">
        <v>106046</v>
      </c>
      <c r="D3268" s="2" t="s">
        <v>137</v>
      </c>
      <c r="E3268" s="15">
        <v>2802.4</v>
      </c>
      <c r="F3268" s="59">
        <v>42822</v>
      </c>
      <c r="G3268" s="15">
        <f t="shared" ref="G3268:G3331" si="103">E3268</f>
        <v>2802.4</v>
      </c>
      <c r="H3268" s="15">
        <f t="shared" ref="H3268:H3331" si="104">E3268-G3268</f>
        <v>0</v>
      </c>
      <c r="I3268" s="19"/>
    </row>
    <row r="3269" spans="1:9" ht="15.75" x14ac:dyDescent="0.25">
      <c r="A3269" s="51">
        <v>42822</v>
      </c>
      <c r="B3269" s="52" t="s">
        <v>11103</v>
      </c>
      <c r="C3269" s="18">
        <v>106047</v>
      </c>
      <c r="D3269" s="2" t="s">
        <v>222</v>
      </c>
      <c r="E3269" s="15">
        <v>41517.85</v>
      </c>
      <c r="F3269" s="59">
        <v>42824</v>
      </c>
      <c r="G3269" s="15">
        <f t="shared" si="103"/>
        <v>41517.85</v>
      </c>
      <c r="H3269" s="15">
        <f t="shared" si="104"/>
        <v>0</v>
      </c>
      <c r="I3269" s="19"/>
    </row>
    <row r="3270" spans="1:9" ht="15.75" x14ac:dyDescent="0.25">
      <c r="A3270" s="51">
        <v>42822</v>
      </c>
      <c r="B3270" s="52" t="s">
        <v>11104</v>
      </c>
      <c r="C3270" s="18">
        <v>106048</v>
      </c>
      <c r="D3270" s="2" t="s">
        <v>921</v>
      </c>
      <c r="E3270" s="15">
        <v>4382.7</v>
      </c>
      <c r="F3270" s="59">
        <v>42822</v>
      </c>
      <c r="G3270" s="15">
        <f t="shared" si="103"/>
        <v>4382.7</v>
      </c>
      <c r="H3270" s="15">
        <f t="shared" si="104"/>
        <v>0</v>
      </c>
      <c r="I3270" s="19"/>
    </row>
    <row r="3271" spans="1:9" ht="15.75" x14ac:dyDescent="0.25">
      <c r="A3271" s="51">
        <v>42822</v>
      </c>
      <c r="B3271" s="52" t="s">
        <v>11105</v>
      </c>
      <c r="C3271" s="18">
        <v>106049</v>
      </c>
      <c r="D3271" s="2" t="s">
        <v>211</v>
      </c>
      <c r="E3271" s="15">
        <v>7680.6</v>
      </c>
      <c r="F3271" s="59">
        <v>42822</v>
      </c>
      <c r="G3271" s="15">
        <f t="shared" si="103"/>
        <v>7680.6</v>
      </c>
      <c r="H3271" s="15">
        <f t="shared" si="104"/>
        <v>0</v>
      </c>
      <c r="I3271" s="19"/>
    </row>
    <row r="3272" spans="1:9" ht="15.75" x14ac:dyDescent="0.25">
      <c r="A3272" s="51">
        <v>42822</v>
      </c>
      <c r="B3272" s="52" t="s">
        <v>11106</v>
      </c>
      <c r="C3272" s="18">
        <v>106050</v>
      </c>
      <c r="D3272" s="2" t="s">
        <v>10</v>
      </c>
      <c r="E3272" s="15">
        <v>16779.7</v>
      </c>
      <c r="F3272" s="59">
        <v>42826</v>
      </c>
      <c r="G3272" s="15">
        <f t="shared" si="103"/>
        <v>16779.7</v>
      </c>
      <c r="H3272" s="15">
        <f t="shared" si="104"/>
        <v>0</v>
      </c>
      <c r="I3272" s="19"/>
    </row>
    <row r="3273" spans="1:9" ht="15.75" x14ac:dyDescent="0.25">
      <c r="A3273" s="51">
        <v>42822</v>
      </c>
      <c r="B3273" s="52" t="s">
        <v>11107</v>
      </c>
      <c r="C3273" s="18">
        <v>106051</v>
      </c>
      <c r="D3273" s="2" t="s">
        <v>122</v>
      </c>
      <c r="E3273" s="15">
        <v>19245.599999999999</v>
      </c>
      <c r="F3273" s="59">
        <v>42829</v>
      </c>
      <c r="G3273" s="15">
        <f t="shared" si="103"/>
        <v>19245.599999999999</v>
      </c>
      <c r="H3273" s="15">
        <f t="shared" si="104"/>
        <v>0</v>
      </c>
      <c r="I3273" s="19"/>
    </row>
    <row r="3274" spans="1:9" ht="15.75" x14ac:dyDescent="0.25">
      <c r="A3274" s="51">
        <v>42822</v>
      </c>
      <c r="B3274" s="52" t="s">
        <v>11108</v>
      </c>
      <c r="C3274" s="18">
        <v>106052</v>
      </c>
      <c r="D3274" s="2" t="s">
        <v>122</v>
      </c>
      <c r="E3274" s="15">
        <v>8464.5</v>
      </c>
      <c r="F3274" s="59">
        <v>42829</v>
      </c>
      <c r="G3274" s="15">
        <f t="shared" si="103"/>
        <v>8464.5</v>
      </c>
      <c r="H3274" s="15">
        <f t="shared" si="104"/>
        <v>0</v>
      </c>
      <c r="I3274" s="19"/>
    </row>
    <row r="3275" spans="1:9" ht="15.75" x14ac:dyDescent="0.25">
      <c r="A3275" s="51">
        <v>42822</v>
      </c>
      <c r="B3275" s="52" t="s">
        <v>11109</v>
      </c>
      <c r="C3275" s="18">
        <v>106053</v>
      </c>
      <c r="D3275" s="2" t="s">
        <v>12</v>
      </c>
      <c r="E3275" s="15">
        <v>1046</v>
      </c>
      <c r="F3275" s="59">
        <v>42824</v>
      </c>
      <c r="G3275" s="15">
        <f t="shared" si="103"/>
        <v>1046</v>
      </c>
      <c r="H3275" s="15">
        <f t="shared" si="104"/>
        <v>0</v>
      </c>
      <c r="I3275" s="19"/>
    </row>
    <row r="3276" spans="1:9" ht="15.75" x14ac:dyDescent="0.25">
      <c r="A3276" s="51">
        <v>42822</v>
      </c>
      <c r="B3276" s="52" t="s">
        <v>11110</v>
      </c>
      <c r="C3276" s="18">
        <v>106054</v>
      </c>
      <c r="D3276" s="2" t="s">
        <v>220</v>
      </c>
      <c r="E3276" s="15">
        <v>1783</v>
      </c>
      <c r="F3276" s="59">
        <v>42822</v>
      </c>
      <c r="G3276" s="15">
        <f t="shared" si="103"/>
        <v>1783</v>
      </c>
      <c r="H3276" s="15">
        <f t="shared" si="104"/>
        <v>0</v>
      </c>
      <c r="I3276" s="19"/>
    </row>
    <row r="3277" spans="1:9" ht="15.75" x14ac:dyDescent="0.25">
      <c r="A3277" s="51">
        <v>42822</v>
      </c>
      <c r="B3277" s="52" t="s">
        <v>11111</v>
      </c>
      <c r="C3277" s="18">
        <v>106055</v>
      </c>
      <c r="D3277" s="2" t="s">
        <v>10</v>
      </c>
      <c r="E3277" s="15">
        <v>195968.32</v>
      </c>
      <c r="F3277" s="59">
        <v>42826</v>
      </c>
      <c r="G3277" s="15">
        <f t="shared" si="103"/>
        <v>195968.32</v>
      </c>
      <c r="H3277" s="15">
        <f t="shared" si="104"/>
        <v>0</v>
      </c>
      <c r="I3277" s="19"/>
    </row>
    <row r="3278" spans="1:9" ht="15.75" x14ac:dyDescent="0.25">
      <c r="A3278" s="51">
        <v>42823</v>
      </c>
      <c r="B3278" s="52" t="s">
        <v>11112</v>
      </c>
      <c r="C3278" s="18">
        <v>106056</v>
      </c>
      <c r="D3278" s="2" t="s">
        <v>374</v>
      </c>
      <c r="E3278" s="15">
        <v>1771.2</v>
      </c>
      <c r="G3278" s="15">
        <f t="shared" si="103"/>
        <v>1771.2</v>
      </c>
      <c r="H3278" s="15">
        <f t="shared" si="104"/>
        <v>0</v>
      </c>
      <c r="I3278" s="19"/>
    </row>
    <row r="3279" spans="1:9" ht="15.75" x14ac:dyDescent="0.25">
      <c r="A3279" s="51">
        <v>42823</v>
      </c>
      <c r="B3279" s="52" t="s">
        <v>11113</v>
      </c>
      <c r="C3279" s="18">
        <v>106057</v>
      </c>
      <c r="D3279" s="2" t="s">
        <v>26</v>
      </c>
      <c r="E3279" s="15">
        <v>16565.2</v>
      </c>
      <c r="F3279" s="59">
        <v>42822</v>
      </c>
      <c r="G3279" s="15">
        <f t="shared" si="103"/>
        <v>16565.2</v>
      </c>
      <c r="H3279" s="15">
        <f t="shared" si="104"/>
        <v>0</v>
      </c>
      <c r="I3279" s="19"/>
    </row>
    <row r="3280" spans="1:9" ht="15.75" x14ac:dyDescent="0.25">
      <c r="A3280" s="51">
        <v>42823</v>
      </c>
      <c r="B3280" s="52" t="s">
        <v>11114</v>
      </c>
      <c r="C3280" s="18">
        <v>106058</v>
      </c>
      <c r="D3280" s="2" t="s">
        <v>67</v>
      </c>
      <c r="E3280" s="15">
        <v>9731.7000000000007</v>
      </c>
      <c r="F3280" s="59">
        <v>42829</v>
      </c>
      <c r="G3280" s="15">
        <f t="shared" si="103"/>
        <v>9731.7000000000007</v>
      </c>
      <c r="H3280" s="15">
        <f t="shared" si="104"/>
        <v>0</v>
      </c>
      <c r="I3280" s="19"/>
    </row>
    <row r="3281" spans="1:9" ht="15.75" x14ac:dyDescent="0.25">
      <c r="A3281" s="51">
        <v>42823</v>
      </c>
      <c r="B3281" s="52" t="s">
        <v>11115</v>
      </c>
      <c r="C3281" s="18">
        <v>106059</v>
      </c>
      <c r="D3281" s="2" t="s">
        <v>71</v>
      </c>
      <c r="E3281" s="15">
        <v>1770</v>
      </c>
      <c r="F3281" s="59">
        <v>42822</v>
      </c>
      <c r="G3281" s="15">
        <f t="shared" si="103"/>
        <v>1770</v>
      </c>
      <c r="H3281" s="15">
        <f t="shared" si="104"/>
        <v>0</v>
      </c>
      <c r="I3281" s="19"/>
    </row>
    <row r="3282" spans="1:9" ht="15.75" x14ac:dyDescent="0.25">
      <c r="A3282" s="51">
        <v>42823</v>
      </c>
      <c r="B3282" s="52" t="s">
        <v>11116</v>
      </c>
      <c r="C3282" s="18">
        <v>106060</v>
      </c>
      <c r="D3282" s="2" t="s">
        <v>17</v>
      </c>
      <c r="E3282" s="15">
        <v>2300</v>
      </c>
      <c r="F3282" s="59">
        <v>42822</v>
      </c>
      <c r="G3282" s="15">
        <f t="shared" si="103"/>
        <v>2300</v>
      </c>
      <c r="H3282" s="15">
        <f t="shared" si="104"/>
        <v>0</v>
      </c>
      <c r="I3282" s="19"/>
    </row>
    <row r="3283" spans="1:9" ht="15.75" x14ac:dyDescent="0.25">
      <c r="A3283" s="51">
        <v>42823</v>
      </c>
      <c r="B3283" s="52" t="s">
        <v>11117</v>
      </c>
      <c r="C3283" s="18">
        <v>106061</v>
      </c>
      <c r="D3283" s="2" t="s">
        <v>55</v>
      </c>
      <c r="E3283" s="15">
        <v>6115.2</v>
      </c>
      <c r="F3283" s="64">
        <v>42822</v>
      </c>
      <c r="G3283" s="20">
        <f>3000+3115.2</f>
        <v>6115.2</v>
      </c>
      <c r="H3283" s="20">
        <f t="shared" si="104"/>
        <v>0</v>
      </c>
      <c r="I3283" s="19"/>
    </row>
    <row r="3284" spans="1:9" ht="15.75" x14ac:dyDescent="0.25">
      <c r="A3284" s="51">
        <v>42823</v>
      </c>
      <c r="B3284" s="52" t="s">
        <v>11118</v>
      </c>
      <c r="C3284" s="18">
        <v>106062</v>
      </c>
      <c r="D3284" s="2" t="s">
        <v>186</v>
      </c>
      <c r="E3284" s="15">
        <v>3015.6</v>
      </c>
      <c r="F3284" s="59">
        <v>42827</v>
      </c>
      <c r="G3284" s="15">
        <f t="shared" si="103"/>
        <v>3015.6</v>
      </c>
      <c r="H3284" s="15">
        <f t="shared" si="104"/>
        <v>0</v>
      </c>
      <c r="I3284" s="19"/>
    </row>
    <row r="3285" spans="1:9" ht="15.75" x14ac:dyDescent="0.25">
      <c r="A3285" s="51">
        <v>42823</v>
      </c>
      <c r="B3285" s="52" t="s">
        <v>11119</v>
      </c>
      <c r="C3285" s="18">
        <v>106063</v>
      </c>
      <c r="D3285" s="2" t="s">
        <v>231</v>
      </c>
      <c r="E3285" s="15">
        <v>5937.8</v>
      </c>
      <c r="F3285" s="59">
        <v>42824</v>
      </c>
      <c r="G3285" s="15">
        <f t="shared" si="103"/>
        <v>5937.8</v>
      </c>
      <c r="H3285" s="15">
        <f t="shared" si="104"/>
        <v>0</v>
      </c>
      <c r="I3285" s="19"/>
    </row>
    <row r="3286" spans="1:9" ht="15.75" x14ac:dyDescent="0.25">
      <c r="A3286" s="51">
        <v>42823</v>
      </c>
      <c r="B3286" s="52" t="s">
        <v>11120</v>
      </c>
      <c r="C3286" s="18">
        <v>106064</v>
      </c>
      <c r="D3286" s="2" t="s">
        <v>231</v>
      </c>
      <c r="E3286" s="15">
        <v>28457.5</v>
      </c>
      <c r="F3286" s="59" t="s">
        <v>11121</v>
      </c>
      <c r="G3286" s="15">
        <f>20000+8457.5</f>
        <v>28457.5</v>
      </c>
      <c r="H3286" s="15">
        <f t="shared" si="104"/>
        <v>0</v>
      </c>
      <c r="I3286" s="19"/>
    </row>
    <row r="3287" spans="1:9" ht="15.75" x14ac:dyDescent="0.25">
      <c r="A3287" s="51">
        <v>42823</v>
      </c>
      <c r="B3287" s="52" t="s">
        <v>11122</v>
      </c>
      <c r="C3287" s="18">
        <v>106065</v>
      </c>
      <c r="D3287" s="2" t="s">
        <v>143</v>
      </c>
      <c r="E3287" s="15">
        <v>5864.6</v>
      </c>
      <c r="F3287" s="59">
        <v>42822</v>
      </c>
      <c r="G3287" s="15">
        <f t="shared" si="103"/>
        <v>5864.6</v>
      </c>
      <c r="H3287" s="15">
        <f t="shared" si="104"/>
        <v>0</v>
      </c>
      <c r="I3287" s="19"/>
    </row>
    <row r="3288" spans="1:9" ht="15.75" x14ac:dyDescent="0.25">
      <c r="A3288" s="51">
        <v>42823</v>
      </c>
      <c r="B3288" s="52" t="s">
        <v>11123</v>
      </c>
      <c r="C3288" s="18">
        <v>106066</v>
      </c>
      <c r="D3288" s="2" t="s">
        <v>69</v>
      </c>
      <c r="E3288" s="15">
        <v>4365.5</v>
      </c>
      <c r="F3288" s="59">
        <v>42822</v>
      </c>
      <c r="G3288" s="15">
        <f t="shared" si="103"/>
        <v>4365.5</v>
      </c>
      <c r="H3288" s="15">
        <f t="shared" si="104"/>
        <v>0</v>
      </c>
      <c r="I3288" s="19"/>
    </row>
    <row r="3289" spans="1:9" ht="15.75" x14ac:dyDescent="0.25">
      <c r="A3289" s="51">
        <v>42823</v>
      </c>
      <c r="B3289" s="52" t="s">
        <v>11124</v>
      </c>
      <c r="C3289" s="18">
        <v>106067</v>
      </c>
      <c r="D3289" s="2" t="s">
        <v>28</v>
      </c>
      <c r="E3289" s="15">
        <v>9348.2000000000007</v>
      </c>
      <c r="F3289" s="59">
        <v>42822</v>
      </c>
      <c r="G3289" s="15">
        <f t="shared" si="103"/>
        <v>9348.2000000000007</v>
      </c>
      <c r="H3289" s="15">
        <f t="shared" si="104"/>
        <v>0</v>
      </c>
      <c r="I3289" s="19"/>
    </row>
    <row r="3290" spans="1:9" ht="15.75" x14ac:dyDescent="0.25">
      <c r="A3290" s="51">
        <v>42823</v>
      </c>
      <c r="B3290" s="52" t="s">
        <v>11125</v>
      </c>
      <c r="C3290" s="18">
        <v>106068</v>
      </c>
      <c r="D3290" s="2" t="s">
        <v>428</v>
      </c>
      <c r="E3290" s="15">
        <v>2284.6999999999998</v>
      </c>
      <c r="F3290" s="59">
        <v>42826</v>
      </c>
      <c r="G3290" s="15">
        <f t="shared" si="103"/>
        <v>2284.6999999999998</v>
      </c>
      <c r="H3290" s="15">
        <f t="shared" si="104"/>
        <v>0</v>
      </c>
      <c r="I3290" s="19"/>
    </row>
    <row r="3291" spans="1:9" ht="15.75" x14ac:dyDescent="0.25">
      <c r="A3291" s="51">
        <v>42823</v>
      </c>
      <c r="B3291" s="52" t="s">
        <v>11126</v>
      </c>
      <c r="C3291" s="18">
        <v>106069</v>
      </c>
      <c r="D3291" s="2" t="s">
        <v>430</v>
      </c>
      <c r="E3291" s="15">
        <v>2274.8000000000002</v>
      </c>
      <c r="F3291" s="59">
        <v>42822</v>
      </c>
      <c r="G3291" s="15">
        <f t="shared" si="103"/>
        <v>2274.8000000000002</v>
      </c>
      <c r="H3291" s="15">
        <f t="shared" si="104"/>
        <v>0</v>
      </c>
      <c r="I3291" s="19"/>
    </row>
    <row r="3292" spans="1:9" ht="15.75" x14ac:dyDescent="0.25">
      <c r="A3292" s="51">
        <v>42823</v>
      </c>
      <c r="B3292" s="52" t="s">
        <v>11127</v>
      </c>
      <c r="C3292" s="18">
        <v>106070</v>
      </c>
      <c r="D3292" s="2" t="s">
        <v>47</v>
      </c>
      <c r="E3292" s="15">
        <v>2616</v>
      </c>
      <c r="F3292" s="59">
        <v>42822</v>
      </c>
      <c r="G3292" s="15">
        <f t="shared" si="103"/>
        <v>2616</v>
      </c>
      <c r="H3292" s="15">
        <f t="shared" si="104"/>
        <v>0</v>
      </c>
      <c r="I3292" s="19"/>
    </row>
    <row r="3293" spans="1:9" ht="15.75" x14ac:dyDescent="0.25">
      <c r="A3293" s="51">
        <v>42823</v>
      </c>
      <c r="B3293" s="52" t="s">
        <v>11128</v>
      </c>
      <c r="C3293" s="18">
        <v>106071</v>
      </c>
      <c r="D3293" s="2" t="s">
        <v>930</v>
      </c>
      <c r="E3293" s="15">
        <v>8214.4</v>
      </c>
      <c r="F3293" s="59">
        <v>42822</v>
      </c>
      <c r="G3293" s="15">
        <f t="shared" si="103"/>
        <v>8214.4</v>
      </c>
      <c r="H3293" s="15">
        <f t="shared" si="104"/>
        <v>0</v>
      </c>
      <c r="I3293" s="19"/>
    </row>
    <row r="3294" spans="1:9" ht="15.75" x14ac:dyDescent="0.25">
      <c r="A3294" s="51">
        <v>42823</v>
      </c>
      <c r="B3294" s="52" t="s">
        <v>11129</v>
      </c>
      <c r="C3294" s="18">
        <v>106072</v>
      </c>
      <c r="D3294" s="2" t="s">
        <v>405</v>
      </c>
      <c r="E3294" s="15">
        <v>767.2</v>
      </c>
      <c r="F3294" s="59">
        <v>42822</v>
      </c>
      <c r="G3294" s="15">
        <f t="shared" si="103"/>
        <v>767.2</v>
      </c>
      <c r="H3294" s="15">
        <f t="shared" si="104"/>
        <v>0</v>
      </c>
      <c r="I3294" s="19"/>
    </row>
    <row r="3295" spans="1:9" ht="15.75" x14ac:dyDescent="0.25">
      <c r="A3295" s="51">
        <v>42823</v>
      </c>
      <c r="B3295" s="52" t="s">
        <v>11130</v>
      </c>
      <c r="C3295" s="18">
        <v>106073</v>
      </c>
      <c r="D3295" s="2" t="s">
        <v>236</v>
      </c>
      <c r="E3295" s="15">
        <v>36615.08</v>
      </c>
      <c r="F3295" s="64" t="s">
        <v>11503</v>
      </c>
      <c r="G3295" s="20">
        <f>34041.56+2573.52</f>
        <v>36615.079999999994</v>
      </c>
      <c r="H3295" s="20">
        <f t="shared" si="104"/>
        <v>0</v>
      </c>
      <c r="I3295" s="19"/>
    </row>
    <row r="3296" spans="1:9" ht="15.75" x14ac:dyDescent="0.25">
      <c r="A3296" s="51">
        <v>42823</v>
      </c>
      <c r="B3296" s="52" t="s">
        <v>11131</v>
      </c>
      <c r="C3296" s="18">
        <v>106074</v>
      </c>
      <c r="D3296" s="2" t="s">
        <v>38</v>
      </c>
      <c r="E3296" s="15">
        <v>2820.7</v>
      </c>
      <c r="F3296" s="59">
        <v>42828</v>
      </c>
      <c r="G3296" s="15">
        <f t="shared" si="103"/>
        <v>2820.7</v>
      </c>
      <c r="H3296" s="15">
        <f t="shared" si="104"/>
        <v>0</v>
      </c>
      <c r="I3296" s="19"/>
    </row>
    <row r="3297" spans="1:9" ht="15.75" x14ac:dyDescent="0.25">
      <c r="A3297" s="51">
        <v>42823</v>
      </c>
      <c r="B3297" s="52" t="s">
        <v>11132</v>
      </c>
      <c r="C3297" s="18">
        <v>106075</v>
      </c>
      <c r="D3297" s="2" t="s">
        <v>21</v>
      </c>
      <c r="E3297" s="15">
        <v>72090.399999999994</v>
      </c>
      <c r="F3297" s="59">
        <v>42832</v>
      </c>
      <c r="G3297" s="15">
        <f t="shared" si="103"/>
        <v>72090.399999999994</v>
      </c>
      <c r="H3297" s="15">
        <f t="shared" si="104"/>
        <v>0</v>
      </c>
      <c r="I3297" s="19"/>
    </row>
    <row r="3298" spans="1:9" ht="15.75" x14ac:dyDescent="0.25">
      <c r="A3298" s="51">
        <v>42823</v>
      </c>
      <c r="B3298" s="52" t="s">
        <v>11133</v>
      </c>
      <c r="C3298" s="18">
        <v>106076</v>
      </c>
      <c r="D3298" s="2" t="s">
        <v>40</v>
      </c>
      <c r="E3298" s="15">
        <v>975</v>
      </c>
      <c r="F3298" s="59">
        <v>42825</v>
      </c>
      <c r="G3298" s="15">
        <f t="shared" si="103"/>
        <v>975</v>
      </c>
      <c r="H3298" s="15">
        <f t="shared" si="104"/>
        <v>0</v>
      </c>
      <c r="I3298" s="19"/>
    </row>
    <row r="3299" spans="1:9" ht="15.75" x14ac:dyDescent="0.25">
      <c r="A3299" s="51">
        <v>42823</v>
      </c>
      <c r="B3299" s="52" t="s">
        <v>11134</v>
      </c>
      <c r="C3299" s="18">
        <v>106077</v>
      </c>
      <c r="D3299" s="2" t="s">
        <v>250</v>
      </c>
      <c r="E3299" s="15">
        <v>8163.2</v>
      </c>
      <c r="F3299" s="59">
        <v>42824</v>
      </c>
      <c r="G3299" s="15">
        <f t="shared" si="103"/>
        <v>8163.2</v>
      </c>
      <c r="H3299" s="15">
        <f t="shared" si="104"/>
        <v>0</v>
      </c>
      <c r="I3299" s="19"/>
    </row>
    <row r="3300" spans="1:9" ht="15.75" x14ac:dyDescent="0.25">
      <c r="A3300" s="51">
        <v>42823</v>
      </c>
      <c r="B3300" s="52" t="s">
        <v>11135</v>
      </c>
      <c r="C3300" s="18">
        <v>106078</v>
      </c>
      <c r="D3300" s="2" t="s">
        <v>51</v>
      </c>
      <c r="E3300" s="15">
        <v>2884.2</v>
      </c>
      <c r="F3300" s="59">
        <v>42825</v>
      </c>
      <c r="G3300" s="15">
        <f t="shared" si="103"/>
        <v>2884.2</v>
      </c>
      <c r="H3300" s="15">
        <f t="shared" si="104"/>
        <v>0</v>
      </c>
      <c r="I3300" s="19"/>
    </row>
    <row r="3301" spans="1:9" ht="15.75" x14ac:dyDescent="0.25">
      <c r="A3301" s="51">
        <v>42823</v>
      </c>
      <c r="B3301" s="52" t="s">
        <v>11136</v>
      </c>
      <c r="C3301" s="18">
        <v>106079</v>
      </c>
      <c r="D3301" s="2" t="s">
        <v>35</v>
      </c>
      <c r="E3301" s="15">
        <v>7504</v>
      </c>
      <c r="F3301" s="59">
        <v>42828</v>
      </c>
      <c r="G3301" s="15">
        <f t="shared" si="103"/>
        <v>7504</v>
      </c>
      <c r="H3301" s="15">
        <f t="shared" si="104"/>
        <v>0</v>
      </c>
      <c r="I3301" s="19"/>
    </row>
    <row r="3302" spans="1:9" ht="15.75" x14ac:dyDescent="0.25">
      <c r="A3302" s="51">
        <v>42823</v>
      </c>
      <c r="B3302" s="52" t="s">
        <v>11137</v>
      </c>
      <c r="C3302" s="18">
        <v>106080</v>
      </c>
      <c r="D3302" s="2" t="s">
        <v>49</v>
      </c>
      <c r="E3302" s="15">
        <v>12850.2</v>
      </c>
      <c r="F3302" s="64" t="s">
        <v>11496</v>
      </c>
      <c r="G3302" s="20">
        <f>3000+9850.2</f>
        <v>12850.2</v>
      </c>
      <c r="H3302" s="20">
        <f t="shared" si="104"/>
        <v>0</v>
      </c>
      <c r="I3302" s="19"/>
    </row>
    <row r="3303" spans="1:9" ht="15.75" x14ac:dyDescent="0.25">
      <c r="A3303" s="51">
        <v>42823</v>
      </c>
      <c r="B3303" s="52" t="s">
        <v>11138</v>
      </c>
      <c r="C3303" s="18">
        <v>106081</v>
      </c>
      <c r="D3303" s="2" t="s">
        <v>32</v>
      </c>
      <c r="E3303" s="15">
        <v>5433.7</v>
      </c>
      <c r="F3303" s="59">
        <v>42826</v>
      </c>
      <c r="G3303" s="15">
        <f t="shared" si="103"/>
        <v>5433.7</v>
      </c>
      <c r="H3303" s="15">
        <f t="shared" si="104"/>
        <v>0</v>
      </c>
      <c r="I3303" s="19"/>
    </row>
    <row r="3304" spans="1:9" ht="15.75" x14ac:dyDescent="0.25">
      <c r="A3304" s="51">
        <v>42823</v>
      </c>
      <c r="B3304" s="52" t="s">
        <v>11139</v>
      </c>
      <c r="C3304" s="18">
        <v>106082</v>
      </c>
      <c r="D3304" s="2" t="s">
        <v>268</v>
      </c>
      <c r="E3304" s="15">
        <v>8979.2999999999993</v>
      </c>
      <c r="F3304" s="59">
        <v>42825</v>
      </c>
      <c r="G3304" s="15">
        <f t="shared" si="103"/>
        <v>8979.2999999999993</v>
      </c>
      <c r="H3304" s="15">
        <f t="shared" si="104"/>
        <v>0</v>
      </c>
      <c r="I3304" s="19"/>
    </row>
    <row r="3305" spans="1:9" ht="15.75" x14ac:dyDescent="0.25">
      <c r="A3305" s="51">
        <v>42823</v>
      </c>
      <c r="B3305" s="52" t="s">
        <v>11140</v>
      </c>
      <c r="C3305" s="18">
        <v>106083</v>
      </c>
      <c r="D3305" s="2" t="s">
        <v>133</v>
      </c>
      <c r="E3305" s="15">
        <v>315</v>
      </c>
      <c r="F3305" s="59">
        <v>42822</v>
      </c>
      <c r="G3305" s="15">
        <f t="shared" si="103"/>
        <v>315</v>
      </c>
      <c r="H3305" s="15">
        <f t="shared" si="104"/>
        <v>0</v>
      </c>
      <c r="I3305" s="19"/>
    </row>
    <row r="3306" spans="1:9" ht="15.75" x14ac:dyDescent="0.25">
      <c r="A3306" s="51">
        <v>42823</v>
      </c>
      <c r="B3306" s="52" t="s">
        <v>11141</v>
      </c>
      <c r="C3306" s="18">
        <v>106084</v>
      </c>
      <c r="D3306" s="2" t="s">
        <v>422</v>
      </c>
      <c r="E3306" s="15">
        <v>1491.3</v>
      </c>
      <c r="F3306" s="59">
        <v>42822</v>
      </c>
      <c r="G3306" s="15">
        <f t="shared" si="103"/>
        <v>1491.3</v>
      </c>
      <c r="H3306" s="15">
        <f t="shared" si="104"/>
        <v>0</v>
      </c>
      <c r="I3306" s="19"/>
    </row>
    <row r="3307" spans="1:9" ht="15.75" x14ac:dyDescent="0.25">
      <c r="A3307" s="51">
        <v>42823</v>
      </c>
      <c r="B3307" s="52" t="s">
        <v>11142</v>
      </c>
      <c r="C3307" s="18">
        <v>106085</v>
      </c>
      <c r="D3307" s="2" t="s">
        <v>151</v>
      </c>
      <c r="E3307" s="15">
        <v>15967.2</v>
      </c>
      <c r="F3307" s="59">
        <v>42822</v>
      </c>
      <c r="G3307" s="15">
        <f t="shared" si="103"/>
        <v>15967.2</v>
      </c>
      <c r="H3307" s="15">
        <f t="shared" si="104"/>
        <v>0</v>
      </c>
      <c r="I3307" s="19"/>
    </row>
    <row r="3308" spans="1:9" ht="15.75" x14ac:dyDescent="0.25">
      <c r="A3308" s="51">
        <v>42823</v>
      </c>
      <c r="B3308" s="52" t="s">
        <v>11143</v>
      </c>
      <c r="C3308" s="18">
        <v>106086</v>
      </c>
      <c r="D3308" s="2" t="s">
        <v>240</v>
      </c>
      <c r="E3308" s="15">
        <v>5329.9</v>
      </c>
      <c r="F3308" s="59">
        <v>42822</v>
      </c>
      <c r="G3308" s="15">
        <f t="shared" si="103"/>
        <v>5329.9</v>
      </c>
      <c r="H3308" s="15">
        <f t="shared" si="104"/>
        <v>0</v>
      </c>
      <c r="I3308" s="19"/>
    </row>
    <row r="3309" spans="1:9" ht="15.75" x14ac:dyDescent="0.25">
      <c r="A3309" s="51">
        <v>42823</v>
      </c>
      <c r="B3309" s="52" t="s">
        <v>11144</v>
      </c>
      <c r="C3309" s="18">
        <v>106087</v>
      </c>
      <c r="D3309" s="2" t="s">
        <v>111</v>
      </c>
      <c r="E3309" s="15">
        <v>3524.4</v>
      </c>
      <c r="F3309" s="59">
        <v>42822</v>
      </c>
      <c r="G3309" s="15">
        <f t="shared" si="103"/>
        <v>3524.4</v>
      </c>
      <c r="H3309" s="15">
        <f t="shared" si="104"/>
        <v>0</v>
      </c>
      <c r="I3309" s="19"/>
    </row>
    <row r="3310" spans="1:9" ht="15.75" x14ac:dyDescent="0.25">
      <c r="A3310" s="51">
        <v>42823</v>
      </c>
      <c r="B3310" s="52" t="s">
        <v>11145</v>
      </c>
      <c r="C3310" s="18">
        <v>106088</v>
      </c>
      <c r="D3310" s="2" t="s">
        <v>1090</v>
      </c>
      <c r="E3310" s="15">
        <v>6056.9</v>
      </c>
      <c r="F3310" s="59">
        <v>42822</v>
      </c>
      <c r="G3310" s="15">
        <f t="shared" si="103"/>
        <v>6056.9</v>
      </c>
      <c r="H3310" s="15">
        <f t="shared" si="104"/>
        <v>0</v>
      </c>
      <c r="I3310" s="19"/>
    </row>
    <row r="3311" spans="1:9" ht="15.75" x14ac:dyDescent="0.25">
      <c r="A3311" s="51">
        <v>42823</v>
      </c>
      <c r="B3311" s="52" t="s">
        <v>11146</v>
      </c>
      <c r="C3311" s="18">
        <v>106089</v>
      </c>
      <c r="D3311" s="2" t="s">
        <v>79</v>
      </c>
      <c r="E3311" s="15">
        <v>3248.2</v>
      </c>
      <c r="F3311" s="59">
        <v>42822</v>
      </c>
      <c r="G3311" s="15">
        <f t="shared" si="103"/>
        <v>3248.2</v>
      </c>
      <c r="H3311" s="15">
        <f t="shared" si="104"/>
        <v>0</v>
      </c>
      <c r="I3311" s="19"/>
    </row>
    <row r="3312" spans="1:9" ht="15.75" x14ac:dyDescent="0.25">
      <c r="A3312" s="51">
        <v>42823</v>
      </c>
      <c r="B3312" s="52" t="s">
        <v>11147</v>
      </c>
      <c r="C3312" s="18">
        <v>106090</v>
      </c>
      <c r="D3312" s="2" t="s">
        <v>99</v>
      </c>
      <c r="E3312" s="15">
        <v>1384.6</v>
      </c>
      <c r="F3312" s="59">
        <v>42822</v>
      </c>
      <c r="G3312" s="15">
        <f t="shared" si="103"/>
        <v>1384.6</v>
      </c>
      <c r="H3312" s="15">
        <f t="shared" si="104"/>
        <v>0</v>
      </c>
      <c r="I3312" s="19"/>
    </row>
    <row r="3313" spans="1:9" ht="15.75" x14ac:dyDescent="0.25">
      <c r="A3313" s="51">
        <v>42823</v>
      </c>
      <c r="B3313" s="52" t="s">
        <v>11148</v>
      </c>
      <c r="C3313" s="18">
        <v>106091</v>
      </c>
      <c r="D3313" s="13" t="s">
        <v>3425</v>
      </c>
      <c r="E3313" s="14">
        <v>0</v>
      </c>
      <c r="F3313" s="102" t="s">
        <v>95</v>
      </c>
      <c r="G3313" s="14">
        <f t="shared" si="103"/>
        <v>0</v>
      </c>
      <c r="H3313" s="14">
        <f t="shared" si="104"/>
        <v>0</v>
      </c>
      <c r="I3313" s="19"/>
    </row>
    <row r="3314" spans="1:9" ht="15.75" x14ac:dyDescent="0.25">
      <c r="A3314" s="51">
        <v>42823</v>
      </c>
      <c r="B3314" s="52" t="s">
        <v>11149</v>
      </c>
      <c r="C3314" s="18">
        <v>106092</v>
      </c>
      <c r="D3314" s="2" t="s">
        <v>3425</v>
      </c>
      <c r="E3314" s="15">
        <v>1094.4000000000001</v>
      </c>
      <c r="F3314" s="59">
        <v>42822</v>
      </c>
      <c r="G3314" s="15">
        <f t="shared" si="103"/>
        <v>1094.4000000000001</v>
      </c>
      <c r="H3314" s="15">
        <f t="shared" si="104"/>
        <v>0</v>
      </c>
      <c r="I3314" s="19"/>
    </row>
    <row r="3315" spans="1:9" ht="15.75" x14ac:dyDescent="0.25">
      <c r="A3315" s="51">
        <v>42823</v>
      </c>
      <c r="B3315" s="52" t="s">
        <v>11150</v>
      </c>
      <c r="C3315" s="18">
        <v>106093</v>
      </c>
      <c r="D3315" s="2" t="s">
        <v>1081</v>
      </c>
      <c r="E3315" s="15">
        <v>385</v>
      </c>
      <c r="F3315" s="59">
        <v>42822</v>
      </c>
      <c r="G3315" s="15">
        <f t="shared" si="103"/>
        <v>385</v>
      </c>
      <c r="H3315" s="15">
        <f t="shared" si="104"/>
        <v>0</v>
      </c>
      <c r="I3315" s="19"/>
    </row>
    <row r="3316" spans="1:9" ht="15.75" x14ac:dyDescent="0.25">
      <c r="A3316" s="51">
        <v>42823</v>
      </c>
      <c r="B3316" s="52" t="s">
        <v>11151</v>
      </c>
      <c r="C3316" s="18">
        <v>106094</v>
      </c>
      <c r="D3316" s="2" t="s">
        <v>81</v>
      </c>
      <c r="E3316" s="15">
        <v>3242.2</v>
      </c>
      <c r="F3316" s="59">
        <v>42825</v>
      </c>
      <c r="G3316" s="15">
        <f t="shared" si="103"/>
        <v>3242.2</v>
      </c>
      <c r="H3316" s="15">
        <f t="shared" si="104"/>
        <v>0</v>
      </c>
      <c r="I3316" s="19"/>
    </row>
    <row r="3317" spans="1:9" ht="15.75" x14ac:dyDescent="0.25">
      <c r="A3317" s="51">
        <v>42823</v>
      </c>
      <c r="B3317" s="52" t="s">
        <v>11152</v>
      </c>
      <c r="C3317" s="18">
        <v>106095</v>
      </c>
      <c r="D3317" s="2" t="s">
        <v>281</v>
      </c>
      <c r="E3317" s="15">
        <v>1490</v>
      </c>
      <c r="F3317" s="59">
        <v>42822</v>
      </c>
      <c r="G3317" s="15">
        <f t="shared" si="103"/>
        <v>1490</v>
      </c>
      <c r="H3317" s="15">
        <f t="shared" si="104"/>
        <v>0</v>
      </c>
      <c r="I3317" s="19"/>
    </row>
    <row r="3318" spans="1:9" ht="15.75" x14ac:dyDescent="0.25">
      <c r="A3318" s="51">
        <v>42823</v>
      </c>
      <c r="B3318" s="52" t="s">
        <v>11153</v>
      </c>
      <c r="C3318" s="18">
        <v>106096</v>
      </c>
      <c r="D3318" s="2" t="s">
        <v>291</v>
      </c>
      <c r="E3318" s="15">
        <v>1958.4</v>
      </c>
      <c r="F3318" s="59">
        <v>42822</v>
      </c>
      <c r="G3318" s="15">
        <f t="shared" si="103"/>
        <v>1958.4</v>
      </c>
      <c r="H3318" s="15">
        <f t="shared" si="104"/>
        <v>0</v>
      </c>
      <c r="I3318" s="19"/>
    </row>
    <row r="3319" spans="1:9" ht="15.75" x14ac:dyDescent="0.25">
      <c r="A3319" s="51">
        <v>42823</v>
      </c>
      <c r="B3319" s="52" t="s">
        <v>11154</v>
      </c>
      <c r="C3319" s="18">
        <v>106097</v>
      </c>
      <c r="D3319" s="2" t="s">
        <v>83</v>
      </c>
      <c r="E3319" s="15">
        <v>4860.8</v>
      </c>
      <c r="F3319" s="59">
        <v>42822</v>
      </c>
      <c r="G3319" s="15">
        <f t="shared" si="103"/>
        <v>4860.8</v>
      </c>
      <c r="H3319" s="15">
        <f t="shared" si="104"/>
        <v>0</v>
      </c>
      <c r="I3319" s="19"/>
    </row>
    <row r="3320" spans="1:9" ht="15.75" x14ac:dyDescent="0.25">
      <c r="A3320" s="51">
        <v>42823</v>
      </c>
      <c r="B3320" s="52" t="s">
        <v>11155</v>
      </c>
      <c r="C3320" s="18">
        <v>106098</v>
      </c>
      <c r="D3320" s="2" t="s">
        <v>1259</v>
      </c>
      <c r="E3320" s="15">
        <v>1196</v>
      </c>
      <c r="F3320" s="59">
        <v>42822</v>
      </c>
      <c r="G3320" s="15">
        <f t="shared" si="103"/>
        <v>1196</v>
      </c>
      <c r="H3320" s="15">
        <f t="shared" si="104"/>
        <v>0</v>
      </c>
      <c r="I3320" s="19"/>
    </row>
    <row r="3321" spans="1:9" ht="15.75" x14ac:dyDescent="0.25">
      <c r="A3321" s="51">
        <v>42823</v>
      </c>
      <c r="B3321" s="52" t="s">
        <v>11156</v>
      </c>
      <c r="C3321" s="18">
        <v>106099</v>
      </c>
      <c r="D3321" s="2" t="s">
        <v>712</v>
      </c>
      <c r="E3321" s="15">
        <v>7183.9</v>
      </c>
      <c r="F3321" s="59">
        <v>42822</v>
      </c>
      <c r="G3321" s="15">
        <f t="shared" si="103"/>
        <v>7183.9</v>
      </c>
      <c r="H3321" s="15">
        <f t="shared" si="104"/>
        <v>0</v>
      </c>
      <c r="I3321" s="19"/>
    </row>
    <row r="3322" spans="1:9" ht="15.75" x14ac:dyDescent="0.25">
      <c r="A3322" s="51">
        <v>42823</v>
      </c>
      <c r="B3322" s="52" t="s">
        <v>11157</v>
      </c>
      <c r="C3322" s="18">
        <v>106100</v>
      </c>
      <c r="D3322" s="2" t="s">
        <v>613</v>
      </c>
      <c r="E3322" s="15">
        <v>5280</v>
      </c>
      <c r="F3322" s="59">
        <v>42822</v>
      </c>
      <c r="G3322" s="15">
        <f t="shared" si="103"/>
        <v>5280</v>
      </c>
      <c r="H3322" s="15">
        <f t="shared" si="104"/>
        <v>0</v>
      </c>
      <c r="I3322" s="19"/>
    </row>
    <row r="3323" spans="1:9" ht="15.75" x14ac:dyDescent="0.25">
      <c r="A3323" s="51">
        <v>42823</v>
      </c>
      <c r="B3323" s="52" t="s">
        <v>11158</v>
      </c>
      <c r="C3323" s="18">
        <v>106101</v>
      </c>
      <c r="D3323" s="2" t="s">
        <v>448</v>
      </c>
      <c r="E3323" s="15">
        <v>325</v>
      </c>
      <c r="F3323" s="59">
        <v>42822</v>
      </c>
      <c r="G3323" s="15">
        <f t="shared" si="103"/>
        <v>325</v>
      </c>
      <c r="H3323" s="15">
        <f t="shared" si="104"/>
        <v>0</v>
      </c>
      <c r="I3323" s="19"/>
    </row>
    <row r="3324" spans="1:9" ht="15.75" x14ac:dyDescent="0.25">
      <c r="A3324" s="51">
        <v>42823</v>
      </c>
      <c r="B3324" s="52" t="s">
        <v>11159</v>
      </c>
      <c r="C3324" s="18">
        <v>106102</v>
      </c>
      <c r="D3324" s="2" t="s">
        <v>1269</v>
      </c>
      <c r="E3324" s="15">
        <v>4164.8</v>
      </c>
      <c r="F3324" s="59">
        <v>42822</v>
      </c>
      <c r="G3324" s="15">
        <f t="shared" si="103"/>
        <v>4164.8</v>
      </c>
      <c r="H3324" s="15">
        <f t="shared" si="104"/>
        <v>0</v>
      </c>
      <c r="I3324" s="19"/>
    </row>
    <row r="3325" spans="1:9" ht="15.75" x14ac:dyDescent="0.25">
      <c r="A3325" s="51">
        <v>42823</v>
      </c>
      <c r="B3325" s="52" t="s">
        <v>11160</v>
      </c>
      <c r="C3325" s="18">
        <v>106103</v>
      </c>
      <c r="D3325" s="2" t="s">
        <v>1786</v>
      </c>
      <c r="E3325" s="15">
        <v>5887</v>
      </c>
      <c r="F3325" s="59">
        <v>42822</v>
      </c>
      <c r="G3325" s="15">
        <f t="shared" si="103"/>
        <v>5887</v>
      </c>
      <c r="H3325" s="15">
        <f t="shared" si="104"/>
        <v>0</v>
      </c>
      <c r="I3325" s="19"/>
    </row>
    <row r="3326" spans="1:9" ht="15.75" x14ac:dyDescent="0.25">
      <c r="A3326" s="51">
        <v>42823</v>
      </c>
      <c r="B3326" s="52" t="s">
        <v>11161</v>
      </c>
      <c r="C3326" s="18">
        <v>106104</v>
      </c>
      <c r="D3326" s="2" t="s">
        <v>432</v>
      </c>
      <c r="E3326" s="15">
        <v>13064.7</v>
      </c>
      <c r="F3326" s="59">
        <v>42830</v>
      </c>
      <c r="G3326" s="15">
        <f t="shared" si="103"/>
        <v>13064.7</v>
      </c>
      <c r="H3326" s="15">
        <f t="shared" si="104"/>
        <v>0</v>
      </c>
      <c r="I3326" s="19"/>
    </row>
    <row r="3327" spans="1:9" ht="15.75" x14ac:dyDescent="0.25">
      <c r="A3327" s="51">
        <v>42823</v>
      </c>
      <c r="B3327" s="52" t="s">
        <v>11162</v>
      </c>
      <c r="C3327" s="18">
        <v>106105</v>
      </c>
      <c r="D3327" s="2" t="s">
        <v>268</v>
      </c>
      <c r="E3327" s="15">
        <v>14894.8</v>
      </c>
      <c r="F3327" s="59">
        <v>42825</v>
      </c>
      <c r="G3327" s="15">
        <f t="shared" si="103"/>
        <v>14894.8</v>
      </c>
      <c r="H3327" s="15">
        <f t="shared" si="104"/>
        <v>0</v>
      </c>
      <c r="I3327" s="19"/>
    </row>
    <row r="3328" spans="1:9" ht="15.75" x14ac:dyDescent="0.25">
      <c r="A3328" s="51">
        <v>42823</v>
      </c>
      <c r="B3328" s="52" t="s">
        <v>11163</v>
      </c>
      <c r="C3328" s="18">
        <v>106106</v>
      </c>
      <c r="D3328" s="2" t="s">
        <v>88</v>
      </c>
      <c r="E3328" s="15">
        <v>7562</v>
      </c>
      <c r="F3328" s="59">
        <v>42822</v>
      </c>
      <c r="G3328" s="15">
        <f t="shared" si="103"/>
        <v>7562</v>
      </c>
      <c r="H3328" s="15">
        <f t="shared" si="104"/>
        <v>0</v>
      </c>
      <c r="I3328" s="19"/>
    </row>
    <row r="3329" spans="1:9" ht="15.75" x14ac:dyDescent="0.25">
      <c r="A3329" s="51">
        <v>42823</v>
      </c>
      <c r="B3329" s="52" t="s">
        <v>11164</v>
      </c>
      <c r="C3329" s="18">
        <v>106107</v>
      </c>
      <c r="D3329" s="2" t="s">
        <v>270</v>
      </c>
      <c r="E3329" s="15">
        <v>17598.3</v>
      </c>
      <c r="F3329" s="59">
        <v>42825</v>
      </c>
      <c r="G3329" s="15">
        <f t="shared" si="103"/>
        <v>17598.3</v>
      </c>
      <c r="H3329" s="15">
        <f t="shared" si="104"/>
        <v>0</v>
      </c>
      <c r="I3329" s="19"/>
    </row>
    <row r="3330" spans="1:9" ht="15.75" x14ac:dyDescent="0.25">
      <c r="A3330" s="51">
        <v>42823</v>
      </c>
      <c r="B3330" s="52" t="s">
        <v>11165</v>
      </c>
      <c r="C3330" s="18">
        <v>106108</v>
      </c>
      <c r="D3330" s="2" t="s">
        <v>272</v>
      </c>
      <c r="E3330" s="15">
        <v>2960.1</v>
      </c>
      <c r="F3330" s="59">
        <v>42825</v>
      </c>
      <c r="G3330" s="15">
        <f t="shared" si="103"/>
        <v>2960.1</v>
      </c>
      <c r="H3330" s="15">
        <f t="shared" si="104"/>
        <v>0</v>
      </c>
      <c r="I3330" s="19"/>
    </row>
    <row r="3331" spans="1:9" ht="15.75" x14ac:dyDescent="0.25">
      <c r="A3331" s="51">
        <v>42823</v>
      </c>
      <c r="B3331" s="52" t="s">
        <v>11166</v>
      </c>
      <c r="C3331" s="18">
        <v>106109</v>
      </c>
      <c r="D3331" s="2" t="s">
        <v>274</v>
      </c>
      <c r="E3331" s="15">
        <v>12127.6</v>
      </c>
      <c r="F3331" s="59">
        <v>42830</v>
      </c>
      <c r="G3331" s="15">
        <f t="shared" si="103"/>
        <v>12127.6</v>
      </c>
      <c r="H3331" s="15">
        <f t="shared" si="104"/>
        <v>0</v>
      </c>
      <c r="I3331" s="19"/>
    </row>
    <row r="3332" spans="1:9" ht="15.75" x14ac:dyDescent="0.25">
      <c r="A3332" s="51">
        <v>42823</v>
      </c>
      <c r="B3332" s="52" t="s">
        <v>11167</v>
      </c>
      <c r="C3332" s="18">
        <v>106110</v>
      </c>
      <c r="D3332" s="2" t="s">
        <v>876</v>
      </c>
      <c r="E3332" s="15">
        <v>4503.3</v>
      </c>
      <c r="F3332" s="59">
        <v>42832</v>
      </c>
      <c r="G3332" s="15">
        <f t="shared" ref="G3332:G3395" si="105">E3332</f>
        <v>4503.3</v>
      </c>
      <c r="H3332" s="15">
        <f t="shared" ref="H3332:H3395" si="106">E3332-G3332</f>
        <v>0</v>
      </c>
      <c r="I3332" s="19"/>
    </row>
    <row r="3333" spans="1:9" ht="15.75" x14ac:dyDescent="0.25">
      <c r="A3333" s="51">
        <v>42823</v>
      </c>
      <c r="B3333" s="52" t="s">
        <v>11168</v>
      </c>
      <c r="C3333" s="18">
        <v>106111</v>
      </c>
      <c r="D3333" s="2" t="s">
        <v>222</v>
      </c>
      <c r="E3333" s="15">
        <v>31179.39</v>
      </c>
      <c r="F3333" s="59">
        <v>42824</v>
      </c>
      <c r="G3333" s="15">
        <f t="shared" si="105"/>
        <v>31179.39</v>
      </c>
      <c r="H3333" s="15">
        <f t="shared" si="106"/>
        <v>0</v>
      </c>
      <c r="I3333" s="19"/>
    </row>
    <row r="3334" spans="1:9" ht="15.75" x14ac:dyDescent="0.25">
      <c r="A3334" s="51">
        <v>42823</v>
      </c>
      <c r="B3334" s="52" t="s">
        <v>11169</v>
      </c>
      <c r="C3334" s="18">
        <v>106112</v>
      </c>
      <c r="D3334" s="2" t="s">
        <v>109</v>
      </c>
      <c r="E3334" s="15">
        <v>3959.2</v>
      </c>
      <c r="F3334" s="59">
        <v>42822</v>
      </c>
      <c r="G3334" s="15">
        <f t="shared" si="105"/>
        <v>3959.2</v>
      </c>
      <c r="H3334" s="15">
        <f t="shared" si="106"/>
        <v>0</v>
      </c>
      <c r="I3334" s="19"/>
    </row>
    <row r="3335" spans="1:9" ht="15.75" x14ac:dyDescent="0.25">
      <c r="A3335" s="51">
        <v>42823</v>
      </c>
      <c r="B3335" s="52" t="s">
        <v>11170</v>
      </c>
      <c r="C3335" s="18">
        <v>106113</v>
      </c>
      <c r="D3335" s="2" t="s">
        <v>103</v>
      </c>
      <c r="E3335" s="15">
        <v>3267.6</v>
      </c>
      <c r="F3335" s="120">
        <v>42887</v>
      </c>
      <c r="G3335" s="107">
        <f t="shared" si="105"/>
        <v>3267.6</v>
      </c>
      <c r="H3335" s="15">
        <f t="shared" si="106"/>
        <v>0</v>
      </c>
      <c r="I3335" s="19"/>
    </row>
    <row r="3336" spans="1:9" ht="15.75" x14ac:dyDescent="0.25">
      <c r="A3336" s="51">
        <v>42823</v>
      </c>
      <c r="B3336" s="52" t="s">
        <v>11171</v>
      </c>
      <c r="C3336" s="18">
        <v>106114</v>
      </c>
      <c r="D3336" s="2" t="s">
        <v>105</v>
      </c>
      <c r="E3336" s="15">
        <v>3070.2</v>
      </c>
      <c r="F3336" s="59">
        <v>42825</v>
      </c>
      <c r="G3336" s="15">
        <f t="shared" si="105"/>
        <v>3070.2</v>
      </c>
      <c r="H3336" s="15">
        <f t="shared" si="106"/>
        <v>0</v>
      </c>
      <c r="I3336" s="19"/>
    </row>
    <row r="3337" spans="1:9" ht="15.75" x14ac:dyDescent="0.25">
      <c r="A3337" s="51">
        <v>42823</v>
      </c>
      <c r="B3337" s="52" t="s">
        <v>11172</v>
      </c>
      <c r="C3337" s="18">
        <v>106115</v>
      </c>
      <c r="D3337" s="2" t="s">
        <v>331</v>
      </c>
      <c r="E3337" s="15">
        <v>2134</v>
      </c>
      <c r="F3337" s="59">
        <v>42822</v>
      </c>
      <c r="G3337" s="15">
        <f t="shared" si="105"/>
        <v>2134</v>
      </c>
      <c r="H3337" s="15">
        <f t="shared" si="106"/>
        <v>0</v>
      </c>
      <c r="I3337" s="19"/>
    </row>
    <row r="3338" spans="1:9" ht="15.75" x14ac:dyDescent="0.25">
      <c r="A3338" s="51">
        <v>42823</v>
      </c>
      <c r="B3338" s="52" t="s">
        <v>11173</v>
      </c>
      <c r="C3338" s="18">
        <v>106116</v>
      </c>
      <c r="D3338" s="2" t="s">
        <v>57</v>
      </c>
      <c r="E3338" s="15">
        <v>621</v>
      </c>
      <c r="F3338" s="59">
        <v>42822</v>
      </c>
      <c r="G3338" s="15">
        <f t="shared" si="105"/>
        <v>621</v>
      </c>
      <c r="H3338" s="15">
        <f t="shared" si="106"/>
        <v>0</v>
      </c>
      <c r="I3338" s="19"/>
    </row>
    <row r="3339" spans="1:9" ht="15.75" x14ac:dyDescent="0.25">
      <c r="A3339" s="51">
        <v>42823</v>
      </c>
      <c r="B3339" s="52" t="s">
        <v>11174</v>
      </c>
      <c r="C3339" s="18">
        <v>106117</v>
      </c>
      <c r="D3339" s="2" t="s">
        <v>186</v>
      </c>
      <c r="E3339" s="15">
        <v>480.2</v>
      </c>
      <c r="F3339" s="59">
        <v>42822</v>
      </c>
      <c r="G3339" s="15">
        <f t="shared" si="105"/>
        <v>480.2</v>
      </c>
      <c r="H3339" s="15">
        <f t="shared" si="106"/>
        <v>0</v>
      </c>
      <c r="I3339" s="19"/>
    </row>
    <row r="3340" spans="1:9" ht="15.75" x14ac:dyDescent="0.25">
      <c r="A3340" s="51">
        <v>42823</v>
      </c>
      <c r="B3340" s="52" t="s">
        <v>11175</v>
      </c>
      <c r="C3340" s="18">
        <v>106118</v>
      </c>
      <c r="D3340" s="2" t="s">
        <v>480</v>
      </c>
      <c r="E3340" s="15">
        <v>1240.8</v>
      </c>
      <c r="F3340" s="59">
        <v>42822</v>
      </c>
      <c r="G3340" s="15">
        <f t="shared" si="105"/>
        <v>1240.8</v>
      </c>
      <c r="H3340" s="15">
        <f t="shared" si="106"/>
        <v>0</v>
      </c>
      <c r="I3340" s="19"/>
    </row>
    <row r="3341" spans="1:9" ht="15.75" x14ac:dyDescent="0.25">
      <c r="A3341" s="51">
        <v>42823</v>
      </c>
      <c r="B3341" s="52" t="s">
        <v>11176</v>
      </c>
      <c r="C3341" s="18">
        <v>106119</v>
      </c>
      <c r="D3341" s="2" t="s">
        <v>198</v>
      </c>
      <c r="E3341" s="15">
        <v>3252.4</v>
      </c>
      <c r="F3341" s="59">
        <v>42822</v>
      </c>
      <c r="G3341" s="15">
        <f t="shared" si="105"/>
        <v>3252.4</v>
      </c>
      <c r="H3341" s="15">
        <f t="shared" si="106"/>
        <v>0</v>
      </c>
      <c r="I3341" s="19"/>
    </row>
    <row r="3342" spans="1:9" ht="15.75" x14ac:dyDescent="0.25">
      <c r="A3342" s="51">
        <v>42823</v>
      </c>
      <c r="B3342" s="52" t="s">
        <v>11177</v>
      </c>
      <c r="C3342" s="18">
        <v>106120</v>
      </c>
      <c r="D3342" s="2" t="s">
        <v>184</v>
      </c>
      <c r="E3342" s="15">
        <v>1723</v>
      </c>
      <c r="F3342" s="59">
        <v>42825</v>
      </c>
      <c r="G3342" s="15">
        <f t="shared" si="105"/>
        <v>1723</v>
      </c>
      <c r="H3342" s="15">
        <f t="shared" si="106"/>
        <v>0</v>
      </c>
      <c r="I3342" s="19"/>
    </row>
    <row r="3343" spans="1:9" ht="15.75" x14ac:dyDescent="0.25">
      <c r="A3343" s="51">
        <v>42823</v>
      </c>
      <c r="B3343" s="52" t="s">
        <v>11178</v>
      </c>
      <c r="C3343" s="18">
        <v>106121</v>
      </c>
      <c r="D3343" s="2" t="s">
        <v>800</v>
      </c>
      <c r="E3343" s="15">
        <v>18746.3</v>
      </c>
      <c r="F3343" s="59">
        <v>42828</v>
      </c>
      <c r="G3343" s="15">
        <f t="shared" si="105"/>
        <v>18746.3</v>
      </c>
      <c r="H3343" s="15">
        <f t="shared" si="106"/>
        <v>0</v>
      </c>
      <c r="I3343" s="19"/>
    </row>
    <row r="3344" spans="1:9" ht="15.75" x14ac:dyDescent="0.25">
      <c r="A3344" s="51">
        <v>42823</v>
      </c>
      <c r="B3344" s="52" t="s">
        <v>11179</v>
      </c>
      <c r="C3344" s="18">
        <v>106122</v>
      </c>
      <c r="D3344" s="2" t="s">
        <v>2986</v>
      </c>
      <c r="E3344" s="15">
        <v>3045</v>
      </c>
      <c r="F3344" s="59">
        <v>42822</v>
      </c>
      <c r="G3344" s="15">
        <f t="shared" si="105"/>
        <v>3045</v>
      </c>
      <c r="H3344" s="15">
        <f t="shared" si="106"/>
        <v>0</v>
      </c>
      <c r="I3344" s="19"/>
    </row>
    <row r="3345" spans="1:9" ht="15.75" x14ac:dyDescent="0.25">
      <c r="A3345" s="51">
        <v>42823</v>
      </c>
      <c r="B3345" s="52" t="s">
        <v>11180</v>
      </c>
      <c r="C3345" s="18">
        <v>106123</v>
      </c>
      <c r="D3345" s="2" t="s">
        <v>305</v>
      </c>
      <c r="E3345" s="15">
        <v>4396.2</v>
      </c>
      <c r="F3345" s="59">
        <v>42829</v>
      </c>
      <c r="G3345" s="15">
        <f t="shared" si="105"/>
        <v>4396.2</v>
      </c>
      <c r="H3345" s="15">
        <f t="shared" si="106"/>
        <v>0</v>
      </c>
      <c r="I3345" s="19"/>
    </row>
    <row r="3346" spans="1:9" ht="15.75" x14ac:dyDescent="0.25">
      <c r="A3346" s="51">
        <v>42823</v>
      </c>
      <c r="B3346" s="52" t="s">
        <v>11181</v>
      </c>
      <c r="C3346" s="18">
        <v>106124</v>
      </c>
      <c r="D3346" s="2" t="s">
        <v>476</v>
      </c>
      <c r="E3346" s="15">
        <v>8753.6</v>
      </c>
      <c r="F3346" s="59">
        <v>42825</v>
      </c>
      <c r="G3346" s="15">
        <f t="shared" si="105"/>
        <v>8753.6</v>
      </c>
      <c r="H3346" s="15">
        <f t="shared" si="106"/>
        <v>0</v>
      </c>
      <c r="I3346" s="19"/>
    </row>
    <row r="3347" spans="1:9" ht="15.75" x14ac:dyDescent="0.25">
      <c r="A3347" s="51">
        <v>42823</v>
      </c>
      <c r="B3347" s="52" t="s">
        <v>11182</v>
      </c>
      <c r="C3347" s="18">
        <v>106125</v>
      </c>
      <c r="D3347" s="2" t="s">
        <v>302</v>
      </c>
      <c r="E3347" s="15">
        <v>8790.6</v>
      </c>
      <c r="F3347" s="59">
        <v>42826</v>
      </c>
      <c r="G3347" s="15">
        <f t="shared" si="105"/>
        <v>8790.6</v>
      </c>
      <c r="H3347" s="15">
        <f t="shared" si="106"/>
        <v>0</v>
      </c>
      <c r="I3347" s="19"/>
    </row>
    <row r="3348" spans="1:9" ht="15.75" x14ac:dyDescent="0.25">
      <c r="A3348" s="51">
        <v>42823</v>
      </c>
      <c r="B3348" s="52" t="s">
        <v>11183</v>
      </c>
      <c r="C3348" s="18">
        <v>106126</v>
      </c>
      <c r="D3348" s="2" t="s">
        <v>486</v>
      </c>
      <c r="E3348" s="15">
        <v>3100.8</v>
      </c>
      <c r="F3348" s="59">
        <v>42822</v>
      </c>
      <c r="G3348" s="15">
        <f t="shared" si="105"/>
        <v>3100.8</v>
      </c>
      <c r="H3348" s="15">
        <f t="shared" si="106"/>
        <v>0</v>
      </c>
      <c r="I3348" s="19"/>
    </row>
    <row r="3349" spans="1:9" ht="15.75" x14ac:dyDescent="0.25">
      <c r="A3349" s="51">
        <v>42823</v>
      </c>
      <c r="B3349" s="52" t="s">
        <v>11184</v>
      </c>
      <c r="C3349" s="18">
        <v>106127</v>
      </c>
      <c r="D3349" s="2" t="s">
        <v>492</v>
      </c>
      <c r="E3349" s="15">
        <v>15168.2</v>
      </c>
      <c r="F3349" s="59">
        <v>42828</v>
      </c>
      <c r="G3349" s="15">
        <f t="shared" si="105"/>
        <v>15168.2</v>
      </c>
      <c r="H3349" s="15">
        <f t="shared" si="106"/>
        <v>0</v>
      </c>
      <c r="I3349" s="19"/>
    </row>
    <row r="3350" spans="1:9" ht="15.75" x14ac:dyDescent="0.25">
      <c r="A3350" s="51">
        <v>42823</v>
      </c>
      <c r="B3350" s="52" t="s">
        <v>11185</v>
      </c>
      <c r="C3350" s="18">
        <v>106128</v>
      </c>
      <c r="D3350" s="2" t="s">
        <v>879</v>
      </c>
      <c r="E3350" s="15">
        <v>2943.5</v>
      </c>
      <c r="F3350" s="59">
        <v>42822</v>
      </c>
      <c r="G3350" s="15">
        <f t="shared" si="105"/>
        <v>2943.5</v>
      </c>
      <c r="H3350" s="15">
        <f t="shared" si="106"/>
        <v>0</v>
      </c>
      <c r="I3350" s="19"/>
    </row>
    <row r="3351" spans="1:9" ht="15.75" x14ac:dyDescent="0.25">
      <c r="A3351" s="51">
        <v>42823</v>
      </c>
      <c r="B3351" s="52" t="s">
        <v>11186</v>
      </c>
      <c r="C3351" s="18">
        <v>106129</v>
      </c>
      <c r="D3351" s="2" t="s">
        <v>135</v>
      </c>
      <c r="E3351" s="15">
        <v>3082</v>
      </c>
      <c r="F3351" s="59">
        <v>42822</v>
      </c>
      <c r="G3351" s="15">
        <f t="shared" si="105"/>
        <v>3082</v>
      </c>
      <c r="H3351" s="15">
        <f t="shared" si="106"/>
        <v>0</v>
      </c>
      <c r="I3351" s="19"/>
    </row>
    <row r="3352" spans="1:9" ht="15.75" x14ac:dyDescent="0.25">
      <c r="A3352" s="51">
        <v>42823</v>
      </c>
      <c r="B3352" s="52" t="s">
        <v>11187</v>
      </c>
      <c r="C3352" s="18">
        <v>106130</v>
      </c>
      <c r="D3352" s="2" t="s">
        <v>1163</v>
      </c>
      <c r="E3352" s="15">
        <v>32531.200000000001</v>
      </c>
      <c r="F3352" s="59">
        <v>42822</v>
      </c>
      <c r="G3352" s="15">
        <f t="shared" si="105"/>
        <v>32531.200000000001</v>
      </c>
      <c r="H3352" s="15">
        <f t="shared" si="106"/>
        <v>0</v>
      </c>
      <c r="I3352" s="19"/>
    </row>
    <row r="3353" spans="1:9" ht="15.75" x14ac:dyDescent="0.25">
      <c r="A3353" s="51">
        <v>42823</v>
      </c>
      <c r="B3353" s="52" t="s">
        <v>11188</v>
      </c>
      <c r="C3353" s="18">
        <v>106131</v>
      </c>
      <c r="D3353" s="2" t="s">
        <v>220</v>
      </c>
      <c r="E3353" s="15">
        <v>2828.6</v>
      </c>
      <c r="F3353" s="59">
        <v>42822</v>
      </c>
      <c r="G3353" s="15">
        <f t="shared" si="105"/>
        <v>2828.6</v>
      </c>
      <c r="H3353" s="15">
        <f t="shared" si="106"/>
        <v>0</v>
      </c>
      <c r="I3353" s="19"/>
    </row>
    <row r="3354" spans="1:9" ht="15.75" x14ac:dyDescent="0.25">
      <c r="A3354" s="51">
        <v>42823</v>
      </c>
      <c r="B3354" s="52" t="s">
        <v>11189</v>
      </c>
      <c r="C3354" s="18">
        <v>106132</v>
      </c>
      <c r="D3354" s="2" t="s">
        <v>1830</v>
      </c>
      <c r="E3354" s="15">
        <v>6386.8</v>
      </c>
      <c r="F3354" s="59">
        <v>42822</v>
      </c>
      <c r="G3354" s="15">
        <f t="shared" si="105"/>
        <v>6386.8</v>
      </c>
      <c r="H3354" s="15">
        <f t="shared" si="106"/>
        <v>0</v>
      </c>
      <c r="I3354" s="19"/>
    </row>
    <row r="3355" spans="1:9" ht="15.75" x14ac:dyDescent="0.25">
      <c r="A3355" s="51">
        <v>42823</v>
      </c>
      <c r="B3355" s="52" t="s">
        <v>11190</v>
      </c>
      <c r="C3355" s="18">
        <v>106133</v>
      </c>
      <c r="D3355" s="2" t="s">
        <v>1160</v>
      </c>
      <c r="E3355" s="15">
        <v>2314.8000000000002</v>
      </c>
      <c r="F3355" s="59">
        <v>42822</v>
      </c>
      <c r="G3355" s="15">
        <f t="shared" si="105"/>
        <v>2314.8000000000002</v>
      </c>
      <c r="H3355" s="15">
        <f t="shared" si="106"/>
        <v>0</v>
      </c>
      <c r="I3355" s="19"/>
    </row>
    <row r="3356" spans="1:9" ht="15.75" x14ac:dyDescent="0.25">
      <c r="A3356" s="51">
        <v>42823</v>
      </c>
      <c r="B3356" s="52" t="s">
        <v>11191</v>
      </c>
      <c r="C3356" s="18">
        <v>106134</v>
      </c>
      <c r="D3356" s="2" t="s">
        <v>1160</v>
      </c>
      <c r="E3356" s="15">
        <v>470.4</v>
      </c>
      <c r="F3356" s="59">
        <v>42822</v>
      </c>
      <c r="G3356" s="15">
        <f t="shared" si="105"/>
        <v>470.4</v>
      </c>
      <c r="H3356" s="15">
        <f t="shared" si="106"/>
        <v>0</v>
      </c>
      <c r="I3356" s="19"/>
    </row>
    <row r="3357" spans="1:9" ht="15.75" x14ac:dyDescent="0.25">
      <c r="A3357" s="51">
        <v>42823</v>
      </c>
      <c r="B3357" s="52" t="s">
        <v>11192</v>
      </c>
      <c r="C3357" s="18">
        <v>106135</v>
      </c>
      <c r="D3357" s="2" t="s">
        <v>125</v>
      </c>
      <c r="E3357" s="15">
        <v>5831</v>
      </c>
      <c r="F3357" s="59">
        <v>42832</v>
      </c>
      <c r="G3357" s="15">
        <f t="shared" si="105"/>
        <v>5831</v>
      </c>
      <c r="H3357" s="15">
        <f t="shared" si="106"/>
        <v>0</v>
      </c>
      <c r="I3357" s="19"/>
    </row>
    <row r="3358" spans="1:9" ht="15.75" x14ac:dyDescent="0.25">
      <c r="A3358" s="51">
        <v>42823</v>
      </c>
      <c r="B3358" s="52" t="s">
        <v>11193</v>
      </c>
      <c r="C3358" s="18">
        <v>106136</v>
      </c>
      <c r="D3358" s="2" t="s">
        <v>329</v>
      </c>
      <c r="E3358" s="15">
        <v>929.6</v>
      </c>
      <c r="F3358" s="59">
        <v>42822</v>
      </c>
      <c r="G3358" s="15">
        <f t="shared" si="105"/>
        <v>929.6</v>
      </c>
      <c r="H3358" s="15">
        <f t="shared" si="106"/>
        <v>0</v>
      </c>
      <c r="I3358" s="19"/>
    </row>
    <row r="3359" spans="1:9" ht="15.75" x14ac:dyDescent="0.25">
      <c r="A3359" s="51">
        <v>42823</v>
      </c>
      <c r="B3359" s="52" t="s">
        <v>11194</v>
      </c>
      <c r="C3359" s="18">
        <v>106137</v>
      </c>
      <c r="D3359" s="2" t="s">
        <v>125</v>
      </c>
      <c r="E3359" s="15">
        <v>868</v>
      </c>
      <c r="F3359" s="59">
        <v>42832</v>
      </c>
      <c r="G3359" s="15">
        <f t="shared" si="105"/>
        <v>868</v>
      </c>
      <c r="H3359" s="15">
        <f t="shared" si="106"/>
        <v>0</v>
      </c>
      <c r="I3359" s="19"/>
    </row>
    <row r="3360" spans="1:9" ht="15.75" x14ac:dyDescent="0.25">
      <c r="A3360" s="51">
        <v>42823</v>
      </c>
      <c r="B3360" s="52" t="s">
        <v>11195</v>
      </c>
      <c r="C3360" s="18">
        <v>106138</v>
      </c>
      <c r="D3360" s="2" t="s">
        <v>176</v>
      </c>
      <c r="E3360" s="15">
        <v>2520</v>
      </c>
      <c r="F3360" s="59">
        <v>42824</v>
      </c>
      <c r="G3360" s="15">
        <f t="shared" si="105"/>
        <v>2520</v>
      </c>
      <c r="H3360" s="15">
        <f t="shared" si="106"/>
        <v>0</v>
      </c>
      <c r="I3360" s="19"/>
    </row>
    <row r="3361" spans="1:9" ht="15.75" x14ac:dyDescent="0.25">
      <c r="A3361" s="51">
        <v>42823</v>
      </c>
      <c r="B3361" s="52" t="s">
        <v>11196</v>
      </c>
      <c r="C3361" s="18">
        <v>106139</v>
      </c>
      <c r="D3361" s="13" t="s">
        <v>509</v>
      </c>
      <c r="E3361" s="14">
        <v>0</v>
      </c>
      <c r="F3361" s="102" t="s">
        <v>95</v>
      </c>
      <c r="G3361" s="14">
        <f t="shared" si="105"/>
        <v>0</v>
      </c>
      <c r="H3361" s="14">
        <f t="shared" si="106"/>
        <v>0</v>
      </c>
      <c r="I3361" s="19"/>
    </row>
    <row r="3362" spans="1:9" ht="15.75" x14ac:dyDescent="0.25">
      <c r="A3362" s="51">
        <v>42823</v>
      </c>
      <c r="B3362" s="52" t="s">
        <v>11197</v>
      </c>
      <c r="C3362" s="18">
        <v>106140</v>
      </c>
      <c r="D3362" s="2" t="s">
        <v>509</v>
      </c>
      <c r="E3362" s="15">
        <v>12838</v>
      </c>
      <c r="F3362" s="59">
        <v>42833</v>
      </c>
      <c r="G3362" s="15">
        <f t="shared" si="105"/>
        <v>12838</v>
      </c>
      <c r="H3362" s="15">
        <f t="shared" si="106"/>
        <v>0</v>
      </c>
      <c r="I3362" s="19"/>
    </row>
    <row r="3363" spans="1:9" ht="15.75" x14ac:dyDescent="0.25">
      <c r="A3363" s="51">
        <v>42823</v>
      </c>
      <c r="B3363" s="52" t="s">
        <v>11198</v>
      </c>
      <c r="C3363" s="18">
        <v>106141</v>
      </c>
      <c r="D3363" s="2" t="s">
        <v>131</v>
      </c>
      <c r="E3363" s="15">
        <v>12355.2</v>
      </c>
      <c r="F3363" s="59">
        <v>42822</v>
      </c>
      <c r="G3363" s="15">
        <f t="shared" si="105"/>
        <v>12355.2</v>
      </c>
      <c r="H3363" s="15">
        <f t="shared" si="106"/>
        <v>0</v>
      </c>
      <c r="I3363" s="19"/>
    </row>
    <row r="3364" spans="1:9" ht="15.75" x14ac:dyDescent="0.25">
      <c r="A3364" s="51">
        <v>42823</v>
      </c>
      <c r="B3364" s="52" t="s">
        <v>11199</v>
      </c>
      <c r="C3364" s="18">
        <v>106142</v>
      </c>
      <c r="D3364" s="2" t="s">
        <v>115</v>
      </c>
      <c r="E3364" s="15">
        <v>3234.45</v>
      </c>
      <c r="F3364" s="59">
        <v>42822</v>
      </c>
      <c r="G3364" s="15">
        <f t="shared" si="105"/>
        <v>3234.45</v>
      </c>
      <c r="H3364" s="15">
        <f t="shared" si="106"/>
        <v>0</v>
      </c>
      <c r="I3364" s="19"/>
    </row>
    <row r="3365" spans="1:9" ht="15.75" x14ac:dyDescent="0.25">
      <c r="A3365" s="51">
        <v>42823</v>
      </c>
      <c r="B3365" s="52" t="s">
        <v>11200</v>
      </c>
      <c r="C3365" s="18">
        <v>106143</v>
      </c>
      <c r="D3365" s="2" t="s">
        <v>231</v>
      </c>
      <c r="E3365" s="15">
        <v>254.6</v>
      </c>
      <c r="F3365" s="59">
        <v>42824</v>
      </c>
      <c r="G3365" s="15">
        <f t="shared" si="105"/>
        <v>254.6</v>
      </c>
      <c r="H3365" s="15">
        <f t="shared" si="106"/>
        <v>0</v>
      </c>
      <c r="I3365" s="19"/>
    </row>
    <row r="3366" spans="1:9" ht="15.75" x14ac:dyDescent="0.25">
      <c r="A3366" s="51">
        <v>42823</v>
      </c>
      <c r="B3366" s="52" t="s">
        <v>11201</v>
      </c>
      <c r="C3366" s="18">
        <v>106144</v>
      </c>
      <c r="D3366" s="2" t="s">
        <v>531</v>
      </c>
      <c r="E3366" s="15">
        <v>2988.5</v>
      </c>
      <c r="F3366" s="59">
        <v>42825</v>
      </c>
      <c r="G3366" s="15">
        <f t="shared" si="105"/>
        <v>2988.5</v>
      </c>
      <c r="H3366" s="15">
        <f t="shared" si="106"/>
        <v>0</v>
      </c>
      <c r="I3366" s="19"/>
    </row>
    <row r="3367" spans="1:9" ht="15.75" x14ac:dyDescent="0.25">
      <c r="A3367" s="51">
        <v>42823</v>
      </c>
      <c r="B3367" s="52" t="s">
        <v>11202</v>
      </c>
      <c r="C3367" s="18">
        <v>106145</v>
      </c>
      <c r="D3367" s="2" t="s">
        <v>163</v>
      </c>
      <c r="E3367" s="15">
        <v>6771.2</v>
      </c>
      <c r="F3367" s="59">
        <v>42846</v>
      </c>
      <c r="G3367" s="15">
        <f t="shared" si="105"/>
        <v>6771.2</v>
      </c>
      <c r="H3367" s="15">
        <f t="shared" si="106"/>
        <v>0</v>
      </c>
      <c r="I3367" s="19"/>
    </row>
    <row r="3368" spans="1:9" ht="15.75" x14ac:dyDescent="0.25">
      <c r="A3368" s="51">
        <v>42823</v>
      </c>
      <c r="B3368" s="52" t="s">
        <v>11203</v>
      </c>
      <c r="C3368" s="18">
        <v>106146</v>
      </c>
      <c r="D3368" s="2" t="s">
        <v>161</v>
      </c>
      <c r="E3368" s="15">
        <v>26686.799999999999</v>
      </c>
      <c r="F3368" s="59">
        <v>42833</v>
      </c>
      <c r="G3368" s="15">
        <f t="shared" si="105"/>
        <v>26686.799999999999</v>
      </c>
      <c r="H3368" s="15">
        <f t="shared" si="106"/>
        <v>0</v>
      </c>
      <c r="I3368" s="19"/>
    </row>
    <row r="3369" spans="1:9" ht="15.75" x14ac:dyDescent="0.25">
      <c r="A3369" s="51">
        <v>42823</v>
      </c>
      <c r="B3369" s="52" t="s">
        <v>11204</v>
      </c>
      <c r="C3369" s="18">
        <v>106147</v>
      </c>
      <c r="D3369" s="2" t="s">
        <v>145</v>
      </c>
      <c r="E3369" s="15">
        <v>13195.6</v>
      </c>
      <c r="F3369" s="59">
        <v>42824</v>
      </c>
      <c r="G3369" s="15">
        <f t="shared" si="105"/>
        <v>13195.6</v>
      </c>
      <c r="H3369" s="15">
        <f t="shared" si="106"/>
        <v>0</v>
      </c>
      <c r="I3369" s="19"/>
    </row>
    <row r="3370" spans="1:9" ht="15.75" x14ac:dyDescent="0.25">
      <c r="A3370" s="51">
        <v>42823</v>
      </c>
      <c r="B3370" s="52" t="s">
        <v>11205</v>
      </c>
      <c r="C3370" s="18">
        <v>106148</v>
      </c>
      <c r="D3370" s="2" t="s">
        <v>165</v>
      </c>
      <c r="E3370" s="15">
        <v>8118</v>
      </c>
      <c r="F3370" s="59">
        <v>42846</v>
      </c>
      <c r="G3370" s="15">
        <f t="shared" si="105"/>
        <v>8118</v>
      </c>
      <c r="H3370" s="15">
        <f t="shared" si="106"/>
        <v>0</v>
      </c>
      <c r="I3370" s="19"/>
    </row>
    <row r="3371" spans="1:9" ht="15.75" x14ac:dyDescent="0.25">
      <c r="A3371" s="51">
        <v>42823</v>
      </c>
      <c r="B3371" s="52" t="s">
        <v>11206</v>
      </c>
      <c r="C3371" s="18">
        <v>106149</v>
      </c>
      <c r="D3371" s="2" t="s">
        <v>5487</v>
      </c>
      <c r="E3371" s="15">
        <v>10058</v>
      </c>
      <c r="F3371" s="59">
        <v>42824</v>
      </c>
      <c r="G3371" s="15">
        <f t="shared" si="105"/>
        <v>10058</v>
      </c>
      <c r="H3371" s="15">
        <f t="shared" si="106"/>
        <v>0</v>
      </c>
      <c r="I3371" s="19"/>
    </row>
    <row r="3372" spans="1:9" ht="15.75" x14ac:dyDescent="0.25">
      <c r="A3372" s="51">
        <v>42823</v>
      </c>
      <c r="B3372" s="52" t="s">
        <v>11207</v>
      </c>
      <c r="C3372" s="18">
        <v>106150</v>
      </c>
      <c r="D3372" s="2" t="s">
        <v>155</v>
      </c>
      <c r="E3372" s="15">
        <v>20221.8</v>
      </c>
      <c r="F3372" s="59">
        <v>42826</v>
      </c>
      <c r="G3372" s="15">
        <f t="shared" si="105"/>
        <v>20221.8</v>
      </c>
      <c r="H3372" s="15">
        <f t="shared" si="106"/>
        <v>0</v>
      </c>
      <c r="I3372" s="19"/>
    </row>
    <row r="3373" spans="1:9" ht="15.75" x14ac:dyDescent="0.25">
      <c r="A3373" s="51">
        <v>42823</v>
      </c>
      <c r="B3373" s="52" t="s">
        <v>11208</v>
      </c>
      <c r="C3373" s="18">
        <v>106151</v>
      </c>
      <c r="D3373" s="2" t="s">
        <v>472</v>
      </c>
      <c r="E3373" s="15">
        <v>13867.8</v>
      </c>
      <c r="F3373" s="59">
        <v>42825</v>
      </c>
      <c r="G3373" s="15">
        <f t="shared" si="105"/>
        <v>13867.8</v>
      </c>
      <c r="H3373" s="15">
        <f t="shared" si="106"/>
        <v>0</v>
      </c>
      <c r="I3373" s="19"/>
    </row>
    <row r="3374" spans="1:9" ht="15.75" x14ac:dyDescent="0.25">
      <c r="A3374" s="51">
        <v>42823</v>
      </c>
      <c r="B3374" s="52" t="s">
        <v>11209</v>
      </c>
      <c r="C3374" s="18">
        <v>106152</v>
      </c>
      <c r="D3374" s="2" t="s">
        <v>1421</v>
      </c>
      <c r="E3374" s="15">
        <v>33323.4</v>
      </c>
      <c r="F3374" s="59">
        <v>42824</v>
      </c>
      <c r="G3374" s="15">
        <f t="shared" si="105"/>
        <v>33323.4</v>
      </c>
      <c r="H3374" s="15">
        <f t="shared" si="106"/>
        <v>0</v>
      </c>
      <c r="I3374" s="19"/>
    </row>
    <row r="3375" spans="1:9" ht="15.75" x14ac:dyDescent="0.25">
      <c r="A3375" s="51">
        <v>42823</v>
      </c>
      <c r="B3375" s="52" t="s">
        <v>11210</v>
      </c>
      <c r="C3375" s="18">
        <v>106153</v>
      </c>
      <c r="D3375" s="2" t="s">
        <v>352</v>
      </c>
      <c r="E3375" s="15">
        <v>2979.8</v>
      </c>
      <c r="F3375" s="59">
        <v>42822</v>
      </c>
      <c r="G3375" s="15">
        <f t="shared" si="105"/>
        <v>2979.8</v>
      </c>
      <c r="H3375" s="15">
        <f t="shared" si="106"/>
        <v>0</v>
      </c>
      <c r="I3375" s="19"/>
    </row>
    <row r="3376" spans="1:9" ht="15.75" x14ac:dyDescent="0.25">
      <c r="A3376" s="51">
        <v>42823</v>
      </c>
      <c r="B3376" s="52" t="s">
        <v>11211</v>
      </c>
      <c r="C3376" s="18">
        <v>106154</v>
      </c>
      <c r="D3376" s="2" t="s">
        <v>222</v>
      </c>
      <c r="E3376" s="15">
        <v>231210</v>
      </c>
      <c r="F3376" s="59">
        <v>42826</v>
      </c>
      <c r="G3376" s="15">
        <f t="shared" si="105"/>
        <v>231210</v>
      </c>
      <c r="H3376" s="15">
        <f t="shared" si="106"/>
        <v>0</v>
      </c>
      <c r="I3376" s="19"/>
    </row>
    <row r="3377" spans="1:9" ht="15.75" x14ac:dyDescent="0.25">
      <c r="A3377" s="51">
        <v>42823</v>
      </c>
      <c r="B3377" s="52" t="s">
        <v>11212</v>
      </c>
      <c r="C3377" s="18">
        <v>106155</v>
      </c>
      <c r="D3377" s="2" t="s">
        <v>222</v>
      </c>
      <c r="E3377" s="15">
        <v>183744</v>
      </c>
      <c r="F3377" s="59">
        <v>42826</v>
      </c>
      <c r="G3377" s="15">
        <f t="shared" si="105"/>
        <v>183744</v>
      </c>
      <c r="H3377" s="15">
        <f t="shared" si="106"/>
        <v>0</v>
      </c>
      <c r="I3377" s="19"/>
    </row>
    <row r="3378" spans="1:9" ht="15.75" x14ac:dyDescent="0.25">
      <c r="A3378" s="51">
        <v>42823</v>
      </c>
      <c r="B3378" s="52" t="s">
        <v>11213</v>
      </c>
      <c r="C3378" s="18">
        <v>106156</v>
      </c>
      <c r="D3378" s="2" t="s">
        <v>2986</v>
      </c>
      <c r="E3378" s="15">
        <v>1260</v>
      </c>
      <c r="F3378" s="59">
        <v>42822</v>
      </c>
      <c r="G3378" s="15">
        <f t="shared" si="105"/>
        <v>1260</v>
      </c>
      <c r="H3378" s="15">
        <f t="shared" si="106"/>
        <v>0</v>
      </c>
      <c r="I3378" s="19"/>
    </row>
    <row r="3379" spans="1:9" ht="15.75" x14ac:dyDescent="0.25">
      <c r="A3379" s="51">
        <v>42823</v>
      </c>
      <c r="B3379" s="52" t="s">
        <v>11214</v>
      </c>
      <c r="C3379" s="18">
        <v>106157</v>
      </c>
      <c r="D3379" s="13" t="s">
        <v>523</v>
      </c>
      <c r="E3379" s="14">
        <v>0</v>
      </c>
      <c r="F3379" s="102" t="s">
        <v>95</v>
      </c>
      <c r="G3379" s="14">
        <f t="shared" si="105"/>
        <v>0</v>
      </c>
      <c r="H3379" s="14">
        <f t="shared" si="106"/>
        <v>0</v>
      </c>
      <c r="I3379" s="19"/>
    </row>
    <row r="3380" spans="1:9" ht="15.75" x14ac:dyDescent="0.25">
      <c r="A3380" s="51">
        <v>42823</v>
      </c>
      <c r="B3380" s="52" t="s">
        <v>11215</v>
      </c>
      <c r="C3380" s="18">
        <v>106158</v>
      </c>
      <c r="D3380" s="2" t="s">
        <v>523</v>
      </c>
      <c r="E3380" s="15">
        <v>25544</v>
      </c>
      <c r="F3380" s="59">
        <v>42833</v>
      </c>
      <c r="G3380" s="15">
        <f t="shared" si="105"/>
        <v>25544</v>
      </c>
      <c r="H3380" s="15">
        <f t="shared" si="106"/>
        <v>0</v>
      </c>
      <c r="I3380" s="19"/>
    </row>
    <row r="3381" spans="1:9" ht="15.75" x14ac:dyDescent="0.25">
      <c r="A3381" s="51">
        <v>42823</v>
      </c>
      <c r="B3381" s="52" t="s">
        <v>11216</v>
      </c>
      <c r="C3381" s="18">
        <v>106159</v>
      </c>
      <c r="D3381" s="2" t="s">
        <v>10</v>
      </c>
      <c r="E3381" s="15">
        <v>192763.1</v>
      </c>
      <c r="F3381" s="59">
        <v>42826</v>
      </c>
      <c r="G3381" s="15">
        <f t="shared" si="105"/>
        <v>192763.1</v>
      </c>
      <c r="H3381" s="15">
        <f t="shared" si="106"/>
        <v>0</v>
      </c>
      <c r="I3381" s="19"/>
    </row>
    <row r="3382" spans="1:9" ht="15.75" x14ac:dyDescent="0.25">
      <c r="A3382" s="51">
        <v>42823</v>
      </c>
      <c r="B3382" s="52" t="s">
        <v>11217</v>
      </c>
      <c r="C3382" s="18">
        <v>106160</v>
      </c>
      <c r="D3382" s="2" t="s">
        <v>10</v>
      </c>
      <c r="E3382" s="15">
        <v>52975.1</v>
      </c>
      <c r="F3382" s="59">
        <v>42826</v>
      </c>
      <c r="G3382" s="15">
        <f t="shared" si="105"/>
        <v>52975.1</v>
      </c>
      <c r="H3382" s="15">
        <f t="shared" si="106"/>
        <v>0</v>
      </c>
      <c r="I3382" s="19"/>
    </row>
    <row r="3383" spans="1:9" ht="15.75" x14ac:dyDescent="0.25">
      <c r="A3383" s="51">
        <v>42823</v>
      </c>
      <c r="B3383" s="52" t="s">
        <v>11218</v>
      </c>
      <c r="C3383" s="18">
        <v>106161</v>
      </c>
      <c r="D3383" s="2" t="s">
        <v>182</v>
      </c>
      <c r="E3383" s="15">
        <v>2300</v>
      </c>
      <c r="F3383" s="59">
        <v>42824</v>
      </c>
      <c r="G3383" s="15">
        <f t="shared" si="105"/>
        <v>2300</v>
      </c>
      <c r="H3383" s="15">
        <f t="shared" si="106"/>
        <v>0</v>
      </c>
      <c r="I3383" s="19"/>
    </row>
    <row r="3384" spans="1:9" ht="15.75" x14ac:dyDescent="0.25">
      <c r="A3384" s="51">
        <v>42823</v>
      </c>
      <c r="B3384" s="52" t="s">
        <v>11219</v>
      </c>
      <c r="C3384" s="18">
        <v>106162</v>
      </c>
      <c r="D3384" s="2" t="s">
        <v>9</v>
      </c>
      <c r="E3384" s="15">
        <v>8593.6</v>
      </c>
      <c r="F3384" s="59">
        <v>42825</v>
      </c>
      <c r="G3384" s="15">
        <f t="shared" si="105"/>
        <v>8593.6</v>
      </c>
      <c r="H3384" s="15">
        <f t="shared" si="106"/>
        <v>0</v>
      </c>
      <c r="I3384" s="19"/>
    </row>
    <row r="3385" spans="1:9" ht="15.75" x14ac:dyDescent="0.25">
      <c r="A3385" s="51">
        <v>42823</v>
      </c>
      <c r="B3385" s="52" t="s">
        <v>11220</v>
      </c>
      <c r="C3385" s="18">
        <v>106163</v>
      </c>
      <c r="D3385" s="2" t="s">
        <v>486</v>
      </c>
      <c r="E3385" s="15">
        <v>2932.8</v>
      </c>
      <c r="F3385" s="59">
        <v>42824</v>
      </c>
      <c r="G3385" s="15">
        <f t="shared" si="105"/>
        <v>2932.8</v>
      </c>
      <c r="H3385" s="15">
        <f t="shared" si="106"/>
        <v>0</v>
      </c>
      <c r="I3385" s="19"/>
    </row>
    <row r="3386" spans="1:9" ht="15.75" x14ac:dyDescent="0.25">
      <c r="A3386" s="51">
        <v>42823</v>
      </c>
      <c r="B3386" s="52" t="s">
        <v>11221</v>
      </c>
      <c r="C3386" s="18">
        <v>106164</v>
      </c>
      <c r="D3386" s="13" t="s">
        <v>222</v>
      </c>
      <c r="E3386" s="14">
        <v>0</v>
      </c>
      <c r="F3386" s="102" t="s">
        <v>95</v>
      </c>
      <c r="G3386" s="14">
        <f t="shared" si="105"/>
        <v>0</v>
      </c>
      <c r="H3386" s="14">
        <f t="shared" si="106"/>
        <v>0</v>
      </c>
      <c r="I3386" s="19"/>
    </row>
    <row r="3387" spans="1:9" ht="15.75" x14ac:dyDescent="0.25">
      <c r="A3387" s="51">
        <v>42823</v>
      </c>
      <c r="B3387" s="52" t="s">
        <v>11222</v>
      </c>
      <c r="C3387" s="18">
        <v>106165</v>
      </c>
      <c r="D3387" s="13" t="s">
        <v>205</v>
      </c>
      <c r="E3387" s="14">
        <v>0</v>
      </c>
      <c r="F3387" s="102" t="s">
        <v>95</v>
      </c>
      <c r="G3387" s="14">
        <f t="shared" si="105"/>
        <v>0</v>
      </c>
      <c r="H3387" s="14">
        <f t="shared" si="106"/>
        <v>0</v>
      </c>
      <c r="I3387" s="19"/>
    </row>
    <row r="3388" spans="1:9" ht="15.75" x14ac:dyDescent="0.25">
      <c r="A3388" s="51">
        <v>42823</v>
      </c>
      <c r="B3388" s="52" t="s">
        <v>11223</v>
      </c>
      <c r="C3388" s="18">
        <v>106166</v>
      </c>
      <c r="D3388" s="2" t="s">
        <v>205</v>
      </c>
      <c r="E3388" s="15">
        <v>134035.20000000001</v>
      </c>
      <c r="F3388" s="59">
        <v>42847</v>
      </c>
      <c r="G3388" s="15">
        <f t="shared" si="105"/>
        <v>134035.20000000001</v>
      </c>
      <c r="H3388" s="15">
        <f t="shared" si="106"/>
        <v>0</v>
      </c>
      <c r="I3388" s="19"/>
    </row>
    <row r="3389" spans="1:9" ht="15.75" x14ac:dyDescent="0.25">
      <c r="A3389" s="51">
        <v>42823</v>
      </c>
      <c r="B3389" s="52" t="s">
        <v>11224</v>
      </c>
      <c r="C3389" s="18">
        <v>106167</v>
      </c>
      <c r="D3389" s="2" t="s">
        <v>693</v>
      </c>
      <c r="E3389" s="15">
        <v>11594</v>
      </c>
      <c r="F3389" s="59">
        <v>42824</v>
      </c>
      <c r="G3389" s="15">
        <f t="shared" si="105"/>
        <v>11594</v>
      </c>
      <c r="H3389" s="15">
        <f t="shared" si="106"/>
        <v>0</v>
      </c>
      <c r="I3389" s="19"/>
    </row>
    <row r="3390" spans="1:9" ht="15.75" x14ac:dyDescent="0.25">
      <c r="A3390" s="51">
        <v>42823</v>
      </c>
      <c r="B3390" s="52" t="s">
        <v>11225</v>
      </c>
      <c r="C3390" s="18">
        <v>106168</v>
      </c>
      <c r="D3390" s="2" t="s">
        <v>222</v>
      </c>
      <c r="E3390" s="15">
        <v>54067.05</v>
      </c>
      <c r="F3390" s="59">
        <v>42830</v>
      </c>
      <c r="G3390" s="15">
        <f t="shared" si="105"/>
        <v>54067.05</v>
      </c>
      <c r="H3390" s="15">
        <f t="shared" si="106"/>
        <v>0</v>
      </c>
      <c r="I3390" s="19"/>
    </row>
    <row r="3391" spans="1:9" ht="15.75" x14ac:dyDescent="0.25">
      <c r="A3391" s="51">
        <v>42823</v>
      </c>
      <c r="B3391" s="52" t="s">
        <v>11226</v>
      </c>
      <c r="C3391" s="18">
        <v>106169</v>
      </c>
      <c r="D3391" s="2" t="s">
        <v>428</v>
      </c>
      <c r="E3391" s="15">
        <v>1828.3</v>
      </c>
      <c r="F3391" s="59">
        <v>42822</v>
      </c>
      <c r="G3391" s="15">
        <f t="shared" si="105"/>
        <v>1828.3</v>
      </c>
      <c r="H3391" s="15">
        <f t="shared" si="106"/>
        <v>0</v>
      </c>
      <c r="I3391" s="19"/>
    </row>
    <row r="3392" spans="1:9" ht="15.75" x14ac:dyDescent="0.25">
      <c r="A3392" s="51">
        <v>42823</v>
      </c>
      <c r="B3392" s="52" t="s">
        <v>11227</v>
      </c>
      <c r="C3392" s="18">
        <v>106170</v>
      </c>
      <c r="D3392" s="2" t="s">
        <v>55</v>
      </c>
      <c r="E3392" s="15">
        <v>8322.9</v>
      </c>
      <c r="F3392" s="59">
        <v>42822</v>
      </c>
      <c r="G3392" s="15">
        <f t="shared" si="105"/>
        <v>8322.9</v>
      </c>
      <c r="H3392" s="15">
        <f t="shared" si="106"/>
        <v>0</v>
      </c>
      <c r="I3392" s="19"/>
    </row>
    <row r="3393" spans="1:9" ht="15.75" x14ac:dyDescent="0.25">
      <c r="A3393" s="51">
        <v>42823</v>
      </c>
      <c r="B3393" s="52" t="s">
        <v>11228</v>
      </c>
      <c r="C3393" s="18">
        <v>106171</v>
      </c>
      <c r="D3393" s="2" t="s">
        <v>921</v>
      </c>
      <c r="E3393" s="15">
        <v>6022.8</v>
      </c>
      <c r="F3393" s="59">
        <v>42822</v>
      </c>
      <c r="G3393" s="15">
        <f t="shared" si="105"/>
        <v>6022.8</v>
      </c>
      <c r="H3393" s="15">
        <f t="shared" si="106"/>
        <v>0</v>
      </c>
      <c r="I3393" s="19"/>
    </row>
    <row r="3394" spans="1:9" ht="15.75" x14ac:dyDescent="0.25">
      <c r="A3394" s="51">
        <v>42823</v>
      </c>
      <c r="B3394" s="52" t="s">
        <v>11229</v>
      </c>
      <c r="C3394" s="18">
        <v>106172</v>
      </c>
      <c r="D3394" s="2" t="s">
        <v>937</v>
      </c>
      <c r="E3394" s="15">
        <v>3369.6</v>
      </c>
      <c r="F3394" s="59">
        <v>42824</v>
      </c>
      <c r="G3394" s="15">
        <f t="shared" si="105"/>
        <v>3369.6</v>
      </c>
      <c r="H3394" s="15">
        <f t="shared" si="106"/>
        <v>0</v>
      </c>
      <c r="I3394" s="19"/>
    </row>
    <row r="3395" spans="1:9" ht="15.75" x14ac:dyDescent="0.25">
      <c r="A3395" s="51">
        <v>42824</v>
      </c>
      <c r="B3395" s="52" t="s">
        <v>11230</v>
      </c>
      <c r="C3395" s="18">
        <v>106173</v>
      </c>
      <c r="D3395" s="2" t="s">
        <v>231</v>
      </c>
      <c r="E3395" s="15">
        <v>5640.4</v>
      </c>
      <c r="F3395" s="59">
        <v>42825</v>
      </c>
      <c r="G3395" s="15">
        <f t="shared" si="105"/>
        <v>5640.4</v>
      </c>
      <c r="H3395" s="15">
        <f t="shared" si="106"/>
        <v>0</v>
      </c>
      <c r="I3395" s="19"/>
    </row>
    <row r="3396" spans="1:9" ht="15.75" x14ac:dyDescent="0.25">
      <c r="A3396" s="51">
        <v>42824</v>
      </c>
      <c r="B3396" s="52" t="s">
        <v>11231</v>
      </c>
      <c r="C3396" s="18">
        <v>106174</v>
      </c>
      <c r="D3396" s="2" t="s">
        <v>231</v>
      </c>
      <c r="E3396" s="15">
        <v>67.599999999999994</v>
      </c>
      <c r="F3396" s="59">
        <v>42824</v>
      </c>
      <c r="G3396" s="15">
        <f t="shared" ref="G3396:G3459" si="107">E3396</f>
        <v>67.599999999999994</v>
      </c>
      <c r="H3396" s="15">
        <f t="shared" ref="H3396:H3459" si="108">E3396-G3396</f>
        <v>0</v>
      </c>
      <c r="I3396" s="19"/>
    </row>
    <row r="3397" spans="1:9" ht="15.75" x14ac:dyDescent="0.25">
      <c r="A3397" s="51">
        <v>42824</v>
      </c>
      <c r="B3397" s="52" t="s">
        <v>11232</v>
      </c>
      <c r="C3397" s="18">
        <v>106175</v>
      </c>
      <c r="D3397" s="2" t="s">
        <v>26</v>
      </c>
      <c r="E3397" s="15">
        <v>12210.4</v>
      </c>
      <c r="F3397" s="59">
        <v>42824</v>
      </c>
      <c r="G3397" s="15">
        <f t="shared" si="107"/>
        <v>12210.4</v>
      </c>
      <c r="H3397" s="15">
        <f t="shared" si="108"/>
        <v>0</v>
      </c>
      <c r="I3397" s="19"/>
    </row>
    <row r="3398" spans="1:9" ht="15.75" x14ac:dyDescent="0.25">
      <c r="A3398" s="51">
        <v>42824</v>
      </c>
      <c r="B3398" s="52" t="s">
        <v>11233</v>
      </c>
      <c r="C3398" s="18">
        <v>106176</v>
      </c>
      <c r="D3398" s="2" t="s">
        <v>231</v>
      </c>
      <c r="E3398" s="15">
        <v>35063.5</v>
      </c>
      <c r="F3398" s="59">
        <v>42825</v>
      </c>
      <c r="G3398" s="15">
        <f t="shared" si="107"/>
        <v>35063.5</v>
      </c>
      <c r="H3398" s="15">
        <f t="shared" si="108"/>
        <v>0</v>
      </c>
      <c r="I3398" s="19"/>
    </row>
    <row r="3399" spans="1:9" ht="15.75" x14ac:dyDescent="0.25">
      <c r="A3399" s="51">
        <v>42824</v>
      </c>
      <c r="B3399" s="52" t="s">
        <v>11234</v>
      </c>
      <c r="C3399" s="18">
        <v>106177</v>
      </c>
      <c r="D3399" s="2" t="s">
        <v>428</v>
      </c>
      <c r="E3399" s="15">
        <v>1444.4</v>
      </c>
      <c r="F3399" s="59">
        <v>42826</v>
      </c>
      <c r="G3399" s="15">
        <f t="shared" si="107"/>
        <v>1444.4</v>
      </c>
      <c r="H3399" s="15">
        <f t="shared" si="108"/>
        <v>0</v>
      </c>
      <c r="I3399" s="19"/>
    </row>
    <row r="3400" spans="1:9" ht="15.75" x14ac:dyDescent="0.25">
      <c r="A3400" s="51">
        <v>42824</v>
      </c>
      <c r="B3400" s="52" t="s">
        <v>11235</v>
      </c>
      <c r="C3400" s="18">
        <v>106178</v>
      </c>
      <c r="D3400" s="2" t="s">
        <v>35</v>
      </c>
      <c r="E3400" s="15">
        <v>11403.4</v>
      </c>
      <c r="G3400" s="15">
        <f t="shared" si="107"/>
        <v>11403.4</v>
      </c>
      <c r="H3400" s="15">
        <f t="shared" si="108"/>
        <v>0</v>
      </c>
      <c r="I3400" s="19"/>
    </row>
    <row r="3401" spans="1:9" ht="15.75" x14ac:dyDescent="0.25">
      <c r="A3401" s="51">
        <v>42824</v>
      </c>
      <c r="B3401" s="52" t="s">
        <v>11236</v>
      </c>
      <c r="C3401" s="18">
        <v>106179</v>
      </c>
      <c r="D3401" s="2" t="s">
        <v>32</v>
      </c>
      <c r="E3401" s="15">
        <v>5520.8</v>
      </c>
      <c r="F3401" s="59">
        <v>42830</v>
      </c>
      <c r="G3401" s="15">
        <f t="shared" si="107"/>
        <v>5520.8</v>
      </c>
      <c r="H3401" s="15">
        <f t="shared" si="108"/>
        <v>0</v>
      </c>
      <c r="I3401" s="19"/>
    </row>
    <row r="3402" spans="1:9" ht="15.75" x14ac:dyDescent="0.25">
      <c r="A3402" s="51">
        <v>42824</v>
      </c>
      <c r="B3402" s="52" t="s">
        <v>11237</v>
      </c>
      <c r="C3402" s="18">
        <v>106180</v>
      </c>
      <c r="D3402" s="2" t="s">
        <v>69</v>
      </c>
      <c r="E3402" s="15">
        <v>3550.3</v>
      </c>
      <c r="F3402" s="59">
        <v>42824</v>
      </c>
      <c r="G3402" s="15">
        <f t="shared" si="107"/>
        <v>3550.3</v>
      </c>
      <c r="H3402" s="15">
        <f t="shared" si="108"/>
        <v>0</v>
      </c>
      <c r="I3402" s="19"/>
    </row>
    <row r="3403" spans="1:9" ht="15.75" x14ac:dyDescent="0.25">
      <c r="A3403" s="51">
        <v>42824</v>
      </c>
      <c r="B3403" s="52" t="s">
        <v>11238</v>
      </c>
      <c r="C3403" s="18">
        <v>106181</v>
      </c>
      <c r="D3403" s="2" t="s">
        <v>49</v>
      </c>
      <c r="E3403" s="15">
        <v>8144.4</v>
      </c>
      <c r="F3403" s="59">
        <v>42826</v>
      </c>
      <c r="G3403" s="15">
        <f t="shared" si="107"/>
        <v>8144.4</v>
      </c>
      <c r="H3403" s="15">
        <f t="shared" si="108"/>
        <v>0</v>
      </c>
      <c r="I3403" s="19"/>
    </row>
    <row r="3404" spans="1:9" ht="15.75" x14ac:dyDescent="0.25">
      <c r="A3404" s="51">
        <v>42824</v>
      </c>
      <c r="B3404" s="52" t="s">
        <v>11239</v>
      </c>
      <c r="C3404" s="18">
        <v>106182</v>
      </c>
      <c r="D3404" s="2" t="s">
        <v>69</v>
      </c>
      <c r="E3404" s="15">
        <v>4300.6000000000004</v>
      </c>
      <c r="F3404" s="59">
        <v>42824</v>
      </c>
      <c r="G3404" s="15">
        <f t="shared" si="107"/>
        <v>4300.6000000000004</v>
      </c>
      <c r="H3404" s="15">
        <f t="shared" si="108"/>
        <v>0</v>
      </c>
      <c r="I3404" s="19"/>
    </row>
    <row r="3405" spans="1:9" ht="15.75" x14ac:dyDescent="0.25">
      <c r="A3405" s="51">
        <v>42824</v>
      </c>
      <c r="B3405" s="52" t="s">
        <v>11240</v>
      </c>
      <c r="C3405" s="18">
        <v>106183</v>
      </c>
      <c r="D3405" s="2" t="s">
        <v>272</v>
      </c>
      <c r="E3405" s="15">
        <v>3392.4</v>
      </c>
      <c r="F3405" s="59">
        <v>42825</v>
      </c>
      <c r="G3405" s="15">
        <f t="shared" si="107"/>
        <v>3392.4</v>
      </c>
      <c r="H3405" s="15">
        <f t="shared" si="108"/>
        <v>0</v>
      </c>
      <c r="I3405" s="19"/>
    </row>
    <row r="3406" spans="1:9" ht="15.75" x14ac:dyDescent="0.25">
      <c r="A3406" s="51">
        <v>42824</v>
      </c>
      <c r="B3406" s="52" t="s">
        <v>11241</v>
      </c>
      <c r="C3406" s="18">
        <v>106184</v>
      </c>
      <c r="D3406" s="2" t="s">
        <v>358</v>
      </c>
      <c r="E3406" s="15">
        <v>31957.200000000001</v>
      </c>
      <c r="F3406" s="59">
        <v>42824</v>
      </c>
      <c r="G3406" s="15">
        <f t="shared" si="107"/>
        <v>31957.200000000001</v>
      </c>
      <c r="H3406" s="15">
        <f t="shared" si="108"/>
        <v>0</v>
      </c>
    </row>
    <row r="3407" spans="1:9" ht="15.75" x14ac:dyDescent="0.25">
      <c r="A3407" s="51">
        <v>42824</v>
      </c>
      <c r="B3407" s="52" t="s">
        <v>11242</v>
      </c>
      <c r="C3407" s="18">
        <v>106185</v>
      </c>
      <c r="D3407" s="2" t="s">
        <v>28</v>
      </c>
      <c r="E3407" s="15">
        <v>13406.4</v>
      </c>
      <c r="F3407" s="59">
        <v>42824</v>
      </c>
      <c r="G3407" s="15">
        <f t="shared" si="107"/>
        <v>13406.4</v>
      </c>
      <c r="H3407" s="15">
        <f t="shared" si="108"/>
        <v>0</v>
      </c>
    </row>
    <row r="3408" spans="1:9" ht="15.75" x14ac:dyDescent="0.25">
      <c r="A3408" s="51">
        <v>42824</v>
      </c>
      <c r="B3408" s="52" t="s">
        <v>11243</v>
      </c>
      <c r="C3408" s="18">
        <v>106186</v>
      </c>
      <c r="D3408" s="2" t="s">
        <v>4930</v>
      </c>
      <c r="E3408" s="15">
        <v>4020</v>
      </c>
      <c r="F3408" s="59">
        <v>42824</v>
      </c>
      <c r="G3408" s="15">
        <f t="shared" si="107"/>
        <v>4020</v>
      </c>
      <c r="H3408" s="15">
        <f t="shared" si="108"/>
        <v>0</v>
      </c>
    </row>
    <row r="3409" spans="1:8" ht="15.75" x14ac:dyDescent="0.25">
      <c r="A3409" s="51">
        <v>42824</v>
      </c>
      <c r="B3409" s="52" t="s">
        <v>11244</v>
      </c>
      <c r="C3409" s="18">
        <v>106187</v>
      </c>
      <c r="D3409" s="2" t="s">
        <v>302</v>
      </c>
      <c r="E3409" s="15">
        <v>7831.4</v>
      </c>
      <c r="F3409" s="59">
        <v>42824</v>
      </c>
      <c r="G3409" s="15">
        <f t="shared" si="107"/>
        <v>7831.4</v>
      </c>
      <c r="H3409" s="15">
        <f t="shared" si="108"/>
        <v>0</v>
      </c>
    </row>
    <row r="3410" spans="1:8" ht="15.75" x14ac:dyDescent="0.25">
      <c r="A3410" s="51">
        <v>42824</v>
      </c>
      <c r="B3410" s="52" t="s">
        <v>11245</v>
      </c>
      <c r="C3410" s="18">
        <v>106188</v>
      </c>
      <c r="D3410" s="2" t="s">
        <v>268</v>
      </c>
      <c r="E3410" s="15">
        <v>15270.9</v>
      </c>
      <c r="F3410" s="59">
        <v>42830</v>
      </c>
      <c r="G3410" s="15">
        <f t="shared" si="107"/>
        <v>15270.9</v>
      </c>
      <c r="H3410" s="15">
        <f t="shared" si="108"/>
        <v>0</v>
      </c>
    </row>
    <row r="3411" spans="1:8" ht="15.75" x14ac:dyDescent="0.25">
      <c r="A3411" s="51">
        <v>42824</v>
      </c>
      <c r="B3411" s="52" t="s">
        <v>11246</v>
      </c>
      <c r="C3411" s="18">
        <v>106189</v>
      </c>
      <c r="D3411" s="2" t="s">
        <v>71</v>
      </c>
      <c r="E3411" s="15">
        <v>2360</v>
      </c>
      <c r="F3411" s="59">
        <v>42824</v>
      </c>
      <c r="G3411" s="15">
        <f t="shared" si="107"/>
        <v>2360</v>
      </c>
      <c r="H3411" s="15">
        <f t="shared" si="108"/>
        <v>0</v>
      </c>
    </row>
    <row r="3412" spans="1:8" ht="15.75" x14ac:dyDescent="0.25">
      <c r="A3412" s="51">
        <v>42824</v>
      </c>
      <c r="B3412" s="52" t="s">
        <v>11247</v>
      </c>
      <c r="C3412" s="18">
        <v>106190</v>
      </c>
      <c r="D3412" s="2" t="s">
        <v>17</v>
      </c>
      <c r="E3412" s="15">
        <v>2530</v>
      </c>
      <c r="F3412" s="59">
        <v>42824</v>
      </c>
      <c r="G3412" s="15">
        <f t="shared" si="107"/>
        <v>2530</v>
      </c>
      <c r="H3412" s="15">
        <f t="shared" si="108"/>
        <v>0</v>
      </c>
    </row>
    <row r="3413" spans="1:8" ht="15.75" x14ac:dyDescent="0.25">
      <c r="A3413" s="51">
        <v>42824</v>
      </c>
      <c r="B3413" s="52" t="s">
        <v>11248</v>
      </c>
      <c r="C3413" s="18">
        <v>106191</v>
      </c>
      <c r="D3413" s="2" t="s">
        <v>544</v>
      </c>
      <c r="E3413" s="15">
        <v>4588</v>
      </c>
      <c r="F3413" s="59">
        <v>42830</v>
      </c>
      <c r="G3413" s="15">
        <f t="shared" si="107"/>
        <v>4588</v>
      </c>
      <c r="H3413" s="15">
        <f t="shared" si="108"/>
        <v>0</v>
      </c>
    </row>
    <row r="3414" spans="1:8" ht="15.75" x14ac:dyDescent="0.25">
      <c r="A3414" s="51">
        <v>42824</v>
      </c>
      <c r="B3414" s="52" t="s">
        <v>11249</v>
      </c>
      <c r="C3414" s="18">
        <v>106192</v>
      </c>
      <c r="D3414" s="2" t="s">
        <v>47</v>
      </c>
      <c r="E3414" s="15">
        <v>3266.3</v>
      </c>
      <c r="F3414" s="59">
        <v>42824</v>
      </c>
      <c r="G3414" s="15">
        <f t="shared" si="107"/>
        <v>3266.3</v>
      </c>
      <c r="H3414" s="15">
        <f t="shared" si="108"/>
        <v>0</v>
      </c>
    </row>
    <row r="3415" spans="1:8" ht="15.75" x14ac:dyDescent="0.25">
      <c r="A3415" s="51">
        <v>42824</v>
      </c>
      <c r="B3415" s="52" t="s">
        <v>11250</v>
      </c>
      <c r="C3415" s="18">
        <v>106193</v>
      </c>
      <c r="D3415" s="2" t="s">
        <v>270</v>
      </c>
      <c r="E3415" s="15">
        <v>892.8</v>
      </c>
      <c r="F3415" s="59">
        <v>42825</v>
      </c>
      <c r="G3415" s="15">
        <f t="shared" si="107"/>
        <v>892.8</v>
      </c>
      <c r="H3415" s="15">
        <f t="shared" si="108"/>
        <v>0</v>
      </c>
    </row>
    <row r="3416" spans="1:8" ht="15.75" x14ac:dyDescent="0.25">
      <c r="A3416" s="51">
        <v>42824</v>
      </c>
      <c r="B3416" s="52" t="s">
        <v>11251</v>
      </c>
      <c r="C3416" s="18">
        <v>106194</v>
      </c>
      <c r="D3416" s="2" t="s">
        <v>1666</v>
      </c>
      <c r="E3416" s="15">
        <v>13188.6</v>
      </c>
      <c r="F3416" s="59">
        <v>42830</v>
      </c>
      <c r="G3416" s="15">
        <f t="shared" si="107"/>
        <v>13188.6</v>
      </c>
      <c r="H3416" s="15">
        <f t="shared" si="108"/>
        <v>0</v>
      </c>
    </row>
    <row r="3417" spans="1:8" ht="15.75" x14ac:dyDescent="0.25">
      <c r="A3417" s="51">
        <v>42824</v>
      </c>
      <c r="B3417" s="52" t="s">
        <v>11252</v>
      </c>
      <c r="C3417" s="18">
        <v>106195</v>
      </c>
      <c r="D3417" s="2" t="s">
        <v>1325</v>
      </c>
      <c r="E3417" s="15">
        <v>4155.8</v>
      </c>
      <c r="F3417" s="59">
        <v>42824</v>
      </c>
      <c r="G3417" s="15">
        <f t="shared" si="107"/>
        <v>4155.8</v>
      </c>
      <c r="H3417" s="15">
        <f t="shared" si="108"/>
        <v>0</v>
      </c>
    </row>
    <row r="3418" spans="1:8" ht="15.75" x14ac:dyDescent="0.25">
      <c r="A3418" s="51">
        <v>42824</v>
      </c>
      <c r="B3418" s="52" t="s">
        <v>11253</v>
      </c>
      <c r="C3418" s="18">
        <v>106196</v>
      </c>
      <c r="D3418" s="2" t="s">
        <v>1925</v>
      </c>
      <c r="E3418" s="15">
        <v>559.4</v>
      </c>
      <c r="F3418" s="59">
        <v>42824</v>
      </c>
      <c r="G3418" s="15">
        <f t="shared" si="107"/>
        <v>559.4</v>
      </c>
      <c r="H3418" s="15">
        <f t="shared" si="108"/>
        <v>0</v>
      </c>
    </row>
    <row r="3419" spans="1:8" ht="15.75" x14ac:dyDescent="0.25">
      <c r="A3419" s="51">
        <v>42824</v>
      </c>
      <c r="B3419" s="52" t="s">
        <v>11254</v>
      </c>
      <c r="C3419" s="18">
        <v>106197</v>
      </c>
      <c r="D3419" s="2" t="s">
        <v>43</v>
      </c>
      <c r="E3419" s="15">
        <v>6019</v>
      </c>
      <c r="F3419" s="59">
        <v>42826</v>
      </c>
      <c r="G3419" s="15">
        <f t="shared" si="107"/>
        <v>6019</v>
      </c>
      <c r="H3419" s="15">
        <f t="shared" si="108"/>
        <v>0</v>
      </c>
    </row>
    <row r="3420" spans="1:8" ht="15.75" x14ac:dyDescent="0.25">
      <c r="A3420" s="51">
        <v>42824</v>
      </c>
      <c r="B3420" s="52" t="s">
        <v>11255</v>
      </c>
      <c r="C3420" s="18">
        <v>106198</v>
      </c>
      <c r="D3420" s="2" t="s">
        <v>133</v>
      </c>
      <c r="E3420" s="15">
        <v>6595.6</v>
      </c>
      <c r="F3420" s="59">
        <v>42824</v>
      </c>
      <c r="G3420" s="15">
        <f t="shared" si="107"/>
        <v>6595.6</v>
      </c>
      <c r="H3420" s="15">
        <f t="shared" si="108"/>
        <v>0</v>
      </c>
    </row>
    <row r="3421" spans="1:8" ht="15.75" x14ac:dyDescent="0.25">
      <c r="A3421" s="51">
        <v>42824</v>
      </c>
      <c r="B3421" s="52" t="s">
        <v>11256</v>
      </c>
      <c r="C3421" s="18">
        <v>106199</v>
      </c>
      <c r="D3421" s="2" t="s">
        <v>1380</v>
      </c>
      <c r="E3421" s="15">
        <v>31194.240000000002</v>
      </c>
      <c r="F3421" s="59">
        <v>42825</v>
      </c>
      <c r="G3421" s="15">
        <f t="shared" si="107"/>
        <v>31194.240000000002</v>
      </c>
      <c r="H3421" s="15">
        <f t="shared" si="108"/>
        <v>0</v>
      </c>
    </row>
    <row r="3422" spans="1:8" ht="15.75" x14ac:dyDescent="0.25">
      <c r="A3422" s="51">
        <v>42824</v>
      </c>
      <c r="B3422" s="52" t="s">
        <v>11257</v>
      </c>
      <c r="C3422" s="18">
        <v>106200</v>
      </c>
      <c r="D3422" s="2" t="s">
        <v>10</v>
      </c>
      <c r="E3422" s="15">
        <v>7295.2</v>
      </c>
      <c r="F3422" s="59">
        <v>42826</v>
      </c>
      <c r="G3422" s="15">
        <f t="shared" si="107"/>
        <v>7295.2</v>
      </c>
      <c r="H3422" s="15">
        <f t="shared" si="108"/>
        <v>0</v>
      </c>
    </row>
    <row r="3423" spans="1:8" ht="15.75" x14ac:dyDescent="0.25">
      <c r="A3423" s="51">
        <v>42824</v>
      </c>
      <c r="B3423" s="52" t="s">
        <v>11258</v>
      </c>
      <c r="C3423" s="18">
        <v>106201</v>
      </c>
      <c r="D3423" s="2" t="s">
        <v>250</v>
      </c>
      <c r="E3423" s="15">
        <v>9740</v>
      </c>
      <c r="F3423" s="64" t="s">
        <v>11496</v>
      </c>
      <c r="G3423" s="20">
        <f>8000+1740</f>
        <v>9740</v>
      </c>
      <c r="H3423" s="20">
        <f t="shared" si="108"/>
        <v>0</v>
      </c>
    </row>
    <row r="3424" spans="1:8" ht="15.75" x14ac:dyDescent="0.25">
      <c r="A3424" s="51">
        <v>42824</v>
      </c>
      <c r="B3424" s="52" t="s">
        <v>11259</v>
      </c>
      <c r="C3424" s="18">
        <v>106202</v>
      </c>
      <c r="D3424" s="2" t="s">
        <v>253</v>
      </c>
      <c r="E3424" s="15">
        <v>462</v>
      </c>
      <c r="F3424" s="59">
        <v>42826</v>
      </c>
      <c r="G3424" s="15">
        <f t="shared" si="107"/>
        <v>462</v>
      </c>
      <c r="H3424" s="15">
        <f t="shared" si="108"/>
        <v>0</v>
      </c>
    </row>
    <row r="3425" spans="1:8" ht="15.75" x14ac:dyDescent="0.25">
      <c r="A3425" s="51">
        <v>42824</v>
      </c>
      <c r="B3425" s="52" t="s">
        <v>11260</v>
      </c>
      <c r="C3425" s="18">
        <v>106203</v>
      </c>
      <c r="D3425" s="2" t="s">
        <v>289</v>
      </c>
      <c r="E3425" s="15">
        <v>95225.69</v>
      </c>
      <c r="F3425" s="59">
        <v>42838</v>
      </c>
      <c r="G3425" s="15">
        <f t="shared" si="107"/>
        <v>95225.69</v>
      </c>
      <c r="H3425" s="15">
        <f t="shared" si="108"/>
        <v>0</v>
      </c>
    </row>
    <row r="3426" spans="1:8" ht="15.75" x14ac:dyDescent="0.25">
      <c r="A3426" s="51">
        <v>42824</v>
      </c>
      <c r="B3426" s="52" t="s">
        <v>11261</v>
      </c>
      <c r="C3426" s="18">
        <v>106204</v>
      </c>
      <c r="D3426" s="2" t="s">
        <v>51</v>
      </c>
      <c r="E3426" s="15">
        <v>2879.9</v>
      </c>
      <c r="F3426" s="59">
        <v>42826</v>
      </c>
      <c r="G3426" s="15">
        <f t="shared" si="107"/>
        <v>2879.9</v>
      </c>
      <c r="H3426" s="15">
        <f t="shared" si="108"/>
        <v>0</v>
      </c>
    </row>
    <row r="3427" spans="1:8" ht="15.75" x14ac:dyDescent="0.25">
      <c r="A3427" s="51">
        <v>42824</v>
      </c>
      <c r="B3427" s="52" t="s">
        <v>11262</v>
      </c>
      <c r="C3427" s="18">
        <v>106205</v>
      </c>
      <c r="D3427" s="2" t="s">
        <v>289</v>
      </c>
      <c r="E3427" s="15">
        <v>8247.4</v>
      </c>
      <c r="F3427" s="59">
        <v>42838</v>
      </c>
      <c r="G3427" s="15">
        <f t="shared" si="107"/>
        <v>8247.4</v>
      </c>
      <c r="H3427" s="15">
        <f t="shared" si="108"/>
        <v>0</v>
      </c>
    </row>
    <row r="3428" spans="1:8" ht="15.75" x14ac:dyDescent="0.25">
      <c r="A3428" s="51">
        <v>42824</v>
      </c>
      <c r="B3428" s="52" t="s">
        <v>11263</v>
      </c>
      <c r="C3428" s="18">
        <v>106206</v>
      </c>
      <c r="D3428" s="2" t="s">
        <v>157</v>
      </c>
      <c r="E3428" s="15">
        <v>32111.4</v>
      </c>
      <c r="F3428" s="59">
        <v>42824</v>
      </c>
      <c r="G3428" s="15">
        <f t="shared" si="107"/>
        <v>32111.4</v>
      </c>
      <c r="H3428" s="15">
        <f t="shared" si="108"/>
        <v>0</v>
      </c>
    </row>
    <row r="3429" spans="1:8" ht="15.75" x14ac:dyDescent="0.25">
      <c r="A3429" s="51">
        <v>42824</v>
      </c>
      <c r="B3429" s="52" t="s">
        <v>11264</v>
      </c>
      <c r="C3429" s="18">
        <v>106207</v>
      </c>
      <c r="D3429" s="2" t="s">
        <v>157</v>
      </c>
      <c r="E3429" s="15">
        <v>185</v>
      </c>
      <c r="F3429" s="59">
        <v>42824</v>
      </c>
      <c r="G3429" s="15">
        <f t="shared" si="107"/>
        <v>185</v>
      </c>
      <c r="H3429" s="15">
        <f t="shared" si="108"/>
        <v>0</v>
      </c>
    </row>
    <row r="3430" spans="1:8" ht="15.75" x14ac:dyDescent="0.25">
      <c r="A3430" s="51">
        <v>42824</v>
      </c>
      <c r="B3430" s="52" t="s">
        <v>11265</v>
      </c>
      <c r="C3430" s="18">
        <v>106208</v>
      </c>
      <c r="D3430" s="2" t="s">
        <v>9458</v>
      </c>
      <c r="E3430" s="15">
        <v>8892.4</v>
      </c>
      <c r="F3430" s="59">
        <v>42824</v>
      </c>
      <c r="G3430" s="15">
        <f t="shared" si="107"/>
        <v>8892.4</v>
      </c>
      <c r="H3430" s="15">
        <f t="shared" si="108"/>
        <v>0</v>
      </c>
    </row>
    <row r="3431" spans="1:8" ht="15.75" x14ac:dyDescent="0.25">
      <c r="A3431" s="51">
        <v>42824</v>
      </c>
      <c r="B3431" s="52" t="s">
        <v>11266</v>
      </c>
      <c r="C3431" s="18">
        <v>106209</v>
      </c>
      <c r="D3431" s="2" t="s">
        <v>21</v>
      </c>
      <c r="E3431" s="15">
        <v>46682.8</v>
      </c>
      <c r="F3431" s="59">
        <v>42840</v>
      </c>
      <c r="G3431" s="15">
        <f t="shared" si="107"/>
        <v>46682.8</v>
      </c>
      <c r="H3431" s="15">
        <f t="shared" si="108"/>
        <v>0</v>
      </c>
    </row>
    <row r="3432" spans="1:8" ht="15.75" x14ac:dyDescent="0.25">
      <c r="A3432" s="51">
        <v>42824</v>
      </c>
      <c r="B3432" s="52" t="s">
        <v>11267</v>
      </c>
      <c r="C3432" s="18">
        <v>106210</v>
      </c>
      <c r="D3432" s="2" t="s">
        <v>1786</v>
      </c>
      <c r="E3432" s="15">
        <v>6466.8</v>
      </c>
      <c r="F3432" s="59">
        <v>42824</v>
      </c>
      <c r="G3432" s="15">
        <f t="shared" si="107"/>
        <v>6466.8</v>
      </c>
      <c r="H3432" s="15">
        <f t="shared" si="108"/>
        <v>0</v>
      </c>
    </row>
    <row r="3433" spans="1:8" ht="15.75" x14ac:dyDescent="0.25">
      <c r="A3433" s="51">
        <v>42824</v>
      </c>
      <c r="B3433" s="52" t="s">
        <v>11268</v>
      </c>
      <c r="C3433" s="18">
        <v>106211</v>
      </c>
      <c r="D3433" s="2" t="s">
        <v>240</v>
      </c>
      <c r="E3433" s="15">
        <v>4957.3999999999996</v>
      </c>
      <c r="F3433" s="59">
        <v>42824</v>
      </c>
      <c r="G3433" s="15">
        <f t="shared" si="107"/>
        <v>4957.3999999999996</v>
      </c>
      <c r="H3433" s="15">
        <f t="shared" si="108"/>
        <v>0</v>
      </c>
    </row>
    <row r="3434" spans="1:8" ht="15.75" x14ac:dyDescent="0.25">
      <c r="A3434" s="51">
        <v>42824</v>
      </c>
      <c r="B3434" s="52" t="s">
        <v>11269</v>
      </c>
      <c r="C3434" s="18">
        <v>106212</v>
      </c>
      <c r="D3434" s="2" t="s">
        <v>133</v>
      </c>
      <c r="E3434" s="15">
        <v>18054.5</v>
      </c>
      <c r="F3434" s="59">
        <v>42828</v>
      </c>
      <c r="G3434" s="15">
        <f>10000+8054.5</f>
        <v>18054.5</v>
      </c>
      <c r="H3434" s="15">
        <f t="shared" si="108"/>
        <v>0</v>
      </c>
    </row>
    <row r="3435" spans="1:8" ht="15.75" x14ac:dyDescent="0.25">
      <c r="A3435" s="51">
        <v>42824</v>
      </c>
      <c r="B3435" s="52" t="s">
        <v>11270</v>
      </c>
      <c r="C3435" s="18">
        <v>106213</v>
      </c>
      <c r="D3435" s="2" t="s">
        <v>149</v>
      </c>
      <c r="E3435" s="15">
        <v>1016</v>
      </c>
      <c r="F3435" s="59">
        <v>42824</v>
      </c>
      <c r="G3435" s="15">
        <f t="shared" si="107"/>
        <v>1016</v>
      </c>
      <c r="H3435" s="15">
        <f t="shared" si="108"/>
        <v>0</v>
      </c>
    </row>
    <row r="3436" spans="1:8" ht="15.75" x14ac:dyDescent="0.25">
      <c r="A3436" s="51">
        <v>42824</v>
      </c>
      <c r="B3436" s="52" t="s">
        <v>11271</v>
      </c>
      <c r="C3436" s="18">
        <v>106214</v>
      </c>
      <c r="D3436" s="2" t="s">
        <v>99</v>
      </c>
      <c r="E3436" s="15">
        <v>1867.6</v>
      </c>
      <c r="F3436" s="59">
        <v>42825</v>
      </c>
      <c r="G3436" s="15">
        <f t="shared" si="107"/>
        <v>1867.6</v>
      </c>
      <c r="H3436" s="15">
        <f t="shared" si="108"/>
        <v>0</v>
      </c>
    </row>
    <row r="3437" spans="1:8" ht="15.75" x14ac:dyDescent="0.25">
      <c r="A3437" s="51">
        <v>42824</v>
      </c>
      <c r="B3437" s="52" t="s">
        <v>11272</v>
      </c>
      <c r="C3437" s="18">
        <v>106215</v>
      </c>
      <c r="D3437" s="2" t="s">
        <v>4367</v>
      </c>
      <c r="E3437" s="15">
        <v>1547.2</v>
      </c>
      <c r="F3437" s="59">
        <v>42825</v>
      </c>
      <c r="G3437" s="15">
        <f t="shared" si="107"/>
        <v>1547.2</v>
      </c>
      <c r="H3437" s="15">
        <f t="shared" si="108"/>
        <v>0</v>
      </c>
    </row>
    <row r="3438" spans="1:8" ht="15.75" x14ac:dyDescent="0.25">
      <c r="A3438" s="51">
        <v>42824</v>
      </c>
      <c r="B3438" s="52" t="s">
        <v>11273</v>
      </c>
      <c r="C3438" s="18">
        <v>106216</v>
      </c>
      <c r="D3438" s="2" t="s">
        <v>103</v>
      </c>
      <c r="E3438" s="15">
        <v>934.7</v>
      </c>
      <c r="F3438" s="59">
        <v>42825</v>
      </c>
      <c r="G3438" s="15">
        <f t="shared" si="107"/>
        <v>934.7</v>
      </c>
      <c r="H3438" s="15">
        <f t="shared" si="108"/>
        <v>0</v>
      </c>
    </row>
    <row r="3439" spans="1:8" ht="15.75" x14ac:dyDescent="0.25">
      <c r="A3439" s="51">
        <v>42824</v>
      </c>
      <c r="B3439" s="52" t="s">
        <v>11274</v>
      </c>
      <c r="C3439" s="18">
        <v>106217</v>
      </c>
      <c r="D3439" s="2" t="s">
        <v>281</v>
      </c>
      <c r="E3439" s="15">
        <v>2331.8000000000002</v>
      </c>
      <c r="F3439" s="59">
        <v>42825</v>
      </c>
      <c r="G3439" s="15">
        <f t="shared" si="107"/>
        <v>2331.8000000000002</v>
      </c>
      <c r="H3439" s="15">
        <f t="shared" si="108"/>
        <v>0</v>
      </c>
    </row>
    <row r="3440" spans="1:8" ht="15.75" x14ac:dyDescent="0.25">
      <c r="A3440" s="51">
        <v>42824</v>
      </c>
      <c r="B3440" s="52" t="s">
        <v>11275</v>
      </c>
      <c r="C3440" s="18">
        <v>106218</v>
      </c>
      <c r="D3440" s="2" t="s">
        <v>105</v>
      </c>
      <c r="E3440" s="15">
        <v>426.3</v>
      </c>
      <c r="F3440" s="59">
        <v>42825</v>
      </c>
      <c r="G3440" s="15">
        <f t="shared" si="107"/>
        <v>426.3</v>
      </c>
      <c r="H3440" s="15">
        <f t="shared" si="108"/>
        <v>0</v>
      </c>
    </row>
    <row r="3441" spans="1:8" ht="15.75" x14ac:dyDescent="0.25">
      <c r="A3441" s="51">
        <v>42824</v>
      </c>
      <c r="B3441" s="52" t="s">
        <v>11276</v>
      </c>
      <c r="C3441" s="18">
        <v>106219</v>
      </c>
      <c r="D3441" s="2" t="s">
        <v>291</v>
      </c>
      <c r="E3441" s="15">
        <v>2171.4</v>
      </c>
      <c r="F3441" s="59">
        <v>42825</v>
      </c>
      <c r="G3441" s="15">
        <f t="shared" si="107"/>
        <v>2171.4</v>
      </c>
      <c r="H3441" s="15">
        <f t="shared" si="108"/>
        <v>0</v>
      </c>
    </row>
    <row r="3442" spans="1:8" ht="15.75" x14ac:dyDescent="0.25">
      <c r="A3442" s="51">
        <v>42824</v>
      </c>
      <c r="B3442" s="52" t="s">
        <v>11277</v>
      </c>
      <c r="C3442" s="18">
        <v>106220</v>
      </c>
      <c r="D3442" s="2" t="s">
        <v>1259</v>
      </c>
      <c r="E3442" s="15">
        <v>1359</v>
      </c>
      <c r="F3442" s="59">
        <v>42825</v>
      </c>
      <c r="G3442" s="15">
        <f t="shared" si="107"/>
        <v>1359</v>
      </c>
      <c r="H3442" s="15">
        <f t="shared" si="108"/>
        <v>0</v>
      </c>
    </row>
    <row r="3443" spans="1:8" ht="15.75" x14ac:dyDescent="0.25">
      <c r="A3443" s="51">
        <v>42824</v>
      </c>
      <c r="B3443" s="52" t="s">
        <v>11278</v>
      </c>
      <c r="C3443" s="18">
        <v>106221</v>
      </c>
      <c r="D3443" s="2" t="s">
        <v>109</v>
      </c>
      <c r="E3443" s="15">
        <v>3349.2</v>
      </c>
      <c r="F3443" s="59">
        <v>42825</v>
      </c>
      <c r="G3443" s="15">
        <f t="shared" si="107"/>
        <v>3349.2</v>
      </c>
      <c r="H3443" s="15">
        <f t="shared" si="108"/>
        <v>0</v>
      </c>
    </row>
    <row r="3444" spans="1:8" ht="15.75" x14ac:dyDescent="0.25">
      <c r="A3444" s="51">
        <v>42824</v>
      </c>
      <c r="B3444" s="52" t="s">
        <v>11279</v>
      </c>
      <c r="C3444" s="18">
        <v>106222</v>
      </c>
      <c r="D3444" s="2" t="s">
        <v>1256</v>
      </c>
      <c r="E3444" s="15">
        <v>2860.3</v>
      </c>
      <c r="F3444" s="59">
        <v>42828</v>
      </c>
      <c r="G3444" s="15">
        <f t="shared" si="107"/>
        <v>2860.3</v>
      </c>
      <c r="H3444" s="15">
        <f t="shared" si="108"/>
        <v>0</v>
      </c>
    </row>
    <row r="3445" spans="1:8" ht="15.75" x14ac:dyDescent="0.25">
      <c r="A3445" s="51">
        <v>42824</v>
      </c>
      <c r="B3445" s="52" t="s">
        <v>11280</v>
      </c>
      <c r="C3445" s="18">
        <v>106223</v>
      </c>
      <c r="D3445" s="2" t="s">
        <v>30</v>
      </c>
      <c r="E3445" s="15">
        <v>2162</v>
      </c>
      <c r="F3445" s="59">
        <v>42824</v>
      </c>
      <c r="G3445" s="15">
        <f t="shared" si="107"/>
        <v>2162</v>
      </c>
      <c r="H3445" s="15">
        <f t="shared" si="108"/>
        <v>0</v>
      </c>
    </row>
    <row r="3446" spans="1:8" ht="15.75" x14ac:dyDescent="0.25">
      <c r="A3446" s="51">
        <v>42824</v>
      </c>
      <c r="B3446" s="52" t="s">
        <v>11281</v>
      </c>
      <c r="C3446" s="18">
        <v>106224</v>
      </c>
      <c r="D3446" s="2" t="s">
        <v>122</v>
      </c>
      <c r="E3446" s="15">
        <v>418</v>
      </c>
      <c r="F3446" s="59">
        <v>42824</v>
      </c>
      <c r="G3446" s="15">
        <f t="shared" si="107"/>
        <v>418</v>
      </c>
      <c r="H3446" s="15">
        <f t="shared" si="108"/>
        <v>0</v>
      </c>
    </row>
    <row r="3447" spans="1:8" ht="15.75" x14ac:dyDescent="0.25">
      <c r="A3447" s="51">
        <v>42824</v>
      </c>
      <c r="B3447" s="52" t="s">
        <v>11282</v>
      </c>
      <c r="C3447" s="18">
        <v>106225</v>
      </c>
      <c r="D3447" s="2" t="s">
        <v>277</v>
      </c>
      <c r="E3447" s="15">
        <v>3153.6</v>
      </c>
      <c r="F3447" s="59">
        <v>42824</v>
      </c>
      <c r="G3447" s="15">
        <f t="shared" si="107"/>
        <v>3153.6</v>
      </c>
      <c r="H3447" s="15">
        <f t="shared" si="108"/>
        <v>0</v>
      </c>
    </row>
    <row r="3448" spans="1:8" ht="15.75" x14ac:dyDescent="0.25">
      <c r="A3448" s="51">
        <v>42824</v>
      </c>
      <c r="B3448" s="52" t="s">
        <v>11283</v>
      </c>
      <c r="C3448" s="18">
        <v>106226</v>
      </c>
      <c r="D3448" s="2" t="s">
        <v>613</v>
      </c>
      <c r="E3448" s="15">
        <v>4253.6000000000004</v>
      </c>
      <c r="F3448" s="59">
        <v>42825</v>
      </c>
      <c r="G3448" s="15">
        <f t="shared" si="107"/>
        <v>4253.6000000000004</v>
      </c>
      <c r="H3448" s="15">
        <f t="shared" si="108"/>
        <v>0</v>
      </c>
    </row>
    <row r="3449" spans="1:8" ht="15.75" x14ac:dyDescent="0.25">
      <c r="A3449" s="51">
        <v>42824</v>
      </c>
      <c r="B3449" s="52" t="s">
        <v>11284</v>
      </c>
      <c r="C3449" s="18">
        <v>106227</v>
      </c>
      <c r="D3449" s="2" t="s">
        <v>122</v>
      </c>
      <c r="E3449" s="15">
        <v>6213</v>
      </c>
      <c r="F3449" s="59">
        <v>42829</v>
      </c>
      <c r="G3449" s="15">
        <f t="shared" si="107"/>
        <v>6213</v>
      </c>
      <c r="H3449" s="15">
        <f t="shared" si="108"/>
        <v>0</v>
      </c>
    </row>
    <row r="3450" spans="1:8" ht="15.75" x14ac:dyDescent="0.25">
      <c r="A3450" s="51">
        <v>42824</v>
      </c>
      <c r="B3450" s="52" t="s">
        <v>11285</v>
      </c>
      <c r="C3450" s="18">
        <v>106228</v>
      </c>
      <c r="D3450" s="2" t="s">
        <v>122</v>
      </c>
      <c r="E3450" s="15">
        <v>32602.6</v>
      </c>
      <c r="F3450" s="59">
        <v>42829</v>
      </c>
      <c r="G3450" s="15">
        <f t="shared" si="107"/>
        <v>32602.6</v>
      </c>
      <c r="H3450" s="15">
        <f t="shared" si="108"/>
        <v>0</v>
      </c>
    </row>
    <row r="3451" spans="1:8" ht="15.75" x14ac:dyDescent="0.25">
      <c r="A3451" s="51">
        <v>42824</v>
      </c>
      <c r="B3451" s="52" t="s">
        <v>11286</v>
      </c>
      <c r="C3451" s="18">
        <v>106229</v>
      </c>
      <c r="D3451" s="2" t="s">
        <v>122</v>
      </c>
      <c r="E3451" s="15">
        <v>9839.6</v>
      </c>
      <c r="F3451" s="59">
        <v>42829</v>
      </c>
      <c r="G3451" s="15">
        <f t="shared" si="107"/>
        <v>9839.6</v>
      </c>
      <c r="H3451" s="15">
        <f t="shared" si="108"/>
        <v>0</v>
      </c>
    </row>
    <row r="3452" spans="1:8" ht="15.75" x14ac:dyDescent="0.25">
      <c r="A3452" s="51">
        <v>42824</v>
      </c>
      <c r="B3452" s="52" t="s">
        <v>11287</v>
      </c>
      <c r="C3452" s="18">
        <v>106230</v>
      </c>
      <c r="D3452" s="2" t="s">
        <v>125</v>
      </c>
      <c r="E3452" s="15">
        <v>7980</v>
      </c>
      <c r="F3452" s="59">
        <v>42825</v>
      </c>
      <c r="G3452" s="15">
        <f t="shared" si="107"/>
        <v>7980</v>
      </c>
      <c r="H3452" s="15">
        <f t="shared" si="108"/>
        <v>0</v>
      </c>
    </row>
    <row r="3453" spans="1:8" ht="15.75" x14ac:dyDescent="0.25">
      <c r="A3453" s="51">
        <v>42824</v>
      </c>
      <c r="B3453" s="52" t="s">
        <v>11288</v>
      </c>
      <c r="C3453" s="18">
        <v>106231</v>
      </c>
      <c r="D3453" s="2" t="s">
        <v>1830</v>
      </c>
      <c r="E3453" s="15">
        <v>2992</v>
      </c>
      <c r="F3453" s="59">
        <v>42824</v>
      </c>
      <c r="G3453" s="15">
        <f t="shared" si="107"/>
        <v>2992</v>
      </c>
      <c r="H3453" s="15">
        <f t="shared" si="108"/>
        <v>0</v>
      </c>
    </row>
    <row r="3454" spans="1:8" ht="15.75" x14ac:dyDescent="0.25">
      <c r="A3454" s="51">
        <v>42824</v>
      </c>
      <c r="B3454" s="52" t="s">
        <v>11289</v>
      </c>
      <c r="C3454" s="18">
        <v>106232</v>
      </c>
      <c r="D3454" s="2" t="s">
        <v>470</v>
      </c>
      <c r="E3454" s="15">
        <v>9522.2000000000007</v>
      </c>
      <c r="F3454" s="59">
        <v>42824</v>
      </c>
      <c r="G3454" s="15">
        <f t="shared" si="107"/>
        <v>9522.2000000000007</v>
      </c>
      <c r="H3454" s="15">
        <f t="shared" si="108"/>
        <v>0</v>
      </c>
    </row>
    <row r="3455" spans="1:8" ht="15.75" x14ac:dyDescent="0.25">
      <c r="A3455" s="51">
        <v>42824</v>
      </c>
      <c r="B3455" s="52" t="s">
        <v>11290</v>
      </c>
      <c r="C3455" s="18">
        <v>106233</v>
      </c>
      <c r="D3455" s="2" t="s">
        <v>492</v>
      </c>
      <c r="E3455" s="15">
        <v>13272.8</v>
      </c>
      <c r="F3455" s="59">
        <v>42828</v>
      </c>
      <c r="G3455" s="15">
        <f t="shared" si="107"/>
        <v>13272.8</v>
      </c>
      <c r="H3455" s="15">
        <f t="shared" si="108"/>
        <v>0</v>
      </c>
    </row>
    <row r="3456" spans="1:8" ht="15.75" x14ac:dyDescent="0.25">
      <c r="A3456" s="51">
        <v>42824</v>
      </c>
      <c r="B3456" s="52" t="s">
        <v>11291</v>
      </c>
      <c r="C3456" s="18">
        <v>106234</v>
      </c>
      <c r="D3456" s="2" t="s">
        <v>208</v>
      </c>
      <c r="E3456" s="15">
        <v>11546.4</v>
      </c>
      <c r="F3456" s="59">
        <v>42825</v>
      </c>
      <c r="G3456" s="15">
        <f t="shared" si="107"/>
        <v>11546.4</v>
      </c>
      <c r="H3456" s="15">
        <f t="shared" si="108"/>
        <v>0</v>
      </c>
    </row>
    <row r="3457" spans="1:8" ht="15.75" x14ac:dyDescent="0.25">
      <c r="A3457" s="51">
        <v>42824</v>
      </c>
      <c r="B3457" s="52" t="s">
        <v>11292</v>
      </c>
      <c r="C3457" s="18">
        <v>106235</v>
      </c>
      <c r="D3457" s="2" t="s">
        <v>785</v>
      </c>
      <c r="E3457" s="15">
        <v>2250</v>
      </c>
      <c r="F3457" s="59">
        <v>42824</v>
      </c>
      <c r="G3457" s="15">
        <f t="shared" si="107"/>
        <v>2250</v>
      </c>
      <c r="H3457" s="15">
        <f t="shared" si="108"/>
        <v>0</v>
      </c>
    </row>
    <row r="3458" spans="1:8" ht="15.75" x14ac:dyDescent="0.25">
      <c r="A3458" s="51">
        <v>42824</v>
      </c>
      <c r="B3458" s="52" t="s">
        <v>11293</v>
      </c>
      <c r="C3458" s="18">
        <v>106236</v>
      </c>
      <c r="D3458" s="2" t="s">
        <v>563</v>
      </c>
      <c r="E3458" s="15">
        <v>3109.3</v>
      </c>
      <c r="F3458" s="59">
        <v>42824</v>
      </c>
      <c r="G3458" s="15">
        <f t="shared" si="107"/>
        <v>3109.3</v>
      </c>
      <c r="H3458" s="15">
        <f t="shared" si="108"/>
        <v>0</v>
      </c>
    </row>
    <row r="3459" spans="1:8" ht="15.75" x14ac:dyDescent="0.25">
      <c r="A3459" s="51">
        <v>42824</v>
      </c>
      <c r="B3459" s="52" t="s">
        <v>11294</v>
      </c>
      <c r="C3459" s="18">
        <v>106237</v>
      </c>
      <c r="D3459" s="2" t="s">
        <v>472</v>
      </c>
      <c r="E3459" s="15">
        <v>8380.7999999999993</v>
      </c>
      <c r="F3459" s="59">
        <v>42825</v>
      </c>
      <c r="G3459" s="15">
        <f t="shared" si="107"/>
        <v>8380.7999999999993</v>
      </c>
      <c r="H3459" s="15">
        <f t="shared" si="108"/>
        <v>0</v>
      </c>
    </row>
    <row r="3460" spans="1:8" ht="15.75" x14ac:dyDescent="0.25">
      <c r="A3460" s="51">
        <v>42824</v>
      </c>
      <c r="B3460" s="52" t="s">
        <v>11295</v>
      </c>
      <c r="C3460" s="18">
        <v>106238</v>
      </c>
      <c r="D3460" s="2" t="s">
        <v>159</v>
      </c>
      <c r="E3460" s="15">
        <v>6447</v>
      </c>
      <c r="F3460" s="59">
        <v>42824</v>
      </c>
      <c r="G3460" s="15">
        <f t="shared" ref="G3460:G3523" si="109">E3460</f>
        <v>6447</v>
      </c>
      <c r="H3460" s="15">
        <f t="shared" ref="H3460:H3523" si="110">E3460-G3460</f>
        <v>0</v>
      </c>
    </row>
    <row r="3461" spans="1:8" ht="15.75" x14ac:dyDescent="0.25">
      <c r="A3461" s="51">
        <v>42824</v>
      </c>
      <c r="B3461" s="52" t="s">
        <v>11296</v>
      </c>
      <c r="C3461" s="18">
        <v>106239</v>
      </c>
      <c r="D3461" s="2" t="s">
        <v>305</v>
      </c>
      <c r="E3461" s="15">
        <v>3130.3</v>
      </c>
      <c r="F3461" s="59">
        <v>42829</v>
      </c>
      <c r="G3461" s="15">
        <f t="shared" si="109"/>
        <v>3130.3</v>
      </c>
      <c r="H3461" s="15">
        <f t="shared" si="110"/>
        <v>0</v>
      </c>
    </row>
    <row r="3462" spans="1:8" ht="15.75" x14ac:dyDescent="0.25">
      <c r="A3462" s="51">
        <v>42824</v>
      </c>
      <c r="B3462" s="52" t="s">
        <v>11297</v>
      </c>
      <c r="C3462" s="18">
        <v>106240</v>
      </c>
      <c r="D3462" s="13" t="s">
        <v>476</v>
      </c>
      <c r="E3462" s="14">
        <v>0</v>
      </c>
      <c r="F3462" s="102" t="s">
        <v>95</v>
      </c>
      <c r="G3462" s="14">
        <f t="shared" si="109"/>
        <v>0</v>
      </c>
      <c r="H3462" s="14">
        <f t="shared" si="110"/>
        <v>0</v>
      </c>
    </row>
    <row r="3463" spans="1:8" ht="15.75" x14ac:dyDescent="0.25">
      <c r="A3463" s="51">
        <v>42824</v>
      </c>
      <c r="B3463" s="52" t="s">
        <v>11298</v>
      </c>
      <c r="C3463" s="18">
        <v>106241</v>
      </c>
      <c r="D3463" s="2" t="s">
        <v>159</v>
      </c>
      <c r="E3463" s="15">
        <v>1363.5</v>
      </c>
      <c r="F3463" s="59">
        <v>42824</v>
      </c>
      <c r="G3463" s="15">
        <f t="shared" si="109"/>
        <v>1363.5</v>
      </c>
      <c r="H3463" s="15">
        <f t="shared" si="110"/>
        <v>0</v>
      </c>
    </row>
    <row r="3464" spans="1:8" ht="15.75" x14ac:dyDescent="0.25">
      <c r="A3464" s="51">
        <v>42824</v>
      </c>
      <c r="B3464" s="52" t="s">
        <v>11299</v>
      </c>
      <c r="C3464" s="18">
        <v>106242</v>
      </c>
      <c r="D3464" s="2" t="s">
        <v>476</v>
      </c>
      <c r="E3464" s="15">
        <v>17371.8</v>
      </c>
      <c r="F3464" s="59">
        <v>42829</v>
      </c>
      <c r="G3464" s="15">
        <f t="shared" si="109"/>
        <v>17371.8</v>
      </c>
      <c r="H3464" s="15">
        <f t="shared" si="110"/>
        <v>0</v>
      </c>
    </row>
    <row r="3465" spans="1:8" ht="15.75" x14ac:dyDescent="0.25">
      <c r="A3465" s="51">
        <v>42824</v>
      </c>
      <c r="B3465" s="52" t="s">
        <v>11300</v>
      </c>
      <c r="C3465" s="18">
        <v>106243</v>
      </c>
      <c r="D3465" s="2" t="s">
        <v>231</v>
      </c>
      <c r="E3465" s="15">
        <v>952.6</v>
      </c>
      <c r="F3465" s="59">
        <v>42825</v>
      </c>
      <c r="G3465" s="15">
        <f t="shared" si="109"/>
        <v>952.6</v>
      </c>
      <c r="H3465" s="15">
        <f t="shared" si="110"/>
        <v>0</v>
      </c>
    </row>
    <row r="3466" spans="1:8" ht="15.75" x14ac:dyDescent="0.25">
      <c r="A3466" s="51">
        <v>42824</v>
      </c>
      <c r="B3466" s="52" t="s">
        <v>11301</v>
      </c>
      <c r="C3466" s="18">
        <v>106244</v>
      </c>
      <c r="D3466" s="2" t="s">
        <v>10</v>
      </c>
      <c r="E3466" s="15">
        <v>300694.81</v>
      </c>
      <c r="F3466" s="101" t="s">
        <v>11499</v>
      </c>
      <c r="G3466" s="23">
        <f>187704.74+112990.07</f>
        <v>300694.81</v>
      </c>
      <c r="H3466" s="23">
        <f t="shared" si="110"/>
        <v>0</v>
      </c>
    </row>
    <row r="3467" spans="1:8" ht="15.75" x14ac:dyDescent="0.25">
      <c r="A3467" s="51">
        <v>42824</v>
      </c>
      <c r="B3467" s="52" t="s">
        <v>11302</v>
      </c>
      <c r="C3467" s="18">
        <v>106245</v>
      </c>
      <c r="D3467" s="2" t="s">
        <v>10</v>
      </c>
      <c r="E3467" s="15">
        <v>86233.95</v>
      </c>
      <c r="F3467" s="59">
        <v>42828</v>
      </c>
      <c r="G3467" s="15">
        <f t="shared" si="109"/>
        <v>86233.95</v>
      </c>
      <c r="H3467" s="15">
        <f t="shared" si="110"/>
        <v>0</v>
      </c>
    </row>
    <row r="3468" spans="1:8" ht="15.75" x14ac:dyDescent="0.25">
      <c r="A3468" s="51">
        <v>42824</v>
      </c>
      <c r="B3468" s="52" t="s">
        <v>11303</v>
      </c>
      <c r="C3468" s="18">
        <v>106246</v>
      </c>
      <c r="D3468" s="2" t="s">
        <v>55</v>
      </c>
      <c r="E3468" s="15">
        <v>26786.1</v>
      </c>
      <c r="F3468" s="59">
        <v>42824</v>
      </c>
      <c r="G3468" s="15">
        <f>17000+9786.1</f>
        <v>26786.1</v>
      </c>
      <c r="H3468" s="15">
        <f t="shared" si="110"/>
        <v>0</v>
      </c>
    </row>
    <row r="3469" spans="1:8" ht="15.75" x14ac:dyDescent="0.25">
      <c r="A3469" s="51">
        <v>42824</v>
      </c>
      <c r="B3469" s="52" t="s">
        <v>11304</v>
      </c>
      <c r="C3469" s="18">
        <v>106247</v>
      </c>
      <c r="D3469" s="2" t="s">
        <v>14</v>
      </c>
      <c r="E3469" s="15">
        <v>14137.2</v>
      </c>
      <c r="F3469" s="59">
        <v>42824</v>
      </c>
      <c r="G3469" s="15">
        <f t="shared" si="109"/>
        <v>14137.2</v>
      </c>
      <c r="H3469" s="15">
        <f t="shared" si="110"/>
        <v>0</v>
      </c>
    </row>
    <row r="3470" spans="1:8" ht="15.75" x14ac:dyDescent="0.25">
      <c r="A3470" s="51">
        <v>42824</v>
      </c>
      <c r="B3470" s="52" t="s">
        <v>11305</v>
      </c>
      <c r="C3470" s="18">
        <v>106248</v>
      </c>
      <c r="D3470" s="2" t="s">
        <v>1141</v>
      </c>
      <c r="E3470" s="15">
        <v>598</v>
      </c>
      <c r="F3470" s="59">
        <v>42824</v>
      </c>
      <c r="G3470" s="15">
        <f t="shared" si="109"/>
        <v>598</v>
      </c>
      <c r="H3470" s="15">
        <f t="shared" si="110"/>
        <v>0</v>
      </c>
    </row>
    <row r="3471" spans="1:8" ht="15.75" x14ac:dyDescent="0.25">
      <c r="A3471" s="51">
        <v>42824</v>
      </c>
      <c r="B3471" s="52" t="s">
        <v>11306</v>
      </c>
      <c r="C3471" s="18">
        <v>106249</v>
      </c>
      <c r="D3471" s="2" t="s">
        <v>531</v>
      </c>
      <c r="E3471" s="15">
        <v>31209.42</v>
      </c>
      <c r="F3471" s="59">
        <v>42825</v>
      </c>
      <c r="G3471" s="15">
        <f t="shared" si="109"/>
        <v>31209.42</v>
      </c>
      <c r="H3471" s="15">
        <f t="shared" si="110"/>
        <v>0</v>
      </c>
    </row>
    <row r="3472" spans="1:8" ht="15.75" x14ac:dyDescent="0.25">
      <c r="A3472" s="51">
        <v>42824</v>
      </c>
      <c r="B3472" s="52" t="s">
        <v>11307</v>
      </c>
      <c r="C3472" s="18">
        <v>106250</v>
      </c>
      <c r="D3472" s="2" t="s">
        <v>2986</v>
      </c>
      <c r="E3472" s="15">
        <v>3255</v>
      </c>
      <c r="F3472" s="59">
        <v>42825</v>
      </c>
      <c r="G3472" s="15">
        <f t="shared" si="109"/>
        <v>3255</v>
      </c>
      <c r="H3472" s="15">
        <f t="shared" si="110"/>
        <v>0</v>
      </c>
    </row>
    <row r="3473" spans="1:8" ht="15.75" x14ac:dyDescent="0.25">
      <c r="A3473" s="51">
        <v>42824</v>
      </c>
      <c r="B3473" s="52" t="s">
        <v>11308</v>
      </c>
      <c r="C3473" s="18">
        <v>106251</v>
      </c>
      <c r="D3473" s="2" t="s">
        <v>483</v>
      </c>
      <c r="E3473" s="15">
        <v>3948</v>
      </c>
      <c r="F3473" s="59">
        <v>42825</v>
      </c>
      <c r="G3473" s="15">
        <f t="shared" si="109"/>
        <v>3948</v>
      </c>
      <c r="H3473" s="15">
        <f t="shared" si="110"/>
        <v>0</v>
      </c>
    </row>
    <row r="3474" spans="1:8" ht="15.75" x14ac:dyDescent="0.25">
      <c r="A3474" s="51">
        <v>42824</v>
      </c>
      <c r="B3474" s="52" t="s">
        <v>11309</v>
      </c>
      <c r="C3474" s="18">
        <v>106252</v>
      </c>
      <c r="D3474" s="2" t="s">
        <v>69</v>
      </c>
      <c r="E3474" s="15">
        <v>2196.6</v>
      </c>
      <c r="F3474" s="59">
        <v>42824</v>
      </c>
      <c r="G3474" s="15">
        <f t="shared" si="109"/>
        <v>2196.6</v>
      </c>
      <c r="H3474" s="15">
        <f t="shared" si="110"/>
        <v>0</v>
      </c>
    </row>
    <row r="3475" spans="1:8" ht="15.75" x14ac:dyDescent="0.25">
      <c r="A3475" s="51">
        <v>42824</v>
      </c>
      <c r="B3475" s="52" t="s">
        <v>11310</v>
      </c>
      <c r="C3475" s="18">
        <v>106253</v>
      </c>
      <c r="D3475" s="2" t="s">
        <v>113</v>
      </c>
      <c r="E3475" s="15">
        <v>2010</v>
      </c>
      <c r="F3475" s="59">
        <v>42825</v>
      </c>
      <c r="G3475" s="15">
        <f t="shared" si="109"/>
        <v>2010</v>
      </c>
      <c r="H3475" s="15">
        <f t="shared" si="110"/>
        <v>0</v>
      </c>
    </row>
    <row r="3476" spans="1:8" ht="15.75" x14ac:dyDescent="0.25">
      <c r="A3476" s="51">
        <v>42824</v>
      </c>
      <c r="B3476" s="52" t="s">
        <v>11311</v>
      </c>
      <c r="C3476" s="18">
        <v>106254</v>
      </c>
      <c r="D3476" s="2" t="s">
        <v>30</v>
      </c>
      <c r="E3476" s="15">
        <v>1113.5999999999999</v>
      </c>
      <c r="F3476" s="59">
        <v>42824</v>
      </c>
      <c r="G3476" s="15">
        <f t="shared" si="109"/>
        <v>1113.5999999999999</v>
      </c>
      <c r="H3476" s="15">
        <f t="shared" si="110"/>
        <v>0</v>
      </c>
    </row>
    <row r="3477" spans="1:8" ht="15.75" x14ac:dyDescent="0.25">
      <c r="A3477" s="51">
        <v>42824</v>
      </c>
      <c r="B3477" s="52" t="s">
        <v>11312</v>
      </c>
      <c r="C3477" s="18">
        <v>106255</v>
      </c>
      <c r="D3477" s="2" t="s">
        <v>486</v>
      </c>
      <c r="E3477" s="15">
        <v>3062.4</v>
      </c>
      <c r="F3477" s="59">
        <v>42825</v>
      </c>
      <c r="G3477" s="15">
        <f t="shared" si="109"/>
        <v>3062.4</v>
      </c>
      <c r="H3477" s="15">
        <f t="shared" si="110"/>
        <v>0</v>
      </c>
    </row>
    <row r="3478" spans="1:8" ht="15.75" x14ac:dyDescent="0.25">
      <c r="A3478" s="51">
        <v>42824</v>
      </c>
      <c r="B3478" s="52" t="s">
        <v>11313</v>
      </c>
      <c r="C3478" s="18">
        <v>106256</v>
      </c>
      <c r="D3478" s="2" t="s">
        <v>1634</v>
      </c>
      <c r="E3478" s="15">
        <v>1012.8</v>
      </c>
      <c r="F3478" s="59">
        <v>42824</v>
      </c>
      <c r="G3478" s="15">
        <f t="shared" si="109"/>
        <v>1012.8</v>
      </c>
      <c r="H3478" s="15">
        <f t="shared" si="110"/>
        <v>0</v>
      </c>
    </row>
    <row r="3479" spans="1:8" ht="15.75" x14ac:dyDescent="0.25">
      <c r="A3479" s="51">
        <v>42824</v>
      </c>
      <c r="B3479" s="52" t="s">
        <v>11314</v>
      </c>
      <c r="C3479" s="18">
        <v>106257</v>
      </c>
      <c r="D3479" s="2" t="s">
        <v>57</v>
      </c>
      <c r="E3479" s="15">
        <v>533.6</v>
      </c>
      <c r="F3479" s="59">
        <v>42825</v>
      </c>
      <c r="G3479" s="15">
        <f t="shared" si="109"/>
        <v>533.6</v>
      </c>
      <c r="H3479" s="15">
        <f t="shared" si="110"/>
        <v>0</v>
      </c>
    </row>
    <row r="3480" spans="1:8" ht="15.75" x14ac:dyDescent="0.25">
      <c r="A3480" s="51">
        <v>42824</v>
      </c>
      <c r="B3480" s="52" t="s">
        <v>11315</v>
      </c>
      <c r="C3480" s="18">
        <v>106258</v>
      </c>
      <c r="D3480" s="2" t="s">
        <v>53</v>
      </c>
      <c r="E3480" s="15">
        <v>2538.8000000000002</v>
      </c>
      <c r="F3480" s="59">
        <v>42825</v>
      </c>
      <c r="G3480" s="15">
        <f t="shared" si="109"/>
        <v>2538.8000000000002</v>
      </c>
      <c r="H3480" s="15">
        <f t="shared" si="110"/>
        <v>0</v>
      </c>
    </row>
    <row r="3481" spans="1:8" ht="15.75" x14ac:dyDescent="0.25">
      <c r="A3481" s="51">
        <v>42824</v>
      </c>
      <c r="B3481" s="52" t="s">
        <v>11316</v>
      </c>
      <c r="C3481" s="18">
        <v>106259</v>
      </c>
      <c r="D3481" s="2" t="s">
        <v>61</v>
      </c>
      <c r="E3481" s="15">
        <v>10734.9</v>
      </c>
      <c r="F3481" s="59">
        <v>42825</v>
      </c>
      <c r="G3481" s="15">
        <f t="shared" si="109"/>
        <v>10734.9</v>
      </c>
      <c r="H3481" s="15">
        <f t="shared" si="110"/>
        <v>0</v>
      </c>
    </row>
    <row r="3482" spans="1:8" ht="15.75" x14ac:dyDescent="0.25">
      <c r="A3482" s="51">
        <v>42824</v>
      </c>
      <c r="B3482" s="52" t="s">
        <v>11317</v>
      </c>
      <c r="C3482" s="18">
        <v>106260</v>
      </c>
      <c r="D3482" s="2" t="s">
        <v>5292</v>
      </c>
      <c r="E3482" s="15">
        <v>14586.9</v>
      </c>
      <c r="F3482" s="59">
        <v>42825</v>
      </c>
      <c r="G3482" s="15">
        <f t="shared" si="109"/>
        <v>14586.9</v>
      </c>
      <c r="H3482" s="15">
        <f t="shared" si="110"/>
        <v>0</v>
      </c>
    </row>
    <row r="3483" spans="1:8" ht="15.75" x14ac:dyDescent="0.25">
      <c r="A3483" s="51">
        <v>42824</v>
      </c>
      <c r="B3483" s="52" t="s">
        <v>11318</v>
      </c>
      <c r="C3483" s="18">
        <v>106261</v>
      </c>
      <c r="D3483" s="2" t="s">
        <v>10</v>
      </c>
      <c r="E3483" s="15">
        <v>38640</v>
      </c>
      <c r="F3483" s="59">
        <v>42828</v>
      </c>
      <c r="G3483" s="15">
        <f t="shared" si="109"/>
        <v>38640</v>
      </c>
      <c r="H3483" s="15">
        <f t="shared" si="110"/>
        <v>0</v>
      </c>
    </row>
    <row r="3484" spans="1:8" ht="15.75" x14ac:dyDescent="0.25">
      <c r="A3484" s="51">
        <v>42824</v>
      </c>
      <c r="B3484" s="52" t="s">
        <v>11319</v>
      </c>
      <c r="C3484" s="18">
        <v>106262</v>
      </c>
      <c r="D3484" s="2" t="s">
        <v>352</v>
      </c>
      <c r="E3484" s="15">
        <v>1948.72</v>
      </c>
      <c r="F3484" s="59">
        <v>42824</v>
      </c>
      <c r="G3484" s="15">
        <f t="shared" si="109"/>
        <v>1948.72</v>
      </c>
      <c r="H3484" s="15">
        <f t="shared" si="110"/>
        <v>0</v>
      </c>
    </row>
    <row r="3485" spans="1:8" ht="15.75" x14ac:dyDescent="0.25">
      <c r="A3485" s="51">
        <v>42824</v>
      </c>
      <c r="B3485" s="52" t="s">
        <v>11320</v>
      </c>
      <c r="C3485" s="18">
        <v>106263</v>
      </c>
      <c r="D3485" s="2" t="s">
        <v>10</v>
      </c>
      <c r="E3485" s="15">
        <v>45136</v>
      </c>
      <c r="F3485" s="59">
        <v>42828</v>
      </c>
      <c r="G3485" s="15">
        <f t="shared" si="109"/>
        <v>45136</v>
      </c>
      <c r="H3485" s="15">
        <f t="shared" si="110"/>
        <v>0</v>
      </c>
    </row>
    <row r="3486" spans="1:8" ht="15.75" x14ac:dyDescent="0.25">
      <c r="A3486" s="51">
        <v>42824</v>
      </c>
      <c r="B3486" s="52" t="s">
        <v>11321</v>
      </c>
      <c r="C3486" s="18">
        <v>106264</v>
      </c>
      <c r="D3486" s="2" t="s">
        <v>354</v>
      </c>
      <c r="E3486" s="15">
        <v>2126.8000000000002</v>
      </c>
      <c r="F3486" s="59">
        <v>42824</v>
      </c>
      <c r="G3486" s="15">
        <f t="shared" si="109"/>
        <v>2126.8000000000002</v>
      </c>
      <c r="H3486" s="15">
        <f t="shared" si="110"/>
        <v>0</v>
      </c>
    </row>
    <row r="3487" spans="1:8" ht="15.75" x14ac:dyDescent="0.25">
      <c r="A3487" s="51">
        <v>42824</v>
      </c>
      <c r="B3487" s="52" t="s">
        <v>11322</v>
      </c>
      <c r="C3487" s="18">
        <v>106265</v>
      </c>
      <c r="D3487" s="2" t="s">
        <v>358</v>
      </c>
      <c r="E3487" s="15">
        <v>31448.67</v>
      </c>
      <c r="F3487" s="59">
        <v>42825</v>
      </c>
      <c r="G3487" s="15">
        <f t="shared" si="109"/>
        <v>31448.67</v>
      </c>
      <c r="H3487" s="15">
        <f t="shared" si="110"/>
        <v>0</v>
      </c>
    </row>
    <row r="3488" spans="1:8" ht="15.75" x14ac:dyDescent="0.25">
      <c r="A3488" s="51">
        <v>42824</v>
      </c>
      <c r="B3488" s="52" t="s">
        <v>11323</v>
      </c>
      <c r="C3488" s="18">
        <v>106266</v>
      </c>
      <c r="D3488" s="2" t="s">
        <v>182</v>
      </c>
      <c r="E3488" s="15">
        <v>3680</v>
      </c>
      <c r="F3488" s="59">
        <v>42825</v>
      </c>
      <c r="G3488" s="15">
        <f t="shared" si="109"/>
        <v>3680</v>
      </c>
      <c r="H3488" s="15">
        <f t="shared" si="110"/>
        <v>0</v>
      </c>
    </row>
    <row r="3489" spans="1:8" ht="15.75" x14ac:dyDescent="0.25">
      <c r="A3489" s="51">
        <v>42824</v>
      </c>
      <c r="B3489" s="52" t="s">
        <v>11324</v>
      </c>
      <c r="C3489" s="18">
        <v>106267</v>
      </c>
      <c r="D3489" s="2" t="s">
        <v>193</v>
      </c>
      <c r="E3489" s="15">
        <v>3807</v>
      </c>
      <c r="F3489" s="59">
        <v>42825</v>
      </c>
      <c r="G3489" s="15">
        <f t="shared" si="109"/>
        <v>3807</v>
      </c>
      <c r="H3489" s="15">
        <f t="shared" si="110"/>
        <v>0</v>
      </c>
    </row>
    <row r="3490" spans="1:8" ht="15.75" x14ac:dyDescent="0.25">
      <c r="A3490" s="51">
        <v>42824</v>
      </c>
      <c r="B3490" s="52" t="s">
        <v>11325</v>
      </c>
      <c r="C3490" s="18">
        <v>106268</v>
      </c>
      <c r="D3490" s="13" t="s">
        <v>656</v>
      </c>
      <c r="E3490" s="14">
        <v>0</v>
      </c>
      <c r="F3490" s="102" t="s">
        <v>95</v>
      </c>
      <c r="G3490" s="14">
        <f t="shared" si="109"/>
        <v>0</v>
      </c>
      <c r="H3490" s="14">
        <f t="shared" si="110"/>
        <v>0</v>
      </c>
    </row>
    <row r="3491" spans="1:8" ht="15.75" x14ac:dyDescent="0.25">
      <c r="A3491" s="51">
        <v>42824</v>
      </c>
      <c r="B3491" s="52" t="s">
        <v>11326</v>
      </c>
      <c r="C3491" s="18">
        <v>106269</v>
      </c>
      <c r="D3491" s="2" t="s">
        <v>12</v>
      </c>
      <c r="E3491" s="15">
        <v>1693.9</v>
      </c>
      <c r="F3491" s="59">
        <v>42825</v>
      </c>
      <c r="G3491" s="15">
        <f t="shared" si="109"/>
        <v>1693.9</v>
      </c>
      <c r="H3491" s="15">
        <f t="shared" si="110"/>
        <v>0</v>
      </c>
    </row>
    <row r="3492" spans="1:8" ht="15.75" x14ac:dyDescent="0.25">
      <c r="A3492" s="51">
        <v>42824</v>
      </c>
      <c r="B3492" s="52" t="s">
        <v>11327</v>
      </c>
      <c r="C3492" s="18">
        <v>106270</v>
      </c>
      <c r="D3492" s="2" t="s">
        <v>656</v>
      </c>
      <c r="E3492" s="15">
        <v>5236</v>
      </c>
      <c r="F3492" s="59">
        <v>42825</v>
      </c>
      <c r="G3492" s="15">
        <f t="shared" si="109"/>
        <v>5236</v>
      </c>
      <c r="H3492" s="15">
        <f t="shared" si="110"/>
        <v>0</v>
      </c>
    </row>
    <row r="3493" spans="1:8" ht="15.75" x14ac:dyDescent="0.25">
      <c r="A3493" s="51">
        <v>42824</v>
      </c>
      <c r="B3493" s="52" t="s">
        <v>11328</v>
      </c>
      <c r="C3493" s="18">
        <v>106271</v>
      </c>
      <c r="D3493" s="2" t="s">
        <v>3649</v>
      </c>
      <c r="E3493" s="15">
        <v>1639.2</v>
      </c>
      <c r="F3493" s="59">
        <v>42824</v>
      </c>
      <c r="G3493" s="15">
        <f t="shared" si="109"/>
        <v>1639.2</v>
      </c>
      <c r="H3493" s="15">
        <f t="shared" si="110"/>
        <v>0</v>
      </c>
    </row>
    <row r="3494" spans="1:8" ht="15.75" x14ac:dyDescent="0.25">
      <c r="A3494" s="51">
        <v>42824</v>
      </c>
      <c r="B3494" s="52" t="s">
        <v>11329</v>
      </c>
      <c r="C3494" s="18">
        <v>106272</v>
      </c>
      <c r="D3494" s="2" t="s">
        <v>428</v>
      </c>
      <c r="E3494" s="15">
        <v>1310</v>
      </c>
      <c r="F3494" s="59">
        <v>42828</v>
      </c>
      <c r="G3494" s="15">
        <f t="shared" si="109"/>
        <v>1310</v>
      </c>
      <c r="H3494" s="15">
        <f t="shared" si="110"/>
        <v>0</v>
      </c>
    </row>
    <row r="3495" spans="1:8" ht="15.75" x14ac:dyDescent="0.25">
      <c r="A3495" s="51">
        <v>42824</v>
      </c>
      <c r="B3495" s="52" t="s">
        <v>11330</v>
      </c>
      <c r="C3495" s="18">
        <v>106273</v>
      </c>
      <c r="D3495" s="2" t="s">
        <v>10</v>
      </c>
      <c r="E3495" s="15">
        <v>66885.2</v>
      </c>
      <c r="F3495" s="59">
        <v>42828</v>
      </c>
      <c r="G3495" s="15">
        <f t="shared" si="109"/>
        <v>66885.2</v>
      </c>
      <c r="H3495" s="15">
        <f t="shared" si="110"/>
        <v>0</v>
      </c>
    </row>
    <row r="3496" spans="1:8" ht="15.75" x14ac:dyDescent="0.25">
      <c r="A3496" s="51">
        <v>42824</v>
      </c>
      <c r="B3496" s="52" t="s">
        <v>11331</v>
      </c>
      <c r="C3496" s="18">
        <v>106274</v>
      </c>
      <c r="D3496" s="2" t="s">
        <v>10</v>
      </c>
      <c r="E3496" s="15">
        <v>12741.9</v>
      </c>
      <c r="F3496" s="59">
        <v>42828</v>
      </c>
      <c r="G3496" s="15">
        <f t="shared" si="109"/>
        <v>12741.9</v>
      </c>
      <c r="H3496" s="15">
        <f t="shared" si="110"/>
        <v>0</v>
      </c>
    </row>
    <row r="3497" spans="1:8" ht="15.75" x14ac:dyDescent="0.25">
      <c r="A3497" s="51">
        <v>42824</v>
      </c>
      <c r="B3497" s="52" t="s">
        <v>11332</v>
      </c>
      <c r="C3497" s="18">
        <v>106275</v>
      </c>
      <c r="D3497" s="2" t="s">
        <v>1380</v>
      </c>
      <c r="E3497" s="15">
        <v>4184.3999999999996</v>
      </c>
      <c r="F3497" s="59">
        <v>42825</v>
      </c>
      <c r="G3497" s="15">
        <f t="shared" si="109"/>
        <v>4184.3999999999996</v>
      </c>
      <c r="H3497" s="15">
        <f t="shared" si="110"/>
        <v>0</v>
      </c>
    </row>
    <row r="3498" spans="1:8" ht="15.75" x14ac:dyDescent="0.25">
      <c r="A3498" s="51">
        <v>42824</v>
      </c>
      <c r="B3498" s="52" t="s">
        <v>11333</v>
      </c>
      <c r="C3498" s="18">
        <v>106276</v>
      </c>
      <c r="D3498" s="2" t="s">
        <v>697</v>
      </c>
      <c r="E3498" s="15">
        <v>79603</v>
      </c>
      <c r="F3498" s="59">
        <v>42841</v>
      </c>
      <c r="G3498" s="15">
        <f t="shared" si="109"/>
        <v>79603</v>
      </c>
      <c r="H3498" s="15">
        <f t="shared" si="110"/>
        <v>0</v>
      </c>
    </row>
    <row r="3499" spans="1:8" ht="15.75" x14ac:dyDescent="0.25">
      <c r="A3499" s="51">
        <v>42824</v>
      </c>
      <c r="B3499" s="52" t="s">
        <v>11334</v>
      </c>
      <c r="C3499" s="18">
        <v>106277</v>
      </c>
      <c r="D3499" s="2" t="s">
        <v>236</v>
      </c>
      <c r="E3499" s="15">
        <v>35468.9</v>
      </c>
      <c r="F3499" s="59">
        <v>42838</v>
      </c>
      <c r="G3499" s="15">
        <f t="shared" si="109"/>
        <v>35468.9</v>
      </c>
      <c r="H3499" s="15">
        <f t="shared" si="110"/>
        <v>0</v>
      </c>
    </row>
    <row r="3500" spans="1:8" ht="15.75" x14ac:dyDescent="0.25">
      <c r="A3500" s="51">
        <v>42824</v>
      </c>
      <c r="B3500" s="52" t="s">
        <v>11335</v>
      </c>
      <c r="C3500" s="18">
        <v>106278</v>
      </c>
      <c r="D3500" s="2" t="s">
        <v>10</v>
      </c>
      <c r="E3500" s="15">
        <v>5665.7</v>
      </c>
      <c r="F3500" s="59">
        <v>42828</v>
      </c>
      <c r="G3500" s="15">
        <f t="shared" si="109"/>
        <v>5665.7</v>
      </c>
      <c r="H3500" s="15">
        <f t="shared" si="110"/>
        <v>0</v>
      </c>
    </row>
    <row r="3501" spans="1:8" ht="15.75" x14ac:dyDescent="0.25">
      <c r="A3501" s="51">
        <v>42824</v>
      </c>
      <c r="B3501" s="52" t="s">
        <v>11336</v>
      </c>
      <c r="C3501" s="18">
        <v>106279</v>
      </c>
      <c r="D3501" s="2" t="s">
        <v>264</v>
      </c>
      <c r="E3501" s="15">
        <v>119110.19</v>
      </c>
      <c r="F3501" s="59" t="s">
        <v>11506</v>
      </c>
      <c r="G3501" s="15">
        <f>105840+13270.19</f>
        <v>119110.19</v>
      </c>
      <c r="H3501" s="15">
        <f t="shared" si="110"/>
        <v>0</v>
      </c>
    </row>
    <row r="3502" spans="1:8" ht="15.75" x14ac:dyDescent="0.25">
      <c r="A3502" s="51">
        <v>42824</v>
      </c>
      <c r="B3502" s="52" t="s">
        <v>11337</v>
      </c>
      <c r="C3502" s="18">
        <v>106280</v>
      </c>
      <c r="D3502" s="2" t="s">
        <v>222</v>
      </c>
      <c r="E3502" s="15">
        <v>142274</v>
      </c>
      <c r="F3502" s="59">
        <v>42826</v>
      </c>
      <c r="G3502" s="15">
        <f t="shared" si="109"/>
        <v>142274</v>
      </c>
      <c r="H3502" s="15">
        <f t="shared" si="110"/>
        <v>0</v>
      </c>
    </row>
    <row r="3503" spans="1:8" ht="15.75" x14ac:dyDescent="0.25">
      <c r="A3503" s="51">
        <v>42824</v>
      </c>
      <c r="B3503" s="52" t="s">
        <v>11338</v>
      </c>
      <c r="C3503" s="18">
        <v>106281</v>
      </c>
      <c r="D3503" s="2" t="s">
        <v>921</v>
      </c>
      <c r="E3503" s="15">
        <v>6407.1</v>
      </c>
      <c r="F3503" s="59">
        <v>42824</v>
      </c>
      <c r="G3503" s="15">
        <f>6407.1</f>
        <v>6407.1</v>
      </c>
      <c r="H3503" s="15">
        <f t="shared" si="110"/>
        <v>0</v>
      </c>
    </row>
    <row r="3504" spans="1:8" ht="15.75" x14ac:dyDescent="0.25">
      <c r="A3504" s="51">
        <v>42824</v>
      </c>
      <c r="B3504" s="52" t="s">
        <v>11339</v>
      </c>
      <c r="C3504" s="18">
        <v>106282</v>
      </c>
      <c r="D3504" s="2" t="s">
        <v>665</v>
      </c>
      <c r="E3504" s="15">
        <v>62648.3</v>
      </c>
      <c r="F3504" s="59">
        <v>42833</v>
      </c>
      <c r="G3504" s="15">
        <f t="shared" si="109"/>
        <v>62648.3</v>
      </c>
      <c r="H3504" s="15">
        <f t="shared" si="110"/>
        <v>0</v>
      </c>
    </row>
    <row r="3505" spans="1:8" ht="15.75" x14ac:dyDescent="0.25">
      <c r="A3505" s="51">
        <v>42824</v>
      </c>
      <c r="B3505" s="52" t="s">
        <v>11340</v>
      </c>
      <c r="C3505" s="18">
        <v>106283</v>
      </c>
      <c r="D3505" s="2" t="s">
        <v>220</v>
      </c>
      <c r="E3505" s="15">
        <v>2587.1999999999998</v>
      </c>
      <c r="F3505" s="59">
        <v>42824</v>
      </c>
      <c r="G3505" s="15">
        <f t="shared" si="109"/>
        <v>2587.1999999999998</v>
      </c>
      <c r="H3505" s="15">
        <f t="shared" si="110"/>
        <v>0</v>
      </c>
    </row>
    <row r="3506" spans="1:8" ht="15.75" x14ac:dyDescent="0.25">
      <c r="A3506" s="51">
        <v>42824</v>
      </c>
      <c r="B3506" s="52" t="s">
        <v>11341</v>
      </c>
      <c r="C3506" s="18">
        <v>106284</v>
      </c>
      <c r="D3506" s="2" t="s">
        <v>785</v>
      </c>
      <c r="E3506" s="15">
        <v>10630.4</v>
      </c>
      <c r="F3506" s="59">
        <v>42825</v>
      </c>
      <c r="G3506" s="15">
        <f t="shared" si="109"/>
        <v>10630.4</v>
      </c>
      <c r="H3506" s="15">
        <f t="shared" si="110"/>
        <v>0</v>
      </c>
    </row>
    <row r="3507" spans="1:8" ht="15.75" x14ac:dyDescent="0.25">
      <c r="A3507" s="51">
        <v>42824</v>
      </c>
      <c r="B3507" s="52" t="s">
        <v>11342</v>
      </c>
      <c r="C3507" s="18">
        <v>106285</v>
      </c>
      <c r="D3507" s="2" t="s">
        <v>785</v>
      </c>
      <c r="E3507" s="15">
        <v>5793.6</v>
      </c>
      <c r="F3507" s="59">
        <v>42825</v>
      </c>
      <c r="G3507" s="15">
        <f t="shared" si="109"/>
        <v>5793.6</v>
      </c>
      <c r="H3507" s="15">
        <f t="shared" si="110"/>
        <v>0</v>
      </c>
    </row>
    <row r="3508" spans="1:8" ht="15.75" x14ac:dyDescent="0.25">
      <c r="A3508" s="51">
        <v>42824</v>
      </c>
      <c r="B3508" s="52" t="s">
        <v>11343</v>
      </c>
      <c r="C3508" s="18">
        <v>106286</v>
      </c>
      <c r="D3508" s="2" t="s">
        <v>1594</v>
      </c>
      <c r="E3508" s="15">
        <v>61682.7</v>
      </c>
      <c r="F3508" s="59">
        <v>42831</v>
      </c>
      <c r="G3508" s="15">
        <f t="shared" si="109"/>
        <v>61682.7</v>
      </c>
      <c r="H3508" s="15">
        <f t="shared" si="110"/>
        <v>0</v>
      </c>
    </row>
    <row r="3509" spans="1:8" ht="15.75" x14ac:dyDescent="0.25">
      <c r="A3509" s="51">
        <v>42824</v>
      </c>
      <c r="B3509" s="52" t="s">
        <v>11344</v>
      </c>
      <c r="C3509" s="18">
        <v>106287</v>
      </c>
      <c r="D3509" s="2" t="s">
        <v>1589</v>
      </c>
      <c r="E3509" s="15">
        <v>9109.6</v>
      </c>
      <c r="F3509" s="59">
        <v>42826</v>
      </c>
      <c r="G3509" s="15">
        <f t="shared" si="109"/>
        <v>9109.6</v>
      </c>
      <c r="H3509" s="15">
        <f t="shared" si="110"/>
        <v>0</v>
      </c>
    </row>
    <row r="3510" spans="1:8" ht="15.75" x14ac:dyDescent="0.25">
      <c r="A3510" s="51">
        <v>42824</v>
      </c>
      <c r="B3510" s="52" t="s">
        <v>11345</v>
      </c>
      <c r="C3510" s="18">
        <v>106288</v>
      </c>
      <c r="D3510" s="2" t="s">
        <v>677</v>
      </c>
      <c r="E3510" s="15">
        <v>2054.4</v>
      </c>
      <c r="F3510" s="59">
        <v>42826</v>
      </c>
      <c r="G3510" s="15">
        <f t="shared" si="109"/>
        <v>2054.4</v>
      </c>
      <c r="H3510" s="15">
        <f t="shared" si="110"/>
        <v>0</v>
      </c>
    </row>
    <row r="3511" spans="1:8" ht="15.75" x14ac:dyDescent="0.25">
      <c r="A3511" s="51">
        <v>42824</v>
      </c>
      <c r="B3511" s="52" t="s">
        <v>11346</v>
      </c>
      <c r="C3511" s="18">
        <v>106289</v>
      </c>
      <c r="D3511" s="2" t="s">
        <v>680</v>
      </c>
      <c r="E3511" s="15">
        <v>2212.6</v>
      </c>
      <c r="F3511" s="59">
        <v>42826</v>
      </c>
      <c r="G3511" s="15">
        <f t="shared" si="109"/>
        <v>2212.6</v>
      </c>
      <c r="H3511" s="15">
        <f t="shared" si="110"/>
        <v>0</v>
      </c>
    </row>
    <row r="3512" spans="1:8" ht="15.75" x14ac:dyDescent="0.25">
      <c r="A3512" s="51">
        <v>42824</v>
      </c>
      <c r="B3512" s="52" t="s">
        <v>11347</v>
      </c>
      <c r="C3512" s="18">
        <v>106290</v>
      </c>
      <c r="D3512" s="2" t="s">
        <v>1197</v>
      </c>
      <c r="E3512" s="15">
        <v>4028.4</v>
      </c>
      <c r="F3512" s="64" t="s">
        <v>11502</v>
      </c>
      <c r="G3512" s="20">
        <f>3389+639.4</f>
        <v>4028.4</v>
      </c>
      <c r="H3512" s="20">
        <f t="shared" si="110"/>
        <v>0</v>
      </c>
    </row>
    <row r="3513" spans="1:8" ht="15.75" x14ac:dyDescent="0.25">
      <c r="A3513" s="51">
        <v>42824</v>
      </c>
      <c r="B3513" s="52" t="s">
        <v>11348</v>
      </c>
      <c r="C3513" s="18">
        <v>106291</v>
      </c>
      <c r="D3513" s="2" t="s">
        <v>4038</v>
      </c>
      <c r="E3513" s="15">
        <v>9117.7999999999993</v>
      </c>
      <c r="F3513" s="59">
        <v>42826</v>
      </c>
      <c r="G3513" s="15">
        <f t="shared" si="109"/>
        <v>9117.7999999999993</v>
      </c>
      <c r="H3513" s="15">
        <f t="shared" si="110"/>
        <v>0</v>
      </c>
    </row>
    <row r="3514" spans="1:8" ht="15.75" x14ac:dyDescent="0.25">
      <c r="A3514" s="51">
        <v>42824</v>
      </c>
      <c r="B3514" s="52" t="s">
        <v>11349</v>
      </c>
      <c r="C3514" s="18">
        <v>106292</v>
      </c>
      <c r="D3514" s="2" t="s">
        <v>688</v>
      </c>
      <c r="E3514" s="15">
        <v>4830.6000000000004</v>
      </c>
      <c r="F3514" s="59">
        <v>42826</v>
      </c>
      <c r="G3514" s="15">
        <f t="shared" si="109"/>
        <v>4830.6000000000004</v>
      </c>
      <c r="H3514" s="15">
        <f t="shared" si="110"/>
        <v>0</v>
      </c>
    </row>
    <row r="3515" spans="1:8" ht="15.75" x14ac:dyDescent="0.25">
      <c r="A3515" s="51">
        <v>42824</v>
      </c>
      <c r="B3515" s="52" t="s">
        <v>11350</v>
      </c>
      <c r="C3515" s="18">
        <v>106293</v>
      </c>
      <c r="D3515" s="2" t="s">
        <v>675</v>
      </c>
      <c r="E3515" s="15">
        <v>1338.2</v>
      </c>
      <c r="F3515" s="59">
        <v>42826</v>
      </c>
      <c r="G3515" s="15">
        <f t="shared" si="109"/>
        <v>1338.2</v>
      </c>
      <c r="H3515" s="15">
        <f t="shared" si="110"/>
        <v>0</v>
      </c>
    </row>
    <row r="3516" spans="1:8" ht="15.75" x14ac:dyDescent="0.25">
      <c r="A3516" s="51">
        <v>42824</v>
      </c>
      <c r="B3516" s="52" t="s">
        <v>11351</v>
      </c>
      <c r="C3516" s="18">
        <v>106294</v>
      </c>
      <c r="D3516" s="2" t="s">
        <v>670</v>
      </c>
      <c r="E3516" s="15">
        <v>196302.1</v>
      </c>
      <c r="F3516" s="59">
        <v>42826</v>
      </c>
      <c r="G3516" s="15">
        <f t="shared" si="109"/>
        <v>196302.1</v>
      </c>
      <c r="H3516" s="15">
        <f t="shared" si="110"/>
        <v>0</v>
      </c>
    </row>
    <row r="3517" spans="1:8" ht="15.75" x14ac:dyDescent="0.25">
      <c r="A3517" s="51">
        <v>42824</v>
      </c>
      <c r="B3517" s="52" t="s">
        <v>11352</v>
      </c>
      <c r="C3517" s="18">
        <v>106295</v>
      </c>
      <c r="D3517" s="2" t="s">
        <v>686</v>
      </c>
      <c r="E3517" s="15">
        <v>12432.6</v>
      </c>
      <c r="F3517" s="59">
        <v>42826</v>
      </c>
      <c r="G3517" s="15">
        <f t="shared" si="109"/>
        <v>12432.6</v>
      </c>
      <c r="H3517" s="15">
        <f t="shared" si="110"/>
        <v>0</v>
      </c>
    </row>
    <row r="3518" spans="1:8" ht="15.75" x14ac:dyDescent="0.25">
      <c r="A3518" s="51">
        <v>42825</v>
      </c>
      <c r="B3518" s="52" t="s">
        <v>11353</v>
      </c>
      <c r="C3518" s="18">
        <v>106296</v>
      </c>
      <c r="D3518" s="2" t="s">
        <v>231</v>
      </c>
      <c r="E3518" s="15">
        <v>3005.6</v>
      </c>
      <c r="F3518" s="59">
        <v>42825</v>
      </c>
      <c r="G3518" s="15">
        <f t="shared" si="109"/>
        <v>3005.6</v>
      </c>
      <c r="H3518" s="15">
        <f t="shared" si="110"/>
        <v>0</v>
      </c>
    </row>
    <row r="3519" spans="1:8" ht="15.75" x14ac:dyDescent="0.25">
      <c r="A3519" s="51">
        <v>42825</v>
      </c>
      <c r="B3519" s="52" t="s">
        <v>11354</v>
      </c>
      <c r="C3519" s="18">
        <v>106297</v>
      </c>
      <c r="D3519" s="2" t="s">
        <v>374</v>
      </c>
      <c r="E3519" s="15">
        <v>4329.3</v>
      </c>
      <c r="F3519" s="59">
        <v>42825</v>
      </c>
      <c r="G3519" s="15">
        <f t="shared" si="109"/>
        <v>4329.3</v>
      </c>
      <c r="H3519" s="15">
        <f t="shared" si="110"/>
        <v>0</v>
      </c>
    </row>
    <row r="3520" spans="1:8" ht="15.75" x14ac:dyDescent="0.25">
      <c r="A3520" s="51">
        <v>42825</v>
      </c>
      <c r="B3520" s="52" t="s">
        <v>11355</v>
      </c>
      <c r="C3520" s="18">
        <v>106298</v>
      </c>
      <c r="D3520" s="2" t="s">
        <v>231</v>
      </c>
      <c r="E3520" s="15">
        <v>24837.4</v>
      </c>
      <c r="F3520" s="59">
        <v>42826</v>
      </c>
      <c r="G3520" s="15">
        <f t="shared" si="109"/>
        <v>24837.4</v>
      </c>
      <c r="H3520" s="15">
        <f t="shared" si="110"/>
        <v>0</v>
      </c>
    </row>
    <row r="3521" spans="1:8" ht="15.75" x14ac:dyDescent="0.25">
      <c r="A3521" s="51">
        <v>42825</v>
      </c>
      <c r="B3521" s="52" t="s">
        <v>11356</v>
      </c>
      <c r="C3521" s="18">
        <v>106299</v>
      </c>
      <c r="D3521" s="2" t="s">
        <v>231</v>
      </c>
      <c r="E3521" s="15">
        <v>127.3</v>
      </c>
      <c r="F3521" s="59">
        <v>42825</v>
      </c>
      <c r="G3521" s="15">
        <f t="shared" si="109"/>
        <v>127.3</v>
      </c>
      <c r="H3521" s="15">
        <f t="shared" si="110"/>
        <v>0</v>
      </c>
    </row>
    <row r="3522" spans="1:8" ht="15.75" x14ac:dyDescent="0.25">
      <c r="A3522" s="51">
        <v>42825</v>
      </c>
      <c r="B3522" s="52" t="s">
        <v>11357</v>
      </c>
      <c r="C3522" s="18">
        <v>106300</v>
      </c>
      <c r="D3522" s="2" t="s">
        <v>26</v>
      </c>
      <c r="E3522" s="15">
        <v>11765.8</v>
      </c>
      <c r="F3522" s="59">
        <v>42825</v>
      </c>
      <c r="G3522" s="15">
        <f t="shared" si="109"/>
        <v>11765.8</v>
      </c>
      <c r="H3522" s="15">
        <f t="shared" si="110"/>
        <v>0</v>
      </c>
    </row>
    <row r="3523" spans="1:8" ht="15.75" x14ac:dyDescent="0.25">
      <c r="A3523" s="51">
        <v>42825</v>
      </c>
      <c r="B3523" s="52" t="s">
        <v>11358</v>
      </c>
      <c r="C3523" s="18">
        <v>106301</v>
      </c>
      <c r="D3523" s="2" t="s">
        <v>28</v>
      </c>
      <c r="E3523" s="15">
        <v>14305.2</v>
      </c>
      <c r="F3523" s="59">
        <v>42825</v>
      </c>
      <c r="G3523" s="15">
        <f t="shared" si="109"/>
        <v>14305.2</v>
      </c>
      <c r="H3523" s="15">
        <f t="shared" si="110"/>
        <v>0</v>
      </c>
    </row>
    <row r="3524" spans="1:8" ht="15.75" x14ac:dyDescent="0.25">
      <c r="A3524" s="51">
        <v>42825</v>
      </c>
      <c r="B3524" s="52" t="s">
        <v>11359</v>
      </c>
      <c r="C3524" s="18">
        <v>106302</v>
      </c>
      <c r="D3524" s="2" t="s">
        <v>67</v>
      </c>
      <c r="E3524" s="15">
        <v>5890.5</v>
      </c>
      <c r="F3524" s="59">
        <v>42829</v>
      </c>
      <c r="G3524" s="15">
        <f t="shared" ref="G3524:G3587" si="111">E3524</f>
        <v>5890.5</v>
      </c>
      <c r="H3524" s="15">
        <f t="shared" ref="H3524:H3587" si="112">E3524-G3524</f>
        <v>0</v>
      </c>
    </row>
    <row r="3525" spans="1:8" ht="15.75" x14ac:dyDescent="0.25">
      <c r="A3525" s="51">
        <v>42825</v>
      </c>
      <c r="B3525" s="52" t="s">
        <v>11360</v>
      </c>
      <c r="C3525" s="18">
        <v>106303</v>
      </c>
      <c r="D3525" s="2" t="s">
        <v>69</v>
      </c>
      <c r="E3525" s="15">
        <v>1302.4000000000001</v>
      </c>
      <c r="F3525" s="59">
        <v>42825</v>
      </c>
      <c r="G3525" s="15">
        <f t="shared" si="111"/>
        <v>1302.4000000000001</v>
      </c>
      <c r="H3525" s="15">
        <f t="shared" si="112"/>
        <v>0</v>
      </c>
    </row>
    <row r="3526" spans="1:8" ht="15.75" x14ac:dyDescent="0.25">
      <c r="A3526" s="51">
        <v>42825</v>
      </c>
      <c r="B3526" s="52" t="s">
        <v>11361</v>
      </c>
      <c r="C3526" s="18">
        <v>106304</v>
      </c>
      <c r="D3526" s="2" t="s">
        <v>11505</v>
      </c>
      <c r="E3526" s="15">
        <v>42120</v>
      </c>
      <c r="F3526" s="104" t="s">
        <v>11507</v>
      </c>
      <c r="G3526" s="66">
        <f>8307.1+31394+2418.9</f>
        <v>42120</v>
      </c>
      <c r="H3526" s="66">
        <f t="shared" si="112"/>
        <v>0</v>
      </c>
    </row>
    <row r="3527" spans="1:8" ht="15.75" x14ac:dyDescent="0.25">
      <c r="A3527" s="51">
        <v>42825</v>
      </c>
      <c r="B3527" s="52" t="s">
        <v>11362</v>
      </c>
      <c r="C3527" s="18">
        <v>106305</v>
      </c>
      <c r="D3527" s="2" t="s">
        <v>1786</v>
      </c>
      <c r="E3527" s="15">
        <v>8908</v>
      </c>
      <c r="F3527" s="59">
        <v>42825</v>
      </c>
      <c r="G3527" s="15">
        <f t="shared" si="111"/>
        <v>8908</v>
      </c>
      <c r="H3527" s="15">
        <f t="shared" si="112"/>
        <v>0</v>
      </c>
    </row>
    <row r="3528" spans="1:8" ht="15.75" x14ac:dyDescent="0.25">
      <c r="A3528" s="51">
        <v>42825</v>
      </c>
      <c r="B3528" s="52" t="s">
        <v>11363</v>
      </c>
      <c r="C3528" s="18">
        <v>106306</v>
      </c>
      <c r="D3528" s="2" t="s">
        <v>19</v>
      </c>
      <c r="E3528" s="15">
        <v>2025</v>
      </c>
      <c r="F3528" s="59">
        <v>42825</v>
      </c>
      <c r="G3528" s="15">
        <f t="shared" si="111"/>
        <v>2025</v>
      </c>
      <c r="H3528" s="15">
        <f t="shared" si="112"/>
        <v>0</v>
      </c>
    </row>
    <row r="3529" spans="1:8" ht="15.75" x14ac:dyDescent="0.25">
      <c r="A3529" s="51">
        <v>42825</v>
      </c>
      <c r="B3529" s="52" t="s">
        <v>11364</v>
      </c>
      <c r="C3529" s="18">
        <v>106307</v>
      </c>
      <c r="D3529" s="2" t="s">
        <v>236</v>
      </c>
      <c r="E3529" s="15">
        <v>35771.11</v>
      </c>
      <c r="F3529" s="59">
        <v>42838</v>
      </c>
      <c r="G3529" s="15">
        <f t="shared" si="111"/>
        <v>35771.11</v>
      </c>
      <c r="H3529" s="15">
        <f t="shared" si="112"/>
        <v>0</v>
      </c>
    </row>
    <row r="3530" spans="1:8" ht="15.75" x14ac:dyDescent="0.25">
      <c r="A3530" s="51">
        <v>42825</v>
      </c>
      <c r="B3530" s="52" t="s">
        <v>11365</v>
      </c>
      <c r="C3530" s="18">
        <v>106308</v>
      </c>
      <c r="D3530" s="13" t="s">
        <v>236</v>
      </c>
      <c r="E3530" s="14">
        <v>0</v>
      </c>
      <c r="F3530" s="102" t="s">
        <v>95</v>
      </c>
      <c r="G3530" s="14">
        <f t="shared" si="111"/>
        <v>0</v>
      </c>
      <c r="H3530" s="14">
        <f t="shared" si="112"/>
        <v>0</v>
      </c>
    </row>
    <row r="3531" spans="1:8" ht="15.75" x14ac:dyDescent="0.25">
      <c r="A3531" s="51">
        <v>42825</v>
      </c>
      <c r="B3531" s="52" t="s">
        <v>11366</v>
      </c>
      <c r="C3531" s="18">
        <v>106309</v>
      </c>
      <c r="D3531" s="2" t="s">
        <v>430</v>
      </c>
      <c r="E3531" s="15">
        <v>2516.8000000000002</v>
      </c>
      <c r="F3531" s="59">
        <v>42825</v>
      </c>
      <c r="G3531" s="15">
        <f t="shared" si="111"/>
        <v>2516.8000000000002</v>
      </c>
      <c r="H3531" s="15">
        <f t="shared" si="112"/>
        <v>0</v>
      </c>
    </row>
    <row r="3532" spans="1:8" ht="15.75" x14ac:dyDescent="0.25">
      <c r="A3532" s="51">
        <v>42825</v>
      </c>
      <c r="B3532" s="52" t="s">
        <v>11367</v>
      </c>
      <c r="C3532" s="18">
        <v>106310</v>
      </c>
      <c r="D3532" s="2" t="s">
        <v>236</v>
      </c>
      <c r="E3532" s="15">
        <v>31914.3</v>
      </c>
      <c r="F3532" s="59">
        <v>42838</v>
      </c>
      <c r="G3532" s="15">
        <f t="shared" si="111"/>
        <v>31914.3</v>
      </c>
      <c r="H3532" s="15">
        <f t="shared" si="112"/>
        <v>0</v>
      </c>
    </row>
    <row r="3533" spans="1:8" ht="15.75" x14ac:dyDescent="0.25">
      <c r="A3533" s="51">
        <v>42825</v>
      </c>
      <c r="B3533" s="52" t="s">
        <v>11368</v>
      </c>
      <c r="C3533" s="18">
        <v>106311</v>
      </c>
      <c r="D3533" s="2" t="s">
        <v>43</v>
      </c>
      <c r="E3533" s="15">
        <v>2626.4</v>
      </c>
      <c r="F3533" s="59">
        <v>42826</v>
      </c>
      <c r="G3533" s="15">
        <f t="shared" si="111"/>
        <v>2626.4</v>
      </c>
      <c r="H3533" s="15">
        <f t="shared" si="112"/>
        <v>0</v>
      </c>
    </row>
    <row r="3534" spans="1:8" ht="15.75" x14ac:dyDescent="0.25">
      <c r="A3534" s="51">
        <v>42825</v>
      </c>
      <c r="B3534" s="52" t="s">
        <v>11369</v>
      </c>
      <c r="C3534" s="18">
        <v>106312</v>
      </c>
      <c r="D3534" s="2" t="s">
        <v>253</v>
      </c>
      <c r="E3534" s="15">
        <v>3462.8</v>
      </c>
      <c r="F3534" s="59">
        <v>42829</v>
      </c>
      <c r="G3534" s="15">
        <f t="shared" si="111"/>
        <v>3462.8</v>
      </c>
      <c r="H3534" s="15">
        <f t="shared" si="112"/>
        <v>0</v>
      </c>
    </row>
    <row r="3535" spans="1:8" ht="15.75" x14ac:dyDescent="0.25">
      <c r="A3535" s="51">
        <v>42825</v>
      </c>
      <c r="B3535" s="52" t="s">
        <v>11370</v>
      </c>
      <c r="C3535" s="18">
        <v>106313</v>
      </c>
      <c r="D3535" s="2" t="s">
        <v>35</v>
      </c>
      <c r="E3535" s="15">
        <v>10931.2</v>
      </c>
      <c r="F3535" s="59">
        <v>42828</v>
      </c>
      <c r="G3535" s="15">
        <f t="shared" si="111"/>
        <v>10931.2</v>
      </c>
      <c r="H3535" s="15">
        <f t="shared" si="112"/>
        <v>0</v>
      </c>
    </row>
    <row r="3536" spans="1:8" ht="15.75" x14ac:dyDescent="0.25">
      <c r="A3536" s="51">
        <v>42825</v>
      </c>
      <c r="B3536" s="52" t="s">
        <v>11371</v>
      </c>
      <c r="C3536" s="18">
        <v>106314</v>
      </c>
      <c r="D3536" s="2" t="s">
        <v>32</v>
      </c>
      <c r="E3536" s="15">
        <v>3283.9</v>
      </c>
      <c r="F3536" s="59">
        <v>42830</v>
      </c>
      <c r="G3536" s="15">
        <f t="shared" si="111"/>
        <v>3283.9</v>
      </c>
      <c r="H3536" s="15">
        <f t="shared" si="112"/>
        <v>0</v>
      </c>
    </row>
    <row r="3537" spans="1:8" ht="15.75" x14ac:dyDescent="0.25">
      <c r="A3537" s="51">
        <v>42825</v>
      </c>
      <c r="B3537" s="52" t="s">
        <v>11372</v>
      </c>
      <c r="C3537" s="18">
        <v>106315</v>
      </c>
      <c r="D3537" s="2" t="s">
        <v>38</v>
      </c>
      <c r="E3537" s="15">
        <v>2834.1</v>
      </c>
      <c r="F3537" s="64" t="s">
        <v>11501</v>
      </c>
      <c r="G3537" s="20">
        <f>2500+334.1</f>
        <v>2834.1</v>
      </c>
      <c r="H3537" s="20">
        <f t="shared" si="112"/>
        <v>0</v>
      </c>
    </row>
    <row r="3538" spans="1:8" ht="15.75" x14ac:dyDescent="0.25">
      <c r="A3538" s="51">
        <v>42825</v>
      </c>
      <c r="B3538" s="52" t="s">
        <v>11373</v>
      </c>
      <c r="C3538" s="18">
        <v>106316</v>
      </c>
      <c r="D3538" s="2" t="s">
        <v>49</v>
      </c>
      <c r="E3538" s="15">
        <v>11873.4</v>
      </c>
      <c r="F3538" s="64" t="s">
        <v>11499</v>
      </c>
      <c r="G3538" s="20">
        <f>3000+8873.4</f>
        <v>11873.4</v>
      </c>
      <c r="H3538" s="20">
        <f t="shared" si="112"/>
        <v>0</v>
      </c>
    </row>
    <row r="3539" spans="1:8" ht="15.75" x14ac:dyDescent="0.25">
      <c r="A3539" s="51">
        <v>42825</v>
      </c>
      <c r="B3539" s="52" t="s">
        <v>11374</v>
      </c>
      <c r="C3539" s="18">
        <v>106317</v>
      </c>
      <c r="D3539" s="2" t="s">
        <v>51</v>
      </c>
      <c r="E3539" s="15">
        <v>6468</v>
      </c>
      <c r="F3539" s="59">
        <v>42828</v>
      </c>
      <c r="G3539" s="15">
        <f t="shared" si="111"/>
        <v>6468</v>
      </c>
      <c r="H3539" s="15">
        <f t="shared" si="112"/>
        <v>0</v>
      </c>
    </row>
    <row r="3540" spans="1:8" ht="15.75" x14ac:dyDescent="0.25">
      <c r="A3540" s="51">
        <v>42825</v>
      </c>
      <c r="B3540" s="52" t="s">
        <v>11375</v>
      </c>
      <c r="C3540" s="18">
        <v>106318</v>
      </c>
      <c r="D3540" s="2" t="s">
        <v>250</v>
      </c>
      <c r="E3540" s="15">
        <v>4138.8</v>
      </c>
      <c r="F3540" s="59">
        <v>42826</v>
      </c>
      <c r="G3540" s="15">
        <f t="shared" si="111"/>
        <v>4138.8</v>
      </c>
      <c r="H3540" s="15">
        <f t="shared" si="112"/>
        <v>0</v>
      </c>
    </row>
    <row r="3541" spans="1:8" ht="15.75" x14ac:dyDescent="0.25">
      <c r="A3541" s="51">
        <v>42825</v>
      </c>
      <c r="B3541" s="52" t="s">
        <v>11376</v>
      </c>
      <c r="C3541" s="18">
        <v>106319</v>
      </c>
      <c r="D3541" s="2" t="s">
        <v>250</v>
      </c>
      <c r="E3541" s="15">
        <v>1938</v>
      </c>
      <c r="F3541" s="59">
        <v>42826</v>
      </c>
      <c r="G3541" s="15">
        <f t="shared" si="111"/>
        <v>1938</v>
      </c>
      <c r="H3541" s="15">
        <f t="shared" si="112"/>
        <v>0</v>
      </c>
    </row>
    <row r="3542" spans="1:8" ht="15.75" x14ac:dyDescent="0.25">
      <c r="A3542" s="51">
        <v>42825</v>
      </c>
      <c r="B3542" s="52" t="s">
        <v>11377</v>
      </c>
      <c r="C3542" s="18">
        <v>106320</v>
      </c>
      <c r="D3542" s="2" t="s">
        <v>1645</v>
      </c>
      <c r="E3542" s="15">
        <v>2133.8000000000002</v>
      </c>
      <c r="F3542" s="59">
        <v>42825</v>
      </c>
      <c r="G3542" s="15">
        <f t="shared" si="111"/>
        <v>2133.8000000000002</v>
      </c>
      <c r="H3542" s="15">
        <f t="shared" si="112"/>
        <v>0</v>
      </c>
    </row>
    <row r="3543" spans="1:8" ht="15.75" x14ac:dyDescent="0.25">
      <c r="A3543" s="51">
        <v>42825</v>
      </c>
      <c r="B3543" s="52" t="s">
        <v>11378</v>
      </c>
      <c r="C3543" s="18">
        <v>106321</v>
      </c>
      <c r="D3543" s="2" t="s">
        <v>157</v>
      </c>
      <c r="E3543" s="15">
        <v>3181.2</v>
      </c>
      <c r="F3543" s="59">
        <v>42825</v>
      </c>
      <c r="G3543" s="15">
        <f t="shared" si="111"/>
        <v>3181.2</v>
      </c>
      <c r="H3543" s="15">
        <f t="shared" si="112"/>
        <v>0</v>
      </c>
    </row>
    <row r="3544" spans="1:8" ht="15.75" x14ac:dyDescent="0.25">
      <c r="A3544" s="51">
        <v>42825</v>
      </c>
      <c r="B3544" s="52" t="s">
        <v>11379</v>
      </c>
      <c r="C3544" s="18">
        <v>106322</v>
      </c>
      <c r="D3544" s="2" t="s">
        <v>302</v>
      </c>
      <c r="E3544" s="15">
        <v>7555.5</v>
      </c>
      <c r="F3544" s="59">
        <v>42825</v>
      </c>
      <c r="G3544" s="15">
        <f t="shared" si="111"/>
        <v>7555.5</v>
      </c>
      <c r="H3544" s="15">
        <f t="shared" si="112"/>
        <v>0</v>
      </c>
    </row>
    <row r="3545" spans="1:8" ht="15.75" x14ac:dyDescent="0.25">
      <c r="A3545" s="51">
        <v>42825</v>
      </c>
      <c r="B3545" s="52" t="s">
        <v>11380</v>
      </c>
      <c r="C3545" s="18">
        <v>106323</v>
      </c>
      <c r="D3545" s="2" t="s">
        <v>30</v>
      </c>
      <c r="E3545" s="15">
        <v>2951.2</v>
      </c>
      <c r="F3545" s="59">
        <v>42825</v>
      </c>
      <c r="G3545" s="15">
        <f t="shared" si="111"/>
        <v>2951.2</v>
      </c>
      <c r="H3545" s="15">
        <f t="shared" si="112"/>
        <v>0</v>
      </c>
    </row>
    <row r="3546" spans="1:8" ht="15.75" x14ac:dyDescent="0.25">
      <c r="A3546" s="51">
        <v>42825</v>
      </c>
      <c r="B3546" s="52" t="s">
        <v>11381</v>
      </c>
      <c r="C3546" s="18">
        <v>106324</v>
      </c>
      <c r="D3546" s="2" t="s">
        <v>30</v>
      </c>
      <c r="E3546" s="15">
        <v>1352.4</v>
      </c>
      <c r="F3546" s="59">
        <v>42825</v>
      </c>
      <c r="G3546" s="15">
        <f t="shared" si="111"/>
        <v>1352.4</v>
      </c>
      <c r="H3546" s="15">
        <f t="shared" si="112"/>
        <v>0</v>
      </c>
    </row>
    <row r="3547" spans="1:8" ht="15.75" x14ac:dyDescent="0.25">
      <c r="A3547" s="51">
        <v>42825</v>
      </c>
      <c r="B3547" s="52" t="s">
        <v>11382</v>
      </c>
      <c r="C3547" s="18">
        <v>106325</v>
      </c>
      <c r="D3547" s="2" t="s">
        <v>30</v>
      </c>
      <c r="E3547" s="15">
        <v>1768</v>
      </c>
      <c r="F3547" s="59">
        <v>42830</v>
      </c>
      <c r="G3547" s="15">
        <f t="shared" si="111"/>
        <v>1768</v>
      </c>
      <c r="H3547" s="15">
        <f t="shared" si="112"/>
        <v>0</v>
      </c>
    </row>
    <row r="3548" spans="1:8" ht="15.75" x14ac:dyDescent="0.25">
      <c r="A3548" s="51">
        <v>42825</v>
      </c>
      <c r="B3548" s="52" t="s">
        <v>11383</v>
      </c>
      <c r="C3548" s="18">
        <v>106326</v>
      </c>
      <c r="D3548" s="2" t="s">
        <v>442</v>
      </c>
      <c r="E3548" s="15">
        <v>11896.8</v>
      </c>
      <c r="F3548" s="59">
        <v>42832</v>
      </c>
      <c r="G3548" s="15">
        <f t="shared" si="111"/>
        <v>11896.8</v>
      </c>
      <c r="H3548" s="15">
        <f t="shared" si="112"/>
        <v>0</v>
      </c>
    </row>
    <row r="3549" spans="1:8" ht="15.75" x14ac:dyDescent="0.25">
      <c r="A3549" s="51">
        <v>42825</v>
      </c>
      <c r="B3549" s="52" t="s">
        <v>11384</v>
      </c>
      <c r="C3549" s="18">
        <v>106327</v>
      </c>
      <c r="D3549" s="2" t="s">
        <v>30</v>
      </c>
      <c r="E3549" s="15">
        <v>364.3</v>
      </c>
      <c r="F3549" s="59">
        <v>42825</v>
      </c>
      <c r="G3549" s="15">
        <f t="shared" si="111"/>
        <v>364.3</v>
      </c>
      <c r="H3549" s="15">
        <f t="shared" si="112"/>
        <v>0</v>
      </c>
    </row>
    <row r="3550" spans="1:8" ht="15.75" x14ac:dyDescent="0.25">
      <c r="A3550" s="51">
        <v>42825</v>
      </c>
      <c r="B3550" s="52" t="s">
        <v>11385</v>
      </c>
      <c r="C3550" s="18">
        <v>106328</v>
      </c>
      <c r="D3550" s="2" t="s">
        <v>1666</v>
      </c>
      <c r="E3550" s="15">
        <v>14583.1</v>
      </c>
      <c r="F3550" s="59">
        <v>42830</v>
      </c>
      <c r="G3550" s="15">
        <f t="shared" si="111"/>
        <v>14583.1</v>
      </c>
      <c r="H3550" s="15">
        <f t="shared" si="112"/>
        <v>0</v>
      </c>
    </row>
    <row r="3551" spans="1:8" ht="15.75" x14ac:dyDescent="0.25">
      <c r="A3551" s="51">
        <v>42825</v>
      </c>
      <c r="B3551" s="52" t="s">
        <v>11386</v>
      </c>
      <c r="C3551" s="18">
        <v>106329</v>
      </c>
      <c r="D3551" s="2" t="s">
        <v>435</v>
      </c>
      <c r="E3551" s="15">
        <v>15995.1</v>
      </c>
      <c r="F3551" s="59">
        <v>42830</v>
      </c>
      <c r="G3551" s="15">
        <f t="shared" si="111"/>
        <v>15995.1</v>
      </c>
      <c r="H3551" s="15">
        <f t="shared" si="112"/>
        <v>0</v>
      </c>
    </row>
    <row r="3552" spans="1:8" ht="15.75" x14ac:dyDescent="0.25">
      <c r="A3552" s="51">
        <v>42825</v>
      </c>
      <c r="B3552" s="52" t="s">
        <v>11387</v>
      </c>
      <c r="C3552" s="18">
        <v>106330</v>
      </c>
      <c r="D3552" s="2" t="s">
        <v>268</v>
      </c>
      <c r="E3552" s="15">
        <v>14163.6</v>
      </c>
      <c r="F3552" s="59">
        <v>42830</v>
      </c>
      <c r="G3552" s="15">
        <f t="shared" si="111"/>
        <v>14163.6</v>
      </c>
      <c r="H3552" s="15">
        <f t="shared" si="112"/>
        <v>0</v>
      </c>
    </row>
    <row r="3553" spans="1:8" ht="15.75" x14ac:dyDescent="0.25">
      <c r="A3553" s="51">
        <v>42825</v>
      </c>
      <c r="B3553" s="52" t="s">
        <v>11388</v>
      </c>
      <c r="C3553" s="18">
        <v>106331</v>
      </c>
      <c r="D3553" s="2" t="s">
        <v>590</v>
      </c>
      <c r="E3553" s="15">
        <v>14028.3</v>
      </c>
      <c r="F3553" s="59">
        <v>42830</v>
      </c>
      <c r="G3553" s="15">
        <f t="shared" si="111"/>
        <v>14028.3</v>
      </c>
      <c r="H3553" s="15">
        <f t="shared" si="112"/>
        <v>0</v>
      </c>
    </row>
    <row r="3554" spans="1:8" ht="15.75" x14ac:dyDescent="0.25">
      <c r="A3554" s="51">
        <v>42825</v>
      </c>
      <c r="B3554" s="52" t="s">
        <v>11389</v>
      </c>
      <c r="C3554" s="18">
        <v>106332</v>
      </c>
      <c r="D3554" s="2" t="s">
        <v>79</v>
      </c>
      <c r="E3554" s="15">
        <v>3812.2</v>
      </c>
      <c r="F3554" s="59">
        <v>42825</v>
      </c>
      <c r="G3554" s="15">
        <f t="shared" si="111"/>
        <v>3812.2</v>
      </c>
      <c r="H3554" s="15">
        <f t="shared" si="112"/>
        <v>0</v>
      </c>
    </row>
    <row r="3555" spans="1:8" ht="15.75" x14ac:dyDescent="0.25">
      <c r="A3555" s="51">
        <v>42825</v>
      </c>
      <c r="B3555" s="52" t="s">
        <v>11390</v>
      </c>
      <c r="C3555" s="18">
        <v>106333</v>
      </c>
      <c r="D3555" s="2" t="s">
        <v>414</v>
      </c>
      <c r="E3555" s="15">
        <v>2346.4</v>
      </c>
      <c r="F3555" s="59">
        <v>42825</v>
      </c>
      <c r="G3555" s="15">
        <f t="shared" si="111"/>
        <v>2346.4</v>
      </c>
      <c r="H3555" s="15">
        <f t="shared" si="112"/>
        <v>0</v>
      </c>
    </row>
    <row r="3556" spans="1:8" ht="15.75" x14ac:dyDescent="0.25">
      <c r="A3556" s="51">
        <v>42825</v>
      </c>
      <c r="B3556" s="52" t="s">
        <v>11391</v>
      </c>
      <c r="C3556" s="18">
        <v>106334</v>
      </c>
      <c r="D3556" s="2" t="s">
        <v>270</v>
      </c>
      <c r="E3556" s="15">
        <v>21097.599999999999</v>
      </c>
      <c r="F3556" s="59">
        <v>42830</v>
      </c>
      <c r="G3556" s="15">
        <f t="shared" si="111"/>
        <v>21097.599999999999</v>
      </c>
      <c r="H3556" s="15">
        <f t="shared" si="112"/>
        <v>0</v>
      </c>
    </row>
    <row r="3557" spans="1:8" ht="15.75" x14ac:dyDescent="0.25">
      <c r="A3557" s="51">
        <v>42825</v>
      </c>
      <c r="B3557" s="52" t="s">
        <v>11392</v>
      </c>
      <c r="C3557" s="18">
        <v>106335</v>
      </c>
      <c r="D3557" s="2" t="s">
        <v>272</v>
      </c>
      <c r="E3557" s="15">
        <v>4632.3</v>
      </c>
      <c r="F3557" s="59">
        <v>42830</v>
      </c>
      <c r="G3557" s="15">
        <f t="shared" si="111"/>
        <v>4632.3</v>
      </c>
      <c r="H3557" s="15">
        <f t="shared" si="112"/>
        <v>0</v>
      </c>
    </row>
    <row r="3558" spans="1:8" ht="15.75" x14ac:dyDescent="0.25">
      <c r="A3558" s="51">
        <v>42825</v>
      </c>
      <c r="B3558" s="52" t="s">
        <v>11393</v>
      </c>
      <c r="C3558" s="18">
        <v>106336</v>
      </c>
      <c r="D3558" s="2" t="s">
        <v>240</v>
      </c>
      <c r="E3558" s="15">
        <v>9297</v>
      </c>
      <c r="F3558" s="59">
        <v>42825</v>
      </c>
      <c r="G3558" s="15">
        <f t="shared" si="111"/>
        <v>9297</v>
      </c>
      <c r="H3558" s="15">
        <f t="shared" si="112"/>
        <v>0</v>
      </c>
    </row>
    <row r="3559" spans="1:8" ht="15.75" x14ac:dyDescent="0.25">
      <c r="A3559" s="51">
        <v>42825</v>
      </c>
      <c r="B3559" s="52" t="s">
        <v>11394</v>
      </c>
      <c r="C3559" s="18">
        <v>106337</v>
      </c>
      <c r="D3559" s="2" t="s">
        <v>71</v>
      </c>
      <c r="E3559" s="15">
        <v>4072.5</v>
      </c>
      <c r="F3559" s="59">
        <v>42825</v>
      </c>
      <c r="G3559" s="15">
        <f t="shared" si="111"/>
        <v>4072.5</v>
      </c>
      <c r="H3559" s="15">
        <f t="shared" si="112"/>
        <v>0</v>
      </c>
    </row>
    <row r="3560" spans="1:8" ht="15.75" x14ac:dyDescent="0.25">
      <c r="A3560" s="51">
        <v>42825</v>
      </c>
      <c r="B3560" s="52" t="s">
        <v>11395</v>
      </c>
      <c r="C3560" s="18">
        <v>106338</v>
      </c>
      <c r="D3560" s="2" t="s">
        <v>268</v>
      </c>
      <c r="E3560" s="15">
        <v>3920.2</v>
      </c>
      <c r="F3560" s="59">
        <v>42830</v>
      </c>
      <c r="G3560" s="15">
        <f t="shared" si="111"/>
        <v>3920.2</v>
      </c>
      <c r="H3560" s="15">
        <f t="shared" si="112"/>
        <v>0</v>
      </c>
    </row>
    <row r="3561" spans="1:8" ht="15.75" x14ac:dyDescent="0.25">
      <c r="A3561" s="51">
        <v>42825</v>
      </c>
      <c r="B3561" s="52" t="s">
        <v>11396</v>
      </c>
      <c r="C3561" s="18">
        <v>106339</v>
      </c>
      <c r="D3561" s="2" t="s">
        <v>1090</v>
      </c>
      <c r="E3561" s="15">
        <v>11818.7</v>
      </c>
      <c r="F3561" s="59">
        <v>42825</v>
      </c>
      <c r="G3561" s="15">
        <f t="shared" si="111"/>
        <v>11818.7</v>
      </c>
      <c r="H3561" s="15">
        <f t="shared" si="112"/>
        <v>0</v>
      </c>
    </row>
    <row r="3562" spans="1:8" ht="15.75" x14ac:dyDescent="0.25">
      <c r="A3562" s="51">
        <v>42825</v>
      </c>
      <c r="B3562" s="52" t="s">
        <v>11397</v>
      </c>
      <c r="C3562" s="18">
        <v>106340</v>
      </c>
      <c r="D3562" s="2" t="s">
        <v>30</v>
      </c>
      <c r="E3562" s="15">
        <v>4738.8</v>
      </c>
      <c r="F3562" s="59">
        <v>42825</v>
      </c>
      <c r="G3562" s="15">
        <f t="shared" si="111"/>
        <v>4738.8</v>
      </c>
      <c r="H3562" s="15">
        <f t="shared" si="112"/>
        <v>0</v>
      </c>
    </row>
    <row r="3563" spans="1:8" ht="15.75" x14ac:dyDescent="0.25">
      <c r="A3563" s="51">
        <v>42825</v>
      </c>
      <c r="B3563" s="52" t="s">
        <v>11398</v>
      </c>
      <c r="C3563" s="18">
        <v>106341</v>
      </c>
      <c r="D3563" s="2" t="s">
        <v>331</v>
      </c>
      <c r="E3563" s="15">
        <v>1912.2</v>
      </c>
      <c r="F3563" s="59">
        <v>42825</v>
      </c>
      <c r="G3563" s="15">
        <f t="shared" si="111"/>
        <v>1912.2</v>
      </c>
      <c r="H3563" s="15">
        <f t="shared" si="112"/>
        <v>0</v>
      </c>
    </row>
    <row r="3564" spans="1:8" ht="15.75" x14ac:dyDescent="0.25">
      <c r="A3564" s="51">
        <v>42825</v>
      </c>
      <c r="B3564" s="52" t="s">
        <v>11399</v>
      </c>
      <c r="C3564" s="18">
        <v>106342</v>
      </c>
      <c r="D3564" s="2" t="s">
        <v>101</v>
      </c>
      <c r="E3564" s="15">
        <v>1890</v>
      </c>
      <c r="F3564" s="59">
        <v>42825</v>
      </c>
      <c r="G3564" s="15">
        <f t="shared" si="111"/>
        <v>1890</v>
      </c>
      <c r="H3564" s="15">
        <f t="shared" si="112"/>
        <v>0</v>
      </c>
    </row>
    <row r="3565" spans="1:8" ht="15.75" x14ac:dyDescent="0.25">
      <c r="A3565" s="51">
        <v>42825</v>
      </c>
      <c r="B3565" s="52" t="s">
        <v>11400</v>
      </c>
      <c r="C3565" s="18">
        <v>106343</v>
      </c>
      <c r="D3565" s="2" t="s">
        <v>99</v>
      </c>
      <c r="E3565" s="15">
        <v>1800</v>
      </c>
      <c r="F3565" s="59">
        <v>42825</v>
      </c>
      <c r="G3565" s="15">
        <f t="shared" si="111"/>
        <v>1800</v>
      </c>
      <c r="H3565" s="15">
        <f t="shared" si="112"/>
        <v>0</v>
      </c>
    </row>
    <row r="3566" spans="1:8" ht="15.75" x14ac:dyDescent="0.25">
      <c r="A3566" s="51">
        <v>42825</v>
      </c>
      <c r="B3566" s="52" t="s">
        <v>11401</v>
      </c>
      <c r="C3566" s="18">
        <v>106344</v>
      </c>
      <c r="D3566" s="2" t="s">
        <v>122</v>
      </c>
      <c r="E3566" s="15">
        <v>30358</v>
      </c>
      <c r="F3566" s="59">
        <v>42837</v>
      </c>
      <c r="G3566" s="15">
        <f t="shared" si="111"/>
        <v>30358</v>
      </c>
      <c r="H3566" s="15">
        <f t="shared" si="112"/>
        <v>0</v>
      </c>
    </row>
    <row r="3567" spans="1:8" ht="15.75" x14ac:dyDescent="0.25">
      <c r="A3567" s="51">
        <v>42825</v>
      </c>
      <c r="B3567" s="52" t="s">
        <v>11402</v>
      </c>
      <c r="C3567" s="18">
        <v>106345</v>
      </c>
      <c r="D3567" s="2" t="s">
        <v>99</v>
      </c>
      <c r="E3567" s="15">
        <v>450</v>
      </c>
      <c r="F3567" s="59">
        <v>42825</v>
      </c>
      <c r="G3567" s="15">
        <f t="shared" si="111"/>
        <v>450</v>
      </c>
      <c r="H3567" s="15">
        <f t="shared" si="112"/>
        <v>0</v>
      </c>
    </row>
    <row r="3568" spans="1:8" ht="15.75" x14ac:dyDescent="0.25">
      <c r="A3568" s="51">
        <v>42825</v>
      </c>
      <c r="B3568" s="52" t="s">
        <v>11403</v>
      </c>
      <c r="C3568" s="18">
        <v>106346</v>
      </c>
      <c r="D3568" s="2" t="s">
        <v>281</v>
      </c>
      <c r="E3568" s="15">
        <v>3408.5</v>
      </c>
      <c r="F3568" s="59">
        <v>42825</v>
      </c>
      <c r="G3568" s="15">
        <f t="shared" si="111"/>
        <v>3408.5</v>
      </c>
      <c r="H3568" s="15">
        <f t="shared" si="112"/>
        <v>0</v>
      </c>
    </row>
    <row r="3569" spans="1:8" ht="15.75" x14ac:dyDescent="0.25">
      <c r="A3569" s="51">
        <v>42825</v>
      </c>
      <c r="B3569" s="52" t="s">
        <v>11404</v>
      </c>
      <c r="C3569" s="18">
        <v>106347</v>
      </c>
      <c r="D3569" s="2" t="s">
        <v>293</v>
      </c>
      <c r="E3569" s="15">
        <v>1127.8</v>
      </c>
      <c r="F3569" s="59">
        <v>42826</v>
      </c>
      <c r="G3569" s="15">
        <f t="shared" si="111"/>
        <v>1127.8</v>
      </c>
      <c r="H3569" s="15">
        <f t="shared" si="112"/>
        <v>0</v>
      </c>
    </row>
    <row r="3570" spans="1:8" ht="15.75" x14ac:dyDescent="0.25">
      <c r="A3570" s="51">
        <v>42825</v>
      </c>
      <c r="B3570" s="52" t="s">
        <v>11405</v>
      </c>
      <c r="C3570" s="18">
        <v>106348</v>
      </c>
      <c r="D3570" s="2" t="s">
        <v>1081</v>
      </c>
      <c r="E3570" s="15">
        <v>385</v>
      </c>
      <c r="F3570" s="59">
        <v>42825</v>
      </c>
      <c r="G3570" s="15">
        <f t="shared" si="111"/>
        <v>385</v>
      </c>
      <c r="H3570" s="15">
        <f t="shared" si="112"/>
        <v>0</v>
      </c>
    </row>
    <row r="3571" spans="1:8" ht="15.75" x14ac:dyDescent="0.25">
      <c r="A3571" s="51">
        <v>42825</v>
      </c>
      <c r="B3571" s="52" t="s">
        <v>11406</v>
      </c>
      <c r="C3571" s="18">
        <v>106349</v>
      </c>
      <c r="D3571" s="2" t="s">
        <v>122</v>
      </c>
      <c r="E3571" s="15">
        <v>3920</v>
      </c>
      <c r="F3571" s="59">
        <v>42829</v>
      </c>
      <c r="G3571" s="15">
        <f t="shared" si="111"/>
        <v>3920</v>
      </c>
      <c r="H3571" s="15">
        <f t="shared" si="112"/>
        <v>0</v>
      </c>
    </row>
    <row r="3572" spans="1:8" ht="15.75" x14ac:dyDescent="0.25">
      <c r="A3572" s="51">
        <v>42825</v>
      </c>
      <c r="B3572" s="52" t="s">
        <v>11407</v>
      </c>
      <c r="C3572" s="18">
        <v>106350</v>
      </c>
      <c r="D3572" s="2" t="s">
        <v>208</v>
      </c>
      <c r="E3572" s="15">
        <v>3978</v>
      </c>
      <c r="F3572" s="59">
        <v>42825</v>
      </c>
      <c r="G3572" s="15">
        <f t="shared" si="111"/>
        <v>3978</v>
      </c>
      <c r="H3572" s="15">
        <f t="shared" si="112"/>
        <v>0</v>
      </c>
    </row>
    <row r="3573" spans="1:8" ht="15.75" x14ac:dyDescent="0.25">
      <c r="A3573" s="51">
        <v>42825</v>
      </c>
      <c r="B3573" s="52" t="s">
        <v>11408</v>
      </c>
      <c r="C3573" s="18">
        <v>106351</v>
      </c>
      <c r="D3573" s="2" t="s">
        <v>105</v>
      </c>
      <c r="E3573" s="15">
        <v>3118.4</v>
      </c>
      <c r="F3573" s="59">
        <v>42828</v>
      </c>
      <c r="G3573" s="15">
        <f t="shared" si="111"/>
        <v>3118.4</v>
      </c>
      <c r="H3573" s="15">
        <f t="shared" si="112"/>
        <v>0</v>
      </c>
    </row>
    <row r="3574" spans="1:8" ht="15.75" x14ac:dyDescent="0.25">
      <c r="A3574" s="51">
        <v>42825</v>
      </c>
      <c r="B3574" s="52" t="s">
        <v>11409</v>
      </c>
      <c r="C3574" s="18">
        <v>106352</v>
      </c>
      <c r="D3574" s="13" t="s">
        <v>866</v>
      </c>
      <c r="E3574" s="14">
        <v>0</v>
      </c>
      <c r="F3574" s="102" t="s">
        <v>95</v>
      </c>
      <c r="G3574" s="14">
        <f t="shared" si="111"/>
        <v>0</v>
      </c>
      <c r="H3574" s="14">
        <f t="shared" si="112"/>
        <v>0</v>
      </c>
    </row>
    <row r="3575" spans="1:8" ht="15.75" x14ac:dyDescent="0.25">
      <c r="A3575" s="51">
        <v>42825</v>
      </c>
      <c r="B3575" s="52" t="s">
        <v>11410</v>
      </c>
      <c r="C3575" s="18">
        <v>106353</v>
      </c>
      <c r="D3575" s="2" t="s">
        <v>139</v>
      </c>
      <c r="E3575" s="15">
        <v>849.6</v>
      </c>
      <c r="F3575" s="59">
        <v>42825</v>
      </c>
      <c r="G3575" s="15">
        <f t="shared" si="111"/>
        <v>849.6</v>
      </c>
      <c r="H3575" s="15">
        <f t="shared" si="112"/>
        <v>0</v>
      </c>
    </row>
    <row r="3576" spans="1:8" ht="15.75" x14ac:dyDescent="0.25">
      <c r="A3576" s="51">
        <v>42825</v>
      </c>
      <c r="B3576" s="52" t="s">
        <v>11411</v>
      </c>
      <c r="C3576" s="18">
        <v>106354</v>
      </c>
      <c r="D3576" s="2" t="s">
        <v>103</v>
      </c>
      <c r="E3576" s="15">
        <v>2975.4</v>
      </c>
      <c r="F3576" s="59">
        <v>42828</v>
      </c>
      <c r="G3576" s="15">
        <f t="shared" si="111"/>
        <v>2975.4</v>
      </c>
      <c r="H3576" s="15">
        <f t="shared" si="112"/>
        <v>0</v>
      </c>
    </row>
    <row r="3577" spans="1:8" ht="15.75" x14ac:dyDescent="0.25">
      <c r="A3577" s="51">
        <v>42825</v>
      </c>
      <c r="B3577" s="52" t="s">
        <v>11412</v>
      </c>
      <c r="C3577" s="18">
        <v>106355</v>
      </c>
      <c r="D3577" s="2" t="s">
        <v>866</v>
      </c>
      <c r="E3577" s="15">
        <v>5826.9</v>
      </c>
      <c r="F3577" s="59">
        <v>42825</v>
      </c>
      <c r="G3577" s="15">
        <f t="shared" si="111"/>
        <v>5826.9</v>
      </c>
      <c r="H3577" s="15">
        <f t="shared" si="112"/>
        <v>0</v>
      </c>
    </row>
    <row r="3578" spans="1:8" ht="15.75" x14ac:dyDescent="0.25">
      <c r="A3578" s="51">
        <v>42825</v>
      </c>
      <c r="B3578" s="52" t="s">
        <v>11413</v>
      </c>
      <c r="C3578" s="18">
        <v>106356</v>
      </c>
      <c r="D3578" s="2" t="s">
        <v>866</v>
      </c>
      <c r="E3578" s="15">
        <v>392</v>
      </c>
      <c r="F3578" s="59">
        <v>42825</v>
      </c>
      <c r="G3578" s="15">
        <f t="shared" si="111"/>
        <v>392</v>
      </c>
      <c r="H3578" s="15">
        <f t="shared" si="112"/>
        <v>0</v>
      </c>
    </row>
    <row r="3579" spans="1:8" ht="15.75" x14ac:dyDescent="0.25">
      <c r="A3579" s="51">
        <v>42825</v>
      </c>
      <c r="B3579" s="52" t="s">
        <v>11414</v>
      </c>
      <c r="C3579" s="18">
        <v>106357</v>
      </c>
      <c r="D3579" s="2" t="s">
        <v>120</v>
      </c>
      <c r="E3579" s="15">
        <v>2430.8000000000002</v>
      </c>
      <c r="F3579" s="59">
        <v>42825</v>
      </c>
      <c r="G3579" s="15">
        <f t="shared" si="111"/>
        <v>2430.8000000000002</v>
      </c>
      <c r="H3579" s="15">
        <f t="shared" si="112"/>
        <v>0</v>
      </c>
    </row>
    <row r="3580" spans="1:8" ht="15.75" x14ac:dyDescent="0.25">
      <c r="A3580" s="51">
        <v>42825</v>
      </c>
      <c r="B3580" s="52" t="s">
        <v>11415</v>
      </c>
      <c r="C3580" s="18">
        <v>106358</v>
      </c>
      <c r="D3580" s="2" t="s">
        <v>131</v>
      </c>
      <c r="E3580" s="15">
        <v>8312.6</v>
      </c>
      <c r="F3580" s="59">
        <v>42825</v>
      </c>
      <c r="G3580" s="15">
        <f t="shared" si="111"/>
        <v>8312.6</v>
      </c>
      <c r="H3580" s="15">
        <f t="shared" si="112"/>
        <v>0</v>
      </c>
    </row>
    <row r="3581" spans="1:8" ht="15.75" x14ac:dyDescent="0.25">
      <c r="A3581" s="51">
        <v>42825</v>
      </c>
      <c r="B3581" s="52" t="s">
        <v>11416</v>
      </c>
      <c r="C3581" s="18">
        <v>106359</v>
      </c>
      <c r="D3581" s="2" t="s">
        <v>125</v>
      </c>
      <c r="E3581" s="15">
        <v>8234.7999999999993</v>
      </c>
      <c r="F3581" s="59">
        <v>42825</v>
      </c>
      <c r="G3581" s="15">
        <f t="shared" si="111"/>
        <v>8234.7999999999993</v>
      </c>
      <c r="H3581" s="15">
        <f t="shared" si="112"/>
        <v>0</v>
      </c>
    </row>
    <row r="3582" spans="1:8" ht="15.75" x14ac:dyDescent="0.25">
      <c r="A3582" s="51">
        <v>42825</v>
      </c>
      <c r="B3582" s="52" t="s">
        <v>11417</v>
      </c>
      <c r="C3582" s="18">
        <v>106360</v>
      </c>
      <c r="D3582" s="2" t="s">
        <v>1256</v>
      </c>
      <c r="E3582" s="15">
        <v>1495.2</v>
      </c>
      <c r="F3582" s="59">
        <v>42825</v>
      </c>
      <c r="G3582" s="15">
        <f t="shared" si="111"/>
        <v>1495.2</v>
      </c>
      <c r="H3582" s="15">
        <f t="shared" si="112"/>
        <v>0</v>
      </c>
    </row>
    <row r="3583" spans="1:8" ht="15.75" x14ac:dyDescent="0.25">
      <c r="A3583" s="51">
        <v>42825</v>
      </c>
      <c r="B3583" s="52" t="s">
        <v>11418</v>
      </c>
      <c r="C3583" s="18">
        <v>106361</v>
      </c>
      <c r="D3583" s="2" t="s">
        <v>81</v>
      </c>
      <c r="E3583" s="15">
        <v>3145.1</v>
      </c>
      <c r="F3583" s="59">
        <v>42826</v>
      </c>
      <c r="G3583" s="15">
        <f t="shared" si="111"/>
        <v>3145.1</v>
      </c>
      <c r="H3583" s="15">
        <f t="shared" si="112"/>
        <v>0</v>
      </c>
    </row>
    <row r="3584" spans="1:8" ht="15.75" x14ac:dyDescent="0.25">
      <c r="A3584" s="51">
        <v>42825</v>
      </c>
      <c r="B3584" s="52" t="s">
        <v>11419</v>
      </c>
      <c r="C3584" s="18">
        <v>106362</v>
      </c>
      <c r="D3584" s="2" t="s">
        <v>291</v>
      </c>
      <c r="E3584" s="15">
        <v>2209</v>
      </c>
      <c r="F3584" s="59">
        <v>42825</v>
      </c>
      <c r="G3584" s="15">
        <f t="shared" si="111"/>
        <v>2209</v>
      </c>
      <c r="H3584" s="15">
        <f t="shared" si="112"/>
        <v>0</v>
      </c>
    </row>
    <row r="3585" spans="1:8" ht="15.75" x14ac:dyDescent="0.25">
      <c r="A3585" s="51">
        <v>42825</v>
      </c>
      <c r="B3585" s="52" t="s">
        <v>11420</v>
      </c>
      <c r="C3585" s="18">
        <v>106363</v>
      </c>
      <c r="D3585" s="2" t="s">
        <v>613</v>
      </c>
      <c r="E3585" s="15">
        <v>2500.4</v>
      </c>
      <c r="F3585" s="59">
        <v>42825</v>
      </c>
      <c r="G3585" s="15">
        <f t="shared" si="111"/>
        <v>2500.4</v>
      </c>
      <c r="H3585" s="15">
        <f t="shared" si="112"/>
        <v>0</v>
      </c>
    </row>
    <row r="3586" spans="1:8" ht="15.75" x14ac:dyDescent="0.25">
      <c r="A3586" s="51">
        <v>42825</v>
      </c>
      <c r="B3586" s="52" t="s">
        <v>11421</v>
      </c>
      <c r="C3586" s="18">
        <v>106364</v>
      </c>
      <c r="D3586" s="2" t="s">
        <v>83</v>
      </c>
      <c r="E3586" s="15">
        <v>4925.6000000000004</v>
      </c>
      <c r="F3586" s="59">
        <v>42825</v>
      </c>
      <c r="G3586" s="15">
        <f t="shared" si="111"/>
        <v>4925.6000000000004</v>
      </c>
      <c r="H3586" s="15">
        <f t="shared" si="112"/>
        <v>0</v>
      </c>
    </row>
    <row r="3587" spans="1:8" ht="15.75" x14ac:dyDescent="0.25">
      <c r="A3587" s="51">
        <v>42825</v>
      </c>
      <c r="B3587" s="52" t="s">
        <v>11422</v>
      </c>
      <c r="C3587" s="18">
        <v>106365</v>
      </c>
      <c r="D3587" s="2" t="s">
        <v>1259</v>
      </c>
      <c r="E3587" s="15">
        <v>2691</v>
      </c>
      <c r="F3587" s="59">
        <v>42825</v>
      </c>
      <c r="G3587" s="15">
        <f t="shared" si="111"/>
        <v>2691</v>
      </c>
      <c r="H3587" s="15">
        <f t="shared" si="112"/>
        <v>0</v>
      </c>
    </row>
    <row r="3588" spans="1:8" ht="15.75" x14ac:dyDescent="0.25">
      <c r="A3588" s="51">
        <v>42825</v>
      </c>
      <c r="B3588" s="52" t="s">
        <v>11423</v>
      </c>
      <c r="C3588" s="18">
        <v>106366</v>
      </c>
      <c r="D3588" s="2" t="s">
        <v>448</v>
      </c>
      <c r="E3588" s="15">
        <v>316.39999999999998</v>
      </c>
      <c r="F3588" s="59">
        <v>42825</v>
      </c>
      <c r="G3588" s="15">
        <f t="shared" ref="G3588:G3651" si="113">E3588</f>
        <v>316.39999999999998</v>
      </c>
      <c r="H3588" s="15">
        <f t="shared" ref="H3588:H3651" si="114">E3588-G3588</f>
        <v>0</v>
      </c>
    </row>
    <row r="3589" spans="1:8" ht="15.75" x14ac:dyDescent="0.25">
      <c r="A3589" s="51">
        <v>42825</v>
      </c>
      <c r="B3589" s="52" t="s">
        <v>11424</v>
      </c>
      <c r="C3589" s="18">
        <v>106367</v>
      </c>
      <c r="D3589" s="2" t="s">
        <v>2392</v>
      </c>
      <c r="E3589" s="15">
        <v>1985.5</v>
      </c>
      <c r="F3589" s="59">
        <v>42825</v>
      </c>
      <c r="G3589" s="15">
        <f t="shared" si="113"/>
        <v>1985.5</v>
      </c>
      <c r="H3589" s="15">
        <f t="shared" si="114"/>
        <v>0</v>
      </c>
    </row>
    <row r="3590" spans="1:8" ht="15.75" x14ac:dyDescent="0.25">
      <c r="A3590" s="51">
        <v>42825</v>
      </c>
      <c r="B3590" s="52" t="s">
        <v>11425</v>
      </c>
      <c r="C3590" s="18">
        <v>106368</v>
      </c>
      <c r="D3590" s="2" t="s">
        <v>88</v>
      </c>
      <c r="E3590" s="15">
        <v>6264</v>
      </c>
      <c r="F3590" s="59">
        <v>42825</v>
      </c>
      <c r="G3590" s="15">
        <f t="shared" si="113"/>
        <v>6264</v>
      </c>
      <c r="H3590" s="15">
        <f t="shared" si="114"/>
        <v>0</v>
      </c>
    </row>
    <row r="3591" spans="1:8" ht="15.75" x14ac:dyDescent="0.25">
      <c r="A3591" s="51">
        <v>42825</v>
      </c>
      <c r="B3591" s="52" t="s">
        <v>11426</v>
      </c>
      <c r="C3591" s="18">
        <v>106369</v>
      </c>
      <c r="D3591" s="2" t="s">
        <v>92</v>
      </c>
      <c r="E3591" s="15">
        <v>2534.6</v>
      </c>
      <c r="F3591" s="59">
        <v>42825</v>
      </c>
      <c r="G3591" s="15">
        <f t="shared" si="113"/>
        <v>2534.6</v>
      </c>
      <c r="H3591" s="15">
        <f t="shared" si="114"/>
        <v>0</v>
      </c>
    </row>
    <row r="3592" spans="1:8" ht="15.75" x14ac:dyDescent="0.25">
      <c r="A3592" s="51">
        <v>42825</v>
      </c>
      <c r="B3592" s="52" t="s">
        <v>11427</v>
      </c>
      <c r="C3592" s="18">
        <v>106370</v>
      </c>
      <c r="D3592" s="2" t="s">
        <v>1989</v>
      </c>
      <c r="E3592" s="15">
        <v>2719.6</v>
      </c>
      <c r="F3592" s="59">
        <v>42825</v>
      </c>
      <c r="G3592" s="15">
        <f t="shared" si="113"/>
        <v>2719.6</v>
      </c>
      <c r="H3592" s="15">
        <f t="shared" si="114"/>
        <v>0</v>
      </c>
    </row>
    <row r="3593" spans="1:8" ht="15.75" x14ac:dyDescent="0.25">
      <c r="A3593" s="51">
        <v>42825</v>
      </c>
      <c r="B3593" s="52" t="s">
        <v>11428</v>
      </c>
      <c r="C3593" s="18">
        <v>106371</v>
      </c>
      <c r="D3593" s="2" t="s">
        <v>305</v>
      </c>
      <c r="E3593" s="15">
        <v>779.4</v>
      </c>
      <c r="F3593" s="59">
        <v>42829</v>
      </c>
      <c r="G3593" s="15">
        <f t="shared" si="113"/>
        <v>779.4</v>
      </c>
      <c r="H3593" s="15">
        <f t="shared" si="114"/>
        <v>0</v>
      </c>
    </row>
    <row r="3594" spans="1:8" ht="15.75" x14ac:dyDescent="0.25">
      <c r="A3594" s="51">
        <v>42825</v>
      </c>
      <c r="B3594" s="52" t="s">
        <v>11429</v>
      </c>
      <c r="C3594" s="18">
        <v>106372</v>
      </c>
      <c r="D3594" s="13" t="s">
        <v>30</v>
      </c>
      <c r="E3594" s="14">
        <v>0</v>
      </c>
      <c r="F3594" s="102" t="s">
        <v>95</v>
      </c>
      <c r="G3594" s="14">
        <f t="shared" si="113"/>
        <v>0</v>
      </c>
      <c r="H3594" s="14">
        <f t="shared" si="114"/>
        <v>0</v>
      </c>
    </row>
    <row r="3595" spans="1:8" ht="15.75" x14ac:dyDescent="0.25">
      <c r="A3595" s="51">
        <v>42825</v>
      </c>
      <c r="B3595" s="52" t="s">
        <v>11430</v>
      </c>
      <c r="C3595" s="18">
        <v>106373</v>
      </c>
      <c r="D3595" s="2" t="s">
        <v>109</v>
      </c>
      <c r="E3595" s="15">
        <v>5213.6000000000004</v>
      </c>
      <c r="F3595" s="59">
        <v>42825</v>
      </c>
      <c r="G3595" s="15">
        <f t="shared" si="113"/>
        <v>5213.6000000000004</v>
      </c>
      <c r="H3595" s="15">
        <f t="shared" si="114"/>
        <v>0</v>
      </c>
    </row>
    <row r="3596" spans="1:8" ht="15.75" x14ac:dyDescent="0.25">
      <c r="A3596" s="51">
        <v>42825</v>
      </c>
      <c r="B3596" s="52" t="s">
        <v>11431</v>
      </c>
      <c r="C3596" s="18">
        <v>106374</v>
      </c>
      <c r="D3596" s="2" t="s">
        <v>476</v>
      </c>
      <c r="E3596" s="15">
        <v>9088.5</v>
      </c>
      <c r="F3596" s="59">
        <v>42829</v>
      </c>
      <c r="G3596" s="15">
        <f t="shared" si="113"/>
        <v>9088.5</v>
      </c>
      <c r="H3596" s="15">
        <f t="shared" si="114"/>
        <v>0</v>
      </c>
    </row>
    <row r="3597" spans="1:8" ht="15.75" x14ac:dyDescent="0.25">
      <c r="A3597" s="51">
        <v>42825</v>
      </c>
      <c r="B3597" s="52" t="s">
        <v>11432</v>
      </c>
      <c r="C3597" s="18">
        <v>106375</v>
      </c>
      <c r="D3597" s="2" t="s">
        <v>30</v>
      </c>
      <c r="E3597" s="15">
        <v>5042.5200000000004</v>
      </c>
      <c r="F3597" s="59">
        <v>42825</v>
      </c>
      <c r="G3597" s="15">
        <f t="shared" si="113"/>
        <v>5042.5200000000004</v>
      </c>
      <c r="H3597" s="15">
        <f t="shared" si="114"/>
        <v>0</v>
      </c>
    </row>
    <row r="3598" spans="1:8" ht="15.75" x14ac:dyDescent="0.25">
      <c r="A3598" s="51">
        <v>42825</v>
      </c>
      <c r="B3598" s="52" t="s">
        <v>11433</v>
      </c>
      <c r="C3598" s="18">
        <v>106376</v>
      </c>
      <c r="D3598" s="2" t="s">
        <v>53</v>
      </c>
      <c r="E3598" s="15">
        <v>2970</v>
      </c>
      <c r="F3598" s="59">
        <v>42825</v>
      </c>
      <c r="G3598" s="15">
        <f t="shared" si="113"/>
        <v>2970</v>
      </c>
      <c r="H3598" s="15">
        <f t="shared" si="114"/>
        <v>0</v>
      </c>
    </row>
    <row r="3599" spans="1:8" ht="15.75" x14ac:dyDescent="0.25">
      <c r="A3599" s="51">
        <v>42825</v>
      </c>
      <c r="B3599" s="52" t="s">
        <v>11434</v>
      </c>
      <c r="C3599" s="18">
        <v>106377</v>
      </c>
      <c r="D3599" s="2" t="s">
        <v>61</v>
      </c>
      <c r="E3599" s="15">
        <v>11099.1</v>
      </c>
      <c r="F3599" s="59">
        <v>42825</v>
      </c>
      <c r="G3599" s="15">
        <f t="shared" si="113"/>
        <v>11099.1</v>
      </c>
      <c r="H3599" s="15">
        <f t="shared" si="114"/>
        <v>0</v>
      </c>
    </row>
    <row r="3600" spans="1:8" ht="15.75" x14ac:dyDescent="0.25">
      <c r="A3600" s="51">
        <v>42825</v>
      </c>
      <c r="B3600" s="52" t="s">
        <v>11435</v>
      </c>
      <c r="C3600" s="18">
        <v>106378</v>
      </c>
      <c r="D3600" s="2" t="s">
        <v>57</v>
      </c>
      <c r="E3600" s="15">
        <v>742.5</v>
      </c>
      <c r="F3600" s="59">
        <v>42825</v>
      </c>
      <c r="G3600" s="15">
        <f t="shared" si="113"/>
        <v>742.5</v>
      </c>
      <c r="H3600" s="15">
        <f t="shared" si="114"/>
        <v>0</v>
      </c>
    </row>
    <row r="3601" spans="1:8" ht="15.75" x14ac:dyDescent="0.25">
      <c r="A3601" s="51">
        <v>42825</v>
      </c>
      <c r="B3601" s="52" t="s">
        <v>11436</v>
      </c>
      <c r="C3601" s="18">
        <v>106379</v>
      </c>
      <c r="D3601" s="2" t="s">
        <v>483</v>
      </c>
      <c r="E3601" s="15">
        <v>2030</v>
      </c>
      <c r="F3601" s="59">
        <v>42825</v>
      </c>
      <c r="G3601" s="15">
        <f t="shared" si="113"/>
        <v>2030</v>
      </c>
      <c r="H3601" s="15">
        <f t="shared" si="114"/>
        <v>0</v>
      </c>
    </row>
    <row r="3602" spans="1:8" ht="15.75" x14ac:dyDescent="0.25">
      <c r="A3602" s="51">
        <v>42825</v>
      </c>
      <c r="B3602" s="52" t="s">
        <v>11437</v>
      </c>
      <c r="C3602" s="18">
        <v>106380</v>
      </c>
      <c r="D3602" s="2" t="s">
        <v>184</v>
      </c>
      <c r="E3602" s="15">
        <v>2915.8</v>
      </c>
      <c r="F3602" s="59">
        <v>42828</v>
      </c>
      <c r="G3602" s="15">
        <f t="shared" si="113"/>
        <v>2915.8</v>
      </c>
      <c r="H3602" s="15">
        <f t="shared" si="114"/>
        <v>0</v>
      </c>
    </row>
    <row r="3603" spans="1:8" ht="15.75" x14ac:dyDescent="0.25">
      <c r="A3603" s="51">
        <v>42825</v>
      </c>
      <c r="B3603" s="52" t="s">
        <v>11438</v>
      </c>
      <c r="C3603" s="18">
        <v>106381</v>
      </c>
      <c r="D3603" s="2" t="s">
        <v>1421</v>
      </c>
      <c r="E3603" s="15">
        <v>32222</v>
      </c>
      <c r="F3603" s="59">
        <v>42826</v>
      </c>
      <c r="G3603" s="15">
        <f t="shared" si="113"/>
        <v>32222</v>
      </c>
      <c r="H3603" s="15">
        <f t="shared" si="114"/>
        <v>0</v>
      </c>
    </row>
    <row r="3604" spans="1:8" ht="15.75" x14ac:dyDescent="0.25">
      <c r="A3604" s="51">
        <v>42825</v>
      </c>
      <c r="B3604" s="52" t="s">
        <v>11439</v>
      </c>
      <c r="C3604" s="18">
        <v>106382</v>
      </c>
      <c r="D3604" s="2" t="s">
        <v>47</v>
      </c>
      <c r="E3604" s="15">
        <v>2439.1999999999998</v>
      </c>
      <c r="F3604" s="59">
        <v>42825</v>
      </c>
      <c r="G3604" s="15">
        <f t="shared" si="113"/>
        <v>2439.1999999999998</v>
      </c>
      <c r="H3604" s="15">
        <f t="shared" si="114"/>
        <v>0</v>
      </c>
    </row>
    <row r="3605" spans="1:8" ht="15.75" x14ac:dyDescent="0.25">
      <c r="A3605" s="51">
        <v>42825</v>
      </c>
      <c r="B3605" s="52" t="s">
        <v>11440</v>
      </c>
      <c r="C3605" s="18">
        <v>106383</v>
      </c>
      <c r="D3605" s="2" t="s">
        <v>2240</v>
      </c>
      <c r="E3605" s="15">
        <v>7894.92</v>
      </c>
      <c r="F3605" s="59" t="s">
        <v>11496</v>
      </c>
      <c r="G3605" s="15">
        <f>4894.92+3000</f>
        <v>7894.92</v>
      </c>
      <c r="H3605" s="15">
        <f t="shared" si="114"/>
        <v>0</v>
      </c>
    </row>
    <row r="3606" spans="1:8" ht="15.75" x14ac:dyDescent="0.25">
      <c r="A3606" s="51">
        <v>42825</v>
      </c>
      <c r="B3606" s="52" t="s">
        <v>11441</v>
      </c>
      <c r="C3606" s="18">
        <v>106384</v>
      </c>
      <c r="D3606" s="2" t="s">
        <v>186</v>
      </c>
      <c r="E3606" s="15">
        <v>384</v>
      </c>
      <c r="F3606" s="59">
        <v>42827</v>
      </c>
      <c r="G3606" s="15">
        <f t="shared" si="113"/>
        <v>384</v>
      </c>
      <c r="H3606" s="15">
        <f t="shared" si="114"/>
        <v>0</v>
      </c>
    </row>
    <row r="3607" spans="1:8" ht="15.75" x14ac:dyDescent="0.25">
      <c r="A3607" s="51">
        <v>42825</v>
      </c>
      <c r="B3607" s="52" t="s">
        <v>11442</v>
      </c>
      <c r="C3607" s="18">
        <v>106385</v>
      </c>
      <c r="D3607" s="2" t="s">
        <v>155</v>
      </c>
      <c r="E3607" s="15">
        <v>21417</v>
      </c>
      <c r="F3607" s="59">
        <v>42829</v>
      </c>
      <c r="G3607" s="15">
        <f t="shared" si="113"/>
        <v>21417</v>
      </c>
      <c r="H3607" s="15">
        <f t="shared" si="114"/>
        <v>0</v>
      </c>
    </row>
    <row r="3608" spans="1:8" ht="15.75" x14ac:dyDescent="0.25">
      <c r="A3608" s="51">
        <v>42825</v>
      </c>
      <c r="B3608" s="52" t="s">
        <v>11443</v>
      </c>
      <c r="C3608" s="18">
        <v>106386</v>
      </c>
      <c r="D3608" s="2" t="s">
        <v>85</v>
      </c>
      <c r="E3608" s="15">
        <v>6086</v>
      </c>
      <c r="F3608" s="101">
        <v>42825</v>
      </c>
      <c r="G3608" s="23">
        <f>3086</f>
        <v>3086</v>
      </c>
      <c r="H3608" s="23">
        <f t="shared" si="114"/>
        <v>3000</v>
      </c>
    </row>
    <row r="3609" spans="1:8" ht="15.75" x14ac:dyDescent="0.25">
      <c r="A3609" s="51">
        <v>42825</v>
      </c>
      <c r="B3609" s="52" t="s">
        <v>11444</v>
      </c>
      <c r="C3609" s="18">
        <v>106387</v>
      </c>
      <c r="D3609" s="2" t="s">
        <v>289</v>
      </c>
      <c r="E3609" s="15">
        <v>4087.2</v>
      </c>
      <c r="F3609" s="59">
        <v>42838</v>
      </c>
      <c r="G3609" s="15">
        <f t="shared" si="113"/>
        <v>4087.2</v>
      </c>
      <c r="H3609" s="15">
        <f t="shared" si="114"/>
        <v>0</v>
      </c>
    </row>
    <row r="3610" spans="1:8" ht="15.75" x14ac:dyDescent="0.25">
      <c r="A3610" s="51">
        <v>42825</v>
      </c>
      <c r="B3610" s="52" t="s">
        <v>11445</v>
      </c>
      <c r="C3610" s="18">
        <v>106388</v>
      </c>
      <c r="D3610" s="2" t="s">
        <v>145</v>
      </c>
      <c r="E3610" s="15">
        <v>17764.2</v>
      </c>
      <c r="F3610" s="59">
        <v>42826</v>
      </c>
      <c r="G3610" s="15">
        <f t="shared" si="113"/>
        <v>17764.2</v>
      </c>
      <c r="H3610" s="15">
        <f t="shared" si="114"/>
        <v>0</v>
      </c>
    </row>
    <row r="3611" spans="1:8" ht="15.75" x14ac:dyDescent="0.25">
      <c r="A3611" s="51">
        <v>42825</v>
      </c>
      <c r="B3611" s="52" t="s">
        <v>11446</v>
      </c>
      <c r="C3611" s="18">
        <v>106389</v>
      </c>
      <c r="D3611" s="2" t="s">
        <v>609</v>
      </c>
      <c r="E3611" s="15">
        <v>31653</v>
      </c>
      <c r="F3611" s="59">
        <v>42828</v>
      </c>
      <c r="G3611" s="15">
        <f t="shared" si="113"/>
        <v>31653</v>
      </c>
      <c r="H3611" s="15">
        <f t="shared" si="114"/>
        <v>0</v>
      </c>
    </row>
    <row r="3612" spans="1:8" ht="15.75" x14ac:dyDescent="0.25">
      <c r="A3612" s="51">
        <v>42825</v>
      </c>
      <c r="B3612" s="52" t="s">
        <v>11447</v>
      </c>
      <c r="C3612" s="18">
        <v>106390</v>
      </c>
      <c r="D3612" s="2" t="s">
        <v>3319</v>
      </c>
      <c r="E3612" s="15">
        <v>11100</v>
      </c>
      <c r="F3612" s="59">
        <v>42826</v>
      </c>
      <c r="G3612" s="15">
        <f t="shared" si="113"/>
        <v>11100</v>
      </c>
      <c r="H3612" s="15">
        <f t="shared" si="114"/>
        <v>0</v>
      </c>
    </row>
    <row r="3613" spans="1:8" ht="15.75" x14ac:dyDescent="0.25">
      <c r="A3613" s="51">
        <v>42825</v>
      </c>
      <c r="B3613" s="52" t="s">
        <v>11448</v>
      </c>
      <c r="C3613" s="18">
        <v>106391</v>
      </c>
      <c r="D3613" s="2" t="s">
        <v>879</v>
      </c>
      <c r="E3613" s="15">
        <v>2947</v>
      </c>
      <c r="F3613" s="59">
        <v>42825</v>
      </c>
      <c r="G3613" s="15">
        <f t="shared" si="113"/>
        <v>2947</v>
      </c>
      <c r="H3613" s="15">
        <f t="shared" si="114"/>
        <v>0</v>
      </c>
    </row>
    <row r="3614" spans="1:8" ht="15.75" x14ac:dyDescent="0.25">
      <c r="A3614" s="51">
        <v>42825</v>
      </c>
      <c r="B3614" s="52" t="s">
        <v>11449</v>
      </c>
      <c r="C3614" s="18">
        <v>106392</v>
      </c>
      <c r="D3614" s="2" t="s">
        <v>609</v>
      </c>
      <c r="E3614" s="15">
        <v>7700</v>
      </c>
      <c r="F3614" s="59">
        <v>42835</v>
      </c>
      <c r="G3614" s="15">
        <f t="shared" si="113"/>
        <v>7700</v>
      </c>
      <c r="H3614" s="15">
        <f t="shared" si="114"/>
        <v>0</v>
      </c>
    </row>
    <row r="3615" spans="1:8" ht="15.75" x14ac:dyDescent="0.25">
      <c r="A3615" s="51">
        <v>42825</v>
      </c>
      <c r="B3615" s="52" t="s">
        <v>11450</v>
      </c>
      <c r="C3615" s="18">
        <v>106393</v>
      </c>
      <c r="D3615" s="2" t="s">
        <v>172</v>
      </c>
      <c r="E3615" s="15">
        <v>28171.1</v>
      </c>
      <c r="F3615" s="59">
        <v>42833</v>
      </c>
      <c r="G3615" s="15">
        <f t="shared" si="113"/>
        <v>28171.1</v>
      </c>
      <c r="H3615" s="15">
        <f t="shared" si="114"/>
        <v>0</v>
      </c>
    </row>
    <row r="3616" spans="1:8" ht="15.75" x14ac:dyDescent="0.25">
      <c r="A3616" s="51">
        <v>42825</v>
      </c>
      <c r="B3616" s="52" t="s">
        <v>11451</v>
      </c>
      <c r="C3616" s="18">
        <v>106394</v>
      </c>
      <c r="D3616" s="2" t="s">
        <v>422</v>
      </c>
      <c r="E3616" s="15">
        <v>2889.6</v>
      </c>
      <c r="F3616" s="59">
        <v>42828</v>
      </c>
      <c r="G3616" s="15">
        <f t="shared" si="113"/>
        <v>2889.6</v>
      </c>
      <c r="H3616" s="15">
        <f t="shared" si="114"/>
        <v>0</v>
      </c>
    </row>
    <row r="3617" spans="1:8" ht="15.75" x14ac:dyDescent="0.25">
      <c r="A3617" s="51">
        <v>42825</v>
      </c>
      <c r="B3617" s="52" t="s">
        <v>11452</v>
      </c>
      <c r="C3617" s="18">
        <v>106395</v>
      </c>
      <c r="D3617" s="2" t="s">
        <v>165</v>
      </c>
      <c r="E3617" s="15">
        <v>8808.7999999999993</v>
      </c>
      <c r="F3617" s="59">
        <v>42846</v>
      </c>
      <c r="G3617" s="15">
        <f t="shared" si="113"/>
        <v>8808.7999999999993</v>
      </c>
      <c r="H3617" s="15">
        <f t="shared" si="114"/>
        <v>0</v>
      </c>
    </row>
    <row r="3618" spans="1:8" ht="15.75" x14ac:dyDescent="0.25">
      <c r="A3618" s="51">
        <v>42825</v>
      </c>
      <c r="B3618" s="52" t="s">
        <v>11453</v>
      </c>
      <c r="C3618" s="18">
        <v>106396</v>
      </c>
      <c r="D3618" s="2" t="s">
        <v>329</v>
      </c>
      <c r="E3618" s="15">
        <v>299.3</v>
      </c>
      <c r="F3618" s="59">
        <v>42825</v>
      </c>
      <c r="G3618" s="15">
        <f t="shared" si="113"/>
        <v>299.3</v>
      </c>
      <c r="H3618" s="15">
        <f t="shared" si="114"/>
        <v>0</v>
      </c>
    </row>
    <row r="3619" spans="1:8" ht="15.75" x14ac:dyDescent="0.25">
      <c r="A3619" s="51">
        <v>42825</v>
      </c>
      <c r="B3619" s="52" t="s">
        <v>11454</v>
      </c>
      <c r="C3619" s="18">
        <v>106397</v>
      </c>
      <c r="D3619" s="2" t="s">
        <v>163</v>
      </c>
      <c r="E3619" s="15">
        <v>16736.599999999999</v>
      </c>
      <c r="F3619" s="59">
        <v>42846</v>
      </c>
      <c r="G3619" s="15">
        <f t="shared" si="113"/>
        <v>16736.599999999999</v>
      </c>
      <c r="H3619" s="15">
        <f t="shared" si="114"/>
        <v>0</v>
      </c>
    </row>
    <row r="3620" spans="1:8" ht="15.75" x14ac:dyDescent="0.25">
      <c r="A3620" s="51">
        <v>42825</v>
      </c>
      <c r="B3620" s="52" t="s">
        <v>11455</v>
      </c>
      <c r="C3620" s="18">
        <v>106398</v>
      </c>
      <c r="D3620" s="2" t="s">
        <v>10</v>
      </c>
      <c r="E3620" s="15">
        <v>9591.7999999999993</v>
      </c>
      <c r="F3620" s="59">
        <v>42828</v>
      </c>
      <c r="G3620" s="15">
        <f t="shared" si="113"/>
        <v>9591.7999999999993</v>
      </c>
      <c r="H3620" s="15">
        <f t="shared" si="114"/>
        <v>0</v>
      </c>
    </row>
    <row r="3621" spans="1:8" ht="15.75" x14ac:dyDescent="0.25">
      <c r="A3621" s="51">
        <v>42825</v>
      </c>
      <c r="B3621" s="52" t="s">
        <v>11456</v>
      </c>
      <c r="C3621" s="18">
        <v>106399</v>
      </c>
      <c r="D3621" s="2" t="s">
        <v>161</v>
      </c>
      <c r="E3621" s="15">
        <v>48922</v>
      </c>
      <c r="F3621" s="59">
        <v>42833</v>
      </c>
      <c r="G3621" s="15">
        <f t="shared" si="113"/>
        <v>48922</v>
      </c>
      <c r="H3621" s="15">
        <f t="shared" si="114"/>
        <v>0</v>
      </c>
    </row>
    <row r="3622" spans="1:8" ht="15.75" x14ac:dyDescent="0.25">
      <c r="A3622" s="51">
        <v>42825</v>
      </c>
      <c r="B3622" s="52" t="s">
        <v>11457</v>
      </c>
      <c r="C3622" s="18">
        <v>106400</v>
      </c>
      <c r="D3622" s="2" t="s">
        <v>773</v>
      </c>
      <c r="E3622" s="15">
        <v>3545.2</v>
      </c>
      <c r="F3622" s="59">
        <v>42825</v>
      </c>
      <c r="G3622" s="15">
        <f t="shared" si="113"/>
        <v>3545.2</v>
      </c>
      <c r="H3622" s="15">
        <f t="shared" si="114"/>
        <v>0</v>
      </c>
    </row>
    <row r="3623" spans="1:8" ht="15.75" x14ac:dyDescent="0.25">
      <c r="A3623" s="51">
        <v>42825</v>
      </c>
      <c r="B3623" s="52" t="s">
        <v>11458</v>
      </c>
      <c r="C3623" s="18">
        <v>106401</v>
      </c>
      <c r="D3623" s="2" t="s">
        <v>135</v>
      </c>
      <c r="E3623" s="15">
        <v>828.8</v>
      </c>
      <c r="F3623" s="59">
        <v>42825</v>
      </c>
      <c r="G3623" s="15">
        <f t="shared" si="113"/>
        <v>828.8</v>
      </c>
      <c r="H3623" s="15">
        <f t="shared" si="114"/>
        <v>0</v>
      </c>
    </row>
    <row r="3624" spans="1:8" ht="15.75" x14ac:dyDescent="0.25">
      <c r="A3624" s="51">
        <v>42825</v>
      </c>
      <c r="B3624" s="52" t="s">
        <v>11459</v>
      </c>
      <c r="C3624" s="18">
        <v>106402</v>
      </c>
      <c r="D3624" s="2" t="s">
        <v>149</v>
      </c>
      <c r="E3624" s="15">
        <v>8559.1</v>
      </c>
      <c r="F3624" s="59">
        <v>42825</v>
      </c>
      <c r="G3624" s="15">
        <f t="shared" si="113"/>
        <v>8559.1</v>
      </c>
      <c r="H3624" s="15">
        <f t="shared" si="114"/>
        <v>0</v>
      </c>
    </row>
    <row r="3625" spans="1:8" ht="15.75" x14ac:dyDescent="0.25">
      <c r="A3625" s="51">
        <v>42825</v>
      </c>
      <c r="B3625" s="52" t="s">
        <v>11460</v>
      </c>
      <c r="C3625" s="18">
        <v>106403</v>
      </c>
      <c r="D3625" s="2" t="s">
        <v>205</v>
      </c>
      <c r="E3625" s="15">
        <v>39701.800000000003</v>
      </c>
      <c r="F3625" s="59">
        <v>42845</v>
      </c>
      <c r="G3625" s="15">
        <f t="shared" si="113"/>
        <v>39701.800000000003</v>
      </c>
      <c r="H3625" s="15">
        <f t="shared" si="114"/>
        <v>0</v>
      </c>
    </row>
    <row r="3626" spans="1:8" ht="15.75" x14ac:dyDescent="0.25">
      <c r="A3626" s="51">
        <v>42825</v>
      </c>
      <c r="B3626" s="52" t="s">
        <v>11461</v>
      </c>
      <c r="C3626" s="18">
        <v>106404</v>
      </c>
      <c r="D3626" s="2" t="s">
        <v>354</v>
      </c>
      <c r="E3626" s="15">
        <v>1206.5999999999999</v>
      </c>
      <c r="F3626" s="59">
        <v>42825</v>
      </c>
      <c r="G3626" s="15">
        <f t="shared" si="113"/>
        <v>1206.5999999999999</v>
      </c>
      <c r="H3626" s="15">
        <f t="shared" si="114"/>
        <v>0</v>
      </c>
    </row>
    <row r="3627" spans="1:8" ht="15.75" x14ac:dyDescent="0.25">
      <c r="A3627" s="51">
        <v>42825</v>
      </c>
      <c r="B3627" s="52" t="s">
        <v>11462</v>
      </c>
      <c r="C3627" s="18">
        <v>106405</v>
      </c>
      <c r="D3627" s="2" t="s">
        <v>193</v>
      </c>
      <c r="E3627" s="15">
        <v>1903.5</v>
      </c>
      <c r="F3627" s="59">
        <v>42826</v>
      </c>
      <c r="G3627" s="15">
        <f t="shared" si="113"/>
        <v>1903.5</v>
      </c>
      <c r="H3627" s="15">
        <f t="shared" si="114"/>
        <v>0</v>
      </c>
    </row>
    <row r="3628" spans="1:8" ht="15.75" x14ac:dyDescent="0.25">
      <c r="A3628" s="51">
        <v>42825</v>
      </c>
      <c r="B3628" s="52" t="s">
        <v>11463</v>
      </c>
      <c r="C3628" s="18">
        <v>106406</v>
      </c>
      <c r="D3628" s="2" t="s">
        <v>182</v>
      </c>
      <c r="E3628" s="15">
        <v>3600</v>
      </c>
      <c r="F3628" s="59">
        <v>42826</v>
      </c>
      <c r="G3628" s="15">
        <f t="shared" si="113"/>
        <v>3600</v>
      </c>
      <c r="H3628" s="15">
        <f t="shared" si="114"/>
        <v>0</v>
      </c>
    </row>
    <row r="3629" spans="1:8" ht="15.75" x14ac:dyDescent="0.25">
      <c r="A3629" s="51">
        <v>42825</v>
      </c>
      <c r="B3629" s="52" t="s">
        <v>11464</v>
      </c>
      <c r="C3629" s="18">
        <v>106407</v>
      </c>
      <c r="D3629" s="2" t="s">
        <v>1310</v>
      </c>
      <c r="E3629" s="15">
        <v>1142.0999999999999</v>
      </c>
      <c r="F3629" s="59">
        <v>42826</v>
      </c>
      <c r="G3629" s="15">
        <f t="shared" si="113"/>
        <v>1142.0999999999999</v>
      </c>
      <c r="H3629" s="15">
        <f t="shared" si="114"/>
        <v>0</v>
      </c>
    </row>
    <row r="3630" spans="1:8" ht="15.75" x14ac:dyDescent="0.25">
      <c r="A3630" s="51">
        <v>42825</v>
      </c>
      <c r="B3630" s="52" t="s">
        <v>11465</v>
      </c>
      <c r="C3630" s="18">
        <v>106408</v>
      </c>
      <c r="D3630" s="2" t="s">
        <v>528</v>
      </c>
      <c r="E3630" s="15">
        <v>14690.3</v>
      </c>
      <c r="F3630" s="59">
        <v>42826</v>
      </c>
      <c r="G3630" s="15">
        <f t="shared" si="113"/>
        <v>14690.3</v>
      </c>
      <c r="H3630" s="15">
        <f t="shared" si="114"/>
        <v>0</v>
      </c>
    </row>
    <row r="3631" spans="1:8" ht="15.75" x14ac:dyDescent="0.25">
      <c r="A3631" s="51">
        <v>42825</v>
      </c>
      <c r="B3631" s="52" t="s">
        <v>11466</v>
      </c>
      <c r="C3631" s="18">
        <v>106409</v>
      </c>
      <c r="D3631" s="2" t="s">
        <v>137</v>
      </c>
      <c r="E3631" s="15">
        <v>1195.2</v>
      </c>
      <c r="F3631" s="59">
        <v>42825</v>
      </c>
      <c r="G3631" s="15">
        <f t="shared" si="113"/>
        <v>1195.2</v>
      </c>
      <c r="H3631" s="15">
        <f t="shared" si="114"/>
        <v>0</v>
      </c>
    </row>
    <row r="3632" spans="1:8" ht="15.75" x14ac:dyDescent="0.25">
      <c r="A3632" s="51">
        <v>42825</v>
      </c>
      <c r="B3632" s="52" t="s">
        <v>11467</v>
      </c>
      <c r="C3632" s="18">
        <v>106410</v>
      </c>
      <c r="D3632" s="2" t="s">
        <v>30</v>
      </c>
      <c r="E3632" s="15">
        <v>361.4</v>
      </c>
      <c r="F3632" s="59">
        <v>42825</v>
      </c>
      <c r="G3632" s="15">
        <f t="shared" si="113"/>
        <v>361.4</v>
      </c>
      <c r="H3632" s="15">
        <f t="shared" si="114"/>
        <v>0</v>
      </c>
    </row>
    <row r="3633" spans="1:8" ht="15.75" x14ac:dyDescent="0.25">
      <c r="A3633" s="51">
        <v>42825</v>
      </c>
      <c r="B3633" s="52" t="s">
        <v>11468</v>
      </c>
      <c r="C3633" s="18">
        <v>106411</v>
      </c>
      <c r="D3633" s="2" t="s">
        <v>1163</v>
      </c>
      <c r="E3633" s="15">
        <v>20349</v>
      </c>
      <c r="F3633" s="59">
        <v>42826</v>
      </c>
      <c r="G3633" s="15">
        <f t="shared" si="113"/>
        <v>20349</v>
      </c>
      <c r="H3633" s="15">
        <f t="shared" si="114"/>
        <v>0</v>
      </c>
    </row>
    <row r="3634" spans="1:8" ht="15.75" x14ac:dyDescent="0.25">
      <c r="A3634" s="51">
        <v>42825</v>
      </c>
      <c r="B3634" s="52" t="s">
        <v>11469</v>
      </c>
      <c r="C3634" s="18">
        <v>106412</v>
      </c>
      <c r="D3634" s="2" t="s">
        <v>30</v>
      </c>
      <c r="E3634" s="15">
        <v>95.2</v>
      </c>
      <c r="F3634" s="59">
        <v>42825</v>
      </c>
      <c r="G3634" s="15">
        <f t="shared" si="113"/>
        <v>95.2</v>
      </c>
      <c r="H3634" s="15">
        <f t="shared" si="114"/>
        <v>0</v>
      </c>
    </row>
    <row r="3635" spans="1:8" ht="15.75" x14ac:dyDescent="0.25">
      <c r="A3635" s="51">
        <v>42825</v>
      </c>
      <c r="B3635" s="52" t="s">
        <v>11470</v>
      </c>
      <c r="C3635" s="18">
        <v>106413</v>
      </c>
      <c r="D3635" s="2" t="s">
        <v>806</v>
      </c>
      <c r="E3635" s="15">
        <v>5663</v>
      </c>
      <c r="F3635" s="59">
        <v>42825</v>
      </c>
      <c r="G3635" s="15">
        <f t="shared" si="113"/>
        <v>5663</v>
      </c>
      <c r="H3635" s="15">
        <f t="shared" si="114"/>
        <v>0</v>
      </c>
    </row>
    <row r="3636" spans="1:8" ht="15.75" x14ac:dyDescent="0.25">
      <c r="A3636" s="51">
        <v>42825</v>
      </c>
      <c r="B3636" s="52" t="s">
        <v>11471</v>
      </c>
      <c r="C3636" s="18">
        <v>106414</v>
      </c>
      <c r="D3636" s="2" t="s">
        <v>806</v>
      </c>
      <c r="E3636" s="15">
        <v>391</v>
      </c>
      <c r="F3636" s="59">
        <v>42825</v>
      </c>
      <c r="G3636" s="15">
        <f t="shared" si="113"/>
        <v>391</v>
      </c>
      <c r="H3636" s="15">
        <f t="shared" si="114"/>
        <v>0</v>
      </c>
    </row>
    <row r="3637" spans="1:8" ht="15.75" x14ac:dyDescent="0.25">
      <c r="A3637" s="51">
        <v>42825</v>
      </c>
      <c r="B3637" s="52" t="s">
        <v>11472</v>
      </c>
      <c r="C3637" s="18">
        <v>106415</v>
      </c>
      <c r="D3637" s="2" t="s">
        <v>10</v>
      </c>
      <c r="E3637" s="15">
        <v>233355.94</v>
      </c>
      <c r="F3637" s="59">
        <v>42828</v>
      </c>
      <c r="G3637" s="15">
        <f t="shared" si="113"/>
        <v>233355.94</v>
      </c>
      <c r="H3637" s="15">
        <f t="shared" si="114"/>
        <v>0</v>
      </c>
    </row>
    <row r="3638" spans="1:8" ht="15.75" x14ac:dyDescent="0.25">
      <c r="A3638" s="51">
        <v>42825</v>
      </c>
      <c r="B3638" s="52" t="s">
        <v>11473</v>
      </c>
      <c r="C3638" s="18">
        <v>106416</v>
      </c>
      <c r="D3638" s="2" t="s">
        <v>205</v>
      </c>
      <c r="E3638" s="15">
        <v>49032</v>
      </c>
      <c r="F3638" s="59">
        <v>42826</v>
      </c>
      <c r="G3638" s="15">
        <f t="shared" si="113"/>
        <v>49032</v>
      </c>
      <c r="H3638" s="15">
        <f t="shared" si="114"/>
        <v>0</v>
      </c>
    </row>
    <row r="3639" spans="1:8" ht="15.75" x14ac:dyDescent="0.25">
      <c r="A3639" s="51">
        <v>42825</v>
      </c>
      <c r="B3639" s="52" t="s">
        <v>11474</v>
      </c>
      <c r="C3639" s="18">
        <v>106417</v>
      </c>
      <c r="D3639" s="2" t="s">
        <v>426</v>
      </c>
      <c r="E3639" s="15">
        <v>13269.2</v>
      </c>
      <c r="F3639" s="59">
        <v>42837</v>
      </c>
      <c r="G3639" s="15">
        <f t="shared" si="113"/>
        <v>13269.2</v>
      </c>
      <c r="H3639" s="15">
        <f t="shared" si="114"/>
        <v>0</v>
      </c>
    </row>
    <row r="3640" spans="1:8" ht="15.75" x14ac:dyDescent="0.25">
      <c r="A3640" s="51">
        <v>42825</v>
      </c>
      <c r="B3640" s="52" t="s">
        <v>11475</v>
      </c>
      <c r="C3640" s="18">
        <v>106418</v>
      </c>
      <c r="D3640" s="2" t="s">
        <v>12</v>
      </c>
      <c r="E3640" s="15">
        <v>1666.7</v>
      </c>
      <c r="F3640" s="59">
        <v>42825</v>
      </c>
      <c r="G3640" s="15">
        <f t="shared" si="113"/>
        <v>1666.7</v>
      </c>
      <c r="H3640" s="15">
        <f t="shared" si="114"/>
        <v>0</v>
      </c>
    </row>
    <row r="3641" spans="1:8" ht="15.75" x14ac:dyDescent="0.25">
      <c r="A3641" s="51">
        <v>42825</v>
      </c>
      <c r="B3641" s="52" t="s">
        <v>11476</v>
      </c>
      <c r="C3641" s="18">
        <v>106419</v>
      </c>
      <c r="D3641" s="2" t="s">
        <v>476</v>
      </c>
      <c r="E3641" s="15">
        <v>4705.6000000000004</v>
      </c>
      <c r="F3641" s="59">
        <v>42825</v>
      </c>
      <c r="G3641" s="15">
        <f t="shared" si="113"/>
        <v>4705.6000000000004</v>
      </c>
      <c r="H3641" s="15">
        <f t="shared" si="114"/>
        <v>0</v>
      </c>
    </row>
    <row r="3642" spans="1:8" ht="15.75" x14ac:dyDescent="0.25">
      <c r="A3642" s="51">
        <v>42825</v>
      </c>
      <c r="B3642" s="52" t="s">
        <v>11477</v>
      </c>
      <c r="C3642" s="18">
        <v>106420</v>
      </c>
      <c r="D3642" s="2" t="s">
        <v>10</v>
      </c>
      <c r="E3642" s="15">
        <v>54813.1</v>
      </c>
      <c r="F3642" s="59">
        <v>42828</v>
      </c>
      <c r="G3642" s="15">
        <f t="shared" si="113"/>
        <v>54813.1</v>
      </c>
      <c r="H3642" s="15">
        <f t="shared" si="114"/>
        <v>0</v>
      </c>
    </row>
    <row r="3643" spans="1:8" ht="15.75" x14ac:dyDescent="0.25">
      <c r="A3643" s="51">
        <v>42825</v>
      </c>
      <c r="B3643" s="52" t="s">
        <v>11478</v>
      </c>
      <c r="C3643" s="18">
        <v>106421</v>
      </c>
      <c r="D3643" s="2" t="s">
        <v>176</v>
      </c>
      <c r="E3643" s="15">
        <v>2944.2</v>
      </c>
      <c r="F3643" s="59">
        <v>42825</v>
      </c>
      <c r="G3643" s="15">
        <f t="shared" si="113"/>
        <v>2944.2</v>
      </c>
      <c r="H3643" s="15">
        <f t="shared" si="114"/>
        <v>0</v>
      </c>
    </row>
    <row r="3644" spans="1:8" ht="15.75" x14ac:dyDescent="0.25">
      <c r="A3644" s="51">
        <v>42825</v>
      </c>
      <c r="B3644" s="52" t="s">
        <v>11479</v>
      </c>
      <c r="C3644" s="18">
        <v>106422</v>
      </c>
      <c r="D3644" s="2" t="s">
        <v>930</v>
      </c>
      <c r="E3644" s="15">
        <v>13946.05</v>
      </c>
      <c r="F3644" s="59">
        <v>42825</v>
      </c>
      <c r="G3644" s="15">
        <f t="shared" si="113"/>
        <v>13946.05</v>
      </c>
      <c r="H3644" s="15">
        <f t="shared" si="114"/>
        <v>0</v>
      </c>
    </row>
    <row r="3645" spans="1:8" ht="15.75" x14ac:dyDescent="0.25">
      <c r="A3645" s="51">
        <v>42825</v>
      </c>
      <c r="B3645" s="52" t="s">
        <v>11480</v>
      </c>
      <c r="C3645" s="18">
        <v>106423</v>
      </c>
      <c r="D3645" s="2" t="s">
        <v>222</v>
      </c>
      <c r="E3645" s="15">
        <v>50794.55</v>
      </c>
      <c r="F3645" s="59">
        <v>42830</v>
      </c>
      <c r="G3645" s="15">
        <f t="shared" si="113"/>
        <v>50794.55</v>
      </c>
      <c r="H3645" s="15">
        <f t="shared" si="114"/>
        <v>0</v>
      </c>
    </row>
    <row r="3646" spans="1:8" ht="15.75" x14ac:dyDescent="0.25">
      <c r="A3646" s="51">
        <v>42825</v>
      </c>
      <c r="B3646" s="52" t="s">
        <v>11481</v>
      </c>
      <c r="C3646" s="18">
        <v>106424</v>
      </c>
      <c r="D3646" s="2" t="s">
        <v>55</v>
      </c>
      <c r="E3646" s="15">
        <v>17272.099999999999</v>
      </c>
      <c r="F3646" s="64" t="s">
        <v>11496</v>
      </c>
      <c r="G3646" s="20">
        <f>6000+11272.1</f>
        <v>17272.099999999999</v>
      </c>
      <c r="H3646" s="20">
        <f t="shared" si="114"/>
        <v>0</v>
      </c>
    </row>
    <row r="3647" spans="1:8" ht="15.75" x14ac:dyDescent="0.25">
      <c r="A3647" s="51">
        <v>42825</v>
      </c>
      <c r="B3647" s="52" t="s">
        <v>11482</v>
      </c>
      <c r="C3647" s="18">
        <v>106425</v>
      </c>
      <c r="D3647" s="2" t="s">
        <v>236</v>
      </c>
      <c r="E3647" s="15">
        <v>34285.699999999997</v>
      </c>
      <c r="F3647" s="59">
        <v>42838</v>
      </c>
      <c r="G3647" s="15">
        <f t="shared" si="113"/>
        <v>34285.699999999997</v>
      </c>
      <c r="H3647" s="15">
        <f t="shared" si="114"/>
        <v>0</v>
      </c>
    </row>
    <row r="3648" spans="1:8" ht="15.75" x14ac:dyDescent="0.25">
      <c r="A3648" s="51">
        <v>42825</v>
      </c>
      <c r="B3648" s="52" t="s">
        <v>11483</v>
      </c>
      <c r="C3648" s="18">
        <v>106426</v>
      </c>
      <c r="D3648" s="2" t="s">
        <v>1380</v>
      </c>
      <c r="E3648" s="15">
        <v>4765.2</v>
      </c>
      <c r="F3648" s="59">
        <v>42826</v>
      </c>
      <c r="G3648" s="15">
        <f t="shared" si="113"/>
        <v>4765.2</v>
      </c>
      <c r="H3648" s="15">
        <f t="shared" si="114"/>
        <v>0</v>
      </c>
    </row>
    <row r="3649" spans="1:8" ht="15.75" x14ac:dyDescent="0.25">
      <c r="A3649" s="51">
        <v>42825</v>
      </c>
      <c r="B3649" s="52" t="s">
        <v>11484</v>
      </c>
      <c r="C3649" s="18">
        <v>106427</v>
      </c>
      <c r="D3649" s="2" t="s">
        <v>14</v>
      </c>
      <c r="E3649" s="15">
        <v>8336.7999999999993</v>
      </c>
      <c r="F3649" s="59">
        <v>42825</v>
      </c>
      <c r="G3649" s="15">
        <f t="shared" si="113"/>
        <v>8336.7999999999993</v>
      </c>
      <c r="H3649" s="15">
        <f t="shared" si="114"/>
        <v>0</v>
      </c>
    </row>
    <row r="3650" spans="1:8" ht="15.75" x14ac:dyDescent="0.25">
      <c r="A3650" s="51">
        <v>42825</v>
      </c>
      <c r="B3650" s="52" t="s">
        <v>11485</v>
      </c>
      <c r="C3650" s="18">
        <v>106428</v>
      </c>
      <c r="D3650" s="2" t="s">
        <v>492</v>
      </c>
      <c r="E3650" s="15">
        <v>30522.74</v>
      </c>
      <c r="F3650" s="59">
        <v>42828</v>
      </c>
      <c r="G3650" s="15">
        <f t="shared" si="113"/>
        <v>30522.74</v>
      </c>
      <c r="H3650" s="15">
        <f t="shared" si="114"/>
        <v>0</v>
      </c>
    </row>
    <row r="3651" spans="1:8" ht="15.75" x14ac:dyDescent="0.25">
      <c r="A3651" s="51">
        <v>42825</v>
      </c>
      <c r="B3651" s="52" t="s">
        <v>11486</v>
      </c>
      <c r="C3651" s="18">
        <v>106429</v>
      </c>
      <c r="D3651" s="2" t="s">
        <v>30</v>
      </c>
      <c r="E3651" s="15">
        <v>16377.2</v>
      </c>
      <c r="F3651" s="59">
        <v>42826</v>
      </c>
      <c r="G3651" s="15">
        <f t="shared" si="113"/>
        <v>16377.2</v>
      </c>
      <c r="H3651" s="15">
        <f t="shared" si="114"/>
        <v>0</v>
      </c>
    </row>
    <row r="3652" spans="1:8" ht="15.75" x14ac:dyDescent="0.25">
      <c r="A3652" s="51">
        <v>42825</v>
      </c>
      <c r="B3652" s="52" t="s">
        <v>11487</v>
      </c>
      <c r="C3652" s="18">
        <v>106430</v>
      </c>
      <c r="D3652" s="2" t="s">
        <v>118</v>
      </c>
      <c r="E3652" s="15">
        <v>2560.8000000000002</v>
      </c>
      <c r="F3652" s="59">
        <v>42826</v>
      </c>
      <c r="G3652" s="15">
        <f t="shared" ref="G3652:G3658" si="115">E3652</f>
        <v>2560.8000000000002</v>
      </c>
      <c r="H3652" s="15">
        <f t="shared" ref="H3652:H3661" si="116">E3652-G3652</f>
        <v>0</v>
      </c>
    </row>
    <row r="3653" spans="1:8" ht="15.75" x14ac:dyDescent="0.25">
      <c r="A3653" s="51">
        <v>42825</v>
      </c>
      <c r="B3653" s="52" t="s">
        <v>11488</v>
      </c>
      <c r="C3653" s="18">
        <v>106431</v>
      </c>
      <c r="D3653" s="2" t="s">
        <v>379</v>
      </c>
      <c r="E3653" s="15">
        <v>3292.8</v>
      </c>
      <c r="F3653" s="59">
        <v>42825</v>
      </c>
      <c r="G3653" s="15">
        <f t="shared" si="115"/>
        <v>3292.8</v>
      </c>
      <c r="H3653" s="15">
        <f t="shared" si="116"/>
        <v>0</v>
      </c>
    </row>
    <row r="3654" spans="1:8" ht="15.75" x14ac:dyDescent="0.25">
      <c r="A3654" s="51">
        <v>42825</v>
      </c>
      <c r="B3654" s="52" t="s">
        <v>11489</v>
      </c>
      <c r="C3654" s="18">
        <v>106432</v>
      </c>
      <c r="D3654" s="2" t="s">
        <v>405</v>
      </c>
      <c r="E3654" s="15">
        <v>2982</v>
      </c>
      <c r="F3654" s="59">
        <v>42825</v>
      </c>
      <c r="G3654" s="15">
        <f t="shared" si="115"/>
        <v>2982</v>
      </c>
      <c r="H3654" s="15">
        <f t="shared" si="116"/>
        <v>0</v>
      </c>
    </row>
    <row r="3655" spans="1:8" ht="15.75" x14ac:dyDescent="0.25">
      <c r="A3655" s="51">
        <v>42825</v>
      </c>
      <c r="B3655" s="52" t="s">
        <v>11490</v>
      </c>
      <c r="C3655" s="18">
        <v>106433</v>
      </c>
      <c r="D3655" s="2" t="s">
        <v>205</v>
      </c>
      <c r="E3655" s="15">
        <v>29812.2</v>
      </c>
      <c r="F3655" s="59">
        <v>42826</v>
      </c>
      <c r="G3655" s="15">
        <f t="shared" si="115"/>
        <v>29812.2</v>
      </c>
      <c r="H3655" s="15">
        <f t="shared" si="116"/>
        <v>0</v>
      </c>
    </row>
    <row r="3656" spans="1:8" ht="15.75" x14ac:dyDescent="0.25">
      <c r="A3656" s="51">
        <v>42825</v>
      </c>
      <c r="B3656" s="52" t="s">
        <v>11491</v>
      </c>
      <c r="C3656" s="18">
        <v>106434</v>
      </c>
      <c r="D3656" s="2" t="s">
        <v>921</v>
      </c>
      <c r="E3656" s="15">
        <v>4468.8</v>
      </c>
      <c r="F3656" s="59">
        <v>42825</v>
      </c>
      <c r="G3656" s="15">
        <f t="shared" si="115"/>
        <v>4468.8</v>
      </c>
      <c r="H3656" s="15">
        <f t="shared" si="116"/>
        <v>0</v>
      </c>
    </row>
    <row r="3657" spans="1:8" ht="15.75" x14ac:dyDescent="0.25">
      <c r="A3657" s="51">
        <v>42825</v>
      </c>
      <c r="B3657" s="52" t="s">
        <v>11492</v>
      </c>
      <c r="C3657" s="18">
        <v>106435</v>
      </c>
      <c r="D3657" s="2" t="s">
        <v>220</v>
      </c>
      <c r="E3657" s="15">
        <v>1663.2</v>
      </c>
      <c r="F3657" s="59">
        <v>42825</v>
      </c>
      <c r="G3657" s="15">
        <f t="shared" si="115"/>
        <v>1663.2</v>
      </c>
      <c r="H3657" s="15">
        <f t="shared" si="116"/>
        <v>0</v>
      </c>
    </row>
    <row r="3658" spans="1:8" ht="15.75" x14ac:dyDescent="0.25">
      <c r="A3658" s="51">
        <v>42825</v>
      </c>
      <c r="B3658" s="52" t="s">
        <v>11493</v>
      </c>
      <c r="C3658" s="18">
        <v>106436</v>
      </c>
      <c r="D3658" s="2" t="s">
        <v>7147</v>
      </c>
      <c r="E3658" s="15">
        <v>9499.6</v>
      </c>
      <c r="F3658" s="59">
        <v>42826</v>
      </c>
      <c r="G3658" s="15">
        <f t="shared" si="115"/>
        <v>9499.6</v>
      </c>
      <c r="H3658" s="15">
        <f t="shared" si="116"/>
        <v>0</v>
      </c>
    </row>
    <row r="3659" spans="1:8" x14ac:dyDescent="0.25">
      <c r="A3659" s="70"/>
      <c r="B3659" s="17"/>
      <c r="C3659" s="71"/>
      <c r="D3659"/>
      <c r="H3659" s="15">
        <f t="shared" si="116"/>
        <v>0</v>
      </c>
    </row>
    <row r="3660" spans="1:8" x14ac:dyDescent="0.25">
      <c r="B3660" s="17"/>
      <c r="C3660" s="18"/>
      <c r="H3660" s="15">
        <f t="shared" si="116"/>
        <v>0</v>
      </c>
    </row>
    <row r="3661" spans="1:8" ht="15.75" thickBot="1" x14ac:dyDescent="0.3">
      <c r="B3661" s="17"/>
      <c r="C3661" s="18"/>
      <c r="H3661" s="15">
        <f t="shared" si="116"/>
        <v>0</v>
      </c>
    </row>
    <row r="3662" spans="1:8" ht="30.75" customHeight="1" thickBot="1" x14ac:dyDescent="0.4">
      <c r="D3662" s="30" t="s">
        <v>4166</v>
      </c>
      <c r="E3662" s="31">
        <f>SUM(E6:E3661)</f>
        <v>50249942.31999997</v>
      </c>
      <c r="F3662" s="105"/>
      <c r="G3662" s="73">
        <f>SUM(G6:G3661)</f>
        <v>50238378.31999997</v>
      </c>
      <c r="H3662" s="73">
        <f>SUM(H6:H3661)</f>
        <v>11564</v>
      </c>
    </row>
    <row r="3667" spans="5:7" ht="15.75" thickBot="1" x14ac:dyDescent="0.3"/>
    <row r="3668" spans="5:7" x14ac:dyDescent="0.25">
      <c r="E3668" s="432" t="s">
        <v>11494</v>
      </c>
      <c r="F3668" s="434">
        <f>E3662-G3662</f>
        <v>11564</v>
      </c>
      <c r="G3668" s="435"/>
    </row>
    <row r="3669" spans="5:7" ht="15.75" thickBot="1" x14ac:dyDescent="0.3">
      <c r="E3669" s="433"/>
      <c r="F3669" s="436"/>
      <c r="G3669" s="437"/>
    </row>
  </sheetData>
  <mergeCells count="3">
    <mergeCell ref="A1:G1"/>
    <mergeCell ref="E3668:E3669"/>
    <mergeCell ref="F3668:G3669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99FF"/>
  </sheetPr>
  <dimension ref="A1:N3629"/>
  <sheetViews>
    <sheetView topLeftCell="A3090" workbookViewId="0">
      <selection activeCell="E3110" sqref="E3110"/>
    </sheetView>
  </sheetViews>
  <sheetFormatPr baseColWidth="10" defaultRowHeight="15" x14ac:dyDescent="0.25"/>
  <cols>
    <col min="1" max="2" width="14.85546875" style="51" customWidth="1"/>
    <col min="3" max="3" width="5.42578125" style="51" customWidth="1"/>
    <col min="4" max="4" width="12.28515625" style="72" customWidth="1"/>
    <col min="5" max="5" width="16" style="72" customWidth="1"/>
    <col min="6" max="6" width="59.85546875" style="2" bestFit="1" customWidth="1"/>
    <col min="7" max="7" width="21" style="15" bestFit="1" customWidth="1"/>
    <col min="8" max="8" width="24.42578125" style="117" customWidth="1"/>
    <col min="9" max="9" width="26.7109375" style="15" bestFit="1" customWidth="1"/>
    <col min="10" max="10" width="21" style="15" bestFit="1" customWidth="1"/>
    <col min="11" max="11" width="11.42578125" style="2"/>
    <col min="12" max="12" width="14.140625" style="2" bestFit="1" customWidth="1"/>
    <col min="13" max="16384" width="11.42578125" style="2"/>
  </cols>
  <sheetData>
    <row r="1" spans="1:11" ht="37.5" customHeight="1" x14ac:dyDescent="0.4">
      <c r="A1" s="438" t="s">
        <v>11509</v>
      </c>
      <c r="B1" s="438"/>
      <c r="C1" s="438"/>
      <c r="D1" s="438"/>
      <c r="E1" s="438"/>
      <c r="F1" s="438"/>
      <c r="G1" s="438"/>
      <c r="H1" s="438"/>
      <c r="I1" s="438"/>
      <c r="J1" s="43"/>
    </row>
    <row r="2" spans="1:11" ht="31.5" customHeight="1" thickBot="1" x14ac:dyDescent="0.35">
      <c r="A2" s="111" t="s">
        <v>1</v>
      </c>
      <c r="B2" s="215" t="s">
        <v>2</v>
      </c>
      <c r="C2" s="216"/>
      <c r="D2" s="217" t="s">
        <v>2</v>
      </c>
      <c r="E2" s="217" t="s">
        <v>3</v>
      </c>
      <c r="F2" s="218" t="s">
        <v>7771</v>
      </c>
      <c r="G2" s="219" t="s">
        <v>5</v>
      </c>
      <c r="H2" s="220" t="s">
        <v>6</v>
      </c>
      <c r="I2" s="221" t="str">
        <f t="shared" ref="I2" si="0">G2</f>
        <v>IMPORTE</v>
      </c>
      <c r="J2" s="222" t="s">
        <v>7</v>
      </c>
    </row>
    <row r="3" spans="1:11" ht="15.75" thickTop="1" x14ac:dyDescent="0.25">
      <c r="A3" s="51">
        <v>42826</v>
      </c>
      <c r="B3" s="209" t="s">
        <v>11510</v>
      </c>
      <c r="C3" s="210"/>
      <c r="D3" s="211" t="s">
        <v>11510</v>
      </c>
      <c r="E3" s="211">
        <v>106437</v>
      </c>
      <c r="F3" s="212" t="s">
        <v>374</v>
      </c>
      <c r="G3" s="213">
        <v>1320.3</v>
      </c>
      <c r="H3" s="214">
        <v>42826</v>
      </c>
      <c r="I3" s="213">
        <f>G3</f>
        <v>1320.3</v>
      </c>
      <c r="J3" s="213">
        <f>G3-I3</f>
        <v>0</v>
      </c>
    </row>
    <row r="4" spans="1:11" x14ac:dyDescent="0.25">
      <c r="A4" s="51">
        <v>42826</v>
      </c>
      <c r="B4" s="174" t="s">
        <v>11511</v>
      </c>
      <c r="C4" s="175"/>
      <c r="D4" s="176" t="s">
        <v>11511</v>
      </c>
      <c r="E4" s="176">
        <v>106438</v>
      </c>
      <c r="F4" s="177" t="s">
        <v>231</v>
      </c>
      <c r="G4" s="178">
        <v>8898.5</v>
      </c>
      <c r="H4" s="179">
        <v>42826</v>
      </c>
      <c r="I4" s="178">
        <f t="shared" ref="I4:I67" si="1">G4</f>
        <v>8898.5</v>
      </c>
      <c r="J4" s="178">
        <f t="shared" ref="J4:J67" si="2">G4-I4</f>
        <v>0</v>
      </c>
    </row>
    <row r="5" spans="1:11" x14ac:dyDescent="0.25">
      <c r="A5" s="51">
        <v>42826</v>
      </c>
      <c r="B5" s="174" t="s">
        <v>11512</v>
      </c>
      <c r="C5" s="175"/>
      <c r="D5" s="176" t="s">
        <v>11512</v>
      </c>
      <c r="E5" s="176">
        <v>106439</v>
      </c>
      <c r="F5" s="177" t="s">
        <v>374</v>
      </c>
      <c r="G5" s="178">
        <v>540</v>
      </c>
      <c r="H5" s="179">
        <v>42826</v>
      </c>
      <c r="I5" s="178">
        <f t="shared" si="1"/>
        <v>540</v>
      </c>
      <c r="J5" s="178">
        <f t="shared" si="2"/>
        <v>0</v>
      </c>
    </row>
    <row r="6" spans="1:11" x14ac:dyDescent="0.25">
      <c r="A6" s="51">
        <v>42826</v>
      </c>
      <c r="B6" s="174" t="s">
        <v>11513</v>
      </c>
      <c r="C6" s="175"/>
      <c r="D6" s="176" t="s">
        <v>11513</v>
      </c>
      <c r="E6" s="176">
        <v>106440</v>
      </c>
      <c r="F6" s="177" t="s">
        <v>231</v>
      </c>
      <c r="G6" s="178">
        <v>32954.400000000001</v>
      </c>
      <c r="H6" s="179">
        <v>42827</v>
      </c>
      <c r="I6" s="178">
        <f t="shared" si="1"/>
        <v>32954.400000000001</v>
      </c>
      <c r="J6" s="178">
        <f t="shared" si="2"/>
        <v>0</v>
      </c>
      <c r="K6" s="19"/>
    </row>
    <row r="7" spans="1:11" x14ac:dyDescent="0.25">
      <c r="A7" s="51">
        <v>42826</v>
      </c>
      <c r="B7" s="174" t="s">
        <v>11514</v>
      </c>
      <c r="C7" s="175"/>
      <c r="D7" s="176" t="s">
        <v>11514</v>
      </c>
      <c r="E7" s="176">
        <v>106441</v>
      </c>
      <c r="F7" s="177" t="s">
        <v>55</v>
      </c>
      <c r="G7" s="178">
        <v>38058.800000000003</v>
      </c>
      <c r="H7" s="180" t="s">
        <v>11499</v>
      </c>
      <c r="I7" s="181">
        <f>28000+10058.8</f>
        <v>38058.800000000003</v>
      </c>
      <c r="J7" s="181">
        <f t="shared" si="2"/>
        <v>0</v>
      </c>
      <c r="K7" s="19"/>
    </row>
    <row r="8" spans="1:11" x14ac:dyDescent="0.25">
      <c r="A8" s="51">
        <v>42826</v>
      </c>
      <c r="B8" s="174" t="s">
        <v>11515</v>
      </c>
      <c r="C8" s="175"/>
      <c r="D8" s="176" t="s">
        <v>11515</v>
      </c>
      <c r="E8" s="176">
        <v>106442</v>
      </c>
      <c r="F8" s="177" t="s">
        <v>26</v>
      </c>
      <c r="G8" s="178">
        <v>27464.9</v>
      </c>
      <c r="H8" s="179">
        <v>42826</v>
      </c>
      <c r="I8" s="178">
        <f t="shared" si="1"/>
        <v>27464.9</v>
      </c>
      <c r="J8" s="178">
        <f t="shared" si="2"/>
        <v>0</v>
      </c>
      <c r="K8" s="19"/>
    </row>
    <row r="9" spans="1:11" ht="15" customHeight="1" x14ac:dyDescent="0.25">
      <c r="A9" s="51">
        <v>42826</v>
      </c>
      <c r="B9" s="174" t="s">
        <v>11516</v>
      </c>
      <c r="C9" s="175"/>
      <c r="D9" s="176" t="s">
        <v>11516</v>
      </c>
      <c r="E9" s="176">
        <v>106443</v>
      </c>
      <c r="F9" s="177" t="s">
        <v>428</v>
      </c>
      <c r="G9" s="178">
        <v>1444.4</v>
      </c>
      <c r="H9" s="179">
        <v>42828</v>
      </c>
      <c r="I9" s="178">
        <f t="shared" si="1"/>
        <v>1444.4</v>
      </c>
      <c r="J9" s="178">
        <f t="shared" si="2"/>
        <v>0</v>
      </c>
      <c r="K9" s="19"/>
    </row>
    <row r="10" spans="1:11" ht="15" customHeight="1" x14ac:dyDescent="0.25">
      <c r="A10" s="51">
        <v>42826</v>
      </c>
      <c r="B10" s="174" t="s">
        <v>11517</v>
      </c>
      <c r="C10" s="175"/>
      <c r="D10" s="176" t="s">
        <v>11517</v>
      </c>
      <c r="E10" s="176">
        <v>106444</v>
      </c>
      <c r="F10" s="177" t="s">
        <v>19</v>
      </c>
      <c r="G10" s="178">
        <v>1350</v>
      </c>
      <c r="H10" s="179">
        <v>42826</v>
      </c>
      <c r="I10" s="178">
        <f t="shared" si="1"/>
        <v>1350</v>
      </c>
      <c r="J10" s="178">
        <f t="shared" si="2"/>
        <v>0</v>
      </c>
      <c r="K10" s="19"/>
    </row>
    <row r="11" spans="1:11" ht="15" customHeight="1" x14ac:dyDescent="0.25">
      <c r="A11" s="51">
        <v>42826</v>
      </c>
      <c r="B11" s="174" t="s">
        <v>11518</v>
      </c>
      <c r="C11" s="175"/>
      <c r="D11" s="176" t="s">
        <v>11518</v>
      </c>
      <c r="E11" s="176">
        <v>106445</v>
      </c>
      <c r="F11" s="177" t="s">
        <v>47</v>
      </c>
      <c r="G11" s="178">
        <v>3999.4</v>
      </c>
      <c r="H11" s="179">
        <v>42826</v>
      </c>
      <c r="I11" s="178">
        <f t="shared" si="1"/>
        <v>3999.4</v>
      </c>
      <c r="J11" s="178">
        <f t="shared" si="2"/>
        <v>0</v>
      </c>
      <c r="K11" s="19"/>
    </row>
    <row r="12" spans="1:11" ht="15" customHeight="1" x14ac:dyDescent="0.25">
      <c r="A12" s="51">
        <v>42826</v>
      </c>
      <c r="B12" s="174" t="s">
        <v>11519</v>
      </c>
      <c r="C12" s="175"/>
      <c r="D12" s="176" t="s">
        <v>11519</v>
      </c>
      <c r="E12" s="176">
        <v>106446</v>
      </c>
      <c r="F12" s="177" t="s">
        <v>1786</v>
      </c>
      <c r="G12" s="178">
        <v>9445.2000000000007</v>
      </c>
      <c r="H12" s="179">
        <v>42826</v>
      </c>
      <c r="I12" s="178">
        <f t="shared" si="1"/>
        <v>9445.2000000000007</v>
      </c>
      <c r="J12" s="178">
        <f t="shared" si="2"/>
        <v>0</v>
      </c>
      <c r="K12" s="19"/>
    </row>
    <row r="13" spans="1:11" ht="15" customHeight="1" x14ac:dyDescent="0.25">
      <c r="A13" s="51">
        <v>42826</v>
      </c>
      <c r="B13" s="174" t="s">
        <v>11520</v>
      </c>
      <c r="C13" s="175"/>
      <c r="D13" s="176" t="s">
        <v>11520</v>
      </c>
      <c r="E13" s="176">
        <v>106447</v>
      </c>
      <c r="F13" s="177" t="s">
        <v>28</v>
      </c>
      <c r="G13" s="178">
        <v>14212.8</v>
      </c>
      <c r="H13" s="179">
        <v>42826</v>
      </c>
      <c r="I13" s="178">
        <f t="shared" si="1"/>
        <v>14212.8</v>
      </c>
      <c r="J13" s="178">
        <f t="shared" si="2"/>
        <v>0</v>
      </c>
      <c r="K13" s="19"/>
    </row>
    <row r="14" spans="1:11" ht="15" customHeight="1" x14ac:dyDescent="0.25">
      <c r="A14" s="51">
        <v>42826</v>
      </c>
      <c r="B14" s="174" t="s">
        <v>11521</v>
      </c>
      <c r="C14" s="175"/>
      <c r="D14" s="176" t="s">
        <v>11521</v>
      </c>
      <c r="E14" s="176">
        <v>106448</v>
      </c>
      <c r="F14" s="177" t="s">
        <v>205</v>
      </c>
      <c r="G14" s="178">
        <v>13028.4</v>
      </c>
      <c r="H14" s="179">
        <v>42826</v>
      </c>
      <c r="I14" s="178">
        <f t="shared" si="1"/>
        <v>13028.4</v>
      </c>
      <c r="J14" s="178">
        <f t="shared" si="2"/>
        <v>0</v>
      </c>
      <c r="K14" s="19"/>
    </row>
    <row r="15" spans="1:11" ht="15" customHeight="1" x14ac:dyDescent="0.25">
      <c r="A15" s="51">
        <v>42826</v>
      </c>
      <c r="B15" s="174" t="s">
        <v>11522</v>
      </c>
      <c r="C15" s="175"/>
      <c r="D15" s="176" t="s">
        <v>11522</v>
      </c>
      <c r="E15" s="176">
        <v>106449</v>
      </c>
      <c r="F15" s="177" t="s">
        <v>71</v>
      </c>
      <c r="G15" s="178">
        <v>1759.5</v>
      </c>
      <c r="H15" s="179">
        <v>42826</v>
      </c>
      <c r="I15" s="178">
        <f t="shared" si="1"/>
        <v>1759.5</v>
      </c>
      <c r="J15" s="178">
        <f t="shared" si="2"/>
        <v>0</v>
      </c>
      <c r="K15" s="19"/>
    </row>
    <row r="16" spans="1:11" ht="15" customHeight="1" x14ac:dyDescent="0.25">
      <c r="A16" s="51">
        <v>42826</v>
      </c>
      <c r="B16" s="174" t="s">
        <v>11523</v>
      </c>
      <c r="C16" s="175"/>
      <c r="D16" s="176" t="s">
        <v>11523</v>
      </c>
      <c r="E16" s="176">
        <v>106450</v>
      </c>
      <c r="F16" s="177" t="s">
        <v>17</v>
      </c>
      <c r="G16" s="178">
        <v>6750</v>
      </c>
      <c r="H16" s="179">
        <v>42826</v>
      </c>
      <c r="I16" s="178">
        <f t="shared" si="1"/>
        <v>6750</v>
      </c>
      <c r="J16" s="178">
        <f t="shared" si="2"/>
        <v>0</v>
      </c>
      <c r="K16" s="19"/>
    </row>
    <row r="17" spans="1:11" ht="15" customHeight="1" x14ac:dyDescent="0.25">
      <c r="A17" s="51">
        <v>42826</v>
      </c>
      <c r="B17" s="174" t="s">
        <v>11524</v>
      </c>
      <c r="C17" s="175"/>
      <c r="D17" s="176" t="s">
        <v>11524</v>
      </c>
      <c r="E17" s="176">
        <v>106451</v>
      </c>
      <c r="F17" s="177" t="s">
        <v>69</v>
      </c>
      <c r="G17" s="178">
        <v>1438.3</v>
      </c>
      <c r="H17" s="179">
        <v>42826</v>
      </c>
      <c r="I17" s="178">
        <f t="shared" si="1"/>
        <v>1438.3</v>
      </c>
      <c r="J17" s="178">
        <f t="shared" si="2"/>
        <v>0</v>
      </c>
      <c r="K17" s="19"/>
    </row>
    <row r="18" spans="1:11" ht="15" customHeight="1" x14ac:dyDescent="0.25">
      <c r="A18" s="51">
        <v>42826</v>
      </c>
      <c r="B18" s="174" t="s">
        <v>11525</v>
      </c>
      <c r="C18" s="175"/>
      <c r="D18" s="176" t="s">
        <v>11525</v>
      </c>
      <c r="E18" s="176">
        <v>106452</v>
      </c>
      <c r="F18" s="177" t="s">
        <v>222</v>
      </c>
      <c r="G18" s="178">
        <v>53484.800000000003</v>
      </c>
      <c r="H18" s="179">
        <v>42830</v>
      </c>
      <c r="I18" s="178">
        <f t="shared" si="1"/>
        <v>53484.800000000003</v>
      </c>
      <c r="J18" s="178">
        <f t="shared" si="2"/>
        <v>0</v>
      </c>
      <c r="K18" s="19"/>
    </row>
    <row r="19" spans="1:11" ht="15" customHeight="1" x14ac:dyDescent="0.25">
      <c r="A19" s="51">
        <v>42826</v>
      </c>
      <c r="B19" s="174" t="s">
        <v>11526</v>
      </c>
      <c r="C19" s="175"/>
      <c r="D19" s="176" t="s">
        <v>11526</v>
      </c>
      <c r="E19" s="176">
        <v>106453</v>
      </c>
      <c r="F19" s="177" t="s">
        <v>35</v>
      </c>
      <c r="G19" s="178">
        <v>29189.8</v>
      </c>
      <c r="H19" s="179">
        <v>42830</v>
      </c>
      <c r="I19" s="178">
        <f t="shared" si="1"/>
        <v>29189.8</v>
      </c>
      <c r="J19" s="178">
        <f t="shared" si="2"/>
        <v>0</v>
      </c>
      <c r="K19" s="19"/>
    </row>
    <row r="20" spans="1:11" ht="15" customHeight="1" x14ac:dyDescent="0.25">
      <c r="A20" s="51">
        <v>42826</v>
      </c>
      <c r="B20" s="174" t="s">
        <v>11527</v>
      </c>
      <c r="C20" s="175"/>
      <c r="D20" s="176" t="s">
        <v>11527</v>
      </c>
      <c r="E20" s="176">
        <v>106454</v>
      </c>
      <c r="F20" s="177" t="s">
        <v>49</v>
      </c>
      <c r="G20" s="178">
        <v>22816.2</v>
      </c>
      <c r="H20" s="179">
        <v>42829</v>
      </c>
      <c r="I20" s="178">
        <f t="shared" si="1"/>
        <v>22816.2</v>
      </c>
      <c r="J20" s="178">
        <f t="shared" si="2"/>
        <v>0</v>
      </c>
      <c r="K20" s="19"/>
    </row>
    <row r="21" spans="1:11" ht="15" customHeight="1" x14ac:dyDescent="0.25">
      <c r="A21" s="51">
        <v>42826</v>
      </c>
      <c r="B21" s="174" t="s">
        <v>11528</v>
      </c>
      <c r="C21" s="175"/>
      <c r="D21" s="176" t="s">
        <v>11528</v>
      </c>
      <c r="E21" s="176">
        <v>106455</v>
      </c>
      <c r="F21" s="177" t="s">
        <v>32</v>
      </c>
      <c r="G21" s="178">
        <v>14838.8</v>
      </c>
      <c r="H21" s="179">
        <v>42830</v>
      </c>
      <c r="I21" s="178">
        <f t="shared" si="1"/>
        <v>14838.8</v>
      </c>
      <c r="J21" s="178">
        <f t="shared" si="2"/>
        <v>0</v>
      </c>
      <c r="K21" s="19"/>
    </row>
    <row r="22" spans="1:11" ht="15" customHeight="1" x14ac:dyDescent="0.25">
      <c r="A22" s="51">
        <v>42826</v>
      </c>
      <c r="B22" s="174" t="s">
        <v>11529</v>
      </c>
      <c r="C22" s="175"/>
      <c r="D22" s="176" t="s">
        <v>11529</v>
      </c>
      <c r="E22" s="176">
        <v>106456</v>
      </c>
      <c r="F22" s="177" t="s">
        <v>38</v>
      </c>
      <c r="G22" s="178">
        <v>3034.1</v>
      </c>
      <c r="H22" s="179">
        <v>42829</v>
      </c>
      <c r="I22" s="178">
        <f t="shared" si="1"/>
        <v>3034.1</v>
      </c>
      <c r="J22" s="178">
        <f t="shared" si="2"/>
        <v>0</v>
      </c>
      <c r="K22" s="19"/>
    </row>
    <row r="23" spans="1:11" ht="15" customHeight="1" x14ac:dyDescent="0.25">
      <c r="A23" s="51">
        <v>42826</v>
      </c>
      <c r="B23" s="174" t="s">
        <v>11530</v>
      </c>
      <c r="C23" s="175"/>
      <c r="D23" s="176" t="s">
        <v>11530</v>
      </c>
      <c r="E23" s="176">
        <v>106457</v>
      </c>
      <c r="F23" s="177" t="s">
        <v>40</v>
      </c>
      <c r="G23" s="178">
        <v>11763.2</v>
      </c>
      <c r="H23" s="180" t="s">
        <v>11501</v>
      </c>
      <c r="I23" s="181">
        <f>9000+2763.2</f>
        <v>11763.2</v>
      </c>
      <c r="J23" s="181">
        <f t="shared" si="2"/>
        <v>0</v>
      </c>
      <c r="K23" s="19"/>
    </row>
    <row r="24" spans="1:11" ht="15" customHeight="1" x14ac:dyDescent="0.25">
      <c r="A24" s="51">
        <v>42826</v>
      </c>
      <c r="B24" s="174" t="s">
        <v>11531</v>
      </c>
      <c r="C24" s="175"/>
      <c r="D24" s="176" t="s">
        <v>11531</v>
      </c>
      <c r="E24" s="176">
        <v>106458</v>
      </c>
      <c r="F24" s="177" t="s">
        <v>30</v>
      </c>
      <c r="G24" s="178">
        <v>1563.1</v>
      </c>
      <c r="H24" s="179">
        <v>42826</v>
      </c>
      <c r="I24" s="178">
        <f t="shared" si="1"/>
        <v>1563.1</v>
      </c>
      <c r="J24" s="178">
        <f t="shared" si="2"/>
        <v>0</v>
      </c>
      <c r="K24" s="19"/>
    </row>
    <row r="25" spans="1:11" ht="15" customHeight="1" x14ac:dyDescent="0.25">
      <c r="A25" s="51">
        <v>42826</v>
      </c>
      <c r="B25" s="174" t="s">
        <v>11532</v>
      </c>
      <c r="C25" s="175"/>
      <c r="D25" s="176" t="s">
        <v>11532</v>
      </c>
      <c r="E25" s="176">
        <v>106459</v>
      </c>
      <c r="F25" s="177" t="s">
        <v>21</v>
      </c>
      <c r="G25" s="178">
        <v>40616</v>
      </c>
      <c r="H25" s="179">
        <v>42844</v>
      </c>
      <c r="I25" s="178">
        <f t="shared" si="1"/>
        <v>40616</v>
      </c>
      <c r="J25" s="178">
        <f t="shared" si="2"/>
        <v>0</v>
      </c>
      <c r="K25" s="19"/>
    </row>
    <row r="26" spans="1:11" x14ac:dyDescent="0.25">
      <c r="A26" s="51">
        <v>42826</v>
      </c>
      <c r="B26" s="174" t="s">
        <v>11533</v>
      </c>
      <c r="C26" s="175"/>
      <c r="D26" s="176" t="s">
        <v>11533</v>
      </c>
      <c r="E26" s="176">
        <v>106460</v>
      </c>
      <c r="F26" s="177" t="s">
        <v>231</v>
      </c>
      <c r="G26" s="178">
        <v>1223.2</v>
      </c>
      <c r="H26" s="179">
        <v>42827</v>
      </c>
      <c r="I26" s="178">
        <f t="shared" si="1"/>
        <v>1223.2</v>
      </c>
      <c r="J26" s="178">
        <f t="shared" si="2"/>
        <v>0</v>
      </c>
      <c r="K26" s="19"/>
    </row>
    <row r="27" spans="1:11" x14ac:dyDescent="0.25">
      <c r="A27" s="51">
        <v>42826</v>
      </c>
      <c r="B27" s="174" t="s">
        <v>11534</v>
      </c>
      <c r="C27" s="175"/>
      <c r="D27" s="176" t="s">
        <v>11534</v>
      </c>
      <c r="E27" s="176">
        <v>106461</v>
      </c>
      <c r="F27" s="177" t="s">
        <v>43</v>
      </c>
      <c r="G27" s="178">
        <v>5986.2</v>
      </c>
      <c r="H27" s="179">
        <v>42828</v>
      </c>
      <c r="I27" s="178">
        <f t="shared" si="1"/>
        <v>5986.2</v>
      </c>
      <c r="J27" s="178">
        <f t="shared" si="2"/>
        <v>0</v>
      </c>
      <c r="K27" s="19"/>
    </row>
    <row r="28" spans="1:11" x14ac:dyDescent="0.25">
      <c r="A28" s="51">
        <v>42826</v>
      </c>
      <c r="B28" s="174" t="s">
        <v>11535</v>
      </c>
      <c r="C28" s="175"/>
      <c r="D28" s="176" t="s">
        <v>11535</v>
      </c>
      <c r="E28" s="176">
        <v>106462</v>
      </c>
      <c r="F28" s="177" t="s">
        <v>712</v>
      </c>
      <c r="G28" s="178">
        <v>10473.6</v>
      </c>
      <c r="H28" s="179"/>
      <c r="I28" s="178">
        <f t="shared" si="1"/>
        <v>10473.6</v>
      </c>
      <c r="J28" s="178">
        <f t="shared" si="2"/>
        <v>0</v>
      </c>
      <c r="K28" s="19"/>
    </row>
    <row r="29" spans="1:11" x14ac:dyDescent="0.25">
      <c r="A29" s="51">
        <v>42826</v>
      </c>
      <c r="B29" s="174" t="s">
        <v>11536</v>
      </c>
      <c r="C29" s="175"/>
      <c r="D29" s="176" t="s">
        <v>11536</v>
      </c>
      <c r="E29" s="176">
        <v>106463</v>
      </c>
      <c r="F29" s="177" t="s">
        <v>250</v>
      </c>
      <c r="G29" s="178">
        <v>9352.2000000000007</v>
      </c>
      <c r="H29" s="179"/>
      <c r="I29" s="178">
        <f t="shared" si="1"/>
        <v>9352.2000000000007</v>
      </c>
      <c r="J29" s="178">
        <f t="shared" si="2"/>
        <v>0</v>
      </c>
      <c r="K29" s="19"/>
    </row>
    <row r="30" spans="1:11" x14ac:dyDescent="0.25">
      <c r="A30" s="51">
        <v>42826</v>
      </c>
      <c r="B30" s="174" t="s">
        <v>11537</v>
      </c>
      <c r="C30" s="175"/>
      <c r="D30" s="176" t="s">
        <v>11537</v>
      </c>
      <c r="E30" s="176">
        <v>106464</v>
      </c>
      <c r="F30" s="177" t="s">
        <v>30</v>
      </c>
      <c r="G30" s="178">
        <v>3082.2</v>
      </c>
      <c r="H30" s="179">
        <v>42826</v>
      </c>
      <c r="I30" s="178">
        <f t="shared" si="1"/>
        <v>3082.2</v>
      </c>
      <c r="J30" s="178">
        <f t="shared" si="2"/>
        <v>0</v>
      </c>
      <c r="K30" s="19"/>
    </row>
    <row r="31" spans="1:11" x14ac:dyDescent="0.25">
      <c r="A31" s="51">
        <v>42826</v>
      </c>
      <c r="B31" s="174" t="s">
        <v>11538</v>
      </c>
      <c r="C31" s="175"/>
      <c r="D31" s="176" t="s">
        <v>11538</v>
      </c>
      <c r="E31" s="176">
        <v>106465</v>
      </c>
      <c r="F31" s="177" t="s">
        <v>250</v>
      </c>
      <c r="G31" s="178">
        <v>17247.2</v>
      </c>
      <c r="H31" s="180" t="s">
        <v>11501</v>
      </c>
      <c r="I31" s="181">
        <f>16000+1247.2</f>
        <v>17247.2</v>
      </c>
      <c r="J31" s="181">
        <f t="shared" si="2"/>
        <v>0</v>
      </c>
      <c r="K31" s="19"/>
    </row>
    <row r="32" spans="1:11" x14ac:dyDescent="0.25">
      <c r="A32" s="51">
        <v>42826</v>
      </c>
      <c r="B32" s="174" t="s">
        <v>11539</v>
      </c>
      <c r="C32" s="175"/>
      <c r="D32" s="176" t="s">
        <v>11539</v>
      </c>
      <c r="E32" s="176">
        <v>106466</v>
      </c>
      <c r="F32" s="177" t="s">
        <v>30</v>
      </c>
      <c r="G32" s="178">
        <v>7752</v>
      </c>
      <c r="H32" s="179">
        <v>42826</v>
      </c>
      <c r="I32" s="178">
        <f t="shared" si="1"/>
        <v>7752</v>
      </c>
      <c r="J32" s="178">
        <f t="shared" si="2"/>
        <v>0</v>
      </c>
      <c r="K32" s="19"/>
    </row>
    <row r="33" spans="1:11" x14ac:dyDescent="0.25">
      <c r="A33" s="51">
        <v>42826</v>
      </c>
      <c r="B33" s="174" t="s">
        <v>11540</v>
      </c>
      <c r="C33" s="175"/>
      <c r="D33" s="176" t="s">
        <v>11540</v>
      </c>
      <c r="E33" s="176">
        <v>106467</v>
      </c>
      <c r="F33" s="177" t="s">
        <v>51</v>
      </c>
      <c r="G33" s="178">
        <v>9438</v>
      </c>
      <c r="H33" s="179">
        <v>42829</v>
      </c>
      <c r="I33" s="178">
        <f t="shared" si="1"/>
        <v>9438</v>
      </c>
      <c r="J33" s="178">
        <f t="shared" si="2"/>
        <v>0</v>
      </c>
      <c r="K33" s="19"/>
    </row>
    <row r="34" spans="1:11" x14ac:dyDescent="0.25">
      <c r="A34" s="51">
        <v>42826</v>
      </c>
      <c r="B34" s="174" t="s">
        <v>11541</v>
      </c>
      <c r="C34" s="175"/>
      <c r="D34" s="176" t="s">
        <v>11541</v>
      </c>
      <c r="E34" s="176">
        <v>106468</v>
      </c>
      <c r="F34" s="177" t="s">
        <v>43</v>
      </c>
      <c r="G34" s="178">
        <v>6464.1</v>
      </c>
      <c r="H34" s="179">
        <v>42828</v>
      </c>
      <c r="I34" s="178">
        <f t="shared" si="1"/>
        <v>6464.1</v>
      </c>
      <c r="J34" s="178">
        <f t="shared" si="2"/>
        <v>0</v>
      </c>
      <c r="K34" s="19"/>
    </row>
    <row r="35" spans="1:11" x14ac:dyDescent="0.25">
      <c r="A35" s="51">
        <v>42826</v>
      </c>
      <c r="B35" s="174" t="s">
        <v>11542</v>
      </c>
      <c r="C35" s="175"/>
      <c r="D35" s="176" t="s">
        <v>11542</v>
      </c>
      <c r="E35" s="176">
        <v>106469</v>
      </c>
      <c r="F35" s="177" t="s">
        <v>30</v>
      </c>
      <c r="G35" s="178">
        <v>280</v>
      </c>
      <c r="H35" s="179"/>
      <c r="I35" s="178">
        <f t="shared" si="1"/>
        <v>280</v>
      </c>
      <c r="J35" s="178">
        <f t="shared" si="2"/>
        <v>0</v>
      </c>
      <c r="K35" s="19"/>
    </row>
    <row r="36" spans="1:11" x14ac:dyDescent="0.25">
      <c r="A36" s="51">
        <v>42826</v>
      </c>
      <c r="B36" s="174" t="s">
        <v>11543</v>
      </c>
      <c r="C36" s="175"/>
      <c r="D36" s="176" t="s">
        <v>11543</v>
      </c>
      <c r="E36" s="176">
        <v>106470</v>
      </c>
      <c r="F36" s="177" t="s">
        <v>40</v>
      </c>
      <c r="G36" s="178">
        <v>170.4</v>
      </c>
      <c r="H36" s="179">
        <v>42828</v>
      </c>
      <c r="I36" s="178">
        <f t="shared" si="1"/>
        <v>170.4</v>
      </c>
      <c r="J36" s="178">
        <f t="shared" si="2"/>
        <v>0</v>
      </c>
      <c r="K36" s="19"/>
    </row>
    <row r="37" spans="1:11" x14ac:dyDescent="0.25">
      <c r="A37" s="51">
        <v>42826</v>
      </c>
      <c r="B37" s="174" t="s">
        <v>11544</v>
      </c>
      <c r="C37" s="175"/>
      <c r="D37" s="176" t="s">
        <v>11544</v>
      </c>
      <c r="E37" s="176">
        <v>106471</v>
      </c>
      <c r="F37" s="177" t="s">
        <v>1666</v>
      </c>
      <c r="G37" s="178">
        <v>15123.9</v>
      </c>
      <c r="H37" s="179">
        <v>42830</v>
      </c>
      <c r="I37" s="178">
        <f t="shared" si="1"/>
        <v>15123.9</v>
      </c>
      <c r="J37" s="178">
        <f t="shared" si="2"/>
        <v>0</v>
      </c>
      <c r="K37" s="19"/>
    </row>
    <row r="38" spans="1:11" x14ac:dyDescent="0.25">
      <c r="A38" s="51">
        <v>42826</v>
      </c>
      <c r="B38" s="174" t="s">
        <v>11545</v>
      </c>
      <c r="C38" s="175"/>
      <c r="D38" s="176" t="s">
        <v>11545</v>
      </c>
      <c r="E38" s="176">
        <v>106472</v>
      </c>
      <c r="F38" s="177" t="s">
        <v>274</v>
      </c>
      <c r="G38" s="178">
        <v>13570</v>
      </c>
      <c r="H38" s="179">
        <v>42832</v>
      </c>
      <c r="I38" s="178">
        <f t="shared" si="1"/>
        <v>13570</v>
      </c>
      <c r="J38" s="178">
        <f t="shared" si="2"/>
        <v>0</v>
      </c>
      <c r="K38" s="19"/>
    </row>
    <row r="39" spans="1:11" x14ac:dyDescent="0.25">
      <c r="A39" s="51">
        <v>42826</v>
      </c>
      <c r="B39" s="174" t="s">
        <v>11546</v>
      </c>
      <c r="C39" s="175"/>
      <c r="D39" s="176" t="s">
        <v>11546</v>
      </c>
      <c r="E39" s="176">
        <v>106473</v>
      </c>
      <c r="F39" s="177" t="s">
        <v>79</v>
      </c>
      <c r="G39" s="178">
        <v>3186</v>
      </c>
      <c r="H39" s="179">
        <v>42826</v>
      </c>
      <c r="I39" s="178">
        <f t="shared" si="1"/>
        <v>3186</v>
      </c>
      <c r="J39" s="178">
        <f t="shared" si="2"/>
        <v>0</v>
      </c>
      <c r="K39" s="19"/>
    </row>
    <row r="40" spans="1:11" x14ac:dyDescent="0.25">
      <c r="A40" s="51">
        <v>42826</v>
      </c>
      <c r="B40" s="174" t="s">
        <v>11547</v>
      </c>
      <c r="C40" s="175"/>
      <c r="D40" s="176" t="s">
        <v>11547</v>
      </c>
      <c r="E40" s="176">
        <v>106474</v>
      </c>
      <c r="F40" s="177" t="s">
        <v>10</v>
      </c>
      <c r="G40" s="178">
        <v>11962.8</v>
      </c>
      <c r="H40" s="179">
        <v>42828</v>
      </c>
      <c r="I40" s="178">
        <f t="shared" si="1"/>
        <v>11962.8</v>
      </c>
      <c r="J40" s="178">
        <f t="shared" si="2"/>
        <v>0</v>
      </c>
      <c r="K40" s="19"/>
    </row>
    <row r="41" spans="1:11" x14ac:dyDescent="0.25">
      <c r="A41" s="51">
        <v>42826</v>
      </c>
      <c r="B41" s="174" t="s">
        <v>11548</v>
      </c>
      <c r="C41" s="175"/>
      <c r="D41" s="176" t="s">
        <v>11548</v>
      </c>
      <c r="E41" s="176">
        <v>106475</v>
      </c>
      <c r="F41" s="177" t="s">
        <v>509</v>
      </c>
      <c r="G41" s="178">
        <v>17648.400000000001</v>
      </c>
      <c r="H41" s="179">
        <v>42833</v>
      </c>
      <c r="I41" s="178">
        <f t="shared" si="1"/>
        <v>17648.400000000001</v>
      </c>
      <c r="J41" s="178">
        <f t="shared" si="2"/>
        <v>0</v>
      </c>
      <c r="K41" s="19"/>
    </row>
    <row r="42" spans="1:11" x14ac:dyDescent="0.25">
      <c r="A42" s="51">
        <v>42826</v>
      </c>
      <c r="B42" s="174" t="s">
        <v>11549</v>
      </c>
      <c r="C42" s="175"/>
      <c r="D42" s="176" t="s">
        <v>11549</v>
      </c>
      <c r="E42" s="176">
        <v>106476</v>
      </c>
      <c r="F42" s="177" t="s">
        <v>270</v>
      </c>
      <c r="G42" s="178">
        <v>1485.6</v>
      </c>
      <c r="H42" s="179"/>
      <c r="I42" s="178">
        <f t="shared" si="1"/>
        <v>1485.6</v>
      </c>
      <c r="J42" s="178">
        <f t="shared" si="2"/>
        <v>0</v>
      </c>
      <c r="K42" s="19"/>
    </row>
    <row r="43" spans="1:11" x14ac:dyDescent="0.25">
      <c r="A43" s="51">
        <v>42826</v>
      </c>
      <c r="B43" s="174" t="s">
        <v>11550</v>
      </c>
      <c r="C43" s="175"/>
      <c r="D43" s="176" t="s">
        <v>11550</v>
      </c>
      <c r="E43" s="176">
        <v>106477</v>
      </c>
      <c r="F43" s="182" t="s">
        <v>270</v>
      </c>
      <c r="G43" s="183">
        <v>0</v>
      </c>
      <c r="H43" s="184" t="s">
        <v>95</v>
      </c>
      <c r="I43" s="183">
        <f t="shared" si="1"/>
        <v>0</v>
      </c>
      <c r="J43" s="183">
        <f t="shared" si="2"/>
        <v>0</v>
      </c>
      <c r="K43" s="19"/>
    </row>
    <row r="44" spans="1:11" x14ac:dyDescent="0.25">
      <c r="A44" s="51">
        <v>42826</v>
      </c>
      <c r="B44" s="174" t="s">
        <v>11551</v>
      </c>
      <c r="C44" s="175"/>
      <c r="D44" s="176" t="s">
        <v>11551</v>
      </c>
      <c r="E44" s="176">
        <v>106478</v>
      </c>
      <c r="F44" s="182" t="s">
        <v>270</v>
      </c>
      <c r="G44" s="183">
        <v>0</v>
      </c>
      <c r="H44" s="184" t="s">
        <v>95</v>
      </c>
      <c r="I44" s="183">
        <f t="shared" si="1"/>
        <v>0</v>
      </c>
      <c r="J44" s="183">
        <f t="shared" si="2"/>
        <v>0</v>
      </c>
      <c r="K44" s="19"/>
    </row>
    <row r="45" spans="1:11" x14ac:dyDescent="0.25">
      <c r="A45" s="51">
        <v>42826</v>
      </c>
      <c r="B45" s="174" t="s">
        <v>11552</v>
      </c>
      <c r="C45" s="175"/>
      <c r="D45" s="176" t="s">
        <v>11552</v>
      </c>
      <c r="E45" s="176">
        <v>106479</v>
      </c>
      <c r="F45" s="177" t="s">
        <v>268</v>
      </c>
      <c r="G45" s="178">
        <v>17878.400000000001</v>
      </c>
      <c r="H45" s="179">
        <v>42830</v>
      </c>
      <c r="I45" s="178">
        <f t="shared" si="1"/>
        <v>17878.400000000001</v>
      </c>
      <c r="J45" s="178">
        <f t="shared" si="2"/>
        <v>0</v>
      </c>
      <c r="K45" s="19"/>
    </row>
    <row r="46" spans="1:11" x14ac:dyDescent="0.25">
      <c r="A46" s="51">
        <v>42826</v>
      </c>
      <c r="B46" s="174" t="s">
        <v>11553</v>
      </c>
      <c r="C46" s="175"/>
      <c r="D46" s="176" t="s">
        <v>11553</v>
      </c>
      <c r="E46" s="176">
        <v>106480</v>
      </c>
      <c r="F46" s="177" t="s">
        <v>435</v>
      </c>
      <c r="G46" s="178">
        <v>5348.1</v>
      </c>
      <c r="H46" s="179">
        <v>42830</v>
      </c>
      <c r="I46" s="178">
        <f t="shared" si="1"/>
        <v>5348.1</v>
      </c>
      <c r="J46" s="178">
        <f t="shared" si="2"/>
        <v>0</v>
      </c>
      <c r="K46" s="19"/>
    </row>
    <row r="47" spans="1:11" x14ac:dyDescent="0.25">
      <c r="A47" s="51">
        <v>42826</v>
      </c>
      <c r="B47" s="174" t="s">
        <v>11554</v>
      </c>
      <c r="C47" s="175"/>
      <c r="D47" s="176" t="s">
        <v>11554</v>
      </c>
      <c r="E47" s="176">
        <v>106481</v>
      </c>
      <c r="F47" s="177" t="s">
        <v>921</v>
      </c>
      <c r="G47" s="178">
        <v>8162.7</v>
      </c>
      <c r="H47" s="179"/>
      <c r="I47" s="178">
        <f t="shared" si="1"/>
        <v>8162.7</v>
      </c>
      <c r="J47" s="178">
        <f t="shared" si="2"/>
        <v>0</v>
      </c>
      <c r="K47" s="19"/>
    </row>
    <row r="48" spans="1:11" x14ac:dyDescent="0.25">
      <c r="A48" s="51">
        <v>42826</v>
      </c>
      <c r="B48" s="174" t="s">
        <v>11555</v>
      </c>
      <c r="C48" s="175"/>
      <c r="D48" s="176" t="s">
        <v>11555</v>
      </c>
      <c r="E48" s="176">
        <v>106482</v>
      </c>
      <c r="F48" s="177" t="s">
        <v>432</v>
      </c>
      <c r="G48" s="178">
        <v>14447.4</v>
      </c>
      <c r="H48" s="179">
        <v>42830</v>
      </c>
      <c r="I48" s="178">
        <f t="shared" si="1"/>
        <v>14447.4</v>
      </c>
      <c r="J48" s="178">
        <f t="shared" si="2"/>
        <v>0</v>
      </c>
      <c r="K48" s="19"/>
    </row>
    <row r="49" spans="1:11" x14ac:dyDescent="0.25">
      <c r="A49" s="51">
        <v>42826</v>
      </c>
      <c r="B49" s="174" t="s">
        <v>11556</v>
      </c>
      <c r="C49" s="175"/>
      <c r="D49" s="176" t="s">
        <v>11556</v>
      </c>
      <c r="E49" s="176">
        <v>106483</v>
      </c>
      <c r="F49" s="177" t="s">
        <v>1870</v>
      </c>
      <c r="G49" s="178">
        <v>1417.8</v>
      </c>
      <c r="H49" s="179">
        <v>42826</v>
      </c>
      <c r="I49" s="178">
        <f t="shared" si="1"/>
        <v>1417.8</v>
      </c>
      <c r="J49" s="178">
        <f t="shared" si="2"/>
        <v>0</v>
      </c>
      <c r="K49" s="19"/>
    </row>
    <row r="50" spans="1:11" x14ac:dyDescent="0.25">
      <c r="A50" s="51">
        <v>42826</v>
      </c>
      <c r="B50" s="174" t="s">
        <v>11557</v>
      </c>
      <c r="C50" s="175"/>
      <c r="D50" s="176" t="s">
        <v>11557</v>
      </c>
      <c r="E50" s="176">
        <v>106484</v>
      </c>
      <c r="F50" s="177" t="s">
        <v>240</v>
      </c>
      <c r="G50" s="178">
        <v>6024.9</v>
      </c>
      <c r="H50" s="179">
        <v>42826</v>
      </c>
      <c r="I50" s="178">
        <f t="shared" si="1"/>
        <v>6024.9</v>
      </c>
      <c r="J50" s="178">
        <f t="shared" si="2"/>
        <v>0</v>
      </c>
      <c r="K50" s="19"/>
    </row>
    <row r="51" spans="1:11" x14ac:dyDescent="0.25">
      <c r="A51" s="51">
        <v>42826</v>
      </c>
      <c r="B51" s="174" t="s">
        <v>11558</v>
      </c>
      <c r="C51" s="175"/>
      <c r="D51" s="176" t="s">
        <v>11558</v>
      </c>
      <c r="E51" s="176">
        <v>106485</v>
      </c>
      <c r="F51" s="177" t="s">
        <v>270</v>
      </c>
      <c r="G51" s="178">
        <v>1485.6</v>
      </c>
      <c r="H51" s="179">
        <v>42830</v>
      </c>
      <c r="I51" s="178">
        <f t="shared" si="1"/>
        <v>1485.6</v>
      </c>
      <c r="J51" s="178">
        <f t="shared" si="2"/>
        <v>0</v>
      </c>
      <c r="K51" s="19"/>
    </row>
    <row r="52" spans="1:11" x14ac:dyDescent="0.25">
      <c r="A52" s="51">
        <v>42826</v>
      </c>
      <c r="B52" s="174" t="s">
        <v>11559</v>
      </c>
      <c r="C52" s="175"/>
      <c r="D52" s="176" t="s">
        <v>11559</v>
      </c>
      <c r="E52" s="176">
        <v>106486</v>
      </c>
      <c r="F52" s="177" t="s">
        <v>10</v>
      </c>
      <c r="G52" s="178">
        <v>1344</v>
      </c>
      <c r="H52" s="179">
        <v>42828</v>
      </c>
      <c r="I52" s="178">
        <f t="shared" si="1"/>
        <v>1344</v>
      </c>
      <c r="J52" s="178">
        <f t="shared" si="2"/>
        <v>0</v>
      </c>
      <c r="K52" s="19"/>
    </row>
    <row r="53" spans="1:11" x14ac:dyDescent="0.25">
      <c r="A53" s="51">
        <v>42826</v>
      </c>
      <c r="B53" s="174" t="s">
        <v>11560</v>
      </c>
      <c r="C53" s="175"/>
      <c r="D53" s="176" t="s">
        <v>11560</v>
      </c>
      <c r="E53" s="176">
        <v>106487</v>
      </c>
      <c r="F53" s="177" t="s">
        <v>101</v>
      </c>
      <c r="G53" s="178">
        <v>1575</v>
      </c>
      <c r="H53" s="179">
        <v>42826</v>
      </c>
      <c r="I53" s="178">
        <f t="shared" si="1"/>
        <v>1575</v>
      </c>
      <c r="J53" s="178">
        <f t="shared" si="2"/>
        <v>0</v>
      </c>
      <c r="K53" s="19"/>
    </row>
    <row r="54" spans="1:11" x14ac:dyDescent="0.25">
      <c r="A54" s="51">
        <v>42826</v>
      </c>
      <c r="B54" s="174" t="s">
        <v>11561</v>
      </c>
      <c r="C54" s="175"/>
      <c r="D54" s="176" t="s">
        <v>11561</v>
      </c>
      <c r="E54" s="176">
        <v>106488</v>
      </c>
      <c r="F54" s="177" t="s">
        <v>281</v>
      </c>
      <c r="G54" s="178">
        <v>3929</v>
      </c>
      <c r="H54" s="179">
        <v>42826</v>
      </c>
      <c r="I54" s="178">
        <f t="shared" si="1"/>
        <v>3929</v>
      </c>
      <c r="J54" s="178">
        <f t="shared" si="2"/>
        <v>0</v>
      </c>
      <c r="K54" s="19"/>
    </row>
    <row r="55" spans="1:11" x14ac:dyDescent="0.25">
      <c r="A55" s="51">
        <v>42826</v>
      </c>
      <c r="B55" s="174" t="s">
        <v>11562</v>
      </c>
      <c r="C55" s="175"/>
      <c r="D55" s="176" t="s">
        <v>11562</v>
      </c>
      <c r="E55" s="176">
        <v>106489</v>
      </c>
      <c r="F55" s="177" t="s">
        <v>4367</v>
      </c>
      <c r="G55" s="178">
        <v>1494</v>
      </c>
      <c r="H55" s="179">
        <v>42826</v>
      </c>
      <c r="I55" s="178">
        <f t="shared" si="1"/>
        <v>1494</v>
      </c>
      <c r="J55" s="178">
        <f t="shared" si="2"/>
        <v>0</v>
      </c>
      <c r="K55" s="19"/>
    </row>
    <row r="56" spans="1:11" x14ac:dyDescent="0.25">
      <c r="A56" s="51">
        <v>42826</v>
      </c>
      <c r="B56" s="174" t="s">
        <v>11563</v>
      </c>
      <c r="C56" s="175"/>
      <c r="D56" s="176" t="s">
        <v>11563</v>
      </c>
      <c r="E56" s="176">
        <v>106490</v>
      </c>
      <c r="F56" s="177" t="s">
        <v>99</v>
      </c>
      <c r="G56" s="178">
        <v>4500</v>
      </c>
      <c r="H56" s="179">
        <v>42826</v>
      </c>
      <c r="I56" s="178">
        <f t="shared" si="1"/>
        <v>4500</v>
      </c>
      <c r="J56" s="178">
        <f t="shared" si="2"/>
        <v>0</v>
      </c>
      <c r="K56" s="19"/>
    </row>
    <row r="57" spans="1:11" x14ac:dyDescent="0.25">
      <c r="A57" s="51">
        <v>42826</v>
      </c>
      <c r="B57" s="174" t="s">
        <v>11564</v>
      </c>
      <c r="C57" s="175"/>
      <c r="D57" s="176" t="s">
        <v>11564</v>
      </c>
      <c r="E57" s="176">
        <v>106491</v>
      </c>
      <c r="F57" s="177" t="s">
        <v>109</v>
      </c>
      <c r="G57" s="178">
        <v>4129.2</v>
      </c>
      <c r="H57" s="179">
        <v>42826</v>
      </c>
      <c r="I57" s="178">
        <f t="shared" si="1"/>
        <v>4129.2</v>
      </c>
      <c r="J57" s="178">
        <f t="shared" si="2"/>
        <v>0</v>
      </c>
      <c r="K57" s="19"/>
    </row>
    <row r="58" spans="1:11" x14ac:dyDescent="0.25">
      <c r="A58" s="51">
        <v>42826</v>
      </c>
      <c r="B58" s="174" t="s">
        <v>11565</v>
      </c>
      <c r="C58" s="175"/>
      <c r="D58" s="176" t="s">
        <v>11565</v>
      </c>
      <c r="E58" s="176">
        <v>106492</v>
      </c>
      <c r="F58" s="177" t="s">
        <v>613</v>
      </c>
      <c r="G58" s="178">
        <v>5704.2</v>
      </c>
      <c r="H58" s="179"/>
      <c r="I58" s="178">
        <f t="shared" si="1"/>
        <v>5704.2</v>
      </c>
      <c r="J58" s="178">
        <f t="shared" si="2"/>
        <v>0</v>
      </c>
      <c r="K58" s="19"/>
    </row>
    <row r="59" spans="1:11" x14ac:dyDescent="0.25">
      <c r="A59" s="51">
        <v>42826</v>
      </c>
      <c r="B59" s="174" t="s">
        <v>11566</v>
      </c>
      <c r="C59" s="175"/>
      <c r="D59" s="176" t="s">
        <v>11566</v>
      </c>
      <c r="E59" s="176">
        <v>106493</v>
      </c>
      <c r="F59" s="177" t="s">
        <v>613</v>
      </c>
      <c r="G59" s="178">
        <v>5704.2</v>
      </c>
      <c r="H59" s="179">
        <v>42826</v>
      </c>
      <c r="I59" s="178">
        <f t="shared" si="1"/>
        <v>5704.2</v>
      </c>
      <c r="J59" s="178">
        <f t="shared" si="2"/>
        <v>0</v>
      </c>
      <c r="K59" s="19"/>
    </row>
    <row r="60" spans="1:11" x14ac:dyDescent="0.25">
      <c r="A60" s="51">
        <v>42826</v>
      </c>
      <c r="B60" s="174" t="s">
        <v>11567</v>
      </c>
      <c r="C60" s="175"/>
      <c r="D60" s="176" t="s">
        <v>11567</v>
      </c>
      <c r="E60" s="176">
        <v>106494</v>
      </c>
      <c r="F60" s="177" t="s">
        <v>291</v>
      </c>
      <c r="G60" s="178">
        <v>2213.6999999999998</v>
      </c>
      <c r="H60" s="179">
        <v>42826</v>
      </c>
      <c r="I60" s="178">
        <f t="shared" si="1"/>
        <v>2213.6999999999998</v>
      </c>
      <c r="J60" s="178">
        <f t="shared" si="2"/>
        <v>0</v>
      </c>
      <c r="K60" s="19"/>
    </row>
    <row r="61" spans="1:11" x14ac:dyDescent="0.25">
      <c r="A61" s="51">
        <v>42826</v>
      </c>
      <c r="B61" s="174" t="s">
        <v>11568</v>
      </c>
      <c r="C61" s="175"/>
      <c r="D61" s="176" t="s">
        <v>11568</v>
      </c>
      <c r="E61" s="176">
        <v>106495</v>
      </c>
      <c r="F61" s="177" t="s">
        <v>83</v>
      </c>
      <c r="G61" s="178">
        <v>6487.4</v>
      </c>
      <c r="H61" s="179">
        <v>42826</v>
      </c>
      <c r="I61" s="178">
        <f t="shared" si="1"/>
        <v>6487.4</v>
      </c>
      <c r="J61" s="178">
        <f t="shared" si="2"/>
        <v>0</v>
      </c>
      <c r="K61" s="19"/>
    </row>
    <row r="62" spans="1:11" x14ac:dyDescent="0.25">
      <c r="A62" s="51">
        <v>42826</v>
      </c>
      <c r="B62" s="174" t="s">
        <v>11569</v>
      </c>
      <c r="C62" s="175"/>
      <c r="D62" s="176" t="s">
        <v>11569</v>
      </c>
      <c r="E62" s="176">
        <v>106496</v>
      </c>
      <c r="F62" s="177" t="s">
        <v>721</v>
      </c>
      <c r="G62" s="178">
        <v>6677.6</v>
      </c>
      <c r="H62" s="179">
        <v>42826</v>
      </c>
      <c r="I62" s="178">
        <f t="shared" si="1"/>
        <v>6677.6</v>
      </c>
      <c r="J62" s="178">
        <f t="shared" si="2"/>
        <v>0</v>
      </c>
      <c r="K62" s="19"/>
    </row>
    <row r="63" spans="1:11" x14ac:dyDescent="0.25">
      <c r="A63" s="51">
        <v>42826</v>
      </c>
      <c r="B63" s="174" t="s">
        <v>11570</v>
      </c>
      <c r="C63" s="175"/>
      <c r="D63" s="176" t="s">
        <v>11570</v>
      </c>
      <c r="E63" s="176">
        <v>106497</v>
      </c>
      <c r="F63" s="177" t="s">
        <v>1081</v>
      </c>
      <c r="G63" s="178">
        <v>184.8</v>
      </c>
      <c r="H63" s="179">
        <v>42826</v>
      </c>
      <c r="I63" s="178">
        <f t="shared" si="1"/>
        <v>184.8</v>
      </c>
      <c r="J63" s="178">
        <f t="shared" si="2"/>
        <v>0</v>
      </c>
      <c r="K63" s="19"/>
    </row>
    <row r="64" spans="1:11" x14ac:dyDescent="0.25">
      <c r="A64" s="51">
        <v>42826</v>
      </c>
      <c r="B64" s="174" t="s">
        <v>11571</v>
      </c>
      <c r="C64" s="175"/>
      <c r="D64" s="176" t="s">
        <v>11571</v>
      </c>
      <c r="E64" s="176">
        <v>106498</v>
      </c>
      <c r="F64" s="177" t="s">
        <v>105</v>
      </c>
      <c r="G64" s="178">
        <v>2822.4</v>
      </c>
      <c r="H64" s="179">
        <v>42828</v>
      </c>
      <c r="I64" s="178">
        <f t="shared" si="1"/>
        <v>2822.4</v>
      </c>
      <c r="J64" s="178">
        <f t="shared" si="2"/>
        <v>0</v>
      </c>
      <c r="K64" s="19"/>
    </row>
    <row r="65" spans="1:11" x14ac:dyDescent="0.25">
      <c r="A65" s="51">
        <v>42826</v>
      </c>
      <c r="B65" s="174" t="s">
        <v>11572</v>
      </c>
      <c r="C65" s="175"/>
      <c r="D65" s="176" t="s">
        <v>11572</v>
      </c>
      <c r="E65" s="176">
        <v>106499</v>
      </c>
      <c r="F65" s="177" t="s">
        <v>1259</v>
      </c>
      <c r="G65" s="178">
        <v>2817</v>
      </c>
      <c r="H65" s="179">
        <v>42826</v>
      </c>
      <c r="I65" s="178">
        <f t="shared" si="1"/>
        <v>2817</v>
      </c>
      <c r="J65" s="178">
        <f t="shared" si="2"/>
        <v>0</v>
      </c>
      <c r="K65" s="19"/>
    </row>
    <row r="66" spans="1:11" x14ac:dyDescent="0.25">
      <c r="A66" s="51">
        <v>42826</v>
      </c>
      <c r="B66" s="174" t="s">
        <v>11573</v>
      </c>
      <c r="C66" s="175"/>
      <c r="D66" s="176" t="s">
        <v>11573</v>
      </c>
      <c r="E66" s="176">
        <v>106500</v>
      </c>
      <c r="F66" s="177" t="s">
        <v>88</v>
      </c>
      <c r="G66" s="178">
        <v>10017</v>
      </c>
      <c r="H66" s="179">
        <v>42826</v>
      </c>
      <c r="I66" s="178">
        <f t="shared" si="1"/>
        <v>10017</v>
      </c>
      <c r="J66" s="178">
        <f t="shared" si="2"/>
        <v>0</v>
      </c>
      <c r="K66" s="19"/>
    </row>
    <row r="67" spans="1:11" x14ac:dyDescent="0.25">
      <c r="A67" s="51">
        <v>42826</v>
      </c>
      <c r="B67" s="174" t="s">
        <v>11574</v>
      </c>
      <c r="C67" s="175"/>
      <c r="D67" s="176" t="s">
        <v>11574</v>
      </c>
      <c r="E67" s="176">
        <v>106501</v>
      </c>
      <c r="F67" s="177" t="s">
        <v>103</v>
      </c>
      <c r="G67" s="178">
        <v>169.6</v>
      </c>
      <c r="H67" s="179">
        <v>42826</v>
      </c>
      <c r="I67" s="178">
        <f t="shared" si="1"/>
        <v>169.6</v>
      </c>
      <c r="J67" s="178">
        <f t="shared" si="2"/>
        <v>0</v>
      </c>
      <c r="K67" s="19"/>
    </row>
    <row r="68" spans="1:11" x14ac:dyDescent="0.25">
      <c r="A68" s="51">
        <v>42826</v>
      </c>
      <c r="B68" s="174" t="s">
        <v>11575</v>
      </c>
      <c r="C68" s="175"/>
      <c r="D68" s="176" t="s">
        <v>11575</v>
      </c>
      <c r="E68" s="176">
        <v>106502</v>
      </c>
      <c r="F68" s="177" t="s">
        <v>838</v>
      </c>
      <c r="G68" s="178">
        <v>1276</v>
      </c>
      <c r="H68" s="179">
        <v>42826</v>
      </c>
      <c r="I68" s="178">
        <f t="shared" ref="I68:I131" si="3">G68</f>
        <v>1276</v>
      </c>
      <c r="J68" s="178">
        <f t="shared" ref="J68:J131" si="4">G68-I68</f>
        <v>0</v>
      </c>
      <c r="K68" s="19"/>
    </row>
    <row r="69" spans="1:11" x14ac:dyDescent="0.25">
      <c r="A69" s="51">
        <v>42826</v>
      </c>
      <c r="B69" s="174" t="s">
        <v>11576</v>
      </c>
      <c r="C69" s="175"/>
      <c r="D69" s="176" t="s">
        <v>11576</v>
      </c>
      <c r="E69" s="176">
        <v>106503</v>
      </c>
      <c r="F69" s="177" t="s">
        <v>1989</v>
      </c>
      <c r="G69" s="178">
        <v>923.4</v>
      </c>
      <c r="H69" s="179">
        <v>42826</v>
      </c>
      <c r="I69" s="178">
        <f t="shared" si="3"/>
        <v>923.4</v>
      </c>
      <c r="J69" s="178">
        <f t="shared" si="4"/>
        <v>0</v>
      </c>
      <c r="K69" s="19"/>
    </row>
    <row r="70" spans="1:11" x14ac:dyDescent="0.25">
      <c r="A70" s="51">
        <v>42826</v>
      </c>
      <c r="B70" s="174" t="s">
        <v>11577</v>
      </c>
      <c r="C70" s="175"/>
      <c r="D70" s="176" t="s">
        <v>11577</v>
      </c>
      <c r="E70" s="176">
        <v>106504</v>
      </c>
      <c r="F70" s="177" t="s">
        <v>57</v>
      </c>
      <c r="G70" s="178">
        <v>819</v>
      </c>
      <c r="H70" s="179">
        <v>42827</v>
      </c>
      <c r="I70" s="178">
        <f t="shared" si="3"/>
        <v>819</v>
      </c>
      <c r="J70" s="178">
        <f t="shared" si="4"/>
        <v>0</v>
      </c>
      <c r="K70" s="19"/>
    </row>
    <row r="71" spans="1:11" x14ac:dyDescent="0.25">
      <c r="A71" s="51">
        <v>42826</v>
      </c>
      <c r="B71" s="174" t="s">
        <v>11578</v>
      </c>
      <c r="C71" s="175"/>
      <c r="D71" s="176" t="s">
        <v>11578</v>
      </c>
      <c r="E71" s="176">
        <v>106505</v>
      </c>
      <c r="F71" s="177" t="s">
        <v>1293</v>
      </c>
      <c r="G71" s="178">
        <v>5338.9</v>
      </c>
      <c r="H71" s="179">
        <v>42827</v>
      </c>
      <c r="I71" s="178">
        <f t="shared" si="3"/>
        <v>5338.9</v>
      </c>
      <c r="J71" s="178">
        <f t="shared" si="4"/>
        <v>0</v>
      </c>
      <c r="K71" s="19"/>
    </row>
    <row r="72" spans="1:11" x14ac:dyDescent="0.25">
      <c r="A72" s="51">
        <v>42826</v>
      </c>
      <c r="B72" s="174" t="s">
        <v>11579</v>
      </c>
      <c r="C72" s="175"/>
      <c r="D72" s="176" t="s">
        <v>11579</v>
      </c>
      <c r="E72" s="176">
        <v>106506</v>
      </c>
      <c r="F72" s="177" t="s">
        <v>358</v>
      </c>
      <c r="G72" s="178">
        <v>4979.5</v>
      </c>
      <c r="H72" s="179">
        <v>42827</v>
      </c>
      <c r="I72" s="178">
        <f t="shared" si="3"/>
        <v>4979.5</v>
      </c>
      <c r="J72" s="178">
        <f t="shared" si="4"/>
        <v>0</v>
      </c>
      <c r="K72" s="19"/>
    </row>
    <row r="73" spans="1:11" x14ac:dyDescent="0.25">
      <c r="A73" s="51">
        <v>42826</v>
      </c>
      <c r="B73" s="174" t="s">
        <v>11580</v>
      </c>
      <c r="C73" s="175"/>
      <c r="D73" s="176" t="s">
        <v>11580</v>
      </c>
      <c r="E73" s="176">
        <v>106507</v>
      </c>
      <c r="F73" s="177" t="s">
        <v>53</v>
      </c>
      <c r="G73" s="178">
        <v>1812.8</v>
      </c>
      <c r="H73" s="179">
        <v>42827</v>
      </c>
      <c r="I73" s="178">
        <f t="shared" si="3"/>
        <v>1812.8</v>
      </c>
      <c r="J73" s="178">
        <f t="shared" si="4"/>
        <v>0</v>
      </c>
      <c r="K73" s="19"/>
    </row>
    <row r="74" spans="1:11" x14ac:dyDescent="0.25">
      <c r="A74" s="51">
        <v>42826</v>
      </c>
      <c r="B74" s="174" t="s">
        <v>11581</v>
      </c>
      <c r="C74" s="175"/>
      <c r="D74" s="176" t="s">
        <v>11581</v>
      </c>
      <c r="E74" s="176">
        <v>106508</v>
      </c>
      <c r="F74" s="177" t="s">
        <v>335</v>
      </c>
      <c r="G74" s="178">
        <v>1126.5999999999999</v>
      </c>
      <c r="H74" s="179">
        <v>42831</v>
      </c>
      <c r="I74" s="178">
        <f t="shared" si="3"/>
        <v>1126.5999999999999</v>
      </c>
      <c r="J74" s="178">
        <f t="shared" si="4"/>
        <v>0</v>
      </c>
      <c r="K74" s="19"/>
    </row>
    <row r="75" spans="1:11" x14ac:dyDescent="0.25">
      <c r="A75" s="51">
        <v>42826</v>
      </c>
      <c r="B75" s="174" t="s">
        <v>11582</v>
      </c>
      <c r="C75" s="175"/>
      <c r="D75" s="176" t="s">
        <v>11582</v>
      </c>
      <c r="E75" s="176">
        <v>106509</v>
      </c>
      <c r="F75" s="177" t="s">
        <v>61</v>
      </c>
      <c r="G75" s="178">
        <v>7040.9</v>
      </c>
      <c r="H75" s="179">
        <v>42827</v>
      </c>
      <c r="I75" s="178">
        <f t="shared" si="3"/>
        <v>7040.9</v>
      </c>
      <c r="J75" s="178">
        <f t="shared" si="4"/>
        <v>0</v>
      </c>
      <c r="K75" s="19"/>
    </row>
    <row r="76" spans="1:11" x14ac:dyDescent="0.25">
      <c r="A76" s="51">
        <v>42826</v>
      </c>
      <c r="B76" s="174" t="s">
        <v>11583</v>
      </c>
      <c r="C76" s="175"/>
      <c r="D76" s="176" t="s">
        <v>11583</v>
      </c>
      <c r="E76" s="176">
        <v>106510</v>
      </c>
      <c r="F76" s="177" t="s">
        <v>30</v>
      </c>
      <c r="G76" s="178">
        <v>810</v>
      </c>
      <c r="H76" s="179">
        <v>42826</v>
      </c>
      <c r="I76" s="178">
        <f t="shared" si="3"/>
        <v>810</v>
      </c>
      <c r="J76" s="178">
        <f t="shared" si="4"/>
        <v>0</v>
      </c>
      <c r="K76" s="19"/>
    </row>
    <row r="77" spans="1:11" x14ac:dyDescent="0.25">
      <c r="A77" s="51">
        <v>42826</v>
      </c>
      <c r="B77" s="174" t="s">
        <v>11584</v>
      </c>
      <c r="C77" s="175"/>
      <c r="D77" s="176" t="s">
        <v>11584</v>
      </c>
      <c r="E77" s="176">
        <v>106511</v>
      </c>
      <c r="F77" s="177" t="s">
        <v>2986</v>
      </c>
      <c r="G77" s="178">
        <v>5901</v>
      </c>
      <c r="H77" s="179">
        <v>42827</v>
      </c>
      <c r="I77" s="178">
        <f t="shared" si="3"/>
        <v>5901</v>
      </c>
      <c r="J77" s="178">
        <f t="shared" si="4"/>
        <v>0</v>
      </c>
      <c r="K77" s="19"/>
    </row>
    <row r="78" spans="1:11" x14ac:dyDescent="0.25">
      <c r="A78" s="51">
        <v>42826</v>
      </c>
      <c r="B78" s="174" t="s">
        <v>11585</v>
      </c>
      <c r="C78" s="175"/>
      <c r="D78" s="176" t="s">
        <v>11585</v>
      </c>
      <c r="E78" s="176">
        <v>106512</v>
      </c>
      <c r="F78" s="177" t="s">
        <v>188</v>
      </c>
      <c r="G78" s="178">
        <v>3602.1</v>
      </c>
      <c r="H78" s="179">
        <v>42827</v>
      </c>
      <c r="I78" s="178">
        <f t="shared" si="3"/>
        <v>3602.1</v>
      </c>
      <c r="J78" s="178">
        <f t="shared" si="4"/>
        <v>0</v>
      </c>
      <c r="K78" s="19"/>
    </row>
    <row r="79" spans="1:11" x14ac:dyDescent="0.25">
      <c r="A79" s="51">
        <v>42826</v>
      </c>
      <c r="B79" s="174" t="s">
        <v>11586</v>
      </c>
      <c r="C79" s="175"/>
      <c r="D79" s="176" t="s">
        <v>11586</v>
      </c>
      <c r="E79" s="176">
        <v>106513</v>
      </c>
      <c r="F79" s="177" t="s">
        <v>909</v>
      </c>
      <c r="G79" s="178">
        <v>3017</v>
      </c>
      <c r="H79" s="179">
        <v>42827</v>
      </c>
      <c r="I79" s="178">
        <f t="shared" si="3"/>
        <v>3017</v>
      </c>
      <c r="J79" s="178">
        <f t="shared" si="4"/>
        <v>0</v>
      </c>
      <c r="K79" s="19"/>
    </row>
    <row r="80" spans="1:11" x14ac:dyDescent="0.25">
      <c r="A80" s="51">
        <v>42826</v>
      </c>
      <c r="B80" s="174" t="s">
        <v>11587</v>
      </c>
      <c r="C80" s="175"/>
      <c r="D80" s="176" t="s">
        <v>11587</v>
      </c>
      <c r="E80" s="176">
        <v>106514</v>
      </c>
      <c r="F80" s="177" t="s">
        <v>186</v>
      </c>
      <c r="G80" s="178">
        <v>723.1</v>
      </c>
      <c r="H80" s="179">
        <v>42827</v>
      </c>
      <c r="I80" s="178">
        <f t="shared" si="3"/>
        <v>723.1</v>
      </c>
      <c r="J80" s="178">
        <f t="shared" si="4"/>
        <v>0</v>
      </c>
      <c r="K80" s="19"/>
    </row>
    <row r="81" spans="1:11" x14ac:dyDescent="0.25">
      <c r="A81" s="51">
        <v>42826</v>
      </c>
      <c r="B81" s="174" t="s">
        <v>11588</v>
      </c>
      <c r="C81" s="175"/>
      <c r="D81" s="176" t="s">
        <v>11588</v>
      </c>
      <c r="E81" s="176">
        <v>106515</v>
      </c>
      <c r="F81" s="177" t="s">
        <v>184</v>
      </c>
      <c r="G81" s="178">
        <v>684</v>
      </c>
      <c r="H81" s="179">
        <v>42827</v>
      </c>
      <c r="I81" s="178">
        <f t="shared" si="3"/>
        <v>684</v>
      </c>
      <c r="J81" s="178">
        <f t="shared" si="4"/>
        <v>0</v>
      </c>
      <c r="K81" s="19"/>
    </row>
    <row r="82" spans="1:11" x14ac:dyDescent="0.25">
      <c r="A82" s="51">
        <v>42826</v>
      </c>
      <c r="B82" s="174" t="s">
        <v>11589</v>
      </c>
      <c r="C82" s="175"/>
      <c r="D82" s="176" t="s">
        <v>11589</v>
      </c>
      <c r="E82" s="176">
        <v>106516</v>
      </c>
      <c r="F82" s="177" t="s">
        <v>63</v>
      </c>
      <c r="G82" s="178">
        <v>805</v>
      </c>
      <c r="H82" s="179">
        <v>42827</v>
      </c>
      <c r="I82" s="178">
        <f t="shared" si="3"/>
        <v>805</v>
      </c>
      <c r="J82" s="178">
        <f t="shared" si="4"/>
        <v>0</v>
      </c>
      <c r="K82" s="19"/>
    </row>
    <row r="83" spans="1:11" x14ac:dyDescent="0.25">
      <c r="A83" s="51">
        <v>42826</v>
      </c>
      <c r="B83" s="174" t="s">
        <v>11590</v>
      </c>
      <c r="C83" s="175"/>
      <c r="D83" s="176" t="s">
        <v>11590</v>
      </c>
      <c r="E83" s="176">
        <v>106517</v>
      </c>
      <c r="F83" s="177" t="s">
        <v>331</v>
      </c>
      <c r="G83" s="178">
        <v>2327.9</v>
      </c>
      <c r="H83" s="179">
        <v>42827</v>
      </c>
      <c r="I83" s="178">
        <f t="shared" si="3"/>
        <v>2327.9</v>
      </c>
      <c r="J83" s="178">
        <f t="shared" si="4"/>
        <v>0</v>
      </c>
      <c r="K83" s="19"/>
    </row>
    <row r="84" spans="1:11" x14ac:dyDescent="0.25">
      <c r="A84" s="51">
        <v>42826</v>
      </c>
      <c r="B84" s="174" t="s">
        <v>11591</v>
      </c>
      <c r="C84" s="175"/>
      <c r="D84" s="176" t="s">
        <v>11591</v>
      </c>
      <c r="E84" s="176">
        <v>106518</v>
      </c>
      <c r="F84" s="177" t="s">
        <v>45</v>
      </c>
      <c r="G84" s="178">
        <v>3224.5</v>
      </c>
      <c r="H84" s="179">
        <v>42827</v>
      </c>
      <c r="I84" s="178">
        <f t="shared" si="3"/>
        <v>3224.5</v>
      </c>
      <c r="J84" s="178">
        <f t="shared" si="4"/>
        <v>0</v>
      </c>
      <c r="K84" s="19"/>
    </row>
    <row r="85" spans="1:11" x14ac:dyDescent="0.25">
      <c r="A85" s="51">
        <v>42826</v>
      </c>
      <c r="B85" s="174" t="s">
        <v>11592</v>
      </c>
      <c r="C85" s="175"/>
      <c r="D85" s="176" t="s">
        <v>11592</v>
      </c>
      <c r="E85" s="176">
        <v>106519</v>
      </c>
      <c r="F85" s="177" t="s">
        <v>122</v>
      </c>
      <c r="G85" s="178">
        <v>32241.4</v>
      </c>
      <c r="H85" s="179">
        <v>42837</v>
      </c>
      <c r="I85" s="178">
        <f t="shared" si="3"/>
        <v>32241.4</v>
      </c>
      <c r="J85" s="178">
        <f t="shared" si="4"/>
        <v>0</v>
      </c>
      <c r="K85" s="19"/>
    </row>
    <row r="86" spans="1:11" x14ac:dyDescent="0.25">
      <c r="A86" s="51">
        <v>42826</v>
      </c>
      <c r="B86" s="174" t="s">
        <v>11593</v>
      </c>
      <c r="C86" s="175"/>
      <c r="D86" s="176" t="s">
        <v>11593</v>
      </c>
      <c r="E86" s="176">
        <v>106520</v>
      </c>
      <c r="F86" s="177" t="s">
        <v>125</v>
      </c>
      <c r="G86" s="178">
        <v>10268</v>
      </c>
      <c r="H86" s="179">
        <v>42828</v>
      </c>
      <c r="I86" s="178">
        <f t="shared" si="3"/>
        <v>10268</v>
      </c>
      <c r="J86" s="178">
        <f t="shared" si="4"/>
        <v>0</v>
      </c>
      <c r="K86" s="19"/>
    </row>
    <row r="87" spans="1:11" x14ac:dyDescent="0.25">
      <c r="A87" s="51">
        <v>42826</v>
      </c>
      <c r="B87" s="174" t="s">
        <v>11594</v>
      </c>
      <c r="C87" s="175"/>
      <c r="D87" s="176" t="s">
        <v>11594</v>
      </c>
      <c r="E87" s="176">
        <v>106521</v>
      </c>
      <c r="F87" s="177" t="s">
        <v>5219</v>
      </c>
      <c r="G87" s="178">
        <v>6263.5</v>
      </c>
      <c r="H87" s="179">
        <v>42826</v>
      </c>
      <c r="I87" s="178">
        <f t="shared" si="3"/>
        <v>6263.5</v>
      </c>
      <c r="J87" s="178">
        <f t="shared" si="4"/>
        <v>0</v>
      </c>
      <c r="K87" s="19"/>
    </row>
    <row r="88" spans="1:11" x14ac:dyDescent="0.25">
      <c r="A88" s="51">
        <v>42826</v>
      </c>
      <c r="B88" s="174" t="s">
        <v>11595</v>
      </c>
      <c r="C88" s="175"/>
      <c r="D88" s="176" t="s">
        <v>11595</v>
      </c>
      <c r="E88" s="176">
        <v>106522</v>
      </c>
      <c r="F88" s="177" t="s">
        <v>470</v>
      </c>
      <c r="G88" s="178">
        <v>14948.3</v>
      </c>
      <c r="H88" s="179">
        <v>42826</v>
      </c>
      <c r="I88" s="178">
        <f t="shared" si="3"/>
        <v>14948.3</v>
      </c>
      <c r="J88" s="178">
        <f t="shared" si="4"/>
        <v>0</v>
      </c>
      <c r="K88" s="19"/>
    </row>
    <row r="89" spans="1:11" ht="15.75" x14ac:dyDescent="0.25">
      <c r="A89" s="51">
        <v>42826</v>
      </c>
      <c r="B89" s="174" t="s">
        <v>11596</v>
      </c>
      <c r="C89" s="175"/>
      <c r="D89" s="176" t="s">
        <v>11596</v>
      </c>
      <c r="E89" s="176">
        <v>106523</v>
      </c>
      <c r="F89" s="182" t="s">
        <v>178</v>
      </c>
      <c r="G89" s="183">
        <v>0</v>
      </c>
      <c r="H89" s="185" t="s">
        <v>95</v>
      </c>
      <c r="I89" s="183">
        <f t="shared" si="3"/>
        <v>0</v>
      </c>
      <c r="J89" s="178">
        <f t="shared" si="4"/>
        <v>0</v>
      </c>
      <c r="K89" s="19"/>
    </row>
    <row r="90" spans="1:11" x14ac:dyDescent="0.25">
      <c r="A90" s="51">
        <v>42826</v>
      </c>
      <c r="B90" s="174" t="s">
        <v>11597</v>
      </c>
      <c r="C90" s="175"/>
      <c r="D90" s="176" t="s">
        <v>11597</v>
      </c>
      <c r="E90" s="176">
        <v>106524</v>
      </c>
      <c r="F90" s="177" t="s">
        <v>289</v>
      </c>
      <c r="G90" s="178">
        <v>82596.3</v>
      </c>
      <c r="H90" s="186" t="s">
        <v>11598</v>
      </c>
      <c r="I90" s="187">
        <f>55014.6+27581.7</f>
        <v>82596.3</v>
      </c>
      <c r="J90" s="188">
        <f t="shared" si="4"/>
        <v>0</v>
      </c>
      <c r="K90" s="19"/>
    </row>
    <row r="91" spans="1:11" x14ac:dyDescent="0.25">
      <c r="A91" s="51">
        <v>42826</v>
      </c>
      <c r="B91" s="174" t="s">
        <v>11599</v>
      </c>
      <c r="C91" s="175"/>
      <c r="D91" s="176" t="s">
        <v>11599</v>
      </c>
      <c r="E91" s="176">
        <v>106525</v>
      </c>
      <c r="F91" s="177" t="s">
        <v>30</v>
      </c>
      <c r="G91" s="178">
        <v>3832.2</v>
      </c>
      <c r="H91" s="179">
        <v>42826</v>
      </c>
      <c r="I91" s="178">
        <f t="shared" si="3"/>
        <v>3832.2</v>
      </c>
      <c r="J91" s="178">
        <f t="shared" si="4"/>
        <v>0</v>
      </c>
      <c r="K91" s="19"/>
    </row>
    <row r="92" spans="1:11" x14ac:dyDescent="0.25">
      <c r="A92" s="51">
        <v>42826</v>
      </c>
      <c r="B92" s="174" t="s">
        <v>11600</v>
      </c>
      <c r="C92" s="175"/>
      <c r="D92" s="176" t="s">
        <v>11600</v>
      </c>
      <c r="E92" s="176">
        <v>106526</v>
      </c>
      <c r="F92" s="177" t="s">
        <v>122</v>
      </c>
      <c r="G92" s="178">
        <v>5125.3999999999996</v>
      </c>
      <c r="H92" s="179">
        <v>42829</v>
      </c>
      <c r="I92" s="178">
        <f t="shared" si="3"/>
        <v>5125.3999999999996</v>
      </c>
      <c r="J92" s="178">
        <f t="shared" si="4"/>
        <v>0</v>
      </c>
      <c r="K92" s="19"/>
    </row>
    <row r="93" spans="1:11" x14ac:dyDescent="0.25">
      <c r="A93" s="51">
        <v>42826</v>
      </c>
      <c r="B93" s="174" t="s">
        <v>11601</v>
      </c>
      <c r="C93" s="175"/>
      <c r="D93" s="176" t="s">
        <v>11601</v>
      </c>
      <c r="E93" s="176">
        <v>106527</v>
      </c>
      <c r="F93" s="177" t="s">
        <v>151</v>
      </c>
      <c r="G93" s="178">
        <v>19283.900000000001</v>
      </c>
      <c r="H93" s="179">
        <v>42826</v>
      </c>
      <c r="I93" s="178">
        <f t="shared" si="3"/>
        <v>19283.900000000001</v>
      </c>
      <c r="J93" s="178">
        <f t="shared" si="4"/>
        <v>0</v>
      </c>
      <c r="K93" s="19"/>
    </row>
    <row r="94" spans="1:11" x14ac:dyDescent="0.25">
      <c r="A94" s="51">
        <v>42826</v>
      </c>
      <c r="B94" s="174" t="s">
        <v>11602</v>
      </c>
      <c r="C94" s="175"/>
      <c r="D94" s="176" t="s">
        <v>11602</v>
      </c>
      <c r="E94" s="176">
        <v>106528</v>
      </c>
      <c r="F94" s="177" t="s">
        <v>785</v>
      </c>
      <c r="G94" s="178">
        <v>9000</v>
      </c>
      <c r="H94" s="179">
        <v>42826</v>
      </c>
      <c r="I94" s="178">
        <f t="shared" si="3"/>
        <v>9000</v>
      </c>
      <c r="J94" s="178">
        <f t="shared" si="4"/>
        <v>0</v>
      </c>
      <c r="K94" s="19"/>
    </row>
    <row r="95" spans="1:11" x14ac:dyDescent="0.25">
      <c r="A95" s="51">
        <v>42826</v>
      </c>
      <c r="B95" s="174" t="s">
        <v>11603</v>
      </c>
      <c r="C95" s="175"/>
      <c r="D95" s="176" t="s">
        <v>11603</v>
      </c>
      <c r="E95" s="176">
        <v>106529</v>
      </c>
      <c r="F95" s="177" t="s">
        <v>113</v>
      </c>
      <c r="G95" s="178">
        <v>1732</v>
      </c>
      <c r="H95" s="179">
        <v>42827</v>
      </c>
      <c r="I95" s="178">
        <f t="shared" si="3"/>
        <v>1732</v>
      </c>
      <c r="J95" s="178">
        <f t="shared" si="4"/>
        <v>0</v>
      </c>
      <c r="K95" s="19"/>
    </row>
    <row r="96" spans="1:11" x14ac:dyDescent="0.25">
      <c r="A96" s="51">
        <v>42826</v>
      </c>
      <c r="B96" s="174" t="s">
        <v>11604</v>
      </c>
      <c r="C96" s="175"/>
      <c r="D96" s="176" t="s">
        <v>11604</v>
      </c>
      <c r="E96" s="176">
        <v>106530</v>
      </c>
      <c r="F96" s="177" t="s">
        <v>157</v>
      </c>
      <c r="G96" s="178">
        <v>33734.1</v>
      </c>
      <c r="H96" s="179">
        <v>42826</v>
      </c>
      <c r="I96" s="178">
        <f t="shared" si="3"/>
        <v>33734.1</v>
      </c>
      <c r="J96" s="178">
        <f t="shared" si="4"/>
        <v>0</v>
      </c>
      <c r="K96" s="19"/>
    </row>
    <row r="97" spans="1:11" x14ac:dyDescent="0.25">
      <c r="A97" s="51">
        <v>42826</v>
      </c>
      <c r="B97" s="174" t="s">
        <v>11605</v>
      </c>
      <c r="C97" s="175"/>
      <c r="D97" s="176" t="s">
        <v>11605</v>
      </c>
      <c r="E97" s="176">
        <v>106531</v>
      </c>
      <c r="F97" s="177" t="s">
        <v>302</v>
      </c>
      <c r="G97" s="178">
        <v>13479</v>
      </c>
      <c r="H97" s="179">
        <v>42829</v>
      </c>
      <c r="I97" s="178">
        <f t="shared" si="3"/>
        <v>13479</v>
      </c>
      <c r="J97" s="178">
        <f t="shared" si="4"/>
        <v>0</v>
      </c>
      <c r="K97" s="19"/>
    </row>
    <row r="98" spans="1:11" x14ac:dyDescent="0.25">
      <c r="A98" s="51">
        <v>42826</v>
      </c>
      <c r="B98" s="174" t="s">
        <v>11606</v>
      </c>
      <c r="C98" s="175"/>
      <c r="D98" s="176" t="s">
        <v>11606</v>
      </c>
      <c r="E98" s="176">
        <v>106532</v>
      </c>
      <c r="F98" s="177" t="s">
        <v>879</v>
      </c>
      <c r="G98" s="178">
        <v>2929.5</v>
      </c>
      <c r="H98" s="179">
        <v>42826</v>
      </c>
      <c r="I98" s="178">
        <f t="shared" si="3"/>
        <v>2929.5</v>
      </c>
      <c r="J98" s="178">
        <f t="shared" si="4"/>
        <v>0</v>
      </c>
      <c r="K98" s="19"/>
    </row>
    <row r="99" spans="1:11" x14ac:dyDescent="0.25">
      <c r="A99" s="51">
        <v>42826</v>
      </c>
      <c r="B99" s="174" t="s">
        <v>11607</v>
      </c>
      <c r="C99" s="175"/>
      <c r="D99" s="176" t="s">
        <v>11607</v>
      </c>
      <c r="E99" s="176">
        <v>106533</v>
      </c>
      <c r="F99" s="177" t="s">
        <v>305</v>
      </c>
      <c r="G99" s="178">
        <v>7847.8</v>
      </c>
      <c r="H99" s="179">
        <v>42829</v>
      </c>
      <c r="I99" s="178">
        <f t="shared" si="3"/>
        <v>7847.8</v>
      </c>
      <c r="J99" s="178">
        <f t="shared" si="4"/>
        <v>0</v>
      </c>
      <c r="K99" s="19"/>
    </row>
    <row r="100" spans="1:11" x14ac:dyDescent="0.25">
      <c r="A100" s="51">
        <v>42826</v>
      </c>
      <c r="B100" s="174" t="s">
        <v>11608</v>
      </c>
      <c r="C100" s="175"/>
      <c r="D100" s="176" t="s">
        <v>11608</v>
      </c>
      <c r="E100" s="176">
        <v>106534</v>
      </c>
      <c r="F100" s="177" t="s">
        <v>476</v>
      </c>
      <c r="G100" s="178">
        <v>18495.8</v>
      </c>
      <c r="H100" s="179">
        <v>42830</v>
      </c>
      <c r="I100" s="178">
        <f t="shared" si="3"/>
        <v>18495.8</v>
      </c>
      <c r="J100" s="178">
        <f t="shared" si="4"/>
        <v>0</v>
      </c>
      <c r="K100" s="19"/>
    </row>
    <row r="101" spans="1:11" x14ac:dyDescent="0.25">
      <c r="A101" s="51">
        <v>42826</v>
      </c>
      <c r="B101" s="174" t="s">
        <v>11609</v>
      </c>
      <c r="C101" s="175"/>
      <c r="D101" s="176" t="s">
        <v>11609</v>
      </c>
      <c r="E101" s="176">
        <v>106535</v>
      </c>
      <c r="F101" s="177" t="s">
        <v>12</v>
      </c>
      <c r="G101" s="178">
        <v>2957.5</v>
      </c>
      <c r="H101" s="179">
        <v>42826</v>
      </c>
      <c r="I101" s="178">
        <f t="shared" si="3"/>
        <v>2957.5</v>
      </c>
      <c r="J101" s="178">
        <f t="shared" si="4"/>
        <v>0</v>
      </c>
      <c r="K101" s="19"/>
    </row>
    <row r="102" spans="1:11" x14ac:dyDescent="0.25">
      <c r="A102" s="51">
        <v>42826</v>
      </c>
      <c r="B102" s="174" t="s">
        <v>11610</v>
      </c>
      <c r="C102" s="175"/>
      <c r="D102" s="176" t="s">
        <v>11610</v>
      </c>
      <c r="E102" s="176">
        <v>106536</v>
      </c>
      <c r="F102" s="177" t="s">
        <v>115</v>
      </c>
      <c r="G102" s="178">
        <v>8830</v>
      </c>
      <c r="H102" s="179">
        <v>42833</v>
      </c>
      <c r="I102" s="178">
        <f t="shared" si="3"/>
        <v>8830</v>
      </c>
      <c r="J102" s="178">
        <f t="shared" si="4"/>
        <v>0</v>
      </c>
      <c r="K102" s="19"/>
    </row>
    <row r="103" spans="1:11" x14ac:dyDescent="0.25">
      <c r="A103" s="51">
        <v>42826</v>
      </c>
      <c r="B103" s="174" t="s">
        <v>11611</v>
      </c>
      <c r="C103" s="175"/>
      <c r="D103" s="176" t="s">
        <v>11611</v>
      </c>
      <c r="E103" s="176">
        <v>106537</v>
      </c>
      <c r="F103" s="177" t="s">
        <v>168</v>
      </c>
      <c r="G103" s="178">
        <v>732.6</v>
      </c>
      <c r="H103" s="179">
        <v>42826</v>
      </c>
      <c r="I103" s="178">
        <f t="shared" si="3"/>
        <v>732.6</v>
      </c>
      <c r="J103" s="178">
        <f t="shared" si="4"/>
        <v>0</v>
      </c>
      <c r="K103" s="19"/>
    </row>
    <row r="104" spans="1:11" x14ac:dyDescent="0.25">
      <c r="A104" s="51">
        <v>42826</v>
      </c>
      <c r="B104" s="174" t="s">
        <v>11612</v>
      </c>
      <c r="C104" s="175"/>
      <c r="D104" s="176" t="s">
        <v>11612</v>
      </c>
      <c r="E104" s="176">
        <v>106538</v>
      </c>
      <c r="F104" s="177" t="s">
        <v>77</v>
      </c>
      <c r="G104" s="178">
        <v>644</v>
      </c>
      <c r="H104" s="179">
        <v>42826</v>
      </c>
      <c r="I104" s="178">
        <f t="shared" si="3"/>
        <v>644</v>
      </c>
      <c r="J104" s="178">
        <f t="shared" si="4"/>
        <v>0</v>
      </c>
      <c r="K104" s="19"/>
    </row>
    <row r="105" spans="1:11" x14ac:dyDescent="0.25">
      <c r="A105" s="51">
        <v>42826</v>
      </c>
      <c r="B105" s="174" t="s">
        <v>11613</v>
      </c>
      <c r="C105" s="175"/>
      <c r="D105" s="176" t="s">
        <v>11613</v>
      </c>
      <c r="E105" s="176">
        <v>106539</v>
      </c>
      <c r="F105" s="177" t="s">
        <v>2240</v>
      </c>
      <c r="G105" s="178">
        <v>7075.62</v>
      </c>
      <c r="H105" s="179">
        <v>42826</v>
      </c>
      <c r="I105" s="178">
        <f t="shared" si="3"/>
        <v>7075.62</v>
      </c>
      <c r="J105" s="178">
        <f t="shared" si="4"/>
        <v>0</v>
      </c>
      <c r="K105" s="19"/>
    </row>
    <row r="106" spans="1:11" x14ac:dyDescent="0.25">
      <c r="A106" s="51">
        <v>42826</v>
      </c>
      <c r="B106" s="174" t="s">
        <v>11614</v>
      </c>
      <c r="C106" s="175"/>
      <c r="D106" s="176" t="s">
        <v>11614</v>
      </c>
      <c r="E106" s="176">
        <v>106540</v>
      </c>
      <c r="F106" s="177" t="s">
        <v>531</v>
      </c>
      <c r="G106" s="178">
        <v>29437.98</v>
      </c>
      <c r="H106" s="179">
        <v>42828</v>
      </c>
      <c r="I106" s="178">
        <f t="shared" si="3"/>
        <v>29437.98</v>
      </c>
      <c r="J106" s="178">
        <f t="shared" si="4"/>
        <v>0</v>
      </c>
      <c r="K106" s="19"/>
    </row>
    <row r="107" spans="1:11" x14ac:dyDescent="0.25">
      <c r="A107" s="51">
        <v>42826</v>
      </c>
      <c r="B107" s="174" t="s">
        <v>11615</v>
      </c>
      <c r="C107" s="175"/>
      <c r="D107" s="176" t="s">
        <v>11615</v>
      </c>
      <c r="E107" s="176">
        <v>106541</v>
      </c>
      <c r="F107" s="177" t="s">
        <v>30</v>
      </c>
      <c r="G107" s="178">
        <v>1214</v>
      </c>
      <c r="H107" s="179">
        <v>42826</v>
      </c>
      <c r="I107" s="178">
        <f t="shared" si="3"/>
        <v>1214</v>
      </c>
      <c r="J107" s="178">
        <f t="shared" si="4"/>
        <v>0</v>
      </c>
      <c r="K107" s="19"/>
    </row>
    <row r="108" spans="1:11" x14ac:dyDescent="0.25">
      <c r="A108" s="51">
        <v>42826</v>
      </c>
      <c r="B108" s="174" t="s">
        <v>11616</v>
      </c>
      <c r="C108" s="175"/>
      <c r="D108" s="176" t="s">
        <v>11616</v>
      </c>
      <c r="E108" s="176">
        <v>106542</v>
      </c>
      <c r="F108" s="177" t="s">
        <v>55</v>
      </c>
      <c r="G108" s="178">
        <v>4927.2</v>
      </c>
      <c r="H108" s="179">
        <v>42826</v>
      </c>
      <c r="I108" s="178">
        <f t="shared" si="3"/>
        <v>4927.2</v>
      </c>
      <c r="J108" s="178">
        <f t="shared" si="4"/>
        <v>0</v>
      </c>
      <c r="K108" s="19"/>
    </row>
    <row r="109" spans="1:11" x14ac:dyDescent="0.25">
      <c r="A109" s="51">
        <v>42826</v>
      </c>
      <c r="B109" s="174" t="s">
        <v>11617</v>
      </c>
      <c r="C109" s="175"/>
      <c r="D109" s="176" t="s">
        <v>11617</v>
      </c>
      <c r="E109" s="176">
        <v>106543</v>
      </c>
      <c r="F109" s="177" t="s">
        <v>298</v>
      </c>
      <c r="G109" s="178">
        <v>2975</v>
      </c>
      <c r="H109" s="179">
        <v>42826</v>
      </c>
      <c r="I109" s="178">
        <f t="shared" si="3"/>
        <v>2975</v>
      </c>
      <c r="J109" s="178">
        <f t="shared" si="4"/>
        <v>0</v>
      </c>
      <c r="K109" s="19"/>
    </row>
    <row r="110" spans="1:11" x14ac:dyDescent="0.25">
      <c r="A110" s="51">
        <v>42826</v>
      </c>
      <c r="B110" s="174" t="s">
        <v>11618</v>
      </c>
      <c r="C110" s="175"/>
      <c r="D110" s="176" t="s">
        <v>11618</v>
      </c>
      <c r="E110" s="176">
        <v>106544</v>
      </c>
      <c r="F110" s="177" t="s">
        <v>10</v>
      </c>
      <c r="G110" s="178">
        <v>287551.78000000003</v>
      </c>
      <c r="H110" s="180" t="s">
        <v>11619</v>
      </c>
      <c r="I110" s="181">
        <f>71598.38+215953.4</f>
        <v>287551.78000000003</v>
      </c>
      <c r="J110" s="181">
        <f t="shared" si="4"/>
        <v>0</v>
      </c>
      <c r="K110" s="19"/>
    </row>
    <row r="111" spans="1:11" x14ac:dyDescent="0.25">
      <c r="A111" s="51">
        <v>42826</v>
      </c>
      <c r="B111" s="174" t="s">
        <v>11620</v>
      </c>
      <c r="C111" s="175"/>
      <c r="D111" s="176" t="s">
        <v>11620</v>
      </c>
      <c r="E111" s="176">
        <v>106545</v>
      </c>
      <c r="F111" s="177" t="s">
        <v>30</v>
      </c>
      <c r="G111" s="178">
        <v>3116.9</v>
      </c>
      <c r="H111" s="179">
        <v>42826</v>
      </c>
      <c r="I111" s="178">
        <f t="shared" si="3"/>
        <v>3116.9</v>
      </c>
      <c r="J111" s="178">
        <f t="shared" si="4"/>
        <v>0</v>
      </c>
      <c r="K111" s="19"/>
    </row>
    <row r="112" spans="1:11" x14ac:dyDescent="0.25">
      <c r="A112" s="51">
        <v>42826</v>
      </c>
      <c r="B112" s="174" t="s">
        <v>11621</v>
      </c>
      <c r="C112" s="175"/>
      <c r="D112" s="176" t="s">
        <v>11621</v>
      </c>
      <c r="E112" s="176">
        <v>106546</v>
      </c>
      <c r="F112" s="177" t="s">
        <v>1141</v>
      </c>
      <c r="G112" s="178">
        <v>675</v>
      </c>
      <c r="H112" s="179">
        <v>42826</v>
      </c>
      <c r="I112" s="178">
        <f t="shared" si="3"/>
        <v>675</v>
      </c>
      <c r="J112" s="178">
        <f t="shared" si="4"/>
        <v>0</v>
      </c>
      <c r="K112" s="19"/>
    </row>
    <row r="113" spans="1:11" x14ac:dyDescent="0.25">
      <c r="A113" s="51">
        <v>42826</v>
      </c>
      <c r="B113" s="174" t="s">
        <v>11622</v>
      </c>
      <c r="C113" s="175"/>
      <c r="D113" s="176" t="s">
        <v>11622</v>
      </c>
      <c r="E113" s="176">
        <v>106547</v>
      </c>
      <c r="F113" s="177" t="s">
        <v>10</v>
      </c>
      <c r="G113" s="178">
        <v>41637.599999999999</v>
      </c>
      <c r="H113" s="179">
        <v>42833</v>
      </c>
      <c r="I113" s="178">
        <f t="shared" si="3"/>
        <v>41637.599999999999</v>
      </c>
      <c r="J113" s="178">
        <f t="shared" si="4"/>
        <v>0</v>
      </c>
      <c r="K113" s="19"/>
    </row>
    <row r="114" spans="1:11" x14ac:dyDescent="0.25">
      <c r="A114" s="51">
        <v>42826</v>
      </c>
      <c r="B114" s="174" t="s">
        <v>11623</v>
      </c>
      <c r="C114" s="175"/>
      <c r="D114" s="176" t="s">
        <v>11623</v>
      </c>
      <c r="E114" s="176">
        <v>106548</v>
      </c>
      <c r="F114" s="177" t="s">
        <v>10583</v>
      </c>
      <c r="G114" s="178">
        <v>11631.4</v>
      </c>
      <c r="H114" s="179">
        <v>42826</v>
      </c>
      <c r="I114" s="178">
        <f t="shared" si="3"/>
        <v>11631.4</v>
      </c>
      <c r="J114" s="178">
        <f t="shared" si="4"/>
        <v>0</v>
      </c>
      <c r="K114" s="19"/>
    </row>
    <row r="115" spans="1:11" x14ac:dyDescent="0.25">
      <c r="A115" s="51">
        <v>42826</v>
      </c>
      <c r="B115" s="174" t="s">
        <v>11624</v>
      </c>
      <c r="C115" s="175"/>
      <c r="D115" s="176" t="s">
        <v>11624</v>
      </c>
      <c r="E115" s="176">
        <v>106549</v>
      </c>
      <c r="F115" s="177" t="s">
        <v>222</v>
      </c>
      <c r="G115" s="178">
        <v>346038</v>
      </c>
      <c r="H115" s="179">
        <v>42830</v>
      </c>
      <c r="I115" s="178">
        <f t="shared" si="3"/>
        <v>346038</v>
      </c>
      <c r="J115" s="178">
        <f t="shared" si="4"/>
        <v>0</v>
      </c>
      <c r="K115" s="19"/>
    </row>
    <row r="116" spans="1:11" x14ac:dyDescent="0.25">
      <c r="A116" s="51">
        <v>42826</v>
      </c>
      <c r="B116" s="174" t="s">
        <v>11625</v>
      </c>
      <c r="C116" s="175"/>
      <c r="D116" s="176" t="s">
        <v>11625</v>
      </c>
      <c r="E116" s="176">
        <v>106550</v>
      </c>
      <c r="F116" s="177" t="s">
        <v>222</v>
      </c>
      <c r="G116" s="178">
        <v>369834</v>
      </c>
      <c r="H116" s="179">
        <v>42830</v>
      </c>
      <c r="I116" s="178">
        <f t="shared" si="3"/>
        <v>369834</v>
      </c>
      <c r="J116" s="178">
        <f t="shared" si="4"/>
        <v>0</v>
      </c>
      <c r="K116" s="19"/>
    </row>
    <row r="117" spans="1:11" x14ac:dyDescent="0.25">
      <c r="A117" s="51">
        <v>42826</v>
      </c>
      <c r="B117" s="174" t="s">
        <v>11626</v>
      </c>
      <c r="C117" s="175"/>
      <c r="D117" s="176" t="s">
        <v>11626</v>
      </c>
      <c r="E117" s="176">
        <v>106551</v>
      </c>
      <c r="F117" s="177" t="s">
        <v>1786</v>
      </c>
      <c r="G117" s="178">
        <v>900</v>
      </c>
      <c r="H117" s="179">
        <v>42826</v>
      </c>
      <c r="I117" s="178">
        <f t="shared" si="3"/>
        <v>900</v>
      </c>
      <c r="J117" s="178">
        <f t="shared" si="4"/>
        <v>0</v>
      </c>
      <c r="K117" s="19"/>
    </row>
    <row r="118" spans="1:11" x14ac:dyDescent="0.25">
      <c r="A118" s="51">
        <v>42826</v>
      </c>
      <c r="B118" s="174" t="s">
        <v>11627</v>
      </c>
      <c r="C118" s="175"/>
      <c r="D118" s="176" t="s">
        <v>11627</v>
      </c>
      <c r="E118" s="176">
        <v>106552</v>
      </c>
      <c r="F118" s="177" t="s">
        <v>10</v>
      </c>
      <c r="G118" s="178">
        <v>180405.44</v>
      </c>
      <c r="H118" s="179">
        <v>42833</v>
      </c>
      <c r="I118" s="178">
        <f t="shared" si="3"/>
        <v>180405.44</v>
      </c>
      <c r="J118" s="178">
        <f t="shared" si="4"/>
        <v>0</v>
      </c>
      <c r="K118" s="19"/>
    </row>
    <row r="119" spans="1:11" x14ac:dyDescent="0.25">
      <c r="A119" s="51">
        <v>42826</v>
      </c>
      <c r="B119" s="174" t="s">
        <v>11628</v>
      </c>
      <c r="C119" s="175"/>
      <c r="D119" s="176" t="s">
        <v>11628</v>
      </c>
      <c r="E119" s="176">
        <v>106553</v>
      </c>
      <c r="F119" s="177" t="s">
        <v>523</v>
      </c>
      <c r="G119" s="178">
        <v>28310.6</v>
      </c>
      <c r="H119" s="179">
        <v>42837</v>
      </c>
      <c r="I119" s="178">
        <f t="shared" si="3"/>
        <v>28310.6</v>
      </c>
      <c r="J119" s="178">
        <f t="shared" si="4"/>
        <v>0</v>
      </c>
      <c r="K119" s="19"/>
    </row>
    <row r="120" spans="1:11" x14ac:dyDescent="0.25">
      <c r="A120" s="51">
        <v>42826</v>
      </c>
      <c r="B120" s="174" t="s">
        <v>11629</v>
      </c>
      <c r="C120" s="175"/>
      <c r="D120" s="176" t="s">
        <v>11629</v>
      </c>
      <c r="E120" s="176">
        <v>106554</v>
      </c>
      <c r="F120" s="177" t="s">
        <v>47</v>
      </c>
      <c r="G120" s="178">
        <v>1076.9000000000001</v>
      </c>
      <c r="H120" s="179">
        <v>42826</v>
      </c>
      <c r="I120" s="178">
        <f t="shared" si="3"/>
        <v>1076.9000000000001</v>
      </c>
      <c r="J120" s="178">
        <f t="shared" si="4"/>
        <v>0</v>
      </c>
      <c r="K120" s="19"/>
    </row>
    <row r="121" spans="1:11" x14ac:dyDescent="0.25">
      <c r="A121" s="51">
        <v>42826</v>
      </c>
      <c r="B121" s="174" t="s">
        <v>11630</v>
      </c>
      <c r="C121" s="175"/>
      <c r="D121" s="176" t="s">
        <v>11630</v>
      </c>
      <c r="E121" s="176">
        <v>106555</v>
      </c>
      <c r="F121" s="177" t="s">
        <v>1645</v>
      </c>
      <c r="G121" s="178">
        <v>1219.2</v>
      </c>
      <c r="H121" s="179">
        <v>42826</v>
      </c>
      <c r="I121" s="178">
        <f t="shared" si="3"/>
        <v>1219.2</v>
      </c>
      <c r="J121" s="178">
        <f t="shared" si="4"/>
        <v>0</v>
      </c>
      <c r="K121" s="19"/>
    </row>
    <row r="122" spans="1:11" x14ac:dyDescent="0.25">
      <c r="A122" s="51">
        <v>42826</v>
      </c>
      <c r="B122" s="174" t="s">
        <v>11631</v>
      </c>
      <c r="C122" s="175"/>
      <c r="D122" s="176" t="s">
        <v>11631</v>
      </c>
      <c r="E122" s="176">
        <v>106556</v>
      </c>
      <c r="F122" s="182" t="s">
        <v>422</v>
      </c>
      <c r="G122" s="183">
        <v>0</v>
      </c>
      <c r="H122" s="184" t="s">
        <v>95</v>
      </c>
      <c r="I122" s="183">
        <f t="shared" si="3"/>
        <v>0</v>
      </c>
      <c r="J122" s="183">
        <f t="shared" si="4"/>
        <v>0</v>
      </c>
      <c r="K122" s="19"/>
    </row>
    <row r="123" spans="1:11" x14ac:dyDescent="0.25">
      <c r="A123" s="51">
        <v>42826</v>
      </c>
      <c r="B123" s="174" t="s">
        <v>11632</v>
      </c>
      <c r="C123" s="175"/>
      <c r="D123" s="176" t="s">
        <v>11632</v>
      </c>
      <c r="E123" s="176">
        <v>106557</v>
      </c>
      <c r="F123" s="177" t="s">
        <v>422</v>
      </c>
      <c r="G123" s="178">
        <v>4065.6</v>
      </c>
      <c r="H123" s="179">
        <v>42826</v>
      </c>
      <c r="I123" s="178">
        <f t="shared" si="3"/>
        <v>4065.6</v>
      </c>
      <c r="J123" s="178">
        <f t="shared" si="4"/>
        <v>0</v>
      </c>
      <c r="K123" s="19"/>
    </row>
    <row r="124" spans="1:11" x14ac:dyDescent="0.25">
      <c r="A124" s="51">
        <v>42826</v>
      </c>
      <c r="B124" s="174" t="s">
        <v>11633</v>
      </c>
      <c r="C124" s="175"/>
      <c r="D124" s="176" t="s">
        <v>11633</v>
      </c>
      <c r="E124" s="176">
        <v>106558</v>
      </c>
      <c r="F124" s="177" t="s">
        <v>264</v>
      </c>
      <c r="G124" s="178">
        <v>9900</v>
      </c>
      <c r="H124" s="179">
        <v>42831</v>
      </c>
      <c r="I124" s="178">
        <f t="shared" si="3"/>
        <v>9900</v>
      </c>
      <c r="J124" s="178">
        <f t="shared" si="4"/>
        <v>0</v>
      </c>
      <c r="K124" s="19"/>
    </row>
    <row r="125" spans="1:11" x14ac:dyDescent="0.25">
      <c r="A125" s="51">
        <v>42826</v>
      </c>
      <c r="B125" s="174" t="s">
        <v>11634</v>
      </c>
      <c r="C125" s="175"/>
      <c r="D125" s="176" t="s">
        <v>11634</v>
      </c>
      <c r="E125" s="176">
        <v>106559</v>
      </c>
      <c r="F125" s="177" t="s">
        <v>236</v>
      </c>
      <c r="G125" s="178">
        <v>64613.45</v>
      </c>
      <c r="H125" s="179">
        <v>42838</v>
      </c>
      <c r="I125" s="178">
        <f t="shared" si="3"/>
        <v>64613.45</v>
      </c>
      <c r="J125" s="178">
        <f t="shared" si="4"/>
        <v>0</v>
      </c>
      <c r="K125" s="19"/>
    </row>
    <row r="126" spans="1:11" x14ac:dyDescent="0.25">
      <c r="A126" s="51">
        <v>42826</v>
      </c>
      <c r="B126" s="174" t="s">
        <v>11635</v>
      </c>
      <c r="C126" s="175"/>
      <c r="D126" s="176" t="s">
        <v>11635</v>
      </c>
      <c r="E126" s="176">
        <v>106560</v>
      </c>
      <c r="F126" s="177" t="s">
        <v>193</v>
      </c>
      <c r="G126" s="178">
        <v>3456</v>
      </c>
      <c r="H126" s="179">
        <v>42827</v>
      </c>
      <c r="I126" s="178">
        <f t="shared" si="3"/>
        <v>3456</v>
      </c>
      <c r="J126" s="178">
        <f t="shared" si="4"/>
        <v>0</v>
      </c>
      <c r="K126" s="19"/>
    </row>
    <row r="127" spans="1:11" x14ac:dyDescent="0.25">
      <c r="A127" s="51">
        <v>42826</v>
      </c>
      <c r="B127" s="174" t="s">
        <v>11636</v>
      </c>
      <c r="C127" s="175"/>
      <c r="D127" s="176" t="s">
        <v>11636</v>
      </c>
      <c r="E127" s="176">
        <v>106561</v>
      </c>
      <c r="F127" s="177" t="s">
        <v>182</v>
      </c>
      <c r="G127" s="178">
        <v>4500</v>
      </c>
      <c r="H127" s="179">
        <v>42827</v>
      </c>
      <c r="I127" s="178">
        <f t="shared" si="3"/>
        <v>4500</v>
      </c>
      <c r="J127" s="178">
        <f t="shared" si="4"/>
        <v>0</v>
      </c>
      <c r="K127" s="19"/>
    </row>
    <row r="128" spans="1:11" x14ac:dyDescent="0.25">
      <c r="A128" s="51">
        <v>42826</v>
      </c>
      <c r="B128" s="174" t="s">
        <v>11637</v>
      </c>
      <c r="C128" s="175"/>
      <c r="D128" s="176" t="s">
        <v>11637</v>
      </c>
      <c r="E128" s="176">
        <v>106562</v>
      </c>
      <c r="F128" s="177" t="s">
        <v>10370</v>
      </c>
      <c r="G128" s="178">
        <v>1350</v>
      </c>
      <c r="H128" s="179">
        <v>42827</v>
      </c>
      <c r="I128" s="178">
        <f t="shared" si="3"/>
        <v>1350</v>
      </c>
      <c r="J128" s="178">
        <f t="shared" si="4"/>
        <v>0</v>
      </c>
      <c r="K128" s="21"/>
    </row>
    <row r="129" spans="1:11" x14ac:dyDescent="0.25">
      <c r="A129" s="51">
        <v>42826</v>
      </c>
      <c r="B129" s="174" t="s">
        <v>11638</v>
      </c>
      <c r="C129" s="175"/>
      <c r="D129" s="176" t="s">
        <v>11638</v>
      </c>
      <c r="E129" s="176">
        <v>106563</v>
      </c>
      <c r="F129" s="177" t="s">
        <v>2528</v>
      </c>
      <c r="G129" s="178">
        <v>1088.8</v>
      </c>
      <c r="H129" s="179">
        <v>42827</v>
      </c>
      <c r="I129" s="178">
        <f t="shared" si="3"/>
        <v>1088.8</v>
      </c>
      <c r="J129" s="178">
        <f t="shared" si="4"/>
        <v>0</v>
      </c>
      <c r="K129" s="21"/>
    </row>
    <row r="130" spans="1:11" x14ac:dyDescent="0.25">
      <c r="A130" s="51">
        <v>42826</v>
      </c>
      <c r="B130" s="174" t="s">
        <v>11639</v>
      </c>
      <c r="C130" s="175"/>
      <c r="D130" s="176" t="s">
        <v>11639</v>
      </c>
      <c r="E130" s="176">
        <v>106564</v>
      </c>
      <c r="F130" s="177" t="s">
        <v>2533</v>
      </c>
      <c r="G130" s="178">
        <v>538.20000000000005</v>
      </c>
      <c r="H130" s="179">
        <v>42827</v>
      </c>
      <c r="I130" s="178">
        <f t="shared" si="3"/>
        <v>538.20000000000005</v>
      </c>
      <c r="J130" s="178">
        <f t="shared" si="4"/>
        <v>0</v>
      </c>
      <c r="K130" s="21"/>
    </row>
    <row r="131" spans="1:11" x14ac:dyDescent="0.25">
      <c r="A131" s="51">
        <v>42826</v>
      </c>
      <c r="B131" s="174" t="s">
        <v>11640</v>
      </c>
      <c r="C131" s="175"/>
      <c r="D131" s="176" t="s">
        <v>11640</v>
      </c>
      <c r="E131" s="176">
        <v>106565</v>
      </c>
      <c r="F131" s="182" t="s">
        <v>141</v>
      </c>
      <c r="G131" s="183">
        <v>0</v>
      </c>
      <c r="H131" s="184" t="s">
        <v>95</v>
      </c>
      <c r="I131" s="183">
        <f t="shared" si="3"/>
        <v>0</v>
      </c>
      <c r="J131" s="183">
        <f t="shared" si="4"/>
        <v>0</v>
      </c>
      <c r="K131" s="21"/>
    </row>
    <row r="132" spans="1:11" x14ac:dyDescent="0.25">
      <c r="A132" s="51">
        <v>42826</v>
      </c>
      <c r="B132" s="174" t="s">
        <v>11641</v>
      </c>
      <c r="C132" s="175"/>
      <c r="D132" s="176" t="s">
        <v>11641</v>
      </c>
      <c r="E132" s="176">
        <v>106566</v>
      </c>
      <c r="F132" s="177" t="s">
        <v>30</v>
      </c>
      <c r="G132" s="178">
        <v>3018.6</v>
      </c>
      <c r="H132" s="179">
        <v>42826</v>
      </c>
      <c r="I132" s="178">
        <f t="shared" ref="I132:I195" si="5">G132</f>
        <v>3018.6</v>
      </c>
      <c r="J132" s="178">
        <f t="shared" ref="J132:J195" si="6">G132-I132</f>
        <v>0</v>
      </c>
      <c r="K132" s="21"/>
    </row>
    <row r="133" spans="1:11" x14ac:dyDescent="0.25">
      <c r="A133" s="51">
        <v>42826</v>
      </c>
      <c r="B133" s="174" t="s">
        <v>11642</v>
      </c>
      <c r="C133" s="175"/>
      <c r="D133" s="176" t="s">
        <v>11642</v>
      </c>
      <c r="E133" s="176">
        <v>106567</v>
      </c>
      <c r="F133" s="177" t="s">
        <v>10</v>
      </c>
      <c r="G133" s="178">
        <v>75635</v>
      </c>
      <c r="H133" s="179">
        <v>42833</v>
      </c>
      <c r="I133" s="178">
        <f t="shared" si="5"/>
        <v>75635</v>
      </c>
      <c r="J133" s="178">
        <f t="shared" si="6"/>
        <v>0</v>
      </c>
      <c r="K133" s="21"/>
    </row>
    <row r="134" spans="1:11" x14ac:dyDescent="0.25">
      <c r="A134" s="51">
        <v>42826</v>
      </c>
      <c r="B134" s="174" t="s">
        <v>11643</v>
      </c>
      <c r="C134" s="175"/>
      <c r="D134" s="176" t="s">
        <v>11643</v>
      </c>
      <c r="E134" s="176">
        <v>106568</v>
      </c>
      <c r="F134" s="177" t="s">
        <v>492</v>
      </c>
      <c r="G134" s="178">
        <v>21956.799999999999</v>
      </c>
      <c r="H134" s="179">
        <v>42828</v>
      </c>
      <c r="I134" s="178">
        <f t="shared" si="5"/>
        <v>21956.799999999999</v>
      </c>
      <c r="J134" s="178">
        <f t="shared" si="6"/>
        <v>0</v>
      </c>
      <c r="K134" s="21"/>
    </row>
    <row r="135" spans="1:11" x14ac:dyDescent="0.25">
      <c r="A135" s="51">
        <v>42826</v>
      </c>
      <c r="B135" s="174" t="s">
        <v>11644</v>
      </c>
      <c r="C135" s="175"/>
      <c r="D135" s="176" t="s">
        <v>11644</v>
      </c>
      <c r="E135" s="176">
        <v>106569</v>
      </c>
      <c r="F135" s="177" t="s">
        <v>141</v>
      </c>
      <c r="G135" s="178">
        <v>10721.5</v>
      </c>
      <c r="H135" s="179">
        <v>42828</v>
      </c>
      <c r="I135" s="178">
        <f t="shared" si="5"/>
        <v>10721.5</v>
      </c>
      <c r="J135" s="178">
        <f t="shared" si="6"/>
        <v>0</v>
      </c>
      <c r="K135" s="21"/>
    </row>
    <row r="136" spans="1:11" x14ac:dyDescent="0.25">
      <c r="A136" s="51">
        <v>42826</v>
      </c>
      <c r="B136" s="174" t="s">
        <v>11645</v>
      </c>
      <c r="C136" s="175"/>
      <c r="D136" s="176" t="s">
        <v>11645</v>
      </c>
      <c r="E136" s="176">
        <v>106570</v>
      </c>
      <c r="F136" s="177" t="s">
        <v>1830</v>
      </c>
      <c r="G136" s="178">
        <v>10958.2</v>
      </c>
      <c r="H136" s="179">
        <v>42828</v>
      </c>
      <c r="I136" s="178">
        <f t="shared" si="5"/>
        <v>10958.2</v>
      </c>
      <c r="J136" s="178">
        <f t="shared" si="6"/>
        <v>0</v>
      </c>
      <c r="K136" s="21"/>
    </row>
    <row r="137" spans="1:11" x14ac:dyDescent="0.25">
      <c r="A137" s="51">
        <v>42826</v>
      </c>
      <c r="B137" s="174" t="s">
        <v>11646</v>
      </c>
      <c r="C137" s="175"/>
      <c r="D137" s="176" t="s">
        <v>11646</v>
      </c>
      <c r="E137" s="176">
        <v>106571</v>
      </c>
      <c r="F137" s="177" t="s">
        <v>858</v>
      </c>
      <c r="G137" s="178">
        <v>1575.2</v>
      </c>
      <c r="H137" s="179">
        <v>42826</v>
      </c>
      <c r="I137" s="178">
        <f t="shared" si="5"/>
        <v>1575.2</v>
      </c>
      <c r="J137" s="178">
        <f t="shared" si="6"/>
        <v>0</v>
      </c>
      <c r="K137" s="21"/>
    </row>
    <row r="138" spans="1:11" x14ac:dyDescent="0.25">
      <c r="A138" s="51">
        <v>42826</v>
      </c>
      <c r="B138" s="174" t="s">
        <v>11647</v>
      </c>
      <c r="C138" s="175"/>
      <c r="D138" s="176" t="s">
        <v>11647</v>
      </c>
      <c r="E138" s="176">
        <v>106572</v>
      </c>
      <c r="F138" s="177" t="s">
        <v>923</v>
      </c>
      <c r="G138" s="178">
        <v>23067.599999999999</v>
      </c>
      <c r="H138" s="179">
        <v>42846</v>
      </c>
      <c r="I138" s="178">
        <f t="shared" si="5"/>
        <v>23067.599999999999</v>
      </c>
      <c r="J138" s="178">
        <f t="shared" si="6"/>
        <v>0</v>
      </c>
      <c r="K138" s="21"/>
    </row>
    <row r="139" spans="1:11" x14ac:dyDescent="0.25">
      <c r="A139" s="51">
        <v>42826</v>
      </c>
      <c r="B139" s="174" t="s">
        <v>11648</v>
      </c>
      <c r="C139" s="175"/>
      <c r="D139" s="176" t="s">
        <v>11648</v>
      </c>
      <c r="E139" s="176">
        <v>106573</v>
      </c>
      <c r="F139" s="177" t="s">
        <v>457</v>
      </c>
      <c r="G139" s="178">
        <v>807.3</v>
      </c>
      <c r="H139" s="179">
        <v>42826</v>
      </c>
      <c r="I139" s="178">
        <f t="shared" si="5"/>
        <v>807.3</v>
      </c>
      <c r="J139" s="178">
        <f t="shared" si="6"/>
        <v>0</v>
      </c>
      <c r="K139" s="21"/>
    </row>
    <row r="140" spans="1:11" x14ac:dyDescent="0.25">
      <c r="A140" s="51">
        <v>42826</v>
      </c>
      <c r="B140" s="174" t="s">
        <v>11649</v>
      </c>
      <c r="C140" s="175"/>
      <c r="D140" s="176" t="s">
        <v>11649</v>
      </c>
      <c r="E140" s="176">
        <v>106574</v>
      </c>
      <c r="F140" s="177" t="s">
        <v>430</v>
      </c>
      <c r="G140" s="178">
        <v>2843.2</v>
      </c>
      <c r="H140" s="179">
        <v>42826</v>
      </c>
      <c r="I140" s="178">
        <f t="shared" si="5"/>
        <v>2843.2</v>
      </c>
      <c r="J140" s="178">
        <f t="shared" si="6"/>
        <v>0</v>
      </c>
      <c r="K140" s="21"/>
    </row>
    <row r="141" spans="1:11" x14ac:dyDescent="0.25">
      <c r="A141" s="51">
        <v>42826</v>
      </c>
      <c r="B141" s="174" t="s">
        <v>11650</v>
      </c>
      <c r="C141" s="175"/>
      <c r="D141" s="176" t="s">
        <v>11650</v>
      </c>
      <c r="E141" s="176">
        <v>106575</v>
      </c>
      <c r="F141" s="177" t="s">
        <v>30</v>
      </c>
      <c r="G141" s="178">
        <v>4313.6000000000004</v>
      </c>
      <c r="H141" s="179">
        <v>42827</v>
      </c>
      <c r="I141" s="178">
        <f t="shared" si="5"/>
        <v>4313.6000000000004</v>
      </c>
      <c r="J141" s="178">
        <f t="shared" si="6"/>
        <v>0</v>
      </c>
      <c r="K141" s="21"/>
    </row>
    <row r="142" spans="1:11" x14ac:dyDescent="0.25">
      <c r="A142" s="51">
        <v>42827</v>
      </c>
      <c r="B142" s="174" t="s">
        <v>11651</v>
      </c>
      <c r="C142" s="175"/>
      <c r="D142" s="176" t="s">
        <v>11651</v>
      </c>
      <c r="E142" s="176">
        <v>106576</v>
      </c>
      <c r="F142" s="177" t="s">
        <v>231</v>
      </c>
      <c r="G142" s="178">
        <v>8639</v>
      </c>
      <c r="H142" s="179">
        <v>42827</v>
      </c>
      <c r="I142" s="178">
        <f t="shared" si="5"/>
        <v>8639</v>
      </c>
      <c r="J142" s="178">
        <f t="shared" si="6"/>
        <v>0</v>
      </c>
      <c r="K142" s="21"/>
    </row>
    <row r="143" spans="1:11" x14ac:dyDescent="0.25">
      <c r="A143" s="51">
        <v>42827</v>
      </c>
      <c r="B143" s="174" t="s">
        <v>11652</v>
      </c>
      <c r="C143" s="175"/>
      <c r="D143" s="176" t="s">
        <v>11652</v>
      </c>
      <c r="E143" s="176">
        <v>106577</v>
      </c>
      <c r="F143" s="177" t="s">
        <v>231</v>
      </c>
      <c r="G143" s="178">
        <v>40626</v>
      </c>
      <c r="H143" s="179">
        <v>42828</v>
      </c>
      <c r="I143" s="178">
        <f t="shared" si="5"/>
        <v>40626</v>
      </c>
      <c r="J143" s="178">
        <f t="shared" si="6"/>
        <v>0</v>
      </c>
      <c r="K143" s="21"/>
    </row>
    <row r="144" spans="1:11" x14ac:dyDescent="0.25">
      <c r="A144" s="51">
        <v>42827</v>
      </c>
      <c r="B144" s="174" t="s">
        <v>11653</v>
      </c>
      <c r="C144" s="175"/>
      <c r="D144" s="176" t="s">
        <v>11653</v>
      </c>
      <c r="E144" s="176">
        <v>106578</v>
      </c>
      <c r="F144" s="177" t="s">
        <v>1786</v>
      </c>
      <c r="G144" s="178">
        <v>9234.4</v>
      </c>
      <c r="H144" s="179">
        <v>42827</v>
      </c>
      <c r="I144" s="178">
        <f t="shared" si="5"/>
        <v>9234.4</v>
      </c>
      <c r="J144" s="178">
        <f t="shared" si="6"/>
        <v>0</v>
      </c>
      <c r="K144" s="21"/>
    </row>
    <row r="145" spans="1:11" x14ac:dyDescent="0.25">
      <c r="A145" s="51">
        <v>42827</v>
      </c>
      <c r="B145" s="174" t="s">
        <v>11654</v>
      </c>
      <c r="C145" s="175"/>
      <c r="D145" s="176" t="s">
        <v>11654</v>
      </c>
      <c r="E145" s="176">
        <v>106579</v>
      </c>
      <c r="F145" s="177" t="s">
        <v>67</v>
      </c>
      <c r="G145" s="178">
        <v>26215.200000000001</v>
      </c>
      <c r="H145" s="179">
        <v>42828</v>
      </c>
      <c r="I145" s="178">
        <f t="shared" si="5"/>
        <v>26215.200000000001</v>
      </c>
      <c r="J145" s="178">
        <f t="shared" si="6"/>
        <v>0</v>
      </c>
      <c r="K145" s="21"/>
    </row>
    <row r="146" spans="1:11" x14ac:dyDescent="0.25">
      <c r="A146" s="51">
        <v>42827</v>
      </c>
      <c r="B146" s="174" t="s">
        <v>11655</v>
      </c>
      <c r="C146" s="175"/>
      <c r="D146" s="176" t="s">
        <v>11655</v>
      </c>
      <c r="E146" s="176">
        <v>106580</v>
      </c>
      <c r="F146" s="177" t="s">
        <v>26</v>
      </c>
      <c r="G146" s="178">
        <v>20141.7</v>
      </c>
      <c r="H146" s="179">
        <v>42827</v>
      </c>
      <c r="I146" s="178">
        <f t="shared" si="5"/>
        <v>20141.7</v>
      </c>
      <c r="J146" s="178">
        <f t="shared" si="6"/>
        <v>0</v>
      </c>
      <c r="K146" s="21"/>
    </row>
    <row r="147" spans="1:11" x14ac:dyDescent="0.25">
      <c r="A147" s="51">
        <v>42827</v>
      </c>
      <c r="B147" s="174" t="s">
        <v>11656</v>
      </c>
      <c r="C147" s="175"/>
      <c r="D147" s="176" t="s">
        <v>11656</v>
      </c>
      <c r="E147" s="176">
        <v>106581</v>
      </c>
      <c r="F147" s="182" t="s">
        <v>143</v>
      </c>
      <c r="G147" s="183">
        <v>0</v>
      </c>
      <c r="H147" s="184" t="s">
        <v>95</v>
      </c>
      <c r="I147" s="183">
        <f t="shared" si="5"/>
        <v>0</v>
      </c>
      <c r="J147" s="183">
        <f t="shared" si="6"/>
        <v>0</v>
      </c>
      <c r="K147" s="21"/>
    </row>
    <row r="148" spans="1:11" x14ac:dyDescent="0.25">
      <c r="A148" s="51">
        <v>42827</v>
      </c>
      <c r="B148" s="174" t="s">
        <v>11657</v>
      </c>
      <c r="C148" s="175"/>
      <c r="D148" s="176" t="s">
        <v>11657</v>
      </c>
      <c r="E148" s="176">
        <v>106582</v>
      </c>
      <c r="F148" s="177" t="s">
        <v>143</v>
      </c>
      <c r="G148" s="178">
        <v>5856.6</v>
      </c>
      <c r="H148" s="179">
        <v>42827</v>
      </c>
      <c r="I148" s="178">
        <f t="shared" si="5"/>
        <v>5856.6</v>
      </c>
      <c r="J148" s="178">
        <f t="shared" si="6"/>
        <v>0</v>
      </c>
      <c r="K148" s="21"/>
    </row>
    <row r="149" spans="1:11" x14ac:dyDescent="0.25">
      <c r="A149" s="51">
        <v>42827</v>
      </c>
      <c r="B149" s="174" t="s">
        <v>11658</v>
      </c>
      <c r="C149" s="175"/>
      <c r="D149" s="176" t="s">
        <v>11658</v>
      </c>
      <c r="E149" s="176">
        <v>106583</v>
      </c>
      <c r="F149" s="177" t="s">
        <v>28</v>
      </c>
      <c r="G149" s="178">
        <v>13994.4</v>
      </c>
      <c r="H149" s="179">
        <v>42827</v>
      </c>
      <c r="I149" s="178">
        <f t="shared" si="5"/>
        <v>13994.4</v>
      </c>
      <c r="J149" s="178">
        <f t="shared" si="6"/>
        <v>0</v>
      </c>
      <c r="K149" s="21"/>
    </row>
    <row r="150" spans="1:11" x14ac:dyDescent="0.25">
      <c r="A150" s="51">
        <v>42827</v>
      </c>
      <c r="B150" s="174" t="s">
        <v>11659</v>
      </c>
      <c r="C150" s="175"/>
      <c r="D150" s="176" t="s">
        <v>11659</v>
      </c>
      <c r="E150" s="176">
        <v>106584</v>
      </c>
      <c r="F150" s="177" t="s">
        <v>17</v>
      </c>
      <c r="G150" s="178">
        <v>4950</v>
      </c>
      <c r="H150" s="179">
        <v>42827</v>
      </c>
      <c r="I150" s="178">
        <f t="shared" si="5"/>
        <v>4950</v>
      </c>
      <c r="J150" s="178">
        <f t="shared" si="6"/>
        <v>0</v>
      </c>
      <c r="K150" s="21"/>
    </row>
    <row r="151" spans="1:11" x14ac:dyDescent="0.25">
      <c r="A151" s="51">
        <v>42827</v>
      </c>
      <c r="B151" s="174" t="s">
        <v>11660</v>
      </c>
      <c r="C151" s="175"/>
      <c r="D151" s="176" t="s">
        <v>11660</v>
      </c>
      <c r="E151" s="176">
        <v>106585</v>
      </c>
      <c r="F151" s="177" t="s">
        <v>21</v>
      </c>
      <c r="G151" s="178">
        <v>41131.599999999999</v>
      </c>
      <c r="H151" s="179">
        <v>42844</v>
      </c>
      <c r="I151" s="178">
        <f t="shared" si="5"/>
        <v>41131.599999999999</v>
      </c>
      <c r="J151" s="178">
        <f t="shared" si="6"/>
        <v>0</v>
      </c>
      <c r="K151" s="21"/>
    </row>
    <row r="152" spans="1:11" x14ac:dyDescent="0.25">
      <c r="A152" s="51">
        <v>42827</v>
      </c>
      <c r="B152" s="174" t="s">
        <v>11661</v>
      </c>
      <c r="C152" s="175"/>
      <c r="D152" s="176" t="s">
        <v>11661</v>
      </c>
      <c r="E152" s="176">
        <v>106586</v>
      </c>
      <c r="F152" s="177" t="s">
        <v>30</v>
      </c>
      <c r="G152" s="178">
        <v>1504</v>
      </c>
      <c r="H152" s="179">
        <v>42827</v>
      </c>
      <c r="I152" s="178">
        <f t="shared" si="5"/>
        <v>1504</v>
      </c>
      <c r="J152" s="178">
        <f t="shared" si="6"/>
        <v>0</v>
      </c>
      <c r="K152" s="21"/>
    </row>
    <row r="153" spans="1:11" x14ac:dyDescent="0.25">
      <c r="A153" s="51">
        <v>42827</v>
      </c>
      <c r="B153" s="174" t="s">
        <v>11662</v>
      </c>
      <c r="C153" s="175"/>
      <c r="D153" s="176" t="s">
        <v>11662</v>
      </c>
      <c r="E153" s="176">
        <v>106587</v>
      </c>
      <c r="F153" s="177" t="s">
        <v>321</v>
      </c>
      <c r="G153" s="178">
        <v>1154.0999999999999</v>
      </c>
      <c r="H153" s="179">
        <v>42827</v>
      </c>
      <c r="I153" s="178">
        <f t="shared" si="5"/>
        <v>1154.0999999999999</v>
      </c>
      <c r="J153" s="178">
        <f t="shared" si="6"/>
        <v>0</v>
      </c>
      <c r="K153" s="21"/>
    </row>
    <row r="154" spans="1:11" x14ac:dyDescent="0.25">
      <c r="A154" s="51">
        <v>42827</v>
      </c>
      <c r="B154" s="174" t="s">
        <v>11663</v>
      </c>
      <c r="C154" s="175"/>
      <c r="D154" s="176" t="s">
        <v>11663</v>
      </c>
      <c r="E154" s="176">
        <v>106588</v>
      </c>
      <c r="F154" s="177" t="s">
        <v>1968</v>
      </c>
      <c r="G154" s="178">
        <v>3096</v>
      </c>
      <c r="H154" s="179">
        <v>42827</v>
      </c>
      <c r="I154" s="178">
        <f t="shared" si="5"/>
        <v>3096</v>
      </c>
      <c r="J154" s="178">
        <f t="shared" si="6"/>
        <v>0</v>
      </c>
      <c r="K154" s="21"/>
    </row>
    <row r="155" spans="1:11" x14ac:dyDescent="0.25">
      <c r="A155" s="51">
        <v>42827</v>
      </c>
      <c r="B155" s="174" t="s">
        <v>11664</v>
      </c>
      <c r="C155" s="175"/>
      <c r="D155" s="176" t="s">
        <v>11664</v>
      </c>
      <c r="E155" s="176">
        <v>106589</v>
      </c>
      <c r="F155" s="177" t="s">
        <v>57</v>
      </c>
      <c r="G155" s="178">
        <v>810</v>
      </c>
      <c r="H155" s="179">
        <v>42827</v>
      </c>
      <c r="I155" s="178">
        <f t="shared" si="5"/>
        <v>810</v>
      </c>
      <c r="J155" s="178">
        <f t="shared" si="6"/>
        <v>0</v>
      </c>
      <c r="K155" s="21"/>
    </row>
    <row r="156" spans="1:11" x14ac:dyDescent="0.25">
      <c r="A156" s="51">
        <v>42827</v>
      </c>
      <c r="B156" s="174" t="s">
        <v>11665</v>
      </c>
      <c r="C156" s="175"/>
      <c r="D156" s="176" t="s">
        <v>11665</v>
      </c>
      <c r="E156" s="176">
        <v>106590</v>
      </c>
      <c r="F156" s="177" t="s">
        <v>30</v>
      </c>
      <c r="G156" s="178">
        <v>2192.4</v>
      </c>
      <c r="H156" s="179">
        <v>42827</v>
      </c>
      <c r="I156" s="178">
        <f t="shared" si="5"/>
        <v>2192.4</v>
      </c>
      <c r="J156" s="178">
        <f t="shared" si="6"/>
        <v>0</v>
      </c>
      <c r="K156" s="21"/>
    </row>
    <row r="157" spans="1:11" x14ac:dyDescent="0.25">
      <c r="A157" s="51">
        <v>42827</v>
      </c>
      <c r="B157" s="174" t="s">
        <v>11666</v>
      </c>
      <c r="C157" s="175"/>
      <c r="D157" s="176" t="s">
        <v>11666</v>
      </c>
      <c r="E157" s="176">
        <v>106591</v>
      </c>
      <c r="F157" s="177" t="s">
        <v>47</v>
      </c>
      <c r="G157" s="178">
        <v>3888.3</v>
      </c>
      <c r="H157" s="179">
        <v>42827</v>
      </c>
      <c r="I157" s="178">
        <f t="shared" si="5"/>
        <v>3888.3</v>
      </c>
      <c r="J157" s="178">
        <f t="shared" si="6"/>
        <v>0</v>
      </c>
      <c r="K157" s="21"/>
    </row>
    <row r="158" spans="1:11" x14ac:dyDescent="0.25">
      <c r="A158" s="51">
        <v>42827</v>
      </c>
      <c r="B158" s="174" t="s">
        <v>11667</v>
      </c>
      <c r="C158" s="175"/>
      <c r="D158" s="176" t="s">
        <v>11667</v>
      </c>
      <c r="E158" s="176">
        <v>106592</v>
      </c>
      <c r="F158" s="177" t="s">
        <v>222</v>
      </c>
      <c r="G158" s="178">
        <v>35092.949999999997</v>
      </c>
      <c r="H158" s="179">
        <v>42830</v>
      </c>
      <c r="I158" s="178">
        <f t="shared" si="5"/>
        <v>35092.949999999997</v>
      </c>
      <c r="J158" s="178">
        <f t="shared" si="6"/>
        <v>0</v>
      </c>
      <c r="K158" s="21"/>
    </row>
    <row r="159" spans="1:11" x14ac:dyDescent="0.25">
      <c r="A159" s="51">
        <v>42827</v>
      </c>
      <c r="B159" s="174" t="s">
        <v>11668</v>
      </c>
      <c r="C159" s="175"/>
      <c r="D159" s="176" t="s">
        <v>11668</v>
      </c>
      <c r="E159" s="176">
        <v>106593</v>
      </c>
      <c r="F159" s="177" t="s">
        <v>457</v>
      </c>
      <c r="G159" s="178">
        <v>3240.4</v>
      </c>
      <c r="H159" s="179">
        <v>42827</v>
      </c>
      <c r="I159" s="178">
        <f t="shared" si="5"/>
        <v>3240.4</v>
      </c>
      <c r="J159" s="178">
        <f t="shared" si="6"/>
        <v>0</v>
      </c>
      <c r="K159" s="21"/>
    </row>
    <row r="160" spans="1:11" x14ac:dyDescent="0.25">
      <c r="A160" s="51">
        <v>42827</v>
      </c>
      <c r="B160" s="174" t="s">
        <v>11669</v>
      </c>
      <c r="C160" s="175"/>
      <c r="D160" s="176" t="s">
        <v>11669</v>
      </c>
      <c r="E160" s="176">
        <v>106594</v>
      </c>
      <c r="F160" s="177" t="s">
        <v>157</v>
      </c>
      <c r="G160" s="178">
        <v>35547.82</v>
      </c>
      <c r="H160" s="179">
        <v>42827</v>
      </c>
      <c r="I160" s="178">
        <f t="shared" si="5"/>
        <v>35547.82</v>
      </c>
      <c r="J160" s="178">
        <f t="shared" si="6"/>
        <v>0</v>
      </c>
      <c r="K160" s="21"/>
    </row>
    <row r="161" spans="1:11" x14ac:dyDescent="0.25">
      <c r="A161" s="51">
        <v>42827</v>
      </c>
      <c r="B161" s="174" t="s">
        <v>11670</v>
      </c>
      <c r="C161" s="175"/>
      <c r="D161" s="176" t="s">
        <v>11670</v>
      </c>
      <c r="E161" s="176">
        <v>106595</v>
      </c>
      <c r="F161" s="177" t="s">
        <v>79</v>
      </c>
      <c r="G161" s="178">
        <v>3580.8</v>
      </c>
      <c r="H161" s="179">
        <v>42827</v>
      </c>
      <c r="I161" s="178">
        <f t="shared" si="5"/>
        <v>3580.8</v>
      </c>
      <c r="J161" s="178">
        <f t="shared" si="6"/>
        <v>0</v>
      </c>
      <c r="K161" s="21"/>
    </row>
    <row r="162" spans="1:11" x14ac:dyDescent="0.25">
      <c r="A162" s="51">
        <v>42827</v>
      </c>
      <c r="B162" s="174" t="s">
        <v>11671</v>
      </c>
      <c r="C162" s="175"/>
      <c r="D162" s="176" t="s">
        <v>11671</v>
      </c>
      <c r="E162" s="176">
        <v>106596</v>
      </c>
      <c r="F162" s="177" t="s">
        <v>1090</v>
      </c>
      <c r="G162" s="178">
        <v>2504.36</v>
      </c>
      <c r="H162" s="179">
        <v>42827</v>
      </c>
      <c r="I162" s="178">
        <f t="shared" si="5"/>
        <v>2504.36</v>
      </c>
      <c r="J162" s="178">
        <f t="shared" si="6"/>
        <v>0</v>
      </c>
      <c r="K162" s="21"/>
    </row>
    <row r="163" spans="1:11" x14ac:dyDescent="0.25">
      <c r="A163" s="51">
        <v>42827</v>
      </c>
      <c r="B163" s="174" t="s">
        <v>11672</v>
      </c>
      <c r="C163" s="175"/>
      <c r="D163" s="176" t="s">
        <v>11672</v>
      </c>
      <c r="E163" s="176">
        <v>106597</v>
      </c>
      <c r="F163" s="177" t="s">
        <v>14</v>
      </c>
      <c r="G163" s="178">
        <v>19437.8</v>
      </c>
      <c r="H163" s="179">
        <v>42827</v>
      </c>
      <c r="I163" s="178">
        <f t="shared" si="5"/>
        <v>19437.8</v>
      </c>
      <c r="J163" s="178">
        <f t="shared" si="6"/>
        <v>0</v>
      </c>
      <c r="K163" s="21"/>
    </row>
    <row r="164" spans="1:11" x14ac:dyDescent="0.25">
      <c r="A164" s="51">
        <v>42827</v>
      </c>
      <c r="B164" s="174" t="s">
        <v>11673</v>
      </c>
      <c r="C164" s="175"/>
      <c r="D164" s="176" t="s">
        <v>11673</v>
      </c>
      <c r="E164" s="176">
        <v>106598</v>
      </c>
      <c r="F164" s="177" t="s">
        <v>240</v>
      </c>
      <c r="G164" s="178">
        <v>4200</v>
      </c>
      <c r="H164" s="179">
        <v>42827</v>
      </c>
      <c r="I164" s="178">
        <f t="shared" si="5"/>
        <v>4200</v>
      </c>
      <c r="J164" s="178">
        <f t="shared" si="6"/>
        <v>0</v>
      </c>
      <c r="K164" s="21"/>
    </row>
    <row r="165" spans="1:11" x14ac:dyDescent="0.25">
      <c r="A165" s="51">
        <v>42827</v>
      </c>
      <c r="B165" s="174" t="s">
        <v>11674</v>
      </c>
      <c r="C165" s="175"/>
      <c r="D165" s="176" t="s">
        <v>11674</v>
      </c>
      <c r="E165" s="176">
        <v>106599</v>
      </c>
      <c r="F165" s="177" t="s">
        <v>30</v>
      </c>
      <c r="G165" s="178">
        <v>763</v>
      </c>
      <c r="H165" s="179">
        <v>42827</v>
      </c>
      <c r="I165" s="178">
        <f t="shared" si="5"/>
        <v>763</v>
      </c>
      <c r="J165" s="178">
        <f t="shared" si="6"/>
        <v>0</v>
      </c>
      <c r="K165" s="21"/>
    </row>
    <row r="166" spans="1:11" x14ac:dyDescent="0.25">
      <c r="A166" s="51">
        <v>42827</v>
      </c>
      <c r="B166" s="174" t="s">
        <v>11675</v>
      </c>
      <c r="C166" s="175"/>
      <c r="D166" s="176" t="s">
        <v>11675</v>
      </c>
      <c r="E166" s="176">
        <v>106600</v>
      </c>
      <c r="F166" s="177" t="s">
        <v>188</v>
      </c>
      <c r="G166" s="178">
        <v>217</v>
      </c>
      <c r="H166" s="179">
        <v>42827</v>
      </c>
      <c r="I166" s="178">
        <f t="shared" si="5"/>
        <v>217</v>
      </c>
      <c r="J166" s="178">
        <f t="shared" si="6"/>
        <v>0</v>
      </c>
      <c r="K166" s="21"/>
    </row>
    <row r="167" spans="1:11" x14ac:dyDescent="0.25">
      <c r="A167" s="51">
        <v>42827</v>
      </c>
      <c r="B167" s="174" t="s">
        <v>11676</v>
      </c>
      <c r="C167" s="175"/>
      <c r="D167" s="176" t="s">
        <v>11676</v>
      </c>
      <c r="E167" s="176">
        <v>106601</v>
      </c>
      <c r="F167" s="177" t="s">
        <v>71</v>
      </c>
      <c r="G167" s="178">
        <v>1766.1</v>
      </c>
      <c r="H167" s="179">
        <v>42827</v>
      </c>
      <c r="I167" s="178">
        <f t="shared" si="5"/>
        <v>1766.1</v>
      </c>
      <c r="J167" s="178">
        <f t="shared" si="6"/>
        <v>0</v>
      </c>
      <c r="K167" s="21"/>
    </row>
    <row r="168" spans="1:11" x14ac:dyDescent="0.25">
      <c r="A168" s="51">
        <v>42827</v>
      </c>
      <c r="B168" s="174" t="s">
        <v>11677</v>
      </c>
      <c r="C168" s="175"/>
      <c r="D168" s="176" t="s">
        <v>11677</v>
      </c>
      <c r="E168" s="176">
        <v>106602</v>
      </c>
      <c r="F168" s="177" t="s">
        <v>61</v>
      </c>
      <c r="G168" s="178">
        <v>4383.3999999999996</v>
      </c>
      <c r="H168" s="179">
        <v>42827</v>
      </c>
      <c r="I168" s="178">
        <f t="shared" si="5"/>
        <v>4383.3999999999996</v>
      </c>
      <c r="J168" s="178">
        <f t="shared" si="6"/>
        <v>0</v>
      </c>
      <c r="K168" s="21"/>
    </row>
    <row r="169" spans="1:11" x14ac:dyDescent="0.25">
      <c r="A169" s="51">
        <v>42827</v>
      </c>
      <c r="B169" s="174" t="s">
        <v>11678</v>
      </c>
      <c r="C169" s="175"/>
      <c r="D169" s="176" t="s">
        <v>11678</v>
      </c>
      <c r="E169" s="176">
        <v>106603</v>
      </c>
      <c r="F169" s="177" t="s">
        <v>12</v>
      </c>
      <c r="G169" s="178">
        <v>2281.5</v>
      </c>
      <c r="H169" s="179">
        <v>42827</v>
      </c>
      <c r="I169" s="178">
        <f t="shared" si="5"/>
        <v>2281.5</v>
      </c>
      <c r="J169" s="178">
        <f t="shared" si="6"/>
        <v>0</v>
      </c>
      <c r="K169" s="21"/>
    </row>
    <row r="170" spans="1:11" x14ac:dyDescent="0.25">
      <c r="A170" s="51">
        <v>42827</v>
      </c>
      <c r="B170" s="174" t="s">
        <v>11679</v>
      </c>
      <c r="C170" s="175"/>
      <c r="D170" s="176" t="s">
        <v>11679</v>
      </c>
      <c r="E170" s="176">
        <v>106604</v>
      </c>
      <c r="F170" s="177" t="s">
        <v>159</v>
      </c>
      <c r="G170" s="178">
        <v>9349.9</v>
      </c>
      <c r="H170" s="179">
        <v>42827</v>
      </c>
      <c r="I170" s="178">
        <f t="shared" si="5"/>
        <v>9349.9</v>
      </c>
      <c r="J170" s="178">
        <f t="shared" si="6"/>
        <v>0</v>
      </c>
      <c r="K170" s="21"/>
    </row>
    <row r="171" spans="1:11" x14ac:dyDescent="0.25">
      <c r="A171" s="51">
        <v>42827</v>
      </c>
      <c r="B171" s="174" t="s">
        <v>11680</v>
      </c>
      <c r="C171" s="175"/>
      <c r="D171" s="176" t="s">
        <v>11680</v>
      </c>
      <c r="E171" s="176">
        <v>106605</v>
      </c>
      <c r="F171" s="177" t="s">
        <v>305</v>
      </c>
      <c r="G171" s="178">
        <v>3461.4</v>
      </c>
      <c r="H171" s="179">
        <v>42829</v>
      </c>
      <c r="I171" s="178">
        <f t="shared" si="5"/>
        <v>3461.4</v>
      </c>
      <c r="J171" s="178">
        <f t="shared" si="6"/>
        <v>0</v>
      </c>
      <c r="K171" s="21"/>
    </row>
    <row r="172" spans="1:11" x14ac:dyDescent="0.25">
      <c r="A172" s="51">
        <v>42827</v>
      </c>
      <c r="B172" s="174" t="s">
        <v>11681</v>
      </c>
      <c r="C172" s="175"/>
      <c r="D172" s="176" t="s">
        <v>11681</v>
      </c>
      <c r="E172" s="176">
        <v>106606</v>
      </c>
      <c r="F172" s="177" t="s">
        <v>476</v>
      </c>
      <c r="G172" s="178">
        <v>16451.2</v>
      </c>
      <c r="H172" s="179">
        <v>42829</v>
      </c>
      <c r="I172" s="178">
        <f t="shared" si="5"/>
        <v>16451.2</v>
      </c>
      <c r="J172" s="178">
        <f t="shared" si="6"/>
        <v>0</v>
      </c>
      <c r="K172" s="21"/>
    </row>
    <row r="173" spans="1:11" x14ac:dyDescent="0.25">
      <c r="A173" s="51">
        <v>42827</v>
      </c>
      <c r="B173" s="174" t="s">
        <v>11682</v>
      </c>
      <c r="C173" s="175"/>
      <c r="D173" s="176" t="s">
        <v>11682</v>
      </c>
      <c r="E173" s="176">
        <v>106607</v>
      </c>
      <c r="F173" s="177" t="s">
        <v>157</v>
      </c>
      <c r="G173" s="178">
        <v>445.4</v>
      </c>
      <c r="H173" s="179">
        <v>42827</v>
      </c>
      <c r="I173" s="178">
        <f t="shared" si="5"/>
        <v>445.4</v>
      </c>
      <c r="J173" s="178">
        <f t="shared" si="6"/>
        <v>0</v>
      </c>
      <c r="K173" s="21"/>
    </row>
    <row r="174" spans="1:11" x14ac:dyDescent="0.25">
      <c r="A174" s="51">
        <v>42827</v>
      </c>
      <c r="B174" s="174" t="s">
        <v>11683</v>
      </c>
      <c r="C174" s="175"/>
      <c r="D174" s="176" t="s">
        <v>11683</v>
      </c>
      <c r="E174" s="176">
        <v>106608</v>
      </c>
      <c r="F174" s="177" t="s">
        <v>30</v>
      </c>
      <c r="G174" s="178">
        <v>1794</v>
      </c>
      <c r="H174" s="179">
        <v>42827</v>
      </c>
      <c r="I174" s="178">
        <f t="shared" si="5"/>
        <v>1794</v>
      </c>
      <c r="J174" s="178">
        <f t="shared" si="6"/>
        <v>0</v>
      </c>
      <c r="K174" s="21"/>
    </row>
    <row r="175" spans="1:11" x14ac:dyDescent="0.25">
      <c r="A175" s="51">
        <v>42827</v>
      </c>
      <c r="B175" s="174" t="s">
        <v>11684</v>
      </c>
      <c r="C175" s="175"/>
      <c r="D175" s="176" t="s">
        <v>11684</v>
      </c>
      <c r="E175" s="176">
        <v>106609</v>
      </c>
      <c r="F175" s="177" t="s">
        <v>1830</v>
      </c>
      <c r="G175" s="178">
        <v>18054.2</v>
      </c>
      <c r="H175" s="179">
        <v>42828</v>
      </c>
      <c r="I175" s="178">
        <f t="shared" si="5"/>
        <v>18054.2</v>
      </c>
      <c r="J175" s="178">
        <f t="shared" si="6"/>
        <v>0</v>
      </c>
      <c r="K175" s="21"/>
    </row>
    <row r="176" spans="1:11" x14ac:dyDescent="0.25">
      <c r="A176" s="51">
        <v>42827</v>
      </c>
      <c r="B176" s="174" t="s">
        <v>11685</v>
      </c>
      <c r="C176" s="175"/>
      <c r="D176" s="176" t="s">
        <v>11685</v>
      </c>
      <c r="E176" s="176">
        <v>106610</v>
      </c>
      <c r="F176" s="177" t="s">
        <v>125</v>
      </c>
      <c r="G176" s="178">
        <v>11192.8</v>
      </c>
      <c r="H176" s="179">
        <v>42828</v>
      </c>
      <c r="I176" s="178">
        <f t="shared" si="5"/>
        <v>11192.8</v>
      </c>
      <c r="J176" s="178">
        <f t="shared" si="6"/>
        <v>0</v>
      </c>
      <c r="K176" s="21"/>
    </row>
    <row r="177" spans="1:11" x14ac:dyDescent="0.25">
      <c r="A177" s="51">
        <v>42827</v>
      </c>
      <c r="B177" s="174" t="s">
        <v>11686</v>
      </c>
      <c r="C177" s="175"/>
      <c r="D177" s="176" t="s">
        <v>11686</v>
      </c>
      <c r="E177" s="176">
        <v>106611</v>
      </c>
      <c r="F177" s="177" t="s">
        <v>341</v>
      </c>
      <c r="G177" s="178">
        <v>9853.2000000000007</v>
      </c>
      <c r="H177" s="179">
        <v>42827</v>
      </c>
      <c r="I177" s="178">
        <f t="shared" si="5"/>
        <v>9853.2000000000007</v>
      </c>
      <c r="J177" s="178">
        <f t="shared" si="6"/>
        <v>0</v>
      </c>
      <c r="K177" s="21"/>
    </row>
    <row r="178" spans="1:11" x14ac:dyDescent="0.25">
      <c r="A178" s="51">
        <v>42827</v>
      </c>
      <c r="B178" s="174" t="s">
        <v>11687</v>
      </c>
      <c r="C178" s="175"/>
      <c r="D178" s="176" t="s">
        <v>11687</v>
      </c>
      <c r="E178" s="176">
        <v>106612</v>
      </c>
      <c r="F178" s="177" t="s">
        <v>470</v>
      </c>
      <c r="G178" s="178">
        <v>9838.6</v>
      </c>
      <c r="H178" s="179">
        <v>42828</v>
      </c>
      <c r="I178" s="178">
        <f t="shared" si="5"/>
        <v>9838.6</v>
      </c>
      <c r="J178" s="178">
        <f t="shared" si="6"/>
        <v>0</v>
      </c>
      <c r="K178" s="21"/>
    </row>
    <row r="179" spans="1:11" x14ac:dyDescent="0.25">
      <c r="A179" s="51">
        <v>42827</v>
      </c>
      <c r="B179" s="174" t="s">
        <v>11688</v>
      </c>
      <c r="C179" s="175"/>
      <c r="D179" s="176" t="s">
        <v>11688</v>
      </c>
      <c r="E179" s="176">
        <v>106613</v>
      </c>
      <c r="F179" s="177" t="s">
        <v>492</v>
      </c>
      <c r="G179" s="178">
        <v>5497.2</v>
      </c>
      <c r="H179" s="179">
        <v>42834</v>
      </c>
      <c r="I179" s="178">
        <f t="shared" si="5"/>
        <v>5497.2</v>
      </c>
      <c r="J179" s="178">
        <f t="shared" si="6"/>
        <v>0</v>
      </c>
      <c r="K179" s="21"/>
    </row>
    <row r="180" spans="1:11" x14ac:dyDescent="0.25">
      <c r="A180" s="51">
        <v>42827</v>
      </c>
      <c r="B180" s="174" t="s">
        <v>11689</v>
      </c>
      <c r="C180" s="175"/>
      <c r="D180" s="176" t="s">
        <v>11689</v>
      </c>
      <c r="E180" s="176">
        <v>106614</v>
      </c>
      <c r="F180" s="177" t="s">
        <v>492</v>
      </c>
      <c r="G180" s="178">
        <v>1543.5</v>
      </c>
      <c r="H180" s="179">
        <v>42834</v>
      </c>
      <c r="I180" s="178">
        <f t="shared" si="5"/>
        <v>1543.5</v>
      </c>
      <c r="J180" s="178">
        <f t="shared" si="6"/>
        <v>0</v>
      </c>
      <c r="K180" s="21"/>
    </row>
    <row r="181" spans="1:11" x14ac:dyDescent="0.25">
      <c r="A181" s="51">
        <v>42827</v>
      </c>
      <c r="B181" s="174" t="s">
        <v>11690</v>
      </c>
      <c r="C181" s="175"/>
      <c r="D181" s="176" t="s">
        <v>11690</v>
      </c>
      <c r="E181" s="176">
        <v>106615</v>
      </c>
      <c r="F181" s="177" t="s">
        <v>122</v>
      </c>
      <c r="G181" s="178">
        <v>2420.6</v>
      </c>
      <c r="H181" s="179">
        <v>42829</v>
      </c>
      <c r="I181" s="178">
        <f t="shared" si="5"/>
        <v>2420.6</v>
      </c>
      <c r="J181" s="178">
        <f t="shared" si="6"/>
        <v>0</v>
      </c>
      <c r="K181" s="21"/>
    </row>
    <row r="182" spans="1:11" x14ac:dyDescent="0.25">
      <c r="A182" s="51">
        <v>42827</v>
      </c>
      <c r="B182" s="174" t="s">
        <v>11691</v>
      </c>
      <c r="C182" s="175"/>
      <c r="D182" s="176" t="s">
        <v>11691</v>
      </c>
      <c r="E182" s="176">
        <v>106616</v>
      </c>
      <c r="F182" s="177" t="s">
        <v>122</v>
      </c>
      <c r="G182" s="178">
        <v>22721.200000000001</v>
      </c>
      <c r="H182" s="179">
        <v>42837</v>
      </c>
      <c r="I182" s="178">
        <f t="shared" si="5"/>
        <v>22721.200000000001</v>
      </c>
      <c r="J182" s="178">
        <f t="shared" si="6"/>
        <v>0</v>
      </c>
      <c r="K182" s="21"/>
    </row>
    <row r="183" spans="1:11" x14ac:dyDescent="0.25">
      <c r="A183" s="51">
        <v>42827</v>
      </c>
      <c r="B183" s="174" t="s">
        <v>11692</v>
      </c>
      <c r="C183" s="175"/>
      <c r="D183" s="176" t="s">
        <v>11692</v>
      </c>
      <c r="E183" s="176">
        <v>106617</v>
      </c>
      <c r="F183" s="177" t="s">
        <v>85</v>
      </c>
      <c r="G183" s="178">
        <v>14868</v>
      </c>
      <c r="H183" s="179">
        <v>42827</v>
      </c>
      <c r="I183" s="178">
        <f>14500+368</f>
        <v>14868</v>
      </c>
      <c r="J183" s="178">
        <f t="shared" si="6"/>
        <v>0</v>
      </c>
      <c r="K183" s="21"/>
    </row>
    <row r="184" spans="1:11" x14ac:dyDescent="0.25">
      <c r="A184" s="51">
        <v>42827</v>
      </c>
      <c r="B184" s="174" t="s">
        <v>11693</v>
      </c>
      <c r="C184" s="175"/>
      <c r="D184" s="176" t="s">
        <v>11693</v>
      </c>
      <c r="E184" s="176">
        <v>106618</v>
      </c>
      <c r="F184" s="177" t="s">
        <v>115</v>
      </c>
      <c r="G184" s="178">
        <v>591.4</v>
      </c>
      <c r="H184" s="179">
        <v>42827</v>
      </c>
      <c r="I184" s="178">
        <f t="shared" si="5"/>
        <v>591.4</v>
      </c>
      <c r="J184" s="178">
        <f t="shared" si="6"/>
        <v>0</v>
      </c>
      <c r="K184" s="21"/>
    </row>
    <row r="185" spans="1:11" x14ac:dyDescent="0.25">
      <c r="A185" s="51">
        <v>42827</v>
      </c>
      <c r="B185" s="174" t="s">
        <v>11694</v>
      </c>
      <c r="C185" s="175"/>
      <c r="D185" s="176" t="s">
        <v>11694</v>
      </c>
      <c r="E185" s="176">
        <v>106619</v>
      </c>
      <c r="F185" s="177" t="s">
        <v>81</v>
      </c>
      <c r="G185" s="178">
        <v>10831.1</v>
      </c>
      <c r="H185" s="179">
        <v>42828</v>
      </c>
      <c r="I185" s="178">
        <f t="shared" si="5"/>
        <v>10831.1</v>
      </c>
      <c r="J185" s="178">
        <f t="shared" si="6"/>
        <v>0</v>
      </c>
      <c r="K185" s="21"/>
    </row>
    <row r="186" spans="1:11" x14ac:dyDescent="0.25">
      <c r="A186" s="51">
        <v>42827</v>
      </c>
      <c r="B186" s="174" t="s">
        <v>11695</v>
      </c>
      <c r="C186" s="175"/>
      <c r="D186" s="176" t="s">
        <v>11695</v>
      </c>
      <c r="E186" s="176">
        <v>106620</v>
      </c>
      <c r="F186" s="177" t="s">
        <v>712</v>
      </c>
      <c r="G186" s="178">
        <v>3626.4</v>
      </c>
      <c r="H186" s="179">
        <v>42828</v>
      </c>
      <c r="I186" s="178">
        <f t="shared" si="5"/>
        <v>3626.4</v>
      </c>
      <c r="J186" s="178">
        <f t="shared" si="6"/>
        <v>0</v>
      </c>
      <c r="K186" s="21"/>
    </row>
    <row r="187" spans="1:11" x14ac:dyDescent="0.25">
      <c r="A187" s="51">
        <v>42827</v>
      </c>
      <c r="B187" s="174" t="s">
        <v>11696</v>
      </c>
      <c r="C187" s="175"/>
      <c r="D187" s="176" t="s">
        <v>11696</v>
      </c>
      <c r="E187" s="176">
        <v>106621</v>
      </c>
      <c r="F187" s="177" t="s">
        <v>53</v>
      </c>
      <c r="G187" s="178">
        <v>2983.2</v>
      </c>
      <c r="H187" s="179">
        <v>42828</v>
      </c>
      <c r="I187" s="178">
        <f t="shared" si="5"/>
        <v>2983.2</v>
      </c>
      <c r="J187" s="178">
        <f t="shared" si="6"/>
        <v>0</v>
      </c>
      <c r="K187" s="19"/>
    </row>
    <row r="188" spans="1:11" x14ac:dyDescent="0.25">
      <c r="A188" s="51">
        <v>42827</v>
      </c>
      <c r="B188" s="174" t="s">
        <v>11697</v>
      </c>
      <c r="C188" s="175"/>
      <c r="D188" s="176" t="s">
        <v>11697</v>
      </c>
      <c r="E188" s="176">
        <v>106622</v>
      </c>
      <c r="F188" s="177" t="s">
        <v>281</v>
      </c>
      <c r="G188" s="178">
        <v>2876</v>
      </c>
      <c r="H188" s="179">
        <v>42828</v>
      </c>
      <c r="I188" s="178">
        <f t="shared" si="5"/>
        <v>2876</v>
      </c>
      <c r="J188" s="178">
        <f t="shared" si="6"/>
        <v>0</v>
      </c>
      <c r="K188" s="21"/>
    </row>
    <row r="189" spans="1:11" x14ac:dyDescent="0.25">
      <c r="A189" s="51">
        <v>42827</v>
      </c>
      <c r="B189" s="174" t="s">
        <v>11698</v>
      </c>
      <c r="C189" s="175"/>
      <c r="D189" s="176" t="s">
        <v>11698</v>
      </c>
      <c r="E189" s="176">
        <v>106623</v>
      </c>
      <c r="F189" s="177" t="s">
        <v>109</v>
      </c>
      <c r="G189" s="178">
        <v>4011.6</v>
      </c>
      <c r="H189" s="179">
        <v>42828</v>
      </c>
      <c r="I189" s="178">
        <f t="shared" si="5"/>
        <v>4011.6</v>
      </c>
      <c r="J189" s="178">
        <f t="shared" si="6"/>
        <v>0</v>
      </c>
      <c r="K189" s="21"/>
    </row>
    <row r="190" spans="1:11" x14ac:dyDescent="0.25">
      <c r="A190" s="51">
        <v>42827</v>
      </c>
      <c r="B190" s="174" t="s">
        <v>11699</v>
      </c>
      <c r="C190" s="175"/>
      <c r="D190" s="176" t="s">
        <v>11699</v>
      </c>
      <c r="E190" s="176">
        <v>106624</v>
      </c>
      <c r="F190" s="177" t="s">
        <v>99</v>
      </c>
      <c r="G190" s="178">
        <v>3150</v>
      </c>
      <c r="H190" s="179">
        <v>42828</v>
      </c>
      <c r="I190" s="178">
        <f t="shared" si="5"/>
        <v>3150</v>
      </c>
      <c r="J190" s="178">
        <f t="shared" si="6"/>
        <v>0</v>
      </c>
      <c r="K190" s="21"/>
    </row>
    <row r="191" spans="1:11" x14ac:dyDescent="0.25">
      <c r="A191" s="51">
        <v>42827</v>
      </c>
      <c r="B191" s="174" t="s">
        <v>11700</v>
      </c>
      <c r="C191" s="175"/>
      <c r="D191" s="176" t="s">
        <v>11700</v>
      </c>
      <c r="E191" s="176">
        <v>106625</v>
      </c>
      <c r="F191" s="177" t="s">
        <v>101</v>
      </c>
      <c r="G191" s="178">
        <v>1440</v>
      </c>
      <c r="H191" s="179">
        <v>42828</v>
      </c>
      <c r="I191" s="178">
        <f t="shared" si="5"/>
        <v>1440</v>
      </c>
      <c r="J191" s="178">
        <f t="shared" si="6"/>
        <v>0</v>
      </c>
      <c r="K191" s="21"/>
    </row>
    <row r="192" spans="1:11" x14ac:dyDescent="0.25">
      <c r="A192" s="51">
        <v>42827</v>
      </c>
      <c r="B192" s="174" t="s">
        <v>11701</v>
      </c>
      <c r="C192" s="175"/>
      <c r="D192" s="176" t="s">
        <v>11701</v>
      </c>
      <c r="E192" s="176">
        <v>106626</v>
      </c>
      <c r="F192" s="177" t="s">
        <v>1259</v>
      </c>
      <c r="G192" s="178">
        <v>1575</v>
      </c>
      <c r="H192" s="179">
        <v>42828</v>
      </c>
      <c r="I192" s="178">
        <f t="shared" si="5"/>
        <v>1575</v>
      </c>
      <c r="J192" s="178">
        <f t="shared" si="6"/>
        <v>0</v>
      </c>
      <c r="K192" s="21"/>
    </row>
    <row r="193" spans="1:11" x14ac:dyDescent="0.25">
      <c r="A193" s="51">
        <v>42827</v>
      </c>
      <c r="B193" s="174" t="s">
        <v>11702</v>
      </c>
      <c r="C193" s="175"/>
      <c r="D193" s="176" t="s">
        <v>11702</v>
      </c>
      <c r="E193" s="176">
        <v>106627</v>
      </c>
      <c r="F193" s="177" t="s">
        <v>30</v>
      </c>
      <c r="G193" s="178">
        <v>2420</v>
      </c>
      <c r="H193" s="179">
        <v>42827</v>
      </c>
      <c r="I193" s="178">
        <f t="shared" si="5"/>
        <v>2420</v>
      </c>
      <c r="J193" s="178">
        <f t="shared" si="6"/>
        <v>0</v>
      </c>
      <c r="K193" s="21"/>
    </row>
    <row r="194" spans="1:11" x14ac:dyDescent="0.25">
      <c r="A194" s="51">
        <v>42827</v>
      </c>
      <c r="B194" s="174" t="s">
        <v>11703</v>
      </c>
      <c r="C194" s="175"/>
      <c r="D194" s="176" t="s">
        <v>11703</v>
      </c>
      <c r="E194" s="176">
        <v>106628</v>
      </c>
      <c r="F194" s="177" t="s">
        <v>30</v>
      </c>
      <c r="G194" s="178">
        <v>5820</v>
      </c>
      <c r="H194" s="179">
        <v>42827</v>
      </c>
      <c r="I194" s="178">
        <f t="shared" si="5"/>
        <v>5820</v>
      </c>
      <c r="J194" s="178">
        <f t="shared" si="6"/>
        <v>0</v>
      </c>
      <c r="K194" s="21"/>
    </row>
    <row r="195" spans="1:11" x14ac:dyDescent="0.25">
      <c r="A195" s="51">
        <v>42827</v>
      </c>
      <c r="B195" s="174" t="s">
        <v>11704</v>
      </c>
      <c r="C195" s="175"/>
      <c r="D195" s="176" t="s">
        <v>11704</v>
      </c>
      <c r="E195" s="176">
        <v>106629</v>
      </c>
      <c r="F195" s="177" t="s">
        <v>83</v>
      </c>
      <c r="G195" s="178">
        <v>3888.2</v>
      </c>
      <c r="H195" s="179">
        <v>42828</v>
      </c>
      <c r="I195" s="178">
        <f t="shared" si="5"/>
        <v>3888.2</v>
      </c>
      <c r="J195" s="178">
        <f t="shared" si="6"/>
        <v>0</v>
      </c>
      <c r="K195" s="21"/>
    </row>
    <row r="196" spans="1:11" x14ac:dyDescent="0.25">
      <c r="A196" s="51">
        <v>42827</v>
      </c>
      <c r="B196" s="174" t="s">
        <v>11705</v>
      </c>
      <c r="C196" s="175"/>
      <c r="D196" s="176" t="s">
        <v>11705</v>
      </c>
      <c r="E196" s="176">
        <v>106630</v>
      </c>
      <c r="F196" s="177" t="s">
        <v>613</v>
      </c>
      <c r="G196" s="178">
        <v>5511.4</v>
      </c>
      <c r="H196" s="179">
        <v>42828</v>
      </c>
      <c r="I196" s="178">
        <f t="shared" ref="I196:I259" si="7">G196</f>
        <v>5511.4</v>
      </c>
      <c r="J196" s="178">
        <f t="shared" ref="J196:J259" si="8">G196-I196</f>
        <v>0</v>
      </c>
      <c r="K196" s="21"/>
    </row>
    <row r="197" spans="1:11" x14ac:dyDescent="0.25">
      <c r="A197" s="51">
        <v>42827</v>
      </c>
      <c r="B197" s="174" t="s">
        <v>11706</v>
      </c>
      <c r="C197" s="175"/>
      <c r="D197" s="176" t="s">
        <v>11706</v>
      </c>
      <c r="E197" s="176">
        <v>106631</v>
      </c>
      <c r="F197" s="177" t="s">
        <v>168</v>
      </c>
      <c r="G197" s="178">
        <v>1224.8</v>
      </c>
      <c r="H197" s="179">
        <v>42827</v>
      </c>
      <c r="I197" s="178">
        <f t="shared" si="7"/>
        <v>1224.8</v>
      </c>
      <c r="J197" s="178">
        <f t="shared" si="8"/>
        <v>0</v>
      </c>
      <c r="K197" s="21"/>
    </row>
    <row r="198" spans="1:11" x14ac:dyDescent="0.25">
      <c r="A198" s="51">
        <v>42827</v>
      </c>
      <c r="B198" s="174" t="s">
        <v>11707</v>
      </c>
      <c r="C198" s="175"/>
      <c r="D198" s="176" t="s">
        <v>11707</v>
      </c>
      <c r="E198" s="176">
        <v>106632</v>
      </c>
      <c r="F198" s="177" t="s">
        <v>133</v>
      </c>
      <c r="G198" s="178">
        <v>5728.8</v>
      </c>
      <c r="H198" s="179">
        <v>42827</v>
      </c>
      <c r="I198" s="178">
        <f t="shared" si="7"/>
        <v>5728.8</v>
      </c>
      <c r="J198" s="178">
        <f t="shared" si="8"/>
        <v>0</v>
      </c>
      <c r="K198" s="21"/>
    </row>
    <row r="199" spans="1:11" x14ac:dyDescent="0.25">
      <c r="A199" s="51">
        <v>42827</v>
      </c>
      <c r="B199" s="174" t="s">
        <v>11708</v>
      </c>
      <c r="C199" s="175"/>
      <c r="D199" s="176" t="s">
        <v>11708</v>
      </c>
      <c r="E199" s="176">
        <v>106633</v>
      </c>
      <c r="F199" s="177" t="s">
        <v>220</v>
      </c>
      <c r="G199" s="178">
        <v>544.79999999999995</v>
      </c>
      <c r="H199" s="179">
        <v>42827</v>
      </c>
      <c r="I199" s="178">
        <f t="shared" si="7"/>
        <v>544.79999999999995</v>
      </c>
      <c r="J199" s="178">
        <f t="shared" si="8"/>
        <v>0</v>
      </c>
      <c r="K199" s="21"/>
    </row>
    <row r="200" spans="1:11" x14ac:dyDescent="0.25">
      <c r="A200" s="51">
        <v>42827</v>
      </c>
      <c r="B200" s="174" t="s">
        <v>11709</v>
      </c>
      <c r="C200" s="175"/>
      <c r="D200" s="176" t="s">
        <v>11709</v>
      </c>
      <c r="E200" s="176">
        <v>106634</v>
      </c>
      <c r="F200" s="177" t="s">
        <v>509</v>
      </c>
      <c r="G200" s="178">
        <v>12537</v>
      </c>
      <c r="H200" s="179">
        <v>42833</v>
      </c>
      <c r="I200" s="178">
        <f t="shared" si="7"/>
        <v>12537</v>
      </c>
      <c r="J200" s="178">
        <f t="shared" si="8"/>
        <v>0</v>
      </c>
      <c r="K200" s="21"/>
    </row>
    <row r="201" spans="1:11" x14ac:dyDescent="0.25">
      <c r="A201" s="51">
        <v>42827</v>
      </c>
      <c r="B201" s="174" t="s">
        <v>11710</v>
      </c>
      <c r="C201" s="175"/>
      <c r="D201" s="176" t="s">
        <v>11710</v>
      </c>
      <c r="E201" s="176">
        <v>106635</v>
      </c>
      <c r="F201" s="177" t="s">
        <v>222</v>
      </c>
      <c r="G201" s="178">
        <v>30336</v>
      </c>
      <c r="H201" s="179">
        <v>42830</v>
      </c>
      <c r="I201" s="178">
        <f t="shared" si="7"/>
        <v>30336</v>
      </c>
      <c r="J201" s="178">
        <f t="shared" si="8"/>
        <v>0</v>
      </c>
      <c r="K201" s="21"/>
    </row>
    <row r="202" spans="1:11" x14ac:dyDescent="0.25">
      <c r="A202" s="51">
        <v>42827</v>
      </c>
      <c r="B202" s="174" t="s">
        <v>11711</v>
      </c>
      <c r="C202" s="175"/>
      <c r="D202" s="176" t="s">
        <v>11711</v>
      </c>
      <c r="E202" s="176">
        <v>106636</v>
      </c>
      <c r="F202" s="177" t="s">
        <v>509</v>
      </c>
      <c r="G202" s="178">
        <v>672</v>
      </c>
      <c r="H202" s="179">
        <v>42827</v>
      </c>
      <c r="I202" s="178">
        <f t="shared" si="7"/>
        <v>672</v>
      </c>
      <c r="J202" s="178">
        <f t="shared" si="8"/>
        <v>0</v>
      </c>
      <c r="K202" s="21"/>
    </row>
    <row r="203" spans="1:11" x14ac:dyDescent="0.25">
      <c r="A203" s="51">
        <v>42827</v>
      </c>
      <c r="B203" s="174" t="s">
        <v>11712</v>
      </c>
      <c r="C203" s="175"/>
      <c r="D203" s="176" t="s">
        <v>11712</v>
      </c>
      <c r="E203" s="176">
        <v>106637</v>
      </c>
      <c r="F203" s="177" t="s">
        <v>30</v>
      </c>
      <c r="G203" s="178">
        <v>1130.2</v>
      </c>
      <c r="H203" s="179">
        <v>42827</v>
      </c>
      <c r="I203" s="178">
        <f t="shared" si="7"/>
        <v>1130.2</v>
      </c>
      <c r="J203" s="178">
        <f t="shared" si="8"/>
        <v>0</v>
      </c>
      <c r="K203" s="21"/>
    </row>
    <row r="204" spans="1:11" x14ac:dyDescent="0.25">
      <c r="A204" s="51">
        <v>42827</v>
      </c>
      <c r="B204" s="174" t="s">
        <v>11713</v>
      </c>
      <c r="C204" s="175"/>
      <c r="D204" s="176" t="s">
        <v>11713</v>
      </c>
      <c r="E204" s="176">
        <v>106638</v>
      </c>
      <c r="F204" s="177" t="s">
        <v>231</v>
      </c>
      <c r="G204" s="178">
        <v>3609</v>
      </c>
      <c r="H204" s="179">
        <v>42828</v>
      </c>
      <c r="I204" s="178">
        <f t="shared" si="7"/>
        <v>3609</v>
      </c>
      <c r="J204" s="178">
        <f t="shared" si="8"/>
        <v>0</v>
      </c>
      <c r="K204" s="21"/>
    </row>
    <row r="205" spans="1:11" x14ac:dyDescent="0.25">
      <c r="A205" s="51">
        <v>42828</v>
      </c>
      <c r="B205" s="174" t="s">
        <v>11714</v>
      </c>
      <c r="C205" s="175"/>
      <c r="D205" s="176" t="s">
        <v>11714</v>
      </c>
      <c r="E205" s="176">
        <v>106639</v>
      </c>
      <c r="F205" s="177" t="s">
        <v>374</v>
      </c>
      <c r="G205" s="178">
        <v>2300.4</v>
      </c>
      <c r="H205" s="179">
        <v>42828</v>
      </c>
      <c r="I205" s="178">
        <f t="shared" si="7"/>
        <v>2300.4</v>
      </c>
      <c r="J205" s="178">
        <f t="shared" si="8"/>
        <v>0</v>
      </c>
      <c r="K205" s="21"/>
    </row>
    <row r="206" spans="1:11" x14ac:dyDescent="0.25">
      <c r="A206" s="51">
        <v>42828</v>
      </c>
      <c r="B206" s="174" t="s">
        <v>11715</v>
      </c>
      <c r="C206" s="175"/>
      <c r="D206" s="176" t="s">
        <v>11715</v>
      </c>
      <c r="E206" s="176">
        <v>106640</v>
      </c>
      <c r="F206" s="177" t="s">
        <v>28</v>
      </c>
      <c r="G206" s="178">
        <v>8907.6</v>
      </c>
      <c r="H206" s="179">
        <v>42828</v>
      </c>
      <c r="I206" s="178">
        <f t="shared" si="7"/>
        <v>8907.6</v>
      </c>
      <c r="J206" s="178">
        <f t="shared" si="8"/>
        <v>0</v>
      </c>
      <c r="K206" s="21"/>
    </row>
    <row r="207" spans="1:11" x14ac:dyDescent="0.25">
      <c r="A207" s="51">
        <v>42828</v>
      </c>
      <c r="B207" s="174" t="s">
        <v>11716</v>
      </c>
      <c r="C207" s="175"/>
      <c r="D207" s="176" t="s">
        <v>11716</v>
      </c>
      <c r="E207" s="176">
        <v>106641</v>
      </c>
      <c r="F207" s="177" t="s">
        <v>231</v>
      </c>
      <c r="G207" s="178">
        <v>6050.8</v>
      </c>
      <c r="H207" s="179">
        <v>42828</v>
      </c>
      <c r="I207" s="178">
        <f t="shared" si="7"/>
        <v>6050.8</v>
      </c>
      <c r="J207" s="178">
        <f t="shared" si="8"/>
        <v>0</v>
      </c>
      <c r="K207" s="21"/>
    </row>
    <row r="208" spans="1:11" x14ac:dyDescent="0.25">
      <c r="A208" s="51">
        <v>42828</v>
      </c>
      <c r="B208" s="174" t="s">
        <v>11717</v>
      </c>
      <c r="C208" s="175"/>
      <c r="D208" s="176" t="s">
        <v>11717</v>
      </c>
      <c r="E208" s="176">
        <v>106642</v>
      </c>
      <c r="F208" s="177" t="s">
        <v>231</v>
      </c>
      <c r="G208" s="178">
        <v>38305.5</v>
      </c>
      <c r="H208" s="179">
        <v>42829</v>
      </c>
      <c r="I208" s="178">
        <f t="shared" si="7"/>
        <v>38305.5</v>
      </c>
      <c r="J208" s="178">
        <f t="shared" si="8"/>
        <v>0</v>
      </c>
      <c r="K208" s="21"/>
    </row>
    <row r="209" spans="1:11" x14ac:dyDescent="0.25">
      <c r="A209" s="51">
        <v>42828</v>
      </c>
      <c r="B209" s="174" t="s">
        <v>11718</v>
      </c>
      <c r="C209" s="175"/>
      <c r="D209" s="176" t="s">
        <v>11718</v>
      </c>
      <c r="E209" s="176">
        <v>106643</v>
      </c>
      <c r="F209" s="177" t="s">
        <v>55</v>
      </c>
      <c r="G209" s="178">
        <v>4176</v>
      </c>
      <c r="H209" s="179">
        <v>42828</v>
      </c>
      <c r="I209" s="178">
        <f t="shared" si="7"/>
        <v>4176</v>
      </c>
      <c r="J209" s="178">
        <f t="shared" si="8"/>
        <v>0</v>
      </c>
      <c r="K209" s="21"/>
    </row>
    <row r="210" spans="1:11" x14ac:dyDescent="0.25">
      <c r="A210" s="51">
        <v>42828</v>
      </c>
      <c r="B210" s="174" t="s">
        <v>11719</v>
      </c>
      <c r="C210" s="175"/>
      <c r="D210" s="176" t="s">
        <v>11719</v>
      </c>
      <c r="E210" s="176">
        <v>106644</v>
      </c>
      <c r="F210" s="177" t="s">
        <v>21</v>
      </c>
      <c r="G210" s="178">
        <v>40200</v>
      </c>
      <c r="H210" s="179">
        <v>42844</v>
      </c>
      <c r="I210" s="178">
        <f t="shared" si="7"/>
        <v>40200</v>
      </c>
      <c r="J210" s="178">
        <f t="shared" si="8"/>
        <v>0</v>
      </c>
      <c r="K210" s="21"/>
    </row>
    <row r="211" spans="1:11" x14ac:dyDescent="0.25">
      <c r="A211" s="51">
        <v>42828</v>
      </c>
      <c r="B211" s="174" t="s">
        <v>11720</v>
      </c>
      <c r="C211" s="175"/>
      <c r="D211" s="176" t="s">
        <v>11720</v>
      </c>
      <c r="E211" s="176">
        <v>106645</v>
      </c>
      <c r="F211" s="177" t="s">
        <v>428</v>
      </c>
      <c r="G211" s="178">
        <v>1221.2</v>
      </c>
      <c r="H211" s="179">
        <v>42830</v>
      </c>
      <c r="I211" s="178">
        <f t="shared" si="7"/>
        <v>1221.2</v>
      </c>
      <c r="J211" s="178">
        <f t="shared" si="8"/>
        <v>0</v>
      </c>
      <c r="K211" s="21"/>
    </row>
    <row r="212" spans="1:11" x14ac:dyDescent="0.25">
      <c r="A212" s="51">
        <v>42828</v>
      </c>
      <c r="B212" s="174" t="s">
        <v>11721</v>
      </c>
      <c r="C212" s="175"/>
      <c r="D212" s="176" t="s">
        <v>11721</v>
      </c>
      <c r="E212" s="176">
        <v>106646</v>
      </c>
      <c r="F212" s="177" t="s">
        <v>47</v>
      </c>
      <c r="G212" s="178">
        <v>4250.7</v>
      </c>
      <c r="H212" s="179">
        <v>42828</v>
      </c>
      <c r="I212" s="178">
        <f t="shared" si="7"/>
        <v>4250.7</v>
      </c>
      <c r="J212" s="178">
        <f t="shared" si="8"/>
        <v>0</v>
      </c>
      <c r="K212" s="21"/>
    </row>
    <row r="213" spans="1:11" x14ac:dyDescent="0.25">
      <c r="A213" s="51">
        <v>42828</v>
      </c>
      <c r="B213" s="174" t="s">
        <v>11722</v>
      </c>
      <c r="C213" s="175"/>
      <c r="D213" s="176" t="s">
        <v>11722</v>
      </c>
      <c r="E213" s="176">
        <v>106647</v>
      </c>
      <c r="F213" s="177" t="s">
        <v>17</v>
      </c>
      <c r="G213" s="178">
        <v>1935</v>
      </c>
      <c r="H213" s="179">
        <v>42828</v>
      </c>
      <c r="I213" s="178">
        <f t="shared" si="7"/>
        <v>1935</v>
      </c>
      <c r="J213" s="178">
        <f t="shared" si="8"/>
        <v>0</v>
      </c>
      <c r="K213" s="21"/>
    </row>
    <row r="214" spans="1:11" x14ac:dyDescent="0.25">
      <c r="A214" s="51">
        <v>42828</v>
      </c>
      <c r="B214" s="174" t="s">
        <v>11723</v>
      </c>
      <c r="C214" s="175"/>
      <c r="D214" s="176" t="s">
        <v>11723</v>
      </c>
      <c r="E214" s="176">
        <v>106648</v>
      </c>
      <c r="F214" s="177" t="s">
        <v>1786</v>
      </c>
      <c r="G214" s="178">
        <v>8170.8</v>
      </c>
      <c r="H214" s="179">
        <v>42828</v>
      </c>
      <c r="I214" s="178">
        <f t="shared" si="7"/>
        <v>8170.8</v>
      </c>
      <c r="J214" s="178">
        <f t="shared" si="8"/>
        <v>0</v>
      </c>
      <c r="K214" s="21"/>
    </row>
    <row r="215" spans="1:11" x14ac:dyDescent="0.25">
      <c r="A215" s="51">
        <v>42828</v>
      </c>
      <c r="B215" s="174" t="s">
        <v>11724</v>
      </c>
      <c r="C215" s="175"/>
      <c r="D215" s="176" t="s">
        <v>11724</v>
      </c>
      <c r="E215" s="176">
        <v>106649</v>
      </c>
      <c r="F215" s="177" t="s">
        <v>71</v>
      </c>
      <c r="G215" s="178">
        <v>1750</v>
      </c>
      <c r="H215" s="179">
        <v>42828</v>
      </c>
      <c r="I215" s="178">
        <f t="shared" si="7"/>
        <v>1750</v>
      </c>
      <c r="J215" s="178">
        <f t="shared" si="8"/>
        <v>0</v>
      </c>
      <c r="K215" s="21"/>
    </row>
    <row r="216" spans="1:11" x14ac:dyDescent="0.25">
      <c r="A216" s="51">
        <v>42828</v>
      </c>
      <c r="B216" s="174" t="s">
        <v>11725</v>
      </c>
      <c r="C216" s="175"/>
      <c r="D216" s="176" t="s">
        <v>11725</v>
      </c>
      <c r="E216" s="176">
        <v>106650</v>
      </c>
      <c r="F216" s="177" t="s">
        <v>30</v>
      </c>
      <c r="G216" s="178">
        <v>637.20000000000005</v>
      </c>
      <c r="H216" s="179">
        <v>42828</v>
      </c>
      <c r="I216" s="178">
        <f t="shared" si="7"/>
        <v>637.20000000000005</v>
      </c>
      <c r="J216" s="178">
        <f t="shared" si="8"/>
        <v>0</v>
      </c>
      <c r="K216" s="21"/>
    </row>
    <row r="217" spans="1:11" x14ac:dyDescent="0.25">
      <c r="A217" s="51">
        <v>42828</v>
      </c>
      <c r="B217" s="174" t="s">
        <v>11726</v>
      </c>
      <c r="C217" s="175"/>
      <c r="D217" s="176" t="s">
        <v>11726</v>
      </c>
      <c r="E217" s="176">
        <v>106651</v>
      </c>
      <c r="F217" s="177" t="s">
        <v>30</v>
      </c>
      <c r="G217" s="178">
        <v>1300.5</v>
      </c>
      <c r="H217" s="179">
        <v>42828</v>
      </c>
      <c r="I217" s="178">
        <f t="shared" si="7"/>
        <v>1300.5</v>
      </c>
      <c r="J217" s="178">
        <f t="shared" si="8"/>
        <v>0</v>
      </c>
      <c r="K217" s="21"/>
    </row>
    <row r="218" spans="1:11" x14ac:dyDescent="0.25">
      <c r="A218" s="51">
        <v>42828</v>
      </c>
      <c r="B218" s="174" t="s">
        <v>11727</v>
      </c>
      <c r="C218" s="175"/>
      <c r="D218" s="176" t="s">
        <v>11727</v>
      </c>
      <c r="E218" s="176">
        <v>106652</v>
      </c>
      <c r="F218" s="177" t="s">
        <v>26</v>
      </c>
      <c r="G218" s="178">
        <v>24059.8</v>
      </c>
      <c r="H218" s="179">
        <v>42828</v>
      </c>
      <c r="I218" s="178">
        <f t="shared" si="7"/>
        <v>24059.8</v>
      </c>
      <c r="J218" s="178">
        <f t="shared" si="8"/>
        <v>0</v>
      </c>
      <c r="K218" s="21"/>
    </row>
    <row r="219" spans="1:11" x14ac:dyDescent="0.25">
      <c r="A219" s="51">
        <v>42828</v>
      </c>
      <c r="B219" s="174" t="s">
        <v>11728</v>
      </c>
      <c r="C219" s="175"/>
      <c r="D219" s="176" t="s">
        <v>11728</v>
      </c>
      <c r="E219" s="176">
        <v>106653</v>
      </c>
      <c r="F219" s="177" t="s">
        <v>30</v>
      </c>
      <c r="G219" s="178">
        <v>2258</v>
      </c>
      <c r="H219" s="179">
        <v>42828</v>
      </c>
      <c r="I219" s="178">
        <f t="shared" si="7"/>
        <v>2258</v>
      </c>
      <c r="J219" s="178">
        <f t="shared" si="8"/>
        <v>0</v>
      </c>
      <c r="K219" s="21"/>
    </row>
    <row r="220" spans="1:11" x14ac:dyDescent="0.25">
      <c r="A220" s="51">
        <v>42828</v>
      </c>
      <c r="B220" s="174" t="s">
        <v>11729</v>
      </c>
      <c r="C220" s="175"/>
      <c r="D220" s="176" t="s">
        <v>11729</v>
      </c>
      <c r="E220" s="176">
        <v>106654</v>
      </c>
      <c r="F220" s="177" t="s">
        <v>40</v>
      </c>
      <c r="G220" s="178">
        <v>3712.2</v>
      </c>
      <c r="H220" s="180" t="s">
        <v>11730</v>
      </c>
      <c r="I220" s="181">
        <f>2900+812.2</f>
        <v>3712.2</v>
      </c>
      <c r="J220" s="181">
        <f t="shared" si="8"/>
        <v>0</v>
      </c>
      <c r="K220" s="21"/>
    </row>
    <row r="221" spans="1:11" x14ac:dyDescent="0.25">
      <c r="A221" s="51">
        <v>42828</v>
      </c>
      <c r="B221" s="174" t="s">
        <v>11731</v>
      </c>
      <c r="C221" s="175"/>
      <c r="D221" s="176" t="s">
        <v>11731</v>
      </c>
      <c r="E221" s="176">
        <v>106655</v>
      </c>
      <c r="F221" s="177" t="s">
        <v>253</v>
      </c>
      <c r="G221" s="178">
        <v>7061.1</v>
      </c>
      <c r="H221" s="179">
        <v>42830</v>
      </c>
      <c r="I221" s="178">
        <f t="shared" si="7"/>
        <v>7061.1</v>
      </c>
      <c r="J221" s="178">
        <f t="shared" si="8"/>
        <v>0</v>
      </c>
      <c r="K221" s="21"/>
    </row>
    <row r="222" spans="1:11" x14ac:dyDescent="0.25">
      <c r="A222" s="51">
        <v>42828</v>
      </c>
      <c r="B222" s="174" t="s">
        <v>11732</v>
      </c>
      <c r="C222" s="175"/>
      <c r="D222" s="176" t="s">
        <v>11732</v>
      </c>
      <c r="E222" s="176">
        <v>106656</v>
      </c>
      <c r="F222" s="177" t="s">
        <v>35</v>
      </c>
      <c r="G222" s="178">
        <v>9400.1</v>
      </c>
      <c r="H222" s="179">
        <v>42830</v>
      </c>
      <c r="I222" s="178">
        <f t="shared" si="7"/>
        <v>9400.1</v>
      </c>
      <c r="J222" s="178">
        <f t="shared" si="8"/>
        <v>0</v>
      </c>
      <c r="K222" s="21"/>
    </row>
    <row r="223" spans="1:11" x14ac:dyDescent="0.25">
      <c r="A223" s="51">
        <v>42828</v>
      </c>
      <c r="B223" s="174" t="s">
        <v>11733</v>
      </c>
      <c r="C223" s="175"/>
      <c r="D223" s="176" t="s">
        <v>11733</v>
      </c>
      <c r="E223" s="176">
        <v>106657</v>
      </c>
      <c r="F223" s="177" t="s">
        <v>32</v>
      </c>
      <c r="G223" s="178">
        <v>5453.8</v>
      </c>
      <c r="H223" s="179">
        <v>42830</v>
      </c>
      <c r="I223" s="178">
        <f t="shared" si="7"/>
        <v>5453.8</v>
      </c>
      <c r="J223" s="178">
        <f t="shared" si="8"/>
        <v>0</v>
      </c>
      <c r="K223" s="21"/>
    </row>
    <row r="224" spans="1:11" x14ac:dyDescent="0.25">
      <c r="A224" s="51">
        <v>42828</v>
      </c>
      <c r="B224" s="174" t="s">
        <v>11734</v>
      </c>
      <c r="C224" s="175"/>
      <c r="D224" s="176" t="s">
        <v>11734</v>
      </c>
      <c r="E224" s="176">
        <v>106658</v>
      </c>
      <c r="F224" s="177" t="s">
        <v>38</v>
      </c>
      <c r="G224" s="178">
        <v>2733.6</v>
      </c>
      <c r="H224" s="180" t="s">
        <v>11735</v>
      </c>
      <c r="I224" s="181">
        <f>2033+700.6</f>
        <v>2733.6</v>
      </c>
      <c r="J224" s="181">
        <f t="shared" si="8"/>
        <v>0</v>
      </c>
      <c r="K224" s="21"/>
    </row>
    <row r="225" spans="1:11" x14ac:dyDescent="0.25">
      <c r="A225" s="51">
        <v>42828</v>
      </c>
      <c r="B225" s="174" t="s">
        <v>11736</v>
      </c>
      <c r="C225" s="175"/>
      <c r="D225" s="176" t="s">
        <v>11736</v>
      </c>
      <c r="E225" s="176">
        <v>106659</v>
      </c>
      <c r="F225" s="177" t="s">
        <v>43</v>
      </c>
      <c r="G225" s="178">
        <v>6197.4</v>
      </c>
      <c r="H225" s="179">
        <v>42830</v>
      </c>
      <c r="I225" s="178">
        <f t="shared" si="7"/>
        <v>6197.4</v>
      </c>
      <c r="J225" s="178">
        <f t="shared" si="8"/>
        <v>0</v>
      </c>
      <c r="K225" s="21"/>
    </row>
    <row r="226" spans="1:11" x14ac:dyDescent="0.25">
      <c r="A226" s="51">
        <v>42828</v>
      </c>
      <c r="B226" s="174" t="s">
        <v>11737</v>
      </c>
      <c r="C226" s="175"/>
      <c r="D226" s="176" t="s">
        <v>11737</v>
      </c>
      <c r="E226" s="176">
        <v>106660</v>
      </c>
      <c r="F226" s="177" t="s">
        <v>51</v>
      </c>
      <c r="G226" s="178">
        <v>3075.6</v>
      </c>
      <c r="H226" s="179">
        <v>42830</v>
      </c>
      <c r="I226" s="178">
        <f t="shared" si="7"/>
        <v>3075.6</v>
      </c>
      <c r="J226" s="178">
        <f t="shared" si="8"/>
        <v>0</v>
      </c>
      <c r="K226" s="21"/>
    </row>
    <row r="227" spans="1:11" x14ac:dyDescent="0.25">
      <c r="A227" s="51">
        <v>42828</v>
      </c>
      <c r="B227" s="174" t="s">
        <v>11738</v>
      </c>
      <c r="C227" s="175"/>
      <c r="D227" s="176" t="s">
        <v>11738</v>
      </c>
      <c r="E227" s="176">
        <v>106661</v>
      </c>
      <c r="F227" s="177" t="s">
        <v>49</v>
      </c>
      <c r="G227" s="178">
        <v>12223.2</v>
      </c>
      <c r="H227" s="180" t="s">
        <v>11730</v>
      </c>
      <c r="I227" s="181">
        <f>6000+6223.2</f>
        <v>12223.2</v>
      </c>
      <c r="J227" s="181">
        <f t="shared" si="8"/>
        <v>0</v>
      </c>
      <c r="K227" s="21"/>
    </row>
    <row r="228" spans="1:11" x14ac:dyDescent="0.25">
      <c r="A228" s="51">
        <v>42828</v>
      </c>
      <c r="B228" s="174" t="s">
        <v>11739</v>
      </c>
      <c r="C228" s="175"/>
      <c r="D228" s="176" t="s">
        <v>11739</v>
      </c>
      <c r="E228" s="176">
        <v>106662</v>
      </c>
      <c r="F228" s="177" t="s">
        <v>250</v>
      </c>
      <c r="G228" s="178">
        <v>7688.2</v>
      </c>
      <c r="H228" s="180" t="s">
        <v>11730</v>
      </c>
      <c r="I228" s="181">
        <f>6800+888.2</f>
        <v>7688.2</v>
      </c>
      <c r="J228" s="181">
        <f t="shared" si="8"/>
        <v>0</v>
      </c>
      <c r="K228" s="21"/>
    </row>
    <row r="229" spans="1:11" x14ac:dyDescent="0.25">
      <c r="A229" s="51">
        <v>42828</v>
      </c>
      <c r="B229" s="174" t="s">
        <v>11740</v>
      </c>
      <c r="C229" s="175"/>
      <c r="D229" s="176" t="s">
        <v>11740</v>
      </c>
      <c r="E229" s="176">
        <v>106663</v>
      </c>
      <c r="F229" s="177" t="s">
        <v>1666</v>
      </c>
      <c r="G229" s="178">
        <v>14827.4</v>
      </c>
      <c r="H229" s="179">
        <v>42830</v>
      </c>
      <c r="I229" s="178">
        <f t="shared" si="7"/>
        <v>14827.4</v>
      </c>
      <c r="J229" s="178">
        <f t="shared" si="8"/>
        <v>0</v>
      </c>
      <c r="K229" s="21"/>
    </row>
    <row r="230" spans="1:11" x14ac:dyDescent="0.25">
      <c r="A230" s="51">
        <v>42828</v>
      </c>
      <c r="B230" s="174" t="s">
        <v>11741</v>
      </c>
      <c r="C230" s="175"/>
      <c r="D230" s="176" t="s">
        <v>11741</v>
      </c>
      <c r="E230" s="176">
        <v>106664</v>
      </c>
      <c r="F230" s="177" t="s">
        <v>208</v>
      </c>
      <c r="G230" s="178">
        <v>3788.4</v>
      </c>
      <c r="H230" s="179">
        <v>42829</v>
      </c>
      <c r="I230" s="178">
        <f t="shared" si="7"/>
        <v>3788.4</v>
      </c>
      <c r="J230" s="178">
        <f t="shared" si="8"/>
        <v>0</v>
      </c>
      <c r="K230" s="21"/>
    </row>
    <row r="231" spans="1:11" x14ac:dyDescent="0.25">
      <c r="A231" s="51">
        <v>42828</v>
      </c>
      <c r="B231" s="174" t="s">
        <v>11742</v>
      </c>
      <c r="C231" s="175"/>
      <c r="D231" s="176" t="s">
        <v>11742</v>
      </c>
      <c r="E231" s="176">
        <v>106665</v>
      </c>
      <c r="F231" s="177" t="s">
        <v>268</v>
      </c>
      <c r="G231" s="178">
        <v>16017.9</v>
      </c>
      <c r="H231" s="179">
        <v>42830</v>
      </c>
      <c r="I231" s="178">
        <f t="shared" si="7"/>
        <v>16017.9</v>
      </c>
      <c r="J231" s="178">
        <f t="shared" si="8"/>
        <v>0</v>
      </c>
      <c r="K231" s="21"/>
    </row>
    <row r="232" spans="1:11" x14ac:dyDescent="0.25">
      <c r="A232" s="51">
        <v>42828</v>
      </c>
      <c r="B232" s="174" t="s">
        <v>11743</v>
      </c>
      <c r="C232" s="175"/>
      <c r="D232" s="176" t="s">
        <v>11743</v>
      </c>
      <c r="E232" s="176">
        <v>106666</v>
      </c>
      <c r="F232" s="177" t="s">
        <v>272</v>
      </c>
      <c r="G232" s="178">
        <v>3085.5</v>
      </c>
      <c r="H232" s="179">
        <v>42830</v>
      </c>
      <c r="I232" s="178">
        <f t="shared" si="7"/>
        <v>3085.5</v>
      </c>
      <c r="J232" s="178">
        <f t="shared" si="8"/>
        <v>0</v>
      </c>
      <c r="K232" s="21"/>
    </row>
    <row r="233" spans="1:11" x14ac:dyDescent="0.25">
      <c r="A233" s="51">
        <v>42828</v>
      </c>
      <c r="B233" s="174" t="s">
        <v>11744</v>
      </c>
      <c r="C233" s="175"/>
      <c r="D233" s="176" t="s">
        <v>11744</v>
      </c>
      <c r="E233" s="176">
        <v>106667</v>
      </c>
      <c r="F233" s="177" t="s">
        <v>435</v>
      </c>
      <c r="G233" s="178">
        <v>3201</v>
      </c>
      <c r="H233" s="179">
        <v>42832</v>
      </c>
      <c r="I233" s="178">
        <f t="shared" si="7"/>
        <v>3201</v>
      </c>
      <c r="J233" s="178">
        <f t="shared" si="8"/>
        <v>0</v>
      </c>
      <c r="K233" s="21"/>
    </row>
    <row r="234" spans="1:11" x14ac:dyDescent="0.25">
      <c r="A234" s="51">
        <v>42828</v>
      </c>
      <c r="B234" s="174" t="s">
        <v>11745</v>
      </c>
      <c r="C234" s="175"/>
      <c r="D234" s="176" t="s">
        <v>11745</v>
      </c>
      <c r="E234" s="176">
        <v>106668</v>
      </c>
      <c r="F234" s="177" t="s">
        <v>149</v>
      </c>
      <c r="G234" s="178">
        <v>2899.9</v>
      </c>
      <c r="H234" s="179">
        <v>42828</v>
      </c>
      <c r="I234" s="178">
        <f t="shared" si="7"/>
        <v>2899.9</v>
      </c>
      <c r="J234" s="178">
        <f t="shared" si="8"/>
        <v>0</v>
      </c>
      <c r="K234" s="21"/>
    </row>
    <row r="235" spans="1:11" x14ac:dyDescent="0.25">
      <c r="A235" s="51">
        <v>42828</v>
      </c>
      <c r="B235" s="174" t="s">
        <v>11746</v>
      </c>
      <c r="C235" s="175"/>
      <c r="D235" s="176" t="s">
        <v>11746</v>
      </c>
      <c r="E235" s="176">
        <v>106669</v>
      </c>
      <c r="F235" s="177" t="s">
        <v>125</v>
      </c>
      <c r="G235" s="178">
        <v>6857.4</v>
      </c>
      <c r="H235" s="179">
        <v>42828</v>
      </c>
      <c r="I235" s="178">
        <f t="shared" si="7"/>
        <v>6857.4</v>
      </c>
      <c r="J235" s="178">
        <f t="shared" si="8"/>
        <v>0</v>
      </c>
      <c r="K235" s="21"/>
    </row>
    <row r="236" spans="1:11" x14ac:dyDescent="0.25">
      <c r="A236" s="51">
        <v>42828</v>
      </c>
      <c r="B236" s="174" t="s">
        <v>11747</v>
      </c>
      <c r="C236" s="175"/>
      <c r="D236" s="176" t="s">
        <v>11747</v>
      </c>
      <c r="E236" s="176">
        <v>106670</v>
      </c>
      <c r="F236" s="177" t="s">
        <v>1830</v>
      </c>
      <c r="G236" s="178">
        <v>8882.2000000000007</v>
      </c>
      <c r="H236" s="179">
        <v>42828</v>
      </c>
      <c r="I236" s="178">
        <f t="shared" si="7"/>
        <v>8882.2000000000007</v>
      </c>
      <c r="J236" s="178">
        <f t="shared" si="8"/>
        <v>0</v>
      </c>
      <c r="K236" s="21"/>
    </row>
    <row r="237" spans="1:11" x14ac:dyDescent="0.25">
      <c r="A237" s="51">
        <v>42828</v>
      </c>
      <c r="B237" s="174" t="s">
        <v>11748</v>
      </c>
      <c r="C237" s="175"/>
      <c r="D237" s="176" t="s">
        <v>11748</v>
      </c>
      <c r="E237" s="176">
        <v>106671</v>
      </c>
      <c r="F237" s="177" t="s">
        <v>442</v>
      </c>
      <c r="G237" s="178">
        <v>3583.8</v>
      </c>
      <c r="H237" s="179">
        <v>42830</v>
      </c>
      <c r="I237" s="178">
        <f t="shared" si="7"/>
        <v>3583.8</v>
      </c>
      <c r="J237" s="178">
        <f t="shared" si="8"/>
        <v>0</v>
      </c>
      <c r="K237" s="21"/>
    </row>
    <row r="238" spans="1:11" x14ac:dyDescent="0.25">
      <c r="A238" s="51">
        <v>42828</v>
      </c>
      <c r="B238" s="174" t="s">
        <v>11749</v>
      </c>
      <c r="C238" s="175"/>
      <c r="D238" s="176" t="s">
        <v>11749</v>
      </c>
      <c r="E238" s="176">
        <v>106672</v>
      </c>
      <c r="F238" s="177" t="s">
        <v>131</v>
      </c>
      <c r="G238" s="178">
        <v>14850</v>
      </c>
      <c r="H238" s="179">
        <v>42828</v>
      </c>
      <c r="I238" s="178">
        <f t="shared" si="7"/>
        <v>14850</v>
      </c>
      <c r="J238" s="178">
        <f t="shared" si="8"/>
        <v>0</v>
      </c>
      <c r="K238" s="21"/>
    </row>
    <row r="239" spans="1:11" x14ac:dyDescent="0.25">
      <c r="A239" s="51">
        <v>42828</v>
      </c>
      <c r="B239" s="174" t="s">
        <v>11750</v>
      </c>
      <c r="C239" s="175"/>
      <c r="D239" s="176" t="s">
        <v>11750</v>
      </c>
      <c r="E239" s="176">
        <v>106673</v>
      </c>
      <c r="F239" s="177" t="s">
        <v>470</v>
      </c>
      <c r="G239" s="178">
        <v>8520.7999999999993</v>
      </c>
      <c r="H239" s="179">
        <v>42828</v>
      </c>
      <c r="I239" s="178">
        <f t="shared" si="7"/>
        <v>8520.7999999999993</v>
      </c>
      <c r="J239" s="178">
        <f t="shared" si="8"/>
        <v>0</v>
      </c>
      <c r="K239" s="21"/>
    </row>
    <row r="240" spans="1:11" x14ac:dyDescent="0.25">
      <c r="A240" s="51">
        <v>42828</v>
      </c>
      <c r="B240" s="174" t="s">
        <v>11751</v>
      </c>
      <c r="C240" s="175"/>
      <c r="D240" s="176" t="s">
        <v>11751</v>
      </c>
      <c r="E240" s="176">
        <v>106674</v>
      </c>
      <c r="F240" s="177" t="s">
        <v>120</v>
      </c>
      <c r="G240" s="178">
        <v>1632</v>
      </c>
      <c r="H240" s="179">
        <v>42828</v>
      </c>
      <c r="I240" s="178">
        <f t="shared" si="7"/>
        <v>1632</v>
      </c>
      <c r="J240" s="178">
        <f t="shared" si="8"/>
        <v>0</v>
      </c>
      <c r="K240" s="21"/>
    </row>
    <row r="241" spans="1:11" x14ac:dyDescent="0.25">
      <c r="A241" s="51">
        <v>42828</v>
      </c>
      <c r="B241" s="174" t="s">
        <v>11752</v>
      </c>
      <c r="C241" s="175"/>
      <c r="D241" s="176" t="s">
        <v>11752</v>
      </c>
      <c r="E241" s="176">
        <v>106675</v>
      </c>
      <c r="F241" s="177" t="s">
        <v>270</v>
      </c>
      <c r="G241" s="178">
        <v>17272.7</v>
      </c>
      <c r="H241" s="179">
        <v>42830</v>
      </c>
      <c r="I241" s="178">
        <f t="shared" si="7"/>
        <v>17272.7</v>
      </c>
      <c r="J241" s="178">
        <f t="shared" si="8"/>
        <v>0</v>
      </c>
      <c r="K241" s="21"/>
    </row>
    <row r="242" spans="1:11" x14ac:dyDescent="0.25">
      <c r="A242" s="51">
        <v>42828</v>
      </c>
      <c r="B242" s="174" t="s">
        <v>11753</v>
      </c>
      <c r="C242" s="175"/>
      <c r="D242" s="176" t="s">
        <v>11753</v>
      </c>
      <c r="E242" s="176">
        <v>106676</v>
      </c>
      <c r="F242" s="177" t="s">
        <v>2510</v>
      </c>
      <c r="G242" s="178">
        <v>1026</v>
      </c>
      <c r="H242" s="179">
        <v>42828</v>
      </c>
      <c r="I242" s="178">
        <f t="shared" si="7"/>
        <v>1026</v>
      </c>
      <c r="J242" s="178">
        <f t="shared" si="8"/>
        <v>0</v>
      </c>
      <c r="K242" s="21"/>
    </row>
    <row r="243" spans="1:11" x14ac:dyDescent="0.25">
      <c r="A243" s="51">
        <v>42828</v>
      </c>
      <c r="B243" s="174" t="s">
        <v>11754</v>
      </c>
      <c r="C243" s="175"/>
      <c r="D243" s="176" t="s">
        <v>11754</v>
      </c>
      <c r="E243" s="176">
        <v>106677</v>
      </c>
      <c r="F243" s="177" t="s">
        <v>168</v>
      </c>
      <c r="G243" s="178">
        <v>4702.2</v>
      </c>
      <c r="H243" s="179">
        <v>42835</v>
      </c>
      <c r="I243" s="178">
        <f t="shared" si="7"/>
        <v>4702.2</v>
      </c>
      <c r="J243" s="178">
        <f t="shared" si="8"/>
        <v>0</v>
      </c>
      <c r="K243" s="21"/>
    </row>
    <row r="244" spans="1:11" x14ac:dyDescent="0.25">
      <c r="A244" s="51">
        <v>42828</v>
      </c>
      <c r="B244" s="174" t="s">
        <v>11755</v>
      </c>
      <c r="C244" s="175"/>
      <c r="D244" s="176" t="s">
        <v>11755</v>
      </c>
      <c r="E244" s="176">
        <v>106678</v>
      </c>
      <c r="F244" s="177" t="s">
        <v>1090</v>
      </c>
      <c r="G244" s="178">
        <v>4668.8999999999996</v>
      </c>
      <c r="H244" s="179">
        <v>42828</v>
      </c>
      <c r="I244" s="178">
        <f t="shared" si="7"/>
        <v>4668.8999999999996</v>
      </c>
      <c r="J244" s="178">
        <f t="shared" si="8"/>
        <v>0</v>
      </c>
      <c r="K244" s="21"/>
    </row>
    <row r="245" spans="1:11" x14ac:dyDescent="0.25">
      <c r="A245" s="51">
        <v>42828</v>
      </c>
      <c r="B245" s="174" t="s">
        <v>11756</v>
      </c>
      <c r="C245" s="175"/>
      <c r="D245" s="176" t="s">
        <v>11756</v>
      </c>
      <c r="E245" s="176">
        <v>106679</v>
      </c>
      <c r="F245" s="177" t="s">
        <v>457</v>
      </c>
      <c r="G245" s="178">
        <v>2833.7</v>
      </c>
      <c r="H245" s="179">
        <v>42828</v>
      </c>
      <c r="I245" s="178">
        <f t="shared" si="7"/>
        <v>2833.7</v>
      </c>
      <c r="J245" s="178">
        <f t="shared" si="8"/>
        <v>0</v>
      </c>
      <c r="K245" s="21"/>
    </row>
    <row r="246" spans="1:11" x14ac:dyDescent="0.25">
      <c r="A246" s="51">
        <v>42828</v>
      </c>
      <c r="B246" s="174" t="s">
        <v>11757</v>
      </c>
      <c r="C246" s="175"/>
      <c r="D246" s="176" t="s">
        <v>11757</v>
      </c>
      <c r="E246" s="176">
        <v>106680</v>
      </c>
      <c r="F246" s="177" t="s">
        <v>151</v>
      </c>
      <c r="G246" s="178">
        <v>13662.6</v>
      </c>
      <c r="H246" s="179">
        <v>42828</v>
      </c>
      <c r="I246" s="178">
        <f t="shared" si="7"/>
        <v>13662.6</v>
      </c>
      <c r="J246" s="178">
        <f t="shared" si="8"/>
        <v>0</v>
      </c>
      <c r="K246" s="21"/>
    </row>
    <row r="247" spans="1:11" x14ac:dyDescent="0.25">
      <c r="A247" s="51">
        <v>42828</v>
      </c>
      <c r="B247" s="174" t="s">
        <v>11758</v>
      </c>
      <c r="C247" s="175"/>
      <c r="D247" s="176" t="s">
        <v>11758</v>
      </c>
      <c r="E247" s="176">
        <v>106681</v>
      </c>
      <c r="F247" s="177" t="s">
        <v>79</v>
      </c>
      <c r="G247" s="178">
        <v>2485.4</v>
      </c>
      <c r="H247" s="179">
        <v>42828</v>
      </c>
      <c r="I247" s="178">
        <f t="shared" si="7"/>
        <v>2485.4</v>
      </c>
      <c r="J247" s="178">
        <f t="shared" si="8"/>
        <v>0</v>
      </c>
      <c r="K247" s="21"/>
    </row>
    <row r="248" spans="1:11" x14ac:dyDescent="0.25">
      <c r="A248" s="51">
        <v>42828</v>
      </c>
      <c r="B248" s="174" t="s">
        <v>11759</v>
      </c>
      <c r="C248" s="175"/>
      <c r="D248" s="176" t="s">
        <v>11759</v>
      </c>
      <c r="E248" s="176">
        <v>106682</v>
      </c>
      <c r="F248" s="177" t="s">
        <v>79</v>
      </c>
      <c r="G248" s="178">
        <v>948.6</v>
      </c>
      <c r="H248" s="179">
        <v>42828</v>
      </c>
      <c r="I248" s="178">
        <f t="shared" si="7"/>
        <v>948.6</v>
      </c>
      <c r="J248" s="178">
        <f t="shared" si="8"/>
        <v>0</v>
      </c>
      <c r="K248" s="21"/>
    </row>
    <row r="249" spans="1:11" x14ac:dyDescent="0.25">
      <c r="A249" s="51">
        <v>42828</v>
      </c>
      <c r="B249" s="174" t="s">
        <v>11760</v>
      </c>
      <c r="C249" s="175"/>
      <c r="D249" s="176" t="s">
        <v>11760</v>
      </c>
      <c r="E249" s="176">
        <v>106683</v>
      </c>
      <c r="F249" s="177" t="s">
        <v>289</v>
      </c>
      <c r="G249" s="178">
        <v>21741.4</v>
      </c>
      <c r="H249" s="186">
        <v>42851</v>
      </c>
      <c r="I249" s="187">
        <f t="shared" si="7"/>
        <v>21741.4</v>
      </c>
      <c r="J249" s="178">
        <f t="shared" si="8"/>
        <v>0</v>
      </c>
      <c r="K249" s="21"/>
    </row>
    <row r="250" spans="1:11" x14ac:dyDescent="0.25">
      <c r="A250" s="51">
        <v>42828</v>
      </c>
      <c r="B250" s="174" t="s">
        <v>11761</v>
      </c>
      <c r="C250" s="175"/>
      <c r="D250" s="176" t="s">
        <v>11761</v>
      </c>
      <c r="E250" s="176">
        <v>106684</v>
      </c>
      <c r="F250" s="177" t="s">
        <v>30</v>
      </c>
      <c r="G250" s="178">
        <v>1589.2</v>
      </c>
      <c r="H250" s="179">
        <v>42828</v>
      </c>
      <c r="I250" s="178">
        <f t="shared" si="7"/>
        <v>1589.2</v>
      </c>
      <c r="J250" s="178">
        <f t="shared" si="8"/>
        <v>0</v>
      </c>
      <c r="K250" s="21"/>
    </row>
    <row r="251" spans="1:11" x14ac:dyDescent="0.25">
      <c r="A251" s="51">
        <v>42828</v>
      </c>
      <c r="B251" s="174" t="s">
        <v>11762</v>
      </c>
      <c r="C251" s="175"/>
      <c r="D251" s="176" t="s">
        <v>11762</v>
      </c>
      <c r="E251" s="176">
        <v>106685</v>
      </c>
      <c r="F251" s="177" t="s">
        <v>157</v>
      </c>
      <c r="G251" s="178">
        <v>14852.8</v>
      </c>
      <c r="H251" s="179">
        <v>42828</v>
      </c>
      <c r="I251" s="178">
        <f t="shared" si="7"/>
        <v>14852.8</v>
      </c>
      <c r="J251" s="178">
        <f t="shared" si="8"/>
        <v>0</v>
      </c>
      <c r="K251" s="21"/>
    </row>
    <row r="252" spans="1:11" x14ac:dyDescent="0.25">
      <c r="A252" s="51">
        <v>42828</v>
      </c>
      <c r="B252" s="174" t="s">
        <v>11763</v>
      </c>
      <c r="C252" s="175"/>
      <c r="D252" s="176" t="s">
        <v>11763</v>
      </c>
      <c r="E252" s="176">
        <v>106686</v>
      </c>
      <c r="F252" s="177" t="s">
        <v>101</v>
      </c>
      <c r="G252" s="178">
        <v>860</v>
      </c>
      <c r="H252" s="179">
        <v>42828</v>
      </c>
      <c r="I252" s="178">
        <f t="shared" si="7"/>
        <v>860</v>
      </c>
      <c r="J252" s="178">
        <f t="shared" si="8"/>
        <v>0</v>
      </c>
      <c r="K252" s="21"/>
    </row>
    <row r="253" spans="1:11" x14ac:dyDescent="0.25">
      <c r="A253" s="51">
        <v>42828</v>
      </c>
      <c r="B253" s="174" t="s">
        <v>11764</v>
      </c>
      <c r="C253" s="175"/>
      <c r="D253" s="176" t="s">
        <v>11764</v>
      </c>
      <c r="E253" s="176">
        <v>106687</v>
      </c>
      <c r="F253" s="177" t="s">
        <v>99</v>
      </c>
      <c r="G253" s="178">
        <v>1720</v>
      </c>
      <c r="H253" s="179">
        <v>42828</v>
      </c>
      <c r="I253" s="178">
        <f t="shared" si="7"/>
        <v>1720</v>
      </c>
      <c r="J253" s="178">
        <f t="shared" si="8"/>
        <v>0</v>
      </c>
      <c r="K253" s="21"/>
    </row>
    <row r="254" spans="1:11" x14ac:dyDescent="0.25">
      <c r="A254" s="51">
        <v>42828</v>
      </c>
      <c r="B254" s="174" t="s">
        <v>11765</v>
      </c>
      <c r="C254" s="175"/>
      <c r="D254" s="176" t="s">
        <v>11765</v>
      </c>
      <c r="E254" s="176">
        <v>106688</v>
      </c>
      <c r="F254" s="177" t="s">
        <v>281</v>
      </c>
      <c r="G254" s="178">
        <v>1448.6</v>
      </c>
      <c r="H254" s="179">
        <v>42828</v>
      </c>
      <c r="I254" s="178">
        <f t="shared" si="7"/>
        <v>1448.6</v>
      </c>
      <c r="J254" s="178">
        <f t="shared" si="8"/>
        <v>0</v>
      </c>
      <c r="K254" s="21"/>
    </row>
    <row r="255" spans="1:11" x14ac:dyDescent="0.25">
      <c r="A255" s="51">
        <v>42828</v>
      </c>
      <c r="B255" s="174" t="s">
        <v>11766</v>
      </c>
      <c r="C255" s="175"/>
      <c r="D255" s="176" t="s">
        <v>11766</v>
      </c>
      <c r="E255" s="176">
        <v>106689</v>
      </c>
      <c r="F255" s="177" t="s">
        <v>1259</v>
      </c>
      <c r="G255" s="178">
        <v>1444.8</v>
      </c>
      <c r="H255" s="179">
        <v>42828</v>
      </c>
      <c r="I255" s="178">
        <f t="shared" si="7"/>
        <v>1444.8</v>
      </c>
      <c r="J255" s="178">
        <f t="shared" si="8"/>
        <v>0</v>
      </c>
      <c r="K255" s="21"/>
    </row>
    <row r="256" spans="1:11" x14ac:dyDescent="0.25">
      <c r="A256" s="51">
        <v>42828</v>
      </c>
      <c r="B256" s="174" t="s">
        <v>11767</v>
      </c>
      <c r="C256" s="175"/>
      <c r="D256" s="176" t="s">
        <v>11767</v>
      </c>
      <c r="E256" s="176">
        <v>106690</v>
      </c>
      <c r="F256" s="177" t="s">
        <v>88</v>
      </c>
      <c r="G256" s="178">
        <v>6343.8</v>
      </c>
      <c r="H256" s="179">
        <v>42828</v>
      </c>
      <c r="I256" s="178">
        <f t="shared" si="7"/>
        <v>6343.8</v>
      </c>
      <c r="J256" s="178">
        <f t="shared" si="8"/>
        <v>0</v>
      </c>
      <c r="K256" s="21"/>
    </row>
    <row r="257" spans="1:11" x14ac:dyDescent="0.25">
      <c r="A257" s="51">
        <v>42828</v>
      </c>
      <c r="B257" s="174" t="s">
        <v>11768</v>
      </c>
      <c r="C257" s="175"/>
      <c r="D257" s="176" t="s">
        <v>11768</v>
      </c>
      <c r="E257" s="176">
        <v>106691</v>
      </c>
      <c r="F257" s="177" t="s">
        <v>92</v>
      </c>
      <c r="G257" s="178">
        <v>2678</v>
      </c>
      <c r="H257" s="179">
        <v>42828</v>
      </c>
      <c r="I257" s="178">
        <f t="shared" si="7"/>
        <v>2678</v>
      </c>
      <c r="J257" s="178">
        <f t="shared" si="8"/>
        <v>0</v>
      </c>
      <c r="K257" s="21"/>
    </row>
    <row r="258" spans="1:11" x14ac:dyDescent="0.25">
      <c r="A258" s="51">
        <v>42828</v>
      </c>
      <c r="B258" s="174" t="s">
        <v>11769</v>
      </c>
      <c r="C258" s="175"/>
      <c r="D258" s="176" t="s">
        <v>11769</v>
      </c>
      <c r="E258" s="176">
        <v>106692</v>
      </c>
      <c r="F258" s="177" t="s">
        <v>240</v>
      </c>
      <c r="G258" s="178">
        <v>4603.8999999999996</v>
      </c>
      <c r="H258" s="179">
        <v>42828</v>
      </c>
      <c r="I258" s="178">
        <f t="shared" si="7"/>
        <v>4603.8999999999996</v>
      </c>
      <c r="J258" s="178">
        <f t="shared" si="8"/>
        <v>0</v>
      </c>
      <c r="K258" s="21"/>
    </row>
    <row r="259" spans="1:11" x14ac:dyDescent="0.25">
      <c r="A259" s="51">
        <v>42828</v>
      </c>
      <c r="B259" s="174" t="s">
        <v>11770</v>
      </c>
      <c r="C259" s="175"/>
      <c r="D259" s="176" t="s">
        <v>11770</v>
      </c>
      <c r="E259" s="176">
        <v>106693</v>
      </c>
      <c r="F259" s="177" t="s">
        <v>103</v>
      </c>
      <c r="G259" s="178">
        <v>406.4</v>
      </c>
      <c r="H259" s="179">
        <v>42829</v>
      </c>
      <c r="I259" s="178">
        <f t="shared" si="7"/>
        <v>406.4</v>
      </c>
      <c r="J259" s="178">
        <f t="shared" si="8"/>
        <v>0</v>
      </c>
      <c r="K259" s="21"/>
    </row>
    <row r="260" spans="1:11" x14ac:dyDescent="0.25">
      <c r="A260" s="51">
        <v>42828</v>
      </c>
      <c r="B260" s="174" t="s">
        <v>11771</v>
      </c>
      <c r="C260" s="175"/>
      <c r="D260" s="176" t="s">
        <v>11771</v>
      </c>
      <c r="E260" s="176">
        <v>106694</v>
      </c>
      <c r="F260" s="177" t="s">
        <v>1081</v>
      </c>
      <c r="G260" s="178">
        <v>2124.7199999999998</v>
      </c>
      <c r="H260" s="179">
        <v>42828</v>
      </c>
      <c r="I260" s="178">
        <f t="shared" ref="I260:I323" si="9">G260</f>
        <v>2124.7199999999998</v>
      </c>
      <c r="J260" s="178">
        <f t="shared" ref="J260:J323" si="10">G260-I260</f>
        <v>0</v>
      </c>
      <c r="K260" s="21"/>
    </row>
    <row r="261" spans="1:11" x14ac:dyDescent="0.25">
      <c r="A261" s="51">
        <v>42828</v>
      </c>
      <c r="B261" s="174" t="s">
        <v>11772</v>
      </c>
      <c r="C261" s="175"/>
      <c r="D261" s="176" t="s">
        <v>11772</v>
      </c>
      <c r="E261" s="176">
        <v>106695</v>
      </c>
      <c r="F261" s="177" t="s">
        <v>83</v>
      </c>
      <c r="G261" s="178">
        <v>4499.2</v>
      </c>
      <c r="H261" s="179">
        <v>42828</v>
      </c>
      <c r="I261" s="178">
        <f t="shared" si="9"/>
        <v>4499.2</v>
      </c>
      <c r="J261" s="178">
        <f t="shared" si="10"/>
        <v>0</v>
      </c>
      <c r="K261" s="21"/>
    </row>
    <row r="262" spans="1:11" x14ac:dyDescent="0.25">
      <c r="A262" s="51">
        <v>42828</v>
      </c>
      <c r="B262" s="174" t="s">
        <v>11773</v>
      </c>
      <c r="C262" s="175"/>
      <c r="D262" s="176" t="s">
        <v>11773</v>
      </c>
      <c r="E262" s="176">
        <v>106696</v>
      </c>
      <c r="F262" s="177" t="s">
        <v>1256</v>
      </c>
      <c r="G262" s="178">
        <v>2375.1999999999998</v>
      </c>
      <c r="H262" s="179">
        <v>42835</v>
      </c>
      <c r="I262" s="178">
        <f t="shared" si="9"/>
        <v>2375.1999999999998</v>
      </c>
      <c r="J262" s="178">
        <f t="shared" si="10"/>
        <v>0</v>
      </c>
      <c r="K262" s="21"/>
    </row>
    <row r="263" spans="1:11" x14ac:dyDescent="0.25">
      <c r="A263" s="51">
        <v>42828</v>
      </c>
      <c r="B263" s="174" t="s">
        <v>11774</v>
      </c>
      <c r="C263" s="175"/>
      <c r="D263" s="176" t="s">
        <v>11774</v>
      </c>
      <c r="E263" s="176">
        <v>106697</v>
      </c>
      <c r="F263" s="177" t="s">
        <v>155</v>
      </c>
      <c r="G263" s="178">
        <v>17687.8</v>
      </c>
      <c r="H263" s="179">
        <v>42831</v>
      </c>
      <c r="I263" s="178">
        <f t="shared" si="9"/>
        <v>17687.8</v>
      </c>
      <c r="J263" s="178">
        <f t="shared" si="10"/>
        <v>0</v>
      </c>
      <c r="K263" s="21"/>
    </row>
    <row r="264" spans="1:11" x14ac:dyDescent="0.25">
      <c r="A264" s="51">
        <v>42828</v>
      </c>
      <c r="B264" s="174" t="s">
        <v>11775</v>
      </c>
      <c r="C264" s="175"/>
      <c r="D264" s="176" t="s">
        <v>11775</v>
      </c>
      <c r="E264" s="176">
        <v>106698</v>
      </c>
      <c r="F264" s="177" t="s">
        <v>109</v>
      </c>
      <c r="G264" s="178">
        <v>5052.5</v>
      </c>
      <c r="H264" s="179"/>
      <c r="I264" s="178">
        <f t="shared" si="9"/>
        <v>5052.5</v>
      </c>
      <c r="J264" s="178">
        <f t="shared" si="10"/>
        <v>0</v>
      </c>
      <c r="K264" s="21"/>
    </row>
    <row r="265" spans="1:11" x14ac:dyDescent="0.25">
      <c r="A265" s="51">
        <v>42828</v>
      </c>
      <c r="B265" s="174" t="s">
        <v>11776</v>
      </c>
      <c r="C265" s="175"/>
      <c r="D265" s="176" t="s">
        <v>11776</v>
      </c>
      <c r="E265" s="176">
        <v>106699</v>
      </c>
      <c r="F265" s="177" t="s">
        <v>81</v>
      </c>
      <c r="G265" s="178">
        <v>3134.7</v>
      </c>
      <c r="H265" s="179">
        <v>42828</v>
      </c>
      <c r="I265" s="178">
        <f t="shared" si="9"/>
        <v>3134.7</v>
      </c>
      <c r="J265" s="178">
        <f t="shared" si="10"/>
        <v>0</v>
      </c>
      <c r="K265" s="21"/>
    </row>
    <row r="266" spans="1:11" x14ac:dyDescent="0.25">
      <c r="A266" s="51">
        <v>42828</v>
      </c>
      <c r="B266" s="174" t="s">
        <v>11777</v>
      </c>
      <c r="C266" s="175"/>
      <c r="D266" s="176" t="s">
        <v>11777</v>
      </c>
      <c r="E266" s="176">
        <v>106700</v>
      </c>
      <c r="F266" s="177" t="s">
        <v>105</v>
      </c>
      <c r="G266" s="178">
        <v>3234</v>
      </c>
      <c r="H266" s="179">
        <v>42830</v>
      </c>
      <c r="I266" s="178">
        <f t="shared" si="9"/>
        <v>3234</v>
      </c>
      <c r="J266" s="178">
        <f t="shared" si="10"/>
        <v>0</v>
      </c>
      <c r="K266" s="21"/>
    </row>
    <row r="267" spans="1:11" x14ac:dyDescent="0.25">
      <c r="A267" s="51">
        <v>42828</v>
      </c>
      <c r="B267" s="174" t="s">
        <v>11778</v>
      </c>
      <c r="C267" s="175"/>
      <c r="D267" s="176" t="s">
        <v>11778</v>
      </c>
      <c r="E267" s="176">
        <v>106701</v>
      </c>
      <c r="F267" s="177" t="s">
        <v>838</v>
      </c>
      <c r="G267" s="178">
        <v>855.4</v>
      </c>
      <c r="H267" s="179">
        <v>42828</v>
      </c>
      <c r="I267" s="178">
        <f t="shared" si="9"/>
        <v>855.4</v>
      </c>
      <c r="J267" s="178">
        <f t="shared" si="10"/>
        <v>0</v>
      </c>
      <c r="K267" s="21"/>
    </row>
    <row r="268" spans="1:11" x14ac:dyDescent="0.25">
      <c r="A268" s="51">
        <v>42828</v>
      </c>
      <c r="B268" s="174" t="s">
        <v>11779</v>
      </c>
      <c r="C268" s="175"/>
      <c r="D268" s="176" t="s">
        <v>11779</v>
      </c>
      <c r="E268" s="176">
        <v>106702</v>
      </c>
      <c r="F268" s="177" t="s">
        <v>145</v>
      </c>
      <c r="G268" s="178">
        <v>11458.8</v>
      </c>
      <c r="H268" s="179">
        <v>42829</v>
      </c>
      <c r="I268" s="178">
        <f t="shared" si="9"/>
        <v>11458.8</v>
      </c>
      <c r="J268" s="178">
        <f t="shared" si="10"/>
        <v>0</v>
      </c>
      <c r="K268" s="21"/>
    </row>
    <row r="269" spans="1:11" x14ac:dyDescent="0.25">
      <c r="A269" s="51">
        <v>42828</v>
      </c>
      <c r="B269" s="174" t="s">
        <v>11780</v>
      </c>
      <c r="C269" s="175"/>
      <c r="D269" s="176" t="s">
        <v>11780</v>
      </c>
      <c r="E269" s="176">
        <v>106703</v>
      </c>
      <c r="F269" s="177" t="s">
        <v>172</v>
      </c>
      <c r="G269" s="178">
        <v>13834.9</v>
      </c>
      <c r="H269" s="179">
        <v>42846</v>
      </c>
      <c r="I269" s="178">
        <f t="shared" si="9"/>
        <v>13834.9</v>
      </c>
      <c r="J269" s="178">
        <f t="shared" si="10"/>
        <v>0</v>
      </c>
      <c r="K269" s="21"/>
    </row>
    <row r="270" spans="1:11" x14ac:dyDescent="0.25">
      <c r="A270" s="51">
        <v>42828</v>
      </c>
      <c r="B270" s="174" t="s">
        <v>11781</v>
      </c>
      <c r="C270" s="175"/>
      <c r="D270" s="176" t="s">
        <v>11781</v>
      </c>
      <c r="E270" s="176">
        <v>106704</v>
      </c>
      <c r="F270" s="177" t="s">
        <v>147</v>
      </c>
      <c r="G270" s="178">
        <v>57123.199999999997</v>
      </c>
      <c r="H270" s="179">
        <v>42828</v>
      </c>
      <c r="I270" s="178">
        <f t="shared" si="9"/>
        <v>57123.199999999997</v>
      </c>
      <c r="J270" s="178">
        <f t="shared" si="10"/>
        <v>0</v>
      </c>
      <c r="K270" s="21"/>
    </row>
    <row r="271" spans="1:11" x14ac:dyDescent="0.25">
      <c r="A271" s="51">
        <v>42828</v>
      </c>
      <c r="B271" s="174" t="s">
        <v>11782</v>
      </c>
      <c r="C271" s="175"/>
      <c r="D271" s="176" t="s">
        <v>11782</v>
      </c>
      <c r="E271" s="176">
        <v>106705</v>
      </c>
      <c r="F271" s="177" t="s">
        <v>5219</v>
      </c>
      <c r="G271" s="178">
        <v>2648.8</v>
      </c>
      <c r="H271" s="179">
        <v>42828</v>
      </c>
      <c r="I271" s="178">
        <f t="shared" si="9"/>
        <v>2648.8</v>
      </c>
      <c r="J271" s="178">
        <f t="shared" si="10"/>
        <v>0</v>
      </c>
      <c r="K271" s="21"/>
    </row>
    <row r="272" spans="1:11" x14ac:dyDescent="0.25">
      <c r="A272" s="51">
        <v>42828</v>
      </c>
      <c r="B272" s="174" t="s">
        <v>11783</v>
      </c>
      <c r="C272" s="175"/>
      <c r="D272" s="176" t="s">
        <v>11783</v>
      </c>
      <c r="E272" s="176">
        <v>106706</v>
      </c>
      <c r="F272" s="177" t="s">
        <v>161</v>
      </c>
      <c r="G272" s="178">
        <v>26654.9</v>
      </c>
      <c r="H272" s="179">
        <v>42846</v>
      </c>
      <c r="I272" s="178">
        <f t="shared" si="9"/>
        <v>26654.9</v>
      </c>
      <c r="J272" s="178">
        <f t="shared" si="10"/>
        <v>0</v>
      </c>
      <c r="K272" s="21"/>
    </row>
    <row r="273" spans="1:11" x14ac:dyDescent="0.25">
      <c r="A273" s="51">
        <v>42828</v>
      </c>
      <c r="B273" s="174" t="s">
        <v>11784</v>
      </c>
      <c r="C273" s="175"/>
      <c r="D273" s="176" t="s">
        <v>11784</v>
      </c>
      <c r="E273" s="176">
        <v>106707</v>
      </c>
      <c r="F273" s="177" t="s">
        <v>858</v>
      </c>
      <c r="G273" s="178">
        <v>1873.6</v>
      </c>
      <c r="H273" s="179">
        <v>42828</v>
      </c>
      <c r="I273" s="178">
        <f t="shared" si="9"/>
        <v>1873.6</v>
      </c>
      <c r="J273" s="178">
        <f t="shared" si="10"/>
        <v>0</v>
      </c>
      <c r="K273" s="21"/>
    </row>
    <row r="274" spans="1:11" x14ac:dyDescent="0.25">
      <c r="A274" s="51">
        <v>42828</v>
      </c>
      <c r="B274" s="174" t="s">
        <v>11785</v>
      </c>
      <c r="C274" s="175"/>
      <c r="D274" s="176" t="s">
        <v>11785</v>
      </c>
      <c r="E274" s="176">
        <v>106708</v>
      </c>
      <c r="F274" s="177" t="s">
        <v>721</v>
      </c>
      <c r="G274" s="178">
        <v>3274.2</v>
      </c>
      <c r="H274" s="179">
        <v>42828</v>
      </c>
      <c r="I274" s="178">
        <f t="shared" si="9"/>
        <v>3274.2</v>
      </c>
      <c r="J274" s="178">
        <f t="shared" si="10"/>
        <v>0</v>
      </c>
      <c r="K274" s="21"/>
    </row>
    <row r="275" spans="1:11" x14ac:dyDescent="0.25">
      <c r="A275" s="51">
        <v>42828</v>
      </c>
      <c r="B275" s="174" t="s">
        <v>11786</v>
      </c>
      <c r="C275" s="175"/>
      <c r="D275" s="176" t="s">
        <v>11786</v>
      </c>
      <c r="E275" s="176">
        <v>106709</v>
      </c>
      <c r="F275" s="177" t="s">
        <v>1267</v>
      </c>
      <c r="G275" s="178">
        <v>12084</v>
      </c>
      <c r="H275" s="179">
        <v>42828</v>
      </c>
      <c r="I275" s="178">
        <f t="shared" si="9"/>
        <v>12084</v>
      </c>
      <c r="J275" s="178">
        <f t="shared" si="10"/>
        <v>0</v>
      </c>
      <c r="K275" s="21"/>
    </row>
    <row r="276" spans="1:11" x14ac:dyDescent="0.25">
      <c r="A276" s="51">
        <v>42828</v>
      </c>
      <c r="B276" s="174" t="s">
        <v>11787</v>
      </c>
      <c r="C276" s="175"/>
      <c r="D276" s="176" t="s">
        <v>11787</v>
      </c>
      <c r="E276" s="176">
        <v>106710</v>
      </c>
      <c r="F276" s="177" t="s">
        <v>302</v>
      </c>
      <c r="G276" s="178">
        <v>9225.7999999999993</v>
      </c>
      <c r="H276" s="179">
        <v>42830</v>
      </c>
      <c r="I276" s="178">
        <f t="shared" si="9"/>
        <v>9225.7999999999993</v>
      </c>
      <c r="J276" s="178">
        <f t="shared" si="10"/>
        <v>0</v>
      </c>
      <c r="K276" s="21"/>
    </row>
    <row r="277" spans="1:11" x14ac:dyDescent="0.25">
      <c r="A277" s="51">
        <v>42828</v>
      </c>
      <c r="B277" s="174" t="s">
        <v>11788</v>
      </c>
      <c r="C277" s="175"/>
      <c r="D277" s="176" t="s">
        <v>11788</v>
      </c>
      <c r="E277" s="176">
        <v>106711</v>
      </c>
      <c r="F277" s="177" t="s">
        <v>476</v>
      </c>
      <c r="G277" s="178">
        <v>20450.900000000001</v>
      </c>
      <c r="H277" s="179">
        <v>42830</v>
      </c>
      <c r="I277" s="178">
        <f t="shared" si="9"/>
        <v>20450.900000000001</v>
      </c>
      <c r="J277" s="178">
        <f t="shared" si="10"/>
        <v>0</v>
      </c>
      <c r="K277" s="21"/>
    </row>
    <row r="278" spans="1:11" x14ac:dyDescent="0.25">
      <c r="A278" s="51">
        <v>42828</v>
      </c>
      <c r="B278" s="174" t="s">
        <v>11789</v>
      </c>
      <c r="C278" s="175"/>
      <c r="D278" s="176" t="s">
        <v>11789</v>
      </c>
      <c r="E278" s="176">
        <v>106712</v>
      </c>
      <c r="F278" s="177" t="s">
        <v>305</v>
      </c>
      <c r="G278" s="178">
        <v>6970.8</v>
      </c>
      <c r="H278" s="179">
        <v>42842</v>
      </c>
      <c r="I278" s="178">
        <f t="shared" si="9"/>
        <v>6970.8</v>
      </c>
      <c r="J278" s="178">
        <f t="shared" si="10"/>
        <v>0</v>
      </c>
      <c r="K278" s="21"/>
    </row>
    <row r="279" spans="1:11" x14ac:dyDescent="0.25">
      <c r="A279" s="51">
        <v>42828</v>
      </c>
      <c r="B279" s="174" t="s">
        <v>11790</v>
      </c>
      <c r="C279" s="175"/>
      <c r="D279" s="176" t="s">
        <v>11790</v>
      </c>
      <c r="E279" s="176">
        <v>106713</v>
      </c>
      <c r="F279" s="177" t="s">
        <v>163</v>
      </c>
      <c r="G279" s="178">
        <v>14885.6</v>
      </c>
      <c r="H279" s="179">
        <v>42846</v>
      </c>
      <c r="I279" s="178">
        <f t="shared" si="9"/>
        <v>14885.6</v>
      </c>
      <c r="J279" s="178">
        <f t="shared" si="10"/>
        <v>0</v>
      </c>
      <c r="K279" s="21"/>
    </row>
    <row r="280" spans="1:11" x14ac:dyDescent="0.25">
      <c r="A280" s="51">
        <v>42828</v>
      </c>
      <c r="B280" s="174" t="s">
        <v>11791</v>
      </c>
      <c r="C280" s="175"/>
      <c r="D280" s="176" t="s">
        <v>11791</v>
      </c>
      <c r="E280" s="176">
        <v>106714</v>
      </c>
      <c r="F280" s="177" t="s">
        <v>165</v>
      </c>
      <c r="G280" s="178">
        <v>10101</v>
      </c>
      <c r="H280" s="179">
        <v>42846</v>
      </c>
      <c r="I280" s="178">
        <f t="shared" si="9"/>
        <v>10101</v>
      </c>
      <c r="J280" s="178">
        <f t="shared" si="10"/>
        <v>0</v>
      </c>
      <c r="K280" s="21"/>
    </row>
    <row r="281" spans="1:11" x14ac:dyDescent="0.25">
      <c r="A281" s="51">
        <v>42828</v>
      </c>
      <c r="B281" s="174" t="s">
        <v>11792</v>
      </c>
      <c r="C281" s="175"/>
      <c r="D281" s="176" t="s">
        <v>11792</v>
      </c>
      <c r="E281" s="176">
        <v>106715</v>
      </c>
      <c r="F281" s="177" t="s">
        <v>422</v>
      </c>
      <c r="G281" s="178">
        <v>1545.4</v>
      </c>
      <c r="H281" s="179">
        <v>42828</v>
      </c>
      <c r="I281" s="178">
        <f t="shared" si="9"/>
        <v>1545.4</v>
      </c>
      <c r="J281" s="178">
        <f t="shared" si="10"/>
        <v>0</v>
      </c>
      <c r="K281" s="21"/>
    </row>
    <row r="282" spans="1:11" x14ac:dyDescent="0.25">
      <c r="A282" s="51">
        <v>42828</v>
      </c>
      <c r="B282" s="174" t="s">
        <v>11793</v>
      </c>
      <c r="C282" s="175"/>
      <c r="D282" s="176" t="s">
        <v>11793</v>
      </c>
      <c r="E282" s="176">
        <v>106716</v>
      </c>
      <c r="F282" s="177" t="s">
        <v>182</v>
      </c>
      <c r="G282" s="178">
        <v>2150</v>
      </c>
      <c r="H282" s="179">
        <v>42831</v>
      </c>
      <c r="I282" s="178">
        <f t="shared" si="9"/>
        <v>2150</v>
      </c>
      <c r="J282" s="178">
        <f t="shared" si="10"/>
        <v>0</v>
      </c>
      <c r="K282" s="21"/>
    </row>
    <row r="283" spans="1:11" x14ac:dyDescent="0.25">
      <c r="A283" s="51">
        <v>42828</v>
      </c>
      <c r="B283" s="174" t="s">
        <v>11794</v>
      </c>
      <c r="C283" s="175"/>
      <c r="D283" s="176" t="s">
        <v>11794</v>
      </c>
      <c r="E283" s="176">
        <v>106717</v>
      </c>
      <c r="F283" s="177" t="s">
        <v>61</v>
      </c>
      <c r="G283" s="178">
        <v>8682.2999999999993</v>
      </c>
      <c r="H283" s="179">
        <v>42828</v>
      </c>
      <c r="I283" s="178">
        <f t="shared" si="9"/>
        <v>8682.2999999999993</v>
      </c>
      <c r="J283" s="178">
        <f t="shared" si="10"/>
        <v>0</v>
      </c>
      <c r="K283" s="21"/>
    </row>
    <row r="284" spans="1:11" x14ac:dyDescent="0.25">
      <c r="A284" s="51">
        <v>42828</v>
      </c>
      <c r="B284" s="174" t="s">
        <v>11795</v>
      </c>
      <c r="C284" s="175"/>
      <c r="D284" s="176" t="s">
        <v>11795</v>
      </c>
      <c r="E284" s="176">
        <v>106718</v>
      </c>
      <c r="F284" s="177" t="s">
        <v>45</v>
      </c>
      <c r="G284" s="178">
        <v>1652.4</v>
      </c>
      <c r="H284" s="179">
        <v>42828</v>
      </c>
      <c r="I284" s="178">
        <f t="shared" si="9"/>
        <v>1652.4</v>
      </c>
      <c r="J284" s="178">
        <f t="shared" si="10"/>
        <v>0</v>
      </c>
      <c r="K284" s="21"/>
    </row>
    <row r="285" spans="1:11" x14ac:dyDescent="0.25">
      <c r="A285" s="51">
        <v>42828</v>
      </c>
      <c r="B285" s="174" t="s">
        <v>11796</v>
      </c>
      <c r="C285" s="175"/>
      <c r="D285" s="176" t="s">
        <v>11796</v>
      </c>
      <c r="E285" s="176">
        <v>106719</v>
      </c>
      <c r="F285" s="177" t="s">
        <v>85</v>
      </c>
      <c r="G285" s="178">
        <v>12029.5</v>
      </c>
      <c r="H285" s="179">
        <v>42828</v>
      </c>
      <c r="I285" s="178">
        <f t="shared" si="9"/>
        <v>12029.5</v>
      </c>
      <c r="J285" s="178">
        <f t="shared" si="10"/>
        <v>0</v>
      </c>
      <c r="K285" s="21"/>
    </row>
    <row r="286" spans="1:11" x14ac:dyDescent="0.25">
      <c r="A286" s="51">
        <v>42828</v>
      </c>
      <c r="B286" s="174" t="s">
        <v>11797</v>
      </c>
      <c r="C286" s="175"/>
      <c r="D286" s="176" t="s">
        <v>11797</v>
      </c>
      <c r="E286" s="176">
        <v>106720</v>
      </c>
      <c r="F286" s="177" t="s">
        <v>2986</v>
      </c>
      <c r="G286" s="178">
        <v>6247.5</v>
      </c>
      <c r="H286" s="179">
        <v>42831</v>
      </c>
      <c r="I286" s="178">
        <f t="shared" si="9"/>
        <v>6247.5</v>
      </c>
      <c r="J286" s="178">
        <f t="shared" si="10"/>
        <v>0</v>
      </c>
      <c r="K286" s="21"/>
    </row>
    <row r="287" spans="1:11" x14ac:dyDescent="0.25">
      <c r="A287" s="51">
        <v>42828</v>
      </c>
      <c r="B287" s="174" t="s">
        <v>11798</v>
      </c>
      <c r="C287" s="175"/>
      <c r="D287" s="176" t="s">
        <v>11798</v>
      </c>
      <c r="E287" s="176">
        <v>106721</v>
      </c>
      <c r="F287" s="177" t="s">
        <v>184</v>
      </c>
      <c r="G287" s="178">
        <v>3196.2</v>
      </c>
      <c r="H287" s="179">
        <v>42831</v>
      </c>
      <c r="I287" s="178">
        <f t="shared" si="9"/>
        <v>3196.2</v>
      </c>
      <c r="J287" s="178">
        <f t="shared" si="10"/>
        <v>0</v>
      </c>
      <c r="K287" s="21"/>
    </row>
    <row r="288" spans="1:11" x14ac:dyDescent="0.25">
      <c r="A288" s="51">
        <v>42828</v>
      </c>
      <c r="B288" s="174" t="s">
        <v>11799</v>
      </c>
      <c r="C288" s="175"/>
      <c r="D288" s="176" t="s">
        <v>11799</v>
      </c>
      <c r="E288" s="176">
        <v>106722</v>
      </c>
      <c r="F288" s="177" t="s">
        <v>57</v>
      </c>
      <c r="G288" s="178">
        <v>559</v>
      </c>
      <c r="H288" s="179">
        <v>42828</v>
      </c>
      <c r="I288" s="178">
        <f t="shared" si="9"/>
        <v>559</v>
      </c>
      <c r="J288" s="178">
        <f t="shared" si="10"/>
        <v>0</v>
      </c>
      <c r="K288" s="21"/>
    </row>
    <row r="289" spans="1:11" x14ac:dyDescent="0.25">
      <c r="A289" s="51">
        <v>42828</v>
      </c>
      <c r="B289" s="174" t="s">
        <v>11800</v>
      </c>
      <c r="C289" s="175"/>
      <c r="D289" s="176" t="s">
        <v>11800</v>
      </c>
      <c r="E289" s="176">
        <v>106723</v>
      </c>
      <c r="F289" s="177" t="s">
        <v>63</v>
      </c>
      <c r="G289" s="178">
        <v>414.8</v>
      </c>
      <c r="H289" s="179">
        <v>42828</v>
      </c>
      <c r="I289" s="178">
        <f t="shared" si="9"/>
        <v>414.8</v>
      </c>
      <c r="J289" s="178">
        <f t="shared" si="10"/>
        <v>0</v>
      </c>
      <c r="K289" s="21"/>
    </row>
    <row r="290" spans="1:11" x14ac:dyDescent="0.25">
      <c r="A290" s="51">
        <v>42828</v>
      </c>
      <c r="B290" s="174" t="s">
        <v>11801</v>
      </c>
      <c r="C290" s="175"/>
      <c r="D290" s="176" t="s">
        <v>11801</v>
      </c>
      <c r="E290" s="176">
        <v>106724</v>
      </c>
      <c r="F290" s="177" t="s">
        <v>222</v>
      </c>
      <c r="G290" s="178">
        <v>55676.800000000003</v>
      </c>
      <c r="H290" s="179">
        <v>42830</v>
      </c>
      <c r="I290" s="178">
        <f t="shared" si="9"/>
        <v>55676.800000000003</v>
      </c>
      <c r="J290" s="178">
        <f t="shared" si="10"/>
        <v>0</v>
      </c>
      <c r="K290" s="21"/>
    </row>
    <row r="291" spans="1:11" x14ac:dyDescent="0.25">
      <c r="A291" s="51">
        <v>42828</v>
      </c>
      <c r="B291" s="174" t="s">
        <v>11802</v>
      </c>
      <c r="C291" s="175"/>
      <c r="D291" s="176" t="s">
        <v>11802</v>
      </c>
      <c r="E291" s="176">
        <v>106725</v>
      </c>
      <c r="F291" s="177" t="s">
        <v>30</v>
      </c>
      <c r="G291" s="178">
        <v>1416.8</v>
      </c>
      <c r="H291" s="179">
        <v>42828</v>
      </c>
      <c r="I291" s="178">
        <f t="shared" si="9"/>
        <v>1416.8</v>
      </c>
      <c r="J291" s="178">
        <f t="shared" si="10"/>
        <v>0</v>
      </c>
      <c r="K291" s="21"/>
    </row>
    <row r="292" spans="1:11" x14ac:dyDescent="0.25">
      <c r="A292" s="51">
        <v>42828</v>
      </c>
      <c r="B292" s="174" t="s">
        <v>11803</v>
      </c>
      <c r="C292" s="175"/>
      <c r="D292" s="176" t="s">
        <v>11803</v>
      </c>
      <c r="E292" s="176">
        <v>106726</v>
      </c>
      <c r="F292" s="177" t="s">
        <v>531</v>
      </c>
      <c r="G292" s="178">
        <v>29958.400000000001</v>
      </c>
      <c r="H292" s="179">
        <v>42828</v>
      </c>
      <c r="I292" s="178">
        <f t="shared" si="9"/>
        <v>29958.400000000001</v>
      </c>
      <c r="J292" s="178">
        <f t="shared" si="10"/>
        <v>0</v>
      </c>
      <c r="K292" s="21"/>
    </row>
    <row r="293" spans="1:11" x14ac:dyDescent="0.25">
      <c r="A293" s="51">
        <v>42828</v>
      </c>
      <c r="B293" s="174" t="s">
        <v>11804</v>
      </c>
      <c r="C293" s="175"/>
      <c r="D293" s="176" t="s">
        <v>11804</v>
      </c>
      <c r="E293" s="176">
        <v>106727</v>
      </c>
      <c r="F293" s="177" t="s">
        <v>222</v>
      </c>
      <c r="G293" s="178">
        <v>29304.3</v>
      </c>
      <c r="H293" s="179">
        <v>42830</v>
      </c>
      <c r="I293" s="178">
        <f t="shared" si="9"/>
        <v>29304.3</v>
      </c>
      <c r="J293" s="178">
        <f t="shared" si="10"/>
        <v>0</v>
      </c>
      <c r="K293" s="21"/>
    </row>
    <row r="294" spans="1:11" x14ac:dyDescent="0.25">
      <c r="A294" s="51">
        <v>42828</v>
      </c>
      <c r="B294" s="174" t="s">
        <v>11805</v>
      </c>
      <c r="C294" s="175"/>
      <c r="D294" s="176" t="s">
        <v>11805</v>
      </c>
      <c r="E294" s="176">
        <v>106728</v>
      </c>
      <c r="F294" s="177" t="s">
        <v>55</v>
      </c>
      <c r="G294" s="178">
        <v>12870</v>
      </c>
      <c r="H294" s="179">
        <v>42828</v>
      </c>
      <c r="I294" s="178">
        <f t="shared" si="9"/>
        <v>12870</v>
      </c>
      <c r="J294" s="178">
        <f t="shared" si="10"/>
        <v>0</v>
      </c>
      <c r="K294" s="21"/>
    </row>
    <row r="295" spans="1:11" x14ac:dyDescent="0.25">
      <c r="A295" s="51">
        <v>42828</v>
      </c>
      <c r="B295" s="174" t="s">
        <v>11806</v>
      </c>
      <c r="C295" s="175"/>
      <c r="D295" s="176" t="s">
        <v>11806</v>
      </c>
      <c r="E295" s="176">
        <v>106729</v>
      </c>
      <c r="F295" s="177" t="s">
        <v>155</v>
      </c>
      <c r="G295" s="178">
        <v>6476.4</v>
      </c>
      <c r="H295" s="179" t="s">
        <v>11807</v>
      </c>
      <c r="I295" s="178">
        <f>3476.4+3000</f>
        <v>6476.4</v>
      </c>
      <c r="J295" s="178">
        <f t="shared" si="10"/>
        <v>0</v>
      </c>
      <c r="K295" s="21"/>
    </row>
    <row r="296" spans="1:11" x14ac:dyDescent="0.25">
      <c r="A296" s="51">
        <v>42828</v>
      </c>
      <c r="B296" s="174" t="s">
        <v>11808</v>
      </c>
      <c r="C296" s="175"/>
      <c r="D296" s="176" t="s">
        <v>11808</v>
      </c>
      <c r="E296" s="176">
        <v>106730</v>
      </c>
      <c r="F296" s="177" t="s">
        <v>329</v>
      </c>
      <c r="G296" s="178">
        <v>488.6</v>
      </c>
      <c r="H296" s="179">
        <v>42828</v>
      </c>
      <c r="I296" s="178">
        <f t="shared" si="9"/>
        <v>488.6</v>
      </c>
      <c r="J296" s="178">
        <f t="shared" si="10"/>
        <v>0</v>
      </c>
      <c r="K296" s="21"/>
    </row>
    <row r="297" spans="1:11" x14ac:dyDescent="0.25">
      <c r="A297" s="51">
        <v>42828</v>
      </c>
      <c r="B297" s="174" t="s">
        <v>11809</v>
      </c>
      <c r="C297" s="175"/>
      <c r="D297" s="176" t="s">
        <v>11809</v>
      </c>
      <c r="E297" s="176">
        <v>106731</v>
      </c>
      <c r="F297" s="177" t="s">
        <v>26</v>
      </c>
      <c r="G297" s="178">
        <v>6063.6</v>
      </c>
      <c r="H297" s="179">
        <v>42828</v>
      </c>
      <c r="I297" s="178">
        <f t="shared" si="9"/>
        <v>6063.6</v>
      </c>
      <c r="J297" s="178">
        <f t="shared" si="10"/>
        <v>0</v>
      </c>
      <c r="K297" s="19"/>
    </row>
    <row r="298" spans="1:11" x14ac:dyDescent="0.25">
      <c r="A298" s="51">
        <v>42828</v>
      </c>
      <c r="B298" s="174" t="s">
        <v>11810</v>
      </c>
      <c r="C298" s="175"/>
      <c r="D298" s="176" t="s">
        <v>11810</v>
      </c>
      <c r="E298" s="176">
        <v>106732</v>
      </c>
      <c r="F298" s="177" t="s">
        <v>231</v>
      </c>
      <c r="G298" s="178">
        <v>9214</v>
      </c>
      <c r="H298" s="179">
        <v>42829</v>
      </c>
      <c r="I298" s="178">
        <f t="shared" si="9"/>
        <v>9214</v>
      </c>
      <c r="J298" s="178">
        <f t="shared" si="10"/>
        <v>0</v>
      </c>
      <c r="K298" s="19"/>
    </row>
    <row r="299" spans="1:11" x14ac:dyDescent="0.25">
      <c r="A299" s="51">
        <v>42828</v>
      </c>
      <c r="B299" s="174" t="s">
        <v>11811</v>
      </c>
      <c r="C299" s="175"/>
      <c r="D299" s="176" t="s">
        <v>11811</v>
      </c>
      <c r="E299" s="176">
        <v>106733</v>
      </c>
      <c r="F299" s="177" t="s">
        <v>133</v>
      </c>
      <c r="G299" s="178">
        <v>12235.2</v>
      </c>
      <c r="H299" s="179">
        <v>42835</v>
      </c>
      <c r="I299" s="178">
        <f t="shared" si="9"/>
        <v>12235.2</v>
      </c>
      <c r="J299" s="178">
        <f t="shared" si="10"/>
        <v>0</v>
      </c>
      <c r="K299" s="19"/>
    </row>
    <row r="300" spans="1:11" x14ac:dyDescent="0.25">
      <c r="A300" s="51">
        <v>42828</v>
      </c>
      <c r="B300" s="174" t="s">
        <v>11812</v>
      </c>
      <c r="C300" s="175"/>
      <c r="D300" s="176" t="s">
        <v>11812</v>
      </c>
      <c r="E300" s="176">
        <v>106734</v>
      </c>
      <c r="F300" s="177" t="s">
        <v>24</v>
      </c>
      <c r="G300" s="178">
        <v>13348.4</v>
      </c>
      <c r="H300" s="179">
        <v>42831</v>
      </c>
      <c r="I300" s="178">
        <f t="shared" si="9"/>
        <v>13348.4</v>
      </c>
      <c r="J300" s="178">
        <f t="shared" si="10"/>
        <v>0</v>
      </c>
      <c r="K300" s="19"/>
    </row>
    <row r="301" spans="1:11" x14ac:dyDescent="0.25">
      <c r="A301" s="51">
        <v>42828</v>
      </c>
      <c r="B301" s="174" t="s">
        <v>11813</v>
      </c>
      <c r="C301" s="175"/>
      <c r="D301" s="176" t="s">
        <v>11813</v>
      </c>
      <c r="E301" s="176">
        <v>106735</v>
      </c>
      <c r="F301" s="177" t="s">
        <v>879</v>
      </c>
      <c r="G301" s="178">
        <v>363.8</v>
      </c>
      <c r="H301" s="179">
        <v>42828</v>
      </c>
      <c r="I301" s="178">
        <f t="shared" si="9"/>
        <v>363.8</v>
      </c>
      <c r="J301" s="178">
        <f t="shared" si="10"/>
        <v>0</v>
      </c>
      <c r="K301" s="19"/>
    </row>
    <row r="302" spans="1:11" x14ac:dyDescent="0.25">
      <c r="A302" s="51">
        <v>42828</v>
      </c>
      <c r="B302" s="174" t="s">
        <v>11814</v>
      </c>
      <c r="C302" s="175"/>
      <c r="D302" s="176" t="s">
        <v>11814</v>
      </c>
      <c r="E302" s="176">
        <v>106736</v>
      </c>
      <c r="F302" s="177" t="s">
        <v>930</v>
      </c>
      <c r="G302" s="178">
        <v>8083.55</v>
      </c>
      <c r="H302" s="179">
        <v>42828</v>
      </c>
      <c r="I302" s="178">
        <f t="shared" si="9"/>
        <v>8083.55</v>
      </c>
      <c r="J302" s="178">
        <f t="shared" si="10"/>
        <v>0</v>
      </c>
      <c r="K302" s="19"/>
    </row>
    <row r="303" spans="1:11" x14ac:dyDescent="0.25">
      <c r="A303" s="51">
        <v>42828</v>
      </c>
      <c r="B303" s="174" t="s">
        <v>11815</v>
      </c>
      <c r="C303" s="175"/>
      <c r="D303" s="176" t="s">
        <v>11815</v>
      </c>
      <c r="E303" s="176">
        <v>106737</v>
      </c>
      <c r="F303" s="177" t="s">
        <v>182</v>
      </c>
      <c r="G303" s="178">
        <v>3010</v>
      </c>
      <c r="H303" s="179">
        <v>42831</v>
      </c>
      <c r="I303" s="178">
        <f t="shared" si="9"/>
        <v>3010</v>
      </c>
      <c r="J303" s="178">
        <f t="shared" si="10"/>
        <v>0</v>
      </c>
      <c r="K303" s="19"/>
    </row>
    <row r="304" spans="1:11" x14ac:dyDescent="0.25">
      <c r="A304" s="51">
        <v>42828</v>
      </c>
      <c r="B304" s="174" t="s">
        <v>11816</v>
      </c>
      <c r="C304" s="175"/>
      <c r="D304" s="176" t="s">
        <v>11816</v>
      </c>
      <c r="E304" s="176">
        <v>106738</v>
      </c>
      <c r="F304" s="177" t="s">
        <v>30</v>
      </c>
      <c r="G304" s="178">
        <v>568.4</v>
      </c>
      <c r="H304" s="179">
        <v>42828</v>
      </c>
      <c r="I304" s="178">
        <f t="shared" si="9"/>
        <v>568.4</v>
      </c>
      <c r="J304" s="178">
        <f t="shared" si="10"/>
        <v>0</v>
      </c>
      <c r="K304" s="19"/>
    </row>
    <row r="305" spans="1:11" x14ac:dyDescent="0.25">
      <c r="A305" s="51">
        <v>42828</v>
      </c>
      <c r="B305" s="174" t="s">
        <v>11817</v>
      </c>
      <c r="C305" s="175"/>
      <c r="D305" s="176" t="s">
        <v>11817</v>
      </c>
      <c r="E305" s="176">
        <v>106739</v>
      </c>
      <c r="F305" s="177" t="s">
        <v>30</v>
      </c>
      <c r="G305" s="178">
        <v>1156.4000000000001</v>
      </c>
      <c r="H305" s="179">
        <v>42828</v>
      </c>
      <c r="I305" s="178">
        <f t="shared" si="9"/>
        <v>1156.4000000000001</v>
      </c>
      <c r="J305" s="178">
        <f t="shared" si="10"/>
        <v>0</v>
      </c>
      <c r="K305" s="19"/>
    </row>
    <row r="306" spans="1:11" x14ac:dyDescent="0.25">
      <c r="A306" s="51">
        <v>42828</v>
      </c>
      <c r="B306" s="174" t="s">
        <v>11818</v>
      </c>
      <c r="C306" s="175"/>
      <c r="D306" s="176" t="s">
        <v>11818</v>
      </c>
      <c r="E306" s="176">
        <v>106740</v>
      </c>
      <c r="F306" s="177" t="s">
        <v>656</v>
      </c>
      <c r="G306" s="178">
        <v>6980.8</v>
      </c>
      <c r="H306" s="179">
        <v>42831</v>
      </c>
      <c r="I306" s="178">
        <f t="shared" si="9"/>
        <v>6980.8</v>
      </c>
      <c r="J306" s="178">
        <f t="shared" si="10"/>
        <v>0</v>
      </c>
      <c r="K306" s="19"/>
    </row>
    <row r="307" spans="1:11" x14ac:dyDescent="0.25">
      <c r="A307" s="51">
        <v>42828</v>
      </c>
      <c r="B307" s="174" t="s">
        <v>11819</v>
      </c>
      <c r="C307" s="175"/>
      <c r="D307" s="176" t="s">
        <v>11819</v>
      </c>
      <c r="E307" s="176">
        <v>106741</v>
      </c>
      <c r="F307" s="177" t="s">
        <v>205</v>
      </c>
      <c r="G307" s="178">
        <v>35659.800000000003</v>
      </c>
      <c r="H307" s="179">
        <v>42829</v>
      </c>
      <c r="I307" s="178">
        <f t="shared" si="9"/>
        <v>35659.800000000003</v>
      </c>
      <c r="J307" s="178">
        <f t="shared" si="10"/>
        <v>0</v>
      </c>
      <c r="K307" s="19"/>
    </row>
    <row r="308" spans="1:11" x14ac:dyDescent="0.25">
      <c r="A308" s="51">
        <v>42828</v>
      </c>
      <c r="B308" s="174" t="s">
        <v>11820</v>
      </c>
      <c r="C308" s="175"/>
      <c r="D308" s="176" t="s">
        <v>11820</v>
      </c>
      <c r="E308" s="176">
        <v>106742</v>
      </c>
      <c r="F308" s="177" t="s">
        <v>509</v>
      </c>
      <c r="G308" s="178">
        <v>12690.6</v>
      </c>
      <c r="H308" s="179">
        <v>42833</v>
      </c>
      <c r="I308" s="178">
        <f t="shared" si="9"/>
        <v>12690.6</v>
      </c>
      <c r="J308" s="178">
        <f t="shared" si="10"/>
        <v>0</v>
      </c>
      <c r="K308" s="19"/>
    </row>
    <row r="309" spans="1:11" x14ac:dyDescent="0.25">
      <c r="A309" s="51">
        <v>42828</v>
      </c>
      <c r="B309" s="174" t="s">
        <v>11821</v>
      </c>
      <c r="C309" s="175"/>
      <c r="D309" s="176" t="s">
        <v>11821</v>
      </c>
      <c r="E309" s="176">
        <v>106743</v>
      </c>
      <c r="F309" s="177" t="s">
        <v>137</v>
      </c>
      <c r="G309" s="178">
        <v>1456.4</v>
      </c>
      <c r="H309" s="179">
        <v>42828</v>
      </c>
      <c r="I309" s="178">
        <f t="shared" si="9"/>
        <v>1456.4</v>
      </c>
      <c r="J309" s="178">
        <f t="shared" si="10"/>
        <v>0</v>
      </c>
      <c r="K309" s="19"/>
    </row>
    <row r="310" spans="1:11" x14ac:dyDescent="0.25">
      <c r="A310" s="51">
        <v>42828</v>
      </c>
      <c r="B310" s="174" t="s">
        <v>11822</v>
      </c>
      <c r="C310" s="175"/>
      <c r="D310" s="176" t="s">
        <v>11822</v>
      </c>
      <c r="E310" s="176">
        <v>106744</v>
      </c>
      <c r="F310" s="177" t="s">
        <v>222</v>
      </c>
      <c r="G310" s="178">
        <v>5755.2</v>
      </c>
      <c r="H310" s="179">
        <v>42830</v>
      </c>
      <c r="I310" s="178">
        <f t="shared" si="9"/>
        <v>5755.2</v>
      </c>
      <c r="J310" s="178">
        <f t="shared" si="10"/>
        <v>0</v>
      </c>
      <c r="K310" s="19"/>
    </row>
    <row r="311" spans="1:11" x14ac:dyDescent="0.25">
      <c r="A311" s="51">
        <v>42828</v>
      </c>
      <c r="B311" s="174" t="s">
        <v>11823</v>
      </c>
      <c r="C311" s="175"/>
      <c r="D311" s="176" t="s">
        <v>11823</v>
      </c>
      <c r="E311" s="176">
        <v>106745</v>
      </c>
      <c r="F311" s="177" t="s">
        <v>937</v>
      </c>
      <c r="G311" s="178">
        <v>2974.4</v>
      </c>
      <c r="H311" s="179">
        <v>42829</v>
      </c>
      <c r="I311" s="178">
        <f t="shared" si="9"/>
        <v>2974.4</v>
      </c>
      <c r="J311" s="178">
        <f t="shared" si="10"/>
        <v>0</v>
      </c>
      <c r="K311" s="19"/>
    </row>
    <row r="312" spans="1:11" x14ac:dyDescent="0.25">
      <c r="A312" s="51">
        <v>42828</v>
      </c>
      <c r="B312" s="174" t="s">
        <v>11824</v>
      </c>
      <c r="C312" s="175"/>
      <c r="D312" s="176" t="s">
        <v>11824</v>
      </c>
      <c r="E312" s="176">
        <v>106746</v>
      </c>
      <c r="F312" s="177" t="s">
        <v>862</v>
      </c>
      <c r="G312" s="178">
        <v>1951.6</v>
      </c>
      <c r="H312" s="179">
        <v>42828</v>
      </c>
      <c r="I312" s="178">
        <f t="shared" si="9"/>
        <v>1951.6</v>
      </c>
      <c r="J312" s="178">
        <f t="shared" si="10"/>
        <v>0</v>
      </c>
      <c r="K312" s="19"/>
    </row>
    <row r="313" spans="1:11" x14ac:dyDescent="0.25">
      <c r="A313" s="51">
        <v>42828</v>
      </c>
      <c r="B313" s="174" t="s">
        <v>11825</v>
      </c>
      <c r="C313" s="175"/>
      <c r="D313" s="176" t="s">
        <v>11825</v>
      </c>
      <c r="E313" s="176">
        <v>106747</v>
      </c>
      <c r="F313" s="177" t="s">
        <v>30</v>
      </c>
      <c r="G313" s="178">
        <v>3091.7</v>
      </c>
      <c r="H313" s="179">
        <v>42828</v>
      </c>
      <c r="I313" s="178">
        <f t="shared" si="9"/>
        <v>3091.7</v>
      </c>
      <c r="J313" s="178">
        <f t="shared" si="10"/>
        <v>0</v>
      </c>
      <c r="K313" s="19"/>
    </row>
    <row r="314" spans="1:11" x14ac:dyDescent="0.25">
      <c r="A314" s="51">
        <v>42828</v>
      </c>
      <c r="B314" s="174" t="s">
        <v>11826</v>
      </c>
      <c r="C314" s="175"/>
      <c r="D314" s="176" t="s">
        <v>11826</v>
      </c>
      <c r="E314" s="176">
        <v>106748</v>
      </c>
      <c r="F314" s="177" t="s">
        <v>11827</v>
      </c>
      <c r="G314" s="178">
        <v>3091.2</v>
      </c>
      <c r="H314" s="179">
        <v>42828</v>
      </c>
      <c r="I314" s="178">
        <f t="shared" si="9"/>
        <v>3091.2</v>
      </c>
      <c r="J314" s="178">
        <f t="shared" si="10"/>
        <v>0</v>
      </c>
      <c r="K314" s="19"/>
    </row>
    <row r="315" spans="1:11" x14ac:dyDescent="0.25">
      <c r="A315" s="51">
        <v>42828</v>
      </c>
      <c r="B315" s="174" t="s">
        <v>11828</v>
      </c>
      <c r="C315" s="175"/>
      <c r="D315" s="176" t="s">
        <v>11828</v>
      </c>
      <c r="E315" s="176">
        <v>106749</v>
      </c>
      <c r="F315" s="177" t="s">
        <v>367</v>
      </c>
      <c r="G315" s="178">
        <v>1575</v>
      </c>
      <c r="H315" s="179">
        <v>42828</v>
      </c>
      <c r="I315" s="178">
        <f t="shared" si="9"/>
        <v>1575</v>
      </c>
      <c r="J315" s="178">
        <f t="shared" si="10"/>
        <v>0</v>
      </c>
      <c r="K315" s="19"/>
    </row>
    <row r="316" spans="1:11" x14ac:dyDescent="0.25">
      <c r="A316" s="51">
        <v>42828</v>
      </c>
      <c r="B316" s="174" t="s">
        <v>11829</v>
      </c>
      <c r="C316" s="175"/>
      <c r="D316" s="176" t="s">
        <v>11829</v>
      </c>
      <c r="E316" s="176">
        <v>106750</v>
      </c>
      <c r="F316" s="177" t="s">
        <v>472</v>
      </c>
      <c r="G316" s="178">
        <v>14894</v>
      </c>
      <c r="H316" s="179">
        <v>42828</v>
      </c>
      <c r="I316" s="178">
        <f t="shared" si="9"/>
        <v>14894</v>
      </c>
      <c r="J316" s="178">
        <f t="shared" si="10"/>
        <v>0</v>
      </c>
      <c r="K316" s="19"/>
    </row>
    <row r="317" spans="1:11" x14ac:dyDescent="0.25">
      <c r="A317" s="51">
        <v>42828</v>
      </c>
      <c r="B317" s="174" t="s">
        <v>11830</v>
      </c>
      <c r="C317" s="175"/>
      <c r="D317" s="176" t="s">
        <v>11830</v>
      </c>
      <c r="E317" s="176">
        <v>106751</v>
      </c>
      <c r="F317" s="177" t="s">
        <v>10</v>
      </c>
      <c r="G317" s="178">
        <v>265534.40000000002</v>
      </c>
      <c r="H317" s="179">
        <v>42833</v>
      </c>
      <c r="I317" s="178">
        <f t="shared" si="9"/>
        <v>265534.40000000002</v>
      </c>
      <c r="J317" s="178">
        <f t="shared" si="10"/>
        <v>0</v>
      </c>
      <c r="K317" s="19"/>
    </row>
    <row r="318" spans="1:11" x14ac:dyDescent="0.25">
      <c r="A318" s="51">
        <v>42828</v>
      </c>
      <c r="B318" s="174" t="s">
        <v>11831</v>
      </c>
      <c r="C318" s="175"/>
      <c r="D318" s="176" t="s">
        <v>11831</v>
      </c>
      <c r="E318" s="176">
        <v>106752</v>
      </c>
      <c r="F318" s="182" t="s">
        <v>10</v>
      </c>
      <c r="G318" s="183">
        <v>0</v>
      </c>
      <c r="H318" s="184" t="s">
        <v>95</v>
      </c>
      <c r="I318" s="183">
        <f t="shared" si="9"/>
        <v>0</v>
      </c>
      <c r="J318" s="183">
        <f t="shared" si="10"/>
        <v>0</v>
      </c>
      <c r="K318" s="19"/>
    </row>
    <row r="319" spans="1:11" x14ac:dyDescent="0.25">
      <c r="A319" s="51">
        <v>42828</v>
      </c>
      <c r="B319" s="174" t="s">
        <v>11832</v>
      </c>
      <c r="C319" s="175"/>
      <c r="D319" s="176" t="s">
        <v>11832</v>
      </c>
      <c r="E319" s="176">
        <v>106753</v>
      </c>
      <c r="F319" s="177" t="s">
        <v>30</v>
      </c>
      <c r="G319" s="178">
        <v>1344.9</v>
      </c>
      <c r="H319" s="179">
        <v>42828</v>
      </c>
      <c r="I319" s="178">
        <f t="shared" si="9"/>
        <v>1344.9</v>
      </c>
      <c r="J319" s="178">
        <f t="shared" si="10"/>
        <v>0</v>
      </c>
      <c r="K319" s="19"/>
    </row>
    <row r="320" spans="1:11" x14ac:dyDescent="0.25">
      <c r="A320" s="51">
        <v>42828</v>
      </c>
      <c r="B320" s="174" t="s">
        <v>11833</v>
      </c>
      <c r="C320" s="175"/>
      <c r="D320" s="176" t="s">
        <v>11833</v>
      </c>
      <c r="E320" s="176">
        <v>106754</v>
      </c>
      <c r="F320" s="177" t="s">
        <v>10</v>
      </c>
      <c r="G320" s="178">
        <v>136821.4</v>
      </c>
      <c r="H320" s="179">
        <v>42833</v>
      </c>
      <c r="I320" s="178">
        <f t="shared" si="9"/>
        <v>136821.4</v>
      </c>
      <c r="J320" s="178">
        <f t="shared" si="10"/>
        <v>0</v>
      </c>
      <c r="K320" s="19"/>
    </row>
    <row r="321" spans="1:11" x14ac:dyDescent="0.25">
      <c r="A321" s="51">
        <v>42828</v>
      </c>
      <c r="B321" s="174" t="s">
        <v>11834</v>
      </c>
      <c r="C321" s="175"/>
      <c r="D321" s="176" t="s">
        <v>11834</v>
      </c>
      <c r="E321" s="176">
        <v>106755</v>
      </c>
      <c r="F321" s="177" t="s">
        <v>236</v>
      </c>
      <c r="G321" s="178">
        <v>33986.1</v>
      </c>
      <c r="H321" s="179">
        <v>42838</v>
      </c>
      <c r="I321" s="178">
        <f t="shared" si="9"/>
        <v>33986.1</v>
      </c>
      <c r="J321" s="178">
        <f t="shared" si="10"/>
        <v>0</v>
      </c>
      <c r="K321" s="19"/>
    </row>
    <row r="322" spans="1:11" x14ac:dyDescent="0.25">
      <c r="A322" s="51">
        <v>42828</v>
      </c>
      <c r="B322" s="174" t="s">
        <v>11835</v>
      </c>
      <c r="C322" s="175"/>
      <c r="D322" s="176" t="s">
        <v>11835</v>
      </c>
      <c r="E322" s="176">
        <v>106756</v>
      </c>
      <c r="F322" s="177" t="s">
        <v>800</v>
      </c>
      <c r="G322" s="178">
        <v>19468.900000000001</v>
      </c>
      <c r="H322" s="179">
        <v>42836</v>
      </c>
      <c r="I322" s="178">
        <f t="shared" si="9"/>
        <v>19468.900000000001</v>
      </c>
      <c r="J322" s="178">
        <f t="shared" si="10"/>
        <v>0</v>
      </c>
      <c r="K322" s="19"/>
    </row>
    <row r="323" spans="1:11" x14ac:dyDescent="0.25">
      <c r="A323" s="51">
        <v>42828</v>
      </c>
      <c r="B323" s="174" t="s">
        <v>11836</v>
      </c>
      <c r="C323" s="175"/>
      <c r="D323" s="176" t="s">
        <v>11836</v>
      </c>
      <c r="E323" s="176">
        <v>106757</v>
      </c>
      <c r="F323" s="177" t="s">
        <v>2054</v>
      </c>
      <c r="G323" s="178">
        <v>2811.3</v>
      </c>
      <c r="H323" s="179">
        <v>42828</v>
      </c>
      <c r="I323" s="178">
        <f t="shared" si="9"/>
        <v>2811.3</v>
      </c>
      <c r="J323" s="178">
        <f t="shared" si="10"/>
        <v>0</v>
      </c>
      <c r="K323" s="19"/>
    </row>
    <row r="324" spans="1:11" x14ac:dyDescent="0.25">
      <c r="A324" s="51">
        <v>42828</v>
      </c>
      <c r="B324" s="174" t="s">
        <v>11837</v>
      </c>
      <c r="C324" s="175"/>
      <c r="D324" s="176" t="s">
        <v>11837</v>
      </c>
      <c r="E324" s="176">
        <v>106758</v>
      </c>
      <c r="F324" s="177" t="s">
        <v>10</v>
      </c>
      <c r="G324" s="178">
        <v>16003.92</v>
      </c>
      <c r="H324" s="179">
        <v>42833</v>
      </c>
      <c r="I324" s="178">
        <f t="shared" ref="I324:I387" si="11">G324</f>
        <v>16003.92</v>
      </c>
      <c r="J324" s="178">
        <f t="shared" ref="J324:J387" si="12">G324-I324</f>
        <v>0</v>
      </c>
      <c r="K324" s="19"/>
    </row>
    <row r="325" spans="1:11" x14ac:dyDescent="0.25">
      <c r="A325" s="51">
        <v>42828</v>
      </c>
      <c r="B325" s="174" t="s">
        <v>11838</v>
      </c>
      <c r="C325" s="175"/>
      <c r="D325" s="176" t="s">
        <v>11838</v>
      </c>
      <c r="E325" s="176">
        <v>106759</v>
      </c>
      <c r="F325" s="177" t="s">
        <v>800</v>
      </c>
      <c r="G325" s="178">
        <v>1019.2</v>
      </c>
      <c r="H325" s="179">
        <v>42828</v>
      </c>
      <c r="I325" s="178">
        <f t="shared" si="11"/>
        <v>1019.2</v>
      </c>
      <c r="J325" s="178">
        <f t="shared" si="12"/>
        <v>0</v>
      </c>
      <c r="K325" s="19"/>
    </row>
    <row r="326" spans="1:11" x14ac:dyDescent="0.25">
      <c r="A326" s="51">
        <v>42828</v>
      </c>
      <c r="B326" s="174" t="s">
        <v>11839</v>
      </c>
      <c r="C326" s="175"/>
      <c r="D326" s="176" t="s">
        <v>11839</v>
      </c>
      <c r="E326" s="176">
        <v>106760</v>
      </c>
      <c r="F326" s="177" t="s">
        <v>354</v>
      </c>
      <c r="G326" s="178">
        <v>1722.6</v>
      </c>
      <c r="H326" s="179">
        <v>42828</v>
      </c>
      <c r="I326" s="178">
        <f t="shared" si="11"/>
        <v>1722.6</v>
      </c>
      <c r="J326" s="178">
        <f t="shared" si="12"/>
        <v>0</v>
      </c>
      <c r="K326" s="19"/>
    </row>
    <row r="327" spans="1:11" x14ac:dyDescent="0.25">
      <c r="A327" s="51">
        <v>42828</v>
      </c>
      <c r="B327" s="174" t="s">
        <v>11840</v>
      </c>
      <c r="C327" s="175"/>
      <c r="D327" s="176" t="s">
        <v>11840</v>
      </c>
      <c r="E327" s="176">
        <v>106761</v>
      </c>
      <c r="F327" s="177" t="s">
        <v>2240</v>
      </c>
      <c r="G327" s="178">
        <v>6270</v>
      </c>
      <c r="H327" s="179"/>
      <c r="I327" s="178">
        <f t="shared" si="11"/>
        <v>6270</v>
      </c>
      <c r="J327" s="178">
        <f t="shared" si="12"/>
        <v>0</v>
      </c>
      <c r="K327" s="19"/>
    </row>
    <row r="328" spans="1:11" x14ac:dyDescent="0.25">
      <c r="A328" s="51">
        <v>42828</v>
      </c>
      <c r="B328" s="174" t="s">
        <v>11841</v>
      </c>
      <c r="C328" s="175"/>
      <c r="D328" s="176" t="s">
        <v>11841</v>
      </c>
      <c r="E328" s="176">
        <v>106762</v>
      </c>
      <c r="F328" s="177" t="s">
        <v>316</v>
      </c>
      <c r="G328" s="178">
        <v>26920.34</v>
      </c>
      <c r="H328" s="179">
        <v>42844</v>
      </c>
      <c r="I328" s="178">
        <f t="shared" si="11"/>
        <v>26920.34</v>
      </c>
      <c r="J328" s="178">
        <f t="shared" si="12"/>
        <v>0</v>
      </c>
      <c r="K328" s="19"/>
    </row>
    <row r="329" spans="1:11" x14ac:dyDescent="0.25">
      <c r="A329" s="51">
        <v>42828</v>
      </c>
      <c r="B329" s="174" t="s">
        <v>11842</v>
      </c>
      <c r="C329" s="175"/>
      <c r="D329" s="176" t="s">
        <v>11842</v>
      </c>
      <c r="E329" s="176">
        <v>106763</v>
      </c>
      <c r="F329" s="177" t="s">
        <v>680</v>
      </c>
      <c r="G329" s="178">
        <v>3072.8</v>
      </c>
      <c r="H329" s="179" t="s">
        <v>11501</v>
      </c>
      <c r="I329" s="178">
        <f>406+2666.8</f>
        <v>3072.8</v>
      </c>
      <c r="J329" s="178">
        <f t="shared" si="12"/>
        <v>0</v>
      </c>
      <c r="K329" s="19"/>
    </row>
    <row r="330" spans="1:11" x14ac:dyDescent="0.25">
      <c r="A330" s="51">
        <v>42828</v>
      </c>
      <c r="B330" s="174" t="s">
        <v>11843</v>
      </c>
      <c r="C330" s="175"/>
      <c r="D330" s="176" t="s">
        <v>11843</v>
      </c>
      <c r="E330" s="176">
        <v>106764</v>
      </c>
      <c r="F330" s="177" t="s">
        <v>677</v>
      </c>
      <c r="G330" s="178">
        <v>1081.4000000000001</v>
      </c>
      <c r="H330" s="179">
        <v>42831</v>
      </c>
      <c r="I330" s="178">
        <f t="shared" si="11"/>
        <v>1081.4000000000001</v>
      </c>
      <c r="J330" s="178">
        <f t="shared" si="12"/>
        <v>0</v>
      </c>
      <c r="K330" s="19"/>
    </row>
    <row r="331" spans="1:11" x14ac:dyDescent="0.25">
      <c r="A331" s="51">
        <v>42828</v>
      </c>
      <c r="B331" s="174" t="s">
        <v>11844</v>
      </c>
      <c r="C331" s="175"/>
      <c r="D331" s="176" t="s">
        <v>11844</v>
      </c>
      <c r="E331" s="176">
        <v>106765</v>
      </c>
      <c r="F331" s="177" t="s">
        <v>682</v>
      </c>
      <c r="G331" s="178">
        <v>4169.8</v>
      </c>
      <c r="H331" s="179">
        <v>42831</v>
      </c>
      <c r="I331" s="178">
        <f t="shared" si="11"/>
        <v>4169.8</v>
      </c>
      <c r="J331" s="178">
        <f t="shared" si="12"/>
        <v>0</v>
      </c>
      <c r="K331" s="19"/>
    </row>
    <row r="332" spans="1:11" x14ac:dyDescent="0.25">
      <c r="A332" s="51">
        <v>42828</v>
      </c>
      <c r="B332" s="174" t="s">
        <v>11845</v>
      </c>
      <c r="C332" s="175"/>
      <c r="D332" s="176" t="s">
        <v>11845</v>
      </c>
      <c r="E332" s="176">
        <v>106766</v>
      </c>
      <c r="F332" s="177" t="s">
        <v>675</v>
      </c>
      <c r="G332" s="178">
        <v>2006.4</v>
      </c>
      <c r="H332" s="179">
        <v>42831</v>
      </c>
      <c r="I332" s="178">
        <f t="shared" si="11"/>
        <v>2006.4</v>
      </c>
      <c r="J332" s="178">
        <f t="shared" si="12"/>
        <v>0</v>
      </c>
      <c r="K332" s="19"/>
    </row>
    <row r="333" spans="1:11" x14ac:dyDescent="0.25">
      <c r="A333" s="51">
        <v>42828</v>
      </c>
      <c r="B333" s="174" t="s">
        <v>11846</v>
      </c>
      <c r="C333" s="175"/>
      <c r="D333" s="176" t="s">
        <v>11846</v>
      </c>
      <c r="E333" s="176">
        <v>106767</v>
      </c>
      <c r="F333" s="177" t="s">
        <v>688</v>
      </c>
      <c r="G333" s="178">
        <v>4385.3999999999996</v>
      </c>
      <c r="H333" s="179">
        <v>42831</v>
      </c>
      <c r="I333" s="178">
        <f t="shared" si="11"/>
        <v>4385.3999999999996</v>
      </c>
      <c r="J333" s="178">
        <f t="shared" si="12"/>
        <v>0</v>
      </c>
      <c r="K333" s="19"/>
    </row>
    <row r="334" spans="1:11" x14ac:dyDescent="0.25">
      <c r="A334" s="51">
        <v>42828</v>
      </c>
      <c r="B334" s="174" t="s">
        <v>11847</v>
      </c>
      <c r="C334" s="175"/>
      <c r="D334" s="176" t="s">
        <v>11847</v>
      </c>
      <c r="E334" s="176">
        <v>106768</v>
      </c>
      <c r="F334" s="177" t="s">
        <v>186</v>
      </c>
      <c r="G334" s="178">
        <v>3250.8</v>
      </c>
      <c r="H334" s="179">
        <v>42831</v>
      </c>
      <c r="I334" s="178">
        <f t="shared" si="11"/>
        <v>3250.8</v>
      </c>
      <c r="J334" s="178">
        <f t="shared" si="12"/>
        <v>0</v>
      </c>
      <c r="K334" s="19"/>
    </row>
    <row r="335" spans="1:11" x14ac:dyDescent="0.25">
      <c r="A335" s="51">
        <v>42828</v>
      </c>
      <c r="B335" s="174" t="s">
        <v>11848</v>
      </c>
      <c r="C335" s="175"/>
      <c r="D335" s="176" t="s">
        <v>11848</v>
      </c>
      <c r="E335" s="176">
        <v>106769</v>
      </c>
      <c r="F335" s="177" t="s">
        <v>352</v>
      </c>
      <c r="G335" s="178">
        <v>2188.8000000000002</v>
      </c>
      <c r="H335" s="179">
        <v>42828</v>
      </c>
      <c r="I335" s="178">
        <f t="shared" si="11"/>
        <v>2188.8000000000002</v>
      </c>
      <c r="J335" s="178">
        <f t="shared" si="12"/>
        <v>0</v>
      </c>
      <c r="K335" s="19"/>
    </row>
    <row r="336" spans="1:11" x14ac:dyDescent="0.25">
      <c r="A336" s="51">
        <v>42828</v>
      </c>
      <c r="B336" s="174" t="s">
        <v>11849</v>
      </c>
      <c r="C336" s="175"/>
      <c r="D336" s="176" t="s">
        <v>11849</v>
      </c>
      <c r="E336" s="176">
        <v>106770</v>
      </c>
      <c r="F336" s="177" t="s">
        <v>1197</v>
      </c>
      <c r="G336" s="178">
        <v>7446.6</v>
      </c>
      <c r="H336" s="179">
        <v>42831</v>
      </c>
      <c r="I336" s="178">
        <f t="shared" si="11"/>
        <v>7446.6</v>
      </c>
      <c r="J336" s="178">
        <f t="shared" si="12"/>
        <v>0</v>
      </c>
      <c r="K336" s="19"/>
    </row>
    <row r="337" spans="1:14" x14ac:dyDescent="0.25">
      <c r="A337" s="51">
        <v>42828</v>
      </c>
      <c r="B337" s="174" t="s">
        <v>11850</v>
      </c>
      <c r="C337" s="175"/>
      <c r="D337" s="176" t="s">
        <v>11850</v>
      </c>
      <c r="E337" s="176">
        <v>106771</v>
      </c>
      <c r="F337" s="177" t="s">
        <v>1594</v>
      </c>
      <c r="G337" s="178">
        <v>58931.199999999997</v>
      </c>
      <c r="H337" s="179">
        <v>42833</v>
      </c>
      <c r="I337" s="178">
        <f t="shared" si="11"/>
        <v>58931.199999999997</v>
      </c>
      <c r="J337" s="178">
        <f t="shared" si="12"/>
        <v>0</v>
      </c>
      <c r="K337" s="19"/>
    </row>
    <row r="338" spans="1:14" x14ac:dyDescent="0.25">
      <c r="A338" s="51">
        <v>42828</v>
      </c>
      <c r="B338" s="174" t="s">
        <v>11851</v>
      </c>
      <c r="C338" s="175"/>
      <c r="D338" s="176" t="s">
        <v>11851</v>
      </c>
      <c r="E338" s="176">
        <v>106772</v>
      </c>
      <c r="F338" s="177" t="s">
        <v>686</v>
      </c>
      <c r="G338" s="178">
        <v>19326.3</v>
      </c>
      <c r="H338" s="179">
        <v>42831</v>
      </c>
      <c r="I338" s="178">
        <f t="shared" si="11"/>
        <v>19326.3</v>
      </c>
      <c r="J338" s="178">
        <f t="shared" si="12"/>
        <v>0</v>
      </c>
      <c r="K338" s="19"/>
    </row>
    <row r="339" spans="1:14" x14ac:dyDescent="0.25">
      <c r="A339" s="51">
        <v>42828</v>
      </c>
      <c r="B339" s="174" t="s">
        <v>11852</v>
      </c>
      <c r="C339" s="175"/>
      <c r="D339" s="176" t="s">
        <v>11852</v>
      </c>
      <c r="E339" s="176">
        <v>106773</v>
      </c>
      <c r="F339" s="177" t="s">
        <v>3636</v>
      </c>
      <c r="G339" s="178">
        <v>18331.5</v>
      </c>
      <c r="H339" s="179">
        <v>42828</v>
      </c>
      <c r="I339" s="178">
        <f t="shared" si="11"/>
        <v>18331.5</v>
      </c>
      <c r="J339" s="178">
        <f t="shared" si="12"/>
        <v>0</v>
      </c>
      <c r="K339" s="19"/>
    </row>
    <row r="340" spans="1:14" x14ac:dyDescent="0.25">
      <c r="A340" s="51">
        <v>42828</v>
      </c>
      <c r="B340" s="174" t="s">
        <v>11853</v>
      </c>
      <c r="C340" s="175"/>
      <c r="D340" s="176" t="s">
        <v>11853</v>
      </c>
      <c r="E340" s="176">
        <v>106774</v>
      </c>
      <c r="F340" s="177" t="s">
        <v>176</v>
      </c>
      <c r="G340" s="178">
        <v>2730</v>
      </c>
      <c r="H340" s="179">
        <v>42828</v>
      </c>
      <c r="I340" s="178">
        <f t="shared" si="11"/>
        <v>2730</v>
      </c>
      <c r="J340" s="178">
        <f t="shared" si="12"/>
        <v>0</v>
      </c>
      <c r="K340" s="19"/>
    </row>
    <row r="341" spans="1:14" x14ac:dyDescent="0.25">
      <c r="A341" s="51">
        <v>42828</v>
      </c>
      <c r="B341" s="174" t="s">
        <v>11854</v>
      </c>
      <c r="C341" s="175"/>
      <c r="D341" s="176" t="s">
        <v>11854</v>
      </c>
      <c r="E341" s="176">
        <v>106775</v>
      </c>
      <c r="F341" s="177" t="s">
        <v>220</v>
      </c>
      <c r="G341" s="178">
        <v>1579.2</v>
      </c>
      <c r="H341" s="179">
        <v>42828</v>
      </c>
      <c r="I341" s="178">
        <f t="shared" si="11"/>
        <v>1579.2</v>
      </c>
      <c r="J341" s="178">
        <f t="shared" si="12"/>
        <v>0</v>
      </c>
      <c r="K341" s="19"/>
    </row>
    <row r="342" spans="1:14" x14ac:dyDescent="0.25">
      <c r="A342" s="51">
        <v>42828</v>
      </c>
      <c r="B342" s="174" t="s">
        <v>11855</v>
      </c>
      <c r="C342" s="175"/>
      <c r="D342" s="176" t="s">
        <v>11855</v>
      </c>
      <c r="E342" s="176">
        <v>106776</v>
      </c>
      <c r="F342" s="177" t="s">
        <v>21</v>
      </c>
      <c r="G342" s="178">
        <v>41144</v>
      </c>
      <c r="H342" s="179">
        <v>42844</v>
      </c>
      <c r="I342" s="178">
        <f t="shared" si="11"/>
        <v>41144</v>
      </c>
      <c r="J342" s="178">
        <f t="shared" si="12"/>
        <v>0</v>
      </c>
      <c r="K342" s="19"/>
    </row>
    <row r="343" spans="1:14" x14ac:dyDescent="0.25">
      <c r="A343" s="51">
        <v>42828</v>
      </c>
      <c r="B343" s="174" t="s">
        <v>11856</v>
      </c>
      <c r="C343" s="175"/>
      <c r="D343" s="176" t="s">
        <v>11856</v>
      </c>
      <c r="E343" s="176">
        <v>106777</v>
      </c>
      <c r="F343" s="177" t="s">
        <v>670</v>
      </c>
      <c r="G343" s="178">
        <v>212096.2</v>
      </c>
      <c r="H343" s="179">
        <v>42833</v>
      </c>
      <c r="I343" s="178">
        <f t="shared" si="11"/>
        <v>212096.2</v>
      </c>
      <c r="J343" s="178">
        <f t="shared" si="12"/>
        <v>0</v>
      </c>
      <c r="K343" s="19"/>
    </row>
    <row r="344" spans="1:14" x14ac:dyDescent="0.25">
      <c r="A344" s="51">
        <v>42829</v>
      </c>
      <c r="B344" s="174" t="s">
        <v>11857</v>
      </c>
      <c r="C344" s="175"/>
      <c r="D344" s="176" t="s">
        <v>11857</v>
      </c>
      <c r="E344" s="176">
        <v>106778</v>
      </c>
      <c r="F344" s="177" t="s">
        <v>231</v>
      </c>
      <c r="G344" s="178">
        <v>7688.4</v>
      </c>
      <c r="H344" s="179">
        <v>42831</v>
      </c>
      <c r="I344" s="178">
        <f t="shared" si="11"/>
        <v>7688.4</v>
      </c>
      <c r="J344" s="178">
        <f t="shared" si="12"/>
        <v>0</v>
      </c>
      <c r="K344" s="19"/>
    </row>
    <row r="345" spans="1:14" x14ac:dyDescent="0.25">
      <c r="A345" s="51">
        <v>42829</v>
      </c>
      <c r="B345" s="174" t="s">
        <v>11858</v>
      </c>
      <c r="C345" s="175"/>
      <c r="D345" s="176" t="s">
        <v>11858</v>
      </c>
      <c r="E345" s="176">
        <v>106779</v>
      </c>
      <c r="F345" s="177" t="s">
        <v>17</v>
      </c>
      <c r="G345" s="178">
        <v>2150</v>
      </c>
      <c r="H345" s="179">
        <v>42829</v>
      </c>
      <c r="I345" s="178">
        <f t="shared" si="11"/>
        <v>2150</v>
      </c>
      <c r="J345" s="178">
        <f t="shared" si="12"/>
        <v>0</v>
      </c>
      <c r="K345" s="19"/>
    </row>
    <row r="346" spans="1:14" x14ac:dyDescent="0.25">
      <c r="A346" s="51">
        <v>42829</v>
      </c>
      <c r="B346" s="174" t="s">
        <v>11859</v>
      </c>
      <c r="C346" s="175"/>
      <c r="D346" s="176" t="s">
        <v>11859</v>
      </c>
      <c r="E346" s="176">
        <v>106780</v>
      </c>
      <c r="F346" s="177" t="s">
        <v>231</v>
      </c>
      <c r="G346" s="178">
        <v>34667.5</v>
      </c>
      <c r="H346" s="179">
        <v>42830</v>
      </c>
      <c r="I346" s="178">
        <f t="shared" si="11"/>
        <v>34667.5</v>
      </c>
      <c r="J346" s="178">
        <f t="shared" si="12"/>
        <v>0</v>
      </c>
      <c r="K346" s="19"/>
    </row>
    <row r="347" spans="1:14" x14ac:dyDescent="0.25">
      <c r="A347" s="51">
        <v>42829</v>
      </c>
      <c r="B347" s="174" t="s">
        <v>11860</v>
      </c>
      <c r="C347" s="175"/>
      <c r="D347" s="176" t="s">
        <v>11860</v>
      </c>
      <c r="E347" s="176">
        <v>106781</v>
      </c>
      <c r="F347" s="177" t="s">
        <v>428</v>
      </c>
      <c r="G347" s="178">
        <v>1844.3</v>
      </c>
      <c r="H347" s="179">
        <v>42830</v>
      </c>
      <c r="I347" s="178">
        <f t="shared" si="11"/>
        <v>1844.3</v>
      </c>
      <c r="J347" s="178">
        <f t="shared" si="12"/>
        <v>0</v>
      </c>
      <c r="K347" s="19"/>
    </row>
    <row r="348" spans="1:14" x14ac:dyDescent="0.25">
      <c r="A348" s="51">
        <v>42829</v>
      </c>
      <c r="B348" s="174" t="s">
        <v>11861</v>
      </c>
      <c r="C348" s="175"/>
      <c r="D348" s="176" t="s">
        <v>11861</v>
      </c>
      <c r="E348" s="176">
        <v>106782</v>
      </c>
      <c r="F348" s="177" t="s">
        <v>231</v>
      </c>
      <c r="G348" s="178">
        <v>695.4</v>
      </c>
      <c r="H348" s="179">
        <v>42830</v>
      </c>
      <c r="I348" s="178">
        <f t="shared" si="11"/>
        <v>695.4</v>
      </c>
      <c r="J348" s="178">
        <f t="shared" si="12"/>
        <v>0</v>
      </c>
      <c r="K348" s="19"/>
    </row>
    <row r="349" spans="1:14" x14ac:dyDescent="0.25">
      <c r="A349" s="51">
        <v>42829</v>
      </c>
      <c r="B349" s="174" t="s">
        <v>11862</v>
      </c>
      <c r="C349" s="175"/>
      <c r="D349" s="176" t="s">
        <v>11862</v>
      </c>
      <c r="E349" s="176">
        <v>106783</v>
      </c>
      <c r="F349" s="177" t="s">
        <v>35</v>
      </c>
      <c r="G349" s="178">
        <v>7658.1</v>
      </c>
      <c r="H349" s="179">
        <v>42830</v>
      </c>
      <c r="I349" s="178">
        <f t="shared" si="11"/>
        <v>7658.1</v>
      </c>
      <c r="J349" s="178">
        <f t="shared" si="12"/>
        <v>0</v>
      </c>
      <c r="K349" s="19"/>
    </row>
    <row r="350" spans="1:14" x14ac:dyDescent="0.25">
      <c r="A350" s="51">
        <v>42829</v>
      </c>
      <c r="B350" s="174" t="s">
        <v>11863</v>
      </c>
      <c r="C350" s="175"/>
      <c r="D350" s="176" t="s">
        <v>11863</v>
      </c>
      <c r="E350" s="176">
        <v>106784</v>
      </c>
      <c r="F350" s="177" t="s">
        <v>32</v>
      </c>
      <c r="G350" s="178">
        <v>5011.6000000000004</v>
      </c>
      <c r="H350" s="179">
        <v>42830</v>
      </c>
      <c r="I350" s="178">
        <f t="shared" si="11"/>
        <v>5011.6000000000004</v>
      </c>
      <c r="J350" s="178">
        <f t="shared" si="12"/>
        <v>0</v>
      </c>
      <c r="K350" s="19"/>
    </row>
    <row r="351" spans="1:14" x14ac:dyDescent="0.25">
      <c r="A351" s="51">
        <v>42829</v>
      </c>
      <c r="B351" s="174" t="s">
        <v>11864</v>
      </c>
      <c r="C351" s="175"/>
      <c r="D351" s="176" t="s">
        <v>11864</v>
      </c>
      <c r="E351" s="176">
        <v>106785</v>
      </c>
      <c r="F351" s="177" t="s">
        <v>38</v>
      </c>
      <c r="G351" s="178">
        <v>2586.1999999999998</v>
      </c>
      <c r="H351" s="179">
        <v>42832</v>
      </c>
      <c r="I351" s="178">
        <f t="shared" si="11"/>
        <v>2586.1999999999998</v>
      </c>
      <c r="J351" s="178">
        <f t="shared" si="12"/>
        <v>0</v>
      </c>
      <c r="K351" s="19"/>
    </row>
    <row r="352" spans="1:14" ht="15.75" customHeight="1" x14ac:dyDescent="0.3">
      <c r="A352" s="51">
        <v>42829</v>
      </c>
      <c r="B352" s="174" t="s">
        <v>11865</v>
      </c>
      <c r="C352" s="175"/>
      <c r="D352" s="176" t="s">
        <v>11865</v>
      </c>
      <c r="E352" s="176">
        <v>106786</v>
      </c>
      <c r="F352" s="177" t="s">
        <v>1786</v>
      </c>
      <c r="G352" s="178">
        <v>5379</v>
      </c>
      <c r="H352" s="179">
        <v>42829</v>
      </c>
      <c r="I352" s="178">
        <f t="shared" si="11"/>
        <v>5379</v>
      </c>
      <c r="J352" s="178">
        <f t="shared" si="12"/>
        <v>0</v>
      </c>
      <c r="K352" s="19"/>
      <c r="M352" s="22"/>
      <c r="N352" s="22"/>
    </row>
    <row r="353" spans="1:11" x14ac:dyDescent="0.25">
      <c r="A353" s="51">
        <v>42829</v>
      </c>
      <c r="B353" s="174" t="s">
        <v>11866</v>
      </c>
      <c r="C353" s="175"/>
      <c r="D353" s="176" t="s">
        <v>11866</v>
      </c>
      <c r="E353" s="176">
        <v>106787</v>
      </c>
      <c r="F353" s="177" t="s">
        <v>19</v>
      </c>
      <c r="G353" s="178">
        <v>860</v>
      </c>
      <c r="H353" s="179">
        <v>42829</v>
      </c>
      <c r="I353" s="178">
        <f t="shared" si="11"/>
        <v>860</v>
      </c>
      <c r="J353" s="178">
        <f t="shared" si="12"/>
        <v>0</v>
      </c>
      <c r="K353" s="19"/>
    </row>
    <row r="354" spans="1:11" x14ac:dyDescent="0.25">
      <c r="A354" s="51">
        <v>42829</v>
      </c>
      <c r="B354" s="174" t="s">
        <v>11867</v>
      </c>
      <c r="C354" s="175"/>
      <c r="D354" s="176" t="s">
        <v>11867</v>
      </c>
      <c r="E354" s="176">
        <v>106788</v>
      </c>
      <c r="F354" s="177" t="s">
        <v>28</v>
      </c>
      <c r="G354" s="178">
        <v>4297.8</v>
      </c>
      <c r="H354" s="179">
        <v>42834</v>
      </c>
      <c r="I354" s="178">
        <f t="shared" si="11"/>
        <v>4297.8</v>
      </c>
      <c r="J354" s="178">
        <f t="shared" si="12"/>
        <v>0</v>
      </c>
      <c r="K354" s="19"/>
    </row>
    <row r="355" spans="1:11" x14ac:dyDescent="0.25">
      <c r="A355" s="51">
        <v>42829</v>
      </c>
      <c r="B355" s="174" t="s">
        <v>11868</v>
      </c>
      <c r="C355" s="175"/>
      <c r="D355" s="176" t="s">
        <v>11868</v>
      </c>
      <c r="E355" s="176">
        <v>106789</v>
      </c>
      <c r="F355" s="177" t="s">
        <v>26</v>
      </c>
      <c r="G355" s="178">
        <v>18774.8</v>
      </c>
      <c r="H355" s="179">
        <v>42829</v>
      </c>
      <c r="I355" s="178">
        <f t="shared" si="11"/>
        <v>18774.8</v>
      </c>
      <c r="J355" s="178">
        <f t="shared" si="12"/>
        <v>0</v>
      </c>
      <c r="K355" s="19"/>
    </row>
    <row r="356" spans="1:11" x14ac:dyDescent="0.25">
      <c r="A356" s="51">
        <v>42829</v>
      </c>
      <c r="B356" s="174" t="s">
        <v>11869</v>
      </c>
      <c r="C356" s="175"/>
      <c r="D356" s="176" t="s">
        <v>11869</v>
      </c>
      <c r="E356" s="176">
        <v>106790</v>
      </c>
      <c r="F356" s="177" t="s">
        <v>47</v>
      </c>
      <c r="G356" s="178">
        <v>4777.3999999999996</v>
      </c>
      <c r="H356" s="179">
        <v>42829</v>
      </c>
      <c r="I356" s="178">
        <f t="shared" si="11"/>
        <v>4777.3999999999996</v>
      </c>
      <c r="J356" s="178">
        <f t="shared" si="12"/>
        <v>0</v>
      </c>
      <c r="K356" s="19"/>
    </row>
    <row r="357" spans="1:11" x14ac:dyDescent="0.25">
      <c r="A357" s="51">
        <v>42829</v>
      </c>
      <c r="B357" s="174" t="s">
        <v>11870</v>
      </c>
      <c r="C357" s="175"/>
      <c r="D357" s="176" t="s">
        <v>11870</v>
      </c>
      <c r="E357" s="176">
        <v>106791</v>
      </c>
      <c r="F357" s="177" t="s">
        <v>69</v>
      </c>
      <c r="G357" s="178">
        <v>3628.9</v>
      </c>
      <c r="H357" s="179">
        <v>42829</v>
      </c>
      <c r="I357" s="178">
        <f t="shared" si="11"/>
        <v>3628.9</v>
      </c>
      <c r="J357" s="178">
        <f t="shared" si="12"/>
        <v>0</v>
      </c>
      <c r="K357" s="19"/>
    </row>
    <row r="358" spans="1:11" x14ac:dyDescent="0.25">
      <c r="A358" s="51">
        <v>42829</v>
      </c>
      <c r="B358" s="174" t="s">
        <v>11871</v>
      </c>
      <c r="C358" s="175"/>
      <c r="D358" s="176" t="s">
        <v>11871</v>
      </c>
      <c r="E358" s="176">
        <v>106792</v>
      </c>
      <c r="F358" s="177" t="s">
        <v>71</v>
      </c>
      <c r="G358" s="178">
        <v>1738.5</v>
      </c>
      <c r="H358" s="179">
        <v>42829</v>
      </c>
      <c r="I358" s="178">
        <f t="shared" si="11"/>
        <v>1738.5</v>
      </c>
      <c r="J358" s="178">
        <f t="shared" si="12"/>
        <v>0</v>
      </c>
      <c r="K358" s="19"/>
    </row>
    <row r="359" spans="1:11" x14ac:dyDescent="0.25">
      <c r="A359" s="51">
        <v>42829</v>
      </c>
      <c r="B359" s="174" t="s">
        <v>11872</v>
      </c>
      <c r="C359" s="175"/>
      <c r="D359" s="176" t="s">
        <v>11872</v>
      </c>
      <c r="E359" s="176">
        <v>106793</v>
      </c>
      <c r="F359" s="177" t="s">
        <v>253</v>
      </c>
      <c r="G359" s="178">
        <v>6724.2</v>
      </c>
      <c r="H359" s="179">
        <v>42836</v>
      </c>
      <c r="I359" s="178">
        <f t="shared" si="11"/>
        <v>6724.2</v>
      </c>
      <c r="J359" s="178">
        <f t="shared" si="12"/>
        <v>0</v>
      </c>
      <c r="K359" s="19"/>
    </row>
    <row r="360" spans="1:11" x14ac:dyDescent="0.25">
      <c r="A360" s="51">
        <v>42829</v>
      </c>
      <c r="B360" s="174" t="s">
        <v>11873</v>
      </c>
      <c r="C360" s="175"/>
      <c r="D360" s="176" t="s">
        <v>11873</v>
      </c>
      <c r="E360" s="176">
        <v>106794</v>
      </c>
      <c r="F360" s="177" t="s">
        <v>67</v>
      </c>
      <c r="G360" s="178">
        <v>8642.6</v>
      </c>
      <c r="H360" s="179">
        <v>42830</v>
      </c>
      <c r="I360" s="178">
        <f t="shared" si="11"/>
        <v>8642.6</v>
      </c>
      <c r="J360" s="178">
        <f t="shared" si="12"/>
        <v>0</v>
      </c>
      <c r="K360" s="19"/>
    </row>
    <row r="361" spans="1:11" x14ac:dyDescent="0.25">
      <c r="A361" s="51">
        <v>42829</v>
      </c>
      <c r="B361" s="174" t="s">
        <v>11874</v>
      </c>
      <c r="C361" s="175"/>
      <c r="D361" s="176" t="s">
        <v>11874</v>
      </c>
      <c r="E361" s="176">
        <v>106795</v>
      </c>
      <c r="F361" s="177" t="s">
        <v>40</v>
      </c>
      <c r="G361" s="178">
        <v>3507.9</v>
      </c>
      <c r="H361" s="179">
        <v>42832</v>
      </c>
      <c r="I361" s="178">
        <f t="shared" si="11"/>
        <v>3507.9</v>
      </c>
      <c r="J361" s="178">
        <f t="shared" si="12"/>
        <v>0</v>
      </c>
      <c r="K361" s="19"/>
    </row>
    <row r="362" spans="1:11" x14ac:dyDescent="0.25">
      <c r="A362" s="51">
        <v>42829</v>
      </c>
      <c r="B362" s="174" t="s">
        <v>11875</v>
      </c>
      <c r="C362" s="175"/>
      <c r="D362" s="176" t="s">
        <v>11875</v>
      </c>
      <c r="E362" s="176">
        <v>106796</v>
      </c>
      <c r="F362" s="177" t="s">
        <v>30</v>
      </c>
      <c r="G362" s="178">
        <v>1570</v>
      </c>
      <c r="H362" s="179">
        <v>42829</v>
      </c>
      <c r="I362" s="178">
        <f t="shared" si="11"/>
        <v>1570</v>
      </c>
      <c r="J362" s="178">
        <f t="shared" si="12"/>
        <v>0</v>
      </c>
      <c r="K362" s="19"/>
    </row>
    <row r="363" spans="1:11" x14ac:dyDescent="0.25">
      <c r="A363" s="51">
        <v>42829</v>
      </c>
      <c r="B363" s="174" t="s">
        <v>11876</v>
      </c>
      <c r="C363" s="175"/>
      <c r="D363" s="176" t="s">
        <v>11876</v>
      </c>
      <c r="E363" s="176">
        <v>106797</v>
      </c>
      <c r="F363" s="177" t="s">
        <v>21</v>
      </c>
      <c r="G363" s="178">
        <v>40488</v>
      </c>
      <c r="H363" s="179">
        <v>42844</v>
      </c>
      <c r="I363" s="178">
        <f t="shared" si="11"/>
        <v>40488</v>
      </c>
      <c r="J363" s="178">
        <f t="shared" si="12"/>
        <v>0</v>
      </c>
      <c r="K363" s="19"/>
    </row>
    <row r="364" spans="1:11" x14ac:dyDescent="0.25">
      <c r="A364" s="51">
        <v>42829</v>
      </c>
      <c r="B364" s="174" t="s">
        <v>11877</v>
      </c>
      <c r="C364" s="175"/>
      <c r="D364" s="176" t="s">
        <v>11877</v>
      </c>
      <c r="E364" s="176">
        <v>106798</v>
      </c>
      <c r="F364" s="177" t="s">
        <v>149</v>
      </c>
      <c r="G364" s="178">
        <v>11368</v>
      </c>
      <c r="H364" s="179">
        <v>42829</v>
      </c>
      <c r="I364" s="178">
        <f t="shared" si="11"/>
        <v>11368</v>
      </c>
      <c r="J364" s="178">
        <f t="shared" si="12"/>
        <v>0</v>
      </c>
      <c r="K364" s="19"/>
    </row>
    <row r="365" spans="1:11" ht="15.75" customHeight="1" x14ac:dyDescent="0.25">
      <c r="A365" s="51">
        <v>42829</v>
      </c>
      <c r="B365" s="174" t="s">
        <v>11878</v>
      </c>
      <c r="C365" s="175"/>
      <c r="D365" s="176" t="s">
        <v>11878</v>
      </c>
      <c r="E365" s="176">
        <v>106799</v>
      </c>
      <c r="F365" s="177" t="s">
        <v>43</v>
      </c>
      <c r="G365" s="178">
        <v>3210.2</v>
      </c>
      <c r="H365" s="179">
        <v>42831</v>
      </c>
      <c r="I365" s="178">
        <f t="shared" si="11"/>
        <v>3210.2</v>
      </c>
      <c r="J365" s="178">
        <f t="shared" si="12"/>
        <v>0</v>
      </c>
      <c r="K365" s="19"/>
    </row>
    <row r="366" spans="1:11" x14ac:dyDescent="0.25">
      <c r="A366" s="51">
        <v>42829</v>
      </c>
      <c r="B366" s="174" t="s">
        <v>11879</v>
      </c>
      <c r="C366" s="175"/>
      <c r="D366" s="176" t="s">
        <v>11879</v>
      </c>
      <c r="E366" s="176">
        <v>106800</v>
      </c>
      <c r="F366" s="177" t="s">
        <v>250</v>
      </c>
      <c r="G366" s="178">
        <v>2397.6999999999998</v>
      </c>
      <c r="H366" s="179">
        <v>42831</v>
      </c>
      <c r="I366" s="178">
        <f t="shared" si="11"/>
        <v>2397.6999999999998</v>
      </c>
      <c r="J366" s="178">
        <f t="shared" si="12"/>
        <v>0</v>
      </c>
      <c r="K366" s="19"/>
    </row>
    <row r="367" spans="1:11" x14ac:dyDescent="0.25">
      <c r="A367" s="51">
        <v>42829</v>
      </c>
      <c r="B367" s="174" t="s">
        <v>11880</v>
      </c>
      <c r="C367" s="175"/>
      <c r="D367" s="176" t="s">
        <v>11880</v>
      </c>
      <c r="E367" s="176">
        <v>106801</v>
      </c>
      <c r="F367" s="177" t="s">
        <v>49</v>
      </c>
      <c r="G367" s="178">
        <v>11282.7</v>
      </c>
      <c r="H367" s="180" t="s">
        <v>11881</v>
      </c>
      <c r="I367" s="181">
        <f>4000+7282.7</f>
        <v>11282.7</v>
      </c>
      <c r="J367" s="181">
        <f t="shared" si="12"/>
        <v>0</v>
      </c>
      <c r="K367" s="19"/>
    </row>
    <row r="368" spans="1:11" x14ac:dyDescent="0.25">
      <c r="A368" s="51">
        <v>42829</v>
      </c>
      <c r="B368" s="174" t="s">
        <v>11882</v>
      </c>
      <c r="C368" s="175"/>
      <c r="D368" s="176" t="s">
        <v>11882</v>
      </c>
      <c r="E368" s="176">
        <v>106802</v>
      </c>
      <c r="F368" s="177" t="s">
        <v>51</v>
      </c>
      <c r="G368" s="178">
        <v>3062.4</v>
      </c>
      <c r="H368" s="179">
        <v>42831</v>
      </c>
      <c r="I368" s="178">
        <f t="shared" si="11"/>
        <v>3062.4</v>
      </c>
      <c r="J368" s="178">
        <f t="shared" si="12"/>
        <v>0</v>
      </c>
      <c r="K368" s="19"/>
    </row>
    <row r="369" spans="1:11" x14ac:dyDescent="0.25">
      <c r="A369" s="51">
        <v>42829</v>
      </c>
      <c r="B369" s="174" t="s">
        <v>11883</v>
      </c>
      <c r="C369" s="175"/>
      <c r="D369" s="176" t="s">
        <v>11883</v>
      </c>
      <c r="E369" s="176">
        <v>106803</v>
      </c>
      <c r="F369" s="177" t="s">
        <v>157</v>
      </c>
      <c r="G369" s="178">
        <v>23330.7</v>
      </c>
      <c r="H369" s="179">
        <v>42829</v>
      </c>
      <c r="I369" s="178">
        <f t="shared" si="11"/>
        <v>23330.7</v>
      </c>
      <c r="J369" s="178">
        <f t="shared" si="12"/>
        <v>0</v>
      </c>
      <c r="K369" s="19"/>
    </row>
    <row r="370" spans="1:11" x14ac:dyDescent="0.25">
      <c r="A370" s="51">
        <v>42829</v>
      </c>
      <c r="B370" s="174" t="s">
        <v>11884</v>
      </c>
      <c r="C370" s="175"/>
      <c r="D370" s="176" t="s">
        <v>11884</v>
      </c>
      <c r="E370" s="176">
        <v>106804</v>
      </c>
      <c r="F370" s="177" t="s">
        <v>105</v>
      </c>
      <c r="G370" s="178">
        <v>818.7</v>
      </c>
      <c r="H370" s="179">
        <v>42829</v>
      </c>
      <c r="I370" s="178">
        <f t="shared" si="11"/>
        <v>818.7</v>
      </c>
      <c r="J370" s="178">
        <f t="shared" si="12"/>
        <v>0</v>
      </c>
      <c r="K370" s="19"/>
    </row>
    <row r="371" spans="1:11" x14ac:dyDescent="0.25">
      <c r="A371" s="51">
        <v>42829</v>
      </c>
      <c r="B371" s="174" t="s">
        <v>11885</v>
      </c>
      <c r="C371" s="175"/>
      <c r="D371" s="176" t="s">
        <v>11885</v>
      </c>
      <c r="E371" s="176">
        <v>106805</v>
      </c>
      <c r="F371" s="177" t="s">
        <v>101</v>
      </c>
      <c r="G371" s="178">
        <v>430</v>
      </c>
      <c r="H371" s="179">
        <v>42829</v>
      </c>
      <c r="I371" s="178">
        <f t="shared" si="11"/>
        <v>430</v>
      </c>
      <c r="J371" s="178">
        <f t="shared" si="12"/>
        <v>0</v>
      </c>
      <c r="K371" s="19"/>
    </row>
    <row r="372" spans="1:11" x14ac:dyDescent="0.25">
      <c r="A372" s="51">
        <v>42829</v>
      </c>
      <c r="B372" s="174" t="s">
        <v>11886</v>
      </c>
      <c r="C372" s="175"/>
      <c r="D372" s="176" t="s">
        <v>11886</v>
      </c>
      <c r="E372" s="176">
        <v>106806</v>
      </c>
      <c r="F372" s="177" t="s">
        <v>281</v>
      </c>
      <c r="G372" s="178">
        <v>2175</v>
      </c>
      <c r="H372" s="179">
        <v>42829</v>
      </c>
      <c r="I372" s="178">
        <f t="shared" si="11"/>
        <v>2175</v>
      </c>
      <c r="J372" s="178">
        <f t="shared" si="12"/>
        <v>0</v>
      </c>
      <c r="K372" s="19"/>
    </row>
    <row r="373" spans="1:11" x14ac:dyDescent="0.25">
      <c r="A373" s="51">
        <v>42829</v>
      </c>
      <c r="B373" s="174" t="s">
        <v>11887</v>
      </c>
      <c r="C373" s="175"/>
      <c r="D373" s="176" t="s">
        <v>11887</v>
      </c>
      <c r="E373" s="176">
        <v>106807</v>
      </c>
      <c r="F373" s="177" t="s">
        <v>83</v>
      </c>
      <c r="G373" s="178">
        <v>3616.8</v>
      </c>
      <c r="H373" s="179">
        <v>42829</v>
      </c>
      <c r="I373" s="178">
        <f t="shared" si="11"/>
        <v>3616.8</v>
      </c>
      <c r="J373" s="178">
        <f t="shared" si="12"/>
        <v>0</v>
      </c>
      <c r="K373" s="19"/>
    </row>
    <row r="374" spans="1:11" x14ac:dyDescent="0.25">
      <c r="A374" s="51">
        <v>42829</v>
      </c>
      <c r="B374" s="174" t="s">
        <v>11888</v>
      </c>
      <c r="C374" s="175"/>
      <c r="D374" s="176" t="s">
        <v>11888</v>
      </c>
      <c r="E374" s="176">
        <v>106808</v>
      </c>
      <c r="F374" s="177" t="s">
        <v>92</v>
      </c>
      <c r="G374" s="178">
        <v>1376</v>
      </c>
      <c r="H374" s="179">
        <v>42829</v>
      </c>
      <c r="I374" s="178">
        <f t="shared" si="11"/>
        <v>1376</v>
      </c>
      <c r="J374" s="178">
        <f t="shared" si="12"/>
        <v>0</v>
      </c>
      <c r="K374" s="19"/>
    </row>
    <row r="375" spans="1:11" x14ac:dyDescent="0.25">
      <c r="A375" s="51">
        <v>42829</v>
      </c>
      <c r="B375" s="174" t="s">
        <v>11889</v>
      </c>
      <c r="C375" s="175"/>
      <c r="D375" s="176" t="s">
        <v>11889</v>
      </c>
      <c r="E375" s="176">
        <v>106809</v>
      </c>
      <c r="F375" s="177" t="s">
        <v>1259</v>
      </c>
      <c r="G375" s="178">
        <v>1117.2</v>
      </c>
      <c r="H375" s="179">
        <v>42829</v>
      </c>
      <c r="I375" s="178">
        <f t="shared" si="11"/>
        <v>1117.2</v>
      </c>
      <c r="J375" s="178">
        <f t="shared" si="12"/>
        <v>0</v>
      </c>
      <c r="K375" s="19"/>
    </row>
    <row r="376" spans="1:11" x14ac:dyDescent="0.25">
      <c r="A376" s="51">
        <v>42829</v>
      </c>
      <c r="B376" s="174" t="s">
        <v>11890</v>
      </c>
      <c r="C376" s="175"/>
      <c r="D376" s="176" t="s">
        <v>11890</v>
      </c>
      <c r="E376" s="176">
        <v>106810</v>
      </c>
      <c r="F376" s="177" t="s">
        <v>1269</v>
      </c>
      <c r="G376" s="178">
        <v>4153.3999999999996</v>
      </c>
      <c r="H376" s="179">
        <v>42829</v>
      </c>
      <c r="I376" s="178">
        <f t="shared" si="11"/>
        <v>4153.3999999999996</v>
      </c>
      <c r="J376" s="178">
        <f t="shared" si="12"/>
        <v>0</v>
      </c>
      <c r="K376" s="19"/>
    </row>
    <row r="377" spans="1:11" x14ac:dyDescent="0.25">
      <c r="A377" s="51">
        <v>42829</v>
      </c>
      <c r="B377" s="174" t="s">
        <v>11891</v>
      </c>
      <c r="C377" s="175"/>
      <c r="D377" s="176" t="s">
        <v>11891</v>
      </c>
      <c r="E377" s="176">
        <v>106811</v>
      </c>
      <c r="F377" s="189" t="s">
        <v>2054</v>
      </c>
      <c r="G377" s="190">
        <v>0</v>
      </c>
      <c r="H377" s="191" t="s">
        <v>95</v>
      </c>
      <c r="I377" s="190">
        <f t="shared" si="11"/>
        <v>0</v>
      </c>
      <c r="J377" s="190">
        <f t="shared" si="12"/>
        <v>0</v>
      </c>
      <c r="K377" s="19"/>
    </row>
    <row r="378" spans="1:11" x14ac:dyDescent="0.25">
      <c r="A378" s="51">
        <v>42829</v>
      </c>
      <c r="B378" s="174" t="s">
        <v>11892</v>
      </c>
      <c r="C378" s="175"/>
      <c r="D378" s="176" t="s">
        <v>11892</v>
      </c>
      <c r="E378" s="176">
        <v>106812</v>
      </c>
      <c r="F378" s="177" t="s">
        <v>2054</v>
      </c>
      <c r="G378" s="178">
        <v>525</v>
      </c>
      <c r="H378" s="179">
        <v>42829</v>
      </c>
      <c r="I378" s="178">
        <f t="shared" si="11"/>
        <v>525</v>
      </c>
      <c r="J378" s="178">
        <f t="shared" si="12"/>
        <v>0</v>
      </c>
      <c r="K378" s="19"/>
    </row>
    <row r="379" spans="1:11" x14ac:dyDescent="0.25">
      <c r="A379" s="51">
        <v>42829</v>
      </c>
      <c r="B379" s="174" t="s">
        <v>11893</v>
      </c>
      <c r="C379" s="175"/>
      <c r="D379" s="176" t="s">
        <v>11893</v>
      </c>
      <c r="E379" s="176">
        <v>106813</v>
      </c>
      <c r="F379" s="177" t="s">
        <v>1380</v>
      </c>
      <c r="G379" s="178">
        <v>3847.8</v>
      </c>
      <c r="H379" s="179">
        <v>42829</v>
      </c>
      <c r="I379" s="178">
        <f t="shared" si="11"/>
        <v>3847.8</v>
      </c>
      <c r="J379" s="178">
        <f t="shared" si="12"/>
        <v>0</v>
      </c>
      <c r="K379" s="19"/>
    </row>
    <row r="380" spans="1:11" x14ac:dyDescent="0.25">
      <c r="A380" s="51">
        <v>42829</v>
      </c>
      <c r="B380" s="174" t="s">
        <v>11894</v>
      </c>
      <c r="C380" s="175"/>
      <c r="D380" s="176" t="s">
        <v>11894</v>
      </c>
      <c r="E380" s="176">
        <v>106814</v>
      </c>
      <c r="F380" s="177" t="s">
        <v>405</v>
      </c>
      <c r="G380" s="178">
        <v>3830.4</v>
      </c>
      <c r="H380" s="179">
        <v>42829</v>
      </c>
      <c r="I380" s="178">
        <f t="shared" si="11"/>
        <v>3830.4</v>
      </c>
      <c r="J380" s="178">
        <f t="shared" si="12"/>
        <v>0</v>
      </c>
      <c r="K380" s="19"/>
    </row>
    <row r="381" spans="1:11" x14ac:dyDescent="0.25">
      <c r="A381" s="51">
        <v>42829</v>
      </c>
      <c r="B381" s="174" t="s">
        <v>11895</v>
      </c>
      <c r="C381" s="175"/>
      <c r="D381" s="176" t="s">
        <v>11895</v>
      </c>
      <c r="E381" s="176">
        <v>106815</v>
      </c>
      <c r="F381" s="177" t="s">
        <v>30</v>
      </c>
      <c r="G381" s="178">
        <v>73.92</v>
      </c>
      <c r="H381" s="179">
        <v>42829</v>
      </c>
      <c r="I381" s="178">
        <f t="shared" si="11"/>
        <v>73.92</v>
      </c>
      <c r="J381" s="178">
        <f t="shared" si="12"/>
        <v>0</v>
      </c>
      <c r="K381" s="19"/>
    </row>
    <row r="382" spans="1:11" x14ac:dyDescent="0.25">
      <c r="A382" s="51">
        <v>42829</v>
      </c>
      <c r="B382" s="174" t="s">
        <v>11896</v>
      </c>
      <c r="C382" s="175"/>
      <c r="D382" s="176" t="s">
        <v>11896</v>
      </c>
      <c r="E382" s="176">
        <v>106816</v>
      </c>
      <c r="F382" s="177" t="s">
        <v>79</v>
      </c>
      <c r="G382" s="178">
        <v>3577</v>
      </c>
      <c r="H382" s="179">
        <v>42829</v>
      </c>
      <c r="I382" s="178">
        <f t="shared" si="11"/>
        <v>3577</v>
      </c>
      <c r="J382" s="178">
        <f t="shared" si="12"/>
        <v>0</v>
      </c>
      <c r="K382" s="19"/>
    </row>
    <row r="383" spans="1:11" x14ac:dyDescent="0.25">
      <c r="A383" s="51">
        <v>42829</v>
      </c>
      <c r="B383" s="174" t="s">
        <v>11897</v>
      </c>
      <c r="C383" s="175"/>
      <c r="D383" s="176" t="s">
        <v>11897</v>
      </c>
      <c r="E383" s="176">
        <v>106817</v>
      </c>
      <c r="F383" s="177" t="s">
        <v>182</v>
      </c>
      <c r="G383" s="178">
        <v>2150</v>
      </c>
      <c r="H383" s="179">
        <v>42830</v>
      </c>
      <c r="I383" s="178">
        <f t="shared" si="11"/>
        <v>2150</v>
      </c>
      <c r="J383" s="178">
        <f t="shared" si="12"/>
        <v>0</v>
      </c>
      <c r="K383" s="19"/>
    </row>
    <row r="384" spans="1:11" x14ac:dyDescent="0.25">
      <c r="A384" s="51">
        <v>42829</v>
      </c>
      <c r="B384" s="174" t="s">
        <v>11898</v>
      </c>
      <c r="C384" s="175"/>
      <c r="D384" s="176" t="s">
        <v>11898</v>
      </c>
      <c r="E384" s="176">
        <v>106818</v>
      </c>
      <c r="F384" s="177" t="s">
        <v>122</v>
      </c>
      <c r="G384" s="178">
        <v>26354.799999999999</v>
      </c>
      <c r="H384" s="179">
        <v>42837</v>
      </c>
      <c r="I384" s="178">
        <f t="shared" si="11"/>
        <v>26354.799999999999</v>
      </c>
      <c r="J384" s="178">
        <f t="shared" si="12"/>
        <v>0</v>
      </c>
      <c r="K384" s="19"/>
    </row>
    <row r="385" spans="1:11" x14ac:dyDescent="0.25">
      <c r="A385" s="51">
        <v>42829</v>
      </c>
      <c r="B385" s="174" t="s">
        <v>11899</v>
      </c>
      <c r="C385" s="175"/>
      <c r="D385" s="176" t="s">
        <v>11899</v>
      </c>
      <c r="E385" s="176">
        <v>106819</v>
      </c>
      <c r="F385" s="177" t="s">
        <v>122</v>
      </c>
      <c r="G385" s="178">
        <v>6583.5</v>
      </c>
      <c r="H385" s="179">
        <v>42837</v>
      </c>
      <c r="I385" s="178">
        <f t="shared" si="11"/>
        <v>6583.5</v>
      </c>
      <c r="J385" s="178">
        <f t="shared" si="12"/>
        <v>0</v>
      </c>
      <c r="K385" s="19"/>
    </row>
    <row r="386" spans="1:11" x14ac:dyDescent="0.25">
      <c r="A386" s="51">
        <v>42829</v>
      </c>
      <c r="B386" s="174" t="s">
        <v>11900</v>
      </c>
      <c r="C386" s="175"/>
      <c r="D386" s="176" t="s">
        <v>11900</v>
      </c>
      <c r="E386" s="176">
        <v>106820</v>
      </c>
      <c r="F386" s="177" t="s">
        <v>92</v>
      </c>
      <c r="G386" s="178">
        <v>348.3</v>
      </c>
      <c r="H386" s="179">
        <v>42829</v>
      </c>
      <c r="I386" s="178">
        <f t="shared" si="11"/>
        <v>348.3</v>
      </c>
      <c r="J386" s="178">
        <f t="shared" si="12"/>
        <v>0</v>
      </c>
      <c r="K386" s="19"/>
    </row>
    <row r="387" spans="1:11" x14ac:dyDescent="0.25">
      <c r="A387" s="51">
        <v>42829</v>
      </c>
      <c r="B387" s="174" t="s">
        <v>11901</v>
      </c>
      <c r="C387" s="175"/>
      <c r="D387" s="176" t="s">
        <v>11901</v>
      </c>
      <c r="E387" s="176">
        <v>106821</v>
      </c>
      <c r="F387" s="177" t="s">
        <v>109</v>
      </c>
      <c r="G387" s="178">
        <v>3886.9</v>
      </c>
      <c r="H387" s="179">
        <v>42829</v>
      </c>
      <c r="I387" s="178">
        <f t="shared" si="11"/>
        <v>3886.9</v>
      </c>
      <c r="J387" s="178">
        <f t="shared" si="12"/>
        <v>0</v>
      </c>
      <c r="K387" s="19"/>
    </row>
    <row r="388" spans="1:11" x14ac:dyDescent="0.25">
      <c r="A388" s="51">
        <v>42829</v>
      </c>
      <c r="B388" s="174" t="s">
        <v>11902</v>
      </c>
      <c r="C388" s="175"/>
      <c r="D388" s="176" t="s">
        <v>11902</v>
      </c>
      <c r="E388" s="176">
        <v>106822</v>
      </c>
      <c r="F388" s="177" t="s">
        <v>240</v>
      </c>
      <c r="G388" s="178">
        <v>4159.5</v>
      </c>
      <c r="H388" s="179">
        <v>42829</v>
      </c>
      <c r="I388" s="178">
        <f t="shared" ref="I388:I451" si="13">G388</f>
        <v>4159.5</v>
      </c>
      <c r="J388" s="178">
        <f t="shared" ref="J388:J451" si="14">G388-I388</f>
        <v>0</v>
      </c>
      <c r="K388" s="19"/>
    </row>
    <row r="389" spans="1:11" x14ac:dyDescent="0.25">
      <c r="A389" s="51">
        <v>42829</v>
      </c>
      <c r="B389" s="174" t="s">
        <v>11903</v>
      </c>
      <c r="C389" s="175"/>
      <c r="D389" s="176" t="s">
        <v>11903</v>
      </c>
      <c r="E389" s="176">
        <v>106823</v>
      </c>
      <c r="F389" s="177" t="s">
        <v>613</v>
      </c>
      <c r="G389" s="178">
        <v>4756.3999999999996</v>
      </c>
      <c r="H389" s="179">
        <v>42829</v>
      </c>
      <c r="I389" s="178">
        <f t="shared" si="13"/>
        <v>4756.3999999999996</v>
      </c>
      <c r="J389" s="178">
        <f t="shared" si="14"/>
        <v>0</v>
      </c>
      <c r="K389" s="19"/>
    </row>
    <row r="390" spans="1:11" x14ac:dyDescent="0.25">
      <c r="A390" s="51">
        <v>42829</v>
      </c>
      <c r="B390" s="174" t="s">
        <v>11904</v>
      </c>
      <c r="C390" s="175"/>
      <c r="D390" s="176" t="s">
        <v>11904</v>
      </c>
      <c r="E390" s="176">
        <v>106824</v>
      </c>
      <c r="F390" s="177" t="s">
        <v>1116</v>
      </c>
      <c r="G390" s="178">
        <v>4412.8999999999996</v>
      </c>
      <c r="H390" s="179">
        <v>42830</v>
      </c>
      <c r="I390" s="178">
        <f t="shared" si="13"/>
        <v>4412.8999999999996</v>
      </c>
      <c r="J390" s="178">
        <f t="shared" si="14"/>
        <v>0</v>
      </c>
      <c r="K390" s="19"/>
    </row>
    <row r="391" spans="1:11" x14ac:dyDescent="0.25">
      <c r="A391" s="51">
        <v>42829</v>
      </c>
      <c r="B391" s="174" t="s">
        <v>11905</v>
      </c>
      <c r="C391" s="175"/>
      <c r="D391" s="176" t="s">
        <v>11905</v>
      </c>
      <c r="E391" s="176">
        <v>106825</v>
      </c>
      <c r="F391" s="177" t="s">
        <v>118</v>
      </c>
      <c r="G391" s="178">
        <v>29609.599999999999</v>
      </c>
      <c r="H391" s="179">
        <v>42829</v>
      </c>
      <c r="I391" s="178">
        <f t="shared" si="13"/>
        <v>29609.599999999999</v>
      </c>
      <c r="J391" s="178">
        <f t="shared" si="14"/>
        <v>0</v>
      </c>
      <c r="K391" s="19"/>
    </row>
    <row r="392" spans="1:11" x14ac:dyDescent="0.25">
      <c r="A392" s="51">
        <v>42829</v>
      </c>
      <c r="B392" s="174" t="s">
        <v>11906</v>
      </c>
      <c r="C392" s="175"/>
      <c r="D392" s="176" t="s">
        <v>11906</v>
      </c>
      <c r="E392" s="176">
        <v>106826</v>
      </c>
      <c r="F392" s="177" t="s">
        <v>785</v>
      </c>
      <c r="G392" s="178">
        <v>5735.4</v>
      </c>
      <c r="H392" s="179">
        <v>42829</v>
      </c>
      <c r="I392" s="178">
        <f t="shared" si="13"/>
        <v>5735.4</v>
      </c>
      <c r="J392" s="178">
        <f t="shared" si="14"/>
        <v>0</v>
      </c>
      <c r="K392" s="19"/>
    </row>
    <row r="393" spans="1:11" x14ac:dyDescent="0.25">
      <c r="A393" s="51">
        <v>42829</v>
      </c>
      <c r="B393" s="174" t="s">
        <v>11907</v>
      </c>
      <c r="C393" s="175"/>
      <c r="D393" s="176" t="s">
        <v>11907</v>
      </c>
      <c r="E393" s="176">
        <v>106827</v>
      </c>
      <c r="F393" s="177" t="s">
        <v>785</v>
      </c>
      <c r="G393" s="178">
        <v>14250</v>
      </c>
      <c r="H393" s="179">
        <v>42829</v>
      </c>
      <c r="I393" s="178">
        <f t="shared" si="13"/>
        <v>14250</v>
      </c>
      <c r="J393" s="178">
        <f t="shared" si="14"/>
        <v>0</v>
      </c>
      <c r="K393" s="19"/>
    </row>
    <row r="394" spans="1:11" x14ac:dyDescent="0.25">
      <c r="A394" s="51">
        <v>42829</v>
      </c>
      <c r="B394" s="174" t="s">
        <v>11908</v>
      </c>
      <c r="C394" s="175"/>
      <c r="D394" s="176" t="s">
        <v>11908</v>
      </c>
      <c r="E394" s="176">
        <v>106828</v>
      </c>
      <c r="F394" s="177" t="s">
        <v>30</v>
      </c>
      <c r="G394" s="178">
        <v>3485.2</v>
      </c>
      <c r="H394" s="179">
        <v>42829</v>
      </c>
      <c r="I394" s="178">
        <f t="shared" si="13"/>
        <v>3485.2</v>
      </c>
      <c r="J394" s="178">
        <f t="shared" si="14"/>
        <v>0</v>
      </c>
      <c r="K394" s="19"/>
    </row>
    <row r="395" spans="1:11" x14ac:dyDescent="0.25">
      <c r="A395" s="51">
        <v>42829</v>
      </c>
      <c r="B395" s="174" t="s">
        <v>11909</v>
      </c>
      <c r="C395" s="175"/>
      <c r="D395" s="176" t="s">
        <v>11909</v>
      </c>
      <c r="E395" s="176">
        <v>106829</v>
      </c>
      <c r="F395" s="177" t="s">
        <v>785</v>
      </c>
      <c r="G395" s="178">
        <v>520</v>
      </c>
      <c r="H395" s="179">
        <v>42829</v>
      </c>
      <c r="I395" s="178">
        <f t="shared" si="13"/>
        <v>520</v>
      </c>
      <c r="J395" s="178">
        <f t="shared" si="14"/>
        <v>0</v>
      </c>
      <c r="K395" s="19"/>
    </row>
    <row r="396" spans="1:11" x14ac:dyDescent="0.25">
      <c r="A396" s="51">
        <v>42829</v>
      </c>
      <c r="B396" s="174" t="s">
        <v>11910</v>
      </c>
      <c r="C396" s="175"/>
      <c r="D396" s="176" t="s">
        <v>11910</v>
      </c>
      <c r="E396" s="176">
        <v>106830</v>
      </c>
      <c r="F396" s="177" t="s">
        <v>103</v>
      </c>
      <c r="G396" s="178">
        <v>3161.6</v>
      </c>
      <c r="H396" s="179">
        <v>42830</v>
      </c>
      <c r="I396" s="178">
        <f t="shared" si="13"/>
        <v>3161.6</v>
      </c>
      <c r="J396" s="178">
        <f t="shared" si="14"/>
        <v>0</v>
      </c>
      <c r="K396" s="19"/>
    </row>
    <row r="397" spans="1:11" x14ac:dyDescent="0.25">
      <c r="A397" s="51">
        <v>42829</v>
      </c>
      <c r="B397" s="174" t="s">
        <v>11911</v>
      </c>
      <c r="C397" s="175"/>
      <c r="D397" s="176" t="s">
        <v>11911</v>
      </c>
      <c r="E397" s="176">
        <v>106831</v>
      </c>
      <c r="F397" s="177" t="s">
        <v>122</v>
      </c>
      <c r="G397" s="178">
        <v>357.5</v>
      </c>
      <c r="H397" s="179">
        <v>42829</v>
      </c>
      <c r="I397" s="178">
        <f t="shared" si="13"/>
        <v>357.5</v>
      </c>
      <c r="J397" s="178">
        <f t="shared" si="14"/>
        <v>0</v>
      </c>
      <c r="K397" s="19"/>
    </row>
    <row r="398" spans="1:11" x14ac:dyDescent="0.25">
      <c r="A398" s="51">
        <v>42829</v>
      </c>
      <c r="B398" s="174" t="s">
        <v>11912</v>
      </c>
      <c r="C398" s="175"/>
      <c r="D398" s="176" t="s">
        <v>11912</v>
      </c>
      <c r="E398" s="176">
        <v>106832</v>
      </c>
      <c r="F398" s="182" t="s">
        <v>30</v>
      </c>
      <c r="G398" s="183">
        <v>0</v>
      </c>
      <c r="H398" s="184" t="s">
        <v>95</v>
      </c>
      <c r="I398" s="183">
        <f t="shared" si="13"/>
        <v>0</v>
      </c>
      <c r="J398" s="183">
        <f t="shared" si="14"/>
        <v>0</v>
      </c>
      <c r="K398" s="19"/>
    </row>
    <row r="399" spans="1:11" x14ac:dyDescent="0.25">
      <c r="A399" s="51">
        <v>42829</v>
      </c>
      <c r="B399" s="174" t="s">
        <v>11913</v>
      </c>
      <c r="C399" s="175"/>
      <c r="D399" s="176" t="s">
        <v>11913</v>
      </c>
      <c r="E399" s="176">
        <v>106833</v>
      </c>
      <c r="F399" s="182" t="s">
        <v>30</v>
      </c>
      <c r="G399" s="183">
        <v>0</v>
      </c>
      <c r="H399" s="184" t="s">
        <v>95</v>
      </c>
      <c r="I399" s="183">
        <f t="shared" si="13"/>
        <v>0</v>
      </c>
      <c r="J399" s="183">
        <f t="shared" si="14"/>
        <v>0</v>
      </c>
      <c r="K399" s="19"/>
    </row>
    <row r="400" spans="1:11" x14ac:dyDescent="0.25">
      <c r="A400" s="51">
        <v>42829</v>
      </c>
      <c r="B400" s="174" t="s">
        <v>11914</v>
      </c>
      <c r="C400" s="175"/>
      <c r="D400" s="176" t="s">
        <v>11914</v>
      </c>
      <c r="E400" s="176">
        <v>106834</v>
      </c>
      <c r="F400" s="177" t="s">
        <v>435</v>
      </c>
      <c r="G400" s="178">
        <v>770</v>
      </c>
      <c r="H400" s="179">
        <v>42830</v>
      </c>
      <c r="I400" s="178">
        <f t="shared" si="13"/>
        <v>770</v>
      </c>
      <c r="J400" s="178">
        <f t="shared" si="14"/>
        <v>0</v>
      </c>
      <c r="K400" s="19"/>
    </row>
    <row r="401" spans="1:11" x14ac:dyDescent="0.25">
      <c r="A401" s="51">
        <v>42829</v>
      </c>
      <c r="B401" s="174" t="s">
        <v>11915</v>
      </c>
      <c r="C401" s="175"/>
      <c r="D401" s="176" t="s">
        <v>11915</v>
      </c>
      <c r="E401" s="176">
        <v>106835</v>
      </c>
      <c r="F401" s="177" t="s">
        <v>1989</v>
      </c>
      <c r="G401" s="178">
        <v>2095.6</v>
      </c>
      <c r="H401" s="179">
        <v>42829</v>
      </c>
      <c r="I401" s="178">
        <f t="shared" si="13"/>
        <v>2095.6</v>
      </c>
      <c r="J401" s="178">
        <f t="shared" si="14"/>
        <v>0</v>
      </c>
      <c r="K401" s="19"/>
    </row>
    <row r="402" spans="1:11" x14ac:dyDescent="0.25">
      <c r="A402" s="51">
        <v>42829</v>
      </c>
      <c r="B402" s="174" t="s">
        <v>11916</v>
      </c>
      <c r="C402" s="175"/>
      <c r="D402" s="176" t="s">
        <v>11916</v>
      </c>
      <c r="E402" s="176">
        <v>106836</v>
      </c>
      <c r="F402" s="177" t="s">
        <v>268</v>
      </c>
      <c r="G402" s="178">
        <v>13553.1</v>
      </c>
      <c r="H402" s="179">
        <v>42832</v>
      </c>
      <c r="I402" s="178">
        <f t="shared" si="13"/>
        <v>13553.1</v>
      </c>
      <c r="J402" s="178">
        <f t="shared" si="14"/>
        <v>0</v>
      </c>
      <c r="K402" s="19"/>
    </row>
    <row r="403" spans="1:11" x14ac:dyDescent="0.25">
      <c r="A403" s="51">
        <v>42829</v>
      </c>
      <c r="B403" s="174" t="s">
        <v>11917</v>
      </c>
      <c r="C403" s="175"/>
      <c r="D403" s="176" t="s">
        <v>11917</v>
      </c>
      <c r="E403" s="176">
        <v>106837</v>
      </c>
      <c r="F403" s="177" t="s">
        <v>432</v>
      </c>
      <c r="G403" s="178">
        <v>13589.4</v>
      </c>
      <c r="H403" s="179">
        <v>42832</v>
      </c>
      <c r="I403" s="178">
        <f t="shared" si="13"/>
        <v>13589.4</v>
      </c>
      <c r="J403" s="178">
        <f t="shared" si="14"/>
        <v>0</v>
      </c>
      <c r="K403" s="19"/>
    </row>
    <row r="404" spans="1:11" x14ac:dyDescent="0.25">
      <c r="A404" s="51">
        <v>42829</v>
      </c>
      <c r="B404" s="174" t="s">
        <v>11918</v>
      </c>
      <c r="C404" s="175"/>
      <c r="D404" s="176" t="s">
        <v>11918</v>
      </c>
      <c r="E404" s="176">
        <v>106838</v>
      </c>
      <c r="F404" s="177" t="s">
        <v>442</v>
      </c>
      <c r="G404" s="178">
        <v>2986.5</v>
      </c>
      <c r="H404" s="179">
        <v>42830</v>
      </c>
      <c r="I404" s="178">
        <f t="shared" si="13"/>
        <v>2986.5</v>
      </c>
      <c r="J404" s="178">
        <f t="shared" si="14"/>
        <v>0</v>
      </c>
      <c r="K404" s="19"/>
    </row>
    <row r="405" spans="1:11" x14ac:dyDescent="0.25">
      <c r="A405" s="51">
        <v>42829</v>
      </c>
      <c r="B405" s="174" t="s">
        <v>11919</v>
      </c>
      <c r="C405" s="175"/>
      <c r="D405" s="176" t="s">
        <v>11919</v>
      </c>
      <c r="E405" s="176">
        <v>106839</v>
      </c>
      <c r="F405" s="177" t="s">
        <v>876</v>
      </c>
      <c r="G405" s="178">
        <v>3092.1</v>
      </c>
      <c r="H405" s="179">
        <v>42837</v>
      </c>
      <c r="I405" s="178">
        <f t="shared" si="13"/>
        <v>3092.1</v>
      </c>
      <c r="J405" s="178">
        <f t="shared" si="14"/>
        <v>0</v>
      </c>
      <c r="K405" s="19"/>
    </row>
    <row r="406" spans="1:11" x14ac:dyDescent="0.25">
      <c r="A406" s="51">
        <v>42829</v>
      </c>
      <c r="B406" s="174" t="s">
        <v>11920</v>
      </c>
      <c r="C406" s="175"/>
      <c r="D406" s="176" t="s">
        <v>11920</v>
      </c>
      <c r="E406" s="176">
        <v>106840</v>
      </c>
      <c r="F406" s="177" t="s">
        <v>270</v>
      </c>
      <c r="G406" s="178">
        <v>1906</v>
      </c>
      <c r="H406" s="179">
        <v>42832</v>
      </c>
      <c r="I406" s="178">
        <f t="shared" si="13"/>
        <v>1906</v>
      </c>
      <c r="J406" s="178">
        <f t="shared" si="14"/>
        <v>0</v>
      </c>
      <c r="K406" s="19"/>
    </row>
    <row r="407" spans="1:11" x14ac:dyDescent="0.25">
      <c r="A407" s="51">
        <v>42829</v>
      </c>
      <c r="B407" s="174" t="s">
        <v>11921</v>
      </c>
      <c r="C407" s="175"/>
      <c r="D407" s="176" t="s">
        <v>11921</v>
      </c>
      <c r="E407" s="176">
        <v>106841</v>
      </c>
      <c r="F407" s="177" t="s">
        <v>274</v>
      </c>
      <c r="G407" s="178">
        <v>3920.4</v>
      </c>
      <c r="H407" s="179">
        <v>42838</v>
      </c>
      <c r="I407" s="178">
        <f t="shared" si="13"/>
        <v>3920.4</v>
      </c>
      <c r="J407" s="178">
        <f t="shared" si="14"/>
        <v>0</v>
      </c>
      <c r="K407" s="19"/>
    </row>
    <row r="408" spans="1:11" x14ac:dyDescent="0.25">
      <c r="A408" s="51">
        <v>42829</v>
      </c>
      <c r="B408" s="174" t="s">
        <v>11922</v>
      </c>
      <c r="C408" s="175"/>
      <c r="D408" s="176" t="s">
        <v>11922</v>
      </c>
      <c r="E408" s="176">
        <v>106842</v>
      </c>
      <c r="F408" s="177" t="s">
        <v>30</v>
      </c>
      <c r="G408" s="178">
        <v>84</v>
      </c>
      <c r="H408" s="179">
        <v>42829</v>
      </c>
      <c r="I408" s="178">
        <f t="shared" si="13"/>
        <v>84</v>
      </c>
      <c r="J408" s="178">
        <f t="shared" si="14"/>
        <v>0</v>
      </c>
      <c r="K408" s="19"/>
    </row>
    <row r="409" spans="1:11" x14ac:dyDescent="0.25">
      <c r="A409" s="51">
        <v>42829</v>
      </c>
      <c r="B409" s="174" t="s">
        <v>11923</v>
      </c>
      <c r="C409" s="175"/>
      <c r="D409" s="176" t="s">
        <v>11923</v>
      </c>
      <c r="E409" s="176">
        <v>106843</v>
      </c>
      <c r="F409" s="177" t="s">
        <v>30</v>
      </c>
      <c r="G409" s="178">
        <v>185</v>
      </c>
      <c r="H409" s="179"/>
      <c r="I409" s="178">
        <f t="shared" si="13"/>
        <v>185</v>
      </c>
      <c r="J409" s="178">
        <f t="shared" si="14"/>
        <v>0</v>
      </c>
      <c r="K409" s="19"/>
    </row>
    <row r="410" spans="1:11" x14ac:dyDescent="0.25">
      <c r="A410" s="51">
        <v>42829</v>
      </c>
      <c r="B410" s="174" t="s">
        <v>11924</v>
      </c>
      <c r="C410" s="175"/>
      <c r="D410" s="176" t="s">
        <v>11924</v>
      </c>
      <c r="E410" s="176">
        <v>106844</v>
      </c>
      <c r="F410" s="177" t="s">
        <v>30</v>
      </c>
      <c r="G410" s="178">
        <v>370</v>
      </c>
      <c r="H410" s="179">
        <v>42830</v>
      </c>
      <c r="I410" s="178">
        <f t="shared" si="13"/>
        <v>370</v>
      </c>
      <c r="J410" s="178">
        <f t="shared" si="14"/>
        <v>0</v>
      </c>
      <c r="K410" s="19"/>
    </row>
    <row r="411" spans="1:11" x14ac:dyDescent="0.25">
      <c r="A411" s="51">
        <v>42829</v>
      </c>
      <c r="B411" s="174" t="s">
        <v>11925</v>
      </c>
      <c r="C411" s="175"/>
      <c r="D411" s="176" t="s">
        <v>11925</v>
      </c>
      <c r="E411" s="176">
        <v>106845</v>
      </c>
      <c r="F411" s="177" t="s">
        <v>30</v>
      </c>
      <c r="G411" s="178">
        <v>370</v>
      </c>
      <c r="H411" s="179">
        <v>42830</v>
      </c>
      <c r="I411" s="178">
        <f t="shared" si="13"/>
        <v>370</v>
      </c>
      <c r="J411" s="178">
        <f t="shared" si="14"/>
        <v>0</v>
      </c>
      <c r="K411" s="19"/>
    </row>
    <row r="412" spans="1:11" x14ac:dyDescent="0.25">
      <c r="A412" s="51">
        <v>42829</v>
      </c>
      <c r="B412" s="174" t="s">
        <v>11926</v>
      </c>
      <c r="C412" s="175"/>
      <c r="D412" s="176" t="s">
        <v>11926</v>
      </c>
      <c r="E412" s="176">
        <v>106846</v>
      </c>
      <c r="F412" s="177" t="s">
        <v>193</v>
      </c>
      <c r="G412" s="178">
        <v>1709.4</v>
      </c>
      <c r="H412" s="179">
        <v>42830</v>
      </c>
      <c r="I412" s="178">
        <f t="shared" si="13"/>
        <v>1709.4</v>
      </c>
      <c r="J412" s="178">
        <f t="shared" si="14"/>
        <v>0</v>
      </c>
      <c r="K412" s="19"/>
    </row>
    <row r="413" spans="1:11" x14ac:dyDescent="0.25">
      <c r="A413" s="51">
        <v>42829</v>
      </c>
      <c r="B413" s="174" t="s">
        <v>11927</v>
      </c>
      <c r="C413" s="175"/>
      <c r="D413" s="176" t="s">
        <v>11927</v>
      </c>
      <c r="E413" s="176">
        <v>106847</v>
      </c>
      <c r="F413" s="177" t="s">
        <v>693</v>
      </c>
      <c r="G413" s="178">
        <v>5930</v>
      </c>
      <c r="H413" s="179">
        <v>42846</v>
      </c>
      <c r="I413" s="178">
        <f t="shared" si="13"/>
        <v>5930</v>
      </c>
      <c r="J413" s="178">
        <f t="shared" si="14"/>
        <v>0</v>
      </c>
      <c r="K413" s="19"/>
    </row>
    <row r="414" spans="1:11" x14ac:dyDescent="0.25">
      <c r="A414" s="51">
        <v>42829</v>
      </c>
      <c r="B414" s="174" t="s">
        <v>11928</v>
      </c>
      <c r="C414" s="175"/>
      <c r="D414" s="176" t="s">
        <v>11928</v>
      </c>
      <c r="E414" s="176">
        <v>106848</v>
      </c>
      <c r="F414" s="177" t="s">
        <v>2986</v>
      </c>
      <c r="G414" s="178">
        <v>2583</v>
      </c>
      <c r="H414" s="179">
        <v>42829</v>
      </c>
      <c r="I414" s="178">
        <f t="shared" si="13"/>
        <v>2583</v>
      </c>
      <c r="J414" s="178">
        <f t="shared" si="14"/>
        <v>0</v>
      </c>
      <c r="K414" s="19"/>
    </row>
    <row r="415" spans="1:11" x14ac:dyDescent="0.25">
      <c r="A415" s="51">
        <v>42829</v>
      </c>
      <c r="B415" s="174" t="s">
        <v>11929</v>
      </c>
      <c r="C415" s="175"/>
      <c r="D415" s="176" t="s">
        <v>11929</v>
      </c>
      <c r="E415" s="176">
        <v>106849</v>
      </c>
      <c r="F415" s="177" t="s">
        <v>198</v>
      </c>
      <c r="G415" s="178">
        <v>3344.5</v>
      </c>
      <c r="H415" s="179">
        <v>42830</v>
      </c>
      <c r="I415" s="178">
        <f t="shared" si="13"/>
        <v>3344.5</v>
      </c>
      <c r="J415" s="178">
        <f t="shared" si="14"/>
        <v>0</v>
      </c>
      <c r="K415" s="19"/>
    </row>
    <row r="416" spans="1:11" x14ac:dyDescent="0.25">
      <c r="A416" s="51">
        <v>42829</v>
      </c>
      <c r="B416" s="174" t="s">
        <v>11930</v>
      </c>
      <c r="C416" s="175"/>
      <c r="D416" s="176" t="s">
        <v>11930</v>
      </c>
      <c r="E416" s="176">
        <v>106850</v>
      </c>
      <c r="F416" s="177" t="s">
        <v>57</v>
      </c>
      <c r="G416" s="178">
        <v>516</v>
      </c>
      <c r="H416" s="179">
        <v>42830</v>
      </c>
      <c r="I416" s="178">
        <f t="shared" si="13"/>
        <v>516</v>
      </c>
      <c r="J416" s="178">
        <f t="shared" si="14"/>
        <v>0</v>
      </c>
      <c r="K416" s="19"/>
    </row>
    <row r="417" spans="1:11" x14ac:dyDescent="0.25">
      <c r="A417" s="51">
        <v>42829</v>
      </c>
      <c r="B417" s="174" t="s">
        <v>11931</v>
      </c>
      <c r="C417" s="175"/>
      <c r="D417" s="176" t="s">
        <v>11931</v>
      </c>
      <c r="E417" s="176">
        <v>106851</v>
      </c>
      <c r="F417" s="177" t="s">
        <v>633</v>
      </c>
      <c r="G417" s="178">
        <v>418.2</v>
      </c>
      <c r="H417" s="179">
        <v>42830</v>
      </c>
      <c r="I417" s="178">
        <f t="shared" si="13"/>
        <v>418.2</v>
      </c>
      <c r="J417" s="178">
        <f t="shared" si="14"/>
        <v>0</v>
      </c>
      <c r="K417" s="19"/>
    </row>
    <row r="418" spans="1:11" x14ac:dyDescent="0.25">
      <c r="A418" s="51">
        <v>42829</v>
      </c>
      <c r="B418" s="174" t="s">
        <v>11932</v>
      </c>
      <c r="C418" s="175"/>
      <c r="D418" s="176" t="s">
        <v>11932</v>
      </c>
      <c r="E418" s="176">
        <v>106852</v>
      </c>
      <c r="F418" s="177" t="s">
        <v>45</v>
      </c>
      <c r="G418" s="178">
        <v>2156.6</v>
      </c>
      <c r="H418" s="179">
        <v>42830</v>
      </c>
      <c r="I418" s="178">
        <f t="shared" si="13"/>
        <v>2156.6</v>
      </c>
      <c r="J418" s="178">
        <f t="shared" si="14"/>
        <v>0</v>
      </c>
      <c r="K418" s="19"/>
    </row>
    <row r="419" spans="1:11" x14ac:dyDescent="0.25">
      <c r="A419" s="51">
        <v>42829</v>
      </c>
      <c r="B419" s="174" t="s">
        <v>11933</v>
      </c>
      <c r="C419" s="175"/>
      <c r="D419" s="176" t="s">
        <v>11933</v>
      </c>
      <c r="E419" s="176">
        <v>106853</v>
      </c>
      <c r="F419" s="177" t="s">
        <v>53</v>
      </c>
      <c r="G419" s="178">
        <v>1406.3</v>
      </c>
      <c r="H419" s="179">
        <v>42830</v>
      </c>
      <c r="I419" s="178">
        <f t="shared" si="13"/>
        <v>1406.3</v>
      </c>
      <c r="J419" s="178">
        <f t="shared" si="14"/>
        <v>0</v>
      </c>
      <c r="K419" s="19"/>
    </row>
    <row r="420" spans="1:11" x14ac:dyDescent="0.25">
      <c r="A420" s="51">
        <v>42829</v>
      </c>
      <c r="B420" s="174" t="s">
        <v>11934</v>
      </c>
      <c r="C420" s="175"/>
      <c r="D420" s="176" t="s">
        <v>11934</v>
      </c>
      <c r="E420" s="176">
        <v>106854</v>
      </c>
      <c r="F420" s="177" t="s">
        <v>298</v>
      </c>
      <c r="G420" s="178">
        <v>3263.7</v>
      </c>
      <c r="H420" s="179">
        <v>42829</v>
      </c>
      <c r="I420" s="178">
        <f t="shared" si="13"/>
        <v>3263.7</v>
      </c>
      <c r="J420" s="178">
        <f t="shared" si="14"/>
        <v>0</v>
      </c>
      <c r="K420" s="19"/>
    </row>
    <row r="421" spans="1:11" x14ac:dyDescent="0.25">
      <c r="A421" s="51">
        <v>42829</v>
      </c>
      <c r="B421" s="174" t="s">
        <v>11935</v>
      </c>
      <c r="C421" s="175"/>
      <c r="D421" s="176" t="s">
        <v>11935</v>
      </c>
      <c r="E421" s="176">
        <v>106855</v>
      </c>
      <c r="F421" s="177" t="s">
        <v>1166</v>
      </c>
      <c r="G421" s="178">
        <v>1055.5999999999999</v>
      </c>
      <c r="H421" s="179">
        <v>42830</v>
      </c>
      <c r="I421" s="178">
        <f t="shared" si="13"/>
        <v>1055.5999999999999</v>
      </c>
      <c r="J421" s="178">
        <f t="shared" si="14"/>
        <v>0</v>
      </c>
      <c r="K421" s="19"/>
    </row>
    <row r="422" spans="1:11" x14ac:dyDescent="0.25">
      <c r="A422" s="51">
        <v>42829</v>
      </c>
      <c r="B422" s="174" t="s">
        <v>11936</v>
      </c>
      <c r="C422" s="175"/>
      <c r="D422" s="176" t="s">
        <v>11936</v>
      </c>
      <c r="E422" s="176">
        <v>106856</v>
      </c>
      <c r="F422" s="177" t="s">
        <v>85</v>
      </c>
      <c r="G422" s="178">
        <v>11492</v>
      </c>
      <c r="H422" s="179">
        <v>42831</v>
      </c>
      <c r="I422" s="178">
        <f t="shared" si="13"/>
        <v>11492</v>
      </c>
      <c r="J422" s="178">
        <f t="shared" si="14"/>
        <v>0</v>
      </c>
      <c r="K422" s="19"/>
    </row>
    <row r="423" spans="1:11" x14ac:dyDescent="0.25">
      <c r="A423" s="51">
        <v>42829</v>
      </c>
      <c r="B423" s="174" t="s">
        <v>11937</v>
      </c>
      <c r="C423" s="175"/>
      <c r="D423" s="176" t="s">
        <v>11937</v>
      </c>
      <c r="E423" s="176">
        <v>106857</v>
      </c>
      <c r="F423" s="177" t="s">
        <v>298</v>
      </c>
      <c r="G423" s="178">
        <v>117.6</v>
      </c>
      <c r="H423" s="179">
        <v>42829</v>
      </c>
      <c r="I423" s="178">
        <f t="shared" si="13"/>
        <v>117.6</v>
      </c>
      <c r="J423" s="178">
        <f t="shared" si="14"/>
        <v>0</v>
      </c>
      <c r="K423" s="19"/>
    </row>
    <row r="424" spans="1:11" x14ac:dyDescent="0.25">
      <c r="A424" s="51">
        <v>42829</v>
      </c>
      <c r="B424" s="174" t="s">
        <v>11938</v>
      </c>
      <c r="C424" s="175"/>
      <c r="D424" s="176" t="s">
        <v>11938</v>
      </c>
      <c r="E424" s="176">
        <v>106858</v>
      </c>
      <c r="F424" s="177" t="s">
        <v>236</v>
      </c>
      <c r="G424" s="178">
        <v>30972</v>
      </c>
      <c r="H424" s="179">
        <v>42838</v>
      </c>
      <c r="I424" s="178">
        <f t="shared" si="13"/>
        <v>30972</v>
      </c>
      <c r="J424" s="178">
        <f t="shared" si="14"/>
        <v>0</v>
      </c>
      <c r="K424" s="19"/>
    </row>
    <row r="425" spans="1:11" x14ac:dyDescent="0.25">
      <c r="A425" s="51">
        <v>42829</v>
      </c>
      <c r="B425" s="174" t="s">
        <v>11939</v>
      </c>
      <c r="C425" s="175"/>
      <c r="D425" s="176" t="s">
        <v>11939</v>
      </c>
      <c r="E425" s="176">
        <v>106859</v>
      </c>
      <c r="F425" s="177" t="s">
        <v>693</v>
      </c>
      <c r="G425" s="178">
        <v>10888</v>
      </c>
      <c r="H425" s="179">
        <v>42846</v>
      </c>
      <c r="I425" s="178">
        <f t="shared" si="13"/>
        <v>10888</v>
      </c>
      <c r="J425" s="178">
        <f t="shared" si="14"/>
        <v>0</v>
      </c>
      <c r="K425" s="19"/>
    </row>
    <row r="426" spans="1:11" x14ac:dyDescent="0.25">
      <c r="A426" s="51">
        <v>42829</v>
      </c>
      <c r="B426" s="174" t="s">
        <v>11940</v>
      </c>
      <c r="C426" s="175"/>
      <c r="D426" s="176" t="s">
        <v>11940</v>
      </c>
      <c r="E426" s="176">
        <v>106860</v>
      </c>
      <c r="F426" s="177" t="s">
        <v>472</v>
      </c>
      <c r="G426" s="178">
        <v>11422.4</v>
      </c>
      <c r="H426" s="179">
        <v>42837</v>
      </c>
      <c r="I426" s="178">
        <f t="shared" si="13"/>
        <v>11422.4</v>
      </c>
      <c r="J426" s="178">
        <f t="shared" si="14"/>
        <v>0</v>
      </c>
      <c r="K426" s="19"/>
    </row>
    <row r="427" spans="1:11" x14ac:dyDescent="0.25">
      <c r="A427" s="51">
        <v>42829</v>
      </c>
      <c r="B427" s="174" t="s">
        <v>11941</v>
      </c>
      <c r="C427" s="175"/>
      <c r="D427" s="176" t="s">
        <v>11941</v>
      </c>
      <c r="E427" s="176">
        <v>106861</v>
      </c>
      <c r="F427" s="177" t="s">
        <v>159</v>
      </c>
      <c r="G427" s="178">
        <v>9666.6</v>
      </c>
      <c r="H427" s="179">
        <v>42830</v>
      </c>
      <c r="I427" s="178">
        <f t="shared" si="13"/>
        <v>9666.6</v>
      </c>
      <c r="J427" s="178">
        <f t="shared" si="14"/>
        <v>0</v>
      </c>
      <c r="K427" s="19"/>
    </row>
    <row r="428" spans="1:11" x14ac:dyDescent="0.25">
      <c r="A428" s="51">
        <v>42829</v>
      </c>
      <c r="B428" s="174" t="s">
        <v>11942</v>
      </c>
      <c r="C428" s="175"/>
      <c r="D428" s="176" t="s">
        <v>11942</v>
      </c>
      <c r="E428" s="176">
        <v>106862</v>
      </c>
      <c r="F428" s="177" t="s">
        <v>305</v>
      </c>
      <c r="G428" s="178">
        <v>1114.3</v>
      </c>
      <c r="H428" s="179">
        <v>42831</v>
      </c>
      <c r="I428" s="178">
        <f t="shared" si="13"/>
        <v>1114.3</v>
      </c>
      <c r="J428" s="178">
        <f t="shared" si="14"/>
        <v>0</v>
      </c>
      <c r="K428" s="19"/>
    </row>
    <row r="429" spans="1:11" x14ac:dyDescent="0.25">
      <c r="A429" s="51">
        <v>42829</v>
      </c>
      <c r="B429" s="174" t="s">
        <v>11943</v>
      </c>
      <c r="C429" s="175"/>
      <c r="D429" s="176" t="s">
        <v>11943</v>
      </c>
      <c r="E429" s="176">
        <v>106863</v>
      </c>
      <c r="F429" s="177" t="s">
        <v>879</v>
      </c>
      <c r="G429" s="178">
        <v>2576</v>
      </c>
      <c r="H429" s="179">
        <v>42829</v>
      </c>
      <c r="I429" s="178">
        <f t="shared" si="13"/>
        <v>2576</v>
      </c>
      <c r="J429" s="178">
        <f t="shared" si="14"/>
        <v>0</v>
      </c>
      <c r="K429" s="19"/>
    </row>
    <row r="430" spans="1:11" x14ac:dyDescent="0.25">
      <c r="A430" s="51">
        <v>42829</v>
      </c>
      <c r="B430" s="174" t="s">
        <v>11944</v>
      </c>
      <c r="C430" s="175"/>
      <c r="D430" s="176" t="s">
        <v>11944</v>
      </c>
      <c r="E430" s="176">
        <v>106864</v>
      </c>
      <c r="F430" s="177" t="s">
        <v>3219</v>
      </c>
      <c r="G430" s="178">
        <v>76636.800000000003</v>
      </c>
      <c r="H430" s="179">
        <v>42830</v>
      </c>
      <c r="I430" s="178">
        <f t="shared" si="13"/>
        <v>76636.800000000003</v>
      </c>
      <c r="J430" s="178">
        <f t="shared" si="14"/>
        <v>0</v>
      </c>
      <c r="K430" s="19"/>
    </row>
    <row r="431" spans="1:11" x14ac:dyDescent="0.25">
      <c r="A431" s="51">
        <v>42829</v>
      </c>
      <c r="B431" s="174" t="s">
        <v>11945</v>
      </c>
      <c r="C431" s="175"/>
      <c r="D431" s="176" t="s">
        <v>11945</v>
      </c>
      <c r="E431" s="176">
        <v>106865</v>
      </c>
      <c r="F431" s="182" t="s">
        <v>10</v>
      </c>
      <c r="G431" s="183">
        <v>0</v>
      </c>
      <c r="H431" s="184" t="s">
        <v>95</v>
      </c>
      <c r="I431" s="183">
        <f t="shared" si="13"/>
        <v>0</v>
      </c>
      <c r="J431" s="183">
        <f t="shared" si="14"/>
        <v>0</v>
      </c>
      <c r="K431" s="19"/>
    </row>
    <row r="432" spans="1:11" x14ac:dyDescent="0.25">
      <c r="A432" s="51">
        <v>42829</v>
      </c>
      <c r="B432" s="174" t="s">
        <v>11946</v>
      </c>
      <c r="C432" s="175"/>
      <c r="D432" s="176" t="s">
        <v>11946</v>
      </c>
      <c r="E432" s="176">
        <v>106866</v>
      </c>
      <c r="F432" s="177" t="s">
        <v>10</v>
      </c>
      <c r="G432" s="178">
        <v>182270.4</v>
      </c>
      <c r="H432" s="179">
        <v>42833</v>
      </c>
      <c r="I432" s="178">
        <f t="shared" si="13"/>
        <v>182270.4</v>
      </c>
      <c r="J432" s="178">
        <f t="shared" si="14"/>
        <v>0</v>
      </c>
      <c r="K432" s="19"/>
    </row>
    <row r="433" spans="1:11" x14ac:dyDescent="0.25">
      <c r="A433" s="51">
        <v>42829</v>
      </c>
      <c r="B433" s="174" t="s">
        <v>11947</v>
      </c>
      <c r="C433" s="175"/>
      <c r="D433" s="176" t="s">
        <v>11947</v>
      </c>
      <c r="E433" s="176">
        <v>106867</v>
      </c>
      <c r="F433" s="182" t="s">
        <v>10</v>
      </c>
      <c r="G433" s="183">
        <v>0</v>
      </c>
      <c r="H433" s="184" t="s">
        <v>95</v>
      </c>
      <c r="I433" s="183">
        <f t="shared" si="13"/>
        <v>0</v>
      </c>
      <c r="J433" s="183">
        <f t="shared" si="14"/>
        <v>0</v>
      </c>
      <c r="K433" s="19"/>
    </row>
    <row r="434" spans="1:11" x14ac:dyDescent="0.25">
      <c r="A434" s="51">
        <v>42829</v>
      </c>
      <c r="B434" s="174" t="s">
        <v>11948</v>
      </c>
      <c r="C434" s="175"/>
      <c r="D434" s="176" t="s">
        <v>11948</v>
      </c>
      <c r="E434" s="176">
        <v>106868</v>
      </c>
      <c r="F434" s="177" t="s">
        <v>7954</v>
      </c>
      <c r="G434" s="178">
        <v>1434</v>
      </c>
      <c r="H434" s="179">
        <v>42829</v>
      </c>
      <c r="I434" s="178">
        <f t="shared" si="13"/>
        <v>1434</v>
      </c>
      <c r="J434" s="178">
        <f t="shared" si="14"/>
        <v>0</v>
      </c>
      <c r="K434" s="19"/>
    </row>
    <row r="435" spans="1:11" x14ac:dyDescent="0.25">
      <c r="A435" s="51">
        <v>42829</v>
      </c>
      <c r="B435" s="174" t="s">
        <v>11949</v>
      </c>
      <c r="C435" s="175"/>
      <c r="D435" s="176" t="s">
        <v>11949</v>
      </c>
      <c r="E435" s="176">
        <v>106869</v>
      </c>
      <c r="F435" s="177" t="s">
        <v>10</v>
      </c>
      <c r="G435" s="178">
        <v>78951.8</v>
      </c>
      <c r="H435" s="179"/>
      <c r="I435" s="178">
        <f t="shared" si="13"/>
        <v>78951.8</v>
      </c>
      <c r="J435" s="178">
        <f t="shared" si="14"/>
        <v>0</v>
      </c>
      <c r="K435" s="19"/>
    </row>
    <row r="436" spans="1:11" x14ac:dyDescent="0.25">
      <c r="A436" s="51">
        <v>42829</v>
      </c>
      <c r="B436" s="174" t="s">
        <v>11950</v>
      </c>
      <c r="C436" s="175"/>
      <c r="D436" s="176" t="s">
        <v>11950</v>
      </c>
      <c r="E436" s="176">
        <v>106870</v>
      </c>
      <c r="F436" s="177" t="s">
        <v>10</v>
      </c>
      <c r="G436" s="178">
        <v>6258</v>
      </c>
      <c r="H436" s="179">
        <v>42833</v>
      </c>
      <c r="I436" s="178">
        <f t="shared" si="13"/>
        <v>6258</v>
      </c>
      <c r="J436" s="178">
        <f t="shared" si="14"/>
        <v>0</v>
      </c>
      <c r="K436" s="19"/>
    </row>
    <row r="437" spans="1:11" x14ac:dyDescent="0.25">
      <c r="A437" s="51">
        <v>42829</v>
      </c>
      <c r="B437" s="174" t="s">
        <v>11951</v>
      </c>
      <c r="C437" s="175"/>
      <c r="D437" s="176" t="s">
        <v>11951</v>
      </c>
      <c r="E437" s="176">
        <v>106871</v>
      </c>
      <c r="F437" s="177" t="s">
        <v>30</v>
      </c>
      <c r="G437" s="178">
        <v>370</v>
      </c>
      <c r="H437" s="179">
        <v>42829</v>
      </c>
      <c r="I437" s="178">
        <f t="shared" si="13"/>
        <v>370</v>
      </c>
      <c r="J437" s="178">
        <f t="shared" si="14"/>
        <v>0</v>
      </c>
      <c r="K437" s="19"/>
    </row>
    <row r="438" spans="1:11" x14ac:dyDescent="0.25">
      <c r="A438" s="51">
        <v>42829</v>
      </c>
      <c r="B438" s="174" t="s">
        <v>11952</v>
      </c>
      <c r="C438" s="175"/>
      <c r="D438" s="176" t="s">
        <v>11952</v>
      </c>
      <c r="E438" s="176">
        <v>106872</v>
      </c>
      <c r="F438" s="177" t="s">
        <v>9110</v>
      </c>
      <c r="G438" s="178">
        <v>29145.599999999999</v>
      </c>
      <c r="H438" s="179">
        <v>42829</v>
      </c>
      <c r="I438" s="178">
        <f t="shared" si="13"/>
        <v>29145.599999999999</v>
      </c>
      <c r="J438" s="178">
        <f t="shared" si="14"/>
        <v>0</v>
      </c>
      <c r="K438" s="19"/>
    </row>
    <row r="439" spans="1:11" x14ac:dyDescent="0.25">
      <c r="A439" s="51">
        <v>42829</v>
      </c>
      <c r="B439" s="174" t="s">
        <v>11953</v>
      </c>
      <c r="C439" s="175"/>
      <c r="D439" s="176" t="s">
        <v>11953</v>
      </c>
      <c r="E439" s="176">
        <v>106873</v>
      </c>
      <c r="F439" s="177" t="s">
        <v>352</v>
      </c>
      <c r="G439" s="178">
        <v>3834.2</v>
      </c>
      <c r="H439" s="179">
        <v>42829</v>
      </c>
      <c r="I439" s="178">
        <f t="shared" si="13"/>
        <v>3834.2</v>
      </c>
      <c r="J439" s="178">
        <f t="shared" si="14"/>
        <v>0</v>
      </c>
      <c r="K439" s="19"/>
    </row>
    <row r="440" spans="1:11" x14ac:dyDescent="0.25">
      <c r="A440" s="51">
        <v>42829</v>
      </c>
      <c r="B440" s="174" t="s">
        <v>11954</v>
      </c>
      <c r="C440" s="175"/>
      <c r="D440" s="176" t="s">
        <v>11954</v>
      </c>
      <c r="E440" s="176">
        <v>106874</v>
      </c>
      <c r="F440" s="177" t="s">
        <v>302</v>
      </c>
      <c r="G440" s="178">
        <v>9320.4</v>
      </c>
      <c r="H440" s="179">
        <v>42831</v>
      </c>
      <c r="I440" s="178">
        <f t="shared" si="13"/>
        <v>9320.4</v>
      </c>
      <c r="J440" s="178">
        <f t="shared" si="14"/>
        <v>0</v>
      </c>
      <c r="K440" s="19"/>
    </row>
    <row r="441" spans="1:11" x14ac:dyDescent="0.25">
      <c r="A441" s="51">
        <v>42829</v>
      </c>
      <c r="B441" s="174" t="s">
        <v>11955</v>
      </c>
      <c r="C441" s="175"/>
      <c r="D441" s="176" t="s">
        <v>11955</v>
      </c>
      <c r="E441" s="176">
        <v>106875</v>
      </c>
      <c r="F441" s="177" t="s">
        <v>352</v>
      </c>
      <c r="G441" s="178">
        <v>2343.5</v>
      </c>
      <c r="H441" s="179">
        <v>42829</v>
      </c>
      <c r="I441" s="178">
        <f t="shared" si="13"/>
        <v>2343.5</v>
      </c>
      <c r="J441" s="178">
        <f t="shared" si="14"/>
        <v>0</v>
      </c>
      <c r="K441" s="19"/>
    </row>
    <row r="442" spans="1:11" x14ac:dyDescent="0.25">
      <c r="A442" s="51">
        <v>42829</v>
      </c>
      <c r="B442" s="174" t="s">
        <v>11956</v>
      </c>
      <c r="C442" s="175"/>
      <c r="D442" s="176" t="s">
        <v>11956</v>
      </c>
      <c r="E442" s="176">
        <v>106876</v>
      </c>
      <c r="F442" s="177" t="s">
        <v>208</v>
      </c>
      <c r="G442" s="178">
        <v>770</v>
      </c>
      <c r="H442" s="179">
        <v>42829</v>
      </c>
      <c r="I442" s="178">
        <f t="shared" si="13"/>
        <v>770</v>
      </c>
      <c r="J442" s="178">
        <f t="shared" si="14"/>
        <v>0</v>
      </c>
      <c r="K442" s="19"/>
    </row>
    <row r="443" spans="1:11" x14ac:dyDescent="0.25">
      <c r="A443" s="51">
        <v>42829</v>
      </c>
      <c r="B443" s="174" t="s">
        <v>11957</v>
      </c>
      <c r="C443" s="175"/>
      <c r="D443" s="176" t="s">
        <v>11957</v>
      </c>
      <c r="E443" s="176">
        <v>106877</v>
      </c>
      <c r="F443" s="177" t="s">
        <v>879</v>
      </c>
      <c r="G443" s="178">
        <v>2841.6</v>
      </c>
      <c r="H443" s="179">
        <v>42829</v>
      </c>
      <c r="I443" s="178">
        <f t="shared" si="13"/>
        <v>2841.6</v>
      </c>
      <c r="J443" s="178">
        <f t="shared" si="14"/>
        <v>0</v>
      </c>
      <c r="K443" s="19"/>
    </row>
    <row r="444" spans="1:11" x14ac:dyDescent="0.25">
      <c r="A444" s="51">
        <v>42829</v>
      </c>
      <c r="B444" s="174" t="s">
        <v>11958</v>
      </c>
      <c r="C444" s="175"/>
      <c r="D444" s="176" t="s">
        <v>11958</v>
      </c>
      <c r="E444" s="176">
        <v>106878</v>
      </c>
      <c r="F444" s="177" t="s">
        <v>208</v>
      </c>
      <c r="G444" s="178">
        <v>2722.5</v>
      </c>
      <c r="H444" s="179">
        <v>42829</v>
      </c>
      <c r="I444" s="178">
        <f t="shared" si="13"/>
        <v>2722.5</v>
      </c>
      <c r="J444" s="178">
        <f t="shared" si="14"/>
        <v>0</v>
      </c>
      <c r="K444" s="19"/>
    </row>
    <row r="445" spans="1:11" x14ac:dyDescent="0.25">
      <c r="A445" s="51">
        <v>42829</v>
      </c>
      <c r="B445" s="174" t="s">
        <v>11959</v>
      </c>
      <c r="C445" s="175"/>
      <c r="D445" s="176" t="s">
        <v>11959</v>
      </c>
      <c r="E445" s="176">
        <v>106879</v>
      </c>
      <c r="F445" s="177" t="s">
        <v>222</v>
      </c>
      <c r="G445" s="178">
        <v>50703.15</v>
      </c>
      <c r="H445" s="179">
        <v>42833</v>
      </c>
      <c r="I445" s="178">
        <f t="shared" si="13"/>
        <v>50703.15</v>
      </c>
      <c r="J445" s="178">
        <f t="shared" si="14"/>
        <v>0</v>
      </c>
      <c r="K445" s="19"/>
    </row>
    <row r="446" spans="1:11" x14ac:dyDescent="0.25">
      <c r="A446" s="51">
        <v>42829</v>
      </c>
      <c r="B446" s="174" t="s">
        <v>11960</v>
      </c>
      <c r="C446" s="175"/>
      <c r="D446" s="176" t="s">
        <v>11960</v>
      </c>
      <c r="E446" s="176">
        <v>106880</v>
      </c>
      <c r="F446" s="177" t="s">
        <v>222</v>
      </c>
      <c r="G446" s="178">
        <v>29220.6</v>
      </c>
      <c r="H446" s="179">
        <v>42841</v>
      </c>
      <c r="I446" s="178">
        <f t="shared" si="13"/>
        <v>29220.6</v>
      </c>
      <c r="J446" s="178">
        <f t="shared" si="14"/>
        <v>0</v>
      </c>
      <c r="K446" s="19"/>
    </row>
    <row r="447" spans="1:11" x14ac:dyDescent="0.25">
      <c r="A447" s="51">
        <v>42829</v>
      </c>
      <c r="B447" s="174" t="s">
        <v>11961</v>
      </c>
      <c r="C447" s="175"/>
      <c r="D447" s="176" t="s">
        <v>11961</v>
      </c>
      <c r="E447" s="176">
        <v>106881</v>
      </c>
      <c r="F447" s="177" t="s">
        <v>115</v>
      </c>
      <c r="G447" s="178">
        <v>2782.95</v>
      </c>
      <c r="H447" s="179">
        <v>42829</v>
      </c>
      <c r="I447" s="178">
        <f t="shared" si="13"/>
        <v>2782.95</v>
      </c>
      <c r="J447" s="178">
        <f t="shared" si="14"/>
        <v>0</v>
      </c>
      <c r="K447" s="19"/>
    </row>
    <row r="448" spans="1:11" x14ac:dyDescent="0.25">
      <c r="A448" s="51">
        <v>42829</v>
      </c>
      <c r="B448" s="174" t="s">
        <v>11962</v>
      </c>
      <c r="C448" s="175"/>
      <c r="D448" s="176" t="s">
        <v>11962</v>
      </c>
      <c r="E448" s="176">
        <v>106882</v>
      </c>
      <c r="F448" s="177" t="s">
        <v>222</v>
      </c>
      <c r="G448" s="178">
        <v>360045</v>
      </c>
      <c r="H448" s="179">
        <v>42841</v>
      </c>
      <c r="I448" s="178">
        <f t="shared" si="13"/>
        <v>360045</v>
      </c>
      <c r="J448" s="178">
        <f t="shared" si="14"/>
        <v>0</v>
      </c>
      <c r="K448" s="19"/>
    </row>
    <row r="449" spans="1:11" x14ac:dyDescent="0.25">
      <c r="A449" s="51">
        <v>42829</v>
      </c>
      <c r="B449" s="174" t="s">
        <v>11963</v>
      </c>
      <c r="C449" s="175"/>
      <c r="D449" s="176" t="s">
        <v>11963</v>
      </c>
      <c r="E449" s="176">
        <v>106883</v>
      </c>
      <c r="F449" s="177" t="s">
        <v>205</v>
      </c>
      <c r="G449" s="178">
        <v>5658</v>
      </c>
      <c r="H449" s="179">
        <v>42830</v>
      </c>
      <c r="I449" s="178">
        <f t="shared" si="13"/>
        <v>5658</v>
      </c>
      <c r="J449" s="178">
        <f t="shared" si="14"/>
        <v>0</v>
      </c>
      <c r="K449" s="19"/>
    </row>
    <row r="450" spans="1:11" x14ac:dyDescent="0.25">
      <c r="A450" s="51">
        <v>42829</v>
      </c>
      <c r="B450" s="174" t="s">
        <v>11964</v>
      </c>
      <c r="C450" s="175"/>
      <c r="D450" s="176" t="s">
        <v>11964</v>
      </c>
      <c r="E450" s="176">
        <v>106884</v>
      </c>
      <c r="F450" s="177" t="s">
        <v>14</v>
      </c>
      <c r="G450" s="178">
        <v>20012.400000000001</v>
      </c>
      <c r="H450" s="179">
        <v>42829</v>
      </c>
      <c r="I450" s="178">
        <f t="shared" si="13"/>
        <v>20012.400000000001</v>
      </c>
      <c r="J450" s="178">
        <f t="shared" si="14"/>
        <v>0</v>
      </c>
      <c r="K450" s="19"/>
    </row>
    <row r="451" spans="1:11" x14ac:dyDescent="0.25">
      <c r="A451" s="51">
        <v>42829</v>
      </c>
      <c r="B451" s="174" t="s">
        <v>11965</v>
      </c>
      <c r="C451" s="175"/>
      <c r="D451" s="176" t="s">
        <v>11965</v>
      </c>
      <c r="E451" s="176">
        <v>106885</v>
      </c>
      <c r="F451" s="177" t="s">
        <v>5113</v>
      </c>
      <c r="G451" s="178">
        <v>9077.2000000000007</v>
      </c>
      <c r="H451" s="179">
        <v>42829</v>
      </c>
      <c r="I451" s="178">
        <f t="shared" si="13"/>
        <v>9077.2000000000007</v>
      </c>
      <c r="J451" s="178">
        <f t="shared" si="14"/>
        <v>0</v>
      </c>
      <c r="K451" s="19"/>
    </row>
    <row r="452" spans="1:11" x14ac:dyDescent="0.25">
      <c r="A452" s="51">
        <v>42829</v>
      </c>
      <c r="B452" s="174" t="s">
        <v>11966</v>
      </c>
      <c r="C452" s="175"/>
      <c r="D452" s="176" t="s">
        <v>11966</v>
      </c>
      <c r="E452" s="176">
        <v>106886</v>
      </c>
      <c r="F452" s="177" t="s">
        <v>509</v>
      </c>
      <c r="G452" s="178">
        <v>988.8</v>
      </c>
      <c r="H452" s="179">
        <v>42829</v>
      </c>
      <c r="I452" s="178">
        <f t="shared" ref="I452:I515" si="15">G452</f>
        <v>988.8</v>
      </c>
      <c r="J452" s="178">
        <f t="shared" ref="J452:J515" si="16">G452-I452</f>
        <v>0</v>
      </c>
      <c r="K452" s="19"/>
    </row>
    <row r="453" spans="1:11" x14ac:dyDescent="0.25">
      <c r="A453" s="51">
        <v>42829</v>
      </c>
      <c r="B453" s="174" t="s">
        <v>11967</v>
      </c>
      <c r="C453" s="175"/>
      <c r="D453" s="176" t="s">
        <v>11967</v>
      </c>
      <c r="E453" s="176">
        <v>106887</v>
      </c>
      <c r="F453" s="177" t="s">
        <v>220</v>
      </c>
      <c r="G453" s="178">
        <v>2184</v>
      </c>
      <c r="H453" s="179">
        <v>42831</v>
      </c>
      <c r="I453" s="178">
        <f t="shared" si="15"/>
        <v>2184</v>
      </c>
      <c r="J453" s="178">
        <f t="shared" si="16"/>
        <v>0</v>
      </c>
      <c r="K453" s="19"/>
    </row>
    <row r="454" spans="1:11" x14ac:dyDescent="0.25">
      <c r="A454" s="51">
        <v>42829</v>
      </c>
      <c r="B454" s="174" t="s">
        <v>11968</v>
      </c>
      <c r="C454" s="175"/>
      <c r="D454" s="176" t="s">
        <v>11968</v>
      </c>
      <c r="E454" s="176">
        <v>106888</v>
      </c>
      <c r="F454" s="177" t="s">
        <v>205</v>
      </c>
      <c r="G454" s="178">
        <v>9857.15</v>
      </c>
      <c r="H454" s="179">
        <v>42831</v>
      </c>
      <c r="I454" s="178">
        <f t="shared" si="15"/>
        <v>9857.15</v>
      </c>
      <c r="J454" s="178">
        <f t="shared" si="16"/>
        <v>0</v>
      </c>
      <c r="K454" s="19"/>
    </row>
    <row r="455" spans="1:11" x14ac:dyDescent="0.25">
      <c r="A455" s="51">
        <v>42829</v>
      </c>
      <c r="B455" s="174" t="s">
        <v>11969</v>
      </c>
      <c r="C455" s="175"/>
      <c r="D455" s="176" t="s">
        <v>11969</v>
      </c>
      <c r="E455" s="176">
        <v>106889</v>
      </c>
      <c r="F455" s="177" t="s">
        <v>186</v>
      </c>
      <c r="G455" s="178">
        <v>869.5</v>
      </c>
      <c r="H455" s="179">
        <v>42831</v>
      </c>
      <c r="I455" s="178">
        <f t="shared" si="15"/>
        <v>869.5</v>
      </c>
      <c r="J455" s="178">
        <f t="shared" si="16"/>
        <v>0</v>
      </c>
      <c r="K455" s="19"/>
    </row>
    <row r="456" spans="1:11" x14ac:dyDescent="0.25">
      <c r="A456" s="51">
        <v>42829</v>
      </c>
      <c r="B456" s="174" t="s">
        <v>11970</v>
      </c>
      <c r="C456" s="175"/>
      <c r="D456" s="176" t="s">
        <v>11970</v>
      </c>
      <c r="E456" s="176">
        <v>106890</v>
      </c>
      <c r="F456" s="177" t="s">
        <v>6922</v>
      </c>
      <c r="G456" s="178">
        <v>11095.2</v>
      </c>
      <c r="H456" s="179">
        <v>42830</v>
      </c>
      <c r="I456" s="178">
        <f t="shared" si="15"/>
        <v>11095.2</v>
      </c>
      <c r="J456" s="178">
        <f t="shared" si="16"/>
        <v>0</v>
      </c>
      <c r="K456" s="19"/>
    </row>
    <row r="457" spans="1:11" x14ac:dyDescent="0.25">
      <c r="A457" s="51">
        <v>42829</v>
      </c>
      <c r="B457" s="174" t="s">
        <v>11971</v>
      </c>
      <c r="C457" s="175"/>
      <c r="D457" s="176" t="s">
        <v>11971</v>
      </c>
      <c r="E457" s="176">
        <v>106891</v>
      </c>
      <c r="F457" s="177" t="s">
        <v>125</v>
      </c>
      <c r="G457" s="178">
        <v>6355.8</v>
      </c>
      <c r="H457" s="179">
        <v>42832</v>
      </c>
      <c r="I457" s="178">
        <f t="shared" si="15"/>
        <v>6355.8</v>
      </c>
      <c r="J457" s="178">
        <f t="shared" si="16"/>
        <v>0</v>
      </c>
      <c r="K457" s="19"/>
    </row>
    <row r="458" spans="1:11" x14ac:dyDescent="0.25">
      <c r="A458" s="51">
        <v>42829</v>
      </c>
      <c r="B458" s="174" t="s">
        <v>11972</v>
      </c>
      <c r="C458" s="175"/>
      <c r="D458" s="176" t="s">
        <v>11972</v>
      </c>
      <c r="E458" s="176">
        <v>106892</v>
      </c>
      <c r="F458" s="177" t="s">
        <v>2519</v>
      </c>
      <c r="G458" s="178">
        <v>2134.4</v>
      </c>
      <c r="H458" s="179">
        <v>42830</v>
      </c>
      <c r="I458" s="178">
        <f t="shared" si="15"/>
        <v>2134.4</v>
      </c>
      <c r="J458" s="178">
        <f t="shared" si="16"/>
        <v>0</v>
      </c>
      <c r="K458" s="19"/>
    </row>
    <row r="459" spans="1:11" x14ac:dyDescent="0.25">
      <c r="A459" s="51">
        <v>42829</v>
      </c>
      <c r="B459" s="174" t="s">
        <v>11973</v>
      </c>
      <c r="C459" s="175"/>
      <c r="D459" s="176" t="s">
        <v>11973</v>
      </c>
      <c r="E459" s="176">
        <v>106893</v>
      </c>
      <c r="F459" s="177" t="s">
        <v>99</v>
      </c>
      <c r="G459" s="178">
        <v>1079.3</v>
      </c>
      <c r="H459" s="179">
        <v>42830</v>
      </c>
      <c r="I459" s="178">
        <f t="shared" si="15"/>
        <v>1079.3</v>
      </c>
      <c r="J459" s="178">
        <f t="shared" si="16"/>
        <v>0</v>
      </c>
      <c r="K459" s="19"/>
    </row>
    <row r="460" spans="1:11" x14ac:dyDescent="0.25">
      <c r="A460" s="51">
        <v>42829</v>
      </c>
      <c r="B460" s="174" t="s">
        <v>11974</v>
      </c>
      <c r="C460" s="175"/>
      <c r="D460" s="176" t="s">
        <v>11974</v>
      </c>
      <c r="E460" s="176">
        <v>106894</v>
      </c>
      <c r="F460" s="177" t="s">
        <v>105</v>
      </c>
      <c r="G460" s="178">
        <v>114</v>
      </c>
      <c r="H460" s="179">
        <v>42830</v>
      </c>
      <c r="I460" s="178">
        <f t="shared" si="15"/>
        <v>114</v>
      </c>
      <c r="J460" s="178">
        <f t="shared" si="16"/>
        <v>0</v>
      </c>
      <c r="K460" s="19"/>
    </row>
    <row r="461" spans="1:11" x14ac:dyDescent="0.25">
      <c r="A461" s="51">
        <v>42829</v>
      </c>
      <c r="B461" s="174" t="s">
        <v>11975</v>
      </c>
      <c r="C461" s="175"/>
      <c r="D461" s="176" t="s">
        <v>11975</v>
      </c>
      <c r="E461" s="176">
        <v>106895</v>
      </c>
      <c r="F461" s="177" t="s">
        <v>103</v>
      </c>
      <c r="G461" s="178">
        <v>114</v>
      </c>
      <c r="H461" s="179">
        <v>42830</v>
      </c>
      <c r="I461" s="178">
        <f t="shared" si="15"/>
        <v>114</v>
      </c>
      <c r="J461" s="178">
        <f t="shared" si="16"/>
        <v>0</v>
      </c>
      <c r="K461" s="19"/>
    </row>
    <row r="462" spans="1:11" x14ac:dyDescent="0.25">
      <c r="A462" s="51">
        <v>42829</v>
      </c>
      <c r="B462" s="174" t="s">
        <v>11976</v>
      </c>
      <c r="C462" s="175"/>
      <c r="D462" s="176" t="s">
        <v>11976</v>
      </c>
      <c r="E462" s="176">
        <v>106896</v>
      </c>
      <c r="F462" s="177" t="s">
        <v>289</v>
      </c>
      <c r="G462" s="178">
        <v>2856</v>
      </c>
      <c r="H462" s="186">
        <v>42851</v>
      </c>
      <c r="I462" s="187">
        <f t="shared" si="15"/>
        <v>2856</v>
      </c>
      <c r="J462" s="178">
        <f t="shared" si="16"/>
        <v>0</v>
      </c>
      <c r="K462" s="19"/>
    </row>
    <row r="463" spans="1:11" x14ac:dyDescent="0.25">
      <c r="A463" s="51">
        <v>42829</v>
      </c>
      <c r="B463" s="174" t="s">
        <v>11977</v>
      </c>
      <c r="C463" s="175"/>
      <c r="D463" s="176" t="s">
        <v>11977</v>
      </c>
      <c r="E463" s="176">
        <v>106897</v>
      </c>
      <c r="F463" s="177" t="s">
        <v>1830</v>
      </c>
      <c r="G463" s="178">
        <v>7049</v>
      </c>
      <c r="H463" s="179">
        <v>42831</v>
      </c>
      <c r="I463" s="178">
        <f t="shared" si="15"/>
        <v>7049</v>
      </c>
      <c r="J463" s="178">
        <f t="shared" si="16"/>
        <v>0</v>
      </c>
      <c r="K463" s="19"/>
    </row>
    <row r="464" spans="1:11" x14ac:dyDescent="0.25">
      <c r="A464" s="51">
        <v>42829</v>
      </c>
      <c r="B464" s="174" t="s">
        <v>11978</v>
      </c>
      <c r="C464" s="175"/>
      <c r="D464" s="176" t="s">
        <v>11978</v>
      </c>
      <c r="E464" s="176">
        <v>106898</v>
      </c>
      <c r="F464" s="177" t="s">
        <v>470</v>
      </c>
      <c r="G464" s="178">
        <v>773.4</v>
      </c>
      <c r="H464" s="179">
        <v>42831</v>
      </c>
      <c r="I464" s="178">
        <f t="shared" si="15"/>
        <v>773.4</v>
      </c>
      <c r="J464" s="178">
        <f t="shared" si="16"/>
        <v>0</v>
      </c>
      <c r="K464" s="19"/>
    </row>
    <row r="465" spans="1:11" x14ac:dyDescent="0.25">
      <c r="A465" s="51">
        <v>42829</v>
      </c>
      <c r="B465" s="174" t="s">
        <v>11979</v>
      </c>
      <c r="C465" s="175"/>
      <c r="D465" s="176" t="s">
        <v>11979</v>
      </c>
      <c r="E465" s="176">
        <v>106899</v>
      </c>
      <c r="F465" s="177" t="s">
        <v>459</v>
      </c>
      <c r="G465" s="178">
        <v>2260.8000000000002</v>
      </c>
      <c r="H465" s="179">
        <v>42831</v>
      </c>
      <c r="I465" s="178">
        <f t="shared" si="15"/>
        <v>2260.8000000000002</v>
      </c>
      <c r="J465" s="178">
        <f t="shared" si="16"/>
        <v>0</v>
      </c>
      <c r="K465" s="19"/>
    </row>
    <row r="466" spans="1:11" x14ac:dyDescent="0.25">
      <c r="A466" s="51">
        <v>42829</v>
      </c>
      <c r="B466" s="174" t="s">
        <v>11980</v>
      </c>
      <c r="C466" s="175"/>
      <c r="D466" s="176" t="s">
        <v>11980</v>
      </c>
      <c r="E466" s="176">
        <v>106900</v>
      </c>
      <c r="F466" s="177" t="s">
        <v>1141</v>
      </c>
      <c r="G466" s="178">
        <v>9150.6</v>
      </c>
      <c r="H466" s="179">
        <v>42841</v>
      </c>
      <c r="I466" s="178">
        <f t="shared" si="15"/>
        <v>9150.6</v>
      </c>
      <c r="J466" s="178">
        <f t="shared" si="16"/>
        <v>0</v>
      </c>
      <c r="K466" s="19"/>
    </row>
    <row r="467" spans="1:11" x14ac:dyDescent="0.25">
      <c r="A467" s="51">
        <v>42829</v>
      </c>
      <c r="B467" s="174" t="s">
        <v>11981</v>
      </c>
      <c r="C467" s="175"/>
      <c r="D467" s="176" t="s">
        <v>11981</v>
      </c>
      <c r="E467" s="176">
        <v>106901</v>
      </c>
      <c r="F467" s="177" t="s">
        <v>9907</v>
      </c>
      <c r="G467" s="178">
        <v>5928.2</v>
      </c>
      <c r="H467" s="179">
        <v>42829</v>
      </c>
      <c r="I467" s="178">
        <f t="shared" si="15"/>
        <v>5928.2</v>
      </c>
      <c r="J467" s="178">
        <f t="shared" si="16"/>
        <v>0</v>
      </c>
      <c r="K467" s="19"/>
    </row>
    <row r="468" spans="1:11" x14ac:dyDescent="0.25">
      <c r="A468" s="51">
        <v>42829</v>
      </c>
      <c r="B468" s="174" t="s">
        <v>11982</v>
      </c>
      <c r="C468" s="175"/>
      <c r="D468" s="176" t="s">
        <v>11982</v>
      </c>
      <c r="E468" s="176">
        <v>106902</v>
      </c>
      <c r="F468" s="177" t="s">
        <v>55</v>
      </c>
      <c r="G468" s="178">
        <v>5041.2</v>
      </c>
      <c r="H468" s="179">
        <v>42830</v>
      </c>
      <c r="I468" s="178">
        <f t="shared" si="15"/>
        <v>5041.2</v>
      </c>
      <c r="J468" s="178">
        <f t="shared" si="16"/>
        <v>0</v>
      </c>
      <c r="K468" s="19"/>
    </row>
    <row r="469" spans="1:11" x14ac:dyDescent="0.25">
      <c r="A469" s="51">
        <v>42829</v>
      </c>
      <c r="B469" s="174" t="s">
        <v>11983</v>
      </c>
      <c r="C469" s="175"/>
      <c r="D469" s="176" t="s">
        <v>11983</v>
      </c>
      <c r="E469" s="176">
        <v>106903</v>
      </c>
      <c r="F469" s="182" t="s">
        <v>211</v>
      </c>
      <c r="G469" s="183">
        <v>0</v>
      </c>
      <c r="H469" s="184" t="s">
        <v>95</v>
      </c>
      <c r="I469" s="183">
        <f t="shared" si="15"/>
        <v>0</v>
      </c>
      <c r="J469" s="183">
        <f t="shared" si="16"/>
        <v>0</v>
      </c>
      <c r="K469" s="19"/>
    </row>
    <row r="470" spans="1:11" x14ac:dyDescent="0.25">
      <c r="A470" s="51">
        <v>42829</v>
      </c>
      <c r="B470" s="174" t="s">
        <v>11984</v>
      </c>
      <c r="C470" s="175"/>
      <c r="D470" s="176" t="s">
        <v>11984</v>
      </c>
      <c r="E470" s="176">
        <v>106904</v>
      </c>
      <c r="F470" s="177" t="s">
        <v>211</v>
      </c>
      <c r="G470" s="178">
        <v>8622.4</v>
      </c>
      <c r="H470" s="179">
        <v>42830</v>
      </c>
      <c r="I470" s="178">
        <f t="shared" si="15"/>
        <v>8622.4</v>
      </c>
      <c r="J470" s="178">
        <f t="shared" si="16"/>
        <v>0</v>
      </c>
      <c r="K470" s="19"/>
    </row>
    <row r="471" spans="1:11" x14ac:dyDescent="0.25">
      <c r="A471" s="51">
        <v>42829</v>
      </c>
      <c r="B471" s="174" t="s">
        <v>11985</v>
      </c>
      <c r="C471" s="175"/>
      <c r="D471" s="176" t="s">
        <v>11985</v>
      </c>
      <c r="E471" s="176">
        <v>106905</v>
      </c>
      <c r="F471" s="177" t="s">
        <v>30</v>
      </c>
      <c r="G471" s="178">
        <v>5994.2</v>
      </c>
      <c r="H471" s="179">
        <v>42830</v>
      </c>
      <c r="I471" s="178">
        <f t="shared" si="15"/>
        <v>5994.2</v>
      </c>
      <c r="J471" s="178">
        <f t="shared" si="16"/>
        <v>0</v>
      </c>
      <c r="K471" s="19"/>
    </row>
    <row r="472" spans="1:11" x14ac:dyDescent="0.25">
      <c r="A472" s="51">
        <v>42830</v>
      </c>
      <c r="B472" s="174" t="s">
        <v>11986</v>
      </c>
      <c r="C472" s="175"/>
      <c r="D472" s="176" t="s">
        <v>11986</v>
      </c>
      <c r="E472" s="176">
        <v>106906</v>
      </c>
      <c r="F472" s="177" t="s">
        <v>231</v>
      </c>
      <c r="G472" s="178">
        <v>5472.4</v>
      </c>
      <c r="H472" s="179">
        <v>42831</v>
      </c>
      <c r="I472" s="178">
        <f t="shared" si="15"/>
        <v>5472.4</v>
      </c>
      <c r="J472" s="178">
        <f t="shared" si="16"/>
        <v>0</v>
      </c>
      <c r="K472" s="19"/>
    </row>
    <row r="473" spans="1:11" x14ac:dyDescent="0.25">
      <c r="A473" s="51">
        <v>42830</v>
      </c>
      <c r="B473" s="174" t="s">
        <v>11987</v>
      </c>
      <c r="C473" s="175"/>
      <c r="D473" s="176" t="s">
        <v>11987</v>
      </c>
      <c r="E473" s="176">
        <v>106907</v>
      </c>
      <c r="F473" s="177" t="s">
        <v>374</v>
      </c>
      <c r="G473" s="178">
        <v>2668.4</v>
      </c>
      <c r="H473" s="179">
        <v>42830</v>
      </c>
      <c r="I473" s="178">
        <f t="shared" si="15"/>
        <v>2668.4</v>
      </c>
      <c r="J473" s="178">
        <f t="shared" si="16"/>
        <v>0</v>
      </c>
      <c r="K473" s="19"/>
    </row>
    <row r="474" spans="1:11" x14ac:dyDescent="0.25">
      <c r="A474" s="51">
        <v>42830</v>
      </c>
      <c r="B474" s="174" t="s">
        <v>11988</v>
      </c>
      <c r="C474" s="175"/>
      <c r="D474" s="176" t="s">
        <v>11988</v>
      </c>
      <c r="E474" s="176">
        <v>106908</v>
      </c>
      <c r="F474" s="177" t="s">
        <v>231</v>
      </c>
      <c r="G474" s="178">
        <v>39989.599999999999</v>
      </c>
      <c r="H474" s="179">
        <v>42831</v>
      </c>
      <c r="I474" s="178">
        <f t="shared" si="15"/>
        <v>39989.599999999999</v>
      </c>
      <c r="J474" s="178">
        <f t="shared" si="16"/>
        <v>0</v>
      </c>
      <c r="K474" s="19"/>
    </row>
    <row r="475" spans="1:11" x14ac:dyDescent="0.25">
      <c r="A475" s="51">
        <v>42830</v>
      </c>
      <c r="B475" s="174" t="s">
        <v>11989</v>
      </c>
      <c r="C475" s="175"/>
      <c r="D475" s="176" t="s">
        <v>11989</v>
      </c>
      <c r="E475" s="176">
        <v>106909</v>
      </c>
      <c r="F475" s="177" t="s">
        <v>26</v>
      </c>
      <c r="G475" s="178">
        <v>9449.7999999999993</v>
      </c>
      <c r="H475" s="179">
        <v>42830</v>
      </c>
      <c r="I475" s="178">
        <f t="shared" si="15"/>
        <v>9449.7999999999993</v>
      </c>
      <c r="J475" s="178">
        <f t="shared" si="16"/>
        <v>0</v>
      </c>
      <c r="K475" s="19"/>
    </row>
    <row r="476" spans="1:11" x14ac:dyDescent="0.25">
      <c r="A476" s="51">
        <v>42830</v>
      </c>
      <c r="B476" s="174" t="s">
        <v>11990</v>
      </c>
      <c r="C476" s="175"/>
      <c r="D476" s="176" t="s">
        <v>11990</v>
      </c>
      <c r="E476" s="176">
        <v>106910</v>
      </c>
      <c r="F476" s="177" t="s">
        <v>428</v>
      </c>
      <c r="G476" s="178">
        <v>1341.6</v>
      </c>
      <c r="H476" s="179">
        <v>42832</v>
      </c>
      <c r="I476" s="178">
        <f t="shared" si="15"/>
        <v>1341.6</v>
      </c>
      <c r="J476" s="178">
        <f t="shared" si="16"/>
        <v>0</v>
      </c>
      <c r="K476" s="19"/>
    </row>
    <row r="477" spans="1:11" x14ac:dyDescent="0.25">
      <c r="A477" s="51">
        <v>42830</v>
      </c>
      <c r="B477" s="174" t="s">
        <v>11991</v>
      </c>
      <c r="C477" s="175"/>
      <c r="D477" s="176" t="s">
        <v>11991</v>
      </c>
      <c r="E477" s="176">
        <v>106911</v>
      </c>
      <c r="F477" s="177" t="s">
        <v>40</v>
      </c>
      <c r="G477" s="178">
        <v>339.3</v>
      </c>
      <c r="H477" s="179">
        <v>42831</v>
      </c>
      <c r="I477" s="178">
        <f t="shared" si="15"/>
        <v>339.3</v>
      </c>
      <c r="J477" s="178">
        <f t="shared" si="16"/>
        <v>0</v>
      </c>
      <c r="K477" s="19"/>
    </row>
    <row r="478" spans="1:11" x14ac:dyDescent="0.25">
      <c r="A478" s="51">
        <v>42830</v>
      </c>
      <c r="B478" s="174" t="s">
        <v>11992</v>
      </c>
      <c r="C478" s="175"/>
      <c r="D478" s="176" t="s">
        <v>11992</v>
      </c>
      <c r="E478" s="176">
        <v>106912</v>
      </c>
      <c r="F478" s="177" t="s">
        <v>49</v>
      </c>
      <c r="G478" s="178">
        <v>9279.6</v>
      </c>
      <c r="H478" s="180" t="s">
        <v>11993</v>
      </c>
      <c r="I478" s="181">
        <f>4300+4979.6</f>
        <v>9279.6</v>
      </c>
      <c r="J478" s="181">
        <f t="shared" si="16"/>
        <v>0</v>
      </c>
      <c r="K478" s="19"/>
    </row>
    <row r="479" spans="1:11" x14ac:dyDescent="0.25">
      <c r="A479" s="51">
        <v>42830</v>
      </c>
      <c r="B479" s="174" t="s">
        <v>11994</v>
      </c>
      <c r="C479" s="175"/>
      <c r="D479" s="176" t="s">
        <v>11994</v>
      </c>
      <c r="E479" s="176">
        <v>106913</v>
      </c>
      <c r="F479" s="177" t="s">
        <v>253</v>
      </c>
      <c r="G479" s="178">
        <v>2659.8</v>
      </c>
      <c r="H479" s="179">
        <v>42831</v>
      </c>
      <c r="I479" s="178">
        <f t="shared" si="15"/>
        <v>2659.8</v>
      </c>
      <c r="J479" s="178">
        <f t="shared" si="16"/>
        <v>0</v>
      </c>
      <c r="K479" s="19"/>
    </row>
    <row r="480" spans="1:11" x14ac:dyDescent="0.25">
      <c r="A480" s="51">
        <v>42830</v>
      </c>
      <c r="B480" s="174" t="s">
        <v>11995</v>
      </c>
      <c r="C480" s="175"/>
      <c r="D480" s="176" t="s">
        <v>11995</v>
      </c>
      <c r="E480" s="176">
        <v>106914</v>
      </c>
      <c r="F480" s="177" t="s">
        <v>509</v>
      </c>
      <c r="G480" s="178">
        <v>21762</v>
      </c>
      <c r="H480" s="179">
        <v>42833</v>
      </c>
      <c r="I480" s="178">
        <f t="shared" si="15"/>
        <v>21762</v>
      </c>
      <c r="J480" s="178">
        <f t="shared" si="16"/>
        <v>0</v>
      </c>
      <c r="K480" s="19"/>
    </row>
    <row r="481" spans="1:11" x14ac:dyDescent="0.25">
      <c r="A481" s="51">
        <v>42830</v>
      </c>
      <c r="B481" s="174" t="s">
        <v>11996</v>
      </c>
      <c r="C481" s="175"/>
      <c r="D481" s="176" t="s">
        <v>11996</v>
      </c>
      <c r="E481" s="176">
        <v>106915</v>
      </c>
      <c r="F481" s="177" t="s">
        <v>51</v>
      </c>
      <c r="G481" s="178">
        <v>3620.7</v>
      </c>
      <c r="H481" s="179">
        <v>42832</v>
      </c>
      <c r="I481" s="178">
        <f t="shared" si="15"/>
        <v>3620.7</v>
      </c>
      <c r="J481" s="178">
        <f t="shared" si="16"/>
        <v>0</v>
      </c>
      <c r="K481" s="19"/>
    </row>
    <row r="482" spans="1:11" x14ac:dyDescent="0.25">
      <c r="A482" s="51">
        <v>42830</v>
      </c>
      <c r="B482" s="174" t="s">
        <v>11997</v>
      </c>
      <c r="C482" s="175"/>
      <c r="D482" s="176" t="s">
        <v>11997</v>
      </c>
      <c r="E482" s="176">
        <v>106916</v>
      </c>
      <c r="F482" s="177" t="s">
        <v>35</v>
      </c>
      <c r="G482" s="178">
        <v>8669.5</v>
      </c>
      <c r="H482" s="179">
        <v>42832</v>
      </c>
      <c r="I482" s="178">
        <f t="shared" si="15"/>
        <v>8669.5</v>
      </c>
      <c r="J482" s="178">
        <f t="shared" si="16"/>
        <v>0</v>
      </c>
      <c r="K482" s="19"/>
    </row>
    <row r="483" spans="1:11" x14ac:dyDescent="0.25">
      <c r="A483" s="51">
        <v>42830</v>
      </c>
      <c r="B483" s="174" t="s">
        <v>11998</v>
      </c>
      <c r="C483" s="175"/>
      <c r="D483" s="176" t="s">
        <v>11998</v>
      </c>
      <c r="E483" s="176">
        <v>106917</v>
      </c>
      <c r="F483" s="177" t="s">
        <v>17</v>
      </c>
      <c r="G483" s="178">
        <v>1935</v>
      </c>
      <c r="H483" s="179">
        <v>42831</v>
      </c>
      <c r="I483" s="178">
        <f t="shared" si="15"/>
        <v>1935</v>
      </c>
      <c r="J483" s="178">
        <f t="shared" si="16"/>
        <v>0</v>
      </c>
      <c r="K483" s="19"/>
    </row>
    <row r="484" spans="1:11" x14ac:dyDescent="0.25">
      <c r="A484" s="51">
        <v>42830</v>
      </c>
      <c r="B484" s="174" t="s">
        <v>11999</v>
      </c>
      <c r="C484" s="175"/>
      <c r="D484" s="176" t="s">
        <v>11999</v>
      </c>
      <c r="E484" s="176">
        <v>106918</v>
      </c>
      <c r="F484" s="177" t="s">
        <v>32</v>
      </c>
      <c r="G484" s="178">
        <v>6023.3</v>
      </c>
      <c r="H484" s="179">
        <v>42840</v>
      </c>
      <c r="I484" s="178">
        <f t="shared" si="15"/>
        <v>6023.3</v>
      </c>
      <c r="J484" s="178">
        <f t="shared" si="16"/>
        <v>0</v>
      </c>
      <c r="K484" s="19"/>
    </row>
    <row r="485" spans="1:11" x14ac:dyDescent="0.25">
      <c r="A485" s="51">
        <v>42830</v>
      </c>
      <c r="B485" s="174" t="s">
        <v>12000</v>
      </c>
      <c r="C485" s="175"/>
      <c r="D485" s="176" t="s">
        <v>12000</v>
      </c>
      <c r="E485" s="176">
        <v>106919</v>
      </c>
      <c r="F485" s="177" t="s">
        <v>67</v>
      </c>
      <c r="G485" s="178">
        <v>7806.9</v>
      </c>
      <c r="H485" s="179">
        <v>42835</v>
      </c>
      <c r="I485" s="178">
        <f t="shared" si="15"/>
        <v>7806.9</v>
      </c>
      <c r="J485" s="178">
        <f t="shared" si="16"/>
        <v>0</v>
      </c>
      <c r="K485" s="19"/>
    </row>
    <row r="486" spans="1:11" x14ac:dyDescent="0.25">
      <c r="A486" s="51">
        <v>42830</v>
      </c>
      <c r="B486" s="174" t="s">
        <v>12001</v>
      </c>
      <c r="C486" s="175"/>
      <c r="D486" s="176" t="s">
        <v>12001</v>
      </c>
      <c r="E486" s="176">
        <v>106920</v>
      </c>
      <c r="F486" s="177" t="s">
        <v>28</v>
      </c>
      <c r="G486" s="178">
        <v>8424</v>
      </c>
      <c r="H486" s="179">
        <v>42834</v>
      </c>
      <c r="I486" s="178">
        <f t="shared" si="15"/>
        <v>8424</v>
      </c>
      <c r="J486" s="178">
        <f t="shared" si="16"/>
        <v>0</v>
      </c>
      <c r="K486" s="19"/>
    </row>
    <row r="487" spans="1:11" x14ac:dyDescent="0.25">
      <c r="A487" s="51">
        <v>42830</v>
      </c>
      <c r="B487" s="174" t="s">
        <v>12002</v>
      </c>
      <c r="C487" s="175"/>
      <c r="D487" s="176" t="s">
        <v>12002</v>
      </c>
      <c r="E487" s="176">
        <v>106921</v>
      </c>
      <c r="F487" s="177" t="s">
        <v>30</v>
      </c>
      <c r="G487" s="178">
        <v>3369.4</v>
      </c>
      <c r="H487" s="179">
        <v>42830</v>
      </c>
      <c r="I487" s="178">
        <f t="shared" si="15"/>
        <v>3369.4</v>
      </c>
      <c r="J487" s="178">
        <f t="shared" si="16"/>
        <v>0</v>
      </c>
      <c r="K487" s="19"/>
    </row>
    <row r="488" spans="1:11" x14ac:dyDescent="0.25">
      <c r="A488" s="51">
        <v>42830</v>
      </c>
      <c r="B488" s="174" t="s">
        <v>12003</v>
      </c>
      <c r="C488" s="175"/>
      <c r="D488" s="176" t="s">
        <v>12003</v>
      </c>
      <c r="E488" s="176">
        <v>106922</v>
      </c>
      <c r="F488" s="177" t="s">
        <v>544</v>
      </c>
      <c r="G488" s="178">
        <v>5000</v>
      </c>
      <c r="H488" s="179">
        <v>42843</v>
      </c>
      <c r="I488" s="178">
        <f t="shared" si="15"/>
        <v>5000</v>
      </c>
      <c r="J488" s="178">
        <f t="shared" si="16"/>
        <v>0</v>
      </c>
      <c r="K488" s="19"/>
    </row>
    <row r="489" spans="1:11" x14ac:dyDescent="0.25">
      <c r="A489" s="51">
        <v>42830</v>
      </c>
      <c r="B489" s="174" t="s">
        <v>12004</v>
      </c>
      <c r="C489" s="175"/>
      <c r="D489" s="176" t="s">
        <v>12004</v>
      </c>
      <c r="E489" s="176">
        <v>106923</v>
      </c>
      <c r="F489" s="177" t="s">
        <v>430</v>
      </c>
      <c r="G489" s="178">
        <v>2300</v>
      </c>
      <c r="H489" s="179">
        <v>42830</v>
      </c>
      <c r="I489" s="178">
        <f t="shared" si="15"/>
        <v>2300</v>
      </c>
      <c r="J489" s="178">
        <f t="shared" si="16"/>
        <v>0</v>
      </c>
      <c r="K489" s="19"/>
    </row>
    <row r="490" spans="1:11" x14ac:dyDescent="0.25">
      <c r="A490" s="51">
        <v>42830</v>
      </c>
      <c r="B490" s="174" t="s">
        <v>12005</v>
      </c>
      <c r="C490" s="175"/>
      <c r="D490" s="176" t="s">
        <v>12005</v>
      </c>
      <c r="E490" s="176">
        <v>106924</v>
      </c>
      <c r="F490" s="177" t="s">
        <v>8294</v>
      </c>
      <c r="G490" s="178">
        <v>4182</v>
      </c>
      <c r="H490" s="179">
        <v>42830</v>
      </c>
      <c r="I490" s="178">
        <f t="shared" si="15"/>
        <v>4182</v>
      </c>
      <c r="J490" s="178">
        <f t="shared" si="16"/>
        <v>0</v>
      </c>
      <c r="K490" s="19"/>
    </row>
    <row r="491" spans="1:11" x14ac:dyDescent="0.25">
      <c r="A491" s="51">
        <v>42830</v>
      </c>
      <c r="B491" s="174" t="s">
        <v>12006</v>
      </c>
      <c r="C491" s="175"/>
      <c r="D491" s="176" t="s">
        <v>12006</v>
      </c>
      <c r="E491" s="176">
        <v>106925</v>
      </c>
      <c r="F491" s="177" t="s">
        <v>250</v>
      </c>
      <c r="G491" s="178">
        <v>5147.7</v>
      </c>
      <c r="H491" s="180" t="s">
        <v>11881</v>
      </c>
      <c r="I491" s="181">
        <f>1400+3747.7</f>
        <v>5147.7</v>
      </c>
      <c r="J491" s="181">
        <f t="shared" si="16"/>
        <v>0</v>
      </c>
      <c r="K491" s="19"/>
    </row>
    <row r="492" spans="1:11" x14ac:dyDescent="0.25">
      <c r="A492" s="51">
        <v>42830</v>
      </c>
      <c r="B492" s="174" t="s">
        <v>12007</v>
      </c>
      <c r="C492" s="175"/>
      <c r="D492" s="176" t="s">
        <v>12007</v>
      </c>
      <c r="E492" s="176">
        <v>106926</v>
      </c>
      <c r="F492" s="177" t="s">
        <v>250</v>
      </c>
      <c r="G492" s="178">
        <v>821.7</v>
      </c>
      <c r="H492" s="179">
        <v>42831</v>
      </c>
      <c r="I492" s="178">
        <f t="shared" si="15"/>
        <v>821.7</v>
      </c>
      <c r="J492" s="178">
        <f t="shared" si="16"/>
        <v>0</v>
      </c>
      <c r="K492" s="19"/>
    </row>
    <row r="493" spans="1:11" x14ac:dyDescent="0.25">
      <c r="A493" s="51">
        <v>42830</v>
      </c>
      <c r="B493" s="174" t="s">
        <v>12008</v>
      </c>
      <c r="C493" s="175"/>
      <c r="D493" s="176" t="s">
        <v>12008</v>
      </c>
      <c r="E493" s="176">
        <v>106927</v>
      </c>
      <c r="F493" s="177" t="s">
        <v>268</v>
      </c>
      <c r="G493" s="178">
        <v>14731.2</v>
      </c>
      <c r="H493" s="179">
        <v>42832</v>
      </c>
      <c r="I493" s="178">
        <f t="shared" si="15"/>
        <v>14731.2</v>
      </c>
      <c r="J493" s="178">
        <f t="shared" si="16"/>
        <v>0</v>
      </c>
      <c r="K493" s="19"/>
    </row>
    <row r="494" spans="1:11" x14ac:dyDescent="0.25">
      <c r="A494" s="51">
        <v>42830</v>
      </c>
      <c r="B494" s="174" t="s">
        <v>12009</v>
      </c>
      <c r="C494" s="175"/>
      <c r="D494" s="176" t="s">
        <v>12009</v>
      </c>
      <c r="E494" s="176">
        <v>106928</v>
      </c>
      <c r="F494" s="177" t="s">
        <v>432</v>
      </c>
      <c r="G494" s="178">
        <v>15100.8</v>
      </c>
      <c r="H494" s="179">
        <v>42837</v>
      </c>
      <c r="I494" s="178">
        <f t="shared" si="15"/>
        <v>15100.8</v>
      </c>
      <c r="J494" s="178">
        <f t="shared" si="16"/>
        <v>0</v>
      </c>
      <c r="K494" s="19"/>
    </row>
    <row r="495" spans="1:11" x14ac:dyDescent="0.25">
      <c r="A495" s="51">
        <v>42830</v>
      </c>
      <c r="B495" s="174" t="s">
        <v>12010</v>
      </c>
      <c r="C495" s="175"/>
      <c r="D495" s="176" t="s">
        <v>12010</v>
      </c>
      <c r="E495" s="176">
        <v>106929</v>
      </c>
      <c r="F495" s="177" t="s">
        <v>435</v>
      </c>
      <c r="G495" s="178">
        <v>3408.9</v>
      </c>
      <c r="H495" s="179">
        <v>42832</v>
      </c>
      <c r="I495" s="178">
        <f t="shared" si="15"/>
        <v>3408.9</v>
      </c>
      <c r="J495" s="178">
        <f t="shared" si="16"/>
        <v>0</v>
      </c>
      <c r="K495" s="19"/>
    </row>
    <row r="496" spans="1:11" x14ac:dyDescent="0.25">
      <c r="A496" s="51">
        <v>42830</v>
      </c>
      <c r="B496" s="174" t="s">
        <v>12011</v>
      </c>
      <c r="C496" s="175"/>
      <c r="D496" s="176" t="s">
        <v>12011</v>
      </c>
      <c r="E496" s="176">
        <v>106930</v>
      </c>
      <c r="F496" s="177" t="s">
        <v>270</v>
      </c>
      <c r="G496" s="178">
        <v>3059.1</v>
      </c>
      <c r="H496" s="179">
        <v>42832</v>
      </c>
      <c r="I496" s="178">
        <f t="shared" si="15"/>
        <v>3059.1</v>
      </c>
      <c r="J496" s="178">
        <f t="shared" si="16"/>
        <v>0</v>
      </c>
      <c r="K496" s="19"/>
    </row>
    <row r="497" spans="1:11" x14ac:dyDescent="0.25">
      <c r="A497" s="51">
        <v>42830</v>
      </c>
      <c r="B497" s="174" t="s">
        <v>12012</v>
      </c>
      <c r="C497" s="175"/>
      <c r="D497" s="176" t="s">
        <v>12012</v>
      </c>
      <c r="E497" s="176">
        <v>106931</v>
      </c>
      <c r="F497" s="177" t="s">
        <v>236</v>
      </c>
      <c r="G497" s="178">
        <v>37377.839999999997</v>
      </c>
      <c r="H497" s="179">
        <v>42838</v>
      </c>
      <c r="I497" s="178">
        <f t="shared" si="15"/>
        <v>37377.839999999997</v>
      </c>
      <c r="J497" s="178">
        <f t="shared" si="16"/>
        <v>0</v>
      </c>
      <c r="K497" s="19"/>
    </row>
    <row r="498" spans="1:11" x14ac:dyDescent="0.25">
      <c r="A498" s="51">
        <v>42830</v>
      </c>
      <c r="B498" s="174" t="s">
        <v>12013</v>
      </c>
      <c r="C498" s="175"/>
      <c r="D498" s="176" t="s">
        <v>12013</v>
      </c>
      <c r="E498" s="176">
        <v>106932</v>
      </c>
      <c r="F498" s="177" t="s">
        <v>12014</v>
      </c>
      <c r="G498" s="178">
        <v>9298.7999999999993</v>
      </c>
      <c r="H498" s="179">
        <v>42830</v>
      </c>
      <c r="I498" s="178">
        <f t="shared" si="15"/>
        <v>9298.7999999999993</v>
      </c>
      <c r="J498" s="178">
        <f t="shared" si="16"/>
        <v>0</v>
      </c>
      <c r="K498" s="19"/>
    </row>
    <row r="499" spans="1:11" x14ac:dyDescent="0.25">
      <c r="A499" s="51">
        <v>42830</v>
      </c>
      <c r="B499" s="174" t="s">
        <v>12015</v>
      </c>
      <c r="C499" s="175"/>
      <c r="D499" s="176" t="s">
        <v>12015</v>
      </c>
      <c r="E499" s="176">
        <v>106933</v>
      </c>
      <c r="F499" s="177" t="s">
        <v>47</v>
      </c>
      <c r="G499" s="178">
        <v>3544.8</v>
      </c>
      <c r="H499" s="179">
        <v>42830</v>
      </c>
      <c r="I499" s="178">
        <f t="shared" si="15"/>
        <v>3544.8</v>
      </c>
      <c r="J499" s="178">
        <f t="shared" si="16"/>
        <v>0</v>
      </c>
      <c r="K499" s="19"/>
    </row>
    <row r="500" spans="1:11" x14ac:dyDescent="0.25">
      <c r="A500" s="51">
        <v>42830</v>
      </c>
      <c r="B500" s="174" t="s">
        <v>12016</v>
      </c>
      <c r="C500" s="175"/>
      <c r="D500" s="176" t="s">
        <v>12016</v>
      </c>
      <c r="E500" s="176">
        <v>106934</v>
      </c>
      <c r="F500" s="177" t="s">
        <v>143</v>
      </c>
      <c r="G500" s="178">
        <v>3493.6</v>
      </c>
      <c r="H500" s="179">
        <v>42831</v>
      </c>
      <c r="I500" s="178">
        <f t="shared" si="15"/>
        <v>3493.6</v>
      </c>
      <c r="J500" s="178">
        <f t="shared" si="16"/>
        <v>0</v>
      </c>
      <c r="K500" s="19"/>
    </row>
    <row r="501" spans="1:11" x14ac:dyDescent="0.25">
      <c r="A501" s="51">
        <v>42830</v>
      </c>
      <c r="B501" s="174" t="s">
        <v>12017</v>
      </c>
      <c r="C501" s="175"/>
      <c r="D501" s="176" t="s">
        <v>12017</v>
      </c>
      <c r="E501" s="176">
        <v>106935</v>
      </c>
      <c r="F501" s="177" t="s">
        <v>272</v>
      </c>
      <c r="G501" s="178">
        <v>4920.3</v>
      </c>
      <c r="H501" s="179">
        <v>42832</v>
      </c>
      <c r="I501" s="178">
        <f t="shared" si="15"/>
        <v>4920.3</v>
      </c>
      <c r="J501" s="178">
        <f t="shared" si="16"/>
        <v>0</v>
      </c>
      <c r="K501" s="19"/>
    </row>
    <row r="502" spans="1:11" x14ac:dyDescent="0.25">
      <c r="A502" s="51">
        <v>42830</v>
      </c>
      <c r="B502" s="174" t="s">
        <v>12018</v>
      </c>
      <c r="C502" s="175"/>
      <c r="D502" s="176" t="s">
        <v>12018</v>
      </c>
      <c r="E502" s="176">
        <v>106936</v>
      </c>
      <c r="F502" s="177" t="s">
        <v>1666</v>
      </c>
      <c r="G502" s="178">
        <v>2054</v>
      </c>
      <c r="H502" s="179">
        <v>42832</v>
      </c>
      <c r="I502" s="178">
        <f t="shared" si="15"/>
        <v>2054</v>
      </c>
      <c r="J502" s="178">
        <f t="shared" si="16"/>
        <v>0</v>
      </c>
      <c r="K502" s="19"/>
    </row>
    <row r="503" spans="1:11" x14ac:dyDescent="0.25">
      <c r="A503" s="51">
        <v>42830</v>
      </c>
      <c r="B503" s="174" t="s">
        <v>12019</v>
      </c>
      <c r="C503" s="175"/>
      <c r="D503" s="176" t="s">
        <v>12019</v>
      </c>
      <c r="E503" s="176">
        <v>106937</v>
      </c>
      <c r="F503" s="177" t="s">
        <v>270</v>
      </c>
      <c r="G503" s="178">
        <v>17941.400000000001</v>
      </c>
      <c r="H503" s="179">
        <v>42837</v>
      </c>
      <c r="I503" s="178">
        <f t="shared" si="15"/>
        <v>17941.400000000001</v>
      </c>
      <c r="J503" s="178">
        <f t="shared" si="16"/>
        <v>0</v>
      </c>
      <c r="K503" s="19"/>
    </row>
    <row r="504" spans="1:11" x14ac:dyDescent="0.25">
      <c r="A504" s="51">
        <v>42830</v>
      </c>
      <c r="B504" s="174" t="s">
        <v>12020</v>
      </c>
      <c r="C504" s="175"/>
      <c r="D504" s="176" t="s">
        <v>12020</v>
      </c>
      <c r="E504" s="176">
        <v>106938</v>
      </c>
      <c r="F504" s="177" t="s">
        <v>21</v>
      </c>
      <c r="G504" s="178">
        <v>41840</v>
      </c>
      <c r="H504" s="179">
        <v>42844</v>
      </c>
      <c r="I504" s="178">
        <f t="shared" si="15"/>
        <v>41840</v>
      </c>
      <c r="J504" s="178">
        <f t="shared" si="16"/>
        <v>0</v>
      </c>
      <c r="K504" s="19"/>
    </row>
    <row r="505" spans="1:11" x14ac:dyDescent="0.25">
      <c r="A505" s="51">
        <v>42830</v>
      </c>
      <c r="B505" s="174" t="s">
        <v>12021</v>
      </c>
      <c r="C505" s="175"/>
      <c r="D505" s="176" t="s">
        <v>12021</v>
      </c>
      <c r="E505" s="176">
        <v>106939</v>
      </c>
      <c r="F505" s="177" t="s">
        <v>79</v>
      </c>
      <c r="G505" s="178">
        <v>2891.3</v>
      </c>
      <c r="H505" s="179">
        <v>42830</v>
      </c>
      <c r="I505" s="178">
        <f t="shared" si="15"/>
        <v>2891.3</v>
      </c>
      <c r="J505" s="178">
        <f t="shared" si="16"/>
        <v>0</v>
      </c>
      <c r="K505" s="19"/>
    </row>
    <row r="506" spans="1:11" x14ac:dyDescent="0.25">
      <c r="A506" s="51">
        <v>42830</v>
      </c>
      <c r="B506" s="174" t="s">
        <v>12022</v>
      </c>
      <c r="C506" s="175"/>
      <c r="D506" s="176" t="s">
        <v>12022</v>
      </c>
      <c r="E506" s="176">
        <v>106940</v>
      </c>
      <c r="F506" s="177" t="s">
        <v>1116</v>
      </c>
      <c r="G506" s="178">
        <v>3836.8</v>
      </c>
      <c r="H506" s="179">
        <v>42831</v>
      </c>
      <c r="I506" s="178">
        <f t="shared" si="15"/>
        <v>3836.8</v>
      </c>
      <c r="J506" s="178">
        <f t="shared" si="16"/>
        <v>0</v>
      </c>
      <c r="K506" s="19"/>
    </row>
    <row r="507" spans="1:11" x14ac:dyDescent="0.25">
      <c r="A507" s="51">
        <v>42830</v>
      </c>
      <c r="B507" s="174" t="s">
        <v>12023</v>
      </c>
      <c r="C507" s="175"/>
      <c r="D507" s="176" t="s">
        <v>12023</v>
      </c>
      <c r="E507" s="176">
        <v>106941</v>
      </c>
      <c r="F507" s="177" t="s">
        <v>10</v>
      </c>
      <c r="G507" s="178">
        <v>3552</v>
      </c>
      <c r="H507" s="179">
        <v>42833</v>
      </c>
      <c r="I507" s="178">
        <f t="shared" si="15"/>
        <v>3552</v>
      </c>
      <c r="J507" s="178">
        <f t="shared" si="16"/>
        <v>0</v>
      </c>
      <c r="K507" s="19"/>
    </row>
    <row r="508" spans="1:11" x14ac:dyDescent="0.25">
      <c r="A508" s="51">
        <v>42830</v>
      </c>
      <c r="B508" s="174" t="s">
        <v>12024</v>
      </c>
      <c r="C508" s="175"/>
      <c r="D508" s="176" t="s">
        <v>12024</v>
      </c>
      <c r="E508" s="176">
        <v>106942</v>
      </c>
      <c r="F508" s="177" t="s">
        <v>422</v>
      </c>
      <c r="G508" s="178">
        <v>673.8</v>
      </c>
      <c r="H508" s="179">
        <v>42830</v>
      </c>
      <c r="I508" s="178">
        <f t="shared" si="15"/>
        <v>673.8</v>
      </c>
      <c r="J508" s="178">
        <f t="shared" si="16"/>
        <v>0</v>
      </c>
      <c r="K508" s="19"/>
    </row>
    <row r="509" spans="1:11" x14ac:dyDescent="0.25">
      <c r="A509" s="51">
        <v>42830</v>
      </c>
      <c r="B509" s="174" t="s">
        <v>12025</v>
      </c>
      <c r="C509" s="175"/>
      <c r="D509" s="176" t="s">
        <v>12025</v>
      </c>
      <c r="E509" s="176">
        <v>106943</v>
      </c>
      <c r="F509" s="177" t="s">
        <v>240</v>
      </c>
      <c r="G509" s="178">
        <v>5324.4</v>
      </c>
      <c r="H509" s="179">
        <v>42830</v>
      </c>
      <c r="I509" s="178">
        <f t="shared" si="15"/>
        <v>5324.4</v>
      </c>
      <c r="J509" s="178">
        <f t="shared" si="16"/>
        <v>0</v>
      </c>
      <c r="K509" s="19"/>
    </row>
    <row r="510" spans="1:11" x14ac:dyDescent="0.25">
      <c r="A510" s="51">
        <v>42830</v>
      </c>
      <c r="B510" s="174" t="s">
        <v>12026</v>
      </c>
      <c r="C510" s="175"/>
      <c r="D510" s="176" t="s">
        <v>12026</v>
      </c>
      <c r="E510" s="176">
        <v>106944</v>
      </c>
      <c r="F510" s="177" t="s">
        <v>3425</v>
      </c>
      <c r="G510" s="178">
        <v>1003.2</v>
      </c>
      <c r="H510" s="179">
        <v>42830</v>
      </c>
      <c r="I510" s="178">
        <f t="shared" si="15"/>
        <v>1003.2</v>
      </c>
      <c r="J510" s="178">
        <f t="shared" si="16"/>
        <v>0</v>
      </c>
      <c r="K510" s="19"/>
    </row>
    <row r="511" spans="1:11" x14ac:dyDescent="0.25">
      <c r="A511" s="51">
        <v>42830</v>
      </c>
      <c r="B511" s="174" t="s">
        <v>12027</v>
      </c>
      <c r="C511" s="175"/>
      <c r="D511" s="176" t="s">
        <v>12027</v>
      </c>
      <c r="E511" s="176">
        <v>106945</v>
      </c>
      <c r="F511" s="177" t="s">
        <v>149</v>
      </c>
      <c r="G511" s="178">
        <v>2195.1999999999998</v>
      </c>
      <c r="H511" s="179">
        <v>42830</v>
      </c>
      <c r="I511" s="178">
        <f t="shared" si="15"/>
        <v>2195.1999999999998</v>
      </c>
      <c r="J511" s="178">
        <f t="shared" si="16"/>
        <v>0</v>
      </c>
      <c r="K511" s="19"/>
    </row>
    <row r="512" spans="1:11" x14ac:dyDescent="0.25">
      <c r="A512" s="51">
        <v>42830</v>
      </c>
      <c r="B512" s="174" t="s">
        <v>12028</v>
      </c>
      <c r="C512" s="175"/>
      <c r="D512" s="176" t="s">
        <v>12028</v>
      </c>
      <c r="E512" s="176">
        <v>106946</v>
      </c>
      <c r="F512" s="177" t="s">
        <v>85</v>
      </c>
      <c r="G512" s="178">
        <v>12515.4</v>
      </c>
      <c r="H512" s="179">
        <v>42830</v>
      </c>
      <c r="I512" s="178">
        <f t="shared" si="15"/>
        <v>12515.4</v>
      </c>
      <c r="J512" s="178">
        <f t="shared" si="16"/>
        <v>0</v>
      </c>
      <c r="K512" s="19"/>
    </row>
    <row r="513" spans="1:11" x14ac:dyDescent="0.25">
      <c r="A513" s="51">
        <v>42830</v>
      </c>
      <c r="B513" s="174" t="s">
        <v>12029</v>
      </c>
      <c r="C513" s="175"/>
      <c r="D513" s="176" t="s">
        <v>12029</v>
      </c>
      <c r="E513" s="176">
        <v>106947</v>
      </c>
      <c r="F513" s="177" t="s">
        <v>71</v>
      </c>
      <c r="G513" s="178">
        <v>1738.5</v>
      </c>
      <c r="H513" s="179">
        <v>42831</v>
      </c>
      <c r="I513" s="178">
        <f t="shared" si="15"/>
        <v>1738.5</v>
      </c>
      <c r="J513" s="178">
        <f t="shared" si="16"/>
        <v>0</v>
      </c>
      <c r="K513" s="19"/>
    </row>
    <row r="514" spans="1:11" x14ac:dyDescent="0.25">
      <c r="A514" s="51">
        <v>42830</v>
      </c>
      <c r="B514" s="174" t="s">
        <v>12030</v>
      </c>
      <c r="C514" s="175"/>
      <c r="D514" s="176" t="s">
        <v>12030</v>
      </c>
      <c r="E514" s="176">
        <v>106948</v>
      </c>
      <c r="F514" s="177" t="s">
        <v>222</v>
      </c>
      <c r="G514" s="178">
        <v>22940.65</v>
      </c>
      <c r="H514" s="179">
        <v>42833</v>
      </c>
      <c r="I514" s="178">
        <f t="shared" si="15"/>
        <v>22940.65</v>
      </c>
      <c r="J514" s="178">
        <f t="shared" si="16"/>
        <v>0</v>
      </c>
      <c r="K514" s="19"/>
    </row>
    <row r="515" spans="1:11" x14ac:dyDescent="0.25">
      <c r="A515" s="51">
        <v>42830</v>
      </c>
      <c r="B515" s="174" t="s">
        <v>12031</v>
      </c>
      <c r="C515" s="175"/>
      <c r="D515" s="176" t="s">
        <v>12031</v>
      </c>
      <c r="E515" s="176">
        <v>106949</v>
      </c>
      <c r="F515" s="177" t="s">
        <v>99</v>
      </c>
      <c r="G515" s="178">
        <v>1505</v>
      </c>
      <c r="H515" s="179">
        <v>42830</v>
      </c>
      <c r="I515" s="178">
        <f t="shared" si="15"/>
        <v>1505</v>
      </c>
      <c r="J515" s="178">
        <f t="shared" si="16"/>
        <v>0</v>
      </c>
      <c r="K515" s="19"/>
    </row>
    <row r="516" spans="1:11" x14ac:dyDescent="0.25">
      <c r="A516" s="51">
        <v>42830</v>
      </c>
      <c r="B516" s="174" t="s">
        <v>12032</v>
      </c>
      <c r="C516" s="175"/>
      <c r="D516" s="176" t="s">
        <v>12032</v>
      </c>
      <c r="E516" s="176">
        <v>106950</v>
      </c>
      <c r="F516" s="177" t="s">
        <v>281</v>
      </c>
      <c r="G516" s="178">
        <v>1792.3</v>
      </c>
      <c r="H516" s="179">
        <v>42830</v>
      </c>
      <c r="I516" s="178">
        <f t="shared" ref="I516:I579" si="17">G516</f>
        <v>1792.3</v>
      </c>
      <c r="J516" s="178">
        <f t="shared" ref="J516:J579" si="18">G516-I516</f>
        <v>0</v>
      </c>
      <c r="K516" s="19"/>
    </row>
    <row r="517" spans="1:11" x14ac:dyDescent="0.25">
      <c r="A517" s="51">
        <v>42830</v>
      </c>
      <c r="B517" s="174" t="s">
        <v>12033</v>
      </c>
      <c r="C517" s="175"/>
      <c r="D517" s="176" t="s">
        <v>12033</v>
      </c>
      <c r="E517" s="176">
        <v>106951</v>
      </c>
      <c r="F517" s="177" t="s">
        <v>4367</v>
      </c>
      <c r="G517" s="178">
        <v>1433.5</v>
      </c>
      <c r="H517" s="179">
        <v>42830</v>
      </c>
      <c r="I517" s="178">
        <f t="shared" si="17"/>
        <v>1433.5</v>
      </c>
      <c r="J517" s="178">
        <f t="shared" si="18"/>
        <v>0</v>
      </c>
      <c r="K517" s="19"/>
    </row>
    <row r="518" spans="1:11" x14ac:dyDescent="0.25">
      <c r="A518" s="51">
        <v>42830</v>
      </c>
      <c r="B518" s="174" t="s">
        <v>12034</v>
      </c>
      <c r="C518" s="175"/>
      <c r="D518" s="176" t="s">
        <v>12034</v>
      </c>
      <c r="E518" s="176">
        <v>106952</v>
      </c>
      <c r="F518" s="177" t="s">
        <v>1081</v>
      </c>
      <c r="G518" s="178">
        <v>385</v>
      </c>
      <c r="H518" s="179">
        <v>42830</v>
      </c>
      <c r="I518" s="178">
        <f t="shared" si="17"/>
        <v>385</v>
      </c>
      <c r="J518" s="178">
        <f t="shared" si="18"/>
        <v>0</v>
      </c>
      <c r="K518" s="19"/>
    </row>
    <row r="519" spans="1:11" x14ac:dyDescent="0.25">
      <c r="A519" s="51">
        <v>42830</v>
      </c>
      <c r="B519" s="174" t="s">
        <v>12035</v>
      </c>
      <c r="C519" s="175"/>
      <c r="D519" s="176" t="s">
        <v>12035</v>
      </c>
      <c r="E519" s="176">
        <v>106953</v>
      </c>
      <c r="F519" s="177" t="s">
        <v>291</v>
      </c>
      <c r="G519" s="178">
        <v>2006.4</v>
      </c>
      <c r="H519" s="179">
        <v>42830</v>
      </c>
      <c r="I519" s="178">
        <f t="shared" si="17"/>
        <v>2006.4</v>
      </c>
      <c r="J519" s="178">
        <f t="shared" si="18"/>
        <v>0</v>
      </c>
      <c r="K519" s="19"/>
    </row>
    <row r="520" spans="1:11" x14ac:dyDescent="0.25">
      <c r="A520" s="51">
        <v>42830</v>
      </c>
      <c r="B520" s="174" t="s">
        <v>12036</v>
      </c>
      <c r="C520" s="175"/>
      <c r="D520" s="176" t="s">
        <v>12036</v>
      </c>
      <c r="E520" s="176">
        <v>106954</v>
      </c>
      <c r="F520" s="177" t="s">
        <v>563</v>
      </c>
      <c r="G520" s="178">
        <v>3406.2</v>
      </c>
      <c r="H520" s="179">
        <v>42830</v>
      </c>
      <c r="I520" s="178">
        <f t="shared" si="17"/>
        <v>3406.2</v>
      </c>
      <c r="J520" s="178">
        <f t="shared" si="18"/>
        <v>0</v>
      </c>
      <c r="K520" s="19"/>
    </row>
    <row r="521" spans="1:11" x14ac:dyDescent="0.25">
      <c r="A521" s="51">
        <v>42830</v>
      </c>
      <c r="B521" s="174" t="s">
        <v>12037</v>
      </c>
      <c r="C521" s="175"/>
      <c r="D521" s="176" t="s">
        <v>12037</v>
      </c>
      <c r="E521" s="176">
        <v>106955</v>
      </c>
      <c r="F521" s="177" t="s">
        <v>83</v>
      </c>
      <c r="G521" s="178">
        <v>2050</v>
      </c>
      <c r="H521" s="179">
        <v>42830</v>
      </c>
      <c r="I521" s="178">
        <f t="shared" si="17"/>
        <v>2050</v>
      </c>
      <c r="J521" s="178">
        <f t="shared" si="18"/>
        <v>0</v>
      </c>
      <c r="K521" s="19"/>
    </row>
    <row r="522" spans="1:11" x14ac:dyDescent="0.25">
      <c r="A522" s="51">
        <v>42830</v>
      </c>
      <c r="B522" s="174" t="s">
        <v>12038</v>
      </c>
      <c r="C522" s="175"/>
      <c r="D522" s="176" t="s">
        <v>12038</v>
      </c>
      <c r="E522" s="176">
        <v>106956</v>
      </c>
      <c r="F522" s="177" t="s">
        <v>103</v>
      </c>
      <c r="G522" s="178">
        <v>2633.4</v>
      </c>
      <c r="H522" s="179">
        <v>42832</v>
      </c>
      <c r="I522" s="178">
        <f t="shared" si="17"/>
        <v>2633.4</v>
      </c>
      <c r="J522" s="178">
        <f t="shared" si="18"/>
        <v>0</v>
      </c>
      <c r="K522" s="19"/>
    </row>
    <row r="523" spans="1:11" x14ac:dyDescent="0.25">
      <c r="A523" s="51">
        <v>42830</v>
      </c>
      <c r="B523" s="174" t="s">
        <v>12039</v>
      </c>
      <c r="C523" s="175"/>
      <c r="D523" s="176" t="s">
        <v>12039</v>
      </c>
      <c r="E523" s="176">
        <v>106957</v>
      </c>
      <c r="F523" s="177" t="s">
        <v>1256</v>
      </c>
      <c r="G523" s="178">
        <v>1720.4</v>
      </c>
      <c r="H523" s="179">
        <v>42830</v>
      </c>
      <c r="I523" s="178">
        <f t="shared" si="17"/>
        <v>1720.4</v>
      </c>
      <c r="J523" s="178">
        <f t="shared" si="18"/>
        <v>0</v>
      </c>
      <c r="K523" s="19"/>
    </row>
    <row r="524" spans="1:11" x14ac:dyDescent="0.25">
      <c r="A524" s="51">
        <v>42830</v>
      </c>
      <c r="B524" s="174" t="s">
        <v>12040</v>
      </c>
      <c r="C524" s="175"/>
      <c r="D524" s="176" t="s">
        <v>12040</v>
      </c>
      <c r="E524" s="176">
        <v>106958</v>
      </c>
      <c r="F524" s="177" t="s">
        <v>613</v>
      </c>
      <c r="G524" s="178">
        <v>4611.2</v>
      </c>
      <c r="H524" s="179">
        <v>42830</v>
      </c>
      <c r="I524" s="178">
        <f t="shared" si="17"/>
        <v>4611.2</v>
      </c>
      <c r="J524" s="178">
        <f t="shared" si="18"/>
        <v>0</v>
      </c>
      <c r="K524" s="19"/>
    </row>
    <row r="525" spans="1:11" x14ac:dyDescent="0.25">
      <c r="A525" s="51">
        <v>42830</v>
      </c>
      <c r="B525" s="174" t="s">
        <v>12041</v>
      </c>
      <c r="C525" s="175"/>
      <c r="D525" s="176" t="s">
        <v>12041</v>
      </c>
      <c r="E525" s="176">
        <v>106959</v>
      </c>
      <c r="F525" s="177" t="s">
        <v>81</v>
      </c>
      <c r="G525" s="178">
        <v>5326.7</v>
      </c>
      <c r="H525" s="179">
        <v>42830</v>
      </c>
      <c r="I525" s="178">
        <f t="shared" si="17"/>
        <v>5326.7</v>
      </c>
      <c r="J525" s="178">
        <f t="shared" si="18"/>
        <v>0</v>
      </c>
      <c r="K525" s="19"/>
    </row>
    <row r="526" spans="1:11" x14ac:dyDescent="0.25">
      <c r="A526" s="51">
        <v>42830</v>
      </c>
      <c r="B526" s="174" t="s">
        <v>12042</v>
      </c>
      <c r="C526" s="175"/>
      <c r="D526" s="176" t="s">
        <v>12042</v>
      </c>
      <c r="E526" s="176">
        <v>106960</v>
      </c>
      <c r="F526" s="177" t="s">
        <v>92</v>
      </c>
      <c r="G526" s="178">
        <v>1741.5</v>
      </c>
      <c r="H526" s="179">
        <v>42830</v>
      </c>
      <c r="I526" s="178">
        <f t="shared" si="17"/>
        <v>1741.5</v>
      </c>
      <c r="J526" s="178">
        <f t="shared" si="18"/>
        <v>0</v>
      </c>
      <c r="K526" s="19"/>
    </row>
    <row r="527" spans="1:11" x14ac:dyDescent="0.25">
      <c r="A527" s="51">
        <v>42830</v>
      </c>
      <c r="B527" s="174" t="s">
        <v>12043</v>
      </c>
      <c r="C527" s="175"/>
      <c r="D527" s="176" t="s">
        <v>12043</v>
      </c>
      <c r="E527" s="176">
        <v>106961</v>
      </c>
      <c r="F527" s="177" t="s">
        <v>1259</v>
      </c>
      <c r="G527" s="178">
        <v>1352.4</v>
      </c>
      <c r="H527" s="179">
        <v>42830</v>
      </c>
      <c r="I527" s="178">
        <f t="shared" si="17"/>
        <v>1352.4</v>
      </c>
      <c r="J527" s="178">
        <f t="shared" si="18"/>
        <v>0</v>
      </c>
      <c r="K527" s="19"/>
    </row>
    <row r="528" spans="1:11" x14ac:dyDescent="0.25">
      <c r="A528" s="51">
        <v>42830</v>
      </c>
      <c r="B528" s="174" t="s">
        <v>12044</v>
      </c>
      <c r="C528" s="175"/>
      <c r="D528" s="176" t="s">
        <v>12044</v>
      </c>
      <c r="E528" s="176">
        <v>106962</v>
      </c>
      <c r="F528" s="177" t="s">
        <v>105</v>
      </c>
      <c r="G528" s="178">
        <v>3057.6</v>
      </c>
      <c r="H528" s="179">
        <v>42832</v>
      </c>
      <c r="I528" s="178">
        <f t="shared" si="17"/>
        <v>3057.6</v>
      </c>
      <c r="J528" s="178">
        <f t="shared" si="18"/>
        <v>0</v>
      </c>
      <c r="K528" s="19"/>
    </row>
    <row r="529" spans="1:11" x14ac:dyDescent="0.25">
      <c r="A529" s="51">
        <v>42830</v>
      </c>
      <c r="B529" s="174" t="s">
        <v>12045</v>
      </c>
      <c r="C529" s="175"/>
      <c r="D529" s="176" t="s">
        <v>12045</v>
      </c>
      <c r="E529" s="176">
        <v>106963</v>
      </c>
      <c r="F529" s="177" t="s">
        <v>838</v>
      </c>
      <c r="G529" s="178">
        <v>3435.6</v>
      </c>
      <c r="H529" s="179">
        <v>42830</v>
      </c>
      <c r="I529" s="178">
        <f t="shared" si="17"/>
        <v>3435.6</v>
      </c>
      <c r="J529" s="178">
        <f t="shared" si="18"/>
        <v>0</v>
      </c>
      <c r="K529" s="19"/>
    </row>
    <row r="530" spans="1:11" x14ac:dyDescent="0.25">
      <c r="A530" s="51">
        <v>42830</v>
      </c>
      <c r="B530" s="174" t="s">
        <v>12046</v>
      </c>
      <c r="C530" s="175"/>
      <c r="D530" s="176" t="s">
        <v>12046</v>
      </c>
      <c r="E530" s="176">
        <v>106964</v>
      </c>
      <c r="F530" s="177" t="s">
        <v>448</v>
      </c>
      <c r="G530" s="178">
        <v>243</v>
      </c>
      <c r="H530" s="179">
        <v>42830</v>
      </c>
      <c r="I530" s="178">
        <f t="shared" si="17"/>
        <v>243</v>
      </c>
      <c r="J530" s="178">
        <f t="shared" si="18"/>
        <v>0</v>
      </c>
      <c r="K530" s="19"/>
    </row>
    <row r="531" spans="1:11" x14ac:dyDescent="0.25">
      <c r="A531" s="51">
        <v>42830</v>
      </c>
      <c r="B531" s="174" t="s">
        <v>12047</v>
      </c>
      <c r="C531" s="175"/>
      <c r="D531" s="176" t="s">
        <v>12047</v>
      </c>
      <c r="E531" s="176">
        <v>106965</v>
      </c>
      <c r="F531" s="177" t="s">
        <v>30</v>
      </c>
      <c r="G531" s="178">
        <v>1474</v>
      </c>
      <c r="H531" s="179">
        <v>42830</v>
      </c>
      <c r="I531" s="178">
        <f t="shared" si="17"/>
        <v>1474</v>
      </c>
      <c r="J531" s="178">
        <f t="shared" si="18"/>
        <v>0</v>
      </c>
      <c r="K531" s="19"/>
    </row>
    <row r="532" spans="1:11" x14ac:dyDescent="0.25">
      <c r="A532" s="51">
        <v>42830</v>
      </c>
      <c r="B532" s="174" t="s">
        <v>12048</v>
      </c>
      <c r="C532" s="175"/>
      <c r="D532" s="176" t="s">
        <v>12048</v>
      </c>
      <c r="E532" s="176">
        <v>106966</v>
      </c>
      <c r="F532" s="177" t="s">
        <v>88</v>
      </c>
      <c r="G532" s="178">
        <v>5493.6</v>
      </c>
      <c r="H532" s="179">
        <v>42830</v>
      </c>
      <c r="I532" s="178">
        <f t="shared" si="17"/>
        <v>5493.6</v>
      </c>
      <c r="J532" s="178">
        <f t="shared" si="18"/>
        <v>0</v>
      </c>
      <c r="K532" s="19"/>
    </row>
    <row r="533" spans="1:11" x14ac:dyDescent="0.25">
      <c r="A533" s="51">
        <v>42830</v>
      </c>
      <c r="B533" s="174" t="s">
        <v>12049</v>
      </c>
      <c r="C533" s="175"/>
      <c r="D533" s="176" t="s">
        <v>12049</v>
      </c>
      <c r="E533" s="176">
        <v>106967</v>
      </c>
      <c r="F533" s="177" t="s">
        <v>2986</v>
      </c>
      <c r="G533" s="178">
        <v>6465.6</v>
      </c>
      <c r="H533" s="179">
        <v>42830</v>
      </c>
      <c r="I533" s="178">
        <f t="shared" si="17"/>
        <v>6465.6</v>
      </c>
      <c r="J533" s="178">
        <f t="shared" si="18"/>
        <v>0</v>
      </c>
      <c r="K533" s="19"/>
    </row>
    <row r="534" spans="1:11" x14ac:dyDescent="0.25">
      <c r="A534" s="51">
        <v>42830</v>
      </c>
      <c r="B534" s="174" t="s">
        <v>12050</v>
      </c>
      <c r="C534" s="175"/>
      <c r="D534" s="176" t="s">
        <v>12050</v>
      </c>
      <c r="E534" s="176">
        <v>106968</v>
      </c>
      <c r="F534" s="177" t="s">
        <v>9110</v>
      </c>
      <c r="G534" s="178">
        <v>29813.439999999999</v>
      </c>
      <c r="H534" s="179">
        <v>42830</v>
      </c>
      <c r="I534" s="178">
        <f t="shared" si="17"/>
        <v>29813.439999999999</v>
      </c>
      <c r="J534" s="178">
        <f t="shared" si="18"/>
        <v>0</v>
      </c>
      <c r="K534" s="19"/>
    </row>
    <row r="535" spans="1:11" x14ac:dyDescent="0.25">
      <c r="A535" s="51">
        <v>42830</v>
      </c>
      <c r="B535" s="174" t="s">
        <v>12051</v>
      </c>
      <c r="C535" s="175"/>
      <c r="D535" s="176" t="s">
        <v>12051</v>
      </c>
      <c r="E535" s="176">
        <v>106969</v>
      </c>
      <c r="F535" s="177" t="s">
        <v>109</v>
      </c>
      <c r="G535" s="178">
        <v>3980.9</v>
      </c>
      <c r="H535" s="179">
        <v>42830</v>
      </c>
      <c r="I535" s="178">
        <f t="shared" si="17"/>
        <v>3980.9</v>
      </c>
      <c r="J535" s="178">
        <f t="shared" si="18"/>
        <v>0</v>
      </c>
      <c r="K535" s="19"/>
    </row>
    <row r="536" spans="1:11" x14ac:dyDescent="0.25">
      <c r="A536" s="51">
        <v>42830</v>
      </c>
      <c r="B536" s="174" t="s">
        <v>12052</v>
      </c>
      <c r="C536" s="175"/>
      <c r="D536" s="176" t="s">
        <v>12052</v>
      </c>
      <c r="E536" s="176">
        <v>106970</v>
      </c>
      <c r="F536" s="177" t="s">
        <v>118</v>
      </c>
      <c r="G536" s="178">
        <v>30684.48</v>
      </c>
      <c r="H536" s="179">
        <v>42831</v>
      </c>
      <c r="I536" s="178">
        <f t="shared" si="17"/>
        <v>30684.48</v>
      </c>
      <c r="J536" s="178">
        <f t="shared" si="18"/>
        <v>0</v>
      </c>
      <c r="K536" s="19"/>
    </row>
    <row r="537" spans="1:11" x14ac:dyDescent="0.25">
      <c r="A537" s="51">
        <v>42830</v>
      </c>
      <c r="B537" s="174" t="s">
        <v>12053</v>
      </c>
      <c r="C537" s="175"/>
      <c r="D537" s="176" t="s">
        <v>12053</v>
      </c>
      <c r="E537" s="176">
        <v>106971</v>
      </c>
      <c r="F537" s="177" t="s">
        <v>115</v>
      </c>
      <c r="G537" s="178">
        <v>3375.6</v>
      </c>
      <c r="H537" s="179">
        <v>42830</v>
      </c>
      <c r="I537" s="178">
        <f t="shared" si="17"/>
        <v>3375.6</v>
      </c>
      <c r="J537" s="178">
        <f t="shared" si="18"/>
        <v>0</v>
      </c>
      <c r="K537" s="19"/>
    </row>
    <row r="538" spans="1:11" x14ac:dyDescent="0.25">
      <c r="A538" s="51">
        <v>42830</v>
      </c>
      <c r="B538" s="174" t="s">
        <v>12054</v>
      </c>
      <c r="C538" s="175"/>
      <c r="D538" s="176" t="s">
        <v>12054</v>
      </c>
      <c r="E538" s="176">
        <v>106972</v>
      </c>
      <c r="F538" s="177" t="s">
        <v>465</v>
      </c>
      <c r="G538" s="178">
        <v>2169.6</v>
      </c>
      <c r="H538" s="179">
        <v>42833</v>
      </c>
      <c r="I538" s="178">
        <f t="shared" si="17"/>
        <v>2169.6</v>
      </c>
      <c r="J538" s="178">
        <f t="shared" si="18"/>
        <v>0</v>
      </c>
      <c r="K538" s="19"/>
    </row>
    <row r="539" spans="1:11" x14ac:dyDescent="0.25">
      <c r="A539" s="51">
        <v>42830</v>
      </c>
      <c r="B539" s="174" t="s">
        <v>12055</v>
      </c>
      <c r="C539" s="175"/>
      <c r="D539" s="176" t="s">
        <v>12055</v>
      </c>
      <c r="E539" s="176">
        <v>106973</v>
      </c>
      <c r="F539" s="177" t="s">
        <v>186</v>
      </c>
      <c r="G539" s="178">
        <v>3028.2</v>
      </c>
      <c r="H539" s="179">
        <v>42832</v>
      </c>
      <c r="I539" s="178">
        <f t="shared" si="17"/>
        <v>3028.2</v>
      </c>
      <c r="J539" s="178">
        <f t="shared" si="18"/>
        <v>0</v>
      </c>
      <c r="K539" s="19"/>
    </row>
    <row r="540" spans="1:11" x14ac:dyDescent="0.25">
      <c r="A540" s="51">
        <v>42830</v>
      </c>
      <c r="B540" s="174" t="s">
        <v>12056</v>
      </c>
      <c r="C540" s="175"/>
      <c r="D540" s="176" t="s">
        <v>12056</v>
      </c>
      <c r="E540" s="176">
        <v>106974</v>
      </c>
      <c r="F540" s="177" t="s">
        <v>85</v>
      </c>
      <c r="G540" s="178">
        <v>9421.7000000000007</v>
      </c>
      <c r="H540" s="179">
        <v>42831</v>
      </c>
      <c r="I540" s="178">
        <f t="shared" si="17"/>
        <v>9421.7000000000007</v>
      </c>
      <c r="J540" s="178">
        <f t="shared" si="18"/>
        <v>0</v>
      </c>
      <c r="K540" s="19"/>
    </row>
    <row r="541" spans="1:11" x14ac:dyDescent="0.25">
      <c r="A541" s="51">
        <v>42830</v>
      </c>
      <c r="B541" s="174" t="s">
        <v>12057</v>
      </c>
      <c r="C541" s="175"/>
      <c r="D541" s="176" t="s">
        <v>12057</v>
      </c>
      <c r="E541" s="176">
        <v>106975</v>
      </c>
      <c r="F541" s="177" t="s">
        <v>55</v>
      </c>
      <c r="G541" s="178">
        <v>1609.4</v>
      </c>
      <c r="H541" s="179">
        <v>42830</v>
      </c>
      <c r="I541" s="178">
        <f t="shared" si="17"/>
        <v>1609.4</v>
      </c>
      <c r="J541" s="178">
        <f t="shared" si="18"/>
        <v>0</v>
      </c>
      <c r="K541" s="19"/>
    </row>
    <row r="542" spans="1:11" x14ac:dyDescent="0.25">
      <c r="A542" s="51">
        <v>42830</v>
      </c>
      <c r="B542" s="174" t="s">
        <v>12058</v>
      </c>
      <c r="C542" s="175"/>
      <c r="D542" s="176" t="s">
        <v>12058</v>
      </c>
      <c r="E542" s="176">
        <v>106976</v>
      </c>
      <c r="F542" s="177" t="s">
        <v>468</v>
      </c>
      <c r="G542" s="178">
        <v>11816.08</v>
      </c>
      <c r="H542" s="179">
        <v>42837</v>
      </c>
      <c r="I542" s="178">
        <f t="shared" si="17"/>
        <v>11816.08</v>
      </c>
      <c r="J542" s="178">
        <f t="shared" si="18"/>
        <v>0</v>
      </c>
      <c r="K542" s="19"/>
    </row>
    <row r="543" spans="1:11" x14ac:dyDescent="0.25">
      <c r="A543" s="51">
        <v>42830</v>
      </c>
      <c r="B543" s="174" t="s">
        <v>12059</v>
      </c>
      <c r="C543" s="175"/>
      <c r="D543" s="176" t="s">
        <v>12059</v>
      </c>
      <c r="E543" s="176">
        <v>106977</v>
      </c>
      <c r="F543" s="177" t="s">
        <v>277</v>
      </c>
      <c r="G543" s="178">
        <v>2345.1999999999998</v>
      </c>
      <c r="H543" s="179">
        <v>42831</v>
      </c>
      <c r="I543" s="178">
        <f t="shared" si="17"/>
        <v>2345.1999999999998</v>
      </c>
      <c r="J543" s="178">
        <f t="shared" si="18"/>
        <v>0</v>
      </c>
      <c r="K543" s="19"/>
    </row>
    <row r="544" spans="1:11" x14ac:dyDescent="0.25">
      <c r="A544" s="51">
        <v>42830</v>
      </c>
      <c r="B544" s="174" t="s">
        <v>12060</v>
      </c>
      <c r="C544" s="175"/>
      <c r="D544" s="176" t="s">
        <v>12060</v>
      </c>
      <c r="E544" s="176">
        <v>106978</v>
      </c>
      <c r="F544" s="177" t="s">
        <v>277</v>
      </c>
      <c r="G544" s="178">
        <v>21.28</v>
      </c>
      <c r="H544" s="179">
        <v>42831</v>
      </c>
      <c r="I544" s="178">
        <f t="shared" si="17"/>
        <v>21.28</v>
      </c>
      <c r="J544" s="178">
        <f t="shared" si="18"/>
        <v>0</v>
      </c>
      <c r="K544" s="19"/>
    </row>
    <row r="545" spans="1:11" x14ac:dyDescent="0.25">
      <c r="A545" s="51">
        <v>42830</v>
      </c>
      <c r="B545" s="174" t="s">
        <v>12061</v>
      </c>
      <c r="C545" s="175"/>
      <c r="D545" s="176" t="s">
        <v>12061</v>
      </c>
      <c r="E545" s="176">
        <v>106979</v>
      </c>
      <c r="F545" s="177" t="s">
        <v>168</v>
      </c>
      <c r="G545" s="178">
        <v>300.3</v>
      </c>
      <c r="H545" s="179">
        <v>42830</v>
      </c>
      <c r="I545" s="178">
        <f t="shared" si="17"/>
        <v>300.3</v>
      </c>
      <c r="J545" s="178">
        <f t="shared" si="18"/>
        <v>0</v>
      </c>
      <c r="K545" s="19"/>
    </row>
    <row r="546" spans="1:11" x14ac:dyDescent="0.25">
      <c r="A546" s="51">
        <v>42830</v>
      </c>
      <c r="B546" s="174" t="s">
        <v>12062</v>
      </c>
      <c r="C546" s="175"/>
      <c r="D546" s="176" t="s">
        <v>12062</v>
      </c>
      <c r="E546" s="176">
        <v>106980</v>
      </c>
      <c r="F546" s="177" t="s">
        <v>12063</v>
      </c>
      <c r="G546" s="178">
        <v>7507.2</v>
      </c>
      <c r="H546" s="179">
        <v>42831</v>
      </c>
      <c r="I546" s="178">
        <f t="shared" si="17"/>
        <v>7507.2</v>
      </c>
      <c r="J546" s="178">
        <f t="shared" si="18"/>
        <v>0</v>
      </c>
      <c r="K546" s="19"/>
    </row>
    <row r="547" spans="1:11" x14ac:dyDescent="0.25">
      <c r="A547" s="51">
        <v>42830</v>
      </c>
      <c r="B547" s="174" t="s">
        <v>12064</v>
      </c>
      <c r="C547" s="175"/>
      <c r="D547" s="176" t="s">
        <v>12064</v>
      </c>
      <c r="E547" s="176">
        <v>106981</v>
      </c>
      <c r="F547" s="177" t="s">
        <v>61</v>
      </c>
      <c r="G547" s="178">
        <v>8804.2000000000007</v>
      </c>
      <c r="H547" s="179">
        <v>42831</v>
      </c>
      <c r="I547" s="178">
        <f t="shared" si="17"/>
        <v>8804.2000000000007</v>
      </c>
      <c r="J547" s="178">
        <f t="shared" si="18"/>
        <v>0</v>
      </c>
      <c r="K547" s="19"/>
    </row>
    <row r="548" spans="1:11" x14ac:dyDescent="0.25">
      <c r="A548" s="51">
        <v>42830</v>
      </c>
      <c r="B548" s="174" t="s">
        <v>12065</v>
      </c>
      <c r="C548" s="175"/>
      <c r="D548" s="176" t="s">
        <v>12065</v>
      </c>
      <c r="E548" s="176">
        <v>106982</v>
      </c>
      <c r="F548" s="177" t="s">
        <v>630</v>
      </c>
      <c r="G548" s="178">
        <v>1839.6</v>
      </c>
      <c r="H548" s="179">
        <v>42831</v>
      </c>
      <c r="I548" s="178">
        <f t="shared" si="17"/>
        <v>1839.6</v>
      </c>
      <c r="J548" s="178">
        <f t="shared" si="18"/>
        <v>0</v>
      </c>
      <c r="K548" s="19"/>
    </row>
    <row r="549" spans="1:11" x14ac:dyDescent="0.25">
      <c r="A549" s="51">
        <v>42830</v>
      </c>
      <c r="B549" s="174" t="s">
        <v>12066</v>
      </c>
      <c r="C549" s="175"/>
      <c r="D549" s="176" t="s">
        <v>12066</v>
      </c>
      <c r="E549" s="176">
        <v>106983</v>
      </c>
      <c r="F549" s="177" t="s">
        <v>10</v>
      </c>
      <c r="G549" s="178">
        <v>2161.6</v>
      </c>
      <c r="H549" s="179">
        <v>42833</v>
      </c>
      <c r="I549" s="178">
        <f t="shared" si="17"/>
        <v>2161.6</v>
      </c>
      <c r="J549" s="178">
        <f t="shared" si="18"/>
        <v>0</v>
      </c>
      <c r="K549" s="19"/>
    </row>
    <row r="550" spans="1:11" x14ac:dyDescent="0.25">
      <c r="A550" s="51">
        <v>42830</v>
      </c>
      <c r="B550" s="174" t="s">
        <v>12067</v>
      </c>
      <c r="C550" s="175"/>
      <c r="D550" s="176" t="s">
        <v>12067</v>
      </c>
      <c r="E550" s="176">
        <v>106984</v>
      </c>
      <c r="F550" s="177" t="s">
        <v>45</v>
      </c>
      <c r="G550" s="178">
        <v>2167.1999999999998</v>
      </c>
      <c r="H550" s="179">
        <v>42831</v>
      </c>
      <c r="I550" s="178">
        <f t="shared" si="17"/>
        <v>2167.1999999999998</v>
      </c>
      <c r="J550" s="178">
        <f t="shared" si="18"/>
        <v>0</v>
      </c>
      <c r="K550" s="19"/>
    </row>
    <row r="551" spans="1:11" x14ac:dyDescent="0.25">
      <c r="A551" s="51">
        <v>42830</v>
      </c>
      <c r="B551" s="174" t="s">
        <v>12068</v>
      </c>
      <c r="C551" s="175"/>
      <c r="D551" s="176" t="s">
        <v>12068</v>
      </c>
      <c r="E551" s="176">
        <v>106985</v>
      </c>
      <c r="F551" s="177" t="s">
        <v>125</v>
      </c>
      <c r="G551" s="178">
        <v>7055.4</v>
      </c>
      <c r="H551" s="179">
        <v>42831</v>
      </c>
      <c r="I551" s="178">
        <f t="shared" si="17"/>
        <v>7055.4</v>
      </c>
      <c r="J551" s="178">
        <f t="shared" si="18"/>
        <v>0</v>
      </c>
      <c r="K551" s="19"/>
    </row>
    <row r="552" spans="1:11" x14ac:dyDescent="0.25">
      <c r="A552" s="51">
        <v>42830</v>
      </c>
      <c r="B552" s="174" t="s">
        <v>12069</v>
      </c>
      <c r="C552" s="175"/>
      <c r="D552" s="176" t="s">
        <v>12069</v>
      </c>
      <c r="E552" s="176">
        <v>106986</v>
      </c>
      <c r="F552" s="177" t="s">
        <v>1830</v>
      </c>
      <c r="G552" s="178">
        <v>5591</v>
      </c>
      <c r="H552" s="179">
        <v>42831</v>
      </c>
      <c r="I552" s="178">
        <f t="shared" si="17"/>
        <v>5591</v>
      </c>
      <c r="J552" s="178">
        <f t="shared" si="18"/>
        <v>0</v>
      </c>
      <c r="K552" s="19"/>
    </row>
    <row r="553" spans="1:11" x14ac:dyDescent="0.25">
      <c r="A553" s="51">
        <v>42830</v>
      </c>
      <c r="B553" s="174" t="s">
        <v>12070</v>
      </c>
      <c r="C553" s="175"/>
      <c r="D553" s="176" t="s">
        <v>12070</v>
      </c>
      <c r="E553" s="176">
        <v>106987</v>
      </c>
      <c r="F553" s="177" t="s">
        <v>188</v>
      </c>
      <c r="G553" s="178">
        <v>3773.8</v>
      </c>
      <c r="H553" s="179">
        <v>42831</v>
      </c>
      <c r="I553" s="178">
        <f t="shared" si="17"/>
        <v>3773.8</v>
      </c>
      <c r="J553" s="178">
        <f t="shared" si="18"/>
        <v>0</v>
      </c>
      <c r="K553" s="19"/>
    </row>
    <row r="554" spans="1:11" x14ac:dyDescent="0.25">
      <c r="A554" s="51">
        <v>42830</v>
      </c>
      <c r="B554" s="174" t="s">
        <v>12071</v>
      </c>
      <c r="C554" s="175"/>
      <c r="D554" s="176" t="s">
        <v>12071</v>
      </c>
      <c r="E554" s="176">
        <v>106988</v>
      </c>
      <c r="F554" s="177" t="s">
        <v>188</v>
      </c>
      <c r="G554" s="178">
        <v>441</v>
      </c>
      <c r="H554" s="179">
        <v>42831</v>
      </c>
      <c r="I554" s="178">
        <f t="shared" si="17"/>
        <v>441</v>
      </c>
      <c r="J554" s="178">
        <f t="shared" si="18"/>
        <v>0</v>
      </c>
      <c r="K554" s="19"/>
    </row>
    <row r="555" spans="1:11" x14ac:dyDescent="0.25">
      <c r="A555" s="51">
        <v>42830</v>
      </c>
      <c r="B555" s="174" t="s">
        <v>12072</v>
      </c>
      <c r="C555" s="175"/>
      <c r="D555" s="176" t="s">
        <v>12072</v>
      </c>
      <c r="E555" s="176">
        <v>106989</v>
      </c>
      <c r="F555" s="177" t="s">
        <v>57</v>
      </c>
      <c r="G555" s="178">
        <v>516</v>
      </c>
      <c r="H555" s="179">
        <v>42831</v>
      </c>
      <c r="I555" s="178">
        <f t="shared" si="17"/>
        <v>516</v>
      </c>
      <c r="J555" s="178">
        <f t="shared" si="18"/>
        <v>0</v>
      </c>
      <c r="K555" s="19"/>
    </row>
    <row r="556" spans="1:11" x14ac:dyDescent="0.25">
      <c r="A556" s="51">
        <v>42830</v>
      </c>
      <c r="B556" s="174" t="s">
        <v>12073</v>
      </c>
      <c r="C556" s="175"/>
      <c r="D556" s="176" t="s">
        <v>12073</v>
      </c>
      <c r="E556" s="176">
        <v>106990</v>
      </c>
      <c r="F556" s="177" t="s">
        <v>131</v>
      </c>
      <c r="G556" s="178">
        <v>1703.8</v>
      </c>
      <c r="H556" s="179">
        <v>42831</v>
      </c>
      <c r="I556" s="178">
        <f t="shared" si="17"/>
        <v>1703.8</v>
      </c>
      <c r="J556" s="178">
        <f t="shared" si="18"/>
        <v>0</v>
      </c>
      <c r="K556" s="19"/>
    </row>
    <row r="557" spans="1:11" x14ac:dyDescent="0.25">
      <c r="A557" s="51">
        <v>42830</v>
      </c>
      <c r="B557" s="174" t="s">
        <v>12074</v>
      </c>
      <c r="C557" s="175"/>
      <c r="D557" s="176" t="s">
        <v>12074</v>
      </c>
      <c r="E557" s="176">
        <v>106991</v>
      </c>
      <c r="F557" s="177" t="s">
        <v>122</v>
      </c>
      <c r="G557" s="178">
        <v>8810.2999999999993</v>
      </c>
      <c r="H557" s="179">
        <v>42837</v>
      </c>
      <c r="I557" s="178">
        <f t="shared" si="17"/>
        <v>8810.2999999999993</v>
      </c>
      <c r="J557" s="178">
        <f t="shared" si="18"/>
        <v>0</v>
      </c>
      <c r="K557" s="19"/>
    </row>
    <row r="558" spans="1:11" x14ac:dyDescent="0.25">
      <c r="A558" s="51">
        <v>42830</v>
      </c>
      <c r="B558" s="174" t="s">
        <v>12075</v>
      </c>
      <c r="C558" s="175"/>
      <c r="D558" s="176" t="s">
        <v>12075</v>
      </c>
      <c r="E558" s="176">
        <v>106992</v>
      </c>
      <c r="F558" s="177" t="s">
        <v>470</v>
      </c>
      <c r="G558" s="178">
        <v>12821.6</v>
      </c>
      <c r="H558" s="179">
        <v>42831</v>
      </c>
      <c r="I558" s="178">
        <f t="shared" si="17"/>
        <v>12821.6</v>
      </c>
      <c r="J558" s="178">
        <f t="shared" si="18"/>
        <v>0</v>
      </c>
      <c r="K558" s="19"/>
    </row>
    <row r="559" spans="1:11" x14ac:dyDescent="0.25">
      <c r="A559" s="51">
        <v>42830</v>
      </c>
      <c r="B559" s="174" t="s">
        <v>12076</v>
      </c>
      <c r="C559" s="175"/>
      <c r="D559" s="176" t="s">
        <v>12076</v>
      </c>
      <c r="E559" s="176">
        <v>106993</v>
      </c>
      <c r="F559" s="177" t="s">
        <v>63</v>
      </c>
      <c r="G559" s="178">
        <v>345</v>
      </c>
      <c r="H559" s="179">
        <v>42831</v>
      </c>
      <c r="I559" s="178">
        <f t="shared" si="17"/>
        <v>345</v>
      </c>
      <c r="J559" s="178">
        <f t="shared" si="18"/>
        <v>0</v>
      </c>
      <c r="K559" s="19"/>
    </row>
    <row r="560" spans="1:11" x14ac:dyDescent="0.25">
      <c r="A560" s="51">
        <v>42830</v>
      </c>
      <c r="B560" s="174" t="s">
        <v>12077</v>
      </c>
      <c r="C560" s="175"/>
      <c r="D560" s="176" t="s">
        <v>12077</v>
      </c>
      <c r="E560" s="176">
        <v>106994</v>
      </c>
      <c r="F560" s="177" t="s">
        <v>184</v>
      </c>
      <c r="G560" s="178">
        <v>546.29999999999995</v>
      </c>
      <c r="H560" s="179">
        <v>42831</v>
      </c>
      <c r="I560" s="178">
        <f t="shared" si="17"/>
        <v>546.29999999999995</v>
      </c>
      <c r="J560" s="178">
        <f t="shared" si="18"/>
        <v>0</v>
      </c>
      <c r="K560" s="19"/>
    </row>
    <row r="561" spans="1:11" x14ac:dyDescent="0.25">
      <c r="A561" s="51">
        <v>42830</v>
      </c>
      <c r="B561" s="174" t="s">
        <v>12078</v>
      </c>
      <c r="C561" s="175"/>
      <c r="D561" s="176" t="s">
        <v>12078</v>
      </c>
      <c r="E561" s="176">
        <v>106995</v>
      </c>
      <c r="F561" s="177" t="s">
        <v>53</v>
      </c>
      <c r="G561" s="178">
        <v>2324.6999999999998</v>
      </c>
      <c r="H561" s="179">
        <v>42831</v>
      </c>
      <c r="I561" s="178">
        <f t="shared" si="17"/>
        <v>2324.6999999999998</v>
      </c>
      <c r="J561" s="178">
        <f t="shared" si="18"/>
        <v>0</v>
      </c>
      <c r="K561" s="19"/>
    </row>
    <row r="562" spans="1:11" x14ac:dyDescent="0.25">
      <c r="A562" s="51">
        <v>42830</v>
      </c>
      <c r="B562" s="174" t="s">
        <v>12079</v>
      </c>
      <c r="C562" s="175"/>
      <c r="D562" s="176" t="s">
        <v>12079</v>
      </c>
      <c r="E562" s="176">
        <v>106996</v>
      </c>
      <c r="F562" s="177" t="s">
        <v>329</v>
      </c>
      <c r="G562" s="178">
        <v>482.8</v>
      </c>
      <c r="H562" s="179">
        <v>42830</v>
      </c>
      <c r="I562" s="178">
        <f t="shared" si="17"/>
        <v>482.8</v>
      </c>
      <c r="J562" s="178">
        <f t="shared" si="18"/>
        <v>0</v>
      </c>
      <c r="K562" s="19"/>
    </row>
    <row r="563" spans="1:11" x14ac:dyDescent="0.25">
      <c r="A563" s="51">
        <v>42830</v>
      </c>
      <c r="B563" s="174" t="s">
        <v>12080</v>
      </c>
      <c r="C563" s="175"/>
      <c r="D563" s="176" t="s">
        <v>12080</v>
      </c>
      <c r="E563" s="176">
        <v>106997</v>
      </c>
      <c r="F563" s="177" t="s">
        <v>492</v>
      </c>
      <c r="G563" s="178">
        <v>16742</v>
      </c>
      <c r="H563" s="179">
        <v>42834</v>
      </c>
      <c r="I563" s="178">
        <f t="shared" si="17"/>
        <v>16742</v>
      </c>
      <c r="J563" s="178">
        <f t="shared" si="18"/>
        <v>0</v>
      </c>
      <c r="K563" s="19"/>
    </row>
    <row r="564" spans="1:11" x14ac:dyDescent="0.25">
      <c r="A564" s="51">
        <v>42830</v>
      </c>
      <c r="B564" s="174" t="s">
        <v>12081</v>
      </c>
      <c r="C564" s="175"/>
      <c r="D564" s="176" t="s">
        <v>12081</v>
      </c>
      <c r="E564" s="176">
        <v>106998</v>
      </c>
      <c r="F564" s="177" t="s">
        <v>480</v>
      </c>
      <c r="G564" s="178">
        <v>1795.4</v>
      </c>
      <c r="H564" s="179">
        <v>42831</v>
      </c>
      <c r="I564" s="178">
        <f t="shared" si="17"/>
        <v>1795.4</v>
      </c>
      <c r="J564" s="178">
        <f t="shared" si="18"/>
        <v>0</v>
      </c>
      <c r="K564" s="19"/>
    </row>
    <row r="565" spans="1:11" x14ac:dyDescent="0.25">
      <c r="A565" s="51">
        <v>42830</v>
      </c>
      <c r="B565" s="174" t="s">
        <v>12082</v>
      </c>
      <c r="C565" s="175"/>
      <c r="D565" s="176" t="s">
        <v>12082</v>
      </c>
      <c r="E565" s="176">
        <v>106999</v>
      </c>
      <c r="F565" s="177" t="s">
        <v>302</v>
      </c>
      <c r="G565" s="178">
        <v>6596.2</v>
      </c>
      <c r="H565" s="179">
        <v>42832</v>
      </c>
      <c r="I565" s="178">
        <f t="shared" si="17"/>
        <v>6596.2</v>
      </c>
      <c r="J565" s="178">
        <f t="shared" si="18"/>
        <v>0</v>
      </c>
      <c r="K565" s="19"/>
    </row>
    <row r="566" spans="1:11" x14ac:dyDescent="0.25">
      <c r="A566" s="51">
        <v>42830</v>
      </c>
      <c r="B566" s="174" t="s">
        <v>12083</v>
      </c>
      <c r="C566" s="175"/>
      <c r="D566" s="176" t="s">
        <v>12083</v>
      </c>
      <c r="E566" s="176">
        <v>107000</v>
      </c>
      <c r="F566" s="177" t="s">
        <v>305</v>
      </c>
      <c r="G566" s="178">
        <v>3930</v>
      </c>
      <c r="H566" s="179">
        <v>42831</v>
      </c>
      <c r="I566" s="178">
        <f t="shared" si="17"/>
        <v>3930</v>
      </c>
      <c r="J566" s="178">
        <f t="shared" si="18"/>
        <v>0</v>
      </c>
      <c r="K566" s="19"/>
    </row>
    <row r="567" spans="1:11" x14ac:dyDescent="0.25">
      <c r="A567" s="51">
        <v>42830</v>
      </c>
      <c r="B567" s="174" t="s">
        <v>12084</v>
      </c>
      <c r="C567" s="175"/>
      <c r="D567" s="176" t="s">
        <v>12084</v>
      </c>
      <c r="E567" s="176">
        <v>107001</v>
      </c>
      <c r="F567" s="177" t="s">
        <v>476</v>
      </c>
      <c r="G567" s="178">
        <v>12641.1</v>
      </c>
      <c r="H567" s="179">
        <v>42832</v>
      </c>
      <c r="I567" s="178">
        <f t="shared" si="17"/>
        <v>12641.1</v>
      </c>
      <c r="J567" s="178">
        <f t="shared" si="18"/>
        <v>0</v>
      </c>
      <c r="K567" s="19"/>
    </row>
    <row r="568" spans="1:11" x14ac:dyDescent="0.25">
      <c r="A568" s="51">
        <v>42830</v>
      </c>
      <c r="B568" s="174" t="s">
        <v>12085</v>
      </c>
      <c r="C568" s="175"/>
      <c r="D568" s="176" t="s">
        <v>12085</v>
      </c>
      <c r="E568" s="176">
        <v>107002</v>
      </c>
      <c r="F568" s="177" t="s">
        <v>2240</v>
      </c>
      <c r="G568" s="178">
        <v>3879.6</v>
      </c>
      <c r="H568" s="179">
        <v>42830</v>
      </c>
      <c r="I568" s="178">
        <f t="shared" si="17"/>
        <v>3879.6</v>
      </c>
      <c r="J568" s="178">
        <f t="shared" si="18"/>
        <v>0</v>
      </c>
      <c r="K568" s="19"/>
    </row>
    <row r="569" spans="1:11" x14ac:dyDescent="0.25">
      <c r="A569" s="51">
        <v>42830</v>
      </c>
      <c r="B569" s="174" t="s">
        <v>12086</v>
      </c>
      <c r="C569" s="175"/>
      <c r="D569" s="176" t="s">
        <v>12086</v>
      </c>
      <c r="E569" s="176">
        <v>107003</v>
      </c>
      <c r="F569" s="177" t="s">
        <v>492</v>
      </c>
      <c r="G569" s="178">
        <v>1708.5</v>
      </c>
      <c r="H569" s="179">
        <v>42830</v>
      </c>
      <c r="I569" s="178">
        <f t="shared" si="17"/>
        <v>1708.5</v>
      </c>
      <c r="J569" s="178">
        <f t="shared" si="18"/>
        <v>0</v>
      </c>
      <c r="K569" s="19"/>
    </row>
    <row r="570" spans="1:11" x14ac:dyDescent="0.25">
      <c r="A570" s="51">
        <v>42830</v>
      </c>
      <c r="B570" s="174" t="s">
        <v>12087</v>
      </c>
      <c r="C570" s="175"/>
      <c r="D570" s="176" t="s">
        <v>12087</v>
      </c>
      <c r="E570" s="176">
        <v>107004</v>
      </c>
      <c r="F570" s="177" t="s">
        <v>3319</v>
      </c>
      <c r="G570" s="178">
        <v>10900</v>
      </c>
      <c r="H570" s="179">
        <v>42831</v>
      </c>
      <c r="I570" s="178">
        <f t="shared" si="17"/>
        <v>10900</v>
      </c>
      <c r="J570" s="178">
        <f t="shared" si="18"/>
        <v>0</v>
      </c>
      <c r="K570" s="19"/>
    </row>
    <row r="571" spans="1:11" x14ac:dyDescent="0.25">
      <c r="A571" s="51">
        <v>42830</v>
      </c>
      <c r="B571" s="174" t="s">
        <v>12088</v>
      </c>
      <c r="C571" s="175"/>
      <c r="D571" s="176" t="s">
        <v>12088</v>
      </c>
      <c r="E571" s="176">
        <v>107005</v>
      </c>
      <c r="F571" s="177" t="s">
        <v>10</v>
      </c>
      <c r="G571" s="178">
        <v>281827.08</v>
      </c>
      <c r="H571" s="179">
        <v>42833</v>
      </c>
      <c r="I571" s="178">
        <f t="shared" si="17"/>
        <v>281827.08</v>
      </c>
      <c r="J571" s="178">
        <f t="shared" si="18"/>
        <v>0</v>
      </c>
      <c r="K571" s="19"/>
    </row>
    <row r="572" spans="1:11" x14ac:dyDescent="0.25">
      <c r="A572" s="51">
        <v>42830</v>
      </c>
      <c r="B572" s="174" t="s">
        <v>12089</v>
      </c>
      <c r="C572" s="175"/>
      <c r="D572" s="176" t="s">
        <v>12089</v>
      </c>
      <c r="E572" s="176">
        <v>107006</v>
      </c>
      <c r="F572" s="177" t="s">
        <v>1421</v>
      </c>
      <c r="G572" s="178">
        <v>28486.799999999999</v>
      </c>
      <c r="H572" s="179">
        <v>42831</v>
      </c>
      <c r="I572" s="178">
        <f t="shared" si="17"/>
        <v>28486.799999999999</v>
      </c>
      <c r="J572" s="178">
        <f t="shared" si="18"/>
        <v>0</v>
      </c>
      <c r="K572" s="19"/>
    </row>
    <row r="573" spans="1:11" x14ac:dyDescent="0.25">
      <c r="A573" s="51">
        <v>42830</v>
      </c>
      <c r="B573" s="174" t="s">
        <v>12090</v>
      </c>
      <c r="C573" s="175"/>
      <c r="D573" s="176" t="s">
        <v>12090</v>
      </c>
      <c r="E573" s="176">
        <v>107007</v>
      </c>
      <c r="F573" s="189" t="s">
        <v>930</v>
      </c>
      <c r="G573" s="190">
        <v>0</v>
      </c>
      <c r="H573" s="191" t="s">
        <v>95</v>
      </c>
      <c r="I573" s="190">
        <f t="shared" si="17"/>
        <v>0</v>
      </c>
      <c r="J573" s="190">
        <f t="shared" si="18"/>
        <v>0</v>
      </c>
      <c r="K573" s="19"/>
    </row>
    <row r="574" spans="1:11" x14ac:dyDescent="0.25">
      <c r="A574" s="51">
        <v>42830</v>
      </c>
      <c r="B574" s="174" t="s">
        <v>12091</v>
      </c>
      <c r="C574" s="175"/>
      <c r="D574" s="176" t="s">
        <v>12091</v>
      </c>
      <c r="E574" s="176">
        <v>107008</v>
      </c>
      <c r="F574" s="177" t="s">
        <v>930</v>
      </c>
      <c r="G574" s="178">
        <v>7805.5</v>
      </c>
      <c r="H574" s="179">
        <v>42830</v>
      </c>
      <c r="I574" s="178">
        <f t="shared" si="17"/>
        <v>7805.5</v>
      </c>
      <c r="J574" s="178">
        <f t="shared" si="18"/>
        <v>0</v>
      </c>
      <c r="K574" s="19"/>
    </row>
    <row r="575" spans="1:11" x14ac:dyDescent="0.25">
      <c r="A575" s="51">
        <v>42830</v>
      </c>
      <c r="B575" s="174" t="s">
        <v>12092</v>
      </c>
      <c r="C575" s="175"/>
      <c r="D575" s="176" t="s">
        <v>12092</v>
      </c>
      <c r="E575" s="176">
        <v>107009</v>
      </c>
      <c r="F575" s="177" t="s">
        <v>145</v>
      </c>
      <c r="G575" s="178">
        <v>19191.599999999999</v>
      </c>
      <c r="H575" s="179">
        <v>42831</v>
      </c>
      <c r="I575" s="178">
        <f t="shared" si="17"/>
        <v>19191.599999999999</v>
      </c>
      <c r="J575" s="178">
        <f t="shared" si="18"/>
        <v>0</v>
      </c>
      <c r="K575" s="19"/>
    </row>
    <row r="576" spans="1:11" x14ac:dyDescent="0.25">
      <c r="A576" s="51">
        <v>42830</v>
      </c>
      <c r="B576" s="174" t="s">
        <v>12093</v>
      </c>
      <c r="C576" s="175"/>
      <c r="D576" s="176" t="s">
        <v>12093</v>
      </c>
      <c r="E576" s="176">
        <v>107010</v>
      </c>
      <c r="F576" s="177" t="s">
        <v>165</v>
      </c>
      <c r="G576" s="178">
        <v>10826.9</v>
      </c>
      <c r="H576" s="179">
        <v>42846</v>
      </c>
      <c r="I576" s="178">
        <f t="shared" si="17"/>
        <v>10826.9</v>
      </c>
      <c r="J576" s="178">
        <f t="shared" si="18"/>
        <v>0</v>
      </c>
      <c r="K576" s="19"/>
    </row>
    <row r="577" spans="1:11" x14ac:dyDescent="0.25">
      <c r="A577" s="51">
        <v>42830</v>
      </c>
      <c r="B577" s="174" t="s">
        <v>12094</v>
      </c>
      <c r="C577" s="175"/>
      <c r="D577" s="176" t="s">
        <v>12094</v>
      </c>
      <c r="E577" s="176">
        <v>107011</v>
      </c>
      <c r="F577" s="177" t="s">
        <v>155</v>
      </c>
      <c r="G577" s="178">
        <v>19754</v>
      </c>
      <c r="H577" s="179">
        <v>42833</v>
      </c>
      <c r="I577" s="178">
        <f t="shared" si="17"/>
        <v>19754</v>
      </c>
      <c r="J577" s="178">
        <f t="shared" si="18"/>
        <v>0</v>
      </c>
      <c r="K577" s="19"/>
    </row>
    <row r="578" spans="1:11" x14ac:dyDescent="0.25">
      <c r="A578" s="51">
        <v>42830</v>
      </c>
      <c r="B578" s="174" t="s">
        <v>12095</v>
      </c>
      <c r="C578" s="175"/>
      <c r="D578" s="176" t="s">
        <v>12095</v>
      </c>
      <c r="E578" s="176">
        <v>107012</v>
      </c>
      <c r="F578" s="177" t="s">
        <v>163</v>
      </c>
      <c r="G578" s="178">
        <v>6267.8</v>
      </c>
      <c r="H578" s="179">
        <v>42846</v>
      </c>
      <c r="I578" s="178">
        <f t="shared" si="17"/>
        <v>6267.8</v>
      </c>
      <c r="J578" s="178">
        <f t="shared" si="18"/>
        <v>0</v>
      </c>
      <c r="K578" s="19"/>
    </row>
    <row r="579" spans="1:11" x14ac:dyDescent="0.25">
      <c r="A579" s="51">
        <v>42830</v>
      </c>
      <c r="B579" s="174" t="s">
        <v>12096</v>
      </c>
      <c r="C579" s="175"/>
      <c r="D579" s="176" t="s">
        <v>12096</v>
      </c>
      <c r="E579" s="176">
        <v>107013</v>
      </c>
      <c r="F579" s="177" t="s">
        <v>3360</v>
      </c>
      <c r="G579" s="178">
        <v>1865.6</v>
      </c>
      <c r="H579" s="179">
        <v>42830</v>
      </c>
      <c r="I579" s="178">
        <f t="shared" si="17"/>
        <v>1865.6</v>
      </c>
      <c r="J579" s="178">
        <f t="shared" si="18"/>
        <v>0</v>
      </c>
      <c r="K579" s="19"/>
    </row>
    <row r="580" spans="1:11" x14ac:dyDescent="0.25">
      <c r="A580" s="51">
        <v>42830</v>
      </c>
      <c r="B580" s="174" t="s">
        <v>12097</v>
      </c>
      <c r="C580" s="175"/>
      <c r="D580" s="176" t="s">
        <v>12097</v>
      </c>
      <c r="E580" s="176">
        <v>107014</v>
      </c>
      <c r="F580" s="177" t="s">
        <v>161</v>
      </c>
      <c r="G580" s="178">
        <v>25918.9</v>
      </c>
      <c r="H580" s="179">
        <v>42846</v>
      </c>
      <c r="I580" s="178">
        <f t="shared" ref="I580:I643" si="19">G580</f>
        <v>25918.9</v>
      </c>
      <c r="J580" s="178">
        <f t="shared" ref="J580:J643" si="20">G580-I580</f>
        <v>0</v>
      </c>
      <c r="K580" s="19"/>
    </row>
    <row r="581" spans="1:11" x14ac:dyDescent="0.25">
      <c r="A581" s="51">
        <v>42830</v>
      </c>
      <c r="B581" s="174" t="s">
        <v>12098</v>
      </c>
      <c r="C581" s="175"/>
      <c r="D581" s="176" t="s">
        <v>12098</v>
      </c>
      <c r="E581" s="176">
        <v>107015</v>
      </c>
      <c r="F581" s="177" t="s">
        <v>3649</v>
      </c>
      <c r="G581" s="178">
        <v>2970.1</v>
      </c>
      <c r="H581" s="179">
        <v>42830</v>
      </c>
      <c r="I581" s="178">
        <f t="shared" si="19"/>
        <v>2970.1</v>
      </c>
      <c r="J581" s="178">
        <f t="shared" si="20"/>
        <v>0</v>
      </c>
      <c r="K581" s="19"/>
    </row>
    <row r="582" spans="1:11" x14ac:dyDescent="0.25">
      <c r="A582" s="51">
        <v>42830</v>
      </c>
      <c r="B582" s="174" t="s">
        <v>12099</v>
      </c>
      <c r="C582" s="175"/>
      <c r="D582" s="176" t="s">
        <v>12099</v>
      </c>
      <c r="E582" s="176">
        <v>107016</v>
      </c>
      <c r="F582" s="177" t="s">
        <v>523</v>
      </c>
      <c r="G582" s="178">
        <v>33032.199999999997</v>
      </c>
      <c r="H582" s="179">
        <v>42840</v>
      </c>
      <c r="I582" s="178">
        <f t="shared" si="19"/>
        <v>33032.199999999997</v>
      </c>
      <c r="J582" s="178">
        <f t="shared" si="20"/>
        <v>0</v>
      </c>
      <c r="K582" s="19"/>
    </row>
    <row r="583" spans="1:11" x14ac:dyDescent="0.25">
      <c r="A583" s="51">
        <v>42830</v>
      </c>
      <c r="B583" s="174" t="s">
        <v>12100</v>
      </c>
      <c r="C583" s="175"/>
      <c r="D583" s="176" t="s">
        <v>12100</v>
      </c>
      <c r="E583" s="176">
        <v>107017</v>
      </c>
      <c r="F583" s="177" t="s">
        <v>656</v>
      </c>
      <c r="G583" s="178">
        <v>9547.2000000000007</v>
      </c>
      <c r="H583" s="179">
        <v>42831</v>
      </c>
      <c r="I583" s="178">
        <f t="shared" si="19"/>
        <v>9547.2000000000007</v>
      </c>
      <c r="J583" s="178">
        <f t="shared" si="20"/>
        <v>0</v>
      </c>
      <c r="K583" s="19"/>
    </row>
    <row r="584" spans="1:11" x14ac:dyDescent="0.25">
      <c r="A584" s="51">
        <v>42830</v>
      </c>
      <c r="B584" s="174" t="s">
        <v>12101</v>
      </c>
      <c r="C584" s="175"/>
      <c r="D584" s="176" t="s">
        <v>12101</v>
      </c>
      <c r="E584" s="176">
        <v>107018</v>
      </c>
      <c r="F584" s="177" t="s">
        <v>193</v>
      </c>
      <c r="G584" s="178">
        <v>1747.2</v>
      </c>
      <c r="H584" s="179">
        <v>42831</v>
      </c>
      <c r="I584" s="178">
        <f t="shared" si="19"/>
        <v>1747.2</v>
      </c>
      <c r="J584" s="178">
        <f t="shared" si="20"/>
        <v>0</v>
      </c>
      <c r="K584" s="19"/>
    </row>
    <row r="585" spans="1:11" x14ac:dyDescent="0.25">
      <c r="A585" s="51">
        <v>42830</v>
      </c>
      <c r="B585" s="174" t="s">
        <v>12102</v>
      </c>
      <c r="C585" s="175"/>
      <c r="D585" s="176" t="s">
        <v>12102</v>
      </c>
      <c r="E585" s="176">
        <v>107019</v>
      </c>
      <c r="F585" s="177" t="s">
        <v>7147</v>
      </c>
      <c r="G585" s="178">
        <v>6481.4</v>
      </c>
      <c r="H585" s="179">
        <v>42830</v>
      </c>
      <c r="I585" s="178">
        <f t="shared" si="19"/>
        <v>6481.4</v>
      </c>
      <c r="J585" s="178">
        <f t="shared" si="20"/>
        <v>0</v>
      </c>
      <c r="K585" s="19"/>
    </row>
    <row r="586" spans="1:11" x14ac:dyDescent="0.25">
      <c r="A586" s="51">
        <v>42830</v>
      </c>
      <c r="B586" s="174" t="s">
        <v>12103</v>
      </c>
      <c r="C586" s="175"/>
      <c r="D586" s="176" t="s">
        <v>12103</v>
      </c>
      <c r="E586" s="176">
        <v>107020</v>
      </c>
      <c r="F586" s="177" t="s">
        <v>2535</v>
      </c>
      <c r="G586" s="178">
        <v>1113.2</v>
      </c>
      <c r="H586" s="179">
        <v>42831</v>
      </c>
      <c r="I586" s="178">
        <f t="shared" si="19"/>
        <v>1113.2</v>
      </c>
      <c r="J586" s="178">
        <f t="shared" si="20"/>
        <v>0</v>
      </c>
      <c r="K586" s="19"/>
    </row>
    <row r="587" spans="1:11" x14ac:dyDescent="0.25">
      <c r="A587" s="51">
        <v>42830</v>
      </c>
      <c r="B587" s="174" t="s">
        <v>12104</v>
      </c>
      <c r="C587" s="175"/>
      <c r="D587" s="176" t="s">
        <v>12104</v>
      </c>
      <c r="E587" s="176">
        <v>107021</v>
      </c>
      <c r="F587" s="177" t="s">
        <v>693</v>
      </c>
      <c r="G587" s="178">
        <v>20680</v>
      </c>
      <c r="H587" s="179">
        <v>42831</v>
      </c>
      <c r="I587" s="178">
        <f t="shared" si="19"/>
        <v>20680</v>
      </c>
      <c r="J587" s="178">
        <f t="shared" si="20"/>
        <v>0</v>
      </c>
      <c r="K587" s="19"/>
    </row>
    <row r="588" spans="1:11" x14ac:dyDescent="0.25">
      <c r="A588" s="51">
        <v>42830</v>
      </c>
      <c r="B588" s="174" t="s">
        <v>12105</v>
      </c>
      <c r="C588" s="175"/>
      <c r="D588" s="176" t="s">
        <v>12105</v>
      </c>
      <c r="E588" s="176">
        <v>107022</v>
      </c>
      <c r="F588" s="177" t="s">
        <v>220</v>
      </c>
      <c r="G588" s="178">
        <v>2832</v>
      </c>
      <c r="H588" s="179">
        <v>42830</v>
      </c>
      <c r="I588" s="178">
        <f t="shared" si="19"/>
        <v>2832</v>
      </c>
      <c r="J588" s="178">
        <f t="shared" si="20"/>
        <v>0</v>
      </c>
      <c r="K588" s="19"/>
    </row>
    <row r="589" spans="1:11" x14ac:dyDescent="0.25">
      <c r="A589" s="51">
        <v>42830</v>
      </c>
      <c r="B589" s="174" t="s">
        <v>12106</v>
      </c>
      <c r="C589" s="175"/>
      <c r="D589" s="176" t="s">
        <v>12106</v>
      </c>
      <c r="E589" s="176">
        <v>107023</v>
      </c>
      <c r="F589" s="177" t="s">
        <v>30</v>
      </c>
      <c r="G589" s="178">
        <v>1717.2</v>
      </c>
      <c r="H589" s="179">
        <v>42831</v>
      </c>
      <c r="I589" s="178">
        <f t="shared" si="19"/>
        <v>1717.2</v>
      </c>
      <c r="J589" s="178">
        <f t="shared" si="20"/>
        <v>0</v>
      </c>
      <c r="K589" s="19"/>
    </row>
    <row r="590" spans="1:11" x14ac:dyDescent="0.25">
      <c r="A590" s="51">
        <v>42830</v>
      </c>
      <c r="B590" s="174" t="s">
        <v>12107</v>
      </c>
      <c r="C590" s="175"/>
      <c r="D590" s="176" t="s">
        <v>12107</v>
      </c>
      <c r="E590" s="176">
        <v>107024</v>
      </c>
      <c r="F590" s="177" t="s">
        <v>3997</v>
      </c>
      <c r="G590" s="178">
        <v>9374</v>
      </c>
      <c r="H590" s="179">
        <v>42834</v>
      </c>
      <c r="I590" s="178">
        <f t="shared" si="19"/>
        <v>9374</v>
      </c>
      <c r="J590" s="178">
        <f t="shared" si="20"/>
        <v>0</v>
      </c>
      <c r="K590" s="19"/>
    </row>
    <row r="591" spans="1:11" x14ac:dyDescent="0.25">
      <c r="A591" s="51">
        <v>42830</v>
      </c>
      <c r="B591" s="174" t="s">
        <v>12108</v>
      </c>
      <c r="C591" s="175"/>
      <c r="D591" s="176" t="s">
        <v>12108</v>
      </c>
      <c r="E591" s="176">
        <v>107025</v>
      </c>
      <c r="F591" s="177" t="s">
        <v>5219</v>
      </c>
      <c r="G591" s="178">
        <v>6999.56</v>
      </c>
      <c r="H591" s="179">
        <v>42830</v>
      </c>
      <c r="I591" s="178">
        <f t="shared" si="19"/>
        <v>6999.56</v>
      </c>
      <c r="J591" s="178">
        <f t="shared" si="20"/>
        <v>0</v>
      </c>
      <c r="K591" s="19"/>
    </row>
    <row r="592" spans="1:11" x14ac:dyDescent="0.25">
      <c r="A592" s="51">
        <v>42830</v>
      </c>
      <c r="B592" s="174" t="s">
        <v>12109</v>
      </c>
      <c r="C592" s="175"/>
      <c r="D592" s="176" t="s">
        <v>12109</v>
      </c>
      <c r="E592" s="176">
        <v>107026</v>
      </c>
      <c r="F592" s="177" t="s">
        <v>222</v>
      </c>
      <c r="G592" s="178">
        <v>41839.800000000003</v>
      </c>
      <c r="H592" s="179">
        <v>42833</v>
      </c>
      <c r="I592" s="178">
        <f t="shared" si="19"/>
        <v>41839.800000000003</v>
      </c>
      <c r="J592" s="178">
        <f t="shared" si="20"/>
        <v>0</v>
      </c>
      <c r="K592" s="19"/>
    </row>
    <row r="593" spans="1:11" x14ac:dyDescent="0.25">
      <c r="A593" s="51">
        <v>42830</v>
      </c>
      <c r="B593" s="174" t="s">
        <v>12110</v>
      </c>
      <c r="C593" s="175"/>
      <c r="D593" s="176" t="s">
        <v>12110</v>
      </c>
      <c r="E593" s="176">
        <v>107027</v>
      </c>
      <c r="F593" s="177" t="s">
        <v>211</v>
      </c>
      <c r="G593" s="178">
        <v>8398</v>
      </c>
      <c r="H593" s="179">
        <v>42830</v>
      </c>
      <c r="I593" s="178">
        <f t="shared" si="19"/>
        <v>8398</v>
      </c>
      <c r="J593" s="178">
        <f t="shared" si="20"/>
        <v>0</v>
      </c>
      <c r="K593" s="19"/>
    </row>
    <row r="594" spans="1:11" x14ac:dyDescent="0.25">
      <c r="A594" s="51">
        <v>42830</v>
      </c>
      <c r="B594" s="174" t="s">
        <v>12111</v>
      </c>
      <c r="C594" s="175"/>
      <c r="D594" s="176" t="s">
        <v>12111</v>
      </c>
      <c r="E594" s="176">
        <v>107028</v>
      </c>
      <c r="F594" s="177" t="s">
        <v>205</v>
      </c>
      <c r="G594" s="178">
        <v>17516.8</v>
      </c>
      <c r="H594" s="179">
        <v>42848</v>
      </c>
      <c r="I594" s="178">
        <f t="shared" si="19"/>
        <v>17516.8</v>
      </c>
      <c r="J594" s="178">
        <f t="shared" si="20"/>
        <v>0</v>
      </c>
      <c r="K594" s="19"/>
    </row>
    <row r="595" spans="1:11" x14ac:dyDescent="0.25">
      <c r="A595" s="51">
        <v>42830</v>
      </c>
      <c r="B595" s="174" t="s">
        <v>12112</v>
      </c>
      <c r="C595" s="175"/>
      <c r="D595" s="176" t="s">
        <v>12112</v>
      </c>
      <c r="E595" s="176">
        <v>107029</v>
      </c>
      <c r="F595" s="177" t="s">
        <v>222</v>
      </c>
      <c r="G595" s="178">
        <v>168210</v>
      </c>
      <c r="H595" s="179">
        <v>42833</v>
      </c>
      <c r="I595" s="178">
        <f t="shared" si="19"/>
        <v>168210</v>
      </c>
      <c r="J595" s="178">
        <f t="shared" si="20"/>
        <v>0</v>
      </c>
      <c r="K595" s="19"/>
    </row>
    <row r="596" spans="1:11" x14ac:dyDescent="0.25">
      <c r="A596" s="51">
        <v>42830</v>
      </c>
      <c r="B596" s="174" t="s">
        <v>12113</v>
      </c>
      <c r="C596" s="175"/>
      <c r="D596" s="176" t="s">
        <v>12113</v>
      </c>
      <c r="E596" s="176">
        <v>107030</v>
      </c>
      <c r="F596" s="177" t="s">
        <v>222</v>
      </c>
      <c r="G596" s="178">
        <v>164012</v>
      </c>
      <c r="H596" s="179">
        <v>42833</v>
      </c>
      <c r="I596" s="178">
        <f t="shared" si="19"/>
        <v>164012</v>
      </c>
      <c r="J596" s="178">
        <f t="shared" si="20"/>
        <v>0</v>
      </c>
      <c r="K596" s="19"/>
    </row>
    <row r="597" spans="1:11" x14ac:dyDescent="0.25">
      <c r="A597" s="51">
        <v>42830</v>
      </c>
      <c r="B597" s="174" t="s">
        <v>12114</v>
      </c>
      <c r="C597" s="175"/>
      <c r="D597" s="176" t="s">
        <v>12114</v>
      </c>
      <c r="E597" s="176">
        <v>107031</v>
      </c>
      <c r="F597" s="177" t="s">
        <v>10</v>
      </c>
      <c r="G597" s="178">
        <v>108719.2</v>
      </c>
      <c r="H597" s="179">
        <v>42833</v>
      </c>
      <c r="I597" s="178">
        <f t="shared" si="19"/>
        <v>108719.2</v>
      </c>
      <c r="J597" s="178">
        <f t="shared" si="20"/>
        <v>0</v>
      </c>
      <c r="K597" s="19"/>
    </row>
    <row r="598" spans="1:11" x14ac:dyDescent="0.25">
      <c r="A598" s="51">
        <v>42830</v>
      </c>
      <c r="B598" s="174" t="s">
        <v>12115</v>
      </c>
      <c r="C598" s="175"/>
      <c r="D598" s="176" t="s">
        <v>12115</v>
      </c>
      <c r="E598" s="176">
        <v>107032</v>
      </c>
      <c r="F598" s="177" t="s">
        <v>12</v>
      </c>
      <c r="G598" s="178">
        <v>1094.5999999999999</v>
      </c>
      <c r="H598" s="179">
        <v>42831</v>
      </c>
      <c r="I598" s="178">
        <f t="shared" si="19"/>
        <v>1094.5999999999999</v>
      </c>
      <c r="J598" s="178">
        <f t="shared" si="20"/>
        <v>0</v>
      </c>
      <c r="K598" s="19"/>
    </row>
    <row r="599" spans="1:11" x14ac:dyDescent="0.25">
      <c r="A599" s="51">
        <v>42830</v>
      </c>
      <c r="B599" s="174" t="s">
        <v>12116</v>
      </c>
      <c r="C599" s="175"/>
      <c r="D599" s="176" t="s">
        <v>12116</v>
      </c>
      <c r="E599" s="176">
        <v>107033</v>
      </c>
      <c r="F599" s="177" t="s">
        <v>10</v>
      </c>
      <c r="G599" s="178">
        <v>6415.8</v>
      </c>
      <c r="H599" s="179">
        <v>42833</v>
      </c>
      <c r="I599" s="178">
        <f t="shared" si="19"/>
        <v>6415.8</v>
      </c>
      <c r="J599" s="178">
        <f t="shared" si="20"/>
        <v>0</v>
      </c>
      <c r="K599" s="19"/>
    </row>
    <row r="600" spans="1:11" x14ac:dyDescent="0.25">
      <c r="A600" s="51">
        <v>42830</v>
      </c>
      <c r="B600" s="174" t="s">
        <v>12117</v>
      </c>
      <c r="C600" s="175"/>
      <c r="D600" s="176" t="s">
        <v>12117</v>
      </c>
      <c r="E600" s="176">
        <v>107034</v>
      </c>
      <c r="F600" s="177" t="s">
        <v>426</v>
      </c>
      <c r="G600" s="178">
        <v>14044.2</v>
      </c>
      <c r="H600" s="179">
        <v>42837</v>
      </c>
      <c r="I600" s="178">
        <f t="shared" si="19"/>
        <v>14044.2</v>
      </c>
      <c r="J600" s="178">
        <f t="shared" si="20"/>
        <v>0</v>
      </c>
      <c r="K600" s="19"/>
    </row>
    <row r="601" spans="1:11" x14ac:dyDescent="0.25">
      <c r="A601" s="51">
        <v>42831</v>
      </c>
      <c r="B601" s="174" t="s">
        <v>12118</v>
      </c>
      <c r="C601" s="175"/>
      <c r="D601" s="176" t="s">
        <v>12118</v>
      </c>
      <c r="E601" s="176">
        <v>107035</v>
      </c>
      <c r="F601" s="177" t="s">
        <v>231</v>
      </c>
      <c r="G601" s="178">
        <v>7751.9</v>
      </c>
      <c r="H601" s="179">
        <v>42831</v>
      </c>
      <c r="I601" s="178">
        <f t="shared" si="19"/>
        <v>7751.9</v>
      </c>
      <c r="J601" s="178">
        <f t="shared" si="20"/>
        <v>0</v>
      </c>
      <c r="K601" s="19"/>
    </row>
    <row r="602" spans="1:11" x14ac:dyDescent="0.25">
      <c r="A602" s="51">
        <v>42831</v>
      </c>
      <c r="B602" s="174" t="s">
        <v>12119</v>
      </c>
      <c r="C602" s="175"/>
      <c r="D602" s="176" t="s">
        <v>12119</v>
      </c>
      <c r="E602" s="176">
        <v>107036</v>
      </c>
      <c r="F602" s="182" t="s">
        <v>231</v>
      </c>
      <c r="G602" s="183">
        <v>0</v>
      </c>
      <c r="H602" s="184" t="s">
        <v>95</v>
      </c>
      <c r="I602" s="183">
        <f t="shared" si="19"/>
        <v>0</v>
      </c>
      <c r="J602" s="183">
        <f t="shared" si="20"/>
        <v>0</v>
      </c>
      <c r="K602" s="19"/>
    </row>
    <row r="603" spans="1:11" x14ac:dyDescent="0.25">
      <c r="A603" s="51">
        <v>42831</v>
      </c>
      <c r="B603" s="174" t="s">
        <v>12120</v>
      </c>
      <c r="C603" s="175"/>
      <c r="D603" s="176" t="s">
        <v>12120</v>
      </c>
      <c r="E603" s="176">
        <v>107037</v>
      </c>
      <c r="F603" s="177" t="s">
        <v>231</v>
      </c>
      <c r="G603" s="178">
        <v>31024.3</v>
      </c>
      <c r="H603" s="179">
        <v>42832</v>
      </c>
      <c r="I603" s="178">
        <f t="shared" si="19"/>
        <v>31024.3</v>
      </c>
      <c r="J603" s="178">
        <f t="shared" si="20"/>
        <v>0</v>
      </c>
      <c r="K603" s="19"/>
    </row>
    <row r="604" spans="1:11" x14ac:dyDescent="0.25">
      <c r="A604" s="51">
        <v>42831</v>
      </c>
      <c r="B604" s="174" t="s">
        <v>12121</v>
      </c>
      <c r="C604" s="175"/>
      <c r="D604" s="176" t="s">
        <v>12121</v>
      </c>
      <c r="E604" s="176">
        <v>107038</v>
      </c>
      <c r="F604" s="177" t="s">
        <v>428</v>
      </c>
      <c r="G604" s="178">
        <v>1280.4000000000001</v>
      </c>
      <c r="H604" s="179">
        <v>42832</v>
      </c>
      <c r="I604" s="178">
        <f t="shared" si="19"/>
        <v>1280.4000000000001</v>
      </c>
      <c r="J604" s="178">
        <f t="shared" si="20"/>
        <v>0</v>
      </c>
      <c r="K604" s="19"/>
    </row>
    <row r="605" spans="1:11" x14ac:dyDescent="0.25">
      <c r="A605" s="51">
        <v>42831</v>
      </c>
      <c r="B605" s="174" t="s">
        <v>12122</v>
      </c>
      <c r="C605" s="175"/>
      <c r="D605" s="176" t="s">
        <v>12122</v>
      </c>
      <c r="E605" s="176">
        <v>107039</v>
      </c>
      <c r="F605" s="177" t="s">
        <v>35</v>
      </c>
      <c r="G605" s="178">
        <v>8375</v>
      </c>
      <c r="H605" s="179">
        <v>42836</v>
      </c>
      <c r="I605" s="178">
        <f t="shared" si="19"/>
        <v>8375</v>
      </c>
      <c r="J605" s="178">
        <f t="shared" si="20"/>
        <v>0</v>
      </c>
      <c r="K605" s="19"/>
    </row>
    <row r="606" spans="1:11" x14ac:dyDescent="0.25">
      <c r="A606" s="51">
        <v>42831</v>
      </c>
      <c r="B606" s="174" t="s">
        <v>12123</v>
      </c>
      <c r="C606" s="175"/>
      <c r="D606" s="176" t="s">
        <v>12123</v>
      </c>
      <c r="E606" s="176">
        <v>107040</v>
      </c>
      <c r="F606" s="177" t="s">
        <v>32</v>
      </c>
      <c r="G606" s="178">
        <v>5628</v>
      </c>
      <c r="H606" s="179">
        <v>42840</v>
      </c>
      <c r="I606" s="178">
        <f t="shared" si="19"/>
        <v>5628</v>
      </c>
      <c r="J606" s="178">
        <f t="shared" si="20"/>
        <v>0</v>
      </c>
      <c r="K606" s="19"/>
    </row>
    <row r="607" spans="1:11" x14ac:dyDescent="0.25">
      <c r="A607" s="51">
        <v>42831</v>
      </c>
      <c r="B607" s="174" t="s">
        <v>12124</v>
      </c>
      <c r="C607" s="175"/>
      <c r="D607" s="176" t="s">
        <v>12124</v>
      </c>
      <c r="E607" s="176">
        <v>107041</v>
      </c>
      <c r="F607" s="177" t="s">
        <v>236</v>
      </c>
      <c r="G607" s="178">
        <v>33143.72</v>
      </c>
      <c r="H607" s="179">
        <v>42838</v>
      </c>
      <c r="I607" s="178">
        <f t="shared" si="19"/>
        <v>33143.72</v>
      </c>
      <c r="J607" s="178">
        <f t="shared" si="20"/>
        <v>0</v>
      </c>
      <c r="K607" s="19"/>
    </row>
    <row r="608" spans="1:11" x14ac:dyDescent="0.25">
      <c r="A608" s="51">
        <v>42831</v>
      </c>
      <c r="B608" s="174" t="s">
        <v>12125</v>
      </c>
      <c r="C608" s="175"/>
      <c r="D608" s="176" t="s">
        <v>12125</v>
      </c>
      <c r="E608" s="176">
        <v>107042</v>
      </c>
      <c r="F608" s="177" t="s">
        <v>38</v>
      </c>
      <c r="G608" s="178">
        <v>2592.9</v>
      </c>
      <c r="H608" s="179">
        <v>42836</v>
      </c>
      <c r="I608" s="178">
        <f t="shared" si="19"/>
        <v>2592.9</v>
      </c>
      <c r="J608" s="178">
        <f t="shared" si="20"/>
        <v>0</v>
      </c>
      <c r="K608" s="19"/>
    </row>
    <row r="609" spans="1:11" x14ac:dyDescent="0.25">
      <c r="A609" s="51">
        <v>42831</v>
      </c>
      <c r="B609" s="174" t="s">
        <v>12126</v>
      </c>
      <c r="C609" s="175"/>
      <c r="D609" s="176" t="s">
        <v>12126</v>
      </c>
      <c r="E609" s="176">
        <v>107043</v>
      </c>
      <c r="F609" s="177" t="s">
        <v>17</v>
      </c>
      <c r="G609" s="178">
        <v>2150</v>
      </c>
      <c r="H609" s="179">
        <v>42831</v>
      </c>
      <c r="I609" s="178">
        <f t="shared" si="19"/>
        <v>2150</v>
      </c>
      <c r="J609" s="178">
        <f t="shared" si="20"/>
        <v>0</v>
      </c>
      <c r="K609" s="19"/>
    </row>
    <row r="610" spans="1:11" x14ac:dyDescent="0.25">
      <c r="A610" s="51">
        <v>42831</v>
      </c>
      <c r="B610" s="174" t="s">
        <v>12127</v>
      </c>
      <c r="C610" s="175"/>
      <c r="D610" s="176" t="s">
        <v>12127</v>
      </c>
      <c r="E610" s="176">
        <v>107044</v>
      </c>
      <c r="F610" s="177" t="s">
        <v>19</v>
      </c>
      <c r="G610" s="178">
        <v>860</v>
      </c>
      <c r="H610" s="179">
        <v>42831</v>
      </c>
      <c r="I610" s="178">
        <f t="shared" si="19"/>
        <v>860</v>
      </c>
      <c r="J610" s="178">
        <f t="shared" si="20"/>
        <v>0</v>
      </c>
      <c r="K610" s="19"/>
    </row>
    <row r="611" spans="1:11" x14ac:dyDescent="0.25">
      <c r="A611" s="51">
        <v>42831</v>
      </c>
      <c r="B611" s="174" t="s">
        <v>12128</v>
      </c>
      <c r="C611" s="175"/>
      <c r="D611" s="176" t="s">
        <v>12128</v>
      </c>
      <c r="E611" s="176">
        <v>107045</v>
      </c>
      <c r="F611" s="177" t="s">
        <v>26</v>
      </c>
      <c r="G611" s="178">
        <v>19265.8</v>
      </c>
      <c r="H611" s="179">
        <v>42831</v>
      </c>
      <c r="I611" s="178">
        <f t="shared" si="19"/>
        <v>19265.8</v>
      </c>
      <c r="J611" s="178">
        <f t="shared" si="20"/>
        <v>0</v>
      </c>
      <c r="K611" s="19"/>
    </row>
    <row r="612" spans="1:11" x14ac:dyDescent="0.25">
      <c r="A612" s="51">
        <v>42831</v>
      </c>
      <c r="B612" s="174" t="s">
        <v>12129</v>
      </c>
      <c r="C612" s="175"/>
      <c r="D612" s="176" t="s">
        <v>12129</v>
      </c>
      <c r="E612" s="176">
        <v>107046</v>
      </c>
      <c r="F612" s="177" t="s">
        <v>222</v>
      </c>
      <c r="G612" s="178">
        <v>14565</v>
      </c>
      <c r="H612" s="179">
        <v>42833</v>
      </c>
      <c r="I612" s="178">
        <f t="shared" si="19"/>
        <v>14565</v>
      </c>
      <c r="J612" s="178">
        <f t="shared" si="20"/>
        <v>0</v>
      </c>
      <c r="K612" s="19"/>
    </row>
    <row r="613" spans="1:11" x14ac:dyDescent="0.25">
      <c r="A613" s="51">
        <v>42831</v>
      </c>
      <c r="B613" s="174" t="s">
        <v>12130</v>
      </c>
      <c r="C613" s="175"/>
      <c r="D613" s="176" t="s">
        <v>12130</v>
      </c>
      <c r="E613" s="176">
        <v>107047</v>
      </c>
      <c r="F613" s="177" t="s">
        <v>268</v>
      </c>
      <c r="G613" s="178">
        <v>10045.200000000001</v>
      </c>
      <c r="H613" s="179">
        <v>42837</v>
      </c>
      <c r="I613" s="178">
        <f t="shared" si="19"/>
        <v>10045.200000000001</v>
      </c>
      <c r="J613" s="178">
        <f t="shared" si="20"/>
        <v>0</v>
      </c>
      <c r="K613" s="19"/>
    </row>
    <row r="614" spans="1:11" x14ac:dyDescent="0.25">
      <c r="A614" s="51">
        <v>42831</v>
      </c>
      <c r="B614" s="174" t="s">
        <v>12131</v>
      </c>
      <c r="C614" s="175"/>
      <c r="D614" s="176" t="s">
        <v>12131</v>
      </c>
      <c r="E614" s="176">
        <v>107048</v>
      </c>
      <c r="F614" s="177" t="s">
        <v>432</v>
      </c>
      <c r="G614" s="178">
        <v>10349.6</v>
      </c>
      <c r="H614" s="179">
        <v>42837</v>
      </c>
      <c r="I614" s="178">
        <f t="shared" si="19"/>
        <v>10349.6</v>
      </c>
      <c r="J614" s="178">
        <f t="shared" si="20"/>
        <v>0</v>
      </c>
      <c r="K614" s="19"/>
    </row>
    <row r="615" spans="1:11" x14ac:dyDescent="0.25">
      <c r="A615" s="51">
        <v>42831</v>
      </c>
      <c r="B615" s="174" t="s">
        <v>12132</v>
      </c>
      <c r="C615" s="175"/>
      <c r="D615" s="176" t="s">
        <v>12132</v>
      </c>
      <c r="E615" s="176">
        <v>107049</v>
      </c>
      <c r="F615" s="177" t="s">
        <v>1666</v>
      </c>
      <c r="G615" s="178">
        <v>10553.6</v>
      </c>
      <c r="H615" s="179">
        <v>42837</v>
      </c>
      <c r="I615" s="178">
        <f t="shared" si="19"/>
        <v>10553.6</v>
      </c>
      <c r="J615" s="178">
        <f t="shared" si="20"/>
        <v>0</v>
      </c>
      <c r="K615" s="19"/>
    </row>
    <row r="616" spans="1:11" x14ac:dyDescent="0.25">
      <c r="A616" s="51">
        <v>42831</v>
      </c>
      <c r="B616" s="174" t="s">
        <v>12133</v>
      </c>
      <c r="C616" s="175"/>
      <c r="D616" s="176" t="s">
        <v>12133</v>
      </c>
      <c r="E616" s="176">
        <v>107050</v>
      </c>
      <c r="F616" s="177" t="s">
        <v>47</v>
      </c>
      <c r="G616" s="178">
        <v>3504.7</v>
      </c>
      <c r="H616" s="179">
        <v>42831</v>
      </c>
      <c r="I616" s="178">
        <f t="shared" si="19"/>
        <v>3504.7</v>
      </c>
      <c r="J616" s="178">
        <f t="shared" si="20"/>
        <v>0</v>
      </c>
      <c r="K616" s="19"/>
    </row>
    <row r="617" spans="1:11" x14ac:dyDescent="0.25">
      <c r="A617" s="51">
        <v>42831</v>
      </c>
      <c r="B617" s="174" t="s">
        <v>12134</v>
      </c>
      <c r="C617" s="175"/>
      <c r="D617" s="176" t="s">
        <v>12134</v>
      </c>
      <c r="E617" s="176">
        <v>107051</v>
      </c>
      <c r="F617" s="177" t="s">
        <v>289</v>
      </c>
      <c r="G617" s="178">
        <v>105882.12</v>
      </c>
      <c r="H617" s="186">
        <v>42851</v>
      </c>
      <c r="I617" s="187">
        <f t="shared" si="19"/>
        <v>105882.12</v>
      </c>
      <c r="J617" s="178">
        <f t="shared" si="20"/>
        <v>0</v>
      </c>
      <c r="K617" s="19"/>
    </row>
    <row r="618" spans="1:11" x14ac:dyDescent="0.25">
      <c r="A618" s="51">
        <v>42831</v>
      </c>
      <c r="B618" s="174" t="s">
        <v>12135</v>
      </c>
      <c r="C618" s="175"/>
      <c r="D618" s="176" t="s">
        <v>12135</v>
      </c>
      <c r="E618" s="176">
        <v>107052</v>
      </c>
      <c r="F618" s="177" t="s">
        <v>49</v>
      </c>
      <c r="G618" s="178">
        <v>11101.2</v>
      </c>
      <c r="H618" s="180" t="s">
        <v>12136</v>
      </c>
      <c r="I618" s="181">
        <f>5000+6101.2</f>
        <v>11101.2</v>
      </c>
      <c r="J618" s="181">
        <f t="shared" si="20"/>
        <v>0</v>
      </c>
      <c r="K618" s="19"/>
    </row>
    <row r="619" spans="1:11" x14ac:dyDescent="0.25">
      <c r="A619" s="51">
        <v>42831</v>
      </c>
      <c r="B619" s="174" t="s">
        <v>12137</v>
      </c>
      <c r="C619" s="175"/>
      <c r="D619" s="176" t="s">
        <v>12137</v>
      </c>
      <c r="E619" s="176">
        <v>107053</v>
      </c>
      <c r="F619" s="182" t="s">
        <v>21</v>
      </c>
      <c r="G619" s="183">
        <v>0</v>
      </c>
      <c r="H619" s="184" t="s">
        <v>95</v>
      </c>
      <c r="I619" s="183">
        <f t="shared" si="19"/>
        <v>0</v>
      </c>
      <c r="J619" s="183">
        <f t="shared" si="20"/>
        <v>0</v>
      </c>
      <c r="K619" s="19"/>
    </row>
    <row r="620" spans="1:11" x14ac:dyDescent="0.25">
      <c r="A620" s="51">
        <v>42831</v>
      </c>
      <c r="B620" s="174" t="s">
        <v>12138</v>
      </c>
      <c r="C620" s="175"/>
      <c r="D620" s="176" t="s">
        <v>12138</v>
      </c>
      <c r="E620" s="176">
        <v>107054</v>
      </c>
      <c r="F620" s="177" t="s">
        <v>509</v>
      </c>
      <c r="G620" s="178">
        <v>1596</v>
      </c>
      <c r="H620" s="179">
        <v>42831</v>
      </c>
      <c r="I620" s="178">
        <f t="shared" si="19"/>
        <v>1596</v>
      </c>
      <c r="J620" s="178">
        <f t="shared" si="20"/>
        <v>0</v>
      </c>
      <c r="K620" s="19"/>
    </row>
    <row r="621" spans="1:11" x14ac:dyDescent="0.25">
      <c r="A621" s="51">
        <v>42831</v>
      </c>
      <c r="B621" s="174" t="s">
        <v>12139</v>
      </c>
      <c r="C621" s="175"/>
      <c r="D621" s="176" t="s">
        <v>12139</v>
      </c>
      <c r="E621" s="176">
        <v>107055</v>
      </c>
      <c r="F621" s="177" t="s">
        <v>28</v>
      </c>
      <c r="G621" s="178">
        <v>13096.2</v>
      </c>
      <c r="H621" s="179">
        <v>42834</v>
      </c>
      <c r="I621" s="178">
        <f t="shared" si="19"/>
        <v>13096.2</v>
      </c>
      <c r="J621" s="178">
        <f t="shared" si="20"/>
        <v>0</v>
      </c>
      <c r="K621" s="19"/>
    </row>
    <row r="622" spans="1:11" x14ac:dyDescent="0.25">
      <c r="A622" s="51">
        <v>42831</v>
      </c>
      <c r="B622" s="174" t="s">
        <v>12140</v>
      </c>
      <c r="C622" s="175"/>
      <c r="D622" s="176" t="s">
        <v>12140</v>
      </c>
      <c r="E622" s="176">
        <v>107056</v>
      </c>
      <c r="F622" s="177" t="s">
        <v>21</v>
      </c>
      <c r="G622" s="178">
        <v>44920</v>
      </c>
      <c r="H622" s="179">
        <v>42844</v>
      </c>
      <c r="I622" s="178">
        <f t="shared" si="19"/>
        <v>44920</v>
      </c>
      <c r="J622" s="178">
        <f t="shared" si="20"/>
        <v>0</v>
      </c>
      <c r="K622" s="19"/>
    </row>
    <row r="623" spans="1:11" x14ac:dyDescent="0.25">
      <c r="A623" s="51">
        <v>42831</v>
      </c>
      <c r="B623" s="174" t="s">
        <v>12141</v>
      </c>
      <c r="C623" s="175"/>
      <c r="D623" s="176" t="s">
        <v>12141</v>
      </c>
      <c r="E623" s="176">
        <v>107057</v>
      </c>
      <c r="F623" s="177" t="s">
        <v>302</v>
      </c>
      <c r="G623" s="178">
        <v>9228.7999999999993</v>
      </c>
      <c r="H623" s="179">
        <v>42833</v>
      </c>
      <c r="I623" s="178">
        <f t="shared" si="19"/>
        <v>9228.7999999999993</v>
      </c>
      <c r="J623" s="178">
        <f t="shared" si="20"/>
        <v>0</v>
      </c>
      <c r="K623" s="19"/>
    </row>
    <row r="624" spans="1:11" x14ac:dyDescent="0.25">
      <c r="A624" s="51">
        <v>42831</v>
      </c>
      <c r="B624" s="174" t="s">
        <v>12142</v>
      </c>
      <c r="C624" s="175"/>
      <c r="D624" s="176" t="s">
        <v>12142</v>
      </c>
      <c r="E624" s="176">
        <v>107058</v>
      </c>
      <c r="F624" s="177" t="s">
        <v>30</v>
      </c>
      <c r="G624" s="178">
        <v>3544</v>
      </c>
      <c r="H624" s="179">
        <v>42831</v>
      </c>
      <c r="I624" s="178">
        <f t="shared" si="19"/>
        <v>3544</v>
      </c>
      <c r="J624" s="178">
        <f t="shared" si="20"/>
        <v>0</v>
      </c>
      <c r="K624" s="19"/>
    </row>
    <row r="625" spans="1:11" x14ac:dyDescent="0.25">
      <c r="A625" s="51">
        <v>42831</v>
      </c>
      <c r="B625" s="174" t="s">
        <v>12143</v>
      </c>
      <c r="C625" s="175"/>
      <c r="D625" s="176" t="s">
        <v>12143</v>
      </c>
      <c r="E625" s="176">
        <v>107059</v>
      </c>
      <c r="F625" s="177" t="s">
        <v>12</v>
      </c>
      <c r="G625" s="178">
        <v>792.4</v>
      </c>
      <c r="H625" s="179">
        <v>42831</v>
      </c>
      <c r="I625" s="178">
        <f t="shared" si="19"/>
        <v>792.4</v>
      </c>
      <c r="J625" s="178">
        <f t="shared" si="20"/>
        <v>0</v>
      </c>
      <c r="K625" s="19"/>
    </row>
    <row r="626" spans="1:11" x14ac:dyDescent="0.25">
      <c r="A626" s="51">
        <v>42831</v>
      </c>
      <c r="B626" s="174" t="s">
        <v>12144</v>
      </c>
      <c r="C626" s="175"/>
      <c r="D626" s="176" t="s">
        <v>12144</v>
      </c>
      <c r="E626" s="176">
        <v>107060</v>
      </c>
      <c r="F626" s="177" t="s">
        <v>876</v>
      </c>
      <c r="G626" s="178">
        <v>539</v>
      </c>
      <c r="H626" s="179">
        <v>42837</v>
      </c>
      <c r="I626" s="178">
        <f t="shared" si="19"/>
        <v>539</v>
      </c>
      <c r="J626" s="178">
        <f t="shared" si="20"/>
        <v>0</v>
      </c>
      <c r="K626" s="19"/>
    </row>
    <row r="627" spans="1:11" x14ac:dyDescent="0.25">
      <c r="A627" s="51">
        <v>42831</v>
      </c>
      <c r="B627" s="174" t="s">
        <v>12145</v>
      </c>
      <c r="C627" s="175"/>
      <c r="D627" s="176" t="s">
        <v>12145</v>
      </c>
      <c r="E627" s="176">
        <v>107061</v>
      </c>
      <c r="F627" s="177" t="s">
        <v>69</v>
      </c>
      <c r="G627" s="178">
        <v>3078.8</v>
      </c>
      <c r="H627" s="179">
        <v>42831</v>
      </c>
      <c r="I627" s="178">
        <f t="shared" si="19"/>
        <v>3078.8</v>
      </c>
      <c r="J627" s="178">
        <f t="shared" si="20"/>
        <v>0</v>
      </c>
      <c r="K627" s="19"/>
    </row>
    <row r="628" spans="1:11" x14ac:dyDescent="0.25">
      <c r="A628" s="51">
        <v>42831</v>
      </c>
      <c r="B628" s="174" t="s">
        <v>12146</v>
      </c>
      <c r="C628" s="175"/>
      <c r="D628" s="176" t="s">
        <v>12146</v>
      </c>
      <c r="E628" s="176">
        <v>107062</v>
      </c>
      <c r="F628" s="177" t="s">
        <v>43</v>
      </c>
      <c r="G628" s="178">
        <v>2906.7</v>
      </c>
      <c r="H628" s="179">
        <v>42833</v>
      </c>
      <c r="I628" s="178">
        <f t="shared" si="19"/>
        <v>2906.7</v>
      </c>
      <c r="J628" s="178">
        <f t="shared" si="20"/>
        <v>0</v>
      </c>
      <c r="K628" s="19"/>
    </row>
    <row r="629" spans="1:11" x14ac:dyDescent="0.25">
      <c r="A629" s="51">
        <v>42831</v>
      </c>
      <c r="B629" s="174" t="s">
        <v>12147</v>
      </c>
      <c r="C629" s="175"/>
      <c r="D629" s="176" t="s">
        <v>12147</v>
      </c>
      <c r="E629" s="176">
        <v>107063</v>
      </c>
      <c r="F629" s="177" t="s">
        <v>71</v>
      </c>
      <c r="G629" s="178">
        <v>2318</v>
      </c>
      <c r="H629" s="179">
        <v>42831</v>
      </c>
      <c r="I629" s="178">
        <f t="shared" si="19"/>
        <v>2318</v>
      </c>
      <c r="J629" s="178">
        <f t="shared" si="20"/>
        <v>0</v>
      </c>
      <c r="K629" s="19"/>
    </row>
    <row r="630" spans="1:11" x14ac:dyDescent="0.25">
      <c r="A630" s="51">
        <v>42831</v>
      </c>
      <c r="B630" s="174" t="s">
        <v>12148</v>
      </c>
      <c r="C630" s="175"/>
      <c r="D630" s="176" t="s">
        <v>12148</v>
      </c>
      <c r="E630" s="176">
        <v>107064</v>
      </c>
      <c r="F630" s="177" t="s">
        <v>99</v>
      </c>
      <c r="G630" s="178">
        <v>1272.8</v>
      </c>
      <c r="H630" s="179">
        <v>42831</v>
      </c>
      <c r="I630" s="178">
        <f t="shared" si="19"/>
        <v>1272.8</v>
      </c>
      <c r="J630" s="178">
        <f t="shared" si="20"/>
        <v>0</v>
      </c>
      <c r="K630" s="19"/>
    </row>
    <row r="631" spans="1:11" x14ac:dyDescent="0.25">
      <c r="A631" s="51">
        <v>42831</v>
      </c>
      <c r="B631" s="174" t="s">
        <v>12149</v>
      </c>
      <c r="C631" s="175"/>
      <c r="D631" s="176" t="s">
        <v>12149</v>
      </c>
      <c r="E631" s="176">
        <v>107065</v>
      </c>
      <c r="F631" s="177" t="s">
        <v>1081</v>
      </c>
      <c r="G631" s="178">
        <v>1062.3599999999999</v>
      </c>
      <c r="H631" s="179">
        <v>42831</v>
      </c>
      <c r="I631" s="178">
        <f t="shared" si="19"/>
        <v>1062.3599999999999</v>
      </c>
      <c r="J631" s="178">
        <f t="shared" si="20"/>
        <v>0</v>
      </c>
      <c r="K631" s="19"/>
    </row>
    <row r="632" spans="1:11" x14ac:dyDescent="0.25">
      <c r="A632" s="51">
        <v>42831</v>
      </c>
      <c r="B632" s="174" t="s">
        <v>12150</v>
      </c>
      <c r="C632" s="175"/>
      <c r="D632" s="176" t="s">
        <v>12150</v>
      </c>
      <c r="E632" s="176">
        <v>107066</v>
      </c>
      <c r="F632" s="177" t="s">
        <v>99</v>
      </c>
      <c r="G632" s="178">
        <v>1633.6</v>
      </c>
      <c r="H632" s="179">
        <v>42831</v>
      </c>
      <c r="I632" s="178">
        <f t="shared" si="19"/>
        <v>1633.6</v>
      </c>
      <c r="J632" s="178">
        <f t="shared" si="20"/>
        <v>0</v>
      </c>
      <c r="K632" s="19"/>
    </row>
    <row r="633" spans="1:11" x14ac:dyDescent="0.25">
      <c r="A633" s="51">
        <v>42831</v>
      </c>
      <c r="B633" s="174" t="s">
        <v>12151</v>
      </c>
      <c r="C633" s="175"/>
      <c r="D633" s="176" t="s">
        <v>12151</v>
      </c>
      <c r="E633" s="176">
        <v>107067</v>
      </c>
      <c r="F633" s="177" t="s">
        <v>250</v>
      </c>
      <c r="G633" s="178">
        <v>10705.4</v>
      </c>
      <c r="H633" s="180" t="s">
        <v>11993</v>
      </c>
      <c r="I633" s="181">
        <f>8000+2705.4</f>
        <v>10705.4</v>
      </c>
      <c r="J633" s="181">
        <f t="shared" si="20"/>
        <v>0</v>
      </c>
      <c r="K633" s="19"/>
    </row>
    <row r="634" spans="1:11" x14ac:dyDescent="0.25">
      <c r="A634" s="51">
        <v>42831</v>
      </c>
      <c r="B634" s="174" t="s">
        <v>12152</v>
      </c>
      <c r="C634" s="175"/>
      <c r="D634" s="176" t="s">
        <v>12152</v>
      </c>
      <c r="E634" s="176">
        <v>107068</v>
      </c>
      <c r="F634" s="177" t="s">
        <v>40</v>
      </c>
      <c r="G634" s="178">
        <v>2950.2</v>
      </c>
      <c r="H634" s="179">
        <v>42833</v>
      </c>
      <c r="I634" s="178">
        <f t="shared" si="19"/>
        <v>2950.2</v>
      </c>
      <c r="J634" s="178">
        <f t="shared" si="20"/>
        <v>0</v>
      </c>
      <c r="K634" s="19"/>
    </row>
    <row r="635" spans="1:11" x14ac:dyDescent="0.25">
      <c r="A635" s="51">
        <v>42831</v>
      </c>
      <c r="B635" s="174" t="s">
        <v>12153</v>
      </c>
      <c r="C635" s="175"/>
      <c r="D635" s="176" t="s">
        <v>12153</v>
      </c>
      <c r="E635" s="176">
        <v>107069</v>
      </c>
      <c r="F635" s="177" t="s">
        <v>51</v>
      </c>
      <c r="G635" s="178">
        <v>3313.2</v>
      </c>
      <c r="H635" s="179">
        <v>42833</v>
      </c>
      <c r="I635" s="178">
        <f t="shared" si="19"/>
        <v>3313.2</v>
      </c>
      <c r="J635" s="178">
        <f t="shared" si="20"/>
        <v>0</v>
      </c>
      <c r="K635" s="19"/>
    </row>
    <row r="636" spans="1:11" x14ac:dyDescent="0.25">
      <c r="A636" s="51">
        <v>42831</v>
      </c>
      <c r="B636" s="174" t="s">
        <v>12154</v>
      </c>
      <c r="C636" s="175"/>
      <c r="D636" s="176" t="s">
        <v>12154</v>
      </c>
      <c r="E636" s="176">
        <v>107070</v>
      </c>
      <c r="F636" s="177" t="s">
        <v>293</v>
      </c>
      <c r="G636" s="178">
        <v>1149.5999999999999</v>
      </c>
      <c r="H636" s="179">
        <v>42833</v>
      </c>
      <c r="I636" s="178">
        <f t="shared" si="19"/>
        <v>1149.5999999999999</v>
      </c>
      <c r="J636" s="178">
        <f t="shared" si="20"/>
        <v>0</v>
      </c>
      <c r="K636" s="19"/>
    </row>
    <row r="637" spans="1:11" x14ac:dyDescent="0.25">
      <c r="A637" s="51">
        <v>42831</v>
      </c>
      <c r="B637" s="174" t="s">
        <v>12155</v>
      </c>
      <c r="C637" s="175"/>
      <c r="D637" s="176" t="s">
        <v>12155</v>
      </c>
      <c r="E637" s="176">
        <v>107071</v>
      </c>
      <c r="F637" s="177" t="s">
        <v>83</v>
      </c>
      <c r="G637" s="178">
        <v>4448.3999999999996</v>
      </c>
      <c r="H637" s="179">
        <v>42831</v>
      </c>
      <c r="I637" s="178">
        <f t="shared" si="19"/>
        <v>4448.3999999999996</v>
      </c>
      <c r="J637" s="178">
        <f t="shared" si="20"/>
        <v>0</v>
      </c>
      <c r="K637" s="19"/>
    </row>
    <row r="638" spans="1:11" x14ac:dyDescent="0.25">
      <c r="A638" s="51">
        <v>42831</v>
      </c>
      <c r="B638" s="174" t="s">
        <v>12156</v>
      </c>
      <c r="C638" s="175"/>
      <c r="D638" s="176" t="s">
        <v>12156</v>
      </c>
      <c r="E638" s="176">
        <v>107072</v>
      </c>
      <c r="F638" s="177" t="s">
        <v>291</v>
      </c>
      <c r="G638" s="178">
        <v>1997.6</v>
      </c>
      <c r="H638" s="179">
        <v>42831</v>
      </c>
      <c r="I638" s="178">
        <f t="shared" si="19"/>
        <v>1997.6</v>
      </c>
      <c r="J638" s="178">
        <f t="shared" si="20"/>
        <v>0</v>
      </c>
      <c r="K638" s="19"/>
    </row>
    <row r="639" spans="1:11" x14ac:dyDescent="0.25">
      <c r="A639" s="51">
        <v>42831</v>
      </c>
      <c r="B639" s="174" t="s">
        <v>12157</v>
      </c>
      <c r="C639" s="175"/>
      <c r="D639" s="176" t="s">
        <v>12157</v>
      </c>
      <c r="E639" s="176">
        <v>107073</v>
      </c>
      <c r="F639" s="177" t="s">
        <v>105</v>
      </c>
      <c r="G639" s="178">
        <v>657.9</v>
      </c>
      <c r="H639" s="179">
        <v>42832</v>
      </c>
      <c r="I639" s="178">
        <f t="shared" si="19"/>
        <v>657.9</v>
      </c>
      <c r="J639" s="178">
        <f t="shared" si="20"/>
        <v>0</v>
      </c>
      <c r="K639" s="19"/>
    </row>
    <row r="640" spans="1:11" x14ac:dyDescent="0.25">
      <c r="A640" s="51">
        <v>42831</v>
      </c>
      <c r="B640" s="174" t="s">
        <v>12158</v>
      </c>
      <c r="C640" s="175"/>
      <c r="D640" s="176" t="s">
        <v>12158</v>
      </c>
      <c r="E640" s="176">
        <v>107074</v>
      </c>
      <c r="F640" s="177" t="s">
        <v>1259</v>
      </c>
      <c r="G640" s="178">
        <v>1688.4</v>
      </c>
      <c r="H640" s="179">
        <v>42831</v>
      </c>
      <c r="I640" s="178">
        <f t="shared" si="19"/>
        <v>1688.4</v>
      </c>
      <c r="J640" s="178">
        <f t="shared" si="20"/>
        <v>0</v>
      </c>
      <c r="K640" s="19"/>
    </row>
    <row r="641" spans="1:11" x14ac:dyDescent="0.25">
      <c r="A641" s="51">
        <v>42831</v>
      </c>
      <c r="B641" s="174" t="s">
        <v>12159</v>
      </c>
      <c r="C641" s="175"/>
      <c r="D641" s="176" t="s">
        <v>12159</v>
      </c>
      <c r="E641" s="176">
        <v>107075</v>
      </c>
      <c r="F641" s="177" t="s">
        <v>103</v>
      </c>
      <c r="G641" s="178">
        <v>564</v>
      </c>
      <c r="H641" s="179">
        <v>42831</v>
      </c>
      <c r="I641" s="178">
        <f t="shared" si="19"/>
        <v>564</v>
      </c>
      <c r="J641" s="178">
        <f t="shared" si="20"/>
        <v>0</v>
      </c>
      <c r="K641" s="19"/>
    </row>
    <row r="642" spans="1:11" x14ac:dyDescent="0.25">
      <c r="A642" s="51">
        <v>42831</v>
      </c>
      <c r="B642" s="174" t="s">
        <v>12160</v>
      </c>
      <c r="C642" s="175"/>
      <c r="D642" s="176" t="s">
        <v>12160</v>
      </c>
      <c r="E642" s="176">
        <v>107076</v>
      </c>
      <c r="F642" s="177" t="s">
        <v>109</v>
      </c>
      <c r="G642" s="178">
        <v>2843.5</v>
      </c>
      <c r="H642" s="179">
        <v>42831</v>
      </c>
      <c r="I642" s="178">
        <f t="shared" si="19"/>
        <v>2843.5</v>
      </c>
      <c r="J642" s="178">
        <f t="shared" si="20"/>
        <v>0</v>
      </c>
      <c r="K642" s="19"/>
    </row>
    <row r="643" spans="1:11" x14ac:dyDescent="0.25">
      <c r="A643" s="51">
        <v>42831</v>
      </c>
      <c r="B643" s="174" t="s">
        <v>12161</v>
      </c>
      <c r="C643" s="175"/>
      <c r="D643" s="176" t="s">
        <v>12161</v>
      </c>
      <c r="E643" s="176">
        <v>107077</v>
      </c>
      <c r="F643" s="177" t="s">
        <v>53</v>
      </c>
      <c r="G643" s="178">
        <v>2414.9</v>
      </c>
      <c r="H643" s="179">
        <v>42831</v>
      </c>
      <c r="I643" s="178">
        <f t="shared" si="19"/>
        <v>2414.9</v>
      </c>
      <c r="J643" s="178">
        <f t="shared" si="20"/>
        <v>0</v>
      </c>
      <c r="K643" s="19"/>
    </row>
    <row r="644" spans="1:11" x14ac:dyDescent="0.25">
      <c r="A644" s="51">
        <v>42831</v>
      </c>
      <c r="B644" s="174" t="s">
        <v>12162</v>
      </c>
      <c r="C644" s="175"/>
      <c r="D644" s="176" t="s">
        <v>12162</v>
      </c>
      <c r="E644" s="176">
        <v>107078</v>
      </c>
      <c r="F644" s="177" t="s">
        <v>331</v>
      </c>
      <c r="G644" s="178">
        <v>1888.5</v>
      </c>
      <c r="H644" s="179">
        <v>42831</v>
      </c>
      <c r="I644" s="178">
        <f t="shared" ref="I644:I707" si="21">G644</f>
        <v>1888.5</v>
      </c>
      <c r="J644" s="178">
        <f t="shared" ref="J644:J707" si="22">G644-I644</f>
        <v>0</v>
      </c>
      <c r="K644" s="19"/>
    </row>
    <row r="645" spans="1:11" x14ac:dyDescent="0.25">
      <c r="A645" s="51">
        <v>42831</v>
      </c>
      <c r="B645" s="174" t="s">
        <v>12163</v>
      </c>
      <c r="C645" s="175"/>
      <c r="D645" s="176" t="s">
        <v>12163</v>
      </c>
      <c r="E645" s="176">
        <v>107079</v>
      </c>
      <c r="F645" s="177" t="s">
        <v>1335</v>
      </c>
      <c r="G645" s="178">
        <v>946</v>
      </c>
      <c r="H645" s="179">
        <v>42831</v>
      </c>
      <c r="I645" s="178">
        <f t="shared" si="21"/>
        <v>946</v>
      </c>
      <c r="J645" s="178">
        <f t="shared" si="22"/>
        <v>0</v>
      </c>
      <c r="K645" s="19"/>
    </row>
    <row r="646" spans="1:11" x14ac:dyDescent="0.25">
      <c r="A646" s="51">
        <v>42831</v>
      </c>
      <c r="B646" s="174" t="s">
        <v>12164</v>
      </c>
      <c r="C646" s="175"/>
      <c r="D646" s="176" t="s">
        <v>12164</v>
      </c>
      <c r="E646" s="176">
        <v>107080</v>
      </c>
      <c r="F646" s="177" t="s">
        <v>184</v>
      </c>
      <c r="G646" s="178">
        <v>1290</v>
      </c>
      <c r="H646" s="179">
        <v>42831</v>
      </c>
      <c r="I646" s="178">
        <f t="shared" si="21"/>
        <v>1290</v>
      </c>
      <c r="J646" s="178">
        <f t="shared" si="22"/>
        <v>0</v>
      </c>
      <c r="K646" s="19"/>
    </row>
    <row r="647" spans="1:11" x14ac:dyDescent="0.25">
      <c r="A647" s="51">
        <v>42831</v>
      </c>
      <c r="B647" s="174" t="s">
        <v>12165</v>
      </c>
      <c r="C647" s="175"/>
      <c r="D647" s="176" t="s">
        <v>12165</v>
      </c>
      <c r="E647" s="176">
        <v>107081</v>
      </c>
      <c r="F647" s="177" t="s">
        <v>5292</v>
      </c>
      <c r="G647" s="178">
        <v>12483.3</v>
      </c>
      <c r="H647" s="179">
        <v>42831</v>
      </c>
      <c r="I647" s="178">
        <f t="shared" si="21"/>
        <v>12483.3</v>
      </c>
      <c r="J647" s="178">
        <f t="shared" si="22"/>
        <v>0</v>
      </c>
      <c r="K647" s="19"/>
    </row>
    <row r="648" spans="1:11" x14ac:dyDescent="0.25">
      <c r="A648" s="51">
        <v>42831</v>
      </c>
      <c r="B648" s="174" t="s">
        <v>12166</v>
      </c>
      <c r="C648" s="175"/>
      <c r="D648" s="176" t="s">
        <v>12166</v>
      </c>
      <c r="E648" s="176">
        <v>107082</v>
      </c>
      <c r="F648" s="177" t="s">
        <v>5292</v>
      </c>
      <c r="G648" s="178">
        <v>787.5</v>
      </c>
      <c r="H648" s="179">
        <v>42831</v>
      </c>
      <c r="I648" s="178">
        <f t="shared" si="21"/>
        <v>787.5</v>
      </c>
      <c r="J648" s="178">
        <f t="shared" si="22"/>
        <v>0</v>
      </c>
      <c r="K648" s="19"/>
    </row>
    <row r="649" spans="1:11" x14ac:dyDescent="0.25">
      <c r="A649" s="51">
        <v>42831</v>
      </c>
      <c r="B649" s="174" t="s">
        <v>12167</v>
      </c>
      <c r="C649" s="175"/>
      <c r="D649" s="176" t="s">
        <v>12167</v>
      </c>
      <c r="E649" s="176">
        <v>107083</v>
      </c>
      <c r="F649" s="177" t="s">
        <v>57</v>
      </c>
      <c r="G649" s="178">
        <v>774</v>
      </c>
      <c r="H649" s="179">
        <v>42831</v>
      </c>
      <c r="I649" s="178">
        <f t="shared" si="21"/>
        <v>774</v>
      </c>
      <c r="J649" s="178">
        <f t="shared" si="22"/>
        <v>0</v>
      </c>
      <c r="K649" s="19"/>
    </row>
    <row r="650" spans="1:11" x14ac:dyDescent="0.25">
      <c r="A650" s="51">
        <v>42831</v>
      </c>
      <c r="B650" s="174" t="s">
        <v>12168</v>
      </c>
      <c r="C650" s="175"/>
      <c r="D650" s="176" t="s">
        <v>12168</v>
      </c>
      <c r="E650" s="176">
        <v>107084</v>
      </c>
      <c r="F650" s="177" t="s">
        <v>79</v>
      </c>
      <c r="G650" s="178">
        <v>3215.8</v>
      </c>
      <c r="H650" s="179">
        <v>42831</v>
      </c>
      <c r="I650" s="178">
        <f t="shared" si="21"/>
        <v>3215.8</v>
      </c>
      <c r="J650" s="178">
        <f t="shared" si="22"/>
        <v>0</v>
      </c>
      <c r="K650" s="19"/>
    </row>
    <row r="651" spans="1:11" x14ac:dyDescent="0.25">
      <c r="A651" s="51">
        <v>42831</v>
      </c>
      <c r="B651" s="174" t="s">
        <v>12169</v>
      </c>
      <c r="C651" s="175"/>
      <c r="D651" s="176" t="s">
        <v>12169</v>
      </c>
      <c r="E651" s="176">
        <v>107085</v>
      </c>
      <c r="F651" s="177" t="s">
        <v>9</v>
      </c>
      <c r="G651" s="178">
        <v>5358.4</v>
      </c>
      <c r="H651" s="179">
        <v>42833</v>
      </c>
      <c r="I651" s="178">
        <f t="shared" si="21"/>
        <v>5358.4</v>
      </c>
      <c r="J651" s="178">
        <f t="shared" si="22"/>
        <v>0</v>
      </c>
      <c r="K651" s="19"/>
    </row>
    <row r="652" spans="1:11" x14ac:dyDescent="0.25">
      <c r="A652" s="51">
        <v>42831</v>
      </c>
      <c r="B652" s="174" t="s">
        <v>12170</v>
      </c>
      <c r="C652" s="175"/>
      <c r="D652" s="176" t="s">
        <v>12170</v>
      </c>
      <c r="E652" s="176">
        <v>107086</v>
      </c>
      <c r="F652" s="177" t="s">
        <v>240</v>
      </c>
      <c r="G652" s="178">
        <v>13230.9</v>
      </c>
      <c r="H652" s="179">
        <v>42831</v>
      </c>
      <c r="I652" s="178">
        <f t="shared" si="21"/>
        <v>13230.9</v>
      </c>
      <c r="J652" s="178">
        <f t="shared" si="22"/>
        <v>0</v>
      </c>
      <c r="K652" s="19"/>
    </row>
    <row r="653" spans="1:11" x14ac:dyDescent="0.25">
      <c r="A653" s="51">
        <v>42831</v>
      </c>
      <c r="B653" s="174" t="s">
        <v>12171</v>
      </c>
      <c r="C653" s="175"/>
      <c r="D653" s="176" t="s">
        <v>12171</v>
      </c>
      <c r="E653" s="176">
        <v>107087</v>
      </c>
      <c r="F653" s="177" t="s">
        <v>4930</v>
      </c>
      <c r="G653" s="178">
        <v>4589.5</v>
      </c>
      <c r="H653" s="179">
        <v>42831</v>
      </c>
      <c r="I653" s="178">
        <f t="shared" si="21"/>
        <v>4589.5</v>
      </c>
      <c r="J653" s="178">
        <f t="shared" si="22"/>
        <v>0</v>
      </c>
      <c r="K653" s="19"/>
    </row>
    <row r="654" spans="1:11" x14ac:dyDescent="0.25">
      <c r="A654" s="51">
        <v>42831</v>
      </c>
      <c r="B654" s="174" t="s">
        <v>12172</v>
      </c>
      <c r="C654" s="175"/>
      <c r="D654" s="176" t="s">
        <v>12172</v>
      </c>
      <c r="E654" s="176">
        <v>107088</v>
      </c>
      <c r="F654" s="177" t="s">
        <v>151</v>
      </c>
      <c r="G654" s="178">
        <v>16164.5</v>
      </c>
      <c r="H654" s="179">
        <v>42831</v>
      </c>
      <c r="I654" s="178">
        <f t="shared" si="21"/>
        <v>16164.5</v>
      </c>
      <c r="J654" s="178">
        <f t="shared" si="22"/>
        <v>0</v>
      </c>
      <c r="K654" s="19"/>
    </row>
    <row r="655" spans="1:11" x14ac:dyDescent="0.25">
      <c r="A655" s="51">
        <v>42831</v>
      </c>
      <c r="B655" s="174" t="s">
        <v>12173</v>
      </c>
      <c r="C655" s="175"/>
      <c r="D655" s="176" t="s">
        <v>12173</v>
      </c>
      <c r="E655" s="176">
        <v>107089</v>
      </c>
      <c r="F655" s="177" t="s">
        <v>10</v>
      </c>
      <c r="G655" s="178">
        <v>5703.2</v>
      </c>
      <c r="H655" s="179">
        <v>42833</v>
      </c>
      <c r="I655" s="178">
        <f t="shared" si="21"/>
        <v>5703.2</v>
      </c>
      <c r="J655" s="178">
        <f t="shared" si="22"/>
        <v>0</v>
      </c>
      <c r="K655" s="19"/>
    </row>
    <row r="656" spans="1:11" x14ac:dyDescent="0.25">
      <c r="A656" s="51">
        <v>42831</v>
      </c>
      <c r="B656" s="174" t="s">
        <v>12174</v>
      </c>
      <c r="C656" s="175"/>
      <c r="D656" s="176" t="s">
        <v>12174</v>
      </c>
      <c r="E656" s="176">
        <v>107090</v>
      </c>
      <c r="F656" s="177" t="s">
        <v>1116</v>
      </c>
      <c r="G656" s="178">
        <v>5516.5</v>
      </c>
      <c r="H656" s="179">
        <v>42833</v>
      </c>
      <c r="I656" s="178">
        <f t="shared" si="21"/>
        <v>5516.5</v>
      </c>
      <c r="J656" s="178">
        <f t="shared" si="22"/>
        <v>0</v>
      </c>
      <c r="K656" s="19"/>
    </row>
    <row r="657" spans="1:11" x14ac:dyDescent="0.25">
      <c r="A657" s="51">
        <v>42831</v>
      </c>
      <c r="B657" s="174" t="s">
        <v>12175</v>
      </c>
      <c r="C657" s="175"/>
      <c r="D657" s="176" t="s">
        <v>12175</v>
      </c>
      <c r="E657" s="176">
        <v>107091</v>
      </c>
      <c r="F657" s="177" t="s">
        <v>61</v>
      </c>
      <c r="G657" s="178">
        <v>11130.9</v>
      </c>
      <c r="H657" s="179">
        <v>42831</v>
      </c>
      <c r="I657" s="178">
        <f t="shared" si="21"/>
        <v>11130.9</v>
      </c>
      <c r="J657" s="178">
        <f t="shared" si="22"/>
        <v>0</v>
      </c>
      <c r="K657" s="19"/>
    </row>
    <row r="658" spans="1:11" x14ac:dyDescent="0.25">
      <c r="A658" s="51">
        <v>42831</v>
      </c>
      <c r="B658" s="174" t="s">
        <v>12176</v>
      </c>
      <c r="C658" s="175"/>
      <c r="D658" s="176" t="s">
        <v>12176</v>
      </c>
      <c r="E658" s="176">
        <v>107092</v>
      </c>
      <c r="F658" s="177" t="s">
        <v>198</v>
      </c>
      <c r="G658" s="178">
        <v>1401.2</v>
      </c>
      <c r="H658" s="179">
        <v>42831</v>
      </c>
      <c r="I658" s="178">
        <f t="shared" si="21"/>
        <v>1401.2</v>
      </c>
      <c r="J658" s="178">
        <f t="shared" si="22"/>
        <v>0</v>
      </c>
      <c r="K658" s="19"/>
    </row>
    <row r="659" spans="1:11" x14ac:dyDescent="0.25">
      <c r="A659" s="51">
        <v>42831</v>
      </c>
      <c r="B659" s="174" t="s">
        <v>12177</v>
      </c>
      <c r="C659" s="175"/>
      <c r="D659" s="176" t="s">
        <v>12177</v>
      </c>
      <c r="E659" s="176">
        <v>107093</v>
      </c>
      <c r="F659" s="177" t="s">
        <v>1090</v>
      </c>
      <c r="G659" s="178">
        <v>6361.6</v>
      </c>
      <c r="H659" s="179">
        <v>42831</v>
      </c>
      <c r="I659" s="178">
        <f t="shared" si="21"/>
        <v>6361.6</v>
      </c>
      <c r="J659" s="178">
        <f t="shared" si="22"/>
        <v>0</v>
      </c>
      <c r="K659" s="19"/>
    </row>
    <row r="660" spans="1:11" x14ac:dyDescent="0.25">
      <c r="A660" s="51">
        <v>42831</v>
      </c>
      <c r="B660" s="174" t="s">
        <v>12178</v>
      </c>
      <c r="C660" s="175"/>
      <c r="D660" s="176" t="s">
        <v>12178</v>
      </c>
      <c r="E660" s="176">
        <v>107094</v>
      </c>
      <c r="F660" s="177" t="s">
        <v>12014</v>
      </c>
      <c r="G660" s="178">
        <v>8532</v>
      </c>
      <c r="H660" s="179">
        <v>42831</v>
      </c>
      <c r="I660" s="178">
        <f t="shared" si="21"/>
        <v>8532</v>
      </c>
      <c r="J660" s="178">
        <f t="shared" si="22"/>
        <v>0</v>
      </c>
      <c r="K660" s="19"/>
    </row>
    <row r="661" spans="1:11" x14ac:dyDescent="0.25">
      <c r="A661" s="51">
        <v>42831</v>
      </c>
      <c r="B661" s="174" t="s">
        <v>12179</v>
      </c>
      <c r="C661" s="175"/>
      <c r="D661" s="176" t="s">
        <v>12179</v>
      </c>
      <c r="E661" s="176">
        <v>107095</v>
      </c>
      <c r="F661" s="177" t="s">
        <v>2986</v>
      </c>
      <c r="G661" s="178">
        <v>2761.5</v>
      </c>
      <c r="H661" s="179">
        <v>42831</v>
      </c>
      <c r="I661" s="178">
        <f t="shared" si="21"/>
        <v>2761.5</v>
      </c>
      <c r="J661" s="178">
        <f t="shared" si="22"/>
        <v>0</v>
      </c>
      <c r="K661" s="19"/>
    </row>
    <row r="662" spans="1:11" x14ac:dyDescent="0.25">
      <c r="A662" s="51">
        <v>42831</v>
      </c>
      <c r="B662" s="174" t="s">
        <v>12180</v>
      </c>
      <c r="C662" s="175"/>
      <c r="D662" s="176" t="s">
        <v>12180</v>
      </c>
      <c r="E662" s="176">
        <v>107096</v>
      </c>
      <c r="F662" s="177" t="s">
        <v>341</v>
      </c>
      <c r="G662" s="178">
        <v>10238.4</v>
      </c>
      <c r="H662" s="179">
        <v>42831</v>
      </c>
      <c r="I662" s="178">
        <f t="shared" si="21"/>
        <v>10238.4</v>
      </c>
      <c r="J662" s="178">
        <f t="shared" si="22"/>
        <v>0</v>
      </c>
      <c r="K662" s="19"/>
    </row>
    <row r="663" spans="1:11" x14ac:dyDescent="0.25">
      <c r="A663" s="51">
        <v>42831</v>
      </c>
      <c r="B663" s="174" t="s">
        <v>12181</v>
      </c>
      <c r="C663" s="175"/>
      <c r="D663" s="176" t="s">
        <v>12181</v>
      </c>
      <c r="E663" s="176">
        <v>107097</v>
      </c>
      <c r="F663" s="177" t="s">
        <v>157</v>
      </c>
      <c r="G663" s="178">
        <v>30422.3</v>
      </c>
      <c r="H663" s="179">
        <v>42831</v>
      </c>
      <c r="I663" s="178">
        <f t="shared" si="21"/>
        <v>30422.3</v>
      </c>
      <c r="J663" s="178">
        <f t="shared" si="22"/>
        <v>0</v>
      </c>
      <c r="K663" s="19"/>
    </row>
    <row r="664" spans="1:11" x14ac:dyDescent="0.25">
      <c r="A664" s="51">
        <v>42831</v>
      </c>
      <c r="B664" s="174" t="s">
        <v>12182</v>
      </c>
      <c r="C664" s="175"/>
      <c r="D664" s="176" t="s">
        <v>12182</v>
      </c>
      <c r="E664" s="176">
        <v>107098</v>
      </c>
      <c r="F664" s="177" t="s">
        <v>10</v>
      </c>
      <c r="G664" s="178">
        <v>239653.92</v>
      </c>
      <c r="H664" s="180" t="s">
        <v>12183</v>
      </c>
      <c r="I664" s="181">
        <f>45501.96+194151.96</f>
        <v>239653.91999999998</v>
      </c>
      <c r="J664" s="181">
        <f t="shared" si="22"/>
        <v>0</v>
      </c>
      <c r="K664" s="19"/>
    </row>
    <row r="665" spans="1:11" x14ac:dyDescent="0.25">
      <c r="A665" s="51">
        <v>42831</v>
      </c>
      <c r="B665" s="174" t="s">
        <v>12184</v>
      </c>
      <c r="C665" s="175"/>
      <c r="D665" s="176" t="s">
        <v>12184</v>
      </c>
      <c r="E665" s="176">
        <v>107099</v>
      </c>
      <c r="F665" s="177" t="s">
        <v>329</v>
      </c>
      <c r="G665" s="178">
        <v>600.6</v>
      </c>
      <c r="H665" s="179">
        <v>42831</v>
      </c>
      <c r="I665" s="178">
        <f t="shared" si="21"/>
        <v>600.6</v>
      </c>
      <c r="J665" s="178">
        <f t="shared" si="22"/>
        <v>0</v>
      </c>
      <c r="K665" s="19"/>
    </row>
    <row r="666" spans="1:11" x14ac:dyDescent="0.25">
      <c r="A666" s="51">
        <v>42831</v>
      </c>
      <c r="B666" s="174" t="s">
        <v>12185</v>
      </c>
      <c r="C666" s="175"/>
      <c r="D666" s="176" t="s">
        <v>12185</v>
      </c>
      <c r="E666" s="176">
        <v>107100</v>
      </c>
      <c r="F666" s="177" t="s">
        <v>298</v>
      </c>
      <c r="G666" s="178">
        <v>3743.7</v>
      </c>
      <c r="H666" s="179">
        <v>42831</v>
      </c>
      <c r="I666" s="178">
        <f t="shared" si="21"/>
        <v>3743.7</v>
      </c>
      <c r="J666" s="178">
        <f t="shared" si="22"/>
        <v>0</v>
      </c>
      <c r="K666" s="19"/>
    </row>
    <row r="667" spans="1:11" x14ac:dyDescent="0.25">
      <c r="A667" s="51">
        <v>42831</v>
      </c>
      <c r="B667" s="174" t="s">
        <v>12186</v>
      </c>
      <c r="C667" s="175"/>
      <c r="D667" s="176" t="s">
        <v>12186</v>
      </c>
      <c r="E667" s="176">
        <v>107101</v>
      </c>
      <c r="F667" s="177" t="s">
        <v>133</v>
      </c>
      <c r="G667" s="178">
        <v>7070.2</v>
      </c>
      <c r="H667" s="179">
        <v>42831</v>
      </c>
      <c r="I667" s="178">
        <f t="shared" si="21"/>
        <v>7070.2</v>
      </c>
      <c r="J667" s="178">
        <f t="shared" si="22"/>
        <v>0</v>
      </c>
      <c r="K667" s="19"/>
    </row>
    <row r="668" spans="1:11" x14ac:dyDescent="0.25">
      <c r="A668" s="51">
        <v>42831</v>
      </c>
      <c r="B668" s="174" t="s">
        <v>12187</v>
      </c>
      <c r="C668" s="175"/>
      <c r="D668" s="176" t="s">
        <v>12187</v>
      </c>
      <c r="E668" s="176">
        <v>107102</v>
      </c>
      <c r="F668" s="177" t="s">
        <v>125</v>
      </c>
      <c r="G668" s="178">
        <v>4606.8</v>
      </c>
      <c r="H668" s="179">
        <v>42835</v>
      </c>
      <c r="I668" s="178">
        <f t="shared" si="21"/>
        <v>4606.8</v>
      </c>
      <c r="J668" s="178">
        <f t="shared" si="22"/>
        <v>0</v>
      </c>
      <c r="K668" s="19"/>
    </row>
    <row r="669" spans="1:11" x14ac:dyDescent="0.25">
      <c r="A669" s="51">
        <v>42831</v>
      </c>
      <c r="B669" s="174" t="s">
        <v>12188</v>
      </c>
      <c r="C669" s="175"/>
      <c r="D669" s="176" t="s">
        <v>12188</v>
      </c>
      <c r="E669" s="176">
        <v>107103</v>
      </c>
      <c r="F669" s="177" t="s">
        <v>1830</v>
      </c>
      <c r="G669" s="178">
        <v>12453</v>
      </c>
      <c r="H669" s="179">
        <v>42831</v>
      </c>
      <c r="I669" s="178">
        <f t="shared" si="21"/>
        <v>12453</v>
      </c>
      <c r="J669" s="178">
        <f t="shared" si="22"/>
        <v>0</v>
      </c>
      <c r="K669" s="19"/>
    </row>
    <row r="670" spans="1:11" x14ac:dyDescent="0.25">
      <c r="A670" s="51">
        <v>42831</v>
      </c>
      <c r="B670" s="174" t="s">
        <v>12189</v>
      </c>
      <c r="C670" s="175"/>
      <c r="D670" s="176" t="s">
        <v>12189</v>
      </c>
      <c r="E670" s="176">
        <v>107104</v>
      </c>
      <c r="F670" s="177" t="s">
        <v>122</v>
      </c>
      <c r="G670" s="178">
        <v>5662</v>
      </c>
      <c r="H670" s="179">
        <v>42837</v>
      </c>
      <c r="I670" s="178">
        <f t="shared" si="21"/>
        <v>5662</v>
      </c>
      <c r="J670" s="178">
        <f t="shared" si="22"/>
        <v>0</v>
      </c>
      <c r="K670" s="19"/>
    </row>
    <row r="671" spans="1:11" x14ac:dyDescent="0.25">
      <c r="A671" s="51">
        <v>42831</v>
      </c>
      <c r="B671" s="174" t="s">
        <v>12190</v>
      </c>
      <c r="C671" s="175"/>
      <c r="D671" s="176" t="s">
        <v>12190</v>
      </c>
      <c r="E671" s="176">
        <v>107105</v>
      </c>
      <c r="F671" s="177" t="s">
        <v>122</v>
      </c>
      <c r="G671" s="178">
        <v>23664</v>
      </c>
      <c r="H671" s="179">
        <v>42837</v>
      </c>
      <c r="I671" s="178">
        <f t="shared" si="21"/>
        <v>23664</v>
      </c>
      <c r="J671" s="178">
        <f t="shared" si="22"/>
        <v>0</v>
      </c>
      <c r="K671" s="19"/>
    </row>
    <row r="672" spans="1:11" x14ac:dyDescent="0.25">
      <c r="A672" s="51">
        <v>42831</v>
      </c>
      <c r="B672" s="174" t="s">
        <v>12191</v>
      </c>
      <c r="C672" s="175"/>
      <c r="D672" s="176" t="s">
        <v>12191</v>
      </c>
      <c r="E672" s="176">
        <v>107106</v>
      </c>
      <c r="F672" s="177" t="s">
        <v>492</v>
      </c>
      <c r="G672" s="178">
        <v>13948.8</v>
      </c>
      <c r="H672" s="179">
        <v>42834</v>
      </c>
      <c r="I672" s="178">
        <f t="shared" si="21"/>
        <v>13948.8</v>
      </c>
      <c r="J672" s="178">
        <f t="shared" si="22"/>
        <v>0</v>
      </c>
      <c r="K672" s="19"/>
    </row>
    <row r="673" spans="1:11" x14ac:dyDescent="0.25">
      <c r="A673" s="51">
        <v>42831</v>
      </c>
      <c r="B673" s="174" t="s">
        <v>12192</v>
      </c>
      <c r="C673" s="175"/>
      <c r="D673" s="176" t="s">
        <v>12192</v>
      </c>
      <c r="E673" s="176">
        <v>107107</v>
      </c>
      <c r="F673" s="177" t="s">
        <v>305</v>
      </c>
      <c r="G673" s="178">
        <v>4559.6000000000004</v>
      </c>
      <c r="H673" s="179">
        <v>42842</v>
      </c>
      <c r="I673" s="178">
        <f t="shared" si="21"/>
        <v>4559.6000000000004</v>
      </c>
      <c r="J673" s="178">
        <f t="shared" si="22"/>
        <v>0</v>
      </c>
      <c r="K673" s="19"/>
    </row>
    <row r="674" spans="1:11" x14ac:dyDescent="0.25">
      <c r="A674" s="51">
        <v>42831</v>
      </c>
      <c r="B674" s="174" t="s">
        <v>12193</v>
      </c>
      <c r="C674" s="175"/>
      <c r="D674" s="176" t="s">
        <v>12193</v>
      </c>
      <c r="E674" s="176">
        <v>107108</v>
      </c>
      <c r="F674" s="177" t="s">
        <v>476</v>
      </c>
      <c r="G674" s="178">
        <v>18292.7</v>
      </c>
      <c r="H674" s="179">
        <v>42837</v>
      </c>
      <c r="I674" s="178">
        <f t="shared" si="21"/>
        <v>18292.7</v>
      </c>
      <c r="J674" s="178">
        <f t="shared" si="22"/>
        <v>0</v>
      </c>
      <c r="K674" s="19"/>
    </row>
    <row r="675" spans="1:11" x14ac:dyDescent="0.25">
      <c r="A675" s="51">
        <v>42831</v>
      </c>
      <c r="B675" s="174" t="s">
        <v>12194</v>
      </c>
      <c r="C675" s="175"/>
      <c r="D675" s="176" t="s">
        <v>12194</v>
      </c>
      <c r="E675" s="176">
        <v>107109</v>
      </c>
      <c r="F675" s="177" t="s">
        <v>1634</v>
      </c>
      <c r="G675" s="178">
        <v>892.8</v>
      </c>
      <c r="H675" s="179">
        <v>42831</v>
      </c>
      <c r="I675" s="178">
        <f t="shared" si="21"/>
        <v>892.8</v>
      </c>
      <c r="J675" s="178">
        <f t="shared" si="22"/>
        <v>0</v>
      </c>
      <c r="K675" s="19"/>
    </row>
    <row r="676" spans="1:11" x14ac:dyDescent="0.25">
      <c r="A676" s="51">
        <v>42831</v>
      </c>
      <c r="B676" s="174" t="s">
        <v>12195</v>
      </c>
      <c r="C676" s="175"/>
      <c r="D676" s="176" t="s">
        <v>12195</v>
      </c>
      <c r="E676" s="176">
        <v>107110</v>
      </c>
      <c r="F676" s="177" t="s">
        <v>472</v>
      </c>
      <c r="G676" s="178">
        <v>3942.7</v>
      </c>
      <c r="H676" s="179">
        <v>42837</v>
      </c>
      <c r="I676" s="178">
        <f t="shared" si="21"/>
        <v>3942.7</v>
      </c>
      <c r="J676" s="178">
        <f t="shared" si="22"/>
        <v>0</v>
      </c>
      <c r="K676" s="19"/>
    </row>
    <row r="677" spans="1:11" x14ac:dyDescent="0.25">
      <c r="A677" s="51">
        <v>42831</v>
      </c>
      <c r="B677" s="174" t="s">
        <v>12196</v>
      </c>
      <c r="C677" s="175"/>
      <c r="D677" s="176" t="s">
        <v>12196</v>
      </c>
      <c r="E677" s="176">
        <v>107111</v>
      </c>
      <c r="F677" s="177" t="s">
        <v>222</v>
      </c>
      <c r="G677" s="178">
        <v>43685.18</v>
      </c>
      <c r="H677" s="179">
        <v>42837</v>
      </c>
      <c r="I677" s="178">
        <f t="shared" si="21"/>
        <v>43685.18</v>
      </c>
      <c r="J677" s="178">
        <f t="shared" si="22"/>
        <v>0</v>
      </c>
      <c r="K677" s="19"/>
    </row>
    <row r="678" spans="1:11" x14ac:dyDescent="0.25">
      <c r="A678" s="51">
        <v>42831</v>
      </c>
      <c r="B678" s="174" t="s">
        <v>12197</v>
      </c>
      <c r="C678" s="175"/>
      <c r="D678" s="176" t="s">
        <v>12197</v>
      </c>
      <c r="E678" s="176">
        <v>107112</v>
      </c>
      <c r="F678" s="177" t="s">
        <v>10</v>
      </c>
      <c r="G678" s="178">
        <v>6014.6</v>
      </c>
      <c r="H678" s="179">
        <v>42835</v>
      </c>
      <c r="I678" s="178">
        <f t="shared" si="21"/>
        <v>6014.6</v>
      </c>
      <c r="J678" s="178">
        <f t="shared" si="22"/>
        <v>0</v>
      </c>
      <c r="K678" s="19"/>
    </row>
    <row r="679" spans="1:11" x14ac:dyDescent="0.25">
      <c r="A679" s="51">
        <v>42831</v>
      </c>
      <c r="B679" s="174" t="s">
        <v>12198</v>
      </c>
      <c r="C679" s="175"/>
      <c r="D679" s="176" t="s">
        <v>12198</v>
      </c>
      <c r="E679" s="176">
        <v>107113</v>
      </c>
      <c r="F679" s="182" t="s">
        <v>30</v>
      </c>
      <c r="G679" s="183">
        <v>0</v>
      </c>
      <c r="H679" s="184" t="s">
        <v>95</v>
      </c>
      <c r="I679" s="183">
        <f t="shared" si="21"/>
        <v>0</v>
      </c>
      <c r="J679" s="183">
        <f t="shared" si="22"/>
        <v>0</v>
      </c>
      <c r="K679" s="19"/>
    </row>
    <row r="680" spans="1:11" x14ac:dyDescent="0.25">
      <c r="A680" s="51">
        <v>42831</v>
      </c>
      <c r="B680" s="174" t="s">
        <v>12199</v>
      </c>
      <c r="C680" s="175"/>
      <c r="D680" s="176" t="s">
        <v>12199</v>
      </c>
      <c r="E680" s="176">
        <v>107114</v>
      </c>
      <c r="F680" s="177" t="s">
        <v>30</v>
      </c>
      <c r="G680" s="178">
        <v>2666</v>
      </c>
      <c r="H680" s="179">
        <v>42831</v>
      </c>
      <c r="I680" s="178">
        <f t="shared" si="21"/>
        <v>2666</v>
      </c>
      <c r="J680" s="178">
        <f t="shared" si="22"/>
        <v>0</v>
      </c>
      <c r="K680" s="19"/>
    </row>
    <row r="681" spans="1:11" x14ac:dyDescent="0.25">
      <c r="A681" s="51">
        <v>42831</v>
      </c>
      <c r="B681" s="174" t="s">
        <v>12200</v>
      </c>
      <c r="C681" s="175"/>
      <c r="D681" s="176" t="s">
        <v>12200</v>
      </c>
      <c r="E681" s="176">
        <v>107115</v>
      </c>
      <c r="F681" s="177" t="s">
        <v>55</v>
      </c>
      <c r="G681" s="178">
        <v>5616.6</v>
      </c>
      <c r="H681" s="180">
        <v>42831</v>
      </c>
      <c r="I681" s="181">
        <f>2800+2816.6</f>
        <v>5616.6</v>
      </c>
      <c r="J681" s="181">
        <f t="shared" si="22"/>
        <v>0</v>
      </c>
      <c r="K681" s="19"/>
    </row>
    <row r="682" spans="1:11" x14ac:dyDescent="0.25">
      <c r="A682" s="51">
        <v>42831</v>
      </c>
      <c r="B682" s="174" t="s">
        <v>12201</v>
      </c>
      <c r="C682" s="175"/>
      <c r="D682" s="176" t="s">
        <v>12201</v>
      </c>
      <c r="E682" s="176">
        <v>107116</v>
      </c>
      <c r="F682" s="192" t="s">
        <v>133</v>
      </c>
      <c r="G682" s="193">
        <v>0</v>
      </c>
      <c r="H682" s="194" t="s">
        <v>95</v>
      </c>
      <c r="I682" s="193">
        <f t="shared" si="21"/>
        <v>0</v>
      </c>
      <c r="J682" s="193">
        <f t="shared" si="22"/>
        <v>0</v>
      </c>
      <c r="K682" s="19"/>
    </row>
    <row r="683" spans="1:11" x14ac:dyDescent="0.25">
      <c r="A683" s="51">
        <v>42831</v>
      </c>
      <c r="B683" s="174" t="s">
        <v>12202</v>
      </c>
      <c r="C683" s="175"/>
      <c r="D683" s="176" t="s">
        <v>12202</v>
      </c>
      <c r="E683" s="176">
        <v>107117</v>
      </c>
      <c r="F683" s="177" t="s">
        <v>133</v>
      </c>
      <c r="G683" s="178">
        <v>13718</v>
      </c>
      <c r="H683" s="179">
        <v>42838</v>
      </c>
      <c r="I683" s="178">
        <f t="shared" si="21"/>
        <v>13718</v>
      </c>
      <c r="J683" s="178">
        <f t="shared" si="22"/>
        <v>0</v>
      </c>
      <c r="K683" s="19"/>
    </row>
    <row r="684" spans="1:11" x14ac:dyDescent="0.25">
      <c r="A684" s="51">
        <v>42831</v>
      </c>
      <c r="B684" s="174" t="s">
        <v>12203</v>
      </c>
      <c r="C684" s="175"/>
      <c r="D684" s="176" t="s">
        <v>12203</v>
      </c>
      <c r="E684" s="176">
        <v>107118</v>
      </c>
      <c r="F684" s="177" t="s">
        <v>2240</v>
      </c>
      <c r="G684" s="178">
        <v>5590.88</v>
      </c>
      <c r="H684" s="179">
        <v>42831</v>
      </c>
      <c r="I684" s="178">
        <f t="shared" si="21"/>
        <v>5590.88</v>
      </c>
      <c r="J684" s="178">
        <f t="shared" si="22"/>
        <v>0</v>
      </c>
      <c r="K684" s="19"/>
    </row>
    <row r="685" spans="1:11" x14ac:dyDescent="0.25">
      <c r="A685" s="51">
        <v>42831</v>
      </c>
      <c r="B685" s="174" t="s">
        <v>12204</v>
      </c>
      <c r="C685" s="175"/>
      <c r="D685" s="176" t="s">
        <v>12204</v>
      </c>
      <c r="E685" s="176">
        <v>107119</v>
      </c>
      <c r="F685" s="177" t="s">
        <v>120</v>
      </c>
      <c r="G685" s="178">
        <v>2234.6999999999998</v>
      </c>
      <c r="H685" s="179">
        <v>42831</v>
      </c>
      <c r="I685" s="178">
        <f t="shared" si="21"/>
        <v>2234.6999999999998</v>
      </c>
      <c r="J685" s="178">
        <f t="shared" si="22"/>
        <v>0</v>
      </c>
      <c r="K685" s="19"/>
    </row>
    <row r="686" spans="1:11" x14ac:dyDescent="0.25">
      <c r="A686" s="51">
        <v>42831</v>
      </c>
      <c r="B686" s="174" t="s">
        <v>12205</v>
      </c>
      <c r="C686" s="175"/>
      <c r="D686" s="176" t="s">
        <v>12205</v>
      </c>
      <c r="E686" s="176">
        <v>107120</v>
      </c>
      <c r="F686" s="177" t="s">
        <v>10</v>
      </c>
      <c r="G686" s="178">
        <v>62136.2</v>
      </c>
      <c r="H686" s="179">
        <v>42835</v>
      </c>
      <c r="I686" s="178">
        <f t="shared" si="21"/>
        <v>62136.2</v>
      </c>
      <c r="J686" s="178">
        <f t="shared" si="22"/>
        <v>0</v>
      </c>
      <c r="K686" s="19"/>
    </row>
    <row r="687" spans="1:11" x14ac:dyDescent="0.25">
      <c r="A687" s="51">
        <v>42831</v>
      </c>
      <c r="B687" s="174" t="s">
        <v>12206</v>
      </c>
      <c r="C687" s="175"/>
      <c r="D687" s="176" t="s">
        <v>12206</v>
      </c>
      <c r="E687" s="176">
        <v>107121</v>
      </c>
      <c r="F687" s="177" t="s">
        <v>218</v>
      </c>
      <c r="G687" s="178">
        <v>14799.8</v>
      </c>
      <c r="H687" s="179">
        <v>42831</v>
      </c>
      <c r="I687" s="178">
        <f t="shared" si="21"/>
        <v>14799.8</v>
      </c>
      <c r="J687" s="178">
        <f t="shared" si="22"/>
        <v>0</v>
      </c>
      <c r="K687" s="19"/>
    </row>
    <row r="688" spans="1:11" x14ac:dyDescent="0.25">
      <c r="A688" s="51">
        <v>42831</v>
      </c>
      <c r="B688" s="174" t="s">
        <v>12207</v>
      </c>
      <c r="C688" s="175"/>
      <c r="D688" s="176" t="s">
        <v>12207</v>
      </c>
      <c r="E688" s="176">
        <v>107122</v>
      </c>
      <c r="F688" s="177" t="s">
        <v>222</v>
      </c>
      <c r="G688" s="178">
        <v>139480</v>
      </c>
      <c r="H688" s="179">
        <v>42841</v>
      </c>
      <c r="I688" s="178">
        <f t="shared" si="21"/>
        <v>139480</v>
      </c>
      <c r="J688" s="178">
        <f t="shared" si="22"/>
        <v>0</v>
      </c>
      <c r="K688" s="19"/>
    </row>
    <row r="689" spans="1:11" x14ac:dyDescent="0.25">
      <c r="A689" s="51">
        <v>42831</v>
      </c>
      <c r="B689" s="174" t="s">
        <v>12208</v>
      </c>
      <c r="C689" s="175"/>
      <c r="D689" s="176" t="s">
        <v>12208</v>
      </c>
      <c r="E689" s="176">
        <v>107123</v>
      </c>
      <c r="F689" s="177" t="s">
        <v>30</v>
      </c>
      <c r="G689" s="178">
        <v>4692</v>
      </c>
      <c r="H689" s="179">
        <v>42831</v>
      </c>
      <c r="I689" s="178">
        <f t="shared" si="21"/>
        <v>4692</v>
      </c>
      <c r="J689" s="178">
        <f t="shared" si="22"/>
        <v>0</v>
      </c>
      <c r="K689" s="19"/>
    </row>
    <row r="690" spans="1:11" x14ac:dyDescent="0.25">
      <c r="A690" s="51">
        <v>42831</v>
      </c>
      <c r="B690" s="174" t="s">
        <v>12209</v>
      </c>
      <c r="C690" s="175"/>
      <c r="D690" s="176" t="s">
        <v>12209</v>
      </c>
      <c r="E690" s="176">
        <v>107124</v>
      </c>
      <c r="F690" s="177" t="s">
        <v>205</v>
      </c>
      <c r="G690" s="178">
        <v>64462</v>
      </c>
      <c r="H690" s="186">
        <v>42851</v>
      </c>
      <c r="I690" s="187">
        <f t="shared" si="21"/>
        <v>64462</v>
      </c>
      <c r="J690" s="178">
        <f t="shared" si="22"/>
        <v>0</v>
      </c>
      <c r="K690" s="19"/>
    </row>
    <row r="691" spans="1:11" x14ac:dyDescent="0.25">
      <c r="A691" s="51">
        <v>42831</v>
      </c>
      <c r="B691" s="174" t="s">
        <v>12210</v>
      </c>
      <c r="C691" s="175"/>
      <c r="D691" s="176" t="s">
        <v>12210</v>
      </c>
      <c r="E691" s="176">
        <v>107125</v>
      </c>
      <c r="F691" s="177" t="s">
        <v>30</v>
      </c>
      <c r="G691" s="178">
        <v>1051.5999999999999</v>
      </c>
      <c r="H691" s="179">
        <v>42831</v>
      </c>
      <c r="I691" s="178">
        <f t="shared" si="21"/>
        <v>1051.5999999999999</v>
      </c>
      <c r="J691" s="178">
        <f t="shared" si="22"/>
        <v>0</v>
      </c>
      <c r="K691" s="19"/>
    </row>
    <row r="692" spans="1:11" x14ac:dyDescent="0.25">
      <c r="A692" s="51">
        <v>42831</v>
      </c>
      <c r="B692" s="174" t="s">
        <v>12211</v>
      </c>
      <c r="C692" s="175"/>
      <c r="D692" s="176" t="s">
        <v>12211</v>
      </c>
      <c r="E692" s="176">
        <v>107126</v>
      </c>
      <c r="F692" s="177" t="s">
        <v>10</v>
      </c>
      <c r="G692" s="178">
        <v>59534.1</v>
      </c>
      <c r="H692" s="179">
        <v>42835</v>
      </c>
      <c r="I692" s="178">
        <f t="shared" si="21"/>
        <v>59534.1</v>
      </c>
      <c r="J692" s="178">
        <f t="shared" si="22"/>
        <v>0</v>
      </c>
      <c r="K692" s="19"/>
    </row>
    <row r="693" spans="1:11" x14ac:dyDescent="0.25">
      <c r="A693" s="51">
        <v>42831</v>
      </c>
      <c r="B693" s="174" t="s">
        <v>12212</v>
      </c>
      <c r="C693" s="175"/>
      <c r="D693" s="176" t="s">
        <v>12212</v>
      </c>
      <c r="E693" s="176">
        <v>107127</v>
      </c>
      <c r="F693" s="182" t="s">
        <v>205</v>
      </c>
      <c r="G693" s="183">
        <v>0</v>
      </c>
      <c r="H693" s="184" t="s">
        <v>95</v>
      </c>
      <c r="I693" s="183">
        <f t="shared" si="21"/>
        <v>0</v>
      </c>
      <c r="J693" s="183">
        <f t="shared" si="22"/>
        <v>0</v>
      </c>
      <c r="K693" s="19"/>
    </row>
    <row r="694" spans="1:11" x14ac:dyDescent="0.25">
      <c r="A694" s="51">
        <v>42831</v>
      </c>
      <c r="B694" s="174" t="s">
        <v>12213</v>
      </c>
      <c r="C694" s="175"/>
      <c r="D694" s="176" t="s">
        <v>12213</v>
      </c>
      <c r="E694" s="176">
        <v>107128</v>
      </c>
      <c r="F694" s="177" t="s">
        <v>352</v>
      </c>
      <c r="G694" s="178">
        <v>2872.4</v>
      </c>
      <c r="H694" s="179">
        <v>42831</v>
      </c>
      <c r="I694" s="178">
        <f t="shared" si="21"/>
        <v>2872.4</v>
      </c>
      <c r="J694" s="178">
        <f t="shared" si="22"/>
        <v>0</v>
      </c>
      <c r="K694" s="19"/>
    </row>
    <row r="695" spans="1:11" x14ac:dyDescent="0.25">
      <c r="A695" s="51">
        <v>42831</v>
      </c>
      <c r="B695" s="174" t="s">
        <v>12214</v>
      </c>
      <c r="C695" s="175"/>
      <c r="D695" s="176" t="s">
        <v>12214</v>
      </c>
      <c r="E695" s="176">
        <v>107129</v>
      </c>
      <c r="F695" s="177" t="s">
        <v>10</v>
      </c>
      <c r="G695" s="178">
        <v>11791.4</v>
      </c>
      <c r="H695" s="179">
        <v>42835</v>
      </c>
      <c r="I695" s="178">
        <f t="shared" si="21"/>
        <v>11791.4</v>
      </c>
      <c r="J695" s="178">
        <f t="shared" si="22"/>
        <v>0</v>
      </c>
      <c r="K695" s="19"/>
    </row>
    <row r="696" spans="1:11" x14ac:dyDescent="0.25">
      <c r="A696" s="51">
        <v>42831</v>
      </c>
      <c r="B696" s="174" t="s">
        <v>12215</v>
      </c>
      <c r="C696" s="175"/>
      <c r="D696" s="176" t="s">
        <v>12215</v>
      </c>
      <c r="E696" s="176">
        <v>107130</v>
      </c>
      <c r="F696" s="177" t="s">
        <v>205</v>
      </c>
      <c r="G696" s="178">
        <v>28344.9</v>
      </c>
      <c r="H696" s="179">
        <v>42848</v>
      </c>
      <c r="I696" s="178">
        <f t="shared" si="21"/>
        <v>28344.9</v>
      </c>
      <c r="J696" s="178">
        <f t="shared" si="22"/>
        <v>0</v>
      </c>
      <c r="K696" s="19"/>
    </row>
    <row r="697" spans="1:11" x14ac:dyDescent="0.25">
      <c r="A697" s="51">
        <v>42831</v>
      </c>
      <c r="B697" s="174" t="s">
        <v>12216</v>
      </c>
      <c r="C697" s="175"/>
      <c r="D697" s="176" t="s">
        <v>12216</v>
      </c>
      <c r="E697" s="176">
        <v>107131</v>
      </c>
      <c r="F697" s="177" t="s">
        <v>55</v>
      </c>
      <c r="G697" s="178">
        <v>6953.6</v>
      </c>
      <c r="H697" s="180" t="s">
        <v>12217</v>
      </c>
      <c r="I697" s="181">
        <f>3083.4+3870.2</f>
        <v>6953.6</v>
      </c>
      <c r="J697" s="181">
        <f t="shared" si="22"/>
        <v>0</v>
      </c>
      <c r="K697" s="19"/>
    </row>
    <row r="698" spans="1:11" x14ac:dyDescent="0.25">
      <c r="A698" s="51">
        <v>42831</v>
      </c>
      <c r="B698" s="174" t="s">
        <v>12218</v>
      </c>
      <c r="C698" s="175"/>
      <c r="D698" s="176" t="s">
        <v>12218</v>
      </c>
      <c r="E698" s="176">
        <v>107132</v>
      </c>
      <c r="F698" s="177" t="s">
        <v>528</v>
      </c>
      <c r="G698" s="178">
        <v>3716.3</v>
      </c>
      <c r="H698" s="179">
        <v>42832</v>
      </c>
      <c r="I698" s="178">
        <f t="shared" si="21"/>
        <v>3716.3</v>
      </c>
      <c r="J698" s="178">
        <f t="shared" si="22"/>
        <v>0</v>
      </c>
      <c r="K698" s="19"/>
    </row>
    <row r="699" spans="1:11" x14ac:dyDescent="0.25">
      <c r="A699" s="51">
        <v>42831</v>
      </c>
      <c r="B699" s="174" t="s">
        <v>12219</v>
      </c>
      <c r="C699" s="175"/>
      <c r="D699" s="176" t="s">
        <v>12219</v>
      </c>
      <c r="E699" s="176">
        <v>107133</v>
      </c>
      <c r="F699" s="177" t="s">
        <v>10370</v>
      </c>
      <c r="G699" s="178">
        <v>1353</v>
      </c>
      <c r="H699" s="179">
        <v>42832</v>
      </c>
      <c r="I699" s="178">
        <f t="shared" si="21"/>
        <v>1353</v>
      </c>
      <c r="J699" s="178">
        <f t="shared" si="22"/>
        <v>0</v>
      </c>
      <c r="K699" s="19"/>
    </row>
    <row r="700" spans="1:11" x14ac:dyDescent="0.25">
      <c r="A700" s="51">
        <v>42831</v>
      </c>
      <c r="B700" s="174" t="s">
        <v>12220</v>
      </c>
      <c r="C700" s="175"/>
      <c r="D700" s="176" t="s">
        <v>12220</v>
      </c>
      <c r="E700" s="176">
        <v>107134</v>
      </c>
      <c r="F700" s="177" t="s">
        <v>182</v>
      </c>
      <c r="G700" s="178">
        <v>3027.2</v>
      </c>
      <c r="H700" s="179">
        <v>42832</v>
      </c>
      <c r="I700" s="178">
        <f t="shared" si="21"/>
        <v>3027.2</v>
      </c>
      <c r="J700" s="178">
        <f t="shared" si="22"/>
        <v>0</v>
      </c>
      <c r="K700" s="19"/>
    </row>
    <row r="701" spans="1:11" x14ac:dyDescent="0.25">
      <c r="A701" s="51">
        <v>42831</v>
      </c>
      <c r="B701" s="174" t="s">
        <v>12221</v>
      </c>
      <c r="C701" s="175"/>
      <c r="D701" s="176" t="s">
        <v>12221</v>
      </c>
      <c r="E701" s="176">
        <v>107135</v>
      </c>
      <c r="F701" s="177" t="s">
        <v>236</v>
      </c>
      <c r="G701" s="178">
        <v>34557.74</v>
      </c>
      <c r="H701" s="179">
        <v>42838</v>
      </c>
      <c r="I701" s="178">
        <f t="shared" si="21"/>
        <v>34557.74</v>
      </c>
      <c r="J701" s="178">
        <f t="shared" si="22"/>
        <v>0</v>
      </c>
      <c r="K701" s="19"/>
    </row>
    <row r="702" spans="1:11" x14ac:dyDescent="0.25">
      <c r="A702" s="51">
        <v>42831</v>
      </c>
      <c r="B702" s="174" t="s">
        <v>12222</v>
      </c>
      <c r="C702" s="175"/>
      <c r="D702" s="176" t="s">
        <v>12222</v>
      </c>
      <c r="E702" s="176">
        <v>107136</v>
      </c>
      <c r="F702" s="182" t="s">
        <v>10</v>
      </c>
      <c r="G702" s="183">
        <v>0</v>
      </c>
      <c r="H702" s="184" t="s">
        <v>95</v>
      </c>
      <c r="I702" s="183">
        <f t="shared" si="21"/>
        <v>0</v>
      </c>
      <c r="J702" s="183">
        <f t="shared" si="22"/>
        <v>0</v>
      </c>
      <c r="K702" s="19"/>
    </row>
    <row r="703" spans="1:11" x14ac:dyDescent="0.25">
      <c r="A703" s="51">
        <v>42831</v>
      </c>
      <c r="B703" s="174" t="s">
        <v>12223</v>
      </c>
      <c r="C703" s="175"/>
      <c r="D703" s="176" t="s">
        <v>12223</v>
      </c>
      <c r="E703" s="176">
        <v>107137</v>
      </c>
      <c r="F703" s="177" t="s">
        <v>122</v>
      </c>
      <c r="G703" s="178">
        <v>2574.5</v>
      </c>
      <c r="H703" s="179">
        <v>42831</v>
      </c>
      <c r="I703" s="178">
        <f t="shared" si="21"/>
        <v>2574.5</v>
      </c>
      <c r="J703" s="178">
        <f t="shared" si="22"/>
        <v>0</v>
      </c>
      <c r="K703" s="19"/>
    </row>
    <row r="704" spans="1:11" x14ac:dyDescent="0.25">
      <c r="A704" s="51">
        <v>42831</v>
      </c>
      <c r="B704" s="174" t="s">
        <v>12224</v>
      </c>
      <c r="C704" s="175"/>
      <c r="D704" s="176" t="s">
        <v>12224</v>
      </c>
      <c r="E704" s="176">
        <v>107138</v>
      </c>
      <c r="F704" s="177" t="s">
        <v>30</v>
      </c>
      <c r="G704" s="178">
        <v>2033.6</v>
      </c>
      <c r="H704" s="179">
        <v>42831</v>
      </c>
      <c r="I704" s="178">
        <f t="shared" si="21"/>
        <v>2033.6</v>
      </c>
      <c r="J704" s="178">
        <f t="shared" si="22"/>
        <v>0</v>
      </c>
      <c r="K704" s="19"/>
    </row>
    <row r="705" spans="1:11" x14ac:dyDescent="0.25">
      <c r="A705" s="51">
        <v>42831</v>
      </c>
      <c r="B705" s="174" t="s">
        <v>12225</v>
      </c>
      <c r="C705" s="175"/>
      <c r="D705" s="176" t="s">
        <v>12225</v>
      </c>
      <c r="E705" s="176">
        <v>107139</v>
      </c>
      <c r="F705" s="177" t="s">
        <v>1789</v>
      </c>
      <c r="G705" s="178">
        <v>20657.25</v>
      </c>
      <c r="H705" s="179">
        <v>42832</v>
      </c>
      <c r="I705" s="178">
        <f t="shared" si="21"/>
        <v>20657.25</v>
      </c>
      <c r="J705" s="178">
        <f t="shared" si="22"/>
        <v>0</v>
      </c>
      <c r="K705" s="19"/>
    </row>
    <row r="706" spans="1:11" x14ac:dyDescent="0.25">
      <c r="A706" s="51">
        <v>42831</v>
      </c>
      <c r="B706" s="174" t="s">
        <v>12226</v>
      </c>
      <c r="C706" s="175"/>
      <c r="D706" s="176" t="s">
        <v>12226</v>
      </c>
      <c r="E706" s="176">
        <v>107140</v>
      </c>
      <c r="F706" s="177" t="s">
        <v>10</v>
      </c>
      <c r="G706" s="178">
        <v>1293.2</v>
      </c>
      <c r="H706" s="179">
        <v>42835</v>
      </c>
      <c r="I706" s="178">
        <f t="shared" si="21"/>
        <v>1293.2</v>
      </c>
      <c r="J706" s="178">
        <f t="shared" si="22"/>
        <v>0</v>
      </c>
      <c r="K706" s="19"/>
    </row>
    <row r="707" spans="1:11" x14ac:dyDescent="0.25">
      <c r="A707" s="51">
        <v>42831</v>
      </c>
      <c r="B707" s="174" t="s">
        <v>12227</v>
      </c>
      <c r="C707" s="175"/>
      <c r="D707" s="176" t="s">
        <v>12227</v>
      </c>
      <c r="E707" s="176">
        <v>107141</v>
      </c>
      <c r="F707" s="177" t="s">
        <v>30</v>
      </c>
      <c r="G707" s="178">
        <v>22495</v>
      </c>
      <c r="H707" s="179">
        <v>42831</v>
      </c>
      <c r="I707" s="178">
        <f t="shared" si="21"/>
        <v>22495</v>
      </c>
      <c r="J707" s="178">
        <f t="shared" si="22"/>
        <v>0</v>
      </c>
      <c r="K707" s="19"/>
    </row>
    <row r="708" spans="1:11" x14ac:dyDescent="0.25">
      <c r="A708" s="51">
        <v>42831</v>
      </c>
      <c r="B708" s="174" t="s">
        <v>12228</v>
      </c>
      <c r="C708" s="175"/>
      <c r="D708" s="176" t="s">
        <v>12228</v>
      </c>
      <c r="E708" s="176">
        <v>107142</v>
      </c>
      <c r="F708" s="177" t="s">
        <v>9907</v>
      </c>
      <c r="G708" s="178">
        <v>3938.4</v>
      </c>
      <c r="H708" s="179">
        <v>42831</v>
      </c>
      <c r="I708" s="178">
        <f t="shared" ref="I708:I771" si="23">G708</f>
        <v>3938.4</v>
      </c>
      <c r="J708" s="178">
        <f t="shared" ref="J708:J771" si="24">G708-I708</f>
        <v>0</v>
      </c>
      <c r="K708" s="19"/>
    </row>
    <row r="709" spans="1:11" x14ac:dyDescent="0.25">
      <c r="A709" s="51">
        <v>42831</v>
      </c>
      <c r="B709" s="174" t="s">
        <v>12229</v>
      </c>
      <c r="C709" s="175"/>
      <c r="D709" s="176" t="s">
        <v>12229</v>
      </c>
      <c r="E709" s="176">
        <v>107143</v>
      </c>
      <c r="F709" s="177" t="s">
        <v>680</v>
      </c>
      <c r="G709" s="178">
        <v>2197.6</v>
      </c>
      <c r="H709" s="179">
        <v>42833</v>
      </c>
      <c r="I709" s="178">
        <f t="shared" si="23"/>
        <v>2197.6</v>
      </c>
      <c r="J709" s="178">
        <f t="shared" si="24"/>
        <v>0</v>
      </c>
      <c r="K709" s="19"/>
    </row>
    <row r="710" spans="1:11" x14ac:dyDescent="0.25">
      <c r="A710" s="51">
        <v>42831</v>
      </c>
      <c r="B710" s="174" t="s">
        <v>12230</v>
      </c>
      <c r="C710" s="175"/>
      <c r="D710" s="176" t="s">
        <v>12230</v>
      </c>
      <c r="E710" s="176">
        <v>107144</v>
      </c>
      <c r="F710" s="177" t="s">
        <v>675</v>
      </c>
      <c r="G710" s="178">
        <v>2381.1999999999998</v>
      </c>
      <c r="H710" s="179">
        <v>42833</v>
      </c>
      <c r="I710" s="178">
        <f t="shared" si="23"/>
        <v>2381.1999999999998</v>
      </c>
      <c r="J710" s="178">
        <f t="shared" si="24"/>
        <v>0</v>
      </c>
      <c r="K710" s="19"/>
    </row>
    <row r="711" spans="1:11" x14ac:dyDescent="0.25">
      <c r="A711" s="51">
        <v>42831</v>
      </c>
      <c r="B711" s="174" t="s">
        <v>12231</v>
      </c>
      <c r="C711" s="175"/>
      <c r="D711" s="176" t="s">
        <v>12231</v>
      </c>
      <c r="E711" s="176">
        <v>107145</v>
      </c>
      <c r="F711" s="177" t="s">
        <v>677</v>
      </c>
      <c r="G711" s="178">
        <v>2087.1999999999998</v>
      </c>
      <c r="H711" s="179">
        <v>42833</v>
      </c>
      <c r="I711" s="178">
        <f t="shared" si="23"/>
        <v>2087.1999999999998</v>
      </c>
      <c r="J711" s="178">
        <f t="shared" si="24"/>
        <v>0</v>
      </c>
      <c r="K711" s="19"/>
    </row>
    <row r="712" spans="1:11" x14ac:dyDescent="0.25">
      <c r="A712" s="51">
        <v>42831</v>
      </c>
      <c r="B712" s="174" t="s">
        <v>12232</v>
      </c>
      <c r="C712" s="175"/>
      <c r="D712" s="176" t="s">
        <v>12232</v>
      </c>
      <c r="E712" s="176">
        <v>107146</v>
      </c>
      <c r="F712" s="177" t="s">
        <v>10</v>
      </c>
      <c r="G712" s="178">
        <v>10220.799999999999</v>
      </c>
      <c r="H712" s="179">
        <v>42835</v>
      </c>
      <c r="I712" s="178">
        <f t="shared" si="23"/>
        <v>10220.799999999999</v>
      </c>
      <c r="J712" s="178">
        <f t="shared" si="24"/>
        <v>0</v>
      </c>
      <c r="K712" s="19"/>
    </row>
    <row r="713" spans="1:11" x14ac:dyDescent="0.25">
      <c r="A713" s="51">
        <v>42831</v>
      </c>
      <c r="B713" s="174" t="s">
        <v>12233</v>
      </c>
      <c r="C713" s="175"/>
      <c r="D713" s="176" t="s">
        <v>12233</v>
      </c>
      <c r="E713" s="176">
        <v>107147</v>
      </c>
      <c r="F713" s="177" t="s">
        <v>1589</v>
      </c>
      <c r="G713" s="178">
        <v>5190</v>
      </c>
      <c r="H713" s="179">
        <v>42833</v>
      </c>
      <c r="I713" s="178">
        <f t="shared" si="23"/>
        <v>5190</v>
      </c>
      <c r="J713" s="178">
        <f t="shared" si="24"/>
        <v>0</v>
      </c>
      <c r="K713" s="19"/>
    </row>
    <row r="714" spans="1:11" x14ac:dyDescent="0.25">
      <c r="A714" s="51">
        <v>42831</v>
      </c>
      <c r="B714" s="174" t="s">
        <v>12234</v>
      </c>
      <c r="C714" s="175"/>
      <c r="D714" s="176" t="s">
        <v>12234</v>
      </c>
      <c r="E714" s="176">
        <v>107148</v>
      </c>
      <c r="F714" s="177" t="s">
        <v>1197</v>
      </c>
      <c r="G714" s="178">
        <v>2705.2</v>
      </c>
      <c r="H714" s="179">
        <v>42833</v>
      </c>
      <c r="I714" s="178">
        <f t="shared" si="23"/>
        <v>2705.2</v>
      </c>
      <c r="J714" s="178">
        <f t="shared" si="24"/>
        <v>0</v>
      </c>
      <c r="K714" s="19"/>
    </row>
    <row r="715" spans="1:11" x14ac:dyDescent="0.25">
      <c r="A715" s="51">
        <v>42831</v>
      </c>
      <c r="B715" s="174" t="s">
        <v>12235</v>
      </c>
      <c r="C715" s="175"/>
      <c r="D715" s="176" t="s">
        <v>12235</v>
      </c>
      <c r="E715" s="176">
        <v>107149</v>
      </c>
      <c r="F715" s="177" t="s">
        <v>688</v>
      </c>
      <c r="G715" s="178">
        <v>13545.6</v>
      </c>
      <c r="H715" s="179">
        <v>42833</v>
      </c>
      <c r="I715" s="178">
        <f t="shared" si="23"/>
        <v>13545.6</v>
      </c>
      <c r="J715" s="178">
        <f t="shared" si="24"/>
        <v>0</v>
      </c>
      <c r="K715" s="19"/>
    </row>
    <row r="716" spans="1:11" x14ac:dyDescent="0.25">
      <c r="A716" s="51">
        <v>42831</v>
      </c>
      <c r="B716" s="174" t="s">
        <v>12236</v>
      </c>
      <c r="C716" s="175"/>
      <c r="D716" s="176" t="s">
        <v>12236</v>
      </c>
      <c r="E716" s="176">
        <v>107150</v>
      </c>
      <c r="F716" s="177" t="s">
        <v>1598</v>
      </c>
      <c r="G716" s="178">
        <v>2644.8</v>
      </c>
      <c r="H716" s="179">
        <v>42833</v>
      </c>
      <c r="I716" s="178">
        <f t="shared" si="23"/>
        <v>2644.8</v>
      </c>
      <c r="J716" s="178">
        <f t="shared" si="24"/>
        <v>0</v>
      </c>
      <c r="K716" s="19"/>
    </row>
    <row r="717" spans="1:11" x14ac:dyDescent="0.25">
      <c r="A717" s="51">
        <v>42831</v>
      </c>
      <c r="B717" s="174" t="s">
        <v>12237</v>
      </c>
      <c r="C717" s="175"/>
      <c r="D717" s="176" t="s">
        <v>12237</v>
      </c>
      <c r="E717" s="176">
        <v>107151</v>
      </c>
      <c r="F717" s="182" t="s">
        <v>686</v>
      </c>
      <c r="G717" s="183">
        <v>0</v>
      </c>
      <c r="H717" s="184" t="s">
        <v>95</v>
      </c>
      <c r="I717" s="183">
        <f t="shared" si="23"/>
        <v>0</v>
      </c>
      <c r="J717" s="183">
        <f t="shared" si="24"/>
        <v>0</v>
      </c>
      <c r="K717" s="19"/>
    </row>
    <row r="718" spans="1:11" x14ac:dyDescent="0.25">
      <c r="A718" s="51">
        <v>42831</v>
      </c>
      <c r="B718" s="174" t="s">
        <v>12238</v>
      </c>
      <c r="C718" s="175"/>
      <c r="D718" s="176" t="s">
        <v>12238</v>
      </c>
      <c r="E718" s="176">
        <v>107152</v>
      </c>
      <c r="F718" s="177" t="s">
        <v>686</v>
      </c>
      <c r="G718" s="178">
        <v>18208.400000000001</v>
      </c>
      <c r="H718" s="179">
        <v>42833</v>
      </c>
      <c r="I718" s="178">
        <f t="shared" si="23"/>
        <v>18208.400000000001</v>
      </c>
      <c r="J718" s="178">
        <f t="shared" si="24"/>
        <v>0</v>
      </c>
      <c r="K718" s="19"/>
    </row>
    <row r="719" spans="1:11" x14ac:dyDescent="0.25">
      <c r="A719" s="51">
        <v>42831</v>
      </c>
      <c r="B719" s="174" t="s">
        <v>12239</v>
      </c>
      <c r="C719" s="175"/>
      <c r="D719" s="176" t="s">
        <v>12239</v>
      </c>
      <c r="E719" s="176">
        <v>107153</v>
      </c>
      <c r="F719" s="177" t="s">
        <v>665</v>
      </c>
      <c r="G719" s="178">
        <v>31106.62</v>
      </c>
      <c r="H719" s="179">
        <v>42842</v>
      </c>
      <c r="I719" s="178">
        <f t="shared" si="23"/>
        <v>31106.62</v>
      </c>
      <c r="J719" s="178">
        <f t="shared" si="24"/>
        <v>0</v>
      </c>
      <c r="K719" s="19"/>
    </row>
    <row r="720" spans="1:11" x14ac:dyDescent="0.25">
      <c r="A720" s="51">
        <v>42831</v>
      </c>
      <c r="B720" s="174" t="s">
        <v>12240</v>
      </c>
      <c r="C720" s="175"/>
      <c r="D720" s="176" t="s">
        <v>12240</v>
      </c>
      <c r="E720" s="176">
        <v>107154</v>
      </c>
      <c r="F720" s="177" t="s">
        <v>1594</v>
      </c>
      <c r="G720" s="178">
        <v>57427.5</v>
      </c>
      <c r="H720" s="186" t="s">
        <v>12241</v>
      </c>
      <c r="I720" s="187">
        <f>20000+37427.5</f>
        <v>57427.5</v>
      </c>
      <c r="J720" s="188">
        <f t="shared" si="24"/>
        <v>0</v>
      </c>
      <c r="K720" s="19"/>
    </row>
    <row r="721" spans="1:11" x14ac:dyDescent="0.25">
      <c r="A721" s="51">
        <v>42831</v>
      </c>
      <c r="B721" s="174" t="s">
        <v>12242</v>
      </c>
      <c r="C721" s="175"/>
      <c r="D721" s="176" t="s">
        <v>12242</v>
      </c>
      <c r="E721" s="176">
        <v>107155</v>
      </c>
      <c r="F721" s="177" t="s">
        <v>211</v>
      </c>
      <c r="G721" s="178">
        <v>8887.7999999999993</v>
      </c>
      <c r="H721" s="179"/>
      <c r="I721" s="178">
        <f t="shared" si="23"/>
        <v>8887.7999999999993</v>
      </c>
      <c r="J721" s="178">
        <f t="shared" si="24"/>
        <v>0</v>
      </c>
      <c r="K721" s="19"/>
    </row>
    <row r="722" spans="1:11" x14ac:dyDescent="0.25">
      <c r="A722" s="51">
        <v>42831</v>
      </c>
      <c r="B722" s="174" t="s">
        <v>12243</v>
      </c>
      <c r="C722" s="175"/>
      <c r="D722" s="176" t="s">
        <v>12243</v>
      </c>
      <c r="E722" s="176">
        <v>107156</v>
      </c>
      <c r="F722" s="177" t="s">
        <v>670</v>
      </c>
      <c r="G722" s="178">
        <v>203754.8</v>
      </c>
      <c r="H722" s="179">
        <v>42837</v>
      </c>
      <c r="I722" s="178">
        <f t="shared" si="23"/>
        <v>203754.8</v>
      </c>
      <c r="J722" s="178">
        <f t="shared" si="24"/>
        <v>0</v>
      </c>
      <c r="K722" s="19"/>
    </row>
    <row r="723" spans="1:11" x14ac:dyDescent="0.25">
      <c r="A723" s="51">
        <v>42831</v>
      </c>
      <c r="B723" s="174" t="s">
        <v>12244</v>
      </c>
      <c r="C723" s="175"/>
      <c r="D723" s="176" t="s">
        <v>12244</v>
      </c>
      <c r="E723" s="176">
        <v>107157</v>
      </c>
      <c r="F723" s="177" t="s">
        <v>3513</v>
      </c>
      <c r="G723" s="178">
        <v>3079.2</v>
      </c>
      <c r="H723" s="179">
        <v>42833</v>
      </c>
      <c r="I723" s="178">
        <f t="shared" si="23"/>
        <v>3079.2</v>
      </c>
      <c r="J723" s="178">
        <f t="shared" si="24"/>
        <v>0</v>
      </c>
      <c r="K723" s="19"/>
    </row>
    <row r="724" spans="1:11" x14ac:dyDescent="0.25">
      <c r="A724" s="51">
        <v>42831</v>
      </c>
      <c r="B724" s="174" t="s">
        <v>12245</v>
      </c>
      <c r="C724" s="175"/>
      <c r="D724" s="176" t="s">
        <v>12245</v>
      </c>
      <c r="E724" s="176">
        <v>107158</v>
      </c>
      <c r="F724" s="177" t="s">
        <v>921</v>
      </c>
      <c r="G724" s="178">
        <v>4271.7</v>
      </c>
      <c r="H724" s="179">
        <v>42832</v>
      </c>
      <c r="I724" s="178">
        <f t="shared" si="23"/>
        <v>4271.7</v>
      </c>
      <c r="J724" s="178">
        <f t="shared" si="24"/>
        <v>0</v>
      </c>
      <c r="K724" s="19"/>
    </row>
    <row r="725" spans="1:11" x14ac:dyDescent="0.25">
      <c r="A725" s="51">
        <v>42831</v>
      </c>
      <c r="B725" s="174" t="s">
        <v>12246</v>
      </c>
      <c r="C725" s="175"/>
      <c r="D725" s="176" t="s">
        <v>12246</v>
      </c>
      <c r="E725" s="176">
        <v>107159</v>
      </c>
      <c r="F725" s="177" t="s">
        <v>1598</v>
      </c>
      <c r="G725" s="178">
        <v>816.6</v>
      </c>
      <c r="H725" s="179">
        <v>42833</v>
      </c>
      <c r="I725" s="178">
        <f t="shared" si="23"/>
        <v>816.6</v>
      </c>
      <c r="J725" s="178">
        <f t="shared" si="24"/>
        <v>0</v>
      </c>
      <c r="K725" s="19"/>
    </row>
    <row r="726" spans="1:11" x14ac:dyDescent="0.25">
      <c r="A726" s="51">
        <v>42831</v>
      </c>
      <c r="B726" s="174" t="s">
        <v>12247</v>
      </c>
      <c r="C726" s="175"/>
      <c r="D726" s="176" t="s">
        <v>12247</v>
      </c>
      <c r="E726" s="176">
        <v>107160</v>
      </c>
      <c r="F726" s="177" t="s">
        <v>220</v>
      </c>
      <c r="G726" s="178">
        <v>3052.8</v>
      </c>
      <c r="H726" s="179">
        <v>42832</v>
      </c>
      <c r="I726" s="178">
        <f t="shared" si="23"/>
        <v>3052.8</v>
      </c>
      <c r="J726" s="178">
        <f t="shared" si="24"/>
        <v>0</v>
      </c>
      <c r="K726" s="19"/>
    </row>
    <row r="727" spans="1:11" x14ac:dyDescent="0.25">
      <c r="A727" s="51">
        <v>42832</v>
      </c>
      <c r="B727" s="174" t="s">
        <v>12248</v>
      </c>
      <c r="C727" s="175"/>
      <c r="D727" s="176" t="s">
        <v>12248</v>
      </c>
      <c r="E727" s="176">
        <v>107161</v>
      </c>
      <c r="F727" s="177" t="s">
        <v>3319</v>
      </c>
      <c r="G727" s="178">
        <v>5450</v>
      </c>
      <c r="H727" s="179">
        <v>42833</v>
      </c>
      <c r="I727" s="178">
        <f t="shared" si="23"/>
        <v>5450</v>
      </c>
      <c r="J727" s="178">
        <f t="shared" si="24"/>
        <v>0</v>
      </c>
      <c r="K727" s="19"/>
    </row>
    <row r="728" spans="1:11" x14ac:dyDescent="0.25">
      <c r="A728" s="51">
        <v>42832</v>
      </c>
      <c r="B728" s="174" t="s">
        <v>12249</v>
      </c>
      <c r="C728" s="175"/>
      <c r="D728" s="176" t="s">
        <v>12249</v>
      </c>
      <c r="E728" s="176">
        <v>107162</v>
      </c>
      <c r="F728" s="177" t="s">
        <v>53</v>
      </c>
      <c r="G728" s="178">
        <v>1640</v>
      </c>
      <c r="H728" s="179">
        <v>42832</v>
      </c>
      <c r="I728" s="178">
        <f t="shared" si="23"/>
        <v>1640</v>
      </c>
      <c r="J728" s="178">
        <f t="shared" si="24"/>
        <v>0</v>
      </c>
      <c r="K728" s="19"/>
    </row>
    <row r="729" spans="1:11" x14ac:dyDescent="0.25">
      <c r="A729" s="51">
        <v>42832</v>
      </c>
      <c r="B729" s="174" t="s">
        <v>12250</v>
      </c>
      <c r="C729" s="175"/>
      <c r="D729" s="176" t="s">
        <v>12250</v>
      </c>
      <c r="E729" s="176">
        <v>107163</v>
      </c>
      <c r="F729" s="177" t="s">
        <v>374</v>
      </c>
      <c r="G729" s="178">
        <v>3900</v>
      </c>
      <c r="H729" s="179">
        <v>42832</v>
      </c>
      <c r="I729" s="178">
        <f t="shared" si="23"/>
        <v>3900</v>
      </c>
      <c r="J729" s="178">
        <f t="shared" si="24"/>
        <v>0</v>
      </c>
      <c r="K729" s="19"/>
    </row>
    <row r="730" spans="1:11" x14ac:dyDescent="0.25">
      <c r="A730" s="51">
        <v>42832</v>
      </c>
      <c r="B730" s="174" t="s">
        <v>12251</v>
      </c>
      <c r="C730" s="175"/>
      <c r="D730" s="176" t="s">
        <v>12251</v>
      </c>
      <c r="E730" s="176">
        <v>107164</v>
      </c>
      <c r="F730" s="177" t="s">
        <v>231</v>
      </c>
      <c r="G730" s="178">
        <v>197.4</v>
      </c>
      <c r="H730" s="179">
        <v>42832</v>
      </c>
      <c r="I730" s="178">
        <f t="shared" si="23"/>
        <v>197.4</v>
      </c>
      <c r="J730" s="178">
        <f t="shared" si="24"/>
        <v>0</v>
      </c>
      <c r="K730" s="19"/>
    </row>
    <row r="731" spans="1:11" x14ac:dyDescent="0.25">
      <c r="A731" s="51">
        <v>42832</v>
      </c>
      <c r="B731" s="174" t="s">
        <v>12252</v>
      </c>
      <c r="C731" s="175"/>
      <c r="D731" s="176" t="s">
        <v>12252</v>
      </c>
      <c r="E731" s="176">
        <v>107165</v>
      </c>
      <c r="F731" s="177" t="s">
        <v>231</v>
      </c>
      <c r="G731" s="178">
        <v>30613.4</v>
      </c>
      <c r="H731" s="179">
        <v>42833</v>
      </c>
      <c r="I731" s="178">
        <f t="shared" si="23"/>
        <v>30613.4</v>
      </c>
      <c r="J731" s="178">
        <f t="shared" si="24"/>
        <v>0</v>
      </c>
      <c r="K731" s="19"/>
    </row>
    <row r="732" spans="1:11" x14ac:dyDescent="0.25">
      <c r="A732" s="51">
        <v>42832</v>
      </c>
      <c r="B732" s="174" t="s">
        <v>12253</v>
      </c>
      <c r="C732" s="175"/>
      <c r="D732" s="176" t="s">
        <v>12253</v>
      </c>
      <c r="E732" s="176">
        <v>107166</v>
      </c>
      <c r="F732" s="177" t="s">
        <v>182</v>
      </c>
      <c r="G732" s="178">
        <v>4300</v>
      </c>
      <c r="H732" s="179">
        <v>42832</v>
      </c>
      <c r="I732" s="178">
        <f t="shared" si="23"/>
        <v>4300</v>
      </c>
      <c r="J732" s="178">
        <f t="shared" si="24"/>
        <v>0</v>
      </c>
      <c r="K732" s="19"/>
    </row>
    <row r="733" spans="1:11" x14ac:dyDescent="0.25">
      <c r="A733" s="51">
        <v>42832</v>
      </c>
      <c r="B733" s="174" t="s">
        <v>12254</v>
      </c>
      <c r="C733" s="175"/>
      <c r="D733" s="176" t="s">
        <v>12254</v>
      </c>
      <c r="E733" s="176">
        <v>107167</v>
      </c>
      <c r="F733" s="177" t="s">
        <v>120</v>
      </c>
      <c r="G733" s="178">
        <v>1382.4</v>
      </c>
      <c r="H733" s="179">
        <v>42833</v>
      </c>
      <c r="I733" s="178">
        <f t="shared" si="23"/>
        <v>1382.4</v>
      </c>
      <c r="J733" s="178">
        <f t="shared" si="24"/>
        <v>0</v>
      </c>
      <c r="K733" s="19"/>
    </row>
    <row r="734" spans="1:11" x14ac:dyDescent="0.25">
      <c r="A734" s="51">
        <v>42832</v>
      </c>
      <c r="B734" s="174" t="s">
        <v>12255</v>
      </c>
      <c r="C734" s="175"/>
      <c r="D734" s="176" t="s">
        <v>12255</v>
      </c>
      <c r="E734" s="176">
        <v>107168</v>
      </c>
      <c r="F734" s="177" t="s">
        <v>428</v>
      </c>
      <c r="G734" s="178">
        <v>1999.5</v>
      </c>
      <c r="H734" s="179">
        <v>42837</v>
      </c>
      <c r="I734" s="178">
        <f t="shared" si="23"/>
        <v>1999.5</v>
      </c>
      <c r="J734" s="178">
        <f t="shared" si="24"/>
        <v>0</v>
      </c>
      <c r="K734" s="19"/>
    </row>
    <row r="735" spans="1:11" x14ac:dyDescent="0.25">
      <c r="A735" s="51">
        <v>42832</v>
      </c>
      <c r="B735" s="174" t="s">
        <v>12256</v>
      </c>
      <c r="C735" s="175"/>
      <c r="D735" s="176" t="s">
        <v>12256</v>
      </c>
      <c r="E735" s="176">
        <v>107169</v>
      </c>
      <c r="F735" s="177" t="s">
        <v>289</v>
      </c>
      <c r="G735" s="178">
        <v>7179</v>
      </c>
      <c r="H735" s="186">
        <v>42851</v>
      </c>
      <c r="I735" s="187">
        <f t="shared" si="23"/>
        <v>7179</v>
      </c>
      <c r="J735" s="178">
        <f t="shared" si="24"/>
        <v>0</v>
      </c>
      <c r="K735" s="19"/>
    </row>
    <row r="736" spans="1:11" x14ac:dyDescent="0.25">
      <c r="A736" s="51">
        <v>42832</v>
      </c>
      <c r="B736" s="174" t="s">
        <v>12257</v>
      </c>
      <c r="C736" s="175"/>
      <c r="D736" s="176" t="s">
        <v>12257</v>
      </c>
      <c r="E736" s="176">
        <v>107170</v>
      </c>
      <c r="F736" s="177" t="s">
        <v>186</v>
      </c>
      <c r="G736" s="178">
        <v>3303.4</v>
      </c>
      <c r="H736" s="179">
        <v>42832</v>
      </c>
      <c r="I736" s="178">
        <f t="shared" si="23"/>
        <v>3303.4</v>
      </c>
      <c r="J736" s="178">
        <f t="shared" si="24"/>
        <v>0</v>
      </c>
      <c r="K736" s="19"/>
    </row>
    <row r="737" spans="1:11" x14ac:dyDescent="0.25">
      <c r="A737" s="51">
        <v>42832</v>
      </c>
      <c r="B737" s="174" t="s">
        <v>12258</v>
      </c>
      <c r="C737" s="175"/>
      <c r="D737" s="176" t="s">
        <v>12258</v>
      </c>
      <c r="E737" s="176">
        <v>107171</v>
      </c>
      <c r="F737" s="177" t="s">
        <v>101</v>
      </c>
      <c r="G737" s="178">
        <v>1764</v>
      </c>
      <c r="H737" s="179">
        <v>42832</v>
      </c>
      <c r="I737" s="178">
        <f t="shared" si="23"/>
        <v>1764</v>
      </c>
      <c r="J737" s="178">
        <f t="shared" si="24"/>
        <v>0</v>
      </c>
      <c r="K737" s="19"/>
    </row>
    <row r="738" spans="1:11" x14ac:dyDescent="0.25">
      <c r="A738" s="51">
        <v>42832</v>
      </c>
      <c r="B738" s="174" t="s">
        <v>12259</v>
      </c>
      <c r="C738" s="175"/>
      <c r="D738" s="176" t="s">
        <v>12259</v>
      </c>
      <c r="E738" s="176">
        <v>107172</v>
      </c>
      <c r="F738" s="177" t="s">
        <v>99</v>
      </c>
      <c r="G738" s="178">
        <v>2520</v>
      </c>
      <c r="H738" s="179">
        <v>42832</v>
      </c>
      <c r="I738" s="178">
        <f t="shared" si="23"/>
        <v>2520</v>
      </c>
      <c r="J738" s="178">
        <f t="shared" si="24"/>
        <v>0</v>
      </c>
      <c r="K738" s="19"/>
    </row>
    <row r="739" spans="1:11" x14ac:dyDescent="0.25">
      <c r="A739" s="51">
        <v>42832</v>
      </c>
      <c r="B739" s="174" t="s">
        <v>12260</v>
      </c>
      <c r="C739" s="175"/>
      <c r="D739" s="176" t="s">
        <v>12260</v>
      </c>
      <c r="E739" s="176">
        <v>107173</v>
      </c>
      <c r="F739" s="177" t="s">
        <v>4367</v>
      </c>
      <c r="G739" s="178">
        <v>1404</v>
      </c>
      <c r="H739" s="179">
        <v>42832</v>
      </c>
      <c r="I739" s="178">
        <f t="shared" si="23"/>
        <v>1404</v>
      </c>
      <c r="J739" s="178">
        <f t="shared" si="24"/>
        <v>0</v>
      </c>
      <c r="K739" s="19"/>
    </row>
    <row r="740" spans="1:11" x14ac:dyDescent="0.25">
      <c r="A740" s="51">
        <v>42832</v>
      </c>
      <c r="B740" s="174" t="s">
        <v>12261</v>
      </c>
      <c r="C740" s="175"/>
      <c r="D740" s="176" t="s">
        <v>12261</v>
      </c>
      <c r="E740" s="176">
        <v>107174</v>
      </c>
      <c r="F740" s="182" t="s">
        <v>30</v>
      </c>
      <c r="G740" s="183">
        <v>0</v>
      </c>
      <c r="H740" s="184" t="s">
        <v>95</v>
      </c>
      <c r="I740" s="183">
        <f t="shared" si="23"/>
        <v>0</v>
      </c>
      <c r="J740" s="183">
        <f t="shared" si="24"/>
        <v>0</v>
      </c>
      <c r="K740" s="19"/>
    </row>
    <row r="741" spans="1:11" x14ac:dyDescent="0.25">
      <c r="A741" s="51">
        <v>42832</v>
      </c>
      <c r="B741" s="174" t="s">
        <v>12262</v>
      </c>
      <c r="C741" s="175"/>
      <c r="D741" s="176" t="s">
        <v>12262</v>
      </c>
      <c r="E741" s="176">
        <v>107175</v>
      </c>
      <c r="F741" s="177" t="s">
        <v>35</v>
      </c>
      <c r="G741" s="178">
        <v>11577.6</v>
      </c>
      <c r="H741" s="179">
        <v>42836</v>
      </c>
      <c r="I741" s="178">
        <f t="shared" si="23"/>
        <v>11577.6</v>
      </c>
      <c r="J741" s="178">
        <f t="shared" si="24"/>
        <v>0</v>
      </c>
      <c r="K741" s="19"/>
    </row>
    <row r="742" spans="1:11" x14ac:dyDescent="0.25">
      <c r="A742" s="51">
        <v>42832</v>
      </c>
      <c r="B742" s="174" t="s">
        <v>12263</v>
      </c>
      <c r="C742" s="175"/>
      <c r="D742" s="176" t="s">
        <v>12263</v>
      </c>
      <c r="E742" s="176">
        <v>107176</v>
      </c>
      <c r="F742" s="177" t="s">
        <v>1786</v>
      </c>
      <c r="G742" s="178">
        <v>8736</v>
      </c>
      <c r="H742" s="179">
        <v>42832</v>
      </c>
      <c r="I742" s="178">
        <f t="shared" si="23"/>
        <v>8736</v>
      </c>
      <c r="J742" s="178">
        <f t="shared" si="24"/>
        <v>0</v>
      </c>
      <c r="K742" s="19"/>
    </row>
    <row r="743" spans="1:11" x14ac:dyDescent="0.25">
      <c r="A743" s="51">
        <v>42832</v>
      </c>
      <c r="B743" s="174" t="s">
        <v>12264</v>
      </c>
      <c r="C743" s="175"/>
      <c r="D743" s="176" t="s">
        <v>12264</v>
      </c>
      <c r="E743" s="176">
        <v>107177</v>
      </c>
      <c r="F743" s="177" t="s">
        <v>26</v>
      </c>
      <c r="G743" s="178">
        <v>10340.299999999999</v>
      </c>
      <c r="H743" s="179">
        <v>42832</v>
      </c>
      <c r="I743" s="178">
        <f t="shared" si="23"/>
        <v>10340.299999999999</v>
      </c>
      <c r="J743" s="178">
        <f t="shared" si="24"/>
        <v>0</v>
      </c>
      <c r="K743" s="19"/>
    </row>
    <row r="744" spans="1:11" x14ac:dyDescent="0.25">
      <c r="A744" s="51">
        <v>42832</v>
      </c>
      <c r="B744" s="174" t="s">
        <v>12265</v>
      </c>
      <c r="C744" s="175"/>
      <c r="D744" s="176" t="s">
        <v>12265</v>
      </c>
      <c r="E744" s="176">
        <v>107178</v>
      </c>
      <c r="F744" s="177" t="s">
        <v>21</v>
      </c>
      <c r="G744" s="178">
        <v>43859.4</v>
      </c>
      <c r="H744" s="179">
        <v>42844</v>
      </c>
      <c r="I744" s="178">
        <f t="shared" si="23"/>
        <v>43859.4</v>
      </c>
      <c r="J744" s="178">
        <f t="shared" si="24"/>
        <v>0</v>
      </c>
      <c r="K744" s="19"/>
    </row>
    <row r="745" spans="1:11" x14ac:dyDescent="0.25">
      <c r="A745" s="51">
        <v>42832</v>
      </c>
      <c r="B745" s="174" t="s">
        <v>12266</v>
      </c>
      <c r="C745" s="175"/>
      <c r="D745" s="176" t="s">
        <v>12266</v>
      </c>
      <c r="E745" s="176">
        <v>107179</v>
      </c>
      <c r="F745" s="177" t="s">
        <v>19</v>
      </c>
      <c r="G745" s="178">
        <v>1050</v>
      </c>
      <c r="H745" s="179">
        <v>42832</v>
      </c>
      <c r="I745" s="178">
        <f t="shared" si="23"/>
        <v>1050</v>
      </c>
      <c r="J745" s="178">
        <f t="shared" si="24"/>
        <v>0</v>
      </c>
      <c r="K745" s="19"/>
    </row>
    <row r="746" spans="1:11" x14ac:dyDescent="0.25">
      <c r="A746" s="51">
        <v>42832</v>
      </c>
      <c r="B746" s="174" t="s">
        <v>12267</v>
      </c>
      <c r="C746" s="175"/>
      <c r="D746" s="176" t="s">
        <v>12267</v>
      </c>
      <c r="E746" s="176">
        <v>107180</v>
      </c>
      <c r="F746" s="177" t="s">
        <v>184</v>
      </c>
      <c r="G746" s="178">
        <v>1320.1</v>
      </c>
      <c r="H746" s="179">
        <v>42834</v>
      </c>
      <c r="I746" s="178">
        <f t="shared" si="23"/>
        <v>1320.1</v>
      </c>
      <c r="J746" s="178">
        <f t="shared" si="24"/>
        <v>0</v>
      </c>
      <c r="K746" s="19"/>
    </row>
    <row r="747" spans="1:11" x14ac:dyDescent="0.25">
      <c r="A747" s="51">
        <v>42832</v>
      </c>
      <c r="B747" s="174" t="s">
        <v>12268</v>
      </c>
      <c r="C747" s="175"/>
      <c r="D747" s="176" t="s">
        <v>12268</v>
      </c>
      <c r="E747" s="176">
        <v>107181</v>
      </c>
      <c r="F747" s="177" t="s">
        <v>61</v>
      </c>
      <c r="G747" s="178">
        <v>6382.2</v>
      </c>
      <c r="H747" s="179">
        <v>42832</v>
      </c>
      <c r="I747" s="178">
        <f t="shared" si="23"/>
        <v>6382.2</v>
      </c>
      <c r="J747" s="178">
        <f t="shared" si="24"/>
        <v>0</v>
      </c>
      <c r="K747" s="19"/>
    </row>
    <row r="748" spans="1:11" x14ac:dyDescent="0.25">
      <c r="A748" s="51">
        <v>42832</v>
      </c>
      <c r="B748" s="174" t="s">
        <v>12269</v>
      </c>
      <c r="C748" s="175"/>
      <c r="D748" s="176" t="s">
        <v>12269</v>
      </c>
      <c r="E748" s="176">
        <v>107182</v>
      </c>
      <c r="F748" s="177" t="s">
        <v>67</v>
      </c>
      <c r="G748" s="178">
        <v>5827.7</v>
      </c>
      <c r="H748" s="179">
        <v>42835</v>
      </c>
      <c r="I748" s="178">
        <f t="shared" si="23"/>
        <v>5827.7</v>
      </c>
      <c r="J748" s="178">
        <f t="shared" si="24"/>
        <v>0</v>
      </c>
      <c r="K748" s="19"/>
    </row>
    <row r="749" spans="1:11" x14ac:dyDescent="0.25">
      <c r="A749" s="51">
        <v>42832</v>
      </c>
      <c r="B749" s="174" t="s">
        <v>12270</v>
      </c>
      <c r="C749" s="175"/>
      <c r="D749" s="176" t="s">
        <v>12270</v>
      </c>
      <c r="E749" s="176">
        <v>107183</v>
      </c>
      <c r="F749" s="177" t="s">
        <v>35</v>
      </c>
      <c r="G749" s="178">
        <v>362.9</v>
      </c>
      <c r="H749" s="179">
        <v>42836</v>
      </c>
      <c r="I749" s="178">
        <f t="shared" si="23"/>
        <v>362.9</v>
      </c>
      <c r="J749" s="178">
        <f t="shared" si="24"/>
        <v>0</v>
      </c>
      <c r="K749" s="19"/>
    </row>
    <row r="750" spans="1:11" x14ac:dyDescent="0.25">
      <c r="A750" s="51">
        <v>42832</v>
      </c>
      <c r="B750" s="174" t="s">
        <v>12271</v>
      </c>
      <c r="C750" s="175"/>
      <c r="D750" s="176" t="s">
        <v>12271</v>
      </c>
      <c r="E750" s="176">
        <v>107184</v>
      </c>
      <c r="F750" s="177" t="s">
        <v>40</v>
      </c>
      <c r="G750" s="178">
        <v>3337.5</v>
      </c>
      <c r="H750" s="179"/>
      <c r="I750" s="178">
        <f t="shared" si="23"/>
        <v>3337.5</v>
      </c>
      <c r="J750" s="178">
        <f t="shared" si="24"/>
        <v>0</v>
      </c>
      <c r="K750" s="19"/>
    </row>
    <row r="751" spans="1:11" x14ac:dyDescent="0.25">
      <c r="A751" s="51">
        <v>42832</v>
      </c>
      <c r="B751" s="174" t="s">
        <v>12272</v>
      </c>
      <c r="C751" s="175"/>
      <c r="D751" s="176" t="s">
        <v>12272</v>
      </c>
      <c r="E751" s="176">
        <v>107185</v>
      </c>
      <c r="F751" s="177" t="s">
        <v>30</v>
      </c>
      <c r="G751" s="178">
        <v>1260.4000000000001</v>
      </c>
      <c r="H751" s="179">
        <v>42832</v>
      </c>
      <c r="I751" s="178">
        <f t="shared" si="23"/>
        <v>1260.4000000000001</v>
      </c>
      <c r="J751" s="178">
        <f t="shared" si="24"/>
        <v>0</v>
      </c>
      <c r="K751" s="19"/>
    </row>
    <row r="752" spans="1:11" x14ac:dyDescent="0.25">
      <c r="A752" s="51">
        <v>42832</v>
      </c>
      <c r="B752" s="174" t="s">
        <v>12273</v>
      </c>
      <c r="C752" s="175"/>
      <c r="D752" s="176" t="s">
        <v>12273</v>
      </c>
      <c r="E752" s="176">
        <v>107186</v>
      </c>
      <c r="F752" s="177" t="s">
        <v>281</v>
      </c>
      <c r="G752" s="178">
        <v>2570</v>
      </c>
      <c r="H752" s="179">
        <v>42832</v>
      </c>
      <c r="I752" s="178">
        <f t="shared" si="23"/>
        <v>2570</v>
      </c>
      <c r="J752" s="178">
        <f t="shared" si="24"/>
        <v>0</v>
      </c>
      <c r="K752" s="19"/>
    </row>
    <row r="753" spans="1:11" x14ac:dyDescent="0.25">
      <c r="A753" s="51">
        <v>42832</v>
      </c>
      <c r="B753" s="174" t="s">
        <v>12274</v>
      </c>
      <c r="C753" s="175"/>
      <c r="D753" s="176" t="s">
        <v>12274</v>
      </c>
      <c r="E753" s="176">
        <v>107187</v>
      </c>
      <c r="F753" s="177" t="s">
        <v>28</v>
      </c>
      <c r="G753" s="178">
        <v>8474</v>
      </c>
      <c r="H753" s="179">
        <v>42834</v>
      </c>
      <c r="I753" s="178">
        <f t="shared" si="23"/>
        <v>8474</v>
      </c>
      <c r="J753" s="178">
        <f t="shared" si="24"/>
        <v>0</v>
      </c>
      <c r="K753" s="19"/>
    </row>
    <row r="754" spans="1:11" x14ac:dyDescent="0.25">
      <c r="A754" s="51">
        <v>42832</v>
      </c>
      <c r="B754" s="174" t="s">
        <v>12275</v>
      </c>
      <c r="C754" s="175"/>
      <c r="D754" s="176" t="s">
        <v>12275</v>
      </c>
      <c r="E754" s="176">
        <v>107188</v>
      </c>
      <c r="F754" s="177" t="s">
        <v>43</v>
      </c>
      <c r="G754" s="178">
        <v>6963.3</v>
      </c>
      <c r="H754" s="179">
        <v>42836</v>
      </c>
      <c r="I754" s="178">
        <f t="shared" si="23"/>
        <v>6963.3</v>
      </c>
      <c r="J754" s="178">
        <f t="shared" si="24"/>
        <v>0</v>
      </c>
      <c r="K754" s="19"/>
    </row>
    <row r="755" spans="1:11" x14ac:dyDescent="0.25">
      <c r="A755" s="51">
        <v>42832</v>
      </c>
      <c r="B755" s="174" t="s">
        <v>12276</v>
      </c>
      <c r="C755" s="175"/>
      <c r="D755" s="176" t="s">
        <v>12276</v>
      </c>
      <c r="E755" s="176">
        <v>107189</v>
      </c>
      <c r="F755" s="177" t="s">
        <v>250</v>
      </c>
      <c r="G755" s="178">
        <v>8151.4</v>
      </c>
      <c r="H755" s="179">
        <v>42833</v>
      </c>
      <c r="I755" s="178">
        <f t="shared" si="23"/>
        <v>8151.4</v>
      </c>
      <c r="J755" s="178">
        <f t="shared" si="24"/>
        <v>0</v>
      </c>
      <c r="K755" s="19"/>
    </row>
    <row r="756" spans="1:11" x14ac:dyDescent="0.25">
      <c r="A756" s="51">
        <v>42832</v>
      </c>
      <c r="B756" s="174" t="s">
        <v>12277</v>
      </c>
      <c r="C756" s="175"/>
      <c r="D756" s="176" t="s">
        <v>12277</v>
      </c>
      <c r="E756" s="176">
        <v>107190</v>
      </c>
      <c r="F756" s="177" t="s">
        <v>38</v>
      </c>
      <c r="G756" s="178">
        <v>2887.7</v>
      </c>
      <c r="H756" s="179">
        <v>42836</v>
      </c>
      <c r="I756" s="178">
        <f t="shared" si="23"/>
        <v>2887.7</v>
      </c>
      <c r="J756" s="178">
        <f t="shared" si="24"/>
        <v>0</v>
      </c>
      <c r="K756" s="19"/>
    </row>
    <row r="757" spans="1:11" x14ac:dyDescent="0.25">
      <c r="A757" s="51">
        <v>42832</v>
      </c>
      <c r="B757" s="174" t="s">
        <v>12278</v>
      </c>
      <c r="C757" s="175"/>
      <c r="D757" s="176" t="s">
        <v>12278</v>
      </c>
      <c r="E757" s="176">
        <v>107191</v>
      </c>
      <c r="F757" s="177" t="s">
        <v>49</v>
      </c>
      <c r="G757" s="178">
        <v>9827.4</v>
      </c>
      <c r="H757" s="179" t="s">
        <v>12279</v>
      </c>
      <c r="I757" s="178">
        <f t="shared" si="23"/>
        <v>9827.4</v>
      </c>
      <c r="J757" s="178">
        <f t="shared" si="24"/>
        <v>0</v>
      </c>
      <c r="K757" s="19"/>
    </row>
    <row r="758" spans="1:11" x14ac:dyDescent="0.25">
      <c r="A758" s="51">
        <v>42832</v>
      </c>
      <c r="B758" s="174" t="s">
        <v>12280</v>
      </c>
      <c r="C758" s="175"/>
      <c r="D758" s="176" t="s">
        <v>12280</v>
      </c>
      <c r="E758" s="176">
        <v>107192</v>
      </c>
      <c r="F758" s="177" t="s">
        <v>1645</v>
      </c>
      <c r="G758" s="178">
        <v>2570.1999999999998</v>
      </c>
      <c r="H758" s="179">
        <v>42832</v>
      </c>
      <c r="I758" s="178">
        <f t="shared" si="23"/>
        <v>2570.1999999999998</v>
      </c>
      <c r="J758" s="178">
        <f t="shared" si="24"/>
        <v>0</v>
      </c>
      <c r="K758" s="19"/>
    </row>
    <row r="759" spans="1:11" x14ac:dyDescent="0.25">
      <c r="A759" s="51">
        <v>42832</v>
      </c>
      <c r="B759" s="174" t="s">
        <v>12281</v>
      </c>
      <c r="C759" s="175"/>
      <c r="D759" s="176" t="s">
        <v>12281</v>
      </c>
      <c r="E759" s="176">
        <v>107193</v>
      </c>
      <c r="F759" s="177" t="s">
        <v>51</v>
      </c>
      <c r="G759" s="178">
        <v>6072</v>
      </c>
      <c r="H759" s="179">
        <v>42836</v>
      </c>
      <c r="I759" s="178">
        <f t="shared" si="23"/>
        <v>6072</v>
      </c>
      <c r="J759" s="178">
        <f t="shared" si="24"/>
        <v>0</v>
      </c>
      <c r="K759" s="19"/>
    </row>
    <row r="760" spans="1:11" x14ac:dyDescent="0.25">
      <c r="A760" s="51">
        <v>42832</v>
      </c>
      <c r="B760" s="174" t="s">
        <v>12282</v>
      </c>
      <c r="C760" s="175"/>
      <c r="D760" s="176" t="s">
        <v>12282</v>
      </c>
      <c r="E760" s="176">
        <v>107194</v>
      </c>
      <c r="F760" s="177" t="s">
        <v>81</v>
      </c>
      <c r="G760" s="178">
        <v>5522.8</v>
      </c>
      <c r="H760" s="179">
        <v>42832</v>
      </c>
      <c r="I760" s="178">
        <f t="shared" si="23"/>
        <v>5522.8</v>
      </c>
      <c r="J760" s="178">
        <f t="shared" si="24"/>
        <v>0</v>
      </c>
      <c r="K760" s="19"/>
    </row>
    <row r="761" spans="1:11" x14ac:dyDescent="0.25">
      <c r="A761" s="51">
        <v>42832</v>
      </c>
      <c r="B761" s="174" t="s">
        <v>12283</v>
      </c>
      <c r="C761" s="175"/>
      <c r="D761" s="176" t="s">
        <v>12283</v>
      </c>
      <c r="E761" s="176">
        <v>107195</v>
      </c>
      <c r="F761" s="177" t="s">
        <v>30</v>
      </c>
      <c r="G761" s="178">
        <v>2560.8000000000002</v>
      </c>
      <c r="H761" s="179">
        <v>42832</v>
      </c>
      <c r="I761" s="178">
        <f t="shared" si="23"/>
        <v>2560.8000000000002</v>
      </c>
      <c r="J761" s="178">
        <f t="shared" si="24"/>
        <v>0</v>
      </c>
      <c r="K761" s="19"/>
    </row>
    <row r="762" spans="1:11" x14ac:dyDescent="0.25">
      <c r="A762" s="51">
        <v>42832</v>
      </c>
      <c r="B762" s="174" t="s">
        <v>12284</v>
      </c>
      <c r="C762" s="175"/>
      <c r="D762" s="176" t="s">
        <v>12284</v>
      </c>
      <c r="E762" s="176">
        <v>107196</v>
      </c>
      <c r="F762" s="177" t="s">
        <v>157</v>
      </c>
      <c r="G762" s="178">
        <v>10465.200000000001</v>
      </c>
      <c r="H762" s="179">
        <v>42832</v>
      </c>
      <c r="I762" s="178">
        <f t="shared" si="23"/>
        <v>10465.200000000001</v>
      </c>
      <c r="J762" s="178">
        <f t="shared" si="24"/>
        <v>0</v>
      </c>
      <c r="K762" s="19"/>
    </row>
    <row r="763" spans="1:11" x14ac:dyDescent="0.25">
      <c r="A763" s="51">
        <v>42832</v>
      </c>
      <c r="B763" s="174" t="s">
        <v>12285</v>
      </c>
      <c r="C763" s="175"/>
      <c r="D763" s="176" t="s">
        <v>12285</v>
      </c>
      <c r="E763" s="176">
        <v>107197</v>
      </c>
      <c r="F763" s="177" t="s">
        <v>47</v>
      </c>
      <c r="G763" s="178">
        <v>1319.5</v>
      </c>
      <c r="H763" s="179">
        <v>42832</v>
      </c>
      <c r="I763" s="178">
        <f t="shared" si="23"/>
        <v>1319.5</v>
      </c>
      <c r="J763" s="178">
        <f t="shared" si="24"/>
        <v>0</v>
      </c>
      <c r="K763" s="19"/>
    </row>
    <row r="764" spans="1:11" x14ac:dyDescent="0.25">
      <c r="A764" s="51">
        <v>42832</v>
      </c>
      <c r="B764" s="174" t="s">
        <v>12286</v>
      </c>
      <c r="C764" s="175"/>
      <c r="D764" s="176" t="s">
        <v>12286</v>
      </c>
      <c r="E764" s="176">
        <v>107198</v>
      </c>
      <c r="F764" s="177" t="s">
        <v>113</v>
      </c>
      <c r="G764" s="178">
        <v>2550.6999999999998</v>
      </c>
      <c r="H764" s="179">
        <v>42832</v>
      </c>
      <c r="I764" s="178">
        <f t="shared" si="23"/>
        <v>2550.6999999999998</v>
      </c>
      <c r="J764" s="178">
        <f t="shared" si="24"/>
        <v>0</v>
      </c>
      <c r="K764" s="19"/>
    </row>
    <row r="765" spans="1:11" x14ac:dyDescent="0.25">
      <c r="A765" s="51">
        <v>42832</v>
      </c>
      <c r="B765" s="174" t="s">
        <v>12287</v>
      </c>
      <c r="C765" s="175"/>
      <c r="D765" s="176" t="s">
        <v>12287</v>
      </c>
      <c r="E765" s="176">
        <v>107199</v>
      </c>
      <c r="F765" s="177" t="s">
        <v>83</v>
      </c>
      <c r="G765" s="178">
        <v>3237.9</v>
      </c>
      <c r="H765" s="179">
        <v>42832</v>
      </c>
      <c r="I765" s="178">
        <f t="shared" si="23"/>
        <v>3237.9</v>
      </c>
      <c r="J765" s="178">
        <f t="shared" si="24"/>
        <v>0</v>
      </c>
      <c r="K765" s="19"/>
    </row>
    <row r="766" spans="1:11" x14ac:dyDescent="0.25">
      <c r="A766" s="51">
        <v>42832</v>
      </c>
      <c r="B766" s="174" t="s">
        <v>12288</v>
      </c>
      <c r="C766" s="175"/>
      <c r="D766" s="176" t="s">
        <v>12288</v>
      </c>
      <c r="E766" s="176">
        <v>107200</v>
      </c>
      <c r="F766" s="177" t="s">
        <v>613</v>
      </c>
      <c r="G766" s="178">
        <v>3814.1</v>
      </c>
      <c r="H766" s="179">
        <v>42832</v>
      </c>
      <c r="I766" s="178">
        <f t="shared" si="23"/>
        <v>3814.1</v>
      </c>
      <c r="J766" s="178">
        <f t="shared" si="24"/>
        <v>0</v>
      </c>
      <c r="K766" s="19"/>
    </row>
    <row r="767" spans="1:11" x14ac:dyDescent="0.25">
      <c r="A767" s="51">
        <v>42832</v>
      </c>
      <c r="B767" s="174" t="s">
        <v>12289</v>
      </c>
      <c r="C767" s="175"/>
      <c r="D767" s="176" t="s">
        <v>12289</v>
      </c>
      <c r="E767" s="176">
        <v>107201</v>
      </c>
      <c r="F767" s="177" t="s">
        <v>30</v>
      </c>
      <c r="G767" s="178">
        <v>673.2</v>
      </c>
      <c r="H767" s="179">
        <v>42832</v>
      </c>
      <c r="I767" s="178">
        <f t="shared" si="23"/>
        <v>673.2</v>
      </c>
      <c r="J767" s="178">
        <f t="shared" si="24"/>
        <v>0</v>
      </c>
      <c r="K767" s="19"/>
    </row>
    <row r="768" spans="1:11" x14ac:dyDescent="0.25">
      <c r="A768" s="51">
        <v>42832</v>
      </c>
      <c r="B768" s="174" t="s">
        <v>12290</v>
      </c>
      <c r="C768" s="175"/>
      <c r="D768" s="176" t="s">
        <v>12290</v>
      </c>
      <c r="E768" s="176">
        <v>107202</v>
      </c>
      <c r="F768" s="177" t="s">
        <v>331</v>
      </c>
      <c r="G768" s="178">
        <v>1732.8</v>
      </c>
      <c r="H768" s="179">
        <v>42832</v>
      </c>
      <c r="I768" s="178">
        <f t="shared" si="23"/>
        <v>1732.8</v>
      </c>
      <c r="J768" s="178">
        <f t="shared" si="24"/>
        <v>0</v>
      </c>
      <c r="K768" s="19"/>
    </row>
    <row r="769" spans="1:11" x14ac:dyDescent="0.25">
      <c r="A769" s="51">
        <v>42832</v>
      </c>
      <c r="B769" s="174" t="s">
        <v>12291</v>
      </c>
      <c r="C769" s="175"/>
      <c r="D769" s="176" t="s">
        <v>12291</v>
      </c>
      <c r="E769" s="176">
        <v>107203</v>
      </c>
      <c r="F769" s="177" t="s">
        <v>61</v>
      </c>
      <c r="G769" s="178">
        <v>830.5</v>
      </c>
      <c r="H769" s="179">
        <v>42832</v>
      </c>
      <c r="I769" s="178">
        <f t="shared" si="23"/>
        <v>830.5</v>
      </c>
      <c r="J769" s="178">
        <f t="shared" si="24"/>
        <v>0</v>
      </c>
      <c r="K769" s="19"/>
    </row>
    <row r="770" spans="1:11" x14ac:dyDescent="0.25">
      <c r="A770" s="51">
        <v>42832</v>
      </c>
      <c r="B770" s="174" t="s">
        <v>12292</v>
      </c>
      <c r="C770" s="175"/>
      <c r="D770" s="176" t="s">
        <v>12292</v>
      </c>
      <c r="E770" s="176">
        <v>107204</v>
      </c>
      <c r="F770" s="177" t="s">
        <v>1259</v>
      </c>
      <c r="G770" s="178">
        <v>1722</v>
      </c>
      <c r="H770" s="179">
        <v>42832</v>
      </c>
      <c r="I770" s="178">
        <f t="shared" si="23"/>
        <v>1722</v>
      </c>
      <c r="J770" s="178">
        <f t="shared" si="24"/>
        <v>0</v>
      </c>
      <c r="K770" s="19"/>
    </row>
    <row r="771" spans="1:11" x14ac:dyDescent="0.25">
      <c r="A771" s="51">
        <v>42832</v>
      </c>
      <c r="B771" s="174" t="s">
        <v>12293</v>
      </c>
      <c r="C771" s="175"/>
      <c r="D771" s="176" t="s">
        <v>12293</v>
      </c>
      <c r="E771" s="176">
        <v>107205</v>
      </c>
      <c r="F771" s="177" t="s">
        <v>414</v>
      </c>
      <c r="G771" s="178">
        <v>1628.4</v>
      </c>
      <c r="H771" s="179">
        <v>42832</v>
      </c>
      <c r="I771" s="178">
        <f t="shared" si="23"/>
        <v>1628.4</v>
      </c>
      <c r="J771" s="178">
        <f t="shared" si="24"/>
        <v>0</v>
      </c>
      <c r="K771" s="19"/>
    </row>
    <row r="772" spans="1:11" x14ac:dyDescent="0.25">
      <c r="A772" s="51">
        <v>42832</v>
      </c>
      <c r="B772" s="174" t="s">
        <v>12294</v>
      </c>
      <c r="C772" s="175"/>
      <c r="D772" s="176" t="s">
        <v>12294</v>
      </c>
      <c r="E772" s="176">
        <v>107206</v>
      </c>
      <c r="F772" s="177" t="s">
        <v>88</v>
      </c>
      <c r="G772" s="178">
        <v>13579.2</v>
      </c>
      <c r="H772" s="179">
        <v>42832</v>
      </c>
      <c r="I772" s="178">
        <f t="shared" ref="I772:I835" si="25">G772</f>
        <v>13579.2</v>
      </c>
      <c r="J772" s="178">
        <f t="shared" ref="J772:J835" si="26">G772-I772</f>
        <v>0</v>
      </c>
      <c r="K772" s="19"/>
    </row>
    <row r="773" spans="1:11" x14ac:dyDescent="0.25">
      <c r="A773" s="51">
        <v>42832</v>
      </c>
      <c r="B773" s="174" t="s">
        <v>12295</v>
      </c>
      <c r="C773" s="175"/>
      <c r="D773" s="176" t="s">
        <v>12295</v>
      </c>
      <c r="E773" s="176">
        <v>107207</v>
      </c>
      <c r="F773" s="177" t="s">
        <v>30</v>
      </c>
      <c r="G773" s="178">
        <v>2504.8000000000002</v>
      </c>
      <c r="H773" s="179">
        <v>42832</v>
      </c>
      <c r="I773" s="178">
        <f t="shared" si="25"/>
        <v>2504.8000000000002</v>
      </c>
      <c r="J773" s="178">
        <f t="shared" si="26"/>
        <v>0</v>
      </c>
      <c r="K773" s="19"/>
    </row>
    <row r="774" spans="1:11" x14ac:dyDescent="0.25">
      <c r="A774" s="51">
        <v>42832</v>
      </c>
      <c r="B774" s="174" t="s">
        <v>12296</v>
      </c>
      <c r="C774" s="175"/>
      <c r="D774" s="176" t="s">
        <v>12296</v>
      </c>
      <c r="E774" s="176">
        <v>107208</v>
      </c>
      <c r="F774" s="177" t="s">
        <v>103</v>
      </c>
      <c r="G774" s="178">
        <v>2763.6</v>
      </c>
      <c r="H774" s="179">
        <v>42833</v>
      </c>
      <c r="I774" s="178">
        <f t="shared" si="25"/>
        <v>2763.6</v>
      </c>
      <c r="J774" s="178">
        <f t="shared" si="26"/>
        <v>0</v>
      </c>
      <c r="K774" s="19"/>
    </row>
    <row r="775" spans="1:11" x14ac:dyDescent="0.25">
      <c r="A775" s="51">
        <v>42832</v>
      </c>
      <c r="B775" s="174" t="s">
        <v>12297</v>
      </c>
      <c r="C775" s="175"/>
      <c r="D775" s="176" t="s">
        <v>12297</v>
      </c>
      <c r="E775" s="176">
        <v>107209</v>
      </c>
      <c r="F775" s="177" t="s">
        <v>105</v>
      </c>
      <c r="G775" s="178">
        <v>3029.4</v>
      </c>
      <c r="H775" s="179">
        <v>42833</v>
      </c>
      <c r="I775" s="178">
        <f t="shared" si="25"/>
        <v>3029.4</v>
      </c>
      <c r="J775" s="178">
        <f t="shared" si="26"/>
        <v>0</v>
      </c>
      <c r="K775" s="19"/>
    </row>
    <row r="776" spans="1:11" x14ac:dyDescent="0.25">
      <c r="A776" s="51">
        <v>42832</v>
      </c>
      <c r="B776" s="174" t="s">
        <v>12298</v>
      </c>
      <c r="C776" s="175"/>
      <c r="D776" s="176" t="s">
        <v>12298</v>
      </c>
      <c r="E776" s="176">
        <v>107210</v>
      </c>
      <c r="F776" s="177" t="s">
        <v>109</v>
      </c>
      <c r="G776" s="178">
        <v>2585</v>
      </c>
      <c r="H776" s="179">
        <v>42832</v>
      </c>
      <c r="I776" s="178">
        <f t="shared" si="25"/>
        <v>2585</v>
      </c>
      <c r="J776" s="178">
        <f t="shared" si="26"/>
        <v>0</v>
      </c>
      <c r="K776" s="19"/>
    </row>
    <row r="777" spans="1:11" x14ac:dyDescent="0.25">
      <c r="A777" s="51">
        <v>42832</v>
      </c>
      <c r="B777" s="174" t="s">
        <v>12299</v>
      </c>
      <c r="C777" s="175"/>
      <c r="D777" s="176" t="s">
        <v>12299</v>
      </c>
      <c r="E777" s="176">
        <v>107211</v>
      </c>
      <c r="F777" s="177" t="s">
        <v>1090</v>
      </c>
      <c r="G777" s="178">
        <v>5520.4</v>
      </c>
      <c r="H777" s="179">
        <v>42832</v>
      </c>
      <c r="I777" s="178">
        <f t="shared" si="25"/>
        <v>5520.4</v>
      </c>
      <c r="J777" s="178">
        <f t="shared" si="26"/>
        <v>0</v>
      </c>
      <c r="K777" s="19"/>
    </row>
    <row r="778" spans="1:11" x14ac:dyDescent="0.25">
      <c r="A778" s="51">
        <v>42832</v>
      </c>
      <c r="B778" s="174" t="s">
        <v>12300</v>
      </c>
      <c r="C778" s="175"/>
      <c r="D778" s="176" t="s">
        <v>12300</v>
      </c>
      <c r="E778" s="176">
        <v>107212</v>
      </c>
      <c r="F778" s="177" t="s">
        <v>55</v>
      </c>
      <c r="G778" s="178">
        <v>14446.4</v>
      </c>
      <c r="H778" s="179">
        <v>42832</v>
      </c>
      <c r="I778" s="178">
        <f t="shared" si="25"/>
        <v>14446.4</v>
      </c>
      <c r="J778" s="178">
        <f t="shared" si="26"/>
        <v>0</v>
      </c>
      <c r="K778" s="19"/>
    </row>
    <row r="779" spans="1:11" x14ac:dyDescent="0.25">
      <c r="A779" s="51">
        <v>42832</v>
      </c>
      <c r="B779" s="174" t="s">
        <v>12301</v>
      </c>
      <c r="C779" s="175"/>
      <c r="D779" s="176" t="s">
        <v>12301</v>
      </c>
      <c r="E779" s="176">
        <v>107213</v>
      </c>
      <c r="F779" s="177" t="s">
        <v>92</v>
      </c>
      <c r="G779" s="178">
        <v>2948.4</v>
      </c>
      <c r="H779" s="179">
        <v>42832</v>
      </c>
      <c r="I779" s="178">
        <f t="shared" si="25"/>
        <v>2948.4</v>
      </c>
      <c r="J779" s="178">
        <f t="shared" si="26"/>
        <v>0</v>
      </c>
      <c r="K779" s="19"/>
    </row>
    <row r="780" spans="1:11" x14ac:dyDescent="0.25">
      <c r="A780" s="51">
        <v>42832</v>
      </c>
      <c r="B780" s="174" t="s">
        <v>12302</v>
      </c>
      <c r="C780" s="175"/>
      <c r="D780" s="176" t="s">
        <v>12302</v>
      </c>
      <c r="E780" s="176">
        <v>107214</v>
      </c>
      <c r="F780" s="177" t="s">
        <v>71</v>
      </c>
      <c r="G780" s="178">
        <v>4032</v>
      </c>
      <c r="H780" s="179">
        <v>42832</v>
      </c>
      <c r="I780" s="178">
        <f t="shared" si="25"/>
        <v>4032</v>
      </c>
      <c r="J780" s="178">
        <f t="shared" si="26"/>
        <v>0</v>
      </c>
      <c r="K780" s="19"/>
    </row>
    <row r="781" spans="1:11" x14ac:dyDescent="0.25">
      <c r="A781" s="51">
        <v>42832</v>
      </c>
      <c r="B781" s="174" t="s">
        <v>12303</v>
      </c>
      <c r="C781" s="175"/>
      <c r="D781" s="176" t="s">
        <v>12303</v>
      </c>
      <c r="E781" s="176">
        <v>107215</v>
      </c>
      <c r="F781" s="177" t="s">
        <v>30</v>
      </c>
      <c r="G781" s="178">
        <v>1999.2</v>
      </c>
      <c r="H781" s="179">
        <v>42832</v>
      </c>
      <c r="I781" s="178">
        <f t="shared" si="25"/>
        <v>1999.2</v>
      </c>
      <c r="J781" s="178">
        <f t="shared" si="26"/>
        <v>0</v>
      </c>
      <c r="K781" s="19"/>
    </row>
    <row r="782" spans="1:11" x14ac:dyDescent="0.25">
      <c r="A782" s="51">
        <v>42832</v>
      </c>
      <c r="B782" s="174" t="s">
        <v>12304</v>
      </c>
      <c r="C782" s="175"/>
      <c r="D782" s="176" t="s">
        <v>12304</v>
      </c>
      <c r="E782" s="176">
        <v>107216</v>
      </c>
      <c r="F782" s="177" t="s">
        <v>14</v>
      </c>
      <c r="G782" s="178">
        <v>5059.2</v>
      </c>
      <c r="H782" s="179">
        <v>42832</v>
      </c>
      <c r="I782" s="178">
        <f t="shared" si="25"/>
        <v>5059.2</v>
      </c>
      <c r="J782" s="178">
        <f t="shared" si="26"/>
        <v>0</v>
      </c>
      <c r="K782" s="19"/>
    </row>
    <row r="783" spans="1:11" x14ac:dyDescent="0.25">
      <c r="A783" s="51">
        <v>42832</v>
      </c>
      <c r="B783" s="174" t="s">
        <v>12305</v>
      </c>
      <c r="C783" s="175"/>
      <c r="D783" s="176" t="s">
        <v>12305</v>
      </c>
      <c r="E783" s="176">
        <v>107217</v>
      </c>
      <c r="F783" s="177" t="s">
        <v>30</v>
      </c>
      <c r="G783" s="178">
        <v>14952.1</v>
      </c>
      <c r="H783" s="179">
        <v>42837</v>
      </c>
      <c r="I783" s="178">
        <f t="shared" si="25"/>
        <v>14952.1</v>
      </c>
      <c r="J783" s="178">
        <f t="shared" si="26"/>
        <v>0</v>
      </c>
      <c r="K783" s="19"/>
    </row>
    <row r="784" spans="1:11" x14ac:dyDescent="0.25">
      <c r="A784" s="51">
        <v>42832</v>
      </c>
      <c r="B784" s="174" t="s">
        <v>12306</v>
      </c>
      <c r="C784" s="175"/>
      <c r="D784" s="176" t="s">
        <v>12306</v>
      </c>
      <c r="E784" s="176">
        <v>107218</v>
      </c>
      <c r="F784" s="177" t="s">
        <v>240</v>
      </c>
      <c r="G784" s="178">
        <v>3689.4</v>
      </c>
      <c r="H784" s="179">
        <v>42832</v>
      </c>
      <c r="I784" s="178">
        <f t="shared" si="25"/>
        <v>3689.4</v>
      </c>
      <c r="J784" s="178">
        <f t="shared" si="26"/>
        <v>0</v>
      </c>
      <c r="K784" s="19"/>
    </row>
    <row r="785" spans="1:11" x14ac:dyDescent="0.25">
      <c r="A785" s="51">
        <v>42832</v>
      </c>
      <c r="B785" s="174" t="s">
        <v>12307</v>
      </c>
      <c r="C785" s="175"/>
      <c r="D785" s="176" t="s">
        <v>12307</v>
      </c>
      <c r="E785" s="176">
        <v>107219</v>
      </c>
      <c r="F785" s="177" t="s">
        <v>270</v>
      </c>
      <c r="G785" s="178">
        <v>32427.13</v>
      </c>
      <c r="H785" s="179">
        <v>42837</v>
      </c>
      <c r="I785" s="178">
        <f t="shared" si="25"/>
        <v>32427.13</v>
      </c>
      <c r="J785" s="178">
        <f t="shared" si="26"/>
        <v>0</v>
      </c>
      <c r="K785" s="19"/>
    </row>
    <row r="786" spans="1:11" x14ac:dyDescent="0.25">
      <c r="A786" s="51">
        <v>42832</v>
      </c>
      <c r="B786" s="174" t="s">
        <v>12308</v>
      </c>
      <c r="C786" s="175"/>
      <c r="D786" s="176" t="s">
        <v>12308</v>
      </c>
      <c r="E786" s="176">
        <v>107220</v>
      </c>
      <c r="F786" s="177" t="s">
        <v>268</v>
      </c>
      <c r="G786" s="178">
        <v>14774.1</v>
      </c>
      <c r="H786" s="179">
        <v>42837</v>
      </c>
      <c r="I786" s="178">
        <f t="shared" si="25"/>
        <v>14774.1</v>
      </c>
      <c r="J786" s="178">
        <f t="shared" si="26"/>
        <v>0</v>
      </c>
      <c r="K786" s="19"/>
    </row>
    <row r="787" spans="1:11" x14ac:dyDescent="0.25">
      <c r="A787" s="51">
        <v>42832</v>
      </c>
      <c r="B787" s="174" t="s">
        <v>12309</v>
      </c>
      <c r="C787" s="175"/>
      <c r="D787" s="176" t="s">
        <v>12309</v>
      </c>
      <c r="E787" s="176">
        <v>107221</v>
      </c>
      <c r="F787" s="177" t="s">
        <v>432</v>
      </c>
      <c r="G787" s="178">
        <v>14536.5</v>
      </c>
      <c r="H787" s="179">
        <v>42837</v>
      </c>
      <c r="I787" s="178">
        <f t="shared" si="25"/>
        <v>14536.5</v>
      </c>
      <c r="J787" s="178">
        <f t="shared" si="26"/>
        <v>0</v>
      </c>
      <c r="K787" s="19"/>
    </row>
    <row r="788" spans="1:11" x14ac:dyDescent="0.25">
      <c r="A788" s="51">
        <v>42832</v>
      </c>
      <c r="B788" s="174" t="s">
        <v>12310</v>
      </c>
      <c r="C788" s="175"/>
      <c r="D788" s="176" t="s">
        <v>12310</v>
      </c>
      <c r="E788" s="176">
        <v>107222</v>
      </c>
      <c r="F788" s="177" t="s">
        <v>1925</v>
      </c>
      <c r="G788" s="178">
        <v>2930.4</v>
      </c>
      <c r="H788" s="179">
        <v>42832</v>
      </c>
      <c r="I788" s="178">
        <f t="shared" si="25"/>
        <v>2930.4</v>
      </c>
      <c r="J788" s="178">
        <f t="shared" si="26"/>
        <v>0</v>
      </c>
      <c r="K788" s="19"/>
    </row>
    <row r="789" spans="1:11" x14ac:dyDescent="0.25">
      <c r="A789" s="51">
        <v>42832</v>
      </c>
      <c r="B789" s="174" t="s">
        <v>12311</v>
      </c>
      <c r="C789" s="175"/>
      <c r="D789" s="176" t="s">
        <v>12311</v>
      </c>
      <c r="E789" s="176">
        <v>107223</v>
      </c>
      <c r="F789" s="177" t="s">
        <v>1116</v>
      </c>
      <c r="G789" s="178">
        <v>1348.2</v>
      </c>
      <c r="H789" s="179">
        <v>42832</v>
      </c>
      <c r="I789" s="178">
        <f t="shared" si="25"/>
        <v>1348.2</v>
      </c>
      <c r="J789" s="178">
        <f t="shared" si="26"/>
        <v>0</v>
      </c>
      <c r="K789" s="19"/>
    </row>
    <row r="790" spans="1:11" x14ac:dyDescent="0.25">
      <c r="A790" s="51">
        <v>42832</v>
      </c>
      <c r="B790" s="174" t="s">
        <v>12312</v>
      </c>
      <c r="C790" s="175"/>
      <c r="D790" s="176" t="s">
        <v>12312</v>
      </c>
      <c r="E790" s="176">
        <v>107224</v>
      </c>
      <c r="F790" s="177" t="s">
        <v>302</v>
      </c>
      <c r="G790" s="178">
        <v>9293.7999999999993</v>
      </c>
      <c r="H790" s="179">
        <v>42836</v>
      </c>
      <c r="I790" s="178">
        <f t="shared" si="25"/>
        <v>9293.7999999999993</v>
      </c>
      <c r="J790" s="178">
        <f t="shared" si="26"/>
        <v>0</v>
      </c>
      <c r="K790" s="19"/>
    </row>
    <row r="791" spans="1:11" x14ac:dyDescent="0.25">
      <c r="A791" s="51">
        <v>42832</v>
      </c>
      <c r="B791" s="174" t="s">
        <v>12313</v>
      </c>
      <c r="C791" s="175"/>
      <c r="D791" s="176" t="s">
        <v>12313</v>
      </c>
      <c r="E791" s="176">
        <v>107225</v>
      </c>
      <c r="F791" s="177" t="s">
        <v>274</v>
      </c>
      <c r="G791" s="178">
        <v>16484.599999999999</v>
      </c>
      <c r="H791" s="179">
        <v>42838</v>
      </c>
      <c r="I791" s="178">
        <f t="shared" si="25"/>
        <v>16484.599999999999</v>
      </c>
      <c r="J791" s="178">
        <f t="shared" si="26"/>
        <v>0</v>
      </c>
      <c r="K791" s="19"/>
    </row>
    <row r="792" spans="1:11" x14ac:dyDescent="0.25">
      <c r="A792" s="51">
        <v>42832</v>
      </c>
      <c r="B792" s="174" t="s">
        <v>12314</v>
      </c>
      <c r="C792" s="175"/>
      <c r="D792" s="176" t="s">
        <v>12314</v>
      </c>
      <c r="E792" s="176">
        <v>107226</v>
      </c>
      <c r="F792" s="177" t="s">
        <v>442</v>
      </c>
      <c r="G792" s="178">
        <v>9824.1</v>
      </c>
      <c r="H792" s="179">
        <v>42837</v>
      </c>
      <c r="I792" s="178">
        <f t="shared" si="25"/>
        <v>9824.1</v>
      </c>
      <c r="J792" s="178">
        <f t="shared" si="26"/>
        <v>0</v>
      </c>
      <c r="K792" s="19"/>
    </row>
    <row r="793" spans="1:11" x14ac:dyDescent="0.25">
      <c r="A793" s="51">
        <v>42832</v>
      </c>
      <c r="B793" s="174" t="s">
        <v>12315</v>
      </c>
      <c r="C793" s="175"/>
      <c r="D793" s="176" t="s">
        <v>12315</v>
      </c>
      <c r="E793" s="176">
        <v>107227</v>
      </c>
      <c r="F793" s="177" t="s">
        <v>1666</v>
      </c>
      <c r="G793" s="178">
        <v>6718.8</v>
      </c>
      <c r="H793" s="179">
        <v>42838</v>
      </c>
      <c r="I793" s="178">
        <f t="shared" si="25"/>
        <v>6718.8</v>
      </c>
      <c r="J793" s="178">
        <f t="shared" si="26"/>
        <v>0</v>
      </c>
      <c r="K793" s="19"/>
    </row>
    <row r="794" spans="1:11" x14ac:dyDescent="0.25">
      <c r="A794" s="51">
        <v>42832</v>
      </c>
      <c r="B794" s="174" t="s">
        <v>12316</v>
      </c>
      <c r="C794" s="175"/>
      <c r="D794" s="176" t="s">
        <v>12316</v>
      </c>
      <c r="E794" s="176">
        <v>107228</v>
      </c>
      <c r="F794" s="177" t="s">
        <v>435</v>
      </c>
      <c r="G794" s="178">
        <v>1272</v>
      </c>
      <c r="H794" s="179">
        <v>42837</v>
      </c>
      <c r="I794" s="178">
        <f t="shared" si="25"/>
        <v>1272</v>
      </c>
      <c r="J794" s="178">
        <f t="shared" si="26"/>
        <v>0</v>
      </c>
      <c r="K794" s="19"/>
    </row>
    <row r="795" spans="1:11" x14ac:dyDescent="0.25">
      <c r="A795" s="51">
        <v>42832</v>
      </c>
      <c r="B795" s="174" t="s">
        <v>12317</v>
      </c>
      <c r="C795" s="175"/>
      <c r="D795" s="176" t="s">
        <v>12317</v>
      </c>
      <c r="E795" s="176">
        <v>107229</v>
      </c>
      <c r="F795" s="177" t="s">
        <v>590</v>
      </c>
      <c r="G795" s="178">
        <v>14549.7</v>
      </c>
      <c r="H795" s="179">
        <v>42837</v>
      </c>
      <c r="I795" s="178">
        <f t="shared" si="25"/>
        <v>14549.7</v>
      </c>
      <c r="J795" s="178">
        <f t="shared" si="26"/>
        <v>0</v>
      </c>
      <c r="K795" s="19"/>
    </row>
    <row r="796" spans="1:11" x14ac:dyDescent="0.25">
      <c r="A796" s="51">
        <v>42832</v>
      </c>
      <c r="B796" s="174" t="s">
        <v>12318</v>
      </c>
      <c r="C796" s="175"/>
      <c r="D796" s="176" t="s">
        <v>12318</v>
      </c>
      <c r="E796" s="176">
        <v>107230</v>
      </c>
      <c r="F796" s="177" t="s">
        <v>30</v>
      </c>
      <c r="G796" s="178">
        <v>5465.6</v>
      </c>
      <c r="H796" s="179">
        <v>42837</v>
      </c>
      <c r="I796" s="178">
        <f t="shared" si="25"/>
        <v>5465.6</v>
      </c>
      <c r="J796" s="178">
        <f t="shared" si="26"/>
        <v>0</v>
      </c>
      <c r="K796" s="19"/>
    </row>
    <row r="797" spans="1:11" x14ac:dyDescent="0.25">
      <c r="A797" s="51">
        <v>42832</v>
      </c>
      <c r="B797" s="174" t="s">
        <v>12319</v>
      </c>
      <c r="C797" s="175"/>
      <c r="D797" s="176" t="s">
        <v>12319</v>
      </c>
      <c r="E797" s="176">
        <v>107231</v>
      </c>
      <c r="F797" s="177" t="s">
        <v>773</v>
      </c>
      <c r="G797" s="178">
        <v>888.2</v>
      </c>
      <c r="H797" s="179">
        <v>42832</v>
      </c>
      <c r="I797" s="178">
        <f t="shared" si="25"/>
        <v>888.2</v>
      </c>
      <c r="J797" s="178">
        <f t="shared" si="26"/>
        <v>0</v>
      </c>
      <c r="K797" s="19"/>
    </row>
    <row r="798" spans="1:11" x14ac:dyDescent="0.25">
      <c r="A798" s="51">
        <v>42832</v>
      </c>
      <c r="B798" s="174" t="s">
        <v>12320</v>
      </c>
      <c r="C798" s="175"/>
      <c r="D798" s="176" t="s">
        <v>12320</v>
      </c>
      <c r="E798" s="176">
        <v>107232</v>
      </c>
      <c r="F798" s="177" t="s">
        <v>159</v>
      </c>
      <c r="G798" s="178">
        <v>4294.7</v>
      </c>
      <c r="H798" s="179">
        <v>42835</v>
      </c>
      <c r="I798" s="178">
        <f t="shared" si="25"/>
        <v>4294.7</v>
      </c>
      <c r="J798" s="178">
        <f t="shared" si="26"/>
        <v>0</v>
      </c>
      <c r="K798" s="19"/>
    </row>
    <row r="799" spans="1:11" x14ac:dyDescent="0.25">
      <c r="A799" s="51">
        <v>42832</v>
      </c>
      <c r="B799" s="174" t="s">
        <v>12321</v>
      </c>
      <c r="C799" s="175"/>
      <c r="D799" s="176" t="s">
        <v>12321</v>
      </c>
      <c r="E799" s="176">
        <v>107233</v>
      </c>
      <c r="F799" s="177" t="s">
        <v>222</v>
      </c>
      <c r="G799" s="178">
        <v>9623.2000000000007</v>
      </c>
      <c r="H799" s="179">
        <v>42837</v>
      </c>
      <c r="I799" s="178">
        <f t="shared" si="25"/>
        <v>9623.2000000000007</v>
      </c>
      <c r="J799" s="178">
        <f t="shared" si="26"/>
        <v>0</v>
      </c>
      <c r="K799" s="19"/>
    </row>
    <row r="800" spans="1:11" x14ac:dyDescent="0.25">
      <c r="A800" s="51">
        <v>42832</v>
      </c>
      <c r="B800" s="174" t="s">
        <v>12322</v>
      </c>
      <c r="C800" s="175"/>
      <c r="D800" s="176" t="s">
        <v>12322</v>
      </c>
      <c r="E800" s="176">
        <v>107234</v>
      </c>
      <c r="F800" s="177" t="s">
        <v>1421</v>
      </c>
      <c r="G800" s="178">
        <v>25458.799999999999</v>
      </c>
      <c r="H800" s="179">
        <v>42833</v>
      </c>
      <c r="I800" s="178">
        <f t="shared" si="25"/>
        <v>25458.799999999999</v>
      </c>
      <c r="J800" s="178">
        <f t="shared" si="26"/>
        <v>0</v>
      </c>
      <c r="K800" s="19"/>
    </row>
    <row r="801" spans="1:11" x14ac:dyDescent="0.25">
      <c r="A801" s="51">
        <v>42832</v>
      </c>
      <c r="B801" s="174" t="s">
        <v>12323</v>
      </c>
      <c r="C801" s="175"/>
      <c r="D801" s="176" t="s">
        <v>12323</v>
      </c>
      <c r="E801" s="176">
        <v>107235</v>
      </c>
      <c r="F801" s="177" t="s">
        <v>155</v>
      </c>
      <c r="G801" s="178">
        <v>14760.8</v>
      </c>
      <c r="H801" s="179">
        <v>42836</v>
      </c>
      <c r="I801" s="178">
        <f t="shared" si="25"/>
        <v>14760.8</v>
      </c>
      <c r="J801" s="178">
        <f t="shared" si="26"/>
        <v>0</v>
      </c>
      <c r="K801" s="19"/>
    </row>
    <row r="802" spans="1:11" x14ac:dyDescent="0.25">
      <c r="A802" s="51">
        <v>42832</v>
      </c>
      <c r="B802" s="174" t="s">
        <v>12324</v>
      </c>
      <c r="C802" s="175"/>
      <c r="D802" s="176" t="s">
        <v>12324</v>
      </c>
      <c r="E802" s="176">
        <v>107236</v>
      </c>
      <c r="F802" s="177" t="s">
        <v>159</v>
      </c>
      <c r="G802" s="178">
        <v>6378.9</v>
      </c>
      <c r="H802" s="179">
        <v>42835</v>
      </c>
      <c r="I802" s="178">
        <f t="shared" si="25"/>
        <v>6378.9</v>
      </c>
      <c r="J802" s="178">
        <f t="shared" si="26"/>
        <v>0</v>
      </c>
      <c r="K802" s="19"/>
    </row>
    <row r="803" spans="1:11" x14ac:dyDescent="0.25">
      <c r="A803" s="51">
        <v>42832</v>
      </c>
      <c r="B803" s="174" t="s">
        <v>12325</v>
      </c>
      <c r="C803" s="175"/>
      <c r="D803" s="176" t="s">
        <v>12325</v>
      </c>
      <c r="E803" s="176">
        <v>107237</v>
      </c>
      <c r="F803" s="177" t="s">
        <v>205</v>
      </c>
      <c r="G803" s="178">
        <v>31881.3</v>
      </c>
      <c r="H803" s="179">
        <v>42832</v>
      </c>
      <c r="I803" s="178">
        <f t="shared" si="25"/>
        <v>31881.3</v>
      </c>
      <c r="J803" s="178">
        <f t="shared" si="26"/>
        <v>0</v>
      </c>
      <c r="K803" s="19"/>
    </row>
    <row r="804" spans="1:11" x14ac:dyDescent="0.25">
      <c r="A804" s="51">
        <v>42832</v>
      </c>
      <c r="B804" s="174" t="s">
        <v>12326</v>
      </c>
      <c r="C804" s="175"/>
      <c r="D804" s="176" t="s">
        <v>12326</v>
      </c>
      <c r="E804" s="176">
        <v>107238</v>
      </c>
      <c r="F804" s="177" t="s">
        <v>2986</v>
      </c>
      <c r="G804" s="178">
        <v>2884</v>
      </c>
      <c r="H804" s="179">
        <v>42832</v>
      </c>
      <c r="I804" s="178">
        <f t="shared" si="25"/>
        <v>2884</v>
      </c>
      <c r="J804" s="178">
        <f t="shared" si="26"/>
        <v>0</v>
      </c>
      <c r="K804" s="19"/>
    </row>
    <row r="805" spans="1:11" x14ac:dyDescent="0.25">
      <c r="A805" s="51">
        <v>42832</v>
      </c>
      <c r="B805" s="174" t="s">
        <v>12327</v>
      </c>
      <c r="C805" s="175"/>
      <c r="D805" s="176" t="s">
        <v>12327</v>
      </c>
      <c r="E805" s="176">
        <v>107239</v>
      </c>
      <c r="F805" s="177" t="s">
        <v>26</v>
      </c>
      <c r="G805" s="178">
        <v>5487.3</v>
      </c>
      <c r="H805" s="179">
        <v>42832</v>
      </c>
      <c r="I805" s="178">
        <f t="shared" si="25"/>
        <v>5487.3</v>
      </c>
      <c r="J805" s="178">
        <f t="shared" si="26"/>
        <v>0</v>
      </c>
      <c r="K805" s="19"/>
    </row>
    <row r="806" spans="1:11" x14ac:dyDescent="0.25">
      <c r="A806" s="51">
        <v>42832</v>
      </c>
      <c r="B806" s="174" t="s">
        <v>12328</v>
      </c>
      <c r="C806" s="175"/>
      <c r="D806" s="176" t="s">
        <v>12328</v>
      </c>
      <c r="E806" s="176">
        <v>107240</v>
      </c>
      <c r="F806" s="177" t="s">
        <v>168</v>
      </c>
      <c r="G806" s="178">
        <v>1435</v>
      </c>
      <c r="H806" s="179">
        <v>42832</v>
      </c>
      <c r="I806" s="178">
        <f t="shared" si="25"/>
        <v>1435</v>
      </c>
      <c r="J806" s="178">
        <f t="shared" si="26"/>
        <v>0</v>
      </c>
      <c r="K806" s="19"/>
    </row>
    <row r="807" spans="1:11" x14ac:dyDescent="0.25">
      <c r="A807" s="51">
        <v>42832</v>
      </c>
      <c r="B807" s="174" t="s">
        <v>12329</v>
      </c>
      <c r="C807" s="175"/>
      <c r="D807" s="176" t="s">
        <v>12329</v>
      </c>
      <c r="E807" s="176">
        <v>107241</v>
      </c>
      <c r="F807" s="177" t="s">
        <v>161</v>
      </c>
      <c r="G807" s="178">
        <v>45074.3</v>
      </c>
      <c r="H807" s="179">
        <v>42846</v>
      </c>
      <c r="I807" s="178">
        <f t="shared" si="25"/>
        <v>45074.3</v>
      </c>
      <c r="J807" s="178">
        <f t="shared" si="26"/>
        <v>0</v>
      </c>
      <c r="K807" s="19"/>
    </row>
    <row r="808" spans="1:11" x14ac:dyDescent="0.25">
      <c r="A808" s="51">
        <v>42832</v>
      </c>
      <c r="B808" s="174" t="s">
        <v>12330</v>
      </c>
      <c r="C808" s="175"/>
      <c r="D808" s="176" t="s">
        <v>12330</v>
      </c>
      <c r="E808" s="176">
        <v>107242</v>
      </c>
      <c r="F808" s="177" t="s">
        <v>459</v>
      </c>
      <c r="G808" s="178">
        <v>1488</v>
      </c>
      <c r="H808" s="179">
        <v>42832</v>
      </c>
      <c r="I808" s="178">
        <f t="shared" si="25"/>
        <v>1488</v>
      </c>
      <c r="J808" s="178">
        <f t="shared" si="26"/>
        <v>0</v>
      </c>
      <c r="K808" s="19"/>
    </row>
    <row r="809" spans="1:11" x14ac:dyDescent="0.25">
      <c r="A809" s="51">
        <v>42832</v>
      </c>
      <c r="B809" s="174" t="s">
        <v>12331</v>
      </c>
      <c r="C809" s="175"/>
      <c r="D809" s="176" t="s">
        <v>12331</v>
      </c>
      <c r="E809" s="176">
        <v>107243</v>
      </c>
      <c r="F809" s="177" t="s">
        <v>10</v>
      </c>
      <c r="G809" s="178">
        <v>197559.8</v>
      </c>
      <c r="H809" s="179">
        <v>42835</v>
      </c>
      <c r="I809" s="178">
        <f t="shared" si="25"/>
        <v>197559.8</v>
      </c>
      <c r="J809" s="178">
        <f t="shared" si="26"/>
        <v>0</v>
      </c>
      <c r="K809" s="19"/>
    </row>
    <row r="810" spans="1:11" x14ac:dyDescent="0.25">
      <c r="A810" s="51">
        <v>42832</v>
      </c>
      <c r="B810" s="174" t="s">
        <v>12332</v>
      </c>
      <c r="C810" s="175"/>
      <c r="D810" s="176" t="s">
        <v>12332</v>
      </c>
      <c r="E810" s="176">
        <v>107244</v>
      </c>
      <c r="F810" s="177" t="s">
        <v>476</v>
      </c>
      <c r="G810" s="178">
        <v>3175.6</v>
      </c>
      <c r="H810" s="179">
        <v>42837</v>
      </c>
      <c r="I810" s="178">
        <f t="shared" si="25"/>
        <v>3175.6</v>
      </c>
      <c r="J810" s="178">
        <f t="shared" si="26"/>
        <v>0</v>
      </c>
      <c r="K810" s="19"/>
    </row>
    <row r="811" spans="1:11" x14ac:dyDescent="0.25">
      <c r="A811" s="51">
        <v>42832</v>
      </c>
      <c r="B811" s="174" t="s">
        <v>12333</v>
      </c>
      <c r="C811" s="175"/>
      <c r="D811" s="176" t="s">
        <v>12333</v>
      </c>
      <c r="E811" s="176">
        <v>107245</v>
      </c>
      <c r="F811" s="177" t="s">
        <v>30</v>
      </c>
      <c r="G811" s="178">
        <v>2520</v>
      </c>
      <c r="H811" s="179">
        <v>42832</v>
      </c>
      <c r="I811" s="178">
        <f t="shared" si="25"/>
        <v>2520</v>
      </c>
      <c r="J811" s="178">
        <f t="shared" si="26"/>
        <v>0</v>
      </c>
      <c r="K811" s="19"/>
    </row>
    <row r="812" spans="1:11" x14ac:dyDescent="0.25">
      <c r="A812" s="51">
        <v>42832</v>
      </c>
      <c r="B812" s="174" t="s">
        <v>12334</v>
      </c>
      <c r="C812" s="175"/>
      <c r="D812" s="176" t="s">
        <v>12334</v>
      </c>
      <c r="E812" s="176">
        <v>107246</v>
      </c>
      <c r="F812" s="182" t="s">
        <v>125</v>
      </c>
      <c r="G812" s="183">
        <v>0</v>
      </c>
      <c r="H812" s="184" t="s">
        <v>95</v>
      </c>
      <c r="I812" s="183">
        <f t="shared" si="25"/>
        <v>0</v>
      </c>
      <c r="J812" s="183">
        <f t="shared" si="26"/>
        <v>0</v>
      </c>
      <c r="K812" s="19"/>
    </row>
    <row r="813" spans="1:11" x14ac:dyDescent="0.25">
      <c r="A813" s="51">
        <v>42832</v>
      </c>
      <c r="B813" s="174" t="s">
        <v>12335</v>
      </c>
      <c r="C813" s="175"/>
      <c r="D813" s="176" t="s">
        <v>12335</v>
      </c>
      <c r="E813" s="176">
        <v>107247</v>
      </c>
      <c r="F813" s="177" t="s">
        <v>128</v>
      </c>
      <c r="G813" s="178">
        <v>770</v>
      </c>
      <c r="H813" s="179">
        <v>42833</v>
      </c>
      <c r="I813" s="178">
        <f t="shared" si="25"/>
        <v>770</v>
      </c>
      <c r="J813" s="178">
        <f t="shared" si="26"/>
        <v>0</v>
      </c>
      <c r="K813" s="19"/>
    </row>
    <row r="814" spans="1:11" x14ac:dyDescent="0.25">
      <c r="A814" s="51">
        <v>42832</v>
      </c>
      <c r="B814" s="174" t="s">
        <v>12336</v>
      </c>
      <c r="C814" s="175"/>
      <c r="D814" s="176" t="s">
        <v>12336</v>
      </c>
      <c r="E814" s="176">
        <v>107248</v>
      </c>
      <c r="F814" s="177" t="s">
        <v>125</v>
      </c>
      <c r="G814" s="178">
        <v>7662.6</v>
      </c>
      <c r="H814" s="179">
        <v>42833</v>
      </c>
      <c r="I814" s="178">
        <f t="shared" si="25"/>
        <v>7662.6</v>
      </c>
      <c r="J814" s="178">
        <f t="shared" si="26"/>
        <v>0</v>
      </c>
      <c r="K814" s="19"/>
    </row>
    <row r="815" spans="1:11" x14ac:dyDescent="0.25">
      <c r="A815" s="51">
        <v>42832</v>
      </c>
      <c r="B815" s="174" t="s">
        <v>12337</v>
      </c>
      <c r="C815" s="175"/>
      <c r="D815" s="176" t="s">
        <v>12337</v>
      </c>
      <c r="E815" s="176">
        <v>107249</v>
      </c>
      <c r="F815" s="177" t="s">
        <v>208</v>
      </c>
      <c r="G815" s="178">
        <v>13611.5</v>
      </c>
      <c r="H815" s="179">
        <v>42842</v>
      </c>
      <c r="I815" s="178">
        <f t="shared" si="25"/>
        <v>13611.5</v>
      </c>
      <c r="J815" s="178">
        <f t="shared" si="26"/>
        <v>0</v>
      </c>
      <c r="K815" s="19"/>
    </row>
    <row r="816" spans="1:11" x14ac:dyDescent="0.25">
      <c r="A816" s="51">
        <v>42832</v>
      </c>
      <c r="B816" s="174" t="s">
        <v>12338</v>
      </c>
      <c r="C816" s="175"/>
      <c r="D816" s="176" t="s">
        <v>12338</v>
      </c>
      <c r="E816" s="176">
        <v>107250</v>
      </c>
      <c r="F816" s="177" t="s">
        <v>921</v>
      </c>
      <c r="G816" s="178">
        <v>5232.6000000000004</v>
      </c>
      <c r="H816" s="179">
        <v>42832</v>
      </c>
      <c r="I816" s="178">
        <f t="shared" si="25"/>
        <v>5232.6000000000004</v>
      </c>
      <c r="J816" s="178">
        <f t="shared" si="26"/>
        <v>0</v>
      </c>
      <c r="K816" s="19"/>
    </row>
    <row r="817" spans="1:11" x14ac:dyDescent="0.25">
      <c r="A817" s="51">
        <v>42832</v>
      </c>
      <c r="B817" s="174" t="s">
        <v>12339</v>
      </c>
      <c r="C817" s="175"/>
      <c r="D817" s="176" t="s">
        <v>12339</v>
      </c>
      <c r="E817" s="176">
        <v>107251</v>
      </c>
      <c r="F817" s="177" t="s">
        <v>879</v>
      </c>
      <c r="G817" s="178">
        <v>2996</v>
      </c>
      <c r="H817" s="179">
        <v>42832</v>
      </c>
      <c r="I817" s="178">
        <f t="shared" si="25"/>
        <v>2996</v>
      </c>
      <c r="J817" s="178">
        <f t="shared" si="26"/>
        <v>0</v>
      </c>
      <c r="K817" s="19"/>
    </row>
    <row r="818" spans="1:11" x14ac:dyDescent="0.25">
      <c r="A818" s="51">
        <v>42832</v>
      </c>
      <c r="B818" s="174" t="s">
        <v>12340</v>
      </c>
      <c r="C818" s="175"/>
      <c r="D818" s="176" t="s">
        <v>12340</v>
      </c>
      <c r="E818" s="176">
        <v>107252</v>
      </c>
      <c r="F818" s="177" t="s">
        <v>785</v>
      </c>
      <c r="G818" s="178">
        <v>15672</v>
      </c>
      <c r="H818" s="179">
        <v>42833</v>
      </c>
      <c r="I818" s="178">
        <f t="shared" si="25"/>
        <v>15672</v>
      </c>
      <c r="J818" s="178">
        <f t="shared" si="26"/>
        <v>0</v>
      </c>
      <c r="K818" s="19"/>
    </row>
    <row r="819" spans="1:11" x14ac:dyDescent="0.25">
      <c r="A819" s="51">
        <v>42832</v>
      </c>
      <c r="B819" s="174" t="s">
        <v>12341</v>
      </c>
      <c r="C819" s="175"/>
      <c r="D819" s="176" t="s">
        <v>12341</v>
      </c>
      <c r="E819" s="176">
        <v>107253</v>
      </c>
      <c r="F819" s="177" t="s">
        <v>131</v>
      </c>
      <c r="G819" s="178">
        <v>12373.8</v>
      </c>
      <c r="H819" s="179">
        <v>42833</v>
      </c>
      <c r="I819" s="178">
        <f t="shared" si="25"/>
        <v>12373.8</v>
      </c>
      <c r="J819" s="178">
        <f t="shared" si="26"/>
        <v>0</v>
      </c>
      <c r="K819" s="19"/>
    </row>
    <row r="820" spans="1:11" x14ac:dyDescent="0.25">
      <c r="A820" s="51">
        <v>42832</v>
      </c>
      <c r="B820" s="174" t="s">
        <v>12342</v>
      </c>
      <c r="C820" s="175"/>
      <c r="D820" s="176" t="s">
        <v>12342</v>
      </c>
      <c r="E820" s="176">
        <v>107254</v>
      </c>
      <c r="F820" s="177" t="s">
        <v>277</v>
      </c>
      <c r="G820" s="178">
        <v>2583</v>
      </c>
      <c r="H820" s="179">
        <v>42833</v>
      </c>
      <c r="I820" s="178">
        <f t="shared" si="25"/>
        <v>2583</v>
      </c>
      <c r="J820" s="178">
        <f t="shared" si="26"/>
        <v>0</v>
      </c>
      <c r="K820" s="19"/>
    </row>
    <row r="821" spans="1:11" x14ac:dyDescent="0.25">
      <c r="A821" s="51">
        <v>42832</v>
      </c>
      <c r="B821" s="174" t="s">
        <v>12343</v>
      </c>
      <c r="C821" s="175"/>
      <c r="D821" s="176" t="s">
        <v>12343</v>
      </c>
      <c r="E821" s="176">
        <v>107255</v>
      </c>
      <c r="F821" s="177" t="s">
        <v>277</v>
      </c>
      <c r="G821" s="178">
        <v>18.239999999999998</v>
      </c>
      <c r="H821" s="179">
        <v>42833</v>
      </c>
      <c r="I821" s="178">
        <f t="shared" si="25"/>
        <v>18.239999999999998</v>
      </c>
      <c r="J821" s="178">
        <f t="shared" si="26"/>
        <v>0</v>
      </c>
      <c r="K821" s="19"/>
    </row>
    <row r="822" spans="1:11" x14ac:dyDescent="0.25">
      <c r="A822" s="51">
        <v>42832</v>
      </c>
      <c r="B822" s="174" t="s">
        <v>12344</v>
      </c>
      <c r="C822" s="175"/>
      <c r="D822" s="176" t="s">
        <v>12344</v>
      </c>
      <c r="E822" s="176">
        <v>107256</v>
      </c>
      <c r="F822" s="177" t="s">
        <v>470</v>
      </c>
      <c r="G822" s="178">
        <v>12425.8</v>
      </c>
      <c r="H822" s="179">
        <v>42833</v>
      </c>
      <c r="I822" s="178">
        <f t="shared" si="25"/>
        <v>12425.8</v>
      </c>
      <c r="J822" s="178">
        <f t="shared" si="26"/>
        <v>0</v>
      </c>
      <c r="K822" s="19"/>
    </row>
    <row r="823" spans="1:11" x14ac:dyDescent="0.25">
      <c r="A823" s="51">
        <v>42832</v>
      </c>
      <c r="B823" s="174" t="s">
        <v>12345</v>
      </c>
      <c r="C823" s="175"/>
      <c r="D823" s="176" t="s">
        <v>12345</v>
      </c>
      <c r="E823" s="176">
        <v>107257</v>
      </c>
      <c r="F823" s="177" t="s">
        <v>145</v>
      </c>
      <c r="G823" s="178">
        <v>16410.8</v>
      </c>
      <c r="H823" s="179">
        <v>42833</v>
      </c>
      <c r="I823" s="178">
        <f t="shared" si="25"/>
        <v>16410.8</v>
      </c>
      <c r="J823" s="178">
        <f t="shared" si="26"/>
        <v>0</v>
      </c>
      <c r="K823" s="19"/>
    </row>
    <row r="824" spans="1:11" x14ac:dyDescent="0.25">
      <c r="A824" s="51">
        <v>42832</v>
      </c>
      <c r="B824" s="174" t="s">
        <v>12346</v>
      </c>
      <c r="C824" s="175"/>
      <c r="D824" s="176" t="s">
        <v>12346</v>
      </c>
      <c r="E824" s="176">
        <v>107258</v>
      </c>
      <c r="F824" s="177" t="s">
        <v>30</v>
      </c>
      <c r="G824" s="178">
        <v>780</v>
      </c>
      <c r="H824" s="179">
        <v>42833</v>
      </c>
      <c r="I824" s="178">
        <f t="shared" si="25"/>
        <v>780</v>
      </c>
      <c r="J824" s="178">
        <f t="shared" si="26"/>
        <v>0</v>
      </c>
      <c r="K824" s="19"/>
    </row>
    <row r="825" spans="1:11" x14ac:dyDescent="0.25">
      <c r="A825" s="51">
        <v>42832</v>
      </c>
      <c r="B825" s="174" t="s">
        <v>12347</v>
      </c>
      <c r="C825" s="175"/>
      <c r="D825" s="176" t="s">
        <v>12347</v>
      </c>
      <c r="E825" s="176">
        <v>107259</v>
      </c>
      <c r="F825" s="177" t="s">
        <v>122</v>
      </c>
      <c r="G825" s="178">
        <v>32305.599999999999</v>
      </c>
      <c r="H825" s="179">
        <v>42837</v>
      </c>
      <c r="I825" s="178">
        <f t="shared" si="25"/>
        <v>32305.599999999999</v>
      </c>
      <c r="J825" s="178">
        <f t="shared" si="26"/>
        <v>0</v>
      </c>
      <c r="K825" s="19"/>
    </row>
    <row r="826" spans="1:11" x14ac:dyDescent="0.25">
      <c r="A826" s="51">
        <v>42832</v>
      </c>
      <c r="B826" s="174" t="s">
        <v>12348</v>
      </c>
      <c r="C826" s="175"/>
      <c r="D826" s="176" t="s">
        <v>12348</v>
      </c>
      <c r="E826" s="176">
        <v>107260</v>
      </c>
      <c r="F826" s="177" t="s">
        <v>1789</v>
      </c>
      <c r="G826" s="178">
        <v>3662.4</v>
      </c>
      <c r="H826" s="179">
        <v>42833</v>
      </c>
      <c r="I826" s="178">
        <f t="shared" si="25"/>
        <v>3662.4</v>
      </c>
      <c r="J826" s="178">
        <f t="shared" si="26"/>
        <v>0</v>
      </c>
      <c r="K826" s="19"/>
    </row>
    <row r="827" spans="1:11" x14ac:dyDescent="0.25">
      <c r="A827" s="51">
        <v>42832</v>
      </c>
      <c r="B827" s="174" t="s">
        <v>12349</v>
      </c>
      <c r="C827" s="175"/>
      <c r="D827" s="176" t="s">
        <v>12349</v>
      </c>
      <c r="E827" s="176">
        <v>107261</v>
      </c>
      <c r="F827" s="177" t="s">
        <v>2240</v>
      </c>
      <c r="G827" s="178">
        <v>7391.68</v>
      </c>
      <c r="H827" s="179">
        <v>42832</v>
      </c>
      <c r="I827" s="178">
        <f t="shared" si="25"/>
        <v>7391.68</v>
      </c>
      <c r="J827" s="178">
        <f t="shared" si="26"/>
        <v>0</v>
      </c>
      <c r="K827" s="19"/>
    </row>
    <row r="828" spans="1:11" x14ac:dyDescent="0.25">
      <c r="A828" s="51">
        <v>42832</v>
      </c>
      <c r="B828" s="174" t="s">
        <v>12350</v>
      </c>
      <c r="C828" s="175"/>
      <c r="D828" s="176" t="s">
        <v>12350</v>
      </c>
      <c r="E828" s="176">
        <v>107262</v>
      </c>
      <c r="F828" s="177" t="s">
        <v>492</v>
      </c>
      <c r="G828" s="178">
        <v>20724</v>
      </c>
      <c r="H828" s="179">
        <v>42834</v>
      </c>
      <c r="I828" s="178">
        <f t="shared" si="25"/>
        <v>20724</v>
      </c>
      <c r="J828" s="178">
        <f t="shared" si="26"/>
        <v>0</v>
      </c>
      <c r="K828" s="19"/>
    </row>
    <row r="829" spans="1:11" x14ac:dyDescent="0.25">
      <c r="A829" s="51">
        <v>42832</v>
      </c>
      <c r="B829" s="174" t="s">
        <v>12351</v>
      </c>
      <c r="C829" s="175"/>
      <c r="D829" s="176" t="s">
        <v>12351</v>
      </c>
      <c r="E829" s="176">
        <v>107263</v>
      </c>
      <c r="F829" s="177" t="s">
        <v>122</v>
      </c>
      <c r="G829" s="178">
        <v>5386.5</v>
      </c>
      <c r="H829" s="179">
        <v>42837</v>
      </c>
      <c r="I829" s="178">
        <f t="shared" si="25"/>
        <v>5386.5</v>
      </c>
      <c r="J829" s="178">
        <f t="shared" si="26"/>
        <v>0</v>
      </c>
      <c r="K829" s="19"/>
    </row>
    <row r="830" spans="1:11" x14ac:dyDescent="0.25">
      <c r="A830" s="51">
        <v>42832</v>
      </c>
      <c r="B830" s="174" t="s">
        <v>12352</v>
      </c>
      <c r="C830" s="175"/>
      <c r="D830" s="176" t="s">
        <v>12352</v>
      </c>
      <c r="E830" s="176">
        <v>107264</v>
      </c>
      <c r="F830" s="177" t="s">
        <v>1666</v>
      </c>
      <c r="G830" s="178">
        <v>6942</v>
      </c>
      <c r="H830" s="179">
        <v>42837</v>
      </c>
      <c r="I830" s="178">
        <f t="shared" si="25"/>
        <v>6942</v>
      </c>
      <c r="J830" s="178">
        <f t="shared" si="26"/>
        <v>0</v>
      </c>
      <c r="K830" s="19"/>
    </row>
    <row r="831" spans="1:11" x14ac:dyDescent="0.25">
      <c r="A831" s="51">
        <v>42832</v>
      </c>
      <c r="B831" s="174" t="s">
        <v>12353</v>
      </c>
      <c r="C831" s="175"/>
      <c r="D831" s="176" t="s">
        <v>12353</v>
      </c>
      <c r="E831" s="176">
        <v>107265</v>
      </c>
      <c r="F831" s="177" t="s">
        <v>806</v>
      </c>
      <c r="G831" s="178">
        <v>5741.4</v>
      </c>
      <c r="H831" s="179">
        <v>42832</v>
      </c>
      <c r="I831" s="178">
        <f t="shared" si="25"/>
        <v>5741.4</v>
      </c>
      <c r="J831" s="178">
        <f t="shared" si="26"/>
        <v>0</v>
      </c>
      <c r="K831" s="19"/>
    </row>
    <row r="832" spans="1:11" x14ac:dyDescent="0.25">
      <c r="A832" s="51">
        <v>42832</v>
      </c>
      <c r="B832" s="174" t="s">
        <v>12354</v>
      </c>
      <c r="C832" s="175"/>
      <c r="D832" s="176" t="s">
        <v>12354</v>
      </c>
      <c r="E832" s="176">
        <v>107266</v>
      </c>
      <c r="F832" s="177" t="s">
        <v>165</v>
      </c>
      <c r="G832" s="178">
        <v>5859</v>
      </c>
      <c r="H832" s="179">
        <v>42846</v>
      </c>
      <c r="I832" s="178">
        <f t="shared" si="25"/>
        <v>5859</v>
      </c>
      <c r="J832" s="178">
        <f t="shared" si="26"/>
        <v>0</v>
      </c>
      <c r="K832" s="19"/>
    </row>
    <row r="833" spans="1:11" x14ac:dyDescent="0.25">
      <c r="A833" s="51">
        <v>42832</v>
      </c>
      <c r="B833" s="174" t="s">
        <v>12355</v>
      </c>
      <c r="C833" s="175"/>
      <c r="D833" s="176" t="s">
        <v>12355</v>
      </c>
      <c r="E833" s="176">
        <v>107267</v>
      </c>
      <c r="F833" s="177" t="s">
        <v>163</v>
      </c>
      <c r="G833" s="178">
        <v>20554.8</v>
      </c>
      <c r="H833" s="179">
        <v>42846</v>
      </c>
      <c r="I833" s="178">
        <f t="shared" si="25"/>
        <v>20554.8</v>
      </c>
      <c r="J833" s="178">
        <f t="shared" si="26"/>
        <v>0</v>
      </c>
      <c r="K833" s="19"/>
    </row>
    <row r="834" spans="1:11" x14ac:dyDescent="0.25">
      <c r="A834" s="51">
        <v>42832</v>
      </c>
      <c r="B834" s="174" t="s">
        <v>12356</v>
      </c>
      <c r="C834" s="175"/>
      <c r="D834" s="176" t="s">
        <v>12356</v>
      </c>
      <c r="E834" s="176">
        <v>107268</v>
      </c>
      <c r="F834" s="177" t="s">
        <v>172</v>
      </c>
      <c r="G834" s="178">
        <v>24188.7</v>
      </c>
      <c r="H834" s="179">
        <v>42846</v>
      </c>
      <c r="I834" s="178">
        <f t="shared" si="25"/>
        <v>24188.7</v>
      </c>
      <c r="J834" s="178">
        <f t="shared" si="26"/>
        <v>0</v>
      </c>
      <c r="K834" s="19"/>
    </row>
    <row r="835" spans="1:11" x14ac:dyDescent="0.25">
      <c r="A835" s="51">
        <v>42832</v>
      </c>
      <c r="B835" s="174" t="s">
        <v>12357</v>
      </c>
      <c r="C835" s="175"/>
      <c r="D835" s="176" t="s">
        <v>12357</v>
      </c>
      <c r="E835" s="176">
        <v>107269</v>
      </c>
      <c r="F835" s="177" t="s">
        <v>30</v>
      </c>
      <c r="G835" s="178">
        <v>453.6</v>
      </c>
      <c r="H835" s="179">
        <v>42832</v>
      </c>
      <c r="I835" s="178">
        <f t="shared" si="25"/>
        <v>453.6</v>
      </c>
      <c r="J835" s="178">
        <f t="shared" si="26"/>
        <v>0</v>
      </c>
      <c r="K835" s="19"/>
    </row>
    <row r="836" spans="1:11" x14ac:dyDescent="0.25">
      <c r="A836" s="51">
        <v>42832</v>
      </c>
      <c r="B836" s="174" t="s">
        <v>12358</v>
      </c>
      <c r="C836" s="175"/>
      <c r="D836" s="176" t="s">
        <v>12358</v>
      </c>
      <c r="E836" s="176">
        <v>107270</v>
      </c>
      <c r="F836" s="177" t="s">
        <v>122</v>
      </c>
      <c r="G836" s="178">
        <v>2793</v>
      </c>
      <c r="H836" s="179">
        <v>42837</v>
      </c>
      <c r="I836" s="178">
        <f t="shared" ref="I836:I898" si="27">G836</f>
        <v>2793</v>
      </c>
      <c r="J836" s="178">
        <f t="shared" ref="J836:J899" si="28">G836-I836</f>
        <v>0</v>
      </c>
      <c r="K836" s="19"/>
    </row>
    <row r="837" spans="1:11" x14ac:dyDescent="0.25">
      <c r="A837" s="51">
        <v>42832</v>
      </c>
      <c r="B837" s="174" t="s">
        <v>12359</v>
      </c>
      <c r="C837" s="175"/>
      <c r="D837" s="176" t="s">
        <v>12359</v>
      </c>
      <c r="E837" s="176">
        <v>107271</v>
      </c>
      <c r="F837" s="177" t="s">
        <v>6055</v>
      </c>
      <c r="G837" s="178">
        <v>6027</v>
      </c>
      <c r="H837" s="179">
        <v>42832</v>
      </c>
      <c r="I837" s="178">
        <f t="shared" si="27"/>
        <v>6027</v>
      </c>
      <c r="J837" s="178">
        <f t="shared" si="28"/>
        <v>0</v>
      </c>
      <c r="K837" s="19"/>
    </row>
    <row r="838" spans="1:11" x14ac:dyDescent="0.25">
      <c r="A838" s="51">
        <v>42832</v>
      </c>
      <c r="B838" s="174" t="s">
        <v>12360</v>
      </c>
      <c r="C838" s="175"/>
      <c r="D838" s="176" t="s">
        <v>12360</v>
      </c>
      <c r="E838" s="176">
        <v>107272</v>
      </c>
      <c r="F838" s="177" t="s">
        <v>57</v>
      </c>
      <c r="G838" s="178">
        <v>504</v>
      </c>
      <c r="H838" s="179">
        <v>42835</v>
      </c>
      <c r="I838" s="178">
        <f t="shared" si="27"/>
        <v>504</v>
      </c>
      <c r="J838" s="178">
        <f t="shared" si="28"/>
        <v>0</v>
      </c>
      <c r="K838" s="19"/>
    </row>
    <row r="839" spans="1:11" x14ac:dyDescent="0.25">
      <c r="A839" s="51">
        <v>42832</v>
      </c>
      <c r="B839" s="174" t="s">
        <v>12361</v>
      </c>
      <c r="C839" s="175"/>
      <c r="D839" s="176" t="s">
        <v>12361</v>
      </c>
      <c r="E839" s="176">
        <v>107273</v>
      </c>
      <c r="F839" s="177" t="s">
        <v>12</v>
      </c>
      <c r="G839" s="178">
        <v>1752</v>
      </c>
      <c r="H839" s="179">
        <v>42835</v>
      </c>
      <c r="I839" s="178">
        <f t="shared" si="27"/>
        <v>1752</v>
      </c>
      <c r="J839" s="178">
        <f t="shared" si="28"/>
        <v>0</v>
      </c>
      <c r="K839" s="19"/>
    </row>
    <row r="840" spans="1:11" x14ac:dyDescent="0.25">
      <c r="A840" s="51">
        <v>42832</v>
      </c>
      <c r="B840" s="174" t="s">
        <v>12362</v>
      </c>
      <c r="C840" s="175"/>
      <c r="D840" s="176" t="s">
        <v>12362</v>
      </c>
      <c r="E840" s="176">
        <v>107274</v>
      </c>
      <c r="F840" s="177" t="s">
        <v>193</v>
      </c>
      <c r="G840" s="178">
        <v>1640</v>
      </c>
      <c r="H840" s="179">
        <v>42835</v>
      </c>
      <c r="I840" s="178">
        <f t="shared" si="27"/>
        <v>1640</v>
      </c>
      <c r="J840" s="178">
        <f t="shared" si="28"/>
        <v>0</v>
      </c>
      <c r="K840" s="19"/>
    </row>
    <row r="841" spans="1:11" x14ac:dyDescent="0.25">
      <c r="A841" s="51">
        <v>42832</v>
      </c>
      <c r="B841" s="174" t="s">
        <v>12363</v>
      </c>
      <c r="C841" s="175"/>
      <c r="D841" s="176" t="s">
        <v>12363</v>
      </c>
      <c r="E841" s="176">
        <v>107275</v>
      </c>
      <c r="F841" s="177" t="s">
        <v>10</v>
      </c>
      <c r="G841" s="178">
        <v>62499.8</v>
      </c>
      <c r="H841" s="179">
        <v>42835</v>
      </c>
      <c r="I841" s="178">
        <f t="shared" si="27"/>
        <v>62499.8</v>
      </c>
      <c r="J841" s="178">
        <f t="shared" si="28"/>
        <v>0</v>
      </c>
      <c r="K841" s="19"/>
    </row>
    <row r="842" spans="1:11" x14ac:dyDescent="0.25">
      <c r="A842" s="51">
        <v>42832</v>
      </c>
      <c r="B842" s="174" t="s">
        <v>12364</v>
      </c>
      <c r="C842" s="175"/>
      <c r="D842" s="176" t="s">
        <v>12364</v>
      </c>
      <c r="E842" s="176">
        <v>107276</v>
      </c>
      <c r="F842" s="177" t="s">
        <v>367</v>
      </c>
      <c r="G842" s="178">
        <v>2100</v>
      </c>
      <c r="H842" s="179">
        <v>42832</v>
      </c>
      <c r="I842" s="178">
        <f t="shared" si="27"/>
        <v>2100</v>
      </c>
      <c r="J842" s="178">
        <f t="shared" si="28"/>
        <v>0</v>
      </c>
      <c r="K842" s="19"/>
    </row>
    <row r="843" spans="1:11" x14ac:dyDescent="0.25">
      <c r="A843" s="51">
        <v>42832</v>
      </c>
      <c r="B843" s="174" t="s">
        <v>12365</v>
      </c>
      <c r="C843" s="175"/>
      <c r="D843" s="176" t="s">
        <v>12365</v>
      </c>
      <c r="E843" s="176">
        <v>107277</v>
      </c>
      <c r="F843" s="177" t="s">
        <v>352</v>
      </c>
      <c r="G843" s="178">
        <v>1638</v>
      </c>
      <c r="H843" s="179">
        <v>42832</v>
      </c>
      <c r="I843" s="178">
        <f t="shared" si="27"/>
        <v>1638</v>
      </c>
      <c r="J843" s="178">
        <f t="shared" si="28"/>
        <v>0</v>
      </c>
      <c r="K843" s="19"/>
    </row>
    <row r="844" spans="1:11" x14ac:dyDescent="0.25">
      <c r="A844" s="51">
        <v>42832</v>
      </c>
      <c r="B844" s="174" t="s">
        <v>12366</v>
      </c>
      <c r="C844" s="175"/>
      <c r="D844" s="176" t="s">
        <v>12366</v>
      </c>
      <c r="E844" s="176">
        <v>107278</v>
      </c>
      <c r="F844" s="177" t="s">
        <v>422</v>
      </c>
      <c r="G844" s="178">
        <v>2659.2</v>
      </c>
      <c r="H844" s="179">
        <v>42832</v>
      </c>
      <c r="I844" s="178">
        <f t="shared" si="27"/>
        <v>2659.2</v>
      </c>
      <c r="J844" s="178">
        <f t="shared" si="28"/>
        <v>0</v>
      </c>
      <c r="K844" s="19"/>
    </row>
    <row r="845" spans="1:11" x14ac:dyDescent="0.25">
      <c r="A845" s="51">
        <v>42832</v>
      </c>
      <c r="B845" s="174" t="s">
        <v>12367</v>
      </c>
      <c r="C845" s="175"/>
      <c r="D845" s="176" t="s">
        <v>12367</v>
      </c>
      <c r="E845" s="176">
        <v>107279</v>
      </c>
      <c r="F845" s="177" t="s">
        <v>220</v>
      </c>
      <c r="G845" s="178">
        <v>3326.4</v>
      </c>
      <c r="H845" s="179">
        <v>42833</v>
      </c>
      <c r="I845" s="178">
        <f t="shared" si="27"/>
        <v>3326.4</v>
      </c>
      <c r="J845" s="178">
        <f t="shared" si="28"/>
        <v>0</v>
      </c>
      <c r="K845" s="19"/>
    </row>
    <row r="846" spans="1:11" x14ac:dyDescent="0.25">
      <c r="A846" s="51">
        <v>42832</v>
      </c>
      <c r="B846" s="174" t="s">
        <v>12368</v>
      </c>
      <c r="C846" s="175"/>
      <c r="D846" s="176" t="s">
        <v>12368</v>
      </c>
      <c r="E846" s="176">
        <v>107280</v>
      </c>
      <c r="F846" s="177" t="s">
        <v>205</v>
      </c>
      <c r="G846" s="178">
        <v>14246.4</v>
      </c>
      <c r="H846" s="179">
        <v>42833</v>
      </c>
      <c r="I846" s="178">
        <f t="shared" si="27"/>
        <v>14246.4</v>
      </c>
      <c r="J846" s="178">
        <f t="shared" si="28"/>
        <v>0</v>
      </c>
      <c r="K846" s="19"/>
    </row>
    <row r="847" spans="1:11" x14ac:dyDescent="0.25">
      <c r="A847" s="51">
        <v>42832</v>
      </c>
      <c r="B847" s="174" t="s">
        <v>12369</v>
      </c>
      <c r="C847" s="175"/>
      <c r="D847" s="176" t="s">
        <v>12369</v>
      </c>
      <c r="E847" s="176">
        <v>107281</v>
      </c>
      <c r="F847" s="177" t="s">
        <v>26</v>
      </c>
      <c r="G847" s="178">
        <v>5405.8</v>
      </c>
      <c r="H847" s="179">
        <v>42832</v>
      </c>
      <c r="I847" s="178">
        <f t="shared" si="27"/>
        <v>5405.8</v>
      </c>
      <c r="J847" s="178">
        <f t="shared" si="28"/>
        <v>0</v>
      </c>
      <c r="K847" s="19"/>
    </row>
    <row r="848" spans="1:11" x14ac:dyDescent="0.25">
      <c r="A848" s="51">
        <v>42832</v>
      </c>
      <c r="B848" s="174" t="s">
        <v>12370</v>
      </c>
      <c r="C848" s="175"/>
      <c r="D848" s="176" t="s">
        <v>12370</v>
      </c>
      <c r="E848" s="176">
        <v>107282</v>
      </c>
      <c r="F848" s="177" t="s">
        <v>379</v>
      </c>
      <c r="G848" s="178">
        <v>4944</v>
      </c>
      <c r="H848" s="179">
        <v>42838</v>
      </c>
      <c r="I848" s="178">
        <f t="shared" si="27"/>
        <v>4944</v>
      </c>
      <c r="J848" s="178">
        <f t="shared" si="28"/>
        <v>0</v>
      </c>
      <c r="K848" s="19"/>
    </row>
    <row r="849" spans="1:11" x14ac:dyDescent="0.25">
      <c r="A849" s="51">
        <v>42832</v>
      </c>
      <c r="B849" s="174" t="s">
        <v>12371</v>
      </c>
      <c r="C849" s="175"/>
      <c r="D849" s="176" t="s">
        <v>12371</v>
      </c>
      <c r="E849" s="176">
        <v>107283</v>
      </c>
      <c r="F849" s="177" t="s">
        <v>55</v>
      </c>
      <c r="G849" s="178">
        <v>5099</v>
      </c>
      <c r="H849" s="179">
        <v>42832</v>
      </c>
      <c r="I849" s="178">
        <f t="shared" si="27"/>
        <v>5099</v>
      </c>
      <c r="J849" s="178">
        <f t="shared" si="28"/>
        <v>0</v>
      </c>
      <c r="K849" s="19"/>
    </row>
    <row r="850" spans="1:11" x14ac:dyDescent="0.25">
      <c r="A850" s="51">
        <v>42832</v>
      </c>
      <c r="B850" s="174" t="s">
        <v>12372</v>
      </c>
      <c r="C850" s="175"/>
      <c r="D850" s="176" t="s">
        <v>12372</v>
      </c>
      <c r="E850" s="176">
        <v>107284</v>
      </c>
      <c r="F850" s="177" t="s">
        <v>930</v>
      </c>
      <c r="G850" s="178">
        <v>13765.15</v>
      </c>
      <c r="H850" s="179">
        <v>42832</v>
      </c>
      <c r="I850" s="178">
        <f t="shared" si="27"/>
        <v>13765.15</v>
      </c>
      <c r="J850" s="178">
        <f t="shared" si="28"/>
        <v>0</v>
      </c>
      <c r="K850" s="19"/>
    </row>
    <row r="851" spans="1:11" x14ac:dyDescent="0.25">
      <c r="A851" s="51">
        <v>42832</v>
      </c>
      <c r="B851" s="174" t="s">
        <v>12373</v>
      </c>
      <c r="C851" s="175"/>
      <c r="D851" s="176" t="s">
        <v>12373</v>
      </c>
      <c r="E851" s="176">
        <v>107285</v>
      </c>
      <c r="F851" s="177" t="s">
        <v>10</v>
      </c>
      <c r="G851" s="178">
        <v>47525.8</v>
      </c>
      <c r="H851" s="179">
        <v>42835</v>
      </c>
      <c r="I851" s="178">
        <f t="shared" si="27"/>
        <v>47525.8</v>
      </c>
      <c r="J851" s="178">
        <f t="shared" si="28"/>
        <v>0</v>
      </c>
      <c r="K851" s="19"/>
    </row>
    <row r="852" spans="1:11" x14ac:dyDescent="0.25">
      <c r="A852" s="51">
        <v>42832</v>
      </c>
      <c r="B852" s="174" t="s">
        <v>12374</v>
      </c>
      <c r="C852" s="175"/>
      <c r="D852" s="176" t="s">
        <v>12374</v>
      </c>
      <c r="E852" s="176">
        <v>107286</v>
      </c>
      <c r="F852" s="177" t="s">
        <v>10</v>
      </c>
      <c r="G852" s="178">
        <v>831.8</v>
      </c>
      <c r="H852" s="179">
        <v>42835</v>
      </c>
      <c r="I852" s="178">
        <f t="shared" si="27"/>
        <v>831.8</v>
      </c>
      <c r="J852" s="178">
        <f t="shared" si="28"/>
        <v>0</v>
      </c>
      <c r="K852" s="19"/>
    </row>
    <row r="853" spans="1:11" x14ac:dyDescent="0.25">
      <c r="A853" s="51">
        <v>42832</v>
      </c>
      <c r="B853" s="174" t="s">
        <v>12375</v>
      </c>
      <c r="C853" s="175"/>
      <c r="D853" s="176" t="s">
        <v>12375</v>
      </c>
      <c r="E853" s="176">
        <v>107287</v>
      </c>
      <c r="F853" s="177" t="s">
        <v>472</v>
      </c>
      <c r="G853" s="178">
        <v>6177.6</v>
      </c>
      <c r="H853" s="179">
        <v>42837</v>
      </c>
      <c r="I853" s="178">
        <f t="shared" si="27"/>
        <v>6177.6</v>
      </c>
      <c r="J853" s="178">
        <f t="shared" si="28"/>
        <v>0</v>
      </c>
      <c r="K853" s="19"/>
    </row>
    <row r="854" spans="1:11" x14ac:dyDescent="0.25">
      <c r="A854" s="51">
        <v>42832</v>
      </c>
      <c r="B854" s="174" t="s">
        <v>12376</v>
      </c>
      <c r="C854" s="175"/>
      <c r="D854" s="176" t="s">
        <v>12376</v>
      </c>
      <c r="E854" s="176">
        <v>107288</v>
      </c>
      <c r="F854" s="177" t="s">
        <v>205</v>
      </c>
      <c r="G854" s="178">
        <v>41190.699999999997</v>
      </c>
      <c r="H854" s="179">
        <v>42833</v>
      </c>
      <c r="I854" s="178">
        <f t="shared" si="27"/>
        <v>41190.699999999997</v>
      </c>
      <c r="J854" s="178">
        <f t="shared" si="28"/>
        <v>0</v>
      </c>
      <c r="K854" s="19"/>
    </row>
    <row r="855" spans="1:11" x14ac:dyDescent="0.25">
      <c r="A855" s="51">
        <v>42832</v>
      </c>
      <c r="B855" s="174" t="s">
        <v>12377</v>
      </c>
      <c r="C855" s="175"/>
      <c r="D855" s="176" t="s">
        <v>12377</v>
      </c>
      <c r="E855" s="176">
        <v>107289</v>
      </c>
      <c r="F855" s="177" t="s">
        <v>10</v>
      </c>
      <c r="G855" s="178">
        <v>590.20000000000005</v>
      </c>
      <c r="H855" s="179">
        <v>42835</v>
      </c>
      <c r="I855" s="178">
        <f t="shared" si="27"/>
        <v>590.20000000000005</v>
      </c>
      <c r="J855" s="178">
        <f t="shared" si="28"/>
        <v>0</v>
      </c>
      <c r="K855" s="19"/>
    </row>
    <row r="856" spans="1:11" x14ac:dyDescent="0.25">
      <c r="A856" s="51">
        <v>42832</v>
      </c>
      <c r="B856" s="174" t="s">
        <v>12378</v>
      </c>
      <c r="C856" s="175"/>
      <c r="D856" s="176" t="s">
        <v>12378</v>
      </c>
      <c r="E856" s="176">
        <v>107290</v>
      </c>
      <c r="F856" s="177" t="s">
        <v>211</v>
      </c>
      <c r="G856" s="178">
        <v>8553.6</v>
      </c>
      <c r="H856" s="179">
        <v>42832</v>
      </c>
      <c r="I856" s="178">
        <f t="shared" si="27"/>
        <v>8553.6</v>
      </c>
      <c r="J856" s="178">
        <f t="shared" si="28"/>
        <v>0</v>
      </c>
      <c r="K856" s="19"/>
    </row>
    <row r="857" spans="1:11" x14ac:dyDescent="0.25">
      <c r="A857" s="51">
        <v>42832</v>
      </c>
      <c r="B857" s="174" t="s">
        <v>12379</v>
      </c>
      <c r="C857" s="175"/>
      <c r="D857" s="176" t="s">
        <v>12379</v>
      </c>
      <c r="E857" s="176">
        <v>107291</v>
      </c>
      <c r="F857" s="177" t="s">
        <v>921</v>
      </c>
      <c r="G857" s="178">
        <v>4546.5</v>
      </c>
      <c r="H857" s="179">
        <v>42832</v>
      </c>
      <c r="I857" s="178">
        <f t="shared" si="27"/>
        <v>4546.5</v>
      </c>
      <c r="J857" s="178">
        <f t="shared" si="28"/>
        <v>0</v>
      </c>
      <c r="K857" s="19"/>
    </row>
    <row r="858" spans="1:11" x14ac:dyDescent="0.25">
      <c r="A858" s="51">
        <v>42832</v>
      </c>
      <c r="B858" s="174" t="s">
        <v>12380</v>
      </c>
      <c r="C858" s="175"/>
      <c r="D858" s="176" t="s">
        <v>12380</v>
      </c>
      <c r="E858" s="176">
        <v>107292</v>
      </c>
      <c r="F858" s="177" t="s">
        <v>21</v>
      </c>
      <c r="G858" s="178">
        <v>39039</v>
      </c>
      <c r="H858" s="179">
        <v>42844</v>
      </c>
      <c r="I858" s="178">
        <f t="shared" si="27"/>
        <v>39039</v>
      </c>
      <c r="J858" s="178">
        <f t="shared" si="28"/>
        <v>0</v>
      </c>
      <c r="K858" s="19"/>
    </row>
    <row r="859" spans="1:11" x14ac:dyDescent="0.25">
      <c r="A859" s="51">
        <v>42832</v>
      </c>
      <c r="B859" s="174" t="s">
        <v>12381</v>
      </c>
      <c r="C859" s="175"/>
      <c r="D859" s="176" t="s">
        <v>12381</v>
      </c>
      <c r="E859" s="176">
        <v>107293</v>
      </c>
      <c r="F859" s="177" t="s">
        <v>21</v>
      </c>
      <c r="G859" s="178">
        <v>868</v>
      </c>
      <c r="H859" s="179">
        <v>42844</v>
      </c>
      <c r="I859" s="178">
        <f t="shared" si="27"/>
        <v>868</v>
      </c>
      <c r="J859" s="178">
        <f t="shared" si="28"/>
        <v>0</v>
      </c>
      <c r="K859" s="19"/>
    </row>
    <row r="860" spans="1:11" x14ac:dyDescent="0.25">
      <c r="A860" s="51">
        <v>42832</v>
      </c>
      <c r="B860" s="174" t="s">
        <v>12382</v>
      </c>
      <c r="C860" s="175"/>
      <c r="D860" s="176" t="s">
        <v>12382</v>
      </c>
      <c r="E860" s="176">
        <v>107294</v>
      </c>
      <c r="F860" s="177" t="s">
        <v>354</v>
      </c>
      <c r="G860" s="178">
        <v>2525.6999999999998</v>
      </c>
      <c r="H860" s="179">
        <v>42833</v>
      </c>
      <c r="I860" s="178">
        <f t="shared" si="27"/>
        <v>2525.6999999999998</v>
      </c>
      <c r="J860" s="178">
        <f t="shared" si="28"/>
        <v>0</v>
      </c>
      <c r="K860" s="19"/>
    </row>
    <row r="861" spans="1:11" x14ac:dyDescent="0.25">
      <c r="A861" s="51">
        <v>42833</v>
      </c>
      <c r="B861" s="174" t="s">
        <v>12383</v>
      </c>
      <c r="C861" s="175"/>
      <c r="D861" s="176" t="s">
        <v>12383</v>
      </c>
      <c r="E861" s="176">
        <v>107295</v>
      </c>
      <c r="F861" s="177" t="s">
        <v>17</v>
      </c>
      <c r="G861" s="178">
        <v>4830</v>
      </c>
      <c r="H861" s="179">
        <v>42833</v>
      </c>
      <c r="I861" s="178">
        <f t="shared" si="27"/>
        <v>4830</v>
      </c>
      <c r="J861" s="178">
        <f t="shared" si="28"/>
        <v>0</v>
      </c>
      <c r="K861" s="19"/>
    </row>
    <row r="862" spans="1:11" x14ac:dyDescent="0.25">
      <c r="A862" s="51">
        <v>42833</v>
      </c>
      <c r="B862" s="174" t="s">
        <v>12384</v>
      </c>
      <c r="C862" s="175"/>
      <c r="D862" s="176" t="s">
        <v>12384</v>
      </c>
      <c r="E862" s="176">
        <v>107296</v>
      </c>
      <c r="F862" s="177" t="s">
        <v>231</v>
      </c>
      <c r="G862" s="178">
        <v>12142.1</v>
      </c>
      <c r="H862" s="179">
        <v>42834</v>
      </c>
      <c r="I862" s="178">
        <f t="shared" si="27"/>
        <v>12142.1</v>
      </c>
      <c r="J862" s="178">
        <f t="shared" si="28"/>
        <v>0</v>
      </c>
      <c r="K862" s="19"/>
    </row>
    <row r="863" spans="1:11" x14ac:dyDescent="0.25">
      <c r="A863" s="51">
        <v>42833</v>
      </c>
      <c r="B863" s="174" t="s">
        <v>12385</v>
      </c>
      <c r="C863" s="175"/>
      <c r="D863" s="176" t="s">
        <v>12385</v>
      </c>
      <c r="E863" s="176">
        <v>107297</v>
      </c>
      <c r="F863" s="177" t="s">
        <v>374</v>
      </c>
      <c r="G863" s="178">
        <v>3011.6</v>
      </c>
      <c r="H863" s="179">
        <v>42833</v>
      </c>
      <c r="I863" s="178">
        <f t="shared" si="27"/>
        <v>3011.6</v>
      </c>
      <c r="J863" s="178">
        <f t="shared" si="28"/>
        <v>0</v>
      </c>
      <c r="K863" s="19"/>
    </row>
    <row r="864" spans="1:11" x14ac:dyDescent="0.25">
      <c r="A864" s="51">
        <v>42833</v>
      </c>
      <c r="B864" s="174" t="s">
        <v>12386</v>
      </c>
      <c r="C864" s="175"/>
      <c r="D864" s="176" t="s">
        <v>12386</v>
      </c>
      <c r="E864" s="176">
        <v>107298</v>
      </c>
      <c r="F864" s="177" t="s">
        <v>231</v>
      </c>
      <c r="G864" s="178">
        <v>41853.800000000003</v>
      </c>
      <c r="H864" s="179">
        <v>42834</v>
      </c>
      <c r="I864" s="178">
        <f t="shared" si="27"/>
        <v>41853.800000000003</v>
      </c>
      <c r="J864" s="178">
        <f t="shared" si="28"/>
        <v>0</v>
      </c>
      <c r="K864" s="19"/>
    </row>
    <row r="865" spans="1:11" x14ac:dyDescent="0.25">
      <c r="A865" s="51">
        <v>42833</v>
      </c>
      <c r="B865" s="174" t="s">
        <v>12387</v>
      </c>
      <c r="C865" s="175"/>
      <c r="D865" s="176" t="s">
        <v>12387</v>
      </c>
      <c r="E865" s="176">
        <v>107299</v>
      </c>
      <c r="F865" s="182" t="s">
        <v>205</v>
      </c>
      <c r="G865" s="183">
        <v>0</v>
      </c>
      <c r="H865" s="184" t="s">
        <v>95</v>
      </c>
      <c r="I865" s="183">
        <f t="shared" si="27"/>
        <v>0</v>
      </c>
      <c r="J865" s="183">
        <f t="shared" si="28"/>
        <v>0</v>
      </c>
      <c r="K865" s="19"/>
    </row>
    <row r="866" spans="1:11" x14ac:dyDescent="0.25">
      <c r="A866" s="51">
        <v>42833</v>
      </c>
      <c r="B866" s="174" t="s">
        <v>12388</v>
      </c>
      <c r="C866" s="175"/>
      <c r="D866" s="176" t="s">
        <v>12388</v>
      </c>
      <c r="E866" s="176">
        <v>107300</v>
      </c>
      <c r="F866" s="177" t="s">
        <v>205</v>
      </c>
      <c r="G866" s="178">
        <v>31432</v>
      </c>
      <c r="H866" s="179">
        <v>42834</v>
      </c>
      <c r="I866" s="178">
        <f t="shared" si="27"/>
        <v>31432</v>
      </c>
      <c r="J866" s="178">
        <f t="shared" si="28"/>
        <v>0</v>
      </c>
      <c r="K866" s="19"/>
    </row>
    <row r="867" spans="1:11" x14ac:dyDescent="0.25">
      <c r="A867" s="51">
        <v>42833</v>
      </c>
      <c r="B867" s="174" t="s">
        <v>12389</v>
      </c>
      <c r="C867" s="175"/>
      <c r="D867" s="176" t="s">
        <v>12389</v>
      </c>
      <c r="E867" s="176">
        <v>107301</v>
      </c>
      <c r="F867" s="177" t="s">
        <v>55</v>
      </c>
      <c r="G867" s="178">
        <v>30920.2</v>
      </c>
      <c r="H867" s="180">
        <v>42833</v>
      </c>
      <c r="I867" s="181">
        <f>5600+25320.2</f>
        <v>30920.2</v>
      </c>
      <c r="J867" s="181">
        <f t="shared" si="28"/>
        <v>0</v>
      </c>
      <c r="K867" s="19"/>
    </row>
    <row r="868" spans="1:11" x14ac:dyDescent="0.25">
      <c r="A868" s="51">
        <v>42833</v>
      </c>
      <c r="B868" s="174" t="s">
        <v>12390</v>
      </c>
      <c r="C868" s="175"/>
      <c r="D868" s="176" t="s">
        <v>12390</v>
      </c>
      <c r="E868" s="176">
        <v>107302</v>
      </c>
      <c r="F868" s="177" t="s">
        <v>205</v>
      </c>
      <c r="G868" s="178">
        <v>4256</v>
      </c>
      <c r="H868" s="179">
        <v>42833</v>
      </c>
      <c r="I868" s="178">
        <f t="shared" si="27"/>
        <v>4256</v>
      </c>
      <c r="J868" s="178">
        <f t="shared" si="28"/>
        <v>0</v>
      </c>
      <c r="K868" s="19"/>
    </row>
    <row r="869" spans="1:11" x14ac:dyDescent="0.25">
      <c r="A869" s="51">
        <v>42833</v>
      </c>
      <c r="B869" s="174" t="s">
        <v>12391</v>
      </c>
      <c r="C869" s="175"/>
      <c r="D869" s="176" t="s">
        <v>12391</v>
      </c>
      <c r="E869" s="176">
        <v>107303</v>
      </c>
      <c r="F869" s="177" t="s">
        <v>1786</v>
      </c>
      <c r="G869" s="178">
        <v>6336</v>
      </c>
      <c r="H869" s="179">
        <v>42833</v>
      </c>
      <c r="I869" s="178">
        <f t="shared" si="27"/>
        <v>6336</v>
      </c>
      <c r="J869" s="178">
        <f t="shared" si="28"/>
        <v>0</v>
      </c>
      <c r="K869" s="19"/>
    </row>
    <row r="870" spans="1:11" x14ac:dyDescent="0.25">
      <c r="A870" s="51">
        <v>42833</v>
      </c>
      <c r="B870" s="174" t="s">
        <v>12392</v>
      </c>
      <c r="C870" s="175"/>
      <c r="D870" s="176" t="s">
        <v>12392</v>
      </c>
      <c r="E870" s="176">
        <v>107304</v>
      </c>
      <c r="F870" s="177" t="s">
        <v>26</v>
      </c>
      <c r="G870" s="178">
        <v>29591.8</v>
      </c>
      <c r="H870" s="179">
        <v>42833</v>
      </c>
      <c r="I870" s="178">
        <f t="shared" si="27"/>
        <v>29591.8</v>
      </c>
      <c r="J870" s="178">
        <f t="shared" si="28"/>
        <v>0</v>
      </c>
      <c r="K870" s="19"/>
    </row>
    <row r="871" spans="1:11" x14ac:dyDescent="0.25">
      <c r="A871" s="51">
        <v>42833</v>
      </c>
      <c r="B871" s="174" t="s">
        <v>12393</v>
      </c>
      <c r="C871" s="175"/>
      <c r="D871" s="176" t="s">
        <v>12393</v>
      </c>
      <c r="E871" s="176">
        <v>107305</v>
      </c>
      <c r="F871" s="177" t="s">
        <v>236</v>
      </c>
      <c r="G871" s="178">
        <v>36670.769999999997</v>
      </c>
      <c r="H871" s="179">
        <v>42838</v>
      </c>
      <c r="I871" s="178">
        <f t="shared" si="27"/>
        <v>36670.769999999997</v>
      </c>
      <c r="J871" s="178">
        <f t="shared" si="28"/>
        <v>0</v>
      </c>
      <c r="K871" s="19"/>
    </row>
    <row r="872" spans="1:11" x14ac:dyDescent="0.25">
      <c r="A872" s="51">
        <v>42833</v>
      </c>
      <c r="B872" s="174" t="s">
        <v>12394</v>
      </c>
      <c r="C872" s="175"/>
      <c r="D872" s="176" t="s">
        <v>12394</v>
      </c>
      <c r="E872" s="176">
        <v>107306</v>
      </c>
      <c r="F872" s="177" t="s">
        <v>35</v>
      </c>
      <c r="G872" s="178">
        <v>28609.8</v>
      </c>
      <c r="H872" s="179">
        <v>42837</v>
      </c>
      <c r="I872" s="178">
        <f t="shared" si="27"/>
        <v>28609.8</v>
      </c>
      <c r="J872" s="178">
        <f t="shared" si="28"/>
        <v>0</v>
      </c>
      <c r="K872" s="19"/>
    </row>
    <row r="873" spans="1:11" x14ac:dyDescent="0.25">
      <c r="A873" s="51">
        <v>42833</v>
      </c>
      <c r="B873" s="174" t="s">
        <v>12395</v>
      </c>
      <c r="C873" s="175"/>
      <c r="D873" s="176" t="s">
        <v>12395</v>
      </c>
      <c r="E873" s="176">
        <v>107307</v>
      </c>
      <c r="F873" s="177" t="s">
        <v>19</v>
      </c>
      <c r="G873" s="178">
        <v>1050</v>
      </c>
      <c r="H873" s="179">
        <v>42833</v>
      </c>
      <c r="I873" s="178">
        <f t="shared" si="27"/>
        <v>1050</v>
      </c>
      <c r="J873" s="178">
        <f t="shared" si="28"/>
        <v>0</v>
      </c>
      <c r="K873" s="19"/>
    </row>
    <row r="874" spans="1:11" x14ac:dyDescent="0.25">
      <c r="A874" s="51">
        <v>42833</v>
      </c>
      <c r="B874" s="174" t="s">
        <v>12396</v>
      </c>
      <c r="C874" s="175"/>
      <c r="D874" s="176" t="s">
        <v>12396</v>
      </c>
      <c r="E874" s="176">
        <v>107308</v>
      </c>
      <c r="F874" s="177" t="s">
        <v>30</v>
      </c>
      <c r="G874" s="178">
        <v>3306.7</v>
      </c>
      <c r="H874" s="179">
        <v>42833</v>
      </c>
      <c r="I874" s="178">
        <f t="shared" si="27"/>
        <v>3306.7</v>
      </c>
      <c r="J874" s="178">
        <f t="shared" si="28"/>
        <v>0</v>
      </c>
      <c r="K874" s="19"/>
    </row>
    <row r="875" spans="1:11" x14ac:dyDescent="0.25">
      <c r="A875" s="51">
        <v>42833</v>
      </c>
      <c r="B875" s="174" t="s">
        <v>12397</v>
      </c>
      <c r="C875" s="175"/>
      <c r="D875" s="176" t="s">
        <v>12397</v>
      </c>
      <c r="E875" s="176">
        <v>107309</v>
      </c>
      <c r="F875" s="177" t="s">
        <v>386</v>
      </c>
      <c r="G875" s="178">
        <v>4151.3999999999996</v>
      </c>
      <c r="H875" s="179">
        <v>42833</v>
      </c>
      <c r="I875" s="178">
        <f t="shared" si="27"/>
        <v>4151.3999999999996</v>
      </c>
      <c r="J875" s="178">
        <f t="shared" si="28"/>
        <v>0</v>
      </c>
      <c r="K875" s="19"/>
    </row>
    <row r="876" spans="1:11" x14ac:dyDescent="0.25">
      <c r="A876" s="51">
        <v>42833</v>
      </c>
      <c r="B876" s="174" t="s">
        <v>12398</v>
      </c>
      <c r="C876" s="175"/>
      <c r="D876" s="176" t="s">
        <v>12398</v>
      </c>
      <c r="E876" s="176">
        <v>107310</v>
      </c>
      <c r="F876" s="177" t="s">
        <v>32</v>
      </c>
      <c r="G876" s="178">
        <v>12120.6</v>
      </c>
      <c r="H876" s="179">
        <v>42840</v>
      </c>
      <c r="I876" s="178">
        <f t="shared" si="27"/>
        <v>12120.6</v>
      </c>
      <c r="J876" s="178">
        <f t="shared" si="28"/>
        <v>0</v>
      </c>
      <c r="K876" s="19"/>
    </row>
    <row r="877" spans="1:11" x14ac:dyDescent="0.25">
      <c r="A877" s="51">
        <v>42833</v>
      </c>
      <c r="B877" s="174" t="s">
        <v>12399</v>
      </c>
      <c r="C877" s="175"/>
      <c r="D877" s="176" t="s">
        <v>12399</v>
      </c>
      <c r="E877" s="176">
        <v>107311</v>
      </c>
      <c r="F877" s="177" t="s">
        <v>609</v>
      </c>
      <c r="G877" s="178">
        <v>33255.1</v>
      </c>
      <c r="H877" s="179">
        <v>42835</v>
      </c>
      <c r="I877" s="178">
        <f t="shared" si="27"/>
        <v>33255.1</v>
      </c>
      <c r="J877" s="178">
        <f t="shared" si="28"/>
        <v>0</v>
      </c>
      <c r="K877" s="19"/>
    </row>
    <row r="878" spans="1:11" x14ac:dyDescent="0.25">
      <c r="A878" s="51">
        <v>42833</v>
      </c>
      <c r="B878" s="174" t="s">
        <v>12400</v>
      </c>
      <c r="C878" s="175"/>
      <c r="D878" s="176" t="s">
        <v>12400</v>
      </c>
      <c r="E878" s="176">
        <v>107312</v>
      </c>
      <c r="F878" s="177" t="s">
        <v>71</v>
      </c>
      <c r="G878" s="178">
        <v>4032</v>
      </c>
      <c r="H878" s="179">
        <v>42833</v>
      </c>
      <c r="I878" s="178">
        <f t="shared" si="27"/>
        <v>4032</v>
      </c>
      <c r="J878" s="178">
        <f t="shared" si="28"/>
        <v>0</v>
      </c>
      <c r="K878" s="19"/>
    </row>
    <row r="879" spans="1:11" x14ac:dyDescent="0.25">
      <c r="A879" s="51">
        <v>42833</v>
      </c>
      <c r="B879" s="174" t="s">
        <v>12401</v>
      </c>
      <c r="C879" s="175"/>
      <c r="D879" s="176" t="s">
        <v>12401</v>
      </c>
      <c r="E879" s="176">
        <v>107313</v>
      </c>
      <c r="F879" s="177" t="s">
        <v>712</v>
      </c>
      <c r="G879" s="178">
        <v>11088.8</v>
      </c>
      <c r="H879" s="179">
        <v>42833</v>
      </c>
      <c r="I879" s="178">
        <f t="shared" si="27"/>
        <v>11088.8</v>
      </c>
      <c r="J879" s="178">
        <f t="shared" si="28"/>
        <v>0</v>
      </c>
      <c r="K879" s="19"/>
    </row>
    <row r="880" spans="1:11" x14ac:dyDescent="0.25">
      <c r="A880" s="51">
        <v>42833</v>
      </c>
      <c r="B880" s="174" t="s">
        <v>12402</v>
      </c>
      <c r="C880" s="175"/>
      <c r="D880" s="176" t="s">
        <v>12402</v>
      </c>
      <c r="E880" s="176">
        <v>107314</v>
      </c>
      <c r="F880" s="177" t="s">
        <v>222</v>
      </c>
      <c r="G880" s="178">
        <v>28929.9</v>
      </c>
      <c r="H880" s="179">
        <v>42837</v>
      </c>
      <c r="I880" s="178">
        <f t="shared" si="27"/>
        <v>28929.9</v>
      </c>
      <c r="J880" s="178">
        <f t="shared" si="28"/>
        <v>0</v>
      </c>
      <c r="K880" s="19"/>
    </row>
    <row r="881" spans="1:11" x14ac:dyDescent="0.25">
      <c r="A881" s="51">
        <v>42833</v>
      </c>
      <c r="B881" s="174" t="s">
        <v>12403</v>
      </c>
      <c r="C881" s="175"/>
      <c r="D881" s="176" t="s">
        <v>12403</v>
      </c>
      <c r="E881" s="176">
        <v>107315</v>
      </c>
      <c r="F881" s="189" t="s">
        <v>222</v>
      </c>
      <c r="G881" s="190">
        <v>0</v>
      </c>
      <c r="H881" s="191" t="s">
        <v>95</v>
      </c>
      <c r="I881" s="190">
        <f t="shared" si="27"/>
        <v>0</v>
      </c>
      <c r="J881" s="190">
        <f t="shared" si="28"/>
        <v>0</v>
      </c>
      <c r="K881" s="19"/>
    </row>
    <row r="882" spans="1:11" x14ac:dyDescent="0.25">
      <c r="A882" s="51">
        <v>42833</v>
      </c>
      <c r="B882" s="174" t="s">
        <v>12404</v>
      </c>
      <c r="C882" s="175"/>
      <c r="D882" s="176" t="s">
        <v>12404</v>
      </c>
      <c r="E882" s="176">
        <v>107316</v>
      </c>
      <c r="F882" s="177" t="s">
        <v>205</v>
      </c>
      <c r="G882" s="178">
        <v>28385.7</v>
      </c>
      <c r="H882" s="179">
        <v>42833</v>
      </c>
      <c r="I882" s="178">
        <f t="shared" si="27"/>
        <v>28385.7</v>
      </c>
      <c r="J882" s="178">
        <f t="shared" si="28"/>
        <v>0</v>
      </c>
      <c r="K882" s="19"/>
    </row>
    <row r="883" spans="1:11" x14ac:dyDescent="0.25">
      <c r="A883" s="51">
        <v>42833</v>
      </c>
      <c r="B883" s="174" t="s">
        <v>12405</v>
      </c>
      <c r="C883" s="175"/>
      <c r="D883" s="176" t="s">
        <v>12405</v>
      </c>
      <c r="E883" s="176">
        <v>107317</v>
      </c>
      <c r="F883" s="177" t="s">
        <v>8294</v>
      </c>
      <c r="G883" s="178">
        <v>3369.3</v>
      </c>
      <c r="H883" s="179">
        <v>42833</v>
      </c>
      <c r="I883" s="178">
        <f t="shared" si="27"/>
        <v>3369.3</v>
      </c>
      <c r="J883" s="178">
        <f t="shared" si="28"/>
        <v>0</v>
      </c>
      <c r="K883" s="19"/>
    </row>
    <row r="884" spans="1:11" x14ac:dyDescent="0.25">
      <c r="A884" s="51">
        <v>42833</v>
      </c>
      <c r="B884" s="174" t="s">
        <v>12406</v>
      </c>
      <c r="C884" s="175"/>
      <c r="D884" s="176" t="s">
        <v>12406</v>
      </c>
      <c r="E884" s="176">
        <v>107318</v>
      </c>
      <c r="F884" s="177" t="s">
        <v>222</v>
      </c>
      <c r="G884" s="178">
        <v>28099.8</v>
      </c>
      <c r="H884" s="179">
        <v>42837</v>
      </c>
      <c r="I884" s="178">
        <f t="shared" si="27"/>
        <v>28099.8</v>
      </c>
      <c r="J884" s="178">
        <f t="shared" si="28"/>
        <v>0</v>
      </c>
      <c r="K884" s="19"/>
    </row>
    <row r="885" spans="1:11" x14ac:dyDescent="0.25">
      <c r="A885" s="51">
        <v>42833</v>
      </c>
      <c r="B885" s="174" t="s">
        <v>12407</v>
      </c>
      <c r="C885" s="175"/>
      <c r="D885" s="176" t="s">
        <v>12407</v>
      </c>
      <c r="E885" s="176">
        <v>107319</v>
      </c>
      <c r="F885" s="177" t="s">
        <v>236</v>
      </c>
      <c r="G885" s="178">
        <v>30020.71</v>
      </c>
      <c r="H885" s="179">
        <v>42838</v>
      </c>
      <c r="I885" s="178">
        <f t="shared" si="27"/>
        <v>30020.71</v>
      </c>
      <c r="J885" s="178">
        <f t="shared" si="28"/>
        <v>0</v>
      </c>
      <c r="K885" s="19"/>
    </row>
    <row r="886" spans="1:11" x14ac:dyDescent="0.25">
      <c r="A886" s="51">
        <v>42833</v>
      </c>
      <c r="B886" s="174" t="s">
        <v>12408</v>
      </c>
      <c r="C886" s="175"/>
      <c r="D886" s="176" t="s">
        <v>12408</v>
      </c>
      <c r="E886" s="176">
        <v>107320</v>
      </c>
      <c r="F886" s="177" t="s">
        <v>43</v>
      </c>
      <c r="G886" s="178">
        <v>10904.9</v>
      </c>
      <c r="H886" s="179">
        <v>42836</v>
      </c>
      <c r="I886" s="178">
        <f t="shared" si="27"/>
        <v>10904.9</v>
      </c>
      <c r="J886" s="178">
        <f t="shared" si="28"/>
        <v>0</v>
      </c>
      <c r="K886" s="19"/>
    </row>
    <row r="887" spans="1:11" x14ac:dyDescent="0.25">
      <c r="A887" s="51">
        <v>42833</v>
      </c>
      <c r="B887" s="174" t="s">
        <v>12409</v>
      </c>
      <c r="C887" s="175"/>
      <c r="D887" s="176" t="s">
        <v>12409</v>
      </c>
      <c r="E887" s="176">
        <v>107321</v>
      </c>
      <c r="F887" s="177" t="s">
        <v>43</v>
      </c>
      <c r="G887" s="178">
        <v>770</v>
      </c>
      <c r="H887" s="179">
        <v>42836</v>
      </c>
      <c r="I887" s="178">
        <f t="shared" si="27"/>
        <v>770</v>
      </c>
      <c r="J887" s="178">
        <f t="shared" si="28"/>
        <v>0</v>
      </c>
      <c r="K887" s="19"/>
    </row>
    <row r="888" spans="1:11" x14ac:dyDescent="0.25">
      <c r="A888" s="51">
        <v>42833</v>
      </c>
      <c r="B888" s="174" t="s">
        <v>12410</v>
      </c>
      <c r="C888" s="175"/>
      <c r="D888" s="176" t="s">
        <v>12410</v>
      </c>
      <c r="E888" s="176">
        <v>107322</v>
      </c>
      <c r="F888" s="177" t="s">
        <v>3425</v>
      </c>
      <c r="G888" s="178">
        <v>1764</v>
      </c>
      <c r="H888" s="179">
        <v>42833</v>
      </c>
      <c r="I888" s="178">
        <f t="shared" si="27"/>
        <v>1764</v>
      </c>
      <c r="J888" s="178">
        <f t="shared" si="28"/>
        <v>0</v>
      </c>
      <c r="K888" s="19"/>
    </row>
    <row r="889" spans="1:11" x14ac:dyDescent="0.25">
      <c r="A889" s="51">
        <v>42833</v>
      </c>
      <c r="B889" s="174" t="s">
        <v>12411</v>
      </c>
      <c r="C889" s="175"/>
      <c r="D889" s="176" t="s">
        <v>12411</v>
      </c>
      <c r="E889" s="176">
        <v>107323</v>
      </c>
      <c r="F889" s="177" t="s">
        <v>30</v>
      </c>
      <c r="G889" s="178">
        <v>5303.8</v>
      </c>
      <c r="H889" s="179">
        <v>42833</v>
      </c>
      <c r="I889" s="178">
        <f t="shared" si="27"/>
        <v>5303.8</v>
      </c>
      <c r="J889" s="178">
        <f t="shared" si="28"/>
        <v>0</v>
      </c>
      <c r="K889" s="19"/>
    </row>
    <row r="890" spans="1:11" x14ac:dyDescent="0.25">
      <c r="A890" s="51">
        <v>42833</v>
      </c>
      <c r="B890" s="174" t="s">
        <v>12412</v>
      </c>
      <c r="C890" s="175"/>
      <c r="D890" s="176" t="s">
        <v>12412</v>
      </c>
      <c r="E890" s="176">
        <v>107324</v>
      </c>
      <c r="F890" s="177" t="s">
        <v>135</v>
      </c>
      <c r="G890" s="178">
        <v>639.20000000000005</v>
      </c>
      <c r="H890" s="179">
        <v>42833</v>
      </c>
      <c r="I890" s="178">
        <f t="shared" si="27"/>
        <v>639.20000000000005</v>
      </c>
      <c r="J890" s="178">
        <f t="shared" si="28"/>
        <v>0</v>
      </c>
      <c r="K890" s="19"/>
    </row>
    <row r="891" spans="1:11" x14ac:dyDescent="0.25">
      <c r="A891" s="51">
        <v>42833</v>
      </c>
      <c r="B891" s="174" t="s">
        <v>12413</v>
      </c>
      <c r="C891" s="175"/>
      <c r="D891" s="176" t="s">
        <v>12413</v>
      </c>
      <c r="E891" s="176">
        <v>107325</v>
      </c>
      <c r="F891" s="177" t="s">
        <v>49</v>
      </c>
      <c r="G891" s="178">
        <v>23571.9</v>
      </c>
      <c r="H891" s="179">
        <v>42836</v>
      </c>
      <c r="I891" s="178">
        <f t="shared" si="27"/>
        <v>23571.9</v>
      </c>
      <c r="J891" s="178">
        <f t="shared" si="28"/>
        <v>0</v>
      </c>
      <c r="K891" s="19"/>
    </row>
    <row r="892" spans="1:11" x14ac:dyDescent="0.25">
      <c r="A892" s="51">
        <v>42833</v>
      </c>
      <c r="B892" s="174" t="s">
        <v>12414</v>
      </c>
      <c r="C892" s="175"/>
      <c r="D892" s="176" t="s">
        <v>12414</v>
      </c>
      <c r="E892" s="176">
        <v>107326</v>
      </c>
      <c r="F892" s="177" t="s">
        <v>28</v>
      </c>
      <c r="G892" s="178">
        <v>12281.6</v>
      </c>
      <c r="H892" s="179">
        <v>42834</v>
      </c>
      <c r="I892" s="178">
        <f t="shared" si="27"/>
        <v>12281.6</v>
      </c>
      <c r="J892" s="178">
        <f t="shared" si="28"/>
        <v>0</v>
      </c>
      <c r="K892" s="19"/>
    </row>
    <row r="893" spans="1:11" x14ac:dyDescent="0.25">
      <c r="A893" s="51">
        <v>42833</v>
      </c>
      <c r="B893" s="174" t="s">
        <v>12415</v>
      </c>
      <c r="C893" s="175"/>
      <c r="D893" s="176" t="s">
        <v>12415</v>
      </c>
      <c r="E893" s="176">
        <v>107327</v>
      </c>
      <c r="F893" s="177" t="s">
        <v>1870</v>
      </c>
      <c r="G893" s="178">
        <v>1496.4</v>
      </c>
      <c r="H893" s="179">
        <v>42833</v>
      </c>
      <c r="I893" s="178">
        <f t="shared" si="27"/>
        <v>1496.4</v>
      </c>
      <c r="J893" s="178">
        <f t="shared" si="28"/>
        <v>0</v>
      </c>
      <c r="K893" s="19"/>
    </row>
    <row r="894" spans="1:11" x14ac:dyDescent="0.25">
      <c r="A894" s="51">
        <v>42833</v>
      </c>
      <c r="B894" s="174" t="s">
        <v>12416</v>
      </c>
      <c r="C894" s="175"/>
      <c r="D894" s="176" t="s">
        <v>12416</v>
      </c>
      <c r="E894" s="176">
        <v>107328</v>
      </c>
      <c r="F894" s="177" t="s">
        <v>1090</v>
      </c>
      <c r="G894" s="178">
        <v>4852.8999999999996</v>
      </c>
      <c r="H894" s="179">
        <v>42833</v>
      </c>
      <c r="I894" s="178">
        <f t="shared" si="27"/>
        <v>4852.8999999999996</v>
      </c>
      <c r="J894" s="178">
        <f t="shared" si="28"/>
        <v>0</v>
      </c>
      <c r="K894" s="19"/>
    </row>
    <row r="895" spans="1:11" x14ac:dyDescent="0.25">
      <c r="A895" s="51">
        <v>42833</v>
      </c>
      <c r="B895" s="174" t="s">
        <v>12417</v>
      </c>
      <c r="C895" s="175"/>
      <c r="D895" s="176" t="s">
        <v>12417</v>
      </c>
      <c r="E895" s="176">
        <v>107329</v>
      </c>
      <c r="F895" s="177" t="s">
        <v>47</v>
      </c>
      <c r="G895" s="178">
        <v>2242.1999999999998</v>
      </c>
      <c r="H895" s="179">
        <v>42833</v>
      </c>
      <c r="I895" s="178">
        <f t="shared" si="27"/>
        <v>2242.1999999999998</v>
      </c>
      <c r="J895" s="178">
        <f t="shared" si="28"/>
        <v>0</v>
      </c>
      <c r="K895" s="19"/>
    </row>
    <row r="896" spans="1:11" x14ac:dyDescent="0.25">
      <c r="A896" s="51">
        <v>42833</v>
      </c>
      <c r="B896" s="174" t="s">
        <v>12418</v>
      </c>
      <c r="C896" s="175"/>
      <c r="D896" s="176" t="s">
        <v>12418</v>
      </c>
      <c r="E896" s="176">
        <v>107330</v>
      </c>
      <c r="F896" s="177" t="s">
        <v>236</v>
      </c>
      <c r="G896" s="178">
        <v>29078.62</v>
      </c>
      <c r="H896" s="179">
        <v>42838</v>
      </c>
      <c r="I896" s="178">
        <f t="shared" si="27"/>
        <v>29078.62</v>
      </c>
      <c r="J896" s="178">
        <f t="shared" si="28"/>
        <v>0</v>
      </c>
      <c r="K896" s="19"/>
    </row>
    <row r="897" spans="1:11" x14ac:dyDescent="0.25">
      <c r="A897" s="51">
        <v>42833</v>
      </c>
      <c r="B897" s="174" t="s">
        <v>12419</v>
      </c>
      <c r="C897" s="175"/>
      <c r="D897" s="176" t="s">
        <v>12419</v>
      </c>
      <c r="E897" s="176">
        <v>107331</v>
      </c>
      <c r="F897" s="177" t="s">
        <v>51</v>
      </c>
      <c r="G897" s="178">
        <v>7378</v>
      </c>
      <c r="H897" s="180" t="s">
        <v>12279</v>
      </c>
      <c r="I897" s="181">
        <f>6000+1378</f>
        <v>7378</v>
      </c>
      <c r="J897" s="181">
        <f t="shared" si="28"/>
        <v>0</v>
      </c>
      <c r="K897" s="19"/>
    </row>
    <row r="898" spans="1:11" x14ac:dyDescent="0.25">
      <c r="A898" s="51">
        <v>42833</v>
      </c>
      <c r="B898" s="174" t="s">
        <v>12420</v>
      </c>
      <c r="C898" s="175"/>
      <c r="D898" s="176" t="s">
        <v>12420</v>
      </c>
      <c r="E898" s="176">
        <v>107332</v>
      </c>
      <c r="F898" s="177" t="s">
        <v>1116</v>
      </c>
      <c r="G898" s="178">
        <v>2810.1</v>
      </c>
      <c r="H898" s="179">
        <v>42835</v>
      </c>
      <c r="I898" s="178">
        <f t="shared" si="27"/>
        <v>2810.1</v>
      </c>
      <c r="J898" s="178">
        <f t="shared" si="28"/>
        <v>0</v>
      </c>
      <c r="K898" s="19"/>
    </row>
    <row r="899" spans="1:11" x14ac:dyDescent="0.25">
      <c r="A899" s="51">
        <v>42833</v>
      </c>
      <c r="B899" s="174" t="s">
        <v>12421</v>
      </c>
      <c r="C899" s="175"/>
      <c r="D899" s="176" t="s">
        <v>12421</v>
      </c>
      <c r="E899" s="176">
        <v>107333</v>
      </c>
      <c r="F899" s="177" t="s">
        <v>40</v>
      </c>
      <c r="G899" s="178">
        <v>9362.7000000000007</v>
      </c>
      <c r="H899" s="180" t="s">
        <v>12279</v>
      </c>
      <c r="I899" s="181">
        <f>6500+2862.7</f>
        <v>9362.7000000000007</v>
      </c>
      <c r="J899" s="181">
        <f t="shared" si="28"/>
        <v>0</v>
      </c>
      <c r="K899" s="19"/>
    </row>
    <row r="900" spans="1:11" x14ac:dyDescent="0.25">
      <c r="A900" s="51">
        <v>42833</v>
      </c>
      <c r="B900" s="174" t="s">
        <v>12422</v>
      </c>
      <c r="C900" s="175"/>
      <c r="D900" s="176" t="s">
        <v>12422</v>
      </c>
      <c r="E900" s="176">
        <v>107334</v>
      </c>
      <c r="F900" s="177" t="s">
        <v>38</v>
      </c>
      <c r="G900" s="178">
        <v>2904</v>
      </c>
      <c r="H900" s="179">
        <v>42836</v>
      </c>
      <c r="I900" s="178">
        <f t="shared" ref="I900:I963" si="29">G900</f>
        <v>2904</v>
      </c>
      <c r="J900" s="178">
        <f t="shared" ref="J900:J963" si="30">G900-I900</f>
        <v>0</v>
      </c>
      <c r="K900" s="19"/>
    </row>
    <row r="901" spans="1:11" x14ac:dyDescent="0.25">
      <c r="A901" s="51">
        <v>42833</v>
      </c>
      <c r="B901" s="174" t="s">
        <v>12423</v>
      </c>
      <c r="C901" s="175"/>
      <c r="D901" s="176" t="s">
        <v>12423</v>
      </c>
      <c r="E901" s="176">
        <v>107335</v>
      </c>
      <c r="F901" s="182" t="s">
        <v>250</v>
      </c>
      <c r="G901" s="183">
        <v>0</v>
      </c>
      <c r="H901" s="184" t="s">
        <v>95</v>
      </c>
      <c r="I901" s="183">
        <f t="shared" si="29"/>
        <v>0</v>
      </c>
      <c r="J901" s="183">
        <f t="shared" si="30"/>
        <v>0</v>
      </c>
      <c r="K901" s="19"/>
    </row>
    <row r="902" spans="1:11" x14ac:dyDescent="0.25">
      <c r="A902" s="51">
        <v>42833</v>
      </c>
      <c r="B902" s="174" t="s">
        <v>12424</v>
      </c>
      <c r="C902" s="175"/>
      <c r="D902" s="176" t="s">
        <v>12424</v>
      </c>
      <c r="E902" s="176">
        <v>107336</v>
      </c>
      <c r="F902" s="177" t="s">
        <v>79</v>
      </c>
      <c r="G902" s="178">
        <v>3319.6</v>
      </c>
      <c r="H902" s="179">
        <v>42833</v>
      </c>
      <c r="I902" s="178">
        <f t="shared" si="29"/>
        <v>3319.6</v>
      </c>
      <c r="J902" s="178">
        <f t="shared" si="30"/>
        <v>0</v>
      </c>
      <c r="K902" s="19"/>
    </row>
    <row r="903" spans="1:11" x14ac:dyDescent="0.25">
      <c r="A903" s="51">
        <v>42833</v>
      </c>
      <c r="B903" s="174" t="s">
        <v>12425</v>
      </c>
      <c r="C903" s="175"/>
      <c r="D903" s="176" t="s">
        <v>12425</v>
      </c>
      <c r="E903" s="176">
        <v>107337</v>
      </c>
      <c r="F903" s="177" t="s">
        <v>253</v>
      </c>
      <c r="G903" s="178">
        <v>6631</v>
      </c>
      <c r="H903" s="179">
        <v>42842</v>
      </c>
      <c r="I903" s="178">
        <f t="shared" si="29"/>
        <v>6631</v>
      </c>
      <c r="J903" s="178">
        <f t="shared" si="30"/>
        <v>0</v>
      </c>
      <c r="K903" s="19"/>
    </row>
    <row r="904" spans="1:11" x14ac:dyDescent="0.25">
      <c r="A904" s="51">
        <v>42833</v>
      </c>
      <c r="B904" s="174" t="s">
        <v>12426</v>
      </c>
      <c r="C904" s="175"/>
      <c r="D904" s="176" t="s">
        <v>12426</v>
      </c>
      <c r="E904" s="176">
        <v>107338</v>
      </c>
      <c r="F904" s="177" t="s">
        <v>2986</v>
      </c>
      <c r="G904" s="178">
        <v>4703.6000000000004</v>
      </c>
      <c r="H904" s="179">
        <v>42833</v>
      </c>
      <c r="I904" s="178">
        <f t="shared" si="29"/>
        <v>4703.6000000000004</v>
      </c>
      <c r="J904" s="178">
        <f t="shared" si="30"/>
        <v>0</v>
      </c>
      <c r="K904" s="19"/>
    </row>
    <row r="905" spans="1:11" x14ac:dyDescent="0.25">
      <c r="A905" s="51">
        <v>42833</v>
      </c>
      <c r="B905" s="174" t="s">
        <v>12427</v>
      </c>
      <c r="C905" s="175"/>
      <c r="D905" s="176" t="s">
        <v>12427</v>
      </c>
      <c r="E905" s="176">
        <v>107339</v>
      </c>
      <c r="F905" s="177" t="s">
        <v>240</v>
      </c>
      <c r="G905" s="178">
        <v>3891</v>
      </c>
      <c r="H905" s="179">
        <v>42833</v>
      </c>
      <c r="I905" s="178">
        <f t="shared" si="29"/>
        <v>3891</v>
      </c>
      <c r="J905" s="178">
        <f t="shared" si="30"/>
        <v>0</v>
      </c>
      <c r="K905" s="19"/>
    </row>
    <row r="906" spans="1:11" x14ac:dyDescent="0.25">
      <c r="A906" s="51">
        <v>42833</v>
      </c>
      <c r="B906" s="174" t="s">
        <v>12428</v>
      </c>
      <c r="C906" s="175"/>
      <c r="D906" s="176" t="s">
        <v>12428</v>
      </c>
      <c r="E906" s="176">
        <v>107340</v>
      </c>
      <c r="F906" s="177" t="s">
        <v>250</v>
      </c>
      <c r="G906" s="178">
        <v>17487</v>
      </c>
      <c r="H906" s="179">
        <v>42836</v>
      </c>
      <c r="I906" s="178">
        <f t="shared" si="29"/>
        <v>17487</v>
      </c>
      <c r="J906" s="178">
        <f t="shared" si="30"/>
        <v>0</v>
      </c>
      <c r="K906" s="19"/>
    </row>
    <row r="907" spans="1:11" x14ac:dyDescent="0.25">
      <c r="A907" s="51">
        <v>42833</v>
      </c>
      <c r="B907" s="174" t="s">
        <v>12429</v>
      </c>
      <c r="C907" s="175"/>
      <c r="D907" s="176" t="s">
        <v>12429</v>
      </c>
      <c r="E907" s="176">
        <v>107341</v>
      </c>
      <c r="F907" s="177" t="s">
        <v>30</v>
      </c>
      <c r="G907" s="178">
        <v>2733.5</v>
      </c>
      <c r="H907" s="179">
        <v>42833</v>
      </c>
      <c r="I907" s="178">
        <f t="shared" si="29"/>
        <v>2733.5</v>
      </c>
      <c r="J907" s="178">
        <f t="shared" si="30"/>
        <v>0</v>
      </c>
      <c r="K907" s="19"/>
    </row>
    <row r="908" spans="1:11" x14ac:dyDescent="0.25">
      <c r="A908" s="51">
        <v>42833</v>
      </c>
      <c r="B908" s="174" t="s">
        <v>12430</v>
      </c>
      <c r="C908" s="175"/>
      <c r="D908" s="176" t="s">
        <v>12430</v>
      </c>
      <c r="E908" s="176">
        <v>107342</v>
      </c>
      <c r="F908" s="177" t="s">
        <v>30</v>
      </c>
      <c r="G908" s="178">
        <v>1561.4</v>
      </c>
      <c r="H908" s="179">
        <v>42833</v>
      </c>
      <c r="I908" s="178">
        <f t="shared" si="29"/>
        <v>1561.4</v>
      </c>
      <c r="J908" s="178">
        <f t="shared" si="30"/>
        <v>0</v>
      </c>
      <c r="K908" s="19"/>
    </row>
    <row r="909" spans="1:11" x14ac:dyDescent="0.25">
      <c r="A909" s="51">
        <v>42833</v>
      </c>
      <c r="B909" s="174" t="s">
        <v>12431</v>
      </c>
      <c r="C909" s="175"/>
      <c r="D909" s="176" t="s">
        <v>12431</v>
      </c>
      <c r="E909" s="176">
        <v>107343</v>
      </c>
      <c r="F909" s="177" t="s">
        <v>81</v>
      </c>
      <c r="G909" s="178">
        <v>7525.1</v>
      </c>
      <c r="H909" s="179">
        <v>42833</v>
      </c>
      <c r="I909" s="178">
        <f t="shared" si="29"/>
        <v>7525.1</v>
      </c>
      <c r="J909" s="178">
        <f t="shared" si="30"/>
        <v>0</v>
      </c>
      <c r="K909" s="19"/>
    </row>
    <row r="910" spans="1:11" x14ac:dyDescent="0.25">
      <c r="A910" s="51">
        <v>42833</v>
      </c>
      <c r="B910" s="174" t="s">
        <v>12432</v>
      </c>
      <c r="C910" s="175"/>
      <c r="D910" s="176" t="s">
        <v>12432</v>
      </c>
      <c r="E910" s="176">
        <v>107344</v>
      </c>
      <c r="F910" s="177" t="s">
        <v>101</v>
      </c>
      <c r="G910" s="178">
        <v>2816.4</v>
      </c>
      <c r="H910" s="179">
        <v>42833</v>
      </c>
      <c r="I910" s="178">
        <f t="shared" si="29"/>
        <v>2816.4</v>
      </c>
      <c r="J910" s="178">
        <f t="shared" si="30"/>
        <v>0</v>
      </c>
      <c r="K910" s="19"/>
    </row>
    <row r="911" spans="1:11" x14ac:dyDescent="0.25">
      <c r="A911" s="51">
        <v>42833</v>
      </c>
      <c r="B911" s="174" t="s">
        <v>12433</v>
      </c>
      <c r="C911" s="175"/>
      <c r="D911" s="176" t="s">
        <v>12433</v>
      </c>
      <c r="E911" s="176">
        <v>107345</v>
      </c>
      <c r="F911" s="177" t="s">
        <v>281</v>
      </c>
      <c r="G911" s="178">
        <v>2948</v>
      </c>
      <c r="H911" s="179">
        <v>42833</v>
      </c>
      <c r="I911" s="178">
        <f t="shared" si="29"/>
        <v>2948</v>
      </c>
      <c r="J911" s="178">
        <f t="shared" si="30"/>
        <v>0</v>
      </c>
      <c r="K911" s="19"/>
    </row>
    <row r="912" spans="1:11" x14ac:dyDescent="0.25">
      <c r="A912" s="51">
        <v>42833</v>
      </c>
      <c r="B912" s="174" t="s">
        <v>12434</v>
      </c>
      <c r="C912" s="175"/>
      <c r="D912" s="176" t="s">
        <v>12434</v>
      </c>
      <c r="E912" s="176">
        <v>107346</v>
      </c>
      <c r="F912" s="177" t="s">
        <v>99</v>
      </c>
      <c r="G912" s="178">
        <v>3360</v>
      </c>
      <c r="H912" s="179">
        <v>42833</v>
      </c>
      <c r="I912" s="178">
        <f t="shared" si="29"/>
        <v>3360</v>
      </c>
      <c r="J912" s="178">
        <f t="shared" si="30"/>
        <v>0</v>
      </c>
      <c r="K912" s="19"/>
    </row>
    <row r="913" spans="1:11" x14ac:dyDescent="0.25">
      <c r="A913" s="51">
        <v>42833</v>
      </c>
      <c r="B913" s="174" t="s">
        <v>12435</v>
      </c>
      <c r="C913" s="175"/>
      <c r="D913" s="176" t="s">
        <v>12435</v>
      </c>
      <c r="E913" s="176">
        <v>107347</v>
      </c>
      <c r="F913" s="177" t="s">
        <v>4367</v>
      </c>
      <c r="G913" s="178">
        <v>1408.2</v>
      </c>
      <c r="H913" s="179">
        <v>42833</v>
      </c>
      <c r="I913" s="178">
        <f t="shared" si="29"/>
        <v>1408.2</v>
      </c>
      <c r="J913" s="178">
        <f t="shared" si="30"/>
        <v>0</v>
      </c>
      <c r="K913" s="19"/>
    </row>
    <row r="914" spans="1:11" x14ac:dyDescent="0.25">
      <c r="A914" s="51">
        <v>42833</v>
      </c>
      <c r="B914" s="174" t="s">
        <v>12436</v>
      </c>
      <c r="C914" s="175"/>
      <c r="D914" s="176" t="s">
        <v>12436</v>
      </c>
      <c r="E914" s="176">
        <v>107348</v>
      </c>
      <c r="F914" s="177" t="s">
        <v>30</v>
      </c>
      <c r="G914" s="178">
        <v>1131.5999999999999</v>
      </c>
      <c r="H914" s="179">
        <v>42833</v>
      </c>
      <c r="I914" s="178">
        <f t="shared" si="29"/>
        <v>1131.5999999999999</v>
      </c>
      <c r="J914" s="178">
        <f t="shared" si="30"/>
        <v>0</v>
      </c>
      <c r="K914" s="19"/>
    </row>
    <row r="915" spans="1:11" x14ac:dyDescent="0.25">
      <c r="A915" s="51">
        <v>42833</v>
      </c>
      <c r="B915" s="174" t="s">
        <v>12437</v>
      </c>
      <c r="C915" s="175"/>
      <c r="D915" s="176" t="s">
        <v>12437</v>
      </c>
      <c r="E915" s="176">
        <v>107349</v>
      </c>
      <c r="F915" s="177" t="s">
        <v>613</v>
      </c>
      <c r="G915" s="178">
        <v>3667.9</v>
      </c>
      <c r="H915" s="179">
        <v>42833</v>
      </c>
      <c r="I915" s="178">
        <f t="shared" si="29"/>
        <v>3667.9</v>
      </c>
      <c r="J915" s="178">
        <f t="shared" si="30"/>
        <v>0</v>
      </c>
      <c r="K915" s="19"/>
    </row>
    <row r="916" spans="1:11" x14ac:dyDescent="0.25">
      <c r="A916" s="51">
        <v>42833</v>
      </c>
      <c r="B916" s="174" t="s">
        <v>12438</v>
      </c>
      <c r="C916" s="175"/>
      <c r="D916" s="176" t="s">
        <v>12438</v>
      </c>
      <c r="E916" s="176">
        <v>107350</v>
      </c>
      <c r="F916" s="177" t="s">
        <v>1259</v>
      </c>
      <c r="G916" s="178">
        <v>2386.1999999999998</v>
      </c>
      <c r="H916" s="179">
        <v>42833</v>
      </c>
      <c r="I916" s="178">
        <f t="shared" si="29"/>
        <v>2386.1999999999998</v>
      </c>
      <c r="J916" s="178">
        <f t="shared" si="30"/>
        <v>0</v>
      </c>
      <c r="K916" s="19"/>
    </row>
    <row r="917" spans="1:11" x14ac:dyDescent="0.25">
      <c r="A917" s="51">
        <v>42833</v>
      </c>
      <c r="B917" s="174" t="s">
        <v>12439</v>
      </c>
      <c r="C917" s="175"/>
      <c r="D917" s="176" t="s">
        <v>12439</v>
      </c>
      <c r="E917" s="176">
        <v>107351</v>
      </c>
      <c r="F917" s="177" t="s">
        <v>83</v>
      </c>
      <c r="G917" s="178">
        <v>4523.6000000000004</v>
      </c>
      <c r="H917" s="179">
        <v>42833</v>
      </c>
      <c r="I917" s="178">
        <f t="shared" si="29"/>
        <v>4523.6000000000004</v>
      </c>
      <c r="J917" s="178">
        <f t="shared" si="30"/>
        <v>0</v>
      </c>
      <c r="K917" s="19"/>
    </row>
    <row r="918" spans="1:11" x14ac:dyDescent="0.25">
      <c r="A918" s="51">
        <v>42833</v>
      </c>
      <c r="B918" s="174" t="s">
        <v>12440</v>
      </c>
      <c r="C918" s="175"/>
      <c r="D918" s="176" t="s">
        <v>12440</v>
      </c>
      <c r="E918" s="176">
        <v>107352</v>
      </c>
      <c r="F918" s="177" t="s">
        <v>1081</v>
      </c>
      <c r="G918" s="178">
        <v>385</v>
      </c>
      <c r="H918" s="179">
        <v>42833</v>
      </c>
      <c r="I918" s="178">
        <f t="shared" si="29"/>
        <v>385</v>
      </c>
      <c r="J918" s="178">
        <f t="shared" si="30"/>
        <v>0</v>
      </c>
      <c r="K918" s="19"/>
    </row>
    <row r="919" spans="1:11" x14ac:dyDescent="0.25">
      <c r="A919" s="51">
        <v>42833</v>
      </c>
      <c r="B919" s="174" t="s">
        <v>12441</v>
      </c>
      <c r="C919" s="175"/>
      <c r="D919" s="176" t="s">
        <v>12441</v>
      </c>
      <c r="E919" s="176">
        <v>107353</v>
      </c>
      <c r="F919" s="177" t="s">
        <v>88</v>
      </c>
      <c r="G919" s="178">
        <v>7599.2</v>
      </c>
      <c r="H919" s="179">
        <v>42833</v>
      </c>
      <c r="I919" s="178">
        <f t="shared" si="29"/>
        <v>7599.2</v>
      </c>
      <c r="J919" s="178">
        <f t="shared" si="30"/>
        <v>0</v>
      </c>
      <c r="K919" s="19"/>
    </row>
    <row r="920" spans="1:11" x14ac:dyDescent="0.25">
      <c r="A920" s="51">
        <v>42833</v>
      </c>
      <c r="B920" s="174" t="s">
        <v>12442</v>
      </c>
      <c r="C920" s="175"/>
      <c r="D920" s="176" t="s">
        <v>12442</v>
      </c>
      <c r="E920" s="176">
        <v>107354</v>
      </c>
      <c r="F920" s="177" t="s">
        <v>291</v>
      </c>
      <c r="G920" s="178">
        <v>2223.1</v>
      </c>
      <c r="H920" s="179">
        <v>42833</v>
      </c>
      <c r="I920" s="178">
        <f t="shared" si="29"/>
        <v>2223.1</v>
      </c>
      <c r="J920" s="178">
        <f t="shared" si="30"/>
        <v>0</v>
      </c>
      <c r="K920" s="19"/>
    </row>
    <row r="921" spans="1:11" x14ac:dyDescent="0.25">
      <c r="A921" s="51">
        <v>42833</v>
      </c>
      <c r="B921" s="174" t="s">
        <v>12443</v>
      </c>
      <c r="C921" s="175"/>
      <c r="D921" s="176" t="s">
        <v>12443</v>
      </c>
      <c r="E921" s="176">
        <v>107355</v>
      </c>
      <c r="F921" s="177" t="s">
        <v>92</v>
      </c>
      <c r="G921" s="178">
        <v>1894.2</v>
      </c>
      <c r="H921" s="179">
        <v>42833</v>
      </c>
      <c r="I921" s="178">
        <f t="shared" si="29"/>
        <v>1894.2</v>
      </c>
      <c r="J921" s="178">
        <f t="shared" si="30"/>
        <v>0</v>
      </c>
      <c r="K921" s="19"/>
    </row>
    <row r="922" spans="1:11" x14ac:dyDescent="0.25">
      <c r="A922" s="51">
        <v>42833</v>
      </c>
      <c r="B922" s="174" t="s">
        <v>12444</v>
      </c>
      <c r="C922" s="175"/>
      <c r="D922" s="176" t="s">
        <v>12444</v>
      </c>
      <c r="E922" s="176">
        <v>107356</v>
      </c>
      <c r="F922" s="177" t="s">
        <v>445</v>
      </c>
      <c r="G922" s="178">
        <v>1605.8</v>
      </c>
      <c r="H922" s="179">
        <v>42833</v>
      </c>
      <c r="I922" s="178">
        <f t="shared" si="29"/>
        <v>1605.8</v>
      </c>
      <c r="J922" s="178">
        <f t="shared" si="30"/>
        <v>0</v>
      </c>
      <c r="K922" s="19"/>
    </row>
    <row r="923" spans="1:11" x14ac:dyDescent="0.25">
      <c r="A923" s="51">
        <v>42833</v>
      </c>
      <c r="B923" s="174" t="s">
        <v>12445</v>
      </c>
      <c r="C923" s="175"/>
      <c r="D923" s="176" t="s">
        <v>12445</v>
      </c>
      <c r="E923" s="176">
        <v>107357</v>
      </c>
      <c r="F923" s="177" t="s">
        <v>109</v>
      </c>
      <c r="G923" s="178">
        <v>2940</v>
      </c>
      <c r="H923" s="179">
        <v>42833</v>
      </c>
      <c r="I923" s="178">
        <f t="shared" si="29"/>
        <v>2940</v>
      </c>
      <c r="J923" s="178">
        <f t="shared" si="30"/>
        <v>0</v>
      </c>
      <c r="K923" s="19"/>
    </row>
    <row r="924" spans="1:11" x14ac:dyDescent="0.25">
      <c r="A924" s="51">
        <v>42833</v>
      </c>
      <c r="B924" s="174" t="s">
        <v>12446</v>
      </c>
      <c r="C924" s="175"/>
      <c r="D924" s="176" t="s">
        <v>12446</v>
      </c>
      <c r="E924" s="176">
        <v>107358</v>
      </c>
      <c r="F924" s="177" t="s">
        <v>1380</v>
      </c>
      <c r="G924" s="178">
        <v>2546.1999999999998</v>
      </c>
      <c r="H924" s="179">
        <v>42833</v>
      </c>
      <c r="I924" s="178">
        <f t="shared" si="29"/>
        <v>2546.1999999999998</v>
      </c>
      <c r="J924" s="178">
        <f t="shared" si="30"/>
        <v>0</v>
      </c>
      <c r="K924" s="19"/>
    </row>
    <row r="925" spans="1:11" x14ac:dyDescent="0.25">
      <c r="A925" s="51">
        <v>42833</v>
      </c>
      <c r="B925" s="174" t="s">
        <v>12447</v>
      </c>
      <c r="C925" s="175"/>
      <c r="D925" s="176" t="s">
        <v>12447</v>
      </c>
      <c r="E925" s="176">
        <v>107359</v>
      </c>
      <c r="F925" s="177" t="s">
        <v>141</v>
      </c>
      <c r="G925" s="178">
        <v>10954.2</v>
      </c>
      <c r="H925" s="179">
        <v>42834</v>
      </c>
      <c r="I925" s="178">
        <f t="shared" si="29"/>
        <v>10954.2</v>
      </c>
      <c r="J925" s="178">
        <f t="shared" si="30"/>
        <v>0</v>
      </c>
      <c r="K925" s="19"/>
    </row>
    <row r="926" spans="1:11" x14ac:dyDescent="0.25">
      <c r="A926" s="51">
        <v>42833</v>
      </c>
      <c r="B926" s="174" t="s">
        <v>12448</v>
      </c>
      <c r="C926" s="175"/>
      <c r="D926" s="176" t="s">
        <v>12448</v>
      </c>
      <c r="E926" s="176">
        <v>107360</v>
      </c>
      <c r="F926" s="177" t="s">
        <v>67</v>
      </c>
      <c r="G926" s="178">
        <v>31373.200000000001</v>
      </c>
      <c r="H926" s="179">
        <v>42835</v>
      </c>
      <c r="I926" s="178">
        <f t="shared" si="29"/>
        <v>31373.200000000001</v>
      </c>
      <c r="J926" s="178">
        <f t="shared" si="30"/>
        <v>0</v>
      </c>
      <c r="K926" s="19"/>
    </row>
    <row r="927" spans="1:11" x14ac:dyDescent="0.25">
      <c r="A927" s="51">
        <v>42833</v>
      </c>
      <c r="B927" s="174" t="s">
        <v>12449</v>
      </c>
      <c r="C927" s="175"/>
      <c r="D927" s="176" t="s">
        <v>12449</v>
      </c>
      <c r="E927" s="176">
        <v>107361</v>
      </c>
      <c r="F927" s="177" t="s">
        <v>1830</v>
      </c>
      <c r="G927" s="178">
        <v>17445.2</v>
      </c>
      <c r="H927" s="179">
        <v>42834</v>
      </c>
      <c r="I927" s="178">
        <f t="shared" si="29"/>
        <v>17445.2</v>
      </c>
      <c r="J927" s="178">
        <f t="shared" si="30"/>
        <v>0</v>
      </c>
      <c r="K927" s="19"/>
    </row>
    <row r="928" spans="1:11" x14ac:dyDescent="0.25">
      <c r="A928" s="51">
        <v>42833</v>
      </c>
      <c r="B928" s="174" t="s">
        <v>12450</v>
      </c>
      <c r="C928" s="175"/>
      <c r="D928" s="176" t="s">
        <v>12450</v>
      </c>
      <c r="E928" s="176">
        <v>107362</v>
      </c>
      <c r="F928" s="177" t="s">
        <v>125</v>
      </c>
      <c r="G928" s="178">
        <v>9478.4</v>
      </c>
      <c r="H928" s="179">
        <v>42834</v>
      </c>
      <c r="I928" s="178">
        <f t="shared" si="29"/>
        <v>9478.4</v>
      </c>
      <c r="J928" s="178">
        <f t="shared" si="30"/>
        <v>0</v>
      </c>
      <c r="K928" s="19"/>
    </row>
    <row r="929" spans="1:11" x14ac:dyDescent="0.25">
      <c r="A929" s="51">
        <v>42833</v>
      </c>
      <c r="B929" s="174" t="s">
        <v>12451</v>
      </c>
      <c r="C929" s="175"/>
      <c r="D929" s="176" t="s">
        <v>12451</v>
      </c>
      <c r="E929" s="176">
        <v>107363</v>
      </c>
      <c r="F929" s="177" t="s">
        <v>208</v>
      </c>
      <c r="G929" s="178">
        <v>5311.4</v>
      </c>
      <c r="H929" s="179">
        <v>42842</v>
      </c>
      <c r="I929" s="178">
        <f t="shared" si="29"/>
        <v>5311.4</v>
      </c>
      <c r="J929" s="178">
        <f t="shared" si="30"/>
        <v>0</v>
      </c>
      <c r="K929" s="19"/>
    </row>
    <row r="930" spans="1:11" x14ac:dyDescent="0.25">
      <c r="A930" s="51">
        <v>42833</v>
      </c>
      <c r="B930" s="174" t="s">
        <v>12452</v>
      </c>
      <c r="C930" s="175"/>
      <c r="D930" s="176" t="s">
        <v>12452</v>
      </c>
      <c r="E930" s="176">
        <v>107364</v>
      </c>
      <c r="F930" s="177" t="s">
        <v>277</v>
      </c>
      <c r="G930" s="178">
        <v>2218.1</v>
      </c>
      <c r="H930" s="179">
        <v>42834</v>
      </c>
      <c r="I930" s="178">
        <f t="shared" si="29"/>
        <v>2218.1</v>
      </c>
      <c r="J930" s="178">
        <f t="shared" si="30"/>
        <v>0</v>
      </c>
      <c r="K930" s="19"/>
    </row>
    <row r="931" spans="1:11" x14ac:dyDescent="0.25">
      <c r="A931" s="51">
        <v>42833</v>
      </c>
      <c r="B931" s="174" t="s">
        <v>12453</v>
      </c>
      <c r="C931" s="175"/>
      <c r="D931" s="176" t="s">
        <v>12453</v>
      </c>
      <c r="E931" s="176">
        <v>107365</v>
      </c>
      <c r="F931" s="177" t="s">
        <v>470</v>
      </c>
      <c r="G931" s="178">
        <v>4618.2</v>
      </c>
      <c r="H931" s="179">
        <v>42834</v>
      </c>
      <c r="I931" s="178">
        <f t="shared" si="29"/>
        <v>4618.2</v>
      </c>
      <c r="J931" s="178">
        <f t="shared" si="30"/>
        <v>0</v>
      </c>
      <c r="K931" s="19"/>
    </row>
    <row r="932" spans="1:11" x14ac:dyDescent="0.25">
      <c r="A932" s="51">
        <v>42833</v>
      </c>
      <c r="B932" s="174" t="s">
        <v>12454</v>
      </c>
      <c r="C932" s="175"/>
      <c r="D932" s="176" t="s">
        <v>12454</v>
      </c>
      <c r="E932" s="176">
        <v>107366</v>
      </c>
      <c r="F932" s="177" t="s">
        <v>470</v>
      </c>
      <c r="G932" s="178">
        <v>544.79999999999995</v>
      </c>
      <c r="H932" s="179">
        <v>42834</v>
      </c>
      <c r="I932" s="178">
        <f t="shared" si="29"/>
        <v>544.79999999999995</v>
      </c>
      <c r="J932" s="178">
        <f t="shared" si="30"/>
        <v>0</v>
      </c>
      <c r="K932" s="19"/>
    </row>
    <row r="933" spans="1:11" x14ac:dyDescent="0.25">
      <c r="A933" s="51">
        <v>42833</v>
      </c>
      <c r="B933" s="174" t="s">
        <v>12455</v>
      </c>
      <c r="C933" s="175"/>
      <c r="D933" s="176" t="s">
        <v>12455</v>
      </c>
      <c r="E933" s="176">
        <v>107367</v>
      </c>
      <c r="F933" s="177" t="s">
        <v>131</v>
      </c>
      <c r="G933" s="178">
        <v>2881</v>
      </c>
      <c r="H933" s="179">
        <v>42834</v>
      </c>
      <c r="I933" s="178">
        <f t="shared" si="29"/>
        <v>2881</v>
      </c>
      <c r="J933" s="178">
        <f t="shared" si="30"/>
        <v>0</v>
      </c>
      <c r="K933" s="19"/>
    </row>
    <row r="934" spans="1:11" x14ac:dyDescent="0.25">
      <c r="A934" s="51">
        <v>42833</v>
      </c>
      <c r="B934" s="174" t="s">
        <v>12456</v>
      </c>
      <c r="C934" s="175"/>
      <c r="D934" s="176" t="s">
        <v>12456</v>
      </c>
      <c r="E934" s="176">
        <v>107368</v>
      </c>
      <c r="F934" s="177" t="s">
        <v>53</v>
      </c>
      <c r="G934" s="178">
        <v>3504</v>
      </c>
      <c r="H934" s="179">
        <v>42833</v>
      </c>
      <c r="I934" s="178">
        <f t="shared" si="29"/>
        <v>3504</v>
      </c>
      <c r="J934" s="178">
        <f t="shared" si="30"/>
        <v>0</v>
      </c>
      <c r="K934" s="19"/>
    </row>
    <row r="935" spans="1:11" x14ac:dyDescent="0.25">
      <c r="A935" s="51">
        <v>42833</v>
      </c>
      <c r="B935" s="174" t="s">
        <v>12457</v>
      </c>
      <c r="C935" s="175"/>
      <c r="D935" s="176" t="s">
        <v>12457</v>
      </c>
      <c r="E935" s="176">
        <v>107369</v>
      </c>
      <c r="F935" s="177" t="s">
        <v>111</v>
      </c>
      <c r="G935" s="178">
        <v>2702.4</v>
      </c>
      <c r="H935" s="179">
        <v>42833</v>
      </c>
      <c r="I935" s="178">
        <f t="shared" si="29"/>
        <v>2702.4</v>
      </c>
      <c r="J935" s="178">
        <f t="shared" si="30"/>
        <v>0</v>
      </c>
      <c r="K935" s="19"/>
    </row>
    <row r="936" spans="1:11" x14ac:dyDescent="0.25">
      <c r="A936" s="51">
        <v>42833</v>
      </c>
      <c r="B936" s="174" t="s">
        <v>12458</v>
      </c>
      <c r="C936" s="175"/>
      <c r="D936" s="176" t="s">
        <v>12458</v>
      </c>
      <c r="E936" s="176">
        <v>107370</v>
      </c>
      <c r="F936" s="182" t="s">
        <v>149</v>
      </c>
      <c r="G936" s="183">
        <v>0</v>
      </c>
      <c r="H936" s="184" t="s">
        <v>95</v>
      </c>
      <c r="I936" s="183">
        <f t="shared" si="29"/>
        <v>0</v>
      </c>
      <c r="J936" s="183">
        <f t="shared" si="30"/>
        <v>0</v>
      </c>
      <c r="K936" s="19"/>
    </row>
    <row r="937" spans="1:11" x14ac:dyDescent="0.25">
      <c r="A937" s="51">
        <v>42833</v>
      </c>
      <c r="B937" s="174" t="s">
        <v>12459</v>
      </c>
      <c r="C937" s="175"/>
      <c r="D937" s="176" t="s">
        <v>12459</v>
      </c>
      <c r="E937" s="176">
        <v>107371</v>
      </c>
      <c r="F937" s="177" t="s">
        <v>876</v>
      </c>
      <c r="G937" s="178">
        <v>5180.3</v>
      </c>
      <c r="H937" s="179">
        <v>42838</v>
      </c>
      <c r="I937" s="178">
        <f t="shared" si="29"/>
        <v>5180.3</v>
      </c>
      <c r="J937" s="178">
        <f t="shared" si="30"/>
        <v>0</v>
      </c>
      <c r="K937" s="19"/>
    </row>
    <row r="938" spans="1:11" x14ac:dyDescent="0.25">
      <c r="A938" s="51">
        <v>42833</v>
      </c>
      <c r="B938" s="174" t="s">
        <v>12460</v>
      </c>
      <c r="C938" s="175"/>
      <c r="D938" s="176" t="s">
        <v>12460</v>
      </c>
      <c r="E938" s="176">
        <v>107372</v>
      </c>
      <c r="F938" s="177" t="s">
        <v>21</v>
      </c>
      <c r="G938" s="178">
        <v>24336</v>
      </c>
      <c r="H938" s="179">
        <v>42844</v>
      </c>
      <c r="I938" s="178">
        <f t="shared" si="29"/>
        <v>24336</v>
      </c>
      <c r="J938" s="178">
        <f t="shared" si="30"/>
        <v>0</v>
      </c>
      <c r="K938" s="19"/>
    </row>
    <row r="939" spans="1:11" x14ac:dyDescent="0.25">
      <c r="A939" s="51">
        <v>42833</v>
      </c>
      <c r="B939" s="174" t="s">
        <v>12461</v>
      </c>
      <c r="C939" s="175"/>
      <c r="D939" s="176" t="s">
        <v>12461</v>
      </c>
      <c r="E939" s="176">
        <v>107373</v>
      </c>
      <c r="F939" s="182" t="s">
        <v>30</v>
      </c>
      <c r="G939" s="183">
        <v>0</v>
      </c>
      <c r="H939" s="184" t="s">
        <v>95</v>
      </c>
      <c r="I939" s="183">
        <f t="shared" si="29"/>
        <v>0</v>
      </c>
      <c r="J939" s="183">
        <f t="shared" si="30"/>
        <v>0</v>
      </c>
      <c r="K939" s="19"/>
    </row>
    <row r="940" spans="1:11" x14ac:dyDescent="0.25">
      <c r="A940" s="51">
        <v>42833</v>
      </c>
      <c r="B940" s="174" t="s">
        <v>12462</v>
      </c>
      <c r="C940" s="175"/>
      <c r="D940" s="176" t="s">
        <v>12462</v>
      </c>
      <c r="E940" s="176">
        <v>107374</v>
      </c>
      <c r="F940" s="177" t="s">
        <v>268</v>
      </c>
      <c r="G940" s="178">
        <v>18220.900000000001</v>
      </c>
      <c r="H940" s="179">
        <v>42837</v>
      </c>
      <c r="I940" s="178">
        <f t="shared" si="29"/>
        <v>18220.900000000001</v>
      </c>
      <c r="J940" s="178">
        <f t="shared" si="30"/>
        <v>0</v>
      </c>
      <c r="K940" s="19"/>
    </row>
    <row r="941" spans="1:11" x14ac:dyDescent="0.25">
      <c r="A941" s="51">
        <v>42833</v>
      </c>
      <c r="B941" s="174" t="s">
        <v>12463</v>
      </c>
      <c r="C941" s="175"/>
      <c r="D941" s="176" t="s">
        <v>12463</v>
      </c>
      <c r="E941" s="176">
        <v>107375</v>
      </c>
      <c r="F941" s="177" t="s">
        <v>432</v>
      </c>
      <c r="G941" s="178">
        <v>14348.4</v>
      </c>
      <c r="H941" s="179">
        <v>42837</v>
      </c>
      <c r="I941" s="178">
        <f t="shared" si="29"/>
        <v>14348.4</v>
      </c>
      <c r="J941" s="178">
        <f t="shared" si="30"/>
        <v>0</v>
      </c>
      <c r="K941" s="19"/>
    </row>
    <row r="942" spans="1:11" x14ac:dyDescent="0.25">
      <c r="A942" s="51">
        <v>42833</v>
      </c>
      <c r="B942" s="174" t="s">
        <v>12464</v>
      </c>
      <c r="C942" s="175"/>
      <c r="D942" s="176" t="s">
        <v>12464</v>
      </c>
      <c r="E942" s="176">
        <v>107376</v>
      </c>
      <c r="F942" s="177" t="s">
        <v>272</v>
      </c>
      <c r="G942" s="178">
        <v>3141.6</v>
      </c>
      <c r="H942" s="179">
        <v>42837</v>
      </c>
      <c r="I942" s="178">
        <f t="shared" si="29"/>
        <v>3141.6</v>
      </c>
      <c r="J942" s="178">
        <f t="shared" si="30"/>
        <v>0</v>
      </c>
      <c r="K942" s="19"/>
    </row>
    <row r="943" spans="1:11" x14ac:dyDescent="0.25">
      <c r="A943" s="51">
        <v>42833</v>
      </c>
      <c r="B943" s="174" t="s">
        <v>12465</v>
      </c>
      <c r="C943" s="175"/>
      <c r="D943" s="176" t="s">
        <v>12465</v>
      </c>
      <c r="E943" s="176">
        <v>107377</v>
      </c>
      <c r="F943" s="177" t="s">
        <v>30</v>
      </c>
      <c r="G943" s="178">
        <v>7200</v>
      </c>
      <c r="H943" s="179">
        <v>42837</v>
      </c>
      <c r="I943" s="178">
        <f t="shared" si="29"/>
        <v>7200</v>
      </c>
      <c r="J943" s="178">
        <f t="shared" si="30"/>
        <v>0</v>
      </c>
      <c r="K943" s="19"/>
    </row>
    <row r="944" spans="1:11" x14ac:dyDescent="0.25">
      <c r="A944" s="51">
        <v>42833</v>
      </c>
      <c r="B944" s="174" t="s">
        <v>12466</v>
      </c>
      <c r="C944" s="175"/>
      <c r="D944" s="176" t="s">
        <v>12466</v>
      </c>
      <c r="E944" s="176">
        <v>107378</v>
      </c>
      <c r="F944" s="177" t="s">
        <v>151</v>
      </c>
      <c r="G944" s="178">
        <v>15861.56</v>
      </c>
      <c r="H944" s="179">
        <v>42833</v>
      </c>
      <c r="I944" s="178">
        <f t="shared" si="29"/>
        <v>15861.56</v>
      </c>
      <c r="J944" s="178">
        <f t="shared" si="30"/>
        <v>0</v>
      </c>
      <c r="K944" s="19"/>
    </row>
    <row r="945" spans="1:11" ht="30" x14ac:dyDescent="0.25">
      <c r="A945" s="51">
        <v>42833</v>
      </c>
      <c r="B945" s="174" t="s">
        <v>12467</v>
      </c>
      <c r="C945" s="175"/>
      <c r="D945" s="176" t="s">
        <v>12467</v>
      </c>
      <c r="E945" s="176">
        <v>107379</v>
      </c>
      <c r="F945" s="177" t="s">
        <v>85</v>
      </c>
      <c r="G945" s="195">
        <v>21321.4</v>
      </c>
      <c r="H945" s="196" t="s">
        <v>12468</v>
      </c>
      <c r="I945" s="197">
        <f>7000+4321.4+10000</f>
        <v>21321.4</v>
      </c>
      <c r="J945" s="181">
        <f t="shared" si="30"/>
        <v>0</v>
      </c>
      <c r="K945" s="19"/>
    </row>
    <row r="946" spans="1:11" x14ac:dyDescent="0.25">
      <c r="A946" s="51">
        <v>42833</v>
      </c>
      <c r="B946" s="174" t="s">
        <v>12469</v>
      </c>
      <c r="C946" s="175"/>
      <c r="D946" s="176" t="s">
        <v>12469</v>
      </c>
      <c r="E946" s="176">
        <v>107380</v>
      </c>
      <c r="F946" s="182" t="s">
        <v>157</v>
      </c>
      <c r="G946" s="183">
        <v>0</v>
      </c>
      <c r="H946" s="184" t="s">
        <v>95</v>
      </c>
      <c r="I946" s="183">
        <f t="shared" si="29"/>
        <v>0</v>
      </c>
      <c r="J946" s="183">
        <f t="shared" si="30"/>
        <v>0</v>
      </c>
      <c r="K946" s="19"/>
    </row>
    <row r="947" spans="1:11" x14ac:dyDescent="0.25">
      <c r="A947" s="51">
        <v>42833</v>
      </c>
      <c r="B947" s="174" t="s">
        <v>12470</v>
      </c>
      <c r="C947" s="175"/>
      <c r="D947" s="176" t="s">
        <v>12470</v>
      </c>
      <c r="E947" s="176">
        <v>107381</v>
      </c>
      <c r="F947" s="177" t="s">
        <v>115</v>
      </c>
      <c r="G947" s="178">
        <v>6965.5</v>
      </c>
      <c r="H947" s="179">
        <v>42840</v>
      </c>
      <c r="I947" s="178">
        <f t="shared" si="29"/>
        <v>6965.5</v>
      </c>
      <c r="J947" s="178">
        <f t="shared" si="30"/>
        <v>0</v>
      </c>
      <c r="K947" s="19"/>
    </row>
    <row r="948" spans="1:11" x14ac:dyDescent="0.25">
      <c r="A948" s="51">
        <v>42833</v>
      </c>
      <c r="B948" s="174" t="s">
        <v>12471</v>
      </c>
      <c r="C948" s="175"/>
      <c r="D948" s="176" t="s">
        <v>12471</v>
      </c>
      <c r="E948" s="176">
        <v>107382</v>
      </c>
      <c r="F948" s="177" t="s">
        <v>157</v>
      </c>
      <c r="G948" s="178">
        <v>28866.3</v>
      </c>
      <c r="H948" s="179">
        <v>42833</v>
      </c>
      <c r="I948" s="178">
        <f t="shared" si="29"/>
        <v>28866.3</v>
      </c>
      <c r="J948" s="178">
        <f t="shared" si="30"/>
        <v>0</v>
      </c>
      <c r="K948" s="19"/>
    </row>
    <row r="949" spans="1:11" x14ac:dyDescent="0.25">
      <c r="A949" s="51">
        <v>42833</v>
      </c>
      <c r="B949" s="174" t="s">
        <v>12472</v>
      </c>
      <c r="C949" s="175"/>
      <c r="D949" s="176" t="s">
        <v>12472</v>
      </c>
      <c r="E949" s="176">
        <v>107383</v>
      </c>
      <c r="F949" s="177" t="s">
        <v>923</v>
      </c>
      <c r="G949" s="178">
        <v>21626.6</v>
      </c>
      <c r="H949" s="179">
        <v>42846</v>
      </c>
      <c r="I949" s="178">
        <f t="shared" si="29"/>
        <v>21626.6</v>
      </c>
      <c r="J949" s="178">
        <f t="shared" si="30"/>
        <v>0</v>
      </c>
      <c r="K949" s="19"/>
    </row>
    <row r="950" spans="1:11" x14ac:dyDescent="0.25">
      <c r="A950" s="51">
        <v>42833</v>
      </c>
      <c r="B950" s="174" t="s">
        <v>12473</v>
      </c>
      <c r="C950" s="175"/>
      <c r="D950" s="176" t="s">
        <v>12473</v>
      </c>
      <c r="E950" s="176">
        <v>107384</v>
      </c>
      <c r="F950" s="177" t="s">
        <v>305</v>
      </c>
      <c r="G950" s="178">
        <v>7871.6</v>
      </c>
      <c r="H950" s="179">
        <v>42842</v>
      </c>
      <c r="I950" s="178">
        <f t="shared" si="29"/>
        <v>7871.6</v>
      </c>
      <c r="J950" s="178">
        <f t="shared" si="30"/>
        <v>0</v>
      </c>
      <c r="K950" s="19"/>
    </row>
    <row r="951" spans="1:11" x14ac:dyDescent="0.25">
      <c r="A951" s="51">
        <v>42833</v>
      </c>
      <c r="B951" s="174" t="s">
        <v>12474</v>
      </c>
      <c r="C951" s="175"/>
      <c r="D951" s="176" t="s">
        <v>12474</v>
      </c>
      <c r="E951" s="176">
        <v>107385</v>
      </c>
      <c r="F951" s="177" t="s">
        <v>302</v>
      </c>
      <c r="G951" s="178">
        <v>8534.7999999999993</v>
      </c>
      <c r="H951" s="179">
        <v>42838</v>
      </c>
      <c r="I951" s="178">
        <f t="shared" si="29"/>
        <v>8534.7999999999993</v>
      </c>
      <c r="J951" s="178">
        <f t="shared" si="30"/>
        <v>0</v>
      </c>
      <c r="K951" s="19"/>
    </row>
    <row r="952" spans="1:11" x14ac:dyDescent="0.25">
      <c r="A952" s="51">
        <v>42833</v>
      </c>
      <c r="B952" s="174" t="s">
        <v>12475</v>
      </c>
      <c r="C952" s="175"/>
      <c r="D952" s="176" t="s">
        <v>12475</v>
      </c>
      <c r="E952" s="176">
        <v>107386</v>
      </c>
      <c r="F952" s="177" t="s">
        <v>476</v>
      </c>
      <c r="G952" s="178">
        <v>18934.2</v>
      </c>
      <c r="H952" s="179">
        <v>42837</v>
      </c>
      <c r="I952" s="178">
        <f t="shared" si="29"/>
        <v>18934.2</v>
      </c>
      <c r="J952" s="178">
        <f t="shared" si="30"/>
        <v>0</v>
      </c>
      <c r="K952" s="19"/>
    </row>
    <row r="953" spans="1:11" x14ac:dyDescent="0.25">
      <c r="A953" s="51">
        <v>42833</v>
      </c>
      <c r="B953" s="174" t="s">
        <v>12476</v>
      </c>
      <c r="C953" s="175"/>
      <c r="D953" s="176" t="s">
        <v>12476</v>
      </c>
      <c r="E953" s="176">
        <v>107387</v>
      </c>
      <c r="F953" s="177" t="s">
        <v>30</v>
      </c>
      <c r="G953" s="178">
        <v>520</v>
      </c>
      <c r="H953" s="179">
        <v>42833</v>
      </c>
      <c r="I953" s="178">
        <f t="shared" si="29"/>
        <v>520</v>
      </c>
      <c r="J953" s="178">
        <f t="shared" si="30"/>
        <v>0</v>
      </c>
      <c r="K953" s="19"/>
    </row>
    <row r="954" spans="1:11" x14ac:dyDescent="0.25">
      <c r="A954" s="51">
        <v>42833</v>
      </c>
      <c r="B954" s="174" t="s">
        <v>12477</v>
      </c>
      <c r="C954" s="175"/>
      <c r="D954" s="176" t="s">
        <v>12477</v>
      </c>
      <c r="E954" s="176">
        <v>107388</v>
      </c>
      <c r="F954" s="177" t="s">
        <v>329</v>
      </c>
      <c r="G954" s="178">
        <v>192</v>
      </c>
      <c r="H954" s="179">
        <v>42833</v>
      </c>
      <c r="I954" s="178">
        <f t="shared" si="29"/>
        <v>192</v>
      </c>
      <c r="J954" s="178">
        <f t="shared" si="30"/>
        <v>0</v>
      </c>
      <c r="K954" s="19"/>
    </row>
    <row r="955" spans="1:11" x14ac:dyDescent="0.25">
      <c r="A955" s="51">
        <v>42833</v>
      </c>
      <c r="B955" s="174" t="s">
        <v>12478</v>
      </c>
      <c r="C955" s="175"/>
      <c r="D955" s="176" t="s">
        <v>12478</v>
      </c>
      <c r="E955" s="176">
        <v>107389</v>
      </c>
      <c r="F955" s="177" t="s">
        <v>149</v>
      </c>
      <c r="G955" s="178">
        <v>7101.8</v>
      </c>
      <c r="H955" s="179">
        <v>42833</v>
      </c>
      <c r="I955" s="178">
        <f t="shared" si="29"/>
        <v>7101.8</v>
      </c>
      <c r="J955" s="178">
        <f t="shared" si="30"/>
        <v>0</v>
      </c>
      <c r="K955" s="19"/>
    </row>
    <row r="956" spans="1:11" x14ac:dyDescent="0.25">
      <c r="A956" s="51">
        <v>42833</v>
      </c>
      <c r="B956" s="174" t="s">
        <v>12479</v>
      </c>
      <c r="C956" s="175"/>
      <c r="D956" s="176" t="s">
        <v>12479</v>
      </c>
      <c r="E956" s="176">
        <v>107390</v>
      </c>
      <c r="F956" s="177" t="s">
        <v>10</v>
      </c>
      <c r="G956" s="178">
        <v>363300.4</v>
      </c>
      <c r="H956" s="179">
        <v>42835</v>
      </c>
      <c r="I956" s="178">
        <f t="shared" si="29"/>
        <v>363300.4</v>
      </c>
      <c r="J956" s="178">
        <f t="shared" si="30"/>
        <v>0</v>
      </c>
      <c r="K956" s="19"/>
    </row>
    <row r="957" spans="1:11" x14ac:dyDescent="0.25">
      <c r="A957" s="51">
        <v>42833</v>
      </c>
      <c r="B957" s="174" t="s">
        <v>12480</v>
      </c>
      <c r="C957" s="175"/>
      <c r="D957" s="176" t="s">
        <v>12480</v>
      </c>
      <c r="E957" s="176">
        <v>107391</v>
      </c>
      <c r="F957" s="177" t="s">
        <v>10</v>
      </c>
      <c r="G957" s="178">
        <v>85114.8</v>
      </c>
      <c r="H957" s="179">
        <v>42835</v>
      </c>
      <c r="I957" s="178">
        <f t="shared" si="29"/>
        <v>85114.8</v>
      </c>
      <c r="J957" s="178">
        <f t="shared" si="30"/>
        <v>0</v>
      </c>
      <c r="K957" s="19"/>
    </row>
    <row r="958" spans="1:11" x14ac:dyDescent="0.25">
      <c r="A958" s="51">
        <v>42833</v>
      </c>
      <c r="B958" s="174" t="s">
        <v>12481</v>
      </c>
      <c r="C958" s="175"/>
      <c r="D958" s="176" t="s">
        <v>12481</v>
      </c>
      <c r="E958" s="176">
        <v>107392</v>
      </c>
      <c r="F958" s="177" t="s">
        <v>61</v>
      </c>
      <c r="G958" s="178">
        <v>4513.6000000000004</v>
      </c>
      <c r="H958" s="179">
        <v>42834</v>
      </c>
      <c r="I958" s="178">
        <f t="shared" si="29"/>
        <v>4513.6000000000004</v>
      </c>
      <c r="J958" s="178">
        <f t="shared" si="30"/>
        <v>0</v>
      </c>
      <c r="K958" s="19"/>
    </row>
    <row r="959" spans="1:11" x14ac:dyDescent="0.25">
      <c r="A959" s="51">
        <v>42833</v>
      </c>
      <c r="B959" s="174" t="s">
        <v>12482</v>
      </c>
      <c r="C959" s="175"/>
      <c r="D959" s="176" t="s">
        <v>12482</v>
      </c>
      <c r="E959" s="176">
        <v>107393</v>
      </c>
      <c r="F959" s="177" t="s">
        <v>693</v>
      </c>
      <c r="G959" s="178">
        <v>6160</v>
      </c>
      <c r="H959" s="179">
        <v>42834</v>
      </c>
      <c r="I959" s="178">
        <f t="shared" si="29"/>
        <v>6160</v>
      </c>
      <c r="J959" s="178">
        <f t="shared" si="30"/>
        <v>0</v>
      </c>
      <c r="K959" s="19"/>
    </row>
    <row r="960" spans="1:11" x14ac:dyDescent="0.25">
      <c r="A960" s="51">
        <v>42833</v>
      </c>
      <c r="B960" s="174" t="s">
        <v>12483</v>
      </c>
      <c r="C960" s="175"/>
      <c r="D960" s="176" t="s">
        <v>12483</v>
      </c>
      <c r="E960" s="176">
        <v>107394</v>
      </c>
      <c r="F960" s="177" t="s">
        <v>909</v>
      </c>
      <c r="G960" s="178">
        <v>2922.5</v>
      </c>
      <c r="H960" s="179">
        <v>42834</v>
      </c>
      <c r="I960" s="178">
        <f t="shared" si="29"/>
        <v>2922.5</v>
      </c>
      <c r="J960" s="178">
        <f t="shared" si="30"/>
        <v>0</v>
      </c>
      <c r="K960" s="19"/>
    </row>
    <row r="961" spans="1:11" x14ac:dyDescent="0.25">
      <c r="A961" s="51">
        <v>42833</v>
      </c>
      <c r="B961" s="174" t="s">
        <v>12484</v>
      </c>
      <c r="C961" s="175"/>
      <c r="D961" s="176" t="s">
        <v>12484</v>
      </c>
      <c r="E961" s="176">
        <v>107395</v>
      </c>
      <c r="F961" s="177" t="s">
        <v>184</v>
      </c>
      <c r="G961" s="178">
        <v>1734.6</v>
      </c>
      <c r="H961" s="179">
        <v>42842</v>
      </c>
      <c r="I961" s="178">
        <f t="shared" si="29"/>
        <v>1734.6</v>
      </c>
      <c r="J961" s="178">
        <f t="shared" si="30"/>
        <v>0</v>
      </c>
      <c r="K961" s="19"/>
    </row>
    <row r="962" spans="1:11" x14ac:dyDescent="0.25">
      <c r="A962" s="51">
        <v>42833</v>
      </c>
      <c r="B962" s="174" t="s">
        <v>12485</v>
      </c>
      <c r="C962" s="175"/>
      <c r="D962" s="176" t="s">
        <v>12485</v>
      </c>
      <c r="E962" s="176">
        <v>107396</v>
      </c>
      <c r="F962" s="177" t="s">
        <v>186</v>
      </c>
      <c r="G962" s="178">
        <v>184</v>
      </c>
      <c r="H962" s="179">
        <v>42835</v>
      </c>
      <c r="I962" s="178">
        <f t="shared" si="29"/>
        <v>184</v>
      </c>
      <c r="J962" s="178">
        <f t="shared" si="30"/>
        <v>0</v>
      </c>
      <c r="K962" s="19"/>
    </row>
    <row r="963" spans="1:11" x14ac:dyDescent="0.25">
      <c r="A963" s="51">
        <v>42833</v>
      </c>
      <c r="B963" s="174" t="s">
        <v>12486</v>
      </c>
      <c r="C963" s="175"/>
      <c r="D963" s="176" t="s">
        <v>12486</v>
      </c>
      <c r="E963" s="176">
        <v>107397</v>
      </c>
      <c r="F963" s="177" t="s">
        <v>331</v>
      </c>
      <c r="G963" s="178">
        <v>1665.6</v>
      </c>
      <c r="H963" s="179">
        <v>42834</v>
      </c>
      <c r="I963" s="178">
        <f t="shared" si="29"/>
        <v>1665.6</v>
      </c>
      <c r="J963" s="178">
        <f t="shared" si="30"/>
        <v>0</v>
      </c>
      <c r="K963" s="19"/>
    </row>
    <row r="964" spans="1:11" x14ac:dyDescent="0.25">
      <c r="A964" s="51">
        <v>42833</v>
      </c>
      <c r="B964" s="174" t="s">
        <v>12487</v>
      </c>
      <c r="C964" s="175"/>
      <c r="D964" s="176" t="s">
        <v>12487</v>
      </c>
      <c r="E964" s="176">
        <v>107398</v>
      </c>
      <c r="F964" s="177" t="s">
        <v>57</v>
      </c>
      <c r="G964" s="178">
        <v>714</v>
      </c>
      <c r="H964" s="179">
        <v>42834</v>
      </c>
      <c r="I964" s="178">
        <f t="shared" ref="I964:I1027" si="31">G964</f>
        <v>714</v>
      </c>
      <c r="J964" s="178">
        <f t="shared" ref="J964:J1027" si="32">G964-I964</f>
        <v>0</v>
      </c>
      <c r="K964" s="19"/>
    </row>
    <row r="965" spans="1:11" x14ac:dyDescent="0.25">
      <c r="A965" s="51">
        <v>42833</v>
      </c>
      <c r="B965" s="174" t="s">
        <v>12488</v>
      </c>
      <c r="C965" s="175"/>
      <c r="D965" s="176" t="s">
        <v>12488</v>
      </c>
      <c r="E965" s="176">
        <v>107399</v>
      </c>
      <c r="F965" s="177" t="s">
        <v>45</v>
      </c>
      <c r="G965" s="178">
        <v>3473.8</v>
      </c>
      <c r="H965" s="179">
        <v>42834</v>
      </c>
      <c r="I965" s="178">
        <f t="shared" si="31"/>
        <v>3473.8</v>
      </c>
      <c r="J965" s="178">
        <f t="shared" si="32"/>
        <v>0</v>
      </c>
      <c r="K965" s="19"/>
    </row>
    <row r="966" spans="1:11" x14ac:dyDescent="0.25">
      <c r="A966" s="51">
        <v>42833</v>
      </c>
      <c r="B966" s="174" t="s">
        <v>12489</v>
      </c>
      <c r="C966" s="175"/>
      <c r="D966" s="176" t="s">
        <v>12489</v>
      </c>
      <c r="E966" s="176">
        <v>107400</v>
      </c>
      <c r="F966" s="177" t="s">
        <v>3997</v>
      </c>
      <c r="G966" s="178">
        <v>6499</v>
      </c>
      <c r="H966" s="179">
        <v>42834</v>
      </c>
      <c r="I966" s="178">
        <f t="shared" si="31"/>
        <v>6499</v>
      </c>
      <c r="J966" s="178">
        <f t="shared" si="32"/>
        <v>0</v>
      </c>
      <c r="K966" s="19"/>
    </row>
    <row r="967" spans="1:11" x14ac:dyDescent="0.25">
      <c r="A967" s="51">
        <v>42833</v>
      </c>
      <c r="B967" s="174" t="s">
        <v>12490</v>
      </c>
      <c r="C967" s="175"/>
      <c r="D967" s="176" t="s">
        <v>12490</v>
      </c>
      <c r="E967" s="176">
        <v>107401</v>
      </c>
      <c r="F967" s="177" t="s">
        <v>509</v>
      </c>
      <c r="G967" s="178">
        <v>27059.8</v>
      </c>
      <c r="H967" s="179">
        <v>42843</v>
      </c>
      <c r="I967" s="178">
        <f t="shared" si="31"/>
        <v>27059.8</v>
      </c>
      <c r="J967" s="178">
        <f t="shared" si="32"/>
        <v>0</v>
      </c>
      <c r="K967" s="19"/>
    </row>
    <row r="968" spans="1:11" x14ac:dyDescent="0.25">
      <c r="A968" s="51">
        <v>42833</v>
      </c>
      <c r="B968" s="174" t="s">
        <v>12491</v>
      </c>
      <c r="C968" s="175"/>
      <c r="D968" s="176" t="s">
        <v>12491</v>
      </c>
      <c r="E968" s="176">
        <v>107402</v>
      </c>
      <c r="F968" s="177" t="s">
        <v>289</v>
      </c>
      <c r="G968" s="178">
        <v>121549.99</v>
      </c>
      <c r="H968" s="186">
        <v>42851</v>
      </c>
      <c r="I968" s="187">
        <f t="shared" si="31"/>
        <v>121549.99</v>
      </c>
      <c r="J968" s="178">
        <f t="shared" si="32"/>
        <v>0</v>
      </c>
      <c r="K968" s="19"/>
    </row>
    <row r="969" spans="1:11" x14ac:dyDescent="0.25">
      <c r="A969" s="51">
        <v>42833</v>
      </c>
      <c r="B969" s="174" t="s">
        <v>12492</v>
      </c>
      <c r="C969" s="175"/>
      <c r="D969" s="176" t="s">
        <v>12492</v>
      </c>
      <c r="E969" s="176">
        <v>107403</v>
      </c>
      <c r="F969" s="177" t="s">
        <v>693</v>
      </c>
      <c r="G969" s="178">
        <v>15272.4</v>
      </c>
      <c r="H969" s="179">
        <v>42834</v>
      </c>
      <c r="I969" s="178">
        <f t="shared" si="31"/>
        <v>15272.4</v>
      </c>
      <c r="J969" s="178">
        <f t="shared" si="32"/>
        <v>0</v>
      </c>
      <c r="K969" s="19"/>
    </row>
    <row r="970" spans="1:11" x14ac:dyDescent="0.25">
      <c r="A970" s="51">
        <v>42833</v>
      </c>
      <c r="B970" s="174" t="s">
        <v>12493</v>
      </c>
      <c r="C970" s="175"/>
      <c r="D970" s="176" t="s">
        <v>12493</v>
      </c>
      <c r="E970" s="176">
        <v>107404</v>
      </c>
      <c r="F970" s="177" t="s">
        <v>222</v>
      </c>
      <c r="G970" s="178">
        <v>47443.1</v>
      </c>
      <c r="H970" s="179">
        <v>42837</v>
      </c>
      <c r="I970" s="178">
        <f t="shared" si="31"/>
        <v>47443.1</v>
      </c>
      <c r="J970" s="178">
        <f t="shared" si="32"/>
        <v>0</v>
      </c>
      <c r="K970" s="19"/>
    </row>
    <row r="971" spans="1:11" x14ac:dyDescent="0.25">
      <c r="A971" s="51">
        <v>42833</v>
      </c>
      <c r="B971" s="174" t="s">
        <v>12494</v>
      </c>
      <c r="C971" s="175"/>
      <c r="D971" s="176" t="s">
        <v>12494</v>
      </c>
      <c r="E971" s="176">
        <v>107405</v>
      </c>
      <c r="F971" s="177" t="s">
        <v>30</v>
      </c>
      <c r="G971" s="178">
        <v>120</v>
      </c>
      <c r="H971" s="179">
        <v>42833</v>
      </c>
      <c r="I971" s="178">
        <f t="shared" si="31"/>
        <v>120</v>
      </c>
      <c r="J971" s="178">
        <f t="shared" si="32"/>
        <v>0</v>
      </c>
      <c r="K971" s="19"/>
    </row>
    <row r="972" spans="1:11" x14ac:dyDescent="0.25">
      <c r="A972" s="51">
        <v>42833</v>
      </c>
      <c r="B972" s="174" t="s">
        <v>12495</v>
      </c>
      <c r="C972" s="175"/>
      <c r="D972" s="176" t="s">
        <v>12495</v>
      </c>
      <c r="E972" s="176">
        <v>107406</v>
      </c>
      <c r="F972" s="177" t="s">
        <v>176</v>
      </c>
      <c r="G972" s="178">
        <v>2251.1999999999998</v>
      </c>
      <c r="H972" s="179">
        <v>42833</v>
      </c>
      <c r="I972" s="178">
        <f t="shared" si="31"/>
        <v>2251.1999999999998</v>
      </c>
      <c r="J972" s="178">
        <f t="shared" si="32"/>
        <v>0</v>
      </c>
      <c r="K972" s="19"/>
    </row>
    <row r="973" spans="1:11" x14ac:dyDescent="0.25">
      <c r="A973" s="51">
        <v>42833</v>
      </c>
      <c r="B973" s="174" t="s">
        <v>12496</v>
      </c>
      <c r="C973" s="175"/>
      <c r="D973" s="176" t="s">
        <v>12496</v>
      </c>
      <c r="E973" s="176">
        <v>107407</v>
      </c>
      <c r="F973" s="177" t="s">
        <v>176</v>
      </c>
      <c r="G973" s="178">
        <v>172.8</v>
      </c>
      <c r="H973" s="179">
        <v>42833</v>
      </c>
      <c r="I973" s="178">
        <f t="shared" si="31"/>
        <v>172.8</v>
      </c>
      <c r="J973" s="178">
        <f t="shared" si="32"/>
        <v>0</v>
      </c>
      <c r="K973" s="19"/>
    </row>
    <row r="974" spans="1:11" x14ac:dyDescent="0.25">
      <c r="A974" s="51">
        <v>42833</v>
      </c>
      <c r="B974" s="174" t="s">
        <v>12497</v>
      </c>
      <c r="C974" s="175"/>
      <c r="D974" s="176" t="s">
        <v>12497</v>
      </c>
      <c r="E974" s="176">
        <v>107408</v>
      </c>
      <c r="F974" s="177" t="s">
        <v>523</v>
      </c>
      <c r="G974" s="178">
        <v>24137.200000000001</v>
      </c>
      <c r="H974" s="179">
        <v>42844</v>
      </c>
      <c r="I974" s="178">
        <f t="shared" si="31"/>
        <v>24137.200000000001</v>
      </c>
      <c r="J974" s="178">
        <f t="shared" si="32"/>
        <v>0</v>
      </c>
      <c r="K974" s="19"/>
    </row>
    <row r="975" spans="1:11" x14ac:dyDescent="0.25">
      <c r="A975" s="51">
        <v>42833</v>
      </c>
      <c r="B975" s="174" t="s">
        <v>12498</v>
      </c>
      <c r="C975" s="175"/>
      <c r="D975" s="176" t="s">
        <v>12498</v>
      </c>
      <c r="E975" s="176">
        <v>107409</v>
      </c>
      <c r="F975" s="177" t="s">
        <v>428</v>
      </c>
      <c r="G975" s="178">
        <v>441</v>
      </c>
      <c r="H975" s="179">
        <v>42837</v>
      </c>
      <c r="I975" s="178">
        <f t="shared" si="31"/>
        <v>441</v>
      </c>
      <c r="J975" s="178">
        <f t="shared" si="32"/>
        <v>0</v>
      </c>
      <c r="K975" s="19"/>
    </row>
    <row r="976" spans="1:11" x14ac:dyDescent="0.25">
      <c r="A976" s="51">
        <v>42833</v>
      </c>
      <c r="B976" s="174" t="s">
        <v>12499</v>
      </c>
      <c r="C976" s="175"/>
      <c r="D976" s="176" t="s">
        <v>12499</v>
      </c>
      <c r="E976" s="176">
        <v>107410</v>
      </c>
      <c r="F976" s="177" t="s">
        <v>30</v>
      </c>
      <c r="G976" s="178">
        <v>2028</v>
      </c>
      <c r="H976" s="179">
        <v>42833</v>
      </c>
      <c r="I976" s="178">
        <f t="shared" si="31"/>
        <v>2028</v>
      </c>
      <c r="J976" s="178">
        <f t="shared" si="32"/>
        <v>0</v>
      </c>
      <c r="K976" s="19"/>
    </row>
    <row r="977" spans="1:11" x14ac:dyDescent="0.25">
      <c r="A977" s="51">
        <v>42833</v>
      </c>
      <c r="B977" s="174" t="s">
        <v>12500</v>
      </c>
      <c r="C977" s="175"/>
      <c r="D977" s="176" t="s">
        <v>12500</v>
      </c>
      <c r="E977" s="176">
        <v>107411</v>
      </c>
      <c r="F977" s="177" t="s">
        <v>5113</v>
      </c>
      <c r="G977" s="178">
        <v>8945.2000000000007</v>
      </c>
      <c r="H977" s="179">
        <v>42833</v>
      </c>
      <c r="I977" s="178">
        <f t="shared" si="31"/>
        <v>8945.2000000000007</v>
      </c>
      <c r="J977" s="178">
        <f t="shared" si="32"/>
        <v>0</v>
      </c>
      <c r="K977" s="19"/>
    </row>
    <row r="978" spans="1:11" x14ac:dyDescent="0.25">
      <c r="A978" s="51">
        <v>42833</v>
      </c>
      <c r="B978" s="174" t="s">
        <v>12501</v>
      </c>
      <c r="C978" s="175"/>
      <c r="D978" s="176" t="s">
        <v>12501</v>
      </c>
      <c r="E978" s="176">
        <v>107412</v>
      </c>
      <c r="F978" s="177" t="s">
        <v>422</v>
      </c>
      <c r="G978" s="178">
        <v>5020.8</v>
      </c>
      <c r="H978" s="179">
        <v>42833</v>
      </c>
      <c r="I978" s="178">
        <f t="shared" si="31"/>
        <v>5020.8</v>
      </c>
      <c r="J978" s="178">
        <f t="shared" si="32"/>
        <v>0</v>
      </c>
      <c r="K978" s="19"/>
    </row>
    <row r="979" spans="1:11" x14ac:dyDescent="0.25">
      <c r="A979" s="51">
        <v>42833</v>
      </c>
      <c r="B979" s="174" t="s">
        <v>12502</v>
      </c>
      <c r="C979" s="175"/>
      <c r="D979" s="176" t="s">
        <v>12502</v>
      </c>
      <c r="E979" s="176">
        <v>107413</v>
      </c>
      <c r="F979" s="177" t="s">
        <v>222</v>
      </c>
      <c r="G979" s="178">
        <v>356625</v>
      </c>
      <c r="H979" s="179">
        <v>42837</v>
      </c>
      <c r="I979" s="178">
        <f t="shared" si="31"/>
        <v>356625</v>
      </c>
      <c r="J979" s="178">
        <f t="shared" si="32"/>
        <v>0</v>
      </c>
      <c r="K979" s="19"/>
    </row>
    <row r="980" spans="1:11" x14ac:dyDescent="0.25">
      <c r="A980" s="51">
        <v>42833</v>
      </c>
      <c r="B980" s="174" t="s">
        <v>12503</v>
      </c>
      <c r="C980" s="175"/>
      <c r="D980" s="176" t="s">
        <v>12503</v>
      </c>
      <c r="E980" s="176">
        <v>107414</v>
      </c>
      <c r="F980" s="177" t="s">
        <v>253</v>
      </c>
      <c r="G980" s="178">
        <v>5775</v>
      </c>
      <c r="H980" s="179">
        <v>42836</v>
      </c>
      <c r="I980" s="178">
        <f t="shared" si="31"/>
        <v>5775</v>
      </c>
      <c r="J980" s="178">
        <f t="shared" si="32"/>
        <v>0</v>
      </c>
      <c r="K980" s="19"/>
    </row>
    <row r="981" spans="1:11" x14ac:dyDescent="0.25">
      <c r="A981" s="51">
        <v>42833</v>
      </c>
      <c r="B981" s="174" t="s">
        <v>12504</v>
      </c>
      <c r="C981" s="175"/>
      <c r="D981" s="176" t="s">
        <v>12504</v>
      </c>
      <c r="E981" s="176">
        <v>107415</v>
      </c>
      <c r="F981" s="177" t="s">
        <v>226</v>
      </c>
      <c r="G981" s="178">
        <v>1473.6</v>
      </c>
      <c r="H981" s="179">
        <v>42836</v>
      </c>
      <c r="I981" s="178">
        <f t="shared" si="31"/>
        <v>1473.6</v>
      </c>
      <c r="J981" s="178">
        <f t="shared" si="32"/>
        <v>0</v>
      </c>
      <c r="K981" s="19"/>
    </row>
    <row r="982" spans="1:11" x14ac:dyDescent="0.25">
      <c r="A982" s="51">
        <v>42833</v>
      </c>
      <c r="B982" s="174" t="s">
        <v>12505</v>
      </c>
      <c r="C982" s="175"/>
      <c r="D982" s="176" t="s">
        <v>12505</v>
      </c>
      <c r="E982" s="176">
        <v>107416</v>
      </c>
      <c r="F982" s="177" t="s">
        <v>30</v>
      </c>
      <c r="G982" s="178">
        <v>592.79999999999995</v>
      </c>
      <c r="H982" s="179">
        <v>42833</v>
      </c>
      <c r="I982" s="178">
        <f t="shared" si="31"/>
        <v>592.79999999999995</v>
      </c>
      <c r="J982" s="178">
        <f t="shared" si="32"/>
        <v>0</v>
      </c>
      <c r="K982" s="19"/>
    </row>
    <row r="983" spans="1:11" x14ac:dyDescent="0.25">
      <c r="A983" s="51">
        <v>42833</v>
      </c>
      <c r="B983" s="174" t="s">
        <v>12506</v>
      </c>
      <c r="C983" s="175"/>
      <c r="D983" s="176" t="s">
        <v>12506</v>
      </c>
      <c r="E983" s="176">
        <v>107417</v>
      </c>
      <c r="F983" s="177" t="s">
        <v>492</v>
      </c>
      <c r="G983" s="178">
        <v>25363.599999999999</v>
      </c>
      <c r="H983" s="179">
        <v>42834</v>
      </c>
      <c r="I983" s="178">
        <f t="shared" si="31"/>
        <v>25363.599999999999</v>
      </c>
      <c r="J983" s="178">
        <f t="shared" si="32"/>
        <v>0</v>
      </c>
      <c r="K983" s="19"/>
    </row>
    <row r="984" spans="1:11" x14ac:dyDescent="0.25">
      <c r="A984" s="51">
        <v>42833</v>
      </c>
      <c r="B984" s="174" t="s">
        <v>12507</v>
      </c>
      <c r="C984" s="175"/>
      <c r="D984" s="176" t="s">
        <v>12507</v>
      </c>
      <c r="E984" s="176">
        <v>107418</v>
      </c>
      <c r="F984" s="177" t="s">
        <v>785</v>
      </c>
      <c r="G984" s="178">
        <v>5870</v>
      </c>
      <c r="H984" s="179">
        <v>42834</v>
      </c>
      <c r="I984" s="178">
        <f t="shared" si="31"/>
        <v>5870</v>
      </c>
      <c r="J984" s="178">
        <f t="shared" si="32"/>
        <v>0</v>
      </c>
      <c r="K984" s="19"/>
    </row>
    <row r="985" spans="1:11" x14ac:dyDescent="0.25">
      <c r="A985" s="51">
        <v>42833</v>
      </c>
      <c r="B985" s="174" t="s">
        <v>12508</v>
      </c>
      <c r="C985" s="175"/>
      <c r="D985" s="176" t="s">
        <v>12508</v>
      </c>
      <c r="E985" s="176">
        <v>107419</v>
      </c>
      <c r="F985" s="177" t="s">
        <v>122</v>
      </c>
      <c r="G985" s="178">
        <v>6061</v>
      </c>
      <c r="H985" s="179">
        <v>42837</v>
      </c>
      <c r="I985" s="178">
        <f t="shared" si="31"/>
        <v>6061</v>
      </c>
      <c r="J985" s="178">
        <f t="shared" si="32"/>
        <v>0</v>
      </c>
      <c r="K985" s="19"/>
    </row>
    <row r="986" spans="1:11" x14ac:dyDescent="0.25">
      <c r="A986" s="51">
        <v>42833</v>
      </c>
      <c r="B986" s="174" t="s">
        <v>12509</v>
      </c>
      <c r="C986" s="175"/>
      <c r="D986" s="176" t="s">
        <v>12509</v>
      </c>
      <c r="E986" s="176">
        <v>107420</v>
      </c>
      <c r="F986" s="177" t="s">
        <v>122</v>
      </c>
      <c r="G986" s="178">
        <v>25408</v>
      </c>
      <c r="H986" s="179">
        <v>42837</v>
      </c>
      <c r="I986" s="178">
        <f t="shared" si="31"/>
        <v>25408</v>
      </c>
      <c r="J986" s="178">
        <f t="shared" si="32"/>
        <v>0</v>
      </c>
      <c r="K986" s="19"/>
    </row>
    <row r="987" spans="1:11" x14ac:dyDescent="0.25">
      <c r="A987" s="51">
        <v>42833</v>
      </c>
      <c r="B987" s="174" t="s">
        <v>12510</v>
      </c>
      <c r="C987" s="175"/>
      <c r="D987" s="176" t="s">
        <v>12510</v>
      </c>
      <c r="E987" s="176">
        <v>107421</v>
      </c>
      <c r="F987" s="182" t="s">
        <v>30</v>
      </c>
      <c r="G987" s="183">
        <v>0</v>
      </c>
      <c r="H987" s="184" t="s">
        <v>95</v>
      </c>
      <c r="I987" s="183">
        <f t="shared" si="31"/>
        <v>0</v>
      </c>
      <c r="J987" s="183">
        <f t="shared" si="32"/>
        <v>0</v>
      </c>
      <c r="K987" s="19"/>
    </row>
    <row r="988" spans="1:11" x14ac:dyDescent="0.25">
      <c r="A988" s="51">
        <v>42833</v>
      </c>
      <c r="B988" s="174" t="s">
        <v>12511</v>
      </c>
      <c r="C988" s="175"/>
      <c r="D988" s="176" t="s">
        <v>12511</v>
      </c>
      <c r="E988" s="176">
        <v>107422</v>
      </c>
      <c r="F988" s="177" t="s">
        <v>30</v>
      </c>
      <c r="G988" s="178">
        <v>2175.8000000000002</v>
      </c>
      <c r="H988" s="179">
        <v>42833</v>
      </c>
      <c r="I988" s="178">
        <f t="shared" si="31"/>
        <v>2175.8000000000002</v>
      </c>
      <c r="J988" s="178">
        <f t="shared" si="32"/>
        <v>0</v>
      </c>
      <c r="K988" s="19"/>
    </row>
    <row r="989" spans="1:11" x14ac:dyDescent="0.25">
      <c r="A989" s="51">
        <v>42833</v>
      </c>
      <c r="B989" s="174" t="s">
        <v>12512</v>
      </c>
      <c r="C989" s="175"/>
      <c r="D989" s="176" t="s">
        <v>12512</v>
      </c>
      <c r="E989" s="176">
        <v>107423</v>
      </c>
      <c r="F989" s="177" t="s">
        <v>426</v>
      </c>
      <c r="G989" s="178">
        <v>12551.9</v>
      </c>
      <c r="H989" s="179">
        <v>42844</v>
      </c>
      <c r="I989" s="178">
        <f t="shared" si="31"/>
        <v>12551.9</v>
      </c>
      <c r="J989" s="178">
        <f t="shared" si="32"/>
        <v>0</v>
      </c>
      <c r="K989" s="19"/>
    </row>
    <row r="990" spans="1:11" x14ac:dyDescent="0.25">
      <c r="A990" s="51">
        <v>42833</v>
      </c>
      <c r="B990" s="174" t="s">
        <v>12513</v>
      </c>
      <c r="C990" s="175"/>
      <c r="D990" s="176" t="s">
        <v>12513</v>
      </c>
      <c r="E990" s="176">
        <v>107424</v>
      </c>
      <c r="F990" s="177" t="s">
        <v>426</v>
      </c>
      <c r="G990" s="178">
        <v>4341.1000000000004</v>
      </c>
      <c r="H990" s="179">
        <v>42844</v>
      </c>
      <c r="I990" s="178">
        <f t="shared" si="31"/>
        <v>4341.1000000000004</v>
      </c>
      <c r="J990" s="178">
        <f t="shared" si="32"/>
        <v>0</v>
      </c>
      <c r="K990" s="19"/>
    </row>
    <row r="991" spans="1:11" x14ac:dyDescent="0.25">
      <c r="A991" s="51">
        <v>42833</v>
      </c>
      <c r="B991" s="174" t="s">
        <v>12514</v>
      </c>
      <c r="C991" s="175"/>
      <c r="D991" s="176" t="s">
        <v>12514</v>
      </c>
      <c r="E991" s="176">
        <v>107425</v>
      </c>
      <c r="F991" s="177" t="s">
        <v>182</v>
      </c>
      <c r="G991" s="178">
        <v>5048.3999999999996</v>
      </c>
      <c r="H991" s="179">
        <v>42835</v>
      </c>
      <c r="I991" s="178">
        <f t="shared" si="31"/>
        <v>5048.3999999999996</v>
      </c>
      <c r="J991" s="178">
        <f t="shared" si="32"/>
        <v>0</v>
      </c>
      <c r="K991" s="19"/>
    </row>
    <row r="992" spans="1:11" x14ac:dyDescent="0.25">
      <c r="A992" s="51">
        <v>42833</v>
      </c>
      <c r="B992" s="174" t="s">
        <v>12515</v>
      </c>
      <c r="C992" s="175"/>
      <c r="D992" s="176" t="s">
        <v>12515</v>
      </c>
      <c r="E992" s="176">
        <v>107426</v>
      </c>
      <c r="F992" s="177" t="s">
        <v>193</v>
      </c>
      <c r="G992" s="178">
        <v>3407.1</v>
      </c>
      <c r="H992" s="179">
        <v>42835</v>
      </c>
      <c r="I992" s="178">
        <f t="shared" si="31"/>
        <v>3407.1</v>
      </c>
      <c r="J992" s="178">
        <f t="shared" si="32"/>
        <v>0</v>
      </c>
      <c r="K992" s="19"/>
    </row>
    <row r="993" spans="1:11" x14ac:dyDescent="0.25">
      <c r="A993" s="51">
        <v>42833</v>
      </c>
      <c r="B993" s="174" t="s">
        <v>12516</v>
      </c>
      <c r="C993" s="175"/>
      <c r="D993" s="176" t="s">
        <v>12516</v>
      </c>
      <c r="E993" s="176">
        <v>107427</v>
      </c>
      <c r="F993" s="177" t="s">
        <v>2535</v>
      </c>
      <c r="G993" s="178">
        <v>976.1</v>
      </c>
      <c r="H993" s="179">
        <v>42835</v>
      </c>
      <c r="I993" s="178">
        <f t="shared" si="31"/>
        <v>976.1</v>
      </c>
      <c r="J993" s="178">
        <f t="shared" si="32"/>
        <v>0</v>
      </c>
      <c r="K993" s="19"/>
    </row>
    <row r="994" spans="1:11" x14ac:dyDescent="0.25">
      <c r="A994" s="51">
        <v>42833</v>
      </c>
      <c r="B994" s="174" t="s">
        <v>12517</v>
      </c>
      <c r="C994" s="175"/>
      <c r="D994" s="176" t="s">
        <v>12517</v>
      </c>
      <c r="E994" s="176">
        <v>107428</v>
      </c>
      <c r="F994" s="177" t="s">
        <v>531</v>
      </c>
      <c r="G994" s="178">
        <v>3199.2</v>
      </c>
      <c r="H994" s="179">
        <v>42836</v>
      </c>
      <c r="I994" s="178">
        <f t="shared" si="31"/>
        <v>3199.2</v>
      </c>
      <c r="J994" s="178">
        <f t="shared" si="32"/>
        <v>0</v>
      </c>
      <c r="K994" s="19"/>
    </row>
    <row r="995" spans="1:11" x14ac:dyDescent="0.25">
      <c r="A995" s="51">
        <v>42833</v>
      </c>
      <c r="B995" s="174" t="s">
        <v>12518</v>
      </c>
      <c r="C995" s="175"/>
      <c r="D995" s="176" t="s">
        <v>12518</v>
      </c>
      <c r="E995" s="176">
        <v>107429</v>
      </c>
      <c r="F995" s="177" t="s">
        <v>10</v>
      </c>
      <c r="G995" s="178">
        <v>97655.4</v>
      </c>
      <c r="H995" s="179">
        <v>42835</v>
      </c>
      <c r="I995" s="178">
        <f t="shared" si="31"/>
        <v>97655.4</v>
      </c>
      <c r="J995" s="178">
        <f t="shared" si="32"/>
        <v>0</v>
      </c>
      <c r="K995" s="19"/>
    </row>
    <row r="996" spans="1:11" x14ac:dyDescent="0.25">
      <c r="A996" s="51">
        <v>42833</v>
      </c>
      <c r="B996" s="174" t="s">
        <v>12519</v>
      </c>
      <c r="C996" s="175"/>
      <c r="D996" s="176" t="s">
        <v>12519</v>
      </c>
      <c r="E996" s="176">
        <v>107430</v>
      </c>
      <c r="F996" s="177" t="s">
        <v>921</v>
      </c>
      <c r="G996" s="178">
        <v>12667.2</v>
      </c>
      <c r="H996" s="179">
        <v>42833</v>
      </c>
      <c r="I996" s="178">
        <f t="shared" si="31"/>
        <v>12667.2</v>
      </c>
      <c r="J996" s="178">
        <f t="shared" si="32"/>
        <v>0</v>
      </c>
      <c r="K996" s="19"/>
    </row>
    <row r="997" spans="1:11" x14ac:dyDescent="0.25">
      <c r="A997" s="51">
        <v>42833</v>
      </c>
      <c r="B997" s="174" t="s">
        <v>12520</v>
      </c>
      <c r="C997" s="175"/>
      <c r="D997" s="176" t="s">
        <v>12520</v>
      </c>
      <c r="E997" s="176">
        <v>107431</v>
      </c>
      <c r="F997" s="177" t="s">
        <v>10031</v>
      </c>
      <c r="G997" s="178">
        <v>10439.6</v>
      </c>
      <c r="H997" s="179">
        <v>42833</v>
      </c>
      <c r="I997" s="178">
        <f t="shared" si="31"/>
        <v>10439.6</v>
      </c>
      <c r="J997" s="178">
        <f t="shared" si="32"/>
        <v>0</v>
      </c>
      <c r="K997" s="19"/>
    </row>
    <row r="998" spans="1:11" x14ac:dyDescent="0.25">
      <c r="A998" s="51">
        <v>42833</v>
      </c>
      <c r="B998" s="174" t="s">
        <v>12521</v>
      </c>
      <c r="C998" s="175"/>
      <c r="D998" s="176" t="s">
        <v>12521</v>
      </c>
      <c r="E998" s="176">
        <v>107432</v>
      </c>
      <c r="F998" s="177" t="s">
        <v>55</v>
      </c>
      <c r="G998" s="178">
        <v>5121.2</v>
      </c>
      <c r="H998" s="179">
        <v>42833</v>
      </c>
      <c r="I998" s="178">
        <f t="shared" si="31"/>
        <v>5121.2</v>
      </c>
      <c r="J998" s="178">
        <f t="shared" si="32"/>
        <v>0</v>
      </c>
      <c r="K998" s="19"/>
    </row>
    <row r="999" spans="1:11" x14ac:dyDescent="0.25">
      <c r="A999" s="51">
        <v>42833</v>
      </c>
      <c r="B999" s="174" t="s">
        <v>12522</v>
      </c>
      <c r="C999" s="175"/>
      <c r="D999" s="176" t="s">
        <v>12522</v>
      </c>
      <c r="E999" s="176">
        <v>107433</v>
      </c>
      <c r="F999" s="177" t="s">
        <v>12</v>
      </c>
      <c r="G999" s="178">
        <v>2855.7</v>
      </c>
      <c r="H999" s="179">
        <v>42834</v>
      </c>
      <c r="I999" s="178">
        <f t="shared" si="31"/>
        <v>2855.7</v>
      </c>
      <c r="J999" s="178">
        <f t="shared" si="32"/>
        <v>0</v>
      </c>
      <c r="K999" s="19"/>
    </row>
    <row r="1000" spans="1:11" x14ac:dyDescent="0.25">
      <c r="A1000" s="51">
        <v>42833</v>
      </c>
      <c r="B1000" s="174" t="s">
        <v>12523</v>
      </c>
      <c r="C1000" s="175"/>
      <c r="D1000" s="176" t="s">
        <v>12523</v>
      </c>
      <c r="E1000" s="176">
        <v>107434</v>
      </c>
      <c r="F1000" s="177" t="s">
        <v>937</v>
      </c>
      <c r="G1000" s="178">
        <v>2846.6</v>
      </c>
      <c r="H1000" s="179">
        <v>42834</v>
      </c>
      <c r="I1000" s="178">
        <f t="shared" si="31"/>
        <v>2846.6</v>
      </c>
      <c r="J1000" s="178">
        <f t="shared" si="32"/>
        <v>0</v>
      </c>
      <c r="K1000" s="19"/>
    </row>
    <row r="1001" spans="1:11" x14ac:dyDescent="0.25">
      <c r="A1001" s="51">
        <v>42833</v>
      </c>
      <c r="B1001" s="174" t="s">
        <v>12524</v>
      </c>
      <c r="C1001" s="175"/>
      <c r="D1001" s="176" t="s">
        <v>12524</v>
      </c>
      <c r="E1001" s="176">
        <v>107435</v>
      </c>
      <c r="F1001" s="177" t="s">
        <v>472</v>
      </c>
      <c r="G1001" s="178">
        <v>6263.2</v>
      </c>
      <c r="H1001" s="179">
        <v>42837</v>
      </c>
      <c r="I1001" s="178">
        <f t="shared" si="31"/>
        <v>6263.2</v>
      </c>
      <c r="J1001" s="178">
        <f t="shared" si="32"/>
        <v>0</v>
      </c>
      <c r="K1001" s="19"/>
    </row>
    <row r="1002" spans="1:11" x14ac:dyDescent="0.25">
      <c r="A1002" s="51">
        <v>42833</v>
      </c>
      <c r="B1002" s="174" t="s">
        <v>12525</v>
      </c>
      <c r="C1002" s="175"/>
      <c r="D1002" s="176" t="s">
        <v>12525</v>
      </c>
      <c r="E1002" s="176">
        <v>107436</v>
      </c>
      <c r="F1002" s="177" t="s">
        <v>10</v>
      </c>
      <c r="G1002" s="178">
        <v>102290.4</v>
      </c>
      <c r="H1002" s="180" t="s">
        <v>12526</v>
      </c>
      <c r="I1002" s="181">
        <f>59023.49+43266.91</f>
        <v>102290.4</v>
      </c>
      <c r="J1002" s="181">
        <f t="shared" si="32"/>
        <v>0</v>
      </c>
      <c r="K1002" s="19"/>
    </row>
    <row r="1003" spans="1:11" x14ac:dyDescent="0.25">
      <c r="A1003" s="51">
        <v>42833</v>
      </c>
      <c r="B1003" s="174" t="s">
        <v>12527</v>
      </c>
      <c r="C1003" s="175"/>
      <c r="D1003" s="176" t="s">
        <v>12527</v>
      </c>
      <c r="E1003" s="176">
        <v>107437</v>
      </c>
      <c r="F1003" s="177" t="s">
        <v>430</v>
      </c>
      <c r="G1003" s="178">
        <v>2697.4</v>
      </c>
      <c r="H1003" s="179">
        <v>42833</v>
      </c>
      <c r="I1003" s="178">
        <f t="shared" si="31"/>
        <v>2697.4</v>
      </c>
      <c r="J1003" s="178">
        <f t="shared" si="32"/>
        <v>0</v>
      </c>
      <c r="K1003" s="19"/>
    </row>
    <row r="1004" spans="1:11" x14ac:dyDescent="0.25">
      <c r="A1004" s="51">
        <v>42833</v>
      </c>
      <c r="B1004" s="174" t="s">
        <v>12528</v>
      </c>
      <c r="C1004" s="175"/>
      <c r="D1004" s="176" t="s">
        <v>12528</v>
      </c>
      <c r="E1004" s="176">
        <v>107438</v>
      </c>
      <c r="F1004" s="177" t="s">
        <v>222</v>
      </c>
      <c r="G1004" s="178">
        <v>722404</v>
      </c>
      <c r="H1004" s="179">
        <v>42848</v>
      </c>
      <c r="I1004" s="178">
        <f t="shared" si="31"/>
        <v>722404</v>
      </c>
      <c r="J1004" s="178">
        <f t="shared" si="32"/>
        <v>0</v>
      </c>
      <c r="K1004" s="19"/>
    </row>
    <row r="1005" spans="1:11" x14ac:dyDescent="0.25">
      <c r="A1005" s="51">
        <v>42834</v>
      </c>
      <c r="B1005" s="174" t="s">
        <v>12529</v>
      </c>
      <c r="C1005" s="175"/>
      <c r="D1005" s="176" t="s">
        <v>12529</v>
      </c>
      <c r="E1005" s="176">
        <v>107439</v>
      </c>
      <c r="F1005" s="177" t="s">
        <v>231</v>
      </c>
      <c r="G1005" s="178">
        <v>5253</v>
      </c>
      <c r="H1005" s="179">
        <v>42834</v>
      </c>
      <c r="I1005" s="178">
        <f t="shared" si="31"/>
        <v>5253</v>
      </c>
      <c r="J1005" s="178">
        <f t="shared" si="32"/>
        <v>0</v>
      </c>
      <c r="K1005" s="19"/>
    </row>
    <row r="1006" spans="1:11" x14ac:dyDescent="0.25">
      <c r="A1006" s="51">
        <v>42834</v>
      </c>
      <c r="B1006" s="174" t="s">
        <v>12530</v>
      </c>
      <c r="C1006" s="175"/>
      <c r="D1006" s="176" t="s">
        <v>12530</v>
      </c>
      <c r="E1006" s="176">
        <v>107440</v>
      </c>
      <c r="F1006" s="177" t="s">
        <v>231</v>
      </c>
      <c r="G1006" s="178">
        <v>39276.800000000003</v>
      </c>
      <c r="H1006" s="179">
        <v>42835</v>
      </c>
      <c r="I1006" s="178">
        <f t="shared" si="31"/>
        <v>39276.800000000003</v>
      </c>
      <c r="J1006" s="178">
        <f t="shared" si="32"/>
        <v>0</v>
      </c>
      <c r="K1006" s="19"/>
    </row>
    <row r="1007" spans="1:11" x14ac:dyDescent="0.25">
      <c r="A1007" s="51">
        <v>42834</v>
      </c>
      <c r="B1007" s="174" t="s">
        <v>12531</v>
      </c>
      <c r="C1007" s="175"/>
      <c r="D1007" s="176" t="s">
        <v>12531</v>
      </c>
      <c r="E1007" s="176">
        <v>107441</v>
      </c>
      <c r="F1007" s="177" t="s">
        <v>17</v>
      </c>
      <c r="G1007" s="178">
        <v>4620</v>
      </c>
      <c r="H1007" s="179">
        <v>42834</v>
      </c>
      <c r="I1007" s="178">
        <f t="shared" si="31"/>
        <v>4620</v>
      </c>
      <c r="J1007" s="178">
        <f t="shared" si="32"/>
        <v>0</v>
      </c>
      <c r="K1007" s="19"/>
    </row>
    <row r="1008" spans="1:11" x14ac:dyDescent="0.25">
      <c r="A1008" s="51">
        <v>42834</v>
      </c>
      <c r="B1008" s="174" t="s">
        <v>12532</v>
      </c>
      <c r="C1008" s="175"/>
      <c r="D1008" s="176" t="s">
        <v>12532</v>
      </c>
      <c r="E1008" s="176">
        <v>107442</v>
      </c>
      <c r="F1008" s="177" t="s">
        <v>222</v>
      </c>
      <c r="G1008" s="178">
        <v>44896.52</v>
      </c>
      <c r="H1008" s="179">
        <v>42841</v>
      </c>
      <c r="I1008" s="178">
        <f t="shared" si="31"/>
        <v>44896.52</v>
      </c>
      <c r="J1008" s="178">
        <f t="shared" si="32"/>
        <v>0</v>
      </c>
      <c r="K1008" s="19"/>
    </row>
    <row r="1009" spans="1:11" x14ac:dyDescent="0.25">
      <c r="A1009" s="51">
        <v>42834</v>
      </c>
      <c r="B1009" s="174" t="s">
        <v>12533</v>
      </c>
      <c r="C1009" s="175"/>
      <c r="D1009" s="176" t="s">
        <v>12533</v>
      </c>
      <c r="E1009" s="176">
        <v>107443</v>
      </c>
      <c r="F1009" s="177" t="s">
        <v>69</v>
      </c>
      <c r="G1009" s="178">
        <v>1204.2</v>
      </c>
      <c r="H1009" s="179">
        <v>42834</v>
      </c>
      <c r="I1009" s="178">
        <f t="shared" si="31"/>
        <v>1204.2</v>
      </c>
      <c r="J1009" s="178">
        <f t="shared" si="32"/>
        <v>0</v>
      </c>
      <c r="K1009" s="19"/>
    </row>
    <row r="1010" spans="1:11" x14ac:dyDescent="0.25">
      <c r="A1010" s="51">
        <v>42834</v>
      </c>
      <c r="B1010" s="174" t="s">
        <v>12534</v>
      </c>
      <c r="C1010" s="175"/>
      <c r="D1010" s="176" t="s">
        <v>12534</v>
      </c>
      <c r="E1010" s="176">
        <v>107444</v>
      </c>
      <c r="F1010" s="177" t="s">
        <v>1786</v>
      </c>
      <c r="G1010" s="178">
        <v>9452.7999999999993</v>
      </c>
      <c r="H1010" s="179">
        <v>42834</v>
      </c>
      <c r="I1010" s="178">
        <f t="shared" si="31"/>
        <v>9452.7999999999993</v>
      </c>
      <c r="J1010" s="178">
        <f t="shared" si="32"/>
        <v>0</v>
      </c>
      <c r="K1010" s="19"/>
    </row>
    <row r="1011" spans="1:11" x14ac:dyDescent="0.25">
      <c r="A1011" s="51">
        <v>42834</v>
      </c>
      <c r="B1011" s="174" t="s">
        <v>12535</v>
      </c>
      <c r="C1011" s="175"/>
      <c r="D1011" s="176" t="s">
        <v>12535</v>
      </c>
      <c r="E1011" s="176">
        <v>107445</v>
      </c>
      <c r="F1011" s="177" t="s">
        <v>12536</v>
      </c>
      <c r="G1011" s="178">
        <v>1872</v>
      </c>
      <c r="H1011" s="179">
        <v>42834</v>
      </c>
      <c r="I1011" s="178">
        <f t="shared" si="31"/>
        <v>1872</v>
      </c>
      <c r="J1011" s="178">
        <f t="shared" si="32"/>
        <v>0</v>
      </c>
      <c r="K1011" s="19"/>
    </row>
    <row r="1012" spans="1:11" x14ac:dyDescent="0.25">
      <c r="A1012" s="51">
        <v>42834</v>
      </c>
      <c r="B1012" s="174" t="s">
        <v>12537</v>
      </c>
      <c r="C1012" s="175"/>
      <c r="D1012" s="176" t="s">
        <v>12537</v>
      </c>
      <c r="E1012" s="176">
        <v>107446</v>
      </c>
      <c r="F1012" s="177" t="s">
        <v>28</v>
      </c>
      <c r="G1012" s="178">
        <v>11704</v>
      </c>
      <c r="H1012" s="179">
        <v>42834</v>
      </c>
      <c r="I1012" s="178">
        <f t="shared" si="31"/>
        <v>11704</v>
      </c>
      <c r="J1012" s="178">
        <f t="shared" si="32"/>
        <v>0</v>
      </c>
      <c r="K1012" s="19"/>
    </row>
    <row r="1013" spans="1:11" x14ac:dyDescent="0.25">
      <c r="A1013" s="51">
        <v>42834</v>
      </c>
      <c r="B1013" s="174" t="s">
        <v>12538</v>
      </c>
      <c r="C1013" s="175"/>
      <c r="D1013" s="176" t="s">
        <v>12538</v>
      </c>
      <c r="E1013" s="176">
        <v>107447</v>
      </c>
      <c r="F1013" s="177" t="s">
        <v>236</v>
      </c>
      <c r="G1013" s="178">
        <v>36581.08</v>
      </c>
      <c r="H1013" s="179">
        <v>42838</v>
      </c>
      <c r="I1013" s="178">
        <f t="shared" si="31"/>
        <v>36581.08</v>
      </c>
      <c r="J1013" s="178">
        <f t="shared" si="32"/>
        <v>0</v>
      </c>
      <c r="K1013" s="19"/>
    </row>
    <row r="1014" spans="1:11" x14ac:dyDescent="0.25">
      <c r="A1014" s="51">
        <v>42834</v>
      </c>
      <c r="B1014" s="174" t="s">
        <v>12539</v>
      </c>
      <c r="C1014" s="175"/>
      <c r="D1014" s="176" t="s">
        <v>12539</v>
      </c>
      <c r="E1014" s="176">
        <v>107448</v>
      </c>
      <c r="F1014" s="177" t="s">
        <v>26</v>
      </c>
      <c r="G1014" s="178">
        <v>23116.5</v>
      </c>
      <c r="H1014" s="179">
        <v>42834</v>
      </c>
      <c r="I1014" s="178">
        <f t="shared" si="31"/>
        <v>23116.5</v>
      </c>
      <c r="J1014" s="178">
        <f t="shared" si="32"/>
        <v>0</v>
      </c>
      <c r="K1014" s="19"/>
    </row>
    <row r="1015" spans="1:11" x14ac:dyDescent="0.25">
      <c r="A1015" s="51">
        <v>42834</v>
      </c>
      <c r="B1015" s="174" t="s">
        <v>12540</v>
      </c>
      <c r="C1015" s="175"/>
      <c r="D1015" s="176" t="s">
        <v>12540</v>
      </c>
      <c r="E1015" s="176">
        <v>107449</v>
      </c>
      <c r="F1015" s="177" t="s">
        <v>143</v>
      </c>
      <c r="G1015" s="178">
        <v>5981.3</v>
      </c>
      <c r="H1015" s="179">
        <v>42834</v>
      </c>
      <c r="I1015" s="178">
        <f t="shared" si="31"/>
        <v>5981.3</v>
      </c>
      <c r="J1015" s="178">
        <f t="shared" si="32"/>
        <v>0</v>
      </c>
      <c r="K1015" s="19"/>
    </row>
    <row r="1016" spans="1:11" x14ac:dyDescent="0.25">
      <c r="A1016" s="51">
        <v>42834</v>
      </c>
      <c r="B1016" s="174" t="s">
        <v>12541</v>
      </c>
      <c r="C1016" s="175"/>
      <c r="D1016" s="176" t="s">
        <v>12541</v>
      </c>
      <c r="E1016" s="176">
        <v>107450</v>
      </c>
      <c r="F1016" s="177" t="s">
        <v>1925</v>
      </c>
      <c r="G1016" s="178">
        <v>366.3</v>
      </c>
      <c r="H1016" s="179">
        <v>42834</v>
      </c>
      <c r="I1016" s="178">
        <f t="shared" si="31"/>
        <v>366.3</v>
      </c>
      <c r="J1016" s="178">
        <f t="shared" si="32"/>
        <v>0</v>
      </c>
      <c r="K1016" s="19"/>
    </row>
    <row r="1017" spans="1:11" x14ac:dyDescent="0.25">
      <c r="A1017" s="51">
        <v>42834</v>
      </c>
      <c r="B1017" s="174" t="s">
        <v>12542</v>
      </c>
      <c r="C1017" s="175"/>
      <c r="D1017" s="176" t="s">
        <v>12542</v>
      </c>
      <c r="E1017" s="176">
        <v>107451</v>
      </c>
      <c r="F1017" s="177" t="s">
        <v>47</v>
      </c>
      <c r="G1017" s="178">
        <v>2351.8000000000002</v>
      </c>
      <c r="H1017" s="179">
        <v>42834</v>
      </c>
      <c r="I1017" s="178">
        <f t="shared" si="31"/>
        <v>2351.8000000000002</v>
      </c>
      <c r="J1017" s="178">
        <f t="shared" si="32"/>
        <v>0</v>
      </c>
      <c r="K1017" s="19"/>
    </row>
    <row r="1018" spans="1:11" x14ac:dyDescent="0.25">
      <c r="A1018" s="51">
        <v>42834</v>
      </c>
      <c r="B1018" s="174" t="s">
        <v>12543</v>
      </c>
      <c r="C1018" s="175"/>
      <c r="D1018" s="176" t="s">
        <v>12543</v>
      </c>
      <c r="E1018" s="176">
        <v>107452</v>
      </c>
      <c r="F1018" s="177" t="s">
        <v>67</v>
      </c>
      <c r="G1018" s="178">
        <v>3001.6</v>
      </c>
      <c r="H1018" s="179">
        <v>42835</v>
      </c>
      <c r="I1018" s="178">
        <f t="shared" si="31"/>
        <v>3001.6</v>
      </c>
      <c r="J1018" s="178">
        <f t="shared" si="32"/>
        <v>0</v>
      </c>
      <c r="K1018" s="19"/>
    </row>
    <row r="1019" spans="1:11" x14ac:dyDescent="0.25">
      <c r="A1019" s="51">
        <v>42834</v>
      </c>
      <c r="B1019" s="174" t="s">
        <v>12544</v>
      </c>
      <c r="C1019" s="175"/>
      <c r="D1019" s="176" t="s">
        <v>12544</v>
      </c>
      <c r="E1019" s="176">
        <v>107453</v>
      </c>
      <c r="F1019" s="177" t="s">
        <v>3425</v>
      </c>
      <c r="G1019" s="178">
        <v>1330.7</v>
      </c>
      <c r="H1019" s="179">
        <v>42834</v>
      </c>
      <c r="I1019" s="178">
        <f t="shared" si="31"/>
        <v>1330.7</v>
      </c>
      <c r="J1019" s="178">
        <f t="shared" si="32"/>
        <v>0</v>
      </c>
      <c r="K1019" s="19"/>
    </row>
    <row r="1020" spans="1:11" x14ac:dyDescent="0.25">
      <c r="A1020" s="51">
        <v>42834</v>
      </c>
      <c r="B1020" s="174" t="s">
        <v>12545</v>
      </c>
      <c r="C1020" s="175"/>
      <c r="D1020" s="176" t="s">
        <v>12545</v>
      </c>
      <c r="E1020" s="176">
        <v>107454</v>
      </c>
      <c r="F1020" s="177" t="s">
        <v>1116</v>
      </c>
      <c r="G1020" s="178">
        <v>710</v>
      </c>
      <c r="H1020" s="179">
        <v>42834</v>
      </c>
      <c r="I1020" s="178">
        <f t="shared" si="31"/>
        <v>710</v>
      </c>
      <c r="J1020" s="178">
        <f t="shared" si="32"/>
        <v>0</v>
      </c>
      <c r="K1020" s="19"/>
    </row>
    <row r="1021" spans="1:11" x14ac:dyDescent="0.25">
      <c r="A1021" s="51">
        <v>42834</v>
      </c>
      <c r="B1021" s="174" t="s">
        <v>12546</v>
      </c>
      <c r="C1021" s="175"/>
      <c r="D1021" s="176" t="s">
        <v>12546</v>
      </c>
      <c r="E1021" s="176">
        <v>107455</v>
      </c>
      <c r="F1021" s="177" t="s">
        <v>1090</v>
      </c>
      <c r="G1021" s="178">
        <v>1125</v>
      </c>
      <c r="H1021" s="179">
        <v>42834</v>
      </c>
      <c r="I1021" s="178">
        <f t="shared" si="31"/>
        <v>1125</v>
      </c>
      <c r="J1021" s="178">
        <f t="shared" si="32"/>
        <v>0</v>
      </c>
      <c r="K1021" s="19"/>
    </row>
    <row r="1022" spans="1:11" x14ac:dyDescent="0.25">
      <c r="A1022" s="51">
        <v>42834</v>
      </c>
      <c r="B1022" s="174" t="s">
        <v>12547</v>
      </c>
      <c r="C1022" s="175"/>
      <c r="D1022" s="176" t="s">
        <v>12547</v>
      </c>
      <c r="E1022" s="176">
        <v>107456</v>
      </c>
      <c r="F1022" s="177" t="s">
        <v>7182</v>
      </c>
      <c r="G1022" s="178">
        <v>1089.5999999999999</v>
      </c>
      <c r="H1022" s="179">
        <v>42835</v>
      </c>
      <c r="I1022" s="178">
        <f t="shared" si="31"/>
        <v>1089.5999999999999</v>
      </c>
      <c r="J1022" s="178">
        <f t="shared" si="32"/>
        <v>0</v>
      </c>
      <c r="K1022" s="19"/>
    </row>
    <row r="1023" spans="1:11" x14ac:dyDescent="0.25">
      <c r="A1023" s="51">
        <v>42834</v>
      </c>
      <c r="B1023" s="174" t="s">
        <v>12548</v>
      </c>
      <c r="C1023" s="175"/>
      <c r="D1023" s="176" t="s">
        <v>12548</v>
      </c>
      <c r="E1023" s="176">
        <v>107457</v>
      </c>
      <c r="F1023" s="177" t="s">
        <v>1645</v>
      </c>
      <c r="G1023" s="178">
        <v>1352.6</v>
      </c>
      <c r="H1023" s="179">
        <v>42834</v>
      </c>
      <c r="I1023" s="178">
        <f t="shared" si="31"/>
        <v>1352.6</v>
      </c>
      <c r="J1023" s="178">
        <f t="shared" si="32"/>
        <v>0</v>
      </c>
    </row>
    <row r="1024" spans="1:11" x14ac:dyDescent="0.25">
      <c r="A1024" s="51">
        <v>42834</v>
      </c>
      <c r="B1024" s="174" t="s">
        <v>12549</v>
      </c>
      <c r="C1024" s="175"/>
      <c r="D1024" s="176" t="s">
        <v>12549</v>
      </c>
      <c r="E1024" s="176">
        <v>107458</v>
      </c>
      <c r="F1024" s="177" t="s">
        <v>79</v>
      </c>
      <c r="G1024" s="178">
        <v>2953.6</v>
      </c>
      <c r="H1024" s="179">
        <v>42834</v>
      </c>
      <c r="I1024" s="178">
        <f t="shared" si="31"/>
        <v>2953.6</v>
      </c>
      <c r="J1024" s="178">
        <f t="shared" si="32"/>
        <v>0</v>
      </c>
      <c r="K1024" s="19"/>
    </row>
    <row r="1025" spans="1:10" x14ac:dyDescent="0.25">
      <c r="A1025" s="51">
        <v>42834</v>
      </c>
      <c r="B1025" s="174" t="s">
        <v>12550</v>
      </c>
      <c r="C1025" s="175"/>
      <c r="D1025" s="176" t="s">
        <v>12550</v>
      </c>
      <c r="E1025" s="176">
        <v>107459</v>
      </c>
      <c r="F1025" s="177" t="s">
        <v>30</v>
      </c>
      <c r="G1025" s="178">
        <v>2482</v>
      </c>
      <c r="H1025" s="179">
        <v>42834</v>
      </c>
      <c r="I1025" s="178">
        <f t="shared" si="31"/>
        <v>2482</v>
      </c>
      <c r="J1025" s="178">
        <f t="shared" si="32"/>
        <v>0</v>
      </c>
    </row>
    <row r="1026" spans="1:10" x14ac:dyDescent="0.25">
      <c r="A1026" s="51">
        <v>42834</v>
      </c>
      <c r="B1026" s="174" t="s">
        <v>12551</v>
      </c>
      <c r="C1026" s="175"/>
      <c r="D1026" s="176" t="s">
        <v>12551</v>
      </c>
      <c r="E1026" s="176">
        <v>107460</v>
      </c>
      <c r="F1026" s="177" t="s">
        <v>71</v>
      </c>
      <c r="G1026" s="178">
        <v>4032</v>
      </c>
      <c r="H1026" s="179">
        <v>42834</v>
      </c>
      <c r="I1026" s="178">
        <f t="shared" si="31"/>
        <v>4032</v>
      </c>
      <c r="J1026" s="178">
        <f t="shared" si="32"/>
        <v>0</v>
      </c>
    </row>
    <row r="1027" spans="1:10" x14ac:dyDescent="0.25">
      <c r="A1027" s="51">
        <v>42834</v>
      </c>
      <c r="B1027" s="174" t="s">
        <v>12552</v>
      </c>
      <c r="C1027" s="175"/>
      <c r="D1027" s="176" t="s">
        <v>12552</v>
      </c>
      <c r="E1027" s="176">
        <v>107461</v>
      </c>
      <c r="F1027" s="177" t="s">
        <v>240</v>
      </c>
      <c r="G1027" s="178">
        <v>3200</v>
      </c>
      <c r="H1027" s="179">
        <v>42834</v>
      </c>
      <c r="I1027" s="178">
        <f t="shared" si="31"/>
        <v>3200</v>
      </c>
      <c r="J1027" s="178">
        <f t="shared" si="32"/>
        <v>0</v>
      </c>
    </row>
    <row r="1028" spans="1:10" x14ac:dyDescent="0.25">
      <c r="A1028" s="51">
        <v>42834</v>
      </c>
      <c r="B1028" s="174" t="s">
        <v>12553</v>
      </c>
      <c r="C1028" s="175"/>
      <c r="D1028" s="176" t="s">
        <v>12553</v>
      </c>
      <c r="E1028" s="176">
        <v>107462</v>
      </c>
      <c r="F1028" s="177" t="s">
        <v>858</v>
      </c>
      <c r="G1028" s="178">
        <v>1534</v>
      </c>
      <c r="H1028" s="179">
        <v>42834</v>
      </c>
      <c r="I1028" s="178">
        <f t="shared" ref="I1028:I1091" si="33">G1028</f>
        <v>1534</v>
      </c>
      <c r="J1028" s="178">
        <f t="shared" ref="J1028:J1091" si="34">G1028-I1028</f>
        <v>0</v>
      </c>
    </row>
    <row r="1029" spans="1:10" x14ac:dyDescent="0.25">
      <c r="A1029" s="51">
        <v>42834</v>
      </c>
      <c r="B1029" s="174" t="s">
        <v>12554</v>
      </c>
      <c r="C1029" s="175"/>
      <c r="D1029" s="176" t="s">
        <v>12554</v>
      </c>
      <c r="E1029" s="176">
        <v>107463</v>
      </c>
      <c r="F1029" s="177" t="s">
        <v>139</v>
      </c>
      <c r="G1029" s="178">
        <v>547.29999999999995</v>
      </c>
      <c r="H1029" s="179">
        <v>42834</v>
      </c>
      <c r="I1029" s="178">
        <f t="shared" si="33"/>
        <v>547.29999999999995</v>
      </c>
      <c r="J1029" s="178">
        <f t="shared" si="34"/>
        <v>0</v>
      </c>
    </row>
    <row r="1030" spans="1:10" x14ac:dyDescent="0.25">
      <c r="A1030" s="51">
        <v>42834</v>
      </c>
      <c r="B1030" s="174" t="s">
        <v>12555</v>
      </c>
      <c r="C1030" s="175"/>
      <c r="D1030" s="176" t="s">
        <v>12555</v>
      </c>
      <c r="E1030" s="176">
        <v>107464</v>
      </c>
      <c r="F1030" s="177" t="s">
        <v>858</v>
      </c>
      <c r="G1030" s="178">
        <v>274.39999999999998</v>
      </c>
      <c r="H1030" s="179">
        <v>42834</v>
      </c>
      <c r="I1030" s="178">
        <f t="shared" si="33"/>
        <v>274.39999999999998</v>
      </c>
      <c r="J1030" s="178">
        <f t="shared" si="34"/>
        <v>0</v>
      </c>
    </row>
    <row r="1031" spans="1:10" x14ac:dyDescent="0.25">
      <c r="A1031" s="51">
        <v>42834</v>
      </c>
      <c r="B1031" s="174" t="s">
        <v>12556</v>
      </c>
      <c r="C1031" s="175"/>
      <c r="D1031" s="176" t="s">
        <v>12556</v>
      </c>
      <c r="E1031" s="176">
        <v>107465</v>
      </c>
      <c r="F1031" s="177" t="s">
        <v>240</v>
      </c>
      <c r="G1031" s="178">
        <v>355.2</v>
      </c>
      <c r="H1031" s="179">
        <v>42834</v>
      </c>
      <c r="I1031" s="178">
        <f t="shared" si="33"/>
        <v>355.2</v>
      </c>
      <c r="J1031" s="178">
        <f t="shared" si="34"/>
        <v>0</v>
      </c>
    </row>
    <row r="1032" spans="1:10" x14ac:dyDescent="0.25">
      <c r="A1032" s="51">
        <v>42834</v>
      </c>
      <c r="B1032" s="174" t="s">
        <v>12557</v>
      </c>
      <c r="C1032" s="175"/>
      <c r="D1032" s="176" t="s">
        <v>12557</v>
      </c>
      <c r="E1032" s="176">
        <v>107466</v>
      </c>
      <c r="F1032" s="177" t="s">
        <v>205</v>
      </c>
      <c r="G1032" s="178">
        <v>80144.7</v>
      </c>
      <c r="H1032" s="179">
        <v>42850</v>
      </c>
      <c r="I1032" s="178">
        <f t="shared" si="33"/>
        <v>80144.7</v>
      </c>
      <c r="J1032" s="178">
        <f t="shared" si="34"/>
        <v>0</v>
      </c>
    </row>
    <row r="1033" spans="1:10" x14ac:dyDescent="0.25">
      <c r="A1033" s="51">
        <v>42834</v>
      </c>
      <c r="B1033" s="174" t="s">
        <v>12558</v>
      </c>
      <c r="C1033" s="175"/>
      <c r="D1033" s="176" t="s">
        <v>12558</v>
      </c>
      <c r="E1033" s="176">
        <v>107467</v>
      </c>
      <c r="F1033" s="177" t="s">
        <v>111</v>
      </c>
      <c r="G1033" s="178">
        <v>1732.2</v>
      </c>
      <c r="H1033" s="179">
        <v>42834</v>
      </c>
      <c r="I1033" s="178">
        <f t="shared" si="33"/>
        <v>1732.2</v>
      </c>
      <c r="J1033" s="178">
        <f t="shared" si="34"/>
        <v>0</v>
      </c>
    </row>
    <row r="1034" spans="1:10" x14ac:dyDescent="0.25">
      <c r="A1034" s="51">
        <v>42834</v>
      </c>
      <c r="B1034" s="174" t="s">
        <v>12559</v>
      </c>
      <c r="C1034" s="175"/>
      <c r="D1034" s="176" t="s">
        <v>12559</v>
      </c>
      <c r="E1034" s="176">
        <v>107468</v>
      </c>
      <c r="F1034" s="177" t="s">
        <v>157</v>
      </c>
      <c r="G1034" s="178">
        <v>17517.8</v>
      </c>
      <c r="H1034" s="179">
        <v>42834</v>
      </c>
      <c r="I1034" s="178">
        <f t="shared" si="33"/>
        <v>17517.8</v>
      </c>
      <c r="J1034" s="178">
        <f t="shared" si="34"/>
        <v>0</v>
      </c>
    </row>
    <row r="1035" spans="1:10" x14ac:dyDescent="0.25">
      <c r="A1035" s="51">
        <v>42834</v>
      </c>
      <c r="B1035" s="174" t="s">
        <v>12560</v>
      </c>
      <c r="C1035" s="175"/>
      <c r="D1035" s="176" t="s">
        <v>12560</v>
      </c>
      <c r="E1035" s="176">
        <v>107469</v>
      </c>
      <c r="F1035" s="182" t="s">
        <v>30</v>
      </c>
      <c r="G1035" s="183">
        <v>0</v>
      </c>
      <c r="H1035" s="184" t="s">
        <v>95</v>
      </c>
      <c r="I1035" s="183">
        <f t="shared" si="33"/>
        <v>0</v>
      </c>
      <c r="J1035" s="183">
        <f t="shared" si="34"/>
        <v>0</v>
      </c>
    </row>
    <row r="1036" spans="1:10" x14ac:dyDescent="0.25">
      <c r="A1036" s="51">
        <v>42834</v>
      </c>
      <c r="B1036" s="174" t="s">
        <v>12561</v>
      </c>
      <c r="C1036" s="175"/>
      <c r="D1036" s="176" t="s">
        <v>12561</v>
      </c>
      <c r="E1036" s="176">
        <v>107470</v>
      </c>
      <c r="F1036" s="177" t="s">
        <v>30</v>
      </c>
      <c r="G1036" s="178">
        <v>470</v>
      </c>
      <c r="H1036" s="179">
        <v>42834</v>
      </c>
      <c r="I1036" s="178">
        <f t="shared" si="33"/>
        <v>470</v>
      </c>
      <c r="J1036" s="178">
        <f t="shared" si="34"/>
        <v>0</v>
      </c>
    </row>
    <row r="1037" spans="1:10" x14ac:dyDescent="0.25">
      <c r="A1037" s="51">
        <v>42834</v>
      </c>
      <c r="B1037" s="174" t="s">
        <v>12562</v>
      </c>
      <c r="C1037" s="175"/>
      <c r="D1037" s="176" t="s">
        <v>12562</v>
      </c>
      <c r="E1037" s="176">
        <v>107471</v>
      </c>
      <c r="F1037" s="177" t="s">
        <v>21</v>
      </c>
      <c r="G1037" s="178">
        <v>45984</v>
      </c>
      <c r="H1037" s="186">
        <v>42851</v>
      </c>
      <c r="I1037" s="187">
        <f t="shared" si="33"/>
        <v>45984</v>
      </c>
      <c r="J1037" s="178">
        <f t="shared" si="34"/>
        <v>0</v>
      </c>
    </row>
    <row r="1038" spans="1:10" x14ac:dyDescent="0.25">
      <c r="A1038" s="51">
        <v>42834</v>
      </c>
      <c r="B1038" s="174" t="s">
        <v>12563</v>
      </c>
      <c r="C1038" s="175"/>
      <c r="D1038" s="176" t="s">
        <v>12563</v>
      </c>
      <c r="E1038" s="176">
        <v>107472</v>
      </c>
      <c r="F1038" s="177" t="s">
        <v>10</v>
      </c>
      <c r="G1038" s="178">
        <v>43951.7</v>
      </c>
      <c r="H1038" s="179">
        <v>42840</v>
      </c>
      <c r="I1038" s="178">
        <f t="shared" si="33"/>
        <v>43951.7</v>
      </c>
      <c r="J1038" s="178">
        <f t="shared" si="34"/>
        <v>0</v>
      </c>
    </row>
    <row r="1039" spans="1:10" x14ac:dyDescent="0.25">
      <c r="A1039" s="51">
        <v>42834</v>
      </c>
      <c r="B1039" s="174" t="s">
        <v>12564</v>
      </c>
      <c r="C1039" s="175"/>
      <c r="D1039" s="176" t="s">
        <v>12564</v>
      </c>
      <c r="E1039" s="176">
        <v>107473</v>
      </c>
      <c r="F1039" s="177" t="s">
        <v>81</v>
      </c>
      <c r="G1039" s="178">
        <v>8440.6</v>
      </c>
      <c r="H1039" s="179">
        <v>42835</v>
      </c>
      <c r="I1039" s="178">
        <f t="shared" si="33"/>
        <v>8440.6</v>
      </c>
      <c r="J1039" s="178">
        <f t="shared" si="34"/>
        <v>0</v>
      </c>
    </row>
    <row r="1040" spans="1:10" x14ac:dyDescent="0.25">
      <c r="A1040" s="51">
        <v>42834</v>
      </c>
      <c r="B1040" s="174" t="s">
        <v>12565</v>
      </c>
      <c r="C1040" s="175"/>
      <c r="D1040" s="176" t="s">
        <v>12565</v>
      </c>
      <c r="E1040" s="176">
        <v>107474</v>
      </c>
      <c r="F1040" s="177" t="s">
        <v>101</v>
      </c>
      <c r="G1040" s="178">
        <v>1264.2</v>
      </c>
      <c r="H1040" s="179">
        <v>42835</v>
      </c>
      <c r="I1040" s="178">
        <f t="shared" si="33"/>
        <v>1264.2</v>
      </c>
      <c r="J1040" s="178">
        <f t="shared" si="34"/>
        <v>0</v>
      </c>
    </row>
    <row r="1041" spans="1:10" x14ac:dyDescent="0.25">
      <c r="A1041" s="51">
        <v>42834</v>
      </c>
      <c r="B1041" s="174" t="s">
        <v>12566</v>
      </c>
      <c r="C1041" s="175"/>
      <c r="D1041" s="176" t="s">
        <v>12566</v>
      </c>
      <c r="E1041" s="176">
        <v>107475</v>
      </c>
      <c r="F1041" s="177" t="s">
        <v>168</v>
      </c>
      <c r="G1041" s="178">
        <v>1041.8</v>
      </c>
      <c r="H1041" s="179">
        <v>42834</v>
      </c>
      <c r="I1041" s="178">
        <f t="shared" si="33"/>
        <v>1041.8</v>
      </c>
      <c r="J1041" s="178">
        <f t="shared" si="34"/>
        <v>0</v>
      </c>
    </row>
    <row r="1042" spans="1:10" x14ac:dyDescent="0.25">
      <c r="A1042" s="51">
        <v>42834</v>
      </c>
      <c r="B1042" s="174" t="s">
        <v>12567</v>
      </c>
      <c r="C1042" s="175"/>
      <c r="D1042" s="176" t="s">
        <v>12567</v>
      </c>
      <c r="E1042" s="176">
        <v>107476</v>
      </c>
      <c r="F1042" s="177" t="s">
        <v>281</v>
      </c>
      <c r="G1042" s="178">
        <v>3120.2</v>
      </c>
      <c r="H1042" s="179">
        <v>42835</v>
      </c>
      <c r="I1042" s="178">
        <f t="shared" si="33"/>
        <v>3120.2</v>
      </c>
      <c r="J1042" s="178">
        <f t="shared" si="34"/>
        <v>0</v>
      </c>
    </row>
    <row r="1043" spans="1:10" x14ac:dyDescent="0.25">
      <c r="A1043" s="51">
        <v>42834</v>
      </c>
      <c r="B1043" s="174" t="s">
        <v>12568</v>
      </c>
      <c r="C1043" s="175"/>
      <c r="D1043" s="176" t="s">
        <v>12568</v>
      </c>
      <c r="E1043" s="176">
        <v>107477</v>
      </c>
      <c r="F1043" s="177" t="s">
        <v>99</v>
      </c>
      <c r="G1043" s="178">
        <v>3150</v>
      </c>
      <c r="H1043" s="179">
        <v>42835</v>
      </c>
      <c r="I1043" s="178">
        <f t="shared" si="33"/>
        <v>3150</v>
      </c>
      <c r="J1043" s="178">
        <f t="shared" si="34"/>
        <v>0</v>
      </c>
    </row>
    <row r="1044" spans="1:10" x14ac:dyDescent="0.25">
      <c r="A1044" s="51">
        <v>42834</v>
      </c>
      <c r="B1044" s="174" t="s">
        <v>12569</v>
      </c>
      <c r="C1044" s="175"/>
      <c r="D1044" s="176" t="s">
        <v>12569</v>
      </c>
      <c r="E1044" s="176">
        <v>107478</v>
      </c>
      <c r="F1044" s="177" t="s">
        <v>1259</v>
      </c>
      <c r="G1044" s="178">
        <v>2558.4</v>
      </c>
      <c r="H1044" s="179">
        <v>42835</v>
      </c>
      <c r="I1044" s="178">
        <f t="shared" si="33"/>
        <v>2558.4</v>
      </c>
      <c r="J1044" s="178">
        <f t="shared" si="34"/>
        <v>0</v>
      </c>
    </row>
    <row r="1045" spans="1:10" x14ac:dyDescent="0.25">
      <c r="A1045" s="51">
        <v>42834</v>
      </c>
      <c r="B1045" s="174" t="s">
        <v>12570</v>
      </c>
      <c r="C1045" s="175"/>
      <c r="D1045" s="176" t="s">
        <v>12570</v>
      </c>
      <c r="E1045" s="176">
        <v>107479</v>
      </c>
      <c r="F1045" s="177" t="s">
        <v>291</v>
      </c>
      <c r="G1045" s="178">
        <v>2673.3</v>
      </c>
      <c r="H1045" s="179">
        <v>42835</v>
      </c>
      <c r="I1045" s="178">
        <f t="shared" si="33"/>
        <v>2673.3</v>
      </c>
      <c r="J1045" s="178">
        <f t="shared" si="34"/>
        <v>0</v>
      </c>
    </row>
    <row r="1046" spans="1:10" x14ac:dyDescent="0.25">
      <c r="A1046" s="51">
        <v>42834</v>
      </c>
      <c r="B1046" s="174" t="s">
        <v>12571</v>
      </c>
      <c r="C1046" s="175"/>
      <c r="D1046" s="176" t="s">
        <v>12571</v>
      </c>
      <c r="E1046" s="176">
        <v>107480</v>
      </c>
      <c r="F1046" s="177" t="s">
        <v>83</v>
      </c>
      <c r="G1046" s="178">
        <v>4493.5</v>
      </c>
      <c r="H1046" s="179">
        <v>42835</v>
      </c>
      <c r="I1046" s="178">
        <f t="shared" si="33"/>
        <v>4493.5</v>
      </c>
      <c r="J1046" s="178">
        <f t="shared" si="34"/>
        <v>0</v>
      </c>
    </row>
    <row r="1047" spans="1:10" x14ac:dyDescent="0.25">
      <c r="A1047" s="51">
        <v>42834</v>
      </c>
      <c r="B1047" s="174" t="s">
        <v>12572</v>
      </c>
      <c r="C1047" s="175"/>
      <c r="D1047" s="176" t="s">
        <v>12572</v>
      </c>
      <c r="E1047" s="176">
        <v>107481</v>
      </c>
      <c r="F1047" s="177" t="s">
        <v>109</v>
      </c>
      <c r="G1047" s="178">
        <v>5334.5</v>
      </c>
      <c r="H1047" s="179">
        <v>42835</v>
      </c>
      <c r="I1047" s="178">
        <f t="shared" si="33"/>
        <v>5334.5</v>
      </c>
      <c r="J1047" s="178">
        <f t="shared" si="34"/>
        <v>0</v>
      </c>
    </row>
    <row r="1048" spans="1:10" x14ac:dyDescent="0.25">
      <c r="A1048" s="51">
        <v>42834</v>
      </c>
      <c r="B1048" s="174" t="s">
        <v>12573</v>
      </c>
      <c r="C1048" s="175"/>
      <c r="D1048" s="176" t="s">
        <v>12573</v>
      </c>
      <c r="E1048" s="176">
        <v>107482</v>
      </c>
      <c r="F1048" s="177" t="s">
        <v>422</v>
      </c>
      <c r="G1048" s="178">
        <v>1000</v>
      </c>
      <c r="H1048" s="179">
        <v>42834</v>
      </c>
      <c r="I1048" s="178">
        <f t="shared" si="33"/>
        <v>1000</v>
      </c>
      <c r="J1048" s="178">
        <f t="shared" si="34"/>
        <v>0</v>
      </c>
    </row>
    <row r="1049" spans="1:10" x14ac:dyDescent="0.25">
      <c r="A1049" s="51">
        <v>42834</v>
      </c>
      <c r="B1049" s="174" t="s">
        <v>12574</v>
      </c>
      <c r="C1049" s="175"/>
      <c r="D1049" s="176" t="s">
        <v>12574</v>
      </c>
      <c r="E1049" s="176">
        <v>107483</v>
      </c>
      <c r="F1049" s="177" t="s">
        <v>305</v>
      </c>
      <c r="G1049" s="178">
        <v>3598.2</v>
      </c>
      <c r="H1049" s="179">
        <v>42835</v>
      </c>
      <c r="I1049" s="178">
        <f t="shared" si="33"/>
        <v>3598.2</v>
      </c>
      <c r="J1049" s="178">
        <f t="shared" si="34"/>
        <v>0</v>
      </c>
    </row>
    <row r="1050" spans="1:10" x14ac:dyDescent="0.25">
      <c r="A1050" s="51">
        <v>42834</v>
      </c>
      <c r="B1050" s="174" t="s">
        <v>12575</v>
      </c>
      <c r="C1050" s="175"/>
      <c r="D1050" s="176" t="s">
        <v>12575</v>
      </c>
      <c r="E1050" s="176">
        <v>107484</v>
      </c>
      <c r="F1050" s="177" t="s">
        <v>476</v>
      </c>
      <c r="G1050" s="178">
        <v>6336.4</v>
      </c>
      <c r="H1050" s="179">
        <v>42837</v>
      </c>
      <c r="I1050" s="178">
        <f t="shared" si="33"/>
        <v>6336.4</v>
      </c>
      <c r="J1050" s="178">
        <f t="shared" si="34"/>
        <v>0</v>
      </c>
    </row>
    <row r="1051" spans="1:10" x14ac:dyDescent="0.25">
      <c r="A1051" s="51">
        <v>42834</v>
      </c>
      <c r="B1051" s="174" t="s">
        <v>12576</v>
      </c>
      <c r="C1051" s="175"/>
      <c r="D1051" s="176" t="s">
        <v>12576</v>
      </c>
      <c r="E1051" s="176">
        <v>107485</v>
      </c>
      <c r="F1051" s="177" t="s">
        <v>472</v>
      </c>
      <c r="G1051" s="178">
        <v>5500</v>
      </c>
      <c r="H1051" s="179">
        <v>42837</v>
      </c>
      <c r="I1051" s="178">
        <f t="shared" si="33"/>
        <v>5500</v>
      </c>
      <c r="J1051" s="178">
        <f t="shared" si="34"/>
        <v>0</v>
      </c>
    </row>
    <row r="1052" spans="1:10" x14ac:dyDescent="0.25">
      <c r="A1052" s="51">
        <v>42834</v>
      </c>
      <c r="B1052" s="174" t="s">
        <v>12577</v>
      </c>
      <c r="C1052" s="175"/>
      <c r="D1052" s="176" t="s">
        <v>12577</v>
      </c>
      <c r="E1052" s="176">
        <v>107486</v>
      </c>
      <c r="F1052" s="177" t="s">
        <v>2240</v>
      </c>
      <c r="G1052" s="178">
        <v>5200.5</v>
      </c>
      <c r="H1052" s="179">
        <v>42834</v>
      </c>
      <c r="I1052" s="178">
        <f t="shared" si="33"/>
        <v>5200.5</v>
      </c>
      <c r="J1052" s="178">
        <f t="shared" si="34"/>
        <v>0</v>
      </c>
    </row>
    <row r="1053" spans="1:10" x14ac:dyDescent="0.25">
      <c r="A1053" s="51">
        <v>42834</v>
      </c>
      <c r="B1053" s="174" t="s">
        <v>12578</v>
      </c>
      <c r="C1053" s="175"/>
      <c r="D1053" s="176" t="s">
        <v>12578</v>
      </c>
      <c r="E1053" s="176">
        <v>107487</v>
      </c>
      <c r="F1053" s="177" t="s">
        <v>472</v>
      </c>
      <c r="G1053" s="178">
        <v>847</v>
      </c>
      <c r="H1053" s="179">
        <v>42837</v>
      </c>
      <c r="I1053" s="178">
        <f t="shared" si="33"/>
        <v>847</v>
      </c>
      <c r="J1053" s="178">
        <f t="shared" si="34"/>
        <v>0</v>
      </c>
    </row>
    <row r="1054" spans="1:10" x14ac:dyDescent="0.25">
      <c r="A1054" s="51">
        <v>42834</v>
      </c>
      <c r="B1054" s="174" t="s">
        <v>12579</v>
      </c>
      <c r="C1054" s="175"/>
      <c r="D1054" s="176" t="s">
        <v>12579</v>
      </c>
      <c r="E1054" s="176">
        <v>107488</v>
      </c>
      <c r="F1054" s="177" t="s">
        <v>135</v>
      </c>
      <c r="G1054" s="178">
        <v>873.8</v>
      </c>
      <c r="H1054" s="179">
        <v>42834</v>
      </c>
      <c r="I1054" s="178">
        <f t="shared" si="33"/>
        <v>873.8</v>
      </c>
      <c r="J1054" s="178">
        <f t="shared" si="34"/>
        <v>0</v>
      </c>
    </row>
    <row r="1055" spans="1:10" x14ac:dyDescent="0.25">
      <c r="A1055" s="51">
        <v>42834</v>
      </c>
      <c r="B1055" s="174" t="s">
        <v>12580</v>
      </c>
      <c r="C1055" s="175"/>
      <c r="D1055" s="176" t="s">
        <v>12580</v>
      </c>
      <c r="E1055" s="176">
        <v>107489</v>
      </c>
      <c r="F1055" s="177" t="s">
        <v>125</v>
      </c>
      <c r="G1055" s="178">
        <v>10067.200000000001</v>
      </c>
      <c r="H1055" s="179">
        <v>42835</v>
      </c>
      <c r="I1055" s="178">
        <f t="shared" si="33"/>
        <v>10067.200000000001</v>
      </c>
      <c r="J1055" s="178">
        <f t="shared" si="34"/>
        <v>0</v>
      </c>
    </row>
    <row r="1056" spans="1:10" x14ac:dyDescent="0.25">
      <c r="A1056" s="51">
        <v>42834</v>
      </c>
      <c r="B1056" s="174" t="s">
        <v>12581</v>
      </c>
      <c r="C1056" s="175"/>
      <c r="D1056" s="176" t="s">
        <v>12581</v>
      </c>
      <c r="E1056" s="176">
        <v>107490</v>
      </c>
      <c r="F1056" s="177" t="s">
        <v>277</v>
      </c>
      <c r="G1056" s="178">
        <v>1168.5</v>
      </c>
      <c r="H1056" s="179">
        <v>42835</v>
      </c>
      <c r="I1056" s="178">
        <f t="shared" si="33"/>
        <v>1168.5</v>
      </c>
      <c r="J1056" s="178">
        <f t="shared" si="34"/>
        <v>0</v>
      </c>
    </row>
    <row r="1057" spans="1:11" x14ac:dyDescent="0.25">
      <c r="A1057" s="51">
        <v>42834</v>
      </c>
      <c r="B1057" s="174" t="s">
        <v>12582</v>
      </c>
      <c r="C1057" s="175"/>
      <c r="D1057" s="176" t="s">
        <v>12582</v>
      </c>
      <c r="E1057" s="176">
        <v>107491</v>
      </c>
      <c r="F1057" s="177" t="s">
        <v>122</v>
      </c>
      <c r="G1057" s="178">
        <v>12112</v>
      </c>
      <c r="H1057" s="179">
        <v>42846</v>
      </c>
      <c r="I1057" s="178">
        <f t="shared" si="33"/>
        <v>12112</v>
      </c>
      <c r="J1057" s="178">
        <f t="shared" si="34"/>
        <v>0</v>
      </c>
    </row>
    <row r="1058" spans="1:11" x14ac:dyDescent="0.25">
      <c r="A1058" s="51">
        <v>42834</v>
      </c>
      <c r="B1058" s="174" t="s">
        <v>12583</v>
      </c>
      <c r="C1058" s="175"/>
      <c r="D1058" s="176" t="s">
        <v>12583</v>
      </c>
      <c r="E1058" s="176">
        <v>107492</v>
      </c>
      <c r="F1058" s="177" t="s">
        <v>53</v>
      </c>
      <c r="G1058" s="178">
        <v>1580</v>
      </c>
      <c r="H1058" s="179">
        <v>42835</v>
      </c>
      <c r="I1058" s="178">
        <f t="shared" si="33"/>
        <v>1580</v>
      </c>
      <c r="J1058" s="178">
        <f t="shared" si="34"/>
        <v>0</v>
      </c>
    </row>
    <row r="1059" spans="1:11" x14ac:dyDescent="0.25">
      <c r="A1059" s="51">
        <v>42834</v>
      </c>
      <c r="B1059" s="174" t="s">
        <v>12584</v>
      </c>
      <c r="C1059" s="175"/>
      <c r="D1059" s="176" t="s">
        <v>12584</v>
      </c>
      <c r="E1059" s="176">
        <v>107493</v>
      </c>
      <c r="F1059" s="177" t="s">
        <v>122</v>
      </c>
      <c r="G1059" s="178">
        <v>1045</v>
      </c>
      <c r="H1059" s="179">
        <v>42846</v>
      </c>
      <c r="I1059" s="178">
        <f t="shared" si="33"/>
        <v>1045</v>
      </c>
      <c r="J1059" s="178">
        <f t="shared" si="34"/>
        <v>0</v>
      </c>
    </row>
    <row r="1060" spans="1:11" x14ac:dyDescent="0.25">
      <c r="A1060" s="51">
        <v>42834</v>
      </c>
      <c r="B1060" s="174" t="s">
        <v>12585</v>
      </c>
      <c r="C1060" s="175"/>
      <c r="D1060" s="176" t="s">
        <v>12585</v>
      </c>
      <c r="E1060" s="176">
        <v>107494</v>
      </c>
      <c r="F1060" s="177" t="s">
        <v>30</v>
      </c>
      <c r="G1060" s="178">
        <v>1350.2</v>
      </c>
      <c r="H1060" s="179">
        <v>42835</v>
      </c>
      <c r="I1060" s="178">
        <f t="shared" si="33"/>
        <v>1350.2</v>
      </c>
      <c r="J1060" s="178">
        <f t="shared" si="34"/>
        <v>0</v>
      </c>
    </row>
    <row r="1061" spans="1:11" x14ac:dyDescent="0.25">
      <c r="A1061" s="51">
        <v>42834</v>
      </c>
      <c r="B1061" s="174" t="s">
        <v>12586</v>
      </c>
      <c r="C1061" s="175"/>
      <c r="D1061" s="176" t="s">
        <v>12586</v>
      </c>
      <c r="E1061" s="176">
        <v>107495</v>
      </c>
      <c r="F1061" s="177" t="s">
        <v>12</v>
      </c>
      <c r="G1061" s="178">
        <v>873.3</v>
      </c>
      <c r="H1061" s="179">
        <v>42835</v>
      </c>
      <c r="I1061" s="178">
        <f t="shared" si="33"/>
        <v>873.3</v>
      </c>
      <c r="J1061" s="178">
        <f t="shared" si="34"/>
        <v>0</v>
      </c>
    </row>
    <row r="1062" spans="1:11" x14ac:dyDescent="0.25">
      <c r="A1062" s="51">
        <v>42834</v>
      </c>
      <c r="B1062" s="174" t="s">
        <v>12587</v>
      </c>
      <c r="C1062" s="175"/>
      <c r="D1062" s="176" t="s">
        <v>12587</v>
      </c>
      <c r="E1062" s="176">
        <v>107496</v>
      </c>
      <c r="F1062" s="177" t="s">
        <v>85</v>
      </c>
      <c r="G1062" s="178">
        <v>8638.7000000000007</v>
      </c>
      <c r="H1062" s="179">
        <v>42837</v>
      </c>
      <c r="I1062" s="178">
        <f t="shared" si="33"/>
        <v>8638.7000000000007</v>
      </c>
      <c r="J1062" s="178">
        <f t="shared" si="34"/>
        <v>0</v>
      </c>
    </row>
    <row r="1063" spans="1:11" x14ac:dyDescent="0.25">
      <c r="A1063" s="51">
        <v>42834</v>
      </c>
      <c r="B1063" s="174" t="s">
        <v>12588</v>
      </c>
      <c r="C1063" s="175"/>
      <c r="D1063" s="176" t="s">
        <v>12588</v>
      </c>
      <c r="E1063" s="176">
        <v>107497</v>
      </c>
      <c r="F1063" s="177" t="s">
        <v>30</v>
      </c>
      <c r="G1063" s="178">
        <v>682</v>
      </c>
      <c r="H1063" s="179">
        <v>42834</v>
      </c>
      <c r="I1063" s="178">
        <f t="shared" si="33"/>
        <v>682</v>
      </c>
      <c r="J1063" s="178">
        <f t="shared" si="34"/>
        <v>0</v>
      </c>
    </row>
    <row r="1064" spans="1:11" x14ac:dyDescent="0.25">
      <c r="A1064" s="51">
        <v>42834</v>
      </c>
      <c r="B1064" s="174" t="s">
        <v>12589</v>
      </c>
      <c r="C1064" s="175"/>
      <c r="D1064" s="176" t="s">
        <v>12589</v>
      </c>
      <c r="E1064" s="176">
        <v>107498</v>
      </c>
      <c r="F1064" s="177" t="s">
        <v>379</v>
      </c>
      <c r="G1064" s="178">
        <v>1137.5999999999999</v>
      </c>
      <c r="H1064" s="179">
        <v>42838</v>
      </c>
      <c r="I1064" s="178">
        <f t="shared" si="33"/>
        <v>1137.5999999999999</v>
      </c>
      <c r="J1064" s="178">
        <f t="shared" si="34"/>
        <v>0</v>
      </c>
    </row>
    <row r="1065" spans="1:11" x14ac:dyDescent="0.25">
      <c r="A1065" s="51">
        <v>42834</v>
      </c>
      <c r="B1065" s="174" t="s">
        <v>12590</v>
      </c>
      <c r="C1065" s="175"/>
      <c r="D1065" s="176" t="s">
        <v>12590</v>
      </c>
      <c r="E1065" s="176">
        <v>107499</v>
      </c>
      <c r="F1065" s="177" t="s">
        <v>55</v>
      </c>
      <c r="G1065" s="178">
        <v>8451.7999999999993</v>
      </c>
      <c r="H1065" s="180" t="s">
        <v>12591</v>
      </c>
      <c r="I1065" s="181">
        <f>3000+5451.8</f>
        <v>8451.7999999999993</v>
      </c>
      <c r="J1065" s="181">
        <f t="shared" si="34"/>
        <v>0</v>
      </c>
    </row>
    <row r="1066" spans="1:11" x14ac:dyDescent="0.25">
      <c r="A1066" s="51">
        <v>42834</v>
      </c>
      <c r="B1066" s="174" t="s">
        <v>12592</v>
      </c>
      <c r="C1066" s="175"/>
      <c r="D1066" s="176" t="s">
        <v>12592</v>
      </c>
      <c r="E1066" s="176">
        <v>107500</v>
      </c>
      <c r="F1066" s="177" t="s">
        <v>231</v>
      </c>
      <c r="G1066" s="178">
        <v>3362</v>
      </c>
      <c r="H1066" s="179">
        <v>42835</v>
      </c>
      <c r="I1066" s="178">
        <f t="shared" si="33"/>
        <v>3362</v>
      </c>
      <c r="J1066" s="178">
        <f t="shared" si="34"/>
        <v>0</v>
      </c>
    </row>
    <row r="1067" spans="1:11" x14ac:dyDescent="0.25">
      <c r="A1067" s="51">
        <v>42835</v>
      </c>
      <c r="B1067" s="174" t="s">
        <v>12593</v>
      </c>
      <c r="C1067" s="175"/>
      <c r="D1067" s="176" t="s">
        <v>12593</v>
      </c>
      <c r="E1067" s="176">
        <v>107501</v>
      </c>
      <c r="F1067" s="177" t="s">
        <v>231</v>
      </c>
      <c r="G1067" s="178">
        <v>5392.4</v>
      </c>
      <c r="H1067" s="179">
        <v>42835</v>
      </c>
      <c r="I1067" s="178">
        <f t="shared" si="33"/>
        <v>5392.4</v>
      </c>
      <c r="J1067" s="178">
        <f t="shared" si="34"/>
        <v>0</v>
      </c>
    </row>
    <row r="1068" spans="1:11" x14ac:dyDescent="0.25">
      <c r="A1068" s="51">
        <v>42835</v>
      </c>
      <c r="B1068" s="174" t="s">
        <v>12594</v>
      </c>
      <c r="C1068" s="175"/>
      <c r="D1068" s="176" t="s">
        <v>12594</v>
      </c>
      <c r="E1068" s="176">
        <v>107502</v>
      </c>
      <c r="F1068" s="177" t="s">
        <v>231</v>
      </c>
      <c r="G1068" s="178">
        <v>19107.8</v>
      </c>
      <c r="H1068" s="179">
        <v>42836</v>
      </c>
      <c r="I1068" s="178">
        <f t="shared" si="33"/>
        <v>19107.8</v>
      </c>
      <c r="J1068" s="178">
        <f t="shared" si="34"/>
        <v>0</v>
      </c>
    </row>
    <row r="1069" spans="1:11" x14ac:dyDescent="0.25">
      <c r="A1069" s="51">
        <v>42835</v>
      </c>
      <c r="B1069" s="174" t="s">
        <v>12595</v>
      </c>
      <c r="C1069" s="175"/>
      <c r="D1069" s="176" t="s">
        <v>12595</v>
      </c>
      <c r="E1069" s="176">
        <v>107503</v>
      </c>
      <c r="F1069" s="177" t="s">
        <v>17</v>
      </c>
      <c r="G1069" s="178">
        <v>1890</v>
      </c>
      <c r="H1069" s="179">
        <v>42835</v>
      </c>
      <c r="I1069" s="178">
        <f t="shared" si="33"/>
        <v>1890</v>
      </c>
      <c r="J1069" s="178">
        <f t="shared" si="34"/>
        <v>0</v>
      </c>
      <c r="K1069" s="19"/>
    </row>
    <row r="1070" spans="1:11" x14ac:dyDescent="0.25">
      <c r="A1070" s="51">
        <v>42835</v>
      </c>
      <c r="B1070" s="174" t="s">
        <v>12596</v>
      </c>
      <c r="C1070" s="175"/>
      <c r="D1070" s="176" t="s">
        <v>12596</v>
      </c>
      <c r="E1070" s="176">
        <v>107504</v>
      </c>
      <c r="F1070" s="177" t="s">
        <v>71</v>
      </c>
      <c r="G1070" s="178">
        <v>1728</v>
      </c>
      <c r="H1070" s="179">
        <v>42835</v>
      </c>
      <c r="I1070" s="178">
        <f t="shared" si="33"/>
        <v>1728</v>
      </c>
      <c r="J1070" s="178">
        <f t="shared" si="34"/>
        <v>0</v>
      </c>
      <c r="K1070" s="19"/>
    </row>
    <row r="1071" spans="1:11" x14ac:dyDescent="0.25">
      <c r="A1071" s="51">
        <v>42835</v>
      </c>
      <c r="B1071" s="174" t="s">
        <v>12597</v>
      </c>
      <c r="C1071" s="175"/>
      <c r="D1071" s="176" t="s">
        <v>12597</v>
      </c>
      <c r="E1071" s="176">
        <v>107505</v>
      </c>
      <c r="F1071" s="177" t="s">
        <v>157</v>
      </c>
      <c r="G1071" s="178">
        <v>11242</v>
      </c>
      <c r="H1071" s="179">
        <v>42835</v>
      </c>
      <c r="I1071" s="178">
        <f t="shared" si="33"/>
        <v>11242</v>
      </c>
      <c r="J1071" s="178">
        <f t="shared" si="34"/>
        <v>0</v>
      </c>
      <c r="K1071" s="19"/>
    </row>
    <row r="1072" spans="1:11" x14ac:dyDescent="0.25">
      <c r="A1072" s="51">
        <v>42835</v>
      </c>
      <c r="B1072" s="174" t="s">
        <v>12598</v>
      </c>
      <c r="C1072" s="175"/>
      <c r="D1072" s="176" t="s">
        <v>12598</v>
      </c>
      <c r="E1072" s="176">
        <v>107506</v>
      </c>
      <c r="F1072" s="177" t="s">
        <v>21</v>
      </c>
      <c r="G1072" s="178">
        <v>40404</v>
      </c>
      <c r="H1072" s="186">
        <v>42851</v>
      </c>
      <c r="I1072" s="187">
        <f t="shared" si="33"/>
        <v>40404</v>
      </c>
      <c r="J1072" s="178">
        <f t="shared" si="34"/>
        <v>0</v>
      </c>
      <c r="K1072" s="19"/>
    </row>
    <row r="1073" spans="1:11" x14ac:dyDescent="0.25">
      <c r="A1073" s="51">
        <v>42835</v>
      </c>
      <c r="B1073" s="174" t="s">
        <v>12599</v>
      </c>
      <c r="C1073" s="175"/>
      <c r="D1073" s="176" t="s">
        <v>12599</v>
      </c>
      <c r="E1073" s="176">
        <v>107507</v>
      </c>
      <c r="F1073" s="177" t="s">
        <v>26</v>
      </c>
      <c r="G1073" s="178">
        <v>23781.8</v>
      </c>
      <c r="H1073" s="179">
        <v>42835</v>
      </c>
      <c r="I1073" s="178">
        <f t="shared" si="33"/>
        <v>23781.8</v>
      </c>
      <c r="J1073" s="178">
        <f t="shared" si="34"/>
        <v>0</v>
      </c>
      <c r="K1073" s="19"/>
    </row>
    <row r="1074" spans="1:11" x14ac:dyDescent="0.25">
      <c r="A1074" s="51">
        <v>42835</v>
      </c>
      <c r="B1074" s="174" t="s">
        <v>12600</v>
      </c>
      <c r="C1074" s="175"/>
      <c r="D1074" s="176" t="s">
        <v>12600</v>
      </c>
      <c r="E1074" s="176">
        <v>107508</v>
      </c>
      <c r="F1074" s="177" t="s">
        <v>28</v>
      </c>
      <c r="G1074" s="178">
        <v>7600</v>
      </c>
      <c r="H1074" s="179">
        <v>42836</v>
      </c>
      <c r="I1074" s="178">
        <f t="shared" si="33"/>
        <v>7600</v>
      </c>
      <c r="J1074" s="178">
        <f t="shared" si="34"/>
        <v>0</v>
      </c>
      <c r="K1074" s="19"/>
    </row>
    <row r="1075" spans="1:11" x14ac:dyDescent="0.25">
      <c r="A1075" s="51">
        <v>42835</v>
      </c>
      <c r="B1075" s="174" t="s">
        <v>12601</v>
      </c>
      <c r="C1075" s="175"/>
      <c r="D1075" s="176" t="s">
        <v>12601</v>
      </c>
      <c r="E1075" s="176">
        <v>107509</v>
      </c>
      <c r="F1075" s="177" t="s">
        <v>428</v>
      </c>
      <c r="G1075" s="178">
        <v>1297.8</v>
      </c>
      <c r="H1075" s="179">
        <v>42837</v>
      </c>
      <c r="I1075" s="178">
        <f t="shared" si="33"/>
        <v>1297.8</v>
      </c>
      <c r="J1075" s="178">
        <f t="shared" si="34"/>
        <v>0</v>
      </c>
      <c r="K1075" s="19"/>
    </row>
    <row r="1076" spans="1:11" x14ac:dyDescent="0.25">
      <c r="A1076" s="51">
        <v>42835</v>
      </c>
      <c r="B1076" s="174" t="s">
        <v>12602</v>
      </c>
      <c r="C1076" s="175"/>
      <c r="D1076" s="176" t="s">
        <v>12602</v>
      </c>
      <c r="E1076" s="176">
        <v>107510</v>
      </c>
      <c r="F1076" s="177" t="s">
        <v>1786</v>
      </c>
      <c r="G1076" s="178">
        <v>7891.2</v>
      </c>
      <c r="H1076" s="179">
        <v>42835</v>
      </c>
      <c r="I1076" s="178">
        <f t="shared" si="33"/>
        <v>7891.2</v>
      </c>
      <c r="J1076" s="178">
        <f t="shared" si="34"/>
        <v>0</v>
      </c>
      <c r="K1076" s="19"/>
    </row>
    <row r="1077" spans="1:11" x14ac:dyDescent="0.25">
      <c r="A1077" s="51">
        <v>42835</v>
      </c>
      <c r="B1077" s="174" t="s">
        <v>12603</v>
      </c>
      <c r="C1077" s="175"/>
      <c r="D1077" s="176" t="s">
        <v>12603</v>
      </c>
      <c r="E1077" s="176">
        <v>107511</v>
      </c>
      <c r="F1077" s="177" t="s">
        <v>236</v>
      </c>
      <c r="G1077" s="178">
        <v>61869.22</v>
      </c>
      <c r="H1077" s="179">
        <v>42838</v>
      </c>
      <c r="I1077" s="178">
        <f t="shared" si="33"/>
        <v>61869.22</v>
      </c>
      <c r="J1077" s="178">
        <f t="shared" si="34"/>
        <v>0</v>
      </c>
      <c r="K1077" s="19"/>
    </row>
    <row r="1078" spans="1:11" x14ac:dyDescent="0.25">
      <c r="A1078" s="51">
        <v>42835</v>
      </c>
      <c r="B1078" s="174" t="s">
        <v>12604</v>
      </c>
      <c r="C1078" s="175"/>
      <c r="D1078" s="176" t="s">
        <v>12604</v>
      </c>
      <c r="E1078" s="176">
        <v>107512</v>
      </c>
      <c r="F1078" s="177" t="s">
        <v>19</v>
      </c>
      <c r="G1078" s="178">
        <v>840</v>
      </c>
      <c r="H1078" s="179">
        <v>42835</v>
      </c>
      <c r="I1078" s="178">
        <f t="shared" si="33"/>
        <v>840</v>
      </c>
      <c r="J1078" s="178">
        <f t="shared" si="34"/>
        <v>0</v>
      </c>
      <c r="K1078" s="19"/>
    </row>
    <row r="1079" spans="1:11" x14ac:dyDescent="0.25">
      <c r="A1079" s="51">
        <v>42835</v>
      </c>
      <c r="B1079" s="174" t="s">
        <v>12605</v>
      </c>
      <c r="C1079" s="175"/>
      <c r="D1079" s="176" t="s">
        <v>12605</v>
      </c>
      <c r="E1079" s="176">
        <v>107513</v>
      </c>
      <c r="F1079" s="177" t="s">
        <v>302</v>
      </c>
      <c r="G1079" s="178">
        <v>8692.7999999999993</v>
      </c>
      <c r="H1079" s="179">
        <v>42837</v>
      </c>
      <c r="I1079" s="178">
        <f t="shared" si="33"/>
        <v>8692.7999999999993</v>
      </c>
      <c r="J1079" s="178">
        <f t="shared" si="34"/>
        <v>0</v>
      </c>
      <c r="K1079" s="19"/>
    </row>
    <row r="1080" spans="1:11" x14ac:dyDescent="0.25">
      <c r="A1080" s="51">
        <v>42835</v>
      </c>
      <c r="B1080" s="174" t="s">
        <v>12606</v>
      </c>
      <c r="C1080" s="175"/>
      <c r="D1080" s="176" t="s">
        <v>12606</v>
      </c>
      <c r="E1080" s="176">
        <v>107514</v>
      </c>
      <c r="F1080" s="177" t="s">
        <v>47</v>
      </c>
      <c r="G1080" s="178">
        <v>6951.4</v>
      </c>
      <c r="H1080" s="179">
        <v>42835</v>
      </c>
      <c r="I1080" s="178">
        <f t="shared" si="33"/>
        <v>6951.4</v>
      </c>
      <c r="J1080" s="178">
        <f t="shared" si="34"/>
        <v>0</v>
      </c>
      <c r="K1080" s="19"/>
    </row>
    <row r="1081" spans="1:11" x14ac:dyDescent="0.25">
      <c r="A1081" s="51">
        <v>42835</v>
      </c>
      <c r="B1081" s="174" t="s">
        <v>12607</v>
      </c>
      <c r="C1081" s="175"/>
      <c r="D1081" s="176" t="s">
        <v>12607</v>
      </c>
      <c r="E1081" s="176">
        <v>107515</v>
      </c>
      <c r="F1081" s="177" t="s">
        <v>222</v>
      </c>
      <c r="G1081" s="178">
        <v>45335.95</v>
      </c>
      <c r="H1081" s="179">
        <v>42841</v>
      </c>
      <c r="I1081" s="178">
        <f t="shared" si="33"/>
        <v>45335.95</v>
      </c>
      <c r="J1081" s="178">
        <f t="shared" si="34"/>
        <v>0</v>
      </c>
      <c r="K1081" s="19"/>
    </row>
    <row r="1082" spans="1:11" x14ac:dyDescent="0.25">
      <c r="A1082" s="51">
        <v>42835</v>
      </c>
      <c r="B1082" s="174" t="s">
        <v>12608</v>
      </c>
      <c r="C1082" s="175"/>
      <c r="D1082" s="176" t="s">
        <v>12608</v>
      </c>
      <c r="E1082" s="176">
        <v>107516</v>
      </c>
      <c r="F1082" s="177" t="s">
        <v>10</v>
      </c>
      <c r="G1082" s="178">
        <v>77527.8</v>
      </c>
      <c r="H1082" s="179">
        <v>42837</v>
      </c>
      <c r="I1082" s="178">
        <f t="shared" si="33"/>
        <v>77527.8</v>
      </c>
      <c r="J1082" s="178">
        <f t="shared" si="34"/>
        <v>0</v>
      </c>
      <c r="K1082" s="19"/>
    </row>
    <row r="1083" spans="1:11" x14ac:dyDescent="0.25">
      <c r="A1083" s="51">
        <v>42835</v>
      </c>
      <c r="B1083" s="174" t="s">
        <v>12609</v>
      </c>
      <c r="C1083" s="175"/>
      <c r="D1083" s="176" t="s">
        <v>12609</v>
      </c>
      <c r="E1083" s="176">
        <v>107517</v>
      </c>
      <c r="F1083" s="177" t="s">
        <v>30</v>
      </c>
      <c r="G1083" s="178">
        <v>343.2</v>
      </c>
      <c r="H1083" s="179">
        <v>42835</v>
      </c>
      <c r="I1083" s="178">
        <f t="shared" si="33"/>
        <v>343.2</v>
      </c>
      <c r="J1083" s="178">
        <f t="shared" si="34"/>
        <v>0</v>
      </c>
      <c r="K1083" s="19"/>
    </row>
    <row r="1084" spans="1:11" x14ac:dyDescent="0.25">
      <c r="A1084" s="51">
        <v>42835</v>
      </c>
      <c r="B1084" s="174" t="s">
        <v>12610</v>
      </c>
      <c r="C1084" s="175"/>
      <c r="D1084" s="176" t="s">
        <v>12610</v>
      </c>
      <c r="E1084" s="176">
        <v>107518</v>
      </c>
      <c r="F1084" s="177" t="s">
        <v>1090</v>
      </c>
      <c r="G1084" s="178">
        <v>4126.7</v>
      </c>
      <c r="H1084" s="179">
        <v>42835</v>
      </c>
      <c r="I1084" s="178">
        <f t="shared" si="33"/>
        <v>4126.7</v>
      </c>
      <c r="J1084" s="178">
        <f t="shared" si="34"/>
        <v>0</v>
      </c>
      <c r="K1084" s="19"/>
    </row>
    <row r="1085" spans="1:11" x14ac:dyDescent="0.25">
      <c r="A1085" s="51">
        <v>42835</v>
      </c>
      <c r="B1085" s="174" t="s">
        <v>12611</v>
      </c>
      <c r="C1085" s="175"/>
      <c r="D1085" s="176" t="s">
        <v>12611</v>
      </c>
      <c r="E1085" s="176">
        <v>107519</v>
      </c>
      <c r="F1085" s="177" t="s">
        <v>14</v>
      </c>
      <c r="G1085" s="178">
        <v>19927.400000000001</v>
      </c>
      <c r="H1085" s="179">
        <v>42835</v>
      </c>
      <c r="I1085" s="178">
        <f t="shared" si="33"/>
        <v>19927.400000000001</v>
      </c>
      <c r="J1085" s="178">
        <f t="shared" si="34"/>
        <v>0</v>
      </c>
      <c r="K1085" s="19"/>
    </row>
    <row r="1086" spans="1:11" x14ac:dyDescent="0.25">
      <c r="A1086" s="51">
        <v>42835</v>
      </c>
      <c r="B1086" s="174" t="s">
        <v>12612</v>
      </c>
      <c r="C1086" s="175"/>
      <c r="D1086" s="176" t="s">
        <v>12612</v>
      </c>
      <c r="E1086" s="176">
        <v>107520</v>
      </c>
      <c r="F1086" s="177" t="s">
        <v>341</v>
      </c>
      <c r="G1086" s="178">
        <v>10630</v>
      </c>
      <c r="H1086" s="179">
        <v>42835</v>
      </c>
      <c r="I1086" s="178">
        <f t="shared" si="33"/>
        <v>10630</v>
      </c>
      <c r="J1086" s="178">
        <f t="shared" si="34"/>
        <v>0</v>
      </c>
      <c r="K1086" s="19"/>
    </row>
    <row r="1087" spans="1:11" x14ac:dyDescent="0.25">
      <c r="A1087" s="51">
        <v>42835</v>
      </c>
      <c r="B1087" s="174" t="s">
        <v>12613</v>
      </c>
      <c r="C1087" s="175"/>
      <c r="D1087" s="176" t="s">
        <v>12613</v>
      </c>
      <c r="E1087" s="176">
        <v>107521</v>
      </c>
      <c r="F1087" s="177" t="s">
        <v>196</v>
      </c>
      <c r="G1087" s="178">
        <v>2133.8000000000002</v>
      </c>
      <c r="H1087" s="179">
        <v>42835</v>
      </c>
      <c r="I1087" s="178">
        <f t="shared" si="33"/>
        <v>2133.8000000000002</v>
      </c>
      <c r="J1087" s="178">
        <f t="shared" si="34"/>
        <v>0</v>
      </c>
      <c r="K1087" s="19"/>
    </row>
    <row r="1088" spans="1:11" x14ac:dyDescent="0.25">
      <c r="A1088" s="51">
        <v>42835</v>
      </c>
      <c r="B1088" s="174" t="s">
        <v>12614</v>
      </c>
      <c r="C1088" s="175"/>
      <c r="D1088" s="176" t="s">
        <v>12614</v>
      </c>
      <c r="E1088" s="176">
        <v>107522</v>
      </c>
      <c r="F1088" s="177" t="s">
        <v>168</v>
      </c>
      <c r="G1088" s="178">
        <v>5463.5</v>
      </c>
      <c r="H1088" s="179">
        <v>42842</v>
      </c>
      <c r="I1088" s="178">
        <f t="shared" si="33"/>
        <v>5463.5</v>
      </c>
      <c r="J1088" s="178">
        <f t="shared" si="34"/>
        <v>0</v>
      </c>
      <c r="K1088" s="19"/>
    </row>
    <row r="1089" spans="1:11" x14ac:dyDescent="0.25">
      <c r="A1089" s="51">
        <v>42835</v>
      </c>
      <c r="B1089" s="174" t="s">
        <v>12615</v>
      </c>
      <c r="C1089" s="175"/>
      <c r="D1089" s="176" t="s">
        <v>12615</v>
      </c>
      <c r="E1089" s="176">
        <v>107523</v>
      </c>
      <c r="F1089" s="177" t="s">
        <v>240</v>
      </c>
      <c r="G1089" s="178">
        <v>5193.3999999999996</v>
      </c>
      <c r="H1089" s="179">
        <v>42835</v>
      </c>
      <c r="I1089" s="178">
        <f t="shared" si="33"/>
        <v>5193.3999999999996</v>
      </c>
      <c r="J1089" s="178">
        <f t="shared" si="34"/>
        <v>0</v>
      </c>
      <c r="K1089" s="19"/>
    </row>
    <row r="1090" spans="1:11" x14ac:dyDescent="0.25">
      <c r="A1090" s="51">
        <v>42835</v>
      </c>
      <c r="B1090" s="174" t="s">
        <v>12616</v>
      </c>
      <c r="C1090" s="175"/>
      <c r="D1090" s="176" t="s">
        <v>12616</v>
      </c>
      <c r="E1090" s="176">
        <v>107524</v>
      </c>
      <c r="F1090" s="177" t="s">
        <v>509</v>
      </c>
      <c r="G1090" s="178">
        <v>23199.8</v>
      </c>
      <c r="H1090" s="179"/>
      <c r="I1090" s="178">
        <f t="shared" si="33"/>
        <v>23199.8</v>
      </c>
      <c r="J1090" s="178">
        <f t="shared" si="34"/>
        <v>0</v>
      </c>
      <c r="K1090" s="19"/>
    </row>
    <row r="1091" spans="1:11" x14ac:dyDescent="0.25">
      <c r="A1091" s="51">
        <v>42835</v>
      </c>
      <c r="B1091" s="174" t="s">
        <v>12617</v>
      </c>
      <c r="C1091" s="175"/>
      <c r="D1091" s="176" t="s">
        <v>12617</v>
      </c>
      <c r="E1091" s="176">
        <v>107525</v>
      </c>
      <c r="F1091" s="177" t="s">
        <v>289</v>
      </c>
      <c r="G1091" s="178">
        <v>25086.9</v>
      </c>
      <c r="H1091" s="186">
        <v>42851</v>
      </c>
      <c r="I1091" s="187">
        <f t="shared" si="33"/>
        <v>25086.9</v>
      </c>
      <c r="J1091" s="178">
        <f t="shared" si="34"/>
        <v>0</v>
      </c>
      <c r="K1091" s="19"/>
    </row>
    <row r="1092" spans="1:11" x14ac:dyDescent="0.25">
      <c r="A1092" s="51">
        <v>42835</v>
      </c>
      <c r="B1092" s="174" t="s">
        <v>12618</v>
      </c>
      <c r="C1092" s="175"/>
      <c r="D1092" s="176" t="s">
        <v>12618</v>
      </c>
      <c r="E1092" s="176">
        <v>107526</v>
      </c>
      <c r="F1092" s="177" t="s">
        <v>99</v>
      </c>
      <c r="G1092" s="178">
        <v>1890</v>
      </c>
      <c r="H1092" s="179">
        <v>42835</v>
      </c>
      <c r="I1092" s="178">
        <f t="shared" ref="I1092:I1155" si="35">G1092</f>
        <v>1890</v>
      </c>
      <c r="J1092" s="178">
        <f t="shared" ref="J1092:J1155" si="36">G1092-I1092</f>
        <v>0</v>
      </c>
      <c r="K1092" s="19"/>
    </row>
    <row r="1093" spans="1:11" x14ac:dyDescent="0.25">
      <c r="A1093" s="51">
        <v>42835</v>
      </c>
      <c r="B1093" s="174" t="s">
        <v>12619</v>
      </c>
      <c r="C1093" s="175"/>
      <c r="D1093" s="176" t="s">
        <v>12619</v>
      </c>
      <c r="E1093" s="176">
        <v>107527</v>
      </c>
      <c r="F1093" s="177" t="s">
        <v>281</v>
      </c>
      <c r="G1093" s="178">
        <v>2133</v>
      </c>
      <c r="H1093" s="179">
        <v>42835</v>
      </c>
      <c r="I1093" s="178">
        <f t="shared" si="35"/>
        <v>2133</v>
      </c>
      <c r="J1093" s="178">
        <f t="shared" si="36"/>
        <v>0</v>
      </c>
      <c r="K1093" s="19"/>
    </row>
    <row r="1094" spans="1:11" x14ac:dyDescent="0.25">
      <c r="A1094" s="51">
        <v>42835</v>
      </c>
      <c r="B1094" s="174" t="s">
        <v>12620</v>
      </c>
      <c r="C1094" s="175"/>
      <c r="D1094" s="176" t="s">
        <v>12620</v>
      </c>
      <c r="E1094" s="176">
        <v>107528</v>
      </c>
      <c r="F1094" s="177" t="s">
        <v>101</v>
      </c>
      <c r="G1094" s="178">
        <v>420</v>
      </c>
      <c r="H1094" s="179">
        <v>42835</v>
      </c>
      <c r="I1094" s="178">
        <f t="shared" si="35"/>
        <v>420</v>
      </c>
      <c r="J1094" s="178">
        <f t="shared" si="36"/>
        <v>0</v>
      </c>
      <c r="K1094" s="19"/>
    </row>
    <row r="1095" spans="1:11" x14ac:dyDescent="0.25">
      <c r="A1095" s="51">
        <v>42835</v>
      </c>
      <c r="B1095" s="174" t="s">
        <v>12621</v>
      </c>
      <c r="C1095" s="175"/>
      <c r="D1095" s="176" t="s">
        <v>12621</v>
      </c>
      <c r="E1095" s="176">
        <v>107529</v>
      </c>
      <c r="F1095" s="177" t="s">
        <v>92</v>
      </c>
      <c r="G1095" s="178">
        <v>2710.2</v>
      </c>
      <c r="H1095" s="179">
        <v>42835</v>
      </c>
      <c r="I1095" s="178">
        <f t="shared" si="35"/>
        <v>2710.2</v>
      </c>
      <c r="J1095" s="178">
        <f t="shared" si="36"/>
        <v>0</v>
      </c>
      <c r="K1095" s="19"/>
    </row>
    <row r="1096" spans="1:11" x14ac:dyDescent="0.25">
      <c r="A1096" s="51">
        <v>42835</v>
      </c>
      <c r="B1096" s="174" t="s">
        <v>12622</v>
      </c>
      <c r="C1096" s="175"/>
      <c r="D1096" s="176" t="s">
        <v>12622</v>
      </c>
      <c r="E1096" s="176">
        <v>107530</v>
      </c>
      <c r="F1096" s="177" t="s">
        <v>1081</v>
      </c>
      <c r="G1096" s="178">
        <v>364.5</v>
      </c>
      <c r="H1096" s="179">
        <v>42836</v>
      </c>
      <c r="I1096" s="178">
        <f t="shared" si="35"/>
        <v>364.5</v>
      </c>
      <c r="J1096" s="178">
        <f t="shared" si="36"/>
        <v>0</v>
      </c>
      <c r="K1096" s="19"/>
    </row>
    <row r="1097" spans="1:11" x14ac:dyDescent="0.25">
      <c r="A1097" s="51">
        <v>42835</v>
      </c>
      <c r="B1097" s="174" t="s">
        <v>12623</v>
      </c>
      <c r="C1097" s="175"/>
      <c r="D1097" s="176" t="s">
        <v>12623</v>
      </c>
      <c r="E1097" s="176">
        <v>107531</v>
      </c>
      <c r="F1097" s="177" t="s">
        <v>448</v>
      </c>
      <c r="G1097" s="178">
        <v>307.8</v>
      </c>
      <c r="H1097" s="179">
        <v>42835</v>
      </c>
      <c r="I1097" s="178">
        <f t="shared" si="35"/>
        <v>307.8</v>
      </c>
      <c r="J1097" s="178">
        <f t="shared" si="36"/>
        <v>0</v>
      </c>
      <c r="K1097" s="19"/>
    </row>
    <row r="1098" spans="1:11" x14ac:dyDescent="0.25">
      <c r="A1098" s="51">
        <v>42835</v>
      </c>
      <c r="B1098" s="174" t="s">
        <v>12624</v>
      </c>
      <c r="C1098" s="175"/>
      <c r="D1098" s="176" t="s">
        <v>12624</v>
      </c>
      <c r="E1098" s="176">
        <v>107532</v>
      </c>
      <c r="F1098" s="177" t="s">
        <v>1081</v>
      </c>
      <c r="G1098" s="178">
        <v>361.8</v>
      </c>
      <c r="H1098" s="179">
        <v>42835</v>
      </c>
      <c r="I1098" s="178">
        <f t="shared" si="35"/>
        <v>361.8</v>
      </c>
      <c r="J1098" s="178">
        <f t="shared" si="36"/>
        <v>0</v>
      </c>
      <c r="K1098" s="19"/>
    </row>
    <row r="1099" spans="1:11" x14ac:dyDescent="0.25">
      <c r="A1099" s="51">
        <v>42835</v>
      </c>
      <c r="B1099" s="174" t="s">
        <v>12625</v>
      </c>
      <c r="C1099" s="175"/>
      <c r="D1099" s="176" t="s">
        <v>12625</v>
      </c>
      <c r="E1099" s="176">
        <v>107533</v>
      </c>
      <c r="F1099" s="177" t="s">
        <v>291</v>
      </c>
      <c r="G1099" s="178">
        <v>1956.5</v>
      </c>
      <c r="H1099" s="179">
        <v>42835</v>
      </c>
      <c r="I1099" s="178">
        <f t="shared" si="35"/>
        <v>1956.5</v>
      </c>
      <c r="J1099" s="178">
        <f t="shared" si="36"/>
        <v>0</v>
      </c>
      <c r="K1099" s="19"/>
    </row>
    <row r="1100" spans="1:11" x14ac:dyDescent="0.25">
      <c r="A1100" s="51">
        <v>42835</v>
      </c>
      <c r="B1100" s="174" t="s">
        <v>12626</v>
      </c>
      <c r="C1100" s="175"/>
      <c r="D1100" s="176" t="s">
        <v>12626</v>
      </c>
      <c r="E1100" s="176">
        <v>107534</v>
      </c>
      <c r="F1100" s="177" t="s">
        <v>83</v>
      </c>
      <c r="G1100" s="178">
        <v>3057.3</v>
      </c>
      <c r="H1100" s="179">
        <v>42835</v>
      </c>
      <c r="I1100" s="178">
        <f t="shared" si="35"/>
        <v>3057.3</v>
      </c>
      <c r="J1100" s="178">
        <f t="shared" si="36"/>
        <v>0</v>
      </c>
      <c r="K1100" s="19"/>
    </row>
    <row r="1101" spans="1:11" x14ac:dyDescent="0.25">
      <c r="A1101" s="51">
        <v>42835</v>
      </c>
      <c r="B1101" s="174" t="s">
        <v>12627</v>
      </c>
      <c r="C1101" s="175"/>
      <c r="D1101" s="176" t="s">
        <v>12627</v>
      </c>
      <c r="E1101" s="176">
        <v>107535</v>
      </c>
      <c r="F1101" s="177" t="s">
        <v>30</v>
      </c>
      <c r="G1101" s="178">
        <v>1142.5999999999999</v>
      </c>
      <c r="H1101" s="179">
        <v>42835</v>
      </c>
      <c r="I1101" s="178">
        <f t="shared" si="35"/>
        <v>1142.5999999999999</v>
      </c>
      <c r="J1101" s="178">
        <f t="shared" si="36"/>
        <v>0</v>
      </c>
      <c r="K1101" s="19"/>
    </row>
    <row r="1102" spans="1:11" x14ac:dyDescent="0.25">
      <c r="A1102" s="51">
        <v>42835</v>
      </c>
      <c r="B1102" s="174" t="s">
        <v>12628</v>
      </c>
      <c r="C1102" s="175"/>
      <c r="D1102" s="176" t="s">
        <v>12628</v>
      </c>
      <c r="E1102" s="176">
        <v>107536</v>
      </c>
      <c r="F1102" s="177" t="s">
        <v>109</v>
      </c>
      <c r="G1102" s="178">
        <v>3581.4</v>
      </c>
      <c r="H1102" s="179">
        <v>42835</v>
      </c>
      <c r="I1102" s="178">
        <f t="shared" si="35"/>
        <v>3581.4</v>
      </c>
      <c r="J1102" s="178">
        <f t="shared" si="36"/>
        <v>0</v>
      </c>
      <c r="K1102" s="19"/>
    </row>
    <row r="1103" spans="1:11" x14ac:dyDescent="0.25">
      <c r="A1103" s="51">
        <v>42835</v>
      </c>
      <c r="B1103" s="174" t="s">
        <v>12629</v>
      </c>
      <c r="C1103" s="175"/>
      <c r="D1103" s="176" t="s">
        <v>12629</v>
      </c>
      <c r="E1103" s="176">
        <v>107537</v>
      </c>
      <c r="F1103" s="177" t="s">
        <v>1380</v>
      </c>
      <c r="G1103" s="178">
        <v>1062.3599999999999</v>
      </c>
      <c r="H1103" s="179">
        <v>42835</v>
      </c>
      <c r="I1103" s="178">
        <f t="shared" si="35"/>
        <v>1062.3599999999999</v>
      </c>
      <c r="J1103" s="178">
        <f t="shared" si="36"/>
        <v>0</v>
      </c>
      <c r="K1103" s="19"/>
    </row>
    <row r="1104" spans="1:11" x14ac:dyDescent="0.25">
      <c r="A1104" s="51">
        <v>42835</v>
      </c>
      <c r="B1104" s="174" t="s">
        <v>12630</v>
      </c>
      <c r="C1104" s="175"/>
      <c r="D1104" s="176" t="s">
        <v>12630</v>
      </c>
      <c r="E1104" s="176">
        <v>107538</v>
      </c>
      <c r="F1104" s="177" t="s">
        <v>1256</v>
      </c>
      <c r="G1104" s="178">
        <v>1886.8</v>
      </c>
      <c r="H1104" s="179">
        <v>42842</v>
      </c>
      <c r="I1104" s="178">
        <f t="shared" si="35"/>
        <v>1886.8</v>
      </c>
      <c r="J1104" s="178">
        <f t="shared" si="36"/>
        <v>0</v>
      </c>
      <c r="K1104" s="19"/>
    </row>
    <row r="1105" spans="1:11" x14ac:dyDescent="0.25">
      <c r="A1105" s="51">
        <v>42835</v>
      </c>
      <c r="B1105" s="174" t="s">
        <v>12631</v>
      </c>
      <c r="C1105" s="175"/>
      <c r="D1105" s="176" t="s">
        <v>12631</v>
      </c>
      <c r="E1105" s="176">
        <v>107539</v>
      </c>
      <c r="F1105" s="177" t="s">
        <v>1256</v>
      </c>
      <c r="G1105" s="178">
        <v>1240.8</v>
      </c>
      <c r="H1105" s="179">
        <v>42842</v>
      </c>
      <c r="I1105" s="178">
        <f t="shared" si="35"/>
        <v>1240.8</v>
      </c>
      <c r="J1105" s="178">
        <f t="shared" si="36"/>
        <v>0</v>
      </c>
      <c r="K1105" s="19"/>
    </row>
    <row r="1106" spans="1:11" x14ac:dyDescent="0.25">
      <c r="A1106" s="51">
        <v>42835</v>
      </c>
      <c r="B1106" s="174" t="s">
        <v>12632</v>
      </c>
      <c r="C1106" s="175"/>
      <c r="D1106" s="176" t="s">
        <v>12632</v>
      </c>
      <c r="E1106" s="176">
        <v>107540</v>
      </c>
      <c r="F1106" s="177" t="s">
        <v>103</v>
      </c>
      <c r="G1106" s="178">
        <v>3036.6</v>
      </c>
      <c r="H1106" s="179">
        <v>42842</v>
      </c>
      <c r="I1106" s="178">
        <f t="shared" si="35"/>
        <v>3036.6</v>
      </c>
      <c r="J1106" s="178">
        <f t="shared" si="36"/>
        <v>0</v>
      </c>
      <c r="K1106" s="19"/>
    </row>
    <row r="1107" spans="1:11" x14ac:dyDescent="0.25">
      <c r="A1107" s="51">
        <v>42835</v>
      </c>
      <c r="B1107" s="174" t="s">
        <v>12633</v>
      </c>
      <c r="C1107" s="175"/>
      <c r="D1107" s="176" t="s">
        <v>12633</v>
      </c>
      <c r="E1107" s="176">
        <v>107541</v>
      </c>
      <c r="F1107" s="177" t="s">
        <v>105</v>
      </c>
      <c r="G1107" s="178">
        <v>3087</v>
      </c>
      <c r="H1107" s="179">
        <v>42842</v>
      </c>
      <c r="I1107" s="178">
        <f t="shared" si="35"/>
        <v>3087</v>
      </c>
      <c r="J1107" s="178">
        <f t="shared" si="36"/>
        <v>0</v>
      </c>
      <c r="K1107" s="19"/>
    </row>
    <row r="1108" spans="1:11" x14ac:dyDescent="0.25">
      <c r="A1108" s="51">
        <v>42835</v>
      </c>
      <c r="B1108" s="174" t="s">
        <v>12634</v>
      </c>
      <c r="C1108" s="175"/>
      <c r="D1108" s="176" t="s">
        <v>12634</v>
      </c>
      <c r="E1108" s="176">
        <v>107542</v>
      </c>
      <c r="F1108" s="177" t="s">
        <v>476</v>
      </c>
      <c r="G1108" s="178">
        <v>12286.8</v>
      </c>
      <c r="H1108" s="179">
        <v>42840</v>
      </c>
      <c r="I1108" s="178">
        <f t="shared" si="35"/>
        <v>12286.8</v>
      </c>
      <c r="J1108" s="178">
        <f t="shared" si="36"/>
        <v>0</v>
      </c>
      <c r="K1108" s="19"/>
    </row>
    <row r="1109" spans="1:11" x14ac:dyDescent="0.25">
      <c r="A1109" s="51">
        <v>42835</v>
      </c>
      <c r="B1109" s="174" t="s">
        <v>12635</v>
      </c>
      <c r="C1109" s="175"/>
      <c r="D1109" s="176" t="s">
        <v>12635</v>
      </c>
      <c r="E1109" s="176">
        <v>107543</v>
      </c>
      <c r="F1109" s="177" t="s">
        <v>305</v>
      </c>
      <c r="G1109" s="178">
        <v>2963.2</v>
      </c>
      <c r="H1109" s="179">
        <v>42842</v>
      </c>
      <c r="I1109" s="178">
        <f t="shared" si="35"/>
        <v>2963.2</v>
      </c>
      <c r="J1109" s="178">
        <f t="shared" si="36"/>
        <v>0</v>
      </c>
      <c r="K1109" s="19"/>
    </row>
    <row r="1110" spans="1:11" x14ac:dyDescent="0.25">
      <c r="A1110" s="51">
        <v>42835</v>
      </c>
      <c r="B1110" s="174" t="s">
        <v>12636</v>
      </c>
      <c r="C1110" s="175"/>
      <c r="D1110" s="176" t="s">
        <v>12636</v>
      </c>
      <c r="E1110" s="176">
        <v>107544</v>
      </c>
      <c r="F1110" s="177" t="s">
        <v>10</v>
      </c>
      <c r="G1110" s="178">
        <v>21250.799999999999</v>
      </c>
      <c r="H1110" s="179">
        <v>42837</v>
      </c>
      <c r="I1110" s="178">
        <f t="shared" si="35"/>
        <v>21250.799999999999</v>
      </c>
      <c r="J1110" s="178">
        <f t="shared" si="36"/>
        <v>0</v>
      </c>
      <c r="K1110" s="19"/>
    </row>
    <row r="1111" spans="1:11" x14ac:dyDescent="0.25">
      <c r="A1111" s="51">
        <v>42835</v>
      </c>
      <c r="B1111" s="174" t="s">
        <v>12637</v>
      </c>
      <c r="C1111" s="175"/>
      <c r="D1111" s="176" t="s">
        <v>12637</v>
      </c>
      <c r="E1111" s="176">
        <v>107545</v>
      </c>
      <c r="F1111" s="177" t="s">
        <v>231</v>
      </c>
      <c r="G1111" s="178">
        <v>8245.9</v>
      </c>
      <c r="H1111" s="179">
        <v>42836</v>
      </c>
      <c r="I1111" s="178">
        <f t="shared" si="35"/>
        <v>8245.9</v>
      </c>
      <c r="J1111" s="178">
        <f t="shared" si="36"/>
        <v>0</v>
      </c>
      <c r="K1111" s="19"/>
    </row>
    <row r="1112" spans="1:11" x14ac:dyDescent="0.25">
      <c r="A1112" s="51">
        <v>42835</v>
      </c>
      <c r="B1112" s="174" t="s">
        <v>12638</v>
      </c>
      <c r="C1112" s="175"/>
      <c r="D1112" s="176" t="s">
        <v>12638</v>
      </c>
      <c r="E1112" s="176">
        <v>107546</v>
      </c>
      <c r="F1112" s="177" t="s">
        <v>1830</v>
      </c>
      <c r="G1112" s="178">
        <v>10834.5</v>
      </c>
      <c r="H1112" s="179">
        <v>42836</v>
      </c>
      <c r="I1112" s="178">
        <f t="shared" si="35"/>
        <v>10834.5</v>
      </c>
      <c r="J1112" s="178">
        <f t="shared" si="36"/>
        <v>0</v>
      </c>
      <c r="K1112" s="19"/>
    </row>
    <row r="1113" spans="1:11" x14ac:dyDescent="0.25">
      <c r="A1113" s="51">
        <v>42835</v>
      </c>
      <c r="B1113" s="174" t="s">
        <v>12639</v>
      </c>
      <c r="C1113" s="175"/>
      <c r="D1113" s="176" t="s">
        <v>12639</v>
      </c>
      <c r="E1113" s="176">
        <v>107547</v>
      </c>
      <c r="F1113" s="177" t="s">
        <v>277</v>
      </c>
      <c r="G1113" s="178">
        <v>1670.62</v>
      </c>
      <c r="H1113" s="179">
        <v>42836</v>
      </c>
      <c r="I1113" s="178">
        <f t="shared" si="35"/>
        <v>1670.62</v>
      </c>
      <c r="J1113" s="178">
        <f t="shared" si="36"/>
        <v>0</v>
      </c>
      <c r="K1113" s="19"/>
    </row>
    <row r="1114" spans="1:11" x14ac:dyDescent="0.25">
      <c r="A1114" s="51">
        <v>42835</v>
      </c>
      <c r="B1114" s="174" t="s">
        <v>12640</v>
      </c>
      <c r="C1114" s="175"/>
      <c r="D1114" s="176" t="s">
        <v>12640</v>
      </c>
      <c r="E1114" s="176">
        <v>107548</v>
      </c>
      <c r="F1114" s="177" t="s">
        <v>147</v>
      </c>
      <c r="G1114" s="178">
        <v>49520</v>
      </c>
      <c r="H1114" s="179">
        <v>42836</v>
      </c>
      <c r="I1114" s="178">
        <f t="shared" si="35"/>
        <v>49520</v>
      </c>
      <c r="J1114" s="178">
        <f t="shared" si="36"/>
        <v>0</v>
      </c>
      <c r="K1114" s="19"/>
    </row>
    <row r="1115" spans="1:11" x14ac:dyDescent="0.25">
      <c r="A1115" s="51">
        <v>42835</v>
      </c>
      <c r="B1115" s="174" t="s">
        <v>12641</v>
      </c>
      <c r="C1115" s="175"/>
      <c r="D1115" s="176" t="s">
        <v>12641</v>
      </c>
      <c r="E1115" s="176">
        <v>107549</v>
      </c>
      <c r="F1115" s="177" t="s">
        <v>125</v>
      </c>
      <c r="G1115" s="178">
        <v>6131.2</v>
      </c>
      <c r="H1115" s="179">
        <v>42836</v>
      </c>
      <c r="I1115" s="178">
        <f t="shared" si="35"/>
        <v>6131.2</v>
      </c>
      <c r="J1115" s="178">
        <f t="shared" si="36"/>
        <v>0</v>
      </c>
      <c r="K1115" s="19"/>
    </row>
    <row r="1116" spans="1:11" x14ac:dyDescent="0.25">
      <c r="A1116" s="51">
        <v>42835</v>
      </c>
      <c r="B1116" s="174" t="s">
        <v>12642</v>
      </c>
      <c r="C1116" s="175"/>
      <c r="D1116" s="176" t="s">
        <v>12642</v>
      </c>
      <c r="E1116" s="176">
        <v>107550</v>
      </c>
      <c r="F1116" s="177" t="s">
        <v>131</v>
      </c>
      <c r="G1116" s="178">
        <v>12308.2</v>
      </c>
      <c r="H1116" s="179">
        <v>42836</v>
      </c>
      <c r="I1116" s="178">
        <f t="shared" si="35"/>
        <v>12308.2</v>
      </c>
      <c r="J1116" s="178">
        <f t="shared" si="36"/>
        <v>0</v>
      </c>
      <c r="K1116" s="19"/>
    </row>
    <row r="1117" spans="1:11" x14ac:dyDescent="0.25">
      <c r="A1117" s="51">
        <v>42835</v>
      </c>
      <c r="B1117" s="174" t="s">
        <v>12643</v>
      </c>
      <c r="C1117" s="175"/>
      <c r="D1117" s="176" t="s">
        <v>12643</v>
      </c>
      <c r="E1117" s="176">
        <v>107551</v>
      </c>
      <c r="F1117" s="177" t="s">
        <v>1116</v>
      </c>
      <c r="G1117" s="178">
        <v>2093.3000000000002</v>
      </c>
      <c r="H1117" s="179">
        <v>42836</v>
      </c>
      <c r="I1117" s="178">
        <f t="shared" si="35"/>
        <v>2093.3000000000002</v>
      </c>
      <c r="J1117" s="178">
        <f t="shared" si="36"/>
        <v>0</v>
      </c>
      <c r="K1117" s="19"/>
    </row>
    <row r="1118" spans="1:11" x14ac:dyDescent="0.25">
      <c r="A1118" s="51">
        <v>42835</v>
      </c>
      <c r="B1118" s="174" t="s">
        <v>12644</v>
      </c>
      <c r="C1118" s="175"/>
      <c r="D1118" s="176" t="s">
        <v>12644</v>
      </c>
      <c r="E1118" s="176">
        <v>107552</v>
      </c>
      <c r="F1118" s="177" t="s">
        <v>470</v>
      </c>
      <c r="G1118" s="178">
        <v>13704.2</v>
      </c>
      <c r="H1118" s="179">
        <v>42836</v>
      </c>
      <c r="I1118" s="178">
        <f t="shared" si="35"/>
        <v>13704.2</v>
      </c>
      <c r="J1118" s="178">
        <f t="shared" si="36"/>
        <v>0</v>
      </c>
      <c r="K1118" s="19"/>
    </row>
    <row r="1119" spans="1:11" x14ac:dyDescent="0.25">
      <c r="A1119" s="51">
        <v>42835</v>
      </c>
      <c r="B1119" s="174" t="s">
        <v>12645</v>
      </c>
      <c r="C1119" s="175"/>
      <c r="D1119" s="176" t="s">
        <v>12645</v>
      </c>
      <c r="E1119" s="176">
        <v>107553</v>
      </c>
      <c r="F1119" s="177" t="s">
        <v>176</v>
      </c>
      <c r="G1119" s="178">
        <v>370</v>
      </c>
      <c r="H1119" s="179">
        <v>42835</v>
      </c>
      <c r="I1119" s="178">
        <f t="shared" si="35"/>
        <v>370</v>
      </c>
      <c r="J1119" s="178">
        <f t="shared" si="36"/>
        <v>0</v>
      </c>
      <c r="K1119" s="19"/>
    </row>
    <row r="1120" spans="1:11" x14ac:dyDescent="0.25">
      <c r="A1120" s="51">
        <v>42835</v>
      </c>
      <c r="B1120" s="174" t="s">
        <v>12646</v>
      </c>
      <c r="C1120" s="175"/>
      <c r="D1120" s="176" t="s">
        <v>12646</v>
      </c>
      <c r="E1120" s="176">
        <v>107554</v>
      </c>
      <c r="F1120" s="177" t="s">
        <v>298</v>
      </c>
      <c r="G1120" s="178">
        <v>3100.3</v>
      </c>
      <c r="H1120" s="179">
        <v>42835</v>
      </c>
      <c r="I1120" s="178">
        <f t="shared" si="35"/>
        <v>3100.3</v>
      </c>
      <c r="J1120" s="178">
        <f t="shared" si="36"/>
        <v>0</v>
      </c>
      <c r="K1120" s="19"/>
    </row>
    <row r="1121" spans="1:11" x14ac:dyDescent="0.25">
      <c r="A1121" s="51">
        <v>42835</v>
      </c>
      <c r="B1121" s="174" t="s">
        <v>12647</v>
      </c>
      <c r="C1121" s="175"/>
      <c r="D1121" s="176" t="s">
        <v>12647</v>
      </c>
      <c r="E1121" s="176">
        <v>107555</v>
      </c>
      <c r="F1121" s="177" t="s">
        <v>208</v>
      </c>
      <c r="G1121" s="178">
        <v>1654.2</v>
      </c>
      <c r="H1121" s="179">
        <v>42836</v>
      </c>
      <c r="I1121" s="178">
        <f t="shared" si="35"/>
        <v>1654.2</v>
      </c>
      <c r="J1121" s="178">
        <f t="shared" si="36"/>
        <v>0</v>
      </c>
      <c r="K1121" s="19"/>
    </row>
    <row r="1122" spans="1:11" x14ac:dyDescent="0.25">
      <c r="A1122" s="51">
        <v>42835</v>
      </c>
      <c r="B1122" s="174" t="s">
        <v>12648</v>
      </c>
      <c r="C1122" s="175"/>
      <c r="D1122" s="176" t="s">
        <v>12648</v>
      </c>
      <c r="E1122" s="176">
        <v>107556</v>
      </c>
      <c r="F1122" s="177" t="s">
        <v>10</v>
      </c>
      <c r="G1122" s="178">
        <v>193465.73</v>
      </c>
      <c r="H1122" s="179">
        <v>42837</v>
      </c>
      <c r="I1122" s="178">
        <f t="shared" si="35"/>
        <v>193465.73</v>
      </c>
      <c r="J1122" s="178">
        <f t="shared" si="36"/>
        <v>0</v>
      </c>
      <c r="K1122" s="19"/>
    </row>
    <row r="1123" spans="1:11" x14ac:dyDescent="0.25">
      <c r="A1123" s="51">
        <v>42835</v>
      </c>
      <c r="B1123" s="174" t="s">
        <v>12649</v>
      </c>
      <c r="C1123" s="175"/>
      <c r="D1123" s="176" t="s">
        <v>12649</v>
      </c>
      <c r="E1123" s="176">
        <v>107557</v>
      </c>
      <c r="F1123" s="177" t="s">
        <v>30</v>
      </c>
      <c r="G1123" s="178">
        <v>57.6</v>
      </c>
      <c r="H1123" s="179">
        <v>42835</v>
      </c>
      <c r="I1123" s="178">
        <f t="shared" si="35"/>
        <v>57.6</v>
      </c>
      <c r="J1123" s="178">
        <f t="shared" si="36"/>
        <v>0</v>
      </c>
      <c r="K1123" s="19"/>
    </row>
    <row r="1124" spans="1:11" x14ac:dyDescent="0.25">
      <c r="A1124" s="51">
        <v>42835</v>
      </c>
      <c r="B1124" s="174" t="s">
        <v>12650</v>
      </c>
      <c r="C1124" s="175"/>
      <c r="D1124" s="176" t="s">
        <v>12650</v>
      </c>
      <c r="E1124" s="176">
        <v>107558</v>
      </c>
      <c r="F1124" s="177" t="s">
        <v>921</v>
      </c>
      <c r="G1124" s="178">
        <v>8643.6</v>
      </c>
      <c r="H1124" s="179">
        <v>42835</v>
      </c>
      <c r="I1124" s="178">
        <f t="shared" si="35"/>
        <v>8643.6</v>
      </c>
      <c r="J1124" s="178">
        <f t="shared" si="36"/>
        <v>0</v>
      </c>
      <c r="K1124" s="19"/>
    </row>
    <row r="1125" spans="1:11" x14ac:dyDescent="0.25">
      <c r="A1125" s="51">
        <v>42835</v>
      </c>
      <c r="B1125" s="174" t="s">
        <v>12651</v>
      </c>
      <c r="C1125" s="175"/>
      <c r="D1125" s="176" t="s">
        <v>12651</v>
      </c>
      <c r="E1125" s="176">
        <v>107559</v>
      </c>
      <c r="F1125" s="177" t="s">
        <v>55</v>
      </c>
      <c r="G1125" s="178">
        <v>3501.4</v>
      </c>
      <c r="H1125" s="179">
        <v>42835</v>
      </c>
      <c r="I1125" s="178">
        <f t="shared" si="35"/>
        <v>3501.4</v>
      </c>
      <c r="J1125" s="178">
        <f t="shared" si="36"/>
        <v>0</v>
      </c>
      <c r="K1125" s="19"/>
    </row>
    <row r="1126" spans="1:11" x14ac:dyDescent="0.25">
      <c r="A1126" s="51">
        <v>42835</v>
      </c>
      <c r="B1126" s="174" t="s">
        <v>12652</v>
      </c>
      <c r="C1126" s="175"/>
      <c r="D1126" s="176" t="s">
        <v>12652</v>
      </c>
      <c r="E1126" s="176">
        <v>107560</v>
      </c>
      <c r="F1126" s="177" t="s">
        <v>866</v>
      </c>
      <c r="G1126" s="178">
        <v>739.2</v>
      </c>
      <c r="H1126" s="179">
        <v>42835</v>
      </c>
      <c r="I1126" s="178">
        <f t="shared" si="35"/>
        <v>739.2</v>
      </c>
      <c r="J1126" s="178">
        <f t="shared" si="36"/>
        <v>0</v>
      </c>
      <c r="K1126" s="19"/>
    </row>
    <row r="1127" spans="1:11" x14ac:dyDescent="0.25">
      <c r="A1127" s="51">
        <v>42835</v>
      </c>
      <c r="B1127" s="174" t="s">
        <v>12653</v>
      </c>
      <c r="C1127" s="175"/>
      <c r="D1127" s="176" t="s">
        <v>12653</v>
      </c>
      <c r="E1127" s="176">
        <v>107561</v>
      </c>
      <c r="F1127" s="177" t="s">
        <v>30</v>
      </c>
      <c r="G1127" s="178">
        <v>1377.8</v>
      </c>
      <c r="H1127" s="179">
        <v>42835</v>
      </c>
      <c r="I1127" s="178">
        <f t="shared" si="35"/>
        <v>1377.8</v>
      </c>
      <c r="J1127" s="178">
        <f t="shared" si="36"/>
        <v>0</v>
      </c>
      <c r="K1127" s="19"/>
    </row>
    <row r="1128" spans="1:11" x14ac:dyDescent="0.25">
      <c r="A1128" s="51">
        <v>42835</v>
      </c>
      <c r="B1128" s="174" t="s">
        <v>12654</v>
      </c>
      <c r="C1128" s="175"/>
      <c r="D1128" s="176" t="s">
        <v>12654</v>
      </c>
      <c r="E1128" s="176">
        <v>107562</v>
      </c>
      <c r="F1128" s="177" t="s">
        <v>879</v>
      </c>
      <c r="G1128" s="178">
        <v>3241</v>
      </c>
      <c r="H1128" s="179">
        <v>42835</v>
      </c>
      <c r="I1128" s="178">
        <f t="shared" si="35"/>
        <v>3241</v>
      </c>
      <c r="J1128" s="178">
        <f t="shared" si="36"/>
        <v>0</v>
      </c>
      <c r="K1128" s="19"/>
    </row>
    <row r="1129" spans="1:11" x14ac:dyDescent="0.25">
      <c r="A1129" s="51">
        <v>42835</v>
      </c>
      <c r="B1129" s="174" t="s">
        <v>12655</v>
      </c>
      <c r="C1129" s="175"/>
      <c r="D1129" s="176" t="s">
        <v>12655</v>
      </c>
      <c r="E1129" s="176">
        <v>107563</v>
      </c>
      <c r="F1129" s="177" t="s">
        <v>159</v>
      </c>
      <c r="G1129" s="178">
        <v>9068.7000000000007</v>
      </c>
      <c r="H1129" s="179">
        <v>42835</v>
      </c>
      <c r="I1129" s="178">
        <f t="shared" si="35"/>
        <v>9068.7000000000007</v>
      </c>
      <c r="J1129" s="178">
        <f t="shared" si="36"/>
        <v>0</v>
      </c>
      <c r="K1129" s="19"/>
    </row>
    <row r="1130" spans="1:11" x14ac:dyDescent="0.25">
      <c r="A1130" s="51">
        <v>42835</v>
      </c>
      <c r="B1130" s="174" t="s">
        <v>12656</v>
      </c>
      <c r="C1130" s="175"/>
      <c r="D1130" s="176" t="s">
        <v>12656</v>
      </c>
      <c r="E1130" s="176">
        <v>107564</v>
      </c>
      <c r="F1130" s="177" t="s">
        <v>57</v>
      </c>
      <c r="G1130" s="178">
        <v>1050</v>
      </c>
      <c r="H1130" s="179">
        <v>42835</v>
      </c>
      <c r="I1130" s="178">
        <f t="shared" si="35"/>
        <v>1050</v>
      </c>
      <c r="J1130" s="178">
        <f t="shared" si="36"/>
        <v>0</v>
      </c>
      <c r="K1130" s="19"/>
    </row>
    <row r="1131" spans="1:11" x14ac:dyDescent="0.25">
      <c r="A1131" s="51">
        <v>42835</v>
      </c>
      <c r="B1131" s="174" t="s">
        <v>12657</v>
      </c>
      <c r="C1131" s="175"/>
      <c r="D1131" s="176" t="s">
        <v>12657</v>
      </c>
      <c r="E1131" s="176">
        <v>107565</v>
      </c>
      <c r="F1131" s="177" t="s">
        <v>30</v>
      </c>
      <c r="G1131" s="178">
        <v>12993.5</v>
      </c>
      <c r="H1131" s="179">
        <v>42837</v>
      </c>
      <c r="I1131" s="178">
        <f t="shared" si="35"/>
        <v>12993.5</v>
      </c>
      <c r="J1131" s="178">
        <f t="shared" si="36"/>
        <v>0</v>
      </c>
      <c r="K1131" s="19"/>
    </row>
    <row r="1132" spans="1:11" x14ac:dyDescent="0.25">
      <c r="A1132" s="51">
        <v>42835</v>
      </c>
      <c r="B1132" s="174" t="s">
        <v>12658</v>
      </c>
      <c r="C1132" s="175"/>
      <c r="D1132" s="176" t="s">
        <v>12658</v>
      </c>
      <c r="E1132" s="176">
        <v>107566</v>
      </c>
      <c r="F1132" s="177" t="s">
        <v>272</v>
      </c>
      <c r="G1132" s="178">
        <v>2867.7</v>
      </c>
      <c r="H1132" s="179">
        <v>42837</v>
      </c>
      <c r="I1132" s="178">
        <f t="shared" si="35"/>
        <v>2867.7</v>
      </c>
      <c r="J1132" s="178">
        <f t="shared" si="36"/>
        <v>0</v>
      </c>
      <c r="K1132" s="19"/>
    </row>
    <row r="1133" spans="1:11" x14ac:dyDescent="0.25">
      <c r="A1133" s="51">
        <v>42835</v>
      </c>
      <c r="B1133" s="174" t="s">
        <v>12659</v>
      </c>
      <c r="C1133" s="175"/>
      <c r="D1133" s="176" t="s">
        <v>12659</v>
      </c>
      <c r="E1133" s="176">
        <v>107567</v>
      </c>
      <c r="F1133" s="177" t="s">
        <v>432</v>
      </c>
      <c r="G1133" s="178">
        <v>8217</v>
      </c>
      <c r="H1133" s="179">
        <v>42837</v>
      </c>
      <c r="I1133" s="178">
        <f t="shared" si="35"/>
        <v>8217</v>
      </c>
      <c r="J1133" s="178">
        <f t="shared" si="36"/>
        <v>0</v>
      </c>
      <c r="K1133" s="19"/>
    </row>
    <row r="1134" spans="1:11" x14ac:dyDescent="0.25">
      <c r="A1134" s="51">
        <v>42835</v>
      </c>
      <c r="B1134" s="174" t="s">
        <v>12660</v>
      </c>
      <c r="C1134" s="175"/>
      <c r="D1134" s="176" t="s">
        <v>12660</v>
      </c>
      <c r="E1134" s="176">
        <v>107568</v>
      </c>
      <c r="F1134" s="177" t="s">
        <v>268</v>
      </c>
      <c r="G1134" s="178">
        <v>11711.7</v>
      </c>
      <c r="H1134" s="179">
        <v>42837</v>
      </c>
      <c r="I1134" s="178">
        <f t="shared" si="35"/>
        <v>11711.7</v>
      </c>
      <c r="J1134" s="178">
        <f t="shared" si="36"/>
        <v>0</v>
      </c>
      <c r="K1134" s="19"/>
    </row>
    <row r="1135" spans="1:11" x14ac:dyDescent="0.25">
      <c r="A1135" s="51">
        <v>42835</v>
      </c>
      <c r="B1135" s="174" t="s">
        <v>12661</v>
      </c>
      <c r="C1135" s="175"/>
      <c r="D1135" s="176" t="s">
        <v>12661</v>
      </c>
      <c r="E1135" s="176">
        <v>107569</v>
      </c>
      <c r="F1135" s="177" t="s">
        <v>118</v>
      </c>
      <c r="G1135" s="178">
        <v>4303.2</v>
      </c>
      <c r="H1135" s="179">
        <v>42836</v>
      </c>
      <c r="I1135" s="178">
        <f t="shared" si="35"/>
        <v>4303.2</v>
      </c>
      <c r="J1135" s="178">
        <f t="shared" si="36"/>
        <v>0</v>
      </c>
      <c r="K1135" s="19"/>
    </row>
    <row r="1136" spans="1:11" x14ac:dyDescent="0.25">
      <c r="A1136" s="51">
        <v>42835</v>
      </c>
      <c r="B1136" s="174" t="s">
        <v>12662</v>
      </c>
      <c r="C1136" s="175"/>
      <c r="D1136" s="176" t="s">
        <v>12662</v>
      </c>
      <c r="E1136" s="176">
        <v>107570</v>
      </c>
      <c r="F1136" s="177" t="s">
        <v>6922</v>
      </c>
      <c r="G1136" s="178">
        <v>9908.4</v>
      </c>
      <c r="H1136" s="179">
        <v>42836</v>
      </c>
      <c r="I1136" s="178">
        <f t="shared" si="35"/>
        <v>9908.4</v>
      </c>
      <c r="J1136" s="178">
        <f t="shared" si="36"/>
        <v>0</v>
      </c>
      <c r="K1136" s="19"/>
    </row>
    <row r="1137" spans="1:11" x14ac:dyDescent="0.25">
      <c r="A1137" s="51">
        <v>42835</v>
      </c>
      <c r="B1137" s="174" t="s">
        <v>12663</v>
      </c>
      <c r="C1137" s="175"/>
      <c r="D1137" s="176" t="s">
        <v>12663</v>
      </c>
      <c r="E1137" s="176">
        <v>107571</v>
      </c>
      <c r="F1137" s="177" t="s">
        <v>133</v>
      </c>
      <c r="G1137" s="178">
        <v>9042.1</v>
      </c>
      <c r="H1137" s="179">
        <v>42843</v>
      </c>
      <c r="I1137" s="178">
        <f t="shared" si="35"/>
        <v>9042.1</v>
      </c>
      <c r="J1137" s="178">
        <f t="shared" si="36"/>
        <v>0</v>
      </c>
      <c r="K1137" s="19"/>
    </row>
    <row r="1138" spans="1:11" x14ac:dyDescent="0.25">
      <c r="A1138" s="51">
        <v>42835</v>
      </c>
      <c r="B1138" s="174" t="s">
        <v>12664</v>
      </c>
      <c r="C1138" s="175"/>
      <c r="D1138" s="176" t="s">
        <v>12664</v>
      </c>
      <c r="E1138" s="176">
        <v>107572</v>
      </c>
      <c r="F1138" s="177" t="s">
        <v>155</v>
      </c>
      <c r="G1138" s="178">
        <v>18202.599999999999</v>
      </c>
      <c r="H1138" s="179">
        <v>42838</v>
      </c>
      <c r="I1138" s="178">
        <f t="shared" si="35"/>
        <v>18202.599999999999</v>
      </c>
      <c r="J1138" s="178">
        <f t="shared" si="36"/>
        <v>0</v>
      </c>
      <c r="K1138" s="19"/>
    </row>
    <row r="1139" spans="1:11" x14ac:dyDescent="0.25">
      <c r="A1139" s="51">
        <v>42835</v>
      </c>
      <c r="B1139" s="174" t="s">
        <v>12665</v>
      </c>
      <c r="C1139" s="175"/>
      <c r="D1139" s="176" t="s">
        <v>12665</v>
      </c>
      <c r="E1139" s="176">
        <v>107573</v>
      </c>
      <c r="F1139" s="177" t="s">
        <v>120</v>
      </c>
      <c r="G1139" s="178">
        <v>1360</v>
      </c>
      <c r="H1139" s="179">
        <v>42836</v>
      </c>
      <c r="I1139" s="178">
        <f t="shared" si="35"/>
        <v>1360</v>
      </c>
      <c r="J1139" s="178">
        <f t="shared" si="36"/>
        <v>0</v>
      </c>
      <c r="K1139" s="19"/>
    </row>
    <row r="1140" spans="1:11" x14ac:dyDescent="0.25">
      <c r="A1140" s="51">
        <v>42835</v>
      </c>
      <c r="B1140" s="174" t="s">
        <v>12666</v>
      </c>
      <c r="C1140" s="175"/>
      <c r="D1140" s="176" t="s">
        <v>12666</v>
      </c>
      <c r="E1140" s="176">
        <v>107574</v>
      </c>
      <c r="F1140" s="177" t="s">
        <v>145</v>
      </c>
      <c r="G1140" s="178">
        <v>11340.6</v>
      </c>
      <c r="H1140" s="179">
        <v>42836</v>
      </c>
      <c r="I1140" s="178">
        <f t="shared" si="35"/>
        <v>11340.6</v>
      </c>
      <c r="J1140" s="178">
        <f t="shared" si="36"/>
        <v>0</v>
      </c>
      <c r="K1140" s="19"/>
    </row>
    <row r="1141" spans="1:11" x14ac:dyDescent="0.25">
      <c r="A1141" s="51">
        <v>42835</v>
      </c>
      <c r="B1141" s="174" t="s">
        <v>12667</v>
      </c>
      <c r="C1141" s="175"/>
      <c r="D1141" s="176" t="s">
        <v>12667</v>
      </c>
      <c r="E1141" s="176">
        <v>107575</v>
      </c>
      <c r="F1141" s="177" t="s">
        <v>352</v>
      </c>
      <c r="G1141" s="178">
        <v>2616.6</v>
      </c>
      <c r="H1141" s="179">
        <v>42835</v>
      </c>
      <c r="I1141" s="178">
        <f t="shared" si="35"/>
        <v>2616.6</v>
      </c>
      <c r="J1141" s="178">
        <f t="shared" si="36"/>
        <v>0</v>
      </c>
      <c r="K1141" s="19"/>
    </row>
    <row r="1142" spans="1:11" x14ac:dyDescent="0.25">
      <c r="A1142" s="51">
        <v>42835</v>
      </c>
      <c r="B1142" s="174" t="s">
        <v>12668</v>
      </c>
      <c r="C1142" s="175"/>
      <c r="D1142" s="176" t="s">
        <v>12668</v>
      </c>
      <c r="E1142" s="176">
        <v>107576</v>
      </c>
      <c r="F1142" s="177" t="s">
        <v>149</v>
      </c>
      <c r="G1142" s="178">
        <v>6181.2</v>
      </c>
      <c r="H1142" s="179">
        <v>42835</v>
      </c>
      <c r="I1142" s="178">
        <f t="shared" si="35"/>
        <v>6181.2</v>
      </c>
      <c r="J1142" s="178">
        <f t="shared" si="36"/>
        <v>0</v>
      </c>
      <c r="K1142" s="19"/>
    </row>
    <row r="1143" spans="1:11" x14ac:dyDescent="0.25">
      <c r="A1143" s="51">
        <v>42835</v>
      </c>
      <c r="B1143" s="174" t="s">
        <v>12669</v>
      </c>
      <c r="C1143" s="175"/>
      <c r="D1143" s="176" t="s">
        <v>12669</v>
      </c>
      <c r="E1143" s="176">
        <v>107577</v>
      </c>
      <c r="F1143" s="177" t="s">
        <v>161</v>
      </c>
      <c r="G1143" s="178">
        <v>35756.5</v>
      </c>
      <c r="H1143" s="179">
        <v>42846</v>
      </c>
      <c r="I1143" s="178">
        <f t="shared" si="35"/>
        <v>35756.5</v>
      </c>
      <c r="J1143" s="178">
        <f t="shared" si="36"/>
        <v>0</v>
      </c>
      <c r="K1143" s="19"/>
    </row>
    <row r="1144" spans="1:11" x14ac:dyDescent="0.25">
      <c r="A1144" s="51">
        <v>42835</v>
      </c>
      <c r="B1144" s="174" t="s">
        <v>12670</v>
      </c>
      <c r="C1144" s="175"/>
      <c r="D1144" s="176" t="s">
        <v>12670</v>
      </c>
      <c r="E1144" s="176">
        <v>107578</v>
      </c>
      <c r="F1144" s="177" t="s">
        <v>155</v>
      </c>
      <c r="G1144" s="178">
        <v>6461.6</v>
      </c>
      <c r="H1144" s="179">
        <v>42836</v>
      </c>
      <c r="I1144" s="178">
        <f t="shared" si="35"/>
        <v>6461.6</v>
      </c>
      <c r="J1144" s="178">
        <f t="shared" si="36"/>
        <v>0</v>
      </c>
      <c r="K1144" s="19"/>
    </row>
    <row r="1145" spans="1:11" x14ac:dyDescent="0.25">
      <c r="A1145" s="51">
        <v>42835</v>
      </c>
      <c r="B1145" s="174" t="s">
        <v>12671</v>
      </c>
      <c r="C1145" s="175"/>
      <c r="D1145" s="176" t="s">
        <v>12671</v>
      </c>
      <c r="E1145" s="176">
        <v>107579</v>
      </c>
      <c r="F1145" s="177" t="s">
        <v>61</v>
      </c>
      <c r="G1145" s="178">
        <v>3797.9</v>
      </c>
      <c r="H1145" s="179">
        <v>42835</v>
      </c>
      <c r="I1145" s="178">
        <f t="shared" si="35"/>
        <v>3797.9</v>
      </c>
      <c r="J1145" s="178">
        <f t="shared" si="36"/>
        <v>0</v>
      </c>
      <c r="K1145" s="19"/>
    </row>
    <row r="1146" spans="1:11" x14ac:dyDescent="0.25">
      <c r="A1146" s="51">
        <v>42835</v>
      </c>
      <c r="B1146" s="174" t="s">
        <v>12672</v>
      </c>
      <c r="C1146" s="175"/>
      <c r="D1146" s="176" t="s">
        <v>12672</v>
      </c>
      <c r="E1146" s="176">
        <v>107580</v>
      </c>
      <c r="F1146" s="177" t="s">
        <v>53</v>
      </c>
      <c r="G1146" s="178">
        <v>2436</v>
      </c>
      <c r="H1146" s="179">
        <v>42835</v>
      </c>
      <c r="I1146" s="178">
        <f t="shared" si="35"/>
        <v>2436</v>
      </c>
      <c r="J1146" s="178">
        <f t="shared" si="36"/>
        <v>0</v>
      </c>
      <c r="K1146" s="19"/>
    </row>
    <row r="1147" spans="1:11" x14ac:dyDescent="0.25">
      <c r="A1147" s="51">
        <v>42835</v>
      </c>
      <c r="B1147" s="174" t="s">
        <v>12673</v>
      </c>
      <c r="C1147" s="175"/>
      <c r="D1147" s="176" t="s">
        <v>12673</v>
      </c>
      <c r="E1147" s="176">
        <v>107581</v>
      </c>
      <c r="F1147" s="177" t="s">
        <v>909</v>
      </c>
      <c r="G1147" s="178">
        <v>508.8</v>
      </c>
      <c r="H1147" s="179">
        <v>42835</v>
      </c>
      <c r="I1147" s="178">
        <f t="shared" si="35"/>
        <v>508.8</v>
      </c>
      <c r="J1147" s="178">
        <f t="shared" si="36"/>
        <v>0</v>
      </c>
      <c r="K1147" s="19"/>
    </row>
    <row r="1148" spans="1:11" x14ac:dyDescent="0.25">
      <c r="A1148" s="51">
        <v>42835</v>
      </c>
      <c r="B1148" s="174" t="s">
        <v>12674</v>
      </c>
      <c r="C1148" s="175"/>
      <c r="D1148" s="176" t="s">
        <v>12674</v>
      </c>
      <c r="E1148" s="176">
        <v>107582</v>
      </c>
      <c r="F1148" s="177" t="s">
        <v>331</v>
      </c>
      <c r="G1148" s="178">
        <v>1635</v>
      </c>
      <c r="H1148" s="179">
        <v>42835</v>
      </c>
      <c r="I1148" s="178">
        <f t="shared" si="35"/>
        <v>1635</v>
      </c>
      <c r="J1148" s="178">
        <f t="shared" si="36"/>
        <v>0</v>
      </c>
      <c r="K1148" s="19"/>
    </row>
    <row r="1149" spans="1:11" x14ac:dyDescent="0.25">
      <c r="A1149" s="51">
        <v>42835</v>
      </c>
      <c r="B1149" s="174" t="s">
        <v>12675</v>
      </c>
      <c r="C1149" s="175"/>
      <c r="D1149" s="176" t="s">
        <v>12675</v>
      </c>
      <c r="E1149" s="176">
        <v>107583</v>
      </c>
      <c r="F1149" s="177" t="s">
        <v>352</v>
      </c>
      <c r="G1149" s="178">
        <v>264</v>
      </c>
      <c r="H1149" s="179">
        <v>42835</v>
      </c>
      <c r="I1149" s="178">
        <f t="shared" si="35"/>
        <v>264</v>
      </c>
      <c r="J1149" s="178">
        <f t="shared" si="36"/>
        <v>0</v>
      </c>
      <c r="K1149" s="19"/>
    </row>
    <row r="1150" spans="1:11" x14ac:dyDescent="0.25">
      <c r="A1150" s="51">
        <v>42835</v>
      </c>
      <c r="B1150" s="174" t="s">
        <v>12676</v>
      </c>
      <c r="C1150" s="175"/>
      <c r="D1150" s="176" t="s">
        <v>12676</v>
      </c>
      <c r="E1150" s="176">
        <v>107584</v>
      </c>
      <c r="F1150" s="177" t="s">
        <v>45</v>
      </c>
      <c r="G1150" s="178">
        <v>1590.6</v>
      </c>
      <c r="H1150" s="179">
        <v>42835</v>
      </c>
      <c r="I1150" s="178">
        <f t="shared" si="35"/>
        <v>1590.6</v>
      </c>
      <c r="J1150" s="178">
        <f t="shared" si="36"/>
        <v>0</v>
      </c>
      <c r="K1150" s="19"/>
    </row>
    <row r="1151" spans="1:11" x14ac:dyDescent="0.25">
      <c r="A1151" s="51">
        <v>42835</v>
      </c>
      <c r="B1151" s="174" t="s">
        <v>12677</v>
      </c>
      <c r="C1151" s="175"/>
      <c r="D1151" s="176" t="s">
        <v>12677</v>
      </c>
      <c r="E1151" s="176">
        <v>107585</v>
      </c>
      <c r="F1151" s="177" t="s">
        <v>198</v>
      </c>
      <c r="G1151" s="178">
        <v>1673.1</v>
      </c>
      <c r="H1151" s="179">
        <v>42835</v>
      </c>
      <c r="I1151" s="178">
        <f t="shared" si="35"/>
        <v>1673.1</v>
      </c>
      <c r="J1151" s="178">
        <f t="shared" si="36"/>
        <v>0</v>
      </c>
      <c r="K1151" s="19"/>
    </row>
    <row r="1152" spans="1:11" x14ac:dyDescent="0.25">
      <c r="A1152" s="51">
        <v>42835</v>
      </c>
      <c r="B1152" s="174" t="s">
        <v>12678</v>
      </c>
      <c r="C1152" s="175"/>
      <c r="D1152" s="176" t="s">
        <v>12678</v>
      </c>
      <c r="E1152" s="176">
        <v>107586</v>
      </c>
      <c r="F1152" s="177" t="s">
        <v>531</v>
      </c>
      <c r="G1152" s="178">
        <v>4085</v>
      </c>
      <c r="H1152" s="179">
        <v>42842</v>
      </c>
      <c r="I1152" s="178">
        <f t="shared" si="35"/>
        <v>4085</v>
      </c>
      <c r="J1152" s="178">
        <f t="shared" si="36"/>
        <v>0</v>
      </c>
      <c r="K1152" s="19"/>
    </row>
    <row r="1153" spans="1:11" x14ac:dyDescent="0.25">
      <c r="A1153" s="51">
        <v>42835</v>
      </c>
      <c r="B1153" s="174" t="s">
        <v>12679</v>
      </c>
      <c r="C1153" s="175"/>
      <c r="D1153" s="176" t="s">
        <v>12679</v>
      </c>
      <c r="E1153" s="176">
        <v>107587</v>
      </c>
      <c r="F1153" s="177" t="s">
        <v>115</v>
      </c>
      <c r="G1153" s="178">
        <v>2810.45</v>
      </c>
      <c r="H1153" s="179">
        <v>42835</v>
      </c>
      <c r="I1153" s="178">
        <f t="shared" si="35"/>
        <v>2810.45</v>
      </c>
      <c r="J1153" s="178">
        <f t="shared" si="36"/>
        <v>0</v>
      </c>
      <c r="K1153" s="19"/>
    </row>
    <row r="1154" spans="1:11" x14ac:dyDescent="0.25">
      <c r="A1154" s="51">
        <v>42835</v>
      </c>
      <c r="B1154" s="174" t="s">
        <v>12680</v>
      </c>
      <c r="C1154" s="175"/>
      <c r="D1154" s="176" t="s">
        <v>12680</v>
      </c>
      <c r="E1154" s="176">
        <v>107588</v>
      </c>
      <c r="F1154" s="189" t="s">
        <v>2986</v>
      </c>
      <c r="G1154" s="190">
        <v>0</v>
      </c>
      <c r="H1154" s="191" t="s">
        <v>95</v>
      </c>
      <c r="I1154" s="190">
        <f t="shared" si="35"/>
        <v>0</v>
      </c>
      <c r="J1154" s="190">
        <f t="shared" si="36"/>
        <v>0</v>
      </c>
      <c r="K1154" s="19"/>
    </row>
    <row r="1155" spans="1:11" x14ac:dyDescent="0.25">
      <c r="A1155" s="51">
        <v>42835</v>
      </c>
      <c r="B1155" s="174" t="s">
        <v>12681</v>
      </c>
      <c r="C1155" s="175"/>
      <c r="D1155" s="176" t="s">
        <v>12681</v>
      </c>
      <c r="E1155" s="176">
        <v>107589</v>
      </c>
      <c r="F1155" s="177" t="s">
        <v>85</v>
      </c>
      <c r="G1155" s="178">
        <v>14721</v>
      </c>
      <c r="H1155" s="179">
        <v>42835</v>
      </c>
      <c r="I1155" s="178">
        <f t="shared" si="35"/>
        <v>14721</v>
      </c>
      <c r="J1155" s="178">
        <f t="shared" si="36"/>
        <v>0</v>
      </c>
      <c r="K1155" s="19"/>
    </row>
    <row r="1156" spans="1:11" x14ac:dyDescent="0.25">
      <c r="A1156" s="51">
        <v>42835</v>
      </c>
      <c r="B1156" s="174" t="s">
        <v>12682</v>
      </c>
      <c r="C1156" s="175"/>
      <c r="D1156" s="176" t="s">
        <v>12682</v>
      </c>
      <c r="E1156" s="176">
        <v>107590</v>
      </c>
      <c r="F1156" s="177" t="s">
        <v>172</v>
      </c>
      <c r="G1156" s="178">
        <v>25001.599999999999</v>
      </c>
      <c r="H1156" s="179">
        <v>42846</v>
      </c>
      <c r="I1156" s="178">
        <f t="shared" ref="I1156:I1219" si="37">G1156</f>
        <v>25001.599999999999</v>
      </c>
      <c r="J1156" s="178">
        <f t="shared" ref="J1156:J1219" si="38">G1156-I1156</f>
        <v>0</v>
      </c>
      <c r="K1156" s="19"/>
    </row>
    <row r="1157" spans="1:11" x14ac:dyDescent="0.25">
      <c r="A1157" s="51">
        <v>42835</v>
      </c>
      <c r="B1157" s="174" t="s">
        <v>12683</v>
      </c>
      <c r="C1157" s="175"/>
      <c r="D1157" s="176" t="s">
        <v>12683</v>
      </c>
      <c r="E1157" s="176">
        <v>107591</v>
      </c>
      <c r="F1157" s="177" t="s">
        <v>10</v>
      </c>
      <c r="G1157" s="178">
        <v>78663.199999999997</v>
      </c>
      <c r="H1157" s="179">
        <v>42837</v>
      </c>
      <c r="I1157" s="178">
        <f t="shared" si="37"/>
        <v>78663.199999999997</v>
      </c>
      <c r="J1157" s="178">
        <f t="shared" si="38"/>
        <v>0</v>
      </c>
      <c r="K1157" s="19"/>
    </row>
    <row r="1158" spans="1:11" x14ac:dyDescent="0.25">
      <c r="A1158" s="51">
        <v>42835</v>
      </c>
      <c r="B1158" s="174" t="s">
        <v>12684</v>
      </c>
      <c r="C1158" s="175"/>
      <c r="D1158" s="176" t="s">
        <v>12684</v>
      </c>
      <c r="E1158" s="176">
        <v>107592</v>
      </c>
      <c r="F1158" s="177" t="s">
        <v>472</v>
      </c>
      <c r="G1158" s="178">
        <v>11297</v>
      </c>
      <c r="H1158" s="179">
        <v>42837</v>
      </c>
      <c r="I1158" s="178">
        <f t="shared" si="37"/>
        <v>11297</v>
      </c>
      <c r="J1158" s="178">
        <f t="shared" si="38"/>
        <v>0</v>
      </c>
      <c r="K1158" s="19"/>
    </row>
    <row r="1159" spans="1:11" x14ac:dyDescent="0.25">
      <c r="A1159" s="51">
        <v>42835</v>
      </c>
      <c r="B1159" s="174" t="s">
        <v>12685</v>
      </c>
      <c r="C1159" s="175"/>
      <c r="D1159" s="176" t="s">
        <v>12685</v>
      </c>
      <c r="E1159" s="176">
        <v>107593</v>
      </c>
      <c r="F1159" s="177" t="s">
        <v>30</v>
      </c>
      <c r="G1159" s="178">
        <v>2807.9</v>
      </c>
      <c r="H1159" s="179">
        <v>42835</v>
      </c>
      <c r="I1159" s="178">
        <f t="shared" si="37"/>
        <v>2807.9</v>
      </c>
      <c r="J1159" s="178">
        <f t="shared" si="38"/>
        <v>0</v>
      </c>
      <c r="K1159" s="19"/>
    </row>
    <row r="1160" spans="1:11" x14ac:dyDescent="0.25">
      <c r="A1160" s="51">
        <v>42835</v>
      </c>
      <c r="B1160" s="174" t="s">
        <v>12686</v>
      </c>
      <c r="C1160" s="175"/>
      <c r="D1160" s="176" t="s">
        <v>12686</v>
      </c>
      <c r="E1160" s="176">
        <v>107594</v>
      </c>
      <c r="F1160" s="177" t="s">
        <v>163</v>
      </c>
      <c r="G1160" s="178">
        <v>15562.4</v>
      </c>
      <c r="H1160" s="179">
        <v>42846</v>
      </c>
      <c r="I1160" s="178">
        <f t="shared" si="37"/>
        <v>15562.4</v>
      </c>
      <c r="J1160" s="178">
        <f t="shared" si="38"/>
        <v>0</v>
      </c>
      <c r="K1160" s="19"/>
    </row>
    <row r="1161" spans="1:11" x14ac:dyDescent="0.25">
      <c r="A1161" s="51">
        <v>42835</v>
      </c>
      <c r="B1161" s="174" t="s">
        <v>12687</v>
      </c>
      <c r="C1161" s="175"/>
      <c r="D1161" s="176" t="s">
        <v>12687</v>
      </c>
      <c r="E1161" s="176">
        <v>107595</v>
      </c>
      <c r="F1161" s="177" t="s">
        <v>186</v>
      </c>
      <c r="G1161" s="178">
        <v>850.7</v>
      </c>
      <c r="H1161" s="179">
        <v>42842</v>
      </c>
      <c r="I1161" s="178">
        <f t="shared" si="37"/>
        <v>850.7</v>
      </c>
      <c r="J1161" s="178">
        <f t="shared" si="38"/>
        <v>0</v>
      </c>
      <c r="K1161" s="19"/>
    </row>
    <row r="1162" spans="1:11" x14ac:dyDescent="0.25">
      <c r="A1162" s="51">
        <v>42835</v>
      </c>
      <c r="B1162" s="174" t="s">
        <v>12688</v>
      </c>
      <c r="C1162" s="175"/>
      <c r="D1162" s="176" t="s">
        <v>12688</v>
      </c>
      <c r="E1162" s="176">
        <v>107596</v>
      </c>
      <c r="F1162" s="177" t="s">
        <v>165</v>
      </c>
      <c r="G1162" s="178">
        <v>10922.8</v>
      </c>
      <c r="H1162" s="179">
        <v>42846</v>
      </c>
      <c r="I1162" s="178">
        <f t="shared" si="37"/>
        <v>10922.8</v>
      </c>
      <c r="J1162" s="178">
        <f t="shared" si="38"/>
        <v>0</v>
      </c>
      <c r="K1162" s="19"/>
    </row>
    <row r="1163" spans="1:11" x14ac:dyDescent="0.25">
      <c r="A1163" s="51">
        <v>42835</v>
      </c>
      <c r="B1163" s="174" t="s">
        <v>12689</v>
      </c>
      <c r="C1163" s="175"/>
      <c r="D1163" s="176" t="s">
        <v>12689</v>
      </c>
      <c r="E1163" s="176">
        <v>107597</v>
      </c>
      <c r="F1163" s="177" t="s">
        <v>30</v>
      </c>
      <c r="G1163" s="178">
        <v>3148.8</v>
      </c>
      <c r="H1163" s="179">
        <v>42835</v>
      </c>
      <c r="I1163" s="178">
        <f t="shared" si="37"/>
        <v>3148.8</v>
      </c>
      <c r="J1163" s="178">
        <f t="shared" si="38"/>
        <v>0</v>
      </c>
      <c r="K1163" s="19"/>
    </row>
    <row r="1164" spans="1:11" x14ac:dyDescent="0.25">
      <c r="A1164" s="51">
        <v>42835</v>
      </c>
      <c r="B1164" s="174" t="s">
        <v>12690</v>
      </c>
      <c r="C1164" s="175"/>
      <c r="D1164" s="176" t="s">
        <v>12690</v>
      </c>
      <c r="E1164" s="176">
        <v>107598</v>
      </c>
      <c r="F1164" s="177" t="s">
        <v>40</v>
      </c>
      <c r="G1164" s="178">
        <v>3408.3</v>
      </c>
      <c r="H1164" s="179">
        <v>42842</v>
      </c>
      <c r="I1164" s="178">
        <f t="shared" si="37"/>
        <v>3408.3</v>
      </c>
      <c r="J1164" s="178">
        <f t="shared" si="38"/>
        <v>0</v>
      </c>
      <c r="K1164" s="19"/>
    </row>
    <row r="1165" spans="1:11" x14ac:dyDescent="0.25">
      <c r="A1165" s="51">
        <v>42835</v>
      </c>
      <c r="B1165" s="174" t="s">
        <v>12691</v>
      </c>
      <c r="C1165" s="175"/>
      <c r="D1165" s="176" t="s">
        <v>12691</v>
      </c>
      <c r="E1165" s="176">
        <v>107599</v>
      </c>
      <c r="F1165" s="177" t="s">
        <v>35</v>
      </c>
      <c r="G1165" s="178">
        <v>8823.9</v>
      </c>
      <c r="H1165" s="179">
        <v>42837</v>
      </c>
      <c r="I1165" s="178">
        <f t="shared" si="37"/>
        <v>8823.9</v>
      </c>
      <c r="J1165" s="178">
        <f t="shared" si="38"/>
        <v>0</v>
      </c>
      <c r="K1165" s="19"/>
    </row>
    <row r="1166" spans="1:11" x14ac:dyDescent="0.25">
      <c r="A1166" s="51">
        <v>42835</v>
      </c>
      <c r="B1166" s="174" t="s">
        <v>12692</v>
      </c>
      <c r="C1166" s="175"/>
      <c r="D1166" s="176" t="s">
        <v>12692</v>
      </c>
      <c r="E1166" s="176">
        <v>107600</v>
      </c>
      <c r="F1166" s="177" t="s">
        <v>32</v>
      </c>
      <c r="G1166" s="178">
        <v>5708.4</v>
      </c>
      <c r="H1166" s="179">
        <v>42840</v>
      </c>
      <c r="I1166" s="178">
        <f t="shared" si="37"/>
        <v>5708.4</v>
      </c>
      <c r="J1166" s="178">
        <f t="shared" si="38"/>
        <v>0</v>
      </c>
      <c r="K1166" s="19"/>
    </row>
    <row r="1167" spans="1:11" x14ac:dyDescent="0.25">
      <c r="A1167" s="51">
        <v>42835</v>
      </c>
      <c r="B1167" s="174" t="s">
        <v>12693</v>
      </c>
      <c r="C1167" s="175"/>
      <c r="D1167" s="176" t="s">
        <v>12693</v>
      </c>
      <c r="E1167" s="176">
        <v>107601</v>
      </c>
      <c r="F1167" s="177" t="s">
        <v>250</v>
      </c>
      <c r="G1167" s="178">
        <v>846.6</v>
      </c>
      <c r="H1167" s="179">
        <v>42837</v>
      </c>
      <c r="I1167" s="178">
        <f t="shared" si="37"/>
        <v>846.6</v>
      </c>
      <c r="J1167" s="178">
        <f t="shared" si="38"/>
        <v>0</v>
      </c>
      <c r="K1167" s="19"/>
    </row>
    <row r="1168" spans="1:11" x14ac:dyDescent="0.25">
      <c r="A1168" s="51">
        <v>42835</v>
      </c>
      <c r="B1168" s="174" t="s">
        <v>12694</v>
      </c>
      <c r="C1168" s="175"/>
      <c r="D1168" s="176" t="s">
        <v>12694</v>
      </c>
      <c r="E1168" s="176">
        <v>107602</v>
      </c>
      <c r="F1168" s="177" t="s">
        <v>38</v>
      </c>
      <c r="G1168" s="178">
        <v>2811.6</v>
      </c>
      <c r="H1168" s="179">
        <v>42840</v>
      </c>
      <c r="I1168" s="178">
        <f t="shared" si="37"/>
        <v>2811.6</v>
      </c>
      <c r="J1168" s="178">
        <f t="shared" si="38"/>
        <v>0</v>
      </c>
      <c r="K1168" s="19"/>
    </row>
    <row r="1169" spans="1:11" x14ac:dyDescent="0.25">
      <c r="A1169" s="51">
        <v>42835</v>
      </c>
      <c r="B1169" s="174" t="s">
        <v>12695</v>
      </c>
      <c r="C1169" s="175"/>
      <c r="D1169" s="176" t="s">
        <v>12695</v>
      </c>
      <c r="E1169" s="176">
        <v>107603</v>
      </c>
      <c r="F1169" s="177" t="s">
        <v>49</v>
      </c>
      <c r="G1169" s="178">
        <v>8580</v>
      </c>
      <c r="H1169" s="179">
        <v>42842</v>
      </c>
      <c r="I1169" s="178">
        <f t="shared" si="37"/>
        <v>8580</v>
      </c>
      <c r="J1169" s="178">
        <f t="shared" si="38"/>
        <v>0</v>
      </c>
      <c r="K1169" s="19"/>
    </row>
    <row r="1170" spans="1:11" x14ac:dyDescent="0.25">
      <c r="A1170" s="51">
        <v>42835</v>
      </c>
      <c r="B1170" s="174" t="s">
        <v>12696</v>
      </c>
      <c r="C1170" s="175"/>
      <c r="D1170" s="176" t="s">
        <v>12696</v>
      </c>
      <c r="E1170" s="176">
        <v>107604</v>
      </c>
      <c r="F1170" s="177" t="s">
        <v>43</v>
      </c>
      <c r="G1170" s="178">
        <v>6566.3</v>
      </c>
      <c r="H1170" s="179">
        <v>42837</v>
      </c>
      <c r="I1170" s="178">
        <f t="shared" si="37"/>
        <v>6566.3</v>
      </c>
      <c r="J1170" s="178">
        <f t="shared" si="38"/>
        <v>0</v>
      </c>
      <c r="K1170" s="19"/>
    </row>
    <row r="1171" spans="1:11" x14ac:dyDescent="0.25">
      <c r="A1171" s="51">
        <v>42835</v>
      </c>
      <c r="B1171" s="174" t="s">
        <v>12697</v>
      </c>
      <c r="C1171" s="175"/>
      <c r="D1171" s="176" t="s">
        <v>12697</v>
      </c>
      <c r="E1171" s="176">
        <v>107605</v>
      </c>
      <c r="F1171" s="177" t="s">
        <v>67</v>
      </c>
      <c r="G1171" s="178">
        <v>11456.6</v>
      </c>
      <c r="H1171" s="180" t="s">
        <v>12698</v>
      </c>
      <c r="I1171" s="181">
        <f>6990.6+4466</f>
        <v>11456.6</v>
      </c>
      <c r="J1171" s="181">
        <f t="shared" si="38"/>
        <v>0</v>
      </c>
      <c r="K1171" s="19"/>
    </row>
    <row r="1172" spans="1:11" x14ac:dyDescent="0.25">
      <c r="A1172" s="51">
        <v>42835</v>
      </c>
      <c r="B1172" s="174" t="s">
        <v>12699</v>
      </c>
      <c r="C1172" s="175"/>
      <c r="D1172" s="176" t="s">
        <v>12699</v>
      </c>
      <c r="E1172" s="176">
        <v>107606</v>
      </c>
      <c r="F1172" s="177" t="s">
        <v>137</v>
      </c>
      <c r="G1172" s="178">
        <v>4960</v>
      </c>
      <c r="H1172" s="179">
        <v>42835</v>
      </c>
      <c r="I1172" s="178">
        <f t="shared" si="37"/>
        <v>4960</v>
      </c>
      <c r="J1172" s="178">
        <f t="shared" si="38"/>
        <v>0</v>
      </c>
      <c r="K1172" s="19"/>
    </row>
    <row r="1173" spans="1:11" x14ac:dyDescent="0.25">
      <c r="A1173" s="51">
        <v>42835</v>
      </c>
      <c r="B1173" s="174" t="s">
        <v>12700</v>
      </c>
      <c r="C1173" s="175"/>
      <c r="D1173" s="176" t="s">
        <v>12700</v>
      </c>
      <c r="E1173" s="176">
        <v>107607</v>
      </c>
      <c r="F1173" s="177" t="s">
        <v>67</v>
      </c>
      <c r="G1173" s="178">
        <v>6598.8</v>
      </c>
      <c r="H1173" s="179">
        <v>42842</v>
      </c>
      <c r="I1173" s="178">
        <f t="shared" si="37"/>
        <v>6598.8</v>
      </c>
      <c r="J1173" s="178">
        <f t="shared" si="38"/>
        <v>0</v>
      </c>
      <c r="K1173" s="19"/>
    </row>
    <row r="1174" spans="1:11" x14ac:dyDescent="0.25">
      <c r="A1174" s="51">
        <v>42835</v>
      </c>
      <c r="B1174" s="174" t="s">
        <v>12701</v>
      </c>
      <c r="C1174" s="175"/>
      <c r="D1174" s="176" t="s">
        <v>12701</v>
      </c>
      <c r="E1174" s="176">
        <v>107608</v>
      </c>
      <c r="F1174" s="177" t="s">
        <v>509</v>
      </c>
      <c r="G1174" s="178">
        <v>2090</v>
      </c>
      <c r="H1174" s="179">
        <v>42835</v>
      </c>
      <c r="I1174" s="178">
        <f t="shared" si="37"/>
        <v>2090</v>
      </c>
      <c r="J1174" s="178">
        <f t="shared" si="38"/>
        <v>0</v>
      </c>
      <c r="K1174" s="19"/>
    </row>
    <row r="1175" spans="1:11" x14ac:dyDescent="0.25">
      <c r="A1175" s="51">
        <v>42835</v>
      </c>
      <c r="B1175" s="174" t="s">
        <v>12702</v>
      </c>
      <c r="C1175" s="175"/>
      <c r="D1175" s="176" t="s">
        <v>12702</v>
      </c>
      <c r="E1175" s="176">
        <v>107609</v>
      </c>
      <c r="F1175" s="177" t="s">
        <v>509</v>
      </c>
      <c r="G1175" s="178">
        <v>768.2</v>
      </c>
      <c r="H1175" s="179">
        <v>42835</v>
      </c>
      <c r="I1175" s="178">
        <f t="shared" si="37"/>
        <v>768.2</v>
      </c>
      <c r="J1175" s="178">
        <f t="shared" si="38"/>
        <v>0</v>
      </c>
      <c r="K1175" s="19"/>
    </row>
    <row r="1176" spans="1:11" x14ac:dyDescent="0.25">
      <c r="A1176" s="51">
        <v>42835</v>
      </c>
      <c r="B1176" s="174" t="s">
        <v>12703</v>
      </c>
      <c r="C1176" s="175"/>
      <c r="D1176" s="176" t="s">
        <v>12703</v>
      </c>
      <c r="E1176" s="176">
        <v>107610</v>
      </c>
      <c r="F1176" s="177" t="s">
        <v>316</v>
      </c>
      <c r="G1176" s="178">
        <v>19354.919999999998</v>
      </c>
      <c r="H1176" s="179">
        <v>42844</v>
      </c>
      <c r="I1176" s="178">
        <f t="shared" si="37"/>
        <v>19354.919999999998</v>
      </c>
      <c r="J1176" s="178">
        <f t="shared" si="38"/>
        <v>0</v>
      </c>
      <c r="K1176" s="19"/>
    </row>
    <row r="1177" spans="1:11" x14ac:dyDescent="0.25">
      <c r="A1177" s="51">
        <v>42835</v>
      </c>
      <c r="B1177" s="174" t="s">
        <v>12704</v>
      </c>
      <c r="C1177" s="175"/>
      <c r="D1177" s="176" t="s">
        <v>12704</v>
      </c>
      <c r="E1177" s="176">
        <v>107611</v>
      </c>
      <c r="F1177" s="177" t="s">
        <v>182</v>
      </c>
      <c r="G1177" s="178">
        <v>2100</v>
      </c>
      <c r="H1177" s="179">
        <v>42837</v>
      </c>
      <c r="I1177" s="178">
        <f t="shared" si="37"/>
        <v>2100</v>
      </c>
      <c r="J1177" s="178">
        <f t="shared" si="38"/>
        <v>0</v>
      </c>
      <c r="K1177" s="19"/>
    </row>
    <row r="1178" spans="1:11" x14ac:dyDescent="0.25">
      <c r="A1178" s="51">
        <v>42835</v>
      </c>
      <c r="B1178" s="174" t="s">
        <v>12705</v>
      </c>
      <c r="C1178" s="175"/>
      <c r="D1178" s="176" t="s">
        <v>12705</v>
      </c>
      <c r="E1178" s="176">
        <v>107612</v>
      </c>
      <c r="F1178" s="177" t="s">
        <v>193</v>
      </c>
      <c r="G1178" s="178">
        <v>1738.4</v>
      </c>
      <c r="H1178" s="179">
        <v>42837</v>
      </c>
      <c r="I1178" s="178">
        <f t="shared" si="37"/>
        <v>1738.4</v>
      </c>
      <c r="J1178" s="178">
        <f t="shared" si="38"/>
        <v>0</v>
      </c>
      <c r="K1178" s="19"/>
    </row>
    <row r="1179" spans="1:11" x14ac:dyDescent="0.25">
      <c r="A1179" s="51">
        <v>42835</v>
      </c>
      <c r="B1179" s="174" t="s">
        <v>12706</v>
      </c>
      <c r="C1179" s="175"/>
      <c r="D1179" s="176" t="s">
        <v>12706</v>
      </c>
      <c r="E1179" s="176">
        <v>107613</v>
      </c>
      <c r="F1179" s="177" t="s">
        <v>30</v>
      </c>
      <c r="G1179" s="178">
        <v>3083.2</v>
      </c>
      <c r="H1179" s="179">
        <v>42835</v>
      </c>
      <c r="I1179" s="178">
        <f t="shared" si="37"/>
        <v>3083.2</v>
      </c>
      <c r="J1179" s="178">
        <f t="shared" si="38"/>
        <v>0</v>
      </c>
      <c r="K1179" s="19"/>
    </row>
    <row r="1180" spans="1:11" x14ac:dyDescent="0.25">
      <c r="A1180" s="51">
        <v>42835</v>
      </c>
      <c r="B1180" s="174" t="s">
        <v>12707</v>
      </c>
      <c r="C1180" s="175"/>
      <c r="D1180" s="176" t="s">
        <v>12707</v>
      </c>
      <c r="E1180" s="176">
        <v>107614</v>
      </c>
      <c r="F1180" s="177" t="s">
        <v>688</v>
      </c>
      <c r="G1180" s="178">
        <v>8607.1</v>
      </c>
      <c r="H1180" s="179">
        <v>42838</v>
      </c>
      <c r="I1180" s="178">
        <f t="shared" si="37"/>
        <v>8607.1</v>
      </c>
      <c r="J1180" s="178">
        <f t="shared" si="38"/>
        <v>0</v>
      </c>
      <c r="K1180" s="19"/>
    </row>
    <row r="1181" spans="1:11" x14ac:dyDescent="0.25">
      <c r="A1181" s="51">
        <v>42835</v>
      </c>
      <c r="B1181" s="174" t="s">
        <v>12708</v>
      </c>
      <c r="C1181" s="175"/>
      <c r="D1181" s="176" t="s">
        <v>12708</v>
      </c>
      <c r="E1181" s="176">
        <v>107615</v>
      </c>
      <c r="F1181" s="177" t="s">
        <v>2240</v>
      </c>
      <c r="G1181" s="178">
        <v>17387.32</v>
      </c>
      <c r="H1181" s="179">
        <v>42835</v>
      </c>
      <c r="I1181" s="178">
        <f t="shared" si="37"/>
        <v>17387.32</v>
      </c>
      <c r="J1181" s="178">
        <f t="shared" si="38"/>
        <v>0</v>
      </c>
      <c r="K1181" s="19"/>
    </row>
    <row r="1182" spans="1:11" x14ac:dyDescent="0.25">
      <c r="A1182" s="51">
        <v>42835</v>
      </c>
      <c r="B1182" s="174" t="s">
        <v>12709</v>
      </c>
      <c r="C1182" s="175"/>
      <c r="D1182" s="176" t="s">
        <v>12709</v>
      </c>
      <c r="E1182" s="176">
        <v>107616</v>
      </c>
      <c r="F1182" s="177" t="s">
        <v>686</v>
      </c>
      <c r="G1182" s="178">
        <v>21332.6</v>
      </c>
      <c r="H1182" s="179">
        <v>42838</v>
      </c>
      <c r="I1182" s="178">
        <f t="shared" si="37"/>
        <v>21332.6</v>
      </c>
      <c r="J1182" s="178">
        <f t="shared" si="38"/>
        <v>0</v>
      </c>
      <c r="K1182" s="19"/>
    </row>
    <row r="1183" spans="1:11" x14ac:dyDescent="0.25">
      <c r="A1183" s="51">
        <v>42835</v>
      </c>
      <c r="B1183" s="174" t="s">
        <v>12710</v>
      </c>
      <c r="C1183" s="175"/>
      <c r="D1183" s="176" t="s">
        <v>12710</v>
      </c>
      <c r="E1183" s="176">
        <v>107617</v>
      </c>
      <c r="F1183" s="177" t="s">
        <v>680</v>
      </c>
      <c r="G1183" s="178">
        <v>995.8</v>
      </c>
      <c r="H1183" s="179">
        <v>42838</v>
      </c>
      <c r="I1183" s="178">
        <f t="shared" si="37"/>
        <v>995.8</v>
      </c>
      <c r="J1183" s="178">
        <f t="shared" si="38"/>
        <v>0</v>
      </c>
      <c r="K1183" s="19"/>
    </row>
    <row r="1184" spans="1:11" x14ac:dyDescent="0.25">
      <c r="A1184" s="51">
        <v>42835</v>
      </c>
      <c r="B1184" s="174" t="s">
        <v>12711</v>
      </c>
      <c r="C1184" s="175"/>
      <c r="D1184" s="176" t="s">
        <v>12711</v>
      </c>
      <c r="E1184" s="176">
        <v>107618</v>
      </c>
      <c r="F1184" s="177" t="s">
        <v>675</v>
      </c>
      <c r="G1184" s="178">
        <v>2081.1999999999998</v>
      </c>
      <c r="H1184" s="179">
        <v>42838</v>
      </c>
      <c r="I1184" s="178">
        <f t="shared" si="37"/>
        <v>2081.1999999999998</v>
      </c>
      <c r="J1184" s="178">
        <f t="shared" si="38"/>
        <v>0</v>
      </c>
      <c r="K1184" s="19"/>
    </row>
    <row r="1185" spans="1:11" x14ac:dyDescent="0.25">
      <c r="A1185" s="51">
        <v>42835</v>
      </c>
      <c r="B1185" s="174" t="s">
        <v>12712</v>
      </c>
      <c r="C1185" s="175"/>
      <c r="D1185" s="176" t="s">
        <v>12712</v>
      </c>
      <c r="E1185" s="176">
        <v>107619</v>
      </c>
      <c r="F1185" s="177" t="s">
        <v>670</v>
      </c>
      <c r="G1185" s="178">
        <v>132905.70000000001</v>
      </c>
      <c r="H1185" s="179"/>
      <c r="I1185" s="178">
        <f t="shared" si="37"/>
        <v>132905.70000000001</v>
      </c>
      <c r="J1185" s="178">
        <f t="shared" si="38"/>
        <v>0</v>
      </c>
      <c r="K1185" s="19"/>
    </row>
    <row r="1186" spans="1:11" x14ac:dyDescent="0.25">
      <c r="A1186" s="51">
        <v>42835</v>
      </c>
      <c r="B1186" s="174" t="s">
        <v>12713</v>
      </c>
      <c r="C1186" s="175"/>
      <c r="D1186" s="176" t="s">
        <v>12713</v>
      </c>
      <c r="E1186" s="176">
        <v>107620</v>
      </c>
      <c r="F1186" s="177" t="s">
        <v>682</v>
      </c>
      <c r="G1186" s="178">
        <v>1983.8</v>
      </c>
      <c r="H1186" s="179">
        <v>42838</v>
      </c>
      <c r="I1186" s="178">
        <f t="shared" si="37"/>
        <v>1983.8</v>
      </c>
      <c r="J1186" s="178">
        <f t="shared" si="38"/>
        <v>0</v>
      </c>
      <c r="K1186" s="19"/>
    </row>
    <row r="1187" spans="1:11" x14ac:dyDescent="0.25">
      <c r="A1187" s="51">
        <v>42835</v>
      </c>
      <c r="B1187" s="174" t="s">
        <v>12714</v>
      </c>
      <c r="C1187" s="175"/>
      <c r="D1187" s="176" t="s">
        <v>12714</v>
      </c>
      <c r="E1187" s="176">
        <v>107621</v>
      </c>
      <c r="F1187" s="177" t="s">
        <v>1197</v>
      </c>
      <c r="G1187" s="178">
        <v>2306.4</v>
      </c>
      <c r="H1187" s="179">
        <v>42838</v>
      </c>
      <c r="I1187" s="178">
        <f t="shared" si="37"/>
        <v>2306.4</v>
      </c>
      <c r="J1187" s="178">
        <f t="shared" si="38"/>
        <v>0</v>
      </c>
      <c r="K1187" s="19"/>
    </row>
    <row r="1188" spans="1:11" x14ac:dyDescent="0.25">
      <c r="A1188" s="51">
        <v>42835</v>
      </c>
      <c r="B1188" s="174" t="s">
        <v>12715</v>
      </c>
      <c r="C1188" s="175"/>
      <c r="D1188" s="176" t="s">
        <v>12715</v>
      </c>
      <c r="E1188" s="176">
        <v>107622</v>
      </c>
      <c r="F1188" s="177" t="s">
        <v>1598</v>
      </c>
      <c r="G1188" s="178">
        <v>4776</v>
      </c>
      <c r="H1188" s="180" t="s">
        <v>12716</v>
      </c>
      <c r="I1188" s="181">
        <f>3200+1576</f>
        <v>4776</v>
      </c>
      <c r="J1188" s="181">
        <f t="shared" si="38"/>
        <v>0</v>
      </c>
      <c r="K1188" s="19"/>
    </row>
    <row r="1189" spans="1:11" x14ac:dyDescent="0.25">
      <c r="A1189" s="51">
        <v>42835</v>
      </c>
      <c r="B1189" s="174" t="s">
        <v>12717</v>
      </c>
      <c r="C1189" s="175"/>
      <c r="D1189" s="176" t="s">
        <v>12717</v>
      </c>
      <c r="E1189" s="176">
        <v>107623</v>
      </c>
      <c r="F1189" s="177" t="s">
        <v>354</v>
      </c>
      <c r="G1189" s="178">
        <v>835.4</v>
      </c>
      <c r="H1189" s="179">
        <v>42835</v>
      </c>
      <c r="I1189" s="178">
        <f t="shared" si="37"/>
        <v>835.4</v>
      </c>
      <c r="J1189" s="178">
        <f t="shared" si="38"/>
        <v>0</v>
      </c>
      <c r="K1189" s="19"/>
    </row>
    <row r="1190" spans="1:11" x14ac:dyDescent="0.25">
      <c r="A1190" s="51">
        <v>42835</v>
      </c>
      <c r="B1190" s="174" t="s">
        <v>12718</v>
      </c>
      <c r="C1190" s="175"/>
      <c r="D1190" s="176" t="s">
        <v>12718</v>
      </c>
      <c r="E1190" s="176">
        <v>107624</v>
      </c>
      <c r="F1190" s="177" t="s">
        <v>30</v>
      </c>
      <c r="G1190" s="178">
        <v>11317.6</v>
      </c>
      <c r="H1190" s="179">
        <v>42835</v>
      </c>
      <c r="I1190" s="178">
        <f t="shared" si="37"/>
        <v>11317.6</v>
      </c>
      <c r="J1190" s="178">
        <f t="shared" si="38"/>
        <v>0</v>
      </c>
      <c r="K1190" s="19"/>
    </row>
    <row r="1191" spans="1:11" x14ac:dyDescent="0.25">
      <c r="A1191" s="51">
        <v>42835</v>
      </c>
      <c r="B1191" s="174" t="s">
        <v>12719</v>
      </c>
      <c r="C1191" s="175"/>
      <c r="D1191" s="176" t="s">
        <v>12719</v>
      </c>
      <c r="E1191" s="176">
        <v>107625</v>
      </c>
      <c r="F1191" s="177" t="s">
        <v>673</v>
      </c>
      <c r="G1191" s="178">
        <v>5889.6</v>
      </c>
      <c r="H1191" s="179">
        <v>42838</v>
      </c>
      <c r="I1191" s="178">
        <f t="shared" si="37"/>
        <v>5889.6</v>
      </c>
      <c r="J1191" s="178">
        <f t="shared" si="38"/>
        <v>0</v>
      </c>
      <c r="K1191" s="19"/>
    </row>
    <row r="1192" spans="1:11" x14ac:dyDescent="0.25">
      <c r="A1192" s="51">
        <v>42835</v>
      </c>
      <c r="B1192" s="174" t="s">
        <v>12720</v>
      </c>
      <c r="C1192" s="175"/>
      <c r="D1192" s="176" t="s">
        <v>12720</v>
      </c>
      <c r="E1192" s="176">
        <v>107626</v>
      </c>
      <c r="F1192" s="177" t="s">
        <v>3513</v>
      </c>
      <c r="G1192" s="178">
        <v>2114.4</v>
      </c>
      <c r="H1192" s="179">
        <v>42838</v>
      </c>
      <c r="I1192" s="178">
        <f t="shared" si="37"/>
        <v>2114.4</v>
      </c>
      <c r="J1192" s="178">
        <f t="shared" si="38"/>
        <v>0</v>
      </c>
      <c r="K1192" s="19"/>
    </row>
    <row r="1193" spans="1:11" x14ac:dyDescent="0.25">
      <c r="A1193" s="51">
        <v>42835</v>
      </c>
      <c r="B1193" s="174" t="s">
        <v>12721</v>
      </c>
      <c r="C1193" s="175"/>
      <c r="D1193" s="176" t="s">
        <v>12721</v>
      </c>
      <c r="E1193" s="176">
        <v>107627</v>
      </c>
      <c r="F1193" s="177" t="s">
        <v>3513</v>
      </c>
      <c r="G1193" s="178">
        <v>525</v>
      </c>
      <c r="H1193" s="179">
        <v>42838</v>
      </c>
      <c r="I1193" s="178">
        <f t="shared" si="37"/>
        <v>525</v>
      </c>
      <c r="J1193" s="178">
        <f t="shared" si="38"/>
        <v>0</v>
      </c>
      <c r="K1193" s="19"/>
    </row>
    <row r="1194" spans="1:11" x14ac:dyDescent="0.25">
      <c r="A1194" s="51">
        <v>42835</v>
      </c>
      <c r="B1194" s="174" t="s">
        <v>12722</v>
      </c>
      <c r="C1194" s="175"/>
      <c r="D1194" s="176" t="s">
        <v>12722</v>
      </c>
      <c r="E1194" s="176">
        <v>107628</v>
      </c>
      <c r="F1194" s="177" t="s">
        <v>205</v>
      </c>
      <c r="G1194" s="178">
        <v>29830.400000000001</v>
      </c>
      <c r="H1194" s="179">
        <v>42850</v>
      </c>
      <c r="I1194" s="178">
        <f t="shared" si="37"/>
        <v>29830.400000000001</v>
      </c>
      <c r="J1194" s="178">
        <f t="shared" si="38"/>
        <v>0</v>
      </c>
      <c r="K1194" s="19"/>
    </row>
    <row r="1195" spans="1:11" x14ac:dyDescent="0.25">
      <c r="A1195" s="51">
        <v>42835</v>
      </c>
      <c r="B1195" s="174" t="s">
        <v>12723</v>
      </c>
      <c r="C1195" s="175"/>
      <c r="D1195" s="176" t="s">
        <v>12723</v>
      </c>
      <c r="E1195" s="176">
        <v>107629</v>
      </c>
      <c r="F1195" s="177" t="s">
        <v>8</v>
      </c>
      <c r="G1195" s="178">
        <v>5165.2</v>
      </c>
      <c r="H1195" s="179">
        <v>42838</v>
      </c>
      <c r="I1195" s="178">
        <f t="shared" si="37"/>
        <v>5165.2</v>
      </c>
      <c r="J1195" s="178">
        <f t="shared" si="38"/>
        <v>0</v>
      </c>
      <c r="K1195" s="19"/>
    </row>
    <row r="1196" spans="1:11" x14ac:dyDescent="0.25">
      <c r="A1196" s="51">
        <v>42835</v>
      </c>
      <c r="B1196" s="174" t="s">
        <v>12724</v>
      </c>
      <c r="C1196" s="175"/>
      <c r="D1196" s="176" t="s">
        <v>12724</v>
      </c>
      <c r="E1196" s="176">
        <v>107630</v>
      </c>
      <c r="F1196" s="177" t="s">
        <v>677</v>
      </c>
      <c r="G1196" s="178">
        <v>1268.5999999999999</v>
      </c>
      <c r="H1196" s="179">
        <v>42838</v>
      </c>
      <c r="I1196" s="178">
        <f t="shared" si="37"/>
        <v>1268.5999999999999</v>
      </c>
      <c r="J1196" s="178">
        <f t="shared" si="38"/>
        <v>0</v>
      </c>
      <c r="K1196" s="19"/>
    </row>
    <row r="1197" spans="1:11" x14ac:dyDescent="0.25">
      <c r="A1197" s="51">
        <v>42835</v>
      </c>
      <c r="B1197" s="174" t="s">
        <v>12725</v>
      </c>
      <c r="C1197" s="175"/>
      <c r="D1197" s="176" t="s">
        <v>12725</v>
      </c>
      <c r="E1197" s="176">
        <v>107631</v>
      </c>
      <c r="F1197" s="177" t="s">
        <v>921</v>
      </c>
      <c r="G1197" s="178">
        <v>6417.6</v>
      </c>
      <c r="H1197" s="179">
        <v>42835</v>
      </c>
      <c r="I1197" s="178">
        <f t="shared" si="37"/>
        <v>6417.6</v>
      </c>
      <c r="J1197" s="178">
        <f t="shared" si="38"/>
        <v>0</v>
      </c>
      <c r="K1197" s="19"/>
    </row>
    <row r="1198" spans="1:11" x14ac:dyDescent="0.25">
      <c r="A1198" s="51">
        <v>42836</v>
      </c>
      <c r="B1198" s="174" t="s">
        <v>12726</v>
      </c>
      <c r="C1198" s="175"/>
      <c r="D1198" s="176" t="s">
        <v>12726</v>
      </c>
      <c r="E1198" s="176">
        <v>107632</v>
      </c>
      <c r="F1198" s="177" t="s">
        <v>231</v>
      </c>
      <c r="G1198" s="178">
        <v>5830.7</v>
      </c>
      <c r="H1198" s="179">
        <v>42836</v>
      </c>
      <c r="I1198" s="178">
        <f t="shared" si="37"/>
        <v>5830.7</v>
      </c>
      <c r="J1198" s="178">
        <f t="shared" si="38"/>
        <v>0</v>
      </c>
      <c r="K1198" s="19"/>
    </row>
    <row r="1199" spans="1:11" x14ac:dyDescent="0.25">
      <c r="A1199" s="51">
        <v>42836</v>
      </c>
      <c r="B1199" s="174" t="s">
        <v>12727</v>
      </c>
      <c r="C1199" s="175"/>
      <c r="D1199" s="176" t="s">
        <v>12727</v>
      </c>
      <c r="E1199" s="176">
        <v>107633</v>
      </c>
      <c r="F1199" s="177" t="s">
        <v>231</v>
      </c>
      <c r="G1199" s="178">
        <v>39543.800000000003</v>
      </c>
      <c r="H1199" s="179">
        <v>42840</v>
      </c>
      <c r="I1199" s="178">
        <f t="shared" si="37"/>
        <v>39543.800000000003</v>
      </c>
      <c r="J1199" s="178">
        <f t="shared" si="38"/>
        <v>0</v>
      </c>
      <c r="K1199" s="19"/>
    </row>
    <row r="1200" spans="1:11" x14ac:dyDescent="0.25">
      <c r="A1200" s="51">
        <v>42836</v>
      </c>
      <c r="B1200" s="174" t="s">
        <v>12728</v>
      </c>
      <c r="C1200" s="175"/>
      <c r="D1200" s="176" t="s">
        <v>12728</v>
      </c>
      <c r="E1200" s="176">
        <v>107634</v>
      </c>
      <c r="F1200" s="177" t="s">
        <v>17</v>
      </c>
      <c r="G1200" s="178">
        <v>1260</v>
      </c>
      <c r="H1200" s="179">
        <v>42836</v>
      </c>
      <c r="I1200" s="178">
        <f t="shared" si="37"/>
        <v>1260</v>
      </c>
      <c r="J1200" s="178">
        <f t="shared" si="38"/>
        <v>0</v>
      </c>
      <c r="K1200" s="19"/>
    </row>
    <row r="1201" spans="1:11" x14ac:dyDescent="0.25">
      <c r="A1201" s="51">
        <v>42836</v>
      </c>
      <c r="B1201" s="174" t="s">
        <v>12729</v>
      </c>
      <c r="C1201" s="175"/>
      <c r="D1201" s="176" t="s">
        <v>12729</v>
      </c>
      <c r="E1201" s="176">
        <v>107635</v>
      </c>
      <c r="F1201" s="177" t="s">
        <v>26</v>
      </c>
      <c r="G1201" s="178">
        <v>14685.6</v>
      </c>
      <c r="H1201" s="179">
        <v>42836</v>
      </c>
      <c r="I1201" s="178">
        <f t="shared" si="37"/>
        <v>14685.6</v>
      </c>
      <c r="J1201" s="178">
        <f t="shared" si="38"/>
        <v>0</v>
      </c>
      <c r="K1201" s="19"/>
    </row>
    <row r="1202" spans="1:11" x14ac:dyDescent="0.25">
      <c r="A1202" s="51">
        <v>42836</v>
      </c>
      <c r="B1202" s="174" t="s">
        <v>12730</v>
      </c>
      <c r="C1202" s="175"/>
      <c r="D1202" s="176" t="s">
        <v>12730</v>
      </c>
      <c r="E1202" s="176">
        <v>107636</v>
      </c>
      <c r="F1202" s="177" t="s">
        <v>222</v>
      </c>
      <c r="G1202" s="178">
        <v>23252.9</v>
      </c>
      <c r="H1202" s="179">
        <v>42841</v>
      </c>
      <c r="I1202" s="178">
        <f t="shared" si="37"/>
        <v>23252.9</v>
      </c>
      <c r="J1202" s="178">
        <f t="shared" si="38"/>
        <v>0</v>
      </c>
      <c r="K1202" s="19"/>
    </row>
    <row r="1203" spans="1:11" x14ac:dyDescent="0.25">
      <c r="A1203" s="51">
        <v>42836</v>
      </c>
      <c r="B1203" s="174" t="s">
        <v>12731</v>
      </c>
      <c r="C1203" s="175"/>
      <c r="D1203" s="176" t="s">
        <v>12731</v>
      </c>
      <c r="E1203" s="176">
        <v>107637</v>
      </c>
      <c r="F1203" s="177" t="s">
        <v>1786</v>
      </c>
      <c r="G1203" s="178">
        <v>6361.6</v>
      </c>
      <c r="H1203" s="179">
        <v>42836</v>
      </c>
      <c r="I1203" s="178">
        <f t="shared" si="37"/>
        <v>6361.6</v>
      </c>
      <c r="J1203" s="178">
        <f t="shared" si="38"/>
        <v>0</v>
      </c>
      <c r="K1203" s="19"/>
    </row>
    <row r="1204" spans="1:11" x14ac:dyDescent="0.25">
      <c r="A1204" s="51">
        <v>42836</v>
      </c>
      <c r="B1204" s="174" t="s">
        <v>12732</v>
      </c>
      <c r="C1204" s="175"/>
      <c r="D1204" s="176" t="s">
        <v>12732</v>
      </c>
      <c r="E1204" s="176">
        <v>107638</v>
      </c>
      <c r="F1204" s="177" t="s">
        <v>28</v>
      </c>
      <c r="G1204" s="178">
        <v>7949.6</v>
      </c>
      <c r="H1204" s="179">
        <v>42836</v>
      </c>
      <c r="I1204" s="178">
        <f t="shared" si="37"/>
        <v>7949.6</v>
      </c>
      <c r="J1204" s="178">
        <f t="shared" si="38"/>
        <v>0</v>
      </c>
      <c r="K1204" s="19"/>
    </row>
    <row r="1205" spans="1:11" x14ac:dyDescent="0.25">
      <c r="A1205" s="51">
        <v>42836</v>
      </c>
      <c r="B1205" s="174" t="s">
        <v>12733</v>
      </c>
      <c r="C1205" s="175"/>
      <c r="D1205" s="176" t="s">
        <v>12733</v>
      </c>
      <c r="E1205" s="176">
        <v>107639</v>
      </c>
      <c r="F1205" s="177" t="s">
        <v>302</v>
      </c>
      <c r="G1205" s="178">
        <v>9300.2000000000007</v>
      </c>
      <c r="H1205" s="179">
        <v>42838</v>
      </c>
      <c r="I1205" s="178">
        <f t="shared" si="37"/>
        <v>9300.2000000000007</v>
      </c>
      <c r="J1205" s="178">
        <f t="shared" si="38"/>
        <v>0</v>
      </c>
      <c r="K1205" s="19"/>
    </row>
    <row r="1206" spans="1:11" x14ac:dyDescent="0.25">
      <c r="A1206" s="51">
        <v>42836</v>
      </c>
      <c r="B1206" s="174" t="s">
        <v>12734</v>
      </c>
      <c r="C1206" s="175"/>
      <c r="D1206" s="176" t="s">
        <v>12734</v>
      </c>
      <c r="E1206" s="176">
        <v>107640</v>
      </c>
      <c r="F1206" s="177" t="s">
        <v>30</v>
      </c>
      <c r="G1206" s="178">
        <v>151.19999999999999</v>
      </c>
      <c r="H1206" s="179">
        <v>42836</v>
      </c>
      <c r="I1206" s="178">
        <f t="shared" si="37"/>
        <v>151.19999999999999</v>
      </c>
      <c r="J1206" s="178">
        <f t="shared" si="38"/>
        <v>0</v>
      </c>
      <c r="K1206" s="19"/>
    </row>
    <row r="1207" spans="1:11" x14ac:dyDescent="0.25">
      <c r="A1207" s="51">
        <v>42836</v>
      </c>
      <c r="B1207" s="174" t="s">
        <v>12735</v>
      </c>
      <c r="C1207" s="175"/>
      <c r="D1207" s="176" t="s">
        <v>12735</v>
      </c>
      <c r="E1207" s="176">
        <v>107641</v>
      </c>
      <c r="F1207" s="177" t="s">
        <v>386</v>
      </c>
      <c r="G1207" s="178">
        <v>3386.4</v>
      </c>
      <c r="H1207" s="179">
        <v>42836</v>
      </c>
      <c r="I1207" s="178">
        <f t="shared" si="37"/>
        <v>3386.4</v>
      </c>
      <c r="J1207" s="178">
        <f t="shared" si="38"/>
        <v>0</v>
      </c>
      <c r="K1207" s="19"/>
    </row>
    <row r="1208" spans="1:11" x14ac:dyDescent="0.25">
      <c r="A1208" s="51">
        <v>42836</v>
      </c>
      <c r="B1208" s="174" t="s">
        <v>12736</v>
      </c>
      <c r="C1208" s="175"/>
      <c r="D1208" s="176" t="s">
        <v>12736</v>
      </c>
      <c r="E1208" s="176">
        <v>107642</v>
      </c>
      <c r="F1208" s="177" t="s">
        <v>67</v>
      </c>
      <c r="G1208" s="178">
        <v>9622.7999999999993</v>
      </c>
      <c r="H1208" s="179">
        <v>42842</v>
      </c>
      <c r="I1208" s="178">
        <f t="shared" si="37"/>
        <v>9622.7999999999993</v>
      </c>
      <c r="J1208" s="178">
        <f t="shared" si="38"/>
        <v>0</v>
      </c>
      <c r="K1208" s="19"/>
    </row>
    <row r="1209" spans="1:11" x14ac:dyDescent="0.25">
      <c r="A1209" s="51">
        <v>42836</v>
      </c>
      <c r="B1209" s="174" t="s">
        <v>12737</v>
      </c>
      <c r="C1209" s="175"/>
      <c r="D1209" s="176" t="s">
        <v>12737</v>
      </c>
      <c r="E1209" s="176">
        <v>107643</v>
      </c>
      <c r="F1209" s="177" t="s">
        <v>1830</v>
      </c>
      <c r="G1209" s="178">
        <v>13602.1</v>
      </c>
      <c r="H1209" s="179">
        <v>42836</v>
      </c>
      <c r="I1209" s="178">
        <f t="shared" si="37"/>
        <v>13602.1</v>
      </c>
      <c r="J1209" s="178">
        <f t="shared" si="38"/>
        <v>0</v>
      </c>
      <c r="K1209" s="19"/>
    </row>
    <row r="1210" spans="1:11" x14ac:dyDescent="0.25">
      <c r="A1210" s="51">
        <v>42836</v>
      </c>
      <c r="B1210" s="174" t="s">
        <v>12738</v>
      </c>
      <c r="C1210" s="175"/>
      <c r="D1210" s="176" t="s">
        <v>12738</v>
      </c>
      <c r="E1210" s="176">
        <v>107644</v>
      </c>
      <c r="F1210" s="177" t="s">
        <v>785</v>
      </c>
      <c r="G1210" s="178">
        <v>6240.8</v>
      </c>
      <c r="H1210" s="179">
        <v>42836</v>
      </c>
      <c r="I1210" s="178">
        <f t="shared" si="37"/>
        <v>6240.8</v>
      </c>
      <c r="J1210" s="178">
        <f t="shared" si="38"/>
        <v>0</v>
      </c>
      <c r="K1210" s="19"/>
    </row>
    <row r="1211" spans="1:11" x14ac:dyDescent="0.25">
      <c r="A1211" s="51">
        <v>42836</v>
      </c>
      <c r="B1211" s="174" t="s">
        <v>12739</v>
      </c>
      <c r="C1211" s="175"/>
      <c r="D1211" s="176" t="s">
        <v>12739</v>
      </c>
      <c r="E1211" s="176">
        <v>107645</v>
      </c>
      <c r="F1211" s="177" t="s">
        <v>125</v>
      </c>
      <c r="G1211" s="178">
        <v>7035.6</v>
      </c>
      <c r="H1211" s="179">
        <v>42836</v>
      </c>
      <c r="I1211" s="178">
        <f t="shared" si="37"/>
        <v>7035.6</v>
      </c>
      <c r="J1211" s="178">
        <f t="shared" si="38"/>
        <v>0</v>
      </c>
      <c r="K1211" s="19"/>
    </row>
    <row r="1212" spans="1:11" x14ac:dyDescent="0.25">
      <c r="A1212" s="51">
        <v>42836</v>
      </c>
      <c r="B1212" s="174" t="s">
        <v>12740</v>
      </c>
      <c r="C1212" s="175"/>
      <c r="D1212" s="176" t="s">
        <v>12740</v>
      </c>
      <c r="E1212" s="176">
        <v>107646</v>
      </c>
      <c r="F1212" s="177" t="s">
        <v>2510</v>
      </c>
      <c r="G1212" s="178">
        <v>982.3</v>
      </c>
      <c r="H1212" s="179">
        <v>42836</v>
      </c>
      <c r="I1212" s="178">
        <f t="shared" si="37"/>
        <v>982.3</v>
      </c>
      <c r="J1212" s="178">
        <f t="shared" si="38"/>
        <v>0</v>
      </c>
      <c r="K1212" s="19"/>
    </row>
    <row r="1213" spans="1:11" x14ac:dyDescent="0.25">
      <c r="A1213" s="51">
        <v>42836</v>
      </c>
      <c r="B1213" s="174" t="s">
        <v>12741</v>
      </c>
      <c r="C1213" s="175"/>
      <c r="D1213" s="176" t="s">
        <v>12741</v>
      </c>
      <c r="E1213" s="176">
        <v>107647</v>
      </c>
      <c r="F1213" s="177" t="s">
        <v>9302</v>
      </c>
      <c r="G1213" s="178">
        <v>3597.9</v>
      </c>
      <c r="H1213" s="179">
        <v>42836</v>
      </c>
      <c r="I1213" s="178">
        <f t="shared" si="37"/>
        <v>3597.9</v>
      </c>
      <c r="J1213" s="178">
        <f t="shared" si="38"/>
        <v>0</v>
      </c>
      <c r="K1213" s="19"/>
    </row>
    <row r="1214" spans="1:11" x14ac:dyDescent="0.25">
      <c r="A1214" s="51">
        <v>42836</v>
      </c>
      <c r="B1214" s="174" t="s">
        <v>12742</v>
      </c>
      <c r="C1214" s="175"/>
      <c r="D1214" s="176" t="s">
        <v>12742</v>
      </c>
      <c r="E1214" s="176">
        <v>107648</v>
      </c>
      <c r="F1214" s="177" t="s">
        <v>785</v>
      </c>
      <c r="G1214" s="178">
        <v>9597.4</v>
      </c>
      <c r="H1214" s="179">
        <v>42836</v>
      </c>
      <c r="I1214" s="178">
        <f t="shared" si="37"/>
        <v>9597.4</v>
      </c>
      <c r="J1214" s="178">
        <f t="shared" si="38"/>
        <v>0</v>
      </c>
      <c r="K1214" s="19"/>
    </row>
    <row r="1215" spans="1:11" x14ac:dyDescent="0.25">
      <c r="A1215" s="51">
        <v>42836</v>
      </c>
      <c r="B1215" s="174" t="s">
        <v>12743</v>
      </c>
      <c r="C1215" s="175"/>
      <c r="D1215" s="176" t="s">
        <v>12743</v>
      </c>
      <c r="E1215" s="176">
        <v>107649</v>
      </c>
      <c r="F1215" s="177" t="s">
        <v>785</v>
      </c>
      <c r="G1215" s="178">
        <v>4200</v>
      </c>
      <c r="H1215" s="179">
        <v>42836</v>
      </c>
      <c r="I1215" s="178">
        <f t="shared" si="37"/>
        <v>4200</v>
      </c>
      <c r="J1215" s="178">
        <f t="shared" si="38"/>
        <v>0</v>
      </c>
      <c r="K1215" s="19"/>
    </row>
    <row r="1216" spans="1:11" x14ac:dyDescent="0.25">
      <c r="A1216" s="51">
        <v>42836</v>
      </c>
      <c r="B1216" s="174" t="s">
        <v>12744</v>
      </c>
      <c r="C1216" s="175"/>
      <c r="D1216" s="176" t="s">
        <v>12744</v>
      </c>
      <c r="E1216" s="176">
        <v>107650</v>
      </c>
      <c r="F1216" s="177" t="s">
        <v>428</v>
      </c>
      <c r="G1216" s="178">
        <v>1957.2</v>
      </c>
      <c r="H1216" s="179">
        <v>42837</v>
      </c>
      <c r="I1216" s="178">
        <f t="shared" si="37"/>
        <v>1957.2</v>
      </c>
      <c r="J1216" s="178">
        <f t="shared" si="38"/>
        <v>0</v>
      </c>
      <c r="K1216" s="19"/>
    </row>
    <row r="1217" spans="1:11" x14ac:dyDescent="0.25">
      <c r="A1217" s="51">
        <v>42836</v>
      </c>
      <c r="B1217" s="174" t="s">
        <v>12745</v>
      </c>
      <c r="C1217" s="175"/>
      <c r="D1217" s="176" t="s">
        <v>12745</v>
      </c>
      <c r="E1217" s="176">
        <v>107651</v>
      </c>
      <c r="F1217" s="182" t="s">
        <v>49</v>
      </c>
      <c r="G1217" s="183">
        <v>0</v>
      </c>
      <c r="H1217" s="184" t="s">
        <v>95</v>
      </c>
      <c r="I1217" s="183">
        <f t="shared" si="37"/>
        <v>0</v>
      </c>
      <c r="J1217" s="183">
        <f t="shared" si="38"/>
        <v>0</v>
      </c>
      <c r="K1217" s="19"/>
    </row>
    <row r="1218" spans="1:11" x14ac:dyDescent="0.25">
      <c r="A1218" s="51">
        <v>42836</v>
      </c>
      <c r="B1218" s="174" t="s">
        <v>12746</v>
      </c>
      <c r="C1218" s="175"/>
      <c r="D1218" s="176" t="s">
        <v>12746</v>
      </c>
      <c r="E1218" s="176">
        <v>107652</v>
      </c>
      <c r="F1218" s="177" t="s">
        <v>30</v>
      </c>
      <c r="G1218" s="178">
        <v>404.8</v>
      </c>
      <c r="H1218" s="179">
        <v>42836</v>
      </c>
      <c r="I1218" s="178">
        <f t="shared" si="37"/>
        <v>404.8</v>
      </c>
      <c r="J1218" s="178">
        <f t="shared" si="38"/>
        <v>0</v>
      </c>
      <c r="K1218" s="19"/>
    </row>
    <row r="1219" spans="1:11" x14ac:dyDescent="0.25">
      <c r="A1219" s="51">
        <v>42836</v>
      </c>
      <c r="B1219" s="174" t="s">
        <v>12747</v>
      </c>
      <c r="C1219" s="175"/>
      <c r="D1219" s="176" t="s">
        <v>12747</v>
      </c>
      <c r="E1219" s="176">
        <v>107653</v>
      </c>
      <c r="F1219" s="177" t="s">
        <v>51</v>
      </c>
      <c r="G1219" s="178">
        <v>3220.8</v>
      </c>
      <c r="H1219" s="179">
        <v>42840</v>
      </c>
      <c r="I1219" s="178">
        <f t="shared" si="37"/>
        <v>3220.8</v>
      </c>
      <c r="J1219" s="178">
        <f t="shared" si="38"/>
        <v>0</v>
      </c>
      <c r="K1219" s="19"/>
    </row>
    <row r="1220" spans="1:11" x14ac:dyDescent="0.25">
      <c r="A1220" s="51">
        <v>42836</v>
      </c>
      <c r="B1220" s="174" t="s">
        <v>12748</v>
      </c>
      <c r="C1220" s="175"/>
      <c r="D1220" s="176" t="s">
        <v>12748</v>
      </c>
      <c r="E1220" s="176">
        <v>107654</v>
      </c>
      <c r="F1220" s="177" t="s">
        <v>79</v>
      </c>
      <c r="G1220" s="178">
        <v>3397.3</v>
      </c>
      <c r="H1220" s="179">
        <v>42836</v>
      </c>
      <c r="I1220" s="178">
        <f t="shared" ref="I1220:I1283" si="39">G1220</f>
        <v>3397.3</v>
      </c>
      <c r="J1220" s="178">
        <f t="shared" ref="J1220:J1283" si="40">G1220-I1220</f>
        <v>0</v>
      </c>
      <c r="K1220" s="19"/>
    </row>
    <row r="1221" spans="1:11" x14ac:dyDescent="0.25">
      <c r="A1221" s="51">
        <v>42836</v>
      </c>
      <c r="B1221" s="174" t="s">
        <v>12749</v>
      </c>
      <c r="C1221" s="175"/>
      <c r="D1221" s="176" t="s">
        <v>12749</v>
      </c>
      <c r="E1221" s="176">
        <v>107655</v>
      </c>
      <c r="F1221" s="177" t="s">
        <v>38</v>
      </c>
      <c r="G1221" s="178">
        <v>3003</v>
      </c>
      <c r="H1221" s="180" t="s">
        <v>12750</v>
      </c>
      <c r="I1221" s="181">
        <f>1000+2003</f>
        <v>3003</v>
      </c>
      <c r="J1221" s="181">
        <f t="shared" si="40"/>
        <v>0</v>
      </c>
      <c r="K1221" s="19"/>
    </row>
    <row r="1222" spans="1:11" x14ac:dyDescent="0.25">
      <c r="A1222" s="51">
        <v>42836</v>
      </c>
      <c r="B1222" s="174" t="s">
        <v>12751</v>
      </c>
      <c r="C1222" s="175"/>
      <c r="D1222" s="176" t="s">
        <v>12751</v>
      </c>
      <c r="E1222" s="176">
        <v>107656</v>
      </c>
      <c r="F1222" s="177" t="s">
        <v>125</v>
      </c>
      <c r="G1222" s="178">
        <v>953.7</v>
      </c>
      <c r="H1222" s="179">
        <v>42836</v>
      </c>
      <c r="I1222" s="178">
        <f t="shared" si="39"/>
        <v>953.7</v>
      </c>
      <c r="J1222" s="178">
        <f t="shared" si="40"/>
        <v>0</v>
      </c>
      <c r="K1222" s="19"/>
    </row>
    <row r="1223" spans="1:11" x14ac:dyDescent="0.25">
      <c r="A1223" s="51">
        <v>42836</v>
      </c>
      <c r="B1223" s="174" t="s">
        <v>12752</v>
      </c>
      <c r="C1223" s="175"/>
      <c r="D1223" s="176" t="s">
        <v>12752</v>
      </c>
      <c r="E1223" s="176">
        <v>107657</v>
      </c>
      <c r="F1223" s="177" t="s">
        <v>47</v>
      </c>
      <c r="G1223" s="178">
        <v>1238.5</v>
      </c>
      <c r="H1223" s="179">
        <v>42836</v>
      </c>
      <c r="I1223" s="178">
        <f t="shared" si="39"/>
        <v>1238.5</v>
      </c>
      <c r="J1223" s="178">
        <f t="shared" si="40"/>
        <v>0</v>
      </c>
      <c r="K1223" s="19"/>
    </row>
    <row r="1224" spans="1:11" x14ac:dyDescent="0.25">
      <c r="A1224" s="51">
        <v>42836</v>
      </c>
      <c r="B1224" s="174" t="s">
        <v>12753</v>
      </c>
      <c r="C1224" s="175"/>
      <c r="D1224" s="176" t="s">
        <v>12753</v>
      </c>
      <c r="E1224" s="176">
        <v>107658</v>
      </c>
      <c r="F1224" s="177" t="s">
        <v>43</v>
      </c>
      <c r="G1224" s="178">
        <v>1980</v>
      </c>
      <c r="H1224" s="179">
        <v>42840</v>
      </c>
      <c r="I1224" s="178">
        <f t="shared" si="39"/>
        <v>1980</v>
      </c>
      <c r="J1224" s="178">
        <f t="shared" si="40"/>
        <v>0</v>
      </c>
      <c r="K1224" s="19"/>
    </row>
    <row r="1225" spans="1:11" x14ac:dyDescent="0.25">
      <c r="A1225" s="51">
        <v>42836</v>
      </c>
      <c r="B1225" s="174" t="s">
        <v>12754</v>
      </c>
      <c r="C1225" s="175"/>
      <c r="D1225" s="176" t="s">
        <v>12754</v>
      </c>
      <c r="E1225" s="176">
        <v>107659</v>
      </c>
      <c r="F1225" s="177" t="s">
        <v>35</v>
      </c>
      <c r="G1225" s="178">
        <v>9440.2999999999993</v>
      </c>
      <c r="H1225" s="179">
        <v>42840</v>
      </c>
      <c r="I1225" s="178">
        <f t="shared" si="39"/>
        <v>9440.2999999999993</v>
      </c>
      <c r="J1225" s="178">
        <f t="shared" si="40"/>
        <v>0</v>
      </c>
      <c r="K1225" s="19"/>
    </row>
    <row r="1226" spans="1:11" x14ac:dyDescent="0.25">
      <c r="A1226" s="51">
        <v>42836</v>
      </c>
      <c r="B1226" s="174" t="s">
        <v>12755</v>
      </c>
      <c r="C1226" s="175"/>
      <c r="D1226" s="176" t="s">
        <v>12755</v>
      </c>
      <c r="E1226" s="176">
        <v>107660</v>
      </c>
      <c r="F1226" s="177" t="s">
        <v>250</v>
      </c>
      <c r="G1226" s="178">
        <v>2116.1999999999998</v>
      </c>
      <c r="H1226" s="179">
        <v>42840</v>
      </c>
      <c r="I1226" s="178">
        <f t="shared" si="39"/>
        <v>2116.1999999999998</v>
      </c>
      <c r="J1226" s="178">
        <f t="shared" si="40"/>
        <v>0</v>
      </c>
      <c r="K1226" s="19"/>
    </row>
    <row r="1227" spans="1:11" x14ac:dyDescent="0.25">
      <c r="A1227" s="51">
        <v>42836</v>
      </c>
      <c r="B1227" s="174" t="s">
        <v>12756</v>
      </c>
      <c r="C1227" s="175"/>
      <c r="D1227" s="176" t="s">
        <v>12756</v>
      </c>
      <c r="E1227" s="176">
        <v>107661</v>
      </c>
      <c r="F1227" s="177" t="s">
        <v>240</v>
      </c>
      <c r="G1227" s="178">
        <v>7436.4</v>
      </c>
      <c r="H1227" s="179">
        <v>42836</v>
      </c>
      <c r="I1227" s="178">
        <f t="shared" si="39"/>
        <v>7436.4</v>
      </c>
      <c r="J1227" s="178">
        <f t="shared" si="40"/>
        <v>0</v>
      </c>
      <c r="K1227" s="19"/>
    </row>
    <row r="1228" spans="1:11" x14ac:dyDescent="0.25">
      <c r="A1228" s="51">
        <v>42836</v>
      </c>
      <c r="B1228" s="174" t="s">
        <v>12757</v>
      </c>
      <c r="C1228" s="175"/>
      <c r="D1228" s="176" t="s">
        <v>12757</v>
      </c>
      <c r="E1228" s="176">
        <v>107662</v>
      </c>
      <c r="F1228" s="177" t="s">
        <v>32</v>
      </c>
      <c r="G1228" s="178">
        <v>5875.9</v>
      </c>
      <c r="H1228" s="179">
        <v>42840</v>
      </c>
      <c r="I1228" s="178">
        <f t="shared" si="39"/>
        <v>5875.9</v>
      </c>
      <c r="J1228" s="178">
        <f t="shared" si="40"/>
        <v>0</v>
      </c>
      <c r="K1228" s="19"/>
    </row>
    <row r="1229" spans="1:11" x14ac:dyDescent="0.25">
      <c r="A1229" s="51">
        <v>42836</v>
      </c>
      <c r="B1229" s="174" t="s">
        <v>12758</v>
      </c>
      <c r="C1229" s="175"/>
      <c r="D1229" s="176" t="s">
        <v>12758</v>
      </c>
      <c r="E1229" s="176">
        <v>107663</v>
      </c>
      <c r="F1229" s="177" t="s">
        <v>40</v>
      </c>
      <c r="G1229" s="178">
        <v>2946</v>
      </c>
      <c r="H1229" s="179">
        <v>42840</v>
      </c>
      <c r="I1229" s="178">
        <f t="shared" si="39"/>
        <v>2946</v>
      </c>
      <c r="J1229" s="178">
        <f t="shared" si="40"/>
        <v>0</v>
      </c>
      <c r="K1229" s="19"/>
    </row>
    <row r="1230" spans="1:11" x14ac:dyDescent="0.25">
      <c r="A1230" s="51">
        <v>42836</v>
      </c>
      <c r="B1230" s="174" t="s">
        <v>12759</v>
      </c>
      <c r="C1230" s="175"/>
      <c r="D1230" s="176" t="s">
        <v>12759</v>
      </c>
      <c r="E1230" s="176">
        <v>107664</v>
      </c>
      <c r="F1230" s="182" t="s">
        <v>253</v>
      </c>
      <c r="G1230" s="183">
        <v>0</v>
      </c>
      <c r="H1230" s="184" t="s">
        <v>95</v>
      </c>
      <c r="I1230" s="183">
        <f t="shared" si="39"/>
        <v>0</v>
      </c>
      <c r="J1230" s="183">
        <f t="shared" si="40"/>
        <v>0</v>
      </c>
      <c r="K1230" s="19"/>
    </row>
    <row r="1231" spans="1:11" x14ac:dyDescent="0.25">
      <c r="A1231" s="51">
        <v>42836</v>
      </c>
      <c r="B1231" s="174" t="s">
        <v>12760</v>
      </c>
      <c r="C1231" s="175"/>
      <c r="D1231" s="176" t="s">
        <v>12760</v>
      </c>
      <c r="E1231" s="176">
        <v>107665</v>
      </c>
      <c r="F1231" s="177" t="s">
        <v>253</v>
      </c>
      <c r="G1231" s="178">
        <v>3373.8</v>
      </c>
      <c r="H1231" s="179">
        <v>42837</v>
      </c>
      <c r="I1231" s="178">
        <f t="shared" si="39"/>
        <v>3373.8</v>
      </c>
      <c r="J1231" s="178">
        <f t="shared" si="40"/>
        <v>0</v>
      </c>
      <c r="K1231" s="19"/>
    </row>
    <row r="1232" spans="1:11" x14ac:dyDescent="0.25">
      <c r="A1232" s="51">
        <v>42836</v>
      </c>
      <c r="B1232" s="174" t="s">
        <v>12761</v>
      </c>
      <c r="C1232" s="175"/>
      <c r="D1232" s="176" t="s">
        <v>12761</v>
      </c>
      <c r="E1232" s="176">
        <v>107666</v>
      </c>
      <c r="F1232" s="177" t="s">
        <v>459</v>
      </c>
      <c r="G1232" s="178">
        <v>2042.4</v>
      </c>
      <c r="H1232" s="179">
        <v>42836</v>
      </c>
      <c r="I1232" s="178">
        <f t="shared" si="39"/>
        <v>2042.4</v>
      </c>
      <c r="J1232" s="178">
        <f t="shared" si="40"/>
        <v>0</v>
      </c>
      <c r="K1232" s="19"/>
    </row>
    <row r="1233" spans="1:11" x14ac:dyDescent="0.25">
      <c r="A1233" s="51">
        <v>42836</v>
      </c>
      <c r="B1233" s="174" t="s">
        <v>12762</v>
      </c>
      <c r="C1233" s="175"/>
      <c r="D1233" s="176" t="s">
        <v>12762</v>
      </c>
      <c r="E1233" s="176">
        <v>107667</v>
      </c>
      <c r="F1233" s="177" t="s">
        <v>1090</v>
      </c>
      <c r="G1233" s="178">
        <v>2877.9</v>
      </c>
      <c r="H1233" s="179">
        <v>42836</v>
      </c>
      <c r="I1233" s="178">
        <f t="shared" si="39"/>
        <v>2877.9</v>
      </c>
      <c r="J1233" s="178">
        <f t="shared" si="40"/>
        <v>0</v>
      </c>
      <c r="K1233" s="19"/>
    </row>
    <row r="1234" spans="1:11" x14ac:dyDescent="0.25">
      <c r="A1234" s="51">
        <v>42836</v>
      </c>
      <c r="B1234" s="174" t="s">
        <v>12763</v>
      </c>
      <c r="C1234" s="175"/>
      <c r="D1234" s="176" t="s">
        <v>12763</v>
      </c>
      <c r="E1234" s="176">
        <v>107668</v>
      </c>
      <c r="F1234" s="177" t="s">
        <v>3425</v>
      </c>
      <c r="G1234" s="178">
        <v>436.8</v>
      </c>
      <c r="H1234" s="179">
        <v>42836</v>
      </c>
      <c r="I1234" s="178">
        <f t="shared" si="39"/>
        <v>436.8</v>
      </c>
      <c r="J1234" s="178">
        <f t="shared" si="40"/>
        <v>0</v>
      </c>
      <c r="K1234" s="19"/>
    </row>
    <row r="1235" spans="1:11" x14ac:dyDescent="0.25">
      <c r="A1235" s="51">
        <v>42836</v>
      </c>
      <c r="B1235" s="174" t="s">
        <v>12764</v>
      </c>
      <c r="C1235" s="175"/>
      <c r="D1235" s="176" t="s">
        <v>12764</v>
      </c>
      <c r="E1235" s="176">
        <v>107669</v>
      </c>
      <c r="F1235" s="177" t="s">
        <v>30</v>
      </c>
      <c r="G1235" s="178">
        <v>3703.3</v>
      </c>
      <c r="H1235" s="179">
        <v>42836</v>
      </c>
      <c r="I1235" s="178">
        <f t="shared" si="39"/>
        <v>3703.3</v>
      </c>
      <c r="J1235" s="178">
        <f t="shared" si="40"/>
        <v>0</v>
      </c>
      <c r="K1235" s="19"/>
    </row>
    <row r="1236" spans="1:11" x14ac:dyDescent="0.25">
      <c r="A1236" s="51">
        <v>42836</v>
      </c>
      <c r="B1236" s="174" t="s">
        <v>12765</v>
      </c>
      <c r="C1236" s="175"/>
      <c r="D1236" s="176" t="s">
        <v>12765</v>
      </c>
      <c r="E1236" s="176">
        <v>107670</v>
      </c>
      <c r="F1236" s="177" t="s">
        <v>1116</v>
      </c>
      <c r="G1236" s="178">
        <v>5021.5</v>
      </c>
      <c r="H1236" s="179">
        <v>42837</v>
      </c>
      <c r="I1236" s="178">
        <f t="shared" si="39"/>
        <v>5021.5</v>
      </c>
      <c r="J1236" s="178">
        <f t="shared" si="40"/>
        <v>0</v>
      </c>
      <c r="K1236" s="19"/>
    </row>
    <row r="1237" spans="1:11" x14ac:dyDescent="0.25">
      <c r="A1237" s="51">
        <v>42836</v>
      </c>
      <c r="B1237" s="174" t="s">
        <v>12766</v>
      </c>
      <c r="C1237" s="175"/>
      <c r="D1237" s="176" t="s">
        <v>12766</v>
      </c>
      <c r="E1237" s="176">
        <v>107671</v>
      </c>
      <c r="F1237" s="177" t="s">
        <v>1141</v>
      </c>
      <c r="G1237" s="178">
        <v>516</v>
      </c>
      <c r="H1237" s="179">
        <v>42836</v>
      </c>
      <c r="I1237" s="178">
        <f t="shared" si="39"/>
        <v>516</v>
      </c>
      <c r="J1237" s="178">
        <f t="shared" si="40"/>
        <v>0</v>
      </c>
      <c r="K1237" s="19"/>
    </row>
    <row r="1238" spans="1:11" x14ac:dyDescent="0.25">
      <c r="A1238" s="51">
        <v>42836</v>
      </c>
      <c r="B1238" s="174" t="s">
        <v>12767</v>
      </c>
      <c r="C1238" s="175"/>
      <c r="D1238" s="176" t="s">
        <v>12767</v>
      </c>
      <c r="E1238" s="176">
        <v>107672</v>
      </c>
      <c r="F1238" s="177" t="s">
        <v>149</v>
      </c>
      <c r="G1238" s="178">
        <v>2501.1999999999998</v>
      </c>
      <c r="H1238" s="179">
        <v>42836</v>
      </c>
      <c r="I1238" s="178">
        <f t="shared" si="39"/>
        <v>2501.1999999999998</v>
      </c>
      <c r="J1238" s="178">
        <f t="shared" si="40"/>
        <v>0</v>
      </c>
      <c r="K1238" s="19"/>
    </row>
    <row r="1239" spans="1:11" x14ac:dyDescent="0.25">
      <c r="A1239" s="51">
        <v>42836</v>
      </c>
      <c r="B1239" s="174" t="s">
        <v>12768</v>
      </c>
      <c r="C1239" s="175"/>
      <c r="D1239" s="176" t="s">
        <v>12768</v>
      </c>
      <c r="E1239" s="176">
        <v>107673</v>
      </c>
      <c r="F1239" s="177" t="s">
        <v>149</v>
      </c>
      <c r="G1239" s="178">
        <v>2750</v>
      </c>
      <c r="H1239" s="179">
        <v>42836</v>
      </c>
      <c r="I1239" s="178">
        <f t="shared" si="39"/>
        <v>2750</v>
      </c>
      <c r="J1239" s="178">
        <f t="shared" si="40"/>
        <v>0</v>
      </c>
      <c r="K1239" s="19"/>
    </row>
    <row r="1240" spans="1:11" x14ac:dyDescent="0.25">
      <c r="A1240" s="51">
        <v>42836</v>
      </c>
      <c r="B1240" s="174" t="s">
        <v>12769</v>
      </c>
      <c r="C1240" s="175"/>
      <c r="D1240" s="176" t="s">
        <v>12769</v>
      </c>
      <c r="E1240" s="176">
        <v>107674</v>
      </c>
      <c r="F1240" s="177" t="s">
        <v>30</v>
      </c>
      <c r="G1240" s="178">
        <v>2449.8000000000002</v>
      </c>
      <c r="H1240" s="179">
        <v>42836</v>
      </c>
      <c r="I1240" s="178">
        <f t="shared" si="39"/>
        <v>2449.8000000000002</v>
      </c>
      <c r="J1240" s="178">
        <f t="shared" si="40"/>
        <v>0</v>
      </c>
      <c r="K1240" s="19"/>
    </row>
    <row r="1241" spans="1:11" x14ac:dyDescent="0.25">
      <c r="A1241" s="51">
        <v>42836</v>
      </c>
      <c r="B1241" s="174" t="s">
        <v>12770</v>
      </c>
      <c r="C1241" s="175"/>
      <c r="D1241" s="176" t="s">
        <v>12770</v>
      </c>
      <c r="E1241" s="176">
        <v>107675</v>
      </c>
      <c r="F1241" s="177" t="s">
        <v>30</v>
      </c>
      <c r="G1241" s="178">
        <v>9441.4</v>
      </c>
      <c r="H1241" s="179">
        <v>42836</v>
      </c>
      <c r="I1241" s="178">
        <f t="shared" si="39"/>
        <v>9441.4</v>
      </c>
      <c r="J1241" s="178">
        <f t="shared" si="40"/>
        <v>0</v>
      </c>
      <c r="K1241" s="19"/>
    </row>
    <row r="1242" spans="1:11" x14ac:dyDescent="0.25">
      <c r="A1242" s="51">
        <v>42836</v>
      </c>
      <c r="B1242" s="174" t="s">
        <v>12771</v>
      </c>
      <c r="C1242" s="175"/>
      <c r="D1242" s="176" t="s">
        <v>12771</v>
      </c>
      <c r="E1242" s="176">
        <v>107676</v>
      </c>
      <c r="F1242" s="177" t="s">
        <v>71</v>
      </c>
      <c r="G1242" s="178">
        <v>2318</v>
      </c>
      <c r="H1242" s="179">
        <v>42836</v>
      </c>
      <c r="I1242" s="178">
        <f t="shared" si="39"/>
        <v>2318</v>
      </c>
      <c r="J1242" s="178">
        <f t="shared" si="40"/>
        <v>0</v>
      </c>
      <c r="K1242" s="19"/>
    </row>
    <row r="1243" spans="1:11" x14ac:dyDescent="0.25">
      <c r="A1243" s="51">
        <v>42836</v>
      </c>
      <c r="B1243" s="174" t="s">
        <v>12772</v>
      </c>
      <c r="C1243" s="175"/>
      <c r="D1243" s="176" t="s">
        <v>12772</v>
      </c>
      <c r="E1243" s="176">
        <v>107677</v>
      </c>
      <c r="F1243" s="177" t="s">
        <v>476</v>
      </c>
      <c r="G1243" s="178">
        <v>2271.9</v>
      </c>
      <c r="H1243" s="179">
        <v>42840</v>
      </c>
      <c r="I1243" s="178">
        <f t="shared" si="39"/>
        <v>2271.9</v>
      </c>
      <c r="J1243" s="178">
        <f t="shared" si="40"/>
        <v>0</v>
      </c>
      <c r="K1243" s="19"/>
    </row>
    <row r="1244" spans="1:11" x14ac:dyDescent="0.25">
      <c r="A1244" s="51">
        <v>42836</v>
      </c>
      <c r="B1244" s="174" t="s">
        <v>12773</v>
      </c>
      <c r="C1244" s="175"/>
      <c r="D1244" s="176" t="s">
        <v>12773</v>
      </c>
      <c r="E1244" s="176">
        <v>107678</v>
      </c>
      <c r="F1244" s="177" t="s">
        <v>422</v>
      </c>
      <c r="G1244" s="178">
        <v>635</v>
      </c>
      <c r="H1244" s="179">
        <v>42836</v>
      </c>
      <c r="I1244" s="178">
        <f t="shared" si="39"/>
        <v>635</v>
      </c>
      <c r="J1244" s="178">
        <f t="shared" si="40"/>
        <v>0</v>
      </c>
      <c r="K1244" s="19"/>
    </row>
    <row r="1245" spans="1:11" x14ac:dyDescent="0.25">
      <c r="A1245" s="51">
        <v>42836</v>
      </c>
      <c r="B1245" s="174" t="s">
        <v>12774</v>
      </c>
      <c r="C1245" s="175"/>
      <c r="D1245" s="176" t="s">
        <v>12774</v>
      </c>
      <c r="E1245" s="176">
        <v>107679</v>
      </c>
      <c r="F1245" s="177" t="s">
        <v>305</v>
      </c>
      <c r="G1245" s="178">
        <v>806.2</v>
      </c>
      <c r="H1245" s="179">
        <v>42842</v>
      </c>
      <c r="I1245" s="178">
        <f t="shared" si="39"/>
        <v>806.2</v>
      </c>
      <c r="J1245" s="178">
        <f t="shared" si="40"/>
        <v>0</v>
      </c>
      <c r="K1245" s="19"/>
    </row>
    <row r="1246" spans="1:11" x14ac:dyDescent="0.25">
      <c r="A1246" s="51">
        <v>42836</v>
      </c>
      <c r="B1246" s="174" t="s">
        <v>12775</v>
      </c>
      <c r="C1246" s="175"/>
      <c r="D1246" s="176" t="s">
        <v>12775</v>
      </c>
      <c r="E1246" s="176">
        <v>107680</v>
      </c>
      <c r="F1246" s="177" t="s">
        <v>85</v>
      </c>
      <c r="G1246" s="178">
        <v>11466</v>
      </c>
      <c r="H1246" s="179">
        <v>42838</v>
      </c>
      <c r="I1246" s="178">
        <f t="shared" si="39"/>
        <v>11466</v>
      </c>
      <c r="J1246" s="178">
        <f t="shared" si="40"/>
        <v>0</v>
      </c>
      <c r="K1246" s="19"/>
    </row>
    <row r="1247" spans="1:11" x14ac:dyDescent="0.25">
      <c r="A1247" s="51">
        <v>42836</v>
      </c>
      <c r="B1247" s="174" t="s">
        <v>12776</v>
      </c>
      <c r="C1247" s="175"/>
      <c r="D1247" s="176" t="s">
        <v>12776</v>
      </c>
      <c r="E1247" s="176">
        <v>107681</v>
      </c>
      <c r="F1247" s="177" t="s">
        <v>83</v>
      </c>
      <c r="G1247" s="178">
        <v>3559.6</v>
      </c>
      <c r="H1247" s="179">
        <v>42836</v>
      </c>
      <c r="I1247" s="178">
        <f t="shared" si="39"/>
        <v>3559.6</v>
      </c>
      <c r="J1247" s="178">
        <f t="shared" si="40"/>
        <v>0</v>
      </c>
      <c r="K1247" s="19"/>
    </row>
    <row r="1248" spans="1:11" x14ac:dyDescent="0.25">
      <c r="A1248" s="51">
        <v>42836</v>
      </c>
      <c r="B1248" s="174" t="s">
        <v>12777</v>
      </c>
      <c r="C1248" s="175"/>
      <c r="D1248" s="176" t="s">
        <v>12777</v>
      </c>
      <c r="E1248" s="176">
        <v>107682</v>
      </c>
      <c r="F1248" s="177" t="s">
        <v>289</v>
      </c>
      <c r="G1248" s="178">
        <v>27355</v>
      </c>
      <c r="H1248" s="186">
        <v>42851</v>
      </c>
      <c r="I1248" s="187">
        <f t="shared" si="39"/>
        <v>27355</v>
      </c>
      <c r="J1248" s="178">
        <f t="shared" si="40"/>
        <v>0</v>
      </c>
      <c r="K1248" s="19"/>
    </row>
    <row r="1249" spans="1:11" x14ac:dyDescent="0.25">
      <c r="A1249" s="51">
        <v>42836</v>
      </c>
      <c r="B1249" s="174" t="s">
        <v>12778</v>
      </c>
      <c r="C1249" s="175"/>
      <c r="D1249" s="176" t="s">
        <v>12778</v>
      </c>
      <c r="E1249" s="176">
        <v>107683</v>
      </c>
      <c r="F1249" s="177" t="s">
        <v>773</v>
      </c>
      <c r="G1249" s="178">
        <v>4823.5</v>
      </c>
      <c r="H1249" s="179">
        <v>42836</v>
      </c>
      <c r="I1249" s="178">
        <f t="shared" si="39"/>
        <v>4823.5</v>
      </c>
      <c r="J1249" s="178">
        <f t="shared" si="40"/>
        <v>0</v>
      </c>
      <c r="K1249" s="19"/>
    </row>
    <row r="1250" spans="1:11" x14ac:dyDescent="0.25">
      <c r="A1250" s="51">
        <v>42836</v>
      </c>
      <c r="B1250" s="174" t="s">
        <v>12779</v>
      </c>
      <c r="C1250" s="175"/>
      <c r="D1250" s="176" t="s">
        <v>12779</v>
      </c>
      <c r="E1250" s="176">
        <v>107684</v>
      </c>
      <c r="F1250" s="177" t="s">
        <v>30</v>
      </c>
      <c r="G1250" s="178">
        <v>12675</v>
      </c>
      <c r="H1250" s="179">
        <v>42838</v>
      </c>
      <c r="I1250" s="178">
        <f t="shared" si="39"/>
        <v>12675</v>
      </c>
      <c r="J1250" s="178">
        <f t="shared" si="40"/>
        <v>0</v>
      </c>
      <c r="K1250" s="19"/>
    </row>
    <row r="1251" spans="1:11" x14ac:dyDescent="0.25">
      <c r="A1251" s="51">
        <v>42836</v>
      </c>
      <c r="B1251" s="174" t="s">
        <v>12780</v>
      </c>
      <c r="C1251" s="175"/>
      <c r="D1251" s="176" t="s">
        <v>12780</v>
      </c>
      <c r="E1251" s="176">
        <v>107685</v>
      </c>
      <c r="F1251" s="177" t="s">
        <v>30</v>
      </c>
      <c r="G1251" s="178">
        <v>1268.8</v>
      </c>
      <c r="H1251" s="179">
        <v>42836</v>
      </c>
      <c r="I1251" s="178">
        <f t="shared" si="39"/>
        <v>1268.8</v>
      </c>
      <c r="J1251" s="178">
        <f t="shared" si="40"/>
        <v>0</v>
      </c>
      <c r="K1251" s="19"/>
    </row>
    <row r="1252" spans="1:11" x14ac:dyDescent="0.25">
      <c r="A1252" s="51">
        <v>42836</v>
      </c>
      <c r="B1252" s="174" t="s">
        <v>12781</v>
      </c>
      <c r="C1252" s="175"/>
      <c r="D1252" s="176" t="s">
        <v>12781</v>
      </c>
      <c r="E1252" s="176">
        <v>107686</v>
      </c>
      <c r="F1252" s="177" t="s">
        <v>4367</v>
      </c>
      <c r="G1252" s="178">
        <v>1434</v>
      </c>
      <c r="H1252" s="179"/>
      <c r="I1252" s="178">
        <f t="shared" si="39"/>
        <v>1434</v>
      </c>
      <c r="J1252" s="178">
        <f t="shared" si="40"/>
        <v>0</v>
      </c>
      <c r="K1252" s="19"/>
    </row>
    <row r="1253" spans="1:11" x14ac:dyDescent="0.25">
      <c r="A1253" s="51">
        <v>42836</v>
      </c>
      <c r="B1253" s="174" t="s">
        <v>12782</v>
      </c>
      <c r="C1253" s="175"/>
      <c r="D1253" s="176" t="s">
        <v>12782</v>
      </c>
      <c r="E1253" s="176">
        <v>107687</v>
      </c>
      <c r="F1253" s="177" t="s">
        <v>101</v>
      </c>
      <c r="G1253" s="178">
        <v>1889.3</v>
      </c>
      <c r="H1253" s="179">
        <v>42836</v>
      </c>
      <c r="I1253" s="178">
        <f t="shared" si="39"/>
        <v>1889.3</v>
      </c>
      <c r="J1253" s="178">
        <f t="shared" si="40"/>
        <v>0</v>
      </c>
      <c r="K1253" s="19"/>
    </row>
    <row r="1254" spans="1:11" x14ac:dyDescent="0.25">
      <c r="A1254" s="51">
        <v>42836</v>
      </c>
      <c r="B1254" s="174" t="s">
        <v>12783</v>
      </c>
      <c r="C1254" s="175"/>
      <c r="D1254" s="176" t="s">
        <v>12783</v>
      </c>
      <c r="E1254" s="176">
        <v>107688</v>
      </c>
      <c r="F1254" s="177" t="s">
        <v>103</v>
      </c>
      <c r="G1254" s="178">
        <v>3066</v>
      </c>
      <c r="H1254" s="179">
        <v>42842</v>
      </c>
      <c r="I1254" s="178">
        <f t="shared" si="39"/>
        <v>3066</v>
      </c>
      <c r="J1254" s="178">
        <f t="shared" si="40"/>
        <v>0</v>
      </c>
      <c r="K1254" s="19"/>
    </row>
    <row r="1255" spans="1:11" x14ac:dyDescent="0.25">
      <c r="A1255" s="51">
        <v>42836</v>
      </c>
      <c r="B1255" s="174" t="s">
        <v>12784</v>
      </c>
      <c r="C1255" s="175"/>
      <c r="D1255" s="176" t="s">
        <v>12784</v>
      </c>
      <c r="E1255" s="176">
        <v>107689</v>
      </c>
      <c r="F1255" s="177" t="s">
        <v>773</v>
      </c>
      <c r="G1255" s="178">
        <v>175</v>
      </c>
      <c r="H1255" s="179">
        <v>42836</v>
      </c>
      <c r="I1255" s="178">
        <f t="shared" si="39"/>
        <v>175</v>
      </c>
      <c r="J1255" s="178">
        <f t="shared" si="40"/>
        <v>0</v>
      </c>
      <c r="K1255" s="19"/>
    </row>
    <row r="1256" spans="1:11" x14ac:dyDescent="0.25">
      <c r="A1256" s="51">
        <v>42836</v>
      </c>
      <c r="B1256" s="174" t="s">
        <v>12785</v>
      </c>
      <c r="C1256" s="175"/>
      <c r="D1256" s="176" t="s">
        <v>12785</v>
      </c>
      <c r="E1256" s="176">
        <v>107690</v>
      </c>
      <c r="F1256" s="177" t="s">
        <v>99</v>
      </c>
      <c r="G1256" s="178">
        <v>1935</v>
      </c>
      <c r="H1256" s="179">
        <v>42836</v>
      </c>
      <c r="I1256" s="178">
        <f t="shared" si="39"/>
        <v>1935</v>
      </c>
      <c r="J1256" s="178">
        <f t="shared" si="40"/>
        <v>0</v>
      </c>
      <c r="K1256" s="19"/>
    </row>
    <row r="1257" spans="1:11" x14ac:dyDescent="0.25">
      <c r="A1257" s="51">
        <v>42836</v>
      </c>
      <c r="B1257" s="174" t="s">
        <v>12786</v>
      </c>
      <c r="C1257" s="175"/>
      <c r="D1257" s="176" t="s">
        <v>12786</v>
      </c>
      <c r="E1257" s="176">
        <v>107691</v>
      </c>
      <c r="F1257" s="177" t="s">
        <v>281</v>
      </c>
      <c r="G1257" s="178">
        <v>1358.5</v>
      </c>
      <c r="H1257" s="179">
        <v>42836</v>
      </c>
      <c r="I1257" s="178">
        <f t="shared" si="39"/>
        <v>1358.5</v>
      </c>
      <c r="J1257" s="178">
        <f t="shared" si="40"/>
        <v>0</v>
      </c>
      <c r="K1257" s="19"/>
    </row>
    <row r="1258" spans="1:11" x14ac:dyDescent="0.25">
      <c r="A1258" s="51">
        <v>42836</v>
      </c>
      <c r="B1258" s="174" t="s">
        <v>12787</v>
      </c>
      <c r="C1258" s="175"/>
      <c r="D1258" s="176" t="s">
        <v>12787</v>
      </c>
      <c r="E1258" s="176">
        <v>107692</v>
      </c>
      <c r="F1258" s="177" t="s">
        <v>272</v>
      </c>
      <c r="G1258" s="178">
        <v>3230.9</v>
      </c>
      <c r="H1258" s="179">
        <v>42837</v>
      </c>
      <c r="I1258" s="178">
        <f t="shared" si="39"/>
        <v>3230.9</v>
      </c>
      <c r="J1258" s="178">
        <f t="shared" si="40"/>
        <v>0</v>
      </c>
      <c r="K1258" s="19"/>
    </row>
    <row r="1259" spans="1:11" x14ac:dyDescent="0.25">
      <c r="A1259" s="51">
        <v>42836</v>
      </c>
      <c r="B1259" s="174" t="s">
        <v>12788</v>
      </c>
      <c r="C1259" s="175"/>
      <c r="D1259" s="176" t="s">
        <v>12788</v>
      </c>
      <c r="E1259" s="176">
        <v>107693</v>
      </c>
      <c r="F1259" s="177" t="s">
        <v>92</v>
      </c>
      <c r="G1259" s="178">
        <v>2150</v>
      </c>
      <c r="H1259" s="179">
        <v>42836</v>
      </c>
      <c r="I1259" s="178">
        <f t="shared" si="39"/>
        <v>2150</v>
      </c>
      <c r="J1259" s="178">
        <f t="shared" si="40"/>
        <v>0</v>
      </c>
      <c r="K1259" s="19"/>
    </row>
    <row r="1260" spans="1:11" x14ac:dyDescent="0.25">
      <c r="A1260" s="51">
        <v>42836</v>
      </c>
      <c r="B1260" s="174" t="s">
        <v>12789</v>
      </c>
      <c r="C1260" s="175"/>
      <c r="D1260" s="176" t="s">
        <v>12789</v>
      </c>
      <c r="E1260" s="176">
        <v>107694</v>
      </c>
      <c r="F1260" s="177" t="s">
        <v>442</v>
      </c>
      <c r="G1260" s="178">
        <v>1621.9</v>
      </c>
      <c r="H1260" s="179">
        <v>42837</v>
      </c>
      <c r="I1260" s="178">
        <f t="shared" si="39"/>
        <v>1621.9</v>
      </c>
      <c r="J1260" s="178">
        <f t="shared" si="40"/>
        <v>0</v>
      </c>
      <c r="K1260" s="19"/>
    </row>
    <row r="1261" spans="1:11" x14ac:dyDescent="0.25">
      <c r="A1261" s="51">
        <v>42836</v>
      </c>
      <c r="B1261" s="174" t="s">
        <v>12790</v>
      </c>
      <c r="C1261" s="175"/>
      <c r="D1261" s="176" t="s">
        <v>12790</v>
      </c>
      <c r="E1261" s="176">
        <v>107695</v>
      </c>
      <c r="F1261" s="177" t="s">
        <v>88</v>
      </c>
      <c r="G1261" s="178">
        <v>6620.4</v>
      </c>
      <c r="H1261" s="179">
        <v>42836</v>
      </c>
      <c r="I1261" s="178">
        <f t="shared" si="39"/>
        <v>6620.4</v>
      </c>
      <c r="J1261" s="178">
        <f t="shared" si="40"/>
        <v>0</v>
      </c>
      <c r="K1261" s="19"/>
    </row>
    <row r="1262" spans="1:11" x14ac:dyDescent="0.25">
      <c r="A1262" s="51">
        <v>42836</v>
      </c>
      <c r="B1262" s="174" t="s">
        <v>12791</v>
      </c>
      <c r="C1262" s="175"/>
      <c r="D1262" s="176" t="s">
        <v>12791</v>
      </c>
      <c r="E1262" s="176">
        <v>107696</v>
      </c>
      <c r="F1262" s="177" t="s">
        <v>1259</v>
      </c>
      <c r="G1262" s="178">
        <v>1029</v>
      </c>
      <c r="H1262" s="179">
        <v>42836</v>
      </c>
      <c r="I1262" s="178">
        <f t="shared" si="39"/>
        <v>1029</v>
      </c>
      <c r="J1262" s="178">
        <f t="shared" si="40"/>
        <v>0</v>
      </c>
      <c r="K1262" s="19"/>
    </row>
    <row r="1263" spans="1:11" x14ac:dyDescent="0.25">
      <c r="A1263" s="51">
        <v>42836</v>
      </c>
      <c r="B1263" s="174" t="s">
        <v>12792</v>
      </c>
      <c r="C1263" s="175"/>
      <c r="D1263" s="176" t="s">
        <v>12792</v>
      </c>
      <c r="E1263" s="176">
        <v>107697</v>
      </c>
      <c r="F1263" s="177" t="s">
        <v>109</v>
      </c>
      <c r="G1263" s="178">
        <v>2397</v>
      </c>
      <c r="H1263" s="179">
        <v>42836</v>
      </c>
      <c r="I1263" s="178">
        <f t="shared" si="39"/>
        <v>2397</v>
      </c>
      <c r="J1263" s="178">
        <f t="shared" si="40"/>
        <v>0</v>
      </c>
      <c r="K1263" s="19"/>
    </row>
    <row r="1264" spans="1:11" x14ac:dyDescent="0.25">
      <c r="A1264" s="51">
        <v>42836</v>
      </c>
      <c r="B1264" s="174" t="s">
        <v>12793</v>
      </c>
      <c r="C1264" s="175"/>
      <c r="D1264" s="176" t="s">
        <v>12793</v>
      </c>
      <c r="E1264" s="176">
        <v>107698</v>
      </c>
      <c r="F1264" s="177" t="s">
        <v>30</v>
      </c>
      <c r="G1264" s="178">
        <v>954.6</v>
      </c>
      <c r="H1264" s="179">
        <v>42836</v>
      </c>
      <c r="I1264" s="178">
        <f t="shared" si="39"/>
        <v>954.6</v>
      </c>
      <c r="J1264" s="178">
        <f t="shared" si="40"/>
        <v>0</v>
      </c>
      <c r="K1264" s="19"/>
    </row>
    <row r="1265" spans="1:11" x14ac:dyDescent="0.25">
      <c r="A1265" s="51">
        <v>42836</v>
      </c>
      <c r="B1265" s="174" t="s">
        <v>12794</v>
      </c>
      <c r="C1265" s="175"/>
      <c r="D1265" s="176" t="s">
        <v>12794</v>
      </c>
      <c r="E1265" s="176">
        <v>107699</v>
      </c>
      <c r="F1265" s="177" t="s">
        <v>838</v>
      </c>
      <c r="G1265" s="178">
        <v>5767.6</v>
      </c>
      <c r="H1265" s="179">
        <v>42836</v>
      </c>
      <c r="I1265" s="178">
        <f t="shared" si="39"/>
        <v>5767.6</v>
      </c>
      <c r="J1265" s="178">
        <f t="shared" si="40"/>
        <v>0</v>
      </c>
      <c r="K1265" s="19"/>
    </row>
    <row r="1266" spans="1:11" x14ac:dyDescent="0.25">
      <c r="A1266" s="51">
        <v>42836</v>
      </c>
      <c r="B1266" s="174" t="s">
        <v>12795</v>
      </c>
      <c r="C1266" s="175"/>
      <c r="D1266" s="176" t="s">
        <v>12795</v>
      </c>
      <c r="E1266" s="176">
        <v>107700</v>
      </c>
      <c r="F1266" s="177" t="s">
        <v>30</v>
      </c>
      <c r="G1266" s="178">
        <v>1495.9</v>
      </c>
      <c r="H1266" s="179">
        <v>42836</v>
      </c>
      <c r="I1266" s="178">
        <f t="shared" si="39"/>
        <v>1495.9</v>
      </c>
      <c r="J1266" s="178">
        <f t="shared" si="40"/>
        <v>0</v>
      </c>
      <c r="K1266" s="19"/>
    </row>
    <row r="1267" spans="1:11" x14ac:dyDescent="0.25">
      <c r="A1267" s="51">
        <v>42836</v>
      </c>
      <c r="B1267" s="174" t="s">
        <v>12796</v>
      </c>
      <c r="C1267" s="175"/>
      <c r="D1267" s="176" t="s">
        <v>12796</v>
      </c>
      <c r="E1267" s="176">
        <v>107701</v>
      </c>
      <c r="F1267" s="177" t="s">
        <v>321</v>
      </c>
      <c r="G1267" s="178">
        <v>240</v>
      </c>
      <c r="H1267" s="179">
        <v>42836</v>
      </c>
      <c r="I1267" s="178">
        <f t="shared" si="39"/>
        <v>240</v>
      </c>
      <c r="J1267" s="178">
        <f t="shared" si="40"/>
        <v>0</v>
      </c>
      <c r="K1267" s="19"/>
    </row>
    <row r="1268" spans="1:11" x14ac:dyDescent="0.25">
      <c r="A1268" s="51">
        <v>42836</v>
      </c>
      <c r="B1268" s="174" t="s">
        <v>12797</v>
      </c>
      <c r="C1268" s="175"/>
      <c r="D1268" s="176" t="s">
        <v>12797</v>
      </c>
      <c r="E1268" s="176">
        <v>107702</v>
      </c>
      <c r="F1268" s="177" t="s">
        <v>270</v>
      </c>
      <c r="G1268" s="178">
        <v>3311.8</v>
      </c>
      <c r="H1268" s="179">
        <v>42838</v>
      </c>
      <c r="I1268" s="178">
        <f t="shared" si="39"/>
        <v>3311.8</v>
      </c>
      <c r="J1268" s="178">
        <f t="shared" si="40"/>
        <v>0</v>
      </c>
      <c r="K1268" s="19"/>
    </row>
    <row r="1269" spans="1:11" x14ac:dyDescent="0.25">
      <c r="A1269" s="51">
        <v>42836</v>
      </c>
      <c r="B1269" s="174" t="s">
        <v>12798</v>
      </c>
      <c r="C1269" s="175"/>
      <c r="D1269" s="176" t="s">
        <v>12798</v>
      </c>
      <c r="E1269" s="176">
        <v>107703</v>
      </c>
      <c r="F1269" s="177" t="s">
        <v>268</v>
      </c>
      <c r="G1269" s="178">
        <v>13463.2</v>
      </c>
      <c r="H1269" s="179">
        <v>42838</v>
      </c>
      <c r="I1269" s="178">
        <f t="shared" si="39"/>
        <v>13463.2</v>
      </c>
      <c r="J1269" s="178">
        <f t="shared" si="40"/>
        <v>0</v>
      </c>
      <c r="K1269" s="19"/>
    </row>
    <row r="1270" spans="1:11" x14ac:dyDescent="0.25">
      <c r="A1270" s="51">
        <v>42836</v>
      </c>
      <c r="B1270" s="174" t="s">
        <v>12799</v>
      </c>
      <c r="C1270" s="175"/>
      <c r="D1270" s="176" t="s">
        <v>12799</v>
      </c>
      <c r="E1270" s="176">
        <v>107704</v>
      </c>
      <c r="F1270" s="177" t="s">
        <v>2240</v>
      </c>
      <c r="G1270" s="178">
        <v>5543</v>
      </c>
      <c r="H1270" s="179">
        <v>42836</v>
      </c>
      <c r="I1270" s="178">
        <f t="shared" si="39"/>
        <v>5543</v>
      </c>
      <c r="J1270" s="178">
        <f t="shared" si="40"/>
        <v>0</v>
      </c>
      <c r="K1270" s="19"/>
    </row>
    <row r="1271" spans="1:11" x14ac:dyDescent="0.25">
      <c r="A1271" s="51">
        <v>42836</v>
      </c>
      <c r="B1271" s="174" t="s">
        <v>12800</v>
      </c>
      <c r="C1271" s="175"/>
      <c r="D1271" s="176" t="s">
        <v>12800</v>
      </c>
      <c r="E1271" s="176">
        <v>107705</v>
      </c>
      <c r="F1271" s="177" t="s">
        <v>435</v>
      </c>
      <c r="G1271" s="178">
        <v>4733.1000000000004</v>
      </c>
      <c r="H1271" s="179">
        <v>42837</v>
      </c>
      <c r="I1271" s="178">
        <f t="shared" si="39"/>
        <v>4733.1000000000004</v>
      </c>
      <c r="J1271" s="178">
        <f t="shared" si="40"/>
        <v>0</v>
      </c>
      <c r="K1271" s="19"/>
    </row>
    <row r="1272" spans="1:11" x14ac:dyDescent="0.25">
      <c r="A1272" s="51">
        <v>42836</v>
      </c>
      <c r="B1272" s="174" t="s">
        <v>12801</v>
      </c>
      <c r="C1272" s="175"/>
      <c r="D1272" s="176" t="s">
        <v>12801</v>
      </c>
      <c r="E1272" s="176">
        <v>107706</v>
      </c>
      <c r="F1272" s="177" t="s">
        <v>193</v>
      </c>
      <c r="G1272" s="178">
        <v>2293.1999999999998</v>
      </c>
      <c r="H1272" s="179">
        <v>42838</v>
      </c>
      <c r="I1272" s="178">
        <f t="shared" si="39"/>
        <v>2293.1999999999998</v>
      </c>
      <c r="J1272" s="178">
        <f t="shared" si="40"/>
        <v>0</v>
      </c>
      <c r="K1272" s="19"/>
    </row>
    <row r="1273" spans="1:11" x14ac:dyDescent="0.25">
      <c r="A1273" s="51">
        <v>42836</v>
      </c>
      <c r="B1273" s="174" t="s">
        <v>12802</v>
      </c>
      <c r="C1273" s="175"/>
      <c r="D1273" s="176" t="s">
        <v>12802</v>
      </c>
      <c r="E1273" s="176">
        <v>107707</v>
      </c>
      <c r="F1273" s="177" t="s">
        <v>57</v>
      </c>
      <c r="G1273" s="178">
        <v>516</v>
      </c>
      <c r="H1273" s="179">
        <v>42838</v>
      </c>
      <c r="I1273" s="178">
        <f t="shared" si="39"/>
        <v>516</v>
      </c>
      <c r="J1273" s="178">
        <f t="shared" si="40"/>
        <v>0</v>
      </c>
      <c r="K1273" s="19"/>
    </row>
    <row r="1274" spans="1:11" x14ac:dyDescent="0.25">
      <c r="A1274" s="51">
        <v>42836</v>
      </c>
      <c r="B1274" s="174" t="s">
        <v>12803</v>
      </c>
      <c r="C1274" s="175"/>
      <c r="D1274" s="176" t="s">
        <v>12803</v>
      </c>
      <c r="E1274" s="176">
        <v>107708</v>
      </c>
      <c r="F1274" s="177" t="s">
        <v>61</v>
      </c>
      <c r="G1274" s="178">
        <v>2692.8</v>
      </c>
      <c r="H1274" s="179">
        <v>42838</v>
      </c>
      <c r="I1274" s="178">
        <f t="shared" si="39"/>
        <v>2692.8</v>
      </c>
      <c r="J1274" s="178">
        <f t="shared" si="40"/>
        <v>0</v>
      </c>
      <c r="K1274" s="19"/>
    </row>
    <row r="1275" spans="1:11" x14ac:dyDescent="0.25">
      <c r="A1275" s="51">
        <v>42836</v>
      </c>
      <c r="B1275" s="174" t="s">
        <v>12804</v>
      </c>
      <c r="C1275" s="175"/>
      <c r="D1275" s="176" t="s">
        <v>12804</v>
      </c>
      <c r="E1275" s="176">
        <v>107709</v>
      </c>
      <c r="F1275" s="177" t="s">
        <v>30</v>
      </c>
      <c r="G1275" s="178">
        <v>1232</v>
      </c>
      <c r="H1275" s="179">
        <v>42838</v>
      </c>
      <c r="I1275" s="178">
        <f t="shared" si="39"/>
        <v>1232</v>
      </c>
      <c r="J1275" s="178">
        <f t="shared" si="40"/>
        <v>0</v>
      </c>
      <c r="K1275" s="19"/>
    </row>
    <row r="1276" spans="1:11" x14ac:dyDescent="0.25">
      <c r="A1276" s="51">
        <v>42836</v>
      </c>
      <c r="B1276" s="174" t="s">
        <v>12805</v>
      </c>
      <c r="C1276" s="175"/>
      <c r="D1276" s="176" t="s">
        <v>12805</v>
      </c>
      <c r="E1276" s="176">
        <v>107710</v>
      </c>
      <c r="F1276" s="177" t="s">
        <v>53</v>
      </c>
      <c r="G1276" s="178">
        <v>1664.6</v>
      </c>
      <c r="H1276" s="179">
        <v>42838</v>
      </c>
      <c r="I1276" s="178">
        <f t="shared" si="39"/>
        <v>1664.6</v>
      </c>
      <c r="J1276" s="178">
        <f t="shared" si="40"/>
        <v>0</v>
      </c>
      <c r="K1276" s="19"/>
    </row>
    <row r="1277" spans="1:11" x14ac:dyDescent="0.25">
      <c r="A1277" s="51">
        <v>42836</v>
      </c>
      <c r="B1277" s="174" t="s">
        <v>12806</v>
      </c>
      <c r="C1277" s="175"/>
      <c r="D1277" s="176" t="s">
        <v>12806</v>
      </c>
      <c r="E1277" s="176">
        <v>107711</v>
      </c>
      <c r="F1277" s="177" t="s">
        <v>800</v>
      </c>
      <c r="G1277" s="178">
        <v>17511.8</v>
      </c>
      <c r="H1277" s="179">
        <v>42841</v>
      </c>
      <c r="I1277" s="178">
        <f t="shared" si="39"/>
        <v>17511.8</v>
      </c>
      <c r="J1277" s="178">
        <f t="shared" si="40"/>
        <v>0</v>
      </c>
      <c r="K1277" s="19"/>
    </row>
    <row r="1278" spans="1:11" x14ac:dyDescent="0.25">
      <c r="A1278" s="51">
        <v>42836</v>
      </c>
      <c r="B1278" s="174" t="s">
        <v>12807</v>
      </c>
      <c r="C1278" s="175"/>
      <c r="D1278" s="176" t="s">
        <v>12807</v>
      </c>
      <c r="E1278" s="176">
        <v>107712</v>
      </c>
      <c r="F1278" s="177" t="s">
        <v>188</v>
      </c>
      <c r="G1278" s="178">
        <v>3674.4</v>
      </c>
      <c r="H1278" s="179">
        <v>42838</v>
      </c>
      <c r="I1278" s="178">
        <f t="shared" si="39"/>
        <v>3674.4</v>
      </c>
      <c r="J1278" s="178">
        <f t="shared" si="40"/>
        <v>0</v>
      </c>
      <c r="K1278" s="19"/>
    </row>
    <row r="1279" spans="1:11" x14ac:dyDescent="0.25">
      <c r="A1279" s="51">
        <v>42836</v>
      </c>
      <c r="B1279" s="174" t="s">
        <v>12808</v>
      </c>
      <c r="C1279" s="175"/>
      <c r="D1279" s="176" t="s">
        <v>12808</v>
      </c>
      <c r="E1279" s="176">
        <v>107713</v>
      </c>
      <c r="F1279" s="177" t="s">
        <v>633</v>
      </c>
      <c r="G1279" s="178">
        <v>413.68</v>
      </c>
      <c r="H1279" s="179">
        <v>42838</v>
      </c>
      <c r="I1279" s="178">
        <f t="shared" si="39"/>
        <v>413.68</v>
      </c>
      <c r="J1279" s="178">
        <f t="shared" si="40"/>
        <v>0</v>
      </c>
      <c r="K1279" s="19"/>
    </row>
    <row r="1280" spans="1:11" x14ac:dyDescent="0.25">
      <c r="A1280" s="51">
        <v>42836</v>
      </c>
      <c r="B1280" s="174" t="s">
        <v>12809</v>
      </c>
      <c r="C1280" s="175"/>
      <c r="D1280" s="176" t="s">
        <v>12809</v>
      </c>
      <c r="E1280" s="176">
        <v>107714</v>
      </c>
      <c r="F1280" s="177" t="s">
        <v>21</v>
      </c>
      <c r="G1280" s="178">
        <v>41172</v>
      </c>
      <c r="H1280" s="186">
        <v>42851</v>
      </c>
      <c r="I1280" s="187">
        <f t="shared" si="39"/>
        <v>41172</v>
      </c>
      <c r="J1280" s="178">
        <f t="shared" si="40"/>
        <v>0</v>
      </c>
      <c r="K1280" s="19"/>
    </row>
    <row r="1281" spans="1:11" x14ac:dyDescent="0.25">
      <c r="A1281" s="51">
        <v>42836</v>
      </c>
      <c r="B1281" s="174" t="s">
        <v>12810</v>
      </c>
      <c r="C1281" s="175"/>
      <c r="D1281" s="176" t="s">
        <v>12810</v>
      </c>
      <c r="E1281" s="176">
        <v>107715</v>
      </c>
      <c r="F1281" s="177" t="s">
        <v>186</v>
      </c>
      <c r="G1281" s="178">
        <v>1449.1</v>
      </c>
      <c r="H1281" s="179">
        <v>42838</v>
      </c>
      <c r="I1281" s="178">
        <f t="shared" si="39"/>
        <v>1449.1</v>
      </c>
      <c r="J1281" s="178">
        <f t="shared" si="40"/>
        <v>0</v>
      </c>
      <c r="K1281" s="19"/>
    </row>
    <row r="1282" spans="1:11" x14ac:dyDescent="0.25">
      <c r="A1282" s="51">
        <v>42836</v>
      </c>
      <c r="B1282" s="174" t="s">
        <v>12811</v>
      </c>
      <c r="C1282" s="175"/>
      <c r="D1282" s="176" t="s">
        <v>12811</v>
      </c>
      <c r="E1282" s="176">
        <v>107716</v>
      </c>
      <c r="F1282" s="177" t="s">
        <v>184</v>
      </c>
      <c r="G1282" s="178">
        <v>1865</v>
      </c>
      <c r="H1282" s="179">
        <v>42846</v>
      </c>
      <c r="I1282" s="178">
        <f t="shared" si="39"/>
        <v>1865</v>
      </c>
      <c r="J1282" s="178">
        <f t="shared" si="40"/>
        <v>0</v>
      </c>
      <c r="K1282" s="19"/>
    </row>
    <row r="1283" spans="1:11" x14ac:dyDescent="0.25">
      <c r="A1283" s="51">
        <v>42836</v>
      </c>
      <c r="B1283" s="174" t="s">
        <v>12812</v>
      </c>
      <c r="C1283" s="175"/>
      <c r="D1283" s="176" t="s">
        <v>12812</v>
      </c>
      <c r="E1283" s="176">
        <v>107717</v>
      </c>
      <c r="F1283" s="177" t="s">
        <v>264</v>
      </c>
      <c r="G1283" s="178">
        <v>11512.8</v>
      </c>
      <c r="H1283" s="179">
        <v>42836</v>
      </c>
      <c r="I1283" s="178">
        <f t="shared" si="39"/>
        <v>11512.8</v>
      </c>
      <c r="J1283" s="178">
        <f t="shared" si="40"/>
        <v>0</v>
      </c>
      <c r="K1283" s="19"/>
    </row>
    <row r="1284" spans="1:11" x14ac:dyDescent="0.25">
      <c r="A1284" s="51">
        <v>42836</v>
      </c>
      <c r="B1284" s="174" t="s">
        <v>12813</v>
      </c>
      <c r="C1284" s="175"/>
      <c r="D1284" s="176" t="s">
        <v>12813</v>
      </c>
      <c r="E1284" s="176">
        <v>107718</v>
      </c>
      <c r="F1284" s="177" t="s">
        <v>329</v>
      </c>
      <c r="G1284" s="178">
        <v>340</v>
      </c>
      <c r="H1284" s="179">
        <v>42836</v>
      </c>
      <c r="I1284" s="178">
        <f t="shared" ref="I1284:I1347" si="41">G1284</f>
        <v>340</v>
      </c>
      <c r="J1284" s="178">
        <f t="shared" ref="J1284:J1347" si="42">G1284-I1284</f>
        <v>0</v>
      </c>
      <c r="K1284" s="19"/>
    </row>
    <row r="1285" spans="1:11" x14ac:dyDescent="0.25">
      <c r="A1285" s="51">
        <v>42836</v>
      </c>
      <c r="B1285" s="174" t="s">
        <v>12814</v>
      </c>
      <c r="C1285" s="175"/>
      <c r="D1285" s="176" t="s">
        <v>12814</v>
      </c>
      <c r="E1285" s="176">
        <v>107719</v>
      </c>
      <c r="F1285" s="177" t="s">
        <v>151</v>
      </c>
      <c r="G1285" s="178">
        <v>8797.2000000000007</v>
      </c>
      <c r="H1285" s="179">
        <v>42836</v>
      </c>
      <c r="I1285" s="178">
        <f t="shared" si="41"/>
        <v>8797.2000000000007</v>
      </c>
      <c r="J1285" s="178">
        <f t="shared" si="42"/>
        <v>0</v>
      </c>
      <c r="K1285" s="19"/>
    </row>
    <row r="1286" spans="1:11" x14ac:dyDescent="0.25">
      <c r="A1286" s="51">
        <v>42836</v>
      </c>
      <c r="B1286" s="174" t="s">
        <v>12815</v>
      </c>
      <c r="C1286" s="175"/>
      <c r="D1286" s="176" t="s">
        <v>12815</v>
      </c>
      <c r="E1286" s="176">
        <v>107720</v>
      </c>
      <c r="F1286" s="177" t="s">
        <v>486</v>
      </c>
      <c r="G1286" s="178">
        <v>2793.6</v>
      </c>
      <c r="H1286" s="179">
        <v>42838</v>
      </c>
      <c r="I1286" s="178">
        <f t="shared" si="41"/>
        <v>2793.6</v>
      </c>
      <c r="J1286" s="178">
        <f t="shared" si="42"/>
        <v>0</v>
      </c>
      <c r="K1286" s="19"/>
    </row>
    <row r="1287" spans="1:11" x14ac:dyDescent="0.25">
      <c r="A1287" s="51">
        <v>42836</v>
      </c>
      <c r="B1287" s="174" t="s">
        <v>12816</v>
      </c>
      <c r="C1287" s="175"/>
      <c r="D1287" s="176" t="s">
        <v>12816</v>
      </c>
      <c r="E1287" s="176">
        <v>107721</v>
      </c>
      <c r="F1287" s="177" t="s">
        <v>331</v>
      </c>
      <c r="G1287" s="178">
        <v>1814.4</v>
      </c>
      <c r="H1287" s="179">
        <v>42838</v>
      </c>
      <c r="I1287" s="178">
        <f t="shared" si="41"/>
        <v>1814.4</v>
      </c>
      <c r="J1287" s="178">
        <f t="shared" si="42"/>
        <v>0</v>
      </c>
      <c r="K1287" s="19"/>
    </row>
    <row r="1288" spans="1:11" x14ac:dyDescent="0.25">
      <c r="A1288" s="51">
        <v>42836</v>
      </c>
      <c r="B1288" s="174" t="s">
        <v>12817</v>
      </c>
      <c r="C1288" s="175"/>
      <c r="D1288" s="176" t="s">
        <v>12817</v>
      </c>
      <c r="E1288" s="176">
        <v>107722</v>
      </c>
      <c r="F1288" s="177" t="s">
        <v>182</v>
      </c>
      <c r="G1288" s="178">
        <v>3440</v>
      </c>
      <c r="H1288" s="179">
        <v>42838</v>
      </c>
      <c r="I1288" s="178">
        <f t="shared" si="41"/>
        <v>3440</v>
      </c>
      <c r="J1288" s="178">
        <f t="shared" si="42"/>
        <v>0</v>
      </c>
      <c r="K1288" s="19"/>
    </row>
    <row r="1289" spans="1:11" x14ac:dyDescent="0.25">
      <c r="A1289" s="51">
        <v>42836</v>
      </c>
      <c r="B1289" s="174" t="s">
        <v>12818</v>
      </c>
      <c r="C1289" s="175"/>
      <c r="D1289" s="176" t="s">
        <v>12818</v>
      </c>
      <c r="E1289" s="176">
        <v>107723</v>
      </c>
      <c r="F1289" s="177" t="s">
        <v>69</v>
      </c>
      <c r="G1289" s="178">
        <v>1248.5</v>
      </c>
      <c r="H1289" s="179">
        <v>42838</v>
      </c>
      <c r="I1289" s="178">
        <f t="shared" si="41"/>
        <v>1248.5</v>
      </c>
      <c r="J1289" s="178">
        <f t="shared" si="42"/>
        <v>0</v>
      </c>
      <c r="K1289" s="19"/>
    </row>
    <row r="1290" spans="1:11" x14ac:dyDescent="0.25">
      <c r="A1290" s="51">
        <v>42836</v>
      </c>
      <c r="B1290" s="174" t="s">
        <v>12819</v>
      </c>
      <c r="C1290" s="175"/>
      <c r="D1290" s="176" t="s">
        <v>12819</v>
      </c>
      <c r="E1290" s="176">
        <v>107724</v>
      </c>
      <c r="F1290" s="177" t="s">
        <v>352</v>
      </c>
      <c r="G1290" s="178">
        <v>2382.1999999999998</v>
      </c>
      <c r="H1290" s="179">
        <v>42836</v>
      </c>
      <c r="I1290" s="178">
        <f t="shared" si="41"/>
        <v>2382.1999999999998</v>
      </c>
      <c r="J1290" s="178">
        <f t="shared" si="42"/>
        <v>0</v>
      </c>
      <c r="K1290" s="19"/>
    </row>
    <row r="1291" spans="1:11" x14ac:dyDescent="0.25">
      <c r="A1291" s="51">
        <v>42836</v>
      </c>
      <c r="B1291" s="174" t="s">
        <v>12820</v>
      </c>
      <c r="C1291" s="175"/>
      <c r="D1291" s="176" t="s">
        <v>12820</v>
      </c>
      <c r="E1291" s="176">
        <v>107725</v>
      </c>
      <c r="F1291" s="177" t="s">
        <v>10</v>
      </c>
      <c r="G1291" s="178">
        <v>2328</v>
      </c>
      <c r="H1291" s="179">
        <v>42837</v>
      </c>
      <c r="I1291" s="178">
        <f t="shared" si="41"/>
        <v>2328</v>
      </c>
      <c r="J1291" s="178">
        <f t="shared" si="42"/>
        <v>0</v>
      </c>
      <c r="K1291" s="19"/>
    </row>
    <row r="1292" spans="1:11" x14ac:dyDescent="0.25">
      <c r="A1292" s="51">
        <v>42836</v>
      </c>
      <c r="B1292" s="174" t="s">
        <v>12821</v>
      </c>
      <c r="C1292" s="175"/>
      <c r="D1292" s="176" t="s">
        <v>12821</v>
      </c>
      <c r="E1292" s="176">
        <v>107726</v>
      </c>
      <c r="F1292" s="177" t="s">
        <v>2986</v>
      </c>
      <c r="G1292" s="178">
        <v>4662</v>
      </c>
      <c r="H1292" s="180">
        <v>42836</v>
      </c>
      <c r="I1292" s="181">
        <f>4300+362</f>
        <v>4662</v>
      </c>
      <c r="J1292" s="181">
        <f t="shared" si="42"/>
        <v>0</v>
      </c>
      <c r="K1292" s="19"/>
    </row>
    <row r="1293" spans="1:11" x14ac:dyDescent="0.25">
      <c r="A1293" s="51">
        <v>42836</v>
      </c>
      <c r="B1293" s="174" t="s">
        <v>12822</v>
      </c>
      <c r="C1293" s="175"/>
      <c r="D1293" s="176" t="s">
        <v>12822</v>
      </c>
      <c r="E1293" s="176">
        <v>107727</v>
      </c>
      <c r="F1293" s="177" t="s">
        <v>115</v>
      </c>
      <c r="G1293" s="178">
        <v>3264.65</v>
      </c>
      <c r="H1293" s="179">
        <v>42836</v>
      </c>
      <c r="I1293" s="178">
        <f t="shared" si="41"/>
        <v>3264.65</v>
      </c>
      <c r="J1293" s="178">
        <f t="shared" si="42"/>
        <v>0</v>
      </c>
      <c r="K1293" s="19"/>
    </row>
    <row r="1294" spans="1:11" x14ac:dyDescent="0.25">
      <c r="A1294" s="51">
        <v>42836</v>
      </c>
      <c r="B1294" s="174" t="s">
        <v>12823</v>
      </c>
      <c r="C1294" s="175"/>
      <c r="D1294" s="176" t="s">
        <v>12823</v>
      </c>
      <c r="E1294" s="176">
        <v>107728</v>
      </c>
      <c r="F1294" s="177" t="s">
        <v>405</v>
      </c>
      <c r="G1294" s="178">
        <v>4540.84</v>
      </c>
      <c r="H1294" s="179">
        <v>42836</v>
      </c>
      <c r="I1294" s="178">
        <f t="shared" si="41"/>
        <v>4540.84</v>
      </c>
      <c r="J1294" s="178">
        <f t="shared" si="42"/>
        <v>0</v>
      </c>
      <c r="K1294" s="19"/>
    </row>
    <row r="1295" spans="1:11" x14ac:dyDescent="0.25">
      <c r="A1295" s="51">
        <v>42836</v>
      </c>
      <c r="B1295" s="174" t="s">
        <v>12824</v>
      </c>
      <c r="C1295" s="175"/>
      <c r="D1295" s="176" t="s">
        <v>12824</v>
      </c>
      <c r="E1295" s="176">
        <v>107729</v>
      </c>
      <c r="F1295" s="177" t="s">
        <v>30</v>
      </c>
      <c r="G1295" s="178">
        <v>22050</v>
      </c>
      <c r="H1295" s="179">
        <v>42836</v>
      </c>
      <c r="I1295" s="178">
        <f t="shared" si="41"/>
        <v>22050</v>
      </c>
      <c r="J1295" s="178">
        <f t="shared" si="42"/>
        <v>0</v>
      </c>
      <c r="K1295" s="19"/>
    </row>
    <row r="1296" spans="1:11" x14ac:dyDescent="0.25">
      <c r="A1296" s="51">
        <v>42836</v>
      </c>
      <c r="B1296" s="174" t="s">
        <v>12825</v>
      </c>
      <c r="C1296" s="175"/>
      <c r="D1296" s="176" t="s">
        <v>12825</v>
      </c>
      <c r="E1296" s="176">
        <v>107730</v>
      </c>
      <c r="F1296" s="177" t="s">
        <v>30</v>
      </c>
      <c r="G1296" s="178">
        <v>9411.6</v>
      </c>
      <c r="H1296" s="179">
        <v>42836</v>
      </c>
      <c r="I1296" s="178">
        <f t="shared" si="41"/>
        <v>9411.6</v>
      </c>
      <c r="J1296" s="178">
        <f t="shared" si="42"/>
        <v>0</v>
      </c>
      <c r="K1296" s="19"/>
    </row>
    <row r="1297" spans="1:11" x14ac:dyDescent="0.25">
      <c r="A1297" s="51">
        <v>42836</v>
      </c>
      <c r="B1297" s="174" t="s">
        <v>12826</v>
      </c>
      <c r="C1297" s="175"/>
      <c r="D1297" s="176" t="s">
        <v>12826</v>
      </c>
      <c r="E1297" s="176">
        <v>107731</v>
      </c>
      <c r="F1297" s="177" t="s">
        <v>133</v>
      </c>
      <c r="G1297" s="178">
        <v>9126.4</v>
      </c>
      <c r="H1297" s="179">
        <v>42836</v>
      </c>
      <c r="I1297" s="178">
        <f t="shared" si="41"/>
        <v>9126.4</v>
      </c>
      <c r="J1297" s="178">
        <f t="shared" si="42"/>
        <v>0</v>
      </c>
      <c r="K1297" s="19"/>
    </row>
    <row r="1298" spans="1:11" x14ac:dyDescent="0.25">
      <c r="A1298" s="51">
        <v>42836</v>
      </c>
      <c r="B1298" s="174" t="s">
        <v>12827</v>
      </c>
      <c r="C1298" s="175"/>
      <c r="D1298" s="176" t="s">
        <v>12827</v>
      </c>
      <c r="E1298" s="176">
        <v>107732</v>
      </c>
      <c r="F1298" s="177" t="s">
        <v>122</v>
      </c>
      <c r="G1298" s="178">
        <v>32200</v>
      </c>
      <c r="H1298" s="179">
        <v>42846</v>
      </c>
      <c r="I1298" s="178">
        <f t="shared" si="41"/>
        <v>32200</v>
      </c>
      <c r="J1298" s="178">
        <f t="shared" si="42"/>
        <v>0</v>
      </c>
      <c r="K1298" s="19"/>
    </row>
    <row r="1299" spans="1:11" x14ac:dyDescent="0.25">
      <c r="A1299" s="51">
        <v>42836</v>
      </c>
      <c r="B1299" s="174" t="s">
        <v>12828</v>
      </c>
      <c r="C1299" s="175"/>
      <c r="D1299" s="176" t="s">
        <v>12828</v>
      </c>
      <c r="E1299" s="176">
        <v>107733</v>
      </c>
      <c r="F1299" s="177" t="s">
        <v>30</v>
      </c>
      <c r="G1299" s="178">
        <v>3014.4</v>
      </c>
      <c r="H1299" s="179">
        <v>42836</v>
      </c>
      <c r="I1299" s="178">
        <f t="shared" si="41"/>
        <v>3014.4</v>
      </c>
      <c r="J1299" s="178">
        <f t="shared" si="42"/>
        <v>0</v>
      </c>
      <c r="K1299" s="19"/>
    </row>
    <row r="1300" spans="1:11" x14ac:dyDescent="0.25">
      <c r="A1300" s="51">
        <v>42836</v>
      </c>
      <c r="B1300" s="174" t="s">
        <v>12829</v>
      </c>
      <c r="C1300" s="175"/>
      <c r="D1300" s="176" t="s">
        <v>12829</v>
      </c>
      <c r="E1300" s="176">
        <v>107734</v>
      </c>
      <c r="F1300" s="177" t="s">
        <v>122</v>
      </c>
      <c r="G1300" s="178">
        <v>4911.5</v>
      </c>
      <c r="H1300" s="179">
        <v>42846</v>
      </c>
      <c r="I1300" s="178">
        <f t="shared" si="41"/>
        <v>4911.5</v>
      </c>
      <c r="J1300" s="178">
        <f t="shared" si="42"/>
        <v>0</v>
      </c>
      <c r="K1300" s="19"/>
    </row>
    <row r="1301" spans="1:11" x14ac:dyDescent="0.25">
      <c r="A1301" s="51">
        <v>42836</v>
      </c>
      <c r="B1301" s="174" t="s">
        <v>12830</v>
      </c>
      <c r="C1301" s="175"/>
      <c r="D1301" s="176" t="s">
        <v>12830</v>
      </c>
      <c r="E1301" s="176">
        <v>107735</v>
      </c>
      <c r="F1301" s="177" t="s">
        <v>1141</v>
      </c>
      <c r="G1301" s="178">
        <v>43</v>
      </c>
      <c r="H1301" s="179">
        <v>42841</v>
      </c>
      <c r="I1301" s="178">
        <f t="shared" si="41"/>
        <v>43</v>
      </c>
      <c r="J1301" s="178">
        <f t="shared" si="42"/>
        <v>0</v>
      </c>
      <c r="K1301" s="19"/>
    </row>
    <row r="1302" spans="1:11" x14ac:dyDescent="0.25">
      <c r="A1302" s="51">
        <v>42836</v>
      </c>
      <c r="B1302" s="174" t="s">
        <v>12831</v>
      </c>
      <c r="C1302" s="175"/>
      <c r="D1302" s="176" t="s">
        <v>12831</v>
      </c>
      <c r="E1302" s="176">
        <v>107736</v>
      </c>
      <c r="F1302" s="177" t="s">
        <v>30</v>
      </c>
      <c r="G1302" s="178">
        <v>1482.6</v>
      </c>
      <c r="H1302" s="179">
        <v>42836</v>
      </c>
      <c r="I1302" s="178">
        <f t="shared" si="41"/>
        <v>1482.6</v>
      </c>
      <c r="J1302" s="178">
        <f t="shared" si="42"/>
        <v>0</v>
      </c>
      <c r="K1302" s="19"/>
    </row>
    <row r="1303" spans="1:11" x14ac:dyDescent="0.25">
      <c r="A1303" s="51">
        <v>42836</v>
      </c>
      <c r="B1303" s="174" t="s">
        <v>12832</v>
      </c>
      <c r="C1303" s="175"/>
      <c r="D1303" s="176" t="s">
        <v>12832</v>
      </c>
      <c r="E1303" s="176">
        <v>107737</v>
      </c>
      <c r="F1303" s="177" t="s">
        <v>49</v>
      </c>
      <c r="G1303" s="178">
        <v>2917.2</v>
      </c>
      <c r="H1303" s="179">
        <v>42837</v>
      </c>
      <c r="I1303" s="178">
        <f t="shared" si="41"/>
        <v>2917.2</v>
      </c>
      <c r="J1303" s="178">
        <f t="shared" si="42"/>
        <v>0</v>
      </c>
      <c r="K1303" s="19"/>
    </row>
    <row r="1304" spans="1:11" x14ac:dyDescent="0.25">
      <c r="A1304" s="51">
        <v>42836</v>
      </c>
      <c r="B1304" s="174" t="s">
        <v>12833</v>
      </c>
      <c r="C1304" s="175"/>
      <c r="D1304" s="176" t="s">
        <v>12833</v>
      </c>
      <c r="E1304" s="176">
        <v>107738</v>
      </c>
      <c r="F1304" s="177" t="s">
        <v>222</v>
      </c>
      <c r="G1304" s="178">
        <v>369442.5</v>
      </c>
      <c r="H1304" s="179">
        <v>42841</v>
      </c>
      <c r="I1304" s="178">
        <f t="shared" si="41"/>
        <v>369442.5</v>
      </c>
      <c r="J1304" s="178">
        <f t="shared" si="42"/>
        <v>0</v>
      </c>
      <c r="K1304" s="19"/>
    </row>
    <row r="1305" spans="1:11" x14ac:dyDescent="0.25">
      <c r="A1305" s="51">
        <v>42836</v>
      </c>
      <c r="B1305" s="174" t="s">
        <v>12834</v>
      </c>
      <c r="C1305" s="175"/>
      <c r="D1305" s="176" t="s">
        <v>12834</v>
      </c>
      <c r="E1305" s="176">
        <v>107739</v>
      </c>
      <c r="F1305" s="177" t="s">
        <v>1062</v>
      </c>
      <c r="G1305" s="178">
        <v>644</v>
      </c>
      <c r="H1305" s="179">
        <v>42836</v>
      </c>
      <c r="I1305" s="178">
        <f t="shared" si="41"/>
        <v>644</v>
      </c>
      <c r="J1305" s="178">
        <f t="shared" si="42"/>
        <v>0</v>
      </c>
      <c r="K1305" s="19"/>
    </row>
    <row r="1306" spans="1:11" x14ac:dyDescent="0.25">
      <c r="A1306" s="51">
        <v>42836</v>
      </c>
      <c r="B1306" s="174" t="s">
        <v>12835</v>
      </c>
      <c r="C1306" s="175"/>
      <c r="D1306" s="176" t="s">
        <v>12835</v>
      </c>
      <c r="E1306" s="176">
        <v>107740</v>
      </c>
      <c r="F1306" s="177" t="s">
        <v>10</v>
      </c>
      <c r="G1306" s="178">
        <v>206761.9</v>
      </c>
      <c r="H1306" s="180" t="s">
        <v>12836</v>
      </c>
      <c r="I1306" s="181">
        <f>116958.54+89803.36</f>
        <v>206761.9</v>
      </c>
      <c r="J1306" s="181">
        <f t="shared" si="42"/>
        <v>0</v>
      </c>
      <c r="K1306" s="19"/>
    </row>
    <row r="1307" spans="1:11" x14ac:dyDescent="0.25">
      <c r="A1307" s="51">
        <v>42836</v>
      </c>
      <c r="B1307" s="174" t="s">
        <v>12837</v>
      </c>
      <c r="C1307" s="175"/>
      <c r="D1307" s="176" t="s">
        <v>12837</v>
      </c>
      <c r="E1307" s="176">
        <v>107741</v>
      </c>
      <c r="F1307" s="177" t="s">
        <v>9907</v>
      </c>
      <c r="G1307" s="178">
        <v>5090.3999999999996</v>
      </c>
      <c r="H1307" s="179">
        <v>42836</v>
      </c>
      <c r="I1307" s="178">
        <f t="shared" si="41"/>
        <v>5090.3999999999996</v>
      </c>
      <c r="J1307" s="178">
        <f t="shared" si="42"/>
        <v>0</v>
      </c>
      <c r="K1307" s="19"/>
    </row>
    <row r="1308" spans="1:11" x14ac:dyDescent="0.25">
      <c r="A1308" s="51">
        <v>42836</v>
      </c>
      <c r="B1308" s="174" t="s">
        <v>12838</v>
      </c>
      <c r="C1308" s="175"/>
      <c r="D1308" s="176" t="s">
        <v>12838</v>
      </c>
      <c r="E1308" s="176">
        <v>107742</v>
      </c>
      <c r="F1308" s="177" t="s">
        <v>10</v>
      </c>
      <c r="G1308" s="178">
        <v>116732</v>
      </c>
      <c r="H1308" s="179">
        <v>42840</v>
      </c>
      <c r="I1308" s="178">
        <f t="shared" si="41"/>
        <v>116732</v>
      </c>
      <c r="J1308" s="178">
        <f t="shared" si="42"/>
        <v>0</v>
      </c>
      <c r="K1308" s="19"/>
    </row>
    <row r="1309" spans="1:11" x14ac:dyDescent="0.25">
      <c r="A1309" s="51">
        <v>42836</v>
      </c>
      <c r="B1309" s="174" t="s">
        <v>12839</v>
      </c>
      <c r="C1309" s="175"/>
      <c r="D1309" s="176" t="s">
        <v>12839</v>
      </c>
      <c r="E1309" s="176">
        <v>107743</v>
      </c>
      <c r="F1309" s="177" t="s">
        <v>800</v>
      </c>
      <c r="G1309" s="178">
        <v>1062.3599999999999</v>
      </c>
      <c r="H1309" s="179">
        <v>42836</v>
      </c>
      <c r="I1309" s="178">
        <f t="shared" si="41"/>
        <v>1062.3599999999999</v>
      </c>
      <c r="J1309" s="178">
        <f t="shared" si="42"/>
        <v>0</v>
      </c>
      <c r="K1309" s="19"/>
    </row>
    <row r="1310" spans="1:11" x14ac:dyDescent="0.25">
      <c r="A1310" s="51">
        <v>42836</v>
      </c>
      <c r="B1310" s="174" t="s">
        <v>12840</v>
      </c>
      <c r="C1310" s="175"/>
      <c r="D1310" s="176" t="s">
        <v>12840</v>
      </c>
      <c r="E1310" s="176">
        <v>107744</v>
      </c>
      <c r="F1310" s="182" t="s">
        <v>211</v>
      </c>
      <c r="G1310" s="183">
        <v>0</v>
      </c>
      <c r="H1310" s="184" t="s">
        <v>95</v>
      </c>
      <c r="I1310" s="183">
        <f t="shared" si="41"/>
        <v>0</v>
      </c>
      <c r="J1310" s="183">
        <f t="shared" si="42"/>
        <v>0</v>
      </c>
      <c r="K1310" s="19"/>
    </row>
    <row r="1311" spans="1:11" x14ac:dyDescent="0.25">
      <c r="A1311" s="51">
        <v>42836</v>
      </c>
      <c r="B1311" s="174" t="s">
        <v>12841</v>
      </c>
      <c r="C1311" s="175"/>
      <c r="D1311" s="176" t="s">
        <v>12841</v>
      </c>
      <c r="E1311" s="176">
        <v>107745</v>
      </c>
      <c r="F1311" s="177" t="s">
        <v>544</v>
      </c>
      <c r="G1311" s="178">
        <v>5172</v>
      </c>
      <c r="H1311" s="179">
        <v>42838</v>
      </c>
      <c r="I1311" s="178">
        <f t="shared" si="41"/>
        <v>5172</v>
      </c>
      <c r="J1311" s="178">
        <f t="shared" si="42"/>
        <v>0</v>
      </c>
      <c r="K1311" s="19"/>
    </row>
    <row r="1312" spans="1:11" x14ac:dyDescent="0.25">
      <c r="A1312" s="51">
        <v>42836</v>
      </c>
      <c r="B1312" s="174" t="s">
        <v>12842</v>
      </c>
      <c r="C1312" s="175"/>
      <c r="D1312" s="176" t="s">
        <v>12842</v>
      </c>
      <c r="E1312" s="176">
        <v>107746</v>
      </c>
      <c r="F1312" s="177" t="s">
        <v>222</v>
      </c>
      <c r="G1312" s="178">
        <v>29509.83</v>
      </c>
      <c r="H1312" s="179">
        <v>42841</v>
      </c>
      <c r="I1312" s="178">
        <f t="shared" si="41"/>
        <v>29509.83</v>
      </c>
      <c r="J1312" s="178">
        <f t="shared" si="42"/>
        <v>0</v>
      </c>
      <c r="K1312" s="19"/>
    </row>
    <row r="1313" spans="1:11" x14ac:dyDescent="0.25">
      <c r="A1313" s="51">
        <v>42836</v>
      </c>
      <c r="B1313" s="174" t="s">
        <v>12843</v>
      </c>
      <c r="C1313" s="175"/>
      <c r="D1313" s="176" t="s">
        <v>12843</v>
      </c>
      <c r="E1313" s="176">
        <v>107747</v>
      </c>
      <c r="F1313" s="177" t="s">
        <v>428</v>
      </c>
      <c r="G1313" s="178">
        <v>1707.1</v>
      </c>
      <c r="H1313" s="179">
        <v>42842</v>
      </c>
      <c r="I1313" s="178">
        <f t="shared" si="41"/>
        <v>1707.1</v>
      </c>
      <c r="J1313" s="178">
        <f t="shared" si="42"/>
        <v>0</v>
      </c>
      <c r="K1313" s="19"/>
    </row>
    <row r="1314" spans="1:11" x14ac:dyDescent="0.25">
      <c r="A1314" s="51">
        <v>42836</v>
      </c>
      <c r="B1314" s="174" t="s">
        <v>12844</v>
      </c>
      <c r="C1314" s="175"/>
      <c r="D1314" s="176" t="s">
        <v>12844</v>
      </c>
      <c r="E1314" s="176">
        <v>107748</v>
      </c>
      <c r="F1314" s="177" t="s">
        <v>30</v>
      </c>
      <c r="G1314" s="178">
        <v>2448</v>
      </c>
      <c r="H1314" s="179">
        <v>42836</v>
      </c>
      <c r="I1314" s="178">
        <f t="shared" si="41"/>
        <v>2448</v>
      </c>
      <c r="J1314" s="178">
        <f t="shared" si="42"/>
        <v>0</v>
      </c>
      <c r="K1314" s="26"/>
    </row>
    <row r="1315" spans="1:11" x14ac:dyDescent="0.25">
      <c r="A1315" s="51">
        <v>42837</v>
      </c>
      <c r="B1315" s="174" t="s">
        <v>12845</v>
      </c>
      <c r="C1315" s="175"/>
      <c r="D1315" s="176" t="s">
        <v>12845</v>
      </c>
      <c r="E1315" s="176">
        <v>107749</v>
      </c>
      <c r="F1315" s="182" t="s">
        <v>17</v>
      </c>
      <c r="G1315" s="183">
        <v>0</v>
      </c>
      <c r="H1315" s="184" t="s">
        <v>95</v>
      </c>
      <c r="I1315" s="183">
        <f t="shared" si="41"/>
        <v>0</v>
      </c>
      <c r="J1315" s="183">
        <f t="shared" si="42"/>
        <v>0</v>
      </c>
      <c r="K1315" s="19"/>
    </row>
    <row r="1316" spans="1:11" x14ac:dyDescent="0.25">
      <c r="A1316" s="51">
        <v>42837</v>
      </c>
      <c r="B1316" s="174" t="s">
        <v>12846</v>
      </c>
      <c r="C1316" s="175"/>
      <c r="D1316" s="176" t="s">
        <v>12846</v>
      </c>
      <c r="E1316" s="176">
        <v>107750</v>
      </c>
      <c r="F1316" s="177" t="s">
        <v>374</v>
      </c>
      <c r="G1316" s="178">
        <v>963.2</v>
      </c>
      <c r="H1316" s="179">
        <v>42837</v>
      </c>
      <c r="I1316" s="178">
        <f t="shared" si="41"/>
        <v>963.2</v>
      </c>
      <c r="J1316" s="178">
        <f t="shared" si="42"/>
        <v>0</v>
      </c>
      <c r="K1316" s="19"/>
    </row>
    <row r="1317" spans="1:11" x14ac:dyDescent="0.25">
      <c r="A1317" s="51">
        <v>42837</v>
      </c>
      <c r="B1317" s="174" t="s">
        <v>12847</v>
      </c>
      <c r="C1317" s="175"/>
      <c r="D1317" s="176" t="s">
        <v>12847</v>
      </c>
      <c r="E1317" s="176">
        <v>107751</v>
      </c>
      <c r="F1317" s="177" t="s">
        <v>30</v>
      </c>
      <c r="G1317" s="178">
        <v>4851.2</v>
      </c>
      <c r="H1317" s="179">
        <v>42837</v>
      </c>
      <c r="I1317" s="178">
        <f t="shared" si="41"/>
        <v>4851.2</v>
      </c>
      <c r="J1317" s="178">
        <f t="shared" si="42"/>
        <v>0</v>
      </c>
      <c r="K1317" s="19"/>
    </row>
    <row r="1318" spans="1:11" x14ac:dyDescent="0.25">
      <c r="A1318" s="51">
        <v>42837</v>
      </c>
      <c r="B1318" s="174" t="s">
        <v>12848</v>
      </c>
      <c r="C1318" s="175"/>
      <c r="D1318" s="176" t="s">
        <v>12848</v>
      </c>
      <c r="E1318" s="176">
        <v>107752</v>
      </c>
      <c r="F1318" s="177" t="s">
        <v>30</v>
      </c>
      <c r="G1318" s="178">
        <v>1826</v>
      </c>
      <c r="H1318" s="179">
        <v>42837</v>
      </c>
      <c r="I1318" s="178">
        <f t="shared" si="41"/>
        <v>1826</v>
      </c>
      <c r="J1318" s="178">
        <f t="shared" si="42"/>
        <v>0</v>
      </c>
      <c r="K1318" s="19"/>
    </row>
    <row r="1319" spans="1:11" x14ac:dyDescent="0.25">
      <c r="A1319" s="51">
        <v>42837</v>
      </c>
      <c r="B1319" s="174" t="s">
        <v>12849</v>
      </c>
      <c r="C1319" s="175"/>
      <c r="D1319" s="176" t="s">
        <v>12849</v>
      </c>
      <c r="E1319" s="176">
        <v>107753</v>
      </c>
      <c r="F1319" s="177" t="s">
        <v>69</v>
      </c>
      <c r="G1319" s="178">
        <v>4730</v>
      </c>
      <c r="H1319" s="179">
        <v>42837</v>
      </c>
      <c r="I1319" s="178">
        <f t="shared" si="41"/>
        <v>4730</v>
      </c>
      <c r="J1319" s="178">
        <f t="shared" si="42"/>
        <v>0</v>
      </c>
      <c r="K1319" s="19"/>
    </row>
    <row r="1320" spans="1:11" x14ac:dyDescent="0.25">
      <c r="A1320" s="51">
        <v>42837</v>
      </c>
      <c r="B1320" s="174" t="s">
        <v>12850</v>
      </c>
      <c r="C1320" s="175"/>
      <c r="D1320" s="176" t="s">
        <v>12850</v>
      </c>
      <c r="E1320" s="176">
        <v>107754</v>
      </c>
      <c r="F1320" s="177" t="s">
        <v>205</v>
      </c>
      <c r="G1320" s="178">
        <v>4125.1000000000004</v>
      </c>
      <c r="H1320" s="179">
        <v>42850</v>
      </c>
      <c r="I1320" s="178">
        <f t="shared" si="41"/>
        <v>4125.1000000000004</v>
      </c>
      <c r="J1320" s="178">
        <f t="shared" si="42"/>
        <v>0</v>
      </c>
      <c r="K1320" s="19"/>
    </row>
    <row r="1321" spans="1:11" x14ac:dyDescent="0.25">
      <c r="A1321" s="51">
        <v>42837</v>
      </c>
      <c r="B1321" s="174" t="s">
        <v>12851</v>
      </c>
      <c r="C1321" s="175"/>
      <c r="D1321" s="176" t="s">
        <v>12851</v>
      </c>
      <c r="E1321" s="176">
        <v>107755</v>
      </c>
      <c r="F1321" s="177" t="s">
        <v>17</v>
      </c>
      <c r="G1321" s="178">
        <v>1505</v>
      </c>
      <c r="H1321" s="179">
        <v>42837</v>
      </c>
      <c r="I1321" s="178">
        <f t="shared" si="41"/>
        <v>1505</v>
      </c>
      <c r="J1321" s="178">
        <f t="shared" si="42"/>
        <v>0</v>
      </c>
      <c r="K1321" s="19"/>
    </row>
    <row r="1322" spans="1:11" x14ac:dyDescent="0.25">
      <c r="A1322" s="51">
        <v>42837</v>
      </c>
      <c r="B1322" s="174" t="s">
        <v>12852</v>
      </c>
      <c r="C1322" s="175"/>
      <c r="D1322" s="176" t="s">
        <v>12852</v>
      </c>
      <c r="E1322" s="176">
        <v>107756</v>
      </c>
      <c r="F1322" s="177" t="s">
        <v>19</v>
      </c>
      <c r="G1322" s="178">
        <v>860</v>
      </c>
      <c r="H1322" s="179">
        <v>42837</v>
      </c>
      <c r="I1322" s="178">
        <f t="shared" si="41"/>
        <v>860</v>
      </c>
      <c r="J1322" s="178">
        <f t="shared" si="42"/>
        <v>0</v>
      </c>
      <c r="K1322" s="19"/>
    </row>
    <row r="1323" spans="1:11" x14ac:dyDescent="0.25">
      <c r="A1323" s="51">
        <v>42837</v>
      </c>
      <c r="B1323" s="174" t="s">
        <v>12853</v>
      </c>
      <c r="C1323" s="175"/>
      <c r="D1323" s="176" t="s">
        <v>12853</v>
      </c>
      <c r="E1323" s="176">
        <v>107757</v>
      </c>
      <c r="F1323" s="177" t="s">
        <v>26</v>
      </c>
      <c r="G1323" s="178">
        <v>13597</v>
      </c>
      <c r="H1323" s="179">
        <v>42837</v>
      </c>
      <c r="I1323" s="178">
        <f t="shared" si="41"/>
        <v>13597</v>
      </c>
      <c r="J1323" s="178">
        <f t="shared" si="42"/>
        <v>0</v>
      </c>
      <c r="K1323" s="19"/>
    </row>
    <row r="1324" spans="1:11" x14ac:dyDescent="0.25">
      <c r="A1324" s="51">
        <v>42837</v>
      </c>
      <c r="B1324" s="174" t="s">
        <v>12854</v>
      </c>
      <c r="C1324" s="175"/>
      <c r="D1324" s="176" t="s">
        <v>12854</v>
      </c>
      <c r="E1324" s="176">
        <v>107758</v>
      </c>
      <c r="F1324" s="177" t="s">
        <v>1786</v>
      </c>
      <c r="G1324" s="178">
        <v>5563.8</v>
      </c>
      <c r="H1324" s="179">
        <v>42837</v>
      </c>
      <c r="I1324" s="178">
        <f t="shared" si="41"/>
        <v>5563.8</v>
      </c>
      <c r="J1324" s="178">
        <f t="shared" si="42"/>
        <v>0</v>
      </c>
      <c r="K1324" s="19"/>
    </row>
    <row r="1325" spans="1:11" x14ac:dyDescent="0.25">
      <c r="A1325" s="51">
        <v>42837</v>
      </c>
      <c r="B1325" s="174" t="s">
        <v>12855</v>
      </c>
      <c r="C1325" s="175"/>
      <c r="D1325" s="176" t="s">
        <v>12855</v>
      </c>
      <c r="E1325" s="176">
        <v>107759</v>
      </c>
      <c r="F1325" s="177" t="s">
        <v>71</v>
      </c>
      <c r="G1325" s="178">
        <v>1738.5</v>
      </c>
      <c r="H1325" s="179">
        <v>42837</v>
      </c>
      <c r="I1325" s="178">
        <f t="shared" si="41"/>
        <v>1738.5</v>
      </c>
      <c r="J1325" s="178">
        <f t="shared" si="42"/>
        <v>0</v>
      </c>
      <c r="K1325" s="19"/>
    </row>
    <row r="1326" spans="1:11" x14ac:dyDescent="0.25">
      <c r="A1326" s="51">
        <v>42837</v>
      </c>
      <c r="B1326" s="174" t="s">
        <v>12856</v>
      </c>
      <c r="C1326" s="175"/>
      <c r="D1326" s="176" t="s">
        <v>12856</v>
      </c>
      <c r="E1326" s="176">
        <v>107760</v>
      </c>
      <c r="F1326" s="177" t="s">
        <v>21</v>
      </c>
      <c r="G1326" s="178">
        <v>40168</v>
      </c>
      <c r="H1326" s="186">
        <v>42851</v>
      </c>
      <c r="I1326" s="187">
        <f t="shared" si="41"/>
        <v>40168</v>
      </c>
      <c r="J1326" s="178">
        <f t="shared" si="42"/>
        <v>0</v>
      </c>
      <c r="K1326" s="19"/>
    </row>
    <row r="1327" spans="1:11" x14ac:dyDescent="0.25">
      <c r="A1327" s="51">
        <v>42837</v>
      </c>
      <c r="B1327" s="174" t="s">
        <v>12857</v>
      </c>
      <c r="C1327" s="175"/>
      <c r="D1327" s="176" t="s">
        <v>12857</v>
      </c>
      <c r="E1327" s="176">
        <v>107761</v>
      </c>
      <c r="F1327" s="177" t="s">
        <v>470</v>
      </c>
      <c r="G1327" s="178">
        <v>13508</v>
      </c>
      <c r="H1327" s="179">
        <v>42837</v>
      </c>
      <c r="I1327" s="178">
        <f t="shared" si="41"/>
        <v>13508</v>
      </c>
      <c r="J1327" s="178">
        <f t="shared" si="42"/>
        <v>0</v>
      </c>
      <c r="K1327" s="19"/>
    </row>
    <row r="1328" spans="1:11" x14ac:dyDescent="0.25">
      <c r="A1328" s="51">
        <v>42837</v>
      </c>
      <c r="B1328" s="174" t="s">
        <v>12858</v>
      </c>
      <c r="C1328" s="175"/>
      <c r="D1328" s="176" t="s">
        <v>12858</v>
      </c>
      <c r="E1328" s="176">
        <v>107762</v>
      </c>
      <c r="F1328" s="177" t="s">
        <v>28</v>
      </c>
      <c r="G1328" s="178">
        <v>11785.8</v>
      </c>
      <c r="H1328" s="179">
        <v>42837</v>
      </c>
      <c r="I1328" s="178">
        <f t="shared" si="41"/>
        <v>11785.8</v>
      </c>
      <c r="J1328" s="178">
        <f t="shared" si="42"/>
        <v>0</v>
      </c>
      <c r="K1328" s="19"/>
    </row>
    <row r="1329" spans="1:11" x14ac:dyDescent="0.25">
      <c r="A1329" s="51">
        <v>42837</v>
      </c>
      <c r="B1329" s="174" t="s">
        <v>12859</v>
      </c>
      <c r="C1329" s="175"/>
      <c r="D1329" s="176" t="s">
        <v>12859</v>
      </c>
      <c r="E1329" s="176">
        <v>107763</v>
      </c>
      <c r="F1329" s="177" t="s">
        <v>470</v>
      </c>
      <c r="G1329" s="178">
        <v>185</v>
      </c>
      <c r="H1329" s="179">
        <v>42837</v>
      </c>
      <c r="I1329" s="178">
        <f t="shared" si="41"/>
        <v>185</v>
      </c>
      <c r="J1329" s="178">
        <f t="shared" si="42"/>
        <v>0</v>
      </c>
      <c r="K1329" s="19"/>
    </row>
    <row r="1330" spans="1:11" x14ac:dyDescent="0.25">
      <c r="A1330" s="51">
        <v>42837</v>
      </c>
      <c r="B1330" s="174" t="s">
        <v>12860</v>
      </c>
      <c r="C1330" s="175"/>
      <c r="D1330" s="176" t="s">
        <v>12860</v>
      </c>
      <c r="E1330" s="176">
        <v>107764</v>
      </c>
      <c r="F1330" s="177" t="s">
        <v>430</v>
      </c>
      <c r="G1330" s="178">
        <v>1840</v>
      </c>
      <c r="H1330" s="179">
        <v>42837</v>
      </c>
      <c r="I1330" s="178">
        <f t="shared" si="41"/>
        <v>1840</v>
      </c>
      <c r="J1330" s="178">
        <f t="shared" si="42"/>
        <v>0</v>
      </c>
      <c r="K1330" s="19"/>
    </row>
    <row r="1331" spans="1:11" x14ac:dyDescent="0.25">
      <c r="A1331" s="51">
        <v>42837</v>
      </c>
      <c r="B1331" s="174" t="s">
        <v>12861</v>
      </c>
      <c r="C1331" s="175"/>
      <c r="D1331" s="176" t="s">
        <v>12861</v>
      </c>
      <c r="E1331" s="176">
        <v>107765</v>
      </c>
      <c r="F1331" s="177" t="s">
        <v>1062</v>
      </c>
      <c r="G1331" s="178">
        <v>5350.4</v>
      </c>
      <c r="H1331" s="179">
        <v>42837</v>
      </c>
      <c r="I1331" s="178">
        <f t="shared" si="41"/>
        <v>5350.4</v>
      </c>
      <c r="J1331" s="178">
        <f t="shared" si="42"/>
        <v>0</v>
      </c>
      <c r="K1331" s="19"/>
    </row>
    <row r="1332" spans="1:11" x14ac:dyDescent="0.25">
      <c r="A1332" s="51">
        <v>42837</v>
      </c>
      <c r="B1332" s="174" t="s">
        <v>12862</v>
      </c>
      <c r="C1332" s="175"/>
      <c r="D1332" s="176" t="s">
        <v>12862</v>
      </c>
      <c r="E1332" s="176">
        <v>107766</v>
      </c>
      <c r="F1332" s="177" t="s">
        <v>157</v>
      </c>
      <c r="G1332" s="178">
        <v>11116.3</v>
      </c>
      <c r="H1332" s="179">
        <v>42838</v>
      </c>
      <c r="I1332" s="178">
        <f t="shared" si="41"/>
        <v>11116.3</v>
      </c>
      <c r="J1332" s="178">
        <f t="shared" si="42"/>
        <v>0</v>
      </c>
      <c r="K1332" s="19"/>
    </row>
    <row r="1333" spans="1:11" x14ac:dyDescent="0.25">
      <c r="A1333" s="51">
        <v>42837</v>
      </c>
      <c r="B1333" s="174" t="s">
        <v>12863</v>
      </c>
      <c r="C1333" s="175"/>
      <c r="D1333" s="176" t="s">
        <v>12863</v>
      </c>
      <c r="E1333" s="176">
        <v>107767</v>
      </c>
      <c r="F1333" s="177" t="s">
        <v>125</v>
      </c>
      <c r="G1333" s="178">
        <v>4917</v>
      </c>
      <c r="H1333" s="179">
        <v>42837</v>
      </c>
      <c r="I1333" s="178">
        <f t="shared" si="41"/>
        <v>4917</v>
      </c>
      <c r="J1333" s="178">
        <f t="shared" si="42"/>
        <v>0</v>
      </c>
      <c r="K1333" s="19"/>
    </row>
    <row r="1334" spans="1:11" x14ac:dyDescent="0.25">
      <c r="A1334" s="51">
        <v>42837</v>
      </c>
      <c r="B1334" s="174" t="s">
        <v>12864</v>
      </c>
      <c r="C1334" s="175"/>
      <c r="D1334" s="176" t="s">
        <v>12864</v>
      </c>
      <c r="E1334" s="176">
        <v>107768</v>
      </c>
      <c r="F1334" s="177" t="s">
        <v>30</v>
      </c>
      <c r="G1334" s="178">
        <v>13192.4</v>
      </c>
      <c r="H1334" s="179">
        <v>42837</v>
      </c>
      <c r="I1334" s="178">
        <f t="shared" si="41"/>
        <v>13192.4</v>
      </c>
      <c r="J1334" s="178">
        <f t="shared" si="42"/>
        <v>0</v>
      </c>
      <c r="K1334" s="19"/>
    </row>
    <row r="1335" spans="1:11" x14ac:dyDescent="0.25">
      <c r="A1335" s="51">
        <v>42837</v>
      </c>
      <c r="B1335" s="174" t="s">
        <v>12865</v>
      </c>
      <c r="C1335" s="175"/>
      <c r="D1335" s="176" t="s">
        <v>12865</v>
      </c>
      <c r="E1335" s="176">
        <v>107769</v>
      </c>
      <c r="F1335" s="177" t="s">
        <v>3649</v>
      </c>
      <c r="G1335" s="178">
        <v>5193.8</v>
      </c>
      <c r="H1335" s="179">
        <v>42837</v>
      </c>
      <c r="I1335" s="178">
        <f t="shared" si="41"/>
        <v>5193.8</v>
      </c>
      <c r="J1335" s="178">
        <f t="shared" si="42"/>
        <v>0</v>
      </c>
      <c r="K1335" s="19"/>
    </row>
    <row r="1336" spans="1:11" x14ac:dyDescent="0.25">
      <c r="A1336" s="51">
        <v>42837</v>
      </c>
      <c r="B1336" s="174" t="s">
        <v>12866</v>
      </c>
      <c r="C1336" s="175"/>
      <c r="D1336" s="176" t="s">
        <v>12866</v>
      </c>
      <c r="E1336" s="176">
        <v>107770</v>
      </c>
      <c r="F1336" s="177" t="s">
        <v>120</v>
      </c>
      <c r="G1336" s="178">
        <v>1346</v>
      </c>
      <c r="H1336" s="179">
        <v>42837</v>
      </c>
      <c r="I1336" s="178">
        <f t="shared" si="41"/>
        <v>1346</v>
      </c>
      <c r="J1336" s="178">
        <f t="shared" si="42"/>
        <v>0</v>
      </c>
      <c r="K1336" s="19"/>
    </row>
    <row r="1337" spans="1:11" x14ac:dyDescent="0.25">
      <c r="A1337" s="51">
        <v>42837</v>
      </c>
      <c r="B1337" s="174" t="s">
        <v>12867</v>
      </c>
      <c r="C1337" s="175"/>
      <c r="D1337" s="176" t="s">
        <v>12867</v>
      </c>
      <c r="E1337" s="176">
        <v>107771</v>
      </c>
      <c r="F1337" s="177" t="s">
        <v>468</v>
      </c>
      <c r="G1337" s="178">
        <v>13214.4</v>
      </c>
      <c r="H1337" s="179">
        <v>42844</v>
      </c>
      <c r="I1337" s="178">
        <f t="shared" si="41"/>
        <v>13214.4</v>
      </c>
      <c r="J1337" s="178">
        <f t="shared" si="42"/>
        <v>0</v>
      </c>
      <c r="K1337" s="19"/>
    </row>
    <row r="1338" spans="1:11" x14ac:dyDescent="0.25">
      <c r="A1338" s="51">
        <v>42837</v>
      </c>
      <c r="B1338" s="174" t="s">
        <v>12868</v>
      </c>
      <c r="C1338" s="175"/>
      <c r="D1338" s="176" t="s">
        <v>12868</v>
      </c>
      <c r="E1338" s="176">
        <v>107772</v>
      </c>
      <c r="F1338" s="177" t="s">
        <v>67</v>
      </c>
      <c r="G1338" s="178">
        <v>3687.3</v>
      </c>
      <c r="H1338" s="179">
        <v>42842</v>
      </c>
      <c r="I1338" s="178">
        <f t="shared" si="41"/>
        <v>3687.3</v>
      </c>
      <c r="J1338" s="178">
        <f t="shared" si="42"/>
        <v>0</v>
      </c>
      <c r="K1338" s="19"/>
    </row>
    <row r="1339" spans="1:11" x14ac:dyDescent="0.25">
      <c r="A1339" s="51">
        <v>42837</v>
      </c>
      <c r="B1339" s="174" t="s">
        <v>12869</v>
      </c>
      <c r="C1339" s="175"/>
      <c r="D1339" s="176" t="s">
        <v>12869</v>
      </c>
      <c r="E1339" s="176">
        <v>107773</v>
      </c>
      <c r="F1339" s="177" t="s">
        <v>38</v>
      </c>
      <c r="G1339" s="178">
        <v>2793.9</v>
      </c>
      <c r="H1339" s="180" t="s">
        <v>12870</v>
      </c>
      <c r="I1339" s="181">
        <f>2000+793.9</f>
        <v>2793.9</v>
      </c>
      <c r="J1339" s="181">
        <f t="shared" si="42"/>
        <v>0</v>
      </c>
      <c r="K1339" s="19"/>
    </row>
    <row r="1340" spans="1:11" x14ac:dyDescent="0.25">
      <c r="A1340" s="51">
        <v>42837</v>
      </c>
      <c r="B1340" s="174" t="s">
        <v>12871</v>
      </c>
      <c r="C1340" s="175"/>
      <c r="D1340" s="176" t="s">
        <v>12871</v>
      </c>
      <c r="E1340" s="176">
        <v>107774</v>
      </c>
      <c r="F1340" s="177" t="s">
        <v>79</v>
      </c>
      <c r="G1340" s="178">
        <v>3203</v>
      </c>
      <c r="H1340" s="179">
        <v>42837</v>
      </c>
      <c r="I1340" s="178">
        <f t="shared" si="41"/>
        <v>3203</v>
      </c>
      <c r="J1340" s="178">
        <f t="shared" si="42"/>
        <v>0</v>
      </c>
      <c r="K1340" s="19"/>
    </row>
    <row r="1341" spans="1:11" x14ac:dyDescent="0.25">
      <c r="A1341" s="51">
        <v>42837</v>
      </c>
      <c r="B1341" s="174" t="s">
        <v>12872</v>
      </c>
      <c r="C1341" s="175"/>
      <c r="D1341" s="176" t="s">
        <v>12872</v>
      </c>
      <c r="E1341" s="176">
        <v>107775</v>
      </c>
      <c r="F1341" s="177" t="s">
        <v>49</v>
      </c>
      <c r="G1341" s="178">
        <v>11483.8</v>
      </c>
      <c r="H1341" s="179">
        <v>42842</v>
      </c>
      <c r="I1341" s="178">
        <f t="shared" si="41"/>
        <v>11483.8</v>
      </c>
      <c r="J1341" s="178">
        <f t="shared" si="42"/>
        <v>0</v>
      </c>
      <c r="K1341" s="19"/>
    </row>
    <row r="1342" spans="1:11" x14ac:dyDescent="0.25">
      <c r="A1342" s="51">
        <v>42837</v>
      </c>
      <c r="B1342" s="174" t="s">
        <v>12873</v>
      </c>
      <c r="C1342" s="175"/>
      <c r="D1342" s="176" t="s">
        <v>12873</v>
      </c>
      <c r="E1342" s="176">
        <v>107776</v>
      </c>
      <c r="F1342" s="177" t="s">
        <v>6055</v>
      </c>
      <c r="G1342" s="178">
        <v>11223.1</v>
      </c>
      <c r="H1342" s="179">
        <v>42837</v>
      </c>
      <c r="I1342" s="178">
        <f t="shared" si="41"/>
        <v>11223.1</v>
      </c>
      <c r="J1342" s="178">
        <f t="shared" si="42"/>
        <v>0</v>
      </c>
      <c r="K1342" s="19"/>
    </row>
    <row r="1343" spans="1:11" x14ac:dyDescent="0.25">
      <c r="A1343" s="51">
        <v>42837</v>
      </c>
      <c r="B1343" s="174" t="s">
        <v>12874</v>
      </c>
      <c r="C1343" s="175"/>
      <c r="D1343" s="176" t="s">
        <v>12874</v>
      </c>
      <c r="E1343" s="176">
        <v>107777</v>
      </c>
      <c r="F1343" s="177" t="s">
        <v>35</v>
      </c>
      <c r="G1343" s="178">
        <v>13110</v>
      </c>
      <c r="H1343" s="179">
        <v>42843</v>
      </c>
      <c r="I1343" s="178">
        <f t="shared" si="41"/>
        <v>13110</v>
      </c>
      <c r="J1343" s="178">
        <f t="shared" si="42"/>
        <v>0</v>
      </c>
      <c r="K1343" s="19"/>
    </row>
    <row r="1344" spans="1:11" x14ac:dyDescent="0.25">
      <c r="A1344" s="51">
        <v>42837</v>
      </c>
      <c r="B1344" s="174" t="s">
        <v>12875</v>
      </c>
      <c r="C1344" s="175"/>
      <c r="D1344" s="176" t="s">
        <v>12875</v>
      </c>
      <c r="E1344" s="176">
        <v>107778</v>
      </c>
      <c r="F1344" s="177" t="s">
        <v>51</v>
      </c>
      <c r="G1344" s="178">
        <v>5473.9</v>
      </c>
      <c r="H1344" s="179">
        <v>42842</v>
      </c>
      <c r="I1344" s="178">
        <f t="shared" si="41"/>
        <v>5473.9</v>
      </c>
      <c r="J1344" s="178">
        <f t="shared" si="42"/>
        <v>0</v>
      </c>
      <c r="K1344" s="19"/>
    </row>
    <row r="1345" spans="1:11" x14ac:dyDescent="0.25">
      <c r="A1345" s="51">
        <v>42837</v>
      </c>
      <c r="B1345" s="174" t="s">
        <v>12876</v>
      </c>
      <c r="C1345" s="175"/>
      <c r="D1345" s="176" t="s">
        <v>12876</v>
      </c>
      <c r="E1345" s="176">
        <v>107779</v>
      </c>
      <c r="F1345" s="177" t="s">
        <v>5352</v>
      </c>
      <c r="G1345" s="178">
        <v>24141.599999999999</v>
      </c>
      <c r="H1345" s="179">
        <v>42837</v>
      </c>
      <c r="I1345" s="178">
        <f t="shared" si="41"/>
        <v>24141.599999999999</v>
      </c>
      <c r="J1345" s="178">
        <f t="shared" si="42"/>
        <v>0</v>
      </c>
      <c r="K1345" s="19"/>
    </row>
    <row r="1346" spans="1:11" x14ac:dyDescent="0.25">
      <c r="A1346" s="51">
        <v>42837</v>
      </c>
      <c r="B1346" s="174" t="s">
        <v>12877</v>
      </c>
      <c r="C1346" s="175"/>
      <c r="D1346" s="176" t="s">
        <v>12877</v>
      </c>
      <c r="E1346" s="176">
        <v>107780</v>
      </c>
      <c r="F1346" s="177" t="s">
        <v>32</v>
      </c>
      <c r="G1346" s="178">
        <v>5002.5</v>
      </c>
      <c r="H1346" s="184">
        <v>42854</v>
      </c>
      <c r="I1346" s="183">
        <f t="shared" si="41"/>
        <v>5002.5</v>
      </c>
      <c r="J1346" s="178">
        <f t="shared" si="42"/>
        <v>0</v>
      </c>
      <c r="K1346" s="19"/>
    </row>
    <row r="1347" spans="1:11" x14ac:dyDescent="0.25">
      <c r="A1347" s="51">
        <v>42837</v>
      </c>
      <c r="B1347" s="174" t="s">
        <v>12878</v>
      </c>
      <c r="C1347" s="175"/>
      <c r="D1347" s="176" t="s">
        <v>12878</v>
      </c>
      <c r="E1347" s="176">
        <v>107781</v>
      </c>
      <c r="F1347" s="177" t="s">
        <v>12879</v>
      </c>
      <c r="G1347" s="178">
        <v>2466.6</v>
      </c>
      <c r="H1347" s="179">
        <v>42837</v>
      </c>
      <c r="I1347" s="178">
        <f t="shared" si="41"/>
        <v>2466.6</v>
      </c>
      <c r="J1347" s="178">
        <f t="shared" si="42"/>
        <v>0</v>
      </c>
      <c r="K1347" s="19"/>
    </row>
    <row r="1348" spans="1:11" x14ac:dyDescent="0.25">
      <c r="A1348" s="51">
        <v>42837</v>
      </c>
      <c r="B1348" s="174" t="s">
        <v>12880</v>
      </c>
      <c r="C1348" s="175"/>
      <c r="D1348" s="176" t="s">
        <v>12880</v>
      </c>
      <c r="E1348" s="176">
        <v>107782</v>
      </c>
      <c r="F1348" s="177" t="s">
        <v>12879</v>
      </c>
      <c r="G1348" s="178">
        <v>42</v>
      </c>
      <c r="H1348" s="179">
        <v>42837</v>
      </c>
      <c r="I1348" s="178">
        <f t="shared" ref="I1348:I1411" si="43">G1348</f>
        <v>42</v>
      </c>
      <c r="J1348" s="178">
        <f t="shared" ref="J1348:J1411" si="44">G1348-I1348</f>
        <v>0</v>
      </c>
      <c r="K1348" s="19"/>
    </row>
    <row r="1349" spans="1:11" x14ac:dyDescent="0.25">
      <c r="A1349" s="51">
        <v>42837</v>
      </c>
      <c r="B1349" s="174" t="s">
        <v>12881</v>
      </c>
      <c r="C1349" s="175"/>
      <c r="D1349" s="176" t="s">
        <v>12881</v>
      </c>
      <c r="E1349" s="176">
        <v>107783</v>
      </c>
      <c r="F1349" s="177" t="s">
        <v>253</v>
      </c>
      <c r="G1349" s="178">
        <v>3489.8</v>
      </c>
      <c r="H1349" s="179">
        <v>42840</v>
      </c>
      <c r="I1349" s="178">
        <f t="shared" si="43"/>
        <v>3489.8</v>
      </c>
      <c r="J1349" s="178">
        <f t="shared" si="44"/>
        <v>0</v>
      </c>
      <c r="K1349" s="19"/>
    </row>
    <row r="1350" spans="1:11" x14ac:dyDescent="0.25">
      <c r="A1350" s="51">
        <v>42837</v>
      </c>
      <c r="B1350" s="174" t="s">
        <v>12882</v>
      </c>
      <c r="C1350" s="175"/>
      <c r="D1350" s="176" t="s">
        <v>12882</v>
      </c>
      <c r="E1350" s="176">
        <v>107784</v>
      </c>
      <c r="F1350" s="177" t="s">
        <v>240</v>
      </c>
      <c r="G1350" s="178">
        <v>11513.9</v>
      </c>
      <c r="H1350" s="179">
        <v>42837</v>
      </c>
      <c r="I1350" s="178">
        <f t="shared" si="43"/>
        <v>11513.9</v>
      </c>
      <c r="J1350" s="178">
        <f t="shared" si="44"/>
        <v>0</v>
      </c>
      <c r="K1350" s="19"/>
    </row>
    <row r="1351" spans="1:11" x14ac:dyDescent="0.25">
      <c r="A1351" s="51">
        <v>42837</v>
      </c>
      <c r="B1351" s="174" t="s">
        <v>12883</v>
      </c>
      <c r="C1351" s="175"/>
      <c r="D1351" s="176" t="s">
        <v>12883</v>
      </c>
      <c r="E1351" s="176">
        <v>107785</v>
      </c>
      <c r="F1351" s="177" t="s">
        <v>312</v>
      </c>
      <c r="G1351" s="178">
        <v>16107</v>
      </c>
      <c r="H1351" s="179">
        <v>42837</v>
      </c>
      <c r="I1351" s="178">
        <f t="shared" si="43"/>
        <v>16107</v>
      </c>
      <c r="J1351" s="178">
        <f t="shared" si="44"/>
        <v>0</v>
      </c>
      <c r="K1351" s="19"/>
    </row>
    <row r="1352" spans="1:11" x14ac:dyDescent="0.25">
      <c r="A1352" s="51">
        <v>42837</v>
      </c>
      <c r="B1352" s="174" t="s">
        <v>12884</v>
      </c>
      <c r="C1352" s="175"/>
      <c r="D1352" s="176" t="s">
        <v>12884</v>
      </c>
      <c r="E1352" s="176">
        <v>107786</v>
      </c>
      <c r="F1352" s="182" t="s">
        <v>236</v>
      </c>
      <c r="G1352" s="183">
        <v>0</v>
      </c>
      <c r="H1352" s="184" t="s">
        <v>95</v>
      </c>
      <c r="I1352" s="183">
        <f t="shared" si="43"/>
        <v>0</v>
      </c>
      <c r="J1352" s="183">
        <f t="shared" si="44"/>
        <v>0</v>
      </c>
      <c r="K1352" s="19"/>
    </row>
    <row r="1353" spans="1:11" x14ac:dyDescent="0.25">
      <c r="A1353" s="51">
        <v>42837</v>
      </c>
      <c r="B1353" s="174" t="s">
        <v>12885</v>
      </c>
      <c r="C1353" s="175"/>
      <c r="D1353" s="176" t="s">
        <v>12885</v>
      </c>
      <c r="E1353" s="176">
        <v>107787</v>
      </c>
      <c r="F1353" s="177" t="s">
        <v>236</v>
      </c>
      <c r="G1353" s="178">
        <v>31544.43</v>
      </c>
      <c r="H1353" s="180" t="s">
        <v>12716</v>
      </c>
      <c r="I1353" s="181">
        <f>28829.74+2714.69</f>
        <v>31544.43</v>
      </c>
      <c r="J1353" s="181">
        <f t="shared" si="44"/>
        <v>0</v>
      </c>
      <c r="K1353" s="19"/>
    </row>
    <row r="1354" spans="1:11" x14ac:dyDescent="0.25">
      <c r="A1354" s="51">
        <v>42837</v>
      </c>
      <c r="B1354" s="174" t="s">
        <v>12886</v>
      </c>
      <c r="C1354" s="175"/>
      <c r="D1354" s="176" t="s">
        <v>12886</v>
      </c>
      <c r="E1354" s="176">
        <v>107788</v>
      </c>
      <c r="F1354" s="177" t="s">
        <v>43</v>
      </c>
      <c r="G1354" s="178">
        <v>5256.1</v>
      </c>
      <c r="H1354" s="179">
        <v>42842</v>
      </c>
      <c r="I1354" s="178">
        <f t="shared" si="43"/>
        <v>5256.1</v>
      </c>
      <c r="J1354" s="178">
        <f t="shared" si="44"/>
        <v>0</v>
      </c>
      <c r="K1354" s="19"/>
    </row>
    <row r="1355" spans="1:11" x14ac:dyDescent="0.25">
      <c r="A1355" s="51">
        <v>42837</v>
      </c>
      <c r="B1355" s="174" t="s">
        <v>12887</v>
      </c>
      <c r="C1355" s="175"/>
      <c r="D1355" s="176" t="s">
        <v>12887</v>
      </c>
      <c r="E1355" s="176">
        <v>107789</v>
      </c>
      <c r="F1355" s="177" t="s">
        <v>250</v>
      </c>
      <c r="G1355" s="178">
        <v>17189.2</v>
      </c>
      <c r="H1355" s="180" t="s">
        <v>12750</v>
      </c>
      <c r="I1355" s="181">
        <f>4400+12789.2</f>
        <v>17189.2</v>
      </c>
      <c r="J1355" s="181">
        <f t="shared" si="44"/>
        <v>0</v>
      </c>
      <c r="K1355" s="19"/>
    </row>
    <row r="1356" spans="1:11" x14ac:dyDescent="0.25">
      <c r="A1356" s="51">
        <v>42837</v>
      </c>
      <c r="B1356" s="174" t="s">
        <v>12888</v>
      </c>
      <c r="C1356" s="175"/>
      <c r="D1356" s="176" t="s">
        <v>12888</v>
      </c>
      <c r="E1356" s="176">
        <v>107790</v>
      </c>
      <c r="F1356" s="182" t="s">
        <v>428</v>
      </c>
      <c r="G1356" s="183">
        <v>0</v>
      </c>
      <c r="H1356" s="184" t="s">
        <v>95</v>
      </c>
      <c r="I1356" s="183">
        <f t="shared" si="43"/>
        <v>0</v>
      </c>
      <c r="J1356" s="183">
        <f t="shared" si="44"/>
        <v>0</v>
      </c>
      <c r="K1356" s="19"/>
    </row>
    <row r="1357" spans="1:11" x14ac:dyDescent="0.25">
      <c r="A1357" s="51">
        <v>42837</v>
      </c>
      <c r="B1357" s="174" t="s">
        <v>12889</v>
      </c>
      <c r="C1357" s="175"/>
      <c r="D1357" s="176" t="s">
        <v>12889</v>
      </c>
      <c r="E1357" s="176">
        <v>107791</v>
      </c>
      <c r="F1357" s="177" t="s">
        <v>1116</v>
      </c>
      <c r="G1357" s="178">
        <v>3426</v>
      </c>
      <c r="H1357" s="179">
        <v>42842</v>
      </c>
      <c r="I1357" s="178">
        <f t="shared" si="43"/>
        <v>3426</v>
      </c>
      <c r="J1357" s="178">
        <f t="shared" si="44"/>
        <v>0</v>
      </c>
      <c r="K1357" s="19"/>
    </row>
    <row r="1358" spans="1:11" x14ac:dyDescent="0.25">
      <c r="A1358" s="51">
        <v>42837</v>
      </c>
      <c r="B1358" s="174" t="s">
        <v>12890</v>
      </c>
      <c r="C1358" s="175"/>
      <c r="D1358" s="176" t="s">
        <v>12890</v>
      </c>
      <c r="E1358" s="176">
        <v>107792</v>
      </c>
      <c r="F1358" s="177" t="s">
        <v>367</v>
      </c>
      <c r="G1358" s="178">
        <v>1575</v>
      </c>
      <c r="H1358" s="179">
        <v>42837</v>
      </c>
      <c r="I1358" s="178">
        <f t="shared" si="43"/>
        <v>1575</v>
      </c>
      <c r="J1358" s="178">
        <f t="shared" si="44"/>
        <v>0</v>
      </c>
      <c r="K1358" s="19"/>
    </row>
    <row r="1359" spans="1:11" x14ac:dyDescent="0.25">
      <c r="A1359" s="51">
        <v>42837</v>
      </c>
      <c r="B1359" s="174" t="s">
        <v>12891</v>
      </c>
      <c r="C1359" s="175"/>
      <c r="D1359" s="176" t="s">
        <v>12891</v>
      </c>
      <c r="E1359" s="176">
        <v>107793</v>
      </c>
      <c r="F1359" s="177" t="s">
        <v>30</v>
      </c>
      <c r="G1359" s="178">
        <v>4323.5</v>
      </c>
      <c r="H1359" s="179">
        <v>42837</v>
      </c>
      <c r="I1359" s="178">
        <f t="shared" si="43"/>
        <v>4323.5</v>
      </c>
      <c r="J1359" s="178">
        <f t="shared" si="44"/>
        <v>0</v>
      </c>
      <c r="K1359" s="19"/>
    </row>
    <row r="1360" spans="1:11" x14ac:dyDescent="0.25">
      <c r="A1360" s="51">
        <v>42837</v>
      </c>
      <c r="B1360" s="174" t="s">
        <v>12892</v>
      </c>
      <c r="C1360" s="175"/>
      <c r="D1360" s="176" t="s">
        <v>12892</v>
      </c>
      <c r="E1360" s="176">
        <v>107794</v>
      </c>
      <c r="F1360" s="177" t="s">
        <v>270</v>
      </c>
      <c r="G1360" s="178">
        <v>32930.199999999997</v>
      </c>
      <c r="H1360" s="180">
        <v>42844</v>
      </c>
      <c r="I1360" s="181">
        <f>31961.95+968.25</f>
        <v>32930.199999999997</v>
      </c>
      <c r="J1360" s="181">
        <f t="shared" si="44"/>
        <v>0</v>
      </c>
      <c r="K1360" s="19"/>
    </row>
    <row r="1361" spans="1:11" x14ac:dyDescent="0.25">
      <c r="A1361" s="51">
        <v>42837</v>
      </c>
      <c r="B1361" s="174" t="s">
        <v>12893</v>
      </c>
      <c r="C1361" s="175"/>
      <c r="D1361" s="176" t="s">
        <v>12893</v>
      </c>
      <c r="E1361" s="176">
        <v>107795</v>
      </c>
      <c r="F1361" s="177" t="s">
        <v>289</v>
      </c>
      <c r="G1361" s="178">
        <v>13729</v>
      </c>
      <c r="H1361" s="184">
        <v>42854</v>
      </c>
      <c r="I1361" s="183">
        <f t="shared" si="43"/>
        <v>13729</v>
      </c>
      <c r="J1361" s="178">
        <f t="shared" si="44"/>
        <v>0</v>
      </c>
      <c r="K1361" s="19"/>
    </row>
    <row r="1362" spans="1:11" x14ac:dyDescent="0.25">
      <c r="A1362" s="51">
        <v>42837</v>
      </c>
      <c r="B1362" s="174" t="s">
        <v>12894</v>
      </c>
      <c r="C1362" s="175"/>
      <c r="D1362" s="176" t="s">
        <v>12894</v>
      </c>
      <c r="E1362" s="176">
        <v>107796</v>
      </c>
      <c r="F1362" s="177" t="s">
        <v>14</v>
      </c>
      <c r="G1362" s="178">
        <v>8496.6</v>
      </c>
      <c r="H1362" s="179">
        <v>42837</v>
      </c>
      <c r="I1362" s="178">
        <f t="shared" si="43"/>
        <v>8496.6</v>
      </c>
      <c r="J1362" s="178">
        <f t="shared" si="44"/>
        <v>0</v>
      </c>
      <c r="K1362" s="19"/>
    </row>
    <row r="1363" spans="1:11" x14ac:dyDescent="0.25">
      <c r="A1363" s="51">
        <v>42837</v>
      </c>
      <c r="B1363" s="174" t="s">
        <v>12895</v>
      </c>
      <c r="C1363" s="175"/>
      <c r="D1363" s="176" t="s">
        <v>12895</v>
      </c>
      <c r="E1363" s="176">
        <v>107797</v>
      </c>
      <c r="F1363" s="177" t="s">
        <v>613</v>
      </c>
      <c r="G1363" s="178">
        <v>6318.4</v>
      </c>
      <c r="H1363" s="179">
        <v>42838</v>
      </c>
      <c r="I1363" s="178">
        <f t="shared" si="43"/>
        <v>6318.4</v>
      </c>
      <c r="J1363" s="178">
        <f t="shared" si="44"/>
        <v>0</v>
      </c>
      <c r="K1363" s="19"/>
    </row>
    <row r="1364" spans="1:11" x14ac:dyDescent="0.25">
      <c r="A1364" s="51">
        <v>42837</v>
      </c>
      <c r="B1364" s="174" t="s">
        <v>12896</v>
      </c>
      <c r="C1364" s="175"/>
      <c r="D1364" s="176" t="s">
        <v>12896</v>
      </c>
      <c r="E1364" s="176">
        <v>107798</v>
      </c>
      <c r="F1364" s="177" t="s">
        <v>47</v>
      </c>
      <c r="G1364" s="178">
        <v>2523.3000000000002</v>
      </c>
      <c r="H1364" s="179">
        <v>42837</v>
      </c>
      <c r="I1364" s="178">
        <f t="shared" si="43"/>
        <v>2523.3000000000002</v>
      </c>
      <c r="J1364" s="178">
        <f t="shared" si="44"/>
        <v>0</v>
      </c>
      <c r="K1364" s="19"/>
    </row>
    <row r="1365" spans="1:11" x14ac:dyDescent="0.25">
      <c r="A1365" s="51">
        <v>42837</v>
      </c>
      <c r="B1365" s="174" t="s">
        <v>12897</v>
      </c>
      <c r="C1365" s="175"/>
      <c r="D1365" s="176" t="s">
        <v>12897</v>
      </c>
      <c r="E1365" s="176">
        <v>107799</v>
      </c>
      <c r="F1365" s="177" t="s">
        <v>291</v>
      </c>
      <c r="G1365" s="178">
        <v>2810.2</v>
      </c>
      <c r="H1365" s="179">
        <v>42838</v>
      </c>
      <c r="I1365" s="178">
        <f t="shared" si="43"/>
        <v>2810.2</v>
      </c>
      <c r="J1365" s="178">
        <f t="shared" si="44"/>
        <v>0</v>
      </c>
      <c r="K1365" s="19"/>
    </row>
    <row r="1366" spans="1:11" x14ac:dyDescent="0.25">
      <c r="A1366" s="51">
        <v>42837</v>
      </c>
      <c r="B1366" s="174" t="s">
        <v>12898</v>
      </c>
      <c r="C1366" s="175"/>
      <c r="D1366" s="176" t="s">
        <v>12898</v>
      </c>
      <c r="E1366" s="176">
        <v>107800</v>
      </c>
      <c r="F1366" s="177" t="s">
        <v>99</v>
      </c>
      <c r="G1366" s="178">
        <v>1935</v>
      </c>
      <c r="H1366" s="179">
        <v>42838</v>
      </c>
      <c r="I1366" s="178">
        <f t="shared" si="43"/>
        <v>1935</v>
      </c>
      <c r="J1366" s="178">
        <f t="shared" si="44"/>
        <v>0</v>
      </c>
      <c r="K1366" s="19"/>
    </row>
    <row r="1367" spans="1:11" x14ac:dyDescent="0.25">
      <c r="A1367" s="51">
        <v>42837</v>
      </c>
      <c r="B1367" s="174" t="s">
        <v>12899</v>
      </c>
      <c r="C1367" s="175"/>
      <c r="D1367" s="176" t="s">
        <v>12899</v>
      </c>
      <c r="E1367" s="176">
        <v>107801</v>
      </c>
      <c r="F1367" s="177" t="s">
        <v>281</v>
      </c>
      <c r="G1367" s="178">
        <v>3027.9</v>
      </c>
      <c r="H1367" s="179">
        <v>42838</v>
      </c>
      <c r="I1367" s="178">
        <f t="shared" si="43"/>
        <v>3027.9</v>
      </c>
      <c r="J1367" s="178">
        <f t="shared" si="44"/>
        <v>0</v>
      </c>
      <c r="K1367" s="19"/>
    </row>
    <row r="1368" spans="1:11" x14ac:dyDescent="0.25">
      <c r="A1368" s="51">
        <v>42837</v>
      </c>
      <c r="B1368" s="174" t="s">
        <v>12900</v>
      </c>
      <c r="C1368" s="175"/>
      <c r="D1368" s="176" t="s">
        <v>12900</v>
      </c>
      <c r="E1368" s="176">
        <v>107802</v>
      </c>
      <c r="F1368" s="177" t="s">
        <v>30</v>
      </c>
      <c r="G1368" s="178">
        <v>24921</v>
      </c>
      <c r="H1368" s="179">
        <v>42844</v>
      </c>
      <c r="I1368" s="178">
        <f t="shared" si="43"/>
        <v>24921</v>
      </c>
      <c r="J1368" s="178">
        <f t="shared" si="44"/>
        <v>0</v>
      </c>
      <c r="K1368" s="19"/>
    </row>
    <row r="1369" spans="1:11" x14ac:dyDescent="0.25">
      <c r="A1369" s="51">
        <v>42837</v>
      </c>
      <c r="B1369" s="174" t="s">
        <v>12901</v>
      </c>
      <c r="C1369" s="175"/>
      <c r="D1369" s="176" t="s">
        <v>12901</v>
      </c>
      <c r="E1369" s="176">
        <v>107803</v>
      </c>
      <c r="F1369" s="177" t="s">
        <v>1259</v>
      </c>
      <c r="G1369" s="178">
        <v>1717.8</v>
      </c>
      <c r="H1369" s="179">
        <v>42838</v>
      </c>
      <c r="I1369" s="178">
        <f t="shared" si="43"/>
        <v>1717.8</v>
      </c>
      <c r="J1369" s="178">
        <f t="shared" si="44"/>
        <v>0</v>
      </c>
      <c r="K1369" s="19"/>
    </row>
    <row r="1370" spans="1:11" x14ac:dyDescent="0.25">
      <c r="A1370" s="51">
        <v>42837</v>
      </c>
      <c r="B1370" s="174" t="s">
        <v>12902</v>
      </c>
      <c r="C1370" s="175"/>
      <c r="D1370" s="176" t="s">
        <v>12902</v>
      </c>
      <c r="E1370" s="176">
        <v>107804</v>
      </c>
      <c r="F1370" s="177" t="s">
        <v>432</v>
      </c>
      <c r="G1370" s="178">
        <v>14338</v>
      </c>
      <c r="H1370" s="179">
        <v>42838</v>
      </c>
      <c r="I1370" s="178">
        <f t="shared" si="43"/>
        <v>14338</v>
      </c>
      <c r="J1370" s="178">
        <f t="shared" si="44"/>
        <v>0</v>
      </c>
      <c r="K1370" s="19"/>
    </row>
    <row r="1371" spans="1:11" x14ac:dyDescent="0.25">
      <c r="A1371" s="51">
        <v>42837</v>
      </c>
      <c r="B1371" s="174" t="s">
        <v>12903</v>
      </c>
      <c r="C1371" s="175"/>
      <c r="D1371" s="176" t="s">
        <v>12903</v>
      </c>
      <c r="E1371" s="176">
        <v>107805</v>
      </c>
      <c r="F1371" s="177" t="s">
        <v>268</v>
      </c>
      <c r="G1371" s="178">
        <v>20301.8</v>
      </c>
      <c r="H1371" s="179">
        <v>42844</v>
      </c>
      <c r="I1371" s="178">
        <f t="shared" si="43"/>
        <v>20301.8</v>
      </c>
      <c r="J1371" s="178">
        <f t="shared" si="44"/>
        <v>0</v>
      </c>
      <c r="K1371" s="19"/>
    </row>
    <row r="1372" spans="1:11" x14ac:dyDescent="0.25">
      <c r="A1372" s="51">
        <v>42837</v>
      </c>
      <c r="B1372" s="174" t="s">
        <v>12904</v>
      </c>
      <c r="C1372" s="175"/>
      <c r="D1372" s="176" t="s">
        <v>12904</v>
      </c>
      <c r="E1372" s="176">
        <v>107806</v>
      </c>
      <c r="F1372" s="177" t="s">
        <v>1269</v>
      </c>
      <c r="G1372" s="178">
        <v>4335.8</v>
      </c>
      <c r="H1372" s="179">
        <v>42838</v>
      </c>
      <c r="I1372" s="178">
        <f t="shared" si="43"/>
        <v>4335.8</v>
      </c>
      <c r="J1372" s="178">
        <f t="shared" si="44"/>
        <v>0</v>
      </c>
      <c r="K1372" s="19"/>
    </row>
    <row r="1373" spans="1:11" x14ac:dyDescent="0.25">
      <c r="A1373" s="51">
        <v>42837</v>
      </c>
      <c r="B1373" s="174" t="s">
        <v>12905</v>
      </c>
      <c r="C1373" s="175"/>
      <c r="D1373" s="176" t="s">
        <v>12905</v>
      </c>
      <c r="E1373" s="176">
        <v>107807</v>
      </c>
      <c r="F1373" s="177" t="s">
        <v>476</v>
      </c>
      <c r="G1373" s="178">
        <v>2541</v>
      </c>
      <c r="H1373" s="179">
        <v>42840</v>
      </c>
      <c r="I1373" s="178">
        <f t="shared" si="43"/>
        <v>2541</v>
      </c>
      <c r="J1373" s="178">
        <f t="shared" si="44"/>
        <v>0</v>
      </c>
      <c r="K1373" s="19"/>
    </row>
    <row r="1374" spans="1:11" x14ac:dyDescent="0.25">
      <c r="A1374" s="51">
        <v>42837</v>
      </c>
      <c r="B1374" s="174" t="s">
        <v>12906</v>
      </c>
      <c r="C1374" s="175"/>
      <c r="D1374" s="176" t="s">
        <v>12906</v>
      </c>
      <c r="E1374" s="176">
        <v>107808</v>
      </c>
      <c r="F1374" s="177" t="s">
        <v>109</v>
      </c>
      <c r="G1374" s="178">
        <v>4296.6000000000004</v>
      </c>
      <c r="H1374" s="179">
        <v>42838</v>
      </c>
      <c r="I1374" s="178">
        <f t="shared" si="43"/>
        <v>4296.6000000000004</v>
      </c>
      <c r="J1374" s="178">
        <f t="shared" si="44"/>
        <v>0</v>
      </c>
      <c r="K1374" s="19"/>
    </row>
    <row r="1375" spans="1:11" x14ac:dyDescent="0.25">
      <c r="A1375" s="51">
        <v>42837</v>
      </c>
      <c r="B1375" s="174" t="s">
        <v>12907</v>
      </c>
      <c r="C1375" s="175"/>
      <c r="D1375" s="176" t="s">
        <v>12907</v>
      </c>
      <c r="E1375" s="176">
        <v>107809</v>
      </c>
      <c r="F1375" s="177" t="s">
        <v>159</v>
      </c>
      <c r="G1375" s="178">
        <v>795.2</v>
      </c>
      <c r="H1375" s="179">
        <v>42838</v>
      </c>
      <c r="I1375" s="178">
        <f t="shared" si="43"/>
        <v>795.2</v>
      </c>
      <c r="J1375" s="178">
        <f t="shared" si="44"/>
        <v>0</v>
      </c>
      <c r="K1375" s="19"/>
    </row>
    <row r="1376" spans="1:11" x14ac:dyDescent="0.25">
      <c r="A1376" s="51">
        <v>42837</v>
      </c>
      <c r="B1376" s="174" t="s">
        <v>12908</v>
      </c>
      <c r="C1376" s="175"/>
      <c r="D1376" s="176" t="s">
        <v>12908</v>
      </c>
      <c r="E1376" s="176">
        <v>107810</v>
      </c>
      <c r="F1376" s="177" t="s">
        <v>305</v>
      </c>
      <c r="G1376" s="178">
        <v>2664.9</v>
      </c>
      <c r="H1376" s="179">
        <v>42842</v>
      </c>
      <c r="I1376" s="178">
        <f t="shared" si="43"/>
        <v>2664.9</v>
      </c>
      <c r="J1376" s="178">
        <f t="shared" si="44"/>
        <v>0</v>
      </c>
      <c r="K1376" s="19"/>
    </row>
    <row r="1377" spans="1:11" x14ac:dyDescent="0.25">
      <c r="A1377" s="51">
        <v>42837</v>
      </c>
      <c r="B1377" s="174" t="s">
        <v>12909</v>
      </c>
      <c r="C1377" s="175"/>
      <c r="D1377" s="176" t="s">
        <v>12909</v>
      </c>
      <c r="E1377" s="176">
        <v>107811</v>
      </c>
      <c r="F1377" s="177" t="s">
        <v>83</v>
      </c>
      <c r="G1377" s="178">
        <v>3008.8</v>
      </c>
      <c r="H1377" s="179">
        <v>42838</v>
      </c>
      <c r="I1377" s="178">
        <f t="shared" si="43"/>
        <v>3008.8</v>
      </c>
      <c r="J1377" s="178">
        <f t="shared" si="44"/>
        <v>0</v>
      </c>
      <c r="K1377" s="19"/>
    </row>
    <row r="1378" spans="1:11" x14ac:dyDescent="0.25">
      <c r="A1378" s="51">
        <v>42837</v>
      </c>
      <c r="B1378" s="174" t="s">
        <v>12910</v>
      </c>
      <c r="C1378" s="175"/>
      <c r="D1378" s="176" t="s">
        <v>12910</v>
      </c>
      <c r="E1378" s="176">
        <v>107812</v>
      </c>
      <c r="F1378" s="177" t="s">
        <v>457</v>
      </c>
      <c r="G1378" s="178">
        <v>972.4</v>
      </c>
      <c r="H1378" s="179">
        <v>42837</v>
      </c>
      <c r="I1378" s="178">
        <f t="shared" si="43"/>
        <v>972.4</v>
      </c>
      <c r="J1378" s="178">
        <f t="shared" si="44"/>
        <v>0</v>
      </c>
      <c r="K1378" s="19"/>
    </row>
    <row r="1379" spans="1:11" x14ac:dyDescent="0.25">
      <c r="A1379" s="51">
        <v>42837</v>
      </c>
      <c r="B1379" s="174" t="s">
        <v>12911</v>
      </c>
      <c r="C1379" s="175"/>
      <c r="D1379" s="176" t="s">
        <v>12911</v>
      </c>
      <c r="E1379" s="176">
        <v>107813</v>
      </c>
      <c r="F1379" s="177" t="s">
        <v>476</v>
      </c>
      <c r="G1379" s="178">
        <v>577.5</v>
      </c>
      <c r="H1379" s="179">
        <v>42840</v>
      </c>
      <c r="I1379" s="178">
        <f t="shared" si="43"/>
        <v>577.5</v>
      </c>
      <c r="J1379" s="178">
        <f t="shared" si="44"/>
        <v>0</v>
      </c>
      <c r="K1379" s="19"/>
    </row>
    <row r="1380" spans="1:11" x14ac:dyDescent="0.25">
      <c r="A1380" s="51">
        <v>42837</v>
      </c>
      <c r="B1380" s="174" t="s">
        <v>12912</v>
      </c>
      <c r="C1380" s="175"/>
      <c r="D1380" s="176" t="s">
        <v>12912</v>
      </c>
      <c r="E1380" s="176">
        <v>107814</v>
      </c>
      <c r="F1380" s="182" t="s">
        <v>85</v>
      </c>
      <c r="G1380" s="183">
        <v>0</v>
      </c>
      <c r="H1380" s="184" t="s">
        <v>95</v>
      </c>
      <c r="I1380" s="183">
        <f t="shared" si="43"/>
        <v>0</v>
      </c>
      <c r="J1380" s="183">
        <f t="shared" si="44"/>
        <v>0</v>
      </c>
      <c r="K1380" s="19"/>
    </row>
    <row r="1381" spans="1:11" x14ac:dyDescent="0.25">
      <c r="A1381" s="51">
        <v>42837</v>
      </c>
      <c r="B1381" s="174" t="s">
        <v>12913</v>
      </c>
      <c r="C1381" s="175"/>
      <c r="D1381" s="176" t="s">
        <v>12913</v>
      </c>
      <c r="E1381" s="176">
        <v>107815</v>
      </c>
      <c r="F1381" s="177" t="s">
        <v>85</v>
      </c>
      <c r="G1381" s="178">
        <v>10753.95</v>
      </c>
      <c r="H1381" s="180" t="s">
        <v>12914</v>
      </c>
      <c r="I1381" s="181">
        <f>5000+5753.95</f>
        <v>10753.95</v>
      </c>
      <c r="J1381" s="181">
        <f t="shared" si="44"/>
        <v>0</v>
      </c>
      <c r="K1381" s="19"/>
    </row>
    <row r="1382" spans="1:11" x14ac:dyDescent="0.25">
      <c r="A1382" s="51">
        <v>42837</v>
      </c>
      <c r="B1382" s="174" t="s">
        <v>12915</v>
      </c>
      <c r="C1382" s="175"/>
      <c r="D1382" s="176" t="s">
        <v>12915</v>
      </c>
      <c r="E1382" s="176">
        <v>107816</v>
      </c>
      <c r="F1382" s="177" t="s">
        <v>442</v>
      </c>
      <c r="G1382" s="178">
        <v>35064.35</v>
      </c>
      <c r="H1382" s="179">
        <v>42846</v>
      </c>
      <c r="I1382" s="178">
        <f t="shared" si="43"/>
        <v>35064.35</v>
      </c>
      <c r="J1382" s="178">
        <f t="shared" si="44"/>
        <v>0</v>
      </c>
      <c r="K1382" s="19"/>
    </row>
    <row r="1383" spans="1:11" x14ac:dyDescent="0.25">
      <c r="A1383" s="51">
        <v>42837</v>
      </c>
      <c r="B1383" s="174" t="s">
        <v>12916</v>
      </c>
      <c r="C1383" s="175"/>
      <c r="D1383" s="176" t="s">
        <v>12916</v>
      </c>
      <c r="E1383" s="176">
        <v>107817</v>
      </c>
      <c r="F1383" s="177" t="s">
        <v>176</v>
      </c>
      <c r="G1383" s="178">
        <v>3867.6</v>
      </c>
      <c r="H1383" s="179">
        <v>42837</v>
      </c>
      <c r="I1383" s="178">
        <f t="shared" si="43"/>
        <v>3867.6</v>
      </c>
      <c r="J1383" s="178">
        <f t="shared" si="44"/>
        <v>0</v>
      </c>
      <c r="K1383" s="19"/>
    </row>
    <row r="1384" spans="1:11" x14ac:dyDescent="0.25">
      <c r="A1384" s="51">
        <v>42837</v>
      </c>
      <c r="B1384" s="174" t="s">
        <v>12917</v>
      </c>
      <c r="C1384" s="175"/>
      <c r="D1384" s="176" t="s">
        <v>12917</v>
      </c>
      <c r="E1384" s="176">
        <v>107818</v>
      </c>
      <c r="F1384" s="177" t="s">
        <v>435</v>
      </c>
      <c r="G1384" s="178">
        <v>2552.6999999999998</v>
      </c>
      <c r="H1384" s="179">
        <v>42838</v>
      </c>
      <c r="I1384" s="178">
        <f t="shared" si="43"/>
        <v>2552.6999999999998</v>
      </c>
      <c r="J1384" s="178">
        <f t="shared" si="44"/>
        <v>0</v>
      </c>
      <c r="K1384" s="19"/>
    </row>
    <row r="1385" spans="1:11" x14ac:dyDescent="0.25">
      <c r="A1385" s="51">
        <v>42837</v>
      </c>
      <c r="B1385" s="174" t="s">
        <v>12918</v>
      </c>
      <c r="C1385" s="175"/>
      <c r="D1385" s="176" t="s">
        <v>12918</v>
      </c>
      <c r="E1385" s="176">
        <v>107819</v>
      </c>
      <c r="F1385" s="177" t="s">
        <v>360</v>
      </c>
      <c r="G1385" s="178">
        <v>58746.559999999998</v>
      </c>
      <c r="H1385" s="186">
        <v>42851</v>
      </c>
      <c r="I1385" s="187">
        <f t="shared" si="43"/>
        <v>58746.559999999998</v>
      </c>
      <c r="J1385" s="178">
        <f t="shared" si="44"/>
        <v>0</v>
      </c>
      <c r="K1385" s="19"/>
    </row>
    <row r="1386" spans="1:11" x14ac:dyDescent="0.25">
      <c r="A1386" s="51">
        <v>42837</v>
      </c>
      <c r="B1386" s="174" t="s">
        <v>12919</v>
      </c>
      <c r="C1386" s="175"/>
      <c r="D1386" s="176" t="s">
        <v>12919</v>
      </c>
      <c r="E1386" s="176">
        <v>107820</v>
      </c>
      <c r="F1386" s="177" t="s">
        <v>917</v>
      </c>
      <c r="G1386" s="178">
        <v>2150</v>
      </c>
      <c r="H1386" s="179">
        <v>42838</v>
      </c>
      <c r="I1386" s="178">
        <f t="shared" si="43"/>
        <v>2150</v>
      </c>
      <c r="J1386" s="178">
        <f t="shared" si="44"/>
        <v>0</v>
      </c>
      <c r="K1386" s="19"/>
    </row>
    <row r="1387" spans="1:11" x14ac:dyDescent="0.25">
      <c r="A1387" s="51">
        <v>42837</v>
      </c>
      <c r="B1387" s="174" t="s">
        <v>12920</v>
      </c>
      <c r="C1387" s="175"/>
      <c r="D1387" s="176" t="s">
        <v>12920</v>
      </c>
      <c r="E1387" s="176">
        <v>107821</v>
      </c>
      <c r="F1387" s="177" t="s">
        <v>45</v>
      </c>
      <c r="G1387" s="178">
        <v>3905.4</v>
      </c>
      <c r="H1387" s="179">
        <v>42840</v>
      </c>
      <c r="I1387" s="178">
        <f t="shared" si="43"/>
        <v>3905.4</v>
      </c>
      <c r="J1387" s="178">
        <f t="shared" si="44"/>
        <v>0</v>
      </c>
      <c r="K1387" s="19"/>
    </row>
    <row r="1388" spans="1:11" x14ac:dyDescent="0.25">
      <c r="A1388" s="51">
        <v>42837</v>
      </c>
      <c r="B1388" s="174" t="s">
        <v>12921</v>
      </c>
      <c r="C1388" s="175"/>
      <c r="D1388" s="176" t="s">
        <v>12921</v>
      </c>
      <c r="E1388" s="176">
        <v>107822</v>
      </c>
      <c r="F1388" s="177" t="s">
        <v>182</v>
      </c>
      <c r="G1388" s="178">
        <v>2150</v>
      </c>
      <c r="H1388" s="179">
        <v>42838</v>
      </c>
      <c r="I1388" s="178">
        <f t="shared" si="43"/>
        <v>2150</v>
      </c>
      <c r="J1388" s="178">
        <f t="shared" si="44"/>
        <v>0</v>
      </c>
      <c r="K1388" s="19"/>
    </row>
    <row r="1389" spans="1:11" x14ac:dyDescent="0.25">
      <c r="A1389" s="51">
        <v>42837</v>
      </c>
      <c r="B1389" s="174" t="s">
        <v>12922</v>
      </c>
      <c r="C1389" s="175"/>
      <c r="D1389" s="176" t="s">
        <v>12922</v>
      </c>
      <c r="E1389" s="176">
        <v>107823</v>
      </c>
      <c r="F1389" s="177" t="s">
        <v>53</v>
      </c>
      <c r="G1389" s="178">
        <v>2513.3000000000002</v>
      </c>
      <c r="H1389" s="179">
        <v>42838</v>
      </c>
      <c r="I1389" s="178">
        <f t="shared" si="43"/>
        <v>2513.3000000000002</v>
      </c>
      <c r="J1389" s="178">
        <f t="shared" si="44"/>
        <v>0</v>
      </c>
      <c r="K1389" s="19"/>
    </row>
    <row r="1390" spans="1:11" x14ac:dyDescent="0.25">
      <c r="A1390" s="51">
        <v>42837</v>
      </c>
      <c r="B1390" s="174" t="s">
        <v>12923</v>
      </c>
      <c r="C1390" s="175"/>
      <c r="D1390" s="176" t="s">
        <v>12923</v>
      </c>
      <c r="E1390" s="176">
        <v>107824</v>
      </c>
      <c r="F1390" s="177" t="s">
        <v>285</v>
      </c>
      <c r="G1390" s="178">
        <v>4224.72</v>
      </c>
      <c r="H1390" s="179">
        <v>42844</v>
      </c>
      <c r="I1390" s="178">
        <f t="shared" si="43"/>
        <v>4224.72</v>
      </c>
      <c r="J1390" s="178">
        <f t="shared" si="44"/>
        <v>0</v>
      </c>
      <c r="K1390" s="19"/>
    </row>
    <row r="1391" spans="1:11" x14ac:dyDescent="0.25">
      <c r="A1391" s="51">
        <v>42837</v>
      </c>
      <c r="B1391" s="174" t="s">
        <v>12924</v>
      </c>
      <c r="C1391" s="175"/>
      <c r="D1391" s="176" t="s">
        <v>12924</v>
      </c>
      <c r="E1391" s="176">
        <v>107825</v>
      </c>
      <c r="F1391" s="177" t="s">
        <v>480</v>
      </c>
      <c r="G1391" s="178">
        <v>1869</v>
      </c>
      <c r="H1391" s="179">
        <v>42838</v>
      </c>
      <c r="I1391" s="178">
        <f t="shared" si="43"/>
        <v>1869</v>
      </c>
      <c r="J1391" s="178">
        <f t="shared" si="44"/>
        <v>0</v>
      </c>
      <c r="K1391" s="19"/>
    </row>
    <row r="1392" spans="1:11" x14ac:dyDescent="0.25">
      <c r="A1392" s="51">
        <v>42837</v>
      </c>
      <c r="B1392" s="174" t="s">
        <v>12925</v>
      </c>
      <c r="C1392" s="175"/>
      <c r="D1392" s="176" t="s">
        <v>12925</v>
      </c>
      <c r="E1392" s="176">
        <v>107826</v>
      </c>
      <c r="F1392" s="177" t="s">
        <v>57</v>
      </c>
      <c r="G1392" s="178">
        <v>580.5</v>
      </c>
      <c r="H1392" s="179">
        <v>42838</v>
      </c>
      <c r="I1392" s="178">
        <f t="shared" si="43"/>
        <v>580.5</v>
      </c>
      <c r="J1392" s="178">
        <f t="shared" si="44"/>
        <v>0</v>
      </c>
      <c r="K1392" s="19"/>
    </row>
    <row r="1393" spans="1:11" x14ac:dyDescent="0.25">
      <c r="A1393" s="51">
        <v>42837</v>
      </c>
      <c r="B1393" s="174" t="s">
        <v>12926</v>
      </c>
      <c r="C1393" s="175"/>
      <c r="D1393" s="176" t="s">
        <v>12926</v>
      </c>
      <c r="E1393" s="176">
        <v>107827</v>
      </c>
      <c r="F1393" s="177" t="s">
        <v>61</v>
      </c>
      <c r="G1393" s="178">
        <v>11762.2</v>
      </c>
      <c r="H1393" s="179">
        <v>42840</v>
      </c>
      <c r="I1393" s="178">
        <f t="shared" si="43"/>
        <v>11762.2</v>
      </c>
      <c r="J1393" s="178">
        <f t="shared" si="44"/>
        <v>0</v>
      </c>
      <c r="K1393" s="19"/>
    </row>
    <row r="1394" spans="1:11" x14ac:dyDescent="0.25">
      <c r="A1394" s="51">
        <v>42837</v>
      </c>
      <c r="B1394" s="174" t="s">
        <v>12927</v>
      </c>
      <c r="C1394" s="175"/>
      <c r="D1394" s="176" t="s">
        <v>12927</v>
      </c>
      <c r="E1394" s="176">
        <v>107828</v>
      </c>
      <c r="F1394" s="182" t="s">
        <v>1293</v>
      </c>
      <c r="G1394" s="183">
        <v>0</v>
      </c>
      <c r="H1394" s="184" t="s">
        <v>95</v>
      </c>
      <c r="I1394" s="183">
        <f t="shared" si="43"/>
        <v>0</v>
      </c>
      <c r="J1394" s="183">
        <f t="shared" si="44"/>
        <v>0</v>
      </c>
      <c r="K1394" s="19"/>
    </row>
    <row r="1395" spans="1:11" x14ac:dyDescent="0.25">
      <c r="A1395" s="51">
        <v>42837</v>
      </c>
      <c r="B1395" s="174" t="s">
        <v>12928</v>
      </c>
      <c r="C1395" s="175"/>
      <c r="D1395" s="176" t="s">
        <v>12928</v>
      </c>
      <c r="E1395" s="176">
        <v>107829</v>
      </c>
      <c r="F1395" s="177" t="s">
        <v>630</v>
      </c>
      <c r="G1395" s="178">
        <v>4103.2</v>
      </c>
      <c r="H1395" s="179">
        <v>42838</v>
      </c>
      <c r="I1395" s="178">
        <f t="shared" si="43"/>
        <v>4103.2</v>
      </c>
      <c r="J1395" s="178">
        <f t="shared" si="44"/>
        <v>0</v>
      </c>
      <c r="K1395" s="19"/>
    </row>
    <row r="1396" spans="1:11" x14ac:dyDescent="0.25">
      <c r="A1396" s="51">
        <v>42837</v>
      </c>
      <c r="B1396" s="174" t="s">
        <v>12929</v>
      </c>
      <c r="C1396" s="175"/>
      <c r="D1396" s="176" t="s">
        <v>12929</v>
      </c>
      <c r="E1396" s="176">
        <v>107830</v>
      </c>
      <c r="F1396" s="177" t="s">
        <v>4930</v>
      </c>
      <c r="G1396" s="178">
        <v>3932.9</v>
      </c>
      <c r="H1396" s="179">
        <v>42838</v>
      </c>
      <c r="I1396" s="178">
        <f t="shared" si="43"/>
        <v>3932.9</v>
      </c>
      <c r="J1396" s="178">
        <f t="shared" si="44"/>
        <v>0</v>
      </c>
      <c r="K1396" s="19"/>
    </row>
    <row r="1397" spans="1:11" x14ac:dyDescent="0.25">
      <c r="A1397" s="51">
        <v>42837</v>
      </c>
      <c r="B1397" s="174" t="s">
        <v>12930</v>
      </c>
      <c r="C1397" s="175"/>
      <c r="D1397" s="176" t="s">
        <v>12930</v>
      </c>
      <c r="E1397" s="176">
        <v>107831</v>
      </c>
      <c r="F1397" s="177" t="s">
        <v>633</v>
      </c>
      <c r="G1397" s="178">
        <v>960</v>
      </c>
      <c r="H1397" s="179">
        <v>42838</v>
      </c>
      <c r="I1397" s="178">
        <f t="shared" si="43"/>
        <v>960</v>
      </c>
      <c r="J1397" s="178">
        <f t="shared" si="44"/>
        <v>0</v>
      </c>
      <c r="K1397" s="19"/>
    </row>
    <row r="1398" spans="1:11" x14ac:dyDescent="0.25">
      <c r="A1398" s="51">
        <v>42837</v>
      </c>
      <c r="B1398" s="174" t="s">
        <v>12931</v>
      </c>
      <c r="C1398" s="175"/>
      <c r="D1398" s="176" t="s">
        <v>12931</v>
      </c>
      <c r="E1398" s="176">
        <v>107832</v>
      </c>
      <c r="F1398" s="182" t="s">
        <v>1166</v>
      </c>
      <c r="G1398" s="183">
        <v>0</v>
      </c>
      <c r="H1398" s="184" t="s">
        <v>95</v>
      </c>
      <c r="I1398" s="183">
        <f t="shared" si="43"/>
        <v>0</v>
      </c>
      <c r="J1398" s="183">
        <f t="shared" si="44"/>
        <v>0</v>
      </c>
      <c r="K1398" s="19"/>
    </row>
    <row r="1399" spans="1:11" x14ac:dyDescent="0.25">
      <c r="A1399" s="51">
        <v>42837</v>
      </c>
      <c r="B1399" s="174" t="s">
        <v>12932</v>
      </c>
      <c r="C1399" s="175"/>
      <c r="D1399" s="176" t="s">
        <v>12932</v>
      </c>
      <c r="E1399" s="176">
        <v>107833</v>
      </c>
      <c r="F1399" s="177" t="s">
        <v>2986</v>
      </c>
      <c r="G1399" s="178">
        <v>3926.3</v>
      </c>
      <c r="H1399" s="179">
        <v>42838</v>
      </c>
      <c r="I1399" s="178">
        <f t="shared" si="43"/>
        <v>3926.3</v>
      </c>
      <c r="J1399" s="178">
        <f t="shared" si="44"/>
        <v>0</v>
      </c>
      <c r="K1399" s="19"/>
    </row>
    <row r="1400" spans="1:11" x14ac:dyDescent="0.25">
      <c r="A1400" s="51">
        <v>42837</v>
      </c>
      <c r="B1400" s="174" t="s">
        <v>12933</v>
      </c>
      <c r="C1400" s="175"/>
      <c r="D1400" s="176" t="s">
        <v>12933</v>
      </c>
      <c r="E1400" s="176">
        <v>107834</v>
      </c>
      <c r="F1400" s="177" t="s">
        <v>693</v>
      </c>
      <c r="G1400" s="178">
        <v>1540</v>
      </c>
      <c r="H1400" s="179">
        <v>42838</v>
      </c>
      <c r="I1400" s="178">
        <f t="shared" si="43"/>
        <v>1540</v>
      </c>
      <c r="J1400" s="178">
        <f t="shared" si="44"/>
        <v>0</v>
      </c>
      <c r="K1400" s="19"/>
    </row>
    <row r="1401" spans="1:11" x14ac:dyDescent="0.25">
      <c r="A1401" s="51">
        <v>42837</v>
      </c>
      <c r="B1401" s="174" t="s">
        <v>12934</v>
      </c>
      <c r="C1401" s="175"/>
      <c r="D1401" s="176" t="s">
        <v>12934</v>
      </c>
      <c r="E1401" s="176">
        <v>107835</v>
      </c>
      <c r="F1401" s="177" t="s">
        <v>193</v>
      </c>
      <c r="G1401" s="178">
        <v>1646.4</v>
      </c>
      <c r="H1401" s="179">
        <v>42838</v>
      </c>
      <c r="I1401" s="178">
        <f t="shared" si="43"/>
        <v>1646.4</v>
      </c>
      <c r="J1401" s="178">
        <f t="shared" si="44"/>
        <v>0</v>
      </c>
      <c r="K1401" s="19"/>
    </row>
    <row r="1402" spans="1:11" x14ac:dyDescent="0.25">
      <c r="A1402" s="51">
        <v>42837</v>
      </c>
      <c r="B1402" s="174" t="s">
        <v>12935</v>
      </c>
      <c r="C1402" s="175"/>
      <c r="D1402" s="176" t="s">
        <v>12935</v>
      </c>
      <c r="E1402" s="176">
        <v>107836</v>
      </c>
      <c r="F1402" s="177" t="s">
        <v>10</v>
      </c>
      <c r="G1402" s="178">
        <v>286800.32</v>
      </c>
      <c r="H1402" s="179">
        <v>42840</v>
      </c>
      <c r="I1402" s="178">
        <f t="shared" si="43"/>
        <v>286800.32</v>
      </c>
      <c r="J1402" s="178">
        <f t="shared" si="44"/>
        <v>0</v>
      </c>
      <c r="K1402" s="19"/>
    </row>
    <row r="1403" spans="1:11" x14ac:dyDescent="0.25">
      <c r="A1403" s="51">
        <v>42837</v>
      </c>
      <c r="B1403" s="174" t="s">
        <v>12936</v>
      </c>
      <c r="C1403" s="175"/>
      <c r="D1403" s="176" t="s">
        <v>12936</v>
      </c>
      <c r="E1403" s="176">
        <v>107837</v>
      </c>
      <c r="F1403" s="177" t="s">
        <v>85</v>
      </c>
      <c r="G1403" s="178">
        <v>6244</v>
      </c>
      <c r="H1403" s="179">
        <v>42838</v>
      </c>
      <c r="I1403" s="178">
        <f t="shared" si="43"/>
        <v>6244</v>
      </c>
      <c r="J1403" s="178">
        <f t="shared" si="44"/>
        <v>0</v>
      </c>
      <c r="K1403" s="19"/>
    </row>
    <row r="1404" spans="1:11" x14ac:dyDescent="0.25">
      <c r="A1404" s="51">
        <v>42837</v>
      </c>
      <c r="B1404" s="174" t="s">
        <v>12937</v>
      </c>
      <c r="C1404" s="175"/>
      <c r="D1404" s="176" t="s">
        <v>12937</v>
      </c>
      <c r="E1404" s="176">
        <v>107838</v>
      </c>
      <c r="F1404" s="177" t="s">
        <v>435</v>
      </c>
      <c r="G1404" s="178">
        <v>5608.4</v>
      </c>
      <c r="H1404" s="179">
        <v>42837</v>
      </c>
      <c r="I1404" s="178">
        <f t="shared" si="43"/>
        <v>5608.4</v>
      </c>
      <c r="J1404" s="178">
        <f t="shared" si="44"/>
        <v>0</v>
      </c>
      <c r="K1404" s="19"/>
    </row>
    <row r="1405" spans="1:11" x14ac:dyDescent="0.25">
      <c r="A1405" s="51">
        <v>42837</v>
      </c>
      <c r="B1405" s="174" t="s">
        <v>12938</v>
      </c>
      <c r="C1405" s="175"/>
      <c r="D1405" s="176" t="s">
        <v>12938</v>
      </c>
      <c r="E1405" s="176">
        <v>107839</v>
      </c>
      <c r="F1405" s="177" t="s">
        <v>329</v>
      </c>
      <c r="G1405" s="178">
        <v>512.6</v>
      </c>
      <c r="H1405" s="179">
        <v>42837</v>
      </c>
      <c r="I1405" s="178">
        <f t="shared" si="43"/>
        <v>512.6</v>
      </c>
      <c r="J1405" s="178">
        <f t="shared" si="44"/>
        <v>0</v>
      </c>
      <c r="K1405" s="19"/>
    </row>
    <row r="1406" spans="1:11" x14ac:dyDescent="0.25">
      <c r="A1406" s="51">
        <v>42837</v>
      </c>
      <c r="B1406" s="174" t="s">
        <v>12939</v>
      </c>
      <c r="C1406" s="175"/>
      <c r="D1406" s="176" t="s">
        <v>12939</v>
      </c>
      <c r="E1406" s="176">
        <v>107840</v>
      </c>
      <c r="F1406" s="177" t="s">
        <v>111</v>
      </c>
      <c r="G1406" s="178">
        <v>3672</v>
      </c>
      <c r="H1406" s="179">
        <v>42837</v>
      </c>
      <c r="I1406" s="178">
        <f t="shared" si="43"/>
        <v>3672</v>
      </c>
      <c r="J1406" s="178">
        <f t="shared" si="44"/>
        <v>0</v>
      </c>
      <c r="K1406" s="19"/>
    </row>
    <row r="1407" spans="1:11" x14ac:dyDescent="0.25">
      <c r="A1407" s="51">
        <v>42837</v>
      </c>
      <c r="B1407" s="174" t="s">
        <v>12940</v>
      </c>
      <c r="C1407" s="175"/>
      <c r="D1407" s="176" t="s">
        <v>12940</v>
      </c>
      <c r="E1407" s="176">
        <v>107841</v>
      </c>
      <c r="F1407" s="177" t="s">
        <v>1166</v>
      </c>
      <c r="G1407" s="178">
        <v>957</v>
      </c>
      <c r="H1407" s="179">
        <v>42838</v>
      </c>
      <c r="I1407" s="178">
        <f t="shared" si="43"/>
        <v>957</v>
      </c>
      <c r="J1407" s="178">
        <f t="shared" si="44"/>
        <v>0</v>
      </c>
      <c r="K1407" s="19"/>
    </row>
    <row r="1408" spans="1:11" x14ac:dyDescent="0.25">
      <c r="A1408" s="51">
        <v>42837</v>
      </c>
      <c r="B1408" s="174" t="s">
        <v>12941</v>
      </c>
      <c r="C1408" s="175"/>
      <c r="D1408" s="176" t="s">
        <v>12941</v>
      </c>
      <c r="E1408" s="176">
        <v>107842</v>
      </c>
      <c r="F1408" s="177" t="s">
        <v>531</v>
      </c>
      <c r="G1408" s="178">
        <v>29271.68</v>
      </c>
      <c r="H1408" s="179">
        <v>42838</v>
      </c>
      <c r="I1408" s="178">
        <f t="shared" si="43"/>
        <v>29271.68</v>
      </c>
      <c r="J1408" s="178">
        <f t="shared" si="44"/>
        <v>0</v>
      </c>
      <c r="K1408" s="19"/>
    </row>
    <row r="1409" spans="1:11" x14ac:dyDescent="0.25">
      <c r="A1409" s="51">
        <v>42837</v>
      </c>
      <c r="B1409" s="174" t="s">
        <v>12942</v>
      </c>
      <c r="C1409" s="175"/>
      <c r="D1409" s="176" t="s">
        <v>12942</v>
      </c>
      <c r="E1409" s="176">
        <v>107843</v>
      </c>
      <c r="F1409" s="177" t="s">
        <v>930</v>
      </c>
      <c r="G1409" s="178">
        <v>24660.55</v>
      </c>
      <c r="H1409" s="179"/>
      <c r="I1409" s="178">
        <f t="shared" si="43"/>
        <v>24660.55</v>
      </c>
      <c r="J1409" s="178">
        <f t="shared" si="44"/>
        <v>0</v>
      </c>
      <c r="K1409" s="19"/>
    </row>
    <row r="1410" spans="1:11" x14ac:dyDescent="0.25">
      <c r="A1410" s="51">
        <v>42837</v>
      </c>
      <c r="B1410" s="174" t="s">
        <v>12943</v>
      </c>
      <c r="C1410" s="175"/>
      <c r="D1410" s="176" t="s">
        <v>12943</v>
      </c>
      <c r="E1410" s="176">
        <v>107844</v>
      </c>
      <c r="F1410" s="177" t="s">
        <v>10</v>
      </c>
      <c r="G1410" s="178">
        <v>43240.55</v>
      </c>
      <c r="H1410" s="179">
        <v>42840</v>
      </c>
      <c r="I1410" s="178">
        <f t="shared" si="43"/>
        <v>43240.55</v>
      </c>
      <c r="J1410" s="178">
        <f t="shared" si="44"/>
        <v>0</v>
      </c>
      <c r="K1410" s="19"/>
    </row>
    <row r="1411" spans="1:11" x14ac:dyDescent="0.25">
      <c r="A1411" s="51">
        <v>42837</v>
      </c>
      <c r="B1411" s="174" t="s">
        <v>12944</v>
      </c>
      <c r="C1411" s="175"/>
      <c r="D1411" s="176" t="s">
        <v>12944</v>
      </c>
      <c r="E1411" s="176">
        <v>107845</v>
      </c>
      <c r="F1411" s="177" t="s">
        <v>30</v>
      </c>
      <c r="G1411" s="178">
        <v>1023.4</v>
      </c>
      <c r="H1411" s="179">
        <v>42837</v>
      </c>
      <c r="I1411" s="178">
        <f t="shared" si="43"/>
        <v>1023.4</v>
      </c>
      <c r="J1411" s="178">
        <f t="shared" si="44"/>
        <v>0</v>
      </c>
      <c r="K1411" s="19"/>
    </row>
    <row r="1412" spans="1:11" x14ac:dyDescent="0.25">
      <c r="A1412" s="51">
        <v>42837</v>
      </c>
      <c r="B1412" s="174" t="s">
        <v>12945</v>
      </c>
      <c r="C1412" s="175"/>
      <c r="D1412" s="176" t="s">
        <v>12945</v>
      </c>
      <c r="E1412" s="176">
        <v>107846</v>
      </c>
      <c r="F1412" s="177" t="s">
        <v>9754</v>
      </c>
      <c r="G1412" s="178">
        <v>11776</v>
      </c>
      <c r="H1412" s="179">
        <v>42842</v>
      </c>
      <c r="I1412" s="178">
        <f t="shared" ref="I1412:I1475" si="45">G1412</f>
        <v>11776</v>
      </c>
      <c r="J1412" s="178">
        <f t="shared" ref="J1412:J1475" si="46">G1412-I1412</f>
        <v>0</v>
      </c>
      <c r="K1412" s="19"/>
    </row>
    <row r="1413" spans="1:11" x14ac:dyDescent="0.25">
      <c r="A1413" s="51">
        <v>42837</v>
      </c>
      <c r="B1413" s="174" t="s">
        <v>12946</v>
      </c>
      <c r="C1413" s="175"/>
      <c r="D1413" s="176" t="s">
        <v>12946</v>
      </c>
      <c r="E1413" s="176">
        <v>107847</v>
      </c>
      <c r="F1413" s="177" t="s">
        <v>302</v>
      </c>
      <c r="G1413" s="178">
        <v>9490.2000000000007</v>
      </c>
      <c r="H1413" s="179">
        <v>42840</v>
      </c>
      <c r="I1413" s="178">
        <f t="shared" si="45"/>
        <v>9490.2000000000007</v>
      </c>
      <c r="J1413" s="178">
        <f t="shared" si="46"/>
        <v>0</v>
      </c>
      <c r="K1413" s="19"/>
    </row>
    <row r="1414" spans="1:11" x14ac:dyDescent="0.25">
      <c r="A1414" s="51">
        <v>42837</v>
      </c>
      <c r="B1414" s="174" t="s">
        <v>12947</v>
      </c>
      <c r="C1414" s="175"/>
      <c r="D1414" s="176" t="s">
        <v>12947</v>
      </c>
      <c r="E1414" s="176">
        <v>107848</v>
      </c>
      <c r="F1414" s="177" t="s">
        <v>155</v>
      </c>
      <c r="G1414" s="178">
        <v>22220.400000000001</v>
      </c>
      <c r="H1414" s="180" t="s">
        <v>12716</v>
      </c>
      <c r="I1414" s="181">
        <f>3220.4+19000</f>
        <v>22220.400000000001</v>
      </c>
      <c r="J1414" s="181">
        <f t="shared" si="46"/>
        <v>0</v>
      </c>
      <c r="K1414" s="19"/>
    </row>
    <row r="1415" spans="1:11" x14ac:dyDescent="0.25">
      <c r="A1415" s="51">
        <v>42837</v>
      </c>
      <c r="B1415" s="174" t="s">
        <v>12948</v>
      </c>
      <c r="C1415" s="175"/>
      <c r="D1415" s="176" t="s">
        <v>12948</v>
      </c>
      <c r="E1415" s="176">
        <v>107849</v>
      </c>
      <c r="F1415" s="177" t="s">
        <v>145</v>
      </c>
      <c r="G1415" s="178">
        <v>8631.6</v>
      </c>
      <c r="H1415" s="179">
        <v>42838</v>
      </c>
      <c r="I1415" s="178">
        <f t="shared" si="45"/>
        <v>8631.6</v>
      </c>
      <c r="J1415" s="178">
        <f t="shared" si="46"/>
        <v>0</v>
      </c>
      <c r="K1415" s="19"/>
    </row>
    <row r="1416" spans="1:11" x14ac:dyDescent="0.25">
      <c r="A1416" s="51">
        <v>42837</v>
      </c>
      <c r="B1416" s="174" t="s">
        <v>12949</v>
      </c>
      <c r="C1416" s="175"/>
      <c r="D1416" s="176" t="s">
        <v>12949</v>
      </c>
      <c r="E1416" s="176">
        <v>107850</v>
      </c>
      <c r="F1416" s="177" t="s">
        <v>161</v>
      </c>
      <c r="G1416" s="178">
        <v>43059</v>
      </c>
      <c r="H1416" s="179">
        <v>42846</v>
      </c>
      <c r="I1416" s="178">
        <f t="shared" si="45"/>
        <v>43059</v>
      </c>
      <c r="J1416" s="178">
        <f t="shared" si="46"/>
        <v>0</v>
      </c>
      <c r="K1416" s="19"/>
    </row>
    <row r="1417" spans="1:11" x14ac:dyDescent="0.25">
      <c r="A1417" s="51">
        <v>42837</v>
      </c>
      <c r="B1417" s="174" t="s">
        <v>12950</v>
      </c>
      <c r="C1417" s="175"/>
      <c r="D1417" s="176" t="s">
        <v>12950</v>
      </c>
      <c r="E1417" s="176">
        <v>107851</v>
      </c>
      <c r="F1417" s="177" t="s">
        <v>172</v>
      </c>
      <c r="G1417" s="178">
        <v>22334.5</v>
      </c>
      <c r="H1417" s="179">
        <v>42846</v>
      </c>
      <c r="I1417" s="178">
        <f t="shared" si="45"/>
        <v>22334.5</v>
      </c>
      <c r="J1417" s="178">
        <f t="shared" si="46"/>
        <v>0</v>
      </c>
      <c r="K1417" s="19"/>
    </row>
    <row r="1418" spans="1:11" x14ac:dyDescent="0.25">
      <c r="A1418" s="51">
        <v>42837</v>
      </c>
      <c r="B1418" s="174" t="s">
        <v>12951</v>
      </c>
      <c r="C1418" s="175"/>
      <c r="D1418" s="176" t="s">
        <v>12951</v>
      </c>
      <c r="E1418" s="176">
        <v>107852</v>
      </c>
      <c r="F1418" s="177" t="s">
        <v>115</v>
      </c>
      <c r="G1418" s="178">
        <v>869</v>
      </c>
      <c r="H1418" s="179">
        <v>42837</v>
      </c>
      <c r="I1418" s="178">
        <f t="shared" si="45"/>
        <v>869</v>
      </c>
      <c r="J1418" s="178">
        <f t="shared" si="46"/>
        <v>0</v>
      </c>
      <c r="K1418" s="19"/>
    </row>
    <row r="1419" spans="1:11" x14ac:dyDescent="0.25">
      <c r="A1419" s="51">
        <v>42837</v>
      </c>
      <c r="B1419" s="174" t="s">
        <v>12952</v>
      </c>
      <c r="C1419" s="175"/>
      <c r="D1419" s="176" t="s">
        <v>12952</v>
      </c>
      <c r="E1419" s="176">
        <v>107853</v>
      </c>
      <c r="F1419" s="177" t="s">
        <v>3319</v>
      </c>
      <c r="G1419" s="178">
        <v>16350</v>
      </c>
      <c r="H1419" s="179">
        <v>42838</v>
      </c>
      <c r="I1419" s="178">
        <f t="shared" si="45"/>
        <v>16350</v>
      </c>
      <c r="J1419" s="178">
        <f t="shared" si="46"/>
        <v>0</v>
      </c>
      <c r="K1419" s="19"/>
    </row>
    <row r="1420" spans="1:11" x14ac:dyDescent="0.25">
      <c r="A1420" s="51">
        <v>42837</v>
      </c>
      <c r="B1420" s="174" t="s">
        <v>12953</v>
      </c>
      <c r="C1420" s="175"/>
      <c r="D1420" s="176" t="s">
        <v>12953</v>
      </c>
      <c r="E1420" s="176">
        <v>107854</v>
      </c>
      <c r="F1420" s="177" t="s">
        <v>165</v>
      </c>
      <c r="G1420" s="178">
        <v>7572</v>
      </c>
      <c r="H1420" s="179">
        <v>42846</v>
      </c>
      <c r="I1420" s="178">
        <f t="shared" si="45"/>
        <v>7572</v>
      </c>
      <c r="J1420" s="178">
        <f t="shared" si="46"/>
        <v>0</v>
      </c>
      <c r="K1420" s="19"/>
    </row>
    <row r="1421" spans="1:11" x14ac:dyDescent="0.25">
      <c r="A1421" s="51">
        <v>42837</v>
      </c>
      <c r="B1421" s="174" t="s">
        <v>12954</v>
      </c>
      <c r="C1421" s="175"/>
      <c r="D1421" s="176" t="s">
        <v>12954</v>
      </c>
      <c r="E1421" s="176">
        <v>107855</v>
      </c>
      <c r="F1421" s="177" t="s">
        <v>163</v>
      </c>
      <c r="G1421" s="178">
        <v>7170.6</v>
      </c>
      <c r="H1421" s="179">
        <v>42846</v>
      </c>
      <c r="I1421" s="178">
        <f t="shared" si="45"/>
        <v>7170.6</v>
      </c>
      <c r="J1421" s="178">
        <f t="shared" si="46"/>
        <v>0</v>
      </c>
      <c r="K1421" s="19"/>
    </row>
    <row r="1422" spans="1:11" x14ac:dyDescent="0.25">
      <c r="A1422" s="51">
        <v>42837</v>
      </c>
      <c r="B1422" s="174" t="s">
        <v>12955</v>
      </c>
      <c r="C1422" s="175"/>
      <c r="D1422" s="176" t="s">
        <v>12955</v>
      </c>
      <c r="E1422" s="176">
        <v>107856</v>
      </c>
      <c r="F1422" s="177" t="s">
        <v>222</v>
      </c>
      <c r="G1422" s="178">
        <v>33367.25</v>
      </c>
      <c r="H1422" s="179">
        <v>42844</v>
      </c>
      <c r="I1422" s="178">
        <f t="shared" si="45"/>
        <v>33367.25</v>
      </c>
      <c r="J1422" s="178">
        <f t="shared" si="46"/>
        <v>0</v>
      </c>
      <c r="K1422" s="19"/>
    </row>
    <row r="1423" spans="1:11" x14ac:dyDescent="0.25">
      <c r="A1423" s="51">
        <v>42837</v>
      </c>
      <c r="B1423" s="174" t="s">
        <v>12956</v>
      </c>
      <c r="C1423" s="175"/>
      <c r="D1423" s="176" t="s">
        <v>12956</v>
      </c>
      <c r="E1423" s="176">
        <v>107857</v>
      </c>
      <c r="F1423" s="177" t="s">
        <v>341</v>
      </c>
      <c r="G1423" s="178">
        <v>9999.74</v>
      </c>
      <c r="H1423" s="179">
        <v>42837</v>
      </c>
      <c r="I1423" s="178">
        <f t="shared" si="45"/>
        <v>9999.74</v>
      </c>
      <c r="J1423" s="178">
        <f t="shared" si="46"/>
        <v>0</v>
      </c>
      <c r="K1423" s="19"/>
    </row>
    <row r="1424" spans="1:11" x14ac:dyDescent="0.25">
      <c r="A1424" s="51">
        <v>42837</v>
      </c>
      <c r="B1424" s="174" t="s">
        <v>12957</v>
      </c>
      <c r="C1424" s="175"/>
      <c r="D1424" s="176" t="s">
        <v>12957</v>
      </c>
      <c r="E1424" s="176">
        <v>107858</v>
      </c>
      <c r="F1424" s="177" t="s">
        <v>10</v>
      </c>
      <c r="G1424" s="178">
        <v>8554.7999999999993</v>
      </c>
      <c r="H1424" s="179">
        <v>42840</v>
      </c>
      <c r="I1424" s="178">
        <f t="shared" si="45"/>
        <v>8554.7999999999993</v>
      </c>
      <c r="J1424" s="178">
        <f t="shared" si="46"/>
        <v>0</v>
      </c>
      <c r="K1424" s="19"/>
    </row>
    <row r="1425" spans="1:11" x14ac:dyDescent="0.25">
      <c r="A1425" s="51">
        <v>42837</v>
      </c>
      <c r="B1425" s="174" t="s">
        <v>12958</v>
      </c>
      <c r="C1425" s="175"/>
      <c r="D1425" s="176" t="s">
        <v>12958</v>
      </c>
      <c r="E1425" s="176">
        <v>107859</v>
      </c>
      <c r="F1425" s="177" t="s">
        <v>2240</v>
      </c>
      <c r="G1425" s="178">
        <v>7771</v>
      </c>
      <c r="H1425" s="179">
        <v>42837</v>
      </c>
      <c r="I1425" s="178">
        <f t="shared" si="45"/>
        <v>7771</v>
      </c>
      <c r="J1425" s="178">
        <f t="shared" si="46"/>
        <v>0</v>
      </c>
      <c r="K1425" s="19"/>
    </row>
    <row r="1426" spans="1:11" x14ac:dyDescent="0.25">
      <c r="A1426" s="51">
        <v>42837</v>
      </c>
      <c r="B1426" s="174" t="s">
        <v>12959</v>
      </c>
      <c r="C1426" s="175"/>
      <c r="D1426" s="176" t="s">
        <v>12959</v>
      </c>
      <c r="E1426" s="176">
        <v>107860</v>
      </c>
      <c r="F1426" s="177" t="s">
        <v>35</v>
      </c>
      <c r="G1426" s="178">
        <v>4435.2</v>
      </c>
      <c r="H1426" s="179">
        <v>42843</v>
      </c>
      <c r="I1426" s="178">
        <f t="shared" si="45"/>
        <v>4435.2</v>
      </c>
      <c r="J1426" s="178">
        <f t="shared" si="46"/>
        <v>0</v>
      </c>
      <c r="K1426" s="19"/>
    </row>
    <row r="1427" spans="1:11" x14ac:dyDescent="0.25">
      <c r="A1427" s="51">
        <v>42837</v>
      </c>
      <c r="B1427" s="174" t="s">
        <v>12960</v>
      </c>
      <c r="C1427" s="175"/>
      <c r="D1427" s="176" t="s">
        <v>12960</v>
      </c>
      <c r="E1427" s="176">
        <v>107861</v>
      </c>
      <c r="F1427" s="177" t="s">
        <v>30</v>
      </c>
      <c r="G1427" s="178">
        <v>11692.8</v>
      </c>
      <c r="H1427" s="179">
        <v>42840</v>
      </c>
      <c r="I1427" s="178">
        <f t="shared" si="45"/>
        <v>11692.8</v>
      </c>
      <c r="J1427" s="178">
        <f t="shared" si="46"/>
        <v>0</v>
      </c>
      <c r="K1427" s="19"/>
    </row>
    <row r="1428" spans="1:11" x14ac:dyDescent="0.25">
      <c r="A1428" s="51">
        <v>42837</v>
      </c>
      <c r="B1428" s="174" t="s">
        <v>12961</v>
      </c>
      <c r="C1428" s="175"/>
      <c r="D1428" s="176" t="s">
        <v>12961</v>
      </c>
      <c r="E1428" s="176">
        <v>107862</v>
      </c>
      <c r="F1428" s="177" t="s">
        <v>30</v>
      </c>
      <c r="G1428" s="178">
        <v>2242.8000000000002</v>
      </c>
      <c r="H1428" s="179">
        <v>42840</v>
      </c>
      <c r="I1428" s="178">
        <f t="shared" si="45"/>
        <v>2242.8000000000002</v>
      </c>
      <c r="J1428" s="178">
        <f t="shared" si="46"/>
        <v>0</v>
      </c>
      <c r="K1428" s="19"/>
    </row>
    <row r="1429" spans="1:11" x14ac:dyDescent="0.25">
      <c r="A1429" s="51">
        <v>42837</v>
      </c>
      <c r="B1429" s="174" t="s">
        <v>12962</v>
      </c>
      <c r="C1429" s="175"/>
      <c r="D1429" s="176" t="s">
        <v>12962</v>
      </c>
      <c r="E1429" s="176">
        <v>107863</v>
      </c>
      <c r="F1429" s="177" t="s">
        <v>937</v>
      </c>
      <c r="G1429" s="178">
        <v>3080</v>
      </c>
      <c r="H1429" s="179">
        <v>42838</v>
      </c>
      <c r="I1429" s="178">
        <f t="shared" si="45"/>
        <v>3080</v>
      </c>
      <c r="J1429" s="178">
        <f t="shared" si="46"/>
        <v>0</v>
      </c>
      <c r="K1429" s="19"/>
    </row>
    <row r="1430" spans="1:11" x14ac:dyDescent="0.25">
      <c r="A1430" s="51">
        <v>42837</v>
      </c>
      <c r="B1430" s="174" t="s">
        <v>12963</v>
      </c>
      <c r="C1430" s="175"/>
      <c r="D1430" s="176" t="s">
        <v>12963</v>
      </c>
      <c r="E1430" s="176">
        <v>107864</v>
      </c>
      <c r="F1430" s="177" t="s">
        <v>1163</v>
      </c>
      <c r="G1430" s="178">
        <v>10777.2</v>
      </c>
      <c r="H1430" s="179">
        <v>42838</v>
      </c>
      <c r="I1430" s="178">
        <f t="shared" si="45"/>
        <v>10777.2</v>
      </c>
      <c r="J1430" s="178">
        <f t="shared" si="46"/>
        <v>0</v>
      </c>
      <c r="K1430" s="19"/>
    </row>
    <row r="1431" spans="1:11" x14ac:dyDescent="0.25">
      <c r="A1431" s="51">
        <v>42837</v>
      </c>
      <c r="B1431" s="174" t="s">
        <v>12964</v>
      </c>
      <c r="C1431" s="175"/>
      <c r="D1431" s="176" t="s">
        <v>12964</v>
      </c>
      <c r="E1431" s="176">
        <v>107865</v>
      </c>
      <c r="F1431" s="177" t="s">
        <v>236</v>
      </c>
      <c r="G1431" s="178">
        <v>28304</v>
      </c>
      <c r="H1431" s="179">
        <v>42842</v>
      </c>
      <c r="I1431" s="178">
        <f t="shared" si="45"/>
        <v>28304</v>
      </c>
      <c r="J1431" s="178">
        <f t="shared" si="46"/>
        <v>0</v>
      </c>
      <c r="K1431" s="19"/>
    </row>
    <row r="1432" spans="1:11" x14ac:dyDescent="0.25">
      <c r="A1432" s="51">
        <v>42837</v>
      </c>
      <c r="B1432" s="174" t="s">
        <v>12965</v>
      </c>
      <c r="C1432" s="175"/>
      <c r="D1432" s="176" t="s">
        <v>12965</v>
      </c>
      <c r="E1432" s="176">
        <v>107866</v>
      </c>
      <c r="F1432" s="177" t="s">
        <v>509</v>
      </c>
      <c r="G1432" s="178">
        <v>2162.1</v>
      </c>
      <c r="H1432" s="179">
        <v>42837</v>
      </c>
      <c r="I1432" s="178">
        <f t="shared" si="45"/>
        <v>2162.1</v>
      </c>
      <c r="J1432" s="178">
        <f t="shared" si="46"/>
        <v>0</v>
      </c>
      <c r="K1432" s="19"/>
    </row>
    <row r="1433" spans="1:11" x14ac:dyDescent="0.25">
      <c r="A1433" s="51">
        <v>42837</v>
      </c>
      <c r="B1433" s="174" t="s">
        <v>12966</v>
      </c>
      <c r="C1433" s="175"/>
      <c r="D1433" s="176" t="s">
        <v>12966</v>
      </c>
      <c r="E1433" s="176">
        <v>107867</v>
      </c>
      <c r="F1433" s="177" t="s">
        <v>523</v>
      </c>
      <c r="G1433" s="178">
        <v>34239.800000000003</v>
      </c>
      <c r="H1433" s="179">
        <v>42847</v>
      </c>
      <c r="I1433" s="178">
        <f t="shared" si="45"/>
        <v>34239.800000000003</v>
      </c>
      <c r="J1433" s="178">
        <f t="shared" si="46"/>
        <v>0</v>
      </c>
      <c r="K1433" s="19"/>
    </row>
    <row r="1434" spans="1:11" x14ac:dyDescent="0.25">
      <c r="A1434" s="51">
        <v>42837</v>
      </c>
      <c r="B1434" s="174" t="s">
        <v>12967</v>
      </c>
      <c r="C1434" s="175"/>
      <c r="D1434" s="176" t="s">
        <v>12967</v>
      </c>
      <c r="E1434" s="176">
        <v>107868</v>
      </c>
      <c r="F1434" s="177" t="s">
        <v>122</v>
      </c>
      <c r="G1434" s="178">
        <v>4370</v>
      </c>
      <c r="H1434" s="179">
        <v>42846</v>
      </c>
      <c r="I1434" s="178">
        <f t="shared" si="45"/>
        <v>4370</v>
      </c>
      <c r="J1434" s="178">
        <f t="shared" si="46"/>
        <v>0</v>
      </c>
      <c r="K1434" s="19"/>
    </row>
    <row r="1435" spans="1:11" x14ac:dyDescent="0.25">
      <c r="A1435" s="51">
        <v>42837</v>
      </c>
      <c r="B1435" s="174" t="s">
        <v>12968</v>
      </c>
      <c r="C1435" s="175"/>
      <c r="D1435" s="176" t="s">
        <v>12968</v>
      </c>
      <c r="E1435" s="176">
        <v>107869</v>
      </c>
      <c r="F1435" s="177" t="s">
        <v>122</v>
      </c>
      <c r="G1435" s="178">
        <v>72764.600000000006</v>
      </c>
      <c r="H1435" s="179">
        <v>42846</v>
      </c>
      <c r="I1435" s="178">
        <f t="shared" si="45"/>
        <v>72764.600000000006</v>
      </c>
      <c r="J1435" s="178">
        <f t="shared" si="46"/>
        <v>0</v>
      </c>
      <c r="K1435" s="19"/>
    </row>
    <row r="1436" spans="1:11" x14ac:dyDescent="0.25">
      <c r="A1436" s="51">
        <v>42837</v>
      </c>
      <c r="B1436" s="174" t="s">
        <v>12969</v>
      </c>
      <c r="C1436" s="175"/>
      <c r="D1436" s="176" t="s">
        <v>12969</v>
      </c>
      <c r="E1436" s="176">
        <v>107870</v>
      </c>
      <c r="F1436" s="177" t="s">
        <v>428</v>
      </c>
      <c r="G1436" s="178">
        <v>950.8</v>
      </c>
      <c r="H1436" s="179">
        <v>42843</v>
      </c>
      <c r="I1436" s="178">
        <f t="shared" si="45"/>
        <v>950.8</v>
      </c>
      <c r="J1436" s="178">
        <f t="shared" si="46"/>
        <v>0</v>
      </c>
      <c r="K1436" s="19"/>
    </row>
    <row r="1437" spans="1:11" x14ac:dyDescent="0.25">
      <c r="A1437" s="51">
        <v>42837</v>
      </c>
      <c r="B1437" s="174" t="s">
        <v>12970</v>
      </c>
      <c r="C1437" s="175"/>
      <c r="D1437" s="176" t="s">
        <v>12970</v>
      </c>
      <c r="E1437" s="176">
        <v>107871</v>
      </c>
      <c r="F1437" s="177" t="s">
        <v>10</v>
      </c>
      <c r="G1437" s="178">
        <v>11115.36</v>
      </c>
      <c r="H1437" s="179">
        <v>42840</v>
      </c>
      <c r="I1437" s="178">
        <f t="shared" si="45"/>
        <v>11115.36</v>
      </c>
      <c r="J1437" s="178">
        <f t="shared" si="46"/>
        <v>0</v>
      </c>
      <c r="K1437" s="19"/>
    </row>
    <row r="1438" spans="1:11" x14ac:dyDescent="0.25">
      <c r="A1438" s="51">
        <v>42837</v>
      </c>
      <c r="B1438" s="174" t="s">
        <v>12971</v>
      </c>
      <c r="C1438" s="175"/>
      <c r="D1438" s="176" t="s">
        <v>12971</v>
      </c>
      <c r="E1438" s="176">
        <v>107872</v>
      </c>
      <c r="F1438" s="177" t="s">
        <v>9</v>
      </c>
      <c r="G1438" s="178">
        <v>5746</v>
      </c>
      <c r="H1438" s="179">
        <v>42844</v>
      </c>
      <c r="I1438" s="178">
        <f t="shared" si="45"/>
        <v>5746</v>
      </c>
      <c r="J1438" s="178">
        <f t="shared" si="46"/>
        <v>0</v>
      </c>
      <c r="K1438" s="19"/>
    </row>
    <row r="1439" spans="1:11" x14ac:dyDescent="0.25">
      <c r="A1439" s="51">
        <v>42837</v>
      </c>
      <c r="B1439" s="174" t="s">
        <v>12972</v>
      </c>
      <c r="C1439" s="175"/>
      <c r="D1439" s="176" t="s">
        <v>12972</v>
      </c>
      <c r="E1439" s="176">
        <v>107873</v>
      </c>
      <c r="F1439" s="177" t="s">
        <v>30</v>
      </c>
      <c r="G1439" s="178">
        <v>2039.8</v>
      </c>
      <c r="H1439" s="179">
        <v>42837</v>
      </c>
      <c r="I1439" s="178">
        <f t="shared" si="45"/>
        <v>2039.8</v>
      </c>
      <c r="J1439" s="178">
        <f t="shared" si="46"/>
        <v>0</v>
      </c>
      <c r="K1439" s="19"/>
    </row>
    <row r="1440" spans="1:11" x14ac:dyDescent="0.25">
      <c r="A1440" s="51">
        <v>42837</v>
      </c>
      <c r="B1440" s="174" t="s">
        <v>12973</v>
      </c>
      <c r="C1440" s="175"/>
      <c r="D1440" s="176" t="s">
        <v>12973</v>
      </c>
      <c r="E1440" s="176">
        <v>107874</v>
      </c>
      <c r="F1440" s="182" t="s">
        <v>47</v>
      </c>
      <c r="G1440" s="183">
        <v>0</v>
      </c>
      <c r="H1440" s="184" t="s">
        <v>95</v>
      </c>
      <c r="I1440" s="183">
        <f t="shared" si="45"/>
        <v>0</v>
      </c>
      <c r="J1440" s="183">
        <f t="shared" si="46"/>
        <v>0</v>
      </c>
      <c r="K1440" s="19"/>
    </row>
    <row r="1441" spans="1:11" x14ac:dyDescent="0.25">
      <c r="A1441" s="51">
        <v>42837</v>
      </c>
      <c r="B1441" s="174" t="s">
        <v>12974</v>
      </c>
      <c r="C1441" s="175"/>
      <c r="D1441" s="176" t="s">
        <v>12974</v>
      </c>
      <c r="E1441" s="176">
        <v>107875</v>
      </c>
      <c r="F1441" s="182" t="s">
        <v>47</v>
      </c>
      <c r="G1441" s="183">
        <v>0</v>
      </c>
      <c r="H1441" s="184" t="s">
        <v>95</v>
      </c>
      <c r="I1441" s="183">
        <f t="shared" si="45"/>
        <v>0</v>
      </c>
      <c r="J1441" s="183">
        <f t="shared" si="46"/>
        <v>0</v>
      </c>
      <c r="K1441" s="19"/>
    </row>
    <row r="1442" spans="1:11" x14ac:dyDescent="0.25">
      <c r="A1442" s="51">
        <v>42837</v>
      </c>
      <c r="B1442" s="174" t="s">
        <v>12975</v>
      </c>
      <c r="C1442" s="175"/>
      <c r="D1442" s="176" t="s">
        <v>12975</v>
      </c>
      <c r="E1442" s="176">
        <v>107876</v>
      </c>
      <c r="F1442" s="177" t="s">
        <v>47</v>
      </c>
      <c r="G1442" s="178">
        <v>1677.8</v>
      </c>
      <c r="H1442" s="179">
        <v>42837</v>
      </c>
      <c r="I1442" s="178">
        <f t="shared" si="45"/>
        <v>1677.8</v>
      </c>
      <c r="J1442" s="178">
        <f t="shared" si="46"/>
        <v>0</v>
      </c>
      <c r="K1442" s="19"/>
    </row>
    <row r="1443" spans="1:11" x14ac:dyDescent="0.25">
      <c r="A1443" s="51">
        <v>42837</v>
      </c>
      <c r="B1443" s="174" t="s">
        <v>12976</v>
      </c>
      <c r="C1443" s="175"/>
      <c r="D1443" s="176" t="s">
        <v>12976</v>
      </c>
      <c r="E1443" s="176">
        <v>107877</v>
      </c>
      <c r="F1443" s="177" t="s">
        <v>921</v>
      </c>
      <c r="G1443" s="178">
        <v>15991.5</v>
      </c>
      <c r="H1443" s="179">
        <v>42837</v>
      </c>
      <c r="I1443" s="178">
        <f t="shared" si="45"/>
        <v>15991.5</v>
      </c>
      <c r="J1443" s="178">
        <f t="shared" si="46"/>
        <v>0</v>
      </c>
      <c r="K1443" s="19"/>
    </row>
    <row r="1444" spans="1:11" x14ac:dyDescent="0.25">
      <c r="A1444" s="51">
        <v>42838</v>
      </c>
      <c r="B1444" s="174" t="s">
        <v>12977</v>
      </c>
      <c r="C1444" s="175"/>
      <c r="D1444" s="176" t="s">
        <v>12977</v>
      </c>
      <c r="E1444" s="176">
        <v>107878</v>
      </c>
      <c r="F1444" s="177" t="s">
        <v>28</v>
      </c>
      <c r="G1444" s="178">
        <v>27362.400000000001</v>
      </c>
      <c r="H1444" s="179">
        <v>42838</v>
      </c>
      <c r="I1444" s="178">
        <f t="shared" si="45"/>
        <v>27362.400000000001</v>
      </c>
      <c r="J1444" s="178">
        <f t="shared" si="46"/>
        <v>0</v>
      </c>
      <c r="K1444" s="19"/>
    </row>
    <row r="1445" spans="1:11" x14ac:dyDescent="0.25">
      <c r="A1445" s="51">
        <v>42838</v>
      </c>
      <c r="B1445" s="174" t="s">
        <v>12978</v>
      </c>
      <c r="C1445" s="175"/>
      <c r="D1445" s="176" t="s">
        <v>12978</v>
      </c>
      <c r="E1445" s="176">
        <v>107879</v>
      </c>
      <c r="F1445" s="177" t="s">
        <v>21</v>
      </c>
      <c r="G1445" s="178">
        <v>40696</v>
      </c>
      <c r="H1445" s="186">
        <v>42851</v>
      </c>
      <c r="I1445" s="187">
        <f t="shared" si="45"/>
        <v>40696</v>
      </c>
      <c r="J1445" s="178">
        <f t="shared" si="46"/>
        <v>0</v>
      </c>
      <c r="K1445" s="19"/>
    </row>
    <row r="1446" spans="1:11" x14ac:dyDescent="0.25">
      <c r="A1446" s="51">
        <v>42838</v>
      </c>
      <c r="B1446" s="174" t="s">
        <v>12979</v>
      </c>
      <c r="C1446" s="175"/>
      <c r="D1446" s="176" t="s">
        <v>12979</v>
      </c>
      <c r="E1446" s="176">
        <v>107880</v>
      </c>
      <c r="F1446" s="177" t="s">
        <v>157</v>
      </c>
      <c r="G1446" s="178">
        <v>34270.730000000003</v>
      </c>
      <c r="H1446" s="179">
        <v>42838</v>
      </c>
      <c r="I1446" s="178">
        <f t="shared" si="45"/>
        <v>34270.730000000003</v>
      </c>
      <c r="J1446" s="178">
        <f t="shared" si="46"/>
        <v>0</v>
      </c>
      <c r="K1446" s="19"/>
    </row>
    <row r="1447" spans="1:11" x14ac:dyDescent="0.25">
      <c r="A1447" s="51">
        <v>42838</v>
      </c>
      <c r="B1447" s="174" t="s">
        <v>12980</v>
      </c>
      <c r="C1447" s="175"/>
      <c r="D1447" s="176" t="s">
        <v>12980</v>
      </c>
      <c r="E1447" s="176">
        <v>107881</v>
      </c>
      <c r="F1447" s="177" t="s">
        <v>785</v>
      </c>
      <c r="G1447" s="178">
        <v>14190.8</v>
      </c>
      <c r="H1447" s="179">
        <v>42840</v>
      </c>
      <c r="I1447" s="178">
        <f t="shared" si="45"/>
        <v>14190.8</v>
      </c>
      <c r="J1447" s="178">
        <f t="shared" si="46"/>
        <v>0</v>
      </c>
      <c r="K1447" s="19"/>
    </row>
    <row r="1448" spans="1:11" x14ac:dyDescent="0.25">
      <c r="A1448" s="51">
        <v>42838</v>
      </c>
      <c r="B1448" s="174" t="s">
        <v>12981</v>
      </c>
      <c r="C1448" s="175"/>
      <c r="D1448" s="176" t="s">
        <v>12981</v>
      </c>
      <c r="E1448" s="176">
        <v>107882</v>
      </c>
      <c r="F1448" s="177" t="s">
        <v>30</v>
      </c>
      <c r="G1448" s="178">
        <v>2457</v>
      </c>
      <c r="H1448" s="179">
        <v>42838</v>
      </c>
      <c r="I1448" s="178">
        <f t="shared" si="45"/>
        <v>2457</v>
      </c>
      <c r="J1448" s="178">
        <f t="shared" si="46"/>
        <v>0</v>
      </c>
      <c r="K1448" s="19"/>
    </row>
    <row r="1449" spans="1:11" x14ac:dyDescent="0.25">
      <c r="A1449" s="51">
        <v>42838</v>
      </c>
      <c r="B1449" s="174" t="s">
        <v>12982</v>
      </c>
      <c r="C1449" s="175"/>
      <c r="D1449" s="176" t="s">
        <v>12982</v>
      </c>
      <c r="E1449" s="176">
        <v>107883</v>
      </c>
      <c r="F1449" s="177" t="s">
        <v>208</v>
      </c>
      <c r="G1449" s="178">
        <v>14297.8</v>
      </c>
      <c r="H1449" s="179">
        <v>42842</v>
      </c>
      <c r="I1449" s="178">
        <f t="shared" si="45"/>
        <v>14297.8</v>
      </c>
      <c r="J1449" s="178">
        <f t="shared" si="46"/>
        <v>0</v>
      </c>
      <c r="K1449" s="19"/>
    </row>
    <row r="1450" spans="1:11" x14ac:dyDescent="0.25">
      <c r="A1450" s="51">
        <v>42838</v>
      </c>
      <c r="B1450" s="174" t="s">
        <v>12983</v>
      </c>
      <c r="C1450" s="175"/>
      <c r="D1450" s="176" t="s">
        <v>12983</v>
      </c>
      <c r="E1450" s="176">
        <v>107884</v>
      </c>
      <c r="F1450" s="177" t="s">
        <v>30</v>
      </c>
      <c r="G1450" s="178">
        <v>4270.3999999999996</v>
      </c>
      <c r="H1450" s="179">
        <v>42840</v>
      </c>
      <c r="I1450" s="178">
        <f t="shared" si="45"/>
        <v>4270.3999999999996</v>
      </c>
      <c r="J1450" s="178">
        <f t="shared" si="46"/>
        <v>0</v>
      </c>
      <c r="K1450" s="19"/>
    </row>
    <row r="1451" spans="1:11" x14ac:dyDescent="0.25">
      <c r="A1451" s="51">
        <v>42838</v>
      </c>
      <c r="B1451" s="174" t="s">
        <v>12984</v>
      </c>
      <c r="C1451" s="175"/>
      <c r="D1451" s="176" t="s">
        <v>12984</v>
      </c>
      <c r="E1451" s="176">
        <v>107885</v>
      </c>
      <c r="F1451" s="177" t="s">
        <v>470</v>
      </c>
      <c r="G1451" s="178">
        <v>7136.8</v>
      </c>
      <c r="H1451" s="179">
        <v>42840</v>
      </c>
      <c r="I1451" s="178">
        <f t="shared" si="45"/>
        <v>7136.8</v>
      </c>
      <c r="J1451" s="178">
        <f t="shared" si="46"/>
        <v>0</v>
      </c>
      <c r="K1451" s="19"/>
    </row>
    <row r="1452" spans="1:11" x14ac:dyDescent="0.25">
      <c r="A1452" s="51">
        <v>42838</v>
      </c>
      <c r="B1452" s="174" t="s">
        <v>12985</v>
      </c>
      <c r="C1452" s="175"/>
      <c r="D1452" s="176" t="s">
        <v>12985</v>
      </c>
      <c r="E1452" s="176">
        <v>107886</v>
      </c>
      <c r="F1452" s="177" t="s">
        <v>141</v>
      </c>
      <c r="G1452" s="178">
        <v>10510.4</v>
      </c>
      <c r="H1452" s="179">
        <v>42840</v>
      </c>
      <c r="I1452" s="178">
        <f t="shared" si="45"/>
        <v>10510.4</v>
      </c>
      <c r="J1452" s="178">
        <f t="shared" si="46"/>
        <v>0</v>
      </c>
      <c r="K1452" s="19"/>
    </row>
    <row r="1453" spans="1:11" x14ac:dyDescent="0.25">
      <c r="A1453" s="51">
        <v>42838</v>
      </c>
      <c r="B1453" s="174" t="s">
        <v>12986</v>
      </c>
      <c r="C1453" s="175"/>
      <c r="D1453" s="176" t="s">
        <v>12986</v>
      </c>
      <c r="E1453" s="176">
        <v>107887</v>
      </c>
      <c r="F1453" s="177" t="s">
        <v>24</v>
      </c>
      <c r="G1453" s="178">
        <v>3045</v>
      </c>
      <c r="H1453" s="179">
        <v>42838</v>
      </c>
      <c r="I1453" s="178">
        <f t="shared" si="45"/>
        <v>3045</v>
      </c>
      <c r="J1453" s="178">
        <f t="shared" si="46"/>
        <v>0</v>
      </c>
      <c r="K1453" s="19"/>
    </row>
    <row r="1454" spans="1:11" x14ac:dyDescent="0.25">
      <c r="A1454" s="51">
        <v>42838</v>
      </c>
      <c r="B1454" s="174" t="s">
        <v>12987</v>
      </c>
      <c r="C1454" s="175"/>
      <c r="D1454" s="176" t="s">
        <v>12987</v>
      </c>
      <c r="E1454" s="176">
        <v>107888</v>
      </c>
      <c r="F1454" s="177" t="s">
        <v>302</v>
      </c>
      <c r="G1454" s="178">
        <v>17875.599999999999</v>
      </c>
      <c r="H1454" s="179">
        <v>42842</v>
      </c>
      <c r="I1454" s="178">
        <f t="shared" si="45"/>
        <v>17875.599999999999</v>
      </c>
      <c r="J1454" s="178">
        <f t="shared" si="46"/>
        <v>0</v>
      </c>
      <c r="K1454" s="19"/>
    </row>
    <row r="1455" spans="1:11" x14ac:dyDescent="0.25">
      <c r="A1455" s="51">
        <v>42838</v>
      </c>
      <c r="B1455" s="174" t="s">
        <v>12988</v>
      </c>
      <c r="C1455" s="175"/>
      <c r="D1455" s="176" t="s">
        <v>12988</v>
      </c>
      <c r="E1455" s="176">
        <v>107889</v>
      </c>
      <c r="F1455" s="177" t="s">
        <v>222</v>
      </c>
      <c r="G1455" s="178">
        <v>57790.2</v>
      </c>
      <c r="H1455" s="179">
        <v>42844</v>
      </c>
      <c r="I1455" s="178">
        <f t="shared" si="45"/>
        <v>57790.2</v>
      </c>
      <c r="J1455" s="178">
        <f t="shared" si="46"/>
        <v>0</v>
      </c>
      <c r="K1455" s="19"/>
    </row>
    <row r="1456" spans="1:11" x14ac:dyDescent="0.25">
      <c r="A1456" s="51">
        <v>42838</v>
      </c>
      <c r="B1456" s="174" t="s">
        <v>12989</v>
      </c>
      <c r="C1456" s="175"/>
      <c r="D1456" s="176" t="s">
        <v>12989</v>
      </c>
      <c r="E1456" s="176">
        <v>107890</v>
      </c>
      <c r="F1456" s="177" t="s">
        <v>125</v>
      </c>
      <c r="G1456" s="178">
        <v>9834</v>
      </c>
      <c r="H1456" s="179">
        <v>42840</v>
      </c>
      <c r="I1456" s="178">
        <f t="shared" si="45"/>
        <v>9834</v>
      </c>
      <c r="J1456" s="178">
        <f t="shared" si="46"/>
        <v>0</v>
      </c>
      <c r="K1456" s="19"/>
    </row>
    <row r="1457" spans="1:11" x14ac:dyDescent="0.25">
      <c r="A1457" s="51">
        <v>42838</v>
      </c>
      <c r="B1457" s="174" t="s">
        <v>12990</v>
      </c>
      <c r="C1457" s="175"/>
      <c r="D1457" s="176" t="s">
        <v>12990</v>
      </c>
      <c r="E1457" s="176">
        <v>107891</v>
      </c>
      <c r="F1457" s="177" t="s">
        <v>609</v>
      </c>
      <c r="G1457" s="178">
        <v>42344.4</v>
      </c>
      <c r="H1457" s="179">
        <v>42843</v>
      </c>
      <c r="I1457" s="178">
        <f t="shared" si="45"/>
        <v>42344.4</v>
      </c>
      <c r="J1457" s="178">
        <f t="shared" si="46"/>
        <v>0</v>
      </c>
      <c r="K1457" s="19"/>
    </row>
    <row r="1458" spans="1:11" x14ac:dyDescent="0.25">
      <c r="A1458" s="51">
        <v>42838</v>
      </c>
      <c r="B1458" s="174" t="s">
        <v>12991</v>
      </c>
      <c r="C1458" s="175"/>
      <c r="D1458" s="176" t="s">
        <v>12991</v>
      </c>
      <c r="E1458" s="176">
        <v>107892</v>
      </c>
      <c r="F1458" s="177" t="s">
        <v>1830</v>
      </c>
      <c r="G1458" s="178">
        <v>22926.799999999999</v>
      </c>
      <c r="H1458" s="179">
        <v>42840</v>
      </c>
      <c r="I1458" s="178">
        <f t="shared" si="45"/>
        <v>22926.799999999999</v>
      </c>
      <c r="J1458" s="178">
        <f t="shared" si="46"/>
        <v>0</v>
      </c>
      <c r="K1458" s="19"/>
    </row>
    <row r="1459" spans="1:11" x14ac:dyDescent="0.25">
      <c r="A1459" s="51">
        <v>42838</v>
      </c>
      <c r="B1459" s="174" t="s">
        <v>12992</v>
      </c>
      <c r="C1459" s="175"/>
      <c r="D1459" s="176" t="s">
        <v>12992</v>
      </c>
      <c r="E1459" s="176">
        <v>107893</v>
      </c>
      <c r="F1459" s="182" t="s">
        <v>236</v>
      </c>
      <c r="G1459" s="183">
        <v>0</v>
      </c>
      <c r="H1459" s="184" t="s">
        <v>95</v>
      </c>
      <c r="I1459" s="183">
        <f t="shared" si="45"/>
        <v>0</v>
      </c>
      <c r="J1459" s="183">
        <f t="shared" si="46"/>
        <v>0</v>
      </c>
      <c r="K1459" s="19"/>
    </row>
    <row r="1460" spans="1:11" x14ac:dyDescent="0.25">
      <c r="A1460" s="51">
        <v>42838</v>
      </c>
      <c r="B1460" s="174" t="s">
        <v>12993</v>
      </c>
      <c r="C1460" s="175"/>
      <c r="D1460" s="176" t="s">
        <v>12993</v>
      </c>
      <c r="E1460" s="176">
        <v>107894</v>
      </c>
      <c r="F1460" s="177" t="s">
        <v>10</v>
      </c>
      <c r="G1460" s="178">
        <v>72678.600000000006</v>
      </c>
      <c r="H1460" s="179" t="s">
        <v>12750</v>
      </c>
      <c r="I1460" s="178">
        <f>22970.46+49708.14</f>
        <v>72678.600000000006</v>
      </c>
      <c r="J1460" s="178">
        <f t="shared" si="46"/>
        <v>0</v>
      </c>
      <c r="K1460" s="19"/>
    </row>
    <row r="1461" spans="1:11" x14ac:dyDescent="0.25">
      <c r="A1461" s="51">
        <v>42838</v>
      </c>
      <c r="B1461" s="174" t="s">
        <v>12994</v>
      </c>
      <c r="C1461" s="175"/>
      <c r="D1461" s="176" t="s">
        <v>12994</v>
      </c>
      <c r="E1461" s="176">
        <v>107895</v>
      </c>
      <c r="F1461" s="177" t="s">
        <v>8294</v>
      </c>
      <c r="G1461" s="178">
        <v>4449.1000000000004</v>
      </c>
      <c r="H1461" s="179">
        <v>42838</v>
      </c>
      <c r="I1461" s="178">
        <f t="shared" si="45"/>
        <v>4449.1000000000004</v>
      </c>
      <c r="J1461" s="178">
        <f t="shared" si="46"/>
        <v>0</v>
      </c>
      <c r="K1461" s="19"/>
    </row>
    <row r="1462" spans="1:11" x14ac:dyDescent="0.25">
      <c r="A1462" s="51">
        <v>42838</v>
      </c>
      <c r="B1462" s="174" t="s">
        <v>12995</v>
      </c>
      <c r="C1462" s="175"/>
      <c r="D1462" s="176" t="s">
        <v>12995</v>
      </c>
      <c r="E1462" s="176">
        <v>107896</v>
      </c>
      <c r="F1462" s="177" t="s">
        <v>79</v>
      </c>
      <c r="G1462" s="178">
        <v>2791.2</v>
      </c>
      <c r="H1462" s="179">
        <v>42838</v>
      </c>
      <c r="I1462" s="178">
        <f t="shared" si="45"/>
        <v>2791.2</v>
      </c>
      <c r="J1462" s="178">
        <f t="shared" si="46"/>
        <v>0</v>
      </c>
      <c r="K1462" s="19"/>
    </row>
    <row r="1463" spans="1:11" x14ac:dyDescent="0.25">
      <c r="A1463" s="51">
        <v>42838</v>
      </c>
      <c r="B1463" s="174" t="s">
        <v>12996</v>
      </c>
      <c r="C1463" s="175"/>
      <c r="D1463" s="176" t="s">
        <v>12996</v>
      </c>
      <c r="E1463" s="176">
        <v>107897</v>
      </c>
      <c r="F1463" s="177" t="s">
        <v>30</v>
      </c>
      <c r="G1463" s="178">
        <v>2116.4</v>
      </c>
      <c r="H1463" s="179">
        <v>42838</v>
      </c>
      <c r="I1463" s="178">
        <f t="shared" si="45"/>
        <v>2116.4</v>
      </c>
      <c r="J1463" s="178">
        <f t="shared" si="46"/>
        <v>0</v>
      </c>
      <c r="K1463" s="19"/>
    </row>
    <row r="1464" spans="1:11" x14ac:dyDescent="0.25">
      <c r="A1464" s="51">
        <v>42838</v>
      </c>
      <c r="B1464" s="174" t="s">
        <v>12997</v>
      </c>
      <c r="C1464" s="175"/>
      <c r="D1464" s="176" t="s">
        <v>12997</v>
      </c>
      <c r="E1464" s="176">
        <v>107898</v>
      </c>
      <c r="F1464" s="177" t="s">
        <v>236</v>
      </c>
      <c r="G1464" s="178">
        <v>66903</v>
      </c>
      <c r="H1464" s="179">
        <v>42842</v>
      </c>
      <c r="I1464" s="178">
        <f t="shared" si="45"/>
        <v>66903</v>
      </c>
      <c r="J1464" s="178">
        <f t="shared" si="46"/>
        <v>0</v>
      </c>
      <c r="K1464" s="19"/>
    </row>
    <row r="1465" spans="1:11" x14ac:dyDescent="0.25">
      <c r="A1465" s="51">
        <v>42838</v>
      </c>
      <c r="B1465" s="174" t="s">
        <v>12998</v>
      </c>
      <c r="C1465" s="175"/>
      <c r="D1465" s="176" t="s">
        <v>12998</v>
      </c>
      <c r="E1465" s="176">
        <v>107899</v>
      </c>
      <c r="F1465" s="177" t="s">
        <v>435</v>
      </c>
      <c r="G1465" s="178">
        <v>6457.95</v>
      </c>
      <c r="H1465" s="179">
        <v>42844</v>
      </c>
      <c r="I1465" s="178">
        <f t="shared" si="45"/>
        <v>6457.95</v>
      </c>
      <c r="J1465" s="178">
        <f t="shared" si="46"/>
        <v>0</v>
      </c>
      <c r="K1465" s="19"/>
    </row>
    <row r="1466" spans="1:11" x14ac:dyDescent="0.25">
      <c r="A1466" s="51">
        <v>42838</v>
      </c>
      <c r="B1466" s="174" t="s">
        <v>12999</v>
      </c>
      <c r="C1466" s="175"/>
      <c r="D1466" s="176" t="s">
        <v>12999</v>
      </c>
      <c r="E1466" s="176">
        <v>107900</v>
      </c>
      <c r="F1466" s="177" t="s">
        <v>268</v>
      </c>
      <c r="G1466" s="178">
        <v>29321.599999999999</v>
      </c>
      <c r="H1466" s="179">
        <v>42844</v>
      </c>
      <c r="I1466" s="178">
        <f t="shared" si="45"/>
        <v>29321.599999999999</v>
      </c>
      <c r="J1466" s="178">
        <f t="shared" si="46"/>
        <v>0</v>
      </c>
      <c r="K1466" s="19"/>
    </row>
    <row r="1467" spans="1:11" x14ac:dyDescent="0.25">
      <c r="A1467" s="51">
        <v>42838</v>
      </c>
      <c r="B1467" s="174" t="s">
        <v>13000</v>
      </c>
      <c r="C1467" s="175"/>
      <c r="D1467" s="176" t="s">
        <v>13000</v>
      </c>
      <c r="E1467" s="176">
        <v>107901</v>
      </c>
      <c r="F1467" s="177" t="s">
        <v>432</v>
      </c>
      <c r="G1467" s="178">
        <v>14495.45</v>
      </c>
      <c r="H1467" s="179">
        <v>42844</v>
      </c>
      <c r="I1467" s="178">
        <f t="shared" si="45"/>
        <v>14495.45</v>
      </c>
      <c r="J1467" s="178">
        <f t="shared" si="46"/>
        <v>0</v>
      </c>
      <c r="K1467" s="19"/>
    </row>
    <row r="1468" spans="1:11" x14ac:dyDescent="0.25">
      <c r="A1468" s="51">
        <v>42838</v>
      </c>
      <c r="B1468" s="174" t="s">
        <v>13001</v>
      </c>
      <c r="C1468" s="175"/>
      <c r="D1468" s="176" t="s">
        <v>13001</v>
      </c>
      <c r="E1468" s="176">
        <v>107902</v>
      </c>
      <c r="F1468" s="177" t="s">
        <v>1666</v>
      </c>
      <c r="G1468" s="178">
        <v>12780.25</v>
      </c>
      <c r="H1468" s="179">
        <v>42844</v>
      </c>
      <c r="I1468" s="178">
        <f t="shared" si="45"/>
        <v>12780.25</v>
      </c>
      <c r="J1468" s="178">
        <f t="shared" si="46"/>
        <v>0</v>
      </c>
      <c r="K1468" s="19"/>
    </row>
    <row r="1469" spans="1:11" x14ac:dyDescent="0.25">
      <c r="A1469" s="51">
        <v>42838</v>
      </c>
      <c r="B1469" s="174" t="s">
        <v>13002</v>
      </c>
      <c r="C1469" s="175"/>
      <c r="D1469" s="176" t="s">
        <v>13002</v>
      </c>
      <c r="E1469" s="176">
        <v>107903</v>
      </c>
      <c r="F1469" s="177" t="s">
        <v>2240</v>
      </c>
      <c r="G1469" s="178">
        <v>4794.9399999999996</v>
      </c>
      <c r="H1469" s="179">
        <v>42838</v>
      </c>
      <c r="I1469" s="178">
        <f t="shared" si="45"/>
        <v>4794.9399999999996</v>
      </c>
      <c r="J1469" s="178">
        <f t="shared" si="46"/>
        <v>0</v>
      </c>
      <c r="K1469" s="19"/>
    </row>
    <row r="1470" spans="1:11" x14ac:dyDescent="0.25">
      <c r="A1470" s="51">
        <v>42838</v>
      </c>
      <c r="B1470" s="174" t="s">
        <v>13003</v>
      </c>
      <c r="C1470" s="175"/>
      <c r="D1470" s="176" t="s">
        <v>13003</v>
      </c>
      <c r="E1470" s="176">
        <v>107904</v>
      </c>
      <c r="F1470" s="177" t="s">
        <v>2240</v>
      </c>
      <c r="G1470" s="178">
        <v>3687.2</v>
      </c>
      <c r="H1470" s="179">
        <v>42838</v>
      </c>
      <c r="I1470" s="178">
        <f t="shared" si="45"/>
        <v>3687.2</v>
      </c>
      <c r="J1470" s="178">
        <f t="shared" si="46"/>
        <v>0</v>
      </c>
      <c r="K1470" s="19"/>
    </row>
    <row r="1471" spans="1:11" x14ac:dyDescent="0.25">
      <c r="A1471" s="51">
        <v>42838</v>
      </c>
      <c r="B1471" s="174" t="s">
        <v>13004</v>
      </c>
      <c r="C1471" s="175"/>
      <c r="D1471" s="176" t="s">
        <v>13004</v>
      </c>
      <c r="E1471" s="176">
        <v>107905</v>
      </c>
      <c r="F1471" s="177" t="s">
        <v>272</v>
      </c>
      <c r="G1471" s="178">
        <v>5140</v>
      </c>
      <c r="H1471" s="179">
        <v>42844</v>
      </c>
      <c r="I1471" s="178">
        <f t="shared" si="45"/>
        <v>5140</v>
      </c>
      <c r="J1471" s="178">
        <f t="shared" si="46"/>
        <v>0</v>
      </c>
      <c r="K1471" s="19"/>
    </row>
    <row r="1472" spans="1:11" x14ac:dyDescent="0.25">
      <c r="A1472" s="51">
        <v>42838</v>
      </c>
      <c r="B1472" s="174" t="s">
        <v>13005</v>
      </c>
      <c r="C1472" s="175"/>
      <c r="D1472" s="176" t="s">
        <v>13005</v>
      </c>
      <c r="E1472" s="176">
        <v>107906</v>
      </c>
      <c r="F1472" s="177" t="s">
        <v>862</v>
      </c>
      <c r="G1472" s="178">
        <v>1672.8</v>
      </c>
      <c r="H1472" s="179">
        <v>42838</v>
      </c>
      <c r="I1472" s="178">
        <f t="shared" si="45"/>
        <v>1672.8</v>
      </c>
      <c r="J1472" s="178">
        <f t="shared" si="46"/>
        <v>0</v>
      </c>
      <c r="K1472" s="19"/>
    </row>
    <row r="1473" spans="1:11" x14ac:dyDescent="0.25">
      <c r="A1473" s="51">
        <v>42838</v>
      </c>
      <c r="B1473" s="174" t="s">
        <v>13006</v>
      </c>
      <c r="C1473" s="175"/>
      <c r="D1473" s="176" t="s">
        <v>13006</v>
      </c>
      <c r="E1473" s="176">
        <v>107907</v>
      </c>
      <c r="F1473" s="177" t="s">
        <v>298</v>
      </c>
      <c r="G1473" s="178">
        <v>3212.1</v>
      </c>
      <c r="H1473" s="179">
        <v>42838</v>
      </c>
      <c r="I1473" s="178">
        <f t="shared" si="45"/>
        <v>3212.1</v>
      </c>
      <c r="J1473" s="178">
        <f t="shared" si="46"/>
        <v>0</v>
      </c>
      <c r="K1473" s="19"/>
    </row>
    <row r="1474" spans="1:11" x14ac:dyDescent="0.25">
      <c r="A1474" s="51">
        <v>42838</v>
      </c>
      <c r="B1474" s="174" t="s">
        <v>13007</v>
      </c>
      <c r="C1474" s="175"/>
      <c r="D1474" s="176" t="s">
        <v>13007</v>
      </c>
      <c r="E1474" s="176">
        <v>107908</v>
      </c>
      <c r="F1474" s="177" t="s">
        <v>30</v>
      </c>
      <c r="G1474" s="178">
        <v>2055.4</v>
      </c>
      <c r="H1474" s="179">
        <v>42838</v>
      </c>
      <c r="I1474" s="178">
        <f t="shared" si="45"/>
        <v>2055.4</v>
      </c>
      <c r="J1474" s="178">
        <f t="shared" si="46"/>
        <v>0</v>
      </c>
      <c r="K1474" s="19"/>
    </row>
    <row r="1475" spans="1:11" x14ac:dyDescent="0.25">
      <c r="A1475" s="51">
        <v>42838</v>
      </c>
      <c r="B1475" s="174" t="s">
        <v>13008</v>
      </c>
      <c r="C1475" s="175"/>
      <c r="D1475" s="176" t="s">
        <v>13008</v>
      </c>
      <c r="E1475" s="176">
        <v>107909</v>
      </c>
      <c r="F1475" s="177" t="s">
        <v>289</v>
      </c>
      <c r="G1475" s="178">
        <v>118168.98</v>
      </c>
      <c r="H1475" s="186">
        <v>42851</v>
      </c>
      <c r="I1475" s="187">
        <f t="shared" si="45"/>
        <v>118168.98</v>
      </c>
      <c r="J1475" s="178">
        <f t="shared" si="46"/>
        <v>0</v>
      </c>
      <c r="K1475" s="19"/>
    </row>
    <row r="1476" spans="1:11" x14ac:dyDescent="0.25">
      <c r="A1476" s="51">
        <v>42838</v>
      </c>
      <c r="B1476" s="174" t="s">
        <v>13009</v>
      </c>
      <c r="C1476" s="175"/>
      <c r="D1476" s="176" t="s">
        <v>13009</v>
      </c>
      <c r="E1476" s="176">
        <v>107910</v>
      </c>
      <c r="F1476" s="177" t="s">
        <v>67</v>
      </c>
      <c r="G1476" s="178">
        <v>4356</v>
      </c>
      <c r="H1476" s="179">
        <v>42838</v>
      </c>
      <c r="I1476" s="178">
        <f t="shared" ref="I1476:I1539" si="47">G1476</f>
        <v>4356</v>
      </c>
      <c r="J1476" s="178">
        <f t="shared" ref="J1476:J1539" si="48">G1476-I1476</f>
        <v>0</v>
      </c>
      <c r="K1476" s="19"/>
    </row>
    <row r="1477" spans="1:11" x14ac:dyDescent="0.25">
      <c r="A1477" s="51">
        <v>42838</v>
      </c>
      <c r="B1477" s="174" t="s">
        <v>13010</v>
      </c>
      <c r="C1477" s="175"/>
      <c r="D1477" s="176" t="s">
        <v>13010</v>
      </c>
      <c r="E1477" s="176">
        <v>107911</v>
      </c>
      <c r="F1477" s="177" t="s">
        <v>71</v>
      </c>
      <c r="G1477" s="178">
        <v>4056.5</v>
      </c>
      <c r="H1477" s="179">
        <v>42838</v>
      </c>
      <c r="I1477" s="178">
        <f t="shared" si="47"/>
        <v>4056.5</v>
      </c>
      <c r="J1477" s="178">
        <f t="shared" si="48"/>
        <v>0</v>
      </c>
      <c r="K1477" s="19"/>
    </row>
    <row r="1478" spans="1:11" x14ac:dyDescent="0.25">
      <c r="A1478" s="51">
        <v>42838</v>
      </c>
      <c r="B1478" s="174" t="s">
        <v>13011</v>
      </c>
      <c r="C1478" s="175"/>
      <c r="D1478" s="176" t="s">
        <v>13011</v>
      </c>
      <c r="E1478" s="176">
        <v>107912</v>
      </c>
      <c r="F1478" s="177" t="s">
        <v>43</v>
      </c>
      <c r="G1478" s="178">
        <v>11129.3</v>
      </c>
      <c r="H1478" s="179">
        <v>42838</v>
      </c>
      <c r="I1478" s="178">
        <f t="shared" si="47"/>
        <v>11129.3</v>
      </c>
      <c r="J1478" s="178">
        <f t="shared" si="48"/>
        <v>0</v>
      </c>
      <c r="K1478" s="19"/>
    </row>
    <row r="1479" spans="1:11" x14ac:dyDescent="0.25">
      <c r="A1479" s="51">
        <v>42838</v>
      </c>
      <c r="B1479" s="174" t="s">
        <v>13012</v>
      </c>
      <c r="C1479" s="175"/>
      <c r="D1479" s="176" t="s">
        <v>13012</v>
      </c>
      <c r="E1479" s="176">
        <v>107913</v>
      </c>
      <c r="F1479" s="177" t="s">
        <v>10</v>
      </c>
      <c r="G1479" s="178">
        <v>20339.599999999999</v>
      </c>
      <c r="H1479" s="179">
        <v>42842</v>
      </c>
      <c r="I1479" s="178">
        <f t="shared" si="47"/>
        <v>20339.599999999999</v>
      </c>
      <c r="J1479" s="178">
        <f t="shared" si="48"/>
        <v>0</v>
      </c>
      <c r="K1479" s="19"/>
    </row>
    <row r="1480" spans="1:11" x14ac:dyDescent="0.25">
      <c r="A1480" s="51">
        <v>42838</v>
      </c>
      <c r="B1480" s="174" t="s">
        <v>13013</v>
      </c>
      <c r="C1480" s="175"/>
      <c r="D1480" s="176" t="s">
        <v>13013</v>
      </c>
      <c r="E1480" s="176">
        <v>107914</v>
      </c>
      <c r="F1480" s="182" t="s">
        <v>312</v>
      </c>
      <c r="G1480" s="183">
        <v>0</v>
      </c>
      <c r="H1480" s="184" t="s">
        <v>95</v>
      </c>
      <c r="I1480" s="183">
        <f t="shared" si="47"/>
        <v>0</v>
      </c>
      <c r="J1480" s="183">
        <f t="shared" si="48"/>
        <v>0</v>
      </c>
      <c r="K1480" s="19"/>
    </row>
    <row r="1481" spans="1:11" x14ac:dyDescent="0.25">
      <c r="A1481" s="51">
        <v>42838</v>
      </c>
      <c r="B1481" s="174" t="s">
        <v>13014</v>
      </c>
      <c r="C1481" s="175"/>
      <c r="D1481" s="176" t="s">
        <v>13014</v>
      </c>
      <c r="E1481" s="176">
        <v>107915</v>
      </c>
      <c r="F1481" s="177" t="s">
        <v>921</v>
      </c>
      <c r="G1481" s="178">
        <v>5138.8</v>
      </c>
      <c r="H1481" s="198">
        <v>42838</v>
      </c>
      <c r="I1481" s="178">
        <f t="shared" si="47"/>
        <v>5138.8</v>
      </c>
      <c r="J1481" s="178">
        <f t="shared" si="48"/>
        <v>0</v>
      </c>
      <c r="K1481" s="19"/>
    </row>
    <row r="1482" spans="1:11" x14ac:dyDescent="0.25">
      <c r="A1482" s="51">
        <v>42838</v>
      </c>
      <c r="B1482" s="174" t="s">
        <v>13015</v>
      </c>
      <c r="C1482" s="175"/>
      <c r="D1482" s="176" t="s">
        <v>13015</v>
      </c>
      <c r="E1482" s="176">
        <v>107916</v>
      </c>
      <c r="F1482" s="177" t="s">
        <v>61</v>
      </c>
      <c r="G1482" s="178">
        <v>8560.15</v>
      </c>
      <c r="H1482" s="179">
        <v>42840</v>
      </c>
      <c r="I1482" s="178">
        <f t="shared" si="47"/>
        <v>8560.15</v>
      </c>
      <c r="J1482" s="178">
        <f t="shared" si="48"/>
        <v>0</v>
      </c>
      <c r="K1482" s="19"/>
    </row>
    <row r="1483" spans="1:11" x14ac:dyDescent="0.25">
      <c r="A1483" s="51">
        <v>42838</v>
      </c>
      <c r="B1483" s="174" t="s">
        <v>13016</v>
      </c>
      <c r="C1483" s="175"/>
      <c r="D1483" s="176" t="s">
        <v>13016</v>
      </c>
      <c r="E1483" s="176">
        <v>107917</v>
      </c>
      <c r="F1483" s="177" t="s">
        <v>45</v>
      </c>
      <c r="G1483" s="178">
        <v>3829.2</v>
      </c>
      <c r="H1483" s="179">
        <v>42842</v>
      </c>
      <c r="I1483" s="178">
        <f t="shared" si="47"/>
        <v>3829.2</v>
      </c>
      <c r="J1483" s="178">
        <f t="shared" si="48"/>
        <v>0</v>
      </c>
      <c r="K1483" s="19"/>
    </row>
    <row r="1484" spans="1:11" x14ac:dyDescent="0.25">
      <c r="A1484" s="51">
        <v>42838</v>
      </c>
      <c r="B1484" s="174" t="s">
        <v>13017</v>
      </c>
      <c r="C1484" s="175"/>
      <c r="D1484" s="176" t="s">
        <v>13017</v>
      </c>
      <c r="E1484" s="176">
        <v>107918</v>
      </c>
      <c r="F1484" s="177" t="s">
        <v>188</v>
      </c>
      <c r="G1484" s="178">
        <v>3053</v>
      </c>
      <c r="H1484" s="179">
        <v>42840</v>
      </c>
      <c r="I1484" s="178">
        <f t="shared" si="47"/>
        <v>3053</v>
      </c>
      <c r="J1484" s="178">
        <f t="shared" si="48"/>
        <v>0</v>
      </c>
      <c r="K1484" s="19"/>
    </row>
    <row r="1485" spans="1:11" x14ac:dyDescent="0.25">
      <c r="A1485" s="51">
        <v>42838</v>
      </c>
      <c r="B1485" s="174" t="s">
        <v>13018</v>
      </c>
      <c r="C1485" s="175"/>
      <c r="D1485" s="176" t="s">
        <v>13018</v>
      </c>
      <c r="E1485" s="176">
        <v>107919</v>
      </c>
      <c r="F1485" s="177" t="s">
        <v>7182</v>
      </c>
      <c r="G1485" s="178">
        <v>1089.5999999999999</v>
      </c>
      <c r="H1485" s="179">
        <v>42840</v>
      </c>
      <c r="I1485" s="178">
        <f t="shared" si="47"/>
        <v>1089.5999999999999</v>
      </c>
      <c r="J1485" s="178">
        <f t="shared" si="48"/>
        <v>0</v>
      </c>
      <c r="K1485" s="19"/>
    </row>
    <row r="1486" spans="1:11" x14ac:dyDescent="0.25">
      <c r="A1486" s="51">
        <v>42838</v>
      </c>
      <c r="B1486" s="174" t="s">
        <v>13019</v>
      </c>
      <c r="C1486" s="175"/>
      <c r="D1486" s="176" t="s">
        <v>13019</v>
      </c>
      <c r="E1486" s="176">
        <v>107920</v>
      </c>
      <c r="F1486" s="177" t="s">
        <v>57</v>
      </c>
      <c r="G1486" s="178">
        <v>946</v>
      </c>
      <c r="H1486" s="179">
        <v>42840</v>
      </c>
      <c r="I1486" s="178">
        <f t="shared" si="47"/>
        <v>946</v>
      </c>
      <c r="J1486" s="178">
        <f t="shared" si="48"/>
        <v>0</v>
      </c>
      <c r="K1486" s="19"/>
    </row>
    <row r="1487" spans="1:11" x14ac:dyDescent="0.25">
      <c r="A1487" s="51">
        <v>42838</v>
      </c>
      <c r="B1487" s="174" t="s">
        <v>13020</v>
      </c>
      <c r="C1487" s="175"/>
      <c r="D1487" s="176" t="s">
        <v>13020</v>
      </c>
      <c r="E1487" s="176">
        <v>107921</v>
      </c>
      <c r="F1487" s="177" t="s">
        <v>633</v>
      </c>
      <c r="G1487" s="178">
        <v>3791.8</v>
      </c>
      <c r="H1487" s="179">
        <v>42840</v>
      </c>
      <c r="I1487" s="178">
        <f t="shared" si="47"/>
        <v>3791.8</v>
      </c>
      <c r="J1487" s="178">
        <f t="shared" si="48"/>
        <v>0</v>
      </c>
      <c r="K1487" s="19"/>
    </row>
    <row r="1488" spans="1:11" x14ac:dyDescent="0.25">
      <c r="A1488" s="51">
        <v>42838</v>
      </c>
      <c r="B1488" s="174" t="s">
        <v>13021</v>
      </c>
      <c r="C1488" s="175"/>
      <c r="D1488" s="176" t="s">
        <v>13021</v>
      </c>
      <c r="E1488" s="176">
        <v>107922</v>
      </c>
      <c r="F1488" s="177" t="s">
        <v>660</v>
      </c>
      <c r="G1488" s="178">
        <v>1650</v>
      </c>
      <c r="H1488" s="179">
        <v>42840</v>
      </c>
      <c r="I1488" s="178">
        <f t="shared" si="47"/>
        <v>1650</v>
      </c>
      <c r="J1488" s="178">
        <f t="shared" si="48"/>
        <v>0</v>
      </c>
      <c r="K1488" s="19"/>
    </row>
    <row r="1489" spans="1:11" x14ac:dyDescent="0.25">
      <c r="A1489" s="51">
        <v>42838</v>
      </c>
      <c r="B1489" s="174" t="s">
        <v>13022</v>
      </c>
      <c r="C1489" s="175"/>
      <c r="D1489" s="176" t="s">
        <v>13022</v>
      </c>
      <c r="E1489" s="176">
        <v>107923</v>
      </c>
      <c r="F1489" s="177" t="s">
        <v>193</v>
      </c>
      <c r="G1489" s="178">
        <v>3360</v>
      </c>
      <c r="H1489" s="179">
        <v>42840</v>
      </c>
      <c r="I1489" s="178">
        <f t="shared" si="47"/>
        <v>3360</v>
      </c>
      <c r="J1489" s="178">
        <f t="shared" si="48"/>
        <v>0</v>
      </c>
      <c r="K1489" s="19"/>
    </row>
    <row r="1490" spans="1:11" x14ac:dyDescent="0.25">
      <c r="A1490" s="51">
        <v>42838</v>
      </c>
      <c r="B1490" s="174" t="s">
        <v>13023</v>
      </c>
      <c r="C1490" s="175"/>
      <c r="D1490" s="176" t="s">
        <v>13023</v>
      </c>
      <c r="E1490" s="176">
        <v>107924</v>
      </c>
      <c r="F1490" s="177" t="s">
        <v>30</v>
      </c>
      <c r="G1490" s="178">
        <v>1480.8</v>
      </c>
      <c r="H1490" s="179">
        <v>42838</v>
      </c>
      <c r="I1490" s="178">
        <f t="shared" si="47"/>
        <v>1480.8</v>
      </c>
      <c r="J1490" s="178">
        <f t="shared" si="48"/>
        <v>0</v>
      </c>
      <c r="K1490" s="19"/>
    </row>
    <row r="1491" spans="1:11" x14ac:dyDescent="0.25">
      <c r="A1491" s="51">
        <v>42838</v>
      </c>
      <c r="B1491" s="174" t="s">
        <v>13024</v>
      </c>
      <c r="C1491" s="175"/>
      <c r="D1491" s="176" t="s">
        <v>13024</v>
      </c>
      <c r="E1491" s="176">
        <v>107925</v>
      </c>
      <c r="F1491" s="177" t="s">
        <v>182</v>
      </c>
      <c r="G1491" s="178">
        <v>2150</v>
      </c>
      <c r="H1491" s="179">
        <v>42840</v>
      </c>
      <c r="I1491" s="178">
        <f t="shared" si="47"/>
        <v>2150</v>
      </c>
      <c r="J1491" s="178">
        <f t="shared" si="48"/>
        <v>0</v>
      </c>
      <c r="K1491" s="19"/>
    </row>
    <row r="1492" spans="1:11" x14ac:dyDescent="0.25">
      <c r="A1492" s="51">
        <v>42838</v>
      </c>
      <c r="B1492" s="174" t="s">
        <v>13025</v>
      </c>
      <c r="C1492" s="175"/>
      <c r="D1492" s="176" t="s">
        <v>13025</v>
      </c>
      <c r="E1492" s="176">
        <v>107926</v>
      </c>
      <c r="F1492" s="177" t="s">
        <v>30</v>
      </c>
      <c r="G1492" s="178">
        <v>5328.12</v>
      </c>
      <c r="H1492" s="179">
        <v>42838</v>
      </c>
      <c r="I1492" s="178">
        <f t="shared" si="47"/>
        <v>5328.12</v>
      </c>
      <c r="J1492" s="178">
        <f t="shared" si="48"/>
        <v>0</v>
      </c>
      <c r="K1492" s="19"/>
    </row>
    <row r="1493" spans="1:11" x14ac:dyDescent="0.25">
      <c r="A1493" s="51">
        <v>42838</v>
      </c>
      <c r="B1493" s="174" t="s">
        <v>13026</v>
      </c>
      <c r="C1493" s="175"/>
      <c r="D1493" s="176" t="s">
        <v>13026</v>
      </c>
      <c r="E1493" s="176">
        <v>107927</v>
      </c>
      <c r="F1493" s="177" t="s">
        <v>30</v>
      </c>
      <c r="G1493" s="178">
        <v>1144.08</v>
      </c>
      <c r="H1493" s="179">
        <v>42838</v>
      </c>
      <c r="I1493" s="178">
        <f t="shared" si="47"/>
        <v>1144.08</v>
      </c>
      <c r="J1493" s="178">
        <f t="shared" si="48"/>
        <v>0</v>
      </c>
      <c r="K1493" s="19"/>
    </row>
    <row r="1494" spans="1:11" x14ac:dyDescent="0.25">
      <c r="A1494" s="51">
        <v>42838</v>
      </c>
      <c r="B1494" s="174" t="s">
        <v>13027</v>
      </c>
      <c r="C1494" s="175"/>
      <c r="D1494" s="176" t="s">
        <v>13027</v>
      </c>
      <c r="E1494" s="176">
        <v>107928</v>
      </c>
      <c r="F1494" s="177" t="s">
        <v>291</v>
      </c>
      <c r="G1494" s="178">
        <v>4452.8</v>
      </c>
      <c r="H1494" s="179">
        <v>42838</v>
      </c>
      <c r="I1494" s="178">
        <f t="shared" si="47"/>
        <v>4452.8</v>
      </c>
      <c r="J1494" s="178">
        <f t="shared" si="48"/>
        <v>0</v>
      </c>
      <c r="K1494" s="19"/>
    </row>
    <row r="1495" spans="1:11" x14ac:dyDescent="0.25">
      <c r="A1495" s="51">
        <v>42838</v>
      </c>
      <c r="B1495" s="174" t="s">
        <v>13028</v>
      </c>
      <c r="C1495" s="175"/>
      <c r="D1495" s="176" t="s">
        <v>13028</v>
      </c>
      <c r="E1495" s="176">
        <v>107929</v>
      </c>
      <c r="F1495" s="177" t="s">
        <v>1259</v>
      </c>
      <c r="G1495" s="178">
        <v>1911</v>
      </c>
      <c r="H1495" s="179">
        <v>42838</v>
      </c>
      <c r="I1495" s="178">
        <f t="shared" si="47"/>
        <v>1911</v>
      </c>
      <c r="J1495" s="178">
        <f t="shared" si="48"/>
        <v>0</v>
      </c>
      <c r="K1495" s="19"/>
    </row>
    <row r="1496" spans="1:11" x14ac:dyDescent="0.25">
      <c r="A1496" s="51">
        <v>42838</v>
      </c>
      <c r="B1496" s="174" t="s">
        <v>13029</v>
      </c>
      <c r="C1496" s="175"/>
      <c r="D1496" s="176" t="s">
        <v>13029</v>
      </c>
      <c r="E1496" s="176">
        <v>107930</v>
      </c>
      <c r="F1496" s="177" t="s">
        <v>99</v>
      </c>
      <c r="G1496" s="178">
        <v>2150</v>
      </c>
      <c r="H1496" s="179">
        <v>42838</v>
      </c>
      <c r="I1496" s="178">
        <f t="shared" si="47"/>
        <v>2150</v>
      </c>
      <c r="J1496" s="178">
        <f t="shared" si="48"/>
        <v>0</v>
      </c>
      <c r="K1496" s="19"/>
    </row>
    <row r="1497" spans="1:11" x14ac:dyDescent="0.25">
      <c r="A1497" s="51">
        <v>42838</v>
      </c>
      <c r="B1497" s="174" t="s">
        <v>13030</v>
      </c>
      <c r="C1497" s="175"/>
      <c r="D1497" s="176" t="s">
        <v>13030</v>
      </c>
      <c r="E1497" s="176">
        <v>107931</v>
      </c>
      <c r="F1497" s="177" t="s">
        <v>4367</v>
      </c>
      <c r="G1497" s="178">
        <v>1434</v>
      </c>
      <c r="H1497" s="179">
        <v>42838</v>
      </c>
      <c r="I1497" s="178">
        <f t="shared" si="47"/>
        <v>1434</v>
      </c>
      <c r="J1497" s="178">
        <f t="shared" si="48"/>
        <v>0</v>
      </c>
      <c r="K1497" s="19"/>
    </row>
    <row r="1498" spans="1:11" x14ac:dyDescent="0.25">
      <c r="A1498" s="51">
        <v>42838</v>
      </c>
      <c r="B1498" s="174" t="s">
        <v>13031</v>
      </c>
      <c r="C1498" s="175"/>
      <c r="D1498" s="176" t="s">
        <v>13031</v>
      </c>
      <c r="E1498" s="176">
        <v>107932</v>
      </c>
      <c r="F1498" s="177" t="s">
        <v>281</v>
      </c>
      <c r="G1498" s="178">
        <v>906</v>
      </c>
      <c r="H1498" s="179">
        <v>42838</v>
      </c>
      <c r="I1498" s="178">
        <f t="shared" si="47"/>
        <v>906</v>
      </c>
      <c r="J1498" s="178">
        <f t="shared" si="48"/>
        <v>0</v>
      </c>
      <c r="K1498" s="19"/>
    </row>
    <row r="1499" spans="1:11" x14ac:dyDescent="0.25">
      <c r="A1499" s="51">
        <v>42838</v>
      </c>
      <c r="B1499" s="174" t="s">
        <v>13032</v>
      </c>
      <c r="C1499" s="175"/>
      <c r="D1499" s="176" t="s">
        <v>13032</v>
      </c>
      <c r="E1499" s="176">
        <v>107933</v>
      </c>
      <c r="F1499" s="177" t="s">
        <v>83</v>
      </c>
      <c r="G1499" s="178">
        <v>2137.6</v>
      </c>
      <c r="H1499" s="179">
        <v>42838</v>
      </c>
      <c r="I1499" s="178">
        <f t="shared" si="47"/>
        <v>2137.6</v>
      </c>
      <c r="J1499" s="178">
        <f t="shared" si="48"/>
        <v>0</v>
      </c>
      <c r="K1499" s="19"/>
    </row>
    <row r="1500" spans="1:11" x14ac:dyDescent="0.25">
      <c r="A1500" s="51">
        <v>42838</v>
      </c>
      <c r="B1500" s="174" t="s">
        <v>13033</v>
      </c>
      <c r="C1500" s="175"/>
      <c r="D1500" s="176" t="s">
        <v>13033</v>
      </c>
      <c r="E1500" s="176">
        <v>107934</v>
      </c>
      <c r="F1500" s="177" t="s">
        <v>88</v>
      </c>
      <c r="G1500" s="178">
        <v>9172.7999999999993</v>
      </c>
      <c r="H1500" s="179">
        <v>42838</v>
      </c>
      <c r="I1500" s="178">
        <f t="shared" si="47"/>
        <v>9172.7999999999993</v>
      </c>
      <c r="J1500" s="178">
        <f t="shared" si="48"/>
        <v>0</v>
      </c>
      <c r="K1500" s="19"/>
    </row>
    <row r="1501" spans="1:11" x14ac:dyDescent="0.25">
      <c r="A1501" s="51">
        <v>42838</v>
      </c>
      <c r="B1501" s="174" t="s">
        <v>13034</v>
      </c>
      <c r="C1501" s="175"/>
      <c r="D1501" s="176" t="s">
        <v>13034</v>
      </c>
      <c r="E1501" s="176">
        <v>107935</v>
      </c>
      <c r="F1501" s="177" t="s">
        <v>21</v>
      </c>
      <c r="G1501" s="178">
        <v>42416</v>
      </c>
      <c r="H1501" s="186">
        <v>42851</v>
      </c>
      <c r="I1501" s="187">
        <f t="shared" si="47"/>
        <v>42416</v>
      </c>
      <c r="J1501" s="178">
        <f t="shared" si="48"/>
        <v>0</v>
      </c>
      <c r="K1501" s="19"/>
    </row>
    <row r="1502" spans="1:11" x14ac:dyDescent="0.25">
      <c r="A1502" s="51">
        <v>42838</v>
      </c>
      <c r="B1502" s="174" t="s">
        <v>13035</v>
      </c>
      <c r="C1502" s="175"/>
      <c r="D1502" s="176" t="s">
        <v>13035</v>
      </c>
      <c r="E1502" s="176">
        <v>107936</v>
      </c>
      <c r="F1502" s="177" t="s">
        <v>405</v>
      </c>
      <c r="G1502" s="178">
        <v>1742.4</v>
      </c>
      <c r="H1502" s="179">
        <v>42838</v>
      </c>
      <c r="I1502" s="178">
        <f t="shared" si="47"/>
        <v>1742.4</v>
      </c>
      <c r="J1502" s="178">
        <f t="shared" si="48"/>
        <v>0</v>
      </c>
      <c r="K1502" s="19"/>
    </row>
    <row r="1503" spans="1:11" x14ac:dyDescent="0.25">
      <c r="A1503" s="51">
        <v>42838</v>
      </c>
      <c r="B1503" s="174" t="s">
        <v>13036</v>
      </c>
      <c r="C1503" s="175"/>
      <c r="D1503" s="176" t="s">
        <v>13036</v>
      </c>
      <c r="E1503" s="176">
        <v>107937</v>
      </c>
      <c r="F1503" s="177" t="s">
        <v>151</v>
      </c>
      <c r="G1503" s="178">
        <v>26159.15</v>
      </c>
      <c r="H1503" s="179">
        <v>42840</v>
      </c>
      <c r="I1503" s="178">
        <f t="shared" si="47"/>
        <v>26159.15</v>
      </c>
      <c r="J1503" s="178">
        <f t="shared" si="48"/>
        <v>0</v>
      </c>
      <c r="K1503" s="19"/>
    </row>
    <row r="1504" spans="1:11" x14ac:dyDescent="0.25">
      <c r="A1504" s="51">
        <v>42838</v>
      </c>
      <c r="B1504" s="174" t="s">
        <v>13037</v>
      </c>
      <c r="C1504" s="175"/>
      <c r="D1504" s="176" t="s">
        <v>13037</v>
      </c>
      <c r="E1504" s="176">
        <v>107938</v>
      </c>
      <c r="F1504" s="177" t="s">
        <v>157</v>
      </c>
      <c r="G1504" s="178">
        <v>6968.5</v>
      </c>
      <c r="H1504" s="179">
        <v>42840</v>
      </c>
      <c r="I1504" s="178">
        <f t="shared" si="47"/>
        <v>6968.5</v>
      </c>
      <c r="J1504" s="178">
        <f t="shared" si="48"/>
        <v>0</v>
      </c>
      <c r="K1504" s="19"/>
    </row>
    <row r="1505" spans="1:11" x14ac:dyDescent="0.25">
      <c r="A1505" s="51">
        <v>42838</v>
      </c>
      <c r="B1505" s="174" t="s">
        <v>13038</v>
      </c>
      <c r="C1505" s="175"/>
      <c r="D1505" s="176" t="s">
        <v>13038</v>
      </c>
      <c r="E1505" s="176">
        <v>107939</v>
      </c>
      <c r="F1505" s="177" t="s">
        <v>472</v>
      </c>
      <c r="G1505" s="178">
        <v>11626.5</v>
      </c>
      <c r="H1505" s="179">
        <v>42842</v>
      </c>
      <c r="I1505" s="178">
        <f t="shared" si="47"/>
        <v>11626.5</v>
      </c>
      <c r="J1505" s="178">
        <f t="shared" si="48"/>
        <v>0</v>
      </c>
      <c r="K1505" s="19"/>
    </row>
    <row r="1506" spans="1:11" ht="15.75" x14ac:dyDescent="0.25">
      <c r="A1506" s="51">
        <v>42838</v>
      </c>
      <c r="B1506" s="174" t="s">
        <v>13039</v>
      </c>
      <c r="C1506" s="175"/>
      <c r="D1506" s="176" t="s">
        <v>13039</v>
      </c>
      <c r="E1506" s="176">
        <v>107940</v>
      </c>
      <c r="F1506" s="182" t="s">
        <v>30</v>
      </c>
      <c r="G1506" s="183">
        <v>0</v>
      </c>
      <c r="H1506" s="185" t="s">
        <v>95</v>
      </c>
      <c r="I1506" s="178">
        <f t="shared" si="47"/>
        <v>0</v>
      </c>
      <c r="J1506" s="178">
        <f t="shared" si="48"/>
        <v>0</v>
      </c>
      <c r="K1506" s="19"/>
    </row>
    <row r="1507" spans="1:11" x14ac:dyDescent="0.25">
      <c r="A1507" s="51">
        <v>42838</v>
      </c>
      <c r="B1507" s="174" t="s">
        <v>13040</v>
      </c>
      <c r="C1507" s="175"/>
      <c r="D1507" s="176" t="s">
        <v>13040</v>
      </c>
      <c r="E1507" s="176">
        <v>107941</v>
      </c>
      <c r="F1507" s="177" t="s">
        <v>12</v>
      </c>
      <c r="G1507" s="178">
        <v>3708</v>
      </c>
      <c r="H1507" s="179">
        <v>42840</v>
      </c>
      <c r="I1507" s="178">
        <f t="shared" si="47"/>
        <v>3708</v>
      </c>
      <c r="J1507" s="178">
        <f t="shared" si="48"/>
        <v>0</v>
      </c>
      <c r="K1507" s="19"/>
    </row>
    <row r="1508" spans="1:11" x14ac:dyDescent="0.25">
      <c r="A1508" s="51">
        <v>42838</v>
      </c>
      <c r="B1508" s="174" t="s">
        <v>13041</v>
      </c>
      <c r="C1508" s="175"/>
      <c r="D1508" s="176" t="s">
        <v>13041</v>
      </c>
      <c r="E1508" s="176">
        <v>107942</v>
      </c>
      <c r="F1508" s="177" t="s">
        <v>1870</v>
      </c>
      <c r="G1508" s="178">
        <v>5671.1</v>
      </c>
      <c r="H1508" s="179">
        <v>42838</v>
      </c>
      <c r="I1508" s="178">
        <f t="shared" si="47"/>
        <v>5671.1</v>
      </c>
      <c r="J1508" s="178">
        <f t="shared" si="48"/>
        <v>0</v>
      </c>
      <c r="K1508" s="19"/>
    </row>
    <row r="1509" spans="1:11" x14ac:dyDescent="0.25">
      <c r="A1509" s="51">
        <v>42838</v>
      </c>
      <c r="B1509" s="174" t="s">
        <v>13042</v>
      </c>
      <c r="C1509" s="175"/>
      <c r="D1509" s="176" t="s">
        <v>13042</v>
      </c>
      <c r="E1509" s="176">
        <v>107943</v>
      </c>
      <c r="F1509" s="177" t="s">
        <v>289</v>
      </c>
      <c r="G1509" s="178">
        <v>30916.799999999999</v>
      </c>
      <c r="H1509" s="184">
        <v>42851</v>
      </c>
      <c r="I1509" s="183">
        <f t="shared" si="47"/>
        <v>30916.799999999999</v>
      </c>
      <c r="J1509" s="178">
        <f t="shared" si="48"/>
        <v>0</v>
      </c>
      <c r="K1509" s="19"/>
    </row>
    <row r="1510" spans="1:11" x14ac:dyDescent="0.25">
      <c r="A1510" s="51">
        <v>42838</v>
      </c>
      <c r="B1510" s="174" t="s">
        <v>13043</v>
      </c>
      <c r="C1510" s="175"/>
      <c r="D1510" s="176" t="s">
        <v>13043</v>
      </c>
      <c r="E1510" s="176">
        <v>107944</v>
      </c>
      <c r="F1510" s="177" t="s">
        <v>222</v>
      </c>
      <c r="G1510" s="178">
        <v>677875</v>
      </c>
      <c r="H1510" s="179">
        <v>42844</v>
      </c>
      <c r="I1510" s="178">
        <f t="shared" si="47"/>
        <v>677875</v>
      </c>
      <c r="J1510" s="178">
        <f t="shared" si="48"/>
        <v>0</v>
      </c>
      <c r="K1510" s="19"/>
    </row>
    <row r="1511" spans="1:11" x14ac:dyDescent="0.25">
      <c r="A1511" s="51">
        <v>42838</v>
      </c>
      <c r="B1511" s="174" t="s">
        <v>13044</v>
      </c>
      <c r="C1511" s="175"/>
      <c r="D1511" s="176" t="s">
        <v>13044</v>
      </c>
      <c r="E1511" s="176">
        <v>107945</v>
      </c>
      <c r="F1511" s="177" t="s">
        <v>222</v>
      </c>
      <c r="G1511" s="178">
        <v>87344.35</v>
      </c>
      <c r="H1511" s="179">
        <v>42848</v>
      </c>
      <c r="I1511" s="178">
        <f t="shared" si="47"/>
        <v>87344.35</v>
      </c>
      <c r="J1511" s="178">
        <f t="shared" si="48"/>
        <v>0</v>
      </c>
      <c r="K1511" s="19"/>
    </row>
    <row r="1512" spans="1:11" x14ac:dyDescent="0.25">
      <c r="A1512" s="51">
        <v>42838</v>
      </c>
      <c r="B1512" s="174" t="s">
        <v>13045</v>
      </c>
      <c r="C1512" s="175"/>
      <c r="D1512" s="176" t="s">
        <v>13045</v>
      </c>
      <c r="E1512" s="176">
        <v>107946</v>
      </c>
      <c r="F1512" s="177" t="s">
        <v>773</v>
      </c>
      <c r="G1512" s="178">
        <v>680.5</v>
      </c>
      <c r="H1512" s="179">
        <v>42838</v>
      </c>
      <c r="I1512" s="178">
        <f t="shared" si="47"/>
        <v>680.5</v>
      </c>
      <c r="J1512" s="178">
        <f t="shared" si="48"/>
        <v>0</v>
      </c>
      <c r="K1512" s="19"/>
    </row>
    <row r="1513" spans="1:11" x14ac:dyDescent="0.25">
      <c r="A1513" s="51">
        <v>42838</v>
      </c>
      <c r="B1513" s="174" t="s">
        <v>13046</v>
      </c>
      <c r="C1513" s="175"/>
      <c r="D1513" s="176" t="s">
        <v>13046</v>
      </c>
      <c r="E1513" s="176">
        <v>107947</v>
      </c>
      <c r="F1513" s="177" t="s">
        <v>30</v>
      </c>
      <c r="G1513" s="178">
        <v>2511.1999999999998</v>
      </c>
      <c r="H1513" s="179">
        <v>42838</v>
      </c>
      <c r="I1513" s="178">
        <f t="shared" si="47"/>
        <v>2511.1999999999998</v>
      </c>
      <c r="J1513" s="178">
        <f t="shared" si="48"/>
        <v>0</v>
      </c>
      <c r="K1513" s="19"/>
    </row>
    <row r="1514" spans="1:11" x14ac:dyDescent="0.25">
      <c r="A1514" s="51">
        <v>42838</v>
      </c>
      <c r="B1514" s="174" t="s">
        <v>13047</v>
      </c>
      <c r="C1514" s="175"/>
      <c r="D1514" s="176" t="s">
        <v>13047</v>
      </c>
      <c r="E1514" s="176">
        <v>107948</v>
      </c>
      <c r="F1514" s="177" t="s">
        <v>133</v>
      </c>
      <c r="G1514" s="178">
        <v>13939.15</v>
      </c>
      <c r="H1514" s="179">
        <v>42845</v>
      </c>
      <c r="I1514" s="178">
        <f t="shared" si="47"/>
        <v>13939.15</v>
      </c>
      <c r="J1514" s="178">
        <f t="shared" si="48"/>
        <v>0</v>
      </c>
      <c r="K1514" s="19"/>
    </row>
    <row r="1515" spans="1:11" x14ac:dyDescent="0.25">
      <c r="A1515" s="51">
        <v>42838</v>
      </c>
      <c r="B1515" s="174" t="s">
        <v>13048</v>
      </c>
      <c r="C1515" s="175"/>
      <c r="D1515" s="176" t="s">
        <v>13048</v>
      </c>
      <c r="E1515" s="176">
        <v>107949</v>
      </c>
      <c r="F1515" s="177" t="s">
        <v>109</v>
      </c>
      <c r="G1515" s="178">
        <v>6363.8</v>
      </c>
      <c r="H1515" s="179">
        <v>42838</v>
      </c>
      <c r="I1515" s="178">
        <f t="shared" si="47"/>
        <v>6363.8</v>
      </c>
      <c r="J1515" s="178">
        <f t="shared" si="48"/>
        <v>0</v>
      </c>
      <c r="K1515" s="19"/>
    </row>
    <row r="1516" spans="1:11" x14ac:dyDescent="0.25">
      <c r="A1516" s="51">
        <v>42838</v>
      </c>
      <c r="B1516" s="174" t="s">
        <v>13049</v>
      </c>
      <c r="C1516" s="175"/>
      <c r="D1516" s="176" t="s">
        <v>13049</v>
      </c>
      <c r="E1516" s="176">
        <v>107950</v>
      </c>
      <c r="F1516" s="177" t="s">
        <v>10</v>
      </c>
      <c r="G1516" s="178">
        <v>410747.84</v>
      </c>
      <c r="H1516" s="180" t="s">
        <v>13050</v>
      </c>
      <c r="I1516" s="181">
        <f>376399.26+34348.58</f>
        <v>410747.84</v>
      </c>
      <c r="J1516" s="181">
        <f t="shared" si="48"/>
        <v>0</v>
      </c>
      <c r="K1516" s="19"/>
    </row>
    <row r="1517" spans="1:11" x14ac:dyDescent="0.25">
      <c r="A1517" s="51">
        <v>42838</v>
      </c>
      <c r="B1517" s="174" t="s">
        <v>13051</v>
      </c>
      <c r="C1517" s="175"/>
      <c r="D1517" s="176" t="s">
        <v>13051</v>
      </c>
      <c r="E1517" s="176">
        <v>107951</v>
      </c>
      <c r="F1517" s="177" t="s">
        <v>10</v>
      </c>
      <c r="G1517" s="178">
        <v>323679.32</v>
      </c>
      <c r="H1517" s="179">
        <v>42844</v>
      </c>
      <c r="I1517" s="178">
        <f t="shared" si="47"/>
        <v>323679.32</v>
      </c>
      <c r="J1517" s="178">
        <f t="shared" si="48"/>
        <v>0</v>
      </c>
      <c r="K1517" s="19"/>
    </row>
    <row r="1518" spans="1:11" x14ac:dyDescent="0.25">
      <c r="A1518" s="51">
        <v>42838</v>
      </c>
      <c r="B1518" s="174" t="s">
        <v>13052</v>
      </c>
      <c r="C1518" s="175"/>
      <c r="D1518" s="176" t="s">
        <v>13052</v>
      </c>
      <c r="E1518" s="176">
        <v>107952</v>
      </c>
      <c r="F1518" s="177" t="s">
        <v>30</v>
      </c>
      <c r="G1518" s="178">
        <v>2423.4</v>
      </c>
      <c r="H1518" s="179">
        <v>42838</v>
      </c>
      <c r="I1518" s="178">
        <f t="shared" si="47"/>
        <v>2423.4</v>
      </c>
      <c r="J1518" s="178">
        <f t="shared" si="48"/>
        <v>0</v>
      </c>
      <c r="K1518" s="19"/>
    </row>
    <row r="1519" spans="1:11" x14ac:dyDescent="0.25">
      <c r="A1519" s="51">
        <v>42838</v>
      </c>
      <c r="B1519" s="174" t="s">
        <v>13053</v>
      </c>
      <c r="C1519" s="175"/>
      <c r="D1519" s="176" t="s">
        <v>13053</v>
      </c>
      <c r="E1519" s="176">
        <v>107953</v>
      </c>
      <c r="F1519" s="177" t="s">
        <v>264</v>
      </c>
      <c r="G1519" s="178">
        <v>14801.6</v>
      </c>
      <c r="H1519" s="179">
        <v>42838</v>
      </c>
      <c r="I1519" s="178">
        <f t="shared" si="47"/>
        <v>14801.6</v>
      </c>
      <c r="J1519" s="178">
        <f t="shared" si="48"/>
        <v>0</v>
      </c>
      <c r="K1519" s="19"/>
    </row>
    <row r="1520" spans="1:11" x14ac:dyDescent="0.25">
      <c r="A1520" s="51">
        <v>42838</v>
      </c>
      <c r="B1520" s="174" t="s">
        <v>13054</v>
      </c>
      <c r="C1520" s="175"/>
      <c r="D1520" s="176" t="s">
        <v>13054</v>
      </c>
      <c r="E1520" s="176">
        <v>107954</v>
      </c>
      <c r="F1520" s="177" t="s">
        <v>205</v>
      </c>
      <c r="G1520" s="178">
        <v>29360.1</v>
      </c>
      <c r="H1520" s="179">
        <v>42838</v>
      </c>
      <c r="I1520" s="178">
        <f t="shared" si="47"/>
        <v>29360.1</v>
      </c>
      <c r="J1520" s="178">
        <f t="shared" si="48"/>
        <v>0</v>
      </c>
      <c r="K1520" s="19"/>
    </row>
    <row r="1521" spans="1:11" x14ac:dyDescent="0.25">
      <c r="A1521" s="51">
        <v>42838</v>
      </c>
      <c r="B1521" s="174" t="s">
        <v>13055</v>
      </c>
      <c r="C1521" s="175"/>
      <c r="D1521" s="176" t="s">
        <v>13055</v>
      </c>
      <c r="E1521" s="176">
        <v>107955</v>
      </c>
      <c r="F1521" s="177" t="s">
        <v>30</v>
      </c>
      <c r="G1521" s="178">
        <v>6120.8</v>
      </c>
      <c r="H1521" s="179">
        <v>42838</v>
      </c>
      <c r="I1521" s="178">
        <f t="shared" si="47"/>
        <v>6120.8</v>
      </c>
      <c r="J1521" s="178">
        <f t="shared" si="48"/>
        <v>0</v>
      </c>
      <c r="K1521" s="19"/>
    </row>
    <row r="1522" spans="1:11" x14ac:dyDescent="0.25">
      <c r="A1522" s="51">
        <v>42838</v>
      </c>
      <c r="B1522" s="174" t="s">
        <v>13056</v>
      </c>
      <c r="C1522" s="175"/>
      <c r="D1522" s="176" t="s">
        <v>13056</v>
      </c>
      <c r="E1522" s="176">
        <v>107956</v>
      </c>
      <c r="F1522" s="177" t="s">
        <v>3649</v>
      </c>
      <c r="G1522" s="178">
        <v>4759.8</v>
      </c>
      <c r="H1522" s="179">
        <v>42838</v>
      </c>
      <c r="I1522" s="178">
        <f t="shared" si="47"/>
        <v>4759.8</v>
      </c>
      <c r="J1522" s="178">
        <f t="shared" si="48"/>
        <v>0</v>
      </c>
      <c r="K1522" s="19"/>
    </row>
    <row r="1523" spans="1:11" x14ac:dyDescent="0.25">
      <c r="A1523" s="51">
        <v>42838</v>
      </c>
      <c r="B1523" s="174" t="s">
        <v>13057</v>
      </c>
      <c r="C1523" s="175"/>
      <c r="D1523" s="176" t="s">
        <v>13057</v>
      </c>
      <c r="E1523" s="176">
        <v>107957</v>
      </c>
      <c r="F1523" s="177" t="s">
        <v>268</v>
      </c>
      <c r="G1523" s="178">
        <v>5551.7</v>
      </c>
      <c r="H1523" s="179">
        <v>42844</v>
      </c>
      <c r="I1523" s="178">
        <f t="shared" si="47"/>
        <v>5551.7</v>
      </c>
      <c r="J1523" s="178">
        <f t="shared" si="48"/>
        <v>0</v>
      </c>
      <c r="K1523" s="19"/>
    </row>
    <row r="1524" spans="1:11" x14ac:dyDescent="0.25">
      <c r="A1524" s="51">
        <v>42838</v>
      </c>
      <c r="B1524" s="174" t="s">
        <v>13058</v>
      </c>
      <c r="C1524" s="175"/>
      <c r="D1524" s="176" t="s">
        <v>13058</v>
      </c>
      <c r="E1524" s="176">
        <v>107958</v>
      </c>
      <c r="F1524" s="177" t="s">
        <v>10</v>
      </c>
      <c r="G1524" s="178">
        <v>98006.5</v>
      </c>
      <c r="H1524" s="179">
        <v>42844</v>
      </c>
      <c r="I1524" s="178">
        <f t="shared" si="47"/>
        <v>98006.5</v>
      </c>
      <c r="J1524" s="178">
        <f t="shared" si="48"/>
        <v>0</v>
      </c>
      <c r="K1524" s="19"/>
    </row>
    <row r="1525" spans="1:11" x14ac:dyDescent="0.25">
      <c r="A1525" s="51">
        <v>42838</v>
      </c>
      <c r="B1525" s="174" t="s">
        <v>13059</v>
      </c>
      <c r="C1525" s="175"/>
      <c r="D1525" s="176" t="s">
        <v>13059</v>
      </c>
      <c r="E1525" s="176">
        <v>107959</v>
      </c>
      <c r="F1525" s="177" t="s">
        <v>30</v>
      </c>
      <c r="G1525" s="178">
        <v>650</v>
      </c>
      <c r="H1525" s="179">
        <v>42838</v>
      </c>
      <c r="I1525" s="178">
        <f t="shared" si="47"/>
        <v>650</v>
      </c>
      <c r="J1525" s="178">
        <f t="shared" si="48"/>
        <v>0</v>
      </c>
      <c r="K1525" s="19"/>
    </row>
    <row r="1526" spans="1:11" x14ac:dyDescent="0.25">
      <c r="A1526" s="51">
        <v>42838</v>
      </c>
      <c r="B1526" s="174" t="s">
        <v>13060</v>
      </c>
      <c r="C1526" s="175"/>
      <c r="D1526" s="176" t="s">
        <v>13060</v>
      </c>
      <c r="E1526" s="176">
        <v>107960</v>
      </c>
      <c r="F1526" s="177" t="s">
        <v>205</v>
      </c>
      <c r="G1526" s="178">
        <v>89429.73</v>
      </c>
      <c r="H1526" s="179">
        <v>42838</v>
      </c>
      <c r="I1526" s="178">
        <f t="shared" si="47"/>
        <v>89429.73</v>
      </c>
      <c r="J1526" s="178">
        <f t="shared" si="48"/>
        <v>0</v>
      </c>
      <c r="K1526" s="19"/>
    </row>
    <row r="1527" spans="1:11" x14ac:dyDescent="0.25">
      <c r="A1527" s="51">
        <v>42838</v>
      </c>
      <c r="B1527" s="174" t="s">
        <v>13061</v>
      </c>
      <c r="C1527" s="175"/>
      <c r="D1527" s="176" t="s">
        <v>13061</v>
      </c>
      <c r="E1527" s="176">
        <v>107961</v>
      </c>
      <c r="F1527" s="177" t="s">
        <v>222</v>
      </c>
      <c r="G1527" s="178">
        <v>10181.6</v>
      </c>
      <c r="H1527" s="179">
        <v>42844</v>
      </c>
      <c r="I1527" s="178">
        <f t="shared" si="47"/>
        <v>10181.6</v>
      </c>
      <c r="J1527" s="178">
        <f t="shared" si="48"/>
        <v>0</v>
      </c>
      <c r="K1527" s="19"/>
    </row>
    <row r="1528" spans="1:11" x14ac:dyDescent="0.25">
      <c r="A1528" s="51">
        <v>42838</v>
      </c>
      <c r="B1528" s="174" t="s">
        <v>13062</v>
      </c>
      <c r="C1528" s="175"/>
      <c r="D1528" s="176" t="s">
        <v>13062</v>
      </c>
      <c r="E1528" s="176">
        <v>107962</v>
      </c>
      <c r="F1528" s="177" t="s">
        <v>806</v>
      </c>
      <c r="G1528" s="178">
        <v>3002.9</v>
      </c>
      <c r="H1528" s="179">
        <v>42838</v>
      </c>
      <c r="I1528" s="178">
        <f t="shared" si="47"/>
        <v>3002.9</v>
      </c>
      <c r="J1528" s="178">
        <f t="shared" si="48"/>
        <v>0</v>
      </c>
      <c r="K1528" s="19"/>
    </row>
    <row r="1529" spans="1:11" x14ac:dyDescent="0.25">
      <c r="A1529" s="51">
        <v>42838</v>
      </c>
      <c r="B1529" s="174" t="s">
        <v>13063</v>
      </c>
      <c r="C1529" s="175"/>
      <c r="D1529" s="176" t="s">
        <v>13063</v>
      </c>
      <c r="E1529" s="176">
        <v>107963</v>
      </c>
      <c r="F1529" s="177" t="s">
        <v>30</v>
      </c>
      <c r="G1529" s="178">
        <v>4352</v>
      </c>
      <c r="H1529" s="179">
        <v>42840</v>
      </c>
      <c r="I1529" s="178">
        <f t="shared" si="47"/>
        <v>4352</v>
      </c>
      <c r="J1529" s="178">
        <f t="shared" si="48"/>
        <v>0</v>
      </c>
      <c r="K1529" s="19"/>
    </row>
    <row r="1530" spans="1:11" x14ac:dyDescent="0.25">
      <c r="A1530" s="51">
        <v>42838</v>
      </c>
      <c r="B1530" s="174" t="s">
        <v>13064</v>
      </c>
      <c r="C1530" s="175"/>
      <c r="D1530" s="176" t="s">
        <v>13064</v>
      </c>
      <c r="E1530" s="176">
        <v>107964</v>
      </c>
      <c r="F1530" s="177" t="s">
        <v>131</v>
      </c>
      <c r="G1530" s="178">
        <v>16394.3</v>
      </c>
      <c r="H1530" s="179">
        <v>42840</v>
      </c>
      <c r="I1530" s="178">
        <f t="shared" si="47"/>
        <v>16394.3</v>
      </c>
      <c r="J1530" s="178">
        <f t="shared" si="48"/>
        <v>0</v>
      </c>
      <c r="K1530" s="19"/>
    </row>
    <row r="1531" spans="1:11" x14ac:dyDescent="0.25">
      <c r="A1531" s="51">
        <v>42838</v>
      </c>
      <c r="B1531" s="174" t="s">
        <v>13065</v>
      </c>
      <c r="C1531" s="175"/>
      <c r="D1531" s="176" t="s">
        <v>13065</v>
      </c>
      <c r="E1531" s="176">
        <v>107965</v>
      </c>
      <c r="F1531" s="177" t="s">
        <v>422</v>
      </c>
      <c r="G1531" s="178">
        <v>1300.8</v>
      </c>
      <c r="H1531" s="179">
        <v>42838</v>
      </c>
      <c r="I1531" s="178">
        <f t="shared" si="47"/>
        <v>1300.8</v>
      </c>
      <c r="J1531" s="178">
        <f t="shared" si="48"/>
        <v>0</v>
      </c>
      <c r="K1531" s="19"/>
    </row>
    <row r="1532" spans="1:11" x14ac:dyDescent="0.25">
      <c r="A1532" s="51">
        <v>42838</v>
      </c>
      <c r="B1532" s="174" t="s">
        <v>13066</v>
      </c>
      <c r="C1532" s="175"/>
      <c r="D1532" s="176" t="s">
        <v>13066</v>
      </c>
      <c r="E1532" s="176">
        <v>107966</v>
      </c>
      <c r="F1532" s="177" t="s">
        <v>426</v>
      </c>
      <c r="G1532" s="178">
        <v>12583.8</v>
      </c>
      <c r="H1532" s="179">
        <v>42844</v>
      </c>
      <c r="I1532" s="178">
        <f t="shared" si="47"/>
        <v>12583.8</v>
      </c>
      <c r="J1532" s="178">
        <f t="shared" si="48"/>
        <v>0</v>
      </c>
      <c r="K1532" s="19"/>
    </row>
    <row r="1533" spans="1:11" x14ac:dyDescent="0.25">
      <c r="A1533" s="51">
        <v>42838</v>
      </c>
      <c r="B1533" s="174" t="s">
        <v>13067</v>
      </c>
      <c r="C1533" s="175"/>
      <c r="D1533" s="176" t="s">
        <v>13067</v>
      </c>
      <c r="E1533" s="176">
        <v>107967</v>
      </c>
      <c r="F1533" s="177" t="s">
        <v>157</v>
      </c>
      <c r="G1533" s="178">
        <v>17954.3</v>
      </c>
      <c r="H1533" s="179">
        <v>42840</v>
      </c>
      <c r="I1533" s="178">
        <f t="shared" si="47"/>
        <v>17954.3</v>
      </c>
      <c r="J1533" s="178">
        <f t="shared" si="48"/>
        <v>0</v>
      </c>
      <c r="K1533" s="19"/>
    </row>
    <row r="1534" spans="1:11" x14ac:dyDescent="0.25">
      <c r="A1534" s="51">
        <v>42838</v>
      </c>
      <c r="B1534" s="174" t="s">
        <v>13068</v>
      </c>
      <c r="C1534" s="175"/>
      <c r="D1534" s="176" t="s">
        <v>13068</v>
      </c>
      <c r="E1534" s="176">
        <v>107968</v>
      </c>
      <c r="F1534" s="182" t="s">
        <v>30</v>
      </c>
      <c r="G1534" s="183">
        <v>0</v>
      </c>
      <c r="H1534" s="184" t="s">
        <v>95</v>
      </c>
      <c r="I1534" s="183">
        <f t="shared" si="47"/>
        <v>0</v>
      </c>
      <c r="J1534" s="183">
        <f t="shared" si="48"/>
        <v>0</v>
      </c>
      <c r="K1534" s="19"/>
    </row>
    <row r="1535" spans="1:11" x14ac:dyDescent="0.25">
      <c r="A1535" s="51">
        <v>42838</v>
      </c>
      <c r="B1535" s="174" t="s">
        <v>13069</v>
      </c>
      <c r="C1535" s="175"/>
      <c r="D1535" s="176" t="s">
        <v>13069</v>
      </c>
      <c r="E1535" s="176">
        <v>107969</v>
      </c>
      <c r="F1535" s="177" t="s">
        <v>30</v>
      </c>
      <c r="G1535" s="178">
        <v>1058.2</v>
      </c>
      <c r="H1535" s="199">
        <v>42838</v>
      </c>
      <c r="I1535" s="178">
        <f t="shared" si="47"/>
        <v>1058.2</v>
      </c>
      <c r="J1535" s="178">
        <f t="shared" si="48"/>
        <v>0</v>
      </c>
      <c r="K1535" s="19"/>
    </row>
    <row r="1536" spans="1:11" x14ac:dyDescent="0.25">
      <c r="A1536" s="51">
        <v>42838</v>
      </c>
      <c r="B1536" s="174" t="s">
        <v>13070</v>
      </c>
      <c r="C1536" s="175"/>
      <c r="D1536" s="176" t="s">
        <v>13070</v>
      </c>
      <c r="E1536" s="176">
        <v>107970</v>
      </c>
      <c r="F1536" s="177" t="s">
        <v>122</v>
      </c>
      <c r="G1536" s="178">
        <v>937</v>
      </c>
      <c r="H1536" s="179">
        <v>42846</v>
      </c>
      <c r="I1536" s="178">
        <f t="shared" si="47"/>
        <v>937</v>
      </c>
      <c r="J1536" s="178">
        <f t="shared" si="48"/>
        <v>0</v>
      </c>
      <c r="K1536" s="19"/>
    </row>
    <row r="1537" spans="1:11" x14ac:dyDescent="0.25">
      <c r="A1537" s="51">
        <v>42838</v>
      </c>
      <c r="B1537" s="174" t="s">
        <v>13071</v>
      </c>
      <c r="C1537" s="175"/>
      <c r="D1537" s="176" t="s">
        <v>13071</v>
      </c>
      <c r="E1537" s="176">
        <v>107971</v>
      </c>
      <c r="F1537" s="177" t="s">
        <v>122</v>
      </c>
      <c r="G1537" s="178">
        <v>23361.8</v>
      </c>
      <c r="H1537" s="179">
        <v>42846</v>
      </c>
      <c r="I1537" s="178">
        <f t="shared" si="47"/>
        <v>23361.8</v>
      </c>
      <c r="J1537" s="178">
        <f t="shared" si="48"/>
        <v>0</v>
      </c>
      <c r="K1537" s="19"/>
    </row>
    <row r="1538" spans="1:11" x14ac:dyDescent="0.25">
      <c r="A1538" s="51">
        <v>42838</v>
      </c>
      <c r="B1538" s="174" t="s">
        <v>13072</v>
      </c>
      <c r="C1538" s="175"/>
      <c r="D1538" s="176" t="s">
        <v>13072</v>
      </c>
      <c r="E1538" s="176">
        <v>107972</v>
      </c>
      <c r="F1538" s="177" t="s">
        <v>379</v>
      </c>
      <c r="G1538" s="178">
        <v>5140.8</v>
      </c>
      <c r="H1538" s="179">
        <v>42846</v>
      </c>
      <c r="I1538" s="178">
        <f t="shared" si="47"/>
        <v>5140.8</v>
      </c>
      <c r="J1538" s="178">
        <f t="shared" si="48"/>
        <v>0</v>
      </c>
      <c r="K1538" s="19"/>
    </row>
    <row r="1539" spans="1:11" x14ac:dyDescent="0.25">
      <c r="A1539" s="51">
        <v>42838</v>
      </c>
      <c r="B1539" s="174" t="s">
        <v>13073</v>
      </c>
      <c r="C1539" s="175"/>
      <c r="D1539" s="176" t="s">
        <v>13073</v>
      </c>
      <c r="E1539" s="176">
        <v>107973</v>
      </c>
      <c r="F1539" s="177" t="s">
        <v>352</v>
      </c>
      <c r="G1539" s="178">
        <v>1926.6</v>
      </c>
      <c r="H1539" s="179">
        <v>42838</v>
      </c>
      <c r="I1539" s="178">
        <f t="shared" si="47"/>
        <v>1926.6</v>
      </c>
      <c r="J1539" s="178">
        <f t="shared" si="48"/>
        <v>0</v>
      </c>
      <c r="K1539" s="19"/>
    </row>
    <row r="1540" spans="1:11" x14ac:dyDescent="0.25">
      <c r="A1540" s="51">
        <v>42838</v>
      </c>
      <c r="B1540" s="174" t="s">
        <v>13074</v>
      </c>
      <c r="C1540" s="175"/>
      <c r="D1540" s="176" t="s">
        <v>13074</v>
      </c>
      <c r="E1540" s="176">
        <v>107974</v>
      </c>
      <c r="F1540" s="177" t="s">
        <v>122</v>
      </c>
      <c r="G1540" s="178">
        <v>69016.600000000006</v>
      </c>
      <c r="H1540" s="179">
        <v>42846</v>
      </c>
      <c r="I1540" s="178">
        <f t="shared" ref="I1540:I1603" si="49">G1540</f>
        <v>69016.600000000006</v>
      </c>
      <c r="J1540" s="178">
        <f t="shared" ref="J1540:J1603" si="50">G1540-I1540</f>
        <v>0</v>
      </c>
      <c r="K1540" s="19"/>
    </row>
    <row r="1541" spans="1:11" x14ac:dyDescent="0.25">
      <c r="A1541" s="51">
        <v>42838</v>
      </c>
      <c r="B1541" s="174" t="s">
        <v>13075</v>
      </c>
      <c r="C1541" s="175"/>
      <c r="D1541" s="176" t="s">
        <v>13075</v>
      </c>
      <c r="E1541" s="176">
        <v>107975</v>
      </c>
      <c r="F1541" s="177" t="s">
        <v>122</v>
      </c>
      <c r="G1541" s="178">
        <v>8702</v>
      </c>
      <c r="H1541" s="179">
        <v>42846</v>
      </c>
      <c r="I1541" s="178">
        <f t="shared" si="49"/>
        <v>8702</v>
      </c>
      <c r="J1541" s="178">
        <f t="shared" si="50"/>
        <v>0</v>
      </c>
      <c r="K1541" s="19"/>
    </row>
    <row r="1542" spans="1:11" x14ac:dyDescent="0.25">
      <c r="A1542" s="51">
        <v>42838</v>
      </c>
      <c r="B1542" s="174" t="s">
        <v>13076</v>
      </c>
      <c r="C1542" s="175"/>
      <c r="D1542" s="176" t="s">
        <v>13076</v>
      </c>
      <c r="E1542" s="176">
        <v>107976</v>
      </c>
      <c r="F1542" s="177" t="s">
        <v>354</v>
      </c>
      <c r="G1542" s="178">
        <v>1187.5999999999999</v>
      </c>
      <c r="H1542" s="179">
        <v>42838</v>
      </c>
      <c r="I1542" s="178">
        <f t="shared" si="49"/>
        <v>1187.5999999999999</v>
      </c>
      <c r="J1542" s="178">
        <f t="shared" si="50"/>
        <v>0</v>
      </c>
      <c r="K1542" s="19"/>
    </row>
    <row r="1543" spans="1:11" x14ac:dyDescent="0.25">
      <c r="A1543" s="51">
        <v>42838</v>
      </c>
      <c r="B1543" s="174" t="s">
        <v>13077</v>
      </c>
      <c r="C1543" s="175"/>
      <c r="D1543" s="176" t="s">
        <v>13077</v>
      </c>
      <c r="E1543" s="176">
        <v>107977</v>
      </c>
      <c r="F1543" s="177" t="s">
        <v>26</v>
      </c>
      <c r="G1543" s="178">
        <v>4762.1000000000004</v>
      </c>
      <c r="H1543" s="179">
        <v>42838</v>
      </c>
      <c r="I1543" s="178">
        <f t="shared" si="49"/>
        <v>4762.1000000000004</v>
      </c>
      <c r="J1543" s="178">
        <f t="shared" si="50"/>
        <v>0</v>
      </c>
      <c r="K1543" s="19"/>
    </row>
    <row r="1544" spans="1:11" x14ac:dyDescent="0.25">
      <c r="A1544" s="51">
        <v>42838</v>
      </c>
      <c r="B1544" s="174" t="s">
        <v>13078</v>
      </c>
      <c r="C1544" s="175"/>
      <c r="D1544" s="176" t="s">
        <v>13078</v>
      </c>
      <c r="E1544" s="176">
        <v>107978</v>
      </c>
      <c r="F1544" s="177" t="s">
        <v>2240</v>
      </c>
      <c r="G1544" s="178">
        <v>1070.4000000000001</v>
      </c>
      <c r="H1544" s="179">
        <v>42838</v>
      </c>
      <c r="I1544" s="178">
        <f t="shared" si="49"/>
        <v>1070.4000000000001</v>
      </c>
      <c r="J1544" s="178">
        <f t="shared" si="50"/>
        <v>0</v>
      </c>
      <c r="K1544" s="19"/>
    </row>
    <row r="1545" spans="1:11" x14ac:dyDescent="0.25">
      <c r="A1545" s="51">
        <v>42838</v>
      </c>
      <c r="B1545" s="174" t="s">
        <v>13079</v>
      </c>
      <c r="C1545" s="175"/>
      <c r="D1545" s="176" t="s">
        <v>13079</v>
      </c>
      <c r="E1545" s="176">
        <v>107979</v>
      </c>
      <c r="F1545" s="177" t="s">
        <v>10</v>
      </c>
      <c r="G1545" s="178">
        <v>11149.4</v>
      </c>
      <c r="H1545" s="179">
        <v>42844</v>
      </c>
      <c r="I1545" s="178">
        <f t="shared" si="49"/>
        <v>11149.4</v>
      </c>
      <c r="J1545" s="178">
        <f t="shared" si="50"/>
        <v>0</v>
      </c>
      <c r="K1545" s="19"/>
    </row>
    <row r="1546" spans="1:11" x14ac:dyDescent="0.25">
      <c r="A1546" s="51">
        <v>42838</v>
      </c>
      <c r="B1546" s="174" t="s">
        <v>13080</v>
      </c>
      <c r="C1546" s="175"/>
      <c r="D1546" s="176" t="s">
        <v>13080</v>
      </c>
      <c r="E1546" s="176">
        <v>107980</v>
      </c>
      <c r="F1546" s="177" t="s">
        <v>30</v>
      </c>
      <c r="G1546" s="178">
        <v>3080.7</v>
      </c>
      <c r="H1546" s="179">
        <v>42840</v>
      </c>
      <c r="I1546" s="178">
        <f t="shared" si="49"/>
        <v>3080.7</v>
      </c>
      <c r="J1546" s="178">
        <f t="shared" si="50"/>
        <v>0</v>
      </c>
      <c r="K1546" s="19"/>
    </row>
    <row r="1547" spans="1:11" x14ac:dyDescent="0.25">
      <c r="A1547" s="51">
        <v>42839</v>
      </c>
      <c r="B1547" s="174" t="s">
        <v>13081</v>
      </c>
      <c r="C1547" s="175"/>
      <c r="D1547" s="176" t="s">
        <v>13081</v>
      </c>
      <c r="E1547" s="176">
        <v>107981</v>
      </c>
      <c r="F1547" s="177" t="s">
        <v>1666</v>
      </c>
      <c r="G1547" s="178">
        <v>12911.5</v>
      </c>
      <c r="H1547" s="179">
        <v>42844</v>
      </c>
      <c r="I1547" s="178">
        <f t="shared" si="49"/>
        <v>12911.5</v>
      </c>
      <c r="J1547" s="178">
        <f t="shared" si="50"/>
        <v>0</v>
      </c>
      <c r="K1547" s="19"/>
    </row>
    <row r="1548" spans="1:11" x14ac:dyDescent="0.25">
      <c r="A1548" s="51">
        <v>42839</v>
      </c>
      <c r="B1548" s="174" t="s">
        <v>13082</v>
      </c>
      <c r="C1548" s="175"/>
      <c r="D1548" s="176" t="s">
        <v>13082</v>
      </c>
      <c r="E1548" s="176">
        <v>107982</v>
      </c>
      <c r="F1548" s="177" t="s">
        <v>268</v>
      </c>
      <c r="G1548" s="178">
        <v>26575.55</v>
      </c>
      <c r="H1548" s="179">
        <v>42844</v>
      </c>
      <c r="I1548" s="178">
        <f t="shared" si="49"/>
        <v>26575.55</v>
      </c>
      <c r="J1548" s="178">
        <f t="shared" si="50"/>
        <v>0</v>
      </c>
      <c r="K1548" s="19"/>
    </row>
    <row r="1549" spans="1:11" x14ac:dyDescent="0.25">
      <c r="A1549" s="51">
        <v>42839</v>
      </c>
      <c r="B1549" s="174" t="s">
        <v>13083</v>
      </c>
      <c r="C1549" s="175"/>
      <c r="D1549" s="176" t="s">
        <v>13083</v>
      </c>
      <c r="E1549" s="176">
        <v>107983</v>
      </c>
      <c r="F1549" s="177" t="s">
        <v>432</v>
      </c>
      <c r="G1549" s="178">
        <v>13881</v>
      </c>
      <c r="H1549" s="179">
        <v>42844</v>
      </c>
      <c r="I1549" s="178">
        <f t="shared" si="49"/>
        <v>13881</v>
      </c>
      <c r="J1549" s="178">
        <f t="shared" si="50"/>
        <v>0</v>
      </c>
      <c r="K1549" s="19"/>
    </row>
    <row r="1550" spans="1:11" x14ac:dyDescent="0.25">
      <c r="A1550" s="51">
        <v>42839</v>
      </c>
      <c r="B1550" s="174" t="s">
        <v>13084</v>
      </c>
      <c r="C1550" s="175"/>
      <c r="D1550" s="176" t="s">
        <v>13084</v>
      </c>
      <c r="E1550" s="176">
        <v>107984</v>
      </c>
      <c r="F1550" s="177" t="s">
        <v>435</v>
      </c>
      <c r="G1550" s="178">
        <v>6417</v>
      </c>
      <c r="H1550" s="179">
        <v>42844</v>
      </c>
      <c r="I1550" s="178">
        <f t="shared" si="49"/>
        <v>6417</v>
      </c>
      <c r="J1550" s="178">
        <f t="shared" si="50"/>
        <v>0</v>
      </c>
      <c r="K1550" s="19"/>
    </row>
    <row r="1551" spans="1:11" x14ac:dyDescent="0.25">
      <c r="A1551" s="51">
        <v>42839</v>
      </c>
      <c r="B1551" s="174" t="s">
        <v>13085</v>
      </c>
      <c r="C1551" s="175"/>
      <c r="D1551" s="176" t="s">
        <v>13085</v>
      </c>
      <c r="E1551" s="176">
        <v>107985</v>
      </c>
      <c r="F1551" s="177" t="s">
        <v>222</v>
      </c>
      <c r="G1551" s="178">
        <v>50249.11</v>
      </c>
      <c r="H1551" s="179">
        <v>42844</v>
      </c>
      <c r="I1551" s="178">
        <f t="shared" si="49"/>
        <v>50249.11</v>
      </c>
      <c r="J1551" s="178">
        <f t="shared" si="50"/>
        <v>0</v>
      </c>
      <c r="K1551" s="19"/>
    </row>
    <row r="1552" spans="1:11" x14ac:dyDescent="0.25">
      <c r="A1552" s="51">
        <v>42839</v>
      </c>
      <c r="B1552" s="174" t="s">
        <v>13086</v>
      </c>
      <c r="C1552" s="175"/>
      <c r="D1552" s="176" t="s">
        <v>13086</v>
      </c>
      <c r="E1552" s="176">
        <v>107986</v>
      </c>
      <c r="F1552" s="177" t="s">
        <v>30</v>
      </c>
      <c r="G1552" s="178">
        <v>18102.5</v>
      </c>
      <c r="H1552" s="179">
        <v>42844</v>
      </c>
      <c r="I1552" s="178">
        <f t="shared" si="49"/>
        <v>18102.5</v>
      </c>
      <c r="J1552" s="178">
        <f t="shared" si="50"/>
        <v>0</v>
      </c>
      <c r="K1552" s="19"/>
    </row>
    <row r="1553" spans="1:11" x14ac:dyDescent="0.25">
      <c r="A1553" s="51">
        <v>42839</v>
      </c>
      <c r="B1553" s="174" t="s">
        <v>13087</v>
      </c>
      <c r="C1553" s="175"/>
      <c r="D1553" s="176" t="s">
        <v>13087</v>
      </c>
      <c r="E1553" s="176">
        <v>107987</v>
      </c>
      <c r="F1553" s="177" t="s">
        <v>10</v>
      </c>
      <c r="G1553" s="178">
        <v>3708</v>
      </c>
      <c r="H1553" s="184">
        <v>42854</v>
      </c>
      <c r="I1553" s="183">
        <f t="shared" si="49"/>
        <v>3708</v>
      </c>
      <c r="J1553" s="178">
        <f t="shared" si="50"/>
        <v>0</v>
      </c>
      <c r="K1553" s="19"/>
    </row>
    <row r="1554" spans="1:11" x14ac:dyDescent="0.25">
      <c r="A1554" s="51">
        <v>42839</v>
      </c>
      <c r="B1554" s="174" t="s">
        <v>13088</v>
      </c>
      <c r="C1554" s="175"/>
      <c r="D1554" s="176" t="s">
        <v>13088</v>
      </c>
      <c r="E1554" s="176">
        <v>107988</v>
      </c>
      <c r="F1554" s="177" t="s">
        <v>1797</v>
      </c>
      <c r="G1554" s="178">
        <v>8844</v>
      </c>
      <c r="H1554" s="179">
        <v>42844</v>
      </c>
      <c r="I1554" s="178">
        <f t="shared" si="49"/>
        <v>8844</v>
      </c>
      <c r="J1554" s="178">
        <f t="shared" si="50"/>
        <v>0</v>
      </c>
      <c r="K1554" s="19"/>
    </row>
    <row r="1555" spans="1:11" x14ac:dyDescent="0.25">
      <c r="A1555" s="51">
        <v>42839</v>
      </c>
      <c r="B1555" s="174" t="s">
        <v>13089</v>
      </c>
      <c r="C1555" s="175"/>
      <c r="D1555" s="176" t="s">
        <v>13089</v>
      </c>
      <c r="E1555" s="176">
        <v>107989</v>
      </c>
      <c r="F1555" s="177" t="s">
        <v>590</v>
      </c>
      <c r="G1555" s="178">
        <v>46994.6</v>
      </c>
      <c r="H1555" s="179">
        <v>42844</v>
      </c>
      <c r="I1555" s="178">
        <f t="shared" si="49"/>
        <v>46994.6</v>
      </c>
      <c r="J1555" s="178">
        <f t="shared" si="50"/>
        <v>0</v>
      </c>
      <c r="K1555" s="19"/>
    </row>
    <row r="1556" spans="1:11" x14ac:dyDescent="0.25">
      <c r="A1556" s="51">
        <v>42839</v>
      </c>
      <c r="B1556" s="174" t="s">
        <v>13090</v>
      </c>
      <c r="C1556" s="175"/>
      <c r="D1556" s="176" t="s">
        <v>13090</v>
      </c>
      <c r="E1556" s="176">
        <v>107990</v>
      </c>
      <c r="F1556" s="177" t="s">
        <v>272</v>
      </c>
      <c r="G1556" s="178">
        <v>9420.4</v>
      </c>
      <c r="H1556" s="179">
        <v>42844</v>
      </c>
      <c r="I1556" s="178">
        <f t="shared" si="49"/>
        <v>9420.4</v>
      </c>
      <c r="J1556" s="178">
        <f t="shared" si="50"/>
        <v>0</v>
      </c>
      <c r="K1556" s="19"/>
    </row>
    <row r="1557" spans="1:11" x14ac:dyDescent="0.25">
      <c r="A1557" s="51">
        <v>42839</v>
      </c>
      <c r="B1557" s="174" t="s">
        <v>13091</v>
      </c>
      <c r="C1557" s="175"/>
      <c r="D1557" s="176" t="s">
        <v>13091</v>
      </c>
      <c r="E1557" s="176">
        <v>107991</v>
      </c>
      <c r="F1557" s="177" t="s">
        <v>30</v>
      </c>
      <c r="G1557" s="178">
        <v>12147.3</v>
      </c>
      <c r="H1557" s="179">
        <v>42844</v>
      </c>
      <c r="I1557" s="178">
        <f t="shared" si="49"/>
        <v>12147.3</v>
      </c>
      <c r="J1557" s="178">
        <f t="shared" si="50"/>
        <v>0</v>
      </c>
      <c r="K1557" s="19"/>
    </row>
    <row r="1558" spans="1:11" x14ac:dyDescent="0.25">
      <c r="A1558" s="51">
        <v>42839</v>
      </c>
      <c r="B1558" s="174" t="s">
        <v>13092</v>
      </c>
      <c r="C1558" s="175"/>
      <c r="D1558" s="176" t="s">
        <v>13092</v>
      </c>
      <c r="E1558" s="176">
        <v>107992</v>
      </c>
      <c r="F1558" s="177" t="s">
        <v>30</v>
      </c>
      <c r="G1558" s="178">
        <v>1747.2</v>
      </c>
      <c r="H1558" s="179">
        <v>42844</v>
      </c>
      <c r="I1558" s="178">
        <f t="shared" si="49"/>
        <v>1747.2</v>
      </c>
      <c r="J1558" s="178">
        <f t="shared" si="50"/>
        <v>0</v>
      </c>
      <c r="K1558" s="19"/>
    </row>
    <row r="1559" spans="1:11" x14ac:dyDescent="0.25">
      <c r="A1559" s="51">
        <v>42840</v>
      </c>
      <c r="B1559" s="174" t="s">
        <v>13093</v>
      </c>
      <c r="C1559" s="175"/>
      <c r="D1559" s="176" t="s">
        <v>13093</v>
      </c>
      <c r="E1559" s="176">
        <v>107993</v>
      </c>
      <c r="F1559" s="177" t="s">
        <v>231</v>
      </c>
      <c r="G1559" s="178">
        <v>6278.7</v>
      </c>
      <c r="H1559" s="179">
        <v>42841</v>
      </c>
      <c r="I1559" s="178">
        <f t="shared" si="49"/>
        <v>6278.7</v>
      </c>
      <c r="J1559" s="178">
        <f t="shared" si="50"/>
        <v>0</v>
      </c>
      <c r="K1559" s="19"/>
    </row>
    <row r="1560" spans="1:11" x14ac:dyDescent="0.25">
      <c r="A1560" s="51">
        <v>42840</v>
      </c>
      <c r="B1560" s="174" t="s">
        <v>13094</v>
      </c>
      <c r="C1560" s="175"/>
      <c r="D1560" s="176" t="s">
        <v>13094</v>
      </c>
      <c r="E1560" s="176">
        <v>107994</v>
      </c>
      <c r="F1560" s="177" t="s">
        <v>231</v>
      </c>
      <c r="G1560" s="178">
        <v>37282</v>
      </c>
      <c r="H1560" s="179">
        <v>42841</v>
      </c>
      <c r="I1560" s="178">
        <f t="shared" si="49"/>
        <v>37282</v>
      </c>
      <c r="J1560" s="178">
        <f t="shared" si="50"/>
        <v>0</v>
      </c>
      <c r="K1560" s="19"/>
    </row>
    <row r="1561" spans="1:11" x14ac:dyDescent="0.25">
      <c r="A1561" s="51">
        <v>42840</v>
      </c>
      <c r="B1561" s="174" t="s">
        <v>13095</v>
      </c>
      <c r="C1561" s="175"/>
      <c r="D1561" s="176" t="s">
        <v>13095</v>
      </c>
      <c r="E1561" s="176">
        <v>107995</v>
      </c>
      <c r="F1561" s="177" t="s">
        <v>231</v>
      </c>
      <c r="G1561" s="178">
        <v>1132.4000000000001</v>
      </c>
      <c r="H1561" s="179">
        <v>42841</v>
      </c>
      <c r="I1561" s="178">
        <f t="shared" si="49"/>
        <v>1132.4000000000001</v>
      </c>
      <c r="J1561" s="178">
        <f t="shared" si="50"/>
        <v>0</v>
      </c>
      <c r="K1561" s="19"/>
    </row>
    <row r="1562" spans="1:11" x14ac:dyDescent="0.25">
      <c r="A1562" s="51">
        <v>42840</v>
      </c>
      <c r="B1562" s="174" t="s">
        <v>13096</v>
      </c>
      <c r="C1562" s="175"/>
      <c r="D1562" s="176" t="s">
        <v>13096</v>
      </c>
      <c r="E1562" s="176">
        <v>107996</v>
      </c>
      <c r="F1562" s="177" t="s">
        <v>17</v>
      </c>
      <c r="G1562" s="178">
        <v>4730</v>
      </c>
      <c r="H1562" s="179">
        <v>42840</v>
      </c>
      <c r="I1562" s="178">
        <f t="shared" si="49"/>
        <v>4730</v>
      </c>
      <c r="J1562" s="178">
        <f t="shared" si="50"/>
        <v>0</v>
      </c>
      <c r="K1562" s="19"/>
    </row>
    <row r="1563" spans="1:11" x14ac:dyDescent="0.25">
      <c r="A1563" s="51">
        <v>42840</v>
      </c>
      <c r="B1563" s="174" t="s">
        <v>13097</v>
      </c>
      <c r="C1563" s="175"/>
      <c r="D1563" s="176" t="s">
        <v>13097</v>
      </c>
      <c r="E1563" s="176">
        <v>107997</v>
      </c>
      <c r="F1563" s="177" t="s">
        <v>12</v>
      </c>
      <c r="G1563" s="178">
        <v>1344</v>
      </c>
      <c r="H1563" s="179">
        <v>42840</v>
      </c>
      <c r="I1563" s="178">
        <f t="shared" si="49"/>
        <v>1344</v>
      </c>
      <c r="J1563" s="178">
        <f t="shared" si="50"/>
        <v>0</v>
      </c>
      <c r="K1563" s="19"/>
    </row>
    <row r="1564" spans="1:11" x14ac:dyDescent="0.25">
      <c r="A1564" s="51">
        <v>42840</v>
      </c>
      <c r="B1564" s="174" t="s">
        <v>13098</v>
      </c>
      <c r="C1564" s="175"/>
      <c r="D1564" s="176" t="s">
        <v>13098</v>
      </c>
      <c r="E1564" s="176">
        <v>107998</v>
      </c>
      <c r="F1564" s="177" t="s">
        <v>21</v>
      </c>
      <c r="G1564" s="178">
        <v>45312</v>
      </c>
      <c r="H1564" s="184">
        <v>42851</v>
      </c>
      <c r="I1564" s="183">
        <f t="shared" si="49"/>
        <v>45312</v>
      </c>
      <c r="J1564" s="178">
        <f t="shared" si="50"/>
        <v>0</v>
      </c>
      <c r="K1564" s="19"/>
    </row>
    <row r="1565" spans="1:11" x14ac:dyDescent="0.25">
      <c r="A1565" s="51">
        <v>42840</v>
      </c>
      <c r="B1565" s="174" t="s">
        <v>13099</v>
      </c>
      <c r="C1565" s="175"/>
      <c r="D1565" s="176" t="s">
        <v>13099</v>
      </c>
      <c r="E1565" s="176">
        <v>107999</v>
      </c>
      <c r="F1565" s="177" t="s">
        <v>55</v>
      </c>
      <c r="G1565" s="178">
        <v>10859.2</v>
      </c>
      <c r="H1565" s="180" t="s">
        <v>12750</v>
      </c>
      <c r="I1565" s="181">
        <f>4500+6359.2</f>
        <v>10859.2</v>
      </c>
      <c r="J1565" s="181">
        <f t="shared" si="50"/>
        <v>0</v>
      </c>
      <c r="K1565" s="19"/>
    </row>
    <row r="1566" spans="1:11" x14ac:dyDescent="0.25">
      <c r="A1566" s="51">
        <v>42840</v>
      </c>
      <c r="B1566" s="174" t="s">
        <v>13100</v>
      </c>
      <c r="C1566" s="175"/>
      <c r="D1566" s="176" t="s">
        <v>13100</v>
      </c>
      <c r="E1566" s="176">
        <v>108000</v>
      </c>
      <c r="F1566" s="177" t="s">
        <v>509</v>
      </c>
      <c r="G1566" s="178">
        <v>21699.599999999999</v>
      </c>
      <c r="H1566" s="179">
        <v>42843</v>
      </c>
      <c r="I1566" s="178">
        <f t="shared" si="49"/>
        <v>21699.599999999999</v>
      </c>
      <c r="J1566" s="178">
        <f t="shared" si="50"/>
        <v>0</v>
      </c>
      <c r="K1566" s="19"/>
    </row>
    <row r="1567" spans="1:11" x14ac:dyDescent="0.25">
      <c r="A1567" s="51">
        <v>42840</v>
      </c>
      <c r="B1567" s="174" t="s">
        <v>13101</v>
      </c>
      <c r="C1567" s="175"/>
      <c r="D1567" s="176" t="s">
        <v>13101</v>
      </c>
      <c r="E1567" s="176">
        <v>108001</v>
      </c>
      <c r="F1567" s="177" t="s">
        <v>312</v>
      </c>
      <c r="G1567" s="178">
        <v>17703</v>
      </c>
      <c r="H1567" s="186">
        <v>42893</v>
      </c>
      <c r="I1567" s="187">
        <f t="shared" si="49"/>
        <v>17703</v>
      </c>
      <c r="J1567" s="178">
        <f t="shared" si="50"/>
        <v>0</v>
      </c>
      <c r="K1567" s="19"/>
    </row>
    <row r="1568" spans="1:11" x14ac:dyDescent="0.25">
      <c r="A1568" s="51">
        <v>42840</v>
      </c>
      <c r="B1568" s="174" t="s">
        <v>13102</v>
      </c>
      <c r="C1568" s="175"/>
      <c r="D1568" s="176" t="s">
        <v>13102</v>
      </c>
      <c r="E1568" s="176">
        <v>108002</v>
      </c>
      <c r="F1568" s="177" t="s">
        <v>10031</v>
      </c>
      <c r="G1568" s="178">
        <v>10106.799999999999</v>
      </c>
      <c r="H1568" s="179">
        <v>42840</v>
      </c>
      <c r="I1568" s="178">
        <f t="shared" si="49"/>
        <v>10106.799999999999</v>
      </c>
      <c r="J1568" s="178">
        <f t="shared" si="50"/>
        <v>0</v>
      </c>
      <c r="K1568" s="19"/>
    </row>
    <row r="1569" spans="1:11" x14ac:dyDescent="0.25">
      <c r="A1569" s="51">
        <v>42840</v>
      </c>
      <c r="B1569" s="174" t="s">
        <v>13103</v>
      </c>
      <c r="C1569" s="175"/>
      <c r="D1569" s="176" t="s">
        <v>13103</v>
      </c>
      <c r="E1569" s="176">
        <v>108003</v>
      </c>
      <c r="F1569" s="177" t="s">
        <v>28</v>
      </c>
      <c r="G1569" s="178">
        <v>16621.8</v>
      </c>
      <c r="H1569" s="179">
        <v>42840</v>
      </c>
      <c r="I1569" s="178">
        <f t="shared" si="49"/>
        <v>16621.8</v>
      </c>
      <c r="J1569" s="178">
        <f t="shared" si="50"/>
        <v>0</v>
      </c>
      <c r="K1569" s="19"/>
    </row>
    <row r="1570" spans="1:11" x14ac:dyDescent="0.25">
      <c r="A1570" s="51">
        <v>42840</v>
      </c>
      <c r="B1570" s="174" t="s">
        <v>13104</v>
      </c>
      <c r="C1570" s="175"/>
      <c r="D1570" s="176" t="s">
        <v>13104</v>
      </c>
      <c r="E1570" s="176">
        <v>108004</v>
      </c>
      <c r="F1570" s="177" t="s">
        <v>12536</v>
      </c>
      <c r="G1570" s="178">
        <v>2203.1999999999998</v>
      </c>
      <c r="H1570" s="179">
        <v>42840</v>
      </c>
      <c r="I1570" s="178">
        <f t="shared" si="49"/>
        <v>2203.1999999999998</v>
      </c>
      <c r="J1570" s="178">
        <f t="shared" si="50"/>
        <v>0</v>
      </c>
      <c r="K1570" s="19"/>
    </row>
    <row r="1571" spans="1:11" x14ac:dyDescent="0.25">
      <c r="A1571" s="51">
        <v>42840</v>
      </c>
      <c r="B1571" s="174" t="s">
        <v>13105</v>
      </c>
      <c r="C1571" s="175"/>
      <c r="D1571" s="176" t="s">
        <v>13105</v>
      </c>
      <c r="E1571" s="176">
        <v>108005</v>
      </c>
      <c r="F1571" s="177" t="s">
        <v>670</v>
      </c>
      <c r="G1571" s="178">
        <v>129199.4</v>
      </c>
      <c r="H1571" s="179">
        <v>42845</v>
      </c>
      <c r="I1571" s="178">
        <f t="shared" si="49"/>
        <v>129199.4</v>
      </c>
      <c r="J1571" s="178">
        <f t="shared" si="50"/>
        <v>0</v>
      </c>
      <c r="K1571" s="19"/>
    </row>
    <row r="1572" spans="1:11" x14ac:dyDescent="0.25">
      <c r="A1572" s="51">
        <v>42840</v>
      </c>
      <c r="B1572" s="174" t="s">
        <v>13106</v>
      </c>
      <c r="C1572" s="175"/>
      <c r="D1572" s="176" t="s">
        <v>13106</v>
      </c>
      <c r="E1572" s="176">
        <v>108006</v>
      </c>
      <c r="F1572" s="177" t="s">
        <v>665</v>
      </c>
      <c r="G1572" s="178">
        <v>59940</v>
      </c>
      <c r="H1572" s="179">
        <v>42847</v>
      </c>
      <c r="I1572" s="178">
        <f t="shared" si="49"/>
        <v>59940</v>
      </c>
      <c r="J1572" s="178">
        <f t="shared" si="50"/>
        <v>0</v>
      </c>
      <c r="K1572" s="19"/>
    </row>
    <row r="1573" spans="1:11" x14ac:dyDescent="0.25">
      <c r="A1573" s="51">
        <v>42840</v>
      </c>
      <c r="B1573" s="174" t="s">
        <v>13107</v>
      </c>
      <c r="C1573" s="175"/>
      <c r="D1573" s="176" t="s">
        <v>13107</v>
      </c>
      <c r="E1573" s="176">
        <v>108007</v>
      </c>
      <c r="F1573" s="177" t="s">
        <v>1197</v>
      </c>
      <c r="G1573" s="178">
        <v>3616</v>
      </c>
      <c r="H1573" s="179">
        <v>42842</v>
      </c>
      <c r="I1573" s="178">
        <f t="shared" si="49"/>
        <v>3616</v>
      </c>
      <c r="J1573" s="178">
        <f t="shared" si="50"/>
        <v>0</v>
      </c>
      <c r="K1573" s="19"/>
    </row>
    <row r="1574" spans="1:11" x14ac:dyDescent="0.25">
      <c r="A1574" s="51">
        <v>42840</v>
      </c>
      <c r="B1574" s="174" t="s">
        <v>13108</v>
      </c>
      <c r="C1574" s="175"/>
      <c r="D1574" s="176" t="s">
        <v>13108</v>
      </c>
      <c r="E1574" s="176">
        <v>108008</v>
      </c>
      <c r="F1574" s="177" t="s">
        <v>3513</v>
      </c>
      <c r="G1574" s="178">
        <v>4714.3999999999996</v>
      </c>
      <c r="H1574" s="179">
        <v>42842</v>
      </c>
      <c r="I1574" s="178">
        <f t="shared" si="49"/>
        <v>4714.3999999999996</v>
      </c>
      <c r="J1574" s="178">
        <f t="shared" si="50"/>
        <v>0</v>
      </c>
      <c r="K1574" s="19"/>
    </row>
    <row r="1575" spans="1:11" x14ac:dyDescent="0.25">
      <c r="A1575" s="51">
        <v>42840</v>
      </c>
      <c r="B1575" s="174" t="s">
        <v>13109</v>
      </c>
      <c r="C1575" s="175"/>
      <c r="D1575" s="176" t="s">
        <v>13109</v>
      </c>
      <c r="E1575" s="176">
        <v>108009</v>
      </c>
      <c r="F1575" s="177" t="s">
        <v>30</v>
      </c>
      <c r="G1575" s="178">
        <v>4744.8999999999996</v>
      </c>
      <c r="H1575" s="179">
        <v>42840</v>
      </c>
      <c r="I1575" s="178">
        <f t="shared" si="49"/>
        <v>4744.8999999999996</v>
      </c>
      <c r="J1575" s="178">
        <f t="shared" si="50"/>
        <v>0</v>
      </c>
      <c r="K1575" s="19"/>
    </row>
    <row r="1576" spans="1:11" x14ac:dyDescent="0.25">
      <c r="A1576" s="51">
        <v>42840</v>
      </c>
      <c r="B1576" s="174" t="s">
        <v>13110</v>
      </c>
      <c r="C1576" s="175"/>
      <c r="D1576" s="176" t="s">
        <v>13110</v>
      </c>
      <c r="E1576" s="176">
        <v>108010</v>
      </c>
      <c r="F1576" s="177" t="s">
        <v>30</v>
      </c>
      <c r="G1576" s="178">
        <v>11897.2</v>
      </c>
      <c r="H1576" s="179">
        <v>42840</v>
      </c>
      <c r="I1576" s="178">
        <f t="shared" si="49"/>
        <v>11897.2</v>
      </c>
      <c r="J1576" s="178">
        <f t="shared" si="50"/>
        <v>0</v>
      </c>
      <c r="K1576" s="19"/>
    </row>
    <row r="1577" spans="1:11" x14ac:dyDescent="0.25">
      <c r="A1577" s="51">
        <v>42840</v>
      </c>
      <c r="B1577" s="174" t="s">
        <v>13111</v>
      </c>
      <c r="C1577" s="175"/>
      <c r="D1577" s="176" t="s">
        <v>13111</v>
      </c>
      <c r="E1577" s="176">
        <v>108011</v>
      </c>
      <c r="F1577" s="177" t="s">
        <v>47</v>
      </c>
      <c r="G1577" s="178">
        <v>3819.5</v>
      </c>
      <c r="H1577" s="179">
        <v>42840</v>
      </c>
      <c r="I1577" s="178">
        <f t="shared" si="49"/>
        <v>3819.5</v>
      </c>
      <c r="J1577" s="178">
        <f t="shared" si="50"/>
        <v>0</v>
      </c>
      <c r="K1577" s="19"/>
    </row>
    <row r="1578" spans="1:11" x14ac:dyDescent="0.25">
      <c r="A1578" s="51">
        <v>42840</v>
      </c>
      <c r="B1578" s="174" t="s">
        <v>13112</v>
      </c>
      <c r="C1578" s="175"/>
      <c r="D1578" s="176" t="s">
        <v>13112</v>
      </c>
      <c r="E1578" s="176">
        <v>108012</v>
      </c>
      <c r="F1578" s="177" t="s">
        <v>1062</v>
      </c>
      <c r="G1578" s="178">
        <v>7340.4</v>
      </c>
      <c r="H1578" s="179">
        <v>42840</v>
      </c>
      <c r="I1578" s="178">
        <f t="shared" si="49"/>
        <v>7340.4</v>
      </c>
      <c r="J1578" s="178">
        <f t="shared" si="50"/>
        <v>0</v>
      </c>
      <c r="K1578" s="19"/>
    </row>
    <row r="1579" spans="1:11" x14ac:dyDescent="0.25">
      <c r="A1579" s="51">
        <v>42840</v>
      </c>
      <c r="B1579" s="174" t="s">
        <v>13113</v>
      </c>
      <c r="C1579" s="175"/>
      <c r="D1579" s="176" t="s">
        <v>13113</v>
      </c>
      <c r="E1579" s="176">
        <v>108013</v>
      </c>
      <c r="F1579" s="177" t="s">
        <v>19</v>
      </c>
      <c r="G1579" s="178">
        <v>1075</v>
      </c>
      <c r="H1579" s="179">
        <v>42840</v>
      </c>
      <c r="I1579" s="178">
        <f t="shared" si="49"/>
        <v>1075</v>
      </c>
      <c r="J1579" s="178">
        <f t="shared" si="50"/>
        <v>0</v>
      </c>
      <c r="K1579" s="19"/>
    </row>
    <row r="1580" spans="1:11" x14ac:dyDescent="0.25">
      <c r="A1580" s="51">
        <v>42840</v>
      </c>
      <c r="B1580" s="174" t="s">
        <v>13114</v>
      </c>
      <c r="C1580" s="175"/>
      <c r="D1580" s="176" t="s">
        <v>13114</v>
      </c>
      <c r="E1580" s="176">
        <v>108014</v>
      </c>
      <c r="F1580" s="177" t="s">
        <v>2986</v>
      </c>
      <c r="G1580" s="178">
        <v>4355.8500000000004</v>
      </c>
      <c r="H1580" s="179">
        <v>42840</v>
      </c>
      <c r="I1580" s="178">
        <f t="shared" si="49"/>
        <v>4355.8500000000004</v>
      </c>
      <c r="J1580" s="178">
        <f t="shared" si="50"/>
        <v>0</v>
      </c>
      <c r="K1580" s="19"/>
    </row>
    <row r="1581" spans="1:11" x14ac:dyDescent="0.25">
      <c r="A1581" s="51">
        <v>42840</v>
      </c>
      <c r="B1581" s="174" t="s">
        <v>13115</v>
      </c>
      <c r="C1581" s="175"/>
      <c r="D1581" s="176" t="s">
        <v>13115</v>
      </c>
      <c r="E1581" s="176">
        <v>108015</v>
      </c>
      <c r="F1581" s="177" t="s">
        <v>270</v>
      </c>
      <c r="G1581" s="178">
        <v>33737.26</v>
      </c>
      <c r="H1581" s="180" t="s">
        <v>13116</v>
      </c>
      <c r="I1581" s="181">
        <f>26400+7337.26</f>
        <v>33737.26</v>
      </c>
      <c r="J1581" s="181">
        <f t="shared" si="50"/>
        <v>0</v>
      </c>
      <c r="K1581" s="19"/>
    </row>
    <row r="1582" spans="1:11" x14ac:dyDescent="0.25">
      <c r="A1582" s="51">
        <v>42840</v>
      </c>
      <c r="B1582" s="174" t="s">
        <v>13117</v>
      </c>
      <c r="C1582" s="175"/>
      <c r="D1582" s="176" t="s">
        <v>13117</v>
      </c>
      <c r="E1582" s="176">
        <v>108016</v>
      </c>
      <c r="F1582" s="177" t="s">
        <v>240</v>
      </c>
      <c r="G1582" s="178">
        <v>9157.1</v>
      </c>
      <c r="H1582" s="179">
        <v>42840</v>
      </c>
      <c r="I1582" s="178">
        <f t="shared" si="49"/>
        <v>9157.1</v>
      </c>
      <c r="J1582" s="178">
        <f t="shared" si="50"/>
        <v>0</v>
      </c>
      <c r="K1582" s="19"/>
    </row>
    <row r="1583" spans="1:11" x14ac:dyDescent="0.25">
      <c r="A1583" s="51">
        <v>42840</v>
      </c>
      <c r="B1583" s="174" t="s">
        <v>13118</v>
      </c>
      <c r="C1583" s="175"/>
      <c r="D1583" s="176" t="s">
        <v>13118</v>
      </c>
      <c r="E1583" s="176">
        <v>108017</v>
      </c>
      <c r="F1583" s="177" t="s">
        <v>721</v>
      </c>
      <c r="G1583" s="178">
        <v>9861.4</v>
      </c>
      <c r="H1583" s="179">
        <v>42840</v>
      </c>
      <c r="I1583" s="178">
        <f t="shared" si="49"/>
        <v>9861.4</v>
      </c>
      <c r="J1583" s="178">
        <f t="shared" si="50"/>
        <v>0</v>
      </c>
      <c r="K1583" s="19"/>
    </row>
    <row r="1584" spans="1:11" x14ac:dyDescent="0.25">
      <c r="A1584" s="51">
        <v>42840</v>
      </c>
      <c r="B1584" s="174" t="s">
        <v>13119</v>
      </c>
      <c r="C1584" s="175"/>
      <c r="D1584" s="176" t="s">
        <v>13119</v>
      </c>
      <c r="E1584" s="176">
        <v>108018</v>
      </c>
      <c r="F1584" s="177" t="s">
        <v>135</v>
      </c>
      <c r="G1584" s="178">
        <v>7890</v>
      </c>
      <c r="H1584" s="179">
        <v>42840</v>
      </c>
      <c r="I1584" s="178">
        <f t="shared" si="49"/>
        <v>7890</v>
      </c>
      <c r="J1584" s="178">
        <f t="shared" si="50"/>
        <v>0</v>
      </c>
      <c r="K1584" s="19"/>
    </row>
    <row r="1585" spans="1:11" x14ac:dyDescent="0.25">
      <c r="A1585" s="51">
        <v>42840</v>
      </c>
      <c r="B1585" s="174" t="s">
        <v>13120</v>
      </c>
      <c r="C1585" s="175"/>
      <c r="D1585" s="176" t="s">
        <v>13120</v>
      </c>
      <c r="E1585" s="176">
        <v>108019</v>
      </c>
      <c r="F1585" s="177" t="s">
        <v>274</v>
      </c>
      <c r="G1585" s="178">
        <v>17402.3</v>
      </c>
      <c r="H1585" s="179">
        <v>42846</v>
      </c>
      <c r="I1585" s="178">
        <f t="shared" si="49"/>
        <v>17402.3</v>
      </c>
      <c r="J1585" s="178">
        <f t="shared" si="50"/>
        <v>0</v>
      </c>
      <c r="K1585" s="19"/>
    </row>
    <row r="1586" spans="1:11" x14ac:dyDescent="0.25">
      <c r="A1586" s="51">
        <v>42840</v>
      </c>
      <c r="B1586" s="174" t="s">
        <v>13121</v>
      </c>
      <c r="C1586" s="175"/>
      <c r="D1586" s="176" t="s">
        <v>13121</v>
      </c>
      <c r="E1586" s="176">
        <v>108020</v>
      </c>
      <c r="F1586" s="177" t="s">
        <v>67</v>
      </c>
      <c r="G1586" s="178">
        <v>7386.5</v>
      </c>
      <c r="H1586" s="179">
        <v>42842</v>
      </c>
      <c r="I1586" s="178">
        <f t="shared" si="49"/>
        <v>7386.5</v>
      </c>
      <c r="J1586" s="178">
        <f t="shared" si="50"/>
        <v>0</v>
      </c>
      <c r="K1586" s="19"/>
    </row>
    <row r="1587" spans="1:11" x14ac:dyDescent="0.25">
      <c r="A1587" s="51">
        <v>42840</v>
      </c>
      <c r="B1587" s="174" t="s">
        <v>13122</v>
      </c>
      <c r="C1587" s="175"/>
      <c r="D1587" s="176" t="s">
        <v>13122</v>
      </c>
      <c r="E1587" s="176">
        <v>108021</v>
      </c>
      <c r="F1587" s="177" t="s">
        <v>876</v>
      </c>
      <c r="G1587" s="178">
        <v>8025.5</v>
      </c>
      <c r="H1587" s="179">
        <v>42846</v>
      </c>
      <c r="I1587" s="178">
        <f t="shared" si="49"/>
        <v>8025.5</v>
      </c>
      <c r="J1587" s="178">
        <f t="shared" si="50"/>
        <v>0</v>
      </c>
      <c r="K1587" s="19"/>
    </row>
    <row r="1588" spans="1:11" x14ac:dyDescent="0.25">
      <c r="A1588" s="51">
        <v>42840</v>
      </c>
      <c r="B1588" s="174" t="s">
        <v>13123</v>
      </c>
      <c r="C1588" s="175"/>
      <c r="D1588" s="176" t="s">
        <v>13123</v>
      </c>
      <c r="E1588" s="176">
        <v>108022</v>
      </c>
      <c r="F1588" s="177" t="s">
        <v>32</v>
      </c>
      <c r="G1588" s="178">
        <v>13220.4</v>
      </c>
      <c r="H1588" s="179">
        <v>42849</v>
      </c>
      <c r="I1588" s="178">
        <f t="shared" si="49"/>
        <v>13220.4</v>
      </c>
      <c r="J1588" s="178">
        <f t="shared" si="50"/>
        <v>0</v>
      </c>
      <c r="K1588" s="19"/>
    </row>
    <row r="1589" spans="1:11" x14ac:dyDescent="0.25">
      <c r="A1589" s="51">
        <v>42840</v>
      </c>
      <c r="B1589" s="174" t="s">
        <v>13124</v>
      </c>
      <c r="C1589" s="175"/>
      <c r="D1589" s="176" t="s">
        <v>13124</v>
      </c>
      <c r="E1589" s="176">
        <v>108023</v>
      </c>
      <c r="F1589" s="177" t="s">
        <v>35</v>
      </c>
      <c r="G1589" s="178">
        <v>27596</v>
      </c>
      <c r="H1589" s="179">
        <v>42843</v>
      </c>
      <c r="I1589" s="178">
        <f t="shared" si="49"/>
        <v>27596</v>
      </c>
      <c r="J1589" s="178">
        <f t="shared" si="50"/>
        <v>0</v>
      </c>
      <c r="K1589" s="19"/>
    </row>
    <row r="1590" spans="1:11" x14ac:dyDescent="0.25">
      <c r="A1590" s="51">
        <v>42840</v>
      </c>
      <c r="B1590" s="174" t="s">
        <v>13125</v>
      </c>
      <c r="C1590" s="175"/>
      <c r="D1590" s="176" t="s">
        <v>13125</v>
      </c>
      <c r="E1590" s="176">
        <v>108024</v>
      </c>
      <c r="F1590" s="177" t="s">
        <v>712</v>
      </c>
      <c r="G1590" s="178">
        <v>13808</v>
      </c>
      <c r="H1590" s="179">
        <v>42840</v>
      </c>
      <c r="I1590" s="178">
        <f t="shared" si="49"/>
        <v>13808</v>
      </c>
      <c r="J1590" s="178">
        <f t="shared" si="50"/>
        <v>0</v>
      </c>
      <c r="K1590" s="19"/>
    </row>
    <row r="1591" spans="1:11" x14ac:dyDescent="0.25">
      <c r="A1591" s="51">
        <v>42840</v>
      </c>
      <c r="B1591" s="174" t="s">
        <v>13126</v>
      </c>
      <c r="C1591" s="175"/>
      <c r="D1591" s="176" t="s">
        <v>13126</v>
      </c>
      <c r="E1591" s="176">
        <v>108025</v>
      </c>
      <c r="F1591" s="177" t="s">
        <v>40</v>
      </c>
      <c r="G1591" s="178">
        <v>1733.6</v>
      </c>
      <c r="H1591" s="179">
        <v>42844</v>
      </c>
      <c r="I1591" s="178">
        <f t="shared" si="49"/>
        <v>1733.6</v>
      </c>
      <c r="J1591" s="178">
        <f t="shared" si="50"/>
        <v>0</v>
      </c>
      <c r="K1591" s="19"/>
    </row>
    <row r="1592" spans="1:11" x14ac:dyDescent="0.25">
      <c r="A1592" s="51">
        <v>42840</v>
      </c>
      <c r="B1592" s="174" t="s">
        <v>13127</v>
      </c>
      <c r="C1592" s="175"/>
      <c r="D1592" s="176" t="s">
        <v>13127</v>
      </c>
      <c r="E1592" s="176">
        <v>108026</v>
      </c>
      <c r="F1592" s="177" t="s">
        <v>38</v>
      </c>
      <c r="G1592" s="178">
        <v>6016.8</v>
      </c>
      <c r="H1592" s="180" t="s">
        <v>13128</v>
      </c>
      <c r="I1592" s="181">
        <f>5000+1016.8</f>
        <v>6016.8</v>
      </c>
      <c r="J1592" s="181">
        <f t="shared" si="50"/>
        <v>0</v>
      </c>
      <c r="K1592" s="19"/>
    </row>
    <row r="1593" spans="1:11" x14ac:dyDescent="0.25">
      <c r="A1593" s="51">
        <v>42840</v>
      </c>
      <c r="B1593" s="174" t="s">
        <v>13129</v>
      </c>
      <c r="C1593" s="175"/>
      <c r="D1593" s="176" t="s">
        <v>13129</v>
      </c>
      <c r="E1593" s="176">
        <v>108027</v>
      </c>
      <c r="F1593" s="177" t="s">
        <v>51</v>
      </c>
      <c r="G1593" s="178">
        <v>5892.65</v>
      </c>
      <c r="H1593" s="179">
        <v>42843</v>
      </c>
      <c r="I1593" s="178">
        <f t="shared" si="49"/>
        <v>5892.65</v>
      </c>
      <c r="J1593" s="178">
        <f t="shared" si="50"/>
        <v>0</v>
      </c>
      <c r="K1593" s="19"/>
    </row>
    <row r="1594" spans="1:11" x14ac:dyDescent="0.25">
      <c r="A1594" s="51">
        <v>42840</v>
      </c>
      <c r="B1594" s="174" t="s">
        <v>13130</v>
      </c>
      <c r="C1594" s="175"/>
      <c r="D1594" s="176" t="s">
        <v>13130</v>
      </c>
      <c r="E1594" s="176">
        <v>108028</v>
      </c>
      <c r="F1594" s="177" t="s">
        <v>253</v>
      </c>
      <c r="G1594" s="178">
        <v>6304.7</v>
      </c>
      <c r="H1594" s="179">
        <v>42844</v>
      </c>
      <c r="I1594" s="178">
        <f t="shared" si="49"/>
        <v>6304.7</v>
      </c>
      <c r="J1594" s="178">
        <f t="shared" si="50"/>
        <v>0</v>
      </c>
      <c r="K1594" s="19"/>
    </row>
    <row r="1595" spans="1:11" x14ac:dyDescent="0.25">
      <c r="A1595" s="51">
        <v>42840</v>
      </c>
      <c r="B1595" s="174" t="s">
        <v>13131</v>
      </c>
      <c r="C1595" s="175"/>
      <c r="D1595" s="176" t="s">
        <v>13131</v>
      </c>
      <c r="E1595" s="176">
        <v>108029</v>
      </c>
      <c r="F1595" s="177" t="s">
        <v>30</v>
      </c>
      <c r="G1595" s="178">
        <v>382.5</v>
      </c>
      <c r="H1595" s="179">
        <v>42840</v>
      </c>
      <c r="I1595" s="178">
        <f t="shared" si="49"/>
        <v>382.5</v>
      </c>
      <c r="J1595" s="178">
        <f t="shared" si="50"/>
        <v>0</v>
      </c>
      <c r="K1595" s="19"/>
    </row>
    <row r="1596" spans="1:11" x14ac:dyDescent="0.25">
      <c r="A1596" s="51">
        <v>42840</v>
      </c>
      <c r="B1596" s="174" t="s">
        <v>13132</v>
      </c>
      <c r="C1596" s="175"/>
      <c r="D1596" s="176" t="s">
        <v>13132</v>
      </c>
      <c r="E1596" s="176">
        <v>108030</v>
      </c>
      <c r="F1596" s="177" t="s">
        <v>159</v>
      </c>
      <c r="G1596" s="178">
        <v>5056.5</v>
      </c>
      <c r="H1596" s="179">
        <v>42840</v>
      </c>
      <c r="I1596" s="178">
        <f t="shared" si="49"/>
        <v>5056.5</v>
      </c>
      <c r="J1596" s="178">
        <f t="shared" si="50"/>
        <v>0</v>
      </c>
      <c r="K1596" s="19"/>
    </row>
    <row r="1597" spans="1:11" x14ac:dyDescent="0.25">
      <c r="A1597" s="51">
        <v>42840</v>
      </c>
      <c r="B1597" s="174" t="s">
        <v>13133</v>
      </c>
      <c r="C1597" s="175"/>
      <c r="D1597" s="176" t="s">
        <v>13133</v>
      </c>
      <c r="E1597" s="176">
        <v>108031</v>
      </c>
      <c r="F1597" s="177" t="s">
        <v>457</v>
      </c>
      <c r="G1597" s="178">
        <v>5297.6</v>
      </c>
      <c r="H1597" s="179">
        <v>42840</v>
      </c>
      <c r="I1597" s="178">
        <f t="shared" si="49"/>
        <v>5297.6</v>
      </c>
      <c r="J1597" s="178">
        <f t="shared" si="50"/>
        <v>0</v>
      </c>
      <c r="K1597" s="19"/>
    </row>
    <row r="1598" spans="1:11" x14ac:dyDescent="0.25">
      <c r="A1598" s="51">
        <v>42840</v>
      </c>
      <c r="B1598" s="174" t="s">
        <v>13134</v>
      </c>
      <c r="C1598" s="175"/>
      <c r="D1598" s="176" t="s">
        <v>13134</v>
      </c>
      <c r="E1598" s="176">
        <v>108032</v>
      </c>
      <c r="F1598" s="182" t="s">
        <v>79</v>
      </c>
      <c r="G1598" s="183">
        <v>0</v>
      </c>
      <c r="H1598" s="184" t="s">
        <v>95</v>
      </c>
      <c r="I1598" s="183">
        <f t="shared" si="49"/>
        <v>0</v>
      </c>
      <c r="J1598" s="183">
        <f t="shared" si="50"/>
        <v>0</v>
      </c>
      <c r="K1598" s="19"/>
    </row>
    <row r="1599" spans="1:11" x14ac:dyDescent="0.25">
      <c r="A1599" s="51">
        <v>42840</v>
      </c>
      <c r="B1599" s="174" t="s">
        <v>13135</v>
      </c>
      <c r="C1599" s="175"/>
      <c r="D1599" s="176" t="s">
        <v>13135</v>
      </c>
      <c r="E1599" s="176">
        <v>108033</v>
      </c>
      <c r="F1599" s="177" t="s">
        <v>79</v>
      </c>
      <c r="G1599" s="178">
        <v>3470.6</v>
      </c>
      <c r="H1599" s="179">
        <v>42840</v>
      </c>
      <c r="I1599" s="178">
        <f t="shared" si="49"/>
        <v>3470.6</v>
      </c>
      <c r="J1599" s="178">
        <f t="shared" si="50"/>
        <v>0</v>
      </c>
      <c r="K1599" s="19"/>
    </row>
    <row r="1600" spans="1:11" x14ac:dyDescent="0.25">
      <c r="A1600" s="51">
        <v>42840</v>
      </c>
      <c r="B1600" s="174" t="s">
        <v>13136</v>
      </c>
      <c r="C1600" s="175"/>
      <c r="D1600" s="176" t="s">
        <v>13136</v>
      </c>
      <c r="E1600" s="176">
        <v>108034</v>
      </c>
      <c r="F1600" s="177" t="s">
        <v>1645</v>
      </c>
      <c r="G1600" s="178">
        <v>1728.2</v>
      </c>
      <c r="H1600" s="179">
        <v>42840</v>
      </c>
      <c r="I1600" s="178">
        <f t="shared" si="49"/>
        <v>1728.2</v>
      </c>
      <c r="J1600" s="178">
        <f t="shared" si="50"/>
        <v>0</v>
      </c>
      <c r="K1600" s="19"/>
    </row>
    <row r="1601" spans="1:11" x14ac:dyDescent="0.25">
      <c r="A1601" s="51">
        <v>42840</v>
      </c>
      <c r="B1601" s="174" t="s">
        <v>13137</v>
      </c>
      <c r="C1601" s="175"/>
      <c r="D1601" s="176" t="s">
        <v>13137</v>
      </c>
      <c r="E1601" s="176">
        <v>108035</v>
      </c>
      <c r="F1601" s="177" t="s">
        <v>305</v>
      </c>
      <c r="G1601" s="178">
        <v>6086.4</v>
      </c>
      <c r="H1601" s="179">
        <v>42842</v>
      </c>
      <c r="I1601" s="178">
        <f t="shared" si="49"/>
        <v>6086.4</v>
      </c>
      <c r="J1601" s="178">
        <f t="shared" si="50"/>
        <v>0</v>
      </c>
      <c r="K1601" s="19"/>
    </row>
    <row r="1602" spans="1:11" x14ac:dyDescent="0.25">
      <c r="A1602" s="51">
        <v>42840</v>
      </c>
      <c r="B1602" s="174" t="s">
        <v>13138</v>
      </c>
      <c r="C1602" s="175"/>
      <c r="D1602" s="176" t="s">
        <v>13138</v>
      </c>
      <c r="E1602" s="176">
        <v>108036</v>
      </c>
      <c r="F1602" s="177" t="s">
        <v>71</v>
      </c>
      <c r="G1602" s="178">
        <v>2886.9</v>
      </c>
      <c r="H1602" s="179">
        <v>42840</v>
      </c>
      <c r="I1602" s="178">
        <f t="shared" si="49"/>
        <v>2886.9</v>
      </c>
      <c r="J1602" s="178">
        <f t="shared" si="50"/>
        <v>0</v>
      </c>
      <c r="K1602" s="19"/>
    </row>
    <row r="1603" spans="1:11" x14ac:dyDescent="0.25">
      <c r="A1603" s="51">
        <v>42840</v>
      </c>
      <c r="B1603" s="174" t="s">
        <v>13139</v>
      </c>
      <c r="C1603" s="175"/>
      <c r="D1603" s="176" t="s">
        <v>13139</v>
      </c>
      <c r="E1603" s="176">
        <v>108037</v>
      </c>
      <c r="F1603" s="177" t="s">
        <v>430</v>
      </c>
      <c r="G1603" s="178">
        <v>2530</v>
      </c>
      <c r="H1603" s="179">
        <v>42840</v>
      </c>
      <c r="I1603" s="178">
        <f t="shared" si="49"/>
        <v>2530</v>
      </c>
      <c r="J1603" s="178">
        <f t="shared" si="50"/>
        <v>0</v>
      </c>
      <c r="K1603" s="19"/>
    </row>
    <row r="1604" spans="1:11" x14ac:dyDescent="0.25">
      <c r="A1604" s="51">
        <v>42840</v>
      </c>
      <c r="B1604" s="174" t="s">
        <v>13140</v>
      </c>
      <c r="C1604" s="175"/>
      <c r="D1604" s="176" t="s">
        <v>13140</v>
      </c>
      <c r="E1604" s="176">
        <v>108038</v>
      </c>
      <c r="F1604" s="177" t="s">
        <v>386</v>
      </c>
      <c r="G1604" s="178">
        <v>3182.4</v>
      </c>
      <c r="H1604" s="179">
        <v>42840</v>
      </c>
      <c r="I1604" s="178">
        <f t="shared" ref="I1604:I1667" si="51">G1604</f>
        <v>3182.4</v>
      </c>
      <c r="J1604" s="178">
        <f t="shared" ref="J1604:J1667" si="52">G1604-I1604</f>
        <v>0</v>
      </c>
      <c r="K1604" s="19"/>
    </row>
    <row r="1605" spans="1:11" x14ac:dyDescent="0.25">
      <c r="A1605" s="51">
        <v>42840</v>
      </c>
      <c r="B1605" s="174" t="s">
        <v>13141</v>
      </c>
      <c r="C1605" s="175"/>
      <c r="D1605" s="176" t="s">
        <v>13141</v>
      </c>
      <c r="E1605" s="176">
        <v>108039</v>
      </c>
      <c r="F1605" s="177" t="s">
        <v>30</v>
      </c>
      <c r="G1605" s="178">
        <v>3427.6</v>
      </c>
      <c r="H1605" s="179">
        <v>42840</v>
      </c>
      <c r="I1605" s="178">
        <f t="shared" si="51"/>
        <v>3427.6</v>
      </c>
      <c r="J1605" s="178">
        <f t="shared" si="52"/>
        <v>0</v>
      </c>
      <c r="K1605" s="19"/>
    </row>
    <row r="1606" spans="1:11" x14ac:dyDescent="0.25">
      <c r="A1606" s="51">
        <v>42840</v>
      </c>
      <c r="B1606" s="174" t="s">
        <v>13142</v>
      </c>
      <c r="C1606" s="175"/>
      <c r="D1606" s="176" t="s">
        <v>13142</v>
      </c>
      <c r="E1606" s="176">
        <v>108040</v>
      </c>
      <c r="F1606" s="177" t="s">
        <v>30</v>
      </c>
      <c r="G1606" s="178">
        <v>1848</v>
      </c>
      <c r="H1606" s="179">
        <v>42840</v>
      </c>
      <c r="I1606" s="178">
        <f t="shared" si="51"/>
        <v>1848</v>
      </c>
      <c r="J1606" s="178">
        <f t="shared" si="52"/>
        <v>0</v>
      </c>
      <c r="K1606" s="19"/>
    </row>
    <row r="1607" spans="1:11" x14ac:dyDescent="0.25">
      <c r="A1607" s="51">
        <v>42840</v>
      </c>
      <c r="B1607" s="174" t="s">
        <v>13143</v>
      </c>
      <c r="C1607" s="175"/>
      <c r="D1607" s="176" t="s">
        <v>13143</v>
      </c>
      <c r="E1607" s="176">
        <v>108041</v>
      </c>
      <c r="F1607" s="177" t="s">
        <v>250</v>
      </c>
      <c r="G1607" s="178">
        <v>20701.900000000001</v>
      </c>
      <c r="H1607" s="180" t="s">
        <v>12870</v>
      </c>
      <c r="I1607" s="181">
        <f>15300+5401.9</f>
        <v>20701.900000000001</v>
      </c>
      <c r="J1607" s="181">
        <f t="shared" si="52"/>
        <v>0</v>
      </c>
      <c r="K1607" s="19"/>
    </row>
    <row r="1608" spans="1:11" x14ac:dyDescent="0.25">
      <c r="A1608" s="51">
        <v>42840</v>
      </c>
      <c r="B1608" s="174" t="s">
        <v>13144</v>
      </c>
      <c r="C1608" s="175"/>
      <c r="D1608" s="176" t="s">
        <v>13144</v>
      </c>
      <c r="E1608" s="176">
        <v>108042</v>
      </c>
      <c r="F1608" s="177" t="s">
        <v>414</v>
      </c>
      <c r="G1608" s="178">
        <v>9390.2999999999993</v>
      </c>
      <c r="H1608" s="179">
        <v>42840</v>
      </c>
      <c r="I1608" s="178">
        <f t="shared" si="51"/>
        <v>9390.2999999999993</v>
      </c>
      <c r="J1608" s="178">
        <f t="shared" si="52"/>
        <v>0</v>
      </c>
      <c r="K1608" s="19"/>
    </row>
    <row r="1609" spans="1:11" x14ac:dyDescent="0.25">
      <c r="A1609" s="51">
        <v>42840</v>
      </c>
      <c r="B1609" s="174" t="s">
        <v>13145</v>
      </c>
      <c r="C1609" s="175"/>
      <c r="D1609" s="176" t="s">
        <v>13145</v>
      </c>
      <c r="E1609" s="176">
        <v>108043</v>
      </c>
      <c r="F1609" s="177" t="s">
        <v>49</v>
      </c>
      <c r="G1609" s="178">
        <v>12341.4</v>
      </c>
      <c r="H1609" s="179">
        <v>42843</v>
      </c>
      <c r="I1609" s="178">
        <f t="shared" si="51"/>
        <v>12341.4</v>
      </c>
      <c r="J1609" s="178">
        <f t="shared" si="52"/>
        <v>0</v>
      </c>
      <c r="K1609" s="19"/>
    </row>
    <row r="1610" spans="1:11" x14ac:dyDescent="0.25">
      <c r="A1610" s="51">
        <v>42840</v>
      </c>
      <c r="B1610" s="174" t="s">
        <v>13146</v>
      </c>
      <c r="C1610" s="175"/>
      <c r="D1610" s="176" t="s">
        <v>13146</v>
      </c>
      <c r="E1610" s="176">
        <v>108044</v>
      </c>
      <c r="F1610" s="177" t="s">
        <v>43</v>
      </c>
      <c r="G1610" s="178">
        <v>12770.1</v>
      </c>
      <c r="H1610" s="180">
        <v>42843</v>
      </c>
      <c r="I1610" s="181">
        <v>12770.1</v>
      </c>
      <c r="J1610" s="181">
        <f t="shared" si="52"/>
        <v>0</v>
      </c>
      <c r="K1610" s="19"/>
    </row>
    <row r="1611" spans="1:11" x14ac:dyDescent="0.25">
      <c r="A1611" s="51">
        <v>42840</v>
      </c>
      <c r="B1611" s="174" t="s">
        <v>13147</v>
      </c>
      <c r="C1611" s="175"/>
      <c r="D1611" s="176" t="s">
        <v>13147</v>
      </c>
      <c r="E1611" s="176">
        <v>108045</v>
      </c>
      <c r="F1611" s="177" t="s">
        <v>85</v>
      </c>
      <c r="G1611" s="178">
        <v>12766.65</v>
      </c>
      <c r="H1611" s="179" t="s">
        <v>12750</v>
      </c>
      <c r="I1611" s="178">
        <f>4000+8766.65</f>
        <v>12766.65</v>
      </c>
      <c r="J1611" s="178">
        <f t="shared" si="52"/>
        <v>0</v>
      </c>
      <c r="K1611" s="19"/>
    </row>
    <row r="1612" spans="1:11" x14ac:dyDescent="0.25">
      <c r="A1612" s="51">
        <v>42840</v>
      </c>
      <c r="B1612" s="174" t="s">
        <v>13148</v>
      </c>
      <c r="C1612" s="175"/>
      <c r="D1612" s="176" t="s">
        <v>13148</v>
      </c>
      <c r="E1612" s="176">
        <v>108046</v>
      </c>
      <c r="F1612" s="177" t="s">
        <v>141</v>
      </c>
      <c r="G1612" s="178">
        <v>9729</v>
      </c>
      <c r="H1612" s="179">
        <v>42842</v>
      </c>
      <c r="I1612" s="178">
        <f t="shared" si="51"/>
        <v>9729</v>
      </c>
      <c r="J1612" s="178">
        <f t="shared" si="52"/>
        <v>0</v>
      </c>
      <c r="K1612" s="19"/>
    </row>
    <row r="1613" spans="1:11" x14ac:dyDescent="0.25">
      <c r="A1613" s="51">
        <v>42840</v>
      </c>
      <c r="B1613" s="174" t="s">
        <v>13149</v>
      </c>
      <c r="C1613" s="175"/>
      <c r="D1613" s="176" t="s">
        <v>13149</v>
      </c>
      <c r="E1613" s="176">
        <v>108047</v>
      </c>
      <c r="F1613" s="177" t="s">
        <v>122</v>
      </c>
      <c r="G1613" s="178">
        <v>32004.6</v>
      </c>
      <c r="H1613" s="179">
        <v>42846</v>
      </c>
      <c r="I1613" s="178">
        <f t="shared" si="51"/>
        <v>32004.6</v>
      </c>
      <c r="J1613" s="178">
        <f t="shared" si="52"/>
        <v>0</v>
      </c>
      <c r="K1613" s="19"/>
    </row>
    <row r="1614" spans="1:11" x14ac:dyDescent="0.25">
      <c r="A1614" s="51">
        <v>42840</v>
      </c>
      <c r="B1614" s="174" t="s">
        <v>13150</v>
      </c>
      <c r="C1614" s="175"/>
      <c r="D1614" s="176" t="s">
        <v>13150</v>
      </c>
      <c r="E1614" s="176">
        <v>108048</v>
      </c>
      <c r="F1614" s="177" t="s">
        <v>125</v>
      </c>
      <c r="G1614" s="178">
        <v>9764.7999999999993</v>
      </c>
      <c r="H1614" s="179">
        <v>42842</v>
      </c>
      <c r="I1614" s="178">
        <f t="shared" si="51"/>
        <v>9764.7999999999993</v>
      </c>
      <c r="J1614" s="178">
        <f t="shared" si="52"/>
        <v>0</v>
      </c>
      <c r="K1614" s="19"/>
    </row>
    <row r="1615" spans="1:11" x14ac:dyDescent="0.25">
      <c r="A1615" s="51">
        <v>42840</v>
      </c>
      <c r="B1615" s="174" t="s">
        <v>13151</v>
      </c>
      <c r="C1615" s="175"/>
      <c r="D1615" s="176" t="s">
        <v>13151</v>
      </c>
      <c r="E1615" s="176">
        <v>108049</v>
      </c>
      <c r="F1615" s="177" t="s">
        <v>459</v>
      </c>
      <c r="G1615" s="178">
        <v>1041.5999999999999</v>
      </c>
      <c r="H1615" s="179">
        <v>42842</v>
      </c>
      <c r="I1615" s="178">
        <f t="shared" si="51"/>
        <v>1041.5999999999999</v>
      </c>
      <c r="J1615" s="178">
        <f t="shared" si="52"/>
        <v>0</v>
      </c>
      <c r="K1615" s="19"/>
    </row>
    <row r="1616" spans="1:11" x14ac:dyDescent="0.25">
      <c r="A1616" s="51">
        <v>42840</v>
      </c>
      <c r="B1616" s="174" t="s">
        <v>13152</v>
      </c>
      <c r="C1616" s="175"/>
      <c r="D1616" s="176" t="s">
        <v>13152</v>
      </c>
      <c r="E1616" s="176">
        <v>108050</v>
      </c>
      <c r="F1616" s="177" t="s">
        <v>470</v>
      </c>
      <c r="G1616" s="178">
        <v>9077</v>
      </c>
      <c r="H1616" s="179">
        <v>42842</v>
      </c>
      <c r="I1616" s="178">
        <f t="shared" si="51"/>
        <v>9077</v>
      </c>
      <c r="J1616" s="178">
        <f t="shared" si="52"/>
        <v>0</v>
      </c>
      <c r="K1616" s="19"/>
    </row>
    <row r="1617" spans="1:11" x14ac:dyDescent="0.25">
      <c r="A1617" s="51">
        <v>42840</v>
      </c>
      <c r="B1617" s="174" t="s">
        <v>13153</v>
      </c>
      <c r="C1617" s="175"/>
      <c r="D1617" s="176" t="s">
        <v>13153</v>
      </c>
      <c r="E1617" s="176">
        <v>108051</v>
      </c>
      <c r="F1617" s="177" t="s">
        <v>122</v>
      </c>
      <c r="G1617" s="178">
        <v>1450</v>
      </c>
      <c r="H1617" s="179">
        <v>42846</v>
      </c>
      <c r="I1617" s="178">
        <f t="shared" si="51"/>
        <v>1450</v>
      </c>
      <c r="J1617" s="178">
        <f t="shared" si="52"/>
        <v>0</v>
      </c>
      <c r="K1617" s="19"/>
    </row>
    <row r="1618" spans="1:11" x14ac:dyDescent="0.25">
      <c r="A1618" s="51">
        <v>42840</v>
      </c>
      <c r="B1618" s="174" t="s">
        <v>13154</v>
      </c>
      <c r="C1618" s="175"/>
      <c r="D1618" s="176" t="s">
        <v>13154</v>
      </c>
      <c r="E1618" s="176">
        <v>108052</v>
      </c>
      <c r="F1618" s="177" t="s">
        <v>157</v>
      </c>
      <c r="G1618" s="178">
        <v>14708</v>
      </c>
      <c r="H1618" s="179">
        <v>42840</v>
      </c>
      <c r="I1618" s="178">
        <f t="shared" si="51"/>
        <v>14708</v>
      </c>
      <c r="J1618" s="178">
        <f t="shared" si="52"/>
        <v>0</v>
      </c>
      <c r="K1618" s="19"/>
    </row>
    <row r="1619" spans="1:11" x14ac:dyDescent="0.25">
      <c r="A1619" s="51">
        <v>42840</v>
      </c>
      <c r="B1619" s="174" t="s">
        <v>13155</v>
      </c>
      <c r="C1619" s="175"/>
      <c r="D1619" s="176" t="s">
        <v>13155</v>
      </c>
      <c r="E1619" s="176">
        <v>108053</v>
      </c>
      <c r="F1619" s="177" t="s">
        <v>53</v>
      </c>
      <c r="G1619" s="178">
        <v>4741.8</v>
      </c>
      <c r="H1619" s="179">
        <v>42840</v>
      </c>
      <c r="I1619" s="178">
        <f t="shared" si="51"/>
        <v>4741.8</v>
      </c>
      <c r="J1619" s="178">
        <f t="shared" si="52"/>
        <v>0</v>
      </c>
      <c r="K1619" s="19"/>
    </row>
    <row r="1620" spans="1:11" x14ac:dyDescent="0.25">
      <c r="A1620" s="51">
        <v>42840</v>
      </c>
      <c r="B1620" s="174" t="s">
        <v>13156</v>
      </c>
      <c r="C1620" s="175"/>
      <c r="D1620" s="176" t="s">
        <v>13156</v>
      </c>
      <c r="E1620" s="176">
        <v>108054</v>
      </c>
      <c r="F1620" s="177" t="s">
        <v>57</v>
      </c>
      <c r="G1620" s="178">
        <v>580.79999999999995</v>
      </c>
      <c r="H1620" s="179">
        <v>42840</v>
      </c>
      <c r="I1620" s="178">
        <f t="shared" si="51"/>
        <v>580.79999999999995</v>
      </c>
      <c r="J1620" s="178">
        <f t="shared" si="52"/>
        <v>0</v>
      </c>
      <c r="K1620" s="19"/>
    </row>
    <row r="1621" spans="1:11" x14ac:dyDescent="0.25">
      <c r="A1621" s="51">
        <v>42840</v>
      </c>
      <c r="B1621" s="174" t="s">
        <v>13157</v>
      </c>
      <c r="C1621" s="175"/>
      <c r="D1621" s="176" t="s">
        <v>13157</v>
      </c>
      <c r="E1621" s="176">
        <v>108055</v>
      </c>
      <c r="F1621" s="177" t="s">
        <v>188</v>
      </c>
      <c r="G1621" s="178">
        <v>3240.8</v>
      </c>
      <c r="H1621" s="179">
        <v>42840</v>
      </c>
      <c r="I1621" s="178">
        <f t="shared" si="51"/>
        <v>3240.8</v>
      </c>
      <c r="J1621" s="178">
        <f t="shared" si="52"/>
        <v>0</v>
      </c>
      <c r="K1621" s="19"/>
    </row>
    <row r="1622" spans="1:11" x14ac:dyDescent="0.25">
      <c r="A1622" s="51">
        <v>42840</v>
      </c>
      <c r="B1622" s="174" t="s">
        <v>13158</v>
      </c>
      <c r="C1622" s="175"/>
      <c r="D1622" s="176" t="s">
        <v>13158</v>
      </c>
      <c r="E1622" s="176">
        <v>108056</v>
      </c>
      <c r="F1622" s="177" t="s">
        <v>61</v>
      </c>
      <c r="G1622" s="178">
        <v>6735.9</v>
      </c>
      <c r="H1622" s="179">
        <v>42840</v>
      </c>
      <c r="I1622" s="178">
        <f t="shared" si="51"/>
        <v>6735.9</v>
      </c>
      <c r="J1622" s="178">
        <f t="shared" si="52"/>
        <v>0</v>
      </c>
      <c r="K1622" s="19"/>
    </row>
    <row r="1623" spans="1:11" x14ac:dyDescent="0.25">
      <c r="A1623" s="51">
        <v>42840</v>
      </c>
      <c r="B1623" s="174" t="s">
        <v>13159</v>
      </c>
      <c r="C1623" s="175"/>
      <c r="D1623" s="176" t="s">
        <v>13159</v>
      </c>
      <c r="E1623" s="176">
        <v>108057</v>
      </c>
      <c r="F1623" s="177" t="s">
        <v>198</v>
      </c>
      <c r="G1623" s="178">
        <v>4673.5</v>
      </c>
      <c r="H1623" s="179">
        <v>42840</v>
      </c>
      <c r="I1623" s="178">
        <f t="shared" si="51"/>
        <v>4673.5</v>
      </c>
      <c r="J1623" s="178">
        <f t="shared" si="52"/>
        <v>0</v>
      </c>
      <c r="K1623" s="19"/>
    </row>
    <row r="1624" spans="1:11" x14ac:dyDescent="0.25">
      <c r="A1624" s="51">
        <v>42840</v>
      </c>
      <c r="B1624" s="174" t="s">
        <v>13160</v>
      </c>
      <c r="C1624" s="175"/>
      <c r="D1624" s="176" t="s">
        <v>13160</v>
      </c>
      <c r="E1624" s="176">
        <v>108058</v>
      </c>
      <c r="F1624" s="177" t="s">
        <v>30</v>
      </c>
      <c r="G1624" s="178">
        <v>2895.2</v>
      </c>
      <c r="H1624" s="179">
        <v>42840</v>
      </c>
      <c r="I1624" s="178">
        <f t="shared" si="51"/>
        <v>2895.2</v>
      </c>
      <c r="J1624" s="178">
        <f t="shared" si="52"/>
        <v>0</v>
      </c>
      <c r="K1624" s="19"/>
    </row>
    <row r="1625" spans="1:11" x14ac:dyDescent="0.25">
      <c r="A1625" s="51">
        <v>42840</v>
      </c>
      <c r="B1625" s="174" t="s">
        <v>13161</v>
      </c>
      <c r="C1625" s="175"/>
      <c r="D1625" s="176" t="s">
        <v>13161</v>
      </c>
      <c r="E1625" s="176">
        <v>108059</v>
      </c>
      <c r="F1625" s="177" t="s">
        <v>331</v>
      </c>
      <c r="G1625" s="178">
        <v>3864.6</v>
      </c>
      <c r="H1625" s="179">
        <v>42840</v>
      </c>
      <c r="I1625" s="178">
        <f t="shared" si="51"/>
        <v>3864.6</v>
      </c>
      <c r="J1625" s="178">
        <f t="shared" si="52"/>
        <v>0</v>
      </c>
      <c r="K1625" s="19"/>
    </row>
    <row r="1626" spans="1:11" x14ac:dyDescent="0.25">
      <c r="A1626" s="51">
        <v>42840</v>
      </c>
      <c r="B1626" s="174" t="s">
        <v>13162</v>
      </c>
      <c r="C1626" s="175"/>
      <c r="D1626" s="176" t="s">
        <v>13162</v>
      </c>
      <c r="E1626" s="176">
        <v>108060</v>
      </c>
      <c r="F1626" s="177" t="s">
        <v>480</v>
      </c>
      <c r="G1626" s="178">
        <v>1643</v>
      </c>
      <c r="H1626" s="179">
        <v>42840</v>
      </c>
      <c r="I1626" s="178">
        <f t="shared" si="51"/>
        <v>1643</v>
      </c>
      <c r="J1626" s="178">
        <f t="shared" si="52"/>
        <v>0</v>
      </c>
      <c r="K1626" s="19"/>
    </row>
    <row r="1627" spans="1:11" x14ac:dyDescent="0.25">
      <c r="A1627" s="51">
        <v>42840</v>
      </c>
      <c r="B1627" s="174" t="s">
        <v>13163</v>
      </c>
      <c r="C1627" s="175"/>
      <c r="D1627" s="176" t="s">
        <v>13163</v>
      </c>
      <c r="E1627" s="176">
        <v>108061</v>
      </c>
      <c r="F1627" s="177" t="s">
        <v>176</v>
      </c>
      <c r="G1627" s="178">
        <v>7494</v>
      </c>
      <c r="H1627" s="179">
        <v>42840</v>
      </c>
      <c r="I1627" s="178">
        <f t="shared" si="51"/>
        <v>7494</v>
      </c>
      <c r="J1627" s="178">
        <f t="shared" si="52"/>
        <v>0</v>
      </c>
      <c r="K1627" s="19"/>
    </row>
    <row r="1628" spans="1:11" x14ac:dyDescent="0.25">
      <c r="A1628" s="51">
        <v>42840</v>
      </c>
      <c r="B1628" s="174" t="s">
        <v>13164</v>
      </c>
      <c r="C1628" s="175"/>
      <c r="D1628" s="176" t="s">
        <v>13164</v>
      </c>
      <c r="E1628" s="176">
        <v>108062</v>
      </c>
      <c r="F1628" s="177" t="s">
        <v>1141</v>
      </c>
      <c r="G1628" s="178">
        <v>484</v>
      </c>
      <c r="H1628" s="179">
        <v>42840</v>
      </c>
      <c r="I1628" s="178">
        <f t="shared" si="51"/>
        <v>484</v>
      </c>
      <c r="J1628" s="178">
        <f t="shared" si="52"/>
        <v>0</v>
      </c>
      <c r="K1628" s="19"/>
    </row>
    <row r="1629" spans="1:11" x14ac:dyDescent="0.25">
      <c r="A1629" s="51">
        <v>42840</v>
      </c>
      <c r="B1629" s="174" t="s">
        <v>13165</v>
      </c>
      <c r="C1629" s="175"/>
      <c r="D1629" s="176" t="s">
        <v>13165</v>
      </c>
      <c r="E1629" s="176">
        <v>108063</v>
      </c>
      <c r="F1629" s="177" t="s">
        <v>1141</v>
      </c>
      <c r="G1629" s="178">
        <v>176</v>
      </c>
      <c r="H1629" s="179">
        <v>42840</v>
      </c>
      <c r="I1629" s="178">
        <f t="shared" si="51"/>
        <v>176</v>
      </c>
      <c r="J1629" s="178">
        <f t="shared" si="52"/>
        <v>0</v>
      </c>
      <c r="K1629" s="19"/>
    </row>
    <row r="1630" spans="1:11" x14ac:dyDescent="0.25">
      <c r="A1630" s="51">
        <v>42840</v>
      </c>
      <c r="B1630" s="174" t="s">
        <v>13166</v>
      </c>
      <c r="C1630" s="175"/>
      <c r="D1630" s="176" t="s">
        <v>13166</v>
      </c>
      <c r="E1630" s="176">
        <v>108064</v>
      </c>
      <c r="F1630" s="177" t="s">
        <v>205</v>
      </c>
      <c r="G1630" s="178">
        <v>7300</v>
      </c>
      <c r="H1630" s="179">
        <v>42840</v>
      </c>
      <c r="I1630" s="178">
        <f t="shared" si="51"/>
        <v>7300</v>
      </c>
      <c r="J1630" s="178">
        <f t="shared" si="52"/>
        <v>0</v>
      </c>
      <c r="K1630" s="19"/>
    </row>
    <row r="1631" spans="1:11" x14ac:dyDescent="0.25">
      <c r="A1631" s="51">
        <v>42840</v>
      </c>
      <c r="B1631" s="174" t="s">
        <v>13167</v>
      </c>
      <c r="C1631" s="175"/>
      <c r="D1631" s="176" t="s">
        <v>13167</v>
      </c>
      <c r="E1631" s="176">
        <v>108065</v>
      </c>
      <c r="F1631" s="177" t="s">
        <v>264</v>
      </c>
      <c r="G1631" s="178">
        <v>36500</v>
      </c>
      <c r="H1631" s="179">
        <v>42842</v>
      </c>
      <c r="I1631" s="178">
        <f t="shared" si="51"/>
        <v>36500</v>
      </c>
      <c r="J1631" s="178">
        <f t="shared" si="52"/>
        <v>0</v>
      </c>
      <c r="K1631" s="19"/>
    </row>
    <row r="1632" spans="1:11" x14ac:dyDescent="0.25">
      <c r="A1632" s="51">
        <v>42840</v>
      </c>
      <c r="B1632" s="174" t="s">
        <v>13168</v>
      </c>
      <c r="C1632" s="175"/>
      <c r="D1632" s="176" t="s">
        <v>13168</v>
      </c>
      <c r="E1632" s="176">
        <v>108066</v>
      </c>
      <c r="F1632" s="177" t="s">
        <v>122</v>
      </c>
      <c r="G1632" s="178">
        <v>4030</v>
      </c>
      <c r="H1632" s="179">
        <v>42846</v>
      </c>
      <c r="I1632" s="178">
        <f t="shared" si="51"/>
        <v>4030</v>
      </c>
      <c r="J1632" s="178">
        <f t="shared" si="52"/>
        <v>0</v>
      </c>
      <c r="K1632" s="19"/>
    </row>
    <row r="1633" spans="1:11" x14ac:dyDescent="0.25">
      <c r="A1633" s="51">
        <v>42840</v>
      </c>
      <c r="B1633" s="174" t="s">
        <v>13169</v>
      </c>
      <c r="C1633" s="175"/>
      <c r="D1633" s="176" t="s">
        <v>13169</v>
      </c>
      <c r="E1633" s="176">
        <v>108067</v>
      </c>
      <c r="F1633" s="177" t="s">
        <v>492</v>
      </c>
      <c r="G1633" s="178">
        <v>747</v>
      </c>
      <c r="H1633" s="179">
        <v>42840</v>
      </c>
      <c r="I1633" s="178">
        <f t="shared" si="51"/>
        <v>747</v>
      </c>
      <c r="J1633" s="178">
        <f t="shared" si="52"/>
        <v>0</v>
      </c>
      <c r="K1633" s="19"/>
    </row>
    <row r="1634" spans="1:11" x14ac:dyDescent="0.25">
      <c r="A1634" s="51">
        <v>42840</v>
      </c>
      <c r="B1634" s="174" t="s">
        <v>13170</v>
      </c>
      <c r="C1634" s="175"/>
      <c r="D1634" s="176" t="s">
        <v>13170</v>
      </c>
      <c r="E1634" s="176">
        <v>108068</v>
      </c>
      <c r="F1634" s="177" t="s">
        <v>115</v>
      </c>
      <c r="G1634" s="178">
        <v>8020.3</v>
      </c>
      <c r="H1634" s="179">
        <v>42842</v>
      </c>
      <c r="I1634" s="178">
        <f t="shared" si="51"/>
        <v>8020.3</v>
      </c>
      <c r="J1634" s="178">
        <f t="shared" si="52"/>
        <v>0</v>
      </c>
      <c r="K1634" s="19"/>
    </row>
    <row r="1635" spans="1:11" x14ac:dyDescent="0.25">
      <c r="A1635" s="51">
        <v>42840</v>
      </c>
      <c r="B1635" s="174" t="s">
        <v>13171</v>
      </c>
      <c r="C1635" s="175"/>
      <c r="D1635" s="176" t="s">
        <v>13171</v>
      </c>
      <c r="E1635" s="176">
        <v>108069</v>
      </c>
      <c r="F1635" s="177" t="s">
        <v>155</v>
      </c>
      <c r="G1635" s="178">
        <v>11320.4</v>
      </c>
      <c r="H1635" s="179">
        <v>42843</v>
      </c>
      <c r="I1635" s="178">
        <f t="shared" si="51"/>
        <v>11320.4</v>
      </c>
      <c r="J1635" s="178">
        <f t="shared" si="52"/>
        <v>0</v>
      </c>
      <c r="K1635" s="19"/>
    </row>
    <row r="1636" spans="1:11" x14ac:dyDescent="0.25">
      <c r="A1636" s="51">
        <v>42840</v>
      </c>
      <c r="B1636" s="174" t="s">
        <v>13172</v>
      </c>
      <c r="C1636" s="175"/>
      <c r="D1636" s="176" t="s">
        <v>13172</v>
      </c>
      <c r="E1636" s="176">
        <v>108070</v>
      </c>
      <c r="F1636" s="177" t="s">
        <v>422</v>
      </c>
      <c r="G1636" s="178">
        <v>3907.2</v>
      </c>
      <c r="H1636" s="179">
        <v>42840</v>
      </c>
      <c r="I1636" s="178">
        <f t="shared" si="51"/>
        <v>3907.2</v>
      </c>
      <c r="J1636" s="178">
        <f t="shared" si="52"/>
        <v>0</v>
      </c>
      <c r="K1636" s="19"/>
    </row>
    <row r="1637" spans="1:11" x14ac:dyDescent="0.25">
      <c r="A1637" s="51">
        <v>42840</v>
      </c>
      <c r="B1637" s="174" t="s">
        <v>13173</v>
      </c>
      <c r="C1637" s="175"/>
      <c r="D1637" s="176" t="s">
        <v>13173</v>
      </c>
      <c r="E1637" s="176">
        <v>108071</v>
      </c>
      <c r="F1637" s="177" t="s">
        <v>145</v>
      </c>
      <c r="G1637" s="178">
        <v>8247.4</v>
      </c>
      <c r="H1637" s="179">
        <v>42842</v>
      </c>
      <c r="I1637" s="178">
        <f t="shared" si="51"/>
        <v>8247.4</v>
      </c>
      <c r="J1637" s="178">
        <f t="shared" si="52"/>
        <v>0</v>
      </c>
      <c r="K1637" s="19"/>
    </row>
    <row r="1638" spans="1:11" x14ac:dyDescent="0.25">
      <c r="A1638" s="51">
        <v>42840</v>
      </c>
      <c r="B1638" s="174" t="s">
        <v>13174</v>
      </c>
      <c r="C1638" s="175"/>
      <c r="D1638" s="176" t="s">
        <v>13174</v>
      </c>
      <c r="E1638" s="176">
        <v>108072</v>
      </c>
      <c r="F1638" s="177" t="s">
        <v>531</v>
      </c>
      <c r="G1638" s="178">
        <v>32149.7</v>
      </c>
      <c r="H1638" s="179">
        <v>42842</v>
      </c>
      <c r="I1638" s="178">
        <f t="shared" si="51"/>
        <v>32149.7</v>
      </c>
      <c r="J1638" s="178">
        <f t="shared" si="52"/>
        <v>0</v>
      </c>
      <c r="K1638" s="19"/>
    </row>
    <row r="1639" spans="1:11" x14ac:dyDescent="0.25">
      <c r="A1639" s="51">
        <v>42840</v>
      </c>
      <c r="B1639" s="174" t="s">
        <v>13175</v>
      </c>
      <c r="C1639" s="175"/>
      <c r="D1639" s="176" t="s">
        <v>13175</v>
      </c>
      <c r="E1639" s="176">
        <v>108073</v>
      </c>
      <c r="F1639" s="177" t="s">
        <v>172</v>
      </c>
      <c r="G1639" s="178">
        <v>14101.3</v>
      </c>
      <c r="H1639" s="184">
        <v>42853</v>
      </c>
      <c r="I1639" s="183">
        <f t="shared" si="51"/>
        <v>14101.3</v>
      </c>
      <c r="J1639" s="178">
        <f t="shared" si="52"/>
        <v>0</v>
      </c>
      <c r="K1639" s="19"/>
    </row>
    <row r="1640" spans="1:11" x14ac:dyDescent="0.25">
      <c r="A1640" s="51">
        <v>42840</v>
      </c>
      <c r="B1640" s="174" t="s">
        <v>13176</v>
      </c>
      <c r="C1640" s="175"/>
      <c r="D1640" s="176" t="s">
        <v>13176</v>
      </c>
      <c r="E1640" s="176">
        <v>108074</v>
      </c>
      <c r="F1640" s="177" t="s">
        <v>302</v>
      </c>
      <c r="G1640" s="178">
        <v>9050.6</v>
      </c>
      <c r="H1640" s="179">
        <v>42843</v>
      </c>
      <c r="I1640" s="178">
        <f t="shared" si="51"/>
        <v>9050.6</v>
      </c>
      <c r="J1640" s="178">
        <f t="shared" si="52"/>
        <v>0</v>
      </c>
      <c r="K1640" s="19"/>
    </row>
    <row r="1641" spans="1:11" x14ac:dyDescent="0.25">
      <c r="A1641" s="51">
        <v>42840</v>
      </c>
      <c r="B1641" s="174" t="s">
        <v>13177</v>
      </c>
      <c r="C1641" s="175"/>
      <c r="D1641" s="176" t="s">
        <v>13177</v>
      </c>
      <c r="E1641" s="176">
        <v>108075</v>
      </c>
      <c r="F1641" s="177" t="s">
        <v>12</v>
      </c>
      <c r="G1641" s="178">
        <v>1630.2</v>
      </c>
      <c r="H1641" s="179">
        <v>42840</v>
      </c>
      <c r="I1641" s="178">
        <f t="shared" si="51"/>
        <v>1630.2</v>
      </c>
      <c r="J1641" s="178">
        <f t="shared" si="52"/>
        <v>0</v>
      </c>
      <c r="K1641" s="19"/>
    </row>
    <row r="1642" spans="1:11" x14ac:dyDescent="0.25">
      <c r="A1642" s="51">
        <v>42840</v>
      </c>
      <c r="B1642" s="174" t="s">
        <v>13178</v>
      </c>
      <c r="C1642" s="175"/>
      <c r="D1642" s="176" t="s">
        <v>13178</v>
      </c>
      <c r="E1642" s="176">
        <v>108076</v>
      </c>
      <c r="F1642" s="177" t="s">
        <v>30</v>
      </c>
      <c r="G1642" s="178">
        <v>22324.2</v>
      </c>
      <c r="H1642" s="179">
        <v>42840</v>
      </c>
      <c r="I1642" s="178">
        <f t="shared" si="51"/>
        <v>22324.2</v>
      </c>
      <c r="J1642" s="178">
        <f t="shared" si="52"/>
        <v>0</v>
      </c>
      <c r="K1642" s="19"/>
    </row>
    <row r="1643" spans="1:11" x14ac:dyDescent="0.25">
      <c r="A1643" s="51">
        <v>42840</v>
      </c>
      <c r="B1643" s="174" t="s">
        <v>13179</v>
      </c>
      <c r="C1643" s="175"/>
      <c r="D1643" s="176" t="s">
        <v>13179</v>
      </c>
      <c r="E1643" s="176">
        <v>108077</v>
      </c>
      <c r="F1643" s="177" t="s">
        <v>163</v>
      </c>
      <c r="G1643" s="178">
        <v>15731.4</v>
      </c>
      <c r="H1643" s="179">
        <v>42846</v>
      </c>
      <c r="I1643" s="178">
        <f t="shared" si="51"/>
        <v>15731.4</v>
      </c>
      <c r="J1643" s="178">
        <f t="shared" si="52"/>
        <v>0</v>
      </c>
      <c r="K1643" s="19"/>
    </row>
    <row r="1644" spans="1:11" x14ac:dyDescent="0.25">
      <c r="A1644" s="51">
        <v>42840</v>
      </c>
      <c r="B1644" s="174" t="s">
        <v>13180</v>
      </c>
      <c r="C1644" s="175"/>
      <c r="D1644" s="176" t="s">
        <v>13180</v>
      </c>
      <c r="E1644" s="176">
        <v>108078</v>
      </c>
      <c r="F1644" s="177" t="s">
        <v>165</v>
      </c>
      <c r="G1644" s="178">
        <v>8060.6</v>
      </c>
      <c r="H1644" s="179">
        <v>42846</v>
      </c>
      <c r="I1644" s="178">
        <f t="shared" si="51"/>
        <v>8060.6</v>
      </c>
      <c r="J1644" s="178">
        <f t="shared" si="52"/>
        <v>0</v>
      </c>
      <c r="K1644" s="19"/>
    </row>
    <row r="1645" spans="1:11" x14ac:dyDescent="0.25">
      <c r="A1645" s="51">
        <v>42840</v>
      </c>
      <c r="B1645" s="174" t="s">
        <v>13181</v>
      </c>
      <c r="C1645" s="175"/>
      <c r="D1645" s="176" t="s">
        <v>13181</v>
      </c>
      <c r="E1645" s="176">
        <v>108079</v>
      </c>
      <c r="F1645" s="177" t="s">
        <v>168</v>
      </c>
      <c r="G1645" s="178">
        <v>397.6</v>
      </c>
      <c r="H1645" s="179">
        <v>42840</v>
      </c>
      <c r="I1645" s="178">
        <f t="shared" si="51"/>
        <v>397.6</v>
      </c>
      <c r="J1645" s="178">
        <f t="shared" si="52"/>
        <v>0</v>
      </c>
      <c r="K1645" s="19"/>
    </row>
    <row r="1646" spans="1:11" x14ac:dyDescent="0.25">
      <c r="A1646" s="51">
        <v>42840</v>
      </c>
      <c r="B1646" s="174" t="s">
        <v>13182</v>
      </c>
      <c r="C1646" s="175"/>
      <c r="D1646" s="176" t="s">
        <v>13182</v>
      </c>
      <c r="E1646" s="176">
        <v>108080</v>
      </c>
      <c r="F1646" s="177" t="s">
        <v>30</v>
      </c>
      <c r="G1646" s="178">
        <v>3472</v>
      </c>
      <c r="H1646" s="179">
        <v>42842</v>
      </c>
      <c r="I1646" s="178">
        <f t="shared" si="51"/>
        <v>3472</v>
      </c>
      <c r="J1646" s="178">
        <f t="shared" si="52"/>
        <v>0</v>
      </c>
      <c r="K1646" s="19"/>
    </row>
    <row r="1647" spans="1:11" x14ac:dyDescent="0.25">
      <c r="A1647" s="51">
        <v>42840</v>
      </c>
      <c r="B1647" s="174" t="s">
        <v>13183</v>
      </c>
      <c r="C1647" s="175"/>
      <c r="D1647" s="176" t="s">
        <v>13183</v>
      </c>
      <c r="E1647" s="176">
        <v>108081</v>
      </c>
      <c r="F1647" s="177" t="s">
        <v>122</v>
      </c>
      <c r="G1647" s="178">
        <v>6834</v>
      </c>
      <c r="H1647" s="179">
        <v>42846</v>
      </c>
      <c r="I1647" s="178">
        <f t="shared" si="51"/>
        <v>6834</v>
      </c>
      <c r="J1647" s="178">
        <f t="shared" si="52"/>
        <v>0</v>
      </c>
      <c r="K1647" s="19"/>
    </row>
    <row r="1648" spans="1:11" x14ac:dyDescent="0.25">
      <c r="A1648" s="51">
        <v>42840</v>
      </c>
      <c r="B1648" s="174" t="s">
        <v>13184</v>
      </c>
      <c r="C1648" s="175"/>
      <c r="D1648" s="176" t="s">
        <v>13184</v>
      </c>
      <c r="E1648" s="176">
        <v>108082</v>
      </c>
      <c r="F1648" s="177" t="s">
        <v>30</v>
      </c>
      <c r="G1648" s="178">
        <v>268.39999999999998</v>
      </c>
      <c r="H1648" s="179">
        <v>42842</v>
      </c>
      <c r="I1648" s="178">
        <f t="shared" si="51"/>
        <v>268.39999999999998</v>
      </c>
      <c r="J1648" s="178">
        <f t="shared" si="52"/>
        <v>0</v>
      </c>
      <c r="K1648" s="19"/>
    </row>
    <row r="1649" spans="1:11" x14ac:dyDescent="0.25">
      <c r="A1649" s="51">
        <v>42840</v>
      </c>
      <c r="B1649" s="174" t="s">
        <v>13185</v>
      </c>
      <c r="C1649" s="175"/>
      <c r="D1649" s="176" t="s">
        <v>13185</v>
      </c>
      <c r="E1649" s="176">
        <v>108083</v>
      </c>
      <c r="F1649" s="177" t="s">
        <v>4367</v>
      </c>
      <c r="G1649" s="178">
        <v>1464</v>
      </c>
      <c r="H1649" s="179">
        <v>42842</v>
      </c>
      <c r="I1649" s="178">
        <f t="shared" si="51"/>
        <v>1464</v>
      </c>
      <c r="J1649" s="178">
        <f t="shared" si="52"/>
        <v>0</v>
      </c>
      <c r="K1649" s="19"/>
    </row>
    <row r="1650" spans="1:11" x14ac:dyDescent="0.25">
      <c r="A1650" s="51">
        <v>42840</v>
      </c>
      <c r="B1650" s="174" t="s">
        <v>13186</v>
      </c>
      <c r="C1650" s="175"/>
      <c r="D1650" s="176" t="s">
        <v>13186</v>
      </c>
      <c r="E1650" s="176">
        <v>108084</v>
      </c>
      <c r="F1650" s="177" t="s">
        <v>281</v>
      </c>
      <c r="G1650" s="178">
        <v>1408</v>
      </c>
      <c r="H1650" s="179">
        <v>42842</v>
      </c>
      <c r="I1650" s="178">
        <f t="shared" si="51"/>
        <v>1408</v>
      </c>
      <c r="J1650" s="178">
        <f t="shared" si="52"/>
        <v>0</v>
      </c>
      <c r="K1650" s="19"/>
    </row>
    <row r="1651" spans="1:11" x14ac:dyDescent="0.25">
      <c r="A1651" s="51">
        <v>42840</v>
      </c>
      <c r="B1651" s="174" t="s">
        <v>13187</v>
      </c>
      <c r="C1651" s="175"/>
      <c r="D1651" s="176" t="s">
        <v>13187</v>
      </c>
      <c r="E1651" s="176">
        <v>108085</v>
      </c>
      <c r="F1651" s="177" t="s">
        <v>281</v>
      </c>
      <c r="G1651" s="178">
        <v>132</v>
      </c>
      <c r="H1651" s="179">
        <v>42842</v>
      </c>
      <c r="I1651" s="178">
        <f t="shared" si="51"/>
        <v>132</v>
      </c>
      <c r="J1651" s="178">
        <f t="shared" si="52"/>
        <v>0</v>
      </c>
      <c r="K1651" s="19"/>
    </row>
    <row r="1652" spans="1:11" x14ac:dyDescent="0.25">
      <c r="A1652" s="51">
        <v>42840</v>
      </c>
      <c r="B1652" s="174" t="s">
        <v>13188</v>
      </c>
      <c r="C1652" s="175"/>
      <c r="D1652" s="176" t="s">
        <v>13188</v>
      </c>
      <c r="E1652" s="176">
        <v>108086</v>
      </c>
      <c r="F1652" s="177" t="s">
        <v>88</v>
      </c>
      <c r="G1652" s="178">
        <v>1570.8</v>
      </c>
      <c r="H1652" s="179">
        <v>42842</v>
      </c>
      <c r="I1652" s="178">
        <f t="shared" si="51"/>
        <v>1570.8</v>
      </c>
      <c r="J1652" s="178">
        <f t="shared" si="52"/>
        <v>0</v>
      </c>
      <c r="K1652" s="19"/>
    </row>
    <row r="1653" spans="1:11" x14ac:dyDescent="0.25">
      <c r="A1653" s="51">
        <v>42840</v>
      </c>
      <c r="B1653" s="174" t="s">
        <v>13189</v>
      </c>
      <c r="C1653" s="175"/>
      <c r="D1653" s="176" t="s">
        <v>13189</v>
      </c>
      <c r="E1653" s="176">
        <v>108087</v>
      </c>
      <c r="F1653" s="177" t="s">
        <v>509</v>
      </c>
      <c r="G1653" s="178">
        <v>7481.4</v>
      </c>
      <c r="H1653" s="179">
        <v>42843</v>
      </c>
      <c r="I1653" s="178">
        <f t="shared" si="51"/>
        <v>7481.4</v>
      </c>
      <c r="J1653" s="178">
        <f t="shared" si="52"/>
        <v>0</v>
      </c>
      <c r="K1653" s="19"/>
    </row>
    <row r="1654" spans="1:11" x14ac:dyDescent="0.25">
      <c r="A1654" s="51">
        <v>42840</v>
      </c>
      <c r="B1654" s="174" t="s">
        <v>13190</v>
      </c>
      <c r="C1654" s="175"/>
      <c r="D1654" s="176" t="s">
        <v>13190</v>
      </c>
      <c r="E1654" s="176">
        <v>108088</v>
      </c>
      <c r="F1654" s="177" t="s">
        <v>109</v>
      </c>
      <c r="G1654" s="178">
        <v>7477.7</v>
      </c>
      <c r="H1654" s="179">
        <v>42842</v>
      </c>
      <c r="I1654" s="178">
        <f t="shared" si="51"/>
        <v>7477.7</v>
      </c>
      <c r="J1654" s="178">
        <f t="shared" si="52"/>
        <v>0</v>
      </c>
      <c r="K1654" s="19"/>
    </row>
    <row r="1655" spans="1:11" x14ac:dyDescent="0.25">
      <c r="A1655" s="51">
        <v>42840</v>
      </c>
      <c r="B1655" s="174" t="s">
        <v>13191</v>
      </c>
      <c r="C1655" s="175"/>
      <c r="D1655" s="176" t="s">
        <v>13191</v>
      </c>
      <c r="E1655" s="176">
        <v>108089</v>
      </c>
      <c r="F1655" s="177" t="s">
        <v>613</v>
      </c>
      <c r="G1655" s="178">
        <v>6278.4</v>
      </c>
      <c r="H1655" s="179">
        <v>42842</v>
      </c>
      <c r="I1655" s="178">
        <f t="shared" si="51"/>
        <v>6278.4</v>
      </c>
      <c r="J1655" s="178">
        <f t="shared" si="52"/>
        <v>0</v>
      </c>
      <c r="K1655" s="19"/>
    </row>
    <row r="1656" spans="1:11" x14ac:dyDescent="0.25">
      <c r="A1656" s="51">
        <v>42840</v>
      </c>
      <c r="B1656" s="174" t="s">
        <v>13192</v>
      </c>
      <c r="C1656" s="175"/>
      <c r="D1656" s="176" t="s">
        <v>13192</v>
      </c>
      <c r="E1656" s="176">
        <v>108090</v>
      </c>
      <c r="F1656" s="177" t="s">
        <v>149</v>
      </c>
      <c r="G1656" s="178">
        <v>2896.3</v>
      </c>
      <c r="H1656" s="179">
        <v>42840</v>
      </c>
      <c r="I1656" s="178">
        <f t="shared" si="51"/>
        <v>2896.3</v>
      </c>
      <c r="J1656" s="178">
        <f t="shared" si="52"/>
        <v>0</v>
      </c>
      <c r="K1656" s="19"/>
    </row>
    <row r="1657" spans="1:11" x14ac:dyDescent="0.25">
      <c r="A1657" s="51">
        <v>42840</v>
      </c>
      <c r="B1657" s="174" t="s">
        <v>13193</v>
      </c>
      <c r="C1657" s="175"/>
      <c r="D1657" s="176" t="s">
        <v>13193</v>
      </c>
      <c r="E1657" s="176">
        <v>108091</v>
      </c>
      <c r="F1657" s="177" t="s">
        <v>222</v>
      </c>
      <c r="G1657" s="178">
        <v>375833.5</v>
      </c>
      <c r="H1657" s="179">
        <v>42844</v>
      </c>
      <c r="I1657" s="178">
        <f t="shared" si="51"/>
        <v>375833.5</v>
      </c>
      <c r="J1657" s="178">
        <f t="shared" si="52"/>
        <v>0</v>
      </c>
      <c r="K1657" s="19"/>
    </row>
    <row r="1658" spans="1:11" x14ac:dyDescent="0.25">
      <c r="A1658" s="51">
        <v>42840</v>
      </c>
      <c r="B1658" s="174" t="s">
        <v>13194</v>
      </c>
      <c r="C1658" s="175"/>
      <c r="D1658" s="176" t="s">
        <v>13194</v>
      </c>
      <c r="E1658" s="176">
        <v>108092</v>
      </c>
      <c r="F1658" s="177" t="s">
        <v>101</v>
      </c>
      <c r="G1658" s="178">
        <v>1980</v>
      </c>
      <c r="H1658" s="179">
        <v>42842</v>
      </c>
      <c r="I1658" s="178">
        <f t="shared" si="51"/>
        <v>1980</v>
      </c>
      <c r="J1658" s="178">
        <f t="shared" si="52"/>
        <v>0</v>
      </c>
      <c r="K1658" s="19"/>
    </row>
    <row r="1659" spans="1:11" x14ac:dyDescent="0.25">
      <c r="A1659" s="51">
        <v>42840</v>
      </c>
      <c r="B1659" s="174" t="s">
        <v>13195</v>
      </c>
      <c r="C1659" s="175"/>
      <c r="D1659" s="176" t="s">
        <v>13195</v>
      </c>
      <c r="E1659" s="176">
        <v>108093</v>
      </c>
      <c r="F1659" s="177" t="s">
        <v>879</v>
      </c>
      <c r="G1659" s="178">
        <v>1393</v>
      </c>
      <c r="H1659" s="179">
        <v>42840</v>
      </c>
      <c r="I1659" s="178">
        <f t="shared" si="51"/>
        <v>1393</v>
      </c>
      <c r="J1659" s="178">
        <f t="shared" si="52"/>
        <v>0</v>
      </c>
      <c r="K1659" s="19"/>
    </row>
    <row r="1660" spans="1:11" x14ac:dyDescent="0.25">
      <c r="A1660" s="51">
        <v>42840</v>
      </c>
      <c r="B1660" s="174" t="s">
        <v>13196</v>
      </c>
      <c r="C1660" s="175"/>
      <c r="D1660" s="176" t="s">
        <v>13196</v>
      </c>
      <c r="E1660" s="176">
        <v>108094</v>
      </c>
      <c r="F1660" s="177" t="s">
        <v>182</v>
      </c>
      <c r="G1660" s="178">
        <v>5160</v>
      </c>
      <c r="H1660" s="179">
        <v>42841</v>
      </c>
      <c r="I1660" s="178">
        <f t="shared" si="51"/>
        <v>5160</v>
      </c>
      <c r="J1660" s="178">
        <f t="shared" si="52"/>
        <v>0</v>
      </c>
      <c r="K1660" s="19"/>
    </row>
    <row r="1661" spans="1:11" x14ac:dyDescent="0.25">
      <c r="A1661" s="51">
        <v>42840</v>
      </c>
      <c r="B1661" s="174" t="s">
        <v>13197</v>
      </c>
      <c r="C1661" s="175"/>
      <c r="D1661" s="176" t="s">
        <v>13197</v>
      </c>
      <c r="E1661" s="176">
        <v>108095</v>
      </c>
      <c r="F1661" s="177" t="s">
        <v>30</v>
      </c>
      <c r="G1661" s="178">
        <v>2170.3000000000002</v>
      </c>
      <c r="H1661" s="179">
        <v>42840</v>
      </c>
      <c r="I1661" s="178">
        <f t="shared" si="51"/>
        <v>2170.3000000000002</v>
      </c>
      <c r="J1661" s="178">
        <f t="shared" si="52"/>
        <v>0</v>
      </c>
      <c r="K1661" s="19"/>
    </row>
    <row r="1662" spans="1:11" x14ac:dyDescent="0.25">
      <c r="A1662" s="51">
        <v>42840</v>
      </c>
      <c r="B1662" s="174" t="s">
        <v>13198</v>
      </c>
      <c r="C1662" s="175"/>
      <c r="D1662" s="176" t="s">
        <v>13198</v>
      </c>
      <c r="E1662" s="176">
        <v>108096</v>
      </c>
      <c r="F1662" s="177" t="s">
        <v>231</v>
      </c>
      <c r="G1662" s="178">
        <v>8610</v>
      </c>
      <c r="H1662" s="179">
        <v>42841</v>
      </c>
      <c r="I1662" s="178">
        <f t="shared" si="51"/>
        <v>8610</v>
      </c>
      <c r="J1662" s="178">
        <f t="shared" si="52"/>
        <v>0</v>
      </c>
      <c r="K1662" s="19"/>
    </row>
    <row r="1663" spans="1:11" x14ac:dyDescent="0.25">
      <c r="A1663" s="51">
        <v>42840</v>
      </c>
      <c r="B1663" s="174" t="s">
        <v>13199</v>
      </c>
      <c r="C1663" s="175"/>
      <c r="D1663" s="176" t="s">
        <v>13199</v>
      </c>
      <c r="E1663" s="176">
        <v>108097</v>
      </c>
      <c r="F1663" s="177" t="s">
        <v>302</v>
      </c>
      <c r="G1663" s="178">
        <v>11542.9</v>
      </c>
      <c r="H1663" s="179">
        <v>42843</v>
      </c>
      <c r="I1663" s="178">
        <f t="shared" si="51"/>
        <v>11542.9</v>
      </c>
      <c r="J1663" s="178">
        <f t="shared" si="52"/>
        <v>0</v>
      </c>
      <c r="K1663" s="19"/>
    </row>
    <row r="1664" spans="1:11" x14ac:dyDescent="0.25">
      <c r="A1664" s="51">
        <v>42840</v>
      </c>
      <c r="B1664" s="174" t="s">
        <v>13200</v>
      </c>
      <c r="C1664" s="175"/>
      <c r="D1664" s="176" t="s">
        <v>13200</v>
      </c>
      <c r="E1664" s="176">
        <v>108098</v>
      </c>
      <c r="F1664" s="177" t="s">
        <v>8</v>
      </c>
      <c r="G1664" s="178">
        <v>5446.8</v>
      </c>
      <c r="H1664" s="179">
        <v>42840</v>
      </c>
      <c r="I1664" s="178">
        <f t="shared" si="51"/>
        <v>5446.8</v>
      </c>
      <c r="J1664" s="178">
        <f t="shared" si="52"/>
        <v>0</v>
      </c>
      <c r="K1664" s="19"/>
    </row>
    <row r="1665" spans="1:11" x14ac:dyDescent="0.25">
      <c r="A1665" s="51">
        <v>42840</v>
      </c>
      <c r="B1665" s="174" t="s">
        <v>13201</v>
      </c>
      <c r="C1665" s="175"/>
      <c r="D1665" s="176" t="s">
        <v>13201</v>
      </c>
      <c r="E1665" s="176">
        <v>108099</v>
      </c>
      <c r="F1665" s="177" t="s">
        <v>472</v>
      </c>
      <c r="G1665" s="178">
        <v>5985</v>
      </c>
      <c r="H1665" s="179">
        <v>42842</v>
      </c>
      <c r="I1665" s="178">
        <f t="shared" si="51"/>
        <v>5985</v>
      </c>
      <c r="J1665" s="178">
        <f t="shared" si="52"/>
        <v>0</v>
      </c>
      <c r="K1665" s="19"/>
    </row>
    <row r="1666" spans="1:11" x14ac:dyDescent="0.25">
      <c r="A1666" s="51">
        <v>42840</v>
      </c>
      <c r="B1666" s="174" t="s">
        <v>13202</v>
      </c>
      <c r="C1666" s="175"/>
      <c r="D1666" s="176" t="s">
        <v>13202</v>
      </c>
      <c r="E1666" s="176">
        <v>108100</v>
      </c>
      <c r="F1666" s="177" t="s">
        <v>9754</v>
      </c>
      <c r="G1666" s="178">
        <v>19080.8</v>
      </c>
      <c r="H1666" s="179">
        <v>42842</v>
      </c>
      <c r="I1666" s="178">
        <f t="shared" si="51"/>
        <v>19080.8</v>
      </c>
      <c r="J1666" s="178">
        <f t="shared" si="52"/>
        <v>0</v>
      </c>
      <c r="K1666" s="19"/>
    </row>
    <row r="1667" spans="1:11" x14ac:dyDescent="0.25">
      <c r="A1667" s="51">
        <v>42840</v>
      </c>
      <c r="B1667" s="174" t="s">
        <v>13203</v>
      </c>
      <c r="C1667" s="175"/>
      <c r="D1667" s="176" t="s">
        <v>13203</v>
      </c>
      <c r="E1667" s="176">
        <v>108101</v>
      </c>
      <c r="F1667" s="177" t="s">
        <v>10370</v>
      </c>
      <c r="G1667" s="178">
        <v>1680</v>
      </c>
      <c r="H1667" s="179">
        <v>42841</v>
      </c>
      <c r="I1667" s="178">
        <f t="shared" si="51"/>
        <v>1680</v>
      </c>
      <c r="J1667" s="178">
        <f t="shared" si="52"/>
        <v>0</v>
      </c>
      <c r="K1667" s="19"/>
    </row>
    <row r="1668" spans="1:11" x14ac:dyDescent="0.25">
      <c r="A1668" s="51">
        <v>42840</v>
      </c>
      <c r="B1668" s="174" t="s">
        <v>13204</v>
      </c>
      <c r="C1668" s="175"/>
      <c r="D1668" s="176" t="s">
        <v>13204</v>
      </c>
      <c r="E1668" s="176">
        <v>108102</v>
      </c>
      <c r="F1668" s="177" t="s">
        <v>2535</v>
      </c>
      <c r="G1668" s="178">
        <v>1498.5</v>
      </c>
      <c r="H1668" s="179">
        <v>42841</v>
      </c>
      <c r="I1668" s="178">
        <f t="shared" ref="I1668:I1731" si="53">G1668</f>
        <v>1498.5</v>
      </c>
      <c r="J1668" s="178">
        <f t="shared" ref="J1668:J1731" si="54">G1668-I1668</f>
        <v>0</v>
      </c>
      <c r="K1668" s="19"/>
    </row>
    <row r="1669" spans="1:11" x14ac:dyDescent="0.25">
      <c r="A1669" s="51">
        <v>42840</v>
      </c>
      <c r="B1669" s="174" t="s">
        <v>13205</v>
      </c>
      <c r="C1669" s="175"/>
      <c r="D1669" s="176" t="s">
        <v>13205</v>
      </c>
      <c r="E1669" s="176">
        <v>108103</v>
      </c>
      <c r="F1669" s="177" t="s">
        <v>377</v>
      </c>
      <c r="G1669" s="178">
        <v>5526</v>
      </c>
      <c r="H1669" s="179">
        <v>42840</v>
      </c>
      <c r="I1669" s="178">
        <f t="shared" si="53"/>
        <v>5526</v>
      </c>
      <c r="J1669" s="178">
        <f t="shared" si="54"/>
        <v>0</v>
      </c>
      <c r="K1669" s="19"/>
    </row>
    <row r="1670" spans="1:11" x14ac:dyDescent="0.25">
      <c r="A1670" s="51">
        <v>42840</v>
      </c>
      <c r="B1670" s="174" t="s">
        <v>13206</v>
      </c>
      <c r="C1670" s="175"/>
      <c r="D1670" s="176" t="s">
        <v>13206</v>
      </c>
      <c r="E1670" s="176">
        <v>108104</v>
      </c>
      <c r="F1670" s="177" t="s">
        <v>528</v>
      </c>
      <c r="G1670" s="178">
        <v>9198.1</v>
      </c>
      <c r="H1670" s="179">
        <v>42841</v>
      </c>
      <c r="I1670" s="178">
        <f t="shared" si="53"/>
        <v>9198.1</v>
      </c>
      <c r="J1670" s="178">
        <f t="shared" si="54"/>
        <v>0</v>
      </c>
      <c r="K1670" s="19"/>
    </row>
    <row r="1671" spans="1:11" x14ac:dyDescent="0.25">
      <c r="A1671" s="51">
        <v>42840</v>
      </c>
      <c r="B1671" s="174" t="s">
        <v>13207</v>
      </c>
      <c r="C1671" s="175"/>
      <c r="D1671" s="176" t="s">
        <v>13207</v>
      </c>
      <c r="E1671" s="176">
        <v>108105</v>
      </c>
      <c r="F1671" s="177" t="s">
        <v>13208</v>
      </c>
      <c r="G1671" s="178">
        <v>919.8</v>
      </c>
      <c r="H1671" s="179">
        <v>42840</v>
      </c>
      <c r="I1671" s="178">
        <f t="shared" si="53"/>
        <v>919.8</v>
      </c>
      <c r="J1671" s="178">
        <f t="shared" si="54"/>
        <v>0</v>
      </c>
      <c r="K1671" s="19"/>
    </row>
    <row r="1672" spans="1:11" x14ac:dyDescent="0.25">
      <c r="A1672" s="51">
        <v>42840</v>
      </c>
      <c r="B1672" s="174" t="s">
        <v>13209</v>
      </c>
      <c r="C1672" s="175"/>
      <c r="D1672" s="176" t="s">
        <v>13209</v>
      </c>
      <c r="E1672" s="176">
        <v>108106</v>
      </c>
      <c r="F1672" s="177" t="s">
        <v>182</v>
      </c>
      <c r="G1672" s="178">
        <v>8800</v>
      </c>
      <c r="H1672" s="179">
        <v>42841</v>
      </c>
      <c r="I1672" s="178">
        <f t="shared" si="53"/>
        <v>8800</v>
      </c>
      <c r="J1672" s="178">
        <f t="shared" si="54"/>
        <v>0</v>
      </c>
      <c r="K1672" s="19"/>
    </row>
    <row r="1673" spans="1:11" x14ac:dyDescent="0.25">
      <c r="A1673" s="51">
        <v>42840</v>
      </c>
      <c r="B1673" s="174" t="s">
        <v>13210</v>
      </c>
      <c r="C1673" s="175"/>
      <c r="D1673" s="176" t="s">
        <v>13210</v>
      </c>
      <c r="E1673" s="176">
        <v>108107</v>
      </c>
      <c r="F1673" s="177" t="s">
        <v>523</v>
      </c>
      <c r="G1673" s="178">
        <v>21932</v>
      </c>
      <c r="H1673" s="186">
        <v>42851</v>
      </c>
      <c r="I1673" s="187">
        <f t="shared" si="53"/>
        <v>21932</v>
      </c>
      <c r="J1673" s="178">
        <f t="shared" si="54"/>
        <v>0</v>
      </c>
      <c r="K1673" s="19"/>
    </row>
    <row r="1674" spans="1:11" x14ac:dyDescent="0.25">
      <c r="A1674" s="51">
        <v>42840</v>
      </c>
      <c r="B1674" s="174" t="s">
        <v>13211</v>
      </c>
      <c r="C1674" s="175"/>
      <c r="D1674" s="176" t="s">
        <v>13211</v>
      </c>
      <c r="E1674" s="176">
        <v>108108</v>
      </c>
      <c r="F1674" s="177" t="s">
        <v>30</v>
      </c>
      <c r="G1674" s="178">
        <v>9757.5</v>
      </c>
      <c r="H1674" s="179">
        <v>42840</v>
      </c>
      <c r="I1674" s="178">
        <f t="shared" si="53"/>
        <v>9757.5</v>
      </c>
      <c r="J1674" s="178">
        <f t="shared" si="54"/>
        <v>0</v>
      </c>
      <c r="K1674" s="19"/>
    </row>
    <row r="1675" spans="1:11" x14ac:dyDescent="0.25">
      <c r="A1675" s="51">
        <v>42840</v>
      </c>
      <c r="B1675" s="174" t="s">
        <v>13212</v>
      </c>
      <c r="C1675" s="175"/>
      <c r="D1675" s="176" t="s">
        <v>13212</v>
      </c>
      <c r="E1675" s="176">
        <v>108109</v>
      </c>
      <c r="F1675" s="177" t="s">
        <v>1062</v>
      </c>
      <c r="G1675" s="178">
        <v>2692</v>
      </c>
      <c r="H1675" s="179">
        <v>42840</v>
      </c>
      <c r="I1675" s="178">
        <f t="shared" si="53"/>
        <v>2692</v>
      </c>
      <c r="J1675" s="178">
        <f t="shared" si="54"/>
        <v>0</v>
      </c>
      <c r="K1675" s="19"/>
    </row>
    <row r="1676" spans="1:11" x14ac:dyDescent="0.25">
      <c r="A1676" s="51">
        <v>42840</v>
      </c>
      <c r="B1676" s="174" t="s">
        <v>13213</v>
      </c>
      <c r="C1676" s="175"/>
      <c r="D1676" s="176" t="s">
        <v>13213</v>
      </c>
      <c r="E1676" s="176">
        <v>108110</v>
      </c>
      <c r="F1676" s="177" t="s">
        <v>509</v>
      </c>
      <c r="G1676" s="178">
        <v>20000</v>
      </c>
      <c r="H1676" s="179">
        <v>42843</v>
      </c>
      <c r="I1676" s="178">
        <f t="shared" si="53"/>
        <v>20000</v>
      </c>
      <c r="J1676" s="178">
        <f t="shared" si="54"/>
        <v>0</v>
      </c>
      <c r="K1676" s="19"/>
    </row>
    <row r="1677" spans="1:11" x14ac:dyDescent="0.25">
      <c r="A1677" s="51">
        <v>42840</v>
      </c>
      <c r="B1677" s="174" t="s">
        <v>13214</v>
      </c>
      <c r="C1677" s="175"/>
      <c r="D1677" s="176" t="s">
        <v>13214</v>
      </c>
      <c r="E1677" s="176">
        <v>108111</v>
      </c>
      <c r="F1677" s="177" t="s">
        <v>47</v>
      </c>
      <c r="G1677" s="178">
        <v>228</v>
      </c>
      <c r="H1677" s="179">
        <v>42840</v>
      </c>
      <c r="I1677" s="178">
        <f t="shared" si="53"/>
        <v>228</v>
      </c>
      <c r="J1677" s="178">
        <f t="shared" si="54"/>
        <v>0</v>
      </c>
      <c r="K1677" s="19"/>
    </row>
    <row r="1678" spans="1:11" x14ac:dyDescent="0.25">
      <c r="A1678" s="51">
        <v>42840</v>
      </c>
      <c r="B1678" s="174" t="s">
        <v>13215</v>
      </c>
      <c r="C1678" s="175"/>
      <c r="D1678" s="176" t="s">
        <v>13215</v>
      </c>
      <c r="E1678" s="176">
        <v>108112</v>
      </c>
      <c r="F1678" s="177" t="s">
        <v>12879</v>
      </c>
      <c r="G1678" s="178">
        <v>346.5</v>
      </c>
      <c r="H1678" s="179">
        <v>42840</v>
      </c>
      <c r="I1678" s="178">
        <f t="shared" si="53"/>
        <v>346.5</v>
      </c>
      <c r="J1678" s="178">
        <f t="shared" si="54"/>
        <v>0</v>
      </c>
      <c r="K1678" s="19"/>
    </row>
    <row r="1679" spans="1:11" x14ac:dyDescent="0.25">
      <c r="A1679" s="51">
        <v>42840</v>
      </c>
      <c r="B1679" s="174" t="s">
        <v>13216</v>
      </c>
      <c r="C1679" s="175"/>
      <c r="D1679" s="176" t="s">
        <v>13216</v>
      </c>
      <c r="E1679" s="176">
        <v>108113</v>
      </c>
      <c r="F1679" s="177" t="s">
        <v>236</v>
      </c>
      <c r="G1679" s="178">
        <v>44282.9</v>
      </c>
      <c r="H1679" s="179">
        <v>42842</v>
      </c>
      <c r="I1679" s="178">
        <f t="shared" si="53"/>
        <v>44282.9</v>
      </c>
      <c r="J1679" s="178">
        <f t="shared" si="54"/>
        <v>0</v>
      </c>
      <c r="K1679" s="19"/>
    </row>
    <row r="1680" spans="1:11" x14ac:dyDescent="0.25">
      <c r="A1680" s="51">
        <v>42840</v>
      </c>
      <c r="B1680" s="174" t="s">
        <v>13217</v>
      </c>
      <c r="C1680" s="175"/>
      <c r="D1680" s="176" t="s">
        <v>13217</v>
      </c>
      <c r="E1680" s="176">
        <v>108114</v>
      </c>
      <c r="F1680" s="177" t="s">
        <v>10</v>
      </c>
      <c r="G1680" s="178">
        <v>3107.4</v>
      </c>
      <c r="H1680" s="179">
        <v>42844</v>
      </c>
      <c r="I1680" s="178">
        <f t="shared" si="53"/>
        <v>3107.4</v>
      </c>
      <c r="J1680" s="178">
        <f t="shared" si="54"/>
        <v>0</v>
      </c>
      <c r="K1680" s="19"/>
    </row>
    <row r="1681" spans="1:11" x14ac:dyDescent="0.25">
      <c r="A1681" s="51">
        <v>42840</v>
      </c>
      <c r="B1681" s="174" t="s">
        <v>13218</v>
      </c>
      <c r="C1681" s="175"/>
      <c r="D1681" s="176" t="s">
        <v>13218</v>
      </c>
      <c r="E1681" s="176">
        <v>108115</v>
      </c>
      <c r="F1681" s="177" t="s">
        <v>236</v>
      </c>
      <c r="G1681" s="178">
        <v>60353.7</v>
      </c>
      <c r="H1681" s="179">
        <v>42842</v>
      </c>
      <c r="I1681" s="178">
        <f t="shared" si="53"/>
        <v>60353.7</v>
      </c>
      <c r="J1681" s="178">
        <f t="shared" si="54"/>
        <v>0</v>
      </c>
      <c r="K1681" s="19"/>
    </row>
    <row r="1682" spans="1:11" x14ac:dyDescent="0.25">
      <c r="A1682" s="51">
        <v>42840</v>
      </c>
      <c r="B1682" s="174" t="s">
        <v>13219</v>
      </c>
      <c r="C1682" s="175"/>
      <c r="D1682" s="176" t="s">
        <v>13219</v>
      </c>
      <c r="E1682" s="176">
        <v>108116</v>
      </c>
      <c r="F1682" s="177" t="s">
        <v>231</v>
      </c>
      <c r="G1682" s="178">
        <v>2614.4</v>
      </c>
      <c r="H1682" s="179">
        <v>42841</v>
      </c>
      <c r="I1682" s="178">
        <f t="shared" si="53"/>
        <v>2614.4</v>
      </c>
      <c r="J1682" s="178">
        <f t="shared" si="54"/>
        <v>0</v>
      </c>
      <c r="K1682" s="19"/>
    </row>
    <row r="1683" spans="1:11" x14ac:dyDescent="0.25">
      <c r="A1683" s="51">
        <v>42840</v>
      </c>
      <c r="B1683" s="174" t="s">
        <v>13220</v>
      </c>
      <c r="C1683" s="175"/>
      <c r="D1683" s="176" t="s">
        <v>13220</v>
      </c>
      <c r="E1683" s="176">
        <v>108117</v>
      </c>
      <c r="F1683" s="177" t="s">
        <v>354</v>
      </c>
      <c r="G1683" s="178">
        <v>1346.2</v>
      </c>
      <c r="H1683" s="179">
        <v>42840</v>
      </c>
      <c r="I1683" s="178">
        <f t="shared" si="53"/>
        <v>1346.2</v>
      </c>
      <c r="J1683" s="178">
        <f t="shared" si="54"/>
        <v>0</v>
      </c>
      <c r="K1683" s="19"/>
    </row>
    <row r="1684" spans="1:11" x14ac:dyDescent="0.25">
      <c r="A1684" s="51">
        <v>42840</v>
      </c>
      <c r="B1684" s="174" t="s">
        <v>13221</v>
      </c>
      <c r="C1684" s="175"/>
      <c r="D1684" s="176" t="s">
        <v>13221</v>
      </c>
      <c r="E1684" s="176">
        <v>108118</v>
      </c>
      <c r="F1684" s="177" t="s">
        <v>2240</v>
      </c>
      <c r="G1684" s="178">
        <v>3010.8</v>
      </c>
      <c r="H1684" s="179">
        <v>42840</v>
      </c>
      <c r="I1684" s="178">
        <f t="shared" si="53"/>
        <v>3010.8</v>
      </c>
      <c r="J1684" s="178">
        <f t="shared" si="54"/>
        <v>0</v>
      </c>
      <c r="K1684" s="19"/>
    </row>
    <row r="1685" spans="1:11" x14ac:dyDescent="0.25">
      <c r="A1685" s="51">
        <v>42840</v>
      </c>
      <c r="B1685" s="174" t="s">
        <v>13222</v>
      </c>
      <c r="C1685" s="175"/>
      <c r="D1685" s="176" t="s">
        <v>13222</v>
      </c>
      <c r="E1685" s="176">
        <v>108119</v>
      </c>
      <c r="F1685" s="177" t="s">
        <v>10</v>
      </c>
      <c r="G1685" s="178">
        <v>1321.6</v>
      </c>
      <c r="H1685" s="179">
        <v>42840</v>
      </c>
      <c r="I1685" s="178">
        <f t="shared" si="53"/>
        <v>1321.6</v>
      </c>
      <c r="J1685" s="178">
        <f t="shared" si="54"/>
        <v>0</v>
      </c>
      <c r="K1685" s="19"/>
    </row>
    <row r="1686" spans="1:11" x14ac:dyDescent="0.25">
      <c r="A1686" s="51">
        <v>42840</v>
      </c>
      <c r="B1686" s="174" t="s">
        <v>13223</v>
      </c>
      <c r="C1686" s="175"/>
      <c r="D1686" s="176" t="s">
        <v>13223</v>
      </c>
      <c r="E1686" s="176">
        <v>108120</v>
      </c>
      <c r="F1686" s="177" t="s">
        <v>2240</v>
      </c>
      <c r="G1686" s="178">
        <v>2570</v>
      </c>
      <c r="H1686" s="179">
        <v>42840</v>
      </c>
      <c r="I1686" s="178">
        <f t="shared" si="53"/>
        <v>2570</v>
      </c>
      <c r="J1686" s="178">
        <f t="shared" si="54"/>
        <v>0</v>
      </c>
      <c r="K1686" s="19"/>
    </row>
    <row r="1687" spans="1:11" x14ac:dyDescent="0.25">
      <c r="A1687" s="51">
        <v>42840</v>
      </c>
      <c r="B1687" s="174" t="s">
        <v>13224</v>
      </c>
      <c r="C1687" s="175"/>
      <c r="D1687" s="176" t="s">
        <v>13224</v>
      </c>
      <c r="E1687" s="176">
        <v>108121</v>
      </c>
      <c r="F1687" s="177" t="s">
        <v>30</v>
      </c>
      <c r="G1687" s="178">
        <v>494.7</v>
      </c>
      <c r="H1687" s="179">
        <v>42840</v>
      </c>
      <c r="I1687" s="178">
        <f t="shared" si="53"/>
        <v>494.7</v>
      </c>
      <c r="J1687" s="178">
        <f t="shared" si="54"/>
        <v>0</v>
      </c>
      <c r="K1687" s="19"/>
    </row>
    <row r="1688" spans="1:11" x14ac:dyDescent="0.25">
      <c r="A1688" s="51">
        <v>42841</v>
      </c>
      <c r="B1688" s="174" t="s">
        <v>13225</v>
      </c>
      <c r="C1688" s="175"/>
      <c r="D1688" s="176" t="s">
        <v>13225</v>
      </c>
      <c r="E1688" s="176">
        <v>108122</v>
      </c>
      <c r="F1688" s="182" t="s">
        <v>231</v>
      </c>
      <c r="G1688" s="183">
        <v>0</v>
      </c>
      <c r="H1688" s="184" t="s">
        <v>95</v>
      </c>
      <c r="I1688" s="183">
        <f t="shared" si="53"/>
        <v>0</v>
      </c>
      <c r="J1688" s="183">
        <f t="shared" si="54"/>
        <v>0</v>
      </c>
    </row>
    <row r="1689" spans="1:11" x14ac:dyDescent="0.25">
      <c r="A1689" s="51">
        <v>42841</v>
      </c>
      <c r="B1689" s="174" t="s">
        <v>13226</v>
      </c>
      <c r="C1689" s="175"/>
      <c r="D1689" s="176" t="s">
        <v>13226</v>
      </c>
      <c r="E1689" s="176">
        <v>108123</v>
      </c>
      <c r="F1689" s="177" t="s">
        <v>231</v>
      </c>
      <c r="G1689" s="178">
        <v>5938.9</v>
      </c>
      <c r="H1689" s="179">
        <v>42841</v>
      </c>
      <c r="I1689" s="178">
        <f t="shared" si="53"/>
        <v>5938.9</v>
      </c>
      <c r="J1689" s="178">
        <f t="shared" si="54"/>
        <v>0</v>
      </c>
    </row>
    <row r="1690" spans="1:11" x14ac:dyDescent="0.25">
      <c r="A1690" s="51">
        <v>42841</v>
      </c>
      <c r="B1690" s="174" t="s">
        <v>13227</v>
      </c>
      <c r="C1690" s="175"/>
      <c r="D1690" s="176" t="s">
        <v>13227</v>
      </c>
      <c r="E1690" s="176">
        <v>108124</v>
      </c>
      <c r="F1690" s="177" t="s">
        <v>55</v>
      </c>
      <c r="G1690" s="178">
        <v>1523.8</v>
      </c>
      <c r="H1690" s="179">
        <v>42841</v>
      </c>
      <c r="I1690" s="178">
        <f t="shared" si="53"/>
        <v>1523.8</v>
      </c>
      <c r="J1690" s="178">
        <f t="shared" si="54"/>
        <v>0</v>
      </c>
    </row>
    <row r="1691" spans="1:11" x14ac:dyDescent="0.25">
      <c r="A1691" s="51">
        <v>42841</v>
      </c>
      <c r="B1691" s="174" t="s">
        <v>13228</v>
      </c>
      <c r="C1691" s="175"/>
      <c r="D1691" s="176" t="s">
        <v>13228</v>
      </c>
      <c r="E1691" s="176">
        <v>108125</v>
      </c>
      <c r="F1691" s="177" t="s">
        <v>12536</v>
      </c>
      <c r="G1691" s="178">
        <v>4224</v>
      </c>
      <c r="H1691" s="179">
        <v>42841</v>
      </c>
      <c r="I1691" s="178">
        <f t="shared" si="53"/>
        <v>4224</v>
      </c>
      <c r="J1691" s="178">
        <f t="shared" si="54"/>
        <v>0</v>
      </c>
    </row>
    <row r="1692" spans="1:11" x14ac:dyDescent="0.25">
      <c r="A1692" s="51">
        <v>42841</v>
      </c>
      <c r="B1692" s="174" t="s">
        <v>13229</v>
      </c>
      <c r="C1692" s="175"/>
      <c r="D1692" s="176" t="s">
        <v>13229</v>
      </c>
      <c r="E1692" s="176">
        <v>108126</v>
      </c>
      <c r="F1692" s="177" t="s">
        <v>1062</v>
      </c>
      <c r="G1692" s="178">
        <v>7125.7</v>
      </c>
      <c r="H1692" s="179">
        <v>42841</v>
      </c>
      <c r="I1692" s="178">
        <f t="shared" si="53"/>
        <v>7125.7</v>
      </c>
      <c r="J1692" s="178">
        <f t="shared" si="54"/>
        <v>0</v>
      </c>
    </row>
    <row r="1693" spans="1:11" x14ac:dyDescent="0.25">
      <c r="A1693" s="51">
        <v>42841</v>
      </c>
      <c r="B1693" s="174" t="s">
        <v>13230</v>
      </c>
      <c r="C1693" s="175"/>
      <c r="D1693" s="176" t="s">
        <v>13230</v>
      </c>
      <c r="E1693" s="176">
        <v>108127</v>
      </c>
      <c r="F1693" s="177" t="s">
        <v>12536</v>
      </c>
      <c r="G1693" s="178">
        <v>910.2</v>
      </c>
      <c r="H1693" s="179">
        <v>42841</v>
      </c>
      <c r="I1693" s="178">
        <f t="shared" si="53"/>
        <v>910.2</v>
      </c>
      <c r="J1693" s="178">
        <f t="shared" si="54"/>
        <v>0</v>
      </c>
    </row>
    <row r="1694" spans="1:11" x14ac:dyDescent="0.25">
      <c r="A1694" s="51">
        <v>42841</v>
      </c>
      <c r="B1694" s="174" t="s">
        <v>13231</v>
      </c>
      <c r="C1694" s="175"/>
      <c r="D1694" s="176" t="s">
        <v>13231</v>
      </c>
      <c r="E1694" s="176">
        <v>108128</v>
      </c>
      <c r="F1694" s="177" t="s">
        <v>231</v>
      </c>
      <c r="G1694" s="178">
        <v>33923.1</v>
      </c>
      <c r="H1694" s="179">
        <v>42842</v>
      </c>
      <c r="I1694" s="178">
        <f t="shared" si="53"/>
        <v>33923.1</v>
      </c>
      <c r="J1694" s="178">
        <f t="shared" si="54"/>
        <v>0</v>
      </c>
    </row>
    <row r="1695" spans="1:11" x14ac:dyDescent="0.25">
      <c r="A1695" s="51">
        <v>42841</v>
      </c>
      <c r="B1695" s="174" t="s">
        <v>13232</v>
      </c>
      <c r="C1695" s="175"/>
      <c r="D1695" s="176" t="s">
        <v>13232</v>
      </c>
      <c r="E1695" s="176">
        <v>108129</v>
      </c>
      <c r="F1695" s="177" t="s">
        <v>6055</v>
      </c>
      <c r="G1695" s="178">
        <v>29485.7</v>
      </c>
      <c r="H1695" s="179">
        <v>42841</v>
      </c>
      <c r="I1695" s="178">
        <f t="shared" si="53"/>
        <v>29485.7</v>
      </c>
      <c r="J1695" s="178">
        <f t="shared" si="54"/>
        <v>0</v>
      </c>
      <c r="K1695" s="19"/>
    </row>
    <row r="1696" spans="1:11" x14ac:dyDescent="0.25">
      <c r="A1696" s="51">
        <v>42841</v>
      </c>
      <c r="B1696" s="174" t="s">
        <v>13233</v>
      </c>
      <c r="C1696" s="175"/>
      <c r="D1696" s="176" t="s">
        <v>13233</v>
      </c>
      <c r="E1696" s="176">
        <v>108130</v>
      </c>
      <c r="F1696" s="177" t="s">
        <v>143</v>
      </c>
      <c r="G1696" s="178">
        <v>3683</v>
      </c>
      <c r="H1696" s="179">
        <v>42841</v>
      </c>
      <c r="I1696" s="178">
        <f t="shared" si="53"/>
        <v>3683</v>
      </c>
      <c r="J1696" s="178">
        <f t="shared" si="54"/>
        <v>0</v>
      </c>
    </row>
    <row r="1697" spans="1:10" x14ac:dyDescent="0.25">
      <c r="A1697" s="51">
        <v>42841</v>
      </c>
      <c r="B1697" s="174" t="s">
        <v>13234</v>
      </c>
      <c r="C1697" s="175"/>
      <c r="D1697" s="176" t="s">
        <v>13234</v>
      </c>
      <c r="E1697" s="176">
        <v>108131</v>
      </c>
      <c r="F1697" s="177" t="s">
        <v>67</v>
      </c>
      <c r="G1697" s="178">
        <v>30721.55</v>
      </c>
      <c r="H1697" s="179">
        <v>42844</v>
      </c>
      <c r="I1697" s="178">
        <f t="shared" si="53"/>
        <v>30721.55</v>
      </c>
      <c r="J1697" s="178">
        <f t="shared" si="54"/>
        <v>0</v>
      </c>
    </row>
    <row r="1698" spans="1:10" x14ac:dyDescent="0.25">
      <c r="A1698" s="51">
        <v>42841</v>
      </c>
      <c r="B1698" s="174" t="s">
        <v>13235</v>
      </c>
      <c r="C1698" s="175"/>
      <c r="D1698" s="176" t="s">
        <v>13235</v>
      </c>
      <c r="E1698" s="176">
        <v>108132</v>
      </c>
      <c r="F1698" s="177" t="s">
        <v>28</v>
      </c>
      <c r="G1698" s="178">
        <v>12232</v>
      </c>
      <c r="H1698" s="179">
        <v>42841</v>
      </c>
      <c r="I1698" s="178">
        <f t="shared" si="53"/>
        <v>12232</v>
      </c>
      <c r="J1698" s="178">
        <f t="shared" si="54"/>
        <v>0</v>
      </c>
    </row>
    <row r="1699" spans="1:10" x14ac:dyDescent="0.25">
      <c r="A1699" s="51">
        <v>42841</v>
      </c>
      <c r="B1699" s="174" t="s">
        <v>13236</v>
      </c>
      <c r="C1699" s="175"/>
      <c r="D1699" s="176" t="s">
        <v>13236</v>
      </c>
      <c r="E1699" s="176">
        <v>108133</v>
      </c>
      <c r="F1699" s="177" t="s">
        <v>47</v>
      </c>
      <c r="G1699" s="178">
        <v>4021.1</v>
      </c>
      <c r="H1699" s="179">
        <v>42841</v>
      </c>
      <c r="I1699" s="178">
        <f t="shared" si="53"/>
        <v>4021.1</v>
      </c>
      <c r="J1699" s="178">
        <f t="shared" si="54"/>
        <v>0</v>
      </c>
    </row>
    <row r="1700" spans="1:10" x14ac:dyDescent="0.25">
      <c r="A1700" s="51">
        <v>42841</v>
      </c>
      <c r="B1700" s="174" t="s">
        <v>13237</v>
      </c>
      <c r="C1700" s="175"/>
      <c r="D1700" s="176" t="s">
        <v>13237</v>
      </c>
      <c r="E1700" s="176">
        <v>108134</v>
      </c>
      <c r="F1700" s="177" t="s">
        <v>17</v>
      </c>
      <c r="G1700" s="178">
        <v>4730</v>
      </c>
      <c r="H1700" s="179">
        <v>42841</v>
      </c>
      <c r="I1700" s="178">
        <f t="shared" si="53"/>
        <v>4730</v>
      </c>
      <c r="J1700" s="178">
        <f t="shared" si="54"/>
        <v>0</v>
      </c>
    </row>
    <row r="1701" spans="1:10" x14ac:dyDescent="0.25">
      <c r="A1701" s="51">
        <v>42841</v>
      </c>
      <c r="B1701" s="174" t="s">
        <v>13238</v>
      </c>
      <c r="C1701" s="175"/>
      <c r="D1701" s="176" t="s">
        <v>13238</v>
      </c>
      <c r="E1701" s="176">
        <v>108135</v>
      </c>
      <c r="F1701" s="177" t="s">
        <v>19</v>
      </c>
      <c r="G1701" s="178">
        <v>1100</v>
      </c>
      <c r="H1701" s="179">
        <v>42841</v>
      </c>
      <c r="I1701" s="178">
        <f t="shared" si="53"/>
        <v>1100</v>
      </c>
      <c r="J1701" s="178">
        <f t="shared" si="54"/>
        <v>0</v>
      </c>
    </row>
    <row r="1702" spans="1:10" x14ac:dyDescent="0.25">
      <c r="A1702" s="51">
        <v>42841</v>
      </c>
      <c r="B1702" s="174" t="s">
        <v>13239</v>
      </c>
      <c r="C1702" s="175"/>
      <c r="D1702" s="176" t="s">
        <v>13239</v>
      </c>
      <c r="E1702" s="176">
        <v>108136</v>
      </c>
      <c r="F1702" s="177" t="s">
        <v>222</v>
      </c>
      <c r="G1702" s="178">
        <v>57743.8</v>
      </c>
      <c r="H1702" s="179">
        <v>42844</v>
      </c>
      <c r="I1702" s="178">
        <f t="shared" si="53"/>
        <v>57743.8</v>
      </c>
      <c r="J1702" s="178">
        <f t="shared" si="54"/>
        <v>0</v>
      </c>
    </row>
    <row r="1703" spans="1:10" x14ac:dyDescent="0.25">
      <c r="A1703" s="51">
        <v>42841</v>
      </c>
      <c r="B1703" s="174" t="s">
        <v>13240</v>
      </c>
      <c r="C1703" s="175"/>
      <c r="D1703" s="176" t="s">
        <v>13240</v>
      </c>
      <c r="E1703" s="176">
        <v>108137</v>
      </c>
      <c r="F1703" s="177" t="s">
        <v>149</v>
      </c>
      <c r="G1703" s="178">
        <v>5174.3999999999996</v>
      </c>
      <c r="H1703" s="179">
        <v>42841</v>
      </c>
      <c r="I1703" s="178">
        <f t="shared" si="53"/>
        <v>5174.3999999999996</v>
      </c>
      <c r="J1703" s="178">
        <f t="shared" si="54"/>
        <v>0</v>
      </c>
    </row>
    <row r="1704" spans="1:10" x14ac:dyDescent="0.25">
      <c r="A1704" s="51">
        <v>42841</v>
      </c>
      <c r="B1704" s="174" t="s">
        <v>13241</v>
      </c>
      <c r="C1704" s="175"/>
      <c r="D1704" s="176" t="s">
        <v>13241</v>
      </c>
      <c r="E1704" s="176">
        <v>108138</v>
      </c>
      <c r="F1704" s="177" t="s">
        <v>457</v>
      </c>
      <c r="G1704" s="178">
        <v>2544</v>
      </c>
      <c r="H1704" s="179">
        <v>42841</v>
      </c>
      <c r="I1704" s="178">
        <f t="shared" si="53"/>
        <v>2544</v>
      </c>
      <c r="J1704" s="178">
        <f t="shared" si="54"/>
        <v>0</v>
      </c>
    </row>
    <row r="1705" spans="1:10" x14ac:dyDescent="0.25">
      <c r="A1705" s="51">
        <v>42841</v>
      </c>
      <c r="B1705" s="174" t="s">
        <v>13242</v>
      </c>
      <c r="C1705" s="175"/>
      <c r="D1705" s="176" t="s">
        <v>13242</v>
      </c>
      <c r="E1705" s="176">
        <v>108139</v>
      </c>
      <c r="F1705" s="177" t="s">
        <v>457</v>
      </c>
      <c r="G1705" s="178">
        <v>2416.6</v>
      </c>
      <c r="H1705" s="179">
        <v>42841</v>
      </c>
      <c r="I1705" s="178">
        <f t="shared" si="53"/>
        <v>2416.6</v>
      </c>
      <c r="J1705" s="178">
        <f t="shared" si="54"/>
        <v>0</v>
      </c>
    </row>
    <row r="1706" spans="1:10" x14ac:dyDescent="0.25">
      <c r="A1706" s="51">
        <v>42841</v>
      </c>
      <c r="B1706" s="174" t="s">
        <v>13243</v>
      </c>
      <c r="C1706" s="175"/>
      <c r="D1706" s="176" t="s">
        <v>13243</v>
      </c>
      <c r="E1706" s="176">
        <v>108140</v>
      </c>
      <c r="F1706" s="177" t="s">
        <v>14</v>
      </c>
      <c r="G1706" s="178">
        <v>22759.599999999999</v>
      </c>
      <c r="H1706" s="179">
        <v>42841</v>
      </c>
      <c r="I1706" s="178">
        <f t="shared" si="53"/>
        <v>22759.599999999999</v>
      </c>
      <c r="J1706" s="178">
        <f t="shared" si="54"/>
        <v>0</v>
      </c>
    </row>
    <row r="1707" spans="1:10" x14ac:dyDescent="0.25">
      <c r="A1707" s="51">
        <v>42841</v>
      </c>
      <c r="B1707" s="174" t="s">
        <v>13244</v>
      </c>
      <c r="C1707" s="175"/>
      <c r="D1707" s="176" t="s">
        <v>13244</v>
      </c>
      <c r="E1707" s="176">
        <v>108141</v>
      </c>
      <c r="F1707" s="177" t="s">
        <v>157</v>
      </c>
      <c r="G1707" s="178">
        <v>23025.8</v>
      </c>
      <c r="H1707" s="179">
        <v>42841</v>
      </c>
      <c r="I1707" s="178">
        <f t="shared" si="53"/>
        <v>23025.8</v>
      </c>
      <c r="J1707" s="178">
        <f t="shared" si="54"/>
        <v>0</v>
      </c>
    </row>
    <row r="1708" spans="1:10" x14ac:dyDescent="0.25">
      <c r="A1708" s="51">
        <v>42841</v>
      </c>
      <c r="B1708" s="174" t="s">
        <v>13245</v>
      </c>
      <c r="C1708" s="175"/>
      <c r="D1708" s="176" t="s">
        <v>13245</v>
      </c>
      <c r="E1708" s="176">
        <v>108142</v>
      </c>
      <c r="F1708" s="177" t="s">
        <v>79</v>
      </c>
      <c r="G1708" s="178">
        <v>2989.8</v>
      </c>
      <c r="H1708" s="179">
        <v>42841</v>
      </c>
      <c r="I1708" s="178">
        <f t="shared" si="53"/>
        <v>2989.8</v>
      </c>
      <c r="J1708" s="178">
        <f t="shared" si="54"/>
        <v>0</v>
      </c>
    </row>
    <row r="1709" spans="1:10" x14ac:dyDescent="0.25">
      <c r="A1709" s="51">
        <v>42841</v>
      </c>
      <c r="B1709" s="174" t="s">
        <v>13246</v>
      </c>
      <c r="C1709" s="175"/>
      <c r="D1709" s="176" t="s">
        <v>13246</v>
      </c>
      <c r="E1709" s="176">
        <v>108143</v>
      </c>
      <c r="F1709" s="177" t="s">
        <v>858</v>
      </c>
      <c r="G1709" s="178">
        <v>3040.8</v>
      </c>
      <c r="H1709" s="179">
        <v>42841</v>
      </c>
      <c r="I1709" s="178">
        <f t="shared" si="53"/>
        <v>3040.8</v>
      </c>
      <c r="J1709" s="178">
        <f t="shared" si="54"/>
        <v>0</v>
      </c>
    </row>
    <row r="1710" spans="1:10" x14ac:dyDescent="0.25">
      <c r="A1710" s="51">
        <v>42841</v>
      </c>
      <c r="B1710" s="174" t="s">
        <v>13247</v>
      </c>
      <c r="C1710" s="175"/>
      <c r="D1710" s="176" t="s">
        <v>13247</v>
      </c>
      <c r="E1710" s="176">
        <v>108144</v>
      </c>
      <c r="F1710" s="177" t="s">
        <v>21</v>
      </c>
      <c r="G1710" s="178">
        <v>40573.599999999999</v>
      </c>
      <c r="H1710" s="186">
        <v>42851</v>
      </c>
      <c r="I1710" s="187">
        <f t="shared" si="53"/>
        <v>40573.599999999999</v>
      </c>
      <c r="J1710" s="178">
        <f t="shared" si="54"/>
        <v>0</v>
      </c>
    </row>
    <row r="1711" spans="1:10" x14ac:dyDescent="0.25">
      <c r="A1711" s="51">
        <v>42841</v>
      </c>
      <c r="B1711" s="174" t="s">
        <v>13248</v>
      </c>
      <c r="C1711" s="175"/>
      <c r="D1711" s="176" t="s">
        <v>13248</v>
      </c>
      <c r="E1711" s="176">
        <v>108145</v>
      </c>
      <c r="F1711" s="177" t="s">
        <v>240</v>
      </c>
      <c r="G1711" s="178">
        <v>6863.9</v>
      </c>
      <c r="H1711" s="179">
        <v>42841</v>
      </c>
      <c r="I1711" s="178">
        <f t="shared" si="53"/>
        <v>6863.9</v>
      </c>
      <c r="J1711" s="178">
        <f t="shared" si="54"/>
        <v>0</v>
      </c>
    </row>
    <row r="1712" spans="1:10" x14ac:dyDescent="0.25">
      <c r="A1712" s="51">
        <v>42841</v>
      </c>
      <c r="B1712" s="174" t="s">
        <v>13249</v>
      </c>
      <c r="C1712" s="175"/>
      <c r="D1712" s="176" t="s">
        <v>13249</v>
      </c>
      <c r="E1712" s="176">
        <v>108146</v>
      </c>
      <c r="F1712" s="177" t="s">
        <v>168</v>
      </c>
      <c r="G1712" s="178">
        <v>500.5</v>
      </c>
      <c r="H1712" s="179">
        <v>42841</v>
      </c>
      <c r="I1712" s="178">
        <f t="shared" si="53"/>
        <v>500.5</v>
      </c>
      <c r="J1712" s="178">
        <f t="shared" si="54"/>
        <v>0</v>
      </c>
    </row>
    <row r="1713" spans="1:10" x14ac:dyDescent="0.25">
      <c r="A1713" s="51">
        <v>42841</v>
      </c>
      <c r="B1713" s="174" t="s">
        <v>13250</v>
      </c>
      <c r="C1713" s="175"/>
      <c r="D1713" s="176" t="s">
        <v>13250</v>
      </c>
      <c r="E1713" s="176">
        <v>108147</v>
      </c>
      <c r="F1713" s="177" t="s">
        <v>1645</v>
      </c>
      <c r="G1713" s="178">
        <v>1142.8</v>
      </c>
      <c r="H1713" s="179">
        <v>42841</v>
      </c>
      <c r="I1713" s="178">
        <f t="shared" si="53"/>
        <v>1142.8</v>
      </c>
      <c r="J1713" s="178">
        <f t="shared" si="54"/>
        <v>0</v>
      </c>
    </row>
    <row r="1714" spans="1:10" x14ac:dyDescent="0.25">
      <c r="A1714" s="51">
        <v>42841</v>
      </c>
      <c r="B1714" s="174" t="s">
        <v>13251</v>
      </c>
      <c r="C1714" s="175"/>
      <c r="D1714" s="176" t="s">
        <v>13251</v>
      </c>
      <c r="E1714" s="176">
        <v>108148</v>
      </c>
      <c r="F1714" s="177" t="s">
        <v>476</v>
      </c>
      <c r="G1714" s="178">
        <v>15383.5</v>
      </c>
      <c r="H1714" s="179">
        <v>42842</v>
      </c>
      <c r="I1714" s="178">
        <f t="shared" si="53"/>
        <v>15383.5</v>
      </c>
      <c r="J1714" s="178">
        <f t="shared" si="54"/>
        <v>0</v>
      </c>
    </row>
    <row r="1715" spans="1:10" x14ac:dyDescent="0.25">
      <c r="A1715" s="51">
        <v>42841</v>
      </c>
      <c r="B1715" s="174" t="s">
        <v>13252</v>
      </c>
      <c r="C1715" s="175"/>
      <c r="D1715" s="176" t="s">
        <v>13252</v>
      </c>
      <c r="E1715" s="176">
        <v>108149</v>
      </c>
      <c r="F1715" s="177" t="s">
        <v>305</v>
      </c>
      <c r="G1715" s="178">
        <v>6938.9</v>
      </c>
      <c r="H1715" s="179">
        <v>42846</v>
      </c>
      <c r="I1715" s="178">
        <f t="shared" si="53"/>
        <v>6938.9</v>
      </c>
      <c r="J1715" s="178">
        <f t="shared" si="54"/>
        <v>0</v>
      </c>
    </row>
    <row r="1716" spans="1:10" x14ac:dyDescent="0.25">
      <c r="A1716" s="51">
        <v>42841</v>
      </c>
      <c r="B1716" s="174" t="s">
        <v>13253</v>
      </c>
      <c r="C1716" s="175"/>
      <c r="D1716" s="176" t="s">
        <v>13253</v>
      </c>
      <c r="E1716" s="176">
        <v>108150</v>
      </c>
      <c r="F1716" s="177" t="s">
        <v>115</v>
      </c>
      <c r="G1716" s="178">
        <v>438.4</v>
      </c>
      <c r="H1716" s="179">
        <v>42841</v>
      </c>
      <c r="I1716" s="178">
        <f t="shared" si="53"/>
        <v>438.4</v>
      </c>
      <c r="J1716" s="178">
        <f t="shared" si="54"/>
        <v>0</v>
      </c>
    </row>
    <row r="1717" spans="1:10" x14ac:dyDescent="0.25">
      <c r="A1717" s="51">
        <v>42841</v>
      </c>
      <c r="B1717" s="174" t="s">
        <v>13254</v>
      </c>
      <c r="C1717" s="175"/>
      <c r="D1717" s="176" t="s">
        <v>13254</v>
      </c>
      <c r="E1717" s="176">
        <v>108151</v>
      </c>
      <c r="F1717" s="177" t="s">
        <v>30</v>
      </c>
      <c r="G1717" s="178">
        <v>920.5</v>
      </c>
      <c r="H1717" s="179">
        <v>42841</v>
      </c>
      <c r="I1717" s="178">
        <f t="shared" si="53"/>
        <v>920.5</v>
      </c>
      <c r="J1717" s="178">
        <f t="shared" si="54"/>
        <v>0</v>
      </c>
    </row>
    <row r="1718" spans="1:10" x14ac:dyDescent="0.25">
      <c r="A1718" s="51">
        <v>42841</v>
      </c>
      <c r="B1718" s="174" t="s">
        <v>13255</v>
      </c>
      <c r="C1718" s="175"/>
      <c r="D1718" s="176" t="s">
        <v>13255</v>
      </c>
      <c r="E1718" s="176">
        <v>108152</v>
      </c>
      <c r="F1718" s="177" t="s">
        <v>12</v>
      </c>
      <c r="G1718" s="178">
        <v>2200</v>
      </c>
      <c r="H1718" s="179">
        <v>42842</v>
      </c>
      <c r="I1718" s="178">
        <f t="shared" si="53"/>
        <v>2200</v>
      </c>
      <c r="J1718" s="178">
        <f t="shared" si="54"/>
        <v>0</v>
      </c>
    </row>
    <row r="1719" spans="1:10" x14ac:dyDescent="0.25">
      <c r="A1719" s="51">
        <v>42841</v>
      </c>
      <c r="B1719" s="174" t="s">
        <v>13256</v>
      </c>
      <c r="C1719" s="175"/>
      <c r="D1719" s="176" t="s">
        <v>13256</v>
      </c>
      <c r="E1719" s="176">
        <v>108153</v>
      </c>
      <c r="F1719" s="177" t="s">
        <v>6055</v>
      </c>
      <c r="G1719" s="178">
        <v>39966</v>
      </c>
      <c r="H1719" s="179">
        <v>42841</v>
      </c>
      <c r="I1719" s="178">
        <f t="shared" si="53"/>
        <v>39966</v>
      </c>
      <c r="J1719" s="178">
        <f t="shared" si="54"/>
        <v>0</v>
      </c>
    </row>
    <row r="1720" spans="1:10" x14ac:dyDescent="0.25">
      <c r="A1720" s="51">
        <v>42841</v>
      </c>
      <c r="B1720" s="174" t="s">
        <v>13257</v>
      </c>
      <c r="C1720" s="175"/>
      <c r="D1720" s="176" t="s">
        <v>13257</v>
      </c>
      <c r="E1720" s="176">
        <v>108154</v>
      </c>
      <c r="F1720" s="177" t="s">
        <v>88</v>
      </c>
      <c r="G1720" s="178">
        <v>2898.2</v>
      </c>
      <c r="H1720" s="179">
        <v>42842</v>
      </c>
      <c r="I1720" s="178">
        <f t="shared" si="53"/>
        <v>2898.2</v>
      </c>
      <c r="J1720" s="178">
        <f t="shared" si="54"/>
        <v>0</v>
      </c>
    </row>
    <row r="1721" spans="1:10" x14ac:dyDescent="0.25">
      <c r="A1721" s="51">
        <v>42841</v>
      </c>
      <c r="B1721" s="174" t="s">
        <v>13258</v>
      </c>
      <c r="C1721" s="175"/>
      <c r="D1721" s="176" t="s">
        <v>13258</v>
      </c>
      <c r="E1721" s="176">
        <v>108155</v>
      </c>
      <c r="F1721" s="177" t="s">
        <v>6055</v>
      </c>
      <c r="G1721" s="178">
        <v>4338.3999999999996</v>
      </c>
      <c r="H1721" s="179">
        <v>42841</v>
      </c>
      <c r="I1721" s="178">
        <f t="shared" si="53"/>
        <v>4338.3999999999996</v>
      </c>
      <c r="J1721" s="178">
        <f t="shared" si="54"/>
        <v>0</v>
      </c>
    </row>
    <row r="1722" spans="1:10" x14ac:dyDescent="0.25">
      <c r="A1722" s="51">
        <v>42841</v>
      </c>
      <c r="B1722" s="174" t="s">
        <v>13259</v>
      </c>
      <c r="C1722" s="175"/>
      <c r="D1722" s="176" t="s">
        <v>13259</v>
      </c>
      <c r="E1722" s="176">
        <v>108156</v>
      </c>
      <c r="F1722" s="177" t="s">
        <v>264</v>
      </c>
      <c r="G1722" s="178">
        <v>3965</v>
      </c>
      <c r="H1722" s="179">
        <v>42841</v>
      </c>
      <c r="I1722" s="178">
        <f t="shared" si="53"/>
        <v>3965</v>
      </c>
      <c r="J1722" s="178">
        <f t="shared" si="54"/>
        <v>0</v>
      </c>
    </row>
    <row r="1723" spans="1:10" x14ac:dyDescent="0.25">
      <c r="A1723" s="51">
        <v>42841</v>
      </c>
      <c r="B1723" s="174" t="s">
        <v>13260</v>
      </c>
      <c r="C1723" s="175"/>
      <c r="D1723" s="176" t="s">
        <v>13260</v>
      </c>
      <c r="E1723" s="176">
        <v>108157</v>
      </c>
      <c r="F1723" s="177" t="s">
        <v>135</v>
      </c>
      <c r="G1723" s="178">
        <v>2404.4</v>
      </c>
      <c r="H1723" s="179">
        <v>42841</v>
      </c>
      <c r="I1723" s="178">
        <f t="shared" si="53"/>
        <v>2404.4</v>
      </c>
      <c r="J1723" s="178">
        <f t="shared" si="54"/>
        <v>0</v>
      </c>
    </row>
    <row r="1724" spans="1:10" x14ac:dyDescent="0.25">
      <c r="A1724" s="51">
        <v>42841</v>
      </c>
      <c r="B1724" s="174" t="s">
        <v>13261</v>
      </c>
      <c r="C1724" s="175"/>
      <c r="D1724" s="176" t="s">
        <v>13261</v>
      </c>
      <c r="E1724" s="176">
        <v>108158</v>
      </c>
      <c r="F1724" s="177" t="s">
        <v>509</v>
      </c>
      <c r="G1724" s="178">
        <v>17613.3</v>
      </c>
      <c r="H1724" s="179">
        <v>42843</v>
      </c>
      <c r="I1724" s="178">
        <f t="shared" si="53"/>
        <v>17613.3</v>
      </c>
      <c r="J1724" s="178">
        <f t="shared" si="54"/>
        <v>0</v>
      </c>
    </row>
    <row r="1725" spans="1:10" x14ac:dyDescent="0.25">
      <c r="A1725" s="51">
        <v>42841</v>
      </c>
      <c r="B1725" s="174" t="s">
        <v>13262</v>
      </c>
      <c r="C1725" s="175"/>
      <c r="D1725" s="176" t="s">
        <v>13262</v>
      </c>
      <c r="E1725" s="176">
        <v>108159</v>
      </c>
      <c r="F1725" s="177" t="s">
        <v>81</v>
      </c>
      <c r="G1725" s="178">
        <v>14643.8</v>
      </c>
      <c r="H1725" s="179">
        <v>42842</v>
      </c>
      <c r="I1725" s="178">
        <f t="shared" si="53"/>
        <v>14643.8</v>
      </c>
      <c r="J1725" s="178">
        <f t="shared" si="54"/>
        <v>0</v>
      </c>
    </row>
    <row r="1726" spans="1:10" x14ac:dyDescent="0.25">
      <c r="A1726" s="51">
        <v>42841</v>
      </c>
      <c r="B1726" s="174" t="s">
        <v>13263</v>
      </c>
      <c r="C1726" s="175"/>
      <c r="D1726" s="176" t="s">
        <v>13263</v>
      </c>
      <c r="E1726" s="176">
        <v>108160</v>
      </c>
      <c r="F1726" s="177" t="s">
        <v>281</v>
      </c>
      <c r="G1726" s="178">
        <v>2226.4</v>
      </c>
      <c r="H1726" s="179">
        <v>42842</v>
      </c>
      <c r="I1726" s="178">
        <f t="shared" si="53"/>
        <v>2226.4</v>
      </c>
      <c r="J1726" s="178">
        <f t="shared" si="54"/>
        <v>0</v>
      </c>
    </row>
    <row r="1727" spans="1:10" x14ac:dyDescent="0.25">
      <c r="A1727" s="51">
        <v>42841</v>
      </c>
      <c r="B1727" s="174" t="s">
        <v>13264</v>
      </c>
      <c r="C1727" s="175"/>
      <c r="D1727" s="176" t="s">
        <v>13264</v>
      </c>
      <c r="E1727" s="176">
        <v>108161</v>
      </c>
      <c r="F1727" s="177" t="s">
        <v>101</v>
      </c>
      <c r="G1727" s="178">
        <v>1760</v>
      </c>
      <c r="H1727" s="179">
        <v>42842</v>
      </c>
      <c r="I1727" s="178">
        <f t="shared" si="53"/>
        <v>1760</v>
      </c>
      <c r="J1727" s="178">
        <f t="shared" si="54"/>
        <v>0</v>
      </c>
    </row>
    <row r="1728" spans="1:10" x14ac:dyDescent="0.25">
      <c r="A1728" s="51">
        <v>42841</v>
      </c>
      <c r="B1728" s="174" t="s">
        <v>13265</v>
      </c>
      <c r="C1728" s="175"/>
      <c r="D1728" s="176" t="s">
        <v>13265</v>
      </c>
      <c r="E1728" s="176">
        <v>108162</v>
      </c>
      <c r="F1728" s="177" t="s">
        <v>289</v>
      </c>
      <c r="G1728" s="178">
        <v>33333.699999999997</v>
      </c>
      <c r="H1728" s="186">
        <v>42851</v>
      </c>
      <c r="I1728" s="187">
        <f t="shared" si="53"/>
        <v>33333.699999999997</v>
      </c>
      <c r="J1728" s="178">
        <f t="shared" si="54"/>
        <v>0</v>
      </c>
    </row>
    <row r="1729" spans="1:10" x14ac:dyDescent="0.25">
      <c r="A1729" s="51">
        <v>42841</v>
      </c>
      <c r="B1729" s="174" t="s">
        <v>13266</v>
      </c>
      <c r="C1729" s="175"/>
      <c r="D1729" s="176" t="s">
        <v>13266</v>
      </c>
      <c r="E1729" s="176">
        <v>108163</v>
      </c>
      <c r="F1729" s="177" t="s">
        <v>30</v>
      </c>
      <c r="G1729" s="178">
        <v>1991.8</v>
      </c>
      <c r="H1729" s="179">
        <v>42841</v>
      </c>
      <c r="I1729" s="178">
        <f t="shared" si="53"/>
        <v>1991.8</v>
      </c>
      <c r="J1729" s="178">
        <f t="shared" si="54"/>
        <v>0</v>
      </c>
    </row>
    <row r="1730" spans="1:10" x14ac:dyDescent="0.25">
      <c r="A1730" s="51">
        <v>42841</v>
      </c>
      <c r="B1730" s="174" t="s">
        <v>13267</v>
      </c>
      <c r="C1730" s="175"/>
      <c r="D1730" s="176" t="s">
        <v>13267</v>
      </c>
      <c r="E1730" s="176">
        <v>108164</v>
      </c>
      <c r="F1730" s="177" t="s">
        <v>30</v>
      </c>
      <c r="G1730" s="178">
        <v>510</v>
      </c>
      <c r="H1730" s="179">
        <v>42841</v>
      </c>
      <c r="I1730" s="178">
        <f t="shared" si="53"/>
        <v>510</v>
      </c>
      <c r="J1730" s="178">
        <f t="shared" si="54"/>
        <v>0</v>
      </c>
    </row>
    <row r="1731" spans="1:10" x14ac:dyDescent="0.25">
      <c r="A1731" s="51">
        <v>42841</v>
      </c>
      <c r="B1731" s="174" t="s">
        <v>13268</v>
      </c>
      <c r="C1731" s="175"/>
      <c r="D1731" s="176" t="s">
        <v>13268</v>
      </c>
      <c r="E1731" s="176">
        <v>108165</v>
      </c>
      <c r="F1731" s="177" t="s">
        <v>1989</v>
      </c>
      <c r="G1731" s="178">
        <v>933.3</v>
      </c>
      <c r="H1731" s="179">
        <v>42842</v>
      </c>
      <c r="I1731" s="178">
        <f t="shared" si="53"/>
        <v>933.3</v>
      </c>
      <c r="J1731" s="178">
        <f t="shared" si="54"/>
        <v>0</v>
      </c>
    </row>
    <row r="1732" spans="1:10" x14ac:dyDescent="0.25">
      <c r="A1732" s="51">
        <v>42841</v>
      </c>
      <c r="B1732" s="174" t="s">
        <v>13269</v>
      </c>
      <c r="C1732" s="175"/>
      <c r="D1732" s="176" t="s">
        <v>13269</v>
      </c>
      <c r="E1732" s="176">
        <v>108166</v>
      </c>
      <c r="F1732" s="177" t="s">
        <v>291</v>
      </c>
      <c r="G1732" s="178">
        <v>4617</v>
      </c>
      <c r="H1732" s="179">
        <v>42842</v>
      </c>
      <c r="I1732" s="178">
        <f t="shared" ref="I1732:I1795" si="55">G1732</f>
        <v>4617</v>
      </c>
      <c r="J1732" s="178">
        <f t="shared" ref="J1732:J1795" si="56">G1732-I1732</f>
        <v>0</v>
      </c>
    </row>
    <row r="1733" spans="1:10" x14ac:dyDescent="0.25">
      <c r="A1733" s="51">
        <v>42841</v>
      </c>
      <c r="B1733" s="174" t="s">
        <v>13270</v>
      </c>
      <c r="C1733" s="175"/>
      <c r="D1733" s="176" t="s">
        <v>13270</v>
      </c>
      <c r="E1733" s="176">
        <v>108167</v>
      </c>
      <c r="F1733" s="177" t="s">
        <v>57</v>
      </c>
      <c r="G1733" s="178">
        <v>616</v>
      </c>
      <c r="H1733" s="179">
        <v>42842</v>
      </c>
      <c r="I1733" s="178">
        <f t="shared" si="55"/>
        <v>616</v>
      </c>
      <c r="J1733" s="178">
        <f t="shared" si="56"/>
        <v>0</v>
      </c>
    </row>
    <row r="1734" spans="1:10" x14ac:dyDescent="0.25">
      <c r="A1734" s="51">
        <v>42841</v>
      </c>
      <c r="B1734" s="174" t="s">
        <v>13271</v>
      </c>
      <c r="C1734" s="175"/>
      <c r="D1734" s="176" t="s">
        <v>13271</v>
      </c>
      <c r="E1734" s="176">
        <v>108168</v>
      </c>
      <c r="F1734" s="177" t="s">
        <v>19</v>
      </c>
      <c r="G1734" s="178">
        <v>1100</v>
      </c>
      <c r="H1734" s="179">
        <v>42842</v>
      </c>
      <c r="I1734" s="178">
        <f t="shared" si="55"/>
        <v>1100</v>
      </c>
      <c r="J1734" s="178">
        <f t="shared" si="56"/>
        <v>0</v>
      </c>
    </row>
    <row r="1735" spans="1:10" x14ac:dyDescent="0.25">
      <c r="A1735" s="51">
        <v>42841</v>
      </c>
      <c r="B1735" s="174" t="s">
        <v>13272</v>
      </c>
      <c r="C1735" s="175"/>
      <c r="D1735" s="176" t="s">
        <v>13272</v>
      </c>
      <c r="E1735" s="176">
        <v>108169</v>
      </c>
      <c r="F1735" s="177" t="s">
        <v>71</v>
      </c>
      <c r="G1735" s="178">
        <v>869</v>
      </c>
      <c r="H1735" s="179">
        <v>42841</v>
      </c>
      <c r="I1735" s="178">
        <f t="shared" si="55"/>
        <v>869</v>
      </c>
      <c r="J1735" s="178">
        <f t="shared" si="56"/>
        <v>0</v>
      </c>
    </row>
    <row r="1736" spans="1:10" x14ac:dyDescent="0.25">
      <c r="A1736" s="51">
        <v>42841</v>
      </c>
      <c r="B1736" s="174" t="s">
        <v>13273</v>
      </c>
      <c r="C1736" s="175"/>
      <c r="D1736" s="176" t="s">
        <v>13273</v>
      </c>
      <c r="E1736" s="176">
        <v>108170</v>
      </c>
      <c r="F1736" s="177" t="s">
        <v>10</v>
      </c>
      <c r="G1736" s="178">
        <v>5994.56</v>
      </c>
      <c r="H1736" s="179">
        <v>42844</v>
      </c>
      <c r="I1736" s="178">
        <f t="shared" si="55"/>
        <v>5994.56</v>
      </c>
      <c r="J1736" s="178">
        <f t="shared" si="56"/>
        <v>0</v>
      </c>
    </row>
    <row r="1737" spans="1:10" x14ac:dyDescent="0.25">
      <c r="A1737" s="51">
        <v>42841</v>
      </c>
      <c r="B1737" s="174" t="s">
        <v>13274</v>
      </c>
      <c r="C1737" s="175"/>
      <c r="D1737" s="176" t="s">
        <v>13274</v>
      </c>
      <c r="E1737" s="176">
        <v>108171</v>
      </c>
      <c r="F1737" s="177" t="s">
        <v>109</v>
      </c>
      <c r="G1737" s="178">
        <v>6815</v>
      </c>
      <c r="H1737" s="179">
        <v>42842</v>
      </c>
      <c r="I1737" s="178">
        <f t="shared" si="55"/>
        <v>6815</v>
      </c>
      <c r="J1737" s="178">
        <f t="shared" si="56"/>
        <v>0</v>
      </c>
    </row>
    <row r="1738" spans="1:10" x14ac:dyDescent="0.25">
      <c r="A1738" s="51">
        <v>42841</v>
      </c>
      <c r="B1738" s="174" t="s">
        <v>13275</v>
      </c>
      <c r="C1738" s="175"/>
      <c r="D1738" s="176" t="s">
        <v>13275</v>
      </c>
      <c r="E1738" s="176">
        <v>108172</v>
      </c>
      <c r="F1738" s="177" t="s">
        <v>613</v>
      </c>
      <c r="G1738" s="178">
        <v>9162</v>
      </c>
      <c r="H1738" s="179">
        <v>42842</v>
      </c>
      <c r="I1738" s="178">
        <f t="shared" si="55"/>
        <v>9162</v>
      </c>
      <c r="J1738" s="178">
        <f t="shared" si="56"/>
        <v>0</v>
      </c>
    </row>
    <row r="1739" spans="1:10" x14ac:dyDescent="0.25">
      <c r="A1739" s="51">
        <v>42841</v>
      </c>
      <c r="B1739" s="174" t="s">
        <v>13276</v>
      </c>
      <c r="C1739" s="175"/>
      <c r="D1739" s="176" t="s">
        <v>13276</v>
      </c>
      <c r="E1739" s="176">
        <v>108173</v>
      </c>
      <c r="F1739" s="177" t="s">
        <v>159</v>
      </c>
      <c r="G1739" s="178">
        <v>4408.8999999999996</v>
      </c>
      <c r="H1739" s="179">
        <v>42842</v>
      </c>
      <c r="I1739" s="178">
        <f t="shared" si="55"/>
        <v>4408.8999999999996</v>
      </c>
      <c r="J1739" s="178">
        <f t="shared" si="56"/>
        <v>0</v>
      </c>
    </row>
    <row r="1740" spans="1:10" x14ac:dyDescent="0.25">
      <c r="A1740" s="51">
        <v>42841</v>
      </c>
      <c r="B1740" s="174" t="s">
        <v>13277</v>
      </c>
      <c r="C1740" s="175"/>
      <c r="D1740" s="176" t="s">
        <v>13277</v>
      </c>
      <c r="E1740" s="176">
        <v>108174</v>
      </c>
      <c r="F1740" s="177" t="s">
        <v>3219</v>
      </c>
      <c r="G1740" s="178">
        <v>63331.199999999997</v>
      </c>
      <c r="H1740" s="179">
        <v>42842</v>
      </c>
      <c r="I1740" s="178">
        <f t="shared" si="55"/>
        <v>63331.199999999997</v>
      </c>
      <c r="J1740" s="178">
        <f t="shared" si="56"/>
        <v>0</v>
      </c>
    </row>
    <row r="1741" spans="1:10" x14ac:dyDescent="0.25">
      <c r="A1741" s="51">
        <v>42841</v>
      </c>
      <c r="B1741" s="174" t="s">
        <v>13278</v>
      </c>
      <c r="C1741" s="175"/>
      <c r="D1741" s="176" t="s">
        <v>13278</v>
      </c>
      <c r="E1741" s="176">
        <v>108175</v>
      </c>
      <c r="F1741" s="177" t="s">
        <v>1141</v>
      </c>
      <c r="G1741" s="178">
        <v>8350.6</v>
      </c>
      <c r="H1741" s="179">
        <v>42855</v>
      </c>
      <c r="I1741" s="178">
        <f t="shared" si="55"/>
        <v>8350.6</v>
      </c>
      <c r="J1741" s="178">
        <f t="shared" si="56"/>
        <v>0</v>
      </c>
    </row>
    <row r="1742" spans="1:10" x14ac:dyDescent="0.25">
      <c r="A1742" s="51">
        <v>42841</v>
      </c>
      <c r="B1742" s="174" t="s">
        <v>13279</v>
      </c>
      <c r="C1742" s="175"/>
      <c r="D1742" s="176" t="s">
        <v>13279</v>
      </c>
      <c r="E1742" s="176">
        <v>108176</v>
      </c>
      <c r="F1742" s="177" t="s">
        <v>358</v>
      </c>
      <c r="G1742" s="178">
        <v>31224.6</v>
      </c>
      <c r="H1742" s="179">
        <v>42842</v>
      </c>
      <c r="I1742" s="178">
        <f t="shared" si="55"/>
        <v>31224.6</v>
      </c>
      <c r="J1742" s="178">
        <f t="shared" si="56"/>
        <v>0</v>
      </c>
    </row>
    <row r="1743" spans="1:10" x14ac:dyDescent="0.25">
      <c r="A1743" s="51">
        <v>42841</v>
      </c>
      <c r="B1743" s="174" t="s">
        <v>13280</v>
      </c>
      <c r="C1743" s="175"/>
      <c r="D1743" s="176" t="s">
        <v>13280</v>
      </c>
      <c r="E1743" s="176">
        <v>108177</v>
      </c>
      <c r="F1743" s="182" t="s">
        <v>492</v>
      </c>
      <c r="G1743" s="183">
        <v>0</v>
      </c>
      <c r="H1743" s="184" t="s">
        <v>95</v>
      </c>
      <c r="I1743" s="183">
        <f t="shared" si="55"/>
        <v>0</v>
      </c>
      <c r="J1743" s="183">
        <f t="shared" si="56"/>
        <v>0</v>
      </c>
    </row>
    <row r="1744" spans="1:10" x14ac:dyDescent="0.25">
      <c r="A1744" s="51">
        <v>42841</v>
      </c>
      <c r="B1744" s="174" t="s">
        <v>13281</v>
      </c>
      <c r="C1744" s="175"/>
      <c r="D1744" s="176" t="s">
        <v>13281</v>
      </c>
      <c r="E1744" s="176">
        <v>108178</v>
      </c>
      <c r="F1744" s="177" t="s">
        <v>220</v>
      </c>
      <c r="G1744" s="178">
        <v>1012</v>
      </c>
      <c r="H1744" s="179">
        <v>42842</v>
      </c>
      <c r="I1744" s="178">
        <f t="shared" si="55"/>
        <v>1012</v>
      </c>
      <c r="J1744" s="178">
        <f t="shared" si="56"/>
        <v>0</v>
      </c>
    </row>
    <row r="1745" spans="1:10" x14ac:dyDescent="0.25">
      <c r="A1745" s="51">
        <v>42841</v>
      </c>
      <c r="B1745" s="174" t="s">
        <v>13282</v>
      </c>
      <c r="C1745" s="175"/>
      <c r="D1745" s="176" t="s">
        <v>13282</v>
      </c>
      <c r="E1745" s="176">
        <v>108179</v>
      </c>
      <c r="F1745" s="177" t="s">
        <v>480</v>
      </c>
      <c r="G1745" s="178">
        <v>1673.2</v>
      </c>
      <c r="H1745" s="179">
        <v>42842</v>
      </c>
      <c r="I1745" s="178">
        <f t="shared" si="55"/>
        <v>1673.2</v>
      </c>
      <c r="J1745" s="178">
        <f t="shared" si="56"/>
        <v>0</v>
      </c>
    </row>
    <row r="1746" spans="1:10" x14ac:dyDescent="0.25">
      <c r="A1746" s="51">
        <v>42841</v>
      </c>
      <c r="B1746" s="174" t="s">
        <v>13283</v>
      </c>
      <c r="C1746" s="175"/>
      <c r="D1746" s="176" t="s">
        <v>13283</v>
      </c>
      <c r="E1746" s="176">
        <v>108180</v>
      </c>
      <c r="F1746" s="177" t="s">
        <v>53</v>
      </c>
      <c r="G1746" s="178">
        <v>2675.4</v>
      </c>
      <c r="H1746" s="179">
        <v>42842</v>
      </c>
      <c r="I1746" s="178">
        <f t="shared" si="55"/>
        <v>2675.4</v>
      </c>
      <c r="J1746" s="178">
        <f t="shared" si="56"/>
        <v>0</v>
      </c>
    </row>
    <row r="1747" spans="1:10" x14ac:dyDescent="0.25">
      <c r="A1747" s="51">
        <v>42841</v>
      </c>
      <c r="B1747" s="174" t="s">
        <v>13284</v>
      </c>
      <c r="C1747" s="175"/>
      <c r="D1747" s="176" t="s">
        <v>13284</v>
      </c>
      <c r="E1747" s="176">
        <v>108181</v>
      </c>
      <c r="F1747" s="177" t="s">
        <v>319</v>
      </c>
      <c r="G1747" s="178">
        <v>4425.2</v>
      </c>
      <c r="H1747" s="179">
        <v>42842</v>
      </c>
      <c r="I1747" s="178">
        <f t="shared" si="55"/>
        <v>4425.2</v>
      </c>
      <c r="J1747" s="178">
        <f t="shared" si="56"/>
        <v>0</v>
      </c>
    </row>
    <row r="1748" spans="1:10" x14ac:dyDescent="0.25">
      <c r="A1748" s="51">
        <v>42841</v>
      </c>
      <c r="B1748" s="174" t="s">
        <v>13285</v>
      </c>
      <c r="C1748" s="175"/>
      <c r="D1748" s="176" t="s">
        <v>13285</v>
      </c>
      <c r="E1748" s="176">
        <v>108182</v>
      </c>
      <c r="F1748" s="177" t="s">
        <v>85</v>
      </c>
      <c r="G1748" s="178">
        <v>5512.6</v>
      </c>
      <c r="H1748" s="179">
        <v>42842</v>
      </c>
      <c r="I1748" s="178">
        <f t="shared" si="55"/>
        <v>5512.6</v>
      </c>
      <c r="J1748" s="178">
        <f t="shared" si="56"/>
        <v>0</v>
      </c>
    </row>
    <row r="1749" spans="1:10" x14ac:dyDescent="0.25">
      <c r="A1749" s="51">
        <v>42841</v>
      </c>
      <c r="B1749" s="174" t="s">
        <v>13286</v>
      </c>
      <c r="C1749" s="175"/>
      <c r="D1749" s="176" t="s">
        <v>13286</v>
      </c>
      <c r="E1749" s="176">
        <v>108183</v>
      </c>
      <c r="F1749" s="177" t="s">
        <v>1830</v>
      </c>
      <c r="G1749" s="178">
        <v>15905.9</v>
      </c>
      <c r="H1749" s="179">
        <v>42842</v>
      </c>
      <c r="I1749" s="178">
        <f t="shared" si="55"/>
        <v>15905.9</v>
      </c>
      <c r="J1749" s="178">
        <f t="shared" si="56"/>
        <v>0</v>
      </c>
    </row>
    <row r="1750" spans="1:10" x14ac:dyDescent="0.25">
      <c r="A1750" s="51">
        <v>42841</v>
      </c>
      <c r="B1750" s="174" t="s">
        <v>13287</v>
      </c>
      <c r="C1750" s="175"/>
      <c r="D1750" s="176" t="s">
        <v>13287</v>
      </c>
      <c r="E1750" s="176">
        <v>108184</v>
      </c>
      <c r="F1750" s="177" t="s">
        <v>470</v>
      </c>
      <c r="G1750" s="178">
        <v>9246</v>
      </c>
      <c r="H1750" s="179">
        <v>42842</v>
      </c>
      <c r="I1750" s="178">
        <f t="shared" si="55"/>
        <v>9246</v>
      </c>
      <c r="J1750" s="178">
        <f t="shared" si="56"/>
        <v>0</v>
      </c>
    </row>
    <row r="1751" spans="1:10" x14ac:dyDescent="0.25">
      <c r="A1751" s="51">
        <v>42841</v>
      </c>
      <c r="B1751" s="174" t="s">
        <v>13288</v>
      </c>
      <c r="C1751" s="175"/>
      <c r="D1751" s="176" t="s">
        <v>13288</v>
      </c>
      <c r="E1751" s="176">
        <v>108185</v>
      </c>
      <c r="F1751" s="177" t="s">
        <v>125</v>
      </c>
      <c r="G1751" s="178">
        <v>10431.200000000001</v>
      </c>
      <c r="H1751" s="179">
        <v>42842</v>
      </c>
      <c r="I1751" s="178">
        <f t="shared" si="55"/>
        <v>10431.200000000001</v>
      </c>
      <c r="J1751" s="178">
        <f t="shared" si="56"/>
        <v>0</v>
      </c>
    </row>
    <row r="1752" spans="1:10" x14ac:dyDescent="0.25">
      <c r="A1752" s="51">
        <v>42841</v>
      </c>
      <c r="B1752" s="174" t="s">
        <v>13289</v>
      </c>
      <c r="C1752" s="175"/>
      <c r="D1752" s="176" t="s">
        <v>13289</v>
      </c>
      <c r="E1752" s="176">
        <v>108186</v>
      </c>
      <c r="F1752" s="177" t="s">
        <v>472</v>
      </c>
      <c r="G1752" s="178">
        <v>1032.2</v>
      </c>
      <c r="H1752" s="179">
        <v>42842</v>
      </c>
      <c r="I1752" s="178">
        <f t="shared" si="55"/>
        <v>1032.2</v>
      </c>
      <c r="J1752" s="178">
        <f t="shared" si="56"/>
        <v>0</v>
      </c>
    </row>
    <row r="1753" spans="1:10" x14ac:dyDescent="0.25">
      <c r="A1753" s="51">
        <v>42841</v>
      </c>
      <c r="B1753" s="174" t="s">
        <v>13290</v>
      </c>
      <c r="C1753" s="175"/>
      <c r="D1753" s="176" t="s">
        <v>13290</v>
      </c>
      <c r="E1753" s="176">
        <v>108187</v>
      </c>
      <c r="F1753" s="177" t="s">
        <v>231</v>
      </c>
      <c r="G1753" s="178">
        <v>4446.2</v>
      </c>
      <c r="H1753" s="179" t="s">
        <v>13291</v>
      </c>
      <c r="I1753" s="178">
        <f t="shared" si="55"/>
        <v>4446.2</v>
      </c>
      <c r="J1753" s="178">
        <f t="shared" si="56"/>
        <v>0</v>
      </c>
    </row>
    <row r="1754" spans="1:10" x14ac:dyDescent="0.25">
      <c r="A1754" s="51">
        <v>42841</v>
      </c>
      <c r="B1754" s="174" t="s">
        <v>13292</v>
      </c>
      <c r="C1754" s="175"/>
      <c r="D1754" s="176" t="s">
        <v>13292</v>
      </c>
      <c r="E1754" s="176">
        <v>108188</v>
      </c>
      <c r="F1754" s="177" t="s">
        <v>1786</v>
      </c>
      <c r="G1754" s="178">
        <v>5346</v>
      </c>
      <c r="H1754" s="179">
        <v>42841</v>
      </c>
      <c r="I1754" s="178">
        <f t="shared" si="55"/>
        <v>5346</v>
      </c>
      <c r="J1754" s="178">
        <f t="shared" si="56"/>
        <v>0</v>
      </c>
    </row>
    <row r="1755" spans="1:10" x14ac:dyDescent="0.25">
      <c r="A1755" s="51">
        <v>42841</v>
      </c>
      <c r="B1755" s="174" t="s">
        <v>13293</v>
      </c>
      <c r="C1755" s="175"/>
      <c r="D1755" s="176" t="s">
        <v>13293</v>
      </c>
      <c r="E1755" s="176">
        <v>108189</v>
      </c>
      <c r="F1755" s="182" t="s">
        <v>21</v>
      </c>
      <c r="G1755" s="183">
        <v>0</v>
      </c>
      <c r="H1755" s="200" t="s">
        <v>95</v>
      </c>
      <c r="I1755" s="178">
        <f t="shared" si="55"/>
        <v>0</v>
      </c>
      <c r="J1755" s="178">
        <f t="shared" si="56"/>
        <v>0</v>
      </c>
    </row>
    <row r="1756" spans="1:10" x14ac:dyDescent="0.25">
      <c r="A1756" s="51">
        <v>42841</v>
      </c>
      <c r="B1756" s="174" t="s">
        <v>13294</v>
      </c>
      <c r="C1756" s="175"/>
      <c r="D1756" s="176" t="s">
        <v>13294</v>
      </c>
      <c r="E1756" s="176">
        <v>108190</v>
      </c>
      <c r="F1756" s="177" t="s">
        <v>21</v>
      </c>
      <c r="G1756" s="178">
        <v>23517.599999999999</v>
      </c>
      <c r="H1756" s="186" t="s">
        <v>15189</v>
      </c>
      <c r="I1756" s="188">
        <f>13689.4+9828.2</f>
        <v>23517.599999999999</v>
      </c>
      <c r="J1756" s="178">
        <f t="shared" si="56"/>
        <v>0</v>
      </c>
    </row>
    <row r="1757" spans="1:10" x14ac:dyDescent="0.25">
      <c r="A1757" s="51">
        <v>42841</v>
      </c>
      <c r="B1757" s="174" t="s">
        <v>13295</v>
      </c>
      <c r="C1757" s="175"/>
      <c r="D1757" s="176" t="s">
        <v>13295</v>
      </c>
      <c r="E1757" s="176">
        <v>108191</v>
      </c>
      <c r="F1757" s="177" t="s">
        <v>866</v>
      </c>
      <c r="G1757" s="178">
        <v>1151.5</v>
      </c>
      <c r="H1757" s="179">
        <v>42841</v>
      </c>
      <c r="I1757" s="178">
        <f t="shared" si="55"/>
        <v>1151.5</v>
      </c>
      <c r="J1757" s="178">
        <f t="shared" si="56"/>
        <v>0</v>
      </c>
    </row>
    <row r="1758" spans="1:10" x14ac:dyDescent="0.25">
      <c r="A1758" s="51">
        <v>42841</v>
      </c>
      <c r="B1758" s="174" t="s">
        <v>13296</v>
      </c>
      <c r="C1758" s="175"/>
      <c r="D1758" s="176" t="s">
        <v>13296</v>
      </c>
      <c r="E1758" s="176">
        <v>108192</v>
      </c>
      <c r="F1758" s="177" t="s">
        <v>47</v>
      </c>
      <c r="G1758" s="178">
        <v>741.7</v>
      </c>
      <c r="H1758" s="179">
        <v>42841</v>
      </c>
      <c r="I1758" s="178">
        <f t="shared" si="55"/>
        <v>741.7</v>
      </c>
      <c r="J1758" s="178">
        <f t="shared" si="56"/>
        <v>0</v>
      </c>
    </row>
    <row r="1759" spans="1:10" x14ac:dyDescent="0.25">
      <c r="A1759" s="51">
        <v>42841</v>
      </c>
      <c r="B1759" s="174" t="s">
        <v>13297</v>
      </c>
      <c r="C1759" s="175"/>
      <c r="D1759" s="176" t="s">
        <v>13297</v>
      </c>
      <c r="E1759" s="176">
        <v>108193</v>
      </c>
      <c r="F1759" s="177" t="s">
        <v>800</v>
      </c>
      <c r="G1759" s="178">
        <v>10474.700000000001</v>
      </c>
      <c r="H1759" s="201">
        <v>42851</v>
      </c>
      <c r="I1759" s="188">
        <f t="shared" si="55"/>
        <v>10474.700000000001</v>
      </c>
      <c r="J1759" s="178">
        <f t="shared" si="56"/>
        <v>0</v>
      </c>
    </row>
    <row r="1760" spans="1:10" x14ac:dyDescent="0.25">
      <c r="A1760" s="51">
        <v>42842</v>
      </c>
      <c r="B1760" s="174" t="s">
        <v>13298</v>
      </c>
      <c r="C1760" s="175"/>
      <c r="D1760" s="176" t="s">
        <v>13298</v>
      </c>
      <c r="E1760" s="176">
        <v>108194</v>
      </c>
      <c r="F1760" s="177" t="s">
        <v>231</v>
      </c>
      <c r="G1760" s="178">
        <v>6198.6</v>
      </c>
      <c r="H1760" s="179">
        <v>42843</v>
      </c>
      <c r="I1760" s="178">
        <f t="shared" si="55"/>
        <v>6198.6</v>
      </c>
      <c r="J1760" s="178">
        <f t="shared" si="56"/>
        <v>0</v>
      </c>
    </row>
    <row r="1761" spans="1:10" x14ac:dyDescent="0.25">
      <c r="A1761" s="51">
        <v>42842</v>
      </c>
      <c r="B1761" s="174" t="s">
        <v>13299</v>
      </c>
      <c r="C1761" s="175"/>
      <c r="D1761" s="176" t="s">
        <v>13299</v>
      </c>
      <c r="E1761" s="176">
        <v>108195</v>
      </c>
      <c r="F1761" s="177" t="s">
        <v>236</v>
      </c>
      <c r="G1761" s="178">
        <v>31076.1</v>
      </c>
      <c r="H1761" s="179">
        <v>42847</v>
      </c>
      <c r="I1761" s="178">
        <f t="shared" si="55"/>
        <v>31076.1</v>
      </c>
      <c r="J1761" s="178">
        <f t="shared" si="56"/>
        <v>0</v>
      </c>
    </row>
    <row r="1762" spans="1:10" x14ac:dyDescent="0.25">
      <c r="A1762" s="51">
        <v>42842</v>
      </c>
      <c r="B1762" s="174" t="s">
        <v>13300</v>
      </c>
      <c r="C1762" s="175"/>
      <c r="D1762" s="176" t="s">
        <v>13300</v>
      </c>
      <c r="E1762" s="176">
        <v>108196</v>
      </c>
      <c r="F1762" s="177" t="s">
        <v>17</v>
      </c>
      <c r="G1762" s="178">
        <v>2200</v>
      </c>
      <c r="H1762" s="202">
        <v>42842</v>
      </c>
      <c r="I1762" s="178">
        <f t="shared" si="55"/>
        <v>2200</v>
      </c>
      <c r="J1762" s="178">
        <f t="shared" si="56"/>
        <v>0</v>
      </c>
    </row>
    <row r="1763" spans="1:10" x14ac:dyDescent="0.25">
      <c r="A1763" s="51">
        <v>42842</v>
      </c>
      <c r="B1763" s="174" t="s">
        <v>13301</v>
      </c>
      <c r="C1763" s="175"/>
      <c r="D1763" s="176" t="s">
        <v>13301</v>
      </c>
      <c r="E1763" s="176">
        <v>108197</v>
      </c>
      <c r="F1763" s="177" t="s">
        <v>231</v>
      </c>
      <c r="G1763" s="178">
        <v>43929.4</v>
      </c>
      <c r="H1763" s="202">
        <v>42843</v>
      </c>
      <c r="I1763" s="178">
        <f t="shared" si="55"/>
        <v>43929.4</v>
      </c>
      <c r="J1763" s="178">
        <f t="shared" si="56"/>
        <v>0</v>
      </c>
    </row>
    <row r="1764" spans="1:10" x14ac:dyDescent="0.25">
      <c r="A1764" s="51">
        <v>42842</v>
      </c>
      <c r="B1764" s="174" t="s">
        <v>13302</v>
      </c>
      <c r="C1764" s="175"/>
      <c r="D1764" s="176" t="s">
        <v>13302</v>
      </c>
      <c r="E1764" s="176">
        <v>108198</v>
      </c>
      <c r="F1764" s="177" t="s">
        <v>374</v>
      </c>
      <c r="G1764" s="178">
        <v>2172.8000000000002</v>
      </c>
      <c r="H1764" s="179">
        <v>42842</v>
      </c>
      <c r="I1764" s="178">
        <f t="shared" si="55"/>
        <v>2172.8000000000002</v>
      </c>
      <c r="J1764" s="178">
        <f t="shared" si="56"/>
        <v>0</v>
      </c>
    </row>
    <row r="1765" spans="1:10" x14ac:dyDescent="0.25">
      <c r="A1765" s="51">
        <v>42842</v>
      </c>
      <c r="B1765" s="174" t="s">
        <v>13303</v>
      </c>
      <c r="C1765" s="175"/>
      <c r="D1765" s="176" t="s">
        <v>13303</v>
      </c>
      <c r="E1765" s="176">
        <v>108199</v>
      </c>
      <c r="F1765" s="177" t="s">
        <v>109</v>
      </c>
      <c r="G1765" s="178">
        <v>4653</v>
      </c>
      <c r="H1765" s="179">
        <v>42842</v>
      </c>
      <c r="I1765" s="178">
        <f t="shared" si="55"/>
        <v>4653</v>
      </c>
      <c r="J1765" s="178">
        <f t="shared" si="56"/>
        <v>0</v>
      </c>
    </row>
    <row r="1766" spans="1:10" x14ac:dyDescent="0.25">
      <c r="A1766" s="51">
        <v>42842</v>
      </c>
      <c r="B1766" s="174" t="s">
        <v>13304</v>
      </c>
      <c r="C1766" s="175"/>
      <c r="D1766" s="176" t="s">
        <v>13304</v>
      </c>
      <c r="E1766" s="176">
        <v>108200</v>
      </c>
      <c r="F1766" s="177" t="s">
        <v>236</v>
      </c>
      <c r="G1766" s="178">
        <v>30983.7</v>
      </c>
      <c r="H1766" s="180" t="s">
        <v>13305</v>
      </c>
      <c r="I1766" s="181">
        <f>9198.52+21785.18</f>
        <v>30983.7</v>
      </c>
      <c r="J1766" s="181">
        <f t="shared" si="56"/>
        <v>0</v>
      </c>
    </row>
    <row r="1767" spans="1:10" x14ac:dyDescent="0.25">
      <c r="A1767" s="51">
        <v>42842</v>
      </c>
      <c r="B1767" s="174" t="s">
        <v>13306</v>
      </c>
      <c r="C1767" s="175"/>
      <c r="D1767" s="176" t="s">
        <v>13306</v>
      </c>
      <c r="E1767" s="176">
        <v>108201</v>
      </c>
      <c r="F1767" s="177" t="s">
        <v>10</v>
      </c>
      <c r="G1767" s="178">
        <v>122027.4</v>
      </c>
      <c r="H1767" s="179">
        <v>42844</v>
      </c>
      <c r="I1767" s="178">
        <f t="shared" si="55"/>
        <v>122027.4</v>
      </c>
      <c r="J1767" s="178">
        <f t="shared" si="56"/>
        <v>0</v>
      </c>
    </row>
    <row r="1768" spans="1:10" x14ac:dyDescent="0.25">
      <c r="A1768" s="51">
        <v>42842</v>
      </c>
      <c r="B1768" s="174" t="s">
        <v>13307</v>
      </c>
      <c r="C1768" s="175"/>
      <c r="D1768" s="176" t="s">
        <v>13307</v>
      </c>
      <c r="E1768" s="176">
        <v>108202</v>
      </c>
      <c r="F1768" s="177" t="s">
        <v>47</v>
      </c>
      <c r="G1768" s="178">
        <v>4691.5</v>
      </c>
      <c r="H1768" s="179">
        <v>42842</v>
      </c>
      <c r="I1768" s="178">
        <f t="shared" si="55"/>
        <v>4691.5</v>
      </c>
      <c r="J1768" s="178">
        <f t="shared" si="56"/>
        <v>0</v>
      </c>
    </row>
    <row r="1769" spans="1:10" x14ac:dyDescent="0.25">
      <c r="A1769" s="51">
        <v>42842</v>
      </c>
      <c r="B1769" s="174" t="s">
        <v>13308</v>
      </c>
      <c r="C1769" s="175"/>
      <c r="D1769" s="176" t="s">
        <v>13308</v>
      </c>
      <c r="E1769" s="176">
        <v>108203</v>
      </c>
      <c r="F1769" s="177" t="s">
        <v>71</v>
      </c>
      <c r="G1769" s="178">
        <v>3509</v>
      </c>
      <c r="H1769" s="179">
        <v>42842</v>
      </c>
      <c r="I1769" s="178">
        <f t="shared" si="55"/>
        <v>3509</v>
      </c>
      <c r="J1769" s="178">
        <f t="shared" si="56"/>
        <v>0</v>
      </c>
    </row>
    <row r="1770" spans="1:10" x14ac:dyDescent="0.25">
      <c r="A1770" s="51">
        <v>42842</v>
      </c>
      <c r="B1770" s="174" t="s">
        <v>13309</v>
      </c>
      <c r="C1770" s="175"/>
      <c r="D1770" s="176" t="s">
        <v>13309</v>
      </c>
      <c r="E1770" s="176">
        <v>108204</v>
      </c>
      <c r="F1770" s="177" t="s">
        <v>302</v>
      </c>
      <c r="G1770" s="178">
        <v>15191.4</v>
      </c>
      <c r="H1770" s="179">
        <v>42844</v>
      </c>
      <c r="I1770" s="178">
        <f t="shared" si="55"/>
        <v>15191.4</v>
      </c>
      <c r="J1770" s="178">
        <f t="shared" si="56"/>
        <v>0</v>
      </c>
    </row>
    <row r="1771" spans="1:10" x14ac:dyDescent="0.25">
      <c r="A1771" s="51">
        <v>42842</v>
      </c>
      <c r="B1771" s="174" t="s">
        <v>13310</v>
      </c>
      <c r="C1771" s="175"/>
      <c r="D1771" s="176" t="s">
        <v>13310</v>
      </c>
      <c r="E1771" s="176">
        <v>108205</v>
      </c>
      <c r="F1771" s="177" t="s">
        <v>55</v>
      </c>
      <c r="G1771" s="178">
        <v>6336</v>
      </c>
      <c r="H1771" s="179">
        <v>42842</v>
      </c>
      <c r="I1771" s="178">
        <f t="shared" si="55"/>
        <v>6336</v>
      </c>
      <c r="J1771" s="178">
        <f t="shared" si="56"/>
        <v>0</v>
      </c>
    </row>
    <row r="1772" spans="1:10" x14ac:dyDescent="0.25">
      <c r="A1772" s="51">
        <v>42842</v>
      </c>
      <c r="B1772" s="174" t="s">
        <v>13311</v>
      </c>
      <c r="C1772" s="175"/>
      <c r="D1772" s="176" t="s">
        <v>13311</v>
      </c>
      <c r="E1772" s="176">
        <v>108206</v>
      </c>
      <c r="F1772" s="177" t="s">
        <v>28</v>
      </c>
      <c r="G1772" s="178">
        <v>8856</v>
      </c>
      <c r="H1772" s="179">
        <v>42842</v>
      </c>
      <c r="I1772" s="178">
        <f t="shared" si="55"/>
        <v>8856</v>
      </c>
      <c r="J1772" s="178">
        <f t="shared" si="56"/>
        <v>0</v>
      </c>
    </row>
    <row r="1773" spans="1:10" x14ac:dyDescent="0.25">
      <c r="A1773" s="51">
        <v>42842</v>
      </c>
      <c r="B1773" s="174" t="s">
        <v>13312</v>
      </c>
      <c r="C1773" s="175"/>
      <c r="D1773" s="176" t="s">
        <v>13312</v>
      </c>
      <c r="E1773" s="176">
        <v>108207</v>
      </c>
      <c r="F1773" s="177" t="s">
        <v>30</v>
      </c>
      <c r="G1773" s="178">
        <v>5786.9</v>
      </c>
      <c r="H1773" s="179">
        <v>42842</v>
      </c>
      <c r="I1773" s="178">
        <f t="shared" si="55"/>
        <v>5786.9</v>
      </c>
      <c r="J1773" s="178">
        <f t="shared" si="56"/>
        <v>0</v>
      </c>
    </row>
    <row r="1774" spans="1:10" x14ac:dyDescent="0.25">
      <c r="A1774" s="51">
        <v>42842</v>
      </c>
      <c r="B1774" s="174" t="s">
        <v>13313</v>
      </c>
      <c r="C1774" s="175"/>
      <c r="D1774" s="176" t="s">
        <v>13313</v>
      </c>
      <c r="E1774" s="176">
        <v>108208</v>
      </c>
      <c r="F1774" s="177" t="s">
        <v>1786</v>
      </c>
      <c r="G1774" s="178">
        <v>8493.2000000000007</v>
      </c>
      <c r="H1774" s="179">
        <v>42842</v>
      </c>
      <c r="I1774" s="178">
        <f t="shared" si="55"/>
        <v>8493.2000000000007</v>
      </c>
      <c r="J1774" s="178">
        <f t="shared" si="56"/>
        <v>0</v>
      </c>
    </row>
    <row r="1775" spans="1:10" x14ac:dyDescent="0.25">
      <c r="A1775" s="51">
        <v>42842</v>
      </c>
      <c r="B1775" s="174" t="s">
        <v>13314</v>
      </c>
      <c r="C1775" s="175"/>
      <c r="D1775" s="176" t="s">
        <v>13314</v>
      </c>
      <c r="E1775" s="176">
        <v>108209</v>
      </c>
      <c r="F1775" s="177" t="s">
        <v>428</v>
      </c>
      <c r="G1775" s="178">
        <v>2783.8</v>
      </c>
      <c r="H1775" s="179">
        <v>42844</v>
      </c>
      <c r="I1775" s="178">
        <f t="shared" si="55"/>
        <v>2783.8</v>
      </c>
      <c r="J1775" s="178">
        <f t="shared" si="56"/>
        <v>0</v>
      </c>
    </row>
    <row r="1776" spans="1:10" x14ac:dyDescent="0.25">
      <c r="A1776" s="51">
        <v>42842</v>
      </c>
      <c r="B1776" s="174" t="s">
        <v>13315</v>
      </c>
      <c r="C1776" s="175"/>
      <c r="D1776" s="176" t="s">
        <v>13315</v>
      </c>
      <c r="E1776" s="176">
        <v>108210</v>
      </c>
      <c r="F1776" s="177" t="s">
        <v>1062</v>
      </c>
      <c r="G1776" s="178">
        <v>5693.2</v>
      </c>
      <c r="H1776" s="179">
        <v>42842</v>
      </c>
      <c r="I1776" s="178">
        <f t="shared" si="55"/>
        <v>5693.2</v>
      </c>
      <c r="J1776" s="178">
        <f t="shared" si="56"/>
        <v>0</v>
      </c>
    </row>
    <row r="1777" spans="1:10" x14ac:dyDescent="0.25">
      <c r="A1777" s="51">
        <v>42842</v>
      </c>
      <c r="B1777" s="174" t="s">
        <v>13316</v>
      </c>
      <c r="C1777" s="175"/>
      <c r="D1777" s="176" t="s">
        <v>13316</v>
      </c>
      <c r="E1777" s="176">
        <v>108211</v>
      </c>
      <c r="F1777" s="177" t="s">
        <v>509</v>
      </c>
      <c r="G1777" s="178">
        <v>19518.900000000001</v>
      </c>
      <c r="H1777" s="179">
        <v>42843</v>
      </c>
      <c r="I1777" s="178">
        <f t="shared" si="55"/>
        <v>19518.900000000001</v>
      </c>
      <c r="J1777" s="178">
        <f t="shared" si="56"/>
        <v>0</v>
      </c>
    </row>
    <row r="1778" spans="1:10" x14ac:dyDescent="0.25">
      <c r="A1778" s="51">
        <v>42842</v>
      </c>
      <c r="B1778" s="174" t="s">
        <v>13317</v>
      </c>
      <c r="C1778" s="175"/>
      <c r="D1778" s="176" t="s">
        <v>13317</v>
      </c>
      <c r="E1778" s="176">
        <v>108212</v>
      </c>
      <c r="F1778" s="177" t="s">
        <v>26</v>
      </c>
      <c r="G1778" s="178">
        <v>14799.15</v>
      </c>
      <c r="H1778" s="179">
        <v>42842</v>
      </c>
      <c r="I1778" s="178">
        <f t="shared" si="55"/>
        <v>14799.15</v>
      </c>
      <c r="J1778" s="178">
        <f t="shared" si="56"/>
        <v>0</v>
      </c>
    </row>
    <row r="1779" spans="1:10" x14ac:dyDescent="0.25">
      <c r="A1779" s="51">
        <v>42842</v>
      </c>
      <c r="B1779" s="174" t="s">
        <v>13318</v>
      </c>
      <c r="C1779" s="175"/>
      <c r="D1779" s="176" t="s">
        <v>13318</v>
      </c>
      <c r="E1779" s="176">
        <v>108213</v>
      </c>
      <c r="F1779" s="177" t="s">
        <v>10</v>
      </c>
      <c r="G1779" s="178">
        <v>93979.6</v>
      </c>
      <c r="H1779" s="179">
        <v>42844</v>
      </c>
      <c r="I1779" s="178">
        <f t="shared" si="55"/>
        <v>93979.6</v>
      </c>
      <c r="J1779" s="178">
        <f t="shared" si="56"/>
        <v>0</v>
      </c>
    </row>
    <row r="1780" spans="1:10" x14ac:dyDescent="0.25">
      <c r="A1780" s="51">
        <v>42842</v>
      </c>
      <c r="B1780" s="174" t="s">
        <v>13319</v>
      </c>
      <c r="C1780" s="175"/>
      <c r="D1780" s="176" t="s">
        <v>13319</v>
      </c>
      <c r="E1780" s="176">
        <v>108214</v>
      </c>
      <c r="F1780" s="177" t="s">
        <v>240</v>
      </c>
      <c r="G1780" s="178">
        <v>2865.6</v>
      </c>
      <c r="H1780" s="179">
        <v>42842</v>
      </c>
      <c r="I1780" s="178">
        <f t="shared" si="55"/>
        <v>2865.6</v>
      </c>
      <c r="J1780" s="178">
        <f t="shared" si="56"/>
        <v>0</v>
      </c>
    </row>
    <row r="1781" spans="1:10" x14ac:dyDescent="0.25">
      <c r="A1781" s="51">
        <v>42842</v>
      </c>
      <c r="B1781" s="174" t="s">
        <v>13320</v>
      </c>
      <c r="C1781" s="175"/>
      <c r="D1781" s="176" t="s">
        <v>13320</v>
      </c>
      <c r="E1781" s="176">
        <v>108215</v>
      </c>
      <c r="F1781" s="177" t="s">
        <v>609</v>
      </c>
      <c r="G1781" s="178">
        <v>42509.8</v>
      </c>
      <c r="H1781" s="179">
        <v>42843</v>
      </c>
      <c r="I1781" s="178">
        <f t="shared" si="55"/>
        <v>42509.8</v>
      </c>
      <c r="J1781" s="178">
        <f t="shared" si="56"/>
        <v>0</v>
      </c>
    </row>
    <row r="1782" spans="1:10" x14ac:dyDescent="0.25">
      <c r="A1782" s="51">
        <v>42842</v>
      </c>
      <c r="B1782" s="174" t="s">
        <v>13321</v>
      </c>
      <c r="C1782" s="175"/>
      <c r="D1782" s="176" t="s">
        <v>13321</v>
      </c>
      <c r="E1782" s="176">
        <v>108216</v>
      </c>
      <c r="F1782" s="177" t="s">
        <v>30</v>
      </c>
      <c r="G1782" s="178">
        <v>882.5</v>
      </c>
      <c r="H1782" s="179"/>
      <c r="I1782" s="178">
        <f t="shared" si="55"/>
        <v>882.5</v>
      </c>
      <c r="J1782" s="178">
        <f t="shared" si="56"/>
        <v>0</v>
      </c>
    </row>
    <row r="1783" spans="1:10" x14ac:dyDescent="0.25">
      <c r="A1783" s="51">
        <v>42842</v>
      </c>
      <c r="B1783" s="174" t="s">
        <v>13322</v>
      </c>
      <c r="C1783" s="175"/>
      <c r="D1783" s="176" t="s">
        <v>13322</v>
      </c>
      <c r="E1783" s="176">
        <v>108217</v>
      </c>
      <c r="F1783" s="177" t="s">
        <v>30</v>
      </c>
      <c r="G1783" s="178">
        <v>501.6</v>
      </c>
      <c r="H1783" s="179">
        <v>42842</v>
      </c>
      <c r="I1783" s="178">
        <f t="shared" si="55"/>
        <v>501.6</v>
      </c>
      <c r="J1783" s="178">
        <f t="shared" si="56"/>
        <v>0</v>
      </c>
    </row>
    <row r="1784" spans="1:10" x14ac:dyDescent="0.25">
      <c r="A1784" s="51">
        <v>42842</v>
      </c>
      <c r="B1784" s="174" t="s">
        <v>13323</v>
      </c>
      <c r="C1784" s="175"/>
      <c r="D1784" s="176" t="s">
        <v>13323</v>
      </c>
      <c r="E1784" s="176">
        <v>108218</v>
      </c>
      <c r="F1784" s="177" t="s">
        <v>186</v>
      </c>
      <c r="G1784" s="178">
        <v>2717.4</v>
      </c>
      <c r="H1784" s="179">
        <v>42846</v>
      </c>
      <c r="I1784" s="178">
        <f t="shared" si="55"/>
        <v>2717.4</v>
      </c>
      <c r="J1784" s="178">
        <f t="shared" si="56"/>
        <v>0</v>
      </c>
    </row>
    <row r="1785" spans="1:10" x14ac:dyDescent="0.25">
      <c r="A1785" s="51">
        <v>42842</v>
      </c>
      <c r="B1785" s="174" t="s">
        <v>13324</v>
      </c>
      <c r="C1785" s="175"/>
      <c r="D1785" s="176" t="s">
        <v>13324</v>
      </c>
      <c r="E1785" s="176">
        <v>108219</v>
      </c>
      <c r="F1785" s="177" t="s">
        <v>184</v>
      </c>
      <c r="G1785" s="178">
        <v>3232.2</v>
      </c>
      <c r="H1785" s="179">
        <v>42846</v>
      </c>
      <c r="I1785" s="178">
        <f t="shared" si="55"/>
        <v>3232.2</v>
      </c>
      <c r="J1785" s="178">
        <f t="shared" si="56"/>
        <v>0</v>
      </c>
    </row>
    <row r="1786" spans="1:10" x14ac:dyDescent="0.25">
      <c r="A1786" s="51">
        <v>42842</v>
      </c>
      <c r="B1786" s="174" t="s">
        <v>13325</v>
      </c>
      <c r="C1786" s="175"/>
      <c r="D1786" s="176" t="s">
        <v>13325</v>
      </c>
      <c r="E1786" s="176">
        <v>108220</v>
      </c>
      <c r="F1786" s="177" t="s">
        <v>186</v>
      </c>
      <c r="G1786" s="178">
        <v>474.7</v>
      </c>
      <c r="H1786" s="179">
        <v>42846</v>
      </c>
      <c r="I1786" s="178">
        <f t="shared" si="55"/>
        <v>474.7</v>
      </c>
      <c r="J1786" s="178">
        <f t="shared" si="56"/>
        <v>0</v>
      </c>
    </row>
    <row r="1787" spans="1:10" x14ac:dyDescent="0.25">
      <c r="A1787" s="51">
        <v>42842</v>
      </c>
      <c r="B1787" s="174" t="s">
        <v>13326</v>
      </c>
      <c r="C1787" s="175"/>
      <c r="D1787" s="176" t="s">
        <v>13326</v>
      </c>
      <c r="E1787" s="176">
        <v>108221</v>
      </c>
      <c r="F1787" s="177" t="s">
        <v>335</v>
      </c>
      <c r="G1787" s="178">
        <v>1191.0999999999999</v>
      </c>
      <c r="H1787" s="179">
        <v>42848</v>
      </c>
      <c r="I1787" s="178">
        <f t="shared" si="55"/>
        <v>1191.0999999999999</v>
      </c>
      <c r="J1787" s="178">
        <f t="shared" si="56"/>
        <v>0</v>
      </c>
    </row>
    <row r="1788" spans="1:10" x14ac:dyDescent="0.25">
      <c r="A1788" s="51">
        <v>42842</v>
      </c>
      <c r="B1788" s="174" t="s">
        <v>13327</v>
      </c>
      <c r="C1788" s="175"/>
      <c r="D1788" s="176" t="s">
        <v>13327</v>
      </c>
      <c r="E1788" s="176">
        <v>108222</v>
      </c>
      <c r="F1788" s="177" t="s">
        <v>6055</v>
      </c>
      <c r="G1788" s="178">
        <v>26031.3</v>
      </c>
      <c r="H1788" s="179">
        <v>42842</v>
      </c>
      <c r="I1788" s="178">
        <f t="shared" si="55"/>
        <v>26031.3</v>
      </c>
      <c r="J1788" s="178">
        <f t="shared" si="56"/>
        <v>0</v>
      </c>
    </row>
    <row r="1789" spans="1:10" x14ac:dyDescent="0.25">
      <c r="A1789" s="51">
        <v>42842</v>
      </c>
      <c r="B1789" s="174" t="s">
        <v>13328</v>
      </c>
      <c r="C1789" s="175"/>
      <c r="D1789" s="176" t="s">
        <v>13328</v>
      </c>
      <c r="E1789" s="176">
        <v>108223</v>
      </c>
      <c r="F1789" s="177" t="s">
        <v>35</v>
      </c>
      <c r="G1789" s="178">
        <v>8576.7000000000007</v>
      </c>
      <c r="H1789" s="179">
        <v>42844</v>
      </c>
      <c r="I1789" s="178">
        <f t="shared" si="55"/>
        <v>8576.7000000000007</v>
      </c>
      <c r="J1789" s="178">
        <f t="shared" si="56"/>
        <v>0</v>
      </c>
    </row>
    <row r="1790" spans="1:10" x14ac:dyDescent="0.25">
      <c r="A1790" s="51">
        <v>42842</v>
      </c>
      <c r="B1790" s="174" t="s">
        <v>13329</v>
      </c>
      <c r="C1790" s="175"/>
      <c r="D1790" s="176" t="s">
        <v>13329</v>
      </c>
      <c r="E1790" s="176">
        <v>108224</v>
      </c>
      <c r="F1790" s="177" t="s">
        <v>30</v>
      </c>
      <c r="G1790" s="178">
        <v>457.6</v>
      </c>
      <c r="H1790" s="179">
        <v>42842</v>
      </c>
      <c r="I1790" s="178">
        <f t="shared" si="55"/>
        <v>457.6</v>
      </c>
      <c r="J1790" s="178">
        <f t="shared" si="56"/>
        <v>0</v>
      </c>
    </row>
    <row r="1791" spans="1:10" x14ac:dyDescent="0.25">
      <c r="A1791" s="51">
        <v>42842</v>
      </c>
      <c r="B1791" s="174" t="s">
        <v>13330</v>
      </c>
      <c r="C1791" s="175"/>
      <c r="D1791" s="176" t="s">
        <v>13330</v>
      </c>
      <c r="E1791" s="176">
        <v>108225</v>
      </c>
      <c r="F1791" s="177" t="s">
        <v>32</v>
      </c>
      <c r="G1791" s="178">
        <v>6289.35</v>
      </c>
      <c r="H1791" s="179">
        <v>42849</v>
      </c>
      <c r="I1791" s="178">
        <f t="shared" si="55"/>
        <v>6289.35</v>
      </c>
      <c r="J1791" s="178">
        <f t="shared" si="56"/>
        <v>0</v>
      </c>
    </row>
    <row r="1792" spans="1:10" x14ac:dyDescent="0.25">
      <c r="A1792" s="51">
        <v>42842</v>
      </c>
      <c r="B1792" s="174" t="s">
        <v>13331</v>
      </c>
      <c r="C1792" s="175"/>
      <c r="D1792" s="176" t="s">
        <v>13331</v>
      </c>
      <c r="E1792" s="176">
        <v>108226</v>
      </c>
      <c r="F1792" s="177" t="s">
        <v>208</v>
      </c>
      <c r="G1792" s="178">
        <v>6079.2</v>
      </c>
      <c r="H1792" s="179">
        <v>42842</v>
      </c>
      <c r="I1792" s="178">
        <f t="shared" si="55"/>
        <v>6079.2</v>
      </c>
      <c r="J1792" s="178">
        <f t="shared" si="56"/>
        <v>0</v>
      </c>
    </row>
    <row r="1793" spans="1:10" x14ac:dyDescent="0.25">
      <c r="A1793" s="51">
        <v>42842</v>
      </c>
      <c r="B1793" s="174" t="s">
        <v>13332</v>
      </c>
      <c r="C1793" s="175"/>
      <c r="D1793" s="176" t="s">
        <v>13332</v>
      </c>
      <c r="E1793" s="176">
        <v>108227</v>
      </c>
      <c r="F1793" s="177" t="s">
        <v>40</v>
      </c>
      <c r="G1793" s="178">
        <v>3588</v>
      </c>
      <c r="H1793" s="179">
        <v>42847</v>
      </c>
      <c r="I1793" s="178">
        <f t="shared" si="55"/>
        <v>3588</v>
      </c>
      <c r="J1793" s="178">
        <f t="shared" si="56"/>
        <v>0</v>
      </c>
    </row>
    <row r="1794" spans="1:10" x14ac:dyDescent="0.25">
      <c r="A1794" s="51">
        <v>42842</v>
      </c>
      <c r="B1794" s="174" t="s">
        <v>13333</v>
      </c>
      <c r="C1794" s="175"/>
      <c r="D1794" s="176" t="s">
        <v>13333</v>
      </c>
      <c r="E1794" s="176">
        <v>108228</v>
      </c>
      <c r="F1794" s="177" t="s">
        <v>49</v>
      </c>
      <c r="G1794" s="178">
        <v>12267.7</v>
      </c>
      <c r="H1794" s="179">
        <v>42844</v>
      </c>
      <c r="I1794" s="178">
        <f t="shared" si="55"/>
        <v>12267.7</v>
      </c>
      <c r="J1794" s="178">
        <f t="shared" si="56"/>
        <v>0</v>
      </c>
    </row>
    <row r="1795" spans="1:10" x14ac:dyDescent="0.25">
      <c r="A1795" s="51">
        <v>42842</v>
      </c>
      <c r="B1795" s="174" t="s">
        <v>13334</v>
      </c>
      <c r="C1795" s="175"/>
      <c r="D1795" s="176" t="s">
        <v>13334</v>
      </c>
      <c r="E1795" s="176">
        <v>108229</v>
      </c>
      <c r="F1795" s="177" t="s">
        <v>1090</v>
      </c>
      <c r="G1795" s="178">
        <v>7744.1</v>
      </c>
      <c r="H1795" s="179"/>
      <c r="I1795" s="178">
        <f t="shared" si="55"/>
        <v>7744.1</v>
      </c>
      <c r="J1795" s="178">
        <f t="shared" si="56"/>
        <v>0</v>
      </c>
    </row>
    <row r="1796" spans="1:10" x14ac:dyDescent="0.25">
      <c r="A1796" s="51">
        <v>42842</v>
      </c>
      <c r="B1796" s="174" t="s">
        <v>13335</v>
      </c>
      <c r="C1796" s="175"/>
      <c r="D1796" s="176" t="s">
        <v>13335</v>
      </c>
      <c r="E1796" s="176">
        <v>108230</v>
      </c>
      <c r="F1796" s="177" t="s">
        <v>253</v>
      </c>
      <c r="G1796" s="178">
        <v>6182.7</v>
      </c>
      <c r="H1796" s="179">
        <v>42846</v>
      </c>
      <c r="I1796" s="178">
        <f t="shared" ref="I1796:I1859" si="57">G1796</f>
        <v>6182.7</v>
      </c>
      <c r="J1796" s="178">
        <f t="shared" ref="J1796:J1859" si="58">G1796-I1796</f>
        <v>0</v>
      </c>
    </row>
    <row r="1797" spans="1:10" x14ac:dyDescent="0.25">
      <c r="A1797" s="51">
        <v>42842</v>
      </c>
      <c r="B1797" s="174" t="s">
        <v>13336</v>
      </c>
      <c r="C1797" s="175"/>
      <c r="D1797" s="176" t="s">
        <v>13336</v>
      </c>
      <c r="E1797" s="176">
        <v>108231</v>
      </c>
      <c r="F1797" s="177" t="s">
        <v>3425</v>
      </c>
      <c r="G1797" s="178">
        <v>988</v>
      </c>
      <c r="H1797" s="179">
        <v>42842</v>
      </c>
      <c r="I1797" s="178">
        <f t="shared" si="57"/>
        <v>988</v>
      </c>
      <c r="J1797" s="178">
        <f t="shared" si="58"/>
        <v>0</v>
      </c>
    </row>
    <row r="1798" spans="1:10" x14ac:dyDescent="0.25">
      <c r="A1798" s="51">
        <v>42842</v>
      </c>
      <c r="B1798" s="174" t="s">
        <v>13337</v>
      </c>
      <c r="C1798" s="175"/>
      <c r="D1798" s="176" t="s">
        <v>13337</v>
      </c>
      <c r="E1798" s="176">
        <v>108232</v>
      </c>
      <c r="F1798" s="177" t="s">
        <v>51</v>
      </c>
      <c r="G1798" s="178">
        <v>2994.9</v>
      </c>
      <c r="H1798" s="179">
        <v>42844</v>
      </c>
      <c r="I1798" s="178">
        <f t="shared" si="57"/>
        <v>2994.9</v>
      </c>
      <c r="J1798" s="178">
        <f t="shared" si="58"/>
        <v>0</v>
      </c>
    </row>
    <row r="1799" spans="1:10" x14ac:dyDescent="0.25">
      <c r="A1799" s="51">
        <v>42842</v>
      </c>
      <c r="B1799" s="174" t="s">
        <v>13338</v>
      </c>
      <c r="C1799" s="175"/>
      <c r="D1799" s="176" t="s">
        <v>13338</v>
      </c>
      <c r="E1799" s="176">
        <v>108233</v>
      </c>
      <c r="F1799" s="177" t="s">
        <v>250</v>
      </c>
      <c r="G1799" s="178">
        <v>10349.5</v>
      </c>
      <c r="H1799" s="179">
        <v>42843</v>
      </c>
      <c r="I1799" s="178">
        <f t="shared" si="57"/>
        <v>10349.5</v>
      </c>
      <c r="J1799" s="178">
        <f t="shared" si="58"/>
        <v>0</v>
      </c>
    </row>
    <row r="1800" spans="1:10" x14ac:dyDescent="0.25">
      <c r="A1800" s="51">
        <v>42842</v>
      </c>
      <c r="B1800" s="174" t="s">
        <v>13339</v>
      </c>
      <c r="C1800" s="175"/>
      <c r="D1800" s="176" t="s">
        <v>13339</v>
      </c>
      <c r="E1800" s="176">
        <v>108234</v>
      </c>
      <c r="F1800" s="177" t="s">
        <v>43</v>
      </c>
      <c r="G1800" s="178">
        <v>4739.5</v>
      </c>
      <c r="H1800" s="179">
        <v>42843</v>
      </c>
      <c r="I1800" s="178">
        <f t="shared" si="57"/>
        <v>4739.5</v>
      </c>
      <c r="J1800" s="178">
        <f t="shared" si="58"/>
        <v>0</v>
      </c>
    </row>
    <row r="1801" spans="1:10" x14ac:dyDescent="0.25">
      <c r="A1801" s="51">
        <v>42842</v>
      </c>
      <c r="B1801" s="174" t="s">
        <v>13340</v>
      </c>
      <c r="C1801" s="175"/>
      <c r="D1801" s="176" t="s">
        <v>13340</v>
      </c>
      <c r="E1801" s="176">
        <v>108235</v>
      </c>
      <c r="F1801" s="177" t="s">
        <v>38</v>
      </c>
      <c r="G1801" s="178">
        <v>2863.5</v>
      </c>
      <c r="H1801" s="180" t="s">
        <v>13116</v>
      </c>
      <c r="I1801" s="181">
        <f>2000+863.5</f>
        <v>2863.5</v>
      </c>
      <c r="J1801" s="181">
        <f t="shared" si="58"/>
        <v>0</v>
      </c>
    </row>
    <row r="1802" spans="1:10" x14ac:dyDescent="0.25">
      <c r="A1802" s="51">
        <v>42842</v>
      </c>
      <c r="B1802" s="174" t="s">
        <v>13341</v>
      </c>
      <c r="C1802" s="175"/>
      <c r="D1802" s="176" t="s">
        <v>13341</v>
      </c>
      <c r="E1802" s="176">
        <v>108236</v>
      </c>
      <c r="F1802" s="177" t="s">
        <v>79</v>
      </c>
      <c r="G1802" s="178">
        <v>2248.4</v>
      </c>
      <c r="H1802" s="179">
        <v>42842</v>
      </c>
      <c r="I1802" s="178">
        <f t="shared" si="57"/>
        <v>2248.4</v>
      </c>
      <c r="J1802" s="178">
        <f t="shared" si="58"/>
        <v>0</v>
      </c>
    </row>
    <row r="1803" spans="1:10" x14ac:dyDescent="0.25">
      <c r="A1803" s="51">
        <v>42842</v>
      </c>
      <c r="B1803" s="174" t="s">
        <v>13342</v>
      </c>
      <c r="C1803" s="175"/>
      <c r="D1803" s="176" t="s">
        <v>13342</v>
      </c>
      <c r="E1803" s="176">
        <v>108237</v>
      </c>
      <c r="F1803" s="177" t="s">
        <v>858</v>
      </c>
      <c r="G1803" s="178">
        <v>2766.4</v>
      </c>
      <c r="H1803" s="179">
        <v>42842</v>
      </c>
      <c r="I1803" s="178">
        <f t="shared" si="57"/>
        <v>2766.4</v>
      </c>
      <c r="J1803" s="178">
        <f t="shared" si="58"/>
        <v>0</v>
      </c>
    </row>
    <row r="1804" spans="1:10" x14ac:dyDescent="0.25">
      <c r="A1804" s="51">
        <v>42842</v>
      </c>
      <c r="B1804" s="174" t="s">
        <v>13343</v>
      </c>
      <c r="C1804" s="175"/>
      <c r="D1804" s="176" t="s">
        <v>13343</v>
      </c>
      <c r="E1804" s="176">
        <v>108238</v>
      </c>
      <c r="F1804" s="177" t="s">
        <v>1116</v>
      </c>
      <c r="G1804" s="178">
        <v>3454.2</v>
      </c>
      <c r="H1804" s="179">
        <v>42843</v>
      </c>
      <c r="I1804" s="178">
        <f t="shared" si="57"/>
        <v>3454.2</v>
      </c>
      <c r="J1804" s="178">
        <f t="shared" si="58"/>
        <v>0</v>
      </c>
    </row>
    <row r="1805" spans="1:10" x14ac:dyDescent="0.25">
      <c r="A1805" s="51">
        <v>42842</v>
      </c>
      <c r="B1805" s="174" t="s">
        <v>13344</v>
      </c>
      <c r="C1805" s="175"/>
      <c r="D1805" s="176" t="s">
        <v>13344</v>
      </c>
      <c r="E1805" s="176">
        <v>108239</v>
      </c>
      <c r="F1805" s="177" t="s">
        <v>30</v>
      </c>
      <c r="G1805" s="178">
        <v>8228.1</v>
      </c>
      <c r="H1805" s="179">
        <v>42842</v>
      </c>
      <c r="I1805" s="178">
        <f t="shared" si="57"/>
        <v>8228.1</v>
      </c>
      <c r="J1805" s="178">
        <f t="shared" si="58"/>
        <v>0</v>
      </c>
    </row>
    <row r="1806" spans="1:10" x14ac:dyDescent="0.25">
      <c r="A1806" s="51">
        <v>42842</v>
      </c>
      <c r="B1806" s="174" t="s">
        <v>13345</v>
      </c>
      <c r="C1806" s="175"/>
      <c r="D1806" s="176" t="s">
        <v>13345</v>
      </c>
      <c r="E1806" s="176">
        <v>108240</v>
      </c>
      <c r="F1806" s="177" t="s">
        <v>329</v>
      </c>
      <c r="G1806" s="178">
        <v>662.1</v>
      </c>
      <c r="H1806" s="179">
        <v>42842</v>
      </c>
      <c r="I1806" s="178">
        <f t="shared" si="57"/>
        <v>662.1</v>
      </c>
      <c r="J1806" s="178">
        <f t="shared" si="58"/>
        <v>0</v>
      </c>
    </row>
    <row r="1807" spans="1:10" x14ac:dyDescent="0.25">
      <c r="A1807" s="51">
        <v>42842</v>
      </c>
      <c r="B1807" s="174" t="s">
        <v>13346</v>
      </c>
      <c r="C1807" s="175"/>
      <c r="D1807" s="176" t="s">
        <v>13346</v>
      </c>
      <c r="E1807" s="176">
        <v>108241</v>
      </c>
      <c r="F1807" s="177" t="s">
        <v>168</v>
      </c>
      <c r="G1807" s="178">
        <v>4936.2</v>
      </c>
      <c r="H1807" s="179">
        <v>42850</v>
      </c>
      <c r="I1807" s="178">
        <f t="shared" si="57"/>
        <v>4936.2</v>
      </c>
      <c r="J1807" s="178">
        <f t="shared" si="58"/>
        <v>0</v>
      </c>
    </row>
    <row r="1808" spans="1:10" x14ac:dyDescent="0.25">
      <c r="A1808" s="51">
        <v>42842</v>
      </c>
      <c r="B1808" s="174" t="s">
        <v>13347</v>
      </c>
      <c r="C1808" s="175"/>
      <c r="D1808" s="176" t="s">
        <v>13347</v>
      </c>
      <c r="E1808" s="176">
        <v>108242</v>
      </c>
      <c r="F1808" s="177" t="s">
        <v>30</v>
      </c>
      <c r="G1808" s="178">
        <v>4570.3999999999996</v>
      </c>
      <c r="H1808" s="179">
        <v>42842</v>
      </c>
      <c r="I1808" s="178">
        <f t="shared" si="57"/>
        <v>4570.3999999999996</v>
      </c>
      <c r="J1808" s="178">
        <f t="shared" si="58"/>
        <v>0</v>
      </c>
    </row>
    <row r="1809" spans="1:10" x14ac:dyDescent="0.25">
      <c r="A1809" s="51">
        <v>42842</v>
      </c>
      <c r="B1809" s="174" t="s">
        <v>13348</v>
      </c>
      <c r="C1809" s="175"/>
      <c r="D1809" s="176" t="s">
        <v>13348</v>
      </c>
      <c r="E1809" s="176">
        <v>108243</v>
      </c>
      <c r="F1809" s="177" t="s">
        <v>143</v>
      </c>
      <c r="G1809" s="178">
        <v>3059.2</v>
      </c>
      <c r="H1809" s="179">
        <v>42842</v>
      </c>
      <c r="I1809" s="178">
        <f t="shared" si="57"/>
        <v>3059.2</v>
      </c>
      <c r="J1809" s="178">
        <f t="shared" si="58"/>
        <v>0</v>
      </c>
    </row>
    <row r="1810" spans="1:10" x14ac:dyDescent="0.25">
      <c r="A1810" s="51">
        <v>42842</v>
      </c>
      <c r="B1810" s="174" t="s">
        <v>13349</v>
      </c>
      <c r="C1810" s="175"/>
      <c r="D1810" s="176" t="s">
        <v>13349</v>
      </c>
      <c r="E1810" s="176">
        <v>108244</v>
      </c>
      <c r="F1810" s="177" t="s">
        <v>341</v>
      </c>
      <c r="G1810" s="178">
        <v>8988</v>
      </c>
      <c r="H1810" s="179">
        <v>42842</v>
      </c>
      <c r="I1810" s="178">
        <f t="shared" si="57"/>
        <v>8988</v>
      </c>
      <c r="J1810" s="178">
        <f t="shared" si="58"/>
        <v>0</v>
      </c>
    </row>
    <row r="1811" spans="1:10" x14ac:dyDescent="0.25">
      <c r="A1811" s="51">
        <v>42842</v>
      </c>
      <c r="B1811" s="174" t="s">
        <v>13350</v>
      </c>
      <c r="C1811" s="175"/>
      <c r="D1811" s="176" t="s">
        <v>13350</v>
      </c>
      <c r="E1811" s="176">
        <v>108245</v>
      </c>
      <c r="F1811" s="177" t="s">
        <v>131</v>
      </c>
      <c r="G1811" s="178">
        <v>1745.3</v>
      </c>
      <c r="H1811" s="179">
        <v>42843</v>
      </c>
      <c r="I1811" s="178">
        <f t="shared" si="57"/>
        <v>1745.3</v>
      </c>
      <c r="J1811" s="178">
        <f t="shared" si="58"/>
        <v>0</v>
      </c>
    </row>
    <row r="1812" spans="1:10" x14ac:dyDescent="0.25">
      <c r="A1812" s="51">
        <v>42842</v>
      </c>
      <c r="B1812" s="174" t="s">
        <v>13351</v>
      </c>
      <c r="C1812" s="175"/>
      <c r="D1812" s="176" t="s">
        <v>13351</v>
      </c>
      <c r="E1812" s="176">
        <v>108246</v>
      </c>
      <c r="F1812" s="177" t="s">
        <v>21</v>
      </c>
      <c r="G1812" s="178">
        <v>41377.199999999997</v>
      </c>
      <c r="H1812" s="186">
        <v>42858</v>
      </c>
      <c r="I1812" s="187">
        <f t="shared" si="57"/>
        <v>41377.199999999997</v>
      </c>
      <c r="J1812" s="178">
        <f t="shared" si="58"/>
        <v>0</v>
      </c>
    </row>
    <row r="1813" spans="1:10" x14ac:dyDescent="0.25">
      <c r="A1813" s="51">
        <v>42842</v>
      </c>
      <c r="B1813" s="174" t="s">
        <v>13352</v>
      </c>
      <c r="C1813" s="175"/>
      <c r="D1813" s="176" t="s">
        <v>13352</v>
      </c>
      <c r="E1813" s="176">
        <v>108247</v>
      </c>
      <c r="F1813" s="177" t="s">
        <v>785</v>
      </c>
      <c r="G1813" s="178">
        <v>18517.8</v>
      </c>
      <c r="H1813" s="179">
        <v>42843</v>
      </c>
      <c r="I1813" s="178">
        <f t="shared" si="57"/>
        <v>18517.8</v>
      </c>
      <c r="J1813" s="178">
        <f t="shared" si="58"/>
        <v>0</v>
      </c>
    </row>
    <row r="1814" spans="1:10" x14ac:dyDescent="0.25">
      <c r="A1814" s="51">
        <v>42842</v>
      </c>
      <c r="B1814" s="174" t="s">
        <v>13353</v>
      </c>
      <c r="C1814" s="175"/>
      <c r="D1814" s="176" t="s">
        <v>13353</v>
      </c>
      <c r="E1814" s="176">
        <v>108248</v>
      </c>
      <c r="F1814" s="177" t="s">
        <v>30</v>
      </c>
      <c r="G1814" s="178">
        <v>1533.5</v>
      </c>
      <c r="H1814" s="179">
        <v>42842</v>
      </c>
      <c r="I1814" s="178">
        <f t="shared" si="57"/>
        <v>1533.5</v>
      </c>
      <c r="J1814" s="178">
        <f t="shared" si="58"/>
        <v>0</v>
      </c>
    </row>
    <row r="1815" spans="1:10" x14ac:dyDescent="0.25">
      <c r="A1815" s="51">
        <v>42842</v>
      </c>
      <c r="B1815" s="174" t="s">
        <v>13354</v>
      </c>
      <c r="C1815" s="175"/>
      <c r="D1815" s="176" t="s">
        <v>13354</v>
      </c>
      <c r="E1815" s="176">
        <v>108249</v>
      </c>
      <c r="F1815" s="177" t="s">
        <v>122</v>
      </c>
      <c r="G1815" s="178">
        <v>5586</v>
      </c>
      <c r="H1815" s="179">
        <v>42846</v>
      </c>
      <c r="I1815" s="178">
        <f t="shared" si="57"/>
        <v>5586</v>
      </c>
      <c r="J1815" s="178">
        <f t="shared" si="58"/>
        <v>0</v>
      </c>
    </row>
    <row r="1816" spans="1:10" x14ac:dyDescent="0.25">
      <c r="A1816" s="51">
        <v>42842</v>
      </c>
      <c r="B1816" s="174" t="s">
        <v>13355</v>
      </c>
      <c r="C1816" s="175"/>
      <c r="D1816" s="176" t="s">
        <v>13355</v>
      </c>
      <c r="E1816" s="176">
        <v>108250</v>
      </c>
      <c r="F1816" s="177" t="s">
        <v>125</v>
      </c>
      <c r="G1816" s="178">
        <v>5276.8</v>
      </c>
      <c r="H1816" s="179">
        <v>42844</v>
      </c>
      <c r="I1816" s="178">
        <f t="shared" si="57"/>
        <v>5276.8</v>
      </c>
      <c r="J1816" s="178">
        <f t="shared" si="58"/>
        <v>0</v>
      </c>
    </row>
    <row r="1817" spans="1:10" x14ac:dyDescent="0.25">
      <c r="A1817" s="51">
        <v>42842</v>
      </c>
      <c r="B1817" s="174" t="s">
        <v>13356</v>
      </c>
      <c r="C1817" s="175"/>
      <c r="D1817" s="176" t="s">
        <v>13356</v>
      </c>
      <c r="E1817" s="176">
        <v>108251</v>
      </c>
      <c r="F1817" s="177" t="s">
        <v>125</v>
      </c>
      <c r="G1817" s="178">
        <v>1815.6</v>
      </c>
      <c r="H1817" s="179">
        <v>42844</v>
      </c>
      <c r="I1817" s="178">
        <f t="shared" si="57"/>
        <v>1815.6</v>
      </c>
      <c r="J1817" s="178">
        <f t="shared" si="58"/>
        <v>0</v>
      </c>
    </row>
    <row r="1818" spans="1:10" x14ac:dyDescent="0.25">
      <c r="A1818" s="51">
        <v>42842</v>
      </c>
      <c r="B1818" s="174" t="s">
        <v>13357</v>
      </c>
      <c r="C1818" s="175"/>
      <c r="D1818" s="176" t="s">
        <v>13357</v>
      </c>
      <c r="E1818" s="176">
        <v>108252</v>
      </c>
      <c r="F1818" s="177" t="s">
        <v>422</v>
      </c>
      <c r="G1818" s="178">
        <v>657.2</v>
      </c>
      <c r="H1818" s="179">
        <v>42842</v>
      </c>
      <c r="I1818" s="178">
        <f t="shared" si="57"/>
        <v>657.2</v>
      </c>
      <c r="J1818" s="178">
        <f t="shared" si="58"/>
        <v>0</v>
      </c>
    </row>
    <row r="1819" spans="1:10" x14ac:dyDescent="0.25">
      <c r="A1819" s="51">
        <v>42842</v>
      </c>
      <c r="B1819" s="174" t="s">
        <v>13358</v>
      </c>
      <c r="C1819" s="175"/>
      <c r="D1819" s="176" t="s">
        <v>13358</v>
      </c>
      <c r="E1819" s="176">
        <v>108253</v>
      </c>
      <c r="F1819" s="177" t="s">
        <v>30</v>
      </c>
      <c r="G1819" s="178">
        <v>1446</v>
      </c>
      <c r="H1819" s="179">
        <v>42842</v>
      </c>
      <c r="I1819" s="178">
        <f t="shared" si="57"/>
        <v>1446</v>
      </c>
      <c r="J1819" s="178">
        <f t="shared" si="58"/>
        <v>0</v>
      </c>
    </row>
    <row r="1820" spans="1:10" x14ac:dyDescent="0.25">
      <c r="A1820" s="51">
        <v>42842</v>
      </c>
      <c r="B1820" s="174" t="s">
        <v>13359</v>
      </c>
      <c r="C1820" s="175"/>
      <c r="D1820" s="176" t="s">
        <v>13359</v>
      </c>
      <c r="E1820" s="176">
        <v>108254</v>
      </c>
      <c r="F1820" s="177" t="s">
        <v>2510</v>
      </c>
      <c r="G1820" s="178">
        <v>972.8</v>
      </c>
      <c r="H1820" s="179">
        <v>42843</v>
      </c>
      <c r="I1820" s="178">
        <f t="shared" si="57"/>
        <v>972.8</v>
      </c>
      <c r="J1820" s="178">
        <f t="shared" si="58"/>
        <v>0</v>
      </c>
    </row>
    <row r="1821" spans="1:10" x14ac:dyDescent="0.25">
      <c r="A1821" s="51">
        <v>42842</v>
      </c>
      <c r="B1821" s="174" t="s">
        <v>13360</v>
      </c>
      <c r="C1821" s="175"/>
      <c r="D1821" s="176" t="s">
        <v>13360</v>
      </c>
      <c r="E1821" s="176">
        <v>108255</v>
      </c>
      <c r="F1821" s="177" t="s">
        <v>133</v>
      </c>
      <c r="G1821" s="178">
        <v>802.4</v>
      </c>
      <c r="H1821" s="179">
        <v>42842</v>
      </c>
      <c r="I1821" s="178">
        <f t="shared" si="57"/>
        <v>802.4</v>
      </c>
      <c r="J1821" s="178">
        <f t="shared" si="58"/>
        <v>0</v>
      </c>
    </row>
    <row r="1822" spans="1:10" x14ac:dyDescent="0.25">
      <c r="A1822" s="51">
        <v>42842</v>
      </c>
      <c r="B1822" s="174" t="s">
        <v>13361</v>
      </c>
      <c r="C1822" s="175"/>
      <c r="D1822" s="176" t="s">
        <v>13361</v>
      </c>
      <c r="E1822" s="176">
        <v>108256</v>
      </c>
      <c r="F1822" s="177" t="s">
        <v>120</v>
      </c>
      <c r="G1822" s="178">
        <v>3234</v>
      </c>
      <c r="H1822" s="179">
        <v>42843</v>
      </c>
      <c r="I1822" s="178">
        <f t="shared" si="57"/>
        <v>3234</v>
      </c>
      <c r="J1822" s="178">
        <f t="shared" si="58"/>
        <v>0</v>
      </c>
    </row>
    <row r="1823" spans="1:10" x14ac:dyDescent="0.25">
      <c r="A1823" s="51">
        <v>42842</v>
      </c>
      <c r="B1823" s="174" t="s">
        <v>13362</v>
      </c>
      <c r="C1823" s="175"/>
      <c r="D1823" s="176" t="s">
        <v>13362</v>
      </c>
      <c r="E1823" s="176">
        <v>108257</v>
      </c>
      <c r="F1823" s="177" t="s">
        <v>305</v>
      </c>
      <c r="G1823" s="178">
        <v>3528.9</v>
      </c>
      <c r="H1823" s="186">
        <v>42856</v>
      </c>
      <c r="I1823" s="187">
        <f t="shared" si="57"/>
        <v>3528.9</v>
      </c>
      <c r="J1823" s="178">
        <f t="shared" si="58"/>
        <v>0</v>
      </c>
    </row>
    <row r="1824" spans="1:10" x14ac:dyDescent="0.25">
      <c r="A1824" s="51">
        <v>42842</v>
      </c>
      <c r="B1824" s="174" t="s">
        <v>13363</v>
      </c>
      <c r="C1824" s="175"/>
      <c r="D1824" s="176" t="s">
        <v>13363</v>
      </c>
      <c r="E1824" s="176">
        <v>108258</v>
      </c>
      <c r="F1824" s="177" t="s">
        <v>1830</v>
      </c>
      <c r="G1824" s="178">
        <v>11077.95</v>
      </c>
      <c r="H1824" s="179">
        <v>42843</v>
      </c>
      <c r="I1824" s="178">
        <f t="shared" si="57"/>
        <v>11077.95</v>
      </c>
      <c r="J1824" s="178">
        <f t="shared" si="58"/>
        <v>0</v>
      </c>
    </row>
    <row r="1825" spans="1:10" x14ac:dyDescent="0.25">
      <c r="A1825" s="51">
        <v>42842</v>
      </c>
      <c r="B1825" s="174" t="s">
        <v>13364</v>
      </c>
      <c r="C1825" s="175"/>
      <c r="D1825" s="176" t="s">
        <v>13364</v>
      </c>
      <c r="E1825" s="176">
        <v>108259</v>
      </c>
      <c r="F1825" s="177" t="s">
        <v>435</v>
      </c>
      <c r="G1825" s="178">
        <v>1050</v>
      </c>
      <c r="H1825" s="179">
        <v>42843</v>
      </c>
      <c r="I1825" s="178">
        <f t="shared" si="57"/>
        <v>1050</v>
      </c>
      <c r="J1825" s="178">
        <f t="shared" si="58"/>
        <v>0</v>
      </c>
    </row>
    <row r="1826" spans="1:10" x14ac:dyDescent="0.25">
      <c r="A1826" s="51">
        <v>42842</v>
      </c>
      <c r="B1826" s="174" t="s">
        <v>13365</v>
      </c>
      <c r="C1826" s="175"/>
      <c r="D1826" s="176" t="s">
        <v>13365</v>
      </c>
      <c r="E1826" s="176">
        <v>108260</v>
      </c>
      <c r="F1826" s="177" t="s">
        <v>476</v>
      </c>
      <c r="G1826" s="178">
        <v>15928.15</v>
      </c>
      <c r="H1826" s="179">
        <v>42848</v>
      </c>
      <c r="I1826" s="178">
        <f t="shared" si="57"/>
        <v>15928.15</v>
      </c>
      <c r="J1826" s="178">
        <f t="shared" si="58"/>
        <v>0</v>
      </c>
    </row>
    <row r="1827" spans="1:10" x14ac:dyDescent="0.25">
      <c r="A1827" s="51">
        <v>42842</v>
      </c>
      <c r="B1827" s="174" t="s">
        <v>13366</v>
      </c>
      <c r="C1827" s="175"/>
      <c r="D1827" s="176" t="s">
        <v>13366</v>
      </c>
      <c r="E1827" s="176">
        <v>108261</v>
      </c>
      <c r="F1827" s="177" t="s">
        <v>157</v>
      </c>
      <c r="G1827" s="178">
        <v>16682.3</v>
      </c>
      <c r="H1827" s="179">
        <v>42842</v>
      </c>
      <c r="I1827" s="178">
        <f t="shared" si="57"/>
        <v>16682.3</v>
      </c>
      <c r="J1827" s="178">
        <f t="shared" si="58"/>
        <v>0</v>
      </c>
    </row>
    <row r="1828" spans="1:10" x14ac:dyDescent="0.25">
      <c r="A1828" s="51">
        <v>42842</v>
      </c>
      <c r="B1828" s="174" t="s">
        <v>13367</v>
      </c>
      <c r="C1828" s="175"/>
      <c r="D1828" s="176" t="s">
        <v>13367</v>
      </c>
      <c r="E1828" s="176">
        <v>108262</v>
      </c>
      <c r="F1828" s="177" t="s">
        <v>800</v>
      </c>
      <c r="G1828" s="178">
        <v>6720</v>
      </c>
      <c r="H1828" s="186">
        <v>42851</v>
      </c>
      <c r="I1828" s="187">
        <f t="shared" si="57"/>
        <v>6720</v>
      </c>
      <c r="J1828" s="178">
        <f t="shared" si="58"/>
        <v>0</v>
      </c>
    </row>
    <row r="1829" spans="1:10" x14ac:dyDescent="0.25">
      <c r="A1829" s="51">
        <v>42842</v>
      </c>
      <c r="B1829" s="174" t="s">
        <v>13368</v>
      </c>
      <c r="C1829" s="175"/>
      <c r="D1829" s="176" t="s">
        <v>13368</v>
      </c>
      <c r="E1829" s="176">
        <v>108263</v>
      </c>
      <c r="F1829" s="177" t="s">
        <v>30</v>
      </c>
      <c r="G1829" s="178">
        <v>2063.6</v>
      </c>
      <c r="H1829" s="179">
        <v>42842</v>
      </c>
      <c r="I1829" s="178">
        <f t="shared" si="57"/>
        <v>2063.6</v>
      </c>
      <c r="J1829" s="178">
        <f t="shared" si="58"/>
        <v>0</v>
      </c>
    </row>
    <row r="1830" spans="1:10" x14ac:dyDescent="0.25">
      <c r="A1830" s="51">
        <v>42842</v>
      </c>
      <c r="B1830" s="174" t="s">
        <v>13369</v>
      </c>
      <c r="C1830" s="175"/>
      <c r="D1830" s="176" t="s">
        <v>13369</v>
      </c>
      <c r="E1830" s="176">
        <v>108264</v>
      </c>
      <c r="F1830" s="177" t="s">
        <v>151</v>
      </c>
      <c r="G1830" s="178">
        <v>16129.5</v>
      </c>
      <c r="H1830" s="179">
        <v>42842</v>
      </c>
      <c r="I1830" s="178">
        <f t="shared" si="57"/>
        <v>16129.5</v>
      </c>
      <c r="J1830" s="178">
        <f t="shared" si="58"/>
        <v>0</v>
      </c>
    </row>
    <row r="1831" spans="1:10" x14ac:dyDescent="0.25">
      <c r="A1831" s="51">
        <v>42842</v>
      </c>
      <c r="B1831" s="174" t="s">
        <v>13370</v>
      </c>
      <c r="C1831" s="175"/>
      <c r="D1831" s="176" t="s">
        <v>13370</v>
      </c>
      <c r="E1831" s="176">
        <v>108265</v>
      </c>
      <c r="F1831" s="177" t="s">
        <v>30</v>
      </c>
      <c r="G1831" s="178">
        <v>1643.4</v>
      </c>
      <c r="H1831" s="179">
        <v>42842</v>
      </c>
      <c r="I1831" s="178">
        <f t="shared" si="57"/>
        <v>1643.4</v>
      </c>
      <c r="J1831" s="178">
        <f t="shared" si="58"/>
        <v>0</v>
      </c>
    </row>
    <row r="1832" spans="1:10" x14ac:dyDescent="0.25">
      <c r="A1832" s="51">
        <v>42842</v>
      </c>
      <c r="B1832" s="174" t="s">
        <v>13371</v>
      </c>
      <c r="C1832" s="175"/>
      <c r="D1832" s="176" t="s">
        <v>13371</v>
      </c>
      <c r="E1832" s="176">
        <v>108266</v>
      </c>
      <c r="F1832" s="177" t="s">
        <v>69</v>
      </c>
      <c r="G1832" s="178">
        <v>4079.1</v>
      </c>
      <c r="H1832" s="179">
        <v>42842</v>
      </c>
      <c r="I1832" s="178">
        <f t="shared" si="57"/>
        <v>4079.1</v>
      </c>
      <c r="J1832" s="178">
        <f t="shared" si="58"/>
        <v>0</v>
      </c>
    </row>
    <row r="1833" spans="1:10" x14ac:dyDescent="0.25">
      <c r="A1833" s="51">
        <v>42842</v>
      </c>
      <c r="B1833" s="174" t="s">
        <v>13372</v>
      </c>
      <c r="C1833" s="175"/>
      <c r="D1833" s="176" t="s">
        <v>13372</v>
      </c>
      <c r="E1833" s="176">
        <v>108267</v>
      </c>
      <c r="F1833" s="177" t="s">
        <v>298</v>
      </c>
      <c r="G1833" s="178">
        <v>3011.85</v>
      </c>
      <c r="H1833" s="179">
        <v>42842</v>
      </c>
      <c r="I1833" s="178">
        <f t="shared" si="57"/>
        <v>3011.85</v>
      </c>
      <c r="J1833" s="178">
        <f t="shared" si="58"/>
        <v>0</v>
      </c>
    </row>
    <row r="1834" spans="1:10" x14ac:dyDescent="0.25">
      <c r="A1834" s="51">
        <v>42842</v>
      </c>
      <c r="B1834" s="174" t="s">
        <v>13373</v>
      </c>
      <c r="C1834" s="175"/>
      <c r="D1834" s="176" t="s">
        <v>13373</v>
      </c>
      <c r="E1834" s="176">
        <v>108268</v>
      </c>
      <c r="F1834" s="177" t="s">
        <v>85</v>
      </c>
      <c r="G1834" s="178">
        <v>13423.5</v>
      </c>
      <c r="H1834" s="180" t="s">
        <v>12870</v>
      </c>
      <c r="I1834" s="181">
        <f>8000+5423.5</f>
        <v>13423.5</v>
      </c>
      <c r="J1834" s="181">
        <f t="shared" si="58"/>
        <v>0</v>
      </c>
    </row>
    <row r="1835" spans="1:10" x14ac:dyDescent="0.25">
      <c r="A1835" s="51">
        <v>42842</v>
      </c>
      <c r="B1835" s="174" t="s">
        <v>13374</v>
      </c>
      <c r="C1835" s="175"/>
      <c r="D1835" s="176" t="s">
        <v>13374</v>
      </c>
      <c r="E1835" s="176">
        <v>108269</v>
      </c>
      <c r="F1835" s="177" t="s">
        <v>879</v>
      </c>
      <c r="G1835" s="178">
        <v>3003</v>
      </c>
      <c r="H1835" s="179">
        <v>42842</v>
      </c>
      <c r="I1835" s="178">
        <f t="shared" si="57"/>
        <v>3003</v>
      </c>
      <c r="J1835" s="178">
        <f t="shared" si="58"/>
        <v>0</v>
      </c>
    </row>
    <row r="1836" spans="1:10" x14ac:dyDescent="0.25">
      <c r="A1836" s="51">
        <v>42842</v>
      </c>
      <c r="B1836" s="174" t="s">
        <v>13375</v>
      </c>
      <c r="C1836" s="175"/>
      <c r="D1836" s="176" t="s">
        <v>13375</v>
      </c>
      <c r="E1836" s="176">
        <v>108270</v>
      </c>
      <c r="F1836" s="177" t="s">
        <v>10</v>
      </c>
      <c r="G1836" s="178">
        <v>6474.5</v>
      </c>
      <c r="H1836" s="179">
        <v>42844</v>
      </c>
      <c r="I1836" s="178">
        <f t="shared" si="57"/>
        <v>6474.5</v>
      </c>
      <c r="J1836" s="178">
        <f t="shared" si="58"/>
        <v>0</v>
      </c>
    </row>
    <row r="1837" spans="1:10" x14ac:dyDescent="0.25">
      <c r="A1837" s="51">
        <v>42842</v>
      </c>
      <c r="B1837" s="174" t="s">
        <v>13376</v>
      </c>
      <c r="C1837" s="175"/>
      <c r="D1837" s="176" t="s">
        <v>13376</v>
      </c>
      <c r="E1837" s="176">
        <v>108271</v>
      </c>
      <c r="F1837" s="177" t="s">
        <v>272</v>
      </c>
      <c r="G1837" s="178">
        <v>3165.75</v>
      </c>
      <c r="H1837" s="179">
        <v>42844</v>
      </c>
      <c r="I1837" s="178">
        <f t="shared" si="57"/>
        <v>3165.75</v>
      </c>
      <c r="J1837" s="178">
        <f t="shared" si="58"/>
        <v>0</v>
      </c>
    </row>
    <row r="1838" spans="1:10" x14ac:dyDescent="0.25">
      <c r="A1838" s="51">
        <v>42842</v>
      </c>
      <c r="B1838" s="174" t="s">
        <v>13377</v>
      </c>
      <c r="C1838" s="175"/>
      <c r="D1838" s="176" t="s">
        <v>13377</v>
      </c>
      <c r="E1838" s="176">
        <v>108272</v>
      </c>
      <c r="F1838" s="177" t="s">
        <v>435</v>
      </c>
      <c r="G1838" s="178">
        <v>2757.05</v>
      </c>
      <c r="H1838" s="179">
        <v>42844</v>
      </c>
      <c r="I1838" s="178">
        <f t="shared" si="57"/>
        <v>2757.05</v>
      </c>
      <c r="J1838" s="178">
        <f t="shared" si="58"/>
        <v>0</v>
      </c>
    </row>
    <row r="1839" spans="1:10" x14ac:dyDescent="0.25">
      <c r="A1839" s="51">
        <v>42842</v>
      </c>
      <c r="B1839" s="174" t="s">
        <v>13378</v>
      </c>
      <c r="C1839" s="175"/>
      <c r="D1839" s="176" t="s">
        <v>13378</v>
      </c>
      <c r="E1839" s="176">
        <v>108273</v>
      </c>
      <c r="F1839" s="177" t="s">
        <v>405</v>
      </c>
      <c r="G1839" s="178">
        <v>3236.35</v>
      </c>
      <c r="H1839" s="179">
        <v>42842</v>
      </c>
      <c r="I1839" s="178">
        <f t="shared" si="57"/>
        <v>3236.35</v>
      </c>
      <c r="J1839" s="178">
        <f t="shared" si="58"/>
        <v>0</v>
      </c>
    </row>
    <row r="1840" spans="1:10" x14ac:dyDescent="0.25">
      <c r="A1840" s="51">
        <v>42842</v>
      </c>
      <c r="B1840" s="174" t="s">
        <v>13379</v>
      </c>
      <c r="C1840" s="175"/>
      <c r="D1840" s="176" t="s">
        <v>13379</v>
      </c>
      <c r="E1840" s="176">
        <v>108274</v>
      </c>
      <c r="F1840" s="177" t="s">
        <v>161</v>
      </c>
      <c r="G1840" s="178">
        <v>43293.25</v>
      </c>
      <c r="H1840" s="179">
        <v>42846</v>
      </c>
      <c r="I1840" s="178">
        <f t="shared" si="57"/>
        <v>43293.25</v>
      </c>
      <c r="J1840" s="178">
        <f t="shared" si="58"/>
        <v>0</v>
      </c>
    </row>
    <row r="1841" spans="1:10" x14ac:dyDescent="0.25">
      <c r="A1841" s="51">
        <v>42842</v>
      </c>
      <c r="B1841" s="174" t="s">
        <v>13380</v>
      </c>
      <c r="C1841" s="175"/>
      <c r="D1841" s="176" t="s">
        <v>13380</v>
      </c>
      <c r="E1841" s="176">
        <v>108275</v>
      </c>
      <c r="F1841" s="177" t="s">
        <v>268</v>
      </c>
      <c r="G1841" s="178">
        <v>21927.68</v>
      </c>
      <c r="H1841" s="179">
        <v>42844</v>
      </c>
      <c r="I1841" s="178">
        <f t="shared" si="57"/>
        <v>21927.68</v>
      </c>
      <c r="J1841" s="178">
        <f t="shared" si="58"/>
        <v>0</v>
      </c>
    </row>
    <row r="1842" spans="1:10" x14ac:dyDescent="0.25">
      <c r="A1842" s="51">
        <v>42842</v>
      </c>
      <c r="B1842" s="174" t="s">
        <v>13381</v>
      </c>
      <c r="C1842" s="175"/>
      <c r="D1842" s="176" t="s">
        <v>13381</v>
      </c>
      <c r="E1842" s="176">
        <v>108276</v>
      </c>
      <c r="F1842" s="177" t="s">
        <v>145</v>
      </c>
      <c r="G1842" s="178">
        <v>17828</v>
      </c>
      <c r="H1842" s="179">
        <v>42843</v>
      </c>
      <c r="I1842" s="178">
        <f t="shared" si="57"/>
        <v>17828</v>
      </c>
      <c r="J1842" s="178">
        <f t="shared" si="58"/>
        <v>0</v>
      </c>
    </row>
    <row r="1843" spans="1:10" x14ac:dyDescent="0.25">
      <c r="A1843" s="51">
        <v>42842</v>
      </c>
      <c r="B1843" s="174" t="s">
        <v>13382</v>
      </c>
      <c r="C1843" s="175"/>
      <c r="D1843" s="176" t="s">
        <v>13382</v>
      </c>
      <c r="E1843" s="176">
        <v>108277</v>
      </c>
      <c r="F1843" s="177" t="s">
        <v>155</v>
      </c>
      <c r="G1843" s="178">
        <v>15244.4</v>
      </c>
      <c r="H1843" s="179">
        <v>42845</v>
      </c>
      <c r="I1843" s="178">
        <f t="shared" si="57"/>
        <v>15244.4</v>
      </c>
      <c r="J1843" s="178">
        <f t="shared" si="58"/>
        <v>0</v>
      </c>
    </row>
    <row r="1844" spans="1:10" x14ac:dyDescent="0.25">
      <c r="A1844" s="51">
        <v>42842</v>
      </c>
      <c r="B1844" s="174" t="s">
        <v>13383</v>
      </c>
      <c r="C1844" s="175"/>
      <c r="D1844" s="176" t="s">
        <v>13383</v>
      </c>
      <c r="E1844" s="176">
        <v>108278</v>
      </c>
      <c r="F1844" s="177" t="s">
        <v>163</v>
      </c>
      <c r="G1844" s="178">
        <v>16681.900000000001</v>
      </c>
      <c r="H1844" s="179">
        <v>42846</v>
      </c>
      <c r="I1844" s="178">
        <f t="shared" si="57"/>
        <v>16681.900000000001</v>
      </c>
      <c r="J1844" s="178">
        <f t="shared" si="58"/>
        <v>0</v>
      </c>
    </row>
    <row r="1845" spans="1:10" x14ac:dyDescent="0.25">
      <c r="A1845" s="51">
        <v>42842</v>
      </c>
      <c r="B1845" s="174" t="s">
        <v>13384</v>
      </c>
      <c r="C1845" s="175"/>
      <c r="D1845" s="176" t="s">
        <v>13384</v>
      </c>
      <c r="E1845" s="176">
        <v>108279</v>
      </c>
      <c r="F1845" s="177" t="s">
        <v>9250</v>
      </c>
      <c r="G1845" s="178">
        <v>5720</v>
      </c>
      <c r="H1845" s="179">
        <v>42842</v>
      </c>
      <c r="I1845" s="178">
        <f t="shared" si="57"/>
        <v>5720</v>
      </c>
      <c r="J1845" s="178">
        <f t="shared" si="58"/>
        <v>0</v>
      </c>
    </row>
    <row r="1846" spans="1:10" x14ac:dyDescent="0.25">
      <c r="A1846" s="51">
        <v>42842</v>
      </c>
      <c r="B1846" s="174" t="s">
        <v>13385</v>
      </c>
      <c r="C1846" s="175"/>
      <c r="D1846" s="176" t="s">
        <v>13385</v>
      </c>
      <c r="E1846" s="176">
        <v>108280</v>
      </c>
      <c r="F1846" s="177" t="s">
        <v>10</v>
      </c>
      <c r="G1846" s="178">
        <v>192681.9</v>
      </c>
      <c r="H1846" s="179">
        <v>42844</v>
      </c>
      <c r="I1846" s="178">
        <f t="shared" si="57"/>
        <v>192681.9</v>
      </c>
      <c r="J1846" s="178">
        <f t="shared" si="58"/>
        <v>0</v>
      </c>
    </row>
    <row r="1847" spans="1:10" x14ac:dyDescent="0.25">
      <c r="A1847" s="51">
        <v>42842</v>
      </c>
      <c r="B1847" s="174" t="s">
        <v>13386</v>
      </c>
      <c r="C1847" s="175"/>
      <c r="D1847" s="176" t="s">
        <v>13386</v>
      </c>
      <c r="E1847" s="176">
        <v>108281</v>
      </c>
      <c r="F1847" s="177" t="s">
        <v>3319</v>
      </c>
      <c r="G1847" s="178">
        <v>5500</v>
      </c>
      <c r="H1847" s="179">
        <v>42843</v>
      </c>
      <c r="I1847" s="178">
        <f t="shared" si="57"/>
        <v>5500</v>
      </c>
      <c r="J1847" s="178">
        <f t="shared" si="58"/>
        <v>0</v>
      </c>
    </row>
    <row r="1848" spans="1:10" x14ac:dyDescent="0.25">
      <c r="A1848" s="51">
        <v>42842</v>
      </c>
      <c r="B1848" s="174" t="s">
        <v>13387</v>
      </c>
      <c r="C1848" s="175"/>
      <c r="D1848" s="176" t="s">
        <v>13387</v>
      </c>
      <c r="E1848" s="176">
        <v>108282</v>
      </c>
      <c r="F1848" s="177" t="s">
        <v>165</v>
      </c>
      <c r="G1848" s="178">
        <v>9342.6</v>
      </c>
      <c r="H1848" s="184">
        <v>42853</v>
      </c>
      <c r="I1848" s="183">
        <f t="shared" si="57"/>
        <v>9342.6</v>
      </c>
      <c r="J1848" s="178">
        <f t="shared" si="58"/>
        <v>0</v>
      </c>
    </row>
    <row r="1849" spans="1:10" x14ac:dyDescent="0.25">
      <c r="A1849" s="51">
        <v>42842</v>
      </c>
      <c r="B1849" s="174" t="s">
        <v>13388</v>
      </c>
      <c r="C1849" s="175"/>
      <c r="D1849" s="176" t="s">
        <v>13388</v>
      </c>
      <c r="E1849" s="176">
        <v>108283</v>
      </c>
      <c r="F1849" s="177" t="s">
        <v>83</v>
      </c>
      <c r="G1849" s="178">
        <v>3658.5</v>
      </c>
      <c r="H1849" s="179">
        <v>42842</v>
      </c>
      <c r="I1849" s="178">
        <f t="shared" si="57"/>
        <v>3658.5</v>
      </c>
      <c r="J1849" s="178">
        <f t="shared" si="58"/>
        <v>0</v>
      </c>
    </row>
    <row r="1850" spans="1:10" x14ac:dyDescent="0.25">
      <c r="A1850" s="51">
        <v>42842</v>
      </c>
      <c r="B1850" s="174" t="s">
        <v>13389</v>
      </c>
      <c r="C1850" s="175"/>
      <c r="D1850" s="176" t="s">
        <v>13389</v>
      </c>
      <c r="E1850" s="176">
        <v>108284</v>
      </c>
      <c r="F1850" s="177" t="s">
        <v>1259</v>
      </c>
      <c r="G1850" s="178">
        <v>1427.6</v>
      </c>
      <c r="H1850" s="179">
        <v>42842</v>
      </c>
      <c r="I1850" s="178">
        <f t="shared" si="57"/>
        <v>1427.6</v>
      </c>
      <c r="J1850" s="178">
        <f t="shared" si="58"/>
        <v>0</v>
      </c>
    </row>
    <row r="1851" spans="1:10" x14ac:dyDescent="0.25">
      <c r="A1851" s="51">
        <v>42842</v>
      </c>
      <c r="B1851" s="174" t="s">
        <v>13390</v>
      </c>
      <c r="C1851" s="175"/>
      <c r="D1851" s="176" t="s">
        <v>13390</v>
      </c>
      <c r="E1851" s="176">
        <v>108285</v>
      </c>
      <c r="F1851" s="177" t="s">
        <v>103</v>
      </c>
      <c r="G1851" s="178">
        <v>2843.4</v>
      </c>
      <c r="H1851" s="179">
        <v>42845</v>
      </c>
      <c r="I1851" s="178">
        <f t="shared" si="57"/>
        <v>2843.4</v>
      </c>
      <c r="J1851" s="178">
        <f t="shared" si="58"/>
        <v>0</v>
      </c>
    </row>
    <row r="1852" spans="1:10" x14ac:dyDescent="0.25">
      <c r="A1852" s="51">
        <v>42842</v>
      </c>
      <c r="B1852" s="174" t="s">
        <v>13391</v>
      </c>
      <c r="C1852" s="175"/>
      <c r="D1852" s="176" t="s">
        <v>13391</v>
      </c>
      <c r="E1852" s="176">
        <v>108286</v>
      </c>
      <c r="F1852" s="177" t="s">
        <v>105</v>
      </c>
      <c r="G1852" s="178">
        <v>2709</v>
      </c>
      <c r="H1852" s="179">
        <v>42845</v>
      </c>
      <c r="I1852" s="178">
        <f t="shared" si="57"/>
        <v>2709</v>
      </c>
      <c r="J1852" s="178">
        <f t="shared" si="58"/>
        <v>0</v>
      </c>
    </row>
    <row r="1853" spans="1:10" x14ac:dyDescent="0.25">
      <c r="A1853" s="51">
        <v>42842</v>
      </c>
      <c r="B1853" s="174" t="s">
        <v>13392</v>
      </c>
      <c r="C1853" s="175"/>
      <c r="D1853" s="176" t="s">
        <v>13392</v>
      </c>
      <c r="E1853" s="176">
        <v>108287</v>
      </c>
      <c r="F1853" s="177" t="s">
        <v>81</v>
      </c>
      <c r="G1853" s="178">
        <v>2721.9</v>
      </c>
      <c r="H1853" s="179">
        <v>42842</v>
      </c>
      <c r="I1853" s="178">
        <f t="shared" si="57"/>
        <v>2721.9</v>
      </c>
      <c r="J1853" s="178">
        <f t="shared" si="58"/>
        <v>0</v>
      </c>
    </row>
    <row r="1854" spans="1:10" x14ac:dyDescent="0.25">
      <c r="A1854" s="51">
        <v>42842</v>
      </c>
      <c r="B1854" s="174" t="s">
        <v>13393</v>
      </c>
      <c r="C1854" s="175"/>
      <c r="D1854" s="176" t="s">
        <v>13393</v>
      </c>
      <c r="E1854" s="176">
        <v>108288</v>
      </c>
      <c r="F1854" s="177" t="s">
        <v>1256</v>
      </c>
      <c r="G1854" s="178">
        <v>3378.1</v>
      </c>
      <c r="H1854" s="180" t="s">
        <v>13394</v>
      </c>
      <c r="I1854" s="181">
        <f>500+2878.1</f>
        <v>3378.1</v>
      </c>
      <c r="J1854" s="181">
        <f t="shared" si="58"/>
        <v>0</v>
      </c>
    </row>
    <row r="1855" spans="1:10" x14ac:dyDescent="0.25">
      <c r="A1855" s="51">
        <v>42842</v>
      </c>
      <c r="B1855" s="174" t="s">
        <v>13395</v>
      </c>
      <c r="C1855" s="175"/>
      <c r="D1855" s="176" t="s">
        <v>13395</v>
      </c>
      <c r="E1855" s="176">
        <v>108289</v>
      </c>
      <c r="F1855" s="177" t="s">
        <v>113</v>
      </c>
      <c r="G1855" s="178">
        <v>2450.1999999999998</v>
      </c>
      <c r="H1855" s="179">
        <v>42842</v>
      </c>
      <c r="I1855" s="178">
        <f t="shared" si="57"/>
        <v>2450.1999999999998</v>
      </c>
      <c r="J1855" s="178">
        <f t="shared" si="58"/>
        <v>0</v>
      </c>
    </row>
    <row r="1856" spans="1:10" x14ac:dyDescent="0.25">
      <c r="A1856" s="51">
        <v>42842</v>
      </c>
      <c r="B1856" s="174" t="s">
        <v>13396</v>
      </c>
      <c r="C1856" s="175"/>
      <c r="D1856" s="176" t="s">
        <v>13396</v>
      </c>
      <c r="E1856" s="176">
        <v>108290</v>
      </c>
      <c r="F1856" s="177" t="s">
        <v>30</v>
      </c>
      <c r="G1856" s="178">
        <v>422.8</v>
      </c>
      <c r="H1856" s="179">
        <v>42842</v>
      </c>
      <c r="I1856" s="178">
        <f t="shared" si="57"/>
        <v>422.8</v>
      </c>
      <c r="J1856" s="178">
        <f t="shared" si="58"/>
        <v>0</v>
      </c>
    </row>
    <row r="1857" spans="1:11" x14ac:dyDescent="0.25">
      <c r="A1857" s="51">
        <v>42842</v>
      </c>
      <c r="B1857" s="174" t="s">
        <v>13397</v>
      </c>
      <c r="C1857" s="175"/>
      <c r="D1857" s="176" t="s">
        <v>13397</v>
      </c>
      <c r="E1857" s="176">
        <v>108291</v>
      </c>
      <c r="F1857" s="177" t="s">
        <v>30</v>
      </c>
      <c r="G1857" s="178">
        <v>1114.4000000000001</v>
      </c>
      <c r="H1857" s="179">
        <v>42842</v>
      </c>
      <c r="I1857" s="178">
        <f t="shared" si="57"/>
        <v>1114.4000000000001</v>
      </c>
      <c r="J1857" s="178">
        <f t="shared" si="58"/>
        <v>0</v>
      </c>
    </row>
    <row r="1858" spans="1:11" x14ac:dyDescent="0.25">
      <c r="A1858" s="51">
        <v>42842</v>
      </c>
      <c r="B1858" s="174" t="s">
        <v>13398</v>
      </c>
      <c r="C1858" s="175"/>
      <c r="D1858" s="176" t="s">
        <v>13398</v>
      </c>
      <c r="E1858" s="176">
        <v>108292</v>
      </c>
      <c r="F1858" s="177" t="s">
        <v>101</v>
      </c>
      <c r="G1858" s="178">
        <v>1337.6</v>
      </c>
      <c r="H1858" s="179">
        <v>42842</v>
      </c>
      <c r="I1858" s="178">
        <f t="shared" si="57"/>
        <v>1337.6</v>
      </c>
      <c r="J1858" s="178">
        <f t="shared" si="58"/>
        <v>0</v>
      </c>
    </row>
    <row r="1859" spans="1:11" x14ac:dyDescent="0.25">
      <c r="A1859" s="51">
        <v>42842</v>
      </c>
      <c r="B1859" s="174" t="s">
        <v>13399</v>
      </c>
      <c r="C1859" s="175"/>
      <c r="D1859" s="176" t="s">
        <v>13399</v>
      </c>
      <c r="E1859" s="176">
        <v>108293</v>
      </c>
      <c r="F1859" s="177" t="s">
        <v>61</v>
      </c>
      <c r="G1859" s="178">
        <v>12388.3</v>
      </c>
      <c r="H1859" s="179">
        <v>42842</v>
      </c>
      <c r="I1859" s="178">
        <f t="shared" si="57"/>
        <v>12388.3</v>
      </c>
      <c r="J1859" s="178">
        <f t="shared" si="58"/>
        <v>0</v>
      </c>
    </row>
    <row r="1860" spans="1:11" x14ac:dyDescent="0.25">
      <c r="A1860" s="51">
        <v>42842</v>
      </c>
      <c r="B1860" s="174" t="s">
        <v>13400</v>
      </c>
      <c r="C1860" s="175"/>
      <c r="D1860" s="176" t="s">
        <v>13400</v>
      </c>
      <c r="E1860" s="176">
        <v>108294</v>
      </c>
      <c r="F1860" s="177" t="s">
        <v>99</v>
      </c>
      <c r="G1860" s="178">
        <v>2019.6</v>
      </c>
      <c r="H1860" s="179">
        <v>42842</v>
      </c>
      <c r="I1860" s="178">
        <f t="shared" ref="I1860:I1923" si="59">G1860</f>
        <v>2019.6</v>
      </c>
      <c r="J1860" s="178">
        <f t="shared" ref="J1860:J1923" si="60">G1860-I1860</f>
        <v>0</v>
      </c>
    </row>
    <row r="1861" spans="1:11" x14ac:dyDescent="0.25">
      <c r="A1861" s="51">
        <v>42842</v>
      </c>
      <c r="B1861" s="174" t="s">
        <v>13401</v>
      </c>
      <c r="C1861" s="175"/>
      <c r="D1861" s="176" t="s">
        <v>13401</v>
      </c>
      <c r="E1861" s="176">
        <v>108295</v>
      </c>
      <c r="F1861" s="177" t="s">
        <v>149</v>
      </c>
      <c r="G1861" s="178">
        <v>2454.6999999999998</v>
      </c>
      <c r="H1861" s="179">
        <v>42842</v>
      </c>
      <c r="I1861" s="178">
        <f t="shared" si="59"/>
        <v>2454.6999999999998</v>
      </c>
      <c r="J1861" s="178">
        <f t="shared" si="60"/>
        <v>0</v>
      </c>
    </row>
    <row r="1862" spans="1:11" x14ac:dyDescent="0.25">
      <c r="A1862" s="51">
        <v>42842</v>
      </c>
      <c r="B1862" s="174" t="s">
        <v>13402</v>
      </c>
      <c r="C1862" s="175"/>
      <c r="D1862" s="176" t="s">
        <v>13402</v>
      </c>
      <c r="E1862" s="176">
        <v>108296</v>
      </c>
      <c r="F1862" s="177" t="s">
        <v>281</v>
      </c>
      <c r="G1862" s="178">
        <v>2516.8000000000002</v>
      </c>
      <c r="H1862" s="179">
        <v>42842</v>
      </c>
      <c r="I1862" s="178">
        <f t="shared" si="59"/>
        <v>2516.8000000000002</v>
      </c>
      <c r="J1862" s="178">
        <f t="shared" si="60"/>
        <v>0</v>
      </c>
    </row>
    <row r="1863" spans="1:11" x14ac:dyDescent="0.25">
      <c r="A1863" s="51">
        <v>42842</v>
      </c>
      <c r="B1863" s="174" t="s">
        <v>13403</v>
      </c>
      <c r="C1863" s="175"/>
      <c r="D1863" s="176" t="s">
        <v>13403</v>
      </c>
      <c r="E1863" s="176">
        <v>108297</v>
      </c>
      <c r="F1863" s="177" t="s">
        <v>153</v>
      </c>
      <c r="G1863" s="178">
        <v>909</v>
      </c>
      <c r="H1863" s="179">
        <v>42843</v>
      </c>
      <c r="I1863" s="178">
        <f t="shared" si="59"/>
        <v>909</v>
      </c>
      <c r="J1863" s="178">
        <f t="shared" si="60"/>
        <v>0</v>
      </c>
    </row>
    <row r="1864" spans="1:11" x14ac:dyDescent="0.25">
      <c r="A1864" s="51">
        <v>42842</v>
      </c>
      <c r="B1864" s="174" t="s">
        <v>13404</v>
      </c>
      <c r="C1864" s="175"/>
      <c r="D1864" s="176" t="s">
        <v>13404</v>
      </c>
      <c r="E1864" s="176">
        <v>108298</v>
      </c>
      <c r="F1864" s="177" t="s">
        <v>172</v>
      </c>
      <c r="G1864" s="178">
        <v>17863.599999999999</v>
      </c>
      <c r="H1864" s="184">
        <v>42853</v>
      </c>
      <c r="I1864" s="183">
        <f t="shared" si="59"/>
        <v>17863.599999999999</v>
      </c>
      <c r="J1864" s="178">
        <f t="shared" si="60"/>
        <v>0</v>
      </c>
    </row>
    <row r="1865" spans="1:11" x14ac:dyDescent="0.25">
      <c r="A1865" s="51">
        <v>42842</v>
      </c>
      <c r="B1865" s="174" t="s">
        <v>13405</v>
      </c>
      <c r="C1865" s="175"/>
      <c r="D1865" s="176" t="s">
        <v>13405</v>
      </c>
      <c r="E1865" s="176">
        <v>108299</v>
      </c>
      <c r="F1865" s="177" t="s">
        <v>2986</v>
      </c>
      <c r="G1865" s="178">
        <v>2999.5</v>
      </c>
      <c r="H1865" s="179">
        <v>42842</v>
      </c>
      <c r="I1865" s="178">
        <f t="shared" si="59"/>
        <v>2999.5</v>
      </c>
      <c r="J1865" s="178">
        <f t="shared" si="60"/>
        <v>0</v>
      </c>
      <c r="K1865" s="19"/>
    </row>
    <row r="1866" spans="1:11" x14ac:dyDescent="0.25">
      <c r="A1866" s="51">
        <v>42842</v>
      </c>
      <c r="B1866" s="174" t="s">
        <v>13406</v>
      </c>
      <c r="C1866" s="175"/>
      <c r="D1866" s="176" t="s">
        <v>13406</v>
      </c>
      <c r="E1866" s="176">
        <v>108300</v>
      </c>
      <c r="F1866" s="177" t="s">
        <v>838</v>
      </c>
      <c r="G1866" s="178">
        <v>1321.1</v>
      </c>
      <c r="H1866" s="179">
        <v>42842</v>
      </c>
      <c r="I1866" s="178">
        <f t="shared" si="59"/>
        <v>1321.1</v>
      </c>
      <c r="J1866" s="178">
        <f t="shared" si="60"/>
        <v>0</v>
      </c>
      <c r="K1866" s="19"/>
    </row>
    <row r="1867" spans="1:11" x14ac:dyDescent="0.25">
      <c r="A1867" s="51">
        <v>42842</v>
      </c>
      <c r="B1867" s="174" t="s">
        <v>13407</v>
      </c>
      <c r="C1867" s="175"/>
      <c r="D1867" s="176" t="s">
        <v>13407</v>
      </c>
      <c r="E1867" s="176">
        <v>108301</v>
      </c>
      <c r="F1867" s="177" t="s">
        <v>30</v>
      </c>
      <c r="G1867" s="178">
        <v>1704.3</v>
      </c>
      <c r="H1867" s="179">
        <v>42842</v>
      </c>
      <c r="I1867" s="178">
        <f t="shared" si="59"/>
        <v>1704.3</v>
      </c>
      <c r="J1867" s="178">
        <f t="shared" si="60"/>
        <v>0</v>
      </c>
      <c r="K1867" s="19"/>
    </row>
    <row r="1868" spans="1:11" x14ac:dyDescent="0.25">
      <c r="A1868" s="51">
        <v>42842</v>
      </c>
      <c r="B1868" s="174" t="s">
        <v>13408</v>
      </c>
      <c r="C1868" s="175"/>
      <c r="D1868" s="176" t="s">
        <v>13408</v>
      </c>
      <c r="E1868" s="176">
        <v>108302</v>
      </c>
      <c r="F1868" s="177" t="s">
        <v>331</v>
      </c>
      <c r="G1868" s="178">
        <v>1966</v>
      </c>
      <c r="H1868" s="179">
        <v>42842</v>
      </c>
      <c r="I1868" s="178">
        <f t="shared" si="59"/>
        <v>1966</v>
      </c>
      <c r="J1868" s="178">
        <f t="shared" si="60"/>
        <v>0</v>
      </c>
      <c r="K1868" s="19"/>
    </row>
    <row r="1869" spans="1:11" x14ac:dyDescent="0.25">
      <c r="A1869" s="51">
        <v>42842</v>
      </c>
      <c r="B1869" s="174" t="s">
        <v>13409</v>
      </c>
      <c r="C1869" s="175"/>
      <c r="D1869" s="176" t="s">
        <v>13409</v>
      </c>
      <c r="E1869" s="176">
        <v>108303</v>
      </c>
      <c r="F1869" s="177" t="s">
        <v>57</v>
      </c>
      <c r="G1869" s="178">
        <v>541.20000000000005</v>
      </c>
      <c r="H1869" s="179">
        <v>42842</v>
      </c>
      <c r="I1869" s="178">
        <f t="shared" si="59"/>
        <v>541.20000000000005</v>
      </c>
      <c r="J1869" s="178">
        <f t="shared" si="60"/>
        <v>0</v>
      </c>
      <c r="K1869" s="19"/>
    </row>
    <row r="1870" spans="1:11" x14ac:dyDescent="0.25">
      <c r="A1870" s="51">
        <v>42842</v>
      </c>
      <c r="B1870" s="174" t="s">
        <v>13410</v>
      </c>
      <c r="C1870" s="175"/>
      <c r="D1870" s="176" t="s">
        <v>13410</v>
      </c>
      <c r="E1870" s="176">
        <v>108304</v>
      </c>
      <c r="F1870" s="182" t="s">
        <v>45</v>
      </c>
      <c r="G1870" s="183">
        <v>0</v>
      </c>
      <c r="H1870" s="184" t="s">
        <v>95</v>
      </c>
      <c r="I1870" s="183">
        <f t="shared" si="59"/>
        <v>0</v>
      </c>
      <c r="J1870" s="183">
        <f t="shared" si="60"/>
        <v>0</v>
      </c>
      <c r="K1870" s="19"/>
    </row>
    <row r="1871" spans="1:11" x14ac:dyDescent="0.25">
      <c r="A1871" s="51">
        <v>42842</v>
      </c>
      <c r="B1871" s="174" t="s">
        <v>13411</v>
      </c>
      <c r="C1871" s="175"/>
      <c r="D1871" s="176" t="s">
        <v>13411</v>
      </c>
      <c r="E1871" s="176">
        <v>108305</v>
      </c>
      <c r="F1871" s="177" t="s">
        <v>1380</v>
      </c>
      <c r="G1871" s="178">
        <v>5504.4</v>
      </c>
      <c r="H1871" s="179">
        <v>42842</v>
      </c>
      <c r="I1871" s="178">
        <f t="shared" si="59"/>
        <v>5504.4</v>
      </c>
      <c r="J1871" s="178">
        <f t="shared" si="60"/>
        <v>0</v>
      </c>
      <c r="K1871" s="19"/>
    </row>
    <row r="1872" spans="1:11" x14ac:dyDescent="0.25">
      <c r="A1872" s="51">
        <v>42842</v>
      </c>
      <c r="B1872" s="174" t="s">
        <v>13412</v>
      </c>
      <c r="C1872" s="175"/>
      <c r="D1872" s="176" t="s">
        <v>13412</v>
      </c>
      <c r="E1872" s="176">
        <v>108306</v>
      </c>
      <c r="F1872" s="177" t="s">
        <v>135</v>
      </c>
      <c r="G1872" s="178">
        <v>890.8</v>
      </c>
      <c r="H1872" s="179">
        <v>42842</v>
      </c>
      <c r="I1872" s="178">
        <f t="shared" si="59"/>
        <v>890.8</v>
      </c>
      <c r="J1872" s="178">
        <f t="shared" si="60"/>
        <v>0</v>
      </c>
      <c r="K1872" s="19"/>
    </row>
    <row r="1873" spans="1:11" x14ac:dyDescent="0.25">
      <c r="A1873" s="51">
        <v>42842</v>
      </c>
      <c r="B1873" s="174" t="s">
        <v>13413</v>
      </c>
      <c r="C1873" s="175"/>
      <c r="D1873" s="176" t="s">
        <v>13413</v>
      </c>
      <c r="E1873" s="176">
        <v>108307</v>
      </c>
      <c r="F1873" s="177" t="s">
        <v>83</v>
      </c>
      <c r="G1873" s="178">
        <v>2873</v>
      </c>
      <c r="H1873" s="179">
        <v>42842</v>
      </c>
      <c r="I1873" s="178">
        <f t="shared" si="59"/>
        <v>2873</v>
      </c>
      <c r="J1873" s="178">
        <f t="shared" si="60"/>
        <v>0</v>
      </c>
      <c r="K1873" s="19"/>
    </row>
    <row r="1874" spans="1:11" x14ac:dyDescent="0.25">
      <c r="A1874" s="51">
        <v>42842</v>
      </c>
      <c r="B1874" s="174" t="s">
        <v>13414</v>
      </c>
      <c r="C1874" s="175"/>
      <c r="D1874" s="176" t="s">
        <v>13414</v>
      </c>
      <c r="E1874" s="176">
        <v>108308</v>
      </c>
      <c r="F1874" s="177" t="s">
        <v>53</v>
      </c>
      <c r="G1874" s="178">
        <v>2322.6</v>
      </c>
      <c r="H1874" s="179">
        <v>42842</v>
      </c>
      <c r="I1874" s="178">
        <f t="shared" si="59"/>
        <v>2322.6</v>
      </c>
      <c r="J1874" s="178">
        <f t="shared" si="60"/>
        <v>0</v>
      </c>
      <c r="K1874" s="19"/>
    </row>
    <row r="1875" spans="1:11" x14ac:dyDescent="0.25">
      <c r="A1875" s="51">
        <v>42842</v>
      </c>
      <c r="B1875" s="174" t="s">
        <v>13415</v>
      </c>
      <c r="C1875" s="175"/>
      <c r="D1875" s="176" t="s">
        <v>13415</v>
      </c>
      <c r="E1875" s="176">
        <v>108309</v>
      </c>
      <c r="F1875" s="177" t="s">
        <v>291</v>
      </c>
      <c r="G1875" s="178">
        <v>1984.5</v>
      </c>
      <c r="H1875" s="179">
        <v>42842</v>
      </c>
      <c r="I1875" s="178">
        <f t="shared" si="59"/>
        <v>1984.5</v>
      </c>
      <c r="J1875" s="178">
        <f t="shared" si="60"/>
        <v>0</v>
      </c>
      <c r="K1875" s="19"/>
    </row>
    <row r="1876" spans="1:11" x14ac:dyDescent="0.25">
      <c r="A1876" s="51">
        <v>42842</v>
      </c>
      <c r="B1876" s="174" t="s">
        <v>13416</v>
      </c>
      <c r="C1876" s="175"/>
      <c r="D1876" s="176" t="s">
        <v>13416</v>
      </c>
      <c r="E1876" s="176">
        <v>108310</v>
      </c>
      <c r="F1876" s="177" t="s">
        <v>88</v>
      </c>
      <c r="G1876" s="178">
        <v>6471.5</v>
      </c>
      <c r="H1876" s="179">
        <v>42842</v>
      </c>
      <c r="I1876" s="178">
        <f t="shared" si="59"/>
        <v>6471.5</v>
      </c>
      <c r="J1876" s="178">
        <f t="shared" si="60"/>
        <v>0</v>
      </c>
      <c r="K1876" s="19"/>
    </row>
    <row r="1877" spans="1:11" x14ac:dyDescent="0.25">
      <c r="A1877" s="51">
        <v>42842</v>
      </c>
      <c r="B1877" s="174" t="s">
        <v>13417</v>
      </c>
      <c r="C1877" s="175"/>
      <c r="D1877" s="176" t="s">
        <v>13417</v>
      </c>
      <c r="E1877" s="176">
        <v>108311</v>
      </c>
      <c r="F1877" s="177" t="s">
        <v>188</v>
      </c>
      <c r="G1877" s="178">
        <v>7227.4</v>
      </c>
      <c r="H1877" s="179">
        <v>42842</v>
      </c>
      <c r="I1877" s="178">
        <f t="shared" si="59"/>
        <v>7227.4</v>
      </c>
      <c r="J1877" s="178">
        <f t="shared" si="60"/>
        <v>0</v>
      </c>
      <c r="K1877" s="19"/>
    </row>
    <row r="1878" spans="1:11" x14ac:dyDescent="0.25">
      <c r="A1878" s="51">
        <v>42842</v>
      </c>
      <c r="B1878" s="174" t="s">
        <v>13418</v>
      </c>
      <c r="C1878" s="175"/>
      <c r="D1878" s="176" t="s">
        <v>13418</v>
      </c>
      <c r="E1878" s="176">
        <v>108312</v>
      </c>
      <c r="F1878" s="177" t="s">
        <v>63</v>
      </c>
      <c r="G1878" s="178">
        <v>1540.5</v>
      </c>
      <c r="H1878" s="179">
        <v>42842</v>
      </c>
      <c r="I1878" s="178">
        <f t="shared" si="59"/>
        <v>1540.5</v>
      </c>
      <c r="J1878" s="178">
        <f t="shared" si="60"/>
        <v>0</v>
      </c>
      <c r="K1878" s="19"/>
    </row>
    <row r="1879" spans="1:11" x14ac:dyDescent="0.25">
      <c r="A1879" s="51">
        <v>42842</v>
      </c>
      <c r="B1879" s="174" t="s">
        <v>13419</v>
      </c>
      <c r="C1879" s="175"/>
      <c r="D1879" s="176" t="s">
        <v>13419</v>
      </c>
      <c r="E1879" s="176">
        <v>108313</v>
      </c>
      <c r="F1879" s="177" t="s">
        <v>9754</v>
      </c>
      <c r="G1879" s="178">
        <v>22038.6</v>
      </c>
      <c r="H1879" s="179">
        <v>42842</v>
      </c>
      <c r="I1879" s="178">
        <f t="shared" si="59"/>
        <v>22038.6</v>
      </c>
      <c r="J1879" s="178">
        <f t="shared" si="60"/>
        <v>0</v>
      </c>
      <c r="K1879" s="19"/>
    </row>
    <row r="1880" spans="1:11" x14ac:dyDescent="0.25">
      <c r="A1880" s="51">
        <v>42842</v>
      </c>
      <c r="B1880" s="174" t="s">
        <v>13420</v>
      </c>
      <c r="C1880" s="175"/>
      <c r="D1880" s="176" t="s">
        <v>13420</v>
      </c>
      <c r="E1880" s="176">
        <v>108314</v>
      </c>
      <c r="F1880" s="177" t="s">
        <v>930</v>
      </c>
      <c r="G1880" s="178">
        <v>8262</v>
      </c>
      <c r="H1880" s="179">
        <v>42842</v>
      </c>
      <c r="I1880" s="178">
        <f t="shared" si="59"/>
        <v>8262</v>
      </c>
      <c r="J1880" s="178">
        <f t="shared" si="60"/>
        <v>0</v>
      </c>
      <c r="K1880" s="19"/>
    </row>
    <row r="1881" spans="1:11" x14ac:dyDescent="0.25">
      <c r="A1881" s="51">
        <v>42842</v>
      </c>
      <c r="B1881" s="174" t="s">
        <v>13421</v>
      </c>
      <c r="C1881" s="175"/>
      <c r="D1881" s="176" t="s">
        <v>13421</v>
      </c>
      <c r="E1881" s="176">
        <v>108315</v>
      </c>
      <c r="F1881" s="177" t="s">
        <v>10</v>
      </c>
      <c r="G1881" s="178">
        <v>14710.9</v>
      </c>
      <c r="H1881" s="179">
        <v>42844</v>
      </c>
      <c r="I1881" s="178">
        <f t="shared" si="59"/>
        <v>14710.9</v>
      </c>
      <c r="J1881" s="178">
        <f t="shared" si="60"/>
        <v>0</v>
      </c>
      <c r="K1881" s="19"/>
    </row>
    <row r="1882" spans="1:11" x14ac:dyDescent="0.25">
      <c r="A1882" s="51">
        <v>42842</v>
      </c>
      <c r="B1882" s="174" t="s">
        <v>13422</v>
      </c>
      <c r="C1882" s="175"/>
      <c r="D1882" s="176" t="s">
        <v>13422</v>
      </c>
      <c r="E1882" s="176">
        <v>108316</v>
      </c>
      <c r="F1882" s="177" t="s">
        <v>266</v>
      </c>
      <c r="G1882" s="178">
        <v>4236.6000000000004</v>
      </c>
      <c r="H1882" s="179">
        <v>42844</v>
      </c>
      <c r="I1882" s="178">
        <f t="shared" si="59"/>
        <v>4236.6000000000004</v>
      </c>
      <c r="J1882" s="178">
        <f t="shared" si="60"/>
        <v>0</v>
      </c>
      <c r="K1882" s="19"/>
    </row>
    <row r="1883" spans="1:11" x14ac:dyDescent="0.25">
      <c r="A1883" s="51">
        <v>42842</v>
      </c>
      <c r="B1883" s="174" t="s">
        <v>13423</v>
      </c>
      <c r="C1883" s="175"/>
      <c r="D1883" s="176" t="s">
        <v>13423</v>
      </c>
      <c r="E1883" s="176">
        <v>108317</v>
      </c>
      <c r="F1883" s="177" t="s">
        <v>319</v>
      </c>
      <c r="G1883" s="178">
        <v>2838.2</v>
      </c>
      <c r="H1883" s="179">
        <v>42844</v>
      </c>
      <c r="I1883" s="178">
        <f t="shared" si="59"/>
        <v>2838.2</v>
      </c>
      <c r="J1883" s="178">
        <f t="shared" si="60"/>
        <v>0</v>
      </c>
      <c r="K1883" s="19"/>
    </row>
    <row r="1884" spans="1:11" x14ac:dyDescent="0.25">
      <c r="A1884" s="51">
        <v>42842</v>
      </c>
      <c r="B1884" s="174" t="s">
        <v>13424</v>
      </c>
      <c r="C1884" s="175"/>
      <c r="D1884" s="176" t="s">
        <v>13424</v>
      </c>
      <c r="E1884" s="176">
        <v>108318</v>
      </c>
      <c r="F1884" s="177" t="s">
        <v>128</v>
      </c>
      <c r="G1884" s="178">
        <v>816</v>
      </c>
      <c r="H1884" s="179">
        <v>42842</v>
      </c>
      <c r="I1884" s="178">
        <f t="shared" si="59"/>
        <v>816</v>
      </c>
      <c r="J1884" s="178">
        <f t="shared" si="60"/>
        <v>0</v>
      </c>
      <c r="K1884" s="19"/>
    </row>
    <row r="1885" spans="1:11" x14ac:dyDescent="0.25">
      <c r="A1885" s="51">
        <v>42842</v>
      </c>
      <c r="B1885" s="174" t="s">
        <v>13425</v>
      </c>
      <c r="C1885" s="175"/>
      <c r="D1885" s="176" t="s">
        <v>13425</v>
      </c>
      <c r="E1885" s="176">
        <v>108319</v>
      </c>
      <c r="F1885" s="177" t="s">
        <v>1141</v>
      </c>
      <c r="G1885" s="178">
        <v>171.7</v>
      </c>
      <c r="H1885" s="179">
        <v>42842</v>
      </c>
      <c r="I1885" s="178">
        <f t="shared" si="59"/>
        <v>171.7</v>
      </c>
      <c r="J1885" s="178">
        <f t="shared" si="60"/>
        <v>0</v>
      </c>
      <c r="K1885" s="19"/>
    </row>
    <row r="1886" spans="1:11" x14ac:dyDescent="0.25">
      <c r="A1886" s="51">
        <v>42842</v>
      </c>
      <c r="B1886" s="174" t="s">
        <v>13426</v>
      </c>
      <c r="C1886" s="175"/>
      <c r="D1886" s="176" t="s">
        <v>13426</v>
      </c>
      <c r="E1886" s="176">
        <v>108320</v>
      </c>
      <c r="F1886" s="177" t="s">
        <v>3997</v>
      </c>
      <c r="G1886" s="178">
        <v>4735.3</v>
      </c>
      <c r="H1886" s="179">
        <v>42845</v>
      </c>
      <c r="I1886" s="178">
        <f t="shared" si="59"/>
        <v>4735.3</v>
      </c>
      <c r="J1886" s="178">
        <f t="shared" si="60"/>
        <v>0</v>
      </c>
      <c r="K1886" s="19"/>
    </row>
    <row r="1887" spans="1:11" x14ac:dyDescent="0.25">
      <c r="A1887" s="51">
        <v>42842</v>
      </c>
      <c r="B1887" s="174" t="s">
        <v>13427</v>
      </c>
      <c r="C1887" s="175"/>
      <c r="D1887" s="176" t="s">
        <v>13427</v>
      </c>
      <c r="E1887" s="176">
        <v>108321</v>
      </c>
      <c r="F1887" s="177" t="s">
        <v>2528</v>
      </c>
      <c r="G1887" s="178">
        <v>780</v>
      </c>
      <c r="H1887" s="179">
        <v>42844</v>
      </c>
      <c r="I1887" s="178">
        <f t="shared" si="59"/>
        <v>780</v>
      </c>
      <c r="J1887" s="178">
        <f t="shared" si="60"/>
        <v>0</v>
      </c>
      <c r="K1887" s="19"/>
    </row>
    <row r="1888" spans="1:11" x14ac:dyDescent="0.25">
      <c r="A1888" s="51">
        <v>42842</v>
      </c>
      <c r="B1888" s="174" t="s">
        <v>13428</v>
      </c>
      <c r="C1888" s="175"/>
      <c r="D1888" s="176" t="s">
        <v>13428</v>
      </c>
      <c r="E1888" s="176">
        <v>108322</v>
      </c>
      <c r="F1888" s="177" t="s">
        <v>2535</v>
      </c>
      <c r="G1888" s="178">
        <v>2777.1</v>
      </c>
      <c r="H1888" s="179">
        <v>42844</v>
      </c>
      <c r="I1888" s="178">
        <f t="shared" si="59"/>
        <v>2777.1</v>
      </c>
      <c r="J1888" s="178">
        <f t="shared" si="60"/>
        <v>0</v>
      </c>
      <c r="K1888" s="19"/>
    </row>
    <row r="1889" spans="1:11" x14ac:dyDescent="0.25">
      <c r="A1889" s="51">
        <v>42842</v>
      </c>
      <c r="B1889" s="174" t="s">
        <v>13429</v>
      </c>
      <c r="C1889" s="175"/>
      <c r="D1889" s="176" t="s">
        <v>13429</v>
      </c>
      <c r="E1889" s="176">
        <v>108323</v>
      </c>
      <c r="F1889" s="177" t="s">
        <v>30</v>
      </c>
      <c r="G1889" s="178">
        <v>21775.200000000001</v>
      </c>
      <c r="H1889" s="179">
        <v>42842</v>
      </c>
      <c r="I1889" s="178">
        <f t="shared" si="59"/>
        <v>21775.200000000001</v>
      </c>
      <c r="J1889" s="178">
        <f t="shared" si="60"/>
        <v>0</v>
      </c>
      <c r="K1889" s="19"/>
    </row>
    <row r="1890" spans="1:11" x14ac:dyDescent="0.25">
      <c r="A1890" s="51">
        <v>42842</v>
      </c>
      <c r="B1890" s="174" t="s">
        <v>13430</v>
      </c>
      <c r="C1890" s="175"/>
      <c r="D1890" s="176" t="s">
        <v>13430</v>
      </c>
      <c r="E1890" s="176">
        <v>108324</v>
      </c>
      <c r="F1890" s="177" t="s">
        <v>693</v>
      </c>
      <c r="G1890" s="178">
        <v>17060</v>
      </c>
      <c r="H1890" s="179">
        <v>42846</v>
      </c>
      <c r="I1890" s="178">
        <f t="shared" si="59"/>
        <v>17060</v>
      </c>
      <c r="J1890" s="178">
        <f t="shared" si="60"/>
        <v>0</v>
      </c>
      <c r="K1890" s="19"/>
    </row>
    <row r="1891" spans="1:11" x14ac:dyDescent="0.25">
      <c r="A1891" s="51">
        <v>42842</v>
      </c>
      <c r="B1891" s="174" t="s">
        <v>13431</v>
      </c>
      <c r="C1891" s="175"/>
      <c r="D1891" s="176" t="s">
        <v>13431</v>
      </c>
      <c r="E1891" s="176">
        <v>108325</v>
      </c>
      <c r="F1891" s="177" t="s">
        <v>182</v>
      </c>
      <c r="G1891" s="178">
        <v>3520</v>
      </c>
      <c r="H1891" s="179">
        <v>42844</v>
      </c>
      <c r="I1891" s="178">
        <f t="shared" si="59"/>
        <v>3520</v>
      </c>
      <c r="J1891" s="178">
        <f t="shared" si="60"/>
        <v>0</v>
      </c>
      <c r="K1891" s="19"/>
    </row>
    <row r="1892" spans="1:11" x14ac:dyDescent="0.25">
      <c r="A1892" s="51">
        <v>42842</v>
      </c>
      <c r="B1892" s="174" t="s">
        <v>13432</v>
      </c>
      <c r="C1892" s="175"/>
      <c r="D1892" s="176" t="s">
        <v>13432</v>
      </c>
      <c r="E1892" s="176">
        <v>108326</v>
      </c>
      <c r="F1892" s="177" t="s">
        <v>472</v>
      </c>
      <c r="G1892" s="178">
        <v>8068.8</v>
      </c>
      <c r="H1892" s="179">
        <v>42842</v>
      </c>
      <c r="I1892" s="178">
        <f t="shared" si="59"/>
        <v>8068.8</v>
      </c>
      <c r="J1892" s="178">
        <f t="shared" si="60"/>
        <v>0</v>
      </c>
      <c r="K1892" s="19"/>
    </row>
    <row r="1893" spans="1:11" x14ac:dyDescent="0.25">
      <c r="A1893" s="51">
        <v>42842</v>
      </c>
      <c r="B1893" s="174" t="s">
        <v>13433</v>
      </c>
      <c r="C1893" s="175"/>
      <c r="D1893" s="176" t="s">
        <v>13433</v>
      </c>
      <c r="E1893" s="176">
        <v>108327</v>
      </c>
      <c r="F1893" s="177" t="s">
        <v>2528</v>
      </c>
      <c r="G1893" s="178">
        <v>494.4</v>
      </c>
      <c r="H1893" s="179">
        <v>42844</v>
      </c>
      <c r="I1893" s="178">
        <f t="shared" si="59"/>
        <v>494.4</v>
      </c>
      <c r="J1893" s="178">
        <f t="shared" si="60"/>
        <v>0</v>
      </c>
      <c r="K1893" s="19"/>
    </row>
    <row r="1894" spans="1:11" x14ac:dyDescent="0.25">
      <c r="A1894" s="51">
        <v>42842</v>
      </c>
      <c r="B1894" s="174" t="s">
        <v>13434</v>
      </c>
      <c r="C1894" s="175"/>
      <c r="D1894" s="176" t="s">
        <v>13434</v>
      </c>
      <c r="E1894" s="176">
        <v>108328</v>
      </c>
      <c r="F1894" s="177" t="s">
        <v>352</v>
      </c>
      <c r="G1894" s="178">
        <v>4709.3999999999996</v>
      </c>
      <c r="H1894" s="179">
        <v>42842</v>
      </c>
      <c r="I1894" s="178">
        <f t="shared" si="59"/>
        <v>4709.3999999999996</v>
      </c>
      <c r="J1894" s="178">
        <f t="shared" si="60"/>
        <v>0</v>
      </c>
      <c r="K1894" s="19"/>
    </row>
    <row r="1895" spans="1:11" x14ac:dyDescent="0.25">
      <c r="A1895" s="51">
        <v>42842</v>
      </c>
      <c r="B1895" s="174" t="s">
        <v>13435</v>
      </c>
      <c r="C1895" s="175"/>
      <c r="D1895" s="176" t="s">
        <v>13435</v>
      </c>
      <c r="E1895" s="176">
        <v>108329</v>
      </c>
      <c r="F1895" s="177" t="s">
        <v>115</v>
      </c>
      <c r="G1895" s="178">
        <v>3279.9</v>
      </c>
      <c r="H1895" s="179">
        <v>42844</v>
      </c>
      <c r="I1895" s="178">
        <f t="shared" si="59"/>
        <v>3279.9</v>
      </c>
      <c r="J1895" s="178">
        <f t="shared" si="60"/>
        <v>0</v>
      </c>
      <c r="K1895" s="19"/>
    </row>
    <row r="1896" spans="1:11" x14ac:dyDescent="0.25">
      <c r="A1896" s="51">
        <v>42842</v>
      </c>
      <c r="B1896" s="174" t="s">
        <v>13436</v>
      </c>
      <c r="C1896" s="175"/>
      <c r="D1896" s="176" t="s">
        <v>13436</v>
      </c>
      <c r="E1896" s="176">
        <v>108330</v>
      </c>
      <c r="F1896" s="177" t="s">
        <v>30</v>
      </c>
      <c r="G1896" s="178">
        <v>121.6</v>
      </c>
      <c r="H1896" s="179">
        <v>42842</v>
      </c>
      <c r="I1896" s="178">
        <f t="shared" si="59"/>
        <v>121.6</v>
      </c>
      <c r="J1896" s="178">
        <f t="shared" si="60"/>
        <v>0</v>
      </c>
      <c r="K1896" s="19"/>
    </row>
    <row r="1897" spans="1:11" x14ac:dyDescent="0.25">
      <c r="A1897" s="51">
        <v>42842</v>
      </c>
      <c r="B1897" s="174" t="s">
        <v>13437</v>
      </c>
      <c r="C1897" s="175"/>
      <c r="D1897" s="176" t="s">
        <v>13437</v>
      </c>
      <c r="E1897" s="176">
        <v>108331</v>
      </c>
      <c r="F1897" s="177" t="s">
        <v>3360</v>
      </c>
      <c r="G1897" s="178">
        <v>5005</v>
      </c>
      <c r="H1897" s="179">
        <v>42842</v>
      </c>
      <c r="I1897" s="178">
        <f t="shared" si="59"/>
        <v>5005</v>
      </c>
      <c r="J1897" s="178">
        <f t="shared" si="60"/>
        <v>0</v>
      </c>
      <c r="K1897" s="19"/>
    </row>
    <row r="1898" spans="1:11" x14ac:dyDescent="0.25">
      <c r="A1898" s="51">
        <v>42842</v>
      </c>
      <c r="B1898" s="174" t="s">
        <v>13438</v>
      </c>
      <c r="C1898" s="175"/>
      <c r="D1898" s="176" t="s">
        <v>13438</v>
      </c>
      <c r="E1898" s="176">
        <v>108332</v>
      </c>
      <c r="F1898" s="177" t="s">
        <v>205</v>
      </c>
      <c r="G1898" s="178">
        <v>3229.8</v>
      </c>
      <c r="H1898" s="179">
        <v>42842</v>
      </c>
      <c r="I1898" s="178">
        <f t="shared" si="59"/>
        <v>3229.8</v>
      </c>
      <c r="J1898" s="178">
        <f t="shared" si="60"/>
        <v>0</v>
      </c>
      <c r="K1898" s="19"/>
    </row>
    <row r="1899" spans="1:11" x14ac:dyDescent="0.25">
      <c r="A1899" s="51">
        <v>42842</v>
      </c>
      <c r="B1899" s="174" t="s">
        <v>13439</v>
      </c>
      <c r="C1899" s="175"/>
      <c r="D1899" s="176" t="s">
        <v>13439</v>
      </c>
      <c r="E1899" s="176">
        <v>108333</v>
      </c>
      <c r="F1899" s="177" t="s">
        <v>222</v>
      </c>
      <c r="G1899" s="178">
        <v>48956.95</v>
      </c>
      <c r="H1899" s="179">
        <v>42844</v>
      </c>
      <c r="I1899" s="178">
        <f t="shared" si="59"/>
        <v>48956.95</v>
      </c>
      <c r="J1899" s="178">
        <f t="shared" si="60"/>
        <v>0</v>
      </c>
      <c r="K1899" s="19"/>
    </row>
    <row r="1900" spans="1:11" x14ac:dyDescent="0.25">
      <c r="A1900" s="51">
        <v>42842</v>
      </c>
      <c r="B1900" s="174" t="s">
        <v>13440</v>
      </c>
      <c r="C1900" s="175"/>
      <c r="D1900" s="176" t="s">
        <v>13440</v>
      </c>
      <c r="E1900" s="176">
        <v>108334</v>
      </c>
      <c r="F1900" s="177" t="s">
        <v>2240</v>
      </c>
      <c r="G1900" s="178">
        <v>5028.3</v>
      </c>
      <c r="H1900" s="179">
        <v>42842</v>
      </c>
      <c r="I1900" s="178">
        <f t="shared" si="59"/>
        <v>5028.3</v>
      </c>
      <c r="J1900" s="178">
        <f t="shared" si="60"/>
        <v>0</v>
      </c>
      <c r="K1900" s="19"/>
    </row>
    <row r="1901" spans="1:11" x14ac:dyDescent="0.25">
      <c r="A1901" s="51">
        <v>42842</v>
      </c>
      <c r="B1901" s="174" t="s">
        <v>13441</v>
      </c>
      <c r="C1901" s="175"/>
      <c r="D1901" s="176" t="s">
        <v>13441</v>
      </c>
      <c r="E1901" s="176">
        <v>108335</v>
      </c>
      <c r="F1901" s="177" t="s">
        <v>1062</v>
      </c>
      <c r="G1901" s="178">
        <v>4571.5</v>
      </c>
      <c r="H1901" s="179">
        <v>42842</v>
      </c>
      <c r="I1901" s="178">
        <f t="shared" si="59"/>
        <v>4571.5</v>
      </c>
      <c r="J1901" s="178">
        <f t="shared" si="60"/>
        <v>0</v>
      </c>
      <c r="K1901" s="19"/>
    </row>
    <row r="1902" spans="1:11" x14ac:dyDescent="0.25">
      <c r="A1902" s="51">
        <v>42842</v>
      </c>
      <c r="B1902" s="174" t="s">
        <v>13442</v>
      </c>
      <c r="C1902" s="175"/>
      <c r="D1902" s="176" t="s">
        <v>13442</v>
      </c>
      <c r="E1902" s="176">
        <v>108336</v>
      </c>
      <c r="F1902" s="177" t="s">
        <v>428</v>
      </c>
      <c r="G1902" s="178">
        <v>588</v>
      </c>
      <c r="H1902" s="179">
        <v>42844</v>
      </c>
      <c r="I1902" s="178">
        <f t="shared" si="59"/>
        <v>588</v>
      </c>
      <c r="J1902" s="178">
        <f t="shared" si="60"/>
        <v>0</v>
      </c>
      <c r="K1902" s="19"/>
    </row>
    <row r="1903" spans="1:11" x14ac:dyDescent="0.25">
      <c r="A1903" s="51">
        <v>42842</v>
      </c>
      <c r="B1903" s="174" t="s">
        <v>13443</v>
      </c>
      <c r="C1903" s="175"/>
      <c r="D1903" s="176" t="s">
        <v>13443</v>
      </c>
      <c r="E1903" s="176">
        <v>108337</v>
      </c>
      <c r="F1903" s="177" t="s">
        <v>250</v>
      </c>
      <c r="G1903" s="178">
        <v>615.6</v>
      </c>
      <c r="H1903" s="179">
        <v>42843</v>
      </c>
      <c r="I1903" s="178">
        <f t="shared" si="59"/>
        <v>615.6</v>
      </c>
      <c r="J1903" s="178">
        <f t="shared" si="60"/>
        <v>0</v>
      </c>
      <c r="K1903" s="19"/>
    </row>
    <row r="1904" spans="1:11" x14ac:dyDescent="0.25">
      <c r="A1904" s="51">
        <v>42842</v>
      </c>
      <c r="B1904" s="174" t="s">
        <v>13444</v>
      </c>
      <c r="C1904" s="175"/>
      <c r="D1904" s="176" t="s">
        <v>13444</v>
      </c>
      <c r="E1904" s="176">
        <v>108338</v>
      </c>
      <c r="F1904" s="177" t="s">
        <v>10</v>
      </c>
      <c r="G1904" s="178">
        <v>75273.55</v>
      </c>
      <c r="H1904" s="179">
        <v>42844</v>
      </c>
      <c r="I1904" s="178">
        <f t="shared" si="59"/>
        <v>75273.55</v>
      </c>
      <c r="J1904" s="178">
        <f t="shared" si="60"/>
        <v>0</v>
      </c>
      <c r="K1904" s="19"/>
    </row>
    <row r="1905" spans="1:11" x14ac:dyDescent="0.25">
      <c r="A1905" s="51">
        <v>42842</v>
      </c>
      <c r="B1905" s="174" t="s">
        <v>13445</v>
      </c>
      <c r="C1905" s="175"/>
      <c r="D1905" s="176" t="s">
        <v>13445</v>
      </c>
      <c r="E1905" s="176">
        <v>108339</v>
      </c>
      <c r="F1905" s="177" t="s">
        <v>937</v>
      </c>
      <c r="G1905" s="178">
        <v>3168</v>
      </c>
      <c r="H1905" s="179">
        <v>42845</v>
      </c>
      <c r="I1905" s="178">
        <f t="shared" si="59"/>
        <v>3168</v>
      </c>
      <c r="J1905" s="178">
        <f t="shared" si="60"/>
        <v>0</v>
      </c>
      <c r="K1905" s="19"/>
    </row>
    <row r="1906" spans="1:11" x14ac:dyDescent="0.25">
      <c r="A1906" s="51">
        <v>42842</v>
      </c>
      <c r="B1906" s="174" t="s">
        <v>13446</v>
      </c>
      <c r="C1906" s="175"/>
      <c r="D1906" s="176" t="s">
        <v>13446</v>
      </c>
      <c r="E1906" s="176">
        <v>108340</v>
      </c>
      <c r="F1906" s="177" t="s">
        <v>220</v>
      </c>
      <c r="G1906" s="178">
        <v>1943.6</v>
      </c>
      <c r="H1906" s="179">
        <v>42843</v>
      </c>
      <c r="I1906" s="178">
        <f t="shared" si="59"/>
        <v>1943.6</v>
      </c>
      <c r="J1906" s="178">
        <f t="shared" si="60"/>
        <v>0</v>
      </c>
      <c r="K1906" s="19"/>
    </row>
    <row r="1907" spans="1:11" x14ac:dyDescent="0.25">
      <c r="A1907" s="51">
        <v>42842</v>
      </c>
      <c r="B1907" s="174" t="s">
        <v>13447</v>
      </c>
      <c r="C1907" s="175"/>
      <c r="D1907" s="176" t="s">
        <v>13447</v>
      </c>
      <c r="E1907" s="176">
        <v>108341</v>
      </c>
      <c r="F1907" s="177" t="s">
        <v>10</v>
      </c>
      <c r="G1907" s="178">
        <v>24340.14</v>
      </c>
      <c r="H1907" s="179">
        <v>42844</v>
      </c>
      <c r="I1907" s="178">
        <f t="shared" si="59"/>
        <v>24340.14</v>
      </c>
      <c r="J1907" s="178">
        <f t="shared" si="60"/>
        <v>0</v>
      </c>
      <c r="K1907" s="19"/>
    </row>
    <row r="1908" spans="1:11" x14ac:dyDescent="0.25">
      <c r="A1908" s="51">
        <v>42842</v>
      </c>
      <c r="B1908" s="174" t="s">
        <v>13448</v>
      </c>
      <c r="C1908" s="175"/>
      <c r="D1908" s="176" t="s">
        <v>13448</v>
      </c>
      <c r="E1908" s="176">
        <v>108342</v>
      </c>
      <c r="F1908" s="177" t="s">
        <v>5352</v>
      </c>
      <c r="G1908" s="178">
        <v>35033.599999999999</v>
      </c>
      <c r="H1908" s="179">
        <v>42842</v>
      </c>
      <c r="I1908" s="178">
        <f t="shared" si="59"/>
        <v>35033.599999999999</v>
      </c>
      <c r="J1908" s="178">
        <f t="shared" si="60"/>
        <v>0</v>
      </c>
      <c r="K1908" s="19"/>
    </row>
    <row r="1909" spans="1:11" ht="16.5" customHeight="1" x14ac:dyDescent="0.25">
      <c r="A1909" s="51">
        <v>42842</v>
      </c>
      <c r="B1909" s="174" t="s">
        <v>13449</v>
      </c>
      <c r="C1909" s="175"/>
      <c r="D1909" s="176" t="s">
        <v>13449</v>
      </c>
      <c r="E1909" s="176">
        <v>108343</v>
      </c>
      <c r="F1909" s="177" t="s">
        <v>316</v>
      </c>
      <c r="G1909" s="178">
        <v>7684.36</v>
      </c>
      <c r="H1909" s="184">
        <v>42865</v>
      </c>
      <c r="I1909" s="183">
        <f t="shared" si="59"/>
        <v>7684.36</v>
      </c>
      <c r="J1909" s="178">
        <f t="shared" si="60"/>
        <v>0</v>
      </c>
      <c r="K1909" s="19"/>
    </row>
    <row r="1910" spans="1:11" x14ac:dyDescent="0.25">
      <c r="A1910" s="51">
        <v>42842</v>
      </c>
      <c r="B1910" s="174" t="s">
        <v>13450</v>
      </c>
      <c r="C1910" s="175"/>
      <c r="D1910" s="176" t="s">
        <v>13450</v>
      </c>
      <c r="E1910" s="176">
        <v>108344</v>
      </c>
      <c r="F1910" s="177" t="s">
        <v>10</v>
      </c>
      <c r="G1910" s="178">
        <v>4785</v>
      </c>
      <c r="H1910" s="180" t="s">
        <v>13116</v>
      </c>
      <c r="I1910" s="181">
        <f>3601.17+1183.83</f>
        <v>4785</v>
      </c>
      <c r="J1910" s="181">
        <f t="shared" si="60"/>
        <v>0</v>
      </c>
      <c r="K1910" s="19"/>
    </row>
    <row r="1911" spans="1:11" x14ac:dyDescent="0.25">
      <c r="A1911" s="51">
        <v>42842</v>
      </c>
      <c r="B1911" s="174" t="s">
        <v>13451</v>
      </c>
      <c r="C1911" s="175"/>
      <c r="D1911" s="176" t="s">
        <v>13451</v>
      </c>
      <c r="E1911" s="176">
        <v>108345</v>
      </c>
      <c r="F1911" s="177" t="s">
        <v>231</v>
      </c>
      <c r="G1911" s="178">
        <v>1108.5999999999999</v>
      </c>
      <c r="H1911" s="179">
        <v>42843</v>
      </c>
      <c r="I1911" s="178">
        <f t="shared" si="59"/>
        <v>1108.5999999999999</v>
      </c>
      <c r="J1911" s="178">
        <f t="shared" si="60"/>
        <v>0</v>
      </c>
      <c r="K1911" s="19"/>
    </row>
    <row r="1912" spans="1:11" x14ac:dyDescent="0.25">
      <c r="A1912" s="51">
        <v>42842</v>
      </c>
      <c r="B1912" s="174" t="s">
        <v>13452</v>
      </c>
      <c r="C1912" s="175"/>
      <c r="D1912" s="176" t="s">
        <v>13452</v>
      </c>
      <c r="E1912" s="176">
        <v>108346</v>
      </c>
      <c r="F1912" s="177" t="s">
        <v>354</v>
      </c>
      <c r="G1912" s="178">
        <v>1180.5999999999999</v>
      </c>
      <c r="H1912" s="179">
        <v>42842</v>
      </c>
      <c r="I1912" s="178">
        <f t="shared" si="59"/>
        <v>1180.5999999999999</v>
      </c>
      <c r="J1912" s="178">
        <f t="shared" si="60"/>
        <v>0</v>
      </c>
      <c r="K1912" s="19"/>
    </row>
    <row r="1913" spans="1:11" x14ac:dyDescent="0.25">
      <c r="A1913" s="51">
        <v>42842</v>
      </c>
      <c r="B1913" s="174" t="s">
        <v>13453</v>
      </c>
      <c r="C1913" s="175"/>
      <c r="D1913" s="176" t="s">
        <v>13453</v>
      </c>
      <c r="E1913" s="176">
        <v>108347</v>
      </c>
      <c r="F1913" s="177" t="s">
        <v>69</v>
      </c>
      <c r="G1913" s="178">
        <v>2928.3</v>
      </c>
      <c r="H1913" s="179">
        <v>42843</v>
      </c>
      <c r="I1913" s="178">
        <f t="shared" si="59"/>
        <v>2928.3</v>
      </c>
      <c r="J1913" s="178">
        <f t="shared" si="60"/>
        <v>0</v>
      </c>
      <c r="K1913" s="19"/>
    </row>
    <row r="1914" spans="1:11" x14ac:dyDescent="0.25">
      <c r="A1914" s="51">
        <v>42842</v>
      </c>
      <c r="B1914" s="174" t="s">
        <v>13454</v>
      </c>
      <c r="C1914" s="175"/>
      <c r="D1914" s="176" t="s">
        <v>13454</v>
      </c>
      <c r="E1914" s="176">
        <v>108348</v>
      </c>
      <c r="F1914" s="177" t="s">
        <v>312</v>
      </c>
      <c r="G1914" s="178">
        <v>7303.5</v>
      </c>
      <c r="H1914" s="186">
        <v>42893</v>
      </c>
      <c r="I1914" s="187">
        <f t="shared" si="59"/>
        <v>7303.5</v>
      </c>
      <c r="J1914" s="178">
        <f t="shared" si="60"/>
        <v>0</v>
      </c>
      <c r="K1914" s="19"/>
    </row>
    <row r="1915" spans="1:11" x14ac:dyDescent="0.25">
      <c r="A1915" s="51">
        <v>42842</v>
      </c>
      <c r="B1915" s="174" t="s">
        <v>13455</v>
      </c>
      <c r="C1915" s="175"/>
      <c r="D1915" s="176" t="s">
        <v>13455</v>
      </c>
      <c r="E1915" s="176">
        <v>108349</v>
      </c>
      <c r="F1915" s="177" t="s">
        <v>2054</v>
      </c>
      <c r="G1915" s="178">
        <v>3081.6</v>
      </c>
      <c r="H1915" s="179">
        <v>42842</v>
      </c>
      <c r="I1915" s="178">
        <f t="shared" si="59"/>
        <v>3081.6</v>
      </c>
      <c r="J1915" s="178">
        <f t="shared" si="60"/>
        <v>0</v>
      </c>
      <c r="K1915" s="19"/>
    </row>
    <row r="1916" spans="1:11" x14ac:dyDescent="0.25">
      <c r="A1916" s="51">
        <v>42842</v>
      </c>
      <c r="B1916" s="174" t="s">
        <v>13456</v>
      </c>
      <c r="C1916" s="175"/>
      <c r="D1916" s="176" t="s">
        <v>13456</v>
      </c>
      <c r="E1916" s="176">
        <v>108350</v>
      </c>
      <c r="F1916" s="177" t="s">
        <v>147</v>
      </c>
      <c r="G1916" s="178">
        <v>32108.799999999999</v>
      </c>
      <c r="H1916" s="179">
        <v>42843</v>
      </c>
      <c r="I1916" s="178">
        <f t="shared" si="59"/>
        <v>32108.799999999999</v>
      </c>
      <c r="J1916" s="178">
        <f t="shared" si="60"/>
        <v>0</v>
      </c>
      <c r="K1916" s="19"/>
    </row>
    <row r="1917" spans="1:11" x14ac:dyDescent="0.25">
      <c r="A1917" s="51">
        <v>42842</v>
      </c>
      <c r="B1917" s="174" t="s">
        <v>13457</v>
      </c>
      <c r="C1917" s="175"/>
      <c r="D1917" s="176" t="s">
        <v>13457</v>
      </c>
      <c r="E1917" s="176">
        <v>108351</v>
      </c>
      <c r="F1917" s="177" t="s">
        <v>47</v>
      </c>
      <c r="G1917" s="178">
        <v>2366.5</v>
      </c>
      <c r="H1917" s="179">
        <v>42842</v>
      </c>
      <c r="I1917" s="178">
        <f t="shared" si="59"/>
        <v>2366.5</v>
      </c>
      <c r="J1917" s="178">
        <f t="shared" si="60"/>
        <v>0</v>
      </c>
      <c r="K1917" s="19"/>
    </row>
    <row r="1918" spans="1:11" x14ac:dyDescent="0.25">
      <c r="A1918" s="51">
        <v>42842</v>
      </c>
      <c r="B1918" s="174" t="s">
        <v>13458</v>
      </c>
      <c r="C1918" s="175"/>
      <c r="D1918" s="176" t="s">
        <v>13458</v>
      </c>
      <c r="E1918" s="176">
        <v>108352</v>
      </c>
      <c r="F1918" s="177" t="s">
        <v>367</v>
      </c>
      <c r="G1918" s="178">
        <v>1575</v>
      </c>
      <c r="H1918" s="179">
        <v>42842</v>
      </c>
      <c r="I1918" s="178">
        <f t="shared" si="59"/>
        <v>1575</v>
      </c>
      <c r="J1918" s="178">
        <f t="shared" si="60"/>
        <v>0</v>
      </c>
      <c r="K1918" s="19"/>
    </row>
    <row r="1919" spans="1:11" x14ac:dyDescent="0.25">
      <c r="A1919" s="51">
        <v>42842</v>
      </c>
      <c r="B1919" s="174" t="s">
        <v>13459</v>
      </c>
      <c r="C1919" s="175"/>
      <c r="D1919" s="176" t="s">
        <v>13459</v>
      </c>
      <c r="E1919" s="176">
        <v>108353</v>
      </c>
      <c r="F1919" s="177" t="s">
        <v>1598</v>
      </c>
      <c r="G1919" s="178">
        <v>4838.3999999999996</v>
      </c>
      <c r="H1919" s="186" t="s">
        <v>15195</v>
      </c>
      <c r="I1919" s="187">
        <f>4000+838.4</f>
        <v>4838.3999999999996</v>
      </c>
      <c r="J1919" s="188">
        <f t="shared" si="60"/>
        <v>0</v>
      </c>
      <c r="K1919" s="19"/>
    </row>
    <row r="1920" spans="1:11" x14ac:dyDescent="0.25">
      <c r="A1920" s="51">
        <v>42842</v>
      </c>
      <c r="B1920" s="174" t="s">
        <v>13460</v>
      </c>
      <c r="C1920" s="175"/>
      <c r="D1920" s="176" t="s">
        <v>13460</v>
      </c>
      <c r="E1920" s="176">
        <v>108354</v>
      </c>
      <c r="F1920" s="177" t="s">
        <v>1197</v>
      </c>
      <c r="G1920" s="178">
        <v>4715.6000000000004</v>
      </c>
      <c r="H1920" s="179">
        <v>42845</v>
      </c>
      <c r="I1920" s="178">
        <f t="shared" si="59"/>
        <v>4715.6000000000004</v>
      </c>
      <c r="J1920" s="178">
        <f t="shared" si="60"/>
        <v>0</v>
      </c>
      <c r="K1920" s="19"/>
    </row>
    <row r="1921" spans="1:11" x14ac:dyDescent="0.25">
      <c r="A1921" s="51">
        <v>42842</v>
      </c>
      <c r="B1921" s="174" t="s">
        <v>13461</v>
      </c>
      <c r="C1921" s="175"/>
      <c r="D1921" s="176" t="s">
        <v>13461</v>
      </c>
      <c r="E1921" s="176">
        <v>108355</v>
      </c>
      <c r="F1921" s="177" t="s">
        <v>675</v>
      </c>
      <c r="G1921" s="178">
        <v>1986.4</v>
      </c>
      <c r="H1921" s="179">
        <v>42845</v>
      </c>
      <c r="I1921" s="178">
        <f t="shared" si="59"/>
        <v>1986.4</v>
      </c>
      <c r="J1921" s="178">
        <f t="shared" si="60"/>
        <v>0</v>
      </c>
      <c r="K1921" s="19"/>
    </row>
    <row r="1922" spans="1:11" x14ac:dyDescent="0.25">
      <c r="A1922" s="51">
        <v>42842</v>
      </c>
      <c r="B1922" s="174" t="s">
        <v>13462</v>
      </c>
      <c r="C1922" s="175"/>
      <c r="D1922" s="176" t="s">
        <v>13462</v>
      </c>
      <c r="E1922" s="176">
        <v>108356</v>
      </c>
      <c r="F1922" s="177" t="s">
        <v>670</v>
      </c>
      <c r="G1922" s="178">
        <v>125836.85</v>
      </c>
      <c r="H1922" s="179">
        <v>42845</v>
      </c>
      <c r="I1922" s="178">
        <f t="shared" si="59"/>
        <v>125836.85</v>
      </c>
      <c r="J1922" s="178">
        <f t="shared" si="60"/>
        <v>0</v>
      </c>
      <c r="K1922" s="19"/>
    </row>
    <row r="1923" spans="1:11" x14ac:dyDescent="0.25">
      <c r="A1923" s="51">
        <v>42842</v>
      </c>
      <c r="B1923" s="174" t="s">
        <v>13463</v>
      </c>
      <c r="C1923" s="175"/>
      <c r="D1923" s="176" t="s">
        <v>13463</v>
      </c>
      <c r="E1923" s="176">
        <v>108357</v>
      </c>
      <c r="F1923" s="177" t="s">
        <v>673</v>
      </c>
      <c r="G1923" s="178">
        <v>13989</v>
      </c>
      <c r="H1923" s="179">
        <v>42845</v>
      </c>
      <c r="I1923" s="178">
        <f t="shared" si="59"/>
        <v>13989</v>
      </c>
      <c r="J1923" s="178">
        <f t="shared" si="60"/>
        <v>0</v>
      </c>
      <c r="K1923" s="19"/>
    </row>
    <row r="1924" spans="1:11" x14ac:dyDescent="0.25">
      <c r="A1924" s="51">
        <v>42842</v>
      </c>
      <c r="B1924" s="174" t="s">
        <v>13464</v>
      </c>
      <c r="C1924" s="175"/>
      <c r="D1924" s="176" t="s">
        <v>13464</v>
      </c>
      <c r="E1924" s="176">
        <v>108358</v>
      </c>
      <c r="F1924" s="177" t="s">
        <v>680</v>
      </c>
      <c r="G1924" s="178">
        <v>2324.4</v>
      </c>
      <c r="H1924" s="179">
        <v>42845</v>
      </c>
      <c r="I1924" s="178">
        <f t="shared" ref="I1924:I1987" si="61">G1924</f>
        <v>2324.4</v>
      </c>
      <c r="J1924" s="178">
        <f t="shared" ref="J1924:J1987" si="62">G1924-I1924</f>
        <v>0</v>
      </c>
      <c r="K1924" s="19"/>
    </row>
    <row r="1925" spans="1:11" x14ac:dyDescent="0.25">
      <c r="A1925" s="51">
        <v>42842</v>
      </c>
      <c r="B1925" s="174" t="s">
        <v>13465</v>
      </c>
      <c r="C1925" s="175"/>
      <c r="D1925" s="176" t="s">
        <v>13465</v>
      </c>
      <c r="E1925" s="176">
        <v>108359</v>
      </c>
      <c r="F1925" s="177" t="s">
        <v>45</v>
      </c>
      <c r="G1925" s="178">
        <v>1510.6</v>
      </c>
      <c r="H1925" s="179">
        <v>42842</v>
      </c>
      <c r="I1925" s="178">
        <f t="shared" si="61"/>
        <v>1510.6</v>
      </c>
      <c r="J1925" s="178">
        <f t="shared" si="62"/>
        <v>0</v>
      </c>
      <c r="K1925" s="19"/>
    </row>
    <row r="1926" spans="1:11" x14ac:dyDescent="0.25">
      <c r="A1926" s="51">
        <v>42842</v>
      </c>
      <c r="B1926" s="174" t="s">
        <v>13466</v>
      </c>
      <c r="C1926" s="175"/>
      <c r="D1926" s="176" t="s">
        <v>13466</v>
      </c>
      <c r="E1926" s="176">
        <v>108360</v>
      </c>
      <c r="F1926" s="177" t="s">
        <v>688</v>
      </c>
      <c r="G1926" s="178">
        <v>10182</v>
      </c>
      <c r="H1926" s="179">
        <v>42845</v>
      </c>
      <c r="I1926" s="178">
        <f t="shared" si="61"/>
        <v>10182</v>
      </c>
      <c r="J1926" s="178">
        <f t="shared" si="62"/>
        <v>0</v>
      </c>
      <c r="K1926" s="19"/>
    </row>
    <row r="1927" spans="1:11" x14ac:dyDescent="0.25">
      <c r="A1927" s="51">
        <v>42842</v>
      </c>
      <c r="B1927" s="174" t="s">
        <v>13467</v>
      </c>
      <c r="C1927" s="175"/>
      <c r="D1927" s="176" t="s">
        <v>13467</v>
      </c>
      <c r="E1927" s="176">
        <v>108361</v>
      </c>
      <c r="F1927" s="177" t="s">
        <v>2240</v>
      </c>
      <c r="G1927" s="178">
        <v>1967.2</v>
      </c>
      <c r="H1927" s="179">
        <v>42842</v>
      </c>
      <c r="I1927" s="178">
        <f t="shared" si="61"/>
        <v>1967.2</v>
      </c>
      <c r="J1927" s="178">
        <f t="shared" si="62"/>
        <v>0</v>
      </c>
      <c r="K1927" s="19"/>
    </row>
    <row r="1928" spans="1:11" x14ac:dyDescent="0.25">
      <c r="A1928" s="51">
        <v>42842</v>
      </c>
      <c r="B1928" s="174" t="s">
        <v>13468</v>
      </c>
      <c r="C1928" s="175"/>
      <c r="D1928" s="176" t="s">
        <v>13468</v>
      </c>
      <c r="E1928" s="176">
        <v>108362</v>
      </c>
      <c r="F1928" s="177" t="s">
        <v>686</v>
      </c>
      <c r="G1928" s="178">
        <v>24011.3</v>
      </c>
      <c r="H1928" s="179">
        <v>42845</v>
      </c>
      <c r="I1928" s="178">
        <f t="shared" si="61"/>
        <v>24011.3</v>
      </c>
      <c r="J1928" s="178">
        <f t="shared" si="62"/>
        <v>0</v>
      </c>
      <c r="K1928" s="19"/>
    </row>
    <row r="1929" spans="1:11" x14ac:dyDescent="0.25">
      <c r="A1929" s="51">
        <v>42842</v>
      </c>
      <c r="B1929" s="174" t="s">
        <v>13469</v>
      </c>
      <c r="C1929" s="175"/>
      <c r="D1929" s="176" t="s">
        <v>13469</v>
      </c>
      <c r="E1929" s="176">
        <v>108363</v>
      </c>
      <c r="F1929" s="177" t="s">
        <v>405</v>
      </c>
      <c r="G1929" s="178">
        <v>2637.6</v>
      </c>
      <c r="H1929" s="179">
        <v>42843</v>
      </c>
      <c r="I1929" s="178">
        <f t="shared" si="61"/>
        <v>2637.6</v>
      </c>
      <c r="J1929" s="178">
        <f t="shared" si="62"/>
        <v>0</v>
      </c>
      <c r="K1929" s="19"/>
    </row>
    <row r="1930" spans="1:11" x14ac:dyDescent="0.25">
      <c r="A1930" s="51">
        <v>42842</v>
      </c>
      <c r="B1930" s="174" t="s">
        <v>13470</v>
      </c>
      <c r="C1930" s="175"/>
      <c r="D1930" s="176" t="s">
        <v>13470</v>
      </c>
      <c r="E1930" s="176">
        <v>108364</v>
      </c>
      <c r="F1930" s="177" t="s">
        <v>677</v>
      </c>
      <c r="G1930" s="178">
        <v>2138.8000000000002</v>
      </c>
      <c r="H1930" s="179">
        <v>42845</v>
      </c>
      <c r="I1930" s="178">
        <f t="shared" si="61"/>
        <v>2138.8000000000002</v>
      </c>
      <c r="J1930" s="178">
        <f t="shared" si="62"/>
        <v>0</v>
      </c>
      <c r="K1930" s="19"/>
    </row>
    <row r="1931" spans="1:11" x14ac:dyDescent="0.25">
      <c r="A1931" s="51">
        <v>42842</v>
      </c>
      <c r="B1931" s="174" t="s">
        <v>13471</v>
      </c>
      <c r="C1931" s="175"/>
      <c r="D1931" s="176" t="s">
        <v>13471</v>
      </c>
      <c r="E1931" s="176">
        <v>108365</v>
      </c>
      <c r="F1931" s="177" t="s">
        <v>55</v>
      </c>
      <c r="G1931" s="178">
        <v>7229.6</v>
      </c>
      <c r="H1931" s="179">
        <v>42842</v>
      </c>
      <c r="I1931" s="178">
        <f t="shared" si="61"/>
        <v>7229.6</v>
      </c>
      <c r="J1931" s="178">
        <f t="shared" si="62"/>
        <v>0</v>
      </c>
      <c r="K1931" s="19"/>
    </row>
    <row r="1932" spans="1:11" x14ac:dyDescent="0.25">
      <c r="A1932" s="51">
        <v>42842</v>
      </c>
      <c r="B1932" s="174" t="s">
        <v>13472</v>
      </c>
      <c r="C1932" s="175"/>
      <c r="D1932" s="176" t="s">
        <v>13472</v>
      </c>
      <c r="E1932" s="176">
        <v>108366</v>
      </c>
      <c r="F1932" s="177" t="s">
        <v>10</v>
      </c>
      <c r="G1932" s="178">
        <v>28167.599999999999</v>
      </c>
      <c r="H1932" s="179">
        <v>42846</v>
      </c>
      <c r="I1932" s="178">
        <f t="shared" si="61"/>
        <v>28167.599999999999</v>
      </c>
      <c r="J1932" s="178">
        <f t="shared" si="62"/>
        <v>0</v>
      </c>
      <c r="K1932" s="19"/>
    </row>
    <row r="1933" spans="1:11" x14ac:dyDescent="0.25">
      <c r="A1933" s="51">
        <v>42842</v>
      </c>
      <c r="B1933" s="174" t="s">
        <v>13473</v>
      </c>
      <c r="C1933" s="175"/>
      <c r="D1933" s="176" t="s">
        <v>13473</v>
      </c>
      <c r="E1933" s="176">
        <v>108367</v>
      </c>
      <c r="F1933" s="177" t="s">
        <v>21</v>
      </c>
      <c r="G1933" s="178">
        <v>16564</v>
      </c>
      <c r="H1933" s="186">
        <v>42858</v>
      </c>
      <c r="I1933" s="187">
        <f t="shared" si="61"/>
        <v>16564</v>
      </c>
      <c r="J1933" s="178">
        <f t="shared" si="62"/>
        <v>0</v>
      </c>
      <c r="K1933" s="19"/>
    </row>
    <row r="1934" spans="1:11" x14ac:dyDescent="0.25">
      <c r="A1934" s="51">
        <v>42843</v>
      </c>
      <c r="B1934" s="174" t="s">
        <v>13474</v>
      </c>
      <c r="C1934" s="175"/>
      <c r="D1934" s="176" t="s">
        <v>13474</v>
      </c>
      <c r="E1934" s="176">
        <v>108368</v>
      </c>
      <c r="F1934" s="177" t="s">
        <v>231</v>
      </c>
      <c r="G1934" s="178">
        <v>5712.6</v>
      </c>
      <c r="H1934" s="179">
        <v>42843</v>
      </c>
      <c r="I1934" s="178">
        <f t="shared" si="61"/>
        <v>5712.6</v>
      </c>
      <c r="J1934" s="178">
        <f t="shared" si="62"/>
        <v>0</v>
      </c>
      <c r="K1934" s="19"/>
    </row>
    <row r="1935" spans="1:11" x14ac:dyDescent="0.25">
      <c r="A1935" s="51">
        <v>42843</v>
      </c>
      <c r="B1935" s="174" t="s">
        <v>13475</v>
      </c>
      <c r="C1935" s="175"/>
      <c r="D1935" s="176" t="s">
        <v>13475</v>
      </c>
      <c r="E1935" s="176">
        <v>108369</v>
      </c>
      <c r="F1935" s="177" t="s">
        <v>231</v>
      </c>
      <c r="G1935" s="178">
        <v>43536</v>
      </c>
      <c r="H1935" s="179">
        <v>42844</v>
      </c>
      <c r="I1935" s="178">
        <f t="shared" si="61"/>
        <v>43536</v>
      </c>
      <c r="J1935" s="178">
        <f t="shared" si="62"/>
        <v>0</v>
      </c>
      <c r="K1935" s="19"/>
    </row>
    <row r="1936" spans="1:11" x14ac:dyDescent="0.25">
      <c r="A1936" s="51">
        <v>42843</v>
      </c>
      <c r="B1936" s="174" t="s">
        <v>13476</v>
      </c>
      <c r="C1936" s="175"/>
      <c r="D1936" s="176" t="s">
        <v>13476</v>
      </c>
      <c r="E1936" s="176">
        <v>108370</v>
      </c>
      <c r="F1936" s="177" t="s">
        <v>71</v>
      </c>
      <c r="G1936" s="178">
        <v>2915</v>
      </c>
      <c r="H1936" s="179">
        <v>42843</v>
      </c>
      <c r="I1936" s="178">
        <f t="shared" si="61"/>
        <v>2915</v>
      </c>
      <c r="J1936" s="178">
        <f t="shared" si="62"/>
        <v>0</v>
      </c>
      <c r="K1936" s="19"/>
    </row>
    <row r="1937" spans="1:11" x14ac:dyDescent="0.25">
      <c r="A1937" s="51">
        <v>42843</v>
      </c>
      <c r="B1937" s="174" t="s">
        <v>13477</v>
      </c>
      <c r="C1937" s="175"/>
      <c r="D1937" s="176" t="s">
        <v>13477</v>
      </c>
      <c r="E1937" s="176">
        <v>108371</v>
      </c>
      <c r="F1937" s="177" t="s">
        <v>35</v>
      </c>
      <c r="G1937" s="178">
        <v>8963.1</v>
      </c>
      <c r="H1937" s="179">
        <v>42845</v>
      </c>
      <c r="I1937" s="178">
        <f t="shared" si="61"/>
        <v>8963.1</v>
      </c>
      <c r="J1937" s="178">
        <f t="shared" si="62"/>
        <v>0</v>
      </c>
      <c r="K1937" s="19"/>
    </row>
    <row r="1938" spans="1:11" x14ac:dyDescent="0.25">
      <c r="A1938" s="51">
        <v>42843</v>
      </c>
      <c r="B1938" s="174" t="s">
        <v>13478</v>
      </c>
      <c r="C1938" s="175"/>
      <c r="D1938" s="176" t="s">
        <v>13478</v>
      </c>
      <c r="E1938" s="176">
        <v>108372</v>
      </c>
      <c r="F1938" s="177" t="s">
        <v>32</v>
      </c>
      <c r="G1938" s="178">
        <v>2470.1999999999998</v>
      </c>
      <c r="H1938" s="179">
        <v>42849</v>
      </c>
      <c r="I1938" s="178">
        <f t="shared" si="61"/>
        <v>2470.1999999999998</v>
      </c>
      <c r="J1938" s="178">
        <f t="shared" si="62"/>
        <v>0</v>
      </c>
      <c r="K1938" s="19"/>
    </row>
    <row r="1939" spans="1:11" x14ac:dyDescent="0.25">
      <c r="A1939" s="51">
        <v>42843</v>
      </c>
      <c r="B1939" s="174" t="s">
        <v>13479</v>
      </c>
      <c r="C1939" s="175"/>
      <c r="D1939" s="176" t="s">
        <v>13479</v>
      </c>
      <c r="E1939" s="176">
        <v>108373</v>
      </c>
      <c r="F1939" s="177" t="s">
        <v>21</v>
      </c>
      <c r="G1939" s="178">
        <v>46051.199999999997</v>
      </c>
      <c r="H1939" s="186">
        <v>42858</v>
      </c>
      <c r="I1939" s="187">
        <f t="shared" si="61"/>
        <v>46051.199999999997</v>
      </c>
      <c r="J1939" s="178">
        <f t="shared" si="62"/>
        <v>0</v>
      </c>
      <c r="K1939" s="19"/>
    </row>
    <row r="1940" spans="1:11" x14ac:dyDescent="0.25">
      <c r="A1940" s="51">
        <v>42843</v>
      </c>
      <c r="B1940" s="174" t="s">
        <v>13480</v>
      </c>
      <c r="C1940" s="175"/>
      <c r="D1940" s="176" t="s">
        <v>13480</v>
      </c>
      <c r="E1940" s="176">
        <v>108374</v>
      </c>
      <c r="F1940" s="177" t="s">
        <v>38</v>
      </c>
      <c r="G1940" s="178">
        <v>3222.7</v>
      </c>
      <c r="H1940" s="179">
        <v>42845</v>
      </c>
      <c r="I1940" s="178">
        <f t="shared" si="61"/>
        <v>3222.7</v>
      </c>
      <c r="J1940" s="178">
        <f t="shared" si="62"/>
        <v>0</v>
      </c>
      <c r="K1940" s="19"/>
    </row>
    <row r="1941" spans="1:11" x14ac:dyDescent="0.25">
      <c r="A1941" s="51">
        <v>42843</v>
      </c>
      <c r="B1941" s="174" t="s">
        <v>13481</v>
      </c>
      <c r="C1941" s="175"/>
      <c r="D1941" s="176" t="s">
        <v>13481</v>
      </c>
      <c r="E1941" s="176">
        <v>108375</v>
      </c>
      <c r="F1941" s="177" t="s">
        <v>49</v>
      </c>
      <c r="G1941" s="178">
        <v>12542.4</v>
      </c>
      <c r="H1941" s="179" t="s">
        <v>13482</v>
      </c>
      <c r="I1941" s="178">
        <f>5600+6942.4</f>
        <v>12542.4</v>
      </c>
      <c r="J1941" s="178">
        <f t="shared" si="62"/>
        <v>0</v>
      </c>
      <c r="K1941" s="19"/>
    </row>
    <row r="1942" spans="1:11" x14ac:dyDescent="0.25">
      <c r="A1942" s="51">
        <v>42843</v>
      </c>
      <c r="B1942" s="174" t="s">
        <v>13483</v>
      </c>
      <c r="C1942" s="175"/>
      <c r="D1942" s="176" t="s">
        <v>13483</v>
      </c>
      <c r="E1942" s="176">
        <v>108376</v>
      </c>
      <c r="F1942" s="177" t="s">
        <v>43</v>
      </c>
      <c r="G1942" s="178">
        <v>3950.9</v>
      </c>
      <c r="H1942" s="179"/>
      <c r="I1942" s="178">
        <f t="shared" si="61"/>
        <v>3950.9</v>
      </c>
      <c r="J1942" s="178">
        <f t="shared" si="62"/>
        <v>0</v>
      </c>
      <c r="K1942" s="19"/>
    </row>
    <row r="1943" spans="1:11" x14ac:dyDescent="0.25">
      <c r="A1943" s="51">
        <v>42843</v>
      </c>
      <c r="B1943" s="174" t="s">
        <v>13484</v>
      </c>
      <c r="C1943" s="175"/>
      <c r="D1943" s="176" t="s">
        <v>13484</v>
      </c>
      <c r="E1943" s="176">
        <v>108377</v>
      </c>
      <c r="F1943" s="177" t="s">
        <v>43</v>
      </c>
      <c r="G1943" s="178">
        <v>3858.7</v>
      </c>
      <c r="H1943" s="179">
        <v>42845</v>
      </c>
      <c r="I1943" s="178">
        <f t="shared" si="61"/>
        <v>3858.7</v>
      </c>
      <c r="J1943" s="178">
        <f t="shared" si="62"/>
        <v>0</v>
      </c>
      <c r="K1943" s="19"/>
    </row>
    <row r="1944" spans="1:11" x14ac:dyDescent="0.25">
      <c r="A1944" s="51">
        <v>42843</v>
      </c>
      <c r="B1944" s="174" t="s">
        <v>13485</v>
      </c>
      <c r="C1944" s="175"/>
      <c r="D1944" s="176" t="s">
        <v>13485</v>
      </c>
      <c r="E1944" s="176">
        <v>108378</v>
      </c>
      <c r="F1944" s="177" t="s">
        <v>55</v>
      </c>
      <c r="G1944" s="178">
        <v>9020.2999999999993</v>
      </c>
      <c r="H1944" s="179">
        <v>42843</v>
      </c>
      <c r="I1944" s="178">
        <f t="shared" si="61"/>
        <v>9020.2999999999993</v>
      </c>
      <c r="J1944" s="178">
        <f t="shared" si="62"/>
        <v>0</v>
      </c>
    </row>
    <row r="1945" spans="1:11" x14ac:dyDescent="0.25">
      <c r="A1945" s="51">
        <v>42843</v>
      </c>
      <c r="B1945" s="174" t="s">
        <v>13486</v>
      </c>
      <c r="C1945" s="175"/>
      <c r="D1945" s="176" t="s">
        <v>13486</v>
      </c>
      <c r="E1945" s="176">
        <v>108379</v>
      </c>
      <c r="F1945" s="177" t="s">
        <v>6922</v>
      </c>
      <c r="G1945" s="178">
        <v>5731.6</v>
      </c>
      <c r="H1945" s="179">
        <v>42843</v>
      </c>
      <c r="I1945" s="178">
        <f t="shared" si="61"/>
        <v>5731.6</v>
      </c>
      <c r="J1945" s="178">
        <f t="shared" si="62"/>
        <v>0</v>
      </c>
    </row>
    <row r="1946" spans="1:11" x14ac:dyDescent="0.25">
      <c r="A1946" s="51">
        <v>42843</v>
      </c>
      <c r="B1946" s="174" t="s">
        <v>13487</v>
      </c>
      <c r="C1946" s="175"/>
      <c r="D1946" s="176" t="s">
        <v>13487</v>
      </c>
      <c r="E1946" s="176">
        <v>108380</v>
      </c>
      <c r="F1946" s="177" t="s">
        <v>17</v>
      </c>
      <c r="G1946" s="178">
        <v>1980</v>
      </c>
      <c r="H1946" s="179">
        <v>42843</v>
      </c>
      <c r="I1946" s="178">
        <f t="shared" si="61"/>
        <v>1980</v>
      </c>
      <c r="J1946" s="178">
        <f t="shared" si="62"/>
        <v>0</v>
      </c>
    </row>
    <row r="1947" spans="1:11" x14ac:dyDescent="0.25">
      <c r="A1947" s="51">
        <v>42843</v>
      </c>
      <c r="B1947" s="174" t="s">
        <v>13488</v>
      </c>
      <c r="C1947" s="175"/>
      <c r="D1947" s="176" t="s">
        <v>13488</v>
      </c>
      <c r="E1947" s="176">
        <v>108381</v>
      </c>
      <c r="F1947" s="177" t="s">
        <v>51</v>
      </c>
      <c r="G1947" s="178">
        <v>2800.6</v>
      </c>
      <c r="H1947" s="179">
        <v>42845</v>
      </c>
      <c r="I1947" s="178">
        <f t="shared" si="61"/>
        <v>2800.6</v>
      </c>
      <c r="J1947" s="178">
        <f t="shared" si="62"/>
        <v>0</v>
      </c>
    </row>
    <row r="1948" spans="1:11" x14ac:dyDescent="0.25">
      <c r="A1948" s="51">
        <v>42843</v>
      </c>
      <c r="B1948" s="174" t="s">
        <v>13489</v>
      </c>
      <c r="C1948" s="175"/>
      <c r="D1948" s="176" t="s">
        <v>13489</v>
      </c>
      <c r="E1948" s="176">
        <v>108382</v>
      </c>
      <c r="F1948" s="177" t="s">
        <v>9302</v>
      </c>
      <c r="G1948" s="178">
        <v>6905.6</v>
      </c>
      <c r="H1948" s="179">
        <v>42843</v>
      </c>
      <c r="I1948" s="178">
        <f t="shared" si="61"/>
        <v>6905.6</v>
      </c>
      <c r="J1948" s="178">
        <f t="shared" si="62"/>
        <v>0</v>
      </c>
    </row>
    <row r="1949" spans="1:11" x14ac:dyDescent="0.25">
      <c r="A1949" s="51">
        <v>42843</v>
      </c>
      <c r="B1949" s="174" t="s">
        <v>13490</v>
      </c>
      <c r="C1949" s="175"/>
      <c r="D1949" s="176" t="s">
        <v>13490</v>
      </c>
      <c r="E1949" s="176">
        <v>108383</v>
      </c>
      <c r="F1949" s="177" t="s">
        <v>35</v>
      </c>
      <c r="G1949" s="178">
        <v>511.5</v>
      </c>
      <c r="H1949" s="179">
        <v>42845</v>
      </c>
      <c r="I1949" s="178">
        <f t="shared" si="61"/>
        <v>511.5</v>
      </c>
      <c r="J1949" s="178">
        <f t="shared" si="62"/>
        <v>0</v>
      </c>
    </row>
    <row r="1950" spans="1:11" x14ac:dyDescent="0.25">
      <c r="A1950" s="51">
        <v>42843</v>
      </c>
      <c r="B1950" s="174" t="s">
        <v>13491</v>
      </c>
      <c r="C1950" s="175"/>
      <c r="D1950" s="176" t="s">
        <v>13491</v>
      </c>
      <c r="E1950" s="176">
        <v>108384</v>
      </c>
      <c r="F1950" s="177" t="s">
        <v>43</v>
      </c>
      <c r="G1950" s="178">
        <v>2182.8000000000002</v>
      </c>
      <c r="H1950" s="179">
        <v>42845</v>
      </c>
      <c r="I1950" s="178">
        <f t="shared" si="61"/>
        <v>2182.8000000000002</v>
      </c>
      <c r="J1950" s="178">
        <f t="shared" si="62"/>
        <v>0</v>
      </c>
    </row>
    <row r="1951" spans="1:11" x14ac:dyDescent="0.25">
      <c r="A1951" s="51">
        <v>42843</v>
      </c>
      <c r="B1951" s="174" t="s">
        <v>13492</v>
      </c>
      <c r="C1951" s="175"/>
      <c r="D1951" s="176" t="s">
        <v>13492</v>
      </c>
      <c r="E1951" s="176">
        <v>108385</v>
      </c>
      <c r="F1951" s="177" t="s">
        <v>428</v>
      </c>
      <c r="G1951" s="178">
        <v>1702.8</v>
      </c>
      <c r="H1951" s="179">
        <v>42844</v>
      </c>
      <c r="I1951" s="178">
        <f t="shared" si="61"/>
        <v>1702.8</v>
      </c>
      <c r="J1951" s="178">
        <f t="shared" si="62"/>
        <v>0</v>
      </c>
    </row>
    <row r="1952" spans="1:11" x14ac:dyDescent="0.25">
      <c r="A1952" s="51">
        <v>42843</v>
      </c>
      <c r="B1952" s="174" t="s">
        <v>13493</v>
      </c>
      <c r="C1952" s="175"/>
      <c r="D1952" s="176" t="s">
        <v>13493</v>
      </c>
      <c r="E1952" s="176">
        <v>108386</v>
      </c>
      <c r="F1952" s="177" t="s">
        <v>26</v>
      </c>
      <c r="G1952" s="178">
        <v>13511.2</v>
      </c>
      <c r="H1952" s="179">
        <v>42843</v>
      </c>
      <c r="I1952" s="178">
        <f t="shared" si="61"/>
        <v>13511.2</v>
      </c>
      <c r="J1952" s="178">
        <f t="shared" si="62"/>
        <v>0</v>
      </c>
    </row>
    <row r="1953" spans="1:10" x14ac:dyDescent="0.25">
      <c r="A1953" s="51">
        <v>42843</v>
      </c>
      <c r="B1953" s="174" t="s">
        <v>13494</v>
      </c>
      <c r="C1953" s="175"/>
      <c r="D1953" s="176" t="s">
        <v>13494</v>
      </c>
      <c r="E1953" s="176">
        <v>108387</v>
      </c>
      <c r="F1953" s="177" t="s">
        <v>1062</v>
      </c>
      <c r="G1953" s="178">
        <v>5359.2</v>
      </c>
      <c r="H1953" s="179">
        <v>42843</v>
      </c>
      <c r="I1953" s="178">
        <f t="shared" si="61"/>
        <v>5359.2</v>
      </c>
      <c r="J1953" s="178">
        <f t="shared" si="62"/>
        <v>0</v>
      </c>
    </row>
    <row r="1954" spans="1:10" x14ac:dyDescent="0.25">
      <c r="A1954" s="51">
        <v>42843</v>
      </c>
      <c r="B1954" s="174" t="s">
        <v>13495</v>
      </c>
      <c r="C1954" s="175"/>
      <c r="D1954" s="176" t="s">
        <v>13495</v>
      </c>
      <c r="E1954" s="176">
        <v>108388</v>
      </c>
      <c r="F1954" s="177" t="s">
        <v>47</v>
      </c>
      <c r="G1954" s="178">
        <v>2360.6999999999998</v>
      </c>
      <c r="H1954" s="179">
        <v>42843</v>
      </c>
      <c r="I1954" s="178">
        <f t="shared" si="61"/>
        <v>2360.6999999999998</v>
      </c>
      <c r="J1954" s="178">
        <f t="shared" si="62"/>
        <v>0</v>
      </c>
    </row>
    <row r="1955" spans="1:10" x14ac:dyDescent="0.25">
      <c r="A1955" s="51">
        <v>42843</v>
      </c>
      <c r="B1955" s="174" t="s">
        <v>13496</v>
      </c>
      <c r="C1955" s="175"/>
      <c r="D1955" s="176" t="s">
        <v>13496</v>
      </c>
      <c r="E1955" s="176">
        <v>108389</v>
      </c>
      <c r="F1955" s="177" t="s">
        <v>157</v>
      </c>
      <c r="G1955" s="178">
        <v>12488.4</v>
      </c>
      <c r="H1955" s="179">
        <v>42843</v>
      </c>
      <c r="I1955" s="178">
        <f t="shared" si="61"/>
        <v>12488.4</v>
      </c>
      <c r="J1955" s="178">
        <f t="shared" si="62"/>
        <v>0</v>
      </c>
    </row>
    <row r="1956" spans="1:10" x14ac:dyDescent="0.25">
      <c r="A1956" s="51">
        <v>42843</v>
      </c>
      <c r="B1956" s="174" t="s">
        <v>13497</v>
      </c>
      <c r="C1956" s="175"/>
      <c r="D1956" s="176" t="s">
        <v>13497</v>
      </c>
      <c r="E1956" s="176">
        <v>108390</v>
      </c>
      <c r="F1956" s="177" t="s">
        <v>544</v>
      </c>
      <c r="G1956" s="178">
        <v>5072</v>
      </c>
      <c r="H1956" s="201">
        <v>42857</v>
      </c>
      <c r="I1956" s="188">
        <f t="shared" si="61"/>
        <v>5072</v>
      </c>
      <c r="J1956" s="178">
        <f t="shared" si="62"/>
        <v>0</v>
      </c>
    </row>
    <row r="1957" spans="1:10" x14ac:dyDescent="0.25">
      <c r="A1957" s="51">
        <v>42843</v>
      </c>
      <c r="B1957" s="174" t="s">
        <v>13498</v>
      </c>
      <c r="C1957" s="175"/>
      <c r="D1957" s="176" t="s">
        <v>13498</v>
      </c>
      <c r="E1957" s="176">
        <v>108391</v>
      </c>
      <c r="F1957" s="177" t="s">
        <v>30</v>
      </c>
      <c r="G1957" s="178">
        <v>84</v>
      </c>
      <c r="H1957" s="179">
        <v>42843</v>
      </c>
      <c r="I1957" s="178">
        <f t="shared" si="61"/>
        <v>84</v>
      </c>
      <c r="J1957" s="178">
        <f t="shared" si="62"/>
        <v>0</v>
      </c>
    </row>
    <row r="1958" spans="1:10" x14ac:dyDescent="0.25">
      <c r="A1958" s="51">
        <v>42843</v>
      </c>
      <c r="B1958" s="174" t="s">
        <v>13499</v>
      </c>
      <c r="C1958" s="175"/>
      <c r="D1958" s="176" t="s">
        <v>13499</v>
      </c>
      <c r="E1958" s="176">
        <v>108392</v>
      </c>
      <c r="F1958" s="177" t="s">
        <v>476</v>
      </c>
      <c r="G1958" s="178">
        <v>3675.4</v>
      </c>
      <c r="H1958" s="179">
        <v>42843</v>
      </c>
      <c r="I1958" s="178">
        <f t="shared" si="61"/>
        <v>3675.4</v>
      </c>
      <c r="J1958" s="178">
        <f t="shared" si="62"/>
        <v>0</v>
      </c>
    </row>
    <row r="1959" spans="1:10" x14ac:dyDescent="0.25">
      <c r="A1959" s="51">
        <v>42843</v>
      </c>
      <c r="B1959" s="174" t="s">
        <v>13500</v>
      </c>
      <c r="C1959" s="175"/>
      <c r="D1959" s="176" t="s">
        <v>13500</v>
      </c>
      <c r="E1959" s="176">
        <v>108393</v>
      </c>
      <c r="F1959" s="177" t="s">
        <v>240</v>
      </c>
      <c r="G1959" s="178">
        <v>8150.7</v>
      </c>
      <c r="H1959" s="179">
        <v>42843</v>
      </c>
      <c r="I1959" s="178">
        <f t="shared" si="61"/>
        <v>8150.7</v>
      </c>
      <c r="J1959" s="178">
        <f t="shared" si="62"/>
        <v>0</v>
      </c>
    </row>
    <row r="1960" spans="1:10" x14ac:dyDescent="0.25">
      <c r="A1960" s="51">
        <v>42843</v>
      </c>
      <c r="B1960" s="174" t="s">
        <v>13501</v>
      </c>
      <c r="C1960" s="175"/>
      <c r="D1960" s="176" t="s">
        <v>13501</v>
      </c>
      <c r="E1960" s="176">
        <v>108394</v>
      </c>
      <c r="F1960" s="177" t="s">
        <v>1116</v>
      </c>
      <c r="G1960" s="178">
        <v>5301.5</v>
      </c>
      <c r="H1960" s="180" t="s">
        <v>13502</v>
      </c>
      <c r="I1960" s="181">
        <f>5000+301.5</f>
        <v>5301.5</v>
      </c>
      <c r="J1960" s="181">
        <f t="shared" si="62"/>
        <v>0</v>
      </c>
    </row>
    <row r="1961" spans="1:10" x14ac:dyDescent="0.25">
      <c r="A1961" s="51">
        <v>42843</v>
      </c>
      <c r="B1961" s="174" t="s">
        <v>13503</v>
      </c>
      <c r="C1961" s="175"/>
      <c r="D1961" s="176" t="s">
        <v>13503</v>
      </c>
      <c r="E1961" s="176">
        <v>108395</v>
      </c>
      <c r="F1961" s="177" t="s">
        <v>79</v>
      </c>
      <c r="G1961" s="178">
        <v>576</v>
      </c>
      <c r="H1961" s="179">
        <v>42843</v>
      </c>
      <c r="I1961" s="178">
        <f t="shared" si="61"/>
        <v>576</v>
      </c>
      <c r="J1961" s="178">
        <f t="shared" si="62"/>
        <v>0</v>
      </c>
    </row>
    <row r="1962" spans="1:10" x14ac:dyDescent="0.25">
      <c r="A1962" s="51">
        <v>42843</v>
      </c>
      <c r="B1962" s="174" t="s">
        <v>13504</v>
      </c>
      <c r="C1962" s="175"/>
      <c r="D1962" s="176" t="s">
        <v>13504</v>
      </c>
      <c r="E1962" s="176">
        <v>108396</v>
      </c>
      <c r="F1962" s="177" t="s">
        <v>101</v>
      </c>
      <c r="G1962" s="178">
        <v>748</v>
      </c>
      <c r="H1962" s="179">
        <v>42843</v>
      </c>
      <c r="I1962" s="178">
        <f t="shared" si="61"/>
        <v>748</v>
      </c>
      <c r="J1962" s="178">
        <f t="shared" si="62"/>
        <v>0</v>
      </c>
    </row>
    <row r="1963" spans="1:10" x14ac:dyDescent="0.25">
      <c r="A1963" s="51">
        <v>42843</v>
      </c>
      <c r="B1963" s="174" t="s">
        <v>13505</v>
      </c>
      <c r="C1963" s="175"/>
      <c r="D1963" s="176" t="s">
        <v>13505</v>
      </c>
      <c r="E1963" s="176">
        <v>108397</v>
      </c>
      <c r="F1963" s="177" t="s">
        <v>99</v>
      </c>
      <c r="G1963" s="178">
        <v>1764.4</v>
      </c>
      <c r="H1963" s="179">
        <v>42843</v>
      </c>
      <c r="I1963" s="178">
        <f t="shared" si="61"/>
        <v>1764.4</v>
      </c>
      <c r="J1963" s="178">
        <f t="shared" si="62"/>
        <v>0</v>
      </c>
    </row>
    <row r="1964" spans="1:10" x14ac:dyDescent="0.25">
      <c r="A1964" s="51">
        <v>42843</v>
      </c>
      <c r="B1964" s="174" t="s">
        <v>13506</v>
      </c>
      <c r="C1964" s="175"/>
      <c r="D1964" s="176" t="s">
        <v>13506</v>
      </c>
      <c r="E1964" s="176">
        <v>108398</v>
      </c>
      <c r="F1964" s="177" t="s">
        <v>1259</v>
      </c>
      <c r="G1964" s="178">
        <v>1522.2</v>
      </c>
      <c r="H1964" s="179">
        <v>42843</v>
      </c>
      <c r="I1964" s="178">
        <f t="shared" si="61"/>
        <v>1522.2</v>
      </c>
      <c r="J1964" s="178">
        <f t="shared" si="62"/>
        <v>0</v>
      </c>
    </row>
    <row r="1965" spans="1:10" x14ac:dyDescent="0.25">
      <c r="A1965" s="51">
        <v>42843</v>
      </c>
      <c r="B1965" s="174" t="s">
        <v>13507</v>
      </c>
      <c r="C1965" s="175"/>
      <c r="D1965" s="176" t="s">
        <v>13507</v>
      </c>
      <c r="E1965" s="176">
        <v>108399</v>
      </c>
      <c r="F1965" s="177" t="s">
        <v>1081</v>
      </c>
      <c r="G1965" s="178">
        <v>638.79999999999995</v>
      </c>
      <c r="H1965" s="179">
        <v>42843</v>
      </c>
      <c r="I1965" s="178">
        <f t="shared" si="61"/>
        <v>638.79999999999995</v>
      </c>
      <c r="J1965" s="178">
        <f t="shared" si="62"/>
        <v>0</v>
      </c>
    </row>
    <row r="1966" spans="1:10" x14ac:dyDescent="0.25">
      <c r="A1966" s="51">
        <v>42843</v>
      </c>
      <c r="B1966" s="174" t="s">
        <v>13508</v>
      </c>
      <c r="C1966" s="175"/>
      <c r="D1966" s="176" t="s">
        <v>13508</v>
      </c>
      <c r="E1966" s="176">
        <v>108400</v>
      </c>
      <c r="F1966" s="177" t="s">
        <v>448</v>
      </c>
      <c r="G1966" s="178">
        <v>386.1</v>
      </c>
      <c r="H1966" s="179">
        <v>42843</v>
      </c>
      <c r="I1966" s="178">
        <f t="shared" si="61"/>
        <v>386.1</v>
      </c>
      <c r="J1966" s="178">
        <f t="shared" si="62"/>
        <v>0</v>
      </c>
    </row>
    <row r="1967" spans="1:10" x14ac:dyDescent="0.25">
      <c r="A1967" s="51">
        <v>42843</v>
      </c>
      <c r="B1967" s="174" t="s">
        <v>13509</v>
      </c>
      <c r="C1967" s="175"/>
      <c r="D1967" s="176" t="s">
        <v>13509</v>
      </c>
      <c r="E1967" s="176">
        <v>108401</v>
      </c>
      <c r="F1967" s="177" t="s">
        <v>1830</v>
      </c>
      <c r="G1967" s="178">
        <v>5478.6</v>
      </c>
      <c r="H1967" s="179">
        <v>42843</v>
      </c>
      <c r="I1967" s="178">
        <f t="shared" si="61"/>
        <v>5478.6</v>
      </c>
      <c r="J1967" s="178">
        <f t="shared" si="62"/>
        <v>0</v>
      </c>
    </row>
    <row r="1968" spans="1:10" x14ac:dyDescent="0.25">
      <c r="A1968" s="51">
        <v>42843</v>
      </c>
      <c r="B1968" s="174" t="s">
        <v>13510</v>
      </c>
      <c r="C1968" s="175"/>
      <c r="D1968" s="176" t="s">
        <v>13510</v>
      </c>
      <c r="E1968" s="176">
        <v>108402</v>
      </c>
      <c r="F1968" s="177" t="s">
        <v>293</v>
      </c>
      <c r="G1968" s="178">
        <v>1226.4000000000001</v>
      </c>
      <c r="H1968" s="179">
        <v>42846</v>
      </c>
      <c r="I1968" s="178">
        <f t="shared" si="61"/>
        <v>1226.4000000000001</v>
      </c>
      <c r="J1968" s="178">
        <f t="shared" si="62"/>
        <v>0</v>
      </c>
    </row>
    <row r="1969" spans="1:10" x14ac:dyDescent="0.25">
      <c r="A1969" s="51">
        <v>42843</v>
      </c>
      <c r="B1969" s="174" t="s">
        <v>13511</v>
      </c>
      <c r="C1969" s="175"/>
      <c r="D1969" s="176" t="s">
        <v>13511</v>
      </c>
      <c r="E1969" s="176">
        <v>108403</v>
      </c>
      <c r="F1969" s="177" t="s">
        <v>120</v>
      </c>
      <c r="G1969" s="178">
        <v>567</v>
      </c>
      <c r="H1969" s="179">
        <v>42843</v>
      </c>
      <c r="I1969" s="178">
        <f t="shared" si="61"/>
        <v>567</v>
      </c>
      <c r="J1969" s="178">
        <f t="shared" si="62"/>
        <v>0</v>
      </c>
    </row>
    <row r="1970" spans="1:10" x14ac:dyDescent="0.25">
      <c r="A1970" s="51">
        <v>42843</v>
      </c>
      <c r="B1970" s="174" t="s">
        <v>13512</v>
      </c>
      <c r="C1970" s="175"/>
      <c r="D1970" s="176" t="s">
        <v>13512</v>
      </c>
      <c r="E1970" s="176">
        <v>108404</v>
      </c>
      <c r="F1970" s="177" t="s">
        <v>105</v>
      </c>
      <c r="G1970" s="178">
        <v>846</v>
      </c>
      <c r="H1970" s="179">
        <v>42845</v>
      </c>
      <c r="I1970" s="178">
        <f t="shared" si="61"/>
        <v>846</v>
      </c>
      <c r="J1970" s="178">
        <f t="shared" si="62"/>
        <v>0</v>
      </c>
    </row>
    <row r="1971" spans="1:10" x14ac:dyDescent="0.25">
      <c r="A1971" s="51">
        <v>42843</v>
      </c>
      <c r="B1971" s="174" t="s">
        <v>13513</v>
      </c>
      <c r="C1971" s="175"/>
      <c r="D1971" s="176" t="s">
        <v>13513</v>
      </c>
      <c r="E1971" s="176">
        <v>108405</v>
      </c>
      <c r="F1971" s="177" t="s">
        <v>1160</v>
      </c>
      <c r="G1971" s="178">
        <v>2131.5</v>
      </c>
      <c r="H1971" s="179">
        <v>42843</v>
      </c>
      <c r="I1971" s="178">
        <f t="shared" si="61"/>
        <v>2131.5</v>
      </c>
      <c r="J1971" s="178">
        <f t="shared" si="62"/>
        <v>0</v>
      </c>
    </row>
    <row r="1972" spans="1:10" x14ac:dyDescent="0.25">
      <c r="A1972" s="51">
        <v>42843</v>
      </c>
      <c r="B1972" s="174" t="s">
        <v>13514</v>
      </c>
      <c r="C1972" s="175"/>
      <c r="D1972" s="176" t="s">
        <v>13514</v>
      </c>
      <c r="E1972" s="176">
        <v>108406</v>
      </c>
      <c r="F1972" s="177" t="s">
        <v>83</v>
      </c>
      <c r="G1972" s="178">
        <v>3859.2</v>
      </c>
      <c r="H1972" s="179">
        <v>42843</v>
      </c>
      <c r="I1972" s="178">
        <f t="shared" si="61"/>
        <v>3859.2</v>
      </c>
      <c r="J1972" s="178">
        <f t="shared" si="62"/>
        <v>0</v>
      </c>
    </row>
    <row r="1973" spans="1:10" x14ac:dyDescent="0.25">
      <c r="A1973" s="51">
        <v>42843</v>
      </c>
      <c r="B1973" s="174" t="s">
        <v>13515</v>
      </c>
      <c r="C1973" s="175"/>
      <c r="D1973" s="176" t="s">
        <v>13515</v>
      </c>
      <c r="E1973" s="176">
        <v>108407</v>
      </c>
      <c r="F1973" s="177" t="s">
        <v>3425</v>
      </c>
      <c r="G1973" s="178">
        <v>1848.4</v>
      </c>
      <c r="H1973" s="179">
        <v>42843</v>
      </c>
      <c r="I1973" s="178">
        <f t="shared" si="61"/>
        <v>1848.4</v>
      </c>
      <c r="J1973" s="178">
        <f t="shared" si="62"/>
        <v>0</v>
      </c>
    </row>
    <row r="1974" spans="1:10" x14ac:dyDescent="0.25">
      <c r="A1974" s="51">
        <v>42843</v>
      </c>
      <c r="B1974" s="174" t="s">
        <v>13516</v>
      </c>
      <c r="C1974" s="175"/>
      <c r="D1974" s="176" t="s">
        <v>13516</v>
      </c>
      <c r="E1974" s="176">
        <v>108408</v>
      </c>
      <c r="F1974" s="177" t="s">
        <v>435</v>
      </c>
      <c r="G1974" s="178">
        <v>1032.5</v>
      </c>
      <c r="H1974" s="179">
        <v>42843</v>
      </c>
      <c r="I1974" s="178">
        <f t="shared" si="61"/>
        <v>1032.5</v>
      </c>
      <c r="J1974" s="178">
        <f t="shared" si="62"/>
        <v>0</v>
      </c>
    </row>
    <row r="1975" spans="1:10" x14ac:dyDescent="0.25">
      <c r="A1975" s="51">
        <v>42843</v>
      </c>
      <c r="B1975" s="174" t="s">
        <v>13517</v>
      </c>
      <c r="C1975" s="175"/>
      <c r="D1975" s="176" t="s">
        <v>13517</v>
      </c>
      <c r="E1975" s="176">
        <v>108409</v>
      </c>
      <c r="F1975" s="177" t="s">
        <v>109</v>
      </c>
      <c r="G1975" s="178">
        <v>3714.7</v>
      </c>
      <c r="H1975" s="179">
        <v>42843</v>
      </c>
      <c r="I1975" s="178">
        <f t="shared" si="61"/>
        <v>3714.7</v>
      </c>
      <c r="J1975" s="178">
        <f t="shared" si="62"/>
        <v>0</v>
      </c>
    </row>
    <row r="1976" spans="1:10" x14ac:dyDescent="0.25">
      <c r="A1976" s="51">
        <v>42843</v>
      </c>
      <c r="B1976" s="174" t="s">
        <v>13518</v>
      </c>
      <c r="C1976" s="175"/>
      <c r="D1976" s="176" t="s">
        <v>13518</v>
      </c>
      <c r="E1976" s="176">
        <v>108410</v>
      </c>
      <c r="F1976" s="177" t="s">
        <v>125</v>
      </c>
      <c r="G1976" s="178">
        <v>8153.2</v>
      </c>
      <c r="H1976" s="179">
        <v>42843</v>
      </c>
      <c r="I1976" s="178">
        <f t="shared" si="61"/>
        <v>8153.2</v>
      </c>
      <c r="J1976" s="178">
        <f t="shared" si="62"/>
        <v>0</v>
      </c>
    </row>
    <row r="1977" spans="1:10" x14ac:dyDescent="0.25">
      <c r="A1977" s="51">
        <v>42843</v>
      </c>
      <c r="B1977" s="174" t="s">
        <v>13519</v>
      </c>
      <c r="C1977" s="175"/>
      <c r="D1977" s="176" t="s">
        <v>13519</v>
      </c>
      <c r="E1977" s="176">
        <v>108411</v>
      </c>
      <c r="F1977" s="177" t="s">
        <v>459</v>
      </c>
      <c r="G1977" s="178">
        <v>2179.1999999999998</v>
      </c>
      <c r="H1977" s="179">
        <v>42843</v>
      </c>
      <c r="I1977" s="178">
        <f t="shared" si="61"/>
        <v>2179.1999999999998</v>
      </c>
      <c r="J1977" s="178">
        <f t="shared" si="62"/>
        <v>0</v>
      </c>
    </row>
    <row r="1978" spans="1:10" x14ac:dyDescent="0.25">
      <c r="A1978" s="51">
        <v>42843</v>
      </c>
      <c r="B1978" s="174" t="s">
        <v>13520</v>
      </c>
      <c r="C1978" s="175"/>
      <c r="D1978" s="176" t="s">
        <v>13520</v>
      </c>
      <c r="E1978" s="176">
        <v>108412</v>
      </c>
      <c r="F1978" s="177" t="s">
        <v>1380</v>
      </c>
      <c r="G1978" s="178">
        <v>1236.7</v>
      </c>
      <c r="H1978" s="179">
        <v>42843</v>
      </c>
      <c r="I1978" s="178">
        <f t="shared" si="61"/>
        <v>1236.7</v>
      </c>
      <c r="J1978" s="178">
        <f t="shared" si="62"/>
        <v>0</v>
      </c>
    </row>
    <row r="1979" spans="1:10" x14ac:dyDescent="0.25">
      <c r="A1979" s="51">
        <v>42843</v>
      </c>
      <c r="B1979" s="174" t="s">
        <v>13521</v>
      </c>
      <c r="C1979" s="175"/>
      <c r="D1979" s="176" t="s">
        <v>13521</v>
      </c>
      <c r="E1979" s="176">
        <v>108413</v>
      </c>
      <c r="F1979" s="177" t="s">
        <v>470</v>
      </c>
      <c r="G1979" s="178">
        <v>556.79999999999995</v>
      </c>
      <c r="H1979" s="179">
        <v>42843</v>
      </c>
      <c r="I1979" s="178">
        <f t="shared" si="61"/>
        <v>556.79999999999995</v>
      </c>
      <c r="J1979" s="178">
        <f t="shared" si="62"/>
        <v>0</v>
      </c>
    </row>
    <row r="1980" spans="1:10" x14ac:dyDescent="0.25">
      <c r="A1980" s="51">
        <v>42843</v>
      </c>
      <c r="B1980" s="174" t="s">
        <v>13522</v>
      </c>
      <c r="C1980" s="175"/>
      <c r="D1980" s="176" t="s">
        <v>13522</v>
      </c>
      <c r="E1980" s="176">
        <v>108414</v>
      </c>
      <c r="F1980" s="177" t="s">
        <v>289</v>
      </c>
      <c r="G1980" s="178">
        <v>15851.56</v>
      </c>
      <c r="H1980" s="186">
        <v>42851</v>
      </c>
      <c r="I1980" s="187">
        <f t="shared" si="61"/>
        <v>15851.56</v>
      </c>
      <c r="J1980" s="178">
        <f t="shared" si="62"/>
        <v>0</v>
      </c>
    </row>
    <row r="1981" spans="1:10" x14ac:dyDescent="0.25">
      <c r="A1981" s="51">
        <v>42843</v>
      </c>
      <c r="B1981" s="174" t="s">
        <v>13523</v>
      </c>
      <c r="C1981" s="175"/>
      <c r="D1981" s="176" t="s">
        <v>13523</v>
      </c>
      <c r="E1981" s="176">
        <v>108415</v>
      </c>
      <c r="F1981" s="177" t="s">
        <v>30</v>
      </c>
      <c r="G1981" s="178">
        <v>2448</v>
      </c>
      <c r="H1981" s="179">
        <v>42843</v>
      </c>
      <c r="I1981" s="178">
        <f t="shared" si="61"/>
        <v>2448</v>
      </c>
      <c r="J1981" s="178">
        <f t="shared" si="62"/>
        <v>0</v>
      </c>
    </row>
    <row r="1982" spans="1:10" x14ac:dyDescent="0.25">
      <c r="A1982" s="51">
        <v>42843</v>
      </c>
      <c r="B1982" s="174" t="s">
        <v>13524</v>
      </c>
      <c r="C1982" s="175"/>
      <c r="D1982" s="176" t="s">
        <v>13524</v>
      </c>
      <c r="E1982" s="176">
        <v>108416</v>
      </c>
      <c r="F1982" s="177" t="s">
        <v>30</v>
      </c>
      <c r="G1982" s="178">
        <v>3655.2</v>
      </c>
      <c r="H1982" s="179">
        <v>42843</v>
      </c>
      <c r="I1982" s="178">
        <f t="shared" si="61"/>
        <v>3655.2</v>
      </c>
      <c r="J1982" s="178">
        <f t="shared" si="62"/>
        <v>0</v>
      </c>
    </row>
    <row r="1983" spans="1:10" x14ac:dyDescent="0.25">
      <c r="A1983" s="51">
        <v>42843</v>
      </c>
      <c r="B1983" s="174" t="s">
        <v>13525</v>
      </c>
      <c r="C1983" s="175"/>
      <c r="D1983" s="176" t="s">
        <v>13525</v>
      </c>
      <c r="E1983" s="176">
        <v>108417</v>
      </c>
      <c r="F1983" s="177" t="s">
        <v>103</v>
      </c>
      <c r="G1983" s="178">
        <v>3443.2</v>
      </c>
      <c r="H1983" s="179">
        <v>42845</v>
      </c>
      <c r="I1983" s="178">
        <f t="shared" si="61"/>
        <v>3443.2</v>
      </c>
      <c r="J1983" s="178">
        <f t="shared" si="62"/>
        <v>0</v>
      </c>
    </row>
    <row r="1984" spans="1:10" x14ac:dyDescent="0.25">
      <c r="A1984" s="51">
        <v>42843</v>
      </c>
      <c r="B1984" s="174" t="s">
        <v>13526</v>
      </c>
      <c r="C1984" s="175"/>
      <c r="D1984" s="176" t="s">
        <v>13526</v>
      </c>
      <c r="E1984" s="176">
        <v>108418</v>
      </c>
      <c r="F1984" s="182" t="s">
        <v>432</v>
      </c>
      <c r="G1984" s="183">
        <v>0</v>
      </c>
      <c r="H1984" s="184" t="s">
        <v>95</v>
      </c>
      <c r="I1984" s="183">
        <f t="shared" si="61"/>
        <v>0</v>
      </c>
      <c r="J1984" s="183">
        <f t="shared" si="62"/>
        <v>0</v>
      </c>
    </row>
    <row r="1985" spans="1:10" x14ac:dyDescent="0.25">
      <c r="A1985" s="51">
        <v>42843</v>
      </c>
      <c r="B1985" s="174" t="s">
        <v>13527</v>
      </c>
      <c r="C1985" s="175"/>
      <c r="D1985" s="176" t="s">
        <v>13527</v>
      </c>
      <c r="E1985" s="176">
        <v>108419</v>
      </c>
      <c r="F1985" s="177" t="s">
        <v>92</v>
      </c>
      <c r="G1985" s="178">
        <v>1839.2</v>
      </c>
      <c r="H1985" s="179">
        <v>42843</v>
      </c>
      <c r="I1985" s="178">
        <f t="shared" si="61"/>
        <v>1839.2</v>
      </c>
      <c r="J1985" s="178">
        <f t="shared" si="62"/>
        <v>0</v>
      </c>
    </row>
    <row r="1986" spans="1:10" x14ac:dyDescent="0.25">
      <c r="A1986" s="51">
        <v>42843</v>
      </c>
      <c r="B1986" s="174" t="s">
        <v>13528</v>
      </c>
      <c r="C1986" s="175"/>
      <c r="D1986" s="176" t="s">
        <v>13528</v>
      </c>
      <c r="E1986" s="176">
        <v>108420</v>
      </c>
      <c r="F1986" s="177" t="s">
        <v>1090</v>
      </c>
      <c r="G1986" s="178">
        <v>6745.7</v>
      </c>
      <c r="H1986" s="179">
        <v>42843</v>
      </c>
      <c r="I1986" s="178">
        <f t="shared" si="61"/>
        <v>6745.7</v>
      </c>
      <c r="J1986" s="178">
        <f t="shared" si="62"/>
        <v>0</v>
      </c>
    </row>
    <row r="1987" spans="1:10" x14ac:dyDescent="0.25">
      <c r="A1987" s="51">
        <v>42843</v>
      </c>
      <c r="B1987" s="174" t="s">
        <v>13529</v>
      </c>
      <c r="C1987" s="175"/>
      <c r="D1987" s="176" t="s">
        <v>13529</v>
      </c>
      <c r="E1987" s="176">
        <v>108421</v>
      </c>
      <c r="F1987" s="177" t="s">
        <v>14</v>
      </c>
      <c r="G1987" s="178">
        <v>17319.599999999999</v>
      </c>
      <c r="H1987" s="179">
        <v>42843</v>
      </c>
      <c r="I1987" s="178">
        <f t="shared" si="61"/>
        <v>17319.599999999999</v>
      </c>
      <c r="J1987" s="178">
        <f t="shared" si="62"/>
        <v>0</v>
      </c>
    </row>
    <row r="1988" spans="1:10" x14ac:dyDescent="0.25">
      <c r="A1988" s="51">
        <v>42843</v>
      </c>
      <c r="B1988" s="174" t="s">
        <v>13530</v>
      </c>
      <c r="C1988" s="175"/>
      <c r="D1988" s="176" t="s">
        <v>13530</v>
      </c>
      <c r="E1988" s="176">
        <v>108422</v>
      </c>
      <c r="F1988" s="177" t="s">
        <v>30</v>
      </c>
      <c r="G1988" s="178">
        <v>2868.1</v>
      </c>
      <c r="H1988" s="179">
        <v>42843</v>
      </c>
      <c r="I1988" s="178">
        <f t="shared" ref="I1988:I2051" si="63">G1988</f>
        <v>2868.1</v>
      </c>
      <c r="J1988" s="178">
        <f t="shared" ref="J1988:J2051" si="64">G1988-I1988</f>
        <v>0</v>
      </c>
    </row>
    <row r="1989" spans="1:10" x14ac:dyDescent="0.25">
      <c r="A1989" s="51">
        <v>42843</v>
      </c>
      <c r="B1989" s="174" t="s">
        <v>13531</v>
      </c>
      <c r="C1989" s="175"/>
      <c r="D1989" s="176" t="s">
        <v>13531</v>
      </c>
      <c r="E1989" s="176">
        <v>108423</v>
      </c>
      <c r="F1989" s="177" t="s">
        <v>9907</v>
      </c>
      <c r="G1989" s="178">
        <v>4395.6000000000004</v>
      </c>
      <c r="H1989" s="179">
        <v>42843</v>
      </c>
      <c r="I1989" s="178">
        <f t="shared" si="63"/>
        <v>4395.6000000000004</v>
      </c>
      <c r="J1989" s="178">
        <f t="shared" si="64"/>
        <v>0</v>
      </c>
    </row>
    <row r="1990" spans="1:10" x14ac:dyDescent="0.25">
      <c r="A1990" s="51">
        <v>42843</v>
      </c>
      <c r="B1990" s="174" t="s">
        <v>13532</v>
      </c>
      <c r="C1990" s="175"/>
      <c r="D1990" s="176" t="s">
        <v>13532</v>
      </c>
      <c r="E1990" s="176">
        <v>108424</v>
      </c>
      <c r="F1990" s="177" t="s">
        <v>909</v>
      </c>
      <c r="G1990" s="178">
        <v>2758</v>
      </c>
      <c r="H1990" s="179">
        <v>42843</v>
      </c>
      <c r="I1990" s="178">
        <f t="shared" si="63"/>
        <v>2758</v>
      </c>
      <c r="J1990" s="178">
        <f t="shared" si="64"/>
        <v>0</v>
      </c>
    </row>
    <row r="1991" spans="1:10" x14ac:dyDescent="0.25">
      <c r="A1991" s="51">
        <v>42843</v>
      </c>
      <c r="B1991" s="174" t="s">
        <v>13533</v>
      </c>
      <c r="C1991" s="175"/>
      <c r="D1991" s="176" t="s">
        <v>13533</v>
      </c>
      <c r="E1991" s="176">
        <v>108425</v>
      </c>
      <c r="F1991" s="177" t="s">
        <v>14</v>
      </c>
      <c r="G1991" s="178">
        <v>64.8</v>
      </c>
      <c r="H1991" s="179">
        <v>42843</v>
      </c>
      <c r="I1991" s="178">
        <f t="shared" si="63"/>
        <v>64.8</v>
      </c>
      <c r="J1991" s="178">
        <f t="shared" si="64"/>
        <v>0</v>
      </c>
    </row>
    <row r="1992" spans="1:10" x14ac:dyDescent="0.25">
      <c r="A1992" s="51">
        <v>42843</v>
      </c>
      <c r="B1992" s="174" t="s">
        <v>13534</v>
      </c>
      <c r="C1992" s="175"/>
      <c r="D1992" s="176" t="s">
        <v>13534</v>
      </c>
      <c r="E1992" s="176">
        <v>108426</v>
      </c>
      <c r="F1992" s="177" t="s">
        <v>57</v>
      </c>
      <c r="G1992" s="178">
        <v>528</v>
      </c>
      <c r="H1992" s="179">
        <v>42845</v>
      </c>
      <c r="I1992" s="178">
        <f t="shared" si="63"/>
        <v>528</v>
      </c>
      <c r="J1992" s="178">
        <f t="shared" si="64"/>
        <v>0</v>
      </c>
    </row>
    <row r="1993" spans="1:10" x14ac:dyDescent="0.25">
      <c r="A1993" s="51">
        <v>42843</v>
      </c>
      <c r="B1993" s="174" t="s">
        <v>13535</v>
      </c>
      <c r="C1993" s="175"/>
      <c r="D1993" s="176" t="s">
        <v>13535</v>
      </c>
      <c r="E1993" s="176">
        <v>108427</v>
      </c>
      <c r="F1993" s="177" t="s">
        <v>30</v>
      </c>
      <c r="G1993" s="178">
        <v>401.2</v>
      </c>
      <c r="H1993" s="179">
        <v>42843</v>
      </c>
      <c r="I1993" s="178">
        <f t="shared" si="63"/>
        <v>401.2</v>
      </c>
      <c r="J1993" s="178">
        <f t="shared" si="64"/>
        <v>0</v>
      </c>
    </row>
    <row r="1994" spans="1:10" x14ac:dyDescent="0.25">
      <c r="A1994" s="51">
        <v>42843</v>
      </c>
      <c r="B1994" s="174" t="s">
        <v>13536</v>
      </c>
      <c r="C1994" s="175"/>
      <c r="D1994" s="176" t="s">
        <v>13536</v>
      </c>
      <c r="E1994" s="176">
        <v>108428</v>
      </c>
      <c r="F1994" s="177" t="s">
        <v>53</v>
      </c>
      <c r="G1994" s="178">
        <v>1759.8</v>
      </c>
      <c r="H1994" s="179">
        <v>42843</v>
      </c>
      <c r="I1994" s="178">
        <f t="shared" si="63"/>
        <v>1759.8</v>
      </c>
      <c r="J1994" s="178">
        <f t="shared" si="64"/>
        <v>0</v>
      </c>
    </row>
    <row r="1995" spans="1:10" x14ac:dyDescent="0.25">
      <c r="A1995" s="51">
        <v>42843</v>
      </c>
      <c r="B1995" s="174" t="s">
        <v>13537</v>
      </c>
      <c r="C1995" s="175"/>
      <c r="D1995" s="176" t="s">
        <v>13537</v>
      </c>
      <c r="E1995" s="176">
        <v>108429</v>
      </c>
      <c r="F1995" s="177" t="s">
        <v>186</v>
      </c>
      <c r="G1995" s="178">
        <v>3351.1</v>
      </c>
      <c r="H1995" s="179">
        <v>42846</v>
      </c>
      <c r="I1995" s="178">
        <f t="shared" si="63"/>
        <v>3351.1</v>
      </c>
      <c r="J1995" s="178">
        <f t="shared" si="64"/>
        <v>0</v>
      </c>
    </row>
    <row r="1996" spans="1:10" x14ac:dyDescent="0.25">
      <c r="A1996" s="51">
        <v>42843</v>
      </c>
      <c r="B1996" s="174" t="s">
        <v>13538</v>
      </c>
      <c r="C1996" s="175"/>
      <c r="D1996" s="176" t="s">
        <v>13538</v>
      </c>
      <c r="E1996" s="176">
        <v>108430</v>
      </c>
      <c r="F1996" s="177" t="s">
        <v>45</v>
      </c>
      <c r="G1996" s="178">
        <v>2636.4</v>
      </c>
      <c r="H1996" s="179">
        <v>42843</v>
      </c>
      <c r="I1996" s="178">
        <f t="shared" si="63"/>
        <v>2636.4</v>
      </c>
      <c r="J1996" s="178">
        <f t="shared" si="64"/>
        <v>0</v>
      </c>
    </row>
    <row r="1997" spans="1:10" x14ac:dyDescent="0.25">
      <c r="A1997" s="51">
        <v>42843</v>
      </c>
      <c r="B1997" s="174" t="s">
        <v>13539</v>
      </c>
      <c r="C1997" s="175"/>
      <c r="D1997" s="176" t="s">
        <v>13539</v>
      </c>
      <c r="E1997" s="176">
        <v>108431</v>
      </c>
      <c r="F1997" s="177" t="s">
        <v>331</v>
      </c>
      <c r="G1997" s="178">
        <v>2315.5</v>
      </c>
      <c r="H1997" s="179"/>
      <c r="I1997" s="178">
        <f t="shared" si="63"/>
        <v>2315.5</v>
      </c>
      <c r="J1997" s="178">
        <f t="shared" si="64"/>
        <v>0</v>
      </c>
    </row>
    <row r="1998" spans="1:10" x14ac:dyDescent="0.25">
      <c r="A1998" s="51">
        <v>42843</v>
      </c>
      <c r="B1998" s="174" t="s">
        <v>13540</v>
      </c>
      <c r="C1998" s="175"/>
      <c r="D1998" s="176" t="s">
        <v>13540</v>
      </c>
      <c r="E1998" s="176">
        <v>108432</v>
      </c>
      <c r="F1998" s="177" t="s">
        <v>422</v>
      </c>
      <c r="G1998" s="178">
        <v>667.2</v>
      </c>
      <c r="H1998" s="179">
        <v>42843</v>
      </c>
      <c r="I1998" s="178">
        <f t="shared" si="63"/>
        <v>667.2</v>
      </c>
      <c r="J1998" s="178">
        <f t="shared" si="64"/>
        <v>0</v>
      </c>
    </row>
    <row r="1999" spans="1:10" x14ac:dyDescent="0.25">
      <c r="A1999" s="51">
        <v>42843</v>
      </c>
      <c r="B1999" s="174" t="s">
        <v>13541</v>
      </c>
      <c r="C1999" s="175"/>
      <c r="D1999" s="176" t="s">
        <v>13541</v>
      </c>
      <c r="E1999" s="176">
        <v>108433</v>
      </c>
      <c r="F1999" s="177" t="s">
        <v>319</v>
      </c>
      <c r="G1999" s="178">
        <v>370</v>
      </c>
      <c r="H1999" s="179">
        <v>42843</v>
      </c>
      <c r="I1999" s="178">
        <f t="shared" si="63"/>
        <v>370</v>
      </c>
      <c r="J1999" s="178">
        <f t="shared" si="64"/>
        <v>0</v>
      </c>
    </row>
    <row r="2000" spans="1:10" x14ac:dyDescent="0.25">
      <c r="A2000" s="51">
        <v>42843</v>
      </c>
      <c r="B2000" s="174" t="s">
        <v>13542</v>
      </c>
      <c r="C2000" s="175"/>
      <c r="D2000" s="176" t="s">
        <v>13542</v>
      </c>
      <c r="E2000" s="176">
        <v>108434</v>
      </c>
      <c r="F2000" s="177" t="s">
        <v>63</v>
      </c>
      <c r="G2000" s="178">
        <v>159.6</v>
      </c>
      <c r="H2000" s="179">
        <v>42843</v>
      </c>
      <c r="I2000" s="178">
        <f t="shared" si="63"/>
        <v>159.6</v>
      </c>
      <c r="J2000" s="178">
        <f t="shared" si="64"/>
        <v>0</v>
      </c>
    </row>
    <row r="2001" spans="1:10" x14ac:dyDescent="0.25">
      <c r="A2001" s="51">
        <v>42843</v>
      </c>
      <c r="B2001" s="174" t="s">
        <v>13543</v>
      </c>
      <c r="C2001" s="175"/>
      <c r="D2001" s="176" t="s">
        <v>13543</v>
      </c>
      <c r="E2001" s="176">
        <v>108435</v>
      </c>
      <c r="F2001" s="177" t="s">
        <v>85</v>
      </c>
      <c r="G2001" s="178">
        <v>14742.5</v>
      </c>
      <c r="H2001" s="180" t="s">
        <v>13128</v>
      </c>
      <c r="I2001" s="181">
        <f>14000+742.5</f>
        <v>14742.5</v>
      </c>
      <c r="J2001" s="181">
        <f t="shared" si="64"/>
        <v>0</v>
      </c>
    </row>
    <row r="2002" spans="1:10" x14ac:dyDescent="0.25">
      <c r="A2002" s="51">
        <v>42843</v>
      </c>
      <c r="B2002" s="174" t="s">
        <v>13544</v>
      </c>
      <c r="C2002" s="175"/>
      <c r="D2002" s="176" t="s">
        <v>13544</v>
      </c>
      <c r="E2002" s="176">
        <v>108436</v>
      </c>
      <c r="F2002" s="177" t="s">
        <v>218</v>
      </c>
      <c r="G2002" s="178">
        <v>3936.8</v>
      </c>
      <c r="H2002" s="179">
        <v>42843</v>
      </c>
      <c r="I2002" s="178">
        <f t="shared" si="63"/>
        <v>3936.8</v>
      </c>
      <c r="J2002" s="178">
        <f t="shared" si="64"/>
        <v>0</v>
      </c>
    </row>
    <row r="2003" spans="1:10" x14ac:dyDescent="0.25">
      <c r="A2003" s="51">
        <v>42843</v>
      </c>
      <c r="B2003" s="174" t="s">
        <v>13545</v>
      </c>
      <c r="C2003" s="175"/>
      <c r="D2003" s="176" t="s">
        <v>13545</v>
      </c>
      <c r="E2003" s="176">
        <v>108437</v>
      </c>
      <c r="F2003" s="177" t="s">
        <v>30</v>
      </c>
      <c r="G2003" s="178">
        <v>2668.8</v>
      </c>
      <c r="H2003" s="179">
        <v>42844</v>
      </c>
      <c r="I2003" s="178">
        <f t="shared" si="63"/>
        <v>2668.8</v>
      </c>
      <c r="J2003" s="178">
        <f t="shared" si="64"/>
        <v>0</v>
      </c>
    </row>
    <row r="2004" spans="1:10" x14ac:dyDescent="0.25">
      <c r="A2004" s="51">
        <v>42843</v>
      </c>
      <c r="B2004" s="174" t="s">
        <v>13546</v>
      </c>
      <c r="C2004" s="175"/>
      <c r="D2004" s="176" t="s">
        <v>13546</v>
      </c>
      <c r="E2004" s="176">
        <v>108438</v>
      </c>
      <c r="F2004" s="177" t="s">
        <v>268</v>
      </c>
      <c r="G2004" s="178">
        <v>21536.1</v>
      </c>
      <c r="H2004" s="179">
        <v>42846</v>
      </c>
      <c r="I2004" s="178">
        <f t="shared" si="63"/>
        <v>21536.1</v>
      </c>
      <c r="J2004" s="178">
        <f t="shared" si="64"/>
        <v>0</v>
      </c>
    </row>
    <row r="2005" spans="1:10" x14ac:dyDescent="0.25">
      <c r="A2005" s="51">
        <v>42843</v>
      </c>
      <c r="B2005" s="174" t="s">
        <v>13547</v>
      </c>
      <c r="C2005" s="175"/>
      <c r="D2005" s="176" t="s">
        <v>13547</v>
      </c>
      <c r="E2005" s="176">
        <v>108439</v>
      </c>
      <c r="F2005" s="177" t="s">
        <v>435</v>
      </c>
      <c r="G2005" s="178">
        <v>3628.45</v>
      </c>
      <c r="H2005" s="179">
        <v>42844</v>
      </c>
      <c r="I2005" s="178">
        <f t="shared" si="63"/>
        <v>3628.45</v>
      </c>
      <c r="J2005" s="178">
        <f t="shared" si="64"/>
        <v>0</v>
      </c>
    </row>
    <row r="2006" spans="1:10" x14ac:dyDescent="0.25">
      <c r="A2006" s="51">
        <v>42843</v>
      </c>
      <c r="B2006" s="174" t="s">
        <v>13548</v>
      </c>
      <c r="C2006" s="175"/>
      <c r="D2006" s="176" t="s">
        <v>13548</v>
      </c>
      <c r="E2006" s="176">
        <v>108440</v>
      </c>
      <c r="F2006" s="177" t="s">
        <v>432</v>
      </c>
      <c r="G2006" s="178">
        <v>17521.55</v>
      </c>
      <c r="H2006" s="179">
        <v>42844</v>
      </c>
      <c r="I2006" s="178">
        <f t="shared" si="63"/>
        <v>17521.55</v>
      </c>
      <c r="J2006" s="178">
        <f t="shared" si="64"/>
        <v>0</v>
      </c>
    </row>
    <row r="2007" spans="1:10" x14ac:dyDescent="0.25">
      <c r="A2007" s="51">
        <v>42843</v>
      </c>
      <c r="B2007" s="174" t="s">
        <v>13549</v>
      </c>
      <c r="C2007" s="175"/>
      <c r="D2007" s="176" t="s">
        <v>13549</v>
      </c>
      <c r="E2007" s="176">
        <v>108441</v>
      </c>
      <c r="F2007" s="177" t="s">
        <v>270</v>
      </c>
      <c r="G2007" s="178">
        <v>3940.4</v>
      </c>
      <c r="H2007" s="179">
        <v>42846</v>
      </c>
      <c r="I2007" s="178">
        <f t="shared" si="63"/>
        <v>3940.4</v>
      </c>
      <c r="J2007" s="178">
        <f t="shared" si="64"/>
        <v>0</v>
      </c>
    </row>
    <row r="2008" spans="1:10" x14ac:dyDescent="0.25">
      <c r="A2008" s="51">
        <v>42843</v>
      </c>
      <c r="B2008" s="174" t="s">
        <v>13550</v>
      </c>
      <c r="C2008" s="175"/>
      <c r="D2008" s="176" t="s">
        <v>13550</v>
      </c>
      <c r="E2008" s="176">
        <v>108442</v>
      </c>
      <c r="F2008" s="177" t="s">
        <v>30</v>
      </c>
      <c r="G2008" s="178">
        <v>775.2</v>
      </c>
      <c r="H2008" s="179">
        <v>42843</v>
      </c>
      <c r="I2008" s="178">
        <f t="shared" si="63"/>
        <v>775.2</v>
      </c>
      <c r="J2008" s="178">
        <f t="shared" si="64"/>
        <v>0</v>
      </c>
    </row>
    <row r="2009" spans="1:10" x14ac:dyDescent="0.25">
      <c r="A2009" s="51">
        <v>42843</v>
      </c>
      <c r="B2009" s="174" t="s">
        <v>13551</v>
      </c>
      <c r="C2009" s="175"/>
      <c r="D2009" s="176" t="s">
        <v>13551</v>
      </c>
      <c r="E2009" s="176">
        <v>108443</v>
      </c>
      <c r="F2009" s="177" t="s">
        <v>272</v>
      </c>
      <c r="G2009" s="178">
        <v>955</v>
      </c>
      <c r="H2009" s="179">
        <v>42844</v>
      </c>
      <c r="I2009" s="178">
        <f t="shared" si="63"/>
        <v>955</v>
      </c>
      <c r="J2009" s="178">
        <f t="shared" si="64"/>
        <v>0</v>
      </c>
    </row>
    <row r="2010" spans="1:10" x14ac:dyDescent="0.25">
      <c r="A2010" s="51">
        <v>42843</v>
      </c>
      <c r="B2010" s="174" t="s">
        <v>13552</v>
      </c>
      <c r="C2010" s="175"/>
      <c r="D2010" s="176" t="s">
        <v>13552</v>
      </c>
      <c r="E2010" s="176">
        <v>108444</v>
      </c>
      <c r="F2010" s="177" t="s">
        <v>2986</v>
      </c>
      <c r="G2010" s="178">
        <v>5460</v>
      </c>
      <c r="H2010" s="179">
        <v>42843</v>
      </c>
      <c r="I2010" s="178">
        <f t="shared" si="63"/>
        <v>5460</v>
      </c>
      <c r="J2010" s="178">
        <f t="shared" si="64"/>
        <v>0</v>
      </c>
    </row>
    <row r="2011" spans="1:10" x14ac:dyDescent="0.25">
      <c r="A2011" s="51">
        <v>42843</v>
      </c>
      <c r="B2011" s="174" t="s">
        <v>13553</v>
      </c>
      <c r="C2011" s="175"/>
      <c r="D2011" s="176" t="s">
        <v>13553</v>
      </c>
      <c r="E2011" s="176">
        <v>108445</v>
      </c>
      <c r="F2011" s="177" t="s">
        <v>137</v>
      </c>
      <c r="G2011" s="178">
        <v>3444.5</v>
      </c>
      <c r="H2011" s="179">
        <v>42843</v>
      </c>
      <c r="I2011" s="178">
        <f t="shared" si="63"/>
        <v>3444.5</v>
      </c>
      <c r="J2011" s="178">
        <f t="shared" si="64"/>
        <v>0</v>
      </c>
    </row>
    <row r="2012" spans="1:10" x14ac:dyDescent="0.25">
      <c r="A2012" s="51">
        <v>42843</v>
      </c>
      <c r="B2012" s="174" t="s">
        <v>13554</v>
      </c>
      <c r="C2012" s="175"/>
      <c r="D2012" s="176" t="s">
        <v>13554</v>
      </c>
      <c r="E2012" s="176">
        <v>108446</v>
      </c>
      <c r="F2012" s="177" t="s">
        <v>302</v>
      </c>
      <c r="G2012" s="178">
        <v>12274.4</v>
      </c>
      <c r="H2012" s="179">
        <v>42846</v>
      </c>
      <c r="I2012" s="178">
        <f t="shared" si="63"/>
        <v>12274.4</v>
      </c>
      <c r="J2012" s="178">
        <f t="shared" si="64"/>
        <v>0</v>
      </c>
    </row>
    <row r="2013" spans="1:10" x14ac:dyDescent="0.25">
      <c r="A2013" s="51">
        <v>42843</v>
      </c>
      <c r="B2013" s="174" t="s">
        <v>13555</v>
      </c>
      <c r="C2013" s="175"/>
      <c r="D2013" s="176" t="s">
        <v>13555</v>
      </c>
      <c r="E2013" s="176">
        <v>108447</v>
      </c>
      <c r="F2013" s="177" t="s">
        <v>305</v>
      </c>
      <c r="G2013" s="178">
        <v>3345.1</v>
      </c>
      <c r="H2013" s="179">
        <v>42843</v>
      </c>
      <c r="I2013" s="178">
        <f t="shared" si="63"/>
        <v>3345.1</v>
      </c>
      <c r="J2013" s="178">
        <f t="shared" si="64"/>
        <v>0</v>
      </c>
    </row>
    <row r="2014" spans="1:10" x14ac:dyDescent="0.25">
      <c r="A2014" s="51">
        <v>42843</v>
      </c>
      <c r="B2014" s="174" t="s">
        <v>13556</v>
      </c>
      <c r="C2014" s="175"/>
      <c r="D2014" s="176" t="s">
        <v>13556</v>
      </c>
      <c r="E2014" s="176">
        <v>108448</v>
      </c>
      <c r="F2014" s="177" t="s">
        <v>19</v>
      </c>
      <c r="G2014" s="178">
        <v>1100</v>
      </c>
      <c r="H2014" s="179">
        <v>42843</v>
      </c>
      <c r="I2014" s="178">
        <f t="shared" si="63"/>
        <v>1100</v>
      </c>
      <c r="J2014" s="178">
        <f t="shared" si="64"/>
        <v>0</v>
      </c>
    </row>
    <row r="2015" spans="1:10" x14ac:dyDescent="0.25">
      <c r="A2015" s="51">
        <v>42843</v>
      </c>
      <c r="B2015" s="174" t="s">
        <v>13557</v>
      </c>
      <c r="C2015" s="175"/>
      <c r="D2015" s="176" t="s">
        <v>13557</v>
      </c>
      <c r="E2015" s="176">
        <v>108449</v>
      </c>
      <c r="F2015" s="177" t="s">
        <v>563</v>
      </c>
      <c r="G2015" s="178">
        <v>847</v>
      </c>
      <c r="H2015" s="179">
        <v>42843</v>
      </c>
      <c r="I2015" s="178">
        <f t="shared" si="63"/>
        <v>847</v>
      </c>
      <c r="J2015" s="178">
        <f t="shared" si="64"/>
        <v>0</v>
      </c>
    </row>
    <row r="2016" spans="1:10" x14ac:dyDescent="0.25">
      <c r="A2016" s="51">
        <v>42843</v>
      </c>
      <c r="B2016" s="174" t="s">
        <v>13558</v>
      </c>
      <c r="C2016" s="175"/>
      <c r="D2016" s="176" t="s">
        <v>13558</v>
      </c>
      <c r="E2016" s="176">
        <v>108450</v>
      </c>
      <c r="F2016" s="177" t="s">
        <v>321</v>
      </c>
      <c r="G2016" s="178">
        <v>273.60000000000002</v>
      </c>
      <c r="H2016" s="179">
        <v>42843</v>
      </c>
      <c r="I2016" s="178">
        <f t="shared" si="63"/>
        <v>273.60000000000002</v>
      </c>
      <c r="J2016" s="178">
        <f t="shared" si="64"/>
        <v>0</v>
      </c>
    </row>
    <row r="2017" spans="1:10" x14ac:dyDescent="0.25">
      <c r="A2017" s="51">
        <v>42843</v>
      </c>
      <c r="B2017" s="174" t="s">
        <v>13559</v>
      </c>
      <c r="C2017" s="175"/>
      <c r="D2017" s="176" t="s">
        <v>13559</v>
      </c>
      <c r="E2017" s="176">
        <v>108451</v>
      </c>
      <c r="F2017" s="177" t="s">
        <v>509</v>
      </c>
      <c r="G2017" s="178">
        <v>11248</v>
      </c>
      <c r="H2017" s="179">
        <v>42843</v>
      </c>
      <c r="I2017" s="178">
        <f t="shared" si="63"/>
        <v>11248</v>
      </c>
      <c r="J2017" s="178">
        <f t="shared" si="64"/>
        <v>0</v>
      </c>
    </row>
    <row r="2018" spans="1:10" x14ac:dyDescent="0.25">
      <c r="A2018" s="51">
        <v>42843</v>
      </c>
      <c r="B2018" s="174" t="s">
        <v>13560</v>
      </c>
      <c r="C2018" s="175"/>
      <c r="D2018" s="176" t="s">
        <v>13560</v>
      </c>
      <c r="E2018" s="176">
        <v>108452</v>
      </c>
      <c r="F2018" s="177" t="s">
        <v>509</v>
      </c>
      <c r="G2018" s="178">
        <v>772.8</v>
      </c>
      <c r="H2018" s="179">
        <v>42843</v>
      </c>
      <c r="I2018" s="178">
        <f t="shared" si="63"/>
        <v>772.8</v>
      </c>
      <c r="J2018" s="178">
        <f t="shared" si="64"/>
        <v>0</v>
      </c>
    </row>
    <row r="2019" spans="1:10" x14ac:dyDescent="0.25">
      <c r="A2019" s="51">
        <v>42843</v>
      </c>
      <c r="B2019" s="174" t="s">
        <v>13561</v>
      </c>
      <c r="C2019" s="175"/>
      <c r="D2019" s="176" t="s">
        <v>13561</v>
      </c>
      <c r="E2019" s="176">
        <v>108453</v>
      </c>
      <c r="F2019" s="177" t="s">
        <v>879</v>
      </c>
      <c r="G2019" s="178">
        <v>3010</v>
      </c>
      <c r="H2019" s="179">
        <v>42843</v>
      </c>
      <c r="I2019" s="178">
        <f t="shared" si="63"/>
        <v>3010</v>
      </c>
      <c r="J2019" s="178">
        <f t="shared" si="64"/>
        <v>0</v>
      </c>
    </row>
    <row r="2020" spans="1:10" x14ac:dyDescent="0.25">
      <c r="A2020" s="51">
        <v>42843</v>
      </c>
      <c r="B2020" s="174" t="s">
        <v>13562</v>
      </c>
      <c r="C2020" s="175"/>
      <c r="D2020" s="176" t="s">
        <v>13562</v>
      </c>
      <c r="E2020" s="176">
        <v>108454</v>
      </c>
      <c r="F2020" s="177" t="s">
        <v>329</v>
      </c>
      <c r="G2020" s="178">
        <v>587.20000000000005</v>
      </c>
      <c r="H2020" s="179">
        <v>42843</v>
      </c>
      <c r="I2020" s="178">
        <f t="shared" si="63"/>
        <v>587.20000000000005</v>
      </c>
      <c r="J2020" s="178">
        <f t="shared" si="64"/>
        <v>0</v>
      </c>
    </row>
    <row r="2021" spans="1:10" x14ac:dyDescent="0.25">
      <c r="A2021" s="51">
        <v>42843</v>
      </c>
      <c r="B2021" s="174" t="s">
        <v>13563</v>
      </c>
      <c r="C2021" s="175"/>
      <c r="D2021" s="176" t="s">
        <v>13563</v>
      </c>
      <c r="E2021" s="176">
        <v>108455</v>
      </c>
      <c r="F2021" s="182" t="s">
        <v>231</v>
      </c>
      <c r="G2021" s="183">
        <v>0</v>
      </c>
      <c r="H2021" s="184" t="s">
        <v>95</v>
      </c>
      <c r="I2021" s="183">
        <f t="shared" si="63"/>
        <v>0</v>
      </c>
      <c r="J2021" s="183">
        <f t="shared" si="64"/>
        <v>0</v>
      </c>
    </row>
    <row r="2022" spans="1:10" x14ac:dyDescent="0.25">
      <c r="A2022" s="51">
        <v>42843</v>
      </c>
      <c r="B2022" s="174" t="s">
        <v>13564</v>
      </c>
      <c r="C2022" s="175"/>
      <c r="D2022" s="176" t="s">
        <v>13564</v>
      </c>
      <c r="E2022" s="176">
        <v>108456</v>
      </c>
      <c r="F2022" s="177" t="s">
        <v>231</v>
      </c>
      <c r="G2022" s="178">
        <v>5206.05</v>
      </c>
      <c r="H2022" s="179">
        <v>42844</v>
      </c>
      <c r="I2022" s="178">
        <f t="shared" si="63"/>
        <v>5206.05</v>
      </c>
      <c r="J2022" s="178">
        <f t="shared" si="64"/>
        <v>0</v>
      </c>
    </row>
    <row r="2023" spans="1:10" x14ac:dyDescent="0.25">
      <c r="A2023" s="51">
        <v>42843</v>
      </c>
      <c r="B2023" s="174" t="s">
        <v>13565</v>
      </c>
      <c r="C2023" s="175"/>
      <c r="D2023" s="176" t="s">
        <v>13565</v>
      </c>
      <c r="E2023" s="176">
        <v>108457</v>
      </c>
      <c r="F2023" s="177" t="s">
        <v>133</v>
      </c>
      <c r="G2023" s="178">
        <v>15339.35</v>
      </c>
      <c r="H2023" s="180" t="s">
        <v>13566</v>
      </c>
      <c r="I2023" s="181">
        <f>5339+10000.35</f>
        <v>15339.35</v>
      </c>
      <c r="J2023" s="181">
        <f t="shared" si="64"/>
        <v>0</v>
      </c>
    </row>
    <row r="2024" spans="1:10" x14ac:dyDescent="0.25">
      <c r="A2024" s="51">
        <v>42843</v>
      </c>
      <c r="B2024" s="174" t="s">
        <v>13567</v>
      </c>
      <c r="C2024" s="175"/>
      <c r="D2024" s="176" t="s">
        <v>13567</v>
      </c>
      <c r="E2024" s="176">
        <v>108458</v>
      </c>
      <c r="F2024" s="177" t="s">
        <v>222</v>
      </c>
      <c r="G2024" s="178">
        <v>358237</v>
      </c>
      <c r="H2024" s="184">
        <v>42852</v>
      </c>
      <c r="I2024" s="183">
        <f t="shared" si="63"/>
        <v>358237</v>
      </c>
      <c r="J2024" s="178">
        <f t="shared" si="64"/>
        <v>0</v>
      </c>
    </row>
    <row r="2025" spans="1:10" x14ac:dyDescent="0.25">
      <c r="A2025" s="51">
        <v>42843</v>
      </c>
      <c r="B2025" s="174" t="s">
        <v>13568</v>
      </c>
      <c r="C2025" s="175"/>
      <c r="D2025" s="176" t="s">
        <v>13568</v>
      </c>
      <c r="E2025" s="176">
        <v>108459</v>
      </c>
      <c r="F2025" s="177" t="s">
        <v>222</v>
      </c>
      <c r="G2025" s="178">
        <v>181440</v>
      </c>
      <c r="H2025" s="179">
        <v>42848</v>
      </c>
      <c r="I2025" s="178">
        <f t="shared" si="63"/>
        <v>181440</v>
      </c>
      <c r="J2025" s="178">
        <f t="shared" si="64"/>
        <v>0</v>
      </c>
    </row>
    <row r="2026" spans="1:10" x14ac:dyDescent="0.25">
      <c r="A2026" s="51">
        <v>42843</v>
      </c>
      <c r="B2026" s="174" t="s">
        <v>13569</v>
      </c>
      <c r="C2026" s="175"/>
      <c r="D2026" s="176" t="s">
        <v>13569</v>
      </c>
      <c r="E2026" s="176">
        <v>108460</v>
      </c>
      <c r="F2026" s="177" t="s">
        <v>10370</v>
      </c>
      <c r="G2026" s="178">
        <v>1449</v>
      </c>
      <c r="H2026" s="179">
        <v>42845</v>
      </c>
      <c r="I2026" s="178">
        <f t="shared" si="63"/>
        <v>1449</v>
      </c>
      <c r="J2026" s="178">
        <f t="shared" si="64"/>
        <v>0</v>
      </c>
    </row>
    <row r="2027" spans="1:10" x14ac:dyDescent="0.25">
      <c r="A2027" s="51">
        <v>42843</v>
      </c>
      <c r="B2027" s="174" t="s">
        <v>13570</v>
      </c>
      <c r="C2027" s="175"/>
      <c r="D2027" s="176" t="s">
        <v>13570</v>
      </c>
      <c r="E2027" s="176">
        <v>108461</v>
      </c>
      <c r="F2027" s="177" t="s">
        <v>193</v>
      </c>
      <c r="G2027" s="178">
        <v>2205.9</v>
      </c>
      <c r="H2027" s="179">
        <v>42845</v>
      </c>
      <c r="I2027" s="178">
        <f t="shared" si="63"/>
        <v>2205.9</v>
      </c>
      <c r="J2027" s="178">
        <f t="shared" si="64"/>
        <v>0</v>
      </c>
    </row>
    <row r="2028" spans="1:10" x14ac:dyDescent="0.25">
      <c r="A2028" s="51">
        <v>42843</v>
      </c>
      <c r="B2028" s="174" t="s">
        <v>13571</v>
      </c>
      <c r="C2028" s="175"/>
      <c r="D2028" s="176" t="s">
        <v>13571</v>
      </c>
      <c r="E2028" s="176">
        <v>108462</v>
      </c>
      <c r="F2028" s="177" t="s">
        <v>182</v>
      </c>
      <c r="G2028" s="178">
        <v>4435.2</v>
      </c>
      <c r="H2028" s="179">
        <v>42845</v>
      </c>
      <c r="I2028" s="178">
        <f t="shared" si="63"/>
        <v>4435.2</v>
      </c>
      <c r="J2028" s="178">
        <f t="shared" si="64"/>
        <v>0</v>
      </c>
    </row>
    <row r="2029" spans="1:10" x14ac:dyDescent="0.25">
      <c r="A2029" s="51">
        <v>42843</v>
      </c>
      <c r="B2029" s="174" t="s">
        <v>13572</v>
      </c>
      <c r="C2029" s="175"/>
      <c r="D2029" s="176" t="s">
        <v>13572</v>
      </c>
      <c r="E2029" s="176">
        <v>108463</v>
      </c>
      <c r="F2029" s="177" t="s">
        <v>2519</v>
      </c>
      <c r="G2029" s="178">
        <v>2186.6</v>
      </c>
      <c r="H2029" s="179">
        <v>42845</v>
      </c>
      <c r="I2029" s="178">
        <f t="shared" si="63"/>
        <v>2186.6</v>
      </c>
      <c r="J2029" s="178">
        <f t="shared" si="64"/>
        <v>0</v>
      </c>
    </row>
    <row r="2030" spans="1:10" x14ac:dyDescent="0.25">
      <c r="A2030" s="51">
        <v>42843</v>
      </c>
      <c r="B2030" s="174" t="s">
        <v>13573</v>
      </c>
      <c r="C2030" s="175"/>
      <c r="D2030" s="176" t="s">
        <v>13573</v>
      </c>
      <c r="E2030" s="176">
        <v>108464</v>
      </c>
      <c r="F2030" s="177" t="s">
        <v>1163</v>
      </c>
      <c r="G2030" s="178">
        <v>4687</v>
      </c>
      <c r="H2030" s="179">
        <v>42845</v>
      </c>
      <c r="I2030" s="178">
        <f t="shared" si="63"/>
        <v>4687</v>
      </c>
      <c r="J2030" s="178">
        <f t="shared" si="64"/>
        <v>0</v>
      </c>
    </row>
    <row r="2031" spans="1:10" x14ac:dyDescent="0.25">
      <c r="A2031" s="51">
        <v>42843</v>
      </c>
      <c r="B2031" s="174" t="s">
        <v>13574</v>
      </c>
      <c r="C2031" s="175"/>
      <c r="D2031" s="176" t="s">
        <v>13574</v>
      </c>
      <c r="E2031" s="176">
        <v>108465</v>
      </c>
      <c r="F2031" s="177" t="s">
        <v>236</v>
      </c>
      <c r="G2031" s="178">
        <v>5952.1</v>
      </c>
      <c r="H2031" s="179">
        <v>42847</v>
      </c>
      <c r="I2031" s="178">
        <f t="shared" si="63"/>
        <v>5952.1</v>
      </c>
      <c r="J2031" s="178">
        <f t="shared" si="64"/>
        <v>0</v>
      </c>
    </row>
    <row r="2032" spans="1:10" x14ac:dyDescent="0.25">
      <c r="A2032" s="51">
        <v>42843</v>
      </c>
      <c r="B2032" s="174" t="s">
        <v>13575</v>
      </c>
      <c r="C2032" s="175"/>
      <c r="D2032" s="176" t="s">
        <v>13575</v>
      </c>
      <c r="E2032" s="176">
        <v>108466</v>
      </c>
      <c r="F2032" s="177" t="s">
        <v>135</v>
      </c>
      <c r="G2032" s="178">
        <v>1937.8</v>
      </c>
      <c r="H2032" s="179">
        <v>42843</v>
      </c>
      <c r="I2032" s="178">
        <f t="shared" si="63"/>
        <v>1937.8</v>
      </c>
      <c r="J2032" s="178">
        <f t="shared" si="64"/>
        <v>0</v>
      </c>
    </row>
    <row r="2033" spans="1:10" x14ac:dyDescent="0.25">
      <c r="A2033" s="51">
        <v>42843</v>
      </c>
      <c r="B2033" s="174" t="s">
        <v>13576</v>
      </c>
      <c r="C2033" s="175"/>
      <c r="D2033" s="176" t="s">
        <v>13576</v>
      </c>
      <c r="E2033" s="176">
        <v>108467</v>
      </c>
      <c r="F2033" s="177" t="s">
        <v>12879</v>
      </c>
      <c r="G2033" s="178">
        <v>2727.6</v>
      </c>
      <c r="H2033" s="179">
        <v>42843</v>
      </c>
      <c r="I2033" s="178">
        <f t="shared" si="63"/>
        <v>2727.6</v>
      </c>
      <c r="J2033" s="178">
        <f t="shared" si="64"/>
        <v>0</v>
      </c>
    </row>
    <row r="2034" spans="1:10" x14ac:dyDescent="0.25">
      <c r="A2034" s="51">
        <v>42843</v>
      </c>
      <c r="B2034" s="174" t="s">
        <v>13577</v>
      </c>
      <c r="C2034" s="175"/>
      <c r="D2034" s="176" t="s">
        <v>13577</v>
      </c>
      <c r="E2034" s="176">
        <v>108468</v>
      </c>
      <c r="F2034" s="177" t="s">
        <v>10</v>
      </c>
      <c r="G2034" s="178">
        <v>71050</v>
      </c>
      <c r="H2034" s="179">
        <v>42846</v>
      </c>
      <c r="I2034" s="178">
        <f t="shared" si="63"/>
        <v>71050</v>
      </c>
      <c r="J2034" s="178">
        <f t="shared" si="64"/>
        <v>0</v>
      </c>
    </row>
    <row r="2035" spans="1:10" x14ac:dyDescent="0.25">
      <c r="A2035" s="51">
        <v>42843</v>
      </c>
      <c r="B2035" s="174" t="s">
        <v>13578</v>
      </c>
      <c r="C2035" s="175"/>
      <c r="D2035" s="176" t="s">
        <v>13578</v>
      </c>
      <c r="E2035" s="176">
        <v>108469</v>
      </c>
      <c r="F2035" s="177" t="s">
        <v>2240</v>
      </c>
      <c r="G2035" s="178">
        <v>4154</v>
      </c>
      <c r="H2035" s="179">
        <v>42843</v>
      </c>
      <c r="I2035" s="178">
        <f t="shared" si="63"/>
        <v>4154</v>
      </c>
      <c r="J2035" s="178">
        <f t="shared" si="64"/>
        <v>0</v>
      </c>
    </row>
    <row r="2036" spans="1:10" x14ac:dyDescent="0.25">
      <c r="A2036" s="51">
        <v>42843</v>
      </c>
      <c r="B2036" s="174" t="s">
        <v>13579</v>
      </c>
      <c r="C2036" s="175"/>
      <c r="D2036" s="176" t="s">
        <v>13579</v>
      </c>
      <c r="E2036" s="176">
        <v>108470</v>
      </c>
      <c r="F2036" s="177" t="s">
        <v>1267</v>
      </c>
      <c r="G2036" s="178">
        <v>2981</v>
      </c>
      <c r="H2036" s="179">
        <v>42843</v>
      </c>
      <c r="I2036" s="178">
        <f t="shared" si="63"/>
        <v>2981</v>
      </c>
      <c r="J2036" s="178">
        <f t="shared" si="64"/>
        <v>0</v>
      </c>
    </row>
    <row r="2037" spans="1:10" x14ac:dyDescent="0.25">
      <c r="A2037" s="51">
        <v>42843</v>
      </c>
      <c r="B2037" s="174" t="s">
        <v>13580</v>
      </c>
      <c r="C2037" s="175"/>
      <c r="D2037" s="176" t="s">
        <v>13580</v>
      </c>
      <c r="E2037" s="176">
        <v>108471</v>
      </c>
      <c r="F2037" s="177" t="s">
        <v>220</v>
      </c>
      <c r="G2037" s="178">
        <v>2440</v>
      </c>
      <c r="H2037" s="179">
        <v>42843</v>
      </c>
      <c r="I2037" s="178">
        <f t="shared" si="63"/>
        <v>2440</v>
      </c>
      <c r="J2037" s="178">
        <f t="shared" si="64"/>
        <v>0</v>
      </c>
    </row>
    <row r="2038" spans="1:10" x14ac:dyDescent="0.25">
      <c r="A2038" s="51">
        <v>42843</v>
      </c>
      <c r="B2038" s="174" t="s">
        <v>13581</v>
      </c>
      <c r="C2038" s="175"/>
      <c r="D2038" s="176" t="s">
        <v>13581</v>
      </c>
      <c r="E2038" s="176">
        <v>108472</v>
      </c>
      <c r="F2038" s="177" t="s">
        <v>358</v>
      </c>
      <c r="G2038" s="178">
        <v>59804.25</v>
      </c>
      <c r="H2038" s="179">
        <v>42846</v>
      </c>
      <c r="I2038" s="178">
        <f t="shared" si="63"/>
        <v>59804.25</v>
      </c>
      <c r="J2038" s="178">
        <f t="shared" si="64"/>
        <v>0</v>
      </c>
    </row>
    <row r="2039" spans="1:10" x14ac:dyDescent="0.25">
      <c r="A2039" s="51">
        <v>42843</v>
      </c>
      <c r="B2039" s="174" t="s">
        <v>13582</v>
      </c>
      <c r="C2039" s="175"/>
      <c r="D2039" s="176" t="s">
        <v>13582</v>
      </c>
      <c r="E2039" s="176">
        <v>108473</v>
      </c>
      <c r="F2039" s="177" t="s">
        <v>236</v>
      </c>
      <c r="G2039" s="178">
        <v>88927.74</v>
      </c>
      <c r="H2039" s="179">
        <v>42847</v>
      </c>
      <c r="I2039" s="178">
        <f t="shared" si="63"/>
        <v>88927.74</v>
      </c>
      <c r="J2039" s="178">
        <f t="shared" si="64"/>
        <v>0</v>
      </c>
    </row>
    <row r="2040" spans="1:10" x14ac:dyDescent="0.25">
      <c r="A2040" s="51">
        <v>42843</v>
      </c>
      <c r="B2040" s="174" t="s">
        <v>13583</v>
      </c>
      <c r="C2040" s="175"/>
      <c r="D2040" s="176" t="s">
        <v>13583</v>
      </c>
      <c r="E2040" s="176">
        <v>108474</v>
      </c>
      <c r="F2040" s="177" t="s">
        <v>354</v>
      </c>
      <c r="G2040" s="178">
        <v>826</v>
      </c>
      <c r="H2040" s="179">
        <v>42843</v>
      </c>
      <c r="I2040" s="178">
        <f t="shared" si="63"/>
        <v>826</v>
      </c>
      <c r="J2040" s="178">
        <f t="shared" si="64"/>
        <v>0</v>
      </c>
    </row>
    <row r="2041" spans="1:10" x14ac:dyDescent="0.25">
      <c r="A2041" s="51">
        <v>42843</v>
      </c>
      <c r="B2041" s="174" t="s">
        <v>13584</v>
      </c>
      <c r="C2041" s="175"/>
      <c r="D2041" s="176" t="s">
        <v>13584</v>
      </c>
      <c r="E2041" s="176">
        <v>108475</v>
      </c>
      <c r="F2041" s="177" t="s">
        <v>10</v>
      </c>
      <c r="G2041" s="178">
        <v>336610.01</v>
      </c>
      <c r="H2041" s="179">
        <v>42846</v>
      </c>
      <c r="I2041" s="178">
        <f t="shared" si="63"/>
        <v>336610.01</v>
      </c>
      <c r="J2041" s="178">
        <f t="shared" si="64"/>
        <v>0</v>
      </c>
    </row>
    <row r="2042" spans="1:10" x14ac:dyDescent="0.25">
      <c r="A2042" s="51">
        <v>42843</v>
      </c>
      <c r="B2042" s="174" t="s">
        <v>13585</v>
      </c>
      <c r="C2042" s="175"/>
      <c r="D2042" s="176" t="s">
        <v>13585</v>
      </c>
      <c r="E2042" s="176">
        <v>108476</v>
      </c>
      <c r="F2042" s="177" t="s">
        <v>10031</v>
      </c>
      <c r="G2042" s="178">
        <v>24333.599999999999</v>
      </c>
      <c r="H2042" s="179">
        <v>42843</v>
      </c>
      <c r="I2042" s="178">
        <f t="shared" si="63"/>
        <v>24333.599999999999</v>
      </c>
      <c r="J2042" s="178">
        <f t="shared" si="64"/>
        <v>0</v>
      </c>
    </row>
    <row r="2043" spans="1:10" x14ac:dyDescent="0.25">
      <c r="A2043" s="51">
        <v>42843</v>
      </c>
      <c r="B2043" s="174" t="s">
        <v>13586</v>
      </c>
      <c r="C2043" s="175"/>
      <c r="D2043" s="176" t="s">
        <v>13586</v>
      </c>
      <c r="E2043" s="176">
        <v>108477</v>
      </c>
      <c r="F2043" s="177" t="s">
        <v>921</v>
      </c>
      <c r="G2043" s="178">
        <v>4546.8</v>
      </c>
      <c r="H2043" s="179">
        <v>42843</v>
      </c>
      <c r="I2043" s="178">
        <f t="shared" si="63"/>
        <v>4546.8</v>
      </c>
      <c r="J2043" s="178">
        <f t="shared" si="64"/>
        <v>0</v>
      </c>
    </row>
    <row r="2044" spans="1:10" x14ac:dyDescent="0.25">
      <c r="A2044" s="51">
        <v>42844</v>
      </c>
      <c r="B2044" s="174" t="s">
        <v>13587</v>
      </c>
      <c r="C2044" s="175"/>
      <c r="D2044" s="176" t="s">
        <v>13587</v>
      </c>
      <c r="E2044" s="176">
        <v>108478</v>
      </c>
      <c r="F2044" s="177" t="s">
        <v>231</v>
      </c>
      <c r="G2044" s="178">
        <v>5569.1</v>
      </c>
      <c r="H2044" s="179">
        <v>42844</v>
      </c>
      <c r="I2044" s="178">
        <f t="shared" si="63"/>
        <v>5569.1</v>
      </c>
      <c r="J2044" s="178">
        <f t="shared" si="64"/>
        <v>0</v>
      </c>
    </row>
    <row r="2045" spans="1:10" x14ac:dyDescent="0.25">
      <c r="A2045" s="51">
        <v>42844</v>
      </c>
      <c r="B2045" s="174" t="s">
        <v>13588</v>
      </c>
      <c r="C2045" s="175"/>
      <c r="D2045" s="176" t="s">
        <v>13588</v>
      </c>
      <c r="E2045" s="176">
        <v>108479</v>
      </c>
      <c r="F2045" s="177" t="s">
        <v>231</v>
      </c>
      <c r="G2045" s="178">
        <v>36442.400000000001</v>
      </c>
      <c r="H2045" s="179">
        <v>42845</v>
      </c>
      <c r="I2045" s="178">
        <f t="shared" si="63"/>
        <v>36442.400000000001</v>
      </c>
      <c r="J2045" s="178">
        <f t="shared" si="64"/>
        <v>0</v>
      </c>
    </row>
    <row r="2046" spans="1:10" x14ac:dyDescent="0.25">
      <c r="A2046" s="51">
        <v>42844</v>
      </c>
      <c r="B2046" s="174" t="s">
        <v>13589</v>
      </c>
      <c r="C2046" s="175"/>
      <c r="D2046" s="176" t="s">
        <v>13589</v>
      </c>
      <c r="E2046" s="176">
        <v>108480</v>
      </c>
      <c r="F2046" s="177" t="s">
        <v>374</v>
      </c>
      <c r="G2046" s="178">
        <v>4073.4</v>
      </c>
      <c r="H2046" s="179">
        <v>42844</v>
      </c>
      <c r="I2046" s="178">
        <f t="shared" si="63"/>
        <v>4073.4</v>
      </c>
      <c r="J2046" s="178">
        <f t="shared" si="64"/>
        <v>0</v>
      </c>
    </row>
    <row r="2047" spans="1:10" x14ac:dyDescent="0.25">
      <c r="A2047" s="51">
        <v>42844</v>
      </c>
      <c r="B2047" s="174" t="s">
        <v>13590</v>
      </c>
      <c r="C2047" s="175"/>
      <c r="D2047" s="176" t="s">
        <v>13590</v>
      </c>
      <c r="E2047" s="176">
        <v>108481</v>
      </c>
      <c r="F2047" s="177" t="s">
        <v>222</v>
      </c>
      <c r="G2047" s="178">
        <v>20742.25</v>
      </c>
      <c r="H2047" s="179">
        <v>42848</v>
      </c>
      <c r="I2047" s="178">
        <f t="shared" si="63"/>
        <v>20742.25</v>
      </c>
      <c r="J2047" s="178">
        <f t="shared" si="64"/>
        <v>0</v>
      </c>
    </row>
    <row r="2048" spans="1:10" x14ac:dyDescent="0.25">
      <c r="A2048" s="51">
        <v>42844</v>
      </c>
      <c r="B2048" s="174" t="s">
        <v>13591</v>
      </c>
      <c r="C2048" s="175"/>
      <c r="D2048" s="176" t="s">
        <v>13591</v>
      </c>
      <c r="E2048" s="176">
        <v>108482</v>
      </c>
      <c r="F2048" s="182" t="s">
        <v>35</v>
      </c>
      <c r="G2048" s="183">
        <v>0</v>
      </c>
      <c r="H2048" s="184" t="s">
        <v>95</v>
      </c>
      <c r="I2048" s="183">
        <f t="shared" si="63"/>
        <v>0</v>
      </c>
      <c r="J2048" s="183">
        <f t="shared" si="64"/>
        <v>0</v>
      </c>
    </row>
    <row r="2049" spans="1:10" x14ac:dyDescent="0.25">
      <c r="A2049" s="51">
        <v>42844</v>
      </c>
      <c r="B2049" s="174" t="s">
        <v>13592</v>
      </c>
      <c r="C2049" s="175"/>
      <c r="D2049" s="176" t="s">
        <v>13592</v>
      </c>
      <c r="E2049" s="176">
        <v>108483</v>
      </c>
      <c r="F2049" s="177" t="s">
        <v>1786</v>
      </c>
      <c r="G2049" s="178">
        <v>5759.6</v>
      </c>
      <c r="H2049" s="179"/>
      <c r="I2049" s="178">
        <f t="shared" si="63"/>
        <v>5759.6</v>
      </c>
      <c r="J2049" s="178">
        <f t="shared" si="64"/>
        <v>0</v>
      </c>
    </row>
    <row r="2050" spans="1:10" x14ac:dyDescent="0.25">
      <c r="A2050" s="51">
        <v>42844</v>
      </c>
      <c r="B2050" s="174" t="s">
        <v>13593</v>
      </c>
      <c r="C2050" s="175"/>
      <c r="D2050" s="176" t="s">
        <v>13593</v>
      </c>
      <c r="E2050" s="176">
        <v>108484</v>
      </c>
      <c r="F2050" s="177" t="s">
        <v>26</v>
      </c>
      <c r="G2050" s="178">
        <v>21331.599999999999</v>
      </c>
      <c r="H2050" s="179">
        <v>42844</v>
      </c>
      <c r="I2050" s="178">
        <f t="shared" si="63"/>
        <v>21331.599999999999</v>
      </c>
      <c r="J2050" s="178">
        <f t="shared" si="64"/>
        <v>0</v>
      </c>
    </row>
    <row r="2051" spans="1:10" x14ac:dyDescent="0.25">
      <c r="A2051" s="51">
        <v>42844</v>
      </c>
      <c r="B2051" s="174" t="s">
        <v>13594</v>
      </c>
      <c r="C2051" s="175"/>
      <c r="D2051" s="176" t="s">
        <v>13594</v>
      </c>
      <c r="E2051" s="176">
        <v>108485</v>
      </c>
      <c r="F2051" s="177" t="s">
        <v>17</v>
      </c>
      <c r="G2051" s="178">
        <v>1980</v>
      </c>
      <c r="H2051" s="179">
        <v>42844</v>
      </c>
      <c r="I2051" s="178">
        <f t="shared" si="63"/>
        <v>1980</v>
      </c>
      <c r="J2051" s="178">
        <f t="shared" si="64"/>
        <v>0</v>
      </c>
    </row>
    <row r="2052" spans="1:10" x14ac:dyDescent="0.25">
      <c r="A2052" s="51">
        <v>42844</v>
      </c>
      <c r="B2052" s="174" t="s">
        <v>13595</v>
      </c>
      <c r="C2052" s="175"/>
      <c r="D2052" s="176" t="s">
        <v>13595</v>
      </c>
      <c r="E2052" s="176">
        <v>108486</v>
      </c>
      <c r="F2052" s="177" t="s">
        <v>250</v>
      </c>
      <c r="G2052" s="178">
        <v>5887.1</v>
      </c>
      <c r="H2052" s="179">
        <v>42845</v>
      </c>
      <c r="I2052" s="178">
        <f t="shared" ref="I2052:I2115" si="65">G2052</f>
        <v>5887.1</v>
      </c>
      <c r="J2052" s="178">
        <f t="shared" ref="J2052:J2115" si="66">G2052-I2052</f>
        <v>0</v>
      </c>
    </row>
    <row r="2053" spans="1:10" x14ac:dyDescent="0.25">
      <c r="A2053" s="51">
        <v>42844</v>
      </c>
      <c r="B2053" s="174" t="s">
        <v>13596</v>
      </c>
      <c r="C2053" s="175"/>
      <c r="D2053" s="176" t="s">
        <v>13596</v>
      </c>
      <c r="E2053" s="176">
        <v>108487</v>
      </c>
      <c r="F2053" s="177" t="s">
        <v>32</v>
      </c>
      <c r="G2053" s="178">
        <v>5712</v>
      </c>
      <c r="H2053" s="179">
        <v>42849</v>
      </c>
      <c r="I2053" s="178">
        <f t="shared" si="65"/>
        <v>5712</v>
      </c>
      <c r="J2053" s="178">
        <f t="shared" si="66"/>
        <v>0</v>
      </c>
    </row>
    <row r="2054" spans="1:10" x14ac:dyDescent="0.25">
      <c r="A2054" s="51">
        <v>42844</v>
      </c>
      <c r="B2054" s="174" t="s">
        <v>13597</v>
      </c>
      <c r="C2054" s="175"/>
      <c r="D2054" s="176" t="s">
        <v>13597</v>
      </c>
      <c r="E2054" s="176">
        <v>108488</v>
      </c>
      <c r="F2054" s="177" t="s">
        <v>28</v>
      </c>
      <c r="G2054" s="178">
        <v>6524</v>
      </c>
      <c r="H2054" s="179">
        <v>42844</v>
      </c>
      <c r="I2054" s="178">
        <f t="shared" si="65"/>
        <v>6524</v>
      </c>
      <c r="J2054" s="178">
        <f t="shared" si="66"/>
        <v>0</v>
      </c>
    </row>
    <row r="2055" spans="1:10" x14ac:dyDescent="0.25">
      <c r="A2055" s="51">
        <v>42844</v>
      </c>
      <c r="B2055" s="174" t="s">
        <v>13598</v>
      </c>
      <c r="C2055" s="175"/>
      <c r="D2055" s="176" t="s">
        <v>13598</v>
      </c>
      <c r="E2055" s="176">
        <v>108489</v>
      </c>
      <c r="F2055" s="177" t="s">
        <v>51</v>
      </c>
      <c r="G2055" s="178">
        <v>3432</v>
      </c>
      <c r="H2055" s="179">
        <v>42846</v>
      </c>
      <c r="I2055" s="178">
        <f t="shared" si="65"/>
        <v>3432</v>
      </c>
      <c r="J2055" s="178">
        <f t="shared" si="66"/>
        <v>0</v>
      </c>
    </row>
    <row r="2056" spans="1:10" x14ac:dyDescent="0.25">
      <c r="A2056" s="51">
        <v>42844</v>
      </c>
      <c r="B2056" s="174" t="s">
        <v>13599</v>
      </c>
      <c r="C2056" s="175"/>
      <c r="D2056" s="176" t="s">
        <v>13599</v>
      </c>
      <c r="E2056" s="176">
        <v>108490</v>
      </c>
      <c r="F2056" s="177" t="s">
        <v>38</v>
      </c>
      <c r="G2056" s="178">
        <v>2640</v>
      </c>
      <c r="H2056" s="179" t="s">
        <v>13600</v>
      </c>
      <c r="I2056" s="178">
        <f>2000+640</f>
        <v>2640</v>
      </c>
      <c r="J2056" s="178">
        <f t="shared" si="66"/>
        <v>0</v>
      </c>
    </row>
    <row r="2057" spans="1:10" x14ac:dyDescent="0.25">
      <c r="A2057" s="51">
        <v>42844</v>
      </c>
      <c r="B2057" s="174" t="s">
        <v>13601</v>
      </c>
      <c r="C2057" s="175"/>
      <c r="D2057" s="176" t="s">
        <v>13601</v>
      </c>
      <c r="E2057" s="176">
        <v>108491</v>
      </c>
      <c r="F2057" s="177" t="s">
        <v>1062</v>
      </c>
      <c r="G2057" s="178">
        <v>5548.4</v>
      </c>
      <c r="H2057" s="179">
        <v>42844</v>
      </c>
      <c r="I2057" s="178">
        <f t="shared" si="65"/>
        <v>5548.4</v>
      </c>
      <c r="J2057" s="178">
        <f t="shared" si="66"/>
        <v>0</v>
      </c>
    </row>
    <row r="2058" spans="1:10" x14ac:dyDescent="0.25">
      <c r="A2058" s="51">
        <v>42844</v>
      </c>
      <c r="B2058" s="174" t="s">
        <v>13602</v>
      </c>
      <c r="C2058" s="175"/>
      <c r="D2058" s="176" t="s">
        <v>13602</v>
      </c>
      <c r="E2058" s="176">
        <v>108492</v>
      </c>
      <c r="F2058" s="177" t="s">
        <v>264</v>
      </c>
      <c r="G2058" s="178">
        <v>28850.880000000001</v>
      </c>
      <c r="H2058" s="184">
        <v>42865</v>
      </c>
      <c r="I2058" s="183">
        <f t="shared" si="65"/>
        <v>28850.880000000001</v>
      </c>
      <c r="J2058" s="178">
        <f t="shared" si="66"/>
        <v>0</v>
      </c>
    </row>
    <row r="2059" spans="1:10" x14ac:dyDescent="0.25">
      <c r="A2059" s="51">
        <v>42844</v>
      </c>
      <c r="B2059" s="174" t="s">
        <v>13603</v>
      </c>
      <c r="C2059" s="175"/>
      <c r="D2059" s="176" t="s">
        <v>13603</v>
      </c>
      <c r="E2059" s="176">
        <v>108493</v>
      </c>
      <c r="F2059" s="177" t="s">
        <v>49</v>
      </c>
      <c r="G2059" s="178">
        <v>12144</v>
      </c>
      <c r="H2059" s="179">
        <v>42847</v>
      </c>
      <c r="I2059" s="178">
        <f t="shared" si="65"/>
        <v>12144</v>
      </c>
      <c r="J2059" s="178">
        <f t="shared" si="66"/>
        <v>0</v>
      </c>
    </row>
    <row r="2060" spans="1:10" x14ac:dyDescent="0.25">
      <c r="A2060" s="51">
        <v>42844</v>
      </c>
      <c r="B2060" s="174" t="s">
        <v>13604</v>
      </c>
      <c r="C2060" s="175"/>
      <c r="D2060" s="176" t="s">
        <v>13604</v>
      </c>
      <c r="E2060" s="176">
        <v>108494</v>
      </c>
      <c r="F2060" s="182" t="s">
        <v>222</v>
      </c>
      <c r="G2060" s="183">
        <v>0</v>
      </c>
      <c r="H2060" s="184" t="s">
        <v>95</v>
      </c>
      <c r="I2060" s="183">
        <f t="shared" si="65"/>
        <v>0</v>
      </c>
      <c r="J2060" s="183">
        <f t="shared" si="66"/>
        <v>0</v>
      </c>
    </row>
    <row r="2061" spans="1:10" x14ac:dyDescent="0.25">
      <c r="A2061" s="51">
        <v>42844</v>
      </c>
      <c r="B2061" s="174" t="s">
        <v>13605</v>
      </c>
      <c r="C2061" s="175"/>
      <c r="D2061" s="176" t="s">
        <v>13605</v>
      </c>
      <c r="E2061" s="176">
        <v>108495</v>
      </c>
      <c r="F2061" s="177" t="s">
        <v>40</v>
      </c>
      <c r="G2061" s="178">
        <v>623.20000000000005</v>
      </c>
      <c r="H2061" s="179">
        <v>42846</v>
      </c>
      <c r="I2061" s="178">
        <f t="shared" si="65"/>
        <v>623.20000000000005</v>
      </c>
      <c r="J2061" s="178">
        <f t="shared" si="66"/>
        <v>0</v>
      </c>
    </row>
    <row r="2062" spans="1:10" x14ac:dyDescent="0.25">
      <c r="A2062" s="51">
        <v>42844</v>
      </c>
      <c r="B2062" s="174" t="s">
        <v>13606</v>
      </c>
      <c r="C2062" s="175"/>
      <c r="D2062" s="176" t="s">
        <v>13606</v>
      </c>
      <c r="E2062" s="176">
        <v>108496</v>
      </c>
      <c r="F2062" s="177" t="s">
        <v>253</v>
      </c>
      <c r="G2062" s="178">
        <v>3512.4</v>
      </c>
      <c r="H2062" s="179">
        <v>42847</v>
      </c>
      <c r="I2062" s="178">
        <f t="shared" si="65"/>
        <v>3512.4</v>
      </c>
      <c r="J2062" s="178">
        <f t="shared" si="66"/>
        <v>0</v>
      </c>
    </row>
    <row r="2063" spans="1:10" x14ac:dyDescent="0.25">
      <c r="A2063" s="51">
        <v>42844</v>
      </c>
      <c r="B2063" s="174" t="s">
        <v>13607</v>
      </c>
      <c r="C2063" s="175"/>
      <c r="D2063" s="176" t="s">
        <v>13607</v>
      </c>
      <c r="E2063" s="176">
        <v>108497</v>
      </c>
      <c r="F2063" s="177" t="s">
        <v>35</v>
      </c>
      <c r="G2063" s="178">
        <v>8009.9</v>
      </c>
      <c r="H2063" s="179">
        <v>42846</v>
      </c>
      <c r="I2063" s="178">
        <f t="shared" si="65"/>
        <v>8009.9</v>
      </c>
      <c r="J2063" s="178">
        <f t="shared" si="66"/>
        <v>0</v>
      </c>
    </row>
    <row r="2064" spans="1:10" x14ac:dyDescent="0.25">
      <c r="A2064" s="51">
        <v>42844</v>
      </c>
      <c r="B2064" s="174" t="s">
        <v>13608</v>
      </c>
      <c r="C2064" s="175"/>
      <c r="D2064" s="176" t="s">
        <v>13608</v>
      </c>
      <c r="E2064" s="176">
        <v>108498</v>
      </c>
      <c r="F2064" s="177" t="s">
        <v>10</v>
      </c>
      <c r="G2064" s="178">
        <v>493</v>
      </c>
      <c r="H2064" s="179">
        <v>42846</v>
      </c>
      <c r="I2064" s="178">
        <f t="shared" si="65"/>
        <v>493</v>
      </c>
      <c r="J2064" s="178">
        <f t="shared" si="66"/>
        <v>0</v>
      </c>
    </row>
    <row r="2065" spans="1:10" x14ac:dyDescent="0.25">
      <c r="A2065" s="51">
        <v>42844</v>
      </c>
      <c r="B2065" s="174" t="s">
        <v>13609</v>
      </c>
      <c r="C2065" s="175"/>
      <c r="D2065" s="176" t="s">
        <v>13609</v>
      </c>
      <c r="E2065" s="176">
        <v>108499</v>
      </c>
      <c r="F2065" s="177" t="s">
        <v>430</v>
      </c>
      <c r="G2065" s="178">
        <v>1840</v>
      </c>
      <c r="H2065" s="179">
        <v>42844</v>
      </c>
      <c r="I2065" s="178">
        <f t="shared" si="65"/>
        <v>1840</v>
      </c>
      <c r="J2065" s="178">
        <f t="shared" si="66"/>
        <v>0</v>
      </c>
    </row>
    <row r="2066" spans="1:10" x14ac:dyDescent="0.25">
      <c r="A2066" s="51">
        <v>42844</v>
      </c>
      <c r="B2066" s="174" t="s">
        <v>13610</v>
      </c>
      <c r="C2066" s="175"/>
      <c r="D2066" s="176" t="s">
        <v>13610</v>
      </c>
      <c r="E2066" s="176">
        <v>108500</v>
      </c>
      <c r="F2066" s="177" t="s">
        <v>43</v>
      </c>
      <c r="G2066" s="178">
        <v>5171.3999999999996</v>
      </c>
      <c r="H2066" s="179">
        <v>42846</v>
      </c>
      <c r="I2066" s="178">
        <f t="shared" si="65"/>
        <v>5171.3999999999996</v>
      </c>
      <c r="J2066" s="178">
        <f t="shared" si="66"/>
        <v>0</v>
      </c>
    </row>
    <row r="2067" spans="1:10" x14ac:dyDescent="0.25">
      <c r="A2067" s="51">
        <v>42844</v>
      </c>
      <c r="B2067" s="174" t="s">
        <v>13611</v>
      </c>
      <c r="C2067" s="175"/>
      <c r="D2067" s="176" t="s">
        <v>13611</v>
      </c>
      <c r="E2067" s="176">
        <v>108501</v>
      </c>
      <c r="F2067" s="177" t="s">
        <v>157</v>
      </c>
      <c r="G2067" s="178">
        <v>28555.599999999999</v>
      </c>
      <c r="H2067" s="179">
        <v>42844</v>
      </c>
      <c r="I2067" s="178">
        <f t="shared" si="65"/>
        <v>28555.599999999999</v>
      </c>
      <c r="J2067" s="178">
        <f t="shared" si="66"/>
        <v>0</v>
      </c>
    </row>
    <row r="2068" spans="1:10" x14ac:dyDescent="0.25">
      <c r="A2068" s="51">
        <v>42844</v>
      </c>
      <c r="B2068" s="174" t="s">
        <v>13612</v>
      </c>
      <c r="C2068" s="175"/>
      <c r="D2068" s="176" t="s">
        <v>13612</v>
      </c>
      <c r="E2068" s="176">
        <v>108502</v>
      </c>
      <c r="F2068" s="177" t="s">
        <v>289</v>
      </c>
      <c r="G2068" s="178">
        <v>66461.78</v>
      </c>
      <c r="H2068" s="186">
        <v>42851</v>
      </c>
      <c r="I2068" s="187">
        <f t="shared" si="65"/>
        <v>66461.78</v>
      </c>
      <c r="J2068" s="178">
        <f t="shared" si="66"/>
        <v>0</v>
      </c>
    </row>
    <row r="2069" spans="1:10" x14ac:dyDescent="0.25">
      <c r="A2069" s="51">
        <v>42844</v>
      </c>
      <c r="B2069" s="174" t="s">
        <v>13613</v>
      </c>
      <c r="C2069" s="175"/>
      <c r="D2069" s="176" t="s">
        <v>13613</v>
      </c>
      <c r="E2069" s="176">
        <v>108503</v>
      </c>
      <c r="F2069" s="177" t="s">
        <v>428</v>
      </c>
      <c r="G2069" s="178">
        <v>1738</v>
      </c>
      <c r="H2069" s="179">
        <v>42846</v>
      </c>
      <c r="I2069" s="178">
        <f t="shared" si="65"/>
        <v>1738</v>
      </c>
      <c r="J2069" s="178">
        <f t="shared" si="66"/>
        <v>0</v>
      </c>
    </row>
    <row r="2070" spans="1:10" x14ac:dyDescent="0.25">
      <c r="A2070" s="51">
        <v>42844</v>
      </c>
      <c r="B2070" s="174" t="s">
        <v>13614</v>
      </c>
      <c r="C2070" s="175"/>
      <c r="D2070" s="176" t="s">
        <v>13614</v>
      </c>
      <c r="E2070" s="176">
        <v>108504</v>
      </c>
      <c r="F2070" s="177" t="s">
        <v>298</v>
      </c>
      <c r="G2070" s="178">
        <v>3206.2</v>
      </c>
      <c r="H2070" s="179">
        <v>42844</v>
      </c>
      <c r="I2070" s="178">
        <f t="shared" si="65"/>
        <v>3206.2</v>
      </c>
      <c r="J2070" s="178">
        <f t="shared" si="66"/>
        <v>0</v>
      </c>
    </row>
    <row r="2071" spans="1:10" x14ac:dyDescent="0.25">
      <c r="A2071" s="51">
        <v>42844</v>
      </c>
      <c r="B2071" s="174" t="s">
        <v>13615</v>
      </c>
      <c r="C2071" s="175"/>
      <c r="D2071" s="176" t="s">
        <v>13615</v>
      </c>
      <c r="E2071" s="176">
        <v>108505</v>
      </c>
      <c r="F2071" s="177" t="s">
        <v>1116</v>
      </c>
      <c r="G2071" s="178">
        <v>3362.5</v>
      </c>
      <c r="H2071" s="179">
        <v>42845</v>
      </c>
      <c r="I2071" s="178">
        <f t="shared" si="65"/>
        <v>3362.5</v>
      </c>
      <c r="J2071" s="178">
        <f t="shared" si="66"/>
        <v>0</v>
      </c>
    </row>
    <row r="2072" spans="1:10" x14ac:dyDescent="0.25">
      <c r="A2072" s="51">
        <v>42844</v>
      </c>
      <c r="B2072" s="174" t="s">
        <v>13616</v>
      </c>
      <c r="C2072" s="175"/>
      <c r="D2072" s="176" t="s">
        <v>13616</v>
      </c>
      <c r="E2072" s="176">
        <v>108506</v>
      </c>
      <c r="F2072" s="177" t="s">
        <v>79</v>
      </c>
      <c r="G2072" s="178">
        <v>3013.4</v>
      </c>
      <c r="H2072" s="179">
        <v>42844</v>
      </c>
      <c r="I2072" s="178">
        <f t="shared" si="65"/>
        <v>3013.4</v>
      </c>
      <c r="J2072" s="178">
        <f t="shared" si="66"/>
        <v>0</v>
      </c>
    </row>
    <row r="2073" spans="1:10" x14ac:dyDescent="0.25">
      <c r="A2073" s="51">
        <v>42844</v>
      </c>
      <c r="B2073" s="174" t="s">
        <v>13617</v>
      </c>
      <c r="C2073" s="175"/>
      <c r="D2073" s="176" t="s">
        <v>13617</v>
      </c>
      <c r="E2073" s="176">
        <v>108507</v>
      </c>
      <c r="F2073" s="177" t="s">
        <v>21</v>
      </c>
      <c r="G2073" s="178">
        <v>41073.800000000003</v>
      </c>
      <c r="H2073" s="186">
        <v>42858</v>
      </c>
      <c r="I2073" s="187">
        <f t="shared" si="65"/>
        <v>41073.800000000003</v>
      </c>
      <c r="J2073" s="178">
        <f t="shared" si="66"/>
        <v>0</v>
      </c>
    </row>
    <row r="2074" spans="1:10" x14ac:dyDescent="0.25">
      <c r="A2074" s="51">
        <v>42844</v>
      </c>
      <c r="B2074" s="174" t="s">
        <v>13618</v>
      </c>
      <c r="C2074" s="175"/>
      <c r="D2074" s="176" t="s">
        <v>13618</v>
      </c>
      <c r="E2074" s="176">
        <v>108508</v>
      </c>
      <c r="F2074" s="177" t="s">
        <v>10</v>
      </c>
      <c r="G2074" s="178">
        <v>2128.4</v>
      </c>
      <c r="H2074" s="179">
        <v>42846</v>
      </c>
      <c r="I2074" s="178">
        <f t="shared" si="65"/>
        <v>2128.4</v>
      </c>
      <c r="J2074" s="178">
        <f t="shared" si="66"/>
        <v>0</v>
      </c>
    </row>
    <row r="2075" spans="1:10" x14ac:dyDescent="0.25">
      <c r="A2075" s="51">
        <v>42844</v>
      </c>
      <c r="B2075" s="174" t="s">
        <v>13619</v>
      </c>
      <c r="C2075" s="175"/>
      <c r="D2075" s="176" t="s">
        <v>13619</v>
      </c>
      <c r="E2075" s="176">
        <v>108509</v>
      </c>
      <c r="F2075" s="177" t="s">
        <v>1090</v>
      </c>
      <c r="G2075" s="178">
        <v>4777.3</v>
      </c>
      <c r="H2075" s="179">
        <v>42844</v>
      </c>
      <c r="I2075" s="178">
        <f t="shared" si="65"/>
        <v>4777.3</v>
      </c>
      <c r="J2075" s="178">
        <f t="shared" si="66"/>
        <v>0</v>
      </c>
    </row>
    <row r="2076" spans="1:10" x14ac:dyDescent="0.25">
      <c r="A2076" s="51">
        <v>42844</v>
      </c>
      <c r="B2076" s="174" t="s">
        <v>13620</v>
      </c>
      <c r="C2076" s="175"/>
      <c r="D2076" s="176" t="s">
        <v>13620</v>
      </c>
      <c r="E2076" s="176">
        <v>108510</v>
      </c>
      <c r="F2076" s="177" t="s">
        <v>432</v>
      </c>
      <c r="G2076" s="178">
        <v>14856.6</v>
      </c>
      <c r="H2076" s="179">
        <v>42846</v>
      </c>
      <c r="I2076" s="178">
        <f t="shared" si="65"/>
        <v>14856.6</v>
      </c>
      <c r="J2076" s="178">
        <f t="shared" si="66"/>
        <v>0</v>
      </c>
    </row>
    <row r="2077" spans="1:10" x14ac:dyDescent="0.25">
      <c r="A2077" s="51">
        <v>42844</v>
      </c>
      <c r="B2077" s="174" t="s">
        <v>13621</v>
      </c>
      <c r="C2077" s="175"/>
      <c r="D2077" s="176" t="s">
        <v>13621</v>
      </c>
      <c r="E2077" s="176">
        <v>108511</v>
      </c>
      <c r="F2077" s="177" t="s">
        <v>1666</v>
      </c>
      <c r="G2077" s="178">
        <v>15153.6</v>
      </c>
      <c r="H2077" s="179">
        <v>42846</v>
      </c>
      <c r="I2077" s="178">
        <f t="shared" si="65"/>
        <v>15153.6</v>
      </c>
      <c r="J2077" s="178">
        <f t="shared" si="66"/>
        <v>0</v>
      </c>
    </row>
    <row r="2078" spans="1:10" x14ac:dyDescent="0.25">
      <c r="A2078" s="51">
        <v>42844</v>
      </c>
      <c r="B2078" s="174" t="s">
        <v>13622</v>
      </c>
      <c r="C2078" s="175"/>
      <c r="D2078" s="176" t="s">
        <v>13622</v>
      </c>
      <c r="E2078" s="176">
        <v>108512</v>
      </c>
      <c r="F2078" s="177" t="s">
        <v>268</v>
      </c>
      <c r="G2078" s="178">
        <v>14523.3</v>
      </c>
      <c r="H2078" s="186">
        <v>42851</v>
      </c>
      <c r="I2078" s="187">
        <f t="shared" si="65"/>
        <v>14523.3</v>
      </c>
      <c r="J2078" s="178">
        <f t="shared" si="66"/>
        <v>0</v>
      </c>
    </row>
    <row r="2079" spans="1:10" x14ac:dyDescent="0.25">
      <c r="A2079" s="51">
        <v>42844</v>
      </c>
      <c r="B2079" s="174" t="s">
        <v>13623</v>
      </c>
      <c r="C2079" s="175"/>
      <c r="D2079" s="176" t="s">
        <v>13623</v>
      </c>
      <c r="E2079" s="176">
        <v>108513</v>
      </c>
      <c r="F2079" s="177" t="s">
        <v>876</v>
      </c>
      <c r="G2079" s="178">
        <v>2897.4</v>
      </c>
      <c r="H2079" s="186">
        <v>42851</v>
      </c>
      <c r="I2079" s="187">
        <f t="shared" si="65"/>
        <v>2897.4</v>
      </c>
      <c r="J2079" s="178">
        <f t="shared" si="66"/>
        <v>0</v>
      </c>
    </row>
    <row r="2080" spans="1:10" x14ac:dyDescent="0.25">
      <c r="A2080" s="51">
        <v>42844</v>
      </c>
      <c r="B2080" s="174" t="s">
        <v>13624</v>
      </c>
      <c r="C2080" s="175"/>
      <c r="D2080" s="176" t="s">
        <v>13624</v>
      </c>
      <c r="E2080" s="176">
        <v>108514</v>
      </c>
      <c r="F2080" s="182" t="s">
        <v>240</v>
      </c>
      <c r="G2080" s="183">
        <v>0</v>
      </c>
      <c r="H2080" s="184" t="s">
        <v>95</v>
      </c>
      <c r="I2080" s="183">
        <f t="shared" si="65"/>
        <v>0</v>
      </c>
      <c r="J2080" s="183">
        <f t="shared" si="66"/>
        <v>0</v>
      </c>
    </row>
    <row r="2081" spans="1:10" x14ac:dyDescent="0.25">
      <c r="A2081" s="51">
        <v>42844</v>
      </c>
      <c r="B2081" s="174" t="s">
        <v>13625</v>
      </c>
      <c r="C2081" s="175"/>
      <c r="D2081" s="176" t="s">
        <v>13625</v>
      </c>
      <c r="E2081" s="176">
        <v>108515</v>
      </c>
      <c r="F2081" s="177" t="s">
        <v>240</v>
      </c>
      <c r="G2081" s="178">
        <v>6243.2</v>
      </c>
      <c r="H2081" s="179">
        <v>42844</v>
      </c>
      <c r="I2081" s="178">
        <f t="shared" si="65"/>
        <v>6243.2</v>
      </c>
      <c r="J2081" s="178">
        <f t="shared" si="66"/>
        <v>0</v>
      </c>
    </row>
    <row r="2082" spans="1:10" x14ac:dyDescent="0.25">
      <c r="A2082" s="51">
        <v>42844</v>
      </c>
      <c r="B2082" s="174" t="s">
        <v>13626</v>
      </c>
      <c r="C2082" s="175"/>
      <c r="D2082" s="176" t="s">
        <v>13626</v>
      </c>
      <c r="E2082" s="176">
        <v>108516</v>
      </c>
      <c r="F2082" s="182" t="s">
        <v>270</v>
      </c>
      <c r="G2082" s="183">
        <v>0</v>
      </c>
      <c r="H2082" s="184" t="s">
        <v>95</v>
      </c>
      <c r="I2082" s="183">
        <f t="shared" si="65"/>
        <v>0</v>
      </c>
      <c r="J2082" s="183">
        <f t="shared" si="66"/>
        <v>0</v>
      </c>
    </row>
    <row r="2083" spans="1:10" x14ac:dyDescent="0.25">
      <c r="A2083" s="51">
        <v>42844</v>
      </c>
      <c r="B2083" s="174" t="s">
        <v>13627</v>
      </c>
      <c r="C2083" s="175"/>
      <c r="D2083" s="176" t="s">
        <v>13627</v>
      </c>
      <c r="E2083" s="176">
        <v>108517</v>
      </c>
      <c r="F2083" s="177" t="s">
        <v>414</v>
      </c>
      <c r="G2083" s="178">
        <v>1360.8</v>
      </c>
      <c r="H2083" s="179">
        <v>42844</v>
      </c>
      <c r="I2083" s="178">
        <f t="shared" si="65"/>
        <v>1360.8</v>
      </c>
      <c r="J2083" s="178">
        <f t="shared" si="66"/>
        <v>0</v>
      </c>
    </row>
    <row r="2084" spans="1:10" x14ac:dyDescent="0.25">
      <c r="A2084" s="51">
        <v>42844</v>
      </c>
      <c r="B2084" s="174" t="s">
        <v>13628</v>
      </c>
      <c r="C2084" s="175"/>
      <c r="D2084" s="176" t="s">
        <v>13628</v>
      </c>
      <c r="E2084" s="176">
        <v>108518</v>
      </c>
      <c r="F2084" s="177" t="s">
        <v>272</v>
      </c>
      <c r="G2084" s="178">
        <v>3138.3</v>
      </c>
      <c r="H2084" s="179">
        <v>42846</v>
      </c>
      <c r="I2084" s="178">
        <f t="shared" si="65"/>
        <v>3138.3</v>
      </c>
      <c r="J2084" s="178">
        <f t="shared" si="66"/>
        <v>0</v>
      </c>
    </row>
    <row r="2085" spans="1:10" x14ac:dyDescent="0.25">
      <c r="A2085" s="51">
        <v>42844</v>
      </c>
      <c r="B2085" s="174" t="s">
        <v>13629</v>
      </c>
      <c r="C2085" s="175"/>
      <c r="D2085" s="176" t="s">
        <v>13629</v>
      </c>
      <c r="E2085" s="176">
        <v>108519</v>
      </c>
      <c r="F2085" s="177" t="s">
        <v>69</v>
      </c>
      <c r="G2085" s="178">
        <v>4564.8</v>
      </c>
      <c r="H2085" s="179">
        <v>42845</v>
      </c>
      <c r="I2085" s="178">
        <f t="shared" si="65"/>
        <v>4564.8</v>
      </c>
      <c r="J2085" s="178">
        <f t="shared" si="66"/>
        <v>0</v>
      </c>
    </row>
    <row r="2086" spans="1:10" x14ac:dyDescent="0.25">
      <c r="A2086" s="51">
        <v>42844</v>
      </c>
      <c r="B2086" s="174" t="s">
        <v>13630</v>
      </c>
      <c r="C2086" s="175"/>
      <c r="D2086" s="176" t="s">
        <v>13630</v>
      </c>
      <c r="E2086" s="176">
        <v>108520</v>
      </c>
      <c r="F2086" s="177" t="s">
        <v>1797</v>
      </c>
      <c r="G2086" s="178">
        <v>7336.6</v>
      </c>
      <c r="H2086" s="179">
        <v>42846</v>
      </c>
      <c r="I2086" s="178">
        <f t="shared" si="65"/>
        <v>7336.6</v>
      </c>
      <c r="J2086" s="178">
        <f t="shared" si="66"/>
        <v>0</v>
      </c>
    </row>
    <row r="2087" spans="1:10" x14ac:dyDescent="0.25">
      <c r="A2087" s="51">
        <v>42844</v>
      </c>
      <c r="B2087" s="174" t="s">
        <v>13631</v>
      </c>
      <c r="C2087" s="175"/>
      <c r="D2087" s="176" t="s">
        <v>13631</v>
      </c>
      <c r="E2087" s="176">
        <v>108521</v>
      </c>
      <c r="F2087" s="177" t="s">
        <v>270</v>
      </c>
      <c r="G2087" s="178">
        <v>31869.56</v>
      </c>
      <c r="H2087" s="186">
        <v>42851</v>
      </c>
      <c r="I2087" s="187">
        <f t="shared" si="65"/>
        <v>31869.56</v>
      </c>
      <c r="J2087" s="178">
        <f t="shared" si="66"/>
        <v>0</v>
      </c>
    </row>
    <row r="2088" spans="1:10" x14ac:dyDescent="0.25">
      <c r="A2088" s="51">
        <v>42844</v>
      </c>
      <c r="B2088" s="174" t="s">
        <v>13632</v>
      </c>
      <c r="C2088" s="175"/>
      <c r="D2088" s="176" t="s">
        <v>13632</v>
      </c>
      <c r="E2088" s="176">
        <v>108522</v>
      </c>
      <c r="F2088" s="177" t="s">
        <v>30</v>
      </c>
      <c r="G2088" s="178">
        <v>31325.8</v>
      </c>
      <c r="H2088" s="179">
        <v>42846</v>
      </c>
      <c r="I2088" s="178">
        <f t="shared" si="65"/>
        <v>31325.8</v>
      </c>
      <c r="J2088" s="178">
        <f t="shared" si="66"/>
        <v>0</v>
      </c>
    </row>
    <row r="2089" spans="1:10" x14ac:dyDescent="0.25">
      <c r="A2089" s="51">
        <v>42844</v>
      </c>
      <c r="B2089" s="174" t="s">
        <v>13633</v>
      </c>
      <c r="C2089" s="175"/>
      <c r="D2089" s="176" t="s">
        <v>13633</v>
      </c>
      <c r="E2089" s="176">
        <v>108523</v>
      </c>
      <c r="F2089" s="177" t="s">
        <v>8294</v>
      </c>
      <c r="G2089" s="178">
        <v>3598</v>
      </c>
      <c r="H2089" s="179">
        <v>42844</v>
      </c>
      <c r="I2089" s="178">
        <f t="shared" si="65"/>
        <v>3598</v>
      </c>
      <c r="J2089" s="178">
        <f t="shared" si="66"/>
        <v>0</v>
      </c>
    </row>
    <row r="2090" spans="1:10" x14ac:dyDescent="0.25">
      <c r="A2090" s="51">
        <v>42844</v>
      </c>
      <c r="B2090" s="174" t="s">
        <v>13634</v>
      </c>
      <c r="C2090" s="175"/>
      <c r="D2090" s="176" t="s">
        <v>13634</v>
      </c>
      <c r="E2090" s="176">
        <v>108524</v>
      </c>
      <c r="F2090" s="177" t="s">
        <v>222</v>
      </c>
      <c r="G2090" s="178">
        <v>32140.44</v>
      </c>
      <c r="H2090" s="179">
        <v>42848</v>
      </c>
      <c r="I2090" s="178">
        <f t="shared" si="65"/>
        <v>32140.44</v>
      </c>
      <c r="J2090" s="178">
        <f t="shared" si="66"/>
        <v>0</v>
      </c>
    </row>
    <row r="2091" spans="1:10" x14ac:dyDescent="0.25">
      <c r="A2091" s="51">
        <v>42844</v>
      </c>
      <c r="B2091" s="174" t="s">
        <v>13635</v>
      </c>
      <c r="C2091" s="175"/>
      <c r="D2091" s="176" t="s">
        <v>13635</v>
      </c>
      <c r="E2091" s="176">
        <v>108525</v>
      </c>
      <c r="F2091" s="177" t="s">
        <v>476</v>
      </c>
      <c r="G2091" s="178">
        <v>16601.900000000001</v>
      </c>
      <c r="H2091" s="179">
        <v>42848</v>
      </c>
      <c r="I2091" s="178">
        <f t="shared" si="65"/>
        <v>16601.900000000001</v>
      </c>
      <c r="J2091" s="178">
        <f t="shared" si="66"/>
        <v>0</v>
      </c>
    </row>
    <row r="2092" spans="1:10" x14ac:dyDescent="0.25">
      <c r="A2092" s="51">
        <v>42844</v>
      </c>
      <c r="B2092" s="174" t="s">
        <v>13636</v>
      </c>
      <c r="C2092" s="175"/>
      <c r="D2092" s="176" t="s">
        <v>13636</v>
      </c>
      <c r="E2092" s="176">
        <v>108526</v>
      </c>
      <c r="F2092" s="177" t="s">
        <v>47</v>
      </c>
      <c r="G2092" s="178">
        <v>603.29999999999995</v>
      </c>
      <c r="H2092" s="179">
        <v>42844</v>
      </c>
      <c r="I2092" s="178">
        <f t="shared" si="65"/>
        <v>603.29999999999995</v>
      </c>
      <c r="J2092" s="178">
        <f t="shared" si="66"/>
        <v>0</v>
      </c>
    </row>
    <row r="2093" spans="1:10" x14ac:dyDescent="0.25">
      <c r="A2093" s="51">
        <v>42844</v>
      </c>
      <c r="B2093" s="174" t="s">
        <v>13637</v>
      </c>
      <c r="C2093" s="175"/>
      <c r="D2093" s="176" t="s">
        <v>13637</v>
      </c>
      <c r="E2093" s="176">
        <v>108527</v>
      </c>
      <c r="F2093" s="177" t="s">
        <v>1163</v>
      </c>
      <c r="G2093" s="178">
        <v>21947.200000000001</v>
      </c>
      <c r="H2093" s="179">
        <v>42844</v>
      </c>
      <c r="I2093" s="178">
        <f t="shared" si="65"/>
        <v>21947.200000000001</v>
      </c>
      <c r="J2093" s="178">
        <f t="shared" si="66"/>
        <v>0</v>
      </c>
    </row>
    <row r="2094" spans="1:10" x14ac:dyDescent="0.25">
      <c r="A2094" s="51">
        <v>42844</v>
      </c>
      <c r="B2094" s="174" t="s">
        <v>13638</v>
      </c>
      <c r="C2094" s="175"/>
      <c r="D2094" s="176" t="s">
        <v>13638</v>
      </c>
      <c r="E2094" s="176">
        <v>108528</v>
      </c>
      <c r="F2094" s="177" t="s">
        <v>858</v>
      </c>
      <c r="G2094" s="178">
        <v>2776.8</v>
      </c>
      <c r="H2094" s="179">
        <v>42844</v>
      </c>
      <c r="I2094" s="178">
        <f t="shared" si="65"/>
        <v>2776.8</v>
      </c>
      <c r="J2094" s="178">
        <f t="shared" si="66"/>
        <v>0</v>
      </c>
    </row>
    <row r="2095" spans="1:10" x14ac:dyDescent="0.25">
      <c r="A2095" s="51">
        <v>42844</v>
      </c>
      <c r="B2095" s="174" t="s">
        <v>13639</v>
      </c>
      <c r="C2095" s="175"/>
      <c r="D2095" s="176" t="s">
        <v>13639</v>
      </c>
      <c r="E2095" s="176">
        <v>108529</v>
      </c>
      <c r="F2095" s="177" t="s">
        <v>858</v>
      </c>
      <c r="G2095" s="178">
        <v>150</v>
      </c>
      <c r="H2095" s="179">
        <v>42844</v>
      </c>
      <c r="I2095" s="178">
        <f t="shared" si="65"/>
        <v>150</v>
      </c>
      <c r="J2095" s="178">
        <f t="shared" si="66"/>
        <v>0</v>
      </c>
    </row>
    <row r="2096" spans="1:10" x14ac:dyDescent="0.25">
      <c r="A2096" s="51">
        <v>42844</v>
      </c>
      <c r="B2096" s="174" t="s">
        <v>13640</v>
      </c>
      <c r="C2096" s="175"/>
      <c r="D2096" s="176" t="s">
        <v>13640</v>
      </c>
      <c r="E2096" s="176">
        <v>108530</v>
      </c>
      <c r="F2096" s="177" t="s">
        <v>85</v>
      </c>
      <c r="G2096" s="178">
        <v>17322.2</v>
      </c>
      <c r="H2096" s="180" t="s">
        <v>13116</v>
      </c>
      <c r="I2096" s="181">
        <f>6500+10822.2</f>
        <v>17322.2</v>
      </c>
      <c r="J2096" s="181">
        <f t="shared" si="66"/>
        <v>0</v>
      </c>
    </row>
    <row r="2097" spans="1:10" x14ac:dyDescent="0.25">
      <c r="A2097" s="51">
        <v>42844</v>
      </c>
      <c r="B2097" s="174" t="s">
        <v>13641</v>
      </c>
      <c r="C2097" s="175"/>
      <c r="D2097" s="176" t="s">
        <v>13641</v>
      </c>
      <c r="E2097" s="176">
        <v>108531</v>
      </c>
      <c r="F2097" s="177" t="s">
        <v>77</v>
      </c>
      <c r="G2097" s="178">
        <v>429.6</v>
      </c>
      <c r="H2097" s="179">
        <v>42844</v>
      </c>
      <c r="I2097" s="178">
        <f t="shared" si="65"/>
        <v>429.6</v>
      </c>
      <c r="J2097" s="178">
        <f t="shared" si="66"/>
        <v>0</v>
      </c>
    </row>
    <row r="2098" spans="1:10" x14ac:dyDescent="0.25">
      <c r="A2098" s="51">
        <v>42844</v>
      </c>
      <c r="B2098" s="174" t="s">
        <v>13642</v>
      </c>
      <c r="C2098" s="175"/>
      <c r="D2098" s="176" t="s">
        <v>13642</v>
      </c>
      <c r="E2098" s="176">
        <v>108532</v>
      </c>
      <c r="F2098" s="177" t="s">
        <v>281</v>
      </c>
      <c r="G2098" s="178">
        <v>1108.8</v>
      </c>
      <c r="H2098" s="179">
        <v>42845</v>
      </c>
      <c r="I2098" s="178">
        <f t="shared" si="65"/>
        <v>1108.8</v>
      </c>
      <c r="J2098" s="178">
        <f t="shared" si="66"/>
        <v>0</v>
      </c>
    </row>
    <row r="2099" spans="1:10" x14ac:dyDescent="0.25">
      <c r="A2099" s="51">
        <v>42844</v>
      </c>
      <c r="B2099" s="174" t="s">
        <v>13643</v>
      </c>
      <c r="C2099" s="175"/>
      <c r="D2099" s="176" t="s">
        <v>13643</v>
      </c>
      <c r="E2099" s="176">
        <v>108533</v>
      </c>
      <c r="F2099" s="177" t="s">
        <v>492</v>
      </c>
      <c r="G2099" s="178">
        <v>20307</v>
      </c>
      <c r="H2099" s="179">
        <v>42848</v>
      </c>
      <c r="I2099" s="178">
        <f t="shared" si="65"/>
        <v>20307</v>
      </c>
      <c r="J2099" s="178">
        <f t="shared" si="66"/>
        <v>0</v>
      </c>
    </row>
    <row r="2100" spans="1:10" x14ac:dyDescent="0.25">
      <c r="A2100" s="51">
        <v>42844</v>
      </c>
      <c r="B2100" s="174" t="s">
        <v>13644</v>
      </c>
      <c r="C2100" s="175"/>
      <c r="D2100" s="176" t="s">
        <v>13644</v>
      </c>
      <c r="E2100" s="176">
        <v>108534</v>
      </c>
      <c r="F2100" s="177" t="s">
        <v>773</v>
      </c>
      <c r="G2100" s="178">
        <v>334.4</v>
      </c>
      <c r="H2100" s="179">
        <v>42844</v>
      </c>
      <c r="I2100" s="178">
        <f t="shared" si="65"/>
        <v>334.4</v>
      </c>
      <c r="J2100" s="178">
        <f t="shared" si="66"/>
        <v>0</v>
      </c>
    </row>
    <row r="2101" spans="1:10" x14ac:dyDescent="0.25">
      <c r="A2101" s="51">
        <v>42844</v>
      </c>
      <c r="B2101" s="174" t="s">
        <v>13645</v>
      </c>
      <c r="C2101" s="175"/>
      <c r="D2101" s="176" t="s">
        <v>13645</v>
      </c>
      <c r="E2101" s="176">
        <v>108535</v>
      </c>
      <c r="F2101" s="177" t="s">
        <v>4367</v>
      </c>
      <c r="G2101" s="178">
        <v>1440</v>
      </c>
      <c r="H2101" s="179">
        <v>42845</v>
      </c>
      <c r="I2101" s="178">
        <f t="shared" si="65"/>
        <v>1440</v>
      </c>
      <c r="J2101" s="178">
        <f t="shared" si="66"/>
        <v>0</v>
      </c>
    </row>
    <row r="2102" spans="1:10" x14ac:dyDescent="0.25">
      <c r="A2102" s="51">
        <v>42844</v>
      </c>
      <c r="B2102" s="174" t="s">
        <v>13646</v>
      </c>
      <c r="C2102" s="175"/>
      <c r="D2102" s="176" t="s">
        <v>13646</v>
      </c>
      <c r="E2102" s="176">
        <v>108536</v>
      </c>
      <c r="F2102" s="177" t="s">
        <v>13647</v>
      </c>
      <c r="G2102" s="178">
        <v>434.2</v>
      </c>
      <c r="H2102" s="179">
        <v>42844</v>
      </c>
      <c r="I2102" s="178">
        <f t="shared" si="65"/>
        <v>434.2</v>
      </c>
      <c r="J2102" s="178">
        <f t="shared" si="66"/>
        <v>0</v>
      </c>
    </row>
    <row r="2103" spans="1:10" x14ac:dyDescent="0.25">
      <c r="A2103" s="51">
        <v>42844</v>
      </c>
      <c r="B2103" s="174" t="s">
        <v>13648</v>
      </c>
      <c r="C2103" s="175"/>
      <c r="D2103" s="176" t="s">
        <v>13648</v>
      </c>
      <c r="E2103" s="176">
        <v>108537</v>
      </c>
      <c r="F2103" s="177" t="s">
        <v>99</v>
      </c>
      <c r="G2103" s="178">
        <v>1760</v>
      </c>
      <c r="H2103" s="179">
        <v>42845</v>
      </c>
      <c r="I2103" s="178">
        <f t="shared" si="65"/>
        <v>1760</v>
      </c>
      <c r="J2103" s="178">
        <f t="shared" si="66"/>
        <v>0</v>
      </c>
    </row>
    <row r="2104" spans="1:10" x14ac:dyDescent="0.25">
      <c r="A2104" s="51">
        <v>42844</v>
      </c>
      <c r="B2104" s="174" t="s">
        <v>13649</v>
      </c>
      <c r="C2104" s="175"/>
      <c r="D2104" s="176" t="s">
        <v>13649</v>
      </c>
      <c r="E2104" s="176">
        <v>108538</v>
      </c>
      <c r="F2104" s="177" t="s">
        <v>109</v>
      </c>
      <c r="G2104" s="178">
        <v>3602.6</v>
      </c>
      <c r="H2104" s="179">
        <v>42845</v>
      </c>
      <c r="I2104" s="178">
        <f t="shared" si="65"/>
        <v>3602.6</v>
      </c>
      <c r="J2104" s="178">
        <f t="shared" si="66"/>
        <v>0</v>
      </c>
    </row>
    <row r="2105" spans="1:10" x14ac:dyDescent="0.25">
      <c r="A2105" s="51">
        <v>42844</v>
      </c>
      <c r="B2105" s="174" t="s">
        <v>13650</v>
      </c>
      <c r="C2105" s="175"/>
      <c r="D2105" s="176" t="s">
        <v>13650</v>
      </c>
      <c r="E2105" s="176">
        <v>108539</v>
      </c>
      <c r="F2105" s="177" t="s">
        <v>83</v>
      </c>
      <c r="G2105" s="178">
        <v>3843</v>
      </c>
      <c r="H2105" s="179">
        <v>42845</v>
      </c>
      <c r="I2105" s="178">
        <f t="shared" si="65"/>
        <v>3843</v>
      </c>
      <c r="J2105" s="178">
        <f t="shared" si="66"/>
        <v>0</v>
      </c>
    </row>
    <row r="2106" spans="1:10" x14ac:dyDescent="0.25">
      <c r="A2106" s="51">
        <v>42844</v>
      </c>
      <c r="B2106" s="174" t="s">
        <v>13651</v>
      </c>
      <c r="C2106" s="175"/>
      <c r="D2106" s="176" t="s">
        <v>13651</v>
      </c>
      <c r="E2106" s="176">
        <v>108540</v>
      </c>
      <c r="F2106" s="177" t="s">
        <v>613</v>
      </c>
      <c r="G2106" s="178">
        <v>3771</v>
      </c>
      <c r="H2106" s="179">
        <v>42845</v>
      </c>
      <c r="I2106" s="178">
        <f t="shared" si="65"/>
        <v>3771</v>
      </c>
      <c r="J2106" s="178">
        <f t="shared" si="66"/>
        <v>0</v>
      </c>
    </row>
    <row r="2107" spans="1:10" x14ac:dyDescent="0.25">
      <c r="A2107" s="51">
        <v>42844</v>
      </c>
      <c r="B2107" s="174" t="s">
        <v>13652</v>
      </c>
      <c r="C2107" s="175"/>
      <c r="D2107" s="176" t="s">
        <v>13652</v>
      </c>
      <c r="E2107" s="176">
        <v>108541</v>
      </c>
      <c r="F2107" s="177" t="s">
        <v>103</v>
      </c>
      <c r="G2107" s="178">
        <v>2742.6</v>
      </c>
      <c r="H2107" s="179">
        <v>42846</v>
      </c>
      <c r="I2107" s="178">
        <f t="shared" si="65"/>
        <v>2742.6</v>
      </c>
      <c r="J2107" s="178">
        <f t="shared" si="66"/>
        <v>0</v>
      </c>
    </row>
    <row r="2108" spans="1:10" x14ac:dyDescent="0.25">
      <c r="A2108" s="51">
        <v>42844</v>
      </c>
      <c r="B2108" s="174" t="s">
        <v>13653</v>
      </c>
      <c r="C2108" s="175"/>
      <c r="D2108" s="176" t="s">
        <v>13653</v>
      </c>
      <c r="E2108" s="176">
        <v>108542</v>
      </c>
      <c r="F2108" s="177" t="s">
        <v>115</v>
      </c>
      <c r="G2108" s="178">
        <v>7674.65</v>
      </c>
      <c r="H2108" s="184">
        <v>42853</v>
      </c>
      <c r="I2108" s="183">
        <f t="shared" si="65"/>
        <v>7674.65</v>
      </c>
      <c r="J2108" s="178">
        <f t="shared" si="66"/>
        <v>0</v>
      </c>
    </row>
    <row r="2109" spans="1:10" x14ac:dyDescent="0.25">
      <c r="A2109" s="51">
        <v>42844</v>
      </c>
      <c r="B2109" s="174" t="s">
        <v>13654</v>
      </c>
      <c r="C2109" s="175"/>
      <c r="D2109" s="176" t="s">
        <v>13654</v>
      </c>
      <c r="E2109" s="176">
        <v>108543</v>
      </c>
      <c r="F2109" s="177" t="s">
        <v>712</v>
      </c>
      <c r="G2109" s="178">
        <v>4702.6000000000004</v>
      </c>
      <c r="H2109" s="179">
        <v>42845</v>
      </c>
      <c r="I2109" s="178">
        <f t="shared" si="65"/>
        <v>4702.6000000000004</v>
      </c>
      <c r="J2109" s="178">
        <f t="shared" si="66"/>
        <v>0</v>
      </c>
    </row>
    <row r="2110" spans="1:10" x14ac:dyDescent="0.25">
      <c r="A2110" s="51">
        <v>42844</v>
      </c>
      <c r="B2110" s="174" t="s">
        <v>13655</v>
      </c>
      <c r="C2110" s="175"/>
      <c r="D2110" s="176" t="s">
        <v>13655</v>
      </c>
      <c r="E2110" s="176">
        <v>108544</v>
      </c>
      <c r="F2110" s="177" t="s">
        <v>289</v>
      </c>
      <c r="G2110" s="178">
        <v>8681.7000000000007</v>
      </c>
      <c r="H2110" s="186">
        <v>42851</v>
      </c>
      <c r="I2110" s="187">
        <f t="shared" si="65"/>
        <v>8681.7000000000007</v>
      </c>
      <c r="J2110" s="178">
        <f t="shared" si="66"/>
        <v>0</v>
      </c>
    </row>
    <row r="2111" spans="1:10" x14ac:dyDescent="0.25">
      <c r="A2111" s="51">
        <v>42844</v>
      </c>
      <c r="B2111" s="174" t="s">
        <v>13656</v>
      </c>
      <c r="C2111" s="175"/>
      <c r="D2111" s="176" t="s">
        <v>13656</v>
      </c>
      <c r="E2111" s="176">
        <v>108545</v>
      </c>
      <c r="F2111" s="177" t="s">
        <v>81</v>
      </c>
      <c r="G2111" s="178">
        <v>5125.6000000000004</v>
      </c>
      <c r="H2111" s="179">
        <v>42845</v>
      </c>
      <c r="I2111" s="178">
        <f t="shared" si="65"/>
        <v>5125.6000000000004</v>
      </c>
      <c r="J2111" s="178">
        <f t="shared" si="66"/>
        <v>0</v>
      </c>
    </row>
    <row r="2112" spans="1:10" x14ac:dyDescent="0.25">
      <c r="A2112" s="51">
        <v>42844</v>
      </c>
      <c r="B2112" s="174" t="s">
        <v>13657</v>
      </c>
      <c r="C2112" s="175"/>
      <c r="D2112" s="176" t="s">
        <v>13657</v>
      </c>
      <c r="E2112" s="176">
        <v>108546</v>
      </c>
      <c r="F2112" s="177" t="s">
        <v>1259</v>
      </c>
      <c r="G2112" s="178">
        <v>1161</v>
      </c>
      <c r="H2112" s="179">
        <v>42845</v>
      </c>
      <c r="I2112" s="178">
        <f t="shared" si="65"/>
        <v>1161</v>
      </c>
      <c r="J2112" s="178">
        <f t="shared" si="66"/>
        <v>0</v>
      </c>
    </row>
    <row r="2113" spans="1:11" x14ac:dyDescent="0.25">
      <c r="A2113" s="51">
        <v>42844</v>
      </c>
      <c r="B2113" s="174" t="s">
        <v>13658</v>
      </c>
      <c r="C2113" s="175"/>
      <c r="D2113" s="176" t="s">
        <v>13658</v>
      </c>
      <c r="E2113" s="176">
        <v>108547</v>
      </c>
      <c r="F2113" s="177" t="s">
        <v>222</v>
      </c>
      <c r="G2113" s="178">
        <v>34284.78</v>
      </c>
      <c r="H2113" s="179">
        <v>42848</v>
      </c>
      <c r="I2113" s="178">
        <f t="shared" si="65"/>
        <v>34284.78</v>
      </c>
      <c r="J2113" s="178">
        <f t="shared" si="66"/>
        <v>0</v>
      </c>
    </row>
    <row r="2114" spans="1:11" x14ac:dyDescent="0.25">
      <c r="A2114" s="51">
        <v>42844</v>
      </c>
      <c r="B2114" s="174" t="s">
        <v>13659</v>
      </c>
      <c r="C2114" s="175"/>
      <c r="D2114" s="176" t="s">
        <v>13659</v>
      </c>
      <c r="E2114" s="176">
        <v>108548</v>
      </c>
      <c r="F2114" s="177" t="s">
        <v>71</v>
      </c>
      <c r="G2114" s="178">
        <v>3016.2</v>
      </c>
      <c r="H2114" s="179">
        <v>42844</v>
      </c>
      <c r="I2114" s="178">
        <f t="shared" si="65"/>
        <v>3016.2</v>
      </c>
      <c r="J2114" s="178">
        <f t="shared" si="66"/>
        <v>0</v>
      </c>
    </row>
    <row r="2115" spans="1:11" x14ac:dyDescent="0.25">
      <c r="A2115" s="51">
        <v>42844</v>
      </c>
      <c r="B2115" s="174" t="s">
        <v>13660</v>
      </c>
      <c r="C2115" s="175"/>
      <c r="D2115" s="176" t="s">
        <v>13660</v>
      </c>
      <c r="E2115" s="176">
        <v>108549</v>
      </c>
      <c r="F2115" s="177" t="s">
        <v>329</v>
      </c>
      <c r="G2115" s="178">
        <v>411.2</v>
      </c>
      <c r="H2115" s="179">
        <v>42844</v>
      </c>
      <c r="I2115" s="178">
        <f t="shared" si="65"/>
        <v>411.2</v>
      </c>
      <c r="J2115" s="178">
        <f t="shared" si="66"/>
        <v>0</v>
      </c>
    </row>
    <row r="2116" spans="1:11" x14ac:dyDescent="0.25">
      <c r="A2116" s="51">
        <v>42844</v>
      </c>
      <c r="B2116" s="174" t="s">
        <v>13661</v>
      </c>
      <c r="C2116" s="175"/>
      <c r="D2116" s="176" t="s">
        <v>13661</v>
      </c>
      <c r="E2116" s="176">
        <v>108550</v>
      </c>
      <c r="F2116" s="177" t="s">
        <v>105</v>
      </c>
      <c r="G2116" s="178">
        <v>2694.9</v>
      </c>
      <c r="H2116" s="179">
        <v>42846</v>
      </c>
      <c r="I2116" s="178">
        <f t="shared" ref="I2116:I2179" si="67">G2116</f>
        <v>2694.9</v>
      </c>
      <c r="J2116" s="178">
        <f t="shared" ref="J2116:J2179" si="68">G2116-I2116</f>
        <v>0</v>
      </c>
    </row>
    <row r="2117" spans="1:11" x14ac:dyDescent="0.25">
      <c r="A2117" s="51">
        <v>42844</v>
      </c>
      <c r="B2117" s="174" t="s">
        <v>13662</v>
      </c>
      <c r="C2117" s="175"/>
      <c r="D2117" s="176" t="s">
        <v>13662</v>
      </c>
      <c r="E2117" s="176">
        <v>108551</v>
      </c>
      <c r="F2117" s="177" t="s">
        <v>302</v>
      </c>
      <c r="G2117" s="178">
        <v>12383.8</v>
      </c>
      <c r="H2117" s="179">
        <v>42847</v>
      </c>
      <c r="I2117" s="178">
        <f t="shared" si="67"/>
        <v>12383.8</v>
      </c>
      <c r="J2117" s="178">
        <f t="shared" si="68"/>
        <v>0</v>
      </c>
    </row>
    <row r="2118" spans="1:11" x14ac:dyDescent="0.25">
      <c r="A2118" s="51">
        <v>42844</v>
      </c>
      <c r="B2118" s="174" t="s">
        <v>13663</v>
      </c>
      <c r="C2118" s="175"/>
      <c r="D2118" s="176" t="s">
        <v>13663</v>
      </c>
      <c r="E2118" s="176">
        <v>108552</v>
      </c>
      <c r="F2118" s="177" t="s">
        <v>92</v>
      </c>
      <c r="G2118" s="178">
        <v>2525.6</v>
      </c>
      <c r="H2118" s="179">
        <v>42845</v>
      </c>
      <c r="I2118" s="178">
        <f t="shared" si="67"/>
        <v>2525.6</v>
      </c>
      <c r="J2118" s="178">
        <f t="shared" si="68"/>
        <v>0</v>
      </c>
    </row>
    <row r="2119" spans="1:11" x14ac:dyDescent="0.25">
      <c r="A2119" s="51">
        <v>42844</v>
      </c>
      <c r="B2119" s="174" t="s">
        <v>13664</v>
      </c>
      <c r="C2119" s="175"/>
      <c r="D2119" s="176" t="s">
        <v>13664</v>
      </c>
      <c r="E2119" s="176">
        <v>108553</v>
      </c>
      <c r="F2119" s="177" t="s">
        <v>81</v>
      </c>
      <c r="G2119" s="178">
        <v>256.5</v>
      </c>
      <c r="H2119" s="179">
        <v>42845</v>
      </c>
      <c r="I2119" s="178">
        <f t="shared" si="67"/>
        <v>256.5</v>
      </c>
      <c r="J2119" s="178">
        <f t="shared" si="68"/>
        <v>0</v>
      </c>
      <c r="K2119" s="19"/>
    </row>
    <row r="2120" spans="1:11" x14ac:dyDescent="0.25">
      <c r="A2120" s="51">
        <v>42844</v>
      </c>
      <c r="B2120" s="174" t="s">
        <v>13665</v>
      </c>
      <c r="C2120" s="175"/>
      <c r="D2120" s="176" t="s">
        <v>13665</v>
      </c>
      <c r="E2120" s="176">
        <v>108554</v>
      </c>
      <c r="F2120" s="177" t="s">
        <v>509</v>
      </c>
      <c r="G2120" s="178">
        <v>24448</v>
      </c>
      <c r="H2120" s="184">
        <v>42853</v>
      </c>
      <c r="I2120" s="183">
        <f t="shared" si="67"/>
        <v>24448</v>
      </c>
      <c r="J2120" s="178">
        <f t="shared" si="68"/>
        <v>0</v>
      </c>
      <c r="K2120" s="19"/>
    </row>
    <row r="2121" spans="1:11" x14ac:dyDescent="0.25">
      <c r="A2121" s="51">
        <v>42844</v>
      </c>
      <c r="B2121" s="174" t="s">
        <v>13666</v>
      </c>
      <c r="C2121" s="175"/>
      <c r="D2121" s="176" t="s">
        <v>13666</v>
      </c>
      <c r="E2121" s="176">
        <v>108555</v>
      </c>
      <c r="F2121" s="177" t="s">
        <v>122</v>
      </c>
      <c r="G2121" s="178">
        <v>29366.400000000001</v>
      </c>
      <c r="H2121" s="179">
        <v>42846</v>
      </c>
      <c r="I2121" s="178">
        <f t="shared" si="67"/>
        <v>29366.400000000001</v>
      </c>
      <c r="J2121" s="178">
        <f t="shared" si="68"/>
        <v>0</v>
      </c>
      <c r="K2121" s="19"/>
    </row>
    <row r="2122" spans="1:11" x14ac:dyDescent="0.25">
      <c r="A2122" s="51">
        <v>42844</v>
      </c>
      <c r="B2122" s="174" t="s">
        <v>13667</v>
      </c>
      <c r="C2122" s="175"/>
      <c r="D2122" s="176" t="s">
        <v>13667</v>
      </c>
      <c r="E2122" s="176">
        <v>108556</v>
      </c>
      <c r="F2122" s="177" t="s">
        <v>88</v>
      </c>
      <c r="G2122" s="178">
        <v>6176.4</v>
      </c>
      <c r="H2122" s="179">
        <v>42845</v>
      </c>
      <c r="I2122" s="178">
        <f t="shared" si="67"/>
        <v>6176.4</v>
      </c>
      <c r="J2122" s="178">
        <f t="shared" si="68"/>
        <v>0</v>
      </c>
      <c r="K2122" s="19"/>
    </row>
    <row r="2123" spans="1:11" x14ac:dyDescent="0.25">
      <c r="A2123" s="51">
        <v>42844</v>
      </c>
      <c r="B2123" s="174" t="s">
        <v>13668</v>
      </c>
      <c r="C2123" s="175"/>
      <c r="D2123" s="176" t="s">
        <v>13668</v>
      </c>
      <c r="E2123" s="176">
        <v>108557</v>
      </c>
      <c r="F2123" s="182" t="s">
        <v>319</v>
      </c>
      <c r="G2123" s="183">
        <v>0</v>
      </c>
      <c r="H2123" s="184" t="s">
        <v>95</v>
      </c>
      <c r="I2123" s="183">
        <f t="shared" si="67"/>
        <v>0</v>
      </c>
      <c r="J2123" s="183">
        <f t="shared" si="68"/>
        <v>0</v>
      </c>
      <c r="K2123" s="19"/>
    </row>
    <row r="2124" spans="1:11" x14ac:dyDescent="0.25">
      <c r="A2124" s="51">
        <v>42844</v>
      </c>
      <c r="B2124" s="174" t="s">
        <v>13669</v>
      </c>
      <c r="C2124" s="175"/>
      <c r="D2124" s="176" t="s">
        <v>13669</v>
      </c>
      <c r="E2124" s="176">
        <v>108558</v>
      </c>
      <c r="F2124" s="177" t="s">
        <v>319</v>
      </c>
      <c r="G2124" s="178">
        <v>2191.1999999999998</v>
      </c>
      <c r="H2124" s="179">
        <v>42844</v>
      </c>
      <c r="I2124" s="178">
        <f t="shared" si="67"/>
        <v>2191.1999999999998</v>
      </c>
      <c r="J2124" s="178">
        <f t="shared" si="68"/>
        <v>0</v>
      </c>
      <c r="K2124" s="19"/>
    </row>
    <row r="2125" spans="1:11" x14ac:dyDescent="0.25">
      <c r="A2125" s="51">
        <v>42844</v>
      </c>
      <c r="B2125" s="174" t="s">
        <v>13670</v>
      </c>
      <c r="C2125" s="175"/>
      <c r="D2125" s="176" t="s">
        <v>13670</v>
      </c>
      <c r="E2125" s="176">
        <v>108559</v>
      </c>
      <c r="F2125" s="177" t="s">
        <v>1830</v>
      </c>
      <c r="G2125" s="178">
        <v>9634.6</v>
      </c>
      <c r="H2125" s="179">
        <v>42845</v>
      </c>
      <c r="I2125" s="178">
        <f t="shared" si="67"/>
        <v>9634.6</v>
      </c>
      <c r="J2125" s="178">
        <f t="shared" si="68"/>
        <v>0</v>
      </c>
      <c r="K2125" s="19"/>
    </row>
    <row r="2126" spans="1:11" x14ac:dyDescent="0.25">
      <c r="A2126" s="51">
        <v>42844</v>
      </c>
      <c r="B2126" s="174" t="s">
        <v>13671</v>
      </c>
      <c r="C2126" s="175"/>
      <c r="D2126" s="176" t="s">
        <v>13671</v>
      </c>
      <c r="E2126" s="176">
        <v>108560</v>
      </c>
      <c r="F2126" s="177" t="s">
        <v>426</v>
      </c>
      <c r="G2126" s="178">
        <v>12422.2</v>
      </c>
      <c r="H2126" s="179">
        <v>42846</v>
      </c>
      <c r="I2126" s="178">
        <f t="shared" si="67"/>
        <v>12422.2</v>
      </c>
      <c r="J2126" s="178">
        <f t="shared" si="68"/>
        <v>0</v>
      </c>
      <c r="K2126" s="19"/>
    </row>
    <row r="2127" spans="1:11" x14ac:dyDescent="0.25">
      <c r="A2127" s="51">
        <v>42844</v>
      </c>
      <c r="B2127" s="174" t="s">
        <v>13672</v>
      </c>
      <c r="C2127" s="175"/>
      <c r="D2127" s="176" t="s">
        <v>13672</v>
      </c>
      <c r="E2127" s="176">
        <v>108561</v>
      </c>
      <c r="F2127" s="177" t="s">
        <v>785</v>
      </c>
      <c r="G2127" s="178">
        <v>10223.6</v>
      </c>
      <c r="H2127" s="179">
        <v>42845</v>
      </c>
      <c r="I2127" s="178">
        <f t="shared" si="67"/>
        <v>10223.6</v>
      </c>
      <c r="J2127" s="178">
        <f t="shared" si="68"/>
        <v>0</v>
      </c>
      <c r="K2127" s="19"/>
    </row>
    <row r="2128" spans="1:11" x14ac:dyDescent="0.25">
      <c r="A2128" s="51">
        <v>42844</v>
      </c>
      <c r="B2128" s="174" t="s">
        <v>13673</v>
      </c>
      <c r="C2128" s="175"/>
      <c r="D2128" s="176" t="s">
        <v>13673</v>
      </c>
      <c r="E2128" s="176">
        <v>108562</v>
      </c>
      <c r="F2128" s="177" t="s">
        <v>470</v>
      </c>
      <c r="G2128" s="178">
        <v>18393.8</v>
      </c>
      <c r="H2128" s="179">
        <v>42845</v>
      </c>
      <c r="I2128" s="178">
        <f t="shared" si="67"/>
        <v>18393.8</v>
      </c>
      <c r="J2128" s="178">
        <f t="shared" si="68"/>
        <v>0</v>
      </c>
      <c r="K2128" s="19"/>
    </row>
    <row r="2129" spans="1:11" x14ac:dyDescent="0.25">
      <c r="A2129" s="51">
        <v>42844</v>
      </c>
      <c r="B2129" s="174" t="s">
        <v>13674</v>
      </c>
      <c r="C2129" s="175"/>
      <c r="D2129" s="176" t="s">
        <v>13674</v>
      </c>
      <c r="E2129" s="176">
        <v>108563</v>
      </c>
      <c r="F2129" s="177" t="s">
        <v>125</v>
      </c>
      <c r="G2129" s="178">
        <v>7357.6</v>
      </c>
      <c r="H2129" s="179">
        <v>42845</v>
      </c>
      <c r="I2129" s="178">
        <f t="shared" si="67"/>
        <v>7357.6</v>
      </c>
      <c r="J2129" s="178">
        <f t="shared" si="68"/>
        <v>0</v>
      </c>
      <c r="K2129" s="19"/>
    </row>
    <row r="2130" spans="1:11" x14ac:dyDescent="0.25">
      <c r="A2130" s="51">
        <v>42844</v>
      </c>
      <c r="B2130" s="174" t="s">
        <v>13675</v>
      </c>
      <c r="C2130" s="175"/>
      <c r="D2130" s="176" t="s">
        <v>13675</v>
      </c>
      <c r="E2130" s="176">
        <v>108564</v>
      </c>
      <c r="F2130" s="177" t="s">
        <v>176</v>
      </c>
      <c r="G2130" s="178">
        <v>2780.4</v>
      </c>
      <c r="H2130" s="179">
        <v>42845</v>
      </c>
      <c r="I2130" s="178">
        <f t="shared" si="67"/>
        <v>2780.4</v>
      </c>
      <c r="J2130" s="178">
        <f t="shared" si="68"/>
        <v>0</v>
      </c>
      <c r="K2130" s="19"/>
    </row>
    <row r="2131" spans="1:11" x14ac:dyDescent="0.25">
      <c r="A2131" s="51">
        <v>42844</v>
      </c>
      <c r="B2131" s="174" t="s">
        <v>13676</v>
      </c>
      <c r="C2131" s="175"/>
      <c r="D2131" s="176" t="s">
        <v>13676</v>
      </c>
      <c r="E2131" s="176">
        <v>108565</v>
      </c>
      <c r="F2131" s="177" t="s">
        <v>1408</v>
      </c>
      <c r="G2131" s="178">
        <v>3753.6</v>
      </c>
      <c r="H2131" s="179">
        <v>42845</v>
      </c>
      <c r="I2131" s="178">
        <f t="shared" si="67"/>
        <v>3753.6</v>
      </c>
      <c r="J2131" s="178">
        <f t="shared" si="68"/>
        <v>0</v>
      </c>
      <c r="K2131" s="19"/>
    </row>
    <row r="2132" spans="1:11" x14ac:dyDescent="0.25">
      <c r="A2132" s="51">
        <v>42844</v>
      </c>
      <c r="B2132" s="174" t="s">
        <v>13677</v>
      </c>
      <c r="C2132" s="175"/>
      <c r="D2132" s="176" t="s">
        <v>13677</v>
      </c>
      <c r="E2132" s="176">
        <v>108566</v>
      </c>
      <c r="F2132" s="177" t="s">
        <v>55</v>
      </c>
      <c r="G2132" s="178">
        <v>7325.2</v>
      </c>
      <c r="H2132" s="179">
        <v>42844</v>
      </c>
      <c r="I2132" s="178">
        <f t="shared" si="67"/>
        <v>7325.2</v>
      </c>
      <c r="J2132" s="178">
        <f t="shared" si="68"/>
        <v>0</v>
      </c>
      <c r="K2132" s="19"/>
    </row>
    <row r="2133" spans="1:11" x14ac:dyDescent="0.25">
      <c r="A2133" s="51">
        <v>42844</v>
      </c>
      <c r="B2133" s="174" t="s">
        <v>13678</v>
      </c>
      <c r="C2133" s="175"/>
      <c r="D2133" s="176" t="s">
        <v>13678</v>
      </c>
      <c r="E2133" s="176">
        <v>108567</v>
      </c>
      <c r="F2133" s="177" t="s">
        <v>435</v>
      </c>
      <c r="G2133" s="178">
        <v>1637.6</v>
      </c>
      <c r="H2133" s="179">
        <v>42845</v>
      </c>
      <c r="I2133" s="178">
        <f t="shared" si="67"/>
        <v>1637.6</v>
      </c>
      <c r="J2133" s="178">
        <f t="shared" si="68"/>
        <v>0</v>
      </c>
      <c r="K2133" s="19"/>
    </row>
    <row r="2134" spans="1:11" x14ac:dyDescent="0.25">
      <c r="A2134" s="51">
        <v>42844</v>
      </c>
      <c r="B2134" s="174" t="s">
        <v>13679</v>
      </c>
      <c r="C2134" s="175"/>
      <c r="D2134" s="176" t="s">
        <v>13679</v>
      </c>
      <c r="E2134" s="176">
        <v>108568</v>
      </c>
      <c r="F2134" s="177" t="s">
        <v>13680</v>
      </c>
      <c r="G2134" s="178">
        <v>27900</v>
      </c>
      <c r="H2134" s="179">
        <v>42844</v>
      </c>
      <c r="I2134" s="178">
        <f t="shared" si="67"/>
        <v>27900</v>
      </c>
      <c r="J2134" s="178">
        <f t="shared" si="68"/>
        <v>0</v>
      </c>
      <c r="K2134" s="19"/>
    </row>
    <row r="2135" spans="1:11" x14ac:dyDescent="0.25">
      <c r="A2135" s="51">
        <v>42844</v>
      </c>
      <c r="B2135" s="174" t="s">
        <v>13681</v>
      </c>
      <c r="C2135" s="175"/>
      <c r="D2135" s="176" t="s">
        <v>13681</v>
      </c>
      <c r="E2135" s="176">
        <v>108569</v>
      </c>
      <c r="F2135" s="177" t="s">
        <v>2986</v>
      </c>
      <c r="G2135" s="178">
        <v>3187.8</v>
      </c>
      <c r="H2135" s="179">
        <v>42844</v>
      </c>
      <c r="I2135" s="178">
        <f t="shared" si="67"/>
        <v>3187.8</v>
      </c>
      <c r="J2135" s="178">
        <f t="shared" si="68"/>
        <v>0</v>
      </c>
      <c r="K2135" s="19"/>
    </row>
    <row r="2136" spans="1:11" x14ac:dyDescent="0.25">
      <c r="A2136" s="51">
        <v>42844</v>
      </c>
      <c r="B2136" s="174" t="s">
        <v>13682</v>
      </c>
      <c r="C2136" s="175"/>
      <c r="D2136" s="176" t="s">
        <v>13682</v>
      </c>
      <c r="E2136" s="176">
        <v>108570</v>
      </c>
      <c r="F2136" s="177" t="s">
        <v>305</v>
      </c>
      <c r="G2136" s="178">
        <v>3774</v>
      </c>
      <c r="H2136" s="186">
        <v>42856</v>
      </c>
      <c r="I2136" s="187">
        <f t="shared" si="67"/>
        <v>3774</v>
      </c>
      <c r="J2136" s="178">
        <f t="shared" si="68"/>
        <v>0</v>
      </c>
      <c r="K2136" s="19"/>
    </row>
    <row r="2137" spans="1:11" x14ac:dyDescent="0.25">
      <c r="A2137" s="51">
        <v>42844</v>
      </c>
      <c r="B2137" s="174" t="s">
        <v>13683</v>
      </c>
      <c r="C2137" s="175"/>
      <c r="D2137" s="176" t="s">
        <v>13683</v>
      </c>
      <c r="E2137" s="176">
        <v>108571</v>
      </c>
      <c r="F2137" s="177" t="s">
        <v>3219</v>
      </c>
      <c r="G2137" s="178">
        <v>62681.599999999999</v>
      </c>
      <c r="H2137" s="179">
        <v>42845</v>
      </c>
      <c r="I2137" s="178">
        <f t="shared" si="67"/>
        <v>62681.599999999999</v>
      </c>
      <c r="J2137" s="178">
        <f t="shared" si="68"/>
        <v>0</v>
      </c>
      <c r="K2137" s="19"/>
    </row>
    <row r="2138" spans="1:11" x14ac:dyDescent="0.25">
      <c r="A2138" s="51">
        <v>42844</v>
      </c>
      <c r="B2138" s="174" t="s">
        <v>13684</v>
      </c>
      <c r="C2138" s="175"/>
      <c r="D2138" s="176" t="s">
        <v>13684</v>
      </c>
      <c r="E2138" s="176">
        <v>108572</v>
      </c>
      <c r="F2138" s="177" t="s">
        <v>10</v>
      </c>
      <c r="G2138" s="178">
        <v>1027.2</v>
      </c>
      <c r="H2138" s="179">
        <v>42846</v>
      </c>
      <c r="I2138" s="178">
        <f t="shared" si="67"/>
        <v>1027.2</v>
      </c>
      <c r="J2138" s="178">
        <f t="shared" si="68"/>
        <v>0</v>
      </c>
      <c r="K2138" s="19"/>
    </row>
    <row r="2139" spans="1:11" x14ac:dyDescent="0.25">
      <c r="A2139" s="51">
        <v>42844</v>
      </c>
      <c r="B2139" s="174" t="s">
        <v>13685</v>
      </c>
      <c r="C2139" s="175"/>
      <c r="D2139" s="176" t="s">
        <v>13685</v>
      </c>
      <c r="E2139" s="176">
        <v>108573</v>
      </c>
      <c r="F2139" s="177" t="s">
        <v>486</v>
      </c>
      <c r="G2139" s="178">
        <v>4735.8</v>
      </c>
      <c r="H2139" s="179">
        <v>42845</v>
      </c>
      <c r="I2139" s="178">
        <f t="shared" si="67"/>
        <v>4735.8</v>
      </c>
      <c r="J2139" s="178">
        <f t="shared" si="68"/>
        <v>0</v>
      </c>
      <c r="K2139" s="19"/>
    </row>
    <row r="2140" spans="1:11" x14ac:dyDescent="0.25">
      <c r="A2140" s="51">
        <v>42844</v>
      </c>
      <c r="B2140" s="174" t="s">
        <v>13686</v>
      </c>
      <c r="C2140" s="175"/>
      <c r="D2140" s="176" t="s">
        <v>13686</v>
      </c>
      <c r="E2140" s="176">
        <v>108574</v>
      </c>
      <c r="F2140" s="177" t="s">
        <v>45</v>
      </c>
      <c r="G2140" s="178">
        <v>1722</v>
      </c>
      <c r="H2140" s="179">
        <v>42845</v>
      </c>
      <c r="I2140" s="178">
        <f t="shared" si="67"/>
        <v>1722</v>
      </c>
      <c r="J2140" s="178">
        <f t="shared" si="68"/>
        <v>0</v>
      </c>
      <c r="K2140" s="19"/>
    </row>
    <row r="2141" spans="1:11" x14ac:dyDescent="0.25">
      <c r="A2141" s="51">
        <v>42844</v>
      </c>
      <c r="B2141" s="174" t="s">
        <v>13687</v>
      </c>
      <c r="C2141" s="175"/>
      <c r="D2141" s="176" t="s">
        <v>13687</v>
      </c>
      <c r="E2141" s="176">
        <v>108575</v>
      </c>
      <c r="F2141" s="177" t="s">
        <v>53</v>
      </c>
      <c r="G2141" s="178">
        <v>1734.6</v>
      </c>
      <c r="H2141" s="179">
        <v>42845</v>
      </c>
      <c r="I2141" s="178">
        <f t="shared" si="67"/>
        <v>1734.6</v>
      </c>
      <c r="J2141" s="178">
        <f t="shared" si="68"/>
        <v>0</v>
      </c>
      <c r="K2141" s="19"/>
    </row>
    <row r="2142" spans="1:11" x14ac:dyDescent="0.25">
      <c r="A2142" s="51">
        <v>42844</v>
      </c>
      <c r="B2142" s="174" t="s">
        <v>13688</v>
      </c>
      <c r="C2142" s="175"/>
      <c r="D2142" s="176" t="s">
        <v>13688</v>
      </c>
      <c r="E2142" s="176">
        <v>108576</v>
      </c>
      <c r="F2142" s="177" t="s">
        <v>57</v>
      </c>
      <c r="G2142" s="178">
        <v>616</v>
      </c>
      <c r="H2142" s="179">
        <v>42845</v>
      </c>
      <c r="I2142" s="178">
        <f t="shared" si="67"/>
        <v>616</v>
      </c>
      <c r="J2142" s="178">
        <f t="shared" si="68"/>
        <v>0</v>
      </c>
      <c r="K2142" s="19"/>
    </row>
    <row r="2143" spans="1:11" x14ac:dyDescent="0.25">
      <c r="A2143" s="51">
        <v>42844</v>
      </c>
      <c r="B2143" s="174" t="s">
        <v>13689</v>
      </c>
      <c r="C2143" s="175"/>
      <c r="D2143" s="176" t="s">
        <v>13689</v>
      </c>
      <c r="E2143" s="176">
        <v>108577</v>
      </c>
      <c r="F2143" s="177" t="s">
        <v>630</v>
      </c>
      <c r="G2143" s="178">
        <v>3537.2</v>
      </c>
      <c r="H2143" s="179">
        <v>42845</v>
      </c>
      <c r="I2143" s="178">
        <f t="shared" si="67"/>
        <v>3537.2</v>
      </c>
      <c r="J2143" s="178">
        <f t="shared" si="68"/>
        <v>0</v>
      </c>
      <c r="K2143" s="19"/>
    </row>
    <row r="2144" spans="1:11" x14ac:dyDescent="0.25">
      <c r="A2144" s="51">
        <v>42844</v>
      </c>
      <c r="B2144" s="174" t="s">
        <v>13690</v>
      </c>
      <c r="C2144" s="175"/>
      <c r="D2144" s="176" t="s">
        <v>13690</v>
      </c>
      <c r="E2144" s="176">
        <v>108578</v>
      </c>
      <c r="F2144" s="177" t="s">
        <v>21</v>
      </c>
      <c r="G2144" s="178">
        <v>20516.400000000001</v>
      </c>
      <c r="H2144" s="186">
        <v>42858</v>
      </c>
      <c r="I2144" s="187">
        <f t="shared" si="67"/>
        <v>20516.400000000001</v>
      </c>
      <c r="J2144" s="178">
        <f t="shared" si="68"/>
        <v>0</v>
      </c>
      <c r="K2144" s="19"/>
    </row>
    <row r="2145" spans="1:11" x14ac:dyDescent="0.25">
      <c r="A2145" s="51">
        <v>42844</v>
      </c>
      <c r="B2145" s="174" t="s">
        <v>13691</v>
      </c>
      <c r="C2145" s="175"/>
      <c r="D2145" s="176" t="s">
        <v>13691</v>
      </c>
      <c r="E2145" s="176">
        <v>108579</v>
      </c>
      <c r="F2145" s="177" t="s">
        <v>61</v>
      </c>
      <c r="G2145" s="178">
        <v>4774.6000000000004</v>
      </c>
      <c r="H2145" s="179">
        <v>42845</v>
      </c>
      <c r="I2145" s="178">
        <f t="shared" si="67"/>
        <v>4774.6000000000004</v>
      </c>
      <c r="J2145" s="178">
        <f t="shared" si="68"/>
        <v>0</v>
      </c>
      <c r="K2145" s="19"/>
    </row>
    <row r="2146" spans="1:11" x14ac:dyDescent="0.25">
      <c r="A2146" s="51">
        <v>42844</v>
      </c>
      <c r="B2146" s="174" t="s">
        <v>13692</v>
      </c>
      <c r="C2146" s="175"/>
      <c r="D2146" s="176" t="s">
        <v>13692</v>
      </c>
      <c r="E2146" s="176">
        <v>108580</v>
      </c>
      <c r="F2146" s="177" t="s">
        <v>188</v>
      </c>
      <c r="G2146" s="178">
        <v>3313.7</v>
      </c>
      <c r="H2146" s="179">
        <v>42845</v>
      </c>
      <c r="I2146" s="178">
        <f t="shared" si="67"/>
        <v>3313.7</v>
      </c>
      <c r="J2146" s="178">
        <f t="shared" si="68"/>
        <v>0</v>
      </c>
      <c r="K2146" s="19"/>
    </row>
    <row r="2147" spans="1:11" x14ac:dyDescent="0.25">
      <c r="A2147" s="51">
        <v>42844</v>
      </c>
      <c r="B2147" s="174" t="s">
        <v>13693</v>
      </c>
      <c r="C2147" s="175"/>
      <c r="D2147" s="176" t="s">
        <v>13693</v>
      </c>
      <c r="E2147" s="176">
        <v>108581</v>
      </c>
      <c r="F2147" s="177" t="s">
        <v>198</v>
      </c>
      <c r="G2147" s="178">
        <v>1500.4</v>
      </c>
      <c r="H2147" s="179">
        <v>42845</v>
      </c>
      <c r="I2147" s="178">
        <f t="shared" si="67"/>
        <v>1500.4</v>
      </c>
      <c r="J2147" s="178">
        <f t="shared" si="68"/>
        <v>0</v>
      </c>
      <c r="K2147" s="19"/>
    </row>
    <row r="2148" spans="1:11" x14ac:dyDescent="0.25">
      <c r="A2148" s="51">
        <v>42844</v>
      </c>
      <c r="B2148" s="174" t="s">
        <v>13694</v>
      </c>
      <c r="C2148" s="175"/>
      <c r="D2148" s="176" t="s">
        <v>13694</v>
      </c>
      <c r="E2148" s="176">
        <v>108582</v>
      </c>
      <c r="F2148" s="177" t="s">
        <v>193</v>
      </c>
      <c r="G2148" s="178">
        <v>1814.6</v>
      </c>
      <c r="H2148" s="179">
        <v>42845</v>
      </c>
      <c r="I2148" s="178">
        <f t="shared" si="67"/>
        <v>1814.6</v>
      </c>
      <c r="J2148" s="178">
        <f t="shared" si="68"/>
        <v>0</v>
      </c>
      <c r="K2148" s="19"/>
    </row>
    <row r="2149" spans="1:11" x14ac:dyDescent="0.25">
      <c r="A2149" s="51">
        <v>42844</v>
      </c>
      <c r="B2149" s="174" t="s">
        <v>13695</v>
      </c>
      <c r="C2149" s="175"/>
      <c r="D2149" s="176" t="s">
        <v>13695</v>
      </c>
      <c r="E2149" s="176">
        <v>108583</v>
      </c>
      <c r="F2149" s="177" t="s">
        <v>182</v>
      </c>
      <c r="G2149" s="178">
        <v>2200</v>
      </c>
      <c r="H2149" s="179">
        <v>42845</v>
      </c>
      <c r="I2149" s="178">
        <f t="shared" si="67"/>
        <v>2200</v>
      </c>
      <c r="J2149" s="178">
        <f t="shared" si="68"/>
        <v>0</v>
      </c>
      <c r="K2149" s="19"/>
    </row>
    <row r="2150" spans="1:11" x14ac:dyDescent="0.25">
      <c r="A2150" s="51">
        <v>42844</v>
      </c>
      <c r="B2150" s="174" t="s">
        <v>13696</v>
      </c>
      <c r="C2150" s="175"/>
      <c r="D2150" s="176" t="s">
        <v>13696</v>
      </c>
      <c r="E2150" s="176">
        <v>108584</v>
      </c>
      <c r="F2150" s="177" t="s">
        <v>30</v>
      </c>
      <c r="G2150" s="178">
        <v>686.4</v>
      </c>
      <c r="H2150" s="179">
        <v>42845</v>
      </c>
      <c r="I2150" s="178">
        <f t="shared" si="67"/>
        <v>686.4</v>
      </c>
      <c r="J2150" s="178">
        <f t="shared" si="68"/>
        <v>0</v>
      </c>
      <c r="K2150" s="19"/>
    </row>
    <row r="2151" spans="1:11" x14ac:dyDescent="0.25">
      <c r="A2151" s="51">
        <v>42844</v>
      </c>
      <c r="B2151" s="174" t="s">
        <v>13697</v>
      </c>
      <c r="C2151" s="175"/>
      <c r="D2151" s="176" t="s">
        <v>13697</v>
      </c>
      <c r="E2151" s="176">
        <v>108585</v>
      </c>
      <c r="F2151" s="177" t="s">
        <v>122</v>
      </c>
      <c r="G2151" s="178">
        <v>5910.9</v>
      </c>
      <c r="H2151" s="179">
        <v>42846</v>
      </c>
      <c r="I2151" s="178">
        <f t="shared" si="67"/>
        <v>5910.9</v>
      </c>
      <c r="J2151" s="178">
        <f t="shared" si="68"/>
        <v>0</v>
      </c>
      <c r="K2151" s="19"/>
    </row>
    <row r="2152" spans="1:11" x14ac:dyDescent="0.25">
      <c r="A2152" s="51">
        <v>42844</v>
      </c>
      <c r="B2152" s="174" t="s">
        <v>13698</v>
      </c>
      <c r="C2152" s="175"/>
      <c r="D2152" s="176" t="s">
        <v>13698</v>
      </c>
      <c r="E2152" s="176">
        <v>108586</v>
      </c>
      <c r="F2152" s="177" t="s">
        <v>172</v>
      </c>
      <c r="G2152" s="178">
        <v>26958.9</v>
      </c>
      <c r="H2152" s="184">
        <v>42853</v>
      </c>
      <c r="I2152" s="183">
        <f t="shared" si="67"/>
        <v>26958.9</v>
      </c>
      <c r="J2152" s="178">
        <f t="shared" si="68"/>
        <v>0</v>
      </c>
      <c r="K2152" s="19"/>
    </row>
    <row r="2153" spans="1:11" x14ac:dyDescent="0.25">
      <c r="A2153" s="51">
        <v>42844</v>
      </c>
      <c r="B2153" s="174" t="s">
        <v>13699</v>
      </c>
      <c r="C2153" s="175"/>
      <c r="D2153" s="176" t="s">
        <v>13699</v>
      </c>
      <c r="E2153" s="176">
        <v>108587</v>
      </c>
      <c r="F2153" s="177" t="s">
        <v>161</v>
      </c>
      <c r="G2153" s="178">
        <v>17299.3</v>
      </c>
      <c r="H2153" s="186">
        <v>42864</v>
      </c>
      <c r="I2153" s="187">
        <f t="shared" si="67"/>
        <v>17299.3</v>
      </c>
      <c r="J2153" s="178">
        <f t="shared" si="68"/>
        <v>0</v>
      </c>
      <c r="K2153" s="19"/>
    </row>
    <row r="2154" spans="1:11" x14ac:dyDescent="0.25">
      <c r="A2154" s="51">
        <v>42844</v>
      </c>
      <c r="B2154" s="174" t="s">
        <v>13700</v>
      </c>
      <c r="C2154" s="175"/>
      <c r="D2154" s="176" t="s">
        <v>13700</v>
      </c>
      <c r="E2154" s="176">
        <v>108588</v>
      </c>
      <c r="F2154" s="177" t="s">
        <v>165</v>
      </c>
      <c r="G2154" s="178">
        <v>9721.7999999999993</v>
      </c>
      <c r="H2154" s="184">
        <v>42853</v>
      </c>
      <c r="I2154" s="183">
        <f t="shared" si="67"/>
        <v>9721.7999999999993</v>
      </c>
      <c r="J2154" s="178">
        <f t="shared" si="68"/>
        <v>0</v>
      </c>
      <c r="K2154" s="19"/>
    </row>
    <row r="2155" spans="1:11" x14ac:dyDescent="0.25">
      <c r="A2155" s="51">
        <v>42844</v>
      </c>
      <c r="B2155" s="174" t="s">
        <v>13701</v>
      </c>
      <c r="C2155" s="175"/>
      <c r="D2155" s="176" t="s">
        <v>13701</v>
      </c>
      <c r="E2155" s="176">
        <v>108589</v>
      </c>
      <c r="F2155" s="177" t="s">
        <v>163</v>
      </c>
      <c r="G2155" s="178">
        <v>2951.1</v>
      </c>
      <c r="H2155" s="184">
        <v>42853</v>
      </c>
      <c r="I2155" s="183">
        <f t="shared" si="67"/>
        <v>2951.1</v>
      </c>
      <c r="J2155" s="178">
        <f t="shared" si="68"/>
        <v>0</v>
      </c>
      <c r="K2155" s="19"/>
    </row>
    <row r="2156" spans="1:11" x14ac:dyDescent="0.25">
      <c r="A2156" s="51">
        <v>42844</v>
      </c>
      <c r="B2156" s="174" t="s">
        <v>13702</v>
      </c>
      <c r="C2156" s="175"/>
      <c r="D2156" s="176" t="s">
        <v>13702</v>
      </c>
      <c r="E2156" s="176">
        <v>108590</v>
      </c>
      <c r="F2156" s="177" t="s">
        <v>10</v>
      </c>
      <c r="G2156" s="178">
        <v>378451.08</v>
      </c>
      <c r="H2156" s="179">
        <v>42846</v>
      </c>
      <c r="I2156" s="178">
        <f t="shared" si="67"/>
        <v>378451.08</v>
      </c>
      <c r="J2156" s="178">
        <f t="shared" si="68"/>
        <v>0</v>
      </c>
      <c r="K2156" s="19"/>
    </row>
    <row r="2157" spans="1:11" x14ac:dyDescent="0.25">
      <c r="A2157" s="51">
        <v>42844</v>
      </c>
      <c r="B2157" s="174" t="s">
        <v>13703</v>
      </c>
      <c r="C2157" s="175"/>
      <c r="D2157" s="176" t="s">
        <v>13703</v>
      </c>
      <c r="E2157" s="176">
        <v>108591</v>
      </c>
      <c r="F2157" s="177" t="s">
        <v>3319</v>
      </c>
      <c r="G2157" s="178">
        <v>5500</v>
      </c>
      <c r="H2157" s="179">
        <v>42845</v>
      </c>
      <c r="I2157" s="178">
        <f t="shared" si="67"/>
        <v>5500</v>
      </c>
      <c r="J2157" s="178">
        <f t="shared" si="68"/>
        <v>0</v>
      </c>
      <c r="K2157" s="19"/>
    </row>
    <row r="2158" spans="1:11" x14ac:dyDescent="0.25">
      <c r="A2158" s="51">
        <v>42844</v>
      </c>
      <c r="B2158" s="174" t="s">
        <v>13704</v>
      </c>
      <c r="C2158" s="175"/>
      <c r="D2158" s="176" t="s">
        <v>13704</v>
      </c>
      <c r="E2158" s="176">
        <v>108592</v>
      </c>
      <c r="F2158" s="177" t="s">
        <v>3360</v>
      </c>
      <c r="G2158" s="178">
        <v>2767.6</v>
      </c>
      <c r="H2158" s="179">
        <v>42844</v>
      </c>
      <c r="I2158" s="178">
        <f t="shared" si="67"/>
        <v>2767.6</v>
      </c>
      <c r="J2158" s="178">
        <f t="shared" si="68"/>
        <v>0</v>
      </c>
      <c r="K2158" s="19"/>
    </row>
    <row r="2159" spans="1:11" x14ac:dyDescent="0.25">
      <c r="A2159" s="51">
        <v>42844</v>
      </c>
      <c r="B2159" s="174" t="s">
        <v>13705</v>
      </c>
      <c r="C2159" s="175"/>
      <c r="D2159" s="176" t="s">
        <v>13705</v>
      </c>
      <c r="E2159" s="176">
        <v>108593</v>
      </c>
      <c r="F2159" s="177" t="s">
        <v>2704</v>
      </c>
      <c r="G2159" s="178">
        <v>1367.4</v>
      </c>
      <c r="H2159" s="179">
        <v>42845</v>
      </c>
      <c r="I2159" s="178">
        <f t="shared" si="67"/>
        <v>1367.4</v>
      </c>
      <c r="J2159" s="178">
        <f t="shared" si="68"/>
        <v>0</v>
      </c>
      <c r="K2159" s="19"/>
    </row>
    <row r="2160" spans="1:11" x14ac:dyDescent="0.25">
      <c r="A2160" s="51">
        <v>42844</v>
      </c>
      <c r="B2160" s="174" t="s">
        <v>13706</v>
      </c>
      <c r="C2160" s="175"/>
      <c r="D2160" s="176" t="s">
        <v>13706</v>
      </c>
      <c r="E2160" s="176">
        <v>108594</v>
      </c>
      <c r="F2160" s="177" t="s">
        <v>2240</v>
      </c>
      <c r="G2160" s="178">
        <v>3828.4</v>
      </c>
      <c r="H2160" s="179">
        <v>42844</v>
      </c>
      <c r="I2160" s="178">
        <f t="shared" si="67"/>
        <v>3828.4</v>
      </c>
      <c r="J2160" s="178">
        <f t="shared" si="68"/>
        <v>0</v>
      </c>
      <c r="K2160" s="19"/>
    </row>
    <row r="2161" spans="1:11" x14ac:dyDescent="0.25">
      <c r="A2161" s="51">
        <v>42844</v>
      </c>
      <c r="B2161" s="174" t="s">
        <v>13707</v>
      </c>
      <c r="C2161" s="175"/>
      <c r="D2161" s="176" t="s">
        <v>13707</v>
      </c>
      <c r="E2161" s="176">
        <v>108595</v>
      </c>
      <c r="F2161" s="177" t="s">
        <v>220</v>
      </c>
      <c r="G2161" s="178">
        <v>2480.8000000000002</v>
      </c>
      <c r="H2161" s="179">
        <v>42845</v>
      </c>
      <c r="I2161" s="178">
        <f t="shared" si="67"/>
        <v>2480.8000000000002</v>
      </c>
      <c r="J2161" s="178">
        <f t="shared" si="68"/>
        <v>0</v>
      </c>
      <c r="K2161" s="19"/>
    </row>
    <row r="2162" spans="1:11" x14ac:dyDescent="0.25">
      <c r="A2162" s="51">
        <v>42844</v>
      </c>
      <c r="B2162" s="174" t="s">
        <v>13708</v>
      </c>
      <c r="C2162" s="175"/>
      <c r="D2162" s="176" t="s">
        <v>13708</v>
      </c>
      <c r="E2162" s="176">
        <v>108596</v>
      </c>
      <c r="F2162" s="177" t="s">
        <v>205</v>
      </c>
      <c r="G2162" s="178">
        <v>11007.95</v>
      </c>
      <c r="H2162" s="179">
        <v>42845</v>
      </c>
      <c r="I2162" s="178">
        <f t="shared" si="67"/>
        <v>11007.95</v>
      </c>
      <c r="J2162" s="178">
        <f t="shared" si="68"/>
        <v>0</v>
      </c>
      <c r="K2162" s="19"/>
    </row>
    <row r="2163" spans="1:11" x14ac:dyDescent="0.25">
      <c r="A2163" s="51">
        <v>42844</v>
      </c>
      <c r="B2163" s="174" t="s">
        <v>13709</v>
      </c>
      <c r="C2163" s="175"/>
      <c r="D2163" s="176" t="s">
        <v>13709</v>
      </c>
      <c r="E2163" s="176">
        <v>108597</v>
      </c>
      <c r="F2163" s="177" t="s">
        <v>3636</v>
      </c>
      <c r="G2163" s="178">
        <v>26686.1</v>
      </c>
      <c r="H2163" s="179">
        <v>42844</v>
      </c>
      <c r="I2163" s="178">
        <f t="shared" si="67"/>
        <v>26686.1</v>
      </c>
      <c r="J2163" s="178">
        <f t="shared" si="68"/>
        <v>0</v>
      </c>
      <c r="K2163" s="19"/>
    </row>
    <row r="2164" spans="1:11" x14ac:dyDescent="0.25">
      <c r="A2164" s="51">
        <v>42844</v>
      </c>
      <c r="B2164" s="174" t="s">
        <v>13710</v>
      </c>
      <c r="C2164" s="175"/>
      <c r="D2164" s="176" t="s">
        <v>13710</v>
      </c>
      <c r="E2164" s="176">
        <v>108598</v>
      </c>
      <c r="F2164" s="177" t="s">
        <v>47</v>
      </c>
      <c r="G2164" s="178">
        <v>936.8</v>
      </c>
      <c r="H2164" s="179">
        <v>42844</v>
      </c>
      <c r="I2164" s="178">
        <f t="shared" si="67"/>
        <v>936.8</v>
      </c>
      <c r="J2164" s="178">
        <f t="shared" si="68"/>
        <v>0</v>
      </c>
      <c r="K2164" s="19"/>
    </row>
    <row r="2165" spans="1:11" x14ac:dyDescent="0.25">
      <c r="A2165" s="51">
        <v>42844</v>
      </c>
      <c r="B2165" s="174" t="s">
        <v>13711</v>
      </c>
      <c r="C2165" s="175"/>
      <c r="D2165" s="176" t="s">
        <v>13711</v>
      </c>
      <c r="E2165" s="176">
        <v>108599</v>
      </c>
      <c r="F2165" s="177" t="s">
        <v>10</v>
      </c>
      <c r="G2165" s="178">
        <v>7081.2</v>
      </c>
      <c r="H2165" s="179">
        <v>42846</v>
      </c>
      <c r="I2165" s="178">
        <f t="shared" si="67"/>
        <v>7081.2</v>
      </c>
      <c r="J2165" s="178">
        <f t="shared" si="68"/>
        <v>0</v>
      </c>
      <c r="K2165" s="19"/>
    </row>
    <row r="2166" spans="1:11" x14ac:dyDescent="0.25">
      <c r="A2166" s="51">
        <v>42844</v>
      </c>
      <c r="B2166" s="174" t="s">
        <v>13712</v>
      </c>
      <c r="C2166" s="175"/>
      <c r="D2166" s="176" t="s">
        <v>13712</v>
      </c>
      <c r="E2166" s="176">
        <v>108600</v>
      </c>
      <c r="F2166" s="177" t="s">
        <v>47</v>
      </c>
      <c r="G2166" s="178">
        <v>239.4</v>
      </c>
      <c r="H2166" s="179">
        <v>42844</v>
      </c>
      <c r="I2166" s="178">
        <f t="shared" si="67"/>
        <v>239.4</v>
      </c>
      <c r="J2166" s="178">
        <f t="shared" si="68"/>
        <v>0</v>
      </c>
      <c r="K2166" s="21"/>
    </row>
    <row r="2167" spans="1:11" x14ac:dyDescent="0.25">
      <c r="A2167" s="51">
        <v>42844</v>
      </c>
      <c r="B2167" s="174" t="s">
        <v>13713</v>
      </c>
      <c r="C2167" s="175"/>
      <c r="D2167" s="176" t="s">
        <v>13713</v>
      </c>
      <c r="E2167" s="176">
        <v>108601</v>
      </c>
      <c r="F2167" s="177" t="s">
        <v>10</v>
      </c>
      <c r="G2167" s="178">
        <v>2200</v>
      </c>
      <c r="H2167" s="179">
        <v>42846</v>
      </c>
      <c r="I2167" s="178">
        <f t="shared" si="67"/>
        <v>2200</v>
      </c>
      <c r="J2167" s="178">
        <f t="shared" si="68"/>
        <v>0</v>
      </c>
      <c r="K2167" s="21"/>
    </row>
    <row r="2168" spans="1:11" x14ac:dyDescent="0.25">
      <c r="A2168" s="51">
        <v>42844</v>
      </c>
      <c r="B2168" s="174" t="s">
        <v>13714</v>
      </c>
      <c r="C2168" s="175"/>
      <c r="D2168" s="176" t="s">
        <v>13714</v>
      </c>
      <c r="E2168" s="176">
        <v>108602</v>
      </c>
      <c r="F2168" s="177" t="s">
        <v>523</v>
      </c>
      <c r="G2168" s="178">
        <v>35779.199999999997</v>
      </c>
      <c r="H2168" s="184">
        <v>42854</v>
      </c>
      <c r="I2168" s="183">
        <f t="shared" si="67"/>
        <v>35779.199999999997</v>
      </c>
      <c r="J2168" s="178">
        <f t="shared" si="68"/>
        <v>0</v>
      </c>
      <c r="K2168" s="21"/>
    </row>
    <row r="2169" spans="1:11" x14ac:dyDescent="0.25">
      <c r="A2169" s="51">
        <v>42844</v>
      </c>
      <c r="B2169" s="174" t="s">
        <v>13715</v>
      </c>
      <c r="C2169" s="175"/>
      <c r="D2169" s="176" t="s">
        <v>13715</v>
      </c>
      <c r="E2169" s="176">
        <v>108603</v>
      </c>
      <c r="F2169" s="177" t="s">
        <v>155</v>
      </c>
      <c r="G2169" s="178">
        <v>21169</v>
      </c>
      <c r="H2169" s="180" t="s">
        <v>13716</v>
      </c>
      <c r="I2169" s="181">
        <f>5169+16000</f>
        <v>21169</v>
      </c>
      <c r="J2169" s="181">
        <f t="shared" si="68"/>
        <v>0</v>
      </c>
      <c r="K2169" s="21"/>
    </row>
    <row r="2170" spans="1:11" x14ac:dyDescent="0.25">
      <c r="A2170" s="51">
        <v>42844</v>
      </c>
      <c r="B2170" s="174" t="s">
        <v>13717</v>
      </c>
      <c r="C2170" s="175"/>
      <c r="D2170" s="176" t="s">
        <v>13717</v>
      </c>
      <c r="E2170" s="176">
        <v>108604</v>
      </c>
      <c r="F2170" s="177" t="s">
        <v>145</v>
      </c>
      <c r="G2170" s="178">
        <v>13793.8</v>
      </c>
      <c r="H2170" s="179">
        <v>42845</v>
      </c>
      <c r="I2170" s="178">
        <f t="shared" si="67"/>
        <v>13793.8</v>
      </c>
      <c r="J2170" s="178">
        <f t="shared" si="68"/>
        <v>0</v>
      </c>
      <c r="K2170" s="21"/>
    </row>
    <row r="2171" spans="1:11" x14ac:dyDescent="0.25">
      <c r="A2171" s="51">
        <v>42844</v>
      </c>
      <c r="B2171" s="174" t="s">
        <v>13718</v>
      </c>
      <c r="C2171" s="175"/>
      <c r="D2171" s="176" t="s">
        <v>13718</v>
      </c>
      <c r="E2171" s="176">
        <v>108605</v>
      </c>
      <c r="F2171" s="177" t="s">
        <v>222</v>
      </c>
      <c r="G2171" s="178">
        <v>282672</v>
      </c>
      <c r="H2171" s="184">
        <v>42852</v>
      </c>
      <c r="I2171" s="183">
        <f t="shared" si="67"/>
        <v>282672</v>
      </c>
      <c r="J2171" s="178">
        <f t="shared" si="68"/>
        <v>0</v>
      </c>
      <c r="K2171" s="21"/>
    </row>
    <row r="2172" spans="1:11" x14ac:dyDescent="0.25">
      <c r="A2172" s="51">
        <v>42844</v>
      </c>
      <c r="B2172" s="174" t="s">
        <v>13719</v>
      </c>
      <c r="C2172" s="175"/>
      <c r="D2172" s="176" t="s">
        <v>13719</v>
      </c>
      <c r="E2172" s="176">
        <v>108606</v>
      </c>
      <c r="F2172" s="177" t="s">
        <v>422</v>
      </c>
      <c r="G2172" s="178">
        <v>822.5</v>
      </c>
      <c r="H2172" s="179">
        <v>42844</v>
      </c>
      <c r="I2172" s="178">
        <f t="shared" si="67"/>
        <v>822.5</v>
      </c>
      <c r="J2172" s="178">
        <f t="shared" si="68"/>
        <v>0</v>
      </c>
      <c r="K2172" s="21"/>
    </row>
    <row r="2173" spans="1:11" x14ac:dyDescent="0.25">
      <c r="A2173" s="51">
        <v>42844</v>
      </c>
      <c r="B2173" s="174" t="s">
        <v>13720</v>
      </c>
      <c r="C2173" s="175"/>
      <c r="D2173" s="176" t="s">
        <v>13720</v>
      </c>
      <c r="E2173" s="176">
        <v>108607</v>
      </c>
      <c r="F2173" s="177" t="s">
        <v>352</v>
      </c>
      <c r="G2173" s="178">
        <v>2150.8000000000002</v>
      </c>
      <c r="H2173" s="179">
        <v>42844</v>
      </c>
      <c r="I2173" s="178">
        <f t="shared" si="67"/>
        <v>2150.8000000000002</v>
      </c>
      <c r="J2173" s="178">
        <f t="shared" si="68"/>
        <v>0</v>
      </c>
      <c r="K2173" s="21"/>
    </row>
    <row r="2174" spans="1:11" x14ac:dyDescent="0.25">
      <c r="A2174" s="51">
        <v>42844</v>
      </c>
      <c r="B2174" s="174" t="s">
        <v>13721</v>
      </c>
      <c r="C2174" s="175"/>
      <c r="D2174" s="176" t="s">
        <v>13721</v>
      </c>
      <c r="E2174" s="176">
        <v>108608</v>
      </c>
      <c r="F2174" s="177" t="s">
        <v>352</v>
      </c>
      <c r="G2174" s="178">
        <v>79.2</v>
      </c>
      <c r="H2174" s="179">
        <v>42844</v>
      </c>
      <c r="I2174" s="178">
        <f t="shared" si="67"/>
        <v>79.2</v>
      </c>
      <c r="J2174" s="178">
        <f t="shared" si="68"/>
        <v>0</v>
      </c>
      <c r="K2174" s="21"/>
    </row>
    <row r="2175" spans="1:11" x14ac:dyDescent="0.25">
      <c r="A2175" s="51">
        <v>42844</v>
      </c>
      <c r="B2175" s="174" t="s">
        <v>13722</v>
      </c>
      <c r="C2175" s="175"/>
      <c r="D2175" s="176" t="s">
        <v>13722</v>
      </c>
      <c r="E2175" s="176">
        <v>108609</v>
      </c>
      <c r="F2175" s="177" t="s">
        <v>12</v>
      </c>
      <c r="G2175" s="178">
        <v>880</v>
      </c>
      <c r="H2175" s="179">
        <v>42845</v>
      </c>
      <c r="I2175" s="178">
        <f t="shared" si="67"/>
        <v>880</v>
      </c>
      <c r="J2175" s="178">
        <f t="shared" si="68"/>
        <v>0</v>
      </c>
      <c r="K2175" s="21"/>
    </row>
    <row r="2176" spans="1:11" x14ac:dyDescent="0.25">
      <c r="A2176" s="51">
        <v>42844</v>
      </c>
      <c r="B2176" s="174" t="s">
        <v>13723</v>
      </c>
      <c r="C2176" s="175"/>
      <c r="D2176" s="176" t="s">
        <v>13723</v>
      </c>
      <c r="E2176" s="176">
        <v>108610</v>
      </c>
      <c r="F2176" s="177" t="s">
        <v>159</v>
      </c>
      <c r="G2176" s="178">
        <v>8743</v>
      </c>
      <c r="H2176" s="179">
        <v>42845</v>
      </c>
      <c r="I2176" s="178">
        <f t="shared" si="67"/>
        <v>8743</v>
      </c>
      <c r="J2176" s="178">
        <f t="shared" si="68"/>
        <v>0</v>
      </c>
      <c r="K2176" s="21"/>
    </row>
    <row r="2177" spans="1:11" x14ac:dyDescent="0.25">
      <c r="A2177" s="51">
        <v>42844</v>
      </c>
      <c r="B2177" s="174" t="s">
        <v>13724</v>
      </c>
      <c r="C2177" s="175"/>
      <c r="D2177" s="176" t="s">
        <v>13724</v>
      </c>
      <c r="E2177" s="176">
        <v>108611</v>
      </c>
      <c r="F2177" s="177" t="s">
        <v>30</v>
      </c>
      <c r="G2177" s="178">
        <v>2967</v>
      </c>
      <c r="H2177" s="179">
        <v>42844</v>
      </c>
      <c r="I2177" s="178">
        <f t="shared" si="67"/>
        <v>2967</v>
      </c>
      <c r="J2177" s="178">
        <f t="shared" si="68"/>
        <v>0</v>
      </c>
      <c r="K2177" s="21"/>
    </row>
    <row r="2178" spans="1:11" x14ac:dyDescent="0.25">
      <c r="A2178" s="51">
        <v>42844</v>
      </c>
      <c r="B2178" s="174" t="s">
        <v>13725</v>
      </c>
      <c r="C2178" s="175"/>
      <c r="D2178" s="176" t="s">
        <v>13725</v>
      </c>
      <c r="E2178" s="176">
        <v>108612</v>
      </c>
      <c r="F2178" s="177" t="s">
        <v>457</v>
      </c>
      <c r="G2178" s="178">
        <v>2746.2</v>
      </c>
      <c r="H2178" s="179">
        <v>42844</v>
      </c>
      <c r="I2178" s="178">
        <f t="shared" si="67"/>
        <v>2746.2</v>
      </c>
      <c r="J2178" s="178">
        <f t="shared" si="68"/>
        <v>0</v>
      </c>
      <c r="K2178" s="21"/>
    </row>
    <row r="2179" spans="1:11" x14ac:dyDescent="0.25">
      <c r="A2179" s="51">
        <v>42844</v>
      </c>
      <c r="B2179" s="174" t="s">
        <v>13726</v>
      </c>
      <c r="C2179" s="175"/>
      <c r="D2179" s="176" t="s">
        <v>13726</v>
      </c>
      <c r="E2179" s="176">
        <v>108613</v>
      </c>
      <c r="F2179" s="177" t="s">
        <v>10</v>
      </c>
      <c r="G2179" s="178">
        <v>4400</v>
      </c>
      <c r="H2179" s="179"/>
      <c r="I2179" s="178">
        <f t="shared" si="67"/>
        <v>4400</v>
      </c>
      <c r="J2179" s="178">
        <f t="shared" si="68"/>
        <v>0</v>
      </c>
      <c r="K2179" s="21"/>
    </row>
    <row r="2180" spans="1:11" x14ac:dyDescent="0.25">
      <c r="A2180" s="51">
        <v>42844</v>
      </c>
      <c r="B2180" s="174" t="s">
        <v>13727</v>
      </c>
      <c r="C2180" s="175"/>
      <c r="D2180" s="176" t="s">
        <v>13727</v>
      </c>
      <c r="E2180" s="176">
        <v>108614</v>
      </c>
      <c r="F2180" s="177" t="s">
        <v>472</v>
      </c>
      <c r="G2180" s="178">
        <v>16191</v>
      </c>
      <c r="H2180" s="179">
        <v>42848</v>
      </c>
      <c r="I2180" s="178">
        <f t="shared" ref="I2180:I2243" si="69">G2180</f>
        <v>16191</v>
      </c>
      <c r="J2180" s="178">
        <f t="shared" ref="J2180:J2243" si="70">G2180-I2180</f>
        <v>0</v>
      </c>
      <c r="K2180" s="21"/>
    </row>
    <row r="2181" spans="1:11" x14ac:dyDescent="0.25">
      <c r="A2181" s="51">
        <v>42844</v>
      </c>
      <c r="B2181" s="174" t="s">
        <v>13728</v>
      </c>
      <c r="C2181" s="175"/>
      <c r="D2181" s="176" t="s">
        <v>13728</v>
      </c>
      <c r="E2181" s="176">
        <v>108615</v>
      </c>
      <c r="F2181" s="177" t="s">
        <v>205</v>
      </c>
      <c r="G2181" s="178">
        <v>31845.759999999998</v>
      </c>
      <c r="H2181" s="179">
        <v>42845</v>
      </c>
      <c r="I2181" s="178">
        <f t="shared" si="69"/>
        <v>31845.759999999998</v>
      </c>
      <c r="J2181" s="178">
        <f t="shared" si="70"/>
        <v>0</v>
      </c>
      <c r="K2181" s="21"/>
    </row>
    <row r="2182" spans="1:11" x14ac:dyDescent="0.25">
      <c r="A2182" s="51">
        <v>42844</v>
      </c>
      <c r="B2182" s="174" t="s">
        <v>13729</v>
      </c>
      <c r="C2182" s="175"/>
      <c r="D2182" s="176" t="s">
        <v>13729</v>
      </c>
      <c r="E2182" s="176">
        <v>108616</v>
      </c>
      <c r="F2182" s="177" t="s">
        <v>531</v>
      </c>
      <c r="G2182" s="178">
        <v>31568.46</v>
      </c>
      <c r="H2182" s="179">
        <v>42846</v>
      </c>
      <c r="I2182" s="178">
        <f t="shared" si="69"/>
        <v>31568.46</v>
      </c>
      <c r="J2182" s="178">
        <f t="shared" si="70"/>
        <v>0</v>
      </c>
      <c r="K2182" s="21"/>
    </row>
    <row r="2183" spans="1:11" x14ac:dyDescent="0.25">
      <c r="A2183" s="51">
        <v>42844</v>
      </c>
      <c r="B2183" s="174" t="s">
        <v>13730</v>
      </c>
      <c r="C2183" s="175"/>
      <c r="D2183" s="176" t="s">
        <v>13730</v>
      </c>
      <c r="E2183" s="176">
        <v>108617</v>
      </c>
      <c r="F2183" s="177" t="s">
        <v>222</v>
      </c>
      <c r="G2183" s="178">
        <v>22077.55</v>
      </c>
      <c r="H2183" s="184">
        <v>42851</v>
      </c>
      <c r="I2183" s="183">
        <f t="shared" si="69"/>
        <v>22077.55</v>
      </c>
      <c r="J2183" s="178">
        <f t="shared" si="70"/>
        <v>0</v>
      </c>
      <c r="K2183" s="21"/>
    </row>
    <row r="2184" spans="1:11" x14ac:dyDescent="0.25">
      <c r="A2184" s="51">
        <v>42844</v>
      </c>
      <c r="B2184" s="174" t="s">
        <v>13731</v>
      </c>
      <c r="C2184" s="175"/>
      <c r="D2184" s="176" t="s">
        <v>13731</v>
      </c>
      <c r="E2184" s="176">
        <v>108618</v>
      </c>
      <c r="F2184" s="177" t="s">
        <v>468</v>
      </c>
      <c r="G2184" s="178">
        <v>18454</v>
      </c>
      <c r="H2184" s="179">
        <v>42846</v>
      </c>
      <c r="I2184" s="178">
        <f t="shared" si="69"/>
        <v>18454</v>
      </c>
      <c r="J2184" s="178">
        <f t="shared" si="70"/>
        <v>0</v>
      </c>
      <c r="K2184" s="21"/>
    </row>
    <row r="2185" spans="1:11" x14ac:dyDescent="0.25">
      <c r="A2185" s="51">
        <v>42844</v>
      </c>
      <c r="B2185" s="174" t="s">
        <v>13732</v>
      </c>
      <c r="C2185" s="175"/>
      <c r="D2185" s="176" t="s">
        <v>13732</v>
      </c>
      <c r="E2185" s="176">
        <v>108619</v>
      </c>
      <c r="F2185" s="177" t="s">
        <v>30</v>
      </c>
      <c r="G2185" s="178">
        <v>6193.6</v>
      </c>
      <c r="H2185" s="179">
        <v>42845</v>
      </c>
      <c r="I2185" s="178">
        <f t="shared" si="69"/>
        <v>6193.6</v>
      </c>
      <c r="J2185" s="178">
        <f t="shared" si="70"/>
        <v>0</v>
      </c>
      <c r="K2185" s="21"/>
    </row>
    <row r="2186" spans="1:11" x14ac:dyDescent="0.25">
      <c r="A2186" s="51">
        <v>42844</v>
      </c>
      <c r="B2186" s="174" t="s">
        <v>13733</v>
      </c>
      <c r="C2186" s="175"/>
      <c r="D2186" s="176" t="s">
        <v>13733</v>
      </c>
      <c r="E2186" s="176">
        <v>108620</v>
      </c>
      <c r="F2186" s="177" t="s">
        <v>921</v>
      </c>
      <c r="G2186" s="178">
        <v>6392.4</v>
      </c>
      <c r="H2186" s="179">
        <v>42844</v>
      </c>
      <c r="I2186" s="178">
        <f t="shared" si="69"/>
        <v>6392.4</v>
      </c>
      <c r="J2186" s="178">
        <f t="shared" si="70"/>
        <v>0</v>
      </c>
      <c r="K2186" s="21"/>
    </row>
    <row r="2187" spans="1:11" x14ac:dyDescent="0.25">
      <c r="A2187" s="51">
        <v>42844</v>
      </c>
      <c r="B2187" s="174" t="s">
        <v>13734</v>
      </c>
      <c r="C2187" s="175"/>
      <c r="D2187" s="176" t="s">
        <v>13734</v>
      </c>
      <c r="E2187" s="176">
        <v>108621</v>
      </c>
      <c r="F2187" s="177" t="s">
        <v>208</v>
      </c>
      <c r="G2187" s="178">
        <v>11957.4</v>
      </c>
      <c r="H2187" s="180" t="s">
        <v>13394</v>
      </c>
      <c r="I2187" s="181">
        <f>8000+3957.4</f>
        <v>11957.4</v>
      </c>
      <c r="J2187" s="181">
        <f t="shared" si="70"/>
        <v>0</v>
      </c>
      <c r="K2187" s="21"/>
    </row>
    <row r="2188" spans="1:11" x14ac:dyDescent="0.25">
      <c r="A2188" s="51">
        <v>42844</v>
      </c>
      <c r="B2188" s="174" t="s">
        <v>13735</v>
      </c>
      <c r="C2188" s="175"/>
      <c r="D2188" s="176" t="s">
        <v>13735</v>
      </c>
      <c r="E2188" s="176">
        <v>108622</v>
      </c>
      <c r="F2188" s="177" t="s">
        <v>122</v>
      </c>
      <c r="G2188" s="178">
        <v>501.6</v>
      </c>
      <c r="H2188" s="179">
        <v>42846</v>
      </c>
      <c r="I2188" s="178">
        <f t="shared" si="69"/>
        <v>501.6</v>
      </c>
      <c r="J2188" s="178">
        <f t="shared" si="70"/>
        <v>0</v>
      </c>
      <c r="K2188" s="19"/>
    </row>
    <row r="2189" spans="1:11" x14ac:dyDescent="0.25">
      <c r="A2189" s="51">
        <v>42844</v>
      </c>
      <c r="B2189" s="174" t="s">
        <v>13736</v>
      </c>
      <c r="C2189" s="175"/>
      <c r="D2189" s="176" t="s">
        <v>13736</v>
      </c>
      <c r="E2189" s="176">
        <v>108623</v>
      </c>
      <c r="F2189" s="177" t="s">
        <v>131</v>
      </c>
      <c r="G2189" s="178">
        <v>16233</v>
      </c>
      <c r="H2189" s="179">
        <v>42845</v>
      </c>
      <c r="I2189" s="178">
        <f t="shared" si="69"/>
        <v>16233</v>
      </c>
      <c r="J2189" s="178">
        <f t="shared" si="70"/>
        <v>0</v>
      </c>
      <c r="K2189" s="21"/>
    </row>
    <row r="2190" spans="1:11" x14ac:dyDescent="0.25">
      <c r="A2190" s="51">
        <v>42844</v>
      </c>
      <c r="B2190" s="174" t="s">
        <v>13737</v>
      </c>
      <c r="C2190" s="175"/>
      <c r="D2190" s="176" t="s">
        <v>13737</v>
      </c>
      <c r="E2190" s="176">
        <v>108624</v>
      </c>
      <c r="F2190" s="177" t="s">
        <v>30</v>
      </c>
      <c r="G2190" s="178">
        <v>3187.2</v>
      </c>
      <c r="H2190" s="179">
        <v>42844</v>
      </c>
      <c r="I2190" s="178">
        <f t="shared" si="69"/>
        <v>3187.2</v>
      </c>
      <c r="J2190" s="178">
        <f t="shared" si="70"/>
        <v>0</v>
      </c>
      <c r="K2190" s="21"/>
    </row>
    <row r="2191" spans="1:11" x14ac:dyDescent="0.25">
      <c r="A2191" s="51">
        <v>42845</v>
      </c>
      <c r="B2191" s="174" t="s">
        <v>13738</v>
      </c>
      <c r="C2191" s="175"/>
      <c r="D2191" s="176" t="s">
        <v>13738</v>
      </c>
      <c r="E2191" s="176">
        <v>108625</v>
      </c>
      <c r="F2191" s="177" t="s">
        <v>231</v>
      </c>
      <c r="G2191" s="178">
        <v>5275.7</v>
      </c>
      <c r="H2191" s="179">
        <v>42845</v>
      </c>
      <c r="I2191" s="178">
        <f t="shared" si="69"/>
        <v>5275.7</v>
      </c>
      <c r="J2191" s="178">
        <f t="shared" si="70"/>
        <v>0</v>
      </c>
      <c r="K2191" s="21"/>
    </row>
    <row r="2192" spans="1:11" x14ac:dyDescent="0.25">
      <c r="A2192" s="51">
        <v>42845</v>
      </c>
      <c r="B2192" s="174" t="s">
        <v>13739</v>
      </c>
      <c r="C2192" s="175"/>
      <c r="D2192" s="176" t="s">
        <v>13739</v>
      </c>
      <c r="E2192" s="176">
        <v>108626</v>
      </c>
      <c r="F2192" s="177" t="s">
        <v>231</v>
      </c>
      <c r="G2192" s="178">
        <v>35496.9</v>
      </c>
      <c r="H2192" s="179">
        <v>42846</v>
      </c>
      <c r="I2192" s="178">
        <f t="shared" si="69"/>
        <v>35496.9</v>
      </c>
      <c r="J2192" s="178">
        <f t="shared" si="70"/>
        <v>0</v>
      </c>
      <c r="K2192" s="21"/>
    </row>
    <row r="2193" spans="1:11" x14ac:dyDescent="0.25">
      <c r="A2193" s="51">
        <v>42845</v>
      </c>
      <c r="B2193" s="174" t="s">
        <v>13740</v>
      </c>
      <c r="C2193" s="175"/>
      <c r="D2193" s="176" t="s">
        <v>13740</v>
      </c>
      <c r="E2193" s="176">
        <v>108627</v>
      </c>
      <c r="F2193" s="177" t="s">
        <v>428</v>
      </c>
      <c r="G2193" s="178">
        <v>1677</v>
      </c>
      <c r="H2193" s="179">
        <v>42846</v>
      </c>
      <c r="I2193" s="178">
        <f t="shared" si="69"/>
        <v>1677</v>
      </c>
      <c r="J2193" s="178">
        <f t="shared" si="70"/>
        <v>0</v>
      </c>
      <c r="K2193" s="21"/>
    </row>
    <row r="2194" spans="1:11" x14ac:dyDescent="0.25">
      <c r="A2194" s="51">
        <v>42845</v>
      </c>
      <c r="B2194" s="174" t="s">
        <v>13741</v>
      </c>
      <c r="C2194" s="175"/>
      <c r="D2194" s="176" t="s">
        <v>13741</v>
      </c>
      <c r="E2194" s="176">
        <v>108628</v>
      </c>
      <c r="F2194" s="182" t="s">
        <v>32</v>
      </c>
      <c r="G2194" s="183">
        <v>0</v>
      </c>
      <c r="H2194" s="184" t="s">
        <v>95</v>
      </c>
      <c r="I2194" s="183">
        <f t="shared" si="69"/>
        <v>0</v>
      </c>
      <c r="J2194" s="183">
        <f t="shared" si="70"/>
        <v>0</v>
      </c>
      <c r="K2194" s="21"/>
    </row>
    <row r="2195" spans="1:11" x14ac:dyDescent="0.25">
      <c r="A2195" s="51">
        <v>42845</v>
      </c>
      <c r="B2195" s="174" t="s">
        <v>13742</v>
      </c>
      <c r="C2195" s="175"/>
      <c r="D2195" s="176" t="s">
        <v>13742</v>
      </c>
      <c r="E2195" s="176">
        <v>108629</v>
      </c>
      <c r="F2195" s="177" t="s">
        <v>32</v>
      </c>
      <c r="G2195" s="178">
        <v>5929.5</v>
      </c>
      <c r="H2195" s="184">
        <v>43217</v>
      </c>
      <c r="I2195" s="183">
        <f t="shared" si="69"/>
        <v>5929.5</v>
      </c>
      <c r="J2195" s="178">
        <f t="shared" si="70"/>
        <v>0</v>
      </c>
      <c r="K2195" s="21"/>
    </row>
    <row r="2196" spans="1:11" x14ac:dyDescent="0.25">
      <c r="A2196" s="51">
        <v>42845</v>
      </c>
      <c r="B2196" s="174" t="s">
        <v>13743</v>
      </c>
      <c r="C2196" s="175"/>
      <c r="D2196" s="176" t="s">
        <v>13743</v>
      </c>
      <c r="E2196" s="176">
        <v>108630</v>
      </c>
      <c r="F2196" s="177" t="s">
        <v>38</v>
      </c>
      <c r="G2196" s="178">
        <v>2626.8</v>
      </c>
      <c r="H2196" s="179">
        <v>42847</v>
      </c>
      <c r="I2196" s="178">
        <f t="shared" si="69"/>
        <v>2626.8</v>
      </c>
      <c r="J2196" s="178">
        <f t="shared" si="70"/>
        <v>0</v>
      </c>
      <c r="K2196" s="21"/>
    </row>
    <row r="2197" spans="1:11" x14ac:dyDescent="0.25">
      <c r="A2197" s="51">
        <v>42845</v>
      </c>
      <c r="B2197" s="174" t="s">
        <v>13744</v>
      </c>
      <c r="C2197" s="175"/>
      <c r="D2197" s="176" t="s">
        <v>13744</v>
      </c>
      <c r="E2197" s="176">
        <v>108631</v>
      </c>
      <c r="F2197" s="177" t="s">
        <v>49</v>
      </c>
      <c r="G2197" s="178">
        <v>9015.6</v>
      </c>
      <c r="H2197" s="179">
        <v>42847</v>
      </c>
      <c r="I2197" s="178">
        <f t="shared" si="69"/>
        <v>9015.6</v>
      </c>
      <c r="J2197" s="178">
        <f t="shared" si="70"/>
        <v>0</v>
      </c>
      <c r="K2197" s="21"/>
    </row>
    <row r="2198" spans="1:11" x14ac:dyDescent="0.25">
      <c r="A2198" s="51">
        <v>42845</v>
      </c>
      <c r="B2198" s="174" t="s">
        <v>13745</v>
      </c>
      <c r="C2198" s="175"/>
      <c r="D2198" s="176" t="s">
        <v>13745</v>
      </c>
      <c r="E2198" s="176">
        <v>108632</v>
      </c>
      <c r="F2198" s="177" t="s">
        <v>26</v>
      </c>
      <c r="G2198" s="178">
        <v>13832.7</v>
      </c>
      <c r="H2198" s="179">
        <v>42845</v>
      </c>
      <c r="I2198" s="178">
        <f t="shared" si="69"/>
        <v>13832.7</v>
      </c>
      <c r="J2198" s="178">
        <f t="shared" si="70"/>
        <v>0</v>
      </c>
      <c r="K2198" s="21"/>
    </row>
    <row r="2199" spans="1:11" x14ac:dyDescent="0.25">
      <c r="A2199" s="51">
        <v>42845</v>
      </c>
      <c r="B2199" s="174" t="s">
        <v>13746</v>
      </c>
      <c r="C2199" s="175"/>
      <c r="D2199" s="176" t="s">
        <v>13746</v>
      </c>
      <c r="E2199" s="176">
        <v>108633</v>
      </c>
      <c r="F2199" s="177" t="s">
        <v>28</v>
      </c>
      <c r="G2199" s="178">
        <v>6684.6</v>
      </c>
      <c r="H2199" s="179">
        <v>42846</v>
      </c>
      <c r="I2199" s="178">
        <f t="shared" si="69"/>
        <v>6684.6</v>
      </c>
      <c r="J2199" s="178">
        <f t="shared" si="70"/>
        <v>0</v>
      </c>
      <c r="K2199" s="21"/>
    </row>
    <row r="2200" spans="1:11" x14ac:dyDescent="0.25">
      <c r="A2200" s="51">
        <v>42845</v>
      </c>
      <c r="B2200" s="174" t="s">
        <v>13747</v>
      </c>
      <c r="C2200" s="175"/>
      <c r="D2200" s="176" t="s">
        <v>13747</v>
      </c>
      <c r="E2200" s="176">
        <v>108634</v>
      </c>
      <c r="F2200" s="177" t="s">
        <v>10</v>
      </c>
      <c r="G2200" s="178">
        <v>73783.7</v>
      </c>
      <c r="H2200" s="179">
        <v>42846</v>
      </c>
      <c r="I2200" s="178">
        <f t="shared" si="69"/>
        <v>73783.7</v>
      </c>
      <c r="J2200" s="178">
        <f t="shared" si="70"/>
        <v>0</v>
      </c>
      <c r="K2200" s="21"/>
    </row>
    <row r="2201" spans="1:11" x14ac:dyDescent="0.25">
      <c r="A2201" s="51">
        <v>42845</v>
      </c>
      <c r="B2201" s="174" t="s">
        <v>13748</v>
      </c>
      <c r="C2201" s="175"/>
      <c r="D2201" s="176" t="s">
        <v>13748</v>
      </c>
      <c r="E2201" s="176">
        <v>108635</v>
      </c>
      <c r="F2201" s="177" t="s">
        <v>35</v>
      </c>
      <c r="G2201" s="178">
        <v>9936.7000000000007</v>
      </c>
      <c r="H2201" s="179">
        <v>42847</v>
      </c>
      <c r="I2201" s="178">
        <f t="shared" si="69"/>
        <v>9936.7000000000007</v>
      </c>
      <c r="J2201" s="178">
        <f t="shared" si="70"/>
        <v>0</v>
      </c>
      <c r="K2201" s="21"/>
    </row>
    <row r="2202" spans="1:11" x14ac:dyDescent="0.25">
      <c r="A2202" s="51">
        <v>42845</v>
      </c>
      <c r="B2202" s="174" t="s">
        <v>13749</v>
      </c>
      <c r="C2202" s="175"/>
      <c r="D2202" s="176" t="s">
        <v>13749</v>
      </c>
      <c r="E2202" s="176">
        <v>108636</v>
      </c>
      <c r="F2202" s="177" t="s">
        <v>250</v>
      </c>
      <c r="G2202" s="178">
        <v>6057.2</v>
      </c>
      <c r="H2202" s="179">
        <v>42846</v>
      </c>
      <c r="I2202" s="178">
        <f t="shared" si="69"/>
        <v>6057.2</v>
      </c>
      <c r="J2202" s="178">
        <f t="shared" si="70"/>
        <v>0</v>
      </c>
      <c r="K2202" s="21"/>
    </row>
    <row r="2203" spans="1:11" x14ac:dyDescent="0.25">
      <c r="A2203" s="51">
        <v>42845</v>
      </c>
      <c r="B2203" s="174" t="s">
        <v>13750</v>
      </c>
      <c r="C2203" s="175"/>
      <c r="D2203" s="176" t="s">
        <v>13750</v>
      </c>
      <c r="E2203" s="176">
        <v>108637</v>
      </c>
      <c r="F2203" s="177" t="s">
        <v>51</v>
      </c>
      <c r="G2203" s="178">
        <v>2890.8</v>
      </c>
      <c r="H2203" s="179">
        <v>42847</v>
      </c>
      <c r="I2203" s="178">
        <f t="shared" si="69"/>
        <v>2890.8</v>
      </c>
      <c r="J2203" s="178">
        <f t="shared" si="70"/>
        <v>0</v>
      </c>
      <c r="K2203" s="21"/>
    </row>
    <row r="2204" spans="1:11" x14ac:dyDescent="0.25">
      <c r="A2204" s="51">
        <v>42845</v>
      </c>
      <c r="B2204" s="174" t="s">
        <v>13751</v>
      </c>
      <c r="C2204" s="175"/>
      <c r="D2204" s="176" t="s">
        <v>13751</v>
      </c>
      <c r="E2204" s="176">
        <v>108638</v>
      </c>
      <c r="F2204" s="177" t="s">
        <v>10</v>
      </c>
      <c r="G2204" s="178">
        <v>8596.5</v>
      </c>
      <c r="H2204" s="179">
        <v>42846</v>
      </c>
      <c r="I2204" s="178">
        <f t="shared" si="69"/>
        <v>8596.5</v>
      </c>
      <c r="J2204" s="178">
        <f t="shared" si="70"/>
        <v>0</v>
      </c>
      <c r="K2204" s="21"/>
    </row>
    <row r="2205" spans="1:11" x14ac:dyDescent="0.25">
      <c r="A2205" s="51">
        <v>42845</v>
      </c>
      <c r="B2205" s="174" t="s">
        <v>13752</v>
      </c>
      <c r="C2205" s="175"/>
      <c r="D2205" s="176" t="s">
        <v>13752</v>
      </c>
      <c r="E2205" s="176">
        <v>108639</v>
      </c>
      <c r="F2205" s="177" t="s">
        <v>43</v>
      </c>
      <c r="G2205" s="178">
        <v>2408.6999999999998</v>
      </c>
      <c r="H2205" s="179">
        <v>42847</v>
      </c>
      <c r="I2205" s="178">
        <f t="shared" si="69"/>
        <v>2408.6999999999998</v>
      </c>
      <c r="J2205" s="178">
        <f t="shared" si="70"/>
        <v>0</v>
      </c>
      <c r="K2205" s="21"/>
    </row>
    <row r="2206" spans="1:11" x14ac:dyDescent="0.25">
      <c r="A2206" s="51">
        <v>42845</v>
      </c>
      <c r="B2206" s="174" t="s">
        <v>13753</v>
      </c>
      <c r="C2206" s="175"/>
      <c r="D2206" s="176" t="s">
        <v>13753</v>
      </c>
      <c r="E2206" s="176">
        <v>108640</v>
      </c>
      <c r="F2206" s="177" t="s">
        <v>40</v>
      </c>
      <c r="G2206" s="178">
        <v>3190.8</v>
      </c>
      <c r="H2206" s="179">
        <v>42847</v>
      </c>
      <c r="I2206" s="178">
        <f t="shared" si="69"/>
        <v>3190.8</v>
      </c>
      <c r="J2206" s="178">
        <f t="shared" si="70"/>
        <v>0</v>
      </c>
      <c r="K2206" s="21"/>
    </row>
    <row r="2207" spans="1:11" x14ac:dyDescent="0.25">
      <c r="A2207" s="51">
        <v>42845</v>
      </c>
      <c r="B2207" s="174" t="s">
        <v>13754</v>
      </c>
      <c r="C2207" s="175"/>
      <c r="D2207" s="176" t="s">
        <v>13754</v>
      </c>
      <c r="E2207" s="176">
        <v>108641</v>
      </c>
      <c r="F2207" s="177" t="s">
        <v>509</v>
      </c>
      <c r="G2207" s="178">
        <v>35156.1</v>
      </c>
      <c r="H2207" s="184">
        <v>42853</v>
      </c>
      <c r="I2207" s="183">
        <f t="shared" si="69"/>
        <v>35156.1</v>
      </c>
      <c r="J2207" s="178">
        <f t="shared" si="70"/>
        <v>0</v>
      </c>
      <c r="K2207" s="21"/>
    </row>
    <row r="2208" spans="1:11" x14ac:dyDescent="0.25">
      <c r="A2208" s="51">
        <v>42845</v>
      </c>
      <c r="B2208" s="174" t="s">
        <v>13755</v>
      </c>
      <c r="C2208" s="175"/>
      <c r="D2208" s="176" t="s">
        <v>13755</v>
      </c>
      <c r="E2208" s="176">
        <v>108642</v>
      </c>
      <c r="F2208" s="177" t="s">
        <v>236</v>
      </c>
      <c r="G2208" s="178">
        <v>40018.480000000003</v>
      </c>
      <c r="H2208" s="179">
        <v>42847</v>
      </c>
      <c r="I2208" s="178">
        <f t="shared" si="69"/>
        <v>40018.480000000003</v>
      </c>
      <c r="J2208" s="178">
        <f t="shared" si="70"/>
        <v>0</v>
      </c>
      <c r="K2208" s="21"/>
    </row>
    <row r="2209" spans="1:11" x14ac:dyDescent="0.25">
      <c r="A2209" s="51">
        <v>42845</v>
      </c>
      <c r="B2209" s="174" t="s">
        <v>13756</v>
      </c>
      <c r="C2209" s="175"/>
      <c r="D2209" s="176" t="s">
        <v>13756</v>
      </c>
      <c r="E2209" s="176">
        <v>108643</v>
      </c>
      <c r="F2209" s="177" t="s">
        <v>47</v>
      </c>
      <c r="G2209" s="178">
        <v>3002.2</v>
      </c>
      <c r="H2209" s="179">
        <v>42845</v>
      </c>
      <c r="I2209" s="178">
        <f t="shared" si="69"/>
        <v>3002.2</v>
      </c>
      <c r="J2209" s="178">
        <f t="shared" si="70"/>
        <v>0</v>
      </c>
      <c r="K2209" s="21"/>
    </row>
    <row r="2210" spans="1:11" x14ac:dyDescent="0.25">
      <c r="A2210" s="51">
        <v>42845</v>
      </c>
      <c r="B2210" s="174" t="s">
        <v>13757</v>
      </c>
      <c r="C2210" s="175"/>
      <c r="D2210" s="176" t="s">
        <v>13757</v>
      </c>
      <c r="E2210" s="176">
        <v>108644</v>
      </c>
      <c r="F2210" s="177" t="s">
        <v>17</v>
      </c>
      <c r="G2210" s="178">
        <v>2150</v>
      </c>
      <c r="H2210" s="179">
        <v>42845</v>
      </c>
      <c r="I2210" s="178">
        <f t="shared" si="69"/>
        <v>2150</v>
      </c>
      <c r="J2210" s="178">
        <f t="shared" si="70"/>
        <v>0</v>
      </c>
      <c r="K2210" s="21"/>
    </row>
    <row r="2211" spans="1:11" x14ac:dyDescent="0.25">
      <c r="A2211" s="51">
        <v>42845</v>
      </c>
      <c r="B2211" s="174" t="s">
        <v>13758</v>
      </c>
      <c r="C2211" s="175"/>
      <c r="D2211" s="176" t="s">
        <v>13758</v>
      </c>
      <c r="E2211" s="176">
        <v>108645</v>
      </c>
      <c r="F2211" s="177" t="s">
        <v>19</v>
      </c>
      <c r="G2211" s="178">
        <v>860</v>
      </c>
      <c r="H2211" s="179">
        <v>42845</v>
      </c>
      <c r="I2211" s="178">
        <f t="shared" si="69"/>
        <v>860</v>
      </c>
      <c r="J2211" s="178">
        <f t="shared" si="70"/>
        <v>0</v>
      </c>
      <c r="K2211" s="21"/>
    </row>
    <row r="2212" spans="1:11" x14ac:dyDescent="0.25">
      <c r="A2212" s="51">
        <v>42845</v>
      </c>
      <c r="B2212" s="174" t="s">
        <v>13759</v>
      </c>
      <c r="C2212" s="175"/>
      <c r="D2212" s="176" t="s">
        <v>13759</v>
      </c>
      <c r="E2212" s="176">
        <v>108646</v>
      </c>
      <c r="F2212" s="177" t="s">
        <v>222</v>
      </c>
      <c r="G2212" s="178">
        <v>32496.400000000001</v>
      </c>
      <c r="H2212" s="184">
        <v>43217</v>
      </c>
      <c r="I2212" s="183">
        <f t="shared" si="69"/>
        <v>32496.400000000001</v>
      </c>
      <c r="J2212" s="178">
        <f t="shared" si="70"/>
        <v>0</v>
      </c>
      <c r="K2212" s="21"/>
    </row>
    <row r="2213" spans="1:11" x14ac:dyDescent="0.25">
      <c r="A2213" s="51">
        <v>42845</v>
      </c>
      <c r="B2213" s="174" t="s">
        <v>13760</v>
      </c>
      <c r="C2213" s="175"/>
      <c r="D2213" s="176" t="s">
        <v>13760</v>
      </c>
      <c r="E2213" s="176">
        <v>108647</v>
      </c>
      <c r="F2213" s="177" t="s">
        <v>430</v>
      </c>
      <c r="G2213" s="178">
        <v>1584.7</v>
      </c>
      <c r="H2213" s="179">
        <v>42845</v>
      </c>
      <c r="I2213" s="178">
        <f t="shared" si="69"/>
        <v>1584.7</v>
      </c>
      <c r="J2213" s="178">
        <f t="shared" si="70"/>
        <v>0</v>
      </c>
      <c r="K2213" s="21"/>
    </row>
    <row r="2214" spans="1:11" x14ac:dyDescent="0.25">
      <c r="A2214" s="51">
        <v>42845</v>
      </c>
      <c r="B2214" s="174" t="s">
        <v>13761</v>
      </c>
      <c r="C2214" s="175"/>
      <c r="D2214" s="176" t="s">
        <v>13761</v>
      </c>
      <c r="E2214" s="176">
        <v>108648</v>
      </c>
      <c r="F2214" s="177" t="s">
        <v>184</v>
      </c>
      <c r="G2214" s="178">
        <v>2696.4</v>
      </c>
      <c r="H2214" s="179">
        <v>42846</v>
      </c>
      <c r="I2214" s="178">
        <f t="shared" si="69"/>
        <v>2696.4</v>
      </c>
      <c r="J2214" s="178">
        <f t="shared" si="70"/>
        <v>0</v>
      </c>
      <c r="K2214" s="21"/>
    </row>
    <row r="2215" spans="1:11" x14ac:dyDescent="0.25">
      <c r="A2215" s="51">
        <v>42845</v>
      </c>
      <c r="B2215" s="174" t="s">
        <v>13762</v>
      </c>
      <c r="C2215" s="175"/>
      <c r="D2215" s="176" t="s">
        <v>13762</v>
      </c>
      <c r="E2215" s="176">
        <v>108649</v>
      </c>
      <c r="F2215" s="177" t="s">
        <v>186</v>
      </c>
      <c r="G2215" s="178">
        <v>3419.4</v>
      </c>
      <c r="H2215" s="179">
        <v>42846</v>
      </c>
      <c r="I2215" s="178">
        <f t="shared" si="69"/>
        <v>3419.4</v>
      </c>
      <c r="J2215" s="178">
        <f t="shared" si="70"/>
        <v>0</v>
      </c>
      <c r="K2215" s="21"/>
    </row>
    <row r="2216" spans="1:11" x14ac:dyDescent="0.25">
      <c r="A2216" s="51">
        <v>42845</v>
      </c>
      <c r="B2216" s="174" t="s">
        <v>13763</v>
      </c>
      <c r="C2216" s="175"/>
      <c r="D2216" s="176" t="s">
        <v>13763</v>
      </c>
      <c r="E2216" s="176">
        <v>108650</v>
      </c>
      <c r="F2216" s="177" t="s">
        <v>1090</v>
      </c>
      <c r="G2216" s="178">
        <v>3172.4</v>
      </c>
      <c r="H2216" s="179">
        <v>42845</v>
      </c>
      <c r="I2216" s="178">
        <f t="shared" si="69"/>
        <v>3172.4</v>
      </c>
      <c r="J2216" s="178">
        <f t="shared" si="70"/>
        <v>0</v>
      </c>
      <c r="K2216" s="21"/>
    </row>
    <row r="2217" spans="1:11" x14ac:dyDescent="0.25">
      <c r="A2217" s="51">
        <v>42845</v>
      </c>
      <c r="B2217" s="174" t="s">
        <v>13764</v>
      </c>
      <c r="C2217" s="175"/>
      <c r="D2217" s="176" t="s">
        <v>13764</v>
      </c>
      <c r="E2217" s="176">
        <v>108651</v>
      </c>
      <c r="F2217" s="177" t="s">
        <v>414</v>
      </c>
      <c r="G2217" s="178">
        <v>722.4</v>
      </c>
      <c r="H2217" s="179">
        <v>42845</v>
      </c>
      <c r="I2217" s="178">
        <f t="shared" si="69"/>
        <v>722.4</v>
      </c>
      <c r="J2217" s="178">
        <f t="shared" si="70"/>
        <v>0</v>
      </c>
      <c r="K2217" s="21"/>
    </row>
    <row r="2218" spans="1:11" x14ac:dyDescent="0.25">
      <c r="A2218" s="51">
        <v>42845</v>
      </c>
      <c r="B2218" s="174" t="s">
        <v>13765</v>
      </c>
      <c r="C2218" s="175"/>
      <c r="D2218" s="176" t="s">
        <v>13765</v>
      </c>
      <c r="E2218" s="176">
        <v>108652</v>
      </c>
      <c r="F2218" s="177" t="s">
        <v>30</v>
      </c>
      <c r="G2218" s="178">
        <v>16583.099999999999</v>
      </c>
      <c r="H2218" s="179">
        <v>42845</v>
      </c>
      <c r="I2218" s="178">
        <f t="shared" si="69"/>
        <v>16583.099999999999</v>
      </c>
      <c r="J2218" s="178">
        <f t="shared" si="70"/>
        <v>0</v>
      </c>
      <c r="K2218" s="21"/>
    </row>
    <row r="2219" spans="1:11" x14ac:dyDescent="0.25">
      <c r="A2219" s="51">
        <v>42845</v>
      </c>
      <c r="B2219" s="174" t="s">
        <v>13766</v>
      </c>
      <c r="C2219" s="175"/>
      <c r="D2219" s="176" t="s">
        <v>13766</v>
      </c>
      <c r="E2219" s="176">
        <v>108653</v>
      </c>
      <c r="F2219" s="177" t="s">
        <v>341</v>
      </c>
      <c r="G2219" s="178">
        <v>10041.700000000001</v>
      </c>
      <c r="H2219" s="179">
        <v>42845</v>
      </c>
      <c r="I2219" s="178">
        <f t="shared" si="69"/>
        <v>10041.700000000001</v>
      </c>
      <c r="J2219" s="178">
        <f t="shared" si="70"/>
        <v>0</v>
      </c>
      <c r="K2219" s="21"/>
    </row>
    <row r="2220" spans="1:11" x14ac:dyDescent="0.25">
      <c r="A2220" s="51">
        <v>42845</v>
      </c>
      <c r="B2220" s="174" t="s">
        <v>13767</v>
      </c>
      <c r="C2220" s="175"/>
      <c r="D2220" s="176" t="s">
        <v>13767</v>
      </c>
      <c r="E2220" s="176">
        <v>108654</v>
      </c>
      <c r="F2220" s="177" t="s">
        <v>79</v>
      </c>
      <c r="G2220" s="178">
        <v>2993.3</v>
      </c>
      <c r="H2220" s="179">
        <v>42845</v>
      </c>
      <c r="I2220" s="178">
        <f t="shared" si="69"/>
        <v>2993.3</v>
      </c>
      <c r="J2220" s="178">
        <f t="shared" si="70"/>
        <v>0</v>
      </c>
      <c r="K2220" s="21"/>
    </row>
    <row r="2221" spans="1:11" x14ac:dyDescent="0.25">
      <c r="A2221" s="51">
        <v>42845</v>
      </c>
      <c r="B2221" s="174" t="s">
        <v>13768</v>
      </c>
      <c r="C2221" s="175"/>
      <c r="D2221" s="176" t="s">
        <v>13768</v>
      </c>
      <c r="E2221" s="176">
        <v>108655</v>
      </c>
      <c r="F2221" s="177" t="s">
        <v>71</v>
      </c>
      <c r="G2221" s="178">
        <v>2767.5</v>
      </c>
      <c r="H2221" s="179">
        <v>42845</v>
      </c>
      <c r="I2221" s="178">
        <f t="shared" si="69"/>
        <v>2767.5</v>
      </c>
      <c r="J2221" s="178">
        <f t="shared" si="70"/>
        <v>0</v>
      </c>
      <c r="K2221" s="21"/>
    </row>
    <row r="2222" spans="1:11" x14ac:dyDescent="0.25">
      <c r="A2222" s="51">
        <v>42845</v>
      </c>
      <c r="B2222" s="174" t="s">
        <v>13769</v>
      </c>
      <c r="C2222" s="175"/>
      <c r="D2222" s="176" t="s">
        <v>13769</v>
      </c>
      <c r="E2222" s="176">
        <v>108656</v>
      </c>
      <c r="F2222" s="177" t="s">
        <v>149</v>
      </c>
      <c r="G2222" s="178">
        <v>2277.8000000000002</v>
      </c>
      <c r="H2222" s="179">
        <v>42845</v>
      </c>
      <c r="I2222" s="178">
        <f t="shared" si="69"/>
        <v>2277.8000000000002</v>
      </c>
      <c r="J2222" s="178">
        <f t="shared" si="70"/>
        <v>0</v>
      </c>
      <c r="K2222" s="21"/>
    </row>
    <row r="2223" spans="1:11" x14ac:dyDescent="0.25">
      <c r="A2223" s="51">
        <v>42845</v>
      </c>
      <c r="B2223" s="174" t="s">
        <v>13770</v>
      </c>
      <c r="C2223" s="175"/>
      <c r="D2223" s="176" t="s">
        <v>13770</v>
      </c>
      <c r="E2223" s="176">
        <v>108657</v>
      </c>
      <c r="F2223" s="177" t="s">
        <v>21</v>
      </c>
      <c r="G2223" s="178">
        <v>45288</v>
      </c>
      <c r="H2223" s="186">
        <v>42858</v>
      </c>
      <c r="I2223" s="187">
        <f t="shared" si="69"/>
        <v>45288</v>
      </c>
      <c r="J2223" s="178">
        <f t="shared" si="70"/>
        <v>0</v>
      </c>
      <c r="K2223" s="21"/>
    </row>
    <row r="2224" spans="1:11" x14ac:dyDescent="0.25">
      <c r="A2224" s="51">
        <v>42845</v>
      </c>
      <c r="B2224" s="174" t="s">
        <v>13771</v>
      </c>
      <c r="C2224" s="175"/>
      <c r="D2224" s="176" t="s">
        <v>13771</v>
      </c>
      <c r="E2224" s="176">
        <v>108658</v>
      </c>
      <c r="F2224" s="177" t="s">
        <v>240</v>
      </c>
      <c r="G2224" s="178">
        <v>9755.1</v>
      </c>
      <c r="H2224" s="179">
        <v>42845</v>
      </c>
      <c r="I2224" s="178">
        <f t="shared" si="69"/>
        <v>9755.1</v>
      </c>
      <c r="J2224" s="178">
        <f t="shared" si="70"/>
        <v>0</v>
      </c>
      <c r="K2224" s="21"/>
    </row>
    <row r="2225" spans="1:11" x14ac:dyDescent="0.25">
      <c r="A2225" s="51">
        <v>42845</v>
      </c>
      <c r="B2225" s="174" t="s">
        <v>13772</v>
      </c>
      <c r="C2225" s="175"/>
      <c r="D2225" s="176" t="s">
        <v>13772</v>
      </c>
      <c r="E2225" s="176">
        <v>108659</v>
      </c>
      <c r="F2225" s="177" t="s">
        <v>157</v>
      </c>
      <c r="G2225" s="178">
        <v>18701.400000000001</v>
      </c>
      <c r="H2225" s="179">
        <v>42845</v>
      </c>
      <c r="I2225" s="178">
        <f t="shared" si="69"/>
        <v>18701.400000000001</v>
      </c>
      <c r="J2225" s="178">
        <f t="shared" si="70"/>
        <v>0</v>
      </c>
      <c r="K2225" s="21"/>
    </row>
    <row r="2226" spans="1:11" x14ac:dyDescent="0.25">
      <c r="A2226" s="51">
        <v>42845</v>
      </c>
      <c r="B2226" s="174" t="s">
        <v>13773</v>
      </c>
      <c r="C2226" s="175"/>
      <c r="D2226" s="176" t="s">
        <v>13773</v>
      </c>
      <c r="E2226" s="176">
        <v>108660</v>
      </c>
      <c r="F2226" s="177" t="s">
        <v>151</v>
      </c>
      <c r="G2226" s="178">
        <v>17603</v>
      </c>
      <c r="H2226" s="179">
        <v>42845</v>
      </c>
      <c r="I2226" s="178">
        <f t="shared" si="69"/>
        <v>17603</v>
      </c>
      <c r="J2226" s="178">
        <f t="shared" si="70"/>
        <v>0</v>
      </c>
      <c r="K2226" s="21"/>
    </row>
    <row r="2227" spans="1:11" x14ac:dyDescent="0.25">
      <c r="A2227" s="51">
        <v>42845</v>
      </c>
      <c r="B2227" s="174" t="s">
        <v>13774</v>
      </c>
      <c r="C2227" s="175"/>
      <c r="D2227" s="176" t="s">
        <v>13774</v>
      </c>
      <c r="E2227" s="176">
        <v>108661</v>
      </c>
      <c r="F2227" s="177" t="s">
        <v>3425</v>
      </c>
      <c r="G2227" s="178">
        <v>2241.8000000000002</v>
      </c>
      <c r="H2227" s="179">
        <v>42845</v>
      </c>
      <c r="I2227" s="178">
        <f t="shared" si="69"/>
        <v>2241.8000000000002</v>
      </c>
      <c r="J2227" s="178">
        <f t="shared" si="70"/>
        <v>0</v>
      </c>
      <c r="K2227" s="21"/>
    </row>
    <row r="2228" spans="1:11" x14ac:dyDescent="0.25">
      <c r="A2228" s="51">
        <v>42845</v>
      </c>
      <c r="B2228" s="174" t="s">
        <v>13775</v>
      </c>
      <c r="C2228" s="175"/>
      <c r="D2228" s="176" t="s">
        <v>13775</v>
      </c>
      <c r="E2228" s="176">
        <v>108662</v>
      </c>
      <c r="F2228" s="177" t="s">
        <v>151</v>
      </c>
      <c r="G2228" s="178">
        <v>2864.4</v>
      </c>
      <c r="H2228" s="179">
        <v>42845</v>
      </c>
      <c r="I2228" s="178">
        <f t="shared" si="69"/>
        <v>2864.4</v>
      </c>
      <c r="J2228" s="178">
        <f t="shared" si="70"/>
        <v>0</v>
      </c>
      <c r="K2228" s="21"/>
    </row>
    <row r="2229" spans="1:11" x14ac:dyDescent="0.25">
      <c r="A2229" s="51">
        <v>42845</v>
      </c>
      <c r="B2229" s="174" t="s">
        <v>13776</v>
      </c>
      <c r="C2229" s="175"/>
      <c r="D2229" s="176" t="s">
        <v>13776</v>
      </c>
      <c r="E2229" s="176">
        <v>108663</v>
      </c>
      <c r="F2229" s="177" t="s">
        <v>1116</v>
      </c>
      <c r="G2229" s="178">
        <v>4460</v>
      </c>
      <c r="H2229" s="179">
        <v>42846</v>
      </c>
      <c r="I2229" s="178">
        <f t="shared" si="69"/>
        <v>4460</v>
      </c>
      <c r="J2229" s="178">
        <f t="shared" si="70"/>
        <v>0</v>
      </c>
      <c r="K2229" s="21"/>
    </row>
    <row r="2230" spans="1:11" x14ac:dyDescent="0.25">
      <c r="A2230" s="51">
        <v>42845</v>
      </c>
      <c r="B2230" s="174" t="s">
        <v>13777</v>
      </c>
      <c r="C2230" s="175"/>
      <c r="D2230" s="176" t="s">
        <v>13777</v>
      </c>
      <c r="E2230" s="176">
        <v>108664</v>
      </c>
      <c r="F2230" s="177" t="s">
        <v>442</v>
      </c>
      <c r="G2230" s="178">
        <v>6867.7</v>
      </c>
      <c r="H2230" s="186">
        <v>42851</v>
      </c>
      <c r="I2230" s="187">
        <f t="shared" si="69"/>
        <v>6867.7</v>
      </c>
      <c r="J2230" s="178">
        <f t="shared" si="70"/>
        <v>0</v>
      </c>
      <c r="K2230" s="21"/>
    </row>
    <row r="2231" spans="1:11" x14ac:dyDescent="0.25">
      <c r="A2231" s="51">
        <v>42845</v>
      </c>
      <c r="B2231" s="174" t="s">
        <v>13778</v>
      </c>
      <c r="C2231" s="175"/>
      <c r="D2231" s="176" t="s">
        <v>13778</v>
      </c>
      <c r="E2231" s="176">
        <v>108665</v>
      </c>
      <c r="F2231" s="177" t="s">
        <v>435</v>
      </c>
      <c r="G2231" s="178">
        <v>1684.8</v>
      </c>
      <c r="H2231" s="179">
        <v>42846</v>
      </c>
      <c r="I2231" s="178">
        <f t="shared" si="69"/>
        <v>1684.8</v>
      </c>
      <c r="J2231" s="178">
        <f t="shared" si="70"/>
        <v>0</v>
      </c>
      <c r="K2231" s="21"/>
    </row>
    <row r="2232" spans="1:11" x14ac:dyDescent="0.25">
      <c r="A2232" s="51">
        <v>42845</v>
      </c>
      <c r="B2232" s="174" t="s">
        <v>13779</v>
      </c>
      <c r="C2232" s="175"/>
      <c r="D2232" s="176" t="s">
        <v>13779</v>
      </c>
      <c r="E2232" s="176">
        <v>108666</v>
      </c>
      <c r="F2232" s="177" t="s">
        <v>1666</v>
      </c>
      <c r="G2232" s="178">
        <v>13270.2</v>
      </c>
      <c r="H2232" s="186">
        <v>42851</v>
      </c>
      <c r="I2232" s="187">
        <f t="shared" si="69"/>
        <v>13270.2</v>
      </c>
      <c r="J2232" s="178">
        <f t="shared" si="70"/>
        <v>0</v>
      </c>
      <c r="K2232" s="21"/>
    </row>
    <row r="2233" spans="1:11" x14ac:dyDescent="0.25">
      <c r="A2233" s="51">
        <v>42845</v>
      </c>
      <c r="B2233" s="174" t="s">
        <v>13780</v>
      </c>
      <c r="C2233" s="175"/>
      <c r="D2233" s="176" t="s">
        <v>13780</v>
      </c>
      <c r="E2233" s="176">
        <v>108667</v>
      </c>
      <c r="F2233" s="177" t="s">
        <v>432</v>
      </c>
      <c r="G2233" s="178">
        <v>10715.1</v>
      </c>
      <c r="H2233" s="186">
        <v>42851</v>
      </c>
      <c r="I2233" s="187">
        <f t="shared" si="69"/>
        <v>10715.1</v>
      </c>
      <c r="J2233" s="178">
        <f t="shared" si="70"/>
        <v>0</v>
      </c>
      <c r="K2233" s="21"/>
    </row>
    <row r="2234" spans="1:11" x14ac:dyDescent="0.25">
      <c r="A2234" s="51">
        <v>42845</v>
      </c>
      <c r="B2234" s="174" t="s">
        <v>13781</v>
      </c>
      <c r="C2234" s="175"/>
      <c r="D2234" s="176" t="s">
        <v>13781</v>
      </c>
      <c r="E2234" s="176">
        <v>108668</v>
      </c>
      <c r="F2234" s="177" t="s">
        <v>268</v>
      </c>
      <c r="G2234" s="178">
        <v>16189.7</v>
      </c>
      <c r="H2234" s="186">
        <v>42851</v>
      </c>
      <c r="I2234" s="187">
        <f t="shared" si="69"/>
        <v>16189.7</v>
      </c>
      <c r="J2234" s="178">
        <f t="shared" si="70"/>
        <v>0</v>
      </c>
      <c r="K2234" s="21"/>
    </row>
    <row r="2235" spans="1:11" x14ac:dyDescent="0.25">
      <c r="A2235" s="51">
        <v>42845</v>
      </c>
      <c r="B2235" s="174" t="s">
        <v>13782</v>
      </c>
      <c r="C2235" s="175"/>
      <c r="D2235" s="176" t="s">
        <v>13782</v>
      </c>
      <c r="E2235" s="176">
        <v>108669</v>
      </c>
      <c r="F2235" s="177" t="s">
        <v>122</v>
      </c>
      <c r="G2235" s="178">
        <v>27215.8</v>
      </c>
      <c r="H2235" s="179"/>
      <c r="I2235" s="178">
        <f t="shared" si="69"/>
        <v>27215.8</v>
      </c>
      <c r="J2235" s="178">
        <f t="shared" si="70"/>
        <v>0</v>
      </c>
      <c r="K2235" s="21"/>
    </row>
    <row r="2236" spans="1:11" x14ac:dyDescent="0.25">
      <c r="A2236" s="51">
        <v>42845</v>
      </c>
      <c r="B2236" s="174" t="s">
        <v>13783</v>
      </c>
      <c r="C2236" s="175"/>
      <c r="D2236" s="176" t="s">
        <v>13783</v>
      </c>
      <c r="E2236" s="176">
        <v>108670</v>
      </c>
      <c r="F2236" s="177" t="s">
        <v>30</v>
      </c>
      <c r="G2236" s="178">
        <v>781.5</v>
      </c>
      <c r="H2236" s="179">
        <v>42845</v>
      </c>
      <c r="I2236" s="178">
        <f t="shared" si="69"/>
        <v>781.5</v>
      </c>
      <c r="J2236" s="178">
        <f t="shared" si="70"/>
        <v>0</v>
      </c>
      <c r="K2236" s="21"/>
    </row>
    <row r="2237" spans="1:11" x14ac:dyDescent="0.25">
      <c r="A2237" s="51">
        <v>42845</v>
      </c>
      <c r="B2237" s="174" t="s">
        <v>13784</v>
      </c>
      <c r="C2237" s="175"/>
      <c r="D2237" s="176" t="s">
        <v>13784</v>
      </c>
      <c r="E2237" s="176">
        <v>108671</v>
      </c>
      <c r="F2237" s="177" t="s">
        <v>30</v>
      </c>
      <c r="G2237" s="178">
        <v>2970</v>
      </c>
      <c r="H2237" s="179"/>
      <c r="I2237" s="178">
        <f t="shared" si="69"/>
        <v>2970</v>
      </c>
      <c r="J2237" s="178">
        <f t="shared" si="70"/>
        <v>0</v>
      </c>
      <c r="K2237" s="21"/>
    </row>
    <row r="2238" spans="1:11" x14ac:dyDescent="0.25">
      <c r="A2238" s="51">
        <v>42845</v>
      </c>
      <c r="B2238" s="174" t="s">
        <v>13785</v>
      </c>
      <c r="C2238" s="175"/>
      <c r="D2238" s="176" t="s">
        <v>13785</v>
      </c>
      <c r="E2238" s="176">
        <v>108672</v>
      </c>
      <c r="F2238" s="177" t="s">
        <v>1830</v>
      </c>
      <c r="G2238" s="178">
        <v>6534.6</v>
      </c>
      <c r="H2238" s="179">
        <v>42846</v>
      </c>
      <c r="I2238" s="178">
        <f t="shared" si="69"/>
        <v>6534.6</v>
      </c>
      <c r="J2238" s="178">
        <f t="shared" si="70"/>
        <v>0</v>
      </c>
      <c r="K2238" s="21"/>
    </row>
    <row r="2239" spans="1:11" x14ac:dyDescent="0.25">
      <c r="A2239" s="51">
        <v>42845</v>
      </c>
      <c r="B2239" s="174" t="s">
        <v>13786</v>
      </c>
      <c r="C2239" s="175"/>
      <c r="D2239" s="176" t="s">
        <v>13786</v>
      </c>
      <c r="E2239" s="176">
        <v>108673</v>
      </c>
      <c r="F2239" s="177" t="s">
        <v>133</v>
      </c>
      <c r="G2239" s="178">
        <v>5731.6</v>
      </c>
      <c r="H2239" s="179">
        <v>42845</v>
      </c>
      <c r="I2239" s="178">
        <f t="shared" si="69"/>
        <v>5731.6</v>
      </c>
      <c r="J2239" s="178">
        <f t="shared" si="70"/>
        <v>0</v>
      </c>
      <c r="K2239" s="21"/>
    </row>
    <row r="2240" spans="1:11" x14ac:dyDescent="0.25">
      <c r="A2240" s="51">
        <v>42845</v>
      </c>
      <c r="B2240" s="174" t="s">
        <v>13787</v>
      </c>
      <c r="C2240" s="175"/>
      <c r="D2240" s="176" t="s">
        <v>13787</v>
      </c>
      <c r="E2240" s="176">
        <v>108674</v>
      </c>
      <c r="F2240" s="177" t="s">
        <v>1259</v>
      </c>
      <c r="G2240" s="178">
        <v>1390.2</v>
      </c>
      <c r="H2240" s="179">
        <v>42846</v>
      </c>
      <c r="I2240" s="178">
        <f t="shared" si="69"/>
        <v>1390.2</v>
      </c>
      <c r="J2240" s="178">
        <f t="shared" si="70"/>
        <v>0</v>
      </c>
      <c r="K2240" s="21"/>
    </row>
    <row r="2241" spans="1:11" x14ac:dyDescent="0.25">
      <c r="A2241" s="51">
        <v>42845</v>
      </c>
      <c r="B2241" s="174" t="s">
        <v>13788</v>
      </c>
      <c r="C2241" s="175"/>
      <c r="D2241" s="176" t="s">
        <v>13788</v>
      </c>
      <c r="E2241" s="176">
        <v>108675</v>
      </c>
      <c r="F2241" s="177" t="s">
        <v>281</v>
      </c>
      <c r="G2241" s="178">
        <v>2089</v>
      </c>
      <c r="H2241" s="179">
        <v>42846</v>
      </c>
      <c r="I2241" s="178">
        <f t="shared" si="69"/>
        <v>2089</v>
      </c>
      <c r="J2241" s="178">
        <f t="shared" si="70"/>
        <v>0</v>
      </c>
      <c r="K2241" s="21"/>
    </row>
    <row r="2242" spans="1:11" x14ac:dyDescent="0.25">
      <c r="A2242" s="51">
        <v>42845</v>
      </c>
      <c r="B2242" s="174" t="s">
        <v>13789</v>
      </c>
      <c r="C2242" s="175"/>
      <c r="D2242" s="176" t="s">
        <v>13789</v>
      </c>
      <c r="E2242" s="176">
        <v>108676</v>
      </c>
      <c r="F2242" s="177" t="s">
        <v>99</v>
      </c>
      <c r="G2242" s="178">
        <v>2365</v>
      </c>
      <c r="H2242" s="179">
        <v>42846</v>
      </c>
      <c r="I2242" s="178">
        <f t="shared" si="69"/>
        <v>2365</v>
      </c>
      <c r="J2242" s="178">
        <f t="shared" si="70"/>
        <v>0</v>
      </c>
      <c r="K2242" s="21"/>
    </row>
    <row r="2243" spans="1:11" x14ac:dyDescent="0.25">
      <c r="A2243" s="51">
        <v>42845</v>
      </c>
      <c r="B2243" s="174" t="s">
        <v>13790</v>
      </c>
      <c r="C2243" s="175"/>
      <c r="D2243" s="176" t="s">
        <v>13790</v>
      </c>
      <c r="E2243" s="176">
        <v>108677</v>
      </c>
      <c r="F2243" s="177" t="s">
        <v>291</v>
      </c>
      <c r="G2243" s="178">
        <v>1918.4</v>
      </c>
      <c r="H2243" s="179">
        <v>42846</v>
      </c>
      <c r="I2243" s="178">
        <f t="shared" si="69"/>
        <v>1918.4</v>
      </c>
      <c r="J2243" s="178">
        <f t="shared" si="70"/>
        <v>0</v>
      </c>
      <c r="K2243" s="21"/>
    </row>
    <row r="2244" spans="1:11" x14ac:dyDescent="0.25">
      <c r="A2244" s="51">
        <v>42845</v>
      </c>
      <c r="B2244" s="174" t="s">
        <v>13791</v>
      </c>
      <c r="C2244" s="175"/>
      <c r="D2244" s="176" t="s">
        <v>13791</v>
      </c>
      <c r="E2244" s="176">
        <v>108678</v>
      </c>
      <c r="F2244" s="177" t="s">
        <v>450</v>
      </c>
      <c r="G2244" s="178">
        <v>1588.4</v>
      </c>
      <c r="H2244" s="179">
        <v>42846</v>
      </c>
      <c r="I2244" s="178">
        <f t="shared" ref="I2244:I2307" si="71">G2244</f>
        <v>1588.4</v>
      </c>
      <c r="J2244" s="178">
        <f t="shared" ref="J2244:J2307" si="72">G2244-I2244</f>
        <v>0</v>
      </c>
      <c r="K2244" s="21"/>
    </row>
    <row r="2245" spans="1:11" x14ac:dyDescent="0.25">
      <c r="A2245" s="51">
        <v>42845</v>
      </c>
      <c r="B2245" s="174" t="s">
        <v>13792</v>
      </c>
      <c r="C2245" s="175"/>
      <c r="D2245" s="176" t="s">
        <v>13792</v>
      </c>
      <c r="E2245" s="176">
        <v>108679</v>
      </c>
      <c r="F2245" s="177" t="s">
        <v>83</v>
      </c>
      <c r="G2245" s="178">
        <v>3889.6</v>
      </c>
      <c r="H2245" s="179">
        <v>42846</v>
      </c>
      <c r="I2245" s="178">
        <f t="shared" si="71"/>
        <v>3889.6</v>
      </c>
      <c r="J2245" s="178">
        <f t="shared" si="72"/>
        <v>0</v>
      </c>
      <c r="K2245" s="21"/>
    </row>
    <row r="2246" spans="1:11" x14ac:dyDescent="0.25">
      <c r="A2246" s="51">
        <v>42845</v>
      </c>
      <c r="B2246" s="174" t="s">
        <v>13793</v>
      </c>
      <c r="C2246" s="175"/>
      <c r="D2246" s="176" t="s">
        <v>13793</v>
      </c>
      <c r="E2246" s="176">
        <v>108680</v>
      </c>
      <c r="F2246" s="177" t="s">
        <v>435</v>
      </c>
      <c r="G2246" s="178">
        <v>2669.6</v>
      </c>
      <c r="H2246" s="179"/>
      <c r="I2246" s="178">
        <f t="shared" si="71"/>
        <v>2669.6</v>
      </c>
      <c r="J2246" s="178">
        <f t="shared" si="72"/>
        <v>0</v>
      </c>
      <c r="K2246" s="21"/>
    </row>
    <row r="2247" spans="1:11" x14ac:dyDescent="0.25">
      <c r="A2247" s="51">
        <v>42845</v>
      </c>
      <c r="B2247" s="174" t="s">
        <v>13794</v>
      </c>
      <c r="C2247" s="175"/>
      <c r="D2247" s="176" t="s">
        <v>13794</v>
      </c>
      <c r="E2247" s="176">
        <v>108681</v>
      </c>
      <c r="F2247" s="177" t="s">
        <v>1256</v>
      </c>
      <c r="G2247" s="178">
        <v>956.5</v>
      </c>
      <c r="H2247" s="179">
        <v>42846</v>
      </c>
      <c r="I2247" s="178">
        <f t="shared" si="71"/>
        <v>956.5</v>
      </c>
      <c r="J2247" s="178">
        <f t="shared" si="72"/>
        <v>0</v>
      </c>
      <c r="K2247" s="21"/>
    </row>
    <row r="2248" spans="1:11" x14ac:dyDescent="0.25">
      <c r="A2248" s="51">
        <v>42845</v>
      </c>
      <c r="B2248" s="174" t="s">
        <v>13795</v>
      </c>
      <c r="C2248" s="175"/>
      <c r="D2248" s="176" t="s">
        <v>13795</v>
      </c>
      <c r="E2248" s="176">
        <v>108682</v>
      </c>
      <c r="F2248" s="177" t="s">
        <v>109</v>
      </c>
      <c r="G2248" s="178">
        <v>4535.5</v>
      </c>
      <c r="H2248" s="179">
        <v>42846</v>
      </c>
      <c r="I2248" s="178">
        <f t="shared" si="71"/>
        <v>4535.5</v>
      </c>
      <c r="J2248" s="178">
        <f t="shared" si="72"/>
        <v>0</v>
      </c>
      <c r="K2248" s="21"/>
    </row>
    <row r="2249" spans="1:11" x14ac:dyDescent="0.25">
      <c r="A2249" s="51">
        <v>42845</v>
      </c>
      <c r="B2249" s="174" t="s">
        <v>13796</v>
      </c>
      <c r="C2249" s="175"/>
      <c r="D2249" s="176" t="s">
        <v>13796</v>
      </c>
      <c r="E2249" s="176">
        <v>108683</v>
      </c>
      <c r="F2249" s="177" t="s">
        <v>1081</v>
      </c>
      <c r="G2249" s="178">
        <v>385</v>
      </c>
      <c r="H2249" s="179">
        <v>42846</v>
      </c>
      <c r="I2249" s="178">
        <f t="shared" si="71"/>
        <v>385</v>
      </c>
      <c r="J2249" s="178">
        <f t="shared" si="72"/>
        <v>0</v>
      </c>
      <c r="K2249" s="21"/>
    </row>
    <row r="2250" spans="1:11" x14ac:dyDescent="0.25">
      <c r="A2250" s="51">
        <v>42845</v>
      </c>
      <c r="B2250" s="174" t="s">
        <v>13797</v>
      </c>
      <c r="C2250" s="175"/>
      <c r="D2250" s="176" t="s">
        <v>13797</v>
      </c>
      <c r="E2250" s="176">
        <v>108684</v>
      </c>
      <c r="F2250" s="177" t="s">
        <v>2392</v>
      </c>
      <c r="G2250" s="178">
        <v>1320</v>
      </c>
      <c r="H2250" s="179">
        <v>42846</v>
      </c>
      <c r="I2250" s="178">
        <f t="shared" si="71"/>
        <v>1320</v>
      </c>
      <c r="J2250" s="178">
        <f t="shared" si="72"/>
        <v>0</v>
      </c>
      <c r="K2250" s="21"/>
    </row>
    <row r="2251" spans="1:11" x14ac:dyDescent="0.25">
      <c r="A2251" s="51">
        <v>42845</v>
      </c>
      <c r="B2251" s="174" t="s">
        <v>13798</v>
      </c>
      <c r="C2251" s="175"/>
      <c r="D2251" s="176" t="s">
        <v>13798</v>
      </c>
      <c r="E2251" s="176">
        <v>108685</v>
      </c>
      <c r="F2251" s="177" t="s">
        <v>289</v>
      </c>
      <c r="G2251" s="178">
        <v>24565.8</v>
      </c>
      <c r="H2251" s="186" t="s">
        <v>13799</v>
      </c>
      <c r="I2251" s="187">
        <f>3473.27+21092.53</f>
        <v>24565.8</v>
      </c>
      <c r="J2251" s="178">
        <f t="shared" si="72"/>
        <v>0</v>
      </c>
      <c r="K2251" s="21"/>
    </row>
    <row r="2252" spans="1:11" x14ac:dyDescent="0.25">
      <c r="A2252" s="51">
        <v>42845</v>
      </c>
      <c r="B2252" s="174" t="s">
        <v>13800</v>
      </c>
      <c r="C2252" s="175"/>
      <c r="D2252" s="176" t="s">
        <v>13800</v>
      </c>
      <c r="E2252" s="176">
        <v>108686</v>
      </c>
      <c r="F2252" s="177" t="s">
        <v>125</v>
      </c>
      <c r="G2252" s="178">
        <v>5854.2</v>
      </c>
      <c r="H2252" s="179">
        <v>42847</v>
      </c>
      <c r="I2252" s="178">
        <f t="shared" si="71"/>
        <v>5854.2</v>
      </c>
      <c r="J2252" s="178">
        <f t="shared" si="72"/>
        <v>0</v>
      </c>
      <c r="K2252" s="21"/>
    </row>
    <row r="2253" spans="1:11" x14ac:dyDescent="0.25">
      <c r="A2253" s="51">
        <v>42845</v>
      </c>
      <c r="B2253" s="174" t="s">
        <v>13801</v>
      </c>
      <c r="C2253" s="175"/>
      <c r="D2253" s="176" t="s">
        <v>13801</v>
      </c>
      <c r="E2253" s="176">
        <v>108687</v>
      </c>
      <c r="F2253" s="177" t="s">
        <v>2986</v>
      </c>
      <c r="G2253" s="178">
        <v>6044.5</v>
      </c>
      <c r="H2253" s="180" t="s">
        <v>13802</v>
      </c>
      <c r="I2253" s="181">
        <f>4000+2044.5</f>
        <v>6044.5</v>
      </c>
      <c r="J2253" s="181">
        <f t="shared" si="72"/>
        <v>0</v>
      </c>
      <c r="K2253" s="21"/>
    </row>
    <row r="2254" spans="1:11" x14ac:dyDescent="0.25">
      <c r="A2254" s="51">
        <v>42845</v>
      </c>
      <c r="B2254" s="174" t="s">
        <v>13803</v>
      </c>
      <c r="C2254" s="175"/>
      <c r="D2254" s="176" t="s">
        <v>13803</v>
      </c>
      <c r="E2254" s="176">
        <v>108688</v>
      </c>
      <c r="F2254" s="177" t="s">
        <v>472</v>
      </c>
      <c r="G2254" s="178">
        <v>22012.7</v>
      </c>
      <c r="H2254" s="179">
        <v>42848</v>
      </c>
      <c r="I2254" s="178">
        <f t="shared" si="71"/>
        <v>22012.7</v>
      </c>
      <c r="J2254" s="178">
        <f t="shared" si="72"/>
        <v>0</v>
      </c>
      <c r="K2254" s="21"/>
    </row>
    <row r="2255" spans="1:11" x14ac:dyDescent="0.25">
      <c r="A2255" s="51">
        <v>42845</v>
      </c>
      <c r="B2255" s="174" t="s">
        <v>13804</v>
      </c>
      <c r="C2255" s="175"/>
      <c r="D2255" s="176" t="s">
        <v>13804</v>
      </c>
      <c r="E2255" s="176">
        <v>108689</v>
      </c>
      <c r="F2255" s="177" t="s">
        <v>476</v>
      </c>
      <c r="G2255" s="178">
        <v>4679.1000000000004</v>
      </c>
      <c r="H2255" s="179">
        <v>42848</v>
      </c>
      <c r="I2255" s="178">
        <f t="shared" si="71"/>
        <v>4679.1000000000004</v>
      </c>
      <c r="J2255" s="178">
        <f t="shared" si="72"/>
        <v>0</v>
      </c>
      <c r="K2255" s="21"/>
    </row>
    <row r="2256" spans="1:11" x14ac:dyDescent="0.25">
      <c r="A2256" s="51">
        <v>42845</v>
      </c>
      <c r="B2256" s="174" t="s">
        <v>13805</v>
      </c>
      <c r="C2256" s="175"/>
      <c r="D2256" s="176" t="s">
        <v>13805</v>
      </c>
      <c r="E2256" s="176">
        <v>108690</v>
      </c>
      <c r="F2256" s="177" t="s">
        <v>492</v>
      </c>
      <c r="G2256" s="178">
        <v>22116</v>
      </c>
      <c r="H2256" s="179">
        <v>42848</v>
      </c>
      <c r="I2256" s="178">
        <f t="shared" si="71"/>
        <v>22116</v>
      </c>
      <c r="J2256" s="178">
        <f t="shared" si="72"/>
        <v>0</v>
      </c>
      <c r="K2256" s="21"/>
    </row>
    <row r="2257" spans="1:11" x14ac:dyDescent="0.25">
      <c r="A2257" s="51">
        <v>42845</v>
      </c>
      <c r="B2257" s="174" t="s">
        <v>13806</v>
      </c>
      <c r="C2257" s="175"/>
      <c r="D2257" s="176" t="s">
        <v>13806</v>
      </c>
      <c r="E2257" s="176">
        <v>108691</v>
      </c>
      <c r="F2257" s="177" t="s">
        <v>1989</v>
      </c>
      <c r="G2257" s="178">
        <v>834.6</v>
      </c>
      <c r="H2257" s="179">
        <v>42846</v>
      </c>
      <c r="I2257" s="178">
        <f t="shared" si="71"/>
        <v>834.6</v>
      </c>
      <c r="J2257" s="178">
        <f t="shared" si="72"/>
        <v>0</v>
      </c>
      <c r="K2257" s="21"/>
    </row>
    <row r="2258" spans="1:11" x14ac:dyDescent="0.25">
      <c r="A2258" s="51">
        <v>42845</v>
      </c>
      <c r="B2258" s="174" t="s">
        <v>13807</v>
      </c>
      <c r="C2258" s="175"/>
      <c r="D2258" s="176" t="s">
        <v>13807</v>
      </c>
      <c r="E2258" s="176">
        <v>108692</v>
      </c>
      <c r="F2258" s="177" t="s">
        <v>305</v>
      </c>
      <c r="G2258" s="178">
        <v>4735.2</v>
      </c>
      <c r="H2258" s="186">
        <v>42856</v>
      </c>
      <c r="I2258" s="187">
        <f t="shared" si="71"/>
        <v>4735.2</v>
      </c>
      <c r="J2258" s="178">
        <f t="shared" si="72"/>
        <v>0</v>
      </c>
      <c r="K2258" s="21"/>
    </row>
    <row r="2259" spans="1:11" x14ac:dyDescent="0.25">
      <c r="A2259" s="51">
        <v>42845</v>
      </c>
      <c r="B2259" s="174" t="s">
        <v>13808</v>
      </c>
      <c r="C2259" s="175"/>
      <c r="D2259" s="176" t="s">
        <v>13808</v>
      </c>
      <c r="E2259" s="176">
        <v>108693</v>
      </c>
      <c r="F2259" s="177" t="s">
        <v>103</v>
      </c>
      <c r="G2259" s="178">
        <v>3112.2</v>
      </c>
      <c r="H2259" s="179">
        <v>42846</v>
      </c>
      <c r="I2259" s="178">
        <f t="shared" si="71"/>
        <v>3112.2</v>
      </c>
      <c r="J2259" s="178">
        <f t="shared" si="72"/>
        <v>0</v>
      </c>
      <c r="K2259" s="21"/>
    </row>
    <row r="2260" spans="1:11" x14ac:dyDescent="0.25">
      <c r="A2260" s="51">
        <v>42845</v>
      </c>
      <c r="B2260" s="174" t="s">
        <v>13809</v>
      </c>
      <c r="C2260" s="175"/>
      <c r="D2260" s="176" t="s">
        <v>13809</v>
      </c>
      <c r="E2260" s="176">
        <v>108694</v>
      </c>
      <c r="F2260" s="177" t="s">
        <v>105</v>
      </c>
      <c r="G2260" s="178">
        <v>2990.4</v>
      </c>
      <c r="H2260" s="184">
        <v>43217</v>
      </c>
      <c r="I2260" s="183">
        <f t="shared" si="71"/>
        <v>2990.4</v>
      </c>
      <c r="J2260" s="178">
        <f t="shared" si="72"/>
        <v>0</v>
      </c>
      <c r="K2260" s="21"/>
    </row>
    <row r="2261" spans="1:11" x14ac:dyDescent="0.25">
      <c r="A2261" s="51">
        <v>42845</v>
      </c>
      <c r="B2261" s="174" t="s">
        <v>13810</v>
      </c>
      <c r="C2261" s="175"/>
      <c r="D2261" s="176" t="s">
        <v>13810</v>
      </c>
      <c r="E2261" s="176">
        <v>108695</v>
      </c>
      <c r="F2261" s="182" t="s">
        <v>120</v>
      </c>
      <c r="G2261" s="183">
        <v>0</v>
      </c>
      <c r="H2261" s="184" t="s">
        <v>95</v>
      </c>
      <c r="I2261" s="183">
        <f t="shared" si="71"/>
        <v>0</v>
      </c>
      <c r="J2261" s="183">
        <f t="shared" si="72"/>
        <v>0</v>
      </c>
      <c r="K2261" s="21"/>
    </row>
    <row r="2262" spans="1:11" x14ac:dyDescent="0.25">
      <c r="A2262" s="51">
        <v>42845</v>
      </c>
      <c r="B2262" s="174" t="s">
        <v>13811</v>
      </c>
      <c r="C2262" s="175"/>
      <c r="D2262" s="176" t="s">
        <v>13811</v>
      </c>
      <c r="E2262" s="176">
        <v>108696</v>
      </c>
      <c r="F2262" s="177" t="s">
        <v>122</v>
      </c>
      <c r="G2262" s="178">
        <v>9462</v>
      </c>
      <c r="H2262" s="184">
        <v>43596</v>
      </c>
      <c r="I2262" s="183">
        <f t="shared" si="71"/>
        <v>9462</v>
      </c>
      <c r="J2262" s="178">
        <f t="shared" si="72"/>
        <v>0</v>
      </c>
      <c r="K2262" s="21"/>
    </row>
    <row r="2263" spans="1:11" x14ac:dyDescent="0.25">
      <c r="A2263" s="51">
        <v>42845</v>
      </c>
      <c r="B2263" s="174" t="s">
        <v>13812</v>
      </c>
      <c r="C2263" s="175"/>
      <c r="D2263" s="176" t="s">
        <v>13812</v>
      </c>
      <c r="E2263" s="176">
        <v>108697</v>
      </c>
      <c r="F2263" s="177" t="s">
        <v>120</v>
      </c>
      <c r="G2263" s="178">
        <v>1296</v>
      </c>
      <c r="H2263" s="179">
        <v>42846</v>
      </c>
      <c r="I2263" s="178">
        <f t="shared" si="71"/>
        <v>1296</v>
      </c>
      <c r="J2263" s="178">
        <f t="shared" si="72"/>
        <v>0</v>
      </c>
      <c r="K2263" s="21"/>
    </row>
    <row r="2264" spans="1:11" x14ac:dyDescent="0.25">
      <c r="A2264" s="51">
        <v>42845</v>
      </c>
      <c r="B2264" s="174" t="s">
        <v>13813</v>
      </c>
      <c r="C2264" s="175"/>
      <c r="D2264" s="176" t="s">
        <v>13813</v>
      </c>
      <c r="E2264" s="176">
        <v>108698</v>
      </c>
      <c r="F2264" s="177" t="s">
        <v>879</v>
      </c>
      <c r="G2264" s="178">
        <v>2915.5</v>
      </c>
      <c r="H2264" s="179">
        <v>42845</v>
      </c>
      <c r="I2264" s="178">
        <f t="shared" si="71"/>
        <v>2915.5</v>
      </c>
      <c r="J2264" s="178">
        <f t="shared" si="72"/>
        <v>0</v>
      </c>
      <c r="K2264" s="21"/>
    </row>
    <row r="2265" spans="1:11" x14ac:dyDescent="0.25">
      <c r="A2265" s="51">
        <v>42845</v>
      </c>
      <c r="B2265" s="174" t="s">
        <v>13814</v>
      </c>
      <c r="C2265" s="175"/>
      <c r="D2265" s="176" t="s">
        <v>13814</v>
      </c>
      <c r="E2265" s="176">
        <v>108699</v>
      </c>
      <c r="F2265" s="177" t="s">
        <v>563</v>
      </c>
      <c r="G2265" s="178">
        <v>407</v>
      </c>
      <c r="H2265" s="179">
        <v>42845</v>
      </c>
      <c r="I2265" s="178">
        <f t="shared" si="71"/>
        <v>407</v>
      </c>
      <c r="J2265" s="178">
        <f t="shared" si="72"/>
        <v>0</v>
      </c>
      <c r="K2265" s="21"/>
    </row>
    <row r="2266" spans="1:11" x14ac:dyDescent="0.25">
      <c r="A2266" s="51">
        <v>42845</v>
      </c>
      <c r="B2266" s="174" t="s">
        <v>13815</v>
      </c>
      <c r="C2266" s="175"/>
      <c r="D2266" s="176" t="s">
        <v>13815</v>
      </c>
      <c r="E2266" s="176">
        <v>108700</v>
      </c>
      <c r="F2266" s="177" t="s">
        <v>321</v>
      </c>
      <c r="G2266" s="178">
        <v>374.8</v>
      </c>
      <c r="H2266" s="179">
        <v>42845</v>
      </c>
      <c r="I2266" s="178">
        <f t="shared" si="71"/>
        <v>374.8</v>
      </c>
      <c r="J2266" s="178">
        <f t="shared" si="72"/>
        <v>0</v>
      </c>
      <c r="K2266" s="21"/>
    </row>
    <row r="2267" spans="1:11" x14ac:dyDescent="0.25">
      <c r="A2267" s="51">
        <v>42845</v>
      </c>
      <c r="B2267" s="174" t="s">
        <v>13816</v>
      </c>
      <c r="C2267" s="175"/>
      <c r="D2267" s="176" t="s">
        <v>13816</v>
      </c>
      <c r="E2267" s="176">
        <v>108701</v>
      </c>
      <c r="F2267" s="177" t="s">
        <v>10</v>
      </c>
      <c r="G2267" s="178">
        <v>153381.94</v>
      </c>
      <c r="H2267" s="179">
        <v>42846</v>
      </c>
      <c r="I2267" s="178">
        <f t="shared" si="71"/>
        <v>153381.94</v>
      </c>
      <c r="J2267" s="178">
        <f t="shared" si="72"/>
        <v>0</v>
      </c>
      <c r="K2267" s="21"/>
    </row>
    <row r="2268" spans="1:11" x14ac:dyDescent="0.25">
      <c r="A2268" s="51">
        <v>42845</v>
      </c>
      <c r="B2268" s="174" t="s">
        <v>13817</v>
      </c>
      <c r="C2268" s="175"/>
      <c r="D2268" s="176" t="s">
        <v>13817</v>
      </c>
      <c r="E2268" s="176">
        <v>108702</v>
      </c>
      <c r="F2268" s="177" t="s">
        <v>61</v>
      </c>
      <c r="G2268" s="178">
        <v>5855.2</v>
      </c>
      <c r="H2268" s="179">
        <v>42846</v>
      </c>
      <c r="I2268" s="178">
        <f t="shared" si="71"/>
        <v>5855.2</v>
      </c>
      <c r="J2268" s="178">
        <f t="shared" si="72"/>
        <v>0</v>
      </c>
      <c r="K2268" s="21"/>
    </row>
    <row r="2269" spans="1:11" x14ac:dyDescent="0.25">
      <c r="A2269" s="51">
        <v>42845</v>
      </c>
      <c r="B2269" s="174" t="s">
        <v>13818</v>
      </c>
      <c r="C2269" s="175"/>
      <c r="D2269" s="176" t="s">
        <v>13818</v>
      </c>
      <c r="E2269" s="176">
        <v>108703</v>
      </c>
      <c r="F2269" s="177" t="s">
        <v>30</v>
      </c>
      <c r="G2269" s="178">
        <v>1911.7</v>
      </c>
      <c r="H2269" s="179">
        <v>42845</v>
      </c>
      <c r="I2269" s="178">
        <f t="shared" si="71"/>
        <v>1911.7</v>
      </c>
      <c r="J2269" s="178">
        <f t="shared" si="72"/>
        <v>0</v>
      </c>
      <c r="K2269" s="21"/>
    </row>
    <row r="2270" spans="1:11" x14ac:dyDescent="0.25">
      <c r="A2270" s="51">
        <v>42845</v>
      </c>
      <c r="B2270" s="174" t="s">
        <v>13819</v>
      </c>
      <c r="C2270" s="175"/>
      <c r="D2270" s="176" t="s">
        <v>13819</v>
      </c>
      <c r="E2270" s="176">
        <v>108704</v>
      </c>
      <c r="F2270" s="177" t="s">
        <v>63</v>
      </c>
      <c r="G2270" s="178">
        <v>768.4</v>
      </c>
      <c r="H2270" s="179">
        <v>42846</v>
      </c>
      <c r="I2270" s="178">
        <f t="shared" si="71"/>
        <v>768.4</v>
      </c>
      <c r="J2270" s="178">
        <f t="shared" si="72"/>
        <v>0</v>
      </c>
      <c r="K2270" s="21"/>
    </row>
    <row r="2271" spans="1:11" x14ac:dyDescent="0.25">
      <c r="A2271" s="51">
        <v>42845</v>
      </c>
      <c r="B2271" s="174" t="s">
        <v>13820</v>
      </c>
      <c r="C2271" s="175"/>
      <c r="D2271" s="176" t="s">
        <v>13820</v>
      </c>
      <c r="E2271" s="176">
        <v>108705</v>
      </c>
      <c r="F2271" s="177" t="s">
        <v>10</v>
      </c>
      <c r="G2271" s="178">
        <v>43993.48</v>
      </c>
      <c r="H2271" s="179">
        <v>42846</v>
      </c>
      <c r="I2271" s="178">
        <f t="shared" si="71"/>
        <v>43993.48</v>
      </c>
      <c r="J2271" s="178">
        <f t="shared" si="72"/>
        <v>0</v>
      </c>
      <c r="K2271" s="21"/>
    </row>
    <row r="2272" spans="1:11" x14ac:dyDescent="0.25">
      <c r="A2272" s="51">
        <v>42845</v>
      </c>
      <c r="B2272" s="174" t="s">
        <v>13821</v>
      </c>
      <c r="C2272" s="175"/>
      <c r="D2272" s="176" t="s">
        <v>13821</v>
      </c>
      <c r="E2272" s="176">
        <v>108706</v>
      </c>
      <c r="F2272" s="177" t="s">
        <v>930</v>
      </c>
      <c r="G2272" s="178">
        <v>5517.45</v>
      </c>
      <c r="H2272" s="179">
        <v>42845</v>
      </c>
      <c r="I2272" s="178">
        <f t="shared" si="71"/>
        <v>5517.45</v>
      </c>
      <c r="J2272" s="178">
        <f t="shared" si="72"/>
        <v>0</v>
      </c>
      <c r="K2272" s="21"/>
    </row>
    <row r="2273" spans="1:11" x14ac:dyDescent="0.25">
      <c r="A2273" s="51">
        <v>42845</v>
      </c>
      <c r="B2273" s="174" t="s">
        <v>13822</v>
      </c>
      <c r="C2273" s="175"/>
      <c r="D2273" s="176" t="s">
        <v>13822</v>
      </c>
      <c r="E2273" s="176">
        <v>108707</v>
      </c>
      <c r="F2273" s="177" t="s">
        <v>57</v>
      </c>
      <c r="G2273" s="178">
        <v>774</v>
      </c>
      <c r="H2273" s="179">
        <v>42846</v>
      </c>
      <c r="I2273" s="178">
        <f t="shared" si="71"/>
        <v>774</v>
      </c>
      <c r="J2273" s="178">
        <f t="shared" si="72"/>
        <v>0</v>
      </c>
      <c r="K2273" s="21"/>
    </row>
    <row r="2274" spans="1:11" x14ac:dyDescent="0.25">
      <c r="A2274" s="51">
        <v>42845</v>
      </c>
      <c r="B2274" s="174" t="s">
        <v>13823</v>
      </c>
      <c r="C2274" s="175"/>
      <c r="D2274" s="176" t="s">
        <v>13823</v>
      </c>
      <c r="E2274" s="176">
        <v>108708</v>
      </c>
      <c r="F2274" s="177" t="s">
        <v>47</v>
      </c>
      <c r="G2274" s="178">
        <v>372.4</v>
      </c>
      <c r="H2274" s="179">
        <v>42845</v>
      </c>
      <c r="I2274" s="178">
        <f t="shared" si="71"/>
        <v>372.4</v>
      </c>
      <c r="J2274" s="178">
        <f t="shared" si="72"/>
        <v>0</v>
      </c>
      <c r="K2274" s="21"/>
    </row>
    <row r="2275" spans="1:11" x14ac:dyDescent="0.25">
      <c r="A2275" s="51">
        <v>42845</v>
      </c>
      <c r="B2275" s="174" t="s">
        <v>13824</v>
      </c>
      <c r="C2275" s="175"/>
      <c r="D2275" s="176" t="s">
        <v>13824</v>
      </c>
      <c r="E2275" s="176">
        <v>108709</v>
      </c>
      <c r="F2275" s="177" t="s">
        <v>133</v>
      </c>
      <c r="G2275" s="178">
        <v>13287.6</v>
      </c>
      <c r="H2275" s="184">
        <v>43217</v>
      </c>
      <c r="I2275" s="183">
        <f t="shared" si="71"/>
        <v>13287.6</v>
      </c>
      <c r="J2275" s="178">
        <f t="shared" si="72"/>
        <v>0</v>
      </c>
      <c r="K2275" s="21"/>
    </row>
    <row r="2276" spans="1:11" x14ac:dyDescent="0.25">
      <c r="A2276" s="51">
        <v>42845</v>
      </c>
      <c r="B2276" s="174" t="s">
        <v>13825</v>
      </c>
      <c r="C2276" s="175"/>
      <c r="D2276" s="176" t="s">
        <v>13825</v>
      </c>
      <c r="E2276" s="176">
        <v>108710</v>
      </c>
      <c r="F2276" s="177" t="s">
        <v>609</v>
      </c>
      <c r="G2276" s="178">
        <v>45721.2</v>
      </c>
      <c r="H2276" s="184">
        <v>42853</v>
      </c>
      <c r="I2276" s="183">
        <f t="shared" si="71"/>
        <v>45721.2</v>
      </c>
      <c r="J2276" s="178">
        <f t="shared" si="72"/>
        <v>0</v>
      </c>
      <c r="K2276" s="19"/>
    </row>
    <row r="2277" spans="1:11" x14ac:dyDescent="0.25">
      <c r="A2277" s="51">
        <v>42845</v>
      </c>
      <c r="B2277" s="174" t="s">
        <v>13826</v>
      </c>
      <c r="C2277" s="175"/>
      <c r="D2277" s="176" t="s">
        <v>13826</v>
      </c>
      <c r="E2277" s="176">
        <v>108711</v>
      </c>
      <c r="F2277" s="177" t="s">
        <v>45</v>
      </c>
      <c r="G2277" s="178">
        <v>10892</v>
      </c>
      <c r="H2277" s="179">
        <v>42846</v>
      </c>
      <c r="I2277" s="178">
        <f t="shared" si="71"/>
        <v>10892</v>
      </c>
      <c r="J2277" s="178">
        <f t="shared" si="72"/>
        <v>0</v>
      </c>
      <c r="K2277" s="19"/>
    </row>
    <row r="2278" spans="1:11" x14ac:dyDescent="0.25">
      <c r="A2278" s="51">
        <v>42845</v>
      </c>
      <c r="B2278" s="174" t="s">
        <v>13827</v>
      </c>
      <c r="C2278" s="175"/>
      <c r="D2278" s="176" t="s">
        <v>13827</v>
      </c>
      <c r="E2278" s="176">
        <v>108712</v>
      </c>
      <c r="F2278" s="177" t="s">
        <v>30</v>
      </c>
      <c r="G2278" s="178">
        <v>1843.6</v>
      </c>
      <c r="H2278" s="179">
        <v>42845</v>
      </c>
      <c r="I2278" s="178">
        <f t="shared" si="71"/>
        <v>1843.6</v>
      </c>
      <c r="J2278" s="178">
        <f t="shared" si="72"/>
        <v>0</v>
      </c>
      <c r="K2278" s="19"/>
    </row>
    <row r="2279" spans="1:11" x14ac:dyDescent="0.25">
      <c r="A2279" s="51">
        <v>42845</v>
      </c>
      <c r="B2279" s="174" t="s">
        <v>13828</v>
      </c>
      <c r="C2279" s="175"/>
      <c r="D2279" s="176" t="s">
        <v>13828</v>
      </c>
      <c r="E2279" s="176">
        <v>108713</v>
      </c>
      <c r="F2279" s="177" t="s">
        <v>113</v>
      </c>
      <c r="G2279" s="178">
        <v>2027.2</v>
      </c>
      <c r="H2279" s="179">
        <v>42846</v>
      </c>
      <c r="I2279" s="178">
        <f t="shared" si="71"/>
        <v>2027.2</v>
      </c>
      <c r="J2279" s="178">
        <f t="shared" si="72"/>
        <v>0</v>
      </c>
      <c r="K2279" s="19"/>
    </row>
    <row r="2280" spans="1:11" x14ac:dyDescent="0.25">
      <c r="A2280" s="51">
        <v>42845</v>
      </c>
      <c r="B2280" s="174" t="s">
        <v>13829</v>
      </c>
      <c r="C2280" s="175"/>
      <c r="D2280" s="176" t="s">
        <v>13829</v>
      </c>
      <c r="E2280" s="176">
        <v>108714</v>
      </c>
      <c r="F2280" s="177" t="s">
        <v>1293</v>
      </c>
      <c r="G2280" s="178">
        <v>344.6</v>
      </c>
      <c r="H2280" s="179">
        <v>42846</v>
      </c>
      <c r="I2280" s="178">
        <f t="shared" si="71"/>
        <v>344.6</v>
      </c>
      <c r="J2280" s="178">
        <f t="shared" si="72"/>
        <v>0</v>
      </c>
      <c r="K2280" s="19"/>
    </row>
    <row r="2281" spans="1:11" x14ac:dyDescent="0.25">
      <c r="A2281" s="51">
        <v>42845</v>
      </c>
      <c r="B2281" s="174" t="s">
        <v>13830</v>
      </c>
      <c r="C2281" s="175"/>
      <c r="D2281" s="176" t="s">
        <v>13830</v>
      </c>
      <c r="E2281" s="176">
        <v>108715</v>
      </c>
      <c r="F2281" s="177" t="s">
        <v>5292</v>
      </c>
      <c r="G2281" s="178">
        <v>10245.200000000001</v>
      </c>
      <c r="H2281" s="179">
        <v>42846</v>
      </c>
      <c r="I2281" s="178">
        <f t="shared" si="71"/>
        <v>10245.200000000001</v>
      </c>
      <c r="J2281" s="178">
        <f t="shared" si="72"/>
        <v>0</v>
      </c>
      <c r="K2281" s="19"/>
    </row>
    <row r="2282" spans="1:11" x14ac:dyDescent="0.25">
      <c r="A2282" s="51">
        <v>42845</v>
      </c>
      <c r="B2282" s="174" t="s">
        <v>13831</v>
      </c>
      <c r="C2282" s="175"/>
      <c r="D2282" s="176" t="s">
        <v>13831</v>
      </c>
      <c r="E2282" s="176">
        <v>108716</v>
      </c>
      <c r="F2282" s="177" t="s">
        <v>302</v>
      </c>
      <c r="G2282" s="178">
        <v>7629.1</v>
      </c>
      <c r="H2282" s="179">
        <v>42849</v>
      </c>
      <c r="I2282" s="178">
        <f t="shared" si="71"/>
        <v>7629.1</v>
      </c>
      <c r="J2282" s="178">
        <f t="shared" si="72"/>
        <v>0</v>
      </c>
      <c r="K2282" s="19"/>
    </row>
    <row r="2283" spans="1:11" x14ac:dyDescent="0.25">
      <c r="A2283" s="51">
        <v>42845</v>
      </c>
      <c r="B2283" s="174" t="s">
        <v>13832</v>
      </c>
      <c r="C2283" s="175"/>
      <c r="D2283" s="176" t="s">
        <v>13832</v>
      </c>
      <c r="E2283" s="176">
        <v>108717</v>
      </c>
      <c r="F2283" s="182" t="s">
        <v>30</v>
      </c>
      <c r="G2283" s="183">
        <v>0</v>
      </c>
      <c r="H2283" s="184" t="s">
        <v>95</v>
      </c>
      <c r="I2283" s="183">
        <f t="shared" si="71"/>
        <v>0</v>
      </c>
      <c r="J2283" s="183">
        <f t="shared" si="72"/>
        <v>0</v>
      </c>
      <c r="K2283" s="19"/>
    </row>
    <row r="2284" spans="1:11" x14ac:dyDescent="0.25">
      <c r="A2284" s="51">
        <v>42845</v>
      </c>
      <c r="B2284" s="174" t="s">
        <v>13833</v>
      </c>
      <c r="C2284" s="175"/>
      <c r="D2284" s="176" t="s">
        <v>13833</v>
      </c>
      <c r="E2284" s="176">
        <v>108718</v>
      </c>
      <c r="F2284" s="177" t="s">
        <v>30</v>
      </c>
      <c r="G2284" s="178">
        <v>1711.8</v>
      </c>
      <c r="H2284" s="179">
        <v>42845</v>
      </c>
      <c r="I2284" s="178">
        <f t="shared" si="71"/>
        <v>1711.8</v>
      </c>
      <c r="J2284" s="178">
        <f t="shared" si="72"/>
        <v>0</v>
      </c>
      <c r="K2284" s="19"/>
    </row>
    <row r="2285" spans="1:11" x14ac:dyDescent="0.25">
      <c r="A2285" s="51">
        <v>42845</v>
      </c>
      <c r="B2285" s="174" t="s">
        <v>13834</v>
      </c>
      <c r="C2285" s="175"/>
      <c r="D2285" s="176" t="s">
        <v>13834</v>
      </c>
      <c r="E2285" s="176">
        <v>108719</v>
      </c>
      <c r="F2285" s="177" t="s">
        <v>205</v>
      </c>
      <c r="G2285" s="178">
        <v>19239.8</v>
      </c>
      <c r="H2285" s="179">
        <v>42845</v>
      </c>
      <c r="I2285" s="178">
        <f t="shared" si="71"/>
        <v>19239.8</v>
      </c>
      <c r="J2285" s="178">
        <f t="shared" si="72"/>
        <v>0</v>
      </c>
      <c r="K2285" s="19"/>
    </row>
    <row r="2286" spans="1:11" x14ac:dyDescent="0.25">
      <c r="A2286" s="51">
        <v>42845</v>
      </c>
      <c r="B2286" s="174" t="s">
        <v>13835</v>
      </c>
      <c r="C2286" s="175"/>
      <c r="D2286" s="176" t="s">
        <v>13835</v>
      </c>
      <c r="E2286" s="176">
        <v>108720</v>
      </c>
      <c r="F2286" s="177" t="s">
        <v>9</v>
      </c>
      <c r="G2286" s="178">
        <v>10588.3</v>
      </c>
      <c r="H2286" s="184">
        <v>42853</v>
      </c>
      <c r="I2286" s="183">
        <f t="shared" si="71"/>
        <v>10588.3</v>
      </c>
      <c r="J2286" s="178">
        <f t="shared" si="72"/>
        <v>0</v>
      </c>
      <c r="K2286" s="19"/>
    </row>
    <row r="2287" spans="1:11" x14ac:dyDescent="0.25">
      <c r="A2287" s="51">
        <v>42845</v>
      </c>
      <c r="B2287" s="174" t="s">
        <v>13836</v>
      </c>
      <c r="C2287" s="175"/>
      <c r="D2287" s="176" t="s">
        <v>13836</v>
      </c>
      <c r="E2287" s="176">
        <v>108721</v>
      </c>
      <c r="F2287" s="177" t="s">
        <v>193</v>
      </c>
      <c r="G2287" s="178">
        <v>1860.6</v>
      </c>
      <c r="H2287" s="179">
        <v>42846</v>
      </c>
      <c r="I2287" s="178">
        <f t="shared" si="71"/>
        <v>1860.6</v>
      </c>
      <c r="J2287" s="178">
        <f t="shared" si="72"/>
        <v>0</v>
      </c>
      <c r="K2287" s="19"/>
    </row>
    <row r="2288" spans="1:11" x14ac:dyDescent="0.25">
      <c r="A2288" s="51">
        <v>42845</v>
      </c>
      <c r="B2288" s="174" t="s">
        <v>13837</v>
      </c>
      <c r="C2288" s="175"/>
      <c r="D2288" s="176" t="s">
        <v>13837</v>
      </c>
      <c r="E2288" s="176">
        <v>108722</v>
      </c>
      <c r="F2288" s="177" t="s">
        <v>1163</v>
      </c>
      <c r="G2288" s="178">
        <v>25023.599999999999</v>
      </c>
      <c r="H2288" s="179">
        <v>42846</v>
      </c>
      <c r="I2288" s="178">
        <f t="shared" si="71"/>
        <v>25023.599999999999</v>
      </c>
      <c r="J2288" s="178">
        <f t="shared" si="72"/>
        <v>0</v>
      </c>
      <c r="K2288" s="19"/>
    </row>
    <row r="2289" spans="1:11" x14ac:dyDescent="0.25">
      <c r="A2289" s="51">
        <v>42845</v>
      </c>
      <c r="B2289" s="174" t="s">
        <v>13838</v>
      </c>
      <c r="C2289" s="175"/>
      <c r="D2289" s="176" t="s">
        <v>13838</v>
      </c>
      <c r="E2289" s="176">
        <v>108723</v>
      </c>
      <c r="F2289" s="177" t="s">
        <v>656</v>
      </c>
      <c r="G2289" s="178">
        <v>3060</v>
      </c>
      <c r="H2289" s="179">
        <v>42846</v>
      </c>
      <c r="I2289" s="178">
        <f t="shared" si="71"/>
        <v>3060</v>
      </c>
      <c r="J2289" s="178">
        <f t="shared" si="72"/>
        <v>0</v>
      </c>
      <c r="K2289" s="19"/>
    </row>
    <row r="2290" spans="1:11" x14ac:dyDescent="0.25">
      <c r="A2290" s="51">
        <v>42845</v>
      </c>
      <c r="B2290" s="174" t="s">
        <v>13839</v>
      </c>
      <c r="C2290" s="175"/>
      <c r="D2290" s="176" t="s">
        <v>13839</v>
      </c>
      <c r="E2290" s="176">
        <v>108724</v>
      </c>
      <c r="F2290" s="177" t="s">
        <v>3425</v>
      </c>
      <c r="G2290" s="178">
        <v>484.8</v>
      </c>
      <c r="H2290" s="179"/>
      <c r="I2290" s="178">
        <f t="shared" si="71"/>
        <v>484.8</v>
      </c>
      <c r="J2290" s="178">
        <f t="shared" si="72"/>
        <v>0</v>
      </c>
      <c r="K2290" s="19"/>
    </row>
    <row r="2291" spans="1:11" x14ac:dyDescent="0.25">
      <c r="A2291" s="51">
        <v>42845</v>
      </c>
      <c r="B2291" s="174" t="s">
        <v>13840</v>
      </c>
      <c r="C2291" s="175"/>
      <c r="D2291" s="176" t="s">
        <v>13840</v>
      </c>
      <c r="E2291" s="176">
        <v>108725</v>
      </c>
      <c r="F2291" s="177" t="s">
        <v>226</v>
      </c>
      <c r="G2291" s="178">
        <v>7847</v>
      </c>
      <c r="H2291" s="179">
        <v>42846</v>
      </c>
      <c r="I2291" s="178">
        <f t="shared" si="71"/>
        <v>7847</v>
      </c>
      <c r="J2291" s="178">
        <f t="shared" si="72"/>
        <v>0</v>
      </c>
      <c r="K2291" s="19"/>
    </row>
    <row r="2292" spans="1:11" x14ac:dyDescent="0.25">
      <c r="A2292" s="51">
        <v>42845</v>
      </c>
      <c r="B2292" s="174" t="s">
        <v>13841</v>
      </c>
      <c r="C2292" s="175"/>
      <c r="D2292" s="176" t="s">
        <v>13841</v>
      </c>
      <c r="E2292" s="176">
        <v>108726</v>
      </c>
      <c r="F2292" s="177" t="s">
        <v>773</v>
      </c>
      <c r="G2292" s="178">
        <v>4829.6000000000004</v>
      </c>
      <c r="H2292" s="179">
        <v>42845</v>
      </c>
      <c r="I2292" s="178">
        <f t="shared" si="71"/>
        <v>4829.6000000000004</v>
      </c>
      <c r="J2292" s="178">
        <f t="shared" si="72"/>
        <v>0</v>
      </c>
      <c r="K2292" s="19"/>
    </row>
    <row r="2293" spans="1:11" x14ac:dyDescent="0.25">
      <c r="A2293" s="51">
        <v>42845</v>
      </c>
      <c r="B2293" s="174" t="s">
        <v>13842</v>
      </c>
      <c r="C2293" s="175"/>
      <c r="D2293" s="176" t="s">
        <v>13842</v>
      </c>
      <c r="E2293" s="176">
        <v>108727</v>
      </c>
      <c r="F2293" s="177" t="s">
        <v>289</v>
      </c>
      <c r="G2293" s="178">
        <v>31250.560000000001</v>
      </c>
      <c r="H2293" s="184">
        <v>42854</v>
      </c>
      <c r="I2293" s="183">
        <f t="shared" si="71"/>
        <v>31250.560000000001</v>
      </c>
      <c r="J2293" s="178">
        <f t="shared" si="72"/>
        <v>0</v>
      </c>
      <c r="K2293" s="19"/>
    </row>
    <row r="2294" spans="1:11" x14ac:dyDescent="0.25">
      <c r="A2294" s="51">
        <v>42845</v>
      </c>
      <c r="B2294" s="174" t="s">
        <v>13843</v>
      </c>
      <c r="C2294" s="175"/>
      <c r="D2294" s="176" t="s">
        <v>13843</v>
      </c>
      <c r="E2294" s="176">
        <v>108728</v>
      </c>
      <c r="F2294" s="177" t="s">
        <v>838</v>
      </c>
      <c r="G2294" s="178">
        <v>1541.6</v>
      </c>
      <c r="H2294" s="179">
        <v>42846</v>
      </c>
      <c r="I2294" s="178">
        <f t="shared" si="71"/>
        <v>1541.6</v>
      </c>
      <c r="J2294" s="178">
        <f t="shared" si="72"/>
        <v>0</v>
      </c>
      <c r="K2294" s="19"/>
    </row>
    <row r="2295" spans="1:11" x14ac:dyDescent="0.25">
      <c r="A2295" s="51">
        <v>42845</v>
      </c>
      <c r="B2295" s="174" t="s">
        <v>13844</v>
      </c>
      <c r="C2295" s="175"/>
      <c r="D2295" s="176" t="s">
        <v>13844</v>
      </c>
      <c r="E2295" s="176">
        <v>108729</v>
      </c>
      <c r="F2295" s="177" t="s">
        <v>236</v>
      </c>
      <c r="G2295" s="178">
        <v>31090.880000000001</v>
      </c>
      <c r="H2295" s="179">
        <v>42847</v>
      </c>
      <c r="I2295" s="178">
        <f t="shared" si="71"/>
        <v>31090.880000000001</v>
      </c>
      <c r="J2295" s="178">
        <f t="shared" si="72"/>
        <v>0</v>
      </c>
      <c r="K2295" s="19"/>
    </row>
    <row r="2296" spans="1:11" x14ac:dyDescent="0.25">
      <c r="A2296" s="51">
        <v>42845</v>
      </c>
      <c r="B2296" s="174" t="s">
        <v>13845</v>
      </c>
      <c r="C2296" s="175"/>
      <c r="D2296" s="176" t="s">
        <v>13845</v>
      </c>
      <c r="E2296" s="176">
        <v>108730</v>
      </c>
      <c r="F2296" s="177" t="s">
        <v>352</v>
      </c>
      <c r="G2296" s="178">
        <v>2525.6</v>
      </c>
      <c r="H2296" s="179">
        <v>42845</v>
      </c>
      <c r="I2296" s="178">
        <f t="shared" si="71"/>
        <v>2525.6</v>
      </c>
      <c r="J2296" s="178">
        <f t="shared" si="72"/>
        <v>0</v>
      </c>
      <c r="K2296" s="19"/>
    </row>
    <row r="2297" spans="1:11" x14ac:dyDescent="0.25">
      <c r="A2297" s="51">
        <v>42845</v>
      </c>
      <c r="B2297" s="174" t="s">
        <v>13846</v>
      </c>
      <c r="C2297" s="175"/>
      <c r="D2297" s="176" t="s">
        <v>13846</v>
      </c>
      <c r="E2297" s="176">
        <v>108731</v>
      </c>
      <c r="F2297" s="177" t="s">
        <v>12</v>
      </c>
      <c r="G2297" s="178">
        <v>960.48</v>
      </c>
      <c r="H2297" s="179">
        <v>42846</v>
      </c>
      <c r="I2297" s="178">
        <f t="shared" si="71"/>
        <v>960.48</v>
      </c>
      <c r="J2297" s="178">
        <f t="shared" si="72"/>
        <v>0</v>
      </c>
      <c r="K2297" s="19"/>
    </row>
    <row r="2298" spans="1:11" x14ac:dyDescent="0.25">
      <c r="A2298" s="51">
        <v>42845</v>
      </c>
      <c r="B2298" s="174" t="s">
        <v>13847</v>
      </c>
      <c r="C2298" s="175"/>
      <c r="D2298" s="176" t="s">
        <v>13847</v>
      </c>
      <c r="E2298" s="176">
        <v>108732</v>
      </c>
      <c r="F2298" s="182" t="s">
        <v>352</v>
      </c>
      <c r="G2298" s="183">
        <v>0</v>
      </c>
      <c r="H2298" s="184" t="s">
        <v>95</v>
      </c>
      <c r="I2298" s="183">
        <f t="shared" si="71"/>
        <v>0</v>
      </c>
      <c r="J2298" s="183">
        <f t="shared" si="72"/>
        <v>0</v>
      </c>
      <c r="K2298" s="19"/>
    </row>
    <row r="2299" spans="1:11" x14ac:dyDescent="0.25">
      <c r="A2299" s="51">
        <v>42845</v>
      </c>
      <c r="B2299" s="174" t="s">
        <v>13848</v>
      </c>
      <c r="C2299" s="175"/>
      <c r="D2299" s="176" t="s">
        <v>13848</v>
      </c>
      <c r="E2299" s="176">
        <v>108733</v>
      </c>
      <c r="F2299" s="177" t="s">
        <v>352</v>
      </c>
      <c r="G2299" s="178">
        <v>123.41</v>
      </c>
      <c r="H2299" s="179">
        <v>42845</v>
      </c>
      <c r="I2299" s="178">
        <f t="shared" si="71"/>
        <v>123.41</v>
      </c>
      <c r="J2299" s="178">
        <f t="shared" si="72"/>
        <v>0</v>
      </c>
      <c r="K2299" s="19"/>
    </row>
    <row r="2300" spans="1:11" x14ac:dyDescent="0.25">
      <c r="A2300" s="51">
        <v>42845</v>
      </c>
      <c r="B2300" s="174" t="s">
        <v>13849</v>
      </c>
      <c r="C2300" s="175"/>
      <c r="D2300" s="176" t="s">
        <v>13849</v>
      </c>
      <c r="E2300" s="176">
        <v>108734</v>
      </c>
      <c r="F2300" s="177" t="s">
        <v>697</v>
      </c>
      <c r="G2300" s="178">
        <v>23976.799999999999</v>
      </c>
      <c r="H2300" s="186">
        <v>42851</v>
      </c>
      <c r="I2300" s="187">
        <f t="shared" si="71"/>
        <v>23976.799999999999</v>
      </c>
      <c r="J2300" s="178">
        <f t="shared" si="72"/>
        <v>0</v>
      </c>
      <c r="K2300" s="19"/>
    </row>
    <row r="2301" spans="1:11" x14ac:dyDescent="0.25">
      <c r="A2301" s="51">
        <v>42845</v>
      </c>
      <c r="B2301" s="174" t="s">
        <v>13850</v>
      </c>
      <c r="C2301" s="175"/>
      <c r="D2301" s="176" t="s">
        <v>13850</v>
      </c>
      <c r="E2301" s="176">
        <v>108735</v>
      </c>
      <c r="F2301" s="177" t="s">
        <v>677</v>
      </c>
      <c r="G2301" s="178">
        <v>2974.8</v>
      </c>
      <c r="H2301" s="179">
        <v>42847</v>
      </c>
      <c r="I2301" s="178">
        <f t="shared" si="71"/>
        <v>2974.8</v>
      </c>
      <c r="J2301" s="178">
        <f t="shared" si="72"/>
        <v>0</v>
      </c>
      <c r="K2301" s="19"/>
    </row>
    <row r="2302" spans="1:11" x14ac:dyDescent="0.25">
      <c r="A2302" s="51">
        <v>42845</v>
      </c>
      <c r="B2302" s="174" t="s">
        <v>13851</v>
      </c>
      <c r="C2302" s="175"/>
      <c r="D2302" s="176" t="s">
        <v>13851</v>
      </c>
      <c r="E2302" s="176">
        <v>108736</v>
      </c>
      <c r="F2302" s="177" t="s">
        <v>677</v>
      </c>
      <c r="G2302" s="178">
        <v>2270</v>
      </c>
      <c r="H2302" s="179">
        <v>42847</v>
      </c>
      <c r="I2302" s="178">
        <f t="shared" si="71"/>
        <v>2270</v>
      </c>
      <c r="J2302" s="178">
        <f t="shared" si="72"/>
        <v>0</v>
      </c>
      <c r="K2302" s="19"/>
    </row>
    <row r="2303" spans="1:11" x14ac:dyDescent="0.25">
      <c r="A2303" s="51">
        <v>42845</v>
      </c>
      <c r="B2303" s="174" t="s">
        <v>13852</v>
      </c>
      <c r="C2303" s="175"/>
      <c r="D2303" s="176" t="s">
        <v>13852</v>
      </c>
      <c r="E2303" s="176">
        <v>108737</v>
      </c>
      <c r="F2303" s="177" t="s">
        <v>680</v>
      </c>
      <c r="G2303" s="178">
        <v>2592.3000000000002</v>
      </c>
      <c r="H2303" s="179">
        <v>42847</v>
      </c>
      <c r="I2303" s="178">
        <f t="shared" si="71"/>
        <v>2592.3000000000002</v>
      </c>
      <c r="J2303" s="178">
        <f t="shared" si="72"/>
        <v>0</v>
      </c>
      <c r="K2303" s="19"/>
    </row>
    <row r="2304" spans="1:11" x14ac:dyDescent="0.25">
      <c r="A2304" s="51">
        <v>42845</v>
      </c>
      <c r="B2304" s="174" t="s">
        <v>13853</v>
      </c>
      <c r="C2304" s="175"/>
      <c r="D2304" s="176" t="s">
        <v>13853</v>
      </c>
      <c r="E2304" s="176">
        <v>108738</v>
      </c>
      <c r="F2304" s="177" t="s">
        <v>1197</v>
      </c>
      <c r="G2304" s="178">
        <v>8865.7999999999993</v>
      </c>
      <c r="H2304" s="179">
        <v>42847</v>
      </c>
      <c r="I2304" s="178">
        <f t="shared" si="71"/>
        <v>8865.7999999999993</v>
      </c>
      <c r="J2304" s="178">
        <f t="shared" si="72"/>
        <v>0</v>
      </c>
      <c r="K2304" s="19"/>
    </row>
    <row r="2305" spans="1:11" x14ac:dyDescent="0.25">
      <c r="A2305" s="51">
        <v>42845</v>
      </c>
      <c r="B2305" s="174" t="s">
        <v>13854</v>
      </c>
      <c r="C2305" s="175"/>
      <c r="D2305" s="176" t="s">
        <v>13854</v>
      </c>
      <c r="E2305" s="176">
        <v>108739</v>
      </c>
      <c r="F2305" s="177" t="s">
        <v>670</v>
      </c>
      <c r="G2305" s="178">
        <v>125843.5</v>
      </c>
      <c r="H2305" s="186">
        <v>42851</v>
      </c>
      <c r="I2305" s="187">
        <f t="shared" si="71"/>
        <v>125843.5</v>
      </c>
      <c r="J2305" s="178">
        <f t="shared" si="72"/>
        <v>0</v>
      </c>
      <c r="K2305" s="19"/>
    </row>
    <row r="2306" spans="1:11" x14ac:dyDescent="0.25">
      <c r="A2306" s="51">
        <v>42845</v>
      </c>
      <c r="B2306" s="174" t="s">
        <v>13855</v>
      </c>
      <c r="C2306" s="175"/>
      <c r="D2306" s="176" t="s">
        <v>13855</v>
      </c>
      <c r="E2306" s="176">
        <v>108740</v>
      </c>
      <c r="F2306" s="182" t="s">
        <v>682</v>
      </c>
      <c r="G2306" s="183">
        <v>0</v>
      </c>
      <c r="H2306" s="184" t="s">
        <v>95</v>
      </c>
      <c r="I2306" s="183">
        <f t="shared" si="71"/>
        <v>0</v>
      </c>
      <c r="J2306" s="183">
        <f t="shared" si="72"/>
        <v>0</v>
      </c>
      <c r="K2306" s="19"/>
    </row>
    <row r="2307" spans="1:11" x14ac:dyDescent="0.25">
      <c r="A2307" s="51">
        <v>42845</v>
      </c>
      <c r="B2307" s="174" t="s">
        <v>13856</v>
      </c>
      <c r="C2307" s="175"/>
      <c r="D2307" s="176" t="s">
        <v>13856</v>
      </c>
      <c r="E2307" s="176">
        <v>108741</v>
      </c>
      <c r="F2307" s="182" t="s">
        <v>688</v>
      </c>
      <c r="G2307" s="183">
        <v>0</v>
      </c>
      <c r="H2307" s="184" t="s">
        <v>95</v>
      </c>
      <c r="I2307" s="183">
        <f t="shared" si="71"/>
        <v>0</v>
      </c>
      <c r="J2307" s="183">
        <f t="shared" si="72"/>
        <v>0</v>
      </c>
      <c r="K2307" s="19"/>
    </row>
    <row r="2308" spans="1:11" x14ac:dyDescent="0.25">
      <c r="A2308" s="51">
        <v>42845</v>
      </c>
      <c r="B2308" s="174" t="s">
        <v>13857</v>
      </c>
      <c r="C2308" s="175"/>
      <c r="D2308" s="176" t="s">
        <v>13857</v>
      </c>
      <c r="E2308" s="176">
        <v>108742</v>
      </c>
      <c r="F2308" s="177" t="s">
        <v>47</v>
      </c>
      <c r="G2308" s="178">
        <v>707.6</v>
      </c>
      <c r="H2308" s="179">
        <v>42845</v>
      </c>
      <c r="I2308" s="178">
        <f t="shared" ref="I2308:I2371" si="73">G2308</f>
        <v>707.6</v>
      </c>
      <c r="J2308" s="178">
        <f t="shared" ref="J2308:J2371" si="74">G2308-I2308</f>
        <v>0</v>
      </c>
      <c r="K2308" s="19"/>
    </row>
    <row r="2309" spans="1:11" x14ac:dyDescent="0.25">
      <c r="A2309" s="51">
        <v>42845</v>
      </c>
      <c r="B2309" s="174" t="s">
        <v>13858</v>
      </c>
      <c r="C2309" s="175"/>
      <c r="D2309" s="176" t="s">
        <v>13858</v>
      </c>
      <c r="E2309" s="176">
        <v>108743</v>
      </c>
      <c r="F2309" s="177" t="s">
        <v>686</v>
      </c>
      <c r="G2309" s="178">
        <v>22293</v>
      </c>
      <c r="H2309" s="179">
        <v>42847</v>
      </c>
      <c r="I2309" s="178">
        <f t="shared" si="73"/>
        <v>22293</v>
      </c>
      <c r="J2309" s="178">
        <f t="shared" si="74"/>
        <v>0</v>
      </c>
      <c r="K2309" s="19"/>
    </row>
    <row r="2310" spans="1:11" x14ac:dyDescent="0.25">
      <c r="A2310" s="51">
        <v>42845</v>
      </c>
      <c r="B2310" s="174" t="s">
        <v>13859</v>
      </c>
      <c r="C2310" s="175"/>
      <c r="D2310" s="176" t="s">
        <v>13859</v>
      </c>
      <c r="E2310" s="176">
        <v>108744</v>
      </c>
      <c r="F2310" s="177" t="s">
        <v>682</v>
      </c>
      <c r="G2310" s="178">
        <v>9716.2000000000007</v>
      </c>
      <c r="H2310" s="179">
        <v>42847</v>
      </c>
      <c r="I2310" s="178">
        <f t="shared" si="73"/>
        <v>9716.2000000000007</v>
      </c>
      <c r="J2310" s="178">
        <f t="shared" si="74"/>
        <v>0</v>
      </c>
      <c r="K2310" s="19"/>
    </row>
    <row r="2311" spans="1:11" x14ac:dyDescent="0.25">
      <c r="A2311" s="51">
        <v>42845</v>
      </c>
      <c r="B2311" s="174" t="s">
        <v>13860</v>
      </c>
      <c r="C2311" s="175"/>
      <c r="D2311" s="176" t="s">
        <v>13860</v>
      </c>
      <c r="E2311" s="176">
        <v>108745</v>
      </c>
      <c r="F2311" s="177" t="s">
        <v>688</v>
      </c>
      <c r="G2311" s="178">
        <v>9381.2000000000007</v>
      </c>
      <c r="H2311" s="179">
        <v>42847</v>
      </c>
      <c r="I2311" s="178">
        <f t="shared" si="73"/>
        <v>9381.2000000000007</v>
      </c>
      <c r="J2311" s="178">
        <f t="shared" si="74"/>
        <v>0</v>
      </c>
      <c r="K2311" s="19"/>
    </row>
    <row r="2312" spans="1:11" x14ac:dyDescent="0.25">
      <c r="A2312" s="51">
        <v>42845</v>
      </c>
      <c r="B2312" s="174" t="s">
        <v>13861</v>
      </c>
      <c r="C2312" s="175"/>
      <c r="D2312" s="176" t="s">
        <v>13861</v>
      </c>
      <c r="E2312" s="176">
        <v>108746</v>
      </c>
      <c r="F2312" s="177" t="s">
        <v>665</v>
      </c>
      <c r="G2312" s="178">
        <v>62222.8</v>
      </c>
      <c r="H2312" s="184">
        <v>42854</v>
      </c>
      <c r="I2312" s="183">
        <f t="shared" si="73"/>
        <v>62222.8</v>
      </c>
      <c r="J2312" s="178">
        <f t="shared" si="74"/>
        <v>0</v>
      </c>
      <c r="K2312" s="19"/>
    </row>
    <row r="2313" spans="1:11" x14ac:dyDescent="0.25">
      <c r="A2313" s="51">
        <v>42845</v>
      </c>
      <c r="B2313" s="174" t="s">
        <v>13862</v>
      </c>
      <c r="C2313" s="175"/>
      <c r="D2313" s="176" t="s">
        <v>13862</v>
      </c>
      <c r="E2313" s="176">
        <v>108747</v>
      </c>
      <c r="F2313" s="177" t="s">
        <v>10</v>
      </c>
      <c r="G2313" s="178">
        <v>181891.1</v>
      </c>
      <c r="H2313" s="179" t="s">
        <v>13600</v>
      </c>
      <c r="I2313" s="178">
        <f>32909.48+148981.62</f>
        <v>181891.1</v>
      </c>
      <c r="J2313" s="178">
        <f t="shared" si="74"/>
        <v>0</v>
      </c>
      <c r="K2313" s="19"/>
    </row>
    <row r="2314" spans="1:11" x14ac:dyDescent="0.25">
      <c r="A2314" s="51">
        <v>42845</v>
      </c>
      <c r="B2314" s="174" t="s">
        <v>13863</v>
      </c>
      <c r="C2314" s="175"/>
      <c r="D2314" s="176" t="s">
        <v>13863</v>
      </c>
      <c r="E2314" s="176">
        <v>108748</v>
      </c>
      <c r="F2314" s="177" t="s">
        <v>236</v>
      </c>
      <c r="G2314" s="178">
        <v>30262.400000000001</v>
      </c>
      <c r="H2314" s="179">
        <v>42847</v>
      </c>
      <c r="I2314" s="178">
        <f t="shared" si="73"/>
        <v>30262.400000000001</v>
      </c>
      <c r="J2314" s="178">
        <f t="shared" si="74"/>
        <v>0</v>
      </c>
      <c r="K2314" s="19"/>
    </row>
    <row r="2315" spans="1:11" x14ac:dyDescent="0.25">
      <c r="A2315" s="51">
        <v>42845</v>
      </c>
      <c r="B2315" s="174" t="s">
        <v>13864</v>
      </c>
      <c r="C2315" s="175"/>
      <c r="D2315" s="176" t="s">
        <v>13864</v>
      </c>
      <c r="E2315" s="176">
        <v>108749</v>
      </c>
      <c r="F2315" s="177" t="s">
        <v>686</v>
      </c>
      <c r="G2315" s="178">
        <v>2723.6</v>
      </c>
      <c r="H2315" s="179">
        <v>42847</v>
      </c>
      <c r="I2315" s="178">
        <f t="shared" si="73"/>
        <v>2723.6</v>
      </c>
      <c r="J2315" s="178">
        <f t="shared" si="74"/>
        <v>0</v>
      </c>
      <c r="K2315" s="19"/>
    </row>
    <row r="2316" spans="1:11" x14ac:dyDescent="0.25">
      <c r="A2316" s="51">
        <v>42845</v>
      </c>
      <c r="B2316" s="174" t="s">
        <v>13865</v>
      </c>
      <c r="C2316" s="175"/>
      <c r="D2316" s="176" t="s">
        <v>13865</v>
      </c>
      <c r="E2316" s="176">
        <v>108750</v>
      </c>
      <c r="F2316" s="177" t="s">
        <v>405</v>
      </c>
      <c r="G2316" s="178">
        <v>5233.2</v>
      </c>
      <c r="H2316" s="179">
        <v>42846</v>
      </c>
      <c r="I2316" s="178">
        <f t="shared" si="73"/>
        <v>5233.2</v>
      </c>
      <c r="J2316" s="178">
        <f t="shared" si="74"/>
        <v>0</v>
      </c>
      <c r="K2316" s="19"/>
    </row>
    <row r="2317" spans="1:11" x14ac:dyDescent="0.25">
      <c r="A2317" s="51">
        <v>42845</v>
      </c>
      <c r="B2317" s="174" t="s">
        <v>13866</v>
      </c>
      <c r="C2317" s="175"/>
      <c r="D2317" s="176" t="s">
        <v>13866</v>
      </c>
      <c r="E2317" s="176">
        <v>108751</v>
      </c>
      <c r="F2317" s="177" t="s">
        <v>921</v>
      </c>
      <c r="G2317" s="178">
        <v>10386.6</v>
      </c>
      <c r="H2317" s="179">
        <v>42846</v>
      </c>
      <c r="I2317" s="178">
        <f t="shared" si="73"/>
        <v>10386.6</v>
      </c>
      <c r="J2317" s="178">
        <f t="shared" si="74"/>
        <v>0</v>
      </c>
      <c r="K2317" s="19"/>
    </row>
    <row r="2318" spans="1:11" x14ac:dyDescent="0.25">
      <c r="A2318" s="51">
        <v>42845</v>
      </c>
      <c r="B2318" s="174" t="s">
        <v>13867</v>
      </c>
      <c r="C2318" s="175"/>
      <c r="D2318" s="176" t="s">
        <v>13867</v>
      </c>
      <c r="E2318" s="176">
        <v>108752</v>
      </c>
      <c r="F2318" s="177" t="s">
        <v>1589</v>
      </c>
      <c r="G2318" s="178">
        <v>11280.2</v>
      </c>
      <c r="H2318" s="179">
        <v>42847</v>
      </c>
      <c r="I2318" s="178">
        <f t="shared" si="73"/>
        <v>11280.2</v>
      </c>
      <c r="J2318" s="178">
        <f t="shared" si="74"/>
        <v>0</v>
      </c>
      <c r="K2318" s="19"/>
    </row>
    <row r="2319" spans="1:11" x14ac:dyDescent="0.25">
      <c r="A2319" s="51">
        <v>42845</v>
      </c>
      <c r="B2319" s="174" t="s">
        <v>13868</v>
      </c>
      <c r="C2319" s="175"/>
      <c r="D2319" s="176" t="s">
        <v>13868</v>
      </c>
      <c r="E2319" s="176">
        <v>108753</v>
      </c>
      <c r="F2319" s="177" t="s">
        <v>670</v>
      </c>
      <c r="G2319" s="178">
        <v>44866.400000000001</v>
      </c>
      <c r="H2319" s="186">
        <v>42851</v>
      </c>
      <c r="I2319" s="187">
        <f t="shared" si="73"/>
        <v>44866.400000000001</v>
      </c>
      <c r="J2319" s="178">
        <f t="shared" si="74"/>
        <v>0</v>
      </c>
      <c r="K2319" s="19"/>
    </row>
    <row r="2320" spans="1:11" x14ac:dyDescent="0.25">
      <c r="A2320" s="51">
        <v>42845</v>
      </c>
      <c r="B2320" s="174" t="s">
        <v>13869</v>
      </c>
      <c r="C2320" s="175"/>
      <c r="D2320" s="176" t="s">
        <v>13869</v>
      </c>
      <c r="E2320" s="176">
        <v>108754</v>
      </c>
      <c r="F2320" s="177" t="s">
        <v>220</v>
      </c>
      <c r="G2320" s="178">
        <v>2906.8</v>
      </c>
      <c r="H2320" s="179">
        <v>42846</v>
      </c>
      <c r="I2320" s="178">
        <f t="shared" si="73"/>
        <v>2906.8</v>
      </c>
      <c r="J2320" s="178">
        <f t="shared" si="74"/>
        <v>0</v>
      </c>
      <c r="K2320" s="19"/>
    </row>
    <row r="2321" spans="1:11" x14ac:dyDescent="0.25">
      <c r="A2321" s="51">
        <v>42845</v>
      </c>
      <c r="B2321" s="174" t="s">
        <v>13870</v>
      </c>
      <c r="C2321" s="175"/>
      <c r="D2321" s="176" t="s">
        <v>13870</v>
      </c>
      <c r="E2321" s="176">
        <v>108755</v>
      </c>
      <c r="F2321" s="177" t="s">
        <v>9754</v>
      </c>
      <c r="G2321" s="178">
        <v>32825.599999999999</v>
      </c>
      <c r="H2321" s="179">
        <v>42849</v>
      </c>
      <c r="I2321" s="178">
        <f t="shared" si="73"/>
        <v>32825.599999999999</v>
      </c>
      <c r="J2321" s="178">
        <f t="shared" si="74"/>
        <v>0</v>
      </c>
      <c r="K2321" s="19"/>
    </row>
    <row r="2322" spans="1:11" x14ac:dyDescent="0.25">
      <c r="A2322" s="51">
        <v>42846</v>
      </c>
      <c r="B2322" s="174" t="s">
        <v>13871</v>
      </c>
      <c r="C2322" s="175"/>
      <c r="D2322" s="176" t="s">
        <v>13871</v>
      </c>
      <c r="E2322" s="176">
        <v>108756</v>
      </c>
      <c r="F2322" s="177" t="s">
        <v>231</v>
      </c>
      <c r="G2322" s="178">
        <v>6212.6</v>
      </c>
      <c r="H2322" s="179">
        <v>42847</v>
      </c>
      <c r="I2322" s="178">
        <f t="shared" si="73"/>
        <v>6212.6</v>
      </c>
      <c r="J2322" s="178">
        <f t="shared" si="74"/>
        <v>0</v>
      </c>
      <c r="K2322" s="19"/>
    </row>
    <row r="2323" spans="1:11" x14ac:dyDescent="0.25">
      <c r="A2323" s="51">
        <v>42846</v>
      </c>
      <c r="B2323" s="174" t="s">
        <v>13872</v>
      </c>
      <c r="C2323" s="175"/>
      <c r="D2323" s="176" t="s">
        <v>13872</v>
      </c>
      <c r="E2323" s="176">
        <v>108757</v>
      </c>
      <c r="F2323" s="177" t="s">
        <v>231</v>
      </c>
      <c r="G2323" s="178">
        <v>161.19999999999999</v>
      </c>
      <c r="H2323" s="179"/>
      <c r="I2323" s="178">
        <f t="shared" si="73"/>
        <v>161.19999999999999</v>
      </c>
      <c r="J2323" s="178">
        <f t="shared" si="74"/>
        <v>0</v>
      </c>
      <c r="K2323" s="19"/>
    </row>
    <row r="2324" spans="1:11" x14ac:dyDescent="0.25">
      <c r="A2324" s="51">
        <v>42846</v>
      </c>
      <c r="B2324" s="174" t="s">
        <v>13873</v>
      </c>
      <c r="C2324" s="175"/>
      <c r="D2324" s="176" t="s">
        <v>13873</v>
      </c>
      <c r="E2324" s="176">
        <v>108758</v>
      </c>
      <c r="F2324" s="177" t="s">
        <v>231</v>
      </c>
      <c r="G2324" s="178">
        <v>117.8</v>
      </c>
      <c r="H2324" s="179">
        <v>42846</v>
      </c>
      <c r="I2324" s="178">
        <f t="shared" si="73"/>
        <v>117.8</v>
      </c>
      <c r="J2324" s="178">
        <f t="shared" si="74"/>
        <v>0</v>
      </c>
      <c r="K2324" s="19"/>
    </row>
    <row r="2325" spans="1:11" x14ac:dyDescent="0.25">
      <c r="A2325" s="51">
        <v>42846</v>
      </c>
      <c r="B2325" s="174" t="s">
        <v>13874</v>
      </c>
      <c r="C2325" s="175"/>
      <c r="D2325" s="176" t="s">
        <v>13874</v>
      </c>
      <c r="E2325" s="176">
        <v>108759</v>
      </c>
      <c r="F2325" s="177" t="s">
        <v>231</v>
      </c>
      <c r="G2325" s="178">
        <v>32628.2</v>
      </c>
      <c r="H2325" s="179">
        <v>42846</v>
      </c>
      <c r="I2325" s="178">
        <f t="shared" si="73"/>
        <v>32628.2</v>
      </c>
      <c r="J2325" s="178">
        <f t="shared" si="74"/>
        <v>0</v>
      </c>
      <c r="K2325" s="19"/>
    </row>
    <row r="2326" spans="1:11" x14ac:dyDescent="0.25">
      <c r="A2326" s="51">
        <v>42846</v>
      </c>
      <c r="B2326" s="174" t="s">
        <v>13875</v>
      </c>
      <c r="C2326" s="175"/>
      <c r="D2326" s="176" t="s">
        <v>13875</v>
      </c>
      <c r="E2326" s="176">
        <v>108760</v>
      </c>
      <c r="F2326" s="177" t="s">
        <v>231</v>
      </c>
      <c r="G2326" s="178">
        <v>110.4</v>
      </c>
      <c r="H2326" s="179">
        <v>42846</v>
      </c>
      <c r="I2326" s="178">
        <f t="shared" si="73"/>
        <v>110.4</v>
      </c>
      <c r="J2326" s="178">
        <f t="shared" si="74"/>
        <v>0</v>
      </c>
      <c r="K2326" s="19"/>
    </row>
    <row r="2327" spans="1:11" x14ac:dyDescent="0.25">
      <c r="A2327" s="51">
        <v>42846</v>
      </c>
      <c r="B2327" s="174" t="s">
        <v>13876</v>
      </c>
      <c r="C2327" s="175"/>
      <c r="D2327" s="176" t="s">
        <v>13876</v>
      </c>
      <c r="E2327" s="176">
        <v>108761</v>
      </c>
      <c r="F2327" s="177" t="s">
        <v>374</v>
      </c>
      <c r="G2327" s="178">
        <v>6160.2</v>
      </c>
      <c r="H2327" s="179">
        <v>42846</v>
      </c>
      <c r="I2327" s="178">
        <f t="shared" si="73"/>
        <v>6160.2</v>
      </c>
      <c r="J2327" s="178">
        <f t="shared" si="74"/>
        <v>0</v>
      </c>
      <c r="K2327" s="19"/>
    </row>
    <row r="2328" spans="1:11" x14ac:dyDescent="0.25">
      <c r="A2328" s="51">
        <v>42846</v>
      </c>
      <c r="B2328" s="174" t="s">
        <v>13877</v>
      </c>
      <c r="C2328" s="175"/>
      <c r="D2328" s="176" t="s">
        <v>13877</v>
      </c>
      <c r="E2328" s="176">
        <v>108762</v>
      </c>
      <c r="F2328" s="177" t="s">
        <v>222</v>
      </c>
      <c r="G2328" s="178">
        <v>33948.6</v>
      </c>
      <c r="H2328" s="184">
        <v>42852</v>
      </c>
      <c r="I2328" s="183">
        <f t="shared" si="73"/>
        <v>33948.6</v>
      </c>
      <c r="J2328" s="203">
        <f t="shared" si="74"/>
        <v>0</v>
      </c>
      <c r="K2328" s="19"/>
    </row>
    <row r="2329" spans="1:11" x14ac:dyDescent="0.25">
      <c r="A2329" s="51">
        <v>42846</v>
      </c>
      <c r="B2329" s="174" t="s">
        <v>13878</v>
      </c>
      <c r="C2329" s="175"/>
      <c r="D2329" s="176" t="s">
        <v>13878</v>
      </c>
      <c r="E2329" s="176">
        <v>108763</v>
      </c>
      <c r="F2329" s="177" t="s">
        <v>509</v>
      </c>
      <c r="G2329" s="178">
        <v>24000.6</v>
      </c>
      <c r="H2329" s="184">
        <v>42853</v>
      </c>
      <c r="I2329" s="183">
        <f t="shared" si="73"/>
        <v>24000.6</v>
      </c>
      <c r="J2329" s="178">
        <f t="shared" si="74"/>
        <v>0</v>
      </c>
      <c r="K2329" s="19"/>
    </row>
    <row r="2330" spans="1:11" x14ac:dyDescent="0.25">
      <c r="A2330" s="51">
        <v>42846</v>
      </c>
      <c r="B2330" s="174" t="s">
        <v>13879</v>
      </c>
      <c r="C2330" s="175"/>
      <c r="D2330" s="176" t="s">
        <v>13879</v>
      </c>
      <c r="E2330" s="176">
        <v>108764</v>
      </c>
      <c r="F2330" s="177" t="s">
        <v>28</v>
      </c>
      <c r="G2330" s="178">
        <v>13361.4</v>
      </c>
      <c r="H2330" s="179">
        <v>42846</v>
      </c>
      <c r="I2330" s="178">
        <f t="shared" si="73"/>
        <v>13361.4</v>
      </c>
      <c r="J2330" s="178">
        <f t="shared" si="74"/>
        <v>0</v>
      </c>
      <c r="K2330" s="19"/>
    </row>
    <row r="2331" spans="1:11" x14ac:dyDescent="0.25">
      <c r="A2331" s="51">
        <v>42846</v>
      </c>
      <c r="B2331" s="174" t="s">
        <v>13880</v>
      </c>
      <c r="C2331" s="175"/>
      <c r="D2331" s="176" t="s">
        <v>13880</v>
      </c>
      <c r="E2331" s="176">
        <v>108765</v>
      </c>
      <c r="F2331" s="177" t="s">
        <v>17</v>
      </c>
      <c r="G2331" s="178">
        <v>2365</v>
      </c>
      <c r="H2331" s="179">
        <v>42846</v>
      </c>
      <c r="I2331" s="178">
        <f t="shared" si="73"/>
        <v>2365</v>
      </c>
      <c r="J2331" s="178">
        <f t="shared" si="74"/>
        <v>0</v>
      </c>
      <c r="K2331" s="19"/>
    </row>
    <row r="2332" spans="1:11" x14ac:dyDescent="0.25">
      <c r="A2332" s="51">
        <v>42846</v>
      </c>
      <c r="B2332" s="174" t="s">
        <v>13881</v>
      </c>
      <c r="C2332" s="175"/>
      <c r="D2332" s="176" t="s">
        <v>13881</v>
      </c>
      <c r="E2332" s="176">
        <v>108766</v>
      </c>
      <c r="F2332" s="177" t="s">
        <v>12</v>
      </c>
      <c r="G2332" s="178">
        <v>1831.2</v>
      </c>
      <c r="H2332" s="179">
        <v>42846</v>
      </c>
      <c r="I2332" s="178">
        <f t="shared" si="73"/>
        <v>1831.2</v>
      </c>
      <c r="J2332" s="178">
        <f t="shared" si="74"/>
        <v>0</v>
      </c>
      <c r="K2332" s="19"/>
    </row>
    <row r="2333" spans="1:11" x14ac:dyDescent="0.25">
      <c r="A2333" s="51">
        <v>42846</v>
      </c>
      <c r="B2333" s="174" t="s">
        <v>13882</v>
      </c>
      <c r="C2333" s="175"/>
      <c r="D2333" s="176" t="s">
        <v>13882</v>
      </c>
      <c r="E2333" s="176">
        <v>108767</v>
      </c>
      <c r="F2333" s="177" t="s">
        <v>236</v>
      </c>
      <c r="G2333" s="178">
        <v>31901.4</v>
      </c>
      <c r="H2333" s="179">
        <v>42847</v>
      </c>
      <c r="I2333" s="178">
        <f t="shared" si="73"/>
        <v>31901.4</v>
      </c>
      <c r="J2333" s="178">
        <f t="shared" si="74"/>
        <v>0</v>
      </c>
      <c r="K2333" s="19"/>
    </row>
    <row r="2334" spans="1:11" x14ac:dyDescent="0.25">
      <c r="A2334" s="51">
        <v>42846</v>
      </c>
      <c r="B2334" s="174" t="s">
        <v>13883</v>
      </c>
      <c r="C2334" s="175"/>
      <c r="D2334" s="176" t="s">
        <v>13883</v>
      </c>
      <c r="E2334" s="176">
        <v>108768</v>
      </c>
      <c r="F2334" s="177" t="s">
        <v>428</v>
      </c>
      <c r="G2334" s="178">
        <v>1380.3</v>
      </c>
      <c r="H2334" s="179">
        <v>42849</v>
      </c>
      <c r="I2334" s="178">
        <f t="shared" si="73"/>
        <v>1380.3</v>
      </c>
      <c r="J2334" s="178">
        <f t="shared" si="74"/>
        <v>0</v>
      </c>
      <c r="K2334" s="19"/>
    </row>
    <row r="2335" spans="1:11" x14ac:dyDescent="0.25">
      <c r="A2335" s="51">
        <v>42846</v>
      </c>
      <c r="B2335" s="174" t="s">
        <v>13884</v>
      </c>
      <c r="C2335" s="175"/>
      <c r="D2335" s="176" t="s">
        <v>13884</v>
      </c>
      <c r="E2335" s="176">
        <v>108769</v>
      </c>
      <c r="F2335" s="177" t="s">
        <v>26</v>
      </c>
      <c r="G2335" s="178">
        <v>12543.6</v>
      </c>
      <c r="H2335" s="179">
        <v>42846</v>
      </c>
      <c r="I2335" s="178">
        <f t="shared" si="73"/>
        <v>12543.6</v>
      </c>
      <c r="J2335" s="178">
        <f t="shared" si="74"/>
        <v>0</v>
      </c>
      <c r="K2335" s="19"/>
    </row>
    <row r="2336" spans="1:11" x14ac:dyDescent="0.25">
      <c r="A2336" s="51">
        <v>42846</v>
      </c>
      <c r="B2336" s="174" t="s">
        <v>13885</v>
      </c>
      <c r="C2336" s="175"/>
      <c r="D2336" s="176" t="s">
        <v>13885</v>
      </c>
      <c r="E2336" s="176">
        <v>108770</v>
      </c>
      <c r="F2336" s="177" t="s">
        <v>32</v>
      </c>
      <c r="G2336" s="178">
        <v>2907.8</v>
      </c>
      <c r="H2336" s="184">
        <v>43217</v>
      </c>
      <c r="I2336" s="183">
        <f t="shared" si="73"/>
        <v>2907.8</v>
      </c>
      <c r="J2336" s="178">
        <f t="shared" si="74"/>
        <v>0</v>
      </c>
      <c r="K2336" s="19"/>
    </row>
    <row r="2337" spans="1:11" x14ac:dyDescent="0.25">
      <c r="A2337" s="51">
        <v>42846</v>
      </c>
      <c r="B2337" s="174" t="s">
        <v>13886</v>
      </c>
      <c r="C2337" s="175"/>
      <c r="D2337" s="176" t="s">
        <v>13886</v>
      </c>
      <c r="E2337" s="176">
        <v>108771</v>
      </c>
      <c r="F2337" s="177" t="s">
        <v>432</v>
      </c>
      <c r="G2337" s="178">
        <v>14895.4</v>
      </c>
      <c r="H2337" s="186">
        <v>42851</v>
      </c>
      <c r="I2337" s="187">
        <f t="shared" si="73"/>
        <v>14895.4</v>
      </c>
      <c r="J2337" s="178">
        <f t="shared" si="74"/>
        <v>0</v>
      </c>
      <c r="K2337" s="19"/>
    </row>
    <row r="2338" spans="1:11" x14ac:dyDescent="0.25">
      <c r="A2338" s="51">
        <v>42846</v>
      </c>
      <c r="B2338" s="174" t="s">
        <v>13887</v>
      </c>
      <c r="C2338" s="175"/>
      <c r="D2338" s="176" t="s">
        <v>13887</v>
      </c>
      <c r="E2338" s="176">
        <v>108772</v>
      </c>
      <c r="F2338" s="177" t="s">
        <v>38</v>
      </c>
      <c r="G2338" s="178">
        <v>3088.8</v>
      </c>
      <c r="H2338" s="186" t="s">
        <v>13888</v>
      </c>
      <c r="I2338" s="187">
        <f>2000+1088.8</f>
        <v>3088.8</v>
      </c>
      <c r="J2338" s="188">
        <f t="shared" si="74"/>
        <v>0</v>
      </c>
      <c r="K2338" s="19"/>
    </row>
    <row r="2339" spans="1:11" x14ac:dyDescent="0.25">
      <c r="A2339" s="51">
        <v>42846</v>
      </c>
      <c r="B2339" s="174" t="s">
        <v>13889</v>
      </c>
      <c r="C2339" s="175"/>
      <c r="D2339" s="176" t="s">
        <v>13889</v>
      </c>
      <c r="E2339" s="176">
        <v>108773</v>
      </c>
      <c r="F2339" s="177" t="s">
        <v>1666</v>
      </c>
      <c r="G2339" s="178">
        <v>14555.4</v>
      </c>
      <c r="H2339" s="186">
        <v>42851</v>
      </c>
      <c r="I2339" s="187">
        <f t="shared" si="73"/>
        <v>14555.4</v>
      </c>
      <c r="J2339" s="178">
        <f t="shared" si="74"/>
        <v>0</v>
      </c>
      <c r="K2339" s="19"/>
    </row>
    <row r="2340" spans="1:11" x14ac:dyDescent="0.25">
      <c r="A2340" s="51">
        <v>42846</v>
      </c>
      <c r="B2340" s="174" t="s">
        <v>13890</v>
      </c>
      <c r="C2340" s="175"/>
      <c r="D2340" s="176" t="s">
        <v>13890</v>
      </c>
      <c r="E2340" s="176">
        <v>108774</v>
      </c>
      <c r="F2340" s="177" t="s">
        <v>35</v>
      </c>
      <c r="G2340" s="178">
        <v>8857.2000000000007</v>
      </c>
      <c r="H2340" s="179">
        <v>42846</v>
      </c>
      <c r="I2340" s="178">
        <f t="shared" si="73"/>
        <v>8857.2000000000007</v>
      </c>
      <c r="J2340" s="178">
        <f t="shared" si="74"/>
        <v>0</v>
      </c>
      <c r="K2340" s="19"/>
    </row>
    <row r="2341" spans="1:11" x14ac:dyDescent="0.25">
      <c r="A2341" s="51">
        <v>42846</v>
      </c>
      <c r="B2341" s="174" t="s">
        <v>13891</v>
      </c>
      <c r="C2341" s="175"/>
      <c r="D2341" s="176" t="s">
        <v>13891</v>
      </c>
      <c r="E2341" s="176">
        <v>108775</v>
      </c>
      <c r="F2341" s="177" t="s">
        <v>49</v>
      </c>
      <c r="G2341" s="178">
        <v>8685.6</v>
      </c>
      <c r="H2341" s="179">
        <v>42850</v>
      </c>
      <c r="I2341" s="178">
        <f t="shared" si="73"/>
        <v>8685.6</v>
      </c>
      <c r="J2341" s="178">
        <f t="shared" si="74"/>
        <v>0</v>
      </c>
      <c r="K2341" s="19"/>
    </row>
    <row r="2342" spans="1:11" x14ac:dyDescent="0.25">
      <c r="A2342" s="51">
        <v>42846</v>
      </c>
      <c r="B2342" s="174" t="s">
        <v>13892</v>
      </c>
      <c r="C2342" s="175"/>
      <c r="D2342" s="176" t="s">
        <v>13892</v>
      </c>
      <c r="E2342" s="176">
        <v>108776</v>
      </c>
      <c r="F2342" s="177" t="s">
        <v>19</v>
      </c>
      <c r="G2342" s="178">
        <v>1290</v>
      </c>
      <c r="H2342" s="179">
        <v>42846</v>
      </c>
      <c r="I2342" s="178">
        <f t="shared" si="73"/>
        <v>1290</v>
      </c>
      <c r="J2342" s="178">
        <f t="shared" si="74"/>
        <v>0</v>
      </c>
      <c r="K2342" s="19"/>
    </row>
    <row r="2343" spans="1:11" x14ac:dyDescent="0.25">
      <c r="A2343" s="51">
        <v>42846</v>
      </c>
      <c r="B2343" s="174" t="s">
        <v>13893</v>
      </c>
      <c r="C2343" s="175"/>
      <c r="D2343" s="176" t="s">
        <v>13893</v>
      </c>
      <c r="E2343" s="176">
        <v>108777</v>
      </c>
      <c r="F2343" s="177" t="s">
        <v>10</v>
      </c>
      <c r="G2343" s="178">
        <v>18681.3</v>
      </c>
      <c r="H2343" s="179">
        <v>42849</v>
      </c>
      <c r="I2343" s="178">
        <f t="shared" si="73"/>
        <v>18681.3</v>
      </c>
      <c r="J2343" s="178">
        <f t="shared" si="74"/>
        <v>0</v>
      </c>
      <c r="K2343" s="19"/>
    </row>
    <row r="2344" spans="1:11" x14ac:dyDescent="0.25">
      <c r="A2344" s="51">
        <v>42846</v>
      </c>
      <c r="B2344" s="174" t="s">
        <v>13894</v>
      </c>
      <c r="C2344" s="175"/>
      <c r="D2344" s="176" t="s">
        <v>13894</v>
      </c>
      <c r="E2344" s="176">
        <v>108778</v>
      </c>
      <c r="F2344" s="177" t="s">
        <v>1645</v>
      </c>
      <c r="G2344" s="178">
        <v>1982.8</v>
      </c>
      <c r="H2344" s="179">
        <v>42846</v>
      </c>
      <c r="I2344" s="178">
        <f t="shared" si="73"/>
        <v>1982.8</v>
      </c>
      <c r="J2344" s="178">
        <f t="shared" si="74"/>
        <v>0</v>
      </c>
      <c r="K2344" s="19"/>
    </row>
    <row r="2345" spans="1:11" x14ac:dyDescent="0.25">
      <c r="A2345" s="51">
        <v>42846</v>
      </c>
      <c r="B2345" s="174" t="s">
        <v>13895</v>
      </c>
      <c r="C2345" s="175"/>
      <c r="D2345" s="176" t="s">
        <v>13895</v>
      </c>
      <c r="E2345" s="176">
        <v>108779</v>
      </c>
      <c r="F2345" s="177" t="s">
        <v>1870</v>
      </c>
      <c r="G2345" s="178">
        <v>2259.4</v>
      </c>
      <c r="H2345" s="179">
        <v>42846</v>
      </c>
      <c r="I2345" s="178">
        <f t="shared" si="73"/>
        <v>2259.4</v>
      </c>
      <c r="J2345" s="178">
        <f t="shared" si="74"/>
        <v>0</v>
      </c>
      <c r="K2345" s="19"/>
    </row>
    <row r="2346" spans="1:11" x14ac:dyDescent="0.25">
      <c r="A2346" s="51">
        <v>42846</v>
      </c>
      <c r="B2346" s="174" t="s">
        <v>13896</v>
      </c>
      <c r="C2346" s="175"/>
      <c r="D2346" s="176" t="s">
        <v>13896</v>
      </c>
      <c r="E2346" s="176">
        <v>108780</v>
      </c>
      <c r="F2346" s="177" t="s">
        <v>1645</v>
      </c>
      <c r="G2346" s="178">
        <v>445.8</v>
      </c>
      <c r="H2346" s="179">
        <v>42846</v>
      </c>
      <c r="I2346" s="178">
        <f t="shared" si="73"/>
        <v>445.8</v>
      </c>
      <c r="J2346" s="178">
        <f t="shared" si="74"/>
        <v>0</v>
      </c>
      <c r="K2346" s="19"/>
    </row>
    <row r="2347" spans="1:11" x14ac:dyDescent="0.25">
      <c r="A2347" s="51">
        <v>42846</v>
      </c>
      <c r="B2347" s="174" t="s">
        <v>13897</v>
      </c>
      <c r="C2347" s="175"/>
      <c r="D2347" s="176" t="s">
        <v>13897</v>
      </c>
      <c r="E2347" s="176">
        <v>108781</v>
      </c>
      <c r="F2347" s="177" t="s">
        <v>71</v>
      </c>
      <c r="G2347" s="178">
        <v>3855.9</v>
      </c>
      <c r="H2347" s="179">
        <v>42846</v>
      </c>
      <c r="I2347" s="178">
        <f t="shared" si="73"/>
        <v>3855.9</v>
      </c>
      <c r="J2347" s="178">
        <f t="shared" si="74"/>
        <v>0</v>
      </c>
      <c r="K2347" s="19"/>
    </row>
    <row r="2348" spans="1:11" x14ac:dyDescent="0.25">
      <c r="A2348" s="51">
        <v>42846</v>
      </c>
      <c r="B2348" s="174" t="s">
        <v>13898</v>
      </c>
      <c r="C2348" s="175"/>
      <c r="D2348" s="176" t="s">
        <v>13898</v>
      </c>
      <c r="E2348" s="176">
        <v>108782</v>
      </c>
      <c r="F2348" s="177" t="s">
        <v>1634</v>
      </c>
      <c r="G2348" s="178">
        <v>554.4</v>
      </c>
      <c r="H2348" s="179">
        <v>42846</v>
      </c>
      <c r="I2348" s="178">
        <f t="shared" si="73"/>
        <v>554.4</v>
      </c>
      <c r="J2348" s="178">
        <f t="shared" si="74"/>
        <v>0</v>
      </c>
      <c r="K2348" s="19"/>
    </row>
    <row r="2349" spans="1:11" x14ac:dyDescent="0.25">
      <c r="A2349" s="51">
        <v>42846</v>
      </c>
      <c r="B2349" s="174" t="s">
        <v>13899</v>
      </c>
      <c r="C2349" s="175"/>
      <c r="D2349" s="176" t="s">
        <v>13899</v>
      </c>
      <c r="E2349" s="176">
        <v>108783</v>
      </c>
      <c r="F2349" s="177" t="s">
        <v>30</v>
      </c>
      <c r="G2349" s="178">
        <v>15567.5</v>
      </c>
      <c r="H2349" s="186">
        <v>42851</v>
      </c>
      <c r="I2349" s="187">
        <f t="shared" si="73"/>
        <v>15567.5</v>
      </c>
      <c r="J2349" s="178">
        <f t="shared" si="74"/>
        <v>0</v>
      </c>
      <c r="K2349" s="19"/>
    </row>
    <row r="2350" spans="1:11" x14ac:dyDescent="0.25">
      <c r="A2350" s="51">
        <v>42846</v>
      </c>
      <c r="B2350" s="174" t="s">
        <v>13900</v>
      </c>
      <c r="C2350" s="175"/>
      <c r="D2350" s="176" t="s">
        <v>13900</v>
      </c>
      <c r="E2350" s="176">
        <v>108784</v>
      </c>
      <c r="F2350" s="177" t="s">
        <v>1925</v>
      </c>
      <c r="G2350" s="178">
        <v>510.4</v>
      </c>
      <c r="H2350" s="179">
        <v>42846</v>
      </c>
      <c r="I2350" s="178">
        <f t="shared" si="73"/>
        <v>510.4</v>
      </c>
      <c r="J2350" s="178">
        <f t="shared" si="74"/>
        <v>0</v>
      </c>
      <c r="K2350" s="19"/>
    </row>
    <row r="2351" spans="1:11" x14ac:dyDescent="0.25">
      <c r="A2351" s="51">
        <v>42846</v>
      </c>
      <c r="B2351" s="174" t="s">
        <v>13901</v>
      </c>
      <c r="C2351" s="175"/>
      <c r="D2351" s="176" t="s">
        <v>13901</v>
      </c>
      <c r="E2351" s="176">
        <v>108785</v>
      </c>
      <c r="F2351" s="177" t="s">
        <v>358</v>
      </c>
      <c r="G2351" s="178">
        <v>30147.200000000001</v>
      </c>
      <c r="H2351" s="179">
        <v>42846</v>
      </c>
      <c r="I2351" s="178">
        <f t="shared" si="73"/>
        <v>30147.200000000001</v>
      </c>
      <c r="J2351" s="178">
        <f t="shared" si="74"/>
        <v>0</v>
      </c>
      <c r="K2351" s="19"/>
    </row>
    <row r="2352" spans="1:11" x14ac:dyDescent="0.25">
      <c r="A2352" s="51">
        <v>42846</v>
      </c>
      <c r="B2352" s="174" t="s">
        <v>13902</v>
      </c>
      <c r="C2352" s="175"/>
      <c r="D2352" s="176" t="s">
        <v>13902</v>
      </c>
      <c r="E2352" s="176">
        <v>108786</v>
      </c>
      <c r="F2352" s="177" t="s">
        <v>250</v>
      </c>
      <c r="G2352" s="178">
        <v>14223.3</v>
      </c>
      <c r="H2352" s="179">
        <v>42847</v>
      </c>
      <c r="I2352" s="178">
        <f t="shared" si="73"/>
        <v>14223.3</v>
      </c>
      <c r="J2352" s="178">
        <f t="shared" si="74"/>
        <v>0</v>
      </c>
      <c r="K2352" s="19"/>
    </row>
    <row r="2353" spans="1:11" x14ac:dyDescent="0.25">
      <c r="A2353" s="51">
        <v>42846</v>
      </c>
      <c r="B2353" s="174" t="s">
        <v>13903</v>
      </c>
      <c r="C2353" s="175"/>
      <c r="D2353" s="176" t="s">
        <v>13903</v>
      </c>
      <c r="E2353" s="176">
        <v>108787</v>
      </c>
      <c r="F2353" s="177" t="s">
        <v>35</v>
      </c>
      <c r="G2353" s="178">
        <v>14795.6</v>
      </c>
      <c r="H2353" s="179">
        <v>42850</v>
      </c>
      <c r="I2353" s="178">
        <f t="shared" si="73"/>
        <v>14795.6</v>
      </c>
      <c r="J2353" s="178">
        <f t="shared" si="74"/>
        <v>0</v>
      </c>
      <c r="K2353" s="19"/>
    </row>
    <row r="2354" spans="1:11" x14ac:dyDescent="0.25">
      <c r="A2354" s="51">
        <v>42846</v>
      </c>
      <c r="B2354" s="174" t="s">
        <v>13904</v>
      </c>
      <c r="C2354" s="175"/>
      <c r="D2354" s="176" t="s">
        <v>13904</v>
      </c>
      <c r="E2354" s="176">
        <v>108788</v>
      </c>
      <c r="F2354" s="177" t="s">
        <v>47</v>
      </c>
      <c r="G2354" s="178">
        <v>2593.8000000000002</v>
      </c>
      <c r="H2354" s="179">
        <v>42846</v>
      </c>
      <c r="I2354" s="178">
        <f t="shared" si="73"/>
        <v>2593.8000000000002</v>
      </c>
      <c r="J2354" s="178">
        <f t="shared" si="74"/>
        <v>0</v>
      </c>
      <c r="K2354" s="19"/>
    </row>
    <row r="2355" spans="1:11" x14ac:dyDescent="0.25">
      <c r="A2355" s="51">
        <v>42846</v>
      </c>
      <c r="B2355" s="174" t="s">
        <v>13905</v>
      </c>
      <c r="C2355" s="175"/>
      <c r="D2355" s="176" t="s">
        <v>13905</v>
      </c>
      <c r="E2355" s="176">
        <v>108789</v>
      </c>
      <c r="F2355" s="177" t="s">
        <v>253</v>
      </c>
      <c r="G2355" s="178">
        <v>6321.2</v>
      </c>
      <c r="H2355" s="179">
        <v>42849</v>
      </c>
      <c r="I2355" s="178">
        <f t="shared" si="73"/>
        <v>6321.2</v>
      </c>
      <c r="J2355" s="178">
        <f t="shared" si="74"/>
        <v>0</v>
      </c>
      <c r="K2355" s="19"/>
    </row>
    <row r="2356" spans="1:11" x14ac:dyDescent="0.25">
      <c r="A2356" s="51">
        <v>42846</v>
      </c>
      <c r="B2356" s="174" t="s">
        <v>13906</v>
      </c>
      <c r="C2356" s="175"/>
      <c r="D2356" s="176" t="s">
        <v>13906</v>
      </c>
      <c r="E2356" s="176">
        <v>108790</v>
      </c>
      <c r="F2356" s="177" t="s">
        <v>51</v>
      </c>
      <c r="G2356" s="178">
        <v>2864.4</v>
      </c>
      <c r="H2356" s="179">
        <v>42849</v>
      </c>
      <c r="I2356" s="178">
        <f t="shared" si="73"/>
        <v>2864.4</v>
      </c>
      <c r="J2356" s="178">
        <f t="shared" si="74"/>
        <v>0</v>
      </c>
      <c r="K2356" s="19"/>
    </row>
    <row r="2357" spans="1:11" x14ac:dyDescent="0.25">
      <c r="A2357" s="51">
        <v>42846</v>
      </c>
      <c r="B2357" s="174" t="s">
        <v>13907</v>
      </c>
      <c r="C2357" s="175"/>
      <c r="D2357" s="176" t="s">
        <v>13907</v>
      </c>
      <c r="E2357" s="176">
        <v>108791</v>
      </c>
      <c r="F2357" s="177" t="s">
        <v>40</v>
      </c>
      <c r="G2357" s="178">
        <v>2983.2</v>
      </c>
      <c r="H2357" s="179">
        <v>42849</v>
      </c>
      <c r="I2357" s="178">
        <f t="shared" si="73"/>
        <v>2983.2</v>
      </c>
      <c r="J2357" s="178">
        <f t="shared" si="74"/>
        <v>0</v>
      </c>
      <c r="K2357" s="19"/>
    </row>
    <row r="2358" spans="1:11" x14ac:dyDescent="0.25">
      <c r="A2358" s="51">
        <v>42846</v>
      </c>
      <c r="B2358" s="174" t="s">
        <v>13908</v>
      </c>
      <c r="C2358" s="175"/>
      <c r="D2358" s="176" t="s">
        <v>13908</v>
      </c>
      <c r="E2358" s="176">
        <v>108792</v>
      </c>
      <c r="F2358" s="177" t="s">
        <v>1116</v>
      </c>
      <c r="G2358" s="178">
        <v>5670.2</v>
      </c>
      <c r="H2358" s="179" t="s">
        <v>13909</v>
      </c>
      <c r="I2358" s="178">
        <f>4600+1070.2</f>
        <v>5670.2</v>
      </c>
      <c r="J2358" s="178">
        <f t="shared" si="74"/>
        <v>0</v>
      </c>
      <c r="K2358" s="19"/>
    </row>
    <row r="2359" spans="1:11" x14ac:dyDescent="0.25">
      <c r="A2359" s="51">
        <v>42846</v>
      </c>
      <c r="B2359" s="174" t="s">
        <v>13910</v>
      </c>
      <c r="C2359" s="175"/>
      <c r="D2359" s="176" t="s">
        <v>13910</v>
      </c>
      <c r="E2359" s="176">
        <v>108793</v>
      </c>
      <c r="F2359" s="177" t="s">
        <v>321</v>
      </c>
      <c r="G2359" s="178">
        <v>780</v>
      </c>
      <c r="H2359" s="179">
        <v>42846</v>
      </c>
      <c r="I2359" s="178">
        <f t="shared" si="73"/>
        <v>780</v>
      </c>
      <c r="J2359" s="178">
        <f t="shared" si="74"/>
        <v>0</v>
      </c>
      <c r="K2359" s="19"/>
    </row>
    <row r="2360" spans="1:11" x14ac:dyDescent="0.25">
      <c r="A2360" s="51">
        <v>42846</v>
      </c>
      <c r="B2360" s="174" t="s">
        <v>13911</v>
      </c>
      <c r="C2360" s="175"/>
      <c r="D2360" s="176" t="s">
        <v>13911</v>
      </c>
      <c r="E2360" s="176">
        <v>108794</v>
      </c>
      <c r="F2360" s="177" t="s">
        <v>222</v>
      </c>
      <c r="G2360" s="178">
        <v>31621.919999999998</v>
      </c>
      <c r="H2360" s="184">
        <v>42852</v>
      </c>
      <c r="I2360" s="183">
        <f t="shared" si="73"/>
        <v>31621.919999999998</v>
      </c>
      <c r="J2360" s="178">
        <f t="shared" si="74"/>
        <v>0</v>
      </c>
      <c r="K2360" s="19"/>
    </row>
    <row r="2361" spans="1:11" x14ac:dyDescent="0.25">
      <c r="A2361" s="51">
        <v>42846</v>
      </c>
      <c r="B2361" s="174" t="s">
        <v>13912</v>
      </c>
      <c r="C2361" s="175"/>
      <c r="D2361" s="176" t="s">
        <v>13912</v>
      </c>
      <c r="E2361" s="176">
        <v>108795</v>
      </c>
      <c r="F2361" s="177" t="s">
        <v>43</v>
      </c>
      <c r="G2361" s="178">
        <v>7748</v>
      </c>
      <c r="H2361" s="179">
        <v>42849</v>
      </c>
      <c r="I2361" s="178">
        <f t="shared" si="73"/>
        <v>7748</v>
      </c>
      <c r="J2361" s="178">
        <f t="shared" si="74"/>
        <v>0</v>
      </c>
      <c r="K2361" s="19"/>
    </row>
    <row r="2362" spans="1:11" x14ac:dyDescent="0.25">
      <c r="A2362" s="51">
        <v>42846</v>
      </c>
      <c r="B2362" s="174" t="s">
        <v>13913</v>
      </c>
      <c r="C2362" s="175"/>
      <c r="D2362" s="176" t="s">
        <v>13913</v>
      </c>
      <c r="E2362" s="176">
        <v>108796</v>
      </c>
      <c r="F2362" s="177" t="s">
        <v>272</v>
      </c>
      <c r="G2362" s="178">
        <v>3673.4</v>
      </c>
      <c r="H2362" s="186">
        <v>42851</v>
      </c>
      <c r="I2362" s="187">
        <f t="shared" si="73"/>
        <v>3673.4</v>
      </c>
      <c r="J2362" s="178">
        <f t="shared" si="74"/>
        <v>0</v>
      </c>
      <c r="K2362" s="19"/>
    </row>
    <row r="2363" spans="1:11" x14ac:dyDescent="0.25">
      <c r="A2363" s="51">
        <v>42846</v>
      </c>
      <c r="B2363" s="174" t="s">
        <v>13914</v>
      </c>
      <c r="C2363" s="175"/>
      <c r="D2363" s="176" t="s">
        <v>13914</v>
      </c>
      <c r="E2363" s="176">
        <v>108797</v>
      </c>
      <c r="F2363" s="177" t="s">
        <v>590</v>
      </c>
      <c r="G2363" s="178">
        <v>4134.3999999999996</v>
      </c>
      <c r="H2363" s="186">
        <v>42851</v>
      </c>
      <c r="I2363" s="187">
        <f t="shared" si="73"/>
        <v>4134.3999999999996</v>
      </c>
      <c r="J2363" s="178">
        <f t="shared" si="74"/>
        <v>0</v>
      </c>
      <c r="K2363" s="19"/>
    </row>
    <row r="2364" spans="1:11" x14ac:dyDescent="0.25">
      <c r="A2364" s="51">
        <v>42846</v>
      </c>
      <c r="B2364" s="174" t="s">
        <v>13915</v>
      </c>
      <c r="C2364" s="175"/>
      <c r="D2364" s="176" t="s">
        <v>13915</v>
      </c>
      <c r="E2364" s="176">
        <v>108798</v>
      </c>
      <c r="F2364" s="177" t="s">
        <v>270</v>
      </c>
      <c r="G2364" s="178">
        <v>2897.7</v>
      </c>
      <c r="H2364" s="186">
        <v>42851</v>
      </c>
      <c r="I2364" s="187">
        <f t="shared" si="73"/>
        <v>2897.7</v>
      </c>
      <c r="J2364" s="178">
        <f t="shared" si="74"/>
        <v>0</v>
      </c>
      <c r="K2364" s="19"/>
    </row>
    <row r="2365" spans="1:11" x14ac:dyDescent="0.25">
      <c r="A2365" s="51">
        <v>42846</v>
      </c>
      <c r="B2365" s="174" t="s">
        <v>13916</v>
      </c>
      <c r="C2365" s="175"/>
      <c r="D2365" s="176" t="s">
        <v>13916</v>
      </c>
      <c r="E2365" s="176">
        <v>108799</v>
      </c>
      <c r="F2365" s="177" t="s">
        <v>30</v>
      </c>
      <c r="G2365" s="178">
        <v>2895.2</v>
      </c>
      <c r="H2365" s="179">
        <v>42846</v>
      </c>
      <c r="I2365" s="178">
        <f t="shared" si="73"/>
        <v>2895.2</v>
      </c>
      <c r="J2365" s="178">
        <f t="shared" si="74"/>
        <v>0</v>
      </c>
      <c r="K2365" s="19"/>
    </row>
    <row r="2366" spans="1:11" x14ac:dyDescent="0.25">
      <c r="A2366" s="51">
        <v>42846</v>
      </c>
      <c r="B2366" s="174" t="s">
        <v>13917</v>
      </c>
      <c r="C2366" s="175"/>
      <c r="D2366" s="176" t="s">
        <v>13917</v>
      </c>
      <c r="E2366" s="176">
        <v>108800</v>
      </c>
      <c r="F2366" s="177" t="s">
        <v>30</v>
      </c>
      <c r="G2366" s="178">
        <v>1790.8</v>
      </c>
      <c r="H2366" s="179">
        <v>42846</v>
      </c>
      <c r="I2366" s="178">
        <f t="shared" si="73"/>
        <v>1790.8</v>
      </c>
      <c r="J2366" s="178">
        <f t="shared" si="74"/>
        <v>0</v>
      </c>
      <c r="K2366" s="19"/>
    </row>
    <row r="2367" spans="1:11" x14ac:dyDescent="0.25">
      <c r="A2367" s="51">
        <v>42846</v>
      </c>
      <c r="B2367" s="174" t="s">
        <v>13918</v>
      </c>
      <c r="C2367" s="175"/>
      <c r="D2367" s="176" t="s">
        <v>13918</v>
      </c>
      <c r="E2367" s="176">
        <v>108801</v>
      </c>
      <c r="F2367" s="177" t="s">
        <v>435</v>
      </c>
      <c r="G2367" s="178">
        <v>3230.7</v>
      </c>
      <c r="H2367" s="186">
        <v>42851</v>
      </c>
      <c r="I2367" s="187">
        <f t="shared" si="73"/>
        <v>3230.7</v>
      </c>
      <c r="J2367" s="178">
        <f t="shared" si="74"/>
        <v>0</v>
      </c>
      <c r="K2367" s="19"/>
    </row>
    <row r="2368" spans="1:11" x14ac:dyDescent="0.25">
      <c r="A2368" s="51">
        <v>42846</v>
      </c>
      <c r="B2368" s="174" t="s">
        <v>13919</v>
      </c>
      <c r="C2368" s="175"/>
      <c r="D2368" s="176" t="s">
        <v>13919</v>
      </c>
      <c r="E2368" s="176">
        <v>108802</v>
      </c>
      <c r="F2368" s="177" t="s">
        <v>1090</v>
      </c>
      <c r="G2368" s="178">
        <v>6656</v>
      </c>
      <c r="H2368" s="179">
        <v>42846</v>
      </c>
      <c r="I2368" s="178">
        <f t="shared" si="73"/>
        <v>6656</v>
      </c>
      <c r="J2368" s="178">
        <f t="shared" si="74"/>
        <v>0</v>
      </c>
      <c r="K2368" s="19"/>
    </row>
    <row r="2369" spans="1:11" x14ac:dyDescent="0.25">
      <c r="A2369" s="51">
        <v>42846</v>
      </c>
      <c r="B2369" s="174" t="s">
        <v>13920</v>
      </c>
      <c r="C2369" s="175"/>
      <c r="D2369" s="176" t="s">
        <v>13920</v>
      </c>
      <c r="E2369" s="176">
        <v>108803</v>
      </c>
      <c r="F2369" s="177" t="s">
        <v>30</v>
      </c>
      <c r="G2369" s="178">
        <v>1050</v>
      </c>
      <c r="H2369" s="186">
        <v>42851</v>
      </c>
      <c r="I2369" s="187">
        <f t="shared" si="73"/>
        <v>1050</v>
      </c>
      <c r="J2369" s="178">
        <f t="shared" si="74"/>
        <v>0</v>
      </c>
      <c r="K2369" s="19"/>
    </row>
    <row r="2370" spans="1:11" x14ac:dyDescent="0.25">
      <c r="A2370" s="51">
        <v>42846</v>
      </c>
      <c r="B2370" s="174" t="s">
        <v>13921</v>
      </c>
      <c r="C2370" s="175"/>
      <c r="D2370" s="176" t="s">
        <v>13921</v>
      </c>
      <c r="E2370" s="176">
        <v>108804</v>
      </c>
      <c r="F2370" s="177" t="s">
        <v>79</v>
      </c>
      <c r="G2370" s="178">
        <v>2972.2</v>
      </c>
      <c r="H2370" s="179">
        <v>42846</v>
      </c>
      <c r="I2370" s="178">
        <f t="shared" si="73"/>
        <v>2972.2</v>
      </c>
      <c r="J2370" s="178">
        <f t="shared" si="74"/>
        <v>0</v>
      </c>
      <c r="K2370" s="19"/>
    </row>
    <row r="2371" spans="1:11" x14ac:dyDescent="0.25">
      <c r="A2371" s="51">
        <v>42846</v>
      </c>
      <c r="B2371" s="174" t="s">
        <v>13922</v>
      </c>
      <c r="C2371" s="175"/>
      <c r="D2371" s="176" t="s">
        <v>13922</v>
      </c>
      <c r="E2371" s="176">
        <v>108805</v>
      </c>
      <c r="F2371" s="177" t="s">
        <v>1325</v>
      </c>
      <c r="G2371" s="178">
        <v>1988.8</v>
      </c>
      <c r="H2371" s="179">
        <v>42846</v>
      </c>
      <c r="I2371" s="178">
        <f t="shared" si="73"/>
        <v>1988.8</v>
      </c>
      <c r="J2371" s="178">
        <f t="shared" si="74"/>
        <v>0</v>
      </c>
      <c r="K2371" s="19"/>
    </row>
    <row r="2372" spans="1:11" x14ac:dyDescent="0.25">
      <c r="A2372" s="51">
        <v>42846</v>
      </c>
      <c r="B2372" s="174" t="s">
        <v>13923</v>
      </c>
      <c r="C2372" s="175"/>
      <c r="D2372" s="176" t="s">
        <v>13923</v>
      </c>
      <c r="E2372" s="176">
        <v>108806</v>
      </c>
      <c r="F2372" s="177" t="s">
        <v>268</v>
      </c>
      <c r="G2372" s="178">
        <v>20888</v>
      </c>
      <c r="H2372" s="186">
        <v>42851</v>
      </c>
      <c r="I2372" s="187">
        <f t="shared" ref="I2372:I2435" si="75">G2372</f>
        <v>20888</v>
      </c>
      <c r="J2372" s="178">
        <f t="shared" ref="J2372:J2435" si="76">G2372-I2372</f>
        <v>0</v>
      </c>
      <c r="K2372" s="19"/>
    </row>
    <row r="2373" spans="1:11" x14ac:dyDescent="0.25">
      <c r="A2373" s="51">
        <v>42846</v>
      </c>
      <c r="B2373" s="174" t="s">
        <v>13924</v>
      </c>
      <c r="C2373" s="175"/>
      <c r="D2373" s="176" t="s">
        <v>13924</v>
      </c>
      <c r="E2373" s="176">
        <v>108807</v>
      </c>
      <c r="F2373" s="177" t="s">
        <v>274</v>
      </c>
      <c r="G2373" s="178">
        <v>20950</v>
      </c>
      <c r="H2373" s="184">
        <v>42853</v>
      </c>
      <c r="I2373" s="183">
        <f t="shared" si="75"/>
        <v>20950</v>
      </c>
      <c r="J2373" s="178">
        <f t="shared" si="76"/>
        <v>0</v>
      </c>
      <c r="K2373" s="19"/>
    </row>
    <row r="2374" spans="1:11" x14ac:dyDescent="0.25">
      <c r="A2374" s="51">
        <v>42846</v>
      </c>
      <c r="B2374" s="174" t="s">
        <v>13925</v>
      </c>
      <c r="C2374" s="175"/>
      <c r="D2374" s="176" t="s">
        <v>13925</v>
      </c>
      <c r="E2374" s="176">
        <v>108808</v>
      </c>
      <c r="F2374" s="177" t="s">
        <v>240</v>
      </c>
      <c r="G2374" s="178">
        <v>6600.1</v>
      </c>
      <c r="H2374" s="179">
        <v>42846</v>
      </c>
      <c r="I2374" s="178">
        <f t="shared" si="75"/>
        <v>6600.1</v>
      </c>
      <c r="J2374" s="178">
        <f t="shared" si="76"/>
        <v>0</v>
      </c>
      <c r="K2374" s="19"/>
    </row>
    <row r="2375" spans="1:11" x14ac:dyDescent="0.25">
      <c r="A2375" s="51">
        <v>42846</v>
      </c>
      <c r="B2375" s="174" t="s">
        <v>13926</v>
      </c>
      <c r="C2375" s="175"/>
      <c r="D2375" s="176" t="s">
        <v>13926</v>
      </c>
      <c r="E2375" s="176">
        <v>108809</v>
      </c>
      <c r="F2375" s="177" t="s">
        <v>10</v>
      </c>
      <c r="G2375" s="178">
        <v>4110.6000000000004</v>
      </c>
      <c r="H2375" s="179">
        <v>42849</v>
      </c>
      <c r="I2375" s="178">
        <f t="shared" si="75"/>
        <v>4110.6000000000004</v>
      </c>
      <c r="J2375" s="178">
        <f t="shared" si="76"/>
        <v>0</v>
      </c>
      <c r="K2375" s="19"/>
    </row>
    <row r="2376" spans="1:11" x14ac:dyDescent="0.25">
      <c r="A2376" s="51">
        <v>42846</v>
      </c>
      <c r="B2376" s="174" t="s">
        <v>13927</v>
      </c>
      <c r="C2376" s="175"/>
      <c r="D2376" s="176" t="s">
        <v>13927</v>
      </c>
      <c r="E2376" s="176">
        <v>108810</v>
      </c>
      <c r="F2376" s="177" t="s">
        <v>21</v>
      </c>
      <c r="G2376" s="178">
        <v>40349.4</v>
      </c>
      <c r="H2376" s="186" t="s">
        <v>15190</v>
      </c>
      <c r="I2376" s="187">
        <f>29301.2+11048.2</f>
        <v>40349.4</v>
      </c>
      <c r="J2376" s="178">
        <f t="shared" si="76"/>
        <v>0</v>
      </c>
      <c r="K2376" s="19"/>
    </row>
    <row r="2377" spans="1:11" x14ac:dyDescent="0.25">
      <c r="A2377" s="51">
        <v>42846</v>
      </c>
      <c r="B2377" s="174" t="s">
        <v>13928</v>
      </c>
      <c r="C2377" s="175"/>
      <c r="D2377" s="176" t="s">
        <v>13928</v>
      </c>
      <c r="E2377" s="176">
        <v>108811</v>
      </c>
      <c r="F2377" s="177" t="s">
        <v>862</v>
      </c>
      <c r="G2377" s="178">
        <v>3406.8</v>
      </c>
      <c r="H2377" s="179">
        <v>42846</v>
      </c>
      <c r="I2377" s="178">
        <f t="shared" si="75"/>
        <v>3406.8</v>
      </c>
      <c r="J2377" s="178">
        <f t="shared" si="76"/>
        <v>0</v>
      </c>
      <c r="K2377" s="19"/>
    </row>
    <row r="2378" spans="1:11" x14ac:dyDescent="0.25">
      <c r="A2378" s="51">
        <v>42846</v>
      </c>
      <c r="B2378" s="174" t="s">
        <v>13929</v>
      </c>
      <c r="C2378" s="175"/>
      <c r="D2378" s="176" t="s">
        <v>13929</v>
      </c>
      <c r="E2378" s="176">
        <v>108812</v>
      </c>
      <c r="F2378" s="177" t="s">
        <v>3425</v>
      </c>
      <c r="G2378" s="178">
        <v>530</v>
      </c>
      <c r="H2378" s="179">
        <v>42846</v>
      </c>
      <c r="I2378" s="178">
        <f t="shared" si="75"/>
        <v>530</v>
      </c>
      <c r="J2378" s="178">
        <f t="shared" si="76"/>
        <v>0</v>
      </c>
      <c r="K2378" s="19"/>
    </row>
    <row r="2379" spans="1:11" x14ac:dyDescent="0.25">
      <c r="A2379" s="51">
        <v>42846</v>
      </c>
      <c r="B2379" s="174" t="s">
        <v>13930</v>
      </c>
      <c r="C2379" s="175"/>
      <c r="D2379" s="176" t="s">
        <v>13930</v>
      </c>
      <c r="E2379" s="176">
        <v>108813</v>
      </c>
      <c r="F2379" s="177" t="s">
        <v>331</v>
      </c>
      <c r="G2379" s="178">
        <v>1392</v>
      </c>
      <c r="H2379" s="179">
        <v>42846</v>
      </c>
      <c r="I2379" s="178">
        <f t="shared" si="75"/>
        <v>1392</v>
      </c>
      <c r="J2379" s="178">
        <f t="shared" si="76"/>
        <v>0</v>
      </c>
      <c r="K2379" s="19"/>
    </row>
    <row r="2380" spans="1:11" x14ac:dyDescent="0.25">
      <c r="A2380" s="51">
        <v>42846</v>
      </c>
      <c r="B2380" s="174" t="s">
        <v>13931</v>
      </c>
      <c r="C2380" s="175"/>
      <c r="D2380" s="176" t="s">
        <v>13931</v>
      </c>
      <c r="E2380" s="176">
        <v>108814</v>
      </c>
      <c r="F2380" s="177" t="s">
        <v>61</v>
      </c>
      <c r="G2380" s="178">
        <v>15459.1</v>
      </c>
      <c r="H2380" s="179">
        <v>42847</v>
      </c>
      <c r="I2380" s="178">
        <f t="shared" si="75"/>
        <v>15459.1</v>
      </c>
      <c r="J2380" s="178">
        <f t="shared" si="76"/>
        <v>0</v>
      </c>
      <c r="K2380" s="19"/>
    </row>
    <row r="2381" spans="1:11" x14ac:dyDescent="0.25">
      <c r="A2381" s="51">
        <v>42846</v>
      </c>
      <c r="B2381" s="174" t="s">
        <v>13932</v>
      </c>
      <c r="C2381" s="175"/>
      <c r="D2381" s="176" t="s">
        <v>13932</v>
      </c>
      <c r="E2381" s="176">
        <v>108815</v>
      </c>
      <c r="F2381" s="177" t="s">
        <v>63</v>
      </c>
      <c r="G2381" s="178">
        <v>955.5</v>
      </c>
      <c r="H2381" s="179">
        <v>42846</v>
      </c>
      <c r="I2381" s="178">
        <f t="shared" si="75"/>
        <v>955.5</v>
      </c>
      <c r="J2381" s="178">
        <f t="shared" si="76"/>
        <v>0</v>
      </c>
      <c r="K2381" s="19"/>
    </row>
    <row r="2382" spans="1:11" x14ac:dyDescent="0.25">
      <c r="A2382" s="51">
        <v>42846</v>
      </c>
      <c r="B2382" s="174" t="s">
        <v>13933</v>
      </c>
      <c r="C2382" s="175"/>
      <c r="D2382" s="176" t="s">
        <v>13933</v>
      </c>
      <c r="E2382" s="176">
        <v>108816</v>
      </c>
      <c r="F2382" s="177" t="s">
        <v>30</v>
      </c>
      <c r="G2382" s="178">
        <v>431.6</v>
      </c>
      <c r="H2382" s="186">
        <v>42851</v>
      </c>
      <c r="I2382" s="187">
        <f t="shared" si="75"/>
        <v>431.6</v>
      </c>
      <c r="J2382" s="178">
        <f t="shared" si="76"/>
        <v>0</v>
      </c>
      <c r="K2382" s="19"/>
    </row>
    <row r="2383" spans="1:11" x14ac:dyDescent="0.25">
      <c r="A2383" s="51">
        <v>42846</v>
      </c>
      <c r="B2383" s="174" t="s">
        <v>13934</v>
      </c>
      <c r="C2383" s="175"/>
      <c r="D2383" s="176" t="s">
        <v>13934</v>
      </c>
      <c r="E2383" s="176">
        <v>108817</v>
      </c>
      <c r="F2383" s="177" t="s">
        <v>312</v>
      </c>
      <c r="G2383" s="178">
        <v>5003.7</v>
      </c>
      <c r="H2383" s="186">
        <v>42893</v>
      </c>
      <c r="I2383" s="187">
        <f t="shared" si="75"/>
        <v>5003.7</v>
      </c>
      <c r="J2383" s="178">
        <f t="shared" si="76"/>
        <v>0</v>
      </c>
      <c r="K2383" s="19"/>
    </row>
    <row r="2384" spans="1:11" x14ac:dyDescent="0.25">
      <c r="A2384" s="51">
        <v>42846</v>
      </c>
      <c r="B2384" s="174" t="s">
        <v>13935</v>
      </c>
      <c r="C2384" s="175"/>
      <c r="D2384" s="176" t="s">
        <v>13935</v>
      </c>
      <c r="E2384" s="176">
        <v>108818</v>
      </c>
      <c r="F2384" s="177" t="s">
        <v>10</v>
      </c>
      <c r="G2384" s="178">
        <v>1832</v>
      </c>
      <c r="H2384" s="179">
        <v>42849</v>
      </c>
      <c r="I2384" s="178">
        <f t="shared" si="75"/>
        <v>1832</v>
      </c>
      <c r="J2384" s="178">
        <f t="shared" si="76"/>
        <v>0</v>
      </c>
      <c r="K2384" s="19"/>
    </row>
    <row r="2385" spans="1:11" x14ac:dyDescent="0.25">
      <c r="A2385" s="51">
        <v>42846</v>
      </c>
      <c r="B2385" s="174" t="s">
        <v>13936</v>
      </c>
      <c r="C2385" s="175"/>
      <c r="D2385" s="176" t="s">
        <v>13936</v>
      </c>
      <c r="E2385" s="176">
        <v>108819</v>
      </c>
      <c r="F2385" s="177" t="s">
        <v>30</v>
      </c>
      <c r="G2385" s="178">
        <v>1509.6</v>
      </c>
      <c r="H2385" s="179">
        <v>42846</v>
      </c>
      <c r="I2385" s="178">
        <f t="shared" si="75"/>
        <v>1509.6</v>
      </c>
      <c r="J2385" s="178">
        <f t="shared" si="76"/>
        <v>0</v>
      </c>
      <c r="K2385" s="19"/>
    </row>
    <row r="2386" spans="1:11" x14ac:dyDescent="0.25">
      <c r="A2386" s="51">
        <v>42846</v>
      </c>
      <c r="B2386" s="174" t="s">
        <v>13937</v>
      </c>
      <c r="C2386" s="175"/>
      <c r="D2386" s="176" t="s">
        <v>13937</v>
      </c>
      <c r="E2386" s="176">
        <v>108820</v>
      </c>
      <c r="F2386" s="177" t="s">
        <v>442</v>
      </c>
      <c r="G2386" s="178">
        <v>12901.2</v>
      </c>
      <c r="H2386" s="186">
        <v>42851</v>
      </c>
      <c r="I2386" s="187">
        <f t="shared" si="75"/>
        <v>12901.2</v>
      </c>
      <c r="J2386" s="178">
        <f t="shared" si="76"/>
        <v>0</v>
      </c>
      <c r="K2386" s="19"/>
    </row>
    <row r="2387" spans="1:11" x14ac:dyDescent="0.25">
      <c r="A2387" s="51">
        <v>42846</v>
      </c>
      <c r="B2387" s="174" t="s">
        <v>13938</v>
      </c>
      <c r="C2387" s="175"/>
      <c r="D2387" s="176" t="s">
        <v>13938</v>
      </c>
      <c r="E2387" s="176">
        <v>108821</v>
      </c>
      <c r="F2387" s="177" t="s">
        <v>57</v>
      </c>
      <c r="G2387" s="178">
        <v>860</v>
      </c>
      <c r="H2387" s="179">
        <v>42846</v>
      </c>
      <c r="I2387" s="178">
        <f t="shared" si="75"/>
        <v>860</v>
      </c>
      <c r="J2387" s="178">
        <f t="shared" si="76"/>
        <v>0</v>
      </c>
      <c r="K2387" s="19"/>
    </row>
    <row r="2388" spans="1:11" x14ac:dyDescent="0.25">
      <c r="A2388" s="51">
        <v>42846</v>
      </c>
      <c r="B2388" s="174" t="s">
        <v>13939</v>
      </c>
      <c r="C2388" s="175"/>
      <c r="D2388" s="176" t="s">
        <v>13939</v>
      </c>
      <c r="E2388" s="176">
        <v>108822</v>
      </c>
      <c r="F2388" s="177" t="s">
        <v>184</v>
      </c>
      <c r="G2388" s="178">
        <v>252.8</v>
      </c>
      <c r="H2388" s="179">
        <v>42846</v>
      </c>
      <c r="I2388" s="178">
        <f t="shared" si="75"/>
        <v>252.8</v>
      </c>
      <c r="J2388" s="178">
        <f t="shared" si="76"/>
        <v>0</v>
      </c>
      <c r="K2388" s="19"/>
    </row>
    <row r="2389" spans="1:11" x14ac:dyDescent="0.25">
      <c r="A2389" s="51">
        <v>42846</v>
      </c>
      <c r="B2389" s="174" t="s">
        <v>13940</v>
      </c>
      <c r="C2389" s="175"/>
      <c r="D2389" s="176" t="s">
        <v>13940</v>
      </c>
      <c r="E2389" s="176">
        <v>108823</v>
      </c>
      <c r="F2389" s="177" t="s">
        <v>4930</v>
      </c>
      <c r="G2389" s="178">
        <v>4100.3999999999996</v>
      </c>
      <c r="H2389" s="179">
        <v>42846</v>
      </c>
      <c r="I2389" s="178">
        <f t="shared" si="75"/>
        <v>4100.3999999999996</v>
      </c>
      <c r="J2389" s="178">
        <f t="shared" si="76"/>
        <v>0</v>
      </c>
      <c r="K2389" s="19"/>
    </row>
    <row r="2390" spans="1:11" x14ac:dyDescent="0.25">
      <c r="A2390" s="51">
        <v>42846</v>
      </c>
      <c r="B2390" s="174" t="s">
        <v>13941</v>
      </c>
      <c r="C2390" s="175"/>
      <c r="D2390" s="176" t="s">
        <v>13941</v>
      </c>
      <c r="E2390" s="176">
        <v>108824</v>
      </c>
      <c r="F2390" s="177" t="s">
        <v>3997</v>
      </c>
      <c r="G2390" s="178">
        <v>499.2</v>
      </c>
      <c r="H2390" s="186">
        <v>42851</v>
      </c>
      <c r="I2390" s="187">
        <f t="shared" si="75"/>
        <v>499.2</v>
      </c>
      <c r="J2390" s="178">
        <f t="shared" si="76"/>
        <v>0</v>
      </c>
      <c r="K2390" s="19"/>
    </row>
    <row r="2391" spans="1:11" x14ac:dyDescent="0.25">
      <c r="A2391" s="51">
        <v>42846</v>
      </c>
      <c r="B2391" s="174" t="s">
        <v>13942</v>
      </c>
      <c r="C2391" s="175"/>
      <c r="D2391" s="176" t="s">
        <v>13942</v>
      </c>
      <c r="E2391" s="176">
        <v>108825</v>
      </c>
      <c r="F2391" s="177" t="s">
        <v>176</v>
      </c>
      <c r="G2391" s="178">
        <v>2595.6</v>
      </c>
      <c r="H2391" s="179">
        <v>42847</v>
      </c>
      <c r="I2391" s="178">
        <f t="shared" si="75"/>
        <v>2595.6</v>
      </c>
      <c r="J2391" s="178">
        <f t="shared" si="76"/>
        <v>0</v>
      </c>
      <c r="K2391" s="19"/>
    </row>
    <row r="2392" spans="1:11" x14ac:dyDescent="0.25">
      <c r="A2392" s="51">
        <v>42846</v>
      </c>
      <c r="B2392" s="174" t="s">
        <v>13943</v>
      </c>
      <c r="C2392" s="175"/>
      <c r="D2392" s="176" t="s">
        <v>13943</v>
      </c>
      <c r="E2392" s="176">
        <v>108826</v>
      </c>
      <c r="F2392" s="177" t="s">
        <v>3997</v>
      </c>
      <c r="G2392" s="178">
        <v>5426.6</v>
      </c>
      <c r="H2392" s="186">
        <v>42851</v>
      </c>
      <c r="I2392" s="187">
        <f t="shared" si="75"/>
        <v>5426.6</v>
      </c>
      <c r="J2392" s="178">
        <f t="shared" si="76"/>
        <v>0</v>
      </c>
      <c r="K2392" s="19"/>
    </row>
    <row r="2393" spans="1:11" x14ac:dyDescent="0.25">
      <c r="A2393" s="51">
        <v>42846</v>
      </c>
      <c r="B2393" s="174" t="s">
        <v>13944</v>
      </c>
      <c r="C2393" s="175"/>
      <c r="D2393" s="176" t="s">
        <v>13944</v>
      </c>
      <c r="E2393" s="176">
        <v>108827</v>
      </c>
      <c r="F2393" s="177" t="s">
        <v>99</v>
      </c>
      <c r="G2393" s="178">
        <v>2580</v>
      </c>
      <c r="H2393" s="179">
        <v>42847</v>
      </c>
      <c r="I2393" s="178">
        <f t="shared" si="75"/>
        <v>2580</v>
      </c>
      <c r="J2393" s="178">
        <f t="shared" si="76"/>
        <v>0</v>
      </c>
      <c r="K2393" s="19"/>
    </row>
    <row r="2394" spans="1:11" x14ac:dyDescent="0.25">
      <c r="A2394" s="51">
        <v>42846</v>
      </c>
      <c r="B2394" s="174" t="s">
        <v>13945</v>
      </c>
      <c r="C2394" s="175"/>
      <c r="D2394" s="176" t="s">
        <v>13945</v>
      </c>
      <c r="E2394" s="176">
        <v>108828</v>
      </c>
      <c r="F2394" s="177" t="s">
        <v>4367</v>
      </c>
      <c r="G2394" s="178">
        <v>1290</v>
      </c>
      <c r="H2394" s="179">
        <v>42847</v>
      </c>
      <c r="I2394" s="178">
        <f t="shared" si="75"/>
        <v>1290</v>
      </c>
      <c r="J2394" s="178">
        <f t="shared" si="76"/>
        <v>0</v>
      </c>
      <c r="K2394" s="19"/>
    </row>
    <row r="2395" spans="1:11" x14ac:dyDescent="0.25">
      <c r="A2395" s="51">
        <v>42846</v>
      </c>
      <c r="B2395" s="174" t="s">
        <v>13946</v>
      </c>
      <c r="C2395" s="175"/>
      <c r="D2395" s="176" t="s">
        <v>13946</v>
      </c>
      <c r="E2395" s="176">
        <v>108829</v>
      </c>
      <c r="F2395" s="177" t="s">
        <v>157</v>
      </c>
      <c r="G2395" s="178">
        <v>27145</v>
      </c>
      <c r="H2395" s="179">
        <v>42846</v>
      </c>
      <c r="I2395" s="178">
        <f t="shared" si="75"/>
        <v>27145</v>
      </c>
      <c r="J2395" s="178">
        <f t="shared" si="76"/>
        <v>0</v>
      </c>
      <c r="K2395" s="19"/>
    </row>
    <row r="2396" spans="1:11" x14ac:dyDescent="0.25">
      <c r="A2396" s="51">
        <v>42846</v>
      </c>
      <c r="B2396" s="174" t="s">
        <v>13947</v>
      </c>
      <c r="C2396" s="175"/>
      <c r="D2396" s="176" t="s">
        <v>13947</v>
      </c>
      <c r="E2396" s="176">
        <v>108830</v>
      </c>
      <c r="F2396" s="177" t="s">
        <v>281</v>
      </c>
      <c r="G2396" s="178">
        <v>3186</v>
      </c>
      <c r="H2396" s="179">
        <v>42847</v>
      </c>
      <c r="I2396" s="178">
        <f t="shared" si="75"/>
        <v>3186</v>
      </c>
      <c r="J2396" s="178">
        <f t="shared" si="76"/>
        <v>0</v>
      </c>
      <c r="K2396" s="19"/>
    </row>
    <row r="2397" spans="1:11" x14ac:dyDescent="0.25">
      <c r="A2397" s="51">
        <v>42846</v>
      </c>
      <c r="B2397" s="174" t="s">
        <v>13948</v>
      </c>
      <c r="C2397" s="175"/>
      <c r="D2397" s="176" t="s">
        <v>13948</v>
      </c>
      <c r="E2397" s="176">
        <v>108831</v>
      </c>
      <c r="F2397" s="177" t="s">
        <v>4367</v>
      </c>
      <c r="G2397" s="178">
        <v>120</v>
      </c>
      <c r="H2397" s="179">
        <v>42847</v>
      </c>
      <c r="I2397" s="178">
        <f t="shared" si="75"/>
        <v>120</v>
      </c>
      <c r="J2397" s="178">
        <f t="shared" si="76"/>
        <v>0</v>
      </c>
      <c r="K2397" s="19"/>
    </row>
    <row r="2398" spans="1:11" x14ac:dyDescent="0.25">
      <c r="A2398" s="51">
        <v>42846</v>
      </c>
      <c r="B2398" s="174" t="s">
        <v>13949</v>
      </c>
      <c r="C2398" s="175"/>
      <c r="D2398" s="176" t="s">
        <v>13949</v>
      </c>
      <c r="E2398" s="176">
        <v>108832</v>
      </c>
      <c r="F2398" s="177" t="s">
        <v>81</v>
      </c>
      <c r="G2398" s="178">
        <v>3013.8</v>
      </c>
      <c r="H2398" s="179">
        <v>42847</v>
      </c>
      <c r="I2398" s="178">
        <f t="shared" si="75"/>
        <v>3013.8</v>
      </c>
      <c r="J2398" s="178">
        <f t="shared" si="76"/>
        <v>0</v>
      </c>
      <c r="K2398" s="19"/>
    </row>
    <row r="2399" spans="1:11" x14ac:dyDescent="0.25">
      <c r="A2399" s="51">
        <v>42846</v>
      </c>
      <c r="B2399" s="174" t="s">
        <v>13950</v>
      </c>
      <c r="C2399" s="175"/>
      <c r="D2399" s="176" t="s">
        <v>13950</v>
      </c>
      <c r="E2399" s="176">
        <v>108833</v>
      </c>
      <c r="F2399" s="177" t="s">
        <v>77</v>
      </c>
      <c r="G2399" s="178">
        <v>518.79999999999995</v>
      </c>
      <c r="H2399" s="179">
        <v>42846</v>
      </c>
      <c r="I2399" s="178">
        <f t="shared" si="75"/>
        <v>518.79999999999995</v>
      </c>
      <c r="J2399" s="178">
        <f t="shared" si="76"/>
        <v>0</v>
      </c>
      <c r="K2399" s="19"/>
    </row>
    <row r="2400" spans="1:11" x14ac:dyDescent="0.25">
      <c r="A2400" s="51">
        <v>42846</v>
      </c>
      <c r="B2400" s="174" t="s">
        <v>13951</v>
      </c>
      <c r="C2400" s="175"/>
      <c r="D2400" s="176" t="s">
        <v>13951</v>
      </c>
      <c r="E2400" s="176">
        <v>108834</v>
      </c>
      <c r="F2400" s="177" t="s">
        <v>85</v>
      </c>
      <c r="G2400" s="178">
        <v>1766.4</v>
      </c>
      <c r="H2400" s="179">
        <v>42846</v>
      </c>
      <c r="I2400" s="178">
        <f t="shared" si="75"/>
        <v>1766.4</v>
      </c>
      <c r="J2400" s="178">
        <f t="shared" si="76"/>
        <v>0</v>
      </c>
      <c r="K2400" s="19"/>
    </row>
    <row r="2401" spans="1:11" x14ac:dyDescent="0.25">
      <c r="A2401" s="51">
        <v>42846</v>
      </c>
      <c r="B2401" s="174" t="s">
        <v>13952</v>
      </c>
      <c r="C2401" s="175"/>
      <c r="D2401" s="176" t="s">
        <v>13952</v>
      </c>
      <c r="E2401" s="176">
        <v>108835</v>
      </c>
      <c r="F2401" s="177" t="s">
        <v>88</v>
      </c>
      <c r="G2401" s="178">
        <v>5254.2</v>
      </c>
      <c r="H2401" s="179">
        <v>42847</v>
      </c>
      <c r="I2401" s="178">
        <f t="shared" si="75"/>
        <v>5254.2</v>
      </c>
      <c r="J2401" s="178">
        <f t="shared" si="76"/>
        <v>0</v>
      </c>
      <c r="K2401" s="19"/>
    </row>
    <row r="2402" spans="1:11" x14ac:dyDescent="0.25">
      <c r="A2402" s="51">
        <v>42846</v>
      </c>
      <c r="B2402" s="174" t="s">
        <v>13953</v>
      </c>
      <c r="C2402" s="175"/>
      <c r="D2402" s="176" t="s">
        <v>13953</v>
      </c>
      <c r="E2402" s="176">
        <v>108836</v>
      </c>
      <c r="F2402" s="177" t="s">
        <v>1259</v>
      </c>
      <c r="G2402" s="178">
        <v>2578.8000000000002</v>
      </c>
      <c r="H2402" s="179">
        <v>42847</v>
      </c>
      <c r="I2402" s="178">
        <f t="shared" si="75"/>
        <v>2578.8000000000002</v>
      </c>
      <c r="J2402" s="178">
        <f t="shared" si="76"/>
        <v>0</v>
      </c>
      <c r="K2402" s="19"/>
    </row>
    <row r="2403" spans="1:11" x14ac:dyDescent="0.25">
      <c r="A2403" s="51">
        <v>42846</v>
      </c>
      <c r="B2403" s="174" t="s">
        <v>13954</v>
      </c>
      <c r="C2403" s="175"/>
      <c r="D2403" s="176" t="s">
        <v>13954</v>
      </c>
      <c r="E2403" s="176">
        <v>108837</v>
      </c>
      <c r="F2403" s="177" t="s">
        <v>1259</v>
      </c>
      <c r="G2403" s="178">
        <v>2272.1999999999998</v>
      </c>
      <c r="H2403" s="179">
        <v>42847</v>
      </c>
      <c r="I2403" s="178">
        <f t="shared" si="75"/>
        <v>2272.1999999999998</v>
      </c>
      <c r="J2403" s="178">
        <f t="shared" si="76"/>
        <v>0</v>
      </c>
      <c r="K2403" s="19"/>
    </row>
    <row r="2404" spans="1:11" x14ac:dyDescent="0.25">
      <c r="A2404" s="51">
        <v>42846</v>
      </c>
      <c r="B2404" s="174" t="s">
        <v>13955</v>
      </c>
      <c r="C2404" s="175"/>
      <c r="D2404" s="176" t="s">
        <v>13955</v>
      </c>
      <c r="E2404" s="176">
        <v>108838</v>
      </c>
      <c r="F2404" s="177" t="s">
        <v>92</v>
      </c>
      <c r="G2404" s="178">
        <v>2347.8000000000002</v>
      </c>
      <c r="H2404" s="179">
        <v>42847</v>
      </c>
      <c r="I2404" s="178">
        <f t="shared" si="75"/>
        <v>2347.8000000000002</v>
      </c>
      <c r="J2404" s="178">
        <f t="shared" si="76"/>
        <v>0</v>
      </c>
      <c r="K2404" s="19"/>
    </row>
    <row r="2405" spans="1:11" x14ac:dyDescent="0.25">
      <c r="A2405" s="51">
        <v>42846</v>
      </c>
      <c r="B2405" s="174" t="s">
        <v>13956</v>
      </c>
      <c r="C2405" s="175"/>
      <c r="D2405" s="176" t="s">
        <v>13956</v>
      </c>
      <c r="E2405" s="176">
        <v>108839</v>
      </c>
      <c r="F2405" s="177" t="s">
        <v>83</v>
      </c>
      <c r="G2405" s="178">
        <v>4712.3999999999996</v>
      </c>
      <c r="H2405" s="179">
        <v>42847</v>
      </c>
      <c r="I2405" s="178">
        <f t="shared" si="75"/>
        <v>4712.3999999999996</v>
      </c>
      <c r="J2405" s="178">
        <f t="shared" si="76"/>
        <v>0</v>
      </c>
      <c r="K2405" s="19"/>
    </row>
    <row r="2406" spans="1:11" x14ac:dyDescent="0.25">
      <c r="A2406" s="51">
        <v>42846</v>
      </c>
      <c r="B2406" s="174" t="s">
        <v>13957</v>
      </c>
      <c r="C2406" s="175"/>
      <c r="D2406" s="176" t="s">
        <v>13957</v>
      </c>
      <c r="E2406" s="176">
        <v>108840</v>
      </c>
      <c r="F2406" s="177" t="s">
        <v>291</v>
      </c>
      <c r="G2406" s="178">
        <v>2076.8000000000002</v>
      </c>
      <c r="H2406" s="179">
        <v>42847</v>
      </c>
      <c r="I2406" s="178">
        <f t="shared" si="75"/>
        <v>2076.8000000000002</v>
      </c>
      <c r="J2406" s="178">
        <f t="shared" si="76"/>
        <v>0</v>
      </c>
      <c r="K2406" s="19"/>
    </row>
    <row r="2407" spans="1:11" x14ac:dyDescent="0.25">
      <c r="A2407" s="51">
        <v>42846</v>
      </c>
      <c r="B2407" s="174" t="s">
        <v>13958</v>
      </c>
      <c r="C2407" s="175"/>
      <c r="D2407" s="176" t="s">
        <v>13958</v>
      </c>
      <c r="E2407" s="176">
        <v>108841</v>
      </c>
      <c r="F2407" s="177" t="s">
        <v>1269</v>
      </c>
      <c r="G2407" s="178">
        <v>3891.2</v>
      </c>
      <c r="H2407" s="179">
        <v>42847</v>
      </c>
      <c r="I2407" s="178">
        <f t="shared" si="75"/>
        <v>3891.2</v>
      </c>
      <c r="J2407" s="178">
        <f t="shared" si="76"/>
        <v>0</v>
      </c>
      <c r="K2407" s="19"/>
    </row>
    <row r="2408" spans="1:11" x14ac:dyDescent="0.25">
      <c r="A2408" s="51">
        <v>42846</v>
      </c>
      <c r="B2408" s="174" t="s">
        <v>13959</v>
      </c>
      <c r="C2408" s="175"/>
      <c r="D2408" s="176" t="s">
        <v>13959</v>
      </c>
      <c r="E2408" s="176">
        <v>108842</v>
      </c>
      <c r="F2408" s="177" t="s">
        <v>450</v>
      </c>
      <c r="G2408" s="178">
        <v>1188.8</v>
      </c>
      <c r="H2408" s="179">
        <v>42847</v>
      </c>
      <c r="I2408" s="178">
        <f t="shared" si="75"/>
        <v>1188.8</v>
      </c>
      <c r="J2408" s="178">
        <f t="shared" si="76"/>
        <v>0</v>
      </c>
      <c r="K2408" s="19"/>
    </row>
    <row r="2409" spans="1:11" x14ac:dyDescent="0.25">
      <c r="A2409" s="51">
        <v>42846</v>
      </c>
      <c r="B2409" s="174" t="s">
        <v>13960</v>
      </c>
      <c r="C2409" s="175"/>
      <c r="D2409" s="176" t="s">
        <v>13960</v>
      </c>
      <c r="E2409" s="176">
        <v>108843</v>
      </c>
      <c r="F2409" s="177" t="s">
        <v>105</v>
      </c>
      <c r="G2409" s="178">
        <v>326.7</v>
      </c>
      <c r="H2409" s="184">
        <v>42852</v>
      </c>
      <c r="I2409" s="183">
        <f t="shared" si="75"/>
        <v>326.7</v>
      </c>
      <c r="J2409" s="178">
        <f t="shared" si="76"/>
        <v>0</v>
      </c>
      <c r="K2409" s="19"/>
    </row>
    <row r="2410" spans="1:11" x14ac:dyDescent="0.25">
      <c r="A2410" s="51">
        <v>42846</v>
      </c>
      <c r="B2410" s="174" t="s">
        <v>13961</v>
      </c>
      <c r="C2410" s="175"/>
      <c r="D2410" s="176" t="s">
        <v>13961</v>
      </c>
      <c r="E2410" s="176">
        <v>108844</v>
      </c>
      <c r="F2410" s="177" t="s">
        <v>105</v>
      </c>
      <c r="G2410" s="178">
        <v>369.8</v>
      </c>
      <c r="H2410" s="179">
        <v>42847</v>
      </c>
      <c r="I2410" s="178">
        <f t="shared" si="75"/>
        <v>369.8</v>
      </c>
      <c r="J2410" s="178">
        <f t="shared" si="76"/>
        <v>0</v>
      </c>
      <c r="K2410" s="19"/>
    </row>
    <row r="2411" spans="1:11" x14ac:dyDescent="0.25">
      <c r="A2411" s="51">
        <v>42846</v>
      </c>
      <c r="B2411" s="174" t="s">
        <v>13962</v>
      </c>
      <c r="C2411" s="175"/>
      <c r="D2411" s="176" t="s">
        <v>13962</v>
      </c>
      <c r="E2411" s="176">
        <v>108845</v>
      </c>
      <c r="F2411" s="177" t="s">
        <v>101</v>
      </c>
      <c r="G2411" s="178">
        <v>1806</v>
      </c>
      <c r="H2411" s="179">
        <v>42847</v>
      </c>
      <c r="I2411" s="178">
        <f t="shared" si="75"/>
        <v>1806</v>
      </c>
      <c r="J2411" s="178">
        <f t="shared" si="76"/>
        <v>0</v>
      </c>
      <c r="K2411" s="19"/>
    </row>
    <row r="2412" spans="1:11" x14ac:dyDescent="0.25">
      <c r="A2412" s="51">
        <v>42846</v>
      </c>
      <c r="B2412" s="174" t="s">
        <v>13963</v>
      </c>
      <c r="C2412" s="175"/>
      <c r="D2412" s="176" t="s">
        <v>13963</v>
      </c>
      <c r="E2412" s="176">
        <v>108846</v>
      </c>
      <c r="F2412" s="177" t="s">
        <v>289</v>
      </c>
      <c r="G2412" s="178">
        <v>29523.9</v>
      </c>
      <c r="H2412" s="184">
        <v>42854</v>
      </c>
      <c r="I2412" s="183">
        <f t="shared" si="75"/>
        <v>29523.9</v>
      </c>
      <c r="J2412" s="178">
        <f t="shared" si="76"/>
        <v>0</v>
      </c>
      <c r="K2412" s="19"/>
    </row>
    <row r="2413" spans="1:11" x14ac:dyDescent="0.25">
      <c r="A2413" s="51">
        <v>42846</v>
      </c>
      <c r="B2413" s="174" t="s">
        <v>13964</v>
      </c>
      <c r="C2413" s="175"/>
      <c r="D2413" s="176" t="s">
        <v>13964</v>
      </c>
      <c r="E2413" s="176">
        <v>108847</v>
      </c>
      <c r="F2413" s="177" t="s">
        <v>30</v>
      </c>
      <c r="G2413" s="178">
        <v>763.3</v>
      </c>
      <c r="H2413" s="179">
        <v>42846</v>
      </c>
      <c r="I2413" s="178">
        <f t="shared" si="75"/>
        <v>763.3</v>
      </c>
      <c r="J2413" s="178">
        <f t="shared" si="76"/>
        <v>0</v>
      </c>
      <c r="K2413" s="19"/>
    </row>
    <row r="2414" spans="1:11" x14ac:dyDescent="0.25">
      <c r="A2414" s="51">
        <v>42846</v>
      </c>
      <c r="B2414" s="174" t="s">
        <v>13965</v>
      </c>
      <c r="C2414" s="175"/>
      <c r="D2414" s="176" t="s">
        <v>13965</v>
      </c>
      <c r="E2414" s="176">
        <v>108848</v>
      </c>
      <c r="F2414" s="177" t="s">
        <v>476</v>
      </c>
      <c r="G2414" s="178">
        <v>22733.8</v>
      </c>
      <c r="H2414" s="184">
        <v>42853</v>
      </c>
      <c r="I2414" s="183">
        <f t="shared" si="75"/>
        <v>22733.8</v>
      </c>
      <c r="J2414" s="178">
        <f t="shared" si="76"/>
        <v>0</v>
      </c>
      <c r="K2414" s="19"/>
    </row>
    <row r="2415" spans="1:11" x14ac:dyDescent="0.25">
      <c r="A2415" s="51">
        <v>42846</v>
      </c>
      <c r="B2415" s="174" t="s">
        <v>13966</v>
      </c>
      <c r="C2415" s="175"/>
      <c r="D2415" s="176" t="s">
        <v>13966</v>
      </c>
      <c r="E2415" s="176">
        <v>108849</v>
      </c>
      <c r="F2415" s="177" t="s">
        <v>125</v>
      </c>
      <c r="G2415" s="178">
        <v>10608</v>
      </c>
      <c r="H2415" s="179">
        <v>42847</v>
      </c>
      <c r="I2415" s="178">
        <f t="shared" si="75"/>
        <v>10608</v>
      </c>
      <c r="J2415" s="178">
        <f t="shared" si="76"/>
        <v>0</v>
      </c>
      <c r="K2415" s="19"/>
    </row>
    <row r="2416" spans="1:11" x14ac:dyDescent="0.25">
      <c r="A2416" s="51">
        <v>42846</v>
      </c>
      <c r="B2416" s="174" t="s">
        <v>13967</v>
      </c>
      <c r="C2416" s="175"/>
      <c r="D2416" s="176" t="s">
        <v>13967</v>
      </c>
      <c r="E2416" s="176">
        <v>108850</v>
      </c>
      <c r="F2416" s="177" t="s">
        <v>305</v>
      </c>
      <c r="G2416" s="178">
        <v>3383.9</v>
      </c>
      <c r="H2416" s="186">
        <v>42856</v>
      </c>
      <c r="I2416" s="187">
        <f t="shared" si="75"/>
        <v>3383.9</v>
      </c>
      <c r="J2416" s="178">
        <f t="shared" si="76"/>
        <v>0</v>
      </c>
      <c r="K2416" s="19"/>
    </row>
    <row r="2417" spans="1:11" x14ac:dyDescent="0.25">
      <c r="A2417" s="51">
        <v>42846</v>
      </c>
      <c r="B2417" s="174" t="s">
        <v>13968</v>
      </c>
      <c r="C2417" s="175"/>
      <c r="D2417" s="176" t="s">
        <v>13968</v>
      </c>
      <c r="E2417" s="176">
        <v>108851</v>
      </c>
      <c r="F2417" s="177" t="s">
        <v>168</v>
      </c>
      <c r="G2417" s="178">
        <v>388.8</v>
      </c>
      <c r="H2417" s="179">
        <v>42846</v>
      </c>
      <c r="I2417" s="178">
        <f t="shared" si="75"/>
        <v>388.8</v>
      </c>
      <c r="J2417" s="178">
        <f t="shared" si="76"/>
        <v>0</v>
      </c>
      <c r="K2417" s="19"/>
    </row>
    <row r="2418" spans="1:11" x14ac:dyDescent="0.25">
      <c r="A2418" s="51">
        <v>42846</v>
      </c>
      <c r="B2418" s="174" t="s">
        <v>13969</v>
      </c>
      <c r="C2418" s="175"/>
      <c r="D2418" s="176" t="s">
        <v>13969</v>
      </c>
      <c r="E2418" s="176">
        <v>108852</v>
      </c>
      <c r="F2418" s="177" t="s">
        <v>785</v>
      </c>
      <c r="G2418" s="178">
        <v>10970.8</v>
      </c>
      <c r="H2418" s="179">
        <v>42847</v>
      </c>
      <c r="I2418" s="178">
        <f t="shared" si="75"/>
        <v>10970.8</v>
      </c>
      <c r="J2418" s="178">
        <f t="shared" si="76"/>
        <v>0</v>
      </c>
      <c r="K2418" s="19"/>
    </row>
    <row r="2419" spans="1:11" x14ac:dyDescent="0.25">
      <c r="A2419" s="51">
        <v>42846</v>
      </c>
      <c r="B2419" s="174" t="s">
        <v>13970</v>
      </c>
      <c r="C2419" s="175"/>
      <c r="D2419" s="176" t="s">
        <v>13970</v>
      </c>
      <c r="E2419" s="176">
        <v>108853</v>
      </c>
      <c r="F2419" s="177" t="s">
        <v>459</v>
      </c>
      <c r="G2419" s="178">
        <v>2681.2</v>
      </c>
      <c r="H2419" s="179">
        <v>42847</v>
      </c>
      <c r="I2419" s="178">
        <f t="shared" si="75"/>
        <v>2681.2</v>
      </c>
      <c r="J2419" s="178">
        <f t="shared" si="76"/>
        <v>0</v>
      </c>
      <c r="K2419" s="19"/>
    </row>
    <row r="2420" spans="1:11" x14ac:dyDescent="0.25">
      <c r="A2420" s="51">
        <v>42846</v>
      </c>
      <c r="B2420" s="174" t="s">
        <v>13971</v>
      </c>
      <c r="C2420" s="175"/>
      <c r="D2420" s="176" t="s">
        <v>13971</v>
      </c>
      <c r="E2420" s="176">
        <v>108854</v>
      </c>
      <c r="F2420" s="177" t="s">
        <v>13972</v>
      </c>
      <c r="G2420" s="178">
        <v>1917</v>
      </c>
      <c r="H2420" s="179">
        <v>42847</v>
      </c>
      <c r="I2420" s="178">
        <f t="shared" si="75"/>
        <v>1917</v>
      </c>
      <c r="J2420" s="178">
        <f t="shared" si="76"/>
        <v>0</v>
      </c>
      <c r="K2420" s="19"/>
    </row>
    <row r="2421" spans="1:11" x14ac:dyDescent="0.25">
      <c r="A2421" s="51">
        <v>42846</v>
      </c>
      <c r="B2421" s="174" t="s">
        <v>13973</v>
      </c>
      <c r="C2421" s="175"/>
      <c r="D2421" s="176" t="s">
        <v>13973</v>
      </c>
      <c r="E2421" s="176">
        <v>108855</v>
      </c>
      <c r="F2421" s="182" t="s">
        <v>81</v>
      </c>
      <c r="G2421" s="183">
        <v>0</v>
      </c>
      <c r="H2421" s="184" t="s">
        <v>95</v>
      </c>
      <c r="I2421" s="183">
        <f t="shared" si="75"/>
        <v>0</v>
      </c>
      <c r="J2421" s="183">
        <f t="shared" si="76"/>
        <v>0</v>
      </c>
      <c r="K2421" s="19"/>
    </row>
    <row r="2422" spans="1:11" x14ac:dyDescent="0.25">
      <c r="A2422" s="51">
        <v>42846</v>
      </c>
      <c r="B2422" s="174" t="s">
        <v>13974</v>
      </c>
      <c r="C2422" s="175"/>
      <c r="D2422" s="176" t="s">
        <v>13974</v>
      </c>
      <c r="E2422" s="176">
        <v>108856</v>
      </c>
      <c r="F2422" s="177" t="s">
        <v>435</v>
      </c>
      <c r="G2422" s="178">
        <v>1926.4</v>
      </c>
      <c r="H2422" s="179"/>
      <c r="I2422" s="178">
        <f t="shared" si="75"/>
        <v>1926.4</v>
      </c>
      <c r="J2422" s="178">
        <f t="shared" si="76"/>
        <v>0</v>
      </c>
      <c r="K2422" s="19"/>
    </row>
    <row r="2423" spans="1:11" x14ac:dyDescent="0.25">
      <c r="A2423" s="51">
        <v>42846</v>
      </c>
      <c r="B2423" s="174" t="s">
        <v>13975</v>
      </c>
      <c r="C2423" s="175"/>
      <c r="D2423" s="176" t="s">
        <v>13975</v>
      </c>
      <c r="E2423" s="176">
        <v>108857</v>
      </c>
      <c r="F2423" s="177" t="s">
        <v>109</v>
      </c>
      <c r="G2423" s="178">
        <v>4778.7</v>
      </c>
      <c r="H2423" s="179">
        <v>42847</v>
      </c>
      <c r="I2423" s="178">
        <f t="shared" si="75"/>
        <v>4778.7</v>
      </c>
      <c r="J2423" s="178">
        <f t="shared" si="76"/>
        <v>0</v>
      </c>
      <c r="K2423" s="19"/>
    </row>
    <row r="2424" spans="1:11" x14ac:dyDescent="0.25">
      <c r="A2424" s="51">
        <v>42846</v>
      </c>
      <c r="B2424" s="174" t="s">
        <v>13976</v>
      </c>
      <c r="C2424" s="175"/>
      <c r="D2424" s="176" t="s">
        <v>13976</v>
      </c>
      <c r="E2424" s="176">
        <v>108858</v>
      </c>
      <c r="F2424" s="177" t="s">
        <v>492</v>
      </c>
      <c r="G2424" s="178">
        <v>20650.599999999999</v>
      </c>
      <c r="H2424" s="179">
        <v>42848</v>
      </c>
      <c r="I2424" s="178">
        <f t="shared" si="75"/>
        <v>20650.599999999999</v>
      </c>
      <c r="J2424" s="178">
        <f t="shared" si="76"/>
        <v>0</v>
      </c>
      <c r="K2424" s="19"/>
    </row>
    <row r="2425" spans="1:11" x14ac:dyDescent="0.25">
      <c r="A2425" s="51">
        <v>42846</v>
      </c>
      <c r="B2425" s="174" t="s">
        <v>13977</v>
      </c>
      <c r="C2425" s="175"/>
      <c r="D2425" s="176" t="s">
        <v>13977</v>
      </c>
      <c r="E2425" s="176">
        <v>108859</v>
      </c>
      <c r="F2425" s="177" t="s">
        <v>135</v>
      </c>
      <c r="G2425" s="178">
        <v>1119.8</v>
      </c>
      <c r="H2425" s="179">
        <v>42846</v>
      </c>
      <c r="I2425" s="178">
        <f t="shared" si="75"/>
        <v>1119.8</v>
      </c>
      <c r="J2425" s="178">
        <f t="shared" si="76"/>
        <v>0</v>
      </c>
      <c r="K2425" s="19"/>
    </row>
    <row r="2426" spans="1:11" x14ac:dyDescent="0.25">
      <c r="A2426" s="51">
        <v>42846</v>
      </c>
      <c r="B2426" s="174" t="s">
        <v>13978</v>
      </c>
      <c r="C2426" s="175"/>
      <c r="D2426" s="176" t="s">
        <v>13978</v>
      </c>
      <c r="E2426" s="176">
        <v>108860</v>
      </c>
      <c r="F2426" s="177" t="s">
        <v>10</v>
      </c>
      <c r="G2426" s="178">
        <v>5040</v>
      </c>
      <c r="H2426" s="179">
        <v>42849</v>
      </c>
      <c r="I2426" s="178">
        <f t="shared" si="75"/>
        <v>5040</v>
      </c>
      <c r="J2426" s="178">
        <f t="shared" si="76"/>
        <v>0</v>
      </c>
      <c r="K2426" s="19"/>
    </row>
    <row r="2427" spans="1:11" x14ac:dyDescent="0.25">
      <c r="A2427" s="51">
        <v>42846</v>
      </c>
      <c r="B2427" s="174" t="s">
        <v>13979</v>
      </c>
      <c r="C2427" s="175"/>
      <c r="D2427" s="176" t="s">
        <v>13979</v>
      </c>
      <c r="E2427" s="176">
        <v>108861</v>
      </c>
      <c r="F2427" s="177" t="s">
        <v>264</v>
      </c>
      <c r="G2427" s="178">
        <v>12584</v>
      </c>
      <c r="H2427" s="179">
        <v>42846</v>
      </c>
      <c r="I2427" s="178">
        <f t="shared" si="75"/>
        <v>12584</v>
      </c>
      <c r="J2427" s="178">
        <f t="shared" si="76"/>
        <v>0</v>
      </c>
      <c r="K2427" s="19"/>
    </row>
    <row r="2428" spans="1:11" x14ac:dyDescent="0.25">
      <c r="A2428" s="51">
        <v>42846</v>
      </c>
      <c r="B2428" s="174" t="s">
        <v>13980</v>
      </c>
      <c r="C2428" s="175"/>
      <c r="D2428" s="176" t="s">
        <v>13980</v>
      </c>
      <c r="E2428" s="176">
        <v>108862</v>
      </c>
      <c r="F2428" s="177" t="s">
        <v>30</v>
      </c>
      <c r="G2428" s="178">
        <v>3777.6</v>
      </c>
      <c r="H2428" s="179">
        <v>42846</v>
      </c>
      <c r="I2428" s="178">
        <f t="shared" si="75"/>
        <v>3777.6</v>
      </c>
      <c r="J2428" s="178">
        <f t="shared" si="76"/>
        <v>0</v>
      </c>
      <c r="K2428" s="19"/>
    </row>
    <row r="2429" spans="1:11" x14ac:dyDescent="0.25">
      <c r="A2429" s="51">
        <v>42846</v>
      </c>
      <c r="B2429" s="174" t="s">
        <v>13981</v>
      </c>
      <c r="C2429" s="175"/>
      <c r="D2429" s="176" t="s">
        <v>13981</v>
      </c>
      <c r="E2429" s="176">
        <v>108863</v>
      </c>
      <c r="F2429" s="177" t="s">
        <v>302</v>
      </c>
      <c r="G2429" s="178">
        <v>8385</v>
      </c>
      <c r="H2429" s="179">
        <v>42850</v>
      </c>
      <c r="I2429" s="178">
        <f t="shared" si="75"/>
        <v>8385</v>
      </c>
      <c r="J2429" s="178">
        <f t="shared" si="76"/>
        <v>0</v>
      </c>
      <c r="K2429" s="19"/>
    </row>
    <row r="2430" spans="1:11" x14ac:dyDescent="0.25">
      <c r="A2430" s="51">
        <v>42846</v>
      </c>
      <c r="B2430" s="174" t="s">
        <v>13982</v>
      </c>
      <c r="C2430" s="175"/>
      <c r="D2430" s="176" t="s">
        <v>13982</v>
      </c>
      <c r="E2430" s="176">
        <v>108864</v>
      </c>
      <c r="F2430" s="177" t="s">
        <v>30</v>
      </c>
      <c r="G2430" s="178">
        <v>121.5</v>
      </c>
      <c r="H2430" s="179">
        <v>42846</v>
      </c>
      <c r="I2430" s="178">
        <f t="shared" si="75"/>
        <v>121.5</v>
      </c>
      <c r="J2430" s="178">
        <f t="shared" si="76"/>
        <v>0</v>
      </c>
      <c r="K2430" s="19"/>
    </row>
    <row r="2431" spans="1:11" x14ac:dyDescent="0.25">
      <c r="A2431" s="51">
        <v>42846</v>
      </c>
      <c r="B2431" s="174" t="s">
        <v>13983</v>
      </c>
      <c r="C2431" s="175"/>
      <c r="D2431" s="176" t="s">
        <v>13983</v>
      </c>
      <c r="E2431" s="176">
        <v>108865</v>
      </c>
      <c r="F2431" s="177" t="s">
        <v>319</v>
      </c>
      <c r="G2431" s="178">
        <v>2668</v>
      </c>
      <c r="H2431" s="179">
        <v>42846</v>
      </c>
      <c r="I2431" s="178">
        <f t="shared" si="75"/>
        <v>2668</v>
      </c>
      <c r="J2431" s="178">
        <f t="shared" si="76"/>
        <v>0</v>
      </c>
      <c r="K2431" s="19"/>
    </row>
    <row r="2432" spans="1:11" x14ac:dyDescent="0.25">
      <c r="A2432" s="51">
        <v>42846</v>
      </c>
      <c r="B2432" s="174" t="s">
        <v>13984</v>
      </c>
      <c r="C2432" s="175"/>
      <c r="D2432" s="176" t="s">
        <v>13984</v>
      </c>
      <c r="E2432" s="176">
        <v>108866</v>
      </c>
      <c r="F2432" s="177" t="s">
        <v>2240</v>
      </c>
      <c r="G2432" s="178">
        <v>12098.36</v>
      </c>
      <c r="H2432" s="179">
        <v>42846</v>
      </c>
      <c r="I2432" s="178">
        <f t="shared" si="75"/>
        <v>12098.36</v>
      </c>
      <c r="J2432" s="178">
        <f t="shared" si="76"/>
        <v>0</v>
      </c>
      <c r="K2432" s="19"/>
    </row>
    <row r="2433" spans="1:11" x14ac:dyDescent="0.25">
      <c r="A2433" s="51">
        <v>42846</v>
      </c>
      <c r="B2433" s="174" t="s">
        <v>13985</v>
      </c>
      <c r="C2433" s="175"/>
      <c r="D2433" s="176" t="s">
        <v>13985</v>
      </c>
      <c r="E2433" s="176">
        <v>108867</v>
      </c>
      <c r="F2433" s="177" t="s">
        <v>329</v>
      </c>
      <c r="G2433" s="178">
        <v>756.8</v>
      </c>
      <c r="H2433" s="179">
        <v>42846</v>
      </c>
      <c r="I2433" s="178">
        <f t="shared" si="75"/>
        <v>756.8</v>
      </c>
      <c r="J2433" s="178">
        <f t="shared" si="76"/>
        <v>0</v>
      </c>
      <c r="K2433" s="19"/>
    </row>
    <row r="2434" spans="1:11" x14ac:dyDescent="0.25">
      <c r="A2434" s="51">
        <v>42846</v>
      </c>
      <c r="B2434" s="174" t="s">
        <v>13986</v>
      </c>
      <c r="C2434" s="175"/>
      <c r="D2434" s="176" t="s">
        <v>13986</v>
      </c>
      <c r="E2434" s="176">
        <v>108868</v>
      </c>
      <c r="F2434" s="177" t="s">
        <v>208</v>
      </c>
      <c r="G2434" s="178">
        <v>18177.400000000001</v>
      </c>
      <c r="H2434" s="179">
        <v>42847</v>
      </c>
      <c r="I2434" s="178">
        <f t="shared" si="75"/>
        <v>18177.400000000001</v>
      </c>
      <c r="J2434" s="178">
        <f t="shared" si="76"/>
        <v>0</v>
      </c>
      <c r="K2434" s="19"/>
    </row>
    <row r="2435" spans="1:11" x14ac:dyDescent="0.25">
      <c r="A2435" s="51">
        <v>42846</v>
      </c>
      <c r="B2435" s="174" t="s">
        <v>13987</v>
      </c>
      <c r="C2435" s="175"/>
      <c r="D2435" s="176" t="s">
        <v>13987</v>
      </c>
      <c r="E2435" s="176">
        <v>108869</v>
      </c>
      <c r="F2435" s="177" t="s">
        <v>923</v>
      </c>
      <c r="G2435" s="178">
        <v>22988.2</v>
      </c>
      <c r="H2435" s="179">
        <v>42849</v>
      </c>
      <c r="I2435" s="178">
        <f t="shared" si="75"/>
        <v>22988.2</v>
      </c>
      <c r="J2435" s="178">
        <f t="shared" si="76"/>
        <v>0</v>
      </c>
      <c r="K2435" s="19"/>
    </row>
    <row r="2436" spans="1:11" x14ac:dyDescent="0.25">
      <c r="A2436" s="51">
        <v>42846</v>
      </c>
      <c r="B2436" s="174" t="s">
        <v>13988</v>
      </c>
      <c r="C2436" s="175"/>
      <c r="D2436" s="176" t="s">
        <v>13988</v>
      </c>
      <c r="E2436" s="176">
        <v>108870</v>
      </c>
      <c r="F2436" s="177" t="s">
        <v>470</v>
      </c>
      <c r="G2436" s="178">
        <v>9250.5</v>
      </c>
      <c r="H2436" s="179">
        <v>42847</v>
      </c>
      <c r="I2436" s="178">
        <f t="shared" ref="I2436:I2499" si="77">G2436</f>
        <v>9250.5</v>
      </c>
      <c r="J2436" s="178">
        <f t="shared" ref="J2436:J2499" si="78">G2436-I2436</f>
        <v>0</v>
      </c>
      <c r="K2436" s="19"/>
    </row>
    <row r="2437" spans="1:11" x14ac:dyDescent="0.25">
      <c r="A2437" s="51">
        <v>42846</v>
      </c>
      <c r="B2437" s="174" t="s">
        <v>13989</v>
      </c>
      <c r="C2437" s="175"/>
      <c r="D2437" s="176" t="s">
        <v>13989</v>
      </c>
      <c r="E2437" s="176">
        <v>108871</v>
      </c>
      <c r="F2437" s="177" t="s">
        <v>352</v>
      </c>
      <c r="G2437" s="178">
        <v>3521.7</v>
      </c>
      <c r="H2437" s="179">
        <v>42846</v>
      </c>
      <c r="I2437" s="178">
        <f t="shared" si="77"/>
        <v>3521.7</v>
      </c>
      <c r="J2437" s="178">
        <f t="shared" si="78"/>
        <v>0</v>
      </c>
      <c r="K2437" s="19"/>
    </row>
    <row r="2438" spans="1:11" x14ac:dyDescent="0.25">
      <c r="A2438" s="51">
        <v>42846</v>
      </c>
      <c r="B2438" s="174" t="s">
        <v>13990</v>
      </c>
      <c r="C2438" s="175"/>
      <c r="D2438" s="176" t="s">
        <v>13990</v>
      </c>
      <c r="E2438" s="176">
        <v>108872</v>
      </c>
      <c r="F2438" s="177" t="s">
        <v>69</v>
      </c>
      <c r="G2438" s="178">
        <v>1272</v>
      </c>
      <c r="H2438" s="179">
        <v>42846</v>
      </c>
      <c r="I2438" s="178">
        <f t="shared" si="77"/>
        <v>1272</v>
      </c>
      <c r="J2438" s="178">
        <f t="shared" si="78"/>
        <v>0</v>
      </c>
      <c r="K2438" s="19"/>
    </row>
    <row r="2439" spans="1:11" x14ac:dyDescent="0.25">
      <c r="A2439" s="51">
        <v>42846</v>
      </c>
      <c r="B2439" s="174" t="s">
        <v>13991</v>
      </c>
      <c r="C2439" s="175"/>
      <c r="D2439" s="176" t="s">
        <v>13991</v>
      </c>
      <c r="E2439" s="176">
        <v>108873</v>
      </c>
      <c r="F2439" s="177" t="s">
        <v>231</v>
      </c>
      <c r="G2439" s="178">
        <v>4418.5</v>
      </c>
      <c r="H2439" s="179">
        <v>42846</v>
      </c>
      <c r="I2439" s="178">
        <f t="shared" si="77"/>
        <v>4418.5</v>
      </c>
      <c r="J2439" s="178">
        <f t="shared" si="78"/>
        <v>0</v>
      </c>
      <c r="K2439" s="19"/>
    </row>
    <row r="2440" spans="1:11" x14ac:dyDescent="0.25">
      <c r="A2440" s="51">
        <v>42846</v>
      </c>
      <c r="B2440" s="174" t="s">
        <v>13992</v>
      </c>
      <c r="C2440" s="175"/>
      <c r="D2440" s="176" t="s">
        <v>13992</v>
      </c>
      <c r="E2440" s="176">
        <v>108874</v>
      </c>
      <c r="F2440" s="177" t="s">
        <v>172</v>
      </c>
      <c r="G2440" s="178">
        <v>43227.7</v>
      </c>
      <c r="H2440" s="184">
        <v>42853</v>
      </c>
      <c r="I2440" s="183">
        <f t="shared" si="77"/>
        <v>43227.7</v>
      </c>
      <c r="J2440" s="178">
        <f t="shared" si="78"/>
        <v>0</v>
      </c>
      <c r="K2440" s="19"/>
    </row>
    <row r="2441" spans="1:11" x14ac:dyDescent="0.25">
      <c r="A2441" s="51">
        <v>42846</v>
      </c>
      <c r="B2441" s="174" t="s">
        <v>13993</v>
      </c>
      <c r="C2441" s="175"/>
      <c r="D2441" s="176" t="s">
        <v>13993</v>
      </c>
      <c r="E2441" s="176">
        <v>108875</v>
      </c>
      <c r="F2441" s="177" t="s">
        <v>165</v>
      </c>
      <c r="G2441" s="178">
        <v>8867</v>
      </c>
      <c r="H2441" s="184">
        <v>42853</v>
      </c>
      <c r="I2441" s="183">
        <f t="shared" si="77"/>
        <v>8867</v>
      </c>
      <c r="J2441" s="178">
        <f t="shared" si="78"/>
        <v>0</v>
      </c>
      <c r="K2441" s="19"/>
    </row>
    <row r="2442" spans="1:11" x14ac:dyDescent="0.25">
      <c r="A2442" s="51">
        <v>42846</v>
      </c>
      <c r="B2442" s="174" t="s">
        <v>13994</v>
      </c>
      <c r="C2442" s="175"/>
      <c r="D2442" s="176" t="s">
        <v>13994</v>
      </c>
      <c r="E2442" s="176">
        <v>108876</v>
      </c>
      <c r="F2442" s="177" t="s">
        <v>422</v>
      </c>
      <c r="G2442" s="178">
        <v>2918.4</v>
      </c>
      <c r="H2442" s="179">
        <v>42846</v>
      </c>
      <c r="I2442" s="178">
        <f t="shared" si="77"/>
        <v>2918.4</v>
      </c>
      <c r="J2442" s="178">
        <f t="shared" si="78"/>
        <v>0</v>
      </c>
      <c r="K2442" s="19"/>
    </row>
    <row r="2443" spans="1:11" x14ac:dyDescent="0.25">
      <c r="A2443" s="51">
        <v>42846</v>
      </c>
      <c r="B2443" s="174" t="s">
        <v>13995</v>
      </c>
      <c r="C2443" s="175"/>
      <c r="D2443" s="176" t="s">
        <v>13995</v>
      </c>
      <c r="E2443" s="176">
        <v>108877</v>
      </c>
      <c r="F2443" s="177" t="s">
        <v>222</v>
      </c>
      <c r="G2443" s="178">
        <v>42905.56</v>
      </c>
      <c r="H2443" s="184">
        <v>42852</v>
      </c>
      <c r="I2443" s="183">
        <f t="shared" si="77"/>
        <v>42905.56</v>
      </c>
      <c r="J2443" s="178">
        <f t="shared" si="78"/>
        <v>0</v>
      </c>
      <c r="K2443" s="19"/>
    </row>
    <row r="2444" spans="1:11" x14ac:dyDescent="0.25">
      <c r="A2444" s="51">
        <v>42846</v>
      </c>
      <c r="B2444" s="174" t="s">
        <v>13996</v>
      </c>
      <c r="C2444" s="175"/>
      <c r="D2444" s="176" t="s">
        <v>13996</v>
      </c>
      <c r="E2444" s="176">
        <v>108878</v>
      </c>
      <c r="F2444" s="177" t="s">
        <v>806</v>
      </c>
      <c r="G2444" s="178">
        <v>5746</v>
      </c>
      <c r="H2444" s="179">
        <v>42846</v>
      </c>
      <c r="I2444" s="178">
        <f t="shared" si="77"/>
        <v>5746</v>
      </c>
      <c r="J2444" s="178">
        <f t="shared" si="78"/>
        <v>0</v>
      </c>
      <c r="K2444" s="19"/>
    </row>
    <row r="2445" spans="1:11" x14ac:dyDescent="0.25">
      <c r="A2445" s="51">
        <v>42846</v>
      </c>
      <c r="B2445" s="174" t="s">
        <v>13997</v>
      </c>
      <c r="C2445" s="175"/>
      <c r="D2445" s="176" t="s">
        <v>13997</v>
      </c>
      <c r="E2445" s="176">
        <v>108879</v>
      </c>
      <c r="F2445" s="177" t="s">
        <v>773</v>
      </c>
      <c r="G2445" s="178">
        <v>4114.8999999999996</v>
      </c>
      <c r="H2445" s="179">
        <v>42846</v>
      </c>
      <c r="I2445" s="178">
        <f t="shared" si="77"/>
        <v>4114.8999999999996</v>
      </c>
      <c r="J2445" s="178">
        <f t="shared" si="78"/>
        <v>0</v>
      </c>
      <c r="K2445" s="19"/>
    </row>
    <row r="2446" spans="1:11" x14ac:dyDescent="0.25">
      <c r="A2446" s="51">
        <v>42846</v>
      </c>
      <c r="B2446" s="174" t="s">
        <v>13998</v>
      </c>
      <c r="C2446" s="175"/>
      <c r="D2446" s="176" t="s">
        <v>13998</v>
      </c>
      <c r="E2446" s="176">
        <v>108880</v>
      </c>
      <c r="F2446" s="177" t="s">
        <v>155</v>
      </c>
      <c r="G2446" s="178">
        <v>24538.6</v>
      </c>
      <c r="H2446" s="180" t="s">
        <v>13999</v>
      </c>
      <c r="I2446" s="181">
        <f>2038.6+22500</f>
        <v>24538.6</v>
      </c>
      <c r="J2446" s="181">
        <f t="shared" si="78"/>
        <v>0</v>
      </c>
      <c r="K2446" s="19"/>
    </row>
    <row r="2447" spans="1:11" x14ac:dyDescent="0.25">
      <c r="A2447" s="51">
        <v>42846</v>
      </c>
      <c r="B2447" s="174" t="s">
        <v>14000</v>
      </c>
      <c r="C2447" s="175"/>
      <c r="D2447" s="176" t="s">
        <v>14000</v>
      </c>
      <c r="E2447" s="176">
        <v>108881</v>
      </c>
      <c r="F2447" s="177" t="s">
        <v>161</v>
      </c>
      <c r="G2447" s="178">
        <v>46634.1</v>
      </c>
      <c r="H2447" s="184">
        <v>42864</v>
      </c>
      <c r="I2447" s="183">
        <f t="shared" si="77"/>
        <v>46634.1</v>
      </c>
      <c r="J2447" s="178">
        <f t="shared" si="78"/>
        <v>0</v>
      </c>
      <c r="K2447" s="19"/>
    </row>
    <row r="2448" spans="1:11" x14ac:dyDescent="0.25">
      <c r="A2448" s="51">
        <v>42846</v>
      </c>
      <c r="B2448" s="174" t="s">
        <v>14001</v>
      </c>
      <c r="C2448" s="175"/>
      <c r="D2448" s="176" t="s">
        <v>14001</v>
      </c>
      <c r="E2448" s="176">
        <v>108882</v>
      </c>
      <c r="F2448" s="177" t="s">
        <v>163</v>
      </c>
      <c r="G2448" s="178">
        <v>18460</v>
      </c>
      <c r="H2448" s="184">
        <v>42853</v>
      </c>
      <c r="I2448" s="183">
        <f t="shared" si="77"/>
        <v>18460</v>
      </c>
      <c r="J2448" s="178">
        <f t="shared" si="78"/>
        <v>0</v>
      </c>
      <c r="K2448" s="19"/>
    </row>
    <row r="2449" spans="1:11" x14ac:dyDescent="0.25">
      <c r="A2449" s="51">
        <v>42846</v>
      </c>
      <c r="B2449" s="174" t="s">
        <v>14002</v>
      </c>
      <c r="C2449" s="175"/>
      <c r="D2449" s="176" t="s">
        <v>14002</v>
      </c>
      <c r="E2449" s="176">
        <v>108883</v>
      </c>
      <c r="F2449" s="177" t="s">
        <v>145</v>
      </c>
      <c r="G2449" s="178">
        <v>6258</v>
      </c>
      <c r="H2449" s="179">
        <v>42847</v>
      </c>
      <c r="I2449" s="178">
        <f t="shared" si="77"/>
        <v>6258</v>
      </c>
      <c r="J2449" s="178">
        <f t="shared" si="78"/>
        <v>0</v>
      </c>
      <c r="K2449" s="19"/>
    </row>
    <row r="2450" spans="1:11" x14ac:dyDescent="0.25">
      <c r="A2450" s="51">
        <v>42846</v>
      </c>
      <c r="B2450" s="174" t="s">
        <v>14003</v>
      </c>
      <c r="C2450" s="175"/>
      <c r="D2450" s="176" t="s">
        <v>14003</v>
      </c>
      <c r="E2450" s="176">
        <v>108884</v>
      </c>
      <c r="F2450" s="182" t="s">
        <v>3319</v>
      </c>
      <c r="G2450" s="183">
        <v>0</v>
      </c>
      <c r="H2450" s="184" t="s">
        <v>95</v>
      </c>
      <c r="I2450" s="183">
        <f t="shared" si="77"/>
        <v>0</v>
      </c>
      <c r="J2450" s="183">
        <f t="shared" si="78"/>
        <v>0</v>
      </c>
      <c r="K2450" s="19"/>
    </row>
    <row r="2451" spans="1:11" x14ac:dyDescent="0.25">
      <c r="A2451" s="51">
        <v>42846</v>
      </c>
      <c r="B2451" s="174" t="s">
        <v>14004</v>
      </c>
      <c r="C2451" s="175"/>
      <c r="D2451" s="176" t="s">
        <v>14004</v>
      </c>
      <c r="E2451" s="176">
        <v>108885</v>
      </c>
      <c r="F2451" s="177" t="s">
        <v>930</v>
      </c>
      <c r="G2451" s="178">
        <v>20301</v>
      </c>
      <c r="H2451" s="179">
        <v>42846</v>
      </c>
      <c r="I2451" s="178">
        <f t="shared" si="77"/>
        <v>20301</v>
      </c>
      <c r="J2451" s="178">
        <f t="shared" si="78"/>
        <v>0</v>
      </c>
      <c r="K2451" s="19"/>
    </row>
    <row r="2452" spans="1:11" x14ac:dyDescent="0.25">
      <c r="A2452" s="51">
        <v>42846</v>
      </c>
      <c r="B2452" s="174" t="s">
        <v>14005</v>
      </c>
      <c r="C2452" s="175"/>
      <c r="D2452" s="176" t="s">
        <v>14005</v>
      </c>
      <c r="E2452" s="176">
        <v>108886</v>
      </c>
      <c r="F2452" s="177" t="s">
        <v>2986</v>
      </c>
      <c r="G2452" s="178">
        <v>3230.5</v>
      </c>
      <c r="H2452" s="179">
        <v>42846</v>
      </c>
      <c r="I2452" s="178">
        <f t="shared" si="77"/>
        <v>3230.5</v>
      </c>
      <c r="J2452" s="178">
        <f t="shared" si="78"/>
        <v>0</v>
      </c>
      <c r="K2452" s="19"/>
    </row>
    <row r="2453" spans="1:11" x14ac:dyDescent="0.25">
      <c r="A2453" s="51">
        <v>42846</v>
      </c>
      <c r="B2453" s="174" t="s">
        <v>14006</v>
      </c>
      <c r="C2453" s="175"/>
      <c r="D2453" s="176" t="s">
        <v>14006</v>
      </c>
      <c r="E2453" s="176">
        <v>108887</v>
      </c>
      <c r="F2453" s="177" t="s">
        <v>115</v>
      </c>
      <c r="G2453" s="178">
        <v>3211.8</v>
      </c>
      <c r="H2453" s="179">
        <v>42846</v>
      </c>
      <c r="I2453" s="178">
        <f t="shared" si="77"/>
        <v>3211.8</v>
      </c>
      <c r="J2453" s="178">
        <f t="shared" si="78"/>
        <v>0</v>
      </c>
      <c r="K2453" s="19"/>
    </row>
    <row r="2454" spans="1:11" x14ac:dyDescent="0.25">
      <c r="A2454" s="51">
        <v>42846</v>
      </c>
      <c r="B2454" s="174" t="s">
        <v>14007</v>
      </c>
      <c r="C2454" s="175"/>
      <c r="D2454" s="176" t="s">
        <v>14007</v>
      </c>
      <c r="E2454" s="176">
        <v>108888</v>
      </c>
      <c r="F2454" s="177" t="s">
        <v>10</v>
      </c>
      <c r="G2454" s="178">
        <v>273382.46000000002</v>
      </c>
      <c r="H2454" s="179">
        <v>42849</v>
      </c>
      <c r="I2454" s="178">
        <f t="shared" si="77"/>
        <v>273382.46000000002</v>
      </c>
      <c r="J2454" s="178">
        <f t="shared" si="78"/>
        <v>0</v>
      </c>
      <c r="K2454" s="19"/>
    </row>
    <row r="2455" spans="1:11" x14ac:dyDescent="0.25">
      <c r="A2455" s="51">
        <v>42846</v>
      </c>
      <c r="B2455" s="174" t="s">
        <v>14008</v>
      </c>
      <c r="C2455" s="175"/>
      <c r="D2455" s="176" t="s">
        <v>14008</v>
      </c>
      <c r="E2455" s="176">
        <v>108889</v>
      </c>
      <c r="F2455" s="177" t="s">
        <v>12879</v>
      </c>
      <c r="G2455" s="178">
        <v>699.6</v>
      </c>
      <c r="H2455" s="179">
        <v>42846</v>
      </c>
      <c r="I2455" s="178">
        <f t="shared" si="77"/>
        <v>699.6</v>
      </c>
      <c r="J2455" s="178">
        <f t="shared" si="78"/>
        <v>0</v>
      </c>
      <c r="K2455" s="19"/>
    </row>
    <row r="2456" spans="1:11" x14ac:dyDescent="0.25">
      <c r="A2456" s="51">
        <v>42846</v>
      </c>
      <c r="B2456" s="174" t="s">
        <v>14009</v>
      </c>
      <c r="C2456" s="175"/>
      <c r="D2456" s="176" t="s">
        <v>14009</v>
      </c>
      <c r="E2456" s="176">
        <v>108890</v>
      </c>
      <c r="F2456" s="177" t="s">
        <v>3319</v>
      </c>
      <c r="G2456" s="178">
        <v>7400</v>
      </c>
      <c r="H2456" s="179">
        <v>42847</v>
      </c>
      <c r="I2456" s="178">
        <f t="shared" si="77"/>
        <v>7400</v>
      </c>
      <c r="J2456" s="178">
        <f t="shared" si="78"/>
        <v>0</v>
      </c>
      <c r="K2456" s="19"/>
    </row>
    <row r="2457" spans="1:11" x14ac:dyDescent="0.25">
      <c r="A2457" s="51">
        <v>42846</v>
      </c>
      <c r="B2457" s="174" t="s">
        <v>14010</v>
      </c>
      <c r="C2457" s="175"/>
      <c r="D2457" s="176" t="s">
        <v>14010</v>
      </c>
      <c r="E2457" s="176">
        <v>108891</v>
      </c>
      <c r="F2457" s="177" t="s">
        <v>145</v>
      </c>
      <c r="G2457" s="178">
        <v>17330.400000000001</v>
      </c>
      <c r="H2457" s="179">
        <v>42847</v>
      </c>
      <c r="I2457" s="178">
        <f t="shared" si="77"/>
        <v>17330.400000000001</v>
      </c>
      <c r="J2457" s="178">
        <f t="shared" si="78"/>
        <v>0</v>
      </c>
      <c r="K2457" s="19"/>
    </row>
    <row r="2458" spans="1:11" x14ac:dyDescent="0.25">
      <c r="A2458" s="51">
        <v>42846</v>
      </c>
      <c r="B2458" s="174" t="s">
        <v>14011</v>
      </c>
      <c r="C2458" s="175"/>
      <c r="D2458" s="176" t="s">
        <v>14011</v>
      </c>
      <c r="E2458" s="176">
        <v>108892</v>
      </c>
      <c r="F2458" s="177" t="s">
        <v>10</v>
      </c>
      <c r="G2458" s="178">
        <v>33106.300000000003</v>
      </c>
      <c r="H2458" s="179">
        <v>42849</v>
      </c>
      <c r="I2458" s="178">
        <f t="shared" si="77"/>
        <v>33106.300000000003</v>
      </c>
      <c r="J2458" s="178">
        <f t="shared" si="78"/>
        <v>0</v>
      </c>
      <c r="K2458" s="19"/>
    </row>
    <row r="2459" spans="1:11" x14ac:dyDescent="0.25">
      <c r="A2459" s="51">
        <v>42846</v>
      </c>
      <c r="B2459" s="174" t="s">
        <v>14012</v>
      </c>
      <c r="C2459" s="175"/>
      <c r="D2459" s="176" t="s">
        <v>14012</v>
      </c>
      <c r="E2459" s="176">
        <v>108893</v>
      </c>
      <c r="F2459" s="177" t="s">
        <v>30</v>
      </c>
      <c r="G2459" s="178">
        <v>123.2</v>
      </c>
      <c r="H2459" s="179">
        <v>42846</v>
      </c>
      <c r="I2459" s="178">
        <f t="shared" si="77"/>
        <v>123.2</v>
      </c>
      <c r="J2459" s="178">
        <f t="shared" si="78"/>
        <v>0</v>
      </c>
      <c r="K2459" s="19"/>
    </row>
    <row r="2460" spans="1:11" x14ac:dyDescent="0.25">
      <c r="A2460" s="51">
        <v>42846</v>
      </c>
      <c r="B2460" s="174" t="s">
        <v>14013</v>
      </c>
      <c r="C2460" s="175"/>
      <c r="D2460" s="176" t="s">
        <v>14013</v>
      </c>
      <c r="E2460" s="176">
        <v>108894</v>
      </c>
      <c r="F2460" s="177" t="s">
        <v>921</v>
      </c>
      <c r="G2460" s="178">
        <v>4455.8</v>
      </c>
      <c r="H2460" s="179">
        <v>42846</v>
      </c>
      <c r="I2460" s="178">
        <f t="shared" si="77"/>
        <v>4455.8</v>
      </c>
      <c r="J2460" s="178">
        <f t="shared" si="78"/>
        <v>0</v>
      </c>
      <c r="K2460" s="19"/>
    </row>
    <row r="2461" spans="1:11" x14ac:dyDescent="0.25">
      <c r="A2461" s="51">
        <v>42846</v>
      </c>
      <c r="B2461" s="174" t="s">
        <v>14014</v>
      </c>
      <c r="C2461" s="175"/>
      <c r="D2461" s="176" t="s">
        <v>14014</v>
      </c>
      <c r="E2461" s="176">
        <v>108895</v>
      </c>
      <c r="F2461" s="177" t="s">
        <v>47</v>
      </c>
      <c r="G2461" s="178">
        <v>668.6</v>
      </c>
      <c r="H2461" s="179">
        <v>42846</v>
      </c>
      <c r="I2461" s="178">
        <f t="shared" si="77"/>
        <v>668.6</v>
      </c>
      <c r="J2461" s="178">
        <f t="shared" si="78"/>
        <v>0</v>
      </c>
      <c r="K2461" s="19"/>
    </row>
    <row r="2462" spans="1:11" x14ac:dyDescent="0.25">
      <c r="A2462" s="51">
        <v>42846</v>
      </c>
      <c r="B2462" s="174" t="s">
        <v>14015</v>
      </c>
      <c r="C2462" s="175"/>
      <c r="D2462" s="176" t="s">
        <v>14015</v>
      </c>
      <c r="E2462" s="176">
        <v>108896</v>
      </c>
      <c r="F2462" s="177" t="s">
        <v>354</v>
      </c>
      <c r="G2462" s="178">
        <v>2598.5</v>
      </c>
      <c r="H2462" s="179">
        <v>42846</v>
      </c>
      <c r="I2462" s="178">
        <f t="shared" si="77"/>
        <v>2598.5</v>
      </c>
      <c r="J2462" s="178">
        <f t="shared" si="78"/>
        <v>0</v>
      </c>
      <c r="K2462" s="19"/>
    </row>
    <row r="2463" spans="1:11" x14ac:dyDescent="0.25">
      <c r="A2463" s="51">
        <v>42846</v>
      </c>
      <c r="B2463" s="174" t="s">
        <v>14016</v>
      </c>
      <c r="C2463" s="175"/>
      <c r="D2463" s="176" t="s">
        <v>14016</v>
      </c>
      <c r="E2463" s="176">
        <v>108897</v>
      </c>
      <c r="F2463" s="177" t="s">
        <v>2533</v>
      </c>
      <c r="G2463" s="178">
        <v>655.20000000000005</v>
      </c>
      <c r="H2463" s="179">
        <v>42847</v>
      </c>
      <c r="I2463" s="178">
        <f t="shared" si="77"/>
        <v>655.20000000000005</v>
      </c>
      <c r="J2463" s="178">
        <f t="shared" si="78"/>
        <v>0</v>
      </c>
      <c r="K2463" s="19"/>
    </row>
    <row r="2464" spans="1:11" x14ac:dyDescent="0.25">
      <c r="A2464" s="51">
        <v>42846</v>
      </c>
      <c r="B2464" s="174" t="s">
        <v>14017</v>
      </c>
      <c r="C2464" s="175"/>
      <c r="D2464" s="176" t="s">
        <v>14017</v>
      </c>
      <c r="E2464" s="176">
        <v>108898</v>
      </c>
      <c r="F2464" s="177" t="s">
        <v>1166</v>
      </c>
      <c r="G2464" s="178">
        <v>1067.2</v>
      </c>
      <c r="H2464" s="179">
        <v>42847</v>
      </c>
      <c r="I2464" s="178">
        <f t="shared" si="77"/>
        <v>1067.2</v>
      </c>
      <c r="J2464" s="178">
        <f t="shared" si="78"/>
        <v>0</v>
      </c>
      <c r="K2464" s="19"/>
    </row>
    <row r="2465" spans="1:11" x14ac:dyDescent="0.25">
      <c r="A2465" s="51">
        <v>42846</v>
      </c>
      <c r="B2465" s="174" t="s">
        <v>14018</v>
      </c>
      <c r="C2465" s="175"/>
      <c r="D2465" s="176" t="s">
        <v>14018</v>
      </c>
      <c r="E2465" s="176">
        <v>108899</v>
      </c>
      <c r="F2465" s="177" t="s">
        <v>193</v>
      </c>
      <c r="G2465" s="178">
        <v>2083.1999999999998</v>
      </c>
      <c r="H2465" s="179">
        <v>42847</v>
      </c>
      <c r="I2465" s="178">
        <f t="shared" si="77"/>
        <v>2083.1999999999998</v>
      </c>
      <c r="J2465" s="178">
        <f t="shared" si="78"/>
        <v>0</v>
      </c>
      <c r="K2465" s="19"/>
    </row>
    <row r="2466" spans="1:11" x14ac:dyDescent="0.25">
      <c r="A2466" s="51">
        <v>42846</v>
      </c>
      <c r="B2466" s="174" t="s">
        <v>14019</v>
      </c>
      <c r="C2466" s="175"/>
      <c r="D2466" s="176" t="s">
        <v>14019</v>
      </c>
      <c r="E2466" s="176">
        <v>108900</v>
      </c>
      <c r="F2466" s="177" t="s">
        <v>182</v>
      </c>
      <c r="G2466" s="178">
        <v>3444.3</v>
      </c>
      <c r="H2466" s="179">
        <v>42847</v>
      </c>
      <c r="I2466" s="178">
        <f t="shared" si="77"/>
        <v>3444.3</v>
      </c>
      <c r="J2466" s="178">
        <f t="shared" si="78"/>
        <v>0</v>
      </c>
      <c r="K2466" s="19"/>
    </row>
    <row r="2467" spans="1:11" x14ac:dyDescent="0.25">
      <c r="A2467" s="51">
        <v>42846</v>
      </c>
      <c r="B2467" s="174" t="s">
        <v>14020</v>
      </c>
      <c r="C2467" s="175"/>
      <c r="D2467" s="176" t="s">
        <v>14020</v>
      </c>
      <c r="E2467" s="176">
        <v>108901</v>
      </c>
      <c r="F2467" s="177" t="s">
        <v>30</v>
      </c>
      <c r="G2467" s="178">
        <v>5336.8</v>
      </c>
      <c r="H2467" s="179">
        <v>42846</v>
      </c>
      <c r="I2467" s="178">
        <f t="shared" si="77"/>
        <v>5336.8</v>
      </c>
      <c r="J2467" s="178">
        <f t="shared" si="78"/>
        <v>0</v>
      </c>
      <c r="K2467" s="19"/>
    </row>
    <row r="2468" spans="1:11" x14ac:dyDescent="0.25">
      <c r="A2468" s="51">
        <v>42846</v>
      </c>
      <c r="B2468" s="174" t="s">
        <v>14021</v>
      </c>
      <c r="C2468" s="175"/>
      <c r="D2468" s="176" t="s">
        <v>14021</v>
      </c>
      <c r="E2468" s="176">
        <v>108902</v>
      </c>
      <c r="F2468" s="177" t="s">
        <v>693</v>
      </c>
      <c r="G2468" s="178">
        <v>50919.199999999997</v>
      </c>
      <c r="H2468" s="186" t="s">
        <v>15191</v>
      </c>
      <c r="I2468" s="187">
        <f>19000+15000+16919.2</f>
        <v>50919.199999999997</v>
      </c>
      <c r="J2468" s="178">
        <f t="shared" si="78"/>
        <v>0</v>
      </c>
      <c r="K2468" s="19"/>
    </row>
    <row r="2469" spans="1:11" x14ac:dyDescent="0.25">
      <c r="A2469" s="51">
        <v>42846</v>
      </c>
      <c r="B2469" s="174" t="s">
        <v>14022</v>
      </c>
      <c r="C2469" s="175"/>
      <c r="D2469" s="176" t="s">
        <v>14022</v>
      </c>
      <c r="E2469" s="176">
        <v>108903</v>
      </c>
      <c r="F2469" s="177" t="s">
        <v>352</v>
      </c>
      <c r="G2469" s="178">
        <v>140.6</v>
      </c>
      <c r="H2469" s="179">
        <v>42846</v>
      </c>
      <c r="I2469" s="178">
        <f t="shared" si="77"/>
        <v>140.6</v>
      </c>
      <c r="J2469" s="178">
        <f t="shared" si="78"/>
        <v>0</v>
      </c>
      <c r="K2469" s="19"/>
    </row>
    <row r="2470" spans="1:11" x14ac:dyDescent="0.25">
      <c r="A2470" s="51">
        <v>42846</v>
      </c>
      <c r="B2470" s="174" t="s">
        <v>14023</v>
      </c>
      <c r="C2470" s="175"/>
      <c r="D2470" s="176" t="s">
        <v>14023</v>
      </c>
      <c r="E2470" s="176">
        <v>108904</v>
      </c>
      <c r="F2470" s="177" t="s">
        <v>352</v>
      </c>
      <c r="G2470" s="178">
        <v>64.8</v>
      </c>
      <c r="H2470" s="179">
        <v>42846</v>
      </c>
      <c r="I2470" s="178">
        <f t="shared" si="77"/>
        <v>64.8</v>
      </c>
      <c r="J2470" s="178">
        <f t="shared" si="78"/>
        <v>0</v>
      </c>
      <c r="K2470" s="19"/>
    </row>
    <row r="2471" spans="1:11" x14ac:dyDescent="0.25">
      <c r="A2471" s="51">
        <v>42846</v>
      </c>
      <c r="B2471" s="174" t="s">
        <v>14024</v>
      </c>
      <c r="C2471" s="175"/>
      <c r="D2471" s="176" t="s">
        <v>14024</v>
      </c>
      <c r="E2471" s="176">
        <v>108905</v>
      </c>
      <c r="F2471" s="177" t="s">
        <v>379</v>
      </c>
      <c r="G2471" s="178">
        <v>6007.2</v>
      </c>
      <c r="H2471" s="184">
        <v>42853</v>
      </c>
      <c r="I2471" s="183">
        <f t="shared" si="77"/>
        <v>6007.2</v>
      </c>
      <c r="J2471" s="178">
        <f t="shared" si="78"/>
        <v>0</v>
      </c>
      <c r="K2471" s="19"/>
    </row>
    <row r="2472" spans="1:11" x14ac:dyDescent="0.25">
      <c r="A2472" s="51">
        <v>42846</v>
      </c>
      <c r="B2472" s="174" t="s">
        <v>14025</v>
      </c>
      <c r="C2472" s="175"/>
      <c r="D2472" s="176" t="s">
        <v>14025</v>
      </c>
      <c r="E2472" s="176">
        <v>108906</v>
      </c>
      <c r="F2472" s="177" t="s">
        <v>531</v>
      </c>
      <c r="G2472" s="178">
        <v>30760.29</v>
      </c>
      <c r="H2472" s="179">
        <v>42846</v>
      </c>
      <c r="I2472" s="178">
        <f t="shared" si="77"/>
        <v>30760.29</v>
      </c>
      <c r="J2472" s="178">
        <f t="shared" si="78"/>
        <v>0</v>
      </c>
      <c r="K2472" s="19"/>
    </row>
    <row r="2473" spans="1:11" x14ac:dyDescent="0.25">
      <c r="A2473" s="51">
        <v>42846</v>
      </c>
      <c r="B2473" s="174" t="s">
        <v>14026</v>
      </c>
      <c r="C2473" s="175"/>
      <c r="D2473" s="176" t="s">
        <v>14026</v>
      </c>
      <c r="E2473" s="176">
        <v>108907</v>
      </c>
      <c r="F2473" s="177" t="s">
        <v>14</v>
      </c>
      <c r="G2473" s="178">
        <v>8554.4</v>
      </c>
      <c r="H2473" s="179">
        <v>42846</v>
      </c>
      <c r="I2473" s="178">
        <f t="shared" si="77"/>
        <v>8554.4</v>
      </c>
      <c r="J2473" s="178">
        <f t="shared" si="78"/>
        <v>0</v>
      </c>
      <c r="K2473" s="19"/>
    </row>
    <row r="2474" spans="1:11" x14ac:dyDescent="0.25">
      <c r="A2474" s="51">
        <v>42846</v>
      </c>
      <c r="B2474" s="174" t="s">
        <v>14027</v>
      </c>
      <c r="C2474" s="175"/>
      <c r="D2474" s="176" t="s">
        <v>14027</v>
      </c>
      <c r="E2474" s="176">
        <v>108908</v>
      </c>
      <c r="F2474" s="177" t="s">
        <v>30</v>
      </c>
      <c r="G2474" s="178">
        <v>1210.5</v>
      </c>
      <c r="H2474" s="179">
        <v>42846</v>
      </c>
      <c r="I2474" s="178">
        <f t="shared" si="77"/>
        <v>1210.5</v>
      </c>
      <c r="J2474" s="178">
        <f t="shared" si="78"/>
        <v>0</v>
      </c>
      <c r="K2474" s="19"/>
    </row>
    <row r="2475" spans="1:11" x14ac:dyDescent="0.25">
      <c r="A2475" s="51">
        <v>42846</v>
      </c>
      <c r="B2475" s="174" t="s">
        <v>14028</v>
      </c>
      <c r="C2475" s="175"/>
      <c r="D2475" s="176" t="s">
        <v>14028</v>
      </c>
      <c r="E2475" s="176">
        <v>108909</v>
      </c>
      <c r="F2475" s="182" t="s">
        <v>472</v>
      </c>
      <c r="G2475" s="183">
        <v>0</v>
      </c>
      <c r="H2475" s="184" t="s">
        <v>95</v>
      </c>
      <c r="I2475" s="183">
        <f t="shared" si="77"/>
        <v>0</v>
      </c>
      <c r="J2475" s="183">
        <f t="shared" si="78"/>
        <v>0</v>
      </c>
      <c r="K2475" s="19"/>
    </row>
    <row r="2476" spans="1:11" x14ac:dyDescent="0.25">
      <c r="A2476" s="51">
        <v>42846</v>
      </c>
      <c r="B2476" s="174" t="s">
        <v>14029</v>
      </c>
      <c r="C2476" s="175"/>
      <c r="D2476" s="176" t="s">
        <v>14029</v>
      </c>
      <c r="E2476" s="176">
        <v>108910</v>
      </c>
      <c r="F2476" s="177" t="s">
        <v>358</v>
      </c>
      <c r="G2476" s="178">
        <v>31912.65</v>
      </c>
      <c r="H2476" s="179">
        <v>42847</v>
      </c>
      <c r="I2476" s="178">
        <f t="shared" si="77"/>
        <v>31912.65</v>
      </c>
      <c r="J2476" s="178">
        <f t="shared" si="78"/>
        <v>0</v>
      </c>
      <c r="K2476" s="19"/>
    </row>
    <row r="2477" spans="1:11" x14ac:dyDescent="0.25">
      <c r="A2477" s="51">
        <v>42846</v>
      </c>
      <c r="B2477" s="174" t="s">
        <v>14030</v>
      </c>
      <c r="C2477" s="175"/>
      <c r="D2477" s="176" t="s">
        <v>14030</v>
      </c>
      <c r="E2477" s="176">
        <v>108911</v>
      </c>
      <c r="F2477" s="177" t="s">
        <v>472</v>
      </c>
      <c r="G2477" s="178">
        <v>4020</v>
      </c>
      <c r="H2477" s="184">
        <v>42852</v>
      </c>
      <c r="I2477" s="183">
        <f t="shared" si="77"/>
        <v>4020</v>
      </c>
      <c r="J2477" s="178">
        <f t="shared" si="78"/>
        <v>0</v>
      </c>
      <c r="K2477" s="19"/>
    </row>
    <row r="2478" spans="1:11" x14ac:dyDescent="0.25">
      <c r="A2478" s="51">
        <v>42846</v>
      </c>
      <c r="B2478" s="174" t="s">
        <v>14031</v>
      </c>
      <c r="C2478" s="175"/>
      <c r="D2478" s="176" t="s">
        <v>14031</v>
      </c>
      <c r="E2478" s="176">
        <v>108912</v>
      </c>
      <c r="F2478" s="177" t="s">
        <v>205</v>
      </c>
      <c r="G2478" s="178">
        <v>34741.599999999999</v>
      </c>
      <c r="H2478" s="179">
        <v>42847</v>
      </c>
      <c r="I2478" s="178">
        <f t="shared" si="77"/>
        <v>34741.599999999999</v>
      </c>
      <c r="J2478" s="178">
        <f t="shared" si="78"/>
        <v>0</v>
      </c>
      <c r="K2478" s="19"/>
    </row>
    <row r="2479" spans="1:11" x14ac:dyDescent="0.25">
      <c r="A2479" s="51">
        <v>42846</v>
      </c>
      <c r="B2479" s="174" t="s">
        <v>14032</v>
      </c>
      <c r="C2479" s="175"/>
      <c r="D2479" s="176" t="s">
        <v>14032</v>
      </c>
      <c r="E2479" s="176">
        <v>108913</v>
      </c>
      <c r="F2479" s="177" t="s">
        <v>222</v>
      </c>
      <c r="G2479" s="178">
        <v>65328.45</v>
      </c>
      <c r="H2479" s="184">
        <v>42852</v>
      </c>
      <c r="I2479" s="183">
        <f t="shared" si="77"/>
        <v>65328.45</v>
      </c>
      <c r="J2479" s="178">
        <f t="shared" si="78"/>
        <v>0</v>
      </c>
      <c r="K2479" s="19"/>
    </row>
    <row r="2480" spans="1:11" x14ac:dyDescent="0.25">
      <c r="A2480" s="51">
        <v>42846</v>
      </c>
      <c r="B2480" s="174" t="s">
        <v>14033</v>
      </c>
      <c r="C2480" s="175"/>
      <c r="D2480" s="176" t="s">
        <v>14033</v>
      </c>
      <c r="E2480" s="176">
        <v>108914</v>
      </c>
      <c r="F2480" s="177" t="s">
        <v>220</v>
      </c>
      <c r="G2480" s="178">
        <v>2368.4</v>
      </c>
      <c r="H2480" s="186">
        <v>42851</v>
      </c>
      <c r="I2480" s="187">
        <f t="shared" si="77"/>
        <v>2368.4</v>
      </c>
      <c r="J2480" s="178">
        <f t="shared" si="78"/>
        <v>0</v>
      </c>
      <c r="K2480" s="19"/>
    </row>
    <row r="2481" spans="1:11" x14ac:dyDescent="0.25">
      <c r="A2481" s="51">
        <v>42846</v>
      </c>
      <c r="B2481" s="174" t="s">
        <v>14034</v>
      </c>
      <c r="C2481" s="175"/>
      <c r="D2481" s="176" t="s">
        <v>14034</v>
      </c>
      <c r="E2481" s="176">
        <v>108915</v>
      </c>
      <c r="F2481" s="177" t="s">
        <v>63</v>
      </c>
      <c r="G2481" s="178">
        <v>421.2</v>
      </c>
      <c r="H2481" s="179">
        <v>42847</v>
      </c>
      <c r="I2481" s="178">
        <f t="shared" si="77"/>
        <v>421.2</v>
      </c>
      <c r="J2481" s="178">
        <f t="shared" si="78"/>
        <v>0</v>
      </c>
      <c r="K2481" s="19"/>
    </row>
    <row r="2482" spans="1:11" x14ac:dyDescent="0.25">
      <c r="A2482" s="51">
        <v>42846</v>
      </c>
      <c r="B2482" s="174" t="s">
        <v>14035</v>
      </c>
      <c r="C2482" s="175"/>
      <c r="D2482" s="176" t="s">
        <v>14035</v>
      </c>
      <c r="E2482" s="176">
        <v>108916</v>
      </c>
      <c r="F2482" s="177" t="s">
        <v>909</v>
      </c>
      <c r="G2482" s="178">
        <v>2709</v>
      </c>
      <c r="H2482" s="179">
        <v>42847</v>
      </c>
      <c r="I2482" s="178">
        <f t="shared" si="77"/>
        <v>2709</v>
      </c>
      <c r="J2482" s="178">
        <f t="shared" si="78"/>
        <v>0</v>
      </c>
      <c r="K2482" s="19"/>
    </row>
    <row r="2483" spans="1:11" x14ac:dyDescent="0.25">
      <c r="A2483" s="51">
        <v>42846</v>
      </c>
      <c r="B2483" s="174" t="s">
        <v>14036</v>
      </c>
      <c r="C2483" s="175"/>
      <c r="D2483" s="176" t="s">
        <v>14036</v>
      </c>
      <c r="E2483" s="176">
        <v>108917</v>
      </c>
      <c r="F2483" s="177" t="s">
        <v>430</v>
      </c>
      <c r="G2483" s="178">
        <v>2327.6</v>
      </c>
      <c r="H2483" s="179">
        <v>42846</v>
      </c>
      <c r="I2483" s="178">
        <f t="shared" si="77"/>
        <v>2327.6</v>
      </c>
      <c r="J2483" s="178">
        <f t="shared" si="78"/>
        <v>0</v>
      </c>
      <c r="K2483" s="19"/>
    </row>
    <row r="2484" spans="1:11" x14ac:dyDescent="0.25">
      <c r="A2484" s="51">
        <v>42846</v>
      </c>
      <c r="B2484" s="174" t="s">
        <v>14037</v>
      </c>
      <c r="C2484" s="175"/>
      <c r="D2484" s="176" t="s">
        <v>14037</v>
      </c>
      <c r="E2484" s="176">
        <v>108918</v>
      </c>
      <c r="F2484" s="177" t="s">
        <v>236</v>
      </c>
      <c r="G2484" s="178">
        <v>40365.660000000003</v>
      </c>
      <c r="H2484" s="186" t="s">
        <v>14038</v>
      </c>
      <c r="I2484" s="187">
        <f>28383.72+11981.94</f>
        <v>40365.660000000003</v>
      </c>
      <c r="J2484" s="188">
        <f t="shared" si="78"/>
        <v>0</v>
      </c>
      <c r="K2484" s="19"/>
    </row>
    <row r="2485" spans="1:11" x14ac:dyDescent="0.25">
      <c r="A2485" s="51">
        <v>42846</v>
      </c>
      <c r="B2485" s="174" t="s">
        <v>14039</v>
      </c>
      <c r="C2485" s="175"/>
      <c r="D2485" s="176" t="s">
        <v>14039</v>
      </c>
      <c r="E2485" s="176">
        <v>108919</v>
      </c>
      <c r="F2485" s="177" t="s">
        <v>7419</v>
      </c>
      <c r="G2485" s="178">
        <v>10493</v>
      </c>
      <c r="H2485" s="179">
        <v>42846</v>
      </c>
      <c r="I2485" s="178">
        <f t="shared" si="77"/>
        <v>10493</v>
      </c>
      <c r="J2485" s="178">
        <f t="shared" si="78"/>
        <v>0</v>
      </c>
      <c r="K2485" s="19"/>
    </row>
    <row r="2486" spans="1:11" x14ac:dyDescent="0.25">
      <c r="A2486" s="51">
        <v>42846</v>
      </c>
      <c r="B2486" s="174" t="s">
        <v>14040</v>
      </c>
      <c r="C2486" s="175"/>
      <c r="D2486" s="176" t="s">
        <v>14040</v>
      </c>
      <c r="E2486" s="176">
        <v>108920</v>
      </c>
      <c r="F2486" s="177" t="s">
        <v>55</v>
      </c>
      <c r="G2486" s="178">
        <v>5962</v>
      </c>
      <c r="H2486" s="179">
        <v>42846</v>
      </c>
      <c r="I2486" s="178">
        <f t="shared" si="77"/>
        <v>5962</v>
      </c>
      <c r="J2486" s="178">
        <f t="shared" si="78"/>
        <v>0</v>
      </c>
      <c r="K2486" s="19"/>
    </row>
    <row r="2487" spans="1:11" x14ac:dyDescent="0.25">
      <c r="A2487" s="51">
        <v>42846</v>
      </c>
      <c r="B2487" s="174" t="s">
        <v>14041</v>
      </c>
      <c r="C2487" s="175"/>
      <c r="D2487" s="176" t="s">
        <v>14041</v>
      </c>
      <c r="E2487" s="176">
        <v>108921</v>
      </c>
      <c r="F2487" s="177" t="s">
        <v>937</v>
      </c>
      <c r="G2487" s="178">
        <v>3141</v>
      </c>
      <c r="H2487" s="179">
        <v>42847</v>
      </c>
      <c r="I2487" s="178">
        <f t="shared" si="77"/>
        <v>3141</v>
      </c>
      <c r="J2487" s="178">
        <f t="shared" si="78"/>
        <v>0</v>
      </c>
      <c r="K2487" s="19"/>
    </row>
    <row r="2488" spans="1:11" x14ac:dyDescent="0.25">
      <c r="A2488" s="51">
        <v>42846</v>
      </c>
      <c r="B2488" s="174" t="s">
        <v>14042</v>
      </c>
      <c r="C2488" s="175"/>
      <c r="D2488" s="176" t="s">
        <v>14042</v>
      </c>
      <c r="E2488" s="176">
        <v>108922</v>
      </c>
      <c r="F2488" s="177" t="s">
        <v>236</v>
      </c>
      <c r="G2488" s="178">
        <v>26923.71</v>
      </c>
      <c r="H2488" s="184">
        <v>42854</v>
      </c>
      <c r="I2488" s="183">
        <f t="shared" si="77"/>
        <v>26923.71</v>
      </c>
      <c r="J2488" s="178">
        <f t="shared" si="78"/>
        <v>0</v>
      </c>
      <c r="K2488" s="19"/>
    </row>
    <row r="2489" spans="1:11" x14ac:dyDescent="0.25">
      <c r="A2489" s="51">
        <v>42846</v>
      </c>
      <c r="B2489" s="174" t="s">
        <v>14043</v>
      </c>
      <c r="C2489" s="175"/>
      <c r="D2489" s="176" t="s">
        <v>14043</v>
      </c>
      <c r="E2489" s="176">
        <v>108923</v>
      </c>
      <c r="F2489" s="182" t="s">
        <v>10</v>
      </c>
      <c r="G2489" s="183">
        <v>0</v>
      </c>
      <c r="H2489" s="184" t="s">
        <v>95</v>
      </c>
      <c r="I2489" s="183">
        <f t="shared" si="77"/>
        <v>0</v>
      </c>
      <c r="J2489" s="183">
        <f t="shared" si="78"/>
        <v>0</v>
      </c>
      <c r="K2489" s="19"/>
    </row>
    <row r="2490" spans="1:11" x14ac:dyDescent="0.25">
      <c r="A2490" s="51">
        <v>42847</v>
      </c>
      <c r="B2490" s="174" t="s">
        <v>14044</v>
      </c>
      <c r="C2490" s="175"/>
      <c r="D2490" s="176" t="s">
        <v>14044</v>
      </c>
      <c r="E2490" s="176">
        <v>108924</v>
      </c>
      <c r="F2490" s="177" t="s">
        <v>10</v>
      </c>
      <c r="G2490" s="178">
        <v>109985.04</v>
      </c>
      <c r="H2490" s="179">
        <v>42849</v>
      </c>
      <c r="I2490" s="178">
        <f t="shared" si="77"/>
        <v>109985.04</v>
      </c>
      <c r="J2490" s="178">
        <f t="shared" si="78"/>
        <v>0</v>
      </c>
      <c r="K2490" s="19"/>
    </row>
    <row r="2491" spans="1:11" x14ac:dyDescent="0.25">
      <c r="A2491" s="51">
        <v>42847</v>
      </c>
      <c r="B2491" s="174" t="s">
        <v>14045</v>
      </c>
      <c r="C2491" s="175"/>
      <c r="D2491" s="176" t="s">
        <v>14045</v>
      </c>
      <c r="E2491" s="176">
        <v>108925</v>
      </c>
      <c r="F2491" s="177" t="s">
        <v>231</v>
      </c>
      <c r="G2491" s="178">
        <v>10739.2</v>
      </c>
      <c r="H2491" s="179">
        <v>42848</v>
      </c>
      <c r="I2491" s="178">
        <f t="shared" si="77"/>
        <v>10739.2</v>
      </c>
      <c r="J2491" s="178">
        <f t="shared" si="78"/>
        <v>0</v>
      </c>
      <c r="K2491" s="19"/>
    </row>
    <row r="2492" spans="1:11" x14ac:dyDescent="0.25">
      <c r="A2492" s="51">
        <v>42847</v>
      </c>
      <c r="B2492" s="174" t="s">
        <v>14046</v>
      </c>
      <c r="C2492" s="175"/>
      <c r="D2492" s="176" t="s">
        <v>14046</v>
      </c>
      <c r="E2492" s="176">
        <v>108926</v>
      </c>
      <c r="F2492" s="177" t="s">
        <v>231</v>
      </c>
      <c r="G2492" s="178">
        <v>36818.699999999997</v>
      </c>
      <c r="H2492" s="179">
        <v>42848</v>
      </c>
      <c r="I2492" s="178">
        <f t="shared" si="77"/>
        <v>36818.699999999997</v>
      </c>
      <c r="J2492" s="178">
        <f t="shared" si="78"/>
        <v>0</v>
      </c>
      <c r="K2492" s="19"/>
    </row>
    <row r="2493" spans="1:11" x14ac:dyDescent="0.25">
      <c r="A2493" s="51">
        <v>42847</v>
      </c>
      <c r="B2493" s="174" t="s">
        <v>14047</v>
      </c>
      <c r="C2493" s="175"/>
      <c r="D2493" s="176" t="s">
        <v>14047</v>
      </c>
      <c r="E2493" s="176">
        <v>108927</v>
      </c>
      <c r="F2493" s="177" t="s">
        <v>26</v>
      </c>
      <c r="G2493" s="178">
        <v>25695.599999999999</v>
      </c>
      <c r="H2493" s="179">
        <v>42847</v>
      </c>
      <c r="I2493" s="178">
        <f t="shared" si="77"/>
        <v>25695.599999999999</v>
      </c>
      <c r="J2493" s="178">
        <f t="shared" si="78"/>
        <v>0</v>
      </c>
      <c r="K2493" s="19"/>
    </row>
    <row r="2494" spans="1:11" x14ac:dyDescent="0.25">
      <c r="A2494" s="51">
        <v>42847</v>
      </c>
      <c r="B2494" s="174" t="s">
        <v>14048</v>
      </c>
      <c r="C2494" s="175"/>
      <c r="D2494" s="176" t="s">
        <v>14048</v>
      </c>
      <c r="E2494" s="176">
        <v>108928</v>
      </c>
      <c r="F2494" s="177" t="s">
        <v>28</v>
      </c>
      <c r="G2494" s="178">
        <v>9523.7999999999993</v>
      </c>
      <c r="H2494" s="179">
        <v>42847</v>
      </c>
      <c r="I2494" s="178">
        <f t="shared" si="77"/>
        <v>9523.7999999999993</v>
      </c>
      <c r="J2494" s="178">
        <f t="shared" si="78"/>
        <v>0</v>
      </c>
      <c r="K2494" s="19"/>
    </row>
    <row r="2495" spans="1:11" x14ac:dyDescent="0.25">
      <c r="A2495" s="51">
        <v>42847</v>
      </c>
      <c r="B2495" s="174" t="s">
        <v>14049</v>
      </c>
      <c r="C2495" s="175"/>
      <c r="D2495" s="176" t="s">
        <v>14049</v>
      </c>
      <c r="E2495" s="176">
        <v>108929</v>
      </c>
      <c r="F2495" s="177" t="s">
        <v>35</v>
      </c>
      <c r="G2495" s="178">
        <v>28087.4</v>
      </c>
      <c r="H2495" s="179">
        <v>42850</v>
      </c>
      <c r="I2495" s="178">
        <f t="shared" si="77"/>
        <v>28087.4</v>
      </c>
      <c r="J2495" s="178">
        <f t="shared" si="78"/>
        <v>0</v>
      </c>
      <c r="K2495" s="19"/>
    </row>
    <row r="2496" spans="1:11" x14ac:dyDescent="0.25">
      <c r="A2496" s="51">
        <v>42847</v>
      </c>
      <c r="B2496" s="174" t="s">
        <v>14050</v>
      </c>
      <c r="C2496" s="175"/>
      <c r="D2496" s="176" t="s">
        <v>14050</v>
      </c>
      <c r="E2496" s="176">
        <v>108930</v>
      </c>
      <c r="F2496" s="177" t="s">
        <v>32</v>
      </c>
      <c r="G2496" s="178">
        <v>12927.5</v>
      </c>
      <c r="H2496" s="184">
        <v>42852</v>
      </c>
      <c r="I2496" s="183">
        <f t="shared" si="77"/>
        <v>12927.5</v>
      </c>
      <c r="J2496" s="178">
        <f t="shared" si="78"/>
        <v>0</v>
      </c>
      <c r="K2496" s="19"/>
    </row>
    <row r="2497" spans="1:11" x14ac:dyDescent="0.25">
      <c r="A2497" s="51">
        <v>42847</v>
      </c>
      <c r="B2497" s="174" t="s">
        <v>14051</v>
      </c>
      <c r="C2497" s="175"/>
      <c r="D2497" s="176" t="s">
        <v>14051</v>
      </c>
      <c r="E2497" s="176">
        <v>108931</v>
      </c>
      <c r="F2497" s="177" t="s">
        <v>38</v>
      </c>
      <c r="G2497" s="178">
        <v>8817.6</v>
      </c>
      <c r="H2497" s="186" t="s">
        <v>14052</v>
      </c>
      <c r="I2497" s="187">
        <f>8000+817.6</f>
        <v>8817.6</v>
      </c>
      <c r="J2497" s="188">
        <f t="shared" si="78"/>
        <v>0</v>
      </c>
      <c r="K2497" s="19"/>
    </row>
    <row r="2498" spans="1:11" x14ac:dyDescent="0.25">
      <c r="A2498" s="51">
        <v>42847</v>
      </c>
      <c r="B2498" s="174" t="s">
        <v>14053</v>
      </c>
      <c r="C2498" s="175"/>
      <c r="D2498" s="176" t="s">
        <v>14053</v>
      </c>
      <c r="E2498" s="176">
        <v>108932</v>
      </c>
      <c r="F2498" s="177" t="s">
        <v>1786</v>
      </c>
      <c r="G2498" s="178">
        <v>11009.2</v>
      </c>
      <c r="H2498" s="179">
        <v>42847</v>
      </c>
      <c r="I2498" s="178">
        <f t="shared" si="77"/>
        <v>11009.2</v>
      </c>
      <c r="J2498" s="178">
        <f t="shared" si="78"/>
        <v>0</v>
      </c>
      <c r="K2498" s="19"/>
    </row>
    <row r="2499" spans="1:11" x14ac:dyDescent="0.25">
      <c r="A2499" s="51">
        <v>42847</v>
      </c>
      <c r="B2499" s="174" t="s">
        <v>14054</v>
      </c>
      <c r="C2499" s="175"/>
      <c r="D2499" s="176" t="s">
        <v>14054</v>
      </c>
      <c r="E2499" s="176">
        <v>108933</v>
      </c>
      <c r="F2499" s="177" t="s">
        <v>250</v>
      </c>
      <c r="G2499" s="178">
        <v>20022.099999999999</v>
      </c>
      <c r="H2499" s="179">
        <v>42850</v>
      </c>
      <c r="I2499" s="178">
        <f t="shared" si="77"/>
        <v>20022.099999999999</v>
      </c>
      <c r="J2499" s="178">
        <f t="shared" si="78"/>
        <v>0</v>
      </c>
      <c r="K2499" s="19"/>
    </row>
    <row r="2500" spans="1:11" x14ac:dyDescent="0.25">
      <c r="A2500" s="51">
        <v>42847</v>
      </c>
      <c r="B2500" s="174" t="s">
        <v>14055</v>
      </c>
      <c r="C2500" s="175"/>
      <c r="D2500" s="176" t="s">
        <v>14055</v>
      </c>
      <c r="E2500" s="176">
        <v>108934</v>
      </c>
      <c r="F2500" s="177" t="s">
        <v>40</v>
      </c>
      <c r="G2500" s="178">
        <v>15764.3</v>
      </c>
      <c r="H2500" s="186" t="s">
        <v>14056</v>
      </c>
      <c r="I2500" s="187">
        <f>12000+3764.3</f>
        <v>15764.3</v>
      </c>
      <c r="J2500" s="178">
        <f t="shared" ref="J2500:J2563" si="79">G2500-I2500</f>
        <v>0</v>
      </c>
      <c r="K2500" s="19"/>
    </row>
    <row r="2501" spans="1:11" x14ac:dyDescent="0.25">
      <c r="A2501" s="51">
        <v>42847</v>
      </c>
      <c r="B2501" s="174" t="s">
        <v>14057</v>
      </c>
      <c r="C2501" s="175"/>
      <c r="D2501" s="176" t="s">
        <v>14057</v>
      </c>
      <c r="E2501" s="176">
        <v>108935</v>
      </c>
      <c r="F2501" s="177" t="s">
        <v>386</v>
      </c>
      <c r="G2501" s="178">
        <v>2730</v>
      </c>
      <c r="H2501" s="179">
        <v>42847</v>
      </c>
      <c r="I2501" s="178">
        <f t="shared" ref="I2501:I2564" si="80">G2501</f>
        <v>2730</v>
      </c>
      <c r="J2501" s="178">
        <f t="shared" si="79"/>
        <v>0</v>
      </c>
      <c r="K2501" s="19"/>
    </row>
    <row r="2502" spans="1:11" x14ac:dyDescent="0.25">
      <c r="A2502" s="51">
        <v>42847</v>
      </c>
      <c r="B2502" s="174" t="s">
        <v>14058</v>
      </c>
      <c r="C2502" s="175"/>
      <c r="D2502" s="176" t="s">
        <v>14058</v>
      </c>
      <c r="E2502" s="176">
        <v>108936</v>
      </c>
      <c r="F2502" s="177" t="s">
        <v>71</v>
      </c>
      <c r="G2502" s="178">
        <v>2771.8</v>
      </c>
      <c r="H2502" s="179">
        <v>42847</v>
      </c>
      <c r="I2502" s="178">
        <f t="shared" si="80"/>
        <v>2771.8</v>
      </c>
      <c r="J2502" s="178">
        <f t="shared" si="79"/>
        <v>0</v>
      </c>
      <c r="K2502" s="19"/>
    </row>
    <row r="2503" spans="1:11" x14ac:dyDescent="0.25">
      <c r="A2503" s="51">
        <v>42847</v>
      </c>
      <c r="B2503" s="174" t="s">
        <v>14059</v>
      </c>
      <c r="C2503" s="175"/>
      <c r="D2503" s="176" t="s">
        <v>14059</v>
      </c>
      <c r="E2503" s="176">
        <v>108937</v>
      </c>
      <c r="F2503" s="177" t="s">
        <v>69</v>
      </c>
      <c r="G2503" s="178">
        <v>7017.4</v>
      </c>
      <c r="H2503" s="179">
        <v>42847</v>
      </c>
      <c r="I2503" s="178">
        <f t="shared" si="80"/>
        <v>7017.4</v>
      </c>
      <c r="J2503" s="178">
        <f t="shared" si="79"/>
        <v>0</v>
      </c>
      <c r="K2503" s="19"/>
    </row>
    <row r="2504" spans="1:11" x14ac:dyDescent="0.25">
      <c r="A2504" s="51">
        <v>42847</v>
      </c>
      <c r="B2504" s="174" t="s">
        <v>14060</v>
      </c>
      <c r="C2504" s="175"/>
      <c r="D2504" s="176" t="s">
        <v>14060</v>
      </c>
      <c r="E2504" s="176">
        <v>108938</v>
      </c>
      <c r="F2504" s="177" t="s">
        <v>19</v>
      </c>
      <c r="G2504" s="178">
        <v>1290</v>
      </c>
      <c r="H2504" s="179">
        <v>42847</v>
      </c>
      <c r="I2504" s="178">
        <f t="shared" si="80"/>
        <v>1290</v>
      </c>
      <c r="J2504" s="178">
        <f t="shared" si="79"/>
        <v>0</v>
      </c>
      <c r="K2504" s="19"/>
    </row>
    <row r="2505" spans="1:11" x14ac:dyDescent="0.25">
      <c r="A2505" s="51">
        <v>42847</v>
      </c>
      <c r="B2505" s="174" t="s">
        <v>14061</v>
      </c>
      <c r="C2505" s="175"/>
      <c r="D2505" s="176" t="s">
        <v>14061</v>
      </c>
      <c r="E2505" s="176">
        <v>108939</v>
      </c>
      <c r="F2505" s="177" t="s">
        <v>428</v>
      </c>
      <c r="G2505" s="178">
        <v>1660</v>
      </c>
      <c r="H2505" s="179">
        <v>42849</v>
      </c>
      <c r="I2505" s="178">
        <f t="shared" si="80"/>
        <v>1660</v>
      </c>
      <c r="J2505" s="178">
        <f t="shared" si="79"/>
        <v>0</v>
      </c>
      <c r="K2505" s="19"/>
    </row>
    <row r="2506" spans="1:11" x14ac:dyDescent="0.25">
      <c r="A2506" s="51">
        <v>42847</v>
      </c>
      <c r="B2506" s="174" t="s">
        <v>14062</v>
      </c>
      <c r="C2506" s="175"/>
      <c r="D2506" s="176" t="s">
        <v>14062</v>
      </c>
      <c r="E2506" s="176">
        <v>108940</v>
      </c>
      <c r="F2506" s="177" t="s">
        <v>14063</v>
      </c>
      <c r="G2506" s="178">
        <v>2150</v>
      </c>
      <c r="H2506" s="179">
        <v>42847</v>
      </c>
      <c r="I2506" s="178">
        <f t="shared" si="80"/>
        <v>2150</v>
      </c>
      <c r="J2506" s="178">
        <f t="shared" si="79"/>
        <v>0</v>
      </c>
      <c r="K2506" s="19"/>
    </row>
    <row r="2507" spans="1:11" x14ac:dyDescent="0.25">
      <c r="A2507" s="51">
        <v>42847</v>
      </c>
      <c r="B2507" s="174" t="s">
        <v>14064</v>
      </c>
      <c r="C2507" s="175"/>
      <c r="D2507" s="176" t="s">
        <v>14064</v>
      </c>
      <c r="E2507" s="176">
        <v>108941</v>
      </c>
      <c r="F2507" s="177" t="s">
        <v>17</v>
      </c>
      <c r="G2507" s="178">
        <v>4738.6000000000004</v>
      </c>
      <c r="H2507" s="179">
        <v>42847</v>
      </c>
      <c r="I2507" s="178">
        <f t="shared" si="80"/>
        <v>4738.6000000000004</v>
      </c>
      <c r="J2507" s="178">
        <f t="shared" si="79"/>
        <v>0</v>
      </c>
      <c r="K2507" s="19"/>
    </row>
    <row r="2508" spans="1:11" x14ac:dyDescent="0.25">
      <c r="A2508" s="51">
        <v>42847</v>
      </c>
      <c r="B2508" s="174" t="s">
        <v>14065</v>
      </c>
      <c r="C2508" s="175"/>
      <c r="D2508" s="176" t="s">
        <v>14065</v>
      </c>
      <c r="E2508" s="176">
        <v>108942</v>
      </c>
      <c r="F2508" s="177" t="s">
        <v>43</v>
      </c>
      <c r="G2508" s="178">
        <v>11030.4</v>
      </c>
      <c r="H2508" s="179">
        <v>42850</v>
      </c>
      <c r="I2508" s="178">
        <f t="shared" si="80"/>
        <v>11030.4</v>
      </c>
      <c r="J2508" s="178">
        <f t="shared" si="79"/>
        <v>0</v>
      </c>
      <c r="K2508" s="19"/>
    </row>
    <row r="2509" spans="1:11" x14ac:dyDescent="0.25">
      <c r="A2509" s="51">
        <v>42847</v>
      </c>
      <c r="B2509" s="174" t="s">
        <v>14066</v>
      </c>
      <c r="C2509" s="175"/>
      <c r="D2509" s="176" t="s">
        <v>14066</v>
      </c>
      <c r="E2509" s="176">
        <v>108943</v>
      </c>
      <c r="F2509" s="177" t="s">
        <v>10</v>
      </c>
      <c r="G2509" s="178">
        <v>3189.2</v>
      </c>
      <c r="H2509" s="179">
        <v>42849</v>
      </c>
      <c r="I2509" s="178">
        <f t="shared" si="80"/>
        <v>3189.2</v>
      </c>
      <c r="J2509" s="178">
        <f t="shared" si="79"/>
        <v>0</v>
      </c>
      <c r="K2509" s="19"/>
    </row>
    <row r="2510" spans="1:11" x14ac:dyDescent="0.25">
      <c r="A2510" s="51">
        <v>42847</v>
      </c>
      <c r="B2510" s="174" t="s">
        <v>14067</v>
      </c>
      <c r="C2510" s="175"/>
      <c r="D2510" s="176" t="s">
        <v>14067</v>
      </c>
      <c r="E2510" s="176">
        <v>108944</v>
      </c>
      <c r="F2510" s="177" t="s">
        <v>21</v>
      </c>
      <c r="G2510" s="178">
        <v>60855.6</v>
      </c>
      <c r="H2510" s="201">
        <v>42859</v>
      </c>
      <c r="I2510" s="188">
        <f t="shared" si="80"/>
        <v>60855.6</v>
      </c>
      <c r="J2510" s="178">
        <f t="shared" si="79"/>
        <v>0</v>
      </c>
      <c r="K2510" s="19"/>
    </row>
    <row r="2511" spans="1:11" x14ac:dyDescent="0.25">
      <c r="A2511" s="51">
        <v>42847</v>
      </c>
      <c r="B2511" s="174" t="s">
        <v>14068</v>
      </c>
      <c r="C2511" s="175"/>
      <c r="D2511" s="176" t="s">
        <v>14068</v>
      </c>
      <c r="E2511" s="176">
        <v>108945</v>
      </c>
      <c r="F2511" s="177" t="s">
        <v>51</v>
      </c>
      <c r="G2511" s="178">
        <v>9174</v>
      </c>
      <c r="H2511" s="179">
        <v>42850</v>
      </c>
      <c r="I2511" s="178">
        <f t="shared" si="80"/>
        <v>9174</v>
      </c>
      <c r="J2511" s="178">
        <f t="shared" si="79"/>
        <v>0</v>
      </c>
      <c r="K2511" s="19"/>
    </row>
    <row r="2512" spans="1:11" x14ac:dyDescent="0.25">
      <c r="A2512" s="51">
        <v>42847</v>
      </c>
      <c r="B2512" s="174" t="s">
        <v>14069</v>
      </c>
      <c r="C2512" s="175"/>
      <c r="D2512" s="176" t="s">
        <v>14069</v>
      </c>
      <c r="E2512" s="176">
        <v>108946</v>
      </c>
      <c r="F2512" s="177" t="s">
        <v>10031</v>
      </c>
      <c r="G2512" s="178">
        <v>10442.4</v>
      </c>
      <c r="H2512" s="179">
        <v>42847</v>
      </c>
      <c r="I2512" s="178">
        <f t="shared" si="80"/>
        <v>10442.4</v>
      </c>
      <c r="J2512" s="178">
        <f t="shared" si="79"/>
        <v>0</v>
      </c>
      <c r="K2512" s="19"/>
    </row>
    <row r="2513" spans="1:11" x14ac:dyDescent="0.25">
      <c r="A2513" s="51">
        <v>42847</v>
      </c>
      <c r="B2513" s="174" t="s">
        <v>14070</v>
      </c>
      <c r="C2513" s="175"/>
      <c r="D2513" s="176" t="s">
        <v>14070</v>
      </c>
      <c r="E2513" s="176">
        <v>108947</v>
      </c>
      <c r="F2513" s="177" t="s">
        <v>457</v>
      </c>
      <c r="G2513" s="178">
        <v>2907</v>
      </c>
      <c r="H2513" s="179">
        <v>42847</v>
      </c>
      <c r="I2513" s="178">
        <f t="shared" si="80"/>
        <v>2907</v>
      </c>
      <c r="J2513" s="178">
        <f t="shared" si="79"/>
        <v>0</v>
      </c>
      <c r="K2513" s="19"/>
    </row>
    <row r="2514" spans="1:11" x14ac:dyDescent="0.25">
      <c r="A2514" s="51">
        <v>42847</v>
      </c>
      <c r="B2514" s="174" t="s">
        <v>14071</v>
      </c>
      <c r="C2514" s="175"/>
      <c r="D2514" s="176" t="s">
        <v>14071</v>
      </c>
      <c r="E2514" s="176">
        <v>108948</v>
      </c>
      <c r="F2514" s="177" t="s">
        <v>10031</v>
      </c>
      <c r="G2514" s="178">
        <v>3354</v>
      </c>
      <c r="H2514" s="179">
        <v>42847</v>
      </c>
      <c r="I2514" s="178">
        <f t="shared" si="80"/>
        <v>3354</v>
      </c>
      <c r="J2514" s="178">
        <f t="shared" si="79"/>
        <v>0</v>
      </c>
      <c r="K2514" s="19"/>
    </row>
    <row r="2515" spans="1:11" x14ac:dyDescent="0.25">
      <c r="A2515" s="51">
        <v>42847</v>
      </c>
      <c r="B2515" s="174" t="s">
        <v>14072</v>
      </c>
      <c r="C2515" s="175"/>
      <c r="D2515" s="176" t="s">
        <v>14072</v>
      </c>
      <c r="E2515" s="176">
        <v>108949</v>
      </c>
      <c r="F2515" s="177" t="s">
        <v>47</v>
      </c>
      <c r="G2515" s="178">
        <v>3289.1</v>
      </c>
      <c r="H2515" s="179">
        <v>42847</v>
      </c>
      <c r="I2515" s="178">
        <f t="shared" si="80"/>
        <v>3289.1</v>
      </c>
      <c r="J2515" s="178">
        <f t="shared" si="79"/>
        <v>0</v>
      </c>
      <c r="K2515" s="19"/>
    </row>
    <row r="2516" spans="1:11" x14ac:dyDescent="0.25">
      <c r="A2516" s="51">
        <v>42847</v>
      </c>
      <c r="B2516" s="174" t="s">
        <v>14073</v>
      </c>
      <c r="C2516" s="175"/>
      <c r="D2516" s="176" t="s">
        <v>14073</v>
      </c>
      <c r="E2516" s="176">
        <v>108950</v>
      </c>
      <c r="F2516" s="177" t="s">
        <v>111</v>
      </c>
      <c r="G2516" s="178">
        <v>2162</v>
      </c>
      <c r="H2516" s="179">
        <v>42847</v>
      </c>
      <c r="I2516" s="178">
        <f t="shared" si="80"/>
        <v>2162</v>
      </c>
      <c r="J2516" s="178">
        <f t="shared" si="79"/>
        <v>0</v>
      </c>
      <c r="K2516" s="19"/>
    </row>
    <row r="2517" spans="1:11" x14ac:dyDescent="0.25">
      <c r="A2517" s="51">
        <v>42847</v>
      </c>
      <c r="B2517" s="174" t="s">
        <v>14074</v>
      </c>
      <c r="C2517" s="175"/>
      <c r="D2517" s="176" t="s">
        <v>14074</v>
      </c>
      <c r="E2517" s="176">
        <v>108951</v>
      </c>
      <c r="F2517" s="177" t="s">
        <v>1870</v>
      </c>
      <c r="G2517" s="178">
        <v>648.79999999999995</v>
      </c>
      <c r="H2517" s="179">
        <v>42847</v>
      </c>
      <c r="I2517" s="178">
        <f t="shared" si="80"/>
        <v>648.79999999999995</v>
      </c>
      <c r="J2517" s="178">
        <f t="shared" si="79"/>
        <v>0</v>
      </c>
      <c r="K2517" s="19"/>
    </row>
    <row r="2518" spans="1:11" x14ac:dyDescent="0.25">
      <c r="A2518" s="51">
        <v>42847</v>
      </c>
      <c r="B2518" s="174" t="s">
        <v>14075</v>
      </c>
      <c r="C2518" s="175"/>
      <c r="D2518" s="176" t="s">
        <v>14075</v>
      </c>
      <c r="E2518" s="176">
        <v>108952</v>
      </c>
      <c r="F2518" s="177" t="s">
        <v>49</v>
      </c>
      <c r="G2518" s="178">
        <v>25291.200000000001</v>
      </c>
      <c r="H2518" s="186" t="s">
        <v>14076</v>
      </c>
      <c r="I2518" s="187">
        <f>11019+14272.2</f>
        <v>25291.200000000001</v>
      </c>
      <c r="J2518" s="178">
        <f t="shared" si="79"/>
        <v>0</v>
      </c>
      <c r="K2518" s="19"/>
    </row>
    <row r="2519" spans="1:11" x14ac:dyDescent="0.25">
      <c r="A2519" s="51">
        <v>42847</v>
      </c>
      <c r="B2519" s="174" t="s">
        <v>14077</v>
      </c>
      <c r="C2519" s="175"/>
      <c r="D2519" s="176" t="s">
        <v>14077</v>
      </c>
      <c r="E2519" s="176">
        <v>108953</v>
      </c>
      <c r="F2519" s="177" t="s">
        <v>253</v>
      </c>
      <c r="G2519" s="178">
        <v>13530.4</v>
      </c>
      <c r="H2519" s="186" t="s">
        <v>14076</v>
      </c>
      <c r="I2519" s="187">
        <f>10000+700+2830.4</f>
        <v>13530.4</v>
      </c>
      <c r="J2519" s="188">
        <f t="shared" si="79"/>
        <v>0</v>
      </c>
      <c r="K2519" s="19"/>
    </row>
    <row r="2520" spans="1:11" x14ac:dyDescent="0.25">
      <c r="A2520" s="51">
        <v>42847</v>
      </c>
      <c r="B2520" s="174" t="s">
        <v>14078</v>
      </c>
      <c r="C2520" s="175"/>
      <c r="D2520" s="176" t="s">
        <v>14078</v>
      </c>
      <c r="E2520" s="176">
        <v>108954</v>
      </c>
      <c r="F2520" s="177" t="s">
        <v>1090</v>
      </c>
      <c r="G2520" s="178">
        <v>3386.9</v>
      </c>
      <c r="H2520" s="179">
        <v>42847</v>
      </c>
      <c r="I2520" s="178">
        <f t="shared" si="80"/>
        <v>3386.9</v>
      </c>
      <c r="J2520" s="178">
        <f t="shared" si="79"/>
        <v>0</v>
      </c>
      <c r="K2520" s="19"/>
    </row>
    <row r="2521" spans="1:11" x14ac:dyDescent="0.25">
      <c r="A2521" s="51">
        <v>42847</v>
      </c>
      <c r="B2521" s="174" t="s">
        <v>14079</v>
      </c>
      <c r="C2521" s="175"/>
      <c r="D2521" s="176" t="s">
        <v>14079</v>
      </c>
      <c r="E2521" s="176">
        <v>108955</v>
      </c>
      <c r="F2521" s="177" t="s">
        <v>79</v>
      </c>
      <c r="G2521" s="178">
        <v>2629.4</v>
      </c>
      <c r="H2521" s="179">
        <v>42847</v>
      </c>
      <c r="I2521" s="178">
        <f t="shared" si="80"/>
        <v>2629.4</v>
      </c>
      <c r="J2521" s="178">
        <f t="shared" si="79"/>
        <v>0</v>
      </c>
      <c r="K2521" s="19"/>
    </row>
    <row r="2522" spans="1:11" x14ac:dyDescent="0.25">
      <c r="A2522" s="51">
        <v>42847</v>
      </c>
      <c r="B2522" s="174" t="s">
        <v>14080</v>
      </c>
      <c r="C2522" s="175"/>
      <c r="D2522" s="176" t="s">
        <v>14080</v>
      </c>
      <c r="E2522" s="176">
        <v>108956</v>
      </c>
      <c r="F2522" s="177" t="s">
        <v>10</v>
      </c>
      <c r="G2522" s="178">
        <v>12219.6</v>
      </c>
      <c r="H2522" s="179">
        <v>42849</v>
      </c>
      <c r="I2522" s="178">
        <f t="shared" si="80"/>
        <v>12219.6</v>
      </c>
      <c r="J2522" s="178">
        <f t="shared" si="79"/>
        <v>0</v>
      </c>
      <c r="K2522" s="19"/>
    </row>
    <row r="2523" spans="1:11" x14ac:dyDescent="0.25">
      <c r="A2523" s="51">
        <v>42847</v>
      </c>
      <c r="B2523" s="174" t="s">
        <v>14081</v>
      </c>
      <c r="C2523" s="175"/>
      <c r="D2523" s="176" t="s">
        <v>14081</v>
      </c>
      <c r="E2523" s="176">
        <v>108957</v>
      </c>
      <c r="F2523" s="177" t="s">
        <v>30</v>
      </c>
      <c r="G2523" s="178">
        <v>1832</v>
      </c>
      <c r="H2523" s="179">
        <v>42847</v>
      </c>
      <c r="I2523" s="178">
        <f t="shared" si="80"/>
        <v>1832</v>
      </c>
      <c r="J2523" s="178">
        <f t="shared" si="79"/>
        <v>0</v>
      </c>
      <c r="K2523" s="19"/>
    </row>
    <row r="2524" spans="1:11" x14ac:dyDescent="0.25">
      <c r="A2524" s="51">
        <v>42847</v>
      </c>
      <c r="B2524" s="174" t="s">
        <v>14082</v>
      </c>
      <c r="C2524" s="175"/>
      <c r="D2524" s="176" t="s">
        <v>14082</v>
      </c>
      <c r="E2524" s="176">
        <v>108958</v>
      </c>
      <c r="F2524" s="177" t="s">
        <v>12879</v>
      </c>
      <c r="G2524" s="178">
        <v>1188.5999999999999</v>
      </c>
      <c r="H2524" s="179">
        <v>42847</v>
      </c>
      <c r="I2524" s="178">
        <f t="shared" si="80"/>
        <v>1188.5999999999999</v>
      </c>
      <c r="J2524" s="178">
        <f t="shared" si="79"/>
        <v>0</v>
      </c>
      <c r="K2524" s="19"/>
    </row>
    <row r="2525" spans="1:11" x14ac:dyDescent="0.25">
      <c r="A2525" s="51">
        <v>42847</v>
      </c>
      <c r="B2525" s="174" t="s">
        <v>14083</v>
      </c>
      <c r="C2525" s="175"/>
      <c r="D2525" s="176" t="s">
        <v>14083</v>
      </c>
      <c r="E2525" s="176">
        <v>108959</v>
      </c>
      <c r="F2525" s="177" t="s">
        <v>240</v>
      </c>
      <c r="G2525" s="178">
        <v>5363</v>
      </c>
      <c r="H2525" s="179">
        <v>42847</v>
      </c>
      <c r="I2525" s="178">
        <f t="shared" si="80"/>
        <v>5363</v>
      </c>
      <c r="J2525" s="178">
        <f t="shared" si="79"/>
        <v>0</v>
      </c>
      <c r="K2525" s="19"/>
    </row>
    <row r="2526" spans="1:11" x14ac:dyDescent="0.25">
      <c r="A2526" s="51">
        <v>42847</v>
      </c>
      <c r="B2526" s="174" t="s">
        <v>14084</v>
      </c>
      <c r="C2526" s="175"/>
      <c r="D2526" s="176" t="s">
        <v>14084</v>
      </c>
      <c r="E2526" s="176">
        <v>108960</v>
      </c>
      <c r="F2526" s="177" t="s">
        <v>509</v>
      </c>
      <c r="G2526" s="178">
        <v>30107.3</v>
      </c>
      <c r="H2526" s="184">
        <v>42853</v>
      </c>
      <c r="I2526" s="183">
        <f t="shared" si="80"/>
        <v>30107.3</v>
      </c>
      <c r="J2526" s="178">
        <f t="shared" si="79"/>
        <v>0</v>
      </c>
      <c r="K2526" s="19"/>
    </row>
    <row r="2527" spans="1:11" x14ac:dyDescent="0.25">
      <c r="A2527" s="51">
        <v>42847</v>
      </c>
      <c r="B2527" s="174" t="s">
        <v>14085</v>
      </c>
      <c r="C2527" s="175"/>
      <c r="D2527" s="176" t="s">
        <v>14085</v>
      </c>
      <c r="E2527" s="176">
        <v>108961</v>
      </c>
      <c r="F2527" s="177" t="s">
        <v>1116</v>
      </c>
      <c r="G2527" s="178">
        <v>1864.6</v>
      </c>
      <c r="H2527" s="179">
        <v>42848</v>
      </c>
      <c r="I2527" s="178">
        <f t="shared" si="80"/>
        <v>1864.6</v>
      </c>
      <c r="J2527" s="178">
        <f t="shared" si="79"/>
        <v>0</v>
      </c>
      <c r="K2527" s="19"/>
    </row>
    <row r="2528" spans="1:11" x14ac:dyDescent="0.25">
      <c r="A2528" s="51">
        <v>42847</v>
      </c>
      <c r="B2528" s="174" t="s">
        <v>14086</v>
      </c>
      <c r="C2528" s="175"/>
      <c r="D2528" s="176" t="s">
        <v>14086</v>
      </c>
      <c r="E2528" s="176">
        <v>108962</v>
      </c>
      <c r="F2528" s="177" t="s">
        <v>3425</v>
      </c>
      <c r="G2528" s="178">
        <v>1200.8</v>
      </c>
      <c r="H2528" s="179">
        <v>42847</v>
      </c>
      <c r="I2528" s="178">
        <f t="shared" si="80"/>
        <v>1200.8</v>
      </c>
      <c r="J2528" s="178">
        <f t="shared" si="79"/>
        <v>0</v>
      </c>
      <c r="K2528" s="19"/>
    </row>
    <row r="2529" spans="1:11" x14ac:dyDescent="0.25">
      <c r="A2529" s="51">
        <v>42847</v>
      </c>
      <c r="B2529" s="174" t="s">
        <v>14087</v>
      </c>
      <c r="C2529" s="175"/>
      <c r="D2529" s="176" t="s">
        <v>14087</v>
      </c>
      <c r="E2529" s="176">
        <v>108963</v>
      </c>
      <c r="F2529" s="177" t="s">
        <v>773</v>
      </c>
      <c r="G2529" s="178">
        <v>257.39999999999998</v>
      </c>
      <c r="H2529" s="179">
        <v>42847</v>
      </c>
      <c r="I2529" s="178">
        <f t="shared" si="80"/>
        <v>257.39999999999998</v>
      </c>
      <c r="J2529" s="178">
        <f t="shared" si="79"/>
        <v>0</v>
      </c>
      <c r="K2529" s="19"/>
    </row>
    <row r="2530" spans="1:11" x14ac:dyDescent="0.25">
      <c r="A2530" s="51">
        <v>42847</v>
      </c>
      <c r="B2530" s="174" t="s">
        <v>14088</v>
      </c>
      <c r="C2530" s="175"/>
      <c r="D2530" s="176" t="s">
        <v>14088</v>
      </c>
      <c r="E2530" s="176">
        <v>108964</v>
      </c>
      <c r="F2530" s="177" t="s">
        <v>432</v>
      </c>
      <c r="G2530" s="178">
        <v>14335.2</v>
      </c>
      <c r="H2530" s="186">
        <v>42851</v>
      </c>
      <c r="I2530" s="187">
        <f t="shared" si="80"/>
        <v>14335.2</v>
      </c>
      <c r="J2530" s="178">
        <f t="shared" si="79"/>
        <v>0</v>
      </c>
      <c r="K2530" s="19"/>
    </row>
    <row r="2531" spans="1:11" x14ac:dyDescent="0.25">
      <c r="A2531" s="51">
        <v>42847</v>
      </c>
      <c r="B2531" s="174" t="s">
        <v>14089</v>
      </c>
      <c r="C2531" s="175"/>
      <c r="D2531" s="176" t="s">
        <v>14089</v>
      </c>
      <c r="E2531" s="176">
        <v>108965</v>
      </c>
      <c r="F2531" s="177" t="s">
        <v>1666</v>
      </c>
      <c r="G2531" s="178">
        <v>13491.2</v>
      </c>
      <c r="H2531" s="186">
        <v>42851</v>
      </c>
      <c r="I2531" s="187">
        <f t="shared" si="80"/>
        <v>13491.2</v>
      </c>
      <c r="J2531" s="178">
        <f t="shared" si="79"/>
        <v>0</v>
      </c>
      <c r="K2531" s="19"/>
    </row>
    <row r="2532" spans="1:11" x14ac:dyDescent="0.25">
      <c r="A2532" s="51">
        <v>42847</v>
      </c>
      <c r="B2532" s="174" t="s">
        <v>14090</v>
      </c>
      <c r="C2532" s="175"/>
      <c r="D2532" s="176" t="s">
        <v>14090</v>
      </c>
      <c r="E2532" s="176">
        <v>108966</v>
      </c>
      <c r="F2532" s="177" t="s">
        <v>590</v>
      </c>
      <c r="G2532" s="178">
        <v>7663.6</v>
      </c>
      <c r="H2532" s="186">
        <v>42851</v>
      </c>
      <c r="I2532" s="187">
        <f t="shared" si="80"/>
        <v>7663.6</v>
      </c>
      <c r="J2532" s="178">
        <f t="shared" si="79"/>
        <v>0</v>
      </c>
      <c r="K2532" s="19"/>
    </row>
    <row r="2533" spans="1:11" x14ac:dyDescent="0.25">
      <c r="A2533" s="51">
        <v>42847</v>
      </c>
      <c r="B2533" s="174" t="s">
        <v>14091</v>
      </c>
      <c r="C2533" s="175"/>
      <c r="D2533" s="176" t="s">
        <v>14091</v>
      </c>
      <c r="E2533" s="176">
        <v>108967</v>
      </c>
      <c r="F2533" s="177" t="s">
        <v>435</v>
      </c>
      <c r="G2533" s="178">
        <v>2755.5</v>
      </c>
      <c r="H2533" s="186">
        <v>42851</v>
      </c>
      <c r="I2533" s="187">
        <f t="shared" si="80"/>
        <v>2755.5</v>
      </c>
      <c r="J2533" s="178">
        <f t="shared" si="79"/>
        <v>0</v>
      </c>
      <c r="K2533" s="19"/>
    </row>
    <row r="2534" spans="1:11" x14ac:dyDescent="0.25">
      <c r="A2534" s="51">
        <v>42847</v>
      </c>
      <c r="B2534" s="174" t="s">
        <v>14092</v>
      </c>
      <c r="C2534" s="175"/>
      <c r="D2534" s="176" t="s">
        <v>14092</v>
      </c>
      <c r="E2534" s="176">
        <v>108968</v>
      </c>
      <c r="F2534" s="177" t="s">
        <v>105</v>
      </c>
      <c r="G2534" s="178">
        <v>1384.6</v>
      </c>
      <c r="H2534" s="184">
        <v>42852</v>
      </c>
      <c r="I2534" s="183">
        <f t="shared" si="80"/>
        <v>1384.6</v>
      </c>
      <c r="J2534" s="178">
        <f t="shared" si="79"/>
        <v>0</v>
      </c>
      <c r="K2534" s="19"/>
    </row>
    <row r="2535" spans="1:11" x14ac:dyDescent="0.25">
      <c r="A2535" s="51">
        <v>42847</v>
      </c>
      <c r="B2535" s="174" t="s">
        <v>14093</v>
      </c>
      <c r="C2535" s="175"/>
      <c r="D2535" s="176" t="s">
        <v>14093</v>
      </c>
      <c r="E2535" s="176">
        <v>108969</v>
      </c>
      <c r="F2535" s="177" t="s">
        <v>103</v>
      </c>
      <c r="G2535" s="178">
        <v>2952.6</v>
      </c>
      <c r="H2535" s="186">
        <v>42851</v>
      </c>
      <c r="I2535" s="187">
        <f t="shared" si="80"/>
        <v>2952.6</v>
      </c>
      <c r="J2535" s="178">
        <f t="shared" si="79"/>
        <v>0</v>
      </c>
      <c r="K2535" s="19"/>
    </row>
    <row r="2536" spans="1:11" ht="15.75" x14ac:dyDescent="0.25">
      <c r="A2536" s="51">
        <v>42847</v>
      </c>
      <c r="B2536" s="174" t="s">
        <v>14094</v>
      </c>
      <c r="C2536" s="175"/>
      <c r="D2536" s="176" t="s">
        <v>14094</v>
      </c>
      <c r="E2536" s="176">
        <v>108970</v>
      </c>
      <c r="F2536" s="189" t="s">
        <v>435</v>
      </c>
      <c r="G2536" s="190">
        <v>0</v>
      </c>
      <c r="H2536" s="185" t="s">
        <v>95</v>
      </c>
      <c r="I2536" s="181">
        <f t="shared" si="80"/>
        <v>0</v>
      </c>
      <c r="J2536" s="181">
        <f t="shared" si="79"/>
        <v>0</v>
      </c>
      <c r="K2536" s="19"/>
    </row>
    <row r="2537" spans="1:11" x14ac:dyDescent="0.25">
      <c r="A2537" s="51">
        <v>42847</v>
      </c>
      <c r="B2537" s="174" t="s">
        <v>14095</v>
      </c>
      <c r="C2537" s="175"/>
      <c r="D2537" s="176" t="s">
        <v>14095</v>
      </c>
      <c r="E2537" s="176">
        <v>108971</v>
      </c>
      <c r="F2537" s="177" t="s">
        <v>26</v>
      </c>
      <c r="G2537" s="178">
        <v>4756.8</v>
      </c>
      <c r="H2537" s="179">
        <v>42847</v>
      </c>
      <c r="I2537" s="178">
        <f t="shared" si="80"/>
        <v>4756.8</v>
      </c>
      <c r="J2537" s="178">
        <f t="shared" si="79"/>
        <v>0</v>
      </c>
      <c r="K2537" s="19"/>
    </row>
    <row r="2538" spans="1:11" x14ac:dyDescent="0.25">
      <c r="A2538" s="51">
        <v>42847</v>
      </c>
      <c r="B2538" s="174" t="s">
        <v>14096</v>
      </c>
      <c r="C2538" s="175"/>
      <c r="D2538" s="176" t="s">
        <v>14096</v>
      </c>
      <c r="E2538" s="176">
        <v>108972</v>
      </c>
      <c r="F2538" s="177" t="s">
        <v>289</v>
      </c>
      <c r="G2538" s="178">
        <v>111920.95</v>
      </c>
      <c r="H2538" s="186" t="s">
        <v>15204</v>
      </c>
      <c r="I2538" s="187">
        <f>2573.41+109347.54</f>
        <v>111920.95</v>
      </c>
      <c r="J2538" s="204">
        <f t="shared" si="79"/>
        <v>0</v>
      </c>
      <c r="K2538" s="19"/>
    </row>
    <row r="2539" spans="1:11" x14ac:dyDescent="0.25">
      <c r="A2539" s="51">
        <v>42847</v>
      </c>
      <c r="B2539" s="174" t="s">
        <v>14097</v>
      </c>
      <c r="C2539" s="175"/>
      <c r="D2539" s="176" t="s">
        <v>14097</v>
      </c>
      <c r="E2539" s="176">
        <v>108973</v>
      </c>
      <c r="F2539" s="177" t="s">
        <v>298</v>
      </c>
      <c r="G2539" s="178">
        <v>7244.3</v>
      </c>
      <c r="H2539" s="179">
        <v>42847</v>
      </c>
      <c r="I2539" s="178">
        <f t="shared" si="80"/>
        <v>7244.3</v>
      </c>
      <c r="J2539" s="178">
        <f t="shared" si="79"/>
        <v>0</v>
      </c>
      <c r="K2539" s="19"/>
    </row>
    <row r="2540" spans="1:11" x14ac:dyDescent="0.25">
      <c r="A2540" s="51">
        <v>42847</v>
      </c>
      <c r="B2540" s="174" t="s">
        <v>14098</v>
      </c>
      <c r="C2540" s="175"/>
      <c r="D2540" s="176" t="s">
        <v>14098</v>
      </c>
      <c r="E2540" s="176">
        <v>108974</v>
      </c>
      <c r="F2540" s="177" t="s">
        <v>272</v>
      </c>
      <c r="G2540" s="178">
        <v>5183.3999999999996</v>
      </c>
      <c r="H2540" s="186">
        <v>42851</v>
      </c>
      <c r="I2540" s="187">
        <f t="shared" si="80"/>
        <v>5183.3999999999996</v>
      </c>
      <c r="J2540" s="178">
        <f t="shared" si="79"/>
        <v>0</v>
      </c>
      <c r="K2540" s="19"/>
    </row>
    <row r="2541" spans="1:11" x14ac:dyDescent="0.25">
      <c r="A2541" s="51">
        <v>42847</v>
      </c>
      <c r="B2541" s="174" t="s">
        <v>14099</v>
      </c>
      <c r="C2541" s="175"/>
      <c r="D2541" s="176" t="s">
        <v>14099</v>
      </c>
      <c r="E2541" s="176">
        <v>108975</v>
      </c>
      <c r="F2541" s="177" t="s">
        <v>268</v>
      </c>
      <c r="G2541" s="178">
        <v>23473.1</v>
      </c>
      <c r="H2541" s="186">
        <v>42851</v>
      </c>
      <c r="I2541" s="187">
        <f t="shared" si="80"/>
        <v>23473.1</v>
      </c>
      <c r="J2541" s="178">
        <f t="shared" si="79"/>
        <v>0</v>
      </c>
      <c r="K2541" s="19"/>
    </row>
    <row r="2542" spans="1:11" x14ac:dyDescent="0.25">
      <c r="A2542" s="51">
        <v>42847</v>
      </c>
      <c r="B2542" s="174" t="s">
        <v>14100</v>
      </c>
      <c r="C2542" s="175"/>
      <c r="D2542" s="176" t="s">
        <v>14100</v>
      </c>
      <c r="E2542" s="176">
        <v>108976</v>
      </c>
      <c r="F2542" s="177" t="s">
        <v>1797</v>
      </c>
      <c r="G2542" s="178">
        <v>3967.1</v>
      </c>
      <c r="H2542" s="186">
        <v>42851</v>
      </c>
      <c r="I2542" s="187">
        <f t="shared" si="80"/>
        <v>3967.1</v>
      </c>
      <c r="J2542" s="178">
        <f t="shared" si="79"/>
        <v>0</v>
      </c>
      <c r="K2542" s="19"/>
    </row>
    <row r="2543" spans="1:11" ht="15.75" x14ac:dyDescent="0.25">
      <c r="A2543" s="51">
        <v>42847</v>
      </c>
      <c r="B2543" s="174" t="s">
        <v>14101</v>
      </c>
      <c r="C2543" s="175"/>
      <c r="D2543" s="176" t="s">
        <v>14101</v>
      </c>
      <c r="E2543" s="176">
        <v>108977</v>
      </c>
      <c r="F2543" s="182" t="s">
        <v>30</v>
      </c>
      <c r="G2543" s="183">
        <v>0</v>
      </c>
      <c r="H2543" s="185" t="s">
        <v>95</v>
      </c>
      <c r="I2543" s="178">
        <f t="shared" si="80"/>
        <v>0</v>
      </c>
      <c r="J2543" s="178">
        <f t="shared" si="79"/>
        <v>0</v>
      </c>
      <c r="K2543" s="19"/>
    </row>
    <row r="2544" spans="1:11" x14ac:dyDescent="0.25">
      <c r="A2544" s="51">
        <v>42847</v>
      </c>
      <c r="B2544" s="174" t="s">
        <v>14102</v>
      </c>
      <c r="C2544" s="175"/>
      <c r="D2544" s="176" t="s">
        <v>14102</v>
      </c>
      <c r="E2544" s="176">
        <v>108978</v>
      </c>
      <c r="F2544" s="177" t="s">
        <v>442</v>
      </c>
      <c r="G2544" s="178">
        <v>7043.2</v>
      </c>
      <c r="H2544" s="186">
        <v>42851</v>
      </c>
      <c r="I2544" s="187">
        <f t="shared" si="80"/>
        <v>7043.2</v>
      </c>
      <c r="J2544" s="178">
        <f t="shared" si="79"/>
        <v>0</v>
      </c>
      <c r="K2544" s="19"/>
    </row>
    <row r="2545" spans="1:11" x14ac:dyDescent="0.25">
      <c r="A2545" s="51">
        <v>42847</v>
      </c>
      <c r="B2545" s="174" t="s">
        <v>14103</v>
      </c>
      <c r="C2545" s="175"/>
      <c r="D2545" s="176" t="s">
        <v>14103</v>
      </c>
      <c r="E2545" s="176">
        <v>108979</v>
      </c>
      <c r="F2545" s="177" t="s">
        <v>270</v>
      </c>
      <c r="G2545" s="178">
        <v>33278.480000000003</v>
      </c>
      <c r="H2545" s="186">
        <v>42851</v>
      </c>
      <c r="I2545" s="187">
        <f t="shared" si="80"/>
        <v>33278.480000000003</v>
      </c>
      <c r="J2545" s="178">
        <f t="shared" si="79"/>
        <v>0</v>
      </c>
      <c r="K2545" s="19"/>
    </row>
    <row r="2546" spans="1:11" x14ac:dyDescent="0.25">
      <c r="A2546" s="51">
        <v>42847</v>
      </c>
      <c r="B2546" s="174" t="s">
        <v>14104</v>
      </c>
      <c r="C2546" s="175"/>
      <c r="D2546" s="176" t="s">
        <v>14104</v>
      </c>
      <c r="E2546" s="176">
        <v>108980</v>
      </c>
      <c r="F2546" s="177" t="s">
        <v>30</v>
      </c>
      <c r="G2546" s="178">
        <v>6702</v>
      </c>
      <c r="H2546" s="184">
        <v>42853</v>
      </c>
      <c r="I2546" s="183">
        <f t="shared" si="80"/>
        <v>6702</v>
      </c>
      <c r="J2546" s="178">
        <f t="shared" si="79"/>
        <v>0</v>
      </c>
      <c r="K2546" s="19"/>
    </row>
    <row r="2547" spans="1:11" x14ac:dyDescent="0.25">
      <c r="A2547" s="51">
        <v>42847</v>
      </c>
      <c r="B2547" s="174" t="s">
        <v>14105</v>
      </c>
      <c r="C2547" s="175"/>
      <c r="D2547" s="176" t="s">
        <v>14105</v>
      </c>
      <c r="E2547" s="176">
        <v>108981</v>
      </c>
      <c r="F2547" s="177" t="s">
        <v>2986</v>
      </c>
      <c r="G2547" s="178">
        <v>2761.5</v>
      </c>
      <c r="H2547" s="179">
        <v>42848</v>
      </c>
      <c r="I2547" s="178">
        <f t="shared" si="80"/>
        <v>2761.5</v>
      </c>
      <c r="J2547" s="178">
        <f t="shared" si="79"/>
        <v>0</v>
      </c>
      <c r="K2547" s="19"/>
    </row>
    <row r="2548" spans="1:11" x14ac:dyDescent="0.25">
      <c r="A2548" s="51">
        <v>42847</v>
      </c>
      <c r="B2548" s="174" t="s">
        <v>14106</v>
      </c>
      <c r="C2548" s="175"/>
      <c r="D2548" s="176" t="s">
        <v>14106</v>
      </c>
      <c r="E2548" s="176">
        <v>108982</v>
      </c>
      <c r="F2548" s="177" t="s">
        <v>10583</v>
      </c>
      <c r="G2548" s="178">
        <v>3739.2</v>
      </c>
      <c r="H2548" s="179">
        <v>42848</v>
      </c>
      <c r="I2548" s="178">
        <f t="shared" si="80"/>
        <v>3739.2</v>
      </c>
      <c r="J2548" s="178">
        <f t="shared" si="79"/>
        <v>0</v>
      </c>
      <c r="K2548" s="19"/>
    </row>
    <row r="2549" spans="1:11" x14ac:dyDescent="0.25">
      <c r="A2549" s="51">
        <v>42847</v>
      </c>
      <c r="B2549" s="174" t="s">
        <v>14107</v>
      </c>
      <c r="C2549" s="175"/>
      <c r="D2549" s="176" t="s">
        <v>14107</v>
      </c>
      <c r="E2549" s="176">
        <v>108983</v>
      </c>
      <c r="F2549" s="177" t="s">
        <v>99</v>
      </c>
      <c r="G2549" s="178">
        <v>3440</v>
      </c>
      <c r="H2549" s="179">
        <v>42848</v>
      </c>
      <c r="I2549" s="178">
        <f t="shared" si="80"/>
        <v>3440</v>
      </c>
      <c r="J2549" s="178">
        <f t="shared" si="79"/>
        <v>0</v>
      </c>
      <c r="K2549" s="19"/>
    </row>
    <row r="2550" spans="1:11" x14ac:dyDescent="0.25">
      <c r="A2550" s="51">
        <v>42847</v>
      </c>
      <c r="B2550" s="174" t="s">
        <v>14108</v>
      </c>
      <c r="C2550" s="175"/>
      <c r="D2550" s="176" t="s">
        <v>14108</v>
      </c>
      <c r="E2550" s="176">
        <v>108984</v>
      </c>
      <c r="F2550" s="177" t="s">
        <v>101</v>
      </c>
      <c r="G2550" s="178">
        <v>1935</v>
      </c>
      <c r="H2550" s="179">
        <v>42848</v>
      </c>
      <c r="I2550" s="178">
        <f t="shared" si="80"/>
        <v>1935</v>
      </c>
      <c r="J2550" s="178">
        <f t="shared" si="79"/>
        <v>0</v>
      </c>
      <c r="K2550" s="19"/>
    </row>
    <row r="2551" spans="1:11" x14ac:dyDescent="0.25">
      <c r="A2551" s="51">
        <v>42847</v>
      </c>
      <c r="B2551" s="174" t="s">
        <v>14109</v>
      </c>
      <c r="C2551" s="175"/>
      <c r="D2551" s="176" t="s">
        <v>14109</v>
      </c>
      <c r="E2551" s="176">
        <v>108985</v>
      </c>
      <c r="F2551" s="177" t="s">
        <v>281</v>
      </c>
      <c r="G2551" s="178">
        <v>2704.4</v>
      </c>
      <c r="H2551" s="179">
        <v>42848</v>
      </c>
      <c r="I2551" s="178">
        <f t="shared" si="80"/>
        <v>2704.4</v>
      </c>
      <c r="J2551" s="178">
        <f t="shared" si="79"/>
        <v>0</v>
      </c>
      <c r="K2551" s="19"/>
    </row>
    <row r="2552" spans="1:11" x14ac:dyDescent="0.25">
      <c r="A2552" s="51">
        <v>42847</v>
      </c>
      <c r="B2552" s="174" t="s">
        <v>14110</v>
      </c>
      <c r="C2552" s="175"/>
      <c r="D2552" s="176" t="s">
        <v>14110</v>
      </c>
      <c r="E2552" s="176">
        <v>108986</v>
      </c>
      <c r="F2552" s="182" t="s">
        <v>4367</v>
      </c>
      <c r="G2552" s="183">
        <v>0</v>
      </c>
      <c r="H2552" s="184" t="s">
        <v>95</v>
      </c>
      <c r="I2552" s="183">
        <f t="shared" si="80"/>
        <v>0</v>
      </c>
      <c r="J2552" s="183">
        <f t="shared" si="79"/>
        <v>0</v>
      </c>
      <c r="K2552" s="19"/>
    </row>
    <row r="2553" spans="1:11" x14ac:dyDescent="0.25">
      <c r="A2553" s="51">
        <v>42847</v>
      </c>
      <c r="B2553" s="174" t="s">
        <v>14111</v>
      </c>
      <c r="C2553" s="175"/>
      <c r="D2553" s="176" t="s">
        <v>14111</v>
      </c>
      <c r="E2553" s="176">
        <v>108987</v>
      </c>
      <c r="F2553" s="177" t="s">
        <v>4367</v>
      </c>
      <c r="G2553" s="178">
        <v>1434</v>
      </c>
      <c r="H2553" s="179">
        <v>42848</v>
      </c>
      <c r="I2553" s="178">
        <f t="shared" si="80"/>
        <v>1434</v>
      </c>
      <c r="J2553" s="178">
        <f t="shared" si="79"/>
        <v>0</v>
      </c>
      <c r="K2553" s="19"/>
    </row>
    <row r="2554" spans="1:11" x14ac:dyDescent="0.25">
      <c r="A2554" s="51">
        <v>42847</v>
      </c>
      <c r="B2554" s="174" t="s">
        <v>14112</v>
      </c>
      <c r="C2554" s="175"/>
      <c r="D2554" s="176" t="s">
        <v>14112</v>
      </c>
      <c r="E2554" s="176">
        <v>108988</v>
      </c>
      <c r="F2554" s="177" t="s">
        <v>435</v>
      </c>
      <c r="G2554" s="178">
        <v>8489.9</v>
      </c>
      <c r="H2554" s="179">
        <v>42847</v>
      </c>
      <c r="I2554" s="178">
        <f t="shared" si="80"/>
        <v>8489.9</v>
      </c>
      <c r="J2554" s="178">
        <f t="shared" si="79"/>
        <v>0</v>
      </c>
      <c r="K2554" s="19"/>
    </row>
    <row r="2555" spans="1:11" x14ac:dyDescent="0.25">
      <c r="A2555" s="51">
        <v>42847</v>
      </c>
      <c r="B2555" s="174" t="s">
        <v>14113</v>
      </c>
      <c r="C2555" s="175"/>
      <c r="D2555" s="176" t="s">
        <v>14113</v>
      </c>
      <c r="E2555" s="176">
        <v>108989</v>
      </c>
      <c r="F2555" s="177" t="s">
        <v>83</v>
      </c>
      <c r="G2555" s="178">
        <v>3703.5</v>
      </c>
      <c r="H2555" s="179">
        <v>42848</v>
      </c>
      <c r="I2555" s="178">
        <f t="shared" si="80"/>
        <v>3703.5</v>
      </c>
      <c r="J2555" s="178">
        <f t="shared" si="79"/>
        <v>0</v>
      </c>
      <c r="K2555" s="19"/>
    </row>
    <row r="2556" spans="1:11" x14ac:dyDescent="0.25">
      <c r="A2556" s="51">
        <v>42847</v>
      </c>
      <c r="B2556" s="174" t="s">
        <v>14114</v>
      </c>
      <c r="C2556" s="175"/>
      <c r="D2556" s="176" t="s">
        <v>14114</v>
      </c>
      <c r="E2556" s="176">
        <v>108990</v>
      </c>
      <c r="F2556" s="177" t="s">
        <v>291</v>
      </c>
      <c r="G2556" s="178">
        <v>2668.5</v>
      </c>
      <c r="H2556" s="179">
        <v>42848</v>
      </c>
      <c r="I2556" s="178">
        <f t="shared" si="80"/>
        <v>2668.5</v>
      </c>
      <c r="J2556" s="178">
        <f t="shared" si="79"/>
        <v>0</v>
      </c>
      <c r="K2556" s="19"/>
    </row>
    <row r="2557" spans="1:11" x14ac:dyDescent="0.25">
      <c r="A2557" s="51">
        <v>42847</v>
      </c>
      <c r="B2557" s="174" t="s">
        <v>14115</v>
      </c>
      <c r="C2557" s="175"/>
      <c r="D2557" s="176" t="s">
        <v>14115</v>
      </c>
      <c r="E2557" s="176">
        <v>108991</v>
      </c>
      <c r="F2557" s="177" t="s">
        <v>293</v>
      </c>
      <c r="G2557" s="178">
        <v>390</v>
      </c>
      <c r="H2557" s="179">
        <v>42848</v>
      </c>
      <c r="I2557" s="178">
        <f t="shared" si="80"/>
        <v>390</v>
      </c>
      <c r="J2557" s="178">
        <f t="shared" si="79"/>
        <v>0</v>
      </c>
      <c r="K2557" s="19"/>
    </row>
    <row r="2558" spans="1:11" x14ac:dyDescent="0.25">
      <c r="A2558" s="51">
        <v>42847</v>
      </c>
      <c r="B2558" s="174" t="s">
        <v>14116</v>
      </c>
      <c r="C2558" s="175"/>
      <c r="D2558" s="176" t="s">
        <v>14116</v>
      </c>
      <c r="E2558" s="176">
        <v>108992</v>
      </c>
      <c r="F2558" s="177" t="s">
        <v>445</v>
      </c>
      <c r="G2558" s="178">
        <v>2064</v>
      </c>
      <c r="H2558" s="179">
        <v>42848</v>
      </c>
      <c r="I2558" s="178">
        <f t="shared" si="80"/>
        <v>2064</v>
      </c>
      <c r="J2558" s="178">
        <f t="shared" si="79"/>
        <v>0</v>
      </c>
      <c r="K2558" s="19"/>
    </row>
    <row r="2559" spans="1:11" x14ac:dyDescent="0.25">
      <c r="A2559" s="51">
        <v>42847</v>
      </c>
      <c r="B2559" s="174" t="s">
        <v>14117</v>
      </c>
      <c r="C2559" s="175"/>
      <c r="D2559" s="176" t="s">
        <v>14117</v>
      </c>
      <c r="E2559" s="176">
        <v>108993</v>
      </c>
      <c r="F2559" s="177" t="s">
        <v>92</v>
      </c>
      <c r="G2559" s="178">
        <v>1711.4</v>
      </c>
      <c r="H2559" s="179">
        <v>42848</v>
      </c>
      <c r="I2559" s="178">
        <f t="shared" si="80"/>
        <v>1711.4</v>
      </c>
      <c r="J2559" s="178">
        <f t="shared" si="79"/>
        <v>0</v>
      </c>
      <c r="K2559" s="19"/>
    </row>
    <row r="2560" spans="1:11" x14ac:dyDescent="0.25">
      <c r="A2560" s="51">
        <v>42847</v>
      </c>
      <c r="B2560" s="174" t="s">
        <v>14118</v>
      </c>
      <c r="C2560" s="175"/>
      <c r="D2560" s="176" t="s">
        <v>14118</v>
      </c>
      <c r="E2560" s="176">
        <v>108994</v>
      </c>
      <c r="F2560" s="177" t="s">
        <v>613</v>
      </c>
      <c r="G2560" s="178">
        <v>4824</v>
      </c>
      <c r="H2560" s="179">
        <v>42848</v>
      </c>
      <c r="I2560" s="178">
        <f t="shared" si="80"/>
        <v>4824</v>
      </c>
      <c r="J2560" s="178">
        <f t="shared" si="79"/>
        <v>0</v>
      </c>
      <c r="K2560" s="19"/>
    </row>
    <row r="2561" spans="1:11" x14ac:dyDescent="0.25">
      <c r="A2561" s="51">
        <v>42847</v>
      </c>
      <c r="B2561" s="174" t="s">
        <v>14119</v>
      </c>
      <c r="C2561" s="175"/>
      <c r="D2561" s="176" t="s">
        <v>14119</v>
      </c>
      <c r="E2561" s="176">
        <v>108995</v>
      </c>
      <c r="F2561" s="177" t="s">
        <v>1259</v>
      </c>
      <c r="G2561" s="178">
        <v>2180.1</v>
      </c>
      <c r="H2561" s="179">
        <v>42848</v>
      </c>
      <c r="I2561" s="178">
        <f t="shared" si="80"/>
        <v>2180.1</v>
      </c>
      <c r="J2561" s="178">
        <f t="shared" si="79"/>
        <v>0</v>
      </c>
      <c r="K2561" s="19"/>
    </row>
    <row r="2562" spans="1:11" x14ac:dyDescent="0.25">
      <c r="A2562" s="51">
        <v>42847</v>
      </c>
      <c r="B2562" s="174" t="s">
        <v>14120</v>
      </c>
      <c r="C2562" s="175"/>
      <c r="D2562" s="176" t="s">
        <v>14120</v>
      </c>
      <c r="E2562" s="176">
        <v>108996</v>
      </c>
      <c r="F2562" s="177" t="s">
        <v>85</v>
      </c>
      <c r="G2562" s="178">
        <v>3151.8</v>
      </c>
      <c r="H2562" s="179">
        <v>42847</v>
      </c>
      <c r="I2562" s="178">
        <f t="shared" si="80"/>
        <v>3151.8</v>
      </c>
      <c r="J2562" s="178">
        <f t="shared" si="79"/>
        <v>0</v>
      </c>
      <c r="K2562" s="19"/>
    </row>
    <row r="2563" spans="1:11" x14ac:dyDescent="0.25">
      <c r="A2563" s="51">
        <v>42847</v>
      </c>
      <c r="B2563" s="174" t="s">
        <v>14121</v>
      </c>
      <c r="C2563" s="175"/>
      <c r="D2563" s="176" t="s">
        <v>14121</v>
      </c>
      <c r="E2563" s="176">
        <v>108997</v>
      </c>
      <c r="F2563" s="177" t="s">
        <v>88</v>
      </c>
      <c r="G2563" s="178">
        <v>9391.2000000000007</v>
      </c>
      <c r="H2563" s="179">
        <v>42848</v>
      </c>
      <c r="I2563" s="178">
        <f t="shared" si="80"/>
        <v>9391.2000000000007</v>
      </c>
      <c r="J2563" s="178">
        <f t="shared" si="79"/>
        <v>0</v>
      </c>
      <c r="K2563" s="19"/>
    </row>
    <row r="2564" spans="1:11" x14ac:dyDescent="0.25">
      <c r="A2564" s="51">
        <v>42847</v>
      </c>
      <c r="B2564" s="174" t="s">
        <v>14122</v>
      </c>
      <c r="C2564" s="175"/>
      <c r="D2564" s="176" t="s">
        <v>14122</v>
      </c>
      <c r="E2564" s="176">
        <v>108998</v>
      </c>
      <c r="F2564" s="177" t="s">
        <v>109</v>
      </c>
      <c r="G2564" s="178">
        <v>5437.9</v>
      </c>
      <c r="H2564" s="179">
        <v>42848</v>
      </c>
      <c r="I2564" s="178">
        <f t="shared" si="80"/>
        <v>5437.9</v>
      </c>
      <c r="J2564" s="178">
        <f t="shared" ref="J2564:J2627" si="81">G2564-I2564</f>
        <v>0</v>
      </c>
      <c r="K2564" s="19"/>
    </row>
    <row r="2565" spans="1:11" x14ac:dyDescent="0.25">
      <c r="A2565" s="51">
        <v>42847</v>
      </c>
      <c r="B2565" s="174" t="s">
        <v>14123</v>
      </c>
      <c r="C2565" s="175"/>
      <c r="D2565" s="176" t="s">
        <v>14123</v>
      </c>
      <c r="E2565" s="176">
        <v>108999</v>
      </c>
      <c r="F2565" s="177" t="s">
        <v>159</v>
      </c>
      <c r="G2565" s="178">
        <v>8820.9</v>
      </c>
      <c r="H2565" s="184">
        <v>42852</v>
      </c>
      <c r="I2565" s="183">
        <f t="shared" ref="I2565:I2628" si="82">G2565</f>
        <v>8820.9</v>
      </c>
      <c r="J2565" s="178">
        <f t="shared" si="81"/>
        <v>0</v>
      </c>
      <c r="K2565" s="19"/>
    </row>
    <row r="2566" spans="1:11" x14ac:dyDescent="0.25">
      <c r="A2566" s="51">
        <v>42847</v>
      </c>
      <c r="B2566" s="174" t="s">
        <v>14124</v>
      </c>
      <c r="C2566" s="175"/>
      <c r="D2566" s="176" t="s">
        <v>14124</v>
      </c>
      <c r="E2566" s="176">
        <v>109000</v>
      </c>
      <c r="F2566" s="177" t="s">
        <v>2240</v>
      </c>
      <c r="G2566" s="178">
        <v>9589.6</v>
      </c>
      <c r="H2566" s="179">
        <v>42847</v>
      </c>
      <c r="I2566" s="178">
        <f t="shared" si="82"/>
        <v>9589.6</v>
      </c>
      <c r="J2566" s="178">
        <f t="shared" si="81"/>
        <v>0</v>
      </c>
      <c r="K2566" s="19"/>
    </row>
    <row r="2567" spans="1:11" x14ac:dyDescent="0.25">
      <c r="A2567" s="51">
        <v>42847</v>
      </c>
      <c r="B2567" s="174" t="s">
        <v>14125</v>
      </c>
      <c r="C2567" s="175"/>
      <c r="D2567" s="176" t="s">
        <v>14125</v>
      </c>
      <c r="E2567" s="176">
        <v>109001</v>
      </c>
      <c r="F2567" s="177" t="s">
        <v>305</v>
      </c>
      <c r="G2567" s="178">
        <v>6298.9</v>
      </c>
      <c r="H2567" s="186">
        <v>42856</v>
      </c>
      <c r="I2567" s="187">
        <f t="shared" si="82"/>
        <v>6298.9</v>
      </c>
      <c r="J2567" s="178">
        <f t="shared" si="81"/>
        <v>0</v>
      </c>
      <c r="K2567" s="19"/>
    </row>
    <row r="2568" spans="1:11" x14ac:dyDescent="0.25">
      <c r="A2568" s="51">
        <v>42847</v>
      </c>
      <c r="B2568" s="174" t="s">
        <v>14126</v>
      </c>
      <c r="C2568" s="175"/>
      <c r="D2568" s="176" t="s">
        <v>14126</v>
      </c>
      <c r="E2568" s="176">
        <v>109002</v>
      </c>
      <c r="F2568" s="177" t="s">
        <v>472</v>
      </c>
      <c r="G2568" s="178">
        <v>4268</v>
      </c>
      <c r="H2568" s="184">
        <v>42852</v>
      </c>
      <c r="I2568" s="183">
        <f t="shared" si="82"/>
        <v>4268</v>
      </c>
      <c r="J2568" s="178">
        <f t="shared" si="81"/>
        <v>0</v>
      </c>
      <c r="K2568" s="19"/>
    </row>
    <row r="2569" spans="1:11" x14ac:dyDescent="0.25">
      <c r="A2569" s="51">
        <v>42847</v>
      </c>
      <c r="B2569" s="174" t="s">
        <v>14127</v>
      </c>
      <c r="C2569" s="175"/>
      <c r="D2569" s="176" t="s">
        <v>14127</v>
      </c>
      <c r="E2569" s="176">
        <v>109003</v>
      </c>
      <c r="F2569" s="177" t="s">
        <v>476</v>
      </c>
      <c r="G2569" s="178">
        <v>18915.8</v>
      </c>
      <c r="H2569" s="186">
        <v>42859</v>
      </c>
      <c r="I2569" s="187">
        <f t="shared" si="82"/>
        <v>18915.8</v>
      </c>
      <c r="J2569" s="178">
        <f t="shared" si="81"/>
        <v>0</v>
      </c>
      <c r="K2569" s="19"/>
    </row>
    <row r="2570" spans="1:11" x14ac:dyDescent="0.25">
      <c r="A2570" s="51">
        <v>42847</v>
      </c>
      <c r="B2570" s="174" t="s">
        <v>14128</v>
      </c>
      <c r="C2570" s="175"/>
      <c r="D2570" s="176" t="s">
        <v>14128</v>
      </c>
      <c r="E2570" s="176">
        <v>109004</v>
      </c>
      <c r="F2570" s="177" t="s">
        <v>176</v>
      </c>
      <c r="G2570" s="178">
        <v>2910.6</v>
      </c>
      <c r="H2570" s="179">
        <v>42849</v>
      </c>
      <c r="I2570" s="178">
        <f t="shared" si="82"/>
        <v>2910.6</v>
      </c>
      <c r="J2570" s="178">
        <f t="shared" si="81"/>
        <v>0</v>
      </c>
      <c r="K2570" s="19"/>
    </row>
    <row r="2571" spans="1:11" x14ac:dyDescent="0.25">
      <c r="A2571" s="51">
        <v>42847</v>
      </c>
      <c r="B2571" s="174" t="s">
        <v>14129</v>
      </c>
      <c r="C2571" s="175"/>
      <c r="D2571" s="176" t="s">
        <v>14129</v>
      </c>
      <c r="E2571" s="176">
        <v>109005</v>
      </c>
      <c r="F2571" s="177" t="s">
        <v>472</v>
      </c>
      <c r="G2571" s="178">
        <v>1790.4</v>
      </c>
      <c r="H2571" s="184">
        <v>42852</v>
      </c>
      <c r="I2571" s="183">
        <f t="shared" si="82"/>
        <v>1790.4</v>
      </c>
      <c r="J2571" s="178">
        <f t="shared" si="81"/>
        <v>0</v>
      </c>
      <c r="K2571" s="19"/>
    </row>
    <row r="2572" spans="1:11" x14ac:dyDescent="0.25">
      <c r="A2572" s="51">
        <v>42847</v>
      </c>
      <c r="B2572" s="174" t="s">
        <v>14130</v>
      </c>
      <c r="C2572" s="175"/>
      <c r="D2572" s="176" t="s">
        <v>14130</v>
      </c>
      <c r="E2572" s="176">
        <v>109006</v>
      </c>
      <c r="F2572" s="177" t="s">
        <v>480</v>
      </c>
      <c r="G2572" s="178">
        <v>2910.6</v>
      </c>
      <c r="H2572" s="179">
        <v>42848</v>
      </c>
      <c r="I2572" s="178">
        <f t="shared" si="82"/>
        <v>2910.6</v>
      </c>
      <c r="J2572" s="178">
        <f t="shared" si="81"/>
        <v>0</v>
      </c>
      <c r="K2572" s="19"/>
    </row>
    <row r="2573" spans="1:11" x14ac:dyDescent="0.25">
      <c r="A2573" s="51">
        <v>42847</v>
      </c>
      <c r="B2573" s="174" t="s">
        <v>14131</v>
      </c>
      <c r="C2573" s="175"/>
      <c r="D2573" s="176" t="s">
        <v>14131</v>
      </c>
      <c r="E2573" s="176">
        <v>109007</v>
      </c>
      <c r="F2573" s="177" t="s">
        <v>45</v>
      </c>
      <c r="G2573" s="178">
        <v>2362.5</v>
      </c>
      <c r="H2573" s="186" t="s">
        <v>14132</v>
      </c>
      <c r="I2573" s="187">
        <f>1800+562.5</f>
        <v>2362.5</v>
      </c>
      <c r="J2573" s="188">
        <f t="shared" si="81"/>
        <v>0</v>
      </c>
      <c r="K2573" s="19"/>
    </row>
    <row r="2574" spans="1:11" x14ac:dyDescent="0.25">
      <c r="A2574" s="51">
        <v>42847</v>
      </c>
      <c r="B2574" s="174" t="s">
        <v>14133</v>
      </c>
      <c r="C2574" s="175"/>
      <c r="D2574" s="176" t="s">
        <v>14133</v>
      </c>
      <c r="E2574" s="176">
        <v>109008</v>
      </c>
      <c r="F2574" s="177" t="s">
        <v>57</v>
      </c>
      <c r="G2574" s="178">
        <v>683.7</v>
      </c>
      <c r="H2574" s="179">
        <v>42848</v>
      </c>
      <c r="I2574" s="178">
        <f t="shared" si="82"/>
        <v>683.7</v>
      </c>
      <c r="J2574" s="178">
        <f t="shared" si="81"/>
        <v>0</v>
      </c>
      <c r="K2574" s="19"/>
    </row>
    <row r="2575" spans="1:11" x14ac:dyDescent="0.25">
      <c r="A2575" s="51">
        <v>42847</v>
      </c>
      <c r="B2575" s="174" t="s">
        <v>14134</v>
      </c>
      <c r="C2575" s="175"/>
      <c r="D2575" s="176" t="s">
        <v>14134</v>
      </c>
      <c r="E2575" s="176">
        <v>109009</v>
      </c>
      <c r="F2575" s="182" t="s">
        <v>2545</v>
      </c>
      <c r="G2575" s="183">
        <v>0</v>
      </c>
      <c r="H2575" s="184" t="s">
        <v>95</v>
      </c>
      <c r="I2575" s="183">
        <f t="shared" si="82"/>
        <v>0</v>
      </c>
      <c r="J2575" s="183">
        <f t="shared" si="81"/>
        <v>0</v>
      </c>
      <c r="K2575" s="19"/>
    </row>
    <row r="2576" spans="1:11" x14ac:dyDescent="0.25">
      <c r="A2576" s="51">
        <v>42847</v>
      </c>
      <c r="B2576" s="174" t="s">
        <v>14135</v>
      </c>
      <c r="C2576" s="175"/>
      <c r="D2576" s="176" t="s">
        <v>14135</v>
      </c>
      <c r="E2576" s="176">
        <v>109010</v>
      </c>
      <c r="F2576" s="182" t="s">
        <v>2545</v>
      </c>
      <c r="G2576" s="183">
        <v>0</v>
      </c>
      <c r="H2576" s="184" t="s">
        <v>95</v>
      </c>
      <c r="I2576" s="183">
        <f t="shared" si="82"/>
        <v>0</v>
      </c>
      <c r="J2576" s="183">
        <f t="shared" si="81"/>
        <v>0</v>
      </c>
      <c r="K2576" s="19"/>
    </row>
    <row r="2577" spans="1:11" x14ac:dyDescent="0.25">
      <c r="A2577" s="51">
        <v>42847</v>
      </c>
      <c r="B2577" s="174" t="s">
        <v>14136</v>
      </c>
      <c r="C2577" s="175"/>
      <c r="D2577" s="176" t="s">
        <v>14136</v>
      </c>
      <c r="E2577" s="176">
        <v>109011</v>
      </c>
      <c r="F2577" s="177" t="s">
        <v>2545</v>
      </c>
      <c r="G2577" s="178">
        <v>1953</v>
      </c>
      <c r="H2577" s="179">
        <v>42848</v>
      </c>
      <c r="I2577" s="178">
        <f t="shared" si="82"/>
        <v>1953</v>
      </c>
      <c r="J2577" s="178">
        <f t="shared" si="81"/>
        <v>0</v>
      </c>
      <c r="K2577" s="19"/>
    </row>
    <row r="2578" spans="1:11" x14ac:dyDescent="0.25">
      <c r="A2578" s="51">
        <v>42847</v>
      </c>
      <c r="B2578" s="174" t="s">
        <v>14137</v>
      </c>
      <c r="C2578" s="175"/>
      <c r="D2578" s="176" t="s">
        <v>14137</v>
      </c>
      <c r="E2578" s="176">
        <v>109012</v>
      </c>
      <c r="F2578" s="177" t="s">
        <v>335</v>
      </c>
      <c r="G2578" s="178">
        <v>789.6</v>
      </c>
      <c r="H2578" s="184">
        <v>42853</v>
      </c>
      <c r="I2578" s="183">
        <f t="shared" si="82"/>
        <v>789.6</v>
      </c>
      <c r="J2578" s="178">
        <f t="shared" si="81"/>
        <v>0</v>
      </c>
      <c r="K2578" s="19"/>
    </row>
    <row r="2579" spans="1:11" x14ac:dyDescent="0.25">
      <c r="A2579" s="51">
        <v>42847</v>
      </c>
      <c r="B2579" s="174" t="s">
        <v>14138</v>
      </c>
      <c r="C2579" s="175"/>
      <c r="D2579" s="176" t="s">
        <v>14138</v>
      </c>
      <c r="E2579" s="176">
        <v>109013</v>
      </c>
      <c r="F2579" s="177" t="s">
        <v>331</v>
      </c>
      <c r="G2579" s="178">
        <v>2940.7</v>
      </c>
      <c r="H2579" s="179">
        <v>42848</v>
      </c>
      <c r="I2579" s="178">
        <f t="shared" si="82"/>
        <v>2940.7</v>
      </c>
      <c r="J2579" s="178">
        <f t="shared" si="81"/>
        <v>0</v>
      </c>
      <c r="K2579" s="19"/>
    </row>
    <row r="2580" spans="1:11" x14ac:dyDescent="0.25">
      <c r="A2580" s="51">
        <v>42847</v>
      </c>
      <c r="B2580" s="174" t="s">
        <v>14139</v>
      </c>
      <c r="C2580" s="175"/>
      <c r="D2580" s="176" t="s">
        <v>14139</v>
      </c>
      <c r="E2580" s="176">
        <v>109014</v>
      </c>
      <c r="F2580" s="177" t="s">
        <v>28</v>
      </c>
      <c r="G2580" s="178">
        <v>10184</v>
      </c>
      <c r="H2580" s="179">
        <v>42847</v>
      </c>
      <c r="I2580" s="178">
        <f t="shared" si="82"/>
        <v>10184</v>
      </c>
      <c r="J2580" s="178">
        <f t="shared" si="81"/>
        <v>0</v>
      </c>
      <c r="K2580" s="19"/>
    </row>
    <row r="2581" spans="1:11" x14ac:dyDescent="0.25">
      <c r="A2581" s="51">
        <v>42847</v>
      </c>
      <c r="B2581" s="174" t="s">
        <v>14140</v>
      </c>
      <c r="C2581" s="175"/>
      <c r="D2581" s="176" t="s">
        <v>14140</v>
      </c>
      <c r="E2581" s="176">
        <v>109015</v>
      </c>
      <c r="F2581" s="177" t="s">
        <v>186</v>
      </c>
      <c r="G2581" s="178">
        <v>2132.8000000000002</v>
      </c>
      <c r="H2581" s="184">
        <v>42852</v>
      </c>
      <c r="I2581" s="183">
        <f t="shared" si="82"/>
        <v>2132.8000000000002</v>
      </c>
      <c r="J2581" s="178">
        <f t="shared" si="81"/>
        <v>0</v>
      </c>
      <c r="K2581" s="19"/>
    </row>
    <row r="2582" spans="1:11" x14ac:dyDescent="0.25">
      <c r="A2582" s="51">
        <v>42847</v>
      </c>
      <c r="B2582" s="174" t="s">
        <v>14141</v>
      </c>
      <c r="C2582" s="175"/>
      <c r="D2582" s="176" t="s">
        <v>14141</v>
      </c>
      <c r="E2582" s="176">
        <v>109016</v>
      </c>
      <c r="F2582" s="177" t="s">
        <v>61</v>
      </c>
      <c r="G2582" s="178">
        <v>2945.8</v>
      </c>
      <c r="H2582" s="179">
        <v>42848</v>
      </c>
      <c r="I2582" s="178">
        <f t="shared" si="82"/>
        <v>2945.8</v>
      </c>
      <c r="J2582" s="178">
        <f t="shared" si="81"/>
        <v>0</v>
      </c>
      <c r="K2582" s="19"/>
    </row>
    <row r="2583" spans="1:11" x14ac:dyDescent="0.25">
      <c r="A2583" s="51">
        <v>42847</v>
      </c>
      <c r="B2583" s="174" t="s">
        <v>14142</v>
      </c>
      <c r="C2583" s="175"/>
      <c r="D2583" s="176" t="s">
        <v>14142</v>
      </c>
      <c r="E2583" s="176">
        <v>109017</v>
      </c>
      <c r="F2583" s="177" t="s">
        <v>168</v>
      </c>
      <c r="G2583" s="178">
        <v>508.3</v>
      </c>
      <c r="H2583" s="179">
        <v>42847</v>
      </c>
      <c r="I2583" s="178">
        <f t="shared" si="82"/>
        <v>508.3</v>
      </c>
      <c r="J2583" s="178">
        <f t="shared" si="81"/>
        <v>0</v>
      </c>
      <c r="K2583" s="19"/>
    </row>
    <row r="2584" spans="1:11" x14ac:dyDescent="0.25">
      <c r="A2584" s="51">
        <v>42847</v>
      </c>
      <c r="B2584" s="174" t="s">
        <v>14143</v>
      </c>
      <c r="C2584" s="175"/>
      <c r="D2584" s="176" t="s">
        <v>14143</v>
      </c>
      <c r="E2584" s="176">
        <v>109018</v>
      </c>
      <c r="F2584" s="177" t="s">
        <v>10</v>
      </c>
      <c r="G2584" s="178">
        <v>330790.63</v>
      </c>
      <c r="H2584" s="179">
        <v>42849</v>
      </c>
      <c r="I2584" s="178">
        <f t="shared" si="82"/>
        <v>330790.63</v>
      </c>
      <c r="J2584" s="178">
        <f t="shared" si="81"/>
        <v>0</v>
      </c>
      <c r="K2584" s="19"/>
    </row>
    <row r="2585" spans="1:11" x14ac:dyDescent="0.25">
      <c r="A2585" s="51">
        <v>42847</v>
      </c>
      <c r="B2585" s="174" t="s">
        <v>14144</v>
      </c>
      <c r="C2585" s="175"/>
      <c r="D2585" s="176" t="s">
        <v>14144</v>
      </c>
      <c r="E2585" s="176">
        <v>109019</v>
      </c>
      <c r="F2585" s="177" t="s">
        <v>879</v>
      </c>
      <c r="G2585" s="178">
        <v>2719.5</v>
      </c>
      <c r="H2585" s="179">
        <v>42847</v>
      </c>
      <c r="I2585" s="178">
        <f t="shared" si="82"/>
        <v>2719.5</v>
      </c>
      <c r="J2585" s="178">
        <f t="shared" si="81"/>
        <v>0</v>
      </c>
      <c r="K2585" s="19"/>
    </row>
    <row r="2586" spans="1:11" x14ac:dyDescent="0.25">
      <c r="A2586" s="51">
        <v>42847</v>
      </c>
      <c r="B2586" s="174" t="s">
        <v>14145</v>
      </c>
      <c r="C2586" s="175"/>
      <c r="D2586" s="176" t="s">
        <v>14145</v>
      </c>
      <c r="E2586" s="176">
        <v>109020</v>
      </c>
      <c r="F2586" s="177" t="s">
        <v>133</v>
      </c>
      <c r="G2586" s="178">
        <v>1002.5</v>
      </c>
      <c r="H2586" s="179">
        <v>42847</v>
      </c>
      <c r="I2586" s="178">
        <f t="shared" si="82"/>
        <v>1002.5</v>
      </c>
      <c r="J2586" s="178">
        <f t="shared" si="81"/>
        <v>0</v>
      </c>
      <c r="K2586" s="19"/>
    </row>
    <row r="2587" spans="1:11" x14ac:dyDescent="0.25">
      <c r="A2587" s="51">
        <v>42847</v>
      </c>
      <c r="B2587" s="174" t="s">
        <v>14146</v>
      </c>
      <c r="C2587" s="175"/>
      <c r="D2587" s="176" t="s">
        <v>14146</v>
      </c>
      <c r="E2587" s="176">
        <v>109021</v>
      </c>
      <c r="F2587" s="177" t="s">
        <v>193</v>
      </c>
      <c r="G2587" s="178">
        <v>3543.2</v>
      </c>
      <c r="H2587" s="179">
        <v>42848</v>
      </c>
      <c r="I2587" s="178">
        <f t="shared" si="82"/>
        <v>3543.2</v>
      </c>
      <c r="J2587" s="178">
        <f t="shared" si="81"/>
        <v>0</v>
      </c>
      <c r="K2587" s="19"/>
    </row>
    <row r="2588" spans="1:11" x14ac:dyDescent="0.25">
      <c r="A2588" s="51">
        <v>42847</v>
      </c>
      <c r="B2588" s="174" t="s">
        <v>14147</v>
      </c>
      <c r="C2588" s="175"/>
      <c r="D2588" s="176" t="s">
        <v>14147</v>
      </c>
      <c r="E2588" s="176">
        <v>109022</v>
      </c>
      <c r="F2588" s="177" t="s">
        <v>182</v>
      </c>
      <c r="G2588" s="178">
        <v>5160</v>
      </c>
      <c r="H2588" s="179">
        <v>42848</v>
      </c>
      <c r="I2588" s="178">
        <f t="shared" si="82"/>
        <v>5160</v>
      </c>
      <c r="J2588" s="178">
        <f t="shared" si="81"/>
        <v>0</v>
      </c>
      <c r="K2588" s="19"/>
    </row>
    <row r="2589" spans="1:11" x14ac:dyDescent="0.25">
      <c r="A2589" s="51">
        <v>42847</v>
      </c>
      <c r="B2589" s="174" t="s">
        <v>14148</v>
      </c>
      <c r="C2589" s="175"/>
      <c r="D2589" s="176" t="s">
        <v>14148</v>
      </c>
      <c r="E2589" s="176">
        <v>109023</v>
      </c>
      <c r="F2589" s="177" t="s">
        <v>531</v>
      </c>
      <c r="G2589" s="178">
        <v>2614.4</v>
      </c>
      <c r="H2589" s="179">
        <v>42849</v>
      </c>
      <c r="I2589" s="178">
        <f t="shared" si="82"/>
        <v>2614.4</v>
      </c>
      <c r="J2589" s="178">
        <f t="shared" si="81"/>
        <v>0</v>
      </c>
      <c r="K2589" s="19"/>
    </row>
    <row r="2590" spans="1:11" x14ac:dyDescent="0.25">
      <c r="A2590" s="51">
        <v>42847</v>
      </c>
      <c r="B2590" s="174" t="s">
        <v>14149</v>
      </c>
      <c r="C2590" s="175"/>
      <c r="D2590" s="176" t="s">
        <v>14149</v>
      </c>
      <c r="E2590" s="176">
        <v>109024</v>
      </c>
      <c r="F2590" s="177" t="s">
        <v>149</v>
      </c>
      <c r="G2590" s="178">
        <v>4230.6000000000004</v>
      </c>
      <c r="H2590" s="179">
        <v>42847</v>
      </c>
      <c r="I2590" s="178">
        <f t="shared" si="82"/>
        <v>4230.6000000000004</v>
      </c>
      <c r="J2590" s="178">
        <f t="shared" si="81"/>
        <v>0</v>
      </c>
      <c r="K2590" s="19"/>
    </row>
    <row r="2591" spans="1:11" x14ac:dyDescent="0.25">
      <c r="A2591" s="51">
        <v>42847</v>
      </c>
      <c r="B2591" s="174" t="s">
        <v>14150</v>
      </c>
      <c r="C2591" s="175"/>
      <c r="D2591" s="176" t="s">
        <v>14150</v>
      </c>
      <c r="E2591" s="176">
        <v>109025</v>
      </c>
      <c r="F2591" s="177" t="s">
        <v>151</v>
      </c>
      <c r="G2591" s="178">
        <v>15104.76</v>
      </c>
      <c r="H2591" s="179">
        <v>42848</v>
      </c>
      <c r="I2591" s="178">
        <f t="shared" si="82"/>
        <v>15104.76</v>
      </c>
      <c r="J2591" s="178">
        <f t="shared" si="81"/>
        <v>0</v>
      </c>
      <c r="K2591" s="19"/>
    </row>
    <row r="2592" spans="1:11" x14ac:dyDescent="0.25">
      <c r="A2592" s="51">
        <v>42847</v>
      </c>
      <c r="B2592" s="174" t="s">
        <v>14151</v>
      </c>
      <c r="C2592" s="175"/>
      <c r="D2592" s="176" t="s">
        <v>14151</v>
      </c>
      <c r="E2592" s="176">
        <v>109026</v>
      </c>
      <c r="F2592" s="177" t="s">
        <v>188</v>
      </c>
      <c r="G2592" s="178">
        <v>2515.5</v>
      </c>
      <c r="H2592" s="179">
        <v>42848</v>
      </c>
      <c r="I2592" s="178">
        <f t="shared" si="82"/>
        <v>2515.5</v>
      </c>
      <c r="J2592" s="178">
        <f t="shared" si="81"/>
        <v>0</v>
      </c>
      <c r="K2592" s="19"/>
    </row>
    <row r="2593" spans="1:11" x14ac:dyDescent="0.25">
      <c r="A2593" s="51">
        <v>42847</v>
      </c>
      <c r="B2593" s="174" t="s">
        <v>14152</v>
      </c>
      <c r="C2593" s="175"/>
      <c r="D2593" s="176" t="s">
        <v>14152</v>
      </c>
      <c r="E2593" s="176">
        <v>109027</v>
      </c>
      <c r="F2593" s="177" t="s">
        <v>157</v>
      </c>
      <c r="G2593" s="178">
        <v>29509.200000000001</v>
      </c>
      <c r="H2593" s="179">
        <v>42848</v>
      </c>
      <c r="I2593" s="178">
        <f t="shared" si="82"/>
        <v>29509.200000000001</v>
      </c>
      <c r="J2593" s="178">
        <f t="shared" si="81"/>
        <v>0</v>
      </c>
      <c r="K2593" s="19"/>
    </row>
    <row r="2594" spans="1:11" x14ac:dyDescent="0.25">
      <c r="A2594" s="51">
        <v>42847</v>
      </c>
      <c r="B2594" s="174" t="s">
        <v>14153</v>
      </c>
      <c r="C2594" s="175"/>
      <c r="D2594" s="176" t="s">
        <v>14153</v>
      </c>
      <c r="E2594" s="176">
        <v>109028</v>
      </c>
      <c r="F2594" s="177" t="s">
        <v>30</v>
      </c>
      <c r="G2594" s="178">
        <v>712.8</v>
      </c>
      <c r="H2594" s="179">
        <v>42847</v>
      </c>
      <c r="I2594" s="178">
        <f t="shared" si="82"/>
        <v>712.8</v>
      </c>
      <c r="J2594" s="178">
        <f t="shared" si="81"/>
        <v>0</v>
      </c>
      <c r="K2594" s="19"/>
    </row>
    <row r="2595" spans="1:11" x14ac:dyDescent="0.25">
      <c r="A2595" s="51">
        <v>42847</v>
      </c>
      <c r="B2595" s="174" t="s">
        <v>14154</v>
      </c>
      <c r="C2595" s="175"/>
      <c r="D2595" s="176" t="s">
        <v>14154</v>
      </c>
      <c r="E2595" s="176">
        <v>109029</v>
      </c>
      <c r="F2595" s="177" t="s">
        <v>222</v>
      </c>
      <c r="G2595" s="178">
        <v>30575.7</v>
      </c>
      <c r="H2595" s="184">
        <v>42852</v>
      </c>
      <c r="I2595" s="183">
        <f t="shared" si="82"/>
        <v>30575.7</v>
      </c>
      <c r="J2595" s="178">
        <f t="shared" si="81"/>
        <v>0</v>
      </c>
      <c r="K2595" s="19"/>
    </row>
    <row r="2596" spans="1:11" x14ac:dyDescent="0.25">
      <c r="A2596" s="51">
        <v>42847</v>
      </c>
      <c r="B2596" s="174" t="s">
        <v>14155</v>
      </c>
      <c r="C2596" s="175"/>
      <c r="D2596" s="176" t="s">
        <v>14155</v>
      </c>
      <c r="E2596" s="176">
        <v>109030</v>
      </c>
      <c r="F2596" s="177" t="s">
        <v>122</v>
      </c>
      <c r="G2596" s="178">
        <v>14214.7</v>
      </c>
      <c r="H2596" s="186">
        <v>42866</v>
      </c>
      <c r="I2596" s="187">
        <f t="shared" si="82"/>
        <v>14214.7</v>
      </c>
      <c r="J2596" s="178">
        <f t="shared" si="81"/>
        <v>0</v>
      </c>
      <c r="K2596" s="19"/>
    </row>
    <row r="2597" spans="1:11" x14ac:dyDescent="0.25">
      <c r="A2597" s="51">
        <v>42847</v>
      </c>
      <c r="B2597" s="174" t="s">
        <v>14156</v>
      </c>
      <c r="C2597" s="175"/>
      <c r="D2597" s="176" t="s">
        <v>14156</v>
      </c>
      <c r="E2597" s="176">
        <v>109031</v>
      </c>
      <c r="F2597" s="177" t="s">
        <v>122</v>
      </c>
      <c r="G2597" s="178">
        <v>1720</v>
      </c>
      <c r="H2597" s="186">
        <v>42866</v>
      </c>
      <c r="I2597" s="187">
        <f t="shared" si="82"/>
        <v>1720</v>
      </c>
      <c r="J2597" s="178">
        <f t="shared" si="81"/>
        <v>0</v>
      </c>
      <c r="K2597" s="19"/>
    </row>
    <row r="2598" spans="1:11" x14ac:dyDescent="0.25">
      <c r="A2598" s="51">
        <v>42847</v>
      </c>
      <c r="B2598" s="174" t="s">
        <v>14157</v>
      </c>
      <c r="C2598" s="175"/>
      <c r="D2598" s="176" t="s">
        <v>14157</v>
      </c>
      <c r="E2598" s="176">
        <v>109032</v>
      </c>
      <c r="F2598" s="177" t="s">
        <v>168</v>
      </c>
      <c r="G2598" s="178">
        <v>780.5</v>
      </c>
      <c r="H2598" s="179">
        <v>42847</v>
      </c>
      <c r="I2598" s="178">
        <f t="shared" si="82"/>
        <v>780.5</v>
      </c>
      <c r="J2598" s="178">
        <f t="shared" si="81"/>
        <v>0</v>
      </c>
      <c r="K2598" s="19"/>
    </row>
    <row r="2599" spans="1:11" x14ac:dyDescent="0.25">
      <c r="A2599" s="51">
        <v>42847</v>
      </c>
      <c r="B2599" s="174" t="s">
        <v>14158</v>
      </c>
      <c r="C2599" s="175"/>
      <c r="D2599" s="176" t="s">
        <v>14158</v>
      </c>
      <c r="E2599" s="176">
        <v>109033</v>
      </c>
      <c r="F2599" s="177" t="s">
        <v>492</v>
      </c>
      <c r="G2599" s="178">
        <v>27046.2</v>
      </c>
      <c r="H2599" s="201"/>
      <c r="I2599" s="188">
        <f t="shared" si="82"/>
        <v>27046.2</v>
      </c>
      <c r="J2599" s="178">
        <f t="shared" si="81"/>
        <v>0</v>
      </c>
      <c r="K2599" s="19"/>
    </row>
    <row r="2600" spans="1:11" x14ac:dyDescent="0.25">
      <c r="A2600" s="51">
        <v>42847</v>
      </c>
      <c r="B2600" s="174" t="s">
        <v>14159</v>
      </c>
      <c r="C2600" s="175"/>
      <c r="D2600" s="176" t="s">
        <v>14159</v>
      </c>
      <c r="E2600" s="176">
        <v>109034</v>
      </c>
      <c r="F2600" s="177" t="s">
        <v>492</v>
      </c>
      <c r="G2600" s="178">
        <v>23046.2</v>
      </c>
      <c r="H2600" s="179">
        <v>42848</v>
      </c>
      <c r="I2600" s="178">
        <f t="shared" si="82"/>
        <v>23046.2</v>
      </c>
      <c r="J2600" s="178">
        <f t="shared" si="81"/>
        <v>0</v>
      </c>
      <c r="K2600" s="19"/>
    </row>
    <row r="2601" spans="1:11" x14ac:dyDescent="0.25">
      <c r="A2601" s="51">
        <v>42847</v>
      </c>
      <c r="B2601" s="174" t="s">
        <v>14160</v>
      </c>
      <c r="C2601" s="175"/>
      <c r="D2601" s="176" t="s">
        <v>14160</v>
      </c>
      <c r="E2601" s="176">
        <v>109035</v>
      </c>
      <c r="F2601" s="177" t="s">
        <v>1830</v>
      </c>
      <c r="G2601" s="178">
        <v>11197.4</v>
      </c>
      <c r="H2601" s="179">
        <v>42848</v>
      </c>
      <c r="I2601" s="178">
        <f t="shared" si="82"/>
        <v>11197.4</v>
      </c>
      <c r="J2601" s="178">
        <f t="shared" si="81"/>
        <v>0</v>
      </c>
      <c r="K2601" s="19"/>
    </row>
    <row r="2602" spans="1:11" x14ac:dyDescent="0.25">
      <c r="A2602" s="51">
        <v>42847</v>
      </c>
      <c r="B2602" s="174" t="s">
        <v>14161</v>
      </c>
      <c r="C2602" s="175"/>
      <c r="D2602" s="176" t="s">
        <v>14161</v>
      </c>
      <c r="E2602" s="176">
        <v>109036</v>
      </c>
      <c r="F2602" s="177" t="s">
        <v>435</v>
      </c>
      <c r="G2602" s="178">
        <v>2672.9</v>
      </c>
      <c r="H2602" s="179">
        <v>42848</v>
      </c>
      <c r="I2602" s="178">
        <f t="shared" si="82"/>
        <v>2672.9</v>
      </c>
      <c r="J2602" s="178">
        <f t="shared" si="81"/>
        <v>0</v>
      </c>
      <c r="K2602" s="19"/>
    </row>
    <row r="2603" spans="1:11" x14ac:dyDescent="0.25">
      <c r="A2603" s="51">
        <v>42847</v>
      </c>
      <c r="B2603" s="174" t="s">
        <v>14162</v>
      </c>
      <c r="C2603" s="175"/>
      <c r="D2603" s="176" t="s">
        <v>14162</v>
      </c>
      <c r="E2603" s="176">
        <v>109037</v>
      </c>
      <c r="F2603" s="177" t="s">
        <v>30</v>
      </c>
      <c r="G2603" s="178">
        <v>2805</v>
      </c>
      <c r="H2603" s="179">
        <v>42847</v>
      </c>
      <c r="I2603" s="178">
        <f t="shared" si="82"/>
        <v>2805</v>
      </c>
      <c r="J2603" s="178">
        <f t="shared" si="81"/>
        <v>0</v>
      </c>
      <c r="K2603" s="19"/>
    </row>
    <row r="2604" spans="1:11" x14ac:dyDescent="0.25">
      <c r="A2604" s="51">
        <v>42847</v>
      </c>
      <c r="B2604" s="174" t="s">
        <v>14163</v>
      </c>
      <c r="C2604" s="175"/>
      <c r="D2604" s="176" t="s">
        <v>14163</v>
      </c>
      <c r="E2604" s="176">
        <v>109038</v>
      </c>
      <c r="F2604" s="177" t="s">
        <v>125</v>
      </c>
      <c r="G2604" s="178">
        <v>8581.6</v>
      </c>
      <c r="H2604" s="179">
        <v>42848</v>
      </c>
      <c r="I2604" s="178">
        <f t="shared" si="82"/>
        <v>8581.6</v>
      </c>
      <c r="J2604" s="178">
        <f t="shared" si="81"/>
        <v>0</v>
      </c>
      <c r="K2604" s="19"/>
    </row>
    <row r="2605" spans="1:11" x14ac:dyDescent="0.25">
      <c r="A2605" s="51">
        <v>42847</v>
      </c>
      <c r="B2605" s="174" t="s">
        <v>14164</v>
      </c>
      <c r="C2605" s="175"/>
      <c r="D2605" s="176" t="s">
        <v>14164</v>
      </c>
      <c r="E2605" s="176">
        <v>109039</v>
      </c>
      <c r="F2605" s="177" t="s">
        <v>785</v>
      </c>
      <c r="G2605" s="178">
        <v>6099.6</v>
      </c>
      <c r="H2605" s="179">
        <v>42848</v>
      </c>
      <c r="I2605" s="178">
        <f t="shared" si="82"/>
        <v>6099.6</v>
      </c>
      <c r="J2605" s="178">
        <f t="shared" si="81"/>
        <v>0</v>
      </c>
      <c r="K2605" s="19"/>
    </row>
    <row r="2606" spans="1:11" x14ac:dyDescent="0.25">
      <c r="A2606" s="51">
        <v>42847</v>
      </c>
      <c r="B2606" s="174" t="s">
        <v>14165</v>
      </c>
      <c r="C2606" s="175"/>
      <c r="D2606" s="176" t="s">
        <v>14165</v>
      </c>
      <c r="E2606" s="176">
        <v>109040</v>
      </c>
      <c r="F2606" s="177" t="s">
        <v>470</v>
      </c>
      <c r="G2606" s="178">
        <v>9567</v>
      </c>
      <c r="H2606" s="179">
        <v>42848</v>
      </c>
      <c r="I2606" s="178">
        <f t="shared" si="82"/>
        <v>9567</v>
      </c>
      <c r="J2606" s="178">
        <f t="shared" si="81"/>
        <v>0</v>
      </c>
      <c r="K2606" s="19"/>
    </row>
    <row r="2607" spans="1:11" x14ac:dyDescent="0.25">
      <c r="A2607" s="51">
        <v>42847</v>
      </c>
      <c r="B2607" s="174" t="s">
        <v>14166</v>
      </c>
      <c r="C2607" s="175"/>
      <c r="D2607" s="176" t="s">
        <v>14166</v>
      </c>
      <c r="E2607" s="176">
        <v>109041</v>
      </c>
      <c r="F2607" s="177" t="s">
        <v>352</v>
      </c>
      <c r="G2607" s="178">
        <v>2211.6</v>
      </c>
      <c r="H2607" s="179">
        <v>42847</v>
      </c>
      <c r="I2607" s="178">
        <f t="shared" si="82"/>
        <v>2211.6</v>
      </c>
      <c r="J2607" s="178">
        <f t="shared" si="81"/>
        <v>0</v>
      </c>
      <c r="K2607" s="19"/>
    </row>
    <row r="2608" spans="1:11" x14ac:dyDescent="0.25">
      <c r="A2608" s="51">
        <v>42847</v>
      </c>
      <c r="B2608" s="174" t="s">
        <v>14167</v>
      </c>
      <c r="C2608" s="175"/>
      <c r="D2608" s="176" t="s">
        <v>14167</v>
      </c>
      <c r="E2608" s="176">
        <v>109042</v>
      </c>
      <c r="F2608" s="177" t="s">
        <v>1830</v>
      </c>
      <c r="G2608" s="178">
        <v>3400</v>
      </c>
      <c r="H2608" s="179">
        <v>42848</v>
      </c>
      <c r="I2608" s="178">
        <f t="shared" si="82"/>
        <v>3400</v>
      </c>
      <c r="J2608" s="178">
        <f t="shared" si="81"/>
        <v>0</v>
      </c>
      <c r="K2608" s="19"/>
    </row>
    <row r="2609" spans="1:11" x14ac:dyDescent="0.25">
      <c r="A2609" s="51">
        <v>42847</v>
      </c>
      <c r="B2609" s="174" t="s">
        <v>14168</v>
      </c>
      <c r="C2609" s="175"/>
      <c r="D2609" s="176" t="s">
        <v>14168</v>
      </c>
      <c r="E2609" s="176">
        <v>109043</v>
      </c>
      <c r="F2609" s="177" t="s">
        <v>30</v>
      </c>
      <c r="G2609" s="178">
        <v>2614.1999999999998</v>
      </c>
      <c r="H2609" s="179">
        <v>42847</v>
      </c>
      <c r="I2609" s="178">
        <f t="shared" si="82"/>
        <v>2614.1999999999998</v>
      </c>
      <c r="J2609" s="178">
        <f t="shared" si="81"/>
        <v>0</v>
      </c>
      <c r="K2609" s="19"/>
    </row>
    <row r="2610" spans="1:11" x14ac:dyDescent="0.25">
      <c r="A2610" s="51">
        <v>42847</v>
      </c>
      <c r="B2610" s="174" t="s">
        <v>14169</v>
      </c>
      <c r="C2610" s="175"/>
      <c r="D2610" s="176" t="s">
        <v>14169</v>
      </c>
      <c r="E2610" s="176">
        <v>109044</v>
      </c>
      <c r="F2610" s="177" t="s">
        <v>302</v>
      </c>
      <c r="G2610" s="178">
        <v>10925.1</v>
      </c>
      <c r="H2610" s="184">
        <v>42852</v>
      </c>
      <c r="I2610" s="183">
        <f t="shared" si="82"/>
        <v>10925.1</v>
      </c>
      <c r="J2610" s="178">
        <f t="shared" si="81"/>
        <v>0</v>
      </c>
      <c r="K2610" s="19"/>
    </row>
    <row r="2611" spans="1:11" x14ac:dyDescent="0.25">
      <c r="A2611" s="51">
        <v>42847</v>
      </c>
      <c r="B2611" s="174" t="s">
        <v>14170</v>
      </c>
      <c r="C2611" s="175"/>
      <c r="D2611" s="176" t="s">
        <v>14170</v>
      </c>
      <c r="E2611" s="176">
        <v>109045</v>
      </c>
      <c r="F2611" s="177" t="s">
        <v>426</v>
      </c>
      <c r="G2611" s="178">
        <v>12572.8</v>
      </c>
      <c r="H2611" s="186">
        <v>42863</v>
      </c>
      <c r="I2611" s="187">
        <f t="shared" si="82"/>
        <v>12572.8</v>
      </c>
      <c r="J2611" s="178">
        <f t="shared" si="81"/>
        <v>0</v>
      </c>
      <c r="K2611" s="19"/>
    </row>
    <row r="2612" spans="1:11" x14ac:dyDescent="0.25">
      <c r="A2612" s="51">
        <v>42847</v>
      </c>
      <c r="B2612" s="174" t="s">
        <v>14171</v>
      </c>
      <c r="C2612" s="175"/>
      <c r="D2612" s="176" t="s">
        <v>14171</v>
      </c>
      <c r="E2612" s="176">
        <v>109046</v>
      </c>
      <c r="F2612" s="177" t="s">
        <v>1141</v>
      </c>
      <c r="G2612" s="178">
        <v>602</v>
      </c>
      <c r="H2612" s="179">
        <v>42847</v>
      </c>
      <c r="I2612" s="178">
        <f t="shared" si="82"/>
        <v>602</v>
      </c>
      <c r="J2612" s="178">
        <f t="shared" si="81"/>
        <v>0</v>
      </c>
      <c r="K2612" s="19"/>
    </row>
    <row r="2613" spans="1:11" x14ac:dyDescent="0.25">
      <c r="A2613" s="51">
        <v>42847</v>
      </c>
      <c r="B2613" s="174" t="s">
        <v>14172</v>
      </c>
      <c r="C2613" s="175"/>
      <c r="D2613" s="176" t="s">
        <v>14172</v>
      </c>
      <c r="E2613" s="176">
        <v>109047</v>
      </c>
      <c r="F2613" s="177" t="s">
        <v>923</v>
      </c>
      <c r="G2613" s="178">
        <v>1527.6</v>
      </c>
      <c r="H2613" s="179">
        <v>42849</v>
      </c>
      <c r="I2613" s="178">
        <f t="shared" si="82"/>
        <v>1527.6</v>
      </c>
      <c r="J2613" s="178">
        <f t="shared" si="81"/>
        <v>0</v>
      </c>
      <c r="K2613" s="19"/>
    </row>
    <row r="2614" spans="1:11" x14ac:dyDescent="0.25">
      <c r="A2614" s="51">
        <v>42847</v>
      </c>
      <c r="B2614" s="174" t="s">
        <v>14173</v>
      </c>
      <c r="C2614" s="175"/>
      <c r="D2614" s="176" t="s">
        <v>14173</v>
      </c>
      <c r="E2614" s="176">
        <v>109048</v>
      </c>
      <c r="F2614" s="177" t="s">
        <v>312</v>
      </c>
      <c r="G2614" s="178">
        <v>6927.6</v>
      </c>
      <c r="H2614" s="186">
        <v>42893</v>
      </c>
      <c r="I2614" s="187">
        <f t="shared" si="82"/>
        <v>6927.6</v>
      </c>
      <c r="J2614" s="178">
        <f t="shared" si="81"/>
        <v>0</v>
      </c>
      <c r="K2614" s="19"/>
    </row>
    <row r="2615" spans="1:11" x14ac:dyDescent="0.25">
      <c r="A2615" s="51">
        <v>42847</v>
      </c>
      <c r="B2615" s="174" t="s">
        <v>14174</v>
      </c>
      <c r="C2615" s="175"/>
      <c r="D2615" s="176" t="s">
        <v>14174</v>
      </c>
      <c r="E2615" s="176">
        <v>109049</v>
      </c>
      <c r="F2615" s="177" t="s">
        <v>360</v>
      </c>
      <c r="G2615" s="178">
        <v>6458.2</v>
      </c>
      <c r="H2615" s="186">
        <v>42870</v>
      </c>
      <c r="I2615" s="187">
        <f t="shared" si="82"/>
        <v>6458.2</v>
      </c>
      <c r="J2615" s="178">
        <f t="shared" si="81"/>
        <v>0</v>
      </c>
      <c r="K2615" s="19"/>
    </row>
    <row r="2616" spans="1:11" x14ac:dyDescent="0.25">
      <c r="A2616" s="51">
        <v>42847</v>
      </c>
      <c r="B2616" s="174" t="s">
        <v>14175</v>
      </c>
      <c r="C2616" s="175"/>
      <c r="D2616" s="176" t="s">
        <v>14175</v>
      </c>
      <c r="E2616" s="176">
        <v>109050</v>
      </c>
      <c r="F2616" s="177" t="s">
        <v>367</v>
      </c>
      <c r="G2616" s="178">
        <v>1575</v>
      </c>
      <c r="H2616" s="179">
        <v>42847</v>
      </c>
      <c r="I2616" s="178">
        <f t="shared" si="82"/>
        <v>1575</v>
      </c>
      <c r="J2616" s="178">
        <f t="shared" si="81"/>
        <v>0</v>
      </c>
      <c r="K2616" s="19"/>
    </row>
    <row r="2617" spans="1:11" x14ac:dyDescent="0.25">
      <c r="A2617" s="51">
        <v>42847</v>
      </c>
      <c r="B2617" s="174" t="s">
        <v>14176</v>
      </c>
      <c r="C2617" s="175"/>
      <c r="D2617" s="176" t="s">
        <v>14176</v>
      </c>
      <c r="E2617" s="176">
        <v>109051</v>
      </c>
      <c r="F2617" s="177" t="s">
        <v>14</v>
      </c>
      <c r="G2617" s="178">
        <v>25333.4</v>
      </c>
      <c r="H2617" s="179">
        <v>42847</v>
      </c>
      <c r="I2617" s="178">
        <f t="shared" si="82"/>
        <v>25333.4</v>
      </c>
      <c r="J2617" s="178">
        <f t="shared" si="81"/>
        <v>0</v>
      </c>
      <c r="K2617" s="19"/>
    </row>
    <row r="2618" spans="1:11" x14ac:dyDescent="0.25">
      <c r="A2618" s="51">
        <v>42847</v>
      </c>
      <c r="B2618" s="174" t="s">
        <v>14177</v>
      </c>
      <c r="C2618" s="175"/>
      <c r="D2618" s="176" t="s">
        <v>14177</v>
      </c>
      <c r="E2618" s="176">
        <v>109052</v>
      </c>
      <c r="F2618" s="177" t="s">
        <v>523</v>
      </c>
      <c r="G2618" s="178">
        <v>22180</v>
      </c>
      <c r="H2618" s="186">
        <v>42858</v>
      </c>
      <c r="I2618" s="187">
        <f t="shared" si="82"/>
        <v>22180</v>
      </c>
      <c r="J2618" s="178">
        <f t="shared" si="81"/>
        <v>0</v>
      </c>
      <c r="K2618" s="19"/>
    </row>
    <row r="2619" spans="1:11" x14ac:dyDescent="0.25">
      <c r="A2619" s="51">
        <v>42847</v>
      </c>
      <c r="B2619" s="174" t="s">
        <v>14178</v>
      </c>
      <c r="C2619" s="175"/>
      <c r="D2619" s="176" t="s">
        <v>14178</v>
      </c>
      <c r="E2619" s="176">
        <v>109053</v>
      </c>
      <c r="F2619" s="177" t="s">
        <v>115</v>
      </c>
      <c r="G2619" s="178">
        <v>3464.35</v>
      </c>
      <c r="H2619" s="179">
        <v>42847</v>
      </c>
      <c r="I2619" s="178">
        <f t="shared" si="82"/>
        <v>3464.35</v>
      </c>
      <c r="J2619" s="178">
        <f t="shared" si="81"/>
        <v>0</v>
      </c>
      <c r="K2619" s="19"/>
    </row>
    <row r="2620" spans="1:11" x14ac:dyDescent="0.25">
      <c r="A2620" s="51">
        <v>42847</v>
      </c>
      <c r="B2620" s="174" t="s">
        <v>14179</v>
      </c>
      <c r="C2620" s="175"/>
      <c r="D2620" s="176" t="s">
        <v>14179</v>
      </c>
      <c r="E2620" s="176">
        <v>109054</v>
      </c>
      <c r="F2620" s="177" t="s">
        <v>231</v>
      </c>
      <c r="G2620" s="178">
        <v>2424.1999999999998</v>
      </c>
      <c r="H2620" s="179">
        <v>42849</v>
      </c>
      <c r="I2620" s="178">
        <f t="shared" si="82"/>
        <v>2424.1999999999998</v>
      </c>
      <c r="J2620" s="178">
        <f t="shared" si="81"/>
        <v>0</v>
      </c>
      <c r="K2620" s="19"/>
    </row>
    <row r="2621" spans="1:11" x14ac:dyDescent="0.25">
      <c r="A2621" s="51">
        <v>42847</v>
      </c>
      <c r="B2621" s="174" t="s">
        <v>14180</v>
      </c>
      <c r="C2621" s="175"/>
      <c r="D2621" s="176" t="s">
        <v>14180</v>
      </c>
      <c r="E2621" s="176">
        <v>109055</v>
      </c>
      <c r="F2621" s="177" t="s">
        <v>9754</v>
      </c>
      <c r="G2621" s="178">
        <v>13308.5</v>
      </c>
      <c r="H2621" s="179">
        <v>42849</v>
      </c>
      <c r="I2621" s="178">
        <f t="shared" si="82"/>
        <v>13308.5</v>
      </c>
      <c r="J2621" s="178">
        <f t="shared" si="81"/>
        <v>0</v>
      </c>
      <c r="K2621" s="19"/>
    </row>
    <row r="2622" spans="1:11" x14ac:dyDescent="0.25">
      <c r="A2622" s="51">
        <v>42847</v>
      </c>
      <c r="B2622" s="174" t="s">
        <v>14181</v>
      </c>
      <c r="C2622" s="175"/>
      <c r="D2622" s="176" t="s">
        <v>14181</v>
      </c>
      <c r="E2622" s="176">
        <v>109056</v>
      </c>
      <c r="F2622" s="177" t="s">
        <v>609</v>
      </c>
      <c r="G2622" s="178">
        <v>43163.4</v>
      </c>
      <c r="H2622" s="184">
        <v>42853</v>
      </c>
      <c r="I2622" s="183">
        <f t="shared" si="82"/>
        <v>43163.4</v>
      </c>
      <c r="J2622" s="178">
        <f t="shared" si="81"/>
        <v>0</v>
      </c>
      <c r="K2622" s="19"/>
    </row>
    <row r="2623" spans="1:11" x14ac:dyDescent="0.25">
      <c r="A2623" s="51">
        <v>42847</v>
      </c>
      <c r="B2623" s="174" t="s">
        <v>14182</v>
      </c>
      <c r="C2623" s="175"/>
      <c r="D2623" s="176" t="s">
        <v>14182</v>
      </c>
      <c r="E2623" s="176">
        <v>109057</v>
      </c>
      <c r="F2623" s="177" t="s">
        <v>137</v>
      </c>
      <c r="G2623" s="178">
        <v>756</v>
      </c>
      <c r="H2623" s="179">
        <v>42847</v>
      </c>
      <c r="I2623" s="178">
        <f t="shared" si="82"/>
        <v>756</v>
      </c>
      <c r="J2623" s="178">
        <f t="shared" si="81"/>
        <v>0</v>
      </c>
      <c r="K2623" s="19"/>
    </row>
    <row r="2624" spans="1:11" x14ac:dyDescent="0.25">
      <c r="A2624" s="51">
        <v>42847</v>
      </c>
      <c r="B2624" s="174" t="s">
        <v>14183</v>
      </c>
      <c r="C2624" s="175"/>
      <c r="D2624" s="176" t="s">
        <v>14183</v>
      </c>
      <c r="E2624" s="176">
        <v>109058</v>
      </c>
      <c r="F2624" s="177" t="s">
        <v>422</v>
      </c>
      <c r="G2624" s="178">
        <v>4449.6000000000004</v>
      </c>
      <c r="H2624" s="179">
        <v>42847</v>
      </c>
      <c r="I2624" s="178">
        <f t="shared" si="82"/>
        <v>4449.6000000000004</v>
      </c>
      <c r="J2624" s="178">
        <f t="shared" si="81"/>
        <v>0</v>
      </c>
      <c r="K2624" s="19"/>
    </row>
    <row r="2625" spans="1:11" x14ac:dyDescent="0.25">
      <c r="A2625" s="51">
        <v>42847</v>
      </c>
      <c r="B2625" s="174" t="s">
        <v>14184</v>
      </c>
      <c r="C2625" s="175"/>
      <c r="D2625" s="176" t="s">
        <v>14184</v>
      </c>
      <c r="E2625" s="176">
        <v>109059</v>
      </c>
      <c r="F2625" s="177" t="s">
        <v>218</v>
      </c>
      <c r="G2625" s="178">
        <v>26699.4</v>
      </c>
      <c r="H2625" s="179">
        <v>42850</v>
      </c>
      <c r="I2625" s="178">
        <f t="shared" si="82"/>
        <v>26699.4</v>
      </c>
      <c r="J2625" s="178">
        <f t="shared" si="81"/>
        <v>0</v>
      </c>
      <c r="K2625" s="19"/>
    </row>
    <row r="2626" spans="1:11" x14ac:dyDescent="0.25">
      <c r="A2626" s="51">
        <v>42847</v>
      </c>
      <c r="B2626" s="174" t="s">
        <v>14185</v>
      </c>
      <c r="C2626" s="175"/>
      <c r="D2626" s="176" t="s">
        <v>14185</v>
      </c>
      <c r="E2626" s="176">
        <v>109060</v>
      </c>
      <c r="F2626" s="177" t="s">
        <v>1925</v>
      </c>
      <c r="G2626" s="178">
        <v>378</v>
      </c>
      <c r="H2626" s="179">
        <v>42847</v>
      </c>
      <c r="I2626" s="178">
        <f t="shared" si="82"/>
        <v>378</v>
      </c>
      <c r="J2626" s="178">
        <f t="shared" si="81"/>
        <v>0</v>
      </c>
      <c r="K2626" s="19"/>
    </row>
    <row r="2627" spans="1:11" x14ac:dyDescent="0.25">
      <c r="A2627" s="51">
        <v>42847</v>
      </c>
      <c r="B2627" s="174" t="s">
        <v>14186</v>
      </c>
      <c r="C2627" s="175"/>
      <c r="D2627" s="176" t="s">
        <v>14186</v>
      </c>
      <c r="E2627" s="176">
        <v>109061</v>
      </c>
      <c r="F2627" s="177" t="s">
        <v>1163</v>
      </c>
      <c r="G2627" s="178">
        <v>17589.599999999999</v>
      </c>
      <c r="H2627" s="179">
        <v>42849</v>
      </c>
      <c r="I2627" s="178">
        <f t="shared" si="82"/>
        <v>17589.599999999999</v>
      </c>
      <c r="J2627" s="178">
        <f t="shared" si="81"/>
        <v>0</v>
      </c>
      <c r="K2627" s="19"/>
    </row>
    <row r="2628" spans="1:11" x14ac:dyDescent="0.25">
      <c r="A2628" s="51">
        <v>42847</v>
      </c>
      <c r="B2628" s="174" t="s">
        <v>14187</v>
      </c>
      <c r="C2628" s="175"/>
      <c r="D2628" s="176" t="s">
        <v>14187</v>
      </c>
      <c r="E2628" s="176">
        <v>109062</v>
      </c>
      <c r="F2628" s="182" t="s">
        <v>3997</v>
      </c>
      <c r="G2628" s="183">
        <v>0</v>
      </c>
      <c r="H2628" s="184" t="s">
        <v>95</v>
      </c>
      <c r="I2628" s="183">
        <f t="shared" si="82"/>
        <v>0</v>
      </c>
      <c r="J2628" s="183">
        <f t="shared" ref="J2628:J2691" si="83">G2628-I2628</f>
        <v>0</v>
      </c>
      <c r="K2628" s="19"/>
    </row>
    <row r="2629" spans="1:11" x14ac:dyDescent="0.25">
      <c r="A2629" s="51">
        <v>42847</v>
      </c>
      <c r="B2629" s="174" t="s">
        <v>14188</v>
      </c>
      <c r="C2629" s="175"/>
      <c r="D2629" s="176" t="s">
        <v>14188</v>
      </c>
      <c r="E2629" s="176">
        <v>109063</v>
      </c>
      <c r="F2629" s="177" t="s">
        <v>205</v>
      </c>
      <c r="G2629" s="178">
        <v>28183.360000000001</v>
      </c>
      <c r="H2629" s="179">
        <v>42847</v>
      </c>
      <c r="I2629" s="178">
        <f t="shared" ref="I2629:I2692" si="84">G2629</f>
        <v>28183.360000000001</v>
      </c>
      <c r="J2629" s="178">
        <f t="shared" si="83"/>
        <v>0</v>
      </c>
      <c r="K2629" s="19"/>
    </row>
    <row r="2630" spans="1:11" x14ac:dyDescent="0.25">
      <c r="A2630" s="51">
        <v>42847</v>
      </c>
      <c r="B2630" s="174" t="s">
        <v>14189</v>
      </c>
      <c r="C2630" s="175"/>
      <c r="D2630" s="176" t="s">
        <v>14189</v>
      </c>
      <c r="E2630" s="176">
        <v>109064</v>
      </c>
      <c r="F2630" s="177" t="s">
        <v>3997</v>
      </c>
      <c r="G2630" s="178">
        <v>5229.8999999999996</v>
      </c>
      <c r="H2630" s="186">
        <v>42851</v>
      </c>
      <c r="I2630" s="187">
        <f t="shared" si="84"/>
        <v>5229.8999999999996</v>
      </c>
      <c r="J2630" s="178">
        <f t="shared" si="83"/>
        <v>0</v>
      </c>
      <c r="K2630" s="19"/>
    </row>
    <row r="2631" spans="1:11" x14ac:dyDescent="0.25">
      <c r="A2631" s="51">
        <v>42847</v>
      </c>
      <c r="B2631" s="174" t="s">
        <v>14190</v>
      </c>
      <c r="C2631" s="175"/>
      <c r="D2631" s="176" t="s">
        <v>14190</v>
      </c>
      <c r="E2631" s="176">
        <v>109065</v>
      </c>
      <c r="F2631" s="177" t="s">
        <v>12</v>
      </c>
      <c r="G2631" s="178">
        <v>2471.5</v>
      </c>
      <c r="H2631" s="179">
        <v>42848</v>
      </c>
      <c r="I2631" s="178">
        <f t="shared" si="84"/>
        <v>2471.5</v>
      </c>
      <c r="J2631" s="178">
        <f t="shared" si="83"/>
        <v>0</v>
      </c>
      <c r="K2631" s="19"/>
    </row>
    <row r="2632" spans="1:11" x14ac:dyDescent="0.25">
      <c r="A2632" s="51">
        <v>42847</v>
      </c>
      <c r="B2632" s="174" t="s">
        <v>14191</v>
      </c>
      <c r="C2632" s="175"/>
      <c r="D2632" s="176" t="s">
        <v>14191</v>
      </c>
      <c r="E2632" s="176">
        <v>109066</v>
      </c>
      <c r="F2632" s="177" t="s">
        <v>8</v>
      </c>
      <c r="G2632" s="178">
        <v>4562.8</v>
      </c>
      <c r="H2632" s="179">
        <v>42848</v>
      </c>
      <c r="I2632" s="178">
        <f t="shared" si="84"/>
        <v>4562.8</v>
      </c>
      <c r="J2632" s="178">
        <f t="shared" si="83"/>
        <v>0</v>
      </c>
      <c r="K2632" s="19"/>
    </row>
    <row r="2633" spans="1:11" x14ac:dyDescent="0.25">
      <c r="A2633" s="51">
        <v>42847</v>
      </c>
      <c r="B2633" s="174" t="s">
        <v>14192</v>
      </c>
      <c r="C2633" s="175"/>
      <c r="D2633" s="176" t="s">
        <v>14192</v>
      </c>
      <c r="E2633" s="176">
        <v>109067</v>
      </c>
      <c r="F2633" s="177" t="s">
        <v>405</v>
      </c>
      <c r="G2633" s="178">
        <v>4475.5</v>
      </c>
      <c r="H2633" s="179">
        <v>42847</v>
      </c>
      <c r="I2633" s="178">
        <f t="shared" si="84"/>
        <v>4475.5</v>
      </c>
      <c r="J2633" s="178">
        <f t="shared" si="83"/>
        <v>0</v>
      </c>
      <c r="K2633" s="19"/>
    </row>
    <row r="2634" spans="1:11" x14ac:dyDescent="0.25">
      <c r="A2634" s="51">
        <v>42847</v>
      </c>
      <c r="B2634" s="174" t="s">
        <v>14193</v>
      </c>
      <c r="C2634" s="175"/>
      <c r="D2634" s="176" t="s">
        <v>14193</v>
      </c>
      <c r="E2634" s="176">
        <v>109068</v>
      </c>
      <c r="F2634" s="177" t="s">
        <v>55</v>
      </c>
      <c r="G2634" s="178">
        <v>3859.2</v>
      </c>
      <c r="H2634" s="179">
        <v>42847</v>
      </c>
      <c r="I2634" s="178">
        <f t="shared" si="84"/>
        <v>3859.2</v>
      </c>
      <c r="J2634" s="178">
        <f t="shared" si="83"/>
        <v>0</v>
      </c>
      <c r="K2634" s="19"/>
    </row>
    <row r="2635" spans="1:11" x14ac:dyDescent="0.25">
      <c r="A2635" s="51">
        <v>42847</v>
      </c>
      <c r="B2635" s="174" t="s">
        <v>14194</v>
      </c>
      <c r="C2635" s="175"/>
      <c r="D2635" s="176" t="s">
        <v>14194</v>
      </c>
      <c r="E2635" s="176">
        <v>109069</v>
      </c>
      <c r="F2635" s="177" t="s">
        <v>405</v>
      </c>
      <c r="G2635" s="178">
        <v>1435</v>
      </c>
      <c r="H2635" s="179">
        <v>42847</v>
      </c>
      <c r="I2635" s="178">
        <f t="shared" si="84"/>
        <v>1435</v>
      </c>
      <c r="J2635" s="178">
        <f t="shared" si="83"/>
        <v>0</v>
      </c>
      <c r="K2635" s="19"/>
    </row>
    <row r="2636" spans="1:11" x14ac:dyDescent="0.25">
      <c r="A2636" s="51">
        <v>42847</v>
      </c>
      <c r="B2636" s="174" t="s">
        <v>14195</v>
      </c>
      <c r="C2636" s="175"/>
      <c r="D2636" s="176" t="s">
        <v>14195</v>
      </c>
      <c r="E2636" s="176">
        <v>109070</v>
      </c>
      <c r="F2636" s="177" t="s">
        <v>21</v>
      </c>
      <c r="G2636" s="178">
        <v>20662.2</v>
      </c>
      <c r="H2636" s="186">
        <v>42859</v>
      </c>
      <c r="I2636" s="187">
        <f t="shared" si="84"/>
        <v>20662.2</v>
      </c>
      <c r="J2636" s="178">
        <f t="shared" si="83"/>
        <v>0</v>
      </c>
      <c r="K2636" s="19"/>
    </row>
    <row r="2637" spans="1:11" x14ac:dyDescent="0.25">
      <c r="A2637" s="51">
        <v>42847</v>
      </c>
      <c r="B2637" s="174" t="s">
        <v>14196</v>
      </c>
      <c r="C2637" s="175"/>
      <c r="D2637" s="176" t="s">
        <v>14196</v>
      </c>
      <c r="E2637" s="176">
        <v>109071</v>
      </c>
      <c r="F2637" s="177" t="s">
        <v>10</v>
      </c>
      <c r="G2637" s="178">
        <v>208798.17</v>
      </c>
      <c r="H2637" s="179">
        <v>42849</v>
      </c>
      <c r="I2637" s="178">
        <f t="shared" si="84"/>
        <v>208798.17</v>
      </c>
      <c r="J2637" s="178">
        <f t="shared" si="83"/>
        <v>0</v>
      </c>
      <c r="K2637" s="19"/>
    </row>
    <row r="2638" spans="1:11" x14ac:dyDescent="0.25">
      <c r="A2638" s="51">
        <v>42847</v>
      </c>
      <c r="B2638" s="174" t="s">
        <v>14197</v>
      </c>
      <c r="C2638" s="175"/>
      <c r="D2638" s="176" t="s">
        <v>14197</v>
      </c>
      <c r="E2638" s="176">
        <v>109072</v>
      </c>
      <c r="F2638" s="177" t="s">
        <v>430</v>
      </c>
      <c r="G2638" s="178">
        <v>2772.4</v>
      </c>
      <c r="H2638" s="179">
        <v>42847</v>
      </c>
      <c r="I2638" s="178">
        <f t="shared" si="84"/>
        <v>2772.4</v>
      </c>
      <c r="J2638" s="178">
        <f t="shared" si="83"/>
        <v>0</v>
      </c>
      <c r="K2638" s="19"/>
    </row>
    <row r="2639" spans="1:11" x14ac:dyDescent="0.25">
      <c r="A2639" s="51">
        <v>42847</v>
      </c>
      <c r="B2639" s="174" t="s">
        <v>14198</v>
      </c>
      <c r="C2639" s="175"/>
      <c r="D2639" s="176" t="s">
        <v>14198</v>
      </c>
      <c r="E2639" s="176">
        <v>109073</v>
      </c>
      <c r="F2639" s="177" t="s">
        <v>30</v>
      </c>
      <c r="G2639" s="178">
        <v>4212.2</v>
      </c>
      <c r="H2639" s="179">
        <v>42847</v>
      </c>
      <c r="I2639" s="178">
        <f t="shared" si="84"/>
        <v>4212.2</v>
      </c>
      <c r="J2639" s="178">
        <f t="shared" si="83"/>
        <v>0</v>
      </c>
      <c r="K2639" s="19"/>
    </row>
    <row r="2640" spans="1:11" x14ac:dyDescent="0.25">
      <c r="A2640" s="51">
        <v>42847</v>
      </c>
      <c r="B2640" s="174" t="s">
        <v>14199</v>
      </c>
      <c r="C2640" s="175"/>
      <c r="D2640" s="176" t="s">
        <v>14199</v>
      </c>
      <c r="E2640" s="176">
        <v>109074</v>
      </c>
      <c r="F2640" s="177" t="s">
        <v>523</v>
      </c>
      <c r="G2640" s="178">
        <v>1377.6</v>
      </c>
      <c r="H2640" s="179">
        <v>42847</v>
      </c>
      <c r="I2640" s="178">
        <f t="shared" si="84"/>
        <v>1377.6</v>
      </c>
      <c r="J2640" s="178">
        <f t="shared" si="83"/>
        <v>0</v>
      </c>
      <c r="K2640" s="19"/>
    </row>
    <row r="2641" spans="1:11" x14ac:dyDescent="0.25">
      <c r="A2641" s="51">
        <v>42847</v>
      </c>
      <c r="B2641" s="174" t="s">
        <v>14200</v>
      </c>
      <c r="C2641" s="175"/>
      <c r="D2641" s="176" t="s">
        <v>14200</v>
      </c>
      <c r="E2641" s="176">
        <v>109075</v>
      </c>
      <c r="F2641" s="177" t="s">
        <v>10</v>
      </c>
      <c r="G2641" s="178">
        <v>47157</v>
      </c>
      <c r="H2641" s="179">
        <v>42849</v>
      </c>
      <c r="I2641" s="178">
        <f t="shared" si="84"/>
        <v>47157</v>
      </c>
      <c r="J2641" s="178">
        <f t="shared" si="83"/>
        <v>0</v>
      </c>
      <c r="K2641" s="19"/>
    </row>
    <row r="2642" spans="1:11" x14ac:dyDescent="0.25">
      <c r="A2642" s="51">
        <v>42847</v>
      </c>
      <c r="B2642" s="174" t="s">
        <v>14201</v>
      </c>
      <c r="C2642" s="175"/>
      <c r="D2642" s="176" t="s">
        <v>14201</v>
      </c>
      <c r="E2642" s="176">
        <v>109076</v>
      </c>
      <c r="F2642" s="177" t="s">
        <v>10</v>
      </c>
      <c r="G2642" s="178">
        <v>96</v>
      </c>
      <c r="H2642" s="179">
        <v>42849</v>
      </c>
      <c r="I2642" s="178">
        <f t="shared" si="84"/>
        <v>96</v>
      </c>
      <c r="J2642" s="178">
        <f t="shared" si="83"/>
        <v>0</v>
      </c>
      <c r="K2642" s="19"/>
    </row>
    <row r="2643" spans="1:11" x14ac:dyDescent="0.25">
      <c r="A2643" s="51">
        <v>42847</v>
      </c>
      <c r="B2643" s="174" t="s">
        <v>14202</v>
      </c>
      <c r="C2643" s="175"/>
      <c r="D2643" s="176" t="s">
        <v>14202</v>
      </c>
      <c r="E2643" s="176">
        <v>109077</v>
      </c>
      <c r="F2643" s="177" t="s">
        <v>115</v>
      </c>
      <c r="G2643" s="178">
        <v>280</v>
      </c>
      <c r="H2643" s="179">
        <v>42847</v>
      </c>
      <c r="I2643" s="178">
        <f t="shared" si="84"/>
        <v>280</v>
      </c>
      <c r="J2643" s="178">
        <f t="shared" si="83"/>
        <v>0</v>
      </c>
      <c r="K2643" s="19"/>
    </row>
    <row r="2644" spans="1:11" x14ac:dyDescent="0.25">
      <c r="A2644" s="51">
        <v>42848</v>
      </c>
      <c r="B2644" s="174" t="s">
        <v>14203</v>
      </c>
      <c r="C2644" s="175"/>
      <c r="D2644" s="176" t="s">
        <v>14203</v>
      </c>
      <c r="E2644" s="176">
        <v>109078</v>
      </c>
      <c r="F2644" s="177" t="s">
        <v>17</v>
      </c>
      <c r="G2644" s="178">
        <v>4840</v>
      </c>
      <c r="H2644" s="179">
        <v>42848</v>
      </c>
      <c r="I2644" s="178">
        <f t="shared" si="84"/>
        <v>4840</v>
      </c>
      <c r="J2644" s="178">
        <f t="shared" si="83"/>
        <v>0</v>
      </c>
      <c r="K2644" s="19"/>
    </row>
    <row r="2645" spans="1:11" x14ac:dyDescent="0.25">
      <c r="A2645" s="51">
        <v>42848</v>
      </c>
      <c r="B2645" s="174" t="s">
        <v>14204</v>
      </c>
      <c r="C2645" s="175"/>
      <c r="D2645" s="176" t="s">
        <v>14204</v>
      </c>
      <c r="E2645" s="176">
        <v>109079</v>
      </c>
      <c r="F2645" s="177" t="s">
        <v>14063</v>
      </c>
      <c r="G2645" s="178">
        <v>2200</v>
      </c>
      <c r="H2645" s="179">
        <v>42848</v>
      </c>
      <c r="I2645" s="178">
        <f t="shared" si="84"/>
        <v>2200</v>
      </c>
      <c r="J2645" s="178">
        <f t="shared" si="83"/>
        <v>0</v>
      </c>
      <c r="K2645" s="19"/>
    </row>
    <row r="2646" spans="1:11" x14ac:dyDescent="0.25">
      <c r="A2646" s="51">
        <v>42848</v>
      </c>
      <c r="B2646" s="174" t="s">
        <v>14205</v>
      </c>
      <c r="C2646" s="175"/>
      <c r="D2646" s="176" t="s">
        <v>14205</v>
      </c>
      <c r="E2646" s="176">
        <v>109080</v>
      </c>
      <c r="F2646" s="177" t="s">
        <v>231</v>
      </c>
      <c r="G2646" s="178">
        <v>7342.4</v>
      </c>
      <c r="H2646" s="179">
        <v>42849</v>
      </c>
      <c r="I2646" s="178">
        <f t="shared" si="84"/>
        <v>7342.4</v>
      </c>
      <c r="J2646" s="178">
        <f t="shared" si="83"/>
        <v>0</v>
      </c>
      <c r="K2646" s="19"/>
    </row>
    <row r="2647" spans="1:11" x14ac:dyDescent="0.25">
      <c r="A2647" s="51">
        <v>42848</v>
      </c>
      <c r="B2647" s="174" t="s">
        <v>14206</v>
      </c>
      <c r="C2647" s="175"/>
      <c r="D2647" s="176" t="s">
        <v>14206</v>
      </c>
      <c r="E2647" s="176">
        <v>109081</v>
      </c>
      <c r="F2647" s="177" t="s">
        <v>358</v>
      </c>
      <c r="G2647" s="178">
        <v>30263.68</v>
      </c>
      <c r="H2647" s="179">
        <v>42848</v>
      </c>
      <c r="I2647" s="178">
        <f t="shared" si="84"/>
        <v>30263.68</v>
      </c>
      <c r="J2647" s="178">
        <f t="shared" si="83"/>
        <v>0</v>
      </c>
      <c r="K2647" s="19"/>
    </row>
    <row r="2648" spans="1:11" x14ac:dyDescent="0.25">
      <c r="A2648" s="51">
        <v>42848</v>
      </c>
      <c r="B2648" s="174" t="s">
        <v>14207</v>
      </c>
      <c r="C2648" s="175"/>
      <c r="D2648" s="176" t="s">
        <v>14207</v>
      </c>
      <c r="E2648" s="176">
        <v>109082</v>
      </c>
      <c r="F2648" s="177" t="s">
        <v>1786</v>
      </c>
      <c r="G2648" s="178">
        <v>10002.799999999999</v>
      </c>
      <c r="H2648" s="179">
        <v>42848</v>
      </c>
      <c r="I2648" s="178">
        <f t="shared" si="84"/>
        <v>10002.799999999999</v>
      </c>
      <c r="J2648" s="178">
        <f t="shared" si="83"/>
        <v>0</v>
      </c>
      <c r="K2648" s="19"/>
    </row>
    <row r="2649" spans="1:11" x14ac:dyDescent="0.25">
      <c r="A2649" s="51">
        <v>42848</v>
      </c>
      <c r="B2649" s="174" t="s">
        <v>14208</v>
      </c>
      <c r="C2649" s="175"/>
      <c r="D2649" s="176" t="s">
        <v>14208</v>
      </c>
      <c r="E2649" s="176">
        <v>109083</v>
      </c>
      <c r="F2649" s="177" t="s">
        <v>231</v>
      </c>
      <c r="G2649" s="178">
        <v>36554.5</v>
      </c>
      <c r="H2649" s="179">
        <v>42849</v>
      </c>
      <c r="I2649" s="178">
        <f t="shared" si="84"/>
        <v>36554.5</v>
      </c>
      <c r="J2649" s="178">
        <f t="shared" si="83"/>
        <v>0</v>
      </c>
      <c r="K2649" s="19"/>
    </row>
    <row r="2650" spans="1:11" x14ac:dyDescent="0.25">
      <c r="A2650" s="51">
        <v>42848</v>
      </c>
      <c r="B2650" s="174" t="s">
        <v>14209</v>
      </c>
      <c r="C2650" s="175"/>
      <c r="D2650" s="176" t="s">
        <v>14209</v>
      </c>
      <c r="E2650" s="176">
        <v>109084</v>
      </c>
      <c r="F2650" s="177" t="s">
        <v>26</v>
      </c>
      <c r="G2650" s="178">
        <v>17356</v>
      </c>
      <c r="H2650" s="179">
        <v>42848</v>
      </c>
      <c r="I2650" s="178">
        <f t="shared" si="84"/>
        <v>17356</v>
      </c>
      <c r="J2650" s="178">
        <f t="shared" si="83"/>
        <v>0</v>
      </c>
      <c r="K2650" s="19"/>
    </row>
    <row r="2651" spans="1:11" x14ac:dyDescent="0.25">
      <c r="A2651" s="51">
        <v>42848</v>
      </c>
      <c r="B2651" s="174" t="s">
        <v>14210</v>
      </c>
      <c r="C2651" s="175"/>
      <c r="D2651" s="176" t="s">
        <v>14210</v>
      </c>
      <c r="E2651" s="176">
        <v>109085</v>
      </c>
      <c r="F2651" s="177" t="s">
        <v>236</v>
      </c>
      <c r="G2651" s="178">
        <v>38558.449999999997</v>
      </c>
      <c r="H2651" s="184">
        <v>42854</v>
      </c>
      <c r="I2651" s="183">
        <f t="shared" si="84"/>
        <v>38558.449999999997</v>
      </c>
      <c r="J2651" s="178">
        <f t="shared" si="83"/>
        <v>0</v>
      </c>
      <c r="K2651" s="19"/>
    </row>
    <row r="2652" spans="1:11" x14ac:dyDescent="0.25">
      <c r="A2652" s="51">
        <v>42848</v>
      </c>
      <c r="B2652" s="174" t="s">
        <v>14211</v>
      </c>
      <c r="C2652" s="175"/>
      <c r="D2652" s="176" t="s">
        <v>14211</v>
      </c>
      <c r="E2652" s="176">
        <v>109086</v>
      </c>
      <c r="F2652" s="177" t="s">
        <v>28</v>
      </c>
      <c r="G2652" s="178">
        <v>12823.2</v>
      </c>
      <c r="H2652" s="179">
        <v>42848</v>
      </c>
      <c r="I2652" s="178">
        <f t="shared" si="84"/>
        <v>12823.2</v>
      </c>
      <c r="J2652" s="178">
        <f t="shared" si="83"/>
        <v>0</v>
      </c>
      <c r="K2652" s="19"/>
    </row>
    <row r="2653" spans="1:11" x14ac:dyDescent="0.25">
      <c r="A2653" s="51">
        <v>42848</v>
      </c>
      <c r="B2653" s="174" t="s">
        <v>14212</v>
      </c>
      <c r="C2653" s="175"/>
      <c r="D2653" s="176" t="s">
        <v>14212</v>
      </c>
      <c r="E2653" s="176">
        <v>109087</v>
      </c>
      <c r="F2653" s="177" t="s">
        <v>12</v>
      </c>
      <c r="G2653" s="178">
        <v>2055.5</v>
      </c>
      <c r="H2653" s="179">
        <v>42848</v>
      </c>
      <c r="I2653" s="178">
        <f t="shared" si="84"/>
        <v>2055.5</v>
      </c>
      <c r="J2653" s="178">
        <f t="shared" si="83"/>
        <v>0</v>
      </c>
      <c r="K2653" s="19"/>
    </row>
    <row r="2654" spans="1:11" x14ac:dyDescent="0.25">
      <c r="A2654" s="51">
        <v>42848</v>
      </c>
      <c r="B2654" s="174" t="s">
        <v>14213</v>
      </c>
      <c r="C2654" s="175"/>
      <c r="D2654" s="176" t="s">
        <v>14213</v>
      </c>
      <c r="E2654" s="176">
        <v>109088</v>
      </c>
      <c r="F2654" s="177" t="s">
        <v>67</v>
      </c>
      <c r="G2654" s="178">
        <v>17103.900000000001</v>
      </c>
      <c r="H2654" s="184">
        <v>42852</v>
      </c>
      <c r="I2654" s="183">
        <f t="shared" si="84"/>
        <v>17103.900000000001</v>
      </c>
      <c r="J2654" s="178">
        <f t="shared" si="83"/>
        <v>0</v>
      </c>
      <c r="K2654" s="19"/>
    </row>
    <row r="2655" spans="1:11" x14ac:dyDescent="0.25">
      <c r="A2655" s="51">
        <v>42848</v>
      </c>
      <c r="B2655" s="174" t="s">
        <v>14214</v>
      </c>
      <c r="C2655" s="175"/>
      <c r="D2655" s="176" t="s">
        <v>14214</v>
      </c>
      <c r="E2655" s="176">
        <v>109089</v>
      </c>
      <c r="F2655" s="177" t="s">
        <v>47</v>
      </c>
      <c r="G2655" s="178">
        <v>2266.1</v>
      </c>
      <c r="H2655" s="179">
        <v>42848</v>
      </c>
      <c r="I2655" s="178">
        <f t="shared" si="84"/>
        <v>2266.1</v>
      </c>
      <c r="J2655" s="178">
        <f t="shared" si="83"/>
        <v>0</v>
      </c>
      <c r="K2655" s="19"/>
    </row>
    <row r="2656" spans="1:11" x14ac:dyDescent="0.25">
      <c r="A2656" s="51">
        <v>42848</v>
      </c>
      <c r="B2656" s="174" t="s">
        <v>14215</v>
      </c>
      <c r="C2656" s="175"/>
      <c r="D2656" s="176" t="s">
        <v>14215</v>
      </c>
      <c r="E2656" s="176">
        <v>109090</v>
      </c>
      <c r="F2656" s="177" t="s">
        <v>30</v>
      </c>
      <c r="G2656" s="178">
        <v>4704</v>
      </c>
      <c r="H2656" s="179">
        <v>42848</v>
      </c>
      <c r="I2656" s="178">
        <f t="shared" si="84"/>
        <v>4704</v>
      </c>
      <c r="J2656" s="178">
        <f t="shared" si="83"/>
        <v>0</v>
      </c>
      <c r="K2656" s="19"/>
    </row>
    <row r="2657" spans="1:11" x14ac:dyDescent="0.25">
      <c r="A2657" s="51">
        <v>42848</v>
      </c>
      <c r="B2657" s="174" t="s">
        <v>14216</v>
      </c>
      <c r="C2657" s="175"/>
      <c r="D2657" s="176" t="s">
        <v>14216</v>
      </c>
      <c r="E2657" s="176">
        <v>109091</v>
      </c>
      <c r="F2657" s="177" t="s">
        <v>71</v>
      </c>
      <c r="G2657" s="178">
        <v>1114</v>
      </c>
      <c r="H2657" s="179">
        <v>42848</v>
      </c>
      <c r="I2657" s="178">
        <f t="shared" si="84"/>
        <v>1114</v>
      </c>
      <c r="J2657" s="178">
        <f t="shared" si="83"/>
        <v>0</v>
      </c>
      <c r="K2657" s="19"/>
    </row>
    <row r="2658" spans="1:11" x14ac:dyDescent="0.25">
      <c r="A2658" s="51">
        <v>42848</v>
      </c>
      <c r="B2658" s="174" t="s">
        <v>14217</v>
      </c>
      <c r="C2658" s="175"/>
      <c r="D2658" s="176" t="s">
        <v>14217</v>
      </c>
      <c r="E2658" s="176">
        <v>109092</v>
      </c>
      <c r="F2658" s="177" t="s">
        <v>143</v>
      </c>
      <c r="G2658" s="178">
        <v>5534.1</v>
      </c>
      <c r="H2658" s="179">
        <v>42848</v>
      </c>
      <c r="I2658" s="178">
        <f t="shared" si="84"/>
        <v>5534.1</v>
      </c>
      <c r="J2658" s="178">
        <f t="shared" si="83"/>
        <v>0</v>
      </c>
      <c r="K2658" s="19"/>
    </row>
    <row r="2659" spans="1:11" x14ac:dyDescent="0.25">
      <c r="A2659" s="51">
        <v>42848</v>
      </c>
      <c r="B2659" s="174" t="s">
        <v>14218</v>
      </c>
      <c r="C2659" s="175"/>
      <c r="D2659" s="176" t="s">
        <v>14218</v>
      </c>
      <c r="E2659" s="176">
        <v>109093</v>
      </c>
      <c r="F2659" s="177" t="s">
        <v>10</v>
      </c>
      <c r="G2659" s="178">
        <v>131754</v>
      </c>
      <c r="H2659" s="180" t="s">
        <v>14219</v>
      </c>
      <c r="I2659" s="181">
        <f>24261.15+107492.85</f>
        <v>131754</v>
      </c>
      <c r="J2659" s="181">
        <f t="shared" si="83"/>
        <v>0</v>
      </c>
      <c r="K2659" s="19"/>
    </row>
    <row r="2660" spans="1:11" x14ac:dyDescent="0.25">
      <c r="A2660" s="51">
        <v>42848</v>
      </c>
      <c r="B2660" s="174" t="s">
        <v>14220</v>
      </c>
      <c r="C2660" s="175"/>
      <c r="D2660" s="176" t="s">
        <v>14220</v>
      </c>
      <c r="E2660" s="176">
        <v>109094</v>
      </c>
      <c r="F2660" s="177" t="s">
        <v>354</v>
      </c>
      <c r="G2660" s="178">
        <v>1316.9</v>
      </c>
      <c r="H2660" s="179">
        <v>42848</v>
      </c>
      <c r="I2660" s="178">
        <f t="shared" si="84"/>
        <v>1316.9</v>
      </c>
      <c r="J2660" s="178">
        <f t="shared" si="83"/>
        <v>0</v>
      </c>
      <c r="K2660" s="19"/>
    </row>
    <row r="2661" spans="1:11" x14ac:dyDescent="0.25">
      <c r="A2661" s="51">
        <v>42848</v>
      </c>
      <c r="B2661" s="174" t="s">
        <v>14221</v>
      </c>
      <c r="C2661" s="175"/>
      <c r="D2661" s="176" t="s">
        <v>14221</v>
      </c>
      <c r="E2661" s="176">
        <v>109095</v>
      </c>
      <c r="F2661" s="177" t="s">
        <v>236</v>
      </c>
      <c r="G2661" s="178">
        <v>31259.69</v>
      </c>
      <c r="H2661" s="184">
        <v>42854</v>
      </c>
      <c r="I2661" s="183">
        <f t="shared" si="84"/>
        <v>31259.69</v>
      </c>
      <c r="J2661" s="178">
        <f t="shared" si="83"/>
        <v>0</v>
      </c>
      <c r="K2661" s="19"/>
    </row>
    <row r="2662" spans="1:11" x14ac:dyDescent="0.25">
      <c r="A2662" s="51">
        <v>42848</v>
      </c>
      <c r="B2662" s="174" t="s">
        <v>14222</v>
      </c>
      <c r="C2662" s="175"/>
      <c r="D2662" s="176" t="s">
        <v>14222</v>
      </c>
      <c r="E2662" s="176">
        <v>109096</v>
      </c>
      <c r="F2662" s="177" t="s">
        <v>12879</v>
      </c>
      <c r="G2662" s="178">
        <v>1336.5</v>
      </c>
      <c r="H2662" s="179">
        <v>42848</v>
      </c>
      <c r="I2662" s="178">
        <f t="shared" si="84"/>
        <v>1336.5</v>
      </c>
      <c r="J2662" s="178">
        <f t="shared" si="83"/>
        <v>0</v>
      </c>
      <c r="K2662" s="19"/>
    </row>
    <row r="2663" spans="1:11" x14ac:dyDescent="0.25">
      <c r="A2663" s="51">
        <v>42848</v>
      </c>
      <c r="B2663" s="174" t="s">
        <v>14223</v>
      </c>
      <c r="C2663" s="175"/>
      <c r="D2663" s="176" t="s">
        <v>14223</v>
      </c>
      <c r="E2663" s="176">
        <v>109097</v>
      </c>
      <c r="F2663" s="177" t="s">
        <v>111</v>
      </c>
      <c r="G2663" s="178">
        <v>2002</v>
      </c>
      <c r="H2663" s="179">
        <v>42848</v>
      </c>
      <c r="I2663" s="178">
        <f t="shared" si="84"/>
        <v>2002</v>
      </c>
      <c r="J2663" s="178">
        <f t="shared" si="83"/>
        <v>0</v>
      </c>
      <c r="K2663" s="19"/>
    </row>
    <row r="2664" spans="1:11" x14ac:dyDescent="0.25">
      <c r="A2664" s="51">
        <v>42848</v>
      </c>
      <c r="B2664" s="174" t="s">
        <v>14224</v>
      </c>
      <c r="C2664" s="175"/>
      <c r="D2664" s="176" t="s">
        <v>14224</v>
      </c>
      <c r="E2664" s="176">
        <v>109098</v>
      </c>
      <c r="F2664" s="177" t="s">
        <v>79</v>
      </c>
      <c r="G2664" s="178">
        <v>2377.9</v>
      </c>
      <c r="H2664" s="179">
        <v>42848</v>
      </c>
      <c r="I2664" s="178">
        <f t="shared" si="84"/>
        <v>2377.9</v>
      </c>
      <c r="J2664" s="178">
        <f t="shared" si="83"/>
        <v>0</v>
      </c>
      <c r="K2664" s="19"/>
    </row>
    <row r="2665" spans="1:11" x14ac:dyDescent="0.25">
      <c r="A2665" s="51">
        <v>42848</v>
      </c>
      <c r="B2665" s="174" t="s">
        <v>14225</v>
      </c>
      <c r="C2665" s="175"/>
      <c r="D2665" s="176" t="s">
        <v>14225</v>
      </c>
      <c r="E2665" s="176">
        <v>109099</v>
      </c>
      <c r="F2665" s="177" t="s">
        <v>1645</v>
      </c>
      <c r="G2665" s="178">
        <v>1306.8</v>
      </c>
      <c r="H2665" s="179">
        <v>42848</v>
      </c>
      <c r="I2665" s="178">
        <f t="shared" si="84"/>
        <v>1306.8</v>
      </c>
      <c r="J2665" s="178">
        <f t="shared" si="83"/>
        <v>0</v>
      </c>
      <c r="K2665" s="19"/>
    </row>
    <row r="2666" spans="1:11" x14ac:dyDescent="0.25">
      <c r="A2666" s="51">
        <v>42848</v>
      </c>
      <c r="B2666" s="174" t="s">
        <v>14226</v>
      </c>
      <c r="C2666" s="175"/>
      <c r="D2666" s="176" t="s">
        <v>14226</v>
      </c>
      <c r="E2666" s="176">
        <v>109100</v>
      </c>
      <c r="F2666" s="177" t="s">
        <v>240</v>
      </c>
      <c r="G2666" s="178">
        <v>4263.6000000000004</v>
      </c>
      <c r="H2666" s="179">
        <v>42848</v>
      </c>
      <c r="I2666" s="178">
        <f t="shared" si="84"/>
        <v>4263.6000000000004</v>
      </c>
      <c r="J2666" s="178">
        <f t="shared" si="83"/>
        <v>0</v>
      </c>
      <c r="K2666" s="19"/>
    </row>
    <row r="2667" spans="1:11" x14ac:dyDescent="0.25">
      <c r="A2667" s="51">
        <v>42848</v>
      </c>
      <c r="B2667" s="174" t="s">
        <v>14227</v>
      </c>
      <c r="C2667" s="175"/>
      <c r="D2667" s="176" t="s">
        <v>14227</v>
      </c>
      <c r="E2667" s="176">
        <v>109101</v>
      </c>
      <c r="F2667" s="177" t="s">
        <v>1116</v>
      </c>
      <c r="G2667" s="178">
        <v>3980.9</v>
      </c>
      <c r="H2667" s="179">
        <v>42849</v>
      </c>
      <c r="I2667" s="178">
        <f t="shared" si="84"/>
        <v>3980.9</v>
      </c>
      <c r="J2667" s="178">
        <f t="shared" si="83"/>
        <v>0</v>
      </c>
      <c r="K2667" s="19"/>
    </row>
    <row r="2668" spans="1:11" x14ac:dyDescent="0.25">
      <c r="A2668" s="51">
        <v>42848</v>
      </c>
      <c r="B2668" s="174" t="s">
        <v>14228</v>
      </c>
      <c r="C2668" s="175"/>
      <c r="D2668" s="176" t="s">
        <v>14228</v>
      </c>
      <c r="E2668" s="176">
        <v>109102</v>
      </c>
      <c r="F2668" s="177" t="s">
        <v>79</v>
      </c>
      <c r="G2668" s="178">
        <v>272</v>
      </c>
      <c r="H2668" s="179">
        <v>42848</v>
      </c>
      <c r="I2668" s="178">
        <f t="shared" si="84"/>
        <v>272</v>
      </c>
      <c r="J2668" s="178">
        <f t="shared" si="83"/>
        <v>0</v>
      </c>
      <c r="K2668" s="19"/>
    </row>
    <row r="2669" spans="1:11" x14ac:dyDescent="0.25">
      <c r="A2669" s="51">
        <v>42848</v>
      </c>
      <c r="B2669" s="174" t="s">
        <v>14229</v>
      </c>
      <c r="C2669" s="175"/>
      <c r="D2669" s="176" t="s">
        <v>14229</v>
      </c>
      <c r="E2669" s="176">
        <v>109103</v>
      </c>
      <c r="F2669" s="177" t="s">
        <v>305</v>
      </c>
      <c r="G2669" s="178">
        <v>5694.5</v>
      </c>
      <c r="H2669" s="186">
        <v>42856</v>
      </c>
      <c r="I2669" s="187">
        <f t="shared" si="84"/>
        <v>5694.5</v>
      </c>
      <c r="J2669" s="178">
        <f t="shared" si="83"/>
        <v>0</v>
      </c>
      <c r="K2669" s="19"/>
    </row>
    <row r="2670" spans="1:11" x14ac:dyDescent="0.25">
      <c r="A2670" s="51">
        <v>42848</v>
      </c>
      <c r="B2670" s="174" t="s">
        <v>14230</v>
      </c>
      <c r="C2670" s="175"/>
      <c r="D2670" s="176" t="s">
        <v>14230</v>
      </c>
      <c r="E2670" s="176">
        <v>109104</v>
      </c>
      <c r="F2670" s="177" t="s">
        <v>168</v>
      </c>
      <c r="G2670" s="178">
        <v>751.8</v>
      </c>
      <c r="H2670" s="179">
        <v>42848</v>
      </c>
      <c r="I2670" s="178">
        <f t="shared" si="84"/>
        <v>751.8</v>
      </c>
      <c r="J2670" s="178">
        <f t="shared" si="83"/>
        <v>0</v>
      </c>
      <c r="K2670" s="19"/>
    </row>
    <row r="2671" spans="1:11" x14ac:dyDescent="0.25">
      <c r="A2671" s="51">
        <v>42848</v>
      </c>
      <c r="B2671" s="174" t="s">
        <v>14231</v>
      </c>
      <c r="C2671" s="175"/>
      <c r="D2671" s="176" t="s">
        <v>14231</v>
      </c>
      <c r="E2671" s="176">
        <v>109105</v>
      </c>
      <c r="F2671" s="177" t="s">
        <v>149</v>
      </c>
      <c r="G2671" s="178">
        <v>3859.7</v>
      </c>
      <c r="H2671" s="179">
        <v>42848</v>
      </c>
      <c r="I2671" s="178">
        <f t="shared" si="84"/>
        <v>3859.7</v>
      </c>
      <c r="J2671" s="178">
        <f t="shared" si="83"/>
        <v>0</v>
      </c>
      <c r="K2671" s="19"/>
    </row>
    <row r="2672" spans="1:11" x14ac:dyDescent="0.25">
      <c r="A2672" s="51">
        <v>42848</v>
      </c>
      <c r="B2672" s="174" t="s">
        <v>14232</v>
      </c>
      <c r="C2672" s="175"/>
      <c r="D2672" s="176" t="s">
        <v>14232</v>
      </c>
      <c r="E2672" s="176">
        <v>109106</v>
      </c>
      <c r="F2672" s="177" t="s">
        <v>21</v>
      </c>
      <c r="G2672" s="178">
        <v>49108.800000000003</v>
      </c>
      <c r="H2672" s="186" t="s">
        <v>15201</v>
      </c>
      <c r="I2672" s="187">
        <f>37434+11674.8</f>
        <v>49108.800000000003</v>
      </c>
      <c r="J2672" s="178">
        <f t="shared" si="83"/>
        <v>0</v>
      </c>
      <c r="K2672" s="19"/>
    </row>
    <row r="2673" spans="1:11" x14ac:dyDescent="0.25">
      <c r="A2673" s="51">
        <v>42848</v>
      </c>
      <c r="B2673" s="174" t="s">
        <v>14233</v>
      </c>
      <c r="C2673" s="175"/>
      <c r="D2673" s="176" t="s">
        <v>14233</v>
      </c>
      <c r="E2673" s="176">
        <v>109107</v>
      </c>
      <c r="F2673" s="177" t="s">
        <v>9250</v>
      </c>
      <c r="G2673" s="178">
        <v>6192</v>
      </c>
      <c r="H2673" s="179">
        <v>42849</v>
      </c>
      <c r="I2673" s="178">
        <f t="shared" si="84"/>
        <v>6192</v>
      </c>
      <c r="J2673" s="178">
        <f t="shared" si="83"/>
        <v>0</v>
      </c>
      <c r="K2673" s="19"/>
    </row>
    <row r="2674" spans="1:11" x14ac:dyDescent="0.25">
      <c r="A2674" s="51">
        <v>42848</v>
      </c>
      <c r="B2674" s="174" t="s">
        <v>14234</v>
      </c>
      <c r="C2674" s="175"/>
      <c r="D2674" s="176" t="s">
        <v>14234</v>
      </c>
      <c r="E2674" s="176">
        <v>109108</v>
      </c>
      <c r="F2674" s="177" t="s">
        <v>3997</v>
      </c>
      <c r="G2674" s="178">
        <v>6123.2</v>
      </c>
      <c r="H2674" s="186">
        <v>42851</v>
      </c>
      <c r="I2674" s="187">
        <f t="shared" si="84"/>
        <v>6123.2</v>
      </c>
      <c r="J2674" s="178">
        <f t="shared" si="83"/>
        <v>0</v>
      </c>
      <c r="K2674" s="19"/>
    </row>
    <row r="2675" spans="1:11" x14ac:dyDescent="0.25">
      <c r="A2675" s="51">
        <v>42848</v>
      </c>
      <c r="B2675" s="174" t="s">
        <v>14235</v>
      </c>
      <c r="C2675" s="175"/>
      <c r="D2675" s="176" t="s">
        <v>14235</v>
      </c>
      <c r="E2675" s="176">
        <v>109109</v>
      </c>
      <c r="F2675" s="177" t="s">
        <v>53</v>
      </c>
      <c r="G2675" s="178">
        <v>1709.4</v>
      </c>
      <c r="H2675" s="179">
        <v>42849</v>
      </c>
      <c r="I2675" s="178">
        <f t="shared" si="84"/>
        <v>1709.4</v>
      </c>
      <c r="J2675" s="178">
        <f t="shared" si="83"/>
        <v>0</v>
      </c>
      <c r="K2675" s="19"/>
    </row>
    <row r="2676" spans="1:11" x14ac:dyDescent="0.25">
      <c r="A2676" s="51">
        <v>42848</v>
      </c>
      <c r="B2676" s="174" t="s">
        <v>14236</v>
      </c>
      <c r="C2676" s="175"/>
      <c r="D2676" s="176" t="s">
        <v>14236</v>
      </c>
      <c r="E2676" s="176">
        <v>109110</v>
      </c>
      <c r="F2676" s="177" t="s">
        <v>321</v>
      </c>
      <c r="G2676" s="178">
        <v>297.60000000000002</v>
      </c>
      <c r="H2676" s="179">
        <v>42848</v>
      </c>
      <c r="I2676" s="178">
        <f t="shared" si="84"/>
        <v>297.60000000000002</v>
      </c>
      <c r="J2676" s="178">
        <f t="shared" si="83"/>
        <v>0</v>
      </c>
      <c r="K2676" s="19"/>
    </row>
    <row r="2677" spans="1:11" x14ac:dyDescent="0.25">
      <c r="A2677" s="51">
        <v>42848</v>
      </c>
      <c r="B2677" s="174" t="s">
        <v>14237</v>
      </c>
      <c r="C2677" s="175"/>
      <c r="D2677" s="176" t="s">
        <v>14237</v>
      </c>
      <c r="E2677" s="176">
        <v>109111</v>
      </c>
      <c r="F2677" s="177" t="s">
        <v>151</v>
      </c>
      <c r="G2677" s="178">
        <v>1934.5</v>
      </c>
      <c r="H2677" s="179">
        <v>42848</v>
      </c>
      <c r="I2677" s="178">
        <f t="shared" si="84"/>
        <v>1934.5</v>
      </c>
      <c r="J2677" s="178">
        <f t="shared" si="83"/>
        <v>0</v>
      </c>
      <c r="K2677" s="19"/>
    </row>
    <row r="2678" spans="1:11" x14ac:dyDescent="0.25">
      <c r="A2678" s="51">
        <v>42848</v>
      </c>
      <c r="B2678" s="174" t="s">
        <v>14238</v>
      </c>
      <c r="C2678" s="175"/>
      <c r="D2678" s="176" t="s">
        <v>14238</v>
      </c>
      <c r="E2678" s="176">
        <v>109112</v>
      </c>
      <c r="F2678" s="177" t="s">
        <v>85</v>
      </c>
      <c r="G2678" s="178">
        <v>8194</v>
      </c>
      <c r="H2678" s="186" t="s">
        <v>14239</v>
      </c>
      <c r="I2678" s="187">
        <f>4000+194+4000</f>
        <v>8194</v>
      </c>
      <c r="J2678" s="188">
        <f t="shared" si="83"/>
        <v>0</v>
      </c>
      <c r="K2678" s="19"/>
    </row>
    <row r="2679" spans="1:11" x14ac:dyDescent="0.25">
      <c r="A2679" s="51">
        <v>42848</v>
      </c>
      <c r="B2679" s="174" t="s">
        <v>14240</v>
      </c>
      <c r="C2679" s="175"/>
      <c r="D2679" s="176" t="s">
        <v>14240</v>
      </c>
      <c r="E2679" s="176">
        <v>109113</v>
      </c>
      <c r="F2679" s="177" t="s">
        <v>10</v>
      </c>
      <c r="G2679" s="178">
        <v>124478.39999999999</v>
      </c>
      <c r="H2679" s="179">
        <v>42850</v>
      </c>
      <c r="I2679" s="178">
        <f t="shared" si="84"/>
        <v>124478.39999999999</v>
      </c>
      <c r="J2679" s="178">
        <f t="shared" si="83"/>
        <v>0</v>
      </c>
      <c r="K2679" s="19"/>
    </row>
    <row r="2680" spans="1:11" x14ac:dyDescent="0.25">
      <c r="A2680" s="51">
        <v>42848</v>
      </c>
      <c r="B2680" s="174" t="s">
        <v>14241</v>
      </c>
      <c r="C2680" s="175"/>
      <c r="D2680" s="176" t="s">
        <v>14241</v>
      </c>
      <c r="E2680" s="176">
        <v>109114</v>
      </c>
      <c r="F2680" s="177" t="s">
        <v>1081</v>
      </c>
      <c r="G2680" s="178">
        <v>2124.7199999999998</v>
      </c>
      <c r="H2680" s="179">
        <v>42849</v>
      </c>
      <c r="I2680" s="178">
        <f t="shared" si="84"/>
        <v>2124.7199999999998</v>
      </c>
      <c r="J2680" s="178">
        <f t="shared" si="83"/>
        <v>0</v>
      </c>
      <c r="K2680" s="19"/>
    </row>
    <row r="2681" spans="1:11" x14ac:dyDescent="0.25">
      <c r="A2681" s="51">
        <v>42848</v>
      </c>
      <c r="B2681" s="174" t="s">
        <v>14242</v>
      </c>
      <c r="C2681" s="175"/>
      <c r="D2681" s="176" t="s">
        <v>14242</v>
      </c>
      <c r="E2681" s="176">
        <v>109115</v>
      </c>
      <c r="F2681" s="177" t="s">
        <v>476</v>
      </c>
      <c r="G2681" s="178">
        <v>6694.6</v>
      </c>
      <c r="H2681" s="184">
        <v>42852</v>
      </c>
      <c r="I2681" s="183">
        <f t="shared" si="84"/>
        <v>6694.6</v>
      </c>
      <c r="J2681" s="178">
        <f t="shared" si="83"/>
        <v>0</v>
      </c>
      <c r="K2681" s="19"/>
    </row>
    <row r="2682" spans="1:11" x14ac:dyDescent="0.25">
      <c r="A2682" s="51">
        <v>42848</v>
      </c>
      <c r="B2682" s="174" t="s">
        <v>14243</v>
      </c>
      <c r="C2682" s="175"/>
      <c r="D2682" s="176" t="s">
        <v>14243</v>
      </c>
      <c r="E2682" s="176">
        <v>109116</v>
      </c>
      <c r="F2682" s="177" t="s">
        <v>159</v>
      </c>
      <c r="G2682" s="178">
        <v>944.2</v>
      </c>
      <c r="H2682" s="179">
        <v>42849</v>
      </c>
      <c r="I2682" s="178">
        <f t="shared" si="84"/>
        <v>944.2</v>
      </c>
      <c r="J2682" s="178">
        <f t="shared" si="83"/>
        <v>0</v>
      </c>
      <c r="K2682" s="19"/>
    </row>
    <row r="2683" spans="1:11" x14ac:dyDescent="0.25">
      <c r="A2683" s="51">
        <v>42848</v>
      </c>
      <c r="B2683" s="174" t="s">
        <v>14244</v>
      </c>
      <c r="C2683" s="175"/>
      <c r="D2683" s="176" t="s">
        <v>14244</v>
      </c>
      <c r="E2683" s="176">
        <v>109117</v>
      </c>
      <c r="F2683" s="177" t="s">
        <v>101</v>
      </c>
      <c r="G2683" s="178">
        <v>660</v>
      </c>
      <c r="H2683" s="179">
        <v>42849</v>
      </c>
      <c r="I2683" s="178">
        <f t="shared" si="84"/>
        <v>660</v>
      </c>
      <c r="J2683" s="178">
        <f t="shared" si="83"/>
        <v>0</v>
      </c>
      <c r="K2683" s="19"/>
    </row>
    <row r="2684" spans="1:11" x14ac:dyDescent="0.25">
      <c r="A2684" s="51">
        <v>42848</v>
      </c>
      <c r="B2684" s="174" t="s">
        <v>14245</v>
      </c>
      <c r="C2684" s="175"/>
      <c r="D2684" s="176" t="s">
        <v>14245</v>
      </c>
      <c r="E2684" s="176">
        <v>109118</v>
      </c>
      <c r="F2684" s="177" t="s">
        <v>99</v>
      </c>
      <c r="G2684" s="178">
        <v>3524.4</v>
      </c>
      <c r="H2684" s="179">
        <v>42849</v>
      </c>
      <c r="I2684" s="178">
        <f t="shared" si="84"/>
        <v>3524.4</v>
      </c>
      <c r="J2684" s="178">
        <f t="shared" si="83"/>
        <v>0</v>
      </c>
      <c r="K2684" s="19"/>
    </row>
    <row r="2685" spans="1:11" x14ac:dyDescent="0.25">
      <c r="A2685" s="51">
        <v>42848</v>
      </c>
      <c r="B2685" s="174" t="s">
        <v>14246</v>
      </c>
      <c r="C2685" s="175"/>
      <c r="D2685" s="176" t="s">
        <v>14246</v>
      </c>
      <c r="E2685" s="176">
        <v>109119</v>
      </c>
      <c r="F2685" s="177" t="s">
        <v>1989</v>
      </c>
      <c r="G2685" s="178">
        <v>701.4</v>
      </c>
      <c r="H2685" s="179">
        <v>42849</v>
      </c>
      <c r="I2685" s="178">
        <f t="shared" si="84"/>
        <v>701.4</v>
      </c>
      <c r="J2685" s="178">
        <f t="shared" si="83"/>
        <v>0</v>
      </c>
      <c r="K2685" s="19"/>
    </row>
    <row r="2686" spans="1:11" x14ac:dyDescent="0.25">
      <c r="A2686" s="51">
        <v>42848</v>
      </c>
      <c r="B2686" s="174" t="s">
        <v>14247</v>
      </c>
      <c r="C2686" s="175"/>
      <c r="D2686" s="176" t="s">
        <v>14247</v>
      </c>
      <c r="E2686" s="176">
        <v>109120</v>
      </c>
      <c r="F2686" s="177" t="s">
        <v>10583</v>
      </c>
      <c r="G2686" s="178">
        <v>4122.5</v>
      </c>
      <c r="H2686" s="179">
        <v>42849</v>
      </c>
      <c r="I2686" s="178">
        <f t="shared" si="84"/>
        <v>4122.5</v>
      </c>
      <c r="J2686" s="178">
        <f t="shared" si="83"/>
        <v>0</v>
      </c>
      <c r="K2686" s="19"/>
    </row>
    <row r="2687" spans="1:11" x14ac:dyDescent="0.25">
      <c r="A2687" s="51">
        <v>42848</v>
      </c>
      <c r="B2687" s="174" t="s">
        <v>14248</v>
      </c>
      <c r="C2687" s="175"/>
      <c r="D2687" s="176" t="s">
        <v>14248</v>
      </c>
      <c r="E2687" s="176">
        <v>109121</v>
      </c>
      <c r="F2687" s="177" t="s">
        <v>1259</v>
      </c>
      <c r="G2687" s="178">
        <v>2124.1999999999998</v>
      </c>
      <c r="H2687" s="179">
        <v>42849</v>
      </c>
      <c r="I2687" s="178">
        <f t="shared" si="84"/>
        <v>2124.1999999999998</v>
      </c>
      <c r="J2687" s="178">
        <f t="shared" si="83"/>
        <v>0</v>
      </c>
      <c r="K2687" s="19"/>
    </row>
    <row r="2688" spans="1:11" x14ac:dyDescent="0.25">
      <c r="A2688" s="51">
        <v>42848</v>
      </c>
      <c r="B2688" s="174" t="s">
        <v>14249</v>
      </c>
      <c r="C2688" s="175"/>
      <c r="D2688" s="176" t="s">
        <v>14249</v>
      </c>
      <c r="E2688" s="176">
        <v>109122</v>
      </c>
      <c r="F2688" s="177" t="s">
        <v>1989</v>
      </c>
      <c r="G2688" s="178">
        <v>199.8</v>
      </c>
      <c r="H2688" s="179">
        <v>42849</v>
      </c>
      <c r="I2688" s="178">
        <f t="shared" si="84"/>
        <v>199.8</v>
      </c>
      <c r="J2688" s="178">
        <f t="shared" si="83"/>
        <v>0</v>
      </c>
      <c r="K2688" s="19"/>
    </row>
    <row r="2689" spans="1:11" x14ac:dyDescent="0.25">
      <c r="A2689" s="51">
        <v>42848</v>
      </c>
      <c r="B2689" s="174" t="s">
        <v>14250</v>
      </c>
      <c r="C2689" s="175"/>
      <c r="D2689" s="176" t="s">
        <v>14250</v>
      </c>
      <c r="E2689" s="176">
        <v>109123</v>
      </c>
      <c r="F2689" s="177" t="s">
        <v>81</v>
      </c>
      <c r="G2689" s="178">
        <v>15053.7</v>
      </c>
      <c r="H2689" s="179">
        <v>42849</v>
      </c>
      <c r="I2689" s="178">
        <f t="shared" si="84"/>
        <v>15053.7</v>
      </c>
      <c r="J2689" s="178">
        <f t="shared" si="83"/>
        <v>0</v>
      </c>
      <c r="K2689" s="19"/>
    </row>
    <row r="2690" spans="1:11" x14ac:dyDescent="0.25">
      <c r="A2690" s="51">
        <v>42848</v>
      </c>
      <c r="B2690" s="174" t="s">
        <v>14251</v>
      </c>
      <c r="C2690" s="175"/>
      <c r="D2690" s="176" t="s">
        <v>14251</v>
      </c>
      <c r="E2690" s="176">
        <v>109124</v>
      </c>
      <c r="F2690" s="177" t="s">
        <v>88</v>
      </c>
      <c r="G2690" s="178">
        <v>1407.6</v>
      </c>
      <c r="H2690" s="179">
        <v>42849</v>
      </c>
      <c r="I2690" s="178">
        <f t="shared" si="84"/>
        <v>1407.6</v>
      </c>
      <c r="J2690" s="178">
        <f t="shared" si="83"/>
        <v>0</v>
      </c>
      <c r="K2690" s="19"/>
    </row>
    <row r="2691" spans="1:11" x14ac:dyDescent="0.25">
      <c r="A2691" s="51">
        <v>42848</v>
      </c>
      <c r="B2691" s="174" t="s">
        <v>14252</v>
      </c>
      <c r="C2691" s="175"/>
      <c r="D2691" s="176" t="s">
        <v>14252</v>
      </c>
      <c r="E2691" s="176">
        <v>109125</v>
      </c>
      <c r="F2691" s="177" t="s">
        <v>613</v>
      </c>
      <c r="G2691" s="178">
        <v>4311</v>
      </c>
      <c r="H2691" s="179">
        <v>42849</v>
      </c>
      <c r="I2691" s="178">
        <f t="shared" si="84"/>
        <v>4311</v>
      </c>
      <c r="J2691" s="178">
        <f t="shared" si="83"/>
        <v>0</v>
      </c>
      <c r="K2691" s="19"/>
    </row>
    <row r="2692" spans="1:11" ht="15.75" x14ac:dyDescent="0.25">
      <c r="A2692" s="51">
        <v>42848</v>
      </c>
      <c r="B2692" s="174" t="s">
        <v>14253</v>
      </c>
      <c r="C2692" s="175"/>
      <c r="D2692" s="176" t="s">
        <v>14253</v>
      </c>
      <c r="E2692" s="176">
        <v>109126</v>
      </c>
      <c r="F2692" s="182" t="s">
        <v>115</v>
      </c>
      <c r="G2692" s="183">
        <v>0</v>
      </c>
      <c r="H2692" s="185" t="s">
        <v>95</v>
      </c>
      <c r="I2692" s="183">
        <f t="shared" si="84"/>
        <v>0</v>
      </c>
      <c r="J2692" s="178">
        <f t="shared" ref="J2692:J2755" si="85">G2692-I2692</f>
        <v>0</v>
      </c>
      <c r="K2692" s="19"/>
    </row>
    <row r="2693" spans="1:11" x14ac:dyDescent="0.25">
      <c r="A2693" s="51">
        <v>42848</v>
      </c>
      <c r="B2693" s="174" t="s">
        <v>14254</v>
      </c>
      <c r="C2693" s="175"/>
      <c r="D2693" s="176" t="s">
        <v>14254</v>
      </c>
      <c r="E2693" s="176">
        <v>109127</v>
      </c>
      <c r="F2693" s="177" t="s">
        <v>115</v>
      </c>
      <c r="G2693" s="178">
        <v>483.6</v>
      </c>
      <c r="H2693" s="179">
        <v>42848</v>
      </c>
      <c r="I2693" s="178">
        <f t="shared" ref="I2693:I2756" si="86">G2693</f>
        <v>483.6</v>
      </c>
      <c r="J2693" s="178">
        <f t="shared" si="85"/>
        <v>0</v>
      </c>
      <c r="K2693" s="19"/>
    </row>
    <row r="2694" spans="1:11" x14ac:dyDescent="0.25">
      <c r="A2694" s="51">
        <v>42848</v>
      </c>
      <c r="B2694" s="174" t="s">
        <v>14255</v>
      </c>
      <c r="C2694" s="175"/>
      <c r="D2694" s="176" t="s">
        <v>14255</v>
      </c>
      <c r="E2694" s="176">
        <v>109128</v>
      </c>
      <c r="F2694" s="177" t="s">
        <v>281</v>
      </c>
      <c r="G2694" s="178">
        <v>1304.5999999999999</v>
      </c>
      <c r="H2694" s="179">
        <v>42849</v>
      </c>
      <c r="I2694" s="178">
        <f t="shared" si="86"/>
        <v>1304.5999999999999</v>
      </c>
      <c r="J2694" s="178">
        <f t="shared" si="85"/>
        <v>0</v>
      </c>
      <c r="K2694" s="19"/>
    </row>
    <row r="2695" spans="1:11" x14ac:dyDescent="0.25">
      <c r="A2695" s="51">
        <v>42848</v>
      </c>
      <c r="B2695" s="174" t="s">
        <v>14256</v>
      </c>
      <c r="C2695" s="175"/>
      <c r="D2695" s="176" t="s">
        <v>14256</v>
      </c>
      <c r="E2695" s="176">
        <v>109129</v>
      </c>
      <c r="F2695" s="177" t="s">
        <v>109</v>
      </c>
      <c r="G2695" s="178">
        <v>3825.8</v>
      </c>
      <c r="H2695" s="179">
        <v>42849</v>
      </c>
      <c r="I2695" s="178">
        <f t="shared" si="86"/>
        <v>3825.8</v>
      </c>
      <c r="J2695" s="178">
        <f t="shared" si="85"/>
        <v>0</v>
      </c>
      <c r="K2695" s="19"/>
    </row>
    <row r="2696" spans="1:11" x14ac:dyDescent="0.25">
      <c r="A2696" s="51">
        <v>42848</v>
      </c>
      <c r="B2696" s="174" t="s">
        <v>14257</v>
      </c>
      <c r="C2696" s="175"/>
      <c r="D2696" s="176" t="s">
        <v>14257</v>
      </c>
      <c r="E2696" s="176">
        <v>109130</v>
      </c>
      <c r="F2696" s="177" t="s">
        <v>866</v>
      </c>
      <c r="G2696" s="178">
        <v>1081.5</v>
      </c>
      <c r="H2696" s="179">
        <v>42848</v>
      </c>
      <c r="I2696" s="178">
        <f t="shared" si="86"/>
        <v>1081.5</v>
      </c>
      <c r="J2696" s="178">
        <f t="shared" si="85"/>
        <v>0</v>
      </c>
      <c r="K2696" s="19"/>
    </row>
    <row r="2697" spans="1:11" x14ac:dyDescent="0.25">
      <c r="A2697" s="51">
        <v>42848</v>
      </c>
      <c r="B2697" s="174" t="s">
        <v>14258</v>
      </c>
      <c r="C2697" s="175"/>
      <c r="D2697" s="176" t="s">
        <v>14258</v>
      </c>
      <c r="E2697" s="176">
        <v>109131</v>
      </c>
      <c r="F2697" s="177" t="s">
        <v>218</v>
      </c>
      <c r="G2697" s="178">
        <v>24671.8</v>
      </c>
      <c r="H2697" s="179">
        <v>42850</v>
      </c>
      <c r="I2697" s="178">
        <f t="shared" si="86"/>
        <v>24671.8</v>
      </c>
      <c r="J2697" s="178">
        <f t="shared" si="85"/>
        <v>0</v>
      </c>
      <c r="K2697" s="19"/>
    </row>
    <row r="2698" spans="1:11" x14ac:dyDescent="0.25">
      <c r="A2698" s="51">
        <v>42848</v>
      </c>
      <c r="B2698" s="174" t="s">
        <v>14259</v>
      </c>
      <c r="C2698" s="175"/>
      <c r="D2698" s="176" t="s">
        <v>14259</v>
      </c>
      <c r="E2698" s="176">
        <v>109132</v>
      </c>
      <c r="F2698" s="177" t="s">
        <v>135</v>
      </c>
      <c r="G2698" s="178">
        <v>1481.8</v>
      </c>
      <c r="H2698" s="179">
        <v>42848</v>
      </c>
      <c r="I2698" s="178">
        <f t="shared" si="86"/>
        <v>1481.8</v>
      </c>
      <c r="J2698" s="178">
        <f t="shared" si="85"/>
        <v>0</v>
      </c>
      <c r="K2698" s="19"/>
    </row>
    <row r="2699" spans="1:11" x14ac:dyDescent="0.25">
      <c r="A2699" s="51">
        <v>42848</v>
      </c>
      <c r="B2699" s="174" t="s">
        <v>14260</v>
      </c>
      <c r="C2699" s="175"/>
      <c r="D2699" s="176" t="s">
        <v>14260</v>
      </c>
      <c r="E2699" s="176">
        <v>109133</v>
      </c>
      <c r="F2699" s="177" t="s">
        <v>879</v>
      </c>
      <c r="G2699" s="178">
        <v>1375.5</v>
      </c>
      <c r="H2699" s="179">
        <v>42848</v>
      </c>
      <c r="I2699" s="178">
        <f t="shared" si="86"/>
        <v>1375.5</v>
      </c>
      <c r="J2699" s="178">
        <f t="shared" si="85"/>
        <v>0</v>
      </c>
      <c r="K2699" s="19"/>
    </row>
    <row r="2700" spans="1:11" x14ac:dyDescent="0.25">
      <c r="A2700" s="51">
        <v>42848</v>
      </c>
      <c r="B2700" s="174" t="s">
        <v>14261</v>
      </c>
      <c r="C2700" s="175"/>
      <c r="D2700" s="176" t="s">
        <v>14261</v>
      </c>
      <c r="E2700" s="176">
        <v>109134</v>
      </c>
      <c r="F2700" s="177" t="s">
        <v>125</v>
      </c>
      <c r="G2700" s="178">
        <v>8694</v>
      </c>
      <c r="H2700" s="179">
        <v>42849</v>
      </c>
      <c r="I2700" s="178">
        <f t="shared" si="86"/>
        <v>8694</v>
      </c>
      <c r="J2700" s="178">
        <f t="shared" si="85"/>
        <v>0</v>
      </c>
      <c r="K2700" s="19"/>
    </row>
    <row r="2701" spans="1:11" x14ac:dyDescent="0.25">
      <c r="A2701" s="51">
        <v>42848</v>
      </c>
      <c r="B2701" s="174" t="s">
        <v>14262</v>
      </c>
      <c r="C2701" s="175"/>
      <c r="D2701" s="176" t="s">
        <v>14262</v>
      </c>
      <c r="E2701" s="176">
        <v>109135</v>
      </c>
      <c r="F2701" s="177" t="s">
        <v>77</v>
      </c>
      <c r="G2701" s="178">
        <v>264</v>
      </c>
      <c r="H2701" s="179">
        <v>42848</v>
      </c>
      <c r="I2701" s="178">
        <f t="shared" si="86"/>
        <v>264</v>
      </c>
      <c r="J2701" s="178">
        <f t="shared" si="85"/>
        <v>0</v>
      </c>
      <c r="K2701" s="19"/>
    </row>
    <row r="2702" spans="1:11" x14ac:dyDescent="0.25">
      <c r="A2702" s="51">
        <v>42848</v>
      </c>
      <c r="B2702" s="174" t="s">
        <v>14263</v>
      </c>
      <c r="C2702" s="175"/>
      <c r="D2702" s="176" t="s">
        <v>14263</v>
      </c>
      <c r="E2702" s="176">
        <v>109136</v>
      </c>
      <c r="F2702" s="177" t="s">
        <v>509</v>
      </c>
      <c r="G2702" s="178">
        <v>23318.1</v>
      </c>
      <c r="H2702" s="186">
        <v>42861</v>
      </c>
      <c r="I2702" s="187">
        <f t="shared" si="86"/>
        <v>23318.1</v>
      </c>
      <c r="J2702" s="178">
        <f t="shared" si="85"/>
        <v>0</v>
      </c>
      <c r="K2702" s="19"/>
    </row>
    <row r="2703" spans="1:11" x14ac:dyDescent="0.25">
      <c r="A2703" s="51">
        <v>42848</v>
      </c>
      <c r="B2703" s="174" t="s">
        <v>14264</v>
      </c>
      <c r="C2703" s="175"/>
      <c r="D2703" s="176" t="s">
        <v>14264</v>
      </c>
      <c r="E2703" s="176">
        <v>109137</v>
      </c>
      <c r="F2703" s="177" t="s">
        <v>319</v>
      </c>
      <c r="G2703" s="178">
        <v>3141.8</v>
      </c>
      <c r="H2703" s="179">
        <v>42849</v>
      </c>
      <c r="I2703" s="178">
        <f t="shared" si="86"/>
        <v>3141.8</v>
      </c>
      <c r="J2703" s="178">
        <f t="shared" si="85"/>
        <v>0</v>
      </c>
      <c r="K2703" s="19"/>
    </row>
    <row r="2704" spans="1:11" x14ac:dyDescent="0.25">
      <c r="A2704" s="51">
        <v>42848</v>
      </c>
      <c r="B2704" s="174" t="s">
        <v>14265</v>
      </c>
      <c r="C2704" s="175"/>
      <c r="D2704" s="176" t="s">
        <v>14265</v>
      </c>
      <c r="E2704" s="176">
        <v>109138</v>
      </c>
      <c r="F2704" s="177" t="s">
        <v>10</v>
      </c>
      <c r="G2704" s="178">
        <v>8176.2</v>
      </c>
      <c r="H2704" s="179">
        <v>42850</v>
      </c>
      <c r="I2704" s="178">
        <f t="shared" si="86"/>
        <v>8176.2</v>
      </c>
      <c r="J2704" s="178">
        <f t="shared" si="85"/>
        <v>0</v>
      </c>
      <c r="K2704" s="19"/>
    </row>
    <row r="2705" spans="1:11" x14ac:dyDescent="0.25">
      <c r="A2705" s="51">
        <v>42848</v>
      </c>
      <c r="B2705" s="174" t="s">
        <v>14266</v>
      </c>
      <c r="C2705" s="175"/>
      <c r="D2705" s="176" t="s">
        <v>14266</v>
      </c>
      <c r="E2705" s="176">
        <v>109139</v>
      </c>
      <c r="F2705" s="177" t="s">
        <v>470</v>
      </c>
      <c r="G2705" s="178">
        <v>7974</v>
      </c>
      <c r="H2705" s="179">
        <v>42849</v>
      </c>
      <c r="I2705" s="178">
        <f t="shared" si="86"/>
        <v>7974</v>
      </c>
      <c r="J2705" s="178">
        <f t="shared" si="85"/>
        <v>0</v>
      </c>
      <c r="K2705" s="19"/>
    </row>
    <row r="2706" spans="1:11" x14ac:dyDescent="0.25">
      <c r="A2706" s="51">
        <v>42848</v>
      </c>
      <c r="B2706" s="174" t="s">
        <v>14267</v>
      </c>
      <c r="C2706" s="175"/>
      <c r="D2706" s="176" t="s">
        <v>14267</v>
      </c>
      <c r="E2706" s="176">
        <v>109140</v>
      </c>
      <c r="F2706" s="177" t="s">
        <v>492</v>
      </c>
      <c r="G2706" s="178">
        <v>5745.6</v>
      </c>
      <c r="H2706" s="186">
        <v>42856</v>
      </c>
      <c r="I2706" s="187">
        <f t="shared" si="86"/>
        <v>5745.6</v>
      </c>
      <c r="J2706" s="178">
        <f t="shared" si="85"/>
        <v>0</v>
      </c>
      <c r="K2706" s="19"/>
    </row>
    <row r="2707" spans="1:11" x14ac:dyDescent="0.25">
      <c r="A2707" s="51">
        <v>42848</v>
      </c>
      <c r="B2707" s="174" t="s">
        <v>14268</v>
      </c>
      <c r="C2707" s="175"/>
      <c r="D2707" s="176" t="s">
        <v>14268</v>
      </c>
      <c r="E2707" s="176">
        <v>109141</v>
      </c>
      <c r="F2707" s="177" t="s">
        <v>231</v>
      </c>
      <c r="G2707" s="178">
        <v>2213.4</v>
      </c>
      <c r="H2707" s="179">
        <v>42849</v>
      </c>
      <c r="I2707" s="178">
        <f t="shared" si="86"/>
        <v>2213.4</v>
      </c>
      <c r="J2707" s="178">
        <f t="shared" si="85"/>
        <v>0</v>
      </c>
      <c r="K2707" s="19"/>
    </row>
    <row r="2708" spans="1:11" x14ac:dyDescent="0.25">
      <c r="A2708" s="51">
        <v>42848</v>
      </c>
      <c r="B2708" s="174" t="s">
        <v>14269</v>
      </c>
      <c r="C2708" s="175"/>
      <c r="D2708" s="176" t="s">
        <v>14269</v>
      </c>
      <c r="E2708" s="176">
        <v>109142</v>
      </c>
      <c r="F2708" s="177" t="s">
        <v>30</v>
      </c>
      <c r="G2708" s="178">
        <v>477.3</v>
      </c>
      <c r="H2708" s="179">
        <v>42848</v>
      </c>
      <c r="I2708" s="178">
        <f t="shared" si="86"/>
        <v>477.3</v>
      </c>
      <c r="J2708" s="178">
        <f t="shared" si="85"/>
        <v>0</v>
      </c>
      <c r="K2708" s="19"/>
    </row>
    <row r="2709" spans="1:11" x14ac:dyDescent="0.25">
      <c r="A2709" s="51">
        <v>42848</v>
      </c>
      <c r="B2709" s="174" t="s">
        <v>14270</v>
      </c>
      <c r="C2709" s="175"/>
      <c r="D2709" s="176" t="s">
        <v>14270</v>
      </c>
      <c r="E2709" s="176">
        <v>109143</v>
      </c>
      <c r="F2709" s="177" t="s">
        <v>531</v>
      </c>
      <c r="G2709" s="178">
        <v>28211.040000000001</v>
      </c>
      <c r="H2709" s="179">
        <v>42849</v>
      </c>
      <c r="I2709" s="178">
        <f t="shared" si="86"/>
        <v>28211.040000000001</v>
      </c>
      <c r="J2709" s="178">
        <f t="shared" si="85"/>
        <v>0</v>
      </c>
      <c r="K2709" s="19"/>
    </row>
    <row r="2710" spans="1:11" x14ac:dyDescent="0.25">
      <c r="A2710" s="51">
        <v>42848</v>
      </c>
      <c r="B2710" s="174" t="s">
        <v>14271</v>
      </c>
      <c r="C2710" s="175"/>
      <c r="D2710" s="176" t="s">
        <v>14271</v>
      </c>
      <c r="E2710" s="176">
        <v>109144</v>
      </c>
      <c r="F2710" s="177" t="s">
        <v>1925</v>
      </c>
      <c r="G2710" s="178">
        <v>466</v>
      </c>
      <c r="H2710" s="179">
        <v>42848</v>
      </c>
      <c r="I2710" s="178">
        <f t="shared" si="86"/>
        <v>466</v>
      </c>
      <c r="J2710" s="178">
        <f t="shared" si="85"/>
        <v>0</v>
      </c>
      <c r="K2710" s="19"/>
    </row>
    <row r="2711" spans="1:11" x14ac:dyDescent="0.25">
      <c r="A2711" s="51">
        <v>42848</v>
      </c>
      <c r="B2711" s="174" t="s">
        <v>14272</v>
      </c>
      <c r="C2711" s="175"/>
      <c r="D2711" s="176" t="s">
        <v>14272</v>
      </c>
      <c r="E2711" s="176">
        <v>109145</v>
      </c>
      <c r="F2711" s="177" t="s">
        <v>220</v>
      </c>
      <c r="G2711" s="178">
        <v>753.6</v>
      </c>
      <c r="H2711" s="186">
        <v>42851</v>
      </c>
      <c r="I2711" s="187">
        <f t="shared" si="86"/>
        <v>753.6</v>
      </c>
      <c r="J2711" s="178">
        <f t="shared" si="85"/>
        <v>0</v>
      </c>
      <c r="K2711" s="19"/>
    </row>
    <row r="2712" spans="1:11" x14ac:dyDescent="0.25">
      <c r="A2712" s="51">
        <v>42848</v>
      </c>
      <c r="B2712" s="174" t="s">
        <v>14273</v>
      </c>
      <c r="C2712" s="175"/>
      <c r="D2712" s="176" t="s">
        <v>14273</v>
      </c>
      <c r="E2712" s="176">
        <v>109146</v>
      </c>
      <c r="F2712" s="177" t="s">
        <v>30</v>
      </c>
      <c r="G2712" s="178">
        <v>72</v>
      </c>
      <c r="H2712" s="179">
        <v>42848</v>
      </c>
      <c r="I2712" s="178">
        <f t="shared" si="86"/>
        <v>72</v>
      </c>
      <c r="J2712" s="178">
        <f t="shared" si="85"/>
        <v>0</v>
      </c>
      <c r="K2712" s="19"/>
    </row>
    <row r="2713" spans="1:11" x14ac:dyDescent="0.25">
      <c r="A2713" s="51">
        <v>42848</v>
      </c>
      <c r="B2713" s="174" t="s">
        <v>14274</v>
      </c>
      <c r="C2713" s="175"/>
      <c r="D2713" s="176" t="s">
        <v>14274</v>
      </c>
      <c r="E2713" s="176">
        <v>109147</v>
      </c>
      <c r="F2713" s="177" t="s">
        <v>218</v>
      </c>
      <c r="G2713" s="178">
        <v>3704.8</v>
      </c>
      <c r="H2713" s="179">
        <v>42850</v>
      </c>
      <c r="I2713" s="178">
        <f t="shared" si="86"/>
        <v>3704.8</v>
      </c>
      <c r="J2713" s="178">
        <f t="shared" si="85"/>
        <v>0</v>
      </c>
      <c r="K2713" s="19"/>
    </row>
    <row r="2714" spans="1:11" x14ac:dyDescent="0.25">
      <c r="A2714" s="51">
        <v>42848</v>
      </c>
      <c r="B2714" s="174" t="s">
        <v>14275</v>
      </c>
      <c r="C2714" s="175"/>
      <c r="D2714" s="176" t="s">
        <v>14275</v>
      </c>
      <c r="E2714" s="176">
        <v>109148</v>
      </c>
      <c r="F2714" s="177" t="s">
        <v>9754</v>
      </c>
      <c r="G2714" s="178">
        <v>54914.8</v>
      </c>
      <c r="H2714" s="179">
        <v>42849</v>
      </c>
      <c r="I2714" s="178">
        <f t="shared" si="86"/>
        <v>54914.8</v>
      </c>
      <c r="J2714" s="178">
        <f t="shared" si="85"/>
        <v>0</v>
      </c>
      <c r="K2714" s="19"/>
    </row>
    <row r="2715" spans="1:11" x14ac:dyDescent="0.25">
      <c r="A2715" s="51">
        <v>42848</v>
      </c>
      <c r="B2715" s="174" t="s">
        <v>14276</v>
      </c>
      <c r="C2715" s="175"/>
      <c r="D2715" s="176" t="s">
        <v>14276</v>
      </c>
      <c r="E2715" s="176">
        <v>109149</v>
      </c>
      <c r="F2715" s="177" t="s">
        <v>12879</v>
      </c>
      <c r="G2715" s="178">
        <v>679.5</v>
      </c>
      <c r="H2715" s="179">
        <v>42849</v>
      </c>
      <c r="I2715" s="178">
        <f t="shared" si="86"/>
        <v>679.5</v>
      </c>
      <c r="J2715" s="178">
        <f t="shared" si="85"/>
        <v>0</v>
      </c>
      <c r="K2715" s="19"/>
    </row>
    <row r="2716" spans="1:11" x14ac:dyDescent="0.25">
      <c r="A2716" s="51">
        <v>42849</v>
      </c>
      <c r="B2716" s="174" t="s">
        <v>14277</v>
      </c>
      <c r="C2716" s="175"/>
      <c r="D2716" s="176" t="s">
        <v>14277</v>
      </c>
      <c r="E2716" s="176">
        <v>109150</v>
      </c>
      <c r="F2716" s="177" t="s">
        <v>231</v>
      </c>
      <c r="G2716" s="178">
        <v>5643.6</v>
      </c>
      <c r="H2716" s="179">
        <v>42850</v>
      </c>
      <c r="I2716" s="178">
        <f t="shared" si="86"/>
        <v>5643.6</v>
      </c>
      <c r="J2716" s="178">
        <f t="shared" si="85"/>
        <v>0</v>
      </c>
      <c r="K2716" s="19"/>
    </row>
    <row r="2717" spans="1:11" x14ac:dyDescent="0.25">
      <c r="A2717" s="51">
        <v>42849</v>
      </c>
      <c r="B2717" s="174" t="s">
        <v>14278</v>
      </c>
      <c r="C2717" s="175"/>
      <c r="D2717" s="176" t="s">
        <v>14278</v>
      </c>
      <c r="E2717" s="176">
        <v>109151</v>
      </c>
      <c r="F2717" s="177" t="s">
        <v>231</v>
      </c>
      <c r="G2717" s="178">
        <v>37360.300000000003</v>
      </c>
      <c r="H2717" s="186" t="s">
        <v>14076</v>
      </c>
      <c r="I2717" s="187">
        <f>32360+5000.3</f>
        <v>37360.300000000003</v>
      </c>
      <c r="J2717" s="178">
        <f t="shared" si="85"/>
        <v>0</v>
      </c>
      <c r="K2717" s="19"/>
    </row>
    <row r="2718" spans="1:11" ht="15.75" x14ac:dyDescent="0.25">
      <c r="A2718" s="51">
        <v>42849</v>
      </c>
      <c r="B2718" s="174" t="s">
        <v>14279</v>
      </c>
      <c r="C2718" s="175"/>
      <c r="D2718" s="176" t="s">
        <v>14279</v>
      </c>
      <c r="E2718" s="176">
        <v>109152</v>
      </c>
      <c r="F2718" s="189" t="s">
        <v>222</v>
      </c>
      <c r="G2718" s="190">
        <v>0</v>
      </c>
      <c r="H2718" s="185" t="s">
        <v>95</v>
      </c>
      <c r="I2718" s="181">
        <f t="shared" si="86"/>
        <v>0</v>
      </c>
      <c r="J2718" s="181">
        <f t="shared" si="85"/>
        <v>0</v>
      </c>
      <c r="K2718" s="19"/>
    </row>
    <row r="2719" spans="1:11" x14ac:dyDescent="0.25">
      <c r="A2719" s="51">
        <v>42849</v>
      </c>
      <c r="B2719" s="174" t="s">
        <v>14280</v>
      </c>
      <c r="C2719" s="175"/>
      <c r="D2719" s="176" t="s">
        <v>14280</v>
      </c>
      <c r="E2719" s="176">
        <v>109153</v>
      </c>
      <c r="F2719" s="177" t="s">
        <v>30</v>
      </c>
      <c r="G2719" s="178">
        <v>10215.6</v>
      </c>
      <c r="H2719" s="179">
        <v>42849</v>
      </c>
      <c r="I2719" s="178">
        <f t="shared" si="86"/>
        <v>10215.6</v>
      </c>
      <c r="J2719" s="178">
        <f t="shared" si="85"/>
        <v>0</v>
      </c>
      <c r="K2719" s="19"/>
    </row>
    <row r="2720" spans="1:11" x14ac:dyDescent="0.25">
      <c r="A2720" s="51">
        <v>42849</v>
      </c>
      <c r="B2720" s="174" t="s">
        <v>14281</v>
      </c>
      <c r="C2720" s="175"/>
      <c r="D2720" s="176" t="s">
        <v>14281</v>
      </c>
      <c r="E2720" s="176">
        <v>109154</v>
      </c>
      <c r="F2720" s="177" t="s">
        <v>264</v>
      </c>
      <c r="G2720" s="178">
        <v>12299</v>
      </c>
      <c r="H2720" s="179">
        <v>42849</v>
      </c>
      <c r="I2720" s="178">
        <f t="shared" si="86"/>
        <v>12299</v>
      </c>
      <c r="J2720" s="178">
        <f t="shared" si="85"/>
        <v>0</v>
      </c>
      <c r="K2720" s="19"/>
    </row>
    <row r="2721" spans="1:11" x14ac:dyDescent="0.25">
      <c r="A2721" s="51">
        <v>42849</v>
      </c>
      <c r="B2721" s="174" t="s">
        <v>14282</v>
      </c>
      <c r="C2721" s="175"/>
      <c r="D2721" s="176" t="s">
        <v>14282</v>
      </c>
      <c r="E2721" s="176">
        <v>109155</v>
      </c>
      <c r="F2721" s="177" t="s">
        <v>69</v>
      </c>
      <c r="G2721" s="178">
        <v>2549.9</v>
      </c>
      <c r="H2721" s="179">
        <v>42849</v>
      </c>
      <c r="I2721" s="178">
        <f t="shared" si="86"/>
        <v>2549.9</v>
      </c>
      <c r="J2721" s="178">
        <f t="shared" si="85"/>
        <v>0</v>
      </c>
      <c r="K2721" s="19"/>
    </row>
    <row r="2722" spans="1:11" x14ac:dyDescent="0.25">
      <c r="A2722" s="51">
        <v>42849</v>
      </c>
      <c r="B2722" s="174" t="s">
        <v>14283</v>
      </c>
      <c r="C2722" s="175"/>
      <c r="D2722" s="176" t="s">
        <v>14283</v>
      </c>
      <c r="E2722" s="176">
        <v>109156</v>
      </c>
      <c r="F2722" s="177" t="s">
        <v>1786</v>
      </c>
      <c r="G2722" s="178">
        <v>5894</v>
      </c>
      <c r="H2722" s="179">
        <v>42849</v>
      </c>
      <c r="I2722" s="178">
        <f t="shared" si="86"/>
        <v>5894</v>
      </c>
      <c r="J2722" s="178">
        <f t="shared" si="85"/>
        <v>0</v>
      </c>
      <c r="K2722" s="19"/>
    </row>
    <row r="2723" spans="1:11" x14ac:dyDescent="0.25">
      <c r="A2723" s="51">
        <v>42849</v>
      </c>
      <c r="B2723" s="174" t="s">
        <v>14284</v>
      </c>
      <c r="C2723" s="175"/>
      <c r="D2723" s="176" t="s">
        <v>14284</v>
      </c>
      <c r="E2723" s="176">
        <v>109157</v>
      </c>
      <c r="F2723" s="177" t="s">
        <v>17</v>
      </c>
      <c r="G2723" s="178">
        <v>1760</v>
      </c>
      <c r="H2723" s="179">
        <v>42849</v>
      </c>
      <c r="I2723" s="178">
        <f t="shared" si="86"/>
        <v>1760</v>
      </c>
      <c r="J2723" s="178">
        <f t="shared" si="85"/>
        <v>0</v>
      </c>
      <c r="K2723" s="19"/>
    </row>
    <row r="2724" spans="1:11" x14ac:dyDescent="0.25">
      <c r="A2724" s="51">
        <v>42849</v>
      </c>
      <c r="B2724" s="174" t="s">
        <v>14285</v>
      </c>
      <c r="C2724" s="175"/>
      <c r="D2724" s="176" t="s">
        <v>14285</v>
      </c>
      <c r="E2724" s="176">
        <v>109158</v>
      </c>
      <c r="F2724" s="177" t="s">
        <v>47</v>
      </c>
      <c r="G2724" s="178">
        <v>5527.1</v>
      </c>
      <c r="H2724" s="179">
        <v>42849</v>
      </c>
      <c r="I2724" s="178">
        <f t="shared" si="86"/>
        <v>5527.1</v>
      </c>
      <c r="J2724" s="178">
        <f t="shared" si="85"/>
        <v>0</v>
      </c>
      <c r="K2724" s="19"/>
    </row>
    <row r="2725" spans="1:11" x14ac:dyDescent="0.25">
      <c r="A2725" s="51">
        <v>42849</v>
      </c>
      <c r="B2725" s="174" t="s">
        <v>14286</v>
      </c>
      <c r="C2725" s="175"/>
      <c r="D2725" s="176" t="s">
        <v>14286</v>
      </c>
      <c r="E2725" s="176">
        <v>109159</v>
      </c>
      <c r="F2725" s="177" t="s">
        <v>28</v>
      </c>
      <c r="G2725" s="178">
        <v>8728</v>
      </c>
      <c r="H2725" s="179">
        <v>42849</v>
      </c>
      <c r="I2725" s="178">
        <f t="shared" si="86"/>
        <v>8728</v>
      </c>
      <c r="J2725" s="178">
        <f t="shared" si="85"/>
        <v>0</v>
      </c>
      <c r="K2725" s="19"/>
    </row>
    <row r="2726" spans="1:11" x14ac:dyDescent="0.25">
      <c r="A2726" s="51">
        <v>42849</v>
      </c>
      <c r="B2726" s="174" t="s">
        <v>14287</v>
      </c>
      <c r="C2726" s="175"/>
      <c r="D2726" s="176" t="s">
        <v>14287</v>
      </c>
      <c r="E2726" s="176">
        <v>109160</v>
      </c>
      <c r="F2726" s="177" t="s">
        <v>236</v>
      </c>
      <c r="G2726" s="178">
        <v>29043.919999999998</v>
      </c>
      <c r="H2726" s="184">
        <v>42854</v>
      </c>
      <c r="I2726" s="183">
        <f t="shared" si="86"/>
        <v>29043.919999999998</v>
      </c>
      <c r="J2726" s="178">
        <f t="shared" si="85"/>
        <v>0</v>
      </c>
      <c r="K2726" s="19"/>
    </row>
    <row r="2727" spans="1:11" x14ac:dyDescent="0.25">
      <c r="A2727" s="51">
        <v>42849</v>
      </c>
      <c r="B2727" s="174" t="s">
        <v>14288</v>
      </c>
      <c r="C2727" s="175"/>
      <c r="D2727" s="176" t="s">
        <v>14288</v>
      </c>
      <c r="E2727" s="176">
        <v>109161</v>
      </c>
      <c r="F2727" s="177" t="s">
        <v>30</v>
      </c>
      <c r="G2727" s="178">
        <v>1345.5</v>
      </c>
      <c r="H2727" s="179">
        <v>42849</v>
      </c>
      <c r="I2727" s="178">
        <f t="shared" si="86"/>
        <v>1345.5</v>
      </c>
      <c r="J2727" s="178">
        <f t="shared" si="85"/>
        <v>0</v>
      </c>
      <c r="K2727" s="19"/>
    </row>
    <row r="2728" spans="1:11" x14ac:dyDescent="0.25">
      <c r="A2728" s="51">
        <v>42849</v>
      </c>
      <c r="B2728" s="174" t="s">
        <v>14289</v>
      </c>
      <c r="C2728" s="175"/>
      <c r="D2728" s="176" t="s">
        <v>14289</v>
      </c>
      <c r="E2728" s="176">
        <v>109162</v>
      </c>
      <c r="F2728" s="177" t="s">
        <v>26</v>
      </c>
      <c r="G2728" s="178">
        <v>23327.3</v>
      </c>
      <c r="H2728" s="179">
        <v>42849</v>
      </c>
      <c r="I2728" s="178">
        <f t="shared" si="86"/>
        <v>23327.3</v>
      </c>
      <c r="J2728" s="178">
        <f t="shared" si="85"/>
        <v>0</v>
      </c>
      <c r="K2728" s="19"/>
    </row>
    <row r="2729" spans="1:11" x14ac:dyDescent="0.25">
      <c r="A2729" s="51">
        <v>42849</v>
      </c>
      <c r="B2729" s="174" t="s">
        <v>14290</v>
      </c>
      <c r="C2729" s="175"/>
      <c r="D2729" s="176" t="s">
        <v>14290</v>
      </c>
      <c r="E2729" s="176">
        <v>109163</v>
      </c>
      <c r="F2729" s="177" t="s">
        <v>21</v>
      </c>
      <c r="G2729" s="178">
        <v>39678.6</v>
      </c>
      <c r="H2729" s="186">
        <v>42866</v>
      </c>
      <c r="I2729" s="187">
        <f t="shared" si="86"/>
        <v>39678.6</v>
      </c>
      <c r="J2729" s="178">
        <f t="shared" si="85"/>
        <v>0</v>
      </c>
      <c r="K2729" s="19"/>
    </row>
    <row r="2730" spans="1:11" x14ac:dyDescent="0.25">
      <c r="A2730" s="51">
        <v>42849</v>
      </c>
      <c r="B2730" s="174" t="s">
        <v>14291</v>
      </c>
      <c r="C2730" s="175"/>
      <c r="D2730" s="176" t="s">
        <v>14291</v>
      </c>
      <c r="E2730" s="176">
        <v>109164</v>
      </c>
      <c r="F2730" s="177" t="s">
        <v>12879</v>
      </c>
      <c r="G2730" s="178">
        <v>2083.5</v>
      </c>
      <c r="H2730" s="179">
        <v>42849</v>
      </c>
      <c r="I2730" s="178">
        <f t="shared" si="86"/>
        <v>2083.5</v>
      </c>
      <c r="J2730" s="178">
        <f t="shared" si="85"/>
        <v>0</v>
      </c>
      <c r="K2730" s="19"/>
    </row>
    <row r="2731" spans="1:11" x14ac:dyDescent="0.25">
      <c r="A2731" s="51">
        <v>42849</v>
      </c>
      <c r="B2731" s="174" t="s">
        <v>14292</v>
      </c>
      <c r="C2731" s="175"/>
      <c r="D2731" s="176" t="s">
        <v>14292</v>
      </c>
      <c r="E2731" s="176">
        <v>109165</v>
      </c>
      <c r="F2731" s="177" t="s">
        <v>157</v>
      </c>
      <c r="G2731" s="178">
        <v>20951.259999999998</v>
      </c>
      <c r="H2731" s="179">
        <v>42849</v>
      </c>
      <c r="I2731" s="178">
        <f t="shared" si="86"/>
        <v>20951.259999999998</v>
      </c>
      <c r="J2731" s="178">
        <f t="shared" si="85"/>
        <v>0</v>
      </c>
      <c r="K2731" s="19"/>
    </row>
    <row r="2732" spans="1:11" x14ac:dyDescent="0.25">
      <c r="A2732" s="51">
        <v>42849</v>
      </c>
      <c r="B2732" s="174" t="s">
        <v>14293</v>
      </c>
      <c r="C2732" s="175"/>
      <c r="D2732" s="176" t="s">
        <v>14293</v>
      </c>
      <c r="E2732" s="176">
        <v>109166</v>
      </c>
      <c r="F2732" s="177" t="s">
        <v>103</v>
      </c>
      <c r="G2732" s="178">
        <v>2801.4</v>
      </c>
      <c r="H2732" s="184">
        <v>42852</v>
      </c>
      <c r="I2732" s="183">
        <f t="shared" si="86"/>
        <v>2801.4</v>
      </c>
      <c r="J2732" s="178">
        <f t="shared" si="85"/>
        <v>0</v>
      </c>
      <c r="K2732" s="19"/>
    </row>
    <row r="2733" spans="1:11" x14ac:dyDescent="0.25">
      <c r="A2733" s="51">
        <v>42849</v>
      </c>
      <c r="B2733" s="174" t="s">
        <v>14294</v>
      </c>
      <c r="C2733" s="175"/>
      <c r="D2733" s="176" t="s">
        <v>14294</v>
      </c>
      <c r="E2733" s="176">
        <v>109167</v>
      </c>
      <c r="F2733" s="177" t="s">
        <v>105</v>
      </c>
      <c r="G2733" s="178">
        <v>3528</v>
      </c>
      <c r="H2733" s="184">
        <v>42852</v>
      </c>
      <c r="I2733" s="183">
        <f t="shared" si="86"/>
        <v>3528</v>
      </c>
      <c r="J2733" s="178">
        <f t="shared" si="85"/>
        <v>0</v>
      </c>
      <c r="K2733" s="19"/>
    </row>
    <row r="2734" spans="1:11" x14ac:dyDescent="0.25">
      <c r="A2734" s="51">
        <v>42849</v>
      </c>
      <c r="B2734" s="174" t="s">
        <v>14295</v>
      </c>
      <c r="C2734" s="175"/>
      <c r="D2734" s="176" t="s">
        <v>14295</v>
      </c>
      <c r="E2734" s="176">
        <v>109168</v>
      </c>
      <c r="F2734" s="177" t="s">
        <v>509</v>
      </c>
      <c r="G2734" s="178">
        <v>26216</v>
      </c>
      <c r="H2734" s="186">
        <v>42861</v>
      </c>
      <c r="I2734" s="187">
        <f t="shared" si="86"/>
        <v>26216</v>
      </c>
      <c r="J2734" s="178">
        <f t="shared" si="85"/>
        <v>0</v>
      </c>
      <c r="K2734" s="19"/>
    </row>
    <row r="2735" spans="1:11" x14ac:dyDescent="0.25">
      <c r="A2735" s="51">
        <v>42849</v>
      </c>
      <c r="B2735" s="174" t="s">
        <v>14296</v>
      </c>
      <c r="C2735" s="175"/>
      <c r="D2735" s="176" t="s">
        <v>14296</v>
      </c>
      <c r="E2735" s="176">
        <v>109169</v>
      </c>
      <c r="F2735" s="177" t="s">
        <v>414</v>
      </c>
      <c r="G2735" s="178">
        <v>1721.5</v>
      </c>
      <c r="H2735" s="179">
        <v>42849</v>
      </c>
      <c r="I2735" s="178">
        <f t="shared" si="86"/>
        <v>1721.5</v>
      </c>
      <c r="J2735" s="178">
        <f t="shared" si="85"/>
        <v>0</v>
      </c>
      <c r="K2735" s="19"/>
    </row>
    <row r="2736" spans="1:11" x14ac:dyDescent="0.25">
      <c r="A2736" s="51">
        <v>42849</v>
      </c>
      <c r="B2736" s="174" t="s">
        <v>14297</v>
      </c>
      <c r="C2736" s="175"/>
      <c r="D2736" s="176" t="s">
        <v>14297</v>
      </c>
      <c r="E2736" s="176">
        <v>109170</v>
      </c>
      <c r="F2736" s="177" t="s">
        <v>71</v>
      </c>
      <c r="G2736" s="178">
        <v>1671</v>
      </c>
      <c r="H2736" s="179">
        <v>42849</v>
      </c>
      <c r="I2736" s="178">
        <f t="shared" si="86"/>
        <v>1671</v>
      </c>
      <c r="J2736" s="178">
        <f t="shared" si="85"/>
        <v>0</v>
      </c>
      <c r="K2736" s="19"/>
    </row>
    <row r="2737" spans="1:11" x14ac:dyDescent="0.25">
      <c r="A2737" s="51">
        <v>42849</v>
      </c>
      <c r="B2737" s="174" t="s">
        <v>14298</v>
      </c>
      <c r="C2737" s="175"/>
      <c r="D2737" s="176" t="s">
        <v>14298</v>
      </c>
      <c r="E2737" s="176">
        <v>109171</v>
      </c>
      <c r="F2737" s="177" t="s">
        <v>69</v>
      </c>
      <c r="G2737" s="178">
        <v>1682.1</v>
      </c>
      <c r="H2737" s="179">
        <v>42849</v>
      </c>
      <c r="I2737" s="178">
        <f t="shared" si="86"/>
        <v>1682.1</v>
      </c>
      <c r="J2737" s="178">
        <f t="shared" si="85"/>
        <v>0</v>
      </c>
      <c r="K2737" s="19"/>
    </row>
    <row r="2738" spans="1:11" x14ac:dyDescent="0.25">
      <c r="A2738" s="51">
        <v>42849</v>
      </c>
      <c r="B2738" s="174" t="s">
        <v>14299</v>
      </c>
      <c r="C2738" s="175"/>
      <c r="D2738" s="176" t="s">
        <v>14299</v>
      </c>
      <c r="E2738" s="176">
        <v>109172</v>
      </c>
      <c r="F2738" s="177" t="s">
        <v>81</v>
      </c>
      <c r="G2738" s="178">
        <v>3064.8</v>
      </c>
      <c r="H2738" s="179">
        <v>42849</v>
      </c>
      <c r="I2738" s="178">
        <f t="shared" si="86"/>
        <v>3064.8</v>
      </c>
      <c r="J2738" s="178">
        <f t="shared" si="85"/>
        <v>0</v>
      </c>
      <c r="K2738" s="19"/>
    </row>
    <row r="2739" spans="1:11" x14ac:dyDescent="0.25">
      <c r="A2739" s="51">
        <v>42849</v>
      </c>
      <c r="B2739" s="174" t="s">
        <v>14300</v>
      </c>
      <c r="C2739" s="175"/>
      <c r="D2739" s="176" t="s">
        <v>14300</v>
      </c>
      <c r="E2739" s="176">
        <v>109173</v>
      </c>
      <c r="F2739" s="177" t="s">
        <v>428</v>
      </c>
      <c r="G2739" s="178">
        <v>1544.4</v>
      </c>
      <c r="H2739" s="184">
        <v>42853</v>
      </c>
      <c r="I2739" s="183">
        <f t="shared" si="86"/>
        <v>1544.4</v>
      </c>
      <c r="J2739" s="178">
        <f t="shared" si="85"/>
        <v>0</v>
      </c>
      <c r="K2739" s="19"/>
    </row>
    <row r="2740" spans="1:11" x14ac:dyDescent="0.25">
      <c r="A2740" s="51">
        <v>42849</v>
      </c>
      <c r="B2740" s="174" t="s">
        <v>14301</v>
      </c>
      <c r="C2740" s="175"/>
      <c r="D2740" s="176" t="s">
        <v>14301</v>
      </c>
      <c r="E2740" s="176">
        <v>109174</v>
      </c>
      <c r="F2740" s="177" t="s">
        <v>222</v>
      </c>
      <c r="G2740" s="178">
        <v>21774.35</v>
      </c>
      <c r="H2740" s="184">
        <v>42852</v>
      </c>
      <c r="I2740" s="183">
        <f t="shared" si="86"/>
        <v>21774.35</v>
      </c>
      <c r="J2740" s="178">
        <f t="shared" si="85"/>
        <v>0</v>
      </c>
      <c r="K2740" s="19"/>
    </row>
    <row r="2741" spans="1:11" x14ac:dyDescent="0.25">
      <c r="A2741" s="51">
        <v>42849</v>
      </c>
      <c r="B2741" s="174" t="s">
        <v>14302</v>
      </c>
      <c r="C2741" s="175"/>
      <c r="D2741" s="176" t="s">
        <v>14302</v>
      </c>
      <c r="E2741" s="176">
        <v>109175</v>
      </c>
      <c r="F2741" s="177" t="s">
        <v>38</v>
      </c>
      <c r="G2741" s="178">
        <v>2811.6</v>
      </c>
      <c r="H2741" s="184">
        <v>42853</v>
      </c>
      <c r="I2741" s="183">
        <f t="shared" si="86"/>
        <v>2811.6</v>
      </c>
      <c r="J2741" s="178">
        <f t="shared" si="85"/>
        <v>0</v>
      </c>
      <c r="K2741" s="19"/>
    </row>
    <row r="2742" spans="1:11" x14ac:dyDescent="0.25">
      <c r="A2742" s="51">
        <v>42849</v>
      </c>
      <c r="B2742" s="174" t="s">
        <v>14303</v>
      </c>
      <c r="C2742" s="175"/>
      <c r="D2742" s="176" t="s">
        <v>14303</v>
      </c>
      <c r="E2742" s="176">
        <v>109176</v>
      </c>
      <c r="F2742" s="177" t="s">
        <v>35</v>
      </c>
      <c r="G2742" s="178">
        <v>8334.7999999999993</v>
      </c>
      <c r="H2742" s="186">
        <v>42851</v>
      </c>
      <c r="I2742" s="187">
        <f t="shared" si="86"/>
        <v>8334.7999999999993</v>
      </c>
      <c r="J2742" s="178">
        <f t="shared" si="85"/>
        <v>0</v>
      </c>
      <c r="K2742" s="19"/>
    </row>
    <row r="2743" spans="1:11" x14ac:dyDescent="0.25">
      <c r="A2743" s="51">
        <v>42849</v>
      </c>
      <c r="B2743" s="174" t="s">
        <v>14304</v>
      </c>
      <c r="C2743" s="175"/>
      <c r="D2743" s="176" t="s">
        <v>14304</v>
      </c>
      <c r="E2743" s="176">
        <v>109177</v>
      </c>
      <c r="F2743" s="177" t="s">
        <v>32</v>
      </c>
      <c r="G2743" s="178">
        <v>5768.7</v>
      </c>
      <c r="H2743" s="184">
        <v>42852</v>
      </c>
      <c r="I2743" s="183">
        <f t="shared" si="86"/>
        <v>5768.7</v>
      </c>
      <c r="J2743" s="178">
        <f t="shared" si="85"/>
        <v>0</v>
      </c>
      <c r="K2743" s="19"/>
    </row>
    <row r="2744" spans="1:11" x14ac:dyDescent="0.25">
      <c r="A2744" s="51">
        <v>42849</v>
      </c>
      <c r="B2744" s="174" t="s">
        <v>14305</v>
      </c>
      <c r="C2744" s="175"/>
      <c r="D2744" s="176" t="s">
        <v>14305</v>
      </c>
      <c r="E2744" s="176">
        <v>109178</v>
      </c>
      <c r="F2744" s="177" t="s">
        <v>51</v>
      </c>
      <c r="G2744" s="178">
        <v>6197.4</v>
      </c>
      <c r="H2744" s="186">
        <v>42851</v>
      </c>
      <c r="I2744" s="187">
        <f t="shared" si="86"/>
        <v>6197.4</v>
      </c>
      <c r="J2744" s="178">
        <f t="shared" si="85"/>
        <v>0</v>
      </c>
      <c r="K2744" s="19"/>
    </row>
    <row r="2745" spans="1:11" x14ac:dyDescent="0.25">
      <c r="A2745" s="51">
        <v>42849</v>
      </c>
      <c r="B2745" s="174" t="s">
        <v>14306</v>
      </c>
      <c r="C2745" s="175"/>
      <c r="D2745" s="176" t="s">
        <v>14306</v>
      </c>
      <c r="E2745" s="176">
        <v>109179</v>
      </c>
      <c r="F2745" s="177" t="s">
        <v>43</v>
      </c>
      <c r="G2745" s="178">
        <v>5401.8</v>
      </c>
      <c r="H2745" s="186">
        <v>42851</v>
      </c>
      <c r="I2745" s="187">
        <f t="shared" si="86"/>
        <v>5401.8</v>
      </c>
      <c r="J2745" s="178">
        <f t="shared" si="85"/>
        <v>0</v>
      </c>
      <c r="K2745" s="19"/>
    </row>
    <row r="2746" spans="1:11" x14ac:dyDescent="0.25">
      <c r="A2746" s="51">
        <v>42849</v>
      </c>
      <c r="B2746" s="174" t="s">
        <v>14307</v>
      </c>
      <c r="C2746" s="175"/>
      <c r="D2746" s="176" t="s">
        <v>14307</v>
      </c>
      <c r="E2746" s="176">
        <v>109180</v>
      </c>
      <c r="F2746" s="177" t="s">
        <v>264</v>
      </c>
      <c r="G2746" s="178">
        <v>3711.8</v>
      </c>
      <c r="H2746" s="179">
        <v>42849</v>
      </c>
      <c r="I2746" s="178">
        <f t="shared" si="86"/>
        <v>3711.8</v>
      </c>
      <c r="J2746" s="178">
        <f t="shared" si="85"/>
        <v>0</v>
      </c>
      <c r="K2746" s="19"/>
    </row>
    <row r="2747" spans="1:11" x14ac:dyDescent="0.25">
      <c r="A2747" s="51">
        <v>42849</v>
      </c>
      <c r="B2747" s="174" t="s">
        <v>14308</v>
      </c>
      <c r="C2747" s="175"/>
      <c r="D2747" s="176" t="s">
        <v>14308</v>
      </c>
      <c r="E2747" s="176">
        <v>109181</v>
      </c>
      <c r="F2747" s="177" t="s">
        <v>49</v>
      </c>
      <c r="G2747" s="178">
        <v>12058.2</v>
      </c>
      <c r="H2747" s="184">
        <v>42852</v>
      </c>
      <c r="I2747" s="183">
        <f t="shared" si="86"/>
        <v>12058.2</v>
      </c>
      <c r="J2747" s="178">
        <f t="shared" si="85"/>
        <v>0</v>
      </c>
      <c r="K2747" s="19"/>
    </row>
    <row r="2748" spans="1:11" x14ac:dyDescent="0.25">
      <c r="A2748" s="51">
        <v>42849</v>
      </c>
      <c r="B2748" s="174" t="s">
        <v>14309</v>
      </c>
      <c r="C2748" s="175"/>
      <c r="D2748" s="176" t="s">
        <v>14309</v>
      </c>
      <c r="E2748" s="176">
        <v>109182</v>
      </c>
      <c r="F2748" s="177" t="s">
        <v>53</v>
      </c>
      <c r="G2748" s="178">
        <v>1398.6</v>
      </c>
      <c r="H2748" s="179">
        <v>42849</v>
      </c>
      <c r="I2748" s="178">
        <f t="shared" si="86"/>
        <v>1398.6</v>
      </c>
      <c r="J2748" s="178">
        <f t="shared" si="85"/>
        <v>0</v>
      </c>
      <c r="K2748" s="19"/>
    </row>
    <row r="2749" spans="1:11" x14ac:dyDescent="0.25">
      <c r="A2749" s="51">
        <v>42849</v>
      </c>
      <c r="B2749" s="174" t="s">
        <v>14310</v>
      </c>
      <c r="C2749" s="175"/>
      <c r="D2749" s="176" t="s">
        <v>14310</v>
      </c>
      <c r="E2749" s="176">
        <v>109183</v>
      </c>
      <c r="F2749" s="177" t="s">
        <v>250</v>
      </c>
      <c r="G2749" s="178">
        <v>7326.4</v>
      </c>
      <c r="H2749" s="205" t="s">
        <v>15185</v>
      </c>
      <c r="I2749" s="206">
        <f>1000+5326.4</f>
        <v>6326.4</v>
      </c>
      <c r="J2749" s="206">
        <f t="shared" si="85"/>
        <v>1000</v>
      </c>
      <c r="K2749" s="19"/>
    </row>
    <row r="2750" spans="1:11" x14ac:dyDescent="0.25">
      <c r="A2750" s="51">
        <v>42849</v>
      </c>
      <c r="B2750" s="174" t="s">
        <v>14311</v>
      </c>
      <c r="C2750" s="175"/>
      <c r="D2750" s="176" t="s">
        <v>14311</v>
      </c>
      <c r="E2750" s="176">
        <v>109184</v>
      </c>
      <c r="F2750" s="177" t="s">
        <v>253</v>
      </c>
      <c r="G2750" s="178">
        <v>5609.2</v>
      </c>
      <c r="H2750" s="184" t="s">
        <v>14312</v>
      </c>
      <c r="I2750" s="183">
        <f>4000+1609.2</f>
        <v>5609.2</v>
      </c>
      <c r="J2750" s="178">
        <f t="shared" si="85"/>
        <v>0</v>
      </c>
      <c r="K2750" s="19"/>
    </row>
    <row r="2751" spans="1:11" x14ac:dyDescent="0.25">
      <c r="A2751" s="51">
        <v>42849</v>
      </c>
      <c r="B2751" s="174" t="s">
        <v>14313</v>
      </c>
      <c r="C2751" s="175"/>
      <c r="D2751" s="176" t="s">
        <v>14313</v>
      </c>
      <c r="E2751" s="176">
        <v>109185</v>
      </c>
      <c r="F2751" s="177" t="s">
        <v>208</v>
      </c>
      <c r="G2751" s="178">
        <v>10884</v>
      </c>
      <c r="H2751" s="179">
        <v>42849</v>
      </c>
      <c r="I2751" s="178">
        <f t="shared" si="86"/>
        <v>10884</v>
      </c>
      <c r="J2751" s="178">
        <f t="shared" si="85"/>
        <v>0</v>
      </c>
      <c r="K2751" s="19"/>
    </row>
    <row r="2752" spans="1:11" x14ac:dyDescent="0.25">
      <c r="A2752" s="51">
        <v>42849</v>
      </c>
      <c r="B2752" s="174" t="s">
        <v>14314</v>
      </c>
      <c r="C2752" s="175"/>
      <c r="D2752" s="176" t="s">
        <v>14314</v>
      </c>
      <c r="E2752" s="176">
        <v>109186</v>
      </c>
      <c r="F2752" s="177" t="s">
        <v>55</v>
      </c>
      <c r="G2752" s="178">
        <v>5447.4</v>
      </c>
      <c r="H2752" s="179">
        <v>42849</v>
      </c>
      <c r="I2752" s="178">
        <f t="shared" si="86"/>
        <v>5447.4</v>
      </c>
      <c r="J2752" s="178">
        <f t="shared" si="85"/>
        <v>0</v>
      </c>
      <c r="K2752" s="19"/>
    </row>
    <row r="2753" spans="1:11" x14ac:dyDescent="0.25">
      <c r="A2753" s="51">
        <v>42849</v>
      </c>
      <c r="B2753" s="174" t="s">
        <v>14315</v>
      </c>
      <c r="C2753" s="175"/>
      <c r="D2753" s="176" t="s">
        <v>14315</v>
      </c>
      <c r="E2753" s="176">
        <v>109187</v>
      </c>
      <c r="F2753" s="177" t="s">
        <v>250</v>
      </c>
      <c r="G2753" s="178">
        <v>221</v>
      </c>
      <c r="H2753" s="179">
        <v>42850</v>
      </c>
      <c r="I2753" s="178">
        <f t="shared" si="86"/>
        <v>221</v>
      </c>
      <c r="J2753" s="178">
        <f t="shared" si="85"/>
        <v>0</v>
      </c>
      <c r="K2753" s="19"/>
    </row>
    <row r="2754" spans="1:11" x14ac:dyDescent="0.25">
      <c r="A2754" s="51">
        <v>42849</v>
      </c>
      <c r="B2754" s="174" t="s">
        <v>14316</v>
      </c>
      <c r="C2754" s="175"/>
      <c r="D2754" s="176" t="s">
        <v>14316</v>
      </c>
      <c r="E2754" s="176">
        <v>109188</v>
      </c>
      <c r="F2754" s="177" t="s">
        <v>40</v>
      </c>
      <c r="G2754" s="178">
        <v>3376.2</v>
      </c>
      <c r="H2754" s="184">
        <v>42853</v>
      </c>
      <c r="I2754" s="183">
        <f t="shared" si="86"/>
        <v>3376.2</v>
      </c>
      <c r="J2754" s="178">
        <f t="shared" si="85"/>
        <v>0</v>
      </c>
      <c r="K2754" s="19"/>
    </row>
    <row r="2755" spans="1:11" x14ac:dyDescent="0.25">
      <c r="A2755" s="51">
        <v>42849</v>
      </c>
      <c r="B2755" s="174" t="s">
        <v>14317</v>
      </c>
      <c r="C2755" s="175"/>
      <c r="D2755" s="176" t="s">
        <v>14317</v>
      </c>
      <c r="E2755" s="176">
        <v>109189</v>
      </c>
      <c r="F2755" s="177" t="s">
        <v>149</v>
      </c>
      <c r="G2755" s="178">
        <v>533.5</v>
      </c>
      <c r="H2755" s="179">
        <v>42849</v>
      </c>
      <c r="I2755" s="178">
        <f t="shared" si="86"/>
        <v>533.5</v>
      </c>
      <c r="J2755" s="178">
        <f t="shared" si="85"/>
        <v>0</v>
      </c>
      <c r="K2755" s="19"/>
    </row>
    <row r="2756" spans="1:11" x14ac:dyDescent="0.25">
      <c r="A2756" s="51">
        <v>42849</v>
      </c>
      <c r="B2756" s="174" t="s">
        <v>14318</v>
      </c>
      <c r="C2756" s="175"/>
      <c r="D2756" s="176" t="s">
        <v>14318</v>
      </c>
      <c r="E2756" s="176">
        <v>109190</v>
      </c>
      <c r="F2756" s="177" t="s">
        <v>1870</v>
      </c>
      <c r="G2756" s="178">
        <v>909.3</v>
      </c>
      <c r="H2756" s="179">
        <v>42849</v>
      </c>
      <c r="I2756" s="178">
        <f t="shared" si="86"/>
        <v>909.3</v>
      </c>
      <c r="J2756" s="178">
        <f t="shared" ref="J2756:J2819" si="87">G2756-I2756</f>
        <v>0</v>
      </c>
      <c r="K2756" s="19"/>
    </row>
    <row r="2757" spans="1:11" x14ac:dyDescent="0.25">
      <c r="A2757" s="51">
        <v>42849</v>
      </c>
      <c r="B2757" s="174" t="s">
        <v>14319</v>
      </c>
      <c r="C2757" s="175"/>
      <c r="D2757" s="176" t="s">
        <v>14319</v>
      </c>
      <c r="E2757" s="176">
        <v>109191</v>
      </c>
      <c r="F2757" s="177" t="s">
        <v>331</v>
      </c>
      <c r="G2757" s="178">
        <v>1499.4</v>
      </c>
      <c r="H2757" s="179">
        <v>42849</v>
      </c>
      <c r="I2757" s="178">
        <f t="shared" ref="I2757:I2820" si="88">G2757</f>
        <v>1499.4</v>
      </c>
      <c r="J2757" s="178">
        <f t="shared" si="87"/>
        <v>0</v>
      </c>
      <c r="K2757" s="19"/>
    </row>
    <row r="2758" spans="1:11" x14ac:dyDescent="0.25">
      <c r="A2758" s="51">
        <v>42849</v>
      </c>
      <c r="B2758" s="174" t="s">
        <v>14320</v>
      </c>
      <c r="C2758" s="175"/>
      <c r="D2758" s="176" t="s">
        <v>14320</v>
      </c>
      <c r="E2758" s="176">
        <v>109192</v>
      </c>
      <c r="F2758" s="177" t="s">
        <v>63</v>
      </c>
      <c r="G2758" s="178">
        <v>1141.2</v>
      </c>
      <c r="H2758" s="179">
        <v>42849</v>
      </c>
      <c r="I2758" s="178">
        <f t="shared" si="88"/>
        <v>1141.2</v>
      </c>
      <c r="J2758" s="178">
        <f t="shared" si="87"/>
        <v>0</v>
      </c>
      <c r="K2758" s="19"/>
    </row>
    <row r="2759" spans="1:11" x14ac:dyDescent="0.25">
      <c r="A2759" s="51">
        <v>42849</v>
      </c>
      <c r="B2759" s="174" t="s">
        <v>14321</v>
      </c>
      <c r="C2759" s="175"/>
      <c r="D2759" s="176" t="s">
        <v>14321</v>
      </c>
      <c r="E2759" s="176">
        <v>109193</v>
      </c>
      <c r="F2759" s="177" t="s">
        <v>198</v>
      </c>
      <c r="G2759" s="178">
        <v>2388.6</v>
      </c>
      <c r="H2759" s="179">
        <v>42849</v>
      </c>
      <c r="I2759" s="178">
        <f t="shared" si="88"/>
        <v>2388.6</v>
      </c>
      <c r="J2759" s="178">
        <f t="shared" si="87"/>
        <v>0</v>
      </c>
      <c r="K2759" s="19"/>
    </row>
    <row r="2760" spans="1:11" x14ac:dyDescent="0.25">
      <c r="A2760" s="51">
        <v>42849</v>
      </c>
      <c r="B2760" s="174" t="s">
        <v>14322</v>
      </c>
      <c r="C2760" s="175"/>
      <c r="D2760" s="176" t="s">
        <v>14322</v>
      </c>
      <c r="E2760" s="176">
        <v>109194</v>
      </c>
      <c r="F2760" s="182" t="s">
        <v>331</v>
      </c>
      <c r="G2760" s="183">
        <v>0</v>
      </c>
      <c r="H2760" s="184" t="s">
        <v>95</v>
      </c>
      <c r="I2760" s="183">
        <f t="shared" si="88"/>
        <v>0</v>
      </c>
      <c r="J2760" s="183">
        <f t="shared" si="87"/>
        <v>0</v>
      </c>
      <c r="K2760" s="19"/>
    </row>
    <row r="2761" spans="1:11" x14ac:dyDescent="0.25">
      <c r="A2761" s="51">
        <v>42849</v>
      </c>
      <c r="B2761" s="174" t="s">
        <v>14323</v>
      </c>
      <c r="C2761" s="175"/>
      <c r="D2761" s="176" t="s">
        <v>14323</v>
      </c>
      <c r="E2761" s="176">
        <v>109195</v>
      </c>
      <c r="F2761" s="182" t="s">
        <v>289</v>
      </c>
      <c r="G2761" s="187">
        <v>71567.81</v>
      </c>
      <c r="H2761" s="186">
        <v>42868</v>
      </c>
      <c r="I2761" s="187">
        <f t="shared" si="88"/>
        <v>71567.81</v>
      </c>
      <c r="J2761" s="204">
        <f t="shared" si="87"/>
        <v>0</v>
      </c>
      <c r="K2761" s="19"/>
    </row>
    <row r="2762" spans="1:11" x14ac:dyDescent="0.25">
      <c r="A2762" s="51">
        <v>42849</v>
      </c>
      <c r="B2762" s="174" t="s">
        <v>14324</v>
      </c>
      <c r="C2762" s="175"/>
      <c r="D2762" s="176" t="s">
        <v>14324</v>
      </c>
      <c r="E2762" s="176">
        <v>109196</v>
      </c>
      <c r="F2762" s="177" t="s">
        <v>3425</v>
      </c>
      <c r="G2762" s="178">
        <v>1016</v>
      </c>
      <c r="H2762" s="179">
        <v>42849</v>
      </c>
      <c r="I2762" s="178">
        <f t="shared" si="88"/>
        <v>1016</v>
      </c>
      <c r="J2762" s="178">
        <f t="shared" si="87"/>
        <v>0</v>
      </c>
      <c r="K2762" s="19"/>
    </row>
    <row r="2763" spans="1:11" x14ac:dyDescent="0.25">
      <c r="A2763" s="51">
        <v>42849</v>
      </c>
      <c r="B2763" s="174" t="s">
        <v>14325</v>
      </c>
      <c r="C2763" s="175"/>
      <c r="D2763" s="176" t="s">
        <v>14325</v>
      </c>
      <c r="E2763" s="176">
        <v>109197</v>
      </c>
      <c r="F2763" s="177" t="s">
        <v>61</v>
      </c>
      <c r="G2763" s="178">
        <v>12051.6</v>
      </c>
      <c r="H2763" s="179">
        <v>42849</v>
      </c>
      <c r="I2763" s="178">
        <f t="shared" si="88"/>
        <v>12051.6</v>
      </c>
      <c r="J2763" s="178">
        <f t="shared" si="87"/>
        <v>0</v>
      </c>
      <c r="K2763" s="19"/>
    </row>
    <row r="2764" spans="1:11" x14ac:dyDescent="0.25">
      <c r="A2764" s="51">
        <v>42849</v>
      </c>
      <c r="B2764" s="174" t="s">
        <v>14326</v>
      </c>
      <c r="C2764" s="175"/>
      <c r="D2764" s="176" t="s">
        <v>14326</v>
      </c>
      <c r="E2764" s="176">
        <v>109198</v>
      </c>
      <c r="F2764" s="177" t="s">
        <v>188</v>
      </c>
      <c r="G2764" s="178">
        <v>6208.5</v>
      </c>
      <c r="H2764" s="179">
        <v>42849</v>
      </c>
      <c r="I2764" s="178">
        <f t="shared" si="88"/>
        <v>6208.5</v>
      </c>
      <c r="J2764" s="178">
        <f t="shared" si="87"/>
        <v>0</v>
      </c>
      <c r="K2764" s="19"/>
    </row>
    <row r="2765" spans="1:11" x14ac:dyDescent="0.25">
      <c r="A2765" s="51">
        <v>42849</v>
      </c>
      <c r="B2765" s="174" t="s">
        <v>14327</v>
      </c>
      <c r="C2765" s="175"/>
      <c r="D2765" s="176" t="s">
        <v>14327</v>
      </c>
      <c r="E2765" s="176">
        <v>109199</v>
      </c>
      <c r="F2765" s="177" t="s">
        <v>184</v>
      </c>
      <c r="G2765" s="178">
        <v>2956.2</v>
      </c>
      <c r="H2765" s="184">
        <v>42852</v>
      </c>
      <c r="I2765" s="183">
        <f t="shared" si="88"/>
        <v>2956.2</v>
      </c>
      <c r="J2765" s="178">
        <f t="shared" si="87"/>
        <v>0</v>
      </c>
      <c r="K2765" s="19"/>
    </row>
    <row r="2766" spans="1:11" x14ac:dyDescent="0.25">
      <c r="A2766" s="51">
        <v>42849</v>
      </c>
      <c r="B2766" s="174" t="s">
        <v>14328</v>
      </c>
      <c r="C2766" s="175"/>
      <c r="D2766" s="176" t="s">
        <v>14328</v>
      </c>
      <c r="E2766" s="176">
        <v>109200</v>
      </c>
      <c r="F2766" s="177" t="s">
        <v>186</v>
      </c>
      <c r="G2766" s="178">
        <v>2629.2</v>
      </c>
      <c r="H2766" s="184">
        <v>42854</v>
      </c>
      <c r="I2766" s="183">
        <f t="shared" si="88"/>
        <v>2629.2</v>
      </c>
      <c r="J2766" s="178">
        <f t="shared" si="87"/>
        <v>0</v>
      </c>
      <c r="K2766" s="19"/>
    </row>
    <row r="2767" spans="1:11" x14ac:dyDescent="0.25">
      <c r="A2767" s="51">
        <v>42849</v>
      </c>
      <c r="B2767" s="174" t="s">
        <v>14329</v>
      </c>
      <c r="C2767" s="175"/>
      <c r="D2767" s="176" t="s">
        <v>14329</v>
      </c>
      <c r="E2767" s="176">
        <v>109201</v>
      </c>
      <c r="F2767" s="177" t="s">
        <v>335</v>
      </c>
      <c r="G2767" s="178">
        <v>1390.2</v>
      </c>
      <c r="H2767" s="186">
        <v>42859</v>
      </c>
      <c r="I2767" s="187">
        <f t="shared" si="88"/>
        <v>1390.2</v>
      </c>
      <c r="J2767" s="178">
        <f t="shared" si="87"/>
        <v>0</v>
      </c>
      <c r="K2767" s="19"/>
    </row>
    <row r="2768" spans="1:11" x14ac:dyDescent="0.25">
      <c r="A2768" s="51">
        <v>42849</v>
      </c>
      <c r="B2768" s="174" t="s">
        <v>14330</v>
      </c>
      <c r="C2768" s="175"/>
      <c r="D2768" s="176" t="s">
        <v>14330</v>
      </c>
      <c r="E2768" s="176">
        <v>109202</v>
      </c>
      <c r="F2768" s="177" t="s">
        <v>79</v>
      </c>
      <c r="G2768" s="178">
        <v>1297.8</v>
      </c>
      <c r="H2768" s="179">
        <v>42849</v>
      </c>
      <c r="I2768" s="178">
        <f t="shared" si="88"/>
        <v>1297.8</v>
      </c>
      <c r="J2768" s="178">
        <f t="shared" si="87"/>
        <v>0</v>
      </c>
      <c r="K2768" s="19"/>
    </row>
    <row r="2769" spans="1:11" x14ac:dyDescent="0.25">
      <c r="A2769" s="51">
        <v>42849</v>
      </c>
      <c r="B2769" s="174" t="s">
        <v>14331</v>
      </c>
      <c r="C2769" s="175"/>
      <c r="D2769" s="176" t="s">
        <v>14331</v>
      </c>
      <c r="E2769" s="176">
        <v>109203</v>
      </c>
      <c r="F2769" s="182" t="s">
        <v>240</v>
      </c>
      <c r="G2769" s="183">
        <v>0</v>
      </c>
      <c r="H2769" s="184" t="s">
        <v>95</v>
      </c>
      <c r="I2769" s="183">
        <f t="shared" si="88"/>
        <v>0</v>
      </c>
      <c r="J2769" s="183">
        <f t="shared" si="87"/>
        <v>0</v>
      </c>
      <c r="K2769" s="19"/>
    </row>
    <row r="2770" spans="1:11" x14ac:dyDescent="0.25">
      <c r="A2770" s="51">
        <v>42849</v>
      </c>
      <c r="B2770" s="174" t="s">
        <v>14332</v>
      </c>
      <c r="C2770" s="175"/>
      <c r="D2770" s="176" t="s">
        <v>14332</v>
      </c>
      <c r="E2770" s="176">
        <v>109204</v>
      </c>
      <c r="F2770" s="177" t="s">
        <v>240</v>
      </c>
      <c r="G2770" s="178">
        <v>258.39999999999998</v>
      </c>
      <c r="H2770" s="179">
        <v>42849</v>
      </c>
      <c r="I2770" s="178">
        <f t="shared" si="88"/>
        <v>258.39999999999998</v>
      </c>
      <c r="J2770" s="178">
        <f t="shared" si="87"/>
        <v>0</v>
      </c>
      <c r="K2770" s="19"/>
    </row>
    <row r="2771" spans="1:11" x14ac:dyDescent="0.25">
      <c r="A2771" s="51">
        <v>42849</v>
      </c>
      <c r="B2771" s="174" t="s">
        <v>14333</v>
      </c>
      <c r="C2771" s="175"/>
      <c r="D2771" s="176" t="s">
        <v>14333</v>
      </c>
      <c r="E2771" s="176">
        <v>109205</v>
      </c>
      <c r="F2771" s="177" t="s">
        <v>240</v>
      </c>
      <c r="G2771" s="178">
        <v>12868.2</v>
      </c>
      <c r="H2771" s="179">
        <v>42849</v>
      </c>
      <c r="I2771" s="178">
        <f t="shared" si="88"/>
        <v>12868.2</v>
      </c>
      <c r="J2771" s="178">
        <f t="shared" si="87"/>
        <v>0</v>
      </c>
      <c r="K2771" s="19"/>
    </row>
    <row r="2772" spans="1:11" x14ac:dyDescent="0.25">
      <c r="A2772" s="51">
        <v>42849</v>
      </c>
      <c r="B2772" s="174" t="s">
        <v>14334</v>
      </c>
      <c r="C2772" s="175"/>
      <c r="D2772" s="176" t="s">
        <v>14334</v>
      </c>
      <c r="E2772" s="176">
        <v>109206</v>
      </c>
      <c r="F2772" s="182" t="s">
        <v>3997</v>
      </c>
      <c r="G2772" s="183">
        <v>0</v>
      </c>
      <c r="H2772" s="184" t="s">
        <v>95</v>
      </c>
      <c r="I2772" s="183">
        <f t="shared" si="88"/>
        <v>0</v>
      </c>
      <c r="J2772" s="183">
        <f t="shared" si="87"/>
        <v>0</v>
      </c>
      <c r="K2772" s="19"/>
    </row>
    <row r="2773" spans="1:11" x14ac:dyDescent="0.25">
      <c r="A2773" s="51">
        <v>42849</v>
      </c>
      <c r="B2773" s="174" t="s">
        <v>14335</v>
      </c>
      <c r="C2773" s="175"/>
      <c r="D2773" s="176" t="s">
        <v>14335</v>
      </c>
      <c r="E2773" s="176">
        <v>109207</v>
      </c>
      <c r="F2773" s="177" t="s">
        <v>19</v>
      </c>
      <c r="G2773" s="178">
        <v>1100</v>
      </c>
      <c r="H2773" s="179">
        <v>42849</v>
      </c>
      <c r="I2773" s="178">
        <f t="shared" si="88"/>
        <v>1100</v>
      </c>
      <c r="J2773" s="178">
        <f t="shared" si="87"/>
        <v>0</v>
      </c>
      <c r="K2773" s="19"/>
    </row>
    <row r="2774" spans="1:11" x14ac:dyDescent="0.25">
      <c r="A2774" s="51">
        <v>42849</v>
      </c>
      <c r="B2774" s="174" t="s">
        <v>14336</v>
      </c>
      <c r="C2774" s="175"/>
      <c r="D2774" s="176" t="s">
        <v>14336</v>
      </c>
      <c r="E2774" s="176">
        <v>109208</v>
      </c>
      <c r="F2774" s="177" t="s">
        <v>143</v>
      </c>
      <c r="G2774" s="178">
        <v>351</v>
      </c>
      <c r="H2774" s="179">
        <v>42849</v>
      </c>
      <c r="I2774" s="178">
        <f t="shared" si="88"/>
        <v>351</v>
      </c>
      <c r="J2774" s="178">
        <f t="shared" si="87"/>
        <v>0</v>
      </c>
      <c r="K2774" s="19"/>
    </row>
    <row r="2775" spans="1:11" x14ac:dyDescent="0.25">
      <c r="A2775" s="51">
        <v>42849</v>
      </c>
      <c r="B2775" s="174" t="s">
        <v>14337</v>
      </c>
      <c r="C2775" s="175"/>
      <c r="D2775" s="176" t="s">
        <v>14337</v>
      </c>
      <c r="E2775" s="176">
        <v>109209</v>
      </c>
      <c r="F2775" s="177" t="s">
        <v>2986</v>
      </c>
      <c r="G2775" s="178">
        <v>5670</v>
      </c>
      <c r="H2775" s="179">
        <v>42849</v>
      </c>
      <c r="I2775" s="178">
        <f t="shared" si="88"/>
        <v>5670</v>
      </c>
      <c r="J2775" s="178">
        <f t="shared" si="87"/>
        <v>0</v>
      </c>
      <c r="K2775" s="19"/>
    </row>
    <row r="2776" spans="1:11" x14ac:dyDescent="0.25">
      <c r="A2776" s="51">
        <v>42849</v>
      </c>
      <c r="B2776" s="174" t="s">
        <v>14338</v>
      </c>
      <c r="C2776" s="175"/>
      <c r="D2776" s="176" t="s">
        <v>14338</v>
      </c>
      <c r="E2776" s="176">
        <v>109210</v>
      </c>
      <c r="F2776" s="177" t="s">
        <v>1116</v>
      </c>
      <c r="G2776" s="178">
        <v>1669.2</v>
      </c>
      <c r="H2776" s="186">
        <v>42851</v>
      </c>
      <c r="I2776" s="187">
        <f t="shared" si="88"/>
        <v>1669.2</v>
      </c>
      <c r="J2776" s="178">
        <f t="shared" si="87"/>
        <v>0</v>
      </c>
      <c r="K2776" s="19"/>
    </row>
    <row r="2777" spans="1:11" x14ac:dyDescent="0.25">
      <c r="A2777" s="51">
        <v>42849</v>
      </c>
      <c r="B2777" s="174" t="s">
        <v>14339</v>
      </c>
      <c r="C2777" s="175"/>
      <c r="D2777" s="176" t="s">
        <v>14339</v>
      </c>
      <c r="E2777" s="176">
        <v>109211</v>
      </c>
      <c r="F2777" s="177" t="s">
        <v>476</v>
      </c>
      <c r="G2777" s="178">
        <v>18692.2</v>
      </c>
      <c r="H2777" s="186">
        <v>42856</v>
      </c>
      <c r="I2777" s="187">
        <f t="shared" si="88"/>
        <v>18692.2</v>
      </c>
      <c r="J2777" s="178">
        <f t="shared" si="87"/>
        <v>0</v>
      </c>
      <c r="K2777" s="19"/>
    </row>
    <row r="2778" spans="1:11" x14ac:dyDescent="0.25">
      <c r="A2778" s="51">
        <v>42849</v>
      </c>
      <c r="B2778" s="174" t="s">
        <v>14340</v>
      </c>
      <c r="C2778" s="175"/>
      <c r="D2778" s="176" t="s">
        <v>14340</v>
      </c>
      <c r="E2778" s="176">
        <v>109212</v>
      </c>
      <c r="F2778" s="177" t="s">
        <v>305</v>
      </c>
      <c r="G2778" s="178">
        <v>5253</v>
      </c>
      <c r="H2778" s="179">
        <v>42849</v>
      </c>
      <c r="I2778" s="178">
        <f t="shared" si="88"/>
        <v>5253</v>
      </c>
      <c r="J2778" s="178">
        <f t="shared" si="87"/>
        <v>0</v>
      </c>
      <c r="K2778" s="19"/>
    </row>
    <row r="2779" spans="1:11" x14ac:dyDescent="0.25">
      <c r="A2779" s="51">
        <v>42849</v>
      </c>
      <c r="B2779" s="174" t="s">
        <v>14341</v>
      </c>
      <c r="C2779" s="175"/>
      <c r="D2779" s="176" t="s">
        <v>14341</v>
      </c>
      <c r="E2779" s="176">
        <v>109213</v>
      </c>
      <c r="F2779" s="177" t="s">
        <v>30</v>
      </c>
      <c r="G2779" s="178">
        <v>2888</v>
      </c>
      <c r="H2779" s="179">
        <v>42849</v>
      </c>
      <c r="I2779" s="178">
        <f t="shared" si="88"/>
        <v>2888</v>
      </c>
      <c r="J2779" s="178">
        <f t="shared" si="87"/>
        <v>0</v>
      </c>
      <c r="K2779" s="19"/>
    </row>
    <row r="2780" spans="1:11" x14ac:dyDescent="0.25">
      <c r="A2780" s="51">
        <v>42849</v>
      </c>
      <c r="B2780" s="174" t="s">
        <v>14342</v>
      </c>
      <c r="C2780" s="175"/>
      <c r="D2780" s="176" t="s">
        <v>14342</v>
      </c>
      <c r="E2780" s="176">
        <v>109214</v>
      </c>
      <c r="F2780" s="177" t="s">
        <v>196</v>
      </c>
      <c r="G2780" s="178">
        <v>5163.5</v>
      </c>
      <c r="H2780" s="179">
        <v>42849</v>
      </c>
      <c r="I2780" s="178">
        <f t="shared" si="88"/>
        <v>5163.5</v>
      </c>
      <c r="J2780" s="178">
        <f t="shared" si="87"/>
        <v>0</v>
      </c>
      <c r="K2780" s="19"/>
    </row>
    <row r="2781" spans="1:11" x14ac:dyDescent="0.25">
      <c r="A2781" s="51">
        <v>42849</v>
      </c>
      <c r="B2781" s="174" t="s">
        <v>14343</v>
      </c>
      <c r="C2781" s="175"/>
      <c r="D2781" s="176" t="s">
        <v>14343</v>
      </c>
      <c r="E2781" s="176">
        <v>109215</v>
      </c>
      <c r="F2781" s="177" t="s">
        <v>1256</v>
      </c>
      <c r="G2781" s="178">
        <v>2898.4</v>
      </c>
      <c r="H2781" s="186" t="s">
        <v>15187</v>
      </c>
      <c r="I2781" s="187">
        <f>500+500+1898.4</f>
        <v>2898.4</v>
      </c>
      <c r="J2781" s="178">
        <f t="shared" si="87"/>
        <v>0</v>
      </c>
      <c r="K2781" s="19"/>
    </row>
    <row r="2782" spans="1:11" x14ac:dyDescent="0.25">
      <c r="A2782" s="51">
        <v>42849</v>
      </c>
      <c r="B2782" s="174" t="s">
        <v>14344</v>
      </c>
      <c r="C2782" s="175"/>
      <c r="D2782" s="176" t="s">
        <v>14344</v>
      </c>
      <c r="E2782" s="176">
        <v>109216</v>
      </c>
      <c r="F2782" s="177" t="s">
        <v>101</v>
      </c>
      <c r="G2782" s="178">
        <v>660</v>
      </c>
      <c r="H2782" s="186">
        <v>42851</v>
      </c>
      <c r="I2782" s="187">
        <f t="shared" si="88"/>
        <v>660</v>
      </c>
      <c r="J2782" s="178">
        <f t="shared" si="87"/>
        <v>0</v>
      </c>
      <c r="K2782" s="19"/>
    </row>
    <row r="2783" spans="1:11" x14ac:dyDescent="0.25">
      <c r="A2783" s="51">
        <v>42849</v>
      </c>
      <c r="B2783" s="174" t="s">
        <v>14345</v>
      </c>
      <c r="C2783" s="175"/>
      <c r="D2783" s="176" t="s">
        <v>14345</v>
      </c>
      <c r="E2783" s="176">
        <v>109217</v>
      </c>
      <c r="F2783" s="177" t="s">
        <v>99</v>
      </c>
      <c r="G2783" s="178">
        <v>1980</v>
      </c>
      <c r="H2783" s="186">
        <v>42851</v>
      </c>
      <c r="I2783" s="187">
        <f t="shared" si="88"/>
        <v>1980</v>
      </c>
      <c r="J2783" s="178">
        <f t="shared" si="87"/>
        <v>0</v>
      </c>
      <c r="K2783" s="19"/>
    </row>
    <row r="2784" spans="1:11" x14ac:dyDescent="0.25">
      <c r="A2784" s="51">
        <v>42849</v>
      </c>
      <c r="B2784" s="174" t="s">
        <v>14346</v>
      </c>
      <c r="C2784" s="175"/>
      <c r="D2784" s="176" t="s">
        <v>14346</v>
      </c>
      <c r="E2784" s="176">
        <v>109218</v>
      </c>
      <c r="F2784" s="177" t="s">
        <v>281</v>
      </c>
      <c r="G2784" s="178">
        <v>1870</v>
      </c>
      <c r="H2784" s="186">
        <v>42851</v>
      </c>
      <c r="I2784" s="187">
        <f t="shared" si="88"/>
        <v>1870</v>
      </c>
      <c r="J2784" s="178">
        <f t="shared" si="87"/>
        <v>0</v>
      </c>
      <c r="K2784" s="19"/>
    </row>
    <row r="2785" spans="1:11" x14ac:dyDescent="0.25">
      <c r="A2785" s="51">
        <v>42849</v>
      </c>
      <c r="B2785" s="174" t="s">
        <v>14347</v>
      </c>
      <c r="C2785" s="175"/>
      <c r="D2785" s="176" t="s">
        <v>14347</v>
      </c>
      <c r="E2785" s="176">
        <v>109219</v>
      </c>
      <c r="F2785" s="177" t="s">
        <v>1380</v>
      </c>
      <c r="G2785" s="178">
        <v>1832.36</v>
      </c>
      <c r="H2785" s="186">
        <v>42851</v>
      </c>
      <c r="I2785" s="187">
        <f t="shared" si="88"/>
        <v>1832.36</v>
      </c>
      <c r="J2785" s="178">
        <f t="shared" si="87"/>
        <v>0</v>
      </c>
      <c r="K2785" s="19"/>
    </row>
    <row r="2786" spans="1:11" x14ac:dyDescent="0.25">
      <c r="A2786" s="51">
        <v>42849</v>
      </c>
      <c r="B2786" s="174" t="s">
        <v>14348</v>
      </c>
      <c r="C2786" s="175"/>
      <c r="D2786" s="176" t="s">
        <v>14348</v>
      </c>
      <c r="E2786" s="176">
        <v>109220</v>
      </c>
      <c r="F2786" s="177" t="s">
        <v>182</v>
      </c>
      <c r="G2786" s="178">
        <v>3520</v>
      </c>
      <c r="H2786" s="179">
        <v>42850</v>
      </c>
      <c r="I2786" s="178">
        <f t="shared" si="88"/>
        <v>3520</v>
      </c>
      <c r="J2786" s="178">
        <f t="shared" si="87"/>
        <v>0</v>
      </c>
      <c r="K2786" s="19"/>
    </row>
    <row r="2787" spans="1:11" x14ac:dyDescent="0.25">
      <c r="A2787" s="51">
        <v>42849</v>
      </c>
      <c r="B2787" s="174" t="s">
        <v>14349</v>
      </c>
      <c r="C2787" s="175"/>
      <c r="D2787" s="176" t="s">
        <v>14349</v>
      </c>
      <c r="E2787" s="176">
        <v>109221</v>
      </c>
      <c r="F2787" s="177" t="s">
        <v>1141</v>
      </c>
      <c r="G2787" s="178">
        <v>519</v>
      </c>
      <c r="H2787" s="179">
        <v>42849</v>
      </c>
      <c r="I2787" s="178">
        <f t="shared" si="88"/>
        <v>519</v>
      </c>
      <c r="J2787" s="178">
        <f t="shared" si="87"/>
        <v>0</v>
      </c>
      <c r="K2787" s="19"/>
    </row>
    <row r="2788" spans="1:11" x14ac:dyDescent="0.25">
      <c r="A2788" s="51">
        <v>42849</v>
      </c>
      <c r="B2788" s="174" t="s">
        <v>14350</v>
      </c>
      <c r="C2788" s="175"/>
      <c r="D2788" s="176" t="s">
        <v>14350</v>
      </c>
      <c r="E2788" s="176">
        <v>109222</v>
      </c>
      <c r="F2788" s="177" t="s">
        <v>120</v>
      </c>
      <c r="G2788" s="178">
        <v>3823.12</v>
      </c>
      <c r="H2788" s="179">
        <v>42849</v>
      </c>
      <c r="I2788" s="178">
        <f t="shared" si="88"/>
        <v>3823.12</v>
      </c>
      <c r="J2788" s="178">
        <f t="shared" si="87"/>
        <v>0</v>
      </c>
      <c r="K2788" s="19"/>
    </row>
    <row r="2789" spans="1:11" x14ac:dyDescent="0.25">
      <c r="A2789" s="51">
        <v>42849</v>
      </c>
      <c r="B2789" s="174" t="s">
        <v>14351</v>
      </c>
      <c r="C2789" s="175"/>
      <c r="D2789" s="176" t="s">
        <v>14351</v>
      </c>
      <c r="E2789" s="176">
        <v>109223</v>
      </c>
      <c r="F2789" s="177" t="s">
        <v>122</v>
      </c>
      <c r="G2789" s="178">
        <v>17261</v>
      </c>
      <c r="H2789" s="186">
        <v>42866</v>
      </c>
      <c r="I2789" s="187">
        <f t="shared" si="88"/>
        <v>17261</v>
      </c>
      <c r="J2789" s="178">
        <f t="shared" si="87"/>
        <v>0</v>
      </c>
      <c r="K2789" s="19"/>
    </row>
    <row r="2790" spans="1:11" x14ac:dyDescent="0.25">
      <c r="A2790" s="51">
        <v>42849</v>
      </c>
      <c r="B2790" s="174" t="s">
        <v>14352</v>
      </c>
      <c r="C2790" s="175"/>
      <c r="D2790" s="176" t="s">
        <v>14352</v>
      </c>
      <c r="E2790" s="176">
        <v>109224</v>
      </c>
      <c r="F2790" s="177" t="s">
        <v>122</v>
      </c>
      <c r="G2790" s="178">
        <v>3745</v>
      </c>
      <c r="H2790" s="186">
        <v>42866</v>
      </c>
      <c r="I2790" s="187">
        <f t="shared" si="88"/>
        <v>3745</v>
      </c>
      <c r="J2790" s="178">
        <f t="shared" si="87"/>
        <v>0</v>
      </c>
      <c r="K2790" s="19"/>
    </row>
    <row r="2791" spans="1:11" x14ac:dyDescent="0.25">
      <c r="A2791" s="51">
        <v>42849</v>
      </c>
      <c r="B2791" s="174" t="s">
        <v>14353</v>
      </c>
      <c r="C2791" s="175"/>
      <c r="D2791" s="176" t="s">
        <v>14353</v>
      </c>
      <c r="E2791" s="176">
        <v>109225</v>
      </c>
      <c r="F2791" s="177" t="s">
        <v>122</v>
      </c>
      <c r="G2791" s="178">
        <v>6390</v>
      </c>
      <c r="H2791" s="186">
        <v>42866</v>
      </c>
      <c r="I2791" s="187">
        <f t="shared" si="88"/>
        <v>6390</v>
      </c>
      <c r="J2791" s="178">
        <f t="shared" si="87"/>
        <v>0</v>
      </c>
      <c r="K2791" s="19"/>
    </row>
    <row r="2792" spans="1:11" x14ac:dyDescent="0.25">
      <c r="A2792" s="51">
        <v>42849</v>
      </c>
      <c r="B2792" s="174" t="s">
        <v>14354</v>
      </c>
      <c r="C2792" s="175"/>
      <c r="D2792" s="176" t="s">
        <v>14354</v>
      </c>
      <c r="E2792" s="176">
        <v>109226</v>
      </c>
      <c r="F2792" s="177" t="s">
        <v>30</v>
      </c>
      <c r="G2792" s="178">
        <v>2266</v>
      </c>
      <c r="H2792" s="179">
        <v>42849</v>
      </c>
      <c r="I2792" s="178">
        <f t="shared" si="88"/>
        <v>2266</v>
      </c>
      <c r="J2792" s="178">
        <f t="shared" si="87"/>
        <v>0</v>
      </c>
      <c r="K2792" s="19"/>
    </row>
    <row r="2793" spans="1:11" x14ac:dyDescent="0.25">
      <c r="A2793" s="51">
        <v>42849</v>
      </c>
      <c r="B2793" s="174" t="s">
        <v>14355</v>
      </c>
      <c r="C2793" s="175"/>
      <c r="D2793" s="176" t="s">
        <v>14355</v>
      </c>
      <c r="E2793" s="176">
        <v>109227</v>
      </c>
      <c r="F2793" s="177" t="s">
        <v>302</v>
      </c>
      <c r="G2793" s="178">
        <v>8328.6</v>
      </c>
      <c r="H2793" s="184">
        <v>42852</v>
      </c>
      <c r="I2793" s="183">
        <f t="shared" si="88"/>
        <v>8328.6</v>
      </c>
      <c r="J2793" s="178">
        <f t="shared" si="87"/>
        <v>0</v>
      </c>
      <c r="K2793" s="19"/>
    </row>
    <row r="2794" spans="1:11" x14ac:dyDescent="0.25">
      <c r="A2794" s="51">
        <v>42849</v>
      </c>
      <c r="B2794" s="174" t="s">
        <v>14356</v>
      </c>
      <c r="C2794" s="175"/>
      <c r="D2794" s="176" t="s">
        <v>14356</v>
      </c>
      <c r="E2794" s="176">
        <v>109228</v>
      </c>
      <c r="F2794" s="177" t="s">
        <v>1830</v>
      </c>
      <c r="G2794" s="178">
        <v>23747.599999999999</v>
      </c>
      <c r="H2794" s="179">
        <v>42849</v>
      </c>
      <c r="I2794" s="178">
        <f t="shared" si="88"/>
        <v>23747.599999999999</v>
      </c>
      <c r="J2794" s="178">
        <f t="shared" si="87"/>
        <v>0</v>
      </c>
      <c r="K2794" s="19"/>
    </row>
    <row r="2795" spans="1:11" x14ac:dyDescent="0.25">
      <c r="A2795" s="51">
        <v>42849</v>
      </c>
      <c r="B2795" s="174" t="s">
        <v>14357</v>
      </c>
      <c r="C2795" s="175"/>
      <c r="D2795" s="176" t="s">
        <v>14357</v>
      </c>
      <c r="E2795" s="176">
        <v>109229</v>
      </c>
      <c r="F2795" s="177" t="s">
        <v>785</v>
      </c>
      <c r="G2795" s="178">
        <v>16254.8</v>
      </c>
      <c r="H2795" s="179">
        <v>42849</v>
      </c>
      <c r="I2795" s="178">
        <f t="shared" si="88"/>
        <v>16254.8</v>
      </c>
      <c r="J2795" s="178">
        <f t="shared" si="87"/>
        <v>0</v>
      </c>
      <c r="K2795" s="19"/>
    </row>
    <row r="2796" spans="1:11" x14ac:dyDescent="0.25">
      <c r="A2796" s="51">
        <v>42849</v>
      </c>
      <c r="B2796" s="174" t="s">
        <v>14358</v>
      </c>
      <c r="C2796" s="175"/>
      <c r="D2796" s="176" t="s">
        <v>14358</v>
      </c>
      <c r="E2796" s="176">
        <v>109230</v>
      </c>
      <c r="F2796" s="177" t="s">
        <v>125</v>
      </c>
      <c r="G2796" s="178">
        <v>9219</v>
      </c>
      <c r="H2796" s="179">
        <v>42852</v>
      </c>
      <c r="I2796" s="178">
        <f t="shared" si="88"/>
        <v>9219</v>
      </c>
      <c r="J2796" s="178">
        <f t="shared" si="87"/>
        <v>0</v>
      </c>
      <c r="K2796" s="19"/>
    </row>
    <row r="2797" spans="1:11" x14ac:dyDescent="0.25">
      <c r="A2797" s="51">
        <v>42849</v>
      </c>
      <c r="B2797" s="174" t="s">
        <v>14359</v>
      </c>
      <c r="C2797" s="175"/>
      <c r="D2797" s="176" t="s">
        <v>14359</v>
      </c>
      <c r="E2797" s="176">
        <v>109231</v>
      </c>
      <c r="F2797" s="177" t="s">
        <v>2510</v>
      </c>
      <c r="G2797" s="178">
        <v>925.49</v>
      </c>
      <c r="H2797" s="179">
        <v>42849</v>
      </c>
      <c r="I2797" s="178">
        <f t="shared" si="88"/>
        <v>925.49</v>
      </c>
      <c r="J2797" s="178">
        <f t="shared" si="87"/>
        <v>0</v>
      </c>
      <c r="K2797" s="19"/>
    </row>
    <row r="2798" spans="1:11" x14ac:dyDescent="0.25">
      <c r="A2798" s="51">
        <v>42849</v>
      </c>
      <c r="B2798" s="174" t="s">
        <v>14360</v>
      </c>
      <c r="C2798" s="175"/>
      <c r="D2798" s="176" t="s">
        <v>14360</v>
      </c>
      <c r="E2798" s="176">
        <v>109232</v>
      </c>
      <c r="F2798" s="177" t="s">
        <v>879</v>
      </c>
      <c r="G2798" s="178">
        <v>2579.5</v>
      </c>
      <c r="H2798" s="179">
        <v>42849</v>
      </c>
      <c r="I2798" s="178">
        <f t="shared" si="88"/>
        <v>2579.5</v>
      </c>
      <c r="J2798" s="178">
        <f t="shared" si="87"/>
        <v>0</v>
      </c>
      <c r="K2798" s="19"/>
    </row>
    <row r="2799" spans="1:11" x14ac:dyDescent="0.25">
      <c r="A2799" s="51">
        <v>42849</v>
      </c>
      <c r="B2799" s="174" t="s">
        <v>14361</v>
      </c>
      <c r="C2799" s="175"/>
      <c r="D2799" s="176" t="s">
        <v>14361</v>
      </c>
      <c r="E2799" s="176">
        <v>109233</v>
      </c>
      <c r="F2799" s="177" t="s">
        <v>291</v>
      </c>
      <c r="G2799" s="178">
        <v>2061</v>
      </c>
      <c r="H2799" s="186">
        <v>42851</v>
      </c>
      <c r="I2799" s="187">
        <f t="shared" si="88"/>
        <v>2061</v>
      </c>
      <c r="J2799" s="178">
        <f t="shared" si="87"/>
        <v>0</v>
      </c>
      <c r="K2799" s="19"/>
    </row>
    <row r="2800" spans="1:11" x14ac:dyDescent="0.25">
      <c r="A2800" s="51">
        <v>42849</v>
      </c>
      <c r="B2800" s="174" t="s">
        <v>14362</v>
      </c>
      <c r="C2800" s="175"/>
      <c r="D2800" s="176" t="s">
        <v>14362</v>
      </c>
      <c r="E2800" s="176">
        <v>109234</v>
      </c>
      <c r="F2800" s="177" t="s">
        <v>1267</v>
      </c>
      <c r="G2800" s="178">
        <v>1461.6</v>
      </c>
      <c r="H2800" s="186">
        <v>42851</v>
      </c>
      <c r="I2800" s="187">
        <f t="shared" si="88"/>
        <v>1461.6</v>
      </c>
      <c r="J2800" s="178">
        <f t="shared" si="87"/>
        <v>0</v>
      </c>
      <c r="K2800" s="19"/>
    </row>
    <row r="2801" spans="1:11" x14ac:dyDescent="0.25">
      <c r="A2801" s="51">
        <v>42849</v>
      </c>
      <c r="B2801" s="174" t="s">
        <v>14363</v>
      </c>
      <c r="C2801" s="175"/>
      <c r="D2801" s="176" t="s">
        <v>14363</v>
      </c>
      <c r="E2801" s="176">
        <v>109235</v>
      </c>
      <c r="F2801" s="177" t="s">
        <v>83</v>
      </c>
      <c r="G2801" s="178">
        <v>3816</v>
      </c>
      <c r="H2801" s="186">
        <v>42851</v>
      </c>
      <c r="I2801" s="187">
        <f t="shared" si="88"/>
        <v>3816</v>
      </c>
      <c r="J2801" s="178">
        <f t="shared" si="87"/>
        <v>0</v>
      </c>
      <c r="K2801" s="19"/>
    </row>
    <row r="2802" spans="1:11" x14ac:dyDescent="0.25">
      <c r="A2802" s="51">
        <v>42849</v>
      </c>
      <c r="B2802" s="174" t="s">
        <v>14364</v>
      </c>
      <c r="C2802" s="175"/>
      <c r="D2802" s="176" t="s">
        <v>14364</v>
      </c>
      <c r="E2802" s="176">
        <v>109236</v>
      </c>
      <c r="F2802" s="177" t="s">
        <v>1259</v>
      </c>
      <c r="G2802" s="178">
        <v>718.1</v>
      </c>
      <c r="H2802" s="186">
        <v>42851</v>
      </c>
      <c r="I2802" s="187">
        <f t="shared" si="88"/>
        <v>718.1</v>
      </c>
      <c r="J2802" s="178">
        <f t="shared" si="87"/>
        <v>0</v>
      </c>
      <c r="K2802" s="19"/>
    </row>
    <row r="2803" spans="1:11" x14ac:dyDescent="0.25">
      <c r="A2803" s="51">
        <v>42849</v>
      </c>
      <c r="B2803" s="174" t="s">
        <v>14365</v>
      </c>
      <c r="C2803" s="175"/>
      <c r="D2803" s="176" t="s">
        <v>14365</v>
      </c>
      <c r="E2803" s="176">
        <v>109237</v>
      </c>
      <c r="F2803" s="177" t="s">
        <v>1163</v>
      </c>
      <c r="G2803" s="178">
        <v>19995</v>
      </c>
      <c r="H2803" s="186">
        <v>42851</v>
      </c>
      <c r="I2803" s="187">
        <f t="shared" si="88"/>
        <v>19995</v>
      </c>
      <c r="J2803" s="178">
        <f t="shared" si="87"/>
        <v>0</v>
      </c>
      <c r="K2803" s="19"/>
    </row>
    <row r="2804" spans="1:11" x14ac:dyDescent="0.25">
      <c r="A2804" s="51">
        <v>42849</v>
      </c>
      <c r="B2804" s="174" t="s">
        <v>14366</v>
      </c>
      <c r="C2804" s="175"/>
      <c r="D2804" s="176" t="s">
        <v>14366</v>
      </c>
      <c r="E2804" s="176">
        <v>109238</v>
      </c>
      <c r="F2804" s="177" t="s">
        <v>1380</v>
      </c>
      <c r="G2804" s="178">
        <v>7454.4</v>
      </c>
      <c r="H2804" s="186">
        <v>42851</v>
      </c>
      <c r="I2804" s="187">
        <f t="shared" si="88"/>
        <v>7454.4</v>
      </c>
      <c r="J2804" s="178">
        <f t="shared" si="87"/>
        <v>0</v>
      </c>
      <c r="K2804" s="19"/>
    </row>
    <row r="2805" spans="1:11" x14ac:dyDescent="0.25">
      <c r="A2805" s="51">
        <v>42849</v>
      </c>
      <c r="B2805" s="174" t="s">
        <v>14367</v>
      </c>
      <c r="C2805" s="175"/>
      <c r="D2805" s="176" t="s">
        <v>14367</v>
      </c>
      <c r="E2805" s="176">
        <v>109239</v>
      </c>
      <c r="F2805" s="177" t="s">
        <v>2240</v>
      </c>
      <c r="G2805" s="178">
        <v>3988.1</v>
      </c>
      <c r="H2805" s="179">
        <v>42849</v>
      </c>
      <c r="I2805" s="178">
        <f t="shared" si="88"/>
        <v>3988.1</v>
      </c>
      <c r="J2805" s="178">
        <f t="shared" si="87"/>
        <v>0</v>
      </c>
      <c r="K2805" s="19"/>
    </row>
    <row r="2806" spans="1:11" x14ac:dyDescent="0.25">
      <c r="A2806" s="51">
        <v>42849</v>
      </c>
      <c r="B2806" s="174" t="s">
        <v>14368</v>
      </c>
      <c r="C2806" s="175"/>
      <c r="D2806" s="176" t="s">
        <v>14368</v>
      </c>
      <c r="E2806" s="176">
        <v>109240</v>
      </c>
      <c r="F2806" s="177" t="s">
        <v>28</v>
      </c>
      <c r="G2806" s="178">
        <v>14316.5</v>
      </c>
      <c r="H2806" s="179">
        <v>42849</v>
      </c>
      <c r="I2806" s="178">
        <f t="shared" si="88"/>
        <v>14316.5</v>
      </c>
      <c r="J2806" s="178">
        <f t="shared" si="87"/>
        <v>0</v>
      </c>
      <c r="K2806" s="19"/>
    </row>
    <row r="2807" spans="1:11" x14ac:dyDescent="0.25">
      <c r="A2807" s="51">
        <v>42849</v>
      </c>
      <c r="B2807" s="174" t="s">
        <v>14369</v>
      </c>
      <c r="C2807" s="175"/>
      <c r="D2807" s="176" t="s">
        <v>14369</v>
      </c>
      <c r="E2807" s="176">
        <v>109241</v>
      </c>
      <c r="F2807" s="177" t="s">
        <v>103</v>
      </c>
      <c r="G2807" s="178">
        <v>384</v>
      </c>
      <c r="H2807" s="184">
        <v>42852</v>
      </c>
      <c r="I2807" s="183">
        <f t="shared" si="88"/>
        <v>384</v>
      </c>
      <c r="J2807" s="178">
        <f t="shared" si="87"/>
        <v>0</v>
      </c>
      <c r="K2807" s="19"/>
    </row>
    <row r="2808" spans="1:11" x14ac:dyDescent="0.25">
      <c r="A2808" s="51">
        <v>42849</v>
      </c>
      <c r="B2808" s="174" t="s">
        <v>14370</v>
      </c>
      <c r="C2808" s="175"/>
      <c r="D2808" s="176" t="s">
        <v>14370</v>
      </c>
      <c r="E2808" s="176">
        <v>109242</v>
      </c>
      <c r="F2808" s="177" t="s">
        <v>10</v>
      </c>
      <c r="G2808" s="178">
        <v>162405.6</v>
      </c>
      <c r="H2808" s="186" t="s">
        <v>14076</v>
      </c>
      <c r="I2808" s="187">
        <f>96994.55+65411.05</f>
        <v>162405.6</v>
      </c>
      <c r="J2808" s="178">
        <f t="shared" si="87"/>
        <v>0</v>
      </c>
      <c r="K2808" s="19"/>
    </row>
    <row r="2809" spans="1:11" ht="15.75" x14ac:dyDescent="0.25">
      <c r="A2809" s="51">
        <v>42849</v>
      </c>
      <c r="B2809" s="174" t="s">
        <v>14371</v>
      </c>
      <c r="C2809" s="175"/>
      <c r="D2809" s="176" t="s">
        <v>14371</v>
      </c>
      <c r="E2809" s="176">
        <v>109243</v>
      </c>
      <c r="F2809" s="182" t="s">
        <v>92</v>
      </c>
      <c r="G2809" s="183">
        <v>0</v>
      </c>
      <c r="H2809" s="185" t="s">
        <v>95</v>
      </c>
      <c r="I2809" s="178">
        <f t="shared" si="88"/>
        <v>0</v>
      </c>
      <c r="J2809" s="178">
        <f t="shared" si="87"/>
        <v>0</v>
      </c>
      <c r="K2809" s="19"/>
    </row>
    <row r="2810" spans="1:11" x14ac:dyDescent="0.25">
      <c r="A2810" s="51">
        <v>42849</v>
      </c>
      <c r="B2810" s="174" t="s">
        <v>14372</v>
      </c>
      <c r="C2810" s="175"/>
      <c r="D2810" s="176" t="s">
        <v>14372</v>
      </c>
      <c r="E2810" s="176">
        <v>109244</v>
      </c>
      <c r="F2810" s="177" t="s">
        <v>92</v>
      </c>
      <c r="G2810" s="178">
        <v>2413.6</v>
      </c>
      <c r="H2810" s="186">
        <v>42851</v>
      </c>
      <c r="I2810" s="187">
        <f t="shared" si="88"/>
        <v>2413.6</v>
      </c>
      <c r="J2810" s="178">
        <f t="shared" si="87"/>
        <v>0</v>
      </c>
      <c r="K2810" s="19"/>
    </row>
    <row r="2811" spans="1:11" x14ac:dyDescent="0.25">
      <c r="A2811" s="51">
        <v>42849</v>
      </c>
      <c r="B2811" s="174" t="s">
        <v>14373</v>
      </c>
      <c r="C2811" s="175"/>
      <c r="D2811" s="176" t="s">
        <v>14373</v>
      </c>
      <c r="E2811" s="176">
        <v>109245</v>
      </c>
      <c r="F2811" s="177" t="s">
        <v>30</v>
      </c>
      <c r="G2811" s="178">
        <v>149.6</v>
      </c>
      <c r="H2811" s="179">
        <v>42849</v>
      </c>
      <c r="I2811" s="178">
        <f t="shared" si="88"/>
        <v>149.6</v>
      </c>
      <c r="J2811" s="178">
        <f t="shared" si="87"/>
        <v>0</v>
      </c>
      <c r="K2811" s="19"/>
    </row>
    <row r="2812" spans="1:11" x14ac:dyDescent="0.25">
      <c r="A2812" s="51">
        <v>42849</v>
      </c>
      <c r="B2812" s="174" t="s">
        <v>14374</v>
      </c>
      <c r="C2812" s="175"/>
      <c r="D2812" s="176" t="s">
        <v>14374</v>
      </c>
      <c r="E2812" s="176">
        <v>109246</v>
      </c>
      <c r="F2812" s="177" t="s">
        <v>133</v>
      </c>
      <c r="G2812" s="178">
        <v>10249.9</v>
      </c>
      <c r="H2812" s="186">
        <v>42856</v>
      </c>
      <c r="I2812" s="187">
        <f t="shared" si="88"/>
        <v>10249.9</v>
      </c>
      <c r="J2812" s="178">
        <f t="shared" si="87"/>
        <v>0</v>
      </c>
      <c r="K2812" s="19"/>
    </row>
    <row r="2813" spans="1:11" x14ac:dyDescent="0.25">
      <c r="A2813" s="51">
        <v>42849</v>
      </c>
      <c r="B2813" s="174" t="s">
        <v>14375</v>
      </c>
      <c r="C2813" s="175"/>
      <c r="D2813" s="176" t="s">
        <v>14375</v>
      </c>
      <c r="E2813" s="176">
        <v>109247</v>
      </c>
      <c r="F2813" s="177" t="s">
        <v>30</v>
      </c>
      <c r="G2813" s="178">
        <v>15946</v>
      </c>
      <c r="H2813" s="184">
        <v>42853</v>
      </c>
      <c r="I2813" s="183">
        <f t="shared" si="88"/>
        <v>15946</v>
      </c>
      <c r="J2813" s="178">
        <f t="shared" si="87"/>
        <v>0</v>
      </c>
      <c r="K2813" s="19"/>
    </row>
    <row r="2814" spans="1:11" x14ac:dyDescent="0.25">
      <c r="A2814" s="51">
        <v>42849</v>
      </c>
      <c r="B2814" s="174" t="s">
        <v>14376</v>
      </c>
      <c r="C2814" s="175"/>
      <c r="D2814" s="176" t="s">
        <v>14376</v>
      </c>
      <c r="E2814" s="176">
        <v>109248</v>
      </c>
      <c r="F2814" s="177" t="s">
        <v>442</v>
      </c>
      <c r="G2814" s="178">
        <v>9759.5</v>
      </c>
      <c r="H2814" s="184">
        <v>42853</v>
      </c>
      <c r="I2814" s="183">
        <f t="shared" si="88"/>
        <v>9759.5</v>
      </c>
      <c r="J2814" s="178">
        <f t="shared" si="87"/>
        <v>0</v>
      </c>
      <c r="K2814" s="19"/>
    </row>
    <row r="2815" spans="1:11" x14ac:dyDescent="0.25">
      <c r="A2815" s="51">
        <v>42849</v>
      </c>
      <c r="B2815" s="174" t="s">
        <v>14377</v>
      </c>
      <c r="C2815" s="175"/>
      <c r="D2815" s="176" t="s">
        <v>14377</v>
      </c>
      <c r="E2815" s="176">
        <v>109249</v>
      </c>
      <c r="F2815" s="177" t="s">
        <v>270</v>
      </c>
      <c r="G2815" s="178">
        <v>1833.6</v>
      </c>
      <c r="H2815" s="186">
        <v>42851</v>
      </c>
      <c r="I2815" s="187">
        <f t="shared" si="88"/>
        <v>1833.6</v>
      </c>
      <c r="J2815" s="178">
        <f t="shared" si="87"/>
        <v>0</v>
      </c>
      <c r="K2815" s="19"/>
    </row>
    <row r="2816" spans="1:11" x14ac:dyDescent="0.25">
      <c r="A2816" s="51">
        <v>42849</v>
      </c>
      <c r="B2816" s="174" t="s">
        <v>14378</v>
      </c>
      <c r="C2816" s="175"/>
      <c r="D2816" s="176" t="s">
        <v>14378</v>
      </c>
      <c r="E2816" s="176">
        <v>109250</v>
      </c>
      <c r="F2816" s="177" t="s">
        <v>30</v>
      </c>
      <c r="G2816" s="178">
        <v>845.9</v>
      </c>
      <c r="H2816" s="186">
        <v>42851</v>
      </c>
      <c r="I2816" s="187">
        <f t="shared" si="88"/>
        <v>845.9</v>
      </c>
      <c r="J2816" s="178">
        <f t="shared" si="87"/>
        <v>0</v>
      </c>
      <c r="K2816" s="19"/>
    </row>
    <row r="2817" spans="1:11" x14ac:dyDescent="0.25">
      <c r="A2817" s="51">
        <v>42849</v>
      </c>
      <c r="B2817" s="174" t="s">
        <v>14379</v>
      </c>
      <c r="C2817" s="175"/>
      <c r="D2817" s="176" t="s">
        <v>14379</v>
      </c>
      <c r="E2817" s="176">
        <v>109251</v>
      </c>
      <c r="F2817" s="177" t="s">
        <v>1666</v>
      </c>
      <c r="G2817" s="178">
        <v>5287</v>
      </c>
      <c r="H2817" s="186">
        <v>42851</v>
      </c>
      <c r="I2817" s="187">
        <f t="shared" si="88"/>
        <v>5287</v>
      </c>
      <c r="J2817" s="178">
        <f t="shared" si="87"/>
        <v>0</v>
      </c>
      <c r="K2817" s="19"/>
    </row>
    <row r="2818" spans="1:11" x14ac:dyDescent="0.25">
      <c r="A2818" s="51">
        <v>42849</v>
      </c>
      <c r="B2818" s="174" t="s">
        <v>14380</v>
      </c>
      <c r="C2818" s="175"/>
      <c r="D2818" s="176" t="s">
        <v>14380</v>
      </c>
      <c r="E2818" s="176">
        <v>109252</v>
      </c>
      <c r="F2818" s="177" t="s">
        <v>272</v>
      </c>
      <c r="G2818" s="178">
        <v>2851.2</v>
      </c>
      <c r="H2818" s="186">
        <v>42851</v>
      </c>
      <c r="I2818" s="187">
        <f t="shared" si="88"/>
        <v>2851.2</v>
      </c>
      <c r="J2818" s="178">
        <f t="shared" si="87"/>
        <v>0</v>
      </c>
      <c r="K2818" s="19"/>
    </row>
    <row r="2819" spans="1:11" x14ac:dyDescent="0.25">
      <c r="A2819" s="51">
        <v>42849</v>
      </c>
      <c r="B2819" s="174" t="s">
        <v>14381</v>
      </c>
      <c r="C2819" s="175"/>
      <c r="D2819" s="176" t="s">
        <v>14381</v>
      </c>
      <c r="E2819" s="176">
        <v>109253</v>
      </c>
      <c r="F2819" s="177" t="s">
        <v>268</v>
      </c>
      <c r="G2819" s="178">
        <v>12866.7</v>
      </c>
      <c r="H2819" s="186">
        <v>42851</v>
      </c>
      <c r="I2819" s="187">
        <f t="shared" si="88"/>
        <v>12866.7</v>
      </c>
      <c r="J2819" s="178">
        <f t="shared" si="87"/>
        <v>0</v>
      </c>
      <c r="K2819" s="19"/>
    </row>
    <row r="2820" spans="1:11" x14ac:dyDescent="0.25">
      <c r="A2820" s="51">
        <v>42849</v>
      </c>
      <c r="B2820" s="174" t="s">
        <v>14382</v>
      </c>
      <c r="C2820" s="175"/>
      <c r="D2820" s="176" t="s">
        <v>14382</v>
      </c>
      <c r="E2820" s="176">
        <v>109254</v>
      </c>
      <c r="F2820" s="177" t="s">
        <v>432</v>
      </c>
      <c r="G2820" s="178">
        <v>14001.9</v>
      </c>
      <c r="H2820" s="186">
        <v>42851</v>
      </c>
      <c r="I2820" s="187">
        <f t="shared" si="88"/>
        <v>14001.9</v>
      </c>
      <c r="J2820" s="178">
        <f t="shared" ref="J2820:J2883" si="89">G2820-I2820</f>
        <v>0</v>
      </c>
      <c r="K2820" s="19"/>
    </row>
    <row r="2821" spans="1:11" x14ac:dyDescent="0.25">
      <c r="A2821" s="51">
        <v>42849</v>
      </c>
      <c r="B2821" s="174" t="s">
        <v>14383</v>
      </c>
      <c r="C2821" s="175"/>
      <c r="D2821" s="176" t="s">
        <v>14383</v>
      </c>
      <c r="E2821" s="176">
        <v>109255</v>
      </c>
      <c r="F2821" s="177" t="s">
        <v>30</v>
      </c>
      <c r="G2821" s="178">
        <v>1472.8</v>
      </c>
      <c r="H2821" s="179">
        <v>42849</v>
      </c>
      <c r="I2821" s="178">
        <f t="shared" ref="I2821:I2884" si="90">G2821</f>
        <v>1472.8</v>
      </c>
      <c r="J2821" s="178">
        <f t="shared" si="89"/>
        <v>0</v>
      </c>
      <c r="K2821" s="19"/>
    </row>
    <row r="2822" spans="1:11" x14ac:dyDescent="0.25">
      <c r="A2822" s="51">
        <v>42849</v>
      </c>
      <c r="B2822" s="174" t="s">
        <v>14384</v>
      </c>
      <c r="C2822" s="175"/>
      <c r="D2822" s="176" t="s">
        <v>14384</v>
      </c>
      <c r="E2822" s="176">
        <v>109256</v>
      </c>
      <c r="F2822" s="177" t="s">
        <v>30</v>
      </c>
      <c r="G2822" s="178">
        <v>568.4</v>
      </c>
      <c r="H2822" s="179">
        <v>42849</v>
      </c>
      <c r="I2822" s="178">
        <f t="shared" si="90"/>
        <v>568.4</v>
      </c>
      <c r="J2822" s="178">
        <f t="shared" si="89"/>
        <v>0</v>
      </c>
      <c r="K2822" s="19"/>
    </row>
    <row r="2823" spans="1:11" x14ac:dyDescent="0.25">
      <c r="A2823" s="51">
        <v>42849</v>
      </c>
      <c r="B2823" s="174" t="s">
        <v>14385</v>
      </c>
      <c r="C2823" s="175"/>
      <c r="D2823" s="176" t="s">
        <v>14385</v>
      </c>
      <c r="E2823" s="176">
        <v>109257</v>
      </c>
      <c r="F2823" s="177" t="s">
        <v>109</v>
      </c>
      <c r="G2823" s="178">
        <v>5298.6</v>
      </c>
      <c r="H2823" s="186">
        <v>42851</v>
      </c>
      <c r="I2823" s="187">
        <f t="shared" si="90"/>
        <v>5298.6</v>
      </c>
      <c r="J2823" s="178">
        <f t="shared" si="89"/>
        <v>0</v>
      </c>
      <c r="K2823" s="19"/>
    </row>
    <row r="2824" spans="1:11" x14ac:dyDescent="0.25">
      <c r="A2824" s="51">
        <v>42849</v>
      </c>
      <c r="B2824" s="174" t="s">
        <v>14386</v>
      </c>
      <c r="C2824" s="175"/>
      <c r="D2824" s="176" t="s">
        <v>14386</v>
      </c>
      <c r="E2824" s="176">
        <v>109258</v>
      </c>
      <c r="F2824" s="177" t="s">
        <v>12879</v>
      </c>
      <c r="G2824" s="178">
        <v>815.1</v>
      </c>
      <c r="H2824" s="179">
        <v>42849</v>
      </c>
      <c r="I2824" s="178">
        <f t="shared" si="90"/>
        <v>815.1</v>
      </c>
      <c r="J2824" s="178">
        <f t="shared" si="89"/>
        <v>0</v>
      </c>
      <c r="K2824" s="19"/>
    </row>
    <row r="2825" spans="1:11" x14ac:dyDescent="0.25">
      <c r="A2825" s="51">
        <v>42849</v>
      </c>
      <c r="B2825" s="174" t="s">
        <v>14387</v>
      </c>
      <c r="C2825" s="175"/>
      <c r="D2825" s="176" t="s">
        <v>14387</v>
      </c>
      <c r="E2825" s="176">
        <v>109259</v>
      </c>
      <c r="F2825" s="177" t="s">
        <v>10</v>
      </c>
      <c r="G2825" s="178">
        <v>79720.3</v>
      </c>
      <c r="H2825" s="186">
        <v>42851</v>
      </c>
      <c r="I2825" s="187">
        <f t="shared" si="90"/>
        <v>79720.3</v>
      </c>
      <c r="J2825" s="178">
        <f t="shared" si="89"/>
        <v>0</v>
      </c>
      <c r="K2825" s="19"/>
    </row>
    <row r="2826" spans="1:11" x14ac:dyDescent="0.25">
      <c r="A2826" s="51">
        <v>42849</v>
      </c>
      <c r="B2826" s="174" t="s">
        <v>14388</v>
      </c>
      <c r="C2826" s="175"/>
      <c r="D2826" s="176" t="s">
        <v>14388</v>
      </c>
      <c r="E2826" s="176">
        <v>109260</v>
      </c>
      <c r="F2826" s="177" t="s">
        <v>115</v>
      </c>
      <c r="G2826" s="178">
        <v>4078.8</v>
      </c>
      <c r="H2826" s="179">
        <v>42849</v>
      </c>
      <c r="I2826" s="178">
        <f t="shared" si="90"/>
        <v>4078.8</v>
      </c>
      <c r="J2826" s="178">
        <f t="shared" si="89"/>
        <v>0</v>
      </c>
      <c r="K2826" s="19"/>
    </row>
    <row r="2827" spans="1:11" ht="15.75" x14ac:dyDescent="0.25">
      <c r="A2827" s="51">
        <v>42849</v>
      </c>
      <c r="B2827" s="174" t="s">
        <v>14389</v>
      </c>
      <c r="C2827" s="175"/>
      <c r="D2827" s="176" t="s">
        <v>14389</v>
      </c>
      <c r="E2827" s="176">
        <v>109261</v>
      </c>
      <c r="F2827" s="182" t="s">
        <v>55</v>
      </c>
      <c r="G2827" s="183">
        <v>0</v>
      </c>
      <c r="H2827" s="185" t="s">
        <v>95</v>
      </c>
      <c r="I2827" s="178">
        <f t="shared" si="90"/>
        <v>0</v>
      </c>
      <c r="J2827" s="178">
        <f t="shared" si="89"/>
        <v>0</v>
      </c>
      <c r="K2827" s="19"/>
    </row>
    <row r="2828" spans="1:11" x14ac:dyDescent="0.25">
      <c r="A2828" s="51">
        <v>42849</v>
      </c>
      <c r="B2828" s="174" t="s">
        <v>14390</v>
      </c>
      <c r="C2828" s="175"/>
      <c r="D2828" s="176" t="s">
        <v>14390</v>
      </c>
      <c r="E2828" s="176">
        <v>109262</v>
      </c>
      <c r="F2828" s="177" t="s">
        <v>55</v>
      </c>
      <c r="G2828" s="178">
        <v>1300.8</v>
      </c>
      <c r="H2828" s="179">
        <v>42849</v>
      </c>
      <c r="I2828" s="178">
        <f t="shared" si="90"/>
        <v>1300.8</v>
      </c>
      <c r="J2828" s="178">
        <f t="shared" si="89"/>
        <v>0</v>
      </c>
      <c r="K2828" s="19"/>
    </row>
    <row r="2829" spans="1:11" x14ac:dyDescent="0.25">
      <c r="A2829" s="51">
        <v>42849</v>
      </c>
      <c r="B2829" s="174" t="s">
        <v>14391</v>
      </c>
      <c r="C2829" s="175"/>
      <c r="D2829" s="176" t="s">
        <v>14391</v>
      </c>
      <c r="E2829" s="176">
        <v>109263</v>
      </c>
      <c r="F2829" s="177" t="s">
        <v>145</v>
      </c>
      <c r="G2829" s="178">
        <v>13949.2</v>
      </c>
      <c r="H2829" s="179">
        <v>42850</v>
      </c>
      <c r="I2829" s="178">
        <f t="shared" si="90"/>
        <v>13949.2</v>
      </c>
      <c r="J2829" s="178">
        <f t="shared" si="89"/>
        <v>0</v>
      </c>
      <c r="K2829" s="19"/>
    </row>
    <row r="2830" spans="1:11" x14ac:dyDescent="0.25">
      <c r="A2830" s="51">
        <v>42849</v>
      </c>
      <c r="B2830" s="174" t="s">
        <v>14392</v>
      </c>
      <c r="C2830" s="175"/>
      <c r="D2830" s="176" t="s">
        <v>14392</v>
      </c>
      <c r="E2830" s="176">
        <v>109264</v>
      </c>
      <c r="F2830" s="177" t="s">
        <v>285</v>
      </c>
      <c r="G2830" s="178">
        <v>1690.3</v>
      </c>
      <c r="H2830" s="179">
        <v>42849</v>
      </c>
      <c r="I2830" s="178">
        <f t="shared" si="90"/>
        <v>1690.3</v>
      </c>
      <c r="J2830" s="178">
        <f t="shared" si="89"/>
        <v>0</v>
      </c>
      <c r="K2830" s="19"/>
    </row>
    <row r="2831" spans="1:11" x14ac:dyDescent="0.25">
      <c r="A2831" s="51">
        <v>42849</v>
      </c>
      <c r="B2831" s="174" t="s">
        <v>14393</v>
      </c>
      <c r="C2831" s="175"/>
      <c r="D2831" s="176" t="s">
        <v>14393</v>
      </c>
      <c r="E2831" s="176">
        <v>109265</v>
      </c>
      <c r="F2831" s="177" t="s">
        <v>161</v>
      </c>
      <c r="G2831" s="178">
        <v>40070.6</v>
      </c>
      <c r="H2831" s="186">
        <v>42864</v>
      </c>
      <c r="I2831" s="187">
        <f t="shared" si="90"/>
        <v>40070.6</v>
      </c>
      <c r="J2831" s="178">
        <f t="shared" si="89"/>
        <v>0</v>
      </c>
      <c r="K2831" s="19"/>
    </row>
    <row r="2832" spans="1:11" x14ac:dyDescent="0.25">
      <c r="A2832" s="51">
        <v>42849</v>
      </c>
      <c r="B2832" s="174" t="s">
        <v>14394</v>
      </c>
      <c r="C2832" s="175"/>
      <c r="D2832" s="176" t="s">
        <v>14394</v>
      </c>
      <c r="E2832" s="176">
        <v>109266</v>
      </c>
      <c r="F2832" s="177" t="s">
        <v>155</v>
      </c>
      <c r="G2832" s="178">
        <v>25443.599999999999</v>
      </c>
      <c r="H2832" s="186" t="s">
        <v>14056</v>
      </c>
      <c r="I2832" s="187">
        <f>2443.6+23000</f>
        <v>25443.599999999999</v>
      </c>
      <c r="J2832" s="178">
        <f t="shared" si="89"/>
        <v>0</v>
      </c>
      <c r="K2832" s="19"/>
    </row>
    <row r="2833" spans="1:11" x14ac:dyDescent="0.25">
      <c r="A2833" s="51">
        <v>42849</v>
      </c>
      <c r="B2833" s="174" t="s">
        <v>14395</v>
      </c>
      <c r="C2833" s="175"/>
      <c r="D2833" s="176" t="s">
        <v>14395</v>
      </c>
      <c r="E2833" s="176">
        <v>109267</v>
      </c>
      <c r="F2833" s="177" t="s">
        <v>354</v>
      </c>
      <c r="G2833" s="178">
        <v>741.2</v>
      </c>
      <c r="H2833" s="179">
        <v>42849</v>
      </c>
      <c r="I2833" s="178">
        <f t="shared" si="90"/>
        <v>741.2</v>
      </c>
      <c r="J2833" s="178">
        <f t="shared" si="89"/>
        <v>0</v>
      </c>
      <c r="K2833" s="19"/>
    </row>
    <row r="2834" spans="1:11" x14ac:dyDescent="0.25">
      <c r="A2834" s="51">
        <v>42849</v>
      </c>
      <c r="B2834" s="174" t="s">
        <v>14396</v>
      </c>
      <c r="C2834" s="175"/>
      <c r="D2834" s="176" t="s">
        <v>14396</v>
      </c>
      <c r="E2834" s="176">
        <v>109268</v>
      </c>
      <c r="F2834" s="177" t="s">
        <v>172</v>
      </c>
      <c r="G2834" s="178">
        <v>22312</v>
      </c>
      <c r="H2834" s="184">
        <v>42864</v>
      </c>
      <c r="I2834" s="183">
        <f t="shared" si="90"/>
        <v>22312</v>
      </c>
      <c r="J2834" s="178">
        <f t="shared" si="89"/>
        <v>0</v>
      </c>
      <c r="K2834" s="19"/>
    </row>
    <row r="2835" spans="1:11" x14ac:dyDescent="0.25">
      <c r="A2835" s="51">
        <v>42849</v>
      </c>
      <c r="B2835" s="174" t="s">
        <v>14397</v>
      </c>
      <c r="C2835" s="175"/>
      <c r="D2835" s="176" t="s">
        <v>14397</v>
      </c>
      <c r="E2835" s="176">
        <v>109269</v>
      </c>
      <c r="F2835" s="177" t="s">
        <v>3319</v>
      </c>
      <c r="G2835" s="178">
        <v>6200</v>
      </c>
      <c r="H2835" s="179">
        <v>42850</v>
      </c>
      <c r="I2835" s="178">
        <f t="shared" si="90"/>
        <v>6200</v>
      </c>
      <c r="J2835" s="178">
        <f t="shared" si="89"/>
        <v>0</v>
      </c>
      <c r="K2835" s="19"/>
    </row>
    <row r="2836" spans="1:11" x14ac:dyDescent="0.25">
      <c r="A2836" s="51">
        <v>42849</v>
      </c>
      <c r="B2836" s="174" t="s">
        <v>14398</v>
      </c>
      <c r="C2836" s="175"/>
      <c r="D2836" s="176" t="s">
        <v>14398</v>
      </c>
      <c r="E2836" s="176">
        <v>109270</v>
      </c>
      <c r="F2836" s="177" t="s">
        <v>163</v>
      </c>
      <c r="G2836" s="178">
        <v>21937</v>
      </c>
      <c r="H2836" s="184">
        <v>42853</v>
      </c>
      <c r="I2836" s="183">
        <f t="shared" si="90"/>
        <v>21937</v>
      </c>
      <c r="J2836" s="178">
        <f t="shared" si="89"/>
        <v>0</v>
      </c>
      <c r="K2836" s="19"/>
    </row>
    <row r="2837" spans="1:11" x14ac:dyDescent="0.25">
      <c r="A2837" s="51">
        <v>42849</v>
      </c>
      <c r="B2837" s="174" t="s">
        <v>14399</v>
      </c>
      <c r="C2837" s="175"/>
      <c r="D2837" s="176" t="s">
        <v>14399</v>
      </c>
      <c r="E2837" s="176">
        <v>109271</v>
      </c>
      <c r="F2837" s="177" t="s">
        <v>165</v>
      </c>
      <c r="G2837" s="178">
        <v>8709.2000000000007</v>
      </c>
      <c r="H2837" s="184">
        <v>42864</v>
      </c>
      <c r="I2837" s="183">
        <f t="shared" si="90"/>
        <v>8709.2000000000007</v>
      </c>
      <c r="J2837" s="178">
        <f t="shared" si="89"/>
        <v>0</v>
      </c>
      <c r="K2837" s="19"/>
    </row>
    <row r="2838" spans="1:11" x14ac:dyDescent="0.25">
      <c r="A2838" s="51">
        <v>42849</v>
      </c>
      <c r="B2838" s="174" t="s">
        <v>14400</v>
      </c>
      <c r="C2838" s="175"/>
      <c r="D2838" s="176" t="s">
        <v>14400</v>
      </c>
      <c r="E2838" s="176">
        <v>109272</v>
      </c>
      <c r="F2838" s="177" t="s">
        <v>13680</v>
      </c>
      <c r="G2838" s="178">
        <v>19100</v>
      </c>
      <c r="H2838" s="179">
        <v>42849</v>
      </c>
      <c r="I2838" s="178">
        <f t="shared" si="90"/>
        <v>19100</v>
      </c>
      <c r="J2838" s="178">
        <f t="shared" si="89"/>
        <v>0</v>
      </c>
      <c r="K2838" s="19"/>
    </row>
    <row r="2839" spans="1:11" x14ac:dyDescent="0.25">
      <c r="A2839" s="51">
        <v>42849</v>
      </c>
      <c r="B2839" s="174" t="s">
        <v>14401</v>
      </c>
      <c r="C2839" s="175"/>
      <c r="D2839" s="176" t="s">
        <v>14401</v>
      </c>
      <c r="E2839" s="176">
        <v>109273</v>
      </c>
      <c r="F2839" s="177" t="s">
        <v>472</v>
      </c>
      <c r="G2839" s="178">
        <v>5940</v>
      </c>
      <c r="H2839" s="184">
        <v>42852</v>
      </c>
      <c r="I2839" s="183">
        <f t="shared" si="90"/>
        <v>5940</v>
      </c>
      <c r="J2839" s="178">
        <f t="shared" si="89"/>
        <v>0</v>
      </c>
      <c r="K2839" s="19"/>
    </row>
    <row r="2840" spans="1:11" x14ac:dyDescent="0.25">
      <c r="A2840" s="51">
        <v>42849</v>
      </c>
      <c r="B2840" s="174" t="s">
        <v>14402</v>
      </c>
      <c r="C2840" s="175"/>
      <c r="D2840" s="176" t="s">
        <v>14402</v>
      </c>
      <c r="E2840" s="176">
        <v>109274</v>
      </c>
      <c r="F2840" s="177" t="s">
        <v>858</v>
      </c>
      <c r="G2840" s="178">
        <v>1476.8</v>
      </c>
      <c r="H2840" s="179">
        <v>42849</v>
      </c>
      <c r="I2840" s="178">
        <f t="shared" si="90"/>
        <v>1476.8</v>
      </c>
      <c r="J2840" s="178">
        <f t="shared" si="89"/>
        <v>0</v>
      </c>
      <c r="K2840" s="19"/>
    </row>
    <row r="2841" spans="1:11" x14ac:dyDescent="0.25">
      <c r="A2841" s="51">
        <v>42849</v>
      </c>
      <c r="B2841" s="174" t="s">
        <v>14403</v>
      </c>
      <c r="C2841" s="175"/>
      <c r="D2841" s="176" t="s">
        <v>14403</v>
      </c>
      <c r="E2841" s="176">
        <v>109275</v>
      </c>
      <c r="F2841" s="182" t="s">
        <v>360</v>
      </c>
      <c r="G2841" s="183">
        <v>0</v>
      </c>
      <c r="H2841" s="184" t="s">
        <v>95</v>
      </c>
      <c r="I2841" s="183">
        <f t="shared" si="90"/>
        <v>0</v>
      </c>
      <c r="J2841" s="183">
        <f t="shared" si="89"/>
        <v>0</v>
      </c>
      <c r="K2841" s="19"/>
    </row>
    <row r="2842" spans="1:11" x14ac:dyDescent="0.25">
      <c r="A2842" s="51">
        <v>42849</v>
      </c>
      <c r="B2842" s="174" t="s">
        <v>14404</v>
      </c>
      <c r="C2842" s="175"/>
      <c r="D2842" s="176" t="s">
        <v>14404</v>
      </c>
      <c r="E2842" s="176">
        <v>109276</v>
      </c>
      <c r="F2842" s="177" t="s">
        <v>1141</v>
      </c>
      <c r="G2842" s="178">
        <v>8522.6</v>
      </c>
      <c r="H2842" s="186" t="s">
        <v>15205</v>
      </c>
      <c r="I2842" s="187">
        <f t="shared" si="90"/>
        <v>8522.6</v>
      </c>
      <c r="J2842" s="178">
        <f t="shared" si="89"/>
        <v>0</v>
      </c>
      <c r="K2842" s="19"/>
    </row>
    <row r="2843" spans="1:11" x14ac:dyDescent="0.25">
      <c r="A2843" s="51">
        <v>42849</v>
      </c>
      <c r="B2843" s="174" t="s">
        <v>14405</v>
      </c>
      <c r="C2843" s="175"/>
      <c r="D2843" s="176" t="s">
        <v>14405</v>
      </c>
      <c r="E2843" s="176">
        <v>109277</v>
      </c>
      <c r="F2843" s="182" t="s">
        <v>222</v>
      </c>
      <c r="G2843" s="183">
        <v>0</v>
      </c>
      <c r="H2843" s="184" t="s">
        <v>95</v>
      </c>
      <c r="I2843" s="183">
        <f t="shared" si="90"/>
        <v>0</v>
      </c>
      <c r="J2843" s="183">
        <f t="shared" si="89"/>
        <v>0</v>
      </c>
      <c r="K2843" s="19"/>
    </row>
    <row r="2844" spans="1:11" x14ac:dyDescent="0.25">
      <c r="A2844" s="51">
        <v>42849</v>
      </c>
      <c r="B2844" s="174" t="s">
        <v>14406</v>
      </c>
      <c r="C2844" s="175"/>
      <c r="D2844" s="176" t="s">
        <v>14406</v>
      </c>
      <c r="E2844" s="176">
        <v>109278</v>
      </c>
      <c r="F2844" s="177" t="s">
        <v>697</v>
      </c>
      <c r="G2844" s="178">
        <v>41726</v>
      </c>
      <c r="H2844" s="186">
        <v>42863</v>
      </c>
      <c r="I2844" s="187">
        <f t="shared" si="90"/>
        <v>41726</v>
      </c>
      <c r="J2844" s="178">
        <f t="shared" si="89"/>
        <v>0</v>
      </c>
      <c r="K2844" s="19"/>
    </row>
    <row r="2845" spans="1:11" x14ac:dyDescent="0.25">
      <c r="A2845" s="51">
        <v>42849</v>
      </c>
      <c r="B2845" s="174" t="s">
        <v>14407</v>
      </c>
      <c r="C2845" s="175"/>
      <c r="D2845" s="176" t="s">
        <v>14407</v>
      </c>
      <c r="E2845" s="176">
        <v>109279</v>
      </c>
      <c r="F2845" s="177" t="s">
        <v>12879</v>
      </c>
      <c r="G2845" s="178">
        <v>497.1</v>
      </c>
      <c r="H2845" s="179">
        <v>42849</v>
      </c>
      <c r="I2845" s="178">
        <f t="shared" si="90"/>
        <v>497.1</v>
      </c>
      <c r="J2845" s="178">
        <f t="shared" si="89"/>
        <v>0</v>
      </c>
      <c r="K2845" s="19"/>
    </row>
    <row r="2846" spans="1:11" x14ac:dyDescent="0.25">
      <c r="A2846" s="51">
        <v>42849</v>
      </c>
      <c r="B2846" s="174" t="s">
        <v>14408</v>
      </c>
      <c r="C2846" s="175"/>
      <c r="D2846" s="176" t="s">
        <v>14408</v>
      </c>
      <c r="E2846" s="176">
        <v>109280</v>
      </c>
      <c r="F2846" s="177" t="s">
        <v>316</v>
      </c>
      <c r="G2846" s="178">
        <v>14176.66</v>
      </c>
      <c r="H2846" s="184">
        <v>42865</v>
      </c>
      <c r="I2846" s="183">
        <f t="shared" si="90"/>
        <v>14176.66</v>
      </c>
      <c r="J2846" s="178">
        <f t="shared" si="89"/>
        <v>0</v>
      </c>
      <c r="K2846" s="19"/>
    </row>
    <row r="2847" spans="1:11" x14ac:dyDescent="0.25">
      <c r="A2847" s="51">
        <v>42849</v>
      </c>
      <c r="B2847" s="174" t="s">
        <v>14409</v>
      </c>
      <c r="C2847" s="175"/>
      <c r="D2847" s="176" t="s">
        <v>14409</v>
      </c>
      <c r="E2847" s="176">
        <v>109281</v>
      </c>
      <c r="F2847" s="177" t="s">
        <v>3997</v>
      </c>
      <c r="G2847" s="178">
        <v>7679.8</v>
      </c>
      <c r="H2847" s="186">
        <v>42851</v>
      </c>
      <c r="I2847" s="187">
        <f t="shared" si="90"/>
        <v>7679.8</v>
      </c>
      <c r="J2847" s="178">
        <f t="shared" si="89"/>
        <v>0</v>
      </c>
      <c r="K2847" s="19"/>
    </row>
    <row r="2848" spans="1:11" x14ac:dyDescent="0.25">
      <c r="A2848" s="51">
        <v>42849</v>
      </c>
      <c r="B2848" s="174" t="s">
        <v>14410</v>
      </c>
      <c r="C2848" s="175"/>
      <c r="D2848" s="176" t="s">
        <v>14410</v>
      </c>
      <c r="E2848" s="176">
        <v>109282</v>
      </c>
      <c r="F2848" s="177" t="s">
        <v>10370</v>
      </c>
      <c r="G2848" s="178">
        <v>1352.4</v>
      </c>
      <c r="H2848" s="179">
        <v>42850</v>
      </c>
      <c r="I2848" s="178">
        <f t="shared" si="90"/>
        <v>1352.4</v>
      </c>
      <c r="J2848" s="178">
        <f t="shared" si="89"/>
        <v>0</v>
      </c>
      <c r="K2848" s="19"/>
    </row>
    <row r="2849" spans="1:11" x14ac:dyDescent="0.25">
      <c r="A2849" s="51">
        <v>42849</v>
      </c>
      <c r="B2849" s="174" t="s">
        <v>14411</v>
      </c>
      <c r="C2849" s="175"/>
      <c r="D2849" s="176" t="s">
        <v>14411</v>
      </c>
      <c r="E2849" s="176">
        <v>109283</v>
      </c>
      <c r="F2849" s="177" t="s">
        <v>193</v>
      </c>
      <c r="G2849" s="178">
        <v>1849</v>
      </c>
      <c r="H2849" s="179">
        <v>42850</v>
      </c>
      <c r="I2849" s="178">
        <f t="shared" si="90"/>
        <v>1849</v>
      </c>
      <c r="J2849" s="178">
        <f t="shared" si="89"/>
        <v>0</v>
      </c>
      <c r="K2849" s="19"/>
    </row>
    <row r="2850" spans="1:11" x14ac:dyDescent="0.25">
      <c r="A2850" s="51">
        <v>42849</v>
      </c>
      <c r="B2850" s="174" t="s">
        <v>14412</v>
      </c>
      <c r="C2850" s="175"/>
      <c r="D2850" s="176" t="s">
        <v>14412</v>
      </c>
      <c r="E2850" s="176">
        <v>109284</v>
      </c>
      <c r="F2850" s="177" t="s">
        <v>656</v>
      </c>
      <c r="G2850" s="178">
        <v>11591.8</v>
      </c>
      <c r="H2850" s="179">
        <v>42850</v>
      </c>
      <c r="I2850" s="178">
        <f t="shared" si="90"/>
        <v>11591.8</v>
      </c>
      <c r="J2850" s="178">
        <f t="shared" si="89"/>
        <v>0</v>
      </c>
      <c r="K2850" s="19"/>
    </row>
    <row r="2851" spans="1:11" x14ac:dyDescent="0.25">
      <c r="A2851" s="51">
        <v>42849</v>
      </c>
      <c r="B2851" s="174" t="s">
        <v>14413</v>
      </c>
      <c r="C2851" s="175"/>
      <c r="D2851" s="176" t="s">
        <v>14413</v>
      </c>
      <c r="E2851" s="176">
        <v>109285</v>
      </c>
      <c r="F2851" s="177" t="s">
        <v>528</v>
      </c>
      <c r="G2851" s="178">
        <v>3211.5</v>
      </c>
      <c r="H2851" s="179">
        <v>42850</v>
      </c>
      <c r="I2851" s="178">
        <f t="shared" si="90"/>
        <v>3211.5</v>
      </c>
      <c r="J2851" s="178">
        <f t="shared" si="89"/>
        <v>0</v>
      </c>
      <c r="K2851" s="19"/>
    </row>
    <row r="2852" spans="1:11" x14ac:dyDescent="0.25">
      <c r="A2852" s="51">
        <v>42849</v>
      </c>
      <c r="B2852" s="174" t="s">
        <v>14414</v>
      </c>
      <c r="C2852" s="175"/>
      <c r="D2852" s="176" t="s">
        <v>14414</v>
      </c>
      <c r="E2852" s="176">
        <v>109286</v>
      </c>
      <c r="F2852" s="177" t="s">
        <v>30</v>
      </c>
      <c r="G2852" s="178">
        <v>1048.0999999999999</v>
      </c>
      <c r="H2852" s="179">
        <v>42850</v>
      </c>
      <c r="I2852" s="178">
        <f t="shared" si="90"/>
        <v>1048.0999999999999</v>
      </c>
      <c r="J2852" s="178">
        <f t="shared" si="89"/>
        <v>0</v>
      </c>
      <c r="K2852" s="19"/>
    </row>
    <row r="2853" spans="1:11" x14ac:dyDescent="0.25">
      <c r="A2853" s="51">
        <v>42849</v>
      </c>
      <c r="B2853" s="174" t="s">
        <v>14415</v>
      </c>
      <c r="C2853" s="175"/>
      <c r="D2853" s="176" t="s">
        <v>14415</v>
      </c>
      <c r="E2853" s="176">
        <v>109287</v>
      </c>
      <c r="F2853" s="177" t="s">
        <v>30</v>
      </c>
      <c r="G2853" s="178">
        <v>8802</v>
      </c>
      <c r="H2853" s="179">
        <v>42849</v>
      </c>
      <c r="I2853" s="178">
        <f t="shared" si="90"/>
        <v>8802</v>
      </c>
      <c r="J2853" s="178">
        <f t="shared" si="89"/>
        <v>0</v>
      </c>
      <c r="K2853" s="19"/>
    </row>
    <row r="2854" spans="1:11" x14ac:dyDescent="0.25">
      <c r="A2854" s="51">
        <v>42849</v>
      </c>
      <c r="B2854" s="174" t="s">
        <v>14416</v>
      </c>
      <c r="C2854" s="175"/>
      <c r="D2854" s="176" t="s">
        <v>14416</v>
      </c>
      <c r="E2854" s="176">
        <v>109288</v>
      </c>
      <c r="F2854" s="177" t="s">
        <v>360</v>
      </c>
      <c r="G2854" s="178">
        <v>5247.9</v>
      </c>
      <c r="H2854" s="179"/>
      <c r="I2854" s="178">
        <f t="shared" si="90"/>
        <v>5247.9</v>
      </c>
      <c r="J2854" s="178">
        <f t="shared" si="89"/>
        <v>0</v>
      </c>
      <c r="K2854" s="19"/>
    </row>
    <row r="2855" spans="1:11" x14ac:dyDescent="0.25">
      <c r="A2855" s="51">
        <v>42849</v>
      </c>
      <c r="B2855" s="174" t="s">
        <v>14417</v>
      </c>
      <c r="C2855" s="175"/>
      <c r="D2855" s="176" t="s">
        <v>14417</v>
      </c>
      <c r="E2855" s="176">
        <v>109289</v>
      </c>
      <c r="F2855" s="177" t="s">
        <v>5219</v>
      </c>
      <c r="G2855" s="178">
        <v>3304.6</v>
      </c>
      <c r="H2855" s="179">
        <v>42849</v>
      </c>
      <c r="I2855" s="178">
        <f t="shared" si="90"/>
        <v>3304.6</v>
      </c>
      <c r="J2855" s="178">
        <f t="shared" si="89"/>
        <v>0</v>
      </c>
      <c r="K2855" s="19"/>
    </row>
    <row r="2856" spans="1:11" x14ac:dyDescent="0.25">
      <c r="A2856" s="51">
        <v>42849</v>
      </c>
      <c r="B2856" s="174" t="s">
        <v>14418</v>
      </c>
      <c r="C2856" s="175"/>
      <c r="D2856" s="176" t="s">
        <v>14418</v>
      </c>
      <c r="E2856" s="176">
        <v>109290</v>
      </c>
      <c r="F2856" s="177" t="s">
        <v>677</v>
      </c>
      <c r="G2856" s="178">
        <v>1581</v>
      </c>
      <c r="H2856" s="186">
        <v>42851</v>
      </c>
      <c r="I2856" s="187">
        <f t="shared" si="90"/>
        <v>1581</v>
      </c>
      <c r="J2856" s="178">
        <f t="shared" si="89"/>
        <v>0</v>
      </c>
      <c r="K2856" s="19"/>
    </row>
    <row r="2857" spans="1:11" x14ac:dyDescent="0.25">
      <c r="A2857" s="51">
        <v>42849</v>
      </c>
      <c r="B2857" s="174" t="s">
        <v>14419</v>
      </c>
      <c r="C2857" s="175"/>
      <c r="D2857" s="176" t="s">
        <v>14419</v>
      </c>
      <c r="E2857" s="176">
        <v>109291</v>
      </c>
      <c r="F2857" s="177" t="s">
        <v>675</v>
      </c>
      <c r="G2857" s="178">
        <v>1627.2</v>
      </c>
      <c r="H2857" s="186">
        <v>42851</v>
      </c>
      <c r="I2857" s="187">
        <f t="shared" si="90"/>
        <v>1627.2</v>
      </c>
      <c r="J2857" s="178">
        <f t="shared" si="89"/>
        <v>0</v>
      </c>
      <c r="K2857" s="19"/>
    </row>
    <row r="2858" spans="1:11" x14ac:dyDescent="0.25">
      <c r="A2858" s="51">
        <v>42849</v>
      </c>
      <c r="B2858" s="174" t="s">
        <v>14420</v>
      </c>
      <c r="C2858" s="175"/>
      <c r="D2858" s="176" t="s">
        <v>14420</v>
      </c>
      <c r="E2858" s="176">
        <v>109292</v>
      </c>
      <c r="F2858" s="177" t="s">
        <v>1598</v>
      </c>
      <c r="G2858" s="178">
        <v>5894.4</v>
      </c>
      <c r="H2858" s="186" t="s">
        <v>15196</v>
      </c>
      <c r="I2858" s="187">
        <f>5000+894.4</f>
        <v>5894.4</v>
      </c>
      <c r="J2858" s="178">
        <f t="shared" si="89"/>
        <v>0</v>
      </c>
      <c r="K2858" s="19"/>
    </row>
    <row r="2859" spans="1:11" x14ac:dyDescent="0.25">
      <c r="A2859" s="51">
        <v>42849</v>
      </c>
      <c r="B2859" s="174" t="s">
        <v>14421</v>
      </c>
      <c r="C2859" s="175"/>
      <c r="D2859" s="176" t="s">
        <v>14421</v>
      </c>
      <c r="E2859" s="176">
        <v>109293</v>
      </c>
      <c r="F2859" s="177" t="s">
        <v>1197</v>
      </c>
      <c r="G2859" s="178">
        <v>3168</v>
      </c>
      <c r="H2859" s="186">
        <v>42851</v>
      </c>
      <c r="I2859" s="187">
        <f t="shared" si="90"/>
        <v>3168</v>
      </c>
      <c r="J2859" s="178">
        <f t="shared" si="89"/>
        <v>0</v>
      </c>
      <c r="K2859" s="19"/>
    </row>
    <row r="2860" spans="1:11" x14ac:dyDescent="0.25">
      <c r="A2860" s="51">
        <v>42849</v>
      </c>
      <c r="B2860" s="174" t="s">
        <v>14422</v>
      </c>
      <c r="C2860" s="175"/>
      <c r="D2860" s="176" t="s">
        <v>14422</v>
      </c>
      <c r="E2860" s="176">
        <v>109294</v>
      </c>
      <c r="F2860" s="177" t="s">
        <v>686</v>
      </c>
      <c r="G2860" s="178">
        <v>22212.9</v>
      </c>
      <c r="H2860" s="186">
        <v>42851</v>
      </c>
      <c r="I2860" s="187">
        <f t="shared" si="90"/>
        <v>22212.9</v>
      </c>
      <c r="J2860" s="178">
        <f t="shared" si="89"/>
        <v>0</v>
      </c>
      <c r="K2860" s="19"/>
    </row>
    <row r="2861" spans="1:11" x14ac:dyDescent="0.25">
      <c r="A2861" s="51">
        <v>42849</v>
      </c>
      <c r="B2861" s="174" t="s">
        <v>14423</v>
      </c>
      <c r="C2861" s="175"/>
      <c r="D2861" s="176" t="s">
        <v>14423</v>
      </c>
      <c r="E2861" s="176">
        <v>109295</v>
      </c>
      <c r="F2861" s="177" t="s">
        <v>688</v>
      </c>
      <c r="G2861" s="178">
        <v>3096.6</v>
      </c>
      <c r="H2861" s="186">
        <v>42851</v>
      </c>
      <c r="I2861" s="187">
        <f t="shared" si="90"/>
        <v>3096.6</v>
      </c>
      <c r="J2861" s="178">
        <f t="shared" si="89"/>
        <v>0</v>
      </c>
      <c r="K2861" s="19"/>
    </row>
    <row r="2862" spans="1:11" x14ac:dyDescent="0.25">
      <c r="A2862" s="51">
        <v>42849</v>
      </c>
      <c r="B2862" s="174" t="s">
        <v>14424</v>
      </c>
      <c r="C2862" s="175"/>
      <c r="D2862" s="176" t="s">
        <v>14424</v>
      </c>
      <c r="E2862" s="176">
        <v>109296</v>
      </c>
      <c r="F2862" s="177" t="s">
        <v>680</v>
      </c>
      <c r="G2862" s="178">
        <v>3690</v>
      </c>
      <c r="H2862" s="186">
        <v>42851</v>
      </c>
      <c r="I2862" s="187">
        <f t="shared" si="90"/>
        <v>3690</v>
      </c>
      <c r="J2862" s="178">
        <f t="shared" si="89"/>
        <v>0</v>
      </c>
      <c r="K2862" s="19"/>
    </row>
    <row r="2863" spans="1:11" x14ac:dyDescent="0.25">
      <c r="A2863" s="51">
        <v>42849</v>
      </c>
      <c r="B2863" s="174" t="s">
        <v>14425</v>
      </c>
      <c r="C2863" s="175"/>
      <c r="D2863" s="176" t="s">
        <v>14425</v>
      </c>
      <c r="E2863" s="176">
        <v>109297</v>
      </c>
      <c r="F2863" s="177" t="s">
        <v>2054</v>
      </c>
      <c r="G2863" s="178">
        <v>2980.4</v>
      </c>
      <c r="H2863" s="179">
        <v>42849</v>
      </c>
      <c r="I2863" s="178">
        <f t="shared" si="90"/>
        <v>2980.4</v>
      </c>
      <c r="J2863" s="178">
        <f t="shared" si="89"/>
        <v>0</v>
      </c>
      <c r="K2863" s="19"/>
    </row>
    <row r="2864" spans="1:11" x14ac:dyDescent="0.25">
      <c r="A2864" s="51">
        <v>42849</v>
      </c>
      <c r="B2864" s="174" t="s">
        <v>14426</v>
      </c>
      <c r="C2864" s="175"/>
      <c r="D2864" s="176" t="s">
        <v>14426</v>
      </c>
      <c r="E2864" s="176">
        <v>109298</v>
      </c>
      <c r="F2864" s="177" t="s">
        <v>670</v>
      </c>
      <c r="G2864" s="178">
        <v>62981.88</v>
      </c>
      <c r="H2864" s="184">
        <v>42854</v>
      </c>
      <c r="I2864" s="183">
        <f t="shared" si="90"/>
        <v>62981.88</v>
      </c>
      <c r="J2864" s="178">
        <f t="shared" si="89"/>
        <v>0</v>
      </c>
      <c r="K2864" s="19"/>
    </row>
    <row r="2865" spans="1:11" x14ac:dyDescent="0.25">
      <c r="A2865" s="51">
        <v>42849</v>
      </c>
      <c r="B2865" s="174" t="s">
        <v>14427</v>
      </c>
      <c r="C2865" s="175"/>
      <c r="D2865" s="176" t="s">
        <v>14427</v>
      </c>
      <c r="E2865" s="176">
        <v>109299</v>
      </c>
      <c r="F2865" s="177" t="s">
        <v>405</v>
      </c>
      <c r="G2865" s="178">
        <v>4454</v>
      </c>
      <c r="H2865" s="179">
        <v>42850</v>
      </c>
      <c r="I2865" s="178">
        <f t="shared" si="90"/>
        <v>4454</v>
      </c>
      <c r="J2865" s="178">
        <f t="shared" si="89"/>
        <v>0</v>
      </c>
      <c r="K2865" s="19"/>
    </row>
    <row r="2866" spans="1:11" x14ac:dyDescent="0.25">
      <c r="A2866" s="51">
        <v>42849</v>
      </c>
      <c r="B2866" s="174" t="s">
        <v>14428</v>
      </c>
      <c r="C2866" s="175"/>
      <c r="D2866" s="176" t="s">
        <v>14428</v>
      </c>
      <c r="E2866" s="176">
        <v>109300</v>
      </c>
      <c r="F2866" s="177" t="s">
        <v>30</v>
      </c>
      <c r="G2866" s="178">
        <v>594</v>
      </c>
      <c r="H2866" s="186">
        <v>42851</v>
      </c>
      <c r="I2866" s="187">
        <f t="shared" si="90"/>
        <v>594</v>
      </c>
      <c r="J2866" s="178">
        <f t="shared" si="89"/>
        <v>0</v>
      </c>
      <c r="K2866" s="19"/>
    </row>
    <row r="2867" spans="1:11" x14ac:dyDescent="0.25">
      <c r="A2867" s="51">
        <v>42849</v>
      </c>
      <c r="B2867" s="174" t="s">
        <v>14429</v>
      </c>
      <c r="C2867" s="175"/>
      <c r="D2867" s="176" t="s">
        <v>14429</v>
      </c>
      <c r="E2867" s="176">
        <v>109301</v>
      </c>
      <c r="F2867" s="177" t="s">
        <v>147</v>
      </c>
      <c r="G2867" s="178">
        <v>24144</v>
      </c>
      <c r="H2867" s="179">
        <v>42850</v>
      </c>
      <c r="I2867" s="178">
        <f t="shared" si="90"/>
        <v>24144</v>
      </c>
      <c r="J2867" s="178">
        <f t="shared" si="89"/>
        <v>0</v>
      </c>
      <c r="K2867" s="19"/>
    </row>
    <row r="2868" spans="1:11" x14ac:dyDescent="0.25">
      <c r="A2868" s="51">
        <v>42849</v>
      </c>
      <c r="B2868" s="174" t="s">
        <v>14430</v>
      </c>
      <c r="C2868" s="175"/>
      <c r="D2868" s="176" t="s">
        <v>14430</v>
      </c>
      <c r="E2868" s="176">
        <v>109302</v>
      </c>
      <c r="F2868" s="177" t="s">
        <v>205</v>
      </c>
      <c r="G2868" s="178">
        <v>7402.2</v>
      </c>
      <c r="H2868" s="179">
        <v>42850</v>
      </c>
      <c r="I2868" s="178">
        <f t="shared" si="90"/>
        <v>7402.2</v>
      </c>
      <c r="J2868" s="178">
        <f t="shared" si="89"/>
        <v>0</v>
      </c>
      <c r="K2868" s="19"/>
    </row>
    <row r="2869" spans="1:11" x14ac:dyDescent="0.25">
      <c r="A2869" s="51">
        <v>42849</v>
      </c>
      <c r="B2869" s="174" t="s">
        <v>14431</v>
      </c>
      <c r="C2869" s="175"/>
      <c r="D2869" s="176" t="s">
        <v>14431</v>
      </c>
      <c r="E2869" s="176">
        <v>109303</v>
      </c>
      <c r="F2869" s="177" t="s">
        <v>673</v>
      </c>
      <c r="G2869" s="178">
        <v>13180.8</v>
      </c>
      <c r="H2869" s="186">
        <v>42851</v>
      </c>
      <c r="I2869" s="187">
        <f t="shared" si="90"/>
        <v>13180.8</v>
      </c>
      <c r="J2869" s="178">
        <f t="shared" si="89"/>
        <v>0</v>
      </c>
      <c r="K2869" s="19"/>
    </row>
    <row r="2870" spans="1:11" x14ac:dyDescent="0.25">
      <c r="A2870" s="51">
        <v>42849</v>
      </c>
      <c r="B2870" s="174" t="s">
        <v>14432</v>
      </c>
      <c r="C2870" s="175"/>
      <c r="D2870" s="176" t="s">
        <v>14432</v>
      </c>
      <c r="E2870" s="176">
        <v>109304</v>
      </c>
      <c r="F2870" s="177" t="s">
        <v>47</v>
      </c>
      <c r="G2870" s="178">
        <v>648.6</v>
      </c>
      <c r="H2870" s="179">
        <v>42849</v>
      </c>
      <c r="I2870" s="178">
        <f t="shared" si="90"/>
        <v>648.6</v>
      </c>
      <c r="J2870" s="178">
        <f t="shared" si="89"/>
        <v>0</v>
      </c>
      <c r="K2870" s="19"/>
    </row>
    <row r="2871" spans="1:11" x14ac:dyDescent="0.25">
      <c r="A2871" s="51">
        <v>42849</v>
      </c>
      <c r="B2871" s="174" t="s">
        <v>14433</v>
      </c>
      <c r="C2871" s="175"/>
      <c r="D2871" s="176" t="s">
        <v>14433</v>
      </c>
      <c r="E2871" s="176">
        <v>109305</v>
      </c>
      <c r="F2871" s="177" t="s">
        <v>47</v>
      </c>
      <c r="G2871" s="178">
        <v>827.2</v>
      </c>
      <c r="H2871" s="179">
        <v>42849</v>
      </c>
      <c r="I2871" s="178">
        <f t="shared" si="90"/>
        <v>827.2</v>
      </c>
      <c r="J2871" s="178">
        <f t="shared" si="89"/>
        <v>0</v>
      </c>
      <c r="K2871" s="19"/>
    </row>
    <row r="2872" spans="1:11" x14ac:dyDescent="0.25">
      <c r="A2872" s="51">
        <v>42849</v>
      </c>
      <c r="B2872" s="174" t="s">
        <v>14434</v>
      </c>
      <c r="C2872" s="175"/>
      <c r="D2872" s="176" t="s">
        <v>14434</v>
      </c>
      <c r="E2872" s="176">
        <v>109306</v>
      </c>
      <c r="F2872" s="177" t="s">
        <v>220</v>
      </c>
      <c r="G2872" s="178">
        <v>3087.2</v>
      </c>
      <c r="H2872" s="186">
        <v>42851</v>
      </c>
      <c r="I2872" s="187">
        <f t="shared" si="90"/>
        <v>3087.2</v>
      </c>
      <c r="J2872" s="178">
        <f t="shared" si="89"/>
        <v>0</v>
      </c>
      <c r="K2872" s="19"/>
    </row>
    <row r="2873" spans="1:11" x14ac:dyDescent="0.25">
      <c r="A2873" s="51">
        <v>42849</v>
      </c>
      <c r="B2873" s="174" t="s">
        <v>14435</v>
      </c>
      <c r="C2873" s="175"/>
      <c r="D2873" s="176" t="s">
        <v>14435</v>
      </c>
      <c r="E2873" s="176">
        <v>109307</v>
      </c>
      <c r="F2873" s="177" t="s">
        <v>937</v>
      </c>
      <c r="G2873" s="178">
        <v>3114</v>
      </c>
      <c r="H2873" s="186">
        <v>42851</v>
      </c>
      <c r="I2873" s="187">
        <f t="shared" si="90"/>
        <v>3114</v>
      </c>
      <c r="J2873" s="178">
        <f t="shared" si="89"/>
        <v>0</v>
      </c>
      <c r="K2873" s="19"/>
    </row>
    <row r="2874" spans="1:11" x14ac:dyDescent="0.25">
      <c r="A2874" s="51">
        <v>42850</v>
      </c>
      <c r="B2874" s="174" t="s">
        <v>14436</v>
      </c>
      <c r="C2874" s="175"/>
      <c r="D2874" s="176" t="s">
        <v>14436</v>
      </c>
      <c r="E2874" s="176">
        <v>109308</v>
      </c>
      <c r="F2874" s="177" t="s">
        <v>231</v>
      </c>
      <c r="G2874" s="178">
        <v>5872.7</v>
      </c>
      <c r="H2874" s="186">
        <v>42851</v>
      </c>
      <c r="I2874" s="187">
        <f t="shared" si="90"/>
        <v>5872.7</v>
      </c>
      <c r="J2874" s="178">
        <f t="shared" si="89"/>
        <v>0</v>
      </c>
      <c r="K2874" s="19"/>
    </row>
    <row r="2875" spans="1:11" x14ac:dyDescent="0.25">
      <c r="A2875" s="51">
        <v>42850</v>
      </c>
      <c r="B2875" s="174" t="s">
        <v>14437</v>
      </c>
      <c r="C2875" s="175"/>
      <c r="D2875" s="176" t="s">
        <v>14437</v>
      </c>
      <c r="E2875" s="176">
        <v>109309</v>
      </c>
      <c r="F2875" s="177" t="s">
        <v>231</v>
      </c>
      <c r="G2875" s="178">
        <v>38330.699999999997</v>
      </c>
      <c r="H2875" s="186">
        <v>42851</v>
      </c>
      <c r="I2875" s="187">
        <f t="shared" si="90"/>
        <v>38330.699999999997</v>
      </c>
      <c r="J2875" s="178">
        <f t="shared" si="89"/>
        <v>0</v>
      </c>
      <c r="K2875" s="19"/>
    </row>
    <row r="2876" spans="1:11" x14ac:dyDescent="0.25">
      <c r="A2876" s="51">
        <v>42850</v>
      </c>
      <c r="B2876" s="174" t="s">
        <v>14438</v>
      </c>
      <c r="C2876" s="175"/>
      <c r="D2876" s="176" t="s">
        <v>14438</v>
      </c>
      <c r="E2876" s="176">
        <v>109310</v>
      </c>
      <c r="F2876" s="177" t="s">
        <v>264</v>
      </c>
      <c r="G2876" s="178">
        <v>7433.4</v>
      </c>
      <c r="H2876" s="179">
        <v>42850</v>
      </c>
      <c r="I2876" s="178">
        <f t="shared" si="90"/>
        <v>7433.4</v>
      </c>
      <c r="J2876" s="178">
        <f t="shared" si="89"/>
        <v>0</v>
      </c>
      <c r="K2876" s="19"/>
    </row>
    <row r="2877" spans="1:11" x14ac:dyDescent="0.25">
      <c r="A2877" s="51">
        <v>42850</v>
      </c>
      <c r="B2877" s="174" t="s">
        <v>14439</v>
      </c>
      <c r="C2877" s="175"/>
      <c r="D2877" s="176" t="s">
        <v>14439</v>
      </c>
      <c r="E2877" s="176">
        <v>109311</v>
      </c>
      <c r="F2877" s="177" t="s">
        <v>222</v>
      </c>
      <c r="G2877" s="178">
        <v>20495.55</v>
      </c>
      <c r="H2877" s="184">
        <v>42852</v>
      </c>
      <c r="I2877" s="183">
        <f t="shared" si="90"/>
        <v>20495.55</v>
      </c>
      <c r="J2877" s="178">
        <f t="shared" si="89"/>
        <v>0</v>
      </c>
      <c r="K2877" s="19"/>
    </row>
    <row r="2878" spans="1:11" x14ac:dyDescent="0.25">
      <c r="A2878" s="51">
        <v>42850</v>
      </c>
      <c r="B2878" s="174" t="s">
        <v>14440</v>
      </c>
      <c r="C2878" s="175"/>
      <c r="D2878" s="176" t="s">
        <v>14440</v>
      </c>
      <c r="E2878" s="176">
        <v>109312</v>
      </c>
      <c r="F2878" s="177" t="s">
        <v>1786</v>
      </c>
      <c r="G2878" s="178">
        <v>5929</v>
      </c>
      <c r="H2878" s="179">
        <v>42850</v>
      </c>
      <c r="I2878" s="178">
        <f t="shared" si="90"/>
        <v>5929</v>
      </c>
      <c r="J2878" s="178">
        <f t="shared" si="89"/>
        <v>0</v>
      </c>
      <c r="K2878" s="19"/>
    </row>
    <row r="2879" spans="1:11" x14ac:dyDescent="0.25">
      <c r="A2879" s="51">
        <v>42850</v>
      </c>
      <c r="B2879" s="174" t="s">
        <v>14441</v>
      </c>
      <c r="C2879" s="175"/>
      <c r="D2879" s="176" t="s">
        <v>14441</v>
      </c>
      <c r="E2879" s="176">
        <v>109313</v>
      </c>
      <c r="F2879" s="177" t="s">
        <v>35</v>
      </c>
      <c r="G2879" s="178">
        <v>8570.6</v>
      </c>
      <c r="H2879" s="184">
        <v>42852</v>
      </c>
      <c r="I2879" s="183">
        <f t="shared" si="90"/>
        <v>8570.6</v>
      </c>
      <c r="J2879" s="178">
        <f t="shared" si="89"/>
        <v>0</v>
      </c>
      <c r="K2879" s="19"/>
    </row>
    <row r="2880" spans="1:11" x14ac:dyDescent="0.25">
      <c r="A2880" s="51">
        <v>42850</v>
      </c>
      <c r="B2880" s="174" t="s">
        <v>14442</v>
      </c>
      <c r="C2880" s="175"/>
      <c r="D2880" s="176" t="s">
        <v>14442</v>
      </c>
      <c r="E2880" s="176">
        <v>109314</v>
      </c>
      <c r="F2880" s="177" t="s">
        <v>32</v>
      </c>
      <c r="G2880" s="178">
        <v>2599.6</v>
      </c>
      <c r="H2880" s="184">
        <v>42852</v>
      </c>
      <c r="I2880" s="183">
        <f t="shared" si="90"/>
        <v>2599.6</v>
      </c>
      <c r="J2880" s="178">
        <f t="shared" si="89"/>
        <v>0</v>
      </c>
      <c r="K2880" s="19"/>
    </row>
    <row r="2881" spans="1:11" x14ac:dyDescent="0.25">
      <c r="A2881" s="51">
        <v>42850</v>
      </c>
      <c r="B2881" s="174" t="s">
        <v>14443</v>
      </c>
      <c r="C2881" s="175"/>
      <c r="D2881" s="176" t="s">
        <v>14443</v>
      </c>
      <c r="E2881" s="176">
        <v>109315</v>
      </c>
      <c r="F2881" s="177" t="s">
        <v>38</v>
      </c>
      <c r="G2881" s="178">
        <v>3092.1</v>
      </c>
      <c r="H2881" s="186" t="s">
        <v>15185</v>
      </c>
      <c r="I2881" s="187">
        <f>2092+1000.1</f>
        <v>3092.1</v>
      </c>
      <c r="J2881" s="178">
        <f t="shared" si="89"/>
        <v>0</v>
      </c>
      <c r="K2881" s="19"/>
    </row>
    <row r="2882" spans="1:11" x14ac:dyDescent="0.25">
      <c r="A2882" s="51">
        <v>42850</v>
      </c>
      <c r="B2882" s="174" t="s">
        <v>14444</v>
      </c>
      <c r="C2882" s="175"/>
      <c r="D2882" s="176" t="s">
        <v>14444</v>
      </c>
      <c r="E2882" s="176">
        <v>109316</v>
      </c>
      <c r="F2882" s="177" t="s">
        <v>253</v>
      </c>
      <c r="G2882" s="178">
        <v>5402.4</v>
      </c>
      <c r="H2882" s="186">
        <v>42856</v>
      </c>
      <c r="I2882" s="187">
        <f t="shared" si="90"/>
        <v>5402.4</v>
      </c>
      <c r="J2882" s="178">
        <f t="shared" si="89"/>
        <v>0</v>
      </c>
      <c r="K2882" s="19"/>
    </row>
    <row r="2883" spans="1:11" x14ac:dyDescent="0.25">
      <c r="A2883" s="51">
        <v>42850</v>
      </c>
      <c r="B2883" s="174" t="s">
        <v>14445</v>
      </c>
      <c r="C2883" s="175"/>
      <c r="D2883" s="176" t="s">
        <v>14445</v>
      </c>
      <c r="E2883" s="176">
        <v>109317</v>
      </c>
      <c r="F2883" s="177" t="s">
        <v>17</v>
      </c>
      <c r="G2883" s="178">
        <v>1544.4</v>
      </c>
      <c r="H2883" s="179">
        <v>42850</v>
      </c>
      <c r="I2883" s="178">
        <f t="shared" si="90"/>
        <v>1544.4</v>
      </c>
      <c r="J2883" s="178">
        <f t="shared" si="89"/>
        <v>0</v>
      </c>
      <c r="K2883" s="19"/>
    </row>
    <row r="2884" spans="1:11" x14ac:dyDescent="0.25">
      <c r="A2884" s="51">
        <v>42850</v>
      </c>
      <c r="B2884" s="174" t="s">
        <v>14446</v>
      </c>
      <c r="C2884" s="175"/>
      <c r="D2884" s="176" t="s">
        <v>14446</v>
      </c>
      <c r="E2884" s="176">
        <v>109318</v>
      </c>
      <c r="F2884" s="177" t="s">
        <v>14063</v>
      </c>
      <c r="G2884" s="178">
        <v>2204.4</v>
      </c>
      <c r="H2884" s="179">
        <v>42850</v>
      </c>
      <c r="I2884" s="178">
        <f t="shared" si="90"/>
        <v>2204.4</v>
      </c>
      <c r="J2884" s="178">
        <f t="shared" ref="J2884:J2947" si="91">G2884-I2884</f>
        <v>0</v>
      </c>
      <c r="K2884" s="19"/>
    </row>
    <row r="2885" spans="1:11" x14ac:dyDescent="0.25">
      <c r="A2885" s="51">
        <v>42850</v>
      </c>
      <c r="B2885" s="174" t="s">
        <v>14447</v>
      </c>
      <c r="C2885" s="175"/>
      <c r="D2885" s="176" t="s">
        <v>14447</v>
      </c>
      <c r="E2885" s="176">
        <v>109319</v>
      </c>
      <c r="F2885" s="177" t="s">
        <v>428</v>
      </c>
      <c r="G2885" s="178">
        <v>1240.8</v>
      </c>
      <c r="H2885" s="184">
        <v>42853</v>
      </c>
      <c r="I2885" s="183">
        <f t="shared" ref="I2885:I2948" si="92">G2885</f>
        <v>1240.8</v>
      </c>
      <c r="J2885" s="178">
        <f t="shared" si="91"/>
        <v>0</v>
      </c>
      <c r="K2885" s="19"/>
    </row>
    <row r="2886" spans="1:11" x14ac:dyDescent="0.25">
      <c r="A2886" s="51">
        <v>42850</v>
      </c>
      <c r="B2886" s="174" t="s">
        <v>14448</v>
      </c>
      <c r="C2886" s="175"/>
      <c r="D2886" s="176" t="s">
        <v>14448</v>
      </c>
      <c r="E2886" s="176">
        <v>109320</v>
      </c>
      <c r="F2886" s="177" t="s">
        <v>51</v>
      </c>
      <c r="G2886" s="178">
        <v>2706</v>
      </c>
      <c r="H2886" s="184">
        <v>42852</v>
      </c>
      <c r="I2886" s="183">
        <f t="shared" si="92"/>
        <v>2706</v>
      </c>
      <c r="J2886" s="178">
        <f t="shared" si="91"/>
        <v>0</v>
      </c>
      <c r="K2886" s="19"/>
    </row>
    <row r="2887" spans="1:11" x14ac:dyDescent="0.25">
      <c r="A2887" s="51">
        <v>42850</v>
      </c>
      <c r="B2887" s="174" t="s">
        <v>14449</v>
      </c>
      <c r="C2887" s="175"/>
      <c r="D2887" s="176" t="s">
        <v>14449</v>
      </c>
      <c r="E2887" s="176">
        <v>109321</v>
      </c>
      <c r="F2887" s="177" t="s">
        <v>69</v>
      </c>
      <c r="G2887" s="178">
        <v>2017.6</v>
      </c>
      <c r="H2887" s="179">
        <v>42850</v>
      </c>
      <c r="I2887" s="178">
        <f t="shared" si="92"/>
        <v>2017.6</v>
      </c>
      <c r="J2887" s="178">
        <f t="shared" si="91"/>
        <v>0</v>
      </c>
      <c r="K2887" s="19"/>
    </row>
    <row r="2888" spans="1:11" x14ac:dyDescent="0.25">
      <c r="A2888" s="51">
        <v>42850</v>
      </c>
      <c r="B2888" s="174" t="s">
        <v>14450</v>
      </c>
      <c r="C2888" s="175"/>
      <c r="D2888" s="176" t="s">
        <v>14450</v>
      </c>
      <c r="E2888" s="176">
        <v>109322</v>
      </c>
      <c r="F2888" s="177" t="s">
        <v>250</v>
      </c>
      <c r="G2888" s="178">
        <v>5531.3</v>
      </c>
      <c r="H2888" s="186">
        <v>42851</v>
      </c>
      <c r="I2888" s="187">
        <f t="shared" si="92"/>
        <v>5531.3</v>
      </c>
      <c r="J2888" s="178">
        <f t="shared" si="91"/>
        <v>0</v>
      </c>
      <c r="K2888" s="19"/>
    </row>
    <row r="2889" spans="1:11" x14ac:dyDescent="0.25">
      <c r="A2889" s="51">
        <v>42850</v>
      </c>
      <c r="B2889" s="174" t="s">
        <v>14451</v>
      </c>
      <c r="C2889" s="175"/>
      <c r="D2889" s="176" t="s">
        <v>14451</v>
      </c>
      <c r="E2889" s="176">
        <v>109323</v>
      </c>
      <c r="F2889" s="177" t="s">
        <v>26</v>
      </c>
      <c r="G2889" s="178">
        <v>8183.9</v>
      </c>
      <c r="H2889" s="179">
        <v>42850</v>
      </c>
      <c r="I2889" s="178">
        <f t="shared" si="92"/>
        <v>8183.9</v>
      </c>
      <c r="J2889" s="178">
        <f t="shared" si="91"/>
        <v>0</v>
      </c>
      <c r="K2889" s="19"/>
    </row>
    <row r="2890" spans="1:11" x14ac:dyDescent="0.25">
      <c r="A2890" s="51">
        <v>42850</v>
      </c>
      <c r="B2890" s="174" t="s">
        <v>14452</v>
      </c>
      <c r="C2890" s="175"/>
      <c r="D2890" s="176" t="s">
        <v>14452</v>
      </c>
      <c r="E2890" s="176">
        <v>109324</v>
      </c>
      <c r="F2890" s="177" t="s">
        <v>71</v>
      </c>
      <c r="G2890" s="178">
        <v>1671</v>
      </c>
      <c r="H2890" s="179">
        <v>42850</v>
      </c>
      <c r="I2890" s="178">
        <f t="shared" si="92"/>
        <v>1671</v>
      </c>
      <c r="J2890" s="178">
        <f t="shared" si="91"/>
        <v>0</v>
      </c>
      <c r="K2890" s="19"/>
    </row>
    <row r="2891" spans="1:11" x14ac:dyDescent="0.25">
      <c r="A2891" s="51">
        <v>42850</v>
      </c>
      <c r="B2891" s="174" t="s">
        <v>14453</v>
      </c>
      <c r="C2891" s="175"/>
      <c r="D2891" s="176" t="s">
        <v>14453</v>
      </c>
      <c r="E2891" s="176">
        <v>109325</v>
      </c>
      <c r="F2891" s="177" t="s">
        <v>12879</v>
      </c>
      <c r="G2891" s="178">
        <v>2280.9</v>
      </c>
      <c r="H2891" s="179">
        <v>42850</v>
      </c>
      <c r="I2891" s="178">
        <f t="shared" si="92"/>
        <v>2280.9</v>
      </c>
      <c r="J2891" s="178">
        <f t="shared" si="91"/>
        <v>0</v>
      </c>
      <c r="K2891" s="19"/>
    </row>
    <row r="2892" spans="1:11" x14ac:dyDescent="0.25">
      <c r="A2892" s="51">
        <v>42850</v>
      </c>
      <c r="B2892" s="174" t="s">
        <v>14454</v>
      </c>
      <c r="C2892" s="175"/>
      <c r="D2892" s="176" t="s">
        <v>14454</v>
      </c>
      <c r="E2892" s="176">
        <v>109326</v>
      </c>
      <c r="F2892" s="177" t="s">
        <v>135</v>
      </c>
      <c r="G2892" s="178">
        <v>3670.8</v>
      </c>
      <c r="H2892" s="179">
        <v>42850</v>
      </c>
      <c r="I2892" s="178">
        <f t="shared" si="92"/>
        <v>3670.8</v>
      </c>
      <c r="J2892" s="178">
        <f t="shared" si="91"/>
        <v>0</v>
      </c>
      <c r="K2892" s="19"/>
    </row>
    <row r="2893" spans="1:11" x14ac:dyDescent="0.25">
      <c r="A2893" s="51">
        <v>42850</v>
      </c>
      <c r="B2893" s="174" t="s">
        <v>14455</v>
      </c>
      <c r="C2893" s="175"/>
      <c r="D2893" s="176" t="s">
        <v>14455</v>
      </c>
      <c r="E2893" s="176">
        <v>109327</v>
      </c>
      <c r="F2893" s="177" t="s">
        <v>358</v>
      </c>
      <c r="G2893" s="178">
        <v>37166.400000000001</v>
      </c>
      <c r="H2893" s="179">
        <v>42850</v>
      </c>
      <c r="I2893" s="178">
        <f t="shared" si="92"/>
        <v>37166.400000000001</v>
      </c>
      <c r="J2893" s="178">
        <f t="shared" si="91"/>
        <v>0</v>
      </c>
      <c r="K2893" s="19"/>
    </row>
    <row r="2894" spans="1:11" x14ac:dyDescent="0.25">
      <c r="A2894" s="51">
        <v>42850</v>
      </c>
      <c r="B2894" s="174" t="s">
        <v>14456</v>
      </c>
      <c r="C2894" s="175"/>
      <c r="D2894" s="176" t="s">
        <v>14456</v>
      </c>
      <c r="E2894" s="176">
        <v>109328</v>
      </c>
      <c r="F2894" s="177" t="s">
        <v>28</v>
      </c>
      <c r="G2894" s="178">
        <v>8648</v>
      </c>
      <c r="H2894" s="179">
        <v>42850</v>
      </c>
      <c r="I2894" s="178">
        <f t="shared" si="92"/>
        <v>8648</v>
      </c>
      <c r="J2894" s="178">
        <f t="shared" si="91"/>
        <v>0</v>
      </c>
      <c r="K2894" s="19"/>
    </row>
    <row r="2895" spans="1:11" x14ac:dyDescent="0.25">
      <c r="A2895" s="51">
        <v>42850</v>
      </c>
      <c r="B2895" s="174" t="s">
        <v>14457</v>
      </c>
      <c r="C2895" s="175"/>
      <c r="D2895" s="176" t="s">
        <v>14457</v>
      </c>
      <c r="E2895" s="176">
        <v>109329</v>
      </c>
      <c r="F2895" s="177" t="s">
        <v>47</v>
      </c>
      <c r="G2895" s="178">
        <v>3227.1</v>
      </c>
      <c r="H2895" s="179">
        <v>42850</v>
      </c>
      <c r="I2895" s="178">
        <f t="shared" si="92"/>
        <v>3227.1</v>
      </c>
      <c r="J2895" s="178">
        <f t="shared" si="91"/>
        <v>0</v>
      </c>
      <c r="K2895" s="19"/>
    </row>
    <row r="2896" spans="1:11" x14ac:dyDescent="0.25">
      <c r="A2896" s="51">
        <v>42850</v>
      </c>
      <c r="B2896" s="174" t="s">
        <v>14458</v>
      </c>
      <c r="C2896" s="175"/>
      <c r="D2896" s="176" t="s">
        <v>14458</v>
      </c>
      <c r="E2896" s="176">
        <v>109330</v>
      </c>
      <c r="F2896" s="177" t="s">
        <v>49</v>
      </c>
      <c r="G2896" s="178">
        <v>11319</v>
      </c>
      <c r="H2896" s="184">
        <v>42854</v>
      </c>
      <c r="I2896" s="183">
        <f t="shared" si="92"/>
        <v>11319</v>
      </c>
      <c r="J2896" s="178">
        <f t="shared" si="91"/>
        <v>0</v>
      </c>
      <c r="K2896" s="19"/>
    </row>
    <row r="2897" spans="1:11" x14ac:dyDescent="0.25">
      <c r="A2897" s="51">
        <v>42850</v>
      </c>
      <c r="B2897" s="174" t="s">
        <v>14459</v>
      </c>
      <c r="C2897" s="175"/>
      <c r="D2897" s="176" t="s">
        <v>14459</v>
      </c>
      <c r="E2897" s="176">
        <v>109331</v>
      </c>
      <c r="F2897" s="177" t="s">
        <v>509</v>
      </c>
      <c r="G2897" s="178">
        <v>800.8</v>
      </c>
      <c r="H2897" s="179">
        <v>42850</v>
      </c>
      <c r="I2897" s="178">
        <f t="shared" si="92"/>
        <v>800.8</v>
      </c>
      <c r="J2897" s="178">
        <f t="shared" si="91"/>
        <v>0</v>
      </c>
      <c r="K2897" s="19"/>
    </row>
    <row r="2898" spans="1:11" x14ac:dyDescent="0.25">
      <c r="A2898" s="51">
        <v>42850</v>
      </c>
      <c r="B2898" s="174" t="s">
        <v>14460</v>
      </c>
      <c r="C2898" s="175"/>
      <c r="D2898" s="176" t="s">
        <v>14460</v>
      </c>
      <c r="E2898" s="176">
        <v>109332</v>
      </c>
      <c r="F2898" s="177" t="s">
        <v>69</v>
      </c>
      <c r="G2898" s="178">
        <v>3106.4</v>
      </c>
      <c r="H2898" s="179">
        <v>42850</v>
      </c>
      <c r="I2898" s="178">
        <f t="shared" si="92"/>
        <v>3106.4</v>
      </c>
      <c r="J2898" s="178">
        <f t="shared" si="91"/>
        <v>0</v>
      </c>
      <c r="K2898" s="19"/>
    </row>
    <row r="2899" spans="1:11" x14ac:dyDescent="0.25">
      <c r="A2899" s="51">
        <v>42850</v>
      </c>
      <c r="B2899" s="174" t="s">
        <v>14461</v>
      </c>
      <c r="C2899" s="175"/>
      <c r="D2899" s="176" t="s">
        <v>14461</v>
      </c>
      <c r="E2899" s="176">
        <v>109333</v>
      </c>
      <c r="F2899" s="177" t="s">
        <v>151</v>
      </c>
      <c r="G2899" s="178">
        <v>14808.3</v>
      </c>
      <c r="H2899" s="179">
        <v>42850</v>
      </c>
      <c r="I2899" s="178">
        <f t="shared" si="92"/>
        <v>14808.3</v>
      </c>
      <c r="J2899" s="178">
        <f t="shared" si="91"/>
        <v>0</v>
      </c>
      <c r="K2899" s="19"/>
    </row>
    <row r="2900" spans="1:11" x14ac:dyDescent="0.25">
      <c r="A2900" s="51">
        <v>42850</v>
      </c>
      <c r="B2900" s="174" t="s">
        <v>14462</v>
      </c>
      <c r="C2900" s="175"/>
      <c r="D2900" s="176" t="s">
        <v>14462</v>
      </c>
      <c r="E2900" s="176">
        <v>109334</v>
      </c>
      <c r="F2900" s="177" t="s">
        <v>151</v>
      </c>
      <c r="G2900" s="178">
        <v>15381.8</v>
      </c>
      <c r="H2900" s="179">
        <v>42850</v>
      </c>
      <c r="I2900" s="178">
        <f t="shared" si="92"/>
        <v>15381.8</v>
      </c>
      <c r="J2900" s="178">
        <f t="shared" si="91"/>
        <v>0</v>
      </c>
      <c r="K2900" s="19"/>
    </row>
    <row r="2901" spans="1:11" x14ac:dyDescent="0.25">
      <c r="A2901" s="51">
        <v>42850</v>
      </c>
      <c r="B2901" s="174" t="s">
        <v>14463</v>
      </c>
      <c r="C2901" s="175"/>
      <c r="D2901" s="176" t="s">
        <v>14463</v>
      </c>
      <c r="E2901" s="176">
        <v>109335</v>
      </c>
      <c r="F2901" s="177" t="s">
        <v>157</v>
      </c>
      <c r="G2901" s="178">
        <v>30649.599999999999</v>
      </c>
      <c r="H2901" s="179">
        <v>42850</v>
      </c>
      <c r="I2901" s="178">
        <f t="shared" si="92"/>
        <v>30649.599999999999</v>
      </c>
      <c r="J2901" s="178">
        <f t="shared" si="91"/>
        <v>0</v>
      </c>
      <c r="K2901" s="19"/>
    </row>
    <row r="2902" spans="1:11" x14ac:dyDescent="0.25">
      <c r="A2902" s="51">
        <v>42850</v>
      </c>
      <c r="B2902" s="174" t="s">
        <v>14464</v>
      </c>
      <c r="C2902" s="175"/>
      <c r="D2902" s="176" t="s">
        <v>14464</v>
      </c>
      <c r="E2902" s="176">
        <v>109336</v>
      </c>
      <c r="F2902" s="177" t="s">
        <v>386</v>
      </c>
      <c r="G2902" s="178">
        <v>4140</v>
      </c>
      <c r="H2902" s="179">
        <v>42850</v>
      </c>
      <c r="I2902" s="178">
        <f t="shared" si="92"/>
        <v>4140</v>
      </c>
      <c r="J2902" s="178">
        <f t="shared" si="91"/>
        <v>0</v>
      </c>
      <c r="K2902" s="19"/>
    </row>
    <row r="2903" spans="1:11" x14ac:dyDescent="0.25">
      <c r="A2903" s="51">
        <v>42850</v>
      </c>
      <c r="B2903" s="174" t="s">
        <v>14465</v>
      </c>
      <c r="C2903" s="175"/>
      <c r="D2903" s="176" t="s">
        <v>14465</v>
      </c>
      <c r="E2903" s="176">
        <v>109337</v>
      </c>
      <c r="F2903" s="177" t="s">
        <v>14</v>
      </c>
      <c r="G2903" s="178">
        <v>45560</v>
      </c>
      <c r="H2903" s="186">
        <v>42851</v>
      </c>
      <c r="I2903" s="187">
        <f t="shared" si="92"/>
        <v>45560</v>
      </c>
      <c r="J2903" s="178">
        <f t="shared" si="91"/>
        <v>0</v>
      </c>
      <c r="K2903" s="19"/>
    </row>
    <row r="2904" spans="1:11" x14ac:dyDescent="0.25">
      <c r="A2904" s="51">
        <v>42850</v>
      </c>
      <c r="B2904" s="174" t="s">
        <v>14466</v>
      </c>
      <c r="C2904" s="175"/>
      <c r="D2904" s="176" t="s">
        <v>14466</v>
      </c>
      <c r="E2904" s="176">
        <v>109338</v>
      </c>
      <c r="F2904" s="177" t="s">
        <v>151</v>
      </c>
      <c r="G2904" s="178">
        <v>1655.52</v>
      </c>
      <c r="H2904" s="179">
        <v>42850</v>
      </c>
      <c r="I2904" s="178">
        <f t="shared" si="92"/>
        <v>1655.52</v>
      </c>
      <c r="J2904" s="178">
        <f t="shared" si="91"/>
        <v>0</v>
      </c>
      <c r="K2904" s="19"/>
    </row>
    <row r="2905" spans="1:11" x14ac:dyDescent="0.25">
      <c r="A2905" s="51">
        <v>42850</v>
      </c>
      <c r="B2905" s="174" t="s">
        <v>14467</v>
      </c>
      <c r="C2905" s="175"/>
      <c r="D2905" s="176" t="s">
        <v>14467</v>
      </c>
      <c r="E2905" s="176">
        <v>109339</v>
      </c>
      <c r="F2905" s="177" t="s">
        <v>149</v>
      </c>
      <c r="G2905" s="178">
        <v>11927.4</v>
      </c>
      <c r="H2905" s="179">
        <v>42850</v>
      </c>
      <c r="I2905" s="178">
        <f t="shared" si="92"/>
        <v>11927.4</v>
      </c>
      <c r="J2905" s="178">
        <f t="shared" si="91"/>
        <v>0</v>
      </c>
      <c r="K2905" s="19"/>
    </row>
    <row r="2906" spans="1:11" x14ac:dyDescent="0.25">
      <c r="A2906" s="51">
        <v>42850</v>
      </c>
      <c r="B2906" s="174" t="s">
        <v>14468</v>
      </c>
      <c r="C2906" s="175"/>
      <c r="D2906" s="176" t="s">
        <v>14468</v>
      </c>
      <c r="E2906" s="176">
        <v>109340</v>
      </c>
      <c r="F2906" s="177" t="s">
        <v>838</v>
      </c>
      <c r="G2906" s="178">
        <v>3787.2</v>
      </c>
      <c r="H2906" s="179">
        <v>42850</v>
      </c>
      <c r="I2906" s="178">
        <f t="shared" si="92"/>
        <v>3787.2</v>
      </c>
      <c r="J2906" s="178">
        <f t="shared" si="91"/>
        <v>0</v>
      </c>
      <c r="K2906" s="19"/>
    </row>
    <row r="2907" spans="1:11" x14ac:dyDescent="0.25">
      <c r="A2907" s="51">
        <v>42850</v>
      </c>
      <c r="B2907" s="174" t="s">
        <v>14469</v>
      </c>
      <c r="C2907" s="175"/>
      <c r="D2907" s="176" t="s">
        <v>14469</v>
      </c>
      <c r="E2907" s="176">
        <v>109341</v>
      </c>
      <c r="F2907" s="177" t="s">
        <v>103</v>
      </c>
      <c r="G2907" s="178">
        <v>2998.8</v>
      </c>
      <c r="H2907" s="186">
        <v>42851</v>
      </c>
      <c r="I2907" s="187">
        <f t="shared" si="92"/>
        <v>2998.8</v>
      </c>
      <c r="J2907" s="178">
        <f t="shared" si="91"/>
        <v>0</v>
      </c>
      <c r="K2907" s="19"/>
    </row>
    <row r="2908" spans="1:11" x14ac:dyDescent="0.25">
      <c r="A2908" s="51">
        <v>42850</v>
      </c>
      <c r="B2908" s="174" t="s">
        <v>14470</v>
      </c>
      <c r="C2908" s="175"/>
      <c r="D2908" s="176" t="s">
        <v>14470</v>
      </c>
      <c r="E2908" s="176">
        <v>109342</v>
      </c>
      <c r="F2908" s="177" t="s">
        <v>240</v>
      </c>
      <c r="G2908" s="178">
        <v>5144.5</v>
      </c>
      <c r="H2908" s="179">
        <v>42850</v>
      </c>
      <c r="I2908" s="178">
        <f t="shared" si="92"/>
        <v>5144.5</v>
      </c>
      <c r="J2908" s="178">
        <f t="shared" si="91"/>
        <v>0</v>
      </c>
      <c r="K2908" s="19"/>
    </row>
    <row r="2909" spans="1:11" x14ac:dyDescent="0.25">
      <c r="A2909" s="51">
        <v>42850</v>
      </c>
      <c r="B2909" s="174" t="s">
        <v>14471</v>
      </c>
      <c r="C2909" s="175"/>
      <c r="D2909" s="176" t="s">
        <v>14471</v>
      </c>
      <c r="E2909" s="176">
        <v>109343</v>
      </c>
      <c r="F2909" s="177" t="s">
        <v>341</v>
      </c>
      <c r="G2909" s="178">
        <v>10034.1</v>
      </c>
      <c r="H2909" s="179">
        <v>42850</v>
      </c>
      <c r="I2909" s="178">
        <f t="shared" si="92"/>
        <v>10034.1</v>
      </c>
      <c r="J2909" s="178">
        <f t="shared" si="91"/>
        <v>0</v>
      </c>
      <c r="K2909" s="19"/>
    </row>
    <row r="2910" spans="1:11" x14ac:dyDescent="0.25">
      <c r="A2910" s="51">
        <v>42850</v>
      </c>
      <c r="B2910" s="174" t="s">
        <v>14472</v>
      </c>
      <c r="C2910" s="175"/>
      <c r="D2910" s="176" t="s">
        <v>14472</v>
      </c>
      <c r="E2910" s="176">
        <v>109344</v>
      </c>
      <c r="F2910" s="177" t="s">
        <v>1116</v>
      </c>
      <c r="G2910" s="178">
        <v>4756.2</v>
      </c>
      <c r="H2910" s="186">
        <v>42851</v>
      </c>
      <c r="I2910" s="187">
        <f t="shared" si="92"/>
        <v>4756.2</v>
      </c>
      <c r="J2910" s="178">
        <f t="shared" si="91"/>
        <v>0</v>
      </c>
      <c r="K2910" s="19"/>
    </row>
    <row r="2911" spans="1:11" x14ac:dyDescent="0.25">
      <c r="A2911" s="51">
        <v>42850</v>
      </c>
      <c r="B2911" s="174" t="s">
        <v>14473</v>
      </c>
      <c r="C2911" s="175"/>
      <c r="D2911" s="176" t="s">
        <v>14473</v>
      </c>
      <c r="E2911" s="176">
        <v>109345</v>
      </c>
      <c r="F2911" s="177" t="s">
        <v>79</v>
      </c>
      <c r="G2911" s="178">
        <v>2808</v>
      </c>
      <c r="H2911" s="179">
        <v>42850</v>
      </c>
      <c r="I2911" s="178">
        <f t="shared" si="92"/>
        <v>2808</v>
      </c>
      <c r="J2911" s="178">
        <f t="shared" si="91"/>
        <v>0</v>
      </c>
      <c r="K2911" s="19"/>
    </row>
    <row r="2912" spans="1:11" x14ac:dyDescent="0.25">
      <c r="A2912" s="51">
        <v>42850</v>
      </c>
      <c r="B2912" s="174" t="s">
        <v>14474</v>
      </c>
      <c r="C2912" s="175"/>
      <c r="D2912" s="176" t="s">
        <v>14474</v>
      </c>
      <c r="E2912" s="176">
        <v>109346</v>
      </c>
      <c r="F2912" s="177" t="s">
        <v>168</v>
      </c>
      <c r="G2912" s="178">
        <v>4861.3999999999996</v>
      </c>
      <c r="H2912" s="186">
        <v>42856</v>
      </c>
      <c r="I2912" s="187">
        <f t="shared" si="92"/>
        <v>4861.3999999999996</v>
      </c>
      <c r="J2912" s="178">
        <f t="shared" si="91"/>
        <v>0</v>
      </c>
      <c r="K2912" s="19"/>
    </row>
    <row r="2913" spans="1:11" x14ac:dyDescent="0.25">
      <c r="A2913" s="51">
        <v>42850</v>
      </c>
      <c r="B2913" s="174" t="s">
        <v>14475</v>
      </c>
      <c r="C2913" s="175"/>
      <c r="D2913" s="176" t="s">
        <v>14475</v>
      </c>
      <c r="E2913" s="176">
        <v>109347</v>
      </c>
      <c r="F2913" s="177" t="s">
        <v>422</v>
      </c>
      <c r="G2913" s="178">
        <v>1516.8</v>
      </c>
      <c r="H2913" s="179">
        <v>42850</v>
      </c>
      <c r="I2913" s="178">
        <f t="shared" si="92"/>
        <v>1516.8</v>
      </c>
      <c r="J2913" s="178">
        <f t="shared" si="91"/>
        <v>0</v>
      </c>
      <c r="K2913" s="19"/>
    </row>
    <row r="2914" spans="1:11" x14ac:dyDescent="0.25">
      <c r="A2914" s="51">
        <v>42850</v>
      </c>
      <c r="B2914" s="174" t="s">
        <v>14476</v>
      </c>
      <c r="C2914" s="175"/>
      <c r="D2914" s="176" t="s">
        <v>14476</v>
      </c>
      <c r="E2914" s="176">
        <v>109348</v>
      </c>
      <c r="F2914" s="177" t="s">
        <v>125</v>
      </c>
      <c r="G2914" s="178">
        <v>6251</v>
      </c>
      <c r="H2914" s="179">
        <v>42850</v>
      </c>
      <c r="I2914" s="178">
        <f t="shared" si="92"/>
        <v>6251</v>
      </c>
      <c r="J2914" s="178">
        <f t="shared" si="91"/>
        <v>0</v>
      </c>
      <c r="K2914" s="19"/>
    </row>
    <row r="2915" spans="1:11" x14ac:dyDescent="0.25">
      <c r="A2915" s="51">
        <v>42850</v>
      </c>
      <c r="B2915" s="174" t="s">
        <v>14477</v>
      </c>
      <c r="C2915" s="175"/>
      <c r="D2915" s="176" t="s">
        <v>14477</v>
      </c>
      <c r="E2915" s="176">
        <v>109349</v>
      </c>
      <c r="F2915" s="177" t="s">
        <v>470</v>
      </c>
      <c r="G2915" s="178">
        <v>1121.9000000000001</v>
      </c>
      <c r="H2915" s="179">
        <v>42850</v>
      </c>
      <c r="I2915" s="178">
        <f t="shared" si="92"/>
        <v>1121.9000000000001</v>
      </c>
      <c r="J2915" s="178">
        <f t="shared" si="91"/>
        <v>0</v>
      </c>
      <c r="K2915" s="19"/>
    </row>
    <row r="2916" spans="1:11" x14ac:dyDescent="0.25">
      <c r="A2916" s="51">
        <v>42850</v>
      </c>
      <c r="B2916" s="174" t="s">
        <v>14478</v>
      </c>
      <c r="C2916" s="175"/>
      <c r="D2916" s="176" t="s">
        <v>14478</v>
      </c>
      <c r="E2916" s="176">
        <v>109350</v>
      </c>
      <c r="F2916" s="177" t="s">
        <v>122</v>
      </c>
      <c r="G2916" s="178">
        <v>4510</v>
      </c>
      <c r="H2916" s="186">
        <v>42866</v>
      </c>
      <c r="I2916" s="187">
        <f t="shared" si="92"/>
        <v>4510</v>
      </c>
      <c r="J2916" s="178">
        <f t="shared" si="91"/>
        <v>0</v>
      </c>
      <c r="K2916" s="19"/>
    </row>
    <row r="2917" spans="1:11" x14ac:dyDescent="0.25">
      <c r="A2917" s="51">
        <v>42850</v>
      </c>
      <c r="B2917" s="174" t="s">
        <v>14479</v>
      </c>
      <c r="C2917" s="175"/>
      <c r="D2917" s="176" t="s">
        <v>14479</v>
      </c>
      <c r="E2917" s="176">
        <v>109351</v>
      </c>
      <c r="F2917" s="177" t="s">
        <v>10</v>
      </c>
      <c r="G2917" s="178">
        <v>4637.6000000000004</v>
      </c>
      <c r="H2917" s="186">
        <v>42851</v>
      </c>
      <c r="I2917" s="187">
        <f t="shared" si="92"/>
        <v>4637.6000000000004</v>
      </c>
      <c r="J2917" s="178">
        <f t="shared" si="91"/>
        <v>0</v>
      </c>
      <c r="K2917" s="19"/>
    </row>
    <row r="2918" spans="1:11" x14ac:dyDescent="0.25">
      <c r="A2918" s="51">
        <v>42850</v>
      </c>
      <c r="B2918" s="174" t="s">
        <v>14480</v>
      </c>
      <c r="C2918" s="175"/>
      <c r="D2918" s="176" t="s">
        <v>14480</v>
      </c>
      <c r="E2918" s="176">
        <v>109352</v>
      </c>
      <c r="F2918" s="182" t="s">
        <v>435</v>
      </c>
      <c r="G2918" s="183">
        <v>0</v>
      </c>
      <c r="H2918" s="184" t="s">
        <v>95</v>
      </c>
      <c r="I2918" s="183">
        <f t="shared" si="92"/>
        <v>0</v>
      </c>
      <c r="J2918" s="183">
        <f t="shared" si="91"/>
        <v>0</v>
      </c>
      <c r="K2918" s="19"/>
    </row>
    <row r="2919" spans="1:11" x14ac:dyDescent="0.25">
      <c r="A2919" s="51">
        <v>42850</v>
      </c>
      <c r="B2919" s="174" t="s">
        <v>14481</v>
      </c>
      <c r="C2919" s="175"/>
      <c r="D2919" s="176" t="s">
        <v>14481</v>
      </c>
      <c r="E2919" s="176">
        <v>109353</v>
      </c>
      <c r="F2919" s="177" t="s">
        <v>1830</v>
      </c>
      <c r="G2919" s="178">
        <v>9940.7999999999993</v>
      </c>
      <c r="H2919" s="179">
        <v>42850</v>
      </c>
      <c r="I2919" s="178">
        <f t="shared" si="92"/>
        <v>9940.7999999999993</v>
      </c>
      <c r="J2919" s="178">
        <f t="shared" si="91"/>
        <v>0</v>
      </c>
      <c r="K2919" s="19"/>
    </row>
    <row r="2920" spans="1:11" x14ac:dyDescent="0.25">
      <c r="A2920" s="51">
        <v>42850</v>
      </c>
      <c r="B2920" s="174" t="s">
        <v>14482</v>
      </c>
      <c r="C2920" s="175"/>
      <c r="D2920" s="176" t="s">
        <v>14482</v>
      </c>
      <c r="E2920" s="176">
        <v>109354</v>
      </c>
      <c r="F2920" s="177" t="s">
        <v>208</v>
      </c>
      <c r="G2920" s="178">
        <v>6494.4</v>
      </c>
      <c r="H2920" s="184">
        <v>42852</v>
      </c>
      <c r="I2920" s="183">
        <f t="shared" si="92"/>
        <v>6494.4</v>
      </c>
      <c r="J2920" s="178">
        <f t="shared" si="91"/>
        <v>0</v>
      </c>
      <c r="K2920" s="19"/>
    </row>
    <row r="2921" spans="1:11" x14ac:dyDescent="0.25">
      <c r="A2921" s="51">
        <v>42850</v>
      </c>
      <c r="B2921" s="174" t="s">
        <v>14483</v>
      </c>
      <c r="C2921" s="175"/>
      <c r="D2921" s="176" t="s">
        <v>14483</v>
      </c>
      <c r="E2921" s="176">
        <v>109355</v>
      </c>
      <c r="F2921" s="177" t="s">
        <v>14484</v>
      </c>
      <c r="G2921" s="178">
        <v>1766.4</v>
      </c>
      <c r="H2921" s="179">
        <v>42850</v>
      </c>
      <c r="I2921" s="178">
        <f t="shared" si="92"/>
        <v>1766.4</v>
      </c>
      <c r="J2921" s="178">
        <f t="shared" si="91"/>
        <v>0</v>
      </c>
      <c r="K2921" s="19"/>
    </row>
    <row r="2922" spans="1:11" x14ac:dyDescent="0.25">
      <c r="A2922" s="51">
        <v>42850</v>
      </c>
      <c r="B2922" s="174" t="s">
        <v>14485</v>
      </c>
      <c r="C2922" s="175"/>
      <c r="D2922" s="176" t="s">
        <v>14485</v>
      </c>
      <c r="E2922" s="176">
        <v>109356</v>
      </c>
      <c r="F2922" s="177" t="s">
        <v>459</v>
      </c>
      <c r="G2922" s="178">
        <v>2520</v>
      </c>
      <c r="H2922" s="179">
        <v>42850</v>
      </c>
      <c r="I2922" s="178">
        <f t="shared" si="92"/>
        <v>2520</v>
      </c>
      <c r="J2922" s="178">
        <f t="shared" si="91"/>
        <v>0</v>
      </c>
      <c r="K2922" s="19"/>
    </row>
    <row r="2923" spans="1:11" x14ac:dyDescent="0.25">
      <c r="A2923" s="51">
        <v>42850</v>
      </c>
      <c r="B2923" s="174" t="s">
        <v>14486</v>
      </c>
      <c r="C2923" s="175"/>
      <c r="D2923" s="176" t="s">
        <v>14486</v>
      </c>
      <c r="E2923" s="176">
        <v>109357</v>
      </c>
      <c r="F2923" s="177" t="s">
        <v>298</v>
      </c>
      <c r="G2923" s="178">
        <v>2828.8</v>
      </c>
      <c r="H2923" s="179">
        <v>42850</v>
      </c>
      <c r="I2923" s="178">
        <f t="shared" si="92"/>
        <v>2828.8</v>
      </c>
      <c r="J2923" s="178">
        <f t="shared" si="91"/>
        <v>0</v>
      </c>
      <c r="K2923" s="19"/>
    </row>
    <row r="2924" spans="1:11" x14ac:dyDescent="0.25">
      <c r="A2924" s="51">
        <v>42850</v>
      </c>
      <c r="B2924" s="174" t="s">
        <v>14487</v>
      </c>
      <c r="C2924" s="175"/>
      <c r="D2924" s="176" t="s">
        <v>14487</v>
      </c>
      <c r="E2924" s="176">
        <v>109358</v>
      </c>
      <c r="F2924" s="177" t="s">
        <v>2986</v>
      </c>
      <c r="G2924" s="178">
        <v>4301.5</v>
      </c>
      <c r="H2924" s="179">
        <v>42850</v>
      </c>
      <c r="I2924" s="178">
        <f t="shared" si="92"/>
        <v>4301.5</v>
      </c>
      <c r="J2924" s="178">
        <f t="shared" si="91"/>
        <v>0</v>
      </c>
      <c r="K2924" s="19"/>
    </row>
    <row r="2925" spans="1:11" x14ac:dyDescent="0.25">
      <c r="A2925" s="51">
        <v>42850</v>
      </c>
      <c r="B2925" s="174" t="s">
        <v>14488</v>
      </c>
      <c r="C2925" s="175"/>
      <c r="D2925" s="176" t="s">
        <v>14488</v>
      </c>
      <c r="E2925" s="176">
        <v>109359</v>
      </c>
      <c r="F2925" s="177" t="s">
        <v>99</v>
      </c>
      <c r="G2925" s="178">
        <v>1100</v>
      </c>
      <c r="H2925" s="186">
        <v>42851</v>
      </c>
      <c r="I2925" s="187">
        <f t="shared" si="92"/>
        <v>1100</v>
      </c>
      <c r="J2925" s="178">
        <f t="shared" si="91"/>
        <v>0</v>
      </c>
      <c r="K2925" s="19"/>
    </row>
    <row r="2926" spans="1:11" x14ac:dyDescent="0.25">
      <c r="A2926" s="51">
        <v>42850</v>
      </c>
      <c r="B2926" s="174" t="s">
        <v>14489</v>
      </c>
      <c r="C2926" s="175"/>
      <c r="D2926" s="176" t="s">
        <v>14489</v>
      </c>
      <c r="E2926" s="176">
        <v>109360</v>
      </c>
      <c r="F2926" s="177" t="s">
        <v>101</v>
      </c>
      <c r="G2926" s="178">
        <v>880</v>
      </c>
      <c r="H2926" s="186">
        <v>42851</v>
      </c>
      <c r="I2926" s="187">
        <f t="shared" si="92"/>
        <v>880</v>
      </c>
      <c r="J2926" s="178">
        <f t="shared" si="91"/>
        <v>0</v>
      </c>
      <c r="K2926" s="19"/>
    </row>
    <row r="2927" spans="1:11" x14ac:dyDescent="0.25">
      <c r="A2927" s="51">
        <v>42850</v>
      </c>
      <c r="B2927" s="174" t="s">
        <v>14490</v>
      </c>
      <c r="C2927" s="175"/>
      <c r="D2927" s="176" t="s">
        <v>14490</v>
      </c>
      <c r="E2927" s="176">
        <v>109361</v>
      </c>
      <c r="F2927" s="177" t="s">
        <v>109</v>
      </c>
      <c r="G2927" s="178">
        <v>4761.1000000000004</v>
      </c>
      <c r="H2927" s="186">
        <v>42851</v>
      </c>
      <c r="I2927" s="187">
        <f t="shared" si="92"/>
        <v>4761.1000000000004</v>
      </c>
      <c r="J2927" s="178">
        <f t="shared" si="91"/>
        <v>0</v>
      </c>
      <c r="K2927" s="19"/>
    </row>
    <row r="2928" spans="1:11" x14ac:dyDescent="0.25">
      <c r="A2928" s="51">
        <v>42850</v>
      </c>
      <c r="B2928" s="174" t="s">
        <v>14491</v>
      </c>
      <c r="C2928" s="175"/>
      <c r="D2928" s="176" t="s">
        <v>14491</v>
      </c>
      <c r="E2928" s="176">
        <v>109362</v>
      </c>
      <c r="F2928" s="177" t="s">
        <v>1081</v>
      </c>
      <c r="G2928" s="178">
        <v>2070.2399999999998</v>
      </c>
      <c r="H2928" s="184">
        <v>42851</v>
      </c>
      <c r="I2928" s="183">
        <f t="shared" si="92"/>
        <v>2070.2399999999998</v>
      </c>
      <c r="J2928" s="178">
        <f t="shared" si="91"/>
        <v>0</v>
      </c>
      <c r="K2928" s="19"/>
    </row>
    <row r="2929" spans="1:11" x14ac:dyDescent="0.25">
      <c r="A2929" s="51">
        <v>42850</v>
      </c>
      <c r="B2929" s="174" t="s">
        <v>14492</v>
      </c>
      <c r="C2929" s="175"/>
      <c r="D2929" s="176" t="s">
        <v>14492</v>
      </c>
      <c r="E2929" s="176">
        <v>109363</v>
      </c>
      <c r="F2929" s="177" t="s">
        <v>139</v>
      </c>
      <c r="G2929" s="178">
        <v>276.89999999999998</v>
      </c>
      <c r="H2929" s="179">
        <v>42850</v>
      </c>
      <c r="I2929" s="178">
        <f t="shared" si="92"/>
        <v>276.89999999999998</v>
      </c>
      <c r="J2929" s="178">
        <f t="shared" si="91"/>
        <v>0</v>
      </c>
      <c r="K2929" s="19"/>
    </row>
    <row r="2930" spans="1:11" x14ac:dyDescent="0.25">
      <c r="A2930" s="51">
        <v>42850</v>
      </c>
      <c r="B2930" s="174" t="s">
        <v>14493</v>
      </c>
      <c r="C2930" s="175"/>
      <c r="D2930" s="176" t="s">
        <v>14493</v>
      </c>
      <c r="E2930" s="176">
        <v>109364</v>
      </c>
      <c r="F2930" s="177" t="s">
        <v>1259</v>
      </c>
      <c r="G2930" s="178">
        <v>1866.2</v>
      </c>
      <c r="H2930" s="184">
        <v>42851</v>
      </c>
      <c r="I2930" s="183">
        <f t="shared" si="92"/>
        <v>1866.2</v>
      </c>
      <c r="J2930" s="178">
        <f t="shared" si="91"/>
        <v>0</v>
      </c>
      <c r="K2930" s="19"/>
    </row>
    <row r="2931" spans="1:11" x14ac:dyDescent="0.25">
      <c r="A2931" s="51">
        <v>42850</v>
      </c>
      <c r="B2931" s="174" t="s">
        <v>14494</v>
      </c>
      <c r="C2931" s="175"/>
      <c r="D2931" s="176" t="s">
        <v>14494</v>
      </c>
      <c r="E2931" s="176">
        <v>109365</v>
      </c>
      <c r="F2931" s="177" t="s">
        <v>1666</v>
      </c>
      <c r="G2931" s="178">
        <v>13081.2</v>
      </c>
      <c r="H2931" s="184">
        <v>42853</v>
      </c>
      <c r="I2931" s="183">
        <f t="shared" si="92"/>
        <v>13081.2</v>
      </c>
      <c r="J2931" s="178">
        <f t="shared" si="91"/>
        <v>0</v>
      </c>
      <c r="K2931" s="19"/>
    </row>
    <row r="2932" spans="1:11" x14ac:dyDescent="0.25">
      <c r="A2932" s="51">
        <v>42850</v>
      </c>
      <c r="B2932" s="174" t="s">
        <v>14495</v>
      </c>
      <c r="C2932" s="175"/>
      <c r="D2932" s="176" t="s">
        <v>14495</v>
      </c>
      <c r="E2932" s="176">
        <v>109366</v>
      </c>
      <c r="F2932" s="177" t="s">
        <v>432</v>
      </c>
      <c r="G2932" s="178">
        <v>13437.6</v>
      </c>
      <c r="H2932" s="184">
        <v>42853</v>
      </c>
      <c r="I2932" s="183">
        <f t="shared" si="92"/>
        <v>13437.6</v>
      </c>
      <c r="J2932" s="178">
        <f t="shared" si="91"/>
        <v>0</v>
      </c>
      <c r="K2932" s="19"/>
    </row>
    <row r="2933" spans="1:11" x14ac:dyDescent="0.25">
      <c r="A2933" s="51">
        <v>42850</v>
      </c>
      <c r="B2933" s="174" t="s">
        <v>14496</v>
      </c>
      <c r="C2933" s="175"/>
      <c r="D2933" s="176" t="s">
        <v>14496</v>
      </c>
      <c r="E2933" s="176">
        <v>109367</v>
      </c>
      <c r="F2933" s="177" t="s">
        <v>291</v>
      </c>
      <c r="G2933" s="178">
        <v>2097</v>
      </c>
      <c r="H2933" s="184">
        <v>42851</v>
      </c>
      <c r="I2933" s="183">
        <f t="shared" si="92"/>
        <v>2097</v>
      </c>
      <c r="J2933" s="178">
        <f t="shared" si="91"/>
        <v>0</v>
      </c>
      <c r="K2933" s="19"/>
    </row>
    <row r="2934" spans="1:11" x14ac:dyDescent="0.25">
      <c r="A2934" s="51">
        <v>42850</v>
      </c>
      <c r="B2934" s="174" t="s">
        <v>14497</v>
      </c>
      <c r="C2934" s="175"/>
      <c r="D2934" s="176" t="s">
        <v>14497</v>
      </c>
      <c r="E2934" s="176">
        <v>109368</v>
      </c>
      <c r="F2934" s="177" t="s">
        <v>83</v>
      </c>
      <c r="G2934" s="178">
        <v>3231</v>
      </c>
      <c r="H2934" s="184">
        <v>42851</v>
      </c>
      <c r="I2934" s="183">
        <f t="shared" si="92"/>
        <v>3231</v>
      </c>
      <c r="J2934" s="178">
        <f t="shared" si="91"/>
        <v>0</v>
      </c>
      <c r="K2934" s="19"/>
    </row>
    <row r="2935" spans="1:11" x14ac:dyDescent="0.25">
      <c r="A2935" s="51">
        <v>42850</v>
      </c>
      <c r="B2935" s="174" t="s">
        <v>14498</v>
      </c>
      <c r="C2935" s="175"/>
      <c r="D2935" s="176" t="s">
        <v>14498</v>
      </c>
      <c r="E2935" s="176">
        <v>109369</v>
      </c>
      <c r="F2935" s="177" t="s">
        <v>21</v>
      </c>
      <c r="G2935" s="178">
        <v>45497.4</v>
      </c>
      <c r="H2935" s="186">
        <v>42866</v>
      </c>
      <c r="I2935" s="187">
        <f t="shared" si="92"/>
        <v>45497.4</v>
      </c>
      <c r="J2935" s="178">
        <f t="shared" si="91"/>
        <v>0</v>
      </c>
      <c r="K2935" s="19"/>
    </row>
    <row r="2936" spans="1:11" x14ac:dyDescent="0.25">
      <c r="A2936" s="51">
        <v>42850</v>
      </c>
      <c r="B2936" s="174" t="s">
        <v>14499</v>
      </c>
      <c r="C2936" s="175"/>
      <c r="D2936" s="176" t="s">
        <v>14499</v>
      </c>
      <c r="E2936" s="176">
        <v>109370</v>
      </c>
      <c r="F2936" s="177" t="s">
        <v>450</v>
      </c>
      <c r="G2936" s="178">
        <v>529.29999999999995</v>
      </c>
      <c r="H2936" s="184">
        <v>42851</v>
      </c>
      <c r="I2936" s="183">
        <f t="shared" si="92"/>
        <v>529.29999999999995</v>
      </c>
      <c r="J2936" s="178">
        <f t="shared" si="91"/>
        <v>0</v>
      </c>
      <c r="K2936" s="19"/>
    </row>
    <row r="2937" spans="1:11" x14ac:dyDescent="0.25">
      <c r="A2937" s="51">
        <v>42850</v>
      </c>
      <c r="B2937" s="174" t="s">
        <v>14500</v>
      </c>
      <c r="C2937" s="175"/>
      <c r="D2937" s="176" t="s">
        <v>14500</v>
      </c>
      <c r="E2937" s="176">
        <v>109371</v>
      </c>
      <c r="F2937" s="177" t="s">
        <v>88</v>
      </c>
      <c r="G2937" s="178">
        <v>6536</v>
      </c>
      <c r="H2937" s="184">
        <v>42851</v>
      </c>
      <c r="I2937" s="183">
        <f t="shared" si="92"/>
        <v>6536</v>
      </c>
      <c r="J2937" s="178">
        <f t="shared" si="91"/>
        <v>0</v>
      </c>
      <c r="K2937" s="19"/>
    </row>
    <row r="2938" spans="1:11" x14ac:dyDescent="0.25">
      <c r="A2938" s="51">
        <v>42850</v>
      </c>
      <c r="B2938" s="174" t="s">
        <v>14501</v>
      </c>
      <c r="C2938" s="175"/>
      <c r="D2938" s="176" t="s">
        <v>14501</v>
      </c>
      <c r="E2938" s="176">
        <v>109372</v>
      </c>
      <c r="F2938" s="177" t="s">
        <v>435</v>
      </c>
      <c r="G2938" s="178">
        <v>3574.2</v>
      </c>
      <c r="H2938" s="184">
        <v>42851</v>
      </c>
      <c r="I2938" s="183">
        <f t="shared" si="92"/>
        <v>3574.2</v>
      </c>
      <c r="J2938" s="178">
        <f t="shared" si="91"/>
        <v>0</v>
      </c>
      <c r="K2938" s="19"/>
    </row>
    <row r="2939" spans="1:11" x14ac:dyDescent="0.25">
      <c r="A2939" s="51">
        <v>42850</v>
      </c>
      <c r="B2939" s="174" t="s">
        <v>14502</v>
      </c>
      <c r="C2939" s="175"/>
      <c r="D2939" s="176" t="s">
        <v>14502</v>
      </c>
      <c r="E2939" s="176">
        <v>109373</v>
      </c>
      <c r="F2939" s="177" t="s">
        <v>109</v>
      </c>
      <c r="G2939" s="178">
        <v>111.3</v>
      </c>
      <c r="H2939" s="184">
        <v>42851</v>
      </c>
      <c r="I2939" s="183">
        <f t="shared" si="92"/>
        <v>111.3</v>
      </c>
      <c r="J2939" s="178">
        <f t="shared" si="91"/>
        <v>0</v>
      </c>
      <c r="K2939" s="19"/>
    </row>
    <row r="2940" spans="1:11" x14ac:dyDescent="0.25">
      <c r="A2940" s="51">
        <v>42850</v>
      </c>
      <c r="B2940" s="174" t="s">
        <v>14503</v>
      </c>
      <c r="C2940" s="175"/>
      <c r="D2940" s="176" t="s">
        <v>14503</v>
      </c>
      <c r="E2940" s="176">
        <v>109374</v>
      </c>
      <c r="F2940" s="177" t="s">
        <v>30</v>
      </c>
      <c r="G2940" s="178">
        <v>5984</v>
      </c>
      <c r="H2940" s="184">
        <v>42851</v>
      </c>
      <c r="I2940" s="183">
        <f t="shared" si="92"/>
        <v>5984</v>
      </c>
      <c r="J2940" s="178">
        <f t="shared" si="91"/>
        <v>0</v>
      </c>
      <c r="K2940" s="19"/>
    </row>
    <row r="2941" spans="1:11" x14ac:dyDescent="0.25">
      <c r="A2941" s="51">
        <v>42850</v>
      </c>
      <c r="B2941" s="174" t="s">
        <v>14504</v>
      </c>
      <c r="C2941" s="175"/>
      <c r="D2941" s="176" t="s">
        <v>14504</v>
      </c>
      <c r="E2941" s="176">
        <v>109375</v>
      </c>
      <c r="F2941" s="177" t="s">
        <v>270</v>
      </c>
      <c r="G2941" s="178">
        <v>2274.3000000000002</v>
      </c>
      <c r="H2941" s="186">
        <v>42858</v>
      </c>
      <c r="I2941" s="187">
        <f t="shared" si="92"/>
        <v>2274.3000000000002</v>
      </c>
      <c r="J2941" s="178">
        <f t="shared" si="91"/>
        <v>0</v>
      </c>
      <c r="K2941" s="19"/>
    </row>
    <row r="2942" spans="1:11" x14ac:dyDescent="0.25">
      <c r="A2942" s="51">
        <v>42850</v>
      </c>
      <c r="B2942" s="174" t="s">
        <v>14505</v>
      </c>
      <c r="C2942" s="175"/>
      <c r="D2942" s="176" t="s">
        <v>14505</v>
      </c>
      <c r="E2942" s="176">
        <v>109376</v>
      </c>
      <c r="F2942" s="177" t="s">
        <v>305</v>
      </c>
      <c r="G2942" s="178">
        <v>1136.9000000000001</v>
      </c>
      <c r="H2942" s="186">
        <v>42856</v>
      </c>
      <c r="I2942" s="187">
        <f t="shared" si="92"/>
        <v>1136.9000000000001</v>
      </c>
      <c r="J2942" s="178">
        <f t="shared" si="91"/>
        <v>0</v>
      </c>
      <c r="K2942" s="19"/>
    </row>
    <row r="2943" spans="1:11" x14ac:dyDescent="0.25">
      <c r="A2943" s="51">
        <v>42850</v>
      </c>
      <c r="B2943" s="174" t="s">
        <v>14506</v>
      </c>
      <c r="C2943" s="175"/>
      <c r="D2943" s="176" t="s">
        <v>14506</v>
      </c>
      <c r="E2943" s="176">
        <v>109377</v>
      </c>
      <c r="F2943" s="177" t="s">
        <v>268</v>
      </c>
      <c r="G2943" s="178">
        <v>15950.7</v>
      </c>
      <c r="H2943" s="184">
        <v>42853</v>
      </c>
      <c r="I2943" s="183">
        <f t="shared" si="92"/>
        <v>15950.7</v>
      </c>
      <c r="J2943" s="178">
        <f t="shared" si="91"/>
        <v>0</v>
      </c>
      <c r="K2943" s="19"/>
    </row>
    <row r="2944" spans="1:11" x14ac:dyDescent="0.25">
      <c r="A2944" s="51">
        <v>42850</v>
      </c>
      <c r="B2944" s="174" t="s">
        <v>14507</v>
      </c>
      <c r="C2944" s="175"/>
      <c r="D2944" s="176" t="s">
        <v>14507</v>
      </c>
      <c r="E2944" s="176">
        <v>109378</v>
      </c>
      <c r="F2944" s="177" t="s">
        <v>476</v>
      </c>
      <c r="G2944" s="178">
        <v>9691.5</v>
      </c>
      <c r="H2944" s="184">
        <v>42853</v>
      </c>
      <c r="I2944" s="183">
        <f t="shared" si="92"/>
        <v>9691.5</v>
      </c>
      <c r="J2944" s="178">
        <f t="shared" si="91"/>
        <v>0</v>
      </c>
      <c r="K2944" s="19"/>
    </row>
    <row r="2945" spans="1:11" x14ac:dyDescent="0.25">
      <c r="A2945" s="51">
        <v>42850</v>
      </c>
      <c r="B2945" s="174" t="s">
        <v>14508</v>
      </c>
      <c r="C2945" s="175"/>
      <c r="D2945" s="176" t="s">
        <v>14508</v>
      </c>
      <c r="E2945" s="176">
        <v>109379</v>
      </c>
      <c r="F2945" s="177" t="s">
        <v>476</v>
      </c>
      <c r="G2945" s="178">
        <v>817</v>
      </c>
      <c r="H2945" s="184">
        <v>42851</v>
      </c>
      <c r="I2945" s="183">
        <f t="shared" si="92"/>
        <v>817</v>
      </c>
      <c r="J2945" s="178">
        <f t="shared" si="91"/>
        <v>0</v>
      </c>
      <c r="K2945" s="19"/>
    </row>
    <row r="2946" spans="1:11" x14ac:dyDescent="0.25">
      <c r="A2946" s="51">
        <v>42850</v>
      </c>
      <c r="B2946" s="174" t="s">
        <v>14509</v>
      </c>
      <c r="C2946" s="175"/>
      <c r="D2946" s="176" t="s">
        <v>14509</v>
      </c>
      <c r="E2946" s="176">
        <v>109380</v>
      </c>
      <c r="F2946" s="177" t="s">
        <v>712</v>
      </c>
      <c r="G2946" s="178">
        <v>4923.6000000000004</v>
      </c>
      <c r="H2946" s="184">
        <v>42851</v>
      </c>
      <c r="I2946" s="183">
        <f t="shared" si="92"/>
        <v>4923.6000000000004</v>
      </c>
      <c r="J2946" s="178">
        <f t="shared" si="91"/>
        <v>0</v>
      </c>
      <c r="K2946" s="19"/>
    </row>
    <row r="2947" spans="1:11" x14ac:dyDescent="0.25">
      <c r="A2947" s="51">
        <v>42850</v>
      </c>
      <c r="B2947" s="174" t="s">
        <v>14510</v>
      </c>
      <c r="C2947" s="175"/>
      <c r="D2947" s="176" t="s">
        <v>14510</v>
      </c>
      <c r="E2947" s="176">
        <v>109381</v>
      </c>
      <c r="F2947" s="177" t="s">
        <v>476</v>
      </c>
      <c r="G2947" s="178">
        <v>174.2</v>
      </c>
      <c r="H2947" s="184">
        <v>42851</v>
      </c>
      <c r="I2947" s="183">
        <f t="shared" si="92"/>
        <v>174.2</v>
      </c>
      <c r="J2947" s="178">
        <f t="shared" si="91"/>
        <v>0</v>
      </c>
      <c r="K2947" s="19"/>
    </row>
    <row r="2948" spans="1:11" x14ac:dyDescent="0.25">
      <c r="A2948" s="51">
        <v>42850</v>
      </c>
      <c r="B2948" s="174" t="s">
        <v>14511</v>
      </c>
      <c r="C2948" s="175"/>
      <c r="D2948" s="176" t="s">
        <v>14511</v>
      </c>
      <c r="E2948" s="176">
        <v>109382</v>
      </c>
      <c r="F2948" s="177" t="s">
        <v>329</v>
      </c>
      <c r="G2948" s="178">
        <v>572.79999999999995</v>
      </c>
      <c r="H2948" s="179">
        <v>42850</v>
      </c>
      <c r="I2948" s="178">
        <f t="shared" si="92"/>
        <v>572.79999999999995</v>
      </c>
      <c r="J2948" s="178">
        <f t="shared" ref="J2948:J3011" si="93">G2948-I2948</f>
        <v>0</v>
      </c>
      <c r="K2948" s="19"/>
    </row>
    <row r="2949" spans="1:11" x14ac:dyDescent="0.25">
      <c r="A2949" s="51">
        <v>42850</v>
      </c>
      <c r="B2949" s="174" t="s">
        <v>14512</v>
      </c>
      <c r="C2949" s="175"/>
      <c r="D2949" s="176" t="s">
        <v>14512</v>
      </c>
      <c r="E2949" s="176">
        <v>109383</v>
      </c>
      <c r="F2949" s="177" t="s">
        <v>6922</v>
      </c>
      <c r="G2949" s="178">
        <v>9131</v>
      </c>
      <c r="H2949" s="179">
        <v>42850</v>
      </c>
      <c r="I2949" s="178">
        <f t="shared" ref="I2949:I3012" si="94">G2949</f>
        <v>9131</v>
      </c>
      <c r="J2949" s="178">
        <f t="shared" si="93"/>
        <v>0</v>
      </c>
      <c r="K2949" s="19"/>
    </row>
    <row r="2950" spans="1:11" x14ac:dyDescent="0.25">
      <c r="A2950" s="51">
        <v>42850</v>
      </c>
      <c r="B2950" s="174" t="s">
        <v>14513</v>
      </c>
      <c r="C2950" s="175"/>
      <c r="D2950" s="176" t="s">
        <v>14513</v>
      </c>
      <c r="E2950" s="176">
        <v>109384</v>
      </c>
      <c r="F2950" s="177" t="s">
        <v>321</v>
      </c>
      <c r="G2950" s="178">
        <v>426.4</v>
      </c>
      <c r="H2950" s="179">
        <v>42850</v>
      </c>
      <c r="I2950" s="178">
        <f t="shared" si="94"/>
        <v>426.4</v>
      </c>
      <c r="J2950" s="178">
        <f t="shared" si="93"/>
        <v>0</v>
      </c>
      <c r="K2950" s="19"/>
    </row>
    <row r="2951" spans="1:11" x14ac:dyDescent="0.25">
      <c r="A2951" s="51">
        <v>42850</v>
      </c>
      <c r="B2951" s="174" t="s">
        <v>14514</v>
      </c>
      <c r="C2951" s="175"/>
      <c r="D2951" s="176" t="s">
        <v>14514</v>
      </c>
      <c r="E2951" s="176">
        <v>109385</v>
      </c>
      <c r="F2951" s="177" t="s">
        <v>321</v>
      </c>
      <c r="G2951" s="178">
        <v>223.2</v>
      </c>
      <c r="H2951" s="179">
        <v>42850</v>
      </c>
      <c r="I2951" s="178">
        <f t="shared" si="94"/>
        <v>223.2</v>
      </c>
      <c r="J2951" s="178">
        <f t="shared" si="93"/>
        <v>0</v>
      </c>
      <c r="K2951" s="19"/>
    </row>
    <row r="2952" spans="1:11" x14ac:dyDescent="0.25">
      <c r="A2952" s="51">
        <v>42850</v>
      </c>
      <c r="B2952" s="174" t="s">
        <v>14515</v>
      </c>
      <c r="C2952" s="175"/>
      <c r="D2952" s="176" t="s">
        <v>14515</v>
      </c>
      <c r="E2952" s="176">
        <v>109386</v>
      </c>
      <c r="F2952" s="177" t="s">
        <v>563</v>
      </c>
      <c r="G2952" s="178">
        <v>401.5</v>
      </c>
      <c r="H2952" s="179">
        <v>42850</v>
      </c>
      <c r="I2952" s="178">
        <f t="shared" si="94"/>
        <v>401.5</v>
      </c>
      <c r="J2952" s="178">
        <f t="shared" si="93"/>
        <v>0</v>
      </c>
      <c r="K2952" s="19"/>
    </row>
    <row r="2953" spans="1:11" x14ac:dyDescent="0.25">
      <c r="A2953" s="51">
        <v>42850</v>
      </c>
      <c r="B2953" s="174" t="s">
        <v>14516</v>
      </c>
      <c r="C2953" s="175"/>
      <c r="D2953" s="176" t="s">
        <v>14516</v>
      </c>
      <c r="E2953" s="176">
        <v>109387</v>
      </c>
      <c r="F2953" s="177" t="s">
        <v>133</v>
      </c>
      <c r="G2953" s="178">
        <v>891</v>
      </c>
      <c r="H2953" s="179">
        <v>42850</v>
      </c>
      <c r="I2953" s="178">
        <f t="shared" si="94"/>
        <v>891</v>
      </c>
      <c r="J2953" s="178">
        <f t="shared" si="93"/>
        <v>0</v>
      </c>
      <c r="K2953" s="19"/>
    </row>
    <row r="2954" spans="1:11" x14ac:dyDescent="0.25">
      <c r="A2954" s="51">
        <v>42850</v>
      </c>
      <c r="B2954" s="174" t="s">
        <v>14517</v>
      </c>
      <c r="C2954" s="175"/>
      <c r="D2954" s="176" t="s">
        <v>14517</v>
      </c>
      <c r="E2954" s="176">
        <v>109388</v>
      </c>
      <c r="F2954" s="177" t="s">
        <v>930</v>
      </c>
      <c r="G2954" s="178">
        <v>7678.2</v>
      </c>
      <c r="H2954" s="179">
        <v>42850</v>
      </c>
      <c r="I2954" s="178">
        <f t="shared" si="94"/>
        <v>7678.2</v>
      </c>
      <c r="J2954" s="178">
        <f t="shared" si="93"/>
        <v>0</v>
      </c>
      <c r="K2954" s="19"/>
    </row>
    <row r="2955" spans="1:11" x14ac:dyDescent="0.25">
      <c r="A2955" s="51">
        <v>42850</v>
      </c>
      <c r="B2955" s="174" t="s">
        <v>14518</v>
      </c>
      <c r="C2955" s="175"/>
      <c r="D2955" s="176" t="s">
        <v>14518</v>
      </c>
      <c r="E2955" s="176">
        <v>109389</v>
      </c>
      <c r="F2955" s="177" t="s">
        <v>53</v>
      </c>
      <c r="G2955" s="178">
        <v>1436.4</v>
      </c>
      <c r="H2955" s="179">
        <v>42850</v>
      </c>
      <c r="I2955" s="178">
        <f t="shared" si="94"/>
        <v>1436.4</v>
      </c>
      <c r="J2955" s="178">
        <f t="shared" si="93"/>
        <v>0</v>
      </c>
      <c r="K2955" s="19"/>
    </row>
    <row r="2956" spans="1:11" x14ac:dyDescent="0.25">
      <c r="A2956" s="51">
        <v>42850</v>
      </c>
      <c r="B2956" s="174" t="s">
        <v>14519</v>
      </c>
      <c r="C2956" s="175"/>
      <c r="D2956" s="176" t="s">
        <v>14519</v>
      </c>
      <c r="E2956" s="176">
        <v>109390</v>
      </c>
      <c r="F2956" s="177" t="s">
        <v>61</v>
      </c>
      <c r="G2956" s="178">
        <v>5024.8</v>
      </c>
      <c r="H2956" s="179">
        <v>42850</v>
      </c>
      <c r="I2956" s="178">
        <f t="shared" si="94"/>
        <v>5024.8</v>
      </c>
      <c r="J2956" s="178">
        <f t="shared" si="93"/>
        <v>0</v>
      </c>
      <c r="K2956" s="19"/>
    </row>
    <row r="2957" spans="1:11" x14ac:dyDescent="0.25">
      <c r="A2957" s="51">
        <v>42850</v>
      </c>
      <c r="B2957" s="174" t="s">
        <v>14520</v>
      </c>
      <c r="C2957" s="175"/>
      <c r="D2957" s="176" t="s">
        <v>14520</v>
      </c>
      <c r="E2957" s="176">
        <v>109391</v>
      </c>
      <c r="F2957" s="177" t="s">
        <v>186</v>
      </c>
      <c r="G2957" s="178">
        <v>861.3</v>
      </c>
      <c r="H2957" s="184">
        <v>42854</v>
      </c>
      <c r="I2957" s="183">
        <f t="shared" si="94"/>
        <v>861.3</v>
      </c>
      <c r="J2957" s="178">
        <f t="shared" si="93"/>
        <v>0</v>
      </c>
      <c r="K2957" s="19"/>
    </row>
    <row r="2958" spans="1:11" x14ac:dyDescent="0.25">
      <c r="A2958" s="51">
        <v>42850</v>
      </c>
      <c r="B2958" s="174" t="s">
        <v>14521</v>
      </c>
      <c r="C2958" s="175"/>
      <c r="D2958" s="176" t="s">
        <v>14521</v>
      </c>
      <c r="E2958" s="176">
        <v>109392</v>
      </c>
      <c r="F2958" s="177" t="s">
        <v>45</v>
      </c>
      <c r="G2958" s="178">
        <v>2123.8000000000002</v>
      </c>
      <c r="H2958" s="179">
        <v>42850</v>
      </c>
      <c r="I2958" s="178">
        <f t="shared" si="94"/>
        <v>2123.8000000000002</v>
      </c>
      <c r="J2958" s="178">
        <f t="shared" si="93"/>
        <v>0</v>
      </c>
      <c r="K2958" s="19"/>
    </row>
    <row r="2959" spans="1:11" x14ac:dyDescent="0.25">
      <c r="A2959" s="51">
        <v>42850</v>
      </c>
      <c r="B2959" s="174" t="s">
        <v>14522</v>
      </c>
      <c r="C2959" s="175"/>
      <c r="D2959" s="176" t="s">
        <v>14522</v>
      </c>
      <c r="E2959" s="176">
        <v>109393</v>
      </c>
      <c r="F2959" s="177" t="s">
        <v>30</v>
      </c>
      <c r="G2959" s="178">
        <v>352</v>
      </c>
      <c r="H2959" s="179">
        <v>42850</v>
      </c>
      <c r="I2959" s="178">
        <f t="shared" si="94"/>
        <v>352</v>
      </c>
      <c r="J2959" s="178">
        <f t="shared" si="93"/>
        <v>0</v>
      </c>
      <c r="K2959" s="19"/>
    </row>
    <row r="2960" spans="1:11" x14ac:dyDescent="0.25">
      <c r="A2960" s="51">
        <v>42850</v>
      </c>
      <c r="B2960" s="174" t="s">
        <v>14523</v>
      </c>
      <c r="C2960" s="175"/>
      <c r="D2960" s="176" t="s">
        <v>14523</v>
      </c>
      <c r="E2960" s="176">
        <v>109394</v>
      </c>
      <c r="F2960" s="177" t="s">
        <v>85</v>
      </c>
      <c r="G2960" s="178">
        <v>525</v>
      </c>
      <c r="H2960" s="179">
        <v>42850</v>
      </c>
      <c r="I2960" s="178">
        <f t="shared" si="94"/>
        <v>525</v>
      </c>
      <c r="J2960" s="178">
        <f t="shared" si="93"/>
        <v>0</v>
      </c>
      <c r="K2960" s="19"/>
    </row>
    <row r="2961" spans="1:11" x14ac:dyDescent="0.25">
      <c r="A2961" s="51">
        <v>42850</v>
      </c>
      <c r="B2961" s="174" t="s">
        <v>14524</v>
      </c>
      <c r="C2961" s="175"/>
      <c r="D2961" s="176" t="s">
        <v>14524</v>
      </c>
      <c r="E2961" s="176">
        <v>109395</v>
      </c>
      <c r="F2961" s="177" t="s">
        <v>218</v>
      </c>
      <c r="G2961" s="178">
        <v>12177.6</v>
      </c>
      <c r="H2961" s="179">
        <v>42850</v>
      </c>
      <c r="I2961" s="178">
        <f t="shared" si="94"/>
        <v>12177.6</v>
      </c>
      <c r="J2961" s="178">
        <f t="shared" si="93"/>
        <v>0</v>
      </c>
      <c r="K2961" s="19"/>
    </row>
    <row r="2962" spans="1:11" x14ac:dyDescent="0.25">
      <c r="A2962" s="51">
        <v>42850</v>
      </c>
      <c r="B2962" s="174" t="s">
        <v>14525</v>
      </c>
      <c r="C2962" s="175"/>
      <c r="D2962" s="176" t="s">
        <v>14525</v>
      </c>
      <c r="E2962" s="176">
        <v>109396</v>
      </c>
      <c r="F2962" s="177" t="s">
        <v>531</v>
      </c>
      <c r="G2962" s="178">
        <v>4704.2</v>
      </c>
      <c r="H2962" s="186">
        <v>42857</v>
      </c>
      <c r="I2962" s="187">
        <f t="shared" si="94"/>
        <v>4704.2</v>
      </c>
      <c r="J2962" s="178">
        <f t="shared" si="93"/>
        <v>0</v>
      </c>
      <c r="K2962" s="19"/>
    </row>
    <row r="2963" spans="1:11" x14ac:dyDescent="0.25">
      <c r="A2963" s="51">
        <v>42850</v>
      </c>
      <c r="B2963" s="174" t="s">
        <v>14526</v>
      </c>
      <c r="C2963" s="175"/>
      <c r="D2963" s="176" t="s">
        <v>14526</v>
      </c>
      <c r="E2963" s="176">
        <v>109397</v>
      </c>
      <c r="F2963" s="177" t="s">
        <v>231</v>
      </c>
      <c r="G2963" s="178">
        <v>2380</v>
      </c>
      <c r="H2963" s="184">
        <v>42851</v>
      </c>
      <c r="I2963" s="183">
        <f t="shared" si="94"/>
        <v>2380</v>
      </c>
      <c r="J2963" s="178">
        <f t="shared" si="93"/>
        <v>0</v>
      </c>
      <c r="K2963" s="19"/>
    </row>
    <row r="2964" spans="1:11" x14ac:dyDescent="0.25">
      <c r="A2964" s="51">
        <v>42850</v>
      </c>
      <c r="B2964" s="174" t="s">
        <v>14527</v>
      </c>
      <c r="C2964" s="175"/>
      <c r="D2964" s="176" t="s">
        <v>14527</v>
      </c>
      <c r="E2964" s="176">
        <v>109398</v>
      </c>
      <c r="F2964" s="177" t="s">
        <v>30</v>
      </c>
      <c r="G2964" s="178">
        <v>2494</v>
      </c>
      <c r="H2964" s="179">
        <v>42850</v>
      </c>
      <c r="I2964" s="178">
        <f t="shared" si="94"/>
        <v>2494</v>
      </c>
      <c r="J2964" s="178">
        <f t="shared" si="93"/>
        <v>0</v>
      </c>
      <c r="K2964" s="19"/>
    </row>
    <row r="2965" spans="1:11" x14ac:dyDescent="0.25">
      <c r="A2965" s="51">
        <v>42850</v>
      </c>
      <c r="B2965" s="174" t="s">
        <v>14528</v>
      </c>
      <c r="C2965" s="175"/>
      <c r="D2965" s="176" t="s">
        <v>14528</v>
      </c>
      <c r="E2965" s="176">
        <v>109399</v>
      </c>
      <c r="F2965" s="177" t="s">
        <v>30</v>
      </c>
      <c r="G2965" s="178">
        <v>2502.6</v>
      </c>
      <c r="H2965" s="179">
        <v>42850</v>
      </c>
      <c r="I2965" s="178">
        <f t="shared" si="94"/>
        <v>2502.6</v>
      </c>
      <c r="J2965" s="178">
        <f t="shared" si="93"/>
        <v>0</v>
      </c>
      <c r="K2965" s="19"/>
    </row>
    <row r="2966" spans="1:11" x14ac:dyDescent="0.25">
      <c r="A2966" s="51">
        <v>42850</v>
      </c>
      <c r="B2966" s="174" t="s">
        <v>14529</v>
      </c>
      <c r="C2966" s="175"/>
      <c r="D2966" s="176" t="s">
        <v>14529</v>
      </c>
      <c r="E2966" s="176">
        <v>109400</v>
      </c>
      <c r="F2966" s="177" t="s">
        <v>2240</v>
      </c>
      <c r="G2966" s="178">
        <v>5363.9</v>
      </c>
      <c r="H2966" s="179">
        <v>42850</v>
      </c>
      <c r="I2966" s="178">
        <f t="shared" si="94"/>
        <v>5363.9</v>
      </c>
      <c r="J2966" s="178">
        <f t="shared" si="93"/>
        <v>0</v>
      </c>
      <c r="K2966" s="19"/>
    </row>
    <row r="2967" spans="1:11" x14ac:dyDescent="0.25">
      <c r="A2967" s="51">
        <v>42850</v>
      </c>
      <c r="B2967" s="174" t="s">
        <v>14530</v>
      </c>
      <c r="C2967" s="175"/>
      <c r="D2967" s="176" t="s">
        <v>14530</v>
      </c>
      <c r="E2967" s="176">
        <v>109401</v>
      </c>
      <c r="F2967" s="177" t="s">
        <v>30</v>
      </c>
      <c r="G2967" s="178">
        <v>4287.1499999999996</v>
      </c>
      <c r="H2967" s="179">
        <v>42850</v>
      </c>
      <c r="I2967" s="178">
        <f t="shared" si="94"/>
        <v>4287.1499999999996</v>
      </c>
      <c r="J2967" s="178">
        <f t="shared" si="93"/>
        <v>0</v>
      </c>
      <c r="K2967" s="19"/>
    </row>
    <row r="2968" spans="1:11" x14ac:dyDescent="0.25">
      <c r="A2968" s="51">
        <v>42850</v>
      </c>
      <c r="B2968" s="174" t="s">
        <v>14531</v>
      </c>
      <c r="C2968" s="175"/>
      <c r="D2968" s="176" t="s">
        <v>14531</v>
      </c>
      <c r="E2968" s="176">
        <v>109402</v>
      </c>
      <c r="F2968" s="177" t="s">
        <v>2535</v>
      </c>
      <c r="G2968" s="178">
        <v>1692</v>
      </c>
      <c r="H2968" s="179">
        <v>42850</v>
      </c>
      <c r="I2968" s="178">
        <f t="shared" si="94"/>
        <v>1692</v>
      </c>
      <c r="J2968" s="178">
        <f t="shared" si="93"/>
        <v>0</v>
      </c>
      <c r="K2968" s="19"/>
    </row>
    <row r="2969" spans="1:11" x14ac:dyDescent="0.25">
      <c r="A2969" s="51">
        <v>42850</v>
      </c>
      <c r="B2969" s="174" t="s">
        <v>14532</v>
      </c>
      <c r="C2969" s="175"/>
      <c r="D2969" s="176" t="s">
        <v>14532</v>
      </c>
      <c r="E2969" s="176">
        <v>109403</v>
      </c>
      <c r="F2969" s="177" t="s">
        <v>1163</v>
      </c>
      <c r="G2969" s="178">
        <v>26505.200000000001</v>
      </c>
      <c r="H2969" s="179">
        <v>42850</v>
      </c>
      <c r="I2969" s="178">
        <f t="shared" si="94"/>
        <v>26505.200000000001</v>
      </c>
      <c r="J2969" s="178">
        <f t="shared" si="93"/>
        <v>0</v>
      </c>
      <c r="K2969" s="19"/>
    </row>
    <row r="2970" spans="1:11" x14ac:dyDescent="0.25">
      <c r="A2970" s="51">
        <v>42850</v>
      </c>
      <c r="B2970" s="174" t="s">
        <v>14533</v>
      </c>
      <c r="C2970" s="175"/>
      <c r="D2970" s="176" t="s">
        <v>14533</v>
      </c>
      <c r="E2970" s="176">
        <v>109404</v>
      </c>
      <c r="F2970" s="177" t="s">
        <v>2528</v>
      </c>
      <c r="G2970" s="178">
        <v>531.79999999999995</v>
      </c>
      <c r="H2970" s="179">
        <v>42850</v>
      </c>
      <c r="I2970" s="178">
        <f t="shared" si="94"/>
        <v>531.79999999999995</v>
      </c>
      <c r="J2970" s="178">
        <f t="shared" si="93"/>
        <v>0</v>
      </c>
      <c r="K2970" s="19"/>
    </row>
    <row r="2971" spans="1:11" x14ac:dyDescent="0.25">
      <c r="A2971" s="51">
        <v>42850</v>
      </c>
      <c r="B2971" s="174" t="s">
        <v>14534</v>
      </c>
      <c r="C2971" s="175"/>
      <c r="D2971" s="176" t="s">
        <v>14534</v>
      </c>
      <c r="E2971" s="176">
        <v>109405</v>
      </c>
      <c r="F2971" s="177" t="s">
        <v>193</v>
      </c>
      <c r="G2971" s="178">
        <v>1827.5</v>
      </c>
      <c r="H2971" s="179">
        <v>42850</v>
      </c>
      <c r="I2971" s="178">
        <f t="shared" si="94"/>
        <v>1827.5</v>
      </c>
      <c r="J2971" s="178">
        <f t="shared" si="93"/>
        <v>0</v>
      </c>
      <c r="K2971" s="19"/>
    </row>
    <row r="2972" spans="1:11" x14ac:dyDescent="0.25">
      <c r="A2972" s="51">
        <v>42850</v>
      </c>
      <c r="B2972" s="174" t="s">
        <v>14535</v>
      </c>
      <c r="C2972" s="175"/>
      <c r="D2972" s="176" t="s">
        <v>14535</v>
      </c>
      <c r="E2972" s="176">
        <v>109406</v>
      </c>
      <c r="F2972" s="177" t="s">
        <v>182</v>
      </c>
      <c r="G2972" s="178">
        <v>2208.8000000000002</v>
      </c>
      <c r="H2972" s="179">
        <v>42850</v>
      </c>
      <c r="I2972" s="178">
        <f t="shared" si="94"/>
        <v>2208.8000000000002</v>
      </c>
      <c r="J2972" s="178">
        <f t="shared" si="93"/>
        <v>0</v>
      </c>
      <c r="K2972" s="19"/>
    </row>
    <row r="2973" spans="1:11" x14ac:dyDescent="0.25">
      <c r="A2973" s="51">
        <v>42850</v>
      </c>
      <c r="B2973" s="174" t="s">
        <v>14536</v>
      </c>
      <c r="C2973" s="175"/>
      <c r="D2973" s="176" t="s">
        <v>14536</v>
      </c>
      <c r="E2973" s="176">
        <v>109407</v>
      </c>
      <c r="F2973" s="177" t="s">
        <v>367</v>
      </c>
      <c r="G2973" s="178">
        <v>1575</v>
      </c>
      <c r="H2973" s="179">
        <v>42850</v>
      </c>
      <c r="I2973" s="178">
        <f t="shared" si="94"/>
        <v>1575</v>
      </c>
      <c r="J2973" s="178">
        <f t="shared" si="93"/>
        <v>0</v>
      </c>
      <c r="K2973" s="19"/>
    </row>
    <row r="2974" spans="1:11" x14ac:dyDescent="0.25">
      <c r="A2974" s="51">
        <v>42850</v>
      </c>
      <c r="B2974" s="174" t="s">
        <v>14537</v>
      </c>
      <c r="C2974" s="175"/>
      <c r="D2974" s="176" t="s">
        <v>14537</v>
      </c>
      <c r="E2974" s="176">
        <v>109408</v>
      </c>
      <c r="F2974" s="177" t="s">
        <v>222</v>
      </c>
      <c r="G2974" s="178">
        <v>375452</v>
      </c>
      <c r="H2974" s="184">
        <v>42852</v>
      </c>
      <c r="I2974" s="183">
        <f t="shared" si="94"/>
        <v>375452</v>
      </c>
      <c r="J2974" s="178">
        <f t="shared" si="93"/>
        <v>0</v>
      </c>
      <c r="K2974" s="19"/>
    </row>
    <row r="2975" spans="1:11" x14ac:dyDescent="0.25">
      <c r="A2975" s="51">
        <v>42850</v>
      </c>
      <c r="B2975" s="174" t="s">
        <v>14538</v>
      </c>
      <c r="C2975" s="175"/>
      <c r="D2975" s="176" t="s">
        <v>14538</v>
      </c>
      <c r="E2975" s="176">
        <v>109409</v>
      </c>
      <c r="F2975" s="177" t="s">
        <v>222</v>
      </c>
      <c r="G2975" s="178">
        <v>217310</v>
      </c>
      <c r="H2975" s="184">
        <v>42852</v>
      </c>
      <c r="I2975" s="183">
        <f t="shared" si="94"/>
        <v>217310</v>
      </c>
      <c r="J2975" s="178">
        <f t="shared" si="93"/>
        <v>0</v>
      </c>
      <c r="K2975" s="19"/>
    </row>
    <row r="2976" spans="1:11" x14ac:dyDescent="0.25">
      <c r="A2976" s="51">
        <v>42850</v>
      </c>
      <c r="B2976" s="174" t="s">
        <v>14539</v>
      </c>
      <c r="C2976" s="175"/>
      <c r="D2976" s="176" t="s">
        <v>14539</v>
      </c>
      <c r="E2976" s="176">
        <v>109410</v>
      </c>
      <c r="F2976" s="177" t="s">
        <v>302</v>
      </c>
      <c r="G2976" s="178">
        <v>6303.3</v>
      </c>
      <c r="H2976" s="179">
        <v>42853</v>
      </c>
      <c r="I2976" s="178">
        <f t="shared" si="94"/>
        <v>6303.3</v>
      </c>
      <c r="J2976" s="178">
        <f t="shared" si="93"/>
        <v>0</v>
      </c>
      <c r="K2976" s="19"/>
    </row>
    <row r="2977" spans="1:11" x14ac:dyDescent="0.25">
      <c r="A2977" s="51">
        <v>42850</v>
      </c>
      <c r="B2977" s="174" t="s">
        <v>14540</v>
      </c>
      <c r="C2977" s="175"/>
      <c r="D2977" s="176" t="s">
        <v>14540</v>
      </c>
      <c r="E2977" s="176">
        <v>109411</v>
      </c>
      <c r="F2977" s="177" t="s">
        <v>147</v>
      </c>
      <c r="G2977" s="178">
        <v>14851.2</v>
      </c>
      <c r="H2977" s="184">
        <v>42851</v>
      </c>
      <c r="I2977" s="183">
        <f t="shared" si="94"/>
        <v>14851.2</v>
      </c>
      <c r="J2977" s="178">
        <f t="shared" si="93"/>
        <v>0</v>
      </c>
      <c r="K2977" s="19"/>
    </row>
    <row r="2978" spans="1:11" x14ac:dyDescent="0.25">
      <c r="A2978" s="51">
        <v>42850</v>
      </c>
      <c r="B2978" s="174" t="s">
        <v>14541</v>
      </c>
      <c r="C2978" s="175"/>
      <c r="D2978" s="176" t="s">
        <v>14541</v>
      </c>
      <c r="E2978" s="176">
        <v>109412</v>
      </c>
      <c r="F2978" s="177" t="s">
        <v>5232</v>
      </c>
      <c r="G2978" s="178">
        <v>10570.6</v>
      </c>
      <c r="H2978" s="184">
        <v>42851</v>
      </c>
      <c r="I2978" s="183">
        <f t="shared" si="94"/>
        <v>10570.6</v>
      </c>
      <c r="J2978" s="178">
        <f t="shared" si="93"/>
        <v>0</v>
      </c>
      <c r="K2978" s="19"/>
    </row>
    <row r="2979" spans="1:11" x14ac:dyDescent="0.25">
      <c r="A2979" s="51">
        <v>42850</v>
      </c>
      <c r="B2979" s="174" t="s">
        <v>14542</v>
      </c>
      <c r="C2979" s="175"/>
      <c r="D2979" s="176" t="s">
        <v>14542</v>
      </c>
      <c r="E2979" s="176">
        <v>109413</v>
      </c>
      <c r="F2979" s="177" t="s">
        <v>1870</v>
      </c>
      <c r="G2979" s="178">
        <v>219.2</v>
      </c>
      <c r="H2979" s="179">
        <v>42850</v>
      </c>
      <c r="I2979" s="178">
        <f t="shared" si="94"/>
        <v>219.2</v>
      </c>
      <c r="J2979" s="178">
        <f t="shared" si="93"/>
        <v>0</v>
      </c>
      <c r="K2979" s="19"/>
    </row>
    <row r="2980" spans="1:11" x14ac:dyDescent="0.25">
      <c r="A2980" s="51">
        <v>42850</v>
      </c>
      <c r="B2980" s="174" t="s">
        <v>14543</v>
      </c>
      <c r="C2980" s="175"/>
      <c r="D2980" s="176" t="s">
        <v>14543</v>
      </c>
      <c r="E2980" s="176">
        <v>109414</v>
      </c>
      <c r="F2980" s="177" t="s">
        <v>133</v>
      </c>
      <c r="G2980" s="178">
        <v>6049</v>
      </c>
      <c r="H2980" s="179">
        <v>42850</v>
      </c>
      <c r="I2980" s="178">
        <f t="shared" si="94"/>
        <v>6049</v>
      </c>
      <c r="J2980" s="178">
        <f t="shared" si="93"/>
        <v>0</v>
      </c>
      <c r="K2980" s="19"/>
    </row>
    <row r="2981" spans="1:11" x14ac:dyDescent="0.25">
      <c r="A2981" s="51">
        <v>42850</v>
      </c>
      <c r="B2981" s="174" t="s">
        <v>14544</v>
      </c>
      <c r="C2981" s="175"/>
      <c r="D2981" s="176" t="s">
        <v>14544</v>
      </c>
      <c r="E2981" s="176">
        <v>109415</v>
      </c>
      <c r="F2981" s="177" t="s">
        <v>352</v>
      </c>
      <c r="G2981" s="178">
        <v>3296.9</v>
      </c>
      <c r="H2981" s="179">
        <v>42850</v>
      </c>
      <c r="I2981" s="178">
        <f t="shared" si="94"/>
        <v>3296.9</v>
      </c>
      <c r="J2981" s="178">
        <f t="shared" si="93"/>
        <v>0</v>
      </c>
      <c r="K2981" s="19"/>
    </row>
    <row r="2982" spans="1:11" x14ac:dyDescent="0.25">
      <c r="A2982" s="51">
        <v>42850</v>
      </c>
      <c r="B2982" s="174" t="s">
        <v>14545</v>
      </c>
      <c r="C2982" s="175"/>
      <c r="D2982" s="176" t="s">
        <v>14545</v>
      </c>
      <c r="E2982" s="176">
        <v>109416</v>
      </c>
      <c r="F2982" s="177" t="s">
        <v>5352</v>
      </c>
      <c r="G2982" s="178">
        <v>33792.6</v>
      </c>
      <c r="H2982" s="179">
        <v>42850</v>
      </c>
      <c r="I2982" s="178">
        <f t="shared" si="94"/>
        <v>33792.6</v>
      </c>
      <c r="J2982" s="178">
        <f t="shared" si="93"/>
        <v>0</v>
      </c>
      <c r="K2982" s="19"/>
    </row>
    <row r="2983" spans="1:11" x14ac:dyDescent="0.25">
      <c r="A2983" s="51">
        <v>42850</v>
      </c>
      <c r="B2983" s="174" t="s">
        <v>14546</v>
      </c>
      <c r="C2983" s="175"/>
      <c r="D2983" s="176" t="s">
        <v>14546</v>
      </c>
      <c r="E2983" s="176">
        <v>109417</v>
      </c>
      <c r="F2983" s="177" t="s">
        <v>354</v>
      </c>
      <c r="G2983" s="178">
        <v>894.8</v>
      </c>
      <c r="H2983" s="179">
        <v>42850</v>
      </c>
      <c r="I2983" s="178">
        <f t="shared" si="94"/>
        <v>894.8</v>
      </c>
      <c r="J2983" s="178">
        <f t="shared" si="93"/>
        <v>0</v>
      </c>
      <c r="K2983" s="19"/>
    </row>
    <row r="2984" spans="1:11" x14ac:dyDescent="0.25">
      <c r="A2984" s="51">
        <v>42850</v>
      </c>
      <c r="B2984" s="174" t="s">
        <v>14547</v>
      </c>
      <c r="C2984" s="175"/>
      <c r="D2984" s="176" t="s">
        <v>14547</v>
      </c>
      <c r="E2984" s="176">
        <v>109418</v>
      </c>
      <c r="F2984" s="177" t="s">
        <v>10</v>
      </c>
      <c r="G2984" s="178">
        <v>128485.7</v>
      </c>
      <c r="H2984" s="184">
        <v>42851</v>
      </c>
      <c r="I2984" s="183">
        <f t="shared" si="94"/>
        <v>128485.7</v>
      </c>
      <c r="J2984" s="178">
        <f t="shared" si="93"/>
        <v>0</v>
      </c>
      <c r="K2984" s="19"/>
    </row>
    <row r="2985" spans="1:11" x14ac:dyDescent="0.25">
      <c r="A2985" s="51">
        <v>42850</v>
      </c>
      <c r="B2985" s="174" t="s">
        <v>14548</v>
      </c>
      <c r="C2985" s="175"/>
      <c r="D2985" s="176" t="s">
        <v>14548</v>
      </c>
      <c r="E2985" s="176">
        <v>109419</v>
      </c>
      <c r="F2985" s="177" t="s">
        <v>10</v>
      </c>
      <c r="G2985" s="178">
        <v>2799.3</v>
      </c>
      <c r="H2985" s="184">
        <v>42851</v>
      </c>
      <c r="I2985" s="183">
        <f t="shared" si="94"/>
        <v>2799.3</v>
      </c>
      <c r="J2985" s="178">
        <f t="shared" si="93"/>
        <v>0</v>
      </c>
      <c r="K2985" s="19"/>
    </row>
    <row r="2986" spans="1:11" x14ac:dyDescent="0.25">
      <c r="A2986" s="51">
        <v>42850</v>
      </c>
      <c r="B2986" s="174" t="s">
        <v>14549</v>
      </c>
      <c r="C2986" s="175"/>
      <c r="D2986" s="176" t="s">
        <v>14549</v>
      </c>
      <c r="E2986" s="176">
        <v>109420</v>
      </c>
      <c r="F2986" s="177" t="s">
        <v>531</v>
      </c>
      <c r="G2986" s="178">
        <v>29303.34</v>
      </c>
      <c r="H2986" s="184">
        <v>42851</v>
      </c>
      <c r="I2986" s="183">
        <f t="shared" si="94"/>
        <v>29303.34</v>
      </c>
      <c r="J2986" s="178">
        <f t="shared" si="93"/>
        <v>0</v>
      </c>
      <c r="K2986" s="19"/>
    </row>
    <row r="2987" spans="1:11" x14ac:dyDescent="0.25">
      <c r="A2987" s="51">
        <v>42850</v>
      </c>
      <c r="B2987" s="174" t="s">
        <v>14550</v>
      </c>
      <c r="C2987" s="175"/>
      <c r="D2987" s="176" t="s">
        <v>14550</v>
      </c>
      <c r="E2987" s="176">
        <v>109421</v>
      </c>
      <c r="F2987" s="177" t="s">
        <v>69</v>
      </c>
      <c r="G2987" s="178">
        <v>2640.2</v>
      </c>
      <c r="H2987" s="184">
        <v>42851</v>
      </c>
      <c r="I2987" s="183">
        <f t="shared" si="94"/>
        <v>2640.2</v>
      </c>
      <c r="J2987" s="178">
        <f t="shared" si="93"/>
        <v>0</v>
      </c>
      <c r="K2987" s="19"/>
    </row>
    <row r="2988" spans="1:11" x14ac:dyDescent="0.25">
      <c r="A2988" s="51">
        <v>42850</v>
      </c>
      <c r="B2988" s="174" t="s">
        <v>14551</v>
      </c>
      <c r="C2988" s="175"/>
      <c r="D2988" s="176" t="s">
        <v>14551</v>
      </c>
      <c r="E2988" s="176">
        <v>109422</v>
      </c>
      <c r="F2988" s="177" t="s">
        <v>205</v>
      </c>
      <c r="G2988" s="178">
        <v>2352.1999999999998</v>
      </c>
      <c r="H2988" s="184">
        <v>42851</v>
      </c>
      <c r="I2988" s="183">
        <f t="shared" si="94"/>
        <v>2352.1999999999998</v>
      </c>
      <c r="J2988" s="178">
        <f t="shared" si="93"/>
        <v>0</v>
      </c>
      <c r="K2988" s="19"/>
    </row>
    <row r="2989" spans="1:11" x14ac:dyDescent="0.25">
      <c r="A2989" s="51">
        <v>42850</v>
      </c>
      <c r="B2989" s="174" t="s">
        <v>14552</v>
      </c>
      <c r="C2989" s="175"/>
      <c r="D2989" s="176" t="s">
        <v>14552</v>
      </c>
      <c r="E2989" s="176">
        <v>109423</v>
      </c>
      <c r="F2989" s="177" t="s">
        <v>236</v>
      </c>
      <c r="G2989" s="178">
        <v>37542.839999999997</v>
      </c>
      <c r="H2989" s="184">
        <v>42854</v>
      </c>
      <c r="I2989" s="183">
        <f t="shared" si="94"/>
        <v>37542.839999999997</v>
      </c>
      <c r="J2989" s="178">
        <f t="shared" si="93"/>
        <v>0</v>
      </c>
      <c r="K2989" s="19"/>
    </row>
    <row r="2990" spans="1:11" x14ac:dyDescent="0.25">
      <c r="A2990" s="51">
        <v>42850</v>
      </c>
      <c r="B2990" s="174" t="s">
        <v>14553</v>
      </c>
      <c r="C2990" s="175"/>
      <c r="D2990" s="176" t="s">
        <v>14553</v>
      </c>
      <c r="E2990" s="176">
        <v>109424</v>
      </c>
      <c r="F2990" s="177" t="s">
        <v>30</v>
      </c>
      <c r="G2990" s="178">
        <v>2563.1999999999998</v>
      </c>
      <c r="H2990" s="179">
        <v>42850</v>
      </c>
      <c r="I2990" s="178">
        <f t="shared" si="94"/>
        <v>2563.1999999999998</v>
      </c>
      <c r="J2990" s="178">
        <f t="shared" si="93"/>
        <v>0</v>
      </c>
      <c r="K2990" s="19"/>
    </row>
    <row r="2991" spans="1:11" x14ac:dyDescent="0.25">
      <c r="A2991" s="51">
        <v>42850</v>
      </c>
      <c r="B2991" s="174" t="s">
        <v>14554</v>
      </c>
      <c r="C2991" s="175"/>
      <c r="D2991" s="176" t="s">
        <v>14554</v>
      </c>
      <c r="E2991" s="176">
        <v>109425</v>
      </c>
      <c r="F2991" s="177" t="s">
        <v>12879</v>
      </c>
      <c r="G2991" s="178">
        <v>666</v>
      </c>
      <c r="H2991" s="179">
        <v>42850</v>
      </c>
      <c r="I2991" s="178">
        <f t="shared" si="94"/>
        <v>666</v>
      </c>
      <c r="J2991" s="178">
        <f t="shared" si="93"/>
        <v>0</v>
      </c>
      <c r="K2991" s="19"/>
    </row>
    <row r="2992" spans="1:11" x14ac:dyDescent="0.25">
      <c r="A2992" s="51">
        <v>42850</v>
      </c>
      <c r="B2992" s="174" t="s">
        <v>14555</v>
      </c>
      <c r="C2992" s="175"/>
      <c r="D2992" s="176" t="s">
        <v>14555</v>
      </c>
      <c r="E2992" s="176">
        <v>109426</v>
      </c>
      <c r="F2992" s="177" t="s">
        <v>10</v>
      </c>
      <c r="G2992" s="178">
        <v>8488.36</v>
      </c>
      <c r="H2992" s="184">
        <v>42851</v>
      </c>
      <c r="I2992" s="183">
        <f t="shared" si="94"/>
        <v>8488.36</v>
      </c>
      <c r="J2992" s="178">
        <f t="shared" si="93"/>
        <v>0</v>
      </c>
      <c r="K2992" s="19"/>
    </row>
    <row r="2993" spans="1:11" x14ac:dyDescent="0.25">
      <c r="A2993" s="51">
        <v>42850</v>
      </c>
      <c r="B2993" s="174" t="s">
        <v>14556</v>
      </c>
      <c r="C2993" s="175"/>
      <c r="D2993" s="176" t="s">
        <v>14556</v>
      </c>
      <c r="E2993" s="176">
        <v>109427</v>
      </c>
      <c r="F2993" s="177" t="s">
        <v>147</v>
      </c>
      <c r="G2993" s="178">
        <v>1880</v>
      </c>
      <c r="H2993" s="179">
        <v>42851</v>
      </c>
      <c r="I2993" s="178">
        <f t="shared" si="94"/>
        <v>1880</v>
      </c>
      <c r="J2993" s="178">
        <f t="shared" si="93"/>
        <v>0</v>
      </c>
      <c r="K2993" s="19"/>
    </row>
    <row r="2994" spans="1:11" x14ac:dyDescent="0.25">
      <c r="A2994" s="51">
        <v>42850</v>
      </c>
      <c r="B2994" s="174" t="s">
        <v>14557</v>
      </c>
      <c r="C2994" s="175"/>
      <c r="D2994" s="176" t="s">
        <v>14557</v>
      </c>
      <c r="E2994" s="176">
        <v>109428</v>
      </c>
      <c r="F2994" s="177" t="s">
        <v>358</v>
      </c>
      <c r="G2994" s="178">
        <v>29617.83</v>
      </c>
      <c r="H2994" s="184">
        <v>42852</v>
      </c>
      <c r="I2994" s="183">
        <f t="shared" si="94"/>
        <v>29617.83</v>
      </c>
      <c r="J2994" s="178">
        <f t="shared" si="93"/>
        <v>0</v>
      </c>
      <c r="K2994" s="19"/>
    </row>
    <row r="2995" spans="1:11" x14ac:dyDescent="0.25">
      <c r="A2995" s="51">
        <v>42850</v>
      </c>
      <c r="B2995" s="174" t="s">
        <v>14558</v>
      </c>
      <c r="C2995" s="175"/>
      <c r="D2995" s="176" t="s">
        <v>14558</v>
      </c>
      <c r="E2995" s="176">
        <v>109429</v>
      </c>
      <c r="F2995" s="177" t="s">
        <v>10</v>
      </c>
      <c r="G2995" s="178">
        <v>118665.36</v>
      </c>
      <c r="H2995" s="184" t="s">
        <v>14559</v>
      </c>
      <c r="I2995" s="183">
        <f>36459.54+82205.82</f>
        <v>118665.36000000002</v>
      </c>
      <c r="J2995" s="178">
        <f t="shared" si="93"/>
        <v>0</v>
      </c>
      <c r="K2995" s="19"/>
    </row>
    <row r="2996" spans="1:11" x14ac:dyDescent="0.25">
      <c r="A2996" s="51">
        <v>42850</v>
      </c>
      <c r="B2996" s="174" t="s">
        <v>14560</v>
      </c>
      <c r="C2996" s="175"/>
      <c r="D2996" s="176" t="s">
        <v>14560</v>
      </c>
      <c r="E2996" s="176">
        <v>109430</v>
      </c>
      <c r="F2996" s="177" t="s">
        <v>220</v>
      </c>
      <c r="G2996" s="178">
        <v>3108.8</v>
      </c>
      <c r="H2996" s="179">
        <v>42850</v>
      </c>
      <c r="I2996" s="178">
        <f t="shared" si="94"/>
        <v>3108.8</v>
      </c>
      <c r="J2996" s="178">
        <f t="shared" si="93"/>
        <v>0</v>
      </c>
      <c r="K2996" s="19"/>
    </row>
    <row r="2997" spans="1:11" x14ac:dyDescent="0.25">
      <c r="A2997" s="51">
        <v>42851</v>
      </c>
      <c r="B2997" s="174" t="s">
        <v>14561</v>
      </c>
      <c r="C2997" s="175"/>
      <c r="D2997" s="176" t="s">
        <v>14561</v>
      </c>
      <c r="E2997" s="176">
        <v>109431</v>
      </c>
      <c r="F2997" s="177" t="s">
        <v>71</v>
      </c>
      <c r="G2997" s="178">
        <v>1681.5</v>
      </c>
      <c r="H2997" s="184">
        <v>42851</v>
      </c>
      <c r="I2997" s="183">
        <f t="shared" si="94"/>
        <v>1681.5</v>
      </c>
      <c r="J2997" s="178">
        <f t="shared" si="93"/>
        <v>0</v>
      </c>
      <c r="K2997" s="19"/>
    </row>
    <row r="2998" spans="1:11" x14ac:dyDescent="0.25">
      <c r="A2998" s="51">
        <v>42851</v>
      </c>
      <c r="B2998" s="174" t="s">
        <v>14562</v>
      </c>
      <c r="C2998" s="175"/>
      <c r="D2998" s="176" t="s">
        <v>14562</v>
      </c>
      <c r="E2998" s="176">
        <v>109432</v>
      </c>
      <c r="F2998" s="177" t="s">
        <v>28</v>
      </c>
      <c r="G2998" s="178">
        <v>8790.4</v>
      </c>
      <c r="H2998" s="184">
        <v>42851</v>
      </c>
      <c r="I2998" s="183">
        <f t="shared" si="94"/>
        <v>8790.4</v>
      </c>
      <c r="J2998" s="178">
        <f t="shared" si="93"/>
        <v>0</v>
      </c>
      <c r="K2998" s="19"/>
    </row>
    <row r="2999" spans="1:11" x14ac:dyDescent="0.25">
      <c r="A2999" s="51">
        <v>42851</v>
      </c>
      <c r="B2999" s="174" t="s">
        <v>14563</v>
      </c>
      <c r="C2999" s="175"/>
      <c r="D2999" s="176" t="s">
        <v>14563</v>
      </c>
      <c r="E2999" s="176">
        <v>109433</v>
      </c>
      <c r="F2999" s="177" t="s">
        <v>231</v>
      </c>
      <c r="G2999" s="178">
        <v>5263.8</v>
      </c>
      <c r="H2999" s="184">
        <v>42852</v>
      </c>
      <c r="I2999" s="183">
        <f t="shared" si="94"/>
        <v>5263.8</v>
      </c>
      <c r="J2999" s="178">
        <f t="shared" si="93"/>
        <v>0</v>
      </c>
      <c r="K2999" s="19"/>
    </row>
    <row r="3000" spans="1:11" x14ac:dyDescent="0.25">
      <c r="A3000" s="51">
        <v>42851</v>
      </c>
      <c r="B3000" s="174" t="s">
        <v>14564</v>
      </c>
      <c r="C3000" s="175"/>
      <c r="D3000" s="176" t="s">
        <v>14564</v>
      </c>
      <c r="E3000" s="176">
        <v>109434</v>
      </c>
      <c r="F3000" s="177" t="s">
        <v>374</v>
      </c>
      <c r="G3000" s="178">
        <v>1773.9</v>
      </c>
      <c r="H3000" s="184">
        <v>42851</v>
      </c>
      <c r="I3000" s="183">
        <f t="shared" si="94"/>
        <v>1773.9</v>
      </c>
      <c r="J3000" s="178">
        <f t="shared" si="93"/>
        <v>0</v>
      </c>
      <c r="K3000" s="19"/>
    </row>
    <row r="3001" spans="1:11" x14ac:dyDescent="0.25">
      <c r="A3001" s="51">
        <v>42851</v>
      </c>
      <c r="B3001" s="174" t="s">
        <v>14565</v>
      </c>
      <c r="C3001" s="175"/>
      <c r="D3001" s="176" t="s">
        <v>14565</v>
      </c>
      <c r="E3001" s="176">
        <v>109435</v>
      </c>
      <c r="F3001" s="177" t="s">
        <v>231</v>
      </c>
      <c r="G3001" s="178">
        <v>34054.9</v>
      </c>
      <c r="H3001" s="184" t="s">
        <v>14312</v>
      </c>
      <c r="I3001" s="183">
        <f>31000+3054.9</f>
        <v>34054.9</v>
      </c>
      <c r="J3001" s="178">
        <f t="shared" si="93"/>
        <v>0</v>
      </c>
      <c r="K3001" s="19"/>
    </row>
    <row r="3002" spans="1:11" x14ac:dyDescent="0.25">
      <c r="A3002" s="51">
        <v>42851</v>
      </c>
      <c r="B3002" s="174" t="s">
        <v>14566</v>
      </c>
      <c r="C3002" s="175"/>
      <c r="D3002" s="176" t="s">
        <v>14566</v>
      </c>
      <c r="E3002" s="176">
        <v>109436</v>
      </c>
      <c r="F3002" s="177" t="s">
        <v>26</v>
      </c>
      <c r="G3002" s="178">
        <v>15013.4</v>
      </c>
      <c r="H3002" s="184">
        <v>42851</v>
      </c>
      <c r="I3002" s="183">
        <f t="shared" si="94"/>
        <v>15013.4</v>
      </c>
      <c r="J3002" s="178">
        <f t="shared" si="93"/>
        <v>0</v>
      </c>
      <c r="K3002" s="19"/>
    </row>
    <row r="3003" spans="1:11" x14ac:dyDescent="0.25">
      <c r="A3003" s="51">
        <v>42851</v>
      </c>
      <c r="B3003" s="174" t="s">
        <v>14567</v>
      </c>
      <c r="C3003" s="175"/>
      <c r="D3003" s="176" t="s">
        <v>14567</v>
      </c>
      <c r="E3003" s="176">
        <v>109437</v>
      </c>
      <c r="F3003" s="177" t="s">
        <v>19</v>
      </c>
      <c r="G3003" s="178">
        <v>1125</v>
      </c>
      <c r="H3003" s="184">
        <v>42851</v>
      </c>
      <c r="I3003" s="183">
        <f t="shared" si="94"/>
        <v>1125</v>
      </c>
      <c r="J3003" s="178">
        <f t="shared" si="93"/>
        <v>0</v>
      </c>
      <c r="K3003" s="19"/>
    </row>
    <row r="3004" spans="1:11" x14ac:dyDescent="0.25">
      <c r="A3004" s="51">
        <v>42851</v>
      </c>
      <c r="B3004" s="174" t="s">
        <v>14568</v>
      </c>
      <c r="C3004" s="175"/>
      <c r="D3004" s="176" t="s">
        <v>14568</v>
      </c>
      <c r="E3004" s="176">
        <v>109438</v>
      </c>
      <c r="F3004" s="177" t="s">
        <v>264</v>
      </c>
      <c r="G3004" s="178">
        <v>14398.8</v>
      </c>
      <c r="H3004" s="184">
        <v>42851</v>
      </c>
      <c r="I3004" s="183">
        <f t="shared" si="94"/>
        <v>14398.8</v>
      </c>
      <c r="J3004" s="178">
        <f t="shared" si="93"/>
        <v>0</v>
      </c>
      <c r="K3004" s="19"/>
    </row>
    <row r="3005" spans="1:11" x14ac:dyDescent="0.25">
      <c r="A3005" s="51">
        <v>42851</v>
      </c>
      <c r="B3005" s="174" t="s">
        <v>14569</v>
      </c>
      <c r="C3005" s="175"/>
      <c r="D3005" s="176" t="s">
        <v>14569</v>
      </c>
      <c r="E3005" s="176">
        <v>109439</v>
      </c>
      <c r="F3005" s="177" t="s">
        <v>17</v>
      </c>
      <c r="G3005" s="178">
        <v>1800</v>
      </c>
      <c r="H3005" s="184">
        <v>42851</v>
      </c>
      <c r="I3005" s="183">
        <f t="shared" si="94"/>
        <v>1800</v>
      </c>
      <c r="J3005" s="178">
        <f t="shared" si="93"/>
        <v>0</v>
      </c>
      <c r="K3005" s="19"/>
    </row>
    <row r="3006" spans="1:11" x14ac:dyDescent="0.25">
      <c r="A3006" s="51">
        <v>42851</v>
      </c>
      <c r="B3006" s="174" t="s">
        <v>14570</v>
      </c>
      <c r="C3006" s="175"/>
      <c r="D3006" s="176" t="s">
        <v>14570</v>
      </c>
      <c r="E3006" s="176">
        <v>109440</v>
      </c>
      <c r="F3006" s="177" t="s">
        <v>10</v>
      </c>
      <c r="G3006" s="178">
        <v>117635.76</v>
      </c>
      <c r="H3006" s="184">
        <v>42854</v>
      </c>
      <c r="I3006" s="183">
        <f t="shared" si="94"/>
        <v>117635.76</v>
      </c>
      <c r="J3006" s="178">
        <f t="shared" si="93"/>
        <v>0</v>
      </c>
      <c r="K3006" s="19"/>
    </row>
    <row r="3007" spans="1:11" x14ac:dyDescent="0.25">
      <c r="A3007" s="51">
        <v>42851</v>
      </c>
      <c r="B3007" s="174" t="s">
        <v>14571</v>
      </c>
      <c r="C3007" s="175"/>
      <c r="D3007" s="176" t="s">
        <v>14571</v>
      </c>
      <c r="E3007" s="176">
        <v>109441</v>
      </c>
      <c r="F3007" s="177" t="s">
        <v>10</v>
      </c>
      <c r="G3007" s="178">
        <v>418.2</v>
      </c>
      <c r="H3007" s="184">
        <v>42854</v>
      </c>
      <c r="I3007" s="183">
        <f t="shared" si="94"/>
        <v>418.2</v>
      </c>
      <c r="J3007" s="178">
        <f t="shared" si="93"/>
        <v>0</v>
      </c>
      <c r="K3007" s="19"/>
    </row>
    <row r="3008" spans="1:11" x14ac:dyDescent="0.25">
      <c r="A3008" s="51">
        <v>42851</v>
      </c>
      <c r="B3008" s="174" t="s">
        <v>14572</v>
      </c>
      <c r="C3008" s="175"/>
      <c r="D3008" s="176" t="s">
        <v>14572</v>
      </c>
      <c r="E3008" s="176">
        <v>109442</v>
      </c>
      <c r="F3008" s="177" t="s">
        <v>609</v>
      </c>
      <c r="G3008" s="178">
        <v>47797.8</v>
      </c>
      <c r="H3008" s="184">
        <v>42854</v>
      </c>
      <c r="I3008" s="183">
        <f t="shared" si="94"/>
        <v>47797.8</v>
      </c>
      <c r="J3008" s="178">
        <f t="shared" si="93"/>
        <v>0</v>
      </c>
      <c r="K3008" s="19"/>
    </row>
    <row r="3009" spans="1:11" x14ac:dyDescent="0.25">
      <c r="A3009" s="51">
        <v>42851</v>
      </c>
      <c r="B3009" s="174" t="s">
        <v>14573</v>
      </c>
      <c r="C3009" s="175"/>
      <c r="D3009" s="176" t="s">
        <v>14573</v>
      </c>
      <c r="E3009" s="176">
        <v>109443</v>
      </c>
      <c r="F3009" s="177" t="s">
        <v>35</v>
      </c>
      <c r="G3009" s="178">
        <v>7906</v>
      </c>
      <c r="H3009" s="184">
        <v>42853</v>
      </c>
      <c r="I3009" s="183">
        <f t="shared" si="94"/>
        <v>7906</v>
      </c>
      <c r="J3009" s="178">
        <f t="shared" si="93"/>
        <v>0</v>
      </c>
      <c r="K3009" s="19"/>
    </row>
    <row r="3010" spans="1:11" x14ac:dyDescent="0.25">
      <c r="A3010" s="51">
        <v>42851</v>
      </c>
      <c r="B3010" s="174" t="s">
        <v>14574</v>
      </c>
      <c r="C3010" s="175"/>
      <c r="D3010" s="176" t="s">
        <v>14574</v>
      </c>
      <c r="E3010" s="176">
        <v>109444</v>
      </c>
      <c r="F3010" s="177" t="s">
        <v>40</v>
      </c>
      <c r="G3010" s="178">
        <v>5925.6</v>
      </c>
      <c r="H3010" s="186">
        <v>42858</v>
      </c>
      <c r="I3010" s="187">
        <f t="shared" si="94"/>
        <v>5925.6</v>
      </c>
      <c r="J3010" s="178">
        <f t="shared" si="93"/>
        <v>0</v>
      </c>
      <c r="K3010" s="19"/>
    </row>
    <row r="3011" spans="1:11" x14ac:dyDescent="0.25">
      <c r="A3011" s="51">
        <v>42851</v>
      </c>
      <c r="B3011" s="174" t="s">
        <v>14575</v>
      </c>
      <c r="C3011" s="175"/>
      <c r="D3011" s="176" t="s">
        <v>14575</v>
      </c>
      <c r="E3011" s="176">
        <v>109445</v>
      </c>
      <c r="F3011" s="177" t="s">
        <v>32</v>
      </c>
      <c r="G3011" s="178">
        <v>5319.8</v>
      </c>
      <c r="H3011" s="186">
        <v>42861</v>
      </c>
      <c r="I3011" s="187">
        <f t="shared" si="94"/>
        <v>5319.8</v>
      </c>
      <c r="J3011" s="178">
        <f t="shared" si="93"/>
        <v>0</v>
      </c>
      <c r="K3011" s="19"/>
    </row>
    <row r="3012" spans="1:11" x14ac:dyDescent="0.25">
      <c r="A3012" s="51">
        <v>42851</v>
      </c>
      <c r="B3012" s="174" t="s">
        <v>14576</v>
      </c>
      <c r="C3012" s="175"/>
      <c r="D3012" s="176" t="s">
        <v>14576</v>
      </c>
      <c r="E3012" s="176">
        <v>109446</v>
      </c>
      <c r="F3012" s="177" t="s">
        <v>49</v>
      </c>
      <c r="G3012" s="178">
        <v>8342.4</v>
      </c>
      <c r="H3012" s="184">
        <v>42852</v>
      </c>
      <c r="I3012" s="183">
        <f t="shared" si="94"/>
        <v>8342.4</v>
      </c>
      <c r="J3012" s="178">
        <f t="shared" ref="J3012:J3075" si="95">G3012-I3012</f>
        <v>0</v>
      </c>
      <c r="K3012" s="19"/>
    </row>
    <row r="3013" spans="1:11" x14ac:dyDescent="0.25">
      <c r="A3013" s="51">
        <v>42851</v>
      </c>
      <c r="B3013" s="174" t="s">
        <v>14577</v>
      </c>
      <c r="C3013" s="175"/>
      <c r="D3013" s="176" t="s">
        <v>14577</v>
      </c>
      <c r="E3013" s="176">
        <v>109447</v>
      </c>
      <c r="F3013" s="177" t="s">
        <v>250</v>
      </c>
      <c r="G3013" s="178">
        <v>332.8</v>
      </c>
      <c r="H3013" s="184">
        <v>42852</v>
      </c>
      <c r="I3013" s="183">
        <f t="shared" ref="I3013:I3076" si="96">G3013</f>
        <v>332.8</v>
      </c>
      <c r="J3013" s="178">
        <f t="shared" si="95"/>
        <v>0</v>
      </c>
      <c r="K3013" s="19"/>
    </row>
    <row r="3014" spans="1:11" x14ac:dyDescent="0.25">
      <c r="A3014" s="51">
        <v>42851</v>
      </c>
      <c r="B3014" s="174" t="s">
        <v>14578</v>
      </c>
      <c r="C3014" s="175"/>
      <c r="D3014" s="176" t="s">
        <v>14578</v>
      </c>
      <c r="E3014" s="176">
        <v>109448</v>
      </c>
      <c r="F3014" s="177" t="s">
        <v>38</v>
      </c>
      <c r="G3014" s="178">
        <v>357.2</v>
      </c>
      <c r="H3014" s="184">
        <v>42852</v>
      </c>
      <c r="I3014" s="183">
        <f t="shared" si="96"/>
        <v>357.2</v>
      </c>
      <c r="J3014" s="178">
        <f t="shared" si="95"/>
        <v>0</v>
      </c>
      <c r="K3014" s="19"/>
    </row>
    <row r="3015" spans="1:11" x14ac:dyDescent="0.25">
      <c r="A3015" s="51">
        <v>42851</v>
      </c>
      <c r="B3015" s="174" t="s">
        <v>14579</v>
      </c>
      <c r="C3015" s="175"/>
      <c r="D3015" s="176" t="s">
        <v>14579</v>
      </c>
      <c r="E3015" s="176">
        <v>109449</v>
      </c>
      <c r="F3015" s="177" t="s">
        <v>51</v>
      </c>
      <c r="G3015" s="178">
        <v>2824.8</v>
      </c>
      <c r="H3015" s="184">
        <v>42853</v>
      </c>
      <c r="I3015" s="183">
        <f t="shared" si="96"/>
        <v>2824.8</v>
      </c>
      <c r="J3015" s="178">
        <f t="shared" si="95"/>
        <v>0</v>
      </c>
      <c r="K3015" s="19"/>
    </row>
    <row r="3016" spans="1:11" x14ac:dyDescent="0.25">
      <c r="A3016" s="51">
        <v>42851</v>
      </c>
      <c r="B3016" s="174" t="s">
        <v>14580</v>
      </c>
      <c r="C3016" s="175"/>
      <c r="D3016" s="176" t="s">
        <v>14580</v>
      </c>
      <c r="E3016" s="176">
        <v>109450</v>
      </c>
      <c r="F3016" s="177" t="s">
        <v>253</v>
      </c>
      <c r="G3016" s="178">
        <v>623</v>
      </c>
      <c r="H3016" s="184">
        <v>42852</v>
      </c>
      <c r="I3016" s="183">
        <f t="shared" si="96"/>
        <v>623</v>
      </c>
      <c r="J3016" s="178">
        <f t="shared" si="95"/>
        <v>0</v>
      </c>
      <c r="K3016" s="19"/>
    </row>
    <row r="3017" spans="1:11" x14ac:dyDescent="0.25">
      <c r="A3017" s="51">
        <v>42851</v>
      </c>
      <c r="B3017" s="174" t="s">
        <v>14581</v>
      </c>
      <c r="C3017" s="175"/>
      <c r="D3017" s="176" t="s">
        <v>14581</v>
      </c>
      <c r="E3017" s="176">
        <v>109451</v>
      </c>
      <c r="F3017" s="177" t="s">
        <v>43</v>
      </c>
      <c r="G3017" s="178">
        <v>1340.5</v>
      </c>
      <c r="H3017" s="184">
        <v>42853</v>
      </c>
      <c r="I3017" s="183">
        <f t="shared" si="96"/>
        <v>1340.5</v>
      </c>
      <c r="J3017" s="178">
        <f t="shared" si="95"/>
        <v>0</v>
      </c>
      <c r="K3017" s="19"/>
    </row>
    <row r="3018" spans="1:11" x14ac:dyDescent="0.25">
      <c r="A3018" s="51">
        <v>42851</v>
      </c>
      <c r="B3018" s="174" t="s">
        <v>14582</v>
      </c>
      <c r="C3018" s="175"/>
      <c r="D3018" s="176" t="s">
        <v>14582</v>
      </c>
      <c r="E3018" s="176">
        <v>109452</v>
      </c>
      <c r="F3018" s="177" t="s">
        <v>270</v>
      </c>
      <c r="G3018" s="178">
        <v>30847.19</v>
      </c>
      <c r="H3018" s="186">
        <v>42858</v>
      </c>
      <c r="I3018" s="187">
        <f t="shared" si="96"/>
        <v>30847.19</v>
      </c>
      <c r="J3018" s="178">
        <f t="shared" si="95"/>
        <v>0</v>
      </c>
      <c r="K3018" s="19"/>
    </row>
    <row r="3019" spans="1:11" x14ac:dyDescent="0.25">
      <c r="A3019" s="51">
        <v>42851</v>
      </c>
      <c r="B3019" s="174" t="s">
        <v>14583</v>
      </c>
      <c r="C3019" s="175"/>
      <c r="D3019" s="176" t="s">
        <v>14583</v>
      </c>
      <c r="E3019" s="176">
        <v>109453</v>
      </c>
      <c r="F3019" s="177" t="s">
        <v>69</v>
      </c>
      <c r="G3019" s="178">
        <v>3142.8</v>
      </c>
      <c r="H3019" s="184">
        <v>42851</v>
      </c>
      <c r="I3019" s="183">
        <f t="shared" si="96"/>
        <v>3142.8</v>
      </c>
      <c r="J3019" s="178">
        <f t="shared" si="95"/>
        <v>0</v>
      </c>
      <c r="K3019" s="19"/>
    </row>
    <row r="3020" spans="1:11" x14ac:dyDescent="0.25">
      <c r="A3020" s="51">
        <v>42851</v>
      </c>
      <c r="B3020" s="174" t="s">
        <v>14584</v>
      </c>
      <c r="C3020" s="175"/>
      <c r="D3020" s="176" t="s">
        <v>14584</v>
      </c>
      <c r="E3020" s="176">
        <v>109454</v>
      </c>
      <c r="F3020" s="177" t="s">
        <v>47</v>
      </c>
      <c r="G3020" s="178">
        <v>3062.7</v>
      </c>
      <c r="H3020" s="184">
        <v>42851</v>
      </c>
      <c r="I3020" s="183">
        <f t="shared" si="96"/>
        <v>3062.7</v>
      </c>
      <c r="J3020" s="178">
        <f t="shared" si="95"/>
        <v>0</v>
      </c>
      <c r="K3020" s="19"/>
    </row>
    <row r="3021" spans="1:11" x14ac:dyDescent="0.25">
      <c r="A3021" s="51">
        <v>42851</v>
      </c>
      <c r="B3021" s="174" t="s">
        <v>14585</v>
      </c>
      <c r="C3021" s="175"/>
      <c r="D3021" s="176" t="s">
        <v>14585</v>
      </c>
      <c r="E3021" s="176">
        <v>109455</v>
      </c>
      <c r="F3021" s="177" t="s">
        <v>12879</v>
      </c>
      <c r="G3021" s="178">
        <v>2598.96</v>
      </c>
      <c r="H3021" s="184">
        <v>42851</v>
      </c>
      <c r="I3021" s="183">
        <f t="shared" si="96"/>
        <v>2598.96</v>
      </c>
      <c r="J3021" s="178">
        <f t="shared" si="95"/>
        <v>0</v>
      </c>
      <c r="K3021" s="19"/>
    </row>
    <row r="3022" spans="1:11" x14ac:dyDescent="0.25">
      <c r="A3022" s="51">
        <v>42851</v>
      </c>
      <c r="B3022" s="174" t="s">
        <v>14586</v>
      </c>
      <c r="C3022" s="175"/>
      <c r="D3022" s="176" t="s">
        <v>14586</v>
      </c>
      <c r="E3022" s="176">
        <v>109456</v>
      </c>
      <c r="F3022" s="177" t="s">
        <v>430</v>
      </c>
      <c r="G3022" s="178">
        <v>2093</v>
      </c>
      <c r="H3022" s="184">
        <v>42851</v>
      </c>
      <c r="I3022" s="183">
        <f t="shared" si="96"/>
        <v>2093</v>
      </c>
      <c r="J3022" s="178">
        <f t="shared" si="95"/>
        <v>0</v>
      </c>
      <c r="K3022" s="19"/>
    </row>
    <row r="3023" spans="1:11" x14ac:dyDescent="0.25">
      <c r="A3023" s="51">
        <v>42851</v>
      </c>
      <c r="B3023" s="174" t="s">
        <v>14587</v>
      </c>
      <c r="C3023" s="175"/>
      <c r="D3023" s="176" t="s">
        <v>14587</v>
      </c>
      <c r="E3023" s="176">
        <v>109457</v>
      </c>
      <c r="F3023" s="177" t="s">
        <v>30</v>
      </c>
      <c r="G3023" s="178">
        <v>30966.959999999999</v>
      </c>
      <c r="H3023" s="186">
        <v>42858</v>
      </c>
      <c r="I3023" s="187">
        <f t="shared" si="96"/>
        <v>30966.959999999999</v>
      </c>
      <c r="J3023" s="178">
        <f t="shared" si="95"/>
        <v>0</v>
      </c>
      <c r="K3023" s="19"/>
    </row>
    <row r="3024" spans="1:11" x14ac:dyDescent="0.25">
      <c r="A3024" s="51">
        <v>42851</v>
      </c>
      <c r="B3024" s="174" t="s">
        <v>14588</v>
      </c>
      <c r="C3024" s="175"/>
      <c r="D3024" s="176" t="s">
        <v>14588</v>
      </c>
      <c r="E3024" s="176">
        <v>109458</v>
      </c>
      <c r="F3024" s="177" t="s">
        <v>509</v>
      </c>
      <c r="G3024" s="178">
        <v>34641.199999999997</v>
      </c>
      <c r="H3024" s="186">
        <v>42861</v>
      </c>
      <c r="I3024" s="187">
        <f t="shared" si="96"/>
        <v>34641.199999999997</v>
      </c>
      <c r="J3024" s="178">
        <f t="shared" si="95"/>
        <v>0</v>
      </c>
      <c r="K3024" s="19"/>
    </row>
    <row r="3025" spans="1:11" x14ac:dyDescent="0.25">
      <c r="A3025" s="51">
        <v>42851</v>
      </c>
      <c r="B3025" s="174" t="s">
        <v>14589</v>
      </c>
      <c r="C3025" s="175"/>
      <c r="D3025" s="176" t="s">
        <v>14589</v>
      </c>
      <c r="E3025" s="176">
        <v>109459</v>
      </c>
      <c r="F3025" s="177" t="s">
        <v>184</v>
      </c>
      <c r="G3025" s="178">
        <v>794.3</v>
      </c>
      <c r="H3025" s="184">
        <v>42852</v>
      </c>
      <c r="I3025" s="183">
        <f t="shared" si="96"/>
        <v>794.3</v>
      </c>
      <c r="J3025" s="178">
        <f t="shared" si="95"/>
        <v>0</v>
      </c>
      <c r="K3025" s="19"/>
    </row>
    <row r="3026" spans="1:11" x14ac:dyDescent="0.25">
      <c r="A3026" s="51">
        <v>42851</v>
      </c>
      <c r="B3026" s="174" t="s">
        <v>14590</v>
      </c>
      <c r="C3026" s="175"/>
      <c r="D3026" s="176" t="s">
        <v>14590</v>
      </c>
      <c r="E3026" s="176">
        <v>109460</v>
      </c>
      <c r="F3026" s="177" t="s">
        <v>186</v>
      </c>
      <c r="G3026" s="178">
        <v>2704.8</v>
      </c>
      <c r="H3026" s="184">
        <v>42854</v>
      </c>
      <c r="I3026" s="183">
        <f t="shared" si="96"/>
        <v>2704.8</v>
      </c>
      <c r="J3026" s="178">
        <f t="shared" si="95"/>
        <v>0</v>
      </c>
      <c r="K3026" s="19"/>
    </row>
    <row r="3027" spans="1:11" x14ac:dyDescent="0.25">
      <c r="A3027" s="51">
        <v>42851</v>
      </c>
      <c r="B3027" s="174" t="s">
        <v>14591</v>
      </c>
      <c r="C3027" s="175"/>
      <c r="D3027" s="176" t="s">
        <v>14591</v>
      </c>
      <c r="E3027" s="176">
        <v>109461</v>
      </c>
      <c r="F3027" s="177" t="s">
        <v>103</v>
      </c>
      <c r="G3027" s="178">
        <v>2683.8</v>
      </c>
      <c r="H3027" s="184">
        <v>42853</v>
      </c>
      <c r="I3027" s="183">
        <f t="shared" si="96"/>
        <v>2683.8</v>
      </c>
      <c r="J3027" s="178">
        <f t="shared" si="95"/>
        <v>0</v>
      </c>
      <c r="K3027" s="19"/>
    </row>
    <row r="3028" spans="1:11" x14ac:dyDescent="0.25">
      <c r="A3028" s="51">
        <v>42851</v>
      </c>
      <c r="B3028" s="174" t="s">
        <v>14592</v>
      </c>
      <c r="C3028" s="175"/>
      <c r="D3028" s="176" t="s">
        <v>14592</v>
      </c>
      <c r="E3028" s="176">
        <v>109462</v>
      </c>
      <c r="F3028" s="177" t="s">
        <v>105</v>
      </c>
      <c r="G3028" s="178">
        <v>2952.6</v>
      </c>
      <c r="H3028" s="186">
        <v>42856</v>
      </c>
      <c r="I3028" s="187">
        <f t="shared" si="96"/>
        <v>2952.6</v>
      </c>
      <c r="J3028" s="178">
        <f t="shared" si="95"/>
        <v>0</v>
      </c>
      <c r="K3028" s="19"/>
    </row>
    <row r="3029" spans="1:11" x14ac:dyDescent="0.25">
      <c r="A3029" s="51">
        <v>42851</v>
      </c>
      <c r="B3029" s="174" t="s">
        <v>14593</v>
      </c>
      <c r="C3029" s="175"/>
      <c r="D3029" s="176" t="s">
        <v>14593</v>
      </c>
      <c r="E3029" s="176">
        <v>109463</v>
      </c>
      <c r="F3029" s="177" t="s">
        <v>272</v>
      </c>
      <c r="G3029" s="178">
        <v>2940.3</v>
      </c>
      <c r="H3029" s="186">
        <v>42858</v>
      </c>
      <c r="I3029" s="187">
        <f t="shared" si="96"/>
        <v>2940.3</v>
      </c>
      <c r="J3029" s="178">
        <f t="shared" si="95"/>
        <v>0</v>
      </c>
      <c r="K3029" s="19"/>
    </row>
    <row r="3030" spans="1:11" x14ac:dyDescent="0.25">
      <c r="A3030" s="51">
        <v>42851</v>
      </c>
      <c r="B3030" s="174" t="s">
        <v>14594</v>
      </c>
      <c r="C3030" s="175"/>
      <c r="D3030" s="176" t="s">
        <v>14594</v>
      </c>
      <c r="E3030" s="176">
        <v>109464</v>
      </c>
      <c r="F3030" s="177" t="s">
        <v>435</v>
      </c>
      <c r="G3030" s="178">
        <v>2947.6</v>
      </c>
      <c r="H3030" s="184">
        <v>42853</v>
      </c>
      <c r="I3030" s="183">
        <f t="shared" si="96"/>
        <v>2947.6</v>
      </c>
      <c r="J3030" s="178">
        <f t="shared" si="95"/>
        <v>0</v>
      </c>
      <c r="K3030" s="19"/>
    </row>
    <row r="3031" spans="1:11" x14ac:dyDescent="0.25">
      <c r="A3031" s="51">
        <v>42851</v>
      </c>
      <c r="B3031" s="174" t="s">
        <v>14595</v>
      </c>
      <c r="C3031" s="175"/>
      <c r="D3031" s="176" t="s">
        <v>14595</v>
      </c>
      <c r="E3031" s="176">
        <v>109465</v>
      </c>
      <c r="F3031" s="177" t="s">
        <v>10</v>
      </c>
      <c r="G3031" s="178">
        <v>984</v>
      </c>
      <c r="H3031" s="184">
        <v>42854</v>
      </c>
      <c r="I3031" s="183">
        <f t="shared" si="96"/>
        <v>984</v>
      </c>
      <c r="J3031" s="178">
        <f t="shared" si="95"/>
        <v>0</v>
      </c>
      <c r="K3031" s="19"/>
    </row>
    <row r="3032" spans="1:11" x14ac:dyDescent="0.25">
      <c r="A3032" s="51">
        <v>42851</v>
      </c>
      <c r="B3032" s="174" t="s">
        <v>14596</v>
      </c>
      <c r="C3032" s="175"/>
      <c r="D3032" s="176" t="s">
        <v>14596</v>
      </c>
      <c r="E3032" s="176">
        <v>109466</v>
      </c>
      <c r="F3032" s="177" t="s">
        <v>442</v>
      </c>
      <c r="G3032" s="178">
        <v>8675.7000000000007</v>
      </c>
      <c r="H3032" s="184">
        <v>42853</v>
      </c>
      <c r="I3032" s="183">
        <f t="shared" si="96"/>
        <v>8675.7000000000007</v>
      </c>
      <c r="J3032" s="178">
        <f t="shared" si="95"/>
        <v>0</v>
      </c>
      <c r="K3032" s="19"/>
    </row>
    <row r="3033" spans="1:11" x14ac:dyDescent="0.25">
      <c r="A3033" s="51">
        <v>42851</v>
      </c>
      <c r="B3033" s="174" t="s">
        <v>14597</v>
      </c>
      <c r="C3033" s="175"/>
      <c r="D3033" s="176" t="s">
        <v>14597</v>
      </c>
      <c r="E3033" s="176">
        <v>109467</v>
      </c>
      <c r="F3033" s="177" t="s">
        <v>432</v>
      </c>
      <c r="G3033" s="178">
        <v>7558.2</v>
      </c>
      <c r="H3033" s="184">
        <v>42853</v>
      </c>
      <c r="I3033" s="183">
        <f t="shared" si="96"/>
        <v>7558.2</v>
      </c>
      <c r="J3033" s="178">
        <f t="shared" si="95"/>
        <v>0</v>
      </c>
      <c r="K3033" s="19"/>
    </row>
    <row r="3034" spans="1:11" x14ac:dyDescent="0.25">
      <c r="A3034" s="51">
        <v>42851</v>
      </c>
      <c r="B3034" s="174" t="s">
        <v>14598</v>
      </c>
      <c r="C3034" s="175"/>
      <c r="D3034" s="176" t="s">
        <v>14598</v>
      </c>
      <c r="E3034" s="176">
        <v>109468</v>
      </c>
      <c r="F3034" s="177" t="s">
        <v>590</v>
      </c>
      <c r="G3034" s="178">
        <v>4195.2</v>
      </c>
      <c r="H3034" s="184">
        <v>42853</v>
      </c>
      <c r="I3034" s="183">
        <f t="shared" si="96"/>
        <v>4195.2</v>
      </c>
      <c r="J3034" s="178">
        <f t="shared" si="95"/>
        <v>0</v>
      </c>
      <c r="K3034" s="19"/>
    </row>
    <row r="3035" spans="1:11" x14ac:dyDescent="0.25">
      <c r="A3035" s="51">
        <v>42851</v>
      </c>
      <c r="B3035" s="174" t="s">
        <v>14599</v>
      </c>
      <c r="C3035" s="175"/>
      <c r="D3035" s="176" t="s">
        <v>14599</v>
      </c>
      <c r="E3035" s="176">
        <v>109469</v>
      </c>
      <c r="F3035" s="177" t="s">
        <v>1116</v>
      </c>
      <c r="G3035" s="178">
        <v>3744.8</v>
      </c>
      <c r="H3035" s="184">
        <v>42852</v>
      </c>
      <c r="I3035" s="183">
        <f t="shared" si="96"/>
        <v>3744.8</v>
      </c>
      <c r="J3035" s="178">
        <f t="shared" si="95"/>
        <v>0</v>
      </c>
      <c r="K3035" s="19"/>
    </row>
    <row r="3036" spans="1:11" x14ac:dyDescent="0.25">
      <c r="A3036" s="51">
        <v>42851</v>
      </c>
      <c r="B3036" s="174" t="s">
        <v>14600</v>
      </c>
      <c r="C3036" s="175"/>
      <c r="D3036" s="176" t="s">
        <v>14600</v>
      </c>
      <c r="E3036" s="176">
        <v>109470</v>
      </c>
      <c r="F3036" s="177" t="s">
        <v>30</v>
      </c>
      <c r="G3036" s="178">
        <v>504</v>
      </c>
      <c r="H3036" s="184">
        <v>42851</v>
      </c>
      <c r="I3036" s="183">
        <f t="shared" si="96"/>
        <v>504</v>
      </c>
      <c r="J3036" s="178">
        <f t="shared" si="95"/>
        <v>0</v>
      </c>
      <c r="K3036" s="19"/>
    </row>
    <row r="3037" spans="1:11" x14ac:dyDescent="0.25">
      <c r="A3037" s="51">
        <v>42851</v>
      </c>
      <c r="B3037" s="174" t="s">
        <v>14601</v>
      </c>
      <c r="C3037" s="175"/>
      <c r="D3037" s="176" t="s">
        <v>14601</v>
      </c>
      <c r="E3037" s="176">
        <v>109471</v>
      </c>
      <c r="F3037" s="177" t="s">
        <v>268</v>
      </c>
      <c r="G3037" s="178">
        <v>11959.5</v>
      </c>
      <c r="H3037" s="186">
        <v>42858</v>
      </c>
      <c r="I3037" s="187">
        <f t="shared" si="96"/>
        <v>11959.5</v>
      </c>
      <c r="J3037" s="178">
        <f t="shared" si="95"/>
        <v>0</v>
      </c>
      <c r="K3037" s="19"/>
    </row>
    <row r="3038" spans="1:11" x14ac:dyDescent="0.25">
      <c r="A3038" s="51">
        <v>42851</v>
      </c>
      <c r="B3038" s="174" t="s">
        <v>14602</v>
      </c>
      <c r="C3038" s="175"/>
      <c r="D3038" s="176" t="s">
        <v>14602</v>
      </c>
      <c r="E3038" s="176">
        <v>109472</v>
      </c>
      <c r="F3038" s="177" t="s">
        <v>274</v>
      </c>
      <c r="G3038" s="178">
        <v>3986.6</v>
      </c>
      <c r="H3038" s="186">
        <v>42860</v>
      </c>
      <c r="I3038" s="187">
        <f t="shared" si="96"/>
        <v>3986.6</v>
      </c>
      <c r="J3038" s="178">
        <f t="shared" si="95"/>
        <v>0</v>
      </c>
      <c r="K3038" s="19"/>
    </row>
    <row r="3039" spans="1:11" x14ac:dyDescent="0.25">
      <c r="A3039" s="51">
        <v>42851</v>
      </c>
      <c r="B3039" s="174" t="s">
        <v>14603</v>
      </c>
      <c r="C3039" s="175"/>
      <c r="D3039" s="176" t="s">
        <v>14603</v>
      </c>
      <c r="E3039" s="176">
        <v>109473</v>
      </c>
      <c r="F3039" s="177" t="s">
        <v>240</v>
      </c>
      <c r="G3039" s="178">
        <v>4410.8999999999996</v>
      </c>
      <c r="H3039" s="184">
        <v>42851</v>
      </c>
      <c r="I3039" s="183">
        <f t="shared" si="96"/>
        <v>4410.8999999999996</v>
      </c>
      <c r="J3039" s="178">
        <f t="shared" si="95"/>
        <v>0</v>
      </c>
      <c r="K3039" s="19"/>
    </row>
    <row r="3040" spans="1:11" x14ac:dyDescent="0.25">
      <c r="A3040" s="51">
        <v>42851</v>
      </c>
      <c r="B3040" s="174" t="s">
        <v>14604</v>
      </c>
      <c r="C3040" s="175"/>
      <c r="D3040" s="176" t="s">
        <v>14604</v>
      </c>
      <c r="E3040" s="176">
        <v>109474</v>
      </c>
      <c r="F3040" s="177" t="s">
        <v>79</v>
      </c>
      <c r="G3040" s="178">
        <v>3087.8</v>
      </c>
      <c r="H3040" s="184">
        <v>42851</v>
      </c>
      <c r="I3040" s="183">
        <f t="shared" si="96"/>
        <v>3087.8</v>
      </c>
      <c r="J3040" s="178">
        <f t="shared" si="95"/>
        <v>0</v>
      </c>
      <c r="K3040" s="19"/>
    </row>
    <row r="3041" spans="1:11" x14ac:dyDescent="0.25">
      <c r="A3041" s="51">
        <v>42851</v>
      </c>
      <c r="B3041" s="174" t="s">
        <v>14605</v>
      </c>
      <c r="C3041" s="175"/>
      <c r="D3041" s="176" t="s">
        <v>14605</v>
      </c>
      <c r="E3041" s="176">
        <v>109475</v>
      </c>
      <c r="F3041" s="177" t="s">
        <v>1090</v>
      </c>
      <c r="G3041" s="178">
        <v>6385.6</v>
      </c>
      <c r="H3041" s="184">
        <v>42851</v>
      </c>
      <c r="I3041" s="183">
        <f t="shared" si="96"/>
        <v>6385.6</v>
      </c>
      <c r="J3041" s="178">
        <f t="shared" si="95"/>
        <v>0</v>
      </c>
      <c r="K3041" s="19"/>
    </row>
    <row r="3042" spans="1:11" x14ac:dyDescent="0.25">
      <c r="A3042" s="51">
        <v>42851</v>
      </c>
      <c r="B3042" s="174" t="s">
        <v>14606</v>
      </c>
      <c r="C3042" s="175"/>
      <c r="D3042" s="176" t="s">
        <v>14606</v>
      </c>
      <c r="E3042" s="176">
        <v>109476</v>
      </c>
      <c r="F3042" s="177" t="s">
        <v>79</v>
      </c>
      <c r="G3042" s="178">
        <v>780</v>
      </c>
      <c r="H3042" s="184">
        <v>42851</v>
      </c>
      <c r="I3042" s="183">
        <f t="shared" si="96"/>
        <v>780</v>
      </c>
      <c r="J3042" s="178">
        <f t="shared" si="95"/>
        <v>0</v>
      </c>
      <c r="K3042" s="19"/>
    </row>
    <row r="3043" spans="1:11" x14ac:dyDescent="0.25">
      <c r="A3043" s="51">
        <v>42851</v>
      </c>
      <c r="B3043" s="174" t="s">
        <v>14607</v>
      </c>
      <c r="C3043" s="175"/>
      <c r="D3043" s="176" t="s">
        <v>14607</v>
      </c>
      <c r="E3043" s="176">
        <v>109477</v>
      </c>
      <c r="F3043" s="177" t="s">
        <v>457</v>
      </c>
      <c r="G3043" s="178">
        <v>4321.5</v>
      </c>
      <c r="H3043" s="184">
        <v>42851</v>
      </c>
      <c r="I3043" s="183">
        <f t="shared" si="96"/>
        <v>4321.5</v>
      </c>
      <c r="J3043" s="178">
        <f t="shared" si="95"/>
        <v>0</v>
      </c>
      <c r="K3043" s="19"/>
    </row>
    <row r="3044" spans="1:11" x14ac:dyDescent="0.25">
      <c r="A3044" s="51">
        <v>42851</v>
      </c>
      <c r="B3044" s="174" t="s">
        <v>14608</v>
      </c>
      <c r="C3044" s="175"/>
      <c r="D3044" s="176" t="s">
        <v>14608</v>
      </c>
      <c r="E3044" s="176">
        <v>109478</v>
      </c>
      <c r="F3044" s="177" t="s">
        <v>3425</v>
      </c>
      <c r="G3044" s="178">
        <v>1608</v>
      </c>
      <c r="H3044" s="184">
        <v>42851</v>
      </c>
      <c r="I3044" s="183">
        <f t="shared" si="96"/>
        <v>1608</v>
      </c>
      <c r="J3044" s="178">
        <f t="shared" si="95"/>
        <v>0</v>
      </c>
      <c r="K3044" s="19"/>
    </row>
    <row r="3045" spans="1:11" x14ac:dyDescent="0.25">
      <c r="A3045" s="51">
        <v>42851</v>
      </c>
      <c r="B3045" s="174" t="s">
        <v>14609</v>
      </c>
      <c r="C3045" s="175"/>
      <c r="D3045" s="176" t="s">
        <v>14609</v>
      </c>
      <c r="E3045" s="176">
        <v>109479</v>
      </c>
      <c r="F3045" s="177" t="s">
        <v>30</v>
      </c>
      <c r="G3045" s="178">
        <v>2341.4</v>
      </c>
      <c r="H3045" s="184">
        <v>42851</v>
      </c>
      <c r="I3045" s="183">
        <f t="shared" si="96"/>
        <v>2341.4</v>
      </c>
      <c r="J3045" s="178">
        <f t="shared" si="95"/>
        <v>0</v>
      </c>
      <c r="K3045" s="19"/>
    </row>
    <row r="3046" spans="1:11" x14ac:dyDescent="0.25">
      <c r="A3046" s="51">
        <v>42851</v>
      </c>
      <c r="B3046" s="174" t="s">
        <v>14610</v>
      </c>
      <c r="C3046" s="175"/>
      <c r="D3046" s="176" t="s">
        <v>14610</v>
      </c>
      <c r="E3046" s="176">
        <v>109480</v>
      </c>
      <c r="F3046" s="177" t="s">
        <v>157</v>
      </c>
      <c r="G3046" s="178">
        <v>18538.439999999999</v>
      </c>
      <c r="H3046" s="184">
        <v>42851</v>
      </c>
      <c r="I3046" s="183">
        <f t="shared" si="96"/>
        <v>18538.439999999999</v>
      </c>
      <c r="J3046" s="178">
        <f t="shared" si="95"/>
        <v>0</v>
      </c>
      <c r="K3046" s="19"/>
    </row>
    <row r="3047" spans="1:11" x14ac:dyDescent="0.25">
      <c r="A3047" s="51">
        <v>42851</v>
      </c>
      <c r="B3047" s="174" t="s">
        <v>14611</v>
      </c>
      <c r="C3047" s="175"/>
      <c r="D3047" s="176" t="s">
        <v>14611</v>
      </c>
      <c r="E3047" s="176">
        <v>109481</v>
      </c>
      <c r="F3047" s="177" t="s">
        <v>122</v>
      </c>
      <c r="G3047" s="178">
        <v>42058.8</v>
      </c>
      <c r="H3047" s="184">
        <v>42880</v>
      </c>
      <c r="I3047" s="183">
        <f t="shared" si="96"/>
        <v>42058.8</v>
      </c>
      <c r="J3047" s="178">
        <f t="shared" si="95"/>
        <v>0</v>
      </c>
      <c r="K3047" s="19"/>
    </row>
    <row r="3048" spans="1:11" x14ac:dyDescent="0.25">
      <c r="A3048" s="51">
        <v>42851</v>
      </c>
      <c r="B3048" s="174" t="s">
        <v>14612</v>
      </c>
      <c r="C3048" s="175"/>
      <c r="D3048" s="176" t="s">
        <v>14612</v>
      </c>
      <c r="E3048" s="176">
        <v>109482</v>
      </c>
      <c r="F3048" s="177" t="s">
        <v>858</v>
      </c>
      <c r="G3048" s="178">
        <v>1539.2</v>
      </c>
      <c r="H3048" s="184">
        <v>42851</v>
      </c>
      <c r="I3048" s="183">
        <f t="shared" si="96"/>
        <v>1539.2</v>
      </c>
      <c r="J3048" s="178">
        <f t="shared" si="95"/>
        <v>0</v>
      </c>
      <c r="K3048" s="19"/>
    </row>
    <row r="3049" spans="1:11" x14ac:dyDescent="0.25">
      <c r="A3049" s="51">
        <v>42851</v>
      </c>
      <c r="B3049" s="174" t="s">
        <v>14613</v>
      </c>
      <c r="C3049" s="175"/>
      <c r="D3049" s="176" t="s">
        <v>14613</v>
      </c>
      <c r="E3049" s="176">
        <v>109483</v>
      </c>
      <c r="F3049" s="177" t="s">
        <v>1830</v>
      </c>
      <c r="G3049" s="178">
        <v>5127.2</v>
      </c>
      <c r="H3049" s="184">
        <v>42851</v>
      </c>
      <c r="I3049" s="183">
        <f t="shared" si="96"/>
        <v>5127.2</v>
      </c>
      <c r="J3049" s="178">
        <f t="shared" si="95"/>
        <v>0</v>
      </c>
      <c r="K3049" s="19"/>
    </row>
    <row r="3050" spans="1:11" x14ac:dyDescent="0.25">
      <c r="A3050" s="51">
        <v>42851</v>
      </c>
      <c r="B3050" s="174" t="s">
        <v>14614</v>
      </c>
      <c r="C3050" s="175"/>
      <c r="D3050" s="176" t="s">
        <v>14614</v>
      </c>
      <c r="E3050" s="176">
        <v>109484</v>
      </c>
      <c r="F3050" s="177" t="s">
        <v>435</v>
      </c>
      <c r="G3050" s="178">
        <v>2478</v>
      </c>
      <c r="H3050" s="184">
        <v>42851</v>
      </c>
      <c r="I3050" s="183">
        <f t="shared" si="96"/>
        <v>2478</v>
      </c>
      <c r="J3050" s="178">
        <f t="shared" si="95"/>
        <v>0</v>
      </c>
      <c r="K3050" s="19"/>
    </row>
    <row r="3051" spans="1:11" x14ac:dyDescent="0.25">
      <c r="A3051" s="51">
        <v>42851</v>
      </c>
      <c r="B3051" s="174" t="s">
        <v>14615</v>
      </c>
      <c r="C3051" s="175"/>
      <c r="D3051" s="176" t="s">
        <v>14615</v>
      </c>
      <c r="E3051" s="176">
        <v>109485</v>
      </c>
      <c r="F3051" s="177" t="s">
        <v>125</v>
      </c>
      <c r="G3051" s="178">
        <v>5138</v>
      </c>
      <c r="H3051" s="184">
        <v>42852</v>
      </c>
      <c r="I3051" s="183">
        <f t="shared" si="96"/>
        <v>5138</v>
      </c>
      <c r="J3051" s="178">
        <f t="shared" si="95"/>
        <v>0</v>
      </c>
      <c r="K3051" s="19"/>
    </row>
    <row r="3052" spans="1:11" x14ac:dyDescent="0.25">
      <c r="A3052" s="51">
        <v>42851</v>
      </c>
      <c r="B3052" s="174" t="s">
        <v>14616</v>
      </c>
      <c r="C3052" s="175"/>
      <c r="D3052" s="176" t="s">
        <v>14616</v>
      </c>
      <c r="E3052" s="176">
        <v>109486</v>
      </c>
      <c r="F3052" s="177" t="s">
        <v>302</v>
      </c>
      <c r="G3052" s="178">
        <v>6549</v>
      </c>
      <c r="H3052" s="184">
        <v>42855</v>
      </c>
      <c r="I3052" s="183">
        <f t="shared" si="96"/>
        <v>6549</v>
      </c>
      <c r="J3052" s="178">
        <f t="shared" si="95"/>
        <v>0</v>
      </c>
      <c r="K3052" s="19"/>
    </row>
    <row r="3053" spans="1:11" x14ac:dyDescent="0.25">
      <c r="A3053" s="51">
        <v>42851</v>
      </c>
      <c r="B3053" s="174" t="s">
        <v>14617</v>
      </c>
      <c r="C3053" s="175"/>
      <c r="D3053" s="176" t="s">
        <v>14617</v>
      </c>
      <c r="E3053" s="176">
        <v>109487</v>
      </c>
      <c r="F3053" s="177" t="s">
        <v>470</v>
      </c>
      <c r="G3053" s="178">
        <v>15134</v>
      </c>
      <c r="H3053" s="184">
        <v>42851</v>
      </c>
      <c r="I3053" s="183">
        <f t="shared" si="96"/>
        <v>15134</v>
      </c>
      <c r="J3053" s="178">
        <f t="shared" si="95"/>
        <v>0</v>
      </c>
      <c r="K3053" s="19"/>
    </row>
    <row r="3054" spans="1:11" x14ac:dyDescent="0.25">
      <c r="A3054" s="51">
        <v>42851</v>
      </c>
      <c r="B3054" s="174" t="s">
        <v>14618</v>
      </c>
      <c r="C3054" s="175"/>
      <c r="D3054" s="176" t="s">
        <v>14618</v>
      </c>
      <c r="E3054" s="176">
        <v>109488</v>
      </c>
      <c r="F3054" s="177" t="s">
        <v>341</v>
      </c>
      <c r="G3054" s="178">
        <v>506</v>
      </c>
      <c r="H3054" s="184">
        <v>42851</v>
      </c>
      <c r="I3054" s="183">
        <f t="shared" si="96"/>
        <v>506</v>
      </c>
      <c r="J3054" s="178">
        <f t="shared" si="95"/>
        <v>0</v>
      </c>
      <c r="K3054" s="19"/>
    </row>
    <row r="3055" spans="1:11" x14ac:dyDescent="0.25">
      <c r="A3055" s="51">
        <v>42851</v>
      </c>
      <c r="B3055" s="174" t="s">
        <v>14619</v>
      </c>
      <c r="C3055" s="175"/>
      <c r="D3055" s="176" t="s">
        <v>14619</v>
      </c>
      <c r="E3055" s="176">
        <v>109489</v>
      </c>
      <c r="F3055" s="177" t="s">
        <v>131</v>
      </c>
      <c r="G3055" s="178">
        <v>12955.8</v>
      </c>
      <c r="H3055" s="184">
        <v>42851</v>
      </c>
      <c r="I3055" s="183">
        <f t="shared" si="96"/>
        <v>12955.8</v>
      </c>
      <c r="J3055" s="178">
        <f t="shared" si="95"/>
        <v>0</v>
      </c>
      <c r="K3055" s="19"/>
    </row>
    <row r="3056" spans="1:11" x14ac:dyDescent="0.25">
      <c r="A3056" s="51">
        <v>42851</v>
      </c>
      <c r="B3056" s="174" t="s">
        <v>14620</v>
      </c>
      <c r="C3056" s="175"/>
      <c r="D3056" s="176" t="s">
        <v>14620</v>
      </c>
      <c r="E3056" s="176">
        <v>109490</v>
      </c>
      <c r="F3056" s="177" t="s">
        <v>470</v>
      </c>
      <c r="G3056" s="178">
        <v>2143.6</v>
      </c>
      <c r="H3056" s="184">
        <v>42851</v>
      </c>
      <c r="I3056" s="183">
        <f t="shared" si="96"/>
        <v>2143.6</v>
      </c>
      <c r="J3056" s="178">
        <f t="shared" si="95"/>
        <v>0</v>
      </c>
      <c r="K3056" s="19"/>
    </row>
    <row r="3057" spans="1:11" x14ac:dyDescent="0.25">
      <c r="A3057" s="51">
        <v>42851</v>
      </c>
      <c r="B3057" s="174" t="s">
        <v>14621</v>
      </c>
      <c r="C3057" s="175"/>
      <c r="D3057" s="176" t="s">
        <v>14621</v>
      </c>
      <c r="E3057" s="176">
        <v>109491</v>
      </c>
      <c r="F3057" s="177" t="s">
        <v>470</v>
      </c>
      <c r="G3057" s="178">
        <v>717.6</v>
      </c>
      <c r="H3057" s="184">
        <v>42851</v>
      </c>
      <c r="I3057" s="183">
        <f t="shared" si="96"/>
        <v>717.6</v>
      </c>
      <c r="J3057" s="178">
        <f t="shared" si="95"/>
        <v>0</v>
      </c>
      <c r="K3057" s="19"/>
    </row>
    <row r="3058" spans="1:11" x14ac:dyDescent="0.25">
      <c r="A3058" s="51">
        <v>42851</v>
      </c>
      <c r="B3058" s="174" t="s">
        <v>14622</v>
      </c>
      <c r="C3058" s="175"/>
      <c r="D3058" s="176" t="s">
        <v>14622</v>
      </c>
      <c r="E3058" s="176">
        <v>109492</v>
      </c>
      <c r="F3058" s="177" t="s">
        <v>30</v>
      </c>
      <c r="G3058" s="178">
        <v>8566</v>
      </c>
      <c r="H3058" s="184">
        <v>42851</v>
      </c>
      <c r="I3058" s="183">
        <f t="shared" si="96"/>
        <v>8566</v>
      </c>
      <c r="J3058" s="178">
        <f t="shared" si="95"/>
        <v>0</v>
      </c>
      <c r="K3058" s="19"/>
    </row>
    <row r="3059" spans="1:11" ht="15.75" x14ac:dyDescent="0.25">
      <c r="A3059" s="51">
        <v>42851</v>
      </c>
      <c r="B3059" s="174" t="s">
        <v>14623</v>
      </c>
      <c r="C3059" s="175"/>
      <c r="D3059" s="176" t="s">
        <v>14623</v>
      </c>
      <c r="E3059" s="176">
        <v>109493</v>
      </c>
      <c r="F3059" s="177" t="s">
        <v>800</v>
      </c>
      <c r="G3059" s="178">
        <v>0</v>
      </c>
      <c r="H3059" s="207" t="s">
        <v>95</v>
      </c>
      <c r="I3059" s="178">
        <f t="shared" si="96"/>
        <v>0</v>
      </c>
      <c r="J3059" s="178">
        <f t="shared" si="95"/>
        <v>0</v>
      </c>
      <c r="K3059" s="19"/>
    </row>
    <row r="3060" spans="1:11" x14ac:dyDescent="0.25">
      <c r="A3060" s="51">
        <v>42851</v>
      </c>
      <c r="B3060" s="174" t="s">
        <v>14624</v>
      </c>
      <c r="C3060" s="175"/>
      <c r="D3060" s="176" t="s">
        <v>14624</v>
      </c>
      <c r="E3060" s="176">
        <v>109494</v>
      </c>
      <c r="F3060" s="177" t="s">
        <v>329</v>
      </c>
      <c r="G3060" s="178">
        <v>721.4</v>
      </c>
      <c r="H3060" s="184">
        <v>42851</v>
      </c>
      <c r="I3060" s="183">
        <f t="shared" si="96"/>
        <v>721.4</v>
      </c>
      <c r="J3060" s="178">
        <f t="shared" si="95"/>
        <v>0</v>
      </c>
      <c r="K3060" s="19"/>
    </row>
    <row r="3061" spans="1:11" x14ac:dyDescent="0.25">
      <c r="A3061" s="51">
        <v>42851</v>
      </c>
      <c r="B3061" s="174" t="s">
        <v>14625</v>
      </c>
      <c r="C3061" s="175"/>
      <c r="D3061" s="176" t="s">
        <v>14625</v>
      </c>
      <c r="E3061" s="176">
        <v>109495</v>
      </c>
      <c r="F3061" s="177" t="s">
        <v>800</v>
      </c>
      <c r="G3061" s="178">
        <v>16675.400000000001</v>
      </c>
      <c r="H3061" s="186" t="s">
        <v>15198</v>
      </c>
      <c r="I3061" s="187">
        <f>15000+1300+375.4</f>
        <v>16675.400000000001</v>
      </c>
      <c r="J3061" s="178">
        <f t="shared" si="95"/>
        <v>0</v>
      </c>
      <c r="K3061" s="19"/>
    </row>
    <row r="3062" spans="1:11" x14ac:dyDescent="0.25">
      <c r="A3062" s="51">
        <v>42851</v>
      </c>
      <c r="B3062" s="174" t="s">
        <v>14626</v>
      </c>
      <c r="C3062" s="175"/>
      <c r="D3062" s="176" t="s">
        <v>14626</v>
      </c>
      <c r="E3062" s="176">
        <v>109496</v>
      </c>
      <c r="F3062" s="177" t="s">
        <v>99</v>
      </c>
      <c r="G3062" s="178">
        <v>1579.5</v>
      </c>
      <c r="H3062" s="184">
        <v>42852</v>
      </c>
      <c r="I3062" s="183">
        <f t="shared" si="96"/>
        <v>1579.5</v>
      </c>
      <c r="J3062" s="178">
        <f t="shared" si="95"/>
        <v>0</v>
      </c>
      <c r="K3062" s="19"/>
    </row>
    <row r="3063" spans="1:11" ht="15.75" x14ac:dyDescent="0.25">
      <c r="A3063" s="51">
        <v>42851</v>
      </c>
      <c r="B3063" s="174" t="s">
        <v>14627</v>
      </c>
      <c r="C3063" s="175"/>
      <c r="D3063" s="176" t="s">
        <v>14627</v>
      </c>
      <c r="E3063" s="176">
        <v>109497</v>
      </c>
      <c r="F3063" s="177" t="s">
        <v>281</v>
      </c>
      <c r="G3063" s="178">
        <v>0</v>
      </c>
      <c r="H3063" s="207" t="s">
        <v>95</v>
      </c>
      <c r="I3063" s="178">
        <f t="shared" si="96"/>
        <v>0</v>
      </c>
      <c r="J3063" s="178">
        <f t="shared" si="95"/>
        <v>0</v>
      </c>
      <c r="K3063" s="19"/>
    </row>
    <row r="3064" spans="1:11" x14ac:dyDescent="0.25">
      <c r="A3064" s="51">
        <v>42851</v>
      </c>
      <c r="B3064" s="174" t="s">
        <v>14628</v>
      </c>
      <c r="C3064" s="175"/>
      <c r="D3064" s="176" t="s">
        <v>14628</v>
      </c>
      <c r="E3064" s="176">
        <v>109498</v>
      </c>
      <c r="F3064" s="177" t="s">
        <v>281</v>
      </c>
      <c r="G3064" s="178">
        <v>1016.7</v>
      </c>
      <c r="H3064" s="184">
        <v>42852</v>
      </c>
      <c r="I3064" s="183">
        <f t="shared" si="96"/>
        <v>1016.7</v>
      </c>
      <c r="J3064" s="178">
        <f t="shared" si="95"/>
        <v>0</v>
      </c>
      <c r="K3064" s="19"/>
    </row>
    <row r="3065" spans="1:11" x14ac:dyDescent="0.25">
      <c r="A3065" s="51">
        <v>42851</v>
      </c>
      <c r="B3065" s="174" t="s">
        <v>14629</v>
      </c>
      <c r="C3065" s="175"/>
      <c r="D3065" s="176" t="s">
        <v>14629</v>
      </c>
      <c r="E3065" s="176">
        <v>109499</v>
      </c>
      <c r="F3065" s="177" t="s">
        <v>4367</v>
      </c>
      <c r="G3065" s="178">
        <v>2180.4</v>
      </c>
      <c r="H3065" s="184">
        <v>42852</v>
      </c>
      <c r="I3065" s="183">
        <f t="shared" si="96"/>
        <v>2180.4</v>
      </c>
      <c r="J3065" s="178">
        <f t="shared" si="95"/>
        <v>0</v>
      </c>
      <c r="K3065" s="19"/>
    </row>
    <row r="3066" spans="1:11" x14ac:dyDescent="0.25">
      <c r="A3066" s="51">
        <v>42851</v>
      </c>
      <c r="B3066" s="174" t="s">
        <v>14630</v>
      </c>
      <c r="C3066" s="175"/>
      <c r="D3066" s="176" t="s">
        <v>14630</v>
      </c>
      <c r="E3066" s="176">
        <v>109500</v>
      </c>
      <c r="F3066" s="177" t="s">
        <v>92</v>
      </c>
      <c r="G3066" s="178">
        <v>2806.5</v>
      </c>
      <c r="H3066" s="184">
        <v>42852</v>
      </c>
      <c r="I3066" s="183">
        <f t="shared" si="96"/>
        <v>2806.5</v>
      </c>
      <c r="J3066" s="178">
        <f t="shared" si="95"/>
        <v>0</v>
      </c>
      <c r="K3066" s="19"/>
    </row>
    <row r="3067" spans="1:11" x14ac:dyDescent="0.25">
      <c r="A3067" s="51">
        <v>42851</v>
      </c>
      <c r="B3067" s="174" t="s">
        <v>14631</v>
      </c>
      <c r="C3067" s="175"/>
      <c r="D3067" s="176" t="s">
        <v>14631</v>
      </c>
      <c r="E3067" s="176">
        <v>109501</v>
      </c>
      <c r="F3067" s="177" t="s">
        <v>28</v>
      </c>
      <c r="G3067" s="178">
        <v>10497.5</v>
      </c>
      <c r="H3067" s="184">
        <v>42851</v>
      </c>
      <c r="I3067" s="183">
        <f t="shared" si="96"/>
        <v>10497.5</v>
      </c>
      <c r="J3067" s="178">
        <f t="shared" si="95"/>
        <v>0</v>
      </c>
      <c r="K3067" s="19"/>
    </row>
    <row r="3068" spans="1:11" x14ac:dyDescent="0.25">
      <c r="A3068" s="51">
        <v>42851</v>
      </c>
      <c r="B3068" s="174" t="s">
        <v>14632</v>
      </c>
      <c r="C3068" s="175"/>
      <c r="D3068" s="176" t="s">
        <v>14632</v>
      </c>
      <c r="E3068" s="176">
        <v>109502</v>
      </c>
      <c r="F3068" s="177" t="s">
        <v>291</v>
      </c>
      <c r="G3068" s="178">
        <v>1757.2</v>
      </c>
      <c r="H3068" s="184">
        <v>42852</v>
      </c>
      <c r="I3068" s="183">
        <f t="shared" si="96"/>
        <v>1757.2</v>
      </c>
      <c r="J3068" s="178">
        <f t="shared" si="95"/>
        <v>0</v>
      </c>
      <c r="K3068" s="19"/>
    </row>
    <row r="3069" spans="1:11" x14ac:dyDescent="0.25">
      <c r="A3069" s="51">
        <v>42851</v>
      </c>
      <c r="B3069" s="174" t="s">
        <v>14633</v>
      </c>
      <c r="C3069" s="175"/>
      <c r="D3069" s="176" t="s">
        <v>14633</v>
      </c>
      <c r="E3069" s="176">
        <v>109503</v>
      </c>
      <c r="F3069" s="177" t="s">
        <v>450</v>
      </c>
      <c r="G3069" s="178">
        <v>2381.4</v>
      </c>
      <c r="H3069" s="184">
        <v>42852</v>
      </c>
      <c r="I3069" s="183">
        <f t="shared" si="96"/>
        <v>2381.4</v>
      </c>
      <c r="J3069" s="178">
        <f t="shared" si="95"/>
        <v>0</v>
      </c>
      <c r="K3069" s="19"/>
    </row>
    <row r="3070" spans="1:11" x14ac:dyDescent="0.25">
      <c r="A3070" s="51">
        <v>42851</v>
      </c>
      <c r="B3070" s="174" t="s">
        <v>14634</v>
      </c>
      <c r="C3070" s="175"/>
      <c r="D3070" s="176" t="s">
        <v>14634</v>
      </c>
      <c r="E3070" s="176">
        <v>109504</v>
      </c>
      <c r="F3070" s="177" t="s">
        <v>492</v>
      </c>
      <c r="G3070" s="178">
        <v>18983.900000000001</v>
      </c>
      <c r="H3070" s="186">
        <v>42856</v>
      </c>
      <c r="I3070" s="187">
        <f t="shared" si="96"/>
        <v>18983.900000000001</v>
      </c>
      <c r="J3070" s="178">
        <f t="shared" si="95"/>
        <v>0</v>
      </c>
      <c r="K3070" s="19"/>
    </row>
    <row r="3071" spans="1:11" ht="15.75" x14ac:dyDescent="0.25">
      <c r="A3071" s="51">
        <v>42851</v>
      </c>
      <c r="B3071" s="174" t="s">
        <v>14635</v>
      </c>
      <c r="C3071" s="175"/>
      <c r="D3071" s="176" t="s">
        <v>14635</v>
      </c>
      <c r="E3071" s="176">
        <v>109505</v>
      </c>
      <c r="F3071" s="177" t="s">
        <v>61</v>
      </c>
      <c r="G3071" s="178">
        <v>0</v>
      </c>
      <c r="H3071" s="207" t="s">
        <v>95</v>
      </c>
      <c r="I3071" s="178">
        <f t="shared" si="96"/>
        <v>0</v>
      </c>
      <c r="J3071" s="178">
        <f t="shared" si="95"/>
        <v>0</v>
      </c>
      <c r="K3071" s="19"/>
    </row>
    <row r="3072" spans="1:11" x14ac:dyDescent="0.25">
      <c r="A3072" s="51">
        <v>42851</v>
      </c>
      <c r="B3072" s="174" t="s">
        <v>14636</v>
      </c>
      <c r="C3072" s="175"/>
      <c r="D3072" s="176" t="s">
        <v>14636</v>
      </c>
      <c r="E3072" s="176">
        <v>109506</v>
      </c>
      <c r="F3072" s="177" t="s">
        <v>88</v>
      </c>
      <c r="G3072" s="178">
        <v>2679.6</v>
      </c>
      <c r="H3072" s="184">
        <v>42852</v>
      </c>
      <c r="I3072" s="183">
        <f t="shared" si="96"/>
        <v>2679.6</v>
      </c>
      <c r="J3072" s="178">
        <f t="shared" si="95"/>
        <v>0</v>
      </c>
      <c r="K3072" s="19"/>
    </row>
    <row r="3073" spans="1:11" x14ac:dyDescent="0.25">
      <c r="A3073" s="51">
        <v>42851</v>
      </c>
      <c r="B3073" s="174" t="s">
        <v>14637</v>
      </c>
      <c r="C3073" s="175"/>
      <c r="D3073" s="176" t="s">
        <v>14637</v>
      </c>
      <c r="E3073" s="176">
        <v>109507</v>
      </c>
      <c r="F3073" s="177" t="s">
        <v>159</v>
      </c>
      <c r="G3073" s="178">
        <v>8278.6</v>
      </c>
      <c r="H3073" s="184">
        <v>42852</v>
      </c>
      <c r="I3073" s="183">
        <f t="shared" si="96"/>
        <v>8278.6</v>
      </c>
      <c r="J3073" s="178">
        <f t="shared" si="95"/>
        <v>0</v>
      </c>
      <c r="K3073" s="19"/>
    </row>
    <row r="3074" spans="1:11" x14ac:dyDescent="0.25">
      <c r="A3074" s="51">
        <v>42851</v>
      </c>
      <c r="B3074" s="174" t="s">
        <v>14638</v>
      </c>
      <c r="C3074" s="175"/>
      <c r="D3074" s="176" t="s">
        <v>14638</v>
      </c>
      <c r="E3074" s="176">
        <v>109508</v>
      </c>
      <c r="F3074" s="177" t="s">
        <v>218</v>
      </c>
      <c r="G3074" s="178">
        <v>4830</v>
      </c>
      <c r="H3074" s="186">
        <v>42892</v>
      </c>
      <c r="I3074" s="187">
        <f t="shared" si="96"/>
        <v>4830</v>
      </c>
      <c r="J3074" s="178">
        <f t="shared" si="95"/>
        <v>0</v>
      </c>
      <c r="K3074" s="19"/>
    </row>
    <row r="3075" spans="1:11" x14ac:dyDescent="0.25">
      <c r="A3075" s="51">
        <v>42851</v>
      </c>
      <c r="B3075" s="174" t="s">
        <v>14639</v>
      </c>
      <c r="C3075" s="175"/>
      <c r="D3075" s="176" t="s">
        <v>14639</v>
      </c>
      <c r="E3075" s="176">
        <v>109509</v>
      </c>
      <c r="F3075" s="177" t="s">
        <v>81</v>
      </c>
      <c r="G3075" s="178">
        <v>5631.6</v>
      </c>
      <c r="H3075" s="184">
        <v>42852</v>
      </c>
      <c r="I3075" s="183">
        <f t="shared" si="96"/>
        <v>5631.6</v>
      </c>
      <c r="J3075" s="178">
        <f t="shared" si="95"/>
        <v>0</v>
      </c>
      <c r="K3075" s="19"/>
    </row>
    <row r="3076" spans="1:11" x14ac:dyDescent="0.25">
      <c r="A3076" s="51">
        <v>42851</v>
      </c>
      <c r="B3076" s="174" t="s">
        <v>14640</v>
      </c>
      <c r="C3076" s="175"/>
      <c r="D3076" s="176" t="s">
        <v>14640</v>
      </c>
      <c r="E3076" s="176">
        <v>109510</v>
      </c>
      <c r="F3076" s="177" t="s">
        <v>109</v>
      </c>
      <c r="G3076" s="178">
        <v>5282.8</v>
      </c>
      <c r="H3076" s="184">
        <v>42852</v>
      </c>
      <c r="I3076" s="183">
        <f t="shared" si="96"/>
        <v>5282.8</v>
      </c>
      <c r="J3076" s="178">
        <f t="shared" ref="J3076:J3139" si="97">G3076-I3076</f>
        <v>0</v>
      </c>
      <c r="K3076" s="19"/>
    </row>
    <row r="3077" spans="1:11" x14ac:dyDescent="0.25">
      <c r="A3077" s="51">
        <v>42851</v>
      </c>
      <c r="B3077" s="174" t="s">
        <v>14641</v>
      </c>
      <c r="C3077" s="175"/>
      <c r="D3077" s="176" t="s">
        <v>14641</v>
      </c>
      <c r="E3077" s="176">
        <v>109511</v>
      </c>
      <c r="F3077" s="177" t="s">
        <v>105</v>
      </c>
      <c r="G3077" s="178">
        <v>150.1</v>
      </c>
      <c r="H3077" s="186">
        <v>42856</v>
      </c>
      <c r="I3077" s="187">
        <f t="shared" ref="I3077:I3140" si="98">G3077</f>
        <v>150.1</v>
      </c>
      <c r="J3077" s="178">
        <f t="shared" si="97"/>
        <v>0</v>
      </c>
      <c r="K3077" s="19"/>
    </row>
    <row r="3078" spans="1:11" x14ac:dyDescent="0.25">
      <c r="A3078" s="51">
        <v>42851</v>
      </c>
      <c r="B3078" s="174" t="s">
        <v>14642</v>
      </c>
      <c r="C3078" s="175"/>
      <c r="D3078" s="176" t="s">
        <v>14642</v>
      </c>
      <c r="E3078" s="176">
        <v>109512</v>
      </c>
      <c r="F3078" s="177" t="s">
        <v>476</v>
      </c>
      <c r="G3078" s="178">
        <v>11445.8</v>
      </c>
      <c r="H3078" s="184">
        <v>42853</v>
      </c>
      <c r="I3078" s="183">
        <f t="shared" si="98"/>
        <v>11445.8</v>
      </c>
      <c r="J3078" s="178">
        <f t="shared" si="97"/>
        <v>0</v>
      </c>
      <c r="K3078" s="19"/>
    </row>
    <row r="3079" spans="1:11" x14ac:dyDescent="0.25">
      <c r="A3079" s="51">
        <v>42851</v>
      </c>
      <c r="B3079" s="174" t="s">
        <v>14643</v>
      </c>
      <c r="C3079" s="175"/>
      <c r="D3079" s="176" t="s">
        <v>14643</v>
      </c>
      <c r="E3079" s="176">
        <v>109513</v>
      </c>
      <c r="F3079" s="177" t="s">
        <v>55</v>
      </c>
      <c r="G3079" s="178">
        <v>9261.4</v>
      </c>
      <c r="H3079" s="184">
        <v>42851</v>
      </c>
      <c r="I3079" s="183">
        <f t="shared" si="98"/>
        <v>9261.4</v>
      </c>
      <c r="J3079" s="178">
        <f t="shared" si="97"/>
        <v>0</v>
      </c>
      <c r="K3079" s="19"/>
    </row>
    <row r="3080" spans="1:11" x14ac:dyDescent="0.25">
      <c r="A3080" s="51">
        <v>42851</v>
      </c>
      <c r="B3080" s="174" t="s">
        <v>14644</v>
      </c>
      <c r="C3080" s="175"/>
      <c r="D3080" s="176" t="s">
        <v>14644</v>
      </c>
      <c r="E3080" s="176">
        <v>109514</v>
      </c>
      <c r="F3080" s="177" t="s">
        <v>53</v>
      </c>
      <c r="G3080" s="178">
        <v>3440</v>
      </c>
      <c r="H3080" s="184">
        <v>42852</v>
      </c>
      <c r="I3080" s="183">
        <f t="shared" si="98"/>
        <v>3440</v>
      </c>
      <c r="J3080" s="178">
        <f t="shared" si="97"/>
        <v>0</v>
      </c>
      <c r="K3080" s="19"/>
    </row>
    <row r="3081" spans="1:11" x14ac:dyDescent="0.25">
      <c r="A3081" s="51">
        <v>42851</v>
      </c>
      <c r="B3081" s="174" t="s">
        <v>14645</v>
      </c>
      <c r="C3081" s="175"/>
      <c r="D3081" s="176" t="s">
        <v>14645</v>
      </c>
      <c r="E3081" s="176">
        <v>109515</v>
      </c>
      <c r="F3081" s="177" t="s">
        <v>55</v>
      </c>
      <c r="G3081" s="178">
        <v>1584</v>
      </c>
      <c r="H3081" s="184">
        <v>42851</v>
      </c>
      <c r="I3081" s="183">
        <f t="shared" si="98"/>
        <v>1584</v>
      </c>
      <c r="J3081" s="178">
        <f t="shared" si="97"/>
        <v>0</v>
      </c>
      <c r="K3081" s="19"/>
    </row>
    <row r="3082" spans="1:11" x14ac:dyDescent="0.25">
      <c r="A3082" s="51">
        <v>42851</v>
      </c>
      <c r="B3082" s="174" t="s">
        <v>14646</v>
      </c>
      <c r="C3082" s="175"/>
      <c r="D3082" s="176" t="s">
        <v>14646</v>
      </c>
      <c r="E3082" s="176">
        <v>109516</v>
      </c>
      <c r="F3082" s="177" t="s">
        <v>2986</v>
      </c>
      <c r="G3082" s="178">
        <v>3048.5</v>
      </c>
      <c r="H3082" s="184">
        <v>42851</v>
      </c>
      <c r="I3082" s="183">
        <f t="shared" si="98"/>
        <v>3048.5</v>
      </c>
      <c r="J3082" s="178">
        <f t="shared" si="97"/>
        <v>0</v>
      </c>
      <c r="K3082" s="19"/>
    </row>
    <row r="3083" spans="1:11" x14ac:dyDescent="0.25">
      <c r="A3083" s="51">
        <v>42851</v>
      </c>
      <c r="B3083" s="174" t="s">
        <v>14647</v>
      </c>
      <c r="C3083" s="175"/>
      <c r="D3083" s="176" t="s">
        <v>14647</v>
      </c>
      <c r="E3083" s="176">
        <v>109517</v>
      </c>
      <c r="F3083" s="177" t="s">
        <v>630</v>
      </c>
      <c r="G3083" s="178">
        <v>4040.16</v>
      </c>
      <c r="H3083" s="184">
        <v>42852</v>
      </c>
      <c r="I3083" s="183">
        <f t="shared" si="98"/>
        <v>4040.16</v>
      </c>
      <c r="J3083" s="178">
        <f t="shared" si="97"/>
        <v>0</v>
      </c>
      <c r="K3083" s="19"/>
    </row>
    <row r="3084" spans="1:11" x14ac:dyDescent="0.25">
      <c r="A3084" s="51">
        <v>42851</v>
      </c>
      <c r="B3084" s="174" t="s">
        <v>14648</v>
      </c>
      <c r="C3084" s="175"/>
      <c r="D3084" s="176" t="s">
        <v>14648</v>
      </c>
      <c r="E3084" s="176">
        <v>109518</v>
      </c>
      <c r="F3084" s="177" t="s">
        <v>182</v>
      </c>
      <c r="G3084" s="178">
        <v>2254.5</v>
      </c>
      <c r="H3084" s="184">
        <v>42852</v>
      </c>
      <c r="I3084" s="183">
        <f t="shared" si="98"/>
        <v>2254.5</v>
      </c>
      <c r="J3084" s="178">
        <f t="shared" si="97"/>
        <v>0</v>
      </c>
      <c r="K3084" s="19"/>
    </row>
    <row r="3085" spans="1:11" x14ac:dyDescent="0.25">
      <c r="A3085" s="51">
        <v>42851</v>
      </c>
      <c r="B3085" s="174" t="s">
        <v>14649</v>
      </c>
      <c r="C3085" s="175"/>
      <c r="D3085" s="176" t="s">
        <v>14649</v>
      </c>
      <c r="E3085" s="176">
        <v>109519</v>
      </c>
      <c r="F3085" s="177" t="s">
        <v>693</v>
      </c>
      <c r="G3085" s="178">
        <v>27543.5</v>
      </c>
      <c r="H3085" s="184">
        <v>42854</v>
      </c>
      <c r="I3085" s="183">
        <f t="shared" si="98"/>
        <v>27543.5</v>
      </c>
      <c r="J3085" s="178">
        <f t="shared" si="97"/>
        <v>0</v>
      </c>
      <c r="K3085" s="19"/>
    </row>
    <row r="3086" spans="1:11" x14ac:dyDescent="0.25">
      <c r="A3086" s="51">
        <v>42851</v>
      </c>
      <c r="B3086" s="174" t="s">
        <v>14650</v>
      </c>
      <c r="C3086" s="175"/>
      <c r="D3086" s="176" t="s">
        <v>14650</v>
      </c>
      <c r="E3086" s="176">
        <v>109520</v>
      </c>
      <c r="F3086" s="177" t="s">
        <v>879</v>
      </c>
      <c r="G3086" s="178">
        <v>2810.5</v>
      </c>
      <c r="H3086" s="184">
        <v>42851</v>
      </c>
      <c r="I3086" s="183">
        <f t="shared" si="98"/>
        <v>2810.5</v>
      </c>
      <c r="J3086" s="178">
        <f t="shared" si="97"/>
        <v>0</v>
      </c>
      <c r="K3086" s="19"/>
    </row>
    <row r="3087" spans="1:11" x14ac:dyDescent="0.25">
      <c r="A3087" s="51">
        <v>42851</v>
      </c>
      <c r="B3087" s="174" t="s">
        <v>14651</v>
      </c>
      <c r="C3087" s="175"/>
      <c r="D3087" s="176" t="s">
        <v>14651</v>
      </c>
      <c r="E3087" s="176">
        <v>109521</v>
      </c>
      <c r="F3087" s="177" t="s">
        <v>8104</v>
      </c>
      <c r="G3087" s="178">
        <v>1867.6</v>
      </c>
      <c r="H3087" s="184">
        <v>42852</v>
      </c>
      <c r="I3087" s="183">
        <f t="shared" si="98"/>
        <v>1867.6</v>
      </c>
      <c r="J3087" s="178">
        <f t="shared" si="97"/>
        <v>0</v>
      </c>
      <c r="K3087" s="19"/>
    </row>
    <row r="3088" spans="1:11" x14ac:dyDescent="0.25">
      <c r="A3088" s="51">
        <v>42851</v>
      </c>
      <c r="B3088" s="174" t="s">
        <v>14652</v>
      </c>
      <c r="C3088" s="175"/>
      <c r="D3088" s="176" t="s">
        <v>14652</v>
      </c>
      <c r="E3088" s="176">
        <v>109522</v>
      </c>
      <c r="F3088" s="177" t="s">
        <v>45</v>
      </c>
      <c r="G3088" s="178">
        <v>2331.1999999999998</v>
      </c>
      <c r="H3088" s="184">
        <v>42852</v>
      </c>
      <c r="I3088" s="183">
        <f t="shared" si="98"/>
        <v>2331.1999999999998</v>
      </c>
      <c r="J3088" s="178">
        <f t="shared" si="97"/>
        <v>0</v>
      </c>
      <c r="K3088" s="19"/>
    </row>
    <row r="3089" spans="1:11" x14ac:dyDescent="0.25">
      <c r="A3089" s="51">
        <v>42851</v>
      </c>
      <c r="B3089" s="174" t="s">
        <v>14653</v>
      </c>
      <c r="C3089" s="175"/>
      <c r="D3089" s="176" t="s">
        <v>14653</v>
      </c>
      <c r="E3089" s="176">
        <v>109523</v>
      </c>
      <c r="F3089" s="177" t="s">
        <v>3997</v>
      </c>
      <c r="G3089" s="178">
        <v>7628.2</v>
      </c>
      <c r="H3089" s="184">
        <v>42851</v>
      </c>
      <c r="I3089" s="183">
        <f t="shared" si="98"/>
        <v>7628.2</v>
      </c>
      <c r="J3089" s="178">
        <f t="shared" si="97"/>
        <v>0</v>
      </c>
      <c r="K3089" s="19"/>
    </row>
    <row r="3090" spans="1:11" x14ac:dyDescent="0.25">
      <c r="A3090" s="51">
        <v>42851</v>
      </c>
      <c r="B3090" s="174" t="s">
        <v>14654</v>
      </c>
      <c r="C3090" s="175"/>
      <c r="D3090" s="176" t="s">
        <v>14654</v>
      </c>
      <c r="E3090" s="176">
        <v>109524</v>
      </c>
      <c r="F3090" s="177" t="s">
        <v>3997</v>
      </c>
      <c r="G3090" s="178">
        <v>170.1</v>
      </c>
      <c r="H3090" s="184">
        <v>42851</v>
      </c>
      <c r="I3090" s="183">
        <f t="shared" si="98"/>
        <v>170.1</v>
      </c>
      <c r="J3090" s="178">
        <f t="shared" si="97"/>
        <v>0</v>
      </c>
      <c r="K3090" s="19"/>
    </row>
    <row r="3091" spans="1:11" x14ac:dyDescent="0.25">
      <c r="A3091" s="51">
        <v>42851</v>
      </c>
      <c r="B3091" s="174" t="s">
        <v>14655</v>
      </c>
      <c r="C3091" s="175"/>
      <c r="D3091" s="176" t="s">
        <v>14655</v>
      </c>
      <c r="E3091" s="176">
        <v>109525</v>
      </c>
      <c r="F3091" s="177" t="s">
        <v>63</v>
      </c>
      <c r="G3091" s="178">
        <v>1305.28</v>
      </c>
      <c r="H3091" s="184">
        <v>42852</v>
      </c>
      <c r="I3091" s="183">
        <f t="shared" si="98"/>
        <v>1305.28</v>
      </c>
      <c r="J3091" s="178">
        <f t="shared" si="97"/>
        <v>0</v>
      </c>
      <c r="K3091" s="19"/>
    </row>
    <row r="3092" spans="1:11" x14ac:dyDescent="0.25">
      <c r="A3092" s="51">
        <v>42851</v>
      </c>
      <c r="B3092" s="174" t="s">
        <v>14656</v>
      </c>
      <c r="C3092" s="175"/>
      <c r="D3092" s="176" t="s">
        <v>14656</v>
      </c>
      <c r="E3092" s="176">
        <v>109526</v>
      </c>
      <c r="F3092" s="177" t="s">
        <v>480</v>
      </c>
      <c r="G3092" s="178">
        <v>468</v>
      </c>
      <c r="H3092" s="184">
        <v>42852</v>
      </c>
      <c r="I3092" s="183">
        <f t="shared" si="98"/>
        <v>468</v>
      </c>
      <c r="J3092" s="178">
        <f t="shared" si="97"/>
        <v>0</v>
      </c>
      <c r="K3092" s="19"/>
    </row>
    <row r="3093" spans="1:11" x14ac:dyDescent="0.25">
      <c r="A3093" s="51">
        <v>42851</v>
      </c>
      <c r="B3093" s="174" t="s">
        <v>14657</v>
      </c>
      <c r="C3093" s="175"/>
      <c r="D3093" s="176" t="s">
        <v>14657</v>
      </c>
      <c r="E3093" s="176">
        <v>109527</v>
      </c>
      <c r="F3093" s="177" t="s">
        <v>188</v>
      </c>
      <c r="G3093" s="178">
        <v>3574.7</v>
      </c>
      <c r="H3093" s="184">
        <v>42852</v>
      </c>
      <c r="I3093" s="183">
        <f t="shared" si="98"/>
        <v>3574.7</v>
      </c>
      <c r="J3093" s="178">
        <f t="shared" si="97"/>
        <v>0</v>
      </c>
      <c r="K3093" s="19"/>
    </row>
    <row r="3094" spans="1:11" x14ac:dyDescent="0.25">
      <c r="A3094" s="51">
        <v>42851</v>
      </c>
      <c r="B3094" s="174" t="s">
        <v>14658</v>
      </c>
      <c r="C3094" s="175"/>
      <c r="D3094" s="176" t="s">
        <v>14658</v>
      </c>
      <c r="E3094" s="176">
        <v>109528</v>
      </c>
      <c r="F3094" s="177" t="s">
        <v>30</v>
      </c>
      <c r="G3094" s="178">
        <v>639</v>
      </c>
      <c r="H3094" s="184">
        <v>42852</v>
      </c>
      <c r="I3094" s="183">
        <f t="shared" si="98"/>
        <v>639</v>
      </c>
      <c r="J3094" s="178">
        <f t="shared" si="97"/>
        <v>0</v>
      </c>
      <c r="K3094" s="19"/>
    </row>
    <row r="3095" spans="1:11" x14ac:dyDescent="0.25">
      <c r="A3095" s="51">
        <v>42851</v>
      </c>
      <c r="B3095" s="174" t="s">
        <v>14659</v>
      </c>
      <c r="C3095" s="175"/>
      <c r="D3095" s="176" t="s">
        <v>14659</v>
      </c>
      <c r="E3095" s="176">
        <v>109529</v>
      </c>
      <c r="F3095" s="177" t="s">
        <v>61</v>
      </c>
      <c r="G3095" s="178">
        <v>3628</v>
      </c>
      <c r="H3095" s="184">
        <v>42852</v>
      </c>
      <c r="I3095" s="183">
        <f t="shared" si="98"/>
        <v>3628</v>
      </c>
      <c r="J3095" s="178">
        <f t="shared" si="97"/>
        <v>0</v>
      </c>
      <c r="K3095" s="19"/>
    </row>
    <row r="3096" spans="1:11" x14ac:dyDescent="0.25">
      <c r="A3096" s="51">
        <v>42851</v>
      </c>
      <c r="B3096" s="174" t="s">
        <v>14660</v>
      </c>
      <c r="C3096" s="175"/>
      <c r="D3096" s="176" t="s">
        <v>14660</v>
      </c>
      <c r="E3096" s="176">
        <v>109530</v>
      </c>
      <c r="F3096" s="177" t="s">
        <v>14</v>
      </c>
      <c r="G3096" s="178">
        <v>17044.2</v>
      </c>
      <c r="H3096" s="184">
        <v>42851</v>
      </c>
      <c r="I3096" s="183">
        <f t="shared" si="98"/>
        <v>17044.2</v>
      </c>
      <c r="J3096" s="178">
        <f t="shared" si="97"/>
        <v>0</v>
      </c>
      <c r="K3096" s="19"/>
    </row>
    <row r="3097" spans="1:11" x14ac:dyDescent="0.25">
      <c r="A3097" s="51">
        <v>42851</v>
      </c>
      <c r="B3097" s="174" t="s">
        <v>14661</v>
      </c>
      <c r="C3097" s="175"/>
      <c r="D3097" s="176" t="s">
        <v>14661</v>
      </c>
      <c r="E3097" s="176">
        <v>109531</v>
      </c>
      <c r="F3097" s="177" t="s">
        <v>231</v>
      </c>
      <c r="G3097" s="178">
        <v>5239.3999999999996</v>
      </c>
      <c r="H3097" s="184">
        <v>42852</v>
      </c>
      <c r="I3097" s="183">
        <f t="shared" si="98"/>
        <v>5239.3999999999996</v>
      </c>
      <c r="J3097" s="178">
        <f t="shared" si="97"/>
        <v>0</v>
      </c>
      <c r="K3097" s="19"/>
    </row>
    <row r="3098" spans="1:11" x14ac:dyDescent="0.25">
      <c r="A3098" s="51">
        <v>42851</v>
      </c>
      <c r="B3098" s="174" t="s">
        <v>14662</v>
      </c>
      <c r="C3098" s="175"/>
      <c r="D3098" s="176" t="s">
        <v>14662</v>
      </c>
      <c r="E3098" s="176">
        <v>109532</v>
      </c>
      <c r="F3098" s="177" t="s">
        <v>285</v>
      </c>
      <c r="G3098" s="178">
        <v>1643.7</v>
      </c>
      <c r="H3098" s="186">
        <v>42858</v>
      </c>
      <c r="I3098" s="187">
        <f t="shared" si="98"/>
        <v>1643.7</v>
      </c>
      <c r="J3098" s="178">
        <f t="shared" si="97"/>
        <v>0</v>
      </c>
      <c r="K3098" s="19"/>
    </row>
    <row r="3099" spans="1:11" x14ac:dyDescent="0.25">
      <c r="A3099" s="51">
        <v>42851</v>
      </c>
      <c r="B3099" s="174" t="s">
        <v>14663</v>
      </c>
      <c r="C3099" s="175"/>
      <c r="D3099" s="176" t="s">
        <v>14663</v>
      </c>
      <c r="E3099" s="176">
        <v>109533</v>
      </c>
      <c r="F3099" s="177" t="s">
        <v>222</v>
      </c>
      <c r="G3099" s="178">
        <v>32241.99</v>
      </c>
      <c r="H3099" s="184">
        <v>42853</v>
      </c>
      <c r="I3099" s="183">
        <f t="shared" si="98"/>
        <v>32241.99</v>
      </c>
      <c r="J3099" s="178">
        <f t="shared" si="97"/>
        <v>0</v>
      </c>
      <c r="K3099" s="19"/>
    </row>
    <row r="3100" spans="1:11" x14ac:dyDescent="0.25">
      <c r="A3100" s="51">
        <v>42851</v>
      </c>
      <c r="B3100" s="174" t="s">
        <v>14664</v>
      </c>
      <c r="C3100" s="175"/>
      <c r="D3100" s="176" t="s">
        <v>14664</v>
      </c>
      <c r="E3100" s="176">
        <v>109534</v>
      </c>
      <c r="F3100" s="177" t="s">
        <v>21</v>
      </c>
      <c r="G3100" s="178">
        <v>39413.4</v>
      </c>
      <c r="H3100" s="186">
        <v>42866</v>
      </c>
      <c r="I3100" s="187">
        <f t="shared" si="98"/>
        <v>39413.4</v>
      </c>
      <c r="J3100" s="178">
        <f t="shared" si="97"/>
        <v>0</v>
      </c>
      <c r="K3100" s="19"/>
    </row>
    <row r="3101" spans="1:11" x14ac:dyDescent="0.25">
      <c r="A3101" s="51">
        <v>42851</v>
      </c>
      <c r="B3101" s="174" t="s">
        <v>14665</v>
      </c>
      <c r="C3101" s="175"/>
      <c r="D3101" s="176" t="s">
        <v>14665</v>
      </c>
      <c r="E3101" s="176">
        <v>109535</v>
      </c>
      <c r="F3101" s="177" t="s">
        <v>172</v>
      </c>
      <c r="G3101" s="178">
        <v>17368.3</v>
      </c>
      <c r="H3101" s="186">
        <v>42864</v>
      </c>
      <c r="I3101" s="187">
        <f t="shared" si="98"/>
        <v>17368.3</v>
      </c>
      <c r="J3101" s="178">
        <f t="shared" si="97"/>
        <v>0</v>
      </c>
      <c r="K3101" s="19"/>
    </row>
    <row r="3102" spans="1:11" x14ac:dyDescent="0.25">
      <c r="A3102" s="51">
        <v>42851</v>
      </c>
      <c r="B3102" s="174" t="s">
        <v>14666</v>
      </c>
      <c r="C3102" s="175"/>
      <c r="D3102" s="176" t="s">
        <v>14666</v>
      </c>
      <c r="E3102" s="176">
        <v>109536</v>
      </c>
      <c r="F3102" s="177" t="s">
        <v>161</v>
      </c>
      <c r="G3102" s="178">
        <v>22681.599999999999</v>
      </c>
      <c r="H3102" s="186">
        <v>42864</v>
      </c>
      <c r="I3102" s="187">
        <f t="shared" si="98"/>
        <v>22681.599999999999</v>
      </c>
      <c r="J3102" s="178">
        <f t="shared" si="97"/>
        <v>0</v>
      </c>
      <c r="K3102" s="19"/>
    </row>
    <row r="3103" spans="1:11" x14ac:dyDescent="0.25">
      <c r="A3103" s="51">
        <v>42851</v>
      </c>
      <c r="B3103" s="174" t="s">
        <v>14667</v>
      </c>
      <c r="C3103" s="175"/>
      <c r="D3103" s="176" t="s">
        <v>14667</v>
      </c>
      <c r="E3103" s="176">
        <v>109537</v>
      </c>
      <c r="F3103" s="177" t="s">
        <v>426</v>
      </c>
      <c r="G3103" s="178">
        <v>8037.1</v>
      </c>
      <c r="H3103" s="186">
        <v>42863</v>
      </c>
      <c r="I3103" s="187">
        <f t="shared" si="98"/>
        <v>8037.1</v>
      </c>
      <c r="J3103" s="178">
        <f t="shared" si="97"/>
        <v>0</v>
      </c>
      <c r="K3103" s="19"/>
    </row>
    <row r="3104" spans="1:11" x14ac:dyDescent="0.25">
      <c r="A3104" s="51">
        <v>42851</v>
      </c>
      <c r="B3104" s="174" t="s">
        <v>14668</v>
      </c>
      <c r="C3104" s="175"/>
      <c r="D3104" s="176" t="s">
        <v>14668</v>
      </c>
      <c r="E3104" s="176">
        <v>109538</v>
      </c>
      <c r="F3104" s="177" t="s">
        <v>145</v>
      </c>
      <c r="G3104" s="178">
        <v>24874</v>
      </c>
      <c r="H3104" s="186" t="s">
        <v>23770</v>
      </c>
      <c r="I3104" s="187">
        <f>7000+17874</f>
        <v>24874</v>
      </c>
      <c r="J3104" s="204">
        <f t="shared" si="97"/>
        <v>0</v>
      </c>
      <c r="K3104" s="19"/>
    </row>
    <row r="3105" spans="1:11" x14ac:dyDescent="0.25">
      <c r="A3105" s="51">
        <v>42851</v>
      </c>
      <c r="B3105" s="174" t="s">
        <v>14669</v>
      </c>
      <c r="C3105" s="175"/>
      <c r="D3105" s="176" t="s">
        <v>14669</v>
      </c>
      <c r="E3105" s="176">
        <v>109539</v>
      </c>
      <c r="F3105" s="177" t="s">
        <v>1163</v>
      </c>
      <c r="G3105" s="178">
        <v>13662</v>
      </c>
      <c r="H3105" s="184">
        <v>43217</v>
      </c>
      <c r="I3105" s="183">
        <f t="shared" si="98"/>
        <v>13662</v>
      </c>
      <c r="J3105" s="178">
        <f t="shared" si="97"/>
        <v>0</v>
      </c>
      <c r="K3105" s="19"/>
    </row>
    <row r="3106" spans="1:11" x14ac:dyDescent="0.25">
      <c r="A3106" s="51">
        <v>42851</v>
      </c>
      <c r="B3106" s="174" t="s">
        <v>14670</v>
      </c>
      <c r="C3106" s="175"/>
      <c r="D3106" s="176" t="s">
        <v>14670</v>
      </c>
      <c r="E3106" s="176">
        <v>109540</v>
      </c>
      <c r="F3106" s="177" t="s">
        <v>222</v>
      </c>
      <c r="G3106" s="178">
        <v>42187.199999999997</v>
      </c>
      <c r="H3106" s="184">
        <v>42853</v>
      </c>
      <c r="I3106" s="183">
        <f t="shared" si="98"/>
        <v>42187.199999999997</v>
      </c>
      <c r="J3106" s="178">
        <f t="shared" si="97"/>
        <v>0</v>
      </c>
      <c r="K3106" s="19"/>
    </row>
    <row r="3107" spans="1:11" x14ac:dyDescent="0.25">
      <c r="A3107" s="51">
        <v>42851</v>
      </c>
      <c r="B3107" s="174" t="s">
        <v>14671</v>
      </c>
      <c r="C3107" s="175"/>
      <c r="D3107" s="176" t="s">
        <v>14671</v>
      </c>
      <c r="E3107" s="176">
        <v>109541</v>
      </c>
      <c r="F3107" s="177" t="s">
        <v>165</v>
      </c>
      <c r="G3107" s="178">
        <v>10008</v>
      </c>
      <c r="H3107" s="184">
        <v>42864</v>
      </c>
      <c r="I3107" s="183">
        <f t="shared" si="98"/>
        <v>10008</v>
      </c>
      <c r="J3107" s="178">
        <f t="shared" si="97"/>
        <v>0</v>
      </c>
      <c r="K3107" s="19"/>
    </row>
    <row r="3108" spans="1:11" x14ac:dyDescent="0.25">
      <c r="A3108" s="51">
        <v>42851</v>
      </c>
      <c r="B3108" s="174" t="s">
        <v>14672</v>
      </c>
      <c r="C3108" s="175"/>
      <c r="D3108" s="176" t="s">
        <v>14672</v>
      </c>
      <c r="E3108" s="176">
        <v>109542</v>
      </c>
      <c r="F3108" s="177" t="s">
        <v>163</v>
      </c>
      <c r="G3108" s="178">
        <v>6702.7</v>
      </c>
      <c r="H3108" s="184">
        <v>42864</v>
      </c>
      <c r="I3108" s="183">
        <f t="shared" si="98"/>
        <v>6702.7</v>
      </c>
      <c r="J3108" s="178">
        <f t="shared" si="97"/>
        <v>0</v>
      </c>
      <c r="K3108" s="19"/>
    </row>
    <row r="3109" spans="1:11" x14ac:dyDescent="0.25">
      <c r="A3109" s="51">
        <v>42851</v>
      </c>
      <c r="B3109" s="174" t="s">
        <v>14673</v>
      </c>
      <c r="C3109" s="175"/>
      <c r="D3109" s="176" t="s">
        <v>14673</v>
      </c>
      <c r="E3109" s="176">
        <v>109543</v>
      </c>
      <c r="F3109" s="177" t="s">
        <v>155</v>
      </c>
      <c r="G3109" s="178">
        <v>24893.7</v>
      </c>
      <c r="H3109" s="184" t="s">
        <v>14674</v>
      </c>
      <c r="I3109" s="183">
        <f>5893.7+19000</f>
        <v>24893.7</v>
      </c>
      <c r="J3109" s="178">
        <f t="shared" si="97"/>
        <v>0</v>
      </c>
      <c r="K3109" s="19"/>
    </row>
    <row r="3110" spans="1:11" x14ac:dyDescent="0.25">
      <c r="A3110" s="51">
        <v>42851</v>
      </c>
      <c r="B3110" s="174" t="s">
        <v>14675</v>
      </c>
      <c r="C3110" s="175"/>
      <c r="D3110" s="176" t="s">
        <v>14675</v>
      </c>
      <c r="E3110" s="176">
        <v>109544</v>
      </c>
      <c r="F3110" s="177" t="s">
        <v>428</v>
      </c>
      <c r="G3110" s="178">
        <v>715.5</v>
      </c>
      <c r="H3110" s="184">
        <v>42853</v>
      </c>
      <c r="I3110" s="183">
        <f t="shared" si="98"/>
        <v>715.5</v>
      </c>
      <c r="J3110" s="178">
        <f t="shared" si="97"/>
        <v>0</v>
      </c>
      <c r="K3110" s="19"/>
    </row>
    <row r="3111" spans="1:11" x14ac:dyDescent="0.25">
      <c r="A3111" s="51">
        <v>42851</v>
      </c>
      <c r="B3111" s="174" t="s">
        <v>14676</v>
      </c>
      <c r="C3111" s="175"/>
      <c r="D3111" s="176" t="s">
        <v>14676</v>
      </c>
      <c r="E3111" s="176">
        <v>109545</v>
      </c>
      <c r="F3111" s="177" t="s">
        <v>3319</v>
      </c>
      <c r="G3111" s="178">
        <v>8280</v>
      </c>
      <c r="H3111" s="184">
        <v>42853</v>
      </c>
      <c r="I3111" s="183">
        <f t="shared" si="98"/>
        <v>8280</v>
      </c>
      <c r="J3111" s="178">
        <f t="shared" si="97"/>
        <v>0</v>
      </c>
      <c r="K3111" s="19"/>
    </row>
    <row r="3112" spans="1:11" x14ac:dyDescent="0.25">
      <c r="A3112" s="51">
        <v>42851</v>
      </c>
      <c r="B3112" s="174" t="s">
        <v>14677</v>
      </c>
      <c r="C3112" s="175"/>
      <c r="D3112" s="176" t="s">
        <v>14677</v>
      </c>
      <c r="E3112" s="176">
        <v>109546</v>
      </c>
      <c r="F3112" s="177" t="s">
        <v>30</v>
      </c>
      <c r="G3112" s="178">
        <v>998.4</v>
      </c>
      <c r="H3112" s="184">
        <v>42851</v>
      </c>
      <c r="I3112" s="183">
        <f t="shared" si="98"/>
        <v>998.4</v>
      </c>
      <c r="J3112" s="178">
        <f t="shared" si="97"/>
        <v>0</v>
      </c>
      <c r="K3112" s="19"/>
    </row>
    <row r="3113" spans="1:11" x14ac:dyDescent="0.25">
      <c r="A3113" s="51">
        <v>42851</v>
      </c>
      <c r="B3113" s="174" t="s">
        <v>14678</v>
      </c>
      <c r="C3113" s="175"/>
      <c r="D3113" s="176" t="s">
        <v>14678</v>
      </c>
      <c r="E3113" s="176">
        <v>109547</v>
      </c>
      <c r="F3113" s="177" t="s">
        <v>30</v>
      </c>
      <c r="G3113" s="178">
        <v>80.400000000000006</v>
      </c>
      <c r="H3113" s="184">
        <v>42851</v>
      </c>
      <c r="I3113" s="183">
        <f t="shared" si="98"/>
        <v>80.400000000000006</v>
      </c>
      <c r="J3113" s="178">
        <f t="shared" si="97"/>
        <v>0</v>
      </c>
      <c r="K3113" s="19"/>
    </row>
    <row r="3114" spans="1:11" x14ac:dyDescent="0.25">
      <c r="A3114" s="51">
        <v>42851</v>
      </c>
      <c r="B3114" s="174" t="s">
        <v>14679</v>
      </c>
      <c r="C3114" s="175"/>
      <c r="D3114" s="176" t="s">
        <v>14679</v>
      </c>
      <c r="E3114" s="176">
        <v>109548</v>
      </c>
      <c r="F3114" s="177" t="s">
        <v>30</v>
      </c>
      <c r="G3114" s="178">
        <v>1131.5999999999999</v>
      </c>
      <c r="H3114" s="184">
        <v>42851</v>
      </c>
      <c r="I3114" s="183">
        <f t="shared" si="98"/>
        <v>1131.5999999999999</v>
      </c>
      <c r="J3114" s="178">
        <f t="shared" si="97"/>
        <v>0</v>
      </c>
      <c r="K3114" s="19"/>
    </row>
    <row r="3115" spans="1:11" x14ac:dyDescent="0.25">
      <c r="A3115" s="51">
        <v>42851</v>
      </c>
      <c r="B3115" s="174" t="s">
        <v>14680</v>
      </c>
      <c r="C3115" s="175"/>
      <c r="D3115" s="176" t="s">
        <v>14680</v>
      </c>
      <c r="E3115" s="176">
        <v>109549</v>
      </c>
      <c r="F3115" s="177" t="s">
        <v>523</v>
      </c>
      <c r="G3115" s="178">
        <v>23109.599999999999</v>
      </c>
      <c r="H3115" s="186">
        <v>42861</v>
      </c>
      <c r="I3115" s="187">
        <f t="shared" si="98"/>
        <v>23109.599999999999</v>
      </c>
      <c r="J3115" s="178">
        <f t="shared" si="97"/>
        <v>0</v>
      </c>
      <c r="K3115" s="19"/>
    </row>
    <row r="3116" spans="1:11" x14ac:dyDescent="0.25">
      <c r="A3116" s="51">
        <v>42851</v>
      </c>
      <c r="B3116" s="174" t="s">
        <v>14681</v>
      </c>
      <c r="C3116" s="175"/>
      <c r="D3116" s="176" t="s">
        <v>14681</v>
      </c>
      <c r="E3116" s="176">
        <v>109550</v>
      </c>
      <c r="F3116" s="177" t="s">
        <v>222</v>
      </c>
      <c r="G3116" s="178">
        <v>402696</v>
      </c>
      <c r="H3116" s="184">
        <v>42853</v>
      </c>
      <c r="I3116" s="183">
        <f t="shared" si="98"/>
        <v>402696</v>
      </c>
      <c r="J3116" s="178">
        <f t="shared" si="97"/>
        <v>0</v>
      </c>
      <c r="K3116" s="19"/>
    </row>
    <row r="3117" spans="1:11" x14ac:dyDescent="0.25">
      <c r="A3117" s="51">
        <v>42851</v>
      </c>
      <c r="B3117" s="174" t="s">
        <v>14682</v>
      </c>
      <c r="C3117" s="175"/>
      <c r="D3117" s="176" t="s">
        <v>14682</v>
      </c>
      <c r="E3117" s="176">
        <v>109551</v>
      </c>
      <c r="F3117" s="177" t="s">
        <v>115</v>
      </c>
      <c r="G3117" s="178">
        <v>2673.6</v>
      </c>
      <c r="H3117" s="184">
        <v>42851</v>
      </c>
      <c r="I3117" s="183">
        <f t="shared" si="98"/>
        <v>2673.6</v>
      </c>
      <c r="J3117" s="178">
        <f t="shared" si="97"/>
        <v>0</v>
      </c>
      <c r="K3117" s="19"/>
    </row>
    <row r="3118" spans="1:11" x14ac:dyDescent="0.25">
      <c r="A3118" s="51">
        <v>42851</v>
      </c>
      <c r="B3118" s="174" t="s">
        <v>14683</v>
      </c>
      <c r="C3118" s="175"/>
      <c r="D3118" s="176" t="s">
        <v>14683</v>
      </c>
      <c r="E3118" s="176">
        <v>109552</v>
      </c>
      <c r="F3118" s="177" t="s">
        <v>609</v>
      </c>
      <c r="G3118" s="178">
        <v>30984.69</v>
      </c>
      <c r="H3118" s="184">
        <v>42854</v>
      </c>
      <c r="I3118" s="183">
        <f t="shared" si="98"/>
        <v>30984.69</v>
      </c>
      <c r="J3118" s="178">
        <f t="shared" si="97"/>
        <v>0</v>
      </c>
      <c r="K3118" s="19"/>
    </row>
    <row r="3119" spans="1:11" x14ac:dyDescent="0.25">
      <c r="A3119" s="51">
        <v>42851</v>
      </c>
      <c r="B3119" s="174" t="s">
        <v>14684</v>
      </c>
      <c r="C3119" s="175"/>
      <c r="D3119" s="176" t="s">
        <v>14684</v>
      </c>
      <c r="E3119" s="176">
        <v>109553</v>
      </c>
      <c r="F3119" s="177" t="s">
        <v>30</v>
      </c>
      <c r="G3119" s="178">
        <v>4876.2</v>
      </c>
      <c r="H3119" s="184">
        <v>42851</v>
      </c>
      <c r="I3119" s="183">
        <f t="shared" si="98"/>
        <v>4876.2</v>
      </c>
      <c r="J3119" s="178">
        <f t="shared" si="97"/>
        <v>0</v>
      </c>
      <c r="K3119" s="19"/>
    </row>
    <row r="3120" spans="1:11" x14ac:dyDescent="0.25">
      <c r="A3120" s="51">
        <v>42851</v>
      </c>
      <c r="B3120" s="174" t="s">
        <v>14685</v>
      </c>
      <c r="C3120" s="175"/>
      <c r="D3120" s="176" t="s">
        <v>14685</v>
      </c>
      <c r="E3120" s="176">
        <v>109554</v>
      </c>
      <c r="F3120" s="177" t="s">
        <v>205</v>
      </c>
      <c r="G3120" s="178">
        <v>31613.34</v>
      </c>
      <c r="H3120" s="184">
        <v>42851</v>
      </c>
      <c r="I3120" s="183">
        <f t="shared" si="98"/>
        <v>31613.34</v>
      </c>
      <c r="J3120" s="178">
        <f t="shared" si="97"/>
        <v>0</v>
      </c>
      <c r="K3120" s="19"/>
    </row>
    <row r="3121" spans="1:11" x14ac:dyDescent="0.25">
      <c r="A3121" s="51">
        <v>42851</v>
      </c>
      <c r="B3121" s="174" t="s">
        <v>14686</v>
      </c>
      <c r="C3121" s="175"/>
      <c r="D3121" s="176" t="s">
        <v>14686</v>
      </c>
      <c r="E3121" s="176">
        <v>109555</v>
      </c>
      <c r="F3121" s="177" t="s">
        <v>531</v>
      </c>
      <c r="G3121" s="178">
        <v>32185.759999999998</v>
      </c>
      <c r="H3121" s="184">
        <v>42851</v>
      </c>
      <c r="I3121" s="183">
        <f t="shared" si="98"/>
        <v>32185.759999999998</v>
      </c>
      <c r="J3121" s="178">
        <f t="shared" si="97"/>
        <v>0</v>
      </c>
      <c r="K3121" s="19"/>
    </row>
    <row r="3122" spans="1:11" x14ac:dyDescent="0.25">
      <c r="A3122" s="51">
        <v>42851</v>
      </c>
      <c r="B3122" s="174" t="s">
        <v>14687</v>
      </c>
      <c r="C3122" s="175"/>
      <c r="D3122" s="176" t="s">
        <v>14687</v>
      </c>
      <c r="E3122" s="176">
        <v>109556</v>
      </c>
      <c r="F3122" s="177" t="s">
        <v>2240</v>
      </c>
      <c r="G3122" s="178">
        <v>8252.66</v>
      </c>
      <c r="H3122" s="184">
        <v>42851</v>
      </c>
      <c r="I3122" s="183">
        <f t="shared" si="98"/>
        <v>8252.66</v>
      </c>
      <c r="J3122" s="178">
        <f t="shared" si="97"/>
        <v>0</v>
      </c>
      <c r="K3122" s="19"/>
    </row>
    <row r="3123" spans="1:11" x14ac:dyDescent="0.25">
      <c r="A3123" s="51">
        <v>42851</v>
      </c>
      <c r="B3123" s="174" t="s">
        <v>14688</v>
      </c>
      <c r="C3123" s="175"/>
      <c r="D3123" s="176" t="s">
        <v>14688</v>
      </c>
      <c r="E3123" s="176">
        <v>109557</v>
      </c>
      <c r="F3123" s="177" t="s">
        <v>321</v>
      </c>
      <c r="G3123" s="178">
        <v>410.4</v>
      </c>
      <c r="H3123" s="184">
        <v>42851</v>
      </c>
      <c r="I3123" s="183">
        <f t="shared" si="98"/>
        <v>410.4</v>
      </c>
      <c r="J3123" s="178">
        <f t="shared" si="97"/>
        <v>0</v>
      </c>
      <c r="K3123" s="19"/>
    </row>
    <row r="3124" spans="1:11" x14ac:dyDescent="0.25">
      <c r="A3124" s="51">
        <v>42851</v>
      </c>
      <c r="B3124" s="174" t="s">
        <v>14689</v>
      </c>
      <c r="C3124" s="175"/>
      <c r="D3124" s="176" t="s">
        <v>14689</v>
      </c>
      <c r="E3124" s="176">
        <v>109558</v>
      </c>
      <c r="F3124" s="177" t="s">
        <v>5219</v>
      </c>
      <c r="G3124" s="178">
        <v>1405.6</v>
      </c>
      <c r="H3124" s="184">
        <v>42851</v>
      </c>
      <c r="I3124" s="183">
        <f t="shared" si="98"/>
        <v>1405.6</v>
      </c>
      <c r="J3124" s="178">
        <f t="shared" si="97"/>
        <v>0</v>
      </c>
      <c r="K3124" s="19"/>
    </row>
    <row r="3125" spans="1:11" x14ac:dyDescent="0.25">
      <c r="A3125" s="51">
        <v>42851</v>
      </c>
      <c r="B3125" s="174" t="s">
        <v>14690</v>
      </c>
      <c r="C3125" s="175"/>
      <c r="D3125" s="176" t="s">
        <v>14690</v>
      </c>
      <c r="E3125" s="176">
        <v>109559</v>
      </c>
      <c r="F3125" s="177" t="s">
        <v>10</v>
      </c>
      <c r="G3125" s="178">
        <v>295435.5</v>
      </c>
      <c r="H3125" s="184">
        <v>42854</v>
      </c>
      <c r="I3125" s="183">
        <f t="shared" si="98"/>
        <v>295435.5</v>
      </c>
      <c r="J3125" s="178">
        <f t="shared" si="97"/>
        <v>0</v>
      </c>
      <c r="K3125" s="19"/>
    </row>
    <row r="3126" spans="1:11" x14ac:dyDescent="0.25">
      <c r="A3126" s="51">
        <v>42851</v>
      </c>
      <c r="B3126" s="174" t="s">
        <v>14691</v>
      </c>
      <c r="C3126" s="175"/>
      <c r="D3126" s="176" t="s">
        <v>14691</v>
      </c>
      <c r="E3126" s="176">
        <v>109560</v>
      </c>
      <c r="F3126" s="177" t="s">
        <v>220</v>
      </c>
      <c r="G3126" s="178">
        <v>2684</v>
      </c>
      <c r="H3126" s="184">
        <v>42851</v>
      </c>
      <c r="I3126" s="183">
        <f t="shared" si="98"/>
        <v>2684</v>
      </c>
      <c r="J3126" s="178">
        <f t="shared" si="97"/>
        <v>0</v>
      </c>
      <c r="K3126" s="19"/>
    </row>
    <row r="3127" spans="1:11" x14ac:dyDescent="0.25">
      <c r="A3127" s="51">
        <v>42851</v>
      </c>
      <c r="B3127" s="174" t="s">
        <v>14692</v>
      </c>
      <c r="C3127" s="175"/>
      <c r="D3127" s="176" t="s">
        <v>14692</v>
      </c>
      <c r="E3127" s="176">
        <v>109561</v>
      </c>
      <c r="F3127" s="177" t="s">
        <v>1259</v>
      </c>
      <c r="G3127" s="178">
        <v>1179.2</v>
      </c>
      <c r="H3127" s="184">
        <v>42852</v>
      </c>
      <c r="I3127" s="183">
        <f t="shared" si="98"/>
        <v>1179.2</v>
      </c>
      <c r="J3127" s="178">
        <f t="shared" si="97"/>
        <v>0</v>
      </c>
      <c r="K3127" s="19"/>
    </row>
    <row r="3128" spans="1:11" x14ac:dyDescent="0.25">
      <c r="A3128" s="51">
        <v>42851</v>
      </c>
      <c r="B3128" s="174" t="s">
        <v>14693</v>
      </c>
      <c r="C3128" s="175"/>
      <c r="D3128" s="176" t="s">
        <v>14693</v>
      </c>
      <c r="E3128" s="176">
        <v>109562</v>
      </c>
      <c r="F3128" s="177" t="s">
        <v>236</v>
      </c>
      <c r="G3128" s="178">
        <v>32802.86</v>
      </c>
      <c r="H3128" s="184">
        <v>42854</v>
      </c>
      <c r="I3128" s="183">
        <f t="shared" si="98"/>
        <v>32802.86</v>
      </c>
      <c r="J3128" s="178">
        <f t="shared" si="97"/>
        <v>0</v>
      </c>
      <c r="K3128" s="19"/>
    </row>
    <row r="3129" spans="1:11" x14ac:dyDescent="0.25">
      <c r="A3129" s="51">
        <v>42851</v>
      </c>
      <c r="B3129" s="174" t="s">
        <v>14694</v>
      </c>
      <c r="C3129" s="175"/>
      <c r="D3129" s="176" t="s">
        <v>14694</v>
      </c>
      <c r="E3129" s="176">
        <v>109563</v>
      </c>
      <c r="F3129" s="177" t="s">
        <v>921</v>
      </c>
      <c r="G3129" s="178">
        <v>6033.3</v>
      </c>
      <c r="H3129" s="184">
        <v>42851</v>
      </c>
      <c r="I3129" s="183">
        <f t="shared" si="98"/>
        <v>6033.3</v>
      </c>
      <c r="J3129" s="178">
        <f t="shared" si="97"/>
        <v>0</v>
      </c>
      <c r="K3129" s="19"/>
    </row>
    <row r="3130" spans="1:11" x14ac:dyDescent="0.25">
      <c r="A3130" s="51">
        <v>42851</v>
      </c>
      <c r="B3130" s="174" t="s">
        <v>14695</v>
      </c>
      <c r="C3130" s="175"/>
      <c r="D3130" s="176" t="s">
        <v>14695</v>
      </c>
      <c r="E3130" s="176">
        <v>109564</v>
      </c>
      <c r="F3130" s="177" t="s">
        <v>12</v>
      </c>
      <c r="G3130" s="178">
        <v>871.2</v>
      </c>
      <c r="H3130" s="184">
        <v>42853</v>
      </c>
      <c r="I3130" s="183">
        <f t="shared" si="98"/>
        <v>871.2</v>
      </c>
      <c r="J3130" s="178">
        <f t="shared" si="97"/>
        <v>0</v>
      </c>
      <c r="K3130" s="19"/>
    </row>
    <row r="3131" spans="1:11" x14ac:dyDescent="0.25">
      <c r="A3131" s="51">
        <v>42852</v>
      </c>
      <c r="B3131" s="174" t="s">
        <v>14696</v>
      </c>
      <c r="C3131" s="175"/>
      <c r="D3131" s="176" t="s">
        <v>14696</v>
      </c>
      <c r="E3131" s="176">
        <v>109565</v>
      </c>
      <c r="F3131" s="177" t="s">
        <v>231</v>
      </c>
      <c r="G3131" s="178">
        <v>8415</v>
      </c>
      <c r="H3131" s="184">
        <v>42853</v>
      </c>
      <c r="I3131" s="183">
        <f t="shared" si="98"/>
        <v>8415</v>
      </c>
      <c r="J3131" s="178">
        <f t="shared" si="97"/>
        <v>0</v>
      </c>
      <c r="K3131" s="19"/>
    </row>
    <row r="3132" spans="1:11" x14ac:dyDescent="0.25">
      <c r="A3132" s="51">
        <v>42852</v>
      </c>
      <c r="B3132" s="174" t="s">
        <v>14697</v>
      </c>
      <c r="C3132" s="175"/>
      <c r="D3132" s="176" t="s">
        <v>14697</v>
      </c>
      <c r="E3132" s="176">
        <v>109566</v>
      </c>
      <c r="F3132" s="177" t="s">
        <v>231</v>
      </c>
      <c r="G3132" s="178">
        <v>36760.9</v>
      </c>
      <c r="H3132" s="184">
        <v>42853</v>
      </c>
      <c r="I3132" s="183">
        <f t="shared" si="98"/>
        <v>36760.9</v>
      </c>
      <c r="J3132" s="178">
        <f t="shared" si="97"/>
        <v>0</v>
      </c>
      <c r="K3132" s="19"/>
    </row>
    <row r="3133" spans="1:11" ht="15.75" x14ac:dyDescent="0.25">
      <c r="A3133" s="51">
        <v>42852</v>
      </c>
      <c r="B3133" s="174" t="s">
        <v>14698</v>
      </c>
      <c r="C3133" s="175"/>
      <c r="D3133" s="176" t="s">
        <v>14698</v>
      </c>
      <c r="E3133" s="176">
        <v>109567</v>
      </c>
      <c r="F3133" s="177" t="s">
        <v>32</v>
      </c>
      <c r="G3133" s="178">
        <v>0</v>
      </c>
      <c r="H3133" s="207" t="s">
        <v>95</v>
      </c>
      <c r="I3133" s="178">
        <f t="shared" si="98"/>
        <v>0</v>
      </c>
      <c r="J3133" s="178">
        <f t="shared" si="97"/>
        <v>0</v>
      </c>
      <c r="K3133" s="19"/>
    </row>
    <row r="3134" spans="1:11" x14ac:dyDescent="0.25">
      <c r="A3134" s="51">
        <v>42852</v>
      </c>
      <c r="B3134" s="174" t="s">
        <v>14699</v>
      </c>
      <c r="C3134" s="175"/>
      <c r="D3134" s="176" t="s">
        <v>14699</v>
      </c>
      <c r="E3134" s="176">
        <v>109568</v>
      </c>
      <c r="F3134" s="177" t="s">
        <v>32</v>
      </c>
      <c r="G3134" s="178">
        <v>5304</v>
      </c>
      <c r="H3134" s="186">
        <v>42861</v>
      </c>
      <c r="I3134" s="187">
        <f t="shared" si="98"/>
        <v>5304</v>
      </c>
      <c r="J3134" s="178">
        <f t="shared" si="97"/>
        <v>0</v>
      </c>
      <c r="K3134" s="19"/>
    </row>
    <row r="3135" spans="1:11" x14ac:dyDescent="0.25">
      <c r="A3135" s="51">
        <v>42852</v>
      </c>
      <c r="B3135" s="174" t="s">
        <v>14700</v>
      </c>
      <c r="C3135" s="175"/>
      <c r="D3135" s="176" t="s">
        <v>14700</v>
      </c>
      <c r="E3135" s="176">
        <v>109569</v>
      </c>
      <c r="F3135" s="177" t="s">
        <v>49</v>
      </c>
      <c r="G3135" s="178">
        <v>9316</v>
      </c>
      <c r="H3135" s="186" t="s">
        <v>15185</v>
      </c>
      <c r="I3135" s="187">
        <f>3316+6000</f>
        <v>9316</v>
      </c>
      <c r="J3135" s="178">
        <f t="shared" si="97"/>
        <v>0</v>
      </c>
      <c r="K3135" s="19"/>
    </row>
    <row r="3136" spans="1:11" x14ac:dyDescent="0.25">
      <c r="A3136" s="51">
        <v>42852</v>
      </c>
      <c r="B3136" s="174" t="s">
        <v>14701</v>
      </c>
      <c r="C3136" s="175"/>
      <c r="D3136" s="176" t="s">
        <v>14701</v>
      </c>
      <c r="E3136" s="176">
        <v>109570</v>
      </c>
      <c r="F3136" s="177" t="s">
        <v>38</v>
      </c>
      <c r="G3136" s="178">
        <v>3046.4</v>
      </c>
      <c r="H3136" s="186">
        <v>42856</v>
      </c>
      <c r="I3136" s="187">
        <f t="shared" si="98"/>
        <v>3046.4</v>
      </c>
      <c r="J3136" s="178">
        <f t="shared" si="97"/>
        <v>0</v>
      </c>
      <c r="K3136" s="19"/>
    </row>
    <row r="3137" spans="1:11" x14ac:dyDescent="0.25">
      <c r="A3137" s="51">
        <v>42852</v>
      </c>
      <c r="B3137" s="174" t="s">
        <v>14702</v>
      </c>
      <c r="C3137" s="175"/>
      <c r="D3137" s="176" t="s">
        <v>14702</v>
      </c>
      <c r="E3137" s="176">
        <v>109571</v>
      </c>
      <c r="F3137" s="177" t="s">
        <v>17</v>
      </c>
      <c r="G3137" s="178">
        <v>2250</v>
      </c>
      <c r="H3137" s="184">
        <v>42852</v>
      </c>
      <c r="I3137" s="183">
        <f t="shared" si="98"/>
        <v>2250</v>
      </c>
      <c r="J3137" s="178">
        <f t="shared" si="97"/>
        <v>0</v>
      </c>
      <c r="K3137" s="19"/>
    </row>
    <row r="3138" spans="1:11" x14ac:dyDescent="0.25">
      <c r="A3138" s="51">
        <v>42852</v>
      </c>
      <c r="B3138" s="174" t="s">
        <v>14703</v>
      </c>
      <c r="C3138" s="175"/>
      <c r="D3138" s="176" t="s">
        <v>14703</v>
      </c>
      <c r="E3138" s="176">
        <v>109572</v>
      </c>
      <c r="F3138" s="177" t="s">
        <v>51</v>
      </c>
      <c r="G3138" s="178">
        <v>5630.4</v>
      </c>
      <c r="H3138" s="179">
        <v>42854</v>
      </c>
      <c r="I3138" s="178">
        <f t="shared" si="98"/>
        <v>5630.4</v>
      </c>
      <c r="J3138" s="178">
        <f t="shared" si="97"/>
        <v>0</v>
      </c>
      <c r="K3138" s="19"/>
    </row>
    <row r="3139" spans="1:11" x14ac:dyDescent="0.25">
      <c r="A3139" s="51">
        <v>42852</v>
      </c>
      <c r="B3139" s="174" t="s">
        <v>14704</v>
      </c>
      <c r="C3139" s="175"/>
      <c r="D3139" s="176" t="s">
        <v>14704</v>
      </c>
      <c r="E3139" s="176">
        <v>109573</v>
      </c>
      <c r="F3139" s="177" t="s">
        <v>253</v>
      </c>
      <c r="G3139" s="178">
        <v>6133.6</v>
      </c>
      <c r="H3139" s="186">
        <v>42856</v>
      </c>
      <c r="I3139" s="187">
        <f t="shared" si="98"/>
        <v>6133.6</v>
      </c>
      <c r="J3139" s="178">
        <f t="shared" si="97"/>
        <v>0</v>
      </c>
      <c r="K3139" s="19"/>
    </row>
    <row r="3140" spans="1:11" x14ac:dyDescent="0.25">
      <c r="A3140" s="51">
        <v>42852</v>
      </c>
      <c r="B3140" s="174" t="s">
        <v>14705</v>
      </c>
      <c r="C3140" s="175"/>
      <c r="D3140" s="176" t="s">
        <v>14705</v>
      </c>
      <c r="E3140" s="176">
        <v>109574</v>
      </c>
      <c r="F3140" s="177" t="s">
        <v>264</v>
      </c>
      <c r="G3140" s="178">
        <v>12916.8</v>
      </c>
      <c r="H3140" s="184">
        <v>42852</v>
      </c>
      <c r="I3140" s="183">
        <f t="shared" si="98"/>
        <v>12916.8</v>
      </c>
      <c r="J3140" s="178">
        <f t="shared" ref="J3140:J3203" si="99">G3140-I3140</f>
        <v>0</v>
      </c>
      <c r="K3140" s="19"/>
    </row>
    <row r="3141" spans="1:11" x14ac:dyDescent="0.25">
      <c r="A3141" s="51">
        <v>42852</v>
      </c>
      <c r="B3141" s="174" t="s">
        <v>14706</v>
      </c>
      <c r="C3141" s="175"/>
      <c r="D3141" s="176" t="s">
        <v>14706</v>
      </c>
      <c r="E3141" s="176">
        <v>109575</v>
      </c>
      <c r="F3141" s="177" t="s">
        <v>35</v>
      </c>
      <c r="G3141" s="178">
        <v>8175.6</v>
      </c>
      <c r="H3141" s="184">
        <v>42854</v>
      </c>
      <c r="I3141" s="183">
        <f t="shared" ref="I3141:I3204" si="100">G3141</f>
        <v>8175.6</v>
      </c>
      <c r="J3141" s="178">
        <f t="shared" si="99"/>
        <v>0</v>
      </c>
      <c r="K3141" s="19"/>
    </row>
    <row r="3142" spans="1:11" x14ac:dyDescent="0.25">
      <c r="A3142" s="51">
        <v>42852</v>
      </c>
      <c r="B3142" s="174" t="s">
        <v>14707</v>
      </c>
      <c r="C3142" s="175"/>
      <c r="D3142" s="176" t="s">
        <v>14707</v>
      </c>
      <c r="E3142" s="176">
        <v>109576</v>
      </c>
      <c r="F3142" s="177" t="s">
        <v>28</v>
      </c>
      <c r="G3142" s="178">
        <v>13062</v>
      </c>
      <c r="H3142" s="184">
        <v>42852</v>
      </c>
      <c r="I3142" s="183">
        <f t="shared" si="100"/>
        <v>13062</v>
      </c>
      <c r="J3142" s="178">
        <f t="shared" si="99"/>
        <v>0</v>
      </c>
      <c r="K3142" s="19"/>
    </row>
    <row r="3143" spans="1:11" x14ac:dyDescent="0.25">
      <c r="A3143" s="51">
        <v>42852</v>
      </c>
      <c r="B3143" s="174" t="s">
        <v>14708</v>
      </c>
      <c r="C3143" s="175"/>
      <c r="D3143" s="176" t="s">
        <v>14708</v>
      </c>
      <c r="E3143" s="176">
        <v>109577</v>
      </c>
      <c r="F3143" s="177" t="s">
        <v>12879</v>
      </c>
      <c r="G3143" s="178">
        <v>2769.6</v>
      </c>
      <c r="H3143" s="184">
        <v>42852</v>
      </c>
      <c r="I3143" s="183">
        <f t="shared" si="100"/>
        <v>2769.6</v>
      </c>
      <c r="J3143" s="178">
        <f t="shared" si="99"/>
        <v>0</v>
      </c>
      <c r="K3143" s="19"/>
    </row>
    <row r="3144" spans="1:11" x14ac:dyDescent="0.25">
      <c r="A3144" s="51">
        <v>42852</v>
      </c>
      <c r="B3144" s="174" t="s">
        <v>14709</v>
      </c>
      <c r="C3144" s="175"/>
      <c r="D3144" s="176" t="s">
        <v>14709</v>
      </c>
      <c r="E3144" s="176">
        <v>109578</v>
      </c>
      <c r="F3144" s="177" t="s">
        <v>43</v>
      </c>
      <c r="G3144" s="178">
        <v>3576</v>
      </c>
      <c r="H3144" s="184">
        <v>42854</v>
      </c>
      <c r="I3144" s="183">
        <f t="shared" si="100"/>
        <v>3576</v>
      </c>
      <c r="J3144" s="178">
        <f t="shared" si="99"/>
        <v>0</v>
      </c>
      <c r="K3144" s="19"/>
    </row>
    <row r="3145" spans="1:11" x14ac:dyDescent="0.25">
      <c r="A3145" s="51">
        <v>42852</v>
      </c>
      <c r="B3145" s="174" t="s">
        <v>14710</v>
      </c>
      <c r="C3145" s="175"/>
      <c r="D3145" s="176" t="s">
        <v>14710</v>
      </c>
      <c r="E3145" s="176">
        <v>109579</v>
      </c>
      <c r="F3145" s="177" t="s">
        <v>250</v>
      </c>
      <c r="G3145" s="178">
        <v>6700.4</v>
      </c>
      <c r="H3145" s="184">
        <v>42853</v>
      </c>
      <c r="I3145" s="183">
        <f t="shared" si="100"/>
        <v>6700.4</v>
      </c>
      <c r="J3145" s="178">
        <f t="shared" si="99"/>
        <v>0</v>
      </c>
      <c r="K3145" s="19"/>
    </row>
    <row r="3146" spans="1:11" x14ac:dyDescent="0.25">
      <c r="A3146" s="51">
        <v>42852</v>
      </c>
      <c r="B3146" s="174" t="s">
        <v>14711</v>
      </c>
      <c r="C3146" s="175"/>
      <c r="D3146" s="176" t="s">
        <v>14711</v>
      </c>
      <c r="E3146" s="176">
        <v>109580</v>
      </c>
      <c r="F3146" s="177" t="s">
        <v>40</v>
      </c>
      <c r="G3146" s="178">
        <v>100.2</v>
      </c>
      <c r="H3146" s="184">
        <v>42853</v>
      </c>
      <c r="I3146" s="183">
        <f t="shared" si="100"/>
        <v>100.2</v>
      </c>
      <c r="J3146" s="178">
        <f t="shared" si="99"/>
        <v>0</v>
      </c>
      <c r="K3146" s="19"/>
    </row>
    <row r="3147" spans="1:11" x14ac:dyDescent="0.25">
      <c r="A3147" s="51">
        <v>42852</v>
      </c>
      <c r="B3147" s="174" t="s">
        <v>14712</v>
      </c>
      <c r="C3147" s="175"/>
      <c r="D3147" s="176" t="s">
        <v>14712</v>
      </c>
      <c r="E3147" s="176">
        <v>109581</v>
      </c>
      <c r="F3147" s="177" t="s">
        <v>236</v>
      </c>
      <c r="G3147" s="178">
        <v>101915.86</v>
      </c>
      <c r="H3147" s="184">
        <v>42854</v>
      </c>
      <c r="I3147" s="183">
        <f t="shared" si="100"/>
        <v>101915.86</v>
      </c>
      <c r="J3147" s="178">
        <f t="shared" si="99"/>
        <v>0</v>
      </c>
      <c r="K3147" s="19"/>
    </row>
    <row r="3148" spans="1:11" x14ac:dyDescent="0.25">
      <c r="A3148" s="51">
        <v>42852</v>
      </c>
      <c r="B3148" s="174" t="s">
        <v>14713</v>
      </c>
      <c r="C3148" s="175"/>
      <c r="D3148" s="176" t="s">
        <v>14713</v>
      </c>
      <c r="E3148" s="176">
        <v>109582</v>
      </c>
      <c r="F3148" s="177" t="s">
        <v>47</v>
      </c>
      <c r="G3148" s="178">
        <v>1957</v>
      </c>
      <c r="H3148" s="184">
        <v>42852</v>
      </c>
      <c r="I3148" s="183">
        <f t="shared" si="100"/>
        <v>1957</v>
      </c>
      <c r="J3148" s="178">
        <f t="shared" si="99"/>
        <v>0</v>
      </c>
      <c r="K3148" s="19"/>
    </row>
    <row r="3149" spans="1:11" x14ac:dyDescent="0.25">
      <c r="A3149" s="51">
        <v>42852</v>
      </c>
      <c r="B3149" s="174" t="s">
        <v>14714</v>
      </c>
      <c r="C3149" s="175"/>
      <c r="D3149" s="176" t="s">
        <v>14714</v>
      </c>
      <c r="E3149" s="176">
        <v>109583</v>
      </c>
      <c r="F3149" s="177" t="s">
        <v>414</v>
      </c>
      <c r="G3149" s="178">
        <v>1468.5</v>
      </c>
      <c r="H3149" s="184">
        <v>42852</v>
      </c>
      <c r="I3149" s="183">
        <f t="shared" si="100"/>
        <v>1468.5</v>
      </c>
      <c r="J3149" s="178">
        <f t="shared" si="99"/>
        <v>0</v>
      </c>
      <c r="K3149" s="19"/>
    </row>
    <row r="3150" spans="1:11" x14ac:dyDescent="0.25">
      <c r="A3150" s="51">
        <v>42852</v>
      </c>
      <c r="B3150" s="174" t="s">
        <v>14715</v>
      </c>
      <c r="C3150" s="175"/>
      <c r="D3150" s="176" t="s">
        <v>14715</v>
      </c>
      <c r="E3150" s="176">
        <v>109584</v>
      </c>
      <c r="F3150" s="177" t="s">
        <v>10</v>
      </c>
      <c r="G3150" s="178">
        <v>48016.75</v>
      </c>
      <c r="H3150" s="184">
        <v>42854</v>
      </c>
      <c r="I3150" s="183">
        <f t="shared" si="100"/>
        <v>48016.75</v>
      </c>
      <c r="J3150" s="178">
        <f t="shared" si="99"/>
        <v>0</v>
      </c>
      <c r="K3150" s="19"/>
    </row>
    <row r="3151" spans="1:11" x14ac:dyDescent="0.25">
      <c r="A3151" s="51">
        <v>42852</v>
      </c>
      <c r="B3151" s="174" t="s">
        <v>14716</v>
      </c>
      <c r="C3151" s="175"/>
      <c r="D3151" s="176" t="s">
        <v>14716</v>
      </c>
      <c r="E3151" s="176">
        <v>109585</v>
      </c>
      <c r="F3151" s="177" t="s">
        <v>428</v>
      </c>
      <c r="G3151" s="178">
        <v>1309.5</v>
      </c>
      <c r="H3151" s="184">
        <v>42853</v>
      </c>
      <c r="I3151" s="183">
        <f t="shared" si="100"/>
        <v>1309.5</v>
      </c>
      <c r="J3151" s="178">
        <f t="shared" si="99"/>
        <v>0</v>
      </c>
      <c r="K3151" s="19"/>
    </row>
    <row r="3152" spans="1:11" x14ac:dyDescent="0.25">
      <c r="A3152" s="51">
        <v>42852</v>
      </c>
      <c r="B3152" s="174" t="s">
        <v>14717</v>
      </c>
      <c r="C3152" s="175"/>
      <c r="D3152" s="176" t="s">
        <v>14717</v>
      </c>
      <c r="E3152" s="176">
        <v>109586</v>
      </c>
      <c r="F3152" s="177" t="s">
        <v>71</v>
      </c>
      <c r="G3152" s="178">
        <v>1681.5</v>
      </c>
      <c r="H3152" s="184">
        <v>42852</v>
      </c>
      <c r="I3152" s="183">
        <f t="shared" si="100"/>
        <v>1681.5</v>
      </c>
      <c r="J3152" s="178">
        <f t="shared" si="99"/>
        <v>0</v>
      </c>
      <c r="K3152" s="19"/>
    </row>
    <row r="3153" spans="1:11" x14ac:dyDescent="0.25">
      <c r="A3153" s="51">
        <v>42852</v>
      </c>
      <c r="B3153" s="174" t="s">
        <v>14718</v>
      </c>
      <c r="C3153" s="175"/>
      <c r="D3153" s="176" t="s">
        <v>14718</v>
      </c>
      <c r="E3153" s="176">
        <v>109587</v>
      </c>
      <c r="F3153" s="177" t="s">
        <v>69</v>
      </c>
      <c r="G3153" s="178">
        <v>3801.2</v>
      </c>
      <c r="H3153" s="184">
        <v>42852</v>
      </c>
      <c r="I3153" s="183">
        <f t="shared" si="100"/>
        <v>3801.2</v>
      </c>
      <c r="J3153" s="178">
        <f t="shared" si="99"/>
        <v>0</v>
      </c>
      <c r="K3153" s="19"/>
    </row>
    <row r="3154" spans="1:11" x14ac:dyDescent="0.25">
      <c r="A3154" s="51">
        <v>42852</v>
      </c>
      <c r="B3154" s="174" t="s">
        <v>14719</v>
      </c>
      <c r="C3154" s="175"/>
      <c r="D3154" s="176" t="s">
        <v>14719</v>
      </c>
      <c r="E3154" s="176">
        <v>109588</v>
      </c>
      <c r="F3154" s="177" t="s">
        <v>21</v>
      </c>
      <c r="G3154" s="178">
        <v>40739.800000000003</v>
      </c>
      <c r="H3154" s="186">
        <v>42866</v>
      </c>
      <c r="I3154" s="187">
        <f t="shared" si="100"/>
        <v>40739.800000000003</v>
      </c>
      <c r="J3154" s="178">
        <f t="shared" si="99"/>
        <v>0</v>
      </c>
      <c r="K3154" s="19"/>
    </row>
    <row r="3155" spans="1:11" x14ac:dyDescent="0.25">
      <c r="A3155" s="51">
        <v>42852</v>
      </c>
      <c r="B3155" s="174" t="s">
        <v>14720</v>
      </c>
      <c r="C3155" s="175"/>
      <c r="D3155" s="176" t="s">
        <v>14720</v>
      </c>
      <c r="E3155" s="176">
        <v>109589</v>
      </c>
      <c r="F3155" s="177" t="s">
        <v>430</v>
      </c>
      <c r="G3155" s="178">
        <v>1775.6</v>
      </c>
      <c r="H3155" s="184">
        <v>42852</v>
      </c>
      <c r="I3155" s="183">
        <f t="shared" si="100"/>
        <v>1775.6</v>
      </c>
      <c r="J3155" s="178">
        <f t="shared" si="99"/>
        <v>0</v>
      </c>
      <c r="K3155" s="19"/>
    </row>
    <row r="3156" spans="1:11" x14ac:dyDescent="0.25">
      <c r="A3156" s="51">
        <v>42852</v>
      </c>
      <c r="B3156" s="174" t="s">
        <v>14721</v>
      </c>
      <c r="C3156" s="175"/>
      <c r="D3156" s="176" t="s">
        <v>14721</v>
      </c>
      <c r="E3156" s="176">
        <v>109590</v>
      </c>
      <c r="F3156" s="177" t="s">
        <v>240</v>
      </c>
      <c r="G3156" s="178">
        <v>5446.1</v>
      </c>
      <c r="H3156" s="184">
        <v>42852</v>
      </c>
      <c r="I3156" s="183">
        <f t="shared" si="100"/>
        <v>5446.1</v>
      </c>
      <c r="J3156" s="178">
        <f t="shared" si="99"/>
        <v>0</v>
      </c>
      <c r="K3156" s="19"/>
    </row>
    <row r="3157" spans="1:11" x14ac:dyDescent="0.25">
      <c r="A3157" s="51">
        <v>42852</v>
      </c>
      <c r="B3157" s="174" t="s">
        <v>14722</v>
      </c>
      <c r="C3157" s="175"/>
      <c r="D3157" s="176" t="s">
        <v>14722</v>
      </c>
      <c r="E3157" s="176">
        <v>109591</v>
      </c>
      <c r="F3157" s="177" t="s">
        <v>302</v>
      </c>
      <c r="G3157" s="178">
        <v>4344.3999999999996</v>
      </c>
      <c r="H3157" s="186">
        <v>42856</v>
      </c>
      <c r="I3157" s="187">
        <f t="shared" si="100"/>
        <v>4344.3999999999996</v>
      </c>
      <c r="J3157" s="178">
        <f t="shared" si="99"/>
        <v>0</v>
      </c>
      <c r="K3157" s="19"/>
    </row>
    <row r="3158" spans="1:11" x14ac:dyDescent="0.25">
      <c r="A3158" s="51">
        <v>42852</v>
      </c>
      <c r="B3158" s="174" t="s">
        <v>14723</v>
      </c>
      <c r="C3158" s="175"/>
      <c r="D3158" s="176" t="s">
        <v>14723</v>
      </c>
      <c r="E3158" s="176">
        <v>109592</v>
      </c>
      <c r="F3158" s="177" t="s">
        <v>79</v>
      </c>
      <c r="G3158" s="178">
        <v>2218.5</v>
      </c>
      <c r="H3158" s="184">
        <v>42852</v>
      </c>
      <c r="I3158" s="183">
        <f t="shared" si="100"/>
        <v>2218.5</v>
      </c>
      <c r="J3158" s="178">
        <f t="shared" si="99"/>
        <v>0</v>
      </c>
      <c r="K3158" s="19"/>
    </row>
    <row r="3159" spans="1:11" x14ac:dyDescent="0.25">
      <c r="A3159" s="51">
        <v>42852</v>
      </c>
      <c r="B3159" s="174" t="s">
        <v>14724</v>
      </c>
      <c r="C3159" s="175"/>
      <c r="D3159" s="176" t="s">
        <v>14724</v>
      </c>
      <c r="E3159" s="176">
        <v>109593</v>
      </c>
      <c r="F3159" s="177" t="s">
        <v>289</v>
      </c>
      <c r="G3159" s="178">
        <v>165656.38</v>
      </c>
      <c r="H3159" s="186">
        <v>42868</v>
      </c>
      <c r="I3159" s="187">
        <f t="shared" si="100"/>
        <v>165656.38</v>
      </c>
      <c r="J3159" s="178">
        <f t="shared" si="99"/>
        <v>0</v>
      </c>
      <c r="K3159" s="19"/>
    </row>
    <row r="3160" spans="1:11" x14ac:dyDescent="0.25">
      <c r="A3160" s="51">
        <v>42852</v>
      </c>
      <c r="B3160" s="174" t="s">
        <v>14725</v>
      </c>
      <c r="C3160" s="175"/>
      <c r="D3160" s="176" t="s">
        <v>14725</v>
      </c>
      <c r="E3160" s="176">
        <v>109594</v>
      </c>
      <c r="F3160" s="177" t="s">
        <v>133</v>
      </c>
      <c r="G3160" s="178">
        <v>6021.4</v>
      </c>
      <c r="H3160" s="184">
        <v>42852</v>
      </c>
      <c r="I3160" s="183">
        <f t="shared" si="100"/>
        <v>6021.4</v>
      </c>
      <c r="J3160" s="178">
        <f t="shared" si="99"/>
        <v>0</v>
      </c>
      <c r="K3160" s="19"/>
    </row>
    <row r="3161" spans="1:11" x14ac:dyDescent="0.25">
      <c r="A3161" s="51">
        <v>42852</v>
      </c>
      <c r="B3161" s="174" t="s">
        <v>14726</v>
      </c>
      <c r="C3161" s="175"/>
      <c r="D3161" s="176" t="s">
        <v>14726</v>
      </c>
      <c r="E3161" s="176">
        <v>109595</v>
      </c>
      <c r="F3161" s="177" t="s">
        <v>151</v>
      </c>
      <c r="G3161" s="178">
        <v>14970.6</v>
      </c>
      <c r="H3161" s="184">
        <v>42852</v>
      </c>
      <c r="I3161" s="183">
        <f t="shared" si="100"/>
        <v>14970.6</v>
      </c>
      <c r="J3161" s="178">
        <f t="shared" si="99"/>
        <v>0</v>
      </c>
      <c r="K3161" s="19"/>
    </row>
    <row r="3162" spans="1:11" x14ac:dyDescent="0.25">
      <c r="A3162" s="51">
        <v>42852</v>
      </c>
      <c r="B3162" s="174" t="s">
        <v>14727</v>
      </c>
      <c r="C3162" s="175"/>
      <c r="D3162" s="176" t="s">
        <v>14727</v>
      </c>
      <c r="E3162" s="176">
        <v>109596</v>
      </c>
      <c r="F3162" s="177" t="s">
        <v>157</v>
      </c>
      <c r="G3162" s="178">
        <v>11678.4</v>
      </c>
      <c r="H3162" s="184">
        <v>42852</v>
      </c>
      <c r="I3162" s="183">
        <f t="shared" si="100"/>
        <v>11678.4</v>
      </c>
      <c r="J3162" s="178">
        <f t="shared" si="99"/>
        <v>0</v>
      </c>
      <c r="K3162" s="19"/>
    </row>
    <row r="3163" spans="1:11" x14ac:dyDescent="0.25">
      <c r="A3163" s="51">
        <v>42852</v>
      </c>
      <c r="B3163" s="174" t="s">
        <v>14728</v>
      </c>
      <c r="C3163" s="175"/>
      <c r="D3163" s="176" t="s">
        <v>14728</v>
      </c>
      <c r="E3163" s="176">
        <v>109597</v>
      </c>
      <c r="F3163" s="177" t="s">
        <v>133</v>
      </c>
      <c r="G3163" s="178">
        <v>19911.099999999999</v>
      </c>
      <c r="H3163" s="186">
        <v>42859</v>
      </c>
      <c r="I3163" s="187">
        <f t="shared" si="100"/>
        <v>19911.099999999999</v>
      </c>
      <c r="J3163" s="178">
        <f t="shared" si="99"/>
        <v>0</v>
      </c>
      <c r="K3163" s="19"/>
    </row>
    <row r="3164" spans="1:11" x14ac:dyDescent="0.25">
      <c r="A3164" s="51">
        <v>42852</v>
      </c>
      <c r="B3164" s="174" t="s">
        <v>14729</v>
      </c>
      <c r="C3164" s="175"/>
      <c r="D3164" s="176" t="s">
        <v>14729</v>
      </c>
      <c r="E3164" s="176">
        <v>109598</v>
      </c>
      <c r="F3164" s="177" t="s">
        <v>1062</v>
      </c>
      <c r="G3164" s="178">
        <v>2450.8000000000002</v>
      </c>
      <c r="H3164" s="184">
        <v>42852</v>
      </c>
      <c r="I3164" s="183">
        <f t="shared" si="100"/>
        <v>2450.8000000000002</v>
      </c>
      <c r="J3164" s="178">
        <f t="shared" si="99"/>
        <v>0</v>
      </c>
      <c r="K3164" s="19"/>
    </row>
    <row r="3165" spans="1:11" x14ac:dyDescent="0.25">
      <c r="A3165" s="51">
        <v>42852</v>
      </c>
      <c r="B3165" s="174" t="s">
        <v>14730</v>
      </c>
      <c r="C3165" s="175"/>
      <c r="D3165" s="176" t="s">
        <v>14730</v>
      </c>
      <c r="E3165" s="176">
        <v>109599</v>
      </c>
      <c r="F3165" s="177" t="s">
        <v>492</v>
      </c>
      <c r="G3165" s="178">
        <v>22765</v>
      </c>
      <c r="H3165" s="186">
        <v>42856</v>
      </c>
      <c r="I3165" s="187">
        <f t="shared" si="100"/>
        <v>22765</v>
      </c>
      <c r="J3165" s="178">
        <f t="shared" si="99"/>
        <v>0</v>
      </c>
      <c r="K3165" s="19"/>
    </row>
    <row r="3166" spans="1:11" x14ac:dyDescent="0.25">
      <c r="A3166" s="51">
        <v>42852</v>
      </c>
      <c r="B3166" s="174" t="s">
        <v>14731</v>
      </c>
      <c r="C3166" s="175"/>
      <c r="D3166" s="176" t="s">
        <v>14731</v>
      </c>
      <c r="E3166" s="176">
        <v>109600</v>
      </c>
      <c r="F3166" s="177" t="s">
        <v>208</v>
      </c>
      <c r="G3166" s="178">
        <v>11242</v>
      </c>
      <c r="H3166" s="184">
        <v>42852</v>
      </c>
      <c r="I3166" s="183">
        <f t="shared" si="100"/>
        <v>11242</v>
      </c>
      <c r="J3166" s="178">
        <f t="shared" si="99"/>
        <v>0</v>
      </c>
      <c r="K3166" s="19"/>
    </row>
    <row r="3167" spans="1:11" x14ac:dyDescent="0.25">
      <c r="A3167" s="51">
        <v>42852</v>
      </c>
      <c r="B3167" s="174" t="s">
        <v>14732</v>
      </c>
      <c r="C3167" s="175"/>
      <c r="D3167" s="176" t="s">
        <v>14732</v>
      </c>
      <c r="E3167" s="176">
        <v>109601</v>
      </c>
      <c r="F3167" s="177" t="s">
        <v>125</v>
      </c>
      <c r="G3167" s="178">
        <v>9996</v>
      </c>
      <c r="H3167" s="184">
        <v>42852</v>
      </c>
      <c r="I3167" s="183">
        <f t="shared" si="100"/>
        <v>9996</v>
      </c>
      <c r="J3167" s="178">
        <f t="shared" si="99"/>
        <v>0</v>
      </c>
      <c r="K3167" s="19"/>
    </row>
    <row r="3168" spans="1:11" x14ac:dyDescent="0.25">
      <c r="A3168" s="51">
        <v>42852</v>
      </c>
      <c r="B3168" s="174" t="s">
        <v>14733</v>
      </c>
      <c r="C3168" s="175"/>
      <c r="D3168" s="176" t="s">
        <v>14733</v>
      </c>
      <c r="E3168" s="176">
        <v>109602</v>
      </c>
      <c r="F3168" s="177" t="s">
        <v>14484</v>
      </c>
      <c r="G3168" s="178">
        <v>2390.8000000000002</v>
      </c>
      <c r="H3168" s="184">
        <v>42852</v>
      </c>
      <c r="I3168" s="183">
        <f t="shared" si="100"/>
        <v>2390.8000000000002</v>
      </c>
      <c r="J3168" s="178">
        <f t="shared" si="99"/>
        <v>0</v>
      </c>
      <c r="K3168" s="19"/>
    </row>
    <row r="3169" spans="1:11" x14ac:dyDescent="0.25">
      <c r="A3169" s="51">
        <v>42852</v>
      </c>
      <c r="B3169" s="174" t="s">
        <v>14734</v>
      </c>
      <c r="C3169" s="175"/>
      <c r="D3169" s="176" t="s">
        <v>14734</v>
      </c>
      <c r="E3169" s="176">
        <v>109603</v>
      </c>
      <c r="F3169" s="177" t="s">
        <v>470</v>
      </c>
      <c r="G3169" s="178">
        <v>1120.2</v>
      </c>
      <c r="H3169" s="184">
        <v>42852</v>
      </c>
      <c r="I3169" s="183">
        <f t="shared" si="100"/>
        <v>1120.2</v>
      </c>
      <c r="J3169" s="178">
        <f t="shared" si="99"/>
        <v>0</v>
      </c>
      <c r="K3169" s="19"/>
    </row>
    <row r="3170" spans="1:11" x14ac:dyDescent="0.25">
      <c r="A3170" s="51">
        <v>42852</v>
      </c>
      <c r="B3170" s="174" t="s">
        <v>14735</v>
      </c>
      <c r="C3170" s="175"/>
      <c r="D3170" s="176" t="s">
        <v>14735</v>
      </c>
      <c r="E3170" s="176">
        <v>109604</v>
      </c>
      <c r="F3170" s="177" t="s">
        <v>131</v>
      </c>
      <c r="G3170" s="178">
        <v>4752</v>
      </c>
      <c r="H3170" s="184">
        <v>42852</v>
      </c>
      <c r="I3170" s="183">
        <f t="shared" si="100"/>
        <v>4752</v>
      </c>
      <c r="J3170" s="178">
        <f t="shared" si="99"/>
        <v>0</v>
      </c>
      <c r="K3170" s="19"/>
    </row>
    <row r="3171" spans="1:11" x14ac:dyDescent="0.25">
      <c r="A3171" s="51">
        <v>42852</v>
      </c>
      <c r="B3171" s="174" t="s">
        <v>14736</v>
      </c>
      <c r="C3171" s="175"/>
      <c r="D3171" s="176" t="s">
        <v>14736</v>
      </c>
      <c r="E3171" s="176">
        <v>109605</v>
      </c>
      <c r="F3171" s="177" t="s">
        <v>773</v>
      </c>
      <c r="G3171" s="178">
        <v>943</v>
      </c>
      <c r="H3171" s="184">
        <v>42852</v>
      </c>
      <c r="I3171" s="183">
        <f t="shared" si="100"/>
        <v>943</v>
      </c>
      <c r="J3171" s="178">
        <f t="shared" si="99"/>
        <v>0</v>
      </c>
      <c r="K3171" s="19"/>
    </row>
    <row r="3172" spans="1:11" x14ac:dyDescent="0.25">
      <c r="A3172" s="51">
        <v>42852</v>
      </c>
      <c r="B3172" s="174" t="s">
        <v>14737</v>
      </c>
      <c r="C3172" s="175"/>
      <c r="D3172" s="176" t="s">
        <v>14737</v>
      </c>
      <c r="E3172" s="176">
        <v>109606</v>
      </c>
      <c r="F3172" s="177" t="s">
        <v>30</v>
      </c>
      <c r="G3172" s="178">
        <v>3211.2</v>
      </c>
      <c r="H3172" s="184">
        <v>42852</v>
      </c>
      <c r="I3172" s="183">
        <f t="shared" si="100"/>
        <v>3211.2</v>
      </c>
      <c r="J3172" s="178">
        <f t="shared" si="99"/>
        <v>0</v>
      </c>
      <c r="K3172" s="19"/>
    </row>
    <row r="3173" spans="1:11" x14ac:dyDescent="0.25">
      <c r="A3173" s="51">
        <v>42852</v>
      </c>
      <c r="B3173" s="174" t="s">
        <v>14738</v>
      </c>
      <c r="C3173" s="175"/>
      <c r="D3173" s="176" t="s">
        <v>14738</v>
      </c>
      <c r="E3173" s="176">
        <v>109607</v>
      </c>
      <c r="F3173" s="177" t="s">
        <v>272</v>
      </c>
      <c r="G3173" s="178">
        <v>3689.2</v>
      </c>
      <c r="H3173" s="184">
        <v>42853</v>
      </c>
      <c r="I3173" s="183">
        <f t="shared" si="100"/>
        <v>3689.2</v>
      </c>
      <c r="J3173" s="178">
        <f t="shared" si="99"/>
        <v>0</v>
      </c>
      <c r="K3173" s="19"/>
    </row>
    <row r="3174" spans="1:11" x14ac:dyDescent="0.25">
      <c r="A3174" s="51">
        <v>42852</v>
      </c>
      <c r="B3174" s="174" t="s">
        <v>14739</v>
      </c>
      <c r="C3174" s="175"/>
      <c r="D3174" s="176" t="s">
        <v>14739</v>
      </c>
      <c r="E3174" s="176">
        <v>109608</v>
      </c>
      <c r="F3174" s="177" t="s">
        <v>270</v>
      </c>
      <c r="G3174" s="178">
        <v>3201.7</v>
      </c>
      <c r="H3174" s="186">
        <v>42858</v>
      </c>
      <c r="I3174" s="187">
        <f t="shared" si="100"/>
        <v>3201.7</v>
      </c>
      <c r="J3174" s="178">
        <f t="shared" si="99"/>
        <v>0</v>
      </c>
      <c r="K3174" s="19"/>
    </row>
    <row r="3175" spans="1:11" x14ac:dyDescent="0.25">
      <c r="A3175" s="51">
        <v>42852</v>
      </c>
      <c r="B3175" s="174" t="s">
        <v>14740</v>
      </c>
      <c r="C3175" s="175"/>
      <c r="D3175" s="176" t="s">
        <v>14740</v>
      </c>
      <c r="E3175" s="176">
        <v>109609</v>
      </c>
      <c r="F3175" s="177" t="s">
        <v>268</v>
      </c>
      <c r="G3175" s="178">
        <v>15638.1</v>
      </c>
      <c r="H3175" s="186">
        <v>42858</v>
      </c>
      <c r="I3175" s="187">
        <f t="shared" si="100"/>
        <v>15638.1</v>
      </c>
      <c r="J3175" s="178">
        <f t="shared" si="99"/>
        <v>0</v>
      </c>
      <c r="K3175" s="19"/>
    </row>
    <row r="3176" spans="1:11" x14ac:dyDescent="0.25">
      <c r="A3176" s="51">
        <v>42852</v>
      </c>
      <c r="B3176" s="174" t="s">
        <v>14741</v>
      </c>
      <c r="C3176" s="175"/>
      <c r="D3176" s="176" t="s">
        <v>14741</v>
      </c>
      <c r="E3176" s="176">
        <v>109610</v>
      </c>
      <c r="F3176" s="177" t="s">
        <v>30</v>
      </c>
      <c r="G3176" s="178">
        <v>1453.5</v>
      </c>
      <c r="H3176" s="184">
        <v>42852</v>
      </c>
      <c r="I3176" s="183">
        <f t="shared" si="100"/>
        <v>1453.5</v>
      </c>
      <c r="J3176" s="178">
        <f t="shared" si="99"/>
        <v>0</v>
      </c>
      <c r="K3176" s="19"/>
    </row>
    <row r="3177" spans="1:11" x14ac:dyDescent="0.25">
      <c r="A3177" s="51">
        <v>42852</v>
      </c>
      <c r="B3177" s="174" t="s">
        <v>14742</v>
      </c>
      <c r="C3177" s="175"/>
      <c r="D3177" s="176" t="s">
        <v>14742</v>
      </c>
      <c r="E3177" s="176">
        <v>109611</v>
      </c>
      <c r="F3177" s="177" t="s">
        <v>120</v>
      </c>
      <c r="G3177" s="178">
        <v>1643.6</v>
      </c>
      <c r="H3177" s="184">
        <v>42852</v>
      </c>
      <c r="I3177" s="183">
        <f t="shared" si="100"/>
        <v>1643.6</v>
      </c>
      <c r="J3177" s="178">
        <f t="shared" si="99"/>
        <v>0</v>
      </c>
      <c r="K3177" s="19"/>
    </row>
    <row r="3178" spans="1:11" x14ac:dyDescent="0.25">
      <c r="A3178" s="51">
        <v>42852</v>
      </c>
      <c r="B3178" s="174" t="s">
        <v>14743</v>
      </c>
      <c r="C3178" s="175"/>
      <c r="D3178" s="176" t="s">
        <v>14743</v>
      </c>
      <c r="E3178" s="176">
        <v>109612</v>
      </c>
      <c r="F3178" s="177" t="s">
        <v>590</v>
      </c>
      <c r="G3178" s="178">
        <v>8113.3</v>
      </c>
      <c r="H3178" s="184">
        <v>42853</v>
      </c>
      <c r="I3178" s="183">
        <f t="shared" si="100"/>
        <v>8113.3</v>
      </c>
      <c r="J3178" s="178">
        <f t="shared" si="99"/>
        <v>0</v>
      </c>
      <c r="K3178" s="19"/>
    </row>
    <row r="3179" spans="1:11" x14ac:dyDescent="0.25">
      <c r="A3179" s="51">
        <v>42852</v>
      </c>
      <c r="B3179" s="174" t="s">
        <v>14744</v>
      </c>
      <c r="C3179" s="175"/>
      <c r="D3179" s="176" t="s">
        <v>14744</v>
      </c>
      <c r="E3179" s="176">
        <v>109613</v>
      </c>
      <c r="F3179" s="177" t="s">
        <v>468</v>
      </c>
      <c r="G3179" s="178">
        <v>15477.6</v>
      </c>
      <c r="H3179" s="186">
        <v>42863</v>
      </c>
      <c r="I3179" s="187">
        <f t="shared" si="100"/>
        <v>15477.6</v>
      </c>
      <c r="J3179" s="178">
        <f t="shared" si="99"/>
        <v>0</v>
      </c>
      <c r="K3179" s="19"/>
    </row>
    <row r="3180" spans="1:11" x14ac:dyDescent="0.25">
      <c r="A3180" s="51">
        <v>42852</v>
      </c>
      <c r="B3180" s="174" t="s">
        <v>14745</v>
      </c>
      <c r="C3180" s="175"/>
      <c r="D3180" s="176" t="s">
        <v>14745</v>
      </c>
      <c r="E3180" s="176">
        <v>109614</v>
      </c>
      <c r="F3180" s="177" t="s">
        <v>1116</v>
      </c>
      <c r="G3180" s="178">
        <v>4255.3999999999996</v>
      </c>
      <c r="H3180" s="184">
        <v>42853</v>
      </c>
      <c r="I3180" s="183">
        <f t="shared" si="100"/>
        <v>4255.3999999999996</v>
      </c>
      <c r="J3180" s="178">
        <f t="shared" si="99"/>
        <v>0</v>
      </c>
      <c r="K3180" s="19"/>
    </row>
    <row r="3181" spans="1:11" x14ac:dyDescent="0.25">
      <c r="A3181" s="51">
        <v>42852</v>
      </c>
      <c r="B3181" s="174" t="s">
        <v>14746</v>
      </c>
      <c r="C3181" s="175"/>
      <c r="D3181" s="176" t="s">
        <v>14746</v>
      </c>
      <c r="E3181" s="176">
        <v>109615</v>
      </c>
      <c r="F3181" s="177" t="s">
        <v>10</v>
      </c>
      <c r="G3181" s="178">
        <v>378094.18</v>
      </c>
      <c r="H3181" s="184">
        <v>42854</v>
      </c>
      <c r="I3181" s="183">
        <f>105601.47+272492.71</f>
        <v>378094.18000000005</v>
      </c>
      <c r="J3181" s="178">
        <f t="shared" si="99"/>
        <v>0</v>
      </c>
      <c r="K3181" s="19"/>
    </row>
    <row r="3182" spans="1:11" x14ac:dyDescent="0.25">
      <c r="A3182" s="51">
        <v>42852</v>
      </c>
      <c r="B3182" s="174" t="s">
        <v>14747</v>
      </c>
      <c r="C3182" s="175"/>
      <c r="D3182" s="176" t="s">
        <v>14747</v>
      </c>
      <c r="E3182" s="176">
        <v>109616</v>
      </c>
      <c r="F3182" s="177" t="s">
        <v>321</v>
      </c>
      <c r="G3182" s="178">
        <v>364</v>
      </c>
      <c r="H3182" s="184">
        <v>42852</v>
      </c>
      <c r="I3182" s="183">
        <f t="shared" si="100"/>
        <v>364</v>
      </c>
      <c r="J3182" s="178">
        <f t="shared" si="99"/>
        <v>0</v>
      </c>
      <c r="K3182" s="19"/>
    </row>
    <row r="3183" spans="1:11" x14ac:dyDescent="0.25">
      <c r="A3183" s="51">
        <v>42852</v>
      </c>
      <c r="B3183" s="174" t="s">
        <v>14748</v>
      </c>
      <c r="C3183" s="175"/>
      <c r="D3183" s="176" t="s">
        <v>14748</v>
      </c>
      <c r="E3183" s="176">
        <v>109617</v>
      </c>
      <c r="F3183" s="177" t="s">
        <v>1081</v>
      </c>
      <c r="G3183" s="178">
        <v>5941.8</v>
      </c>
      <c r="H3183" s="184">
        <v>42853</v>
      </c>
      <c r="I3183" s="183">
        <f t="shared" si="100"/>
        <v>5941.8</v>
      </c>
      <c r="J3183" s="178">
        <f t="shared" si="99"/>
        <v>0</v>
      </c>
      <c r="K3183" s="19"/>
    </row>
    <row r="3184" spans="1:11" x14ac:dyDescent="0.25">
      <c r="A3184" s="51">
        <v>42852</v>
      </c>
      <c r="B3184" s="174" t="s">
        <v>14749</v>
      </c>
      <c r="C3184" s="175"/>
      <c r="D3184" s="176" t="s">
        <v>14749</v>
      </c>
      <c r="E3184" s="176">
        <v>109618</v>
      </c>
      <c r="F3184" s="177" t="s">
        <v>99</v>
      </c>
      <c r="G3184" s="178">
        <v>2475</v>
      </c>
      <c r="H3184" s="184">
        <v>42853</v>
      </c>
      <c r="I3184" s="183">
        <f t="shared" si="100"/>
        <v>2475</v>
      </c>
      <c r="J3184" s="178">
        <f t="shared" si="99"/>
        <v>0</v>
      </c>
      <c r="K3184" s="19"/>
    </row>
    <row r="3185" spans="1:11" x14ac:dyDescent="0.25">
      <c r="A3185" s="51">
        <v>42852</v>
      </c>
      <c r="B3185" s="174" t="s">
        <v>14750</v>
      </c>
      <c r="C3185" s="175"/>
      <c r="D3185" s="176" t="s">
        <v>14750</v>
      </c>
      <c r="E3185" s="176">
        <v>109619</v>
      </c>
      <c r="F3185" s="177" t="s">
        <v>281</v>
      </c>
      <c r="G3185" s="178">
        <v>813.4</v>
      </c>
      <c r="H3185" s="184">
        <v>42853</v>
      </c>
      <c r="I3185" s="183">
        <f t="shared" si="100"/>
        <v>813.4</v>
      </c>
      <c r="J3185" s="178">
        <f t="shared" si="99"/>
        <v>0</v>
      </c>
      <c r="K3185" s="19"/>
    </row>
    <row r="3186" spans="1:11" x14ac:dyDescent="0.25">
      <c r="A3186" s="51">
        <v>42852</v>
      </c>
      <c r="B3186" s="174" t="s">
        <v>14751</v>
      </c>
      <c r="C3186" s="175"/>
      <c r="D3186" s="176" t="s">
        <v>14751</v>
      </c>
      <c r="E3186" s="176">
        <v>109620</v>
      </c>
      <c r="F3186" s="177" t="s">
        <v>613</v>
      </c>
      <c r="G3186" s="178">
        <v>4692</v>
      </c>
      <c r="H3186" s="184">
        <v>42853</v>
      </c>
      <c r="I3186" s="183">
        <f t="shared" si="100"/>
        <v>4692</v>
      </c>
      <c r="J3186" s="178">
        <f t="shared" si="99"/>
        <v>0</v>
      </c>
      <c r="K3186" s="19"/>
    </row>
    <row r="3187" spans="1:11" x14ac:dyDescent="0.25">
      <c r="A3187" s="51">
        <v>42852</v>
      </c>
      <c r="B3187" s="174" t="s">
        <v>14752</v>
      </c>
      <c r="C3187" s="175"/>
      <c r="D3187" s="176" t="s">
        <v>14752</v>
      </c>
      <c r="E3187" s="176">
        <v>109621</v>
      </c>
      <c r="F3187" s="177" t="s">
        <v>83</v>
      </c>
      <c r="G3187" s="178">
        <v>4126.2</v>
      </c>
      <c r="H3187" s="184">
        <v>42853</v>
      </c>
      <c r="I3187" s="183">
        <f t="shared" si="100"/>
        <v>4126.2</v>
      </c>
      <c r="J3187" s="178">
        <f t="shared" si="99"/>
        <v>0</v>
      </c>
      <c r="K3187" s="19"/>
    </row>
    <row r="3188" spans="1:11" x14ac:dyDescent="0.25">
      <c r="A3188" s="51">
        <v>42852</v>
      </c>
      <c r="B3188" s="174" t="s">
        <v>14753</v>
      </c>
      <c r="C3188" s="175"/>
      <c r="D3188" s="176" t="s">
        <v>14753</v>
      </c>
      <c r="E3188" s="176">
        <v>109622</v>
      </c>
      <c r="F3188" s="177" t="s">
        <v>329</v>
      </c>
      <c r="G3188" s="178">
        <v>365.8</v>
      </c>
      <c r="H3188" s="184">
        <v>42852</v>
      </c>
      <c r="I3188" s="183">
        <f t="shared" si="100"/>
        <v>365.8</v>
      </c>
      <c r="J3188" s="178">
        <f t="shared" si="99"/>
        <v>0</v>
      </c>
      <c r="K3188" s="19"/>
    </row>
    <row r="3189" spans="1:11" x14ac:dyDescent="0.25">
      <c r="A3189" s="51">
        <v>42852</v>
      </c>
      <c r="B3189" s="174" t="s">
        <v>14754</v>
      </c>
      <c r="C3189" s="175"/>
      <c r="D3189" s="176" t="s">
        <v>14754</v>
      </c>
      <c r="E3189" s="176">
        <v>109623</v>
      </c>
      <c r="F3189" s="177" t="s">
        <v>445</v>
      </c>
      <c r="G3189" s="178">
        <v>2916</v>
      </c>
      <c r="H3189" s="184">
        <v>42853</v>
      </c>
      <c r="I3189" s="183">
        <f t="shared" si="100"/>
        <v>2916</v>
      </c>
      <c r="J3189" s="178">
        <f t="shared" si="99"/>
        <v>0</v>
      </c>
      <c r="K3189" s="19"/>
    </row>
    <row r="3190" spans="1:11" x14ac:dyDescent="0.25">
      <c r="A3190" s="51">
        <v>42852</v>
      </c>
      <c r="B3190" s="174" t="s">
        <v>14755</v>
      </c>
      <c r="C3190" s="175"/>
      <c r="D3190" s="176" t="s">
        <v>14755</v>
      </c>
      <c r="E3190" s="176">
        <v>109624</v>
      </c>
      <c r="F3190" s="177" t="s">
        <v>109</v>
      </c>
      <c r="G3190" s="178">
        <v>4751.7</v>
      </c>
      <c r="H3190" s="184">
        <v>42853</v>
      </c>
      <c r="I3190" s="183">
        <f t="shared" si="100"/>
        <v>4751.7</v>
      </c>
      <c r="J3190" s="178">
        <f t="shared" si="99"/>
        <v>0</v>
      </c>
      <c r="K3190" s="19"/>
    </row>
    <row r="3191" spans="1:11" x14ac:dyDescent="0.25">
      <c r="A3191" s="51">
        <v>42852</v>
      </c>
      <c r="B3191" s="174" t="s">
        <v>14756</v>
      </c>
      <c r="C3191" s="175"/>
      <c r="D3191" s="176" t="s">
        <v>14756</v>
      </c>
      <c r="E3191" s="176">
        <v>109625</v>
      </c>
      <c r="F3191" s="177" t="s">
        <v>1259</v>
      </c>
      <c r="G3191" s="178">
        <v>1456.4</v>
      </c>
      <c r="H3191" s="184">
        <v>42853</v>
      </c>
      <c r="I3191" s="183">
        <f t="shared" si="100"/>
        <v>1456.4</v>
      </c>
      <c r="J3191" s="178">
        <f t="shared" si="99"/>
        <v>0</v>
      </c>
      <c r="K3191" s="19"/>
    </row>
    <row r="3192" spans="1:11" x14ac:dyDescent="0.25">
      <c r="A3192" s="51">
        <v>42852</v>
      </c>
      <c r="B3192" s="174" t="s">
        <v>14757</v>
      </c>
      <c r="C3192" s="175"/>
      <c r="D3192" s="176" t="s">
        <v>14757</v>
      </c>
      <c r="E3192" s="176">
        <v>109626</v>
      </c>
      <c r="F3192" s="177" t="s">
        <v>88</v>
      </c>
      <c r="G3192" s="178">
        <v>5935.6</v>
      </c>
      <c r="H3192" s="184">
        <v>42853</v>
      </c>
      <c r="I3192" s="183">
        <f t="shared" si="100"/>
        <v>5935.6</v>
      </c>
      <c r="J3192" s="178">
        <f t="shared" si="99"/>
        <v>0</v>
      </c>
      <c r="K3192" s="19"/>
    </row>
    <row r="3193" spans="1:11" x14ac:dyDescent="0.25">
      <c r="A3193" s="51">
        <v>42852</v>
      </c>
      <c r="B3193" s="174" t="s">
        <v>14758</v>
      </c>
      <c r="C3193" s="175"/>
      <c r="D3193" s="176" t="s">
        <v>14758</v>
      </c>
      <c r="E3193" s="176">
        <v>109627</v>
      </c>
      <c r="F3193" s="177" t="s">
        <v>10</v>
      </c>
      <c r="G3193" s="178">
        <v>29572.9</v>
      </c>
      <c r="H3193" s="184">
        <v>42854</v>
      </c>
      <c r="I3193" s="183">
        <f t="shared" si="100"/>
        <v>29572.9</v>
      </c>
      <c r="J3193" s="178">
        <f t="shared" si="99"/>
        <v>0</v>
      </c>
      <c r="K3193" s="19"/>
    </row>
    <row r="3194" spans="1:11" x14ac:dyDescent="0.25">
      <c r="A3194" s="51">
        <v>42852</v>
      </c>
      <c r="B3194" s="174" t="s">
        <v>14759</v>
      </c>
      <c r="C3194" s="175"/>
      <c r="D3194" s="176" t="s">
        <v>14759</v>
      </c>
      <c r="E3194" s="176">
        <v>109628</v>
      </c>
      <c r="F3194" s="177" t="s">
        <v>448</v>
      </c>
      <c r="G3194" s="178">
        <v>588.6</v>
      </c>
      <c r="H3194" s="184">
        <v>42853</v>
      </c>
      <c r="I3194" s="183">
        <f t="shared" si="100"/>
        <v>588.6</v>
      </c>
      <c r="J3194" s="178">
        <f t="shared" si="99"/>
        <v>0</v>
      </c>
      <c r="K3194" s="19"/>
    </row>
    <row r="3195" spans="1:11" x14ac:dyDescent="0.25">
      <c r="A3195" s="51">
        <v>42852</v>
      </c>
      <c r="B3195" s="174" t="s">
        <v>14760</v>
      </c>
      <c r="C3195" s="175"/>
      <c r="D3195" s="176" t="s">
        <v>14760</v>
      </c>
      <c r="E3195" s="176">
        <v>109629</v>
      </c>
      <c r="F3195" s="177" t="s">
        <v>305</v>
      </c>
      <c r="G3195" s="178">
        <v>6440.3</v>
      </c>
      <c r="H3195" s="186">
        <v>42856</v>
      </c>
      <c r="I3195" s="187">
        <f t="shared" si="100"/>
        <v>6440.3</v>
      </c>
      <c r="J3195" s="178">
        <f t="shared" si="99"/>
        <v>0</v>
      </c>
      <c r="K3195" s="19"/>
    </row>
    <row r="3196" spans="1:11" x14ac:dyDescent="0.25">
      <c r="A3196" s="51">
        <v>42852</v>
      </c>
      <c r="B3196" s="174" t="s">
        <v>14761</v>
      </c>
      <c r="C3196" s="175"/>
      <c r="D3196" s="176" t="s">
        <v>14761</v>
      </c>
      <c r="E3196" s="176">
        <v>109630</v>
      </c>
      <c r="F3196" s="177" t="s">
        <v>476</v>
      </c>
      <c r="G3196" s="178">
        <v>12016.5</v>
      </c>
      <c r="H3196" s="184">
        <v>42853</v>
      </c>
      <c r="I3196" s="183">
        <f t="shared" si="100"/>
        <v>12016.5</v>
      </c>
      <c r="J3196" s="178">
        <f t="shared" si="99"/>
        <v>0</v>
      </c>
      <c r="K3196" s="19"/>
    </row>
    <row r="3197" spans="1:11" x14ac:dyDescent="0.25">
      <c r="A3197" s="51">
        <v>42852</v>
      </c>
      <c r="B3197" s="174" t="s">
        <v>14762</v>
      </c>
      <c r="C3197" s="175"/>
      <c r="D3197" s="176" t="s">
        <v>14762</v>
      </c>
      <c r="E3197" s="176">
        <v>109631</v>
      </c>
      <c r="F3197" s="177" t="s">
        <v>115</v>
      </c>
      <c r="G3197" s="178">
        <v>492</v>
      </c>
      <c r="H3197" s="184">
        <v>42852</v>
      </c>
      <c r="I3197" s="183">
        <f t="shared" si="100"/>
        <v>492</v>
      </c>
      <c r="J3197" s="178">
        <f t="shared" si="99"/>
        <v>0</v>
      </c>
      <c r="K3197" s="19"/>
    </row>
    <row r="3198" spans="1:11" x14ac:dyDescent="0.25">
      <c r="A3198" s="51">
        <v>42852</v>
      </c>
      <c r="B3198" s="174" t="s">
        <v>14763</v>
      </c>
      <c r="C3198" s="175"/>
      <c r="D3198" s="176" t="s">
        <v>14763</v>
      </c>
      <c r="E3198" s="176">
        <v>109632</v>
      </c>
      <c r="F3198" s="177" t="s">
        <v>1989</v>
      </c>
      <c r="G3198" s="178">
        <v>966.6</v>
      </c>
      <c r="H3198" s="184">
        <v>42853</v>
      </c>
      <c r="I3198" s="183">
        <f t="shared" si="100"/>
        <v>966.6</v>
      </c>
      <c r="J3198" s="178">
        <f t="shared" si="99"/>
        <v>0</v>
      </c>
      <c r="K3198" s="19"/>
    </row>
    <row r="3199" spans="1:11" x14ac:dyDescent="0.25">
      <c r="A3199" s="51">
        <v>42852</v>
      </c>
      <c r="B3199" s="174" t="s">
        <v>14764</v>
      </c>
      <c r="C3199" s="175"/>
      <c r="D3199" s="176" t="s">
        <v>14764</v>
      </c>
      <c r="E3199" s="176">
        <v>109633</v>
      </c>
      <c r="F3199" s="177" t="s">
        <v>5292</v>
      </c>
      <c r="G3199" s="178">
        <v>12933</v>
      </c>
      <c r="H3199" s="184">
        <v>42853</v>
      </c>
      <c r="I3199" s="183">
        <f t="shared" si="100"/>
        <v>12933</v>
      </c>
      <c r="J3199" s="178">
        <f t="shared" si="99"/>
        <v>0</v>
      </c>
      <c r="K3199" s="19"/>
    </row>
    <row r="3200" spans="1:11" x14ac:dyDescent="0.25">
      <c r="A3200" s="51">
        <v>42852</v>
      </c>
      <c r="B3200" s="174" t="s">
        <v>14765</v>
      </c>
      <c r="C3200" s="175"/>
      <c r="D3200" s="176" t="s">
        <v>14765</v>
      </c>
      <c r="E3200" s="176">
        <v>109634</v>
      </c>
      <c r="F3200" s="177" t="s">
        <v>45</v>
      </c>
      <c r="G3200" s="178">
        <v>806.4</v>
      </c>
      <c r="H3200" s="184">
        <v>42853</v>
      </c>
      <c r="I3200" s="183">
        <f t="shared" si="100"/>
        <v>806.4</v>
      </c>
      <c r="J3200" s="178">
        <f t="shared" si="99"/>
        <v>0</v>
      </c>
      <c r="K3200" s="19"/>
    </row>
    <row r="3201" spans="1:11" x14ac:dyDescent="0.25">
      <c r="A3201" s="51">
        <v>42852</v>
      </c>
      <c r="B3201" s="174" t="s">
        <v>14766</v>
      </c>
      <c r="C3201" s="175"/>
      <c r="D3201" s="176" t="s">
        <v>14766</v>
      </c>
      <c r="E3201" s="176">
        <v>109635</v>
      </c>
      <c r="F3201" s="177" t="s">
        <v>61</v>
      </c>
      <c r="G3201" s="178">
        <v>3086.6</v>
      </c>
      <c r="H3201" s="184">
        <v>42853</v>
      </c>
      <c r="I3201" s="183">
        <f t="shared" si="100"/>
        <v>3086.6</v>
      </c>
      <c r="J3201" s="178">
        <f t="shared" si="99"/>
        <v>0</v>
      </c>
      <c r="K3201" s="19"/>
    </row>
    <row r="3202" spans="1:11" x14ac:dyDescent="0.25">
      <c r="A3202" s="51">
        <v>42852</v>
      </c>
      <c r="B3202" s="174" t="s">
        <v>14767</v>
      </c>
      <c r="C3202" s="175"/>
      <c r="D3202" s="176" t="s">
        <v>14767</v>
      </c>
      <c r="E3202" s="176">
        <v>109636</v>
      </c>
      <c r="F3202" s="177" t="s">
        <v>331</v>
      </c>
      <c r="G3202" s="178">
        <v>2330.8000000000002</v>
      </c>
      <c r="H3202" s="184">
        <v>42853</v>
      </c>
      <c r="I3202" s="183">
        <f t="shared" si="100"/>
        <v>2330.8000000000002</v>
      </c>
      <c r="J3202" s="178">
        <f t="shared" si="99"/>
        <v>0</v>
      </c>
      <c r="K3202" s="19"/>
    </row>
    <row r="3203" spans="1:11" x14ac:dyDescent="0.25">
      <c r="A3203" s="51">
        <v>42852</v>
      </c>
      <c r="B3203" s="174" t="s">
        <v>14768</v>
      </c>
      <c r="C3203" s="175"/>
      <c r="D3203" s="176" t="s">
        <v>14768</v>
      </c>
      <c r="E3203" s="176">
        <v>109637</v>
      </c>
      <c r="F3203" s="177" t="s">
        <v>57</v>
      </c>
      <c r="G3203" s="178">
        <v>639</v>
      </c>
      <c r="H3203" s="184">
        <v>42853</v>
      </c>
      <c r="I3203" s="183">
        <f t="shared" si="100"/>
        <v>639</v>
      </c>
      <c r="J3203" s="178">
        <f t="shared" si="99"/>
        <v>0</v>
      </c>
      <c r="K3203" s="19"/>
    </row>
    <row r="3204" spans="1:11" x14ac:dyDescent="0.25">
      <c r="A3204" s="51">
        <v>42852</v>
      </c>
      <c r="B3204" s="174" t="s">
        <v>14769</v>
      </c>
      <c r="C3204" s="175"/>
      <c r="D3204" s="176" t="s">
        <v>14769</v>
      </c>
      <c r="E3204" s="176">
        <v>109638</v>
      </c>
      <c r="F3204" s="177" t="s">
        <v>63</v>
      </c>
      <c r="G3204" s="178">
        <v>1238.8</v>
      </c>
      <c r="H3204" s="184">
        <v>42853</v>
      </c>
      <c r="I3204" s="183">
        <f t="shared" si="100"/>
        <v>1238.8</v>
      </c>
      <c r="J3204" s="178">
        <f t="shared" ref="J3204:J3267" si="101">G3204-I3204</f>
        <v>0</v>
      </c>
      <c r="K3204" s="19"/>
    </row>
    <row r="3205" spans="1:11" x14ac:dyDescent="0.25">
      <c r="A3205" s="51">
        <v>42852</v>
      </c>
      <c r="B3205" s="174" t="s">
        <v>14770</v>
      </c>
      <c r="C3205" s="175"/>
      <c r="D3205" s="176" t="s">
        <v>14770</v>
      </c>
      <c r="E3205" s="176">
        <v>109639</v>
      </c>
      <c r="F3205" s="177" t="s">
        <v>544</v>
      </c>
      <c r="G3205" s="178">
        <v>2769</v>
      </c>
      <c r="H3205" s="184">
        <v>42853</v>
      </c>
      <c r="I3205" s="183">
        <f t="shared" ref="I3205:I3268" si="102">G3205</f>
        <v>2769</v>
      </c>
      <c r="J3205" s="178">
        <f t="shared" si="101"/>
        <v>0</v>
      </c>
      <c r="K3205" s="19"/>
    </row>
    <row r="3206" spans="1:11" x14ac:dyDescent="0.25">
      <c r="A3206" s="51">
        <v>42852</v>
      </c>
      <c r="B3206" s="174" t="s">
        <v>14771</v>
      </c>
      <c r="C3206" s="175"/>
      <c r="D3206" s="176" t="s">
        <v>14771</v>
      </c>
      <c r="E3206" s="176">
        <v>109640</v>
      </c>
      <c r="F3206" s="177" t="s">
        <v>4930</v>
      </c>
      <c r="G3206" s="178">
        <v>4402.2</v>
      </c>
      <c r="H3206" s="184">
        <v>42853</v>
      </c>
      <c r="I3206" s="183">
        <f t="shared" si="102"/>
        <v>4402.2</v>
      </c>
      <c r="J3206" s="178">
        <f t="shared" si="101"/>
        <v>0</v>
      </c>
      <c r="K3206" s="19"/>
    </row>
    <row r="3207" spans="1:11" x14ac:dyDescent="0.25">
      <c r="A3207" s="51">
        <v>42852</v>
      </c>
      <c r="B3207" s="174" t="s">
        <v>14772</v>
      </c>
      <c r="C3207" s="175"/>
      <c r="D3207" s="176" t="s">
        <v>14772</v>
      </c>
      <c r="E3207" s="176">
        <v>109641</v>
      </c>
      <c r="F3207" s="177" t="s">
        <v>335</v>
      </c>
      <c r="G3207" s="178">
        <v>1320.1</v>
      </c>
      <c r="H3207" s="186">
        <v>42859</v>
      </c>
      <c r="I3207" s="187">
        <f t="shared" si="102"/>
        <v>1320.1</v>
      </c>
      <c r="J3207" s="178">
        <f t="shared" si="101"/>
        <v>0</v>
      </c>
      <c r="K3207" s="19"/>
    </row>
    <row r="3208" spans="1:11" x14ac:dyDescent="0.25">
      <c r="A3208" s="51">
        <v>42852</v>
      </c>
      <c r="B3208" s="174" t="s">
        <v>14773</v>
      </c>
      <c r="C3208" s="175"/>
      <c r="D3208" s="176" t="s">
        <v>14773</v>
      </c>
      <c r="E3208" s="176">
        <v>109642</v>
      </c>
      <c r="F3208" s="177" t="s">
        <v>186</v>
      </c>
      <c r="G3208" s="178">
        <v>1097.2</v>
      </c>
      <c r="H3208" s="184">
        <v>42854</v>
      </c>
      <c r="I3208" s="183">
        <f t="shared" si="102"/>
        <v>1097.2</v>
      </c>
      <c r="J3208" s="178">
        <f t="shared" si="101"/>
        <v>0</v>
      </c>
      <c r="K3208" s="19"/>
    </row>
    <row r="3209" spans="1:11" x14ac:dyDescent="0.25">
      <c r="A3209" s="51">
        <v>42852</v>
      </c>
      <c r="B3209" s="174" t="s">
        <v>14774</v>
      </c>
      <c r="C3209" s="175"/>
      <c r="D3209" s="176" t="s">
        <v>14774</v>
      </c>
      <c r="E3209" s="176">
        <v>109643</v>
      </c>
      <c r="F3209" s="177" t="s">
        <v>184</v>
      </c>
      <c r="G3209" s="178">
        <v>3361.2</v>
      </c>
      <c r="H3209" s="186">
        <v>42856</v>
      </c>
      <c r="I3209" s="187">
        <f t="shared" si="102"/>
        <v>3361.2</v>
      </c>
      <c r="J3209" s="178">
        <f t="shared" si="101"/>
        <v>0</v>
      </c>
      <c r="K3209" s="19"/>
    </row>
    <row r="3210" spans="1:11" x14ac:dyDescent="0.25">
      <c r="A3210" s="51">
        <v>42852</v>
      </c>
      <c r="B3210" s="174" t="s">
        <v>14775</v>
      </c>
      <c r="C3210" s="175"/>
      <c r="D3210" s="176" t="s">
        <v>14775</v>
      </c>
      <c r="E3210" s="176">
        <v>109644</v>
      </c>
      <c r="F3210" s="177" t="s">
        <v>30</v>
      </c>
      <c r="G3210" s="178">
        <v>730.4</v>
      </c>
      <c r="H3210" s="184">
        <v>42853</v>
      </c>
      <c r="I3210" s="183">
        <f t="shared" si="102"/>
        <v>730.4</v>
      </c>
      <c r="J3210" s="178">
        <f t="shared" si="101"/>
        <v>0</v>
      </c>
      <c r="K3210" s="19"/>
    </row>
    <row r="3211" spans="1:11" x14ac:dyDescent="0.25">
      <c r="A3211" s="51">
        <v>42852</v>
      </c>
      <c r="B3211" s="174" t="s">
        <v>14776</v>
      </c>
      <c r="C3211" s="175"/>
      <c r="D3211" s="176" t="s">
        <v>14776</v>
      </c>
      <c r="E3211" s="176">
        <v>109645</v>
      </c>
      <c r="F3211" s="177" t="s">
        <v>10</v>
      </c>
      <c r="G3211" s="178">
        <v>2804.8</v>
      </c>
      <c r="H3211" s="184">
        <v>42854</v>
      </c>
      <c r="I3211" s="183">
        <f t="shared" si="102"/>
        <v>2804.8</v>
      </c>
      <c r="J3211" s="178">
        <f t="shared" si="101"/>
        <v>0</v>
      </c>
      <c r="K3211" s="19"/>
    </row>
    <row r="3212" spans="1:11" x14ac:dyDescent="0.25">
      <c r="A3212" s="51">
        <v>42852</v>
      </c>
      <c r="B3212" s="174" t="s">
        <v>14777</v>
      </c>
      <c r="C3212" s="175"/>
      <c r="D3212" s="176" t="s">
        <v>14777</v>
      </c>
      <c r="E3212" s="176">
        <v>109646</v>
      </c>
      <c r="F3212" s="177" t="s">
        <v>193</v>
      </c>
      <c r="G3212" s="178">
        <v>2609.1999999999998</v>
      </c>
      <c r="H3212" s="184">
        <v>42853</v>
      </c>
      <c r="I3212" s="183">
        <f t="shared" si="102"/>
        <v>2609.1999999999998</v>
      </c>
      <c r="J3212" s="178">
        <f t="shared" si="101"/>
        <v>0</v>
      </c>
      <c r="K3212" s="19"/>
    </row>
    <row r="3213" spans="1:11" x14ac:dyDescent="0.25">
      <c r="A3213" s="51">
        <v>42852</v>
      </c>
      <c r="B3213" s="174" t="s">
        <v>14778</v>
      </c>
      <c r="C3213" s="175"/>
      <c r="D3213" s="176" t="s">
        <v>14778</v>
      </c>
      <c r="E3213" s="176">
        <v>109647</v>
      </c>
      <c r="F3213" s="177" t="s">
        <v>182</v>
      </c>
      <c r="G3213" s="178">
        <v>2250</v>
      </c>
      <c r="H3213" s="184">
        <v>42853</v>
      </c>
      <c r="I3213" s="183">
        <f t="shared" si="102"/>
        <v>2250</v>
      </c>
      <c r="J3213" s="178">
        <f t="shared" si="101"/>
        <v>0</v>
      </c>
      <c r="K3213" s="19"/>
    </row>
    <row r="3214" spans="1:11" x14ac:dyDescent="0.25">
      <c r="A3214" s="51">
        <v>42852</v>
      </c>
      <c r="B3214" s="174" t="s">
        <v>14779</v>
      </c>
      <c r="C3214" s="175"/>
      <c r="D3214" s="176" t="s">
        <v>14779</v>
      </c>
      <c r="E3214" s="176">
        <v>109648</v>
      </c>
      <c r="F3214" s="177" t="s">
        <v>55</v>
      </c>
      <c r="G3214" s="178">
        <v>17249.900000000001</v>
      </c>
      <c r="H3214" s="184" t="s">
        <v>14312</v>
      </c>
      <c r="I3214" s="183">
        <f>13000+4249.9</f>
        <v>17249.900000000001</v>
      </c>
      <c r="J3214" s="178">
        <f t="shared" si="101"/>
        <v>0</v>
      </c>
      <c r="K3214" s="19"/>
    </row>
    <row r="3215" spans="1:11" x14ac:dyDescent="0.25">
      <c r="A3215" s="51">
        <v>42852</v>
      </c>
      <c r="B3215" s="174" t="s">
        <v>14780</v>
      </c>
      <c r="C3215" s="175"/>
      <c r="D3215" s="176" t="s">
        <v>14780</v>
      </c>
      <c r="E3215" s="176">
        <v>109649</v>
      </c>
      <c r="F3215" s="177" t="s">
        <v>352</v>
      </c>
      <c r="G3215" s="178">
        <v>2727</v>
      </c>
      <c r="H3215" s="184">
        <v>42852</v>
      </c>
      <c r="I3215" s="183">
        <f t="shared" si="102"/>
        <v>2727</v>
      </c>
      <c r="J3215" s="178">
        <f t="shared" si="101"/>
        <v>0</v>
      </c>
      <c r="K3215" s="19"/>
    </row>
    <row r="3216" spans="1:11" x14ac:dyDescent="0.25">
      <c r="A3216" s="51">
        <v>42852</v>
      </c>
      <c r="B3216" s="174" t="s">
        <v>14781</v>
      </c>
      <c r="C3216" s="175"/>
      <c r="D3216" s="176" t="s">
        <v>14781</v>
      </c>
      <c r="E3216" s="176">
        <v>109650</v>
      </c>
      <c r="F3216" s="177" t="s">
        <v>231</v>
      </c>
      <c r="G3216" s="178">
        <v>2033.2</v>
      </c>
      <c r="H3216" s="184">
        <v>42853</v>
      </c>
      <c r="I3216" s="183">
        <f t="shared" si="102"/>
        <v>2033.2</v>
      </c>
      <c r="J3216" s="178">
        <f t="shared" si="101"/>
        <v>0</v>
      </c>
      <c r="K3216" s="19"/>
    </row>
    <row r="3217" spans="1:11" x14ac:dyDescent="0.25">
      <c r="A3217" s="51">
        <v>42852</v>
      </c>
      <c r="B3217" s="174" t="s">
        <v>14782</v>
      </c>
      <c r="C3217" s="175"/>
      <c r="D3217" s="176" t="s">
        <v>14782</v>
      </c>
      <c r="E3217" s="176">
        <v>109651</v>
      </c>
      <c r="F3217" s="177" t="s">
        <v>30</v>
      </c>
      <c r="G3217" s="178">
        <v>1851</v>
      </c>
      <c r="H3217" s="184">
        <v>42852</v>
      </c>
      <c r="I3217" s="183">
        <f t="shared" si="102"/>
        <v>1851</v>
      </c>
      <c r="J3217" s="178">
        <f t="shared" si="101"/>
        <v>0</v>
      </c>
      <c r="K3217" s="19"/>
    </row>
    <row r="3218" spans="1:11" x14ac:dyDescent="0.25">
      <c r="A3218" s="51">
        <v>42852</v>
      </c>
      <c r="B3218" s="174" t="s">
        <v>14783</v>
      </c>
      <c r="C3218" s="175"/>
      <c r="D3218" s="176" t="s">
        <v>14783</v>
      </c>
      <c r="E3218" s="176">
        <v>109652</v>
      </c>
      <c r="F3218" s="177" t="s">
        <v>1269</v>
      </c>
      <c r="G3218" s="178">
        <v>3070.4</v>
      </c>
      <c r="H3218" s="184">
        <v>42853</v>
      </c>
      <c r="I3218" s="183">
        <f t="shared" si="102"/>
        <v>3070.4</v>
      </c>
      <c r="J3218" s="178">
        <f t="shared" si="101"/>
        <v>0</v>
      </c>
      <c r="K3218" s="19"/>
    </row>
    <row r="3219" spans="1:11" x14ac:dyDescent="0.25">
      <c r="A3219" s="51">
        <v>42852</v>
      </c>
      <c r="B3219" s="174" t="s">
        <v>14784</v>
      </c>
      <c r="C3219" s="175"/>
      <c r="D3219" s="176" t="s">
        <v>14784</v>
      </c>
      <c r="E3219" s="176">
        <v>109653</v>
      </c>
      <c r="F3219" s="177" t="s">
        <v>492</v>
      </c>
      <c r="G3219" s="178">
        <v>930</v>
      </c>
      <c r="H3219" s="184">
        <v>42852</v>
      </c>
      <c r="I3219" s="183">
        <f t="shared" si="102"/>
        <v>930</v>
      </c>
      <c r="J3219" s="178">
        <f t="shared" si="101"/>
        <v>0</v>
      </c>
      <c r="K3219" s="19"/>
    </row>
    <row r="3220" spans="1:11" x14ac:dyDescent="0.25">
      <c r="A3220" s="51">
        <v>42852</v>
      </c>
      <c r="B3220" s="174" t="s">
        <v>14785</v>
      </c>
      <c r="C3220" s="175"/>
      <c r="D3220" s="176" t="s">
        <v>14785</v>
      </c>
      <c r="E3220" s="176">
        <v>109654</v>
      </c>
      <c r="F3220" s="177" t="s">
        <v>360</v>
      </c>
      <c r="G3220" s="178">
        <v>14945</v>
      </c>
      <c r="H3220" s="186">
        <v>42870</v>
      </c>
      <c r="I3220" s="187">
        <f t="shared" si="102"/>
        <v>14945</v>
      </c>
      <c r="J3220" s="178">
        <f t="shared" si="101"/>
        <v>0</v>
      </c>
      <c r="K3220" s="19"/>
    </row>
    <row r="3221" spans="1:11" x14ac:dyDescent="0.25">
      <c r="A3221" s="51">
        <v>42852</v>
      </c>
      <c r="B3221" s="174" t="s">
        <v>14786</v>
      </c>
      <c r="C3221" s="175"/>
      <c r="D3221" s="176" t="s">
        <v>14786</v>
      </c>
      <c r="E3221" s="176">
        <v>109655</v>
      </c>
      <c r="F3221" s="177" t="s">
        <v>472</v>
      </c>
      <c r="G3221" s="178">
        <v>6300</v>
      </c>
      <c r="H3221" s="184">
        <v>42853</v>
      </c>
      <c r="I3221" s="183">
        <f t="shared" si="102"/>
        <v>6300</v>
      </c>
      <c r="J3221" s="178">
        <f t="shared" si="101"/>
        <v>0</v>
      </c>
      <c r="K3221" s="19"/>
    </row>
    <row r="3222" spans="1:11" x14ac:dyDescent="0.25">
      <c r="A3222" s="51">
        <v>42852</v>
      </c>
      <c r="B3222" s="174" t="s">
        <v>14787</v>
      </c>
      <c r="C3222" s="175"/>
      <c r="D3222" s="176" t="s">
        <v>14787</v>
      </c>
      <c r="E3222" s="176">
        <v>109656</v>
      </c>
      <c r="F3222" s="177" t="s">
        <v>222</v>
      </c>
      <c r="G3222" s="178">
        <v>10815.2</v>
      </c>
      <c r="H3222" s="184">
        <v>42853</v>
      </c>
      <c r="I3222" s="183">
        <f t="shared" si="102"/>
        <v>10815.2</v>
      </c>
      <c r="J3222" s="178">
        <f t="shared" si="101"/>
        <v>0</v>
      </c>
      <c r="K3222" s="19"/>
    </row>
    <row r="3223" spans="1:11" x14ac:dyDescent="0.25">
      <c r="A3223" s="51">
        <v>42852</v>
      </c>
      <c r="B3223" s="174" t="s">
        <v>14788</v>
      </c>
      <c r="C3223" s="175"/>
      <c r="D3223" s="176" t="s">
        <v>14788</v>
      </c>
      <c r="E3223" s="176">
        <v>109657</v>
      </c>
      <c r="F3223" s="177" t="s">
        <v>30</v>
      </c>
      <c r="G3223" s="178">
        <v>572</v>
      </c>
      <c r="H3223" s="184">
        <v>42852</v>
      </c>
      <c r="I3223" s="183">
        <f t="shared" si="102"/>
        <v>572</v>
      </c>
      <c r="J3223" s="178">
        <f t="shared" si="101"/>
        <v>0</v>
      </c>
      <c r="K3223" s="19"/>
    </row>
    <row r="3224" spans="1:11" x14ac:dyDescent="0.25">
      <c r="A3224" s="51">
        <v>42852</v>
      </c>
      <c r="B3224" s="174" t="s">
        <v>14789</v>
      </c>
      <c r="C3224" s="175"/>
      <c r="D3224" s="176" t="s">
        <v>14789</v>
      </c>
      <c r="E3224" s="176">
        <v>109658</v>
      </c>
      <c r="F3224" s="177" t="s">
        <v>12</v>
      </c>
      <c r="G3224" s="178">
        <v>1986.8</v>
      </c>
      <c r="H3224" s="184">
        <v>42853</v>
      </c>
      <c r="I3224" s="183">
        <f t="shared" si="102"/>
        <v>1986.8</v>
      </c>
      <c r="J3224" s="178">
        <f t="shared" si="101"/>
        <v>0</v>
      </c>
      <c r="K3224" s="19"/>
    </row>
    <row r="3225" spans="1:11" x14ac:dyDescent="0.25">
      <c r="A3225" s="51">
        <v>42852</v>
      </c>
      <c r="B3225" s="174" t="s">
        <v>14790</v>
      </c>
      <c r="C3225" s="175"/>
      <c r="D3225" s="176" t="s">
        <v>14790</v>
      </c>
      <c r="E3225" s="176">
        <v>109659</v>
      </c>
      <c r="F3225" s="177" t="s">
        <v>113</v>
      </c>
      <c r="G3225" s="178">
        <v>300</v>
      </c>
      <c r="H3225" s="184">
        <v>42853</v>
      </c>
      <c r="I3225" s="183">
        <f t="shared" si="102"/>
        <v>300</v>
      </c>
      <c r="J3225" s="178">
        <f t="shared" si="101"/>
        <v>0</v>
      </c>
      <c r="K3225" s="19"/>
    </row>
    <row r="3226" spans="1:11" x14ac:dyDescent="0.25">
      <c r="A3226" s="51">
        <v>42852</v>
      </c>
      <c r="B3226" s="174" t="s">
        <v>14791</v>
      </c>
      <c r="C3226" s="175"/>
      <c r="D3226" s="176" t="s">
        <v>14791</v>
      </c>
      <c r="E3226" s="176">
        <v>109660</v>
      </c>
      <c r="F3226" s="177" t="s">
        <v>113</v>
      </c>
      <c r="G3226" s="178">
        <v>1598.4</v>
      </c>
      <c r="H3226" s="184">
        <v>42853</v>
      </c>
      <c r="I3226" s="183">
        <f t="shared" si="102"/>
        <v>1598.4</v>
      </c>
      <c r="J3226" s="178">
        <f t="shared" si="101"/>
        <v>0</v>
      </c>
      <c r="K3226" s="19"/>
    </row>
    <row r="3227" spans="1:11" x14ac:dyDescent="0.25">
      <c r="A3227" s="51">
        <v>42852</v>
      </c>
      <c r="B3227" s="174" t="s">
        <v>14792</v>
      </c>
      <c r="C3227" s="175"/>
      <c r="D3227" s="176" t="s">
        <v>14792</v>
      </c>
      <c r="E3227" s="176">
        <v>109661</v>
      </c>
      <c r="F3227" s="177" t="s">
        <v>509</v>
      </c>
      <c r="G3227" s="178">
        <v>32979.9</v>
      </c>
      <c r="H3227" s="186">
        <v>42861</v>
      </c>
      <c r="I3227" s="187">
        <f t="shared" si="102"/>
        <v>32979.9</v>
      </c>
      <c r="J3227" s="178">
        <f t="shared" si="101"/>
        <v>0</v>
      </c>
      <c r="K3227" s="19"/>
    </row>
    <row r="3228" spans="1:11" x14ac:dyDescent="0.25">
      <c r="A3228" s="51">
        <v>42852</v>
      </c>
      <c r="B3228" s="174" t="s">
        <v>14793</v>
      </c>
      <c r="C3228" s="175"/>
      <c r="D3228" s="176" t="s">
        <v>14793</v>
      </c>
      <c r="E3228" s="176">
        <v>109662</v>
      </c>
      <c r="F3228" s="177" t="s">
        <v>55</v>
      </c>
      <c r="G3228" s="178">
        <v>1065</v>
      </c>
      <c r="H3228" s="184">
        <v>42853</v>
      </c>
      <c r="I3228" s="183">
        <f t="shared" si="102"/>
        <v>1065</v>
      </c>
      <c r="J3228" s="178">
        <f t="shared" si="101"/>
        <v>0</v>
      </c>
      <c r="K3228" s="19"/>
    </row>
    <row r="3229" spans="1:11" x14ac:dyDescent="0.25">
      <c r="A3229" s="51">
        <v>42852</v>
      </c>
      <c r="B3229" s="174" t="s">
        <v>14794</v>
      </c>
      <c r="C3229" s="175"/>
      <c r="D3229" s="176" t="s">
        <v>14794</v>
      </c>
      <c r="E3229" s="176">
        <v>109663</v>
      </c>
      <c r="F3229" s="177" t="s">
        <v>3219</v>
      </c>
      <c r="G3229" s="178">
        <v>51216</v>
      </c>
      <c r="H3229" s="184">
        <v>42853</v>
      </c>
      <c r="I3229" s="183">
        <f t="shared" si="102"/>
        <v>51216</v>
      </c>
      <c r="J3229" s="178">
        <f t="shared" si="101"/>
        <v>0</v>
      </c>
      <c r="K3229" s="19"/>
    </row>
    <row r="3230" spans="1:11" x14ac:dyDescent="0.25">
      <c r="A3230" s="51">
        <v>42852</v>
      </c>
      <c r="B3230" s="174" t="s">
        <v>14795</v>
      </c>
      <c r="C3230" s="175"/>
      <c r="D3230" s="176" t="s">
        <v>14795</v>
      </c>
      <c r="E3230" s="176">
        <v>109664</v>
      </c>
      <c r="F3230" s="177" t="s">
        <v>17</v>
      </c>
      <c r="G3230" s="178">
        <v>2250</v>
      </c>
      <c r="H3230" s="184">
        <v>42852</v>
      </c>
      <c r="I3230" s="183">
        <f t="shared" si="102"/>
        <v>2250</v>
      </c>
      <c r="J3230" s="178">
        <f t="shared" si="101"/>
        <v>0</v>
      </c>
      <c r="K3230" s="19"/>
    </row>
    <row r="3231" spans="1:11" x14ac:dyDescent="0.25">
      <c r="A3231" s="51">
        <v>42852</v>
      </c>
      <c r="B3231" s="174" t="s">
        <v>14796</v>
      </c>
      <c r="C3231" s="175"/>
      <c r="D3231" s="176" t="s">
        <v>14796</v>
      </c>
      <c r="E3231" s="176">
        <v>109665</v>
      </c>
      <c r="F3231" s="177" t="s">
        <v>12879</v>
      </c>
      <c r="G3231" s="178">
        <v>1002.8</v>
      </c>
      <c r="H3231" s="184">
        <v>42852</v>
      </c>
      <c r="I3231" s="183">
        <f t="shared" si="102"/>
        <v>1002.8</v>
      </c>
      <c r="J3231" s="178">
        <f t="shared" si="101"/>
        <v>0</v>
      </c>
      <c r="K3231" s="19"/>
    </row>
    <row r="3232" spans="1:11" x14ac:dyDescent="0.25">
      <c r="A3232" s="51">
        <v>42852</v>
      </c>
      <c r="B3232" s="174" t="s">
        <v>14797</v>
      </c>
      <c r="C3232" s="175"/>
      <c r="D3232" s="176" t="s">
        <v>14797</v>
      </c>
      <c r="E3232" s="176">
        <v>109666</v>
      </c>
      <c r="F3232" s="177" t="s">
        <v>222</v>
      </c>
      <c r="G3232" s="178">
        <v>371106</v>
      </c>
      <c r="H3232" s="184">
        <v>42853</v>
      </c>
      <c r="I3232" s="183">
        <f t="shared" si="102"/>
        <v>371106</v>
      </c>
      <c r="J3232" s="178">
        <f t="shared" si="101"/>
        <v>0</v>
      </c>
      <c r="K3232" s="19"/>
    </row>
    <row r="3233" spans="1:11" x14ac:dyDescent="0.25">
      <c r="A3233" s="51">
        <v>42852</v>
      </c>
      <c r="B3233" s="174" t="s">
        <v>14798</v>
      </c>
      <c r="C3233" s="175"/>
      <c r="D3233" s="176" t="s">
        <v>14798</v>
      </c>
      <c r="E3233" s="176">
        <v>109667</v>
      </c>
      <c r="F3233" s="177" t="s">
        <v>30</v>
      </c>
      <c r="G3233" s="178">
        <v>1084.5</v>
      </c>
      <c r="H3233" s="184">
        <v>42852</v>
      </c>
      <c r="I3233" s="183">
        <f t="shared" si="102"/>
        <v>1084.5</v>
      </c>
      <c r="J3233" s="178">
        <f t="shared" si="101"/>
        <v>0</v>
      </c>
      <c r="K3233" s="19"/>
    </row>
    <row r="3234" spans="1:11" x14ac:dyDescent="0.25">
      <c r="A3234" s="51">
        <v>42852</v>
      </c>
      <c r="B3234" s="174" t="s">
        <v>14799</v>
      </c>
      <c r="C3234" s="175"/>
      <c r="D3234" s="176" t="s">
        <v>14799</v>
      </c>
      <c r="E3234" s="176">
        <v>109668</v>
      </c>
      <c r="F3234" s="177" t="s">
        <v>10031</v>
      </c>
      <c r="G3234" s="178">
        <v>26559.96</v>
      </c>
      <c r="H3234" s="184">
        <v>42852</v>
      </c>
      <c r="I3234" s="183">
        <f t="shared" si="102"/>
        <v>26559.96</v>
      </c>
      <c r="J3234" s="178">
        <f t="shared" si="101"/>
        <v>0</v>
      </c>
      <c r="K3234" s="19"/>
    </row>
    <row r="3235" spans="1:11" x14ac:dyDescent="0.25">
      <c r="A3235" s="51">
        <v>42852</v>
      </c>
      <c r="B3235" s="174" t="s">
        <v>14800</v>
      </c>
      <c r="C3235" s="175"/>
      <c r="D3235" s="176" t="s">
        <v>14800</v>
      </c>
      <c r="E3235" s="176">
        <v>109669</v>
      </c>
      <c r="F3235" s="177" t="s">
        <v>10031</v>
      </c>
      <c r="G3235" s="178">
        <v>426.3</v>
      </c>
      <c r="H3235" s="184">
        <v>42852</v>
      </c>
      <c r="I3235" s="183">
        <f t="shared" si="102"/>
        <v>426.3</v>
      </c>
      <c r="J3235" s="178">
        <f t="shared" si="101"/>
        <v>0</v>
      </c>
      <c r="K3235" s="19"/>
    </row>
    <row r="3236" spans="1:11" x14ac:dyDescent="0.25">
      <c r="A3236" s="51">
        <v>42852</v>
      </c>
      <c r="B3236" s="174" t="s">
        <v>14801</v>
      </c>
      <c r="C3236" s="175"/>
      <c r="D3236" s="176" t="s">
        <v>14801</v>
      </c>
      <c r="E3236" s="176">
        <v>109670</v>
      </c>
      <c r="F3236" s="177" t="s">
        <v>1197</v>
      </c>
      <c r="G3236" s="178">
        <v>4368</v>
      </c>
      <c r="H3236" s="184">
        <v>42854</v>
      </c>
      <c r="I3236" s="183">
        <f t="shared" si="102"/>
        <v>4368</v>
      </c>
      <c r="J3236" s="178">
        <f t="shared" si="101"/>
        <v>0</v>
      </c>
      <c r="K3236" s="19"/>
    </row>
    <row r="3237" spans="1:11" ht="15.75" x14ac:dyDescent="0.25">
      <c r="A3237" s="51">
        <v>42852</v>
      </c>
      <c r="B3237" s="174" t="s">
        <v>14802</v>
      </c>
      <c r="C3237" s="175"/>
      <c r="D3237" s="176" t="s">
        <v>14802</v>
      </c>
      <c r="E3237" s="176">
        <v>109671</v>
      </c>
      <c r="F3237" s="177" t="s">
        <v>220</v>
      </c>
      <c r="G3237" s="178">
        <v>0</v>
      </c>
      <c r="H3237" s="207" t="s">
        <v>95</v>
      </c>
      <c r="I3237" s="178">
        <f t="shared" si="102"/>
        <v>0</v>
      </c>
      <c r="J3237" s="178">
        <f t="shared" si="101"/>
        <v>0</v>
      </c>
      <c r="K3237" s="19"/>
    </row>
    <row r="3238" spans="1:11" x14ac:dyDescent="0.25">
      <c r="A3238" s="51">
        <v>42852</v>
      </c>
      <c r="B3238" s="174" t="s">
        <v>14803</v>
      </c>
      <c r="C3238" s="175"/>
      <c r="D3238" s="176" t="s">
        <v>14803</v>
      </c>
      <c r="E3238" s="176">
        <v>109672</v>
      </c>
      <c r="F3238" s="177" t="s">
        <v>220</v>
      </c>
      <c r="G3238" s="178">
        <v>3811.8</v>
      </c>
      <c r="H3238" s="184">
        <v>42852</v>
      </c>
      <c r="I3238" s="183">
        <f t="shared" si="102"/>
        <v>3811.8</v>
      </c>
      <c r="J3238" s="178">
        <f t="shared" si="101"/>
        <v>0</v>
      </c>
      <c r="K3238" s="19"/>
    </row>
    <row r="3239" spans="1:11" x14ac:dyDescent="0.25">
      <c r="A3239" s="51">
        <v>42852</v>
      </c>
      <c r="B3239" s="174" t="s">
        <v>14804</v>
      </c>
      <c r="C3239" s="175"/>
      <c r="D3239" s="176" t="s">
        <v>14804</v>
      </c>
      <c r="E3239" s="176">
        <v>109673</v>
      </c>
      <c r="F3239" s="177" t="s">
        <v>677</v>
      </c>
      <c r="G3239" s="178">
        <v>2307.1999999999998</v>
      </c>
      <c r="H3239" s="184">
        <v>42854</v>
      </c>
      <c r="I3239" s="183">
        <f t="shared" si="102"/>
        <v>2307.1999999999998</v>
      </c>
      <c r="J3239" s="178">
        <f t="shared" si="101"/>
        <v>0</v>
      </c>
      <c r="K3239" s="19"/>
    </row>
    <row r="3240" spans="1:11" x14ac:dyDescent="0.25">
      <c r="A3240" s="51">
        <v>42852</v>
      </c>
      <c r="B3240" s="174" t="s">
        <v>14805</v>
      </c>
      <c r="C3240" s="175"/>
      <c r="D3240" s="176" t="s">
        <v>14805</v>
      </c>
      <c r="E3240" s="176">
        <v>109674</v>
      </c>
      <c r="F3240" s="177" t="s">
        <v>1589</v>
      </c>
      <c r="G3240" s="178">
        <v>5562.4</v>
      </c>
      <c r="H3240" s="184">
        <v>42854</v>
      </c>
      <c r="I3240" s="183">
        <f t="shared" si="102"/>
        <v>5562.4</v>
      </c>
      <c r="J3240" s="178">
        <f t="shared" si="101"/>
        <v>0</v>
      </c>
      <c r="K3240" s="19"/>
    </row>
    <row r="3241" spans="1:11" x14ac:dyDescent="0.25">
      <c r="A3241" s="51">
        <v>42852</v>
      </c>
      <c r="B3241" s="174" t="s">
        <v>14806</v>
      </c>
      <c r="C3241" s="175"/>
      <c r="D3241" s="176" t="s">
        <v>14806</v>
      </c>
      <c r="E3241" s="176">
        <v>109675</v>
      </c>
      <c r="F3241" s="177" t="s">
        <v>665</v>
      </c>
      <c r="G3241" s="178">
        <v>63561.8</v>
      </c>
      <c r="H3241" s="186">
        <v>42861</v>
      </c>
      <c r="I3241" s="187">
        <f t="shared" si="102"/>
        <v>63561.8</v>
      </c>
      <c r="J3241" s="178">
        <f t="shared" si="101"/>
        <v>0</v>
      </c>
      <c r="K3241" s="19"/>
    </row>
    <row r="3242" spans="1:11" x14ac:dyDescent="0.25">
      <c r="A3242" s="51">
        <v>42852</v>
      </c>
      <c r="B3242" s="174" t="s">
        <v>14807</v>
      </c>
      <c r="C3242" s="175"/>
      <c r="D3242" s="176" t="s">
        <v>14807</v>
      </c>
      <c r="E3242" s="176">
        <v>109676</v>
      </c>
      <c r="F3242" s="177" t="s">
        <v>682</v>
      </c>
      <c r="G3242" s="178">
        <v>8958.2000000000007</v>
      </c>
      <c r="H3242" s="184">
        <v>42854</v>
      </c>
      <c r="I3242" s="183">
        <f t="shared" si="102"/>
        <v>8958.2000000000007</v>
      </c>
      <c r="J3242" s="178">
        <f t="shared" si="101"/>
        <v>0</v>
      </c>
      <c r="K3242" s="19"/>
    </row>
    <row r="3243" spans="1:11" x14ac:dyDescent="0.25">
      <c r="A3243" s="51">
        <v>42852</v>
      </c>
      <c r="B3243" s="174" t="s">
        <v>14808</v>
      </c>
      <c r="C3243" s="175"/>
      <c r="D3243" s="176" t="s">
        <v>14808</v>
      </c>
      <c r="E3243" s="176">
        <v>109677</v>
      </c>
      <c r="F3243" s="177" t="s">
        <v>680</v>
      </c>
      <c r="G3243" s="178">
        <v>1797.1</v>
      </c>
      <c r="H3243" s="184">
        <v>42854</v>
      </c>
      <c r="I3243" s="183">
        <f t="shared" si="102"/>
        <v>1797.1</v>
      </c>
      <c r="J3243" s="178">
        <f t="shared" si="101"/>
        <v>0</v>
      </c>
      <c r="K3243" s="19"/>
    </row>
    <row r="3244" spans="1:11" x14ac:dyDescent="0.25">
      <c r="A3244" s="51">
        <v>42852</v>
      </c>
      <c r="B3244" s="174" t="s">
        <v>14809</v>
      </c>
      <c r="C3244" s="175"/>
      <c r="D3244" s="176" t="s">
        <v>14809</v>
      </c>
      <c r="E3244" s="176">
        <v>109678</v>
      </c>
      <c r="F3244" s="177" t="s">
        <v>675</v>
      </c>
      <c r="G3244" s="178">
        <v>1150</v>
      </c>
      <c r="H3244" s="184">
        <v>42854</v>
      </c>
      <c r="I3244" s="183">
        <f t="shared" si="102"/>
        <v>1150</v>
      </c>
      <c r="J3244" s="178">
        <f t="shared" si="101"/>
        <v>0</v>
      </c>
      <c r="K3244" s="19"/>
    </row>
    <row r="3245" spans="1:11" x14ac:dyDescent="0.25">
      <c r="A3245" s="51">
        <v>42852</v>
      </c>
      <c r="B3245" s="174" t="s">
        <v>14810</v>
      </c>
      <c r="C3245" s="175"/>
      <c r="D3245" s="176" t="s">
        <v>14810</v>
      </c>
      <c r="E3245" s="176">
        <v>109679</v>
      </c>
      <c r="F3245" s="177" t="s">
        <v>677</v>
      </c>
      <c r="G3245" s="178">
        <v>3768.7</v>
      </c>
      <c r="H3245" s="184">
        <v>42854</v>
      </c>
      <c r="I3245" s="183">
        <f t="shared" si="102"/>
        <v>3768.7</v>
      </c>
      <c r="J3245" s="178">
        <f t="shared" si="101"/>
        <v>0</v>
      </c>
      <c r="K3245" s="19"/>
    </row>
    <row r="3246" spans="1:11" x14ac:dyDescent="0.25">
      <c r="A3246" s="51">
        <v>42852</v>
      </c>
      <c r="B3246" s="174" t="s">
        <v>14811</v>
      </c>
      <c r="C3246" s="175"/>
      <c r="D3246" s="176" t="s">
        <v>14811</v>
      </c>
      <c r="E3246" s="176">
        <v>109680</v>
      </c>
      <c r="F3246" s="177" t="s">
        <v>222</v>
      </c>
      <c r="G3246" s="178">
        <v>42460</v>
      </c>
      <c r="H3246" s="184">
        <v>42853</v>
      </c>
      <c r="I3246" s="183">
        <f t="shared" si="102"/>
        <v>42460</v>
      </c>
      <c r="J3246" s="178">
        <f t="shared" si="101"/>
        <v>0</v>
      </c>
      <c r="K3246" s="19"/>
    </row>
    <row r="3247" spans="1:11" x14ac:dyDescent="0.25">
      <c r="A3247" s="51">
        <v>42852</v>
      </c>
      <c r="B3247" s="174" t="s">
        <v>14812</v>
      </c>
      <c r="C3247" s="175"/>
      <c r="D3247" s="176" t="s">
        <v>14812</v>
      </c>
      <c r="E3247" s="176">
        <v>109681</v>
      </c>
      <c r="F3247" s="177" t="s">
        <v>686</v>
      </c>
      <c r="G3247" s="178">
        <v>20422.3</v>
      </c>
      <c r="H3247" s="184">
        <v>42854</v>
      </c>
      <c r="I3247" s="183">
        <f t="shared" si="102"/>
        <v>20422.3</v>
      </c>
      <c r="J3247" s="178">
        <f t="shared" si="101"/>
        <v>0</v>
      </c>
      <c r="K3247" s="19"/>
    </row>
    <row r="3248" spans="1:11" x14ac:dyDescent="0.25">
      <c r="A3248" s="51">
        <v>42852</v>
      </c>
      <c r="B3248" s="174" t="s">
        <v>14813</v>
      </c>
      <c r="C3248" s="175"/>
      <c r="D3248" s="176" t="s">
        <v>14813</v>
      </c>
      <c r="E3248" s="176">
        <v>109682</v>
      </c>
      <c r="F3248" s="177" t="s">
        <v>670</v>
      </c>
      <c r="G3248" s="178">
        <v>17963.54</v>
      </c>
      <c r="H3248" s="186">
        <v>42870</v>
      </c>
      <c r="I3248" s="187">
        <f t="shared" si="102"/>
        <v>17963.54</v>
      </c>
      <c r="J3248" s="178">
        <f t="shared" si="101"/>
        <v>0</v>
      </c>
      <c r="K3248" s="19"/>
    </row>
    <row r="3249" spans="1:11" x14ac:dyDescent="0.25">
      <c r="A3249" s="51">
        <v>42852</v>
      </c>
      <c r="B3249" s="174" t="s">
        <v>14814</v>
      </c>
      <c r="C3249" s="175"/>
      <c r="D3249" s="176" t="s">
        <v>14814</v>
      </c>
      <c r="E3249" s="176">
        <v>109683</v>
      </c>
      <c r="F3249" s="177" t="s">
        <v>17</v>
      </c>
      <c r="G3249" s="178">
        <v>405</v>
      </c>
      <c r="H3249" s="184">
        <v>42853</v>
      </c>
      <c r="I3249" s="183">
        <f t="shared" si="102"/>
        <v>405</v>
      </c>
      <c r="J3249" s="178">
        <f t="shared" si="101"/>
        <v>0</v>
      </c>
      <c r="K3249" s="19"/>
    </row>
    <row r="3250" spans="1:11" x14ac:dyDescent="0.25">
      <c r="A3250" s="51">
        <v>42852</v>
      </c>
      <c r="B3250" s="174" t="s">
        <v>14815</v>
      </c>
      <c r="C3250" s="175"/>
      <c r="D3250" s="176" t="s">
        <v>14815</v>
      </c>
      <c r="E3250" s="176">
        <v>109684</v>
      </c>
      <c r="F3250" s="177" t="s">
        <v>30</v>
      </c>
      <c r="G3250" s="178">
        <v>3530.3</v>
      </c>
      <c r="H3250" s="184">
        <v>42852</v>
      </c>
      <c r="I3250" s="183">
        <f t="shared" si="102"/>
        <v>3530.3</v>
      </c>
      <c r="J3250" s="178">
        <f t="shared" si="101"/>
        <v>0</v>
      </c>
      <c r="K3250" s="19"/>
    </row>
    <row r="3251" spans="1:11" x14ac:dyDescent="0.25">
      <c r="A3251" s="51">
        <v>42852</v>
      </c>
      <c r="B3251" s="174" t="s">
        <v>14816</v>
      </c>
      <c r="C3251" s="175"/>
      <c r="D3251" s="176" t="s">
        <v>14816</v>
      </c>
      <c r="E3251" s="176">
        <v>109685</v>
      </c>
      <c r="F3251" s="177" t="s">
        <v>10</v>
      </c>
      <c r="G3251" s="178">
        <v>112115.98</v>
      </c>
      <c r="H3251" s="184">
        <v>42854</v>
      </c>
      <c r="I3251" s="183">
        <f t="shared" si="102"/>
        <v>112115.98</v>
      </c>
      <c r="J3251" s="178">
        <f t="shared" si="101"/>
        <v>0</v>
      </c>
      <c r="K3251" s="19"/>
    </row>
    <row r="3252" spans="1:11" x14ac:dyDescent="0.25">
      <c r="A3252" s="51">
        <v>42852</v>
      </c>
      <c r="B3252" s="174" t="s">
        <v>14817</v>
      </c>
      <c r="C3252" s="175"/>
      <c r="D3252" s="176" t="s">
        <v>14817</v>
      </c>
      <c r="E3252" s="176">
        <v>109686</v>
      </c>
      <c r="F3252" s="177" t="s">
        <v>1594</v>
      </c>
      <c r="G3252" s="178">
        <v>61580.800000000003</v>
      </c>
      <c r="H3252" s="186" t="s">
        <v>15207</v>
      </c>
      <c r="I3252" s="187">
        <f>20000+41580.8</f>
        <v>61580.800000000003</v>
      </c>
      <c r="J3252" s="204">
        <f t="shared" si="101"/>
        <v>0</v>
      </c>
      <c r="K3252" s="19"/>
    </row>
    <row r="3253" spans="1:11" x14ac:dyDescent="0.25">
      <c r="A3253" s="51">
        <v>42852</v>
      </c>
      <c r="B3253" s="174" t="s">
        <v>14818</v>
      </c>
      <c r="C3253" s="175"/>
      <c r="D3253" s="176" t="s">
        <v>14818</v>
      </c>
      <c r="E3253" s="176">
        <v>109687</v>
      </c>
      <c r="F3253" s="177" t="s">
        <v>1589</v>
      </c>
      <c r="G3253" s="178">
        <v>6234.15</v>
      </c>
      <c r="H3253" s="184">
        <v>42854</v>
      </c>
      <c r="I3253" s="183">
        <f t="shared" si="102"/>
        <v>6234.15</v>
      </c>
      <c r="J3253" s="178">
        <f t="shared" si="101"/>
        <v>0</v>
      </c>
      <c r="K3253" s="19"/>
    </row>
    <row r="3254" spans="1:11" x14ac:dyDescent="0.25">
      <c r="A3254" s="51">
        <v>42852</v>
      </c>
      <c r="B3254" s="174" t="s">
        <v>14819</v>
      </c>
      <c r="C3254" s="175"/>
      <c r="D3254" s="176" t="s">
        <v>14819</v>
      </c>
      <c r="E3254" s="176">
        <v>109688</v>
      </c>
      <c r="F3254" s="177" t="s">
        <v>670</v>
      </c>
      <c r="G3254" s="178">
        <v>41379.300000000003</v>
      </c>
      <c r="H3254" s="186">
        <v>42866</v>
      </c>
      <c r="I3254" s="187">
        <f t="shared" si="102"/>
        <v>41379.300000000003</v>
      </c>
      <c r="J3254" s="178">
        <f t="shared" si="101"/>
        <v>0</v>
      </c>
      <c r="K3254" s="19"/>
    </row>
    <row r="3255" spans="1:11" x14ac:dyDescent="0.25">
      <c r="A3255" s="51">
        <v>42852</v>
      </c>
      <c r="B3255" s="174" t="s">
        <v>14820</v>
      </c>
      <c r="C3255" s="175"/>
      <c r="D3255" s="176" t="s">
        <v>14820</v>
      </c>
      <c r="E3255" s="176">
        <v>109689</v>
      </c>
      <c r="F3255" s="177" t="s">
        <v>21</v>
      </c>
      <c r="G3255" s="178">
        <v>41551.699999999997</v>
      </c>
      <c r="H3255" s="186">
        <v>42866</v>
      </c>
      <c r="I3255" s="187">
        <f t="shared" si="102"/>
        <v>41551.699999999997</v>
      </c>
      <c r="J3255" s="178">
        <f t="shared" si="101"/>
        <v>0</v>
      </c>
      <c r="K3255" s="19"/>
    </row>
    <row r="3256" spans="1:11" x14ac:dyDescent="0.25">
      <c r="A3256" s="51">
        <v>42852</v>
      </c>
      <c r="B3256" s="174" t="s">
        <v>14821</v>
      </c>
      <c r="C3256" s="175"/>
      <c r="D3256" s="176" t="s">
        <v>14821</v>
      </c>
      <c r="E3256" s="176">
        <v>109690</v>
      </c>
      <c r="F3256" s="177" t="s">
        <v>3513</v>
      </c>
      <c r="G3256" s="178">
        <v>2689.8</v>
      </c>
      <c r="H3256" s="184">
        <v>42854</v>
      </c>
      <c r="I3256" s="183">
        <f t="shared" si="102"/>
        <v>2689.8</v>
      </c>
      <c r="J3256" s="178">
        <f t="shared" si="101"/>
        <v>0</v>
      </c>
      <c r="K3256" s="19"/>
    </row>
    <row r="3257" spans="1:11" x14ac:dyDescent="0.25">
      <c r="A3257" s="51">
        <v>42852</v>
      </c>
      <c r="B3257" s="174" t="s">
        <v>14822</v>
      </c>
      <c r="C3257" s="175"/>
      <c r="D3257" s="176" t="s">
        <v>14822</v>
      </c>
      <c r="E3257" s="176">
        <v>109691</v>
      </c>
      <c r="F3257" s="177" t="s">
        <v>921</v>
      </c>
      <c r="G3257" s="178">
        <v>4484.1000000000004</v>
      </c>
      <c r="H3257" s="184">
        <v>42852</v>
      </c>
      <c r="I3257" s="183">
        <f t="shared" si="102"/>
        <v>4484.1000000000004</v>
      </c>
      <c r="J3257" s="178">
        <f t="shared" si="101"/>
        <v>0</v>
      </c>
      <c r="K3257" s="19"/>
    </row>
    <row r="3258" spans="1:11" x14ac:dyDescent="0.25">
      <c r="A3258" s="51">
        <v>42852</v>
      </c>
      <c r="B3258" s="174" t="s">
        <v>14823</v>
      </c>
      <c r="C3258" s="175"/>
      <c r="D3258" s="176" t="s">
        <v>14823</v>
      </c>
      <c r="E3258" s="176">
        <v>109692</v>
      </c>
      <c r="F3258" s="177" t="s">
        <v>61</v>
      </c>
      <c r="G3258" s="178">
        <v>17894.2</v>
      </c>
      <c r="H3258" s="184">
        <v>42853</v>
      </c>
      <c r="I3258" s="183">
        <f t="shared" si="102"/>
        <v>17894.2</v>
      </c>
      <c r="J3258" s="178">
        <f t="shared" si="101"/>
        <v>0</v>
      </c>
      <c r="K3258" s="19"/>
    </row>
    <row r="3259" spans="1:11" x14ac:dyDescent="0.25">
      <c r="A3259" s="51">
        <v>42852</v>
      </c>
      <c r="B3259" s="174" t="s">
        <v>14824</v>
      </c>
      <c r="C3259" s="175"/>
      <c r="D3259" s="176" t="s">
        <v>14824</v>
      </c>
      <c r="E3259" s="176">
        <v>109693</v>
      </c>
      <c r="F3259" s="177" t="s">
        <v>53</v>
      </c>
      <c r="G3259" s="178">
        <v>1290</v>
      </c>
      <c r="H3259" s="184">
        <v>42853</v>
      </c>
      <c r="I3259" s="183">
        <f t="shared" si="102"/>
        <v>1290</v>
      </c>
      <c r="J3259" s="178">
        <f t="shared" si="101"/>
        <v>0</v>
      </c>
      <c r="K3259" s="19"/>
    </row>
    <row r="3260" spans="1:11" x14ac:dyDescent="0.25">
      <c r="A3260" s="51">
        <v>42853</v>
      </c>
      <c r="B3260" s="174" t="s">
        <v>14825</v>
      </c>
      <c r="C3260" s="175"/>
      <c r="D3260" s="176" t="s">
        <v>14825</v>
      </c>
      <c r="E3260" s="176">
        <v>109694</v>
      </c>
      <c r="F3260" s="177" t="s">
        <v>231</v>
      </c>
      <c r="G3260" s="178">
        <v>8216.65</v>
      </c>
      <c r="H3260" s="184">
        <v>42854</v>
      </c>
      <c r="I3260" s="183">
        <f t="shared" si="102"/>
        <v>8216.65</v>
      </c>
      <c r="J3260" s="178">
        <f t="shared" si="101"/>
        <v>0</v>
      </c>
      <c r="K3260" s="19"/>
    </row>
    <row r="3261" spans="1:11" x14ac:dyDescent="0.25">
      <c r="A3261" s="51">
        <v>42853</v>
      </c>
      <c r="B3261" s="174" t="s">
        <v>14826</v>
      </c>
      <c r="C3261" s="175"/>
      <c r="D3261" s="176" t="s">
        <v>14826</v>
      </c>
      <c r="E3261" s="176">
        <v>109695</v>
      </c>
      <c r="F3261" s="177" t="s">
        <v>374</v>
      </c>
      <c r="G3261" s="178">
        <v>7306.4</v>
      </c>
      <c r="H3261" s="184">
        <v>42853</v>
      </c>
      <c r="I3261" s="183">
        <f t="shared" si="102"/>
        <v>7306.4</v>
      </c>
      <c r="J3261" s="178">
        <f t="shared" si="101"/>
        <v>0</v>
      </c>
      <c r="K3261" s="19"/>
    </row>
    <row r="3262" spans="1:11" x14ac:dyDescent="0.25">
      <c r="A3262" s="51">
        <v>42853</v>
      </c>
      <c r="B3262" s="174" t="s">
        <v>14827</v>
      </c>
      <c r="C3262" s="175"/>
      <c r="D3262" s="176" t="s">
        <v>14827</v>
      </c>
      <c r="E3262" s="176">
        <v>109696</v>
      </c>
      <c r="F3262" s="177" t="s">
        <v>231</v>
      </c>
      <c r="G3262" s="178">
        <v>27958.3</v>
      </c>
      <c r="H3262" s="184">
        <v>42854</v>
      </c>
      <c r="I3262" s="183">
        <f t="shared" si="102"/>
        <v>27958.3</v>
      </c>
      <c r="J3262" s="178">
        <f t="shared" si="101"/>
        <v>0</v>
      </c>
      <c r="K3262" s="19"/>
    </row>
    <row r="3263" spans="1:11" x14ac:dyDescent="0.25">
      <c r="A3263" s="51">
        <v>42853</v>
      </c>
      <c r="B3263" s="174" t="s">
        <v>14828</v>
      </c>
      <c r="C3263" s="175"/>
      <c r="D3263" s="176" t="s">
        <v>14828</v>
      </c>
      <c r="E3263" s="176">
        <v>109697</v>
      </c>
      <c r="F3263" s="177" t="s">
        <v>30</v>
      </c>
      <c r="G3263" s="178">
        <v>3222</v>
      </c>
      <c r="H3263" s="184">
        <v>42853</v>
      </c>
      <c r="I3263" s="183">
        <f t="shared" si="102"/>
        <v>3222</v>
      </c>
      <c r="J3263" s="178">
        <f t="shared" si="101"/>
        <v>0</v>
      </c>
      <c r="K3263" s="19"/>
    </row>
    <row r="3264" spans="1:11" x14ac:dyDescent="0.25">
      <c r="A3264" s="51">
        <v>42853</v>
      </c>
      <c r="B3264" s="174" t="s">
        <v>14829</v>
      </c>
      <c r="C3264" s="175"/>
      <c r="D3264" s="176" t="s">
        <v>14829</v>
      </c>
      <c r="E3264" s="176">
        <v>109698</v>
      </c>
      <c r="F3264" s="177" t="s">
        <v>1786</v>
      </c>
      <c r="G3264" s="178">
        <v>9002</v>
      </c>
      <c r="H3264" s="184">
        <v>42853</v>
      </c>
      <c r="I3264" s="183">
        <f t="shared" si="102"/>
        <v>9002</v>
      </c>
      <c r="J3264" s="178">
        <f t="shared" si="101"/>
        <v>0</v>
      </c>
      <c r="K3264" s="19"/>
    </row>
    <row r="3265" spans="1:11" x14ac:dyDescent="0.25">
      <c r="A3265" s="51">
        <v>42853</v>
      </c>
      <c r="B3265" s="174" t="s">
        <v>14830</v>
      </c>
      <c r="C3265" s="175"/>
      <c r="D3265" s="176" t="s">
        <v>14830</v>
      </c>
      <c r="E3265" s="176">
        <v>109699</v>
      </c>
      <c r="F3265" s="177" t="s">
        <v>17</v>
      </c>
      <c r="G3265" s="178">
        <v>2718</v>
      </c>
      <c r="H3265" s="184">
        <v>42853</v>
      </c>
      <c r="I3265" s="183">
        <f t="shared" si="102"/>
        <v>2718</v>
      </c>
      <c r="J3265" s="178">
        <f t="shared" si="101"/>
        <v>0</v>
      </c>
      <c r="K3265" s="19"/>
    </row>
    <row r="3266" spans="1:11" x14ac:dyDescent="0.25">
      <c r="A3266" s="51">
        <v>42853</v>
      </c>
      <c r="B3266" s="174" t="s">
        <v>14831</v>
      </c>
      <c r="C3266" s="175"/>
      <c r="D3266" s="176" t="s">
        <v>14831</v>
      </c>
      <c r="E3266" s="176">
        <v>109700</v>
      </c>
      <c r="F3266" s="177" t="s">
        <v>32</v>
      </c>
      <c r="G3266" s="178">
        <v>5480.8</v>
      </c>
      <c r="H3266" s="186">
        <v>42861</v>
      </c>
      <c r="I3266" s="187">
        <f t="shared" si="102"/>
        <v>5480.8</v>
      </c>
      <c r="J3266" s="178">
        <f t="shared" si="101"/>
        <v>0</v>
      </c>
      <c r="K3266" s="19"/>
    </row>
    <row r="3267" spans="1:11" x14ac:dyDescent="0.25">
      <c r="A3267" s="51">
        <v>42853</v>
      </c>
      <c r="B3267" s="174" t="s">
        <v>14832</v>
      </c>
      <c r="C3267" s="175"/>
      <c r="D3267" s="176" t="s">
        <v>14832</v>
      </c>
      <c r="E3267" s="176">
        <v>109701</v>
      </c>
      <c r="F3267" s="177" t="s">
        <v>19</v>
      </c>
      <c r="G3267" s="178">
        <v>1341</v>
      </c>
      <c r="H3267" s="184">
        <v>42853</v>
      </c>
      <c r="I3267" s="183">
        <f t="shared" si="102"/>
        <v>1341</v>
      </c>
      <c r="J3267" s="178">
        <f t="shared" si="101"/>
        <v>0</v>
      </c>
      <c r="K3267" s="19"/>
    </row>
    <row r="3268" spans="1:11" x14ac:dyDescent="0.25">
      <c r="A3268" s="51">
        <v>42853</v>
      </c>
      <c r="B3268" s="174" t="s">
        <v>14833</v>
      </c>
      <c r="C3268" s="175"/>
      <c r="D3268" s="176" t="s">
        <v>14833</v>
      </c>
      <c r="E3268" s="176">
        <v>109702</v>
      </c>
      <c r="F3268" s="177" t="s">
        <v>69</v>
      </c>
      <c r="G3268" s="178">
        <v>1537.5</v>
      </c>
      <c r="H3268" s="184">
        <v>42853</v>
      </c>
      <c r="I3268" s="183">
        <f t="shared" si="102"/>
        <v>1537.5</v>
      </c>
      <c r="J3268" s="178">
        <f t="shared" ref="J3268:J3331" si="103">G3268-I3268</f>
        <v>0</v>
      </c>
      <c r="K3268" s="19"/>
    </row>
    <row r="3269" spans="1:11" ht="15.75" x14ac:dyDescent="0.25">
      <c r="A3269" s="51">
        <v>42853</v>
      </c>
      <c r="B3269" s="174" t="s">
        <v>14834</v>
      </c>
      <c r="C3269" s="175"/>
      <c r="D3269" s="176" t="s">
        <v>14834</v>
      </c>
      <c r="E3269" s="176">
        <v>109703</v>
      </c>
      <c r="F3269" s="177" t="s">
        <v>1797</v>
      </c>
      <c r="G3269" s="178">
        <v>0</v>
      </c>
      <c r="H3269" s="207" t="s">
        <v>95</v>
      </c>
      <c r="I3269" s="178">
        <f t="shared" ref="I3269:I3332" si="104">G3269</f>
        <v>0</v>
      </c>
      <c r="J3269" s="178">
        <f t="shared" si="103"/>
        <v>0</v>
      </c>
      <c r="K3269" s="19"/>
    </row>
    <row r="3270" spans="1:11" x14ac:dyDescent="0.25">
      <c r="A3270" s="51">
        <v>42853</v>
      </c>
      <c r="B3270" s="174" t="s">
        <v>14835</v>
      </c>
      <c r="C3270" s="175"/>
      <c r="D3270" s="176" t="s">
        <v>14835</v>
      </c>
      <c r="E3270" s="176">
        <v>109704</v>
      </c>
      <c r="F3270" s="177" t="s">
        <v>1666</v>
      </c>
      <c r="G3270" s="178">
        <v>13206.6</v>
      </c>
      <c r="H3270" s="186">
        <v>42858</v>
      </c>
      <c r="I3270" s="187">
        <f t="shared" si="104"/>
        <v>13206.6</v>
      </c>
      <c r="J3270" s="178">
        <f t="shared" si="103"/>
        <v>0</v>
      </c>
      <c r="K3270" s="19"/>
    </row>
    <row r="3271" spans="1:11" x14ac:dyDescent="0.25">
      <c r="A3271" s="51">
        <v>42853</v>
      </c>
      <c r="B3271" s="174" t="s">
        <v>14836</v>
      </c>
      <c r="C3271" s="175"/>
      <c r="D3271" s="176" t="s">
        <v>14836</v>
      </c>
      <c r="E3271" s="176">
        <v>109705</v>
      </c>
      <c r="F3271" s="177" t="s">
        <v>71</v>
      </c>
      <c r="G3271" s="178">
        <v>3923.5</v>
      </c>
      <c r="H3271" s="184">
        <v>42853</v>
      </c>
      <c r="I3271" s="183">
        <f t="shared" si="104"/>
        <v>3923.5</v>
      </c>
      <c r="J3271" s="178">
        <f t="shared" si="103"/>
        <v>0</v>
      </c>
      <c r="K3271" s="19"/>
    </row>
    <row r="3272" spans="1:11" x14ac:dyDescent="0.25">
      <c r="A3272" s="51">
        <v>42853</v>
      </c>
      <c r="B3272" s="174" t="s">
        <v>14837</v>
      </c>
      <c r="C3272" s="175"/>
      <c r="D3272" s="176" t="s">
        <v>14837</v>
      </c>
      <c r="E3272" s="176">
        <v>109706</v>
      </c>
      <c r="F3272" s="177" t="s">
        <v>14063</v>
      </c>
      <c r="G3272" s="178">
        <v>3218</v>
      </c>
      <c r="H3272" s="186">
        <v>42856</v>
      </c>
      <c r="I3272" s="187">
        <f t="shared" si="104"/>
        <v>3218</v>
      </c>
      <c r="J3272" s="178">
        <f t="shared" si="103"/>
        <v>0</v>
      </c>
      <c r="K3272" s="19"/>
    </row>
    <row r="3273" spans="1:11" x14ac:dyDescent="0.25">
      <c r="A3273" s="51">
        <v>42853</v>
      </c>
      <c r="B3273" s="174" t="s">
        <v>14838</v>
      </c>
      <c r="C3273" s="175"/>
      <c r="D3273" s="176" t="s">
        <v>14838</v>
      </c>
      <c r="E3273" s="176">
        <v>109707</v>
      </c>
      <c r="F3273" s="177" t="s">
        <v>30</v>
      </c>
      <c r="G3273" s="178">
        <v>1730</v>
      </c>
      <c r="H3273" s="184">
        <v>42853</v>
      </c>
      <c r="I3273" s="183">
        <f t="shared" si="104"/>
        <v>1730</v>
      </c>
      <c r="J3273" s="178">
        <f t="shared" si="103"/>
        <v>0</v>
      </c>
      <c r="K3273" s="19"/>
    </row>
    <row r="3274" spans="1:11" x14ac:dyDescent="0.25">
      <c r="A3274" s="51">
        <v>42853</v>
      </c>
      <c r="B3274" s="174" t="s">
        <v>14839</v>
      </c>
      <c r="C3274" s="175"/>
      <c r="D3274" s="176" t="s">
        <v>14839</v>
      </c>
      <c r="E3274" s="176">
        <v>109708</v>
      </c>
      <c r="F3274" s="177" t="s">
        <v>69</v>
      </c>
      <c r="G3274" s="178">
        <v>514.79999999999995</v>
      </c>
      <c r="H3274" s="184">
        <v>42853</v>
      </c>
      <c r="I3274" s="183">
        <f t="shared" si="104"/>
        <v>514.79999999999995</v>
      </c>
      <c r="J3274" s="178">
        <f t="shared" si="103"/>
        <v>0</v>
      </c>
      <c r="K3274" s="19"/>
    </row>
    <row r="3275" spans="1:11" x14ac:dyDescent="0.25">
      <c r="A3275" s="51">
        <v>42853</v>
      </c>
      <c r="B3275" s="174" t="s">
        <v>14840</v>
      </c>
      <c r="C3275" s="175"/>
      <c r="D3275" s="176" t="s">
        <v>14840</v>
      </c>
      <c r="E3275" s="176">
        <v>109709</v>
      </c>
      <c r="F3275" s="177" t="s">
        <v>1797</v>
      </c>
      <c r="G3275" s="178">
        <v>17408.7</v>
      </c>
      <c r="H3275" s="186">
        <v>42858</v>
      </c>
      <c r="I3275" s="187">
        <f t="shared" si="104"/>
        <v>17408.7</v>
      </c>
      <c r="J3275" s="178">
        <f t="shared" si="103"/>
        <v>0</v>
      </c>
      <c r="K3275" s="19"/>
    </row>
    <row r="3276" spans="1:11" x14ac:dyDescent="0.25">
      <c r="A3276" s="51">
        <v>42853</v>
      </c>
      <c r="B3276" s="174" t="s">
        <v>14841</v>
      </c>
      <c r="C3276" s="175"/>
      <c r="D3276" s="176" t="s">
        <v>14841</v>
      </c>
      <c r="E3276" s="176">
        <v>109710</v>
      </c>
      <c r="F3276" s="177" t="s">
        <v>268</v>
      </c>
      <c r="G3276" s="178">
        <v>13889</v>
      </c>
      <c r="H3276" s="186">
        <v>42858</v>
      </c>
      <c r="I3276" s="187">
        <f t="shared" si="104"/>
        <v>13889</v>
      </c>
      <c r="J3276" s="178">
        <f t="shared" si="103"/>
        <v>0</v>
      </c>
      <c r="K3276" s="19"/>
    </row>
    <row r="3277" spans="1:11" x14ac:dyDescent="0.25">
      <c r="A3277" s="51">
        <v>42853</v>
      </c>
      <c r="B3277" s="174" t="s">
        <v>14842</v>
      </c>
      <c r="C3277" s="175"/>
      <c r="D3277" s="176" t="s">
        <v>14842</v>
      </c>
      <c r="E3277" s="176">
        <v>109711</v>
      </c>
      <c r="F3277" s="177" t="s">
        <v>49</v>
      </c>
      <c r="G3277" s="178">
        <v>10961.6</v>
      </c>
      <c r="H3277" s="186" t="s">
        <v>15188</v>
      </c>
      <c r="I3277" s="187">
        <f>7000+3961.6</f>
        <v>10961.6</v>
      </c>
      <c r="J3277" s="178">
        <f t="shared" si="103"/>
        <v>0</v>
      </c>
      <c r="K3277" s="19"/>
    </row>
    <row r="3278" spans="1:11" x14ac:dyDescent="0.25">
      <c r="A3278" s="51">
        <v>42853</v>
      </c>
      <c r="B3278" s="174" t="s">
        <v>14843</v>
      </c>
      <c r="C3278" s="175"/>
      <c r="D3278" s="176" t="s">
        <v>14843</v>
      </c>
      <c r="E3278" s="176">
        <v>109712</v>
      </c>
      <c r="F3278" s="177" t="s">
        <v>28</v>
      </c>
      <c r="G3278" s="178">
        <v>9088.7999999999993</v>
      </c>
      <c r="H3278" s="184">
        <v>42853</v>
      </c>
      <c r="I3278" s="183">
        <f t="shared" si="104"/>
        <v>9088.7999999999993</v>
      </c>
      <c r="J3278" s="178">
        <f t="shared" si="103"/>
        <v>0</v>
      </c>
      <c r="K3278" s="19"/>
    </row>
    <row r="3279" spans="1:11" x14ac:dyDescent="0.25">
      <c r="A3279" s="51">
        <v>42853</v>
      </c>
      <c r="B3279" s="174" t="s">
        <v>14844</v>
      </c>
      <c r="C3279" s="175"/>
      <c r="D3279" s="176" t="s">
        <v>14844</v>
      </c>
      <c r="E3279" s="176">
        <v>109713</v>
      </c>
      <c r="F3279" s="177" t="s">
        <v>12879</v>
      </c>
      <c r="G3279" s="178">
        <v>2332.1999999999998</v>
      </c>
      <c r="H3279" s="184">
        <v>42853</v>
      </c>
      <c r="I3279" s="183">
        <f t="shared" si="104"/>
        <v>2332.1999999999998</v>
      </c>
      <c r="J3279" s="178">
        <f t="shared" si="103"/>
        <v>0</v>
      </c>
      <c r="K3279" s="19"/>
    </row>
    <row r="3280" spans="1:11" x14ac:dyDescent="0.25">
      <c r="A3280" s="51">
        <v>42853</v>
      </c>
      <c r="B3280" s="174" t="s">
        <v>14845</v>
      </c>
      <c r="C3280" s="175"/>
      <c r="D3280" s="176" t="s">
        <v>14845</v>
      </c>
      <c r="E3280" s="176">
        <v>109714</v>
      </c>
      <c r="F3280" s="177" t="s">
        <v>270</v>
      </c>
      <c r="G3280" s="178">
        <v>957.6</v>
      </c>
      <c r="H3280" s="186">
        <v>42858</v>
      </c>
      <c r="I3280" s="187">
        <f t="shared" si="104"/>
        <v>957.6</v>
      </c>
      <c r="J3280" s="178">
        <f t="shared" si="103"/>
        <v>0</v>
      </c>
      <c r="K3280" s="19"/>
    </row>
    <row r="3281" spans="1:11" x14ac:dyDescent="0.25">
      <c r="A3281" s="51">
        <v>42853</v>
      </c>
      <c r="B3281" s="174" t="s">
        <v>14846</v>
      </c>
      <c r="C3281" s="175"/>
      <c r="D3281" s="176" t="s">
        <v>14846</v>
      </c>
      <c r="E3281" s="176">
        <v>109715</v>
      </c>
      <c r="F3281" s="177" t="s">
        <v>274</v>
      </c>
      <c r="G3281" s="178">
        <v>23113.55</v>
      </c>
      <c r="H3281" s="186" t="s">
        <v>15203</v>
      </c>
      <c r="I3281" s="187">
        <f>19500+3613.55</f>
        <v>23113.55</v>
      </c>
      <c r="J3281" s="178">
        <f t="shared" si="103"/>
        <v>0</v>
      </c>
      <c r="K3281" s="19"/>
    </row>
    <row r="3282" spans="1:11" x14ac:dyDescent="0.25">
      <c r="A3282" s="51">
        <v>42853</v>
      </c>
      <c r="B3282" s="174" t="s">
        <v>14847</v>
      </c>
      <c r="C3282" s="175"/>
      <c r="D3282" s="176" t="s">
        <v>14847</v>
      </c>
      <c r="E3282" s="176">
        <v>109716</v>
      </c>
      <c r="F3282" s="177" t="s">
        <v>432</v>
      </c>
      <c r="G3282" s="178">
        <v>14422.8</v>
      </c>
      <c r="H3282" s="186">
        <v>42858</v>
      </c>
      <c r="I3282" s="187">
        <f t="shared" si="104"/>
        <v>14422.8</v>
      </c>
      <c r="J3282" s="178">
        <f t="shared" si="103"/>
        <v>0</v>
      </c>
      <c r="K3282" s="19"/>
    </row>
    <row r="3283" spans="1:11" x14ac:dyDescent="0.25">
      <c r="A3283" s="51">
        <v>42853</v>
      </c>
      <c r="B3283" s="174" t="s">
        <v>14848</v>
      </c>
      <c r="C3283" s="175"/>
      <c r="D3283" s="176" t="s">
        <v>14848</v>
      </c>
      <c r="E3283" s="176">
        <v>109717</v>
      </c>
      <c r="F3283" s="177" t="s">
        <v>876</v>
      </c>
      <c r="G3283" s="178">
        <v>9608</v>
      </c>
      <c r="H3283" s="186">
        <v>42867</v>
      </c>
      <c r="I3283" s="187">
        <f t="shared" si="104"/>
        <v>9608</v>
      </c>
      <c r="J3283" s="178">
        <f t="shared" si="103"/>
        <v>0</v>
      </c>
      <c r="K3283" s="19"/>
    </row>
    <row r="3284" spans="1:11" x14ac:dyDescent="0.25">
      <c r="A3284" s="51">
        <v>42853</v>
      </c>
      <c r="B3284" s="174" t="s">
        <v>14849</v>
      </c>
      <c r="C3284" s="175"/>
      <c r="D3284" s="176" t="s">
        <v>14849</v>
      </c>
      <c r="E3284" s="176">
        <v>109718</v>
      </c>
      <c r="F3284" s="177" t="s">
        <v>435</v>
      </c>
      <c r="G3284" s="178">
        <v>3499.2</v>
      </c>
      <c r="H3284" s="186">
        <v>42858</v>
      </c>
      <c r="I3284" s="187">
        <f t="shared" si="104"/>
        <v>3499.2</v>
      </c>
      <c r="J3284" s="178">
        <f t="shared" si="103"/>
        <v>0</v>
      </c>
      <c r="K3284" s="19"/>
    </row>
    <row r="3285" spans="1:11" x14ac:dyDescent="0.25">
      <c r="A3285" s="51">
        <v>42853</v>
      </c>
      <c r="B3285" s="174" t="s">
        <v>14850</v>
      </c>
      <c r="C3285" s="175"/>
      <c r="D3285" s="176" t="s">
        <v>14850</v>
      </c>
      <c r="E3285" s="176">
        <v>109719</v>
      </c>
      <c r="F3285" s="177" t="s">
        <v>236</v>
      </c>
      <c r="G3285" s="178">
        <v>71431.960000000006</v>
      </c>
      <c r="H3285" s="186" t="s">
        <v>15204</v>
      </c>
      <c r="I3285" s="187">
        <f>23400.23+48031.73</f>
        <v>71431.960000000006</v>
      </c>
      <c r="J3285" s="204">
        <f t="shared" si="103"/>
        <v>0</v>
      </c>
      <c r="K3285" s="19"/>
    </row>
    <row r="3286" spans="1:11" x14ac:dyDescent="0.25">
      <c r="A3286" s="51">
        <v>42853</v>
      </c>
      <c r="B3286" s="174" t="s">
        <v>14851</v>
      </c>
      <c r="C3286" s="175"/>
      <c r="D3286" s="176" t="s">
        <v>14851</v>
      </c>
      <c r="E3286" s="176">
        <v>109720</v>
      </c>
      <c r="F3286" s="177" t="s">
        <v>476</v>
      </c>
      <c r="G3286" s="178">
        <v>10705</v>
      </c>
      <c r="H3286" s="184">
        <v>42854</v>
      </c>
      <c r="I3286" s="183">
        <f t="shared" si="104"/>
        <v>10705</v>
      </c>
      <c r="J3286" s="178">
        <f t="shared" si="103"/>
        <v>0</v>
      </c>
      <c r="K3286" s="19"/>
    </row>
    <row r="3287" spans="1:11" x14ac:dyDescent="0.25">
      <c r="A3287" s="51">
        <v>42853</v>
      </c>
      <c r="B3287" s="174" t="s">
        <v>14852</v>
      </c>
      <c r="C3287" s="175"/>
      <c r="D3287" s="176" t="s">
        <v>14852</v>
      </c>
      <c r="E3287" s="176">
        <v>109721</v>
      </c>
      <c r="F3287" s="177" t="s">
        <v>38</v>
      </c>
      <c r="G3287" s="178">
        <v>3002.2</v>
      </c>
      <c r="H3287" s="186">
        <v>42859</v>
      </c>
      <c r="I3287" s="187">
        <f t="shared" si="104"/>
        <v>3002.2</v>
      </c>
      <c r="J3287" s="178">
        <f t="shared" si="103"/>
        <v>0</v>
      </c>
      <c r="K3287" s="19"/>
    </row>
    <row r="3288" spans="1:11" x14ac:dyDescent="0.25">
      <c r="A3288" s="51">
        <v>42853</v>
      </c>
      <c r="B3288" s="174" t="s">
        <v>14853</v>
      </c>
      <c r="C3288" s="175"/>
      <c r="D3288" s="176" t="s">
        <v>14853</v>
      </c>
      <c r="E3288" s="176">
        <v>109722</v>
      </c>
      <c r="F3288" s="177" t="s">
        <v>12</v>
      </c>
      <c r="G3288" s="178">
        <v>2695</v>
      </c>
      <c r="H3288" s="184">
        <v>42853</v>
      </c>
      <c r="I3288" s="183">
        <f t="shared" si="104"/>
        <v>2695</v>
      </c>
      <c r="J3288" s="178">
        <f t="shared" si="103"/>
        <v>0</v>
      </c>
      <c r="K3288" s="19"/>
    </row>
    <row r="3289" spans="1:11" x14ac:dyDescent="0.25">
      <c r="A3289" s="51">
        <v>42853</v>
      </c>
      <c r="B3289" s="174" t="s">
        <v>14854</v>
      </c>
      <c r="C3289" s="175"/>
      <c r="D3289" s="176" t="s">
        <v>14854</v>
      </c>
      <c r="E3289" s="176">
        <v>109723</v>
      </c>
      <c r="F3289" s="177" t="s">
        <v>1645</v>
      </c>
      <c r="G3289" s="178">
        <v>2267.6999999999998</v>
      </c>
      <c r="H3289" s="184">
        <v>42853</v>
      </c>
      <c r="I3289" s="183">
        <f t="shared" si="104"/>
        <v>2267.6999999999998</v>
      </c>
      <c r="J3289" s="178">
        <f t="shared" si="103"/>
        <v>0</v>
      </c>
      <c r="K3289" s="19"/>
    </row>
    <row r="3290" spans="1:11" x14ac:dyDescent="0.25">
      <c r="A3290" s="51">
        <v>42853</v>
      </c>
      <c r="B3290" s="174" t="s">
        <v>14855</v>
      </c>
      <c r="C3290" s="175"/>
      <c r="D3290" s="176" t="s">
        <v>14855</v>
      </c>
      <c r="E3290" s="176">
        <v>109724</v>
      </c>
      <c r="F3290" s="177" t="s">
        <v>305</v>
      </c>
      <c r="G3290" s="178">
        <v>2446.0500000000002</v>
      </c>
      <c r="H3290" s="186">
        <v>42856</v>
      </c>
      <c r="I3290" s="187">
        <f t="shared" si="104"/>
        <v>2446.0500000000002</v>
      </c>
      <c r="J3290" s="178">
        <f t="shared" si="103"/>
        <v>0</v>
      </c>
      <c r="K3290" s="19"/>
    </row>
    <row r="3291" spans="1:11" x14ac:dyDescent="0.25">
      <c r="A3291" s="51">
        <v>42853</v>
      </c>
      <c r="B3291" s="174" t="s">
        <v>14856</v>
      </c>
      <c r="C3291" s="175"/>
      <c r="D3291" s="176" t="s">
        <v>14856</v>
      </c>
      <c r="E3291" s="176">
        <v>109725</v>
      </c>
      <c r="F3291" s="177" t="s">
        <v>103</v>
      </c>
      <c r="G3291" s="178">
        <v>2835</v>
      </c>
      <c r="H3291" s="186">
        <v>42856</v>
      </c>
      <c r="I3291" s="187">
        <f t="shared" si="104"/>
        <v>2835</v>
      </c>
      <c r="J3291" s="178">
        <f t="shared" si="103"/>
        <v>0</v>
      </c>
      <c r="K3291" s="19"/>
    </row>
    <row r="3292" spans="1:11" x14ac:dyDescent="0.25">
      <c r="A3292" s="51">
        <v>42853</v>
      </c>
      <c r="B3292" s="174" t="s">
        <v>14857</v>
      </c>
      <c r="C3292" s="175"/>
      <c r="D3292" s="176" t="s">
        <v>14857</v>
      </c>
      <c r="E3292" s="176">
        <v>109726</v>
      </c>
      <c r="F3292" s="177" t="s">
        <v>151</v>
      </c>
      <c r="G3292" s="178">
        <v>9955.85</v>
      </c>
      <c r="H3292" s="184">
        <v>42853</v>
      </c>
      <c r="I3292" s="183">
        <f t="shared" si="104"/>
        <v>9955.85</v>
      </c>
      <c r="J3292" s="178">
        <f t="shared" si="103"/>
        <v>0</v>
      </c>
      <c r="K3292" s="19"/>
    </row>
    <row r="3293" spans="1:11" x14ac:dyDescent="0.25">
      <c r="A3293" s="51">
        <v>42853</v>
      </c>
      <c r="B3293" s="174" t="s">
        <v>14858</v>
      </c>
      <c r="C3293" s="175"/>
      <c r="D3293" s="176" t="s">
        <v>14858</v>
      </c>
      <c r="E3293" s="176">
        <v>109727</v>
      </c>
      <c r="F3293" s="177" t="s">
        <v>157</v>
      </c>
      <c r="G3293" s="178">
        <v>20825.3</v>
      </c>
      <c r="H3293" s="184">
        <v>42853</v>
      </c>
      <c r="I3293" s="183">
        <f t="shared" si="104"/>
        <v>20825.3</v>
      </c>
      <c r="J3293" s="178">
        <f t="shared" si="103"/>
        <v>0</v>
      </c>
      <c r="K3293" s="19"/>
    </row>
    <row r="3294" spans="1:11" x14ac:dyDescent="0.25">
      <c r="A3294" s="51">
        <v>42853</v>
      </c>
      <c r="B3294" s="174" t="s">
        <v>14859</v>
      </c>
      <c r="C3294" s="175"/>
      <c r="D3294" s="176" t="s">
        <v>14859</v>
      </c>
      <c r="E3294" s="176">
        <v>109728</v>
      </c>
      <c r="F3294" s="177" t="s">
        <v>305</v>
      </c>
      <c r="G3294" s="178">
        <v>394</v>
      </c>
      <c r="H3294" s="186">
        <v>42856</v>
      </c>
      <c r="I3294" s="187">
        <f t="shared" si="104"/>
        <v>394</v>
      </c>
      <c r="J3294" s="178">
        <f t="shared" si="103"/>
        <v>0</v>
      </c>
      <c r="K3294" s="19"/>
    </row>
    <row r="3295" spans="1:11" x14ac:dyDescent="0.25">
      <c r="A3295" s="51">
        <v>42853</v>
      </c>
      <c r="B3295" s="174" t="s">
        <v>14860</v>
      </c>
      <c r="C3295" s="175"/>
      <c r="D3295" s="176" t="s">
        <v>14860</v>
      </c>
      <c r="E3295" s="176">
        <v>109729</v>
      </c>
      <c r="F3295" s="177" t="s">
        <v>250</v>
      </c>
      <c r="G3295" s="178">
        <v>17144.7</v>
      </c>
      <c r="H3295" s="184">
        <v>42854</v>
      </c>
      <c r="I3295" s="183">
        <f t="shared" si="104"/>
        <v>17144.7</v>
      </c>
      <c r="J3295" s="178">
        <f t="shared" si="103"/>
        <v>0</v>
      </c>
      <c r="K3295" s="19"/>
    </row>
    <row r="3296" spans="1:11" x14ac:dyDescent="0.25">
      <c r="A3296" s="51">
        <v>42853</v>
      </c>
      <c r="B3296" s="174" t="s">
        <v>14861</v>
      </c>
      <c r="C3296" s="175"/>
      <c r="D3296" s="176" t="s">
        <v>14861</v>
      </c>
      <c r="E3296" s="176">
        <v>109730</v>
      </c>
      <c r="F3296" s="177" t="s">
        <v>43</v>
      </c>
      <c r="G3296" s="178">
        <v>5367.1</v>
      </c>
      <c r="H3296" s="186" t="s">
        <v>15199</v>
      </c>
      <c r="I3296" s="187">
        <f>2000+3367.1</f>
        <v>5367.1</v>
      </c>
      <c r="J3296" s="178">
        <f t="shared" si="103"/>
        <v>0</v>
      </c>
      <c r="K3296" s="19"/>
    </row>
    <row r="3297" spans="1:11" x14ac:dyDescent="0.25">
      <c r="A3297" s="51">
        <v>42853</v>
      </c>
      <c r="B3297" s="174" t="s">
        <v>14862</v>
      </c>
      <c r="C3297" s="175"/>
      <c r="D3297" s="176" t="s">
        <v>14862</v>
      </c>
      <c r="E3297" s="176">
        <v>109731</v>
      </c>
      <c r="F3297" s="177" t="s">
        <v>51</v>
      </c>
      <c r="G3297" s="178">
        <v>3016</v>
      </c>
      <c r="H3297" s="186">
        <v>42856</v>
      </c>
      <c r="I3297" s="187">
        <f t="shared" si="104"/>
        <v>3016</v>
      </c>
      <c r="J3297" s="178">
        <f t="shared" si="103"/>
        <v>0</v>
      </c>
      <c r="K3297" s="19"/>
    </row>
    <row r="3298" spans="1:11" x14ac:dyDescent="0.25">
      <c r="A3298" s="51">
        <v>42853</v>
      </c>
      <c r="B3298" s="174" t="s">
        <v>14863</v>
      </c>
      <c r="C3298" s="175"/>
      <c r="D3298" s="176" t="s">
        <v>14863</v>
      </c>
      <c r="E3298" s="176">
        <v>109732</v>
      </c>
      <c r="F3298" s="177" t="s">
        <v>35</v>
      </c>
      <c r="G3298" s="178">
        <v>13222.2</v>
      </c>
      <c r="H3298" s="186">
        <v>42858</v>
      </c>
      <c r="I3298" s="187">
        <f t="shared" si="104"/>
        <v>13222.2</v>
      </c>
      <c r="J3298" s="178">
        <f t="shared" si="103"/>
        <v>0</v>
      </c>
      <c r="K3298" s="19"/>
    </row>
    <row r="3299" spans="1:11" x14ac:dyDescent="0.25">
      <c r="A3299" s="51">
        <v>42853</v>
      </c>
      <c r="B3299" s="174" t="s">
        <v>14864</v>
      </c>
      <c r="C3299" s="175"/>
      <c r="D3299" s="176" t="s">
        <v>14864</v>
      </c>
      <c r="E3299" s="176">
        <v>109733</v>
      </c>
      <c r="F3299" s="177" t="s">
        <v>35</v>
      </c>
      <c r="G3299" s="178">
        <v>262</v>
      </c>
      <c r="H3299" s="186">
        <v>42858</v>
      </c>
      <c r="I3299" s="187">
        <f t="shared" si="104"/>
        <v>262</v>
      </c>
      <c r="J3299" s="178">
        <f t="shared" si="103"/>
        <v>0</v>
      </c>
      <c r="K3299" s="19"/>
    </row>
    <row r="3300" spans="1:11" x14ac:dyDescent="0.25">
      <c r="A3300" s="51">
        <v>42853</v>
      </c>
      <c r="B3300" s="174" t="s">
        <v>14865</v>
      </c>
      <c r="C3300" s="175"/>
      <c r="D3300" s="176" t="s">
        <v>14865</v>
      </c>
      <c r="E3300" s="176">
        <v>109734</v>
      </c>
      <c r="F3300" s="177" t="s">
        <v>298</v>
      </c>
      <c r="G3300" s="178">
        <v>3004.95</v>
      </c>
      <c r="H3300" s="184">
        <v>42853</v>
      </c>
      <c r="I3300" s="183">
        <f t="shared" si="104"/>
        <v>3004.95</v>
      </c>
      <c r="J3300" s="178">
        <f t="shared" si="103"/>
        <v>0</v>
      </c>
      <c r="K3300" s="19"/>
    </row>
    <row r="3301" spans="1:11" x14ac:dyDescent="0.25">
      <c r="A3301" s="51">
        <v>42853</v>
      </c>
      <c r="B3301" s="174" t="s">
        <v>14866</v>
      </c>
      <c r="C3301" s="175"/>
      <c r="D3301" s="176" t="s">
        <v>14866</v>
      </c>
      <c r="E3301" s="176">
        <v>109735</v>
      </c>
      <c r="F3301" s="177" t="s">
        <v>40</v>
      </c>
      <c r="G3301" s="178">
        <v>5687.1</v>
      </c>
      <c r="H3301" s="186" t="s">
        <v>15194</v>
      </c>
      <c r="I3301" s="187">
        <f>2500+3187.1</f>
        <v>5687.1</v>
      </c>
      <c r="J3301" s="178">
        <f t="shared" si="103"/>
        <v>0</v>
      </c>
      <c r="K3301" s="19"/>
    </row>
    <row r="3302" spans="1:11" x14ac:dyDescent="0.25">
      <c r="A3302" s="51">
        <v>42853</v>
      </c>
      <c r="B3302" s="174" t="s">
        <v>14867</v>
      </c>
      <c r="C3302" s="175"/>
      <c r="D3302" s="176" t="s">
        <v>14867</v>
      </c>
      <c r="E3302" s="176">
        <v>109736</v>
      </c>
      <c r="F3302" s="177" t="s">
        <v>67</v>
      </c>
      <c r="G3302" s="178">
        <v>5484.2</v>
      </c>
      <c r="H3302" s="186">
        <v>42857</v>
      </c>
      <c r="I3302" s="187">
        <f t="shared" si="104"/>
        <v>5484.2</v>
      </c>
      <c r="J3302" s="178">
        <f t="shared" si="103"/>
        <v>0</v>
      </c>
      <c r="K3302" s="19"/>
    </row>
    <row r="3303" spans="1:11" x14ac:dyDescent="0.25">
      <c r="A3303" s="51">
        <v>42853</v>
      </c>
      <c r="B3303" s="174" t="s">
        <v>14868</v>
      </c>
      <c r="C3303" s="175"/>
      <c r="D3303" s="176" t="s">
        <v>14868</v>
      </c>
      <c r="E3303" s="176">
        <v>109737</v>
      </c>
      <c r="F3303" s="177" t="s">
        <v>47</v>
      </c>
      <c r="G3303" s="178">
        <v>3400.6</v>
      </c>
      <c r="H3303" s="184">
        <v>42853</v>
      </c>
      <c r="I3303" s="183">
        <f t="shared" si="104"/>
        <v>3400.6</v>
      </c>
      <c r="J3303" s="178">
        <f t="shared" si="103"/>
        <v>0</v>
      </c>
      <c r="K3303" s="19"/>
    </row>
    <row r="3304" spans="1:11" x14ac:dyDescent="0.25">
      <c r="A3304" s="51">
        <v>42853</v>
      </c>
      <c r="B3304" s="174" t="s">
        <v>14869</v>
      </c>
      <c r="C3304" s="175"/>
      <c r="D3304" s="176" t="s">
        <v>14869</v>
      </c>
      <c r="E3304" s="176">
        <v>109738</v>
      </c>
      <c r="F3304" s="177" t="s">
        <v>149</v>
      </c>
      <c r="G3304" s="178">
        <v>4322.7</v>
      </c>
      <c r="H3304" s="184">
        <v>42853</v>
      </c>
      <c r="I3304" s="183">
        <f t="shared" si="104"/>
        <v>4322.7</v>
      </c>
      <c r="J3304" s="178">
        <f t="shared" si="103"/>
        <v>0</v>
      </c>
      <c r="K3304" s="19"/>
    </row>
    <row r="3305" spans="1:11" x14ac:dyDescent="0.25">
      <c r="A3305" s="51">
        <v>42853</v>
      </c>
      <c r="B3305" s="174" t="s">
        <v>14870</v>
      </c>
      <c r="C3305" s="175"/>
      <c r="D3305" s="176" t="s">
        <v>14870</v>
      </c>
      <c r="E3305" s="176">
        <v>109739</v>
      </c>
      <c r="F3305" s="177" t="s">
        <v>30</v>
      </c>
      <c r="G3305" s="178">
        <v>2619.3000000000002</v>
      </c>
      <c r="H3305" s="184">
        <v>42854</v>
      </c>
      <c r="I3305" s="183">
        <f t="shared" si="104"/>
        <v>2619.3000000000002</v>
      </c>
      <c r="J3305" s="178">
        <f t="shared" si="103"/>
        <v>0</v>
      </c>
      <c r="K3305" s="19"/>
    </row>
    <row r="3306" spans="1:11" x14ac:dyDescent="0.25">
      <c r="A3306" s="51">
        <v>42853</v>
      </c>
      <c r="B3306" s="174" t="s">
        <v>14871</v>
      </c>
      <c r="C3306" s="175"/>
      <c r="D3306" s="176" t="s">
        <v>14871</v>
      </c>
      <c r="E3306" s="176">
        <v>109740</v>
      </c>
      <c r="F3306" s="177" t="s">
        <v>157</v>
      </c>
      <c r="G3306" s="178">
        <v>589.5</v>
      </c>
      <c r="H3306" s="184">
        <v>42853</v>
      </c>
      <c r="I3306" s="183">
        <f t="shared" si="104"/>
        <v>589.5</v>
      </c>
      <c r="J3306" s="178">
        <f t="shared" si="103"/>
        <v>0</v>
      </c>
      <c r="K3306" s="19"/>
    </row>
    <row r="3307" spans="1:11" x14ac:dyDescent="0.25">
      <c r="A3307" s="51">
        <v>42853</v>
      </c>
      <c r="B3307" s="174" t="s">
        <v>14872</v>
      </c>
      <c r="C3307" s="175"/>
      <c r="D3307" s="176" t="s">
        <v>14872</v>
      </c>
      <c r="E3307" s="176">
        <v>109741</v>
      </c>
      <c r="F3307" s="177" t="s">
        <v>1090</v>
      </c>
      <c r="G3307" s="178">
        <v>4635.5</v>
      </c>
      <c r="H3307" s="184">
        <v>42853</v>
      </c>
      <c r="I3307" s="183">
        <f t="shared" si="104"/>
        <v>4635.5</v>
      </c>
      <c r="J3307" s="178">
        <f t="shared" si="103"/>
        <v>0</v>
      </c>
      <c r="K3307" s="19"/>
    </row>
    <row r="3308" spans="1:11" x14ac:dyDescent="0.25">
      <c r="A3308" s="51">
        <v>42853</v>
      </c>
      <c r="B3308" s="174" t="s">
        <v>14873</v>
      </c>
      <c r="C3308" s="175"/>
      <c r="D3308" s="176" t="s">
        <v>14873</v>
      </c>
      <c r="E3308" s="176">
        <v>109742</v>
      </c>
      <c r="F3308" s="177" t="s">
        <v>139</v>
      </c>
      <c r="G3308" s="178">
        <v>1551.8</v>
      </c>
      <c r="H3308" s="184">
        <v>42853</v>
      </c>
      <c r="I3308" s="183">
        <f t="shared" si="104"/>
        <v>1551.8</v>
      </c>
      <c r="J3308" s="178">
        <f t="shared" si="103"/>
        <v>0</v>
      </c>
      <c r="K3308" s="19"/>
    </row>
    <row r="3309" spans="1:11" x14ac:dyDescent="0.25">
      <c r="A3309" s="51">
        <v>42853</v>
      </c>
      <c r="B3309" s="174" t="s">
        <v>14874</v>
      </c>
      <c r="C3309" s="175"/>
      <c r="D3309" s="176" t="s">
        <v>14874</v>
      </c>
      <c r="E3309" s="176">
        <v>109743</v>
      </c>
      <c r="F3309" s="177" t="s">
        <v>79</v>
      </c>
      <c r="G3309" s="178">
        <v>2964.6</v>
      </c>
      <c r="H3309" s="184">
        <v>42853</v>
      </c>
      <c r="I3309" s="183">
        <f t="shared" si="104"/>
        <v>2964.6</v>
      </c>
      <c r="J3309" s="178">
        <f t="shared" si="103"/>
        <v>0</v>
      </c>
      <c r="K3309" s="19"/>
    </row>
    <row r="3310" spans="1:11" x14ac:dyDescent="0.25">
      <c r="A3310" s="51">
        <v>42853</v>
      </c>
      <c r="B3310" s="174" t="s">
        <v>14875</v>
      </c>
      <c r="C3310" s="175"/>
      <c r="D3310" s="176" t="s">
        <v>14875</v>
      </c>
      <c r="E3310" s="176">
        <v>109744</v>
      </c>
      <c r="F3310" s="177" t="s">
        <v>240</v>
      </c>
      <c r="G3310" s="178">
        <v>8429.4</v>
      </c>
      <c r="H3310" s="184">
        <v>42853</v>
      </c>
      <c r="I3310" s="183">
        <f t="shared" si="104"/>
        <v>8429.4</v>
      </c>
      <c r="J3310" s="178">
        <f t="shared" si="103"/>
        <v>0</v>
      </c>
      <c r="K3310" s="19"/>
    </row>
    <row r="3311" spans="1:11" x14ac:dyDescent="0.25">
      <c r="A3311" s="51">
        <v>42853</v>
      </c>
      <c r="B3311" s="174" t="s">
        <v>14876</v>
      </c>
      <c r="C3311" s="175"/>
      <c r="D3311" s="176" t="s">
        <v>14876</v>
      </c>
      <c r="E3311" s="176">
        <v>109745</v>
      </c>
      <c r="F3311" s="177" t="s">
        <v>3425</v>
      </c>
      <c r="G3311" s="178">
        <v>2341.1</v>
      </c>
      <c r="H3311" s="184">
        <v>42853</v>
      </c>
      <c r="I3311" s="183">
        <f t="shared" si="104"/>
        <v>2341.1</v>
      </c>
      <c r="J3311" s="178">
        <f t="shared" si="103"/>
        <v>0</v>
      </c>
      <c r="K3311" s="19"/>
    </row>
    <row r="3312" spans="1:11" x14ac:dyDescent="0.25">
      <c r="A3312" s="51">
        <v>42853</v>
      </c>
      <c r="B3312" s="174" t="s">
        <v>14877</v>
      </c>
      <c r="C3312" s="175"/>
      <c r="D3312" s="176" t="s">
        <v>14877</v>
      </c>
      <c r="E3312" s="176">
        <v>109746</v>
      </c>
      <c r="F3312" s="177" t="s">
        <v>1116</v>
      </c>
      <c r="G3312" s="178">
        <v>2123.3000000000002</v>
      </c>
      <c r="H3312" s="184">
        <v>42854</v>
      </c>
      <c r="I3312" s="183">
        <f t="shared" si="104"/>
        <v>2123.3000000000002</v>
      </c>
      <c r="J3312" s="178">
        <f t="shared" si="103"/>
        <v>0</v>
      </c>
      <c r="K3312" s="19"/>
    </row>
    <row r="3313" spans="1:11" x14ac:dyDescent="0.25">
      <c r="A3313" s="51">
        <v>42853</v>
      </c>
      <c r="B3313" s="174" t="s">
        <v>14878</v>
      </c>
      <c r="C3313" s="175"/>
      <c r="D3313" s="176" t="s">
        <v>14878</v>
      </c>
      <c r="E3313" s="176">
        <v>109747</v>
      </c>
      <c r="F3313" s="177" t="s">
        <v>866</v>
      </c>
      <c r="G3313" s="178">
        <v>5393.3</v>
      </c>
      <c r="H3313" s="184">
        <v>42853</v>
      </c>
      <c r="I3313" s="183">
        <f t="shared" si="104"/>
        <v>5393.3</v>
      </c>
      <c r="J3313" s="178">
        <f t="shared" si="103"/>
        <v>0</v>
      </c>
      <c r="K3313" s="19"/>
    </row>
    <row r="3314" spans="1:11" x14ac:dyDescent="0.25">
      <c r="A3314" s="51">
        <v>42853</v>
      </c>
      <c r="B3314" s="174" t="s">
        <v>14879</v>
      </c>
      <c r="C3314" s="175"/>
      <c r="D3314" s="176" t="s">
        <v>14879</v>
      </c>
      <c r="E3314" s="176">
        <v>109748</v>
      </c>
      <c r="F3314" s="177" t="s">
        <v>866</v>
      </c>
      <c r="G3314" s="178">
        <v>424.8</v>
      </c>
      <c r="H3314" s="184">
        <v>42853</v>
      </c>
      <c r="I3314" s="183">
        <f t="shared" si="104"/>
        <v>424.8</v>
      </c>
      <c r="J3314" s="178">
        <f t="shared" si="103"/>
        <v>0</v>
      </c>
      <c r="K3314" s="19"/>
    </row>
    <row r="3315" spans="1:11" x14ac:dyDescent="0.25">
      <c r="A3315" s="51">
        <v>42853</v>
      </c>
      <c r="B3315" s="174" t="s">
        <v>14880</v>
      </c>
      <c r="C3315" s="175"/>
      <c r="D3315" s="176" t="s">
        <v>14880</v>
      </c>
      <c r="E3315" s="176">
        <v>109749</v>
      </c>
      <c r="F3315" s="177" t="s">
        <v>428</v>
      </c>
      <c r="G3315" s="178">
        <v>1255.5</v>
      </c>
      <c r="H3315" s="184">
        <v>42854</v>
      </c>
      <c r="I3315" s="183">
        <f t="shared" si="104"/>
        <v>1255.5</v>
      </c>
      <c r="J3315" s="178">
        <f t="shared" si="103"/>
        <v>0</v>
      </c>
      <c r="K3315" s="19"/>
    </row>
    <row r="3316" spans="1:11" x14ac:dyDescent="0.25">
      <c r="A3316" s="51">
        <v>42853</v>
      </c>
      <c r="B3316" s="174" t="s">
        <v>14881</v>
      </c>
      <c r="C3316" s="175"/>
      <c r="D3316" s="176" t="s">
        <v>14881</v>
      </c>
      <c r="E3316" s="176">
        <v>109750</v>
      </c>
      <c r="F3316" s="177" t="s">
        <v>145</v>
      </c>
      <c r="G3316" s="178">
        <v>18629.599999999999</v>
      </c>
      <c r="H3316" s="186">
        <v>42922</v>
      </c>
      <c r="I3316" s="187">
        <f t="shared" si="104"/>
        <v>18629.599999999999</v>
      </c>
      <c r="J3316" s="178">
        <f t="shared" si="103"/>
        <v>0</v>
      </c>
      <c r="K3316" s="19"/>
    </row>
    <row r="3317" spans="1:11" x14ac:dyDescent="0.25">
      <c r="A3317" s="51">
        <v>42853</v>
      </c>
      <c r="B3317" s="174" t="s">
        <v>14882</v>
      </c>
      <c r="C3317" s="175"/>
      <c r="D3317" s="176" t="s">
        <v>14882</v>
      </c>
      <c r="E3317" s="176">
        <v>109751</v>
      </c>
      <c r="F3317" s="177" t="s">
        <v>155</v>
      </c>
      <c r="G3317" s="178">
        <v>21454.400000000001</v>
      </c>
      <c r="H3317" s="186">
        <v>42857</v>
      </c>
      <c r="I3317" s="187">
        <f t="shared" si="104"/>
        <v>21454.400000000001</v>
      </c>
      <c r="J3317" s="178">
        <f t="shared" si="103"/>
        <v>0</v>
      </c>
      <c r="K3317" s="19"/>
    </row>
    <row r="3318" spans="1:11" x14ac:dyDescent="0.25">
      <c r="A3318" s="51">
        <v>42853</v>
      </c>
      <c r="B3318" s="174" t="s">
        <v>14883</v>
      </c>
      <c r="C3318" s="175"/>
      <c r="D3318" s="176" t="s">
        <v>14883</v>
      </c>
      <c r="E3318" s="176">
        <v>109752</v>
      </c>
      <c r="F3318" s="177" t="s">
        <v>145</v>
      </c>
      <c r="G3318" s="178">
        <v>6652.8</v>
      </c>
      <c r="H3318" s="184">
        <v>42855</v>
      </c>
      <c r="I3318" s="183">
        <f t="shared" si="104"/>
        <v>6652.8</v>
      </c>
      <c r="J3318" s="178">
        <f t="shared" si="103"/>
        <v>0</v>
      </c>
      <c r="K3318" s="19"/>
    </row>
    <row r="3319" spans="1:11" x14ac:dyDescent="0.25">
      <c r="A3319" s="51">
        <v>42853</v>
      </c>
      <c r="B3319" s="174" t="s">
        <v>14884</v>
      </c>
      <c r="C3319" s="175"/>
      <c r="D3319" s="176" t="s">
        <v>14884</v>
      </c>
      <c r="E3319" s="176">
        <v>109753</v>
      </c>
      <c r="F3319" s="177" t="s">
        <v>14885</v>
      </c>
      <c r="G3319" s="178">
        <v>12759.8</v>
      </c>
      <c r="H3319" s="186" t="s">
        <v>15208</v>
      </c>
      <c r="I3319" s="187">
        <f>6000+3000+3759.8</f>
        <v>12759.8</v>
      </c>
      <c r="J3319" s="204">
        <f t="shared" si="103"/>
        <v>0</v>
      </c>
      <c r="K3319" s="19"/>
    </row>
    <row r="3320" spans="1:11" x14ac:dyDescent="0.25">
      <c r="A3320" s="51">
        <v>42853</v>
      </c>
      <c r="B3320" s="174" t="s">
        <v>14886</v>
      </c>
      <c r="C3320" s="175"/>
      <c r="D3320" s="176" t="s">
        <v>14886</v>
      </c>
      <c r="E3320" s="176">
        <v>109754</v>
      </c>
      <c r="F3320" s="177" t="s">
        <v>312</v>
      </c>
      <c r="G3320" s="178">
        <v>14322</v>
      </c>
      <c r="H3320" s="186">
        <v>42893</v>
      </c>
      <c r="I3320" s="187">
        <f t="shared" si="104"/>
        <v>14322</v>
      </c>
      <c r="J3320" s="178">
        <f t="shared" si="103"/>
        <v>0</v>
      </c>
      <c r="K3320" s="19"/>
    </row>
    <row r="3321" spans="1:11" x14ac:dyDescent="0.25">
      <c r="A3321" s="51">
        <v>42853</v>
      </c>
      <c r="B3321" s="174" t="s">
        <v>14887</v>
      </c>
      <c r="C3321" s="175"/>
      <c r="D3321" s="176" t="s">
        <v>14887</v>
      </c>
      <c r="E3321" s="176">
        <v>109755</v>
      </c>
      <c r="F3321" s="177" t="s">
        <v>1325</v>
      </c>
      <c r="G3321" s="178">
        <v>2104.8000000000002</v>
      </c>
      <c r="H3321" s="184">
        <v>42853</v>
      </c>
      <c r="I3321" s="183">
        <f t="shared" si="104"/>
        <v>2104.8000000000002</v>
      </c>
      <c r="J3321" s="178">
        <f t="shared" si="103"/>
        <v>0</v>
      </c>
      <c r="K3321" s="19"/>
    </row>
    <row r="3322" spans="1:11" x14ac:dyDescent="0.25">
      <c r="A3322" s="51">
        <v>42853</v>
      </c>
      <c r="B3322" s="174" t="s">
        <v>14888</v>
      </c>
      <c r="C3322" s="175"/>
      <c r="D3322" s="176" t="s">
        <v>14888</v>
      </c>
      <c r="E3322" s="176">
        <v>109756</v>
      </c>
      <c r="F3322" s="177" t="s">
        <v>161</v>
      </c>
      <c r="G3322" s="178">
        <v>44193.8</v>
      </c>
      <c r="H3322" s="186">
        <v>42881</v>
      </c>
      <c r="I3322" s="187">
        <f t="shared" si="104"/>
        <v>44193.8</v>
      </c>
      <c r="J3322" s="178">
        <f t="shared" si="103"/>
        <v>0</v>
      </c>
      <c r="K3322" s="19"/>
    </row>
    <row r="3323" spans="1:11" x14ac:dyDescent="0.25">
      <c r="A3323" s="51">
        <v>42853</v>
      </c>
      <c r="B3323" s="174" t="s">
        <v>14889</v>
      </c>
      <c r="C3323" s="175"/>
      <c r="D3323" s="176" t="s">
        <v>14889</v>
      </c>
      <c r="E3323" s="176">
        <v>109757</v>
      </c>
      <c r="F3323" s="177" t="s">
        <v>155</v>
      </c>
      <c r="G3323" s="178">
        <v>1287</v>
      </c>
      <c r="H3323" s="184">
        <v>42855</v>
      </c>
      <c r="I3323" s="183">
        <f t="shared" si="104"/>
        <v>1287</v>
      </c>
      <c r="J3323" s="178">
        <f t="shared" si="103"/>
        <v>0</v>
      </c>
      <c r="K3323" s="19"/>
    </row>
    <row r="3324" spans="1:11" x14ac:dyDescent="0.25">
      <c r="A3324" s="51">
        <v>42853</v>
      </c>
      <c r="B3324" s="174" t="s">
        <v>14890</v>
      </c>
      <c r="C3324" s="175"/>
      <c r="D3324" s="176" t="s">
        <v>14890</v>
      </c>
      <c r="E3324" s="176">
        <v>109758</v>
      </c>
      <c r="F3324" s="177" t="s">
        <v>155</v>
      </c>
      <c r="G3324" s="178">
        <v>228.9</v>
      </c>
      <c r="H3324" s="184">
        <v>42855</v>
      </c>
      <c r="I3324" s="183">
        <f t="shared" si="104"/>
        <v>228.9</v>
      </c>
      <c r="J3324" s="178">
        <f t="shared" si="103"/>
        <v>0</v>
      </c>
      <c r="K3324" s="19"/>
    </row>
    <row r="3325" spans="1:11" x14ac:dyDescent="0.25">
      <c r="A3325" s="51">
        <v>42853</v>
      </c>
      <c r="B3325" s="174" t="s">
        <v>14891</v>
      </c>
      <c r="C3325" s="175"/>
      <c r="D3325" s="176" t="s">
        <v>14891</v>
      </c>
      <c r="E3325" s="176">
        <v>109759</v>
      </c>
      <c r="F3325" s="177" t="s">
        <v>30</v>
      </c>
      <c r="G3325" s="178">
        <v>7629.6</v>
      </c>
      <c r="H3325" s="184">
        <v>42853</v>
      </c>
      <c r="I3325" s="183">
        <f t="shared" si="104"/>
        <v>7629.6</v>
      </c>
      <c r="J3325" s="178">
        <f t="shared" si="103"/>
        <v>0</v>
      </c>
      <c r="K3325" s="19"/>
    </row>
    <row r="3326" spans="1:11" x14ac:dyDescent="0.25">
      <c r="A3326" s="51">
        <v>42853</v>
      </c>
      <c r="B3326" s="174" t="s">
        <v>14892</v>
      </c>
      <c r="C3326" s="175"/>
      <c r="D3326" s="176" t="s">
        <v>14892</v>
      </c>
      <c r="E3326" s="176">
        <v>109760</v>
      </c>
      <c r="F3326" s="177" t="s">
        <v>10</v>
      </c>
      <c r="G3326" s="178">
        <v>42371</v>
      </c>
      <c r="H3326" s="184">
        <v>42854</v>
      </c>
      <c r="I3326" s="183">
        <f t="shared" si="104"/>
        <v>42371</v>
      </c>
      <c r="J3326" s="178">
        <f t="shared" si="103"/>
        <v>0</v>
      </c>
      <c r="K3326" s="19"/>
    </row>
    <row r="3327" spans="1:11" x14ac:dyDescent="0.25">
      <c r="A3327" s="51">
        <v>42853</v>
      </c>
      <c r="B3327" s="174" t="s">
        <v>14893</v>
      </c>
      <c r="C3327" s="175"/>
      <c r="D3327" s="176" t="s">
        <v>14893</v>
      </c>
      <c r="E3327" s="176">
        <v>109761</v>
      </c>
      <c r="F3327" s="177" t="s">
        <v>172</v>
      </c>
      <c r="G3327" s="178">
        <v>38249.5</v>
      </c>
      <c r="H3327" s="186">
        <v>42864</v>
      </c>
      <c r="I3327" s="187">
        <f t="shared" si="104"/>
        <v>38249.5</v>
      </c>
      <c r="J3327" s="178">
        <f t="shared" si="103"/>
        <v>0</v>
      </c>
      <c r="K3327" s="19"/>
    </row>
    <row r="3328" spans="1:11" x14ac:dyDescent="0.25">
      <c r="A3328" s="51">
        <v>42853</v>
      </c>
      <c r="B3328" s="174" t="s">
        <v>14894</v>
      </c>
      <c r="C3328" s="175"/>
      <c r="D3328" s="176" t="s">
        <v>14894</v>
      </c>
      <c r="E3328" s="176">
        <v>109762</v>
      </c>
      <c r="F3328" s="177" t="s">
        <v>10</v>
      </c>
      <c r="G3328" s="178">
        <v>108472.64</v>
      </c>
      <c r="H3328" s="184">
        <v>42854</v>
      </c>
      <c r="I3328" s="183">
        <f t="shared" si="104"/>
        <v>108472.64</v>
      </c>
      <c r="J3328" s="178">
        <f t="shared" si="103"/>
        <v>0</v>
      </c>
      <c r="K3328" s="19"/>
    </row>
    <row r="3329" spans="1:11" x14ac:dyDescent="0.25">
      <c r="A3329" s="51">
        <v>42853</v>
      </c>
      <c r="B3329" s="174" t="s">
        <v>14895</v>
      </c>
      <c r="C3329" s="175"/>
      <c r="D3329" s="176" t="s">
        <v>14895</v>
      </c>
      <c r="E3329" s="176">
        <v>109763</v>
      </c>
      <c r="F3329" s="177" t="s">
        <v>165</v>
      </c>
      <c r="G3329" s="178">
        <v>11424.6</v>
      </c>
      <c r="H3329" s="186">
        <v>42864</v>
      </c>
      <c r="I3329" s="187">
        <f t="shared" si="104"/>
        <v>11424.6</v>
      </c>
      <c r="J3329" s="178">
        <f t="shared" si="103"/>
        <v>0</v>
      </c>
      <c r="K3329" s="19"/>
    </row>
    <row r="3330" spans="1:11" x14ac:dyDescent="0.25">
      <c r="A3330" s="51">
        <v>42853</v>
      </c>
      <c r="B3330" s="174" t="s">
        <v>14896</v>
      </c>
      <c r="C3330" s="175"/>
      <c r="D3330" s="176" t="s">
        <v>14896</v>
      </c>
      <c r="E3330" s="176">
        <v>109764</v>
      </c>
      <c r="F3330" s="177" t="s">
        <v>186</v>
      </c>
      <c r="G3330" s="178">
        <v>2490.6</v>
      </c>
      <c r="H3330" s="186">
        <v>42859</v>
      </c>
      <c r="I3330" s="187">
        <f t="shared" si="104"/>
        <v>2490.6</v>
      </c>
      <c r="J3330" s="178">
        <f t="shared" si="103"/>
        <v>0</v>
      </c>
      <c r="K3330" s="19"/>
    </row>
    <row r="3331" spans="1:11" x14ac:dyDescent="0.25">
      <c r="A3331" s="51">
        <v>42853</v>
      </c>
      <c r="B3331" s="174" t="s">
        <v>14897</v>
      </c>
      <c r="C3331" s="175"/>
      <c r="D3331" s="176" t="s">
        <v>14897</v>
      </c>
      <c r="E3331" s="176">
        <v>109765</v>
      </c>
      <c r="F3331" s="177" t="s">
        <v>122</v>
      </c>
      <c r="G3331" s="178">
        <v>34456.800000000003</v>
      </c>
      <c r="H3331" s="186">
        <v>42866</v>
      </c>
      <c r="I3331" s="187">
        <f t="shared" si="104"/>
        <v>34456.800000000003</v>
      </c>
      <c r="J3331" s="178">
        <f t="shared" si="103"/>
        <v>0</v>
      </c>
      <c r="K3331" s="19"/>
    </row>
    <row r="3332" spans="1:11" x14ac:dyDescent="0.25">
      <c r="A3332" s="51">
        <v>42853</v>
      </c>
      <c r="B3332" s="174" t="s">
        <v>14898</v>
      </c>
      <c r="C3332" s="175"/>
      <c r="D3332" s="176" t="s">
        <v>14898</v>
      </c>
      <c r="E3332" s="176">
        <v>109766</v>
      </c>
      <c r="F3332" s="177" t="s">
        <v>358</v>
      </c>
      <c r="G3332" s="178">
        <v>31106.6</v>
      </c>
      <c r="H3332" s="184">
        <v>42854</v>
      </c>
      <c r="I3332" s="183">
        <f t="shared" si="104"/>
        <v>31106.6</v>
      </c>
      <c r="J3332" s="178">
        <f t="shared" ref="J3332:J3395" si="105">G3332-I3332</f>
        <v>0</v>
      </c>
      <c r="K3332" s="19"/>
    </row>
    <row r="3333" spans="1:11" x14ac:dyDescent="0.25">
      <c r="A3333" s="51">
        <v>42853</v>
      </c>
      <c r="B3333" s="174" t="s">
        <v>14899</v>
      </c>
      <c r="C3333" s="175"/>
      <c r="D3333" s="176" t="s">
        <v>14899</v>
      </c>
      <c r="E3333" s="176">
        <v>109767</v>
      </c>
      <c r="F3333" s="177" t="s">
        <v>125</v>
      </c>
      <c r="G3333" s="178">
        <v>9296</v>
      </c>
      <c r="H3333" s="184">
        <v>42854</v>
      </c>
      <c r="I3333" s="183">
        <f t="shared" ref="I3333:I3396" si="106">G3333</f>
        <v>9296</v>
      </c>
      <c r="J3333" s="178">
        <f t="shared" si="105"/>
        <v>0</v>
      </c>
      <c r="K3333" s="19"/>
    </row>
    <row r="3334" spans="1:11" x14ac:dyDescent="0.25">
      <c r="A3334" s="51">
        <v>42853</v>
      </c>
      <c r="B3334" s="174" t="s">
        <v>14900</v>
      </c>
      <c r="C3334" s="175"/>
      <c r="D3334" s="176" t="s">
        <v>14900</v>
      </c>
      <c r="E3334" s="176">
        <v>109768</v>
      </c>
      <c r="F3334" s="177" t="s">
        <v>14484</v>
      </c>
      <c r="G3334" s="178">
        <v>2534.4</v>
      </c>
      <c r="H3334" s="184">
        <v>42854</v>
      </c>
      <c r="I3334" s="183">
        <f t="shared" si="106"/>
        <v>2534.4</v>
      </c>
      <c r="J3334" s="178">
        <f t="shared" si="105"/>
        <v>0</v>
      </c>
      <c r="K3334" s="19"/>
    </row>
    <row r="3335" spans="1:11" x14ac:dyDescent="0.25">
      <c r="A3335" s="51">
        <v>42853</v>
      </c>
      <c r="B3335" s="174" t="s">
        <v>14901</v>
      </c>
      <c r="C3335" s="175"/>
      <c r="D3335" s="176" t="s">
        <v>14901</v>
      </c>
      <c r="E3335" s="176">
        <v>109769</v>
      </c>
      <c r="F3335" s="177" t="s">
        <v>131</v>
      </c>
      <c r="G3335" s="178">
        <v>8317.9</v>
      </c>
      <c r="H3335" s="184">
        <v>42854</v>
      </c>
      <c r="I3335" s="183">
        <f t="shared" si="106"/>
        <v>8317.9</v>
      </c>
      <c r="J3335" s="178">
        <f t="shared" si="105"/>
        <v>0</v>
      </c>
      <c r="K3335" s="19"/>
    </row>
    <row r="3336" spans="1:11" x14ac:dyDescent="0.25">
      <c r="A3336" s="51">
        <v>42853</v>
      </c>
      <c r="B3336" s="174" t="s">
        <v>14902</v>
      </c>
      <c r="C3336" s="175"/>
      <c r="D3336" s="176" t="s">
        <v>14902</v>
      </c>
      <c r="E3336" s="176">
        <v>109770</v>
      </c>
      <c r="F3336" s="177" t="s">
        <v>118</v>
      </c>
      <c r="G3336" s="178">
        <v>30090</v>
      </c>
      <c r="H3336" s="184">
        <v>42854</v>
      </c>
      <c r="I3336" s="183">
        <f t="shared" si="106"/>
        <v>30090</v>
      </c>
      <c r="J3336" s="178">
        <f t="shared" si="105"/>
        <v>0</v>
      </c>
      <c r="K3336" s="19"/>
    </row>
    <row r="3337" spans="1:11" x14ac:dyDescent="0.25">
      <c r="A3337" s="51">
        <v>42853</v>
      </c>
      <c r="B3337" s="174" t="s">
        <v>14903</v>
      </c>
      <c r="C3337" s="175"/>
      <c r="D3337" s="176" t="s">
        <v>14903</v>
      </c>
      <c r="E3337" s="176">
        <v>109771</v>
      </c>
      <c r="F3337" s="177" t="s">
        <v>459</v>
      </c>
      <c r="G3337" s="178">
        <v>4151.2</v>
      </c>
      <c r="H3337" s="184">
        <v>42854</v>
      </c>
      <c r="I3337" s="183">
        <f t="shared" si="106"/>
        <v>4151.2</v>
      </c>
      <c r="J3337" s="178">
        <f t="shared" si="105"/>
        <v>0</v>
      </c>
      <c r="K3337" s="19"/>
    </row>
    <row r="3338" spans="1:11" x14ac:dyDescent="0.25">
      <c r="A3338" s="51">
        <v>42853</v>
      </c>
      <c r="B3338" s="174" t="s">
        <v>14904</v>
      </c>
      <c r="C3338" s="175"/>
      <c r="D3338" s="176" t="s">
        <v>14904</v>
      </c>
      <c r="E3338" s="176">
        <v>109772</v>
      </c>
      <c r="F3338" s="177" t="s">
        <v>10</v>
      </c>
      <c r="G3338" s="178">
        <v>41851.65</v>
      </c>
      <c r="H3338" s="186" t="s">
        <v>15192</v>
      </c>
      <c r="I3338" s="187">
        <f>11556.99+30294.66</f>
        <v>41851.65</v>
      </c>
      <c r="J3338" s="178">
        <f t="shared" si="105"/>
        <v>0</v>
      </c>
      <c r="K3338" s="19"/>
    </row>
    <row r="3339" spans="1:11" x14ac:dyDescent="0.25">
      <c r="A3339" s="51">
        <v>42853</v>
      </c>
      <c r="B3339" s="174" t="s">
        <v>14905</v>
      </c>
      <c r="C3339" s="175"/>
      <c r="D3339" s="176" t="s">
        <v>14905</v>
      </c>
      <c r="E3339" s="176">
        <v>109773</v>
      </c>
      <c r="F3339" s="177" t="s">
        <v>470</v>
      </c>
      <c r="G3339" s="178">
        <v>366.8</v>
      </c>
      <c r="H3339" s="184">
        <v>42854</v>
      </c>
      <c r="I3339" s="183">
        <f t="shared" si="106"/>
        <v>366.8</v>
      </c>
      <c r="J3339" s="178">
        <f t="shared" si="105"/>
        <v>0</v>
      </c>
      <c r="K3339" s="19"/>
    </row>
    <row r="3340" spans="1:11" x14ac:dyDescent="0.25">
      <c r="A3340" s="51">
        <v>42853</v>
      </c>
      <c r="B3340" s="174" t="s">
        <v>14906</v>
      </c>
      <c r="C3340" s="175"/>
      <c r="D3340" s="176" t="s">
        <v>14906</v>
      </c>
      <c r="E3340" s="176">
        <v>109774</v>
      </c>
      <c r="F3340" s="177" t="s">
        <v>115</v>
      </c>
      <c r="G3340" s="178">
        <v>8480.4500000000007</v>
      </c>
      <c r="H3340" s="186">
        <v>42861</v>
      </c>
      <c r="I3340" s="187">
        <f t="shared" si="106"/>
        <v>8480.4500000000007</v>
      </c>
      <c r="J3340" s="178">
        <f t="shared" si="105"/>
        <v>0</v>
      </c>
      <c r="K3340" s="19"/>
    </row>
    <row r="3341" spans="1:11" x14ac:dyDescent="0.25">
      <c r="A3341" s="51">
        <v>42853</v>
      </c>
      <c r="B3341" s="174" t="s">
        <v>14907</v>
      </c>
      <c r="C3341" s="175"/>
      <c r="D3341" s="176" t="s">
        <v>14907</v>
      </c>
      <c r="E3341" s="176">
        <v>109775</v>
      </c>
      <c r="F3341" s="177" t="s">
        <v>1830</v>
      </c>
      <c r="G3341" s="178">
        <v>8459.75</v>
      </c>
      <c r="H3341" s="184">
        <v>42854</v>
      </c>
      <c r="I3341" s="183">
        <f t="shared" si="106"/>
        <v>8459.75</v>
      </c>
      <c r="J3341" s="178">
        <f t="shared" si="105"/>
        <v>0</v>
      </c>
      <c r="K3341" s="19"/>
    </row>
    <row r="3342" spans="1:11" x14ac:dyDescent="0.25">
      <c r="A3342" s="51">
        <v>42853</v>
      </c>
      <c r="B3342" s="174" t="s">
        <v>14908</v>
      </c>
      <c r="C3342" s="175"/>
      <c r="D3342" s="176" t="s">
        <v>14908</v>
      </c>
      <c r="E3342" s="176">
        <v>109776</v>
      </c>
      <c r="F3342" s="177" t="s">
        <v>10</v>
      </c>
      <c r="G3342" s="178">
        <v>12720.24</v>
      </c>
      <c r="H3342" s="186">
        <v>42859</v>
      </c>
      <c r="I3342" s="187">
        <f t="shared" si="106"/>
        <v>12720.24</v>
      </c>
      <c r="J3342" s="178">
        <f t="shared" si="105"/>
        <v>0</v>
      </c>
      <c r="K3342" s="19"/>
    </row>
    <row r="3343" spans="1:11" x14ac:dyDescent="0.25">
      <c r="A3343" s="51">
        <v>42853</v>
      </c>
      <c r="B3343" s="174" t="s">
        <v>14909</v>
      </c>
      <c r="C3343" s="175"/>
      <c r="D3343" s="176" t="s">
        <v>14909</v>
      </c>
      <c r="E3343" s="176">
        <v>109777</v>
      </c>
      <c r="F3343" s="177" t="s">
        <v>61</v>
      </c>
      <c r="G3343" s="178">
        <v>16349.8</v>
      </c>
      <c r="H3343" s="184">
        <v>42854</v>
      </c>
      <c r="I3343" s="183">
        <f t="shared" si="106"/>
        <v>16349.8</v>
      </c>
      <c r="J3343" s="178">
        <f t="shared" si="105"/>
        <v>0</v>
      </c>
      <c r="K3343" s="19"/>
    </row>
    <row r="3344" spans="1:11" x14ac:dyDescent="0.25">
      <c r="A3344" s="51">
        <v>42853</v>
      </c>
      <c r="B3344" s="174" t="s">
        <v>14910</v>
      </c>
      <c r="C3344" s="175"/>
      <c r="D3344" s="176" t="s">
        <v>14910</v>
      </c>
      <c r="E3344" s="176">
        <v>109778</v>
      </c>
      <c r="F3344" s="177" t="s">
        <v>163</v>
      </c>
      <c r="G3344" s="178">
        <v>20222.400000000001</v>
      </c>
      <c r="H3344" s="186">
        <v>42864</v>
      </c>
      <c r="I3344" s="187">
        <f t="shared" si="106"/>
        <v>20222.400000000001</v>
      </c>
      <c r="J3344" s="178">
        <f t="shared" si="105"/>
        <v>0</v>
      </c>
      <c r="K3344" s="19"/>
    </row>
    <row r="3345" spans="1:11" x14ac:dyDescent="0.25">
      <c r="A3345" s="51">
        <v>42853</v>
      </c>
      <c r="B3345" s="174" t="s">
        <v>14911</v>
      </c>
      <c r="C3345" s="175"/>
      <c r="D3345" s="176" t="s">
        <v>14911</v>
      </c>
      <c r="E3345" s="176">
        <v>109779</v>
      </c>
      <c r="F3345" s="177" t="s">
        <v>57</v>
      </c>
      <c r="G3345" s="178">
        <v>720</v>
      </c>
      <c r="H3345" s="184">
        <v>42854</v>
      </c>
      <c r="I3345" s="183">
        <f t="shared" si="106"/>
        <v>720</v>
      </c>
      <c r="J3345" s="178">
        <f t="shared" si="105"/>
        <v>0</v>
      </c>
      <c r="K3345" s="19"/>
    </row>
    <row r="3346" spans="1:11" x14ac:dyDescent="0.25">
      <c r="A3346" s="51">
        <v>42853</v>
      </c>
      <c r="B3346" s="174" t="s">
        <v>14912</v>
      </c>
      <c r="C3346" s="175"/>
      <c r="D3346" s="176" t="s">
        <v>14912</v>
      </c>
      <c r="E3346" s="176">
        <v>109780</v>
      </c>
      <c r="F3346" s="177" t="s">
        <v>2986</v>
      </c>
      <c r="G3346" s="178">
        <v>2847.1</v>
      </c>
      <c r="H3346" s="179">
        <v>42854</v>
      </c>
      <c r="I3346" s="178">
        <f t="shared" si="106"/>
        <v>2847.1</v>
      </c>
      <c r="J3346" s="178">
        <f t="shared" si="105"/>
        <v>0</v>
      </c>
      <c r="K3346" s="19"/>
    </row>
    <row r="3347" spans="1:11" x14ac:dyDescent="0.25">
      <c r="A3347" s="51">
        <v>42853</v>
      </c>
      <c r="B3347" s="174" t="s">
        <v>14913</v>
      </c>
      <c r="C3347" s="175"/>
      <c r="D3347" s="176" t="s">
        <v>14913</v>
      </c>
      <c r="E3347" s="176">
        <v>109781</v>
      </c>
      <c r="F3347" s="177" t="s">
        <v>30</v>
      </c>
      <c r="G3347" s="178">
        <v>774</v>
      </c>
      <c r="H3347" s="184">
        <v>42853</v>
      </c>
      <c r="I3347" s="183">
        <f t="shared" si="106"/>
        <v>774</v>
      </c>
      <c r="J3347" s="178">
        <f t="shared" si="105"/>
        <v>0</v>
      </c>
      <c r="K3347" s="19"/>
    </row>
    <row r="3348" spans="1:11" x14ac:dyDescent="0.25">
      <c r="A3348" s="51">
        <v>42853</v>
      </c>
      <c r="B3348" s="174" t="s">
        <v>14914</v>
      </c>
      <c r="C3348" s="175"/>
      <c r="D3348" s="176" t="s">
        <v>14914</v>
      </c>
      <c r="E3348" s="176">
        <v>109782</v>
      </c>
      <c r="F3348" s="177" t="s">
        <v>331</v>
      </c>
      <c r="G3348" s="178">
        <v>2713.2</v>
      </c>
      <c r="H3348" s="184">
        <v>42854</v>
      </c>
      <c r="I3348" s="183">
        <f t="shared" si="106"/>
        <v>2713.2</v>
      </c>
      <c r="J3348" s="178">
        <f t="shared" si="105"/>
        <v>0</v>
      </c>
      <c r="K3348" s="19"/>
    </row>
    <row r="3349" spans="1:11" x14ac:dyDescent="0.25">
      <c r="A3349" s="51">
        <v>42853</v>
      </c>
      <c r="B3349" s="174" t="s">
        <v>14915</v>
      </c>
      <c r="C3349" s="175"/>
      <c r="D3349" s="176" t="s">
        <v>14915</v>
      </c>
      <c r="E3349" s="176">
        <v>109783</v>
      </c>
      <c r="F3349" s="177" t="s">
        <v>30</v>
      </c>
      <c r="G3349" s="178">
        <v>445.5</v>
      </c>
      <c r="H3349" s="184">
        <v>42854</v>
      </c>
      <c r="I3349" s="183">
        <f t="shared" si="106"/>
        <v>445.5</v>
      </c>
      <c r="J3349" s="178">
        <f t="shared" si="105"/>
        <v>0</v>
      </c>
      <c r="K3349" s="19"/>
    </row>
    <row r="3350" spans="1:11" x14ac:dyDescent="0.25">
      <c r="A3350" s="51">
        <v>42853</v>
      </c>
      <c r="B3350" s="174" t="s">
        <v>14916</v>
      </c>
      <c r="C3350" s="175"/>
      <c r="D3350" s="176" t="s">
        <v>14916</v>
      </c>
      <c r="E3350" s="176">
        <v>109784</v>
      </c>
      <c r="F3350" s="177" t="s">
        <v>63</v>
      </c>
      <c r="G3350" s="178">
        <v>167.2</v>
      </c>
      <c r="H3350" s="184">
        <v>42854</v>
      </c>
      <c r="I3350" s="183">
        <f t="shared" si="106"/>
        <v>167.2</v>
      </c>
      <c r="J3350" s="178">
        <f t="shared" si="105"/>
        <v>0</v>
      </c>
      <c r="K3350" s="19"/>
    </row>
    <row r="3351" spans="1:11" x14ac:dyDescent="0.25">
      <c r="A3351" s="51">
        <v>42853</v>
      </c>
      <c r="B3351" s="174" t="s">
        <v>14917</v>
      </c>
      <c r="C3351" s="175"/>
      <c r="D3351" s="176" t="s">
        <v>14917</v>
      </c>
      <c r="E3351" s="176">
        <v>109785</v>
      </c>
      <c r="F3351" s="177" t="s">
        <v>3319</v>
      </c>
      <c r="G3351" s="178">
        <v>8474.7999999999993</v>
      </c>
      <c r="H3351" s="184">
        <v>42855</v>
      </c>
      <c r="I3351" s="183">
        <f t="shared" si="106"/>
        <v>8474.7999999999993</v>
      </c>
      <c r="J3351" s="178">
        <f t="shared" si="105"/>
        <v>0</v>
      </c>
      <c r="K3351" s="19"/>
    </row>
    <row r="3352" spans="1:11" x14ac:dyDescent="0.25">
      <c r="A3352" s="51">
        <v>42853</v>
      </c>
      <c r="B3352" s="174" t="s">
        <v>14918</v>
      </c>
      <c r="C3352" s="175"/>
      <c r="D3352" s="176" t="s">
        <v>14918</v>
      </c>
      <c r="E3352" s="176">
        <v>109786</v>
      </c>
      <c r="F3352" s="177" t="s">
        <v>53</v>
      </c>
      <c r="G3352" s="178">
        <v>3147.6</v>
      </c>
      <c r="H3352" s="184">
        <v>42854</v>
      </c>
      <c r="I3352" s="183">
        <f t="shared" si="106"/>
        <v>3147.6</v>
      </c>
      <c r="J3352" s="178">
        <f t="shared" si="105"/>
        <v>0</v>
      </c>
      <c r="K3352" s="19"/>
    </row>
    <row r="3353" spans="1:11" x14ac:dyDescent="0.25">
      <c r="A3353" s="51">
        <v>42853</v>
      </c>
      <c r="B3353" s="174" t="s">
        <v>14919</v>
      </c>
      <c r="C3353" s="175"/>
      <c r="D3353" s="176" t="s">
        <v>14919</v>
      </c>
      <c r="E3353" s="176">
        <v>109787</v>
      </c>
      <c r="F3353" s="177" t="s">
        <v>53</v>
      </c>
      <c r="G3353" s="178">
        <v>3001.4</v>
      </c>
      <c r="H3353" s="184">
        <v>42854</v>
      </c>
      <c r="I3353" s="183">
        <f t="shared" si="106"/>
        <v>3001.4</v>
      </c>
      <c r="J3353" s="178">
        <f t="shared" si="105"/>
        <v>0</v>
      </c>
      <c r="K3353" s="19"/>
    </row>
    <row r="3354" spans="1:11" x14ac:dyDescent="0.25">
      <c r="A3354" s="51">
        <v>42853</v>
      </c>
      <c r="B3354" s="174" t="s">
        <v>14920</v>
      </c>
      <c r="C3354" s="175"/>
      <c r="D3354" s="176" t="s">
        <v>14920</v>
      </c>
      <c r="E3354" s="176">
        <v>109788</v>
      </c>
      <c r="F3354" s="177" t="s">
        <v>329</v>
      </c>
      <c r="G3354" s="178">
        <v>574.20000000000005</v>
      </c>
      <c r="H3354" s="184">
        <v>42853</v>
      </c>
      <c r="I3354" s="183">
        <f t="shared" si="106"/>
        <v>574.20000000000005</v>
      </c>
      <c r="J3354" s="178">
        <f t="shared" si="105"/>
        <v>0</v>
      </c>
      <c r="K3354" s="19"/>
    </row>
    <row r="3355" spans="1:11" x14ac:dyDescent="0.25">
      <c r="A3355" s="51">
        <v>42853</v>
      </c>
      <c r="B3355" s="174" t="s">
        <v>14921</v>
      </c>
      <c r="C3355" s="175"/>
      <c r="D3355" s="176" t="s">
        <v>14921</v>
      </c>
      <c r="E3355" s="176">
        <v>109789</v>
      </c>
      <c r="F3355" s="177" t="s">
        <v>30</v>
      </c>
      <c r="G3355" s="178">
        <v>2690.6</v>
      </c>
      <c r="H3355" s="184">
        <v>42853</v>
      </c>
      <c r="I3355" s="183">
        <f t="shared" si="106"/>
        <v>2690.6</v>
      </c>
      <c r="J3355" s="178">
        <f t="shared" si="105"/>
        <v>0</v>
      </c>
      <c r="K3355" s="19"/>
    </row>
    <row r="3356" spans="1:11" x14ac:dyDescent="0.25">
      <c r="A3356" s="51">
        <v>42853</v>
      </c>
      <c r="B3356" s="174" t="s">
        <v>14922</v>
      </c>
      <c r="C3356" s="175"/>
      <c r="D3356" s="176" t="s">
        <v>14922</v>
      </c>
      <c r="E3356" s="176">
        <v>109790</v>
      </c>
      <c r="F3356" s="177" t="s">
        <v>422</v>
      </c>
      <c r="G3356" s="178">
        <v>2448</v>
      </c>
      <c r="H3356" s="184">
        <v>42853</v>
      </c>
      <c r="I3356" s="183">
        <f t="shared" si="106"/>
        <v>2448</v>
      </c>
      <c r="J3356" s="178">
        <f t="shared" si="105"/>
        <v>0</v>
      </c>
      <c r="K3356" s="19"/>
    </row>
    <row r="3357" spans="1:11" x14ac:dyDescent="0.25">
      <c r="A3357" s="51">
        <v>42853</v>
      </c>
      <c r="B3357" s="174" t="s">
        <v>14923</v>
      </c>
      <c r="C3357" s="175"/>
      <c r="D3357" s="176" t="s">
        <v>14923</v>
      </c>
      <c r="E3357" s="176">
        <v>109791</v>
      </c>
      <c r="F3357" s="177" t="s">
        <v>30</v>
      </c>
      <c r="G3357" s="178">
        <v>3216.8</v>
      </c>
      <c r="H3357" s="184">
        <v>42853</v>
      </c>
      <c r="I3357" s="183">
        <f t="shared" si="106"/>
        <v>3216.8</v>
      </c>
      <c r="J3357" s="178">
        <f t="shared" si="105"/>
        <v>0</v>
      </c>
      <c r="K3357" s="19"/>
    </row>
    <row r="3358" spans="1:11" x14ac:dyDescent="0.25">
      <c r="A3358" s="51">
        <v>42853</v>
      </c>
      <c r="B3358" s="174" t="s">
        <v>14924</v>
      </c>
      <c r="C3358" s="175"/>
      <c r="D3358" s="176" t="s">
        <v>14924</v>
      </c>
      <c r="E3358" s="176">
        <v>109792</v>
      </c>
      <c r="F3358" s="177" t="s">
        <v>231</v>
      </c>
      <c r="G3358" s="178">
        <v>5216.3999999999996</v>
      </c>
      <c r="H3358" s="184">
        <v>42854</v>
      </c>
      <c r="I3358" s="183">
        <f t="shared" si="106"/>
        <v>5216.3999999999996</v>
      </c>
      <c r="J3358" s="178">
        <f t="shared" si="105"/>
        <v>0</v>
      </c>
      <c r="K3358" s="19"/>
    </row>
    <row r="3359" spans="1:11" x14ac:dyDescent="0.25">
      <c r="A3359" s="51">
        <v>42853</v>
      </c>
      <c r="B3359" s="174" t="s">
        <v>14925</v>
      </c>
      <c r="C3359" s="175"/>
      <c r="D3359" s="176" t="s">
        <v>14925</v>
      </c>
      <c r="E3359" s="176">
        <v>109793</v>
      </c>
      <c r="F3359" s="177" t="s">
        <v>21</v>
      </c>
      <c r="G3359" s="178">
        <v>20576.400000000001</v>
      </c>
      <c r="H3359" s="186" t="s">
        <v>15202</v>
      </c>
      <c r="I3359" s="193">
        <f>2000+20576.4</f>
        <v>22576.400000000001</v>
      </c>
      <c r="J3359" s="206">
        <f t="shared" si="105"/>
        <v>-2000</v>
      </c>
      <c r="K3359" s="19"/>
    </row>
    <row r="3360" spans="1:11" x14ac:dyDescent="0.25">
      <c r="A3360" s="51">
        <v>42853</v>
      </c>
      <c r="B3360" s="174" t="s">
        <v>14926</v>
      </c>
      <c r="C3360" s="175"/>
      <c r="D3360" s="176" t="s">
        <v>14926</v>
      </c>
      <c r="E3360" s="176">
        <v>109794</v>
      </c>
      <c r="F3360" s="177" t="s">
        <v>693</v>
      </c>
      <c r="G3360" s="178">
        <v>5692.5</v>
      </c>
      <c r="H3360" s="184">
        <v>42854</v>
      </c>
      <c r="I3360" s="183">
        <f t="shared" si="106"/>
        <v>5692.5</v>
      </c>
      <c r="J3360" s="178">
        <f t="shared" si="105"/>
        <v>0</v>
      </c>
      <c r="K3360" s="19"/>
    </row>
    <row r="3361" spans="1:11" x14ac:dyDescent="0.25">
      <c r="A3361" s="51">
        <v>42853</v>
      </c>
      <c r="B3361" s="174" t="s">
        <v>14927</v>
      </c>
      <c r="C3361" s="175"/>
      <c r="D3361" s="176" t="s">
        <v>14927</v>
      </c>
      <c r="E3361" s="176">
        <v>109795</v>
      </c>
      <c r="F3361" s="177" t="s">
        <v>1081</v>
      </c>
      <c r="G3361" s="178">
        <v>2070.2399999999998</v>
      </c>
      <c r="H3361" s="184">
        <v>42854</v>
      </c>
      <c r="I3361" s="183">
        <f t="shared" si="106"/>
        <v>2070.2399999999998</v>
      </c>
      <c r="J3361" s="178">
        <f t="shared" si="105"/>
        <v>0</v>
      </c>
      <c r="K3361" s="19"/>
    </row>
    <row r="3362" spans="1:11" x14ac:dyDescent="0.25">
      <c r="A3362" s="51">
        <v>42853</v>
      </c>
      <c r="B3362" s="174" t="s">
        <v>14928</v>
      </c>
      <c r="C3362" s="175"/>
      <c r="D3362" s="176" t="s">
        <v>14928</v>
      </c>
      <c r="E3362" s="176">
        <v>109796</v>
      </c>
      <c r="F3362" s="177" t="s">
        <v>293</v>
      </c>
      <c r="G3362" s="178">
        <v>390</v>
      </c>
      <c r="H3362" s="184">
        <v>42854</v>
      </c>
      <c r="I3362" s="183">
        <f t="shared" si="106"/>
        <v>390</v>
      </c>
      <c r="J3362" s="178">
        <f t="shared" si="105"/>
        <v>0</v>
      </c>
      <c r="K3362" s="19"/>
    </row>
    <row r="3363" spans="1:11" x14ac:dyDescent="0.25">
      <c r="A3363" s="51">
        <v>42853</v>
      </c>
      <c r="B3363" s="174" t="s">
        <v>14929</v>
      </c>
      <c r="C3363" s="175"/>
      <c r="D3363" s="176" t="s">
        <v>14929</v>
      </c>
      <c r="E3363" s="176">
        <v>109797</v>
      </c>
      <c r="F3363" s="177" t="s">
        <v>81</v>
      </c>
      <c r="G3363" s="178">
        <v>3197.6</v>
      </c>
      <c r="H3363" s="184">
        <v>42854</v>
      </c>
      <c r="I3363" s="183">
        <f t="shared" si="106"/>
        <v>3197.6</v>
      </c>
      <c r="J3363" s="178">
        <f t="shared" si="105"/>
        <v>0</v>
      </c>
      <c r="K3363" s="19"/>
    </row>
    <row r="3364" spans="1:11" x14ac:dyDescent="0.25">
      <c r="A3364" s="51">
        <v>42853</v>
      </c>
      <c r="B3364" s="174" t="s">
        <v>14930</v>
      </c>
      <c r="C3364" s="175"/>
      <c r="D3364" s="176" t="s">
        <v>14930</v>
      </c>
      <c r="E3364" s="176">
        <v>109798</v>
      </c>
      <c r="F3364" s="177" t="s">
        <v>289</v>
      </c>
      <c r="G3364" s="178">
        <v>6681.15</v>
      </c>
      <c r="H3364" s="186">
        <v>42868</v>
      </c>
      <c r="I3364" s="187">
        <f t="shared" si="106"/>
        <v>6681.15</v>
      </c>
      <c r="J3364" s="178">
        <f t="shared" si="105"/>
        <v>0</v>
      </c>
      <c r="K3364" s="19"/>
    </row>
    <row r="3365" spans="1:11" x14ac:dyDescent="0.25">
      <c r="A3365" s="51">
        <v>42853</v>
      </c>
      <c r="B3365" s="174" t="s">
        <v>14931</v>
      </c>
      <c r="C3365" s="175"/>
      <c r="D3365" s="176" t="s">
        <v>14931</v>
      </c>
      <c r="E3365" s="176">
        <v>109799</v>
      </c>
      <c r="F3365" s="177" t="s">
        <v>101</v>
      </c>
      <c r="G3365" s="178">
        <v>1935</v>
      </c>
      <c r="H3365" s="184">
        <v>42854</v>
      </c>
      <c r="I3365" s="183">
        <f t="shared" si="106"/>
        <v>1935</v>
      </c>
      <c r="J3365" s="178">
        <f t="shared" si="105"/>
        <v>0</v>
      </c>
      <c r="K3365" s="19"/>
    </row>
    <row r="3366" spans="1:11" x14ac:dyDescent="0.25">
      <c r="A3366" s="51">
        <v>42853</v>
      </c>
      <c r="B3366" s="174" t="s">
        <v>14932</v>
      </c>
      <c r="C3366" s="175"/>
      <c r="D3366" s="176" t="s">
        <v>14932</v>
      </c>
      <c r="E3366" s="176">
        <v>109800</v>
      </c>
      <c r="F3366" s="177" t="s">
        <v>99</v>
      </c>
      <c r="G3366" s="178">
        <v>2700</v>
      </c>
      <c r="H3366" s="184">
        <v>42854</v>
      </c>
      <c r="I3366" s="183">
        <f t="shared" si="106"/>
        <v>2700</v>
      </c>
      <c r="J3366" s="178">
        <f t="shared" si="105"/>
        <v>0</v>
      </c>
      <c r="K3366" s="19"/>
    </row>
    <row r="3367" spans="1:11" x14ac:dyDescent="0.25">
      <c r="A3367" s="51">
        <v>42853</v>
      </c>
      <c r="B3367" s="174" t="s">
        <v>14933</v>
      </c>
      <c r="C3367" s="175"/>
      <c r="D3367" s="176" t="s">
        <v>14933</v>
      </c>
      <c r="E3367" s="176">
        <v>109801</v>
      </c>
      <c r="F3367" s="177" t="s">
        <v>879</v>
      </c>
      <c r="G3367" s="178">
        <v>828</v>
      </c>
      <c r="H3367" s="184">
        <v>42853</v>
      </c>
      <c r="I3367" s="183">
        <f t="shared" si="106"/>
        <v>828</v>
      </c>
      <c r="J3367" s="178">
        <f t="shared" si="105"/>
        <v>0</v>
      </c>
      <c r="K3367" s="19"/>
    </row>
    <row r="3368" spans="1:11" x14ac:dyDescent="0.25">
      <c r="A3368" s="51">
        <v>42853</v>
      </c>
      <c r="B3368" s="174" t="s">
        <v>14934</v>
      </c>
      <c r="C3368" s="175"/>
      <c r="D3368" s="176" t="s">
        <v>14934</v>
      </c>
      <c r="E3368" s="176">
        <v>109802</v>
      </c>
      <c r="F3368" s="177" t="s">
        <v>281</v>
      </c>
      <c r="G3368" s="178">
        <v>2786.1</v>
      </c>
      <c r="H3368" s="184">
        <v>42854</v>
      </c>
      <c r="I3368" s="183">
        <f t="shared" si="106"/>
        <v>2786.1</v>
      </c>
      <c r="J3368" s="178">
        <f t="shared" si="105"/>
        <v>0</v>
      </c>
      <c r="K3368" s="19"/>
    </row>
    <row r="3369" spans="1:11" x14ac:dyDescent="0.25">
      <c r="A3369" s="51">
        <v>42853</v>
      </c>
      <c r="B3369" s="174" t="s">
        <v>14935</v>
      </c>
      <c r="C3369" s="175"/>
      <c r="D3369" s="176" t="s">
        <v>14935</v>
      </c>
      <c r="E3369" s="176">
        <v>109803</v>
      </c>
      <c r="F3369" s="177" t="s">
        <v>1259</v>
      </c>
      <c r="G3369" s="178">
        <v>2367.1999999999998</v>
      </c>
      <c r="H3369" s="184">
        <v>42854</v>
      </c>
      <c r="I3369" s="183">
        <f t="shared" si="106"/>
        <v>2367.1999999999998</v>
      </c>
      <c r="J3369" s="178">
        <f t="shared" si="105"/>
        <v>0</v>
      </c>
      <c r="K3369" s="19"/>
    </row>
    <row r="3370" spans="1:11" x14ac:dyDescent="0.25">
      <c r="A3370" s="51">
        <v>42853</v>
      </c>
      <c r="B3370" s="174" t="s">
        <v>14936</v>
      </c>
      <c r="C3370" s="175"/>
      <c r="D3370" s="176" t="s">
        <v>14936</v>
      </c>
      <c r="E3370" s="176">
        <v>109804</v>
      </c>
      <c r="F3370" s="177" t="s">
        <v>445</v>
      </c>
      <c r="G3370" s="178">
        <v>1720.4</v>
      </c>
      <c r="H3370" s="184">
        <v>42854</v>
      </c>
      <c r="I3370" s="183">
        <f t="shared" si="106"/>
        <v>1720.4</v>
      </c>
      <c r="J3370" s="178">
        <f t="shared" si="105"/>
        <v>0</v>
      </c>
      <c r="K3370" s="19"/>
    </row>
    <row r="3371" spans="1:11" x14ac:dyDescent="0.25">
      <c r="A3371" s="51">
        <v>42853</v>
      </c>
      <c r="B3371" s="174" t="s">
        <v>14937</v>
      </c>
      <c r="C3371" s="175"/>
      <c r="D3371" s="176" t="s">
        <v>14937</v>
      </c>
      <c r="E3371" s="176">
        <v>109805</v>
      </c>
      <c r="F3371" s="177" t="s">
        <v>83</v>
      </c>
      <c r="G3371" s="178">
        <v>1318.8</v>
      </c>
      <c r="H3371" s="184">
        <v>42854</v>
      </c>
      <c r="I3371" s="183">
        <f t="shared" si="106"/>
        <v>1318.8</v>
      </c>
      <c r="J3371" s="178">
        <f t="shared" si="105"/>
        <v>0</v>
      </c>
      <c r="K3371" s="19"/>
    </row>
    <row r="3372" spans="1:11" x14ac:dyDescent="0.25">
      <c r="A3372" s="51">
        <v>42853</v>
      </c>
      <c r="B3372" s="174" t="s">
        <v>14938</v>
      </c>
      <c r="C3372" s="175"/>
      <c r="D3372" s="176" t="s">
        <v>14938</v>
      </c>
      <c r="E3372" s="176">
        <v>109806</v>
      </c>
      <c r="F3372" s="177" t="s">
        <v>92</v>
      </c>
      <c r="G3372" s="178">
        <v>2358</v>
      </c>
      <c r="H3372" s="184">
        <v>42854</v>
      </c>
      <c r="I3372" s="183">
        <f t="shared" si="106"/>
        <v>2358</v>
      </c>
      <c r="J3372" s="178">
        <f t="shared" si="105"/>
        <v>0</v>
      </c>
      <c r="K3372" s="19"/>
    </row>
    <row r="3373" spans="1:11" x14ac:dyDescent="0.25">
      <c r="A3373" s="51">
        <v>42853</v>
      </c>
      <c r="B3373" s="174" t="s">
        <v>14939</v>
      </c>
      <c r="C3373" s="175"/>
      <c r="D3373" s="176" t="s">
        <v>14939</v>
      </c>
      <c r="E3373" s="176">
        <v>109807</v>
      </c>
      <c r="F3373" s="177" t="s">
        <v>88</v>
      </c>
      <c r="G3373" s="178">
        <v>11310</v>
      </c>
      <c r="H3373" s="184">
        <v>42854</v>
      </c>
      <c r="I3373" s="183">
        <f t="shared" si="106"/>
        <v>11310</v>
      </c>
      <c r="J3373" s="178">
        <f t="shared" si="105"/>
        <v>0</v>
      </c>
      <c r="K3373" s="19"/>
    </row>
    <row r="3374" spans="1:11" x14ac:dyDescent="0.25">
      <c r="A3374" s="51">
        <v>42853</v>
      </c>
      <c r="B3374" s="174" t="s">
        <v>14940</v>
      </c>
      <c r="C3374" s="175"/>
      <c r="D3374" s="176" t="s">
        <v>14940</v>
      </c>
      <c r="E3374" s="176">
        <v>109808</v>
      </c>
      <c r="F3374" s="177" t="s">
        <v>613</v>
      </c>
      <c r="G3374" s="178">
        <v>3178.6</v>
      </c>
      <c r="H3374" s="184">
        <v>42854</v>
      </c>
      <c r="I3374" s="183">
        <f t="shared" si="106"/>
        <v>3178.6</v>
      </c>
      <c r="J3374" s="178">
        <f t="shared" si="105"/>
        <v>0</v>
      </c>
      <c r="K3374" s="19"/>
    </row>
    <row r="3375" spans="1:11" x14ac:dyDescent="0.25">
      <c r="A3375" s="51">
        <v>42853</v>
      </c>
      <c r="B3375" s="174" t="s">
        <v>14941</v>
      </c>
      <c r="C3375" s="175"/>
      <c r="D3375" s="176" t="s">
        <v>14941</v>
      </c>
      <c r="E3375" s="176">
        <v>109809</v>
      </c>
      <c r="F3375" s="177" t="s">
        <v>806</v>
      </c>
      <c r="G3375" s="178">
        <v>5700.6</v>
      </c>
      <c r="H3375" s="184">
        <v>42853</v>
      </c>
      <c r="I3375" s="183">
        <f t="shared" si="106"/>
        <v>5700.6</v>
      </c>
      <c r="J3375" s="178">
        <f t="shared" si="105"/>
        <v>0</v>
      </c>
      <c r="K3375" s="19"/>
    </row>
    <row r="3376" spans="1:11" x14ac:dyDescent="0.25">
      <c r="A3376" s="51">
        <v>42853</v>
      </c>
      <c r="B3376" s="174" t="s">
        <v>14942</v>
      </c>
      <c r="C3376" s="175"/>
      <c r="D3376" s="176" t="s">
        <v>14942</v>
      </c>
      <c r="E3376" s="176">
        <v>109810</v>
      </c>
      <c r="F3376" s="177" t="s">
        <v>806</v>
      </c>
      <c r="G3376" s="178">
        <v>328.5</v>
      </c>
      <c r="H3376" s="184">
        <v>42853</v>
      </c>
      <c r="I3376" s="183">
        <f t="shared" si="106"/>
        <v>328.5</v>
      </c>
      <c r="J3376" s="178">
        <f t="shared" si="105"/>
        <v>0</v>
      </c>
      <c r="K3376" s="19"/>
    </row>
    <row r="3377" spans="1:11" x14ac:dyDescent="0.25">
      <c r="A3377" s="51">
        <v>42853</v>
      </c>
      <c r="B3377" s="174" t="s">
        <v>14943</v>
      </c>
      <c r="C3377" s="175"/>
      <c r="D3377" s="176" t="s">
        <v>14943</v>
      </c>
      <c r="E3377" s="176">
        <v>109811</v>
      </c>
      <c r="F3377" s="177" t="s">
        <v>12879</v>
      </c>
      <c r="G3377" s="178">
        <v>329.3</v>
      </c>
      <c r="H3377" s="184">
        <v>42853</v>
      </c>
      <c r="I3377" s="183">
        <f t="shared" si="106"/>
        <v>329.3</v>
      </c>
      <c r="J3377" s="178">
        <f t="shared" si="105"/>
        <v>0</v>
      </c>
      <c r="K3377" s="19"/>
    </row>
    <row r="3378" spans="1:11" x14ac:dyDescent="0.25">
      <c r="A3378" s="51">
        <v>42853</v>
      </c>
      <c r="B3378" s="174" t="s">
        <v>14944</v>
      </c>
      <c r="C3378" s="175"/>
      <c r="D3378" s="176" t="s">
        <v>14944</v>
      </c>
      <c r="E3378" s="176">
        <v>109812</v>
      </c>
      <c r="F3378" s="177" t="s">
        <v>354</v>
      </c>
      <c r="G3378" s="178">
        <v>2046.4</v>
      </c>
      <c r="H3378" s="184">
        <v>42853</v>
      </c>
      <c r="I3378" s="183">
        <f t="shared" si="106"/>
        <v>2046.4</v>
      </c>
      <c r="J3378" s="178">
        <f t="shared" si="105"/>
        <v>0</v>
      </c>
      <c r="K3378" s="19"/>
    </row>
    <row r="3379" spans="1:11" x14ac:dyDescent="0.25">
      <c r="A3379" s="51">
        <v>42853</v>
      </c>
      <c r="B3379" s="174" t="s">
        <v>14945</v>
      </c>
      <c r="C3379" s="175"/>
      <c r="D3379" s="176" t="s">
        <v>14945</v>
      </c>
      <c r="E3379" s="176">
        <v>109813</v>
      </c>
      <c r="F3379" s="177" t="s">
        <v>531</v>
      </c>
      <c r="G3379" s="178">
        <v>31477.200000000001</v>
      </c>
      <c r="H3379" s="186">
        <v>42856</v>
      </c>
      <c r="I3379" s="187">
        <f t="shared" si="106"/>
        <v>31477.200000000001</v>
      </c>
      <c r="J3379" s="178">
        <f t="shared" si="105"/>
        <v>0</v>
      </c>
      <c r="K3379" s="19"/>
    </row>
    <row r="3380" spans="1:11" x14ac:dyDescent="0.25">
      <c r="A3380" s="51">
        <v>42853</v>
      </c>
      <c r="B3380" s="174" t="s">
        <v>14946</v>
      </c>
      <c r="C3380" s="175"/>
      <c r="D3380" s="176" t="s">
        <v>14946</v>
      </c>
      <c r="E3380" s="176">
        <v>109814</v>
      </c>
      <c r="F3380" s="177" t="s">
        <v>921</v>
      </c>
      <c r="G3380" s="178">
        <v>5642</v>
      </c>
      <c r="H3380" s="184">
        <v>42853</v>
      </c>
      <c r="I3380" s="183">
        <f t="shared" si="106"/>
        <v>5642</v>
      </c>
      <c r="J3380" s="178">
        <f t="shared" si="105"/>
        <v>0</v>
      </c>
      <c r="K3380" s="19"/>
    </row>
    <row r="3381" spans="1:11" x14ac:dyDescent="0.25">
      <c r="A3381" s="51">
        <v>42853</v>
      </c>
      <c r="B3381" s="174" t="s">
        <v>14947</v>
      </c>
      <c r="C3381" s="175"/>
      <c r="D3381" s="176" t="s">
        <v>14947</v>
      </c>
      <c r="E3381" s="176">
        <v>109815</v>
      </c>
      <c r="F3381" s="177" t="s">
        <v>133</v>
      </c>
      <c r="G3381" s="178">
        <v>778.5</v>
      </c>
      <c r="H3381" s="184">
        <v>42853</v>
      </c>
      <c r="I3381" s="183">
        <f t="shared" si="106"/>
        <v>778.5</v>
      </c>
      <c r="J3381" s="178">
        <f t="shared" si="105"/>
        <v>0</v>
      </c>
      <c r="K3381" s="19"/>
    </row>
    <row r="3382" spans="1:11" x14ac:dyDescent="0.25">
      <c r="A3382" s="51">
        <v>42853</v>
      </c>
      <c r="B3382" s="174" t="s">
        <v>14948</v>
      </c>
      <c r="C3382" s="175"/>
      <c r="D3382" s="176" t="s">
        <v>14948</v>
      </c>
      <c r="E3382" s="176">
        <v>109816</v>
      </c>
      <c r="F3382" s="177" t="s">
        <v>1421</v>
      </c>
      <c r="G3382" s="178">
        <v>45729.8</v>
      </c>
      <c r="H3382" s="184">
        <v>42854</v>
      </c>
      <c r="I3382" s="183">
        <f t="shared" si="106"/>
        <v>45729.8</v>
      </c>
      <c r="J3382" s="178">
        <f t="shared" si="105"/>
        <v>0</v>
      </c>
      <c r="K3382" s="19"/>
    </row>
    <row r="3383" spans="1:11" x14ac:dyDescent="0.25">
      <c r="A3383" s="51">
        <v>42853</v>
      </c>
      <c r="B3383" s="174" t="s">
        <v>14949</v>
      </c>
      <c r="C3383" s="175"/>
      <c r="D3383" s="176" t="s">
        <v>14949</v>
      </c>
      <c r="E3383" s="176">
        <v>109817</v>
      </c>
      <c r="F3383" s="177" t="s">
        <v>900</v>
      </c>
      <c r="G3383" s="178">
        <v>1860</v>
      </c>
      <c r="H3383" s="184">
        <v>42854</v>
      </c>
      <c r="I3383" s="183">
        <f t="shared" si="106"/>
        <v>1860</v>
      </c>
      <c r="J3383" s="178">
        <f t="shared" si="105"/>
        <v>0</v>
      </c>
      <c r="K3383" s="19"/>
    </row>
    <row r="3384" spans="1:11" x14ac:dyDescent="0.25">
      <c r="A3384" s="51">
        <v>42853</v>
      </c>
      <c r="B3384" s="174" t="s">
        <v>14950</v>
      </c>
      <c r="C3384" s="175"/>
      <c r="D3384" s="176" t="s">
        <v>14950</v>
      </c>
      <c r="E3384" s="176">
        <v>109818</v>
      </c>
      <c r="F3384" s="177" t="s">
        <v>182</v>
      </c>
      <c r="G3384" s="178">
        <v>4500</v>
      </c>
      <c r="H3384" s="184">
        <v>42854</v>
      </c>
      <c r="I3384" s="183">
        <f t="shared" si="106"/>
        <v>4500</v>
      </c>
      <c r="J3384" s="178">
        <f t="shared" si="105"/>
        <v>0</v>
      </c>
      <c r="K3384" s="19"/>
    </row>
    <row r="3385" spans="1:11" x14ac:dyDescent="0.25">
      <c r="A3385" s="51">
        <v>42853</v>
      </c>
      <c r="B3385" s="174" t="s">
        <v>14951</v>
      </c>
      <c r="C3385" s="175"/>
      <c r="D3385" s="176" t="s">
        <v>14951</v>
      </c>
      <c r="E3385" s="176">
        <v>109819</v>
      </c>
      <c r="F3385" s="177" t="s">
        <v>302</v>
      </c>
      <c r="G3385" s="178">
        <v>9339.7999999999993</v>
      </c>
      <c r="H3385" s="186">
        <v>42857</v>
      </c>
      <c r="I3385" s="187">
        <f t="shared" si="106"/>
        <v>9339.7999999999993</v>
      </c>
      <c r="J3385" s="178">
        <f t="shared" si="105"/>
        <v>0</v>
      </c>
      <c r="K3385" s="19"/>
    </row>
    <row r="3386" spans="1:11" x14ac:dyDescent="0.25">
      <c r="A3386" s="51">
        <v>42853</v>
      </c>
      <c r="B3386" s="174" t="s">
        <v>14952</v>
      </c>
      <c r="C3386" s="175"/>
      <c r="D3386" s="176" t="s">
        <v>14952</v>
      </c>
      <c r="E3386" s="176">
        <v>109820</v>
      </c>
      <c r="F3386" s="177" t="s">
        <v>426</v>
      </c>
      <c r="G3386" s="178">
        <v>12927</v>
      </c>
      <c r="H3386" s="186">
        <v>42863</v>
      </c>
      <c r="I3386" s="187">
        <f t="shared" si="106"/>
        <v>12927</v>
      </c>
      <c r="J3386" s="178">
        <f t="shared" si="105"/>
        <v>0</v>
      </c>
      <c r="K3386" s="19"/>
    </row>
    <row r="3387" spans="1:11" x14ac:dyDescent="0.25">
      <c r="A3387" s="51">
        <v>42853</v>
      </c>
      <c r="B3387" s="174" t="s">
        <v>14953</v>
      </c>
      <c r="C3387" s="175"/>
      <c r="D3387" s="176" t="s">
        <v>14953</v>
      </c>
      <c r="E3387" s="176">
        <v>109821</v>
      </c>
      <c r="F3387" s="177" t="s">
        <v>2528</v>
      </c>
      <c r="G3387" s="178">
        <v>859.2</v>
      </c>
      <c r="H3387" s="184">
        <v>42854</v>
      </c>
      <c r="I3387" s="183">
        <f t="shared" si="106"/>
        <v>859.2</v>
      </c>
      <c r="J3387" s="178">
        <f t="shared" si="105"/>
        <v>0</v>
      </c>
      <c r="K3387" s="19"/>
    </row>
    <row r="3388" spans="1:11" x14ac:dyDescent="0.25">
      <c r="A3388" s="51">
        <v>42853</v>
      </c>
      <c r="B3388" s="174" t="s">
        <v>14954</v>
      </c>
      <c r="C3388" s="175"/>
      <c r="D3388" s="176" t="s">
        <v>14954</v>
      </c>
      <c r="E3388" s="176">
        <v>109822</v>
      </c>
      <c r="F3388" s="177" t="s">
        <v>30</v>
      </c>
      <c r="G3388" s="178">
        <v>9554.1</v>
      </c>
      <c r="H3388" s="184">
        <v>42853</v>
      </c>
      <c r="I3388" s="183">
        <f t="shared" si="106"/>
        <v>9554.1</v>
      </c>
      <c r="J3388" s="178">
        <f t="shared" si="105"/>
        <v>0</v>
      </c>
      <c r="K3388" s="19"/>
    </row>
    <row r="3389" spans="1:11" x14ac:dyDescent="0.25">
      <c r="A3389" s="51">
        <v>42853</v>
      </c>
      <c r="B3389" s="174" t="s">
        <v>14955</v>
      </c>
      <c r="C3389" s="175"/>
      <c r="D3389" s="176" t="s">
        <v>14955</v>
      </c>
      <c r="E3389" s="176">
        <v>109823</v>
      </c>
      <c r="F3389" s="177" t="s">
        <v>30</v>
      </c>
      <c r="G3389" s="178">
        <v>595.4</v>
      </c>
      <c r="H3389" s="184">
        <v>42853</v>
      </c>
      <c r="I3389" s="183">
        <f t="shared" si="106"/>
        <v>595.4</v>
      </c>
      <c r="J3389" s="178">
        <f t="shared" si="105"/>
        <v>0</v>
      </c>
      <c r="K3389" s="19"/>
    </row>
    <row r="3390" spans="1:11" x14ac:dyDescent="0.25">
      <c r="A3390" s="51">
        <v>42853</v>
      </c>
      <c r="B3390" s="174" t="s">
        <v>14956</v>
      </c>
      <c r="C3390" s="175"/>
      <c r="D3390" s="176" t="s">
        <v>14956</v>
      </c>
      <c r="E3390" s="176">
        <v>109824</v>
      </c>
      <c r="F3390" s="177" t="s">
        <v>220</v>
      </c>
      <c r="G3390" s="178">
        <v>3435.6</v>
      </c>
      <c r="H3390" s="184">
        <v>42854</v>
      </c>
      <c r="I3390" s="183">
        <f t="shared" si="106"/>
        <v>3435.6</v>
      </c>
      <c r="J3390" s="178">
        <f t="shared" si="105"/>
        <v>0</v>
      </c>
      <c r="K3390" s="19"/>
    </row>
    <row r="3391" spans="1:11" x14ac:dyDescent="0.25">
      <c r="A3391" s="51">
        <v>42853</v>
      </c>
      <c r="B3391" s="174" t="s">
        <v>14957</v>
      </c>
      <c r="C3391" s="175"/>
      <c r="D3391" s="176" t="s">
        <v>14957</v>
      </c>
      <c r="E3391" s="176">
        <v>109825</v>
      </c>
      <c r="F3391" s="177" t="s">
        <v>222</v>
      </c>
      <c r="G3391" s="178">
        <v>368900</v>
      </c>
      <c r="H3391" s="186">
        <v>42858</v>
      </c>
      <c r="I3391" s="187">
        <f t="shared" si="106"/>
        <v>368900</v>
      </c>
      <c r="J3391" s="178">
        <f t="shared" si="105"/>
        <v>0</v>
      </c>
      <c r="K3391" s="19"/>
    </row>
    <row r="3392" spans="1:11" x14ac:dyDescent="0.25">
      <c r="A3392" s="51">
        <v>42853</v>
      </c>
      <c r="B3392" s="174" t="s">
        <v>14958</v>
      </c>
      <c r="C3392" s="175"/>
      <c r="D3392" s="176" t="s">
        <v>14958</v>
      </c>
      <c r="E3392" s="176">
        <v>109826</v>
      </c>
      <c r="F3392" s="177" t="s">
        <v>10</v>
      </c>
      <c r="G3392" s="178">
        <v>311333.64</v>
      </c>
      <c r="H3392" s="186">
        <v>42859</v>
      </c>
      <c r="I3392" s="187">
        <f t="shared" si="106"/>
        <v>311333.64</v>
      </c>
      <c r="J3392" s="178">
        <f t="shared" si="105"/>
        <v>0</v>
      </c>
      <c r="K3392" s="19"/>
    </row>
    <row r="3393" spans="1:11" x14ac:dyDescent="0.25">
      <c r="A3393" s="51">
        <v>42853</v>
      </c>
      <c r="B3393" s="174" t="s">
        <v>14959</v>
      </c>
      <c r="C3393" s="175"/>
      <c r="D3393" s="176" t="s">
        <v>14959</v>
      </c>
      <c r="E3393" s="176">
        <v>109827</v>
      </c>
      <c r="F3393" s="177" t="s">
        <v>10</v>
      </c>
      <c r="G3393" s="178">
        <v>2778</v>
      </c>
      <c r="H3393" s="186">
        <v>42859</v>
      </c>
      <c r="I3393" s="187">
        <f t="shared" si="106"/>
        <v>2778</v>
      </c>
      <c r="J3393" s="178">
        <f t="shared" si="105"/>
        <v>0</v>
      </c>
      <c r="K3393" s="19"/>
    </row>
    <row r="3394" spans="1:11" x14ac:dyDescent="0.25">
      <c r="A3394" s="51">
        <v>42853</v>
      </c>
      <c r="B3394" s="174" t="s">
        <v>14960</v>
      </c>
      <c r="C3394" s="175"/>
      <c r="D3394" s="176" t="s">
        <v>14960</v>
      </c>
      <c r="E3394" s="176">
        <v>109828</v>
      </c>
      <c r="F3394" s="177" t="s">
        <v>9</v>
      </c>
      <c r="G3394" s="178">
        <v>6038.1</v>
      </c>
      <c r="H3394" s="186">
        <v>42861</v>
      </c>
      <c r="I3394" s="187">
        <f t="shared" si="106"/>
        <v>6038.1</v>
      </c>
      <c r="J3394" s="178">
        <f t="shared" si="105"/>
        <v>0</v>
      </c>
      <c r="K3394" s="19"/>
    </row>
    <row r="3395" spans="1:11" x14ac:dyDescent="0.25">
      <c r="A3395" s="51">
        <v>42853</v>
      </c>
      <c r="B3395" s="174" t="s">
        <v>14961</v>
      </c>
      <c r="C3395" s="175"/>
      <c r="D3395" s="176" t="s">
        <v>14961</v>
      </c>
      <c r="E3395" s="176">
        <v>109829</v>
      </c>
      <c r="F3395" s="177" t="s">
        <v>1870</v>
      </c>
      <c r="G3395" s="178">
        <v>1076</v>
      </c>
      <c r="H3395" s="184">
        <v>42853</v>
      </c>
      <c r="I3395" s="183">
        <f t="shared" si="106"/>
        <v>1076</v>
      </c>
      <c r="J3395" s="178">
        <f t="shared" si="105"/>
        <v>0</v>
      </c>
      <c r="K3395" s="19"/>
    </row>
    <row r="3396" spans="1:11" x14ac:dyDescent="0.25">
      <c r="A3396" s="51">
        <v>42853</v>
      </c>
      <c r="B3396" s="174" t="s">
        <v>14962</v>
      </c>
      <c r="C3396" s="175"/>
      <c r="D3396" s="176" t="s">
        <v>14962</v>
      </c>
      <c r="E3396" s="176">
        <v>109830</v>
      </c>
      <c r="F3396" s="177" t="s">
        <v>193</v>
      </c>
      <c r="G3396" s="178">
        <v>2173.5</v>
      </c>
      <c r="H3396" s="184">
        <v>42854</v>
      </c>
      <c r="I3396" s="183">
        <f t="shared" si="106"/>
        <v>2173.5</v>
      </c>
      <c r="J3396" s="178">
        <f t="shared" ref="J3396:J3459" si="107">G3396-I3396</f>
        <v>0</v>
      </c>
      <c r="K3396" s="19"/>
    </row>
    <row r="3397" spans="1:11" x14ac:dyDescent="0.25">
      <c r="A3397" s="51">
        <v>42853</v>
      </c>
      <c r="B3397" s="174" t="s">
        <v>14963</v>
      </c>
      <c r="C3397" s="175"/>
      <c r="D3397" s="176" t="s">
        <v>14963</v>
      </c>
      <c r="E3397" s="176">
        <v>109831</v>
      </c>
      <c r="F3397" s="177" t="s">
        <v>10370</v>
      </c>
      <c r="G3397" s="178">
        <v>1416.8</v>
      </c>
      <c r="H3397" s="184">
        <v>42854</v>
      </c>
      <c r="I3397" s="183">
        <f t="shared" ref="I3397:I3460" si="108">G3397</f>
        <v>1416.8</v>
      </c>
      <c r="J3397" s="178">
        <f t="shared" si="107"/>
        <v>0</v>
      </c>
      <c r="K3397" s="19"/>
    </row>
    <row r="3398" spans="1:11" x14ac:dyDescent="0.25">
      <c r="A3398" s="51">
        <v>42853</v>
      </c>
      <c r="B3398" s="174" t="s">
        <v>14964</v>
      </c>
      <c r="C3398" s="175"/>
      <c r="D3398" s="176" t="s">
        <v>14964</v>
      </c>
      <c r="E3398" s="176">
        <v>109832</v>
      </c>
      <c r="F3398" s="177" t="s">
        <v>360</v>
      </c>
      <c r="G3398" s="178">
        <v>5247.9</v>
      </c>
      <c r="H3398" s="186">
        <v>42870</v>
      </c>
      <c r="I3398" s="187">
        <f t="shared" si="108"/>
        <v>5247.9</v>
      </c>
      <c r="J3398" s="178">
        <f t="shared" si="107"/>
        <v>0</v>
      </c>
      <c r="K3398" s="19"/>
    </row>
    <row r="3399" spans="1:11" x14ac:dyDescent="0.25">
      <c r="A3399" s="51">
        <v>42853</v>
      </c>
      <c r="B3399" s="174" t="s">
        <v>14965</v>
      </c>
      <c r="C3399" s="175"/>
      <c r="D3399" s="176" t="s">
        <v>14965</v>
      </c>
      <c r="E3399" s="176">
        <v>109833</v>
      </c>
      <c r="F3399" s="177" t="s">
        <v>2240</v>
      </c>
      <c r="G3399" s="178">
        <v>10470.9</v>
      </c>
      <c r="H3399" s="184">
        <v>42853</v>
      </c>
      <c r="I3399" s="183">
        <f t="shared" si="108"/>
        <v>10470.9</v>
      </c>
      <c r="J3399" s="178">
        <f t="shared" si="107"/>
        <v>0</v>
      </c>
      <c r="K3399" s="19"/>
    </row>
    <row r="3400" spans="1:11" x14ac:dyDescent="0.25">
      <c r="A3400" s="51">
        <v>42853</v>
      </c>
      <c r="B3400" s="174" t="s">
        <v>14966</v>
      </c>
      <c r="C3400" s="175"/>
      <c r="D3400" s="176" t="s">
        <v>14966</v>
      </c>
      <c r="E3400" s="176">
        <v>109834</v>
      </c>
      <c r="F3400" s="177" t="s">
        <v>312</v>
      </c>
      <c r="G3400" s="178">
        <v>93698.5</v>
      </c>
      <c r="H3400" s="184">
        <v>42854</v>
      </c>
      <c r="I3400" s="183">
        <f t="shared" si="108"/>
        <v>93698.5</v>
      </c>
      <c r="J3400" s="178">
        <f t="shared" si="107"/>
        <v>0</v>
      </c>
      <c r="K3400" s="19"/>
    </row>
    <row r="3401" spans="1:11" x14ac:dyDescent="0.25">
      <c r="A3401" s="51">
        <v>42853</v>
      </c>
      <c r="B3401" s="174" t="s">
        <v>14967</v>
      </c>
      <c r="C3401" s="175"/>
      <c r="D3401" s="176" t="s">
        <v>14967</v>
      </c>
      <c r="E3401" s="176">
        <v>109835</v>
      </c>
      <c r="F3401" s="177" t="s">
        <v>12879</v>
      </c>
      <c r="G3401" s="178">
        <v>358.8</v>
      </c>
      <c r="H3401" s="184">
        <v>42853</v>
      </c>
      <c r="I3401" s="183">
        <f t="shared" si="108"/>
        <v>358.8</v>
      </c>
      <c r="J3401" s="178">
        <f t="shared" si="107"/>
        <v>0</v>
      </c>
      <c r="K3401" s="19"/>
    </row>
    <row r="3402" spans="1:11" x14ac:dyDescent="0.25">
      <c r="A3402" s="51">
        <v>42853</v>
      </c>
      <c r="B3402" s="174" t="s">
        <v>14968</v>
      </c>
      <c r="C3402" s="175"/>
      <c r="D3402" s="176" t="s">
        <v>14968</v>
      </c>
      <c r="E3402" s="176">
        <v>109836</v>
      </c>
      <c r="F3402" s="177" t="s">
        <v>379</v>
      </c>
      <c r="G3402" s="178">
        <v>5186.3999999999996</v>
      </c>
      <c r="H3402" s="186">
        <v>42860</v>
      </c>
      <c r="I3402" s="187">
        <f t="shared" si="108"/>
        <v>5186.3999999999996</v>
      </c>
      <c r="J3402" s="178">
        <f t="shared" si="107"/>
        <v>0</v>
      </c>
      <c r="K3402" s="19"/>
    </row>
    <row r="3403" spans="1:11" x14ac:dyDescent="0.25">
      <c r="A3403" s="51">
        <v>42853</v>
      </c>
      <c r="B3403" s="174" t="s">
        <v>14969</v>
      </c>
      <c r="C3403" s="175"/>
      <c r="D3403" s="176" t="s">
        <v>14969</v>
      </c>
      <c r="E3403" s="176">
        <v>109837</v>
      </c>
      <c r="F3403" s="177" t="s">
        <v>523</v>
      </c>
      <c r="G3403" s="178">
        <v>3947.2</v>
      </c>
      <c r="H3403" s="184">
        <v>42853</v>
      </c>
      <c r="I3403" s="183">
        <f t="shared" si="108"/>
        <v>3947.2</v>
      </c>
      <c r="J3403" s="178">
        <f t="shared" si="107"/>
        <v>0</v>
      </c>
      <c r="K3403" s="19"/>
    </row>
    <row r="3404" spans="1:11" x14ac:dyDescent="0.25">
      <c r="A3404" s="51">
        <v>42853</v>
      </c>
      <c r="B3404" s="174" t="s">
        <v>14970</v>
      </c>
      <c r="C3404" s="175"/>
      <c r="D3404" s="176" t="s">
        <v>14970</v>
      </c>
      <c r="E3404" s="176">
        <v>109838</v>
      </c>
      <c r="F3404" s="177" t="s">
        <v>205</v>
      </c>
      <c r="G3404" s="178">
        <v>59250.51</v>
      </c>
      <c r="H3404" s="186">
        <v>42884</v>
      </c>
      <c r="I3404" s="187">
        <f t="shared" si="108"/>
        <v>59250.51</v>
      </c>
      <c r="J3404" s="178">
        <f t="shared" si="107"/>
        <v>0</v>
      </c>
      <c r="K3404" s="19"/>
    </row>
    <row r="3405" spans="1:11" ht="15.75" x14ac:dyDescent="0.25">
      <c r="A3405" s="51">
        <v>42853</v>
      </c>
      <c r="B3405" s="174" t="s">
        <v>14971</v>
      </c>
      <c r="C3405" s="175"/>
      <c r="D3405" s="176" t="s">
        <v>14971</v>
      </c>
      <c r="E3405" s="176">
        <v>109839</v>
      </c>
      <c r="F3405" s="177" t="s">
        <v>222</v>
      </c>
      <c r="G3405" s="178">
        <v>0</v>
      </c>
      <c r="H3405" s="207" t="s">
        <v>95</v>
      </c>
      <c r="I3405" s="178">
        <f t="shared" si="108"/>
        <v>0</v>
      </c>
      <c r="J3405" s="178">
        <f t="shared" si="107"/>
        <v>0</v>
      </c>
      <c r="K3405" s="19"/>
    </row>
    <row r="3406" spans="1:11" x14ac:dyDescent="0.25">
      <c r="A3406" s="51">
        <v>42853</v>
      </c>
      <c r="B3406" s="174" t="s">
        <v>14972</v>
      </c>
      <c r="C3406" s="175"/>
      <c r="D3406" s="176" t="s">
        <v>14972</v>
      </c>
      <c r="E3406" s="176">
        <v>109840</v>
      </c>
      <c r="F3406" s="177" t="s">
        <v>492</v>
      </c>
      <c r="G3406" s="178">
        <v>21508.2</v>
      </c>
      <c r="H3406" s="186">
        <v>42856</v>
      </c>
      <c r="I3406" s="187">
        <f t="shared" si="108"/>
        <v>21508.2</v>
      </c>
      <c r="J3406" s="178">
        <f t="shared" si="107"/>
        <v>0</v>
      </c>
    </row>
    <row r="3407" spans="1:11" x14ac:dyDescent="0.25">
      <c r="A3407" s="51">
        <v>42853</v>
      </c>
      <c r="B3407" s="174" t="s">
        <v>14973</v>
      </c>
      <c r="C3407" s="175"/>
      <c r="D3407" s="176" t="s">
        <v>14973</v>
      </c>
      <c r="E3407" s="176">
        <v>109841</v>
      </c>
      <c r="F3407" s="177" t="s">
        <v>2392</v>
      </c>
      <c r="G3407" s="178">
        <v>1481.2</v>
      </c>
      <c r="H3407" s="184">
        <v>42854</v>
      </c>
      <c r="I3407" s="183">
        <f t="shared" si="108"/>
        <v>1481.2</v>
      </c>
      <c r="J3407" s="178">
        <f t="shared" si="107"/>
        <v>0</v>
      </c>
    </row>
    <row r="3408" spans="1:11" x14ac:dyDescent="0.25">
      <c r="A3408" s="51">
        <v>42853</v>
      </c>
      <c r="B3408" s="174" t="s">
        <v>14974</v>
      </c>
      <c r="C3408" s="175"/>
      <c r="D3408" s="176" t="s">
        <v>14974</v>
      </c>
      <c r="E3408" s="176">
        <v>109842</v>
      </c>
      <c r="F3408" s="177" t="s">
        <v>785</v>
      </c>
      <c r="G3408" s="178">
        <v>5760</v>
      </c>
      <c r="H3408" s="184">
        <v>42854</v>
      </c>
      <c r="I3408" s="183">
        <f t="shared" si="108"/>
        <v>5760</v>
      </c>
      <c r="J3408" s="178">
        <f t="shared" si="107"/>
        <v>0</v>
      </c>
    </row>
    <row r="3409" spans="1:10" x14ac:dyDescent="0.25">
      <c r="A3409" s="51">
        <v>42853</v>
      </c>
      <c r="B3409" s="174" t="s">
        <v>14975</v>
      </c>
      <c r="C3409" s="175"/>
      <c r="D3409" s="176" t="s">
        <v>14975</v>
      </c>
      <c r="E3409" s="176">
        <v>109843</v>
      </c>
      <c r="F3409" s="177" t="s">
        <v>785</v>
      </c>
      <c r="G3409" s="178">
        <v>9295.2000000000007</v>
      </c>
      <c r="H3409" s="184">
        <v>42854</v>
      </c>
      <c r="I3409" s="183">
        <f t="shared" si="108"/>
        <v>9295.2000000000007</v>
      </c>
      <c r="J3409" s="178">
        <f t="shared" si="107"/>
        <v>0</v>
      </c>
    </row>
    <row r="3410" spans="1:10" x14ac:dyDescent="0.25">
      <c r="A3410" s="51">
        <v>42853</v>
      </c>
      <c r="B3410" s="174" t="s">
        <v>14976</v>
      </c>
      <c r="C3410" s="175"/>
      <c r="D3410" s="176" t="s">
        <v>14976</v>
      </c>
      <c r="E3410" s="176">
        <v>109844</v>
      </c>
      <c r="F3410" s="177" t="s">
        <v>921</v>
      </c>
      <c r="G3410" s="178">
        <v>8446.2000000000007</v>
      </c>
      <c r="H3410" s="184">
        <v>42854</v>
      </c>
      <c r="I3410" s="183">
        <f t="shared" si="108"/>
        <v>8446.2000000000007</v>
      </c>
      <c r="J3410" s="178">
        <f t="shared" si="107"/>
        <v>0</v>
      </c>
    </row>
    <row r="3411" spans="1:10" x14ac:dyDescent="0.25">
      <c r="A3411" s="51">
        <v>42854</v>
      </c>
      <c r="B3411" s="174" t="s">
        <v>14977</v>
      </c>
      <c r="C3411" s="175"/>
      <c r="D3411" s="176" t="s">
        <v>14977</v>
      </c>
      <c r="E3411" s="176">
        <v>109845</v>
      </c>
      <c r="F3411" s="177" t="s">
        <v>231</v>
      </c>
      <c r="G3411" s="178">
        <v>8664.5</v>
      </c>
      <c r="H3411" s="184">
        <v>42855</v>
      </c>
      <c r="I3411" s="183">
        <f t="shared" si="108"/>
        <v>8664.5</v>
      </c>
      <c r="J3411" s="178">
        <f t="shared" si="107"/>
        <v>0</v>
      </c>
    </row>
    <row r="3412" spans="1:10" x14ac:dyDescent="0.25">
      <c r="A3412" s="51">
        <v>42854</v>
      </c>
      <c r="B3412" s="174" t="s">
        <v>14978</v>
      </c>
      <c r="C3412" s="175"/>
      <c r="D3412" s="176" t="s">
        <v>14978</v>
      </c>
      <c r="E3412" s="176">
        <v>109846</v>
      </c>
      <c r="F3412" s="177" t="s">
        <v>231</v>
      </c>
      <c r="G3412" s="178">
        <v>33912.75</v>
      </c>
      <c r="H3412" s="184">
        <v>42855</v>
      </c>
      <c r="I3412" s="183">
        <f t="shared" si="108"/>
        <v>33912.75</v>
      </c>
      <c r="J3412" s="178">
        <f t="shared" si="107"/>
        <v>0</v>
      </c>
    </row>
    <row r="3413" spans="1:10" x14ac:dyDescent="0.25">
      <c r="A3413" s="51">
        <v>42854</v>
      </c>
      <c r="B3413" s="174" t="s">
        <v>14979</v>
      </c>
      <c r="C3413" s="175"/>
      <c r="D3413" s="176" t="s">
        <v>14979</v>
      </c>
      <c r="E3413" s="176">
        <v>109847</v>
      </c>
      <c r="F3413" s="177" t="s">
        <v>55</v>
      </c>
      <c r="G3413" s="178">
        <v>11572.5</v>
      </c>
      <c r="H3413" s="184">
        <v>42854</v>
      </c>
      <c r="I3413" s="183">
        <f t="shared" si="108"/>
        <v>11572.5</v>
      </c>
      <c r="J3413" s="178">
        <f t="shared" si="107"/>
        <v>0</v>
      </c>
    </row>
    <row r="3414" spans="1:10" x14ac:dyDescent="0.25">
      <c r="A3414" s="51">
        <v>42854</v>
      </c>
      <c r="B3414" s="174" t="s">
        <v>14980</v>
      </c>
      <c r="C3414" s="175"/>
      <c r="D3414" s="176" t="s">
        <v>14980</v>
      </c>
      <c r="E3414" s="176">
        <v>109848</v>
      </c>
      <c r="F3414" s="177" t="s">
        <v>71</v>
      </c>
      <c r="G3414" s="178">
        <v>2802.5</v>
      </c>
      <c r="H3414" s="184">
        <v>42854</v>
      </c>
      <c r="I3414" s="183">
        <f t="shared" si="108"/>
        <v>2802.5</v>
      </c>
      <c r="J3414" s="178">
        <f t="shared" si="107"/>
        <v>0</v>
      </c>
    </row>
    <row r="3415" spans="1:10" x14ac:dyDescent="0.25">
      <c r="A3415" s="51">
        <v>42854</v>
      </c>
      <c r="B3415" s="174" t="s">
        <v>14981</v>
      </c>
      <c r="C3415" s="175"/>
      <c r="D3415" s="176" t="s">
        <v>14981</v>
      </c>
      <c r="E3415" s="176">
        <v>109849</v>
      </c>
      <c r="F3415" s="177" t="s">
        <v>14063</v>
      </c>
      <c r="G3415" s="178">
        <v>3600</v>
      </c>
      <c r="H3415" s="184">
        <v>42854</v>
      </c>
      <c r="I3415" s="183">
        <f t="shared" si="108"/>
        <v>3600</v>
      </c>
      <c r="J3415" s="178">
        <f t="shared" si="107"/>
        <v>0</v>
      </c>
    </row>
    <row r="3416" spans="1:10" x14ac:dyDescent="0.25">
      <c r="A3416" s="51">
        <v>42854</v>
      </c>
      <c r="B3416" s="174" t="s">
        <v>14982</v>
      </c>
      <c r="C3416" s="175"/>
      <c r="D3416" s="176" t="s">
        <v>14982</v>
      </c>
      <c r="E3416" s="176">
        <v>109850</v>
      </c>
      <c r="F3416" s="177" t="s">
        <v>26</v>
      </c>
      <c r="G3416" s="178">
        <v>21301.35</v>
      </c>
      <c r="H3416" s="184">
        <v>42854</v>
      </c>
      <c r="I3416" s="183">
        <f t="shared" si="108"/>
        <v>21301.35</v>
      </c>
      <c r="J3416" s="178">
        <f t="shared" si="107"/>
        <v>0</v>
      </c>
    </row>
    <row r="3417" spans="1:10" x14ac:dyDescent="0.25">
      <c r="A3417" s="51">
        <v>42854</v>
      </c>
      <c r="B3417" s="174" t="s">
        <v>14983</v>
      </c>
      <c r="C3417" s="175"/>
      <c r="D3417" s="176" t="s">
        <v>14983</v>
      </c>
      <c r="E3417" s="176">
        <v>109851</v>
      </c>
      <c r="F3417" s="177" t="s">
        <v>430</v>
      </c>
      <c r="G3417" s="178">
        <v>1909</v>
      </c>
      <c r="H3417" s="184">
        <v>42854</v>
      </c>
      <c r="I3417" s="183">
        <f t="shared" si="108"/>
        <v>1909</v>
      </c>
      <c r="J3417" s="178">
        <f t="shared" si="107"/>
        <v>0</v>
      </c>
    </row>
    <row r="3418" spans="1:10" x14ac:dyDescent="0.25">
      <c r="A3418" s="51">
        <v>42854</v>
      </c>
      <c r="B3418" s="174" t="s">
        <v>14984</v>
      </c>
      <c r="C3418" s="175"/>
      <c r="D3418" s="176" t="s">
        <v>14984</v>
      </c>
      <c r="E3418" s="176">
        <v>109852</v>
      </c>
      <c r="F3418" s="177" t="s">
        <v>17</v>
      </c>
      <c r="G3418" s="178">
        <v>5175</v>
      </c>
      <c r="H3418" s="184">
        <v>42854</v>
      </c>
      <c r="I3418" s="183">
        <f t="shared" si="108"/>
        <v>5175</v>
      </c>
      <c r="J3418" s="178">
        <f t="shared" si="107"/>
        <v>0</v>
      </c>
    </row>
    <row r="3419" spans="1:10" ht="15.75" x14ac:dyDescent="0.25">
      <c r="A3419" s="51">
        <v>42854</v>
      </c>
      <c r="B3419" s="174" t="s">
        <v>14985</v>
      </c>
      <c r="C3419" s="175"/>
      <c r="D3419" s="176" t="s">
        <v>14985</v>
      </c>
      <c r="E3419" s="176">
        <v>109853</v>
      </c>
      <c r="F3419" s="177" t="s">
        <v>222</v>
      </c>
      <c r="G3419" s="178">
        <v>0</v>
      </c>
      <c r="H3419" s="207" t="s">
        <v>95</v>
      </c>
      <c r="I3419" s="178">
        <f t="shared" si="108"/>
        <v>0</v>
      </c>
      <c r="J3419" s="178">
        <f t="shared" si="107"/>
        <v>0</v>
      </c>
    </row>
    <row r="3420" spans="1:10" x14ac:dyDescent="0.25">
      <c r="A3420" s="51">
        <v>42854</v>
      </c>
      <c r="B3420" s="174" t="s">
        <v>14986</v>
      </c>
      <c r="C3420" s="175"/>
      <c r="D3420" s="176" t="s">
        <v>14986</v>
      </c>
      <c r="E3420" s="176">
        <v>109854</v>
      </c>
      <c r="F3420" s="177" t="s">
        <v>222</v>
      </c>
      <c r="G3420" s="178">
        <v>56925.120000000003</v>
      </c>
      <c r="H3420" s="186">
        <v>42858</v>
      </c>
      <c r="I3420" s="187">
        <f t="shared" si="108"/>
        <v>56925.120000000003</v>
      </c>
      <c r="J3420" s="178">
        <f t="shared" si="107"/>
        <v>0</v>
      </c>
    </row>
    <row r="3421" spans="1:10" x14ac:dyDescent="0.25">
      <c r="A3421" s="51">
        <v>42854</v>
      </c>
      <c r="B3421" s="174" t="s">
        <v>14987</v>
      </c>
      <c r="C3421" s="175"/>
      <c r="D3421" s="176" t="s">
        <v>14987</v>
      </c>
      <c r="E3421" s="176">
        <v>109855</v>
      </c>
      <c r="F3421" s="177" t="s">
        <v>1786</v>
      </c>
      <c r="G3421" s="178">
        <v>7761.6</v>
      </c>
      <c r="H3421" s="184">
        <v>42854</v>
      </c>
      <c r="I3421" s="183">
        <f t="shared" si="108"/>
        <v>7761.6</v>
      </c>
      <c r="J3421" s="178">
        <f t="shared" si="107"/>
        <v>0</v>
      </c>
    </row>
    <row r="3422" spans="1:10" x14ac:dyDescent="0.25">
      <c r="A3422" s="51">
        <v>42854</v>
      </c>
      <c r="B3422" s="174" t="s">
        <v>14988</v>
      </c>
      <c r="C3422" s="175"/>
      <c r="D3422" s="176" t="s">
        <v>14988</v>
      </c>
      <c r="E3422" s="176">
        <v>109856</v>
      </c>
      <c r="F3422" s="177" t="s">
        <v>305</v>
      </c>
      <c r="G3422" s="178">
        <v>5738.45</v>
      </c>
      <c r="H3422" s="186" t="s">
        <v>15193</v>
      </c>
      <c r="I3422" s="187">
        <f>3667.35+2071.1</f>
        <v>5738.45</v>
      </c>
      <c r="J3422" s="178">
        <f t="shared" si="107"/>
        <v>0</v>
      </c>
    </row>
    <row r="3423" spans="1:10" x14ac:dyDescent="0.25">
      <c r="A3423" s="51">
        <v>42854</v>
      </c>
      <c r="B3423" s="174" t="s">
        <v>14989</v>
      </c>
      <c r="C3423" s="175"/>
      <c r="D3423" s="176" t="s">
        <v>14989</v>
      </c>
      <c r="E3423" s="176">
        <v>109857</v>
      </c>
      <c r="F3423" s="177" t="s">
        <v>476</v>
      </c>
      <c r="G3423" s="178">
        <v>20349.45</v>
      </c>
      <c r="H3423" s="186">
        <v>42856</v>
      </c>
      <c r="I3423" s="187">
        <f t="shared" si="108"/>
        <v>20349.45</v>
      </c>
      <c r="J3423" s="178">
        <f t="shared" si="107"/>
        <v>0</v>
      </c>
    </row>
    <row r="3424" spans="1:10" x14ac:dyDescent="0.25">
      <c r="A3424" s="51">
        <v>42854</v>
      </c>
      <c r="B3424" s="174" t="s">
        <v>14990</v>
      </c>
      <c r="C3424" s="175"/>
      <c r="D3424" s="176" t="s">
        <v>14990</v>
      </c>
      <c r="E3424" s="176">
        <v>109858</v>
      </c>
      <c r="F3424" s="177" t="s">
        <v>312</v>
      </c>
      <c r="G3424" s="178">
        <v>13366</v>
      </c>
      <c r="H3424" s="186">
        <v>42893</v>
      </c>
      <c r="I3424" s="187">
        <f t="shared" si="108"/>
        <v>13366</v>
      </c>
      <c r="J3424" s="178">
        <f t="shared" si="107"/>
        <v>0</v>
      </c>
    </row>
    <row r="3425" spans="1:10" x14ac:dyDescent="0.25">
      <c r="A3425" s="51">
        <v>42854</v>
      </c>
      <c r="B3425" s="174" t="s">
        <v>14991</v>
      </c>
      <c r="C3425" s="175"/>
      <c r="D3425" s="176" t="s">
        <v>14991</v>
      </c>
      <c r="E3425" s="176">
        <v>109859</v>
      </c>
      <c r="F3425" s="177" t="s">
        <v>12</v>
      </c>
      <c r="G3425" s="178">
        <v>3013</v>
      </c>
      <c r="H3425" s="184">
        <v>42854</v>
      </c>
      <c r="I3425" s="183">
        <f t="shared" si="108"/>
        <v>3013</v>
      </c>
      <c r="J3425" s="178">
        <f t="shared" si="107"/>
        <v>0</v>
      </c>
    </row>
    <row r="3426" spans="1:10" x14ac:dyDescent="0.25">
      <c r="A3426" s="51">
        <v>42854</v>
      </c>
      <c r="B3426" s="174" t="s">
        <v>14992</v>
      </c>
      <c r="C3426" s="175"/>
      <c r="D3426" s="176" t="s">
        <v>14992</v>
      </c>
      <c r="E3426" s="176">
        <v>109860</v>
      </c>
      <c r="F3426" s="177" t="s">
        <v>21</v>
      </c>
      <c r="G3426" s="178">
        <v>44064.2</v>
      </c>
      <c r="H3426" s="186">
        <v>42866</v>
      </c>
      <c r="I3426" s="187">
        <f t="shared" si="108"/>
        <v>44064.2</v>
      </c>
      <c r="J3426" s="178">
        <f t="shared" si="107"/>
        <v>0</v>
      </c>
    </row>
    <row r="3427" spans="1:10" x14ac:dyDescent="0.25">
      <c r="A3427" s="51">
        <v>42854</v>
      </c>
      <c r="B3427" s="174" t="s">
        <v>14993</v>
      </c>
      <c r="C3427" s="175"/>
      <c r="D3427" s="176" t="s">
        <v>14993</v>
      </c>
      <c r="E3427" s="176">
        <v>109861</v>
      </c>
      <c r="F3427" s="177" t="s">
        <v>472</v>
      </c>
      <c r="G3427" s="178">
        <v>7176</v>
      </c>
      <c r="H3427" s="186">
        <v>42858</v>
      </c>
      <c r="I3427" s="187">
        <f t="shared" si="108"/>
        <v>7176</v>
      </c>
      <c r="J3427" s="178">
        <f t="shared" si="107"/>
        <v>0</v>
      </c>
    </row>
    <row r="3428" spans="1:10" x14ac:dyDescent="0.25">
      <c r="A3428" s="51">
        <v>42854</v>
      </c>
      <c r="B3428" s="174" t="s">
        <v>14994</v>
      </c>
      <c r="C3428" s="175"/>
      <c r="D3428" s="176" t="s">
        <v>14994</v>
      </c>
      <c r="E3428" s="176">
        <v>109862</v>
      </c>
      <c r="F3428" s="177" t="s">
        <v>49</v>
      </c>
      <c r="G3428" s="178">
        <v>24724.799999999999</v>
      </c>
      <c r="H3428" s="186">
        <v>42857</v>
      </c>
      <c r="I3428" s="187">
        <f t="shared" si="108"/>
        <v>24724.799999999999</v>
      </c>
      <c r="J3428" s="178">
        <f t="shared" si="107"/>
        <v>0</v>
      </c>
    </row>
    <row r="3429" spans="1:10" x14ac:dyDescent="0.25">
      <c r="A3429" s="51">
        <v>42854</v>
      </c>
      <c r="B3429" s="174" t="s">
        <v>14995</v>
      </c>
      <c r="C3429" s="175"/>
      <c r="D3429" s="176" t="s">
        <v>14995</v>
      </c>
      <c r="E3429" s="176">
        <v>109863</v>
      </c>
      <c r="F3429" s="177" t="s">
        <v>28</v>
      </c>
      <c r="G3429" s="178">
        <v>4979.3999999999996</v>
      </c>
      <c r="H3429" s="184">
        <v>42854</v>
      </c>
      <c r="I3429" s="183">
        <f t="shared" si="108"/>
        <v>4979.3999999999996</v>
      </c>
      <c r="J3429" s="178">
        <f t="shared" si="107"/>
        <v>0</v>
      </c>
    </row>
    <row r="3430" spans="1:10" x14ac:dyDescent="0.25">
      <c r="A3430" s="51">
        <v>42854</v>
      </c>
      <c r="B3430" s="174" t="s">
        <v>14996</v>
      </c>
      <c r="C3430" s="175"/>
      <c r="D3430" s="176" t="s">
        <v>14996</v>
      </c>
      <c r="E3430" s="176">
        <v>109864</v>
      </c>
      <c r="F3430" s="177" t="s">
        <v>721</v>
      </c>
      <c r="G3430" s="178">
        <v>12232.5</v>
      </c>
      <c r="H3430" s="184">
        <v>42854</v>
      </c>
      <c r="I3430" s="183">
        <f t="shared" si="108"/>
        <v>12232.5</v>
      </c>
      <c r="J3430" s="178">
        <f t="shared" si="107"/>
        <v>0</v>
      </c>
    </row>
    <row r="3431" spans="1:10" x14ac:dyDescent="0.25">
      <c r="A3431" s="51">
        <v>42854</v>
      </c>
      <c r="B3431" s="174" t="s">
        <v>14997</v>
      </c>
      <c r="C3431" s="175"/>
      <c r="D3431" s="176" t="s">
        <v>14997</v>
      </c>
      <c r="E3431" s="176">
        <v>109865</v>
      </c>
      <c r="F3431" s="177" t="s">
        <v>721</v>
      </c>
      <c r="G3431" s="178">
        <v>1674</v>
      </c>
      <c r="H3431" s="184">
        <v>42854</v>
      </c>
      <c r="I3431" s="183">
        <f t="shared" si="108"/>
        <v>1674</v>
      </c>
      <c r="J3431" s="178">
        <f t="shared" si="107"/>
        <v>0</v>
      </c>
    </row>
    <row r="3432" spans="1:10" x14ac:dyDescent="0.25">
      <c r="A3432" s="51">
        <v>42854</v>
      </c>
      <c r="B3432" s="174" t="s">
        <v>14998</v>
      </c>
      <c r="C3432" s="175"/>
      <c r="D3432" s="176" t="s">
        <v>14998</v>
      </c>
      <c r="E3432" s="176">
        <v>109866</v>
      </c>
      <c r="F3432" s="177" t="s">
        <v>51</v>
      </c>
      <c r="G3432" s="178">
        <v>10309</v>
      </c>
      <c r="H3432" s="186">
        <v>42857</v>
      </c>
      <c r="I3432" s="187">
        <f t="shared" si="108"/>
        <v>10309</v>
      </c>
      <c r="J3432" s="178">
        <f t="shared" si="107"/>
        <v>0</v>
      </c>
    </row>
    <row r="3433" spans="1:10" x14ac:dyDescent="0.25">
      <c r="A3433" s="51">
        <v>42854</v>
      </c>
      <c r="B3433" s="174" t="s">
        <v>14999</v>
      </c>
      <c r="C3433" s="175"/>
      <c r="D3433" s="176" t="s">
        <v>14999</v>
      </c>
      <c r="E3433" s="176">
        <v>109867</v>
      </c>
      <c r="F3433" s="177" t="s">
        <v>253</v>
      </c>
      <c r="G3433" s="178">
        <v>6020.2</v>
      </c>
      <c r="H3433" s="186">
        <v>42860</v>
      </c>
      <c r="I3433" s="187">
        <f t="shared" si="108"/>
        <v>6020.2</v>
      </c>
      <c r="J3433" s="178">
        <f t="shared" si="107"/>
        <v>0</v>
      </c>
    </row>
    <row r="3434" spans="1:10" x14ac:dyDescent="0.25">
      <c r="A3434" s="51">
        <v>42854</v>
      </c>
      <c r="B3434" s="174" t="s">
        <v>15000</v>
      </c>
      <c r="C3434" s="175"/>
      <c r="D3434" s="176" t="s">
        <v>15000</v>
      </c>
      <c r="E3434" s="176">
        <v>109868</v>
      </c>
      <c r="F3434" s="177" t="s">
        <v>19</v>
      </c>
      <c r="G3434" s="178">
        <v>1350</v>
      </c>
      <c r="H3434" s="184">
        <v>42854</v>
      </c>
      <c r="I3434" s="183">
        <f t="shared" si="108"/>
        <v>1350</v>
      </c>
      <c r="J3434" s="178">
        <f t="shared" si="107"/>
        <v>0</v>
      </c>
    </row>
    <row r="3435" spans="1:10" ht="15.75" x14ac:dyDescent="0.25">
      <c r="A3435" s="51">
        <v>42854</v>
      </c>
      <c r="B3435" s="174" t="s">
        <v>15001</v>
      </c>
      <c r="C3435" s="175"/>
      <c r="D3435" s="176" t="s">
        <v>15001</v>
      </c>
      <c r="E3435" s="176">
        <v>109869</v>
      </c>
      <c r="F3435" s="177" t="s">
        <v>49</v>
      </c>
      <c r="G3435" s="178">
        <v>0</v>
      </c>
      <c r="H3435" s="207" t="s">
        <v>95</v>
      </c>
      <c r="I3435" s="178">
        <f t="shared" si="108"/>
        <v>0</v>
      </c>
      <c r="J3435" s="178">
        <f t="shared" si="107"/>
        <v>0</v>
      </c>
    </row>
    <row r="3436" spans="1:10" x14ac:dyDescent="0.25">
      <c r="A3436" s="51">
        <v>42854</v>
      </c>
      <c r="B3436" s="174" t="s">
        <v>15002</v>
      </c>
      <c r="C3436" s="175"/>
      <c r="D3436" s="176" t="s">
        <v>15002</v>
      </c>
      <c r="E3436" s="176">
        <v>109870</v>
      </c>
      <c r="F3436" s="177" t="s">
        <v>35</v>
      </c>
      <c r="G3436" s="178">
        <v>27727</v>
      </c>
      <c r="H3436" s="186">
        <v>42858</v>
      </c>
      <c r="I3436" s="187">
        <f t="shared" si="108"/>
        <v>27727</v>
      </c>
      <c r="J3436" s="178">
        <f t="shared" si="107"/>
        <v>0</v>
      </c>
    </row>
    <row r="3437" spans="1:10" x14ac:dyDescent="0.25">
      <c r="A3437" s="51">
        <v>42854</v>
      </c>
      <c r="B3437" s="174" t="s">
        <v>15003</v>
      </c>
      <c r="C3437" s="175"/>
      <c r="D3437" s="176" t="s">
        <v>15003</v>
      </c>
      <c r="E3437" s="176">
        <v>109871</v>
      </c>
      <c r="F3437" s="177" t="s">
        <v>428</v>
      </c>
      <c r="G3437" s="178">
        <v>1440</v>
      </c>
      <c r="H3437" s="186">
        <v>42856</v>
      </c>
      <c r="I3437" s="187">
        <f t="shared" si="108"/>
        <v>1440</v>
      </c>
      <c r="J3437" s="178">
        <f t="shared" si="107"/>
        <v>0</v>
      </c>
    </row>
    <row r="3438" spans="1:10" ht="15.75" x14ac:dyDescent="0.25">
      <c r="A3438" s="51">
        <v>42854</v>
      </c>
      <c r="B3438" s="174" t="s">
        <v>15004</v>
      </c>
      <c r="C3438" s="175"/>
      <c r="D3438" s="176" t="s">
        <v>15004</v>
      </c>
      <c r="E3438" s="176">
        <v>109872</v>
      </c>
      <c r="F3438" s="177" t="s">
        <v>231</v>
      </c>
      <c r="G3438" s="178">
        <v>0</v>
      </c>
      <c r="H3438" s="207" t="s">
        <v>95</v>
      </c>
      <c r="I3438" s="178">
        <f t="shared" si="108"/>
        <v>0</v>
      </c>
      <c r="J3438" s="178">
        <f t="shared" si="107"/>
        <v>0</v>
      </c>
    </row>
    <row r="3439" spans="1:10" x14ac:dyDescent="0.25">
      <c r="A3439" s="51">
        <v>42854</v>
      </c>
      <c r="B3439" s="174" t="s">
        <v>15005</v>
      </c>
      <c r="C3439" s="175"/>
      <c r="D3439" s="176" t="s">
        <v>15005</v>
      </c>
      <c r="E3439" s="176">
        <v>109873</v>
      </c>
      <c r="F3439" s="177" t="s">
        <v>32</v>
      </c>
      <c r="G3439" s="178">
        <v>12138.8</v>
      </c>
      <c r="H3439" s="186">
        <v>42861</v>
      </c>
      <c r="I3439" s="187">
        <f t="shared" si="108"/>
        <v>12138.8</v>
      </c>
      <c r="J3439" s="178">
        <f t="shared" si="107"/>
        <v>0</v>
      </c>
    </row>
    <row r="3440" spans="1:10" x14ac:dyDescent="0.25">
      <c r="A3440" s="51">
        <v>42854</v>
      </c>
      <c r="B3440" s="174" t="s">
        <v>15006</v>
      </c>
      <c r="C3440" s="175"/>
      <c r="D3440" s="176" t="s">
        <v>15006</v>
      </c>
      <c r="E3440" s="176">
        <v>109874</v>
      </c>
      <c r="F3440" s="177" t="s">
        <v>43</v>
      </c>
      <c r="G3440" s="178">
        <v>14518.4</v>
      </c>
      <c r="H3440" s="186">
        <v>42857</v>
      </c>
      <c r="I3440" s="187">
        <f t="shared" si="108"/>
        <v>14518.4</v>
      </c>
      <c r="J3440" s="178">
        <f t="shared" si="107"/>
        <v>0</v>
      </c>
    </row>
    <row r="3441" spans="1:10" x14ac:dyDescent="0.25">
      <c r="A3441" s="51">
        <v>42854</v>
      </c>
      <c r="B3441" s="174" t="s">
        <v>15007</v>
      </c>
      <c r="C3441" s="175"/>
      <c r="D3441" s="176" t="s">
        <v>15007</v>
      </c>
      <c r="E3441" s="176">
        <v>109875</v>
      </c>
      <c r="F3441" s="177" t="s">
        <v>509</v>
      </c>
      <c r="G3441" s="178">
        <v>1478.4</v>
      </c>
      <c r="H3441" s="184">
        <v>42854</v>
      </c>
      <c r="I3441" s="183">
        <f t="shared" si="108"/>
        <v>1478.4</v>
      </c>
      <c r="J3441" s="178">
        <f t="shared" si="107"/>
        <v>0</v>
      </c>
    </row>
    <row r="3442" spans="1:10" x14ac:dyDescent="0.25">
      <c r="A3442" s="51">
        <v>42854</v>
      </c>
      <c r="B3442" s="174" t="s">
        <v>15008</v>
      </c>
      <c r="C3442" s="175"/>
      <c r="D3442" s="176" t="s">
        <v>15008</v>
      </c>
      <c r="E3442" s="176">
        <v>109876</v>
      </c>
      <c r="F3442" s="177" t="s">
        <v>81</v>
      </c>
      <c r="G3442" s="178">
        <v>4636.8</v>
      </c>
      <c r="H3442" s="184">
        <v>42855</v>
      </c>
      <c r="I3442" s="183">
        <f t="shared" si="108"/>
        <v>4636.8</v>
      </c>
      <c r="J3442" s="178">
        <f t="shared" si="107"/>
        <v>0</v>
      </c>
    </row>
    <row r="3443" spans="1:10" x14ac:dyDescent="0.25">
      <c r="A3443" s="51">
        <v>42854</v>
      </c>
      <c r="B3443" s="174" t="s">
        <v>15009</v>
      </c>
      <c r="C3443" s="175"/>
      <c r="D3443" s="176" t="s">
        <v>15009</v>
      </c>
      <c r="E3443" s="176">
        <v>109877</v>
      </c>
      <c r="F3443" s="177" t="s">
        <v>105</v>
      </c>
      <c r="G3443" s="178">
        <v>2331</v>
      </c>
      <c r="H3443" s="186">
        <v>42856</v>
      </c>
      <c r="I3443" s="187">
        <f t="shared" si="108"/>
        <v>2331</v>
      </c>
      <c r="J3443" s="178">
        <f t="shared" si="107"/>
        <v>0</v>
      </c>
    </row>
    <row r="3444" spans="1:10" x14ac:dyDescent="0.25">
      <c r="A3444" s="51">
        <v>42854</v>
      </c>
      <c r="B3444" s="174" t="s">
        <v>15010</v>
      </c>
      <c r="C3444" s="175"/>
      <c r="D3444" s="176" t="s">
        <v>15010</v>
      </c>
      <c r="E3444" s="176">
        <v>109878</v>
      </c>
      <c r="F3444" s="177" t="s">
        <v>38</v>
      </c>
      <c r="G3444" s="178">
        <v>13725.8</v>
      </c>
      <c r="H3444" s="186" t="s">
        <v>15200</v>
      </c>
      <c r="I3444" s="187">
        <f>7500+6225.8</f>
        <v>13725.8</v>
      </c>
      <c r="J3444" s="178">
        <f t="shared" si="107"/>
        <v>0</v>
      </c>
    </row>
    <row r="3445" spans="1:10" x14ac:dyDescent="0.25">
      <c r="A3445" s="51">
        <v>42854</v>
      </c>
      <c r="B3445" s="174" t="s">
        <v>15011</v>
      </c>
      <c r="C3445" s="175"/>
      <c r="D3445" s="176" t="s">
        <v>15011</v>
      </c>
      <c r="E3445" s="176">
        <v>109879</v>
      </c>
      <c r="F3445" s="177" t="s">
        <v>250</v>
      </c>
      <c r="G3445" s="178">
        <v>17397.7</v>
      </c>
      <c r="H3445" s="186">
        <v>42857</v>
      </c>
      <c r="I3445" s="187">
        <f t="shared" si="108"/>
        <v>17397.7</v>
      </c>
      <c r="J3445" s="178">
        <f t="shared" si="107"/>
        <v>0</v>
      </c>
    </row>
    <row r="3446" spans="1:10" x14ac:dyDescent="0.25">
      <c r="A3446" s="51">
        <v>42854</v>
      </c>
      <c r="B3446" s="174" t="s">
        <v>15012</v>
      </c>
      <c r="C3446" s="175"/>
      <c r="D3446" s="176" t="s">
        <v>15012</v>
      </c>
      <c r="E3446" s="176">
        <v>109880</v>
      </c>
      <c r="F3446" s="177" t="s">
        <v>270</v>
      </c>
      <c r="G3446" s="178">
        <v>35279.599999999999</v>
      </c>
      <c r="H3446" s="186">
        <v>42858</v>
      </c>
      <c r="I3446" s="187">
        <f t="shared" si="108"/>
        <v>35279.599999999999</v>
      </c>
      <c r="J3446" s="178">
        <f t="shared" si="107"/>
        <v>0</v>
      </c>
    </row>
    <row r="3447" spans="1:10" x14ac:dyDescent="0.25">
      <c r="A3447" s="51">
        <v>42854</v>
      </c>
      <c r="B3447" s="174" t="s">
        <v>15013</v>
      </c>
      <c r="C3447" s="175"/>
      <c r="D3447" s="176" t="s">
        <v>15013</v>
      </c>
      <c r="E3447" s="176">
        <v>109881</v>
      </c>
      <c r="F3447" s="177" t="s">
        <v>40</v>
      </c>
      <c r="G3447" s="178">
        <v>180.6</v>
      </c>
      <c r="H3447" s="186">
        <v>42857</v>
      </c>
      <c r="I3447" s="187">
        <f t="shared" si="108"/>
        <v>180.6</v>
      </c>
      <c r="J3447" s="178">
        <f t="shared" si="107"/>
        <v>0</v>
      </c>
    </row>
    <row r="3448" spans="1:10" x14ac:dyDescent="0.25">
      <c r="A3448" s="51">
        <v>42854</v>
      </c>
      <c r="B3448" s="174" t="s">
        <v>15014</v>
      </c>
      <c r="C3448" s="175"/>
      <c r="D3448" s="176" t="s">
        <v>15014</v>
      </c>
      <c r="E3448" s="176">
        <v>109882</v>
      </c>
      <c r="F3448" s="177" t="s">
        <v>268</v>
      </c>
      <c r="G3448" s="178">
        <v>21188.799999999999</v>
      </c>
      <c r="H3448" s="186">
        <v>42858</v>
      </c>
      <c r="I3448" s="187">
        <f t="shared" si="108"/>
        <v>21188.799999999999</v>
      </c>
      <c r="J3448" s="178">
        <f t="shared" si="107"/>
        <v>0</v>
      </c>
    </row>
    <row r="3449" spans="1:10" x14ac:dyDescent="0.25">
      <c r="A3449" s="51">
        <v>42854</v>
      </c>
      <c r="B3449" s="174" t="s">
        <v>15015</v>
      </c>
      <c r="C3449" s="175"/>
      <c r="D3449" s="176" t="s">
        <v>15015</v>
      </c>
      <c r="E3449" s="176">
        <v>109883</v>
      </c>
      <c r="F3449" s="177" t="s">
        <v>240</v>
      </c>
      <c r="G3449" s="178">
        <v>6118.9</v>
      </c>
      <c r="H3449" s="184">
        <v>42854</v>
      </c>
      <c r="I3449" s="183">
        <f t="shared" si="108"/>
        <v>6118.9</v>
      </c>
      <c r="J3449" s="178">
        <f t="shared" si="107"/>
        <v>0</v>
      </c>
    </row>
    <row r="3450" spans="1:10" x14ac:dyDescent="0.25">
      <c r="A3450" s="51">
        <v>42854</v>
      </c>
      <c r="B3450" s="174" t="s">
        <v>15016</v>
      </c>
      <c r="C3450" s="175"/>
      <c r="D3450" s="176" t="s">
        <v>15016</v>
      </c>
      <c r="E3450" s="176">
        <v>109884</v>
      </c>
      <c r="F3450" s="177" t="s">
        <v>432</v>
      </c>
      <c r="G3450" s="178">
        <v>16184</v>
      </c>
      <c r="H3450" s="186">
        <v>42858</v>
      </c>
      <c r="I3450" s="187">
        <f t="shared" si="108"/>
        <v>16184</v>
      </c>
      <c r="J3450" s="178">
        <f t="shared" si="107"/>
        <v>0</v>
      </c>
    </row>
    <row r="3451" spans="1:10" x14ac:dyDescent="0.25">
      <c r="A3451" s="51">
        <v>42854</v>
      </c>
      <c r="B3451" s="174" t="s">
        <v>15017</v>
      </c>
      <c r="C3451" s="175"/>
      <c r="D3451" s="176" t="s">
        <v>15017</v>
      </c>
      <c r="E3451" s="176">
        <v>109885</v>
      </c>
      <c r="F3451" s="177" t="s">
        <v>47</v>
      </c>
      <c r="G3451" s="178">
        <v>2369.1999999999998</v>
      </c>
      <c r="H3451" s="184">
        <v>42854</v>
      </c>
      <c r="I3451" s="183">
        <f t="shared" si="108"/>
        <v>2369.1999999999998</v>
      </c>
      <c r="J3451" s="178">
        <f t="shared" si="107"/>
        <v>0</v>
      </c>
    </row>
    <row r="3452" spans="1:10" x14ac:dyDescent="0.25">
      <c r="A3452" s="51">
        <v>42854</v>
      </c>
      <c r="B3452" s="174" t="s">
        <v>15018</v>
      </c>
      <c r="C3452" s="175"/>
      <c r="D3452" s="176" t="s">
        <v>15018</v>
      </c>
      <c r="E3452" s="176">
        <v>109886</v>
      </c>
      <c r="F3452" s="177" t="s">
        <v>1870</v>
      </c>
      <c r="G3452" s="178">
        <v>941.5</v>
      </c>
      <c r="H3452" s="184">
        <v>42854</v>
      </c>
      <c r="I3452" s="183">
        <f t="shared" si="108"/>
        <v>941.5</v>
      </c>
      <c r="J3452" s="178">
        <f t="shared" si="107"/>
        <v>0</v>
      </c>
    </row>
    <row r="3453" spans="1:10" x14ac:dyDescent="0.25">
      <c r="A3453" s="51">
        <v>42854</v>
      </c>
      <c r="B3453" s="174" t="s">
        <v>15019</v>
      </c>
      <c r="C3453" s="175"/>
      <c r="D3453" s="176" t="s">
        <v>15019</v>
      </c>
      <c r="E3453" s="176">
        <v>109887</v>
      </c>
      <c r="F3453" s="177" t="s">
        <v>509</v>
      </c>
      <c r="G3453" s="178">
        <v>21560.2</v>
      </c>
      <c r="H3453" s="186">
        <v>42861</v>
      </c>
      <c r="I3453" s="187">
        <f t="shared" si="108"/>
        <v>21560.2</v>
      </c>
      <c r="J3453" s="178">
        <f t="shared" si="107"/>
        <v>0</v>
      </c>
    </row>
    <row r="3454" spans="1:10" x14ac:dyDescent="0.25">
      <c r="A3454" s="51">
        <v>42854</v>
      </c>
      <c r="B3454" s="174" t="s">
        <v>15020</v>
      </c>
      <c r="C3454" s="175"/>
      <c r="D3454" s="176" t="s">
        <v>15020</v>
      </c>
      <c r="E3454" s="176">
        <v>109888</v>
      </c>
      <c r="F3454" s="177" t="s">
        <v>30</v>
      </c>
      <c r="G3454" s="178">
        <v>354.2</v>
      </c>
      <c r="H3454" s="184">
        <v>42854</v>
      </c>
      <c r="I3454" s="183">
        <f t="shared" si="108"/>
        <v>354.2</v>
      </c>
      <c r="J3454" s="178">
        <f t="shared" si="107"/>
        <v>0</v>
      </c>
    </row>
    <row r="3455" spans="1:10" x14ac:dyDescent="0.25">
      <c r="A3455" s="51">
        <v>42854</v>
      </c>
      <c r="B3455" s="174" t="s">
        <v>15021</v>
      </c>
      <c r="C3455" s="175"/>
      <c r="D3455" s="176" t="s">
        <v>15021</v>
      </c>
      <c r="E3455" s="176">
        <v>109889</v>
      </c>
      <c r="F3455" s="177" t="s">
        <v>1116</v>
      </c>
      <c r="G3455" s="178">
        <v>5332.1</v>
      </c>
      <c r="H3455" s="184">
        <v>42855</v>
      </c>
      <c r="I3455" s="183">
        <f t="shared" si="108"/>
        <v>5332.1</v>
      </c>
      <c r="J3455" s="178">
        <f t="shared" si="107"/>
        <v>0</v>
      </c>
    </row>
    <row r="3456" spans="1:10" x14ac:dyDescent="0.25">
      <c r="A3456" s="51">
        <v>42854</v>
      </c>
      <c r="B3456" s="174" t="s">
        <v>15022</v>
      </c>
      <c r="C3456" s="175"/>
      <c r="D3456" s="176" t="s">
        <v>15022</v>
      </c>
      <c r="E3456" s="176">
        <v>109890</v>
      </c>
      <c r="F3456" s="177" t="s">
        <v>442</v>
      </c>
      <c r="G3456" s="178">
        <v>8850.7999999999993</v>
      </c>
      <c r="H3456" s="186">
        <v>42858</v>
      </c>
      <c r="I3456" s="187">
        <f t="shared" si="108"/>
        <v>8850.7999999999993</v>
      </c>
      <c r="J3456" s="178">
        <f t="shared" si="107"/>
        <v>0</v>
      </c>
    </row>
    <row r="3457" spans="1:10" x14ac:dyDescent="0.25">
      <c r="A3457" s="51">
        <v>42854</v>
      </c>
      <c r="B3457" s="174" t="s">
        <v>15023</v>
      </c>
      <c r="C3457" s="175"/>
      <c r="D3457" s="176" t="s">
        <v>15023</v>
      </c>
      <c r="E3457" s="176">
        <v>109891</v>
      </c>
      <c r="F3457" s="177" t="s">
        <v>30</v>
      </c>
      <c r="G3457" s="178">
        <v>2972.5</v>
      </c>
      <c r="H3457" s="186">
        <v>42858</v>
      </c>
      <c r="I3457" s="187">
        <f t="shared" si="108"/>
        <v>2972.5</v>
      </c>
      <c r="J3457" s="178">
        <f t="shared" si="107"/>
        <v>0</v>
      </c>
    </row>
    <row r="3458" spans="1:10" ht="15.75" x14ac:dyDescent="0.25">
      <c r="A3458" s="51">
        <v>42854</v>
      </c>
      <c r="B3458" s="174" t="s">
        <v>15024</v>
      </c>
      <c r="C3458" s="175"/>
      <c r="D3458" s="176" t="s">
        <v>15024</v>
      </c>
      <c r="E3458" s="176">
        <v>109892</v>
      </c>
      <c r="F3458" s="177" t="s">
        <v>272</v>
      </c>
      <c r="G3458" s="178">
        <v>0</v>
      </c>
      <c r="H3458" s="207" t="s">
        <v>95</v>
      </c>
      <c r="I3458" s="178">
        <f t="shared" si="108"/>
        <v>0</v>
      </c>
      <c r="J3458" s="178">
        <f t="shared" si="107"/>
        <v>0</v>
      </c>
    </row>
    <row r="3459" spans="1:10" x14ac:dyDescent="0.25">
      <c r="A3459" s="51">
        <v>42854</v>
      </c>
      <c r="B3459" s="174" t="s">
        <v>15025</v>
      </c>
      <c r="C3459" s="175"/>
      <c r="D3459" s="176" t="s">
        <v>15025</v>
      </c>
      <c r="E3459" s="176">
        <v>109893</v>
      </c>
      <c r="F3459" s="177" t="s">
        <v>272</v>
      </c>
      <c r="G3459" s="178">
        <v>4051.3</v>
      </c>
      <c r="H3459" s="186">
        <v>42860</v>
      </c>
      <c r="I3459" s="187">
        <f t="shared" si="108"/>
        <v>4051.3</v>
      </c>
      <c r="J3459" s="178">
        <f t="shared" si="107"/>
        <v>0</v>
      </c>
    </row>
    <row r="3460" spans="1:10" x14ac:dyDescent="0.25">
      <c r="A3460" s="51">
        <v>42854</v>
      </c>
      <c r="B3460" s="174" t="s">
        <v>15026</v>
      </c>
      <c r="C3460" s="175"/>
      <c r="D3460" s="176" t="s">
        <v>15026</v>
      </c>
      <c r="E3460" s="176">
        <v>109894</v>
      </c>
      <c r="F3460" s="177" t="s">
        <v>79</v>
      </c>
      <c r="G3460" s="178">
        <v>3326</v>
      </c>
      <c r="H3460" s="184">
        <v>42854</v>
      </c>
      <c r="I3460" s="183">
        <f t="shared" si="108"/>
        <v>3326</v>
      </c>
      <c r="J3460" s="178">
        <f t="shared" ref="J3460:J3523" si="109">G3460-I3460</f>
        <v>0</v>
      </c>
    </row>
    <row r="3461" spans="1:10" x14ac:dyDescent="0.25">
      <c r="A3461" s="51">
        <v>42854</v>
      </c>
      <c r="B3461" s="174" t="s">
        <v>15027</v>
      </c>
      <c r="C3461" s="175"/>
      <c r="D3461" s="176" t="s">
        <v>15027</v>
      </c>
      <c r="E3461" s="176">
        <v>109895</v>
      </c>
      <c r="F3461" s="177" t="s">
        <v>205</v>
      </c>
      <c r="G3461" s="178">
        <v>11223.6</v>
      </c>
      <c r="H3461" s="184">
        <v>42854</v>
      </c>
      <c r="I3461" s="183">
        <f t="shared" ref="I3461:I3524" si="110">G3461</f>
        <v>11223.6</v>
      </c>
      <c r="J3461" s="178">
        <f t="shared" si="109"/>
        <v>0</v>
      </c>
    </row>
    <row r="3462" spans="1:10" x14ac:dyDescent="0.25">
      <c r="A3462" s="51">
        <v>42854</v>
      </c>
      <c r="B3462" s="174" t="s">
        <v>15028</v>
      </c>
      <c r="C3462" s="175"/>
      <c r="D3462" s="176" t="s">
        <v>15028</v>
      </c>
      <c r="E3462" s="176">
        <v>109896</v>
      </c>
      <c r="F3462" s="177" t="s">
        <v>30</v>
      </c>
      <c r="G3462" s="178">
        <v>8100</v>
      </c>
      <c r="H3462" s="186">
        <v>42858</v>
      </c>
      <c r="I3462" s="187">
        <f t="shared" si="110"/>
        <v>8100</v>
      </c>
      <c r="J3462" s="178">
        <f t="shared" si="109"/>
        <v>0</v>
      </c>
    </row>
    <row r="3463" spans="1:10" x14ac:dyDescent="0.25">
      <c r="A3463" s="51">
        <v>42854</v>
      </c>
      <c r="B3463" s="174" t="s">
        <v>15029</v>
      </c>
      <c r="C3463" s="175"/>
      <c r="D3463" s="176" t="s">
        <v>15029</v>
      </c>
      <c r="E3463" s="176">
        <v>109897</v>
      </c>
      <c r="F3463" s="177" t="s">
        <v>12879</v>
      </c>
      <c r="G3463" s="178">
        <v>1504</v>
      </c>
      <c r="H3463" s="184">
        <v>42854</v>
      </c>
      <c r="I3463" s="183">
        <f t="shared" si="110"/>
        <v>1504</v>
      </c>
      <c r="J3463" s="178">
        <f t="shared" si="109"/>
        <v>0</v>
      </c>
    </row>
    <row r="3464" spans="1:10" x14ac:dyDescent="0.25">
      <c r="A3464" s="51">
        <v>42854</v>
      </c>
      <c r="B3464" s="174" t="s">
        <v>15030</v>
      </c>
      <c r="C3464" s="175"/>
      <c r="D3464" s="176" t="s">
        <v>15030</v>
      </c>
      <c r="E3464" s="176">
        <v>109898</v>
      </c>
      <c r="F3464" s="177" t="s">
        <v>435</v>
      </c>
      <c r="G3464" s="178">
        <v>356.4</v>
      </c>
      <c r="H3464" s="186">
        <v>42858</v>
      </c>
      <c r="I3464" s="187">
        <f t="shared" si="110"/>
        <v>356.4</v>
      </c>
      <c r="J3464" s="178">
        <f t="shared" si="109"/>
        <v>0</v>
      </c>
    </row>
    <row r="3465" spans="1:10" x14ac:dyDescent="0.25">
      <c r="A3465" s="51">
        <v>42854</v>
      </c>
      <c r="B3465" s="174" t="s">
        <v>15031</v>
      </c>
      <c r="C3465" s="175"/>
      <c r="D3465" s="176" t="s">
        <v>15031</v>
      </c>
      <c r="E3465" s="176">
        <v>109899</v>
      </c>
      <c r="F3465" s="177" t="s">
        <v>69</v>
      </c>
      <c r="G3465" s="178">
        <v>3221.5</v>
      </c>
      <c r="H3465" s="184">
        <v>42854</v>
      </c>
      <c r="I3465" s="183">
        <f t="shared" si="110"/>
        <v>3221.5</v>
      </c>
      <c r="J3465" s="178">
        <f t="shared" si="109"/>
        <v>0</v>
      </c>
    </row>
    <row r="3466" spans="1:10" x14ac:dyDescent="0.25">
      <c r="A3466" s="51">
        <v>42854</v>
      </c>
      <c r="B3466" s="174" t="s">
        <v>15032</v>
      </c>
      <c r="C3466" s="175"/>
      <c r="D3466" s="176" t="s">
        <v>15032</v>
      </c>
      <c r="E3466" s="176">
        <v>109900</v>
      </c>
      <c r="F3466" s="177" t="s">
        <v>457</v>
      </c>
      <c r="G3466" s="178">
        <v>1880</v>
      </c>
      <c r="H3466" s="184">
        <v>42854</v>
      </c>
      <c r="I3466" s="183">
        <f t="shared" si="110"/>
        <v>1880</v>
      </c>
      <c r="J3466" s="178">
        <f t="shared" si="109"/>
        <v>0</v>
      </c>
    </row>
    <row r="3467" spans="1:10" x14ac:dyDescent="0.25">
      <c r="A3467" s="51">
        <v>42854</v>
      </c>
      <c r="B3467" s="174" t="s">
        <v>15033</v>
      </c>
      <c r="C3467" s="175"/>
      <c r="D3467" s="176" t="s">
        <v>15033</v>
      </c>
      <c r="E3467" s="176">
        <v>109901</v>
      </c>
      <c r="F3467" s="177" t="s">
        <v>30</v>
      </c>
      <c r="G3467" s="178">
        <v>1503.6</v>
      </c>
      <c r="H3467" s="186">
        <v>42858</v>
      </c>
      <c r="I3467" s="187">
        <f t="shared" si="110"/>
        <v>1503.6</v>
      </c>
      <c r="J3467" s="178">
        <f t="shared" si="109"/>
        <v>0</v>
      </c>
    </row>
    <row r="3468" spans="1:10" x14ac:dyDescent="0.25">
      <c r="A3468" s="51">
        <v>42854</v>
      </c>
      <c r="B3468" s="174" t="s">
        <v>15034</v>
      </c>
      <c r="C3468" s="175"/>
      <c r="D3468" s="176" t="s">
        <v>15034</v>
      </c>
      <c r="E3468" s="176">
        <v>109902</v>
      </c>
      <c r="F3468" s="177" t="s">
        <v>168</v>
      </c>
      <c r="G3468" s="178">
        <v>683.8</v>
      </c>
      <c r="H3468" s="184">
        <v>42854</v>
      </c>
      <c r="I3468" s="183">
        <f t="shared" si="110"/>
        <v>683.8</v>
      </c>
      <c r="J3468" s="178">
        <f t="shared" si="109"/>
        <v>0</v>
      </c>
    </row>
    <row r="3469" spans="1:10" x14ac:dyDescent="0.25">
      <c r="A3469" s="51">
        <v>42854</v>
      </c>
      <c r="B3469" s="174" t="s">
        <v>15035</v>
      </c>
      <c r="C3469" s="175"/>
      <c r="D3469" s="176" t="s">
        <v>15035</v>
      </c>
      <c r="E3469" s="176">
        <v>109903</v>
      </c>
      <c r="F3469" s="177" t="s">
        <v>151</v>
      </c>
      <c r="G3469" s="178">
        <v>15982.5</v>
      </c>
      <c r="H3469" s="184">
        <v>42854</v>
      </c>
      <c r="I3469" s="183">
        <f t="shared" si="110"/>
        <v>15982.5</v>
      </c>
      <c r="J3469" s="178">
        <f t="shared" si="109"/>
        <v>0</v>
      </c>
    </row>
    <row r="3470" spans="1:10" x14ac:dyDescent="0.25">
      <c r="A3470" s="51">
        <v>42854</v>
      </c>
      <c r="B3470" s="174" t="s">
        <v>15036</v>
      </c>
      <c r="C3470" s="175"/>
      <c r="D3470" s="176" t="s">
        <v>15036</v>
      </c>
      <c r="E3470" s="176">
        <v>109904</v>
      </c>
      <c r="F3470" s="177" t="s">
        <v>157</v>
      </c>
      <c r="G3470" s="178">
        <v>26861.7</v>
      </c>
      <c r="H3470" s="184" t="s">
        <v>15037</v>
      </c>
      <c r="I3470" s="183">
        <f>23861+3000.7</f>
        <v>26861.7</v>
      </c>
      <c r="J3470" s="178">
        <f t="shared" si="109"/>
        <v>0</v>
      </c>
    </row>
    <row r="3471" spans="1:10" x14ac:dyDescent="0.25">
      <c r="A3471" s="51">
        <v>42854</v>
      </c>
      <c r="B3471" s="174" t="s">
        <v>15038</v>
      </c>
      <c r="C3471" s="175"/>
      <c r="D3471" s="176" t="s">
        <v>15038</v>
      </c>
      <c r="E3471" s="176">
        <v>109905</v>
      </c>
      <c r="F3471" s="177" t="s">
        <v>773</v>
      </c>
      <c r="G3471" s="178">
        <v>1894</v>
      </c>
      <c r="H3471" s="184">
        <v>42854</v>
      </c>
      <c r="I3471" s="183">
        <f t="shared" si="110"/>
        <v>1894</v>
      </c>
      <c r="J3471" s="178">
        <f t="shared" si="109"/>
        <v>0</v>
      </c>
    </row>
    <row r="3472" spans="1:10" x14ac:dyDescent="0.25">
      <c r="A3472" s="51">
        <v>42854</v>
      </c>
      <c r="B3472" s="174" t="s">
        <v>15039</v>
      </c>
      <c r="C3472" s="175"/>
      <c r="D3472" s="176" t="s">
        <v>15039</v>
      </c>
      <c r="E3472" s="176">
        <v>109906</v>
      </c>
      <c r="F3472" s="177" t="s">
        <v>613</v>
      </c>
      <c r="G3472" s="178">
        <v>5158.2</v>
      </c>
      <c r="H3472" s="184">
        <v>42855</v>
      </c>
      <c r="I3472" s="183">
        <f t="shared" si="110"/>
        <v>5158.2</v>
      </c>
      <c r="J3472" s="178">
        <f t="shared" si="109"/>
        <v>0</v>
      </c>
    </row>
    <row r="3473" spans="1:10" x14ac:dyDescent="0.25">
      <c r="A3473" s="51">
        <v>42854</v>
      </c>
      <c r="B3473" s="174" t="s">
        <v>15040</v>
      </c>
      <c r="C3473" s="175"/>
      <c r="D3473" s="176" t="s">
        <v>15040</v>
      </c>
      <c r="E3473" s="176">
        <v>109907</v>
      </c>
      <c r="F3473" s="177" t="s">
        <v>1259</v>
      </c>
      <c r="G3473" s="178">
        <v>3519</v>
      </c>
      <c r="H3473" s="184">
        <v>42855</v>
      </c>
      <c r="I3473" s="183">
        <f t="shared" si="110"/>
        <v>3519</v>
      </c>
      <c r="J3473" s="178">
        <f t="shared" si="109"/>
        <v>0</v>
      </c>
    </row>
    <row r="3474" spans="1:10" x14ac:dyDescent="0.25">
      <c r="A3474" s="51">
        <v>42854</v>
      </c>
      <c r="B3474" s="174" t="s">
        <v>15041</v>
      </c>
      <c r="C3474" s="175"/>
      <c r="D3474" s="176" t="s">
        <v>15041</v>
      </c>
      <c r="E3474" s="176">
        <v>109908</v>
      </c>
      <c r="F3474" s="177" t="s">
        <v>1081</v>
      </c>
      <c r="G3474" s="178">
        <v>3105.36</v>
      </c>
      <c r="H3474" s="184">
        <v>42855</v>
      </c>
      <c r="I3474" s="183">
        <f t="shared" si="110"/>
        <v>3105.36</v>
      </c>
      <c r="J3474" s="178">
        <f t="shared" si="109"/>
        <v>0</v>
      </c>
    </row>
    <row r="3475" spans="1:10" x14ac:dyDescent="0.25">
      <c r="A3475" s="51">
        <v>42854</v>
      </c>
      <c r="B3475" s="174" t="s">
        <v>15042</v>
      </c>
      <c r="C3475" s="175"/>
      <c r="D3475" s="176" t="s">
        <v>15042</v>
      </c>
      <c r="E3475" s="176">
        <v>109909</v>
      </c>
      <c r="F3475" s="177" t="s">
        <v>83</v>
      </c>
      <c r="G3475" s="178">
        <v>4201.8</v>
      </c>
      <c r="H3475" s="184">
        <v>42855</v>
      </c>
      <c r="I3475" s="183">
        <f t="shared" si="110"/>
        <v>4201.8</v>
      </c>
      <c r="J3475" s="178">
        <f t="shared" si="109"/>
        <v>0</v>
      </c>
    </row>
    <row r="3476" spans="1:10" x14ac:dyDescent="0.25">
      <c r="A3476" s="51">
        <v>42854</v>
      </c>
      <c r="B3476" s="174" t="s">
        <v>15043</v>
      </c>
      <c r="C3476" s="175"/>
      <c r="D3476" s="176" t="s">
        <v>15043</v>
      </c>
      <c r="E3476" s="176">
        <v>109910</v>
      </c>
      <c r="F3476" s="177" t="s">
        <v>92</v>
      </c>
      <c r="G3476" s="178">
        <v>2672.6</v>
      </c>
      <c r="H3476" s="184">
        <v>42855</v>
      </c>
      <c r="I3476" s="183">
        <f t="shared" si="110"/>
        <v>2672.6</v>
      </c>
      <c r="J3476" s="178">
        <f t="shared" si="109"/>
        <v>0</v>
      </c>
    </row>
    <row r="3477" spans="1:10" x14ac:dyDescent="0.25">
      <c r="A3477" s="51">
        <v>42854</v>
      </c>
      <c r="B3477" s="174" t="s">
        <v>15044</v>
      </c>
      <c r="C3477" s="175"/>
      <c r="D3477" s="176" t="s">
        <v>15044</v>
      </c>
      <c r="E3477" s="176">
        <v>109911</v>
      </c>
      <c r="F3477" s="177" t="s">
        <v>109</v>
      </c>
      <c r="G3477" s="178">
        <v>5005.5</v>
      </c>
      <c r="H3477" s="184">
        <v>42855</v>
      </c>
      <c r="I3477" s="183">
        <f t="shared" si="110"/>
        <v>5005.5</v>
      </c>
      <c r="J3477" s="178">
        <f t="shared" si="109"/>
        <v>0</v>
      </c>
    </row>
    <row r="3478" spans="1:10" x14ac:dyDescent="0.25">
      <c r="A3478" s="51">
        <v>42854</v>
      </c>
      <c r="B3478" s="174" t="s">
        <v>15045</v>
      </c>
      <c r="C3478" s="175"/>
      <c r="D3478" s="176" t="s">
        <v>15045</v>
      </c>
      <c r="E3478" s="176">
        <v>109912</v>
      </c>
      <c r="F3478" s="177" t="s">
        <v>930</v>
      </c>
      <c r="G3478" s="178">
        <v>10988</v>
      </c>
      <c r="H3478" s="184">
        <v>42854</v>
      </c>
      <c r="I3478" s="183">
        <f t="shared" si="110"/>
        <v>10988</v>
      </c>
      <c r="J3478" s="178">
        <f t="shared" si="109"/>
        <v>0</v>
      </c>
    </row>
    <row r="3479" spans="1:10" x14ac:dyDescent="0.25">
      <c r="A3479" s="51">
        <v>42854</v>
      </c>
      <c r="B3479" s="174" t="s">
        <v>15046</v>
      </c>
      <c r="C3479" s="175"/>
      <c r="D3479" s="176" t="s">
        <v>15046</v>
      </c>
      <c r="E3479" s="176">
        <v>109913</v>
      </c>
      <c r="F3479" s="177" t="s">
        <v>109</v>
      </c>
      <c r="G3479" s="178">
        <v>127.6</v>
      </c>
      <c r="H3479" s="184">
        <v>42855</v>
      </c>
      <c r="I3479" s="183">
        <f t="shared" si="110"/>
        <v>127.6</v>
      </c>
      <c r="J3479" s="178">
        <f t="shared" si="109"/>
        <v>0</v>
      </c>
    </row>
    <row r="3480" spans="1:10" x14ac:dyDescent="0.25">
      <c r="A3480" s="51">
        <v>42854</v>
      </c>
      <c r="B3480" s="174" t="s">
        <v>15047</v>
      </c>
      <c r="C3480" s="175"/>
      <c r="D3480" s="176" t="s">
        <v>15047</v>
      </c>
      <c r="E3480" s="176">
        <v>109914</v>
      </c>
      <c r="F3480" s="177" t="s">
        <v>99</v>
      </c>
      <c r="G3480" s="178">
        <v>6102</v>
      </c>
      <c r="H3480" s="184">
        <v>42855</v>
      </c>
      <c r="I3480" s="183">
        <f t="shared" si="110"/>
        <v>6102</v>
      </c>
      <c r="J3480" s="178">
        <f t="shared" si="109"/>
        <v>0</v>
      </c>
    </row>
    <row r="3481" spans="1:10" x14ac:dyDescent="0.25">
      <c r="A3481" s="51">
        <v>42854</v>
      </c>
      <c r="B3481" s="174" t="s">
        <v>15048</v>
      </c>
      <c r="C3481" s="175"/>
      <c r="D3481" s="176" t="s">
        <v>15048</v>
      </c>
      <c r="E3481" s="176">
        <v>109915</v>
      </c>
      <c r="F3481" s="177" t="s">
        <v>291</v>
      </c>
      <c r="G3481" s="178">
        <v>2373.5</v>
      </c>
      <c r="H3481" s="184">
        <v>42855</v>
      </c>
      <c r="I3481" s="183">
        <f t="shared" si="110"/>
        <v>2373.5</v>
      </c>
      <c r="J3481" s="178">
        <f t="shared" si="109"/>
        <v>0</v>
      </c>
    </row>
    <row r="3482" spans="1:10" x14ac:dyDescent="0.25">
      <c r="A3482" s="51">
        <v>42854</v>
      </c>
      <c r="B3482" s="174" t="s">
        <v>15049</v>
      </c>
      <c r="C3482" s="175"/>
      <c r="D3482" s="176" t="s">
        <v>15049</v>
      </c>
      <c r="E3482" s="176">
        <v>109916</v>
      </c>
      <c r="F3482" s="177" t="s">
        <v>30</v>
      </c>
      <c r="G3482" s="178">
        <v>1033.5999999999999</v>
      </c>
      <c r="H3482" s="184">
        <v>42855</v>
      </c>
      <c r="I3482" s="183">
        <f t="shared" si="110"/>
        <v>1033.5999999999999</v>
      </c>
      <c r="J3482" s="178">
        <f t="shared" si="109"/>
        <v>0</v>
      </c>
    </row>
    <row r="3483" spans="1:10" x14ac:dyDescent="0.25">
      <c r="A3483" s="51">
        <v>42854</v>
      </c>
      <c r="B3483" s="174" t="s">
        <v>15050</v>
      </c>
      <c r="C3483" s="175"/>
      <c r="D3483" s="176" t="s">
        <v>15050</v>
      </c>
      <c r="E3483" s="176">
        <v>109917</v>
      </c>
      <c r="F3483" s="177" t="s">
        <v>3997</v>
      </c>
      <c r="G3483" s="178">
        <v>3967.08</v>
      </c>
      <c r="H3483" s="186">
        <v>42857</v>
      </c>
      <c r="I3483" s="187">
        <f t="shared" si="110"/>
        <v>3967.08</v>
      </c>
      <c r="J3483" s="178">
        <f t="shared" si="109"/>
        <v>0</v>
      </c>
    </row>
    <row r="3484" spans="1:10" x14ac:dyDescent="0.25">
      <c r="A3484" s="51">
        <v>42854</v>
      </c>
      <c r="B3484" s="174" t="s">
        <v>15051</v>
      </c>
      <c r="C3484" s="175"/>
      <c r="D3484" s="176" t="s">
        <v>15051</v>
      </c>
      <c r="E3484" s="176">
        <v>109918</v>
      </c>
      <c r="F3484" s="177" t="s">
        <v>101</v>
      </c>
      <c r="G3484" s="178">
        <v>2128.5</v>
      </c>
      <c r="H3484" s="184">
        <v>42855</v>
      </c>
      <c r="I3484" s="183">
        <f t="shared" si="110"/>
        <v>2128.5</v>
      </c>
      <c r="J3484" s="178">
        <f t="shared" si="109"/>
        <v>0</v>
      </c>
    </row>
    <row r="3485" spans="1:10" x14ac:dyDescent="0.25">
      <c r="A3485" s="51">
        <v>42854</v>
      </c>
      <c r="B3485" s="174" t="s">
        <v>15052</v>
      </c>
      <c r="C3485" s="175"/>
      <c r="D3485" s="176" t="s">
        <v>15052</v>
      </c>
      <c r="E3485" s="176">
        <v>109919</v>
      </c>
      <c r="F3485" s="177" t="s">
        <v>53</v>
      </c>
      <c r="G3485" s="178">
        <v>3300</v>
      </c>
      <c r="H3485" s="184">
        <v>42855</v>
      </c>
      <c r="I3485" s="183">
        <f t="shared" si="110"/>
        <v>3300</v>
      </c>
      <c r="J3485" s="178">
        <f t="shared" si="109"/>
        <v>0</v>
      </c>
    </row>
    <row r="3486" spans="1:10" x14ac:dyDescent="0.25">
      <c r="A3486" s="51">
        <v>42854</v>
      </c>
      <c r="B3486" s="174" t="s">
        <v>15053</v>
      </c>
      <c r="C3486" s="175"/>
      <c r="D3486" s="176" t="s">
        <v>15053</v>
      </c>
      <c r="E3486" s="176">
        <v>109920</v>
      </c>
      <c r="F3486" s="177" t="s">
        <v>57</v>
      </c>
      <c r="G3486" s="178">
        <v>1125</v>
      </c>
      <c r="H3486" s="184">
        <v>42855</v>
      </c>
      <c r="I3486" s="183">
        <f t="shared" si="110"/>
        <v>1125</v>
      </c>
      <c r="J3486" s="178">
        <f t="shared" si="109"/>
        <v>0</v>
      </c>
    </row>
    <row r="3487" spans="1:10" x14ac:dyDescent="0.25">
      <c r="A3487" s="51">
        <v>42854</v>
      </c>
      <c r="B3487" s="174" t="s">
        <v>15054</v>
      </c>
      <c r="C3487" s="175"/>
      <c r="D3487" s="176" t="s">
        <v>15054</v>
      </c>
      <c r="E3487" s="176">
        <v>109921</v>
      </c>
      <c r="F3487" s="177" t="s">
        <v>186</v>
      </c>
      <c r="G3487" s="178">
        <v>796.8</v>
      </c>
      <c r="H3487" s="186">
        <v>42859</v>
      </c>
      <c r="I3487" s="187">
        <f t="shared" si="110"/>
        <v>796.8</v>
      </c>
      <c r="J3487" s="178">
        <f t="shared" si="109"/>
        <v>0</v>
      </c>
    </row>
    <row r="3488" spans="1:10" x14ac:dyDescent="0.25">
      <c r="A3488" s="51">
        <v>42854</v>
      </c>
      <c r="B3488" s="174" t="s">
        <v>15055</v>
      </c>
      <c r="C3488" s="175"/>
      <c r="D3488" s="176" t="s">
        <v>15055</v>
      </c>
      <c r="E3488" s="176">
        <v>109922</v>
      </c>
      <c r="F3488" s="177" t="s">
        <v>838</v>
      </c>
      <c r="G3488" s="178">
        <v>342</v>
      </c>
      <c r="H3488" s="184">
        <v>42855</v>
      </c>
      <c r="I3488" s="183">
        <f t="shared" si="110"/>
        <v>342</v>
      </c>
      <c r="J3488" s="178">
        <f t="shared" si="109"/>
        <v>0</v>
      </c>
    </row>
    <row r="3489" spans="1:10" x14ac:dyDescent="0.25">
      <c r="A3489" s="51">
        <v>42854</v>
      </c>
      <c r="B3489" s="174" t="s">
        <v>15056</v>
      </c>
      <c r="C3489" s="175"/>
      <c r="D3489" s="176" t="s">
        <v>15056</v>
      </c>
      <c r="E3489" s="176">
        <v>109923</v>
      </c>
      <c r="F3489" s="177" t="s">
        <v>331</v>
      </c>
      <c r="G3489" s="178">
        <v>956.4</v>
      </c>
      <c r="H3489" s="184">
        <v>42855</v>
      </c>
      <c r="I3489" s="183">
        <f t="shared" si="110"/>
        <v>956.4</v>
      </c>
      <c r="J3489" s="178">
        <f t="shared" si="109"/>
        <v>0</v>
      </c>
    </row>
    <row r="3490" spans="1:10" x14ac:dyDescent="0.25">
      <c r="A3490" s="51">
        <v>42854</v>
      </c>
      <c r="B3490" s="174" t="s">
        <v>15057</v>
      </c>
      <c r="C3490" s="175"/>
      <c r="D3490" s="176" t="s">
        <v>15057</v>
      </c>
      <c r="E3490" s="176">
        <v>109924</v>
      </c>
      <c r="F3490" s="177" t="s">
        <v>182</v>
      </c>
      <c r="G3490" s="178">
        <v>5850</v>
      </c>
      <c r="H3490" s="184">
        <v>42855</v>
      </c>
      <c r="I3490" s="183">
        <f t="shared" si="110"/>
        <v>5850</v>
      </c>
      <c r="J3490" s="178">
        <f t="shared" si="109"/>
        <v>0</v>
      </c>
    </row>
    <row r="3491" spans="1:10" x14ac:dyDescent="0.25">
      <c r="A3491" s="51">
        <v>42854</v>
      </c>
      <c r="B3491" s="174" t="s">
        <v>15058</v>
      </c>
      <c r="C3491" s="175"/>
      <c r="D3491" s="176" t="s">
        <v>15058</v>
      </c>
      <c r="E3491" s="176">
        <v>109925</v>
      </c>
      <c r="F3491" s="177" t="s">
        <v>4367</v>
      </c>
      <c r="G3491" s="178">
        <v>1935.9</v>
      </c>
      <c r="H3491" s="184">
        <v>42855</v>
      </c>
      <c r="I3491" s="183">
        <f t="shared" si="110"/>
        <v>1935.9</v>
      </c>
      <c r="J3491" s="178">
        <f t="shared" si="109"/>
        <v>0</v>
      </c>
    </row>
    <row r="3492" spans="1:10" x14ac:dyDescent="0.25">
      <c r="A3492" s="51">
        <v>42854</v>
      </c>
      <c r="B3492" s="174" t="s">
        <v>15059</v>
      </c>
      <c r="C3492" s="175"/>
      <c r="D3492" s="176" t="s">
        <v>15059</v>
      </c>
      <c r="E3492" s="176">
        <v>109926</v>
      </c>
      <c r="F3492" s="177" t="s">
        <v>113</v>
      </c>
      <c r="G3492" s="178">
        <v>1150</v>
      </c>
      <c r="H3492" s="184">
        <v>42855</v>
      </c>
      <c r="I3492" s="183">
        <f t="shared" si="110"/>
        <v>1150</v>
      </c>
      <c r="J3492" s="178">
        <f t="shared" si="109"/>
        <v>0</v>
      </c>
    </row>
    <row r="3493" spans="1:10" x14ac:dyDescent="0.25">
      <c r="A3493" s="51">
        <v>42854</v>
      </c>
      <c r="B3493" s="174" t="s">
        <v>15060</v>
      </c>
      <c r="C3493" s="175"/>
      <c r="D3493" s="176" t="s">
        <v>15060</v>
      </c>
      <c r="E3493" s="176">
        <v>109927</v>
      </c>
      <c r="F3493" s="177" t="s">
        <v>45</v>
      </c>
      <c r="G3493" s="178">
        <v>3515</v>
      </c>
      <c r="H3493" s="184">
        <v>42855</v>
      </c>
      <c r="I3493" s="183">
        <f t="shared" si="110"/>
        <v>3515</v>
      </c>
      <c r="J3493" s="178">
        <f t="shared" si="109"/>
        <v>0</v>
      </c>
    </row>
    <row r="3494" spans="1:10" x14ac:dyDescent="0.25">
      <c r="A3494" s="51">
        <v>42854</v>
      </c>
      <c r="B3494" s="174" t="s">
        <v>15061</v>
      </c>
      <c r="C3494" s="175"/>
      <c r="D3494" s="176" t="s">
        <v>15061</v>
      </c>
      <c r="E3494" s="176">
        <v>109928</v>
      </c>
      <c r="F3494" s="177" t="s">
        <v>879</v>
      </c>
      <c r="G3494" s="178">
        <v>5371.15</v>
      </c>
      <c r="H3494" s="184">
        <v>42854</v>
      </c>
      <c r="I3494" s="183">
        <f t="shared" si="110"/>
        <v>5371.15</v>
      </c>
      <c r="J3494" s="178">
        <f t="shared" si="109"/>
        <v>0</v>
      </c>
    </row>
    <row r="3495" spans="1:10" x14ac:dyDescent="0.25">
      <c r="A3495" s="51">
        <v>42854</v>
      </c>
      <c r="B3495" s="174" t="s">
        <v>15062</v>
      </c>
      <c r="C3495" s="175"/>
      <c r="D3495" s="176" t="s">
        <v>15062</v>
      </c>
      <c r="E3495" s="176">
        <v>109929</v>
      </c>
      <c r="F3495" s="177" t="s">
        <v>321</v>
      </c>
      <c r="G3495" s="178">
        <v>285.60000000000002</v>
      </c>
      <c r="H3495" s="184">
        <v>42854</v>
      </c>
      <c r="I3495" s="183">
        <f t="shared" si="110"/>
        <v>285.60000000000002</v>
      </c>
      <c r="J3495" s="178">
        <f t="shared" si="109"/>
        <v>0</v>
      </c>
    </row>
    <row r="3496" spans="1:10" x14ac:dyDescent="0.25">
      <c r="A3496" s="51">
        <v>42854</v>
      </c>
      <c r="B3496" s="174" t="s">
        <v>15063</v>
      </c>
      <c r="C3496" s="175"/>
      <c r="D3496" s="176" t="s">
        <v>15063</v>
      </c>
      <c r="E3496" s="176">
        <v>109930</v>
      </c>
      <c r="F3496" s="177" t="s">
        <v>281</v>
      </c>
      <c r="G3496" s="178">
        <v>3269</v>
      </c>
      <c r="H3496" s="184">
        <v>42855</v>
      </c>
      <c r="I3496" s="183">
        <f t="shared" si="110"/>
        <v>3269</v>
      </c>
      <c r="J3496" s="178">
        <f t="shared" si="109"/>
        <v>0</v>
      </c>
    </row>
    <row r="3497" spans="1:10" x14ac:dyDescent="0.25">
      <c r="A3497" s="51">
        <v>42854</v>
      </c>
      <c r="B3497" s="174" t="s">
        <v>15064</v>
      </c>
      <c r="C3497" s="175"/>
      <c r="D3497" s="176" t="s">
        <v>15064</v>
      </c>
      <c r="E3497" s="176">
        <v>109931</v>
      </c>
      <c r="F3497" s="177" t="s">
        <v>693</v>
      </c>
      <c r="G3497" s="178">
        <v>1278</v>
      </c>
      <c r="H3497" s="184">
        <v>42855</v>
      </c>
      <c r="I3497" s="183">
        <f t="shared" si="110"/>
        <v>1278</v>
      </c>
      <c r="J3497" s="178">
        <f t="shared" si="109"/>
        <v>0</v>
      </c>
    </row>
    <row r="3498" spans="1:10" x14ac:dyDescent="0.25">
      <c r="A3498" s="51">
        <v>42854</v>
      </c>
      <c r="B3498" s="174" t="s">
        <v>15065</v>
      </c>
      <c r="C3498" s="175"/>
      <c r="D3498" s="176" t="s">
        <v>15065</v>
      </c>
      <c r="E3498" s="176">
        <v>109932</v>
      </c>
      <c r="F3498" s="177" t="s">
        <v>1166</v>
      </c>
      <c r="G3498" s="178">
        <v>1078.8</v>
      </c>
      <c r="H3498" s="184">
        <v>42855</v>
      </c>
      <c r="I3498" s="183">
        <f t="shared" si="110"/>
        <v>1078.8</v>
      </c>
      <c r="J3498" s="178">
        <f t="shared" si="109"/>
        <v>0</v>
      </c>
    </row>
    <row r="3499" spans="1:10" x14ac:dyDescent="0.25">
      <c r="A3499" s="51">
        <v>42854</v>
      </c>
      <c r="B3499" s="174" t="s">
        <v>15066</v>
      </c>
      <c r="C3499" s="175"/>
      <c r="D3499" s="176" t="s">
        <v>15066</v>
      </c>
      <c r="E3499" s="176">
        <v>109933</v>
      </c>
      <c r="F3499" s="177" t="s">
        <v>302</v>
      </c>
      <c r="G3499" s="178">
        <v>7274.9</v>
      </c>
      <c r="H3499" s="186">
        <v>42859</v>
      </c>
      <c r="I3499" s="187">
        <f t="shared" si="110"/>
        <v>7274.9</v>
      </c>
      <c r="J3499" s="178">
        <f t="shared" si="109"/>
        <v>0</v>
      </c>
    </row>
    <row r="3500" spans="1:10" x14ac:dyDescent="0.25">
      <c r="A3500" s="51">
        <v>42854</v>
      </c>
      <c r="B3500" s="174" t="s">
        <v>15067</v>
      </c>
      <c r="C3500" s="175"/>
      <c r="D3500" s="176" t="s">
        <v>15067</v>
      </c>
      <c r="E3500" s="176">
        <v>109934</v>
      </c>
      <c r="F3500" s="177" t="s">
        <v>115</v>
      </c>
      <c r="G3500" s="178">
        <v>2572.5</v>
      </c>
      <c r="H3500" s="184">
        <v>42854</v>
      </c>
      <c r="I3500" s="183">
        <f t="shared" si="110"/>
        <v>2572.5</v>
      </c>
      <c r="J3500" s="178">
        <f t="shared" si="109"/>
        <v>0</v>
      </c>
    </row>
    <row r="3501" spans="1:10" x14ac:dyDescent="0.25">
      <c r="A3501" s="51">
        <v>42854</v>
      </c>
      <c r="B3501" s="174" t="s">
        <v>15068</v>
      </c>
      <c r="C3501" s="175"/>
      <c r="D3501" s="176" t="s">
        <v>15068</v>
      </c>
      <c r="E3501" s="176">
        <v>109935</v>
      </c>
      <c r="F3501" s="177" t="s">
        <v>30</v>
      </c>
      <c r="G3501" s="178">
        <v>1132.7</v>
      </c>
      <c r="H3501" s="184">
        <v>42854</v>
      </c>
      <c r="I3501" s="183">
        <f t="shared" si="110"/>
        <v>1132.7</v>
      </c>
      <c r="J3501" s="178">
        <f t="shared" si="109"/>
        <v>0</v>
      </c>
    </row>
    <row r="3502" spans="1:10" x14ac:dyDescent="0.25">
      <c r="A3502" s="51">
        <v>42854</v>
      </c>
      <c r="B3502" s="174" t="s">
        <v>15069</v>
      </c>
      <c r="C3502" s="175"/>
      <c r="D3502" s="176" t="s">
        <v>15069</v>
      </c>
      <c r="E3502" s="176">
        <v>109936</v>
      </c>
      <c r="F3502" s="177" t="s">
        <v>188</v>
      </c>
      <c r="G3502" s="178">
        <v>3676.8</v>
      </c>
      <c r="H3502" s="184">
        <v>42855</v>
      </c>
      <c r="I3502" s="183">
        <f t="shared" si="110"/>
        <v>3676.8</v>
      </c>
      <c r="J3502" s="178">
        <f t="shared" si="109"/>
        <v>0</v>
      </c>
    </row>
    <row r="3503" spans="1:10" x14ac:dyDescent="0.25">
      <c r="A3503" s="51">
        <v>42854</v>
      </c>
      <c r="B3503" s="174" t="s">
        <v>15070</v>
      </c>
      <c r="C3503" s="175"/>
      <c r="D3503" s="176" t="s">
        <v>15070</v>
      </c>
      <c r="E3503" s="176">
        <v>109937</v>
      </c>
      <c r="F3503" s="177" t="s">
        <v>30</v>
      </c>
      <c r="G3503" s="178">
        <v>5187.8</v>
      </c>
      <c r="H3503" s="184">
        <v>42854</v>
      </c>
      <c r="I3503" s="183">
        <f t="shared" si="110"/>
        <v>5187.8</v>
      </c>
      <c r="J3503" s="178">
        <f t="shared" si="109"/>
        <v>0</v>
      </c>
    </row>
    <row r="3504" spans="1:10" x14ac:dyDescent="0.25">
      <c r="A3504" s="51">
        <v>42854</v>
      </c>
      <c r="B3504" s="174" t="s">
        <v>15071</v>
      </c>
      <c r="C3504" s="175"/>
      <c r="D3504" s="176" t="s">
        <v>15071</v>
      </c>
      <c r="E3504" s="176">
        <v>109938</v>
      </c>
      <c r="F3504" s="177" t="s">
        <v>492</v>
      </c>
      <c r="G3504" s="178">
        <v>26013.7</v>
      </c>
      <c r="H3504" s="186">
        <v>42856</v>
      </c>
      <c r="I3504" s="187">
        <f t="shared" si="110"/>
        <v>26013.7</v>
      </c>
      <c r="J3504" s="178">
        <f t="shared" si="109"/>
        <v>0</v>
      </c>
    </row>
    <row r="3505" spans="1:10" ht="15.75" x14ac:dyDescent="0.25">
      <c r="A3505" s="51">
        <v>42854</v>
      </c>
      <c r="B3505" s="174" t="s">
        <v>15072</v>
      </c>
      <c r="C3505" s="175"/>
      <c r="D3505" s="176" t="s">
        <v>15072</v>
      </c>
      <c r="E3505" s="176">
        <v>109939</v>
      </c>
      <c r="F3505" s="177" t="s">
        <v>14484</v>
      </c>
      <c r="G3505" s="178">
        <v>0</v>
      </c>
      <c r="H3505" s="207" t="s">
        <v>95</v>
      </c>
      <c r="I3505" s="178">
        <f t="shared" si="110"/>
        <v>0</v>
      </c>
      <c r="J3505" s="178">
        <f t="shared" si="109"/>
        <v>0</v>
      </c>
    </row>
    <row r="3506" spans="1:10" x14ac:dyDescent="0.25">
      <c r="A3506" s="51">
        <v>42854</v>
      </c>
      <c r="B3506" s="174" t="s">
        <v>15073</v>
      </c>
      <c r="C3506" s="175"/>
      <c r="D3506" s="176" t="s">
        <v>15073</v>
      </c>
      <c r="E3506" s="176">
        <v>109940</v>
      </c>
      <c r="F3506" s="177" t="s">
        <v>1830</v>
      </c>
      <c r="G3506" s="178">
        <v>6200.85</v>
      </c>
      <c r="H3506" s="186">
        <v>42856</v>
      </c>
      <c r="I3506" s="187">
        <f t="shared" si="110"/>
        <v>6200.85</v>
      </c>
      <c r="J3506" s="178">
        <f t="shared" si="109"/>
        <v>0</v>
      </c>
    </row>
    <row r="3507" spans="1:10" x14ac:dyDescent="0.25">
      <c r="A3507" s="51">
        <v>42854</v>
      </c>
      <c r="B3507" s="174" t="s">
        <v>15074</v>
      </c>
      <c r="C3507" s="175"/>
      <c r="D3507" s="176" t="s">
        <v>15074</v>
      </c>
      <c r="E3507" s="176">
        <v>109941</v>
      </c>
      <c r="F3507" s="177" t="s">
        <v>14484</v>
      </c>
      <c r="G3507" s="178">
        <v>3017</v>
      </c>
      <c r="H3507" s="186">
        <v>42856</v>
      </c>
      <c r="I3507" s="187">
        <f t="shared" si="110"/>
        <v>3017</v>
      </c>
      <c r="J3507" s="178">
        <f t="shared" si="109"/>
        <v>0</v>
      </c>
    </row>
    <row r="3508" spans="1:10" x14ac:dyDescent="0.25">
      <c r="A3508" s="51">
        <v>42854</v>
      </c>
      <c r="B3508" s="174" t="s">
        <v>15075</v>
      </c>
      <c r="C3508" s="175"/>
      <c r="D3508" s="176" t="s">
        <v>15075</v>
      </c>
      <c r="E3508" s="176">
        <v>109942</v>
      </c>
      <c r="F3508" s="177" t="s">
        <v>193</v>
      </c>
      <c r="G3508" s="178">
        <v>5440.5</v>
      </c>
      <c r="H3508" s="184">
        <v>42855</v>
      </c>
      <c r="I3508" s="183">
        <f t="shared" si="110"/>
        <v>5440.5</v>
      </c>
      <c r="J3508" s="178">
        <f t="shared" si="109"/>
        <v>0</v>
      </c>
    </row>
    <row r="3509" spans="1:10" x14ac:dyDescent="0.25">
      <c r="A3509" s="51">
        <v>42854</v>
      </c>
      <c r="B3509" s="174" t="s">
        <v>15076</v>
      </c>
      <c r="C3509" s="175"/>
      <c r="D3509" s="176" t="s">
        <v>15076</v>
      </c>
      <c r="E3509" s="176">
        <v>109943</v>
      </c>
      <c r="F3509" s="177" t="s">
        <v>122</v>
      </c>
      <c r="G3509" s="178">
        <v>5365.5</v>
      </c>
      <c r="H3509" s="186">
        <v>42866</v>
      </c>
      <c r="I3509" s="187">
        <f t="shared" si="110"/>
        <v>5365.5</v>
      </c>
      <c r="J3509" s="178">
        <f t="shared" si="109"/>
        <v>0</v>
      </c>
    </row>
    <row r="3510" spans="1:10" x14ac:dyDescent="0.25">
      <c r="A3510" s="51">
        <v>42854</v>
      </c>
      <c r="B3510" s="174" t="s">
        <v>15077</v>
      </c>
      <c r="C3510" s="175"/>
      <c r="D3510" s="176" t="s">
        <v>15077</v>
      </c>
      <c r="E3510" s="176">
        <v>109944</v>
      </c>
      <c r="F3510" s="177" t="s">
        <v>470</v>
      </c>
      <c r="G3510" s="178">
        <v>19082</v>
      </c>
      <c r="H3510" s="186">
        <v>42856</v>
      </c>
      <c r="I3510" s="187">
        <f t="shared" si="110"/>
        <v>19082</v>
      </c>
      <c r="J3510" s="178">
        <f t="shared" si="109"/>
        <v>0</v>
      </c>
    </row>
    <row r="3511" spans="1:10" x14ac:dyDescent="0.25">
      <c r="A3511" s="51">
        <v>42854</v>
      </c>
      <c r="B3511" s="174" t="s">
        <v>15078</v>
      </c>
      <c r="C3511" s="175"/>
      <c r="D3511" s="176" t="s">
        <v>15078</v>
      </c>
      <c r="E3511" s="176">
        <v>109945</v>
      </c>
      <c r="F3511" s="177" t="s">
        <v>141</v>
      </c>
      <c r="G3511" s="178">
        <v>9092.9</v>
      </c>
      <c r="H3511" s="186">
        <v>42856</v>
      </c>
      <c r="I3511" s="187">
        <f t="shared" si="110"/>
        <v>9092.9</v>
      </c>
      <c r="J3511" s="178">
        <f t="shared" si="109"/>
        <v>0</v>
      </c>
    </row>
    <row r="3512" spans="1:10" x14ac:dyDescent="0.25">
      <c r="A3512" s="51">
        <v>42854</v>
      </c>
      <c r="B3512" s="174" t="s">
        <v>15079</v>
      </c>
      <c r="C3512" s="175"/>
      <c r="D3512" s="176" t="s">
        <v>15079</v>
      </c>
      <c r="E3512" s="176">
        <v>109946</v>
      </c>
      <c r="F3512" s="177" t="s">
        <v>785</v>
      </c>
      <c r="G3512" s="178">
        <v>10908</v>
      </c>
      <c r="H3512" s="184">
        <v>42854</v>
      </c>
      <c r="I3512" s="183">
        <f t="shared" si="110"/>
        <v>10908</v>
      </c>
      <c r="J3512" s="178">
        <f t="shared" si="109"/>
        <v>0</v>
      </c>
    </row>
    <row r="3513" spans="1:10" ht="30" x14ac:dyDescent="0.25">
      <c r="A3513" s="51">
        <v>42854</v>
      </c>
      <c r="B3513" s="174" t="s">
        <v>15080</v>
      </c>
      <c r="C3513" s="175"/>
      <c r="D3513" s="176" t="s">
        <v>15080</v>
      </c>
      <c r="E3513" s="176">
        <v>109947</v>
      </c>
      <c r="F3513" s="177" t="s">
        <v>125</v>
      </c>
      <c r="G3513" s="178">
        <v>12924</v>
      </c>
      <c r="H3513" s="208" t="s">
        <v>15206</v>
      </c>
      <c r="I3513" s="187">
        <f>10000+2000+924</f>
        <v>12924</v>
      </c>
      <c r="J3513" s="204">
        <f t="shared" si="109"/>
        <v>0</v>
      </c>
    </row>
    <row r="3514" spans="1:10" ht="15.75" x14ac:dyDescent="0.25">
      <c r="A3514" s="51">
        <v>42854</v>
      </c>
      <c r="B3514" s="174" t="s">
        <v>15081</v>
      </c>
      <c r="C3514" s="175"/>
      <c r="D3514" s="176" t="s">
        <v>15081</v>
      </c>
      <c r="E3514" s="176">
        <v>109948</v>
      </c>
      <c r="F3514" s="177" t="s">
        <v>21</v>
      </c>
      <c r="G3514" s="178">
        <v>0</v>
      </c>
      <c r="H3514" s="207" t="s">
        <v>95</v>
      </c>
      <c r="I3514" s="178">
        <f t="shared" si="110"/>
        <v>0</v>
      </c>
      <c r="J3514" s="178">
        <f t="shared" si="109"/>
        <v>0</v>
      </c>
    </row>
    <row r="3515" spans="1:10" x14ac:dyDescent="0.25">
      <c r="A3515" s="51">
        <v>42854</v>
      </c>
      <c r="B3515" s="174" t="s">
        <v>15082</v>
      </c>
      <c r="C3515" s="175"/>
      <c r="D3515" s="176" t="s">
        <v>15082</v>
      </c>
      <c r="E3515" s="176">
        <v>109949</v>
      </c>
      <c r="F3515" s="177" t="s">
        <v>21</v>
      </c>
      <c r="G3515" s="178">
        <v>41334.400000000001</v>
      </c>
      <c r="H3515" s="186">
        <v>42866</v>
      </c>
      <c r="I3515" s="187">
        <f t="shared" si="110"/>
        <v>41334.400000000001</v>
      </c>
      <c r="J3515" s="178">
        <f t="shared" si="109"/>
        <v>0</v>
      </c>
    </row>
    <row r="3516" spans="1:10" x14ac:dyDescent="0.25">
      <c r="A3516" s="51">
        <v>42854</v>
      </c>
      <c r="B3516" s="174" t="s">
        <v>15083</v>
      </c>
      <c r="C3516" s="175"/>
      <c r="D3516" s="176" t="s">
        <v>15083</v>
      </c>
      <c r="E3516" s="176">
        <v>109950</v>
      </c>
      <c r="F3516" s="177" t="s">
        <v>937</v>
      </c>
      <c r="G3516" s="178">
        <v>3167.8</v>
      </c>
      <c r="H3516" s="184">
        <v>42854</v>
      </c>
      <c r="I3516" s="183">
        <f t="shared" si="110"/>
        <v>3167.8</v>
      </c>
      <c r="J3516" s="178">
        <f t="shared" si="109"/>
        <v>0</v>
      </c>
    </row>
    <row r="3517" spans="1:10" x14ac:dyDescent="0.25">
      <c r="A3517" s="51">
        <v>42854</v>
      </c>
      <c r="B3517" s="174" t="s">
        <v>15084</v>
      </c>
      <c r="C3517" s="175"/>
      <c r="D3517" s="176" t="s">
        <v>15084</v>
      </c>
      <c r="E3517" s="176">
        <v>109951</v>
      </c>
      <c r="F3517" s="177" t="s">
        <v>422</v>
      </c>
      <c r="G3517" s="178">
        <v>4171.2</v>
      </c>
      <c r="H3517" s="184">
        <v>42854</v>
      </c>
      <c r="I3517" s="183">
        <f t="shared" si="110"/>
        <v>4171.2</v>
      </c>
      <c r="J3517" s="178">
        <f t="shared" si="109"/>
        <v>0</v>
      </c>
    </row>
    <row r="3518" spans="1:10" x14ac:dyDescent="0.25">
      <c r="A3518" s="51">
        <v>42854</v>
      </c>
      <c r="B3518" s="174" t="s">
        <v>15085</v>
      </c>
      <c r="C3518" s="175"/>
      <c r="D3518" s="176" t="s">
        <v>15085</v>
      </c>
      <c r="E3518" s="176">
        <v>109952</v>
      </c>
      <c r="F3518" s="177" t="s">
        <v>367</v>
      </c>
      <c r="G3518" s="178">
        <v>1575</v>
      </c>
      <c r="H3518" s="184">
        <v>42854</v>
      </c>
      <c r="I3518" s="183">
        <f t="shared" si="110"/>
        <v>1575</v>
      </c>
      <c r="J3518" s="178">
        <f t="shared" si="109"/>
        <v>0</v>
      </c>
    </row>
    <row r="3519" spans="1:10" x14ac:dyDescent="0.25">
      <c r="A3519" s="51">
        <v>42854</v>
      </c>
      <c r="B3519" s="174" t="s">
        <v>15086</v>
      </c>
      <c r="C3519" s="175"/>
      <c r="D3519" s="176" t="s">
        <v>15086</v>
      </c>
      <c r="E3519" s="176">
        <v>109953</v>
      </c>
      <c r="F3519" s="177" t="s">
        <v>523</v>
      </c>
      <c r="G3519" s="178">
        <v>24797.599999999999</v>
      </c>
      <c r="H3519" s="186">
        <v>43595</v>
      </c>
      <c r="I3519" s="187">
        <f t="shared" si="110"/>
        <v>24797.599999999999</v>
      </c>
      <c r="J3519" s="178">
        <f t="shared" si="109"/>
        <v>0</v>
      </c>
    </row>
    <row r="3520" spans="1:10" x14ac:dyDescent="0.25">
      <c r="A3520" s="51">
        <v>42854</v>
      </c>
      <c r="B3520" s="174" t="s">
        <v>15087</v>
      </c>
      <c r="C3520" s="175"/>
      <c r="D3520" s="176" t="s">
        <v>15087</v>
      </c>
      <c r="E3520" s="176">
        <v>109954</v>
      </c>
      <c r="F3520" s="177" t="s">
        <v>30</v>
      </c>
      <c r="G3520" s="178">
        <v>772.8</v>
      </c>
      <c r="H3520" s="184">
        <v>42854</v>
      </c>
      <c r="I3520" s="183">
        <f t="shared" si="110"/>
        <v>772.8</v>
      </c>
      <c r="J3520" s="178">
        <f t="shared" si="109"/>
        <v>0</v>
      </c>
    </row>
    <row r="3521" spans="1:10" x14ac:dyDescent="0.25">
      <c r="A3521" s="51">
        <v>42854</v>
      </c>
      <c r="B3521" s="174" t="s">
        <v>15088</v>
      </c>
      <c r="C3521" s="175"/>
      <c r="D3521" s="176" t="s">
        <v>15088</v>
      </c>
      <c r="E3521" s="176">
        <v>109955</v>
      </c>
      <c r="F3521" s="177" t="s">
        <v>10</v>
      </c>
      <c r="G3521" s="178">
        <v>178885</v>
      </c>
      <c r="H3521" s="186">
        <v>42859</v>
      </c>
      <c r="I3521" s="187">
        <f t="shared" si="110"/>
        <v>178885</v>
      </c>
      <c r="J3521" s="178">
        <f t="shared" si="109"/>
        <v>0</v>
      </c>
    </row>
    <row r="3522" spans="1:10" x14ac:dyDescent="0.25">
      <c r="A3522" s="51">
        <v>42854</v>
      </c>
      <c r="B3522" s="174" t="s">
        <v>15089</v>
      </c>
      <c r="C3522" s="175"/>
      <c r="D3522" s="176" t="s">
        <v>15089</v>
      </c>
      <c r="E3522" s="176">
        <v>109956</v>
      </c>
      <c r="F3522" s="177" t="s">
        <v>10</v>
      </c>
      <c r="G3522" s="178">
        <v>192342.72</v>
      </c>
      <c r="H3522" s="186">
        <v>42859</v>
      </c>
      <c r="I3522" s="187">
        <f t="shared" si="110"/>
        <v>192342.72</v>
      </c>
      <c r="J3522" s="178">
        <f t="shared" si="109"/>
        <v>0</v>
      </c>
    </row>
    <row r="3523" spans="1:10" x14ac:dyDescent="0.25">
      <c r="A3523" s="51">
        <v>42854</v>
      </c>
      <c r="B3523" s="174" t="s">
        <v>15090</v>
      </c>
      <c r="C3523" s="175"/>
      <c r="D3523" s="176" t="s">
        <v>15090</v>
      </c>
      <c r="E3523" s="176">
        <v>109957</v>
      </c>
      <c r="F3523" s="177" t="s">
        <v>30</v>
      </c>
      <c r="G3523" s="178">
        <v>2440.3000000000002</v>
      </c>
      <c r="H3523" s="184">
        <v>42854</v>
      </c>
      <c r="I3523" s="183">
        <f t="shared" si="110"/>
        <v>2440.3000000000002</v>
      </c>
      <c r="J3523" s="178">
        <f t="shared" si="109"/>
        <v>0</v>
      </c>
    </row>
    <row r="3524" spans="1:10" x14ac:dyDescent="0.25">
      <c r="A3524" s="51">
        <v>42854</v>
      </c>
      <c r="B3524" s="174" t="s">
        <v>15091</v>
      </c>
      <c r="C3524" s="175"/>
      <c r="D3524" s="176" t="s">
        <v>15091</v>
      </c>
      <c r="E3524" s="176">
        <v>109958</v>
      </c>
      <c r="F3524" s="177" t="s">
        <v>428</v>
      </c>
      <c r="G3524" s="178">
        <v>1564</v>
      </c>
      <c r="H3524" s="186">
        <v>42858</v>
      </c>
      <c r="I3524" s="187">
        <f t="shared" si="110"/>
        <v>1564</v>
      </c>
      <c r="J3524" s="178">
        <f t="shared" ref="J3524:J3587" si="111">G3524-I3524</f>
        <v>0</v>
      </c>
    </row>
    <row r="3525" spans="1:10" x14ac:dyDescent="0.25">
      <c r="A3525" s="51">
        <v>42854</v>
      </c>
      <c r="B3525" s="174" t="s">
        <v>15092</v>
      </c>
      <c r="C3525" s="175"/>
      <c r="D3525" s="176" t="s">
        <v>15092</v>
      </c>
      <c r="E3525" s="176">
        <v>109959</v>
      </c>
      <c r="F3525" s="177" t="s">
        <v>236</v>
      </c>
      <c r="G3525" s="178">
        <v>39360.85</v>
      </c>
      <c r="H3525" s="186">
        <v>42868</v>
      </c>
      <c r="I3525" s="187">
        <f t="shared" ref="I3525:I3588" si="112">G3525</f>
        <v>39360.85</v>
      </c>
      <c r="J3525" s="178">
        <f t="shared" si="111"/>
        <v>0</v>
      </c>
    </row>
    <row r="3526" spans="1:10" x14ac:dyDescent="0.25">
      <c r="A3526" s="51">
        <v>42854</v>
      </c>
      <c r="B3526" s="174" t="s">
        <v>15093</v>
      </c>
      <c r="C3526" s="175"/>
      <c r="D3526" s="176" t="s">
        <v>15093</v>
      </c>
      <c r="E3526" s="176">
        <v>109960</v>
      </c>
      <c r="F3526" s="177" t="s">
        <v>5113</v>
      </c>
      <c r="G3526" s="178">
        <v>10634.4</v>
      </c>
      <c r="H3526" s="184">
        <v>42854</v>
      </c>
      <c r="I3526" s="183">
        <f t="shared" si="112"/>
        <v>10634.4</v>
      </c>
      <c r="J3526" s="178">
        <f t="shared" si="111"/>
        <v>0</v>
      </c>
    </row>
    <row r="3527" spans="1:10" x14ac:dyDescent="0.25">
      <c r="A3527" s="51">
        <v>42854</v>
      </c>
      <c r="B3527" s="174" t="s">
        <v>15094</v>
      </c>
      <c r="C3527" s="175"/>
      <c r="D3527" s="176" t="s">
        <v>15094</v>
      </c>
      <c r="E3527" s="176">
        <v>109961</v>
      </c>
      <c r="F3527" s="177" t="s">
        <v>222</v>
      </c>
      <c r="G3527" s="178">
        <v>32060.98</v>
      </c>
      <c r="H3527" s="186">
        <v>42858</v>
      </c>
      <c r="I3527" s="187">
        <f t="shared" si="112"/>
        <v>32060.98</v>
      </c>
      <c r="J3527" s="178">
        <f t="shared" si="111"/>
        <v>0</v>
      </c>
    </row>
    <row r="3528" spans="1:10" x14ac:dyDescent="0.25">
      <c r="A3528" s="51">
        <v>42854</v>
      </c>
      <c r="B3528" s="174" t="s">
        <v>15095</v>
      </c>
      <c r="C3528" s="175"/>
      <c r="D3528" s="176" t="s">
        <v>15095</v>
      </c>
      <c r="E3528" s="176">
        <v>109962</v>
      </c>
      <c r="F3528" s="177" t="s">
        <v>30</v>
      </c>
      <c r="G3528" s="178">
        <v>506</v>
      </c>
      <c r="H3528" s="184">
        <v>42854</v>
      </c>
      <c r="I3528" s="183">
        <f t="shared" si="112"/>
        <v>506</v>
      </c>
      <c r="J3528" s="178">
        <f t="shared" si="111"/>
        <v>0</v>
      </c>
    </row>
    <row r="3529" spans="1:10" x14ac:dyDescent="0.25">
      <c r="A3529" s="51">
        <v>42854</v>
      </c>
      <c r="B3529" s="174" t="s">
        <v>15096</v>
      </c>
      <c r="C3529" s="175"/>
      <c r="D3529" s="176" t="s">
        <v>15096</v>
      </c>
      <c r="E3529" s="176">
        <v>109963</v>
      </c>
      <c r="F3529" s="177" t="s">
        <v>876</v>
      </c>
      <c r="G3529" s="178">
        <v>1383.5</v>
      </c>
      <c r="H3529" s="184">
        <v>42860</v>
      </c>
      <c r="I3529" s="183">
        <f t="shared" si="112"/>
        <v>1383.5</v>
      </c>
      <c r="J3529" s="178">
        <f t="shared" si="111"/>
        <v>0</v>
      </c>
    </row>
    <row r="3530" spans="1:10" x14ac:dyDescent="0.25">
      <c r="A3530" s="51">
        <v>42854</v>
      </c>
      <c r="B3530" s="174" t="s">
        <v>15097</v>
      </c>
      <c r="C3530" s="175"/>
      <c r="D3530" s="176" t="s">
        <v>15097</v>
      </c>
      <c r="E3530" s="176">
        <v>109964</v>
      </c>
      <c r="F3530" s="177" t="s">
        <v>220</v>
      </c>
      <c r="G3530" s="178">
        <v>2508</v>
      </c>
      <c r="H3530" s="184">
        <v>42855</v>
      </c>
      <c r="I3530" s="183">
        <f t="shared" si="112"/>
        <v>2508</v>
      </c>
      <c r="J3530" s="178">
        <f t="shared" si="111"/>
        <v>0</v>
      </c>
    </row>
    <row r="3531" spans="1:10" x14ac:dyDescent="0.25">
      <c r="A3531" s="51">
        <v>42854</v>
      </c>
      <c r="B3531" s="174" t="s">
        <v>15098</v>
      </c>
      <c r="C3531" s="175"/>
      <c r="D3531" s="176" t="s">
        <v>15098</v>
      </c>
      <c r="E3531" s="176">
        <v>109965</v>
      </c>
      <c r="F3531" s="177" t="s">
        <v>8</v>
      </c>
      <c r="G3531" s="178">
        <v>5436</v>
      </c>
      <c r="H3531" s="184">
        <v>42855</v>
      </c>
      <c r="I3531" s="183">
        <f t="shared" si="112"/>
        <v>5436</v>
      </c>
      <c r="J3531" s="178">
        <f t="shared" si="111"/>
        <v>0</v>
      </c>
    </row>
    <row r="3532" spans="1:10" x14ac:dyDescent="0.25">
      <c r="A3532" s="51">
        <v>42854</v>
      </c>
      <c r="B3532" s="174" t="s">
        <v>15099</v>
      </c>
      <c r="C3532" s="175"/>
      <c r="D3532" s="176" t="s">
        <v>15099</v>
      </c>
      <c r="E3532" s="176">
        <v>109966</v>
      </c>
      <c r="F3532" s="177" t="s">
        <v>226</v>
      </c>
      <c r="G3532" s="178">
        <v>1909</v>
      </c>
      <c r="H3532" s="184">
        <v>42855</v>
      </c>
      <c r="I3532" s="183">
        <f t="shared" si="112"/>
        <v>1909</v>
      </c>
      <c r="J3532" s="178">
        <f t="shared" si="111"/>
        <v>0</v>
      </c>
    </row>
    <row r="3533" spans="1:10" x14ac:dyDescent="0.25">
      <c r="A3533" s="51">
        <v>42854</v>
      </c>
      <c r="B3533" s="174" t="s">
        <v>15100</v>
      </c>
      <c r="C3533" s="175"/>
      <c r="D3533" s="176" t="s">
        <v>15100</v>
      </c>
      <c r="E3533" s="176">
        <v>109967</v>
      </c>
      <c r="F3533" s="177" t="s">
        <v>30</v>
      </c>
      <c r="G3533" s="178">
        <v>3217.5</v>
      </c>
      <c r="H3533" s="184">
        <v>42854</v>
      </c>
      <c r="I3533" s="183">
        <f t="shared" si="112"/>
        <v>3217.5</v>
      </c>
      <c r="J3533" s="178">
        <f t="shared" si="111"/>
        <v>0</v>
      </c>
    </row>
    <row r="3534" spans="1:10" x14ac:dyDescent="0.25">
      <c r="A3534" s="51">
        <v>42854</v>
      </c>
      <c r="B3534" s="174" t="s">
        <v>15101</v>
      </c>
      <c r="C3534" s="175"/>
      <c r="D3534" s="176" t="s">
        <v>15101</v>
      </c>
      <c r="E3534" s="176">
        <v>109968</v>
      </c>
      <c r="F3534" s="177" t="s">
        <v>236</v>
      </c>
      <c r="G3534" s="178">
        <v>34019</v>
      </c>
      <c r="H3534" s="186">
        <v>42868</v>
      </c>
      <c r="I3534" s="187">
        <f t="shared" si="112"/>
        <v>34019</v>
      </c>
      <c r="J3534" s="178">
        <f t="shared" si="111"/>
        <v>0</v>
      </c>
    </row>
    <row r="3535" spans="1:10" x14ac:dyDescent="0.25">
      <c r="A3535" s="51">
        <v>42854</v>
      </c>
      <c r="B3535" s="174" t="s">
        <v>15102</v>
      </c>
      <c r="C3535" s="175"/>
      <c r="D3535" s="176" t="s">
        <v>15102</v>
      </c>
      <c r="E3535" s="176">
        <v>109969</v>
      </c>
      <c r="F3535" s="177" t="s">
        <v>289</v>
      </c>
      <c r="G3535" s="178">
        <v>60866.34</v>
      </c>
      <c r="H3535" s="186">
        <v>42868</v>
      </c>
      <c r="I3535" s="187">
        <f t="shared" si="112"/>
        <v>60866.34</v>
      </c>
      <c r="J3535" s="178">
        <f t="shared" si="111"/>
        <v>0</v>
      </c>
    </row>
    <row r="3536" spans="1:10" x14ac:dyDescent="0.25">
      <c r="A3536" s="51">
        <v>42854</v>
      </c>
      <c r="B3536" s="174" t="s">
        <v>15103</v>
      </c>
      <c r="C3536" s="175"/>
      <c r="D3536" s="176" t="s">
        <v>15103</v>
      </c>
      <c r="E3536" s="176">
        <v>109970</v>
      </c>
      <c r="F3536" s="177" t="s">
        <v>222</v>
      </c>
      <c r="G3536" s="178">
        <v>372000</v>
      </c>
      <c r="H3536" s="186">
        <v>42858</v>
      </c>
      <c r="I3536" s="187">
        <f t="shared" si="112"/>
        <v>372000</v>
      </c>
      <c r="J3536" s="178">
        <f t="shared" si="111"/>
        <v>0</v>
      </c>
    </row>
    <row r="3537" spans="1:10" ht="15.75" x14ac:dyDescent="0.25">
      <c r="A3537" s="51">
        <v>42854</v>
      </c>
      <c r="B3537" s="174" t="s">
        <v>15104</v>
      </c>
      <c r="C3537" s="175"/>
      <c r="D3537" s="176" t="s">
        <v>15104</v>
      </c>
      <c r="E3537" s="176">
        <v>109971</v>
      </c>
      <c r="F3537" s="177" t="s">
        <v>30</v>
      </c>
      <c r="G3537" s="178">
        <v>0</v>
      </c>
      <c r="H3537" s="207" t="s">
        <v>95</v>
      </c>
      <c r="I3537" s="178">
        <f t="shared" si="112"/>
        <v>0</v>
      </c>
      <c r="J3537" s="178">
        <f t="shared" si="111"/>
        <v>0</v>
      </c>
    </row>
    <row r="3538" spans="1:10" x14ac:dyDescent="0.25">
      <c r="A3538" s="51">
        <v>42854</v>
      </c>
      <c r="B3538" s="174" t="s">
        <v>15105</v>
      </c>
      <c r="C3538" s="175"/>
      <c r="D3538" s="176" t="s">
        <v>15105</v>
      </c>
      <c r="E3538" s="176">
        <v>109972</v>
      </c>
      <c r="F3538" s="177" t="s">
        <v>30</v>
      </c>
      <c r="G3538" s="178">
        <v>490</v>
      </c>
      <c r="H3538" s="184">
        <v>42854</v>
      </c>
      <c r="I3538" s="183">
        <f t="shared" si="112"/>
        <v>490</v>
      </c>
      <c r="J3538" s="178">
        <f t="shared" si="111"/>
        <v>0</v>
      </c>
    </row>
    <row r="3539" spans="1:10" x14ac:dyDescent="0.25">
      <c r="A3539" s="51">
        <v>42854</v>
      </c>
      <c r="B3539" s="174" t="s">
        <v>15106</v>
      </c>
      <c r="C3539" s="175"/>
      <c r="D3539" s="176" t="s">
        <v>15106</v>
      </c>
      <c r="E3539" s="176">
        <v>109973</v>
      </c>
      <c r="F3539" s="177" t="s">
        <v>30</v>
      </c>
      <c r="G3539" s="178">
        <v>147.4</v>
      </c>
      <c r="H3539" s="184">
        <v>42854</v>
      </c>
      <c r="I3539" s="183">
        <f t="shared" si="112"/>
        <v>147.4</v>
      </c>
      <c r="J3539" s="178">
        <f t="shared" si="111"/>
        <v>0</v>
      </c>
    </row>
    <row r="3540" spans="1:10" x14ac:dyDescent="0.25">
      <c r="A3540" s="51">
        <v>42854</v>
      </c>
      <c r="B3540" s="174" t="s">
        <v>15107</v>
      </c>
      <c r="C3540" s="175"/>
      <c r="D3540" s="176" t="s">
        <v>15107</v>
      </c>
      <c r="E3540" s="176">
        <v>109974</v>
      </c>
      <c r="F3540" s="177" t="s">
        <v>536</v>
      </c>
      <c r="G3540" s="178">
        <v>2438.4</v>
      </c>
      <c r="H3540" s="184">
        <v>42854</v>
      </c>
      <c r="I3540" s="183">
        <f t="shared" si="112"/>
        <v>2438.4</v>
      </c>
      <c r="J3540" s="178">
        <f t="shared" si="111"/>
        <v>0</v>
      </c>
    </row>
    <row r="3541" spans="1:10" x14ac:dyDescent="0.25">
      <c r="A3541" s="51">
        <v>42854</v>
      </c>
      <c r="B3541" s="174" t="s">
        <v>15108</v>
      </c>
      <c r="C3541" s="175"/>
      <c r="D3541" s="176" t="s">
        <v>15108</v>
      </c>
      <c r="E3541" s="176">
        <v>109975</v>
      </c>
      <c r="F3541" s="177" t="s">
        <v>430</v>
      </c>
      <c r="G3541" s="178">
        <v>2737</v>
      </c>
      <c r="H3541" s="184">
        <v>42854</v>
      </c>
      <c r="I3541" s="183">
        <f t="shared" si="112"/>
        <v>2737</v>
      </c>
      <c r="J3541" s="178">
        <f t="shared" si="111"/>
        <v>0</v>
      </c>
    </row>
    <row r="3542" spans="1:10" x14ac:dyDescent="0.25">
      <c r="A3542" s="51">
        <v>42854</v>
      </c>
      <c r="B3542" s="174" t="s">
        <v>15109</v>
      </c>
      <c r="C3542" s="175"/>
      <c r="D3542" s="176" t="s">
        <v>15109</v>
      </c>
      <c r="E3542" s="176">
        <v>109976</v>
      </c>
      <c r="F3542" s="177" t="s">
        <v>430</v>
      </c>
      <c r="G3542" s="178">
        <v>80</v>
      </c>
      <c r="H3542" s="184">
        <v>42854</v>
      </c>
      <c r="I3542" s="183">
        <f t="shared" si="112"/>
        <v>80</v>
      </c>
      <c r="J3542" s="178">
        <f t="shared" si="111"/>
        <v>0</v>
      </c>
    </row>
    <row r="3543" spans="1:10" x14ac:dyDescent="0.25">
      <c r="A3543" s="51">
        <v>42854</v>
      </c>
      <c r="B3543" s="174" t="s">
        <v>15110</v>
      </c>
      <c r="C3543" s="175"/>
      <c r="D3543" s="176" t="s">
        <v>15110</v>
      </c>
      <c r="E3543" s="176">
        <v>109977</v>
      </c>
      <c r="F3543" s="177" t="s">
        <v>30</v>
      </c>
      <c r="G3543" s="178">
        <v>378</v>
      </c>
      <c r="H3543" s="184">
        <v>42855</v>
      </c>
      <c r="I3543" s="183">
        <f t="shared" si="112"/>
        <v>378</v>
      </c>
      <c r="J3543" s="178">
        <f t="shared" si="111"/>
        <v>0</v>
      </c>
    </row>
    <row r="3544" spans="1:10" x14ac:dyDescent="0.25">
      <c r="A3544" s="51">
        <v>42854</v>
      </c>
      <c r="B3544" s="174" t="s">
        <v>15111</v>
      </c>
      <c r="C3544" s="175"/>
      <c r="D3544" s="176" t="s">
        <v>15111</v>
      </c>
      <c r="E3544" s="176">
        <v>109978</v>
      </c>
      <c r="F3544" s="177" t="s">
        <v>55</v>
      </c>
      <c r="G3544" s="178">
        <v>5542.9</v>
      </c>
      <c r="H3544" s="186">
        <v>42856</v>
      </c>
      <c r="I3544" s="187">
        <f t="shared" si="112"/>
        <v>5542.9</v>
      </c>
      <c r="J3544" s="178">
        <f t="shared" si="111"/>
        <v>0</v>
      </c>
    </row>
    <row r="3545" spans="1:10" x14ac:dyDescent="0.25">
      <c r="A3545" s="51">
        <v>42854</v>
      </c>
      <c r="B3545" s="174" t="s">
        <v>15112</v>
      </c>
      <c r="C3545" s="175"/>
      <c r="D3545" s="176" t="s">
        <v>15112</v>
      </c>
      <c r="E3545" s="176">
        <v>109979</v>
      </c>
      <c r="F3545" s="177" t="s">
        <v>921</v>
      </c>
      <c r="G3545" s="178">
        <v>11131.2</v>
      </c>
      <c r="H3545" s="184">
        <v>42854</v>
      </c>
      <c r="I3545" s="183">
        <f t="shared" si="112"/>
        <v>11131.2</v>
      </c>
      <c r="J3545" s="178">
        <f t="shared" si="111"/>
        <v>0</v>
      </c>
    </row>
    <row r="3546" spans="1:10" x14ac:dyDescent="0.25">
      <c r="A3546" s="51">
        <v>42854</v>
      </c>
      <c r="B3546" s="174" t="s">
        <v>15113</v>
      </c>
      <c r="C3546" s="175"/>
      <c r="D3546" s="176" t="s">
        <v>15113</v>
      </c>
      <c r="E3546" s="176">
        <v>109980</v>
      </c>
      <c r="F3546" s="177" t="s">
        <v>10</v>
      </c>
      <c r="G3546" s="178">
        <v>164251.79999999999</v>
      </c>
      <c r="H3546" s="186">
        <v>42859</v>
      </c>
      <c r="I3546" s="187">
        <f t="shared" si="112"/>
        <v>164251.79999999999</v>
      </c>
      <c r="J3546" s="178">
        <f t="shared" si="111"/>
        <v>0</v>
      </c>
    </row>
    <row r="3547" spans="1:10" x14ac:dyDescent="0.25">
      <c r="A3547" s="51">
        <v>42854</v>
      </c>
      <c r="B3547" s="174" t="s">
        <v>15114</v>
      </c>
      <c r="C3547" s="175"/>
      <c r="D3547" s="176" t="s">
        <v>15114</v>
      </c>
      <c r="E3547" s="176">
        <v>109981</v>
      </c>
      <c r="F3547" s="177" t="s">
        <v>354</v>
      </c>
      <c r="G3547" s="178">
        <v>665</v>
      </c>
      <c r="H3547" s="184">
        <v>42854</v>
      </c>
      <c r="I3547" s="183">
        <f t="shared" si="112"/>
        <v>665</v>
      </c>
      <c r="J3547" s="178">
        <f t="shared" si="111"/>
        <v>0</v>
      </c>
    </row>
    <row r="3548" spans="1:10" x14ac:dyDescent="0.25">
      <c r="A3548" s="51">
        <v>42855</v>
      </c>
      <c r="B3548" s="174" t="s">
        <v>15115</v>
      </c>
      <c r="C3548" s="175"/>
      <c r="D3548" s="176" t="s">
        <v>15115</v>
      </c>
      <c r="E3548" s="176">
        <v>109982</v>
      </c>
      <c r="F3548" s="177" t="s">
        <v>231</v>
      </c>
      <c r="G3548" s="178">
        <v>5338.95</v>
      </c>
      <c r="H3548" s="186">
        <v>42856</v>
      </c>
      <c r="I3548" s="187">
        <f t="shared" si="112"/>
        <v>5338.95</v>
      </c>
      <c r="J3548" s="178">
        <f t="shared" si="111"/>
        <v>0</v>
      </c>
    </row>
    <row r="3549" spans="1:10" x14ac:dyDescent="0.25">
      <c r="A3549" s="51">
        <v>42855</v>
      </c>
      <c r="B3549" s="174" t="s">
        <v>15116</v>
      </c>
      <c r="C3549" s="175"/>
      <c r="D3549" s="176" t="s">
        <v>15116</v>
      </c>
      <c r="E3549" s="176">
        <v>109983</v>
      </c>
      <c r="F3549" s="177" t="s">
        <v>111</v>
      </c>
      <c r="G3549" s="178">
        <v>3223.4</v>
      </c>
      <c r="H3549" s="184">
        <v>42855</v>
      </c>
      <c r="I3549" s="183">
        <f t="shared" si="112"/>
        <v>3223.4</v>
      </c>
      <c r="J3549" s="178">
        <f t="shared" si="111"/>
        <v>0</v>
      </c>
    </row>
    <row r="3550" spans="1:10" x14ac:dyDescent="0.25">
      <c r="A3550" s="51">
        <v>42855</v>
      </c>
      <c r="B3550" s="174" t="s">
        <v>15117</v>
      </c>
      <c r="C3550" s="175"/>
      <c r="D3550" s="176" t="s">
        <v>15117</v>
      </c>
      <c r="E3550" s="176">
        <v>109984</v>
      </c>
      <c r="F3550" s="177" t="s">
        <v>28</v>
      </c>
      <c r="G3550" s="178">
        <v>9245</v>
      </c>
      <c r="H3550" s="186">
        <v>42856</v>
      </c>
      <c r="I3550" s="187">
        <f t="shared" si="112"/>
        <v>9245</v>
      </c>
      <c r="J3550" s="178">
        <f t="shared" si="111"/>
        <v>0</v>
      </c>
    </row>
    <row r="3551" spans="1:10" x14ac:dyDescent="0.25">
      <c r="A3551" s="51">
        <v>42855</v>
      </c>
      <c r="B3551" s="174" t="s">
        <v>15118</v>
      </c>
      <c r="C3551" s="175"/>
      <c r="D3551" s="176" t="s">
        <v>15118</v>
      </c>
      <c r="E3551" s="176">
        <v>109985</v>
      </c>
      <c r="F3551" s="177" t="s">
        <v>231</v>
      </c>
      <c r="G3551" s="178">
        <v>43311.5</v>
      </c>
      <c r="H3551" s="186">
        <v>42856</v>
      </c>
      <c r="I3551" s="187">
        <f t="shared" si="112"/>
        <v>43311.5</v>
      </c>
      <c r="J3551" s="178">
        <f t="shared" si="111"/>
        <v>0</v>
      </c>
    </row>
    <row r="3552" spans="1:10" x14ac:dyDescent="0.25">
      <c r="A3552" s="51">
        <v>42855</v>
      </c>
      <c r="B3552" s="174" t="s">
        <v>15119</v>
      </c>
      <c r="C3552" s="175"/>
      <c r="D3552" s="176" t="s">
        <v>15119</v>
      </c>
      <c r="E3552" s="176">
        <v>109986</v>
      </c>
      <c r="F3552" s="177" t="s">
        <v>1786</v>
      </c>
      <c r="G3552" s="178">
        <v>6710.4</v>
      </c>
      <c r="H3552" s="184">
        <v>42855</v>
      </c>
      <c r="I3552" s="183">
        <f t="shared" si="112"/>
        <v>6710.4</v>
      </c>
      <c r="J3552" s="178">
        <f t="shared" si="111"/>
        <v>0</v>
      </c>
    </row>
    <row r="3553" spans="1:10" x14ac:dyDescent="0.25">
      <c r="A3553" s="51">
        <v>42855</v>
      </c>
      <c r="B3553" s="174" t="s">
        <v>15120</v>
      </c>
      <c r="C3553" s="175"/>
      <c r="D3553" s="176" t="s">
        <v>15120</v>
      </c>
      <c r="E3553" s="176">
        <v>109987</v>
      </c>
      <c r="F3553" s="177" t="s">
        <v>472</v>
      </c>
      <c r="G3553" s="178">
        <v>6276</v>
      </c>
      <c r="H3553" s="186">
        <v>42858</v>
      </c>
      <c r="I3553" s="187">
        <f t="shared" si="112"/>
        <v>6276</v>
      </c>
      <c r="J3553" s="178">
        <f t="shared" si="111"/>
        <v>0</v>
      </c>
    </row>
    <row r="3554" spans="1:10" x14ac:dyDescent="0.25">
      <c r="A3554" s="51">
        <v>42855</v>
      </c>
      <c r="B3554" s="174" t="s">
        <v>15121</v>
      </c>
      <c r="C3554" s="175"/>
      <c r="D3554" s="176" t="s">
        <v>15121</v>
      </c>
      <c r="E3554" s="176">
        <v>109988</v>
      </c>
      <c r="F3554" s="177" t="s">
        <v>17</v>
      </c>
      <c r="G3554" s="178">
        <v>4950</v>
      </c>
      <c r="H3554" s="186">
        <v>42856</v>
      </c>
      <c r="I3554" s="187">
        <f t="shared" si="112"/>
        <v>4950</v>
      </c>
      <c r="J3554" s="178">
        <f t="shared" si="111"/>
        <v>0</v>
      </c>
    </row>
    <row r="3555" spans="1:10" x14ac:dyDescent="0.25">
      <c r="A3555" s="51">
        <v>42855</v>
      </c>
      <c r="B3555" s="174" t="s">
        <v>15122</v>
      </c>
      <c r="C3555" s="175"/>
      <c r="D3555" s="176" t="s">
        <v>15122</v>
      </c>
      <c r="E3555" s="176">
        <v>109989</v>
      </c>
      <c r="F3555" s="177" t="s">
        <v>10031</v>
      </c>
      <c r="G3555" s="178">
        <v>9476.4</v>
      </c>
      <c r="H3555" s="184">
        <v>42855</v>
      </c>
      <c r="I3555" s="183">
        <f t="shared" si="112"/>
        <v>9476.4</v>
      </c>
      <c r="J3555" s="178">
        <f t="shared" si="111"/>
        <v>0</v>
      </c>
    </row>
    <row r="3556" spans="1:10" x14ac:dyDescent="0.25">
      <c r="A3556" s="51">
        <v>42855</v>
      </c>
      <c r="B3556" s="174" t="s">
        <v>15123</v>
      </c>
      <c r="C3556" s="175"/>
      <c r="D3556" s="176" t="s">
        <v>15123</v>
      </c>
      <c r="E3556" s="176">
        <v>109990</v>
      </c>
      <c r="F3556" s="177" t="s">
        <v>321</v>
      </c>
      <c r="G3556" s="178">
        <v>1912.6</v>
      </c>
      <c r="H3556" s="184">
        <v>42855</v>
      </c>
      <c r="I3556" s="183">
        <f t="shared" si="112"/>
        <v>1912.6</v>
      </c>
      <c r="J3556" s="178">
        <f t="shared" si="111"/>
        <v>0</v>
      </c>
    </row>
    <row r="3557" spans="1:10" x14ac:dyDescent="0.25">
      <c r="A3557" s="51">
        <v>42855</v>
      </c>
      <c r="B3557" s="174" t="s">
        <v>15124</v>
      </c>
      <c r="C3557" s="175"/>
      <c r="D3557" s="176" t="s">
        <v>15124</v>
      </c>
      <c r="E3557" s="176">
        <v>109991</v>
      </c>
      <c r="F3557" s="177" t="s">
        <v>3425</v>
      </c>
      <c r="G3557" s="178">
        <v>1127.3</v>
      </c>
      <c r="H3557" s="184">
        <v>42855</v>
      </c>
      <c r="I3557" s="183">
        <f t="shared" si="112"/>
        <v>1127.3</v>
      </c>
      <c r="J3557" s="178">
        <f t="shared" si="111"/>
        <v>0</v>
      </c>
    </row>
    <row r="3558" spans="1:10" x14ac:dyDescent="0.25">
      <c r="A3558" s="51">
        <v>42855</v>
      </c>
      <c r="B3558" s="174" t="s">
        <v>15125</v>
      </c>
      <c r="C3558" s="175"/>
      <c r="D3558" s="176" t="s">
        <v>15125</v>
      </c>
      <c r="E3558" s="176">
        <v>109992</v>
      </c>
      <c r="F3558" s="177" t="s">
        <v>10</v>
      </c>
      <c r="G3558" s="178">
        <v>34174.5</v>
      </c>
      <c r="H3558" s="186">
        <v>42859</v>
      </c>
      <c r="I3558" s="187">
        <f t="shared" si="112"/>
        <v>34174.5</v>
      </c>
      <c r="J3558" s="178">
        <f t="shared" si="111"/>
        <v>0</v>
      </c>
    </row>
    <row r="3559" spans="1:10" x14ac:dyDescent="0.25">
      <c r="A3559" s="51">
        <v>42855</v>
      </c>
      <c r="B3559" s="174" t="s">
        <v>15126</v>
      </c>
      <c r="C3559" s="175"/>
      <c r="D3559" s="176" t="s">
        <v>15126</v>
      </c>
      <c r="E3559" s="176">
        <v>109993</v>
      </c>
      <c r="F3559" s="177" t="s">
        <v>21</v>
      </c>
      <c r="G3559" s="178">
        <v>42630</v>
      </c>
      <c r="H3559" s="186">
        <v>42866</v>
      </c>
      <c r="I3559" s="187">
        <f t="shared" si="112"/>
        <v>42630</v>
      </c>
      <c r="J3559" s="178">
        <f t="shared" si="111"/>
        <v>0</v>
      </c>
    </row>
    <row r="3560" spans="1:10" x14ac:dyDescent="0.25">
      <c r="A3560" s="51">
        <v>42855</v>
      </c>
      <c r="B3560" s="174" t="s">
        <v>15127</v>
      </c>
      <c r="C3560" s="175"/>
      <c r="D3560" s="176" t="s">
        <v>15127</v>
      </c>
      <c r="E3560" s="176">
        <v>109994</v>
      </c>
      <c r="F3560" s="177" t="s">
        <v>12</v>
      </c>
      <c r="G3560" s="178">
        <v>1965</v>
      </c>
      <c r="H3560" s="184">
        <v>42855</v>
      </c>
      <c r="I3560" s="183">
        <f t="shared" si="112"/>
        <v>1965</v>
      </c>
      <c r="J3560" s="178">
        <f t="shared" si="111"/>
        <v>0</v>
      </c>
    </row>
    <row r="3561" spans="1:10" x14ac:dyDescent="0.25">
      <c r="A3561" s="51">
        <v>42855</v>
      </c>
      <c r="B3561" s="174" t="s">
        <v>15128</v>
      </c>
      <c r="C3561" s="175"/>
      <c r="D3561" s="176" t="s">
        <v>15128</v>
      </c>
      <c r="E3561" s="176">
        <v>109995</v>
      </c>
      <c r="F3561" s="177" t="s">
        <v>143</v>
      </c>
      <c r="G3561" s="178">
        <v>5074</v>
      </c>
      <c r="H3561" s="184">
        <v>42855</v>
      </c>
      <c r="I3561" s="183">
        <f t="shared" si="112"/>
        <v>5074</v>
      </c>
      <c r="J3561" s="178">
        <f t="shared" si="111"/>
        <v>0</v>
      </c>
    </row>
    <row r="3562" spans="1:10" x14ac:dyDescent="0.25">
      <c r="A3562" s="51">
        <v>42855</v>
      </c>
      <c r="B3562" s="174" t="s">
        <v>15129</v>
      </c>
      <c r="C3562" s="175"/>
      <c r="D3562" s="176" t="s">
        <v>15129</v>
      </c>
      <c r="E3562" s="176">
        <v>109996</v>
      </c>
      <c r="F3562" s="177" t="s">
        <v>47</v>
      </c>
      <c r="G3562" s="178">
        <v>794.6</v>
      </c>
      <c r="H3562" s="184">
        <v>42855</v>
      </c>
      <c r="I3562" s="183">
        <f t="shared" si="112"/>
        <v>794.6</v>
      </c>
      <c r="J3562" s="178">
        <f t="shared" si="111"/>
        <v>0</v>
      </c>
    </row>
    <row r="3563" spans="1:10" x14ac:dyDescent="0.25">
      <c r="A3563" s="51">
        <v>42855</v>
      </c>
      <c r="B3563" s="174" t="s">
        <v>15130</v>
      </c>
      <c r="C3563" s="175"/>
      <c r="D3563" s="176" t="s">
        <v>15130</v>
      </c>
      <c r="E3563" s="176">
        <v>109997</v>
      </c>
      <c r="F3563" s="177" t="s">
        <v>1645</v>
      </c>
      <c r="G3563" s="178">
        <v>1398.9</v>
      </c>
      <c r="H3563" s="184">
        <v>42855</v>
      </c>
      <c r="I3563" s="183">
        <f t="shared" si="112"/>
        <v>1398.9</v>
      </c>
      <c r="J3563" s="178">
        <f t="shared" si="111"/>
        <v>0</v>
      </c>
    </row>
    <row r="3564" spans="1:10" x14ac:dyDescent="0.25">
      <c r="A3564" s="51">
        <v>42855</v>
      </c>
      <c r="B3564" s="174" t="s">
        <v>15131</v>
      </c>
      <c r="C3564" s="175"/>
      <c r="D3564" s="176" t="s">
        <v>15131</v>
      </c>
      <c r="E3564" s="176">
        <v>109998</v>
      </c>
      <c r="F3564" s="177" t="s">
        <v>1090</v>
      </c>
      <c r="G3564" s="178">
        <v>2084</v>
      </c>
      <c r="H3564" s="184">
        <v>42855</v>
      </c>
      <c r="I3564" s="183">
        <f t="shared" si="112"/>
        <v>2084</v>
      </c>
      <c r="J3564" s="178">
        <f t="shared" si="111"/>
        <v>0</v>
      </c>
    </row>
    <row r="3565" spans="1:10" x14ac:dyDescent="0.25">
      <c r="A3565" s="51">
        <v>42855</v>
      </c>
      <c r="B3565" s="174" t="s">
        <v>15132</v>
      </c>
      <c r="C3565" s="175"/>
      <c r="D3565" s="176" t="s">
        <v>15132</v>
      </c>
      <c r="E3565" s="176">
        <v>109999</v>
      </c>
      <c r="F3565" s="177" t="s">
        <v>157</v>
      </c>
      <c r="G3565" s="178">
        <v>18564.7</v>
      </c>
      <c r="H3565" s="184">
        <v>42855</v>
      </c>
      <c r="I3565" s="183">
        <f t="shared" si="112"/>
        <v>18564.7</v>
      </c>
      <c r="J3565" s="178">
        <f t="shared" si="111"/>
        <v>0</v>
      </c>
    </row>
    <row r="3566" spans="1:10" x14ac:dyDescent="0.25">
      <c r="A3566" s="51">
        <v>42855</v>
      </c>
      <c r="B3566" s="174" t="s">
        <v>15133</v>
      </c>
      <c r="C3566" s="175"/>
      <c r="D3566" s="176" t="s">
        <v>15133</v>
      </c>
      <c r="E3566" s="176">
        <v>110000</v>
      </c>
      <c r="F3566" s="177" t="s">
        <v>298</v>
      </c>
      <c r="G3566" s="178">
        <v>1420.9</v>
      </c>
      <c r="H3566" s="184">
        <v>42855</v>
      </c>
      <c r="I3566" s="183">
        <f t="shared" si="112"/>
        <v>1420.9</v>
      </c>
      <c r="J3566" s="178">
        <f t="shared" si="111"/>
        <v>0</v>
      </c>
    </row>
    <row r="3567" spans="1:10" x14ac:dyDescent="0.25">
      <c r="A3567" s="51">
        <v>42855</v>
      </c>
      <c r="B3567" s="174" t="s">
        <v>15134</v>
      </c>
      <c r="C3567" s="175"/>
      <c r="D3567" s="176" t="s">
        <v>15134</v>
      </c>
      <c r="E3567" s="176">
        <v>110001</v>
      </c>
      <c r="F3567" s="177" t="s">
        <v>240</v>
      </c>
      <c r="G3567" s="178">
        <v>4845.6000000000004</v>
      </c>
      <c r="H3567" s="184">
        <v>42855</v>
      </c>
      <c r="I3567" s="183">
        <f t="shared" si="112"/>
        <v>4845.6000000000004</v>
      </c>
      <c r="J3567" s="178">
        <f t="shared" si="111"/>
        <v>0</v>
      </c>
    </row>
    <row r="3568" spans="1:10" x14ac:dyDescent="0.25">
      <c r="A3568" s="51">
        <v>42855</v>
      </c>
      <c r="B3568" s="174" t="s">
        <v>15135</v>
      </c>
      <c r="C3568" s="175"/>
      <c r="D3568" s="176" t="s">
        <v>15135</v>
      </c>
      <c r="E3568" s="176">
        <v>110002</v>
      </c>
      <c r="F3568" s="177" t="s">
        <v>1116</v>
      </c>
      <c r="G3568" s="178">
        <v>5750.2</v>
      </c>
      <c r="H3568" s="186">
        <v>42856</v>
      </c>
      <c r="I3568" s="187">
        <f t="shared" si="112"/>
        <v>5750.2</v>
      </c>
      <c r="J3568" s="178">
        <f t="shared" si="111"/>
        <v>0</v>
      </c>
    </row>
    <row r="3569" spans="1:10" x14ac:dyDescent="0.25">
      <c r="A3569" s="51">
        <v>42855</v>
      </c>
      <c r="B3569" s="174" t="s">
        <v>15136</v>
      </c>
      <c r="C3569" s="175"/>
      <c r="D3569" s="176" t="s">
        <v>15136</v>
      </c>
      <c r="E3569" s="176">
        <v>110003</v>
      </c>
      <c r="F3569" s="177" t="s">
        <v>99</v>
      </c>
      <c r="G3569" s="178">
        <v>3600</v>
      </c>
      <c r="H3569" s="186">
        <v>42856</v>
      </c>
      <c r="I3569" s="187">
        <f t="shared" si="112"/>
        <v>3600</v>
      </c>
      <c r="J3569" s="178">
        <f t="shared" si="111"/>
        <v>0</v>
      </c>
    </row>
    <row r="3570" spans="1:10" x14ac:dyDescent="0.25">
      <c r="A3570" s="51">
        <v>42855</v>
      </c>
      <c r="B3570" s="174" t="s">
        <v>15137</v>
      </c>
      <c r="C3570" s="175"/>
      <c r="D3570" s="176" t="s">
        <v>15137</v>
      </c>
      <c r="E3570" s="176">
        <v>110004</v>
      </c>
      <c r="F3570" s="177" t="s">
        <v>168</v>
      </c>
      <c r="G3570" s="178">
        <v>40</v>
      </c>
      <c r="H3570" s="184">
        <v>42855</v>
      </c>
      <c r="I3570" s="183">
        <f t="shared" si="112"/>
        <v>40</v>
      </c>
      <c r="J3570" s="178">
        <f t="shared" si="111"/>
        <v>0</v>
      </c>
    </row>
    <row r="3571" spans="1:10" x14ac:dyDescent="0.25">
      <c r="A3571" s="51">
        <v>42855</v>
      </c>
      <c r="B3571" s="174" t="s">
        <v>15138</v>
      </c>
      <c r="C3571" s="175"/>
      <c r="D3571" s="176" t="s">
        <v>15138</v>
      </c>
      <c r="E3571" s="176">
        <v>110005</v>
      </c>
      <c r="F3571" s="177" t="s">
        <v>457</v>
      </c>
      <c r="G3571" s="178">
        <v>2401.6999999999998</v>
      </c>
      <c r="H3571" s="184">
        <v>42855</v>
      </c>
      <c r="I3571" s="183">
        <f t="shared" si="112"/>
        <v>2401.6999999999998</v>
      </c>
      <c r="J3571" s="178">
        <f t="shared" si="111"/>
        <v>0</v>
      </c>
    </row>
    <row r="3572" spans="1:10" x14ac:dyDescent="0.25">
      <c r="A3572" s="51">
        <v>42855</v>
      </c>
      <c r="B3572" s="174" t="s">
        <v>15139</v>
      </c>
      <c r="C3572" s="175"/>
      <c r="D3572" s="176" t="s">
        <v>15139</v>
      </c>
      <c r="E3572" s="176">
        <v>110006</v>
      </c>
      <c r="F3572" s="177" t="s">
        <v>81</v>
      </c>
      <c r="G3572" s="178">
        <v>5544</v>
      </c>
      <c r="H3572" s="186">
        <v>42856</v>
      </c>
      <c r="I3572" s="187">
        <f t="shared" si="112"/>
        <v>5544</v>
      </c>
      <c r="J3572" s="178">
        <f t="shared" si="111"/>
        <v>0</v>
      </c>
    </row>
    <row r="3573" spans="1:10" x14ac:dyDescent="0.25">
      <c r="A3573" s="51">
        <v>42855</v>
      </c>
      <c r="B3573" s="174" t="s">
        <v>15140</v>
      </c>
      <c r="C3573" s="175"/>
      <c r="D3573" s="176" t="s">
        <v>15140</v>
      </c>
      <c r="E3573" s="176">
        <v>110007</v>
      </c>
      <c r="F3573" s="177" t="s">
        <v>71</v>
      </c>
      <c r="G3573" s="178">
        <v>1681.5</v>
      </c>
      <c r="H3573" s="186">
        <v>42856</v>
      </c>
      <c r="I3573" s="187">
        <f t="shared" si="112"/>
        <v>1681.5</v>
      </c>
      <c r="J3573" s="178">
        <f t="shared" si="111"/>
        <v>0</v>
      </c>
    </row>
    <row r="3574" spans="1:10" x14ac:dyDescent="0.25">
      <c r="A3574" s="51">
        <v>42855</v>
      </c>
      <c r="B3574" s="174" t="s">
        <v>15141</v>
      </c>
      <c r="C3574" s="175"/>
      <c r="D3574" s="176" t="s">
        <v>15141</v>
      </c>
      <c r="E3574" s="176">
        <v>110008</v>
      </c>
      <c r="F3574" s="177" t="s">
        <v>83</v>
      </c>
      <c r="G3574" s="178">
        <v>7059.9</v>
      </c>
      <c r="H3574" s="186">
        <v>42856</v>
      </c>
      <c r="I3574" s="187">
        <f t="shared" si="112"/>
        <v>7059.9</v>
      </c>
      <c r="J3574" s="178">
        <f t="shared" si="111"/>
        <v>0</v>
      </c>
    </row>
    <row r="3575" spans="1:10" x14ac:dyDescent="0.25">
      <c r="A3575" s="51">
        <v>42855</v>
      </c>
      <c r="B3575" s="174" t="s">
        <v>15142</v>
      </c>
      <c r="C3575" s="175"/>
      <c r="D3575" s="176" t="s">
        <v>15142</v>
      </c>
      <c r="E3575" s="176">
        <v>110009</v>
      </c>
      <c r="F3575" s="177" t="s">
        <v>281</v>
      </c>
      <c r="G3575" s="178">
        <v>1506</v>
      </c>
      <c r="H3575" s="186">
        <v>42856</v>
      </c>
      <c r="I3575" s="187">
        <f t="shared" si="112"/>
        <v>1506</v>
      </c>
      <c r="J3575" s="178">
        <f t="shared" si="111"/>
        <v>0</v>
      </c>
    </row>
    <row r="3576" spans="1:10" x14ac:dyDescent="0.25">
      <c r="A3576" s="51">
        <v>42855</v>
      </c>
      <c r="B3576" s="174" t="s">
        <v>15143</v>
      </c>
      <c r="C3576" s="175"/>
      <c r="D3576" s="176" t="s">
        <v>15143</v>
      </c>
      <c r="E3576" s="176">
        <v>110010</v>
      </c>
      <c r="F3576" s="177" t="s">
        <v>305</v>
      </c>
      <c r="G3576" s="178">
        <v>5084.55</v>
      </c>
      <c r="H3576" s="186">
        <v>42859</v>
      </c>
      <c r="I3576" s="187">
        <f t="shared" si="112"/>
        <v>5084.55</v>
      </c>
      <c r="J3576" s="178">
        <f t="shared" si="111"/>
        <v>0</v>
      </c>
    </row>
    <row r="3577" spans="1:10" x14ac:dyDescent="0.25">
      <c r="A3577" s="51">
        <v>42855</v>
      </c>
      <c r="B3577" s="174" t="s">
        <v>15144</v>
      </c>
      <c r="C3577" s="175"/>
      <c r="D3577" s="176" t="s">
        <v>15144</v>
      </c>
      <c r="E3577" s="176">
        <v>110011</v>
      </c>
      <c r="F3577" s="177" t="s">
        <v>159</v>
      </c>
      <c r="G3577" s="178">
        <v>4801.5</v>
      </c>
      <c r="H3577" s="186">
        <v>42856</v>
      </c>
      <c r="I3577" s="187">
        <f t="shared" si="112"/>
        <v>4801.5</v>
      </c>
      <c r="J3577" s="178">
        <f t="shared" si="111"/>
        <v>0</v>
      </c>
    </row>
    <row r="3578" spans="1:10" x14ac:dyDescent="0.25">
      <c r="A3578" s="51">
        <v>42855</v>
      </c>
      <c r="B3578" s="174" t="s">
        <v>15145</v>
      </c>
      <c r="C3578" s="175"/>
      <c r="D3578" s="176" t="s">
        <v>15145</v>
      </c>
      <c r="E3578" s="176">
        <v>110012</v>
      </c>
      <c r="F3578" s="177" t="s">
        <v>12879</v>
      </c>
      <c r="G3578" s="178">
        <v>1438.2</v>
      </c>
      <c r="H3578" s="184">
        <v>42855</v>
      </c>
      <c r="I3578" s="183">
        <f t="shared" si="112"/>
        <v>1438.2</v>
      </c>
      <c r="J3578" s="178">
        <f t="shared" si="111"/>
        <v>0</v>
      </c>
    </row>
    <row r="3579" spans="1:10" ht="15.75" x14ac:dyDescent="0.25">
      <c r="A3579" s="51">
        <v>42855</v>
      </c>
      <c r="B3579" s="174" t="s">
        <v>15146</v>
      </c>
      <c r="C3579" s="175"/>
      <c r="D3579" s="176" t="s">
        <v>15146</v>
      </c>
      <c r="E3579" s="176">
        <v>110013</v>
      </c>
      <c r="F3579" s="177" t="s">
        <v>57</v>
      </c>
      <c r="G3579" s="178">
        <v>0</v>
      </c>
      <c r="H3579" s="207" t="s">
        <v>95</v>
      </c>
      <c r="I3579" s="178">
        <f t="shared" si="112"/>
        <v>0</v>
      </c>
      <c r="J3579" s="178">
        <f t="shared" si="111"/>
        <v>0</v>
      </c>
    </row>
    <row r="3580" spans="1:10" x14ac:dyDescent="0.25">
      <c r="A3580" s="51">
        <v>42855</v>
      </c>
      <c r="B3580" s="174" t="s">
        <v>15147</v>
      </c>
      <c r="C3580" s="175"/>
      <c r="D3580" s="176" t="s">
        <v>15147</v>
      </c>
      <c r="E3580" s="176">
        <v>110014</v>
      </c>
      <c r="F3580" s="177" t="s">
        <v>57</v>
      </c>
      <c r="G3580" s="178">
        <v>552</v>
      </c>
      <c r="H3580" s="186">
        <v>42856</v>
      </c>
      <c r="I3580" s="187">
        <f t="shared" si="112"/>
        <v>552</v>
      </c>
      <c r="J3580" s="178">
        <f t="shared" si="111"/>
        <v>0</v>
      </c>
    </row>
    <row r="3581" spans="1:10" x14ac:dyDescent="0.25">
      <c r="A3581" s="51">
        <v>42855</v>
      </c>
      <c r="B3581" s="174" t="s">
        <v>15148</v>
      </c>
      <c r="C3581" s="175"/>
      <c r="D3581" s="176" t="s">
        <v>15148</v>
      </c>
      <c r="E3581" s="176">
        <v>110015</v>
      </c>
      <c r="F3581" s="177" t="s">
        <v>113</v>
      </c>
      <c r="G3581" s="178">
        <v>1150</v>
      </c>
      <c r="H3581" s="179"/>
      <c r="I3581" s="178">
        <f t="shared" si="112"/>
        <v>1150</v>
      </c>
      <c r="J3581" s="178">
        <f t="shared" si="111"/>
        <v>0</v>
      </c>
    </row>
    <row r="3582" spans="1:10" x14ac:dyDescent="0.25">
      <c r="A3582" s="51">
        <v>42855</v>
      </c>
      <c r="B3582" s="174" t="s">
        <v>15149</v>
      </c>
      <c r="C3582" s="175"/>
      <c r="D3582" s="176" t="s">
        <v>15149</v>
      </c>
      <c r="E3582" s="176">
        <v>110016</v>
      </c>
      <c r="F3582" s="177" t="s">
        <v>476</v>
      </c>
      <c r="G3582" s="178">
        <v>11872.3</v>
      </c>
      <c r="H3582" s="186">
        <v>42859</v>
      </c>
      <c r="I3582" s="187">
        <f t="shared" si="112"/>
        <v>11872.3</v>
      </c>
      <c r="J3582" s="178">
        <f t="shared" si="111"/>
        <v>0</v>
      </c>
    </row>
    <row r="3583" spans="1:10" x14ac:dyDescent="0.25">
      <c r="A3583" s="51">
        <v>42855</v>
      </c>
      <c r="B3583" s="174" t="s">
        <v>15150</v>
      </c>
      <c r="C3583" s="175"/>
      <c r="D3583" s="176" t="s">
        <v>15150</v>
      </c>
      <c r="E3583" s="176">
        <v>110017</v>
      </c>
      <c r="F3583" s="177" t="s">
        <v>866</v>
      </c>
      <c r="G3583" s="178">
        <v>1640.1</v>
      </c>
      <c r="H3583" s="184">
        <v>42855</v>
      </c>
      <c r="I3583" s="183">
        <f t="shared" si="112"/>
        <v>1640.1</v>
      </c>
      <c r="J3583" s="178">
        <f t="shared" si="111"/>
        <v>0</v>
      </c>
    </row>
    <row r="3584" spans="1:10" x14ac:dyDescent="0.25">
      <c r="A3584" s="51">
        <v>42855</v>
      </c>
      <c r="B3584" s="174" t="s">
        <v>15151</v>
      </c>
      <c r="C3584" s="175"/>
      <c r="D3584" s="176" t="s">
        <v>15151</v>
      </c>
      <c r="E3584" s="176">
        <v>110018</v>
      </c>
      <c r="F3584" s="177" t="s">
        <v>101</v>
      </c>
      <c r="G3584" s="178">
        <v>2012.4</v>
      </c>
      <c r="H3584" s="186">
        <v>42856</v>
      </c>
      <c r="I3584" s="187">
        <f t="shared" si="112"/>
        <v>2012.4</v>
      </c>
      <c r="J3584" s="178">
        <f t="shared" si="111"/>
        <v>0</v>
      </c>
    </row>
    <row r="3585" spans="1:10" x14ac:dyDescent="0.25">
      <c r="A3585" s="51">
        <v>42855</v>
      </c>
      <c r="B3585" s="174" t="s">
        <v>15152</v>
      </c>
      <c r="C3585" s="175"/>
      <c r="D3585" s="176" t="s">
        <v>15152</v>
      </c>
      <c r="E3585" s="176">
        <v>110019</v>
      </c>
      <c r="F3585" s="177" t="s">
        <v>149</v>
      </c>
      <c r="G3585" s="178">
        <v>1334.8</v>
      </c>
      <c r="H3585" s="184">
        <v>42855</v>
      </c>
      <c r="I3585" s="183">
        <f t="shared" si="112"/>
        <v>1334.8</v>
      </c>
      <c r="J3585" s="178">
        <f t="shared" si="111"/>
        <v>0</v>
      </c>
    </row>
    <row r="3586" spans="1:10" x14ac:dyDescent="0.25">
      <c r="A3586" s="51">
        <v>42855</v>
      </c>
      <c r="B3586" s="174" t="s">
        <v>15153</v>
      </c>
      <c r="C3586" s="175"/>
      <c r="D3586" s="176" t="s">
        <v>15153</v>
      </c>
      <c r="E3586" s="176">
        <v>110020</v>
      </c>
      <c r="F3586" s="177" t="s">
        <v>291</v>
      </c>
      <c r="G3586" s="178">
        <v>2763.6</v>
      </c>
      <c r="H3586" s="186">
        <v>42856</v>
      </c>
      <c r="I3586" s="187">
        <f t="shared" si="112"/>
        <v>2763.6</v>
      </c>
      <c r="J3586" s="178">
        <f t="shared" si="111"/>
        <v>0</v>
      </c>
    </row>
    <row r="3587" spans="1:10" x14ac:dyDescent="0.25">
      <c r="A3587" s="51">
        <v>42855</v>
      </c>
      <c r="B3587" s="174" t="s">
        <v>15154</v>
      </c>
      <c r="C3587" s="175"/>
      <c r="D3587" s="176" t="s">
        <v>15154</v>
      </c>
      <c r="E3587" s="176">
        <v>110021</v>
      </c>
      <c r="F3587" s="177" t="s">
        <v>341</v>
      </c>
      <c r="G3587" s="178">
        <v>15058</v>
      </c>
      <c r="H3587" s="184">
        <v>42855</v>
      </c>
      <c r="I3587" s="183">
        <f t="shared" si="112"/>
        <v>15058</v>
      </c>
      <c r="J3587" s="178">
        <f t="shared" si="111"/>
        <v>0</v>
      </c>
    </row>
    <row r="3588" spans="1:10" x14ac:dyDescent="0.25">
      <c r="A3588" s="51">
        <v>42855</v>
      </c>
      <c r="B3588" s="174" t="s">
        <v>15155</v>
      </c>
      <c r="C3588" s="175"/>
      <c r="D3588" s="176" t="s">
        <v>15155</v>
      </c>
      <c r="E3588" s="176">
        <v>110022</v>
      </c>
      <c r="F3588" s="177" t="s">
        <v>109</v>
      </c>
      <c r="G3588" s="178">
        <v>4803.3999999999996</v>
      </c>
      <c r="H3588" s="186">
        <v>42856</v>
      </c>
      <c r="I3588" s="187">
        <f t="shared" si="112"/>
        <v>4803.3999999999996</v>
      </c>
      <c r="J3588" s="178">
        <f t="shared" ref="J3588:J3621" si="113">G3588-I3588</f>
        <v>0</v>
      </c>
    </row>
    <row r="3589" spans="1:10" x14ac:dyDescent="0.25">
      <c r="A3589" s="51">
        <v>42855</v>
      </c>
      <c r="B3589" s="174" t="s">
        <v>15156</v>
      </c>
      <c r="C3589" s="175"/>
      <c r="D3589" s="176" t="s">
        <v>15156</v>
      </c>
      <c r="E3589" s="176">
        <v>110023</v>
      </c>
      <c r="F3589" s="177" t="s">
        <v>1830</v>
      </c>
      <c r="G3589" s="178">
        <v>10237.35</v>
      </c>
      <c r="H3589" s="186">
        <v>42857</v>
      </c>
      <c r="I3589" s="187">
        <f t="shared" ref="I3589:I3617" si="114">G3589</f>
        <v>10237.35</v>
      </c>
      <c r="J3589" s="178">
        <f t="shared" si="113"/>
        <v>0</v>
      </c>
    </row>
    <row r="3590" spans="1:10" x14ac:dyDescent="0.25">
      <c r="A3590" s="51">
        <v>42855</v>
      </c>
      <c r="B3590" s="174" t="s">
        <v>15157</v>
      </c>
      <c r="C3590" s="175"/>
      <c r="D3590" s="176" t="s">
        <v>15157</v>
      </c>
      <c r="E3590" s="176">
        <v>110024</v>
      </c>
      <c r="F3590" s="177" t="s">
        <v>492</v>
      </c>
      <c r="G3590" s="178">
        <v>5490</v>
      </c>
      <c r="H3590" s="186">
        <v>42863</v>
      </c>
      <c r="I3590" s="187">
        <f t="shared" si="114"/>
        <v>5490</v>
      </c>
      <c r="J3590" s="178">
        <f t="shared" si="113"/>
        <v>0</v>
      </c>
    </row>
    <row r="3591" spans="1:10" x14ac:dyDescent="0.25">
      <c r="A3591" s="51">
        <v>42855</v>
      </c>
      <c r="B3591" s="174" t="s">
        <v>15158</v>
      </c>
      <c r="C3591" s="175"/>
      <c r="D3591" s="176" t="s">
        <v>15158</v>
      </c>
      <c r="E3591" s="176">
        <v>110025</v>
      </c>
      <c r="F3591" s="177" t="s">
        <v>1259</v>
      </c>
      <c r="G3591" s="178">
        <v>3276</v>
      </c>
      <c r="H3591" s="186">
        <v>42856</v>
      </c>
      <c r="I3591" s="187">
        <f t="shared" si="114"/>
        <v>3276</v>
      </c>
      <c r="J3591" s="178">
        <f t="shared" si="113"/>
        <v>0</v>
      </c>
    </row>
    <row r="3592" spans="1:10" x14ac:dyDescent="0.25">
      <c r="A3592" s="51">
        <v>42855</v>
      </c>
      <c r="B3592" s="174" t="s">
        <v>15159</v>
      </c>
      <c r="C3592" s="175"/>
      <c r="D3592" s="176" t="s">
        <v>15159</v>
      </c>
      <c r="E3592" s="176">
        <v>110026</v>
      </c>
      <c r="F3592" s="177" t="s">
        <v>470</v>
      </c>
      <c r="G3592" s="178">
        <v>9456.4</v>
      </c>
      <c r="H3592" s="186">
        <v>42857</v>
      </c>
      <c r="I3592" s="187">
        <f t="shared" si="114"/>
        <v>9456.4</v>
      </c>
      <c r="J3592" s="178">
        <f t="shared" si="113"/>
        <v>0</v>
      </c>
    </row>
    <row r="3593" spans="1:10" x14ac:dyDescent="0.25">
      <c r="A3593" s="51">
        <v>42855</v>
      </c>
      <c r="B3593" s="174" t="s">
        <v>15160</v>
      </c>
      <c r="C3593" s="175"/>
      <c r="D3593" s="176" t="s">
        <v>15160</v>
      </c>
      <c r="E3593" s="176">
        <v>110027</v>
      </c>
      <c r="F3593" s="177" t="s">
        <v>125</v>
      </c>
      <c r="G3593" s="178">
        <v>12182.4</v>
      </c>
      <c r="H3593" s="186">
        <v>42857</v>
      </c>
      <c r="I3593" s="187">
        <f t="shared" si="114"/>
        <v>12182.4</v>
      </c>
      <c r="J3593" s="178">
        <f t="shared" si="113"/>
        <v>0</v>
      </c>
    </row>
    <row r="3594" spans="1:10" x14ac:dyDescent="0.25">
      <c r="A3594" s="51">
        <v>42855</v>
      </c>
      <c r="B3594" s="174" t="s">
        <v>15161</v>
      </c>
      <c r="C3594" s="175"/>
      <c r="D3594" s="176" t="s">
        <v>15161</v>
      </c>
      <c r="E3594" s="176">
        <v>110028</v>
      </c>
      <c r="F3594" s="177" t="s">
        <v>30</v>
      </c>
      <c r="G3594" s="178">
        <v>3074.5</v>
      </c>
      <c r="H3594" s="184">
        <v>42855</v>
      </c>
      <c r="I3594" s="183">
        <f t="shared" si="114"/>
        <v>3074.5</v>
      </c>
      <c r="J3594" s="178">
        <f t="shared" si="113"/>
        <v>0</v>
      </c>
    </row>
    <row r="3595" spans="1:10" x14ac:dyDescent="0.25">
      <c r="A3595" s="51">
        <v>42855</v>
      </c>
      <c r="B3595" s="174" t="s">
        <v>15162</v>
      </c>
      <c r="C3595" s="175"/>
      <c r="D3595" s="176" t="s">
        <v>15162</v>
      </c>
      <c r="E3595" s="176">
        <v>110029</v>
      </c>
      <c r="F3595" s="177" t="s">
        <v>358</v>
      </c>
      <c r="G3595" s="178">
        <v>33513.550000000003</v>
      </c>
      <c r="H3595" s="186">
        <v>42856</v>
      </c>
      <c r="I3595" s="187">
        <f t="shared" si="114"/>
        <v>33513.550000000003</v>
      </c>
      <c r="J3595" s="178">
        <f t="shared" si="113"/>
        <v>0</v>
      </c>
    </row>
    <row r="3596" spans="1:10" x14ac:dyDescent="0.25">
      <c r="A3596" s="51">
        <v>42855</v>
      </c>
      <c r="B3596" s="174" t="s">
        <v>15163</v>
      </c>
      <c r="C3596" s="175"/>
      <c r="D3596" s="176" t="s">
        <v>15163</v>
      </c>
      <c r="E3596" s="176">
        <v>110030</v>
      </c>
      <c r="F3596" s="177" t="s">
        <v>30</v>
      </c>
      <c r="G3596" s="178">
        <v>423</v>
      </c>
      <c r="H3596" s="186">
        <v>42856</v>
      </c>
      <c r="I3596" s="187">
        <f t="shared" si="114"/>
        <v>423</v>
      </c>
      <c r="J3596" s="178">
        <f t="shared" si="113"/>
        <v>0</v>
      </c>
    </row>
    <row r="3597" spans="1:10" x14ac:dyDescent="0.25">
      <c r="A3597" s="51">
        <v>42855</v>
      </c>
      <c r="B3597" s="174" t="s">
        <v>15164</v>
      </c>
      <c r="C3597" s="175"/>
      <c r="D3597" s="176" t="s">
        <v>15164</v>
      </c>
      <c r="E3597" s="176">
        <v>110031</v>
      </c>
      <c r="F3597" s="177" t="s">
        <v>480</v>
      </c>
      <c r="G3597" s="178">
        <v>3411.32</v>
      </c>
      <c r="H3597" s="186">
        <v>42856</v>
      </c>
      <c r="I3597" s="187">
        <f t="shared" si="114"/>
        <v>3411.32</v>
      </c>
      <c r="J3597" s="178">
        <f t="shared" si="113"/>
        <v>0</v>
      </c>
    </row>
    <row r="3598" spans="1:10" ht="15.75" x14ac:dyDescent="0.25">
      <c r="A3598" s="51">
        <v>42855</v>
      </c>
      <c r="B3598" s="174" t="s">
        <v>15165</v>
      </c>
      <c r="C3598" s="175"/>
      <c r="D3598" s="176" t="s">
        <v>15165</v>
      </c>
      <c r="E3598" s="176">
        <v>110032</v>
      </c>
      <c r="F3598" s="177" t="s">
        <v>53</v>
      </c>
      <c r="G3598" s="178">
        <v>0</v>
      </c>
      <c r="H3598" s="207" t="s">
        <v>95</v>
      </c>
      <c r="I3598" s="178">
        <f t="shared" si="114"/>
        <v>0</v>
      </c>
      <c r="J3598" s="178">
        <f t="shared" si="113"/>
        <v>0</v>
      </c>
    </row>
    <row r="3599" spans="1:10" x14ac:dyDescent="0.25">
      <c r="A3599" s="51">
        <v>42855</v>
      </c>
      <c r="B3599" s="174" t="s">
        <v>15166</v>
      </c>
      <c r="C3599" s="175"/>
      <c r="D3599" s="176" t="s">
        <v>15166</v>
      </c>
      <c r="E3599" s="176">
        <v>110033</v>
      </c>
      <c r="F3599" s="177" t="s">
        <v>319</v>
      </c>
      <c r="G3599" s="178">
        <v>2962.4</v>
      </c>
      <c r="H3599" s="186">
        <v>42856</v>
      </c>
      <c r="I3599" s="187">
        <f t="shared" si="114"/>
        <v>2962.4</v>
      </c>
      <c r="J3599" s="178">
        <f t="shared" si="113"/>
        <v>0</v>
      </c>
    </row>
    <row r="3600" spans="1:10" x14ac:dyDescent="0.25">
      <c r="A3600" s="51">
        <v>42855</v>
      </c>
      <c r="B3600" s="174" t="s">
        <v>15167</v>
      </c>
      <c r="C3600" s="175"/>
      <c r="D3600" s="176" t="s">
        <v>15167</v>
      </c>
      <c r="E3600" s="176">
        <v>110034</v>
      </c>
      <c r="F3600" s="177" t="s">
        <v>53</v>
      </c>
      <c r="G3600" s="178">
        <v>2679.6</v>
      </c>
      <c r="H3600" s="186">
        <v>42856</v>
      </c>
      <c r="I3600" s="187">
        <f t="shared" si="114"/>
        <v>2679.6</v>
      </c>
      <c r="J3600" s="178">
        <f t="shared" si="113"/>
        <v>0</v>
      </c>
    </row>
    <row r="3601" spans="1:10" x14ac:dyDescent="0.25">
      <c r="A3601" s="51">
        <v>42855</v>
      </c>
      <c r="B3601" s="174" t="s">
        <v>15168</v>
      </c>
      <c r="C3601" s="175"/>
      <c r="D3601" s="176" t="s">
        <v>15168</v>
      </c>
      <c r="E3601" s="176">
        <v>110035</v>
      </c>
      <c r="F3601" s="177" t="s">
        <v>1267</v>
      </c>
      <c r="G3601" s="178">
        <v>2100</v>
      </c>
      <c r="H3601" s="186">
        <v>42856</v>
      </c>
      <c r="I3601" s="187">
        <f t="shared" si="114"/>
        <v>2100</v>
      </c>
      <c r="J3601" s="178">
        <f t="shared" si="113"/>
        <v>0</v>
      </c>
    </row>
    <row r="3602" spans="1:10" x14ac:dyDescent="0.25">
      <c r="A3602" s="51">
        <v>42855</v>
      </c>
      <c r="B3602" s="174" t="s">
        <v>15169</v>
      </c>
      <c r="C3602" s="175"/>
      <c r="D3602" s="176" t="s">
        <v>15169</v>
      </c>
      <c r="E3602" s="176">
        <v>110036</v>
      </c>
      <c r="F3602" s="177" t="s">
        <v>14</v>
      </c>
      <c r="G3602" s="178">
        <v>20009</v>
      </c>
      <c r="H3602" s="184">
        <v>42855</v>
      </c>
      <c r="I3602" s="183">
        <f t="shared" si="114"/>
        <v>20009</v>
      </c>
      <c r="J3602" s="178">
        <f t="shared" si="113"/>
        <v>0</v>
      </c>
    </row>
    <row r="3603" spans="1:10" x14ac:dyDescent="0.25">
      <c r="A3603" s="51">
        <v>42855</v>
      </c>
      <c r="B3603" s="174" t="s">
        <v>15170</v>
      </c>
      <c r="C3603" s="175"/>
      <c r="D3603" s="176" t="s">
        <v>15170</v>
      </c>
      <c r="E3603" s="176">
        <v>110037</v>
      </c>
      <c r="F3603" s="177" t="s">
        <v>30</v>
      </c>
      <c r="G3603" s="178">
        <v>380.7</v>
      </c>
      <c r="H3603" s="184">
        <v>42855</v>
      </c>
      <c r="I3603" s="183">
        <f t="shared" si="114"/>
        <v>380.7</v>
      </c>
      <c r="J3603" s="178">
        <f t="shared" si="113"/>
        <v>0</v>
      </c>
    </row>
    <row r="3604" spans="1:10" x14ac:dyDescent="0.25">
      <c r="A3604" s="51">
        <v>42855</v>
      </c>
      <c r="B3604" s="174" t="s">
        <v>15171</v>
      </c>
      <c r="C3604" s="175"/>
      <c r="D3604" s="176" t="s">
        <v>15171</v>
      </c>
      <c r="E3604" s="176">
        <v>110038</v>
      </c>
      <c r="F3604" s="177" t="s">
        <v>10</v>
      </c>
      <c r="G3604" s="178">
        <v>1008</v>
      </c>
      <c r="H3604" s="186">
        <v>42860</v>
      </c>
      <c r="I3604" s="187">
        <f t="shared" si="114"/>
        <v>1008</v>
      </c>
      <c r="J3604" s="178">
        <f t="shared" si="113"/>
        <v>0</v>
      </c>
    </row>
    <row r="3605" spans="1:10" x14ac:dyDescent="0.25">
      <c r="A3605" s="51">
        <v>42855</v>
      </c>
      <c r="B3605" s="174" t="s">
        <v>15172</v>
      </c>
      <c r="C3605" s="175"/>
      <c r="D3605" s="176" t="s">
        <v>15172</v>
      </c>
      <c r="E3605" s="176">
        <v>110039</v>
      </c>
      <c r="F3605" s="177" t="s">
        <v>231</v>
      </c>
      <c r="G3605" s="178">
        <v>3978</v>
      </c>
      <c r="H3605" s="186">
        <v>42856</v>
      </c>
      <c r="I3605" s="187">
        <f t="shared" si="114"/>
        <v>3978</v>
      </c>
      <c r="J3605" s="178">
        <f t="shared" si="113"/>
        <v>0</v>
      </c>
    </row>
    <row r="3606" spans="1:10" x14ac:dyDescent="0.25">
      <c r="A3606" s="51">
        <v>42855</v>
      </c>
      <c r="B3606" s="174" t="s">
        <v>15173</v>
      </c>
      <c r="C3606" s="175"/>
      <c r="D3606" s="176" t="s">
        <v>15173</v>
      </c>
      <c r="E3606" s="176">
        <v>110040</v>
      </c>
      <c r="F3606" s="177" t="s">
        <v>10</v>
      </c>
      <c r="G3606" s="178">
        <v>44932.25</v>
      </c>
      <c r="H3606" s="186">
        <v>42859</v>
      </c>
      <c r="I3606" s="187">
        <f t="shared" si="114"/>
        <v>44932.25</v>
      </c>
      <c r="J3606" s="178">
        <f t="shared" si="113"/>
        <v>0</v>
      </c>
    </row>
    <row r="3607" spans="1:10" x14ac:dyDescent="0.25">
      <c r="A3607" s="51">
        <v>42855</v>
      </c>
      <c r="B3607" s="174" t="s">
        <v>15174</v>
      </c>
      <c r="C3607" s="175"/>
      <c r="D3607" s="176" t="s">
        <v>15174</v>
      </c>
      <c r="E3607" s="176">
        <v>110041</v>
      </c>
      <c r="F3607" s="177" t="s">
        <v>30</v>
      </c>
      <c r="G3607" s="178">
        <v>717.6</v>
      </c>
      <c r="H3607" s="184">
        <v>42855</v>
      </c>
      <c r="I3607" s="183">
        <f t="shared" si="114"/>
        <v>717.6</v>
      </c>
      <c r="J3607" s="178">
        <f t="shared" si="113"/>
        <v>0</v>
      </c>
    </row>
    <row r="3608" spans="1:10" x14ac:dyDescent="0.25">
      <c r="A3608" s="51">
        <v>42855</v>
      </c>
      <c r="B3608" s="174" t="s">
        <v>15175</v>
      </c>
      <c r="C3608" s="175"/>
      <c r="D3608" s="176" t="s">
        <v>15175</v>
      </c>
      <c r="E3608" s="176">
        <v>110042</v>
      </c>
      <c r="F3608" s="177" t="s">
        <v>352</v>
      </c>
      <c r="G3608" s="178">
        <v>1322</v>
      </c>
      <c r="H3608" s="184">
        <v>42855</v>
      </c>
      <c r="I3608" s="183">
        <f t="shared" si="114"/>
        <v>1322</v>
      </c>
      <c r="J3608" s="178">
        <f t="shared" si="113"/>
        <v>0</v>
      </c>
    </row>
    <row r="3609" spans="1:10" x14ac:dyDescent="0.25">
      <c r="A3609" s="51">
        <v>42855</v>
      </c>
      <c r="B3609" s="174" t="s">
        <v>15176</v>
      </c>
      <c r="C3609" s="175"/>
      <c r="D3609" s="176" t="s">
        <v>15176</v>
      </c>
      <c r="E3609" s="176">
        <v>110043</v>
      </c>
      <c r="F3609" s="177" t="s">
        <v>205</v>
      </c>
      <c r="G3609" s="178">
        <v>4235.3</v>
      </c>
      <c r="H3609" s="186">
        <v>42856</v>
      </c>
      <c r="I3609" s="187">
        <f t="shared" si="114"/>
        <v>4235.3</v>
      </c>
      <c r="J3609" s="178">
        <f t="shared" si="113"/>
        <v>0</v>
      </c>
    </row>
    <row r="3610" spans="1:10" x14ac:dyDescent="0.25">
      <c r="A3610" s="51">
        <v>42855</v>
      </c>
      <c r="B3610" s="174" t="s">
        <v>15177</v>
      </c>
      <c r="C3610" s="175"/>
      <c r="D3610" s="176" t="s">
        <v>15177</v>
      </c>
      <c r="E3610" s="176">
        <v>110044</v>
      </c>
      <c r="F3610" s="177" t="s">
        <v>1141</v>
      </c>
      <c r="G3610" s="178">
        <v>552</v>
      </c>
      <c r="H3610" s="184">
        <v>42855</v>
      </c>
      <c r="I3610" s="183">
        <f t="shared" si="114"/>
        <v>552</v>
      </c>
      <c r="J3610" s="178">
        <f t="shared" si="113"/>
        <v>0</v>
      </c>
    </row>
    <row r="3611" spans="1:10" x14ac:dyDescent="0.25">
      <c r="A3611" s="51">
        <v>42855</v>
      </c>
      <c r="B3611" s="174" t="s">
        <v>15178</v>
      </c>
      <c r="C3611" s="175"/>
      <c r="D3611" s="176" t="s">
        <v>15178</v>
      </c>
      <c r="E3611" s="176">
        <v>110045</v>
      </c>
      <c r="F3611" s="177" t="s">
        <v>1141</v>
      </c>
      <c r="G3611" s="178">
        <v>132</v>
      </c>
      <c r="H3611" s="184">
        <v>42855</v>
      </c>
      <c r="I3611" s="183">
        <f t="shared" si="114"/>
        <v>132</v>
      </c>
      <c r="J3611" s="178">
        <f t="shared" si="113"/>
        <v>0</v>
      </c>
    </row>
    <row r="3612" spans="1:10" x14ac:dyDescent="0.25">
      <c r="A3612" s="51">
        <v>42855</v>
      </c>
      <c r="B3612" s="174" t="s">
        <v>15179</v>
      </c>
      <c r="C3612" s="175"/>
      <c r="D3612" s="176" t="s">
        <v>15179</v>
      </c>
      <c r="E3612" s="176">
        <v>110046</v>
      </c>
      <c r="F3612" s="177" t="s">
        <v>10</v>
      </c>
      <c r="G3612" s="178">
        <v>12015.6</v>
      </c>
      <c r="H3612" s="186">
        <v>42859</v>
      </c>
      <c r="I3612" s="187">
        <f t="shared" si="114"/>
        <v>12015.6</v>
      </c>
      <c r="J3612" s="178">
        <f t="shared" si="113"/>
        <v>0</v>
      </c>
    </row>
    <row r="3613" spans="1:10" x14ac:dyDescent="0.25">
      <c r="A3613" s="51">
        <v>42855</v>
      </c>
      <c r="B3613" s="174" t="s">
        <v>15180</v>
      </c>
      <c r="C3613" s="175"/>
      <c r="D3613" s="176" t="s">
        <v>15180</v>
      </c>
      <c r="E3613" s="176">
        <v>110047</v>
      </c>
      <c r="F3613" s="177" t="s">
        <v>47</v>
      </c>
      <c r="G3613" s="178">
        <v>1411.8</v>
      </c>
      <c r="H3613" s="184">
        <v>42855</v>
      </c>
      <c r="I3613" s="183">
        <f t="shared" si="114"/>
        <v>1411.8</v>
      </c>
      <c r="J3613" s="178">
        <f t="shared" si="113"/>
        <v>0</v>
      </c>
    </row>
    <row r="3614" spans="1:10" x14ac:dyDescent="0.25">
      <c r="A3614" s="51">
        <v>42855</v>
      </c>
      <c r="B3614" s="174" t="s">
        <v>15181</v>
      </c>
      <c r="C3614" s="175"/>
      <c r="D3614" s="176" t="s">
        <v>15181</v>
      </c>
      <c r="E3614" s="176">
        <v>110048</v>
      </c>
      <c r="F3614" s="177" t="s">
        <v>509</v>
      </c>
      <c r="G3614" s="178">
        <v>21091.599999999999</v>
      </c>
      <c r="H3614" s="186">
        <v>42861</v>
      </c>
      <c r="I3614" s="187">
        <f t="shared" si="114"/>
        <v>21091.599999999999</v>
      </c>
      <c r="J3614" s="178">
        <f t="shared" si="113"/>
        <v>0</v>
      </c>
    </row>
    <row r="3615" spans="1:10" x14ac:dyDescent="0.25">
      <c r="A3615" s="51">
        <v>42855</v>
      </c>
      <c r="B3615" s="174" t="s">
        <v>15182</v>
      </c>
      <c r="C3615" s="175"/>
      <c r="D3615" s="176" t="s">
        <v>15182</v>
      </c>
      <c r="E3615" s="176">
        <v>110049</v>
      </c>
      <c r="F3615" s="177" t="s">
        <v>422</v>
      </c>
      <c r="G3615" s="178">
        <v>862.4</v>
      </c>
      <c r="H3615" s="184">
        <v>42855</v>
      </c>
      <c r="I3615" s="183">
        <f t="shared" si="114"/>
        <v>862.4</v>
      </c>
      <c r="J3615" s="178">
        <f t="shared" si="113"/>
        <v>0</v>
      </c>
    </row>
    <row r="3616" spans="1:10" x14ac:dyDescent="0.25">
      <c r="A3616" s="51">
        <v>42855</v>
      </c>
      <c r="B3616" s="174" t="s">
        <v>15183</v>
      </c>
      <c r="C3616" s="175"/>
      <c r="D3616" s="176" t="s">
        <v>15183</v>
      </c>
      <c r="E3616" s="176">
        <v>110050</v>
      </c>
      <c r="F3616" s="177" t="s">
        <v>531</v>
      </c>
      <c r="G3616" s="178">
        <v>35966.199999999997</v>
      </c>
      <c r="H3616" s="186">
        <v>42856</v>
      </c>
      <c r="I3616" s="187">
        <f t="shared" si="114"/>
        <v>35966.199999999997</v>
      </c>
      <c r="J3616" s="178">
        <f t="shared" si="113"/>
        <v>0</v>
      </c>
    </row>
    <row r="3617" spans="1:10" x14ac:dyDescent="0.25">
      <c r="A3617" s="51">
        <v>42855</v>
      </c>
      <c r="B3617" s="174" t="s">
        <v>15184</v>
      </c>
      <c r="C3617" s="175"/>
      <c r="D3617" s="176" t="s">
        <v>15184</v>
      </c>
      <c r="E3617" s="176">
        <v>110051</v>
      </c>
      <c r="F3617" s="177" t="s">
        <v>220</v>
      </c>
      <c r="G3617" s="178">
        <v>1223.5999999999999</v>
      </c>
      <c r="H3617" s="186">
        <v>42856</v>
      </c>
      <c r="I3617" s="187">
        <f t="shared" si="114"/>
        <v>1223.5999999999999</v>
      </c>
      <c r="J3617" s="178">
        <f t="shared" si="113"/>
        <v>0</v>
      </c>
    </row>
    <row r="3618" spans="1:10" ht="15.75" x14ac:dyDescent="0.25">
      <c r="D3618" s="52"/>
      <c r="E3618" s="18"/>
      <c r="J3618" s="15">
        <f t="shared" si="113"/>
        <v>0</v>
      </c>
    </row>
    <row r="3619" spans="1:10" x14ac:dyDescent="0.25">
      <c r="A3619" s="70"/>
      <c r="B3619" s="70"/>
      <c r="C3619" s="70"/>
      <c r="D3619" s="17"/>
      <c r="E3619" s="71"/>
      <c r="F3619"/>
      <c r="J3619" s="15">
        <f t="shared" si="113"/>
        <v>0</v>
      </c>
    </row>
    <row r="3620" spans="1:10" x14ac:dyDescent="0.25">
      <c r="D3620" s="17"/>
      <c r="E3620" s="18"/>
      <c r="J3620" s="15">
        <f t="shared" si="113"/>
        <v>0</v>
      </c>
    </row>
    <row r="3621" spans="1:10" ht="15.75" thickBot="1" x14ac:dyDescent="0.3">
      <c r="D3621" s="17"/>
      <c r="E3621" s="18"/>
      <c r="J3621" s="15">
        <f t="shared" si="113"/>
        <v>0</v>
      </c>
    </row>
    <row r="3622" spans="1:10" ht="30.75" customHeight="1" thickBot="1" x14ac:dyDescent="0.4">
      <c r="F3622" s="30" t="s">
        <v>4166</v>
      </c>
      <c r="G3622" s="31">
        <f>SUM(G6:G3621)</f>
        <v>48043755.640000023</v>
      </c>
      <c r="H3622" s="118"/>
      <c r="I3622" s="73">
        <f>SUM(I6:I3621)</f>
        <v>48044755.640000023</v>
      </c>
      <c r="J3622" s="73">
        <f>SUM(J6:J3621)</f>
        <v>-1000</v>
      </c>
    </row>
    <row r="3625" spans="1:10" x14ac:dyDescent="0.25">
      <c r="H3625" s="117">
        <v>1</v>
      </c>
    </row>
    <row r="3627" spans="1:10" ht="15.75" thickBot="1" x14ac:dyDescent="0.3"/>
    <row r="3628" spans="1:10" ht="15" customHeight="1" x14ac:dyDescent="0.25">
      <c r="G3628" s="432" t="s">
        <v>11494</v>
      </c>
      <c r="H3628" s="439">
        <f>G3622-I3622</f>
        <v>-1000</v>
      </c>
      <c r="I3628" s="435"/>
    </row>
    <row r="3629" spans="1:10" ht="15.75" customHeight="1" thickBot="1" x14ac:dyDescent="0.3">
      <c r="F3629" s="119"/>
      <c r="G3629" s="433"/>
      <c r="H3629" s="440"/>
      <c r="I3629" s="437"/>
    </row>
  </sheetData>
  <mergeCells count="3">
    <mergeCell ref="A1:I1"/>
    <mergeCell ref="G3628:G3629"/>
    <mergeCell ref="H3628:I3629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6600"/>
  </sheetPr>
  <dimension ref="A1:L4064"/>
  <sheetViews>
    <sheetView workbookViewId="0">
      <pane xSplit="2" ySplit="2" topLeftCell="E4052" activePane="bottomRight" state="frozen"/>
      <selection pane="topRight" activeCell="C1" sqref="C1"/>
      <selection pane="bottomLeft" activeCell="A3" sqref="A3"/>
      <selection pane="bottomRight" activeCell="F1471" sqref="F1471"/>
    </sheetView>
  </sheetViews>
  <sheetFormatPr baseColWidth="10" defaultRowHeight="15" x14ac:dyDescent="0.25"/>
  <cols>
    <col min="1" max="1" width="14.85546875" style="51" customWidth="1"/>
    <col min="2" max="2" width="12.28515625" style="72" customWidth="1"/>
    <col min="3" max="3" width="16" style="72" customWidth="1"/>
    <col min="4" max="4" width="59.85546875" style="2" bestFit="1" customWidth="1"/>
    <col min="5" max="5" width="21" style="15" bestFit="1" customWidth="1"/>
    <col min="6" max="6" width="24.42578125" style="51" customWidth="1"/>
    <col min="7" max="7" width="19.5703125" style="15" customWidth="1"/>
    <col min="8" max="8" width="15.28515625" style="15" customWidth="1"/>
    <col min="9" max="9" width="11.42578125" style="2"/>
    <col min="10" max="10" width="14.140625" style="2" bestFit="1" customWidth="1"/>
    <col min="11" max="16384" width="11.42578125" style="2"/>
  </cols>
  <sheetData>
    <row r="1" spans="1:9" ht="37.5" customHeight="1" x14ac:dyDescent="0.4">
      <c r="A1" s="431" t="s">
        <v>15211</v>
      </c>
      <c r="B1" s="431"/>
      <c r="C1" s="431"/>
      <c r="D1" s="431"/>
      <c r="E1" s="431"/>
      <c r="F1" s="431"/>
      <c r="G1" s="431"/>
      <c r="H1" s="43"/>
    </row>
    <row r="2" spans="1:9" ht="31.5" customHeight="1" x14ac:dyDescent="0.3">
      <c r="A2" s="111" t="s">
        <v>1</v>
      </c>
      <c r="B2" s="112" t="s">
        <v>2</v>
      </c>
      <c r="C2" s="112" t="s">
        <v>3</v>
      </c>
      <c r="D2" s="113" t="s">
        <v>7771</v>
      </c>
      <c r="E2" s="114" t="s">
        <v>5</v>
      </c>
      <c r="F2" s="134" t="s">
        <v>6</v>
      </c>
      <c r="G2" s="115" t="str">
        <f t="shared" ref="G2" si="0">E2</f>
        <v>IMPORTE</v>
      </c>
      <c r="H2" s="116" t="s">
        <v>7</v>
      </c>
    </row>
    <row r="3" spans="1:9" x14ac:dyDescent="0.25">
      <c r="A3" s="135">
        <v>42856</v>
      </c>
      <c r="B3" s="136" t="s">
        <v>15212</v>
      </c>
      <c r="C3" s="137">
        <v>110052</v>
      </c>
      <c r="D3" s="136" t="s">
        <v>15213</v>
      </c>
      <c r="E3" s="138">
        <v>6385.15</v>
      </c>
      <c r="F3" s="139">
        <v>42857</v>
      </c>
      <c r="G3" s="140">
        <v>6385.15</v>
      </c>
      <c r="H3" s="138">
        <f>E3-G3</f>
        <v>0</v>
      </c>
      <c r="I3" s="141" t="s">
        <v>15214</v>
      </c>
    </row>
    <row r="4" spans="1:9" x14ac:dyDescent="0.25">
      <c r="A4" s="135">
        <v>42856</v>
      </c>
      <c r="B4" s="142" t="s">
        <v>15215</v>
      </c>
      <c r="C4" s="143">
        <v>110053</v>
      </c>
      <c r="D4" s="142" t="s">
        <v>15216</v>
      </c>
      <c r="E4" s="144">
        <v>2724.4</v>
      </c>
      <c r="F4" s="145">
        <v>42856</v>
      </c>
      <c r="G4" s="146">
        <v>2724.4</v>
      </c>
      <c r="H4" s="138">
        <f t="shared" ref="H4:H67" si="1">E4-G4</f>
        <v>0</v>
      </c>
      <c r="I4" s="147" t="s">
        <v>15214</v>
      </c>
    </row>
    <row r="5" spans="1:9" x14ac:dyDescent="0.25">
      <c r="A5" s="135">
        <v>42856</v>
      </c>
      <c r="B5" s="136" t="s">
        <v>15217</v>
      </c>
      <c r="C5" s="137">
        <v>110054</v>
      </c>
      <c r="D5" s="136" t="s">
        <v>15213</v>
      </c>
      <c r="E5" s="138">
        <v>41347.699999999997</v>
      </c>
      <c r="F5" s="139" t="s">
        <v>15218</v>
      </c>
      <c r="G5" s="140">
        <f>34350+6997.7</f>
        <v>41347.699999999997</v>
      </c>
      <c r="H5" s="144">
        <f t="shared" si="1"/>
        <v>0</v>
      </c>
      <c r="I5" s="141" t="s">
        <v>15214</v>
      </c>
    </row>
    <row r="6" spans="1:9" x14ac:dyDescent="0.25">
      <c r="A6" s="135">
        <v>42856</v>
      </c>
      <c r="B6" s="142" t="s">
        <v>15219</v>
      </c>
      <c r="C6" s="143">
        <v>110055</v>
      </c>
      <c r="D6" s="142" t="s">
        <v>15220</v>
      </c>
      <c r="E6" s="144">
        <v>2070</v>
      </c>
      <c r="F6" s="145">
        <v>42856</v>
      </c>
      <c r="G6" s="146">
        <v>2070</v>
      </c>
      <c r="H6" s="138">
        <f t="shared" si="1"/>
        <v>0</v>
      </c>
      <c r="I6" s="147" t="s">
        <v>15214</v>
      </c>
    </row>
    <row r="7" spans="1:9" x14ac:dyDescent="0.25">
      <c r="A7" s="135">
        <v>42856</v>
      </c>
      <c r="B7" s="136" t="s">
        <v>15221</v>
      </c>
      <c r="C7" s="137">
        <v>110056</v>
      </c>
      <c r="D7" s="136" t="s">
        <v>5556</v>
      </c>
      <c r="E7" s="138">
        <v>34053.25</v>
      </c>
      <c r="F7" s="139">
        <v>42877</v>
      </c>
      <c r="G7" s="140">
        <v>34053.25</v>
      </c>
      <c r="H7" s="138">
        <f t="shared" si="1"/>
        <v>0</v>
      </c>
      <c r="I7" s="141" t="s">
        <v>15214</v>
      </c>
    </row>
    <row r="8" spans="1:9" x14ac:dyDescent="0.25">
      <c r="A8" s="135">
        <v>42856</v>
      </c>
      <c r="B8" s="142" t="s">
        <v>15222</v>
      </c>
      <c r="C8" s="143">
        <v>110057</v>
      </c>
      <c r="D8" s="142" t="s">
        <v>15223</v>
      </c>
      <c r="E8" s="144">
        <v>44196.800000000003</v>
      </c>
      <c r="F8" s="148" t="s">
        <v>15224</v>
      </c>
      <c r="G8" s="149">
        <f>32839.3+11357.5</f>
        <v>44196.800000000003</v>
      </c>
      <c r="H8" s="138">
        <f t="shared" si="1"/>
        <v>0</v>
      </c>
      <c r="I8" s="147" t="s">
        <v>15214</v>
      </c>
    </row>
    <row r="9" spans="1:9" ht="15" customHeight="1" x14ac:dyDescent="0.25">
      <c r="A9" s="135">
        <v>42856</v>
      </c>
      <c r="B9" s="136" t="s">
        <v>15225</v>
      </c>
      <c r="C9" s="137">
        <v>110058</v>
      </c>
      <c r="D9" s="136" t="s">
        <v>15226</v>
      </c>
      <c r="E9" s="138">
        <v>1430.6</v>
      </c>
      <c r="F9" s="139">
        <v>42858</v>
      </c>
      <c r="G9" s="140">
        <v>1430.6</v>
      </c>
      <c r="H9" s="138">
        <f t="shared" si="1"/>
        <v>0</v>
      </c>
      <c r="I9" s="141" t="s">
        <v>15214</v>
      </c>
    </row>
    <row r="10" spans="1:9" ht="15" customHeight="1" x14ac:dyDescent="0.25">
      <c r="A10" s="135">
        <v>42856</v>
      </c>
      <c r="B10" s="142" t="s">
        <v>15227</v>
      </c>
      <c r="C10" s="143">
        <v>110059</v>
      </c>
      <c r="D10" s="142" t="s">
        <v>15228</v>
      </c>
      <c r="E10" s="144">
        <v>7236</v>
      </c>
      <c r="F10" s="145">
        <v>42856</v>
      </c>
      <c r="G10" s="146">
        <v>7236</v>
      </c>
      <c r="H10" s="138">
        <f t="shared" si="1"/>
        <v>0</v>
      </c>
      <c r="I10" s="147" t="s">
        <v>15214</v>
      </c>
    </row>
    <row r="11" spans="1:9" ht="15" customHeight="1" x14ac:dyDescent="0.25">
      <c r="A11" s="135">
        <v>42856</v>
      </c>
      <c r="B11" s="136" t="s">
        <v>15229</v>
      </c>
      <c r="C11" s="137">
        <v>110060</v>
      </c>
      <c r="D11" s="136" t="s">
        <v>15230</v>
      </c>
      <c r="E11" s="138">
        <v>11916</v>
      </c>
      <c r="F11" s="139">
        <v>42858</v>
      </c>
      <c r="G11" s="140">
        <v>11916</v>
      </c>
      <c r="H11" s="138">
        <f t="shared" si="1"/>
        <v>0</v>
      </c>
      <c r="I11" s="141" t="s">
        <v>15214</v>
      </c>
    </row>
    <row r="12" spans="1:9" ht="15" customHeight="1" x14ac:dyDescent="0.25">
      <c r="A12" s="135">
        <v>42856</v>
      </c>
      <c r="B12" s="142" t="s">
        <v>15231</v>
      </c>
      <c r="C12" s="143">
        <v>110061</v>
      </c>
      <c r="D12" s="142" t="s">
        <v>15232</v>
      </c>
      <c r="E12" s="144">
        <v>5820.8</v>
      </c>
      <c r="F12" s="145">
        <v>42861</v>
      </c>
      <c r="G12" s="146">
        <v>5820.8</v>
      </c>
      <c r="H12" s="138">
        <f t="shared" si="1"/>
        <v>0</v>
      </c>
      <c r="I12" s="147" t="s">
        <v>15214</v>
      </c>
    </row>
    <row r="13" spans="1:9" ht="15" customHeight="1" x14ac:dyDescent="0.25">
      <c r="A13" s="135">
        <v>42856</v>
      </c>
      <c r="B13" s="136" t="s">
        <v>15233</v>
      </c>
      <c r="C13" s="137">
        <v>110062</v>
      </c>
      <c r="D13" s="136" t="s">
        <v>15234</v>
      </c>
      <c r="E13" s="138">
        <v>3202.8</v>
      </c>
      <c r="F13" s="139">
        <v>42859</v>
      </c>
      <c r="G13" s="140">
        <v>3202.8</v>
      </c>
      <c r="H13" s="138">
        <f t="shared" si="1"/>
        <v>0</v>
      </c>
      <c r="I13" s="141" t="s">
        <v>15214</v>
      </c>
    </row>
    <row r="14" spans="1:9" ht="15" customHeight="1" x14ac:dyDescent="0.25">
      <c r="A14" s="135">
        <v>42856</v>
      </c>
      <c r="B14" s="142" t="s">
        <v>15235</v>
      </c>
      <c r="C14" s="143">
        <v>110063</v>
      </c>
      <c r="D14" s="142" t="s">
        <v>15236</v>
      </c>
      <c r="E14" s="144">
        <v>2958</v>
      </c>
      <c r="F14" s="145">
        <v>42858</v>
      </c>
      <c r="G14" s="146">
        <v>2958</v>
      </c>
      <c r="H14" s="138">
        <f t="shared" si="1"/>
        <v>0</v>
      </c>
      <c r="I14" s="147" t="s">
        <v>15214</v>
      </c>
    </row>
    <row r="15" spans="1:9" ht="15" customHeight="1" x14ac:dyDescent="0.25">
      <c r="A15" s="135">
        <v>42856</v>
      </c>
      <c r="B15" s="136" t="s">
        <v>15237</v>
      </c>
      <c r="C15" s="137">
        <v>110064</v>
      </c>
      <c r="D15" s="136" t="s">
        <v>15238</v>
      </c>
      <c r="E15" s="138">
        <v>7460.1</v>
      </c>
      <c r="F15" s="139">
        <v>42858</v>
      </c>
      <c r="G15" s="140">
        <v>7460.1</v>
      </c>
      <c r="H15" s="138">
        <f t="shared" si="1"/>
        <v>0</v>
      </c>
      <c r="I15" s="141" t="s">
        <v>15214</v>
      </c>
    </row>
    <row r="16" spans="1:9" ht="15" customHeight="1" x14ac:dyDescent="0.25">
      <c r="A16" s="135">
        <v>42856</v>
      </c>
      <c r="B16" s="142" t="s">
        <v>15239</v>
      </c>
      <c r="C16" s="143">
        <v>110065</v>
      </c>
      <c r="D16" s="142" t="s">
        <v>15240</v>
      </c>
      <c r="E16" s="144">
        <v>3537.4</v>
      </c>
      <c r="F16" s="145">
        <v>42857</v>
      </c>
      <c r="G16" s="146">
        <v>3537.4</v>
      </c>
      <c r="H16" s="138">
        <f t="shared" si="1"/>
        <v>0</v>
      </c>
      <c r="I16" s="147" t="s">
        <v>15214</v>
      </c>
    </row>
    <row r="17" spans="1:9" ht="15" customHeight="1" x14ac:dyDescent="0.25">
      <c r="A17" s="135">
        <v>42856</v>
      </c>
      <c r="B17" s="136" t="s">
        <v>15241</v>
      </c>
      <c r="C17" s="137">
        <v>110066</v>
      </c>
      <c r="D17" s="136" t="s">
        <v>15242</v>
      </c>
      <c r="E17" s="138">
        <v>8565.6</v>
      </c>
      <c r="F17" s="139">
        <v>42856</v>
      </c>
      <c r="G17" s="140">
        <v>8565.6</v>
      </c>
      <c r="H17" s="138">
        <f t="shared" si="1"/>
        <v>0</v>
      </c>
      <c r="I17" s="141" t="s">
        <v>15214</v>
      </c>
    </row>
    <row r="18" spans="1:9" ht="15" customHeight="1" x14ac:dyDescent="0.25">
      <c r="A18" s="135">
        <v>42856</v>
      </c>
      <c r="B18" s="142" t="s">
        <v>15243</v>
      </c>
      <c r="C18" s="143">
        <v>110067</v>
      </c>
      <c r="D18" s="142" t="s">
        <v>15244</v>
      </c>
      <c r="E18" s="144">
        <v>22219.599999999999</v>
      </c>
      <c r="F18" s="145">
        <v>42859</v>
      </c>
      <c r="G18" s="146">
        <v>22219.599999999999</v>
      </c>
      <c r="H18" s="138">
        <f t="shared" si="1"/>
        <v>0</v>
      </c>
      <c r="I18" s="147" t="s">
        <v>15214</v>
      </c>
    </row>
    <row r="19" spans="1:9" ht="15" customHeight="1" x14ac:dyDescent="0.25">
      <c r="A19" s="135">
        <v>42856</v>
      </c>
      <c r="B19" s="136" t="s">
        <v>15245</v>
      </c>
      <c r="C19" s="137">
        <v>110068</v>
      </c>
      <c r="D19" s="136" t="s">
        <v>15246</v>
      </c>
      <c r="E19" s="138">
        <v>871.2</v>
      </c>
      <c r="F19" s="139">
        <v>42859</v>
      </c>
      <c r="G19" s="140">
        <v>871.2</v>
      </c>
      <c r="H19" s="138">
        <f t="shared" si="1"/>
        <v>0</v>
      </c>
      <c r="I19" s="141" t="s">
        <v>15214</v>
      </c>
    </row>
    <row r="20" spans="1:9" ht="15" customHeight="1" x14ac:dyDescent="0.25">
      <c r="A20" s="135">
        <v>42856</v>
      </c>
      <c r="B20" s="142" t="s">
        <v>15247</v>
      </c>
      <c r="C20" s="143">
        <v>110069</v>
      </c>
      <c r="D20" s="142" t="s">
        <v>15248</v>
      </c>
      <c r="E20" s="144">
        <v>12760</v>
      </c>
      <c r="F20" s="145">
        <v>42856</v>
      </c>
      <c r="G20" s="146">
        <v>12760</v>
      </c>
      <c r="H20" s="138">
        <f t="shared" si="1"/>
        <v>0</v>
      </c>
      <c r="I20" s="147" t="s">
        <v>15214</v>
      </c>
    </row>
    <row r="21" spans="1:9" ht="15" customHeight="1" x14ac:dyDescent="0.25">
      <c r="A21" s="135">
        <v>42856</v>
      </c>
      <c r="B21" s="136" t="s">
        <v>15249</v>
      </c>
      <c r="C21" s="137">
        <v>110070</v>
      </c>
      <c r="D21" s="136" t="s">
        <v>15250</v>
      </c>
      <c r="E21" s="138">
        <v>41256.550000000003</v>
      </c>
      <c r="F21" s="139">
        <v>42868</v>
      </c>
      <c r="G21" s="140">
        <v>41256.550000000003</v>
      </c>
      <c r="H21" s="138">
        <f t="shared" si="1"/>
        <v>0</v>
      </c>
      <c r="I21" s="141" t="s">
        <v>15214</v>
      </c>
    </row>
    <row r="22" spans="1:9" ht="15" customHeight="1" x14ac:dyDescent="0.25">
      <c r="A22" s="135">
        <v>42856</v>
      </c>
      <c r="B22" s="142" t="s">
        <v>15251</v>
      </c>
      <c r="C22" s="143">
        <v>110071</v>
      </c>
      <c r="D22" s="142" t="s">
        <v>15252</v>
      </c>
      <c r="E22" s="144">
        <v>3383.75</v>
      </c>
      <c r="F22" s="145">
        <v>42859</v>
      </c>
      <c r="G22" s="146">
        <v>3383.75</v>
      </c>
      <c r="H22" s="138">
        <f t="shared" si="1"/>
        <v>0</v>
      </c>
      <c r="I22" s="147" t="s">
        <v>15214</v>
      </c>
    </row>
    <row r="23" spans="1:9" ht="15" customHeight="1" x14ac:dyDescent="0.25">
      <c r="A23" s="135">
        <v>42856</v>
      </c>
      <c r="B23" s="136" t="s">
        <v>15253</v>
      </c>
      <c r="C23" s="137">
        <v>110072</v>
      </c>
      <c r="D23" s="136" t="s">
        <v>15254</v>
      </c>
      <c r="E23" s="138">
        <v>6000</v>
      </c>
      <c r="F23" s="139">
        <v>42858</v>
      </c>
      <c r="G23" s="140">
        <v>6000</v>
      </c>
      <c r="H23" s="138">
        <f t="shared" si="1"/>
        <v>0</v>
      </c>
      <c r="I23" s="141" t="s">
        <v>15214</v>
      </c>
    </row>
    <row r="24" spans="1:9" ht="15" customHeight="1" x14ac:dyDescent="0.25">
      <c r="A24" s="135">
        <v>42856</v>
      </c>
      <c r="B24" s="142" t="s">
        <v>15255</v>
      </c>
      <c r="C24" s="143">
        <v>110073</v>
      </c>
      <c r="D24" s="142" t="s">
        <v>15256</v>
      </c>
      <c r="E24" s="144">
        <v>5900.3</v>
      </c>
      <c r="F24" s="145">
        <v>42858</v>
      </c>
      <c r="G24" s="146">
        <v>5900.3</v>
      </c>
      <c r="H24" s="138">
        <f t="shared" si="1"/>
        <v>0</v>
      </c>
      <c r="I24" s="147" t="s">
        <v>15214</v>
      </c>
    </row>
    <row r="25" spans="1:9" ht="30" x14ac:dyDescent="0.25">
      <c r="A25" s="135">
        <v>42856</v>
      </c>
      <c r="B25" s="136" t="s">
        <v>15257</v>
      </c>
      <c r="C25" s="137">
        <v>110074</v>
      </c>
      <c r="D25" s="136" t="s">
        <v>15258</v>
      </c>
      <c r="E25" s="138">
        <v>13759.8</v>
      </c>
      <c r="F25" s="150" t="s">
        <v>15259</v>
      </c>
      <c r="G25" s="140">
        <f>3000+6800+3959.8</f>
        <v>13759.8</v>
      </c>
      <c r="H25" s="144">
        <f t="shared" si="1"/>
        <v>0</v>
      </c>
      <c r="I25" s="141" t="s">
        <v>15214</v>
      </c>
    </row>
    <row r="26" spans="1:9" x14ac:dyDescent="0.25">
      <c r="A26" s="135">
        <v>42856</v>
      </c>
      <c r="B26" s="142" t="s">
        <v>15260</v>
      </c>
      <c r="C26" s="143">
        <v>110075</v>
      </c>
      <c r="D26" s="142" t="s">
        <v>15261</v>
      </c>
      <c r="E26" s="144">
        <v>12200.6</v>
      </c>
      <c r="F26" s="145">
        <v>42856</v>
      </c>
      <c r="G26" s="146">
        <v>12200.6</v>
      </c>
      <c r="H26" s="138">
        <f t="shared" si="1"/>
        <v>0</v>
      </c>
      <c r="I26" s="147" t="s">
        <v>15214</v>
      </c>
    </row>
    <row r="27" spans="1:9" x14ac:dyDescent="0.25">
      <c r="A27" s="135">
        <v>42856</v>
      </c>
      <c r="B27" s="136" t="s">
        <v>15262</v>
      </c>
      <c r="C27" s="137">
        <v>110076</v>
      </c>
      <c r="D27" s="136" t="s">
        <v>15263</v>
      </c>
      <c r="E27" s="138">
        <v>3790.6</v>
      </c>
      <c r="F27" s="139">
        <v>42856</v>
      </c>
      <c r="G27" s="140">
        <v>3790.6</v>
      </c>
      <c r="H27" s="138">
        <f t="shared" si="1"/>
        <v>0</v>
      </c>
      <c r="I27" s="141" t="s">
        <v>15214</v>
      </c>
    </row>
    <row r="28" spans="1:9" x14ac:dyDescent="0.25">
      <c r="A28" s="135">
        <v>42856</v>
      </c>
      <c r="B28" s="142" t="s">
        <v>15264</v>
      </c>
      <c r="C28" s="143">
        <v>110077</v>
      </c>
      <c r="D28" s="142" t="s">
        <v>15265</v>
      </c>
      <c r="E28" s="144">
        <v>3882.4</v>
      </c>
      <c r="F28" s="145">
        <v>42856</v>
      </c>
      <c r="G28" s="146">
        <v>3882.4</v>
      </c>
      <c r="H28" s="138">
        <f t="shared" si="1"/>
        <v>0</v>
      </c>
      <c r="I28" s="147" t="s">
        <v>15214</v>
      </c>
    </row>
    <row r="29" spans="1:9" x14ac:dyDescent="0.25">
      <c r="A29" s="135">
        <v>42856</v>
      </c>
      <c r="B29" s="136" t="s">
        <v>15266</v>
      </c>
      <c r="C29" s="137">
        <v>110078</v>
      </c>
      <c r="D29" s="136" t="s">
        <v>15267</v>
      </c>
      <c r="E29" s="138">
        <v>14000</v>
      </c>
      <c r="F29" s="139">
        <v>42856</v>
      </c>
      <c r="G29" s="140">
        <v>14000</v>
      </c>
      <c r="H29" s="138">
        <f t="shared" si="1"/>
        <v>0</v>
      </c>
      <c r="I29" s="141" t="s">
        <v>15214</v>
      </c>
    </row>
    <row r="30" spans="1:9" x14ac:dyDescent="0.25">
      <c r="A30" s="135">
        <v>42856</v>
      </c>
      <c r="B30" s="142" t="s">
        <v>15268</v>
      </c>
      <c r="C30" s="143">
        <v>110079</v>
      </c>
      <c r="D30" s="142" t="s">
        <v>15256</v>
      </c>
      <c r="E30" s="144">
        <v>3139.6</v>
      </c>
      <c r="F30" s="145" t="s">
        <v>15269</v>
      </c>
      <c r="G30" s="146">
        <f>1200+1939.6</f>
        <v>3139.6</v>
      </c>
      <c r="H30" s="144">
        <f t="shared" si="1"/>
        <v>0</v>
      </c>
      <c r="I30" s="147" t="s">
        <v>15214</v>
      </c>
    </row>
    <row r="31" spans="1:9" x14ac:dyDescent="0.25">
      <c r="A31" s="135">
        <v>42856</v>
      </c>
      <c r="B31" s="136" t="s">
        <v>15270</v>
      </c>
      <c r="C31" s="137">
        <v>110080</v>
      </c>
      <c r="D31" s="136" t="s">
        <v>5575</v>
      </c>
      <c r="E31" s="138">
        <v>7523.6</v>
      </c>
      <c r="F31" s="139">
        <v>42861</v>
      </c>
      <c r="G31" s="140">
        <v>7523.6</v>
      </c>
      <c r="H31" s="138">
        <f t="shared" si="1"/>
        <v>0</v>
      </c>
      <c r="I31" s="141" t="s">
        <v>15214</v>
      </c>
    </row>
    <row r="32" spans="1:9" x14ac:dyDescent="0.25">
      <c r="A32" s="135">
        <v>42856</v>
      </c>
      <c r="B32" s="142" t="s">
        <v>15271</v>
      </c>
      <c r="C32" s="143">
        <v>110081</v>
      </c>
      <c r="D32" s="142" t="s">
        <v>15272</v>
      </c>
      <c r="E32" s="144">
        <v>23553.75</v>
      </c>
      <c r="F32" s="145">
        <v>42856</v>
      </c>
      <c r="G32" s="146">
        <v>23553.75</v>
      </c>
      <c r="H32" s="138">
        <f t="shared" si="1"/>
        <v>0</v>
      </c>
      <c r="I32" s="147" t="s">
        <v>15214</v>
      </c>
    </row>
    <row r="33" spans="1:9" x14ac:dyDescent="0.25">
      <c r="A33" s="135">
        <v>42856</v>
      </c>
      <c r="B33" s="136" t="s">
        <v>15273</v>
      </c>
      <c r="C33" s="137">
        <v>110082</v>
      </c>
      <c r="D33" s="136" t="s">
        <v>15274</v>
      </c>
      <c r="E33" s="138">
        <v>3680</v>
      </c>
      <c r="F33" s="139">
        <v>42856</v>
      </c>
      <c r="G33" s="140">
        <v>3680</v>
      </c>
      <c r="H33" s="138">
        <f t="shared" si="1"/>
        <v>0</v>
      </c>
      <c r="I33" s="141" t="s">
        <v>15214</v>
      </c>
    </row>
    <row r="34" spans="1:9" x14ac:dyDescent="0.25">
      <c r="A34" s="135">
        <v>42856</v>
      </c>
      <c r="B34" s="142" t="s">
        <v>15275</v>
      </c>
      <c r="C34" s="143">
        <v>110083</v>
      </c>
      <c r="D34" s="142" t="s">
        <v>15276</v>
      </c>
      <c r="E34" s="144">
        <v>3680</v>
      </c>
      <c r="F34" s="145">
        <v>42856</v>
      </c>
      <c r="G34" s="146">
        <v>3680</v>
      </c>
      <c r="H34" s="138">
        <f t="shared" si="1"/>
        <v>0</v>
      </c>
      <c r="I34" s="147" t="s">
        <v>15214</v>
      </c>
    </row>
    <row r="35" spans="1:9" x14ac:dyDescent="0.25">
      <c r="A35" s="135">
        <v>42856</v>
      </c>
      <c r="B35" s="136" t="s">
        <v>15277</v>
      </c>
      <c r="C35" s="137">
        <v>110084</v>
      </c>
      <c r="D35" s="136" t="s">
        <v>15278</v>
      </c>
      <c r="E35" s="138">
        <v>4422</v>
      </c>
      <c r="F35" s="139">
        <v>42856</v>
      </c>
      <c r="G35" s="140">
        <v>4422</v>
      </c>
      <c r="H35" s="138">
        <f t="shared" si="1"/>
        <v>0</v>
      </c>
      <c r="I35" s="141" t="s">
        <v>15214</v>
      </c>
    </row>
    <row r="36" spans="1:9" x14ac:dyDescent="0.25">
      <c r="A36" s="135">
        <v>42856</v>
      </c>
      <c r="B36" s="142" t="s">
        <v>15279</v>
      </c>
      <c r="C36" s="143">
        <v>110085</v>
      </c>
      <c r="D36" s="142" t="s">
        <v>15280</v>
      </c>
      <c r="E36" s="144">
        <v>5143.8999999999996</v>
      </c>
      <c r="F36" s="145">
        <v>42856</v>
      </c>
      <c r="G36" s="146">
        <v>5143.8999999999996</v>
      </c>
      <c r="H36" s="138">
        <f t="shared" si="1"/>
        <v>0</v>
      </c>
      <c r="I36" s="147" t="s">
        <v>15214</v>
      </c>
    </row>
    <row r="37" spans="1:9" x14ac:dyDescent="0.25">
      <c r="A37" s="135">
        <v>42856</v>
      </c>
      <c r="B37" s="136" t="s">
        <v>15281</v>
      </c>
      <c r="C37" s="137">
        <v>110086</v>
      </c>
      <c r="D37" s="136" t="s">
        <v>15282</v>
      </c>
      <c r="E37" s="138">
        <v>2984.9</v>
      </c>
      <c r="F37" s="139">
        <v>42856</v>
      </c>
      <c r="G37" s="140">
        <v>2984.9</v>
      </c>
      <c r="H37" s="138">
        <f t="shared" si="1"/>
        <v>0</v>
      </c>
      <c r="I37" s="141" t="s">
        <v>15214</v>
      </c>
    </row>
    <row r="38" spans="1:9" x14ac:dyDescent="0.25">
      <c r="A38" s="135">
        <v>42856</v>
      </c>
      <c r="B38" s="142" t="s">
        <v>15283</v>
      </c>
      <c r="C38" s="143">
        <v>110087</v>
      </c>
      <c r="D38" s="142" t="s">
        <v>15284</v>
      </c>
      <c r="E38" s="144">
        <v>1597.4</v>
      </c>
      <c r="F38" s="145">
        <v>42856</v>
      </c>
      <c r="G38" s="146">
        <v>1597.4</v>
      </c>
      <c r="H38" s="138">
        <f t="shared" si="1"/>
        <v>0</v>
      </c>
      <c r="I38" s="147" t="s">
        <v>15214</v>
      </c>
    </row>
    <row r="39" spans="1:9" x14ac:dyDescent="0.25">
      <c r="A39" s="135">
        <v>42856</v>
      </c>
      <c r="B39" s="136" t="s">
        <v>15285</v>
      </c>
      <c r="C39" s="137">
        <v>110088</v>
      </c>
      <c r="D39" s="136" t="s">
        <v>15286</v>
      </c>
      <c r="E39" s="138">
        <v>5144</v>
      </c>
      <c r="F39" s="139">
        <v>42856</v>
      </c>
      <c r="G39" s="140">
        <v>5144</v>
      </c>
      <c r="H39" s="138">
        <f t="shared" si="1"/>
        <v>0</v>
      </c>
      <c r="I39" s="141" t="s">
        <v>15214</v>
      </c>
    </row>
    <row r="40" spans="1:9" x14ac:dyDescent="0.25">
      <c r="A40" s="135">
        <v>42856</v>
      </c>
      <c r="B40" s="142" t="s">
        <v>15287</v>
      </c>
      <c r="C40" s="143">
        <v>110089</v>
      </c>
      <c r="D40" s="142" t="s">
        <v>15246</v>
      </c>
      <c r="E40" s="144">
        <v>252919.3</v>
      </c>
      <c r="F40" s="145">
        <v>42859</v>
      </c>
      <c r="G40" s="146">
        <v>252919.3</v>
      </c>
      <c r="H40" s="138">
        <f t="shared" si="1"/>
        <v>0</v>
      </c>
      <c r="I40" s="147" t="s">
        <v>15214</v>
      </c>
    </row>
    <row r="41" spans="1:9" x14ac:dyDescent="0.25">
      <c r="A41" s="135">
        <v>42856</v>
      </c>
      <c r="B41" s="136" t="s">
        <v>15288</v>
      </c>
      <c r="C41" s="137">
        <v>110090</v>
      </c>
      <c r="D41" s="136" t="s">
        <v>15289</v>
      </c>
      <c r="E41" s="138">
        <v>489</v>
      </c>
      <c r="F41" s="139">
        <v>42856</v>
      </c>
      <c r="G41" s="140">
        <v>489</v>
      </c>
      <c r="H41" s="138">
        <f t="shared" si="1"/>
        <v>0</v>
      </c>
      <c r="I41" s="141" t="s">
        <v>15214</v>
      </c>
    </row>
    <row r="42" spans="1:9" ht="15.75" x14ac:dyDescent="0.25">
      <c r="A42" s="135">
        <v>42856</v>
      </c>
      <c r="B42" s="142" t="s">
        <v>15290</v>
      </c>
      <c r="C42" s="143">
        <v>110091</v>
      </c>
      <c r="D42" s="142" t="s">
        <v>15291</v>
      </c>
      <c r="E42" s="144">
        <v>0</v>
      </c>
      <c r="F42" s="151" t="s">
        <v>95</v>
      </c>
      <c r="G42" s="144">
        <v>0</v>
      </c>
      <c r="H42" s="138">
        <f t="shared" si="1"/>
        <v>0</v>
      </c>
      <c r="I42" s="147" t="s">
        <v>95</v>
      </c>
    </row>
    <row r="43" spans="1:9" x14ac:dyDescent="0.25">
      <c r="A43" s="135">
        <v>42856</v>
      </c>
      <c r="B43" s="136" t="s">
        <v>15292</v>
      </c>
      <c r="C43" s="137">
        <v>110092</v>
      </c>
      <c r="D43" s="136" t="s">
        <v>15291</v>
      </c>
      <c r="E43" s="138">
        <v>690</v>
      </c>
      <c r="F43" s="139">
        <v>42856</v>
      </c>
      <c r="G43" s="140">
        <v>690</v>
      </c>
      <c r="H43" s="138">
        <f t="shared" si="1"/>
        <v>0</v>
      </c>
      <c r="I43" s="141" t="s">
        <v>15214</v>
      </c>
    </row>
    <row r="44" spans="1:9" x14ac:dyDescent="0.25">
      <c r="A44" s="135">
        <v>42856</v>
      </c>
      <c r="B44" s="142" t="s">
        <v>15293</v>
      </c>
      <c r="C44" s="143">
        <v>110093</v>
      </c>
      <c r="D44" s="142" t="s">
        <v>15294</v>
      </c>
      <c r="E44" s="144">
        <v>2186.6999999999998</v>
      </c>
      <c r="F44" s="145">
        <v>42856</v>
      </c>
      <c r="G44" s="146">
        <v>2186.6999999999998</v>
      </c>
      <c r="H44" s="138">
        <f t="shared" si="1"/>
        <v>0</v>
      </c>
      <c r="I44" s="147" t="s">
        <v>15214</v>
      </c>
    </row>
    <row r="45" spans="1:9" x14ac:dyDescent="0.25">
      <c r="A45" s="135">
        <v>42856</v>
      </c>
      <c r="B45" s="136" t="s">
        <v>15295</v>
      </c>
      <c r="C45" s="137">
        <v>110094</v>
      </c>
      <c r="D45" s="136" t="s">
        <v>15296</v>
      </c>
      <c r="E45" s="138">
        <v>14866.6</v>
      </c>
      <c r="F45" s="139">
        <v>42870</v>
      </c>
      <c r="G45" s="140">
        <v>14866.6</v>
      </c>
      <c r="H45" s="138">
        <f t="shared" si="1"/>
        <v>0</v>
      </c>
      <c r="I45" s="141" t="s">
        <v>15214</v>
      </c>
    </row>
    <row r="46" spans="1:9" x14ac:dyDescent="0.25">
      <c r="A46" s="135">
        <v>42856</v>
      </c>
      <c r="B46" s="142" t="s">
        <v>15297</v>
      </c>
      <c r="C46" s="143">
        <v>110095</v>
      </c>
      <c r="D46" s="142" t="s">
        <v>15298</v>
      </c>
      <c r="E46" s="144">
        <v>11619.3</v>
      </c>
      <c r="F46" s="145">
        <v>42863</v>
      </c>
      <c r="G46" s="146">
        <v>11619.3</v>
      </c>
      <c r="H46" s="138">
        <f t="shared" si="1"/>
        <v>0</v>
      </c>
      <c r="I46" s="147" t="s">
        <v>15214</v>
      </c>
    </row>
    <row r="47" spans="1:9" x14ac:dyDescent="0.25">
      <c r="A47" s="135">
        <v>42856</v>
      </c>
      <c r="B47" s="136" t="s">
        <v>15299</v>
      </c>
      <c r="C47" s="137">
        <v>110096</v>
      </c>
      <c r="D47" s="136" t="s">
        <v>15246</v>
      </c>
      <c r="E47" s="138">
        <v>103140.8</v>
      </c>
      <c r="F47" s="139">
        <v>42859</v>
      </c>
      <c r="G47" s="140">
        <f>95752.25+7388.55</f>
        <v>103140.8</v>
      </c>
      <c r="H47" s="152">
        <f t="shared" si="1"/>
        <v>0</v>
      </c>
      <c r="I47" s="141" t="s">
        <v>15214</v>
      </c>
    </row>
    <row r="48" spans="1:9" x14ac:dyDescent="0.25">
      <c r="A48" s="135">
        <v>42856</v>
      </c>
      <c r="B48" s="142" t="s">
        <v>15300</v>
      </c>
      <c r="C48" s="143">
        <v>110097</v>
      </c>
      <c r="D48" s="142" t="s">
        <v>15301</v>
      </c>
      <c r="E48" s="144">
        <v>4502.8</v>
      </c>
      <c r="F48" s="145">
        <v>42856</v>
      </c>
      <c r="G48" s="146">
        <v>4502.8</v>
      </c>
      <c r="H48" s="138">
        <f t="shared" si="1"/>
        <v>0</v>
      </c>
      <c r="I48" s="147" t="s">
        <v>15214</v>
      </c>
    </row>
    <row r="49" spans="1:9" x14ac:dyDescent="0.25">
      <c r="A49" s="135">
        <v>42856</v>
      </c>
      <c r="B49" s="136" t="s">
        <v>15302</v>
      </c>
      <c r="C49" s="137">
        <v>110098</v>
      </c>
      <c r="D49" s="136" t="s">
        <v>15303</v>
      </c>
      <c r="E49" s="138">
        <v>600.6</v>
      </c>
      <c r="F49" s="139">
        <v>42856</v>
      </c>
      <c r="G49" s="140">
        <v>600.6</v>
      </c>
      <c r="H49" s="138">
        <f t="shared" si="1"/>
        <v>0</v>
      </c>
      <c r="I49" s="141" t="s">
        <v>15214</v>
      </c>
    </row>
    <row r="50" spans="1:9" x14ac:dyDescent="0.25">
      <c r="A50" s="135">
        <v>42856</v>
      </c>
      <c r="B50" s="142" t="s">
        <v>15304</v>
      </c>
      <c r="C50" s="143">
        <v>110099</v>
      </c>
      <c r="D50" s="142" t="s">
        <v>15305</v>
      </c>
      <c r="E50" s="144">
        <v>836.2</v>
      </c>
      <c r="F50" s="145">
        <v>42856</v>
      </c>
      <c r="G50" s="146">
        <v>836.2</v>
      </c>
      <c r="H50" s="138">
        <f t="shared" si="1"/>
        <v>0</v>
      </c>
      <c r="I50" s="147" t="s">
        <v>15214</v>
      </c>
    </row>
    <row r="51" spans="1:9" x14ac:dyDescent="0.25">
      <c r="A51" s="135">
        <v>42856</v>
      </c>
      <c r="B51" s="136" t="s">
        <v>15306</v>
      </c>
      <c r="C51" s="137">
        <v>110100</v>
      </c>
      <c r="D51" s="136" t="s">
        <v>15307</v>
      </c>
      <c r="E51" s="138">
        <v>2156.4</v>
      </c>
      <c r="F51" s="139">
        <v>42856</v>
      </c>
      <c r="G51" s="140">
        <v>2156.4</v>
      </c>
      <c r="H51" s="138">
        <f t="shared" si="1"/>
        <v>0</v>
      </c>
      <c r="I51" s="141" t="s">
        <v>15214</v>
      </c>
    </row>
    <row r="52" spans="1:9" x14ac:dyDescent="0.25">
      <c r="A52" s="135">
        <v>42856</v>
      </c>
      <c r="B52" s="142" t="s">
        <v>15308</v>
      </c>
      <c r="C52" s="143">
        <v>110101</v>
      </c>
      <c r="D52" s="142" t="s">
        <v>15309</v>
      </c>
      <c r="E52" s="144">
        <v>6086</v>
      </c>
      <c r="F52" s="145">
        <v>42856</v>
      </c>
      <c r="G52" s="146">
        <v>6086</v>
      </c>
      <c r="H52" s="138">
        <f t="shared" si="1"/>
        <v>0</v>
      </c>
      <c r="I52" s="147" t="s">
        <v>15214</v>
      </c>
    </row>
    <row r="53" spans="1:9" x14ac:dyDescent="0.25">
      <c r="A53" s="135">
        <v>42856</v>
      </c>
      <c r="B53" s="136" t="s">
        <v>15310</v>
      </c>
      <c r="C53" s="137">
        <v>110102</v>
      </c>
      <c r="D53" s="136" t="s">
        <v>15311</v>
      </c>
      <c r="E53" s="138">
        <v>1877</v>
      </c>
      <c r="F53" s="139">
        <v>42856</v>
      </c>
      <c r="G53" s="140">
        <v>1877</v>
      </c>
      <c r="H53" s="138">
        <f t="shared" si="1"/>
        <v>0</v>
      </c>
      <c r="I53" s="141" t="s">
        <v>15214</v>
      </c>
    </row>
    <row r="54" spans="1:9" x14ac:dyDescent="0.25">
      <c r="A54" s="135">
        <v>42856</v>
      </c>
      <c r="B54" s="142" t="s">
        <v>15312</v>
      </c>
      <c r="C54" s="143">
        <v>110103</v>
      </c>
      <c r="D54" s="142" t="s">
        <v>15313</v>
      </c>
      <c r="E54" s="144">
        <v>5322.4</v>
      </c>
      <c r="F54" s="145">
        <v>42857</v>
      </c>
      <c r="G54" s="146">
        <v>5322.4</v>
      </c>
      <c r="H54" s="138">
        <f t="shared" si="1"/>
        <v>0</v>
      </c>
      <c r="I54" s="147" t="s">
        <v>15214</v>
      </c>
    </row>
    <row r="55" spans="1:9" x14ac:dyDescent="0.25">
      <c r="A55" s="135">
        <v>42856</v>
      </c>
      <c r="B55" s="136" t="s">
        <v>15314</v>
      </c>
      <c r="C55" s="137">
        <v>110104</v>
      </c>
      <c r="D55" s="136" t="s">
        <v>15315</v>
      </c>
      <c r="E55" s="138">
        <v>1840</v>
      </c>
      <c r="F55" s="139">
        <v>42856</v>
      </c>
      <c r="G55" s="140">
        <v>1840</v>
      </c>
      <c r="H55" s="138">
        <f t="shared" si="1"/>
        <v>0</v>
      </c>
      <c r="I55" s="141" t="s">
        <v>15214</v>
      </c>
    </row>
    <row r="56" spans="1:9" x14ac:dyDescent="0.25">
      <c r="A56" s="135">
        <v>42856</v>
      </c>
      <c r="B56" s="142" t="s">
        <v>15316</v>
      </c>
      <c r="C56" s="143">
        <v>110105</v>
      </c>
      <c r="D56" s="142" t="s">
        <v>15317</v>
      </c>
      <c r="E56" s="144">
        <v>2856</v>
      </c>
      <c r="F56" s="145">
        <v>42859</v>
      </c>
      <c r="G56" s="146">
        <v>2856</v>
      </c>
      <c r="H56" s="138">
        <f t="shared" si="1"/>
        <v>0</v>
      </c>
      <c r="I56" s="147" t="s">
        <v>15214</v>
      </c>
    </row>
    <row r="57" spans="1:9" x14ac:dyDescent="0.25">
      <c r="A57" s="135">
        <v>42856</v>
      </c>
      <c r="B57" s="136" t="s">
        <v>15318</v>
      </c>
      <c r="C57" s="137">
        <v>110106</v>
      </c>
      <c r="D57" s="136" t="s">
        <v>15317</v>
      </c>
      <c r="E57" s="138">
        <v>510</v>
      </c>
      <c r="F57" s="139">
        <v>42859</v>
      </c>
      <c r="G57" s="140">
        <v>510</v>
      </c>
      <c r="H57" s="138">
        <f t="shared" si="1"/>
        <v>0</v>
      </c>
      <c r="I57" s="141" t="s">
        <v>15214</v>
      </c>
    </row>
    <row r="58" spans="1:9" x14ac:dyDescent="0.25">
      <c r="A58" s="135">
        <v>42856</v>
      </c>
      <c r="B58" s="142" t="s">
        <v>15319</v>
      </c>
      <c r="C58" s="143">
        <v>110107</v>
      </c>
      <c r="D58" s="142" t="s">
        <v>15320</v>
      </c>
      <c r="E58" s="144">
        <v>2257.1999999999998</v>
      </c>
      <c r="F58" s="145">
        <v>42856</v>
      </c>
      <c r="G58" s="146">
        <v>2257.1999999999998</v>
      </c>
      <c r="H58" s="138">
        <f t="shared" si="1"/>
        <v>0</v>
      </c>
      <c r="I58" s="147" t="s">
        <v>15214</v>
      </c>
    </row>
    <row r="59" spans="1:9" x14ac:dyDescent="0.25">
      <c r="A59" s="135">
        <v>42856</v>
      </c>
      <c r="B59" s="136" t="s">
        <v>15321</v>
      </c>
      <c r="C59" s="137">
        <v>110108</v>
      </c>
      <c r="D59" s="136" t="s">
        <v>15322</v>
      </c>
      <c r="E59" s="138">
        <v>700.7</v>
      </c>
      <c r="F59" s="139">
        <v>42856</v>
      </c>
      <c r="G59" s="140">
        <v>700.7</v>
      </c>
      <c r="H59" s="138">
        <f t="shared" si="1"/>
        <v>0</v>
      </c>
      <c r="I59" s="141" t="s">
        <v>15214</v>
      </c>
    </row>
    <row r="60" spans="1:9" x14ac:dyDescent="0.25">
      <c r="A60" s="135">
        <v>42856</v>
      </c>
      <c r="B60" s="142" t="s">
        <v>15323</v>
      </c>
      <c r="C60" s="143">
        <v>110109</v>
      </c>
      <c r="D60" s="142" t="s">
        <v>15324</v>
      </c>
      <c r="E60" s="144">
        <v>2820</v>
      </c>
      <c r="F60" s="145">
        <v>42856</v>
      </c>
      <c r="G60" s="146">
        <v>2820</v>
      </c>
      <c r="H60" s="138">
        <f t="shared" si="1"/>
        <v>0</v>
      </c>
      <c r="I60" s="147" t="s">
        <v>15214</v>
      </c>
    </row>
    <row r="61" spans="1:9" x14ac:dyDescent="0.25">
      <c r="A61" s="135">
        <v>42856</v>
      </c>
      <c r="B61" s="136" t="s">
        <v>15325</v>
      </c>
      <c r="C61" s="137">
        <v>110110</v>
      </c>
      <c r="D61" s="136" t="s">
        <v>15326</v>
      </c>
      <c r="E61" s="138">
        <v>2551.6</v>
      </c>
      <c r="F61" s="139">
        <v>42856</v>
      </c>
      <c r="G61" s="140">
        <v>2551.6</v>
      </c>
      <c r="H61" s="138">
        <f t="shared" si="1"/>
        <v>0</v>
      </c>
      <c r="I61" s="141" t="s">
        <v>15214</v>
      </c>
    </row>
    <row r="62" spans="1:9" x14ac:dyDescent="0.25">
      <c r="A62" s="135">
        <v>42856</v>
      </c>
      <c r="B62" s="142" t="s">
        <v>15327</v>
      </c>
      <c r="C62" s="143">
        <v>110111</v>
      </c>
      <c r="D62" s="142" t="s">
        <v>15328</v>
      </c>
      <c r="E62" s="144">
        <v>32165</v>
      </c>
      <c r="F62" s="145">
        <v>42868</v>
      </c>
      <c r="G62" s="146">
        <v>32165</v>
      </c>
      <c r="H62" s="138">
        <f t="shared" si="1"/>
        <v>0</v>
      </c>
      <c r="I62" s="147" t="s">
        <v>15214</v>
      </c>
    </row>
    <row r="63" spans="1:9" x14ac:dyDescent="0.25">
      <c r="A63" s="135">
        <v>42856</v>
      </c>
      <c r="B63" s="136" t="s">
        <v>15329</v>
      </c>
      <c r="C63" s="137">
        <v>110112</v>
      </c>
      <c r="D63" s="136" t="s">
        <v>15330</v>
      </c>
      <c r="E63" s="138">
        <v>3245.5</v>
      </c>
      <c r="F63" s="139">
        <v>42856</v>
      </c>
      <c r="G63" s="140">
        <v>3245.5</v>
      </c>
      <c r="H63" s="138">
        <f t="shared" si="1"/>
        <v>0</v>
      </c>
      <c r="I63" s="141" t="s">
        <v>15214</v>
      </c>
    </row>
    <row r="64" spans="1:9" x14ac:dyDescent="0.25">
      <c r="A64" s="135">
        <v>42856</v>
      </c>
      <c r="B64" s="142" t="s">
        <v>15331</v>
      </c>
      <c r="C64" s="143">
        <v>110113</v>
      </c>
      <c r="D64" s="142" t="s">
        <v>15332</v>
      </c>
      <c r="E64" s="144">
        <v>4027.9</v>
      </c>
      <c r="F64" s="145">
        <v>42856</v>
      </c>
      <c r="G64" s="146">
        <v>4027.9</v>
      </c>
      <c r="H64" s="138">
        <f t="shared" si="1"/>
        <v>0</v>
      </c>
      <c r="I64" s="147" t="s">
        <v>15214</v>
      </c>
    </row>
    <row r="65" spans="1:9" x14ac:dyDescent="0.25">
      <c r="A65" s="135">
        <v>42856</v>
      </c>
      <c r="B65" s="136" t="s">
        <v>15333</v>
      </c>
      <c r="C65" s="137">
        <v>110114</v>
      </c>
      <c r="D65" s="136" t="s">
        <v>15334</v>
      </c>
      <c r="E65" s="138">
        <v>2401.6</v>
      </c>
      <c r="F65" s="139">
        <v>42856</v>
      </c>
      <c r="G65" s="140">
        <v>2401.6</v>
      </c>
      <c r="H65" s="138">
        <f t="shared" si="1"/>
        <v>0</v>
      </c>
      <c r="I65" s="141" t="s">
        <v>15214</v>
      </c>
    </row>
    <row r="66" spans="1:9" x14ac:dyDescent="0.25">
      <c r="A66" s="135">
        <v>42856</v>
      </c>
      <c r="B66" s="142" t="s">
        <v>15335</v>
      </c>
      <c r="C66" s="143">
        <v>110115</v>
      </c>
      <c r="D66" s="142" t="s">
        <v>15336</v>
      </c>
      <c r="E66" s="144">
        <v>6435</v>
      </c>
      <c r="F66" s="145">
        <v>42856</v>
      </c>
      <c r="G66" s="146">
        <v>6435</v>
      </c>
      <c r="H66" s="138">
        <f t="shared" si="1"/>
        <v>0</v>
      </c>
      <c r="I66" s="147" t="s">
        <v>15214</v>
      </c>
    </row>
    <row r="67" spans="1:9" x14ac:dyDescent="0.25">
      <c r="A67" s="135">
        <v>42856</v>
      </c>
      <c r="B67" s="136" t="s">
        <v>15337</v>
      </c>
      <c r="C67" s="137">
        <v>110116</v>
      </c>
      <c r="D67" s="136" t="s">
        <v>15338</v>
      </c>
      <c r="E67" s="138">
        <v>10073.5</v>
      </c>
      <c r="F67" s="139">
        <v>42859</v>
      </c>
      <c r="G67" s="140">
        <v>10073.5</v>
      </c>
      <c r="H67" s="138">
        <f t="shared" si="1"/>
        <v>0</v>
      </c>
      <c r="I67" s="141" t="s">
        <v>15214</v>
      </c>
    </row>
    <row r="68" spans="1:9" x14ac:dyDescent="0.25">
      <c r="A68" s="135">
        <v>42856</v>
      </c>
      <c r="B68" s="142" t="s">
        <v>15339</v>
      </c>
      <c r="C68" s="143">
        <v>110117</v>
      </c>
      <c r="D68" s="142" t="s">
        <v>15340</v>
      </c>
      <c r="E68" s="144">
        <v>4976.8999999999996</v>
      </c>
      <c r="F68" s="145">
        <v>42856</v>
      </c>
      <c r="G68" s="146">
        <v>4976.8999999999996</v>
      </c>
      <c r="H68" s="138">
        <f t="shared" ref="H68:H131" si="2">E68-G68</f>
        <v>0</v>
      </c>
      <c r="I68" s="147" t="s">
        <v>15214</v>
      </c>
    </row>
    <row r="69" spans="1:9" x14ac:dyDescent="0.25">
      <c r="A69" s="135">
        <v>42856</v>
      </c>
      <c r="B69" s="136" t="s">
        <v>15341</v>
      </c>
      <c r="C69" s="137">
        <v>110118</v>
      </c>
      <c r="D69" s="136" t="s">
        <v>15342</v>
      </c>
      <c r="E69" s="138">
        <v>915.9</v>
      </c>
      <c r="F69" s="139">
        <v>42856</v>
      </c>
      <c r="G69" s="140">
        <v>915.9</v>
      </c>
      <c r="H69" s="138">
        <f t="shared" si="2"/>
        <v>0</v>
      </c>
      <c r="I69" s="141" t="s">
        <v>15214</v>
      </c>
    </row>
    <row r="70" spans="1:9" x14ac:dyDescent="0.25">
      <c r="A70" s="135">
        <v>42856</v>
      </c>
      <c r="B70" s="142" t="s">
        <v>15343</v>
      </c>
      <c r="C70" s="143">
        <v>110119</v>
      </c>
      <c r="D70" s="142" t="s">
        <v>15344</v>
      </c>
      <c r="E70" s="144">
        <v>2157.3000000000002</v>
      </c>
      <c r="F70" s="145">
        <v>42856</v>
      </c>
      <c r="G70" s="146">
        <v>2157.3000000000002</v>
      </c>
      <c r="H70" s="138">
        <f t="shared" si="2"/>
        <v>0</v>
      </c>
      <c r="I70" s="147" t="s">
        <v>15214</v>
      </c>
    </row>
    <row r="71" spans="1:9" x14ac:dyDescent="0.25">
      <c r="A71" s="135">
        <v>42856</v>
      </c>
      <c r="B71" s="136" t="s">
        <v>15345</v>
      </c>
      <c r="C71" s="137">
        <v>110120</v>
      </c>
      <c r="D71" s="136" t="s">
        <v>15346</v>
      </c>
      <c r="E71" s="138">
        <v>3358.3</v>
      </c>
      <c r="F71" s="139">
        <v>42856</v>
      </c>
      <c r="G71" s="140">
        <v>3358.3</v>
      </c>
      <c r="H71" s="138">
        <f t="shared" si="2"/>
        <v>0</v>
      </c>
      <c r="I71" s="141" t="s">
        <v>15214</v>
      </c>
    </row>
    <row r="72" spans="1:9" x14ac:dyDescent="0.25">
      <c r="A72" s="135">
        <v>42856</v>
      </c>
      <c r="B72" s="142" t="s">
        <v>15347</v>
      </c>
      <c r="C72" s="143">
        <v>110121</v>
      </c>
      <c r="D72" s="142" t="s">
        <v>15348</v>
      </c>
      <c r="E72" s="144">
        <v>3208.8</v>
      </c>
      <c r="F72" s="145">
        <v>42857</v>
      </c>
      <c r="G72" s="146">
        <v>3208.8</v>
      </c>
      <c r="H72" s="138">
        <f t="shared" si="2"/>
        <v>0</v>
      </c>
      <c r="I72" s="147" t="s">
        <v>15214</v>
      </c>
    </row>
    <row r="73" spans="1:9" x14ac:dyDescent="0.25">
      <c r="A73" s="135">
        <v>42856</v>
      </c>
      <c r="B73" s="136" t="s">
        <v>15349</v>
      </c>
      <c r="C73" s="137">
        <v>110122</v>
      </c>
      <c r="D73" s="136" t="s">
        <v>15350</v>
      </c>
      <c r="E73" s="138">
        <v>1150</v>
      </c>
      <c r="F73" s="139">
        <v>42856</v>
      </c>
      <c r="G73" s="140">
        <v>1150</v>
      </c>
      <c r="H73" s="138">
        <f t="shared" si="2"/>
        <v>0</v>
      </c>
      <c r="I73" s="141" t="s">
        <v>15214</v>
      </c>
    </row>
    <row r="74" spans="1:9" x14ac:dyDescent="0.25">
      <c r="A74" s="135">
        <v>42856</v>
      </c>
      <c r="B74" s="142" t="s">
        <v>15351</v>
      </c>
      <c r="C74" s="143">
        <v>110123</v>
      </c>
      <c r="D74" s="142" t="s">
        <v>15352</v>
      </c>
      <c r="E74" s="144">
        <v>285.2</v>
      </c>
      <c r="F74" s="145">
        <v>42856</v>
      </c>
      <c r="G74" s="146">
        <v>285.2</v>
      </c>
      <c r="H74" s="138">
        <f t="shared" si="2"/>
        <v>0</v>
      </c>
      <c r="I74" s="147" t="s">
        <v>15214</v>
      </c>
    </row>
    <row r="75" spans="1:9" x14ac:dyDescent="0.25">
      <c r="A75" s="135">
        <v>42856</v>
      </c>
      <c r="B75" s="136" t="s">
        <v>15353</v>
      </c>
      <c r="C75" s="137">
        <v>110124</v>
      </c>
      <c r="D75" s="136" t="s">
        <v>15354</v>
      </c>
      <c r="E75" s="138">
        <v>4924.5</v>
      </c>
      <c r="F75" s="139">
        <v>42856</v>
      </c>
      <c r="G75" s="140">
        <v>4924.5</v>
      </c>
      <c r="H75" s="138">
        <f t="shared" si="2"/>
        <v>0</v>
      </c>
      <c r="I75" s="141" t="s">
        <v>15214</v>
      </c>
    </row>
    <row r="76" spans="1:9" x14ac:dyDescent="0.25">
      <c r="A76" s="135">
        <v>42856</v>
      </c>
      <c r="B76" s="142" t="s">
        <v>15355</v>
      </c>
      <c r="C76" s="143">
        <v>110125</v>
      </c>
      <c r="D76" s="142" t="s">
        <v>15356</v>
      </c>
      <c r="E76" s="144">
        <v>2419.1999999999998</v>
      </c>
      <c r="F76" s="145">
        <v>42856</v>
      </c>
      <c r="G76" s="146">
        <v>2419.1999999999998</v>
      </c>
      <c r="H76" s="138">
        <f t="shared" si="2"/>
        <v>0</v>
      </c>
      <c r="I76" s="147" t="s">
        <v>15214</v>
      </c>
    </row>
    <row r="77" spans="1:9" x14ac:dyDescent="0.25">
      <c r="A77" s="135">
        <v>42856</v>
      </c>
      <c r="B77" s="136" t="s">
        <v>15357</v>
      </c>
      <c r="C77" s="137">
        <v>110126</v>
      </c>
      <c r="D77" s="136" t="s">
        <v>15358</v>
      </c>
      <c r="E77" s="138">
        <v>1161</v>
      </c>
      <c r="F77" s="139">
        <v>42856</v>
      </c>
      <c r="G77" s="140">
        <v>1161</v>
      </c>
      <c r="H77" s="138">
        <f t="shared" si="2"/>
        <v>0</v>
      </c>
      <c r="I77" s="141" t="s">
        <v>15214</v>
      </c>
    </row>
    <row r="78" spans="1:9" x14ac:dyDescent="0.25">
      <c r="A78" s="135">
        <v>42856</v>
      </c>
      <c r="B78" s="142" t="s">
        <v>15359</v>
      </c>
      <c r="C78" s="143">
        <v>110127</v>
      </c>
      <c r="D78" s="142" t="s">
        <v>15272</v>
      </c>
      <c r="E78" s="144">
        <v>3657.8</v>
      </c>
      <c r="F78" s="145">
        <v>42856</v>
      </c>
      <c r="G78" s="146">
        <v>3657.8</v>
      </c>
      <c r="H78" s="138">
        <f t="shared" si="2"/>
        <v>0</v>
      </c>
      <c r="I78" s="147" t="s">
        <v>15214</v>
      </c>
    </row>
    <row r="79" spans="1:9" x14ac:dyDescent="0.25">
      <c r="A79" s="135">
        <v>42856</v>
      </c>
      <c r="B79" s="136" t="s">
        <v>15360</v>
      </c>
      <c r="C79" s="137">
        <v>110128</v>
      </c>
      <c r="D79" s="136" t="s">
        <v>15361</v>
      </c>
      <c r="E79" s="138">
        <v>11860.35</v>
      </c>
      <c r="F79" s="139">
        <v>42856</v>
      </c>
      <c r="G79" s="140">
        <v>11860.35</v>
      </c>
      <c r="H79" s="138">
        <f t="shared" si="2"/>
        <v>0</v>
      </c>
      <c r="I79" s="141" t="s">
        <v>15214</v>
      </c>
    </row>
    <row r="80" spans="1:9" x14ac:dyDescent="0.25">
      <c r="A80" s="135">
        <v>42856</v>
      </c>
      <c r="B80" s="142" t="s">
        <v>15362</v>
      </c>
      <c r="C80" s="143">
        <v>110129</v>
      </c>
      <c r="D80" s="142" t="s">
        <v>15363</v>
      </c>
      <c r="E80" s="144">
        <v>1680</v>
      </c>
      <c r="F80" s="145">
        <v>42856</v>
      </c>
      <c r="G80" s="146">
        <v>1680</v>
      </c>
      <c r="H80" s="138">
        <f t="shared" si="2"/>
        <v>0</v>
      </c>
      <c r="I80" s="147" t="s">
        <v>15214</v>
      </c>
    </row>
    <row r="81" spans="1:9" x14ac:dyDescent="0.25">
      <c r="A81" s="135">
        <v>42856</v>
      </c>
      <c r="B81" s="136" t="s">
        <v>15364</v>
      </c>
      <c r="C81" s="137">
        <v>110130</v>
      </c>
      <c r="D81" s="136" t="s">
        <v>15365</v>
      </c>
      <c r="E81" s="138">
        <v>3427</v>
      </c>
      <c r="F81" s="139">
        <v>42858</v>
      </c>
      <c r="G81" s="140">
        <v>3427</v>
      </c>
      <c r="H81" s="138">
        <f t="shared" si="2"/>
        <v>0</v>
      </c>
      <c r="I81" s="141" t="s">
        <v>15214</v>
      </c>
    </row>
    <row r="82" spans="1:9" x14ac:dyDescent="0.25">
      <c r="A82" s="135">
        <v>42856</v>
      </c>
      <c r="B82" s="142" t="s">
        <v>15366</v>
      </c>
      <c r="C82" s="143">
        <v>110131</v>
      </c>
      <c r="D82" s="142" t="s">
        <v>15367</v>
      </c>
      <c r="E82" s="144">
        <v>8040</v>
      </c>
      <c r="F82" s="145">
        <v>42857</v>
      </c>
      <c r="G82" s="146">
        <v>8040</v>
      </c>
      <c r="H82" s="138">
        <f t="shared" si="2"/>
        <v>0</v>
      </c>
      <c r="I82" s="147" t="s">
        <v>15214</v>
      </c>
    </row>
    <row r="83" spans="1:9" x14ac:dyDescent="0.25">
      <c r="A83" s="135">
        <v>42856</v>
      </c>
      <c r="B83" s="136" t="s">
        <v>15368</v>
      </c>
      <c r="C83" s="137">
        <v>110132</v>
      </c>
      <c r="D83" s="136" t="s">
        <v>15369</v>
      </c>
      <c r="E83" s="138">
        <v>32119.599999999999</v>
      </c>
      <c r="F83" s="139">
        <v>42881</v>
      </c>
      <c r="G83" s="140">
        <v>32119.599999999999</v>
      </c>
      <c r="H83" s="138">
        <f t="shared" si="2"/>
        <v>0</v>
      </c>
      <c r="I83" s="141" t="s">
        <v>15214</v>
      </c>
    </row>
    <row r="84" spans="1:9" x14ac:dyDescent="0.25">
      <c r="A84" s="135">
        <v>42856</v>
      </c>
      <c r="B84" s="142" t="s">
        <v>15370</v>
      </c>
      <c r="C84" s="143">
        <v>110133</v>
      </c>
      <c r="D84" s="142" t="s">
        <v>15371</v>
      </c>
      <c r="E84" s="144">
        <v>1437.7</v>
      </c>
      <c r="F84" s="145">
        <v>42858</v>
      </c>
      <c r="G84" s="146">
        <v>1437.7</v>
      </c>
      <c r="H84" s="138">
        <f t="shared" si="2"/>
        <v>0</v>
      </c>
      <c r="I84" s="147" t="s">
        <v>15214</v>
      </c>
    </row>
    <row r="85" spans="1:9" x14ac:dyDescent="0.25">
      <c r="A85" s="135">
        <v>42856</v>
      </c>
      <c r="B85" s="136" t="s">
        <v>15372</v>
      </c>
      <c r="C85" s="137">
        <v>110134</v>
      </c>
      <c r="D85" s="136" t="s">
        <v>15373</v>
      </c>
      <c r="E85" s="138">
        <v>9027</v>
      </c>
      <c r="F85" s="139">
        <v>42857</v>
      </c>
      <c r="G85" s="140">
        <v>9027</v>
      </c>
      <c r="H85" s="138">
        <f t="shared" si="2"/>
        <v>0</v>
      </c>
      <c r="I85" s="141" t="s">
        <v>15214</v>
      </c>
    </row>
    <row r="86" spans="1:9" x14ac:dyDescent="0.25">
      <c r="A86" s="135">
        <v>42856</v>
      </c>
      <c r="B86" s="142" t="s">
        <v>15374</v>
      </c>
      <c r="C86" s="143">
        <v>110135</v>
      </c>
      <c r="D86" s="142" t="s">
        <v>15373</v>
      </c>
      <c r="E86" s="144">
        <v>6912</v>
      </c>
      <c r="F86" s="145">
        <v>42857</v>
      </c>
      <c r="G86" s="146">
        <v>6912</v>
      </c>
      <c r="H86" s="138">
        <f t="shared" si="2"/>
        <v>0</v>
      </c>
      <c r="I86" s="147" t="s">
        <v>15214</v>
      </c>
    </row>
    <row r="87" spans="1:9" x14ac:dyDescent="0.25">
      <c r="A87" s="135">
        <v>42856</v>
      </c>
      <c r="B87" s="136" t="s">
        <v>15375</v>
      </c>
      <c r="C87" s="137">
        <v>110136</v>
      </c>
      <c r="D87" s="136" t="s">
        <v>15376</v>
      </c>
      <c r="E87" s="138">
        <v>10323.6</v>
      </c>
      <c r="F87" s="139">
        <v>42856</v>
      </c>
      <c r="G87" s="140">
        <v>10323.6</v>
      </c>
      <c r="H87" s="138">
        <f t="shared" si="2"/>
        <v>0</v>
      </c>
      <c r="I87" s="141" t="s">
        <v>15214</v>
      </c>
    </row>
    <row r="88" spans="1:9" x14ac:dyDescent="0.25">
      <c r="A88" s="135">
        <v>42856</v>
      </c>
      <c r="B88" s="142" t="s">
        <v>15377</v>
      </c>
      <c r="C88" s="143">
        <v>110137</v>
      </c>
      <c r="D88" s="142" t="s">
        <v>15378</v>
      </c>
      <c r="E88" s="144">
        <v>5058.8999999999996</v>
      </c>
      <c r="F88" s="145">
        <v>42865</v>
      </c>
      <c r="G88" s="146">
        <v>5058.8999999999996</v>
      </c>
      <c r="H88" s="138">
        <f t="shared" si="2"/>
        <v>0</v>
      </c>
      <c r="I88" s="147" t="s">
        <v>15214</v>
      </c>
    </row>
    <row r="89" spans="1:9" x14ac:dyDescent="0.25">
      <c r="A89" s="135">
        <v>42856</v>
      </c>
      <c r="B89" s="136" t="s">
        <v>15379</v>
      </c>
      <c r="C89" s="137">
        <v>110138</v>
      </c>
      <c r="D89" s="136" t="s">
        <v>15380</v>
      </c>
      <c r="E89" s="138">
        <v>49609.2</v>
      </c>
      <c r="F89" s="139">
        <v>42881</v>
      </c>
      <c r="G89" s="140">
        <v>49609.2</v>
      </c>
      <c r="H89" s="138">
        <f t="shared" si="2"/>
        <v>0</v>
      </c>
      <c r="I89" s="141" t="s">
        <v>15214</v>
      </c>
    </row>
    <row r="90" spans="1:9" x14ac:dyDescent="0.25">
      <c r="A90" s="135">
        <v>42856</v>
      </c>
      <c r="B90" s="142" t="s">
        <v>15381</v>
      </c>
      <c r="C90" s="143">
        <v>110139</v>
      </c>
      <c r="D90" s="142" t="s">
        <v>15382</v>
      </c>
      <c r="E90" s="144">
        <v>7544.2</v>
      </c>
      <c r="F90" s="145">
        <v>42881</v>
      </c>
      <c r="G90" s="146">
        <v>7544.2</v>
      </c>
      <c r="H90" s="138">
        <f t="shared" si="2"/>
        <v>0</v>
      </c>
      <c r="I90" s="147" t="s">
        <v>15214</v>
      </c>
    </row>
    <row r="91" spans="1:9" x14ac:dyDescent="0.25">
      <c r="A91" s="135">
        <v>42856</v>
      </c>
      <c r="B91" s="136" t="s">
        <v>15383</v>
      </c>
      <c r="C91" s="137">
        <v>110140</v>
      </c>
      <c r="D91" s="136" t="s">
        <v>15315</v>
      </c>
      <c r="E91" s="138">
        <v>1048.5</v>
      </c>
      <c r="F91" s="139">
        <v>42856</v>
      </c>
      <c r="G91" s="140">
        <v>1048.5</v>
      </c>
      <c r="H91" s="138">
        <f t="shared" si="2"/>
        <v>0</v>
      </c>
      <c r="I91" s="141" t="s">
        <v>15214</v>
      </c>
    </row>
    <row r="92" spans="1:9" x14ac:dyDescent="0.25">
      <c r="A92" s="135">
        <v>42856</v>
      </c>
      <c r="B92" s="142" t="s">
        <v>15384</v>
      </c>
      <c r="C92" s="143">
        <v>110141</v>
      </c>
      <c r="D92" s="142" t="s">
        <v>15385</v>
      </c>
      <c r="E92" s="144">
        <v>8883</v>
      </c>
      <c r="F92" s="145">
        <v>42856</v>
      </c>
      <c r="G92" s="146">
        <v>8883</v>
      </c>
      <c r="H92" s="138">
        <f t="shared" si="2"/>
        <v>0</v>
      </c>
      <c r="I92" s="147" t="s">
        <v>15214</v>
      </c>
    </row>
    <row r="93" spans="1:9" x14ac:dyDescent="0.25">
      <c r="A93" s="135">
        <v>42856</v>
      </c>
      <c r="B93" s="136" t="s">
        <v>15386</v>
      </c>
      <c r="C93" s="137">
        <v>110142</v>
      </c>
      <c r="D93" s="136" t="s">
        <v>15387</v>
      </c>
      <c r="E93" s="138">
        <v>1404</v>
      </c>
      <c r="F93" s="139">
        <v>42856</v>
      </c>
      <c r="G93" s="140">
        <v>1404</v>
      </c>
      <c r="H93" s="138">
        <f t="shared" si="2"/>
        <v>0</v>
      </c>
      <c r="I93" s="141" t="s">
        <v>15214</v>
      </c>
    </row>
    <row r="94" spans="1:9" x14ac:dyDescent="0.25">
      <c r="A94" s="135">
        <v>42856</v>
      </c>
      <c r="B94" s="142" t="s">
        <v>15388</v>
      </c>
      <c r="C94" s="143">
        <v>110143</v>
      </c>
      <c r="D94" s="142" t="s">
        <v>15389</v>
      </c>
      <c r="E94" s="144">
        <v>21457.4</v>
      </c>
      <c r="F94" s="145">
        <v>42864</v>
      </c>
      <c r="G94" s="146">
        <v>21457.4</v>
      </c>
      <c r="H94" s="138">
        <f t="shared" si="2"/>
        <v>0</v>
      </c>
      <c r="I94" s="147" t="s">
        <v>15214</v>
      </c>
    </row>
    <row r="95" spans="1:9" x14ac:dyDescent="0.25">
      <c r="A95" s="135">
        <v>42856</v>
      </c>
      <c r="B95" s="136" t="s">
        <v>15390</v>
      </c>
      <c r="C95" s="137">
        <v>110144</v>
      </c>
      <c r="D95" s="136" t="s">
        <v>15391</v>
      </c>
      <c r="E95" s="138">
        <v>7984.8</v>
      </c>
      <c r="F95" s="139">
        <v>42856</v>
      </c>
      <c r="G95" s="140">
        <v>7984.8</v>
      </c>
      <c r="H95" s="138">
        <f t="shared" si="2"/>
        <v>0</v>
      </c>
      <c r="I95" s="141" t="s">
        <v>15214</v>
      </c>
    </row>
    <row r="96" spans="1:9" x14ac:dyDescent="0.25">
      <c r="A96" s="135">
        <v>42856</v>
      </c>
      <c r="B96" s="142" t="s">
        <v>15392</v>
      </c>
      <c r="C96" s="143">
        <v>110145</v>
      </c>
      <c r="D96" s="142" t="s">
        <v>5883</v>
      </c>
      <c r="E96" s="144">
        <v>30349.46</v>
      </c>
      <c r="F96" s="145">
        <v>42884</v>
      </c>
      <c r="G96" s="146">
        <v>30349.46</v>
      </c>
      <c r="H96" s="138">
        <f t="shared" si="2"/>
        <v>0</v>
      </c>
      <c r="I96" s="147" t="s">
        <v>15214</v>
      </c>
    </row>
    <row r="97" spans="1:9" x14ac:dyDescent="0.25">
      <c r="A97" s="135">
        <v>42856</v>
      </c>
      <c r="B97" s="136" t="s">
        <v>15393</v>
      </c>
      <c r="C97" s="137">
        <v>110146</v>
      </c>
      <c r="D97" s="136" t="s">
        <v>15394</v>
      </c>
      <c r="E97" s="138">
        <v>26000.5</v>
      </c>
      <c r="F97" s="139" t="s">
        <v>15218</v>
      </c>
      <c r="G97" s="140">
        <f>14000+12000.5</f>
        <v>26000.5</v>
      </c>
      <c r="H97" s="144">
        <f t="shared" si="2"/>
        <v>0</v>
      </c>
      <c r="I97" s="141" t="s">
        <v>15214</v>
      </c>
    </row>
    <row r="98" spans="1:9" x14ac:dyDescent="0.25">
      <c r="A98" s="135">
        <v>42856</v>
      </c>
      <c r="B98" s="142" t="s">
        <v>15395</v>
      </c>
      <c r="C98" s="143">
        <v>110147</v>
      </c>
      <c r="D98" s="142" t="s">
        <v>15396</v>
      </c>
      <c r="E98" s="144">
        <v>7384.94</v>
      </c>
      <c r="F98" s="145">
        <v>42856</v>
      </c>
      <c r="G98" s="146">
        <v>7384.94</v>
      </c>
      <c r="H98" s="138">
        <f t="shared" si="2"/>
        <v>0</v>
      </c>
      <c r="I98" s="147" t="s">
        <v>15214</v>
      </c>
    </row>
    <row r="99" spans="1:9" x14ac:dyDescent="0.25">
      <c r="A99" s="135">
        <v>42856</v>
      </c>
      <c r="B99" s="136" t="s">
        <v>15397</v>
      </c>
      <c r="C99" s="137">
        <v>110148</v>
      </c>
      <c r="D99" s="136" t="s">
        <v>15398</v>
      </c>
      <c r="E99" s="138">
        <v>3098.5</v>
      </c>
      <c r="F99" s="139">
        <v>42856</v>
      </c>
      <c r="G99" s="140">
        <v>3098.5</v>
      </c>
      <c r="H99" s="138">
        <f t="shared" si="2"/>
        <v>0</v>
      </c>
      <c r="I99" s="141" t="s">
        <v>15214</v>
      </c>
    </row>
    <row r="100" spans="1:9" x14ac:dyDescent="0.25">
      <c r="A100" s="135">
        <v>42856</v>
      </c>
      <c r="B100" s="142" t="s">
        <v>15399</v>
      </c>
      <c r="C100" s="143">
        <v>110149</v>
      </c>
      <c r="D100" s="142" t="s">
        <v>15315</v>
      </c>
      <c r="E100" s="144">
        <v>49.2</v>
      </c>
      <c r="F100" s="145">
        <v>42856</v>
      </c>
      <c r="G100" s="146">
        <v>49.2</v>
      </c>
      <c r="H100" s="138">
        <f t="shared" si="2"/>
        <v>0</v>
      </c>
      <c r="I100" s="147" t="s">
        <v>15214</v>
      </c>
    </row>
    <row r="101" spans="1:9" x14ac:dyDescent="0.25">
      <c r="A101" s="135">
        <v>42856</v>
      </c>
      <c r="B101" s="136" t="s">
        <v>15400</v>
      </c>
      <c r="C101" s="137">
        <v>110150</v>
      </c>
      <c r="D101" s="136" t="s">
        <v>15401</v>
      </c>
      <c r="E101" s="138">
        <v>1720.2</v>
      </c>
      <c r="F101" s="139">
        <v>42856</v>
      </c>
      <c r="G101" s="140">
        <v>1720.2</v>
      </c>
      <c r="H101" s="138">
        <f t="shared" si="2"/>
        <v>0</v>
      </c>
      <c r="I101" s="141" t="s">
        <v>15214</v>
      </c>
    </row>
    <row r="102" spans="1:9" x14ac:dyDescent="0.25">
      <c r="A102" s="135">
        <v>42856</v>
      </c>
      <c r="B102" s="142" t="s">
        <v>15402</v>
      </c>
      <c r="C102" s="143">
        <v>110151</v>
      </c>
      <c r="D102" s="142" t="s">
        <v>5880</v>
      </c>
      <c r="E102" s="144">
        <v>65864.800000000003</v>
      </c>
      <c r="F102" s="145">
        <v>42857</v>
      </c>
      <c r="G102" s="146">
        <v>65864.800000000003</v>
      </c>
      <c r="H102" s="138">
        <f t="shared" si="2"/>
        <v>0</v>
      </c>
      <c r="I102" s="147" t="s">
        <v>15214</v>
      </c>
    </row>
    <row r="103" spans="1:9" x14ac:dyDescent="0.25">
      <c r="A103" s="135">
        <v>42856</v>
      </c>
      <c r="B103" s="136" t="s">
        <v>15403</v>
      </c>
      <c r="C103" s="137">
        <v>110152</v>
      </c>
      <c r="D103" s="136" t="s">
        <v>15404</v>
      </c>
      <c r="E103" s="138">
        <v>8778</v>
      </c>
      <c r="F103" s="139">
        <v>42857</v>
      </c>
      <c r="G103" s="140">
        <v>8778</v>
      </c>
      <c r="H103" s="138">
        <f t="shared" si="2"/>
        <v>0</v>
      </c>
      <c r="I103" s="141" t="s">
        <v>15214</v>
      </c>
    </row>
    <row r="104" spans="1:9" x14ac:dyDescent="0.25">
      <c r="A104" s="135">
        <v>42856</v>
      </c>
      <c r="B104" s="142" t="s">
        <v>15405</v>
      </c>
      <c r="C104" s="143">
        <v>110153</v>
      </c>
      <c r="D104" s="142" t="s">
        <v>15322</v>
      </c>
      <c r="E104" s="144">
        <v>884.3</v>
      </c>
      <c r="F104" s="145">
        <v>42856</v>
      </c>
      <c r="G104" s="146">
        <v>884.3</v>
      </c>
      <c r="H104" s="138">
        <f t="shared" si="2"/>
        <v>0</v>
      </c>
      <c r="I104" s="147" t="s">
        <v>15214</v>
      </c>
    </row>
    <row r="105" spans="1:9" x14ac:dyDescent="0.25">
      <c r="A105" s="135">
        <v>42856</v>
      </c>
      <c r="B105" s="136" t="s">
        <v>15406</v>
      </c>
      <c r="C105" s="137">
        <v>110154</v>
      </c>
      <c r="D105" s="136" t="s">
        <v>15407</v>
      </c>
      <c r="E105" s="138">
        <v>19777.5</v>
      </c>
      <c r="F105" s="139">
        <v>42856</v>
      </c>
      <c r="G105" s="140">
        <v>19777.5</v>
      </c>
      <c r="H105" s="138">
        <f t="shared" si="2"/>
        <v>0</v>
      </c>
      <c r="I105" s="141" t="s">
        <v>15214</v>
      </c>
    </row>
    <row r="106" spans="1:9" x14ac:dyDescent="0.25">
      <c r="A106" s="135">
        <v>42856</v>
      </c>
      <c r="B106" s="142" t="s">
        <v>15408</v>
      </c>
      <c r="C106" s="143">
        <v>110155</v>
      </c>
      <c r="D106" s="142" t="s">
        <v>15409</v>
      </c>
      <c r="E106" s="144">
        <v>30295.599999999999</v>
      </c>
      <c r="F106" s="145">
        <v>42856</v>
      </c>
      <c r="G106" s="146">
        <v>30295.599999999999</v>
      </c>
      <c r="H106" s="138">
        <f t="shared" si="2"/>
        <v>0</v>
      </c>
      <c r="I106" s="147" t="s">
        <v>15214</v>
      </c>
    </row>
    <row r="107" spans="1:9" x14ac:dyDescent="0.25">
      <c r="A107" s="135">
        <v>42856</v>
      </c>
      <c r="B107" s="136" t="s">
        <v>15410</v>
      </c>
      <c r="C107" s="137">
        <v>110156</v>
      </c>
      <c r="D107" s="136" t="s">
        <v>15315</v>
      </c>
      <c r="E107" s="138">
        <v>1711</v>
      </c>
      <c r="F107" s="139">
        <v>42856</v>
      </c>
      <c r="G107" s="140">
        <v>1711</v>
      </c>
      <c r="H107" s="138">
        <f t="shared" si="2"/>
        <v>0</v>
      </c>
      <c r="I107" s="141" t="s">
        <v>15214</v>
      </c>
    </row>
    <row r="108" spans="1:9" x14ac:dyDescent="0.25">
      <c r="A108" s="135">
        <v>42856</v>
      </c>
      <c r="B108" s="142" t="s">
        <v>15411</v>
      </c>
      <c r="C108" s="143">
        <v>110157</v>
      </c>
      <c r="D108" s="142" t="s">
        <v>15315</v>
      </c>
      <c r="E108" s="144">
        <v>112.8</v>
      </c>
      <c r="F108" s="145">
        <v>42856</v>
      </c>
      <c r="G108" s="146">
        <v>112.8</v>
      </c>
      <c r="H108" s="138">
        <f t="shared" si="2"/>
        <v>0</v>
      </c>
      <c r="I108" s="147" t="s">
        <v>15214</v>
      </c>
    </row>
    <row r="109" spans="1:9" x14ac:dyDescent="0.25">
      <c r="A109" s="135">
        <v>42856</v>
      </c>
      <c r="B109" s="136" t="s">
        <v>15412</v>
      </c>
      <c r="C109" s="137">
        <v>110158</v>
      </c>
      <c r="D109" s="136" t="s">
        <v>15413</v>
      </c>
      <c r="E109" s="138">
        <v>5673.8</v>
      </c>
      <c r="F109" s="139">
        <v>42856</v>
      </c>
      <c r="G109" s="140">
        <v>5673.8</v>
      </c>
      <c r="H109" s="138">
        <f t="shared" si="2"/>
        <v>0</v>
      </c>
      <c r="I109" s="141" t="s">
        <v>15214</v>
      </c>
    </row>
    <row r="110" spans="1:9" x14ac:dyDescent="0.25">
      <c r="A110" s="135">
        <v>42856</v>
      </c>
      <c r="B110" s="142" t="s">
        <v>15414</v>
      </c>
      <c r="C110" s="143">
        <v>110159</v>
      </c>
      <c r="D110" s="142" t="s">
        <v>15415</v>
      </c>
      <c r="E110" s="144">
        <v>2500</v>
      </c>
      <c r="F110" s="145">
        <v>42859</v>
      </c>
      <c r="G110" s="146">
        <v>2500</v>
      </c>
      <c r="H110" s="138">
        <f t="shared" si="2"/>
        <v>0</v>
      </c>
      <c r="I110" s="147" t="s">
        <v>15214</v>
      </c>
    </row>
    <row r="111" spans="1:9" x14ac:dyDescent="0.25">
      <c r="A111" s="135">
        <v>42856</v>
      </c>
      <c r="B111" s="136" t="s">
        <v>15416</v>
      </c>
      <c r="C111" s="137">
        <v>110160</v>
      </c>
      <c r="D111" s="136" t="s">
        <v>15417</v>
      </c>
      <c r="E111" s="138">
        <v>1948.5</v>
      </c>
      <c r="F111" s="139">
        <v>42857</v>
      </c>
      <c r="G111" s="140">
        <v>1948.5</v>
      </c>
      <c r="H111" s="138">
        <f t="shared" si="2"/>
        <v>0</v>
      </c>
      <c r="I111" s="141" t="s">
        <v>15214</v>
      </c>
    </row>
    <row r="112" spans="1:9" x14ac:dyDescent="0.25">
      <c r="A112" s="135">
        <v>42856</v>
      </c>
      <c r="B112" s="142" t="s">
        <v>15418</v>
      </c>
      <c r="C112" s="143">
        <v>110161</v>
      </c>
      <c r="D112" s="142" t="s">
        <v>15419</v>
      </c>
      <c r="E112" s="144">
        <v>3910</v>
      </c>
      <c r="F112" s="145">
        <v>42865</v>
      </c>
      <c r="G112" s="146">
        <v>3910</v>
      </c>
      <c r="H112" s="138">
        <f t="shared" si="2"/>
        <v>0</v>
      </c>
      <c r="I112" s="147" t="s">
        <v>15214</v>
      </c>
    </row>
    <row r="113" spans="1:9" x14ac:dyDescent="0.25">
      <c r="A113" s="135">
        <v>42856</v>
      </c>
      <c r="B113" s="136" t="s">
        <v>15420</v>
      </c>
      <c r="C113" s="137">
        <v>110162</v>
      </c>
      <c r="D113" s="136" t="s">
        <v>15421</v>
      </c>
      <c r="E113" s="138">
        <v>2411.1999999999998</v>
      </c>
      <c r="F113" s="139">
        <v>42856</v>
      </c>
      <c r="G113" s="140">
        <v>2411.1999999999998</v>
      </c>
      <c r="H113" s="138">
        <f t="shared" si="2"/>
        <v>0</v>
      </c>
      <c r="I113" s="141" t="s">
        <v>15214</v>
      </c>
    </row>
    <row r="114" spans="1:9" x14ac:dyDescent="0.25">
      <c r="A114" s="135">
        <v>42856</v>
      </c>
      <c r="B114" s="142" t="s">
        <v>15422</v>
      </c>
      <c r="C114" s="143">
        <v>110163</v>
      </c>
      <c r="D114" s="142" t="s">
        <v>15423</v>
      </c>
      <c r="E114" s="144">
        <v>2295.4</v>
      </c>
      <c r="F114" s="145">
        <v>42856</v>
      </c>
      <c r="G114" s="146">
        <v>2295.4</v>
      </c>
      <c r="H114" s="138">
        <f t="shared" si="2"/>
        <v>0</v>
      </c>
      <c r="I114" s="147" t="s">
        <v>15214</v>
      </c>
    </row>
    <row r="115" spans="1:9" x14ac:dyDescent="0.25">
      <c r="A115" s="135">
        <v>42856</v>
      </c>
      <c r="B115" s="136" t="s">
        <v>15424</v>
      </c>
      <c r="C115" s="137">
        <v>110164</v>
      </c>
      <c r="D115" s="136" t="s">
        <v>15315</v>
      </c>
      <c r="E115" s="138">
        <v>2943</v>
      </c>
      <c r="F115" s="139">
        <v>42856</v>
      </c>
      <c r="G115" s="140">
        <v>2943</v>
      </c>
      <c r="H115" s="138">
        <f t="shared" si="2"/>
        <v>0</v>
      </c>
      <c r="I115" s="141" t="s">
        <v>15214</v>
      </c>
    </row>
    <row r="116" spans="1:9" x14ac:dyDescent="0.25">
      <c r="A116" s="135">
        <v>42856</v>
      </c>
      <c r="B116" s="142" t="s">
        <v>15425</v>
      </c>
      <c r="C116" s="143">
        <v>110165</v>
      </c>
      <c r="D116" s="142" t="s">
        <v>15315</v>
      </c>
      <c r="E116" s="144">
        <v>10236.5</v>
      </c>
      <c r="F116" s="145">
        <v>42856</v>
      </c>
      <c r="G116" s="146">
        <v>10236.5</v>
      </c>
      <c r="H116" s="138">
        <f t="shared" si="2"/>
        <v>0</v>
      </c>
      <c r="I116" s="147" t="s">
        <v>15214</v>
      </c>
    </row>
    <row r="117" spans="1:9" x14ac:dyDescent="0.25">
      <c r="A117" s="135">
        <v>42856</v>
      </c>
      <c r="B117" s="136" t="s">
        <v>15426</v>
      </c>
      <c r="C117" s="137">
        <v>110166</v>
      </c>
      <c r="D117" s="136" t="s">
        <v>15427</v>
      </c>
      <c r="E117" s="138">
        <v>39069.4</v>
      </c>
      <c r="F117" s="139">
        <v>42858</v>
      </c>
      <c r="G117" s="140">
        <v>39069.4</v>
      </c>
      <c r="H117" s="138">
        <f t="shared" si="2"/>
        <v>0</v>
      </c>
      <c r="I117" s="141" t="s">
        <v>15214</v>
      </c>
    </row>
    <row r="118" spans="1:9" x14ac:dyDescent="0.25">
      <c r="A118" s="135">
        <v>42856</v>
      </c>
      <c r="B118" s="142" t="s">
        <v>15428</v>
      </c>
      <c r="C118" s="143">
        <v>110167</v>
      </c>
      <c r="D118" s="142" t="s">
        <v>15315</v>
      </c>
      <c r="E118" s="144">
        <v>1271.4000000000001</v>
      </c>
      <c r="F118" s="145">
        <v>42856</v>
      </c>
      <c r="G118" s="146">
        <v>1271.4000000000001</v>
      </c>
      <c r="H118" s="138">
        <f t="shared" si="2"/>
        <v>0</v>
      </c>
      <c r="I118" s="147" t="s">
        <v>15214</v>
      </c>
    </row>
    <row r="119" spans="1:9" x14ac:dyDescent="0.25">
      <c r="A119" s="135">
        <v>42856</v>
      </c>
      <c r="B119" s="136" t="s">
        <v>15429</v>
      </c>
      <c r="C119" s="137">
        <v>110168</v>
      </c>
      <c r="D119" s="136" t="s">
        <v>15315</v>
      </c>
      <c r="E119" s="138">
        <v>780</v>
      </c>
      <c r="F119" s="139">
        <v>42856</v>
      </c>
      <c r="G119" s="140">
        <v>780</v>
      </c>
      <c r="H119" s="138">
        <f t="shared" si="2"/>
        <v>0</v>
      </c>
      <c r="I119" s="141" t="s">
        <v>15214</v>
      </c>
    </row>
    <row r="120" spans="1:9" x14ac:dyDescent="0.25">
      <c r="A120" s="135">
        <v>42856</v>
      </c>
      <c r="B120" s="142" t="s">
        <v>15430</v>
      </c>
      <c r="C120" s="143">
        <v>110169</v>
      </c>
      <c r="D120" s="142" t="s">
        <v>15431</v>
      </c>
      <c r="E120" s="144">
        <v>5519.2</v>
      </c>
      <c r="F120" s="145">
        <v>42856</v>
      </c>
      <c r="G120" s="146">
        <v>5519.2</v>
      </c>
      <c r="H120" s="138">
        <f t="shared" si="2"/>
        <v>0</v>
      </c>
      <c r="I120" s="147" t="s">
        <v>15214</v>
      </c>
    </row>
    <row r="121" spans="1:9" x14ac:dyDescent="0.25">
      <c r="A121" s="135">
        <v>42856</v>
      </c>
      <c r="B121" s="136" t="s">
        <v>15432</v>
      </c>
      <c r="C121" s="137">
        <v>110170</v>
      </c>
      <c r="D121" s="136" t="s">
        <v>15433</v>
      </c>
      <c r="E121" s="138">
        <v>1446.8</v>
      </c>
      <c r="F121" s="139">
        <v>42856</v>
      </c>
      <c r="G121" s="140">
        <v>1446.8</v>
      </c>
      <c r="H121" s="138">
        <f t="shared" si="2"/>
        <v>0</v>
      </c>
      <c r="I121" s="141" t="s">
        <v>15214</v>
      </c>
    </row>
    <row r="122" spans="1:9" ht="15.75" x14ac:dyDescent="0.25">
      <c r="A122" s="135">
        <v>42856</v>
      </c>
      <c r="B122" s="142" t="s">
        <v>15434</v>
      </c>
      <c r="C122" s="143">
        <v>110171</v>
      </c>
      <c r="D122" s="142" t="s">
        <v>15435</v>
      </c>
      <c r="E122" s="144">
        <v>0</v>
      </c>
      <c r="F122" s="151" t="s">
        <v>95</v>
      </c>
      <c r="G122" s="144">
        <v>0</v>
      </c>
      <c r="H122" s="138">
        <f t="shared" si="2"/>
        <v>0</v>
      </c>
      <c r="I122" s="147" t="s">
        <v>95</v>
      </c>
    </row>
    <row r="123" spans="1:9" x14ac:dyDescent="0.25">
      <c r="A123" s="135">
        <v>42856</v>
      </c>
      <c r="B123" s="136" t="s">
        <v>15436</v>
      </c>
      <c r="C123" s="137">
        <v>110172</v>
      </c>
      <c r="D123" s="136" t="s">
        <v>15435</v>
      </c>
      <c r="E123" s="138">
        <v>8704</v>
      </c>
      <c r="F123" s="139">
        <v>42856</v>
      </c>
      <c r="G123" s="140">
        <v>8704</v>
      </c>
      <c r="H123" s="138">
        <f t="shared" si="2"/>
        <v>0</v>
      </c>
      <c r="I123" s="141" t="s">
        <v>15214</v>
      </c>
    </row>
    <row r="124" spans="1:9" x14ac:dyDescent="0.25">
      <c r="A124" s="135">
        <v>42856</v>
      </c>
      <c r="B124" s="142" t="s">
        <v>15437</v>
      </c>
      <c r="C124" s="143">
        <v>110173</v>
      </c>
      <c r="D124" s="142" t="s">
        <v>15438</v>
      </c>
      <c r="E124" s="144">
        <v>422.4</v>
      </c>
      <c r="F124" s="145">
        <v>42856</v>
      </c>
      <c r="G124" s="146">
        <v>422.4</v>
      </c>
      <c r="H124" s="138">
        <f t="shared" si="2"/>
        <v>0</v>
      </c>
      <c r="I124" s="147" t="s">
        <v>15214</v>
      </c>
    </row>
    <row r="125" spans="1:9" x14ac:dyDescent="0.25">
      <c r="A125" s="135">
        <v>42856</v>
      </c>
      <c r="B125" s="136" t="s">
        <v>15439</v>
      </c>
      <c r="C125" s="137">
        <v>110174</v>
      </c>
      <c r="D125" s="136" t="s">
        <v>15246</v>
      </c>
      <c r="E125" s="138">
        <v>24076.5</v>
      </c>
      <c r="F125" s="139">
        <v>42859</v>
      </c>
      <c r="G125" s="140">
        <v>24076.5</v>
      </c>
      <c r="H125" s="138">
        <f t="shared" si="2"/>
        <v>0</v>
      </c>
      <c r="I125" s="141" t="s">
        <v>15214</v>
      </c>
    </row>
    <row r="126" spans="1:9" x14ac:dyDescent="0.25">
      <c r="A126" s="135">
        <v>42856</v>
      </c>
      <c r="B126" s="142" t="s">
        <v>15440</v>
      </c>
      <c r="C126" s="143">
        <v>110175</v>
      </c>
      <c r="D126" s="142" t="s">
        <v>15365</v>
      </c>
      <c r="E126" s="144">
        <v>1700</v>
      </c>
      <c r="F126" s="145">
        <v>42863</v>
      </c>
      <c r="G126" s="146">
        <v>1700</v>
      </c>
      <c r="H126" s="138">
        <f t="shared" si="2"/>
        <v>0</v>
      </c>
      <c r="I126" s="147" t="s">
        <v>15214</v>
      </c>
    </row>
    <row r="127" spans="1:9" x14ac:dyDescent="0.25">
      <c r="A127" s="135">
        <v>42856</v>
      </c>
      <c r="B127" s="136" t="s">
        <v>15441</v>
      </c>
      <c r="C127" s="137">
        <v>110176</v>
      </c>
      <c r="D127" s="136" t="s">
        <v>15442</v>
      </c>
      <c r="E127" s="138">
        <v>18576</v>
      </c>
      <c r="F127" s="139">
        <v>42861</v>
      </c>
      <c r="G127" s="140">
        <v>18576</v>
      </c>
      <c r="H127" s="138">
        <f t="shared" si="2"/>
        <v>0</v>
      </c>
      <c r="I127" s="141" t="s">
        <v>15214</v>
      </c>
    </row>
    <row r="128" spans="1:9" x14ac:dyDescent="0.25">
      <c r="A128" s="135">
        <v>42856</v>
      </c>
      <c r="B128" s="142" t="s">
        <v>15443</v>
      </c>
      <c r="C128" s="143">
        <v>110177</v>
      </c>
      <c r="D128" s="142" t="s">
        <v>15444</v>
      </c>
      <c r="E128" s="144">
        <v>1170.8</v>
      </c>
      <c r="F128" s="145">
        <v>42857</v>
      </c>
      <c r="G128" s="146">
        <v>1170.8</v>
      </c>
      <c r="H128" s="138">
        <f t="shared" si="2"/>
        <v>0</v>
      </c>
      <c r="I128" s="147" t="s">
        <v>15214</v>
      </c>
    </row>
    <row r="129" spans="1:9" x14ac:dyDescent="0.25">
      <c r="A129" s="135">
        <v>42856</v>
      </c>
      <c r="B129" s="136" t="s">
        <v>15445</v>
      </c>
      <c r="C129" s="137">
        <v>110178</v>
      </c>
      <c r="D129" s="136" t="s">
        <v>15446</v>
      </c>
      <c r="E129" s="138">
        <v>2168.3000000000002</v>
      </c>
      <c r="F129" s="139">
        <v>42858</v>
      </c>
      <c r="G129" s="140">
        <v>2168.3000000000002</v>
      </c>
      <c r="H129" s="138">
        <f t="shared" si="2"/>
        <v>0</v>
      </c>
      <c r="I129" s="141" t="s">
        <v>15214</v>
      </c>
    </row>
    <row r="130" spans="1:9" x14ac:dyDescent="0.25">
      <c r="A130" s="135">
        <v>42856</v>
      </c>
      <c r="B130" s="142" t="s">
        <v>15447</v>
      </c>
      <c r="C130" s="143">
        <v>110179</v>
      </c>
      <c r="D130" s="142" t="s">
        <v>15448</v>
      </c>
      <c r="E130" s="144">
        <v>195836.42</v>
      </c>
      <c r="F130" s="145">
        <v>42858</v>
      </c>
      <c r="G130" s="146">
        <v>195836.42</v>
      </c>
      <c r="H130" s="138">
        <f t="shared" si="2"/>
        <v>0</v>
      </c>
      <c r="I130" s="147" t="s">
        <v>15214</v>
      </c>
    </row>
    <row r="131" spans="1:9" x14ac:dyDescent="0.25">
      <c r="A131" s="135">
        <v>42856</v>
      </c>
      <c r="B131" s="136" t="s">
        <v>15449</v>
      </c>
      <c r="C131" s="137">
        <v>110180</v>
      </c>
      <c r="D131" s="136" t="s">
        <v>15450</v>
      </c>
      <c r="E131" s="138">
        <v>15208</v>
      </c>
      <c r="F131" s="139">
        <v>42858</v>
      </c>
      <c r="G131" s="140">
        <v>15208</v>
      </c>
      <c r="H131" s="138">
        <f t="shared" si="2"/>
        <v>0</v>
      </c>
      <c r="I131" s="141" t="s">
        <v>15214</v>
      </c>
    </row>
    <row r="132" spans="1:9" x14ac:dyDescent="0.25">
      <c r="A132" s="135">
        <v>42856</v>
      </c>
      <c r="B132" s="142" t="s">
        <v>15451</v>
      </c>
      <c r="C132" s="143">
        <v>110181</v>
      </c>
      <c r="D132" s="142" t="s">
        <v>15452</v>
      </c>
      <c r="E132" s="144">
        <v>4766.3999999999996</v>
      </c>
      <c r="F132" s="145">
        <v>42858</v>
      </c>
      <c r="G132" s="146">
        <v>4766.3999999999996</v>
      </c>
      <c r="H132" s="138">
        <f t="shared" ref="H132:H195" si="3">E132-G132</f>
        <v>0</v>
      </c>
      <c r="I132" s="147" t="s">
        <v>15214</v>
      </c>
    </row>
    <row r="133" spans="1:9" x14ac:dyDescent="0.25">
      <c r="A133" s="135">
        <v>42856</v>
      </c>
      <c r="B133" s="136" t="s">
        <v>15453</v>
      </c>
      <c r="C133" s="137">
        <v>110182</v>
      </c>
      <c r="D133" s="136" t="s">
        <v>15454</v>
      </c>
      <c r="E133" s="138">
        <v>645</v>
      </c>
      <c r="F133" s="139">
        <v>42858</v>
      </c>
      <c r="G133" s="140">
        <v>645</v>
      </c>
      <c r="H133" s="138">
        <f t="shared" si="3"/>
        <v>0</v>
      </c>
      <c r="I133" s="141" t="s">
        <v>15214</v>
      </c>
    </row>
    <row r="134" spans="1:9" x14ac:dyDescent="0.25">
      <c r="A134" s="135">
        <v>42856</v>
      </c>
      <c r="B134" s="142" t="s">
        <v>15455</v>
      </c>
      <c r="C134" s="143">
        <v>110183</v>
      </c>
      <c r="D134" s="142" t="s">
        <v>15456</v>
      </c>
      <c r="E134" s="144">
        <v>32578</v>
      </c>
      <c r="F134" s="145">
        <v>42858</v>
      </c>
      <c r="G134" s="146">
        <v>32578</v>
      </c>
      <c r="H134" s="138">
        <f t="shared" si="3"/>
        <v>0</v>
      </c>
      <c r="I134" s="147" t="s">
        <v>15214</v>
      </c>
    </row>
    <row r="135" spans="1:9" x14ac:dyDescent="0.25">
      <c r="A135" s="135">
        <v>42856</v>
      </c>
      <c r="B135" s="136" t="s">
        <v>15457</v>
      </c>
      <c r="C135" s="137">
        <v>110184</v>
      </c>
      <c r="D135" s="136" t="s">
        <v>15458</v>
      </c>
      <c r="E135" s="138">
        <v>15667.3</v>
      </c>
      <c r="F135" s="139">
        <v>42858</v>
      </c>
      <c r="G135" s="140">
        <v>15667.3</v>
      </c>
      <c r="H135" s="138">
        <f t="shared" si="3"/>
        <v>0</v>
      </c>
      <c r="I135" s="141" t="s">
        <v>15214</v>
      </c>
    </row>
    <row r="136" spans="1:9" x14ac:dyDescent="0.25">
      <c r="A136" s="135">
        <v>42856</v>
      </c>
      <c r="B136" s="142" t="s">
        <v>15459</v>
      </c>
      <c r="C136" s="143">
        <v>110185</v>
      </c>
      <c r="D136" s="142" t="s">
        <v>15460</v>
      </c>
      <c r="E136" s="144">
        <v>5078.3999999999996</v>
      </c>
      <c r="F136" s="145">
        <v>42858</v>
      </c>
      <c r="G136" s="146">
        <v>5078.3999999999996</v>
      </c>
      <c r="H136" s="138">
        <f t="shared" si="3"/>
        <v>0</v>
      </c>
      <c r="I136" s="147" t="s">
        <v>15214</v>
      </c>
    </row>
    <row r="137" spans="1:9" ht="15.75" x14ac:dyDescent="0.25">
      <c r="A137" s="135">
        <v>42856</v>
      </c>
      <c r="B137" s="136" t="s">
        <v>15461</v>
      </c>
      <c r="C137" s="137">
        <v>110186</v>
      </c>
      <c r="D137" s="136" t="s">
        <v>15462</v>
      </c>
      <c r="E137" s="138">
        <v>0</v>
      </c>
      <c r="F137" s="153" t="s">
        <v>95</v>
      </c>
      <c r="G137" s="138">
        <v>0</v>
      </c>
      <c r="H137" s="138">
        <f t="shared" si="3"/>
        <v>0</v>
      </c>
      <c r="I137" s="141" t="s">
        <v>95</v>
      </c>
    </row>
    <row r="138" spans="1:9" x14ac:dyDescent="0.25">
      <c r="A138" s="135">
        <v>42856</v>
      </c>
      <c r="B138" s="142" t="s">
        <v>15463</v>
      </c>
      <c r="C138" s="143">
        <v>110187</v>
      </c>
      <c r="D138" s="142" t="s">
        <v>15462</v>
      </c>
      <c r="E138" s="144">
        <v>7522.5</v>
      </c>
      <c r="F138" s="145">
        <v>42858</v>
      </c>
      <c r="G138" s="146">
        <v>7522.5</v>
      </c>
      <c r="H138" s="138">
        <f t="shared" si="3"/>
        <v>0</v>
      </c>
      <c r="I138" s="147" t="s">
        <v>15214</v>
      </c>
    </row>
    <row r="139" spans="1:9" x14ac:dyDescent="0.25">
      <c r="A139" s="135">
        <v>42856</v>
      </c>
      <c r="B139" s="136" t="s">
        <v>15464</v>
      </c>
      <c r="C139" s="137">
        <v>110188</v>
      </c>
      <c r="D139" s="136" t="s">
        <v>15465</v>
      </c>
      <c r="E139" s="138">
        <v>1670.9</v>
      </c>
      <c r="F139" s="139">
        <v>42858</v>
      </c>
      <c r="G139" s="140">
        <v>1670.9</v>
      </c>
      <c r="H139" s="138">
        <f t="shared" si="3"/>
        <v>0</v>
      </c>
      <c r="I139" s="141" t="s">
        <v>15214</v>
      </c>
    </row>
    <row r="140" spans="1:9" x14ac:dyDescent="0.25">
      <c r="A140" s="135">
        <v>42856</v>
      </c>
      <c r="B140" s="154" t="s">
        <v>15466</v>
      </c>
      <c r="C140" s="143">
        <v>110189</v>
      </c>
      <c r="D140" s="142" t="s">
        <v>15263</v>
      </c>
      <c r="E140" s="144">
        <v>1222.8</v>
      </c>
      <c r="F140" s="145">
        <v>42857</v>
      </c>
      <c r="G140" s="146">
        <v>1222.8</v>
      </c>
      <c r="H140" s="138">
        <f t="shared" si="3"/>
        <v>0</v>
      </c>
      <c r="I140" s="147" t="s">
        <v>15214</v>
      </c>
    </row>
    <row r="141" spans="1:9" x14ac:dyDescent="0.25">
      <c r="A141" s="135">
        <v>42857</v>
      </c>
      <c r="B141" s="136" t="s">
        <v>15467</v>
      </c>
      <c r="C141" s="137">
        <v>110190</v>
      </c>
      <c r="D141" s="136" t="s">
        <v>15448</v>
      </c>
      <c r="E141" s="138">
        <v>9292</v>
      </c>
      <c r="F141" s="139">
        <v>42858</v>
      </c>
      <c r="G141" s="140">
        <v>9292</v>
      </c>
      <c r="H141" s="138">
        <f t="shared" si="3"/>
        <v>0</v>
      </c>
      <c r="I141" s="141" t="s">
        <v>15214</v>
      </c>
    </row>
    <row r="142" spans="1:9" x14ac:dyDescent="0.25">
      <c r="A142" s="135">
        <v>42857</v>
      </c>
      <c r="B142" s="142" t="s">
        <v>15468</v>
      </c>
      <c r="C142" s="143">
        <v>110191</v>
      </c>
      <c r="D142" s="142" t="s">
        <v>15213</v>
      </c>
      <c r="E142" s="144">
        <v>6423.75</v>
      </c>
      <c r="F142" s="145">
        <v>42858</v>
      </c>
      <c r="G142" s="146">
        <v>6423.75</v>
      </c>
      <c r="H142" s="138">
        <f t="shared" si="3"/>
        <v>0</v>
      </c>
      <c r="I142" s="147" t="s">
        <v>15214</v>
      </c>
    </row>
    <row r="143" spans="1:9" x14ac:dyDescent="0.25">
      <c r="A143" s="135">
        <v>42857</v>
      </c>
      <c r="B143" s="136" t="s">
        <v>15469</v>
      </c>
      <c r="C143" s="137">
        <v>110192</v>
      </c>
      <c r="D143" s="136" t="s">
        <v>15213</v>
      </c>
      <c r="E143" s="138">
        <v>30878.45</v>
      </c>
      <c r="F143" s="139">
        <v>42858</v>
      </c>
      <c r="G143" s="140">
        <v>30878.45</v>
      </c>
      <c r="H143" s="138">
        <f t="shared" si="3"/>
        <v>0</v>
      </c>
      <c r="I143" s="141" t="s">
        <v>15214</v>
      </c>
    </row>
    <row r="144" spans="1:9" x14ac:dyDescent="0.25">
      <c r="A144" s="135">
        <v>42857</v>
      </c>
      <c r="B144" s="142" t="s">
        <v>15470</v>
      </c>
      <c r="C144" s="143">
        <v>110193</v>
      </c>
      <c r="D144" s="142" t="s">
        <v>15330</v>
      </c>
      <c r="E144" s="144">
        <v>3114.5</v>
      </c>
      <c r="F144" s="145">
        <v>42857</v>
      </c>
      <c r="G144" s="146">
        <v>3114.5</v>
      </c>
      <c r="H144" s="138">
        <f t="shared" si="3"/>
        <v>0</v>
      </c>
      <c r="I144" s="147" t="s">
        <v>15214</v>
      </c>
    </row>
    <row r="145" spans="1:9" x14ac:dyDescent="0.25">
      <c r="A145" s="135">
        <v>42857</v>
      </c>
      <c r="B145" s="136" t="s">
        <v>15471</v>
      </c>
      <c r="C145" s="137">
        <v>110194</v>
      </c>
      <c r="D145" s="136" t="s">
        <v>15230</v>
      </c>
      <c r="E145" s="138">
        <v>7942.4</v>
      </c>
      <c r="F145" s="139">
        <v>42859</v>
      </c>
      <c r="G145" s="140">
        <v>7942.4</v>
      </c>
      <c r="H145" s="138">
        <f t="shared" si="3"/>
        <v>0</v>
      </c>
      <c r="I145" s="141" t="s">
        <v>15214</v>
      </c>
    </row>
    <row r="146" spans="1:9" x14ac:dyDescent="0.25">
      <c r="A146" s="135">
        <v>42857</v>
      </c>
      <c r="B146" s="142" t="s">
        <v>15472</v>
      </c>
      <c r="C146" s="143">
        <v>110195</v>
      </c>
      <c r="D146" s="142" t="s">
        <v>15232</v>
      </c>
      <c r="E146" s="144">
        <v>5548.8</v>
      </c>
      <c r="F146" s="145">
        <v>42861</v>
      </c>
      <c r="G146" s="146">
        <v>5548.8</v>
      </c>
      <c r="H146" s="138">
        <f t="shared" si="3"/>
        <v>0</v>
      </c>
      <c r="I146" s="147" t="s">
        <v>15214</v>
      </c>
    </row>
    <row r="147" spans="1:9" x14ac:dyDescent="0.25">
      <c r="A147" s="135">
        <v>42857</v>
      </c>
      <c r="B147" s="136" t="s">
        <v>15473</v>
      </c>
      <c r="C147" s="137">
        <v>110196</v>
      </c>
      <c r="D147" s="136" t="s">
        <v>15228</v>
      </c>
      <c r="E147" s="138">
        <v>5587.2</v>
      </c>
      <c r="F147" s="139">
        <v>42857</v>
      </c>
      <c r="G147" s="140">
        <v>5587.2</v>
      </c>
      <c r="H147" s="138">
        <f t="shared" si="3"/>
        <v>0</v>
      </c>
      <c r="I147" s="141" t="s">
        <v>15214</v>
      </c>
    </row>
    <row r="148" spans="1:9" x14ac:dyDescent="0.25">
      <c r="A148" s="135">
        <v>42857</v>
      </c>
      <c r="B148" s="142" t="s">
        <v>15474</v>
      </c>
      <c r="C148" s="143">
        <v>110197</v>
      </c>
      <c r="D148" s="142" t="s">
        <v>15475</v>
      </c>
      <c r="E148" s="144">
        <v>4776.6000000000004</v>
      </c>
      <c r="F148" s="145">
        <v>42857</v>
      </c>
      <c r="G148" s="146">
        <v>4776.6000000000004</v>
      </c>
      <c r="H148" s="138">
        <f t="shared" si="3"/>
        <v>0</v>
      </c>
      <c r="I148" s="147" t="s">
        <v>15214</v>
      </c>
    </row>
    <row r="149" spans="1:9" x14ac:dyDescent="0.25">
      <c r="A149" s="135">
        <v>42857</v>
      </c>
      <c r="B149" s="136" t="s">
        <v>15476</v>
      </c>
      <c r="C149" s="137">
        <v>110198</v>
      </c>
      <c r="D149" s="136" t="s">
        <v>15263</v>
      </c>
      <c r="E149" s="138">
        <v>4347.1000000000004</v>
      </c>
      <c r="F149" s="139">
        <v>42857</v>
      </c>
      <c r="G149" s="140">
        <v>4347.1000000000004</v>
      </c>
      <c r="H149" s="138">
        <f t="shared" si="3"/>
        <v>0</v>
      </c>
      <c r="I149" s="141" t="s">
        <v>15214</v>
      </c>
    </row>
    <row r="150" spans="1:9" x14ac:dyDescent="0.25">
      <c r="A150" s="135">
        <v>42857</v>
      </c>
      <c r="B150" s="142" t="s">
        <v>15477</v>
      </c>
      <c r="C150" s="143">
        <v>110199</v>
      </c>
      <c r="D150" s="142" t="s">
        <v>15256</v>
      </c>
      <c r="E150" s="144">
        <v>11685</v>
      </c>
      <c r="F150" s="145" t="s">
        <v>15478</v>
      </c>
      <c r="G150" s="146">
        <f>5000+6685</f>
        <v>11685</v>
      </c>
      <c r="H150" s="155">
        <f t="shared" si="3"/>
        <v>0</v>
      </c>
      <c r="I150" s="147" t="s">
        <v>15214</v>
      </c>
    </row>
    <row r="151" spans="1:9" x14ac:dyDescent="0.25">
      <c r="A151" s="135">
        <v>42857</v>
      </c>
      <c r="B151" s="136" t="s">
        <v>15479</v>
      </c>
      <c r="C151" s="137">
        <v>110200</v>
      </c>
      <c r="D151" s="136" t="s">
        <v>15480</v>
      </c>
      <c r="E151" s="138">
        <v>3379.6</v>
      </c>
      <c r="F151" s="139" t="s">
        <v>15481</v>
      </c>
      <c r="G151" s="140">
        <f>1000+2379.6</f>
        <v>3379.6</v>
      </c>
      <c r="H151" s="144">
        <f t="shared" si="3"/>
        <v>0</v>
      </c>
      <c r="I151" s="141" t="s">
        <v>15214</v>
      </c>
    </row>
    <row r="152" spans="1:9" x14ac:dyDescent="0.25">
      <c r="A152" s="135">
        <v>42857</v>
      </c>
      <c r="B152" s="142" t="s">
        <v>15482</v>
      </c>
      <c r="C152" s="143">
        <v>110201</v>
      </c>
      <c r="D152" s="142" t="s">
        <v>15330</v>
      </c>
      <c r="E152" s="144">
        <v>5966.2</v>
      </c>
      <c r="F152" s="145">
        <v>42857</v>
      </c>
      <c r="G152" s="146">
        <v>5966.2</v>
      </c>
      <c r="H152" s="138">
        <f t="shared" si="3"/>
        <v>0</v>
      </c>
      <c r="I152" s="147" t="s">
        <v>15214</v>
      </c>
    </row>
    <row r="153" spans="1:9" x14ac:dyDescent="0.25">
      <c r="A153" s="135">
        <v>42857</v>
      </c>
      <c r="B153" s="136" t="s">
        <v>15483</v>
      </c>
      <c r="C153" s="137">
        <v>110202</v>
      </c>
      <c r="D153" s="136" t="s">
        <v>15220</v>
      </c>
      <c r="E153" s="138">
        <v>2304.6</v>
      </c>
      <c r="F153" s="139">
        <v>42857</v>
      </c>
      <c r="G153" s="140">
        <v>2304.6</v>
      </c>
      <c r="H153" s="138">
        <f t="shared" si="3"/>
        <v>0</v>
      </c>
      <c r="I153" s="141" t="s">
        <v>15214</v>
      </c>
    </row>
    <row r="154" spans="1:9" ht="15.75" x14ac:dyDescent="0.25">
      <c r="A154" s="135">
        <v>42857</v>
      </c>
      <c r="B154" s="142" t="s">
        <v>15484</v>
      </c>
      <c r="C154" s="143">
        <v>110203</v>
      </c>
      <c r="D154" s="142" t="s">
        <v>15236</v>
      </c>
      <c r="E154" s="144">
        <v>0</v>
      </c>
      <c r="F154" s="156" t="s">
        <v>95</v>
      </c>
      <c r="G154" s="144">
        <v>0</v>
      </c>
      <c r="H154" s="138">
        <f t="shared" si="3"/>
        <v>0</v>
      </c>
      <c r="I154" s="147" t="s">
        <v>95</v>
      </c>
    </row>
    <row r="155" spans="1:9" x14ac:dyDescent="0.25">
      <c r="A155" s="135">
        <v>42857</v>
      </c>
      <c r="B155" s="136" t="s">
        <v>15485</v>
      </c>
      <c r="C155" s="137">
        <v>110204</v>
      </c>
      <c r="D155" s="136" t="s">
        <v>15236</v>
      </c>
      <c r="E155" s="138">
        <v>5545</v>
      </c>
      <c r="F155" s="139">
        <v>42859</v>
      </c>
      <c r="G155" s="140">
        <v>5545</v>
      </c>
      <c r="H155" s="138">
        <f t="shared" si="3"/>
        <v>0</v>
      </c>
      <c r="I155" s="141" t="s">
        <v>15214</v>
      </c>
    </row>
    <row r="156" spans="1:9" x14ac:dyDescent="0.25">
      <c r="A156" s="135">
        <v>42857</v>
      </c>
      <c r="B156" s="142" t="s">
        <v>15486</v>
      </c>
      <c r="C156" s="143">
        <v>110205</v>
      </c>
      <c r="D156" s="142" t="s">
        <v>15487</v>
      </c>
      <c r="E156" s="144">
        <v>5267.5</v>
      </c>
      <c r="F156" s="145">
        <v>42857</v>
      </c>
      <c r="G156" s="146">
        <v>5267.5</v>
      </c>
      <c r="H156" s="138">
        <f t="shared" si="3"/>
        <v>0</v>
      </c>
      <c r="I156" s="147" t="s">
        <v>15214</v>
      </c>
    </row>
    <row r="157" spans="1:9" x14ac:dyDescent="0.25">
      <c r="A157" s="135">
        <v>42857</v>
      </c>
      <c r="B157" s="136" t="s">
        <v>15488</v>
      </c>
      <c r="C157" s="137">
        <v>110206</v>
      </c>
      <c r="D157" s="136" t="s">
        <v>15250</v>
      </c>
      <c r="E157" s="138">
        <v>743.4</v>
      </c>
      <c r="F157" s="139">
        <v>42868</v>
      </c>
      <c r="G157" s="140">
        <v>743.4</v>
      </c>
      <c r="H157" s="138">
        <f t="shared" si="3"/>
        <v>0</v>
      </c>
      <c r="I157" s="141" t="s">
        <v>15214</v>
      </c>
    </row>
    <row r="158" spans="1:9" x14ac:dyDescent="0.25">
      <c r="A158" s="135">
        <v>42857</v>
      </c>
      <c r="B158" s="142" t="s">
        <v>15489</v>
      </c>
      <c r="C158" s="143">
        <v>110207</v>
      </c>
      <c r="D158" s="142" t="s">
        <v>15324</v>
      </c>
      <c r="E158" s="144">
        <v>1266</v>
      </c>
      <c r="F158" s="145">
        <v>42857</v>
      </c>
      <c r="G158" s="146">
        <v>1266</v>
      </c>
      <c r="H158" s="138">
        <f t="shared" si="3"/>
        <v>0</v>
      </c>
      <c r="I158" s="147" t="s">
        <v>15214</v>
      </c>
    </row>
    <row r="159" spans="1:9" x14ac:dyDescent="0.25">
      <c r="A159" s="135">
        <v>42857</v>
      </c>
      <c r="B159" s="136" t="s">
        <v>15490</v>
      </c>
      <c r="C159" s="137">
        <v>110208</v>
      </c>
      <c r="D159" s="136" t="s">
        <v>15242</v>
      </c>
      <c r="E159" s="138">
        <v>4343</v>
      </c>
      <c r="F159" s="139">
        <v>42859</v>
      </c>
      <c r="G159" s="140">
        <v>4343</v>
      </c>
      <c r="H159" s="138">
        <f t="shared" si="3"/>
        <v>0</v>
      </c>
      <c r="I159" s="141" t="s">
        <v>15214</v>
      </c>
    </row>
    <row r="160" spans="1:9" x14ac:dyDescent="0.25">
      <c r="A160" s="135">
        <v>42857</v>
      </c>
      <c r="B160" s="142" t="s">
        <v>15491</v>
      </c>
      <c r="C160" s="143">
        <v>110209</v>
      </c>
      <c r="D160" s="142" t="s">
        <v>15328</v>
      </c>
      <c r="E160" s="144">
        <v>67943.95</v>
      </c>
      <c r="F160" s="145">
        <v>42868</v>
      </c>
      <c r="G160" s="146">
        <v>67943.95</v>
      </c>
      <c r="H160" s="138">
        <f t="shared" si="3"/>
        <v>0</v>
      </c>
      <c r="I160" s="147" t="s">
        <v>15214</v>
      </c>
    </row>
    <row r="161" spans="1:9" x14ac:dyDescent="0.25">
      <c r="A161" s="135">
        <v>42857</v>
      </c>
      <c r="B161" s="136" t="s">
        <v>15492</v>
      </c>
      <c r="C161" s="137">
        <v>110210</v>
      </c>
      <c r="D161" s="136" t="s">
        <v>15238</v>
      </c>
      <c r="E161" s="138">
        <v>7387.6</v>
      </c>
      <c r="F161" s="139">
        <v>42859</v>
      </c>
      <c r="G161" s="140">
        <v>7387.6</v>
      </c>
      <c r="H161" s="138">
        <f t="shared" si="3"/>
        <v>0</v>
      </c>
      <c r="I161" s="141" t="s">
        <v>15214</v>
      </c>
    </row>
    <row r="162" spans="1:9" x14ac:dyDescent="0.25">
      <c r="A162" s="135">
        <v>42857</v>
      </c>
      <c r="B162" s="142" t="s">
        <v>15493</v>
      </c>
      <c r="C162" s="143">
        <v>110211</v>
      </c>
      <c r="D162" s="142" t="s">
        <v>15258</v>
      </c>
      <c r="E162" s="144">
        <v>6058.8</v>
      </c>
      <c r="F162" s="145">
        <v>42858</v>
      </c>
      <c r="G162" s="146">
        <v>6058.8</v>
      </c>
      <c r="H162" s="138">
        <f t="shared" si="3"/>
        <v>0</v>
      </c>
      <c r="I162" s="147" t="s">
        <v>15214</v>
      </c>
    </row>
    <row r="163" spans="1:9" x14ac:dyDescent="0.25">
      <c r="A163" s="135">
        <v>42857</v>
      </c>
      <c r="B163" s="136" t="s">
        <v>15494</v>
      </c>
      <c r="C163" s="137">
        <v>110212</v>
      </c>
      <c r="D163" s="136" t="s">
        <v>15234</v>
      </c>
      <c r="E163" s="138">
        <v>3332</v>
      </c>
      <c r="F163" s="139">
        <v>42863</v>
      </c>
      <c r="G163" s="140">
        <v>3332</v>
      </c>
      <c r="H163" s="138">
        <f t="shared" si="3"/>
        <v>0</v>
      </c>
      <c r="I163" s="141" t="s">
        <v>15214</v>
      </c>
    </row>
    <row r="164" spans="1:9" x14ac:dyDescent="0.25">
      <c r="A164" s="135">
        <v>42857</v>
      </c>
      <c r="B164" s="142" t="s">
        <v>15495</v>
      </c>
      <c r="C164" s="143">
        <v>110213</v>
      </c>
      <c r="D164" s="142" t="s">
        <v>15284</v>
      </c>
      <c r="E164" s="144">
        <v>2510.1</v>
      </c>
      <c r="F164" s="145">
        <v>42857</v>
      </c>
      <c r="G164" s="146">
        <v>2510.1</v>
      </c>
      <c r="H164" s="138">
        <f t="shared" si="3"/>
        <v>0</v>
      </c>
      <c r="I164" s="147" t="s">
        <v>15214</v>
      </c>
    </row>
    <row r="165" spans="1:9" x14ac:dyDescent="0.25">
      <c r="A165" s="135">
        <v>42857</v>
      </c>
      <c r="B165" s="136" t="s">
        <v>15496</v>
      </c>
      <c r="C165" s="137">
        <v>110214</v>
      </c>
      <c r="D165" s="136" t="s">
        <v>15401</v>
      </c>
      <c r="E165" s="138">
        <v>2406.8000000000002</v>
      </c>
      <c r="F165" s="139">
        <v>42857</v>
      </c>
      <c r="G165" s="140">
        <v>2406.8000000000002</v>
      </c>
      <c r="H165" s="138">
        <f t="shared" si="3"/>
        <v>0</v>
      </c>
      <c r="I165" s="141" t="s">
        <v>15214</v>
      </c>
    </row>
    <row r="166" spans="1:9" x14ac:dyDescent="0.25">
      <c r="A166" s="135">
        <v>42857</v>
      </c>
      <c r="B166" s="142" t="s">
        <v>15497</v>
      </c>
      <c r="C166" s="143">
        <v>110215</v>
      </c>
      <c r="D166" s="142" t="s">
        <v>15315</v>
      </c>
      <c r="E166" s="144">
        <v>444</v>
      </c>
      <c r="F166" s="145">
        <v>42857</v>
      </c>
      <c r="G166" s="146">
        <v>444</v>
      </c>
      <c r="H166" s="138">
        <f t="shared" si="3"/>
        <v>0</v>
      </c>
      <c r="I166" s="147" t="s">
        <v>15214</v>
      </c>
    </row>
    <row r="167" spans="1:9" x14ac:dyDescent="0.25">
      <c r="A167" s="135">
        <v>42857</v>
      </c>
      <c r="B167" s="136" t="s">
        <v>15498</v>
      </c>
      <c r="C167" s="137">
        <v>110216</v>
      </c>
      <c r="D167" s="136" t="s">
        <v>15499</v>
      </c>
      <c r="E167" s="138">
        <v>4918.8</v>
      </c>
      <c r="F167" s="139">
        <v>42857</v>
      </c>
      <c r="G167" s="140">
        <v>4918.8</v>
      </c>
      <c r="H167" s="138">
        <f t="shared" si="3"/>
        <v>0</v>
      </c>
      <c r="I167" s="141" t="s">
        <v>15214</v>
      </c>
    </row>
    <row r="168" spans="1:9" x14ac:dyDescent="0.25">
      <c r="A168" s="135">
        <v>42857</v>
      </c>
      <c r="B168" s="142" t="s">
        <v>15500</v>
      </c>
      <c r="C168" s="143">
        <v>110217</v>
      </c>
      <c r="D168" s="142" t="s">
        <v>15263</v>
      </c>
      <c r="E168" s="144">
        <v>367.5</v>
      </c>
      <c r="F168" s="145">
        <v>42857</v>
      </c>
      <c r="G168" s="146">
        <v>367.5</v>
      </c>
      <c r="H168" s="138">
        <f t="shared" si="3"/>
        <v>0</v>
      </c>
      <c r="I168" s="147" t="s">
        <v>15214</v>
      </c>
    </row>
    <row r="169" spans="1:9" x14ac:dyDescent="0.25">
      <c r="A169" s="135">
        <v>42857</v>
      </c>
      <c r="B169" s="136" t="s">
        <v>15501</v>
      </c>
      <c r="C169" s="137">
        <v>110218</v>
      </c>
      <c r="D169" s="136" t="s">
        <v>15282</v>
      </c>
      <c r="E169" s="138">
        <v>3237</v>
      </c>
      <c r="F169" s="139">
        <v>42857</v>
      </c>
      <c r="G169" s="140">
        <v>3237</v>
      </c>
      <c r="H169" s="138">
        <f t="shared" si="3"/>
        <v>0</v>
      </c>
      <c r="I169" s="141" t="s">
        <v>15214</v>
      </c>
    </row>
    <row r="170" spans="1:9" x14ac:dyDescent="0.25">
      <c r="A170" s="135">
        <v>42857</v>
      </c>
      <c r="B170" s="142" t="s">
        <v>15502</v>
      </c>
      <c r="C170" s="143">
        <v>110219</v>
      </c>
      <c r="D170" s="142" t="s">
        <v>15246</v>
      </c>
      <c r="E170" s="144">
        <v>6776.8</v>
      </c>
      <c r="F170" s="145">
        <v>42859</v>
      </c>
      <c r="G170" s="146">
        <v>6776.8</v>
      </c>
      <c r="H170" s="138">
        <f t="shared" si="3"/>
        <v>0</v>
      </c>
      <c r="I170" s="147" t="s">
        <v>15214</v>
      </c>
    </row>
    <row r="171" spans="1:9" ht="15.75" x14ac:dyDescent="0.25">
      <c r="A171" s="135">
        <v>42857</v>
      </c>
      <c r="B171" s="136" t="s">
        <v>15503</v>
      </c>
      <c r="C171" s="137">
        <v>110220</v>
      </c>
      <c r="D171" s="136" t="s">
        <v>15311</v>
      </c>
      <c r="E171" s="138">
        <v>0</v>
      </c>
      <c r="F171" s="153" t="s">
        <v>95</v>
      </c>
      <c r="G171" s="138">
        <v>0</v>
      </c>
      <c r="H171" s="138">
        <f t="shared" si="3"/>
        <v>0</v>
      </c>
      <c r="I171" s="141" t="s">
        <v>95</v>
      </c>
    </row>
    <row r="172" spans="1:9" ht="15.75" x14ac:dyDescent="0.25">
      <c r="A172" s="135">
        <v>42857</v>
      </c>
      <c r="B172" s="142" t="s">
        <v>15504</v>
      </c>
      <c r="C172" s="143">
        <v>110221</v>
      </c>
      <c r="D172" s="142" t="s">
        <v>15291</v>
      </c>
      <c r="E172" s="144">
        <v>0</v>
      </c>
      <c r="F172" s="156" t="s">
        <v>95</v>
      </c>
      <c r="G172" s="144">
        <v>0</v>
      </c>
      <c r="H172" s="138">
        <f t="shared" si="3"/>
        <v>0</v>
      </c>
      <c r="I172" s="147" t="s">
        <v>95</v>
      </c>
    </row>
    <row r="173" spans="1:9" x14ac:dyDescent="0.25">
      <c r="A173" s="135">
        <v>42857</v>
      </c>
      <c r="B173" s="136" t="s">
        <v>15505</v>
      </c>
      <c r="C173" s="137">
        <v>110222</v>
      </c>
      <c r="D173" s="136" t="s">
        <v>15291</v>
      </c>
      <c r="E173" s="138">
        <v>920</v>
      </c>
      <c r="F173" s="139">
        <v>42859</v>
      </c>
      <c r="G173" s="140">
        <v>920</v>
      </c>
      <c r="H173" s="138">
        <f t="shared" si="3"/>
        <v>0</v>
      </c>
      <c r="I173" s="141" t="s">
        <v>15214</v>
      </c>
    </row>
    <row r="174" spans="1:9" x14ac:dyDescent="0.25">
      <c r="A174" s="135">
        <v>42857</v>
      </c>
      <c r="B174" s="142" t="s">
        <v>15506</v>
      </c>
      <c r="C174" s="143">
        <v>110223</v>
      </c>
      <c r="D174" s="142" t="s">
        <v>15280</v>
      </c>
      <c r="E174" s="144">
        <v>3607.2</v>
      </c>
      <c r="F174" s="145">
        <v>42857</v>
      </c>
      <c r="G174" s="146">
        <v>3607.2</v>
      </c>
      <c r="H174" s="138">
        <f t="shared" si="3"/>
        <v>0</v>
      </c>
      <c r="I174" s="147" t="s">
        <v>15214</v>
      </c>
    </row>
    <row r="175" spans="1:9" x14ac:dyDescent="0.25">
      <c r="A175" s="135">
        <v>42857</v>
      </c>
      <c r="B175" s="136" t="s">
        <v>15507</v>
      </c>
      <c r="C175" s="137">
        <v>110224</v>
      </c>
      <c r="D175" s="136" t="s">
        <v>15289</v>
      </c>
      <c r="E175" s="138">
        <v>1056</v>
      </c>
      <c r="F175" s="139">
        <v>42857</v>
      </c>
      <c r="G175" s="140">
        <v>1056</v>
      </c>
      <c r="H175" s="138">
        <f t="shared" si="3"/>
        <v>0</v>
      </c>
      <c r="I175" s="141" t="s">
        <v>15214</v>
      </c>
    </row>
    <row r="176" spans="1:9" x14ac:dyDescent="0.25">
      <c r="A176" s="135">
        <v>42857</v>
      </c>
      <c r="B176" s="142" t="s">
        <v>15508</v>
      </c>
      <c r="C176" s="143">
        <v>110225</v>
      </c>
      <c r="D176" s="142" t="s">
        <v>15246</v>
      </c>
      <c r="E176" s="144">
        <v>19160.8</v>
      </c>
      <c r="F176" s="145">
        <v>42859</v>
      </c>
      <c r="G176" s="146">
        <v>19160.8</v>
      </c>
      <c r="H176" s="138">
        <f t="shared" si="3"/>
        <v>0</v>
      </c>
      <c r="I176" s="147" t="s">
        <v>15214</v>
      </c>
    </row>
    <row r="177" spans="1:9" x14ac:dyDescent="0.25">
      <c r="A177" s="135">
        <v>42857</v>
      </c>
      <c r="B177" s="136" t="s">
        <v>15509</v>
      </c>
      <c r="C177" s="137">
        <v>110226</v>
      </c>
      <c r="D177" s="136" t="s">
        <v>15510</v>
      </c>
      <c r="E177" s="138">
        <v>2863.8</v>
      </c>
      <c r="F177" s="139">
        <v>42857</v>
      </c>
      <c r="G177" s="140">
        <v>2863.8</v>
      </c>
      <c r="H177" s="138">
        <f t="shared" si="3"/>
        <v>0</v>
      </c>
      <c r="I177" s="141" t="s">
        <v>15214</v>
      </c>
    </row>
    <row r="178" spans="1:9" x14ac:dyDescent="0.25">
      <c r="A178" s="135">
        <v>42857</v>
      </c>
      <c r="B178" s="142" t="s">
        <v>15511</v>
      </c>
      <c r="C178" s="143">
        <v>110227</v>
      </c>
      <c r="D178" s="142" t="s">
        <v>15315</v>
      </c>
      <c r="E178" s="144">
        <v>5512.05</v>
      </c>
      <c r="F178" s="145">
        <v>42857</v>
      </c>
      <c r="G178" s="146">
        <v>5512.05</v>
      </c>
      <c r="H178" s="138">
        <f t="shared" si="3"/>
        <v>0</v>
      </c>
      <c r="I178" s="147" t="s">
        <v>15214</v>
      </c>
    </row>
    <row r="179" spans="1:9" x14ac:dyDescent="0.25">
      <c r="A179" s="135">
        <v>42857</v>
      </c>
      <c r="B179" s="136" t="s">
        <v>15512</v>
      </c>
      <c r="C179" s="137">
        <v>110228</v>
      </c>
      <c r="D179" s="136" t="s">
        <v>15315</v>
      </c>
      <c r="E179" s="138">
        <v>1898.1</v>
      </c>
      <c r="F179" s="139">
        <v>42857</v>
      </c>
      <c r="G179" s="140">
        <v>1898.1</v>
      </c>
      <c r="H179" s="138">
        <f t="shared" si="3"/>
        <v>0</v>
      </c>
      <c r="I179" s="141" t="s">
        <v>15214</v>
      </c>
    </row>
    <row r="180" spans="1:9" x14ac:dyDescent="0.25">
      <c r="A180" s="135">
        <v>42857</v>
      </c>
      <c r="B180" s="142" t="s">
        <v>15513</v>
      </c>
      <c r="C180" s="143">
        <v>110229</v>
      </c>
      <c r="D180" s="142" t="s">
        <v>15514</v>
      </c>
      <c r="E180" s="144">
        <v>3142.9</v>
      </c>
      <c r="F180" s="145" t="s">
        <v>15515</v>
      </c>
      <c r="G180" s="146">
        <f>642+2500.9</f>
        <v>3142.9</v>
      </c>
      <c r="H180" s="138">
        <f t="shared" si="3"/>
        <v>0</v>
      </c>
      <c r="I180" s="147" t="s">
        <v>15214</v>
      </c>
    </row>
    <row r="181" spans="1:9" x14ac:dyDescent="0.25">
      <c r="A181" s="135">
        <v>42857</v>
      </c>
      <c r="B181" s="136" t="s">
        <v>15516</v>
      </c>
      <c r="C181" s="137">
        <v>110230</v>
      </c>
      <c r="D181" s="136" t="s">
        <v>15358</v>
      </c>
      <c r="E181" s="138">
        <v>1539</v>
      </c>
      <c r="F181" s="139">
        <v>42857</v>
      </c>
      <c r="G181" s="140">
        <v>1539</v>
      </c>
      <c r="H181" s="138">
        <f t="shared" si="3"/>
        <v>0</v>
      </c>
      <c r="I181" s="141" t="s">
        <v>15214</v>
      </c>
    </row>
    <row r="182" spans="1:9" x14ac:dyDescent="0.25">
      <c r="A182" s="135">
        <v>42857</v>
      </c>
      <c r="B182" s="142" t="s">
        <v>15517</v>
      </c>
      <c r="C182" s="143">
        <v>110231</v>
      </c>
      <c r="D182" s="142" t="s">
        <v>15371</v>
      </c>
      <c r="E182" s="144">
        <v>4715.8999999999996</v>
      </c>
      <c r="F182" s="145">
        <v>42858</v>
      </c>
      <c r="G182" s="146">
        <v>4715.8999999999996</v>
      </c>
      <c r="H182" s="138">
        <f t="shared" si="3"/>
        <v>0</v>
      </c>
      <c r="I182" s="147" t="s">
        <v>15214</v>
      </c>
    </row>
    <row r="183" spans="1:9" x14ac:dyDescent="0.25">
      <c r="A183" s="135">
        <v>42857</v>
      </c>
      <c r="B183" s="136" t="s">
        <v>15518</v>
      </c>
      <c r="C183" s="137">
        <v>110232</v>
      </c>
      <c r="D183" s="136" t="s">
        <v>15315</v>
      </c>
      <c r="E183" s="138">
        <v>1413.4</v>
      </c>
      <c r="F183" s="139">
        <v>42857</v>
      </c>
      <c r="G183" s="140">
        <v>1413.4</v>
      </c>
      <c r="H183" s="138">
        <f t="shared" si="3"/>
        <v>0</v>
      </c>
      <c r="I183" s="141" t="s">
        <v>15214</v>
      </c>
    </row>
    <row r="184" spans="1:9" x14ac:dyDescent="0.25">
      <c r="A184" s="135">
        <v>42857</v>
      </c>
      <c r="B184" s="142" t="s">
        <v>15519</v>
      </c>
      <c r="C184" s="143">
        <v>110233</v>
      </c>
      <c r="D184" s="142" t="s">
        <v>15315</v>
      </c>
      <c r="E184" s="144">
        <v>918.5</v>
      </c>
      <c r="F184" s="145">
        <v>42857</v>
      </c>
      <c r="G184" s="146">
        <v>918.5</v>
      </c>
      <c r="H184" s="138">
        <f t="shared" si="3"/>
        <v>0</v>
      </c>
      <c r="I184" s="147" t="s">
        <v>15214</v>
      </c>
    </row>
    <row r="185" spans="1:9" x14ac:dyDescent="0.25">
      <c r="A185" s="135">
        <v>42857</v>
      </c>
      <c r="B185" s="136" t="s">
        <v>15520</v>
      </c>
      <c r="C185" s="137">
        <v>110234</v>
      </c>
      <c r="D185" s="136" t="s">
        <v>15240</v>
      </c>
      <c r="E185" s="138">
        <v>942.6</v>
      </c>
      <c r="F185" s="139">
        <v>42859</v>
      </c>
      <c r="G185" s="140">
        <v>942.6</v>
      </c>
      <c r="H185" s="138">
        <f t="shared" si="3"/>
        <v>0</v>
      </c>
      <c r="I185" s="141" t="s">
        <v>15214</v>
      </c>
    </row>
    <row r="186" spans="1:9" x14ac:dyDescent="0.25">
      <c r="A186" s="135">
        <v>42857</v>
      </c>
      <c r="B186" s="142" t="s">
        <v>15521</v>
      </c>
      <c r="C186" s="143">
        <v>110235</v>
      </c>
      <c r="D186" s="142" t="s">
        <v>15350</v>
      </c>
      <c r="E186" s="144">
        <v>920</v>
      </c>
      <c r="F186" s="145">
        <v>42857</v>
      </c>
      <c r="G186" s="146">
        <v>920</v>
      </c>
      <c r="H186" s="138">
        <f t="shared" si="3"/>
        <v>0</v>
      </c>
      <c r="I186" s="147" t="s">
        <v>15214</v>
      </c>
    </row>
    <row r="187" spans="1:9" x14ac:dyDescent="0.25">
      <c r="A187" s="135">
        <v>42857</v>
      </c>
      <c r="B187" s="136" t="s">
        <v>15522</v>
      </c>
      <c r="C187" s="137">
        <v>110236</v>
      </c>
      <c r="D187" s="136" t="s">
        <v>15523</v>
      </c>
      <c r="E187" s="138">
        <v>1840</v>
      </c>
      <c r="F187" s="139">
        <v>42857</v>
      </c>
      <c r="G187" s="140">
        <v>1840</v>
      </c>
      <c r="H187" s="138">
        <f t="shared" si="3"/>
        <v>0</v>
      </c>
      <c r="I187" s="141" t="s">
        <v>15214</v>
      </c>
    </row>
    <row r="188" spans="1:9" x14ac:dyDescent="0.25">
      <c r="A188" s="135">
        <v>42857</v>
      </c>
      <c r="B188" s="142" t="s">
        <v>15524</v>
      </c>
      <c r="C188" s="143">
        <v>110237</v>
      </c>
      <c r="D188" s="142" t="s">
        <v>15334</v>
      </c>
      <c r="E188" s="144">
        <v>1264.5999999999999</v>
      </c>
      <c r="F188" s="145">
        <v>42857</v>
      </c>
      <c r="G188" s="146">
        <v>1264.5999999999999</v>
      </c>
      <c r="H188" s="138">
        <f t="shared" si="3"/>
        <v>0</v>
      </c>
      <c r="I188" s="147" t="s">
        <v>15214</v>
      </c>
    </row>
    <row r="189" spans="1:9" x14ac:dyDescent="0.25">
      <c r="A189" s="135">
        <v>42857</v>
      </c>
      <c r="B189" s="136" t="s">
        <v>15525</v>
      </c>
      <c r="C189" s="137">
        <v>110238</v>
      </c>
      <c r="D189" s="136" t="s">
        <v>15526</v>
      </c>
      <c r="E189" s="138">
        <v>4013.8</v>
      </c>
      <c r="F189" s="139">
        <v>42857</v>
      </c>
      <c r="G189" s="140">
        <v>4013.8</v>
      </c>
      <c r="H189" s="138">
        <f t="shared" si="3"/>
        <v>0</v>
      </c>
      <c r="I189" s="141" t="s">
        <v>15214</v>
      </c>
    </row>
    <row r="190" spans="1:9" x14ac:dyDescent="0.25">
      <c r="A190" s="135">
        <v>42857</v>
      </c>
      <c r="B190" s="142" t="s">
        <v>15527</v>
      </c>
      <c r="C190" s="143">
        <v>110239</v>
      </c>
      <c r="D190" s="142" t="s">
        <v>15246</v>
      </c>
      <c r="E190" s="144">
        <v>157269.35</v>
      </c>
      <c r="F190" s="145">
        <v>42859</v>
      </c>
      <c r="G190" s="146">
        <v>157269.35</v>
      </c>
      <c r="H190" s="138">
        <f t="shared" si="3"/>
        <v>0</v>
      </c>
      <c r="I190" s="147" t="s">
        <v>15214</v>
      </c>
    </row>
    <row r="191" spans="1:9" x14ac:dyDescent="0.25">
      <c r="A191" s="135">
        <v>42857</v>
      </c>
      <c r="B191" s="136" t="s">
        <v>15528</v>
      </c>
      <c r="C191" s="137">
        <v>110240</v>
      </c>
      <c r="D191" s="136" t="s">
        <v>15246</v>
      </c>
      <c r="E191" s="138">
        <v>159600.64000000001</v>
      </c>
      <c r="F191" s="139">
        <v>42859</v>
      </c>
      <c r="G191" s="140">
        <v>159600.64000000001</v>
      </c>
      <c r="H191" s="138">
        <f t="shared" si="3"/>
        <v>0</v>
      </c>
      <c r="I191" s="141" t="s">
        <v>15214</v>
      </c>
    </row>
    <row r="192" spans="1:9" x14ac:dyDescent="0.25">
      <c r="A192" s="135">
        <v>42857</v>
      </c>
      <c r="B192" s="142" t="s">
        <v>15529</v>
      </c>
      <c r="C192" s="143">
        <v>110241</v>
      </c>
      <c r="D192" s="142" t="s">
        <v>15530</v>
      </c>
      <c r="E192" s="144">
        <v>962</v>
      </c>
      <c r="F192" s="145">
        <v>42857</v>
      </c>
      <c r="G192" s="146">
        <v>962</v>
      </c>
      <c r="H192" s="138">
        <f t="shared" si="3"/>
        <v>0</v>
      </c>
      <c r="I192" s="147" t="s">
        <v>15214</v>
      </c>
    </row>
    <row r="193" spans="1:9" x14ac:dyDescent="0.25">
      <c r="A193" s="135">
        <v>42857</v>
      </c>
      <c r="B193" s="136" t="s">
        <v>15531</v>
      </c>
      <c r="C193" s="137">
        <v>110242</v>
      </c>
      <c r="D193" s="136" t="s">
        <v>15223</v>
      </c>
      <c r="E193" s="138">
        <v>46233.599999999999</v>
      </c>
      <c r="F193" s="139">
        <v>42870</v>
      </c>
      <c r="G193" s="140">
        <v>46233.599999999999</v>
      </c>
      <c r="H193" s="138">
        <f t="shared" si="3"/>
        <v>0</v>
      </c>
      <c r="I193" s="141" t="s">
        <v>15214</v>
      </c>
    </row>
    <row r="194" spans="1:9" x14ac:dyDescent="0.25">
      <c r="A194" s="135">
        <v>42857</v>
      </c>
      <c r="B194" s="142" t="s">
        <v>15532</v>
      </c>
      <c r="C194" s="143">
        <v>110243</v>
      </c>
      <c r="D194" s="142" t="s">
        <v>15332</v>
      </c>
      <c r="E194" s="144">
        <v>3792.9</v>
      </c>
      <c r="F194" s="145">
        <v>42857</v>
      </c>
      <c r="G194" s="146">
        <v>3792.9</v>
      </c>
      <c r="H194" s="138">
        <f t="shared" si="3"/>
        <v>0</v>
      </c>
      <c r="I194" s="147" t="s">
        <v>15214</v>
      </c>
    </row>
    <row r="195" spans="1:9" x14ac:dyDescent="0.25">
      <c r="A195" s="135">
        <v>42857</v>
      </c>
      <c r="B195" s="136" t="s">
        <v>15533</v>
      </c>
      <c r="C195" s="137">
        <v>110244</v>
      </c>
      <c r="D195" s="136" t="s">
        <v>15332</v>
      </c>
      <c r="E195" s="138">
        <v>105.6</v>
      </c>
      <c r="F195" s="139">
        <v>42857</v>
      </c>
      <c r="G195" s="140">
        <v>105.6</v>
      </c>
      <c r="H195" s="138">
        <f t="shared" si="3"/>
        <v>0</v>
      </c>
      <c r="I195" s="141" t="s">
        <v>15214</v>
      </c>
    </row>
    <row r="196" spans="1:9" x14ac:dyDescent="0.25">
      <c r="A196" s="135">
        <v>42857</v>
      </c>
      <c r="B196" s="142" t="s">
        <v>15534</v>
      </c>
      <c r="C196" s="143">
        <v>110245</v>
      </c>
      <c r="D196" s="142" t="s">
        <v>15315</v>
      </c>
      <c r="E196" s="144">
        <v>32070.5</v>
      </c>
      <c r="F196" s="145">
        <v>42860</v>
      </c>
      <c r="G196" s="146">
        <v>32070.5</v>
      </c>
      <c r="H196" s="138">
        <f t="shared" ref="H196:H259" si="4">E196-G196</f>
        <v>0</v>
      </c>
      <c r="I196" s="147" t="s">
        <v>15214</v>
      </c>
    </row>
    <row r="197" spans="1:9" x14ac:dyDescent="0.25">
      <c r="A197" s="135">
        <v>42857</v>
      </c>
      <c r="B197" s="136" t="s">
        <v>15535</v>
      </c>
      <c r="C197" s="137">
        <v>110246</v>
      </c>
      <c r="D197" s="136" t="s">
        <v>15248</v>
      </c>
      <c r="E197" s="138">
        <v>9567</v>
      </c>
      <c r="F197" s="139">
        <v>42860</v>
      </c>
      <c r="G197" s="140">
        <v>9567</v>
      </c>
      <c r="H197" s="138">
        <f t="shared" si="4"/>
        <v>0</v>
      </c>
      <c r="I197" s="141" t="s">
        <v>15214</v>
      </c>
    </row>
    <row r="198" spans="1:9" x14ac:dyDescent="0.25">
      <c r="A198" s="135">
        <v>42857</v>
      </c>
      <c r="B198" s="142" t="s">
        <v>15536</v>
      </c>
      <c r="C198" s="143">
        <v>110247</v>
      </c>
      <c r="D198" s="142" t="s">
        <v>15537</v>
      </c>
      <c r="E198" s="144">
        <v>12195.8</v>
      </c>
      <c r="F198" s="145">
        <v>42860</v>
      </c>
      <c r="G198" s="146">
        <v>12195.8</v>
      </c>
      <c r="H198" s="138">
        <f t="shared" si="4"/>
        <v>0</v>
      </c>
      <c r="I198" s="147" t="s">
        <v>15214</v>
      </c>
    </row>
    <row r="199" spans="1:9" x14ac:dyDescent="0.25">
      <c r="A199" s="135">
        <v>42857</v>
      </c>
      <c r="B199" s="136" t="s">
        <v>15538</v>
      </c>
      <c r="C199" s="137">
        <v>110248</v>
      </c>
      <c r="D199" s="136" t="s">
        <v>15539</v>
      </c>
      <c r="E199" s="138">
        <v>8823</v>
      </c>
      <c r="F199" s="139">
        <v>42860</v>
      </c>
      <c r="G199" s="140">
        <v>8823</v>
      </c>
      <c r="H199" s="138">
        <f t="shared" si="4"/>
        <v>0</v>
      </c>
      <c r="I199" s="141" t="s">
        <v>15214</v>
      </c>
    </row>
    <row r="200" spans="1:9" x14ac:dyDescent="0.25">
      <c r="A200" s="135">
        <v>42857</v>
      </c>
      <c r="B200" s="142" t="s">
        <v>15540</v>
      </c>
      <c r="C200" s="143">
        <v>110249</v>
      </c>
      <c r="D200" s="142" t="s">
        <v>15541</v>
      </c>
      <c r="E200" s="144">
        <v>1122.28</v>
      </c>
      <c r="F200" s="145">
        <v>42857</v>
      </c>
      <c r="G200" s="146">
        <v>1122.28</v>
      </c>
      <c r="H200" s="138">
        <f t="shared" si="4"/>
        <v>0</v>
      </c>
      <c r="I200" s="147" t="s">
        <v>15214</v>
      </c>
    </row>
    <row r="201" spans="1:9" x14ac:dyDescent="0.25">
      <c r="A201" s="135">
        <v>42857</v>
      </c>
      <c r="B201" s="136" t="s">
        <v>15542</v>
      </c>
      <c r="C201" s="137">
        <v>110250</v>
      </c>
      <c r="D201" s="136" t="s">
        <v>15244</v>
      </c>
      <c r="E201" s="138">
        <v>389.4</v>
      </c>
      <c r="F201" s="139">
        <v>42857</v>
      </c>
      <c r="G201" s="140">
        <v>389.4</v>
      </c>
      <c r="H201" s="138">
        <f t="shared" si="4"/>
        <v>0</v>
      </c>
      <c r="I201" s="141" t="s">
        <v>15214</v>
      </c>
    </row>
    <row r="202" spans="1:9" x14ac:dyDescent="0.25">
      <c r="A202" s="135">
        <v>42857</v>
      </c>
      <c r="B202" s="142" t="s">
        <v>15543</v>
      </c>
      <c r="C202" s="143">
        <v>110251</v>
      </c>
      <c r="D202" s="142" t="s">
        <v>15544</v>
      </c>
      <c r="E202" s="144">
        <v>3070.2</v>
      </c>
      <c r="F202" s="145">
        <v>42858</v>
      </c>
      <c r="G202" s="146">
        <v>3070.2</v>
      </c>
      <c r="H202" s="138">
        <f t="shared" si="4"/>
        <v>0</v>
      </c>
      <c r="I202" s="147" t="s">
        <v>15214</v>
      </c>
    </row>
    <row r="203" spans="1:9" x14ac:dyDescent="0.25">
      <c r="A203" s="135">
        <v>42857</v>
      </c>
      <c r="B203" s="136" t="s">
        <v>15545</v>
      </c>
      <c r="C203" s="137">
        <v>110252</v>
      </c>
      <c r="D203" s="136" t="s">
        <v>15252</v>
      </c>
      <c r="E203" s="138">
        <v>3987.5</v>
      </c>
      <c r="F203" s="139">
        <v>42864</v>
      </c>
      <c r="G203" s="140">
        <v>3987.5</v>
      </c>
      <c r="H203" s="138">
        <f t="shared" si="4"/>
        <v>0</v>
      </c>
      <c r="I203" s="141" t="s">
        <v>15214</v>
      </c>
    </row>
    <row r="204" spans="1:9" x14ac:dyDescent="0.25">
      <c r="A204" s="135">
        <v>42857</v>
      </c>
      <c r="B204" s="142" t="s">
        <v>15546</v>
      </c>
      <c r="C204" s="143">
        <v>110253</v>
      </c>
      <c r="D204" s="142" t="s">
        <v>15213</v>
      </c>
      <c r="E204" s="144">
        <v>5892.6</v>
      </c>
      <c r="F204" s="145">
        <v>42858</v>
      </c>
      <c r="G204" s="146">
        <v>5892.6</v>
      </c>
      <c r="H204" s="138">
        <f t="shared" si="4"/>
        <v>0</v>
      </c>
      <c r="I204" s="147" t="s">
        <v>15214</v>
      </c>
    </row>
    <row r="205" spans="1:9" x14ac:dyDescent="0.25">
      <c r="A205" s="135">
        <v>42857</v>
      </c>
      <c r="B205" s="136" t="s">
        <v>15547</v>
      </c>
      <c r="C205" s="137">
        <v>110254</v>
      </c>
      <c r="D205" s="136" t="s">
        <v>15338</v>
      </c>
      <c r="E205" s="138">
        <v>7621.5</v>
      </c>
      <c r="F205" s="139">
        <v>42860</v>
      </c>
      <c r="G205" s="140">
        <v>7621.5</v>
      </c>
      <c r="H205" s="138">
        <f t="shared" si="4"/>
        <v>0</v>
      </c>
      <c r="I205" s="141" t="s">
        <v>15214</v>
      </c>
    </row>
    <row r="206" spans="1:9" x14ac:dyDescent="0.25">
      <c r="A206" s="135">
        <v>42857</v>
      </c>
      <c r="B206" s="142" t="s">
        <v>15548</v>
      </c>
      <c r="C206" s="143">
        <v>110255</v>
      </c>
      <c r="D206" s="142" t="s">
        <v>15549</v>
      </c>
      <c r="E206" s="144">
        <v>8608.6</v>
      </c>
      <c r="F206" s="145">
        <v>42857</v>
      </c>
      <c r="G206" s="146">
        <v>8608.6</v>
      </c>
      <c r="H206" s="138">
        <f t="shared" si="4"/>
        <v>0</v>
      </c>
      <c r="I206" s="147" t="s">
        <v>15214</v>
      </c>
    </row>
    <row r="207" spans="1:9" x14ac:dyDescent="0.25">
      <c r="A207" s="135">
        <v>42857</v>
      </c>
      <c r="B207" s="136" t="s">
        <v>15550</v>
      </c>
      <c r="C207" s="137">
        <v>110256</v>
      </c>
      <c r="D207" s="136" t="s">
        <v>15315</v>
      </c>
      <c r="E207" s="138">
        <v>2951.2</v>
      </c>
      <c r="F207" s="139" t="s">
        <v>15551</v>
      </c>
      <c r="G207" s="140">
        <f>1912.2+1039</f>
        <v>2951.2</v>
      </c>
      <c r="H207" s="138">
        <f t="shared" si="4"/>
        <v>0</v>
      </c>
      <c r="I207" s="141" t="s">
        <v>15214</v>
      </c>
    </row>
    <row r="208" spans="1:9" x14ac:dyDescent="0.25">
      <c r="A208" s="135">
        <v>42857</v>
      </c>
      <c r="B208" s="142" t="s">
        <v>15552</v>
      </c>
      <c r="C208" s="143">
        <v>110257</v>
      </c>
      <c r="D208" s="142" t="s">
        <v>15553</v>
      </c>
      <c r="E208" s="144">
        <v>3712.8</v>
      </c>
      <c r="F208" s="145">
        <v>42857</v>
      </c>
      <c r="G208" s="146">
        <v>3712.8</v>
      </c>
      <c r="H208" s="138">
        <f t="shared" si="4"/>
        <v>0</v>
      </c>
      <c r="I208" s="147" t="s">
        <v>15214</v>
      </c>
    </row>
    <row r="209" spans="1:9" x14ac:dyDescent="0.25">
      <c r="A209" s="135">
        <v>42857</v>
      </c>
      <c r="B209" s="136" t="s">
        <v>15554</v>
      </c>
      <c r="C209" s="137">
        <v>110258</v>
      </c>
      <c r="D209" s="136" t="s">
        <v>15555</v>
      </c>
      <c r="E209" s="138">
        <v>1918.2</v>
      </c>
      <c r="F209" s="139">
        <v>42860</v>
      </c>
      <c r="G209" s="140">
        <v>1918.2</v>
      </c>
      <c r="H209" s="138">
        <f t="shared" si="4"/>
        <v>0</v>
      </c>
      <c r="I209" s="141" t="s">
        <v>15214</v>
      </c>
    </row>
    <row r="210" spans="1:9" x14ac:dyDescent="0.25">
      <c r="A210" s="135">
        <v>42857</v>
      </c>
      <c r="B210" s="142" t="s">
        <v>15556</v>
      </c>
      <c r="C210" s="143">
        <v>110259</v>
      </c>
      <c r="D210" s="142" t="s">
        <v>15557</v>
      </c>
      <c r="E210" s="144">
        <v>989.2</v>
      </c>
      <c r="F210" s="145">
        <v>42865</v>
      </c>
      <c r="G210" s="146">
        <v>989.2</v>
      </c>
      <c r="H210" s="138">
        <f t="shared" si="4"/>
        <v>0</v>
      </c>
      <c r="I210" s="147" t="s">
        <v>15214</v>
      </c>
    </row>
    <row r="211" spans="1:9" x14ac:dyDescent="0.25">
      <c r="A211" s="135">
        <v>42857</v>
      </c>
      <c r="B211" s="136" t="s">
        <v>15558</v>
      </c>
      <c r="C211" s="137">
        <v>110260</v>
      </c>
      <c r="D211" s="136" t="s">
        <v>15559</v>
      </c>
      <c r="E211" s="138">
        <v>7092.8</v>
      </c>
      <c r="F211" s="139">
        <v>42865</v>
      </c>
      <c r="G211" s="140">
        <v>7092.8</v>
      </c>
      <c r="H211" s="138">
        <f t="shared" si="4"/>
        <v>0</v>
      </c>
      <c r="I211" s="141" t="s">
        <v>15214</v>
      </c>
    </row>
    <row r="212" spans="1:9" x14ac:dyDescent="0.25">
      <c r="A212" s="135">
        <v>42857</v>
      </c>
      <c r="B212" s="142" t="s">
        <v>15560</v>
      </c>
      <c r="C212" s="143">
        <v>110261</v>
      </c>
      <c r="D212" s="142" t="s">
        <v>15303</v>
      </c>
      <c r="E212" s="144">
        <v>3312.15</v>
      </c>
      <c r="F212" s="145">
        <v>42859</v>
      </c>
      <c r="G212" s="146">
        <v>3312.15</v>
      </c>
      <c r="H212" s="138">
        <f t="shared" si="4"/>
        <v>0</v>
      </c>
      <c r="I212" s="147" t="s">
        <v>15214</v>
      </c>
    </row>
    <row r="213" spans="1:9" x14ac:dyDescent="0.25">
      <c r="A213" s="135">
        <v>42857</v>
      </c>
      <c r="B213" s="136" t="s">
        <v>15561</v>
      </c>
      <c r="C213" s="137">
        <v>110262</v>
      </c>
      <c r="D213" s="136" t="s">
        <v>15562</v>
      </c>
      <c r="E213" s="138">
        <v>3517.5</v>
      </c>
      <c r="F213" s="139">
        <v>42857</v>
      </c>
      <c r="G213" s="140">
        <v>3517.5</v>
      </c>
      <c r="H213" s="138">
        <f t="shared" si="4"/>
        <v>0</v>
      </c>
      <c r="I213" s="141" t="s">
        <v>15214</v>
      </c>
    </row>
    <row r="214" spans="1:9" x14ac:dyDescent="0.25">
      <c r="A214" s="135">
        <v>42857</v>
      </c>
      <c r="B214" s="142" t="s">
        <v>15563</v>
      </c>
      <c r="C214" s="143">
        <v>110263</v>
      </c>
      <c r="D214" s="142" t="s">
        <v>15307</v>
      </c>
      <c r="E214" s="144">
        <v>2129.5</v>
      </c>
      <c r="F214" s="145">
        <v>42859</v>
      </c>
      <c r="G214" s="146">
        <v>2129.5</v>
      </c>
      <c r="H214" s="138">
        <f t="shared" si="4"/>
        <v>0</v>
      </c>
      <c r="I214" s="147" t="s">
        <v>15214</v>
      </c>
    </row>
    <row r="215" spans="1:9" x14ac:dyDescent="0.25">
      <c r="A215" s="135">
        <v>42857</v>
      </c>
      <c r="B215" s="136" t="s">
        <v>15564</v>
      </c>
      <c r="C215" s="137">
        <v>110264</v>
      </c>
      <c r="D215" s="136" t="s">
        <v>15311</v>
      </c>
      <c r="E215" s="138">
        <v>1632</v>
      </c>
      <c r="F215" s="139">
        <v>42859</v>
      </c>
      <c r="G215" s="140">
        <v>1632</v>
      </c>
      <c r="H215" s="138">
        <f t="shared" si="4"/>
        <v>0</v>
      </c>
      <c r="I215" s="141" t="s">
        <v>15214</v>
      </c>
    </row>
    <row r="216" spans="1:9" x14ac:dyDescent="0.25">
      <c r="A216" s="135">
        <v>42857</v>
      </c>
      <c r="B216" s="142" t="s">
        <v>15565</v>
      </c>
      <c r="C216" s="143">
        <v>110265</v>
      </c>
      <c r="D216" s="142" t="s">
        <v>15566</v>
      </c>
      <c r="E216" s="144">
        <v>2808.05</v>
      </c>
      <c r="F216" s="145">
        <v>42857</v>
      </c>
      <c r="G216" s="146">
        <v>2808.05</v>
      </c>
      <c r="H216" s="138">
        <f t="shared" si="4"/>
        <v>0</v>
      </c>
      <c r="I216" s="147" t="s">
        <v>15214</v>
      </c>
    </row>
    <row r="217" spans="1:9" x14ac:dyDescent="0.25">
      <c r="A217" s="135">
        <v>42857</v>
      </c>
      <c r="B217" s="136" t="s">
        <v>15567</v>
      </c>
      <c r="C217" s="137">
        <v>110266</v>
      </c>
      <c r="D217" s="136" t="s">
        <v>15568</v>
      </c>
      <c r="E217" s="138">
        <v>10000.799999999999</v>
      </c>
      <c r="F217" s="139">
        <v>42857</v>
      </c>
      <c r="G217" s="140">
        <v>10000.799999999999</v>
      </c>
      <c r="H217" s="138">
        <f t="shared" si="4"/>
        <v>0</v>
      </c>
      <c r="I217" s="141" t="s">
        <v>15214</v>
      </c>
    </row>
    <row r="218" spans="1:9" x14ac:dyDescent="0.25">
      <c r="A218" s="135">
        <v>42857</v>
      </c>
      <c r="B218" s="142" t="s">
        <v>15569</v>
      </c>
      <c r="C218" s="143">
        <v>110267</v>
      </c>
      <c r="D218" s="142" t="s">
        <v>15289</v>
      </c>
      <c r="E218" s="144">
        <v>328.3</v>
      </c>
      <c r="F218" s="145">
        <v>42857</v>
      </c>
      <c r="G218" s="146">
        <v>328.3</v>
      </c>
      <c r="H218" s="138">
        <f t="shared" si="4"/>
        <v>0</v>
      </c>
      <c r="I218" s="147" t="s">
        <v>15214</v>
      </c>
    </row>
    <row r="219" spans="1:9" x14ac:dyDescent="0.25">
      <c r="A219" s="135">
        <v>42857</v>
      </c>
      <c r="B219" s="136" t="s">
        <v>15570</v>
      </c>
      <c r="C219" s="137">
        <v>110268</v>
      </c>
      <c r="D219" s="136" t="s">
        <v>15301</v>
      </c>
      <c r="E219" s="138">
        <v>2553.6</v>
      </c>
      <c r="F219" s="139">
        <v>42859</v>
      </c>
      <c r="G219" s="140">
        <v>2553.6</v>
      </c>
      <c r="H219" s="138">
        <f t="shared" si="4"/>
        <v>0</v>
      </c>
      <c r="I219" s="141" t="s">
        <v>15214</v>
      </c>
    </row>
    <row r="220" spans="1:9" x14ac:dyDescent="0.25">
      <c r="A220" s="135">
        <v>42857</v>
      </c>
      <c r="B220" s="142" t="s">
        <v>15571</v>
      </c>
      <c r="C220" s="143">
        <v>110269</v>
      </c>
      <c r="D220" s="142" t="s">
        <v>15572</v>
      </c>
      <c r="E220" s="144">
        <v>8955.2000000000007</v>
      </c>
      <c r="F220" s="145">
        <v>42857</v>
      </c>
      <c r="G220" s="146">
        <v>8955.2000000000007</v>
      </c>
      <c r="H220" s="138">
        <f t="shared" si="4"/>
        <v>0</v>
      </c>
      <c r="I220" s="147" t="s">
        <v>15214</v>
      </c>
    </row>
    <row r="221" spans="1:9" x14ac:dyDescent="0.25">
      <c r="A221" s="135">
        <v>42857</v>
      </c>
      <c r="B221" s="136" t="s">
        <v>15573</v>
      </c>
      <c r="C221" s="137">
        <v>110270</v>
      </c>
      <c r="D221" s="136" t="s">
        <v>15346</v>
      </c>
      <c r="E221" s="138">
        <v>4433.95</v>
      </c>
      <c r="F221" s="139">
        <v>42857</v>
      </c>
      <c r="G221" s="140">
        <v>4433.95</v>
      </c>
      <c r="H221" s="138">
        <f t="shared" si="4"/>
        <v>0</v>
      </c>
      <c r="I221" s="141" t="s">
        <v>15214</v>
      </c>
    </row>
    <row r="222" spans="1:9" x14ac:dyDescent="0.25">
      <c r="A222" s="135">
        <v>42857</v>
      </c>
      <c r="B222" s="142" t="s">
        <v>15574</v>
      </c>
      <c r="C222" s="143">
        <v>110271</v>
      </c>
      <c r="D222" s="142" t="s">
        <v>15391</v>
      </c>
      <c r="E222" s="144">
        <v>8157.6</v>
      </c>
      <c r="F222" s="145">
        <v>42857</v>
      </c>
      <c r="G222" s="146">
        <v>8157.6</v>
      </c>
      <c r="H222" s="138">
        <f t="shared" si="4"/>
        <v>0</v>
      </c>
      <c r="I222" s="147" t="s">
        <v>15214</v>
      </c>
    </row>
    <row r="223" spans="1:9" x14ac:dyDescent="0.25">
      <c r="A223" s="135">
        <v>42857</v>
      </c>
      <c r="B223" s="136" t="s">
        <v>15575</v>
      </c>
      <c r="C223" s="137">
        <v>110272</v>
      </c>
      <c r="D223" s="136" t="s">
        <v>15313</v>
      </c>
      <c r="E223" s="138">
        <v>7088.62</v>
      </c>
      <c r="F223" s="139">
        <v>42857</v>
      </c>
      <c r="G223" s="140">
        <v>7088.62</v>
      </c>
      <c r="H223" s="138">
        <f t="shared" si="4"/>
        <v>0</v>
      </c>
      <c r="I223" s="141" t="s">
        <v>15214</v>
      </c>
    </row>
    <row r="224" spans="1:9" x14ac:dyDescent="0.25">
      <c r="A224" s="135">
        <v>42857</v>
      </c>
      <c r="B224" s="142" t="s">
        <v>15576</v>
      </c>
      <c r="C224" s="143">
        <v>110273</v>
      </c>
      <c r="D224" s="142" t="s">
        <v>15577</v>
      </c>
      <c r="E224" s="144">
        <v>728.9</v>
      </c>
      <c r="F224" s="145">
        <v>42857</v>
      </c>
      <c r="G224" s="146">
        <v>728.9</v>
      </c>
      <c r="H224" s="138">
        <f t="shared" si="4"/>
        <v>0</v>
      </c>
      <c r="I224" s="147" t="s">
        <v>15214</v>
      </c>
    </row>
    <row r="225" spans="1:9" x14ac:dyDescent="0.25">
      <c r="A225" s="135">
        <v>42857</v>
      </c>
      <c r="B225" s="136" t="s">
        <v>15578</v>
      </c>
      <c r="C225" s="137">
        <v>110274</v>
      </c>
      <c r="D225" s="136" t="s">
        <v>15385</v>
      </c>
      <c r="E225" s="138">
        <v>597.20000000000005</v>
      </c>
      <c r="F225" s="139">
        <v>42857</v>
      </c>
      <c r="G225" s="140">
        <v>597.20000000000005</v>
      </c>
      <c r="H225" s="138">
        <f t="shared" si="4"/>
        <v>0</v>
      </c>
      <c r="I225" s="141" t="s">
        <v>15214</v>
      </c>
    </row>
    <row r="226" spans="1:9" x14ac:dyDescent="0.25">
      <c r="A226" s="135">
        <v>42857</v>
      </c>
      <c r="B226" s="142" t="s">
        <v>15579</v>
      </c>
      <c r="C226" s="143">
        <v>110275</v>
      </c>
      <c r="D226" s="142" t="s">
        <v>15315</v>
      </c>
      <c r="E226" s="144">
        <v>1710</v>
      </c>
      <c r="F226" s="145">
        <v>42857</v>
      </c>
      <c r="G226" s="146">
        <v>1710</v>
      </c>
      <c r="H226" s="138">
        <f t="shared" si="4"/>
        <v>0</v>
      </c>
      <c r="I226" s="147" t="s">
        <v>15214</v>
      </c>
    </row>
    <row r="227" spans="1:9" x14ac:dyDescent="0.25">
      <c r="A227" s="135">
        <v>42857</v>
      </c>
      <c r="B227" s="136" t="s">
        <v>15580</v>
      </c>
      <c r="C227" s="137">
        <v>110276</v>
      </c>
      <c r="D227" s="136" t="s">
        <v>15581</v>
      </c>
      <c r="E227" s="138">
        <v>10516.7</v>
      </c>
      <c r="F227" s="139">
        <v>42863</v>
      </c>
      <c r="G227" s="140">
        <v>10516.7</v>
      </c>
      <c r="H227" s="138">
        <f t="shared" si="4"/>
        <v>0</v>
      </c>
      <c r="I227" s="141" t="s">
        <v>15214</v>
      </c>
    </row>
    <row r="228" spans="1:9" x14ac:dyDescent="0.25">
      <c r="A228" s="135">
        <v>42857</v>
      </c>
      <c r="B228" s="142" t="s">
        <v>15582</v>
      </c>
      <c r="C228" s="143">
        <v>110277</v>
      </c>
      <c r="D228" s="142" t="s">
        <v>15583</v>
      </c>
      <c r="E228" s="144">
        <v>1552.3</v>
      </c>
      <c r="F228" s="145">
        <v>42863</v>
      </c>
      <c r="G228" s="146">
        <v>1552.3</v>
      </c>
      <c r="H228" s="138">
        <f t="shared" si="4"/>
        <v>0</v>
      </c>
      <c r="I228" s="147" t="s">
        <v>15214</v>
      </c>
    </row>
    <row r="229" spans="1:9" x14ac:dyDescent="0.25">
      <c r="A229" s="135">
        <v>42857</v>
      </c>
      <c r="B229" s="136" t="s">
        <v>15584</v>
      </c>
      <c r="C229" s="137">
        <v>110278</v>
      </c>
      <c r="D229" s="136" t="s">
        <v>15320</v>
      </c>
      <c r="E229" s="138">
        <v>1839.2</v>
      </c>
      <c r="F229" s="139">
        <v>42859</v>
      </c>
      <c r="G229" s="140">
        <v>1839.2</v>
      </c>
      <c r="H229" s="138">
        <f t="shared" si="4"/>
        <v>0</v>
      </c>
      <c r="I229" s="141" t="s">
        <v>15214</v>
      </c>
    </row>
    <row r="230" spans="1:9" x14ac:dyDescent="0.25">
      <c r="A230" s="135">
        <v>42857</v>
      </c>
      <c r="B230" s="142" t="s">
        <v>15585</v>
      </c>
      <c r="C230" s="143">
        <v>110279</v>
      </c>
      <c r="D230" s="142" t="s">
        <v>15276</v>
      </c>
      <c r="E230" s="144">
        <v>3680</v>
      </c>
      <c r="F230" s="145">
        <v>42859</v>
      </c>
      <c r="G230" s="146">
        <v>3680</v>
      </c>
      <c r="H230" s="138">
        <f t="shared" si="4"/>
        <v>0</v>
      </c>
      <c r="I230" s="147" t="s">
        <v>15214</v>
      </c>
    </row>
    <row r="231" spans="1:9" x14ac:dyDescent="0.25">
      <c r="A231" s="135">
        <v>42857</v>
      </c>
      <c r="B231" s="136" t="s">
        <v>15586</v>
      </c>
      <c r="C231" s="137">
        <v>110280</v>
      </c>
      <c r="D231" s="136" t="s">
        <v>15587</v>
      </c>
      <c r="E231" s="138">
        <v>987.9</v>
      </c>
      <c r="F231" s="139">
        <v>42859</v>
      </c>
      <c r="G231" s="140">
        <v>987.9</v>
      </c>
      <c r="H231" s="138">
        <f t="shared" si="4"/>
        <v>0</v>
      </c>
      <c r="I231" s="141" t="s">
        <v>15214</v>
      </c>
    </row>
    <row r="232" spans="1:9" x14ac:dyDescent="0.25">
      <c r="A232" s="135">
        <v>42857</v>
      </c>
      <c r="B232" s="142" t="s">
        <v>15588</v>
      </c>
      <c r="C232" s="143">
        <v>110281</v>
      </c>
      <c r="D232" s="142" t="s">
        <v>15361</v>
      </c>
      <c r="E232" s="144">
        <v>8421.4500000000007</v>
      </c>
      <c r="F232" s="145">
        <v>42857</v>
      </c>
      <c r="G232" s="146">
        <v>8421.4500000000007</v>
      </c>
      <c r="H232" s="138">
        <f t="shared" si="4"/>
        <v>0</v>
      </c>
      <c r="I232" s="147" t="s">
        <v>15214</v>
      </c>
    </row>
    <row r="233" spans="1:9" x14ac:dyDescent="0.25">
      <c r="A233" s="135">
        <v>42857</v>
      </c>
      <c r="B233" s="136" t="s">
        <v>15589</v>
      </c>
      <c r="C233" s="137">
        <v>110282</v>
      </c>
      <c r="D233" s="136" t="s">
        <v>15590</v>
      </c>
      <c r="E233" s="138">
        <v>2869.6</v>
      </c>
      <c r="F233" s="157">
        <v>42866</v>
      </c>
      <c r="G233" s="158">
        <v>2869.6</v>
      </c>
      <c r="H233" s="138">
        <f t="shared" si="4"/>
        <v>0</v>
      </c>
      <c r="I233" s="141" t="s">
        <v>15214</v>
      </c>
    </row>
    <row r="234" spans="1:9" x14ac:dyDescent="0.25">
      <c r="A234" s="135">
        <v>42857</v>
      </c>
      <c r="B234" s="142" t="s">
        <v>15591</v>
      </c>
      <c r="C234" s="143">
        <v>110283</v>
      </c>
      <c r="D234" s="142" t="s">
        <v>15592</v>
      </c>
      <c r="E234" s="144">
        <v>14463.52</v>
      </c>
      <c r="F234" s="145">
        <v>42857</v>
      </c>
      <c r="G234" s="146">
        <v>14463.52</v>
      </c>
      <c r="H234" s="138">
        <f t="shared" si="4"/>
        <v>0</v>
      </c>
      <c r="I234" s="147" t="s">
        <v>15214</v>
      </c>
    </row>
    <row r="235" spans="1:9" x14ac:dyDescent="0.25">
      <c r="A235" s="135">
        <v>42857</v>
      </c>
      <c r="B235" s="136" t="s">
        <v>15593</v>
      </c>
      <c r="C235" s="137">
        <v>110284</v>
      </c>
      <c r="D235" s="136" t="s">
        <v>15594</v>
      </c>
      <c r="E235" s="138">
        <v>2186.4</v>
      </c>
      <c r="F235" s="139">
        <v>42857</v>
      </c>
      <c r="G235" s="140">
        <v>2186.4</v>
      </c>
      <c r="H235" s="138">
        <f t="shared" si="4"/>
        <v>0</v>
      </c>
      <c r="I235" s="141" t="s">
        <v>15214</v>
      </c>
    </row>
    <row r="236" spans="1:9" x14ac:dyDescent="0.25">
      <c r="A236" s="135">
        <v>42857</v>
      </c>
      <c r="B236" s="142" t="s">
        <v>15595</v>
      </c>
      <c r="C236" s="143">
        <v>110285</v>
      </c>
      <c r="D236" s="142" t="s">
        <v>15596</v>
      </c>
      <c r="E236" s="144">
        <v>1150</v>
      </c>
      <c r="F236" s="145">
        <v>42859</v>
      </c>
      <c r="G236" s="146">
        <v>1150</v>
      </c>
      <c r="H236" s="138">
        <f t="shared" si="4"/>
        <v>0</v>
      </c>
      <c r="I236" s="147" t="s">
        <v>15214</v>
      </c>
    </row>
    <row r="237" spans="1:9" ht="15.75" x14ac:dyDescent="0.25">
      <c r="A237" s="135">
        <v>42857</v>
      </c>
      <c r="B237" s="136" t="s">
        <v>15597</v>
      </c>
      <c r="C237" s="137">
        <v>110286</v>
      </c>
      <c r="D237" s="136" t="s">
        <v>15236</v>
      </c>
      <c r="E237" s="138">
        <v>0</v>
      </c>
      <c r="F237" s="153" t="s">
        <v>95</v>
      </c>
      <c r="G237" s="138">
        <v>0</v>
      </c>
      <c r="H237" s="138">
        <f t="shared" si="4"/>
        <v>0</v>
      </c>
      <c r="I237" s="141" t="s">
        <v>95</v>
      </c>
    </row>
    <row r="238" spans="1:9" x14ac:dyDescent="0.25">
      <c r="A238" s="135">
        <v>42857</v>
      </c>
      <c r="B238" s="142" t="s">
        <v>15598</v>
      </c>
      <c r="C238" s="143">
        <v>110287</v>
      </c>
      <c r="D238" s="142" t="s">
        <v>15510</v>
      </c>
      <c r="E238" s="144">
        <v>8871.4500000000007</v>
      </c>
      <c r="F238" s="145">
        <v>42859</v>
      </c>
      <c r="G238" s="146">
        <v>8871.4500000000007</v>
      </c>
      <c r="H238" s="138">
        <f t="shared" si="4"/>
        <v>0</v>
      </c>
      <c r="I238" s="147" t="s">
        <v>15214</v>
      </c>
    </row>
    <row r="239" spans="1:9" x14ac:dyDescent="0.25">
      <c r="A239" s="135">
        <v>42857</v>
      </c>
      <c r="B239" s="136" t="s">
        <v>15599</v>
      </c>
      <c r="C239" s="137">
        <v>110288</v>
      </c>
      <c r="D239" s="136" t="s">
        <v>15600</v>
      </c>
      <c r="E239" s="138">
        <v>2159.1999999999998</v>
      </c>
      <c r="F239" s="139">
        <v>42859</v>
      </c>
      <c r="G239" s="140">
        <v>2159.1999999999998</v>
      </c>
      <c r="H239" s="138">
        <f t="shared" si="4"/>
        <v>0</v>
      </c>
      <c r="I239" s="141" t="s">
        <v>15214</v>
      </c>
    </row>
    <row r="240" spans="1:9" x14ac:dyDescent="0.25">
      <c r="A240" s="135">
        <v>42857</v>
      </c>
      <c r="B240" s="142" t="s">
        <v>15601</v>
      </c>
      <c r="C240" s="143">
        <v>110289</v>
      </c>
      <c r="D240" s="142" t="s">
        <v>15315</v>
      </c>
      <c r="E240" s="144">
        <v>378</v>
      </c>
      <c r="F240" s="145">
        <v>42859</v>
      </c>
      <c r="G240" s="146">
        <v>378</v>
      </c>
      <c r="H240" s="138">
        <f t="shared" si="4"/>
        <v>0</v>
      </c>
      <c r="I240" s="147" t="s">
        <v>15214</v>
      </c>
    </row>
    <row r="241" spans="1:9" x14ac:dyDescent="0.25">
      <c r="A241" s="135">
        <v>42857</v>
      </c>
      <c r="B241" s="136" t="s">
        <v>15602</v>
      </c>
      <c r="C241" s="137">
        <v>110290</v>
      </c>
      <c r="D241" s="136" t="s">
        <v>15407</v>
      </c>
      <c r="E241" s="138">
        <v>5014.8</v>
      </c>
      <c r="F241" s="139">
        <v>42857</v>
      </c>
      <c r="G241" s="140">
        <v>5014.8</v>
      </c>
      <c r="H241" s="138">
        <f t="shared" si="4"/>
        <v>0</v>
      </c>
      <c r="I241" s="141" t="s">
        <v>15214</v>
      </c>
    </row>
    <row r="242" spans="1:9" x14ac:dyDescent="0.25">
      <c r="A242" s="135">
        <v>42857</v>
      </c>
      <c r="B242" s="142" t="s">
        <v>15603</v>
      </c>
      <c r="C242" s="143">
        <v>110291</v>
      </c>
      <c r="D242" s="142" t="s">
        <v>15244</v>
      </c>
      <c r="E242" s="144">
        <v>13358.4</v>
      </c>
      <c r="F242" s="145">
        <v>42857</v>
      </c>
      <c r="G242" s="146">
        <v>13358.4</v>
      </c>
      <c r="H242" s="138">
        <f t="shared" si="4"/>
        <v>0</v>
      </c>
      <c r="I242" s="147" t="s">
        <v>15214</v>
      </c>
    </row>
    <row r="243" spans="1:9" ht="15.75" x14ac:dyDescent="0.25">
      <c r="A243" s="135">
        <v>42857</v>
      </c>
      <c r="B243" s="136" t="s">
        <v>15604</v>
      </c>
      <c r="C243" s="137">
        <v>110292</v>
      </c>
      <c r="D243" s="136" t="s">
        <v>15396</v>
      </c>
      <c r="E243" s="138">
        <v>0</v>
      </c>
      <c r="F243" s="153" t="s">
        <v>95</v>
      </c>
      <c r="G243" s="138">
        <v>0</v>
      </c>
      <c r="H243" s="138">
        <f t="shared" si="4"/>
        <v>0</v>
      </c>
      <c r="I243" s="141" t="s">
        <v>95</v>
      </c>
    </row>
    <row r="244" spans="1:9" x14ac:dyDescent="0.25">
      <c r="A244" s="135">
        <v>42857</v>
      </c>
      <c r="B244" s="142" t="s">
        <v>15605</v>
      </c>
      <c r="C244" s="143">
        <v>110293</v>
      </c>
      <c r="D244" s="142" t="s">
        <v>15396</v>
      </c>
      <c r="E244" s="144">
        <v>6759.02</v>
      </c>
      <c r="F244" s="145">
        <v>42857</v>
      </c>
      <c r="G244" s="146">
        <v>6759.02</v>
      </c>
      <c r="H244" s="138">
        <f t="shared" si="4"/>
        <v>0</v>
      </c>
      <c r="I244" s="147" t="s">
        <v>15214</v>
      </c>
    </row>
    <row r="245" spans="1:9" x14ac:dyDescent="0.25">
      <c r="A245" s="135">
        <v>42857</v>
      </c>
      <c r="B245" s="136" t="s">
        <v>15606</v>
      </c>
      <c r="C245" s="137">
        <v>110294</v>
      </c>
      <c r="D245" s="136" t="s">
        <v>15419</v>
      </c>
      <c r="E245" s="138">
        <v>23400</v>
      </c>
      <c r="F245" s="157">
        <v>42863</v>
      </c>
      <c r="G245" s="158">
        <v>23400</v>
      </c>
      <c r="H245" s="138">
        <f t="shared" si="4"/>
        <v>0</v>
      </c>
      <c r="I245" s="141" t="s">
        <v>15214</v>
      </c>
    </row>
    <row r="246" spans="1:9" x14ac:dyDescent="0.25">
      <c r="A246" s="135">
        <v>42857</v>
      </c>
      <c r="B246" s="142" t="s">
        <v>15607</v>
      </c>
      <c r="C246" s="143">
        <v>110295</v>
      </c>
      <c r="D246" s="142" t="s">
        <v>15226</v>
      </c>
      <c r="E246" s="144">
        <v>2699.5</v>
      </c>
      <c r="F246" s="145">
        <v>42858</v>
      </c>
      <c r="G246" s="146">
        <v>2699.5</v>
      </c>
      <c r="H246" s="138">
        <f t="shared" si="4"/>
        <v>0</v>
      </c>
      <c r="I246" s="147" t="s">
        <v>15214</v>
      </c>
    </row>
    <row r="247" spans="1:9" x14ac:dyDescent="0.25">
      <c r="A247" s="135">
        <v>42857</v>
      </c>
      <c r="B247" s="136" t="s">
        <v>15608</v>
      </c>
      <c r="C247" s="137">
        <v>110296</v>
      </c>
      <c r="D247" s="136" t="s">
        <v>15267</v>
      </c>
      <c r="E247" s="138">
        <v>33442</v>
      </c>
      <c r="F247" s="139">
        <v>42857</v>
      </c>
      <c r="G247" s="140">
        <v>33442</v>
      </c>
      <c r="H247" s="138">
        <f t="shared" si="4"/>
        <v>0</v>
      </c>
      <c r="I247" s="141" t="s">
        <v>15214</v>
      </c>
    </row>
    <row r="248" spans="1:9" x14ac:dyDescent="0.25">
      <c r="A248" s="135">
        <v>42857</v>
      </c>
      <c r="B248" s="142" t="s">
        <v>15609</v>
      </c>
      <c r="C248" s="143">
        <v>110297</v>
      </c>
      <c r="D248" s="142" t="s">
        <v>15419</v>
      </c>
      <c r="E248" s="144">
        <v>8408.4</v>
      </c>
      <c r="F248" s="145">
        <v>42863</v>
      </c>
      <c r="G248" s="146">
        <v>8408.4</v>
      </c>
      <c r="H248" s="138">
        <f t="shared" si="4"/>
        <v>0</v>
      </c>
      <c r="I248" s="147" t="s">
        <v>15214</v>
      </c>
    </row>
    <row r="249" spans="1:9" x14ac:dyDescent="0.25">
      <c r="A249" s="135">
        <v>42857</v>
      </c>
      <c r="B249" s="136" t="s">
        <v>15610</v>
      </c>
      <c r="C249" s="137">
        <v>110298</v>
      </c>
      <c r="D249" s="136" t="s">
        <v>15433</v>
      </c>
      <c r="E249" s="138">
        <v>1083.4000000000001</v>
      </c>
      <c r="F249" s="139">
        <v>42857</v>
      </c>
      <c r="G249" s="140">
        <v>1083.4000000000001</v>
      </c>
      <c r="H249" s="138">
        <f t="shared" si="4"/>
        <v>0</v>
      </c>
      <c r="I249" s="141" t="s">
        <v>15214</v>
      </c>
    </row>
    <row r="250" spans="1:9" x14ac:dyDescent="0.25">
      <c r="A250" s="135">
        <v>42857</v>
      </c>
      <c r="B250" s="142" t="s">
        <v>15611</v>
      </c>
      <c r="C250" s="143">
        <v>110299</v>
      </c>
      <c r="D250" s="142" t="s">
        <v>15612</v>
      </c>
      <c r="E250" s="144">
        <v>3110.8</v>
      </c>
      <c r="F250" s="145">
        <v>42858</v>
      </c>
      <c r="G250" s="146">
        <v>3110.8</v>
      </c>
      <c r="H250" s="138">
        <f t="shared" si="4"/>
        <v>0</v>
      </c>
      <c r="I250" s="147" t="s">
        <v>15214</v>
      </c>
    </row>
    <row r="251" spans="1:9" x14ac:dyDescent="0.25">
      <c r="A251" s="135">
        <v>42857</v>
      </c>
      <c r="B251" s="136" t="s">
        <v>15613</v>
      </c>
      <c r="C251" s="137">
        <v>110300</v>
      </c>
      <c r="D251" s="136" t="s">
        <v>15614</v>
      </c>
      <c r="E251" s="138">
        <v>11308.8</v>
      </c>
      <c r="F251" s="139">
        <v>42863</v>
      </c>
      <c r="G251" s="140">
        <v>11308.8</v>
      </c>
      <c r="H251" s="138">
        <f t="shared" si="4"/>
        <v>0</v>
      </c>
      <c r="I251" s="141" t="s">
        <v>15214</v>
      </c>
    </row>
    <row r="252" spans="1:9" x14ac:dyDescent="0.25">
      <c r="A252" s="135">
        <v>42857</v>
      </c>
      <c r="B252" s="142" t="s">
        <v>15615</v>
      </c>
      <c r="C252" s="143">
        <v>110301</v>
      </c>
      <c r="D252" s="142" t="s">
        <v>15566</v>
      </c>
      <c r="E252" s="144">
        <v>3235.2</v>
      </c>
      <c r="F252" s="145">
        <v>42857</v>
      </c>
      <c r="G252" s="146">
        <v>3235.2</v>
      </c>
      <c r="H252" s="138">
        <f t="shared" si="4"/>
        <v>0</v>
      </c>
      <c r="I252" s="147" t="s">
        <v>15214</v>
      </c>
    </row>
    <row r="253" spans="1:9" x14ac:dyDescent="0.25">
      <c r="A253" s="135">
        <v>42857</v>
      </c>
      <c r="B253" s="136" t="s">
        <v>15616</v>
      </c>
      <c r="C253" s="137">
        <v>110302</v>
      </c>
      <c r="D253" s="136" t="s">
        <v>15617</v>
      </c>
      <c r="E253" s="138">
        <v>27495</v>
      </c>
      <c r="F253" s="139">
        <v>42858</v>
      </c>
      <c r="G253" s="140">
        <v>27495</v>
      </c>
      <c r="H253" s="138">
        <f t="shared" si="4"/>
        <v>0</v>
      </c>
      <c r="I253" s="141" t="s">
        <v>15214</v>
      </c>
    </row>
    <row r="254" spans="1:9" x14ac:dyDescent="0.25">
      <c r="A254" s="135">
        <v>42857</v>
      </c>
      <c r="B254" s="142" t="s">
        <v>15618</v>
      </c>
      <c r="C254" s="143">
        <v>110303</v>
      </c>
      <c r="D254" s="142" t="s">
        <v>15284</v>
      </c>
      <c r="E254" s="144">
        <v>1163.4000000000001</v>
      </c>
      <c r="F254" s="145">
        <v>42857</v>
      </c>
      <c r="G254" s="146">
        <v>1163.4000000000001</v>
      </c>
      <c r="H254" s="138">
        <f t="shared" si="4"/>
        <v>0</v>
      </c>
      <c r="I254" s="147" t="s">
        <v>15214</v>
      </c>
    </row>
    <row r="255" spans="1:9" x14ac:dyDescent="0.25">
      <c r="A255" s="135">
        <v>42857</v>
      </c>
      <c r="B255" s="136" t="s">
        <v>15619</v>
      </c>
      <c r="C255" s="137">
        <v>110304</v>
      </c>
      <c r="D255" s="136" t="s">
        <v>15423</v>
      </c>
      <c r="E255" s="138">
        <v>2032</v>
      </c>
      <c r="F255" s="139">
        <v>42857</v>
      </c>
      <c r="G255" s="140">
        <v>2032</v>
      </c>
      <c r="H255" s="138">
        <f t="shared" si="4"/>
        <v>0</v>
      </c>
      <c r="I255" s="141" t="s">
        <v>15214</v>
      </c>
    </row>
    <row r="256" spans="1:9" x14ac:dyDescent="0.25">
      <c r="A256" s="135">
        <v>42857</v>
      </c>
      <c r="B256" s="142" t="s">
        <v>15620</v>
      </c>
      <c r="C256" s="143">
        <v>110305</v>
      </c>
      <c r="D256" s="142" t="s">
        <v>15365</v>
      </c>
      <c r="E256" s="144">
        <v>251160</v>
      </c>
      <c r="F256" s="145">
        <v>42858</v>
      </c>
      <c r="G256" s="146">
        <v>251160</v>
      </c>
      <c r="H256" s="138">
        <f t="shared" si="4"/>
        <v>0</v>
      </c>
      <c r="I256" s="147" t="s">
        <v>15214</v>
      </c>
    </row>
    <row r="257" spans="1:9" ht="15.75" x14ac:dyDescent="0.25">
      <c r="A257" s="135">
        <v>42857</v>
      </c>
      <c r="B257" s="136" t="s">
        <v>15621</v>
      </c>
      <c r="C257" s="137">
        <v>110306</v>
      </c>
      <c r="D257" s="136" t="s">
        <v>15365</v>
      </c>
      <c r="E257" s="138">
        <v>0</v>
      </c>
      <c r="F257" s="153" t="s">
        <v>95</v>
      </c>
      <c r="G257" s="138">
        <v>0</v>
      </c>
      <c r="H257" s="138">
        <f t="shared" si="4"/>
        <v>0</v>
      </c>
      <c r="I257" s="141" t="s">
        <v>95</v>
      </c>
    </row>
    <row r="258" spans="1:9" x14ac:dyDescent="0.25">
      <c r="A258" s="135">
        <v>42857</v>
      </c>
      <c r="B258" s="142" t="s">
        <v>15622</v>
      </c>
      <c r="C258" s="143">
        <v>110307</v>
      </c>
      <c r="D258" s="142" t="s">
        <v>15365</v>
      </c>
      <c r="E258" s="144">
        <v>406350</v>
      </c>
      <c r="F258" s="145">
        <v>42858</v>
      </c>
      <c r="G258" s="146">
        <v>406350</v>
      </c>
      <c r="H258" s="138">
        <f t="shared" si="4"/>
        <v>0</v>
      </c>
      <c r="I258" s="147" t="s">
        <v>15214</v>
      </c>
    </row>
    <row r="259" spans="1:9" x14ac:dyDescent="0.25">
      <c r="A259" s="135">
        <v>42857</v>
      </c>
      <c r="B259" s="136" t="s">
        <v>15623</v>
      </c>
      <c r="C259" s="137">
        <v>110308</v>
      </c>
      <c r="D259" s="136" t="s">
        <v>15624</v>
      </c>
      <c r="E259" s="138">
        <v>32004</v>
      </c>
      <c r="F259" s="139">
        <v>42859</v>
      </c>
      <c r="G259" s="140">
        <v>32004</v>
      </c>
      <c r="H259" s="138">
        <f t="shared" si="4"/>
        <v>0</v>
      </c>
      <c r="I259" s="141" t="s">
        <v>15214</v>
      </c>
    </row>
    <row r="260" spans="1:9" x14ac:dyDescent="0.25">
      <c r="A260" s="135">
        <v>42857</v>
      </c>
      <c r="B260" s="142" t="s">
        <v>15625</v>
      </c>
      <c r="C260" s="143">
        <v>110309</v>
      </c>
      <c r="D260" s="142" t="s">
        <v>15626</v>
      </c>
      <c r="E260" s="144">
        <v>5938.8</v>
      </c>
      <c r="F260" s="145">
        <v>42864</v>
      </c>
      <c r="G260" s="146">
        <v>5938.8</v>
      </c>
      <c r="H260" s="138">
        <f t="shared" ref="H260:H323" si="5">E260-G260</f>
        <v>0</v>
      </c>
      <c r="I260" s="147" t="s">
        <v>15214</v>
      </c>
    </row>
    <row r="261" spans="1:9" x14ac:dyDescent="0.25">
      <c r="A261" s="135">
        <v>42857</v>
      </c>
      <c r="B261" s="136" t="s">
        <v>15627</v>
      </c>
      <c r="C261" s="137">
        <v>110310</v>
      </c>
      <c r="D261" s="136" t="s">
        <v>15628</v>
      </c>
      <c r="E261" s="138">
        <v>16676.900000000001</v>
      </c>
      <c r="F261" s="139">
        <v>42863</v>
      </c>
      <c r="G261" s="140">
        <v>16676.900000000001</v>
      </c>
      <c r="H261" s="138">
        <f t="shared" si="5"/>
        <v>0</v>
      </c>
      <c r="I261" s="141" t="s">
        <v>15214</v>
      </c>
    </row>
    <row r="262" spans="1:9" x14ac:dyDescent="0.25">
      <c r="A262" s="135">
        <v>42857</v>
      </c>
      <c r="B262" s="142" t="s">
        <v>15629</v>
      </c>
      <c r="C262" s="143">
        <v>110311</v>
      </c>
      <c r="D262" s="142" t="s">
        <v>15298</v>
      </c>
      <c r="E262" s="144">
        <v>4981.7</v>
      </c>
      <c r="F262" s="145">
        <v>42857</v>
      </c>
      <c r="G262" s="146">
        <v>4981.7</v>
      </c>
      <c r="H262" s="138">
        <f t="shared" si="5"/>
        <v>0</v>
      </c>
      <c r="I262" s="147" t="s">
        <v>15214</v>
      </c>
    </row>
    <row r="263" spans="1:9" x14ac:dyDescent="0.25">
      <c r="A263" s="135">
        <v>42857</v>
      </c>
      <c r="B263" s="136" t="s">
        <v>15630</v>
      </c>
      <c r="C263" s="137">
        <v>110312</v>
      </c>
      <c r="D263" s="136" t="s">
        <v>15213</v>
      </c>
      <c r="E263" s="138">
        <v>2932.5</v>
      </c>
      <c r="F263" s="139">
        <v>42858</v>
      </c>
      <c r="G263" s="140">
        <v>2932.5</v>
      </c>
      <c r="H263" s="138">
        <f t="shared" si="5"/>
        <v>0</v>
      </c>
      <c r="I263" s="141" t="s">
        <v>15214</v>
      </c>
    </row>
    <row r="264" spans="1:9" x14ac:dyDescent="0.25">
      <c r="A264" s="135">
        <v>42857</v>
      </c>
      <c r="B264" s="142" t="s">
        <v>15631</v>
      </c>
      <c r="C264" s="143">
        <v>110313</v>
      </c>
      <c r="D264" s="142" t="s">
        <v>15632</v>
      </c>
      <c r="E264" s="144">
        <v>20644.400000000001</v>
      </c>
      <c r="F264" s="145">
        <v>42871</v>
      </c>
      <c r="G264" s="146">
        <v>20644.400000000001</v>
      </c>
      <c r="H264" s="138">
        <f t="shared" si="5"/>
        <v>0</v>
      </c>
      <c r="I264" s="147" t="s">
        <v>15214</v>
      </c>
    </row>
    <row r="265" spans="1:9" x14ac:dyDescent="0.25">
      <c r="A265" s="135">
        <v>42857</v>
      </c>
      <c r="B265" s="136" t="s">
        <v>15633</v>
      </c>
      <c r="C265" s="137">
        <v>110314</v>
      </c>
      <c r="D265" s="136" t="s">
        <v>15315</v>
      </c>
      <c r="E265" s="138">
        <v>3082</v>
      </c>
      <c r="F265" s="139">
        <v>42857</v>
      </c>
      <c r="G265" s="140">
        <v>3082</v>
      </c>
      <c r="H265" s="138">
        <f t="shared" si="5"/>
        <v>0</v>
      </c>
      <c r="I265" s="141" t="s">
        <v>15214</v>
      </c>
    </row>
    <row r="266" spans="1:9" x14ac:dyDescent="0.25">
      <c r="A266" s="135">
        <v>42857</v>
      </c>
      <c r="B266" s="142" t="s">
        <v>15634</v>
      </c>
      <c r="C266" s="143">
        <v>110315</v>
      </c>
      <c r="D266" s="142" t="s">
        <v>15296</v>
      </c>
      <c r="E266" s="144">
        <v>19281.5</v>
      </c>
      <c r="F266" s="145">
        <v>42870</v>
      </c>
      <c r="G266" s="146">
        <v>19281.5</v>
      </c>
      <c r="H266" s="138">
        <f t="shared" si="5"/>
        <v>0</v>
      </c>
      <c r="I266" s="147" t="s">
        <v>15214</v>
      </c>
    </row>
    <row r="267" spans="1:9" x14ac:dyDescent="0.25">
      <c r="A267" s="135">
        <v>42857</v>
      </c>
      <c r="B267" s="136" t="s">
        <v>15635</v>
      </c>
      <c r="C267" s="137">
        <v>110316</v>
      </c>
      <c r="D267" s="136" t="s">
        <v>15636</v>
      </c>
      <c r="E267" s="138">
        <v>17000</v>
      </c>
      <c r="F267" s="139">
        <v>42863</v>
      </c>
      <c r="G267" s="140">
        <v>17000</v>
      </c>
      <c r="H267" s="138">
        <f t="shared" si="5"/>
        <v>0</v>
      </c>
      <c r="I267" s="141" t="s">
        <v>15214</v>
      </c>
    </row>
    <row r="268" spans="1:9" ht="15.75" x14ac:dyDescent="0.25">
      <c r="A268" s="135">
        <v>42857</v>
      </c>
      <c r="B268" s="142" t="s">
        <v>15637</v>
      </c>
      <c r="C268" s="143">
        <v>110317</v>
      </c>
      <c r="D268" s="142" t="s">
        <v>15365</v>
      </c>
      <c r="E268" s="144">
        <v>0</v>
      </c>
      <c r="F268" s="156" t="s">
        <v>95</v>
      </c>
      <c r="G268" s="144">
        <v>0</v>
      </c>
      <c r="H268" s="138">
        <f t="shared" si="5"/>
        <v>0</v>
      </c>
      <c r="I268" s="147" t="s">
        <v>95</v>
      </c>
    </row>
    <row r="269" spans="1:9" x14ac:dyDescent="0.25">
      <c r="A269" s="135">
        <v>42857</v>
      </c>
      <c r="B269" s="136" t="s">
        <v>15638</v>
      </c>
      <c r="C269" s="137">
        <v>110318</v>
      </c>
      <c r="D269" s="136" t="s">
        <v>15315</v>
      </c>
      <c r="E269" s="138">
        <v>2734.8</v>
      </c>
      <c r="F269" s="139">
        <v>42857</v>
      </c>
      <c r="G269" s="140">
        <v>2734.8</v>
      </c>
      <c r="H269" s="138">
        <f t="shared" si="5"/>
        <v>0</v>
      </c>
      <c r="I269" s="141" t="s">
        <v>15214</v>
      </c>
    </row>
    <row r="270" spans="1:9" x14ac:dyDescent="0.25">
      <c r="A270" s="135">
        <v>42857</v>
      </c>
      <c r="B270" s="142" t="s">
        <v>15639</v>
      </c>
      <c r="C270" s="143">
        <v>110319</v>
      </c>
      <c r="D270" s="142" t="s">
        <v>15315</v>
      </c>
      <c r="E270" s="144">
        <v>1288</v>
      </c>
      <c r="F270" s="145">
        <v>42857</v>
      </c>
      <c r="G270" s="146">
        <v>1288</v>
      </c>
      <c r="H270" s="138">
        <f t="shared" si="5"/>
        <v>0</v>
      </c>
      <c r="I270" s="147" t="s">
        <v>15214</v>
      </c>
    </row>
    <row r="271" spans="1:9" x14ac:dyDescent="0.25">
      <c r="A271" s="135">
        <v>42857</v>
      </c>
      <c r="B271" s="136" t="s">
        <v>15640</v>
      </c>
      <c r="C271" s="137">
        <v>110320</v>
      </c>
      <c r="D271" s="136" t="s">
        <v>15435</v>
      </c>
      <c r="E271" s="138">
        <v>8486.4</v>
      </c>
      <c r="F271" s="139">
        <v>42857</v>
      </c>
      <c r="G271" s="140">
        <v>8486.4</v>
      </c>
      <c r="H271" s="138">
        <f t="shared" si="5"/>
        <v>0</v>
      </c>
      <c r="I271" s="141" t="s">
        <v>15214</v>
      </c>
    </row>
    <row r="272" spans="1:9" x14ac:dyDescent="0.25">
      <c r="A272" s="135">
        <v>42857</v>
      </c>
      <c r="B272" s="142" t="s">
        <v>15641</v>
      </c>
      <c r="C272" s="143">
        <v>110321</v>
      </c>
      <c r="D272" s="142" t="s">
        <v>15642</v>
      </c>
      <c r="E272" s="144">
        <v>3975.3</v>
      </c>
      <c r="F272" s="145">
        <v>42857</v>
      </c>
      <c r="G272" s="146">
        <v>3975.3</v>
      </c>
      <c r="H272" s="138">
        <f t="shared" si="5"/>
        <v>0</v>
      </c>
      <c r="I272" s="147" t="s">
        <v>15214</v>
      </c>
    </row>
    <row r="273" spans="1:9" x14ac:dyDescent="0.25">
      <c r="A273" s="135">
        <v>42857</v>
      </c>
      <c r="B273" s="136" t="s">
        <v>15643</v>
      </c>
      <c r="C273" s="137">
        <v>110322</v>
      </c>
      <c r="D273" s="136" t="s">
        <v>15644</v>
      </c>
      <c r="E273" s="138">
        <v>4089</v>
      </c>
      <c r="F273" s="139">
        <v>42858</v>
      </c>
      <c r="G273" s="140">
        <v>4089</v>
      </c>
      <c r="H273" s="138">
        <f t="shared" si="5"/>
        <v>0</v>
      </c>
      <c r="I273" s="141" t="s">
        <v>15214</v>
      </c>
    </row>
    <row r="274" spans="1:9" x14ac:dyDescent="0.25">
      <c r="A274" s="135">
        <v>42857</v>
      </c>
      <c r="B274" s="142" t="s">
        <v>15645</v>
      </c>
      <c r="C274" s="143">
        <v>110323</v>
      </c>
      <c r="D274" s="142" t="s">
        <v>15246</v>
      </c>
      <c r="E274" s="144">
        <v>177459</v>
      </c>
      <c r="F274" s="145">
        <v>42859</v>
      </c>
      <c r="G274" s="146">
        <v>177459</v>
      </c>
      <c r="H274" s="138">
        <f t="shared" si="5"/>
        <v>0</v>
      </c>
      <c r="I274" s="147" t="s">
        <v>15214</v>
      </c>
    </row>
    <row r="275" spans="1:9" x14ac:dyDescent="0.25">
      <c r="A275" s="135">
        <v>42858</v>
      </c>
      <c r="B275" s="136" t="s">
        <v>15646</v>
      </c>
      <c r="C275" s="137">
        <v>110324</v>
      </c>
      <c r="D275" s="136" t="s">
        <v>15213</v>
      </c>
      <c r="E275" s="138">
        <v>6323.1</v>
      </c>
      <c r="F275" s="159">
        <v>42859</v>
      </c>
      <c r="G275" s="138">
        <v>6323.1</v>
      </c>
      <c r="H275" s="138">
        <f t="shared" si="5"/>
        <v>0</v>
      </c>
      <c r="I275" s="141" t="s">
        <v>15214</v>
      </c>
    </row>
    <row r="276" spans="1:9" x14ac:dyDescent="0.25">
      <c r="A276" s="135">
        <v>42858</v>
      </c>
      <c r="B276" s="142" t="s">
        <v>15647</v>
      </c>
      <c r="C276" s="143">
        <v>110325</v>
      </c>
      <c r="D276" s="142" t="s">
        <v>15315</v>
      </c>
      <c r="E276" s="144">
        <v>4600.6000000000004</v>
      </c>
      <c r="F276" s="145">
        <v>42858</v>
      </c>
      <c r="G276" s="146">
        <v>4600.6000000000004</v>
      </c>
      <c r="H276" s="138">
        <f t="shared" si="5"/>
        <v>0</v>
      </c>
      <c r="I276" s="147" t="s">
        <v>15214</v>
      </c>
    </row>
    <row r="277" spans="1:9" ht="15.75" x14ac:dyDescent="0.25">
      <c r="A277" s="135">
        <v>42858</v>
      </c>
      <c r="B277" s="136" t="s">
        <v>15648</v>
      </c>
      <c r="C277" s="137">
        <v>110326</v>
      </c>
      <c r="D277" s="136" t="s">
        <v>15213</v>
      </c>
      <c r="E277" s="138">
        <v>0</v>
      </c>
      <c r="F277" s="153" t="s">
        <v>95</v>
      </c>
      <c r="G277" s="138">
        <v>0</v>
      </c>
      <c r="H277" s="138">
        <f t="shared" si="5"/>
        <v>0</v>
      </c>
      <c r="I277" s="141" t="s">
        <v>95</v>
      </c>
    </row>
    <row r="278" spans="1:9" x14ac:dyDescent="0.25">
      <c r="A278" s="135">
        <v>42858</v>
      </c>
      <c r="B278" s="142" t="s">
        <v>15649</v>
      </c>
      <c r="C278" s="143">
        <v>110327</v>
      </c>
      <c r="D278" s="142" t="s">
        <v>15228</v>
      </c>
      <c r="E278" s="144">
        <v>5702.4</v>
      </c>
      <c r="F278" s="145">
        <v>42858</v>
      </c>
      <c r="G278" s="146">
        <v>5702.4</v>
      </c>
      <c r="H278" s="138">
        <f t="shared" si="5"/>
        <v>0</v>
      </c>
      <c r="I278" s="147" t="s">
        <v>15214</v>
      </c>
    </row>
    <row r="279" spans="1:9" x14ac:dyDescent="0.25">
      <c r="A279" s="135">
        <v>42858</v>
      </c>
      <c r="B279" s="136" t="s">
        <v>15650</v>
      </c>
      <c r="C279" s="137">
        <v>110328</v>
      </c>
      <c r="D279" s="136" t="s">
        <v>15315</v>
      </c>
      <c r="E279" s="138">
        <v>2093.6999999999998</v>
      </c>
      <c r="F279" s="139">
        <v>42858</v>
      </c>
      <c r="G279" s="140">
        <v>2093.6999999999998</v>
      </c>
      <c r="H279" s="138">
        <f t="shared" si="5"/>
        <v>0</v>
      </c>
      <c r="I279" s="141" t="s">
        <v>15214</v>
      </c>
    </row>
    <row r="280" spans="1:9" x14ac:dyDescent="0.25">
      <c r="A280" s="135">
        <v>42858</v>
      </c>
      <c r="B280" s="142" t="s">
        <v>15651</v>
      </c>
      <c r="C280" s="143">
        <v>110329</v>
      </c>
      <c r="D280" s="142" t="s">
        <v>15226</v>
      </c>
      <c r="E280" s="144">
        <v>1508.8</v>
      </c>
      <c r="F280" s="145">
        <v>42859</v>
      </c>
      <c r="G280" s="146">
        <v>1508.8</v>
      </c>
      <c r="H280" s="138">
        <f t="shared" si="5"/>
        <v>0</v>
      </c>
      <c r="I280" s="147" t="s">
        <v>15214</v>
      </c>
    </row>
    <row r="281" spans="1:9" x14ac:dyDescent="0.25">
      <c r="A281" s="135">
        <v>42858</v>
      </c>
      <c r="B281" s="136" t="s">
        <v>15652</v>
      </c>
      <c r="C281" s="137">
        <v>110330</v>
      </c>
      <c r="D281" s="136" t="s">
        <v>15213</v>
      </c>
      <c r="E281" s="138">
        <v>33725.199999999997</v>
      </c>
      <c r="F281" s="139">
        <v>42859</v>
      </c>
      <c r="G281" s="140">
        <v>33725.199999999997</v>
      </c>
      <c r="H281" s="138">
        <f t="shared" si="5"/>
        <v>0</v>
      </c>
      <c r="I281" s="141" t="s">
        <v>15214</v>
      </c>
    </row>
    <row r="282" spans="1:9" x14ac:dyDescent="0.25">
      <c r="A282" s="135">
        <v>42858</v>
      </c>
      <c r="B282" s="142" t="s">
        <v>15653</v>
      </c>
      <c r="C282" s="143">
        <v>110331</v>
      </c>
      <c r="D282" s="142" t="s">
        <v>15365</v>
      </c>
      <c r="E282" s="144">
        <v>24138</v>
      </c>
      <c r="F282" s="145">
        <v>42858</v>
      </c>
      <c r="G282" s="146">
        <v>24138</v>
      </c>
      <c r="H282" s="138">
        <f t="shared" si="5"/>
        <v>0</v>
      </c>
      <c r="I282" s="147" t="s">
        <v>15214</v>
      </c>
    </row>
    <row r="283" spans="1:9" x14ac:dyDescent="0.25">
      <c r="A283" s="135">
        <v>42858</v>
      </c>
      <c r="B283" s="136" t="s">
        <v>15654</v>
      </c>
      <c r="C283" s="137">
        <v>110332</v>
      </c>
      <c r="D283" s="136" t="s">
        <v>15655</v>
      </c>
      <c r="E283" s="138">
        <v>6267.8</v>
      </c>
      <c r="F283" s="139">
        <v>42858</v>
      </c>
      <c r="G283" s="140">
        <v>6267.8</v>
      </c>
      <c r="H283" s="138">
        <f t="shared" si="5"/>
        <v>0</v>
      </c>
      <c r="I283" s="141" t="s">
        <v>15214</v>
      </c>
    </row>
    <row r="284" spans="1:9" x14ac:dyDescent="0.25">
      <c r="A284" s="135">
        <v>42858</v>
      </c>
      <c r="B284" s="142" t="s">
        <v>15656</v>
      </c>
      <c r="C284" s="143">
        <v>110333</v>
      </c>
      <c r="D284" s="142" t="s">
        <v>15272</v>
      </c>
      <c r="E284" s="144">
        <v>19552.45</v>
      </c>
      <c r="F284" s="145">
        <v>42858</v>
      </c>
      <c r="G284" s="146">
        <v>19552.45</v>
      </c>
      <c r="H284" s="138">
        <f t="shared" si="5"/>
        <v>0</v>
      </c>
      <c r="I284" s="147" t="s">
        <v>15214</v>
      </c>
    </row>
    <row r="285" spans="1:9" x14ac:dyDescent="0.25">
      <c r="A285" s="135">
        <v>42858</v>
      </c>
      <c r="B285" s="136" t="s">
        <v>15657</v>
      </c>
      <c r="C285" s="137">
        <v>110334</v>
      </c>
      <c r="D285" s="136" t="s">
        <v>15240</v>
      </c>
      <c r="E285" s="138">
        <v>2767.8</v>
      </c>
      <c r="F285" s="139">
        <v>42860</v>
      </c>
      <c r="G285" s="140">
        <v>2767.8</v>
      </c>
      <c r="H285" s="138">
        <f t="shared" si="5"/>
        <v>0</v>
      </c>
      <c r="I285" s="141" t="s">
        <v>15214</v>
      </c>
    </row>
    <row r="286" spans="1:9" x14ac:dyDescent="0.25">
      <c r="A286" s="135">
        <v>42858</v>
      </c>
      <c r="B286" s="142" t="s">
        <v>15658</v>
      </c>
      <c r="C286" s="143">
        <v>110335</v>
      </c>
      <c r="D286" s="142" t="s">
        <v>15244</v>
      </c>
      <c r="E286" s="144">
        <v>15643.7</v>
      </c>
      <c r="F286" s="145">
        <v>42859</v>
      </c>
      <c r="G286" s="146">
        <v>15643.7</v>
      </c>
      <c r="H286" s="138">
        <f t="shared" si="5"/>
        <v>0</v>
      </c>
      <c r="I286" s="147" t="s">
        <v>15214</v>
      </c>
    </row>
    <row r="287" spans="1:9" x14ac:dyDescent="0.25">
      <c r="A287" s="135">
        <v>42858</v>
      </c>
      <c r="B287" s="136" t="s">
        <v>15659</v>
      </c>
      <c r="C287" s="137">
        <v>110336</v>
      </c>
      <c r="D287" s="136" t="s">
        <v>15242</v>
      </c>
      <c r="E287" s="138">
        <v>9984.6</v>
      </c>
      <c r="F287" s="139">
        <v>42858</v>
      </c>
      <c r="G287" s="140">
        <v>9984.6</v>
      </c>
      <c r="H287" s="138">
        <f t="shared" si="5"/>
        <v>0</v>
      </c>
      <c r="I287" s="141" t="s">
        <v>15214</v>
      </c>
    </row>
    <row r="288" spans="1:9" x14ac:dyDescent="0.25">
      <c r="A288" s="135">
        <v>42858</v>
      </c>
      <c r="B288" s="142" t="s">
        <v>15660</v>
      </c>
      <c r="C288" s="143">
        <v>110337</v>
      </c>
      <c r="D288" s="142" t="s">
        <v>15263</v>
      </c>
      <c r="E288" s="144">
        <v>2498.6</v>
      </c>
      <c r="F288" s="145">
        <v>42858</v>
      </c>
      <c r="G288" s="146">
        <v>2498.6</v>
      </c>
      <c r="H288" s="138">
        <f t="shared" si="5"/>
        <v>0</v>
      </c>
      <c r="I288" s="147" t="s">
        <v>15214</v>
      </c>
    </row>
    <row r="289" spans="1:9" x14ac:dyDescent="0.25">
      <c r="A289" s="135">
        <v>42858</v>
      </c>
      <c r="B289" s="136" t="s">
        <v>15661</v>
      </c>
      <c r="C289" s="137">
        <v>110338</v>
      </c>
      <c r="D289" s="136" t="s">
        <v>15662</v>
      </c>
      <c r="E289" s="138">
        <v>12823</v>
      </c>
      <c r="F289" s="139">
        <v>42858</v>
      </c>
      <c r="G289" s="140">
        <v>12823</v>
      </c>
      <c r="H289" s="138">
        <f t="shared" si="5"/>
        <v>0</v>
      </c>
      <c r="I289" s="141" t="s">
        <v>15214</v>
      </c>
    </row>
    <row r="290" spans="1:9" x14ac:dyDescent="0.25">
      <c r="A290" s="135">
        <v>42858</v>
      </c>
      <c r="B290" s="142" t="s">
        <v>15663</v>
      </c>
      <c r="C290" s="143">
        <v>110339</v>
      </c>
      <c r="D290" s="142" t="s">
        <v>15284</v>
      </c>
      <c r="E290" s="144">
        <v>2520</v>
      </c>
      <c r="F290" s="145">
        <v>42858</v>
      </c>
      <c r="G290" s="146">
        <v>2520</v>
      </c>
      <c r="H290" s="138">
        <f t="shared" si="5"/>
        <v>0</v>
      </c>
      <c r="I290" s="147" t="s">
        <v>15214</v>
      </c>
    </row>
    <row r="291" spans="1:9" x14ac:dyDescent="0.25">
      <c r="A291" s="135">
        <v>42858</v>
      </c>
      <c r="B291" s="136" t="s">
        <v>15664</v>
      </c>
      <c r="C291" s="137">
        <v>110340</v>
      </c>
      <c r="D291" s="136" t="s">
        <v>15665</v>
      </c>
      <c r="E291" s="138">
        <v>905.15</v>
      </c>
      <c r="F291" s="139">
        <v>42858</v>
      </c>
      <c r="G291" s="140">
        <v>905.15</v>
      </c>
      <c r="H291" s="138">
        <f t="shared" si="5"/>
        <v>0</v>
      </c>
      <c r="I291" s="141" t="s">
        <v>15214</v>
      </c>
    </row>
    <row r="292" spans="1:9" x14ac:dyDescent="0.25">
      <c r="A292" s="135">
        <v>42858</v>
      </c>
      <c r="B292" s="142" t="s">
        <v>15666</v>
      </c>
      <c r="C292" s="143">
        <v>110341</v>
      </c>
      <c r="D292" s="142" t="s">
        <v>15223</v>
      </c>
      <c r="E292" s="144">
        <v>44394</v>
      </c>
      <c r="F292" s="145">
        <v>42870</v>
      </c>
      <c r="G292" s="146">
        <v>44394</v>
      </c>
      <c r="H292" s="138">
        <f t="shared" si="5"/>
        <v>0</v>
      </c>
      <c r="I292" s="147" t="s">
        <v>15214</v>
      </c>
    </row>
    <row r="293" spans="1:9" x14ac:dyDescent="0.25">
      <c r="A293" s="135">
        <v>42858</v>
      </c>
      <c r="B293" s="136" t="s">
        <v>15667</v>
      </c>
      <c r="C293" s="137">
        <v>110342</v>
      </c>
      <c r="D293" s="136" t="s">
        <v>15668</v>
      </c>
      <c r="E293" s="138">
        <v>17003.400000000001</v>
      </c>
      <c r="F293" s="139">
        <v>42860</v>
      </c>
      <c r="G293" s="140">
        <v>17003.400000000001</v>
      </c>
      <c r="H293" s="138">
        <f t="shared" si="5"/>
        <v>0</v>
      </c>
      <c r="I293" s="141" t="s">
        <v>15214</v>
      </c>
    </row>
    <row r="294" spans="1:9" x14ac:dyDescent="0.25">
      <c r="A294" s="135">
        <v>42858</v>
      </c>
      <c r="B294" s="142" t="s">
        <v>15669</v>
      </c>
      <c r="C294" s="143">
        <v>110343</v>
      </c>
      <c r="D294" s="142" t="s">
        <v>15256</v>
      </c>
      <c r="E294" s="144">
        <v>3060</v>
      </c>
      <c r="F294" s="145">
        <v>42861</v>
      </c>
      <c r="G294" s="146">
        <v>3060</v>
      </c>
      <c r="H294" s="138">
        <f t="shared" si="5"/>
        <v>0</v>
      </c>
      <c r="I294" s="147" t="s">
        <v>15214</v>
      </c>
    </row>
    <row r="295" spans="1:9" x14ac:dyDescent="0.25">
      <c r="A295" s="135">
        <v>42858</v>
      </c>
      <c r="B295" s="136" t="s">
        <v>15670</v>
      </c>
      <c r="C295" s="137">
        <v>110344</v>
      </c>
      <c r="D295" s="136" t="s">
        <v>15230</v>
      </c>
      <c r="E295" s="138">
        <v>7880</v>
      </c>
      <c r="F295" s="139">
        <v>42861</v>
      </c>
      <c r="G295" s="140">
        <v>7880</v>
      </c>
      <c r="H295" s="138">
        <f t="shared" si="5"/>
        <v>0</v>
      </c>
      <c r="I295" s="141" t="s">
        <v>15214</v>
      </c>
    </row>
    <row r="296" spans="1:9" x14ac:dyDescent="0.25">
      <c r="A296" s="135">
        <v>42858</v>
      </c>
      <c r="B296" s="142" t="s">
        <v>15671</v>
      </c>
      <c r="C296" s="143">
        <v>110345</v>
      </c>
      <c r="D296" s="142" t="s">
        <v>15232</v>
      </c>
      <c r="E296" s="144">
        <v>5763</v>
      </c>
      <c r="F296" s="145">
        <v>42861</v>
      </c>
      <c r="G296" s="146">
        <v>5763</v>
      </c>
      <c r="H296" s="138">
        <f t="shared" si="5"/>
        <v>0</v>
      </c>
      <c r="I296" s="147" t="s">
        <v>15214</v>
      </c>
    </row>
    <row r="297" spans="1:9" x14ac:dyDescent="0.25">
      <c r="A297" s="135">
        <v>42858</v>
      </c>
      <c r="B297" s="136" t="s">
        <v>15672</v>
      </c>
      <c r="C297" s="137">
        <v>110346</v>
      </c>
      <c r="D297" s="136" t="s">
        <v>15673</v>
      </c>
      <c r="E297" s="138">
        <v>2915.6</v>
      </c>
      <c r="F297" s="139">
        <v>42858</v>
      </c>
      <c r="G297" s="140">
        <v>2915.6</v>
      </c>
      <c r="H297" s="138">
        <f t="shared" si="5"/>
        <v>0</v>
      </c>
      <c r="I297" s="141" t="s">
        <v>15214</v>
      </c>
    </row>
    <row r="298" spans="1:9" x14ac:dyDescent="0.25">
      <c r="A298" s="135">
        <v>42858</v>
      </c>
      <c r="B298" s="142" t="s">
        <v>15674</v>
      </c>
      <c r="C298" s="143">
        <v>110347</v>
      </c>
      <c r="D298" s="142" t="s">
        <v>15258</v>
      </c>
      <c r="E298" s="144">
        <v>8772</v>
      </c>
      <c r="F298" s="145">
        <v>42859</v>
      </c>
      <c r="G298" s="146">
        <v>8772</v>
      </c>
      <c r="H298" s="138">
        <f t="shared" si="5"/>
        <v>0</v>
      </c>
      <c r="I298" s="147" t="s">
        <v>15214</v>
      </c>
    </row>
    <row r="299" spans="1:9" x14ac:dyDescent="0.25">
      <c r="A299" s="135">
        <v>42858</v>
      </c>
      <c r="B299" s="136" t="s">
        <v>15675</v>
      </c>
      <c r="C299" s="137">
        <v>110348</v>
      </c>
      <c r="D299" s="136" t="s">
        <v>15236</v>
      </c>
      <c r="E299" s="138">
        <v>3325.2</v>
      </c>
      <c r="F299" s="139">
        <v>42860</v>
      </c>
      <c r="G299" s="140">
        <v>3325.2</v>
      </c>
      <c r="H299" s="138">
        <f t="shared" si="5"/>
        <v>0</v>
      </c>
      <c r="I299" s="141" t="s">
        <v>15214</v>
      </c>
    </row>
    <row r="300" spans="1:9" x14ac:dyDescent="0.25">
      <c r="A300" s="135">
        <v>42858</v>
      </c>
      <c r="B300" s="142" t="s">
        <v>15676</v>
      </c>
      <c r="C300" s="143">
        <v>110349</v>
      </c>
      <c r="D300" s="142" t="s">
        <v>15238</v>
      </c>
      <c r="E300" s="144">
        <v>3390.1</v>
      </c>
      <c r="F300" s="145">
        <v>42860</v>
      </c>
      <c r="G300" s="146">
        <v>3390.1</v>
      </c>
      <c r="H300" s="138">
        <f t="shared" si="5"/>
        <v>0</v>
      </c>
      <c r="I300" s="147" t="s">
        <v>15214</v>
      </c>
    </row>
    <row r="301" spans="1:9" x14ac:dyDescent="0.25">
      <c r="A301" s="135">
        <v>42858</v>
      </c>
      <c r="B301" s="136" t="s">
        <v>15677</v>
      </c>
      <c r="C301" s="137">
        <v>110350</v>
      </c>
      <c r="D301" s="136" t="s">
        <v>15480</v>
      </c>
      <c r="E301" s="138">
        <v>120.84</v>
      </c>
      <c r="F301" s="139">
        <v>42860</v>
      </c>
      <c r="G301" s="140">
        <v>120.84</v>
      </c>
      <c r="H301" s="138">
        <f t="shared" si="5"/>
        <v>0</v>
      </c>
      <c r="I301" s="141" t="s">
        <v>15214</v>
      </c>
    </row>
    <row r="302" spans="1:9" x14ac:dyDescent="0.25">
      <c r="A302" s="135">
        <v>42858</v>
      </c>
      <c r="B302" s="142" t="s">
        <v>15678</v>
      </c>
      <c r="C302" s="143">
        <v>110351</v>
      </c>
      <c r="D302" s="142" t="s">
        <v>15261</v>
      </c>
      <c r="E302" s="144">
        <v>17849.400000000001</v>
      </c>
      <c r="F302" s="145">
        <v>42858</v>
      </c>
      <c r="G302" s="146">
        <v>17849.400000000001</v>
      </c>
      <c r="H302" s="138">
        <f t="shared" si="5"/>
        <v>0</v>
      </c>
      <c r="I302" s="147" t="s">
        <v>15214</v>
      </c>
    </row>
    <row r="303" spans="1:9" x14ac:dyDescent="0.25">
      <c r="A303" s="135">
        <v>42858</v>
      </c>
      <c r="B303" s="136" t="s">
        <v>15679</v>
      </c>
      <c r="C303" s="137">
        <v>110352</v>
      </c>
      <c r="D303" s="136" t="s">
        <v>15220</v>
      </c>
      <c r="E303" s="138">
        <v>2074.6</v>
      </c>
      <c r="F303" s="139">
        <v>42858</v>
      </c>
      <c r="G303" s="140">
        <v>2074.6</v>
      </c>
      <c r="H303" s="138">
        <f t="shared" si="5"/>
        <v>0</v>
      </c>
      <c r="I303" s="141" t="s">
        <v>15214</v>
      </c>
    </row>
    <row r="304" spans="1:9" x14ac:dyDescent="0.25">
      <c r="A304" s="135">
        <v>42858</v>
      </c>
      <c r="B304" s="142" t="s">
        <v>15680</v>
      </c>
      <c r="C304" s="143">
        <v>110353</v>
      </c>
      <c r="D304" s="142" t="s">
        <v>15681</v>
      </c>
      <c r="E304" s="144">
        <v>2257.1999999999998</v>
      </c>
      <c r="F304" s="145">
        <v>42858</v>
      </c>
      <c r="G304" s="146">
        <v>2257.1999999999998</v>
      </c>
      <c r="H304" s="138">
        <f t="shared" si="5"/>
        <v>0</v>
      </c>
      <c r="I304" s="147" t="s">
        <v>15214</v>
      </c>
    </row>
    <row r="305" spans="1:9" x14ac:dyDescent="0.25">
      <c r="A305" s="135">
        <v>42858</v>
      </c>
      <c r="B305" s="136" t="s">
        <v>15682</v>
      </c>
      <c r="C305" s="137">
        <v>110354</v>
      </c>
      <c r="D305" s="136" t="s">
        <v>15415</v>
      </c>
      <c r="E305" s="138">
        <v>2587.1999999999998</v>
      </c>
      <c r="F305" s="139">
        <v>42859</v>
      </c>
      <c r="G305" s="140">
        <v>2587.1999999999998</v>
      </c>
      <c r="H305" s="138">
        <f t="shared" si="5"/>
        <v>0</v>
      </c>
      <c r="I305" s="141" t="s">
        <v>15214</v>
      </c>
    </row>
    <row r="306" spans="1:9" x14ac:dyDescent="0.25">
      <c r="A306" s="135">
        <v>42858</v>
      </c>
      <c r="B306" s="142" t="s">
        <v>15683</v>
      </c>
      <c r="C306" s="143">
        <v>110355</v>
      </c>
      <c r="D306" s="142" t="s">
        <v>15330</v>
      </c>
      <c r="E306" s="144">
        <v>3966.8</v>
      </c>
      <c r="F306" s="145">
        <v>42859</v>
      </c>
      <c r="G306" s="146">
        <v>3966.8</v>
      </c>
      <c r="H306" s="138">
        <f t="shared" si="5"/>
        <v>0</v>
      </c>
      <c r="I306" s="147" t="s">
        <v>15214</v>
      </c>
    </row>
    <row r="307" spans="1:9" x14ac:dyDescent="0.25">
      <c r="A307" s="135">
        <v>42858</v>
      </c>
      <c r="B307" s="136" t="s">
        <v>15684</v>
      </c>
      <c r="C307" s="137">
        <v>110356</v>
      </c>
      <c r="D307" s="136" t="s">
        <v>15655</v>
      </c>
      <c r="E307" s="138">
        <v>4804.8</v>
      </c>
      <c r="F307" s="139">
        <v>42858</v>
      </c>
      <c r="G307" s="140">
        <v>4804.8</v>
      </c>
      <c r="H307" s="138">
        <f t="shared" si="5"/>
        <v>0</v>
      </c>
      <c r="I307" s="141" t="s">
        <v>15214</v>
      </c>
    </row>
    <row r="308" spans="1:9" x14ac:dyDescent="0.25">
      <c r="A308" s="135">
        <v>42858</v>
      </c>
      <c r="B308" s="142" t="s">
        <v>15685</v>
      </c>
      <c r="C308" s="143">
        <v>110357</v>
      </c>
      <c r="D308" s="142" t="s">
        <v>15407</v>
      </c>
      <c r="E308" s="144">
        <v>7001.7</v>
      </c>
      <c r="F308" s="145">
        <v>42858</v>
      </c>
      <c r="G308" s="146">
        <v>7001.7</v>
      </c>
      <c r="H308" s="138">
        <f t="shared" si="5"/>
        <v>0</v>
      </c>
      <c r="I308" s="147" t="s">
        <v>15214</v>
      </c>
    </row>
    <row r="309" spans="1:9" x14ac:dyDescent="0.25">
      <c r="A309" s="135">
        <v>42858</v>
      </c>
      <c r="B309" s="136" t="s">
        <v>15686</v>
      </c>
      <c r="C309" s="137">
        <v>110358</v>
      </c>
      <c r="D309" s="136" t="s">
        <v>15282</v>
      </c>
      <c r="E309" s="138">
        <v>2760</v>
      </c>
      <c r="F309" s="139">
        <v>42859</v>
      </c>
      <c r="G309" s="140">
        <v>2760</v>
      </c>
      <c r="H309" s="138">
        <f t="shared" si="5"/>
        <v>0</v>
      </c>
      <c r="I309" s="141" t="s">
        <v>15214</v>
      </c>
    </row>
    <row r="310" spans="1:9" x14ac:dyDescent="0.25">
      <c r="A310" s="135">
        <v>42858</v>
      </c>
      <c r="B310" s="142" t="s">
        <v>15687</v>
      </c>
      <c r="C310" s="143">
        <v>110359</v>
      </c>
      <c r="D310" s="142" t="s">
        <v>15248</v>
      </c>
      <c r="E310" s="144">
        <v>26539.02</v>
      </c>
      <c r="F310" s="145">
        <v>42858</v>
      </c>
      <c r="G310" s="146">
        <v>26539.02</v>
      </c>
      <c r="H310" s="138">
        <f t="shared" si="5"/>
        <v>0</v>
      </c>
      <c r="I310" s="147" t="s">
        <v>15214</v>
      </c>
    </row>
    <row r="311" spans="1:9" x14ac:dyDescent="0.25">
      <c r="A311" s="135">
        <v>42858</v>
      </c>
      <c r="B311" s="136" t="s">
        <v>15688</v>
      </c>
      <c r="C311" s="137">
        <v>110360</v>
      </c>
      <c r="D311" s="136" t="s">
        <v>15689</v>
      </c>
      <c r="E311" s="138">
        <v>13048</v>
      </c>
      <c r="F311" s="139">
        <v>42858</v>
      </c>
      <c r="G311" s="140">
        <v>13048</v>
      </c>
      <c r="H311" s="138">
        <f t="shared" si="5"/>
        <v>0</v>
      </c>
      <c r="I311" s="141" t="s">
        <v>15214</v>
      </c>
    </row>
    <row r="312" spans="1:9" x14ac:dyDescent="0.25">
      <c r="A312" s="135">
        <v>42858</v>
      </c>
      <c r="B312" s="142" t="s">
        <v>15690</v>
      </c>
      <c r="C312" s="143">
        <v>110361</v>
      </c>
      <c r="D312" s="142" t="s">
        <v>15246</v>
      </c>
      <c r="E312" s="144">
        <v>3354.4</v>
      </c>
      <c r="F312" s="145">
        <v>42859</v>
      </c>
      <c r="G312" s="146">
        <v>3354.4</v>
      </c>
      <c r="H312" s="138">
        <f t="shared" si="5"/>
        <v>0</v>
      </c>
      <c r="I312" s="147" t="s">
        <v>15214</v>
      </c>
    </row>
    <row r="313" spans="1:9" x14ac:dyDescent="0.25">
      <c r="A313" s="135">
        <v>42858</v>
      </c>
      <c r="B313" s="136" t="s">
        <v>15691</v>
      </c>
      <c r="C313" s="137">
        <v>110362</v>
      </c>
      <c r="D313" s="136" t="s">
        <v>15315</v>
      </c>
      <c r="E313" s="138">
        <v>4805.7</v>
      </c>
      <c r="F313" s="139">
        <v>42858</v>
      </c>
      <c r="G313" s="140">
        <v>4805.7</v>
      </c>
      <c r="H313" s="138">
        <f t="shared" si="5"/>
        <v>0</v>
      </c>
      <c r="I313" s="141" t="s">
        <v>15214</v>
      </c>
    </row>
    <row r="314" spans="1:9" x14ac:dyDescent="0.25">
      <c r="A314" s="135">
        <v>42858</v>
      </c>
      <c r="B314" s="142" t="s">
        <v>15692</v>
      </c>
      <c r="C314" s="143">
        <v>110363</v>
      </c>
      <c r="D314" s="142" t="s">
        <v>15539</v>
      </c>
      <c r="E314" s="144">
        <v>13045.8</v>
      </c>
      <c r="F314" s="145">
        <v>42860</v>
      </c>
      <c r="G314" s="146">
        <v>13045.8</v>
      </c>
      <c r="H314" s="138">
        <f t="shared" si="5"/>
        <v>0</v>
      </c>
      <c r="I314" s="147" t="s">
        <v>15214</v>
      </c>
    </row>
    <row r="315" spans="1:9" x14ac:dyDescent="0.25">
      <c r="A315" s="135">
        <v>42858</v>
      </c>
      <c r="B315" s="136" t="s">
        <v>15693</v>
      </c>
      <c r="C315" s="137">
        <v>110364</v>
      </c>
      <c r="D315" s="136" t="s">
        <v>15280</v>
      </c>
      <c r="E315" s="138">
        <v>5461</v>
      </c>
      <c r="F315" s="139">
        <v>42858</v>
      </c>
      <c r="G315" s="140">
        <v>5461</v>
      </c>
      <c r="H315" s="138">
        <f t="shared" si="5"/>
        <v>0</v>
      </c>
      <c r="I315" s="141" t="s">
        <v>15214</v>
      </c>
    </row>
    <row r="316" spans="1:9" x14ac:dyDescent="0.25">
      <c r="A316" s="135">
        <v>42858</v>
      </c>
      <c r="B316" s="142" t="s">
        <v>15694</v>
      </c>
      <c r="C316" s="143">
        <v>110365</v>
      </c>
      <c r="D316" s="142" t="s">
        <v>15371</v>
      </c>
      <c r="E316" s="144">
        <v>3823.4</v>
      </c>
      <c r="F316" s="145">
        <v>42859</v>
      </c>
      <c r="G316" s="146">
        <v>3823.4</v>
      </c>
      <c r="H316" s="138">
        <f t="shared" si="5"/>
        <v>0</v>
      </c>
      <c r="I316" s="147" t="s">
        <v>15214</v>
      </c>
    </row>
    <row r="317" spans="1:9" x14ac:dyDescent="0.25">
      <c r="A317" s="135">
        <v>42858</v>
      </c>
      <c r="B317" s="136" t="s">
        <v>15695</v>
      </c>
      <c r="C317" s="137">
        <v>110366</v>
      </c>
      <c r="D317" s="136" t="s">
        <v>15696</v>
      </c>
      <c r="E317" s="138">
        <v>13594</v>
      </c>
      <c r="F317" s="139">
        <v>42860</v>
      </c>
      <c r="G317" s="140">
        <v>13594</v>
      </c>
      <c r="H317" s="138">
        <f t="shared" si="5"/>
        <v>0</v>
      </c>
      <c r="I317" s="141" t="s">
        <v>15214</v>
      </c>
    </row>
    <row r="318" spans="1:9" x14ac:dyDescent="0.25">
      <c r="A318" s="135">
        <v>42858</v>
      </c>
      <c r="B318" s="142" t="s">
        <v>15697</v>
      </c>
      <c r="C318" s="143">
        <v>110367</v>
      </c>
      <c r="D318" s="142" t="s">
        <v>15537</v>
      </c>
      <c r="E318" s="144">
        <v>26616.7</v>
      </c>
      <c r="F318" s="145">
        <v>42860</v>
      </c>
      <c r="G318" s="146">
        <v>26616.7</v>
      </c>
      <c r="H318" s="138">
        <f t="shared" si="5"/>
        <v>0</v>
      </c>
      <c r="I318" s="147" t="s">
        <v>15214</v>
      </c>
    </row>
    <row r="319" spans="1:9" x14ac:dyDescent="0.25">
      <c r="A319" s="135">
        <v>42858</v>
      </c>
      <c r="B319" s="136" t="s">
        <v>15698</v>
      </c>
      <c r="C319" s="137">
        <v>110368</v>
      </c>
      <c r="D319" s="136" t="s">
        <v>15699</v>
      </c>
      <c r="E319" s="138">
        <v>3498.6</v>
      </c>
      <c r="F319" s="139">
        <v>42865</v>
      </c>
      <c r="G319" s="140">
        <v>3498.6</v>
      </c>
      <c r="H319" s="138">
        <f t="shared" si="5"/>
        <v>0</v>
      </c>
      <c r="I319" s="141" t="s">
        <v>15214</v>
      </c>
    </row>
    <row r="320" spans="1:9" x14ac:dyDescent="0.25">
      <c r="A320" s="135">
        <v>42858</v>
      </c>
      <c r="B320" s="142" t="s">
        <v>15700</v>
      </c>
      <c r="C320" s="143">
        <v>110369</v>
      </c>
      <c r="D320" s="142" t="s">
        <v>15544</v>
      </c>
      <c r="E320" s="144">
        <v>9171.2999999999993</v>
      </c>
      <c r="F320" s="145">
        <v>42860</v>
      </c>
      <c r="G320" s="146">
        <v>9171.2999999999993</v>
      </c>
      <c r="H320" s="138">
        <f t="shared" si="5"/>
        <v>0</v>
      </c>
      <c r="I320" s="147" t="s">
        <v>15214</v>
      </c>
    </row>
    <row r="321" spans="1:9" x14ac:dyDescent="0.25">
      <c r="A321" s="135">
        <v>42858</v>
      </c>
      <c r="B321" s="136" t="s">
        <v>15701</v>
      </c>
      <c r="C321" s="137">
        <v>110370</v>
      </c>
      <c r="D321" s="136" t="s">
        <v>15555</v>
      </c>
      <c r="E321" s="138">
        <v>2380.6</v>
      </c>
      <c r="F321" s="139">
        <v>42860</v>
      </c>
      <c r="G321" s="140">
        <v>2380.6</v>
      </c>
      <c r="H321" s="138">
        <f t="shared" si="5"/>
        <v>0</v>
      </c>
      <c r="I321" s="141" t="s">
        <v>15214</v>
      </c>
    </row>
    <row r="322" spans="1:9" x14ac:dyDescent="0.25">
      <c r="A322" s="135">
        <v>42858</v>
      </c>
      <c r="B322" s="142" t="s">
        <v>15702</v>
      </c>
      <c r="C322" s="143">
        <v>110371</v>
      </c>
      <c r="D322" s="142" t="s">
        <v>15539</v>
      </c>
      <c r="E322" s="144">
        <v>1576.8</v>
      </c>
      <c r="F322" s="145">
        <v>42860</v>
      </c>
      <c r="G322" s="146">
        <v>1576.8</v>
      </c>
      <c r="H322" s="138">
        <f t="shared" si="5"/>
        <v>0</v>
      </c>
      <c r="I322" s="147" t="s">
        <v>15214</v>
      </c>
    </row>
    <row r="323" spans="1:9" x14ac:dyDescent="0.25">
      <c r="A323" s="135">
        <v>42858</v>
      </c>
      <c r="B323" s="136" t="s">
        <v>15703</v>
      </c>
      <c r="C323" s="137">
        <v>110372</v>
      </c>
      <c r="D323" s="136" t="s">
        <v>15346</v>
      </c>
      <c r="E323" s="138">
        <v>5431.25</v>
      </c>
      <c r="F323" s="139">
        <v>42859</v>
      </c>
      <c r="G323" s="140">
        <v>5431.25</v>
      </c>
      <c r="H323" s="138">
        <f t="shared" si="5"/>
        <v>0</v>
      </c>
      <c r="I323" s="141" t="s">
        <v>15214</v>
      </c>
    </row>
    <row r="324" spans="1:9" x14ac:dyDescent="0.25">
      <c r="A324" s="135">
        <v>42858</v>
      </c>
      <c r="B324" s="142" t="s">
        <v>15704</v>
      </c>
      <c r="C324" s="143">
        <v>110373</v>
      </c>
      <c r="D324" s="142" t="s">
        <v>15315</v>
      </c>
      <c r="E324" s="144">
        <v>2909</v>
      </c>
      <c r="F324" s="145">
        <v>42858</v>
      </c>
      <c r="G324" s="146">
        <v>2909</v>
      </c>
      <c r="H324" s="138">
        <f t="shared" ref="H324:H387" si="6">E324-G324</f>
        <v>0</v>
      </c>
      <c r="I324" s="147" t="s">
        <v>15214</v>
      </c>
    </row>
    <row r="325" spans="1:9" x14ac:dyDescent="0.25">
      <c r="A325" s="135">
        <v>42858</v>
      </c>
      <c r="B325" s="136" t="s">
        <v>15705</v>
      </c>
      <c r="C325" s="137">
        <v>110374</v>
      </c>
      <c r="D325" s="136" t="s">
        <v>15706</v>
      </c>
      <c r="E325" s="138">
        <v>1638</v>
      </c>
      <c r="F325" s="139">
        <v>42858</v>
      </c>
      <c r="G325" s="140">
        <v>1638</v>
      </c>
      <c r="H325" s="138">
        <f t="shared" si="6"/>
        <v>0</v>
      </c>
      <c r="I325" s="141" t="s">
        <v>15214</v>
      </c>
    </row>
    <row r="326" spans="1:9" x14ac:dyDescent="0.25">
      <c r="A326" s="135">
        <v>42858</v>
      </c>
      <c r="B326" s="142" t="s">
        <v>15707</v>
      </c>
      <c r="C326" s="143">
        <v>110375</v>
      </c>
      <c r="D326" s="142" t="s">
        <v>15324</v>
      </c>
      <c r="E326" s="144">
        <v>1138.8</v>
      </c>
      <c r="F326" s="145">
        <v>42859</v>
      </c>
      <c r="G326" s="146">
        <v>1138.8</v>
      </c>
      <c r="H326" s="138">
        <f t="shared" si="6"/>
        <v>0</v>
      </c>
      <c r="I326" s="147" t="s">
        <v>15214</v>
      </c>
    </row>
    <row r="327" spans="1:9" x14ac:dyDescent="0.25">
      <c r="A327" s="135">
        <v>42858</v>
      </c>
      <c r="B327" s="136" t="s">
        <v>15708</v>
      </c>
      <c r="C327" s="137">
        <v>110376</v>
      </c>
      <c r="D327" s="136" t="s">
        <v>15315</v>
      </c>
      <c r="E327" s="138">
        <v>1230.5999999999999</v>
      </c>
      <c r="F327" s="139">
        <v>42858</v>
      </c>
      <c r="G327" s="140">
        <v>1230.5999999999999</v>
      </c>
      <c r="H327" s="138">
        <f t="shared" si="6"/>
        <v>0</v>
      </c>
      <c r="I327" s="141" t="s">
        <v>15214</v>
      </c>
    </row>
    <row r="328" spans="1:9" x14ac:dyDescent="0.25">
      <c r="A328" s="135">
        <v>42858</v>
      </c>
      <c r="B328" s="142" t="s">
        <v>15709</v>
      </c>
      <c r="C328" s="143">
        <v>110377</v>
      </c>
      <c r="D328" s="142" t="s">
        <v>15352</v>
      </c>
      <c r="E328" s="144">
        <v>834.4</v>
      </c>
      <c r="F328" s="145">
        <v>42858</v>
      </c>
      <c r="G328" s="146">
        <v>834.4</v>
      </c>
      <c r="H328" s="138">
        <f t="shared" si="6"/>
        <v>0</v>
      </c>
      <c r="I328" s="147" t="s">
        <v>15214</v>
      </c>
    </row>
    <row r="329" spans="1:9" ht="15.75" x14ac:dyDescent="0.25">
      <c r="A329" s="135">
        <v>42858</v>
      </c>
      <c r="B329" s="136" t="s">
        <v>15710</v>
      </c>
      <c r="C329" s="137">
        <v>110378</v>
      </c>
      <c r="D329" s="136" t="s">
        <v>15252</v>
      </c>
      <c r="E329" s="138">
        <v>0</v>
      </c>
      <c r="F329" s="153" t="s">
        <v>95</v>
      </c>
      <c r="G329" s="138">
        <v>0</v>
      </c>
      <c r="H329" s="138">
        <f t="shared" si="6"/>
        <v>0</v>
      </c>
      <c r="I329" s="141" t="s">
        <v>95</v>
      </c>
    </row>
    <row r="330" spans="1:9" x14ac:dyDescent="0.25">
      <c r="A330" s="135">
        <v>42858</v>
      </c>
      <c r="B330" s="142" t="s">
        <v>15711</v>
      </c>
      <c r="C330" s="143">
        <v>110379</v>
      </c>
      <c r="D330" s="142" t="s">
        <v>15398</v>
      </c>
      <c r="E330" s="144">
        <v>3201.2</v>
      </c>
      <c r="F330" s="145">
        <v>42858</v>
      </c>
      <c r="G330" s="146">
        <v>3201.2</v>
      </c>
      <c r="H330" s="138">
        <f t="shared" si="6"/>
        <v>0</v>
      </c>
      <c r="I330" s="147" t="s">
        <v>15214</v>
      </c>
    </row>
    <row r="331" spans="1:9" x14ac:dyDescent="0.25">
      <c r="A331" s="135">
        <v>42858</v>
      </c>
      <c r="B331" s="136" t="s">
        <v>15712</v>
      </c>
      <c r="C331" s="137">
        <v>110380</v>
      </c>
      <c r="D331" s="136" t="s">
        <v>15340</v>
      </c>
      <c r="E331" s="138">
        <v>5359.1</v>
      </c>
      <c r="F331" s="139">
        <v>42859</v>
      </c>
      <c r="G331" s="140">
        <v>5359.1</v>
      </c>
      <c r="H331" s="138">
        <f t="shared" si="6"/>
        <v>0</v>
      </c>
      <c r="I331" s="141" t="s">
        <v>15214</v>
      </c>
    </row>
    <row r="332" spans="1:9" x14ac:dyDescent="0.25">
      <c r="A332" s="135">
        <v>42858</v>
      </c>
      <c r="B332" s="142" t="s">
        <v>15713</v>
      </c>
      <c r="C332" s="143">
        <v>110381</v>
      </c>
      <c r="D332" s="142" t="s">
        <v>15714</v>
      </c>
      <c r="E332" s="144">
        <v>390</v>
      </c>
      <c r="F332" s="145">
        <v>42859</v>
      </c>
      <c r="G332" s="146">
        <v>390</v>
      </c>
      <c r="H332" s="138">
        <f t="shared" si="6"/>
        <v>0</v>
      </c>
      <c r="I332" s="147" t="s">
        <v>15214</v>
      </c>
    </row>
    <row r="333" spans="1:9" x14ac:dyDescent="0.25">
      <c r="A333" s="135">
        <v>42858</v>
      </c>
      <c r="B333" s="136" t="s">
        <v>15715</v>
      </c>
      <c r="C333" s="137">
        <v>110382</v>
      </c>
      <c r="D333" s="136" t="s">
        <v>15716</v>
      </c>
      <c r="E333" s="138">
        <v>7765.6</v>
      </c>
      <c r="F333" s="139">
        <v>42858</v>
      </c>
      <c r="G333" s="140">
        <v>7765.6</v>
      </c>
      <c r="H333" s="138">
        <f t="shared" si="6"/>
        <v>0</v>
      </c>
      <c r="I333" s="141" t="s">
        <v>15214</v>
      </c>
    </row>
    <row r="334" spans="1:9" x14ac:dyDescent="0.25">
      <c r="A334" s="135">
        <v>42858</v>
      </c>
      <c r="B334" s="142" t="s">
        <v>15717</v>
      </c>
      <c r="C334" s="143">
        <v>110383</v>
      </c>
      <c r="D334" s="142" t="s">
        <v>15213</v>
      </c>
      <c r="E334" s="144">
        <v>2485</v>
      </c>
      <c r="F334" s="145">
        <v>42859</v>
      </c>
      <c r="G334" s="146">
        <v>2485</v>
      </c>
      <c r="H334" s="138">
        <f t="shared" si="6"/>
        <v>0</v>
      </c>
      <c r="I334" s="147" t="s">
        <v>15214</v>
      </c>
    </row>
    <row r="335" spans="1:9" x14ac:dyDescent="0.25">
      <c r="A335" s="135">
        <v>42858</v>
      </c>
      <c r="B335" s="136" t="s">
        <v>15718</v>
      </c>
      <c r="C335" s="137">
        <v>110384</v>
      </c>
      <c r="D335" s="136" t="s">
        <v>15315</v>
      </c>
      <c r="E335" s="138">
        <v>18</v>
      </c>
      <c r="F335" s="139">
        <v>42858</v>
      </c>
      <c r="G335" s="140">
        <v>18</v>
      </c>
      <c r="H335" s="138">
        <f t="shared" si="6"/>
        <v>0</v>
      </c>
      <c r="I335" s="141" t="s">
        <v>15214</v>
      </c>
    </row>
    <row r="336" spans="1:9" x14ac:dyDescent="0.25">
      <c r="A336" s="135">
        <v>42858</v>
      </c>
      <c r="B336" s="142" t="s">
        <v>15719</v>
      </c>
      <c r="C336" s="143">
        <v>110385</v>
      </c>
      <c r="D336" s="142" t="s">
        <v>15246</v>
      </c>
      <c r="E336" s="144">
        <v>102231.62</v>
      </c>
      <c r="F336" s="145">
        <v>42859</v>
      </c>
      <c r="G336" s="146">
        <v>102231.62</v>
      </c>
      <c r="H336" s="138">
        <f t="shared" si="6"/>
        <v>0</v>
      </c>
      <c r="I336" s="147" t="s">
        <v>15214</v>
      </c>
    </row>
    <row r="337" spans="1:12" x14ac:dyDescent="0.25">
      <c r="A337" s="135">
        <v>42858</v>
      </c>
      <c r="B337" s="136" t="s">
        <v>15720</v>
      </c>
      <c r="C337" s="137">
        <v>110386</v>
      </c>
      <c r="D337" s="136" t="s">
        <v>15442</v>
      </c>
      <c r="E337" s="138">
        <v>345.6</v>
      </c>
      <c r="F337" s="139">
        <v>42858</v>
      </c>
      <c r="G337" s="140">
        <v>345.6</v>
      </c>
      <c r="H337" s="138">
        <f t="shared" si="6"/>
        <v>0</v>
      </c>
      <c r="I337" s="141" t="s">
        <v>15214</v>
      </c>
    </row>
    <row r="338" spans="1:12" x14ac:dyDescent="0.25">
      <c r="A338" s="135">
        <v>42858</v>
      </c>
      <c r="B338" s="142" t="s">
        <v>15721</v>
      </c>
      <c r="C338" s="143">
        <v>110387</v>
      </c>
      <c r="D338" s="142" t="s">
        <v>15309</v>
      </c>
      <c r="E338" s="144">
        <v>3134.8</v>
      </c>
      <c r="F338" s="145">
        <v>42859</v>
      </c>
      <c r="G338" s="146">
        <v>3134.8</v>
      </c>
      <c r="H338" s="138">
        <f t="shared" si="6"/>
        <v>0</v>
      </c>
      <c r="I338" s="147" t="s">
        <v>15214</v>
      </c>
    </row>
    <row r="339" spans="1:12" x14ac:dyDescent="0.25">
      <c r="A339" s="135">
        <v>42858</v>
      </c>
      <c r="B339" s="136" t="s">
        <v>15722</v>
      </c>
      <c r="C339" s="137">
        <v>110388</v>
      </c>
      <c r="D339" s="136" t="s">
        <v>15396</v>
      </c>
      <c r="E339" s="138">
        <v>3384</v>
      </c>
      <c r="F339" s="139">
        <v>42858</v>
      </c>
      <c r="G339" s="140">
        <v>3384</v>
      </c>
      <c r="H339" s="138">
        <f t="shared" si="6"/>
        <v>0</v>
      </c>
      <c r="I339" s="141" t="s">
        <v>15214</v>
      </c>
    </row>
    <row r="340" spans="1:12" x14ac:dyDescent="0.25">
      <c r="A340" s="135">
        <v>42858</v>
      </c>
      <c r="B340" s="142" t="s">
        <v>15723</v>
      </c>
      <c r="C340" s="143">
        <v>110389</v>
      </c>
      <c r="D340" s="142" t="s">
        <v>15396</v>
      </c>
      <c r="E340" s="144">
        <v>4411.6000000000004</v>
      </c>
      <c r="F340" s="145">
        <v>42858</v>
      </c>
      <c r="G340" s="146">
        <v>4411.6000000000004</v>
      </c>
      <c r="H340" s="138">
        <f t="shared" si="6"/>
        <v>0</v>
      </c>
      <c r="I340" s="147" t="s">
        <v>15214</v>
      </c>
    </row>
    <row r="341" spans="1:12" x14ac:dyDescent="0.25">
      <c r="A341" s="135">
        <v>42858</v>
      </c>
      <c r="B341" s="136" t="s">
        <v>15724</v>
      </c>
      <c r="C341" s="137">
        <v>110390</v>
      </c>
      <c r="D341" s="136" t="s">
        <v>15725</v>
      </c>
      <c r="E341" s="138">
        <v>17869.2</v>
      </c>
      <c r="F341" s="139">
        <v>43593</v>
      </c>
      <c r="G341" s="140">
        <v>17869.2</v>
      </c>
      <c r="H341" s="138">
        <f t="shared" si="6"/>
        <v>0</v>
      </c>
      <c r="I341" s="141" t="s">
        <v>15214</v>
      </c>
    </row>
    <row r="342" spans="1:12" x14ac:dyDescent="0.25">
      <c r="A342" s="135">
        <v>42858</v>
      </c>
      <c r="B342" s="142" t="s">
        <v>15726</v>
      </c>
      <c r="C342" s="143">
        <v>110391</v>
      </c>
      <c r="D342" s="142" t="s">
        <v>15265</v>
      </c>
      <c r="E342" s="144">
        <v>3413.2</v>
      </c>
      <c r="F342" s="145">
        <v>42859</v>
      </c>
      <c r="G342" s="146">
        <v>3413.2</v>
      </c>
      <c r="H342" s="138">
        <f t="shared" si="6"/>
        <v>0</v>
      </c>
      <c r="I342" s="147" t="s">
        <v>15214</v>
      </c>
    </row>
    <row r="343" spans="1:12" x14ac:dyDescent="0.25">
      <c r="A343" s="135">
        <v>42858</v>
      </c>
      <c r="B343" s="136" t="s">
        <v>15727</v>
      </c>
      <c r="C343" s="137">
        <v>110392</v>
      </c>
      <c r="D343" s="136" t="s">
        <v>15728</v>
      </c>
      <c r="E343" s="138">
        <v>17639.2</v>
      </c>
      <c r="F343" s="139">
        <v>42858</v>
      </c>
      <c r="G343" s="140">
        <v>17639.2</v>
      </c>
      <c r="H343" s="138">
        <f t="shared" si="6"/>
        <v>0</v>
      </c>
      <c r="I343" s="141" t="s">
        <v>15214</v>
      </c>
    </row>
    <row r="344" spans="1:12" x14ac:dyDescent="0.25">
      <c r="A344" s="135">
        <v>42858</v>
      </c>
      <c r="B344" s="142" t="s">
        <v>15729</v>
      </c>
      <c r="C344" s="143">
        <v>110393</v>
      </c>
      <c r="D344" s="142" t="s">
        <v>15328</v>
      </c>
      <c r="E344" s="144">
        <v>49458.52</v>
      </c>
      <c r="F344" s="145">
        <v>42868</v>
      </c>
      <c r="G344" s="146">
        <v>49458.52</v>
      </c>
      <c r="H344" s="138">
        <f t="shared" si="6"/>
        <v>0</v>
      </c>
      <c r="I344" s="147" t="s">
        <v>15214</v>
      </c>
    </row>
    <row r="345" spans="1:12" x14ac:dyDescent="0.25">
      <c r="A345" s="135">
        <v>42858</v>
      </c>
      <c r="B345" s="136" t="s">
        <v>15730</v>
      </c>
      <c r="C345" s="137">
        <v>110394</v>
      </c>
      <c r="D345" s="136" t="s">
        <v>15348</v>
      </c>
      <c r="E345" s="138">
        <v>1092.3</v>
      </c>
      <c r="F345" s="139">
        <v>42859</v>
      </c>
      <c r="G345" s="140">
        <v>1092.3</v>
      </c>
      <c r="H345" s="138">
        <f t="shared" si="6"/>
        <v>0</v>
      </c>
      <c r="I345" s="141" t="s">
        <v>15214</v>
      </c>
    </row>
    <row r="346" spans="1:12" x14ac:dyDescent="0.25">
      <c r="A346" s="135">
        <v>42858</v>
      </c>
      <c r="B346" s="142" t="s">
        <v>15731</v>
      </c>
      <c r="C346" s="143">
        <v>110395</v>
      </c>
      <c r="D346" s="142" t="s">
        <v>15732</v>
      </c>
      <c r="E346" s="144">
        <v>2059.7800000000002</v>
      </c>
      <c r="F346" s="145">
        <v>42859</v>
      </c>
      <c r="G346" s="146">
        <v>2059.7800000000002</v>
      </c>
      <c r="H346" s="138">
        <f t="shared" si="6"/>
        <v>0</v>
      </c>
      <c r="I346" s="147" t="s">
        <v>15214</v>
      </c>
    </row>
    <row r="347" spans="1:12" x14ac:dyDescent="0.25">
      <c r="A347" s="135">
        <v>42858</v>
      </c>
      <c r="B347" s="136" t="s">
        <v>15733</v>
      </c>
      <c r="C347" s="137">
        <v>110396</v>
      </c>
      <c r="D347" s="136" t="s">
        <v>15356</v>
      </c>
      <c r="E347" s="138">
        <v>593.6</v>
      </c>
      <c r="F347" s="139">
        <v>42859</v>
      </c>
      <c r="G347" s="140">
        <v>593.6</v>
      </c>
      <c r="H347" s="138">
        <f t="shared" si="6"/>
        <v>0</v>
      </c>
      <c r="I347" s="141" t="s">
        <v>15214</v>
      </c>
    </row>
    <row r="348" spans="1:12" x14ac:dyDescent="0.25">
      <c r="A348" s="135">
        <v>42858</v>
      </c>
      <c r="B348" s="142" t="s">
        <v>15734</v>
      </c>
      <c r="C348" s="143">
        <v>110397</v>
      </c>
      <c r="D348" s="142" t="s">
        <v>15336</v>
      </c>
      <c r="E348" s="144">
        <v>2176.5</v>
      </c>
      <c r="F348" s="145">
        <v>42859</v>
      </c>
      <c r="G348" s="146">
        <v>2176.5</v>
      </c>
      <c r="H348" s="138">
        <f t="shared" si="6"/>
        <v>0</v>
      </c>
      <c r="I348" s="147" t="s">
        <v>15214</v>
      </c>
    </row>
    <row r="349" spans="1:12" x14ac:dyDescent="0.25">
      <c r="A349" s="135">
        <v>42858</v>
      </c>
      <c r="B349" s="136" t="s">
        <v>15735</v>
      </c>
      <c r="C349" s="137">
        <v>110398</v>
      </c>
      <c r="D349" s="136" t="s">
        <v>15358</v>
      </c>
      <c r="E349" s="138">
        <v>1291.5</v>
      </c>
      <c r="F349" s="139">
        <v>42859</v>
      </c>
      <c r="G349" s="140">
        <v>1291.5</v>
      </c>
      <c r="H349" s="138">
        <f t="shared" si="6"/>
        <v>0</v>
      </c>
      <c r="I349" s="141" t="s">
        <v>15214</v>
      </c>
    </row>
    <row r="350" spans="1:12" x14ac:dyDescent="0.25">
      <c r="A350" s="135">
        <v>42858</v>
      </c>
      <c r="B350" s="142" t="s">
        <v>15736</v>
      </c>
      <c r="C350" s="143">
        <v>110399</v>
      </c>
      <c r="D350" s="142" t="s">
        <v>15334</v>
      </c>
      <c r="E350" s="144">
        <v>2410.1999999999998</v>
      </c>
      <c r="F350" s="145">
        <v>42859</v>
      </c>
      <c r="G350" s="146">
        <v>2410.1999999999998</v>
      </c>
      <c r="H350" s="138">
        <f t="shared" si="6"/>
        <v>0</v>
      </c>
      <c r="I350" s="147" t="s">
        <v>15214</v>
      </c>
    </row>
    <row r="351" spans="1:12" x14ac:dyDescent="0.25">
      <c r="A351" s="135">
        <v>42858</v>
      </c>
      <c r="B351" s="136" t="s">
        <v>15737</v>
      </c>
      <c r="C351" s="137">
        <v>110400</v>
      </c>
      <c r="D351" s="136" t="s">
        <v>15315</v>
      </c>
      <c r="E351" s="138">
        <v>612.45000000000005</v>
      </c>
      <c r="F351" s="139">
        <v>42858</v>
      </c>
      <c r="G351" s="140">
        <v>612.45000000000005</v>
      </c>
      <c r="H351" s="138">
        <f t="shared" si="6"/>
        <v>0</v>
      </c>
      <c r="I351" s="141" t="s">
        <v>15214</v>
      </c>
    </row>
    <row r="352" spans="1:12" ht="18.75" x14ac:dyDescent="0.3">
      <c r="A352" s="135">
        <v>42858</v>
      </c>
      <c r="B352" s="142" t="s">
        <v>15738</v>
      </c>
      <c r="C352" s="143">
        <v>110401</v>
      </c>
      <c r="D352" s="142" t="s">
        <v>15523</v>
      </c>
      <c r="E352" s="144">
        <v>1614.6</v>
      </c>
      <c r="F352" s="145">
        <v>42859</v>
      </c>
      <c r="G352" s="146">
        <v>1614.6</v>
      </c>
      <c r="H352" s="138">
        <f t="shared" si="6"/>
        <v>0</v>
      </c>
      <c r="I352" s="147" t="s">
        <v>15214</v>
      </c>
      <c r="K352" s="22"/>
      <c r="L352" s="22"/>
    </row>
    <row r="353" spans="1:9" x14ac:dyDescent="0.25">
      <c r="A353" s="135">
        <v>42858</v>
      </c>
      <c r="B353" s="136" t="s">
        <v>15739</v>
      </c>
      <c r="C353" s="137">
        <v>110402</v>
      </c>
      <c r="D353" s="136" t="s">
        <v>15526</v>
      </c>
      <c r="E353" s="138">
        <v>9951.4</v>
      </c>
      <c r="F353" s="139">
        <v>42859</v>
      </c>
      <c r="G353" s="140">
        <v>9951.4</v>
      </c>
      <c r="H353" s="138">
        <f t="shared" si="6"/>
        <v>0</v>
      </c>
      <c r="I353" s="141" t="s">
        <v>15214</v>
      </c>
    </row>
    <row r="354" spans="1:9" x14ac:dyDescent="0.25">
      <c r="A354" s="135">
        <v>42858</v>
      </c>
      <c r="B354" s="142" t="s">
        <v>15740</v>
      </c>
      <c r="C354" s="143">
        <v>110403</v>
      </c>
      <c r="D354" s="142" t="s">
        <v>15332</v>
      </c>
      <c r="E354" s="144">
        <v>4201.8</v>
      </c>
      <c r="F354" s="145">
        <v>42859</v>
      </c>
      <c r="G354" s="146">
        <v>4201.8</v>
      </c>
      <c r="H354" s="138">
        <f t="shared" si="6"/>
        <v>0</v>
      </c>
      <c r="I354" s="147" t="s">
        <v>15214</v>
      </c>
    </row>
    <row r="355" spans="1:9" x14ac:dyDescent="0.25">
      <c r="A355" s="135">
        <v>42858</v>
      </c>
      <c r="B355" s="136" t="s">
        <v>15741</v>
      </c>
      <c r="C355" s="137">
        <v>110404</v>
      </c>
      <c r="D355" s="136" t="s">
        <v>15742</v>
      </c>
      <c r="E355" s="138">
        <v>2493.1999999999998</v>
      </c>
      <c r="F355" s="139">
        <v>42859</v>
      </c>
      <c r="G355" s="140">
        <v>2493.1999999999998</v>
      </c>
      <c r="H355" s="138">
        <f t="shared" si="6"/>
        <v>0</v>
      </c>
      <c r="I355" s="141" t="s">
        <v>15214</v>
      </c>
    </row>
    <row r="356" spans="1:9" x14ac:dyDescent="0.25">
      <c r="A356" s="135">
        <v>42858</v>
      </c>
      <c r="B356" s="142" t="s">
        <v>15743</v>
      </c>
      <c r="C356" s="143">
        <v>110405</v>
      </c>
      <c r="D356" s="142" t="s">
        <v>15301</v>
      </c>
      <c r="E356" s="144">
        <v>2633.1</v>
      </c>
      <c r="F356" s="145">
        <v>42859</v>
      </c>
      <c r="G356" s="146">
        <v>2633.1</v>
      </c>
      <c r="H356" s="138">
        <f t="shared" si="6"/>
        <v>0</v>
      </c>
      <c r="I356" s="147" t="s">
        <v>15214</v>
      </c>
    </row>
    <row r="357" spans="1:9" x14ac:dyDescent="0.25">
      <c r="A357" s="135">
        <v>42858</v>
      </c>
      <c r="B357" s="136" t="s">
        <v>15744</v>
      </c>
      <c r="C357" s="137">
        <v>110406</v>
      </c>
      <c r="D357" s="136" t="s">
        <v>15745</v>
      </c>
      <c r="E357" s="138">
        <v>1149.1600000000001</v>
      </c>
      <c r="F357" s="139">
        <v>42859</v>
      </c>
      <c r="G357" s="140">
        <v>1149.1600000000001</v>
      </c>
      <c r="H357" s="138">
        <f t="shared" si="6"/>
        <v>0</v>
      </c>
      <c r="I357" s="141" t="s">
        <v>15214</v>
      </c>
    </row>
    <row r="358" spans="1:9" x14ac:dyDescent="0.25">
      <c r="A358" s="135">
        <v>42858</v>
      </c>
      <c r="B358" s="142" t="s">
        <v>15746</v>
      </c>
      <c r="C358" s="143">
        <v>110407</v>
      </c>
      <c r="D358" s="142" t="s">
        <v>15320</v>
      </c>
      <c r="E358" s="144">
        <v>2490.4</v>
      </c>
      <c r="F358" s="145">
        <v>42859</v>
      </c>
      <c r="G358" s="146">
        <v>2490.4</v>
      </c>
      <c r="H358" s="138">
        <f t="shared" si="6"/>
        <v>0</v>
      </c>
      <c r="I358" s="147" t="s">
        <v>15214</v>
      </c>
    </row>
    <row r="359" spans="1:9" x14ac:dyDescent="0.25">
      <c r="A359" s="135">
        <v>42858</v>
      </c>
      <c r="B359" s="136" t="s">
        <v>15747</v>
      </c>
      <c r="C359" s="137">
        <v>110408</v>
      </c>
      <c r="D359" s="136" t="s">
        <v>15748</v>
      </c>
      <c r="E359" s="138">
        <v>3105.36</v>
      </c>
      <c r="F359" s="139">
        <v>42865</v>
      </c>
      <c r="G359" s="140">
        <v>3105.36</v>
      </c>
      <c r="H359" s="138">
        <f t="shared" si="6"/>
        <v>0</v>
      </c>
      <c r="I359" s="141" t="s">
        <v>15214</v>
      </c>
    </row>
    <row r="360" spans="1:9" x14ac:dyDescent="0.25">
      <c r="A360" s="135">
        <v>42858</v>
      </c>
      <c r="B360" s="142" t="s">
        <v>15749</v>
      </c>
      <c r="C360" s="143">
        <v>110409</v>
      </c>
      <c r="D360" s="142" t="s">
        <v>15748</v>
      </c>
      <c r="E360" s="144">
        <v>763.2</v>
      </c>
      <c r="F360" s="145">
        <v>42859</v>
      </c>
      <c r="G360" s="146">
        <v>763.2</v>
      </c>
      <c r="H360" s="138">
        <f t="shared" si="6"/>
        <v>0</v>
      </c>
      <c r="I360" s="147" t="s">
        <v>15214</v>
      </c>
    </row>
    <row r="361" spans="1:9" x14ac:dyDescent="0.25">
      <c r="A361" s="135">
        <v>42858</v>
      </c>
      <c r="B361" s="136" t="s">
        <v>15750</v>
      </c>
      <c r="C361" s="137">
        <v>110410</v>
      </c>
      <c r="D361" s="136" t="s">
        <v>15751</v>
      </c>
      <c r="E361" s="138">
        <v>2438.4</v>
      </c>
      <c r="F361" s="139">
        <v>42859</v>
      </c>
      <c r="G361" s="140">
        <v>2438.4</v>
      </c>
      <c r="H361" s="138">
        <f t="shared" si="6"/>
        <v>0</v>
      </c>
      <c r="I361" s="141" t="s">
        <v>15214</v>
      </c>
    </row>
    <row r="362" spans="1:9" x14ac:dyDescent="0.25">
      <c r="A362" s="135">
        <v>42858</v>
      </c>
      <c r="B362" s="142" t="s">
        <v>15752</v>
      </c>
      <c r="C362" s="143">
        <v>110411</v>
      </c>
      <c r="D362" s="142" t="s">
        <v>15291</v>
      </c>
      <c r="E362" s="144">
        <v>920</v>
      </c>
      <c r="F362" s="145">
        <v>42859</v>
      </c>
      <c r="G362" s="146">
        <v>920</v>
      </c>
      <c r="H362" s="138">
        <f t="shared" si="6"/>
        <v>0</v>
      </c>
      <c r="I362" s="147" t="s">
        <v>15214</v>
      </c>
    </row>
    <row r="363" spans="1:9" x14ac:dyDescent="0.25">
      <c r="A363" s="135">
        <v>42858</v>
      </c>
      <c r="B363" s="136" t="s">
        <v>15753</v>
      </c>
      <c r="C363" s="137">
        <v>110412</v>
      </c>
      <c r="D363" s="136" t="s">
        <v>15305</v>
      </c>
      <c r="E363" s="138">
        <v>236</v>
      </c>
      <c r="F363" s="139">
        <v>42859</v>
      </c>
      <c r="G363" s="140">
        <v>236</v>
      </c>
      <c r="H363" s="138">
        <f t="shared" si="6"/>
        <v>0</v>
      </c>
      <c r="I363" s="141" t="s">
        <v>15214</v>
      </c>
    </row>
    <row r="364" spans="1:9" ht="15.75" x14ac:dyDescent="0.25">
      <c r="A364" s="135">
        <v>42858</v>
      </c>
      <c r="B364" s="142" t="s">
        <v>15754</v>
      </c>
      <c r="C364" s="143">
        <v>110413</v>
      </c>
      <c r="D364" s="142" t="s">
        <v>5873</v>
      </c>
      <c r="E364" s="144">
        <v>0</v>
      </c>
      <c r="F364" s="156" t="s">
        <v>95</v>
      </c>
      <c r="G364" s="144">
        <v>0</v>
      </c>
      <c r="H364" s="138">
        <f t="shared" si="6"/>
        <v>0</v>
      </c>
      <c r="I364" s="147" t="s">
        <v>95</v>
      </c>
    </row>
    <row r="365" spans="1:9" ht="15.75" customHeight="1" x14ac:dyDescent="0.25">
      <c r="A365" s="135">
        <v>42858</v>
      </c>
      <c r="B365" s="136" t="s">
        <v>15755</v>
      </c>
      <c r="C365" s="137">
        <v>110414</v>
      </c>
      <c r="D365" s="136" t="s">
        <v>5873</v>
      </c>
      <c r="E365" s="138">
        <v>33338.9</v>
      </c>
      <c r="F365" s="139">
        <v>42859</v>
      </c>
      <c r="G365" s="140">
        <v>33338.9</v>
      </c>
      <c r="H365" s="138">
        <f t="shared" si="6"/>
        <v>0</v>
      </c>
      <c r="I365" s="141" t="s">
        <v>15214</v>
      </c>
    </row>
    <row r="366" spans="1:9" x14ac:dyDescent="0.25">
      <c r="A366" s="135">
        <v>42858</v>
      </c>
      <c r="B366" s="142" t="s">
        <v>15756</v>
      </c>
      <c r="C366" s="143">
        <v>110415</v>
      </c>
      <c r="D366" s="142" t="s">
        <v>15757</v>
      </c>
      <c r="E366" s="144">
        <v>3940.6</v>
      </c>
      <c r="F366" s="145">
        <v>42859</v>
      </c>
      <c r="G366" s="146">
        <v>3940.6</v>
      </c>
      <c r="H366" s="138">
        <f t="shared" si="6"/>
        <v>0</v>
      </c>
      <c r="I366" s="147" t="s">
        <v>15214</v>
      </c>
    </row>
    <row r="367" spans="1:9" x14ac:dyDescent="0.25">
      <c r="A367" s="135">
        <v>42858</v>
      </c>
      <c r="B367" s="136" t="s">
        <v>15758</v>
      </c>
      <c r="C367" s="137">
        <v>110416</v>
      </c>
      <c r="D367" s="136" t="s">
        <v>15759</v>
      </c>
      <c r="E367" s="138">
        <v>4179.96</v>
      </c>
      <c r="F367" s="139">
        <v>42859</v>
      </c>
      <c r="G367" s="140">
        <v>4179.96</v>
      </c>
      <c r="H367" s="138">
        <f t="shared" si="6"/>
        <v>0</v>
      </c>
      <c r="I367" s="141" t="s">
        <v>15214</v>
      </c>
    </row>
    <row r="368" spans="1:9" x14ac:dyDescent="0.25">
      <c r="A368" s="135">
        <v>42858</v>
      </c>
      <c r="B368" s="142" t="s">
        <v>15760</v>
      </c>
      <c r="C368" s="143">
        <v>110417</v>
      </c>
      <c r="D368" s="142" t="s">
        <v>15338</v>
      </c>
      <c r="E368" s="144">
        <v>8317</v>
      </c>
      <c r="F368" s="145">
        <v>42863</v>
      </c>
      <c r="G368" s="146">
        <v>8317</v>
      </c>
      <c r="H368" s="138">
        <f t="shared" si="6"/>
        <v>0</v>
      </c>
      <c r="I368" s="147" t="s">
        <v>15214</v>
      </c>
    </row>
    <row r="369" spans="1:9" x14ac:dyDescent="0.25">
      <c r="A369" s="135">
        <v>42858</v>
      </c>
      <c r="B369" s="136" t="s">
        <v>15761</v>
      </c>
      <c r="C369" s="137">
        <v>110418</v>
      </c>
      <c r="D369" s="136" t="s">
        <v>15246</v>
      </c>
      <c r="E369" s="138">
        <v>900</v>
      </c>
      <c r="F369" s="159">
        <v>42859</v>
      </c>
      <c r="G369" s="138">
        <v>900</v>
      </c>
      <c r="H369" s="138">
        <f t="shared" si="6"/>
        <v>0</v>
      </c>
      <c r="I369" s="141" t="s">
        <v>15214</v>
      </c>
    </row>
    <row r="370" spans="1:9" ht="15.75" x14ac:dyDescent="0.25">
      <c r="A370" s="135">
        <v>42858</v>
      </c>
      <c r="B370" s="142" t="s">
        <v>15762</v>
      </c>
      <c r="C370" s="143">
        <v>110419</v>
      </c>
      <c r="D370" s="142" t="s">
        <v>15373</v>
      </c>
      <c r="E370" s="144">
        <v>0</v>
      </c>
      <c r="F370" s="156" t="s">
        <v>95</v>
      </c>
      <c r="G370" s="144">
        <v>0</v>
      </c>
      <c r="H370" s="138">
        <f t="shared" si="6"/>
        <v>0</v>
      </c>
      <c r="I370" s="147" t="s">
        <v>95</v>
      </c>
    </row>
    <row r="371" spans="1:9" x14ac:dyDescent="0.25">
      <c r="A371" s="135">
        <v>42858</v>
      </c>
      <c r="B371" s="136" t="s">
        <v>15763</v>
      </c>
      <c r="C371" s="137">
        <v>110420</v>
      </c>
      <c r="D371" s="136" t="s">
        <v>15246</v>
      </c>
      <c r="E371" s="138">
        <v>25333</v>
      </c>
      <c r="F371" s="160" t="s">
        <v>15764</v>
      </c>
      <c r="G371" s="140">
        <f>18336.54+6996.46</f>
        <v>25333</v>
      </c>
      <c r="H371" s="144">
        <f t="shared" si="6"/>
        <v>0</v>
      </c>
      <c r="I371" s="141" t="s">
        <v>15214</v>
      </c>
    </row>
    <row r="372" spans="1:9" x14ac:dyDescent="0.25">
      <c r="A372" s="135">
        <v>42858</v>
      </c>
      <c r="B372" s="142" t="s">
        <v>15765</v>
      </c>
      <c r="C372" s="143">
        <v>110421</v>
      </c>
      <c r="D372" s="142" t="s">
        <v>15394</v>
      </c>
      <c r="E372" s="144">
        <v>22063.5</v>
      </c>
      <c r="F372" s="145" t="s">
        <v>15766</v>
      </c>
      <c r="G372" s="146">
        <f>5063.5+17000</f>
        <v>22063.5</v>
      </c>
      <c r="H372" s="144">
        <f t="shared" si="6"/>
        <v>0</v>
      </c>
      <c r="I372" s="147" t="s">
        <v>15214</v>
      </c>
    </row>
    <row r="373" spans="1:9" x14ac:dyDescent="0.25">
      <c r="A373" s="135">
        <v>42858</v>
      </c>
      <c r="B373" s="136" t="s">
        <v>15767</v>
      </c>
      <c r="C373" s="137">
        <v>110422</v>
      </c>
      <c r="D373" s="136" t="s">
        <v>15367</v>
      </c>
      <c r="E373" s="138">
        <v>8500</v>
      </c>
      <c r="F373" s="139">
        <v>42859</v>
      </c>
      <c r="G373" s="140">
        <v>8500</v>
      </c>
      <c r="H373" s="138">
        <f t="shared" si="6"/>
        <v>0</v>
      </c>
      <c r="I373" s="141" t="s">
        <v>15214</v>
      </c>
    </row>
    <row r="374" spans="1:9" x14ac:dyDescent="0.25">
      <c r="A374" s="135">
        <v>42858</v>
      </c>
      <c r="B374" s="142" t="s">
        <v>15768</v>
      </c>
      <c r="C374" s="143">
        <v>110423</v>
      </c>
      <c r="D374" s="142" t="s">
        <v>15380</v>
      </c>
      <c r="E374" s="144">
        <v>14731.4</v>
      </c>
      <c r="F374" s="145">
        <v>42881</v>
      </c>
      <c r="G374" s="146">
        <v>14731.4</v>
      </c>
      <c r="H374" s="138">
        <f t="shared" si="6"/>
        <v>0</v>
      </c>
      <c r="I374" s="147" t="s">
        <v>15214</v>
      </c>
    </row>
    <row r="375" spans="1:9" x14ac:dyDescent="0.25">
      <c r="A375" s="135">
        <v>42858</v>
      </c>
      <c r="B375" s="136" t="s">
        <v>15769</v>
      </c>
      <c r="C375" s="137">
        <v>110424</v>
      </c>
      <c r="D375" s="136" t="s">
        <v>15427</v>
      </c>
      <c r="E375" s="138">
        <v>32608.400000000001</v>
      </c>
      <c r="F375" s="139">
        <v>42859</v>
      </c>
      <c r="G375" s="140">
        <v>32608.400000000001</v>
      </c>
      <c r="H375" s="138">
        <f t="shared" si="6"/>
        <v>0</v>
      </c>
      <c r="I375" s="141" t="s">
        <v>15214</v>
      </c>
    </row>
    <row r="376" spans="1:9" x14ac:dyDescent="0.25">
      <c r="A376" s="135">
        <v>42858</v>
      </c>
      <c r="B376" s="142" t="s">
        <v>15770</v>
      </c>
      <c r="C376" s="143">
        <v>110425</v>
      </c>
      <c r="D376" s="142" t="s">
        <v>15315</v>
      </c>
      <c r="E376" s="144">
        <v>5311</v>
      </c>
      <c r="F376" s="145">
        <v>42858</v>
      </c>
      <c r="G376" s="146">
        <v>5311</v>
      </c>
      <c r="H376" s="138">
        <f t="shared" si="6"/>
        <v>0</v>
      </c>
      <c r="I376" s="147" t="s">
        <v>15214</v>
      </c>
    </row>
    <row r="377" spans="1:9" x14ac:dyDescent="0.25">
      <c r="A377" s="135">
        <v>42858</v>
      </c>
      <c r="B377" s="136" t="s">
        <v>15771</v>
      </c>
      <c r="C377" s="137">
        <v>110426</v>
      </c>
      <c r="D377" s="136" t="s">
        <v>15373</v>
      </c>
      <c r="E377" s="138">
        <v>27635.200000000001</v>
      </c>
      <c r="F377" s="139">
        <v>42859</v>
      </c>
      <c r="G377" s="140">
        <v>27635.200000000001</v>
      </c>
      <c r="H377" s="138">
        <f t="shared" si="6"/>
        <v>0</v>
      </c>
      <c r="I377" s="141" t="s">
        <v>15214</v>
      </c>
    </row>
    <row r="378" spans="1:9" x14ac:dyDescent="0.25">
      <c r="A378" s="135">
        <v>42858</v>
      </c>
      <c r="B378" s="142" t="s">
        <v>15772</v>
      </c>
      <c r="C378" s="143">
        <v>110427</v>
      </c>
      <c r="D378" s="142" t="s">
        <v>15322</v>
      </c>
      <c r="E378" s="144">
        <v>738.4</v>
      </c>
      <c r="F378" s="145">
        <v>42858</v>
      </c>
      <c r="G378" s="146">
        <v>738.4</v>
      </c>
      <c r="H378" s="138">
        <f t="shared" si="6"/>
        <v>0</v>
      </c>
      <c r="I378" s="147" t="s">
        <v>15214</v>
      </c>
    </row>
    <row r="379" spans="1:9" x14ac:dyDescent="0.25">
      <c r="A379" s="135">
        <v>42858</v>
      </c>
      <c r="B379" s="136" t="s">
        <v>15773</v>
      </c>
      <c r="C379" s="137">
        <v>110428</v>
      </c>
      <c r="D379" s="136" t="s">
        <v>15380</v>
      </c>
      <c r="E379" s="138">
        <v>770</v>
      </c>
      <c r="F379" s="139">
        <v>42881</v>
      </c>
      <c r="G379" s="140">
        <v>770</v>
      </c>
      <c r="H379" s="138">
        <f t="shared" si="6"/>
        <v>0</v>
      </c>
      <c r="I379" s="141" t="s">
        <v>15214</v>
      </c>
    </row>
    <row r="380" spans="1:9" ht="15.75" x14ac:dyDescent="0.25">
      <c r="A380" s="135">
        <v>42858</v>
      </c>
      <c r="B380" s="142" t="s">
        <v>15774</v>
      </c>
      <c r="C380" s="143">
        <v>110429</v>
      </c>
      <c r="D380" s="142" t="s">
        <v>15389</v>
      </c>
      <c r="E380" s="144">
        <v>0</v>
      </c>
      <c r="F380" s="156" t="s">
        <v>95</v>
      </c>
      <c r="G380" s="144">
        <v>0</v>
      </c>
      <c r="H380" s="138">
        <f t="shared" si="6"/>
        <v>0</v>
      </c>
      <c r="I380" s="147" t="s">
        <v>95</v>
      </c>
    </row>
    <row r="381" spans="1:9" x14ac:dyDescent="0.25">
      <c r="A381" s="135">
        <v>42858</v>
      </c>
      <c r="B381" s="136" t="s">
        <v>15775</v>
      </c>
      <c r="C381" s="137">
        <v>110430</v>
      </c>
      <c r="D381" s="136" t="s">
        <v>15382</v>
      </c>
      <c r="E381" s="138">
        <v>2301.6</v>
      </c>
      <c r="F381" s="139">
        <v>42881</v>
      </c>
      <c r="G381" s="140">
        <v>2301.6</v>
      </c>
      <c r="H381" s="138">
        <f t="shared" si="6"/>
        <v>0</v>
      </c>
      <c r="I381" s="141" t="s">
        <v>15214</v>
      </c>
    </row>
    <row r="382" spans="1:9" x14ac:dyDescent="0.25">
      <c r="A382" s="135">
        <v>42858</v>
      </c>
      <c r="B382" s="142" t="s">
        <v>15776</v>
      </c>
      <c r="C382" s="143">
        <v>110431</v>
      </c>
      <c r="D382" s="142" t="s">
        <v>15389</v>
      </c>
      <c r="E382" s="144">
        <v>6442.6</v>
      </c>
      <c r="F382" s="145">
        <v>42940</v>
      </c>
      <c r="G382" s="146">
        <v>6442.6</v>
      </c>
      <c r="H382" s="138">
        <f t="shared" si="6"/>
        <v>0</v>
      </c>
      <c r="I382" s="147" t="s">
        <v>15214</v>
      </c>
    </row>
    <row r="383" spans="1:9" x14ac:dyDescent="0.25">
      <c r="A383" s="135">
        <v>42858</v>
      </c>
      <c r="B383" s="136" t="s">
        <v>15777</v>
      </c>
      <c r="C383" s="137">
        <v>110432</v>
      </c>
      <c r="D383" s="136" t="s">
        <v>15284</v>
      </c>
      <c r="E383" s="138">
        <v>1184.4000000000001</v>
      </c>
      <c r="F383" s="139">
        <v>42858</v>
      </c>
      <c r="G383" s="140">
        <v>1184.4000000000001</v>
      </c>
      <c r="H383" s="138">
        <f t="shared" si="6"/>
        <v>0</v>
      </c>
      <c r="I383" s="141" t="s">
        <v>15214</v>
      </c>
    </row>
    <row r="384" spans="1:9" x14ac:dyDescent="0.25">
      <c r="A384" s="135">
        <v>42858</v>
      </c>
      <c r="B384" s="142" t="s">
        <v>15778</v>
      </c>
      <c r="C384" s="143">
        <v>110433</v>
      </c>
      <c r="D384" s="142" t="s">
        <v>15391</v>
      </c>
      <c r="E384" s="144">
        <v>5788.8</v>
      </c>
      <c r="F384" s="145">
        <v>42859</v>
      </c>
      <c r="G384" s="146">
        <v>5788.8</v>
      </c>
      <c r="H384" s="138">
        <f t="shared" si="6"/>
        <v>0</v>
      </c>
      <c r="I384" s="147" t="s">
        <v>15214</v>
      </c>
    </row>
    <row r="385" spans="1:9" x14ac:dyDescent="0.25">
      <c r="A385" s="135">
        <v>42858</v>
      </c>
      <c r="B385" s="136" t="s">
        <v>15779</v>
      </c>
      <c r="C385" s="137">
        <v>110434</v>
      </c>
      <c r="D385" s="136" t="s">
        <v>15254</v>
      </c>
      <c r="E385" s="138">
        <v>5976</v>
      </c>
      <c r="F385" s="139">
        <v>42859</v>
      </c>
      <c r="G385" s="140">
        <v>5976</v>
      </c>
      <c r="H385" s="138">
        <f t="shared" si="6"/>
        <v>0</v>
      </c>
      <c r="I385" s="141" t="s">
        <v>15214</v>
      </c>
    </row>
    <row r="386" spans="1:9" x14ac:dyDescent="0.25">
      <c r="A386" s="135">
        <v>42858</v>
      </c>
      <c r="B386" s="142" t="s">
        <v>15780</v>
      </c>
      <c r="C386" s="143">
        <v>110435</v>
      </c>
      <c r="D386" s="142" t="s">
        <v>15600</v>
      </c>
      <c r="E386" s="144">
        <v>8782.4</v>
      </c>
      <c r="F386" s="145">
        <v>42859</v>
      </c>
      <c r="G386" s="146">
        <v>8782.4</v>
      </c>
      <c r="H386" s="138">
        <f t="shared" si="6"/>
        <v>0</v>
      </c>
      <c r="I386" s="147" t="s">
        <v>15214</v>
      </c>
    </row>
    <row r="387" spans="1:9" x14ac:dyDescent="0.25">
      <c r="A387" s="135">
        <v>42858</v>
      </c>
      <c r="B387" s="136" t="s">
        <v>15781</v>
      </c>
      <c r="C387" s="137">
        <v>110436</v>
      </c>
      <c r="D387" s="136" t="s">
        <v>15782</v>
      </c>
      <c r="E387" s="138">
        <v>880</v>
      </c>
      <c r="F387" s="139">
        <v>42859</v>
      </c>
      <c r="G387" s="140">
        <v>880</v>
      </c>
      <c r="H387" s="138">
        <f t="shared" si="6"/>
        <v>0</v>
      </c>
      <c r="I387" s="141" t="s">
        <v>15214</v>
      </c>
    </row>
    <row r="388" spans="1:9" x14ac:dyDescent="0.25">
      <c r="A388" s="135">
        <v>42858</v>
      </c>
      <c r="B388" s="142" t="s">
        <v>15783</v>
      </c>
      <c r="C388" s="143">
        <v>110437</v>
      </c>
      <c r="D388" s="142" t="s">
        <v>15361</v>
      </c>
      <c r="E388" s="144">
        <v>12074.4</v>
      </c>
      <c r="F388" s="145">
        <v>42859</v>
      </c>
      <c r="G388" s="146">
        <v>12074.4</v>
      </c>
      <c r="H388" s="138">
        <f t="shared" ref="H388:H451" si="7">E388-G388</f>
        <v>0</v>
      </c>
      <c r="I388" s="147" t="s">
        <v>15214</v>
      </c>
    </row>
    <row r="389" spans="1:9" x14ac:dyDescent="0.25">
      <c r="A389" s="135">
        <v>42858</v>
      </c>
      <c r="B389" s="136" t="s">
        <v>15784</v>
      </c>
      <c r="C389" s="137">
        <v>110438</v>
      </c>
      <c r="D389" s="136" t="s">
        <v>15594</v>
      </c>
      <c r="E389" s="138">
        <v>0</v>
      </c>
      <c r="F389" s="162" t="s">
        <v>95</v>
      </c>
      <c r="G389" s="138">
        <v>0</v>
      </c>
      <c r="H389" s="138">
        <f t="shared" si="7"/>
        <v>0</v>
      </c>
      <c r="I389" s="141" t="s">
        <v>95</v>
      </c>
    </row>
    <row r="390" spans="1:9" x14ac:dyDescent="0.25">
      <c r="A390" s="135">
        <v>42858</v>
      </c>
      <c r="B390" s="142" t="s">
        <v>15785</v>
      </c>
      <c r="C390" s="143">
        <v>110439</v>
      </c>
      <c r="D390" s="142" t="s">
        <v>15786</v>
      </c>
      <c r="E390" s="144">
        <v>12258.8</v>
      </c>
      <c r="F390" s="145">
        <v>42859</v>
      </c>
      <c r="G390" s="146">
        <v>12258.8</v>
      </c>
      <c r="H390" s="138">
        <f t="shared" si="7"/>
        <v>0</v>
      </c>
      <c r="I390" s="147" t="s">
        <v>15214</v>
      </c>
    </row>
    <row r="391" spans="1:9" x14ac:dyDescent="0.25">
      <c r="A391" s="135">
        <v>42858</v>
      </c>
      <c r="B391" s="136" t="s">
        <v>15787</v>
      </c>
      <c r="C391" s="137">
        <v>110440</v>
      </c>
      <c r="D391" s="136" t="s">
        <v>15365</v>
      </c>
      <c r="E391" s="138">
        <v>183330</v>
      </c>
      <c r="F391" s="139">
        <v>42858</v>
      </c>
      <c r="G391" s="140">
        <v>183330</v>
      </c>
      <c r="H391" s="138">
        <f t="shared" si="7"/>
        <v>0</v>
      </c>
      <c r="I391" s="141" t="s">
        <v>15214</v>
      </c>
    </row>
    <row r="392" spans="1:9" x14ac:dyDescent="0.25">
      <c r="A392" s="135">
        <v>42858</v>
      </c>
      <c r="B392" s="142" t="s">
        <v>15788</v>
      </c>
      <c r="C392" s="143">
        <v>110441</v>
      </c>
      <c r="D392" s="142" t="s">
        <v>15789</v>
      </c>
      <c r="E392" s="144">
        <v>32804.400000000001</v>
      </c>
      <c r="F392" s="145">
        <v>42868</v>
      </c>
      <c r="G392" s="146">
        <v>32804.400000000001</v>
      </c>
      <c r="H392" s="138">
        <f t="shared" si="7"/>
        <v>0</v>
      </c>
      <c r="I392" s="147" t="s">
        <v>15214</v>
      </c>
    </row>
    <row r="393" spans="1:9" x14ac:dyDescent="0.25">
      <c r="A393" s="135">
        <v>42858</v>
      </c>
      <c r="B393" s="136" t="s">
        <v>15790</v>
      </c>
      <c r="C393" s="137">
        <v>110442</v>
      </c>
      <c r="D393" s="136" t="s">
        <v>15365</v>
      </c>
      <c r="E393" s="138">
        <v>78476.160000000003</v>
      </c>
      <c r="F393" s="139">
        <v>42863</v>
      </c>
      <c r="G393" s="140">
        <v>78476.160000000003</v>
      </c>
      <c r="H393" s="138">
        <f t="shared" si="7"/>
        <v>0</v>
      </c>
      <c r="I393" s="141" t="s">
        <v>15214</v>
      </c>
    </row>
    <row r="394" spans="1:9" x14ac:dyDescent="0.25">
      <c r="A394" s="135">
        <v>42858</v>
      </c>
      <c r="B394" s="142" t="s">
        <v>15791</v>
      </c>
      <c r="C394" s="143">
        <v>110443</v>
      </c>
      <c r="D394" s="142" t="s">
        <v>15642</v>
      </c>
      <c r="E394" s="144">
        <v>4155.6000000000004</v>
      </c>
      <c r="F394" s="145">
        <v>42858</v>
      </c>
      <c r="G394" s="146">
        <v>4155.6000000000004</v>
      </c>
      <c r="H394" s="138">
        <f t="shared" si="7"/>
        <v>0</v>
      </c>
      <c r="I394" s="147" t="s">
        <v>15214</v>
      </c>
    </row>
    <row r="395" spans="1:9" x14ac:dyDescent="0.25">
      <c r="A395" s="135">
        <v>42858</v>
      </c>
      <c r="B395" s="136" t="s">
        <v>15792</v>
      </c>
      <c r="C395" s="137">
        <v>110444</v>
      </c>
      <c r="D395" s="136" t="s">
        <v>15435</v>
      </c>
      <c r="E395" s="138">
        <v>8336.7999999999993</v>
      </c>
      <c r="F395" s="139">
        <v>42859</v>
      </c>
      <c r="G395" s="140">
        <v>8336.7999999999993</v>
      </c>
      <c r="H395" s="138">
        <f t="shared" si="7"/>
        <v>0</v>
      </c>
      <c r="I395" s="141" t="s">
        <v>15214</v>
      </c>
    </row>
    <row r="396" spans="1:9" x14ac:dyDescent="0.25">
      <c r="A396" s="135">
        <v>42858</v>
      </c>
      <c r="B396" s="142" t="s">
        <v>15793</v>
      </c>
      <c r="C396" s="143">
        <v>110445</v>
      </c>
      <c r="D396" s="142" t="s">
        <v>15444</v>
      </c>
      <c r="E396" s="144">
        <v>3161.6</v>
      </c>
      <c r="F396" s="145">
        <v>42859</v>
      </c>
      <c r="G396" s="146">
        <v>3161.6</v>
      </c>
      <c r="H396" s="138">
        <f t="shared" si="7"/>
        <v>0</v>
      </c>
      <c r="I396" s="147" t="s">
        <v>15214</v>
      </c>
    </row>
    <row r="397" spans="1:9" x14ac:dyDescent="0.25">
      <c r="A397" s="135">
        <v>42859</v>
      </c>
      <c r="B397" s="136" t="s">
        <v>15794</v>
      </c>
      <c r="C397" s="137">
        <v>110446</v>
      </c>
      <c r="D397" s="136" t="s">
        <v>15382</v>
      </c>
      <c r="E397" s="138">
        <v>5455.6</v>
      </c>
      <c r="F397" s="139">
        <v>42881</v>
      </c>
      <c r="G397" s="140">
        <v>5455.6</v>
      </c>
      <c r="H397" s="138">
        <f t="shared" si="7"/>
        <v>0</v>
      </c>
      <c r="I397" s="141" t="s">
        <v>15214</v>
      </c>
    </row>
    <row r="398" spans="1:9" x14ac:dyDescent="0.25">
      <c r="A398" s="135">
        <v>42859</v>
      </c>
      <c r="B398" s="142" t="s">
        <v>15795</v>
      </c>
      <c r="C398" s="143">
        <v>110447</v>
      </c>
      <c r="D398" s="142" t="s">
        <v>15213</v>
      </c>
      <c r="E398" s="144">
        <v>5836.6</v>
      </c>
      <c r="F398" s="145">
        <v>42860</v>
      </c>
      <c r="G398" s="146">
        <v>5836.6</v>
      </c>
      <c r="H398" s="138">
        <f t="shared" si="7"/>
        <v>0</v>
      </c>
      <c r="I398" s="147" t="s">
        <v>15214</v>
      </c>
    </row>
    <row r="399" spans="1:9" x14ac:dyDescent="0.25">
      <c r="A399" s="135">
        <v>42859</v>
      </c>
      <c r="B399" s="136" t="s">
        <v>15796</v>
      </c>
      <c r="C399" s="137">
        <v>110448</v>
      </c>
      <c r="D399" s="136" t="s">
        <v>15213</v>
      </c>
      <c r="E399" s="138">
        <v>36900.25</v>
      </c>
      <c r="F399" s="139">
        <v>42860</v>
      </c>
      <c r="G399" s="140">
        <v>36900.25</v>
      </c>
      <c r="H399" s="138">
        <f t="shared" si="7"/>
        <v>0</v>
      </c>
      <c r="I399" s="141" t="s">
        <v>15214</v>
      </c>
    </row>
    <row r="400" spans="1:9" x14ac:dyDescent="0.25">
      <c r="A400" s="135">
        <v>42859</v>
      </c>
      <c r="B400" s="142" t="s">
        <v>15797</v>
      </c>
      <c r="C400" s="143">
        <v>110449</v>
      </c>
      <c r="D400" s="142" t="s">
        <v>15655</v>
      </c>
      <c r="E400" s="144">
        <v>59586.32</v>
      </c>
      <c r="F400" s="145">
        <v>42870</v>
      </c>
      <c r="G400" s="146">
        <v>59586.32</v>
      </c>
      <c r="H400" s="138">
        <f t="shared" si="7"/>
        <v>0</v>
      </c>
      <c r="I400" s="147" t="s">
        <v>15214</v>
      </c>
    </row>
    <row r="401" spans="1:9" x14ac:dyDescent="0.25">
      <c r="A401" s="135">
        <v>42859</v>
      </c>
      <c r="B401" s="136" t="s">
        <v>15798</v>
      </c>
      <c r="C401" s="137">
        <v>110450</v>
      </c>
      <c r="D401" s="136" t="s">
        <v>15324</v>
      </c>
      <c r="E401" s="138">
        <v>2820</v>
      </c>
      <c r="F401" s="139">
        <v>42859</v>
      </c>
      <c r="G401" s="140">
        <v>2820</v>
      </c>
      <c r="H401" s="138">
        <f t="shared" si="7"/>
        <v>0</v>
      </c>
      <c r="I401" s="141" t="s">
        <v>15214</v>
      </c>
    </row>
    <row r="402" spans="1:9" x14ac:dyDescent="0.25">
      <c r="A402" s="135">
        <v>42859</v>
      </c>
      <c r="B402" s="142" t="s">
        <v>15799</v>
      </c>
      <c r="C402" s="143">
        <v>110451</v>
      </c>
      <c r="D402" s="142" t="s">
        <v>15228</v>
      </c>
      <c r="E402" s="144">
        <v>4219.2</v>
      </c>
      <c r="F402" s="145">
        <v>42859</v>
      </c>
      <c r="G402" s="146">
        <v>4219.2</v>
      </c>
      <c r="H402" s="138">
        <f t="shared" si="7"/>
        <v>0</v>
      </c>
      <c r="I402" s="147" t="s">
        <v>15214</v>
      </c>
    </row>
    <row r="403" spans="1:9" x14ac:dyDescent="0.25">
      <c r="A403" s="135">
        <v>42859</v>
      </c>
      <c r="B403" s="136" t="s">
        <v>15800</v>
      </c>
      <c r="C403" s="137">
        <v>110452</v>
      </c>
      <c r="D403" s="136" t="s">
        <v>15330</v>
      </c>
      <c r="E403" s="138">
        <v>9591</v>
      </c>
      <c r="F403" s="139">
        <v>42859</v>
      </c>
      <c r="G403" s="140">
        <v>9591</v>
      </c>
      <c r="H403" s="138">
        <f t="shared" si="7"/>
        <v>0</v>
      </c>
      <c r="I403" s="141" t="s">
        <v>15214</v>
      </c>
    </row>
    <row r="404" spans="1:9" x14ac:dyDescent="0.25">
      <c r="A404" s="135">
        <v>42859</v>
      </c>
      <c r="B404" s="142" t="s">
        <v>15801</v>
      </c>
      <c r="C404" s="143">
        <v>110453</v>
      </c>
      <c r="D404" s="142" t="s">
        <v>5873</v>
      </c>
      <c r="E404" s="144">
        <v>33973.800000000003</v>
      </c>
      <c r="F404" s="145">
        <v>42859</v>
      </c>
      <c r="G404" s="146">
        <v>33973.800000000003</v>
      </c>
      <c r="H404" s="138">
        <f t="shared" si="7"/>
        <v>0</v>
      </c>
      <c r="I404" s="147" t="s">
        <v>15214</v>
      </c>
    </row>
    <row r="405" spans="1:9" x14ac:dyDescent="0.25">
      <c r="A405" s="135">
        <v>42859</v>
      </c>
      <c r="B405" s="136" t="s">
        <v>15802</v>
      </c>
      <c r="C405" s="137">
        <v>110454</v>
      </c>
      <c r="D405" s="136" t="s">
        <v>15230</v>
      </c>
      <c r="E405" s="138">
        <v>8136.4</v>
      </c>
      <c r="F405" s="139">
        <v>42861</v>
      </c>
      <c r="G405" s="140">
        <v>8136.4</v>
      </c>
      <c r="H405" s="138">
        <f t="shared" si="7"/>
        <v>0</v>
      </c>
      <c r="I405" s="141" t="s">
        <v>15214</v>
      </c>
    </row>
    <row r="406" spans="1:9" x14ac:dyDescent="0.25">
      <c r="A406" s="135">
        <v>42859</v>
      </c>
      <c r="B406" s="142" t="s">
        <v>15803</v>
      </c>
      <c r="C406" s="143">
        <v>110455</v>
      </c>
      <c r="D406" s="142" t="s">
        <v>15232</v>
      </c>
      <c r="E406" s="144">
        <v>5712</v>
      </c>
      <c r="F406" s="145">
        <v>42867</v>
      </c>
      <c r="G406" s="146">
        <v>5712</v>
      </c>
      <c r="H406" s="138">
        <f t="shared" si="7"/>
        <v>0</v>
      </c>
      <c r="I406" s="147" t="s">
        <v>15214</v>
      </c>
    </row>
    <row r="407" spans="1:9" x14ac:dyDescent="0.25">
      <c r="A407" s="135">
        <v>42859</v>
      </c>
      <c r="B407" s="136" t="s">
        <v>15804</v>
      </c>
      <c r="C407" s="137">
        <v>110456</v>
      </c>
      <c r="D407" s="136" t="s">
        <v>15234</v>
      </c>
      <c r="E407" s="138">
        <v>2801.6</v>
      </c>
      <c r="F407" s="139">
        <v>42860</v>
      </c>
      <c r="G407" s="140">
        <v>2801.6</v>
      </c>
      <c r="H407" s="138">
        <f t="shared" si="7"/>
        <v>0</v>
      </c>
      <c r="I407" s="141" t="s">
        <v>15214</v>
      </c>
    </row>
    <row r="408" spans="1:9" x14ac:dyDescent="0.25">
      <c r="A408" s="135">
        <v>42859</v>
      </c>
      <c r="B408" s="142" t="s">
        <v>15805</v>
      </c>
      <c r="C408" s="143">
        <v>110457</v>
      </c>
      <c r="D408" s="142" t="s">
        <v>15415</v>
      </c>
      <c r="E408" s="144">
        <v>2910.6</v>
      </c>
      <c r="F408" s="145">
        <v>42861</v>
      </c>
      <c r="G408" s="146">
        <v>2910.6</v>
      </c>
      <c r="H408" s="138">
        <f t="shared" si="7"/>
        <v>0</v>
      </c>
      <c r="I408" s="147" t="s">
        <v>15214</v>
      </c>
    </row>
    <row r="409" spans="1:9" x14ac:dyDescent="0.25">
      <c r="A409" s="135">
        <v>42859</v>
      </c>
      <c r="B409" s="136" t="s">
        <v>15806</v>
      </c>
      <c r="C409" s="137">
        <v>110458</v>
      </c>
      <c r="D409" s="136" t="s">
        <v>15258</v>
      </c>
      <c r="E409" s="138">
        <v>8432</v>
      </c>
      <c r="F409" s="139" t="s">
        <v>15807</v>
      </c>
      <c r="G409" s="140">
        <f>4000+4432</f>
        <v>8432</v>
      </c>
      <c r="H409" s="144">
        <f t="shared" si="7"/>
        <v>0</v>
      </c>
      <c r="I409" s="141" t="s">
        <v>15214</v>
      </c>
    </row>
    <row r="410" spans="1:9" x14ac:dyDescent="0.25">
      <c r="A410" s="135">
        <v>42859</v>
      </c>
      <c r="B410" s="142" t="s">
        <v>15808</v>
      </c>
      <c r="C410" s="143">
        <v>110459</v>
      </c>
      <c r="D410" s="142" t="s">
        <v>15668</v>
      </c>
      <c r="E410" s="144">
        <v>17884</v>
      </c>
      <c r="F410" s="145">
        <v>42860</v>
      </c>
      <c r="G410" s="146">
        <v>17884</v>
      </c>
      <c r="H410" s="138">
        <f t="shared" si="7"/>
        <v>0</v>
      </c>
      <c r="I410" s="147" t="s">
        <v>15214</v>
      </c>
    </row>
    <row r="411" spans="1:9" x14ac:dyDescent="0.25">
      <c r="A411" s="135">
        <v>42859</v>
      </c>
      <c r="B411" s="136" t="s">
        <v>15809</v>
      </c>
      <c r="C411" s="137">
        <v>110460</v>
      </c>
      <c r="D411" s="136" t="s">
        <v>15810</v>
      </c>
      <c r="E411" s="138">
        <v>1266.5999999999999</v>
      </c>
      <c r="F411" s="139">
        <v>42859</v>
      </c>
      <c r="G411" s="140">
        <v>1266.5999999999999</v>
      </c>
      <c r="H411" s="138">
        <f t="shared" si="7"/>
        <v>0</v>
      </c>
      <c r="I411" s="141" t="s">
        <v>15214</v>
      </c>
    </row>
    <row r="412" spans="1:9" x14ac:dyDescent="0.25">
      <c r="A412" s="135">
        <v>42859</v>
      </c>
      <c r="B412" s="142" t="s">
        <v>15811</v>
      </c>
      <c r="C412" s="143">
        <v>110461</v>
      </c>
      <c r="D412" s="142" t="s">
        <v>15220</v>
      </c>
      <c r="E412" s="144">
        <v>2070</v>
      </c>
      <c r="F412" s="145">
        <v>42859</v>
      </c>
      <c r="G412" s="146">
        <v>2070</v>
      </c>
      <c r="H412" s="138">
        <f t="shared" si="7"/>
        <v>0</v>
      </c>
      <c r="I412" s="147" t="s">
        <v>15214</v>
      </c>
    </row>
    <row r="413" spans="1:9" x14ac:dyDescent="0.25">
      <c r="A413" s="135">
        <v>42859</v>
      </c>
      <c r="B413" s="136" t="s">
        <v>15812</v>
      </c>
      <c r="C413" s="137">
        <v>110462</v>
      </c>
      <c r="D413" s="136" t="s">
        <v>15317</v>
      </c>
      <c r="E413" s="138">
        <v>2800.6</v>
      </c>
      <c r="F413" s="139">
        <v>42861</v>
      </c>
      <c r="G413" s="140">
        <v>2800.6</v>
      </c>
      <c r="H413" s="138">
        <f t="shared" si="7"/>
        <v>0</v>
      </c>
      <c r="I413" s="141" t="s">
        <v>15214</v>
      </c>
    </row>
    <row r="414" spans="1:9" x14ac:dyDescent="0.25">
      <c r="A414" s="135">
        <v>42859</v>
      </c>
      <c r="B414" s="142" t="s">
        <v>15813</v>
      </c>
      <c r="C414" s="143">
        <v>110463</v>
      </c>
      <c r="D414" s="142" t="s">
        <v>5873</v>
      </c>
      <c r="E414" s="144">
        <v>1318.7</v>
      </c>
      <c r="F414" s="145">
        <v>42859</v>
      </c>
      <c r="G414" s="146">
        <v>1318.7</v>
      </c>
      <c r="H414" s="138">
        <f t="shared" si="7"/>
        <v>0</v>
      </c>
      <c r="I414" s="147" t="s">
        <v>15214</v>
      </c>
    </row>
    <row r="415" spans="1:9" x14ac:dyDescent="0.25">
      <c r="A415" s="135">
        <v>42859</v>
      </c>
      <c r="B415" s="136" t="s">
        <v>15814</v>
      </c>
      <c r="C415" s="137">
        <v>110464</v>
      </c>
      <c r="D415" s="136" t="s">
        <v>15480</v>
      </c>
      <c r="E415" s="138">
        <v>3602.5</v>
      </c>
      <c r="F415" s="145">
        <v>42863</v>
      </c>
      <c r="G415" s="146">
        <v>3602.5</v>
      </c>
      <c r="H415" s="138">
        <f t="shared" si="7"/>
        <v>0</v>
      </c>
      <c r="I415" s="141" t="s">
        <v>15214</v>
      </c>
    </row>
    <row r="416" spans="1:9" x14ac:dyDescent="0.25">
      <c r="A416" s="135">
        <v>42859</v>
      </c>
      <c r="B416" s="142" t="s">
        <v>15815</v>
      </c>
      <c r="C416" s="143">
        <v>110465</v>
      </c>
      <c r="D416" s="142" t="s">
        <v>15256</v>
      </c>
      <c r="E416" s="144">
        <v>3618.3</v>
      </c>
      <c r="F416" s="145">
        <v>42861</v>
      </c>
      <c r="G416" s="146">
        <v>3618.3</v>
      </c>
      <c r="H416" s="138">
        <f t="shared" si="7"/>
        <v>0</v>
      </c>
      <c r="I416" s="147" t="s">
        <v>15214</v>
      </c>
    </row>
    <row r="417" spans="1:9" x14ac:dyDescent="0.25">
      <c r="A417" s="135">
        <v>42859</v>
      </c>
      <c r="B417" s="136" t="s">
        <v>15816</v>
      </c>
      <c r="C417" s="137">
        <v>110466</v>
      </c>
      <c r="D417" s="136" t="s">
        <v>15250</v>
      </c>
      <c r="E417" s="138">
        <v>41024.81</v>
      </c>
      <c r="F417" s="139">
        <v>42868</v>
      </c>
      <c r="G417" s="140">
        <v>41024.81</v>
      </c>
      <c r="H417" s="138">
        <f t="shared" si="7"/>
        <v>0</v>
      </c>
      <c r="I417" s="141" t="s">
        <v>15214</v>
      </c>
    </row>
    <row r="418" spans="1:9" x14ac:dyDescent="0.25">
      <c r="A418" s="135">
        <v>42859</v>
      </c>
      <c r="B418" s="142" t="s">
        <v>15817</v>
      </c>
      <c r="C418" s="143">
        <v>110467</v>
      </c>
      <c r="D418" s="142" t="s">
        <v>15818</v>
      </c>
      <c r="E418" s="144">
        <v>5195.6000000000004</v>
      </c>
      <c r="F418" s="145">
        <v>42859</v>
      </c>
      <c r="G418" s="146">
        <v>5195.6000000000004</v>
      </c>
      <c r="H418" s="138">
        <f t="shared" si="7"/>
        <v>0</v>
      </c>
      <c r="I418" s="147" t="s">
        <v>15214</v>
      </c>
    </row>
    <row r="419" spans="1:9" x14ac:dyDescent="0.25">
      <c r="A419" s="135">
        <v>42859</v>
      </c>
      <c r="B419" s="136" t="s">
        <v>15819</v>
      </c>
      <c r="C419" s="137">
        <v>110468</v>
      </c>
      <c r="D419" s="136" t="s">
        <v>15250</v>
      </c>
      <c r="E419" s="138">
        <v>1872.5</v>
      </c>
      <c r="F419" s="139">
        <v>42868</v>
      </c>
      <c r="G419" s="140">
        <v>1872.5</v>
      </c>
      <c r="H419" s="138">
        <f t="shared" si="7"/>
        <v>0</v>
      </c>
      <c r="I419" s="141" t="s">
        <v>15214</v>
      </c>
    </row>
    <row r="420" spans="1:9" x14ac:dyDescent="0.25">
      <c r="A420" s="135">
        <v>42859</v>
      </c>
      <c r="B420" s="142" t="s">
        <v>15820</v>
      </c>
      <c r="C420" s="143">
        <v>110469</v>
      </c>
      <c r="D420" s="142" t="s">
        <v>15238</v>
      </c>
      <c r="E420" s="144">
        <v>4243.6000000000004</v>
      </c>
      <c r="F420" s="145">
        <v>42861</v>
      </c>
      <c r="G420" s="146">
        <v>4243.6000000000004</v>
      </c>
      <c r="H420" s="138">
        <f t="shared" si="7"/>
        <v>0</v>
      </c>
      <c r="I420" s="147" t="s">
        <v>15214</v>
      </c>
    </row>
    <row r="421" spans="1:9" x14ac:dyDescent="0.25">
      <c r="A421" s="135">
        <v>42859</v>
      </c>
      <c r="B421" s="136" t="s">
        <v>15821</v>
      </c>
      <c r="C421" s="137">
        <v>110470</v>
      </c>
      <c r="D421" s="136" t="s">
        <v>15272</v>
      </c>
      <c r="E421" s="138">
        <v>17100.3</v>
      </c>
      <c r="F421" s="139">
        <v>42859</v>
      </c>
      <c r="G421" s="140">
        <v>17100.3</v>
      </c>
      <c r="H421" s="138">
        <f t="shared" si="7"/>
        <v>0</v>
      </c>
      <c r="I421" s="141" t="s">
        <v>15214</v>
      </c>
    </row>
    <row r="422" spans="1:9" x14ac:dyDescent="0.25">
      <c r="A422" s="135">
        <v>42859</v>
      </c>
      <c r="B422" s="142" t="s">
        <v>15822</v>
      </c>
      <c r="C422" s="143">
        <v>110471</v>
      </c>
      <c r="D422" s="142" t="s">
        <v>15328</v>
      </c>
      <c r="E422" s="144">
        <v>98643.7</v>
      </c>
      <c r="F422" s="145" t="s">
        <v>15823</v>
      </c>
      <c r="G422" s="146">
        <f>69893.91+28749.79</f>
        <v>98643.700000000012</v>
      </c>
      <c r="H422" s="138">
        <f t="shared" si="7"/>
        <v>0</v>
      </c>
      <c r="I422" s="147" t="s">
        <v>15214</v>
      </c>
    </row>
    <row r="423" spans="1:9" ht="15.75" x14ac:dyDescent="0.25">
      <c r="A423" s="135">
        <v>42859</v>
      </c>
      <c r="B423" s="136" t="s">
        <v>15824</v>
      </c>
      <c r="C423" s="137">
        <v>110472</v>
      </c>
      <c r="D423" s="136" t="s">
        <v>15263</v>
      </c>
      <c r="E423" s="138">
        <v>0</v>
      </c>
      <c r="F423" s="153" t="s">
        <v>95</v>
      </c>
      <c r="G423" s="138">
        <v>0</v>
      </c>
      <c r="H423" s="138">
        <f t="shared" si="7"/>
        <v>0</v>
      </c>
      <c r="I423" s="141" t="s">
        <v>95</v>
      </c>
    </row>
    <row r="424" spans="1:9" x14ac:dyDescent="0.25">
      <c r="A424" s="135">
        <v>42859</v>
      </c>
      <c r="B424" s="142" t="s">
        <v>15825</v>
      </c>
      <c r="C424" s="143">
        <v>110473</v>
      </c>
      <c r="D424" s="142" t="s">
        <v>15263</v>
      </c>
      <c r="E424" s="144">
        <v>2771</v>
      </c>
      <c r="F424" s="145">
        <v>42859</v>
      </c>
      <c r="G424" s="146">
        <v>2771</v>
      </c>
      <c r="H424" s="138">
        <f t="shared" si="7"/>
        <v>0</v>
      </c>
      <c r="I424" s="147" t="s">
        <v>15214</v>
      </c>
    </row>
    <row r="425" spans="1:9" x14ac:dyDescent="0.25">
      <c r="A425" s="135">
        <v>42859</v>
      </c>
      <c r="B425" s="136" t="s">
        <v>15826</v>
      </c>
      <c r="C425" s="137">
        <v>110474</v>
      </c>
      <c r="D425" s="136" t="s">
        <v>15236</v>
      </c>
      <c r="E425" s="138">
        <v>6256</v>
      </c>
      <c r="F425" s="139">
        <v>42861</v>
      </c>
      <c r="G425" s="140">
        <v>6256</v>
      </c>
      <c r="H425" s="138">
        <f t="shared" si="7"/>
        <v>0</v>
      </c>
      <c r="I425" s="141" t="s">
        <v>15214</v>
      </c>
    </row>
    <row r="426" spans="1:9" x14ac:dyDescent="0.25">
      <c r="A426" s="135">
        <v>42859</v>
      </c>
      <c r="B426" s="142" t="s">
        <v>15827</v>
      </c>
      <c r="C426" s="143">
        <v>110475</v>
      </c>
      <c r="D426" s="142" t="s">
        <v>15242</v>
      </c>
      <c r="E426" s="144">
        <v>14276</v>
      </c>
      <c r="F426" s="145">
        <v>42859</v>
      </c>
      <c r="G426" s="146">
        <v>14276</v>
      </c>
      <c r="H426" s="138">
        <f t="shared" si="7"/>
        <v>0</v>
      </c>
      <c r="I426" s="147" t="s">
        <v>15214</v>
      </c>
    </row>
    <row r="427" spans="1:9" x14ac:dyDescent="0.25">
      <c r="A427" s="135">
        <v>42859</v>
      </c>
      <c r="B427" s="136" t="s">
        <v>15828</v>
      </c>
      <c r="C427" s="137">
        <v>110476</v>
      </c>
      <c r="D427" s="136" t="s">
        <v>15289</v>
      </c>
      <c r="E427" s="138">
        <v>2152.1</v>
      </c>
      <c r="F427" s="139">
        <v>42859</v>
      </c>
      <c r="G427" s="140">
        <v>2152.1</v>
      </c>
      <c r="H427" s="138">
        <f t="shared" si="7"/>
        <v>0</v>
      </c>
      <c r="I427" s="141" t="s">
        <v>15214</v>
      </c>
    </row>
    <row r="428" spans="1:9" ht="15.75" x14ac:dyDescent="0.25">
      <c r="A428" s="135">
        <v>42859</v>
      </c>
      <c r="B428" s="142" t="s">
        <v>15829</v>
      </c>
      <c r="C428" s="143">
        <v>110477</v>
      </c>
      <c r="D428" s="142" t="s">
        <v>15696</v>
      </c>
      <c r="E428" s="144">
        <v>0</v>
      </c>
      <c r="F428" s="156" t="s">
        <v>95</v>
      </c>
      <c r="G428" s="144">
        <v>0</v>
      </c>
      <c r="H428" s="138">
        <f t="shared" si="7"/>
        <v>0</v>
      </c>
      <c r="I428" s="147" t="s">
        <v>95</v>
      </c>
    </row>
    <row r="429" spans="1:9" x14ac:dyDescent="0.25">
      <c r="A429" s="135">
        <v>42859</v>
      </c>
      <c r="B429" s="136" t="s">
        <v>15830</v>
      </c>
      <c r="C429" s="137">
        <v>110478</v>
      </c>
      <c r="D429" s="136" t="s">
        <v>15539</v>
      </c>
      <c r="E429" s="138">
        <v>12845.2</v>
      </c>
      <c r="F429" s="139">
        <v>42865</v>
      </c>
      <c r="G429" s="140">
        <v>12845.2</v>
      </c>
      <c r="H429" s="138">
        <f t="shared" si="7"/>
        <v>0</v>
      </c>
      <c r="I429" s="141" t="s">
        <v>15214</v>
      </c>
    </row>
    <row r="430" spans="1:9" x14ac:dyDescent="0.25">
      <c r="A430" s="135">
        <v>42859</v>
      </c>
      <c r="B430" s="142" t="s">
        <v>15831</v>
      </c>
      <c r="C430" s="143">
        <v>110479</v>
      </c>
      <c r="D430" s="142" t="s">
        <v>15696</v>
      </c>
      <c r="E430" s="144">
        <v>13107</v>
      </c>
      <c r="F430" s="145">
        <v>42865</v>
      </c>
      <c r="G430" s="146">
        <v>13107</v>
      </c>
      <c r="H430" s="138">
        <f t="shared" si="7"/>
        <v>0</v>
      </c>
      <c r="I430" s="147" t="s">
        <v>15214</v>
      </c>
    </row>
    <row r="431" spans="1:9" x14ac:dyDescent="0.25">
      <c r="A431" s="135">
        <v>42859</v>
      </c>
      <c r="B431" s="136" t="s">
        <v>15832</v>
      </c>
      <c r="C431" s="137">
        <v>110480</v>
      </c>
      <c r="D431" s="136" t="s">
        <v>15833</v>
      </c>
      <c r="E431" s="138">
        <v>13394.5</v>
      </c>
      <c r="F431" s="139">
        <v>42865</v>
      </c>
      <c r="G431" s="140">
        <v>13394.5</v>
      </c>
      <c r="H431" s="138">
        <f t="shared" si="7"/>
        <v>0</v>
      </c>
      <c r="I431" s="141" t="s">
        <v>15214</v>
      </c>
    </row>
    <row r="432" spans="1:9" x14ac:dyDescent="0.25">
      <c r="A432" s="135">
        <v>42859</v>
      </c>
      <c r="B432" s="142" t="s">
        <v>15834</v>
      </c>
      <c r="C432" s="143">
        <v>110481</v>
      </c>
      <c r="D432" s="142" t="s">
        <v>15835</v>
      </c>
      <c r="E432" s="144">
        <v>12644.8</v>
      </c>
      <c r="F432" s="145">
        <v>42859</v>
      </c>
      <c r="G432" s="146">
        <v>12644.8</v>
      </c>
      <c r="H432" s="138">
        <f t="shared" si="7"/>
        <v>0</v>
      </c>
      <c r="I432" s="147" t="s">
        <v>15214</v>
      </c>
    </row>
    <row r="433" spans="1:9" x14ac:dyDescent="0.25">
      <c r="A433" s="135">
        <v>42859</v>
      </c>
      <c r="B433" s="136" t="s">
        <v>15836</v>
      </c>
      <c r="C433" s="137">
        <v>110482</v>
      </c>
      <c r="D433" s="136" t="s">
        <v>15348</v>
      </c>
      <c r="E433" s="138">
        <v>3523.8</v>
      </c>
      <c r="F433" s="139">
        <v>42860</v>
      </c>
      <c r="G433" s="140">
        <v>3523.8</v>
      </c>
      <c r="H433" s="138">
        <f t="shared" si="7"/>
        <v>0</v>
      </c>
      <c r="I433" s="141" t="s">
        <v>15214</v>
      </c>
    </row>
    <row r="434" spans="1:9" x14ac:dyDescent="0.25">
      <c r="A434" s="135">
        <v>42859</v>
      </c>
      <c r="B434" s="142" t="s">
        <v>15837</v>
      </c>
      <c r="C434" s="143">
        <v>110483</v>
      </c>
      <c r="D434" s="142" t="s">
        <v>15240</v>
      </c>
      <c r="E434" s="144">
        <v>2776.2</v>
      </c>
      <c r="F434" s="145">
        <v>42860</v>
      </c>
      <c r="G434" s="146">
        <v>2776.2</v>
      </c>
      <c r="H434" s="138">
        <f t="shared" si="7"/>
        <v>0</v>
      </c>
      <c r="I434" s="147" t="s">
        <v>15214</v>
      </c>
    </row>
    <row r="435" spans="1:9" x14ac:dyDescent="0.25">
      <c r="A435" s="135">
        <v>42859</v>
      </c>
      <c r="B435" s="136" t="s">
        <v>15838</v>
      </c>
      <c r="C435" s="137">
        <v>110484</v>
      </c>
      <c r="D435" s="136" t="s">
        <v>15226</v>
      </c>
      <c r="E435" s="138">
        <v>1959.6</v>
      </c>
      <c r="F435" s="139">
        <v>42863</v>
      </c>
      <c r="G435" s="140">
        <v>1959.6</v>
      </c>
      <c r="H435" s="138">
        <f t="shared" si="7"/>
        <v>0</v>
      </c>
      <c r="I435" s="141" t="s">
        <v>15214</v>
      </c>
    </row>
    <row r="436" spans="1:9" x14ac:dyDescent="0.25">
      <c r="A436" s="135">
        <v>42859</v>
      </c>
      <c r="B436" s="142" t="s">
        <v>15839</v>
      </c>
      <c r="C436" s="143">
        <v>110485</v>
      </c>
      <c r="D436" s="142" t="s">
        <v>15555</v>
      </c>
      <c r="E436" s="144">
        <v>35734.15</v>
      </c>
      <c r="F436" s="145">
        <v>42865</v>
      </c>
      <c r="G436" s="146">
        <v>35734.15</v>
      </c>
      <c r="H436" s="138">
        <f t="shared" si="7"/>
        <v>0</v>
      </c>
      <c r="I436" s="147" t="s">
        <v>15214</v>
      </c>
    </row>
    <row r="437" spans="1:9" x14ac:dyDescent="0.25">
      <c r="A437" s="135">
        <v>42859</v>
      </c>
      <c r="B437" s="136" t="s">
        <v>15840</v>
      </c>
      <c r="C437" s="137">
        <v>110486</v>
      </c>
      <c r="D437" s="136" t="s">
        <v>15365</v>
      </c>
      <c r="E437" s="138">
        <v>32670</v>
      </c>
      <c r="F437" s="139">
        <v>42863</v>
      </c>
      <c r="G437" s="140">
        <v>32670</v>
      </c>
      <c r="H437" s="138">
        <f t="shared" si="7"/>
        <v>0</v>
      </c>
      <c r="I437" s="141" t="s">
        <v>15214</v>
      </c>
    </row>
    <row r="438" spans="1:9" ht="15.75" x14ac:dyDescent="0.25">
      <c r="A438" s="135">
        <v>42859</v>
      </c>
      <c r="B438" s="142" t="s">
        <v>15841</v>
      </c>
      <c r="C438" s="143">
        <v>110487</v>
      </c>
      <c r="D438" s="142" t="s">
        <v>15537</v>
      </c>
      <c r="E438" s="144">
        <v>0</v>
      </c>
      <c r="F438" s="156" t="s">
        <v>95</v>
      </c>
      <c r="G438" s="144">
        <v>0</v>
      </c>
      <c r="H438" s="138">
        <f t="shared" si="7"/>
        <v>0</v>
      </c>
      <c r="I438" s="147" t="s">
        <v>95</v>
      </c>
    </row>
    <row r="439" spans="1:9" x14ac:dyDescent="0.25">
      <c r="A439" s="135">
        <v>42859</v>
      </c>
      <c r="B439" s="136" t="s">
        <v>15842</v>
      </c>
      <c r="C439" s="137">
        <v>110488</v>
      </c>
      <c r="D439" s="136" t="s">
        <v>15544</v>
      </c>
      <c r="E439" s="138">
        <v>2522.8000000000002</v>
      </c>
      <c r="F439" s="139">
        <v>42860</v>
      </c>
      <c r="G439" s="140">
        <v>2522.8000000000002</v>
      </c>
      <c r="H439" s="138">
        <f t="shared" si="7"/>
        <v>0</v>
      </c>
      <c r="I439" s="141" t="s">
        <v>15214</v>
      </c>
    </row>
    <row r="440" spans="1:9" x14ac:dyDescent="0.25">
      <c r="A440" s="135">
        <v>42859</v>
      </c>
      <c r="B440" s="142" t="s">
        <v>15843</v>
      </c>
      <c r="C440" s="143">
        <v>110489</v>
      </c>
      <c r="D440" s="142" t="s">
        <v>15559</v>
      </c>
      <c r="E440" s="144">
        <v>9013.4</v>
      </c>
      <c r="F440" s="145">
        <v>42860</v>
      </c>
      <c r="G440" s="146">
        <v>9013.4</v>
      </c>
      <c r="H440" s="138">
        <f t="shared" si="7"/>
        <v>0</v>
      </c>
      <c r="I440" s="147" t="s">
        <v>15214</v>
      </c>
    </row>
    <row r="441" spans="1:9" x14ac:dyDescent="0.25">
      <c r="A441" s="135">
        <v>42859</v>
      </c>
      <c r="B441" s="136" t="s">
        <v>15844</v>
      </c>
      <c r="C441" s="137">
        <v>110490</v>
      </c>
      <c r="D441" s="136" t="s">
        <v>15537</v>
      </c>
      <c r="E441" s="138">
        <v>25264.799999999999</v>
      </c>
      <c r="F441" s="139">
        <v>42865</v>
      </c>
      <c r="G441" s="140">
        <f>167.2+25097.6</f>
        <v>25264.799999999999</v>
      </c>
      <c r="H441" s="138">
        <f t="shared" si="7"/>
        <v>0</v>
      </c>
      <c r="I441" s="141" t="s">
        <v>15214</v>
      </c>
    </row>
    <row r="442" spans="1:9" x14ac:dyDescent="0.25">
      <c r="A442" s="135">
        <v>42859</v>
      </c>
      <c r="B442" s="142" t="s">
        <v>15845</v>
      </c>
      <c r="C442" s="143">
        <v>110491</v>
      </c>
      <c r="D442" s="142" t="s">
        <v>15557</v>
      </c>
      <c r="E442" s="144">
        <v>1015.4</v>
      </c>
      <c r="F442" s="145">
        <v>42860</v>
      </c>
      <c r="G442" s="146">
        <v>1015.4</v>
      </c>
      <c r="H442" s="138">
        <f t="shared" si="7"/>
        <v>0</v>
      </c>
      <c r="I442" s="147" t="s">
        <v>15214</v>
      </c>
    </row>
    <row r="443" spans="1:9" x14ac:dyDescent="0.25">
      <c r="A443" s="135">
        <v>42859</v>
      </c>
      <c r="B443" s="136" t="s">
        <v>15846</v>
      </c>
      <c r="C443" s="137">
        <v>110492</v>
      </c>
      <c r="D443" s="136" t="s">
        <v>15246</v>
      </c>
      <c r="E443" s="138">
        <v>264063.45</v>
      </c>
      <c r="F443" s="139">
        <v>42860</v>
      </c>
      <c r="G443" s="140">
        <v>264063.45</v>
      </c>
      <c r="H443" s="138">
        <f t="shared" si="7"/>
        <v>0</v>
      </c>
      <c r="I443" s="141" t="s">
        <v>15214</v>
      </c>
    </row>
    <row r="444" spans="1:9" x14ac:dyDescent="0.25">
      <c r="A444" s="135">
        <v>42859</v>
      </c>
      <c r="B444" s="142" t="s">
        <v>15847</v>
      </c>
      <c r="C444" s="143">
        <v>110493</v>
      </c>
      <c r="D444" s="142" t="s">
        <v>15278</v>
      </c>
      <c r="E444" s="144">
        <v>6109.6</v>
      </c>
      <c r="F444" s="145">
        <v>42859</v>
      </c>
      <c r="G444" s="146">
        <v>6109.6</v>
      </c>
      <c r="H444" s="138">
        <f t="shared" si="7"/>
        <v>0</v>
      </c>
      <c r="I444" s="147" t="s">
        <v>15214</v>
      </c>
    </row>
    <row r="445" spans="1:9" x14ac:dyDescent="0.25">
      <c r="A445" s="135">
        <v>42859</v>
      </c>
      <c r="B445" s="136" t="s">
        <v>15848</v>
      </c>
      <c r="C445" s="137">
        <v>110494</v>
      </c>
      <c r="D445" s="136" t="s">
        <v>15280</v>
      </c>
      <c r="E445" s="138">
        <v>6117.6</v>
      </c>
      <c r="F445" s="139">
        <v>42859</v>
      </c>
      <c r="G445" s="140">
        <v>6117.6</v>
      </c>
      <c r="H445" s="138">
        <f t="shared" si="7"/>
        <v>0</v>
      </c>
      <c r="I445" s="141" t="s">
        <v>15214</v>
      </c>
    </row>
    <row r="446" spans="1:9" x14ac:dyDescent="0.25">
      <c r="A446" s="135">
        <v>42859</v>
      </c>
      <c r="B446" s="142" t="s">
        <v>15849</v>
      </c>
      <c r="C446" s="143">
        <v>110495</v>
      </c>
      <c r="D446" s="142" t="s">
        <v>15282</v>
      </c>
      <c r="E446" s="144">
        <v>3704</v>
      </c>
      <c r="F446" s="145">
        <v>42859</v>
      </c>
      <c r="G446" s="146">
        <v>3704</v>
      </c>
      <c r="H446" s="138">
        <f t="shared" si="7"/>
        <v>0</v>
      </c>
      <c r="I446" s="147" t="s">
        <v>15214</v>
      </c>
    </row>
    <row r="447" spans="1:9" x14ac:dyDescent="0.25">
      <c r="A447" s="135">
        <v>42859</v>
      </c>
      <c r="B447" s="136" t="s">
        <v>15850</v>
      </c>
      <c r="C447" s="137">
        <v>110496</v>
      </c>
      <c r="D447" s="136" t="s">
        <v>15523</v>
      </c>
      <c r="E447" s="138">
        <v>1619.2</v>
      </c>
      <c r="F447" s="139">
        <v>42865</v>
      </c>
      <c r="G447" s="140">
        <v>1619.2</v>
      </c>
      <c r="H447" s="138">
        <f t="shared" si="7"/>
        <v>0</v>
      </c>
      <c r="I447" s="141" t="s">
        <v>15214</v>
      </c>
    </row>
    <row r="448" spans="1:9" x14ac:dyDescent="0.25">
      <c r="A448" s="135">
        <v>42859</v>
      </c>
      <c r="B448" s="142" t="s">
        <v>15851</v>
      </c>
      <c r="C448" s="143">
        <v>110497</v>
      </c>
      <c r="D448" s="142" t="s">
        <v>15385</v>
      </c>
      <c r="E448" s="144">
        <v>14823.8</v>
      </c>
      <c r="F448" s="145">
        <v>42859</v>
      </c>
      <c r="G448" s="146">
        <v>14823.8</v>
      </c>
      <c r="H448" s="138">
        <f t="shared" si="7"/>
        <v>0</v>
      </c>
      <c r="I448" s="147" t="s">
        <v>15214</v>
      </c>
    </row>
    <row r="449" spans="1:9" x14ac:dyDescent="0.25">
      <c r="A449" s="135">
        <v>42859</v>
      </c>
      <c r="B449" s="136" t="s">
        <v>15852</v>
      </c>
      <c r="C449" s="137">
        <v>110498</v>
      </c>
      <c r="D449" s="136" t="s">
        <v>15334</v>
      </c>
      <c r="E449" s="138">
        <v>1519.6</v>
      </c>
      <c r="F449" s="139">
        <v>42859</v>
      </c>
      <c r="G449" s="140">
        <v>1519.6</v>
      </c>
      <c r="H449" s="138">
        <f t="shared" si="7"/>
        <v>0</v>
      </c>
      <c r="I449" s="141" t="s">
        <v>15214</v>
      </c>
    </row>
    <row r="450" spans="1:9" x14ac:dyDescent="0.25">
      <c r="A450" s="135">
        <v>42859</v>
      </c>
      <c r="B450" s="142" t="s">
        <v>15853</v>
      </c>
      <c r="C450" s="143">
        <v>110499</v>
      </c>
      <c r="D450" s="142" t="s">
        <v>15854</v>
      </c>
      <c r="E450" s="144">
        <v>1840</v>
      </c>
      <c r="F450" s="145">
        <v>42859</v>
      </c>
      <c r="G450" s="146">
        <v>1840</v>
      </c>
      <c r="H450" s="138">
        <f t="shared" si="7"/>
        <v>0</v>
      </c>
      <c r="I450" s="147" t="s">
        <v>15214</v>
      </c>
    </row>
    <row r="451" spans="1:9" x14ac:dyDescent="0.25">
      <c r="A451" s="135">
        <v>42859</v>
      </c>
      <c r="B451" s="136" t="s">
        <v>15855</v>
      </c>
      <c r="C451" s="137">
        <v>110500</v>
      </c>
      <c r="D451" s="136" t="s">
        <v>15856</v>
      </c>
      <c r="E451" s="138">
        <v>770</v>
      </c>
      <c r="F451" s="139">
        <v>42859</v>
      </c>
      <c r="G451" s="140">
        <v>770</v>
      </c>
      <c r="H451" s="138">
        <f t="shared" si="7"/>
        <v>0</v>
      </c>
      <c r="I451" s="141" t="s">
        <v>15214</v>
      </c>
    </row>
    <row r="452" spans="1:9" x14ac:dyDescent="0.25">
      <c r="A452" s="135">
        <v>42859</v>
      </c>
      <c r="B452" s="142" t="s">
        <v>15857</v>
      </c>
      <c r="C452" s="143">
        <v>110501</v>
      </c>
      <c r="D452" s="142" t="s">
        <v>15858</v>
      </c>
      <c r="E452" s="144">
        <v>2840.24</v>
      </c>
      <c r="F452" s="145">
        <v>42859</v>
      </c>
      <c r="G452" s="146">
        <v>2840.24</v>
      </c>
      <c r="H452" s="138">
        <f t="shared" ref="H452:H515" si="8">E452-G452</f>
        <v>0</v>
      </c>
      <c r="I452" s="147" t="s">
        <v>15214</v>
      </c>
    </row>
    <row r="453" spans="1:9" x14ac:dyDescent="0.25">
      <c r="A453" s="135">
        <v>42859</v>
      </c>
      <c r="B453" s="136" t="s">
        <v>15859</v>
      </c>
      <c r="C453" s="137">
        <v>110502</v>
      </c>
      <c r="D453" s="136" t="s">
        <v>15391</v>
      </c>
      <c r="E453" s="138">
        <v>6336</v>
      </c>
      <c r="F453" s="139">
        <v>42863</v>
      </c>
      <c r="G453" s="140">
        <v>6336</v>
      </c>
      <c r="H453" s="138">
        <f t="shared" si="8"/>
        <v>0</v>
      </c>
      <c r="I453" s="141" t="s">
        <v>15214</v>
      </c>
    </row>
    <row r="454" spans="1:9" x14ac:dyDescent="0.25">
      <c r="A454" s="135">
        <v>42859</v>
      </c>
      <c r="B454" s="142" t="s">
        <v>15860</v>
      </c>
      <c r="C454" s="143">
        <v>110503</v>
      </c>
      <c r="D454" s="142" t="s">
        <v>15861</v>
      </c>
      <c r="E454" s="144">
        <v>1836.7</v>
      </c>
      <c r="F454" s="145">
        <v>42859</v>
      </c>
      <c r="G454" s="146">
        <v>1836.7</v>
      </c>
      <c r="H454" s="138">
        <f t="shared" si="8"/>
        <v>0</v>
      </c>
      <c r="I454" s="147" t="s">
        <v>15214</v>
      </c>
    </row>
    <row r="455" spans="1:9" x14ac:dyDescent="0.25">
      <c r="A455" s="135">
        <v>42859</v>
      </c>
      <c r="B455" s="136" t="s">
        <v>15862</v>
      </c>
      <c r="C455" s="137">
        <v>110504</v>
      </c>
      <c r="D455" s="136" t="s">
        <v>15326</v>
      </c>
      <c r="E455" s="138">
        <v>4522</v>
      </c>
      <c r="F455" s="139">
        <v>42859</v>
      </c>
      <c r="G455" s="140">
        <v>4522</v>
      </c>
      <c r="H455" s="138">
        <f t="shared" si="8"/>
        <v>0</v>
      </c>
      <c r="I455" s="141" t="s">
        <v>15214</v>
      </c>
    </row>
    <row r="456" spans="1:9" x14ac:dyDescent="0.25">
      <c r="A456" s="135">
        <v>42859</v>
      </c>
      <c r="B456" s="142" t="s">
        <v>15863</v>
      </c>
      <c r="C456" s="143">
        <v>110505</v>
      </c>
      <c r="D456" s="142" t="s">
        <v>15592</v>
      </c>
      <c r="E456" s="144">
        <v>9009</v>
      </c>
      <c r="F456" s="145">
        <v>42859</v>
      </c>
      <c r="G456" s="146">
        <v>9009</v>
      </c>
      <c r="H456" s="138">
        <f t="shared" si="8"/>
        <v>0</v>
      </c>
      <c r="I456" s="147" t="s">
        <v>15214</v>
      </c>
    </row>
    <row r="457" spans="1:9" x14ac:dyDescent="0.25">
      <c r="A457" s="135">
        <v>42859</v>
      </c>
      <c r="B457" s="136" t="s">
        <v>15864</v>
      </c>
      <c r="C457" s="137">
        <v>110506</v>
      </c>
      <c r="D457" s="136" t="s">
        <v>15526</v>
      </c>
      <c r="E457" s="138">
        <v>3576.7</v>
      </c>
      <c r="F457" s="139">
        <v>42859</v>
      </c>
      <c r="G457" s="140">
        <v>3576.7</v>
      </c>
      <c r="H457" s="138">
        <f t="shared" si="8"/>
        <v>0</v>
      </c>
      <c r="I457" s="141" t="s">
        <v>15214</v>
      </c>
    </row>
    <row r="458" spans="1:9" x14ac:dyDescent="0.25">
      <c r="A458" s="135">
        <v>42859</v>
      </c>
      <c r="B458" s="142" t="s">
        <v>15865</v>
      </c>
      <c r="C458" s="143">
        <v>110507</v>
      </c>
      <c r="D458" s="142" t="s">
        <v>15514</v>
      </c>
      <c r="E458" s="144">
        <v>2550.1999999999998</v>
      </c>
      <c r="F458" s="145">
        <v>42859</v>
      </c>
      <c r="G458" s="146">
        <v>2550.1999999999998</v>
      </c>
      <c r="H458" s="138">
        <f t="shared" si="8"/>
        <v>0</v>
      </c>
      <c r="I458" s="147" t="s">
        <v>15214</v>
      </c>
    </row>
    <row r="459" spans="1:9" x14ac:dyDescent="0.25">
      <c r="A459" s="135">
        <v>42859</v>
      </c>
      <c r="B459" s="136" t="s">
        <v>15866</v>
      </c>
      <c r="C459" s="137">
        <v>110508</v>
      </c>
      <c r="D459" s="136" t="s">
        <v>15358</v>
      </c>
      <c r="E459" s="138">
        <v>1273.5</v>
      </c>
      <c r="F459" s="139">
        <v>42859</v>
      </c>
      <c r="G459" s="140">
        <v>1273.5</v>
      </c>
      <c r="H459" s="138">
        <f t="shared" si="8"/>
        <v>0</v>
      </c>
      <c r="I459" s="141" t="s">
        <v>15214</v>
      </c>
    </row>
    <row r="460" spans="1:9" x14ac:dyDescent="0.25">
      <c r="A460" s="135">
        <v>42859</v>
      </c>
      <c r="B460" s="142" t="s">
        <v>15867</v>
      </c>
      <c r="C460" s="143">
        <v>110509</v>
      </c>
      <c r="D460" s="142" t="s">
        <v>15868</v>
      </c>
      <c r="E460" s="144">
        <v>13030.8</v>
      </c>
      <c r="F460" s="145">
        <v>42859</v>
      </c>
      <c r="G460" s="146">
        <v>13030.8</v>
      </c>
      <c r="H460" s="138">
        <f t="shared" si="8"/>
        <v>0</v>
      </c>
      <c r="I460" s="147" t="s">
        <v>15214</v>
      </c>
    </row>
    <row r="461" spans="1:9" x14ac:dyDescent="0.25">
      <c r="A461" s="135">
        <v>42859</v>
      </c>
      <c r="B461" s="136" t="s">
        <v>15869</v>
      </c>
      <c r="C461" s="137">
        <v>110510</v>
      </c>
      <c r="D461" s="136" t="s">
        <v>15361</v>
      </c>
      <c r="E461" s="138">
        <v>5316.5</v>
      </c>
      <c r="F461" s="139">
        <v>42859</v>
      </c>
      <c r="G461" s="140">
        <v>5316.5</v>
      </c>
      <c r="H461" s="138">
        <f t="shared" si="8"/>
        <v>0</v>
      </c>
      <c r="I461" s="141" t="s">
        <v>15214</v>
      </c>
    </row>
    <row r="462" spans="1:9" x14ac:dyDescent="0.25">
      <c r="A462" s="135">
        <v>42859</v>
      </c>
      <c r="B462" s="142" t="s">
        <v>15870</v>
      </c>
      <c r="C462" s="143">
        <v>110511</v>
      </c>
      <c r="D462" s="142" t="s">
        <v>15336</v>
      </c>
      <c r="E462" s="144">
        <v>9378</v>
      </c>
      <c r="F462" s="145">
        <v>42859</v>
      </c>
      <c r="G462" s="146">
        <v>9378</v>
      </c>
      <c r="H462" s="138">
        <f t="shared" si="8"/>
        <v>0</v>
      </c>
      <c r="I462" s="147" t="s">
        <v>15214</v>
      </c>
    </row>
    <row r="463" spans="1:9" x14ac:dyDescent="0.25">
      <c r="A463" s="135">
        <v>42859</v>
      </c>
      <c r="B463" s="136" t="s">
        <v>15871</v>
      </c>
      <c r="C463" s="137">
        <v>110512</v>
      </c>
      <c r="D463" s="136" t="s">
        <v>15332</v>
      </c>
      <c r="E463" s="138">
        <v>4233.8999999999996</v>
      </c>
      <c r="F463" s="139">
        <v>42859</v>
      </c>
      <c r="G463" s="140">
        <v>4233.8999999999996</v>
      </c>
      <c r="H463" s="138">
        <f t="shared" si="8"/>
        <v>0</v>
      </c>
      <c r="I463" s="141" t="s">
        <v>15214</v>
      </c>
    </row>
    <row r="464" spans="1:9" x14ac:dyDescent="0.25">
      <c r="A464" s="135">
        <v>42859</v>
      </c>
      <c r="B464" s="142" t="s">
        <v>15872</v>
      </c>
      <c r="C464" s="143">
        <v>110513</v>
      </c>
      <c r="D464" s="142" t="s">
        <v>15371</v>
      </c>
      <c r="E464" s="144">
        <v>3253.3</v>
      </c>
      <c r="F464" s="145">
        <v>42861</v>
      </c>
      <c r="G464" s="146">
        <v>3253.3</v>
      </c>
      <c r="H464" s="138">
        <f t="shared" si="8"/>
        <v>0</v>
      </c>
      <c r="I464" s="147" t="s">
        <v>15214</v>
      </c>
    </row>
    <row r="465" spans="1:9" x14ac:dyDescent="0.25">
      <c r="A465" s="135">
        <v>42859</v>
      </c>
      <c r="B465" s="136" t="s">
        <v>15873</v>
      </c>
      <c r="C465" s="137">
        <v>110514</v>
      </c>
      <c r="D465" s="136" t="s">
        <v>15356</v>
      </c>
      <c r="E465" s="138">
        <v>1198.5</v>
      </c>
      <c r="F465" s="139">
        <v>42859</v>
      </c>
      <c r="G465" s="140">
        <v>1198.5</v>
      </c>
      <c r="H465" s="138">
        <f t="shared" si="8"/>
        <v>0</v>
      </c>
      <c r="I465" s="141" t="s">
        <v>15214</v>
      </c>
    </row>
    <row r="466" spans="1:9" x14ac:dyDescent="0.25">
      <c r="A466" s="135">
        <v>42859</v>
      </c>
      <c r="B466" s="142" t="s">
        <v>15874</v>
      </c>
      <c r="C466" s="143">
        <v>110515</v>
      </c>
      <c r="D466" s="142" t="s">
        <v>15875</v>
      </c>
      <c r="E466" s="144">
        <v>2499</v>
      </c>
      <c r="F466" s="145">
        <v>42859</v>
      </c>
      <c r="G466" s="146">
        <v>2499</v>
      </c>
      <c r="H466" s="138">
        <f t="shared" si="8"/>
        <v>0</v>
      </c>
      <c r="I466" s="147" t="s">
        <v>15214</v>
      </c>
    </row>
    <row r="467" spans="1:9" x14ac:dyDescent="0.25">
      <c r="A467" s="135">
        <v>42859</v>
      </c>
      <c r="B467" s="136" t="s">
        <v>15876</v>
      </c>
      <c r="C467" s="137">
        <v>110516</v>
      </c>
      <c r="D467" s="136" t="s">
        <v>15315</v>
      </c>
      <c r="E467" s="138">
        <v>770.8</v>
      </c>
      <c r="F467" s="139">
        <v>42859</v>
      </c>
      <c r="G467" s="140">
        <v>770.8</v>
      </c>
      <c r="H467" s="138">
        <f t="shared" si="8"/>
        <v>0</v>
      </c>
      <c r="I467" s="141" t="s">
        <v>15214</v>
      </c>
    </row>
    <row r="468" spans="1:9" x14ac:dyDescent="0.25">
      <c r="A468" s="135">
        <v>42859</v>
      </c>
      <c r="B468" s="142" t="s">
        <v>15877</v>
      </c>
      <c r="C468" s="143">
        <v>110517</v>
      </c>
      <c r="D468" s="142" t="s">
        <v>15248</v>
      </c>
      <c r="E468" s="144">
        <v>15534.4</v>
      </c>
      <c r="F468" s="145">
        <v>42859</v>
      </c>
      <c r="G468" s="146">
        <v>15534.4</v>
      </c>
      <c r="H468" s="138">
        <f t="shared" si="8"/>
        <v>0</v>
      </c>
      <c r="I468" s="147" t="s">
        <v>15214</v>
      </c>
    </row>
    <row r="469" spans="1:9" x14ac:dyDescent="0.25">
      <c r="A469" s="135">
        <v>42859</v>
      </c>
      <c r="B469" s="136" t="s">
        <v>15878</v>
      </c>
      <c r="C469" s="137">
        <v>110518</v>
      </c>
      <c r="D469" s="136" t="s">
        <v>15223</v>
      </c>
      <c r="E469" s="138">
        <v>26090.400000000001</v>
      </c>
      <c r="F469" s="139">
        <v>42870</v>
      </c>
      <c r="G469" s="140">
        <v>26090.400000000001</v>
      </c>
      <c r="H469" s="138">
        <f t="shared" si="8"/>
        <v>0</v>
      </c>
      <c r="I469" s="141" t="s">
        <v>15214</v>
      </c>
    </row>
    <row r="470" spans="1:9" x14ac:dyDescent="0.25">
      <c r="A470" s="135">
        <v>42859</v>
      </c>
      <c r="B470" s="142" t="s">
        <v>15879</v>
      </c>
      <c r="C470" s="143">
        <v>110519</v>
      </c>
      <c r="D470" s="142" t="s">
        <v>15716</v>
      </c>
      <c r="E470" s="144">
        <v>7789.4</v>
      </c>
      <c r="F470" s="145">
        <v>42859</v>
      </c>
      <c r="G470" s="146">
        <v>7789.4</v>
      </c>
      <c r="H470" s="138">
        <f t="shared" si="8"/>
        <v>0</v>
      </c>
      <c r="I470" s="147" t="s">
        <v>15214</v>
      </c>
    </row>
    <row r="471" spans="1:9" x14ac:dyDescent="0.25">
      <c r="A471" s="135">
        <v>42859</v>
      </c>
      <c r="B471" s="136" t="s">
        <v>15880</v>
      </c>
      <c r="C471" s="137">
        <v>110520</v>
      </c>
      <c r="D471" s="136" t="s">
        <v>15213</v>
      </c>
      <c r="E471" s="138">
        <v>5143.95</v>
      </c>
      <c r="F471" s="139">
        <v>42860</v>
      </c>
      <c r="G471" s="140">
        <v>5143.95</v>
      </c>
      <c r="H471" s="138">
        <f t="shared" si="8"/>
        <v>0</v>
      </c>
      <c r="I471" s="141" t="s">
        <v>15214</v>
      </c>
    </row>
    <row r="472" spans="1:9" x14ac:dyDescent="0.25">
      <c r="A472" s="135">
        <v>42859</v>
      </c>
      <c r="B472" s="142" t="s">
        <v>15881</v>
      </c>
      <c r="C472" s="143">
        <v>110521</v>
      </c>
      <c r="D472" s="142" t="s">
        <v>15274</v>
      </c>
      <c r="E472" s="144">
        <v>3062.6</v>
      </c>
      <c r="F472" s="145">
        <v>42859</v>
      </c>
      <c r="G472" s="146">
        <v>3062.6</v>
      </c>
      <c r="H472" s="138">
        <f t="shared" si="8"/>
        <v>0</v>
      </c>
      <c r="I472" s="147" t="s">
        <v>15214</v>
      </c>
    </row>
    <row r="473" spans="1:9" x14ac:dyDescent="0.25">
      <c r="A473" s="135">
        <v>42859</v>
      </c>
      <c r="B473" s="136" t="s">
        <v>15882</v>
      </c>
      <c r="C473" s="137">
        <v>110522</v>
      </c>
      <c r="D473" s="136" t="s">
        <v>15246</v>
      </c>
      <c r="E473" s="138">
        <v>3150</v>
      </c>
      <c r="F473" s="139">
        <v>42860</v>
      </c>
      <c r="G473" s="140">
        <v>3150</v>
      </c>
      <c r="H473" s="138">
        <f t="shared" si="8"/>
        <v>0</v>
      </c>
      <c r="I473" s="141" t="s">
        <v>15214</v>
      </c>
    </row>
    <row r="474" spans="1:9" x14ac:dyDescent="0.25">
      <c r="A474" s="135">
        <v>42859</v>
      </c>
      <c r="B474" s="142" t="s">
        <v>15883</v>
      </c>
      <c r="C474" s="143">
        <v>110523</v>
      </c>
      <c r="D474" s="142" t="s">
        <v>15884</v>
      </c>
      <c r="E474" s="144">
        <v>3152.1</v>
      </c>
      <c r="F474" s="145">
        <v>42859</v>
      </c>
      <c r="G474" s="146">
        <v>3152.1</v>
      </c>
      <c r="H474" s="138">
        <f t="shared" si="8"/>
        <v>0</v>
      </c>
      <c r="I474" s="147" t="s">
        <v>15214</v>
      </c>
    </row>
    <row r="475" spans="1:9" x14ac:dyDescent="0.25">
      <c r="A475" s="135">
        <v>42859</v>
      </c>
      <c r="B475" s="136" t="s">
        <v>15885</v>
      </c>
      <c r="C475" s="137">
        <v>110524</v>
      </c>
      <c r="D475" s="136" t="s">
        <v>15252</v>
      </c>
      <c r="E475" s="138">
        <v>3853.6</v>
      </c>
      <c r="F475" s="139">
        <v>42864</v>
      </c>
      <c r="G475" s="140">
        <v>3853.6</v>
      </c>
      <c r="H475" s="138">
        <f t="shared" si="8"/>
        <v>0</v>
      </c>
      <c r="I475" s="141" t="s">
        <v>15214</v>
      </c>
    </row>
    <row r="476" spans="1:9" x14ac:dyDescent="0.25">
      <c r="A476" s="135">
        <v>42859</v>
      </c>
      <c r="B476" s="142" t="s">
        <v>15886</v>
      </c>
      <c r="C476" s="143">
        <v>110525</v>
      </c>
      <c r="D476" s="142" t="s">
        <v>15244</v>
      </c>
      <c r="E476" s="144">
        <v>11644.3</v>
      </c>
      <c r="F476" s="145">
        <v>42865</v>
      </c>
      <c r="G476" s="146">
        <v>11644.3</v>
      </c>
      <c r="H476" s="138">
        <f t="shared" si="8"/>
        <v>0</v>
      </c>
      <c r="I476" s="147" t="s">
        <v>15214</v>
      </c>
    </row>
    <row r="477" spans="1:9" x14ac:dyDescent="0.25">
      <c r="A477" s="135">
        <v>42859</v>
      </c>
      <c r="B477" s="136" t="s">
        <v>15887</v>
      </c>
      <c r="C477" s="137">
        <v>110526</v>
      </c>
      <c r="D477" s="136" t="s">
        <v>15338</v>
      </c>
      <c r="E477" s="138">
        <v>12316.4</v>
      </c>
      <c r="F477" s="139">
        <v>42864</v>
      </c>
      <c r="G477" s="140">
        <v>12316.4</v>
      </c>
      <c r="H477" s="138">
        <f t="shared" si="8"/>
        <v>0</v>
      </c>
      <c r="I477" s="141" t="s">
        <v>15214</v>
      </c>
    </row>
    <row r="478" spans="1:9" x14ac:dyDescent="0.25">
      <c r="A478" s="135">
        <v>42859</v>
      </c>
      <c r="B478" s="142" t="s">
        <v>15888</v>
      </c>
      <c r="C478" s="143">
        <v>110527</v>
      </c>
      <c r="D478" s="142" t="s">
        <v>15566</v>
      </c>
      <c r="E478" s="144">
        <v>2843.55</v>
      </c>
      <c r="F478" s="145">
        <v>42859</v>
      </c>
      <c r="G478" s="146">
        <v>2843.55</v>
      </c>
      <c r="H478" s="138">
        <f t="shared" si="8"/>
        <v>0</v>
      </c>
      <c r="I478" s="147" t="s">
        <v>15214</v>
      </c>
    </row>
    <row r="479" spans="1:9" x14ac:dyDescent="0.25">
      <c r="A479" s="135">
        <v>42859</v>
      </c>
      <c r="B479" s="136" t="s">
        <v>15889</v>
      </c>
      <c r="C479" s="137">
        <v>110528</v>
      </c>
      <c r="D479" s="136" t="s">
        <v>15890</v>
      </c>
      <c r="E479" s="138">
        <v>11564.1</v>
      </c>
      <c r="F479" s="139">
        <v>42863</v>
      </c>
      <c r="G479" s="140">
        <v>11564.1</v>
      </c>
      <c r="H479" s="138">
        <f t="shared" si="8"/>
        <v>0</v>
      </c>
      <c r="I479" s="141" t="s">
        <v>15214</v>
      </c>
    </row>
    <row r="480" spans="1:9" x14ac:dyDescent="0.25">
      <c r="A480" s="135">
        <v>42859</v>
      </c>
      <c r="B480" s="142" t="s">
        <v>15891</v>
      </c>
      <c r="C480" s="143">
        <v>110529</v>
      </c>
      <c r="D480" s="142" t="s">
        <v>15265</v>
      </c>
      <c r="E480" s="144">
        <v>5083.2</v>
      </c>
      <c r="F480" s="145">
        <v>42862</v>
      </c>
      <c r="G480" s="146">
        <v>5083.2</v>
      </c>
      <c r="H480" s="138">
        <f t="shared" si="8"/>
        <v>0</v>
      </c>
      <c r="I480" s="147" t="s">
        <v>15214</v>
      </c>
    </row>
    <row r="481" spans="1:9" x14ac:dyDescent="0.25">
      <c r="A481" s="135">
        <v>42859</v>
      </c>
      <c r="B481" s="136" t="s">
        <v>15892</v>
      </c>
      <c r="C481" s="137">
        <v>110530</v>
      </c>
      <c r="D481" s="136" t="s">
        <v>15890</v>
      </c>
      <c r="E481" s="138">
        <v>3067.4</v>
      </c>
      <c r="F481" s="139">
        <v>42868</v>
      </c>
      <c r="G481" s="140">
        <v>3067.4</v>
      </c>
      <c r="H481" s="138">
        <f t="shared" si="8"/>
        <v>0</v>
      </c>
      <c r="I481" s="141" t="s">
        <v>15214</v>
      </c>
    </row>
    <row r="482" spans="1:9" x14ac:dyDescent="0.25">
      <c r="A482" s="135">
        <v>42859</v>
      </c>
      <c r="B482" s="142" t="s">
        <v>15893</v>
      </c>
      <c r="C482" s="143">
        <v>110531</v>
      </c>
      <c r="D482" s="142" t="s">
        <v>15246</v>
      </c>
      <c r="E482" s="144">
        <v>156017.18</v>
      </c>
      <c r="F482" s="145">
        <v>42860</v>
      </c>
      <c r="G482" s="146">
        <v>156017.18</v>
      </c>
      <c r="H482" s="138">
        <f t="shared" si="8"/>
        <v>0</v>
      </c>
      <c r="I482" s="147" t="s">
        <v>15214</v>
      </c>
    </row>
    <row r="483" spans="1:9" x14ac:dyDescent="0.25">
      <c r="A483" s="135">
        <v>42859</v>
      </c>
      <c r="B483" s="136" t="s">
        <v>15894</v>
      </c>
      <c r="C483" s="137">
        <v>110532</v>
      </c>
      <c r="D483" s="136" t="s">
        <v>15284</v>
      </c>
      <c r="E483" s="138">
        <v>1279.3</v>
      </c>
      <c r="F483" s="139">
        <v>42859</v>
      </c>
      <c r="G483" s="140">
        <v>1279.3</v>
      </c>
      <c r="H483" s="138">
        <f t="shared" si="8"/>
        <v>0</v>
      </c>
      <c r="I483" s="141" t="s">
        <v>15214</v>
      </c>
    </row>
    <row r="484" spans="1:9" x14ac:dyDescent="0.25">
      <c r="A484" s="135">
        <v>42859</v>
      </c>
      <c r="B484" s="142" t="s">
        <v>15895</v>
      </c>
      <c r="C484" s="143">
        <v>110533</v>
      </c>
      <c r="D484" s="142" t="s">
        <v>15398</v>
      </c>
      <c r="E484" s="144">
        <v>2798.7</v>
      </c>
      <c r="F484" s="145">
        <v>42859</v>
      </c>
      <c r="G484" s="146">
        <v>2798.7</v>
      </c>
      <c r="H484" s="138">
        <f t="shared" si="8"/>
        <v>0</v>
      </c>
      <c r="I484" s="147" t="s">
        <v>15214</v>
      </c>
    </row>
    <row r="485" spans="1:9" x14ac:dyDescent="0.25">
      <c r="A485" s="135">
        <v>42859</v>
      </c>
      <c r="B485" s="136" t="s">
        <v>15896</v>
      </c>
      <c r="C485" s="137">
        <v>110534</v>
      </c>
      <c r="D485" s="136" t="s">
        <v>15748</v>
      </c>
      <c r="E485" s="138">
        <v>486.4</v>
      </c>
      <c r="F485" s="139">
        <v>42859</v>
      </c>
      <c r="G485" s="140">
        <v>486.4</v>
      </c>
      <c r="H485" s="138">
        <f t="shared" si="8"/>
        <v>0</v>
      </c>
      <c r="I485" s="141" t="s">
        <v>15214</v>
      </c>
    </row>
    <row r="486" spans="1:9" x14ac:dyDescent="0.25">
      <c r="A486" s="135">
        <v>42859</v>
      </c>
      <c r="B486" s="142" t="s">
        <v>15897</v>
      </c>
      <c r="C486" s="143">
        <v>110535</v>
      </c>
      <c r="D486" s="142" t="s">
        <v>15298</v>
      </c>
      <c r="E486" s="144">
        <v>22493.3</v>
      </c>
      <c r="F486" s="148">
        <v>42866</v>
      </c>
      <c r="G486" s="149">
        <v>22493.3</v>
      </c>
      <c r="H486" s="138">
        <f t="shared" si="8"/>
        <v>0</v>
      </c>
      <c r="I486" s="147" t="s">
        <v>15214</v>
      </c>
    </row>
    <row r="487" spans="1:9" x14ac:dyDescent="0.25">
      <c r="A487" s="135">
        <v>42859</v>
      </c>
      <c r="B487" s="136" t="s">
        <v>15898</v>
      </c>
      <c r="C487" s="137">
        <v>110536</v>
      </c>
      <c r="D487" s="136" t="s">
        <v>15655</v>
      </c>
      <c r="E487" s="138">
        <v>15030</v>
      </c>
      <c r="F487" s="139">
        <v>42909</v>
      </c>
      <c r="G487" s="140">
        <v>15030</v>
      </c>
      <c r="H487" s="138">
        <f t="shared" si="8"/>
        <v>0</v>
      </c>
      <c r="I487" s="141" t="s">
        <v>15214</v>
      </c>
    </row>
    <row r="488" spans="1:9" x14ac:dyDescent="0.25">
      <c r="A488" s="135">
        <v>42859</v>
      </c>
      <c r="B488" s="142" t="s">
        <v>15899</v>
      </c>
      <c r="C488" s="143">
        <v>110537</v>
      </c>
      <c r="D488" s="142" t="s">
        <v>15665</v>
      </c>
      <c r="E488" s="144">
        <v>449</v>
      </c>
      <c r="F488" s="145">
        <v>42859</v>
      </c>
      <c r="G488" s="146">
        <v>449</v>
      </c>
      <c r="H488" s="138">
        <f t="shared" si="8"/>
        <v>0</v>
      </c>
      <c r="I488" s="147" t="s">
        <v>15214</v>
      </c>
    </row>
    <row r="489" spans="1:9" x14ac:dyDescent="0.25">
      <c r="A489" s="135">
        <v>42859</v>
      </c>
      <c r="B489" s="136" t="s">
        <v>15900</v>
      </c>
      <c r="C489" s="137">
        <v>110538</v>
      </c>
      <c r="D489" s="136" t="s">
        <v>15315</v>
      </c>
      <c r="E489" s="138">
        <v>1919.7</v>
      </c>
      <c r="F489" s="139">
        <v>42859</v>
      </c>
      <c r="G489" s="140">
        <v>1919.7</v>
      </c>
      <c r="H489" s="138">
        <f t="shared" si="8"/>
        <v>0</v>
      </c>
      <c r="I489" s="141" t="s">
        <v>15214</v>
      </c>
    </row>
    <row r="490" spans="1:9" x14ac:dyDescent="0.25">
      <c r="A490" s="135">
        <v>42859</v>
      </c>
      <c r="B490" s="142" t="s">
        <v>15901</v>
      </c>
      <c r="C490" s="143">
        <v>110539</v>
      </c>
      <c r="D490" s="142" t="s">
        <v>15267</v>
      </c>
      <c r="E490" s="144">
        <v>3644.9</v>
      </c>
      <c r="F490" s="145">
        <v>42859</v>
      </c>
      <c r="G490" s="146">
        <v>3644.9</v>
      </c>
      <c r="H490" s="138">
        <f t="shared" si="8"/>
        <v>0</v>
      </c>
      <c r="I490" s="147" t="s">
        <v>15214</v>
      </c>
    </row>
    <row r="491" spans="1:9" x14ac:dyDescent="0.25">
      <c r="A491" s="135">
        <v>42859</v>
      </c>
      <c r="B491" s="136" t="s">
        <v>15902</v>
      </c>
      <c r="C491" s="137">
        <v>110540</v>
      </c>
      <c r="D491" s="136" t="s">
        <v>15903</v>
      </c>
      <c r="E491" s="138">
        <v>48807</v>
      </c>
      <c r="F491" s="139">
        <v>42860</v>
      </c>
      <c r="G491" s="140">
        <v>48807</v>
      </c>
      <c r="H491" s="138">
        <f t="shared" si="8"/>
        <v>0</v>
      </c>
      <c r="I491" s="141" t="s">
        <v>15214</v>
      </c>
    </row>
    <row r="492" spans="1:9" x14ac:dyDescent="0.25">
      <c r="A492" s="135">
        <v>42859</v>
      </c>
      <c r="B492" s="142" t="s">
        <v>15904</v>
      </c>
      <c r="C492" s="143">
        <v>110541</v>
      </c>
      <c r="D492" s="142" t="s">
        <v>15315</v>
      </c>
      <c r="E492" s="144">
        <v>2924</v>
      </c>
      <c r="F492" s="145">
        <v>42859</v>
      </c>
      <c r="G492" s="146">
        <v>2924</v>
      </c>
      <c r="H492" s="138">
        <f t="shared" si="8"/>
        <v>0</v>
      </c>
      <c r="I492" s="147" t="s">
        <v>15214</v>
      </c>
    </row>
    <row r="493" spans="1:9" x14ac:dyDescent="0.25">
      <c r="A493" s="135">
        <v>42859</v>
      </c>
      <c r="B493" s="136" t="s">
        <v>15905</v>
      </c>
      <c r="C493" s="137">
        <v>110542</v>
      </c>
      <c r="D493" s="136" t="s">
        <v>15246</v>
      </c>
      <c r="E493" s="138">
        <v>62118.3</v>
      </c>
      <c r="F493" s="139">
        <v>42860</v>
      </c>
      <c r="G493" s="140">
        <v>62118.3</v>
      </c>
      <c r="H493" s="138">
        <f t="shared" si="8"/>
        <v>0</v>
      </c>
      <c r="I493" s="141" t="s">
        <v>15214</v>
      </c>
    </row>
    <row r="494" spans="1:9" x14ac:dyDescent="0.25">
      <c r="A494" s="135">
        <v>42859</v>
      </c>
      <c r="B494" s="142" t="s">
        <v>15906</v>
      </c>
      <c r="C494" s="143">
        <v>110543</v>
      </c>
      <c r="D494" s="142" t="s">
        <v>15246</v>
      </c>
      <c r="E494" s="144">
        <v>6642.4</v>
      </c>
      <c r="F494" s="145">
        <v>42860</v>
      </c>
      <c r="G494" s="146">
        <v>6642.4</v>
      </c>
      <c r="H494" s="138">
        <f t="shared" si="8"/>
        <v>0</v>
      </c>
      <c r="I494" s="147" t="s">
        <v>15214</v>
      </c>
    </row>
    <row r="495" spans="1:9" x14ac:dyDescent="0.25">
      <c r="A495" s="135">
        <v>42859</v>
      </c>
      <c r="B495" s="136" t="s">
        <v>15907</v>
      </c>
      <c r="C495" s="137">
        <v>110544</v>
      </c>
      <c r="D495" s="136" t="s">
        <v>15396</v>
      </c>
      <c r="E495" s="138">
        <v>4076.8</v>
      </c>
      <c r="F495" s="139">
        <v>42859</v>
      </c>
      <c r="G495" s="140">
        <v>4076.8</v>
      </c>
      <c r="H495" s="138">
        <f t="shared" si="8"/>
        <v>0</v>
      </c>
      <c r="I495" s="141" t="s">
        <v>15214</v>
      </c>
    </row>
    <row r="496" spans="1:9" x14ac:dyDescent="0.25">
      <c r="A496" s="135">
        <v>42859</v>
      </c>
      <c r="B496" s="142" t="s">
        <v>15908</v>
      </c>
      <c r="C496" s="143">
        <v>110545</v>
      </c>
      <c r="D496" s="142" t="s">
        <v>15346</v>
      </c>
      <c r="E496" s="144">
        <v>4717.95</v>
      </c>
      <c r="F496" s="145">
        <v>42859</v>
      </c>
      <c r="G496" s="146">
        <v>4717.95</v>
      </c>
      <c r="H496" s="138">
        <f t="shared" si="8"/>
        <v>0</v>
      </c>
      <c r="I496" s="147" t="s">
        <v>15214</v>
      </c>
    </row>
    <row r="497" spans="1:9" x14ac:dyDescent="0.25">
      <c r="A497" s="135">
        <v>42859</v>
      </c>
      <c r="B497" s="136" t="s">
        <v>15909</v>
      </c>
      <c r="C497" s="137">
        <v>110546</v>
      </c>
      <c r="D497" s="136" t="s">
        <v>15301</v>
      </c>
      <c r="E497" s="138">
        <v>5287.8</v>
      </c>
      <c r="F497" s="139">
        <v>42860</v>
      </c>
      <c r="G497" s="140">
        <v>5287.8</v>
      </c>
      <c r="H497" s="138">
        <f t="shared" si="8"/>
        <v>0</v>
      </c>
      <c r="I497" s="141" t="s">
        <v>15214</v>
      </c>
    </row>
    <row r="498" spans="1:9" x14ac:dyDescent="0.25">
      <c r="A498" s="135">
        <v>42859</v>
      </c>
      <c r="B498" s="142" t="s">
        <v>15910</v>
      </c>
      <c r="C498" s="143">
        <v>110547</v>
      </c>
      <c r="D498" s="142" t="s">
        <v>15291</v>
      </c>
      <c r="E498" s="144">
        <v>552</v>
      </c>
      <c r="F498" s="145">
        <v>42860</v>
      </c>
      <c r="G498" s="146">
        <v>552</v>
      </c>
      <c r="H498" s="138">
        <f t="shared" si="8"/>
        <v>0</v>
      </c>
      <c r="I498" s="147" t="s">
        <v>15214</v>
      </c>
    </row>
    <row r="499" spans="1:9" x14ac:dyDescent="0.25">
      <c r="A499" s="135">
        <v>42859</v>
      </c>
      <c r="B499" s="136" t="s">
        <v>15911</v>
      </c>
      <c r="C499" s="137">
        <v>110548</v>
      </c>
      <c r="D499" s="136" t="s">
        <v>15912</v>
      </c>
      <c r="E499" s="138">
        <v>651.20000000000005</v>
      </c>
      <c r="F499" s="139">
        <v>42860</v>
      </c>
      <c r="G499" s="140">
        <v>651.20000000000005</v>
      </c>
      <c r="H499" s="138">
        <f t="shared" si="8"/>
        <v>0</v>
      </c>
      <c r="I499" s="141" t="s">
        <v>15214</v>
      </c>
    </row>
    <row r="500" spans="1:9" x14ac:dyDescent="0.25">
      <c r="A500" s="135">
        <v>42859</v>
      </c>
      <c r="B500" s="142" t="s">
        <v>15913</v>
      </c>
      <c r="C500" s="143">
        <v>110549</v>
      </c>
      <c r="D500" s="142" t="s">
        <v>15315</v>
      </c>
      <c r="E500" s="144">
        <v>490.5</v>
      </c>
      <c r="F500" s="145">
        <v>42860</v>
      </c>
      <c r="G500" s="146">
        <v>490.5</v>
      </c>
      <c r="H500" s="138">
        <f t="shared" si="8"/>
        <v>0</v>
      </c>
      <c r="I500" s="147" t="s">
        <v>15214</v>
      </c>
    </row>
    <row r="501" spans="1:9" x14ac:dyDescent="0.25">
      <c r="A501" s="135">
        <v>42859</v>
      </c>
      <c r="B501" s="136" t="s">
        <v>15914</v>
      </c>
      <c r="C501" s="137">
        <v>110550</v>
      </c>
      <c r="D501" s="136" t="s">
        <v>15320</v>
      </c>
      <c r="E501" s="138">
        <v>2833.6</v>
      </c>
      <c r="F501" s="139">
        <v>42860</v>
      </c>
      <c r="G501" s="140">
        <v>2833.6</v>
      </c>
      <c r="H501" s="138">
        <f t="shared" si="8"/>
        <v>0</v>
      </c>
      <c r="I501" s="141" t="s">
        <v>15214</v>
      </c>
    </row>
    <row r="502" spans="1:9" x14ac:dyDescent="0.25">
      <c r="A502" s="135">
        <v>42859</v>
      </c>
      <c r="B502" s="142" t="s">
        <v>15915</v>
      </c>
      <c r="C502" s="143">
        <v>110551</v>
      </c>
      <c r="D502" s="142" t="s">
        <v>15315</v>
      </c>
      <c r="E502" s="144">
        <v>1039.5999999999999</v>
      </c>
      <c r="F502" s="145">
        <v>42859</v>
      </c>
      <c r="G502" s="146">
        <v>1039.5999999999999</v>
      </c>
      <c r="H502" s="138">
        <f t="shared" si="8"/>
        <v>0</v>
      </c>
      <c r="I502" s="147" t="s">
        <v>15214</v>
      </c>
    </row>
    <row r="503" spans="1:9" x14ac:dyDescent="0.25">
      <c r="A503" s="135">
        <v>42859</v>
      </c>
      <c r="B503" s="136" t="s">
        <v>15916</v>
      </c>
      <c r="C503" s="137">
        <v>110552</v>
      </c>
      <c r="D503" s="136" t="s">
        <v>15307</v>
      </c>
      <c r="E503" s="138">
        <v>4351.2</v>
      </c>
      <c r="F503" s="139">
        <v>42860</v>
      </c>
      <c r="G503" s="140">
        <v>4351.2</v>
      </c>
      <c r="H503" s="138">
        <f t="shared" si="8"/>
        <v>0</v>
      </c>
      <c r="I503" s="141" t="s">
        <v>15214</v>
      </c>
    </row>
    <row r="504" spans="1:9" x14ac:dyDescent="0.25">
      <c r="A504" s="135">
        <v>42859</v>
      </c>
      <c r="B504" s="142" t="s">
        <v>15917</v>
      </c>
      <c r="C504" s="143">
        <v>110553</v>
      </c>
      <c r="D504" s="142" t="s">
        <v>15444</v>
      </c>
      <c r="E504" s="144">
        <v>3090</v>
      </c>
      <c r="F504" s="145">
        <v>42860</v>
      </c>
      <c r="G504" s="146">
        <v>3090</v>
      </c>
      <c r="H504" s="138">
        <f t="shared" si="8"/>
        <v>0</v>
      </c>
      <c r="I504" s="147" t="s">
        <v>15214</v>
      </c>
    </row>
    <row r="505" spans="1:9" x14ac:dyDescent="0.25">
      <c r="A505" s="135">
        <v>42859</v>
      </c>
      <c r="B505" s="136" t="s">
        <v>15918</v>
      </c>
      <c r="C505" s="137">
        <v>110554</v>
      </c>
      <c r="D505" s="136" t="s">
        <v>15315</v>
      </c>
      <c r="E505" s="138">
        <v>317.39999999999998</v>
      </c>
      <c r="F505" s="139">
        <v>42859</v>
      </c>
      <c r="G505" s="140">
        <v>317.39999999999998</v>
      </c>
      <c r="H505" s="138">
        <f t="shared" si="8"/>
        <v>0</v>
      </c>
      <c r="I505" s="141" t="s">
        <v>15214</v>
      </c>
    </row>
    <row r="506" spans="1:9" x14ac:dyDescent="0.25">
      <c r="A506" s="135">
        <v>42859</v>
      </c>
      <c r="B506" s="142" t="s">
        <v>15919</v>
      </c>
      <c r="C506" s="143">
        <v>110555</v>
      </c>
      <c r="D506" s="142" t="s">
        <v>15920</v>
      </c>
      <c r="E506" s="144">
        <v>36116.800000000003</v>
      </c>
      <c r="F506" s="145" t="s">
        <v>15921</v>
      </c>
      <c r="G506" s="146">
        <f>16116.8+20000</f>
        <v>36116.800000000003</v>
      </c>
      <c r="H506" s="163">
        <f t="shared" si="8"/>
        <v>0</v>
      </c>
      <c r="I506" s="147" t="s">
        <v>15214</v>
      </c>
    </row>
    <row r="507" spans="1:9" ht="30" x14ac:dyDescent="0.25">
      <c r="A507" s="135">
        <v>42859</v>
      </c>
      <c r="B507" s="136" t="s">
        <v>15922</v>
      </c>
      <c r="C507" s="137">
        <v>110556</v>
      </c>
      <c r="D507" s="136" t="s">
        <v>15624</v>
      </c>
      <c r="E507" s="138">
        <v>0</v>
      </c>
      <c r="F507" s="164" t="s">
        <v>15923</v>
      </c>
      <c r="G507" s="138">
        <v>0</v>
      </c>
      <c r="H507" s="138">
        <f t="shared" si="8"/>
        <v>0</v>
      </c>
      <c r="I507" s="141" t="s">
        <v>95</v>
      </c>
    </row>
    <row r="508" spans="1:9" x14ac:dyDescent="0.25">
      <c r="A508" s="135">
        <v>42859</v>
      </c>
      <c r="B508" s="142" t="s">
        <v>15924</v>
      </c>
      <c r="C508" s="143">
        <v>110557</v>
      </c>
      <c r="D508" s="142" t="s">
        <v>15250</v>
      </c>
      <c r="E508" s="144">
        <v>78679.08</v>
      </c>
      <c r="F508" s="145">
        <v>42868</v>
      </c>
      <c r="G508" s="146">
        <v>78679.08</v>
      </c>
      <c r="H508" s="138">
        <f t="shared" si="8"/>
        <v>0</v>
      </c>
      <c r="I508" s="147" t="s">
        <v>15214</v>
      </c>
    </row>
    <row r="509" spans="1:9" x14ac:dyDescent="0.25">
      <c r="A509" s="135">
        <v>42859</v>
      </c>
      <c r="B509" s="136" t="s">
        <v>15925</v>
      </c>
      <c r="C509" s="137">
        <v>110558</v>
      </c>
      <c r="D509" s="136" t="s">
        <v>15407</v>
      </c>
      <c r="E509" s="138">
        <v>13014.1</v>
      </c>
      <c r="F509" s="139">
        <v>42859</v>
      </c>
      <c r="G509" s="140">
        <v>13014.1</v>
      </c>
      <c r="H509" s="138">
        <f t="shared" si="8"/>
        <v>0</v>
      </c>
      <c r="I509" s="141" t="s">
        <v>15214</v>
      </c>
    </row>
    <row r="510" spans="1:9" x14ac:dyDescent="0.25">
      <c r="A510" s="135">
        <v>42859</v>
      </c>
      <c r="B510" s="142" t="s">
        <v>15926</v>
      </c>
      <c r="C510" s="143">
        <v>110559</v>
      </c>
      <c r="D510" s="142" t="s">
        <v>15365</v>
      </c>
      <c r="E510" s="144">
        <v>186396</v>
      </c>
      <c r="F510" s="145">
        <v>42863</v>
      </c>
      <c r="G510" s="146">
        <v>186396</v>
      </c>
      <c r="H510" s="138">
        <f t="shared" si="8"/>
        <v>0</v>
      </c>
      <c r="I510" s="147" t="s">
        <v>15214</v>
      </c>
    </row>
    <row r="511" spans="1:9" x14ac:dyDescent="0.25">
      <c r="A511" s="135">
        <v>42859</v>
      </c>
      <c r="B511" s="136" t="s">
        <v>15927</v>
      </c>
      <c r="C511" s="137">
        <v>110560</v>
      </c>
      <c r="D511" s="136" t="s">
        <v>15223</v>
      </c>
      <c r="E511" s="138">
        <v>38712.9</v>
      </c>
      <c r="F511" s="139">
        <v>42870</v>
      </c>
      <c r="G511" s="140">
        <v>38712.9</v>
      </c>
      <c r="H511" s="138">
        <f t="shared" si="8"/>
        <v>0</v>
      </c>
      <c r="I511" s="141" t="s">
        <v>15214</v>
      </c>
    </row>
    <row r="512" spans="1:9" x14ac:dyDescent="0.25">
      <c r="A512" s="135">
        <v>42859</v>
      </c>
      <c r="B512" s="142" t="s">
        <v>15928</v>
      </c>
      <c r="C512" s="143">
        <v>110561</v>
      </c>
      <c r="D512" s="142" t="s">
        <v>15617</v>
      </c>
      <c r="E512" s="144">
        <v>27135</v>
      </c>
      <c r="F512" s="145">
        <v>42860</v>
      </c>
      <c r="G512" s="146">
        <v>27135</v>
      </c>
      <c r="H512" s="138">
        <f t="shared" si="8"/>
        <v>0</v>
      </c>
      <c r="I512" s="147" t="s">
        <v>15214</v>
      </c>
    </row>
    <row r="513" spans="1:9" x14ac:dyDescent="0.25">
      <c r="A513" s="135">
        <v>42859</v>
      </c>
      <c r="B513" s="136" t="s">
        <v>15929</v>
      </c>
      <c r="C513" s="137">
        <v>110562</v>
      </c>
      <c r="D513" s="136" t="s">
        <v>15930</v>
      </c>
      <c r="E513" s="138">
        <v>4773</v>
      </c>
      <c r="F513" s="139">
        <v>42860</v>
      </c>
      <c r="G513" s="140">
        <v>4773</v>
      </c>
      <c r="H513" s="138">
        <f t="shared" si="8"/>
        <v>0</v>
      </c>
      <c r="I513" s="141" t="s">
        <v>15214</v>
      </c>
    </row>
    <row r="514" spans="1:9" x14ac:dyDescent="0.25">
      <c r="A514" s="135">
        <v>42859</v>
      </c>
      <c r="B514" s="142" t="s">
        <v>15931</v>
      </c>
      <c r="C514" s="143">
        <v>110563</v>
      </c>
      <c r="D514" s="142" t="s">
        <v>15276</v>
      </c>
      <c r="E514" s="144">
        <v>3684.6</v>
      </c>
      <c r="F514" s="145">
        <v>42860</v>
      </c>
      <c r="G514" s="146">
        <v>3684.6</v>
      </c>
      <c r="H514" s="138">
        <f t="shared" si="8"/>
        <v>0</v>
      </c>
      <c r="I514" s="147" t="s">
        <v>15214</v>
      </c>
    </row>
    <row r="515" spans="1:9" x14ac:dyDescent="0.25">
      <c r="A515" s="135">
        <v>42859</v>
      </c>
      <c r="B515" s="136" t="s">
        <v>15932</v>
      </c>
      <c r="C515" s="137">
        <v>110564</v>
      </c>
      <c r="D515" s="136" t="s">
        <v>15417</v>
      </c>
      <c r="E515" s="138">
        <v>1872</v>
      </c>
      <c r="F515" s="139">
        <v>42860</v>
      </c>
      <c r="G515" s="140">
        <v>1872</v>
      </c>
      <c r="H515" s="138">
        <f t="shared" si="8"/>
        <v>0</v>
      </c>
      <c r="I515" s="141" t="s">
        <v>15214</v>
      </c>
    </row>
    <row r="516" spans="1:9" x14ac:dyDescent="0.25">
      <c r="A516" s="135">
        <v>42859</v>
      </c>
      <c r="B516" s="142" t="s">
        <v>15933</v>
      </c>
      <c r="C516" s="143">
        <v>110565</v>
      </c>
      <c r="D516" s="142" t="s">
        <v>15934</v>
      </c>
      <c r="E516" s="144">
        <v>1154.4000000000001</v>
      </c>
      <c r="F516" s="145">
        <v>42860</v>
      </c>
      <c r="G516" s="146">
        <v>1154.4000000000001</v>
      </c>
      <c r="H516" s="138">
        <f t="shared" ref="H516:H579" si="9">E516-G516</f>
        <v>0</v>
      </c>
      <c r="I516" s="147" t="s">
        <v>15214</v>
      </c>
    </row>
    <row r="517" spans="1:9" x14ac:dyDescent="0.25">
      <c r="A517" s="135">
        <v>42859</v>
      </c>
      <c r="B517" s="136" t="s">
        <v>15935</v>
      </c>
      <c r="C517" s="137">
        <v>110566</v>
      </c>
      <c r="D517" s="136" t="s">
        <v>15936</v>
      </c>
      <c r="E517" s="138">
        <v>14370.1</v>
      </c>
      <c r="F517" s="139">
        <v>42859</v>
      </c>
      <c r="G517" s="140">
        <v>14370.1</v>
      </c>
      <c r="H517" s="138">
        <f t="shared" si="9"/>
        <v>0</v>
      </c>
      <c r="I517" s="141" t="s">
        <v>15214</v>
      </c>
    </row>
    <row r="518" spans="1:9" ht="15.75" x14ac:dyDescent="0.25">
      <c r="A518" s="135">
        <v>42859</v>
      </c>
      <c r="B518" s="142" t="s">
        <v>15937</v>
      </c>
      <c r="C518" s="143">
        <v>110567</v>
      </c>
      <c r="D518" s="142" t="s">
        <v>15624</v>
      </c>
      <c r="E518" s="144">
        <v>0</v>
      </c>
      <c r="F518" s="156" t="s">
        <v>95</v>
      </c>
      <c r="G518" s="144">
        <v>0</v>
      </c>
      <c r="H518" s="138">
        <f t="shared" si="9"/>
        <v>0</v>
      </c>
      <c r="I518" s="147" t="s">
        <v>95</v>
      </c>
    </row>
    <row r="519" spans="1:9" x14ac:dyDescent="0.25">
      <c r="A519" s="135">
        <v>42859</v>
      </c>
      <c r="B519" s="136" t="s">
        <v>15938</v>
      </c>
      <c r="C519" s="137">
        <v>110568</v>
      </c>
      <c r="D519" s="136" t="s">
        <v>15939</v>
      </c>
      <c r="E519" s="138">
        <v>66698.75</v>
      </c>
      <c r="F519" s="139">
        <v>42870</v>
      </c>
      <c r="G519" s="140">
        <v>66698.75</v>
      </c>
      <c r="H519" s="138">
        <f t="shared" si="9"/>
        <v>0</v>
      </c>
      <c r="I519" s="141" t="s">
        <v>15214</v>
      </c>
    </row>
    <row r="520" spans="1:9" x14ac:dyDescent="0.25">
      <c r="A520" s="135">
        <v>42859</v>
      </c>
      <c r="B520" s="142" t="s">
        <v>15940</v>
      </c>
      <c r="C520" s="143">
        <v>110569</v>
      </c>
      <c r="D520" s="142" t="s">
        <v>15941</v>
      </c>
      <c r="E520" s="144">
        <v>1932</v>
      </c>
      <c r="F520" s="145">
        <v>42861</v>
      </c>
      <c r="G520" s="146">
        <v>1932</v>
      </c>
      <c r="H520" s="138">
        <f t="shared" si="9"/>
        <v>0</v>
      </c>
      <c r="I520" s="147" t="s">
        <v>15214</v>
      </c>
    </row>
    <row r="521" spans="1:9" x14ac:dyDescent="0.25">
      <c r="A521" s="135">
        <v>42859</v>
      </c>
      <c r="B521" s="136" t="s">
        <v>15942</v>
      </c>
      <c r="C521" s="137">
        <v>110570</v>
      </c>
      <c r="D521" s="136" t="s">
        <v>15315</v>
      </c>
      <c r="E521" s="138">
        <v>780</v>
      </c>
      <c r="F521" s="139">
        <v>42861</v>
      </c>
      <c r="G521" s="140">
        <v>780</v>
      </c>
      <c r="H521" s="138">
        <f t="shared" si="9"/>
        <v>0</v>
      </c>
      <c r="I521" s="141" t="s">
        <v>15214</v>
      </c>
    </row>
    <row r="522" spans="1:9" x14ac:dyDescent="0.25">
      <c r="A522" s="135">
        <v>42859</v>
      </c>
      <c r="B522" s="142" t="s">
        <v>15943</v>
      </c>
      <c r="C522" s="143">
        <v>110571</v>
      </c>
      <c r="D522" s="142" t="s">
        <v>15450</v>
      </c>
      <c r="E522" s="144">
        <v>2149.9</v>
      </c>
      <c r="F522" s="145">
        <v>42861</v>
      </c>
      <c r="G522" s="146">
        <v>2149.9</v>
      </c>
      <c r="H522" s="138">
        <f t="shared" si="9"/>
        <v>0</v>
      </c>
      <c r="I522" s="147" t="s">
        <v>15214</v>
      </c>
    </row>
    <row r="523" spans="1:9" x14ac:dyDescent="0.25">
      <c r="A523" s="135">
        <v>42859</v>
      </c>
      <c r="B523" s="136" t="s">
        <v>15944</v>
      </c>
      <c r="C523" s="137">
        <v>110572</v>
      </c>
      <c r="D523" s="136" t="s">
        <v>15446</v>
      </c>
      <c r="E523" s="138">
        <v>2518.1999999999998</v>
      </c>
      <c r="F523" s="139">
        <v>42861</v>
      </c>
      <c r="G523" s="140">
        <v>2518.1999999999998</v>
      </c>
      <c r="H523" s="138">
        <f t="shared" si="9"/>
        <v>0</v>
      </c>
      <c r="I523" s="141" t="s">
        <v>15214</v>
      </c>
    </row>
    <row r="524" spans="1:9" x14ac:dyDescent="0.25">
      <c r="A524" s="135">
        <v>42859</v>
      </c>
      <c r="B524" s="142" t="s">
        <v>15945</v>
      </c>
      <c r="C524" s="143">
        <v>110573</v>
      </c>
      <c r="D524" s="142" t="s">
        <v>15454</v>
      </c>
      <c r="E524" s="144">
        <v>1960</v>
      </c>
      <c r="F524" s="145">
        <v>42861</v>
      </c>
      <c r="G524" s="146">
        <v>1960</v>
      </c>
      <c r="H524" s="138">
        <f t="shared" si="9"/>
        <v>0</v>
      </c>
      <c r="I524" s="147" t="s">
        <v>15214</v>
      </c>
    </row>
    <row r="525" spans="1:9" x14ac:dyDescent="0.25">
      <c r="A525" s="135">
        <v>42859</v>
      </c>
      <c r="B525" s="136" t="s">
        <v>15946</v>
      </c>
      <c r="C525" s="137">
        <v>110574</v>
      </c>
      <c r="D525" s="136" t="s">
        <v>15284</v>
      </c>
      <c r="E525" s="138">
        <v>723.8</v>
      </c>
      <c r="F525" s="139">
        <v>42859</v>
      </c>
      <c r="G525" s="140">
        <v>723.8</v>
      </c>
      <c r="H525" s="138">
        <f t="shared" si="9"/>
        <v>0</v>
      </c>
      <c r="I525" s="141" t="s">
        <v>15214</v>
      </c>
    </row>
    <row r="526" spans="1:9" x14ac:dyDescent="0.25">
      <c r="A526" s="135">
        <v>42859</v>
      </c>
      <c r="B526" s="142" t="s">
        <v>15947</v>
      </c>
      <c r="C526" s="143">
        <v>110575</v>
      </c>
      <c r="D526" s="142" t="s">
        <v>15462</v>
      </c>
      <c r="E526" s="144">
        <v>18876.3</v>
      </c>
      <c r="F526" s="145">
        <v>42861</v>
      </c>
      <c r="G526" s="146">
        <v>18876.3</v>
      </c>
      <c r="H526" s="138">
        <f t="shared" si="9"/>
        <v>0</v>
      </c>
      <c r="I526" s="147" t="s">
        <v>15214</v>
      </c>
    </row>
    <row r="527" spans="1:9" x14ac:dyDescent="0.25">
      <c r="A527" s="135">
        <v>42859</v>
      </c>
      <c r="B527" s="136" t="s">
        <v>15948</v>
      </c>
      <c r="C527" s="137">
        <v>110576</v>
      </c>
      <c r="D527" s="136" t="s">
        <v>15226</v>
      </c>
      <c r="E527" s="138">
        <v>608</v>
      </c>
      <c r="F527" s="139">
        <v>42863</v>
      </c>
      <c r="G527" s="140">
        <v>608</v>
      </c>
      <c r="H527" s="138">
        <f t="shared" si="9"/>
        <v>0</v>
      </c>
      <c r="I527" s="141" t="s">
        <v>15214</v>
      </c>
    </row>
    <row r="528" spans="1:9" x14ac:dyDescent="0.25">
      <c r="A528" s="135">
        <v>42859</v>
      </c>
      <c r="B528" s="142" t="s">
        <v>15949</v>
      </c>
      <c r="C528" s="143">
        <v>110577</v>
      </c>
      <c r="D528" s="142" t="s">
        <v>15448</v>
      </c>
      <c r="E528" s="144">
        <v>176841.84</v>
      </c>
      <c r="F528" s="145">
        <v>42861</v>
      </c>
      <c r="G528" s="146">
        <v>176841.84</v>
      </c>
      <c r="H528" s="138">
        <f t="shared" si="9"/>
        <v>0</v>
      </c>
      <c r="I528" s="147" t="s">
        <v>15214</v>
      </c>
    </row>
    <row r="529" spans="1:9" x14ac:dyDescent="0.25">
      <c r="A529" s="135">
        <v>42859</v>
      </c>
      <c r="B529" s="136" t="s">
        <v>15950</v>
      </c>
      <c r="C529" s="137">
        <v>110578</v>
      </c>
      <c r="D529" s="136" t="s">
        <v>15452</v>
      </c>
      <c r="E529" s="138">
        <v>3008.7</v>
      </c>
      <c r="F529" s="139">
        <v>42861</v>
      </c>
      <c r="G529" s="140">
        <v>3008.7</v>
      </c>
      <c r="H529" s="138">
        <f t="shared" si="9"/>
        <v>0</v>
      </c>
      <c r="I529" s="141" t="s">
        <v>15214</v>
      </c>
    </row>
    <row r="530" spans="1:9" x14ac:dyDescent="0.25">
      <c r="A530" s="135">
        <v>42859</v>
      </c>
      <c r="B530" s="142" t="s">
        <v>15951</v>
      </c>
      <c r="C530" s="143">
        <v>110579</v>
      </c>
      <c r="D530" s="142" t="s">
        <v>15246</v>
      </c>
      <c r="E530" s="144">
        <v>103382</v>
      </c>
      <c r="F530" s="145">
        <v>42860</v>
      </c>
      <c r="G530" s="146">
        <v>103382</v>
      </c>
      <c r="H530" s="138">
        <f t="shared" si="9"/>
        <v>0</v>
      </c>
      <c r="I530" s="147" t="s">
        <v>15214</v>
      </c>
    </row>
    <row r="531" spans="1:9" x14ac:dyDescent="0.25">
      <c r="A531" s="135">
        <v>42859</v>
      </c>
      <c r="B531" s="136" t="s">
        <v>15952</v>
      </c>
      <c r="C531" s="137">
        <v>110580</v>
      </c>
      <c r="D531" s="136" t="s">
        <v>15465</v>
      </c>
      <c r="E531" s="138">
        <v>803.6</v>
      </c>
      <c r="F531" s="139">
        <v>42861</v>
      </c>
      <c r="G531" s="140">
        <v>803.6</v>
      </c>
      <c r="H531" s="138">
        <f t="shared" si="9"/>
        <v>0</v>
      </c>
      <c r="I531" s="141" t="s">
        <v>15214</v>
      </c>
    </row>
    <row r="532" spans="1:9" x14ac:dyDescent="0.25">
      <c r="A532" s="135">
        <v>42859</v>
      </c>
      <c r="B532" s="142" t="s">
        <v>15953</v>
      </c>
      <c r="C532" s="143">
        <v>110581</v>
      </c>
      <c r="D532" s="142" t="s">
        <v>15250</v>
      </c>
      <c r="E532" s="144">
        <v>30863</v>
      </c>
      <c r="F532" s="145">
        <v>42868</v>
      </c>
      <c r="G532" s="146">
        <v>30863</v>
      </c>
      <c r="H532" s="138">
        <f t="shared" si="9"/>
        <v>0</v>
      </c>
      <c r="I532" s="147" t="s">
        <v>15214</v>
      </c>
    </row>
    <row r="533" spans="1:9" x14ac:dyDescent="0.25">
      <c r="A533" s="135">
        <v>42859</v>
      </c>
      <c r="B533" s="136" t="s">
        <v>15954</v>
      </c>
      <c r="C533" s="137">
        <v>110582</v>
      </c>
      <c r="D533" s="136" t="s">
        <v>15624</v>
      </c>
      <c r="E533" s="138">
        <v>31020.5</v>
      </c>
      <c r="F533" s="139">
        <v>42859</v>
      </c>
      <c r="G533" s="140">
        <v>31020.5</v>
      </c>
      <c r="H533" s="138">
        <f t="shared" si="9"/>
        <v>0</v>
      </c>
      <c r="I533" s="141" t="s">
        <v>15214</v>
      </c>
    </row>
    <row r="534" spans="1:9" x14ac:dyDescent="0.25">
      <c r="A534" s="135">
        <v>42859</v>
      </c>
      <c r="B534" s="142" t="s">
        <v>15955</v>
      </c>
      <c r="C534" s="143">
        <v>110583</v>
      </c>
      <c r="D534" s="142" t="s">
        <v>15956</v>
      </c>
      <c r="E534" s="144">
        <v>1050</v>
      </c>
      <c r="F534" s="145">
        <v>42859</v>
      </c>
      <c r="G534" s="146">
        <v>1050</v>
      </c>
      <c r="H534" s="138">
        <f t="shared" si="9"/>
        <v>0</v>
      </c>
      <c r="I534" s="147" t="s">
        <v>15214</v>
      </c>
    </row>
    <row r="535" spans="1:9" x14ac:dyDescent="0.25">
      <c r="A535" s="135">
        <v>42859</v>
      </c>
      <c r="B535" s="136" t="s">
        <v>15957</v>
      </c>
      <c r="C535" s="137">
        <v>110584</v>
      </c>
      <c r="D535" s="136" t="s">
        <v>15956</v>
      </c>
      <c r="E535" s="138">
        <v>525</v>
      </c>
      <c r="F535" s="139">
        <v>42859</v>
      </c>
      <c r="G535" s="140">
        <v>525</v>
      </c>
      <c r="H535" s="138">
        <f t="shared" si="9"/>
        <v>0</v>
      </c>
      <c r="I535" s="141" t="s">
        <v>15214</v>
      </c>
    </row>
    <row r="536" spans="1:9" x14ac:dyDescent="0.25">
      <c r="A536" s="135">
        <v>42859</v>
      </c>
      <c r="B536" s="142" t="s">
        <v>15958</v>
      </c>
      <c r="C536" s="143">
        <v>110585</v>
      </c>
      <c r="D536" s="142" t="s">
        <v>15442</v>
      </c>
      <c r="E536" s="144">
        <v>23409.200000000001</v>
      </c>
      <c r="F536" s="145">
        <v>42867</v>
      </c>
      <c r="G536" s="146">
        <v>23409.200000000001</v>
      </c>
      <c r="H536" s="138">
        <f t="shared" si="9"/>
        <v>0</v>
      </c>
      <c r="I536" s="147" t="s">
        <v>15214</v>
      </c>
    </row>
    <row r="537" spans="1:9" x14ac:dyDescent="0.25">
      <c r="A537" s="135">
        <v>42859</v>
      </c>
      <c r="B537" s="136" t="s">
        <v>15959</v>
      </c>
      <c r="C537" s="137">
        <v>110586</v>
      </c>
      <c r="D537" s="136" t="s">
        <v>15462</v>
      </c>
      <c r="E537" s="138">
        <v>4415.3</v>
      </c>
      <c r="F537" s="139">
        <v>42861</v>
      </c>
      <c r="G537" s="140">
        <v>4415.3</v>
      </c>
      <c r="H537" s="138">
        <f t="shared" si="9"/>
        <v>0</v>
      </c>
      <c r="I537" s="141" t="s">
        <v>15214</v>
      </c>
    </row>
    <row r="538" spans="1:9" x14ac:dyDescent="0.25">
      <c r="A538" s="135">
        <v>42859</v>
      </c>
      <c r="B538" s="142" t="s">
        <v>15960</v>
      </c>
      <c r="C538" s="143">
        <v>110587</v>
      </c>
      <c r="D538" s="142" t="s">
        <v>15961</v>
      </c>
      <c r="E538" s="144">
        <v>4368.3999999999996</v>
      </c>
      <c r="F538" s="145">
        <v>42861</v>
      </c>
      <c r="G538" s="146">
        <v>4368.3999999999996</v>
      </c>
      <c r="H538" s="138">
        <f t="shared" si="9"/>
        <v>0</v>
      </c>
      <c r="I538" s="147" t="s">
        <v>15214</v>
      </c>
    </row>
    <row r="539" spans="1:9" x14ac:dyDescent="0.25">
      <c r="A539" s="135">
        <v>42859</v>
      </c>
      <c r="B539" s="136" t="s">
        <v>15962</v>
      </c>
      <c r="C539" s="137">
        <v>110588</v>
      </c>
      <c r="D539" s="136" t="s">
        <v>15289</v>
      </c>
      <c r="E539" s="138">
        <v>1616</v>
      </c>
      <c r="F539" s="139">
        <v>42859</v>
      </c>
      <c r="G539" s="140">
        <v>1616</v>
      </c>
      <c r="H539" s="138">
        <f t="shared" si="9"/>
        <v>0</v>
      </c>
      <c r="I539" s="141" t="s">
        <v>15214</v>
      </c>
    </row>
    <row r="540" spans="1:9" x14ac:dyDescent="0.25">
      <c r="A540" s="135">
        <v>42859</v>
      </c>
      <c r="B540" s="142" t="s">
        <v>15963</v>
      </c>
      <c r="C540" s="143">
        <v>110589</v>
      </c>
      <c r="D540" s="142" t="s">
        <v>15448</v>
      </c>
      <c r="E540" s="144">
        <v>49420.5</v>
      </c>
      <c r="F540" s="145">
        <v>42861</v>
      </c>
      <c r="G540" s="146">
        <v>49420.5</v>
      </c>
      <c r="H540" s="138">
        <f t="shared" si="9"/>
        <v>0</v>
      </c>
      <c r="I540" s="147" t="s">
        <v>15214</v>
      </c>
    </row>
    <row r="541" spans="1:9" x14ac:dyDescent="0.25">
      <c r="A541" s="135">
        <v>42859</v>
      </c>
      <c r="B541" s="136" t="s">
        <v>15964</v>
      </c>
      <c r="C541" s="137">
        <v>110590</v>
      </c>
      <c r="D541" s="136" t="s">
        <v>15961</v>
      </c>
      <c r="E541" s="138">
        <v>1976.9</v>
      </c>
      <c r="F541" s="139">
        <v>42861</v>
      </c>
      <c r="G541" s="140">
        <v>1976.9</v>
      </c>
      <c r="H541" s="138">
        <f t="shared" si="9"/>
        <v>0</v>
      </c>
      <c r="I541" s="141" t="s">
        <v>15214</v>
      </c>
    </row>
    <row r="542" spans="1:9" x14ac:dyDescent="0.25">
      <c r="A542" s="135">
        <v>42859</v>
      </c>
      <c r="B542" s="142" t="s">
        <v>15965</v>
      </c>
      <c r="C542" s="143">
        <v>110591</v>
      </c>
      <c r="D542" s="142" t="s">
        <v>15435</v>
      </c>
      <c r="E542" s="144">
        <v>8738</v>
      </c>
      <c r="F542" s="145">
        <v>42859</v>
      </c>
      <c r="G542" s="146">
        <v>8738</v>
      </c>
      <c r="H542" s="138">
        <f t="shared" si="9"/>
        <v>0</v>
      </c>
      <c r="I542" s="147" t="s">
        <v>15214</v>
      </c>
    </row>
    <row r="543" spans="1:9" x14ac:dyDescent="0.25">
      <c r="A543" s="135">
        <v>42859</v>
      </c>
      <c r="B543" s="136" t="s">
        <v>15966</v>
      </c>
      <c r="C543" s="137">
        <v>110592</v>
      </c>
      <c r="D543" s="136" t="s">
        <v>15642</v>
      </c>
      <c r="E543" s="138">
        <v>4092.3</v>
      </c>
      <c r="F543" s="139">
        <v>42860</v>
      </c>
      <c r="G543" s="140">
        <v>4092.3</v>
      </c>
      <c r="H543" s="138">
        <f t="shared" si="9"/>
        <v>0</v>
      </c>
      <c r="I543" s="141" t="s">
        <v>15214</v>
      </c>
    </row>
    <row r="544" spans="1:9" x14ac:dyDescent="0.25">
      <c r="A544" s="135">
        <v>42859</v>
      </c>
      <c r="B544" s="142" t="s">
        <v>15967</v>
      </c>
      <c r="C544" s="143">
        <v>110593</v>
      </c>
      <c r="D544" s="142" t="s">
        <v>15725</v>
      </c>
      <c r="E544" s="144">
        <v>22007.200000000001</v>
      </c>
      <c r="F544" s="145">
        <v>42863</v>
      </c>
      <c r="G544" s="146">
        <v>22007.200000000001</v>
      </c>
      <c r="H544" s="138">
        <f t="shared" si="9"/>
        <v>0</v>
      </c>
      <c r="I544" s="147" t="s">
        <v>15214</v>
      </c>
    </row>
    <row r="545" spans="1:9" x14ac:dyDescent="0.25">
      <c r="A545" s="135">
        <v>42859</v>
      </c>
      <c r="B545" s="136" t="s">
        <v>15968</v>
      </c>
      <c r="C545" s="137">
        <v>110594</v>
      </c>
      <c r="D545" s="136" t="s">
        <v>15376</v>
      </c>
      <c r="E545" s="138">
        <v>12817.6</v>
      </c>
      <c r="F545" s="139">
        <v>42860</v>
      </c>
      <c r="G545" s="140">
        <v>12817.6</v>
      </c>
      <c r="H545" s="138">
        <f t="shared" si="9"/>
        <v>0</v>
      </c>
      <c r="I545" s="141" t="s">
        <v>15214</v>
      </c>
    </row>
    <row r="546" spans="1:9" x14ac:dyDescent="0.25">
      <c r="A546" s="135">
        <v>42859</v>
      </c>
      <c r="B546" s="142" t="s">
        <v>15969</v>
      </c>
      <c r="C546" s="143">
        <v>110595</v>
      </c>
      <c r="D546" s="142" t="s">
        <v>15581</v>
      </c>
      <c r="E546" s="144">
        <v>12044.8</v>
      </c>
      <c r="F546" s="145">
        <v>42863</v>
      </c>
      <c r="G546" s="146">
        <v>12044.8</v>
      </c>
      <c r="H546" s="138">
        <f t="shared" si="9"/>
        <v>0</v>
      </c>
      <c r="I546" s="147" t="s">
        <v>15214</v>
      </c>
    </row>
    <row r="547" spans="1:9" x14ac:dyDescent="0.25">
      <c r="A547" s="135">
        <v>42859</v>
      </c>
      <c r="B547" s="136" t="s">
        <v>15970</v>
      </c>
      <c r="C547" s="137">
        <v>110596</v>
      </c>
      <c r="D547" s="136" t="s">
        <v>15267</v>
      </c>
      <c r="E547" s="138">
        <v>121536.74</v>
      </c>
      <c r="F547" s="157">
        <v>42892</v>
      </c>
      <c r="G547" s="158">
        <v>121536.74</v>
      </c>
      <c r="H547" s="138">
        <f t="shared" si="9"/>
        <v>0</v>
      </c>
      <c r="I547" s="141" t="s">
        <v>15214</v>
      </c>
    </row>
    <row r="548" spans="1:9" x14ac:dyDescent="0.25">
      <c r="A548" s="135">
        <v>42859</v>
      </c>
      <c r="B548" s="142" t="s">
        <v>15971</v>
      </c>
      <c r="C548" s="143">
        <v>110597</v>
      </c>
      <c r="D548" s="142" t="s">
        <v>15655</v>
      </c>
      <c r="E548" s="144">
        <v>122276.92</v>
      </c>
      <c r="F548" s="145">
        <v>42865</v>
      </c>
      <c r="G548" s="146">
        <v>122276.92</v>
      </c>
      <c r="H548" s="138">
        <f t="shared" si="9"/>
        <v>0</v>
      </c>
      <c r="I548" s="147" t="s">
        <v>15214</v>
      </c>
    </row>
    <row r="549" spans="1:9" x14ac:dyDescent="0.25">
      <c r="A549" s="135">
        <v>42859</v>
      </c>
      <c r="B549" s="136" t="s">
        <v>15972</v>
      </c>
      <c r="C549" s="137">
        <v>110598</v>
      </c>
      <c r="D549" s="136" t="s">
        <v>15246</v>
      </c>
      <c r="E549" s="138">
        <v>23142.400000000001</v>
      </c>
      <c r="F549" s="139">
        <v>42860</v>
      </c>
      <c r="G549" s="140">
        <v>23142.400000000001</v>
      </c>
      <c r="H549" s="138">
        <f t="shared" si="9"/>
        <v>0</v>
      </c>
      <c r="I549" s="141" t="s">
        <v>15214</v>
      </c>
    </row>
    <row r="550" spans="1:9" ht="15.75" x14ac:dyDescent="0.25">
      <c r="A550" s="135">
        <v>42859</v>
      </c>
      <c r="B550" s="142" t="s">
        <v>15973</v>
      </c>
      <c r="C550" s="143">
        <v>110599</v>
      </c>
      <c r="D550" s="142" t="s">
        <v>15315</v>
      </c>
      <c r="E550" s="144">
        <v>0</v>
      </c>
      <c r="F550" s="156" t="s">
        <v>95</v>
      </c>
      <c r="G550" s="144">
        <v>0</v>
      </c>
      <c r="H550" s="138">
        <f t="shared" si="9"/>
        <v>0</v>
      </c>
      <c r="I550" s="147" t="s">
        <v>95</v>
      </c>
    </row>
    <row r="551" spans="1:9" x14ac:dyDescent="0.25">
      <c r="A551" s="135">
        <v>42859</v>
      </c>
      <c r="B551" s="136" t="s">
        <v>15974</v>
      </c>
      <c r="C551" s="137">
        <v>110600</v>
      </c>
      <c r="D551" s="136" t="s">
        <v>15315</v>
      </c>
      <c r="E551" s="138">
        <v>2400</v>
      </c>
      <c r="F551" s="139">
        <v>42860</v>
      </c>
      <c r="G551" s="140">
        <v>2400</v>
      </c>
      <c r="H551" s="138">
        <f t="shared" si="9"/>
        <v>0</v>
      </c>
      <c r="I551" s="141" t="s">
        <v>15214</v>
      </c>
    </row>
    <row r="552" spans="1:9" ht="15.75" x14ac:dyDescent="0.25">
      <c r="A552" s="135">
        <v>42860</v>
      </c>
      <c r="B552" s="142" t="s">
        <v>15975</v>
      </c>
      <c r="C552" s="143">
        <v>110601</v>
      </c>
      <c r="D552" s="142" t="s">
        <v>15213</v>
      </c>
      <c r="E552" s="144">
        <v>0</v>
      </c>
      <c r="F552" s="156" t="s">
        <v>95</v>
      </c>
      <c r="G552" s="144">
        <v>0</v>
      </c>
      <c r="H552" s="138">
        <f t="shared" si="9"/>
        <v>0</v>
      </c>
      <c r="I552" s="147" t="s">
        <v>95</v>
      </c>
    </row>
    <row r="553" spans="1:9" x14ac:dyDescent="0.25">
      <c r="A553" s="135">
        <v>42860</v>
      </c>
      <c r="B553" s="136" t="s">
        <v>15976</v>
      </c>
      <c r="C553" s="137">
        <v>110602</v>
      </c>
      <c r="D553" s="136" t="s">
        <v>15213</v>
      </c>
      <c r="E553" s="138">
        <v>467.1</v>
      </c>
      <c r="F553" s="139">
        <v>42860</v>
      </c>
      <c r="G553" s="140">
        <v>467.1</v>
      </c>
      <c r="H553" s="138">
        <f t="shared" si="9"/>
        <v>0</v>
      </c>
      <c r="I553" s="141" t="s">
        <v>15214</v>
      </c>
    </row>
    <row r="554" spans="1:9" x14ac:dyDescent="0.25">
      <c r="A554" s="135">
        <v>42860</v>
      </c>
      <c r="B554" s="142" t="s">
        <v>15977</v>
      </c>
      <c r="C554" s="143">
        <v>110603</v>
      </c>
      <c r="D554" s="142" t="s">
        <v>15213</v>
      </c>
      <c r="E554" s="144">
        <v>9483.2000000000007</v>
      </c>
      <c r="F554" s="145">
        <v>42861</v>
      </c>
      <c r="G554" s="146">
        <v>9483.2000000000007</v>
      </c>
      <c r="H554" s="138">
        <f t="shared" si="9"/>
        <v>0</v>
      </c>
      <c r="I554" s="147" t="s">
        <v>15214</v>
      </c>
    </row>
    <row r="555" spans="1:9" x14ac:dyDescent="0.25">
      <c r="A555" s="135">
        <v>42860</v>
      </c>
      <c r="B555" s="136" t="s">
        <v>15978</v>
      </c>
      <c r="C555" s="137">
        <v>110604</v>
      </c>
      <c r="D555" s="136" t="s">
        <v>15330</v>
      </c>
      <c r="E555" s="138">
        <v>3633.8</v>
      </c>
      <c r="F555" s="139">
        <v>42860</v>
      </c>
      <c r="G555" s="140">
        <v>3633.8</v>
      </c>
      <c r="H555" s="138">
        <f t="shared" si="9"/>
        <v>0</v>
      </c>
      <c r="I555" s="141" t="s">
        <v>15214</v>
      </c>
    </row>
    <row r="556" spans="1:9" x14ac:dyDescent="0.25">
      <c r="A556" s="135">
        <v>42860</v>
      </c>
      <c r="B556" s="142" t="s">
        <v>15979</v>
      </c>
      <c r="C556" s="143">
        <v>110605</v>
      </c>
      <c r="D556" s="142" t="s">
        <v>15226</v>
      </c>
      <c r="E556" s="144">
        <v>2362.6</v>
      </c>
      <c r="F556" s="145">
        <v>42863</v>
      </c>
      <c r="G556" s="146">
        <v>2362.6</v>
      </c>
      <c r="H556" s="138">
        <f t="shared" si="9"/>
        <v>0</v>
      </c>
      <c r="I556" s="147" t="s">
        <v>15214</v>
      </c>
    </row>
    <row r="557" spans="1:9" x14ac:dyDescent="0.25">
      <c r="A557" s="135">
        <v>42860</v>
      </c>
      <c r="B557" s="136" t="s">
        <v>15980</v>
      </c>
      <c r="C557" s="137">
        <v>110606</v>
      </c>
      <c r="D557" s="136" t="s">
        <v>15213</v>
      </c>
      <c r="E557" s="138">
        <v>35939.199999999997</v>
      </c>
      <c r="F557" s="139" t="s">
        <v>15981</v>
      </c>
      <c r="G557" s="140">
        <f>480.15+35459.05</f>
        <v>35939.200000000004</v>
      </c>
      <c r="H557" s="144">
        <f t="shared" si="9"/>
        <v>0</v>
      </c>
      <c r="I557" s="141" t="s">
        <v>15214</v>
      </c>
    </row>
    <row r="558" spans="1:9" x14ac:dyDescent="0.25">
      <c r="A558" s="135">
        <v>42860</v>
      </c>
      <c r="B558" s="142" t="s">
        <v>15982</v>
      </c>
      <c r="C558" s="143">
        <v>110607</v>
      </c>
      <c r="D558" s="142" t="s">
        <v>15961</v>
      </c>
      <c r="E558" s="144">
        <v>3711.8</v>
      </c>
      <c r="F558" s="145">
        <v>42861</v>
      </c>
      <c r="G558" s="146">
        <v>3711.8</v>
      </c>
      <c r="H558" s="138">
        <f t="shared" si="9"/>
        <v>0</v>
      </c>
      <c r="I558" s="147" t="s">
        <v>15214</v>
      </c>
    </row>
    <row r="559" spans="1:9" x14ac:dyDescent="0.25">
      <c r="A559" s="135">
        <v>42860</v>
      </c>
      <c r="B559" s="136" t="s">
        <v>15983</v>
      </c>
      <c r="C559" s="137">
        <v>110608</v>
      </c>
      <c r="D559" s="136" t="s">
        <v>15216</v>
      </c>
      <c r="E559" s="138">
        <v>6547.6</v>
      </c>
      <c r="F559" s="139">
        <v>42860</v>
      </c>
      <c r="G559" s="140">
        <v>6547.6</v>
      </c>
      <c r="H559" s="138">
        <f t="shared" si="9"/>
        <v>0</v>
      </c>
      <c r="I559" s="141" t="s">
        <v>15214</v>
      </c>
    </row>
    <row r="560" spans="1:9" x14ac:dyDescent="0.25">
      <c r="A560" s="135">
        <v>42860</v>
      </c>
      <c r="B560" s="142" t="s">
        <v>15984</v>
      </c>
      <c r="C560" s="143">
        <v>110609</v>
      </c>
      <c r="D560" s="142" t="s">
        <v>15220</v>
      </c>
      <c r="E560" s="144">
        <v>2350</v>
      </c>
      <c r="F560" s="145">
        <v>42860</v>
      </c>
      <c r="G560" s="146">
        <v>2350</v>
      </c>
      <c r="H560" s="138">
        <f t="shared" si="9"/>
        <v>0</v>
      </c>
      <c r="I560" s="147" t="s">
        <v>15214</v>
      </c>
    </row>
    <row r="561" spans="1:9" x14ac:dyDescent="0.25">
      <c r="A561" s="135">
        <v>42860</v>
      </c>
      <c r="B561" s="136" t="s">
        <v>15985</v>
      </c>
      <c r="C561" s="137">
        <v>110610</v>
      </c>
      <c r="D561" s="136" t="s">
        <v>15324</v>
      </c>
      <c r="E561" s="138">
        <v>3972.5</v>
      </c>
      <c r="F561" s="139">
        <v>42860</v>
      </c>
      <c r="G561" s="140">
        <v>3972.5</v>
      </c>
      <c r="H561" s="138">
        <f t="shared" si="9"/>
        <v>0</v>
      </c>
      <c r="I561" s="141" t="s">
        <v>15214</v>
      </c>
    </row>
    <row r="562" spans="1:9" x14ac:dyDescent="0.25">
      <c r="A562" s="135">
        <v>42860</v>
      </c>
      <c r="B562" s="142" t="s">
        <v>15986</v>
      </c>
      <c r="C562" s="143">
        <v>110611</v>
      </c>
      <c r="D562" s="142" t="s">
        <v>15987</v>
      </c>
      <c r="E562" s="144">
        <v>9963.6</v>
      </c>
      <c r="F562" s="145">
        <v>42880</v>
      </c>
      <c r="G562" s="146">
        <v>9963.6</v>
      </c>
      <c r="H562" s="138">
        <f t="shared" si="9"/>
        <v>0</v>
      </c>
      <c r="I562" s="147" t="s">
        <v>15214</v>
      </c>
    </row>
    <row r="563" spans="1:9" x14ac:dyDescent="0.25">
      <c r="A563" s="135">
        <v>42860</v>
      </c>
      <c r="B563" s="136" t="s">
        <v>15988</v>
      </c>
      <c r="C563" s="137">
        <v>110612</v>
      </c>
      <c r="D563" s="136" t="s">
        <v>15230</v>
      </c>
      <c r="E563" s="138">
        <v>13669.1</v>
      </c>
      <c r="F563" s="139">
        <v>42863</v>
      </c>
      <c r="G563" s="140">
        <v>13669.1</v>
      </c>
      <c r="H563" s="138">
        <f t="shared" si="9"/>
        <v>0</v>
      </c>
      <c r="I563" s="141" t="s">
        <v>15214</v>
      </c>
    </row>
    <row r="564" spans="1:9" x14ac:dyDescent="0.25">
      <c r="A564" s="135">
        <v>42860</v>
      </c>
      <c r="B564" s="142" t="s">
        <v>15989</v>
      </c>
      <c r="C564" s="143">
        <v>110613</v>
      </c>
      <c r="D564" s="142" t="s">
        <v>15234</v>
      </c>
      <c r="E564" s="144">
        <v>3087.2</v>
      </c>
      <c r="F564" s="145">
        <v>42863</v>
      </c>
      <c r="G564" s="146">
        <v>3087.2</v>
      </c>
      <c r="H564" s="138">
        <f t="shared" si="9"/>
        <v>0</v>
      </c>
      <c r="I564" s="147" t="s">
        <v>15214</v>
      </c>
    </row>
    <row r="565" spans="1:9" x14ac:dyDescent="0.25">
      <c r="A565" s="135">
        <v>42860</v>
      </c>
      <c r="B565" s="136" t="s">
        <v>15990</v>
      </c>
      <c r="C565" s="137">
        <v>110614</v>
      </c>
      <c r="D565" s="136" t="s">
        <v>15365</v>
      </c>
      <c r="E565" s="138">
        <v>44489.25</v>
      </c>
      <c r="F565" s="139">
        <v>42863</v>
      </c>
      <c r="G565" s="140">
        <v>44489.25</v>
      </c>
      <c r="H565" s="138">
        <f t="shared" si="9"/>
        <v>0</v>
      </c>
      <c r="I565" s="141" t="s">
        <v>15214</v>
      </c>
    </row>
    <row r="566" spans="1:9" x14ac:dyDescent="0.25">
      <c r="A566" s="135">
        <v>42860</v>
      </c>
      <c r="B566" s="142" t="s">
        <v>15991</v>
      </c>
      <c r="C566" s="143">
        <v>110615</v>
      </c>
      <c r="D566" s="142" t="s">
        <v>15256</v>
      </c>
      <c r="E566" s="144">
        <v>3005.6</v>
      </c>
      <c r="F566" s="145">
        <v>42863</v>
      </c>
      <c r="G566" s="146">
        <v>3005.6</v>
      </c>
      <c r="H566" s="138">
        <f t="shared" si="9"/>
        <v>0</v>
      </c>
      <c r="I566" s="147" t="s">
        <v>15214</v>
      </c>
    </row>
    <row r="567" spans="1:9" x14ac:dyDescent="0.25">
      <c r="A567" s="135">
        <v>42860</v>
      </c>
      <c r="B567" s="136" t="s">
        <v>15992</v>
      </c>
      <c r="C567" s="137">
        <v>110616</v>
      </c>
      <c r="D567" s="136" t="s">
        <v>15232</v>
      </c>
      <c r="E567" s="138">
        <v>3413.6</v>
      </c>
      <c r="F567" s="139">
        <v>42867</v>
      </c>
      <c r="G567" s="140">
        <v>3413.6</v>
      </c>
      <c r="H567" s="138">
        <f t="shared" si="9"/>
        <v>0</v>
      </c>
      <c r="I567" s="141" t="s">
        <v>15214</v>
      </c>
    </row>
    <row r="568" spans="1:9" x14ac:dyDescent="0.25">
      <c r="A568" s="135">
        <v>42860</v>
      </c>
      <c r="B568" s="142" t="s">
        <v>15993</v>
      </c>
      <c r="C568" s="143">
        <v>110617</v>
      </c>
      <c r="D568" s="142" t="s">
        <v>5575</v>
      </c>
      <c r="E568" s="144">
        <v>3444</v>
      </c>
      <c r="F568" s="145">
        <v>42866</v>
      </c>
      <c r="G568" s="146">
        <v>3444</v>
      </c>
      <c r="H568" s="138">
        <f t="shared" si="9"/>
        <v>0</v>
      </c>
      <c r="I568" s="147" t="s">
        <v>15214</v>
      </c>
    </row>
    <row r="569" spans="1:9" x14ac:dyDescent="0.25">
      <c r="A569" s="135">
        <v>42860</v>
      </c>
      <c r="B569" s="136" t="s">
        <v>15994</v>
      </c>
      <c r="C569" s="137">
        <v>110618</v>
      </c>
      <c r="D569" s="136" t="s">
        <v>15480</v>
      </c>
      <c r="E569" s="138">
        <v>4370</v>
      </c>
      <c r="F569" s="139" t="s">
        <v>15995</v>
      </c>
      <c r="G569" s="140">
        <f>2200+2170</f>
        <v>4370</v>
      </c>
      <c r="H569" s="138">
        <f t="shared" si="9"/>
        <v>0</v>
      </c>
      <c r="I569" s="141" t="s">
        <v>15214</v>
      </c>
    </row>
    <row r="570" spans="1:9" x14ac:dyDescent="0.25">
      <c r="A570" s="135">
        <v>42860</v>
      </c>
      <c r="B570" s="142" t="s">
        <v>15996</v>
      </c>
      <c r="C570" s="143">
        <v>110619</v>
      </c>
      <c r="D570" s="142" t="s">
        <v>15541</v>
      </c>
      <c r="E570" s="144">
        <v>2350</v>
      </c>
      <c r="F570" s="145">
        <v>42860</v>
      </c>
      <c r="G570" s="146">
        <v>2350</v>
      </c>
      <c r="H570" s="138">
        <f t="shared" si="9"/>
        <v>0</v>
      </c>
      <c r="I570" s="147" t="s">
        <v>15214</v>
      </c>
    </row>
    <row r="571" spans="1:9" x14ac:dyDescent="0.25">
      <c r="A571" s="135">
        <v>42860</v>
      </c>
      <c r="B571" s="136" t="s">
        <v>15997</v>
      </c>
      <c r="C571" s="137">
        <v>110620</v>
      </c>
      <c r="D571" s="136" t="s">
        <v>15240</v>
      </c>
      <c r="E571" s="138">
        <v>3001.4</v>
      </c>
      <c r="F571" s="139">
        <v>42861</v>
      </c>
      <c r="G571" s="140">
        <v>3001.4</v>
      </c>
      <c r="H571" s="138">
        <f t="shared" si="9"/>
        <v>0</v>
      </c>
      <c r="I571" s="141" t="s">
        <v>15214</v>
      </c>
    </row>
    <row r="572" spans="1:9" x14ac:dyDescent="0.25">
      <c r="A572" s="135">
        <v>42860</v>
      </c>
      <c r="B572" s="142" t="s">
        <v>15998</v>
      </c>
      <c r="C572" s="143">
        <v>110621</v>
      </c>
      <c r="D572" s="142" t="s">
        <v>15348</v>
      </c>
      <c r="E572" s="144">
        <v>588</v>
      </c>
      <c r="F572" s="145">
        <v>42860</v>
      </c>
      <c r="G572" s="146">
        <v>588</v>
      </c>
      <c r="H572" s="138">
        <f t="shared" si="9"/>
        <v>0</v>
      </c>
      <c r="I572" s="147" t="s">
        <v>15214</v>
      </c>
    </row>
    <row r="573" spans="1:9" ht="15.75" x14ac:dyDescent="0.25">
      <c r="A573" s="135">
        <v>42860</v>
      </c>
      <c r="B573" s="136" t="s">
        <v>15999</v>
      </c>
      <c r="C573" s="137">
        <v>110622</v>
      </c>
      <c r="D573" s="136" t="s">
        <v>15315</v>
      </c>
      <c r="E573" s="138">
        <v>0</v>
      </c>
      <c r="F573" s="153" t="s">
        <v>95</v>
      </c>
      <c r="G573" s="138">
        <v>0</v>
      </c>
      <c r="H573" s="138">
        <f t="shared" si="9"/>
        <v>0</v>
      </c>
      <c r="I573" s="141" t="s">
        <v>95</v>
      </c>
    </row>
    <row r="574" spans="1:9" x14ac:dyDescent="0.25">
      <c r="A574" s="135">
        <v>42860</v>
      </c>
      <c r="B574" s="142" t="s">
        <v>16000</v>
      </c>
      <c r="C574" s="143">
        <v>110623</v>
      </c>
      <c r="D574" s="142" t="s">
        <v>15315</v>
      </c>
      <c r="E574" s="144">
        <v>3959.7</v>
      </c>
      <c r="F574" s="145">
        <v>42860</v>
      </c>
      <c r="G574" s="146">
        <v>3959.7</v>
      </c>
      <c r="H574" s="138">
        <f t="shared" si="9"/>
        <v>0</v>
      </c>
      <c r="I574" s="147" t="s">
        <v>15214</v>
      </c>
    </row>
    <row r="575" spans="1:9" x14ac:dyDescent="0.25">
      <c r="A575" s="135">
        <v>42860</v>
      </c>
      <c r="B575" s="136" t="s">
        <v>16001</v>
      </c>
      <c r="C575" s="137">
        <v>110624</v>
      </c>
      <c r="D575" s="136" t="s">
        <v>15256</v>
      </c>
      <c r="E575" s="138">
        <v>5608.2</v>
      </c>
      <c r="F575" s="139">
        <v>42861</v>
      </c>
      <c r="G575" s="140">
        <v>5608.2</v>
      </c>
      <c r="H575" s="138">
        <f t="shared" si="9"/>
        <v>0</v>
      </c>
      <c r="I575" s="141" t="s">
        <v>15214</v>
      </c>
    </row>
    <row r="576" spans="1:9" x14ac:dyDescent="0.25">
      <c r="A576" s="135">
        <v>42860</v>
      </c>
      <c r="B576" s="142" t="s">
        <v>16002</v>
      </c>
      <c r="C576" s="143">
        <v>110625</v>
      </c>
      <c r="D576" s="142" t="s">
        <v>15332</v>
      </c>
      <c r="E576" s="144">
        <v>2599.1</v>
      </c>
      <c r="F576" s="145">
        <v>42860</v>
      </c>
      <c r="G576" s="146">
        <v>2599.1</v>
      </c>
      <c r="H576" s="138">
        <f t="shared" si="9"/>
        <v>0</v>
      </c>
      <c r="I576" s="147" t="s">
        <v>15214</v>
      </c>
    </row>
    <row r="577" spans="1:9" x14ac:dyDescent="0.25">
      <c r="A577" s="135">
        <v>42860</v>
      </c>
      <c r="B577" s="136" t="s">
        <v>16003</v>
      </c>
      <c r="C577" s="137">
        <v>110626</v>
      </c>
      <c r="D577" s="136" t="s">
        <v>15258</v>
      </c>
      <c r="E577" s="138">
        <v>12770.4</v>
      </c>
      <c r="F577" s="139">
        <v>42863</v>
      </c>
      <c r="G577" s="140">
        <v>12770.4</v>
      </c>
      <c r="H577" s="138">
        <f t="shared" si="9"/>
        <v>0</v>
      </c>
      <c r="I577" s="141" t="s">
        <v>15214</v>
      </c>
    </row>
    <row r="578" spans="1:9" x14ac:dyDescent="0.25">
      <c r="A578" s="135">
        <v>42860</v>
      </c>
      <c r="B578" s="142" t="s">
        <v>16004</v>
      </c>
      <c r="C578" s="143">
        <v>110627</v>
      </c>
      <c r="D578" s="142" t="s">
        <v>15252</v>
      </c>
      <c r="E578" s="144">
        <v>2177</v>
      </c>
      <c r="F578" s="145">
        <v>42864</v>
      </c>
      <c r="G578" s="146">
        <v>2177</v>
      </c>
      <c r="H578" s="138">
        <f t="shared" si="9"/>
        <v>0</v>
      </c>
      <c r="I578" s="147" t="s">
        <v>15214</v>
      </c>
    </row>
    <row r="579" spans="1:9" x14ac:dyDescent="0.25">
      <c r="A579" s="135">
        <v>42860</v>
      </c>
      <c r="B579" s="136" t="s">
        <v>16005</v>
      </c>
      <c r="C579" s="137">
        <v>110628</v>
      </c>
      <c r="D579" s="136" t="s">
        <v>15315</v>
      </c>
      <c r="E579" s="138">
        <v>391.2</v>
      </c>
      <c r="F579" s="139">
        <v>42860</v>
      </c>
      <c r="G579" s="140">
        <v>391.2</v>
      </c>
      <c r="H579" s="138">
        <f t="shared" si="9"/>
        <v>0</v>
      </c>
      <c r="I579" s="141" t="s">
        <v>15214</v>
      </c>
    </row>
    <row r="580" spans="1:9" x14ac:dyDescent="0.25">
      <c r="A580" s="135">
        <v>42860</v>
      </c>
      <c r="B580" s="142" t="s">
        <v>16006</v>
      </c>
      <c r="C580" s="143">
        <v>110629</v>
      </c>
      <c r="D580" s="142" t="s">
        <v>15228</v>
      </c>
      <c r="E580" s="144">
        <v>7264.8</v>
      </c>
      <c r="F580" s="145">
        <v>42860</v>
      </c>
      <c r="G580" s="146">
        <v>7264.8</v>
      </c>
      <c r="H580" s="138">
        <f t="shared" ref="H580:H643" si="10">E580-G580</f>
        <v>0</v>
      </c>
      <c r="I580" s="147" t="s">
        <v>15214</v>
      </c>
    </row>
    <row r="581" spans="1:9" x14ac:dyDescent="0.25">
      <c r="A581" s="135">
        <v>42860</v>
      </c>
      <c r="B581" s="136" t="s">
        <v>16007</v>
      </c>
      <c r="C581" s="137">
        <v>110630</v>
      </c>
      <c r="D581" s="136" t="s">
        <v>15272</v>
      </c>
      <c r="E581" s="138">
        <v>7796.1</v>
      </c>
      <c r="F581" s="139">
        <v>42860</v>
      </c>
      <c r="G581" s="140">
        <v>7796.1</v>
      </c>
      <c r="H581" s="138">
        <f t="shared" si="10"/>
        <v>0</v>
      </c>
      <c r="I581" s="141" t="s">
        <v>15214</v>
      </c>
    </row>
    <row r="582" spans="1:9" x14ac:dyDescent="0.25">
      <c r="A582" s="135">
        <v>42860</v>
      </c>
      <c r="B582" s="142" t="s">
        <v>16008</v>
      </c>
      <c r="C582" s="143">
        <v>110631</v>
      </c>
      <c r="D582" s="142" t="s">
        <v>15668</v>
      </c>
      <c r="E582" s="144">
        <v>23520</v>
      </c>
      <c r="F582" s="145">
        <v>42860</v>
      </c>
      <c r="G582" s="146">
        <v>23520</v>
      </c>
      <c r="H582" s="138">
        <f t="shared" si="10"/>
        <v>0</v>
      </c>
      <c r="I582" s="147" t="s">
        <v>15214</v>
      </c>
    </row>
    <row r="583" spans="1:9" x14ac:dyDescent="0.25">
      <c r="A583" s="135">
        <v>42860</v>
      </c>
      <c r="B583" s="136" t="s">
        <v>16009</v>
      </c>
      <c r="C583" s="137">
        <v>110632</v>
      </c>
      <c r="D583" s="136" t="s">
        <v>15236</v>
      </c>
      <c r="E583" s="138">
        <v>6460</v>
      </c>
      <c r="F583" s="139">
        <v>42863</v>
      </c>
      <c r="G583" s="140">
        <v>6460</v>
      </c>
      <c r="H583" s="138">
        <f t="shared" si="10"/>
        <v>0</v>
      </c>
      <c r="I583" s="141" t="s">
        <v>15214</v>
      </c>
    </row>
    <row r="584" spans="1:9" x14ac:dyDescent="0.25">
      <c r="A584" s="135">
        <v>42860</v>
      </c>
      <c r="B584" s="142" t="s">
        <v>16010</v>
      </c>
      <c r="C584" s="143">
        <v>110633</v>
      </c>
      <c r="D584" s="142" t="s">
        <v>15238</v>
      </c>
      <c r="E584" s="144">
        <v>4064.4</v>
      </c>
      <c r="F584" s="145">
        <v>42863</v>
      </c>
      <c r="G584" s="146">
        <v>4064.4</v>
      </c>
      <c r="H584" s="138">
        <f t="shared" si="10"/>
        <v>0</v>
      </c>
      <c r="I584" s="147" t="s">
        <v>15214</v>
      </c>
    </row>
    <row r="585" spans="1:9" x14ac:dyDescent="0.25">
      <c r="A585" s="135">
        <v>42860</v>
      </c>
      <c r="B585" s="136" t="s">
        <v>16011</v>
      </c>
      <c r="C585" s="137">
        <v>110634</v>
      </c>
      <c r="D585" s="136" t="s">
        <v>15244</v>
      </c>
      <c r="E585" s="138">
        <v>12746</v>
      </c>
      <c r="F585" s="139">
        <v>42863</v>
      </c>
      <c r="G585" s="140">
        <v>12746</v>
      </c>
      <c r="H585" s="138">
        <f t="shared" si="10"/>
        <v>0</v>
      </c>
      <c r="I585" s="141" t="s">
        <v>15214</v>
      </c>
    </row>
    <row r="586" spans="1:9" x14ac:dyDescent="0.25">
      <c r="A586" s="135">
        <v>42860</v>
      </c>
      <c r="B586" s="142" t="s">
        <v>16012</v>
      </c>
      <c r="C586" s="143">
        <v>110635</v>
      </c>
      <c r="D586" s="142" t="s">
        <v>15549</v>
      </c>
      <c r="E586" s="144">
        <v>6315.8</v>
      </c>
      <c r="F586" s="145">
        <v>42860</v>
      </c>
      <c r="G586" s="146">
        <v>6315.8</v>
      </c>
      <c r="H586" s="138">
        <f t="shared" si="10"/>
        <v>0</v>
      </c>
      <c r="I586" s="147" t="s">
        <v>15214</v>
      </c>
    </row>
    <row r="587" spans="1:9" x14ac:dyDescent="0.25">
      <c r="A587" s="135">
        <v>42860</v>
      </c>
      <c r="B587" s="136" t="s">
        <v>16013</v>
      </c>
      <c r="C587" s="137">
        <v>110636</v>
      </c>
      <c r="D587" s="136" t="s">
        <v>15248</v>
      </c>
      <c r="E587" s="138">
        <v>9095.4</v>
      </c>
      <c r="F587" s="139">
        <v>42860</v>
      </c>
      <c r="G587" s="140">
        <v>9095.4</v>
      </c>
      <c r="H587" s="138">
        <f t="shared" si="10"/>
        <v>0</v>
      </c>
      <c r="I587" s="141" t="s">
        <v>15214</v>
      </c>
    </row>
    <row r="588" spans="1:9" x14ac:dyDescent="0.25">
      <c r="A588" s="135">
        <v>42860</v>
      </c>
      <c r="B588" s="142" t="s">
        <v>16014</v>
      </c>
      <c r="C588" s="143">
        <v>110637</v>
      </c>
      <c r="D588" s="142" t="s">
        <v>15256</v>
      </c>
      <c r="E588" s="144">
        <v>638</v>
      </c>
      <c r="F588" s="145">
        <v>42861</v>
      </c>
      <c r="G588" s="146">
        <v>638</v>
      </c>
      <c r="H588" s="138">
        <f t="shared" si="10"/>
        <v>0</v>
      </c>
      <c r="I588" s="147" t="s">
        <v>15214</v>
      </c>
    </row>
    <row r="589" spans="1:9" x14ac:dyDescent="0.25">
      <c r="A589" s="135">
        <v>42860</v>
      </c>
      <c r="B589" s="136" t="s">
        <v>16015</v>
      </c>
      <c r="C589" s="137">
        <v>110638</v>
      </c>
      <c r="D589" s="136" t="s">
        <v>15242</v>
      </c>
      <c r="E589" s="138">
        <v>4813.6000000000004</v>
      </c>
      <c r="F589" s="139">
        <v>42861</v>
      </c>
      <c r="G589" s="140">
        <v>4813.6000000000004</v>
      </c>
      <c r="H589" s="138">
        <f t="shared" si="10"/>
        <v>0</v>
      </c>
      <c r="I589" s="141" t="s">
        <v>15214</v>
      </c>
    </row>
    <row r="590" spans="1:9" x14ac:dyDescent="0.25">
      <c r="A590" s="135">
        <v>42860</v>
      </c>
      <c r="B590" s="142" t="s">
        <v>16016</v>
      </c>
      <c r="C590" s="143">
        <v>110639</v>
      </c>
      <c r="D590" s="142" t="s">
        <v>15238</v>
      </c>
      <c r="E590" s="144">
        <v>1119.5999999999999</v>
      </c>
      <c r="F590" s="145">
        <v>42863</v>
      </c>
      <c r="G590" s="146">
        <v>1119.5999999999999</v>
      </c>
      <c r="H590" s="138">
        <f t="shared" si="10"/>
        <v>0</v>
      </c>
      <c r="I590" s="147" t="s">
        <v>15214</v>
      </c>
    </row>
    <row r="591" spans="1:9" x14ac:dyDescent="0.25">
      <c r="A591" s="135">
        <v>42860</v>
      </c>
      <c r="B591" s="136" t="s">
        <v>16017</v>
      </c>
      <c r="C591" s="137">
        <v>110640</v>
      </c>
      <c r="D591" s="136" t="s">
        <v>15263</v>
      </c>
      <c r="E591" s="138">
        <v>3923.4</v>
      </c>
      <c r="F591" s="139">
        <v>42860</v>
      </c>
      <c r="G591" s="140">
        <v>3923.4</v>
      </c>
      <c r="H591" s="138">
        <f t="shared" si="10"/>
        <v>0</v>
      </c>
      <c r="I591" s="141" t="s">
        <v>15214</v>
      </c>
    </row>
    <row r="592" spans="1:9" x14ac:dyDescent="0.25">
      <c r="A592" s="135">
        <v>42860</v>
      </c>
      <c r="B592" s="142" t="s">
        <v>16018</v>
      </c>
      <c r="C592" s="143">
        <v>110641</v>
      </c>
      <c r="D592" s="142" t="s">
        <v>15294</v>
      </c>
      <c r="E592" s="144">
        <v>4134.3999999999996</v>
      </c>
      <c r="F592" s="145">
        <v>42860</v>
      </c>
      <c r="G592" s="146">
        <v>4134.3999999999996</v>
      </c>
      <c r="H592" s="138">
        <f t="shared" si="10"/>
        <v>0</v>
      </c>
      <c r="I592" s="147" t="s">
        <v>15214</v>
      </c>
    </row>
    <row r="593" spans="1:9" x14ac:dyDescent="0.25">
      <c r="A593" s="135">
        <v>42860</v>
      </c>
      <c r="B593" s="136" t="s">
        <v>16019</v>
      </c>
      <c r="C593" s="137">
        <v>110642</v>
      </c>
      <c r="D593" s="136" t="s">
        <v>15223</v>
      </c>
      <c r="E593" s="138">
        <v>44387.199999999997</v>
      </c>
      <c r="F593" s="139" t="s">
        <v>16020</v>
      </c>
      <c r="G593" s="140">
        <f>27317+17070.2</f>
        <v>44387.199999999997</v>
      </c>
      <c r="H593" s="138">
        <f t="shared" si="10"/>
        <v>0</v>
      </c>
      <c r="I593" s="141" t="s">
        <v>15214</v>
      </c>
    </row>
    <row r="594" spans="1:9" x14ac:dyDescent="0.25">
      <c r="A594" s="135">
        <v>42860</v>
      </c>
      <c r="B594" s="142" t="s">
        <v>16021</v>
      </c>
      <c r="C594" s="143">
        <v>110643</v>
      </c>
      <c r="D594" s="142" t="s">
        <v>15248</v>
      </c>
      <c r="E594" s="144">
        <v>4712.3999999999996</v>
      </c>
      <c r="F594" s="145">
        <v>42860</v>
      </c>
      <c r="G594" s="146">
        <v>4712.3999999999996</v>
      </c>
      <c r="H594" s="138">
        <f t="shared" si="10"/>
        <v>0</v>
      </c>
      <c r="I594" s="147" t="s">
        <v>15214</v>
      </c>
    </row>
    <row r="595" spans="1:9" x14ac:dyDescent="0.25">
      <c r="A595" s="135">
        <v>42860</v>
      </c>
      <c r="B595" s="136" t="s">
        <v>16022</v>
      </c>
      <c r="C595" s="137">
        <v>110644</v>
      </c>
      <c r="D595" s="136" t="s">
        <v>16023</v>
      </c>
      <c r="E595" s="138">
        <v>2377.1999999999998</v>
      </c>
      <c r="F595" s="139">
        <v>42860</v>
      </c>
      <c r="G595" s="140">
        <v>2377.1999999999998</v>
      </c>
      <c r="H595" s="138">
        <f t="shared" si="10"/>
        <v>0</v>
      </c>
      <c r="I595" s="141" t="s">
        <v>15214</v>
      </c>
    </row>
    <row r="596" spans="1:9" x14ac:dyDescent="0.25">
      <c r="A596" s="135">
        <v>42860</v>
      </c>
      <c r="B596" s="142" t="s">
        <v>16024</v>
      </c>
      <c r="C596" s="143">
        <v>110645</v>
      </c>
      <c r="D596" s="142" t="s">
        <v>15250</v>
      </c>
      <c r="E596" s="144">
        <v>34740.35</v>
      </c>
      <c r="F596" s="145">
        <v>42868</v>
      </c>
      <c r="G596" s="146">
        <v>34740.35</v>
      </c>
      <c r="H596" s="138">
        <f t="shared" si="10"/>
        <v>0</v>
      </c>
      <c r="I596" s="147" t="s">
        <v>15214</v>
      </c>
    </row>
    <row r="597" spans="1:9" x14ac:dyDescent="0.25">
      <c r="A597" s="135">
        <v>42860</v>
      </c>
      <c r="B597" s="136" t="s">
        <v>16025</v>
      </c>
      <c r="C597" s="137">
        <v>110646</v>
      </c>
      <c r="D597" s="136" t="s">
        <v>15280</v>
      </c>
      <c r="E597" s="138">
        <v>5313</v>
      </c>
      <c r="F597" s="139">
        <v>42860</v>
      </c>
      <c r="G597" s="140">
        <v>5313</v>
      </c>
      <c r="H597" s="138">
        <f t="shared" si="10"/>
        <v>0</v>
      </c>
      <c r="I597" s="141" t="s">
        <v>15214</v>
      </c>
    </row>
    <row r="598" spans="1:9" x14ac:dyDescent="0.25">
      <c r="A598" s="135">
        <v>42860</v>
      </c>
      <c r="B598" s="142" t="s">
        <v>16026</v>
      </c>
      <c r="C598" s="143">
        <v>110647</v>
      </c>
      <c r="D598" s="142" t="s">
        <v>15282</v>
      </c>
      <c r="E598" s="144">
        <v>1231.8</v>
      </c>
      <c r="F598" s="145">
        <v>42860</v>
      </c>
      <c r="G598" s="146">
        <v>1231.8</v>
      </c>
      <c r="H598" s="138">
        <f t="shared" si="10"/>
        <v>0</v>
      </c>
      <c r="I598" s="147" t="s">
        <v>15214</v>
      </c>
    </row>
    <row r="599" spans="1:9" x14ac:dyDescent="0.25">
      <c r="A599" s="135">
        <v>42860</v>
      </c>
      <c r="B599" s="136" t="s">
        <v>16027</v>
      </c>
      <c r="C599" s="137">
        <v>110648</v>
      </c>
      <c r="D599" s="136" t="s">
        <v>15246</v>
      </c>
      <c r="E599" s="138">
        <v>125206.2</v>
      </c>
      <c r="F599" s="139" t="s">
        <v>16028</v>
      </c>
      <c r="G599" s="140">
        <f>8591.15+116615.05</f>
        <v>125206.2</v>
      </c>
      <c r="H599" s="138">
        <f t="shared" si="10"/>
        <v>0</v>
      </c>
      <c r="I599" s="141" t="s">
        <v>15214</v>
      </c>
    </row>
    <row r="600" spans="1:9" x14ac:dyDescent="0.25">
      <c r="A600" s="135">
        <v>42860</v>
      </c>
      <c r="B600" s="142" t="s">
        <v>16029</v>
      </c>
      <c r="C600" s="143">
        <v>110649</v>
      </c>
      <c r="D600" s="142" t="s">
        <v>15371</v>
      </c>
      <c r="E600" s="144">
        <v>2561</v>
      </c>
      <c r="F600" s="145">
        <v>42861</v>
      </c>
      <c r="G600" s="146">
        <v>2561</v>
      </c>
      <c r="H600" s="138">
        <f t="shared" si="10"/>
        <v>0</v>
      </c>
      <c r="I600" s="147" t="s">
        <v>15214</v>
      </c>
    </row>
    <row r="601" spans="1:9" x14ac:dyDescent="0.25">
      <c r="A601" s="135">
        <v>42860</v>
      </c>
      <c r="B601" s="136" t="s">
        <v>16030</v>
      </c>
      <c r="C601" s="137">
        <v>110650</v>
      </c>
      <c r="D601" s="136" t="s">
        <v>16031</v>
      </c>
      <c r="E601" s="138">
        <v>2023.8</v>
      </c>
      <c r="F601" s="139">
        <v>42860</v>
      </c>
      <c r="G601" s="140">
        <v>2023.8</v>
      </c>
      <c r="H601" s="138">
        <f t="shared" si="10"/>
        <v>0</v>
      </c>
      <c r="I601" s="141" t="s">
        <v>15214</v>
      </c>
    </row>
    <row r="602" spans="1:9" x14ac:dyDescent="0.25">
      <c r="A602" s="135">
        <v>42860</v>
      </c>
      <c r="B602" s="142" t="s">
        <v>16032</v>
      </c>
      <c r="C602" s="143">
        <v>110651</v>
      </c>
      <c r="D602" s="142" t="s">
        <v>15315</v>
      </c>
      <c r="E602" s="144">
        <v>2990</v>
      </c>
      <c r="F602" s="145">
        <v>42860</v>
      </c>
      <c r="G602" s="146">
        <v>2990</v>
      </c>
      <c r="H602" s="138">
        <f t="shared" si="10"/>
        <v>0</v>
      </c>
      <c r="I602" s="147" t="s">
        <v>15214</v>
      </c>
    </row>
    <row r="603" spans="1:9" x14ac:dyDescent="0.25">
      <c r="A603" s="135">
        <v>42860</v>
      </c>
      <c r="B603" s="136" t="s">
        <v>16033</v>
      </c>
      <c r="C603" s="137">
        <v>110652</v>
      </c>
      <c r="D603" s="136" t="s">
        <v>15315</v>
      </c>
      <c r="E603" s="138">
        <v>1844.6</v>
      </c>
      <c r="F603" s="139">
        <v>42860</v>
      </c>
      <c r="G603" s="140">
        <v>1844.6</v>
      </c>
      <c r="H603" s="138">
        <f t="shared" si="10"/>
        <v>0</v>
      </c>
      <c r="I603" s="141" t="s">
        <v>15214</v>
      </c>
    </row>
    <row r="604" spans="1:9" x14ac:dyDescent="0.25">
      <c r="A604" s="135">
        <v>42860</v>
      </c>
      <c r="B604" s="142" t="s">
        <v>16034</v>
      </c>
      <c r="C604" s="143">
        <v>110653</v>
      </c>
      <c r="D604" s="142" t="s">
        <v>15278</v>
      </c>
      <c r="E604" s="144">
        <v>7982.9</v>
      </c>
      <c r="F604" s="145">
        <v>42860</v>
      </c>
      <c r="G604" s="146">
        <v>7982.9</v>
      </c>
      <c r="H604" s="138">
        <f t="shared" si="10"/>
        <v>0</v>
      </c>
      <c r="I604" s="147" t="s">
        <v>15214</v>
      </c>
    </row>
    <row r="605" spans="1:9" x14ac:dyDescent="0.25">
      <c r="A605" s="135">
        <v>42860</v>
      </c>
      <c r="B605" s="136" t="s">
        <v>16035</v>
      </c>
      <c r="C605" s="137">
        <v>110654</v>
      </c>
      <c r="D605" s="136" t="s">
        <v>15284</v>
      </c>
      <c r="E605" s="138">
        <v>1503.6</v>
      </c>
      <c r="F605" s="139">
        <v>42860</v>
      </c>
      <c r="G605" s="140">
        <v>1503.6</v>
      </c>
      <c r="H605" s="138">
        <f t="shared" si="10"/>
        <v>0</v>
      </c>
      <c r="I605" s="141" t="s">
        <v>15214</v>
      </c>
    </row>
    <row r="606" spans="1:9" x14ac:dyDescent="0.25">
      <c r="A606" s="135">
        <v>42860</v>
      </c>
      <c r="B606" s="142" t="s">
        <v>16036</v>
      </c>
      <c r="C606" s="143">
        <v>110655</v>
      </c>
      <c r="D606" s="142" t="s">
        <v>15537</v>
      </c>
      <c r="E606" s="144">
        <v>14021.6</v>
      </c>
      <c r="F606" s="145">
        <v>42865</v>
      </c>
      <c r="G606" s="146">
        <v>14021.6</v>
      </c>
      <c r="H606" s="138">
        <f t="shared" si="10"/>
        <v>0</v>
      </c>
      <c r="I606" s="147" t="s">
        <v>15214</v>
      </c>
    </row>
    <row r="607" spans="1:9" x14ac:dyDescent="0.25">
      <c r="A607" s="135">
        <v>42860</v>
      </c>
      <c r="B607" s="136" t="s">
        <v>16037</v>
      </c>
      <c r="C607" s="137">
        <v>110656</v>
      </c>
      <c r="D607" s="136" t="s">
        <v>15655</v>
      </c>
      <c r="E607" s="138">
        <v>5226</v>
      </c>
      <c r="F607" s="139">
        <v>42860</v>
      </c>
      <c r="G607" s="140">
        <v>5226</v>
      </c>
      <c r="H607" s="138">
        <f t="shared" si="10"/>
        <v>0</v>
      </c>
      <c r="I607" s="141" t="s">
        <v>15214</v>
      </c>
    </row>
    <row r="608" spans="1:9" x14ac:dyDescent="0.25">
      <c r="A608" s="135">
        <v>42860</v>
      </c>
      <c r="B608" s="142" t="s">
        <v>16038</v>
      </c>
      <c r="C608" s="143">
        <v>110657</v>
      </c>
      <c r="D608" s="142" t="s">
        <v>15539</v>
      </c>
      <c r="E608" s="144">
        <v>14640.4</v>
      </c>
      <c r="F608" s="145">
        <v>42865</v>
      </c>
      <c r="G608" s="146">
        <v>14640.4</v>
      </c>
      <c r="H608" s="138">
        <f t="shared" si="10"/>
        <v>0</v>
      </c>
      <c r="I608" s="147" t="s">
        <v>15214</v>
      </c>
    </row>
    <row r="609" spans="1:9" x14ac:dyDescent="0.25">
      <c r="A609" s="135">
        <v>42860</v>
      </c>
      <c r="B609" s="136" t="s">
        <v>16039</v>
      </c>
      <c r="C609" s="137">
        <v>110658</v>
      </c>
      <c r="D609" s="136" t="s">
        <v>16040</v>
      </c>
      <c r="E609" s="138">
        <v>15431.5</v>
      </c>
      <c r="F609" s="139">
        <v>42865</v>
      </c>
      <c r="G609" s="140">
        <v>15431.5</v>
      </c>
      <c r="H609" s="138">
        <f t="shared" si="10"/>
        <v>0</v>
      </c>
      <c r="I609" s="141" t="s">
        <v>15214</v>
      </c>
    </row>
    <row r="610" spans="1:9" x14ac:dyDescent="0.25">
      <c r="A610" s="135">
        <v>42860</v>
      </c>
      <c r="B610" s="142" t="s">
        <v>16041</v>
      </c>
      <c r="C610" s="143">
        <v>110659</v>
      </c>
      <c r="D610" s="142" t="s">
        <v>15696</v>
      </c>
      <c r="E610" s="144">
        <v>14826</v>
      </c>
      <c r="F610" s="145">
        <v>42865</v>
      </c>
      <c r="G610" s="146">
        <v>14826</v>
      </c>
      <c r="H610" s="138">
        <f t="shared" si="10"/>
        <v>0</v>
      </c>
      <c r="I610" s="147" t="s">
        <v>15214</v>
      </c>
    </row>
    <row r="611" spans="1:9" x14ac:dyDescent="0.25">
      <c r="A611" s="135">
        <v>42860</v>
      </c>
      <c r="B611" s="136" t="s">
        <v>16042</v>
      </c>
      <c r="C611" s="137">
        <v>110660</v>
      </c>
      <c r="D611" s="136" t="s">
        <v>15315</v>
      </c>
      <c r="E611" s="138">
        <v>1927.2</v>
      </c>
      <c r="F611" s="139">
        <v>42867</v>
      </c>
      <c r="G611" s="140">
        <v>1927.2</v>
      </c>
      <c r="H611" s="138">
        <f t="shared" si="10"/>
        <v>0</v>
      </c>
      <c r="I611" s="141" t="s">
        <v>15214</v>
      </c>
    </row>
    <row r="612" spans="1:9" x14ac:dyDescent="0.25">
      <c r="A612" s="135">
        <v>42860</v>
      </c>
      <c r="B612" s="142" t="s">
        <v>16043</v>
      </c>
      <c r="C612" s="143">
        <v>110661</v>
      </c>
      <c r="D612" s="142" t="s">
        <v>15557</v>
      </c>
      <c r="E612" s="144">
        <v>20644.2</v>
      </c>
      <c r="F612" s="145">
        <v>42867</v>
      </c>
      <c r="G612" s="146">
        <v>20644.2</v>
      </c>
      <c r="H612" s="138">
        <f t="shared" si="10"/>
        <v>0</v>
      </c>
      <c r="I612" s="147" t="s">
        <v>15214</v>
      </c>
    </row>
    <row r="613" spans="1:9" x14ac:dyDescent="0.25">
      <c r="A613" s="135">
        <v>42860</v>
      </c>
      <c r="B613" s="136" t="s">
        <v>16044</v>
      </c>
      <c r="C613" s="137">
        <v>110662</v>
      </c>
      <c r="D613" s="136" t="s">
        <v>15544</v>
      </c>
      <c r="E613" s="138">
        <v>3230</v>
      </c>
      <c r="F613" s="139">
        <v>42865</v>
      </c>
      <c r="G613" s="140">
        <v>3230</v>
      </c>
      <c r="H613" s="138">
        <f t="shared" si="10"/>
        <v>0</v>
      </c>
      <c r="I613" s="141" t="s">
        <v>15214</v>
      </c>
    </row>
    <row r="614" spans="1:9" x14ac:dyDescent="0.25">
      <c r="A614" s="135">
        <v>42860</v>
      </c>
      <c r="B614" s="142" t="s">
        <v>16045</v>
      </c>
      <c r="C614" s="143">
        <v>110663</v>
      </c>
      <c r="D614" s="142" t="s">
        <v>15315</v>
      </c>
      <c r="E614" s="144">
        <v>3038.24</v>
      </c>
      <c r="F614" s="145">
        <v>42860</v>
      </c>
      <c r="G614" s="146">
        <v>3038.24</v>
      </c>
      <c r="H614" s="138">
        <f t="shared" si="10"/>
        <v>0</v>
      </c>
      <c r="I614" s="147" t="s">
        <v>15214</v>
      </c>
    </row>
    <row r="615" spans="1:9" x14ac:dyDescent="0.25">
      <c r="A615" s="135">
        <v>42860</v>
      </c>
      <c r="B615" s="136" t="s">
        <v>16046</v>
      </c>
      <c r="C615" s="137">
        <v>110664</v>
      </c>
      <c r="D615" s="136" t="s">
        <v>15562</v>
      </c>
      <c r="E615" s="138">
        <v>3216.5</v>
      </c>
      <c r="F615" s="139">
        <v>42860</v>
      </c>
      <c r="G615" s="140">
        <v>3216.5</v>
      </c>
      <c r="H615" s="138">
        <f t="shared" si="10"/>
        <v>0</v>
      </c>
      <c r="I615" s="141" t="s">
        <v>15214</v>
      </c>
    </row>
    <row r="616" spans="1:9" x14ac:dyDescent="0.25">
      <c r="A616" s="135">
        <v>42860</v>
      </c>
      <c r="B616" s="142" t="s">
        <v>16047</v>
      </c>
      <c r="C616" s="143">
        <v>110665</v>
      </c>
      <c r="D616" s="142" t="s">
        <v>16048</v>
      </c>
      <c r="E616" s="144">
        <v>3187.3</v>
      </c>
      <c r="F616" s="145">
        <v>42860</v>
      </c>
      <c r="G616" s="146">
        <v>3187.3</v>
      </c>
      <c r="H616" s="138">
        <f t="shared" si="10"/>
        <v>0</v>
      </c>
      <c r="I616" s="147" t="s">
        <v>15214</v>
      </c>
    </row>
    <row r="617" spans="1:9" x14ac:dyDescent="0.25">
      <c r="A617" s="135">
        <v>42860</v>
      </c>
      <c r="B617" s="136" t="s">
        <v>16049</v>
      </c>
      <c r="C617" s="137">
        <v>110666</v>
      </c>
      <c r="D617" s="136" t="s">
        <v>15315</v>
      </c>
      <c r="E617" s="138">
        <v>14150.3</v>
      </c>
      <c r="F617" s="139">
        <v>42865</v>
      </c>
      <c r="G617" s="140">
        <v>14150.3</v>
      </c>
      <c r="H617" s="138">
        <f t="shared" si="10"/>
        <v>0</v>
      </c>
      <c r="I617" s="141" t="s">
        <v>15214</v>
      </c>
    </row>
    <row r="618" spans="1:9" x14ac:dyDescent="0.25">
      <c r="A618" s="135">
        <v>42860</v>
      </c>
      <c r="B618" s="142" t="s">
        <v>16050</v>
      </c>
      <c r="C618" s="143">
        <v>110667</v>
      </c>
      <c r="D618" s="142" t="s">
        <v>15309</v>
      </c>
      <c r="E618" s="144">
        <v>15625.6</v>
      </c>
      <c r="F618" s="145">
        <v>42861</v>
      </c>
      <c r="G618" s="146">
        <v>15625.6</v>
      </c>
      <c r="H618" s="138">
        <f t="shared" si="10"/>
        <v>0</v>
      </c>
      <c r="I618" s="147" t="s">
        <v>15214</v>
      </c>
    </row>
    <row r="619" spans="1:9" x14ac:dyDescent="0.25">
      <c r="A619" s="135">
        <v>42860</v>
      </c>
      <c r="B619" s="136" t="s">
        <v>16051</v>
      </c>
      <c r="C619" s="137">
        <v>110668</v>
      </c>
      <c r="D619" s="136" t="s">
        <v>15311</v>
      </c>
      <c r="E619" s="138">
        <v>3247.68</v>
      </c>
      <c r="F619" s="139">
        <v>42861</v>
      </c>
      <c r="G619" s="140">
        <v>3247.68</v>
      </c>
      <c r="H619" s="138">
        <f t="shared" si="10"/>
        <v>0</v>
      </c>
      <c r="I619" s="141" t="s">
        <v>15214</v>
      </c>
    </row>
    <row r="620" spans="1:9" x14ac:dyDescent="0.25">
      <c r="A620" s="135">
        <v>42860</v>
      </c>
      <c r="B620" s="142" t="s">
        <v>16052</v>
      </c>
      <c r="C620" s="143">
        <v>110669</v>
      </c>
      <c r="D620" s="142" t="s">
        <v>15303</v>
      </c>
      <c r="E620" s="144">
        <v>5793.6</v>
      </c>
      <c r="F620" s="145">
        <v>42861</v>
      </c>
      <c r="G620" s="146">
        <v>5793.6</v>
      </c>
      <c r="H620" s="138">
        <f t="shared" si="10"/>
        <v>0</v>
      </c>
      <c r="I620" s="147" t="s">
        <v>15214</v>
      </c>
    </row>
    <row r="621" spans="1:9" x14ac:dyDescent="0.25">
      <c r="A621" s="135">
        <v>42860</v>
      </c>
      <c r="B621" s="136" t="s">
        <v>16053</v>
      </c>
      <c r="C621" s="137">
        <v>110670</v>
      </c>
      <c r="D621" s="136" t="s">
        <v>15401</v>
      </c>
      <c r="E621" s="138">
        <v>5426.4</v>
      </c>
      <c r="F621" s="139">
        <v>42860</v>
      </c>
      <c r="G621" s="140">
        <v>5426.4</v>
      </c>
      <c r="H621" s="138">
        <f t="shared" si="10"/>
        <v>0</v>
      </c>
      <c r="I621" s="141" t="s">
        <v>15214</v>
      </c>
    </row>
    <row r="622" spans="1:9" x14ac:dyDescent="0.25">
      <c r="A622" s="135">
        <v>42860</v>
      </c>
      <c r="B622" s="142" t="s">
        <v>16054</v>
      </c>
      <c r="C622" s="143">
        <v>110671</v>
      </c>
      <c r="D622" s="142" t="s">
        <v>15301</v>
      </c>
      <c r="E622" s="144">
        <v>2116.8000000000002</v>
      </c>
      <c r="F622" s="145">
        <v>42861</v>
      </c>
      <c r="G622" s="146">
        <v>2116.8000000000002</v>
      </c>
      <c r="H622" s="138">
        <f t="shared" si="10"/>
        <v>0</v>
      </c>
      <c r="I622" s="147" t="s">
        <v>15214</v>
      </c>
    </row>
    <row r="623" spans="1:9" x14ac:dyDescent="0.25">
      <c r="A623" s="135">
        <v>42860</v>
      </c>
      <c r="B623" s="136" t="s">
        <v>16055</v>
      </c>
      <c r="C623" s="137">
        <v>110672</v>
      </c>
      <c r="D623" s="136" t="s">
        <v>15307</v>
      </c>
      <c r="E623" s="138">
        <v>4822.3999999999996</v>
      </c>
      <c r="F623" s="139">
        <v>42861</v>
      </c>
      <c r="G623" s="140">
        <v>4822.3999999999996</v>
      </c>
      <c r="H623" s="138">
        <f t="shared" si="10"/>
        <v>0</v>
      </c>
      <c r="I623" s="141" t="s">
        <v>15214</v>
      </c>
    </row>
    <row r="624" spans="1:9" x14ac:dyDescent="0.25">
      <c r="A624" s="135">
        <v>42860</v>
      </c>
      <c r="B624" s="142" t="s">
        <v>16056</v>
      </c>
      <c r="C624" s="143">
        <v>110673</v>
      </c>
      <c r="D624" s="142" t="s">
        <v>15315</v>
      </c>
      <c r="E624" s="144">
        <v>409.4</v>
      </c>
      <c r="F624" s="145">
        <v>42861</v>
      </c>
      <c r="G624" s="146">
        <v>409.4</v>
      </c>
      <c r="H624" s="138">
        <f t="shared" si="10"/>
        <v>0</v>
      </c>
      <c r="I624" s="147" t="s">
        <v>15214</v>
      </c>
    </row>
    <row r="625" spans="1:9" x14ac:dyDescent="0.25">
      <c r="A625" s="135">
        <v>42860</v>
      </c>
      <c r="B625" s="136" t="s">
        <v>16057</v>
      </c>
      <c r="C625" s="137">
        <v>110674</v>
      </c>
      <c r="D625" s="136" t="s">
        <v>15559</v>
      </c>
      <c r="E625" s="138">
        <v>380</v>
      </c>
      <c r="F625" s="139">
        <v>42865</v>
      </c>
      <c r="G625" s="140">
        <v>380</v>
      </c>
      <c r="H625" s="138">
        <f t="shared" si="10"/>
        <v>0</v>
      </c>
      <c r="I625" s="141" t="s">
        <v>15214</v>
      </c>
    </row>
    <row r="626" spans="1:9" x14ac:dyDescent="0.25">
      <c r="A626" s="135">
        <v>42860</v>
      </c>
      <c r="B626" s="142" t="s">
        <v>16058</v>
      </c>
      <c r="C626" s="143">
        <v>110675</v>
      </c>
      <c r="D626" s="142" t="s">
        <v>15346</v>
      </c>
      <c r="E626" s="144">
        <v>2644.75</v>
      </c>
      <c r="F626" s="145">
        <v>42860</v>
      </c>
      <c r="G626" s="146">
        <v>2644.75</v>
      </c>
      <c r="H626" s="138">
        <f t="shared" si="10"/>
        <v>0</v>
      </c>
      <c r="I626" s="147" t="s">
        <v>15214</v>
      </c>
    </row>
    <row r="627" spans="1:9" x14ac:dyDescent="0.25">
      <c r="A627" s="135">
        <v>42860</v>
      </c>
      <c r="B627" s="136" t="s">
        <v>16059</v>
      </c>
      <c r="C627" s="137">
        <v>110676</v>
      </c>
      <c r="D627" s="136" t="s">
        <v>15317</v>
      </c>
      <c r="E627" s="138">
        <v>966.8</v>
      </c>
      <c r="F627" s="139">
        <v>42861</v>
      </c>
      <c r="G627" s="140">
        <v>966.8</v>
      </c>
      <c r="H627" s="138">
        <f t="shared" si="10"/>
        <v>0</v>
      </c>
      <c r="I627" s="141" t="s">
        <v>15214</v>
      </c>
    </row>
    <row r="628" spans="1:9" x14ac:dyDescent="0.25">
      <c r="A628" s="135">
        <v>42860</v>
      </c>
      <c r="B628" s="142" t="s">
        <v>16060</v>
      </c>
      <c r="C628" s="143">
        <v>110677</v>
      </c>
      <c r="D628" s="142" t="s">
        <v>15725</v>
      </c>
      <c r="E628" s="144">
        <v>18876.2</v>
      </c>
      <c r="F628" s="145">
        <v>42863</v>
      </c>
      <c r="G628" s="146">
        <v>18876.2</v>
      </c>
      <c r="H628" s="138">
        <f t="shared" si="10"/>
        <v>0</v>
      </c>
      <c r="I628" s="147" t="s">
        <v>15214</v>
      </c>
    </row>
    <row r="629" spans="1:9" x14ac:dyDescent="0.25">
      <c r="A629" s="135">
        <v>42860</v>
      </c>
      <c r="B629" s="136" t="s">
        <v>16061</v>
      </c>
      <c r="C629" s="137">
        <v>110678</v>
      </c>
      <c r="D629" s="136" t="s">
        <v>15568</v>
      </c>
      <c r="E629" s="138">
        <v>4723.2</v>
      </c>
      <c r="F629" s="139">
        <v>42860</v>
      </c>
      <c r="G629" s="140">
        <v>4723.2</v>
      </c>
      <c r="H629" s="138">
        <f t="shared" si="10"/>
        <v>0</v>
      </c>
      <c r="I629" s="141" t="s">
        <v>15214</v>
      </c>
    </row>
    <row r="630" spans="1:9" ht="15.75" x14ac:dyDescent="0.25">
      <c r="A630" s="135">
        <v>42860</v>
      </c>
      <c r="B630" s="142" t="s">
        <v>16062</v>
      </c>
      <c r="C630" s="143">
        <v>110679</v>
      </c>
      <c r="D630" s="142" t="s">
        <v>15346</v>
      </c>
      <c r="E630" s="144">
        <v>0</v>
      </c>
      <c r="F630" s="156" t="s">
        <v>95</v>
      </c>
      <c r="G630" s="144">
        <v>0</v>
      </c>
      <c r="H630" s="138">
        <f t="shared" si="10"/>
        <v>0</v>
      </c>
      <c r="I630" s="147" t="s">
        <v>95</v>
      </c>
    </row>
    <row r="631" spans="1:9" x14ac:dyDescent="0.25">
      <c r="A631" s="135">
        <v>42860</v>
      </c>
      <c r="B631" s="136" t="s">
        <v>16063</v>
      </c>
      <c r="C631" s="137">
        <v>110680</v>
      </c>
      <c r="D631" s="136" t="s">
        <v>16064</v>
      </c>
      <c r="E631" s="138">
        <v>4229.6000000000004</v>
      </c>
      <c r="F631" s="139">
        <v>42861</v>
      </c>
      <c r="G631" s="140">
        <v>4229.6000000000004</v>
      </c>
      <c r="H631" s="138">
        <f t="shared" si="10"/>
        <v>0</v>
      </c>
      <c r="I631" s="141" t="s">
        <v>15214</v>
      </c>
    </row>
    <row r="632" spans="1:9" x14ac:dyDescent="0.25">
      <c r="A632" s="135">
        <v>42860</v>
      </c>
      <c r="B632" s="142" t="s">
        <v>16065</v>
      </c>
      <c r="C632" s="143">
        <v>110681</v>
      </c>
      <c r="D632" s="142" t="s">
        <v>15361</v>
      </c>
      <c r="E632" s="144">
        <v>4888.8</v>
      </c>
      <c r="F632" s="145">
        <v>42860</v>
      </c>
      <c r="G632" s="146">
        <v>4888.8</v>
      </c>
      <c r="H632" s="138">
        <f t="shared" si="10"/>
        <v>0</v>
      </c>
      <c r="I632" s="147" t="s">
        <v>15214</v>
      </c>
    </row>
    <row r="633" spans="1:9" x14ac:dyDescent="0.25">
      <c r="A633" s="135">
        <v>42860</v>
      </c>
      <c r="B633" s="136" t="s">
        <v>16066</v>
      </c>
      <c r="C633" s="137">
        <v>110682</v>
      </c>
      <c r="D633" s="136" t="s">
        <v>15363</v>
      </c>
      <c r="E633" s="138">
        <v>1032.5</v>
      </c>
      <c r="F633" s="139">
        <v>42860</v>
      </c>
      <c r="G633" s="140">
        <v>1032.5</v>
      </c>
      <c r="H633" s="138">
        <f t="shared" si="10"/>
        <v>0</v>
      </c>
      <c r="I633" s="141" t="s">
        <v>15214</v>
      </c>
    </row>
    <row r="634" spans="1:9" x14ac:dyDescent="0.25">
      <c r="A634" s="135">
        <v>42860</v>
      </c>
      <c r="B634" s="142" t="s">
        <v>16067</v>
      </c>
      <c r="C634" s="143">
        <v>110683</v>
      </c>
      <c r="D634" s="142" t="s">
        <v>15417</v>
      </c>
      <c r="E634" s="144">
        <v>2001</v>
      </c>
      <c r="F634" s="145">
        <v>42861</v>
      </c>
      <c r="G634" s="146">
        <v>2001</v>
      </c>
      <c r="H634" s="138">
        <f t="shared" si="10"/>
        <v>0</v>
      </c>
      <c r="I634" s="147" t="s">
        <v>15214</v>
      </c>
    </row>
    <row r="635" spans="1:9" x14ac:dyDescent="0.25">
      <c r="A635" s="135">
        <v>42860</v>
      </c>
      <c r="B635" s="136" t="s">
        <v>16068</v>
      </c>
      <c r="C635" s="137">
        <v>110684</v>
      </c>
      <c r="D635" s="136" t="s">
        <v>15320</v>
      </c>
      <c r="E635" s="138">
        <v>2722.5</v>
      </c>
      <c r="F635" s="139">
        <v>42861</v>
      </c>
      <c r="G635" s="140">
        <v>2722.5</v>
      </c>
      <c r="H635" s="138">
        <f t="shared" si="10"/>
        <v>0</v>
      </c>
      <c r="I635" s="141" t="s">
        <v>15214</v>
      </c>
    </row>
    <row r="636" spans="1:9" x14ac:dyDescent="0.25">
      <c r="A636" s="135">
        <v>42860</v>
      </c>
      <c r="B636" s="142" t="s">
        <v>16069</v>
      </c>
      <c r="C636" s="143">
        <v>110685</v>
      </c>
      <c r="D636" s="142" t="s">
        <v>15510</v>
      </c>
      <c r="E636" s="144">
        <v>525</v>
      </c>
      <c r="F636" s="145">
        <v>42861</v>
      </c>
      <c r="G636" s="146">
        <v>525</v>
      </c>
      <c r="H636" s="138">
        <f t="shared" si="10"/>
        <v>0</v>
      </c>
      <c r="I636" s="147" t="s">
        <v>15214</v>
      </c>
    </row>
    <row r="637" spans="1:9" x14ac:dyDescent="0.25">
      <c r="A637" s="135">
        <v>42860</v>
      </c>
      <c r="B637" s="136" t="s">
        <v>16070</v>
      </c>
      <c r="C637" s="137">
        <v>110686</v>
      </c>
      <c r="D637" s="136" t="s">
        <v>15868</v>
      </c>
      <c r="E637" s="138">
        <v>3960</v>
      </c>
      <c r="F637" s="139">
        <v>42860</v>
      </c>
      <c r="G637" s="140">
        <v>3960</v>
      </c>
      <c r="H637" s="138">
        <f t="shared" si="10"/>
        <v>0</v>
      </c>
      <c r="I637" s="141" t="s">
        <v>15214</v>
      </c>
    </row>
    <row r="638" spans="1:9" x14ac:dyDescent="0.25">
      <c r="A638" s="135">
        <v>42860</v>
      </c>
      <c r="B638" s="142" t="s">
        <v>16071</v>
      </c>
      <c r="C638" s="143">
        <v>110687</v>
      </c>
      <c r="D638" s="142" t="s">
        <v>15291</v>
      </c>
      <c r="E638" s="144">
        <v>564</v>
      </c>
      <c r="F638" s="145">
        <v>42861</v>
      </c>
      <c r="G638" s="146">
        <v>564</v>
      </c>
      <c r="H638" s="138">
        <f t="shared" si="10"/>
        <v>0</v>
      </c>
      <c r="I638" s="147" t="s">
        <v>15214</v>
      </c>
    </row>
    <row r="639" spans="1:9" x14ac:dyDescent="0.25">
      <c r="A639" s="135">
        <v>42860</v>
      </c>
      <c r="B639" s="136" t="s">
        <v>16072</v>
      </c>
      <c r="C639" s="137">
        <v>110688</v>
      </c>
      <c r="D639" s="136" t="s">
        <v>15276</v>
      </c>
      <c r="E639" s="138">
        <v>4700</v>
      </c>
      <c r="F639" s="139">
        <v>42861</v>
      </c>
      <c r="G639" s="140">
        <v>4700</v>
      </c>
      <c r="H639" s="138">
        <f t="shared" si="10"/>
        <v>0</v>
      </c>
      <c r="I639" s="141" t="s">
        <v>15214</v>
      </c>
    </row>
    <row r="640" spans="1:9" x14ac:dyDescent="0.25">
      <c r="A640" s="135">
        <v>42860</v>
      </c>
      <c r="B640" s="142" t="s">
        <v>16073</v>
      </c>
      <c r="C640" s="143">
        <v>110689</v>
      </c>
      <c r="D640" s="142" t="s">
        <v>15315</v>
      </c>
      <c r="E640" s="144">
        <v>1320.7</v>
      </c>
      <c r="F640" s="145">
        <v>42860</v>
      </c>
      <c r="G640" s="146">
        <v>1320.7</v>
      </c>
      <c r="H640" s="138">
        <f t="shared" si="10"/>
        <v>0</v>
      </c>
      <c r="I640" s="147" t="s">
        <v>15214</v>
      </c>
    </row>
    <row r="641" spans="1:9" x14ac:dyDescent="0.25">
      <c r="A641" s="135">
        <v>42860</v>
      </c>
      <c r="B641" s="136" t="s">
        <v>16074</v>
      </c>
      <c r="C641" s="137">
        <v>110690</v>
      </c>
      <c r="D641" s="136" t="s">
        <v>15391</v>
      </c>
      <c r="E641" s="138">
        <v>11721.6</v>
      </c>
      <c r="F641" s="139">
        <v>42860</v>
      </c>
      <c r="G641" s="140">
        <v>11721.6</v>
      </c>
      <c r="H641" s="138">
        <f t="shared" si="10"/>
        <v>0</v>
      </c>
      <c r="I641" s="141" t="s">
        <v>15214</v>
      </c>
    </row>
    <row r="642" spans="1:9" x14ac:dyDescent="0.25">
      <c r="A642" s="135">
        <v>42860</v>
      </c>
      <c r="B642" s="142" t="s">
        <v>16075</v>
      </c>
      <c r="C642" s="143">
        <v>110691</v>
      </c>
      <c r="D642" s="142" t="s">
        <v>15385</v>
      </c>
      <c r="E642" s="144">
        <v>6958</v>
      </c>
      <c r="F642" s="145">
        <v>42860</v>
      </c>
      <c r="G642" s="146">
        <v>6958</v>
      </c>
      <c r="H642" s="138">
        <f t="shared" si="10"/>
        <v>0</v>
      </c>
      <c r="I642" s="147" t="s">
        <v>15214</v>
      </c>
    </row>
    <row r="643" spans="1:9" x14ac:dyDescent="0.25">
      <c r="A643" s="135">
        <v>42860</v>
      </c>
      <c r="B643" s="136" t="s">
        <v>16076</v>
      </c>
      <c r="C643" s="137">
        <v>110692</v>
      </c>
      <c r="D643" s="136" t="s">
        <v>15385</v>
      </c>
      <c r="E643" s="138">
        <v>508</v>
      </c>
      <c r="F643" s="139">
        <v>42860</v>
      </c>
      <c r="G643" s="140">
        <v>508</v>
      </c>
      <c r="H643" s="138">
        <f t="shared" si="10"/>
        <v>0</v>
      </c>
      <c r="I643" s="141" t="s">
        <v>15214</v>
      </c>
    </row>
    <row r="644" spans="1:9" x14ac:dyDescent="0.25">
      <c r="A644" s="135">
        <v>42860</v>
      </c>
      <c r="B644" s="142" t="s">
        <v>16077</v>
      </c>
      <c r="C644" s="143">
        <v>110693</v>
      </c>
      <c r="D644" s="142" t="s">
        <v>15334</v>
      </c>
      <c r="E644" s="144">
        <v>3540.9</v>
      </c>
      <c r="F644" s="145">
        <v>42860</v>
      </c>
      <c r="G644" s="146">
        <v>3540.9</v>
      </c>
      <c r="H644" s="138">
        <f t="shared" ref="H644:H707" si="11">E644-G644</f>
        <v>0</v>
      </c>
      <c r="I644" s="147" t="s">
        <v>15214</v>
      </c>
    </row>
    <row r="645" spans="1:9" x14ac:dyDescent="0.25">
      <c r="A645" s="135">
        <v>42860</v>
      </c>
      <c r="B645" s="136" t="s">
        <v>16078</v>
      </c>
      <c r="C645" s="137">
        <v>110694</v>
      </c>
      <c r="D645" s="136" t="s">
        <v>15350</v>
      </c>
      <c r="E645" s="138">
        <v>1889.4</v>
      </c>
      <c r="F645" s="139">
        <v>42860</v>
      </c>
      <c r="G645" s="140">
        <v>1889.4</v>
      </c>
      <c r="H645" s="138">
        <f t="shared" si="11"/>
        <v>0</v>
      </c>
      <c r="I645" s="141" t="s">
        <v>15214</v>
      </c>
    </row>
    <row r="646" spans="1:9" x14ac:dyDescent="0.25">
      <c r="A646" s="135">
        <v>42860</v>
      </c>
      <c r="B646" s="142" t="s">
        <v>16079</v>
      </c>
      <c r="C646" s="143">
        <v>110695</v>
      </c>
      <c r="D646" s="142" t="s">
        <v>15315</v>
      </c>
      <c r="E646" s="144">
        <v>944.7</v>
      </c>
      <c r="F646" s="145">
        <v>42863</v>
      </c>
      <c r="G646" s="146">
        <v>944.7</v>
      </c>
      <c r="H646" s="138">
        <f t="shared" si="11"/>
        <v>0</v>
      </c>
      <c r="I646" s="147" t="s">
        <v>15214</v>
      </c>
    </row>
    <row r="647" spans="1:9" x14ac:dyDescent="0.25">
      <c r="A647" s="135">
        <v>42860</v>
      </c>
      <c r="B647" s="136" t="s">
        <v>16080</v>
      </c>
      <c r="C647" s="137">
        <v>110696</v>
      </c>
      <c r="D647" s="136" t="s">
        <v>15523</v>
      </c>
      <c r="E647" s="138">
        <v>2589.6999999999998</v>
      </c>
      <c r="F647" s="139">
        <v>42860</v>
      </c>
      <c r="G647" s="140">
        <v>2589.6999999999998</v>
      </c>
      <c r="H647" s="138">
        <f t="shared" si="11"/>
        <v>0</v>
      </c>
      <c r="I647" s="141" t="s">
        <v>15214</v>
      </c>
    </row>
    <row r="648" spans="1:9" ht="15.75" x14ac:dyDescent="0.25">
      <c r="A648" s="135">
        <v>42860</v>
      </c>
      <c r="B648" s="142" t="s">
        <v>16081</v>
      </c>
      <c r="C648" s="143">
        <v>110697</v>
      </c>
      <c r="D648" s="142" t="s">
        <v>15309</v>
      </c>
      <c r="E648" s="144">
        <v>0</v>
      </c>
      <c r="F648" s="156" t="s">
        <v>95</v>
      </c>
      <c r="G648" s="144">
        <v>0</v>
      </c>
      <c r="H648" s="138">
        <f t="shared" si="11"/>
        <v>0</v>
      </c>
      <c r="I648" s="147" t="s">
        <v>95</v>
      </c>
    </row>
    <row r="649" spans="1:9" x14ac:dyDescent="0.25">
      <c r="A649" s="135">
        <v>42860</v>
      </c>
      <c r="B649" s="136" t="s">
        <v>16082</v>
      </c>
      <c r="C649" s="137">
        <v>110698</v>
      </c>
      <c r="D649" s="136" t="s">
        <v>15858</v>
      </c>
      <c r="E649" s="138">
        <v>3106.5</v>
      </c>
      <c r="F649" s="139">
        <v>42860</v>
      </c>
      <c r="G649" s="140">
        <v>3106.5</v>
      </c>
      <c r="H649" s="138">
        <f t="shared" si="11"/>
        <v>0</v>
      </c>
      <c r="I649" s="141" t="s">
        <v>15214</v>
      </c>
    </row>
    <row r="650" spans="1:9" x14ac:dyDescent="0.25">
      <c r="A650" s="135">
        <v>42860</v>
      </c>
      <c r="B650" s="142" t="s">
        <v>16083</v>
      </c>
      <c r="C650" s="143">
        <v>110699</v>
      </c>
      <c r="D650" s="142" t="s">
        <v>15358</v>
      </c>
      <c r="E650" s="144">
        <v>2746.2</v>
      </c>
      <c r="F650" s="145">
        <v>42860</v>
      </c>
      <c r="G650" s="146">
        <v>2746.2</v>
      </c>
      <c r="H650" s="138">
        <f t="shared" si="11"/>
        <v>0</v>
      </c>
      <c r="I650" s="147" t="s">
        <v>15214</v>
      </c>
    </row>
    <row r="651" spans="1:9" x14ac:dyDescent="0.25">
      <c r="A651" s="135">
        <v>42860</v>
      </c>
      <c r="B651" s="136" t="s">
        <v>16084</v>
      </c>
      <c r="C651" s="137">
        <v>110700</v>
      </c>
      <c r="D651" s="136" t="s">
        <v>15861</v>
      </c>
      <c r="E651" s="138">
        <v>2561</v>
      </c>
      <c r="F651" s="139">
        <v>42860</v>
      </c>
      <c r="G651" s="140">
        <v>2561</v>
      </c>
      <c r="H651" s="138">
        <f t="shared" si="11"/>
        <v>0</v>
      </c>
      <c r="I651" s="141" t="s">
        <v>15214</v>
      </c>
    </row>
    <row r="652" spans="1:9" ht="15.75" x14ac:dyDescent="0.25">
      <c r="A652" s="135">
        <v>42860</v>
      </c>
      <c r="B652" s="142" t="s">
        <v>16085</v>
      </c>
      <c r="C652" s="143">
        <v>110701</v>
      </c>
      <c r="D652" s="142" t="s">
        <v>15568</v>
      </c>
      <c r="E652" s="144">
        <v>0</v>
      </c>
      <c r="F652" s="156" t="s">
        <v>95</v>
      </c>
      <c r="G652" s="144">
        <v>0</v>
      </c>
      <c r="H652" s="138">
        <f t="shared" si="11"/>
        <v>0</v>
      </c>
      <c r="I652" s="147" t="s">
        <v>95</v>
      </c>
    </row>
    <row r="653" spans="1:9" x14ac:dyDescent="0.25">
      <c r="A653" s="135">
        <v>42860</v>
      </c>
      <c r="B653" s="136" t="s">
        <v>16086</v>
      </c>
      <c r="C653" s="137">
        <v>110702</v>
      </c>
      <c r="D653" s="136" t="s">
        <v>15340</v>
      </c>
      <c r="E653" s="138">
        <v>3301.2</v>
      </c>
      <c r="F653" s="139">
        <v>42860</v>
      </c>
      <c r="G653" s="140">
        <v>3301.2</v>
      </c>
      <c r="H653" s="138">
        <f t="shared" si="11"/>
        <v>0</v>
      </c>
      <c r="I653" s="141" t="s">
        <v>15214</v>
      </c>
    </row>
    <row r="654" spans="1:9" x14ac:dyDescent="0.25">
      <c r="A654" s="135">
        <v>42860</v>
      </c>
      <c r="B654" s="142" t="s">
        <v>16087</v>
      </c>
      <c r="C654" s="143">
        <v>110703</v>
      </c>
      <c r="D654" s="142" t="s">
        <v>15340</v>
      </c>
      <c r="E654" s="144">
        <v>2952.4</v>
      </c>
      <c r="F654" s="145">
        <v>42860</v>
      </c>
      <c r="G654" s="146">
        <v>2952.4</v>
      </c>
      <c r="H654" s="138">
        <f t="shared" si="11"/>
        <v>0</v>
      </c>
      <c r="I654" s="147" t="s">
        <v>15214</v>
      </c>
    </row>
    <row r="655" spans="1:9" x14ac:dyDescent="0.25">
      <c r="A655" s="135">
        <v>42860</v>
      </c>
      <c r="B655" s="136" t="s">
        <v>16088</v>
      </c>
      <c r="C655" s="137">
        <v>110704</v>
      </c>
      <c r="D655" s="136" t="s">
        <v>15526</v>
      </c>
      <c r="E655" s="138">
        <v>3844.8</v>
      </c>
      <c r="F655" s="139">
        <v>42860</v>
      </c>
      <c r="G655" s="140">
        <v>3844.8</v>
      </c>
      <c r="H655" s="138">
        <f t="shared" si="11"/>
        <v>0</v>
      </c>
      <c r="I655" s="141" t="s">
        <v>15214</v>
      </c>
    </row>
    <row r="656" spans="1:9" x14ac:dyDescent="0.25">
      <c r="A656" s="135">
        <v>42860</v>
      </c>
      <c r="B656" s="142" t="s">
        <v>16089</v>
      </c>
      <c r="C656" s="143">
        <v>110705</v>
      </c>
      <c r="D656" s="142" t="s">
        <v>15398</v>
      </c>
      <c r="E656" s="144">
        <v>2658.2</v>
      </c>
      <c r="F656" s="145">
        <v>42860</v>
      </c>
      <c r="G656" s="146">
        <v>2658.2</v>
      </c>
      <c r="H656" s="138">
        <f t="shared" si="11"/>
        <v>0</v>
      </c>
      <c r="I656" s="147" t="s">
        <v>15214</v>
      </c>
    </row>
    <row r="657" spans="1:9" x14ac:dyDescent="0.25">
      <c r="A657" s="135">
        <v>42860</v>
      </c>
      <c r="B657" s="136" t="s">
        <v>16090</v>
      </c>
      <c r="C657" s="137">
        <v>110706</v>
      </c>
      <c r="D657" s="136" t="s">
        <v>15344</v>
      </c>
      <c r="E657" s="138">
        <v>2337.6</v>
      </c>
      <c r="F657" s="139">
        <v>42860</v>
      </c>
      <c r="G657" s="140">
        <v>2337.6</v>
      </c>
      <c r="H657" s="138">
        <f t="shared" si="11"/>
        <v>0</v>
      </c>
      <c r="I657" s="141" t="s">
        <v>15214</v>
      </c>
    </row>
    <row r="658" spans="1:9" x14ac:dyDescent="0.25">
      <c r="A658" s="135">
        <v>42860</v>
      </c>
      <c r="B658" s="142" t="s">
        <v>16091</v>
      </c>
      <c r="C658" s="143">
        <v>110707</v>
      </c>
      <c r="D658" s="142" t="s">
        <v>15336</v>
      </c>
      <c r="E658" s="144">
        <v>11748.4</v>
      </c>
      <c r="F658" s="145">
        <v>42860</v>
      </c>
      <c r="G658" s="146">
        <v>11748.4</v>
      </c>
      <c r="H658" s="138">
        <f t="shared" si="11"/>
        <v>0</v>
      </c>
      <c r="I658" s="147" t="s">
        <v>15214</v>
      </c>
    </row>
    <row r="659" spans="1:9" x14ac:dyDescent="0.25">
      <c r="A659" s="135">
        <v>42860</v>
      </c>
      <c r="B659" s="136" t="s">
        <v>16092</v>
      </c>
      <c r="C659" s="137">
        <v>110708</v>
      </c>
      <c r="D659" s="136" t="s">
        <v>16093</v>
      </c>
      <c r="E659" s="138">
        <v>4533.3</v>
      </c>
      <c r="F659" s="139">
        <v>42860</v>
      </c>
      <c r="G659" s="140">
        <v>4533.3</v>
      </c>
      <c r="H659" s="138">
        <f t="shared" si="11"/>
        <v>0</v>
      </c>
      <c r="I659" s="141" t="s">
        <v>15214</v>
      </c>
    </row>
    <row r="660" spans="1:9" x14ac:dyDescent="0.25">
      <c r="A660" s="135">
        <v>42860</v>
      </c>
      <c r="B660" s="142" t="s">
        <v>16094</v>
      </c>
      <c r="C660" s="143">
        <v>110709</v>
      </c>
      <c r="D660" s="142" t="s">
        <v>15394</v>
      </c>
      <c r="E660" s="144">
        <v>25591.200000000001</v>
      </c>
      <c r="F660" s="145" t="s">
        <v>16095</v>
      </c>
      <c r="G660" s="146">
        <f>13591.2+12000</f>
        <v>25591.200000000001</v>
      </c>
      <c r="H660" s="138">
        <f t="shared" si="11"/>
        <v>0</v>
      </c>
      <c r="I660" s="147" t="s">
        <v>15214</v>
      </c>
    </row>
    <row r="661" spans="1:9" x14ac:dyDescent="0.25">
      <c r="A661" s="135">
        <v>42860</v>
      </c>
      <c r="B661" s="136" t="s">
        <v>16096</v>
      </c>
      <c r="C661" s="137">
        <v>110710</v>
      </c>
      <c r="D661" s="136" t="s">
        <v>15378</v>
      </c>
      <c r="E661" s="138">
        <v>512.5</v>
      </c>
      <c r="F661" s="139">
        <v>42860</v>
      </c>
      <c r="G661" s="140">
        <v>512.5</v>
      </c>
      <c r="H661" s="138">
        <f t="shared" si="11"/>
        <v>0</v>
      </c>
      <c r="I661" s="141" t="s">
        <v>15214</v>
      </c>
    </row>
    <row r="662" spans="1:9" x14ac:dyDescent="0.25">
      <c r="A662" s="135">
        <v>42860</v>
      </c>
      <c r="B662" s="142" t="s">
        <v>16097</v>
      </c>
      <c r="C662" s="143">
        <v>110711</v>
      </c>
      <c r="D662" s="142" t="s">
        <v>5556</v>
      </c>
      <c r="E662" s="144">
        <v>26551.200000000001</v>
      </c>
      <c r="F662" s="148">
        <v>42887</v>
      </c>
      <c r="G662" s="149">
        <v>26551.200000000001</v>
      </c>
      <c r="H662" s="138">
        <f t="shared" si="11"/>
        <v>0</v>
      </c>
      <c r="I662" s="147" t="s">
        <v>15214</v>
      </c>
    </row>
    <row r="663" spans="1:9" x14ac:dyDescent="0.25">
      <c r="A663" s="135">
        <v>42860</v>
      </c>
      <c r="B663" s="136" t="s">
        <v>16098</v>
      </c>
      <c r="C663" s="137">
        <v>110712</v>
      </c>
      <c r="D663" s="136" t="s">
        <v>15442</v>
      </c>
      <c r="E663" s="138">
        <v>23557.599999999999</v>
      </c>
      <c r="F663" s="139">
        <v>42867</v>
      </c>
      <c r="G663" s="140">
        <v>23557.599999999999</v>
      </c>
      <c r="H663" s="138">
        <f t="shared" si="11"/>
        <v>0</v>
      </c>
      <c r="I663" s="141" t="s">
        <v>15214</v>
      </c>
    </row>
    <row r="664" spans="1:9" x14ac:dyDescent="0.25">
      <c r="A664" s="135">
        <v>42860</v>
      </c>
      <c r="B664" s="142" t="s">
        <v>16099</v>
      </c>
      <c r="C664" s="143">
        <v>110713</v>
      </c>
      <c r="D664" s="142" t="s">
        <v>15742</v>
      </c>
      <c r="E664" s="144">
        <v>2002.2</v>
      </c>
      <c r="F664" s="145">
        <v>42860</v>
      </c>
      <c r="G664" s="146">
        <v>2002.2</v>
      </c>
      <c r="H664" s="138">
        <f t="shared" si="11"/>
        <v>0</v>
      </c>
      <c r="I664" s="147" t="s">
        <v>15214</v>
      </c>
    </row>
    <row r="665" spans="1:9" x14ac:dyDescent="0.25">
      <c r="A665" s="135">
        <v>42860</v>
      </c>
      <c r="B665" s="136" t="s">
        <v>16100</v>
      </c>
      <c r="C665" s="137">
        <v>110714</v>
      </c>
      <c r="D665" s="136" t="s">
        <v>15274</v>
      </c>
      <c r="E665" s="138">
        <v>3050.3</v>
      </c>
      <c r="F665" s="139">
        <v>42860</v>
      </c>
      <c r="G665" s="140">
        <v>3050.3</v>
      </c>
      <c r="H665" s="138">
        <f t="shared" si="11"/>
        <v>0</v>
      </c>
      <c r="I665" s="141" t="s">
        <v>15214</v>
      </c>
    </row>
    <row r="666" spans="1:9" x14ac:dyDescent="0.25">
      <c r="A666" s="135">
        <v>42860</v>
      </c>
      <c r="B666" s="142" t="s">
        <v>16101</v>
      </c>
      <c r="C666" s="143">
        <v>110715</v>
      </c>
      <c r="D666" s="142" t="s">
        <v>15342</v>
      </c>
      <c r="E666" s="144">
        <v>1085.0999999999999</v>
      </c>
      <c r="F666" s="145">
        <v>42860</v>
      </c>
      <c r="G666" s="146">
        <v>1085.0999999999999</v>
      </c>
      <c r="H666" s="138">
        <f t="shared" si="11"/>
        <v>0</v>
      </c>
      <c r="I666" s="147" t="s">
        <v>15214</v>
      </c>
    </row>
    <row r="667" spans="1:9" x14ac:dyDescent="0.25">
      <c r="A667" s="135">
        <v>42860</v>
      </c>
      <c r="B667" s="136" t="s">
        <v>16102</v>
      </c>
      <c r="C667" s="137">
        <v>110716</v>
      </c>
      <c r="D667" s="136" t="s">
        <v>15373</v>
      </c>
      <c r="E667" s="138">
        <v>23878.6</v>
      </c>
      <c r="F667" s="139">
        <v>42863</v>
      </c>
      <c r="G667" s="140">
        <v>23878.6</v>
      </c>
      <c r="H667" s="138">
        <f t="shared" si="11"/>
        <v>0</v>
      </c>
      <c r="I667" s="141" t="s">
        <v>15214</v>
      </c>
    </row>
    <row r="668" spans="1:9" x14ac:dyDescent="0.25">
      <c r="A668" s="135">
        <v>42860</v>
      </c>
      <c r="B668" s="142" t="s">
        <v>16103</v>
      </c>
      <c r="C668" s="143">
        <v>110717</v>
      </c>
      <c r="D668" s="142" t="s">
        <v>15369</v>
      </c>
      <c r="E668" s="144">
        <v>22791.3</v>
      </c>
      <c r="F668" s="145">
        <v>42881</v>
      </c>
      <c r="G668" s="146">
        <v>22791.3</v>
      </c>
      <c r="H668" s="138">
        <f t="shared" si="11"/>
        <v>0</v>
      </c>
      <c r="I668" s="147" t="s">
        <v>15214</v>
      </c>
    </row>
    <row r="669" spans="1:9" x14ac:dyDescent="0.25">
      <c r="A669" s="135">
        <v>42860</v>
      </c>
      <c r="B669" s="136" t="s">
        <v>16104</v>
      </c>
      <c r="C669" s="137">
        <v>110718</v>
      </c>
      <c r="D669" s="136" t="s">
        <v>15376</v>
      </c>
      <c r="E669" s="138">
        <v>10821.6</v>
      </c>
      <c r="F669" s="139">
        <v>42860</v>
      </c>
      <c r="G669" s="140">
        <v>10821.6</v>
      </c>
      <c r="H669" s="138">
        <f t="shared" si="11"/>
        <v>0</v>
      </c>
      <c r="I669" s="141" t="s">
        <v>15214</v>
      </c>
    </row>
    <row r="670" spans="1:9" x14ac:dyDescent="0.25">
      <c r="A670" s="135">
        <v>42860</v>
      </c>
      <c r="B670" s="142" t="s">
        <v>16105</v>
      </c>
      <c r="C670" s="143">
        <v>110719</v>
      </c>
      <c r="D670" s="142" t="s">
        <v>15367</v>
      </c>
      <c r="E670" s="144">
        <v>7628.6</v>
      </c>
      <c r="F670" s="145">
        <v>42863</v>
      </c>
      <c r="G670" s="146">
        <v>7628.6</v>
      </c>
      <c r="H670" s="138">
        <f t="shared" si="11"/>
        <v>0</v>
      </c>
      <c r="I670" s="147" t="s">
        <v>15214</v>
      </c>
    </row>
    <row r="671" spans="1:9" x14ac:dyDescent="0.25">
      <c r="A671" s="135">
        <v>42860</v>
      </c>
      <c r="B671" s="136" t="s">
        <v>16106</v>
      </c>
      <c r="C671" s="137">
        <v>110720</v>
      </c>
      <c r="D671" s="136" t="s">
        <v>15328</v>
      </c>
      <c r="E671" s="138">
        <v>26281.02</v>
      </c>
      <c r="F671" s="139">
        <v>42880</v>
      </c>
      <c r="G671" s="140">
        <v>26281.02</v>
      </c>
      <c r="H671" s="138">
        <f t="shared" si="11"/>
        <v>0</v>
      </c>
      <c r="I671" s="141" t="s">
        <v>15214</v>
      </c>
    </row>
    <row r="672" spans="1:9" x14ac:dyDescent="0.25">
      <c r="A672" s="135">
        <v>42860</v>
      </c>
      <c r="B672" s="142" t="s">
        <v>16107</v>
      </c>
      <c r="C672" s="143">
        <v>110721</v>
      </c>
      <c r="D672" s="142" t="s">
        <v>16108</v>
      </c>
      <c r="E672" s="144">
        <v>870.8</v>
      </c>
      <c r="F672" s="145">
        <v>42860</v>
      </c>
      <c r="G672" s="146">
        <v>870.8</v>
      </c>
      <c r="H672" s="138">
        <f t="shared" si="11"/>
        <v>0</v>
      </c>
      <c r="I672" s="147" t="s">
        <v>15214</v>
      </c>
    </row>
    <row r="673" spans="1:9" ht="15.75" x14ac:dyDescent="0.25">
      <c r="A673" s="135">
        <v>42860</v>
      </c>
      <c r="B673" s="136" t="s">
        <v>16109</v>
      </c>
      <c r="C673" s="137">
        <v>110722</v>
      </c>
      <c r="D673" s="136" t="s">
        <v>15380</v>
      </c>
      <c r="E673" s="138">
        <v>0</v>
      </c>
      <c r="F673" s="153" t="s">
        <v>95</v>
      </c>
      <c r="G673" s="138">
        <v>0</v>
      </c>
      <c r="H673" s="138">
        <f t="shared" si="11"/>
        <v>0</v>
      </c>
      <c r="I673" s="141" t="s">
        <v>95</v>
      </c>
    </row>
    <row r="674" spans="1:9" x14ac:dyDescent="0.25">
      <c r="A674" s="135">
        <v>42860</v>
      </c>
      <c r="B674" s="142" t="s">
        <v>16110</v>
      </c>
      <c r="C674" s="143">
        <v>110723</v>
      </c>
      <c r="D674" s="142" t="s">
        <v>15380</v>
      </c>
      <c r="E674" s="144">
        <v>45751.3</v>
      </c>
      <c r="F674" s="145">
        <v>42881</v>
      </c>
      <c r="G674" s="146">
        <v>45751.3</v>
      </c>
      <c r="H674" s="138">
        <f t="shared" si="11"/>
        <v>0</v>
      </c>
      <c r="I674" s="147" t="s">
        <v>15214</v>
      </c>
    </row>
    <row r="675" spans="1:9" x14ac:dyDescent="0.25">
      <c r="A675" s="135">
        <v>42860</v>
      </c>
      <c r="B675" s="136" t="s">
        <v>16111</v>
      </c>
      <c r="C675" s="137">
        <v>110724</v>
      </c>
      <c r="D675" s="136" t="s">
        <v>15389</v>
      </c>
      <c r="E675" s="138">
        <v>24099.3</v>
      </c>
      <c r="F675" s="139">
        <v>42940</v>
      </c>
      <c r="G675" s="140">
        <v>24099.3</v>
      </c>
      <c r="H675" s="138">
        <f t="shared" si="11"/>
        <v>0</v>
      </c>
      <c r="I675" s="141" t="s">
        <v>15214</v>
      </c>
    </row>
    <row r="676" spans="1:9" x14ac:dyDescent="0.25">
      <c r="A676" s="135">
        <v>42860</v>
      </c>
      <c r="B676" s="142" t="s">
        <v>16112</v>
      </c>
      <c r="C676" s="143">
        <v>110725</v>
      </c>
      <c r="D676" s="142" t="s">
        <v>15338</v>
      </c>
      <c r="E676" s="144">
        <v>7924.5</v>
      </c>
      <c r="F676" s="145">
        <v>42865</v>
      </c>
      <c r="G676" s="146">
        <v>7924.5</v>
      </c>
      <c r="H676" s="138">
        <f t="shared" si="11"/>
        <v>0</v>
      </c>
      <c r="I676" s="147" t="s">
        <v>15214</v>
      </c>
    </row>
    <row r="677" spans="1:9" x14ac:dyDescent="0.25">
      <c r="A677" s="135">
        <v>42860</v>
      </c>
      <c r="B677" s="136" t="s">
        <v>16113</v>
      </c>
      <c r="C677" s="137">
        <v>110726</v>
      </c>
      <c r="D677" s="136" t="s">
        <v>15382</v>
      </c>
      <c r="E677" s="138">
        <v>10763.5</v>
      </c>
      <c r="F677" s="139">
        <v>42881</v>
      </c>
      <c r="G677" s="140">
        <v>10763.5</v>
      </c>
      <c r="H677" s="138">
        <f t="shared" si="11"/>
        <v>0</v>
      </c>
      <c r="I677" s="141" t="s">
        <v>15214</v>
      </c>
    </row>
    <row r="678" spans="1:9" x14ac:dyDescent="0.25">
      <c r="A678" s="135">
        <v>42860</v>
      </c>
      <c r="B678" s="142" t="s">
        <v>16114</v>
      </c>
      <c r="C678" s="143">
        <v>110727</v>
      </c>
      <c r="D678" s="142" t="s">
        <v>15396</v>
      </c>
      <c r="E678" s="144">
        <v>4942</v>
      </c>
      <c r="F678" s="145">
        <v>42860</v>
      </c>
      <c r="G678" s="146">
        <v>4942</v>
      </c>
      <c r="H678" s="138">
        <f t="shared" si="11"/>
        <v>0</v>
      </c>
      <c r="I678" s="147" t="s">
        <v>15214</v>
      </c>
    </row>
    <row r="679" spans="1:9" x14ac:dyDescent="0.25">
      <c r="A679" s="135">
        <v>42860</v>
      </c>
      <c r="B679" s="136" t="s">
        <v>16115</v>
      </c>
      <c r="C679" s="137">
        <v>110728</v>
      </c>
      <c r="D679" s="136" t="s">
        <v>16116</v>
      </c>
      <c r="E679" s="138">
        <v>27496.86</v>
      </c>
      <c r="F679" s="139">
        <v>42860</v>
      </c>
      <c r="G679" s="140">
        <v>27496.86</v>
      </c>
      <c r="H679" s="138">
        <f t="shared" si="11"/>
        <v>0</v>
      </c>
      <c r="I679" s="141" t="s">
        <v>15214</v>
      </c>
    </row>
    <row r="680" spans="1:9" x14ac:dyDescent="0.25">
      <c r="A680" s="135">
        <v>42860</v>
      </c>
      <c r="B680" s="142" t="s">
        <v>16117</v>
      </c>
      <c r="C680" s="143">
        <v>110729</v>
      </c>
      <c r="D680" s="142" t="s">
        <v>15315</v>
      </c>
      <c r="E680" s="144">
        <v>465</v>
      </c>
      <c r="F680" s="145">
        <v>42860</v>
      </c>
      <c r="G680" s="146">
        <v>465</v>
      </c>
      <c r="H680" s="138">
        <f t="shared" si="11"/>
        <v>0</v>
      </c>
      <c r="I680" s="147" t="s">
        <v>15214</v>
      </c>
    </row>
    <row r="681" spans="1:9" x14ac:dyDescent="0.25">
      <c r="A681" s="135">
        <v>42860</v>
      </c>
      <c r="B681" s="136" t="s">
        <v>16118</v>
      </c>
      <c r="C681" s="137">
        <v>110730</v>
      </c>
      <c r="D681" s="136" t="s">
        <v>15315</v>
      </c>
      <c r="E681" s="138">
        <v>1545</v>
      </c>
      <c r="F681" s="139">
        <v>42860</v>
      </c>
      <c r="G681" s="140">
        <v>1545</v>
      </c>
      <c r="H681" s="138">
        <f t="shared" si="11"/>
        <v>0</v>
      </c>
      <c r="I681" s="141" t="s">
        <v>15214</v>
      </c>
    </row>
    <row r="682" spans="1:9" x14ac:dyDescent="0.25">
      <c r="A682" s="135">
        <v>42860</v>
      </c>
      <c r="B682" s="142" t="s">
        <v>16119</v>
      </c>
      <c r="C682" s="143">
        <v>110731</v>
      </c>
      <c r="D682" s="142" t="s">
        <v>15322</v>
      </c>
      <c r="E682" s="144">
        <v>2626.6</v>
      </c>
      <c r="F682" s="145">
        <v>42860</v>
      </c>
      <c r="G682" s="146">
        <v>2626.6</v>
      </c>
      <c r="H682" s="138">
        <f t="shared" si="11"/>
        <v>0</v>
      </c>
      <c r="I682" s="147" t="s">
        <v>15214</v>
      </c>
    </row>
    <row r="683" spans="1:9" x14ac:dyDescent="0.25">
      <c r="A683" s="135">
        <v>42860</v>
      </c>
      <c r="B683" s="136" t="s">
        <v>16120</v>
      </c>
      <c r="C683" s="137">
        <v>110732</v>
      </c>
      <c r="D683" s="136" t="s">
        <v>15642</v>
      </c>
      <c r="E683" s="138">
        <v>1678.3</v>
      </c>
      <c r="F683" s="139">
        <v>42860</v>
      </c>
      <c r="G683" s="140">
        <v>1678.3</v>
      </c>
      <c r="H683" s="138">
        <f t="shared" si="11"/>
        <v>0</v>
      </c>
      <c r="I683" s="141" t="s">
        <v>15214</v>
      </c>
    </row>
    <row r="684" spans="1:9" x14ac:dyDescent="0.25">
      <c r="A684" s="135">
        <v>42860</v>
      </c>
      <c r="B684" s="142" t="s">
        <v>16121</v>
      </c>
      <c r="C684" s="143">
        <v>110733</v>
      </c>
      <c r="D684" s="142" t="s">
        <v>15246</v>
      </c>
      <c r="E684" s="144">
        <v>226689.72</v>
      </c>
      <c r="F684" s="145">
        <v>42863</v>
      </c>
      <c r="G684" s="146">
        <v>226689.72</v>
      </c>
      <c r="H684" s="138">
        <f t="shared" si="11"/>
        <v>0</v>
      </c>
      <c r="I684" s="147" t="s">
        <v>15214</v>
      </c>
    </row>
    <row r="685" spans="1:9" x14ac:dyDescent="0.25">
      <c r="A685" s="135">
        <v>42860</v>
      </c>
      <c r="B685" s="136" t="s">
        <v>16122</v>
      </c>
      <c r="C685" s="137">
        <v>110734</v>
      </c>
      <c r="D685" s="136" t="s">
        <v>16048</v>
      </c>
      <c r="E685" s="138">
        <v>2270.1</v>
      </c>
      <c r="F685" s="139">
        <v>42860</v>
      </c>
      <c r="G685" s="140">
        <v>2270.1</v>
      </c>
      <c r="H685" s="138">
        <f t="shared" si="11"/>
        <v>0</v>
      </c>
      <c r="I685" s="141" t="s">
        <v>15214</v>
      </c>
    </row>
    <row r="686" spans="1:9" x14ac:dyDescent="0.25">
      <c r="A686" s="135">
        <v>42860</v>
      </c>
      <c r="B686" s="142" t="s">
        <v>16123</v>
      </c>
      <c r="C686" s="143">
        <v>110735</v>
      </c>
      <c r="D686" s="142" t="s">
        <v>15365</v>
      </c>
      <c r="E686" s="144">
        <v>58941.48</v>
      </c>
      <c r="F686" s="145">
        <v>42863</v>
      </c>
      <c r="G686" s="146">
        <v>58941.48</v>
      </c>
      <c r="H686" s="138">
        <f t="shared" si="11"/>
        <v>0</v>
      </c>
      <c r="I686" s="147" t="s">
        <v>15214</v>
      </c>
    </row>
    <row r="687" spans="1:9" x14ac:dyDescent="0.25">
      <c r="A687" s="135">
        <v>42860</v>
      </c>
      <c r="B687" s="136" t="s">
        <v>16124</v>
      </c>
      <c r="C687" s="137">
        <v>110736</v>
      </c>
      <c r="D687" s="136" t="s">
        <v>15267</v>
      </c>
      <c r="E687" s="138">
        <v>18535.52</v>
      </c>
      <c r="F687" s="139">
        <v>42860</v>
      </c>
      <c r="G687" s="140">
        <v>18535.52</v>
      </c>
      <c r="H687" s="138">
        <f t="shared" si="11"/>
        <v>0</v>
      </c>
      <c r="I687" s="141" t="s">
        <v>15214</v>
      </c>
    </row>
    <row r="688" spans="1:9" x14ac:dyDescent="0.25">
      <c r="A688" s="135">
        <v>42860</v>
      </c>
      <c r="B688" s="142" t="s">
        <v>16125</v>
      </c>
      <c r="C688" s="143">
        <v>110737</v>
      </c>
      <c r="D688" s="142" t="s">
        <v>16126</v>
      </c>
      <c r="E688" s="144">
        <v>4759.2</v>
      </c>
      <c r="F688" s="145">
        <v>42860</v>
      </c>
      <c r="G688" s="146">
        <v>4759.2</v>
      </c>
      <c r="H688" s="138">
        <f t="shared" si="11"/>
        <v>0</v>
      </c>
      <c r="I688" s="147" t="s">
        <v>15214</v>
      </c>
    </row>
    <row r="689" spans="1:9" x14ac:dyDescent="0.25">
      <c r="A689" s="135">
        <v>42860</v>
      </c>
      <c r="B689" s="136" t="s">
        <v>16127</v>
      </c>
      <c r="C689" s="137">
        <v>110738</v>
      </c>
      <c r="D689" s="136" t="s">
        <v>15246</v>
      </c>
      <c r="E689" s="138">
        <v>54535.4</v>
      </c>
      <c r="F689" s="139">
        <v>42863</v>
      </c>
      <c r="G689" s="140">
        <v>54535.4</v>
      </c>
      <c r="H689" s="138">
        <f t="shared" si="11"/>
        <v>0</v>
      </c>
      <c r="I689" s="141" t="s">
        <v>15214</v>
      </c>
    </row>
    <row r="690" spans="1:9" x14ac:dyDescent="0.25">
      <c r="A690" s="135">
        <v>42860</v>
      </c>
      <c r="B690" s="142" t="s">
        <v>16128</v>
      </c>
      <c r="C690" s="143">
        <v>110739</v>
      </c>
      <c r="D690" s="142" t="s">
        <v>16129</v>
      </c>
      <c r="E690" s="144">
        <v>5259.8</v>
      </c>
      <c r="F690" s="145">
        <v>42867</v>
      </c>
      <c r="G690" s="146">
        <v>5259.8</v>
      </c>
      <c r="H690" s="138">
        <f t="shared" si="11"/>
        <v>0</v>
      </c>
      <c r="I690" s="147" t="s">
        <v>15214</v>
      </c>
    </row>
    <row r="691" spans="1:9" x14ac:dyDescent="0.25">
      <c r="A691" s="135">
        <v>42860</v>
      </c>
      <c r="B691" s="136" t="s">
        <v>16130</v>
      </c>
      <c r="C691" s="137">
        <v>110740</v>
      </c>
      <c r="D691" s="136" t="s">
        <v>15246</v>
      </c>
      <c r="E691" s="138">
        <v>151235.35</v>
      </c>
      <c r="F691" s="139">
        <v>42863</v>
      </c>
      <c r="G691" s="140">
        <v>151235.35</v>
      </c>
      <c r="H691" s="138">
        <f t="shared" si="11"/>
        <v>0</v>
      </c>
      <c r="I691" s="141" t="s">
        <v>15214</v>
      </c>
    </row>
    <row r="692" spans="1:9" x14ac:dyDescent="0.25">
      <c r="A692" s="135">
        <v>42860</v>
      </c>
      <c r="B692" s="142" t="s">
        <v>16131</v>
      </c>
      <c r="C692" s="143">
        <v>110741</v>
      </c>
      <c r="D692" s="142" t="s">
        <v>15427</v>
      </c>
      <c r="E692" s="144">
        <v>35332.199999999997</v>
      </c>
      <c r="F692" s="145">
        <v>42861</v>
      </c>
      <c r="G692" s="146">
        <v>35332.199999999997</v>
      </c>
      <c r="H692" s="138">
        <f t="shared" si="11"/>
        <v>0</v>
      </c>
      <c r="I692" s="147" t="s">
        <v>15214</v>
      </c>
    </row>
    <row r="693" spans="1:9" x14ac:dyDescent="0.25">
      <c r="A693" s="135">
        <v>42860</v>
      </c>
      <c r="B693" s="136" t="s">
        <v>16132</v>
      </c>
      <c r="C693" s="137">
        <v>110742</v>
      </c>
      <c r="D693" s="136" t="s">
        <v>15423</v>
      </c>
      <c r="E693" s="138">
        <v>3478.1</v>
      </c>
      <c r="F693" s="139">
        <v>42860</v>
      </c>
      <c r="G693" s="140">
        <v>3478.1</v>
      </c>
      <c r="H693" s="138">
        <f t="shared" si="11"/>
        <v>0</v>
      </c>
      <c r="I693" s="141" t="s">
        <v>15214</v>
      </c>
    </row>
    <row r="694" spans="1:9" x14ac:dyDescent="0.25">
      <c r="A694" s="135">
        <v>42860</v>
      </c>
      <c r="B694" s="142" t="s">
        <v>16133</v>
      </c>
      <c r="C694" s="143">
        <v>110743</v>
      </c>
      <c r="D694" s="142" t="s">
        <v>15246</v>
      </c>
      <c r="E694" s="144">
        <v>104355.15</v>
      </c>
      <c r="F694" s="145">
        <v>42863</v>
      </c>
      <c r="G694" s="146">
        <v>104355.15</v>
      </c>
      <c r="H694" s="138">
        <f t="shared" si="11"/>
        <v>0</v>
      </c>
      <c r="I694" s="147" t="s">
        <v>15214</v>
      </c>
    </row>
    <row r="695" spans="1:9" x14ac:dyDescent="0.25">
      <c r="A695" s="135">
        <v>42860</v>
      </c>
      <c r="B695" s="136" t="s">
        <v>16134</v>
      </c>
      <c r="C695" s="137">
        <v>110744</v>
      </c>
      <c r="D695" s="136" t="s">
        <v>15315</v>
      </c>
      <c r="E695" s="138">
        <v>1647.6</v>
      </c>
      <c r="F695" s="139">
        <v>42861</v>
      </c>
      <c r="G695" s="140">
        <v>1647.6</v>
      </c>
      <c r="H695" s="138">
        <f t="shared" si="11"/>
        <v>0</v>
      </c>
      <c r="I695" s="141" t="s">
        <v>15214</v>
      </c>
    </row>
    <row r="696" spans="1:9" x14ac:dyDescent="0.25">
      <c r="A696" s="135">
        <v>42860</v>
      </c>
      <c r="B696" s="142" t="s">
        <v>16135</v>
      </c>
      <c r="C696" s="143">
        <v>110745</v>
      </c>
      <c r="D696" s="142" t="s">
        <v>15250</v>
      </c>
      <c r="E696" s="144">
        <v>42011.15</v>
      </c>
      <c r="F696" s="145">
        <v>42868</v>
      </c>
      <c r="G696" s="146">
        <v>42011.15</v>
      </c>
      <c r="H696" s="138">
        <f t="shared" si="11"/>
        <v>0</v>
      </c>
      <c r="I696" s="147" t="s">
        <v>15214</v>
      </c>
    </row>
    <row r="697" spans="1:9" x14ac:dyDescent="0.25">
      <c r="A697" s="135">
        <v>42860</v>
      </c>
      <c r="B697" s="136" t="s">
        <v>16136</v>
      </c>
      <c r="C697" s="137">
        <v>110746</v>
      </c>
      <c r="D697" s="136" t="s">
        <v>15444</v>
      </c>
      <c r="E697" s="138">
        <v>1620.4</v>
      </c>
      <c r="F697" s="139">
        <v>42861</v>
      </c>
      <c r="G697" s="140">
        <v>1620.4</v>
      </c>
      <c r="H697" s="138">
        <f t="shared" si="11"/>
        <v>0</v>
      </c>
      <c r="I697" s="141" t="s">
        <v>15214</v>
      </c>
    </row>
    <row r="698" spans="1:9" x14ac:dyDescent="0.25">
      <c r="A698" s="135">
        <v>42860</v>
      </c>
      <c r="B698" s="142" t="s">
        <v>16137</v>
      </c>
      <c r="C698" s="143">
        <v>110747</v>
      </c>
      <c r="D698" s="142" t="s">
        <v>5873</v>
      </c>
      <c r="E698" s="144">
        <v>34132.699999999997</v>
      </c>
      <c r="F698" s="145">
        <v>42861</v>
      </c>
      <c r="G698" s="146">
        <v>34132.699999999997</v>
      </c>
      <c r="H698" s="138">
        <f t="shared" si="11"/>
        <v>0</v>
      </c>
      <c r="I698" s="147" t="s">
        <v>15214</v>
      </c>
    </row>
    <row r="699" spans="1:9" x14ac:dyDescent="0.25">
      <c r="A699" s="135">
        <v>42860</v>
      </c>
      <c r="B699" s="136" t="s">
        <v>16138</v>
      </c>
      <c r="C699" s="137">
        <v>110748</v>
      </c>
      <c r="D699" s="136" t="s">
        <v>16139</v>
      </c>
      <c r="E699" s="138">
        <v>2795</v>
      </c>
      <c r="F699" s="139">
        <v>42865</v>
      </c>
      <c r="G699" s="140">
        <v>2795</v>
      </c>
      <c r="H699" s="138">
        <f t="shared" si="11"/>
        <v>0</v>
      </c>
      <c r="I699" s="141" t="s">
        <v>15214</v>
      </c>
    </row>
    <row r="700" spans="1:9" x14ac:dyDescent="0.25">
      <c r="A700" s="135">
        <v>42860</v>
      </c>
      <c r="B700" s="142" t="s">
        <v>16140</v>
      </c>
      <c r="C700" s="143">
        <v>110749</v>
      </c>
      <c r="D700" s="142" t="s">
        <v>15365</v>
      </c>
      <c r="E700" s="144">
        <v>383228</v>
      </c>
      <c r="F700" s="145">
        <v>42863</v>
      </c>
      <c r="G700" s="146">
        <v>383228</v>
      </c>
      <c r="H700" s="138">
        <f t="shared" si="11"/>
        <v>0</v>
      </c>
      <c r="I700" s="147" t="s">
        <v>15214</v>
      </c>
    </row>
    <row r="701" spans="1:9" x14ac:dyDescent="0.25">
      <c r="A701" s="135">
        <v>42860</v>
      </c>
      <c r="B701" s="136" t="s">
        <v>16141</v>
      </c>
      <c r="C701" s="137">
        <v>110750</v>
      </c>
      <c r="D701" s="136" t="s">
        <v>15433</v>
      </c>
      <c r="E701" s="138">
        <v>2396.5</v>
      </c>
      <c r="F701" s="139">
        <v>42860</v>
      </c>
      <c r="G701" s="140">
        <v>2396.5</v>
      </c>
      <c r="H701" s="138">
        <f t="shared" si="11"/>
        <v>0</v>
      </c>
      <c r="I701" s="141" t="s">
        <v>15214</v>
      </c>
    </row>
    <row r="702" spans="1:9" x14ac:dyDescent="0.25">
      <c r="A702" s="135">
        <v>42860</v>
      </c>
      <c r="B702" s="142" t="s">
        <v>16142</v>
      </c>
      <c r="C702" s="143">
        <v>110751</v>
      </c>
      <c r="D702" s="142" t="s">
        <v>15315</v>
      </c>
      <c r="E702" s="144">
        <v>1474</v>
      </c>
      <c r="F702" s="145">
        <v>42860</v>
      </c>
      <c r="G702" s="146">
        <v>1474</v>
      </c>
      <c r="H702" s="138">
        <f t="shared" si="11"/>
        <v>0</v>
      </c>
      <c r="I702" s="147" t="s">
        <v>15214</v>
      </c>
    </row>
    <row r="703" spans="1:9" x14ac:dyDescent="0.25">
      <c r="A703" s="135">
        <v>42860</v>
      </c>
      <c r="B703" s="136" t="s">
        <v>16143</v>
      </c>
      <c r="C703" s="137">
        <v>110752</v>
      </c>
      <c r="D703" s="136" t="s">
        <v>15365</v>
      </c>
      <c r="E703" s="138">
        <v>32047.040000000001</v>
      </c>
      <c r="F703" s="139">
        <v>42863</v>
      </c>
      <c r="G703" s="140">
        <v>32047.040000000001</v>
      </c>
      <c r="H703" s="138">
        <f t="shared" si="11"/>
        <v>0</v>
      </c>
      <c r="I703" s="141" t="s">
        <v>15214</v>
      </c>
    </row>
    <row r="704" spans="1:9" x14ac:dyDescent="0.25">
      <c r="A704" s="135">
        <v>42860</v>
      </c>
      <c r="B704" s="142" t="s">
        <v>16144</v>
      </c>
      <c r="C704" s="143">
        <v>110753</v>
      </c>
      <c r="D704" s="142" t="s">
        <v>16116</v>
      </c>
      <c r="E704" s="144">
        <v>126</v>
      </c>
      <c r="F704" s="145">
        <v>42860</v>
      </c>
      <c r="G704" s="146">
        <v>126</v>
      </c>
      <c r="H704" s="138">
        <f t="shared" si="11"/>
        <v>0</v>
      </c>
      <c r="I704" s="147" t="s">
        <v>15214</v>
      </c>
    </row>
    <row r="705" spans="1:9" x14ac:dyDescent="0.25">
      <c r="A705" s="135">
        <v>42860</v>
      </c>
      <c r="B705" s="136" t="s">
        <v>16145</v>
      </c>
      <c r="C705" s="137">
        <v>110754</v>
      </c>
      <c r="D705" s="136" t="s">
        <v>15396</v>
      </c>
      <c r="E705" s="138">
        <v>11022.86</v>
      </c>
      <c r="F705" s="139">
        <v>42860</v>
      </c>
      <c r="G705" s="140">
        <v>11022.86</v>
      </c>
      <c r="H705" s="138">
        <f t="shared" si="11"/>
        <v>0</v>
      </c>
      <c r="I705" s="141" t="s">
        <v>15214</v>
      </c>
    </row>
    <row r="706" spans="1:9" x14ac:dyDescent="0.25">
      <c r="A706" s="135">
        <v>42860</v>
      </c>
      <c r="B706" s="142" t="s">
        <v>16146</v>
      </c>
      <c r="C706" s="143">
        <v>110755</v>
      </c>
      <c r="D706" s="142" t="s">
        <v>15642</v>
      </c>
      <c r="E706" s="144">
        <v>6449.1</v>
      </c>
      <c r="F706" s="145">
        <v>42860</v>
      </c>
      <c r="G706" s="146">
        <v>6449.1</v>
      </c>
      <c r="H706" s="138">
        <f t="shared" si="11"/>
        <v>0</v>
      </c>
      <c r="I706" s="147" t="s">
        <v>15214</v>
      </c>
    </row>
    <row r="707" spans="1:9" x14ac:dyDescent="0.25">
      <c r="A707" s="135">
        <v>42860</v>
      </c>
      <c r="B707" s="136" t="s">
        <v>16147</v>
      </c>
      <c r="C707" s="137">
        <v>110756</v>
      </c>
      <c r="D707" s="136" t="s">
        <v>15435</v>
      </c>
      <c r="E707" s="138">
        <v>8557.7999999999993</v>
      </c>
      <c r="F707" s="139">
        <v>42860</v>
      </c>
      <c r="G707" s="140">
        <v>8557.7999999999993</v>
      </c>
      <c r="H707" s="138">
        <f t="shared" si="11"/>
        <v>0</v>
      </c>
      <c r="I707" s="141" t="s">
        <v>15214</v>
      </c>
    </row>
    <row r="708" spans="1:9" x14ac:dyDescent="0.25">
      <c r="A708" s="135">
        <v>42860</v>
      </c>
      <c r="B708" s="142" t="s">
        <v>16148</v>
      </c>
      <c r="C708" s="143">
        <v>110757</v>
      </c>
      <c r="D708" s="142" t="s">
        <v>15407</v>
      </c>
      <c r="E708" s="144">
        <v>17206.2</v>
      </c>
      <c r="F708" s="145">
        <v>42860</v>
      </c>
      <c r="G708" s="146">
        <v>17206.2</v>
      </c>
      <c r="H708" s="138">
        <f t="shared" ref="H708:H771" si="12">E708-G708</f>
        <v>0</v>
      </c>
      <c r="I708" s="147" t="s">
        <v>15214</v>
      </c>
    </row>
    <row r="709" spans="1:9" x14ac:dyDescent="0.25">
      <c r="A709" s="135">
        <v>42860</v>
      </c>
      <c r="B709" s="136" t="s">
        <v>16149</v>
      </c>
      <c r="C709" s="137">
        <v>110758</v>
      </c>
      <c r="D709" s="136" t="s">
        <v>15346</v>
      </c>
      <c r="E709" s="138">
        <v>262.2</v>
      </c>
      <c r="F709" s="139">
        <v>42861</v>
      </c>
      <c r="G709" s="140">
        <v>262.2</v>
      </c>
      <c r="H709" s="138">
        <f t="shared" si="12"/>
        <v>0</v>
      </c>
      <c r="I709" s="141" t="s">
        <v>15214</v>
      </c>
    </row>
    <row r="710" spans="1:9" x14ac:dyDescent="0.25">
      <c r="A710" s="135">
        <v>42860</v>
      </c>
      <c r="B710" s="142" t="s">
        <v>16150</v>
      </c>
      <c r="C710" s="143">
        <v>110759</v>
      </c>
      <c r="D710" s="142" t="s">
        <v>15246</v>
      </c>
      <c r="E710" s="144">
        <v>277978.88</v>
      </c>
      <c r="F710" s="145" t="s">
        <v>16151</v>
      </c>
      <c r="G710" s="146">
        <f>125989.17+151989.71</f>
        <v>277978.88</v>
      </c>
      <c r="H710" s="138">
        <f t="shared" si="12"/>
        <v>0</v>
      </c>
      <c r="I710" s="147" t="s">
        <v>15214</v>
      </c>
    </row>
    <row r="711" spans="1:9" x14ac:dyDescent="0.25">
      <c r="A711" s="135">
        <v>42861</v>
      </c>
      <c r="B711" s="136" t="s">
        <v>16152</v>
      </c>
      <c r="C711" s="137">
        <v>110760</v>
      </c>
      <c r="D711" s="136" t="s">
        <v>15213</v>
      </c>
      <c r="E711" s="138">
        <v>9093.1</v>
      </c>
      <c r="F711" s="139">
        <v>42862</v>
      </c>
      <c r="G711" s="140">
        <v>9093.1</v>
      </c>
      <c r="H711" s="138">
        <f t="shared" si="12"/>
        <v>0</v>
      </c>
      <c r="I711" s="141" t="s">
        <v>15214</v>
      </c>
    </row>
    <row r="712" spans="1:9" x14ac:dyDescent="0.25">
      <c r="A712" s="135">
        <v>42861</v>
      </c>
      <c r="B712" s="142" t="s">
        <v>16153</v>
      </c>
      <c r="C712" s="143">
        <v>110761</v>
      </c>
      <c r="D712" s="142" t="s">
        <v>15213</v>
      </c>
      <c r="E712" s="144">
        <v>35838.15</v>
      </c>
      <c r="F712" s="145">
        <v>42862</v>
      </c>
      <c r="G712" s="146">
        <v>35838.15</v>
      </c>
      <c r="H712" s="138">
        <f t="shared" si="12"/>
        <v>0</v>
      </c>
      <c r="I712" s="147" t="s">
        <v>15214</v>
      </c>
    </row>
    <row r="713" spans="1:9" x14ac:dyDescent="0.25">
      <c r="A713" s="135">
        <v>42861</v>
      </c>
      <c r="B713" s="136" t="s">
        <v>16154</v>
      </c>
      <c r="C713" s="137">
        <v>110762</v>
      </c>
      <c r="D713" s="136" t="s">
        <v>15213</v>
      </c>
      <c r="E713" s="138">
        <v>946</v>
      </c>
      <c r="F713" s="139">
        <v>42862</v>
      </c>
      <c r="G713" s="140">
        <v>946</v>
      </c>
      <c r="H713" s="138">
        <f t="shared" si="12"/>
        <v>0</v>
      </c>
      <c r="I713" s="141" t="s">
        <v>15214</v>
      </c>
    </row>
    <row r="714" spans="1:9" x14ac:dyDescent="0.25">
      <c r="A714" s="135">
        <v>42861</v>
      </c>
      <c r="B714" s="142" t="s">
        <v>16155</v>
      </c>
      <c r="C714" s="143">
        <v>110763</v>
      </c>
      <c r="D714" s="142" t="s">
        <v>15220</v>
      </c>
      <c r="E714" s="144">
        <v>5405</v>
      </c>
      <c r="F714" s="145">
        <v>42861</v>
      </c>
      <c r="G714" s="146">
        <v>5405</v>
      </c>
      <c r="H714" s="138">
        <f t="shared" si="12"/>
        <v>0</v>
      </c>
      <c r="I714" s="147" t="s">
        <v>15214</v>
      </c>
    </row>
    <row r="715" spans="1:9" x14ac:dyDescent="0.25">
      <c r="A715" s="135">
        <v>42861</v>
      </c>
      <c r="B715" s="136" t="s">
        <v>16156</v>
      </c>
      <c r="C715" s="137">
        <v>110764</v>
      </c>
      <c r="D715" s="136" t="s">
        <v>15407</v>
      </c>
      <c r="E715" s="138">
        <v>19147.8</v>
      </c>
      <c r="F715" s="139">
        <v>42861</v>
      </c>
      <c r="G715" s="140">
        <v>19147.8</v>
      </c>
      <c r="H715" s="138">
        <f t="shared" si="12"/>
        <v>0</v>
      </c>
      <c r="I715" s="141" t="s">
        <v>15214</v>
      </c>
    </row>
    <row r="716" spans="1:9" x14ac:dyDescent="0.25">
      <c r="A716" s="135">
        <v>42861</v>
      </c>
      <c r="B716" s="142" t="s">
        <v>16157</v>
      </c>
      <c r="C716" s="143">
        <v>110765</v>
      </c>
      <c r="D716" s="142" t="s">
        <v>15230</v>
      </c>
      <c r="E716" s="144">
        <v>30978.799999999999</v>
      </c>
      <c r="F716" s="145">
        <v>42865</v>
      </c>
      <c r="G716" s="146">
        <v>30978.799999999999</v>
      </c>
      <c r="H716" s="138">
        <f t="shared" si="12"/>
        <v>0</v>
      </c>
      <c r="I716" s="147" t="s">
        <v>15214</v>
      </c>
    </row>
    <row r="717" spans="1:9" x14ac:dyDescent="0.25">
      <c r="A717" s="135">
        <v>42861</v>
      </c>
      <c r="B717" s="136" t="s">
        <v>16158</v>
      </c>
      <c r="C717" s="137">
        <v>110766</v>
      </c>
      <c r="D717" s="136" t="s">
        <v>15228</v>
      </c>
      <c r="E717" s="138">
        <v>6890.4</v>
      </c>
      <c r="F717" s="139">
        <v>42861</v>
      </c>
      <c r="G717" s="140">
        <v>6890.4</v>
      </c>
      <c r="H717" s="138">
        <f t="shared" si="12"/>
        <v>0</v>
      </c>
      <c r="I717" s="141" t="s">
        <v>15214</v>
      </c>
    </row>
    <row r="718" spans="1:9" ht="15.75" x14ac:dyDescent="0.25">
      <c r="A718" s="135">
        <v>42861</v>
      </c>
      <c r="B718" s="142" t="s">
        <v>16159</v>
      </c>
      <c r="C718" s="143">
        <v>110767</v>
      </c>
      <c r="D718" s="142" t="s">
        <v>15330</v>
      </c>
      <c r="E718" s="144">
        <v>0</v>
      </c>
      <c r="F718" s="156" t="s">
        <v>95</v>
      </c>
      <c r="G718" s="144">
        <v>0</v>
      </c>
      <c r="H718" s="138">
        <f t="shared" si="12"/>
        <v>0</v>
      </c>
      <c r="I718" s="147" t="s">
        <v>95</v>
      </c>
    </row>
    <row r="719" spans="1:9" x14ac:dyDescent="0.25">
      <c r="A719" s="135">
        <v>42861</v>
      </c>
      <c r="B719" s="136" t="s">
        <v>16160</v>
      </c>
      <c r="C719" s="137">
        <v>110768</v>
      </c>
      <c r="D719" s="136" t="s">
        <v>15330</v>
      </c>
      <c r="E719" s="138">
        <v>3147.1</v>
      </c>
      <c r="F719" s="139">
        <v>42861</v>
      </c>
      <c r="G719" s="140">
        <v>3147.1</v>
      </c>
      <c r="H719" s="138">
        <f t="shared" si="12"/>
        <v>0</v>
      </c>
      <c r="I719" s="141" t="s">
        <v>15214</v>
      </c>
    </row>
    <row r="720" spans="1:9" x14ac:dyDescent="0.25">
      <c r="A720" s="135">
        <v>42861</v>
      </c>
      <c r="B720" s="142" t="s">
        <v>16161</v>
      </c>
      <c r="C720" s="143">
        <v>110769</v>
      </c>
      <c r="D720" s="142" t="s">
        <v>15681</v>
      </c>
      <c r="E720" s="144">
        <v>2041.6</v>
      </c>
      <c r="F720" s="145">
        <v>42861</v>
      </c>
      <c r="G720" s="146">
        <v>2041.6</v>
      </c>
      <c r="H720" s="138">
        <f t="shared" si="12"/>
        <v>0</v>
      </c>
      <c r="I720" s="147" t="s">
        <v>15214</v>
      </c>
    </row>
    <row r="721" spans="1:9" x14ac:dyDescent="0.25">
      <c r="A721" s="135">
        <v>42861</v>
      </c>
      <c r="B721" s="136" t="s">
        <v>16162</v>
      </c>
      <c r="C721" s="137">
        <v>110770</v>
      </c>
      <c r="D721" s="136" t="s">
        <v>15596</v>
      </c>
      <c r="E721" s="138">
        <v>944.7</v>
      </c>
      <c r="F721" s="139">
        <v>42861</v>
      </c>
      <c r="G721" s="140">
        <v>944.7</v>
      </c>
      <c r="H721" s="138">
        <f t="shared" si="12"/>
        <v>0</v>
      </c>
      <c r="I721" s="141" t="s">
        <v>15214</v>
      </c>
    </row>
    <row r="722" spans="1:9" x14ac:dyDescent="0.25">
      <c r="A722" s="135">
        <v>42861</v>
      </c>
      <c r="B722" s="142" t="s">
        <v>16163</v>
      </c>
      <c r="C722" s="143">
        <v>110771</v>
      </c>
      <c r="D722" s="142" t="s">
        <v>15526</v>
      </c>
      <c r="E722" s="144">
        <v>3883.2</v>
      </c>
      <c r="F722" s="145">
        <v>42861</v>
      </c>
      <c r="G722" s="146">
        <v>3883.2</v>
      </c>
      <c r="H722" s="138">
        <f t="shared" si="12"/>
        <v>0</v>
      </c>
      <c r="I722" s="147" t="s">
        <v>15214</v>
      </c>
    </row>
    <row r="723" spans="1:9" x14ac:dyDescent="0.25">
      <c r="A723" s="135">
        <v>42861</v>
      </c>
      <c r="B723" s="136" t="s">
        <v>16164</v>
      </c>
      <c r="C723" s="137">
        <v>110772</v>
      </c>
      <c r="D723" s="136" t="s">
        <v>15226</v>
      </c>
      <c r="E723" s="138">
        <v>1316</v>
      </c>
      <c r="F723" s="139">
        <v>42864</v>
      </c>
      <c r="G723" s="140">
        <v>1316</v>
      </c>
      <c r="H723" s="138">
        <f t="shared" si="12"/>
        <v>0</v>
      </c>
      <c r="I723" s="141" t="s">
        <v>15214</v>
      </c>
    </row>
    <row r="724" spans="1:9" ht="15.75" x14ac:dyDescent="0.25">
      <c r="A724" s="135">
        <v>42861</v>
      </c>
      <c r="B724" s="142" t="s">
        <v>16165</v>
      </c>
      <c r="C724" s="143">
        <v>110773</v>
      </c>
      <c r="D724" s="142" t="s">
        <v>15348</v>
      </c>
      <c r="E724" s="144">
        <v>0</v>
      </c>
      <c r="F724" s="156" t="s">
        <v>95</v>
      </c>
      <c r="G724" s="144">
        <v>0</v>
      </c>
      <c r="H724" s="138">
        <f t="shared" si="12"/>
        <v>0</v>
      </c>
      <c r="I724" s="147" t="s">
        <v>95</v>
      </c>
    </row>
    <row r="725" spans="1:9" x14ac:dyDescent="0.25">
      <c r="A725" s="135">
        <v>42861</v>
      </c>
      <c r="B725" s="136" t="s">
        <v>16166</v>
      </c>
      <c r="C725" s="137">
        <v>110774</v>
      </c>
      <c r="D725" s="136" t="s">
        <v>15861</v>
      </c>
      <c r="E725" s="138">
        <v>2248.8000000000002</v>
      </c>
      <c r="F725" s="139">
        <v>42861</v>
      </c>
      <c r="G725" s="140">
        <v>2248.8000000000002</v>
      </c>
      <c r="H725" s="138">
        <f t="shared" si="12"/>
        <v>0</v>
      </c>
      <c r="I725" s="141" t="s">
        <v>15214</v>
      </c>
    </row>
    <row r="726" spans="1:9" x14ac:dyDescent="0.25">
      <c r="A726" s="135">
        <v>42861</v>
      </c>
      <c r="B726" s="142" t="s">
        <v>16167</v>
      </c>
      <c r="C726" s="143">
        <v>110775</v>
      </c>
      <c r="D726" s="142" t="s">
        <v>15356</v>
      </c>
      <c r="E726" s="144">
        <v>649.6</v>
      </c>
      <c r="F726" s="145">
        <v>42861</v>
      </c>
      <c r="G726" s="146">
        <v>649.6</v>
      </c>
      <c r="H726" s="138">
        <f t="shared" si="12"/>
        <v>0</v>
      </c>
      <c r="I726" s="147" t="s">
        <v>15214</v>
      </c>
    </row>
    <row r="727" spans="1:9" x14ac:dyDescent="0.25">
      <c r="A727" s="135">
        <v>42861</v>
      </c>
      <c r="B727" s="136" t="s">
        <v>16168</v>
      </c>
      <c r="C727" s="137">
        <v>110776</v>
      </c>
      <c r="D727" s="136" t="s">
        <v>15344</v>
      </c>
      <c r="E727" s="138">
        <v>3336</v>
      </c>
      <c r="F727" s="139">
        <v>42861</v>
      </c>
      <c r="G727" s="140">
        <v>3336</v>
      </c>
      <c r="H727" s="138">
        <f t="shared" si="12"/>
        <v>0</v>
      </c>
      <c r="I727" s="141" t="s">
        <v>15214</v>
      </c>
    </row>
    <row r="728" spans="1:9" x14ac:dyDescent="0.25">
      <c r="A728" s="135">
        <v>42861</v>
      </c>
      <c r="B728" s="142" t="s">
        <v>16169</v>
      </c>
      <c r="C728" s="143">
        <v>110777</v>
      </c>
      <c r="D728" s="142" t="s">
        <v>15232</v>
      </c>
      <c r="E728" s="144">
        <v>14552.1</v>
      </c>
      <c r="F728" s="145">
        <v>42867</v>
      </c>
      <c r="G728" s="146">
        <v>14552.1</v>
      </c>
      <c r="H728" s="138">
        <f t="shared" si="12"/>
        <v>0</v>
      </c>
      <c r="I728" s="147" t="s">
        <v>15214</v>
      </c>
    </row>
    <row r="729" spans="1:9" x14ac:dyDescent="0.25">
      <c r="A729" s="135">
        <v>42861</v>
      </c>
      <c r="B729" s="136" t="s">
        <v>16170</v>
      </c>
      <c r="C729" s="137">
        <v>110778</v>
      </c>
      <c r="D729" s="136" t="s">
        <v>16171</v>
      </c>
      <c r="E729" s="138">
        <v>858.6</v>
      </c>
      <c r="F729" s="139">
        <v>42861</v>
      </c>
      <c r="G729" s="140">
        <v>858.6</v>
      </c>
      <c r="H729" s="138">
        <f t="shared" si="12"/>
        <v>0</v>
      </c>
      <c r="I729" s="141" t="s">
        <v>15214</v>
      </c>
    </row>
    <row r="730" spans="1:9" x14ac:dyDescent="0.25">
      <c r="A730" s="135">
        <v>42861</v>
      </c>
      <c r="B730" s="142" t="s">
        <v>16172</v>
      </c>
      <c r="C730" s="143">
        <v>110779</v>
      </c>
      <c r="D730" s="142" t="s">
        <v>15858</v>
      </c>
      <c r="E730" s="144">
        <v>396.9</v>
      </c>
      <c r="F730" s="145">
        <v>42861</v>
      </c>
      <c r="G730" s="146">
        <v>396.9</v>
      </c>
      <c r="H730" s="138">
        <f t="shared" si="12"/>
        <v>0</v>
      </c>
      <c r="I730" s="147" t="s">
        <v>15214</v>
      </c>
    </row>
    <row r="731" spans="1:9" x14ac:dyDescent="0.25">
      <c r="A731" s="135">
        <v>42861</v>
      </c>
      <c r="B731" s="136" t="s">
        <v>16173</v>
      </c>
      <c r="C731" s="137">
        <v>110780</v>
      </c>
      <c r="D731" s="136" t="s">
        <v>15332</v>
      </c>
      <c r="E731" s="138">
        <v>3473.3</v>
      </c>
      <c r="F731" s="139">
        <v>42861</v>
      </c>
      <c r="G731" s="140">
        <v>3473.3</v>
      </c>
      <c r="H731" s="138">
        <f t="shared" si="12"/>
        <v>0</v>
      </c>
      <c r="I731" s="141" t="s">
        <v>15214</v>
      </c>
    </row>
    <row r="732" spans="1:9" x14ac:dyDescent="0.25">
      <c r="A732" s="135">
        <v>42861</v>
      </c>
      <c r="B732" s="142" t="s">
        <v>16174</v>
      </c>
      <c r="C732" s="143">
        <v>110781</v>
      </c>
      <c r="D732" s="142" t="s">
        <v>15324</v>
      </c>
      <c r="E732" s="144">
        <v>1702.5</v>
      </c>
      <c r="F732" s="145">
        <v>42861</v>
      </c>
      <c r="G732" s="146">
        <v>1702.5</v>
      </c>
      <c r="H732" s="138">
        <f t="shared" si="12"/>
        <v>0</v>
      </c>
      <c r="I732" s="147" t="s">
        <v>15214</v>
      </c>
    </row>
    <row r="733" spans="1:9" x14ac:dyDescent="0.25">
      <c r="A733" s="135">
        <v>42861</v>
      </c>
      <c r="B733" s="136" t="s">
        <v>16175</v>
      </c>
      <c r="C733" s="137">
        <v>110782</v>
      </c>
      <c r="D733" s="136" t="s">
        <v>15328</v>
      </c>
      <c r="E733" s="138">
        <v>5790.1</v>
      </c>
      <c r="F733" s="139">
        <v>42880</v>
      </c>
      <c r="G733" s="140">
        <v>5790.1</v>
      </c>
      <c r="H733" s="138">
        <f t="shared" si="12"/>
        <v>0</v>
      </c>
      <c r="I733" s="141" t="s">
        <v>15214</v>
      </c>
    </row>
    <row r="734" spans="1:9" x14ac:dyDescent="0.25">
      <c r="A734" s="135">
        <v>42861</v>
      </c>
      <c r="B734" s="142" t="s">
        <v>16176</v>
      </c>
      <c r="C734" s="143">
        <v>110783</v>
      </c>
      <c r="D734" s="142" t="s">
        <v>15350</v>
      </c>
      <c r="E734" s="144">
        <v>1884.7</v>
      </c>
      <c r="F734" s="145">
        <v>42861</v>
      </c>
      <c r="G734" s="146">
        <v>1884.7</v>
      </c>
      <c r="H734" s="138">
        <f t="shared" si="12"/>
        <v>0</v>
      </c>
      <c r="I734" s="147" t="s">
        <v>15214</v>
      </c>
    </row>
    <row r="735" spans="1:9" x14ac:dyDescent="0.25">
      <c r="A735" s="135">
        <v>42861</v>
      </c>
      <c r="B735" s="136" t="s">
        <v>16177</v>
      </c>
      <c r="C735" s="137">
        <v>110784</v>
      </c>
      <c r="D735" s="136" t="s">
        <v>15854</v>
      </c>
      <c r="E735" s="138">
        <v>2043.1</v>
      </c>
      <c r="F735" s="139">
        <v>42861</v>
      </c>
      <c r="G735" s="140">
        <v>2043.1</v>
      </c>
      <c r="H735" s="138">
        <f t="shared" si="12"/>
        <v>0</v>
      </c>
      <c r="I735" s="141" t="s">
        <v>15214</v>
      </c>
    </row>
    <row r="736" spans="1:9" x14ac:dyDescent="0.25">
      <c r="A736" s="135">
        <v>42861</v>
      </c>
      <c r="B736" s="142" t="s">
        <v>16178</v>
      </c>
      <c r="C736" s="143">
        <v>110785</v>
      </c>
      <c r="D736" s="142" t="s">
        <v>15258</v>
      </c>
      <c r="E736" s="144">
        <v>27988.799999999999</v>
      </c>
      <c r="F736" s="145" t="s">
        <v>16179</v>
      </c>
      <c r="G736" s="146">
        <f>14000+4000+9988.8</f>
        <v>27988.799999999999</v>
      </c>
      <c r="H736" s="138">
        <f t="shared" si="12"/>
        <v>0</v>
      </c>
      <c r="I736" s="147" t="s">
        <v>15214</v>
      </c>
    </row>
    <row r="737" spans="1:9" ht="15.75" x14ac:dyDescent="0.25">
      <c r="A737" s="135">
        <v>42861</v>
      </c>
      <c r="B737" s="136" t="s">
        <v>16180</v>
      </c>
      <c r="C737" s="137">
        <v>110786</v>
      </c>
      <c r="D737" s="136" t="s">
        <v>15348</v>
      </c>
      <c r="E737" s="138">
        <v>0</v>
      </c>
      <c r="F737" s="153" t="s">
        <v>95</v>
      </c>
      <c r="G737" s="138">
        <v>0</v>
      </c>
      <c r="H737" s="138">
        <f t="shared" si="12"/>
        <v>0</v>
      </c>
      <c r="I737" s="141" t="s">
        <v>95</v>
      </c>
    </row>
    <row r="738" spans="1:9" x14ac:dyDescent="0.25">
      <c r="A738" s="135">
        <v>42861</v>
      </c>
      <c r="B738" s="142" t="s">
        <v>16181</v>
      </c>
      <c r="C738" s="143">
        <v>110787</v>
      </c>
      <c r="D738" s="142" t="s">
        <v>15348</v>
      </c>
      <c r="E738" s="144">
        <v>4069.1</v>
      </c>
      <c r="F738" s="145">
        <v>42865</v>
      </c>
      <c r="G738" s="146">
        <v>4069.1</v>
      </c>
      <c r="H738" s="138">
        <f t="shared" si="12"/>
        <v>0</v>
      </c>
      <c r="I738" s="147" t="s">
        <v>15214</v>
      </c>
    </row>
    <row r="739" spans="1:9" x14ac:dyDescent="0.25">
      <c r="A739" s="135">
        <v>42861</v>
      </c>
      <c r="B739" s="136" t="s">
        <v>16182</v>
      </c>
      <c r="C739" s="137">
        <v>110788</v>
      </c>
      <c r="D739" s="136" t="s">
        <v>15236</v>
      </c>
      <c r="E739" s="138">
        <v>9214.2999999999993</v>
      </c>
      <c r="F739" s="139" t="s">
        <v>16183</v>
      </c>
      <c r="G739" s="140">
        <f>5000+4214.3</f>
        <v>9214.2999999999993</v>
      </c>
      <c r="H739" s="138">
        <f t="shared" si="12"/>
        <v>0</v>
      </c>
      <c r="I739" s="141" t="s">
        <v>15214</v>
      </c>
    </row>
    <row r="740" spans="1:9" x14ac:dyDescent="0.25">
      <c r="A740" s="135">
        <v>42861</v>
      </c>
      <c r="B740" s="142" t="s">
        <v>16184</v>
      </c>
      <c r="C740" s="143">
        <v>110789</v>
      </c>
      <c r="D740" s="142" t="s">
        <v>15238</v>
      </c>
      <c r="E740" s="144">
        <v>9713.2000000000007</v>
      </c>
      <c r="F740" s="145">
        <v>42864</v>
      </c>
      <c r="G740" s="146">
        <v>9713.2000000000007</v>
      </c>
      <c r="H740" s="138">
        <f t="shared" si="12"/>
        <v>0</v>
      </c>
      <c r="I740" s="147" t="s">
        <v>15214</v>
      </c>
    </row>
    <row r="741" spans="1:9" ht="15.75" x14ac:dyDescent="0.25">
      <c r="A741" s="135">
        <v>42861</v>
      </c>
      <c r="B741" s="136" t="s">
        <v>16185</v>
      </c>
      <c r="C741" s="137">
        <v>110790</v>
      </c>
      <c r="D741" s="136" t="s">
        <v>5575</v>
      </c>
      <c r="E741" s="138">
        <v>0</v>
      </c>
      <c r="F741" s="153" t="s">
        <v>95</v>
      </c>
      <c r="G741" s="138">
        <v>0</v>
      </c>
      <c r="H741" s="138">
        <f t="shared" si="12"/>
        <v>0</v>
      </c>
      <c r="I741" s="141" t="s">
        <v>95</v>
      </c>
    </row>
    <row r="742" spans="1:9" x14ac:dyDescent="0.25">
      <c r="A742" s="135">
        <v>42861</v>
      </c>
      <c r="B742" s="142" t="s">
        <v>16186</v>
      </c>
      <c r="C742" s="143">
        <v>110791</v>
      </c>
      <c r="D742" s="142" t="s">
        <v>15334</v>
      </c>
      <c r="E742" s="144">
        <v>3448.7</v>
      </c>
      <c r="F742" s="145">
        <v>42861</v>
      </c>
      <c r="G742" s="146">
        <v>3448.7</v>
      </c>
      <c r="H742" s="138">
        <f t="shared" si="12"/>
        <v>0</v>
      </c>
      <c r="I742" s="147" t="s">
        <v>15214</v>
      </c>
    </row>
    <row r="743" spans="1:9" x14ac:dyDescent="0.25">
      <c r="A743" s="135">
        <v>42861</v>
      </c>
      <c r="B743" s="136" t="s">
        <v>16187</v>
      </c>
      <c r="C743" s="137">
        <v>110792</v>
      </c>
      <c r="D743" s="136" t="s">
        <v>5575</v>
      </c>
      <c r="E743" s="138">
        <v>10014.200000000001</v>
      </c>
      <c r="F743" s="139" t="s">
        <v>16188</v>
      </c>
      <c r="G743" s="140">
        <f>4000+6014.2</f>
        <v>10014.200000000001</v>
      </c>
      <c r="H743" s="138">
        <f t="shared" si="12"/>
        <v>0</v>
      </c>
      <c r="I743" s="141" t="s">
        <v>15214</v>
      </c>
    </row>
    <row r="744" spans="1:9" x14ac:dyDescent="0.25">
      <c r="A744" s="135">
        <v>42861</v>
      </c>
      <c r="B744" s="142" t="s">
        <v>16189</v>
      </c>
      <c r="C744" s="143">
        <v>110793</v>
      </c>
      <c r="D744" s="142" t="s">
        <v>15252</v>
      </c>
      <c r="E744" s="144">
        <v>7626.5</v>
      </c>
      <c r="F744" s="145">
        <v>42864</v>
      </c>
      <c r="G744" s="146">
        <v>7626.5</v>
      </c>
      <c r="H744" s="138">
        <f t="shared" si="12"/>
        <v>0</v>
      </c>
      <c r="I744" s="147" t="s">
        <v>15214</v>
      </c>
    </row>
    <row r="745" spans="1:9" x14ac:dyDescent="0.25">
      <c r="A745" s="135">
        <v>42861</v>
      </c>
      <c r="B745" s="136" t="s">
        <v>16190</v>
      </c>
      <c r="C745" s="137">
        <v>110794</v>
      </c>
      <c r="D745" s="136" t="s">
        <v>15378</v>
      </c>
      <c r="E745" s="138">
        <v>864.8</v>
      </c>
      <c r="F745" s="139">
        <v>42861</v>
      </c>
      <c r="G745" s="140">
        <v>864.8</v>
      </c>
      <c r="H745" s="138">
        <f t="shared" si="12"/>
        <v>0</v>
      </c>
      <c r="I745" s="141" t="s">
        <v>15214</v>
      </c>
    </row>
    <row r="746" spans="1:9" x14ac:dyDescent="0.25">
      <c r="A746" s="135">
        <v>42861</v>
      </c>
      <c r="B746" s="142" t="s">
        <v>16191</v>
      </c>
      <c r="C746" s="143">
        <v>110795</v>
      </c>
      <c r="D746" s="142" t="s">
        <v>15242</v>
      </c>
      <c r="E746" s="144">
        <v>4954.3999999999996</v>
      </c>
      <c r="F746" s="145">
        <v>42861</v>
      </c>
      <c r="G746" s="146">
        <v>4954.3999999999996</v>
      </c>
      <c r="H746" s="138">
        <f t="shared" si="12"/>
        <v>0</v>
      </c>
      <c r="I746" s="147" t="s">
        <v>15214</v>
      </c>
    </row>
    <row r="747" spans="1:9" x14ac:dyDescent="0.25">
      <c r="A747" s="135">
        <v>42861</v>
      </c>
      <c r="B747" s="136" t="s">
        <v>16192</v>
      </c>
      <c r="C747" s="137">
        <v>110796</v>
      </c>
      <c r="D747" s="136" t="s">
        <v>15244</v>
      </c>
      <c r="E747" s="138">
        <v>27602.9</v>
      </c>
      <c r="F747" s="139">
        <v>43599</v>
      </c>
      <c r="G747" s="140">
        <v>27602.9</v>
      </c>
      <c r="H747" s="138">
        <f t="shared" si="12"/>
        <v>0</v>
      </c>
      <c r="I747" s="141" t="s">
        <v>15214</v>
      </c>
    </row>
    <row r="748" spans="1:9" x14ac:dyDescent="0.25">
      <c r="A748" s="135">
        <v>42861</v>
      </c>
      <c r="B748" s="142" t="s">
        <v>16193</v>
      </c>
      <c r="C748" s="143">
        <v>110797</v>
      </c>
      <c r="D748" s="142" t="s">
        <v>15254</v>
      </c>
      <c r="E748" s="144">
        <v>9192</v>
      </c>
      <c r="F748" s="145">
        <v>42865</v>
      </c>
      <c r="G748" s="146">
        <v>9192</v>
      </c>
      <c r="H748" s="138">
        <f t="shared" si="12"/>
        <v>0</v>
      </c>
      <c r="I748" s="147" t="s">
        <v>15214</v>
      </c>
    </row>
    <row r="749" spans="1:9" x14ac:dyDescent="0.25">
      <c r="A749" s="135">
        <v>42861</v>
      </c>
      <c r="B749" s="136" t="s">
        <v>16194</v>
      </c>
      <c r="C749" s="137">
        <v>110798</v>
      </c>
      <c r="D749" s="136" t="s">
        <v>15234</v>
      </c>
      <c r="E749" s="138">
        <v>9064.4</v>
      </c>
      <c r="F749" s="139" t="s">
        <v>16195</v>
      </c>
      <c r="G749" s="140">
        <f>3565+5499.4</f>
        <v>9064.4</v>
      </c>
      <c r="H749" s="138">
        <f t="shared" si="12"/>
        <v>0</v>
      </c>
      <c r="I749" s="141" t="s">
        <v>15214</v>
      </c>
    </row>
    <row r="750" spans="1:9" x14ac:dyDescent="0.25">
      <c r="A750" s="135">
        <v>42861</v>
      </c>
      <c r="B750" s="142" t="s">
        <v>16196</v>
      </c>
      <c r="C750" s="143">
        <v>110799</v>
      </c>
      <c r="D750" s="142" t="s">
        <v>15261</v>
      </c>
      <c r="E750" s="144">
        <v>31234.9</v>
      </c>
      <c r="F750" s="145">
        <v>42861</v>
      </c>
      <c r="G750" s="146">
        <v>31234.9</v>
      </c>
      <c r="H750" s="138">
        <f t="shared" si="12"/>
        <v>0</v>
      </c>
      <c r="I750" s="147" t="s">
        <v>15214</v>
      </c>
    </row>
    <row r="751" spans="1:9" x14ac:dyDescent="0.25">
      <c r="A751" s="135">
        <v>42861</v>
      </c>
      <c r="B751" s="136" t="s">
        <v>16197</v>
      </c>
      <c r="C751" s="137">
        <v>110800</v>
      </c>
      <c r="D751" s="136" t="s">
        <v>15272</v>
      </c>
      <c r="E751" s="138">
        <v>26380.1</v>
      </c>
      <c r="F751" s="139">
        <v>42861</v>
      </c>
      <c r="G751" s="140">
        <v>26380.1</v>
      </c>
      <c r="H751" s="138">
        <f t="shared" si="12"/>
        <v>0</v>
      </c>
      <c r="I751" s="141" t="s">
        <v>15214</v>
      </c>
    </row>
    <row r="752" spans="1:9" x14ac:dyDescent="0.25">
      <c r="A752" s="135">
        <v>42861</v>
      </c>
      <c r="B752" s="142" t="s">
        <v>16198</v>
      </c>
      <c r="C752" s="143">
        <v>110801</v>
      </c>
      <c r="D752" s="142" t="s">
        <v>15248</v>
      </c>
      <c r="E752" s="144">
        <v>19237</v>
      </c>
      <c r="F752" s="145">
        <v>42861</v>
      </c>
      <c r="G752" s="146">
        <v>19237</v>
      </c>
      <c r="H752" s="138">
        <f t="shared" si="12"/>
        <v>0</v>
      </c>
      <c r="I752" s="147" t="s">
        <v>15214</v>
      </c>
    </row>
    <row r="753" spans="1:9" x14ac:dyDescent="0.25">
      <c r="A753" s="135">
        <v>42861</v>
      </c>
      <c r="B753" s="136" t="s">
        <v>16199</v>
      </c>
      <c r="C753" s="137">
        <v>110802</v>
      </c>
      <c r="D753" s="136" t="s">
        <v>15223</v>
      </c>
      <c r="E753" s="138">
        <v>45487.199999999997</v>
      </c>
      <c r="F753" s="139">
        <v>42874</v>
      </c>
      <c r="G753" s="140">
        <v>45487.199999999997</v>
      </c>
      <c r="H753" s="138">
        <f t="shared" si="12"/>
        <v>0</v>
      </c>
      <c r="I753" s="141" t="s">
        <v>15214</v>
      </c>
    </row>
    <row r="754" spans="1:9" x14ac:dyDescent="0.25">
      <c r="A754" s="135">
        <v>42861</v>
      </c>
      <c r="B754" s="142" t="s">
        <v>16200</v>
      </c>
      <c r="C754" s="143">
        <v>110803</v>
      </c>
      <c r="D754" s="142" t="s">
        <v>15256</v>
      </c>
      <c r="E754" s="144">
        <v>10918.4</v>
      </c>
      <c r="F754" s="145">
        <v>42864</v>
      </c>
      <c r="G754" s="146">
        <v>10918.4</v>
      </c>
      <c r="H754" s="138">
        <f t="shared" si="12"/>
        <v>0</v>
      </c>
      <c r="I754" s="147" t="s">
        <v>15214</v>
      </c>
    </row>
    <row r="755" spans="1:9" x14ac:dyDescent="0.25">
      <c r="A755" s="135">
        <v>42861</v>
      </c>
      <c r="B755" s="136" t="s">
        <v>16201</v>
      </c>
      <c r="C755" s="137">
        <v>110804</v>
      </c>
      <c r="D755" s="136" t="s">
        <v>15256</v>
      </c>
      <c r="E755" s="138">
        <v>8892</v>
      </c>
      <c r="F755" s="139">
        <v>42863</v>
      </c>
      <c r="G755" s="140">
        <v>8892</v>
      </c>
      <c r="H755" s="138">
        <f t="shared" si="12"/>
        <v>0</v>
      </c>
      <c r="I755" s="141" t="s">
        <v>15214</v>
      </c>
    </row>
    <row r="756" spans="1:9" x14ac:dyDescent="0.25">
      <c r="A756" s="135">
        <v>42861</v>
      </c>
      <c r="B756" s="142" t="s">
        <v>16202</v>
      </c>
      <c r="C756" s="143">
        <v>110805</v>
      </c>
      <c r="D756" s="142" t="s">
        <v>15261</v>
      </c>
      <c r="E756" s="144">
        <v>768</v>
      </c>
      <c r="F756" s="145">
        <v>42861</v>
      </c>
      <c r="G756" s="146">
        <v>768</v>
      </c>
      <c r="H756" s="138">
        <f t="shared" si="12"/>
        <v>0</v>
      </c>
      <c r="I756" s="147" t="s">
        <v>15214</v>
      </c>
    </row>
    <row r="757" spans="1:9" ht="15.75" x14ac:dyDescent="0.25">
      <c r="A757" s="135">
        <v>42861</v>
      </c>
      <c r="B757" s="136" t="s">
        <v>16203</v>
      </c>
      <c r="C757" s="137">
        <v>110806</v>
      </c>
      <c r="D757" s="136" t="s">
        <v>15303</v>
      </c>
      <c r="E757" s="138">
        <v>0</v>
      </c>
      <c r="F757" s="153" t="s">
        <v>95</v>
      </c>
      <c r="G757" s="138">
        <v>0</v>
      </c>
      <c r="H757" s="138">
        <f t="shared" si="12"/>
        <v>0</v>
      </c>
      <c r="I757" s="141" t="s">
        <v>95</v>
      </c>
    </row>
    <row r="758" spans="1:9" x14ac:dyDescent="0.25">
      <c r="A758" s="135">
        <v>42861</v>
      </c>
      <c r="B758" s="142" t="s">
        <v>16204</v>
      </c>
      <c r="C758" s="143">
        <v>110807</v>
      </c>
      <c r="D758" s="142" t="s">
        <v>15480</v>
      </c>
      <c r="E758" s="144">
        <v>12776</v>
      </c>
      <c r="F758" s="145" t="s">
        <v>16205</v>
      </c>
      <c r="G758" s="146">
        <f>6400+5000+1376</f>
        <v>12776</v>
      </c>
      <c r="H758" s="138">
        <f t="shared" si="12"/>
        <v>0</v>
      </c>
      <c r="I758" s="147" t="s">
        <v>15214</v>
      </c>
    </row>
    <row r="759" spans="1:9" x14ac:dyDescent="0.25">
      <c r="A759" s="135">
        <v>42861</v>
      </c>
      <c r="B759" s="136" t="s">
        <v>16206</v>
      </c>
      <c r="C759" s="137">
        <v>110808</v>
      </c>
      <c r="D759" s="136" t="s">
        <v>15248</v>
      </c>
      <c r="E759" s="138">
        <v>10801</v>
      </c>
      <c r="F759" s="139">
        <v>42861</v>
      </c>
      <c r="G759" s="140">
        <v>10801</v>
      </c>
      <c r="H759" s="138">
        <f t="shared" si="12"/>
        <v>0</v>
      </c>
      <c r="I759" s="141" t="s">
        <v>15214</v>
      </c>
    </row>
    <row r="760" spans="1:9" x14ac:dyDescent="0.25">
      <c r="A760" s="135">
        <v>42861</v>
      </c>
      <c r="B760" s="142" t="s">
        <v>16207</v>
      </c>
      <c r="C760" s="143">
        <v>110809</v>
      </c>
      <c r="D760" s="142" t="s">
        <v>15541</v>
      </c>
      <c r="E760" s="144">
        <v>3089.8</v>
      </c>
      <c r="F760" s="145">
        <v>42861</v>
      </c>
      <c r="G760" s="146">
        <v>3089.8</v>
      </c>
      <c r="H760" s="138">
        <f t="shared" si="12"/>
        <v>0</v>
      </c>
      <c r="I760" s="147" t="s">
        <v>15214</v>
      </c>
    </row>
    <row r="761" spans="1:9" x14ac:dyDescent="0.25">
      <c r="A761" s="135">
        <v>42861</v>
      </c>
      <c r="B761" s="136" t="s">
        <v>16208</v>
      </c>
      <c r="C761" s="137">
        <v>110810</v>
      </c>
      <c r="D761" s="136" t="s">
        <v>15415</v>
      </c>
      <c r="E761" s="138">
        <v>3797</v>
      </c>
      <c r="F761" s="139">
        <v>42866</v>
      </c>
      <c r="G761" s="140">
        <v>3797</v>
      </c>
      <c r="H761" s="138">
        <f t="shared" si="12"/>
        <v>0</v>
      </c>
      <c r="I761" s="141" t="s">
        <v>15214</v>
      </c>
    </row>
    <row r="762" spans="1:9" x14ac:dyDescent="0.25">
      <c r="A762" s="135">
        <v>42861</v>
      </c>
      <c r="B762" s="142" t="s">
        <v>16209</v>
      </c>
      <c r="C762" s="143">
        <v>110811</v>
      </c>
      <c r="D762" s="142" t="s">
        <v>5873</v>
      </c>
      <c r="E762" s="144">
        <v>32620.32</v>
      </c>
      <c r="F762" s="145">
        <v>42861</v>
      </c>
      <c r="G762" s="146">
        <v>32620.32</v>
      </c>
      <c r="H762" s="138">
        <f t="shared" si="12"/>
        <v>0</v>
      </c>
      <c r="I762" s="147" t="s">
        <v>15214</v>
      </c>
    </row>
    <row r="763" spans="1:9" x14ac:dyDescent="0.25">
      <c r="A763" s="135">
        <v>42861</v>
      </c>
      <c r="B763" s="136" t="s">
        <v>16210</v>
      </c>
      <c r="C763" s="137">
        <v>110812</v>
      </c>
      <c r="D763" s="136" t="s">
        <v>15280</v>
      </c>
      <c r="E763" s="138">
        <v>6306.4</v>
      </c>
      <c r="F763" s="139">
        <v>42861</v>
      </c>
      <c r="G763" s="140">
        <v>6306.4</v>
      </c>
      <c r="H763" s="138">
        <f t="shared" si="12"/>
        <v>0</v>
      </c>
      <c r="I763" s="141" t="s">
        <v>15214</v>
      </c>
    </row>
    <row r="764" spans="1:9" x14ac:dyDescent="0.25">
      <c r="A764" s="135">
        <v>42861</v>
      </c>
      <c r="B764" s="142" t="s">
        <v>16211</v>
      </c>
      <c r="C764" s="143">
        <v>110813</v>
      </c>
      <c r="D764" s="142" t="s">
        <v>15263</v>
      </c>
      <c r="E764" s="144">
        <v>3604.2</v>
      </c>
      <c r="F764" s="145">
        <v>42861</v>
      </c>
      <c r="G764" s="146">
        <v>3604.2</v>
      </c>
      <c r="H764" s="138">
        <f t="shared" si="12"/>
        <v>0</v>
      </c>
      <c r="I764" s="147" t="s">
        <v>15214</v>
      </c>
    </row>
    <row r="765" spans="1:9" x14ac:dyDescent="0.25">
      <c r="A765" s="135">
        <v>42861</v>
      </c>
      <c r="B765" s="136" t="s">
        <v>16212</v>
      </c>
      <c r="C765" s="137">
        <v>110814</v>
      </c>
      <c r="D765" s="136" t="s">
        <v>15748</v>
      </c>
      <c r="E765" s="138">
        <v>2327.8000000000002</v>
      </c>
      <c r="F765" s="139">
        <v>42865</v>
      </c>
      <c r="G765" s="140">
        <v>2327.8000000000002</v>
      </c>
      <c r="H765" s="138">
        <f t="shared" si="12"/>
        <v>0</v>
      </c>
      <c r="I765" s="141" t="s">
        <v>15214</v>
      </c>
    </row>
    <row r="766" spans="1:9" x14ac:dyDescent="0.25">
      <c r="A766" s="135">
        <v>42861</v>
      </c>
      <c r="B766" s="142" t="s">
        <v>16213</v>
      </c>
      <c r="C766" s="143">
        <v>110815</v>
      </c>
      <c r="D766" s="142" t="s">
        <v>15309</v>
      </c>
      <c r="E766" s="144">
        <v>4758.8999999999996</v>
      </c>
      <c r="F766" s="145">
        <v>42861</v>
      </c>
      <c r="G766" s="146">
        <v>4758.8999999999996</v>
      </c>
      <c r="H766" s="138">
        <f t="shared" si="12"/>
        <v>0</v>
      </c>
      <c r="I766" s="147" t="s">
        <v>15214</v>
      </c>
    </row>
    <row r="767" spans="1:9" x14ac:dyDescent="0.25">
      <c r="A767" s="135">
        <v>42861</v>
      </c>
      <c r="B767" s="136" t="s">
        <v>16214</v>
      </c>
      <c r="C767" s="137">
        <v>110816</v>
      </c>
      <c r="D767" s="136" t="s">
        <v>15320</v>
      </c>
      <c r="E767" s="138">
        <v>3681</v>
      </c>
      <c r="F767" s="139">
        <v>42861</v>
      </c>
      <c r="G767" s="140">
        <v>3681</v>
      </c>
      <c r="H767" s="138">
        <f t="shared" si="12"/>
        <v>0</v>
      </c>
      <c r="I767" s="141" t="s">
        <v>15214</v>
      </c>
    </row>
    <row r="768" spans="1:9" x14ac:dyDescent="0.25">
      <c r="A768" s="135">
        <v>42861</v>
      </c>
      <c r="B768" s="142" t="s">
        <v>16215</v>
      </c>
      <c r="C768" s="143">
        <v>110817</v>
      </c>
      <c r="D768" s="142" t="s">
        <v>15309</v>
      </c>
      <c r="E768" s="144">
        <v>470</v>
      </c>
      <c r="F768" s="145">
        <v>42861</v>
      </c>
      <c r="G768" s="146">
        <v>470</v>
      </c>
      <c r="H768" s="138">
        <f t="shared" si="12"/>
        <v>0</v>
      </c>
      <c r="I768" s="147" t="s">
        <v>15214</v>
      </c>
    </row>
    <row r="769" spans="1:9" x14ac:dyDescent="0.25">
      <c r="A769" s="135">
        <v>42861</v>
      </c>
      <c r="B769" s="136" t="s">
        <v>16216</v>
      </c>
      <c r="C769" s="137">
        <v>110818</v>
      </c>
      <c r="D769" s="136" t="s">
        <v>16217</v>
      </c>
      <c r="E769" s="138">
        <v>2318</v>
      </c>
      <c r="F769" s="139">
        <v>42861</v>
      </c>
      <c r="G769" s="140">
        <v>2318</v>
      </c>
      <c r="H769" s="138">
        <f t="shared" si="12"/>
        <v>0</v>
      </c>
      <c r="I769" s="141" t="s">
        <v>15214</v>
      </c>
    </row>
    <row r="770" spans="1:9" x14ac:dyDescent="0.25">
      <c r="A770" s="135">
        <v>42861</v>
      </c>
      <c r="B770" s="142" t="s">
        <v>16218</v>
      </c>
      <c r="C770" s="143">
        <v>110819</v>
      </c>
      <c r="D770" s="142" t="s">
        <v>15301</v>
      </c>
      <c r="E770" s="144">
        <v>6813.4</v>
      </c>
      <c r="F770" s="145">
        <v>42861</v>
      </c>
      <c r="G770" s="146">
        <v>6813.4</v>
      </c>
      <c r="H770" s="138">
        <f t="shared" si="12"/>
        <v>0</v>
      </c>
      <c r="I770" s="147" t="s">
        <v>15214</v>
      </c>
    </row>
    <row r="771" spans="1:9" x14ac:dyDescent="0.25">
      <c r="A771" s="135">
        <v>42861</v>
      </c>
      <c r="B771" s="136" t="s">
        <v>16219</v>
      </c>
      <c r="C771" s="137">
        <v>110820</v>
      </c>
      <c r="D771" s="136" t="s">
        <v>15282</v>
      </c>
      <c r="E771" s="138">
        <v>3064.2</v>
      </c>
      <c r="F771" s="139">
        <v>42861</v>
      </c>
      <c r="G771" s="140">
        <v>3064.2</v>
      </c>
      <c r="H771" s="138">
        <f t="shared" si="12"/>
        <v>0</v>
      </c>
      <c r="I771" s="141" t="s">
        <v>15214</v>
      </c>
    </row>
    <row r="772" spans="1:9" x14ac:dyDescent="0.25">
      <c r="A772" s="135">
        <v>42861</v>
      </c>
      <c r="B772" s="142" t="s">
        <v>16220</v>
      </c>
      <c r="C772" s="143">
        <v>110821</v>
      </c>
      <c r="D772" s="142" t="s">
        <v>15311</v>
      </c>
      <c r="E772" s="144">
        <v>1064.8</v>
      </c>
      <c r="F772" s="145">
        <v>42861</v>
      </c>
      <c r="G772" s="146">
        <v>1064.8</v>
      </c>
      <c r="H772" s="138">
        <f t="shared" ref="H772:H835" si="13">E772-G772</f>
        <v>0</v>
      </c>
      <c r="I772" s="147" t="s">
        <v>15214</v>
      </c>
    </row>
    <row r="773" spans="1:9" x14ac:dyDescent="0.25">
      <c r="A773" s="135">
        <v>42861</v>
      </c>
      <c r="B773" s="136" t="s">
        <v>16221</v>
      </c>
      <c r="C773" s="137">
        <v>110822</v>
      </c>
      <c r="D773" s="136" t="s">
        <v>15539</v>
      </c>
      <c r="E773" s="138">
        <v>14399</v>
      </c>
      <c r="F773" s="139">
        <v>42865</v>
      </c>
      <c r="G773" s="140">
        <v>14399</v>
      </c>
      <c r="H773" s="138">
        <f t="shared" si="13"/>
        <v>0</v>
      </c>
      <c r="I773" s="141" t="s">
        <v>15214</v>
      </c>
    </row>
    <row r="774" spans="1:9" x14ac:dyDescent="0.25">
      <c r="A774" s="135">
        <v>42861</v>
      </c>
      <c r="B774" s="142" t="s">
        <v>16222</v>
      </c>
      <c r="C774" s="143">
        <v>110823</v>
      </c>
      <c r="D774" s="142" t="s">
        <v>15289</v>
      </c>
      <c r="E774" s="144">
        <v>1993.4</v>
      </c>
      <c r="F774" s="145">
        <v>42861</v>
      </c>
      <c r="G774" s="146">
        <v>1993.4</v>
      </c>
      <c r="H774" s="138">
        <f t="shared" si="13"/>
        <v>0</v>
      </c>
      <c r="I774" s="147" t="s">
        <v>15214</v>
      </c>
    </row>
    <row r="775" spans="1:9" x14ac:dyDescent="0.25">
      <c r="A775" s="135">
        <v>42861</v>
      </c>
      <c r="B775" s="136" t="s">
        <v>16223</v>
      </c>
      <c r="C775" s="137">
        <v>110824</v>
      </c>
      <c r="D775" s="136" t="s">
        <v>15537</v>
      </c>
      <c r="E775" s="138">
        <v>13379</v>
      </c>
      <c r="F775" s="139">
        <v>42865</v>
      </c>
      <c r="G775" s="140">
        <v>13379</v>
      </c>
      <c r="H775" s="138">
        <f t="shared" si="13"/>
        <v>0</v>
      </c>
      <c r="I775" s="141" t="s">
        <v>15214</v>
      </c>
    </row>
    <row r="776" spans="1:9" x14ac:dyDescent="0.25">
      <c r="A776" s="135">
        <v>42861</v>
      </c>
      <c r="B776" s="142" t="s">
        <v>16224</v>
      </c>
      <c r="C776" s="143">
        <v>110825</v>
      </c>
      <c r="D776" s="142" t="s">
        <v>15317</v>
      </c>
      <c r="E776" s="144">
        <v>1306.8</v>
      </c>
      <c r="F776" s="145">
        <v>42861</v>
      </c>
      <c r="G776" s="146">
        <v>1306.8</v>
      </c>
      <c r="H776" s="138">
        <f t="shared" si="13"/>
        <v>0</v>
      </c>
      <c r="I776" s="147" t="s">
        <v>15214</v>
      </c>
    </row>
    <row r="777" spans="1:9" x14ac:dyDescent="0.25">
      <c r="A777" s="135">
        <v>42861</v>
      </c>
      <c r="B777" s="136" t="s">
        <v>16225</v>
      </c>
      <c r="C777" s="137">
        <v>110826</v>
      </c>
      <c r="D777" s="136" t="s">
        <v>15696</v>
      </c>
      <c r="E777" s="138">
        <v>15053.5</v>
      </c>
      <c r="F777" s="139">
        <v>42865</v>
      </c>
      <c r="G777" s="140">
        <v>15053.5</v>
      </c>
      <c r="H777" s="138">
        <f t="shared" si="13"/>
        <v>0</v>
      </c>
      <c r="I777" s="141" t="s">
        <v>15214</v>
      </c>
    </row>
    <row r="778" spans="1:9" x14ac:dyDescent="0.25">
      <c r="A778" s="135">
        <v>42861</v>
      </c>
      <c r="B778" s="142" t="s">
        <v>16226</v>
      </c>
      <c r="C778" s="143">
        <v>110827</v>
      </c>
      <c r="D778" s="142" t="s">
        <v>15559</v>
      </c>
      <c r="E778" s="144">
        <v>12165.2</v>
      </c>
      <c r="F778" s="145">
        <v>42865</v>
      </c>
      <c r="G778" s="146">
        <v>12165.2</v>
      </c>
      <c r="H778" s="138">
        <f t="shared" si="13"/>
        <v>0</v>
      </c>
      <c r="I778" s="147" t="s">
        <v>15214</v>
      </c>
    </row>
    <row r="779" spans="1:9" x14ac:dyDescent="0.25">
      <c r="A779" s="135">
        <v>42861</v>
      </c>
      <c r="B779" s="136" t="s">
        <v>16227</v>
      </c>
      <c r="C779" s="137">
        <v>110828</v>
      </c>
      <c r="D779" s="136" t="s">
        <v>15278</v>
      </c>
      <c r="E779" s="138">
        <v>9651.4</v>
      </c>
      <c r="F779" s="139">
        <v>42861</v>
      </c>
      <c r="G779" s="140">
        <v>9651.4</v>
      </c>
      <c r="H779" s="138">
        <f t="shared" si="13"/>
        <v>0</v>
      </c>
      <c r="I779" s="141" t="s">
        <v>15214</v>
      </c>
    </row>
    <row r="780" spans="1:9" x14ac:dyDescent="0.25">
      <c r="A780" s="135">
        <v>42861</v>
      </c>
      <c r="B780" s="142" t="s">
        <v>16228</v>
      </c>
      <c r="C780" s="143">
        <v>110829</v>
      </c>
      <c r="D780" s="142" t="s">
        <v>16229</v>
      </c>
      <c r="E780" s="144">
        <v>2742.4</v>
      </c>
      <c r="F780" s="145">
        <v>42861</v>
      </c>
      <c r="G780" s="146">
        <v>2742.4</v>
      </c>
      <c r="H780" s="138">
        <f t="shared" si="13"/>
        <v>0</v>
      </c>
      <c r="I780" s="147" t="s">
        <v>15214</v>
      </c>
    </row>
    <row r="781" spans="1:9" x14ac:dyDescent="0.25">
      <c r="A781" s="135">
        <v>42861</v>
      </c>
      <c r="B781" s="136" t="s">
        <v>16230</v>
      </c>
      <c r="C781" s="137">
        <v>110830</v>
      </c>
      <c r="D781" s="136" t="s">
        <v>15530</v>
      </c>
      <c r="E781" s="138">
        <v>3110.4</v>
      </c>
      <c r="F781" s="139">
        <v>42861</v>
      </c>
      <c r="G781" s="140">
        <v>3110.4</v>
      </c>
      <c r="H781" s="138">
        <f t="shared" si="13"/>
        <v>0</v>
      </c>
      <c r="I781" s="141" t="s">
        <v>15214</v>
      </c>
    </row>
    <row r="782" spans="1:9" x14ac:dyDescent="0.25">
      <c r="A782" s="135">
        <v>42861</v>
      </c>
      <c r="B782" s="142" t="s">
        <v>16231</v>
      </c>
      <c r="C782" s="143">
        <v>110831</v>
      </c>
      <c r="D782" s="142" t="s">
        <v>15305</v>
      </c>
      <c r="E782" s="144">
        <v>839.8</v>
      </c>
      <c r="F782" s="145">
        <v>42861</v>
      </c>
      <c r="G782" s="146">
        <v>839.8</v>
      </c>
      <c r="H782" s="138">
        <f t="shared" si="13"/>
        <v>0</v>
      </c>
      <c r="I782" s="147" t="s">
        <v>15214</v>
      </c>
    </row>
    <row r="783" spans="1:9" x14ac:dyDescent="0.25">
      <c r="A783" s="135">
        <v>42861</v>
      </c>
      <c r="B783" s="136" t="s">
        <v>16232</v>
      </c>
      <c r="C783" s="137">
        <v>110832</v>
      </c>
      <c r="D783" s="136" t="s">
        <v>15699</v>
      </c>
      <c r="E783" s="138">
        <v>3288</v>
      </c>
      <c r="F783" s="139">
        <v>42865</v>
      </c>
      <c r="G783" s="140">
        <v>3288</v>
      </c>
      <c r="H783" s="138">
        <f t="shared" si="13"/>
        <v>0</v>
      </c>
      <c r="I783" s="141" t="s">
        <v>15214</v>
      </c>
    </row>
    <row r="784" spans="1:9" x14ac:dyDescent="0.25">
      <c r="A784" s="135">
        <v>42861</v>
      </c>
      <c r="B784" s="142" t="s">
        <v>16233</v>
      </c>
      <c r="C784" s="143">
        <v>110833</v>
      </c>
      <c r="D784" s="142" t="s">
        <v>15361</v>
      </c>
      <c r="E784" s="144">
        <v>4114.3999999999996</v>
      </c>
      <c r="F784" s="145">
        <v>42861</v>
      </c>
      <c r="G784" s="146">
        <v>4114.3999999999996</v>
      </c>
      <c r="H784" s="138">
        <f t="shared" si="13"/>
        <v>0</v>
      </c>
      <c r="I784" s="147" t="s">
        <v>15214</v>
      </c>
    </row>
    <row r="785" spans="1:9" x14ac:dyDescent="0.25">
      <c r="A785" s="135">
        <v>42861</v>
      </c>
      <c r="B785" s="136" t="s">
        <v>16234</v>
      </c>
      <c r="C785" s="137">
        <v>110834</v>
      </c>
      <c r="D785" s="136" t="s">
        <v>15361</v>
      </c>
      <c r="E785" s="138">
        <v>10727.5</v>
      </c>
      <c r="F785" s="139">
        <v>42861</v>
      </c>
      <c r="G785" s="140">
        <v>10727.5</v>
      </c>
      <c r="H785" s="138">
        <f t="shared" si="13"/>
        <v>0</v>
      </c>
      <c r="I785" s="141" t="s">
        <v>15214</v>
      </c>
    </row>
    <row r="786" spans="1:9" x14ac:dyDescent="0.25">
      <c r="A786" s="135">
        <v>42861</v>
      </c>
      <c r="B786" s="142" t="s">
        <v>16235</v>
      </c>
      <c r="C786" s="143">
        <v>110835</v>
      </c>
      <c r="D786" s="142" t="s">
        <v>15363</v>
      </c>
      <c r="E786" s="144">
        <v>2233.8000000000002</v>
      </c>
      <c r="F786" s="145">
        <v>42861</v>
      </c>
      <c r="G786" s="146">
        <v>2233.8000000000002</v>
      </c>
      <c r="H786" s="138">
        <f t="shared" si="13"/>
        <v>0</v>
      </c>
      <c r="I786" s="147" t="s">
        <v>15214</v>
      </c>
    </row>
    <row r="787" spans="1:9" x14ac:dyDescent="0.25">
      <c r="A787" s="135">
        <v>42861</v>
      </c>
      <c r="B787" s="136" t="s">
        <v>16236</v>
      </c>
      <c r="C787" s="137">
        <v>110836</v>
      </c>
      <c r="D787" s="136" t="s">
        <v>15572</v>
      </c>
      <c r="E787" s="138">
        <v>4570.3999999999996</v>
      </c>
      <c r="F787" s="139">
        <v>42861</v>
      </c>
      <c r="G787" s="140">
        <v>4570.3999999999996</v>
      </c>
      <c r="H787" s="138">
        <f t="shared" si="13"/>
        <v>0</v>
      </c>
      <c r="I787" s="141" t="s">
        <v>15214</v>
      </c>
    </row>
    <row r="788" spans="1:9" x14ac:dyDescent="0.25">
      <c r="A788" s="135">
        <v>42861</v>
      </c>
      <c r="B788" s="142" t="s">
        <v>16237</v>
      </c>
      <c r="C788" s="143">
        <v>110837</v>
      </c>
      <c r="D788" s="142" t="s">
        <v>15391</v>
      </c>
      <c r="E788" s="144">
        <v>10411.799999999999</v>
      </c>
      <c r="F788" s="145">
        <v>42863</v>
      </c>
      <c r="G788" s="146">
        <v>10411.799999999999</v>
      </c>
      <c r="H788" s="138">
        <f t="shared" si="13"/>
        <v>0</v>
      </c>
      <c r="I788" s="147" t="s">
        <v>15214</v>
      </c>
    </row>
    <row r="789" spans="1:9" x14ac:dyDescent="0.25">
      <c r="A789" s="135">
        <v>42861</v>
      </c>
      <c r="B789" s="136" t="s">
        <v>16238</v>
      </c>
      <c r="C789" s="137">
        <v>110838</v>
      </c>
      <c r="D789" s="136" t="s">
        <v>15315</v>
      </c>
      <c r="E789" s="138">
        <v>5031.8999999999996</v>
      </c>
      <c r="F789" s="139">
        <v>42867</v>
      </c>
      <c r="G789" s="140">
        <v>5031.8999999999996</v>
      </c>
      <c r="H789" s="138">
        <f t="shared" si="13"/>
        <v>0</v>
      </c>
      <c r="I789" s="141" t="s">
        <v>15214</v>
      </c>
    </row>
    <row r="790" spans="1:9" x14ac:dyDescent="0.25">
      <c r="A790" s="135">
        <v>42861</v>
      </c>
      <c r="B790" s="142" t="s">
        <v>16239</v>
      </c>
      <c r="C790" s="143">
        <v>110839</v>
      </c>
      <c r="D790" s="142" t="s">
        <v>16139</v>
      </c>
      <c r="E790" s="144">
        <v>8060.3</v>
      </c>
      <c r="F790" s="145">
        <v>42865</v>
      </c>
      <c r="G790" s="146">
        <v>8060.3</v>
      </c>
      <c r="H790" s="138">
        <f t="shared" si="13"/>
        <v>0</v>
      </c>
      <c r="I790" s="147" t="s">
        <v>15214</v>
      </c>
    </row>
    <row r="791" spans="1:9" x14ac:dyDescent="0.25">
      <c r="A791" s="135">
        <v>42861</v>
      </c>
      <c r="B791" s="136" t="s">
        <v>16240</v>
      </c>
      <c r="C791" s="137">
        <v>110840</v>
      </c>
      <c r="D791" s="136" t="s">
        <v>15315</v>
      </c>
      <c r="E791" s="138">
        <v>1231.4000000000001</v>
      </c>
      <c r="F791" s="139">
        <v>42861</v>
      </c>
      <c r="G791" s="140">
        <v>1231.4000000000001</v>
      </c>
      <c r="H791" s="138">
        <f t="shared" si="13"/>
        <v>0</v>
      </c>
      <c r="I791" s="141" t="s">
        <v>15214</v>
      </c>
    </row>
    <row r="792" spans="1:9" x14ac:dyDescent="0.25">
      <c r="A792" s="135">
        <v>42861</v>
      </c>
      <c r="B792" s="142" t="s">
        <v>16241</v>
      </c>
      <c r="C792" s="143">
        <v>110841</v>
      </c>
      <c r="D792" s="142" t="s">
        <v>15592</v>
      </c>
      <c r="E792" s="144">
        <v>12236</v>
      </c>
      <c r="F792" s="145">
        <v>42861</v>
      </c>
      <c r="G792" s="146">
        <v>12236</v>
      </c>
      <c r="H792" s="138">
        <f t="shared" si="13"/>
        <v>0</v>
      </c>
      <c r="I792" s="147" t="s">
        <v>15214</v>
      </c>
    </row>
    <row r="793" spans="1:9" x14ac:dyDescent="0.25">
      <c r="A793" s="135">
        <v>42861</v>
      </c>
      <c r="B793" s="136" t="s">
        <v>16242</v>
      </c>
      <c r="C793" s="137">
        <v>110842</v>
      </c>
      <c r="D793" s="136" t="s">
        <v>15555</v>
      </c>
      <c r="E793" s="138">
        <v>35424.44</v>
      </c>
      <c r="F793" s="139" t="s">
        <v>16243</v>
      </c>
      <c r="G793" s="140">
        <f>20000+15424.44</f>
        <v>35424.44</v>
      </c>
      <c r="H793" s="138">
        <f t="shared" si="13"/>
        <v>0</v>
      </c>
      <c r="I793" s="141" t="s">
        <v>15214</v>
      </c>
    </row>
    <row r="794" spans="1:9" x14ac:dyDescent="0.25">
      <c r="A794" s="135">
        <v>42861</v>
      </c>
      <c r="B794" s="142" t="s">
        <v>16244</v>
      </c>
      <c r="C794" s="143">
        <v>110843</v>
      </c>
      <c r="D794" s="142" t="s">
        <v>15856</v>
      </c>
      <c r="E794" s="144">
        <v>1386</v>
      </c>
      <c r="F794" s="145">
        <v>42861</v>
      </c>
      <c r="G794" s="146">
        <v>1386</v>
      </c>
      <c r="H794" s="138">
        <f t="shared" si="13"/>
        <v>0</v>
      </c>
      <c r="I794" s="147" t="s">
        <v>15214</v>
      </c>
    </row>
    <row r="795" spans="1:9" x14ac:dyDescent="0.25">
      <c r="A795" s="135">
        <v>42861</v>
      </c>
      <c r="B795" s="136" t="s">
        <v>16245</v>
      </c>
      <c r="C795" s="137">
        <v>110844</v>
      </c>
      <c r="D795" s="136" t="s">
        <v>15544</v>
      </c>
      <c r="E795" s="138">
        <v>3000.1</v>
      </c>
      <c r="F795" s="139">
        <v>42867</v>
      </c>
      <c r="G795" s="140">
        <v>3000.1</v>
      </c>
      <c r="H795" s="138">
        <f t="shared" si="13"/>
        <v>0</v>
      </c>
      <c r="I795" s="141" t="s">
        <v>15214</v>
      </c>
    </row>
    <row r="796" spans="1:9" x14ac:dyDescent="0.25">
      <c r="A796" s="135">
        <v>42861</v>
      </c>
      <c r="B796" s="142" t="s">
        <v>16246</v>
      </c>
      <c r="C796" s="143">
        <v>110845</v>
      </c>
      <c r="D796" s="142" t="s">
        <v>15385</v>
      </c>
      <c r="E796" s="144">
        <v>14976</v>
      </c>
      <c r="F796" s="145">
        <v>42861</v>
      </c>
      <c r="G796" s="146">
        <v>14976</v>
      </c>
      <c r="H796" s="138">
        <f t="shared" si="13"/>
        <v>0</v>
      </c>
      <c r="I796" s="147" t="s">
        <v>15214</v>
      </c>
    </row>
    <row r="797" spans="1:9" x14ac:dyDescent="0.25">
      <c r="A797" s="135">
        <v>42861</v>
      </c>
      <c r="B797" s="136" t="s">
        <v>16247</v>
      </c>
      <c r="C797" s="137">
        <v>110846</v>
      </c>
      <c r="D797" s="136" t="s">
        <v>15315</v>
      </c>
      <c r="E797" s="138">
        <v>2971.6</v>
      </c>
      <c r="F797" s="139">
        <v>42865</v>
      </c>
      <c r="G797" s="140">
        <v>2971.6</v>
      </c>
      <c r="H797" s="138">
        <f t="shared" si="13"/>
        <v>0</v>
      </c>
      <c r="I797" s="141" t="s">
        <v>15214</v>
      </c>
    </row>
    <row r="798" spans="1:9" x14ac:dyDescent="0.25">
      <c r="A798" s="135">
        <v>42861</v>
      </c>
      <c r="B798" s="142" t="s">
        <v>16248</v>
      </c>
      <c r="C798" s="143">
        <v>110847</v>
      </c>
      <c r="D798" s="142" t="s">
        <v>16249</v>
      </c>
      <c r="E798" s="144">
        <v>2822.6</v>
      </c>
      <c r="F798" s="145">
        <v>42861</v>
      </c>
      <c r="G798" s="146">
        <v>2822.6</v>
      </c>
      <c r="H798" s="138">
        <f t="shared" si="13"/>
        <v>0</v>
      </c>
      <c r="I798" s="147" t="s">
        <v>15214</v>
      </c>
    </row>
    <row r="799" spans="1:9" x14ac:dyDescent="0.25">
      <c r="A799" s="135">
        <v>42861</v>
      </c>
      <c r="B799" s="136" t="s">
        <v>16250</v>
      </c>
      <c r="C799" s="137">
        <v>110848</v>
      </c>
      <c r="D799" s="136" t="s">
        <v>15371</v>
      </c>
      <c r="E799" s="138">
        <v>4489.3999999999996</v>
      </c>
      <c r="F799" s="139">
        <v>42862</v>
      </c>
      <c r="G799" s="140">
        <v>4489.3999999999996</v>
      </c>
      <c r="H799" s="138">
        <f t="shared" si="13"/>
        <v>0</v>
      </c>
      <c r="I799" s="141" t="s">
        <v>15214</v>
      </c>
    </row>
    <row r="800" spans="1:9" x14ac:dyDescent="0.25">
      <c r="A800" s="135">
        <v>42861</v>
      </c>
      <c r="B800" s="142" t="s">
        <v>16251</v>
      </c>
      <c r="C800" s="143">
        <v>110849</v>
      </c>
      <c r="D800" s="142" t="s">
        <v>15267</v>
      </c>
      <c r="E800" s="144">
        <v>23920.9</v>
      </c>
      <c r="F800" s="148">
        <v>42892</v>
      </c>
      <c r="G800" s="149">
        <v>23920.9</v>
      </c>
      <c r="H800" s="138">
        <f t="shared" si="13"/>
        <v>0</v>
      </c>
      <c r="I800" s="147" t="s">
        <v>15214</v>
      </c>
    </row>
    <row r="801" spans="1:9" x14ac:dyDescent="0.25">
      <c r="A801" s="135">
        <v>42861</v>
      </c>
      <c r="B801" s="136" t="s">
        <v>16252</v>
      </c>
      <c r="C801" s="137">
        <v>110850</v>
      </c>
      <c r="D801" s="136" t="s">
        <v>15655</v>
      </c>
      <c r="E801" s="138">
        <v>36500</v>
      </c>
      <c r="F801" s="139">
        <v>42909</v>
      </c>
      <c r="G801" s="140">
        <v>36500</v>
      </c>
      <c r="H801" s="138">
        <f t="shared" si="13"/>
        <v>0</v>
      </c>
      <c r="I801" s="141" t="s">
        <v>15214</v>
      </c>
    </row>
    <row r="802" spans="1:9" x14ac:dyDescent="0.25">
      <c r="A802" s="135">
        <v>42861</v>
      </c>
      <c r="B802" s="142" t="s">
        <v>16253</v>
      </c>
      <c r="C802" s="143">
        <v>110851</v>
      </c>
      <c r="D802" s="142" t="s">
        <v>15284</v>
      </c>
      <c r="E802" s="144">
        <v>1775.4</v>
      </c>
      <c r="F802" s="145">
        <v>42861</v>
      </c>
      <c r="G802" s="146">
        <v>1775.4</v>
      </c>
      <c r="H802" s="138">
        <f t="shared" si="13"/>
        <v>0</v>
      </c>
      <c r="I802" s="147" t="s">
        <v>15214</v>
      </c>
    </row>
    <row r="803" spans="1:9" x14ac:dyDescent="0.25">
      <c r="A803" s="135">
        <v>42861</v>
      </c>
      <c r="B803" s="136" t="s">
        <v>16254</v>
      </c>
      <c r="C803" s="137">
        <v>110852</v>
      </c>
      <c r="D803" s="136" t="s">
        <v>15655</v>
      </c>
      <c r="E803" s="138">
        <v>99081.5</v>
      </c>
      <c r="F803" s="139">
        <v>42865</v>
      </c>
      <c r="G803" s="140">
        <v>99081.5</v>
      </c>
      <c r="H803" s="138">
        <f t="shared" si="13"/>
        <v>0</v>
      </c>
      <c r="I803" s="141" t="s">
        <v>15214</v>
      </c>
    </row>
    <row r="804" spans="1:9" x14ac:dyDescent="0.25">
      <c r="A804" s="135">
        <v>42861</v>
      </c>
      <c r="B804" s="142" t="s">
        <v>16255</v>
      </c>
      <c r="C804" s="143">
        <v>110853</v>
      </c>
      <c r="D804" s="142" t="s">
        <v>15352</v>
      </c>
      <c r="E804" s="144">
        <v>428.8</v>
      </c>
      <c r="F804" s="145">
        <v>42861</v>
      </c>
      <c r="G804" s="146">
        <v>428.8</v>
      </c>
      <c r="H804" s="138">
        <f t="shared" si="13"/>
        <v>0</v>
      </c>
      <c r="I804" s="147" t="s">
        <v>15214</v>
      </c>
    </row>
    <row r="805" spans="1:9" x14ac:dyDescent="0.25">
      <c r="A805" s="135">
        <v>42861</v>
      </c>
      <c r="B805" s="136" t="s">
        <v>16256</v>
      </c>
      <c r="C805" s="137">
        <v>110854</v>
      </c>
      <c r="D805" s="136" t="s">
        <v>15624</v>
      </c>
      <c r="E805" s="138">
        <v>37932.720000000001</v>
      </c>
      <c r="F805" s="139">
        <v>42863</v>
      </c>
      <c r="G805" s="140">
        <v>37932.720000000001</v>
      </c>
      <c r="H805" s="138">
        <f t="shared" si="13"/>
        <v>0</v>
      </c>
      <c r="I805" s="141" t="s">
        <v>15214</v>
      </c>
    </row>
    <row r="806" spans="1:9" x14ac:dyDescent="0.25">
      <c r="A806" s="135">
        <v>42861</v>
      </c>
      <c r="B806" s="142" t="s">
        <v>16257</v>
      </c>
      <c r="C806" s="143">
        <v>110855</v>
      </c>
      <c r="D806" s="142" t="s">
        <v>15706</v>
      </c>
      <c r="E806" s="144">
        <v>1497.6</v>
      </c>
      <c r="F806" s="145">
        <v>42861</v>
      </c>
      <c r="G806" s="146">
        <v>1497.6</v>
      </c>
      <c r="H806" s="138">
        <f t="shared" si="13"/>
        <v>0</v>
      </c>
      <c r="I806" s="147" t="s">
        <v>15214</v>
      </c>
    </row>
    <row r="807" spans="1:9" x14ac:dyDescent="0.25">
      <c r="A807" s="135">
        <v>42861</v>
      </c>
      <c r="B807" s="136" t="s">
        <v>16258</v>
      </c>
      <c r="C807" s="137">
        <v>110856</v>
      </c>
      <c r="D807" s="136" t="s">
        <v>15706</v>
      </c>
      <c r="E807" s="138">
        <v>218.4</v>
      </c>
      <c r="F807" s="139">
        <v>42861</v>
      </c>
      <c r="G807" s="140">
        <v>218.4</v>
      </c>
      <c r="H807" s="138">
        <f t="shared" si="13"/>
        <v>0</v>
      </c>
      <c r="I807" s="141" t="s">
        <v>15214</v>
      </c>
    </row>
    <row r="808" spans="1:9" x14ac:dyDescent="0.25">
      <c r="A808" s="135">
        <v>42861</v>
      </c>
      <c r="B808" s="142" t="s">
        <v>16259</v>
      </c>
      <c r="C808" s="143">
        <v>110857</v>
      </c>
      <c r="D808" s="142" t="s">
        <v>16108</v>
      </c>
      <c r="E808" s="144">
        <v>463.87</v>
      </c>
      <c r="F808" s="145">
        <v>42861</v>
      </c>
      <c r="G808" s="146">
        <v>463.87</v>
      </c>
      <c r="H808" s="138">
        <f t="shared" si="13"/>
        <v>0</v>
      </c>
      <c r="I808" s="147" t="s">
        <v>15214</v>
      </c>
    </row>
    <row r="809" spans="1:9" x14ac:dyDescent="0.25">
      <c r="A809" s="135">
        <v>42861</v>
      </c>
      <c r="B809" s="136" t="s">
        <v>16260</v>
      </c>
      <c r="C809" s="137">
        <v>110858</v>
      </c>
      <c r="D809" s="136" t="s">
        <v>16261</v>
      </c>
      <c r="E809" s="138">
        <v>12048.06</v>
      </c>
      <c r="F809" s="139">
        <v>42861</v>
      </c>
      <c r="G809" s="140">
        <v>12048.06</v>
      </c>
      <c r="H809" s="138">
        <f t="shared" si="13"/>
        <v>0</v>
      </c>
      <c r="I809" s="141" t="s">
        <v>15214</v>
      </c>
    </row>
    <row r="810" spans="1:9" x14ac:dyDescent="0.25">
      <c r="A810" s="135">
        <v>42861</v>
      </c>
      <c r="B810" s="142" t="s">
        <v>16262</v>
      </c>
      <c r="C810" s="143">
        <v>110859</v>
      </c>
      <c r="D810" s="142" t="s">
        <v>16263</v>
      </c>
      <c r="E810" s="144">
        <v>7636.3</v>
      </c>
      <c r="F810" s="145">
        <v>42861</v>
      </c>
      <c r="G810" s="146">
        <v>7636.3</v>
      </c>
      <c r="H810" s="138">
        <f t="shared" si="13"/>
        <v>0</v>
      </c>
      <c r="I810" s="147" t="s">
        <v>15214</v>
      </c>
    </row>
    <row r="811" spans="1:9" x14ac:dyDescent="0.25">
      <c r="A811" s="135">
        <v>42861</v>
      </c>
      <c r="B811" s="136" t="s">
        <v>16264</v>
      </c>
      <c r="C811" s="137">
        <v>110860</v>
      </c>
      <c r="D811" s="136" t="s">
        <v>15398</v>
      </c>
      <c r="E811" s="138">
        <v>8639.1</v>
      </c>
      <c r="F811" s="139">
        <v>42874</v>
      </c>
      <c r="G811" s="140">
        <v>8639.1</v>
      </c>
      <c r="H811" s="138">
        <f t="shared" si="13"/>
        <v>0</v>
      </c>
      <c r="I811" s="141" t="s">
        <v>15214</v>
      </c>
    </row>
    <row r="812" spans="1:9" x14ac:dyDescent="0.25">
      <c r="A812" s="135">
        <v>42861</v>
      </c>
      <c r="B812" s="142" t="s">
        <v>16265</v>
      </c>
      <c r="C812" s="143">
        <v>110861</v>
      </c>
      <c r="D812" s="142" t="s">
        <v>15566</v>
      </c>
      <c r="E812" s="144">
        <v>2800.95</v>
      </c>
      <c r="F812" s="145">
        <v>42861</v>
      </c>
      <c r="G812" s="146">
        <v>2800.95</v>
      </c>
      <c r="H812" s="138">
        <f t="shared" si="13"/>
        <v>0</v>
      </c>
      <c r="I812" s="147" t="s">
        <v>15214</v>
      </c>
    </row>
    <row r="813" spans="1:9" x14ac:dyDescent="0.25">
      <c r="A813" s="135">
        <v>42861</v>
      </c>
      <c r="B813" s="136" t="s">
        <v>16266</v>
      </c>
      <c r="C813" s="137">
        <v>110862</v>
      </c>
      <c r="D813" s="136" t="s">
        <v>15213</v>
      </c>
      <c r="E813" s="138">
        <v>5795.1</v>
      </c>
      <c r="F813" s="139">
        <v>42862</v>
      </c>
      <c r="G813" s="140">
        <v>5795.1</v>
      </c>
      <c r="H813" s="138">
        <f t="shared" si="13"/>
        <v>0</v>
      </c>
      <c r="I813" s="141" t="s">
        <v>15214</v>
      </c>
    </row>
    <row r="814" spans="1:9" ht="15.75" x14ac:dyDescent="0.25">
      <c r="A814" s="135">
        <v>42861</v>
      </c>
      <c r="B814" s="142" t="s">
        <v>16267</v>
      </c>
      <c r="C814" s="143">
        <v>110863</v>
      </c>
      <c r="D814" s="142" t="s">
        <v>15213</v>
      </c>
      <c r="E814" s="144">
        <v>0</v>
      </c>
      <c r="F814" s="156" t="s">
        <v>95</v>
      </c>
      <c r="G814" s="144">
        <v>0</v>
      </c>
      <c r="H814" s="138">
        <f t="shared" si="13"/>
        <v>0</v>
      </c>
      <c r="I814" s="147" t="s">
        <v>95</v>
      </c>
    </row>
    <row r="815" spans="1:9" x14ac:dyDescent="0.25">
      <c r="A815" s="135">
        <v>42861</v>
      </c>
      <c r="B815" s="136" t="s">
        <v>16268</v>
      </c>
      <c r="C815" s="137">
        <v>110864</v>
      </c>
      <c r="D815" s="136" t="s">
        <v>15298</v>
      </c>
      <c r="E815" s="138">
        <v>731.1</v>
      </c>
      <c r="F815" s="139">
        <v>42861</v>
      </c>
      <c r="G815" s="140">
        <v>731.1</v>
      </c>
      <c r="H815" s="138">
        <f t="shared" si="13"/>
        <v>0</v>
      </c>
      <c r="I815" s="141" t="s">
        <v>15214</v>
      </c>
    </row>
    <row r="816" spans="1:9" x14ac:dyDescent="0.25">
      <c r="A816" s="135">
        <v>42861</v>
      </c>
      <c r="B816" s="142" t="s">
        <v>16269</v>
      </c>
      <c r="C816" s="143">
        <v>110865</v>
      </c>
      <c r="D816" s="142" t="s">
        <v>15716</v>
      </c>
      <c r="E816" s="144">
        <v>10771.2</v>
      </c>
      <c r="F816" s="145">
        <v>42861</v>
      </c>
      <c r="G816" s="146">
        <v>10771.2</v>
      </c>
      <c r="H816" s="138">
        <f t="shared" si="13"/>
        <v>0</v>
      </c>
      <c r="I816" s="147" t="s">
        <v>15214</v>
      </c>
    </row>
    <row r="817" spans="1:9" x14ac:dyDescent="0.25">
      <c r="A817" s="135">
        <v>42861</v>
      </c>
      <c r="B817" s="136" t="s">
        <v>16270</v>
      </c>
      <c r="C817" s="137">
        <v>110866</v>
      </c>
      <c r="D817" s="136" t="s">
        <v>15716</v>
      </c>
      <c r="E817" s="138">
        <v>1121.0999999999999</v>
      </c>
      <c r="F817" s="139">
        <v>42861</v>
      </c>
      <c r="G817" s="140">
        <v>1121.0999999999999</v>
      </c>
      <c r="H817" s="138">
        <f t="shared" si="13"/>
        <v>0</v>
      </c>
      <c r="I817" s="141" t="s">
        <v>15214</v>
      </c>
    </row>
    <row r="818" spans="1:9" x14ac:dyDescent="0.25">
      <c r="A818" s="135">
        <v>42861</v>
      </c>
      <c r="B818" s="142" t="s">
        <v>16271</v>
      </c>
      <c r="C818" s="143">
        <v>110867</v>
      </c>
      <c r="D818" s="142" t="s">
        <v>15444</v>
      </c>
      <c r="E818" s="144">
        <v>441.6</v>
      </c>
      <c r="F818" s="145">
        <v>42861</v>
      </c>
      <c r="G818" s="146">
        <v>441.6</v>
      </c>
      <c r="H818" s="138">
        <f t="shared" si="13"/>
        <v>0</v>
      </c>
      <c r="I818" s="147" t="s">
        <v>15214</v>
      </c>
    </row>
    <row r="819" spans="1:9" x14ac:dyDescent="0.25">
      <c r="A819" s="135">
        <v>42861</v>
      </c>
      <c r="B819" s="136" t="s">
        <v>16272</v>
      </c>
      <c r="C819" s="137">
        <v>110868</v>
      </c>
      <c r="D819" s="136" t="s">
        <v>15728</v>
      </c>
      <c r="E819" s="138">
        <v>19216.8</v>
      </c>
      <c r="F819" s="139">
        <v>42861</v>
      </c>
      <c r="G819" s="140">
        <v>19216.8</v>
      </c>
      <c r="H819" s="138">
        <f t="shared" si="13"/>
        <v>0</v>
      </c>
      <c r="I819" s="141" t="s">
        <v>15214</v>
      </c>
    </row>
    <row r="820" spans="1:9" x14ac:dyDescent="0.25">
      <c r="A820" s="135">
        <v>42861</v>
      </c>
      <c r="B820" s="142" t="s">
        <v>16273</v>
      </c>
      <c r="C820" s="143">
        <v>110869</v>
      </c>
      <c r="D820" s="142" t="s">
        <v>15665</v>
      </c>
      <c r="E820" s="144">
        <v>186</v>
      </c>
      <c r="F820" s="145">
        <v>42861</v>
      </c>
      <c r="G820" s="146">
        <v>186</v>
      </c>
      <c r="H820" s="138">
        <f t="shared" si="13"/>
        <v>0</v>
      </c>
      <c r="I820" s="147" t="s">
        <v>15214</v>
      </c>
    </row>
    <row r="821" spans="1:9" x14ac:dyDescent="0.25">
      <c r="A821" s="135">
        <v>42861</v>
      </c>
      <c r="B821" s="136" t="s">
        <v>16274</v>
      </c>
      <c r="C821" s="137">
        <v>110870</v>
      </c>
      <c r="D821" s="136" t="s">
        <v>15322</v>
      </c>
      <c r="E821" s="138">
        <v>4015.8</v>
      </c>
      <c r="F821" s="139">
        <v>42861</v>
      </c>
      <c r="G821" s="140">
        <v>4015.8</v>
      </c>
      <c r="H821" s="138">
        <f t="shared" si="13"/>
        <v>0</v>
      </c>
      <c r="I821" s="141" t="s">
        <v>15214</v>
      </c>
    </row>
    <row r="822" spans="1:9" x14ac:dyDescent="0.25">
      <c r="A822" s="135">
        <v>42861</v>
      </c>
      <c r="B822" s="142" t="s">
        <v>16275</v>
      </c>
      <c r="C822" s="143">
        <v>110871</v>
      </c>
      <c r="D822" s="142" t="s">
        <v>15600</v>
      </c>
      <c r="E822" s="144">
        <v>8893</v>
      </c>
      <c r="F822" s="145">
        <v>42862</v>
      </c>
      <c r="G822" s="146">
        <v>8893</v>
      </c>
      <c r="H822" s="138">
        <f t="shared" si="13"/>
        <v>0</v>
      </c>
      <c r="I822" s="147" t="s">
        <v>15214</v>
      </c>
    </row>
    <row r="823" spans="1:9" x14ac:dyDescent="0.25">
      <c r="A823" s="135">
        <v>42861</v>
      </c>
      <c r="B823" s="136" t="s">
        <v>16276</v>
      </c>
      <c r="C823" s="137">
        <v>110872</v>
      </c>
      <c r="D823" s="136" t="s">
        <v>16277</v>
      </c>
      <c r="E823" s="138">
        <v>622.5</v>
      </c>
      <c r="F823" s="139">
        <v>42862</v>
      </c>
      <c r="G823" s="140">
        <v>622.5</v>
      </c>
      <c r="H823" s="138">
        <f t="shared" si="13"/>
        <v>0</v>
      </c>
      <c r="I823" s="141" t="s">
        <v>15214</v>
      </c>
    </row>
    <row r="824" spans="1:9" x14ac:dyDescent="0.25">
      <c r="A824" s="135">
        <v>42861</v>
      </c>
      <c r="B824" s="142" t="s">
        <v>16278</v>
      </c>
      <c r="C824" s="143">
        <v>110873</v>
      </c>
      <c r="D824" s="142" t="s">
        <v>15782</v>
      </c>
      <c r="E824" s="144">
        <v>1260</v>
      </c>
      <c r="F824" s="145">
        <v>42862</v>
      </c>
      <c r="G824" s="146">
        <v>1260</v>
      </c>
      <c r="H824" s="138">
        <f t="shared" si="13"/>
        <v>0</v>
      </c>
      <c r="I824" s="147" t="s">
        <v>15214</v>
      </c>
    </row>
    <row r="825" spans="1:9" x14ac:dyDescent="0.25">
      <c r="A825" s="135">
        <v>42861</v>
      </c>
      <c r="B825" s="136" t="s">
        <v>16279</v>
      </c>
      <c r="C825" s="137">
        <v>110874</v>
      </c>
      <c r="D825" s="136" t="s">
        <v>15315</v>
      </c>
      <c r="E825" s="138">
        <v>855.6</v>
      </c>
      <c r="F825" s="139">
        <v>42862</v>
      </c>
      <c r="G825" s="140">
        <v>855.6</v>
      </c>
      <c r="H825" s="138">
        <f t="shared" si="13"/>
        <v>0</v>
      </c>
      <c r="I825" s="141" t="s">
        <v>15214</v>
      </c>
    </row>
    <row r="826" spans="1:9" x14ac:dyDescent="0.25">
      <c r="A826" s="135">
        <v>42861</v>
      </c>
      <c r="B826" s="142" t="s">
        <v>16280</v>
      </c>
      <c r="C826" s="143">
        <v>110875</v>
      </c>
      <c r="D826" s="142" t="s">
        <v>15291</v>
      </c>
      <c r="E826" s="144">
        <v>658</v>
      </c>
      <c r="F826" s="145">
        <v>42862</v>
      </c>
      <c r="G826" s="146">
        <v>658</v>
      </c>
      <c r="H826" s="138">
        <f t="shared" si="13"/>
        <v>0</v>
      </c>
      <c r="I826" s="147" t="s">
        <v>15214</v>
      </c>
    </row>
    <row r="827" spans="1:9" x14ac:dyDescent="0.25">
      <c r="A827" s="135">
        <v>42861</v>
      </c>
      <c r="B827" s="136" t="s">
        <v>16281</v>
      </c>
      <c r="C827" s="137">
        <v>110876</v>
      </c>
      <c r="D827" s="136" t="s">
        <v>15313</v>
      </c>
      <c r="E827" s="138">
        <v>5311.8</v>
      </c>
      <c r="F827" s="139">
        <v>42864</v>
      </c>
      <c r="G827" s="140">
        <v>5311.8</v>
      </c>
      <c r="H827" s="138">
        <f t="shared" si="13"/>
        <v>0</v>
      </c>
      <c r="I827" s="141" t="s">
        <v>15214</v>
      </c>
    </row>
    <row r="828" spans="1:9" x14ac:dyDescent="0.25">
      <c r="A828" s="135">
        <v>42861</v>
      </c>
      <c r="B828" s="142" t="s">
        <v>16282</v>
      </c>
      <c r="C828" s="143">
        <v>110877</v>
      </c>
      <c r="D828" s="142" t="s">
        <v>15276</v>
      </c>
      <c r="E828" s="144">
        <v>7050</v>
      </c>
      <c r="F828" s="145">
        <v>42862</v>
      </c>
      <c r="G828" s="146">
        <v>7050</v>
      </c>
      <c r="H828" s="138">
        <f t="shared" si="13"/>
        <v>0</v>
      </c>
      <c r="I828" s="147" t="s">
        <v>15214</v>
      </c>
    </row>
    <row r="829" spans="1:9" x14ac:dyDescent="0.25">
      <c r="A829" s="135">
        <v>42861</v>
      </c>
      <c r="B829" s="136" t="s">
        <v>16283</v>
      </c>
      <c r="C829" s="137">
        <v>110878</v>
      </c>
      <c r="D829" s="136" t="s">
        <v>15417</v>
      </c>
      <c r="E829" s="138">
        <v>3758.2</v>
      </c>
      <c r="F829" s="139">
        <v>42862</v>
      </c>
      <c r="G829" s="140">
        <v>3758.2</v>
      </c>
      <c r="H829" s="138">
        <f t="shared" si="13"/>
        <v>0</v>
      </c>
      <c r="I829" s="141" t="s">
        <v>15214</v>
      </c>
    </row>
    <row r="830" spans="1:9" x14ac:dyDescent="0.25">
      <c r="A830" s="135">
        <v>42861</v>
      </c>
      <c r="B830" s="142" t="s">
        <v>16284</v>
      </c>
      <c r="C830" s="143">
        <v>110879</v>
      </c>
      <c r="D830" s="142" t="s">
        <v>15920</v>
      </c>
      <c r="E830" s="144">
        <v>2008.8</v>
      </c>
      <c r="F830" s="145">
        <v>42872</v>
      </c>
      <c r="G830" s="146">
        <v>2008.8</v>
      </c>
      <c r="H830" s="138">
        <f t="shared" si="13"/>
        <v>0</v>
      </c>
      <c r="I830" s="147" t="s">
        <v>15214</v>
      </c>
    </row>
    <row r="831" spans="1:9" x14ac:dyDescent="0.25">
      <c r="A831" s="135">
        <v>42861</v>
      </c>
      <c r="B831" s="136" t="s">
        <v>16285</v>
      </c>
      <c r="C831" s="137">
        <v>110880</v>
      </c>
      <c r="D831" s="136" t="s">
        <v>16286</v>
      </c>
      <c r="E831" s="138">
        <v>1647</v>
      </c>
      <c r="F831" s="139">
        <v>42861</v>
      </c>
      <c r="G831" s="140">
        <v>1647</v>
      </c>
      <c r="H831" s="138">
        <f t="shared" si="13"/>
        <v>0</v>
      </c>
      <c r="I831" s="141" t="s">
        <v>15214</v>
      </c>
    </row>
    <row r="832" spans="1:9" x14ac:dyDescent="0.25">
      <c r="A832" s="135">
        <v>42861</v>
      </c>
      <c r="B832" s="142" t="s">
        <v>16287</v>
      </c>
      <c r="C832" s="143">
        <v>110881</v>
      </c>
      <c r="D832" s="142" t="s">
        <v>16288</v>
      </c>
      <c r="E832" s="144">
        <v>1183.2</v>
      </c>
      <c r="F832" s="145">
        <v>42862</v>
      </c>
      <c r="G832" s="146">
        <v>1183.2</v>
      </c>
      <c r="H832" s="138">
        <f t="shared" si="13"/>
        <v>0</v>
      </c>
      <c r="I832" s="147" t="s">
        <v>15214</v>
      </c>
    </row>
    <row r="833" spans="1:9" x14ac:dyDescent="0.25">
      <c r="A833" s="135">
        <v>42861</v>
      </c>
      <c r="B833" s="136" t="s">
        <v>16289</v>
      </c>
      <c r="C833" s="137">
        <v>110882</v>
      </c>
      <c r="D833" s="136" t="s">
        <v>15912</v>
      </c>
      <c r="E833" s="138">
        <v>1770</v>
      </c>
      <c r="F833" s="139">
        <v>42862</v>
      </c>
      <c r="G833" s="140">
        <v>1770</v>
      </c>
      <c r="H833" s="138">
        <f t="shared" si="13"/>
        <v>0</v>
      </c>
      <c r="I833" s="141" t="s">
        <v>15214</v>
      </c>
    </row>
    <row r="834" spans="1:9" x14ac:dyDescent="0.25">
      <c r="A834" s="135">
        <v>42861</v>
      </c>
      <c r="B834" s="142" t="s">
        <v>16290</v>
      </c>
      <c r="C834" s="143">
        <v>110883</v>
      </c>
      <c r="D834" s="142" t="s">
        <v>15442</v>
      </c>
      <c r="E834" s="144">
        <v>18224.8</v>
      </c>
      <c r="F834" s="145">
        <v>42867</v>
      </c>
      <c r="G834" s="146">
        <v>18224.8</v>
      </c>
      <c r="H834" s="138">
        <f t="shared" si="13"/>
        <v>0</v>
      </c>
      <c r="I834" s="147" t="s">
        <v>15214</v>
      </c>
    </row>
    <row r="835" spans="1:9" x14ac:dyDescent="0.25">
      <c r="A835" s="135">
        <v>42861</v>
      </c>
      <c r="B835" s="136" t="s">
        <v>16291</v>
      </c>
      <c r="C835" s="137">
        <v>110884</v>
      </c>
      <c r="D835" s="136" t="s">
        <v>15254</v>
      </c>
      <c r="E835" s="138">
        <v>9715.2000000000007</v>
      </c>
      <c r="F835" s="139">
        <v>42865</v>
      </c>
      <c r="G835" s="140">
        <v>9715.2000000000007</v>
      </c>
      <c r="H835" s="138">
        <f t="shared" si="13"/>
        <v>0</v>
      </c>
      <c r="I835" s="141" t="s">
        <v>15214</v>
      </c>
    </row>
    <row r="836" spans="1:9" x14ac:dyDescent="0.25">
      <c r="A836" s="135">
        <v>42861</v>
      </c>
      <c r="B836" s="142" t="s">
        <v>16292</v>
      </c>
      <c r="C836" s="143">
        <v>110885</v>
      </c>
      <c r="D836" s="142" t="s">
        <v>15365</v>
      </c>
      <c r="E836" s="144">
        <v>393806</v>
      </c>
      <c r="F836" s="145">
        <v>42863</v>
      </c>
      <c r="G836" s="146">
        <v>393806</v>
      </c>
      <c r="H836" s="138">
        <f t="shared" ref="H836:H899" si="14">E836-G836</f>
        <v>0</v>
      </c>
      <c r="I836" s="147" t="s">
        <v>15214</v>
      </c>
    </row>
    <row r="837" spans="1:9" x14ac:dyDescent="0.25">
      <c r="A837" s="135">
        <v>42861</v>
      </c>
      <c r="B837" s="136" t="s">
        <v>16293</v>
      </c>
      <c r="C837" s="137">
        <v>110886</v>
      </c>
      <c r="D837" s="136" t="s">
        <v>15365</v>
      </c>
      <c r="E837" s="138">
        <v>31132.15</v>
      </c>
      <c r="F837" s="139">
        <v>42863</v>
      </c>
      <c r="G837" s="140">
        <v>31132.15</v>
      </c>
      <c r="H837" s="138">
        <f t="shared" si="14"/>
        <v>0</v>
      </c>
      <c r="I837" s="141" t="s">
        <v>15214</v>
      </c>
    </row>
    <row r="838" spans="1:9" x14ac:dyDescent="0.25">
      <c r="A838" s="135">
        <v>42861</v>
      </c>
      <c r="B838" s="142" t="s">
        <v>16294</v>
      </c>
      <c r="C838" s="143">
        <v>110887</v>
      </c>
      <c r="D838" s="142" t="s">
        <v>15267</v>
      </c>
      <c r="E838" s="144">
        <v>66424.350000000006</v>
      </c>
      <c r="F838" s="148">
        <v>42892</v>
      </c>
      <c r="G838" s="149">
        <v>66424.350000000006</v>
      </c>
      <c r="H838" s="138">
        <f t="shared" si="14"/>
        <v>0</v>
      </c>
      <c r="I838" s="147" t="s">
        <v>15214</v>
      </c>
    </row>
    <row r="839" spans="1:9" x14ac:dyDescent="0.25">
      <c r="A839" s="135">
        <v>42861</v>
      </c>
      <c r="B839" s="136" t="s">
        <v>16295</v>
      </c>
      <c r="C839" s="137">
        <v>110888</v>
      </c>
      <c r="D839" s="136" t="s">
        <v>5873</v>
      </c>
      <c r="E839" s="138">
        <v>31576.65</v>
      </c>
      <c r="F839" s="139">
        <v>42862</v>
      </c>
      <c r="G839" s="140">
        <v>31576.65</v>
      </c>
      <c r="H839" s="138">
        <f t="shared" si="14"/>
        <v>0</v>
      </c>
      <c r="I839" s="141" t="s">
        <v>15214</v>
      </c>
    </row>
    <row r="840" spans="1:9" x14ac:dyDescent="0.25">
      <c r="A840" s="135">
        <v>42861</v>
      </c>
      <c r="B840" s="142" t="s">
        <v>16296</v>
      </c>
      <c r="C840" s="143">
        <v>110889</v>
      </c>
      <c r="D840" s="142" t="s">
        <v>16297</v>
      </c>
      <c r="E840" s="144">
        <v>8063.04</v>
      </c>
      <c r="F840" s="145">
        <v>42862</v>
      </c>
      <c r="G840" s="146">
        <v>8063.04</v>
      </c>
      <c r="H840" s="138">
        <f t="shared" si="14"/>
        <v>0</v>
      </c>
      <c r="I840" s="147" t="s">
        <v>15214</v>
      </c>
    </row>
    <row r="841" spans="1:9" x14ac:dyDescent="0.25">
      <c r="A841" s="135">
        <v>42861</v>
      </c>
      <c r="B841" s="136" t="s">
        <v>16298</v>
      </c>
      <c r="C841" s="137">
        <v>110890</v>
      </c>
      <c r="D841" s="136" t="s">
        <v>15655</v>
      </c>
      <c r="E841" s="138">
        <v>132330.79999999999</v>
      </c>
      <c r="F841" s="139">
        <v>42865</v>
      </c>
      <c r="G841" s="140">
        <v>132330.79999999999</v>
      </c>
      <c r="H841" s="138">
        <f t="shared" si="14"/>
        <v>0</v>
      </c>
      <c r="I841" s="141" t="s">
        <v>15214</v>
      </c>
    </row>
    <row r="842" spans="1:9" ht="15.75" x14ac:dyDescent="0.25">
      <c r="A842" s="135">
        <v>42861</v>
      </c>
      <c r="B842" s="142" t="s">
        <v>16299</v>
      </c>
      <c r="C842" s="143">
        <v>110891</v>
      </c>
      <c r="D842" s="142" t="s">
        <v>15628</v>
      </c>
      <c r="E842" s="144">
        <v>0</v>
      </c>
      <c r="F842" s="156" t="s">
        <v>95</v>
      </c>
      <c r="G842" s="144">
        <v>0</v>
      </c>
      <c r="H842" s="138">
        <f t="shared" si="14"/>
        <v>0</v>
      </c>
      <c r="I842" s="147" t="s">
        <v>95</v>
      </c>
    </row>
    <row r="843" spans="1:9" x14ac:dyDescent="0.25">
      <c r="A843" s="135">
        <v>42861</v>
      </c>
      <c r="B843" s="136" t="s">
        <v>16300</v>
      </c>
      <c r="C843" s="137">
        <v>110892</v>
      </c>
      <c r="D843" s="136" t="s">
        <v>15628</v>
      </c>
      <c r="E843" s="138">
        <v>5018.3999999999996</v>
      </c>
      <c r="F843" s="139">
        <v>42861</v>
      </c>
      <c r="G843" s="140">
        <v>5018.3999999999996</v>
      </c>
      <c r="H843" s="138">
        <f t="shared" si="14"/>
        <v>0</v>
      </c>
      <c r="I843" s="141" t="s">
        <v>15214</v>
      </c>
    </row>
    <row r="844" spans="1:9" x14ac:dyDescent="0.25">
      <c r="A844" s="135">
        <v>42861</v>
      </c>
      <c r="B844" s="142" t="s">
        <v>16301</v>
      </c>
      <c r="C844" s="143">
        <v>110893</v>
      </c>
      <c r="D844" s="142" t="s">
        <v>15246</v>
      </c>
      <c r="E844" s="144">
        <v>134114.12</v>
      </c>
      <c r="F844" s="145">
        <v>42867</v>
      </c>
      <c r="G844" s="146">
        <v>134114.12</v>
      </c>
      <c r="H844" s="138">
        <f t="shared" si="14"/>
        <v>0</v>
      </c>
      <c r="I844" s="147" t="s">
        <v>15214</v>
      </c>
    </row>
    <row r="845" spans="1:9" x14ac:dyDescent="0.25">
      <c r="A845" s="135">
        <v>42861</v>
      </c>
      <c r="B845" s="136" t="s">
        <v>16302</v>
      </c>
      <c r="C845" s="137">
        <v>110894</v>
      </c>
      <c r="D845" s="136" t="s">
        <v>15789</v>
      </c>
      <c r="E845" s="138">
        <v>23688</v>
      </c>
      <c r="F845" s="139">
        <v>42872</v>
      </c>
      <c r="G845" s="140">
        <v>23688</v>
      </c>
      <c r="H845" s="138">
        <f t="shared" si="14"/>
        <v>0</v>
      </c>
      <c r="I845" s="141" t="s">
        <v>15214</v>
      </c>
    </row>
    <row r="846" spans="1:9" ht="15.75" x14ac:dyDescent="0.25">
      <c r="A846" s="135">
        <v>42861</v>
      </c>
      <c r="B846" s="142" t="s">
        <v>16303</v>
      </c>
      <c r="C846" s="143">
        <v>110895</v>
      </c>
      <c r="D846" s="142" t="s">
        <v>15365</v>
      </c>
      <c r="E846" s="144">
        <v>0</v>
      </c>
      <c r="F846" s="156" t="s">
        <v>95</v>
      </c>
      <c r="G846" s="144">
        <v>0</v>
      </c>
      <c r="H846" s="138">
        <f t="shared" si="14"/>
        <v>0</v>
      </c>
      <c r="I846" s="147" t="s">
        <v>95</v>
      </c>
    </row>
    <row r="847" spans="1:9" x14ac:dyDescent="0.25">
      <c r="A847" s="135">
        <v>42861</v>
      </c>
      <c r="B847" s="136" t="s">
        <v>16304</v>
      </c>
      <c r="C847" s="137">
        <v>110896</v>
      </c>
      <c r="D847" s="136" t="s">
        <v>15223</v>
      </c>
      <c r="E847" s="138">
        <v>49368</v>
      </c>
      <c r="F847" s="139">
        <v>42874</v>
      </c>
      <c r="G847" s="140">
        <v>49368</v>
      </c>
      <c r="H847" s="138">
        <f t="shared" si="14"/>
        <v>0</v>
      </c>
      <c r="I847" s="141" t="s">
        <v>15214</v>
      </c>
    </row>
    <row r="848" spans="1:9" x14ac:dyDescent="0.25">
      <c r="A848" s="135">
        <v>42861</v>
      </c>
      <c r="B848" s="142" t="s">
        <v>16305</v>
      </c>
      <c r="C848" s="143">
        <v>110897</v>
      </c>
      <c r="D848" s="142" t="s">
        <v>16306</v>
      </c>
      <c r="E848" s="144">
        <v>27082.2</v>
      </c>
      <c r="F848" s="145">
        <v>42863</v>
      </c>
      <c r="G848" s="146">
        <v>27082.2</v>
      </c>
      <c r="H848" s="138">
        <f t="shared" si="14"/>
        <v>0</v>
      </c>
      <c r="I848" s="147" t="s">
        <v>15214</v>
      </c>
    </row>
    <row r="849" spans="1:9" x14ac:dyDescent="0.25">
      <c r="A849" s="135">
        <v>42861</v>
      </c>
      <c r="B849" s="136" t="s">
        <v>16307</v>
      </c>
      <c r="C849" s="137">
        <v>110898</v>
      </c>
      <c r="D849" s="136" t="s">
        <v>15223</v>
      </c>
      <c r="E849" s="138">
        <v>322</v>
      </c>
      <c r="F849" s="139">
        <v>42874</v>
      </c>
      <c r="G849" s="140">
        <v>322</v>
      </c>
      <c r="H849" s="138">
        <f t="shared" si="14"/>
        <v>0</v>
      </c>
      <c r="I849" s="141" t="s">
        <v>15214</v>
      </c>
    </row>
    <row r="850" spans="1:9" x14ac:dyDescent="0.25">
      <c r="A850" s="135">
        <v>42861</v>
      </c>
      <c r="B850" s="142" t="s">
        <v>16308</v>
      </c>
      <c r="C850" s="143">
        <v>110899</v>
      </c>
      <c r="D850" s="142" t="s">
        <v>15725</v>
      </c>
      <c r="E850" s="144">
        <v>24714.799999999999</v>
      </c>
      <c r="F850" s="145">
        <v>42863</v>
      </c>
      <c r="G850" s="146">
        <v>24714.799999999999</v>
      </c>
      <c r="H850" s="138">
        <f t="shared" si="14"/>
        <v>0</v>
      </c>
      <c r="I850" s="147" t="s">
        <v>15214</v>
      </c>
    </row>
    <row r="851" spans="1:9" x14ac:dyDescent="0.25">
      <c r="A851" s="135">
        <v>42861</v>
      </c>
      <c r="B851" s="136" t="s">
        <v>16309</v>
      </c>
      <c r="C851" s="137">
        <v>110900</v>
      </c>
      <c r="D851" s="136" t="s">
        <v>15365</v>
      </c>
      <c r="E851" s="138">
        <v>23828.85</v>
      </c>
      <c r="F851" s="139">
        <v>42868</v>
      </c>
      <c r="G851" s="140">
        <v>23828.85</v>
      </c>
      <c r="H851" s="138">
        <f t="shared" si="14"/>
        <v>0</v>
      </c>
      <c r="I851" s="141" t="s">
        <v>15214</v>
      </c>
    </row>
    <row r="852" spans="1:9" x14ac:dyDescent="0.25">
      <c r="A852" s="135">
        <v>42861</v>
      </c>
      <c r="B852" s="142" t="s">
        <v>16310</v>
      </c>
      <c r="C852" s="143">
        <v>110901</v>
      </c>
      <c r="D852" s="142" t="s">
        <v>15246</v>
      </c>
      <c r="E852" s="144">
        <v>54349.8</v>
      </c>
      <c r="F852" s="145">
        <v>42867</v>
      </c>
      <c r="G852" s="146">
        <v>54349.8</v>
      </c>
      <c r="H852" s="138">
        <f t="shared" si="14"/>
        <v>0</v>
      </c>
      <c r="I852" s="147" t="s">
        <v>15214</v>
      </c>
    </row>
    <row r="853" spans="1:9" x14ac:dyDescent="0.25">
      <c r="A853" s="135">
        <v>42861</v>
      </c>
      <c r="B853" s="136" t="s">
        <v>16311</v>
      </c>
      <c r="C853" s="137">
        <v>110902</v>
      </c>
      <c r="D853" s="136" t="s">
        <v>15890</v>
      </c>
      <c r="E853" s="138">
        <v>12045.4</v>
      </c>
      <c r="F853" s="139">
        <v>42863</v>
      </c>
      <c r="G853" s="140">
        <v>12045.4</v>
      </c>
      <c r="H853" s="138">
        <f t="shared" si="14"/>
        <v>0</v>
      </c>
      <c r="I853" s="141" t="s">
        <v>15214</v>
      </c>
    </row>
    <row r="854" spans="1:9" x14ac:dyDescent="0.25">
      <c r="A854" s="135">
        <v>42861</v>
      </c>
      <c r="B854" s="142" t="s">
        <v>16312</v>
      </c>
      <c r="C854" s="143">
        <v>110903</v>
      </c>
      <c r="D854" s="142" t="s">
        <v>16313</v>
      </c>
      <c r="E854" s="144">
        <v>3876</v>
      </c>
      <c r="F854" s="145">
        <v>42862</v>
      </c>
      <c r="G854" s="146">
        <v>3876</v>
      </c>
      <c r="H854" s="138">
        <f t="shared" si="14"/>
        <v>0</v>
      </c>
      <c r="I854" s="147" t="s">
        <v>15214</v>
      </c>
    </row>
    <row r="855" spans="1:9" x14ac:dyDescent="0.25">
      <c r="A855" s="135">
        <v>42861</v>
      </c>
      <c r="B855" s="136" t="s">
        <v>16314</v>
      </c>
      <c r="C855" s="137">
        <v>110904</v>
      </c>
      <c r="D855" s="136" t="s">
        <v>15213</v>
      </c>
      <c r="E855" s="138">
        <v>2856</v>
      </c>
      <c r="F855" s="139">
        <v>42862</v>
      </c>
      <c r="G855" s="140">
        <v>2856</v>
      </c>
      <c r="H855" s="138">
        <f t="shared" si="14"/>
        <v>0</v>
      </c>
      <c r="I855" s="141" t="s">
        <v>15214</v>
      </c>
    </row>
    <row r="856" spans="1:9" x14ac:dyDescent="0.25">
      <c r="A856" s="135">
        <v>42861</v>
      </c>
      <c r="B856" s="142" t="s">
        <v>16315</v>
      </c>
      <c r="C856" s="143">
        <v>110905</v>
      </c>
      <c r="D856" s="142" t="s">
        <v>15315</v>
      </c>
      <c r="E856" s="144">
        <v>4609.8999999999996</v>
      </c>
      <c r="F856" s="145">
        <v>42861</v>
      </c>
      <c r="G856" s="146">
        <v>4609.8999999999996</v>
      </c>
      <c r="H856" s="138">
        <f t="shared" si="14"/>
        <v>0</v>
      </c>
      <c r="I856" s="147" t="s">
        <v>15214</v>
      </c>
    </row>
    <row r="857" spans="1:9" x14ac:dyDescent="0.25">
      <c r="A857" s="135">
        <v>42861</v>
      </c>
      <c r="B857" s="136" t="s">
        <v>16316</v>
      </c>
      <c r="C857" s="137">
        <v>110906</v>
      </c>
      <c r="D857" s="136" t="s">
        <v>15250</v>
      </c>
      <c r="E857" s="138">
        <v>69994.16</v>
      </c>
      <c r="F857" s="139">
        <v>42868</v>
      </c>
      <c r="G857" s="140">
        <v>69994.16</v>
      </c>
      <c r="H857" s="138">
        <f t="shared" si="14"/>
        <v>0</v>
      </c>
      <c r="I857" s="141" t="s">
        <v>15214</v>
      </c>
    </row>
    <row r="858" spans="1:9" x14ac:dyDescent="0.25">
      <c r="A858" s="135">
        <v>42861</v>
      </c>
      <c r="B858" s="142" t="s">
        <v>16317</v>
      </c>
      <c r="C858" s="143">
        <v>110907</v>
      </c>
      <c r="D858" s="142" t="s">
        <v>15681</v>
      </c>
      <c r="E858" s="144">
        <v>2332.8000000000002</v>
      </c>
      <c r="F858" s="145">
        <v>42861</v>
      </c>
      <c r="G858" s="146">
        <v>2332.8000000000002</v>
      </c>
      <c r="H858" s="138">
        <f t="shared" si="14"/>
        <v>0</v>
      </c>
      <c r="I858" s="147" t="s">
        <v>15214</v>
      </c>
    </row>
    <row r="859" spans="1:9" x14ac:dyDescent="0.25">
      <c r="A859" s="135">
        <v>42861</v>
      </c>
      <c r="B859" s="136" t="s">
        <v>16318</v>
      </c>
      <c r="C859" s="137">
        <v>110908</v>
      </c>
      <c r="D859" s="136" t="s">
        <v>15315</v>
      </c>
      <c r="E859" s="138">
        <v>2554.1999999999998</v>
      </c>
      <c r="F859" s="139">
        <v>42861</v>
      </c>
      <c r="G859" s="140">
        <v>2554.1999999999998</v>
      </c>
      <c r="H859" s="138">
        <f t="shared" si="14"/>
        <v>0</v>
      </c>
      <c r="I859" s="141" t="s">
        <v>15214</v>
      </c>
    </row>
    <row r="860" spans="1:9" x14ac:dyDescent="0.25">
      <c r="A860" s="135">
        <v>42861</v>
      </c>
      <c r="B860" s="142" t="s">
        <v>16319</v>
      </c>
      <c r="C860" s="143">
        <v>110909</v>
      </c>
      <c r="D860" s="142" t="s">
        <v>15433</v>
      </c>
      <c r="E860" s="144">
        <v>240</v>
      </c>
      <c r="F860" s="145">
        <v>42861</v>
      </c>
      <c r="G860" s="146">
        <v>240</v>
      </c>
      <c r="H860" s="138">
        <f t="shared" si="14"/>
        <v>0</v>
      </c>
      <c r="I860" s="147" t="s">
        <v>15214</v>
      </c>
    </row>
    <row r="861" spans="1:9" x14ac:dyDescent="0.25">
      <c r="A861" s="135">
        <v>42861</v>
      </c>
      <c r="B861" s="136" t="s">
        <v>16320</v>
      </c>
      <c r="C861" s="137">
        <v>110910</v>
      </c>
      <c r="D861" s="136" t="s">
        <v>15642</v>
      </c>
      <c r="E861" s="138">
        <v>12267.9</v>
      </c>
      <c r="F861" s="139">
        <v>42862</v>
      </c>
      <c r="G861" s="140">
        <v>12267.9</v>
      </c>
      <c r="H861" s="138">
        <f t="shared" si="14"/>
        <v>0</v>
      </c>
      <c r="I861" s="141" t="s">
        <v>15214</v>
      </c>
    </row>
    <row r="862" spans="1:9" x14ac:dyDescent="0.25">
      <c r="A862" s="135">
        <v>42862</v>
      </c>
      <c r="B862" s="142" t="s">
        <v>16321</v>
      </c>
      <c r="C862" s="143">
        <v>110911</v>
      </c>
      <c r="D862" s="142" t="s">
        <v>15213</v>
      </c>
      <c r="E862" s="144">
        <v>7423.2</v>
      </c>
      <c r="F862" s="145">
        <v>42863</v>
      </c>
      <c r="G862" s="146">
        <v>7423.2</v>
      </c>
      <c r="H862" s="138">
        <f t="shared" si="14"/>
        <v>0</v>
      </c>
      <c r="I862" s="147" t="s">
        <v>15214</v>
      </c>
    </row>
    <row r="863" spans="1:9" x14ac:dyDescent="0.25">
      <c r="A863" s="135">
        <v>42862</v>
      </c>
      <c r="B863" s="136" t="s">
        <v>16322</v>
      </c>
      <c r="C863" s="137">
        <v>110912</v>
      </c>
      <c r="D863" s="136" t="s">
        <v>15242</v>
      </c>
      <c r="E863" s="138">
        <v>4778.3999999999996</v>
      </c>
      <c r="F863" s="139">
        <v>42864</v>
      </c>
      <c r="G863" s="140">
        <v>4778.3999999999996</v>
      </c>
      <c r="H863" s="138">
        <f t="shared" si="14"/>
        <v>0</v>
      </c>
      <c r="I863" s="141" t="s">
        <v>15214</v>
      </c>
    </row>
    <row r="864" spans="1:9" x14ac:dyDescent="0.25">
      <c r="A864" s="135">
        <v>42862</v>
      </c>
      <c r="B864" s="142" t="s">
        <v>16323</v>
      </c>
      <c r="C864" s="143">
        <v>110913</v>
      </c>
      <c r="D864" s="142" t="s">
        <v>15228</v>
      </c>
      <c r="E864" s="144">
        <v>8909.6</v>
      </c>
      <c r="F864" s="145" t="s">
        <v>16324</v>
      </c>
      <c r="G864" s="146">
        <f>8000+909.6</f>
        <v>8909.6</v>
      </c>
      <c r="H864" s="138">
        <f t="shared" si="14"/>
        <v>0</v>
      </c>
      <c r="I864" s="147" t="s">
        <v>15214</v>
      </c>
    </row>
    <row r="865" spans="1:9" x14ac:dyDescent="0.25">
      <c r="A865" s="135">
        <v>42862</v>
      </c>
      <c r="B865" s="136" t="s">
        <v>16325</v>
      </c>
      <c r="C865" s="137">
        <v>110914</v>
      </c>
      <c r="D865" s="136" t="s">
        <v>15438</v>
      </c>
      <c r="E865" s="138">
        <v>1240.5999999999999</v>
      </c>
      <c r="F865" s="139">
        <v>42862</v>
      </c>
      <c r="G865" s="140">
        <v>1240.5999999999999</v>
      </c>
      <c r="H865" s="138">
        <f t="shared" si="14"/>
        <v>0</v>
      </c>
      <c r="I865" s="141" t="s">
        <v>15214</v>
      </c>
    </row>
    <row r="866" spans="1:9" x14ac:dyDescent="0.25">
      <c r="A866" s="135">
        <v>42862</v>
      </c>
      <c r="B866" s="142" t="s">
        <v>16326</v>
      </c>
      <c r="C866" s="143">
        <v>110915</v>
      </c>
      <c r="D866" s="142" t="s">
        <v>15213</v>
      </c>
      <c r="E866" s="144">
        <v>43023.5</v>
      </c>
      <c r="F866" s="145">
        <v>42863</v>
      </c>
      <c r="G866" s="146">
        <v>43023.5</v>
      </c>
      <c r="H866" s="138">
        <f t="shared" si="14"/>
        <v>0</v>
      </c>
      <c r="I866" s="147" t="s">
        <v>15214</v>
      </c>
    </row>
    <row r="867" spans="1:9" x14ac:dyDescent="0.25">
      <c r="A867" s="135">
        <v>42862</v>
      </c>
      <c r="B867" s="136" t="s">
        <v>16327</v>
      </c>
      <c r="C867" s="137">
        <v>110916</v>
      </c>
      <c r="D867" s="136" t="s">
        <v>15272</v>
      </c>
      <c r="E867" s="138">
        <v>20582.099999999999</v>
      </c>
      <c r="F867" s="139">
        <v>42862</v>
      </c>
      <c r="G867" s="140">
        <v>20582.099999999999</v>
      </c>
      <c r="H867" s="138">
        <f t="shared" si="14"/>
        <v>0</v>
      </c>
      <c r="I867" s="141" t="s">
        <v>15214</v>
      </c>
    </row>
    <row r="868" spans="1:9" x14ac:dyDescent="0.25">
      <c r="A868" s="135">
        <v>42862</v>
      </c>
      <c r="B868" s="142" t="s">
        <v>16328</v>
      </c>
      <c r="C868" s="143">
        <v>110917</v>
      </c>
      <c r="D868" s="142" t="s">
        <v>15220</v>
      </c>
      <c r="E868" s="144">
        <v>4935</v>
      </c>
      <c r="F868" s="145">
        <v>42862</v>
      </c>
      <c r="G868" s="146">
        <v>4935</v>
      </c>
      <c r="H868" s="138">
        <f t="shared" si="14"/>
        <v>0</v>
      </c>
      <c r="I868" s="147" t="s">
        <v>15214</v>
      </c>
    </row>
    <row r="869" spans="1:9" x14ac:dyDescent="0.25">
      <c r="A869" s="135">
        <v>42862</v>
      </c>
      <c r="B869" s="136" t="s">
        <v>16329</v>
      </c>
      <c r="C869" s="137">
        <v>110918</v>
      </c>
      <c r="D869" s="136" t="s">
        <v>15810</v>
      </c>
      <c r="E869" s="138">
        <v>437</v>
      </c>
      <c r="F869" s="139">
        <v>42862</v>
      </c>
      <c r="G869" s="140">
        <v>437</v>
      </c>
      <c r="H869" s="138">
        <f t="shared" si="14"/>
        <v>0</v>
      </c>
      <c r="I869" s="141" t="s">
        <v>15214</v>
      </c>
    </row>
    <row r="870" spans="1:9" x14ac:dyDescent="0.25">
      <c r="A870" s="135">
        <v>42862</v>
      </c>
      <c r="B870" s="142" t="s">
        <v>16330</v>
      </c>
      <c r="C870" s="143">
        <v>110919</v>
      </c>
      <c r="D870" s="142" t="s">
        <v>15330</v>
      </c>
      <c r="E870" s="144">
        <v>2688.4</v>
      </c>
      <c r="F870" s="145">
        <v>42862</v>
      </c>
      <c r="G870" s="146">
        <v>2688.4</v>
      </c>
      <c r="H870" s="138">
        <f t="shared" si="14"/>
        <v>0</v>
      </c>
      <c r="I870" s="147" t="s">
        <v>15214</v>
      </c>
    </row>
    <row r="871" spans="1:9" x14ac:dyDescent="0.25">
      <c r="A871" s="135">
        <v>42862</v>
      </c>
      <c r="B871" s="136" t="s">
        <v>16331</v>
      </c>
      <c r="C871" s="137">
        <v>110920</v>
      </c>
      <c r="D871" s="136" t="s">
        <v>15668</v>
      </c>
      <c r="E871" s="138">
        <v>28291</v>
      </c>
      <c r="F871" s="139">
        <v>42870</v>
      </c>
      <c r="G871" s="140">
        <v>28291</v>
      </c>
      <c r="H871" s="138">
        <f t="shared" si="14"/>
        <v>0</v>
      </c>
      <c r="I871" s="141" t="s">
        <v>15214</v>
      </c>
    </row>
    <row r="872" spans="1:9" x14ac:dyDescent="0.25">
      <c r="A872" s="135">
        <v>42862</v>
      </c>
      <c r="B872" s="142" t="s">
        <v>16332</v>
      </c>
      <c r="C872" s="143">
        <v>110921</v>
      </c>
      <c r="D872" s="142" t="s">
        <v>15487</v>
      </c>
      <c r="E872" s="144">
        <v>3115.2</v>
      </c>
      <c r="F872" s="145">
        <v>42862</v>
      </c>
      <c r="G872" s="146">
        <v>3115.2</v>
      </c>
      <c r="H872" s="138">
        <f t="shared" si="14"/>
        <v>0</v>
      </c>
      <c r="I872" s="147" t="s">
        <v>15214</v>
      </c>
    </row>
    <row r="873" spans="1:9" x14ac:dyDescent="0.25">
      <c r="A873" s="135">
        <v>42862</v>
      </c>
      <c r="B873" s="136" t="s">
        <v>16333</v>
      </c>
      <c r="C873" s="137">
        <v>110922</v>
      </c>
      <c r="D873" s="136" t="s">
        <v>15250</v>
      </c>
      <c r="E873" s="138">
        <v>33426</v>
      </c>
      <c r="F873" s="139">
        <v>42868</v>
      </c>
      <c r="G873" s="140">
        <v>33426</v>
      </c>
      <c r="H873" s="138">
        <f t="shared" si="14"/>
        <v>0</v>
      </c>
      <c r="I873" s="141" t="s">
        <v>15214</v>
      </c>
    </row>
    <row r="874" spans="1:9" ht="15.75" x14ac:dyDescent="0.25">
      <c r="A874" s="135">
        <v>42862</v>
      </c>
      <c r="B874" s="142" t="s">
        <v>16334</v>
      </c>
      <c r="C874" s="143">
        <v>110923</v>
      </c>
      <c r="D874" s="142" t="s">
        <v>15541</v>
      </c>
      <c r="E874" s="144">
        <v>0</v>
      </c>
      <c r="F874" s="156" t="s">
        <v>95</v>
      </c>
      <c r="G874" s="144">
        <v>0</v>
      </c>
      <c r="H874" s="138">
        <f t="shared" si="14"/>
        <v>0</v>
      </c>
      <c r="I874" s="147" t="s">
        <v>95</v>
      </c>
    </row>
    <row r="875" spans="1:9" x14ac:dyDescent="0.25">
      <c r="A875" s="135">
        <v>42862</v>
      </c>
      <c r="B875" s="136" t="s">
        <v>16335</v>
      </c>
      <c r="C875" s="137">
        <v>110924</v>
      </c>
      <c r="D875" s="136" t="s">
        <v>15248</v>
      </c>
      <c r="E875" s="138">
        <v>17628.8</v>
      </c>
      <c r="F875" s="139">
        <v>42862</v>
      </c>
      <c r="G875" s="140">
        <v>17628.8</v>
      </c>
      <c r="H875" s="138">
        <f t="shared" si="14"/>
        <v>0</v>
      </c>
      <c r="I875" s="141" t="s">
        <v>15214</v>
      </c>
    </row>
    <row r="876" spans="1:9" x14ac:dyDescent="0.25">
      <c r="A876" s="135">
        <v>42862</v>
      </c>
      <c r="B876" s="142" t="s">
        <v>16336</v>
      </c>
      <c r="C876" s="143">
        <v>110925</v>
      </c>
      <c r="D876" s="142" t="s">
        <v>15246</v>
      </c>
      <c r="E876" s="144">
        <v>332931.59999999998</v>
      </c>
      <c r="F876" s="145">
        <v>42867</v>
      </c>
      <c r="G876" s="146">
        <v>332931.59999999998</v>
      </c>
      <c r="H876" s="138">
        <f t="shared" si="14"/>
        <v>0</v>
      </c>
      <c r="I876" s="147" t="s">
        <v>15214</v>
      </c>
    </row>
    <row r="877" spans="1:9" x14ac:dyDescent="0.25">
      <c r="A877" s="135">
        <v>42862</v>
      </c>
      <c r="B877" s="136" t="s">
        <v>16337</v>
      </c>
      <c r="C877" s="137">
        <v>110926</v>
      </c>
      <c r="D877" s="136" t="s">
        <v>16338</v>
      </c>
      <c r="E877" s="138">
        <v>1059.44</v>
      </c>
      <c r="F877" s="139">
        <v>42863</v>
      </c>
      <c r="G877" s="140">
        <v>1059.44</v>
      </c>
      <c r="H877" s="138">
        <f t="shared" si="14"/>
        <v>0</v>
      </c>
      <c r="I877" s="141" t="s">
        <v>15214</v>
      </c>
    </row>
    <row r="878" spans="1:9" x14ac:dyDescent="0.25">
      <c r="A878" s="135">
        <v>42862</v>
      </c>
      <c r="B878" s="142" t="s">
        <v>16339</v>
      </c>
      <c r="C878" s="143">
        <v>110927</v>
      </c>
      <c r="D878" s="142" t="s">
        <v>15636</v>
      </c>
      <c r="E878" s="144">
        <v>11478.4</v>
      </c>
      <c r="F878" s="145">
        <v>42862</v>
      </c>
      <c r="G878" s="146">
        <v>11478.4</v>
      </c>
      <c r="H878" s="138">
        <f t="shared" si="14"/>
        <v>0</v>
      </c>
      <c r="I878" s="147" t="s">
        <v>15214</v>
      </c>
    </row>
    <row r="879" spans="1:9" x14ac:dyDescent="0.25">
      <c r="A879" s="135">
        <v>42862</v>
      </c>
      <c r="B879" s="136" t="s">
        <v>16340</v>
      </c>
      <c r="C879" s="137">
        <v>110928</v>
      </c>
      <c r="D879" s="136" t="s">
        <v>15223</v>
      </c>
      <c r="E879" s="138">
        <v>45320</v>
      </c>
      <c r="F879" s="139">
        <v>42874</v>
      </c>
      <c r="G879" s="140">
        <v>45320</v>
      </c>
      <c r="H879" s="138">
        <f t="shared" si="14"/>
        <v>0</v>
      </c>
      <c r="I879" s="141" t="s">
        <v>15214</v>
      </c>
    </row>
    <row r="880" spans="1:9" x14ac:dyDescent="0.25">
      <c r="A880" s="135">
        <v>42862</v>
      </c>
      <c r="B880" s="142" t="s">
        <v>16341</v>
      </c>
      <c r="C880" s="143">
        <v>110929</v>
      </c>
      <c r="D880" s="142" t="s">
        <v>15541</v>
      </c>
      <c r="E880" s="144">
        <v>2570</v>
      </c>
      <c r="F880" s="145">
        <v>42862</v>
      </c>
      <c r="G880" s="146">
        <v>2570</v>
      </c>
      <c r="H880" s="138">
        <f t="shared" si="14"/>
        <v>0</v>
      </c>
      <c r="I880" s="147" t="s">
        <v>15214</v>
      </c>
    </row>
    <row r="881" spans="1:9" x14ac:dyDescent="0.25">
      <c r="A881" s="135">
        <v>42862</v>
      </c>
      <c r="B881" s="136" t="s">
        <v>16342</v>
      </c>
      <c r="C881" s="137">
        <v>110930</v>
      </c>
      <c r="D881" s="136" t="s">
        <v>15890</v>
      </c>
      <c r="E881" s="138">
        <v>1600</v>
      </c>
      <c r="F881" s="139">
        <v>42868</v>
      </c>
      <c r="G881" s="140">
        <v>1600</v>
      </c>
      <c r="H881" s="138">
        <f t="shared" si="14"/>
        <v>0</v>
      </c>
      <c r="I881" s="141" t="s">
        <v>15214</v>
      </c>
    </row>
    <row r="882" spans="1:9" x14ac:dyDescent="0.25">
      <c r="A882" s="135">
        <v>42862</v>
      </c>
      <c r="B882" s="142" t="s">
        <v>16343</v>
      </c>
      <c r="C882" s="143">
        <v>110931</v>
      </c>
      <c r="D882" s="142" t="s">
        <v>15282</v>
      </c>
      <c r="E882" s="144">
        <v>2857.5</v>
      </c>
      <c r="F882" s="145">
        <v>42862</v>
      </c>
      <c r="G882" s="146">
        <v>2857.5</v>
      </c>
      <c r="H882" s="138">
        <f t="shared" si="14"/>
        <v>0</v>
      </c>
      <c r="I882" s="147" t="s">
        <v>15214</v>
      </c>
    </row>
    <row r="883" spans="1:9" x14ac:dyDescent="0.25">
      <c r="A883" s="135">
        <v>42862</v>
      </c>
      <c r="B883" s="136" t="s">
        <v>16344</v>
      </c>
      <c r="C883" s="137">
        <v>110932</v>
      </c>
      <c r="D883" s="136" t="s">
        <v>15265</v>
      </c>
      <c r="E883" s="138">
        <v>2364.4</v>
      </c>
      <c r="F883" s="139">
        <v>42864</v>
      </c>
      <c r="G883" s="140">
        <v>2364.4</v>
      </c>
      <c r="H883" s="138">
        <f t="shared" si="14"/>
        <v>0</v>
      </c>
      <c r="I883" s="141" t="s">
        <v>15214</v>
      </c>
    </row>
    <row r="884" spans="1:9" x14ac:dyDescent="0.25">
      <c r="A884" s="135">
        <v>42862</v>
      </c>
      <c r="B884" s="142" t="s">
        <v>16345</v>
      </c>
      <c r="C884" s="143">
        <v>110933</v>
      </c>
      <c r="D884" s="142" t="s">
        <v>15324</v>
      </c>
      <c r="E884" s="144">
        <v>1141.2</v>
      </c>
      <c r="F884" s="145">
        <v>42863</v>
      </c>
      <c r="G884" s="146">
        <v>1141.2</v>
      </c>
      <c r="H884" s="138">
        <f t="shared" si="14"/>
        <v>0</v>
      </c>
      <c r="I884" s="147" t="s">
        <v>15214</v>
      </c>
    </row>
    <row r="885" spans="1:9" x14ac:dyDescent="0.25">
      <c r="A885" s="135">
        <v>42862</v>
      </c>
      <c r="B885" s="136" t="s">
        <v>16346</v>
      </c>
      <c r="C885" s="137">
        <v>110934</v>
      </c>
      <c r="D885" s="136" t="s">
        <v>15562</v>
      </c>
      <c r="E885" s="138">
        <v>4789</v>
      </c>
      <c r="F885" s="139">
        <v>42862</v>
      </c>
      <c r="G885" s="140">
        <v>4789</v>
      </c>
      <c r="H885" s="138">
        <f t="shared" si="14"/>
        <v>0</v>
      </c>
      <c r="I885" s="141" t="s">
        <v>15214</v>
      </c>
    </row>
    <row r="886" spans="1:9" x14ac:dyDescent="0.25">
      <c r="A886" s="135">
        <v>42862</v>
      </c>
      <c r="B886" s="142" t="s">
        <v>16347</v>
      </c>
      <c r="C886" s="143">
        <v>110935</v>
      </c>
      <c r="D886" s="142" t="s">
        <v>16023</v>
      </c>
      <c r="E886" s="144">
        <v>860.2</v>
      </c>
      <c r="F886" s="145">
        <v>42862</v>
      </c>
      <c r="G886" s="146">
        <v>860.2</v>
      </c>
      <c r="H886" s="138">
        <f t="shared" si="14"/>
        <v>0</v>
      </c>
      <c r="I886" s="147" t="s">
        <v>15214</v>
      </c>
    </row>
    <row r="887" spans="1:9" x14ac:dyDescent="0.25">
      <c r="A887" s="135">
        <v>42862</v>
      </c>
      <c r="B887" s="136" t="s">
        <v>16348</v>
      </c>
      <c r="C887" s="137">
        <v>110936</v>
      </c>
      <c r="D887" s="136" t="s">
        <v>15267</v>
      </c>
      <c r="E887" s="138">
        <v>6789.6</v>
      </c>
      <c r="F887" s="139">
        <v>42862</v>
      </c>
      <c r="G887" s="140">
        <v>6789.6</v>
      </c>
      <c r="H887" s="138">
        <f t="shared" si="14"/>
        <v>0</v>
      </c>
      <c r="I887" s="141" t="s">
        <v>15214</v>
      </c>
    </row>
    <row r="888" spans="1:9" x14ac:dyDescent="0.25">
      <c r="A888" s="135">
        <v>42862</v>
      </c>
      <c r="B888" s="142" t="s">
        <v>16349</v>
      </c>
      <c r="C888" s="143">
        <v>110937</v>
      </c>
      <c r="D888" s="142" t="s">
        <v>15280</v>
      </c>
      <c r="E888" s="144">
        <v>7413.6</v>
      </c>
      <c r="F888" s="145">
        <v>42862</v>
      </c>
      <c r="G888" s="146">
        <v>7413.6</v>
      </c>
      <c r="H888" s="138">
        <f t="shared" si="14"/>
        <v>0</v>
      </c>
      <c r="I888" s="147" t="s">
        <v>15214</v>
      </c>
    </row>
    <row r="889" spans="1:9" x14ac:dyDescent="0.25">
      <c r="A889" s="135">
        <v>42862</v>
      </c>
      <c r="B889" s="136" t="s">
        <v>16350</v>
      </c>
      <c r="C889" s="137">
        <v>110938</v>
      </c>
      <c r="D889" s="136" t="s">
        <v>15371</v>
      </c>
      <c r="E889" s="138">
        <v>8636</v>
      </c>
      <c r="F889" s="139">
        <v>42865</v>
      </c>
      <c r="G889" s="140">
        <v>8636</v>
      </c>
      <c r="H889" s="138">
        <f t="shared" si="14"/>
        <v>0</v>
      </c>
      <c r="I889" s="141" t="s">
        <v>15214</v>
      </c>
    </row>
    <row r="890" spans="1:9" x14ac:dyDescent="0.25">
      <c r="A890" s="135">
        <v>42862</v>
      </c>
      <c r="B890" s="142" t="s">
        <v>16351</v>
      </c>
      <c r="C890" s="143">
        <v>110939</v>
      </c>
      <c r="D890" s="142" t="s">
        <v>15284</v>
      </c>
      <c r="E890" s="144">
        <v>2817.3</v>
      </c>
      <c r="F890" s="145">
        <v>42862</v>
      </c>
      <c r="G890" s="146">
        <v>2817.3</v>
      </c>
      <c r="H890" s="138">
        <f t="shared" si="14"/>
        <v>0</v>
      </c>
      <c r="I890" s="147" t="s">
        <v>15214</v>
      </c>
    </row>
    <row r="891" spans="1:9" x14ac:dyDescent="0.25">
      <c r="A891" s="135">
        <v>42862</v>
      </c>
      <c r="B891" s="136" t="s">
        <v>16352</v>
      </c>
      <c r="C891" s="137">
        <v>110940</v>
      </c>
      <c r="D891" s="136" t="s">
        <v>15289</v>
      </c>
      <c r="E891" s="138">
        <v>369.6</v>
      </c>
      <c r="F891" s="139">
        <v>42862</v>
      </c>
      <c r="G891" s="140">
        <v>369.6</v>
      </c>
      <c r="H891" s="138">
        <f t="shared" si="14"/>
        <v>0</v>
      </c>
      <c r="I891" s="141" t="s">
        <v>15214</v>
      </c>
    </row>
    <row r="892" spans="1:9" x14ac:dyDescent="0.25">
      <c r="A892" s="135">
        <v>42862</v>
      </c>
      <c r="B892" s="142" t="s">
        <v>16353</v>
      </c>
      <c r="C892" s="143">
        <v>110941</v>
      </c>
      <c r="D892" s="142" t="s">
        <v>15398</v>
      </c>
      <c r="E892" s="144">
        <v>554.1</v>
      </c>
      <c r="F892" s="145">
        <v>42862</v>
      </c>
      <c r="G892" s="146">
        <v>554.1</v>
      </c>
      <c r="H892" s="138">
        <f t="shared" si="14"/>
        <v>0</v>
      </c>
      <c r="I892" s="147" t="s">
        <v>15214</v>
      </c>
    </row>
    <row r="893" spans="1:9" x14ac:dyDescent="0.25">
      <c r="A893" s="135">
        <v>42862</v>
      </c>
      <c r="B893" s="136" t="s">
        <v>16354</v>
      </c>
      <c r="C893" s="137">
        <v>110942</v>
      </c>
      <c r="D893" s="136" t="s">
        <v>15398</v>
      </c>
      <c r="E893" s="138">
        <v>1236</v>
      </c>
      <c r="F893" s="139">
        <v>42862</v>
      </c>
      <c r="G893" s="140">
        <v>1236</v>
      </c>
      <c r="H893" s="138">
        <f t="shared" si="14"/>
        <v>0</v>
      </c>
      <c r="I893" s="141" t="s">
        <v>15214</v>
      </c>
    </row>
    <row r="894" spans="1:9" x14ac:dyDescent="0.25">
      <c r="A894" s="135">
        <v>42862</v>
      </c>
      <c r="B894" s="142" t="s">
        <v>16355</v>
      </c>
      <c r="C894" s="143">
        <v>110943</v>
      </c>
      <c r="D894" s="142" t="s">
        <v>15252</v>
      </c>
      <c r="E894" s="144">
        <v>4350.5</v>
      </c>
      <c r="F894" s="145" t="s">
        <v>16356</v>
      </c>
      <c r="G894" s="146">
        <f>2355.4+1995.1</f>
        <v>4350.5</v>
      </c>
      <c r="H894" s="138">
        <f t="shared" si="14"/>
        <v>0</v>
      </c>
      <c r="I894" s="147" t="s">
        <v>15214</v>
      </c>
    </row>
    <row r="895" spans="1:9" x14ac:dyDescent="0.25">
      <c r="A895" s="135">
        <v>42862</v>
      </c>
      <c r="B895" s="136" t="s">
        <v>16357</v>
      </c>
      <c r="C895" s="137">
        <v>110944</v>
      </c>
      <c r="D895" s="136" t="s">
        <v>15510</v>
      </c>
      <c r="E895" s="138">
        <v>15452.5</v>
      </c>
      <c r="F895" s="139" t="s">
        <v>16324</v>
      </c>
      <c r="G895" s="140">
        <f>10000+5452.5</f>
        <v>15452.5</v>
      </c>
      <c r="H895" s="138">
        <f t="shared" si="14"/>
        <v>0</v>
      </c>
      <c r="I895" s="141" t="s">
        <v>15214</v>
      </c>
    </row>
    <row r="896" spans="1:9" x14ac:dyDescent="0.25">
      <c r="A896" s="135">
        <v>42862</v>
      </c>
      <c r="B896" s="142" t="s">
        <v>16358</v>
      </c>
      <c r="C896" s="143">
        <v>110945</v>
      </c>
      <c r="D896" s="142" t="s">
        <v>15332</v>
      </c>
      <c r="E896" s="144">
        <v>4936.67</v>
      </c>
      <c r="F896" s="145">
        <v>42863</v>
      </c>
      <c r="G896" s="146">
        <v>4936.67</v>
      </c>
      <c r="H896" s="138">
        <f t="shared" si="14"/>
        <v>0</v>
      </c>
      <c r="I896" s="147" t="s">
        <v>15214</v>
      </c>
    </row>
    <row r="897" spans="1:9" x14ac:dyDescent="0.25">
      <c r="A897" s="135">
        <v>42862</v>
      </c>
      <c r="B897" s="136" t="s">
        <v>16359</v>
      </c>
      <c r="C897" s="137">
        <v>110946</v>
      </c>
      <c r="D897" s="136" t="s">
        <v>15530</v>
      </c>
      <c r="E897" s="138">
        <v>5218.3999999999996</v>
      </c>
      <c r="F897" s="139">
        <v>42862</v>
      </c>
      <c r="G897" s="140">
        <v>5218.3999999999996</v>
      </c>
      <c r="H897" s="138">
        <f t="shared" si="14"/>
        <v>0</v>
      </c>
      <c r="I897" s="141" t="s">
        <v>15214</v>
      </c>
    </row>
    <row r="898" spans="1:9" x14ac:dyDescent="0.25">
      <c r="A898" s="135">
        <v>42862</v>
      </c>
      <c r="B898" s="142" t="s">
        <v>16360</v>
      </c>
      <c r="C898" s="143">
        <v>110947</v>
      </c>
      <c r="D898" s="142" t="s">
        <v>15344</v>
      </c>
      <c r="E898" s="144">
        <v>2064</v>
      </c>
      <c r="F898" s="145">
        <v>42863</v>
      </c>
      <c r="G898" s="146">
        <v>2064</v>
      </c>
      <c r="H898" s="138">
        <f t="shared" si="14"/>
        <v>0</v>
      </c>
      <c r="I898" s="147" t="s">
        <v>15214</v>
      </c>
    </row>
    <row r="899" spans="1:9" x14ac:dyDescent="0.25">
      <c r="A899" s="135">
        <v>42862</v>
      </c>
      <c r="B899" s="136" t="s">
        <v>16361</v>
      </c>
      <c r="C899" s="137">
        <v>110948</v>
      </c>
      <c r="D899" s="136" t="s">
        <v>15244</v>
      </c>
      <c r="E899" s="138">
        <v>11060.6</v>
      </c>
      <c r="F899" s="139">
        <v>42864</v>
      </c>
      <c r="G899" s="140">
        <v>11060.6</v>
      </c>
      <c r="H899" s="138">
        <f t="shared" si="14"/>
        <v>0</v>
      </c>
      <c r="I899" s="141" t="s">
        <v>15214</v>
      </c>
    </row>
    <row r="900" spans="1:9" x14ac:dyDescent="0.25">
      <c r="A900" s="135">
        <v>42862</v>
      </c>
      <c r="B900" s="142" t="s">
        <v>16362</v>
      </c>
      <c r="C900" s="143">
        <v>110949</v>
      </c>
      <c r="D900" s="142" t="s">
        <v>15358</v>
      </c>
      <c r="E900" s="144">
        <v>2346</v>
      </c>
      <c r="F900" s="145">
        <v>42863</v>
      </c>
      <c r="G900" s="146">
        <v>2346</v>
      </c>
      <c r="H900" s="138">
        <f t="shared" ref="H900:H963" si="15">E900-G900</f>
        <v>0</v>
      </c>
      <c r="I900" s="147" t="s">
        <v>15214</v>
      </c>
    </row>
    <row r="901" spans="1:9" x14ac:dyDescent="0.25">
      <c r="A901" s="135">
        <v>42862</v>
      </c>
      <c r="B901" s="136" t="s">
        <v>16363</v>
      </c>
      <c r="C901" s="137">
        <v>110950</v>
      </c>
      <c r="D901" s="136" t="s">
        <v>15523</v>
      </c>
      <c r="E901" s="138">
        <v>3290</v>
      </c>
      <c r="F901" s="139">
        <v>42863</v>
      </c>
      <c r="G901" s="140">
        <v>3290</v>
      </c>
      <c r="H901" s="138">
        <f t="shared" si="15"/>
        <v>0</v>
      </c>
      <c r="I901" s="141" t="s">
        <v>15214</v>
      </c>
    </row>
    <row r="902" spans="1:9" x14ac:dyDescent="0.25">
      <c r="A902" s="135">
        <v>42862</v>
      </c>
      <c r="B902" s="142" t="s">
        <v>16364</v>
      </c>
      <c r="C902" s="143">
        <v>110951</v>
      </c>
      <c r="D902" s="142" t="s">
        <v>15350</v>
      </c>
      <c r="E902" s="144">
        <v>1175</v>
      </c>
      <c r="F902" s="145">
        <v>42863</v>
      </c>
      <c r="G902" s="146">
        <v>1175</v>
      </c>
      <c r="H902" s="138">
        <f t="shared" si="15"/>
        <v>0</v>
      </c>
      <c r="I902" s="147" t="s">
        <v>15214</v>
      </c>
    </row>
    <row r="903" spans="1:9" x14ac:dyDescent="0.25">
      <c r="A903" s="135">
        <v>42862</v>
      </c>
      <c r="B903" s="136" t="s">
        <v>16365</v>
      </c>
      <c r="C903" s="137">
        <v>110952</v>
      </c>
      <c r="D903" s="136" t="s">
        <v>15326</v>
      </c>
      <c r="E903" s="138">
        <v>2419.4</v>
      </c>
      <c r="F903" s="159">
        <v>42862</v>
      </c>
      <c r="G903" s="138">
        <v>2419.4</v>
      </c>
      <c r="H903" s="138">
        <f t="shared" si="15"/>
        <v>0</v>
      </c>
      <c r="I903" s="141" t="s">
        <v>15214</v>
      </c>
    </row>
    <row r="904" spans="1:9" x14ac:dyDescent="0.25">
      <c r="A904" s="135">
        <v>42862</v>
      </c>
      <c r="B904" s="142" t="s">
        <v>16366</v>
      </c>
      <c r="C904" s="143">
        <v>110953</v>
      </c>
      <c r="D904" s="142" t="s">
        <v>15549</v>
      </c>
      <c r="E904" s="144">
        <v>10530.2</v>
      </c>
      <c r="F904" s="161">
        <v>42862</v>
      </c>
      <c r="G904" s="144">
        <v>10530.2</v>
      </c>
      <c r="H904" s="138">
        <f t="shared" si="15"/>
        <v>0</v>
      </c>
      <c r="I904" s="147" t="s">
        <v>15214</v>
      </c>
    </row>
    <row r="905" spans="1:9" x14ac:dyDescent="0.25">
      <c r="A905" s="135">
        <v>42862</v>
      </c>
      <c r="B905" s="136" t="s">
        <v>16367</v>
      </c>
      <c r="C905" s="137">
        <v>110954</v>
      </c>
      <c r="D905" s="136" t="s">
        <v>15315</v>
      </c>
      <c r="E905" s="138">
        <v>1108.5999999999999</v>
      </c>
      <c r="F905" s="159">
        <v>42862</v>
      </c>
      <c r="G905" s="138">
        <v>1108.5999999999999</v>
      </c>
      <c r="H905" s="138">
        <f t="shared" si="15"/>
        <v>0</v>
      </c>
      <c r="I905" s="141" t="s">
        <v>15214</v>
      </c>
    </row>
    <row r="906" spans="1:9" x14ac:dyDescent="0.25">
      <c r="A906" s="135">
        <v>42862</v>
      </c>
      <c r="B906" s="142" t="s">
        <v>16368</v>
      </c>
      <c r="C906" s="143">
        <v>110955</v>
      </c>
      <c r="D906" s="142" t="s">
        <v>15334</v>
      </c>
      <c r="E906" s="144">
        <v>1219</v>
      </c>
      <c r="F906" s="145">
        <v>42863</v>
      </c>
      <c r="G906" s="146">
        <v>1219</v>
      </c>
      <c r="H906" s="138">
        <f t="shared" si="15"/>
        <v>0</v>
      </c>
      <c r="I906" s="147" t="s">
        <v>15214</v>
      </c>
    </row>
    <row r="907" spans="1:9" x14ac:dyDescent="0.25">
      <c r="A907" s="135">
        <v>42862</v>
      </c>
      <c r="B907" s="136" t="s">
        <v>16369</v>
      </c>
      <c r="C907" s="137">
        <v>110956</v>
      </c>
      <c r="D907" s="136" t="s">
        <v>15291</v>
      </c>
      <c r="E907" s="138">
        <v>658</v>
      </c>
      <c r="F907" s="139">
        <v>42863</v>
      </c>
      <c r="G907" s="140">
        <v>658</v>
      </c>
      <c r="H907" s="138">
        <f t="shared" si="15"/>
        <v>0</v>
      </c>
      <c r="I907" s="141" t="s">
        <v>15214</v>
      </c>
    </row>
    <row r="908" spans="1:9" x14ac:dyDescent="0.25">
      <c r="A908" s="135">
        <v>42862</v>
      </c>
      <c r="B908" s="142" t="s">
        <v>16370</v>
      </c>
      <c r="C908" s="143">
        <v>110957</v>
      </c>
      <c r="D908" s="142" t="s">
        <v>15553</v>
      </c>
      <c r="E908" s="144">
        <v>37913.599999999999</v>
      </c>
      <c r="F908" s="145">
        <v>42863</v>
      </c>
      <c r="G908" s="146">
        <v>37913.599999999999</v>
      </c>
      <c r="H908" s="138">
        <f t="shared" si="15"/>
        <v>0</v>
      </c>
      <c r="I908" s="147" t="s">
        <v>15214</v>
      </c>
    </row>
    <row r="909" spans="1:9" x14ac:dyDescent="0.25">
      <c r="A909" s="135">
        <v>42862</v>
      </c>
      <c r="B909" s="136" t="s">
        <v>16371</v>
      </c>
      <c r="C909" s="137">
        <v>110958</v>
      </c>
      <c r="D909" s="136" t="s">
        <v>15354</v>
      </c>
      <c r="E909" s="138">
        <v>2450</v>
      </c>
      <c r="F909" s="139">
        <v>42863</v>
      </c>
      <c r="G909" s="140">
        <v>2450</v>
      </c>
      <c r="H909" s="138">
        <f t="shared" si="15"/>
        <v>0</v>
      </c>
      <c r="I909" s="141" t="s">
        <v>15214</v>
      </c>
    </row>
    <row r="910" spans="1:9" x14ac:dyDescent="0.25">
      <c r="A910" s="135">
        <v>42862</v>
      </c>
      <c r="B910" s="142" t="s">
        <v>16372</v>
      </c>
      <c r="C910" s="143">
        <v>110959</v>
      </c>
      <c r="D910" s="142" t="s">
        <v>15745</v>
      </c>
      <c r="E910" s="144">
        <v>3391.52</v>
      </c>
      <c r="F910" s="145">
        <v>42863</v>
      </c>
      <c r="G910" s="146">
        <v>3391.52</v>
      </c>
      <c r="H910" s="138">
        <f t="shared" si="15"/>
        <v>0</v>
      </c>
      <c r="I910" s="147" t="s">
        <v>15214</v>
      </c>
    </row>
    <row r="911" spans="1:9" x14ac:dyDescent="0.25">
      <c r="A911" s="135">
        <v>42862</v>
      </c>
      <c r="B911" s="136" t="s">
        <v>16373</v>
      </c>
      <c r="C911" s="137">
        <v>110960</v>
      </c>
      <c r="D911" s="136" t="s">
        <v>15320</v>
      </c>
      <c r="E911" s="138">
        <v>2650.5</v>
      </c>
      <c r="F911" s="139">
        <v>42863</v>
      </c>
      <c r="G911" s="140">
        <v>2650.5</v>
      </c>
      <c r="H911" s="138">
        <f t="shared" si="15"/>
        <v>0</v>
      </c>
      <c r="I911" s="141" t="s">
        <v>15214</v>
      </c>
    </row>
    <row r="912" spans="1:9" x14ac:dyDescent="0.25">
      <c r="A912" s="135">
        <v>42862</v>
      </c>
      <c r="B912" s="142" t="s">
        <v>16374</v>
      </c>
      <c r="C912" s="143">
        <v>110961</v>
      </c>
      <c r="D912" s="142" t="s">
        <v>15328</v>
      </c>
      <c r="E912" s="144">
        <v>3204.6</v>
      </c>
      <c r="F912" s="145">
        <v>42880</v>
      </c>
      <c r="G912" s="146">
        <v>3204.6</v>
      </c>
      <c r="H912" s="138">
        <f t="shared" si="15"/>
        <v>0</v>
      </c>
      <c r="I912" s="147" t="s">
        <v>15214</v>
      </c>
    </row>
    <row r="913" spans="1:9" x14ac:dyDescent="0.25">
      <c r="A913" s="135">
        <v>42862</v>
      </c>
      <c r="B913" s="136" t="s">
        <v>16375</v>
      </c>
      <c r="C913" s="137">
        <v>110962</v>
      </c>
      <c r="D913" s="136" t="s">
        <v>15309</v>
      </c>
      <c r="E913" s="138">
        <v>2847</v>
      </c>
      <c r="F913" s="139">
        <v>42867</v>
      </c>
      <c r="G913" s="140">
        <v>2847</v>
      </c>
      <c r="H913" s="138">
        <f t="shared" si="15"/>
        <v>0</v>
      </c>
      <c r="I913" s="141" t="s">
        <v>15214</v>
      </c>
    </row>
    <row r="914" spans="1:9" x14ac:dyDescent="0.25">
      <c r="A914" s="135">
        <v>42862</v>
      </c>
      <c r="B914" s="142" t="s">
        <v>16376</v>
      </c>
      <c r="C914" s="143">
        <v>110963</v>
      </c>
      <c r="D914" s="142" t="s">
        <v>15340</v>
      </c>
      <c r="E914" s="144">
        <v>6135.7</v>
      </c>
      <c r="F914" s="145">
        <v>42863</v>
      </c>
      <c r="G914" s="146">
        <v>6135.7</v>
      </c>
      <c r="H914" s="138">
        <f t="shared" si="15"/>
        <v>0</v>
      </c>
      <c r="I914" s="147" t="s">
        <v>15214</v>
      </c>
    </row>
    <row r="915" spans="1:9" x14ac:dyDescent="0.25">
      <c r="A915" s="135">
        <v>42862</v>
      </c>
      <c r="B915" s="136" t="s">
        <v>16377</v>
      </c>
      <c r="C915" s="137">
        <v>110964</v>
      </c>
      <c r="D915" s="136" t="s">
        <v>15246</v>
      </c>
      <c r="E915" s="138">
        <v>40027</v>
      </c>
      <c r="F915" s="139">
        <v>42867</v>
      </c>
      <c r="G915" s="140">
        <v>40027</v>
      </c>
      <c r="H915" s="138">
        <f t="shared" si="15"/>
        <v>0</v>
      </c>
      <c r="I915" s="141" t="s">
        <v>15214</v>
      </c>
    </row>
    <row r="916" spans="1:9" x14ac:dyDescent="0.25">
      <c r="A916" s="135">
        <v>42862</v>
      </c>
      <c r="B916" s="142" t="s">
        <v>16378</v>
      </c>
      <c r="C916" s="143">
        <v>110965</v>
      </c>
      <c r="D916" s="142" t="s">
        <v>15263</v>
      </c>
      <c r="E916" s="144">
        <v>2840.4</v>
      </c>
      <c r="F916" s="145">
        <v>42862</v>
      </c>
      <c r="G916" s="146">
        <v>2840.4</v>
      </c>
      <c r="H916" s="138">
        <f t="shared" si="15"/>
        <v>0</v>
      </c>
      <c r="I916" s="147" t="s">
        <v>15214</v>
      </c>
    </row>
    <row r="917" spans="1:9" x14ac:dyDescent="0.25">
      <c r="A917" s="135">
        <v>42862</v>
      </c>
      <c r="B917" s="136" t="s">
        <v>16379</v>
      </c>
      <c r="C917" s="137">
        <v>110966</v>
      </c>
      <c r="D917" s="136" t="s">
        <v>16126</v>
      </c>
      <c r="E917" s="138">
        <v>1314.8</v>
      </c>
      <c r="F917" s="139">
        <v>42862</v>
      </c>
      <c r="G917" s="140">
        <v>1314.8</v>
      </c>
      <c r="H917" s="138">
        <f t="shared" si="15"/>
        <v>0</v>
      </c>
      <c r="I917" s="141" t="s">
        <v>15214</v>
      </c>
    </row>
    <row r="918" spans="1:9" x14ac:dyDescent="0.25">
      <c r="A918" s="135">
        <v>42862</v>
      </c>
      <c r="B918" s="142" t="s">
        <v>16380</v>
      </c>
      <c r="C918" s="143">
        <v>110967</v>
      </c>
      <c r="D918" s="142" t="s">
        <v>15315</v>
      </c>
      <c r="E918" s="144">
        <v>1058.4000000000001</v>
      </c>
      <c r="F918" s="145">
        <v>42862</v>
      </c>
      <c r="G918" s="146">
        <v>1058.4000000000001</v>
      </c>
      <c r="H918" s="138">
        <f t="shared" si="15"/>
        <v>0</v>
      </c>
      <c r="I918" s="147" t="s">
        <v>15214</v>
      </c>
    </row>
    <row r="919" spans="1:9" x14ac:dyDescent="0.25">
      <c r="A919" s="135">
        <v>42862</v>
      </c>
      <c r="B919" s="136" t="s">
        <v>16381</v>
      </c>
      <c r="C919" s="137">
        <v>110968</v>
      </c>
      <c r="D919" s="136" t="s">
        <v>15725</v>
      </c>
      <c r="E919" s="138">
        <v>5583.6</v>
      </c>
      <c r="F919" s="139">
        <v>42868</v>
      </c>
      <c r="G919" s="140">
        <v>5583.6</v>
      </c>
      <c r="H919" s="138">
        <f t="shared" si="15"/>
        <v>0</v>
      </c>
      <c r="I919" s="141" t="s">
        <v>15214</v>
      </c>
    </row>
    <row r="920" spans="1:9" x14ac:dyDescent="0.25">
      <c r="A920" s="135">
        <v>42862</v>
      </c>
      <c r="B920" s="142" t="s">
        <v>16382</v>
      </c>
      <c r="C920" s="143">
        <v>110969</v>
      </c>
      <c r="D920" s="142" t="s">
        <v>16383</v>
      </c>
      <c r="E920" s="144">
        <v>10117.200000000001</v>
      </c>
      <c r="F920" s="145">
        <v>42862</v>
      </c>
      <c r="G920" s="146">
        <v>10117.200000000001</v>
      </c>
      <c r="H920" s="138">
        <f t="shared" si="15"/>
        <v>0</v>
      </c>
      <c r="I920" s="147" t="s">
        <v>15214</v>
      </c>
    </row>
    <row r="921" spans="1:9" x14ac:dyDescent="0.25">
      <c r="A921" s="135">
        <v>42862</v>
      </c>
      <c r="B921" s="136" t="s">
        <v>16384</v>
      </c>
      <c r="C921" s="137">
        <v>110970</v>
      </c>
      <c r="D921" s="136" t="s">
        <v>15391</v>
      </c>
      <c r="E921" s="138">
        <v>8236.2000000000007</v>
      </c>
      <c r="F921" s="139">
        <v>42863</v>
      </c>
      <c r="G921" s="140">
        <v>8236.2000000000007</v>
      </c>
      <c r="H921" s="138">
        <f t="shared" si="15"/>
        <v>0</v>
      </c>
      <c r="I921" s="141" t="s">
        <v>15214</v>
      </c>
    </row>
    <row r="922" spans="1:9" x14ac:dyDescent="0.25">
      <c r="A922" s="135">
        <v>42862</v>
      </c>
      <c r="B922" s="142" t="s">
        <v>16385</v>
      </c>
      <c r="C922" s="143">
        <v>110971</v>
      </c>
      <c r="D922" s="142" t="s">
        <v>15385</v>
      </c>
      <c r="E922" s="144">
        <v>9753.6</v>
      </c>
      <c r="F922" s="145">
        <v>42863</v>
      </c>
      <c r="G922" s="146">
        <v>9753.6</v>
      </c>
      <c r="H922" s="138">
        <f t="shared" si="15"/>
        <v>0</v>
      </c>
      <c r="I922" s="147" t="s">
        <v>15214</v>
      </c>
    </row>
    <row r="923" spans="1:9" x14ac:dyDescent="0.25">
      <c r="A923" s="135">
        <v>42862</v>
      </c>
      <c r="B923" s="136" t="s">
        <v>16386</v>
      </c>
      <c r="C923" s="137">
        <v>110972</v>
      </c>
      <c r="D923" s="136" t="s">
        <v>15566</v>
      </c>
      <c r="E923" s="138">
        <v>862.6</v>
      </c>
      <c r="F923" s="139">
        <v>42862</v>
      </c>
      <c r="G923" s="140">
        <v>862.6</v>
      </c>
      <c r="H923" s="138">
        <f t="shared" si="15"/>
        <v>0</v>
      </c>
      <c r="I923" s="141" t="s">
        <v>15214</v>
      </c>
    </row>
    <row r="924" spans="1:9" x14ac:dyDescent="0.25">
      <c r="A924" s="135">
        <v>42862</v>
      </c>
      <c r="B924" s="142" t="s">
        <v>16387</v>
      </c>
      <c r="C924" s="143">
        <v>110973</v>
      </c>
      <c r="D924" s="142" t="s">
        <v>15315</v>
      </c>
      <c r="E924" s="144">
        <v>705.6</v>
      </c>
      <c r="F924" s="145">
        <v>42862</v>
      </c>
      <c r="G924" s="146">
        <v>705.6</v>
      </c>
      <c r="H924" s="138">
        <f t="shared" si="15"/>
        <v>0</v>
      </c>
      <c r="I924" s="147" t="s">
        <v>15214</v>
      </c>
    </row>
    <row r="925" spans="1:9" ht="15.75" x14ac:dyDescent="0.25">
      <c r="A925" s="135">
        <v>42862</v>
      </c>
      <c r="B925" s="136" t="s">
        <v>16388</v>
      </c>
      <c r="C925" s="137">
        <v>110974</v>
      </c>
      <c r="D925" s="136" t="s">
        <v>15230</v>
      </c>
      <c r="E925" s="138">
        <v>0</v>
      </c>
      <c r="F925" s="153" t="s">
        <v>95</v>
      </c>
      <c r="G925" s="138">
        <v>0</v>
      </c>
      <c r="H925" s="138">
        <f t="shared" si="15"/>
        <v>0</v>
      </c>
      <c r="I925" s="141" t="s">
        <v>95</v>
      </c>
    </row>
    <row r="926" spans="1:9" x14ac:dyDescent="0.25">
      <c r="A926" s="135">
        <v>42862</v>
      </c>
      <c r="B926" s="142" t="s">
        <v>16389</v>
      </c>
      <c r="C926" s="143">
        <v>110975</v>
      </c>
      <c r="D926" s="142" t="s">
        <v>15407</v>
      </c>
      <c r="E926" s="144">
        <v>6281.2</v>
      </c>
      <c r="F926" s="145">
        <v>42862</v>
      </c>
      <c r="G926" s="146">
        <v>6281.2</v>
      </c>
      <c r="H926" s="138">
        <f t="shared" si="15"/>
        <v>0</v>
      </c>
      <c r="I926" s="147" t="s">
        <v>15214</v>
      </c>
    </row>
    <row r="927" spans="1:9" x14ac:dyDescent="0.25">
      <c r="A927" s="135">
        <v>42862</v>
      </c>
      <c r="B927" s="136" t="s">
        <v>16390</v>
      </c>
      <c r="C927" s="137">
        <v>110976</v>
      </c>
      <c r="D927" s="136" t="s">
        <v>15315</v>
      </c>
      <c r="E927" s="138">
        <v>1438</v>
      </c>
      <c r="F927" s="139">
        <v>42862</v>
      </c>
      <c r="G927" s="140">
        <v>1438</v>
      </c>
      <c r="H927" s="138">
        <f t="shared" si="15"/>
        <v>0</v>
      </c>
      <c r="I927" s="141" t="s">
        <v>15214</v>
      </c>
    </row>
    <row r="928" spans="1:9" x14ac:dyDescent="0.25">
      <c r="A928" s="135">
        <v>42862</v>
      </c>
      <c r="B928" s="142" t="s">
        <v>16391</v>
      </c>
      <c r="C928" s="143">
        <v>110977</v>
      </c>
      <c r="D928" s="142" t="s">
        <v>15246</v>
      </c>
      <c r="E928" s="144">
        <v>1260</v>
      </c>
      <c r="F928" s="161" t="s">
        <v>16392</v>
      </c>
      <c r="G928" s="144">
        <v>1260</v>
      </c>
      <c r="H928" s="138">
        <f t="shared" si="15"/>
        <v>0</v>
      </c>
      <c r="I928" s="147" t="s">
        <v>15214</v>
      </c>
    </row>
    <row r="929" spans="1:9" x14ac:dyDescent="0.25">
      <c r="A929" s="135">
        <v>42862</v>
      </c>
      <c r="B929" s="136" t="s">
        <v>16393</v>
      </c>
      <c r="C929" s="137">
        <v>110978</v>
      </c>
      <c r="D929" s="136" t="s">
        <v>15250</v>
      </c>
      <c r="E929" s="138">
        <v>39836.400000000001</v>
      </c>
      <c r="F929" s="139">
        <v>42868</v>
      </c>
      <c r="G929" s="140">
        <v>39836.400000000001</v>
      </c>
      <c r="H929" s="138">
        <f t="shared" si="15"/>
        <v>0</v>
      </c>
      <c r="I929" s="141" t="s">
        <v>15214</v>
      </c>
    </row>
    <row r="930" spans="1:9" x14ac:dyDescent="0.25">
      <c r="A930" s="135">
        <v>42862</v>
      </c>
      <c r="B930" s="142" t="s">
        <v>16394</v>
      </c>
      <c r="C930" s="143">
        <v>110979</v>
      </c>
      <c r="D930" s="142" t="s">
        <v>15644</v>
      </c>
      <c r="E930" s="144">
        <v>3091.2</v>
      </c>
      <c r="F930" s="145">
        <v>42863</v>
      </c>
      <c r="G930" s="146">
        <v>3091.2</v>
      </c>
      <c r="H930" s="138">
        <f t="shared" si="15"/>
        <v>0</v>
      </c>
      <c r="I930" s="147" t="s">
        <v>15214</v>
      </c>
    </row>
    <row r="931" spans="1:9" x14ac:dyDescent="0.25">
      <c r="A931" s="135">
        <v>42862</v>
      </c>
      <c r="B931" s="136" t="s">
        <v>16395</v>
      </c>
      <c r="C931" s="137">
        <v>110980</v>
      </c>
      <c r="D931" s="136" t="s">
        <v>15246</v>
      </c>
      <c r="E931" s="138">
        <v>338.2</v>
      </c>
      <c r="F931" s="139">
        <v>42867</v>
      </c>
      <c r="G931" s="140">
        <v>338.2</v>
      </c>
      <c r="H931" s="138">
        <f t="shared" si="15"/>
        <v>0</v>
      </c>
      <c r="I931" s="141" t="s">
        <v>15214</v>
      </c>
    </row>
    <row r="932" spans="1:9" x14ac:dyDescent="0.25">
      <c r="A932" s="135">
        <v>42862</v>
      </c>
      <c r="B932" s="142" t="s">
        <v>16396</v>
      </c>
      <c r="C932" s="143">
        <v>110981</v>
      </c>
      <c r="D932" s="142" t="s">
        <v>15378</v>
      </c>
      <c r="E932" s="144">
        <v>372</v>
      </c>
      <c r="F932" s="145">
        <v>42862</v>
      </c>
      <c r="G932" s="146">
        <v>372</v>
      </c>
      <c r="H932" s="138">
        <f t="shared" si="15"/>
        <v>0</v>
      </c>
      <c r="I932" s="147" t="s">
        <v>15214</v>
      </c>
    </row>
    <row r="933" spans="1:9" x14ac:dyDescent="0.25">
      <c r="A933" s="135">
        <v>42862</v>
      </c>
      <c r="B933" s="136" t="s">
        <v>16397</v>
      </c>
      <c r="C933" s="137">
        <v>110982</v>
      </c>
      <c r="D933" s="136" t="s">
        <v>15213</v>
      </c>
      <c r="E933" s="138">
        <v>4213.6000000000004</v>
      </c>
      <c r="F933" s="139">
        <v>42863</v>
      </c>
      <c r="G933" s="140">
        <v>4213.6000000000004</v>
      </c>
      <c r="H933" s="138">
        <f t="shared" si="15"/>
        <v>0</v>
      </c>
      <c r="I933" s="141" t="s">
        <v>15214</v>
      </c>
    </row>
    <row r="934" spans="1:9" x14ac:dyDescent="0.25">
      <c r="A934" s="135">
        <v>42862</v>
      </c>
      <c r="B934" s="142" t="s">
        <v>16398</v>
      </c>
      <c r="C934" s="143">
        <v>110983</v>
      </c>
      <c r="D934" s="142" t="s">
        <v>15442</v>
      </c>
      <c r="E934" s="144">
        <v>569.79999999999995</v>
      </c>
      <c r="F934" s="145">
        <v>42862</v>
      </c>
      <c r="G934" s="146">
        <v>569.79999999999995</v>
      </c>
      <c r="H934" s="138">
        <f t="shared" si="15"/>
        <v>0</v>
      </c>
      <c r="I934" s="147" t="s">
        <v>15214</v>
      </c>
    </row>
    <row r="935" spans="1:9" x14ac:dyDescent="0.25">
      <c r="A935" s="135">
        <v>42863</v>
      </c>
      <c r="B935" s="136" t="s">
        <v>16399</v>
      </c>
      <c r="C935" s="137">
        <v>110984</v>
      </c>
      <c r="D935" s="136" t="s">
        <v>15213</v>
      </c>
      <c r="E935" s="138">
        <v>9415</v>
      </c>
      <c r="F935" s="139">
        <v>42864</v>
      </c>
      <c r="G935" s="140">
        <v>9415</v>
      </c>
      <c r="H935" s="138">
        <f t="shared" si="15"/>
        <v>0</v>
      </c>
      <c r="I935" s="141" t="s">
        <v>15214</v>
      </c>
    </row>
    <row r="936" spans="1:9" x14ac:dyDescent="0.25">
      <c r="A936" s="135">
        <v>42863</v>
      </c>
      <c r="B936" s="142" t="s">
        <v>16400</v>
      </c>
      <c r="C936" s="143">
        <v>110985</v>
      </c>
      <c r="D936" s="142" t="s">
        <v>15213</v>
      </c>
      <c r="E936" s="144">
        <v>483.3</v>
      </c>
      <c r="F936" s="145">
        <v>42864</v>
      </c>
      <c r="G936" s="146">
        <v>483.3</v>
      </c>
      <c r="H936" s="138">
        <f t="shared" si="15"/>
        <v>0</v>
      </c>
      <c r="I936" s="147" t="s">
        <v>15214</v>
      </c>
    </row>
    <row r="937" spans="1:9" x14ac:dyDescent="0.25">
      <c r="A937" s="135">
        <v>42863</v>
      </c>
      <c r="B937" s="136" t="s">
        <v>16401</v>
      </c>
      <c r="C937" s="137">
        <v>110986</v>
      </c>
      <c r="D937" s="136" t="s">
        <v>15216</v>
      </c>
      <c r="E937" s="138">
        <v>2906.4</v>
      </c>
      <c r="F937" s="139">
        <v>42863</v>
      </c>
      <c r="G937" s="140">
        <v>2906.4</v>
      </c>
      <c r="H937" s="138">
        <f t="shared" si="15"/>
        <v>0</v>
      </c>
      <c r="I937" s="141" t="s">
        <v>15214</v>
      </c>
    </row>
    <row r="938" spans="1:9" x14ac:dyDescent="0.25">
      <c r="A938" s="135">
        <v>42863</v>
      </c>
      <c r="B938" s="142" t="s">
        <v>16402</v>
      </c>
      <c r="C938" s="143">
        <v>110987</v>
      </c>
      <c r="D938" s="142" t="s">
        <v>15330</v>
      </c>
      <c r="E938" s="144">
        <v>4452.8</v>
      </c>
      <c r="F938" s="145">
        <v>42863</v>
      </c>
      <c r="G938" s="146">
        <v>4452.8</v>
      </c>
      <c r="H938" s="138">
        <f t="shared" si="15"/>
        <v>0</v>
      </c>
      <c r="I938" s="147" t="s">
        <v>15214</v>
      </c>
    </row>
    <row r="939" spans="1:9" x14ac:dyDescent="0.25">
      <c r="A939" s="135">
        <v>42863</v>
      </c>
      <c r="B939" s="136" t="s">
        <v>16403</v>
      </c>
      <c r="C939" s="137">
        <v>110988</v>
      </c>
      <c r="D939" s="136" t="s">
        <v>15655</v>
      </c>
      <c r="E939" s="138">
        <v>3874</v>
      </c>
      <c r="F939" s="139">
        <v>42863</v>
      </c>
      <c r="G939" s="140">
        <v>3874</v>
      </c>
      <c r="H939" s="138">
        <f t="shared" si="15"/>
        <v>0</v>
      </c>
      <c r="I939" s="141" t="s">
        <v>15214</v>
      </c>
    </row>
    <row r="940" spans="1:9" x14ac:dyDescent="0.25">
      <c r="A940" s="135">
        <v>42863</v>
      </c>
      <c r="B940" s="142" t="s">
        <v>16404</v>
      </c>
      <c r="C940" s="143">
        <v>110989</v>
      </c>
      <c r="D940" s="142" t="s">
        <v>15213</v>
      </c>
      <c r="E940" s="144">
        <v>39603</v>
      </c>
      <c r="F940" s="145">
        <v>42864</v>
      </c>
      <c r="G940" s="146">
        <v>39603</v>
      </c>
      <c r="H940" s="138">
        <f t="shared" si="15"/>
        <v>0</v>
      </c>
      <c r="I940" s="147" t="s">
        <v>15214</v>
      </c>
    </row>
    <row r="941" spans="1:9" x14ac:dyDescent="0.25">
      <c r="A941" s="135">
        <v>42863</v>
      </c>
      <c r="B941" s="136" t="s">
        <v>16405</v>
      </c>
      <c r="C941" s="137">
        <v>110990</v>
      </c>
      <c r="D941" s="136" t="s">
        <v>15226</v>
      </c>
      <c r="E941" s="138">
        <v>2176.1</v>
      </c>
      <c r="F941" s="139">
        <v>42865</v>
      </c>
      <c r="G941" s="140">
        <v>2176.1</v>
      </c>
      <c r="H941" s="138">
        <f t="shared" si="15"/>
        <v>0</v>
      </c>
      <c r="I941" s="141" t="s">
        <v>15214</v>
      </c>
    </row>
    <row r="942" spans="1:9" x14ac:dyDescent="0.25">
      <c r="A942" s="135">
        <v>42863</v>
      </c>
      <c r="B942" s="142" t="s">
        <v>16406</v>
      </c>
      <c r="C942" s="143">
        <v>110991</v>
      </c>
      <c r="D942" s="142" t="s">
        <v>15523</v>
      </c>
      <c r="E942" s="144">
        <v>1645</v>
      </c>
      <c r="F942" s="145">
        <v>42863</v>
      </c>
      <c r="G942" s="146">
        <v>1645</v>
      </c>
      <c r="H942" s="138">
        <f t="shared" si="15"/>
        <v>0</v>
      </c>
      <c r="I942" s="147" t="s">
        <v>15214</v>
      </c>
    </row>
    <row r="943" spans="1:9" x14ac:dyDescent="0.25">
      <c r="A943" s="135">
        <v>42863</v>
      </c>
      <c r="B943" s="136" t="s">
        <v>16407</v>
      </c>
      <c r="C943" s="137">
        <v>110992</v>
      </c>
      <c r="D943" s="136" t="s">
        <v>15350</v>
      </c>
      <c r="E943" s="138">
        <v>705</v>
      </c>
      <c r="F943" s="139">
        <v>42863</v>
      </c>
      <c r="G943" s="140">
        <v>705</v>
      </c>
      <c r="H943" s="138">
        <f t="shared" si="15"/>
        <v>0</v>
      </c>
      <c r="I943" s="141" t="s">
        <v>15214</v>
      </c>
    </row>
    <row r="944" spans="1:9" x14ac:dyDescent="0.25">
      <c r="A944" s="135">
        <v>42863</v>
      </c>
      <c r="B944" s="142" t="s">
        <v>16408</v>
      </c>
      <c r="C944" s="143">
        <v>110993</v>
      </c>
      <c r="D944" s="142" t="s">
        <v>16409</v>
      </c>
      <c r="E944" s="144">
        <v>4947.6000000000004</v>
      </c>
      <c r="F944" s="145">
        <v>42863</v>
      </c>
      <c r="G944" s="146">
        <v>4947.6000000000004</v>
      </c>
      <c r="H944" s="138">
        <f t="shared" si="15"/>
        <v>0</v>
      </c>
      <c r="I944" s="147" t="s">
        <v>15214</v>
      </c>
    </row>
    <row r="945" spans="1:9" x14ac:dyDescent="0.25">
      <c r="A945" s="135">
        <v>42863</v>
      </c>
      <c r="B945" s="136" t="s">
        <v>16410</v>
      </c>
      <c r="C945" s="137">
        <v>110994</v>
      </c>
      <c r="D945" s="136" t="s">
        <v>15407</v>
      </c>
      <c r="E945" s="138">
        <v>10370.5</v>
      </c>
      <c r="F945" s="139">
        <v>42863</v>
      </c>
      <c r="G945" s="140">
        <v>10370.5</v>
      </c>
      <c r="H945" s="138">
        <f t="shared" si="15"/>
        <v>0</v>
      </c>
      <c r="I945" s="141" t="s">
        <v>15214</v>
      </c>
    </row>
    <row r="946" spans="1:9" x14ac:dyDescent="0.25">
      <c r="A946" s="135">
        <v>42863</v>
      </c>
      <c r="B946" s="142" t="s">
        <v>16411</v>
      </c>
      <c r="C946" s="143">
        <v>110995</v>
      </c>
      <c r="D946" s="142" t="s">
        <v>15272</v>
      </c>
      <c r="E946" s="144">
        <v>18220.5</v>
      </c>
      <c r="F946" s="145">
        <v>42863</v>
      </c>
      <c r="G946" s="146">
        <v>18220.5</v>
      </c>
      <c r="H946" s="138">
        <f t="shared" si="15"/>
        <v>0</v>
      </c>
      <c r="I946" s="147" t="s">
        <v>15214</v>
      </c>
    </row>
    <row r="947" spans="1:9" x14ac:dyDescent="0.25">
      <c r="A947" s="135">
        <v>42863</v>
      </c>
      <c r="B947" s="136" t="s">
        <v>16412</v>
      </c>
      <c r="C947" s="137">
        <v>110996</v>
      </c>
      <c r="D947" s="136" t="s">
        <v>15230</v>
      </c>
      <c r="E947" s="138">
        <v>9050.7000000000007</v>
      </c>
      <c r="F947" s="139">
        <v>42865</v>
      </c>
      <c r="G947" s="140">
        <v>9050.7000000000007</v>
      </c>
      <c r="H947" s="138">
        <f t="shared" si="15"/>
        <v>0</v>
      </c>
      <c r="I947" s="141" t="s">
        <v>15214</v>
      </c>
    </row>
    <row r="948" spans="1:9" x14ac:dyDescent="0.25">
      <c r="A948" s="135">
        <v>42863</v>
      </c>
      <c r="B948" s="142" t="s">
        <v>16413</v>
      </c>
      <c r="C948" s="143">
        <v>110997</v>
      </c>
      <c r="D948" s="142" t="s">
        <v>15336</v>
      </c>
      <c r="E948" s="144">
        <v>7120.8</v>
      </c>
      <c r="F948" s="145">
        <v>42863</v>
      </c>
      <c r="G948" s="146">
        <v>7120.8</v>
      </c>
      <c r="H948" s="138">
        <f t="shared" si="15"/>
        <v>0</v>
      </c>
      <c r="I948" s="147" t="s">
        <v>15214</v>
      </c>
    </row>
    <row r="949" spans="1:9" x14ac:dyDescent="0.25">
      <c r="A949" s="135">
        <v>42863</v>
      </c>
      <c r="B949" s="136" t="s">
        <v>16414</v>
      </c>
      <c r="C949" s="137">
        <v>110998</v>
      </c>
      <c r="D949" s="136" t="s">
        <v>15223</v>
      </c>
      <c r="E949" s="138">
        <v>48109.599999999999</v>
      </c>
      <c r="F949" s="139">
        <v>42874</v>
      </c>
      <c r="G949" s="140">
        <v>48109.599999999999</v>
      </c>
      <c r="H949" s="138">
        <f t="shared" si="15"/>
        <v>0</v>
      </c>
      <c r="I949" s="141" t="s">
        <v>15214</v>
      </c>
    </row>
    <row r="950" spans="1:9" x14ac:dyDescent="0.25">
      <c r="A950" s="135">
        <v>42863</v>
      </c>
      <c r="B950" s="142" t="s">
        <v>16415</v>
      </c>
      <c r="C950" s="143">
        <v>110999</v>
      </c>
      <c r="D950" s="142" t="s">
        <v>15220</v>
      </c>
      <c r="E950" s="144">
        <v>1880</v>
      </c>
      <c r="F950" s="145">
        <v>42863</v>
      </c>
      <c r="G950" s="146">
        <v>1880</v>
      </c>
      <c r="H950" s="138">
        <f t="shared" si="15"/>
        <v>0</v>
      </c>
      <c r="I950" s="147" t="s">
        <v>15214</v>
      </c>
    </row>
    <row r="951" spans="1:9" x14ac:dyDescent="0.25">
      <c r="A951" s="135">
        <v>42863</v>
      </c>
      <c r="B951" s="136" t="s">
        <v>16416</v>
      </c>
      <c r="C951" s="137">
        <v>111000</v>
      </c>
      <c r="D951" s="136" t="s">
        <v>15358</v>
      </c>
      <c r="E951" s="138">
        <v>1807.8</v>
      </c>
      <c r="F951" s="139">
        <v>42863</v>
      </c>
      <c r="G951" s="140">
        <v>1807.8</v>
      </c>
      <c r="H951" s="138">
        <f t="shared" si="15"/>
        <v>0</v>
      </c>
      <c r="I951" s="141" t="s">
        <v>15214</v>
      </c>
    </row>
    <row r="952" spans="1:9" x14ac:dyDescent="0.25">
      <c r="A952" s="135">
        <v>42863</v>
      </c>
      <c r="B952" s="142" t="s">
        <v>16417</v>
      </c>
      <c r="C952" s="143">
        <v>111001</v>
      </c>
      <c r="D952" s="142" t="s">
        <v>15324</v>
      </c>
      <c r="E952" s="144">
        <v>1702.5</v>
      </c>
      <c r="F952" s="145">
        <v>42863</v>
      </c>
      <c r="G952" s="146">
        <v>1702.5</v>
      </c>
      <c r="H952" s="138">
        <f t="shared" si="15"/>
        <v>0</v>
      </c>
      <c r="I952" s="147" t="s">
        <v>15214</v>
      </c>
    </row>
    <row r="953" spans="1:9" ht="15.75" x14ac:dyDescent="0.25">
      <c r="A953" s="135">
        <v>42863</v>
      </c>
      <c r="B953" s="136" t="s">
        <v>16418</v>
      </c>
      <c r="C953" s="137">
        <v>111002</v>
      </c>
      <c r="D953" s="136" t="s">
        <v>15228</v>
      </c>
      <c r="E953" s="138">
        <v>0</v>
      </c>
      <c r="F953" s="153" t="s">
        <v>95</v>
      </c>
      <c r="G953" s="138">
        <v>0</v>
      </c>
      <c r="H953" s="138">
        <f t="shared" si="15"/>
        <v>0</v>
      </c>
      <c r="I953" s="141" t="s">
        <v>95</v>
      </c>
    </row>
    <row r="954" spans="1:9" x14ac:dyDescent="0.25">
      <c r="A954" s="135">
        <v>42863</v>
      </c>
      <c r="B954" s="142" t="s">
        <v>16419</v>
      </c>
      <c r="C954" s="143">
        <v>111003</v>
      </c>
      <c r="D954" s="142" t="s">
        <v>15228</v>
      </c>
      <c r="E954" s="144">
        <v>7422.2</v>
      </c>
      <c r="F954" s="145">
        <v>42863</v>
      </c>
      <c r="G954" s="146">
        <v>7422.2</v>
      </c>
      <c r="H954" s="138">
        <f t="shared" si="15"/>
        <v>0</v>
      </c>
      <c r="I954" s="147" t="s">
        <v>15214</v>
      </c>
    </row>
    <row r="955" spans="1:9" x14ac:dyDescent="0.25">
      <c r="A955" s="135">
        <v>42863</v>
      </c>
      <c r="B955" s="136" t="s">
        <v>16420</v>
      </c>
      <c r="C955" s="137">
        <v>111004</v>
      </c>
      <c r="D955" s="136" t="s">
        <v>15232</v>
      </c>
      <c r="E955" s="138">
        <v>5845</v>
      </c>
      <c r="F955" s="139">
        <v>42867</v>
      </c>
      <c r="G955" s="140">
        <v>5845</v>
      </c>
      <c r="H955" s="138">
        <f t="shared" si="15"/>
        <v>0</v>
      </c>
      <c r="I955" s="141" t="s">
        <v>15214</v>
      </c>
    </row>
    <row r="956" spans="1:9" x14ac:dyDescent="0.25">
      <c r="A956" s="135">
        <v>42863</v>
      </c>
      <c r="B956" s="142" t="s">
        <v>16421</v>
      </c>
      <c r="C956" s="143">
        <v>111005</v>
      </c>
      <c r="D956" s="142" t="s">
        <v>15340</v>
      </c>
      <c r="E956" s="144">
        <v>2956.8</v>
      </c>
      <c r="F956" s="145">
        <v>42863</v>
      </c>
      <c r="G956" s="146">
        <v>2956.8</v>
      </c>
      <c r="H956" s="138">
        <f t="shared" si="15"/>
        <v>0</v>
      </c>
      <c r="I956" s="147" t="s">
        <v>15214</v>
      </c>
    </row>
    <row r="957" spans="1:9" x14ac:dyDescent="0.25">
      <c r="A957" s="135">
        <v>42863</v>
      </c>
      <c r="B957" s="136" t="s">
        <v>16422</v>
      </c>
      <c r="C957" s="137">
        <v>111006</v>
      </c>
      <c r="D957" s="136" t="s">
        <v>15354</v>
      </c>
      <c r="E957" s="138">
        <v>7548.8</v>
      </c>
      <c r="F957" s="139">
        <v>42863</v>
      </c>
      <c r="G957" s="140">
        <v>7548.8</v>
      </c>
      <c r="H957" s="138">
        <f t="shared" si="15"/>
        <v>0</v>
      </c>
      <c r="I957" s="141" t="s">
        <v>15214</v>
      </c>
    </row>
    <row r="958" spans="1:9" x14ac:dyDescent="0.25">
      <c r="A958" s="135">
        <v>42863</v>
      </c>
      <c r="B958" s="142" t="s">
        <v>16423</v>
      </c>
      <c r="C958" s="143">
        <v>111007</v>
      </c>
      <c r="D958" s="142" t="s">
        <v>15596</v>
      </c>
      <c r="E958" s="144">
        <v>940</v>
      </c>
      <c r="F958" s="145">
        <v>42863</v>
      </c>
      <c r="G958" s="146">
        <v>940</v>
      </c>
      <c r="H958" s="138">
        <f t="shared" si="15"/>
        <v>0</v>
      </c>
      <c r="I958" s="147" t="s">
        <v>15214</v>
      </c>
    </row>
    <row r="959" spans="1:9" x14ac:dyDescent="0.25">
      <c r="A959" s="135">
        <v>42863</v>
      </c>
      <c r="B959" s="136" t="s">
        <v>16424</v>
      </c>
      <c r="C959" s="137">
        <v>111008</v>
      </c>
      <c r="D959" s="136" t="s">
        <v>15332</v>
      </c>
      <c r="E959" s="138">
        <v>3111.4</v>
      </c>
      <c r="F959" s="139">
        <v>42863</v>
      </c>
      <c r="G959" s="140">
        <v>3111.4</v>
      </c>
      <c r="H959" s="138">
        <f t="shared" si="15"/>
        <v>0</v>
      </c>
      <c r="I959" s="141" t="s">
        <v>15214</v>
      </c>
    </row>
    <row r="960" spans="1:9" x14ac:dyDescent="0.25">
      <c r="A960" s="135">
        <v>42863</v>
      </c>
      <c r="B960" s="142" t="s">
        <v>16425</v>
      </c>
      <c r="C960" s="143">
        <v>111009</v>
      </c>
      <c r="D960" s="142" t="s">
        <v>15234</v>
      </c>
      <c r="E960" s="144">
        <v>3175.6</v>
      </c>
      <c r="F960" s="145">
        <v>42865</v>
      </c>
      <c r="G960" s="146">
        <v>3175.6</v>
      </c>
      <c r="H960" s="138">
        <f t="shared" si="15"/>
        <v>0</v>
      </c>
      <c r="I960" s="147" t="s">
        <v>15214</v>
      </c>
    </row>
    <row r="961" spans="1:9" x14ac:dyDescent="0.25">
      <c r="A961" s="135">
        <v>42863</v>
      </c>
      <c r="B961" s="136" t="s">
        <v>16426</v>
      </c>
      <c r="C961" s="137">
        <v>111010</v>
      </c>
      <c r="D961" s="136" t="s">
        <v>15348</v>
      </c>
      <c r="E961" s="138">
        <v>346.8</v>
      </c>
      <c r="F961" s="139">
        <v>42865</v>
      </c>
      <c r="G961" s="140">
        <v>346.8</v>
      </c>
      <c r="H961" s="138">
        <f t="shared" si="15"/>
        <v>0</v>
      </c>
      <c r="I961" s="141" t="s">
        <v>15214</v>
      </c>
    </row>
    <row r="962" spans="1:9" x14ac:dyDescent="0.25">
      <c r="A962" s="135">
        <v>42863</v>
      </c>
      <c r="B962" s="142" t="s">
        <v>16427</v>
      </c>
      <c r="C962" s="143">
        <v>111011</v>
      </c>
      <c r="D962" s="142" t="s">
        <v>15526</v>
      </c>
      <c r="E962" s="144">
        <v>2716.8</v>
      </c>
      <c r="F962" s="145">
        <v>42863</v>
      </c>
      <c r="G962" s="146">
        <v>2716.8</v>
      </c>
      <c r="H962" s="138">
        <f t="shared" si="15"/>
        <v>0</v>
      </c>
      <c r="I962" s="147" t="s">
        <v>15214</v>
      </c>
    </row>
    <row r="963" spans="1:9" x14ac:dyDescent="0.25">
      <c r="A963" s="135">
        <v>42863</v>
      </c>
      <c r="B963" s="136" t="s">
        <v>16428</v>
      </c>
      <c r="C963" s="137">
        <v>111012</v>
      </c>
      <c r="D963" s="136" t="s">
        <v>15240</v>
      </c>
      <c r="E963" s="138">
        <v>4089.2</v>
      </c>
      <c r="F963" s="139">
        <v>42868</v>
      </c>
      <c r="G963" s="140">
        <v>4089.2</v>
      </c>
      <c r="H963" s="138">
        <f t="shared" si="15"/>
        <v>0</v>
      </c>
      <c r="I963" s="141" t="s">
        <v>15214</v>
      </c>
    </row>
    <row r="964" spans="1:9" x14ac:dyDescent="0.25">
      <c r="A964" s="135">
        <v>42863</v>
      </c>
      <c r="B964" s="142" t="s">
        <v>16429</v>
      </c>
      <c r="C964" s="143">
        <v>111013</v>
      </c>
      <c r="D964" s="142" t="s">
        <v>5873</v>
      </c>
      <c r="E964" s="144">
        <v>33130.800000000003</v>
      </c>
      <c r="F964" s="145">
        <v>42863</v>
      </c>
      <c r="G964" s="146">
        <v>33130.800000000003</v>
      </c>
      <c r="H964" s="138">
        <f t="shared" ref="H964:H1027" si="16">E964-G964</f>
        <v>0</v>
      </c>
      <c r="I964" s="147" t="s">
        <v>15214</v>
      </c>
    </row>
    <row r="965" spans="1:9" x14ac:dyDescent="0.25">
      <c r="A965" s="135">
        <v>42863</v>
      </c>
      <c r="B965" s="136" t="s">
        <v>16430</v>
      </c>
      <c r="C965" s="137">
        <v>111014</v>
      </c>
      <c r="D965" s="136" t="s">
        <v>15334</v>
      </c>
      <c r="E965" s="138">
        <v>2598</v>
      </c>
      <c r="F965" s="139">
        <v>42863</v>
      </c>
      <c r="G965" s="140">
        <v>2598</v>
      </c>
      <c r="H965" s="138">
        <f t="shared" si="16"/>
        <v>0</v>
      </c>
      <c r="I965" s="141" t="s">
        <v>15214</v>
      </c>
    </row>
    <row r="966" spans="1:9" x14ac:dyDescent="0.25">
      <c r="A966" s="135">
        <v>42863</v>
      </c>
      <c r="B966" s="142" t="s">
        <v>16431</v>
      </c>
      <c r="C966" s="143">
        <v>111015</v>
      </c>
      <c r="D966" s="142" t="s">
        <v>15344</v>
      </c>
      <c r="E966" s="144">
        <v>2097.6</v>
      </c>
      <c r="F966" s="145">
        <v>42863</v>
      </c>
      <c r="G966" s="146">
        <v>2097.6</v>
      </c>
      <c r="H966" s="138">
        <f t="shared" si="16"/>
        <v>0</v>
      </c>
      <c r="I966" s="147" t="s">
        <v>15214</v>
      </c>
    </row>
    <row r="967" spans="1:9" x14ac:dyDescent="0.25">
      <c r="A967" s="135">
        <v>42863</v>
      </c>
      <c r="B967" s="136" t="s">
        <v>16432</v>
      </c>
      <c r="C967" s="137">
        <v>111016</v>
      </c>
      <c r="D967" s="136" t="s">
        <v>15480</v>
      </c>
      <c r="E967" s="138">
        <v>3377.2</v>
      </c>
      <c r="F967" s="139">
        <v>42865</v>
      </c>
      <c r="G967" s="140">
        <v>3377.2</v>
      </c>
      <c r="H967" s="138">
        <f t="shared" si="16"/>
        <v>0</v>
      </c>
      <c r="I967" s="141" t="s">
        <v>15214</v>
      </c>
    </row>
    <row r="968" spans="1:9" x14ac:dyDescent="0.25">
      <c r="A968" s="135">
        <v>42863</v>
      </c>
      <c r="B968" s="142" t="s">
        <v>16433</v>
      </c>
      <c r="C968" s="143">
        <v>111017</v>
      </c>
      <c r="D968" s="142" t="s">
        <v>15415</v>
      </c>
      <c r="E968" s="144">
        <v>149.6</v>
      </c>
      <c r="F968" s="145">
        <v>42866</v>
      </c>
      <c r="G968" s="146">
        <v>149.6</v>
      </c>
      <c r="H968" s="138">
        <f t="shared" si="16"/>
        <v>0</v>
      </c>
      <c r="I968" s="147" t="s">
        <v>15214</v>
      </c>
    </row>
    <row r="969" spans="1:9" x14ac:dyDescent="0.25">
      <c r="A969" s="135">
        <v>42863</v>
      </c>
      <c r="B969" s="136" t="s">
        <v>16434</v>
      </c>
      <c r="C969" s="137">
        <v>111018</v>
      </c>
      <c r="D969" s="136" t="s">
        <v>15583</v>
      </c>
      <c r="E969" s="138">
        <v>136</v>
      </c>
      <c r="F969" s="139">
        <v>42863</v>
      </c>
      <c r="G969" s="140">
        <v>136</v>
      </c>
      <c r="H969" s="138">
        <f t="shared" si="16"/>
        <v>0</v>
      </c>
      <c r="I969" s="141" t="s">
        <v>15214</v>
      </c>
    </row>
    <row r="970" spans="1:9" x14ac:dyDescent="0.25">
      <c r="A970" s="135">
        <v>42863</v>
      </c>
      <c r="B970" s="142" t="s">
        <v>16435</v>
      </c>
      <c r="C970" s="143">
        <v>111019</v>
      </c>
      <c r="D970" s="142" t="s">
        <v>15317</v>
      </c>
      <c r="E970" s="144">
        <v>2949.8</v>
      </c>
      <c r="F970" s="145">
        <v>42867</v>
      </c>
      <c r="G970" s="146">
        <v>2949.8</v>
      </c>
      <c r="H970" s="138">
        <f t="shared" si="16"/>
        <v>0</v>
      </c>
      <c r="I970" s="147" t="s">
        <v>15214</v>
      </c>
    </row>
    <row r="971" spans="1:9" x14ac:dyDescent="0.25">
      <c r="A971" s="135">
        <v>42863</v>
      </c>
      <c r="B971" s="136" t="s">
        <v>16436</v>
      </c>
      <c r="C971" s="137">
        <v>111020</v>
      </c>
      <c r="D971" s="136" t="s">
        <v>15356</v>
      </c>
      <c r="E971" s="138">
        <v>3117.5</v>
      </c>
      <c r="F971" s="139">
        <v>42863</v>
      </c>
      <c r="G971" s="140">
        <v>3117.5</v>
      </c>
      <c r="H971" s="138">
        <f t="shared" si="16"/>
        <v>0</v>
      </c>
      <c r="I971" s="141" t="s">
        <v>15214</v>
      </c>
    </row>
    <row r="972" spans="1:9" x14ac:dyDescent="0.25">
      <c r="A972" s="135">
        <v>42863</v>
      </c>
      <c r="B972" s="142" t="s">
        <v>16437</v>
      </c>
      <c r="C972" s="143">
        <v>111021</v>
      </c>
      <c r="D972" s="142" t="s">
        <v>15242</v>
      </c>
      <c r="E972" s="144">
        <v>5412</v>
      </c>
      <c r="F972" s="145">
        <v>42864</v>
      </c>
      <c r="G972" s="146">
        <v>5412</v>
      </c>
      <c r="H972" s="138">
        <f t="shared" si="16"/>
        <v>0</v>
      </c>
      <c r="I972" s="147" t="s">
        <v>15214</v>
      </c>
    </row>
    <row r="973" spans="1:9" x14ac:dyDescent="0.25">
      <c r="A973" s="135">
        <v>42863</v>
      </c>
      <c r="B973" s="136" t="s">
        <v>16438</v>
      </c>
      <c r="C973" s="137">
        <v>111022</v>
      </c>
      <c r="D973" s="136" t="s">
        <v>15263</v>
      </c>
      <c r="E973" s="138">
        <v>5145.7</v>
      </c>
      <c r="F973" s="139">
        <v>42863</v>
      </c>
      <c r="G973" s="140">
        <v>5145.7</v>
      </c>
      <c r="H973" s="138">
        <f t="shared" si="16"/>
        <v>0</v>
      </c>
      <c r="I973" s="141" t="s">
        <v>15214</v>
      </c>
    </row>
    <row r="974" spans="1:9" x14ac:dyDescent="0.25">
      <c r="A974" s="135">
        <v>42863</v>
      </c>
      <c r="B974" s="142" t="s">
        <v>16439</v>
      </c>
      <c r="C974" s="143">
        <v>111023</v>
      </c>
      <c r="D974" s="142" t="s">
        <v>15320</v>
      </c>
      <c r="E974" s="144">
        <v>2448</v>
      </c>
      <c r="F974" s="145">
        <v>42863</v>
      </c>
      <c r="G974" s="146">
        <v>2448</v>
      </c>
      <c r="H974" s="138">
        <f t="shared" si="16"/>
        <v>0</v>
      </c>
      <c r="I974" s="147" t="s">
        <v>15214</v>
      </c>
    </row>
    <row r="975" spans="1:9" x14ac:dyDescent="0.25">
      <c r="A975" s="135">
        <v>42863</v>
      </c>
      <c r="B975" s="136" t="s">
        <v>16440</v>
      </c>
      <c r="C975" s="137">
        <v>111024</v>
      </c>
      <c r="D975" s="136" t="s">
        <v>15301</v>
      </c>
      <c r="E975" s="138">
        <v>2209.1999999999998</v>
      </c>
      <c r="F975" s="139">
        <v>42863</v>
      </c>
      <c r="G975" s="140">
        <v>2209.1999999999998</v>
      </c>
      <c r="H975" s="138">
        <f t="shared" si="16"/>
        <v>0</v>
      </c>
      <c r="I975" s="141" t="s">
        <v>15214</v>
      </c>
    </row>
    <row r="976" spans="1:9" x14ac:dyDescent="0.25">
      <c r="A976" s="135">
        <v>42863</v>
      </c>
      <c r="B976" s="142" t="s">
        <v>16441</v>
      </c>
      <c r="C976" s="143">
        <v>111025</v>
      </c>
      <c r="D976" s="142" t="s">
        <v>15238</v>
      </c>
      <c r="E976" s="144">
        <v>6684.2</v>
      </c>
      <c r="F976" s="145">
        <v>42865</v>
      </c>
      <c r="G976" s="146">
        <v>6684.2</v>
      </c>
      <c r="H976" s="138">
        <f t="shared" si="16"/>
        <v>0</v>
      </c>
      <c r="I976" s="147" t="s">
        <v>15214</v>
      </c>
    </row>
    <row r="977" spans="1:9" x14ac:dyDescent="0.25">
      <c r="A977" s="135">
        <v>42863</v>
      </c>
      <c r="B977" s="136" t="s">
        <v>16442</v>
      </c>
      <c r="C977" s="137">
        <v>111026</v>
      </c>
      <c r="D977" s="136" t="s">
        <v>15248</v>
      </c>
      <c r="E977" s="138">
        <v>16420.8</v>
      </c>
      <c r="F977" s="139">
        <v>42863</v>
      </c>
      <c r="G977" s="140">
        <v>16420.8</v>
      </c>
      <c r="H977" s="138">
        <f t="shared" si="16"/>
        <v>0</v>
      </c>
      <c r="I977" s="141" t="s">
        <v>15214</v>
      </c>
    </row>
    <row r="978" spans="1:9" x14ac:dyDescent="0.25">
      <c r="A978" s="135">
        <v>42863</v>
      </c>
      <c r="B978" s="142" t="s">
        <v>16443</v>
      </c>
      <c r="C978" s="143">
        <v>111027</v>
      </c>
      <c r="D978" s="142" t="s">
        <v>15256</v>
      </c>
      <c r="E978" s="144">
        <v>6041.4</v>
      </c>
      <c r="F978" s="145">
        <v>42865</v>
      </c>
      <c r="G978" s="146">
        <v>6041.4</v>
      </c>
      <c r="H978" s="138">
        <f t="shared" si="16"/>
        <v>0</v>
      </c>
      <c r="I978" s="147" t="s">
        <v>15214</v>
      </c>
    </row>
    <row r="979" spans="1:9" x14ac:dyDescent="0.25">
      <c r="A979" s="135">
        <v>42863</v>
      </c>
      <c r="B979" s="136" t="s">
        <v>16444</v>
      </c>
      <c r="C979" s="137">
        <v>111028</v>
      </c>
      <c r="D979" s="136" t="s">
        <v>15261</v>
      </c>
      <c r="E979" s="138">
        <v>14562.1</v>
      </c>
      <c r="F979" s="139">
        <v>42863</v>
      </c>
      <c r="G979" s="140">
        <v>14562.1</v>
      </c>
      <c r="H979" s="138">
        <f t="shared" si="16"/>
        <v>0</v>
      </c>
      <c r="I979" s="141" t="s">
        <v>15214</v>
      </c>
    </row>
    <row r="980" spans="1:9" x14ac:dyDescent="0.25">
      <c r="A980" s="135">
        <v>42863</v>
      </c>
      <c r="B980" s="142" t="s">
        <v>16445</v>
      </c>
      <c r="C980" s="143">
        <v>111029</v>
      </c>
      <c r="D980" s="142" t="s">
        <v>15668</v>
      </c>
      <c r="E980" s="144">
        <v>9452</v>
      </c>
      <c r="F980" s="145">
        <v>42865</v>
      </c>
      <c r="G980" s="146">
        <v>9452</v>
      </c>
      <c r="H980" s="138">
        <f t="shared" si="16"/>
        <v>0</v>
      </c>
      <c r="I980" s="147" t="s">
        <v>15214</v>
      </c>
    </row>
    <row r="981" spans="1:9" x14ac:dyDescent="0.25">
      <c r="A981" s="135">
        <v>42863</v>
      </c>
      <c r="B981" s="136" t="s">
        <v>16446</v>
      </c>
      <c r="C981" s="137">
        <v>111030</v>
      </c>
      <c r="D981" s="136" t="s">
        <v>15250</v>
      </c>
      <c r="E981" s="138">
        <v>46002.36</v>
      </c>
      <c r="F981" s="139">
        <v>42868</v>
      </c>
      <c r="G981" s="140">
        <v>46002.36</v>
      </c>
      <c r="H981" s="138">
        <f t="shared" si="16"/>
        <v>0</v>
      </c>
      <c r="I981" s="141" t="s">
        <v>15214</v>
      </c>
    </row>
    <row r="982" spans="1:9" x14ac:dyDescent="0.25">
      <c r="A982" s="135">
        <v>42863</v>
      </c>
      <c r="B982" s="142" t="s">
        <v>16447</v>
      </c>
      <c r="C982" s="143">
        <v>111031</v>
      </c>
      <c r="D982" s="142" t="s">
        <v>15248</v>
      </c>
      <c r="E982" s="144">
        <v>2194.4</v>
      </c>
      <c r="F982" s="145">
        <v>42863</v>
      </c>
      <c r="G982" s="146">
        <v>2194.4</v>
      </c>
      <c r="H982" s="138">
        <f t="shared" si="16"/>
        <v>0</v>
      </c>
      <c r="I982" s="147" t="s">
        <v>15214</v>
      </c>
    </row>
    <row r="983" spans="1:9" x14ac:dyDescent="0.25">
      <c r="A983" s="135">
        <v>42863</v>
      </c>
      <c r="B983" s="136" t="s">
        <v>16448</v>
      </c>
      <c r="C983" s="137">
        <v>111032</v>
      </c>
      <c r="D983" s="136" t="s">
        <v>15258</v>
      </c>
      <c r="E983" s="138">
        <v>12641.2</v>
      </c>
      <c r="F983" s="139">
        <v>42864</v>
      </c>
      <c r="G983" s="140">
        <v>12641.2</v>
      </c>
      <c r="H983" s="138">
        <f t="shared" si="16"/>
        <v>0</v>
      </c>
      <c r="I983" s="141" t="s">
        <v>15214</v>
      </c>
    </row>
    <row r="984" spans="1:9" x14ac:dyDescent="0.25">
      <c r="A984" s="135">
        <v>42863</v>
      </c>
      <c r="B984" s="142" t="s">
        <v>16449</v>
      </c>
      <c r="C984" s="143">
        <v>111033</v>
      </c>
      <c r="D984" s="142" t="s">
        <v>15338</v>
      </c>
      <c r="E984" s="144">
        <v>8375.2000000000007</v>
      </c>
      <c r="F984" s="145">
        <v>42866</v>
      </c>
      <c r="G984" s="146">
        <v>8375.2000000000007</v>
      </c>
      <c r="H984" s="138">
        <f t="shared" si="16"/>
        <v>0</v>
      </c>
      <c r="I984" s="147" t="s">
        <v>15214</v>
      </c>
    </row>
    <row r="985" spans="1:9" x14ac:dyDescent="0.25">
      <c r="A985" s="135">
        <v>42863</v>
      </c>
      <c r="B985" s="136" t="s">
        <v>16450</v>
      </c>
      <c r="C985" s="137">
        <v>111034</v>
      </c>
      <c r="D985" s="136" t="s">
        <v>15280</v>
      </c>
      <c r="E985" s="138">
        <v>3330</v>
      </c>
      <c r="F985" s="139">
        <v>42863</v>
      </c>
      <c r="G985" s="140">
        <v>3330</v>
      </c>
      <c r="H985" s="138">
        <f t="shared" si="16"/>
        <v>0</v>
      </c>
      <c r="I985" s="141" t="s">
        <v>15214</v>
      </c>
    </row>
    <row r="986" spans="1:9" x14ac:dyDescent="0.25">
      <c r="A986" s="135">
        <v>42863</v>
      </c>
      <c r="B986" s="142" t="s">
        <v>16451</v>
      </c>
      <c r="C986" s="143">
        <v>111035</v>
      </c>
      <c r="D986" s="142" t="s">
        <v>16338</v>
      </c>
      <c r="E986" s="144">
        <v>14144</v>
      </c>
      <c r="F986" s="145">
        <v>42866</v>
      </c>
      <c r="G986" s="146">
        <v>14144</v>
      </c>
      <c r="H986" s="138">
        <f t="shared" si="16"/>
        <v>0</v>
      </c>
      <c r="I986" s="147" t="s">
        <v>15214</v>
      </c>
    </row>
    <row r="987" spans="1:9" x14ac:dyDescent="0.25">
      <c r="A987" s="135">
        <v>42863</v>
      </c>
      <c r="B987" s="136" t="s">
        <v>16452</v>
      </c>
      <c r="C987" s="137">
        <v>111036</v>
      </c>
      <c r="D987" s="136" t="s">
        <v>15365</v>
      </c>
      <c r="E987" s="138">
        <v>7176</v>
      </c>
      <c r="F987" s="139">
        <v>42863</v>
      </c>
      <c r="G987" s="140">
        <v>7176</v>
      </c>
      <c r="H987" s="138">
        <f t="shared" si="16"/>
        <v>0</v>
      </c>
      <c r="I987" s="141" t="s">
        <v>15214</v>
      </c>
    </row>
    <row r="988" spans="1:9" x14ac:dyDescent="0.25">
      <c r="A988" s="135">
        <v>42863</v>
      </c>
      <c r="B988" s="142" t="s">
        <v>16453</v>
      </c>
      <c r="C988" s="143">
        <v>111037</v>
      </c>
      <c r="D988" s="142" t="s">
        <v>15289</v>
      </c>
      <c r="E988" s="144">
        <v>1735</v>
      </c>
      <c r="F988" s="145">
        <v>42863</v>
      </c>
      <c r="G988" s="146">
        <v>1735</v>
      </c>
      <c r="H988" s="138">
        <f t="shared" si="16"/>
        <v>0</v>
      </c>
      <c r="I988" s="147" t="s">
        <v>15214</v>
      </c>
    </row>
    <row r="989" spans="1:9" x14ac:dyDescent="0.25">
      <c r="A989" s="135">
        <v>42863</v>
      </c>
      <c r="B989" s="136" t="s">
        <v>16454</v>
      </c>
      <c r="C989" s="137">
        <v>111038</v>
      </c>
      <c r="D989" s="136" t="s">
        <v>15373</v>
      </c>
      <c r="E989" s="138">
        <v>27617.8</v>
      </c>
      <c r="F989" s="139">
        <v>42864</v>
      </c>
      <c r="G989" s="140">
        <v>27617.8</v>
      </c>
      <c r="H989" s="138">
        <f t="shared" si="16"/>
        <v>0</v>
      </c>
      <c r="I989" s="141" t="s">
        <v>15214</v>
      </c>
    </row>
    <row r="990" spans="1:9" x14ac:dyDescent="0.25">
      <c r="A990" s="135">
        <v>42863</v>
      </c>
      <c r="B990" s="142" t="s">
        <v>16455</v>
      </c>
      <c r="C990" s="143">
        <v>111039</v>
      </c>
      <c r="D990" s="142" t="s">
        <v>15252</v>
      </c>
      <c r="E990" s="144">
        <v>4975.7</v>
      </c>
      <c r="F990" s="145">
        <v>42868</v>
      </c>
      <c r="G990" s="146">
        <v>4975.7</v>
      </c>
      <c r="H990" s="138">
        <f t="shared" si="16"/>
        <v>0</v>
      </c>
      <c r="I990" s="147" t="s">
        <v>15214</v>
      </c>
    </row>
    <row r="991" spans="1:9" x14ac:dyDescent="0.25">
      <c r="A991" s="135">
        <v>42863</v>
      </c>
      <c r="B991" s="136" t="s">
        <v>16456</v>
      </c>
      <c r="C991" s="137">
        <v>111040</v>
      </c>
      <c r="D991" s="136" t="s">
        <v>15322</v>
      </c>
      <c r="E991" s="138">
        <v>583.1</v>
      </c>
      <c r="F991" s="139">
        <v>42863</v>
      </c>
      <c r="G991" s="140">
        <v>583.1</v>
      </c>
      <c r="H991" s="138">
        <f t="shared" si="16"/>
        <v>0</v>
      </c>
      <c r="I991" s="141" t="s">
        <v>15214</v>
      </c>
    </row>
    <row r="992" spans="1:9" x14ac:dyDescent="0.25">
      <c r="A992" s="135">
        <v>42863</v>
      </c>
      <c r="B992" s="142" t="s">
        <v>16457</v>
      </c>
      <c r="C992" s="143">
        <v>111041</v>
      </c>
      <c r="D992" s="142" t="s">
        <v>15326</v>
      </c>
      <c r="E992" s="144">
        <v>2438.6</v>
      </c>
      <c r="F992" s="145">
        <v>42863</v>
      </c>
      <c r="G992" s="146">
        <v>2438.6</v>
      </c>
      <c r="H992" s="138">
        <f t="shared" si="16"/>
        <v>0</v>
      </c>
      <c r="I992" s="147" t="s">
        <v>15214</v>
      </c>
    </row>
    <row r="993" spans="1:9" x14ac:dyDescent="0.25">
      <c r="A993" s="135">
        <v>42863</v>
      </c>
      <c r="B993" s="136" t="s">
        <v>16458</v>
      </c>
      <c r="C993" s="137">
        <v>111042</v>
      </c>
      <c r="D993" s="136" t="s">
        <v>15244</v>
      </c>
      <c r="E993" s="138">
        <v>19865</v>
      </c>
      <c r="F993" s="139">
        <v>42863</v>
      </c>
      <c r="G993" s="140">
        <v>19865</v>
      </c>
      <c r="H993" s="138">
        <f t="shared" si="16"/>
        <v>0</v>
      </c>
      <c r="I993" s="141" t="s">
        <v>15214</v>
      </c>
    </row>
    <row r="994" spans="1:9" x14ac:dyDescent="0.25">
      <c r="A994" s="135">
        <v>42863</v>
      </c>
      <c r="B994" s="142" t="s">
        <v>16459</v>
      </c>
      <c r="C994" s="143">
        <v>111043</v>
      </c>
      <c r="D994" s="142" t="s">
        <v>15254</v>
      </c>
      <c r="E994" s="144">
        <v>5820</v>
      </c>
      <c r="F994" s="145">
        <v>42865</v>
      </c>
      <c r="G994" s="146">
        <v>5820</v>
      </c>
      <c r="H994" s="138">
        <f t="shared" si="16"/>
        <v>0</v>
      </c>
      <c r="I994" s="147" t="s">
        <v>15214</v>
      </c>
    </row>
    <row r="995" spans="1:9" x14ac:dyDescent="0.25">
      <c r="A995" s="135">
        <v>42863</v>
      </c>
      <c r="B995" s="136" t="s">
        <v>16460</v>
      </c>
      <c r="C995" s="137">
        <v>111044</v>
      </c>
      <c r="D995" s="136" t="s">
        <v>15387</v>
      </c>
      <c r="E995" s="138">
        <v>1536.44</v>
      </c>
      <c r="F995" s="139">
        <v>42866</v>
      </c>
      <c r="G995" s="140">
        <v>1536.44</v>
      </c>
      <c r="H995" s="138">
        <f t="shared" si="16"/>
        <v>0</v>
      </c>
      <c r="I995" s="141" t="s">
        <v>15214</v>
      </c>
    </row>
    <row r="996" spans="1:9" x14ac:dyDescent="0.25">
      <c r="A996" s="135">
        <v>42863</v>
      </c>
      <c r="B996" s="142" t="s">
        <v>16461</v>
      </c>
      <c r="C996" s="143">
        <v>111045</v>
      </c>
      <c r="D996" s="142" t="s">
        <v>15252</v>
      </c>
      <c r="E996" s="144">
        <v>260</v>
      </c>
      <c r="F996" s="145">
        <v>42868</v>
      </c>
      <c r="G996" s="146">
        <v>260</v>
      </c>
      <c r="H996" s="138">
        <f t="shared" si="16"/>
        <v>0</v>
      </c>
      <c r="I996" s="147" t="s">
        <v>15214</v>
      </c>
    </row>
    <row r="997" spans="1:9" x14ac:dyDescent="0.25">
      <c r="A997" s="135">
        <v>42863</v>
      </c>
      <c r="B997" s="136" t="s">
        <v>16462</v>
      </c>
      <c r="C997" s="137">
        <v>111046</v>
      </c>
      <c r="D997" s="136" t="s">
        <v>16463</v>
      </c>
      <c r="E997" s="138">
        <v>7056</v>
      </c>
      <c r="F997" s="139">
        <v>42863</v>
      </c>
      <c r="G997" s="140">
        <v>7056</v>
      </c>
      <c r="H997" s="138">
        <f t="shared" si="16"/>
        <v>0</v>
      </c>
      <c r="I997" s="141" t="s">
        <v>15214</v>
      </c>
    </row>
    <row r="998" spans="1:9" x14ac:dyDescent="0.25">
      <c r="A998" s="135">
        <v>42863</v>
      </c>
      <c r="B998" s="142" t="s">
        <v>16464</v>
      </c>
      <c r="C998" s="143">
        <v>111047</v>
      </c>
      <c r="D998" s="142" t="s">
        <v>15301</v>
      </c>
      <c r="E998" s="144">
        <v>2613.6</v>
      </c>
      <c r="F998" s="145">
        <v>42863</v>
      </c>
      <c r="G998" s="146">
        <v>2613.6</v>
      </c>
      <c r="H998" s="138">
        <f t="shared" si="16"/>
        <v>0</v>
      </c>
      <c r="I998" s="147" t="s">
        <v>15214</v>
      </c>
    </row>
    <row r="999" spans="1:9" x14ac:dyDescent="0.25">
      <c r="A999" s="135">
        <v>42863</v>
      </c>
      <c r="B999" s="136" t="s">
        <v>16465</v>
      </c>
      <c r="C999" s="137">
        <v>111048</v>
      </c>
      <c r="D999" s="136" t="s">
        <v>15417</v>
      </c>
      <c r="E999" s="138">
        <v>2364.4</v>
      </c>
      <c r="F999" s="139">
        <v>42864</v>
      </c>
      <c r="G999" s="140">
        <v>2364.4</v>
      </c>
      <c r="H999" s="138">
        <f t="shared" si="16"/>
        <v>0</v>
      </c>
      <c r="I999" s="141" t="s">
        <v>15214</v>
      </c>
    </row>
    <row r="1000" spans="1:9" x14ac:dyDescent="0.25">
      <c r="A1000" s="135">
        <v>42863</v>
      </c>
      <c r="B1000" s="142" t="s">
        <v>16466</v>
      </c>
      <c r="C1000" s="143">
        <v>111049</v>
      </c>
      <c r="D1000" s="142" t="s">
        <v>15311</v>
      </c>
      <c r="E1000" s="144">
        <v>719.1</v>
      </c>
      <c r="F1000" s="145">
        <v>42863</v>
      </c>
      <c r="G1000" s="146">
        <v>719.1</v>
      </c>
      <c r="H1000" s="138">
        <f t="shared" si="16"/>
        <v>0</v>
      </c>
      <c r="I1000" s="147" t="s">
        <v>15214</v>
      </c>
    </row>
    <row r="1001" spans="1:9" x14ac:dyDescent="0.25">
      <c r="A1001" s="135">
        <v>42863</v>
      </c>
      <c r="B1001" s="136" t="s">
        <v>16467</v>
      </c>
      <c r="C1001" s="137">
        <v>111050</v>
      </c>
      <c r="D1001" s="136" t="s">
        <v>15587</v>
      </c>
      <c r="E1001" s="138">
        <v>429.4</v>
      </c>
      <c r="F1001" s="139">
        <v>42863</v>
      </c>
      <c r="G1001" s="140">
        <v>429.4</v>
      </c>
      <c r="H1001" s="138">
        <f t="shared" si="16"/>
        <v>0</v>
      </c>
      <c r="I1001" s="141" t="s">
        <v>15214</v>
      </c>
    </row>
    <row r="1002" spans="1:9" x14ac:dyDescent="0.25">
      <c r="A1002" s="135">
        <v>42863</v>
      </c>
      <c r="B1002" s="142" t="s">
        <v>16468</v>
      </c>
      <c r="C1002" s="143">
        <v>111051</v>
      </c>
      <c r="D1002" s="142" t="s">
        <v>15315</v>
      </c>
      <c r="E1002" s="144">
        <v>2599.1</v>
      </c>
      <c r="F1002" s="145">
        <v>42863</v>
      </c>
      <c r="G1002" s="146">
        <v>2599.1</v>
      </c>
      <c r="H1002" s="138">
        <f t="shared" si="16"/>
        <v>0</v>
      </c>
      <c r="I1002" s="147" t="s">
        <v>15214</v>
      </c>
    </row>
    <row r="1003" spans="1:9" x14ac:dyDescent="0.25">
      <c r="A1003" s="135">
        <v>42863</v>
      </c>
      <c r="B1003" s="136" t="s">
        <v>16469</v>
      </c>
      <c r="C1003" s="137">
        <v>111052</v>
      </c>
      <c r="D1003" s="136" t="s">
        <v>15272</v>
      </c>
      <c r="E1003" s="138">
        <v>1871.8</v>
      </c>
      <c r="F1003" s="139">
        <v>42863</v>
      </c>
      <c r="G1003" s="140">
        <v>1871.8</v>
      </c>
      <c r="H1003" s="138">
        <f t="shared" si="16"/>
        <v>0</v>
      </c>
      <c r="I1003" s="141" t="s">
        <v>15214</v>
      </c>
    </row>
    <row r="1004" spans="1:9" x14ac:dyDescent="0.25">
      <c r="A1004" s="135">
        <v>42863</v>
      </c>
      <c r="B1004" s="142" t="s">
        <v>16470</v>
      </c>
      <c r="C1004" s="143">
        <v>111053</v>
      </c>
      <c r="D1004" s="142" t="s">
        <v>15342</v>
      </c>
      <c r="E1004" s="144">
        <v>3404</v>
      </c>
      <c r="F1004" s="145">
        <v>42863</v>
      </c>
      <c r="G1004" s="146">
        <v>3404</v>
      </c>
      <c r="H1004" s="138">
        <f t="shared" si="16"/>
        <v>0</v>
      </c>
      <c r="I1004" s="147" t="s">
        <v>15214</v>
      </c>
    </row>
    <row r="1005" spans="1:9" x14ac:dyDescent="0.25">
      <c r="A1005" s="135">
        <v>42863</v>
      </c>
      <c r="B1005" s="136" t="s">
        <v>16471</v>
      </c>
      <c r="C1005" s="137">
        <v>111054</v>
      </c>
      <c r="D1005" s="136" t="s">
        <v>15309</v>
      </c>
      <c r="E1005" s="138">
        <v>14770.4</v>
      </c>
      <c r="F1005" s="139">
        <v>42863</v>
      </c>
      <c r="G1005" s="140">
        <v>14770.4</v>
      </c>
      <c r="H1005" s="138">
        <f t="shared" si="16"/>
        <v>0</v>
      </c>
      <c r="I1005" s="141" t="s">
        <v>15214</v>
      </c>
    </row>
    <row r="1006" spans="1:9" x14ac:dyDescent="0.25">
      <c r="A1006" s="135">
        <v>42863</v>
      </c>
      <c r="B1006" s="142" t="s">
        <v>16472</v>
      </c>
      <c r="C1006" s="143">
        <v>111055</v>
      </c>
      <c r="D1006" s="142" t="s">
        <v>15376</v>
      </c>
      <c r="E1006" s="144">
        <v>10574.6</v>
      </c>
      <c r="F1006" s="145">
        <v>42866</v>
      </c>
      <c r="G1006" s="146">
        <v>10574.6</v>
      </c>
      <c r="H1006" s="138">
        <f t="shared" si="16"/>
        <v>0</v>
      </c>
      <c r="I1006" s="147" t="s">
        <v>15214</v>
      </c>
    </row>
    <row r="1007" spans="1:9" x14ac:dyDescent="0.25">
      <c r="A1007" s="135">
        <v>42863</v>
      </c>
      <c r="B1007" s="136" t="s">
        <v>16473</v>
      </c>
      <c r="C1007" s="137">
        <v>111056</v>
      </c>
      <c r="D1007" s="136" t="s">
        <v>15391</v>
      </c>
      <c r="E1007" s="138">
        <v>8702.4</v>
      </c>
      <c r="F1007" s="139">
        <v>42866</v>
      </c>
      <c r="G1007" s="140">
        <v>8702.4</v>
      </c>
      <c r="H1007" s="138">
        <f t="shared" si="16"/>
        <v>0</v>
      </c>
      <c r="I1007" s="141" t="s">
        <v>15214</v>
      </c>
    </row>
    <row r="1008" spans="1:9" x14ac:dyDescent="0.25">
      <c r="A1008" s="135">
        <v>42863</v>
      </c>
      <c r="B1008" s="142" t="s">
        <v>16474</v>
      </c>
      <c r="C1008" s="143">
        <v>111057</v>
      </c>
      <c r="D1008" s="142" t="s">
        <v>15361</v>
      </c>
      <c r="E1008" s="144">
        <v>8872.5</v>
      </c>
      <c r="F1008" s="145">
        <v>42866</v>
      </c>
      <c r="G1008" s="146">
        <v>8872.5</v>
      </c>
      <c r="H1008" s="138">
        <f t="shared" si="16"/>
        <v>0</v>
      </c>
      <c r="I1008" s="147" t="s">
        <v>15214</v>
      </c>
    </row>
    <row r="1009" spans="1:9" x14ac:dyDescent="0.25">
      <c r="A1009" s="135">
        <v>42863</v>
      </c>
      <c r="B1009" s="136" t="s">
        <v>16475</v>
      </c>
      <c r="C1009" s="137">
        <v>111058</v>
      </c>
      <c r="D1009" s="136" t="s">
        <v>15361</v>
      </c>
      <c r="E1009" s="138">
        <v>318.60000000000002</v>
      </c>
      <c r="F1009" s="139">
        <v>42866</v>
      </c>
      <c r="G1009" s="140">
        <v>318.60000000000002</v>
      </c>
      <c r="H1009" s="138">
        <f t="shared" si="16"/>
        <v>0</v>
      </c>
      <c r="I1009" s="141" t="s">
        <v>15214</v>
      </c>
    </row>
    <row r="1010" spans="1:9" x14ac:dyDescent="0.25">
      <c r="A1010" s="135">
        <v>42863</v>
      </c>
      <c r="B1010" s="142" t="s">
        <v>16476</v>
      </c>
      <c r="C1010" s="143">
        <v>111059</v>
      </c>
      <c r="D1010" s="142" t="s">
        <v>15568</v>
      </c>
      <c r="E1010" s="144">
        <v>7962.4</v>
      </c>
      <c r="F1010" s="145">
        <v>42866</v>
      </c>
      <c r="G1010" s="146">
        <v>7962.4</v>
      </c>
      <c r="H1010" s="138">
        <f t="shared" si="16"/>
        <v>0</v>
      </c>
      <c r="I1010" s="147" t="s">
        <v>15214</v>
      </c>
    </row>
    <row r="1011" spans="1:9" x14ac:dyDescent="0.25">
      <c r="A1011" s="135">
        <v>42863</v>
      </c>
      <c r="B1011" s="136" t="s">
        <v>16477</v>
      </c>
      <c r="C1011" s="137">
        <v>111060</v>
      </c>
      <c r="D1011" s="136" t="s">
        <v>15328</v>
      </c>
      <c r="E1011" s="138">
        <v>99483.74</v>
      </c>
      <c r="F1011" s="139">
        <v>42880</v>
      </c>
      <c r="G1011" s="140">
        <v>99483.74</v>
      </c>
      <c r="H1011" s="138">
        <f t="shared" si="16"/>
        <v>0</v>
      </c>
      <c r="I1011" s="141" t="s">
        <v>15214</v>
      </c>
    </row>
    <row r="1012" spans="1:9" ht="15.75" x14ac:dyDescent="0.25">
      <c r="A1012" s="135">
        <v>42863</v>
      </c>
      <c r="B1012" s="142" t="s">
        <v>16478</v>
      </c>
      <c r="C1012" s="143">
        <v>111061</v>
      </c>
      <c r="D1012" s="142" t="s">
        <v>15296</v>
      </c>
      <c r="E1012" s="144">
        <v>0</v>
      </c>
      <c r="F1012" s="156" t="s">
        <v>95</v>
      </c>
      <c r="G1012" s="144">
        <v>0</v>
      </c>
      <c r="H1012" s="138">
        <f t="shared" si="16"/>
        <v>0</v>
      </c>
      <c r="I1012" s="147" t="s">
        <v>95</v>
      </c>
    </row>
    <row r="1013" spans="1:9" x14ac:dyDescent="0.25">
      <c r="A1013" s="135">
        <v>42863</v>
      </c>
      <c r="B1013" s="136" t="s">
        <v>16479</v>
      </c>
      <c r="C1013" s="137">
        <v>111062</v>
      </c>
      <c r="D1013" s="136" t="s">
        <v>15254</v>
      </c>
      <c r="E1013" s="138">
        <v>2971.6</v>
      </c>
      <c r="F1013" s="139">
        <v>42870</v>
      </c>
      <c r="G1013" s="140">
        <v>2971.6</v>
      </c>
      <c r="H1013" s="138">
        <f t="shared" si="16"/>
        <v>0</v>
      </c>
      <c r="I1013" s="141" t="s">
        <v>15214</v>
      </c>
    </row>
    <row r="1014" spans="1:9" x14ac:dyDescent="0.25">
      <c r="A1014" s="135">
        <v>42863</v>
      </c>
      <c r="B1014" s="142" t="s">
        <v>16480</v>
      </c>
      <c r="C1014" s="143">
        <v>111063</v>
      </c>
      <c r="D1014" s="142" t="s">
        <v>15346</v>
      </c>
      <c r="E1014" s="144">
        <v>6400.65</v>
      </c>
      <c r="F1014" s="145">
        <v>42863</v>
      </c>
      <c r="G1014" s="146">
        <v>6400.65</v>
      </c>
      <c r="H1014" s="138">
        <f t="shared" si="16"/>
        <v>0</v>
      </c>
      <c r="I1014" s="147" t="s">
        <v>15214</v>
      </c>
    </row>
    <row r="1015" spans="1:9" x14ac:dyDescent="0.25">
      <c r="A1015" s="135">
        <v>42863</v>
      </c>
      <c r="B1015" s="136" t="s">
        <v>16481</v>
      </c>
      <c r="C1015" s="137">
        <v>111064</v>
      </c>
      <c r="D1015" s="136" t="s">
        <v>16482</v>
      </c>
      <c r="E1015" s="138">
        <v>3294.2</v>
      </c>
      <c r="F1015" s="139">
        <v>42863</v>
      </c>
      <c r="G1015" s="140">
        <v>3294.2</v>
      </c>
      <c r="H1015" s="138">
        <f t="shared" si="16"/>
        <v>0</v>
      </c>
      <c r="I1015" s="141" t="s">
        <v>15214</v>
      </c>
    </row>
    <row r="1016" spans="1:9" x14ac:dyDescent="0.25">
      <c r="A1016" s="135">
        <v>42863</v>
      </c>
      <c r="B1016" s="142" t="s">
        <v>16483</v>
      </c>
      <c r="C1016" s="143">
        <v>111065</v>
      </c>
      <c r="D1016" s="142" t="s">
        <v>16484</v>
      </c>
      <c r="E1016" s="144">
        <v>1697.2</v>
      </c>
      <c r="F1016" s="145">
        <v>42863</v>
      </c>
      <c r="G1016" s="146">
        <v>1697.2</v>
      </c>
      <c r="H1016" s="138">
        <f t="shared" si="16"/>
        <v>0</v>
      </c>
      <c r="I1016" s="147" t="s">
        <v>15214</v>
      </c>
    </row>
    <row r="1017" spans="1:9" x14ac:dyDescent="0.25">
      <c r="A1017" s="135">
        <v>42863</v>
      </c>
      <c r="B1017" s="136" t="s">
        <v>16485</v>
      </c>
      <c r="C1017" s="137">
        <v>111066</v>
      </c>
      <c r="D1017" s="136" t="s">
        <v>15296</v>
      </c>
      <c r="E1017" s="138">
        <v>21584.5</v>
      </c>
      <c r="F1017" s="139">
        <v>42870</v>
      </c>
      <c r="G1017" s="140">
        <v>21584.5</v>
      </c>
      <c r="H1017" s="138">
        <f t="shared" si="16"/>
        <v>0</v>
      </c>
      <c r="I1017" s="141" t="s">
        <v>15214</v>
      </c>
    </row>
    <row r="1018" spans="1:9" x14ac:dyDescent="0.25">
      <c r="A1018" s="135">
        <v>42863</v>
      </c>
      <c r="B1018" s="142" t="s">
        <v>16486</v>
      </c>
      <c r="C1018" s="143">
        <v>111067</v>
      </c>
      <c r="D1018" s="142" t="s">
        <v>15378</v>
      </c>
      <c r="E1018" s="144">
        <v>904.8</v>
      </c>
      <c r="F1018" s="145">
        <v>42863</v>
      </c>
      <c r="G1018" s="146">
        <v>904.8</v>
      </c>
      <c r="H1018" s="138">
        <f t="shared" si="16"/>
        <v>0</v>
      </c>
      <c r="I1018" s="147" t="s">
        <v>15214</v>
      </c>
    </row>
    <row r="1019" spans="1:9" x14ac:dyDescent="0.25">
      <c r="A1019" s="135">
        <v>42863</v>
      </c>
      <c r="B1019" s="136" t="s">
        <v>16487</v>
      </c>
      <c r="C1019" s="137">
        <v>111068</v>
      </c>
      <c r="D1019" s="136" t="s">
        <v>15246</v>
      </c>
      <c r="E1019" s="138">
        <v>206228.2</v>
      </c>
      <c r="F1019" s="139">
        <v>42867</v>
      </c>
      <c r="G1019" s="140">
        <v>206228.2</v>
      </c>
      <c r="H1019" s="138">
        <f t="shared" si="16"/>
        <v>0</v>
      </c>
      <c r="I1019" s="141" t="s">
        <v>15214</v>
      </c>
    </row>
    <row r="1020" spans="1:9" x14ac:dyDescent="0.25">
      <c r="A1020" s="135">
        <v>42863</v>
      </c>
      <c r="B1020" s="142" t="s">
        <v>16488</v>
      </c>
      <c r="C1020" s="143">
        <v>111069</v>
      </c>
      <c r="D1020" s="142" t="s">
        <v>15274</v>
      </c>
      <c r="E1020" s="144">
        <v>3290</v>
      </c>
      <c r="F1020" s="145">
        <v>42863</v>
      </c>
      <c r="G1020" s="146">
        <v>3290</v>
      </c>
      <c r="H1020" s="138">
        <f t="shared" si="16"/>
        <v>0</v>
      </c>
      <c r="I1020" s="147" t="s">
        <v>15214</v>
      </c>
    </row>
    <row r="1021" spans="1:9" x14ac:dyDescent="0.25">
      <c r="A1021" s="135">
        <v>42863</v>
      </c>
      <c r="B1021" s="136" t="s">
        <v>16489</v>
      </c>
      <c r="C1021" s="137">
        <v>111070</v>
      </c>
      <c r="D1021" s="136" t="s">
        <v>15315</v>
      </c>
      <c r="E1021" s="138">
        <v>580</v>
      </c>
      <c r="F1021" s="139">
        <v>42863</v>
      </c>
      <c r="G1021" s="140">
        <v>580</v>
      </c>
      <c r="H1021" s="138">
        <f t="shared" si="16"/>
        <v>0</v>
      </c>
      <c r="I1021" s="141" t="s">
        <v>15214</v>
      </c>
    </row>
    <row r="1022" spans="1:9" x14ac:dyDescent="0.25">
      <c r="A1022" s="135">
        <v>42863</v>
      </c>
      <c r="B1022" s="142" t="s">
        <v>16490</v>
      </c>
      <c r="C1022" s="143">
        <v>111071</v>
      </c>
      <c r="D1022" s="142" t="s">
        <v>15315</v>
      </c>
      <c r="E1022" s="144">
        <v>1240</v>
      </c>
      <c r="F1022" s="145">
        <v>42863</v>
      </c>
      <c r="G1022" s="146">
        <v>1240</v>
      </c>
      <c r="H1022" s="138">
        <f t="shared" si="16"/>
        <v>0</v>
      </c>
      <c r="I1022" s="147" t="s">
        <v>15214</v>
      </c>
    </row>
    <row r="1023" spans="1:9" ht="15.75" x14ac:dyDescent="0.25">
      <c r="A1023" s="135">
        <v>42863</v>
      </c>
      <c r="B1023" s="136" t="s">
        <v>16491</v>
      </c>
      <c r="C1023" s="137">
        <v>111072</v>
      </c>
      <c r="D1023" s="136" t="s">
        <v>15409</v>
      </c>
      <c r="E1023" s="138">
        <v>0</v>
      </c>
      <c r="F1023" s="153" t="s">
        <v>95</v>
      </c>
      <c r="G1023" s="138">
        <v>0</v>
      </c>
      <c r="H1023" s="138">
        <f t="shared" si="16"/>
        <v>0</v>
      </c>
      <c r="I1023" s="141" t="s">
        <v>95</v>
      </c>
    </row>
    <row r="1024" spans="1:9" ht="15.75" x14ac:dyDescent="0.25">
      <c r="A1024" s="135">
        <v>42863</v>
      </c>
      <c r="B1024" s="142" t="s">
        <v>16492</v>
      </c>
      <c r="C1024" s="143">
        <v>111073</v>
      </c>
      <c r="D1024" s="142" t="s">
        <v>15409</v>
      </c>
      <c r="E1024" s="144">
        <v>0</v>
      </c>
      <c r="F1024" s="156" t="s">
        <v>95</v>
      </c>
      <c r="G1024" s="144">
        <v>0</v>
      </c>
      <c r="H1024" s="138">
        <f t="shared" si="16"/>
        <v>0</v>
      </c>
      <c r="I1024" s="147" t="s">
        <v>95</v>
      </c>
    </row>
    <row r="1025" spans="1:9" x14ac:dyDescent="0.25">
      <c r="A1025" s="135">
        <v>42863</v>
      </c>
      <c r="B1025" s="136" t="s">
        <v>16493</v>
      </c>
      <c r="C1025" s="137">
        <v>111074</v>
      </c>
      <c r="D1025" s="136" t="s">
        <v>15409</v>
      </c>
      <c r="E1025" s="138">
        <v>52662</v>
      </c>
      <c r="F1025" s="139">
        <v>42863</v>
      </c>
      <c r="G1025" s="140">
        <v>52662</v>
      </c>
      <c r="H1025" s="138">
        <f t="shared" si="16"/>
        <v>0</v>
      </c>
      <c r="I1025" s="141" t="s">
        <v>15214</v>
      </c>
    </row>
    <row r="1026" spans="1:9" x14ac:dyDescent="0.25">
      <c r="A1026" s="135">
        <v>42863</v>
      </c>
      <c r="B1026" s="142" t="s">
        <v>16494</v>
      </c>
      <c r="C1026" s="143">
        <v>111075</v>
      </c>
      <c r="D1026" s="142" t="s">
        <v>15665</v>
      </c>
      <c r="E1026" s="144">
        <v>445.1</v>
      </c>
      <c r="F1026" s="145">
        <v>42863</v>
      </c>
      <c r="G1026" s="146">
        <v>445.1</v>
      </c>
      <c r="H1026" s="138">
        <f t="shared" si="16"/>
        <v>0</v>
      </c>
      <c r="I1026" s="147" t="s">
        <v>15214</v>
      </c>
    </row>
    <row r="1027" spans="1:9" x14ac:dyDescent="0.25">
      <c r="A1027" s="135">
        <v>42863</v>
      </c>
      <c r="B1027" s="136" t="s">
        <v>16495</v>
      </c>
      <c r="C1027" s="137">
        <v>111076</v>
      </c>
      <c r="D1027" s="136" t="s">
        <v>15298</v>
      </c>
      <c r="E1027" s="138">
        <v>12113.7</v>
      </c>
      <c r="F1027" s="139">
        <v>42871</v>
      </c>
      <c r="G1027" s="140">
        <v>12113.7</v>
      </c>
      <c r="H1027" s="138">
        <f t="shared" si="16"/>
        <v>0</v>
      </c>
      <c r="I1027" s="141" t="s">
        <v>15214</v>
      </c>
    </row>
    <row r="1028" spans="1:9" x14ac:dyDescent="0.25">
      <c r="A1028" s="135">
        <v>42863</v>
      </c>
      <c r="B1028" s="142" t="s">
        <v>16496</v>
      </c>
      <c r="C1028" s="143">
        <v>111077</v>
      </c>
      <c r="D1028" s="142" t="s">
        <v>15394</v>
      </c>
      <c r="E1028" s="144">
        <v>9011.7999999999993</v>
      </c>
      <c r="F1028" s="145">
        <v>42864</v>
      </c>
      <c r="G1028" s="146">
        <v>9011.7999999999993</v>
      </c>
      <c r="H1028" s="138">
        <f t="shared" ref="H1028:H1091" si="17">E1028-G1028</f>
        <v>0</v>
      </c>
      <c r="I1028" s="147" t="s">
        <v>15214</v>
      </c>
    </row>
    <row r="1029" spans="1:9" x14ac:dyDescent="0.25">
      <c r="A1029" s="135">
        <v>42863</v>
      </c>
      <c r="B1029" s="136" t="s">
        <v>16497</v>
      </c>
      <c r="C1029" s="137">
        <v>111078</v>
      </c>
      <c r="D1029" s="136" t="s">
        <v>15624</v>
      </c>
      <c r="E1029" s="138">
        <v>33231.599999999999</v>
      </c>
      <c r="F1029" s="139">
        <v>42863</v>
      </c>
      <c r="G1029" s="140">
        <v>33231.599999999999</v>
      </c>
      <c r="H1029" s="138">
        <f t="shared" si="17"/>
        <v>0</v>
      </c>
      <c r="I1029" s="141" t="s">
        <v>15214</v>
      </c>
    </row>
    <row r="1030" spans="1:9" x14ac:dyDescent="0.25">
      <c r="A1030" s="135">
        <v>42863</v>
      </c>
      <c r="B1030" s="142" t="s">
        <v>16498</v>
      </c>
      <c r="C1030" s="143">
        <v>111079</v>
      </c>
      <c r="D1030" s="142" t="s">
        <v>15369</v>
      </c>
      <c r="E1030" s="144">
        <v>23984.9</v>
      </c>
      <c r="F1030" s="145">
        <v>42881</v>
      </c>
      <c r="G1030" s="146">
        <v>23984.9</v>
      </c>
      <c r="H1030" s="138">
        <f t="shared" si="17"/>
        <v>0</v>
      </c>
      <c r="I1030" s="147" t="s">
        <v>15214</v>
      </c>
    </row>
    <row r="1031" spans="1:9" x14ac:dyDescent="0.25">
      <c r="A1031" s="135">
        <v>42863</v>
      </c>
      <c r="B1031" s="136" t="s">
        <v>16499</v>
      </c>
      <c r="C1031" s="137">
        <v>111080</v>
      </c>
      <c r="D1031" s="136" t="s">
        <v>15367</v>
      </c>
      <c r="E1031" s="138">
        <v>8080</v>
      </c>
      <c r="F1031" s="139">
        <v>42864</v>
      </c>
      <c r="G1031" s="140">
        <v>8080</v>
      </c>
      <c r="H1031" s="138">
        <f t="shared" si="17"/>
        <v>0</v>
      </c>
      <c r="I1031" s="141" t="s">
        <v>15214</v>
      </c>
    </row>
    <row r="1032" spans="1:9" x14ac:dyDescent="0.25">
      <c r="A1032" s="135">
        <v>42863</v>
      </c>
      <c r="B1032" s="142" t="s">
        <v>16500</v>
      </c>
      <c r="C1032" s="143">
        <v>111081</v>
      </c>
      <c r="D1032" s="142" t="s">
        <v>15380</v>
      </c>
      <c r="E1032" s="144">
        <v>51669.3</v>
      </c>
      <c r="F1032" s="145">
        <v>42881</v>
      </c>
      <c r="G1032" s="146">
        <v>51669.3</v>
      </c>
      <c r="H1032" s="138">
        <f t="shared" si="17"/>
        <v>0</v>
      </c>
      <c r="I1032" s="147" t="s">
        <v>15214</v>
      </c>
    </row>
    <row r="1033" spans="1:9" x14ac:dyDescent="0.25">
      <c r="A1033" s="135">
        <v>42863</v>
      </c>
      <c r="B1033" s="136" t="s">
        <v>16501</v>
      </c>
      <c r="C1033" s="137">
        <v>111082</v>
      </c>
      <c r="D1033" s="136" t="s">
        <v>15315</v>
      </c>
      <c r="E1033" s="138">
        <v>1901.4</v>
      </c>
      <c r="F1033" s="139">
        <v>42863</v>
      </c>
      <c r="G1033" s="140">
        <v>1901.4</v>
      </c>
      <c r="H1033" s="138">
        <f t="shared" si="17"/>
        <v>0</v>
      </c>
      <c r="I1033" s="141" t="s">
        <v>15214</v>
      </c>
    </row>
    <row r="1034" spans="1:9" x14ac:dyDescent="0.25">
      <c r="A1034" s="135">
        <v>42863</v>
      </c>
      <c r="B1034" s="142" t="s">
        <v>16502</v>
      </c>
      <c r="C1034" s="143">
        <v>111083</v>
      </c>
      <c r="D1034" s="142" t="s">
        <v>15246</v>
      </c>
      <c r="E1034" s="144">
        <v>99591.5</v>
      </c>
      <c r="F1034" s="145">
        <v>42867</v>
      </c>
      <c r="G1034" s="146">
        <v>99591.5</v>
      </c>
      <c r="H1034" s="138">
        <f t="shared" si="17"/>
        <v>0</v>
      </c>
      <c r="I1034" s="147" t="s">
        <v>15214</v>
      </c>
    </row>
    <row r="1035" spans="1:9" x14ac:dyDescent="0.25">
      <c r="A1035" s="135">
        <v>42863</v>
      </c>
      <c r="B1035" s="136" t="s">
        <v>16503</v>
      </c>
      <c r="C1035" s="137">
        <v>111084</v>
      </c>
      <c r="D1035" s="136" t="s">
        <v>15389</v>
      </c>
      <c r="E1035" s="138">
        <v>15143</v>
      </c>
      <c r="F1035" s="160" t="s">
        <v>19808</v>
      </c>
      <c r="G1035" s="140">
        <f>14988.2+154.8</f>
        <v>15143</v>
      </c>
      <c r="H1035" s="138">
        <f t="shared" si="17"/>
        <v>0</v>
      </c>
      <c r="I1035" s="141" t="s">
        <v>15214</v>
      </c>
    </row>
    <row r="1036" spans="1:9" x14ac:dyDescent="0.25">
      <c r="A1036" s="135">
        <v>42863</v>
      </c>
      <c r="B1036" s="142" t="s">
        <v>16504</v>
      </c>
      <c r="C1036" s="143">
        <v>111085</v>
      </c>
      <c r="D1036" s="142" t="s">
        <v>15382</v>
      </c>
      <c r="E1036" s="144">
        <v>8863.6</v>
      </c>
      <c r="F1036" s="145">
        <v>42881</v>
      </c>
      <c r="G1036" s="146">
        <v>8863.6</v>
      </c>
      <c r="H1036" s="138">
        <f t="shared" si="17"/>
        <v>0</v>
      </c>
      <c r="I1036" s="147" t="s">
        <v>15214</v>
      </c>
    </row>
    <row r="1037" spans="1:9" x14ac:dyDescent="0.25">
      <c r="A1037" s="135">
        <v>42863</v>
      </c>
      <c r="B1037" s="136" t="s">
        <v>16505</v>
      </c>
      <c r="C1037" s="137">
        <v>111086</v>
      </c>
      <c r="D1037" s="136" t="s">
        <v>15213</v>
      </c>
      <c r="E1037" s="138">
        <v>2884</v>
      </c>
      <c r="F1037" s="139">
        <v>42864</v>
      </c>
      <c r="G1037" s="140">
        <v>2884</v>
      </c>
      <c r="H1037" s="138">
        <f t="shared" si="17"/>
        <v>0</v>
      </c>
      <c r="I1037" s="141" t="s">
        <v>15214</v>
      </c>
    </row>
    <row r="1038" spans="1:9" x14ac:dyDescent="0.25">
      <c r="A1038" s="135">
        <v>42863</v>
      </c>
      <c r="B1038" s="142" t="s">
        <v>16506</v>
      </c>
      <c r="C1038" s="143">
        <v>111087</v>
      </c>
      <c r="D1038" s="142" t="s">
        <v>15398</v>
      </c>
      <c r="E1038" s="144">
        <v>2944.8</v>
      </c>
      <c r="F1038" s="145">
        <v>42863</v>
      </c>
      <c r="G1038" s="146">
        <v>2944.8</v>
      </c>
      <c r="H1038" s="138">
        <f t="shared" si="17"/>
        <v>0</v>
      </c>
      <c r="I1038" s="147" t="s">
        <v>15214</v>
      </c>
    </row>
    <row r="1039" spans="1:9" x14ac:dyDescent="0.25">
      <c r="A1039" s="135">
        <v>42863</v>
      </c>
      <c r="B1039" s="136" t="s">
        <v>16507</v>
      </c>
      <c r="C1039" s="137">
        <v>111088</v>
      </c>
      <c r="D1039" s="136" t="s">
        <v>15246</v>
      </c>
      <c r="E1039" s="138">
        <v>18709</v>
      </c>
      <c r="F1039" s="139">
        <v>42867</v>
      </c>
      <c r="G1039" s="140">
        <v>18709</v>
      </c>
      <c r="H1039" s="138">
        <f t="shared" si="17"/>
        <v>0</v>
      </c>
      <c r="I1039" s="141" t="s">
        <v>15214</v>
      </c>
    </row>
    <row r="1040" spans="1:9" x14ac:dyDescent="0.25">
      <c r="A1040" s="135">
        <v>42863</v>
      </c>
      <c r="B1040" s="142" t="s">
        <v>16508</v>
      </c>
      <c r="C1040" s="143">
        <v>111089</v>
      </c>
      <c r="D1040" s="142" t="s">
        <v>15246</v>
      </c>
      <c r="E1040" s="144">
        <v>3000</v>
      </c>
      <c r="F1040" s="145">
        <v>42867</v>
      </c>
      <c r="G1040" s="146">
        <v>3000</v>
      </c>
      <c r="H1040" s="138">
        <f t="shared" si="17"/>
        <v>0</v>
      </c>
      <c r="I1040" s="147" t="s">
        <v>15214</v>
      </c>
    </row>
    <row r="1041" spans="1:9" x14ac:dyDescent="0.25">
      <c r="A1041" s="135">
        <v>42863</v>
      </c>
      <c r="B1041" s="136" t="s">
        <v>16509</v>
      </c>
      <c r="C1041" s="137">
        <v>111090</v>
      </c>
      <c r="D1041" s="136" t="s">
        <v>15315</v>
      </c>
      <c r="E1041" s="138">
        <v>3.2</v>
      </c>
      <c r="F1041" s="139">
        <v>42863</v>
      </c>
      <c r="G1041" s="140">
        <v>3.2</v>
      </c>
      <c r="H1041" s="138">
        <f t="shared" si="17"/>
        <v>0</v>
      </c>
      <c r="I1041" s="141" t="s">
        <v>15214</v>
      </c>
    </row>
    <row r="1042" spans="1:9" x14ac:dyDescent="0.25">
      <c r="A1042" s="135">
        <v>42863</v>
      </c>
      <c r="B1042" s="142" t="s">
        <v>16510</v>
      </c>
      <c r="C1042" s="143">
        <v>111091</v>
      </c>
      <c r="D1042" s="142" t="s">
        <v>15987</v>
      </c>
      <c r="E1042" s="144">
        <v>1051.5999999999999</v>
      </c>
      <c r="F1042" s="145">
        <v>42863</v>
      </c>
      <c r="G1042" s="146">
        <v>1051.5999999999999</v>
      </c>
      <c r="H1042" s="138">
        <f t="shared" si="17"/>
        <v>0</v>
      </c>
      <c r="I1042" s="147" t="s">
        <v>15214</v>
      </c>
    </row>
    <row r="1043" spans="1:9" x14ac:dyDescent="0.25">
      <c r="A1043" s="135">
        <v>42863</v>
      </c>
      <c r="B1043" s="136" t="s">
        <v>16511</v>
      </c>
      <c r="C1043" s="137">
        <v>111092</v>
      </c>
      <c r="D1043" s="136" t="s">
        <v>15956</v>
      </c>
      <c r="E1043" s="138">
        <v>1575</v>
      </c>
      <c r="F1043" s="139">
        <v>42863</v>
      </c>
      <c r="G1043" s="140">
        <v>1575</v>
      </c>
      <c r="H1043" s="138">
        <f t="shared" si="17"/>
        <v>0</v>
      </c>
      <c r="I1043" s="141" t="s">
        <v>15214</v>
      </c>
    </row>
    <row r="1044" spans="1:9" x14ac:dyDescent="0.25">
      <c r="A1044" s="135">
        <v>42863</v>
      </c>
      <c r="B1044" s="142" t="s">
        <v>16512</v>
      </c>
      <c r="C1044" s="143">
        <v>111093</v>
      </c>
      <c r="D1044" s="142" t="s">
        <v>15263</v>
      </c>
      <c r="E1044" s="144">
        <v>392</v>
      </c>
      <c r="F1044" s="145">
        <v>42863</v>
      </c>
      <c r="G1044" s="146">
        <v>392</v>
      </c>
      <c r="H1044" s="138">
        <f t="shared" si="17"/>
        <v>0</v>
      </c>
      <c r="I1044" s="147" t="s">
        <v>15214</v>
      </c>
    </row>
    <row r="1045" spans="1:9" x14ac:dyDescent="0.25">
      <c r="A1045" s="135">
        <v>42863</v>
      </c>
      <c r="B1045" s="136" t="s">
        <v>16513</v>
      </c>
      <c r="C1045" s="137">
        <v>111094</v>
      </c>
      <c r="D1045" s="136" t="s">
        <v>15396</v>
      </c>
      <c r="E1045" s="138">
        <v>5124.8</v>
      </c>
      <c r="F1045" s="139">
        <v>42863</v>
      </c>
      <c r="G1045" s="140">
        <v>5124.8</v>
      </c>
      <c r="H1045" s="138">
        <f t="shared" si="17"/>
        <v>0</v>
      </c>
      <c r="I1045" s="141" t="s">
        <v>15214</v>
      </c>
    </row>
    <row r="1046" spans="1:9" x14ac:dyDescent="0.25">
      <c r="A1046" s="135">
        <v>42863</v>
      </c>
      <c r="B1046" s="142" t="s">
        <v>16514</v>
      </c>
      <c r="C1046" s="143">
        <v>111095</v>
      </c>
      <c r="D1046" s="142" t="s">
        <v>15284</v>
      </c>
      <c r="E1046" s="144">
        <v>1032</v>
      </c>
      <c r="F1046" s="145">
        <v>42863</v>
      </c>
      <c r="G1046" s="146">
        <v>1032</v>
      </c>
      <c r="H1046" s="138">
        <f t="shared" si="17"/>
        <v>0</v>
      </c>
      <c r="I1046" s="147" t="s">
        <v>15214</v>
      </c>
    </row>
    <row r="1047" spans="1:9" x14ac:dyDescent="0.25">
      <c r="A1047" s="135">
        <v>42863</v>
      </c>
      <c r="B1047" s="136" t="s">
        <v>16515</v>
      </c>
      <c r="C1047" s="137">
        <v>111096</v>
      </c>
      <c r="D1047" s="136" t="s">
        <v>15315</v>
      </c>
      <c r="E1047" s="138">
        <v>128.4</v>
      </c>
      <c r="F1047" s="139">
        <v>42863</v>
      </c>
      <c r="G1047" s="140">
        <v>128.4</v>
      </c>
      <c r="H1047" s="138">
        <f t="shared" si="17"/>
        <v>0</v>
      </c>
      <c r="I1047" s="141" t="s">
        <v>15214</v>
      </c>
    </row>
    <row r="1048" spans="1:9" x14ac:dyDescent="0.25">
      <c r="A1048" s="135">
        <v>42863</v>
      </c>
      <c r="B1048" s="142" t="s">
        <v>16516</v>
      </c>
      <c r="C1048" s="143">
        <v>111097</v>
      </c>
      <c r="D1048" s="142" t="s">
        <v>15419</v>
      </c>
      <c r="E1048" s="144">
        <v>73673</v>
      </c>
      <c r="F1048" s="145">
        <v>42882</v>
      </c>
      <c r="G1048" s="146">
        <v>73673</v>
      </c>
      <c r="H1048" s="138">
        <f t="shared" si="17"/>
        <v>0</v>
      </c>
      <c r="I1048" s="147" t="s">
        <v>15214</v>
      </c>
    </row>
    <row r="1049" spans="1:9" x14ac:dyDescent="0.25">
      <c r="A1049" s="135">
        <v>42863</v>
      </c>
      <c r="B1049" s="136" t="s">
        <v>16517</v>
      </c>
      <c r="C1049" s="137">
        <v>111098</v>
      </c>
      <c r="D1049" s="136" t="s">
        <v>15246</v>
      </c>
      <c r="E1049" s="138">
        <v>3669.7</v>
      </c>
      <c r="F1049" s="139">
        <v>42867</v>
      </c>
      <c r="G1049" s="140">
        <v>3669.7</v>
      </c>
      <c r="H1049" s="138">
        <f t="shared" si="17"/>
        <v>0</v>
      </c>
      <c r="I1049" s="141" t="s">
        <v>15214</v>
      </c>
    </row>
    <row r="1050" spans="1:9" x14ac:dyDescent="0.25">
      <c r="A1050" s="135">
        <v>42863</v>
      </c>
      <c r="B1050" s="142" t="s">
        <v>16518</v>
      </c>
      <c r="C1050" s="143">
        <v>111099</v>
      </c>
      <c r="D1050" s="142" t="s">
        <v>15423</v>
      </c>
      <c r="E1050" s="144">
        <v>1204</v>
      </c>
      <c r="F1050" s="145">
        <v>42863</v>
      </c>
      <c r="G1050" s="146">
        <v>1204</v>
      </c>
      <c r="H1050" s="138">
        <f t="shared" si="17"/>
        <v>0</v>
      </c>
      <c r="I1050" s="147" t="s">
        <v>15214</v>
      </c>
    </row>
    <row r="1051" spans="1:9" x14ac:dyDescent="0.25">
      <c r="A1051" s="135">
        <v>42863</v>
      </c>
      <c r="B1051" s="136" t="s">
        <v>16519</v>
      </c>
      <c r="C1051" s="137">
        <v>111100</v>
      </c>
      <c r="D1051" s="136" t="s">
        <v>5883</v>
      </c>
      <c r="E1051" s="138">
        <v>27015.72</v>
      </c>
      <c r="F1051" s="139">
        <v>42884</v>
      </c>
      <c r="G1051" s="140">
        <v>27015.72</v>
      </c>
      <c r="H1051" s="138">
        <f t="shared" si="17"/>
        <v>0</v>
      </c>
      <c r="I1051" s="141" t="s">
        <v>15214</v>
      </c>
    </row>
    <row r="1052" spans="1:9" x14ac:dyDescent="0.25">
      <c r="A1052" s="135">
        <v>42863</v>
      </c>
      <c r="B1052" s="142" t="s">
        <v>16520</v>
      </c>
      <c r="C1052" s="143">
        <v>111101</v>
      </c>
      <c r="D1052" s="142" t="s">
        <v>15427</v>
      </c>
      <c r="E1052" s="144">
        <v>48749.8</v>
      </c>
      <c r="F1052" s="145">
        <v>42865</v>
      </c>
      <c r="G1052" s="146">
        <v>48749.8</v>
      </c>
      <c r="H1052" s="138">
        <f t="shared" si="17"/>
        <v>0</v>
      </c>
      <c r="I1052" s="147" t="s">
        <v>15214</v>
      </c>
    </row>
    <row r="1053" spans="1:9" x14ac:dyDescent="0.25">
      <c r="A1053" s="135">
        <v>42863</v>
      </c>
      <c r="B1053" s="136" t="s">
        <v>16521</v>
      </c>
      <c r="C1053" s="137">
        <v>111102</v>
      </c>
      <c r="D1053" s="136" t="s">
        <v>16522</v>
      </c>
      <c r="E1053" s="138">
        <v>16137.6</v>
      </c>
      <c r="F1053" s="157">
        <v>42893</v>
      </c>
      <c r="G1053" s="158">
        <v>16137.6</v>
      </c>
      <c r="H1053" s="138">
        <f t="shared" si="17"/>
        <v>0</v>
      </c>
      <c r="I1053" s="141" t="s">
        <v>15214</v>
      </c>
    </row>
    <row r="1054" spans="1:9" x14ac:dyDescent="0.25">
      <c r="A1054" s="135">
        <v>42863</v>
      </c>
      <c r="B1054" s="142" t="s">
        <v>16523</v>
      </c>
      <c r="C1054" s="143">
        <v>111103</v>
      </c>
      <c r="D1054" s="142" t="s">
        <v>15617</v>
      </c>
      <c r="E1054" s="144">
        <v>28556.799999999999</v>
      </c>
      <c r="F1054" s="145">
        <v>42864</v>
      </c>
      <c r="G1054" s="146">
        <v>28556.799999999999</v>
      </c>
      <c r="H1054" s="138">
        <f t="shared" si="17"/>
        <v>0</v>
      </c>
      <c r="I1054" s="147" t="s">
        <v>15214</v>
      </c>
    </row>
    <row r="1055" spans="1:9" x14ac:dyDescent="0.25">
      <c r="A1055" s="135">
        <v>42863</v>
      </c>
      <c r="B1055" s="136" t="s">
        <v>16524</v>
      </c>
      <c r="C1055" s="137">
        <v>111104</v>
      </c>
      <c r="D1055" s="136" t="s">
        <v>15628</v>
      </c>
      <c r="E1055" s="138">
        <v>15981.8</v>
      </c>
      <c r="F1055" s="139" t="s">
        <v>16525</v>
      </c>
      <c r="G1055" s="140">
        <f>6200+9781.8</f>
        <v>15981.8</v>
      </c>
      <c r="H1055" s="138">
        <f t="shared" si="17"/>
        <v>0</v>
      </c>
      <c r="I1055" s="141" t="s">
        <v>15214</v>
      </c>
    </row>
    <row r="1056" spans="1:9" x14ac:dyDescent="0.25">
      <c r="A1056" s="135">
        <v>42863</v>
      </c>
      <c r="B1056" s="142" t="s">
        <v>16526</v>
      </c>
      <c r="C1056" s="143">
        <v>111105</v>
      </c>
      <c r="D1056" s="142" t="s">
        <v>15433</v>
      </c>
      <c r="E1056" s="144">
        <v>1309.2</v>
      </c>
      <c r="F1056" s="145">
        <v>42863</v>
      </c>
      <c r="G1056" s="146">
        <v>1309.2</v>
      </c>
      <c r="H1056" s="138">
        <f t="shared" si="17"/>
        <v>0</v>
      </c>
      <c r="I1056" s="147" t="s">
        <v>15214</v>
      </c>
    </row>
    <row r="1057" spans="1:9" x14ac:dyDescent="0.25">
      <c r="A1057" s="135">
        <v>42863</v>
      </c>
      <c r="B1057" s="136" t="s">
        <v>16527</v>
      </c>
      <c r="C1057" s="137">
        <v>111106</v>
      </c>
      <c r="D1057" s="136" t="s">
        <v>15444</v>
      </c>
      <c r="E1057" s="138">
        <v>3278.8</v>
      </c>
      <c r="F1057" s="139">
        <v>42864</v>
      </c>
      <c r="G1057" s="140">
        <v>3278.8</v>
      </c>
      <c r="H1057" s="138">
        <f t="shared" si="17"/>
        <v>0</v>
      </c>
      <c r="I1057" s="141" t="s">
        <v>15214</v>
      </c>
    </row>
    <row r="1058" spans="1:9" ht="15.75" x14ac:dyDescent="0.25">
      <c r="A1058" s="135">
        <v>42863</v>
      </c>
      <c r="B1058" s="142" t="s">
        <v>16528</v>
      </c>
      <c r="C1058" s="143">
        <v>111107</v>
      </c>
      <c r="D1058" s="142" t="s">
        <v>15446</v>
      </c>
      <c r="E1058" s="144">
        <v>0</v>
      </c>
      <c r="F1058" s="156" t="s">
        <v>95</v>
      </c>
      <c r="G1058" s="144">
        <v>0</v>
      </c>
      <c r="H1058" s="138">
        <f t="shared" si="17"/>
        <v>0</v>
      </c>
      <c r="I1058" s="147" t="s">
        <v>95</v>
      </c>
    </row>
    <row r="1059" spans="1:9" x14ac:dyDescent="0.25">
      <c r="A1059" s="135">
        <v>42863</v>
      </c>
      <c r="B1059" s="136" t="s">
        <v>16529</v>
      </c>
      <c r="C1059" s="137">
        <v>111108</v>
      </c>
      <c r="D1059" s="136" t="s">
        <v>15465</v>
      </c>
      <c r="E1059" s="138">
        <v>4039.2</v>
      </c>
      <c r="F1059" s="139">
        <v>42866</v>
      </c>
      <c r="G1059" s="140">
        <v>4039.2</v>
      </c>
      <c r="H1059" s="138">
        <f t="shared" si="17"/>
        <v>0</v>
      </c>
      <c r="I1059" s="141" t="s">
        <v>15214</v>
      </c>
    </row>
    <row r="1060" spans="1:9" x14ac:dyDescent="0.25">
      <c r="A1060" s="135">
        <v>42863</v>
      </c>
      <c r="B1060" s="142" t="s">
        <v>16530</v>
      </c>
      <c r="C1060" s="143">
        <v>111109</v>
      </c>
      <c r="D1060" s="142" t="s">
        <v>15450</v>
      </c>
      <c r="E1060" s="144">
        <v>905.8</v>
      </c>
      <c r="F1060" s="145">
        <v>42866</v>
      </c>
      <c r="G1060" s="146">
        <v>905.8</v>
      </c>
      <c r="H1060" s="138">
        <f t="shared" si="17"/>
        <v>0</v>
      </c>
      <c r="I1060" s="147" t="s">
        <v>15214</v>
      </c>
    </row>
    <row r="1061" spans="1:9" x14ac:dyDescent="0.25">
      <c r="A1061" s="135">
        <v>42863</v>
      </c>
      <c r="B1061" s="136" t="s">
        <v>16531</v>
      </c>
      <c r="C1061" s="137">
        <v>111110</v>
      </c>
      <c r="D1061" s="136" t="s">
        <v>15458</v>
      </c>
      <c r="E1061" s="138">
        <v>12518.1</v>
      </c>
      <c r="F1061" s="139">
        <v>42866</v>
      </c>
      <c r="G1061" s="140">
        <v>12518.1</v>
      </c>
      <c r="H1061" s="138">
        <f t="shared" si="17"/>
        <v>0</v>
      </c>
      <c r="I1061" s="141" t="s">
        <v>15214</v>
      </c>
    </row>
    <row r="1062" spans="1:9" x14ac:dyDescent="0.25">
      <c r="A1062" s="135">
        <v>42863</v>
      </c>
      <c r="B1062" s="142" t="s">
        <v>16532</v>
      </c>
      <c r="C1062" s="143">
        <v>111111</v>
      </c>
      <c r="D1062" s="142" t="s">
        <v>15452</v>
      </c>
      <c r="E1062" s="144">
        <v>6216.8</v>
      </c>
      <c r="F1062" s="145">
        <v>42866</v>
      </c>
      <c r="G1062" s="146">
        <v>6216.8</v>
      </c>
      <c r="H1062" s="138">
        <f t="shared" si="17"/>
        <v>0</v>
      </c>
      <c r="I1062" s="147" t="s">
        <v>15214</v>
      </c>
    </row>
    <row r="1063" spans="1:9" x14ac:dyDescent="0.25">
      <c r="A1063" s="135">
        <v>42863</v>
      </c>
      <c r="B1063" s="136" t="s">
        <v>16533</v>
      </c>
      <c r="C1063" s="137">
        <v>111112</v>
      </c>
      <c r="D1063" s="136" t="s">
        <v>15454</v>
      </c>
      <c r="E1063" s="138">
        <v>3126.7</v>
      </c>
      <c r="F1063" s="139">
        <v>42866</v>
      </c>
      <c r="G1063" s="140">
        <v>3126.7</v>
      </c>
      <c r="H1063" s="138">
        <f t="shared" si="17"/>
        <v>0</v>
      </c>
      <c r="I1063" s="141" t="s">
        <v>15214</v>
      </c>
    </row>
    <row r="1064" spans="1:9" x14ac:dyDescent="0.25">
      <c r="A1064" s="135">
        <v>42863</v>
      </c>
      <c r="B1064" s="142" t="s">
        <v>16534</v>
      </c>
      <c r="C1064" s="143">
        <v>111113</v>
      </c>
      <c r="D1064" s="142" t="s">
        <v>15448</v>
      </c>
      <c r="E1064" s="144">
        <v>203781.4</v>
      </c>
      <c r="F1064" s="145">
        <v>42870</v>
      </c>
      <c r="G1064" s="146">
        <v>203781.4</v>
      </c>
      <c r="H1064" s="138">
        <f t="shared" si="17"/>
        <v>0</v>
      </c>
      <c r="I1064" s="147" t="s">
        <v>15214</v>
      </c>
    </row>
    <row r="1065" spans="1:9" x14ac:dyDescent="0.25">
      <c r="A1065" s="135">
        <v>42863</v>
      </c>
      <c r="B1065" s="136" t="s">
        <v>16535</v>
      </c>
      <c r="C1065" s="137">
        <v>111114</v>
      </c>
      <c r="D1065" s="136" t="s">
        <v>15450</v>
      </c>
      <c r="E1065" s="138">
        <v>1710</v>
      </c>
      <c r="F1065" s="139">
        <v>42866</v>
      </c>
      <c r="G1065" s="140">
        <v>1710</v>
      </c>
      <c r="H1065" s="138">
        <f t="shared" si="17"/>
        <v>0</v>
      </c>
      <c r="I1065" s="141" t="s">
        <v>15214</v>
      </c>
    </row>
    <row r="1066" spans="1:9" ht="15.75" x14ac:dyDescent="0.25">
      <c r="A1066" s="135">
        <v>42863</v>
      </c>
      <c r="B1066" s="142" t="s">
        <v>16536</v>
      </c>
      <c r="C1066" s="143">
        <v>111115</v>
      </c>
      <c r="D1066" s="142" t="s">
        <v>15446</v>
      </c>
      <c r="E1066" s="144">
        <v>0</v>
      </c>
      <c r="F1066" s="156" t="s">
        <v>95</v>
      </c>
      <c r="G1066" s="144">
        <v>0</v>
      </c>
      <c r="H1066" s="138">
        <f t="shared" si="17"/>
        <v>0</v>
      </c>
      <c r="I1066" s="147" t="s">
        <v>95</v>
      </c>
    </row>
    <row r="1067" spans="1:9" x14ac:dyDescent="0.25">
      <c r="A1067" s="135">
        <v>42863</v>
      </c>
      <c r="B1067" s="136" t="s">
        <v>16537</v>
      </c>
      <c r="C1067" s="137">
        <v>111116</v>
      </c>
      <c r="D1067" s="136" t="s">
        <v>15246</v>
      </c>
      <c r="E1067" s="138">
        <v>445.8</v>
      </c>
      <c r="F1067" s="139">
        <v>42867</v>
      </c>
      <c r="G1067" s="140">
        <v>445.8</v>
      </c>
      <c r="H1067" s="138">
        <f t="shared" si="17"/>
        <v>0</v>
      </c>
      <c r="I1067" s="141" t="s">
        <v>15214</v>
      </c>
    </row>
    <row r="1068" spans="1:9" x14ac:dyDescent="0.25">
      <c r="A1068" s="135">
        <v>42863</v>
      </c>
      <c r="B1068" s="142" t="s">
        <v>16538</v>
      </c>
      <c r="C1068" s="143">
        <v>111117</v>
      </c>
      <c r="D1068" s="142" t="s">
        <v>15462</v>
      </c>
      <c r="E1068" s="144">
        <v>18129</v>
      </c>
      <c r="F1068" s="145">
        <v>42866</v>
      </c>
      <c r="G1068" s="146">
        <v>18129</v>
      </c>
      <c r="H1068" s="138">
        <f t="shared" si="17"/>
        <v>0</v>
      </c>
      <c r="I1068" s="147" t="s">
        <v>15214</v>
      </c>
    </row>
    <row r="1069" spans="1:9" x14ac:dyDescent="0.25">
      <c r="A1069" s="135">
        <v>42863</v>
      </c>
      <c r="B1069" s="136" t="s">
        <v>16539</v>
      </c>
      <c r="C1069" s="137">
        <v>111118</v>
      </c>
      <c r="D1069" s="136" t="s">
        <v>15396</v>
      </c>
      <c r="E1069" s="138">
        <v>7111.64</v>
      </c>
      <c r="F1069" s="139">
        <v>42863</v>
      </c>
      <c r="G1069" s="140">
        <v>7111.64</v>
      </c>
      <c r="H1069" s="138">
        <f t="shared" si="17"/>
        <v>0</v>
      </c>
      <c r="I1069" s="141" t="s">
        <v>15214</v>
      </c>
    </row>
    <row r="1070" spans="1:9" x14ac:dyDescent="0.25">
      <c r="A1070" s="135">
        <v>42863</v>
      </c>
      <c r="B1070" s="142" t="s">
        <v>16540</v>
      </c>
      <c r="C1070" s="143">
        <v>111119</v>
      </c>
      <c r="D1070" s="142" t="s">
        <v>15460</v>
      </c>
      <c r="E1070" s="144">
        <v>4862.2</v>
      </c>
      <c r="F1070" s="145">
        <v>42866</v>
      </c>
      <c r="G1070" s="146">
        <v>4862.2</v>
      </c>
      <c r="H1070" s="138">
        <f t="shared" si="17"/>
        <v>0</v>
      </c>
      <c r="I1070" s="147" t="s">
        <v>15214</v>
      </c>
    </row>
    <row r="1071" spans="1:9" x14ac:dyDescent="0.25">
      <c r="A1071" s="135">
        <v>42863</v>
      </c>
      <c r="B1071" s="136" t="s">
        <v>16541</v>
      </c>
      <c r="C1071" s="137">
        <v>111120</v>
      </c>
      <c r="D1071" s="136" t="s">
        <v>16542</v>
      </c>
      <c r="E1071" s="138">
        <v>4547.5</v>
      </c>
      <c r="F1071" s="139">
        <v>42865</v>
      </c>
      <c r="G1071" s="140">
        <v>4547.5</v>
      </c>
      <c r="H1071" s="138">
        <f t="shared" si="17"/>
        <v>0</v>
      </c>
      <c r="I1071" s="141" t="s">
        <v>15214</v>
      </c>
    </row>
    <row r="1072" spans="1:9" x14ac:dyDescent="0.25">
      <c r="A1072" s="135">
        <v>42863</v>
      </c>
      <c r="B1072" s="142" t="s">
        <v>16543</v>
      </c>
      <c r="C1072" s="143">
        <v>111121</v>
      </c>
      <c r="D1072" s="142" t="s">
        <v>15246</v>
      </c>
      <c r="E1072" s="144">
        <v>4960</v>
      </c>
      <c r="F1072" s="145">
        <v>42867</v>
      </c>
      <c r="G1072" s="146">
        <v>4960</v>
      </c>
      <c r="H1072" s="138">
        <f t="shared" si="17"/>
        <v>0</v>
      </c>
      <c r="I1072" s="147" t="s">
        <v>15214</v>
      </c>
    </row>
    <row r="1073" spans="1:9" ht="15.75" x14ac:dyDescent="0.25">
      <c r="A1073" s="135">
        <v>42863</v>
      </c>
      <c r="B1073" s="136" t="s">
        <v>16544</v>
      </c>
      <c r="C1073" s="137">
        <v>111122</v>
      </c>
      <c r="D1073" s="136" t="s">
        <v>15246</v>
      </c>
      <c r="E1073" s="138">
        <v>0</v>
      </c>
      <c r="F1073" s="153" t="s">
        <v>95</v>
      </c>
      <c r="G1073" s="138">
        <v>0</v>
      </c>
      <c r="H1073" s="138">
        <f t="shared" si="17"/>
        <v>0</v>
      </c>
      <c r="I1073" s="141" t="s">
        <v>95</v>
      </c>
    </row>
    <row r="1074" spans="1:9" x14ac:dyDescent="0.25">
      <c r="A1074" s="135">
        <v>42863</v>
      </c>
      <c r="B1074" s="142" t="s">
        <v>16545</v>
      </c>
      <c r="C1074" s="143">
        <v>111123</v>
      </c>
      <c r="D1074" s="142" t="s">
        <v>15246</v>
      </c>
      <c r="E1074" s="144">
        <v>15754.8</v>
      </c>
      <c r="F1074" s="145">
        <v>42867</v>
      </c>
      <c r="G1074" s="146">
        <v>15754.8</v>
      </c>
      <c r="H1074" s="138">
        <f t="shared" si="17"/>
        <v>0</v>
      </c>
      <c r="I1074" s="147" t="s">
        <v>15214</v>
      </c>
    </row>
    <row r="1075" spans="1:9" x14ac:dyDescent="0.25">
      <c r="A1075" s="135">
        <v>42863</v>
      </c>
      <c r="B1075" s="136" t="s">
        <v>16546</v>
      </c>
      <c r="C1075" s="137">
        <v>111124</v>
      </c>
      <c r="D1075" s="136" t="s">
        <v>15435</v>
      </c>
      <c r="E1075" s="138">
        <v>9965.4</v>
      </c>
      <c r="F1075" s="139">
        <v>42863</v>
      </c>
      <c r="G1075" s="140">
        <v>9965.4</v>
      </c>
      <c r="H1075" s="138">
        <f t="shared" si="17"/>
        <v>0</v>
      </c>
      <c r="I1075" s="141" t="s">
        <v>15214</v>
      </c>
    </row>
    <row r="1076" spans="1:9" x14ac:dyDescent="0.25">
      <c r="A1076" s="135">
        <v>42864</v>
      </c>
      <c r="B1076" s="142" t="s">
        <v>16547</v>
      </c>
      <c r="C1076" s="143">
        <v>111125</v>
      </c>
      <c r="D1076" s="142" t="s">
        <v>15213</v>
      </c>
      <c r="E1076" s="144">
        <v>6388.9</v>
      </c>
      <c r="F1076" s="145">
        <v>42865</v>
      </c>
      <c r="G1076" s="146">
        <v>6388.9</v>
      </c>
      <c r="H1076" s="138">
        <f t="shared" si="17"/>
        <v>0</v>
      </c>
      <c r="I1076" s="147" t="s">
        <v>15214</v>
      </c>
    </row>
    <row r="1077" spans="1:9" x14ac:dyDescent="0.25">
      <c r="A1077" s="135">
        <v>42864</v>
      </c>
      <c r="B1077" s="136" t="s">
        <v>16548</v>
      </c>
      <c r="C1077" s="137">
        <v>111126</v>
      </c>
      <c r="D1077" s="136" t="s">
        <v>15213</v>
      </c>
      <c r="E1077" s="138">
        <v>40811.4</v>
      </c>
      <c r="F1077" s="139">
        <v>42865</v>
      </c>
      <c r="G1077" s="140">
        <v>40811.4</v>
      </c>
      <c r="H1077" s="138">
        <f t="shared" si="17"/>
        <v>0</v>
      </c>
      <c r="I1077" s="141" t="s">
        <v>15214</v>
      </c>
    </row>
    <row r="1078" spans="1:9" x14ac:dyDescent="0.25">
      <c r="A1078" s="135">
        <v>42864</v>
      </c>
      <c r="B1078" s="142" t="s">
        <v>16549</v>
      </c>
      <c r="C1078" s="143">
        <v>111127</v>
      </c>
      <c r="D1078" s="142" t="s">
        <v>15330</v>
      </c>
      <c r="E1078" s="144">
        <v>9311.5</v>
      </c>
      <c r="F1078" s="145">
        <v>42864</v>
      </c>
      <c r="G1078" s="146">
        <v>9311.5</v>
      </c>
      <c r="H1078" s="138">
        <f t="shared" si="17"/>
        <v>0</v>
      </c>
      <c r="I1078" s="147" t="s">
        <v>15214</v>
      </c>
    </row>
    <row r="1079" spans="1:9" x14ac:dyDescent="0.25">
      <c r="A1079" s="135">
        <v>42864</v>
      </c>
      <c r="B1079" s="136" t="s">
        <v>16550</v>
      </c>
      <c r="C1079" s="137">
        <v>111128</v>
      </c>
      <c r="D1079" s="136" t="s">
        <v>15272</v>
      </c>
      <c r="E1079" s="138">
        <v>15053.4</v>
      </c>
      <c r="F1079" s="139">
        <v>42864</v>
      </c>
      <c r="G1079" s="140">
        <v>15053.4</v>
      </c>
      <c r="H1079" s="138">
        <f t="shared" si="17"/>
        <v>0</v>
      </c>
      <c r="I1079" s="141" t="s">
        <v>15214</v>
      </c>
    </row>
    <row r="1080" spans="1:9" x14ac:dyDescent="0.25">
      <c r="A1080" s="135">
        <v>42864</v>
      </c>
      <c r="B1080" s="142" t="s">
        <v>16551</v>
      </c>
      <c r="C1080" s="143">
        <v>111129</v>
      </c>
      <c r="D1080" s="142" t="s">
        <v>15596</v>
      </c>
      <c r="E1080" s="144">
        <v>940</v>
      </c>
      <c r="F1080" s="145">
        <v>42866</v>
      </c>
      <c r="G1080" s="146">
        <v>940</v>
      </c>
      <c r="H1080" s="138">
        <f t="shared" si="17"/>
        <v>0</v>
      </c>
      <c r="I1080" s="147" t="s">
        <v>15214</v>
      </c>
    </row>
    <row r="1081" spans="1:9" x14ac:dyDescent="0.25">
      <c r="A1081" s="135">
        <v>42864</v>
      </c>
      <c r="B1081" s="136" t="s">
        <v>16552</v>
      </c>
      <c r="C1081" s="137">
        <v>111130</v>
      </c>
      <c r="D1081" s="136" t="s">
        <v>15220</v>
      </c>
      <c r="E1081" s="138">
        <v>2350</v>
      </c>
      <c r="F1081" s="139">
        <v>42864</v>
      </c>
      <c r="G1081" s="140">
        <v>2350</v>
      </c>
      <c r="H1081" s="138">
        <f t="shared" si="17"/>
        <v>0</v>
      </c>
      <c r="I1081" s="141" t="s">
        <v>15214</v>
      </c>
    </row>
    <row r="1082" spans="1:9" x14ac:dyDescent="0.25">
      <c r="A1082" s="135">
        <v>42864</v>
      </c>
      <c r="B1082" s="142" t="s">
        <v>16553</v>
      </c>
      <c r="C1082" s="143">
        <v>111131</v>
      </c>
      <c r="D1082" s="142" t="s">
        <v>15324</v>
      </c>
      <c r="E1082" s="144">
        <v>1702.5</v>
      </c>
      <c r="F1082" s="145">
        <v>42864</v>
      </c>
      <c r="G1082" s="146">
        <v>1702.5</v>
      </c>
      <c r="H1082" s="138">
        <f t="shared" si="17"/>
        <v>0</v>
      </c>
      <c r="I1082" s="147" t="s">
        <v>15214</v>
      </c>
    </row>
    <row r="1083" spans="1:9" x14ac:dyDescent="0.25">
      <c r="A1083" s="135">
        <v>42864</v>
      </c>
      <c r="B1083" s="136" t="s">
        <v>16554</v>
      </c>
      <c r="C1083" s="137">
        <v>111132</v>
      </c>
      <c r="D1083" s="136" t="s">
        <v>15407</v>
      </c>
      <c r="E1083" s="138">
        <v>13669.8</v>
      </c>
      <c r="F1083" s="139">
        <v>42864</v>
      </c>
      <c r="G1083" s="140">
        <v>13669.8</v>
      </c>
      <c r="H1083" s="138">
        <f t="shared" si="17"/>
        <v>0</v>
      </c>
      <c r="I1083" s="141" t="s">
        <v>15214</v>
      </c>
    </row>
    <row r="1084" spans="1:9" x14ac:dyDescent="0.25">
      <c r="A1084" s="135">
        <v>42864</v>
      </c>
      <c r="B1084" s="142" t="s">
        <v>16555</v>
      </c>
      <c r="C1084" s="143">
        <v>111133</v>
      </c>
      <c r="D1084" s="142" t="s">
        <v>15232</v>
      </c>
      <c r="E1084" s="144">
        <v>9243.7999999999993</v>
      </c>
      <c r="F1084" s="145">
        <v>42867</v>
      </c>
      <c r="G1084" s="146">
        <v>9243.7999999999993</v>
      </c>
      <c r="H1084" s="138">
        <f t="shared" si="17"/>
        <v>0</v>
      </c>
      <c r="I1084" s="147" t="s">
        <v>15214</v>
      </c>
    </row>
    <row r="1085" spans="1:9" x14ac:dyDescent="0.25">
      <c r="A1085" s="135">
        <v>42864</v>
      </c>
      <c r="B1085" s="136" t="s">
        <v>16556</v>
      </c>
      <c r="C1085" s="137">
        <v>111134</v>
      </c>
      <c r="D1085" s="136" t="s">
        <v>15230</v>
      </c>
      <c r="E1085" s="138">
        <v>17712.599999999999</v>
      </c>
      <c r="F1085" s="139">
        <v>42867</v>
      </c>
      <c r="G1085" s="140">
        <v>17712.599999999999</v>
      </c>
      <c r="H1085" s="138">
        <f t="shared" si="17"/>
        <v>0</v>
      </c>
      <c r="I1085" s="141" t="s">
        <v>15214</v>
      </c>
    </row>
    <row r="1086" spans="1:9" x14ac:dyDescent="0.25">
      <c r="A1086" s="135">
        <v>42864</v>
      </c>
      <c r="B1086" s="142" t="s">
        <v>16557</v>
      </c>
      <c r="C1086" s="143">
        <v>111135</v>
      </c>
      <c r="D1086" s="142" t="s">
        <v>15234</v>
      </c>
      <c r="E1086" s="144">
        <v>6788.8</v>
      </c>
      <c r="F1086" s="145" t="s">
        <v>16558</v>
      </c>
      <c r="G1086" s="146">
        <f>5000+1788.8</f>
        <v>6788.8</v>
      </c>
      <c r="H1086" s="138">
        <f t="shared" si="17"/>
        <v>0</v>
      </c>
      <c r="I1086" s="147" t="s">
        <v>15214</v>
      </c>
    </row>
    <row r="1087" spans="1:9" ht="15.75" x14ac:dyDescent="0.25">
      <c r="A1087" s="135">
        <v>42864</v>
      </c>
      <c r="B1087" s="136" t="s">
        <v>16559</v>
      </c>
      <c r="C1087" s="137">
        <v>111136</v>
      </c>
      <c r="D1087" s="136" t="s">
        <v>15236</v>
      </c>
      <c r="E1087" s="138">
        <v>0</v>
      </c>
      <c r="F1087" s="153" t="s">
        <v>95</v>
      </c>
      <c r="G1087" s="138">
        <v>0</v>
      </c>
      <c r="H1087" s="138">
        <f t="shared" si="17"/>
        <v>0</v>
      </c>
      <c r="I1087" s="141" t="s">
        <v>95</v>
      </c>
    </row>
    <row r="1088" spans="1:9" x14ac:dyDescent="0.25">
      <c r="A1088" s="135">
        <v>42864</v>
      </c>
      <c r="B1088" s="142" t="s">
        <v>16560</v>
      </c>
      <c r="C1088" s="143">
        <v>111137</v>
      </c>
      <c r="D1088" s="142" t="s">
        <v>5575</v>
      </c>
      <c r="E1088" s="144">
        <v>3393.2</v>
      </c>
      <c r="F1088" s="145">
        <v>42870</v>
      </c>
      <c r="G1088" s="146">
        <v>3393.2</v>
      </c>
      <c r="H1088" s="138">
        <f t="shared" si="17"/>
        <v>0</v>
      </c>
      <c r="I1088" s="147" t="s">
        <v>15214</v>
      </c>
    </row>
    <row r="1089" spans="1:9" x14ac:dyDescent="0.25">
      <c r="A1089" s="135">
        <v>42864</v>
      </c>
      <c r="B1089" s="136" t="s">
        <v>16561</v>
      </c>
      <c r="C1089" s="137">
        <v>111138</v>
      </c>
      <c r="D1089" s="136" t="s">
        <v>15263</v>
      </c>
      <c r="E1089" s="138">
        <v>5078.3999999999996</v>
      </c>
      <c r="F1089" s="139">
        <v>42864</v>
      </c>
      <c r="G1089" s="140">
        <v>5078.3999999999996</v>
      </c>
      <c r="H1089" s="138">
        <f t="shared" si="17"/>
        <v>0</v>
      </c>
      <c r="I1089" s="141" t="s">
        <v>15214</v>
      </c>
    </row>
    <row r="1090" spans="1:9" x14ac:dyDescent="0.25">
      <c r="A1090" s="135">
        <v>42864</v>
      </c>
      <c r="B1090" s="142" t="s">
        <v>16562</v>
      </c>
      <c r="C1090" s="143">
        <v>111139</v>
      </c>
      <c r="D1090" s="142" t="s">
        <v>15258</v>
      </c>
      <c r="E1090" s="144">
        <v>12525.6</v>
      </c>
      <c r="F1090" s="145">
        <v>42870</v>
      </c>
      <c r="G1090" s="146">
        <v>12525.6</v>
      </c>
      <c r="H1090" s="138">
        <f t="shared" si="17"/>
        <v>0</v>
      </c>
      <c r="I1090" s="147" t="s">
        <v>15214</v>
      </c>
    </row>
    <row r="1091" spans="1:9" x14ac:dyDescent="0.25">
      <c r="A1091" s="135">
        <v>42864</v>
      </c>
      <c r="B1091" s="136" t="s">
        <v>16563</v>
      </c>
      <c r="C1091" s="137">
        <v>111140</v>
      </c>
      <c r="D1091" s="136" t="s">
        <v>15415</v>
      </c>
      <c r="E1091" s="138">
        <v>2876.7</v>
      </c>
      <c r="F1091" s="139">
        <v>42866</v>
      </c>
      <c r="G1091" s="140">
        <v>2876.7</v>
      </c>
      <c r="H1091" s="138">
        <f t="shared" si="17"/>
        <v>0</v>
      </c>
      <c r="I1091" s="141" t="s">
        <v>15214</v>
      </c>
    </row>
    <row r="1092" spans="1:9" x14ac:dyDescent="0.25">
      <c r="A1092" s="135">
        <v>42864</v>
      </c>
      <c r="B1092" s="142" t="s">
        <v>16564</v>
      </c>
      <c r="C1092" s="143">
        <v>111141</v>
      </c>
      <c r="D1092" s="142" t="s">
        <v>15303</v>
      </c>
      <c r="E1092" s="144">
        <v>3042</v>
      </c>
      <c r="F1092" s="145">
        <v>42864</v>
      </c>
      <c r="G1092" s="146">
        <v>3042</v>
      </c>
      <c r="H1092" s="138">
        <f t="shared" ref="H1092:H1155" si="18">E1092-G1092</f>
        <v>0</v>
      </c>
      <c r="I1092" s="147" t="s">
        <v>15214</v>
      </c>
    </row>
    <row r="1093" spans="1:9" x14ac:dyDescent="0.25">
      <c r="A1093" s="135">
        <v>42864</v>
      </c>
      <c r="B1093" s="136" t="s">
        <v>16565</v>
      </c>
      <c r="C1093" s="137">
        <v>111142</v>
      </c>
      <c r="D1093" s="136" t="s">
        <v>15475</v>
      </c>
      <c r="E1093" s="138">
        <v>130.80000000000001</v>
      </c>
      <c r="F1093" s="139">
        <v>42864</v>
      </c>
      <c r="G1093" s="140">
        <v>130.80000000000001</v>
      </c>
      <c r="H1093" s="138">
        <f t="shared" si="18"/>
        <v>0</v>
      </c>
      <c r="I1093" s="141" t="s">
        <v>15214</v>
      </c>
    </row>
    <row r="1094" spans="1:9" x14ac:dyDescent="0.25">
      <c r="A1094" s="135">
        <v>42864</v>
      </c>
      <c r="B1094" s="142" t="s">
        <v>16566</v>
      </c>
      <c r="C1094" s="143">
        <v>111143</v>
      </c>
      <c r="D1094" s="142" t="s">
        <v>15475</v>
      </c>
      <c r="E1094" s="144">
        <v>66.599999999999994</v>
      </c>
      <c r="F1094" s="145">
        <v>42864</v>
      </c>
      <c r="G1094" s="146">
        <v>66.599999999999994</v>
      </c>
      <c r="H1094" s="138">
        <f t="shared" si="18"/>
        <v>0</v>
      </c>
      <c r="I1094" s="147" t="s">
        <v>15214</v>
      </c>
    </row>
    <row r="1095" spans="1:9" x14ac:dyDescent="0.25">
      <c r="A1095" s="135">
        <v>42864</v>
      </c>
      <c r="B1095" s="136" t="s">
        <v>16567</v>
      </c>
      <c r="C1095" s="137">
        <v>111144</v>
      </c>
      <c r="D1095" s="136" t="s">
        <v>15668</v>
      </c>
      <c r="E1095" s="138">
        <v>12756.8</v>
      </c>
      <c r="F1095" s="139">
        <v>42865</v>
      </c>
      <c r="G1095" s="140">
        <v>12756.8</v>
      </c>
      <c r="H1095" s="138">
        <f t="shared" si="18"/>
        <v>0</v>
      </c>
      <c r="I1095" s="141" t="s">
        <v>15214</v>
      </c>
    </row>
    <row r="1096" spans="1:9" x14ac:dyDescent="0.25">
      <c r="A1096" s="135">
        <v>42864</v>
      </c>
      <c r="B1096" s="142" t="s">
        <v>16568</v>
      </c>
      <c r="C1096" s="143">
        <v>111145</v>
      </c>
      <c r="D1096" s="142" t="s">
        <v>5575</v>
      </c>
      <c r="E1096" s="144">
        <v>537.6</v>
      </c>
      <c r="F1096" s="145">
        <v>42866</v>
      </c>
      <c r="G1096" s="146">
        <v>537.6</v>
      </c>
      <c r="H1096" s="138">
        <f t="shared" si="18"/>
        <v>0</v>
      </c>
      <c r="I1096" s="147" t="s">
        <v>15214</v>
      </c>
    </row>
    <row r="1097" spans="1:9" x14ac:dyDescent="0.25">
      <c r="A1097" s="135">
        <v>42864</v>
      </c>
      <c r="B1097" s="136" t="s">
        <v>16569</v>
      </c>
      <c r="C1097" s="137">
        <v>111146</v>
      </c>
      <c r="D1097" s="136" t="s">
        <v>15236</v>
      </c>
      <c r="E1097" s="138">
        <v>3719.7</v>
      </c>
      <c r="F1097" s="139">
        <v>42866</v>
      </c>
      <c r="G1097" s="140">
        <v>3719.7</v>
      </c>
      <c r="H1097" s="138">
        <f t="shared" si="18"/>
        <v>0</v>
      </c>
      <c r="I1097" s="141" t="s">
        <v>15214</v>
      </c>
    </row>
    <row r="1098" spans="1:9" x14ac:dyDescent="0.25">
      <c r="A1098" s="135">
        <v>42864</v>
      </c>
      <c r="B1098" s="142" t="s">
        <v>16570</v>
      </c>
      <c r="C1098" s="143">
        <v>111147</v>
      </c>
      <c r="D1098" s="142" t="s">
        <v>15313</v>
      </c>
      <c r="E1098" s="144">
        <v>3733.92</v>
      </c>
      <c r="F1098" s="145">
        <v>42864</v>
      </c>
      <c r="G1098" s="146">
        <v>3733.92</v>
      </c>
      <c r="H1098" s="138">
        <f t="shared" si="18"/>
        <v>0</v>
      </c>
      <c r="I1098" s="147" t="s">
        <v>15214</v>
      </c>
    </row>
    <row r="1099" spans="1:9" x14ac:dyDescent="0.25">
      <c r="A1099" s="135">
        <v>42864</v>
      </c>
      <c r="B1099" s="136" t="s">
        <v>16571</v>
      </c>
      <c r="C1099" s="137">
        <v>111148</v>
      </c>
      <c r="D1099" s="136" t="s">
        <v>15320</v>
      </c>
      <c r="E1099" s="138">
        <v>2268</v>
      </c>
      <c r="F1099" s="139">
        <v>42864</v>
      </c>
      <c r="G1099" s="140">
        <v>2268</v>
      </c>
      <c r="H1099" s="138">
        <f t="shared" si="18"/>
        <v>0</v>
      </c>
      <c r="I1099" s="141" t="s">
        <v>15214</v>
      </c>
    </row>
    <row r="1100" spans="1:9" x14ac:dyDescent="0.25">
      <c r="A1100" s="135">
        <v>42864</v>
      </c>
      <c r="B1100" s="142" t="s">
        <v>16572</v>
      </c>
      <c r="C1100" s="143">
        <v>111149</v>
      </c>
      <c r="D1100" s="142" t="s">
        <v>15748</v>
      </c>
      <c r="E1100" s="144">
        <v>1614.8</v>
      </c>
      <c r="F1100" s="145">
        <v>42864</v>
      </c>
      <c r="G1100" s="146">
        <v>1614.8</v>
      </c>
      <c r="H1100" s="138">
        <f t="shared" si="18"/>
        <v>0</v>
      </c>
      <c r="I1100" s="147" t="s">
        <v>15214</v>
      </c>
    </row>
    <row r="1101" spans="1:9" x14ac:dyDescent="0.25">
      <c r="A1101" s="135">
        <v>42864</v>
      </c>
      <c r="B1101" s="136" t="s">
        <v>16573</v>
      </c>
      <c r="C1101" s="137">
        <v>111150</v>
      </c>
      <c r="D1101" s="136" t="s">
        <v>15311</v>
      </c>
      <c r="E1101" s="138">
        <v>1550.4</v>
      </c>
      <c r="F1101" s="139">
        <v>42864</v>
      </c>
      <c r="G1101" s="140">
        <v>1550.4</v>
      </c>
      <c r="H1101" s="138">
        <f t="shared" si="18"/>
        <v>0</v>
      </c>
      <c r="I1101" s="141" t="s">
        <v>15214</v>
      </c>
    </row>
    <row r="1102" spans="1:9" x14ac:dyDescent="0.25">
      <c r="A1102" s="135">
        <v>42864</v>
      </c>
      <c r="B1102" s="142" t="s">
        <v>16574</v>
      </c>
      <c r="C1102" s="143">
        <v>111151</v>
      </c>
      <c r="D1102" s="142" t="s">
        <v>15261</v>
      </c>
      <c r="E1102" s="144">
        <v>21980.12</v>
      </c>
      <c r="F1102" s="145">
        <v>42864</v>
      </c>
      <c r="G1102" s="146">
        <v>21980.12</v>
      </c>
      <c r="H1102" s="138">
        <f t="shared" si="18"/>
        <v>0</v>
      </c>
      <c r="I1102" s="147" t="s">
        <v>15214</v>
      </c>
    </row>
    <row r="1103" spans="1:9" x14ac:dyDescent="0.25">
      <c r="A1103" s="135">
        <v>42864</v>
      </c>
      <c r="B1103" s="136" t="s">
        <v>16575</v>
      </c>
      <c r="C1103" s="137">
        <v>111152</v>
      </c>
      <c r="D1103" s="136" t="s">
        <v>15226</v>
      </c>
      <c r="E1103" s="138">
        <v>1453.1</v>
      </c>
      <c r="F1103" s="139">
        <v>42865</v>
      </c>
      <c r="G1103" s="140">
        <v>1453.1</v>
      </c>
      <c r="H1103" s="138">
        <f t="shared" si="18"/>
        <v>0</v>
      </c>
      <c r="I1103" s="141" t="s">
        <v>15214</v>
      </c>
    </row>
    <row r="1104" spans="1:9" x14ac:dyDescent="0.25">
      <c r="A1104" s="135">
        <v>42864</v>
      </c>
      <c r="B1104" s="142" t="s">
        <v>16576</v>
      </c>
      <c r="C1104" s="143">
        <v>111153</v>
      </c>
      <c r="D1104" s="142" t="s">
        <v>15248</v>
      </c>
      <c r="E1104" s="144">
        <v>24986.799999999999</v>
      </c>
      <c r="F1104" s="145">
        <v>42864</v>
      </c>
      <c r="G1104" s="146">
        <v>24986.799999999999</v>
      </c>
      <c r="H1104" s="138">
        <f t="shared" si="18"/>
        <v>0</v>
      </c>
      <c r="I1104" s="147" t="s">
        <v>15214</v>
      </c>
    </row>
    <row r="1105" spans="1:9" x14ac:dyDescent="0.25">
      <c r="A1105" s="135">
        <v>42864</v>
      </c>
      <c r="B1105" s="136" t="s">
        <v>16577</v>
      </c>
      <c r="C1105" s="137">
        <v>111154</v>
      </c>
      <c r="D1105" s="136" t="s">
        <v>15284</v>
      </c>
      <c r="E1105" s="138">
        <v>2551.1</v>
      </c>
      <c r="F1105" s="139">
        <v>42864</v>
      </c>
      <c r="G1105" s="140">
        <v>2551.1</v>
      </c>
      <c r="H1105" s="138">
        <f t="shared" si="18"/>
        <v>0</v>
      </c>
      <c r="I1105" s="141" t="s">
        <v>15214</v>
      </c>
    </row>
    <row r="1106" spans="1:9" x14ac:dyDescent="0.25">
      <c r="A1106" s="135">
        <v>42864</v>
      </c>
      <c r="B1106" s="142" t="s">
        <v>16578</v>
      </c>
      <c r="C1106" s="143">
        <v>111155</v>
      </c>
      <c r="D1106" s="142" t="s">
        <v>15240</v>
      </c>
      <c r="E1106" s="144">
        <v>2945.5</v>
      </c>
      <c r="F1106" s="145">
        <v>42865</v>
      </c>
      <c r="G1106" s="146">
        <v>2945.5</v>
      </c>
      <c r="H1106" s="138">
        <f t="shared" si="18"/>
        <v>0</v>
      </c>
      <c r="I1106" s="147" t="s">
        <v>15214</v>
      </c>
    </row>
    <row r="1107" spans="1:9" x14ac:dyDescent="0.25">
      <c r="A1107" s="135">
        <v>42864</v>
      </c>
      <c r="B1107" s="136" t="s">
        <v>16579</v>
      </c>
      <c r="C1107" s="137">
        <v>111156</v>
      </c>
      <c r="D1107" s="136" t="s">
        <v>15238</v>
      </c>
      <c r="E1107" s="138">
        <v>2392.8000000000002</v>
      </c>
      <c r="F1107" s="139">
        <v>42866</v>
      </c>
      <c r="G1107" s="140">
        <v>2392.8000000000002</v>
      </c>
      <c r="H1107" s="138">
        <f t="shared" si="18"/>
        <v>0</v>
      </c>
      <c r="I1107" s="141" t="s">
        <v>15214</v>
      </c>
    </row>
    <row r="1108" spans="1:9" x14ac:dyDescent="0.25">
      <c r="A1108" s="135">
        <v>42864</v>
      </c>
      <c r="B1108" s="142" t="s">
        <v>16580</v>
      </c>
      <c r="C1108" s="143">
        <v>111157</v>
      </c>
      <c r="D1108" s="142" t="s">
        <v>15256</v>
      </c>
      <c r="E1108" s="144">
        <v>9338.4</v>
      </c>
      <c r="F1108" s="145" t="s">
        <v>16581</v>
      </c>
      <c r="G1108" s="146">
        <f>5000+3600+738.4</f>
        <v>9338.4</v>
      </c>
      <c r="H1108" s="138">
        <f t="shared" si="18"/>
        <v>0</v>
      </c>
      <c r="I1108" s="147" t="s">
        <v>15214</v>
      </c>
    </row>
    <row r="1109" spans="1:9" x14ac:dyDescent="0.25">
      <c r="A1109" s="135">
        <v>42864</v>
      </c>
      <c r="B1109" s="136" t="s">
        <v>16582</v>
      </c>
      <c r="C1109" s="137">
        <v>111158</v>
      </c>
      <c r="D1109" s="136" t="s">
        <v>15526</v>
      </c>
      <c r="E1109" s="138">
        <v>4819.2</v>
      </c>
      <c r="F1109" s="139">
        <v>42865</v>
      </c>
      <c r="G1109" s="140">
        <v>4819.2</v>
      </c>
      <c r="H1109" s="138">
        <f t="shared" si="18"/>
        <v>0</v>
      </c>
      <c r="I1109" s="141" t="s">
        <v>15214</v>
      </c>
    </row>
    <row r="1110" spans="1:9" x14ac:dyDescent="0.25">
      <c r="A1110" s="135">
        <v>42864</v>
      </c>
      <c r="B1110" s="142" t="s">
        <v>16583</v>
      </c>
      <c r="C1110" s="143">
        <v>111159</v>
      </c>
      <c r="D1110" s="142" t="s">
        <v>15358</v>
      </c>
      <c r="E1110" s="144">
        <v>1757.2</v>
      </c>
      <c r="F1110" s="145">
        <v>42865</v>
      </c>
      <c r="G1110" s="146">
        <v>1757.2</v>
      </c>
      <c r="H1110" s="138">
        <f t="shared" si="18"/>
        <v>0</v>
      </c>
      <c r="I1110" s="147" t="s">
        <v>15214</v>
      </c>
    </row>
    <row r="1111" spans="1:9" x14ac:dyDescent="0.25">
      <c r="A1111" s="135">
        <v>42864</v>
      </c>
      <c r="B1111" s="136" t="s">
        <v>16584</v>
      </c>
      <c r="C1111" s="137">
        <v>111160</v>
      </c>
      <c r="D1111" s="136" t="s">
        <v>15336</v>
      </c>
      <c r="E1111" s="138">
        <v>1366.8</v>
      </c>
      <c r="F1111" s="139">
        <v>42865</v>
      </c>
      <c r="G1111" s="140">
        <v>1366.8</v>
      </c>
      <c r="H1111" s="138">
        <f t="shared" si="18"/>
        <v>0</v>
      </c>
      <c r="I1111" s="141" t="s">
        <v>15214</v>
      </c>
    </row>
    <row r="1112" spans="1:9" x14ac:dyDescent="0.25">
      <c r="A1112" s="135">
        <v>42864</v>
      </c>
      <c r="B1112" s="142" t="s">
        <v>16585</v>
      </c>
      <c r="C1112" s="143">
        <v>111161</v>
      </c>
      <c r="D1112" s="142" t="s">
        <v>15858</v>
      </c>
      <c r="E1112" s="144">
        <v>2455.2399999999998</v>
      </c>
      <c r="F1112" s="145">
        <v>42865</v>
      </c>
      <c r="G1112" s="146">
        <v>2455.2399999999998</v>
      </c>
      <c r="H1112" s="138">
        <f t="shared" si="18"/>
        <v>0</v>
      </c>
      <c r="I1112" s="147" t="s">
        <v>15214</v>
      </c>
    </row>
    <row r="1113" spans="1:9" x14ac:dyDescent="0.25">
      <c r="A1113" s="135">
        <v>42864</v>
      </c>
      <c r="B1113" s="136" t="s">
        <v>16586</v>
      </c>
      <c r="C1113" s="137">
        <v>111162</v>
      </c>
      <c r="D1113" s="136" t="s">
        <v>15240</v>
      </c>
      <c r="E1113" s="138">
        <v>140</v>
      </c>
      <c r="F1113" s="139">
        <v>42865</v>
      </c>
      <c r="G1113" s="140">
        <v>140</v>
      </c>
      <c r="H1113" s="138">
        <f t="shared" si="18"/>
        <v>0</v>
      </c>
      <c r="I1113" s="141" t="s">
        <v>15214</v>
      </c>
    </row>
    <row r="1114" spans="1:9" x14ac:dyDescent="0.25">
      <c r="A1114" s="135">
        <v>42864</v>
      </c>
      <c r="B1114" s="142" t="s">
        <v>16587</v>
      </c>
      <c r="C1114" s="143">
        <v>111163</v>
      </c>
      <c r="D1114" s="142" t="s">
        <v>15315</v>
      </c>
      <c r="E1114" s="144">
        <v>30212.799999999999</v>
      </c>
      <c r="F1114" s="145">
        <v>42864</v>
      </c>
      <c r="G1114" s="146">
        <v>30212.799999999999</v>
      </c>
      <c r="H1114" s="138">
        <f t="shared" si="18"/>
        <v>0</v>
      </c>
      <c r="I1114" s="147" t="s">
        <v>15214</v>
      </c>
    </row>
    <row r="1115" spans="1:9" x14ac:dyDescent="0.25">
      <c r="A1115" s="135">
        <v>42864</v>
      </c>
      <c r="B1115" s="136" t="s">
        <v>16588</v>
      </c>
      <c r="C1115" s="137">
        <v>111164</v>
      </c>
      <c r="D1115" s="136" t="s">
        <v>15348</v>
      </c>
      <c r="E1115" s="138">
        <v>3451.6</v>
      </c>
      <c r="F1115" s="139">
        <v>42865</v>
      </c>
      <c r="G1115" s="140">
        <v>3451.6</v>
      </c>
      <c r="H1115" s="138">
        <f t="shared" si="18"/>
        <v>0</v>
      </c>
      <c r="I1115" s="141" t="s">
        <v>15214</v>
      </c>
    </row>
    <row r="1116" spans="1:9" x14ac:dyDescent="0.25">
      <c r="A1116" s="135">
        <v>42864</v>
      </c>
      <c r="B1116" s="142" t="s">
        <v>16589</v>
      </c>
      <c r="C1116" s="143">
        <v>111165</v>
      </c>
      <c r="D1116" s="142" t="s">
        <v>15332</v>
      </c>
      <c r="E1116" s="144">
        <v>3102</v>
      </c>
      <c r="F1116" s="145">
        <v>42865</v>
      </c>
      <c r="G1116" s="146">
        <v>3102</v>
      </c>
      <c r="H1116" s="138">
        <f t="shared" si="18"/>
        <v>0</v>
      </c>
      <c r="I1116" s="147" t="s">
        <v>15214</v>
      </c>
    </row>
    <row r="1117" spans="1:9" x14ac:dyDescent="0.25">
      <c r="A1117" s="135">
        <v>42864</v>
      </c>
      <c r="B1117" s="136" t="s">
        <v>16590</v>
      </c>
      <c r="C1117" s="137">
        <v>111166</v>
      </c>
      <c r="D1117" s="136" t="s">
        <v>15315</v>
      </c>
      <c r="E1117" s="138">
        <v>1252.8</v>
      </c>
      <c r="F1117" s="139">
        <v>42865</v>
      </c>
      <c r="G1117" s="140">
        <v>1252.8</v>
      </c>
      <c r="H1117" s="138">
        <f t="shared" si="18"/>
        <v>0</v>
      </c>
      <c r="I1117" s="141" t="s">
        <v>15214</v>
      </c>
    </row>
    <row r="1118" spans="1:9" x14ac:dyDescent="0.25">
      <c r="A1118" s="135">
        <v>42864</v>
      </c>
      <c r="B1118" s="142" t="s">
        <v>16591</v>
      </c>
      <c r="C1118" s="143">
        <v>111167</v>
      </c>
      <c r="D1118" s="142" t="s">
        <v>15280</v>
      </c>
      <c r="E1118" s="144">
        <v>2529</v>
      </c>
      <c r="F1118" s="145">
        <v>42864</v>
      </c>
      <c r="G1118" s="146">
        <v>2529</v>
      </c>
      <c r="H1118" s="138">
        <f t="shared" si="18"/>
        <v>0</v>
      </c>
      <c r="I1118" s="147" t="s">
        <v>15214</v>
      </c>
    </row>
    <row r="1119" spans="1:9" x14ac:dyDescent="0.25">
      <c r="A1119" s="135">
        <v>42864</v>
      </c>
      <c r="B1119" s="136" t="s">
        <v>16592</v>
      </c>
      <c r="C1119" s="137">
        <v>111168</v>
      </c>
      <c r="D1119" s="136" t="s">
        <v>15854</v>
      </c>
      <c r="E1119" s="138">
        <v>1956.7</v>
      </c>
      <c r="F1119" s="139">
        <v>42865</v>
      </c>
      <c r="G1119" s="140">
        <v>1956.7</v>
      </c>
      <c r="H1119" s="138">
        <f t="shared" si="18"/>
        <v>0</v>
      </c>
      <c r="I1119" s="141" t="s">
        <v>15214</v>
      </c>
    </row>
    <row r="1120" spans="1:9" x14ac:dyDescent="0.25">
      <c r="A1120" s="135">
        <v>42864</v>
      </c>
      <c r="B1120" s="142" t="s">
        <v>16593</v>
      </c>
      <c r="C1120" s="143">
        <v>111169</v>
      </c>
      <c r="D1120" s="142" t="s">
        <v>15350</v>
      </c>
      <c r="E1120" s="144">
        <v>954.1</v>
      </c>
      <c r="F1120" s="145">
        <v>42865</v>
      </c>
      <c r="G1120" s="146">
        <v>954.1</v>
      </c>
      <c r="H1120" s="138">
        <f t="shared" si="18"/>
        <v>0</v>
      </c>
      <c r="I1120" s="147" t="s">
        <v>15214</v>
      </c>
    </row>
    <row r="1121" spans="1:9" x14ac:dyDescent="0.25">
      <c r="A1121" s="135">
        <v>42864</v>
      </c>
      <c r="B1121" s="136" t="s">
        <v>16594</v>
      </c>
      <c r="C1121" s="137">
        <v>111170</v>
      </c>
      <c r="D1121" s="136" t="s">
        <v>15523</v>
      </c>
      <c r="E1121" s="138">
        <v>1687.3</v>
      </c>
      <c r="F1121" s="139">
        <v>42865</v>
      </c>
      <c r="G1121" s="140">
        <v>1687.3</v>
      </c>
      <c r="H1121" s="138">
        <f t="shared" si="18"/>
        <v>0</v>
      </c>
      <c r="I1121" s="141" t="s">
        <v>15214</v>
      </c>
    </row>
    <row r="1122" spans="1:9" x14ac:dyDescent="0.25">
      <c r="A1122" s="135">
        <v>42864</v>
      </c>
      <c r="B1122" s="142" t="s">
        <v>16595</v>
      </c>
      <c r="C1122" s="143">
        <v>111171</v>
      </c>
      <c r="D1122" s="142" t="s">
        <v>15912</v>
      </c>
      <c r="E1122" s="144">
        <v>2173.1999999999998</v>
      </c>
      <c r="F1122" s="145">
        <v>42865</v>
      </c>
      <c r="G1122" s="146">
        <v>2173.1999999999998</v>
      </c>
      <c r="H1122" s="138">
        <f t="shared" si="18"/>
        <v>0</v>
      </c>
      <c r="I1122" s="147" t="s">
        <v>15214</v>
      </c>
    </row>
    <row r="1123" spans="1:9" x14ac:dyDescent="0.25">
      <c r="A1123" s="135">
        <v>42864</v>
      </c>
      <c r="B1123" s="136" t="s">
        <v>16596</v>
      </c>
      <c r="C1123" s="137">
        <v>111172</v>
      </c>
      <c r="D1123" s="136" t="s">
        <v>15861</v>
      </c>
      <c r="E1123" s="138">
        <v>1458</v>
      </c>
      <c r="F1123" s="139">
        <v>42865</v>
      </c>
      <c r="G1123" s="140">
        <v>1458</v>
      </c>
      <c r="H1123" s="138">
        <f t="shared" si="18"/>
        <v>0</v>
      </c>
      <c r="I1123" s="141" t="s">
        <v>15214</v>
      </c>
    </row>
    <row r="1124" spans="1:9" x14ac:dyDescent="0.25">
      <c r="A1124" s="135">
        <v>42864</v>
      </c>
      <c r="B1124" s="142" t="s">
        <v>16597</v>
      </c>
      <c r="C1124" s="143">
        <v>111173</v>
      </c>
      <c r="D1124" s="142" t="s">
        <v>15696</v>
      </c>
      <c r="E1124" s="144">
        <v>18179.8</v>
      </c>
      <c r="F1124" s="145">
        <v>42867</v>
      </c>
      <c r="G1124" s="146">
        <v>18179.8</v>
      </c>
      <c r="H1124" s="138">
        <f t="shared" si="18"/>
        <v>0</v>
      </c>
      <c r="I1124" s="147" t="s">
        <v>15214</v>
      </c>
    </row>
    <row r="1125" spans="1:9" x14ac:dyDescent="0.25">
      <c r="A1125" s="135">
        <v>42864</v>
      </c>
      <c r="B1125" s="136" t="s">
        <v>16598</v>
      </c>
      <c r="C1125" s="137">
        <v>111174</v>
      </c>
      <c r="D1125" s="136" t="s">
        <v>15559</v>
      </c>
      <c r="E1125" s="138">
        <v>6565.4</v>
      </c>
      <c r="F1125" s="139">
        <v>42865</v>
      </c>
      <c r="G1125" s="140">
        <v>6565.4</v>
      </c>
      <c r="H1125" s="138">
        <f t="shared" si="18"/>
        <v>0</v>
      </c>
      <c r="I1125" s="141" t="s">
        <v>15214</v>
      </c>
    </row>
    <row r="1126" spans="1:9" x14ac:dyDescent="0.25">
      <c r="A1126" s="135">
        <v>42864</v>
      </c>
      <c r="B1126" s="142" t="s">
        <v>16599</v>
      </c>
      <c r="C1126" s="143">
        <v>111175</v>
      </c>
      <c r="D1126" s="142" t="s">
        <v>15315</v>
      </c>
      <c r="E1126" s="144">
        <v>2921.6</v>
      </c>
      <c r="F1126" s="145">
        <v>42865</v>
      </c>
      <c r="G1126" s="146">
        <v>2921.6</v>
      </c>
      <c r="H1126" s="138">
        <f t="shared" si="18"/>
        <v>0</v>
      </c>
      <c r="I1126" s="147" t="s">
        <v>15214</v>
      </c>
    </row>
    <row r="1127" spans="1:9" x14ac:dyDescent="0.25">
      <c r="A1127" s="135">
        <v>42864</v>
      </c>
      <c r="B1127" s="136" t="s">
        <v>16600</v>
      </c>
      <c r="C1127" s="137">
        <v>111176</v>
      </c>
      <c r="D1127" s="136" t="s">
        <v>15282</v>
      </c>
      <c r="E1127" s="138">
        <v>2204.3000000000002</v>
      </c>
      <c r="F1127" s="139">
        <v>42864</v>
      </c>
      <c r="G1127" s="140">
        <v>2204.3000000000002</v>
      </c>
      <c r="H1127" s="138">
        <f t="shared" si="18"/>
        <v>0</v>
      </c>
      <c r="I1127" s="141" t="s">
        <v>15214</v>
      </c>
    </row>
    <row r="1128" spans="1:9" x14ac:dyDescent="0.25">
      <c r="A1128" s="135">
        <v>42864</v>
      </c>
      <c r="B1128" s="142" t="s">
        <v>16601</v>
      </c>
      <c r="C1128" s="143">
        <v>111177</v>
      </c>
      <c r="D1128" s="142" t="s">
        <v>15282</v>
      </c>
      <c r="E1128" s="144">
        <v>1717.8</v>
      </c>
      <c r="F1128" s="145">
        <v>42864</v>
      </c>
      <c r="G1128" s="146">
        <v>1717.8</v>
      </c>
      <c r="H1128" s="138">
        <f t="shared" si="18"/>
        <v>0</v>
      </c>
      <c r="I1128" s="147" t="s">
        <v>15214</v>
      </c>
    </row>
    <row r="1129" spans="1:9" x14ac:dyDescent="0.25">
      <c r="A1129" s="135">
        <v>42864</v>
      </c>
      <c r="B1129" s="136" t="s">
        <v>16602</v>
      </c>
      <c r="C1129" s="137">
        <v>111178</v>
      </c>
      <c r="D1129" s="136" t="s">
        <v>16040</v>
      </c>
      <c r="E1129" s="138">
        <v>9618.2999999999993</v>
      </c>
      <c r="F1129" s="139">
        <v>42865</v>
      </c>
      <c r="G1129" s="140">
        <v>9618.2999999999993</v>
      </c>
      <c r="H1129" s="138">
        <f t="shared" si="18"/>
        <v>0</v>
      </c>
      <c r="I1129" s="141" t="s">
        <v>15214</v>
      </c>
    </row>
    <row r="1130" spans="1:9" x14ac:dyDescent="0.25">
      <c r="A1130" s="135">
        <v>42864</v>
      </c>
      <c r="B1130" s="142" t="s">
        <v>16603</v>
      </c>
      <c r="C1130" s="143">
        <v>111179</v>
      </c>
      <c r="D1130" s="142" t="s">
        <v>16604</v>
      </c>
      <c r="E1130" s="144">
        <v>20588</v>
      </c>
      <c r="F1130" s="145">
        <v>42864</v>
      </c>
      <c r="G1130" s="146">
        <v>20588</v>
      </c>
      <c r="H1130" s="138">
        <f t="shared" si="18"/>
        <v>0</v>
      </c>
      <c r="I1130" s="147" t="s">
        <v>15214</v>
      </c>
    </row>
    <row r="1131" spans="1:9" x14ac:dyDescent="0.25">
      <c r="A1131" s="135">
        <v>42864</v>
      </c>
      <c r="B1131" s="136" t="s">
        <v>16605</v>
      </c>
      <c r="C1131" s="137">
        <v>111180</v>
      </c>
      <c r="D1131" s="136" t="s">
        <v>15371</v>
      </c>
      <c r="E1131" s="138">
        <v>4281.6000000000004</v>
      </c>
      <c r="F1131" s="139">
        <v>42866</v>
      </c>
      <c r="G1131" s="140">
        <v>4281.6000000000004</v>
      </c>
      <c r="H1131" s="138">
        <f t="shared" si="18"/>
        <v>0</v>
      </c>
      <c r="I1131" s="141" t="s">
        <v>15214</v>
      </c>
    </row>
    <row r="1132" spans="1:9" x14ac:dyDescent="0.25">
      <c r="A1132" s="135">
        <v>42864</v>
      </c>
      <c r="B1132" s="142" t="s">
        <v>16606</v>
      </c>
      <c r="C1132" s="143">
        <v>111181</v>
      </c>
      <c r="D1132" s="142" t="s">
        <v>15328</v>
      </c>
      <c r="E1132" s="144">
        <v>12710.4</v>
      </c>
      <c r="F1132" s="145">
        <v>42880</v>
      </c>
      <c r="G1132" s="146">
        <v>12710.4</v>
      </c>
      <c r="H1132" s="138">
        <f t="shared" si="18"/>
        <v>0</v>
      </c>
      <c r="I1132" s="147" t="s">
        <v>15214</v>
      </c>
    </row>
    <row r="1133" spans="1:9" x14ac:dyDescent="0.25">
      <c r="A1133" s="135">
        <v>42864</v>
      </c>
      <c r="B1133" s="136" t="s">
        <v>16607</v>
      </c>
      <c r="C1133" s="137">
        <v>111182</v>
      </c>
      <c r="D1133" s="136" t="s">
        <v>15539</v>
      </c>
      <c r="E1133" s="138">
        <v>3091.2</v>
      </c>
      <c r="F1133" s="139">
        <v>42867</v>
      </c>
      <c r="G1133" s="140">
        <v>3091.2</v>
      </c>
      <c r="H1133" s="138">
        <f t="shared" si="18"/>
        <v>0</v>
      </c>
      <c r="I1133" s="141" t="s">
        <v>15214</v>
      </c>
    </row>
    <row r="1134" spans="1:9" x14ac:dyDescent="0.25">
      <c r="A1134" s="135">
        <v>42864</v>
      </c>
      <c r="B1134" s="142" t="s">
        <v>16608</v>
      </c>
      <c r="C1134" s="143">
        <v>111183</v>
      </c>
      <c r="D1134" s="142" t="s">
        <v>15636</v>
      </c>
      <c r="E1134" s="144">
        <v>7988</v>
      </c>
      <c r="F1134" s="145">
        <v>42864</v>
      </c>
      <c r="G1134" s="146">
        <v>7988</v>
      </c>
      <c r="H1134" s="138">
        <f t="shared" si="18"/>
        <v>0</v>
      </c>
      <c r="I1134" s="147" t="s">
        <v>15214</v>
      </c>
    </row>
    <row r="1135" spans="1:9" x14ac:dyDescent="0.25">
      <c r="A1135" s="135">
        <v>42864</v>
      </c>
      <c r="B1135" s="136" t="s">
        <v>16609</v>
      </c>
      <c r="C1135" s="137">
        <v>111184</v>
      </c>
      <c r="D1135" s="136" t="s">
        <v>15544</v>
      </c>
      <c r="E1135" s="138">
        <v>1104</v>
      </c>
      <c r="F1135" s="139">
        <v>42865</v>
      </c>
      <c r="G1135" s="140">
        <v>1104</v>
      </c>
      <c r="H1135" s="138">
        <f t="shared" si="18"/>
        <v>0</v>
      </c>
      <c r="I1135" s="141" t="s">
        <v>15214</v>
      </c>
    </row>
    <row r="1136" spans="1:9" x14ac:dyDescent="0.25">
      <c r="A1136" s="135">
        <v>42864</v>
      </c>
      <c r="B1136" s="142" t="s">
        <v>16610</v>
      </c>
      <c r="C1136" s="143">
        <v>111185</v>
      </c>
      <c r="D1136" s="142" t="s">
        <v>16139</v>
      </c>
      <c r="E1136" s="144">
        <v>3731.5</v>
      </c>
      <c r="F1136" s="145">
        <v>42867</v>
      </c>
      <c r="G1136" s="146">
        <v>3731.5</v>
      </c>
      <c r="H1136" s="138">
        <f t="shared" si="18"/>
        <v>0</v>
      </c>
      <c r="I1136" s="147" t="s">
        <v>15214</v>
      </c>
    </row>
    <row r="1137" spans="1:9" x14ac:dyDescent="0.25">
      <c r="A1137" s="135">
        <v>42864</v>
      </c>
      <c r="B1137" s="136" t="s">
        <v>16611</v>
      </c>
      <c r="C1137" s="137">
        <v>111186</v>
      </c>
      <c r="D1137" s="136" t="s">
        <v>15315</v>
      </c>
      <c r="E1137" s="138">
        <v>6124.5</v>
      </c>
      <c r="F1137" s="139">
        <v>42864</v>
      </c>
      <c r="G1137" s="140">
        <v>6124.5</v>
      </c>
      <c r="H1137" s="138">
        <f t="shared" si="18"/>
        <v>0</v>
      </c>
      <c r="I1137" s="141" t="s">
        <v>15214</v>
      </c>
    </row>
    <row r="1138" spans="1:9" x14ac:dyDescent="0.25">
      <c r="A1138" s="135">
        <v>42864</v>
      </c>
      <c r="B1138" s="142" t="s">
        <v>16612</v>
      </c>
      <c r="C1138" s="143">
        <v>111187</v>
      </c>
      <c r="D1138" s="142" t="s">
        <v>15315</v>
      </c>
      <c r="E1138" s="144">
        <v>174</v>
      </c>
      <c r="F1138" s="145">
        <v>42864</v>
      </c>
      <c r="G1138" s="146">
        <v>174</v>
      </c>
      <c r="H1138" s="138">
        <f t="shared" si="18"/>
        <v>0</v>
      </c>
      <c r="I1138" s="147" t="s">
        <v>15214</v>
      </c>
    </row>
    <row r="1139" spans="1:9" x14ac:dyDescent="0.25">
      <c r="A1139" s="135">
        <v>42864</v>
      </c>
      <c r="B1139" s="136" t="s">
        <v>16613</v>
      </c>
      <c r="C1139" s="137">
        <v>111188</v>
      </c>
      <c r="D1139" s="136" t="s">
        <v>15549</v>
      </c>
      <c r="E1139" s="138">
        <v>7058.3</v>
      </c>
      <c r="F1139" s="139">
        <v>42864</v>
      </c>
      <c r="G1139" s="140">
        <v>7058.3</v>
      </c>
      <c r="H1139" s="138">
        <f t="shared" si="18"/>
        <v>0</v>
      </c>
      <c r="I1139" s="141" t="s">
        <v>15214</v>
      </c>
    </row>
    <row r="1140" spans="1:9" x14ac:dyDescent="0.25">
      <c r="A1140" s="135">
        <v>42864</v>
      </c>
      <c r="B1140" s="142" t="s">
        <v>16614</v>
      </c>
      <c r="C1140" s="143">
        <v>111189</v>
      </c>
      <c r="D1140" s="142" t="s">
        <v>15252</v>
      </c>
      <c r="E1140" s="144">
        <v>5803.9</v>
      </c>
      <c r="F1140" s="145">
        <v>42868</v>
      </c>
      <c r="G1140" s="146">
        <v>5803.9</v>
      </c>
      <c r="H1140" s="138">
        <f t="shared" si="18"/>
        <v>0</v>
      </c>
      <c r="I1140" s="147" t="s">
        <v>15214</v>
      </c>
    </row>
    <row r="1141" spans="1:9" x14ac:dyDescent="0.25">
      <c r="A1141" s="135">
        <v>42864</v>
      </c>
      <c r="B1141" s="136" t="s">
        <v>16615</v>
      </c>
      <c r="C1141" s="137">
        <v>111190</v>
      </c>
      <c r="D1141" s="136" t="s">
        <v>15555</v>
      </c>
      <c r="E1141" s="138">
        <v>3841.6</v>
      </c>
      <c r="F1141" s="139">
        <v>42872</v>
      </c>
      <c r="G1141" s="140">
        <v>3841.6</v>
      </c>
      <c r="H1141" s="138">
        <f t="shared" si="18"/>
        <v>0</v>
      </c>
      <c r="I1141" s="141" t="s">
        <v>15214</v>
      </c>
    </row>
    <row r="1142" spans="1:9" x14ac:dyDescent="0.25">
      <c r="A1142" s="135">
        <v>42864</v>
      </c>
      <c r="B1142" s="142" t="s">
        <v>16616</v>
      </c>
      <c r="C1142" s="143">
        <v>111191</v>
      </c>
      <c r="D1142" s="142" t="s">
        <v>15244</v>
      </c>
      <c r="E1142" s="144">
        <v>1805.6</v>
      </c>
      <c r="F1142" s="145">
        <v>42864</v>
      </c>
      <c r="G1142" s="146">
        <v>1805.6</v>
      </c>
      <c r="H1142" s="138">
        <f t="shared" si="18"/>
        <v>0</v>
      </c>
      <c r="I1142" s="147" t="s">
        <v>15214</v>
      </c>
    </row>
    <row r="1143" spans="1:9" x14ac:dyDescent="0.25">
      <c r="A1143" s="135">
        <v>42864</v>
      </c>
      <c r="B1143" s="136" t="s">
        <v>16617</v>
      </c>
      <c r="C1143" s="137">
        <v>111192</v>
      </c>
      <c r="D1143" s="136" t="s">
        <v>15315</v>
      </c>
      <c r="E1143" s="138">
        <v>5076.3999999999996</v>
      </c>
      <c r="F1143" s="139">
        <v>42864</v>
      </c>
      <c r="G1143" s="140">
        <v>5076.3999999999996</v>
      </c>
      <c r="H1143" s="138">
        <f t="shared" si="18"/>
        <v>0</v>
      </c>
      <c r="I1143" s="141" t="s">
        <v>15214</v>
      </c>
    </row>
    <row r="1144" spans="1:9" x14ac:dyDescent="0.25">
      <c r="A1144" s="135">
        <v>42864</v>
      </c>
      <c r="B1144" s="142" t="s">
        <v>16618</v>
      </c>
      <c r="C1144" s="143">
        <v>111193</v>
      </c>
      <c r="D1144" s="142" t="s">
        <v>15315</v>
      </c>
      <c r="E1144" s="144">
        <v>3794.6</v>
      </c>
      <c r="F1144" s="145">
        <v>42864</v>
      </c>
      <c r="G1144" s="146">
        <v>3794.6</v>
      </c>
      <c r="H1144" s="138">
        <f t="shared" si="18"/>
        <v>0</v>
      </c>
      <c r="I1144" s="147" t="s">
        <v>15214</v>
      </c>
    </row>
    <row r="1145" spans="1:9" x14ac:dyDescent="0.25">
      <c r="A1145" s="135">
        <v>42864</v>
      </c>
      <c r="B1145" s="136" t="s">
        <v>16619</v>
      </c>
      <c r="C1145" s="137">
        <v>111194</v>
      </c>
      <c r="D1145" s="136" t="s">
        <v>15315</v>
      </c>
      <c r="E1145" s="138">
        <v>5451.2</v>
      </c>
      <c r="F1145" s="139">
        <v>42865</v>
      </c>
      <c r="G1145" s="140">
        <v>5451.2</v>
      </c>
      <c r="H1145" s="138">
        <f t="shared" si="18"/>
        <v>0</v>
      </c>
      <c r="I1145" s="141" t="s">
        <v>15214</v>
      </c>
    </row>
    <row r="1146" spans="1:9" x14ac:dyDescent="0.25">
      <c r="A1146" s="135">
        <v>42864</v>
      </c>
      <c r="B1146" s="142" t="s">
        <v>16620</v>
      </c>
      <c r="C1146" s="143">
        <v>111195</v>
      </c>
      <c r="D1146" s="142" t="s">
        <v>15590</v>
      </c>
      <c r="E1146" s="144">
        <v>9235.2000000000007</v>
      </c>
      <c r="F1146" s="145">
        <v>42880</v>
      </c>
      <c r="G1146" s="146">
        <v>9235.2000000000007</v>
      </c>
      <c r="H1146" s="138">
        <f t="shared" si="18"/>
        <v>0</v>
      </c>
      <c r="I1146" s="147" t="s">
        <v>15214</v>
      </c>
    </row>
    <row r="1147" spans="1:9" ht="15.75" x14ac:dyDescent="0.25">
      <c r="A1147" s="135">
        <v>42864</v>
      </c>
      <c r="B1147" s="136" t="s">
        <v>16621</v>
      </c>
      <c r="C1147" s="137">
        <v>111196</v>
      </c>
      <c r="D1147" s="136" t="s">
        <v>15537</v>
      </c>
      <c r="E1147" s="138">
        <v>0</v>
      </c>
      <c r="F1147" s="153" t="s">
        <v>95</v>
      </c>
      <c r="G1147" s="138">
        <v>0</v>
      </c>
      <c r="H1147" s="138">
        <f t="shared" si="18"/>
        <v>0</v>
      </c>
      <c r="I1147" s="141" t="s">
        <v>95</v>
      </c>
    </row>
    <row r="1148" spans="1:9" x14ac:dyDescent="0.25">
      <c r="A1148" s="135">
        <v>42864</v>
      </c>
      <c r="B1148" s="142" t="s">
        <v>16622</v>
      </c>
      <c r="C1148" s="143">
        <v>111197</v>
      </c>
      <c r="D1148" s="142" t="s">
        <v>15376</v>
      </c>
      <c r="E1148" s="144">
        <v>7503.6</v>
      </c>
      <c r="F1148" s="145">
        <v>42866</v>
      </c>
      <c r="G1148" s="146">
        <v>7503.6</v>
      </c>
      <c r="H1148" s="138">
        <f t="shared" si="18"/>
        <v>0</v>
      </c>
      <c r="I1148" s="147" t="s">
        <v>15214</v>
      </c>
    </row>
    <row r="1149" spans="1:9" x14ac:dyDescent="0.25">
      <c r="A1149" s="135">
        <v>42864</v>
      </c>
      <c r="B1149" s="136" t="s">
        <v>16623</v>
      </c>
      <c r="C1149" s="137">
        <v>111198</v>
      </c>
      <c r="D1149" s="136" t="s">
        <v>15244</v>
      </c>
      <c r="E1149" s="138">
        <v>552</v>
      </c>
      <c r="F1149" s="139">
        <v>42864</v>
      </c>
      <c r="G1149" s="140">
        <v>552</v>
      </c>
      <c r="H1149" s="138">
        <f t="shared" si="18"/>
        <v>0</v>
      </c>
      <c r="I1149" s="141" t="s">
        <v>15214</v>
      </c>
    </row>
    <row r="1150" spans="1:9" x14ac:dyDescent="0.25">
      <c r="A1150" s="135">
        <v>42864</v>
      </c>
      <c r="B1150" s="142" t="s">
        <v>16624</v>
      </c>
      <c r="C1150" s="143">
        <v>111199</v>
      </c>
      <c r="D1150" s="142" t="s">
        <v>15537</v>
      </c>
      <c r="E1150" s="144">
        <v>20243</v>
      </c>
      <c r="F1150" s="145" t="s">
        <v>16625</v>
      </c>
      <c r="G1150" s="146">
        <f>20017+226</f>
        <v>20243</v>
      </c>
      <c r="H1150" s="138">
        <f t="shared" si="18"/>
        <v>0</v>
      </c>
      <c r="I1150" s="147" t="s">
        <v>15214</v>
      </c>
    </row>
    <row r="1151" spans="1:9" x14ac:dyDescent="0.25">
      <c r="A1151" s="135">
        <v>42864</v>
      </c>
      <c r="B1151" s="136" t="s">
        <v>16626</v>
      </c>
      <c r="C1151" s="137">
        <v>111200</v>
      </c>
      <c r="D1151" s="136" t="s">
        <v>15391</v>
      </c>
      <c r="E1151" s="138">
        <v>21082.6</v>
      </c>
      <c r="F1151" s="139">
        <v>42866</v>
      </c>
      <c r="G1151" s="140">
        <v>21082.6</v>
      </c>
      <c r="H1151" s="138">
        <f t="shared" si="18"/>
        <v>0</v>
      </c>
      <c r="I1151" s="141" t="s">
        <v>15214</v>
      </c>
    </row>
    <row r="1152" spans="1:9" x14ac:dyDescent="0.25">
      <c r="A1152" s="135">
        <v>42864</v>
      </c>
      <c r="B1152" s="142" t="s">
        <v>16627</v>
      </c>
      <c r="C1152" s="143">
        <v>111201</v>
      </c>
      <c r="D1152" s="142" t="s">
        <v>15626</v>
      </c>
      <c r="E1152" s="144">
        <v>6127.8</v>
      </c>
      <c r="F1152" s="145">
        <v>42871</v>
      </c>
      <c r="G1152" s="146">
        <v>6127.8</v>
      </c>
      <c r="H1152" s="138">
        <f t="shared" si="18"/>
        <v>0</v>
      </c>
      <c r="I1152" s="147" t="s">
        <v>15214</v>
      </c>
    </row>
    <row r="1153" spans="1:9" x14ac:dyDescent="0.25">
      <c r="A1153" s="135">
        <v>42864</v>
      </c>
      <c r="B1153" s="136" t="s">
        <v>16628</v>
      </c>
      <c r="C1153" s="137">
        <v>111202</v>
      </c>
      <c r="D1153" s="136" t="s">
        <v>15581</v>
      </c>
      <c r="E1153" s="138">
        <v>16677.2</v>
      </c>
      <c r="F1153" s="139">
        <v>42868</v>
      </c>
      <c r="G1153" s="140">
        <v>16677.2</v>
      </c>
      <c r="H1153" s="138">
        <f t="shared" si="18"/>
        <v>0</v>
      </c>
      <c r="I1153" s="141" t="s">
        <v>15214</v>
      </c>
    </row>
    <row r="1154" spans="1:9" ht="15.75" x14ac:dyDescent="0.25">
      <c r="A1154" s="135">
        <v>42864</v>
      </c>
      <c r="B1154" s="142" t="s">
        <v>16629</v>
      </c>
      <c r="C1154" s="143">
        <v>111203</v>
      </c>
      <c r="D1154" s="142" t="s">
        <v>15265</v>
      </c>
      <c r="E1154" s="144">
        <v>0</v>
      </c>
      <c r="F1154" s="156" t="s">
        <v>95</v>
      </c>
      <c r="G1154" s="144">
        <v>0</v>
      </c>
      <c r="H1154" s="138">
        <f t="shared" si="18"/>
        <v>0</v>
      </c>
      <c r="I1154" s="147" t="s">
        <v>95</v>
      </c>
    </row>
    <row r="1155" spans="1:9" x14ac:dyDescent="0.25">
      <c r="A1155" s="135">
        <v>42864</v>
      </c>
      <c r="B1155" s="136" t="s">
        <v>16630</v>
      </c>
      <c r="C1155" s="137">
        <v>111204</v>
      </c>
      <c r="D1155" s="136" t="s">
        <v>15265</v>
      </c>
      <c r="E1155" s="138">
        <v>2852.9</v>
      </c>
      <c r="F1155" s="139">
        <v>42869</v>
      </c>
      <c r="G1155" s="140">
        <v>2852.9</v>
      </c>
      <c r="H1155" s="138">
        <f t="shared" si="18"/>
        <v>0</v>
      </c>
      <c r="I1155" s="141" t="s">
        <v>15214</v>
      </c>
    </row>
    <row r="1156" spans="1:9" x14ac:dyDescent="0.25">
      <c r="A1156" s="135">
        <v>42864</v>
      </c>
      <c r="B1156" s="142" t="s">
        <v>16631</v>
      </c>
      <c r="C1156" s="143">
        <v>111205</v>
      </c>
      <c r="D1156" s="142" t="s">
        <v>15228</v>
      </c>
      <c r="E1156" s="144">
        <v>3996</v>
      </c>
      <c r="F1156" s="145">
        <v>42864</v>
      </c>
      <c r="G1156" s="146">
        <v>3996</v>
      </c>
      <c r="H1156" s="138">
        <f t="shared" ref="H1156:H1219" si="19">E1156-G1156</f>
        <v>0</v>
      </c>
      <c r="I1156" s="147" t="s">
        <v>15214</v>
      </c>
    </row>
    <row r="1157" spans="1:9" x14ac:dyDescent="0.25">
      <c r="A1157" s="135">
        <v>42864</v>
      </c>
      <c r="B1157" s="136" t="s">
        <v>16632</v>
      </c>
      <c r="C1157" s="137">
        <v>111206</v>
      </c>
      <c r="D1157" s="136" t="s">
        <v>15398</v>
      </c>
      <c r="E1157" s="138">
        <v>324</v>
      </c>
      <c r="F1157" s="139">
        <v>42864</v>
      </c>
      <c r="G1157" s="140">
        <v>324</v>
      </c>
      <c r="H1157" s="138">
        <f t="shared" si="19"/>
        <v>0</v>
      </c>
      <c r="I1157" s="141" t="s">
        <v>15214</v>
      </c>
    </row>
    <row r="1158" spans="1:9" x14ac:dyDescent="0.25">
      <c r="A1158" s="135">
        <v>42864</v>
      </c>
      <c r="B1158" s="142" t="s">
        <v>16633</v>
      </c>
      <c r="C1158" s="143">
        <v>111207</v>
      </c>
      <c r="D1158" s="142" t="s">
        <v>15338</v>
      </c>
      <c r="E1158" s="144">
        <v>8353.6</v>
      </c>
      <c r="F1158" s="145">
        <v>42868</v>
      </c>
      <c r="G1158" s="146">
        <v>8353.6</v>
      </c>
      <c r="H1158" s="138">
        <f t="shared" si="19"/>
        <v>0</v>
      </c>
      <c r="I1158" s="147" t="s">
        <v>15214</v>
      </c>
    </row>
    <row r="1159" spans="1:9" x14ac:dyDescent="0.25">
      <c r="A1159" s="135">
        <v>42864</v>
      </c>
      <c r="B1159" s="136" t="s">
        <v>16634</v>
      </c>
      <c r="C1159" s="137">
        <v>111208</v>
      </c>
      <c r="D1159" s="136" t="s">
        <v>15315</v>
      </c>
      <c r="E1159" s="138">
        <v>1372.8</v>
      </c>
      <c r="F1159" s="139">
        <v>42864</v>
      </c>
      <c r="G1159" s="140">
        <v>1372.8</v>
      </c>
      <c r="H1159" s="138">
        <f t="shared" si="19"/>
        <v>0</v>
      </c>
      <c r="I1159" s="141" t="s">
        <v>15214</v>
      </c>
    </row>
    <row r="1160" spans="1:9" ht="15.75" x14ac:dyDescent="0.25">
      <c r="A1160" s="135">
        <v>42864</v>
      </c>
      <c r="B1160" s="142" t="s">
        <v>16635</v>
      </c>
      <c r="C1160" s="143">
        <v>111209</v>
      </c>
      <c r="D1160" s="142" t="s">
        <v>16522</v>
      </c>
      <c r="E1160" s="144">
        <v>0</v>
      </c>
      <c r="F1160" s="156" t="s">
        <v>95</v>
      </c>
      <c r="G1160" s="144">
        <v>0</v>
      </c>
      <c r="H1160" s="138">
        <f t="shared" si="19"/>
        <v>0</v>
      </c>
      <c r="I1160" s="147" t="s">
        <v>95</v>
      </c>
    </row>
    <row r="1161" spans="1:9" x14ac:dyDescent="0.25">
      <c r="A1161" s="135">
        <v>42864</v>
      </c>
      <c r="B1161" s="136" t="s">
        <v>16636</v>
      </c>
      <c r="C1161" s="137">
        <v>111210</v>
      </c>
      <c r="D1161" s="136" t="s">
        <v>15315</v>
      </c>
      <c r="E1161" s="138">
        <v>5525.5</v>
      </c>
      <c r="F1161" s="139">
        <v>42864</v>
      </c>
      <c r="G1161" s="140">
        <v>5525.5</v>
      </c>
      <c r="H1161" s="138">
        <f t="shared" si="19"/>
        <v>0</v>
      </c>
      <c r="I1161" s="141" t="s">
        <v>15214</v>
      </c>
    </row>
    <row r="1162" spans="1:9" x14ac:dyDescent="0.25">
      <c r="A1162" s="135">
        <v>42864</v>
      </c>
      <c r="B1162" s="142" t="s">
        <v>16637</v>
      </c>
      <c r="C1162" s="143">
        <v>111211</v>
      </c>
      <c r="D1162" s="142" t="s">
        <v>16522</v>
      </c>
      <c r="E1162" s="144">
        <v>14851.2</v>
      </c>
      <c r="F1162" s="148">
        <v>42893</v>
      </c>
      <c r="G1162" s="149">
        <v>14851.2</v>
      </c>
      <c r="H1162" s="138">
        <f t="shared" si="19"/>
        <v>0</v>
      </c>
      <c r="I1162" s="147" t="s">
        <v>15214</v>
      </c>
    </row>
    <row r="1163" spans="1:9" x14ac:dyDescent="0.25">
      <c r="A1163" s="135">
        <v>42864</v>
      </c>
      <c r="B1163" s="136" t="s">
        <v>16638</v>
      </c>
      <c r="C1163" s="137">
        <v>111212</v>
      </c>
      <c r="D1163" s="136" t="s">
        <v>15421</v>
      </c>
      <c r="E1163" s="138">
        <v>2923</v>
      </c>
      <c r="F1163" s="139">
        <v>42864</v>
      </c>
      <c r="G1163" s="140">
        <v>2923</v>
      </c>
      <c r="H1163" s="138">
        <f t="shared" si="19"/>
        <v>0</v>
      </c>
      <c r="I1163" s="141" t="s">
        <v>15214</v>
      </c>
    </row>
    <row r="1164" spans="1:9" x14ac:dyDescent="0.25">
      <c r="A1164" s="135">
        <v>42864</v>
      </c>
      <c r="B1164" s="142" t="s">
        <v>16639</v>
      </c>
      <c r="C1164" s="143">
        <v>111213</v>
      </c>
      <c r="D1164" s="142" t="s">
        <v>15655</v>
      </c>
      <c r="E1164" s="144">
        <v>6699</v>
      </c>
      <c r="F1164" s="145">
        <v>42864</v>
      </c>
      <c r="G1164" s="146">
        <v>6699</v>
      </c>
      <c r="H1164" s="138">
        <f t="shared" si="19"/>
        <v>0</v>
      </c>
      <c r="I1164" s="147" t="s">
        <v>15214</v>
      </c>
    </row>
    <row r="1165" spans="1:9" x14ac:dyDescent="0.25">
      <c r="A1165" s="135">
        <v>42864</v>
      </c>
      <c r="B1165" s="136" t="s">
        <v>16640</v>
      </c>
      <c r="C1165" s="137">
        <v>111214</v>
      </c>
      <c r="D1165" s="136" t="s">
        <v>15696</v>
      </c>
      <c r="E1165" s="138">
        <v>8028.15</v>
      </c>
      <c r="F1165" s="139">
        <v>42864</v>
      </c>
      <c r="G1165" s="140">
        <v>8028.15</v>
      </c>
      <c r="H1165" s="138">
        <f t="shared" si="19"/>
        <v>0</v>
      </c>
      <c r="I1165" s="141" t="s">
        <v>15214</v>
      </c>
    </row>
    <row r="1166" spans="1:9" x14ac:dyDescent="0.25">
      <c r="A1166" s="135">
        <v>42864</v>
      </c>
      <c r="B1166" s="142" t="s">
        <v>16641</v>
      </c>
      <c r="C1166" s="143">
        <v>111215</v>
      </c>
      <c r="D1166" s="142" t="s">
        <v>15665</v>
      </c>
      <c r="E1166" s="144">
        <v>198.4</v>
      </c>
      <c r="F1166" s="145">
        <v>42864</v>
      </c>
      <c r="G1166" s="146">
        <v>198.4</v>
      </c>
      <c r="H1166" s="138">
        <f t="shared" si="19"/>
        <v>0</v>
      </c>
      <c r="I1166" s="147" t="s">
        <v>15214</v>
      </c>
    </row>
    <row r="1167" spans="1:9" x14ac:dyDescent="0.25">
      <c r="A1167" s="135">
        <v>42864</v>
      </c>
      <c r="B1167" s="136" t="s">
        <v>16642</v>
      </c>
      <c r="C1167" s="137">
        <v>111216</v>
      </c>
      <c r="D1167" s="136" t="s">
        <v>15223</v>
      </c>
      <c r="E1167" s="138">
        <v>37303.199999999997</v>
      </c>
      <c r="F1167" s="139">
        <v>42874</v>
      </c>
      <c r="G1167" s="140">
        <v>37303.199999999997</v>
      </c>
      <c r="H1167" s="138">
        <f t="shared" si="19"/>
        <v>0</v>
      </c>
      <c r="I1167" s="141" t="s">
        <v>15214</v>
      </c>
    </row>
    <row r="1168" spans="1:9" x14ac:dyDescent="0.25">
      <c r="A1168" s="135">
        <v>42864</v>
      </c>
      <c r="B1168" s="142" t="s">
        <v>16643</v>
      </c>
      <c r="C1168" s="143">
        <v>111217</v>
      </c>
      <c r="D1168" s="142" t="s">
        <v>15396</v>
      </c>
      <c r="E1168" s="144">
        <v>4385.3999999999996</v>
      </c>
      <c r="F1168" s="145">
        <v>42864</v>
      </c>
      <c r="G1168" s="146">
        <v>4385.3999999999996</v>
      </c>
      <c r="H1168" s="138">
        <f t="shared" si="19"/>
        <v>0</v>
      </c>
      <c r="I1168" s="147" t="s">
        <v>15214</v>
      </c>
    </row>
    <row r="1169" spans="1:9" x14ac:dyDescent="0.25">
      <c r="A1169" s="135">
        <v>42864</v>
      </c>
      <c r="B1169" s="136" t="s">
        <v>16644</v>
      </c>
      <c r="C1169" s="137">
        <v>111218</v>
      </c>
      <c r="D1169" s="136" t="s">
        <v>15223</v>
      </c>
      <c r="E1169" s="138">
        <v>711.2</v>
      </c>
      <c r="F1169" s="139">
        <v>42864</v>
      </c>
      <c r="G1169" s="140">
        <v>711.2</v>
      </c>
      <c r="H1169" s="138">
        <f t="shared" si="19"/>
        <v>0</v>
      </c>
      <c r="I1169" s="141" t="s">
        <v>15214</v>
      </c>
    </row>
    <row r="1170" spans="1:9" x14ac:dyDescent="0.25">
      <c r="A1170" s="135">
        <v>42864</v>
      </c>
      <c r="B1170" s="142" t="s">
        <v>16645</v>
      </c>
      <c r="C1170" s="143">
        <v>111219</v>
      </c>
      <c r="D1170" s="142" t="s">
        <v>16646</v>
      </c>
      <c r="E1170" s="144">
        <v>210.8</v>
      </c>
      <c r="F1170" s="145">
        <v>42864</v>
      </c>
      <c r="G1170" s="146">
        <v>210.8</v>
      </c>
      <c r="H1170" s="138">
        <f t="shared" si="19"/>
        <v>0</v>
      </c>
      <c r="I1170" s="147" t="s">
        <v>15214</v>
      </c>
    </row>
    <row r="1171" spans="1:9" x14ac:dyDescent="0.25">
      <c r="A1171" s="135">
        <v>42864</v>
      </c>
      <c r="B1171" s="136" t="s">
        <v>16647</v>
      </c>
      <c r="C1171" s="137">
        <v>111220</v>
      </c>
      <c r="D1171" s="136" t="s">
        <v>16286</v>
      </c>
      <c r="E1171" s="138">
        <v>4922</v>
      </c>
      <c r="F1171" s="139">
        <v>42864</v>
      </c>
      <c r="G1171" s="140">
        <v>4922</v>
      </c>
      <c r="H1171" s="138">
        <f t="shared" si="19"/>
        <v>0</v>
      </c>
      <c r="I1171" s="141" t="s">
        <v>15214</v>
      </c>
    </row>
    <row r="1172" spans="1:9" x14ac:dyDescent="0.25">
      <c r="A1172" s="135">
        <v>42864</v>
      </c>
      <c r="B1172" s="142" t="s">
        <v>16648</v>
      </c>
      <c r="C1172" s="143">
        <v>111221</v>
      </c>
      <c r="D1172" s="142" t="s">
        <v>5880</v>
      </c>
      <c r="E1172" s="144">
        <v>16723.2</v>
      </c>
      <c r="F1172" s="145">
        <v>42870</v>
      </c>
      <c r="G1172" s="146">
        <v>16723.2</v>
      </c>
      <c r="H1172" s="138">
        <f t="shared" si="19"/>
        <v>0</v>
      </c>
      <c r="I1172" s="147" t="s">
        <v>15214</v>
      </c>
    </row>
    <row r="1173" spans="1:9" x14ac:dyDescent="0.25">
      <c r="A1173" s="135">
        <v>42864</v>
      </c>
      <c r="B1173" s="136" t="s">
        <v>16649</v>
      </c>
      <c r="C1173" s="137">
        <v>111222</v>
      </c>
      <c r="D1173" s="136" t="s">
        <v>16093</v>
      </c>
      <c r="E1173" s="138">
        <v>2619</v>
      </c>
      <c r="F1173" s="139">
        <v>42864</v>
      </c>
      <c r="G1173" s="140">
        <v>2619</v>
      </c>
      <c r="H1173" s="138">
        <f t="shared" si="19"/>
        <v>0</v>
      </c>
      <c r="I1173" s="141" t="s">
        <v>15214</v>
      </c>
    </row>
    <row r="1174" spans="1:9" x14ac:dyDescent="0.25">
      <c r="A1174" s="135">
        <v>42864</v>
      </c>
      <c r="B1174" s="142" t="s">
        <v>16650</v>
      </c>
      <c r="C1174" s="143">
        <v>111223</v>
      </c>
      <c r="D1174" s="142" t="s">
        <v>15226</v>
      </c>
      <c r="E1174" s="144">
        <v>1071</v>
      </c>
      <c r="F1174" s="148" t="s">
        <v>19645</v>
      </c>
      <c r="G1174" s="149">
        <f>367.5+703.5</f>
        <v>1071</v>
      </c>
      <c r="H1174" s="138">
        <f t="shared" si="19"/>
        <v>0</v>
      </c>
      <c r="I1174" s="147" t="s">
        <v>15214</v>
      </c>
    </row>
    <row r="1175" spans="1:9" x14ac:dyDescent="0.25">
      <c r="A1175" s="135">
        <v>42864</v>
      </c>
      <c r="B1175" s="136" t="s">
        <v>16651</v>
      </c>
      <c r="C1175" s="137">
        <v>111224</v>
      </c>
      <c r="D1175" s="136" t="s">
        <v>15365</v>
      </c>
      <c r="E1175" s="138">
        <v>242560</v>
      </c>
      <c r="F1175" s="139">
        <v>42868</v>
      </c>
      <c r="G1175" s="140">
        <v>242560</v>
      </c>
      <c r="H1175" s="138">
        <f t="shared" si="19"/>
        <v>0</v>
      </c>
      <c r="I1175" s="141" t="s">
        <v>15214</v>
      </c>
    </row>
    <row r="1176" spans="1:9" x14ac:dyDescent="0.25">
      <c r="A1176" s="135">
        <v>42864</v>
      </c>
      <c r="B1176" s="142" t="s">
        <v>16652</v>
      </c>
      <c r="C1176" s="143">
        <v>111225</v>
      </c>
      <c r="D1176" s="142" t="s">
        <v>15365</v>
      </c>
      <c r="E1176" s="144">
        <v>381892</v>
      </c>
      <c r="F1176" s="145">
        <v>42868</v>
      </c>
      <c r="G1176" s="146">
        <v>381892</v>
      </c>
      <c r="H1176" s="138">
        <f t="shared" si="19"/>
        <v>0</v>
      </c>
      <c r="I1176" s="147" t="s">
        <v>15214</v>
      </c>
    </row>
    <row r="1177" spans="1:9" x14ac:dyDescent="0.25">
      <c r="A1177" s="135">
        <v>42864</v>
      </c>
      <c r="B1177" s="136" t="s">
        <v>16653</v>
      </c>
      <c r="C1177" s="137">
        <v>111226</v>
      </c>
      <c r="D1177" s="136" t="s">
        <v>15315</v>
      </c>
      <c r="E1177" s="138">
        <v>687.6</v>
      </c>
      <c r="F1177" s="139">
        <v>42864</v>
      </c>
      <c r="G1177" s="140">
        <v>687.6</v>
      </c>
      <c r="H1177" s="138">
        <f t="shared" si="19"/>
        <v>0</v>
      </c>
      <c r="I1177" s="141" t="s">
        <v>15214</v>
      </c>
    </row>
    <row r="1178" spans="1:9" x14ac:dyDescent="0.25">
      <c r="A1178" s="135">
        <v>42864</v>
      </c>
      <c r="B1178" s="142" t="s">
        <v>16654</v>
      </c>
      <c r="C1178" s="143">
        <v>111227</v>
      </c>
      <c r="D1178" s="142" t="s">
        <v>15284</v>
      </c>
      <c r="E1178" s="144">
        <v>1460.2</v>
      </c>
      <c r="F1178" s="145">
        <v>42864</v>
      </c>
      <c r="G1178" s="146">
        <v>1460.2</v>
      </c>
      <c r="H1178" s="138">
        <f t="shared" si="19"/>
        <v>0</v>
      </c>
      <c r="I1178" s="147" t="s">
        <v>15214</v>
      </c>
    </row>
    <row r="1179" spans="1:9" x14ac:dyDescent="0.25">
      <c r="A1179" s="135">
        <v>42864</v>
      </c>
      <c r="B1179" s="136" t="s">
        <v>16655</v>
      </c>
      <c r="C1179" s="137">
        <v>111228</v>
      </c>
      <c r="D1179" s="136" t="s">
        <v>15330</v>
      </c>
      <c r="E1179" s="138">
        <v>1665.4</v>
      </c>
      <c r="F1179" s="139">
        <v>42868</v>
      </c>
      <c r="G1179" s="140">
        <v>1665.4</v>
      </c>
      <c r="H1179" s="138">
        <f t="shared" si="19"/>
        <v>0</v>
      </c>
      <c r="I1179" s="141" t="s">
        <v>15214</v>
      </c>
    </row>
    <row r="1180" spans="1:9" x14ac:dyDescent="0.25">
      <c r="A1180" s="135">
        <v>42864</v>
      </c>
      <c r="B1180" s="142" t="s">
        <v>16656</v>
      </c>
      <c r="C1180" s="143">
        <v>111229</v>
      </c>
      <c r="D1180" s="142" t="s">
        <v>15423</v>
      </c>
      <c r="E1180" s="144">
        <v>3134.8</v>
      </c>
      <c r="F1180" s="145">
        <v>42864</v>
      </c>
      <c r="G1180" s="146">
        <v>3134.8</v>
      </c>
      <c r="H1180" s="138">
        <f t="shared" si="19"/>
        <v>0</v>
      </c>
      <c r="I1180" s="147" t="s">
        <v>15214</v>
      </c>
    </row>
    <row r="1181" spans="1:9" x14ac:dyDescent="0.25">
      <c r="A1181" s="135">
        <v>42864</v>
      </c>
      <c r="B1181" s="136" t="s">
        <v>16657</v>
      </c>
      <c r="C1181" s="137">
        <v>111230</v>
      </c>
      <c r="D1181" s="136" t="s">
        <v>15541</v>
      </c>
      <c r="E1181" s="138">
        <v>1444.8</v>
      </c>
      <c r="F1181" s="139">
        <v>42865</v>
      </c>
      <c r="G1181" s="140">
        <v>1444.8</v>
      </c>
      <c r="H1181" s="138">
        <f t="shared" si="19"/>
        <v>0</v>
      </c>
      <c r="I1181" s="141" t="s">
        <v>15214</v>
      </c>
    </row>
    <row r="1182" spans="1:9" x14ac:dyDescent="0.25">
      <c r="A1182" s="135">
        <v>42864</v>
      </c>
      <c r="B1182" s="142" t="s">
        <v>16658</v>
      </c>
      <c r="C1182" s="143">
        <v>111231</v>
      </c>
      <c r="D1182" s="142" t="s">
        <v>15276</v>
      </c>
      <c r="E1182" s="144">
        <v>5760</v>
      </c>
      <c r="F1182" s="145">
        <v>42866</v>
      </c>
      <c r="G1182" s="146">
        <v>5760</v>
      </c>
      <c r="H1182" s="138">
        <f t="shared" si="19"/>
        <v>0</v>
      </c>
      <c r="I1182" s="147" t="s">
        <v>15214</v>
      </c>
    </row>
    <row r="1183" spans="1:9" x14ac:dyDescent="0.25">
      <c r="A1183" s="135">
        <v>42864</v>
      </c>
      <c r="B1183" s="136" t="s">
        <v>16659</v>
      </c>
      <c r="C1183" s="137">
        <v>111232</v>
      </c>
      <c r="D1183" s="136" t="s">
        <v>16297</v>
      </c>
      <c r="E1183" s="138">
        <v>11896.78</v>
      </c>
      <c r="F1183" s="139">
        <v>42866</v>
      </c>
      <c r="G1183" s="140">
        <v>11896.78</v>
      </c>
      <c r="H1183" s="138">
        <f t="shared" si="19"/>
        <v>0</v>
      </c>
      <c r="I1183" s="141" t="s">
        <v>15214</v>
      </c>
    </row>
    <row r="1184" spans="1:9" x14ac:dyDescent="0.25">
      <c r="A1184" s="135">
        <v>42864</v>
      </c>
      <c r="B1184" s="142" t="s">
        <v>16660</v>
      </c>
      <c r="C1184" s="143">
        <v>111233</v>
      </c>
      <c r="D1184" s="142" t="s">
        <v>16661</v>
      </c>
      <c r="E1184" s="144">
        <v>1934.4</v>
      </c>
      <c r="F1184" s="145">
        <v>42864</v>
      </c>
      <c r="G1184" s="146">
        <v>1934.4</v>
      </c>
      <c r="H1184" s="138">
        <f t="shared" si="19"/>
        <v>0</v>
      </c>
      <c r="I1184" s="147" t="s">
        <v>15214</v>
      </c>
    </row>
    <row r="1185" spans="1:9" x14ac:dyDescent="0.25">
      <c r="A1185" s="135">
        <v>42864</v>
      </c>
      <c r="B1185" s="136" t="s">
        <v>16662</v>
      </c>
      <c r="C1185" s="137">
        <v>111234</v>
      </c>
      <c r="D1185" s="136" t="s">
        <v>15246</v>
      </c>
      <c r="E1185" s="138">
        <v>157385.66</v>
      </c>
      <c r="F1185" s="139">
        <v>42867</v>
      </c>
      <c r="G1185" s="140">
        <v>157385.66</v>
      </c>
      <c r="H1185" s="138">
        <f t="shared" si="19"/>
        <v>0</v>
      </c>
      <c r="I1185" s="141" t="s">
        <v>15214</v>
      </c>
    </row>
    <row r="1186" spans="1:9" x14ac:dyDescent="0.25">
      <c r="A1186" s="135">
        <v>42864</v>
      </c>
      <c r="B1186" s="142" t="s">
        <v>16663</v>
      </c>
      <c r="C1186" s="143">
        <v>111235</v>
      </c>
      <c r="D1186" s="142" t="s">
        <v>15782</v>
      </c>
      <c r="E1186" s="144">
        <v>1628.4</v>
      </c>
      <c r="F1186" s="145">
        <v>42866</v>
      </c>
      <c r="G1186" s="146">
        <v>1628.4</v>
      </c>
      <c r="H1186" s="138">
        <f t="shared" si="19"/>
        <v>0</v>
      </c>
      <c r="I1186" s="147" t="s">
        <v>15214</v>
      </c>
    </row>
    <row r="1187" spans="1:9" x14ac:dyDescent="0.25">
      <c r="A1187" s="135">
        <v>42864</v>
      </c>
      <c r="B1187" s="136" t="s">
        <v>16664</v>
      </c>
      <c r="C1187" s="137">
        <v>111236</v>
      </c>
      <c r="D1187" s="136" t="s">
        <v>15417</v>
      </c>
      <c r="E1187" s="138">
        <v>1983.4</v>
      </c>
      <c r="F1187" s="139">
        <v>42866</v>
      </c>
      <c r="G1187" s="140">
        <v>1983.4</v>
      </c>
      <c r="H1187" s="138">
        <f t="shared" si="19"/>
        <v>0</v>
      </c>
      <c r="I1187" s="141" t="s">
        <v>15214</v>
      </c>
    </row>
    <row r="1188" spans="1:9" x14ac:dyDescent="0.25">
      <c r="A1188" s="135">
        <v>42864</v>
      </c>
      <c r="B1188" s="142" t="s">
        <v>16665</v>
      </c>
      <c r="C1188" s="143">
        <v>111237</v>
      </c>
      <c r="D1188" s="142" t="s">
        <v>15315</v>
      </c>
      <c r="E1188" s="144">
        <v>789.6</v>
      </c>
      <c r="F1188" s="145">
        <v>42866</v>
      </c>
      <c r="G1188" s="146">
        <v>789.6</v>
      </c>
      <c r="H1188" s="138">
        <f t="shared" si="19"/>
        <v>0</v>
      </c>
      <c r="I1188" s="147" t="s">
        <v>15214</v>
      </c>
    </row>
    <row r="1189" spans="1:9" x14ac:dyDescent="0.25">
      <c r="A1189" s="135">
        <v>42864</v>
      </c>
      <c r="B1189" s="136" t="s">
        <v>16666</v>
      </c>
      <c r="C1189" s="137">
        <v>111238</v>
      </c>
      <c r="D1189" s="136" t="s">
        <v>15246</v>
      </c>
      <c r="E1189" s="138">
        <v>133947.72</v>
      </c>
      <c r="F1189" s="139">
        <v>42867</v>
      </c>
      <c r="G1189" s="140">
        <v>133947.72</v>
      </c>
      <c r="H1189" s="138">
        <f t="shared" si="19"/>
        <v>0</v>
      </c>
      <c r="I1189" s="141" t="s">
        <v>15214</v>
      </c>
    </row>
    <row r="1190" spans="1:9" x14ac:dyDescent="0.25">
      <c r="A1190" s="135">
        <v>42864</v>
      </c>
      <c r="B1190" s="142" t="s">
        <v>16667</v>
      </c>
      <c r="C1190" s="143">
        <v>111239</v>
      </c>
      <c r="D1190" s="142" t="s">
        <v>15920</v>
      </c>
      <c r="E1190" s="144">
        <v>13918</v>
      </c>
      <c r="F1190" s="145">
        <v>42872</v>
      </c>
      <c r="G1190" s="146">
        <v>13918</v>
      </c>
      <c r="H1190" s="138">
        <f t="shared" si="19"/>
        <v>0</v>
      </c>
      <c r="I1190" s="147" t="s">
        <v>15214</v>
      </c>
    </row>
    <row r="1191" spans="1:9" x14ac:dyDescent="0.25">
      <c r="A1191" s="135">
        <v>42864</v>
      </c>
      <c r="B1191" s="136" t="s">
        <v>16668</v>
      </c>
      <c r="C1191" s="137">
        <v>111240</v>
      </c>
      <c r="D1191" s="136" t="s">
        <v>15298</v>
      </c>
      <c r="E1191" s="138">
        <v>598.5</v>
      </c>
      <c r="F1191" s="139">
        <v>42864</v>
      </c>
      <c r="G1191" s="140">
        <v>598.5</v>
      </c>
      <c r="H1191" s="138">
        <f t="shared" si="19"/>
        <v>0</v>
      </c>
      <c r="I1191" s="141" t="s">
        <v>15214</v>
      </c>
    </row>
    <row r="1192" spans="1:9" x14ac:dyDescent="0.25">
      <c r="A1192" s="135">
        <v>42864</v>
      </c>
      <c r="B1192" s="142" t="s">
        <v>16669</v>
      </c>
      <c r="C1192" s="143">
        <v>111241</v>
      </c>
      <c r="D1192" s="142" t="s">
        <v>15444</v>
      </c>
      <c r="E1192" s="144">
        <v>2336.8000000000002</v>
      </c>
      <c r="F1192" s="145">
        <v>42865</v>
      </c>
      <c r="G1192" s="146">
        <v>2336.8000000000002</v>
      </c>
      <c r="H1192" s="138">
        <f t="shared" si="19"/>
        <v>0</v>
      </c>
      <c r="I1192" s="147" t="s">
        <v>15214</v>
      </c>
    </row>
    <row r="1193" spans="1:9" x14ac:dyDescent="0.25">
      <c r="A1193" s="135">
        <v>42864</v>
      </c>
      <c r="B1193" s="136" t="s">
        <v>16670</v>
      </c>
      <c r="C1193" s="137">
        <v>111242</v>
      </c>
      <c r="D1193" s="136" t="s">
        <v>15614</v>
      </c>
      <c r="E1193" s="138">
        <v>6989</v>
      </c>
      <c r="F1193" s="139">
        <v>42868</v>
      </c>
      <c r="G1193" s="140">
        <v>6989</v>
      </c>
      <c r="H1193" s="138">
        <f t="shared" si="19"/>
        <v>0</v>
      </c>
      <c r="I1193" s="141" t="s">
        <v>15214</v>
      </c>
    </row>
    <row r="1194" spans="1:9" ht="15.75" x14ac:dyDescent="0.25">
      <c r="A1194" s="135">
        <v>42864</v>
      </c>
      <c r="B1194" s="142" t="s">
        <v>16671</v>
      </c>
      <c r="C1194" s="143">
        <v>111243</v>
      </c>
      <c r="D1194" s="142" t="s">
        <v>15442</v>
      </c>
      <c r="E1194" s="144">
        <v>0</v>
      </c>
      <c r="F1194" s="156" t="s">
        <v>95</v>
      </c>
      <c r="G1194" s="144">
        <v>0</v>
      </c>
      <c r="H1194" s="138">
        <f t="shared" si="19"/>
        <v>0</v>
      </c>
      <c r="I1194" s="147" t="s">
        <v>95</v>
      </c>
    </row>
    <row r="1195" spans="1:9" x14ac:dyDescent="0.25">
      <c r="A1195" s="135">
        <v>42864</v>
      </c>
      <c r="B1195" s="136" t="s">
        <v>16672</v>
      </c>
      <c r="C1195" s="137">
        <v>111244</v>
      </c>
      <c r="D1195" s="136" t="s">
        <v>15442</v>
      </c>
      <c r="E1195" s="138">
        <v>2301.1999999999998</v>
      </c>
      <c r="F1195" s="139">
        <v>42864</v>
      </c>
      <c r="G1195" s="140">
        <v>2301.1999999999998</v>
      </c>
      <c r="H1195" s="138">
        <f t="shared" si="19"/>
        <v>0</v>
      </c>
      <c r="I1195" s="141" t="s">
        <v>15214</v>
      </c>
    </row>
    <row r="1196" spans="1:9" x14ac:dyDescent="0.25">
      <c r="A1196" s="135">
        <v>42864</v>
      </c>
      <c r="B1196" s="142" t="s">
        <v>16673</v>
      </c>
      <c r="C1196" s="143">
        <v>111245</v>
      </c>
      <c r="D1196" s="142" t="s">
        <v>5873</v>
      </c>
      <c r="E1196" s="144">
        <v>31869.360000000001</v>
      </c>
      <c r="F1196" s="145">
        <v>42865</v>
      </c>
      <c r="G1196" s="146">
        <v>31869.360000000001</v>
      </c>
      <c r="H1196" s="138">
        <f t="shared" si="19"/>
        <v>0</v>
      </c>
      <c r="I1196" s="147" t="s">
        <v>15214</v>
      </c>
    </row>
    <row r="1197" spans="1:9" x14ac:dyDescent="0.25">
      <c r="A1197" s="135">
        <v>42864</v>
      </c>
      <c r="B1197" s="136" t="s">
        <v>16674</v>
      </c>
      <c r="C1197" s="137">
        <v>111246</v>
      </c>
      <c r="D1197" s="136" t="s">
        <v>15442</v>
      </c>
      <c r="E1197" s="138">
        <v>648</v>
      </c>
      <c r="F1197" s="139">
        <v>42864</v>
      </c>
      <c r="G1197" s="140">
        <v>648</v>
      </c>
      <c r="H1197" s="138">
        <f t="shared" si="19"/>
        <v>0</v>
      </c>
      <c r="I1197" s="141" t="s">
        <v>15214</v>
      </c>
    </row>
    <row r="1198" spans="1:9" x14ac:dyDescent="0.25">
      <c r="A1198" s="135">
        <v>42864</v>
      </c>
      <c r="B1198" s="142" t="s">
        <v>16675</v>
      </c>
      <c r="C1198" s="143">
        <v>111247</v>
      </c>
      <c r="D1198" s="142" t="s">
        <v>15307</v>
      </c>
      <c r="E1198" s="144">
        <v>2112.8000000000002</v>
      </c>
      <c r="F1198" s="145">
        <v>42865</v>
      </c>
      <c r="G1198" s="146">
        <v>2112.8000000000002</v>
      </c>
      <c r="H1198" s="138">
        <f t="shared" si="19"/>
        <v>0</v>
      </c>
      <c r="I1198" s="147" t="s">
        <v>15214</v>
      </c>
    </row>
    <row r="1199" spans="1:9" x14ac:dyDescent="0.25">
      <c r="A1199" s="135">
        <v>42864</v>
      </c>
      <c r="B1199" s="136" t="s">
        <v>16676</v>
      </c>
      <c r="C1199" s="137">
        <v>111248</v>
      </c>
      <c r="D1199" s="136" t="s">
        <v>15592</v>
      </c>
      <c r="E1199" s="138">
        <v>10396.4</v>
      </c>
      <c r="F1199" s="139">
        <v>42866</v>
      </c>
      <c r="G1199" s="140">
        <v>10396.4</v>
      </c>
      <c r="H1199" s="138">
        <f t="shared" si="19"/>
        <v>0</v>
      </c>
      <c r="I1199" s="141" t="s">
        <v>15214</v>
      </c>
    </row>
    <row r="1200" spans="1:9" x14ac:dyDescent="0.25">
      <c r="A1200" s="135">
        <v>42864</v>
      </c>
      <c r="B1200" s="142" t="s">
        <v>16677</v>
      </c>
      <c r="C1200" s="143">
        <v>111249</v>
      </c>
      <c r="D1200" s="142" t="s">
        <v>15385</v>
      </c>
      <c r="E1200" s="144">
        <v>15400.4</v>
      </c>
      <c r="F1200" s="145">
        <v>42866</v>
      </c>
      <c r="G1200" s="146">
        <v>15400.4</v>
      </c>
      <c r="H1200" s="138">
        <f t="shared" si="19"/>
        <v>0</v>
      </c>
      <c r="I1200" s="147" t="s">
        <v>15214</v>
      </c>
    </row>
    <row r="1201" spans="1:9" x14ac:dyDescent="0.25">
      <c r="A1201" s="135">
        <v>42864</v>
      </c>
      <c r="B1201" s="136" t="s">
        <v>16678</v>
      </c>
      <c r="C1201" s="137">
        <v>111250</v>
      </c>
      <c r="D1201" s="136" t="s">
        <v>15250</v>
      </c>
      <c r="E1201" s="138">
        <v>472</v>
      </c>
      <c r="F1201" s="139">
        <v>42868</v>
      </c>
      <c r="G1201" s="140">
        <v>472</v>
      </c>
      <c r="H1201" s="138">
        <f t="shared" si="19"/>
        <v>0</v>
      </c>
      <c r="I1201" s="141" t="s">
        <v>15214</v>
      </c>
    </row>
    <row r="1202" spans="1:9" x14ac:dyDescent="0.25">
      <c r="A1202" s="135">
        <v>42864</v>
      </c>
      <c r="B1202" s="142" t="s">
        <v>16679</v>
      </c>
      <c r="C1202" s="143">
        <v>111251</v>
      </c>
      <c r="D1202" s="142" t="s">
        <v>15315</v>
      </c>
      <c r="E1202" s="144">
        <v>5598.6</v>
      </c>
      <c r="F1202" s="145">
        <v>42864</v>
      </c>
      <c r="G1202" s="146">
        <v>5598.6</v>
      </c>
      <c r="H1202" s="138">
        <f t="shared" si="19"/>
        <v>0</v>
      </c>
      <c r="I1202" s="147" t="s">
        <v>15214</v>
      </c>
    </row>
    <row r="1203" spans="1:9" x14ac:dyDescent="0.25">
      <c r="A1203" s="135">
        <v>42864</v>
      </c>
      <c r="B1203" s="136" t="s">
        <v>16680</v>
      </c>
      <c r="C1203" s="137">
        <v>111252</v>
      </c>
      <c r="D1203" s="136" t="s">
        <v>15315</v>
      </c>
      <c r="E1203" s="138">
        <v>315</v>
      </c>
      <c r="F1203" s="139">
        <v>42864</v>
      </c>
      <c r="G1203" s="140">
        <v>315</v>
      </c>
      <c r="H1203" s="138">
        <f t="shared" si="19"/>
        <v>0</v>
      </c>
      <c r="I1203" s="141" t="s">
        <v>15214</v>
      </c>
    </row>
    <row r="1204" spans="1:9" x14ac:dyDescent="0.25">
      <c r="A1204" s="135">
        <v>42864</v>
      </c>
      <c r="B1204" s="142" t="s">
        <v>16681</v>
      </c>
      <c r="C1204" s="143">
        <v>111253</v>
      </c>
      <c r="D1204" s="142" t="s">
        <v>15322</v>
      </c>
      <c r="E1204" s="144">
        <v>705</v>
      </c>
      <c r="F1204" s="145">
        <v>42864</v>
      </c>
      <c r="G1204" s="146">
        <v>705</v>
      </c>
      <c r="H1204" s="138">
        <f t="shared" si="19"/>
        <v>0</v>
      </c>
      <c r="I1204" s="147" t="s">
        <v>15214</v>
      </c>
    </row>
    <row r="1205" spans="1:9" x14ac:dyDescent="0.25">
      <c r="A1205" s="135">
        <v>42864</v>
      </c>
      <c r="B1205" s="136" t="s">
        <v>16682</v>
      </c>
      <c r="C1205" s="137">
        <v>111254</v>
      </c>
      <c r="D1205" s="136" t="s">
        <v>15632</v>
      </c>
      <c r="E1205" s="138">
        <v>18765.2</v>
      </c>
      <c r="F1205" s="139">
        <v>42871</v>
      </c>
      <c r="G1205" s="140">
        <v>18765.2</v>
      </c>
      <c r="H1205" s="138">
        <f t="shared" si="19"/>
        <v>0</v>
      </c>
      <c r="I1205" s="141" t="s">
        <v>15214</v>
      </c>
    </row>
    <row r="1206" spans="1:9" x14ac:dyDescent="0.25">
      <c r="A1206" s="135">
        <v>42864</v>
      </c>
      <c r="B1206" s="142" t="s">
        <v>16683</v>
      </c>
      <c r="C1206" s="143">
        <v>111255</v>
      </c>
      <c r="D1206" s="142" t="s">
        <v>15890</v>
      </c>
      <c r="E1206" s="144">
        <v>1646.4</v>
      </c>
      <c r="F1206" s="145">
        <v>42868</v>
      </c>
      <c r="G1206" s="146">
        <v>1646.4</v>
      </c>
      <c r="H1206" s="138">
        <f t="shared" si="19"/>
        <v>0</v>
      </c>
      <c r="I1206" s="147" t="s">
        <v>15214</v>
      </c>
    </row>
    <row r="1207" spans="1:9" x14ac:dyDescent="0.25">
      <c r="A1207" s="135">
        <v>42864</v>
      </c>
      <c r="B1207" s="136" t="s">
        <v>16684</v>
      </c>
      <c r="C1207" s="137">
        <v>111256</v>
      </c>
      <c r="D1207" s="136" t="s">
        <v>15267</v>
      </c>
      <c r="E1207" s="138">
        <v>77632.149999999994</v>
      </c>
      <c r="F1207" s="139" t="s">
        <v>19657</v>
      </c>
      <c r="G1207" s="140">
        <f>2135+75497.15</f>
        <v>77632.149999999994</v>
      </c>
      <c r="H1207" s="138">
        <f t="shared" si="19"/>
        <v>0</v>
      </c>
      <c r="I1207" s="141" t="s">
        <v>15214</v>
      </c>
    </row>
    <row r="1208" spans="1:9" x14ac:dyDescent="0.25">
      <c r="A1208" s="135">
        <v>42864</v>
      </c>
      <c r="B1208" s="142" t="s">
        <v>16685</v>
      </c>
      <c r="C1208" s="143">
        <v>111257</v>
      </c>
      <c r="D1208" s="142" t="s">
        <v>16686</v>
      </c>
      <c r="E1208" s="144">
        <v>29718.400000000001</v>
      </c>
      <c r="F1208" s="145">
        <v>42864</v>
      </c>
      <c r="G1208" s="146">
        <v>29718.400000000001</v>
      </c>
      <c r="H1208" s="138">
        <f t="shared" si="19"/>
        <v>0</v>
      </c>
      <c r="I1208" s="147" t="s">
        <v>15214</v>
      </c>
    </row>
    <row r="1209" spans="1:9" x14ac:dyDescent="0.25">
      <c r="A1209" s="135">
        <v>42864</v>
      </c>
      <c r="B1209" s="136" t="s">
        <v>16687</v>
      </c>
      <c r="C1209" s="137">
        <v>111258</v>
      </c>
      <c r="D1209" s="136" t="s">
        <v>15246</v>
      </c>
      <c r="E1209" s="138">
        <v>4560</v>
      </c>
      <c r="F1209" s="139">
        <v>42867</v>
      </c>
      <c r="G1209" s="140">
        <v>4560</v>
      </c>
      <c r="H1209" s="138">
        <f t="shared" si="19"/>
        <v>0</v>
      </c>
      <c r="I1209" s="141" t="s">
        <v>15214</v>
      </c>
    </row>
    <row r="1210" spans="1:9" x14ac:dyDescent="0.25">
      <c r="A1210" s="135">
        <v>42864</v>
      </c>
      <c r="B1210" s="142" t="s">
        <v>16688</v>
      </c>
      <c r="C1210" s="143">
        <v>111259</v>
      </c>
      <c r="D1210" s="142" t="s">
        <v>15435</v>
      </c>
      <c r="E1210" s="144">
        <v>9244.6</v>
      </c>
      <c r="F1210" s="145">
        <v>42864</v>
      </c>
      <c r="G1210" s="146">
        <v>9244.6</v>
      </c>
      <c r="H1210" s="138">
        <f t="shared" si="19"/>
        <v>0</v>
      </c>
      <c r="I1210" s="147" t="s">
        <v>15214</v>
      </c>
    </row>
    <row r="1211" spans="1:9" x14ac:dyDescent="0.25">
      <c r="A1211" s="135">
        <v>42864</v>
      </c>
      <c r="B1211" s="136" t="s">
        <v>16689</v>
      </c>
      <c r="C1211" s="137">
        <v>111260</v>
      </c>
      <c r="D1211" s="136" t="s">
        <v>15223</v>
      </c>
      <c r="E1211" s="138">
        <v>53577</v>
      </c>
      <c r="F1211" s="139">
        <v>42874</v>
      </c>
      <c r="G1211" s="140">
        <v>53577</v>
      </c>
      <c r="H1211" s="138">
        <f t="shared" si="19"/>
        <v>0</v>
      </c>
      <c r="I1211" s="141" t="s">
        <v>15214</v>
      </c>
    </row>
    <row r="1212" spans="1:9" x14ac:dyDescent="0.25">
      <c r="A1212" s="135">
        <v>42865</v>
      </c>
      <c r="B1212" s="142" t="s">
        <v>16690</v>
      </c>
      <c r="C1212" s="143">
        <v>111261</v>
      </c>
      <c r="D1212" s="142" t="s">
        <v>15213</v>
      </c>
      <c r="E1212" s="144">
        <v>6406.9</v>
      </c>
      <c r="F1212" s="145">
        <v>42866</v>
      </c>
      <c r="G1212" s="146">
        <v>6406.9</v>
      </c>
      <c r="H1212" s="138">
        <f t="shared" si="19"/>
        <v>0</v>
      </c>
      <c r="I1212" s="147" t="s">
        <v>15214</v>
      </c>
    </row>
    <row r="1213" spans="1:9" x14ac:dyDescent="0.25">
      <c r="A1213" s="135">
        <v>42865</v>
      </c>
      <c r="B1213" s="136" t="s">
        <v>16691</v>
      </c>
      <c r="C1213" s="137">
        <v>111262</v>
      </c>
      <c r="D1213" s="136" t="s">
        <v>15213</v>
      </c>
      <c r="E1213" s="138">
        <v>62721.8</v>
      </c>
      <c r="F1213" s="139">
        <v>42866</v>
      </c>
      <c r="G1213" s="140">
        <v>62721.8</v>
      </c>
      <c r="H1213" s="138">
        <f t="shared" si="19"/>
        <v>0</v>
      </c>
      <c r="I1213" s="141" t="s">
        <v>15214</v>
      </c>
    </row>
    <row r="1214" spans="1:9" x14ac:dyDescent="0.25">
      <c r="A1214" s="135">
        <v>42865</v>
      </c>
      <c r="B1214" s="142" t="s">
        <v>16692</v>
      </c>
      <c r="C1214" s="143">
        <v>111263</v>
      </c>
      <c r="D1214" s="142" t="s">
        <v>15315</v>
      </c>
      <c r="E1214" s="144">
        <v>12364.4</v>
      </c>
      <c r="F1214" s="145">
        <v>42865</v>
      </c>
      <c r="G1214" s="146">
        <v>12364.4</v>
      </c>
      <c r="H1214" s="138">
        <f t="shared" si="19"/>
        <v>0</v>
      </c>
      <c r="I1214" s="147" t="s">
        <v>15214</v>
      </c>
    </row>
    <row r="1215" spans="1:9" x14ac:dyDescent="0.25">
      <c r="A1215" s="135">
        <v>42865</v>
      </c>
      <c r="B1215" s="136" t="s">
        <v>16693</v>
      </c>
      <c r="C1215" s="137">
        <v>111264</v>
      </c>
      <c r="D1215" s="136" t="s">
        <v>15226</v>
      </c>
      <c r="E1215" s="138">
        <v>1963.2</v>
      </c>
      <c r="F1215" s="139">
        <v>42867</v>
      </c>
      <c r="G1215" s="140">
        <v>1963.2</v>
      </c>
      <c r="H1215" s="138">
        <f t="shared" si="19"/>
        <v>0</v>
      </c>
      <c r="I1215" s="141" t="s">
        <v>15214</v>
      </c>
    </row>
    <row r="1216" spans="1:9" x14ac:dyDescent="0.25">
      <c r="A1216" s="135">
        <v>42865</v>
      </c>
      <c r="B1216" s="142" t="s">
        <v>16694</v>
      </c>
      <c r="C1216" s="143">
        <v>111265</v>
      </c>
      <c r="D1216" s="142" t="s">
        <v>15407</v>
      </c>
      <c r="E1216" s="144">
        <v>7046</v>
      </c>
      <c r="F1216" s="145">
        <v>42865</v>
      </c>
      <c r="G1216" s="146">
        <v>7046</v>
      </c>
      <c r="H1216" s="138">
        <f t="shared" si="19"/>
        <v>0</v>
      </c>
      <c r="I1216" s="147" t="s">
        <v>15214</v>
      </c>
    </row>
    <row r="1217" spans="1:9" x14ac:dyDescent="0.25">
      <c r="A1217" s="135">
        <v>42865</v>
      </c>
      <c r="B1217" s="136" t="s">
        <v>16695</v>
      </c>
      <c r="C1217" s="137">
        <v>111266</v>
      </c>
      <c r="D1217" s="136" t="s">
        <v>15242</v>
      </c>
      <c r="E1217" s="138">
        <v>9486</v>
      </c>
      <c r="F1217" s="139">
        <v>42866</v>
      </c>
      <c r="G1217" s="140">
        <v>9486</v>
      </c>
      <c r="H1217" s="138">
        <f t="shared" si="19"/>
        <v>0</v>
      </c>
      <c r="I1217" s="141" t="s">
        <v>15214</v>
      </c>
    </row>
    <row r="1218" spans="1:9" x14ac:dyDescent="0.25">
      <c r="A1218" s="135">
        <v>42865</v>
      </c>
      <c r="B1218" s="142" t="s">
        <v>16696</v>
      </c>
      <c r="C1218" s="143">
        <v>111267</v>
      </c>
      <c r="D1218" s="142" t="s">
        <v>15263</v>
      </c>
      <c r="E1218" s="144">
        <v>3177.1</v>
      </c>
      <c r="F1218" s="145">
        <v>42865</v>
      </c>
      <c r="G1218" s="146">
        <v>3177.1</v>
      </c>
      <c r="H1218" s="138">
        <f t="shared" si="19"/>
        <v>0</v>
      </c>
      <c r="I1218" s="147" t="s">
        <v>15214</v>
      </c>
    </row>
    <row r="1219" spans="1:9" x14ac:dyDescent="0.25">
      <c r="A1219" s="135">
        <v>42865</v>
      </c>
      <c r="B1219" s="136" t="s">
        <v>16697</v>
      </c>
      <c r="C1219" s="137">
        <v>111268</v>
      </c>
      <c r="D1219" s="136" t="s">
        <v>15230</v>
      </c>
      <c r="E1219" s="138">
        <v>8873.7999999999993</v>
      </c>
      <c r="F1219" s="139">
        <v>42867</v>
      </c>
      <c r="G1219" s="140">
        <v>8873.7999999999993</v>
      </c>
      <c r="H1219" s="138">
        <f t="shared" si="19"/>
        <v>0</v>
      </c>
      <c r="I1219" s="141" t="s">
        <v>15214</v>
      </c>
    </row>
    <row r="1220" spans="1:9" ht="15.75" x14ac:dyDescent="0.25">
      <c r="A1220" s="135">
        <v>42865</v>
      </c>
      <c r="B1220" s="142" t="s">
        <v>16698</v>
      </c>
      <c r="C1220" s="143">
        <v>111269</v>
      </c>
      <c r="D1220" s="142" t="s">
        <v>15258</v>
      </c>
      <c r="E1220" s="144">
        <v>0</v>
      </c>
      <c r="F1220" s="156" t="s">
        <v>95</v>
      </c>
      <c r="G1220" s="144">
        <v>0</v>
      </c>
      <c r="H1220" s="138">
        <f t="shared" ref="H1220:H1283" si="20">E1220-G1220</f>
        <v>0</v>
      </c>
      <c r="I1220" s="147" t="s">
        <v>95</v>
      </c>
    </row>
    <row r="1221" spans="1:9" x14ac:dyDescent="0.25">
      <c r="A1221" s="135">
        <v>42865</v>
      </c>
      <c r="B1221" s="136" t="s">
        <v>16699</v>
      </c>
      <c r="C1221" s="137">
        <v>111270</v>
      </c>
      <c r="D1221" s="136" t="s">
        <v>15442</v>
      </c>
      <c r="E1221" s="138">
        <v>27246.400000000001</v>
      </c>
      <c r="F1221" s="139">
        <v>42867</v>
      </c>
      <c r="G1221" s="140">
        <v>27246.400000000001</v>
      </c>
      <c r="H1221" s="138">
        <f t="shared" si="20"/>
        <v>0</v>
      </c>
      <c r="I1221" s="141" t="s">
        <v>15214</v>
      </c>
    </row>
    <row r="1222" spans="1:9" x14ac:dyDescent="0.25">
      <c r="A1222" s="135">
        <v>42865</v>
      </c>
      <c r="B1222" s="142" t="s">
        <v>16700</v>
      </c>
      <c r="C1222" s="143">
        <v>111271</v>
      </c>
      <c r="D1222" s="142" t="s">
        <v>15315</v>
      </c>
      <c r="E1222" s="144">
        <v>4168.8</v>
      </c>
      <c r="F1222" s="145">
        <v>42865</v>
      </c>
      <c r="G1222" s="146">
        <v>4168.8</v>
      </c>
      <c r="H1222" s="138">
        <f t="shared" si="20"/>
        <v>0</v>
      </c>
      <c r="I1222" s="147" t="s">
        <v>15214</v>
      </c>
    </row>
    <row r="1223" spans="1:9" x14ac:dyDescent="0.25">
      <c r="A1223" s="135">
        <v>42865</v>
      </c>
      <c r="B1223" s="136" t="s">
        <v>16701</v>
      </c>
      <c r="C1223" s="137">
        <v>111272</v>
      </c>
      <c r="D1223" s="136" t="s">
        <v>15272</v>
      </c>
      <c r="E1223" s="138">
        <v>23590</v>
      </c>
      <c r="F1223" s="139">
        <v>42865</v>
      </c>
      <c r="G1223" s="140">
        <v>23590</v>
      </c>
      <c r="H1223" s="138">
        <f t="shared" si="20"/>
        <v>0</v>
      </c>
      <c r="I1223" s="141" t="s">
        <v>15214</v>
      </c>
    </row>
    <row r="1224" spans="1:9" x14ac:dyDescent="0.25">
      <c r="A1224" s="135">
        <v>42865</v>
      </c>
      <c r="B1224" s="142" t="s">
        <v>16702</v>
      </c>
      <c r="C1224" s="143">
        <v>111273</v>
      </c>
      <c r="D1224" s="142" t="s">
        <v>15236</v>
      </c>
      <c r="E1224" s="144">
        <v>6030</v>
      </c>
      <c r="F1224" s="145" t="s">
        <v>16703</v>
      </c>
      <c r="G1224" s="146">
        <f>3000+3030</f>
        <v>6030</v>
      </c>
      <c r="H1224" s="165">
        <f t="shared" si="20"/>
        <v>0</v>
      </c>
      <c r="I1224" s="147" t="s">
        <v>15214</v>
      </c>
    </row>
    <row r="1225" spans="1:9" x14ac:dyDescent="0.25">
      <c r="A1225" s="135">
        <v>42865</v>
      </c>
      <c r="B1225" s="136" t="s">
        <v>16704</v>
      </c>
      <c r="C1225" s="137">
        <v>111274</v>
      </c>
      <c r="D1225" s="136" t="s">
        <v>15234</v>
      </c>
      <c r="E1225" s="138">
        <v>3132</v>
      </c>
      <c r="F1225" s="139">
        <v>42870</v>
      </c>
      <c r="G1225" s="140">
        <v>3132</v>
      </c>
      <c r="H1225" s="138">
        <f t="shared" si="20"/>
        <v>0</v>
      </c>
      <c r="I1225" s="141" t="s">
        <v>15214</v>
      </c>
    </row>
    <row r="1226" spans="1:9" x14ac:dyDescent="0.25">
      <c r="A1226" s="135">
        <v>42865</v>
      </c>
      <c r="B1226" s="142" t="s">
        <v>16705</v>
      </c>
      <c r="C1226" s="143">
        <v>111275</v>
      </c>
      <c r="D1226" s="142" t="s">
        <v>5575</v>
      </c>
      <c r="E1226" s="144">
        <v>3682</v>
      </c>
      <c r="F1226" s="145">
        <v>42867</v>
      </c>
      <c r="G1226" s="146">
        <v>3682</v>
      </c>
      <c r="H1226" s="138">
        <f t="shared" si="20"/>
        <v>0</v>
      </c>
      <c r="I1226" s="147" t="s">
        <v>15214</v>
      </c>
    </row>
    <row r="1227" spans="1:9" x14ac:dyDescent="0.25">
      <c r="A1227" s="135">
        <v>42865</v>
      </c>
      <c r="B1227" s="136" t="s">
        <v>16706</v>
      </c>
      <c r="C1227" s="137">
        <v>111276</v>
      </c>
      <c r="D1227" s="136" t="s">
        <v>15246</v>
      </c>
      <c r="E1227" s="138">
        <v>633.6</v>
      </c>
      <c r="F1227" s="139">
        <v>42867</v>
      </c>
      <c r="G1227" s="140">
        <v>633.6</v>
      </c>
      <c r="H1227" s="138">
        <f t="shared" si="20"/>
        <v>0</v>
      </c>
      <c r="I1227" s="141" t="s">
        <v>15214</v>
      </c>
    </row>
    <row r="1228" spans="1:9" x14ac:dyDescent="0.25">
      <c r="A1228" s="135">
        <v>42865</v>
      </c>
      <c r="B1228" s="142" t="s">
        <v>16707</v>
      </c>
      <c r="C1228" s="143">
        <v>111277</v>
      </c>
      <c r="D1228" s="142" t="s">
        <v>15220</v>
      </c>
      <c r="E1228" s="144">
        <v>4320</v>
      </c>
      <c r="F1228" s="145">
        <v>42865</v>
      </c>
      <c r="G1228" s="146">
        <v>4320</v>
      </c>
      <c r="H1228" s="138">
        <f t="shared" si="20"/>
        <v>0</v>
      </c>
      <c r="I1228" s="147" t="s">
        <v>15214</v>
      </c>
    </row>
    <row r="1229" spans="1:9" x14ac:dyDescent="0.25">
      <c r="A1229" s="135">
        <v>42865</v>
      </c>
      <c r="B1229" s="136" t="s">
        <v>16708</v>
      </c>
      <c r="C1229" s="137">
        <v>111278</v>
      </c>
      <c r="D1229" s="136" t="s">
        <v>15324</v>
      </c>
      <c r="E1229" s="138">
        <v>1860</v>
      </c>
      <c r="F1229" s="145">
        <v>42865</v>
      </c>
      <c r="G1229" s="140">
        <v>1860</v>
      </c>
      <c r="H1229" s="138">
        <f t="shared" si="20"/>
        <v>0</v>
      </c>
      <c r="I1229" s="141" t="s">
        <v>15214</v>
      </c>
    </row>
    <row r="1230" spans="1:9" x14ac:dyDescent="0.25">
      <c r="A1230" s="135">
        <v>42865</v>
      </c>
      <c r="B1230" s="142" t="s">
        <v>16709</v>
      </c>
      <c r="C1230" s="143">
        <v>111279</v>
      </c>
      <c r="D1230" s="142" t="s">
        <v>15274</v>
      </c>
      <c r="E1230" s="144">
        <v>3360</v>
      </c>
      <c r="F1230" s="145">
        <v>42865</v>
      </c>
      <c r="G1230" s="146">
        <v>3360</v>
      </c>
      <c r="H1230" s="138">
        <f t="shared" si="20"/>
        <v>0</v>
      </c>
      <c r="I1230" s="147" t="s">
        <v>15214</v>
      </c>
    </row>
    <row r="1231" spans="1:9" x14ac:dyDescent="0.25">
      <c r="A1231" s="135">
        <v>42865</v>
      </c>
      <c r="B1231" s="136" t="s">
        <v>16710</v>
      </c>
      <c r="C1231" s="137">
        <v>111280</v>
      </c>
      <c r="D1231" s="136" t="s">
        <v>15596</v>
      </c>
      <c r="E1231" s="138">
        <v>2400</v>
      </c>
      <c r="F1231" s="145">
        <v>42865</v>
      </c>
      <c r="G1231" s="140">
        <v>2400</v>
      </c>
      <c r="H1231" s="138">
        <f t="shared" si="20"/>
        <v>0</v>
      </c>
      <c r="I1231" s="141" t="s">
        <v>15214</v>
      </c>
    </row>
    <row r="1232" spans="1:9" x14ac:dyDescent="0.25">
      <c r="A1232" s="135">
        <v>42865</v>
      </c>
      <c r="B1232" s="142" t="s">
        <v>16711</v>
      </c>
      <c r="C1232" s="143">
        <v>111281</v>
      </c>
      <c r="D1232" s="142" t="s">
        <v>15673</v>
      </c>
      <c r="E1232" s="144">
        <v>2966.9</v>
      </c>
      <c r="F1232" s="145">
        <v>42865</v>
      </c>
      <c r="G1232" s="146">
        <v>2966.9</v>
      </c>
      <c r="H1232" s="138">
        <f t="shared" si="20"/>
        <v>0</v>
      </c>
      <c r="I1232" s="147" t="s">
        <v>15214</v>
      </c>
    </row>
    <row r="1233" spans="1:9" x14ac:dyDescent="0.25">
      <c r="A1233" s="135">
        <v>42865</v>
      </c>
      <c r="B1233" s="136" t="s">
        <v>16712</v>
      </c>
      <c r="C1233" s="137">
        <v>111282</v>
      </c>
      <c r="D1233" s="136" t="s">
        <v>15562</v>
      </c>
      <c r="E1233" s="138">
        <v>5462.1</v>
      </c>
      <c r="F1233" s="145">
        <v>42865</v>
      </c>
      <c r="G1233" s="140">
        <v>5462.1</v>
      </c>
      <c r="H1233" s="138">
        <f t="shared" si="20"/>
        <v>0</v>
      </c>
      <c r="I1233" s="141" t="s">
        <v>15214</v>
      </c>
    </row>
    <row r="1234" spans="1:9" x14ac:dyDescent="0.25">
      <c r="A1234" s="135">
        <v>42865</v>
      </c>
      <c r="B1234" s="142" t="s">
        <v>16713</v>
      </c>
      <c r="C1234" s="143">
        <v>111283</v>
      </c>
      <c r="D1234" s="142" t="s">
        <v>15365</v>
      </c>
      <c r="E1234" s="144">
        <v>20952</v>
      </c>
      <c r="F1234" s="145">
        <v>42868</v>
      </c>
      <c r="G1234" s="146">
        <v>20952</v>
      </c>
      <c r="H1234" s="138">
        <f t="shared" si="20"/>
        <v>0</v>
      </c>
      <c r="I1234" s="147" t="s">
        <v>15214</v>
      </c>
    </row>
    <row r="1235" spans="1:9" x14ac:dyDescent="0.25">
      <c r="A1235" s="135">
        <v>42865</v>
      </c>
      <c r="B1235" s="136" t="s">
        <v>16714</v>
      </c>
      <c r="C1235" s="137">
        <v>111284</v>
      </c>
      <c r="D1235" s="136" t="s">
        <v>15238</v>
      </c>
      <c r="E1235" s="138">
        <v>7395</v>
      </c>
      <c r="F1235" s="139">
        <v>42867</v>
      </c>
      <c r="G1235" s="140">
        <v>7395</v>
      </c>
      <c r="H1235" s="138">
        <f t="shared" si="20"/>
        <v>0</v>
      </c>
      <c r="I1235" s="141" t="s">
        <v>15214</v>
      </c>
    </row>
    <row r="1236" spans="1:9" x14ac:dyDescent="0.25">
      <c r="A1236" s="135">
        <v>42865</v>
      </c>
      <c r="B1236" s="142" t="s">
        <v>16715</v>
      </c>
      <c r="C1236" s="143">
        <v>111285</v>
      </c>
      <c r="D1236" s="142" t="s">
        <v>15267</v>
      </c>
      <c r="E1236" s="144">
        <v>1930.4</v>
      </c>
      <c r="F1236" s="145">
        <v>42865</v>
      </c>
      <c r="G1236" s="146">
        <v>1930.4</v>
      </c>
      <c r="H1236" s="138">
        <f t="shared" si="20"/>
        <v>0</v>
      </c>
      <c r="I1236" s="147" t="s">
        <v>15214</v>
      </c>
    </row>
    <row r="1237" spans="1:9" x14ac:dyDescent="0.25">
      <c r="A1237" s="135">
        <v>42865</v>
      </c>
      <c r="B1237" s="136" t="s">
        <v>16716</v>
      </c>
      <c r="C1237" s="137">
        <v>111286</v>
      </c>
      <c r="D1237" s="136" t="s">
        <v>15256</v>
      </c>
      <c r="E1237" s="138">
        <v>13573</v>
      </c>
      <c r="F1237" s="139" t="s">
        <v>16558</v>
      </c>
      <c r="G1237" s="140">
        <f>3000+10573</f>
        <v>13573</v>
      </c>
      <c r="H1237" s="165">
        <f t="shared" si="20"/>
        <v>0</v>
      </c>
      <c r="I1237" s="141" t="s">
        <v>15214</v>
      </c>
    </row>
    <row r="1238" spans="1:9" x14ac:dyDescent="0.25">
      <c r="A1238" s="135">
        <v>42865</v>
      </c>
      <c r="B1238" s="142" t="s">
        <v>16717</v>
      </c>
      <c r="C1238" s="143">
        <v>111287</v>
      </c>
      <c r="D1238" s="142" t="s">
        <v>15681</v>
      </c>
      <c r="E1238" s="144">
        <v>2239.6</v>
      </c>
      <c r="F1238" s="145">
        <v>42865</v>
      </c>
      <c r="G1238" s="146">
        <v>2239.6</v>
      </c>
      <c r="H1238" s="138">
        <f t="shared" si="20"/>
        <v>0</v>
      </c>
      <c r="I1238" s="147" t="s">
        <v>15214</v>
      </c>
    </row>
    <row r="1239" spans="1:9" x14ac:dyDescent="0.25">
      <c r="A1239" s="135">
        <v>42865</v>
      </c>
      <c r="B1239" s="136" t="s">
        <v>16718</v>
      </c>
      <c r="C1239" s="137">
        <v>111288</v>
      </c>
      <c r="D1239" s="136" t="s">
        <v>15256</v>
      </c>
      <c r="E1239" s="138">
        <v>2100</v>
      </c>
      <c r="F1239" s="139">
        <v>42867</v>
      </c>
      <c r="G1239" s="140">
        <v>2100</v>
      </c>
      <c r="H1239" s="138">
        <f t="shared" si="20"/>
        <v>0</v>
      </c>
      <c r="I1239" s="141" t="s">
        <v>15214</v>
      </c>
    </row>
    <row r="1240" spans="1:9" x14ac:dyDescent="0.25">
      <c r="A1240" s="135">
        <v>42865</v>
      </c>
      <c r="B1240" s="142" t="s">
        <v>16719</v>
      </c>
      <c r="C1240" s="143">
        <v>111289</v>
      </c>
      <c r="D1240" s="142" t="s">
        <v>15315</v>
      </c>
      <c r="E1240" s="144">
        <v>1570</v>
      </c>
      <c r="F1240" s="145">
        <v>42865</v>
      </c>
      <c r="G1240" s="146">
        <v>1570</v>
      </c>
      <c r="H1240" s="138">
        <f t="shared" si="20"/>
        <v>0</v>
      </c>
      <c r="I1240" s="147" t="s">
        <v>15214</v>
      </c>
    </row>
    <row r="1241" spans="1:9" x14ac:dyDescent="0.25">
      <c r="A1241" s="135">
        <v>42865</v>
      </c>
      <c r="B1241" s="136" t="s">
        <v>16720</v>
      </c>
      <c r="C1241" s="137">
        <v>111290</v>
      </c>
      <c r="D1241" s="136" t="s">
        <v>15246</v>
      </c>
      <c r="E1241" s="138">
        <v>786.8</v>
      </c>
      <c r="F1241" s="139">
        <v>42867</v>
      </c>
      <c r="G1241" s="140">
        <v>786.8</v>
      </c>
      <c r="H1241" s="138">
        <f t="shared" si="20"/>
        <v>0</v>
      </c>
      <c r="I1241" s="141" t="s">
        <v>15214</v>
      </c>
    </row>
    <row r="1242" spans="1:9" x14ac:dyDescent="0.25">
      <c r="A1242" s="135">
        <v>42865</v>
      </c>
      <c r="B1242" s="142" t="s">
        <v>16721</v>
      </c>
      <c r="C1242" s="143">
        <v>111291</v>
      </c>
      <c r="D1242" s="142" t="s">
        <v>15480</v>
      </c>
      <c r="E1242" s="144">
        <v>3852.3</v>
      </c>
      <c r="F1242" s="145" t="s">
        <v>16558</v>
      </c>
      <c r="G1242" s="146">
        <f>1600+2252.3</f>
        <v>3852.3</v>
      </c>
      <c r="H1242" s="138">
        <f t="shared" si="20"/>
        <v>0</v>
      </c>
      <c r="I1242" s="147" t="s">
        <v>15214</v>
      </c>
    </row>
    <row r="1243" spans="1:9" x14ac:dyDescent="0.25">
      <c r="A1243" s="135">
        <v>42865</v>
      </c>
      <c r="B1243" s="136" t="s">
        <v>16722</v>
      </c>
      <c r="C1243" s="137">
        <v>111292</v>
      </c>
      <c r="D1243" s="136" t="s">
        <v>15624</v>
      </c>
      <c r="E1243" s="138">
        <v>33654.6</v>
      </c>
      <c r="F1243" s="139">
        <v>42866</v>
      </c>
      <c r="G1243" s="140">
        <v>33654.6</v>
      </c>
      <c r="H1243" s="138">
        <f t="shared" si="20"/>
        <v>0</v>
      </c>
      <c r="I1243" s="141" t="s">
        <v>15214</v>
      </c>
    </row>
    <row r="1244" spans="1:9" x14ac:dyDescent="0.25">
      <c r="A1244" s="135">
        <v>42865</v>
      </c>
      <c r="B1244" s="142" t="s">
        <v>16723</v>
      </c>
      <c r="C1244" s="143">
        <v>111293</v>
      </c>
      <c r="D1244" s="142" t="s">
        <v>15668</v>
      </c>
      <c r="E1244" s="144">
        <v>12747</v>
      </c>
      <c r="F1244" s="145">
        <v>42867</v>
      </c>
      <c r="G1244" s="146">
        <v>12747</v>
      </c>
      <c r="H1244" s="138">
        <f t="shared" si="20"/>
        <v>0</v>
      </c>
      <c r="I1244" s="147" t="s">
        <v>15214</v>
      </c>
    </row>
    <row r="1245" spans="1:9" x14ac:dyDescent="0.25">
      <c r="A1245" s="135">
        <v>42865</v>
      </c>
      <c r="B1245" s="136" t="s">
        <v>16724</v>
      </c>
      <c r="C1245" s="137">
        <v>111294</v>
      </c>
      <c r="D1245" s="136" t="s">
        <v>15328</v>
      </c>
      <c r="E1245" s="138">
        <v>66354.42</v>
      </c>
      <c r="F1245" s="139">
        <v>42880</v>
      </c>
      <c r="G1245" s="140">
        <v>66354.42</v>
      </c>
      <c r="H1245" s="138">
        <f t="shared" si="20"/>
        <v>0</v>
      </c>
      <c r="I1245" s="141" t="s">
        <v>15214</v>
      </c>
    </row>
    <row r="1246" spans="1:9" x14ac:dyDescent="0.25">
      <c r="A1246" s="135">
        <v>42865</v>
      </c>
      <c r="B1246" s="142" t="s">
        <v>16725</v>
      </c>
      <c r="C1246" s="143">
        <v>111295</v>
      </c>
      <c r="D1246" s="142" t="s">
        <v>15523</v>
      </c>
      <c r="E1246" s="144">
        <v>2644.8</v>
      </c>
      <c r="F1246" s="145">
        <v>42865</v>
      </c>
      <c r="G1246" s="146">
        <v>2644.8</v>
      </c>
      <c r="H1246" s="138">
        <f t="shared" si="20"/>
        <v>0</v>
      </c>
      <c r="I1246" s="147" t="s">
        <v>15214</v>
      </c>
    </row>
    <row r="1247" spans="1:9" x14ac:dyDescent="0.25">
      <c r="A1247" s="135">
        <v>42865</v>
      </c>
      <c r="B1247" s="136" t="s">
        <v>16726</v>
      </c>
      <c r="C1247" s="137">
        <v>111296</v>
      </c>
      <c r="D1247" s="136" t="s">
        <v>15334</v>
      </c>
      <c r="E1247" s="138">
        <v>1319.2</v>
      </c>
      <c r="F1247" s="139">
        <v>42865</v>
      </c>
      <c r="G1247" s="140">
        <v>1319.2</v>
      </c>
      <c r="H1247" s="138">
        <f t="shared" si="20"/>
        <v>0</v>
      </c>
      <c r="I1247" s="141" t="s">
        <v>15214</v>
      </c>
    </row>
    <row r="1248" spans="1:9" x14ac:dyDescent="0.25">
      <c r="A1248" s="135">
        <v>42865</v>
      </c>
      <c r="B1248" s="142" t="s">
        <v>16727</v>
      </c>
      <c r="C1248" s="143">
        <v>111297</v>
      </c>
      <c r="D1248" s="142" t="s">
        <v>16171</v>
      </c>
      <c r="E1248" s="144">
        <v>248.4</v>
      </c>
      <c r="F1248" s="145">
        <v>42865</v>
      </c>
      <c r="G1248" s="146">
        <v>248.4</v>
      </c>
      <c r="H1248" s="138">
        <f t="shared" si="20"/>
        <v>0</v>
      </c>
      <c r="I1248" s="147" t="s">
        <v>15214</v>
      </c>
    </row>
    <row r="1249" spans="1:9" x14ac:dyDescent="0.25">
      <c r="A1249" s="135">
        <v>42865</v>
      </c>
      <c r="B1249" s="136" t="s">
        <v>16728</v>
      </c>
      <c r="C1249" s="137">
        <v>111298</v>
      </c>
      <c r="D1249" s="136" t="s">
        <v>15284</v>
      </c>
      <c r="E1249" s="138">
        <v>2005.3</v>
      </c>
      <c r="F1249" s="139">
        <v>42865</v>
      </c>
      <c r="G1249" s="140">
        <v>2005.3</v>
      </c>
      <c r="H1249" s="138">
        <f t="shared" si="20"/>
        <v>0</v>
      </c>
      <c r="I1249" s="141" t="s">
        <v>15214</v>
      </c>
    </row>
    <row r="1250" spans="1:9" x14ac:dyDescent="0.25">
      <c r="A1250" s="135">
        <v>42865</v>
      </c>
      <c r="B1250" s="142" t="s">
        <v>16729</v>
      </c>
      <c r="C1250" s="143">
        <v>111299</v>
      </c>
      <c r="D1250" s="142" t="s">
        <v>15358</v>
      </c>
      <c r="E1250" s="144">
        <v>1621.5</v>
      </c>
      <c r="F1250" s="145">
        <v>42865</v>
      </c>
      <c r="G1250" s="146">
        <v>1621.5</v>
      </c>
      <c r="H1250" s="138">
        <f t="shared" si="20"/>
        <v>0</v>
      </c>
      <c r="I1250" s="147" t="s">
        <v>15214</v>
      </c>
    </row>
    <row r="1251" spans="1:9" x14ac:dyDescent="0.25">
      <c r="A1251" s="135">
        <v>42865</v>
      </c>
      <c r="B1251" s="136" t="s">
        <v>16730</v>
      </c>
      <c r="C1251" s="137">
        <v>111300</v>
      </c>
      <c r="D1251" s="136" t="s">
        <v>15514</v>
      </c>
      <c r="E1251" s="138">
        <v>2937.1</v>
      </c>
      <c r="F1251" s="157">
        <v>42969</v>
      </c>
      <c r="G1251" s="158">
        <v>2937.1</v>
      </c>
      <c r="H1251" s="138">
        <f t="shared" si="20"/>
        <v>0</v>
      </c>
      <c r="I1251" s="141" t="s">
        <v>15214</v>
      </c>
    </row>
    <row r="1252" spans="1:9" x14ac:dyDescent="0.25">
      <c r="A1252" s="135">
        <v>42865</v>
      </c>
      <c r="B1252" s="142" t="s">
        <v>16731</v>
      </c>
      <c r="C1252" s="143">
        <v>111301</v>
      </c>
      <c r="D1252" s="142" t="s">
        <v>16732</v>
      </c>
      <c r="E1252" s="144">
        <v>34046.639999999999</v>
      </c>
      <c r="F1252" s="145">
        <v>42866</v>
      </c>
      <c r="G1252" s="146">
        <v>34046.639999999999</v>
      </c>
      <c r="H1252" s="138">
        <f t="shared" si="20"/>
        <v>0</v>
      </c>
      <c r="I1252" s="147" t="s">
        <v>15214</v>
      </c>
    </row>
    <row r="1253" spans="1:9" x14ac:dyDescent="0.25">
      <c r="A1253" s="135">
        <v>42865</v>
      </c>
      <c r="B1253" s="136" t="s">
        <v>16733</v>
      </c>
      <c r="C1253" s="137">
        <v>111302</v>
      </c>
      <c r="D1253" s="136" t="s">
        <v>15315</v>
      </c>
      <c r="E1253" s="138">
        <v>2005.2</v>
      </c>
      <c r="F1253" s="139">
        <v>42866</v>
      </c>
      <c r="G1253" s="140">
        <v>2005.2</v>
      </c>
      <c r="H1253" s="138">
        <f t="shared" si="20"/>
        <v>0</v>
      </c>
      <c r="I1253" s="141" t="s">
        <v>15214</v>
      </c>
    </row>
    <row r="1254" spans="1:9" x14ac:dyDescent="0.25">
      <c r="A1254" s="135">
        <v>42865</v>
      </c>
      <c r="B1254" s="142" t="s">
        <v>16734</v>
      </c>
      <c r="C1254" s="143">
        <v>111303</v>
      </c>
      <c r="D1254" s="142" t="s">
        <v>15278</v>
      </c>
      <c r="E1254" s="144">
        <v>5685.1</v>
      </c>
      <c r="F1254" s="145">
        <v>42865</v>
      </c>
      <c r="G1254" s="146">
        <v>5685.1</v>
      </c>
      <c r="H1254" s="138">
        <f t="shared" si="20"/>
        <v>0</v>
      </c>
      <c r="I1254" s="147" t="s">
        <v>15214</v>
      </c>
    </row>
    <row r="1255" spans="1:9" x14ac:dyDescent="0.25">
      <c r="A1255" s="135">
        <v>42865</v>
      </c>
      <c r="B1255" s="136" t="s">
        <v>16735</v>
      </c>
      <c r="C1255" s="137">
        <v>111304</v>
      </c>
      <c r="D1255" s="136" t="s">
        <v>15280</v>
      </c>
      <c r="E1255" s="138">
        <v>5730.4</v>
      </c>
      <c r="F1255" s="139">
        <v>42865</v>
      </c>
      <c r="G1255" s="140">
        <v>5730.4</v>
      </c>
      <c r="H1255" s="138">
        <f t="shared" si="20"/>
        <v>0</v>
      </c>
      <c r="I1255" s="141" t="s">
        <v>15214</v>
      </c>
    </row>
    <row r="1256" spans="1:9" x14ac:dyDescent="0.25">
      <c r="A1256" s="135">
        <v>42865</v>
      </c>
      <c r="B1256" s="142" t="s">
        <v>16736</v>
      </c>
      <c r="C1256" s="143">
        <v>111305</v>
      </c>
      <c r="D1256" s="142" t="s">
        <v>15336</v>
      </c>
      <c r="E1256" s="144">
        <v>6072.4</v>
      </c>
      <c r="F1256" s="145">
        <v>42865</v>
      </c>
      <c r="G1256" s="146">
        <v>6072.4</v>
      </c>
      <c r="H1256" s="138">
        <f t="shared" si="20"/>
        <v>0</v>
      </c>
      <c r="I1256" s="147" t="s">
        <v>15214</v>
      </c>
    </row>
    <row r="1257" spans="1:9" x14ac:dyDescent="0.25">
      <c r="A1257" s="135">
        <v>42865</v>
      </c>
      <c r="B1257" s="136" t="s">
        <v>16737</v>
      </c>
      <c r="C1257" s="137">
        <v>111306</v>
      </c>
      <c r="D1257" s="136" t="s">
        <v>15549</v>
      </c>
      <c r="E1257" s="138">
        <v>6524.46</v>
      </c>
      <c r="F1257" s="139">
        <v>42865</v>
      </c>
      <c r="G1257" s="140">
        <v>6524.46</v>
      </c>
      <c r="H1257" s="138">
        <f t="shared" si="20"/>
        <v>0</v>
      </c>
      <c r="I1257" s="141" t="s">
        <v>15214</v>
      </c>
    </row>
    <row r="1258" spans="1:9" x14ac:dyDescent="0.25">
      <c r="A1258" s="135">
        <v>42865</v>
      </c>
      <c r="B1258" s="142" t="s">
        <v>16738</v>
      </c>
      <c r="C1258" s="143">
        <v>111307</v>
      </c>
      <c r="D1258" s="142" t="s">
        <v>15344</v>
      </c>
      <c r="E1258" s="144">
        <v>2283.4</v>
      </c>
      <c r="F1258" s="145">
        <v>42865</v>
      </c>
      <c r="G1258" s="146">
        <v>2283.4</v>
      </c>
      <c r="H1258" s="138">
        <f t="shared" si="20"/>
        <v>0</v>
      </c>
      <c r="I1258" s="147" t="s">
        <v>15214</v>
      </c>
    </row>
    <row r="1259" spans="1:9" x14ac:dyDescent="0.25">
      <c r="A1259" s="135">
        <v>42865</v>
      </c>
      <c r="B1259" s="136" t="s">
        <v>16739</v>
      </c>
      <c r="C1259" s="137">
        <v>111308</v>
      </c>
      <c r="D1259" s="136" t="s">
        <v>16740</v>
      </c>
      <c r="E1259" s="138">
        <v>1954.8</v>
      </c>
      <c r="F1259" s="139">
        <v>42865</v>
      </c>
      <c r="G1259" s="140">
        <v>1954.8</v>
      </c>
      <c r="H1259" s="138">
        <f t="shared" si="20"/>
        <v>0</v>
      </c>
      <c r="I1259" s="141" t="s">
        <v>15214</v>
      </c>
    </row>
    <row r="1260" spans="1:9" x14ac:dyDescent="0.25">
      <c r="A1260" s="135">
        <v>42865</v>
      </c>
      <c r="B1260" s="142" t="s">
        <v>16741</v>
      </c>
      <c r="C1260" s="143">
        <v>111309</v>
      </c>
      <c r="D1260" s="142" t="s">
        <v>15732</v>
      </c>
      <c r="E1260" s="144">
        <v>1674.2</v>
      </c>
      <c r="F1260" s="145">
        <v>42865</v>
      </c>
      <c r="G1260" s="146">
        <v>1674.2</v>
      </c>
      <c r="H1260" s="138">
        <f t="shared" si="20"/>
        <v>0</v>
      </c>
      <c r="I1260" s="147" t="s">
        <v>15214</v>
      </c>
    </row>
    <row r="1261" spans="1:9" x14ac:dyDescent="0.25">
      <c r="A1261" s="135">
        <v>42865</v>
      </c>
      <c r="B1261" s="136" t="s">
        <v>16742</v>
      </c>
      <c r="C1261" s="137">
        <v>111310</v>
      </c>
      <c r="D1261" s="136" t="s">
        <v>15371</v>
      </c>
      <c r="E1261" s="138">
        <v>3433</v>
      </c>
      <c r="F1261" s="139">
        <v>42866</v>
      </c>
      <c r="G1261" s="140">
        <v>3433</v>
      </c>
      <c r="H1261" s="138">
        <f t="shared" si="20"/>
        <v>0</v>
      </c>
      <c r="I1261" s="141" t="s">
        <v>15214</v>
      </c>
    </row>
    <row r="1262" spans="1:9" x14ac:dyDescent="0.25">
      <c r="A1262" s="135">
        <v>42865</v>
      </c>
      <c r="B1262" s="142" t="s">
        <v>16743</v>
      </c>
      <c r="C1262" s="143">
        <v>111311</v>
      </c>
      <c r="D1262" s="142" t="s">
        <v>15742</v>
      </c>
      <c r="E1262" s="144">
        <v>2972.4</v>
      </c>
      <c r="F1262" s="145">
        <v>42865</v>
      </c>
      <c r="G1262" s="146">
        <v>2972.4</v>
      </c>
      <c r="H1262" s="138">
        <f t="shared" si="20"/>
        <v>0</v>
      </c>
      <c r="I1262" s="147" t="s">
        <v>15214</v>
      </c>
    </row>
    <row r="1263" spans="1:9" x14ac:dyDescent="0.25">
      <c r="A1263" s="135">
        <v>42865</v>
      </c>
      <c r="B1263" s="136" t="s">
        <v>16744</v>
      </c>
      <c r="C1263" s="137">
        <v>111312</v>
      </c>
      <c r="D1263" s="136" t="s">
        <v>15332</v>
      </c>
      <c r="E1263" s="138">
        <v>3043.2</v>
      </c>
      <c r="F1263" s="139">
        <v>42865</v>
      </c>
      <c r="G1263" s="140">
        <v>3043.2</v>
      </c>
      <c r="H1263" s="138">
        <f t="shared" si="20"/>
        <v>0</v>
      </c>
      <c r="I1263" s="141" t="s">
        <v>15214</v>
      </c>
    </row>
    <row r="1264" spans="1:9" x14ac:dyDescent="0.25">
      <c r="A1264" s="135">
        <v>42865</v>
      </c>
      <c r="B1264" s="142" t="s">
        <v>16745</v>
      </c>
      <c r="C1264" s="143">
        <v>111313</v>
      </c>
      <c r="D1264" s="142" t="s">
        <v>15240</v>
      </c>
      <c r="E1264" s="144">
        <v>729.6</v>
      </c>
      <c r="F1264" s="161">
        <v>42866</v>
      </c>
      <c r="G1264" s="144">
        <v>729.6</v>
      </c>
      <c r="H1264" s="138">
        <f t="shared" si="20"/>
        <v>0</v>
      </c>
      <c r="I1264" s="147" t="s">
        <v>15214</v>
      </c>
    </row>
    <row r="1265" spans="1:9" x14ac:dyDescent="0.25">
      <c r="A1265" s="135">
        <v>42865</v>
      </c>
      <c r="B1265" s="136" t="s">
        <v>16746</v>
      </c>
      <c r="C1265" s="137">
        <v>111314</v>
      </c>
      <c r="D1265" s="136" t="s">
        <v>16383</v>
      </c>
      <c r="E1265" s="138">
        <v>10495</v>
      </c>
      <c r="F1265" s="139">
        <v>42865</v>
      </c>
      <c r="G1265" s="140">
        <v>10495</v>
      </c>
      <c r="H1265" s="138">
        <f t="shared" si="20"/>
        <v>0</v>
      </c>
      <c r="I1265" s="141" t="s">
        <v>15214</v>
      </c>
    </row>
    <row r="1266" spans="1:9" x14ac:dyDescent="0.25">
      <c r="A1266" s="135">
        <v>42865</v>
      </c>
      <c r="B1266" s="142" t="s">
        <v>16747</v>
      </c>
      <c r="C1266" s="143">
        <v>111315</v>
      </c>
      <c r="D1266" s="142" t="s">
        <v>15282</v>
      </c>
      <c r="E1266" s="144">
        <v>2558.4</v>
      </c>
      <c r="F1266" s="145">
        <v>42865</v>
      </c>
      <c r="G1266" s="146">
        <v>2558.4</v>
      </c>
      <c r="H1266" s="138">
        <f t="shared" si="20"/>
        <v>0</v>
      </c>
      <c r="I1266" s="147" t="s">
        <v>15214</v>
      </c>
    </row>
    <row r="1267" spans="1:9" x14ac:dyDescent="0.25">
      <c r="A1267" s="135">
        <v>42865</v>
      </c>
      <c r="B1267" s="136" t="s">
        <v>16748</v>
      </c>
      <c r="C1267" s="137">
        <v>111316</v>
      </c>
      <c r="D1267" s="136" t="s">
        <v>15391</v>
      </c>
      <c r="E1267" s="138">
        <v>7144</v>
      </c>
      <c r="F1267" s="139">
        <v>42866</v>
      </c>
      <c r="G1267" s="140">
        <v>7144</v>
      </c>
      <c r="H1267" s="138">
        <f t="shared" si="20"/>
        <v>0</v>
      </c>
      <c r="I1267" s="141" t="s">
        <v>15214</v>
      </c>
    </row>
    <row r="1268" spans="1:9" x14ac:dyDescent="0.25">
      <c r="A1268" s="135">
        <v>42865</v>
      </c>
      <c r="B1268" s="142" t="s">
        <v>16749</v>
      </c>
      <c r="C1268" s="143">
        <v>111317</v>
      </c>
      <c r="D1268" s="142" t="s">
        <v>16048</v>
      </c>
      <c r="E1268" s="144">
        <v>741.6</v>
      </c>
      <c r="F1268" s="145">
        <v>42865</v>
      </c>
      <c r="G1268" s="146">
        <v>741.6</v>
      </c>
      <c r="H1268" s="138">
        <f t="shared" si="20"/>
        <v>0</v>
      </c>
      <c r="I1268" s="147" t="s">
        <v>15214</v>
      </c>
    </row>
    <row r="1269" spans="1:9" x14ac:dyDescent="0.25">
      <c r="A1269" s="135">
        <v>42865</v>
      </c>
      <c r="B1269" s="136" t="s">
        <v>16750</v>
      </c>
      <c r="C1269" s="137">
        <v>111318</v>
      </c>
      <c r="D1269" s="136" t="s">
        <v>15340</v>
      </c>
      <c r="E1269" s="138">
        <v>6758.4</v>
      </c>
      <c r="F1269" s="139">
        <v>42865</v>
      </c>
      <c r="G1269" s="140">
        <v>6758.4</v>
      </c>
      <c r="H1269" s="138">
        <f t="shared" si="20"/>
        <v>0</v>
      </c>
      <c r="I1269" s="141" t="s">
        <v>15214</v>
      </c>
    </row>
    <row r="1270" spans="1:9" x14ac:dyDescent="0.25">
      <c r="A1270" s="135">
        <v>42865</v>
      </c>
      <c r="B1270" s="142" t="s">
        <v>16751</v>
      </c>
      <c r="C1270" s="143">
        <v>111319</v>
      </c>
      <c r="D1270" s="142" t="s">
        <v>15289</v>
      </c>
      <c r="E1270" s="144">
        <v>1691.1</v>
      </c>
      <c r="F1270" s="145">
        <v>42865</v>
      </c>
      <c r="G1270" s="146">
        <v>1691.1</v>
      </c>
      <c r="H1270" s="138">
        <f t="shared" si="20"/>
        <v>0</v>
      </c>
      <c r="I1270" s="147" t="s">
        <v>15214</v>
      </c>
    </row>
    <row r="1271" spans="1:9" x14ac:dyDescent="0.25">
      <c r="A1271" s="135">
        <v>42865</v>
      </c>
      <c r="B1271" s="136" t="s">
        <v>16752</v>
      </c>
      <c r="C1271" s="137">
        <v>111320</v>
      </c>
      <c r="D1271" s="136" t="s">
        <v>15530</v>
      </c>
      <c r="E1271" s="138">
        <v>3137.2</v>
      </c>
      <c r="F1271" s="139">
        <v>42865</v>
      </c>
      <c r="G1271" s="140">
        <v>3137.2</v>
      </c>
      <c r="H1271" s="138">
        <f t="shared" si="20"/>
        <v>0</v>
      </c>
      <c r="I1271" s="141" t="s">
        <v>15214</v>
      </c>
    </row>
    <row r="1272" spans="1:9" x14ac:dyDescent="0.25">
      <c r="A1272" s="135">
        <v>42865</v>
      </c>
      <c r="B1272" s="142" t="s">
        <v>16753</v>
      </c>
      <c r="C1272" s="143">
        <v>111321</v>
      </c>
      <c r="D1272" s="142" t="s">
        <v>15583</v>
      </c>
      <c r="E1272" s="144">
        <v>1573.2</v>
      </c>
      <c r="F1272" s="145">
        <v>42872</v>
      </c>
      <c r="G1272" s="146">
        <v>1573.2</v>
      </c>
      <c r="H1272" s="138">
        <f t="shared" si="20"/>
        <v>0</v>
      </c>
      <c r="I1272" s="147" t="s">
        <v>15214</v>
      </c>
    </row>
    <row r="1273" spans="1:9" x14ac:dyDescent="0.25">
      <c r="A1273" s="135">
        <v>42865</v>
      </c>
      <c r="B1273" s="136" t="s">
        <v>16754</v>
      </c>
      <c r="C1273" s="137">
        <v>111322</v>
      </c>
      <c r="D1273" s="136" t="s">
        <v>15541</v>
      </c>
      <c r="E1273" s="138">
        <v>2620</v>
      </c>
      <c r="F1273" s="139">
        <v>42865</v>
      </c>
      <c r="G1273" s="140">
        <v>2620</v>
      </c>
      <c r="H1273" s="138">
        <f t="shared" si="20"/>
        <v>0</v>
      </c>
      <c r="I1273" s="141" t="s">
        <v>15214</v>
      </c>
    </row>
    <row r="1274" spans="1:9" x14ac:dyDescent="0.25">
      <c r="A1274" s="135">
        <v>42865</v>
      </c>
      <c r="B1274" s="142" t="s">
        <v>16755</v>
      </c>
      <c r="C1274" s="143">
        <v>111323</v>
      </c>
      <c r="D1274" s="142" t="s">
        <v>15367</v>
      </c>
      <c r="E1274" s="144">
        <v>8120</v>
      </c>
      <c r="F1274" s="145">
        <v>42866</v>
      </c>
      <c r="G1274" s="146">
        <v>8120</v>
      </c>
      <c r="H1274" s="138">
        <f t="shared" si="20"/>
        <v>0</v>
      </c>
      <c r="I1274" s="147" t="s">
        <v>15214</v>
      </c>
    </row>
    <row r="1275" spans="1:9" x14ac:dyDescent="0.25">
      <c r="A1275" s="135">
        <v>42865</v>
      </c>
      <c r="B1275" s="136" t="s">
        <v>16756</v>
      </c>
      <c r="C1275" s="137">
        <v>111324</v>
      </c>
      <c r="D1275" s="136" t="s">
        <v>15665</v>
      </c>
      <c r="E1275" s="138">
        <v>572</v>
      </c>
      <c r="F1275" s="139">
        <v>42865</v>
      </c>
      <c r="G1275" s="140">
        <v>572</v>
      </c>
      <c r="H1275" s="138">
        <f t="shared" si="20"/>
        <v>0</v>
      </c>
      <c r="I1275" s="141" t="s">
        <v>15214</v>
      </c>
    </row>
    <row r="1276" spans="1:9" x14ac:dyDescent="0.25">
      <c r="A1276" s="135">
        <v>42865</v>
      </c>
      <c r="B1276" s="142" t="s">
        <v>16757</v>
      </c>
      <c r="C1276" s="143">
        <v>111325</v>
      </c>
      <c r="D1276" s="142" t="s">
        <v>15510</v>
      </c>
      <c r="E1276" s="144">
        <v>8782.7000000000007</v>
      </c>
      <c r="F1276" s="145">
        <v>42865</v>
      </c>
      <c r="G1276" s="146">
        <v>8782.7000000000007</v>
      </c>
      <c r="H1276" s="138">
        <f t="shared" si="20"/>
        <v>0</v>
      </c>
      <c r="I1276" s="147" t="s">
        <v>15214</v>
      </c>
    </row>
    <row r="1277" spans="1:9" ht="15.75" x14ac:dyDescent="0.25">
      <c r="A1277" s="135">
        <v>42865</v>
      </c>
      <c r="B1277" s="136" t="s">
        <v>16758</v>
      </c>
      <c r="C1277" s="137">
        <v>111326</v>
      </c>
      <c r="D1277" s="136" t="s">
        <v>15539</v>
      </c>
      <c r="E1277" s="138">
        <v>0</v>
      </c>
      <c r="F1277" s="153" t="s">
        <v>95</v>
      </c>
      <c r="G1277" s="138">
        <v>0</v>
      </c>
      <c r="H1277" s="138">
        <f t="shared" si="20"/>
        <v>0</v>
      </c>
      <c r="I1277" s="141" t="s">
        <v>95</v>
      </c>
    </row>
    <row r="1278" spans="1:9" x14ac:dyDescent="0.25">
      <c r="A1278" s="135">
        <v>42865</v>
      </c>
      <c r="B1278" s="142" t="s">
        <v>16759</v>
      </c>
      <c r="C1278" s="143">
        <v>111327</v>
      </c>
      <c r="D1278" s="142" t="s">
        <v>15833</v>
      </c>
      <c r="E1278" s="144">
        <v>14458.5</v>
      </c>
      <c r="F1278" s="145">
        <v>42872</v>
      </c>
      <c r="G1278" s="146">
        <v>14458.5</v>
      </c>
      <c r="H1278" s="138">
        <f t="shared" si="20"/>
        <v>0</v>
      </c>
      <c r="I1278" s="147" t="s">
        <v>15214</v>
      </c>
    </row>
    <row r="1279" spans="1:9" x14ac:dyDescent="0.25">
      <c r="A1279" s="135">
        <v>42865</v>
      </c>
      <c r="B1279" s="136" t="s">
        <v>16760</v>
      </c>
      <c r="C1279" s="137">
        <v>111328</v>
      </c>
      <c r="D1279" s="136" t="s">
        <v>15539</v>
      </c>
      <c r="E1279" s="138">
        <v>13810.8</v>
      </c>
      <c r="F1279" s="139">
        <v>42867</v>
      </c>
      <c r="G1279" s="140">
        <v>13810.8</v>
      </c>
      <c r="H1279" s="138">
        <f t="shared" si="20"/>
        <v>0</v>
      </c>
      <c r="I1279" s="141" t="s">
        <v>15214</v>
      </c>
    </row>
    <row r="1280" spans="1:9" x14ac:dyDescent="0.25">
      <c r="A1280" s="135">
        <v>42865</v>
      </c>
      <c r="B1280" s="142" t="s">
        <v>16761</v>
      </c>
      <c r="C1280" s="143">
        <v>111329</v>
      </c>
      <c r="D1280" s="142" t="s">
        <v>15696</v>
      </c>
      <c r="E1280" s="144">
        <v>15463</v>
      </c>
      <c r="F1280" s="145">
        <v>42867</v>
      </c>
      <c r="G1280" s="146">
        <v>15463</v>
      </c>
      <c r="H1280" s="138">
        <f t="shared" si="20"/>
        <v>0</v>
      </c>
      <c r="I1280" s="147" t="s">
        <v>15214</v>
      </c>
    </row>
    <row r="1281" spans="1:9" x14ac:dyDescent="0.25">
      <c r="A1281" s="135">
        <v>42865</v>
      </c>
      <c r="B1281" s="136" t="s">
        <v>16762</v>
      </c>
      <c r="C1281" s="137">
        <v>111330</v>
      </c>
      <c r="D1281" s="136" t="s">
        <v>15544</v>
      </c>
      <c r="E1281" s="138">
        <v>2975</v>
      </c>
      <c r="F1281" s="139">
        <v>42867</v>
      </c>
      <c r="G1281" s="140">
        <v>2975</v>
      </c>
      <c r="H1281" s="138">
        <f t="shared" si="20"/>
        <v>0</v>
      </c>
      <c r="I1281" s="141" t="s">
        <v>15214</v>
      </c>
    </row>
    <row r="1282" spans="1:9" x14ac:dyDescent="0.25">
      <c r="A1282" s="135">
        <v>42865</v>
      </c>
      <c r="B1282" s="142" t="s">
        <v>16763</v>
      </c>
      <c r="C1282" s="143">
        <v>111331</v>
      </c>
      <c r="D1282" s="142" t="s">
        <v>15398</v>
      </c>
      <c r="E1282" s="144">
        <v>2480.4</v>
      </c>
      <c r="F1282" s="145">
        <v>42865</v>
      </c>
      <c r="G1282" s="146">
        <v>2480.4</v>
      </c>
      <c r="H1282" s="138">
        <f t="shared" si="20"/>
        <v>0</v>
      </c>
      <c r="I1282" s="147" t="s">
        <v>15214</v>
      </c>
    </row>
    <row r="1283" spans="1:9" ht="15.75" x14ac:dyDescent="0.25">
      <c r="A1283" s="135">
        <v>42865</v>
      </c>
      <c r="B1283" s="136" t="s">
        <v>16764</v>
      </c>
      <c r="C1283" s="137">
        <v>111332</v>
      </c>
      <c r="D1283" s="136" t="s">
        <v>15537</v>
      </c>
      <c r="E1283" s="138">
        <v>0</v>
      </c>
      <c r="F1283" s="153" t="s">
        <v>95</v>
      </c>
      <c r="G1283" s="138">
        <v>0</v>
      </c>
      <c r="H1283" s="138">
        <f t="shared" si="20"/>
        <v>0</v>
      </c>
      <c r="I1283" s="141" t="s">
        <v>95</v>
      </c>
    </row>
    <row r="1284" spans="1:9" x14ac:dyDescent="0.25">
      <c r="A1284" s="135">
        <v>42865</v>
      </c>
      <c r="B1284" s="142" t="s">
        <v>16765</v>
      </c>
      <c r="C1284" s="143">
        <v>111333</v>
      </c>
      <c r="D1284" s="142" t="s">
        <v>15537</v>
      </c>
      <c r="E1284" s="144">
        <v>20791.5</v>
      </c>
      <c r="F1284" s="145">
        <v>42867</v>
      </c>
      <c r="G1284" s="146">
        <v>20791.5</v>
      </c>
      <c r="H1284" s="138">
        <f t="shared" ref="H1284:H1347" si="21">E1284-G1284</f>
        <v>0</v>
      </c>
      <c r="I1284" s="147" t="s">
        <v>15214</v>
      </c>
    </row>
    <row r="1285" spans="1:9" x14ac:dyDescent="0.25">
      <c r="A1285" s="135">
        <v>42865</v>
      </c>
      <c r="B1285" s="136" t="s">
        <v>16766</v>
      </c>
      <c r="C1285" s="137">
        <v>111334</v>
      </c>
      <c r="D1285" s="136" t="s">
        <v>16139</v>
      </c>
      <c r="E1285" s="138">
        <v>3040.4</v>
      </c>
      <c r="F1285" s="139">
        <v>42872</v>
      </c>
      <c r="G1285" s="140">
        <v>3040.4</v>
      </c>
      <c r="H1285" s="138">
        <f t="shared" si="21"/>
        <v>0</v>
      </c>
      <c r="I1285" s="141" t="s">
        <v>15214</v>
      </c>
    </row>
    <row r="1286" spans="1:9" x14ac:dyDescent="0.25">
      <c r="A1286" s="135">
        <v>42865</v>
      </c>
      <c r="B1286" s="142" t="s">
        <v>16767</v>
      </c>
      <c r="C1286" s="143">
        <v>111335</v>
      </c>
      <c r="D1286" s="142" t="s">
        <v>15223</v>
      </c>
      <c r="E1286" s="144">
        <v>51519.6</v>
      </c>
      <c r="F1286" s="145">
        <v>42874</v>
      </c>
      <c r="G1286" s="146">
        <v>51519.6</v>
      </c>
      <c r="H1286" s="138">
        <f t="shared" si="21"/>
        <v>0</v>
      </c>
      <c r="I1286" s="147" t="s">
        <v>15214</v>
      </c>
    </row>
    <row r="1287" spans="1:9" x14ac:dyDescent="0.25">
      <c r="A1287" s="135">
        <v>42865</v>
      </c>
      <c r="B1287" s="136" t="s">
        <v>16768</v>
      </c>
      <c r="C1287" s="137">
        <v>111336</v>
      </c>
      <c r="D1287" s="136" t="s">
        <v>15315</v>
      </c>
      <c r="E1287" s="138">
        <v>35624.720000000001</v>
      </c>
      <c r="F1287" s="139">
        <v>42872</v>
      </c>
      <c r="G1287" s="140">
        <v>35624.720000000001</v>
      </c>
      <c r="H1287" s="138">
        <f t="shared" si="21"/>
        <v>0</v>
      </c>
      <c r="I1287" s="141" t="s">
        <v>15214</v>
      </c>
    </row>
    <row r="1288" spans="1:9" x14ac:dyDescent="0.25">
      <c r="A1288" s="135">
        <v>42865</v>
      </c>
      <c r="B1288" s="142" t="s">
        <v>16769</v>
      </c>
      <c r="C1288" s="143">
        <v>111337</v>
      </c>
      <c r="D1288" s="142" t="s">
        <v>15699</v>
      </c>
      <c r="E1288" s="144">
        <v>426.3</v>
      </c>
      <c r="F1288" s="145" t="s">
        <v>16770</v>
      </c>
      <c r="G1288" s="146">
        <f>34.3+392</f>
        <v>426.3</v>
      </c>
      <c r="H1288" s="138">
        <f t="shared" si="21"/>
        <v>0</v>
      </c>
      <c r="I1288" s="147" t="s">
        <v>15214</v>
      </c>
    </row>
    <row r="1289" spans="1:9" x14ac:dyDescent="0.25">
      <c r="A1289" s="135">
        <v>42865</v>
      </c>
      <c r="B1289" s="136" t="s">
        <v>16771</v>
      </c>
      <c r="C1289" s="137">
        <v>111338</v>
      </c>
      <c r="D1289" s="136" t="s">
        <v>15248</v>
      </c>
      <c r="E1289" s="138">
        <v>24683.14</v>
      </c>
      <c r="F1289" s="139">
        <v>42865</v>
      </c>
      <c r="G1289" s="140">
        <v>24683.14</v>
      </c>
      <c r="H1289" s="138">
        <f t="shared" si="21"/>
        <v>0</v>
      </c>
      <c r="I1289" s="141" t="s">
        <v>15214</v>
      </c>
    </row>
    <row r="1290" spans="1:9" x14ac:dyDescent="0.25">
      <c r="A1290" s="135">
        <v>42865</v>
      </c>
      <c r="B1290" s="142" t="s">
        <v>16772</v>
      </c>
      <c r="C1290" s="143">
        <v>111339</v>
      </c>
      <c r="D1290" s="142" t="s">
        <v>15632</v>
      </c>
      <c r="E1290" s="144">
        <v>775.2</v>
      </c>
      <c r="F1290" s="145">
        <v>42865</v>
      </c>
      <c r="G1290" s="146">
        <v>775.2</v>
      </c>
      <c r="H1290" s="138">
        <f t="shared" si="21"/>
        <v>0</v>
      </c>
      <c r="I1290" s="147" t="s">
        <v>15214</v>
      </c>
    </row>
    <row r="1291" spans="1:9" x14ac:dyDescent="0.25">
      <c r="A1291" s="135">
        <v>42865</v>
      </c>
      <c r="B1291" s="136" t="s">
        <v>16773</v>
      </c>
      <c r="C1291" s="137">
        <v>111340</v>
      </c>
      <c r="D1291" s="136" t="s">
        <v>15252</v>
      </c>
      <c r="E1291" s="138">
        <v>3520.8</v>
      </c>
      <c r="F1291" s="139">
        <v>42868</v>
      </c>
      <c r="G1291" s="140">
        <v>3520.8</v>
      </c>
      <c r="H1291" s="138">
        <f t="shared" si="21"/>
        <v>0</v>
      </c>
      <c r="I1291" s="141" t="s">
        <v>15214</v>
      </c>
    </row>
    <row r="1292" spans="1:9" x14ac:dyDescent="0.25">
      <c r="A1292" s="135">
        <v>42865</v>
      </c>
      <c r="B1292" s="142" t="s">
        <v>16774</v>
      </c>
      <c r="C1292" s="143">
        <v>111341</v>
      </c>
      <c r="D1292" s="142" t="s">
        <v>15244</v>
      </c>
      <c r="E1292" s="144">
        <v>10013.5</v>
      </c>
      <c r="F1292" s="145">
        <v>42869</v>
      </c>
      <c r="G1292" s="146">
        <v>10013.5</v>
      </c>
      <c r="H1292" s="138">
        <f t="shared" si="21"/>
        <v>0</v>
      </c>
      <c r="I1292" s="147" t="s">
        <v>15214</v>
      </c>
    </row>
    <row r="1293" spans="1:9" x14ac:dyDescent="0.25">
      <c r="A1293" s="135">
        <v>42865</v>
      </c>
      <c r="B1293" s="136" t="s">
        <v>16775</v>
      </c>
      <c r="C1293" s="137">
        <v>111342</v>
      </c>
      <c r="D1293" s="136" t="s">
        <v>15338</v>
      </c>
      <c r="E1293" s="138">
        <v>8921.2999999999993</v>
      </c>
      <c r="F1293" s="139">
        <v>42870</v>
      </c>
      <c r="G1293" s="140">
        <v>8921.2999999999993</v>
      </c>
      <c r="H1293" s="138">
        <f t="shared" si="21"/>
        <v>0</v>
      </c>
      <c r="I1293" s="141" t="s">
        <v>15214</v>
      </c>
    </row>
    <row r="1294" spans="1:9" x14ac:dyDescent="0.25">
      <c r="A1294" s="135">
        <v>42865</v>
      </c>
      <c r="B1294" s="142" t="s">
        <v>16776</v>
      </c>
      <c r="C1294" s="143">
        <v>111343</v>
      </c>
      <c r="D1294" s="142" t="s">
        <v>15759</v>
      </c>
      <c r="E1294" s="144">
        <v>3888.36</v>
      </c>
      <c r="F1294" s="145">
        <v>42866</v>
      </c>
      <c r="G1294" s="146">
        <v>3888.36</v>
      </c>
      <c r="H1294" s="138">
        <f t="shared" si="21"/>
        <v>0</v>
      </c>
      <c r="I1294" s="147" t="s">
        <v>15214</v>
      </c>
    </row>
    <row r="1295" spans="1:9" x14ac:dyDescent="0.25">
      <c r="A1295" s="135">
        <v>42865</v>
      </c>
      <c r="B1295" s="136" t="s">
        <v>16777</v>
      </c>
      <c r="C1295" s="137">
        <v>111344</v>
      </c>
      <c r="D1295" s="136" t="s">
        <v>5873</v>
      </c>
      <c r="E1295" s="138">
        <v>3633.36</v>
      </c>
      <c r="F1295" s="139">
        <v>42866</v>
      </c>
      <c r="G1295" s="140">
        <v>3633.36</v>
      </c>
      <c r="H1295" s="138">
        <f t="shared" si="21"/>
        <v>0</v>
      </c>
      <c r="I1295" s="141" t="s">
        <v>15214</v>
      </c>
    </row>
    <row r="1296" spans="1:9" x14ac:dyDescent="0.25">
      <c r="A1296" s="135">
        <v>42865</v>
      </c>
      <c r="B1296" s="142" t="s">
        <v>16778</v>
      </c>
      <c r="C1296" s="143">
        <v>111345</v>
      </c>
      <c r="D1296" s="142" t="s">
        <v>15745</v>
      </c>
      <c r="E1296" s="144">
        <v>1313.96</v>
      </c>
      <c r="F1296" s="145">
        <v>42866</v>
      </c>
      <c r="G1296" s="146">
        <v>1313.96</v>
      </c>
      <c r="H1296" s="138">
        <f t="shared" si="21"/>
        <v>0</v>
      </c>
      <c r="I1296" s="147" t="s">
        <v>15214</v>
      </c>
    </row>
    <row r="1297" spans="1:9" x14ac:dyDescent="0.25">
      <c r="A1297" s="135">
        <v>42865</v>
      </c>
      <c r="B1297" s="136" t="s">
        <v>16779</v>
      </c>
      <c r="C1297" s="137">
        <v>111346</v>
      </c>
      <c r="D1297" s="136" t="s">
        <v>15751</v>
      </c>
      <c r="E1297" s="138">
        <v>3206.4</v>
      </c>
      <c r="F1297" s="139">
        <v>42866</v>
      </c>
      <c r="G1297" s="140">
        <v>3206.4</v>
      </c>
      <c r="H1297" s="138">
        <f t="shared" si="21"/>
        <v>0</v>
      </c>
      <c r="I1297" s="141" t="s">
        <v>15214</v>
      </c>
    </row>
    <row r="1298" spans="1:9" x14ac:dyDescent="0.25">
      <c r="A1298" s="135">
        <v>42865</v>
      </c>
      <c r="B1298" s="142" t="s">
        <v>16780</v>
      </c>
      <c r="C1298" s="143">
        <v>111347</v>
      </c>
      <c r="D1298" s="142" t="s">
        <v>15587</v>
      </c>
      <c r="E1298" s="144">
        <v>620.20000000000005</v>
      </c>
      <c r="F1298" s="145">
        <v>42866</v>
      </c>
      <c r="G1298" s="146">
        <v>620.20000000000005</v>
      </c>
      <c r="H1298" s="138">
        <f t="shared" si="21"/>
        <v>0</v>
      </c>
      <c r="I1298" s="147" t="s">
        <v>15214</v>
      </c>
    </row>
    <row r="1299" spans="1:9" x14ac:dyDescent="0.25">
      <c r="A1299" s="135">
        <v>42865</v>
      </c>
      <c r="B1299" s="136" t="s">
        <v>16781</v>
      </c>
      <c r="C1299" s="137">
        <v>111348</v>
      </c>
      <c r="D1299" s="136" t="s">
        <v>15309</v>
      </c>
      <c r="E1299" s="138">
        <v>9012</v>
      </c>
      <c r="F1299" s="139">
        <v>42866</v>
      </c>
      <c r="G1299" s="140">
        <v>9012</v>
      </c>
      <c r="H1299" s="138">
        <f t="shared" si="21"/>
        <v>0</v>
      </c>
      <c r="I1299" s="141" t="s">
        <v>15214</v>
      </c>
    </row>
    <row r="1300" spans="1:9" x14ac:dyDescent="0.25">
      <c r="A1300" s="135">
        <v>42865</v>
      </c>
      <c r="B1300" s="142" t="s">
        <v>16782</v>
      </c>
      <c r="C1300" s="143">
        <v>111349</v>
      </c>
      <c r="D1300" s="142" t="s">
        <v>15301</v>
      </c>
      <c r="E1300" s="144">
        <v>2679.6</v>
      </c>
      <c r="F1300" s="145">
        <v>42866</v>
      </c>
      <c r="G1300" s="146">
        <v>2679.6</v>
      </c>
      <c r="H1300" s="138">
        <f t="shared" si="21"/>
        <v>0</v>
      </c>
      <c r="I1300" s="147" t="s">
        <v>15214</v>
      </c>
    </row>
    <row r="1301" spans="1:9" x14ac:dyDescent="0.25">
      <c r="A1301" s="135">
        <v>42865</v>
      </c>
      <c r="B1301" s="136" t="s">
        <v>16783</v>
      </c>
      <c r="C1301" s="137">
        <v>111350</v>
      </c>
      <c r="D1301" s="136" t="s">
        <v>15510</v>
      </c>
      <c r="E1301" s="138">
        <v>3828.4</v>
      </c>
      <c r="F1301" s="139">
        <v>42867</v>
      </c>
      <c r="G1301" s="140">
        <v>3828.4</v>
      </c>
      <c r="H1301" s="138">
        <f t="shared" si="21"/>
        <v>0</v>
      </c>
      <c r="I1301" s="141" t="s">
        <v>15214</v>
      </c>
    </row>
    <row r="1302" spans="1:9" x14ac:dyDescent="0.25">
      <c r="A1302" s="135">
        <v>42865</v>
      </c>
      <c r="B1302" s="142" t="s">
        <v>16784</v>
      </c>
      <c r="C1302" s="143">
        <v>111351</v>
      </c>
      <c r="D1302" s="142" t="s">
        <v>15415</v>
      </c>
      <c r="E1302" s="144">
        <v>2136</v>
      </c>
      <c r="F1302" s="145">
        <v>42867</v>
      </c>
      <c r="G1302" s="146">
        <v>2136</v>
      </c>
      <c r="H1302" s="138">
        <f t="shared" si="21"/>
        <v>0</v>
      </c>
      <c r="I1302" s="147" t="s">
        <v>15214</v>
      </c>
    </row>
    <row r="1303" spans="1:9" x14ac:dyDescent="0.25">
      <c r="A1303" s="135">
        <v>42865</v>
      </c>
      <c r="B1303" s="136" t="s">
        <v>16785</v>
      </c>
      <c r="C1303" s="137">
        <v>111352</v>
      </c>
      <c r="D1303" s="136" t="s">
        <v>15315</v>
      </c>
      <c r="E1303" s="138">
        <v>404.2</v>
      </c>
      <c r="F1303" s="139">
        <v>42866</v>
      </c>
      <c r="G1303" s="140">
        <v>404.2</v>
      </c>
      <c r="H1303" s="138">
        <f t="shared" si="21"/>
        <v>0</v>
      </c>
      <c r="I1303" s="141" t="s">
        <v>15214</v>
      </c>
    </row>
    <row r="1304" spans="1:9" x14ac:dyDescent="0.25">
      <c r="A1304" s="135">
        <v>42865</v>
      </c>
      <c r="B1304" s="142" t="s">
        <v>16786</v>
      </c>
      <c r="C1304" s="143">
        <v>111353</v>
      </c>
      <c r="D1304" s="142" t="s">
        <v>15276</v>
      </c>
      <c r="E1304" s="144">
        <v>3840</v>
      </c>
      <c r="F1304" s="145">
        <v>42866</v>
      </c>
      <c r="G1304" s="146">
        <v>3840</v>
      </c>
      <c r="H1304" s="138">
        <f t="shared" si="21"/>
        <v>0</v>
      </c>
      <c r="I1304" s="147" t="s">
        <v>15214</v>
      </c>
    </row>
    <row r="1305" spans="1:9" x14ac:dyDescent="0.25">
      <c r="A1305" s="135">
        <v>42865</v>
      </c>
      <c r="B1305" s="136" t="s">
        <v>16787</v>
      </c>
      <c r="C1305" s="137">
        <v>111354</v>
      </c>
      <c r="D1305" s="136" t="s">
        <v>16064</v>
      </c>
      <c r="E1305" s="138">
        <v>4338.3999999999996</v>
      </c>
      <c r="F1305" s="139">
        <v>42866</v>
      </c>
      <c r="G1305" s="140">
        <v>4338.3999999999996</v>
      </c>
      <c r="H1305" s="138">
        <f t="shared" si="21"/>
        <v>0</v>
      </c>
      <c r="I1305" s="141" t="s">
        <v>15214</v>
      </c>
    </row>
    <row r="1306" spans="1:9" x14ac:dyDescent="0.25">
      <c r="A1306" s="135">
        <v>42865</v>
      </c>
      <c r="B1306" s="142" t="s">
        <v>16788</v>
      </c>
      <c r="C1306" s="143">
        <v>111355</v>
      </c>
      <c r="D1306" s="142" t="s">
        <v>15566</v>
      </c>
      <c r="E1306" s="144">
        <v>2586.3000000000002</v>
      </c>
      <c r="F1306" s="145">
        <v>42865</v>
      </c>
      <c r="G1306" s="146">
        <v>2586.3000000000002</v>
      </c>
      <c r="H1306" s="138">
        <f t="shared" si="21"/>
        <v>0</v>
      </c>
      <c r="I1306" s="147" t="s">
        <v>15214</v>
      </c>
    </row>
    <row r="1307" spans="1:9" x14ac:dyDescent="0.25">
      <c r="A1307" s="135">
        <v>42865</v>
      </c>
      <c r="B1307" s="136" t="s">
        <v>16789</v>
      </c>
      <c r="C1307" s="137">
        <v>111356</v>
      </c>
      <c r="D1307" s="136" t="s">
        <v>15346</v>
      </c>
      <c r="E1307" s="138">
        <v>6537.9</v>
      </c>
      <c r="F1307" s="139">
        <v>42866</v>
      </c>
      <c r="G1307" s="140">
        <v>6537.9</v>
      </c>
      <c r="H1307" s="138">
        <f t="shared" si="21"/>
        <v>0</v>
      </c>
      <c r="I1307" s="141" t="s">
        <v>15214</v>
      </c>
    </row>
    <row r="1308" spans="1:9" x14ac:dyDescent="0.25">
      <c r="A1308" s="135">
        <v>42865</v>
      </c>
      <c r="B1308" s="142" t="s">
        <v>16790</v>
      </c>
      <c r="C1308" s="143">
        <v>111357</v>
      </c>
      <c r="D1308" s="142" t="s">
        <v>15725</v>
      </c>
      <c r="E1308" s="144">
        <v>16042</v>
      </c>
      <c r="F1308" s="145">
        <v>42868</v>
      </c>
      <c r="G1308" s="146">
        <v>16042</v>
      </c>
      <c r="H1308" s="138">
        <f t="shared" si="21"/>
        <v>0</v>
      </c>
      <c r="I1308" s="147" t="s">
        <v>15214</v>
      </c>
    </row>
    <row r="1309" spans="1:9" x14ac:dyDescent="0.25">
      <c r="A1309" s="135">
        <v>42865</v>
      </c>
      <c r="B1309" s="136" t="s">
        <v>16791</v>
      </c>
      <c r="C1309" s="137">
        <v>111358</v>
      </c>
      <c r="D1309" s="136" t="s">
        <v>16792</v>
      </c>
      <c r="E1309" s="138">
        <v>1734.6</v>
      </c>
      <c r="F1309" s="139">
        <v>42866</v>
      </c>
      <c r="G1309" s="140">
        <v>1734.6</v>
      </c>
      <c r="H1309" s="138">
        <f t="shared" si="21"/>
        <v>0</v>
      </c>
      <c r="I1309" s="141" t="s">
        <v>15214</v>
      </c>
    </row>
    <row r="1310" spans="1:9" x14ac:dyDescent="0.25">
      <c r="A1310" s="135">
        <v>42865</v>
      </c>
      <c r="B1310" s="142" t="s">
        <v>16793</v>
      </c>
      <c r="C1310" s="143">
        <v>111359</v>
      </c>
      <c r="D1310" s="142" t="s">
        <v>15417</v>
      </c>
      <c r="E1310" s="144">
        <v>2505.1</v>
      </c>
      <c r="F1310" s="145">
        <v>42866</v>
      </c>
      <c r="G1310" s="146">
        <v>2505.1</v>
      </c>
      <c r="H1310" s="138">
        <f t="shared" si="21"/>
        <v>0</v>
      </c>
      <c r="I1310" s="147" t="s">
        <v>15214</v>
      </c>
    </row>
    <row r="1311" spans="1:9" x14ac:dyDescent="0.25">
      <c r="A1311" s="135">
        <v>42865</v>
      </c>
      <c r="B1311" s="136" t="s">
        <v>16794</v>
      </c>
      <c r="C1311" s="137">
        <v>111360</v>
      </c>
      <c r="D1311" s="136" t="s">
        <v>15307</v>
      </c>
      <c r="E1311" s="138">
        <v>2301</v>
      </c>
      <c r="F1311" s="139">
        <v>42866</v>
      </c>
      <c r="G1311" s="140">
        <v>2301</v>
      </c>
      <c r="H1311" s="138">
        <f t="shared" si="21"/>
        <v>0</v>
      </c>
      <c r="I1311" s="141" t="s">
        <v>15214</v>
      </c>
    </row>
    <row r="1312" spans="1:9" x14ac:dyDescent="0.25">
      <c r="A1312" s="135">
        <v>42865</v>
      </c>
      <c r="B1312" s="142" t="s">
        <v>16795</v>
      </c>
      <c r="C1312" s="143">
        <v>111361</v>
      </c>
      <c r="D1312" s="142" t="s">
        <v>15322</v>
      </c>
      <c r="E1312" s="144">
        <v>777.4</v>
      </c>
      <c r="F1312" s="145">
        <v>42865</v>
      </c>
      <c r="G1312" s="146">
        <v>777.4</v>
      </c>
      <c r="H1312" s="138">
        <f t="shared" si="21"/>
        <v>0</v>
      </c>
      <c r="I1312" s="147" t="s">
        <v>15214</v>
      </c>
    </row>
    <row r="1313" spans="1:9" x14ac:dyDescent="0.25">
      <c r="A1313" s="135">
        <v>42865</v>
      </c>
      <c r="B1313" s="136" t="s">
        <v>16796</v>
      </c>
      <c r="C1313" s="137">
        <v>111362</v>
      </c>
      <c r="D1313" s="136" t="s">
        <v>15427</v>
      </c>
      <c r="E1313" s="138">
        <v>25559.200000000001</v>
      </c>
      <c r="F1313" s="139">
        <v>42866</v>
      </c>
      <c r="G1313" s="140">
        <v>25559.200000000001</v>
      </c>
      <c r="H1313" s="138">
        <f t="shared" si="21"/>
        <v>0</v>
      </c>
      <c r="I1313" s="141" t="s">
        <v>15214</v>
      </c>
    </row>
    <row r="1314" spans="1:9" x14ac:dyDescent="0.25">
      <c r="A1314" s="135">
        <v>42865</v>
      </c>
      <c r="B1314" s="142" t="s">
        <v>16797</v>
      </c>
      <c r="C1314" s="143">
        <v>111363</v>
      </c>
      <c r="D1314" s="142" t="s">
        <v>15655</v>
      </c>
      <c r="E1314" s="144">
        <v>3588</v>
      </c>
      <c r="F1314" s="145">
        <v>42865</v>
      </c>
      <c r="G1314" s="146">
        <v>3588</v>
      </c>
      <c r="H1314" s="138">
        <f t="shared" si="21"/>
        <v>0</v>
      </c>
      <c r="I1314" s="147" t="s">
        <v>15214</v>
      </c>
    </row>
    <row r="1315" spans="1:9" x14ac:dyDescent="0.25">
      <c r="A1315" s="135">
        <v>42865</v>
      </c>
      <c r="B1315" s="136" t="s">
        <v>16798</v>
      </c>
      <c r="C1315" s="137">
        <v>111364</v>
      </c>
      <c r="D1315" s="136" t="s">
        <v>15394</v>
      </c>
      <c r="E1315" s="138">
        <v>24184.1</v>
      </c>
      <c r="F1315" s="139" t="s">
        <v>16799</v>
      </c>
      <c r="G1315" s="140">
        <f>14184.1+10000</f>
        <v>24184.1</v>
      </c>
      <c r="H1315" s="138">
        <f t="shared" si="21"/>
        <v>0</v>
      </c>
      <c r="I1315" s="141" t="s">
        <v>15214</v>
      </c>
    </row>
    <row r="1316" spans="1:9" x14ac:dyDescent="0.25">
      <c r="A1316" s="135">
        <v>42865</v>
      </c>
      <c r="B1316" s="142" t="s">
        <v>16800</v>
      </c>
      <c r="C1316" s="143">
        <v>111365</v>
      </c>
      <c r="D1316" s="142" t="s">
        <v>15378</v>
      </c>
      <c r="E1316" s="144">
        <v>5487.3</v>
      </c>
      <c r="F1316" s="145">
        <v>42870</v>
      </c>
      <c r="G1316" s="146">
        <v>5487.3</v>
      </c>
      <c r="H1316" s="138">
        <f t="shared" si="21"/>
        <v>0</v>
      </c>
      <c r="I1316" s="147" t="s">
        <v>15214</v>
      </c>
    </row>
    <row r="1317" spans="1:9" x14ac:dyDescent="0.25">
      <c r="A1317" s="135">
        <v>42865</v>
      </c>
      <c r="B1317" s="136" t="s">
        <v>16801</v>
      </c>
      <c r="C1317" s="137">
        <v>111366</v>
      </c>
      <c r="D1317" s="136" t="s">
        <v>15313</v>
      </c>
      <c r="E1317" s="138">
        <v>5307.9</v>
      </c>
      <c r="F1317" s="139">
        <v>42871</v>
      </c>
      <c r="G1317" s="140">
        <v>5307.9</v>
      </c>
      <c r="H1317" s="138">
        <f t="shared" si="21"/>
        <v>0</v>
      </c>
      <c r="I1317" s="141" t="s">
        <v>15214</v>
      </c>
    </row>
    <row r="1318" spans="1:9" x14ac:dyDescent="0.25">
      <c r="A1318" s="135">
        <v>42865</v>
      </c>
      <c r="B1318" s="142" t="s">
        <v>16802</v>
      </c>
      <c r="C1318" s="143">
        <v>111367</v>
      </c>
      <c r="D1318" s="142" t="s">
        <v>15373</v>
      </c>
      <c r="E1318" s="144">
        <v>20120.7</v>
      </c>
      <c r="F1318" s="145">
        <v>42866</v>
      </c>
      <c r="G1318" s="146">
        <v>20120.7</v>
      </c>
      <c r="H1318" s="138">
        <f t="shared" si="21"/>
        <v>0</v>
      </c>
      <c r="I1318" s="147" t="s">
        <v>15214</v>
      </c>
    </row>
    <row r="1319" spans="1:9" x14ac:dyDescent="0.25">
      <c r="A1319" s="135">
        <v>42865</v>
      </c>
      <c r="B1319" s="136" t="s">
        <v>16803</v>
      </c>
      <c r="C1319" s="137">
        <v>111368</v>
      </c>
      <c r="D1319" s="136" t="s">
        <v>15369</v>
      </c>
      <c r="E1319" s="138">
        <v>27509.7</v>
      </c>
      <c r="F1319" s="139">
        <v>42881</v>
      </c>
      <c r="G1319" s="140">
        <v>27509.7</v>
      </c>
      <c r="H1319" s="138">
        <f t="shared" si="21"/>
        <v>0</v>
      </c>
      <c r="I1319" s="141" t="s">
        <v>15214</v>
      </c>
    </row>
    <row r="1320" spans="1:9" x14ac:dyDescent="0.25">
      <c r="A1320" s="135">
        <v>42865</v>
      </c>
      <c r="B1320" s="142" t="s">
        <v>16804</v>
      </c>
      <c r="C1320" s="143">
        <v>111369</v>
      </c>
      <c r="D1320" s="142" t="s">
        <v>15389</v>
      </c>
      <c r="E1320" s="144">
        <v>8092.7</v>
      </c>
      <c r="F1320" s="145">
        <v>42881</v>
      </c>
      <c r="G1320" s="146">
        <v>8092.7</v>
      </c>
      <c r="H1320" s="138">
        <f t="shared" si="21"/>
        <v>0</v>
      </c>
      <c r="I1320" s="147" t="s">
        <v>15214</v>
      </c>
    </row>
    <row r="1321" spans="1:9" x14ac:dyDescent="0.25">
      <c r="A1321" s="135">
        <v>42865</v>
      </c>
      <c r="B1321" s="136" t="s">
        <v>16805</v>
      </c>
      <c r="C1321" s="137">
        <v>111370</v>
      </c>
      <c r="D1321" s="136" t="s">
        <v>15382</v>
      </c>
      <c r="E1321" s="138">
        <v>9453.2999999999993</v>
      </c>
      <c r="F1321" s="139">
        <v>42881</v>
      </c>
      <c r="G1321" s="140">
        <v>9453.2999999999993</v>
      </c>
      <c r="H1321" s="138">
        <f t="shared" si="21"/>
        <v>0</v>
      </c>
      <c r="I1321" s="141" t="s">
        <v>15214</v>
      </c>
    </row>
    <row r="1322" spans="1:9" x14ac:dyDescent="0.25">
      <c r="A1322" s="135">
        <v>42865</v>
      </c>
      <c r="B1322" s="142" t="s">
        <v>16806</v>
      </c>
      <c r="C1322" s="143">
        <v>111371</v>
      </c>
      <c r="D1322" s="142" t="s">
        <v>15380</v>
      </c>
      <c r="E1322" s="144">
        <v>23656.5</v>
      </c>
      <c r="F1322" s="145">
        <v>42881</v>
      </c>
      <c r="G1322" s="146">
        <v>23656.5</v>
      </c>
      <c r="H1322" s="138">
        <f t="shared" si="21"/>
        <v>0</v>
      </c>
      <c r="I1322" s="147" t="s">
        <v>15214</v>
      </c>
    </row>
    <row r="1323" spans="1:9" x14ac:dyDescent="0.25">
      <c r="A1323" s="135">
        <v>42865</v>
      </c>
      <c r="B1323" s="136" t="s">
        <v>16807</v>
      </c>
      <c r="C1323" s="137">
        <v>111372</v>
      </c>
      <c r="D1323" s="136" t="s">
        <v>15396</v>
      </c>
      <c r="E1323" s="138">
        <v>7158.42</v>
      </c>
      <c r="F1323" s="139">
        <v>42865</v>
      </c>
      <c r="G1323" s="140">
        <v>7158.42</v>
      </c>
      <c r="H1323" s="138">
        <f t="shared" si="21"/>
        <v>0</v>
      </c>
      <c r="I1323" s="141" t="s">
        <v>15214</v>
      </c>
    </row>
    <row r="1324" spans="1:9" ht="15.75" x14ac:dyDescent="0.25">
      <c r="A1324" s="135">
        <v>42865</v>
      </c>
      <c r="B1324" s="142" t="s">
        <v>16808</v>
      </c>
      <c r="C1324" s="143">
        <v>111373</v>
      </c>
      <c r="D1324" s="142" t="s">
        <v>15248</v>
      </c>
      <c r="E1324" s="144">
        <v>0</v>
      </c>
      <c r="F1324" s="156" t="s">
        <v>95</v>
      </c>
      <c r="G1324" s="144">
        <v>0</v>
      </c>
      <c r="H1324" s="138">
        <f t="shared" si="21"/>
        <v>0</v>
      </c>
      <c r="I1324" s="147" t="s">
        <v>95</v>
      </c>
    </row>
    <row r="1325" spans="1:9" x14ac:dyDescent="0.25">
      <c r="A1325" s="135">
        <v>42865</v>
      </c>
      <c r="B1325" s="136" t="s">
        <v>16809</v>
      </c>
      <c r="C1325" s="137">
        <v>111374</v>
      </c>
      <c r="D1325" s="136" t="s">
        <v>15284</v>
      </c>
      <c r="E1325" s="138">
        <v>1244.5999999999999</v>
      </c>
      <c r="F1325" s="139">
        <v>42865</v>
      </c>
      <c r="G1325" s="140">
        <v>1244.5999999999999</v>
      </c>
      <c r="H1325" s="138">
        <f t="shared" si="21"/>
        <v>0</v>
      </c>
      <c r="I1325" s="141" t="s">
        <v>15214</v>
      </c>
    </row>
    <row r="1326" spans="1:9" x14ac:dyDescent="0.25">
      <c r="A1326" s="135">
        <v>42865</v>
      </c>
      <c r="B1326" s="142" t="s">
        <v>16810</v>
      </c>
      <c r="C1326" s="143">
        <v>111375</v>
      </c>
      <c r="D1326" s="142" t="s">
        <v>15315</v>
      </c>
      <c r="E1326" s="144">
        <v>1560</v>
      </c>
      <c r="F1326" s="145">
        <v>42865</v>
      </c>
      <c r="G1326" s="146">
        <v>1560</v>
      </c>
      <c r="H1326" s="138">
        <f t="shared" si="21"/>
        <v>0</v>
      </c>
      <c r="I1326" s="147" t="s">
        <v>15214</v>
      </c>
    </row>
    <row r="1327" spans="1:9" x14ac:dyDescent="0.25">
      <c r="A1327" s="135">
        <v>42865</v>
      </c>
      <c r="B1327" s="136" t="s">
        <v>16811</v>
      </c>
      <c r="C1327" s="137">
        <v>111376</v>
      </c>
      <c r="D1327" s="136" t="s">
        <v>15423</v>
      </c>
      <c r="E1327" s="138">
        <v>80</v>
      </c>
      <c r="F1327" s="139">
        <v>42865</v>
      </c>
      <c r="G1327" s="140">
        <v>80</v>
      </c>
      <c r="H1327" s="138">
        <f t="shared" si="21"/>
        <v>0</v>
      </c>
      <c r="I1327" s="141" t="s">
        <v>15214</v>
      </c>
    </row>
    <row r="1328" spans="1:9" x14ac:dyDescent="0.25">
      <c r="A1328" s="135">
        <v>42865</v>
      </c>
      <c r="B1328" s="142" t="s">
        <v>16812</v>
      </c>
      <c r="C1328" s="143">
        <v>111377</v>
      </c>
      <c r="D1328" s="142" t="s">
        <v>15246</v>
      </c>
      <c r="E1328" s="144">
        <v>334798.2</v>
      </c>
      <c r="F1328" s="145" t="s">
        <v>16813</v>
      </c>
      <c r="G1328" s="146">
        <f>154394.71+180403.49</f>
        <v>334798.19999999995</v>
      </c>
      <c r="H1328" s="138">
        <f t="shared" si="21"/>
        <v>0</v>
      </c>
      <c r="I1328" s="147" t="s">
        <v>15214</v>
      </c>
    </row>
    <row r="1329" spans="1:9" x14ac:dyDescent="0.25">
      <c r="A1329" s="135">
        <v>42865</v>
      </c>
      <c r="B1329" s="136" t="s">
        <v>16814</v>
      </c>
      <c r="C1329" s="137">
        <v>111378</v>
      </c>
      <c r="D1329" s="136" t="s">
        <v>15868</v>
      </c>
      <c r="E1329" s="138">
        <v>7604.8</v>
      </c>
      <c r="F1329" s="139">
        <v>42866</v>
      </c>
      <c r="G1329" s="140">
        <v>7604.8</v>
      </c>
      <c r="H1329" s="138">
        <f t="shared" si="21"/>
        <v>0</v>
      </c>
      <c r="I1329" s="141" t="s">
        <v>15214</v>
      </c>
    </row>
    <row r="1330" spans="1:9" x14ac:dyDescent="0.25">
      <c r="A1330" s="135">
        <v>42865</v>
      </c>
      <c r="B1330" s="142" t="s">
        <v>16815</v>
      </c>
      <c r="C1330" s="143">
        <v>111379</v>
      </c>
      <c r="D1330" s="142" t="s">
        <v>16139</v>
      </c>
      <c r="E1330" s="144">
        <v>12755.2</v>
      </c>
      <c r="F1330" s="145">
        <v>42866</v>
      </c>
      <c r="G1330" s="146">
        <v>12755.2</v>
      </c>
      <c r="H1330" s="138">
        <f t="shared" si="21"/>
        <v>0</v>
      </c>
      <c r="I1330" s="147" t="s">
        <v>15214</v>
      </c>
    </row>
    <row r="1331" spans="1:9" x14ac:dyDescent="0.25">
      <c r="A1331" s="135">
        <v>42865</v>
      </c>
      <c r="B1331" s="136" t="s">
        <v>16816</v>
      </c>
      <c r="C1331" s="137">
        <v>111380</v>
      </c>
      <c r="D1331" s="136" t="s">
        <v>15258</v>
      </c>
      <c r="E1331" s="138">
        <v>9289</v>
      </c>
      <c r="F1331" s="139" t="s">
        <v>16817</v>
      </c>
      <c r="G1331" s="140">
        <f>6000+3289</f>
        <v>9289</v>
      </c>
      <c r="H1331" s="165">
        <f t="shared" si="21"/>
        <v>0</v>
      </c>
      <c r="I1331" s="141" t="s">
        <v>15214</v>
      </c>
    </row>
    <row r="1332" spans="1:9" x14ac:dyDescent="0.25">
      <c r="A1332" s="135">
        <v>42865</v>
      </c>
      <c r="B1332" s="142" t="s">
        <v>16818</v>
      </c>
      <c r="C1332" s="143">
        <v>111381</v>
      </c>
      <c r="D1332" s="142" t="s">
        <v>15592</v>
      </c>
      <c r="E1332" s="144">
        <v>14303.7</v>
      </c>
      <c r="F1332" s="145">
        <v>42866</v>
      </c>
      <c r="G1332" s="146">
        <v>14303.7</v>
      </c>
      <c r="H1332" s="138">
        <f t="shared" si="21"/>
        <v>0</v>
      </c>
      <c r="I1332" s="147" t="s">
        <v>15214</v>
      </c>
    </row>
    <row r="1333" spans="1:9" x14ac:dyDescent="0.25">
      <c r="A1333" s="135">
        <v>42865</v>
      </c>
      <c r="B1333" s="136" t="s">
        <v>16819</v>
      </c>
      <c r="C1333" s="137">
        <v>111382</v>
      </c>
      <c r="D1333" s="136" t="s">
        <v>15592</v>
      </c>
      <c r="E1333" s="138">
        <v>6104.2</v>
      </c>
      <c r="F1333" s="139">
        <v>42866</v>
      </c>
      <c r="G1333" s="140">
        <v>6104.2</v>
      </c>
      <c r="H1333" s="138">
        <f t="shared" si="21"/>
        <v>0</v>
      </c>
      <c r="I1333" s="141" t="s">
        <v>15214</v>
      </c>
    </row>
    <row r="1334" spans="1:9" x14ac:dyDescent="0.25">
      <c r="A1334" s="135">
        <v>42865</v>
      </c>
      <c r="B1334" s="142" t="s">
        <v>16820</v>
      </c>
      <c r="C1334" s="143">
        <v>111383</v>
      </c>
      <c r="D1334" s="142" t="s">
        <v>15246</v>
      </c>
      <c r="E1334" s="144">
        <v>170274.04</v>
      </c>
      <c r="F1334" s="145">
        <v>42868</v>
      </c>
      <c r="G1334" s="146">
        <v>170274.04</v>
      </c>
      <c r="H1334" s="138">
        <f t="shared" si="21"/>
        <v>0</v>
      </c>
      <c r="I1334" s="147" t="s">
        <v>15214</v>
      </c>
    </row>
    <row r="1335" spans="1:9" x14ac:dyDescent="0.25">
      <c r="A1335" s="135">
        <v>42865</v>
      </c>
      <c r="B1335" s="136" t="s">
        <v>16821</v>
      </c>
      <c r="C1335" s="137">
        <v>111384</v>
      </c>
      <c r="D1335" s="136" t="s">
        <v>15376</v>
      </c>
      <c r="E1335" s="138">
        <v>12195.1</v>
      </c>
      <c r="F1335" s="139">
        <v>42866</v>
      </c>
      <c r="G1335" s="140">
        <v>12195.1</v>
      </c>
      <c r="H1335" s="138">
        <f t="shared" si="21"/>
        <v>0</v>
      </c>
      <c r="I1335" s="141" t="s">
        <v>15214</v>
      </c>
    </row>
    <row r="1336" spans="1:9" x14ac:dyDescent="0.25">
      <c r="A1336" s="135">
        <v>42865</v>
      </c>
      <c r="B1336" s="142" t="s">
        <v>16822</v>
      </c>
      <c r="C1336" s="143">
        <v>111385</v>
      </c>
      <c r="D1336" s="142" t="s">
        <v>16522</v>
      </c>
      <c r="E1336" s="144">
        <v>5313.6</v>
      </c>
      <c r="F1336" s="148">
        <v>42893</v>
      </c>
      <c r="G1336" s="149">
        <v>5313.6</v>
      </c>
      <c r="H1336" s="138">
        <f t="shared" si="21"/>
        <v>0</v>
      </c>
      <c r="I1336" s="147" t="s">
        <v>15214</v>
      </c>
    </row>
    <row r="1337" spans="1:9" x14ac:dyDescent="0.25">
      <c r="A1337" s="135">
        <v>42865</v>
      </c>
      <c r="B1337" s="136" t="s">
        <v>16823</v>
      </c>
      <c r="C1337" s="137">
        <v>111386</v>
      </c>
      <c r="D1337" s="136" t="s">
        <v>15315</v>
      </c>
      <c r="E1337" s="138">
        <v>512.70000000000005</v>
      </c>
      <c r="F1337" s="139">
        <v>42866</v>
      </c>
      <c r="G1337" s="140">
        <v>512.70000000000005</v>
      </c>
      <c r="H1337" s="138">
        <f t="shared" si="21"/>
        <v>0</v>
      </c>
      <c r="I1337" s="141" t="s">
        <v>15214</v>
      </c>
    </row>
    <row r="1338" spans="1:9" x14ac:dyDescent="0.25">
      <c r="A1338" s="135">
        <v>42865</v>
      </c>
      <c r="B1338" s="142" t="s">
        <v>16824</v>
      </c>
      <c r="C1338" s="143">
        <v>111387</v>
      </c>
      <c r="D1338" s="142" t="s">
        <v>15296</v>
      </c>
      <c r="E1338" s="144">
        <v>37671.199999999997</v>
      </c>
      <c r="F1338" s="145">
        <v>42881</v>
      </c>
      <c r="G1338" s="146">
        <v>37671.199999999997</v>
      </c>
      <c r="H1338" s="138">
        <f t="shared" si="21"/>
        <v>0</v>
      </c>
      <c r="I1338" s="147" t="s">
        <v>15214</v>
      </c>
    </row>
    <row r="1339" spans="1:9" x14ac:dyDescent="0.25">
      <c r="A1339" s="135">
        <v>42865</v>
      </c>
      <c r="B1339" s="136" t="s">
        <v>16825</v>
      </c>
      <c r="C1339" s="137">
        <v>111388</v>
      </c>
      <c r="D1339" s="136" t="s">
        <v>15232</v>
      </c>
      <c r="E1339" s="138">
        <v>6231</v>
      </c>
      <c r="F1339" s="139">
        <v>42873</v>
      </c>
      <c r="G1339" s="140">
        <v>6231</v>
      </c>
      <c r="H1339" s="138">
        <f t="shared" si="21"/>
        <v>0</v>
      </c>
      <c r="I1339" s="141" t="s">
        <v>15214</v>
      </c>
    </row>
    <row r="1340" spans="1:9" x14ac:dyDescent="0.25">
      <c r="A1340" s="135">
        <v>42865</v>
      </c>
      <c r="B1340" s="142" t="s">
        <v>16826</v>
      </c>
      <c r="C1340" s="143">
        <v>111389</v>
      </c>
      <c r="D1340" s="142" t="s">
        <v>15365</v>
      </c>
      <c r="E1340" s="144">
        <v>204480</v>
      </c>
      <c r="F1340" s="145">
        <v>42868</v>
      </c>
      <c r="G1340" s="146">
        <v>204480</v>
      </c>
      <c r="H1340" s="138">
        <f t="shared" si="21"/>
        <v>0</v>
      </c>
      <c r="I1340" s="147" t="s">
        <v>15214</v>
      </c>
    </row>
    <row r="1341" spans="1:9" x14ac:dyDescent="0.25">
      <c r="A1341" s="135">
        <v>42865</v>
      </c>
      <c r="B1341" s="136" t="s">
        <v>16827</v>
      </c>
      <c r="C1341" s="137">
        <v>111390</v>
      </c>
      <c r="D1341" s="136" t="s">
        <v>15315</v>
      </c>
      <c r="E1341" s="138">
        <v>343.2</v>
      </c>
      <c r="F1341" s="139">
        <v>42865</v>
      </c>
      <c r="G1341" s="140">
        <v>343.2</v>
      </c>
      <c r="H1341" s="138">
        <f t="shared" si="21"/>
        <v>0</v>
      </c>
      <c r="I1341" s="141" t="s">
        <v>15214</v>
      </c>
    </row>
    <row r="1342" spans="1:9" x14ac:dyDescent="0.25">
      <c r="A1342" s="135">
        <v>42865</v>
      </c>
      <c r="B1342" s="142" t="s">
        <v>16828</v>
      </c>
      <c r="C1342" s="143">
        <v>111391</v>
      </c>
      <c r="D1342" s="142" t="s">
        <v>15315</v>
      </c>
      <c r="E1342" s="144">
        <v>355.6</v>
      </c>
      <c r="F1342" s="145">
        <v>42865</v>
      </c>
      <c r="G1342" s="146">
        <v>355.6</v>
      </c>
      <c r="H1342" s="138">
        <f t="shared" si="21"/>
        <v>0</v>
      </c>
      <c r="I1342" s="147" t="s">
        <v>15214</v>
      </c>
    </row>
    <row r="1343" spans="1:9" x14ac:dyDescent="0.25">
      <c r="A1343" s="135">
        <v>42865</v>
      </c>
      <c r="B1343" s="136" t="s">
        <v>16829</v>
      </c>
      <c r="C1343" s="137">
        <v>111392</v>
      </c>
      <c r="D1343" s="136" t="s">
        <v>15267</v>
      </c>
      <c r="E1343" s="138">
        <v>5507</v>
      </c>
      <c r="F1343" s="139">
        <v>42866</v>
      </c>
      <c r="G1343" s="140">
        <v>5507</v>
      </c>
      <c r="H1343" s="138">
        <f t="shared" si="21"/>
        <v>0</v>
      </c>
      <c r="I1343" s="141" t="s">
        <v>15214</v>
      </c>
    </row>
    <row r="1344" spans="1:9" x14ac:dyDescent="0.25">
      <c r="A1344" s="135">
        <v>42865</v>
      </c>
      <c r="B1344" s="142" t="s">
        <v>16830</v>
      </c>
      <c r="C1344" s="143">
        <v>111393</v>
      </c>
      <c r="D1344" s="142" t="s">
        <v>15250</v>
      </c>
      <c r="E1344" s="144">
        <v>36318.660000000003</v>
      </c>
      <c r="F1344" s="145">
        <v>42868</v>
      </c>
      <c r="G1344" s="146">
        <v>36318.660000000003</v>
      </c>
      <c r="H1344" s="138">
        <f t="shared" si="21"/>
        <v>0</v>
      </c>
      <c r="I1344" s="147" t="s">
        <v>15214</v>
      </c>
    </row>
    <row r="1345" spans="1:9" x14ac:dyDescent="0.25">
      <c r="A1345" s="135">
        <v>42865</v>
      </c>
      <c r="B1345" s="136" t="s">
        <v>16831</v>
      </c>
      <c r="C1345" s="137">
        <v>111394</v>
      </c>
      <c r="D1345" s="136" t="s">
        <v>15789</v>
      </c>
      <c r="E1345" s="138">
        <v>32383.200000000001</v>
      </c>
      <c r="F1345" s="139">
        <v>42875</v>
      </c>
      <c r="G1345" s="140">
        <v>32383.200000000001</v>
      </c>
      <c r="H1345" s="138">
        <f t="shared" si="21"/>
        <v>0</v>
      </c>
      <c r="I1345" s="141" t="s">
        <v>15214</v>
      </c>
    </row>
    <row r="1346" spans="1:9" x14ac:dyDescent="0.25">
      <c r="A1346" s="135">
        <v>42865</v>
      </c>
      <c r="B1346" s="142" t="s">
        <v>16832</v>
      </c>
      <c r="C1346" s="143">
        <v>111395</v>
      </c>
      <c r="D1346" s="142" t="s">
        <v>15920</v>
      </c>
      <c r="E1346" s="144">
        <v>30328</v>
      </c>
      <c r="F1346" s="145">
        <v>42872</v>
      </c>
      <c r="G1346" s="146">
        <v>30328</v>
      </c>
      <c r="H1346" s="138">
        <f t="shared" si="21"/>
        <v>0</v>
      </c>
      <c r="I1346" s="147" t="s">
        <v>15214</v>
      </c>
    </row>
    <row r="1347" spans="1:9" x14ac:dyDescent="0.25">
      <c r="A1347" s="135">
        <v>42865</v>
      </c>
      <c r="B1347" s="136" t="s">
        <v>16833</v>
      </c>
      <c r="C1347" s="137">
        <v>111396</v>
      </c>
      <c r="D1347" s="136" t="s">
        <v>15642</v>
      </c>
      <c r="E1347" s="138">
        <v>4409.1000000000004</v>
      </c>
      <c r="F1347" s="139">
        <v>42865</v>
      </c>
      <c r="G1347" s="140">
        <v>4409.1000000000004</v>
      </c>
      <c r="H1347" s="138">
        <f t="shared" si="21"/>
        <v>0</v>
      </c>
      <c r="I1347" s="141" t="s">
        <v>15214</v>
      </c>
    </row>
    <row r="1348" spans="1:9" x14ac:dyDescent="0.25">
      <c r="A1348" s="135">
        <v>42865</v>
      </c>
      <c r="B1348" s="142" t="s">
        <v>16834</v>
      </c>
      <c r="C1348" s="143">
        <v>111397</v>
      </c>
      <c r="D1348" s="142" t="s">
        <v>15936</v>
      </c>
      <c r="E1348" s="144">
        <v>23575.599999999999</v>
      </c>
      <c r="F1348" s="145">
        <v>42865</v>
      </c>
      <c r="G1348" s="146">
        <v>23575.599999999999</v>
      </c>
      <c r="H1348" s="138">
        <f t="shared" ref="H1348:H1411" si="22">E1348-G1348</f>
        <v>0</v>
      </c>
      <c r="I1348" s="147" t="s">
        <v>15214</v>
      </c>
    </row>
    <row r="1349" spans="1:9" x14ac:dyDescent="0.25">
      <c r="A1349" s="135">
        <v>42865</v>
      </c>
      <c r="B1349" s="136" t="s">
        <v>16835</v>
      </c>
      <c r="C1349" s="137">
        <v>111398</v>
      </c>
      <c r="D1349" s="136" t="s">
        <v>15246</v>
      </c>
      <c r="E1349" s="138">
        <v>60639.1</v>
      </c>
      <c r="F1349" s="139">
        <v>42868</v>
      </c>
      <c r="G1349" s="140">
        <v>60639.1</v>
      </c>
      <c r="H1349" s="138">
        <f t="shared" si="22"/>
        <v>0</v>
      </c>
      <c r="I1349" s="141" t="s">
        <v>15214</v>
      </c>
    </row>
    <row r="1350" spans="1:9" x14ac:dyDescent="0.25">
      <c r="A1350" s="135">
        <v>42865</v>
      </c>
      <c r="B1350" s="142" t="s">
        <v>16836</v>
      </c>
      <c r="C1350" s="143">
        <v>111399</v>
      </c>
      <c r="D1350" s="142" t="s">
        <v>15444</v>
      </c>
      <c r="E1350" s="144">
        <v>2827.4</v>
      </c>
      <c r="F1350" s="145">
        <v>42866</v>
      </c>
      <c r="G1350" s="146">
        <v>2827.4</v>
      </c>
      <c r="H1350" s="138">
        <f t="shared" si="22"/>
        <v>0</v>
      </c>
      <c r="I1350" s="147" t="s">
        <v>15214</v>
      </c>
    </row>
    <row r="1351" spans="1:9" x14ac:dyDescent="0.25">
      <c r="A1351" s="135">
        <v>42865</v>
      </c>
      <c r="B1351" s="136" t="s">
        <v>16837</v>
      </c>
      <c r="C1351" s="137">
        <v>111400</v>
      </c>
      <c r="D1351" s="136" t="s">
        <v>15246</v>
      </c>
      <c r="E1351" s="138">
        <v>18387</v>
      </c>
      <c r="F1351" s="139">
        <v>42868</v>
      </c>
      <c r="G1351" s="140">
        <v>18387</v>
      </c>
      <c r="H1351" s="138">
        <f t="shared" si="22"/>
        <v>0</v>
      </c>
      <c r="I1351" s="141" t="s">
        <v>15214</v>
      </c>
    </row>
    <row r="1352" spans="1:9" x14ac:dyDescent="0.25">
      <c r="A1352" s="135">
        <v>42865</v>
      </c>
      <c r="B1352" s="142" t="s">
        <v>16838</v>
      </c>
      <c r="C1352" s="143">
        <v>111401</v>
      </c>
      <c r="D1352" s="142" t="s">
        <v>15435</v>
      </c>
      <c r="E1352" s="144">
        <v>8547.6</v>
      </c>
      <c r="F1352" s="145">
        <v>42865</v>
      </c>
      <c r="G1352" s="146">
        <v>8547.6</v>
      </c>
      <c r="H1352" s="138">
        <f t="shared" si="22"/>
        <v>0</v>
      </c>
      <c r="I1352" s="147" t="s">
        <v>15214</v>
      </c>
    </row>
    <row r="1353" spans="1:9" x14ac:dyDescent="0.25">
      <c r="A1353" s="135">
        <v>42865</v>
      </c>
      <c r="B1353" s="136" t="s">
        <v>16839</v>
      </c>
      <c r="C1353" s="137">
        <v>111402</v>
      </c>
      <c r="D1353" s="136" t="s">
        <v>15435</v>
      </c>
      <c r="E1353" s="138">
        <v>525</v>
      </c>
      <c r="F1353" s="139">
        <v>42865</v>
      </c>
      <c r="G1353" s="140">
        <v>525</v>
      </c>
      <c r="H1353" s="138">
        <f t="shared" si="22"/>
        <v>0</v>
      </c>
      <c r="I1353" s="141" t="s">
        <v>15214</v>
      </c>
    </row>
    <row r="1354" spans="1:9" x14ac:dyDescent="0.25">
      <c r="A1354" s="135">
        <v>42865</v>
      </c>
      <c r="B1354" s="142" t="s">
        <v>16840</v>
      </c>
      <c r="C1354" s="143">
        <v>111403</v>
      </c>
      <c r="D1354" s="142" t="s">
        <v>15267</v>
      </c>
      <c r="E1354" s="144">
        <v>6665.6</v>
      </c>
      <c r="F1354" s="145">
        <v>42866</v>
      </c>
      <c r="G1354" s="146">
        <v>6665.6</v>
      </c>
      <c r="H1354" s="138">
        <f t="shared" si="22"/>
        <v>0</v>
      </c>
      <c r="I1354" s="147" t="s">
        <v>15214</v>
      </c>
    </row>
    <row r="1355" spans="1:9" x14ac:dyDescent="0.25">
      <c r="A1355" s="135">
        <v>42866</v>
      </c>
      <c r="B1355" s="136" t="s">
        <v>16841</v>
      </c>
      <c r="C1355" s="137">
        <v>111404</v>
      </c>
      <c r="D1355" s="136" t="s">
        <v>15213</v>
      </c>
      <c r="E1355" s="138">
        <v>9181.7999999999993</v>
      </c>
      <c r="F1355" s="139">
        <v>42867</v>
      </c>
      <c r="G1355" s="140">
        <v>9181.7999999999993</v>
      </c>
      <c r="H1355" s="138">
        <f t="shared" si="22"/>
        <v>0</v>
      </c>
      <c r="I1355" s="141" t="s">
        <v>15214</v>
      </c>
    </row>
    <row r="1356" spans="1:9" x14ac:dyDescent="0.25">
      <c r="A1356" s="135">
        <v>42866</v>
      </c>
      <c r="B1356" s="142" t="s">
        <v>16842</v>
      </c>
      <c r="C1356" s="143">
        <v>111405</v>
      </c>
      <c r="D1356" s="142" t="s">
        <v>15213</v>
      </c>
      <c r="E1356" s="144">
        <v>24231.599999999999</v>
      </c>
      <c r="F1356" s="145">
        <v>42866</v>
      </c>
      <c r="G1356" s="146">
        <v>24231.599999999999</v>
      </c>
      <c r="H1356" s="138">
        <f t="shared" si="22"/>
        <v>0</v>
      </c>
      <c r="I1356" s="147" t="s">
        <v>15214</v>
      </c>
    </row>
    <row r="1357" spans="1:9" x14ac:dyDescent="0.25">
      <c r="A1357" s="135">
        <v>42866</v>
      </c>
      <c r="B1357" s="136" t="s">
        <v>16843</v>
      </c>
      <c r="C1357" s="137">
        <v>111406</v>
      </c>
      <c r="D1357" s="136" t="s">
        <v>15315</v>
      </c>
      <c r="E1357" s="138">
        <v>2784</v>
      </c>
      <c r="F1357" s="139">
        <v>42866</v>
      </c>
      <c r="G1357" s="140">
        <v>2784</v>
      </c>
      <c r="H1357" s="138">
        <f t="shared" si="22"/>
        <v>0</v>
      </c>
      <c r="I1357" s="141" t="s">
        <v>15214</v>
      </c>
    </row>
    <row r="1358" spans="1:9" x14ac:dyDescent="0.25">
      <c r="A1358" s="135">
        <v>42866</v>
      </c>
      <c r="B1358" s="142" t="s">
        <v>16844</v>
      </c>
      <c r="C1358" s="143">
        <v>111407</v>
      </c>
      <c r="D1358" s="142" t="s">
        <v>15230</v>
      </c>
      <c r="E1358" s="144">
        <v>11445.2</v>
      </c>
      <c r="F1358" s="145">
        <v>42870</v>
      </c>
      <c r="G1358" s="146">
        <v>11445.2</v>
      </c>
      <c r="H1358" s="138">
        <f t="shared" si="22"/>
        <v>0</v>
      </c>
      <c r="I1358" s="147" t="s">
        <v>15214</v>
      </c>
    </row>
    <row r="1359" spans="1:9" x14ac:dyDescent="0.25">
      <c r="A1359" s="135">
        <v>42866</v>
      </c>
      <c r="B1359" s="136" t="s">
        <v>16845</v>
      </c>
      <c r="C1359" s="137">
        <v>111408</v>
      </c>
      <c r="D1359" s="136" t="s">
        <v>15232</v>
      </c>
      <c r="E1359" s="138">
        <v>5701.3</v>
      </c>
      <c r="F1359" s="139">
        <v>42873</v>
      </c>
      <c r="G1359" s="140">
        <v>5701.3</v>
      </c>
      <c r="H1359" s="138">
        <f t="shared" si="22"/>
        <v>0</v>
      </c>
      <c r="I1359" s="141" t="s">
        <v>15214</v>
      </c>
    </row>
    <row r="1360" spans="1:9" x14ac:dyDescent="0.25">
      <c r="A1360" s="135">
        <v>42866</v>
      </c>
      <c r="B1360" s="142" t="s">
        <v>16846</v>
      </c>
      <c r="C1360" s="143">
        <v>111409</v>
      </c>
      <c r="D1360" s="142" t="s">
        <v>15328</v>
      </c>
      <c r="E1360" s="144">
        <v>46857.06</v>
      </c>
      <c r="F1360" s="145">
        <v>42880</v>
      </c>
      <c r="G1360" s="146">
        <v>46857.06</v>
      </c>
      <c r="H1360" s="138">
        <f t="shared" si="22"/>
        <v>0</v>
      </c>
      <c r="I1360" s="147" t="s">
        <v>15214</v>
      </c>
    </row>
    <row r="1361" spans="1:9" x14ac:dyDescent="0.25">
      <c r="A1361" s="135">
        <v>42866</v>
      </c>
      <c r="B1361" s="136" t="s">
        <v>16847</v>
      </c>
      <c r="C1361" s="137">
        <v>111410</v>
      </c>
      <c r="D1361" s="136" t="s">
        <v>15480</v>
      </c>
      <c r="E1361" s="138">
        <v>3115</v>
      </c>
      <c r="F1361" s="139" t="s">
        <v>16848</v>
      </c>
      <c r="G1361" s="140">
        <f>1615+1500</f>
        <v>3115</v>
      </c>
      <c r="H1361" s="138">
        <f t="shared" si="22"/>
        <v>0</v>
      </c>
      <c r="I1361" s="141" t="s">
        <v>15214</v>
      </c>
    </row>
    <row r="1362" spans="1:9" x14ac:dyDescent="0.25">
      <c r="A1362" s="135">
        <v>42866</v>
      </c>
      <c r="B1362" s="142" t="s">
        <v>16849</v>
      </c>
      <c r="C1362" s="143">
        <v>111411</v>
      </c>
      <c r="D1362" s="142" t="s">
        <v>15234</v>
      </c>
      <c r="E1362" s="144">
        <v>3003</v>
      </c>
      <c r="F1362" s="145">
        <v>42870</v>
      </c>
      <c r="G1362" s="146">
        <v>3003</v>
      </c>
      <c r="H1362" s="138">
        <f t="shared" si="22"/>
        <v>0</v>
      </c>
      <c r="I1362" s="147" t="s">
        <v>15214</v>
      </c>
    </row>
    <row r="1363" spans="1:9" x14ac:dyDescent="0.25">
      <c r="A1363" s="135">
        <v>42866</v>
      </c>
      <c r="B1363" s="136" t="s">
        <v>16850</v>
      </c>
      <c r="C1363" s="137">
        <v>111412</v>
      </c>
      <c r="D1363" s="136" t="s">
        <v>15258</v>
      </c>
      <c r="E1363" s="138">
        <v>12761</v>
      </c>
      <c r="F1363" s="139" t="s">
        <v>16851</v>
      </c>
      <c r="G1363" s="140">
        <f>5500+7261</f>
        <v>12761</v>
      </c>
      <c r="H1363" s="138">
        <f t="shared" si="22"/>
        <v>0</v>
      </c>
      <c r="I1363" s="141" t="s">
        <v>15214</v>
      </c>
    </row>
    <row r="1364" spans="1:9" x14ac:dyDescent="0.25">
      <c r="A1364" s="135">
        <v>42866</v>
      </c>
      <c r="B1364" s="142" t="s">
        <v>16852</v>
      </c>
      <c r="C1364" s="143">
        <v>111413</v>
      </c>
      <c r="D1364" s="142" t="s">
        <v>5575</v>
      </c>
      <c r="E1364" s="144">
        <v>3972.6</v>
      </c>
      <c r="F1364" s="145">
        <v>42870</v>
      </c>
      <c r="G1364" s="146">
        <v>3972.6</v>
      </c>
      <c r="H1364" s="138">
        <f t="shared" si="22"/>
        <v>0</v>
      </c>
      <c r="I1364" s="147" t="s">
        <v>15214</v>
      </c>
    </row>
    <row r="1365" spans="1:9" x14ac:dyDescent="0.25">
      <c r="A1365" s="135">
        <v>42866</v>
      </c>
      <c r="B1365" s="136" t="s">
        <v>16853</v>
      </c>
      <c r="C1365" s="137">
        <v>111414</v>
      </c>
      <c r="D1365" s="136" t="s">
        <v>15226</v>
      </c>
      <c r="E1365" s="138">
        <v>2078.4</v>
      </c>
      <c r="F1365" s="139">
        <v>42867</v>
      </c>
      <c r="G1365" s="140">
        <v>2078.4</v>
      </c>
      <c r="H1365" s="138">
        <f t="shared" si="22"/>
        <v>0</v>
      </c>
      <c r="I1365" s="141" t="s">
        <v>15214</v>
      </c>
    </row>
    <row r="1366" spans="1:9" x14ac:dyDescent="0.25">
      <c r="A1366" s="135">
        <v>42866</v>
      </c>
      <c r="B1366" s="142" t="s">
        <v>16854</v>
      </c>
      <c r="C1366" s="143">
        <v>111415</v>
      </c>
      <c r="D1366" s="142" t="s">
        <v>15242</v>
      </c>
      <c r="E1366" s="144">
        <v>19746</v>
      </c>
      <c r="F1366" s="145">
        <v>42866</v>
      </c>
      <c r="G1366" s="146">
        <v>19746</v>
      </c>
      <c r="H1366" s="138">
        <f t="shared" si="22"/>
        <v>0</v>
      </c>
      <c r="I1366" s="147" t="s">
        <v>15214</v>
      </c>
    </row>
    <row r="1367" spans="1:9" x14ac:dyDescent="0.25">
      <c r="A1367" s="135">
        <v>42866</v>
      </c>
      <c r="B1367" s="136" t="s">
        <v>16855</v>
      </c>
      <c r="C1367" s="137">
        <v>111416</v>
      </c>
      <c r="D1367" s="136" t="s">
        <v>15442</v>
      </c>
      <c r="E1367" s="138">
        <v>13887</v>
      </c>
      <c r="F1367" s="139">
        <v>42881</v>
      </c>
      <c r="G1367" s="140">
        <v>13887</v>
      </c>
      <c r="H1367" s="138">
        <f t="shared" si="22"/>
        <v>0</v>
      </c>
      <c r="I1367" s="141" t="s">
        <v>15214</v>
      </c>
    </row>
    <row r="1368" spans="1:9" x14ac:dyDescent="0.25">
      <c r="A1368" s="135">
        <v>42866</v>
      </c>
      <c r="B1368" s="142" t="s">
        <v>16856</v>
      </c>
      <c r="C1368" s="143">
        <v>111417</v>
      </c>
      <c r="D1368" s="142" t="s">
        <v>15220</v>
      </c>
      <c r="E1368" s="144">
        <v>2400</v>
      </c>
      <c r="F1368" s="145">
        <v>42866</v>
      </c>
      <c r="G1368" s="146">
        <v>2400</v>
      </c>
      <c r="H1368" s="138">
        <f t="shared" si="22"/>
        <v>0</v>
      </c>
      <c r="I1368" s="147" t="s">
        <v>15214</v>
      </c>
    </row>
    <row r="1369" spans="1:9" x14ac:dyDescent="0.25">
      <c r="A1369" s="135">
        <v>42866</v>
      </c>
      <c r="B1369" s="136" t="s">
        <v>16857</v>
      </c>
      <c r="C1369" s="137">
        <v>111418</v>
      </c>
      <c r="D1369" s="136" t="s">
        <v>15274</v>
      </c>
      <c r="E1369" s="138">
        <v>3360</v>
      </c>
      <c r="F1369" s="139">
        <v>42866</v>
      </c>
      <c r="G1369" s="140">
        <v>3360</v>
      </c>
      <c r="H1369" s="138">
        <f t="shared" si="22"/>
        <v>0</v>
      </c>
      <c r="I1369" s="141" t="s">
        <v>15214</v>
      </c>
    </row>
    <row r="1370" spans="1:9" x14ac:dyDescent="0.25">
      <c r="A1370" s="135">
        <v>42866</v>
      </c>
      <c r="B1370" s="142" t="s">
        <v>16858</v>
      </c>
      <c r="C1370" s="143">
        <v>111419</v>
      </c>
      <c r="D1370" s="142" t="s">
        <v>15324</v>
      </c>
      <c r="E1370" s="144">
        <v>1142</v>
      </c>
      <c r="F1370" s="145">
        <v>42866</v>
      </c>
      <c r="G1370" s="146">
        <v>1142</v>
      </c>
      <c r="H1370" s="138">
        <f t="shared" si="22"/>
        <v>0</v>
      </c>
      <c r="I1370" s="147" t="s">
        <v>15214</v>
      </c>
    </row>
    <row r="1371" spans="1:9" ht="15.75" x14ac:dyDescent="0.25">
      <c r="A1371" s="135">
        <v>42866</v>
      </c>
      <c r="B1371" s="136" t="s">
        <v>16859</v>
      </c>
      <c r="C1371" s="137">
        <v>111420</v>
      </c>
      <c r="D1371" s="136" t="s">
        <v>15365</v>
      </c>
      <c r="E1371" s="138">
        <v>0</v>
      </c>
      <c r="F1371" s="153" t="s">
        <v>95</v>
      </c>
      <c r="G1371" s="138">
        <v>0</v>
      </c>
      <c r="H1371" s="138">
        <f t="shared" si="22"/>
        <v>0</v>
      </c>
      <c r="I1371" s="141" t="s">
        <v>95</v>
      </c>
    </row>
    <row r="1372" spans="1:9" x14ac:dyDescent="0.25">
      <c r="A1372" s="135">
        <v>42866</v>
      </c>
      <c r="B1372" s="142" t="s">
        <v>16860</v>
      </c>
      <c r="C1372" s="143">
        <v>111421</v>
      </c>
      <c r="D1372" s="142" t="s">
        <v>15365</v>
      </c>
      <c r="E1372" s="144">
        <v>47506.5</v>
      </c>
      <c r="F1372" s="145">
        <v>42868</v>
      </c>
      <c r="G1372" s="146">
        <v>47506.5</v>
      </c>
      <c r="H1372" s="138">
        <f t="shared" si="22"/>
        <v>0</v>
      </c>
      <c r="I1372" s="147" t="s">
        <v>15214</v>
      </c>
    </row>
    <row r="1373" spans="1:9" x14ac:dyDescent="0.25">
      <c r="A1373" s="135">
        <v>42866</v>
      </c>
      <c r="B1373" s="136" t="s">
        <v>16861</v>
      </c>
      <c r="C1373" s="137">
        <v>111422</v>
      </c>
      <c r="D1373" s="136" t="s">
        <v>15344</v>
      </c>
      <c r="E1373" s="138">
        <v>2268.6999999999998</v>
      </c>
      <c r="F1373" s="139">
        <v>42866</v>
      </c>
      <c r="G1373" s="140">
        <v>2268.6999999999998</v>
      </c>
      <c r="H1373" s="138">
        <f t="shared" si="22"/>
        <v>0</v>
      </c>
      <c r="I1373" s="141" t="s">
        <v>15214</v>
      </c>
    </row>
    <row r="1374" spans="1:9" x14ac:dyDescent="0.25">
      <c r="A1374" s="135">
        <v>42866</v>
      </c>
      <c r="B1374" s="142" t="s">
        <v>16862</v>
      </c>
      <c r="C1374" s="143">
        <v>111423</v>
      </c>
      <c r="D1374" s="142" t="s">
        <v>15526</v>
      </c>
      <c r="E1374" s="144">
        <v>3307</v>
      </c>
      <c r="F1374" s="145">
        <v>42866</v>
      </c>
      <c r="G1374" s="146">
        <v>3307</v>
      </c>
      <c r="H1374" s="138">
        <f t="shared" si="22"/>
        <v>0</v>
      </c>
      <c r="I1374" s="147" t="s">
        <v>15214</v>
      </c>
    </row>
    <row r="1375" spans="1:9" x14ac:dyDescent="0.25">
      <c r="A1375" s="135">
        <v>42866</v>
      </c>
      <c r="B1375" s="136" t="s">
        <v>16863</v>
      </c>
      <c r="C1375" s="137">
        <v>111424</v>
      </c>
      <c r="D1375" s="136" t="s">
        <v>15340</v>
      </c>
      <c r="E1375" s="138">
        <v>392</v>
      </c>
      <c r="F1375" s="139">
        <v>42866</v>
      </c>
      <c r="G1375" s="140">
        <v>392</v>
      </c>
      <c r="H1375" s="138">
        <f t="shared" si="22"/>
        <v>0</v>
      </c>
      <c r="I1375" s="141" t="s">
        <v>15214</v>
      </c>
    </row>
    <row r="1376" spans="1:9" x14ac:dyDescent="0.25">
      <c r="A1376" s="135">
        <v>42866</v>
      </c>
      <c r="B1376" s="142" t="s">
        <v>16864</v>
      </c>
      <c r="C1376" s="143">
        <v>111425</v>
      </c>
      <c r="D1376" s="142" t="s">
        <v>16171</v>
      </c>
      <c r="E1376" s="144">
        <v>340.2</v>
      </c>
      <c r="F1376" s="145">
        <v>42866</v>
      </c>
      <c r="G1376" s="146">
        <v>340.2</v>
      </c>
      <c r="H1376" s="138">
        <f t="shared" si="22"/>
        <v>0</v>
      </c>
      <c r="I1376" s="147" t="s">
        <v>15214</v>
      </c>
    </row>
    <row r="1377" spans="1:9" x14ac:dyDescent="0.25">
      <c r="A1377" s="135">
        <v>42866</v>
      </c>
      <c r="B1377" s="136" t="s">
        <v>16865</v>
      </c>
      <c r="C1377" s="137">
        <v>111426</v>
      </c>
      <c r="D1377" s="136" t="s">
        <v>15358</v>
      </c>
      <c r="E1377" s="138">
        <v>2190.1999999999998</v>
      </c>
      <c r="F1377" s="139">
        <v>42866</v>
      </c>
      <c r="G1377" s="140">
        <v>2190.1999999999998</v>
      </c>
      <c r="H1377" s="138">
        <f t="shared" si="22"/>
        <v>0</v>
      </c>
      <c r="I1377" s="141" t="s">
        <v>15214</v>
      </c>
    </row>
    <row r="1378" spans="1:9" x14ac:dyDescent="0.25">
      <c r="A1378" s="135">
        <v>42866</v>
      </c>
      <c r="B1378" s="142" t="s">
        <v>16866</v>
      </c>
      <c r="C1378" s="143">
        <v>111427</v>
      </c>
      <c r="D1378" s="142" t="s">
        <v>15248</v>
      </c>
      <c r="E1378" s="144">
        <v>11996.6</v>
      </c>
      <c r="F1378" s="145">
        <v>42866</v>
      </c>
      <c r="G1378" s="146">
        <v>11996.6</v>
      </c>
      <c r="H1378" s="138">
        <f t="shared" si="22"/>
        <v>0</v>
      </c>
      <c r="I1378" s="147" t="s">
        <v>15214</v>
      </c>
    </row>
    <row r="1379" spans="1:9" x14ac:dyDescent="0.25">
      <c r="A1379" s="135">
        <v>42866</v>
      </c>
      <c r="B1379" s="136" t="s">
        <v>16867</v>
      </c>
      <c r="C1379" s="137">
        <v>111428</v>
      </c>
      <c r="D1379" s="136" t="s">
        <v>15223</v>
      </c>
      <c r="E1379" s="138">
        <v>38200.800000000003</v>
      </c>
      <c r="F1379" s="139">
        <v>42874</v>
      </c>
      <c r="G1379" s="140">
        <v>38200.800000000003</v>
      </c>
      <c r="H1379" s="138">
        <f t="shared" si="22"/>
        <v>0</v>
      </c>
      <c r="I1379" s="141" t="s">
        <v>15214</v>
      </c>
    </row>
    <row r="1380" spans="1:9" x14ac:dyDescent="0.25">
      <c r="A1380" s="135">
        <v>42866</v>
      </c>
      <c r="B1380" s="142" t="s">
        <v>16868</v>
      </c>
      <c r="C1380" s="143">
        <v>111429</v>
      </c>
      <c r="D1380" s="142" t="s">
        <v>15336</v>
      </c>
      <c r="E1380" s="144">
        <v>7332</v>
      </c>
      <c r="F1380" s="145">
        <v>42866</v>
      </c>
      <c r="G1380" s="146">
        <v>7332</v>
      </c>
      <c r="H1380" s="138">
        <f t="shared" si="22"/>
        <v>0</v>
      </c>
      <c r="I1380" s="147" t="s">
        <v>15214</v>
      </c>
    </row>
    <row r="1381" spans="1:9" x14ac:dyDescent="0.25">
      <c r="A1381" s="135">
        <v>42866</v>
      </c>
      <c r="B1381" s="136" t="s">
        <v>16869</v>
      </c>
      <c r="C1381" s="137">
        <v>111430</v>
      </c>
      <c r="D1381" s="136" t="s">
        <v>15272</v>
      </c>
      <c r="E1381" s="138">
        <v>15574.3</v>
      </c>
      <c r="F1381" s="139">
        <v>42866</v>
      </c>
      <c r="G1381" s="140">
        <v>15574.3</v>
      </c>
      <c r="H1381" s="138">
        <f t="shared" si="22"/>
        <v>0</v>
      </c>
      <c r="I1381" s="141" t="s">
        <v>15214</v>
      </c>
    </row>
    <row r="1382" spans="1:9" x14ac:dyDescent="0.25">
      <c r="A1382" s="135">
        <v>42866</v>
      </c>
      <c r="B1382" s="142" t="s">
        <v>16870</v>
      </c>
      <c r="C1382" s="143">
        <v>111431</v>
      </c>
      <c r="D1382" s="142" t="s">
        <v>15332</v>
      </c>
      <c r="E1382" s="144">
        <v>3592.8</v>
      </c>
      <c r="F1382" s="145">
        <v>42866</v>
      </c>
      <c r="G1382" s="146">
        <v>3592.8</v>
      </c>
      <c r="H1382" s="138">
        <f t="shared" si="22"/>
        <v>0</v>
      </c>
      <c r="I1382" s="147" t="s">
        <v>15214</v>
      </c>
    </row>
    <row r="1383" spans="1:9" x14ac:dyDescent="0.25">
      <c r="A1383" s="135">
        <v>42866</v>
      </c>
      <c r="B1383" s="136" t="s">
        <v>16871</v>
      </c>
      <c r="C1383" s="137">
        <v>111432</v>
      </c>
      <c r="D1383" s="136" t="s">
        <v>15240</v>
      </c>
      <c r="E1383" s="138">
        <v>1123.2</v>
      </c>
      <c r="F1383" s="139">
        <v>42868</v>
      </c>
      <c r="G1383" s="140">
        <v>1123.2</v>
      </c>
      <c r="H1383" s="138">
        <f t="shared" si="22"/>
        <v>0</v>
      </c>
      <c r="I1383" s="141" t="s">
        <v>15214</v>
      </c>
    </row>
    <row r="1384" spans="1:9" x14ac:dyDescent="0.25">
      <c r="A1384" s="135">
        <v>42866</v>
      </c>
      <c r="B1384" s="142" t="s">
        <v>16872</v>
      </c>
      <c r="C1384" s="143">
        <v>111433</v>
      </c>
      <c r="D1384" s="142" t="s">
        <v>15240</v>
      </c>
      <c r="E1384" s="144">
        <v>238</v>
      </c>
      <c r="F1384" s="145">
        <v>42868</v>
      </c>
      <c r="G1384" s="146">
        <v>238</v>
      </c>
      <c r="H1384" s="138">
        <f t="shared" si="22"/>
        <v>0</v>
      </c>
      <c r="I1384" s="147" t="s">
        <v>15214</v>
      </c>
    </row>
    <row r="1385" spans="1:9" x14ac:dyDescent="0.25">
      <c r="A1385" s="135">
        <v>42866</v>
      </c>
      <c r="B1385" s="136" t="s">
        <v>16873</v>
      </c>
      <c r="C1385" s="137">
        <v>111434</v>
      </c>
      <c r="D1385" s="136" t="s">
        <v>15348</v>
      </c>
      <c r="E1385" s="138">
        <v>993.6</v>
      </c>
      <c r="F1385" s="139">
        <v>42868</v>
      </c>
      <c r="G1385" s="140">
        <v>993.6</v>
      </c>
      <c r="H1385" s="138">
        <f t="shared" si="22"/>
        <v>0</v>
      </c>
      <c r="I1385" s="141" t="s">
        <v>15214</v>
      </c>
    </row>
    <row r="1386" spans="1:9" x14ac:dyDescent="0.25">
      <c r="A1386" s="135">
        <v>42866</v>
      </c>
      <c r="B1386" s="142" t="s">
        <v>16874</v>
      </c>
      <c r="C1386" s="143">
        <v>111435</v>
      </c>
      <c r="D1386" s="142" t="s">
        <v>15861</v>
      </c>
      <c r="E1386" s="144">
        <v>835.5</v>
      </c>
      <c r="F1386" s="145">
        <v>42866</v>
      </c>
      <c r="G1386" s="146">
        <v>835.5</v>
      </c>
      <c r="H1386" s="138">
        <f t="shared" si="22"/>
        <v>0</v>
      </c>
      <c r="I1386" s="147" t="s">
        <v>15214</v>
      </c>
    </row>
    <row r="1387" spans="1:9" x14ac:dyDescent="0.25">
      <c r="A1387" s="135">
        <v>42866</v>
      </c>
      <c r="B1387" s="136" t="s">
        <v>16875</v>
      </c>
      <c r="C1387" s="137">
        <v>111436</v>
      </c>
      <c r="D1387" s="136" t="s">
        <v>15861</v>
      </c>
      <c r="E1387" s="138">
        <v>1012</v>
      </c>
      <c r="F1387" s="139">
        <v>42866</v>
      </c>
      <c r="G1387" s="140">
        <v>1012</v>
      </c>
      <c r="H1387" s="138">
        <f t="shared" si="22"/>
        <v>0</v>
      </c>
      <c r="I1387" s="141" t="s">
        <v>15214</v>
      </c>
    </row>
    <row r="1388" spans="1:9" x14ac:dyDescent="0.25">
      <c r="A1388" s="135">
        <v>42866</v>
      </c>
      <c r="B1388" s="142" t="s">
        <v>16876</v>
      </c>
      <c r="C1388" s="143">
        <v>111437</v>
      </c>
      <c r="D1388" s="142" t="s">
        <v>15280</v>
      </c>
      <c r="E1388" s="144">
        <v>9164</v>
      </c>
      <c r="F1388" s="145">
        <v>42866</v>
      </c>
      <c r="G1388" s="146">
        <v>9164</v>
      </c>
      <c r="H1388" s="138">
        <f t="shared" si="22"/>
        <v>0</v>
      </c>
      <c r="I1388" s="147" t="s">
        <v>15214</v>
      </c>
    </row>
    <row r="1389" spans="1:9" x14ac:dyDescent="0.25">
      <c r="A1389" s="135">
        <v>42866</v>
      </c>
      <c r="B1389" s="136" t="s">
        <v>16877</v>
      </c>
      <c r="C1389" s="137">
        <v>111438</v>
      </c>
      <c r="D1389" s="136" t="s">
        <v>15334</v>
      </c>
      <c r="E1389" s="138">
        <v>2160</v>
      </c>
      <c r="F1389" s="139">
        <v>42866</v>
      </c>
      <c r="G1389" s="140">
        <v>2160</v>
      </c>
      <c r="H1389" s="138">
        <f t="shared" si="22"/>
        <v>0</v>
      </c>
      <c r="I1389" s="141" t="s">
        <v>15214</v>
      </c>
    </row>
    <row r="1390" spans="1:9" x14ac:dyDescent="0.25">
      <c r="A1390" s="135">
        <v>42866</v>
      </c>
      <c r="B1390" s="142" t="s">
        <v>16878</v>
      </c>
      <c r="C1390" s="143">
        <v>111439</v>
      </c>
      <c r="D1390" s="142" t="s">
        <v>15854</v>
      </c>
      <c r="E1390" s="144">
        <v>2030.4</v>
      </c>
      <c r="F1390" s="145">
        <v>42866</v>
      </c>
      <c r="G1390" s="146">
        <v>2030.4</v>
      </c>
      <c r="H1390" s="138">
        <f t="shared" si="22"/>
        <v>0</v>
      </c>
      <c r="I1390" s="147" t="s">
        <v>15214</v>
      </c>
    </row>
    <row r="1391" spans="1:9" x14ac:dyDescent="0.25">
      <c r="A1391" s="135">
        <v>42866</v>
      </c>
      <c r="B1391" s="136" t="s">
        <v>16879</v>
      </c>
      <c r="C1391" s="137">
        <v>111440</v>
      </c>
      <c r="D1391" s="136" t="s">
        <v>15250</v>
      </c>
      <c r="E1391" s="138">
        <v>37783.760000000002</v>
      </c>
      <c r="F1391" s="139" t="s">
        <v>16880</v>
      </c>
      <c r="G1391" s="140">
        <f>10672+27111.76</f>
        <v>37783.759999999995</v>
      </c>
      <c r="H1391" s="138">
        <f t="shared" si="22"/>
        <v>0</v>
      </c>
      <c r="I1391" s="141" t="s">
        <v>15214</v>
      </c>
    </row>
    <row r="1392" spans="1:9" x14ac:dyDescent="0.25">
      <c r="A1392" s="135">
        <v>42866</v>
      </c>
      <c r="B1392" s="142" t="s">
        <v>16881</v>
      </c>
      <c r="C1392" s="143">
        <v>111441</v>
      </c>
      <c r="D1392" s="142" t="s">
        <v>15246</v>
      </c>
      <c r="E1392" s="144">
        <v>3807.6</v>
      </c>
      <c r="F1392" s="145">
        <v>42868</v>
      </c>
      <c r="G1392" s="146">
        <v>3807.6</v>
      </c>
      <c r="H1392" s="138">
        <f t="shared" si="22"/>
        <v>0</v>
      </c>
      <c r="I1392" s="147" t="s">
        <v>15214</v>
      </c>
    </row>
    <row r="1393" spans="1:9" x14ac:dyDescent="0.25">
      <c r="A1393" s="135">
        <v>42866</v>
      </c>
      <c r="B1393" s="136" t="s">
        <v>16882</v>
      </c>
      <c r="C1393" s="137">
        <v>111442</v>
      </c>
      <c r="D1393" s="136" t="s">
        <v>15282</v>
      </c>
      <c r="E1393" s="138">
        <v>2929.2</v>
      </c>
      <c r="F1393" s="139">
        <v>42866</v>
      </c>
      <c r="G1393" s="140">
        <v>2929.2</v>
      </c>
      <c r="H1393" s="138">
        <f t="shared" si="22"/>
        <v>0</v>
      </c>
      <c r="I1393" s="141" t="s">
        <v>15214</v>
      </c>
    </row>
    <row r="1394" spans="1:9" x14ac:dyDescent="0.25">
      <c r="A1394" s="135">
        <v>42866</v>
      </c>
      <c r="B1394" s="142" t="s">
        <v>16883</v>
      </c>
      <c r="C1394" s="143">
        <v>111443</v>
      </c>
      <c r="D1394" s="142" t="s">
        <v>15544</v>
      </c>
      <c r="E1394" s="144">
        <v>3265.5</v>
      </c>
      <c r="F1394" s="145">
        <v>42874</v>
      </c>
      <c r="G1394" s="146">
        <v>3265.5</v>
      </c>
      <c r="H1394" s="138">
        <f t="shared" si="22"/>
        <v>0</v>
      </c>
      <c r="I1394" s="147" t="s">
        <v>15214</v>
      </c>
    </row>
    <row r="1395" spans="1:9" x14ac:dyDescent="0.25">
      <c r="A1395" s="135">
        <v>42866</v>
      </c>
      <c r="B1395" s="136" t="s">
        <v>16884</v>
      </c>
      <c r="C1395" s="137">
        <v>111444</v>
      </c>
      <c r="D1395" s="136" t="s">
        <v>15833</v>
      </c>
      <c r="E1395" s="138">
        <v>15557.5</v>
      </c>
      <c r="F1395" s="139">
        <v>42872</v>
      </c>
      <c r="G1395" s="140">
        <v>15557.5</v>
      </c>
      <c r="H1395" s="138">
        <f t="shared" si="22"/>
        <v>0</v>
      </c>
      <c r="I1395" s="141" t="s">
        <v>15214</v>
      </c>
    </row>
    <row r="1396" spans="1:9" x14ac:dyDescent="0.25">
      <c r="A1396" s="135">
        <v>42866</v>
      </c>
      <c r="B1396" s="142" t="s">
        <v>16885</v>
      </c>
      <c r="C1396" s="143">
        <v>111445</v>
      </c>
      <c r="D1396" s="142" t="s">
        <v>15559</v>
      </c>
      <c r="E1396" s="144">
        <v>10090.5</v>
      </c>
      <c r="F1396" s="145">
        <v>42872</v>
      </c>
      <c r="G1396" s="146">
        <v>10090.5</v>
      </c>
      <c r="H1396" s="138">
        <f t="shared" si="22"/>
        <v>0</v>
      </c>
      <c r="I1396" s="147" t="s">
        <v>15214</v>
      </c>
    </row>
    <row r="1397" spans="1:9" x14ac:dyDescent="0.25">
      <c r="A1397" s="135">
        <v>42866</v>
      </c>
      <c r="B1397" s="136" t="s">
        <v>16886</v>
      </c>
      <c r="C1397" s="137">
        <v>111446</v>
      </c>
      <c r="D1397" s="136" t="s">
        <v>15315</v>
      </c>
      <c r="E1397" s="138">
        <v>15658.5</v>
      </c>
      <c r="F1397" s="139">
        <v>42872</v>
      </c>
      <c r="G1397" s="140">
        <v>15658.5</v>
      </c>
      <c r="H1397" s="138">
        <f t="shared" si="22"/>
        <v>0</v>
      </c>
      <c r="I1397" s="141" t="s">
        <v>15214</v>
      </c>
    </row>
    <row r="1398" spans="1:9" x14ac:dyDescent="0.25">
      <c r="A1398" s="135">
        <v>42866</v>
      </c>
      <c r="B1398" s="142" t="s">
        <v>16887</v>
      </c>
      <c r="C1398" s="143">
        <v>111447</v>
      </c>
      <c r="D1398" s="142" t="s">
        <v>15250</v>
      </c>
      <c r="E1398" s="144">
        <v>32119.56</v>
      </c>
      <c r="F1398" s="145">
        <v>42877</v>
      </c>
      <c r="G1398" s="146">
        <v>32119.56</v>
      </c>
      <c r="H1398" s="138">
        <f t="shared" si="22"/>
        <v>0</v>
      </c>
      <c r="I1398" s="147" t="s">
        <v>15214</v>
      </c>
    </row>
    <row r="1399" spans="1:9" x14ac:dyDescent="0.25">
      <c r="A1399" s="135">
        <v>42866</v>
      </c>
      <c r="B1399" s="136" t="s">
        <v>16888</v>
      </c>
      <c r="C1399" s="137">
        <v>111448</v>
      </c>
      <c r="D1399" s="136" t="s">
        <v>15539</v>
      </c>
      <c r="E1399" s="138">
        <v>21095.4</v>
      </c>
      <c r="F1399" s="139">
        <v>42872</v>
      </c>
      <c r="G1399" s="140">
        <v>21095.4</v>
      </c>
      <c r="H1399" s="138">
        <f t="shared" si="22"/>
        <v>0</v>
      </c>
      <c r="I1399" s="141" t="s">
        <v>15214</v>
      </c>
    </row>
    <row r="1400" spans="1:9" x14ac:dyDescent="0.25">
      <c r="A1400" s="135">
        <v>42866</v>
      </c>
      <c r="B1400" s="142" t="s">
        <v>16889</v>
      </c>
      <c r="C1400" s="143">
        <v>111449</v>
      </c>
      <c r="D1400" s="142" t="s">
        <v>15326</v>
      </c>
      <c r="E1400" s="144">
        <v>4831.6000000000004</v>
      </c>
      <c r="F1400" s="145">
        <v>42866</v>
      </c>
      <c r="G1400" s="146">
        <v>4831.6000000000004</v>
      </c>
      <c r="H1400" s="138">
        <f t="shared" si="22"/>
        <v>0</v>
      </c>
      <c r="I1400" s="147" t="s">
        <v>15214</v>
      </c>
    </row>
    <row r="1401" spans="1:9" x14ac:dyDescent="0.25">
      <c r="A1401" s="135">
        <v>42866</v>
      </c>
      <c r="B1401" s="136" t="s">
        <v>16890</v>
      </c>
      <c r="C1401" s="137">
        <v>111450</v>
      </c>
      <c r="D1401" s="136" t="s">
        <v>15284</v>
      </c>
      <c r="E1401" s="138">
        <v>2390.9</v>
      </c>
      <c r="F1401" s="139">
        <v>42866</v>
      </c>
      <c r="G1401" s="140">
        <v>2390.9</v>
      </c>
      <c r="H1401" s="138">
        <f t="shared" si="22"/>
        <v>0</v>
      </c>
      <c r="I1401" s="141" t="s">
        <v>15214</v>
      </c>
    </row>
    <row r="1402" spans="1:9" x14ac:dyDescent="0.25">
      <c r="A1402" s="135">
        <v>42866</v>
      </c>
      <c r="B1402" s="142" t="s">
        <v>16891</v>
      </c>
      <c r="C1402" s="143">
        <v>111451</v>
      </c>
      <c r="D1402" s="142" t="s">
        <v>16139</v>
      </c>
      <c r="E1402" s="144">
        <v>2873.9</v>
      </c>
      <c r="F1402" s="145">
        <v>42872</v>
      </c>
      <c r="G1402" s="146">
        <v>2873.9</v>
      </c>
      <c r="H1402" s="138">
        <f t="shared" si="22"/>
        <v>0</v>
      </c>
      <c r="I1402" s="147" t="s">
        <v>15214</v>
      </c>
    </row>
    <row r="1403" spans="1:9" x14ac:dyDescent="0.25">
      <c r="A1403" s="135">
        <v>42866</v>
      </c>
      <c r="B1403" s="136" t="s">
        <v>16892</v>
      </c>
      <c r="C1403" s="137">
        <v>111452</v>
      </c>
      <c r="D1403" s="136" t="s">
        <v>15537</v>
      </c>
      <c r="E1403" s="138">
        <v>29524.7</v>
      </c>
      <c r="F1403" s="139">
        <v>42872</v>
      </c>
      <c r="G1403" s="140">
        <v>29524.7</v>
      </c>
      <c r="H1403" s="138">
        <f t="shared" si="22"/>
        <v>0</v>
      </c>
      <c r="I1403" s="141" t="s">
        <v>15214</v>
      </c>
    </row>
    <row r="1404" spans="1:9" x14ac:dyDescent="0.25">
      <c r="A1404" s="135">
        <v>42866</v>
      </c>
      <c r="B1404" s="142" t="s">
        <v>16893</v>
      </c>
      <c r="C1404" s="143">
        <v>111453</v>
      </c>
      <c r="D1404" s="142" t="s">
        <v>15699</v>
      </c>
      <c r="E1404" s="144">
        <v>8991.5</v>
      </c>
      <c r="F1404" s="145">
        <v>42874</v>
      </c>
      <c r="G1404" s="146">
        <v>8991.5</v>
      </c>
      <c r="H1404" s="138">
        <f t="shared" si="22"/>
        <v>0</v>
      </c>
      <c r="I1404" s="147" t="s">
        <v>15214</v>
      </c>
    </row>
    <row r="1405" spans="1:9" x14ac:dyDescent="0.25">
      <c r="A1405" s="135">
        <v>42866</v>
      </c>
      <c r="B1405" s="136" t="s">
        <v>16894</v>
      </c>
      <c r="C1405" s="137">
        <v>111454</v>
      </c>
      <c r="D1405" s="136" t="s">
        <v>15706</v>
      </c>
      <c r="E1405" s="138">
        <v>2364.1</v>
      </c>
      <c r="F1405" s="139">
        <v>42866</v>
      </c>
      <c r="G1405" s="140">
        <v>2364.1</v>
      </c>
      <c r="H1405" s="138">
        <f t="shared" si="22"/>
        <v>0</v>
      </c>
      <c r="I1405" s="141" t="s">
        <v>15214</v>
      </c>
    </row>
    <row r="1406" spans="1:9" x14ac:dyDescent="0.25">
      <c r="A1406" s="135">
        <v>42866</v>
      </c>
      <c r="B1406" s="142" t="s">
        <v>16895</v>
      </c>
      <c r="C1406" s="143">
        <v>111455</v>
      </c>
      <c r="D1406" s="142" t="s">
        <v>15555</v>
      </c>
      <c r="E1406" s="144">
        <v>36018.050000000003</v>
      </c>
      <c r="F1406" s="145">
        <v>42872</v>
      </c>
      <c r="G1406" s="146">
        <v>36018.050000000003</v>
      </c>
      <c r="H1406" s="138">
        <f t="shared" si="22"/>
        <v>0</v>
      </c>
      <c r="I1406" s="147" t="s">
        <v>15214</v>
      </c>
    </row>
    <row r="1407" spans="1:9" x14ac:dyDescent="0.25">
      <c r="A1407" s="135">
        <v>42866</v>
      </c>
      <c r="B1407" s="136" t="s">
        <v>16896</v>
      </c>
      <c r="C1407" s="137">
        <v>111456</v>
      </c>
      <c r="D1407" s="136" t="s">
        <v>15371</v>
      </c>
      <c r="E1407" s="138">
        <v>2442.6</v>
      </c>
      <c r="F1407" s="139">
        <v>42867</v>
      </c>
      <c r="G1407" s="140">
        <v>2442.6</v>
      </c>
      <c r="H1407" s="138">
        <f t="shared" si="22"/>
        <v>0</v>
      </c>
      <c r="I1407" s="141" t="s">
        <v>15214</v>
      </c>
    </row>
    <row r="1408" spans="1:9" x14ac:dyDescent="0.25">
      <c r="A1408" s="135">
        <v>42866</v>
      </c>
      <c r="B1408" s="142" t="s">
        <v>16897</v>
      </c>
      <c r="C1408" s="143">
        <v>111457</v>
      </c>
      <c r="D1408" s="142" t="s">
        <v>16306</v>
      </c>
      <c r="E1408" s="144">
        <v>33742.9</v>
      </c>
      <c r="F1408" s="145">
        <v>42866</v>
      </c>
      <c r="G1408" s="146">
        <v>33742.9</v>
      </c>
      <c r="H1408" s="138">
        <f t="shared" si="22"/>
        <v>0</v>
      </c>
      <c r="I1408" s="147" t="s">
        <v>15214</v>
      </c>
    </row>
    <row r="1409" spans="1:9" x14ac:dyDescent="0.25">
      <c r="A1409" s="135">
        <v>42866</v>
      </c>
      <c r="B1409" s="136" t="s">
        <v>16898</v>
      </c>
      <c r="C1409" s="137">
        <v>111458</v>
      </c>
      <c r="D1409" s="136" t="s">
        <v>15903</v>
      </c>
      <c r="E1409" s="138">
        <v>68588.2</v>
      </c>
      <c r="F1409" s="139">
        <v>42867</v>
      </c>
      <c r="G1409" s="140">
        <v>68588.2</v>
      </c>
      <c r="H1409" s="138">
        <f t="shared" si="22"/>
        <v>0</v>
      </c>
      <c r="I1409" s="141" t="s">
        <v>15214</v>
      </c>
    </row>
    <row r="1410" spans="1:9" x14ac:dyDescent="0.25">
      <c r="A1410" s="135">
        <v>42866</v>
      </c>
      <c r="B1410" s="142" t="s">
        <v>16899</v>
      </c>
      <c r="C1410" s="143">
        <v>111459</v>
      </c>
      <c r="D1410" s="142" t="s">
        <v>15590</v>
      </c>
      <c r="E1410" s="144">
        <v>9044</v>
      </c>
      <c r="F1410" s="145">
        <v>42880</v>
      </c>
      <c r="G1410" s="146">
        <v>9044</v>
      </c>
      <c r="H1410" s="138">
        <f t="shared" si="22"/>
        <v>0</v>
      </c>
      <c r="I1410" s="147" t="s">
        <v>15214</v>
      </c>
    </row>
    <row r="1411" spans="1:9" x14ac:dyDescent="0.25">
      <c r="A1411" s="135">
        <v>42866</v>
      </c>
      <c r="B1411" s="136" t="s">
        <v>16900</v>
      </c>
      <c r="C1411" s="137">
        <v>111460</v>
      </c>
      <c r="D1411" s="136" t="s">
        <v>15568</v>
      </c>
      <c r="E1411" s="138">
        <v>11871.2</v>
      </c>
      <c r="F1411" s="139">
        <v>42866</v>
      </c>
      <c r="G1411" s="140">
        <v>11871.2</v>
      </c>
      <c r="H1411" s="138">
        <f t="shared" si="22"/>
        <v>0</v>
      </c>
      <c r="I1411" s="141" t="s">
        <v>15214</v>
      </c>
    </row>
    <row r="1412" spans="1:9" x14ac:dyDescent="0.25">
      <c r="A1412" s="135">
        <v>42866</v>
      </c>
      <c r="B1412" s="142" t="s">
        <v>16901</v>
      </c>
      <c r="C1412" s="143">
        <v>111461</v>
      </c>
      <c r="D1412" s="142" t="s">
        <v>15391</v>
      </c>
      <c r="E1412" s="144">
        <v>6520.8</v>
      </c>
      <c r="F1412" s="145">
        <v>42866</v>
      </c>
      <c r="G1412" s="146">
        <v>6520.8</v>
      </c>
      <c r="H1412" s="138">
        <f t="shared" ref="H1412:H1475" si="23">E1412-G1412</f>
        <v>0</v>
      </c>
      <c r="I1412" s="147" t="s">
        <v>15214</v>
      </c>
    </row>
    <row r="1413" spans="1:9" x14ac:dyDescent="0.25">
      <c r="A1413" s="135">
        <v>42866</v>
      </c>
      <c r="B1413" s="136" t="s">
        <v>16902</v>
      </c>
      <c r="C1413" s="137">
        <v>111462</v>
      </c>
      <c r="D1413" s="136" t="s">
        <v>15315</v>
      </c>
      <c r="E1413" s="138">
        <v>1564.5</v>
      </c>
      <c r="F1413" s="139">
        <v>42866</v>
      </c>
      <c r="G1413" s="140">
        <v>1564.5</v>
      </c>
      <c r="H1413" s="138">
        <f t="shared" si="23"/>
        <v>0</v>
      </c>
      <c r="I1413" s="141" t="s">
        <v>15214</v>
      </c>
    </row>
    <row r="1414" spans="1:9" x14ac:dyDescent="0.25">
      <c r="A1414" s="135">
        <v>42866</v>
      </c>
      <c r="B1414" s="142" t="s">
        <v>16903</v>
      </c>
      <c r="C1414" s="143">
        <v>111463</v>
      </c>
      <c r="D1414" s="142" t="s">
        <v>16031</v>
      </c>
      <c r="E1414" s="144">
        <v>2499</v>
      </c>
      <c r="F1414" s="145">
        <v>42866</v>
      </c>
      <c r="G1414" s="146">
        <v>2499</v>
      </c>
      <c r="H1414" s="138">
        <f t="shared" si="23"/>
        <v>0</v>
      </c>
      <c r="I1414" s="147" t="s">
        <v>15214</v>
      </c>
    </row>
    <row r="1415" spans="1:9" x14ac:dyDescent="0.25">
      <c r="A1415" s="135">
        <v>42866</v>
      </c>
      <c r="B1415" s="136" t="s">
        <v>16904</v>
      </c>
      <c r="C1415" s="137">
        <v>111464</v>
      </c>
      <c r="D1415" s="136" t="s">
        <v>15246</v>
      </c>
      <c r="E1415" s="138">
        <v>247183.8</v>
      </c>
      <c r="F1415" s="139">
        <v>42868</v>
      </c>
      <c r="G1415" s="140">
        <v>247183.8</v>
      </c>
      <c r="H1415" s="138">
        <f t="shared" si="23"/>
        <v>0</v>
      </c>
      <c r="I1415" s="141" t="s">
        <v>15214</v>
      </c>
    </row>
    <row r="1416" spans="1:9" x14ac:dyDescent="0.25">
      <c r="A1416" s="135">
        <v>42866</v>
      </c>
      <c r="B1416" s="142" t="s">
        <v>16905</v>
      </c>
      <c r="C1416" s="143">
        <v>111465</v>
      </c>
      <c r="D1416" s="142" t="s">
        <v>15315</v>
      </c>
      <c r="E1416" s="144">
        <v>517</v>
      </c>
      <c r="F1416" s="145">
        <v>42866</v>
      </c>
      <c r="G1416" s="146">
        <v>517</v>
      </c>
      <c r="H1416" s="138">
        <f t="shared" si="23"/>
        <v>0</v>
      </c>
      <c r="I1416" s="147" t="s">
        <v>15214</v>
      </c>
    </row>
    <row r="1417" spans="1:9" x14ac:dyDescent="0.25">
      <c r="A1417" s="135">
        <v>42866</v>
      </c>
      <c r="B1417" s="136" t="s">
        <v>16906</v>
      </c>
      <c r="C1417" s="137">
        <v>111466</v>
      </c>
      <c r="D1417" s="136" t="s">
        <v>15385</v>
      </c>
      <c r="E1417" s="138">
        <v>15111.6</v>
      </c>
      <c r="F1417" s="139">
        <v>42866</v>
      </c>
      <c r="G1417" s="140">
        <v>15111.6</v>
      </c>
      <c r="H1417" s="138">
        <f t="shared" si="23"/>
        <v>0</v>
      </c>
      <c r="I1417" s="141" t="s">
        <v>15214</v>
      </c>
    </row>
    <row r="1418" spans="1:9" x14ac:dyDescent="0.25">
      <c r="A1418" s="135">
        <v>42866</v>
      </c>
      <c r="B1418" s="142" t="s">
        <v>16907</v>
      </c>
      <c r="C1418" s="143">
        <v>111467</v>
      </c>
      <c r="D1418" s="142" t="s">
        <v>15267</v>
      </c>
      <c r="E1418" s="144">
        <v>13011.6</v>
      </c>
      <c r="F1418" s="145">
        <v>42867</v>
      </c>
      <c r="G1418" s="146">
        <v>13011.6</v>
      </c>
      <c r="H1418" s="138">
        <f t="shared" si="23"/>
        <v>0</v>
      </c>
      <c r="I1418" s="147" t="s">
        <v>15214</v>
      </c>
    </row>
    <row r="1419" spans="1:9" x14ac:dyDescent="0.25">
      <c r="A1419" s="135">
        <v>42866</v>
      </c>
      <c r="B1419" s="136" t="s">
        <v>16908</v>
      </c>
      <c r="C1419" s="137">
        <v>111468</v>
      </c>
      <c r="D1419" s="136" t="s">
        <v>15338</v>
      </c>
      <c r="E1419" s="138">
        <v>6559</v>
      </c>
      <c r="F1419" s="139">
        <v>42871</v>
      </c>
      <c r="G1419" s="140">
        <v>6559</v>
      </c>
      <c r="H1419" s="138">
        <f t="shared" si="23"/>
        <v>0</v>
      </c>
      <c r="I1419" s="141" t="s">
        <v>15214</v>
      </c>
    </row>
    <row r="1420" spans="1:9" x14ac:dyDescent="0.25">
      <c r="A1420" s="135">
        <v>42866</v>
      </c>
      <c r="B1420" s="142" t="s">
        <v>16909</v>
      </c>
      <c r="C1420" s="143">
        <v>111469</v>
      </c>
      <c r="D1420" s="142" t="s">
        <v>15252</v>
      </c>
      <c r="E1420" s="144">
        <v>2944.8</v>
      </c>
      <c r="F1420" s="145">
        <v>42868</v>
      </c>
      <c r="G1420" s="146">
        <v>2944.8</v>
      </c>
      <c r="H1420" s="138">
        <f t="shared" si="23"/>
        <v>0</v>
      </c>
      <c r="I1420" s="147" t="s">
        <v>15214</v>
      </c>
    </row>
    <row r="1421" spans="1:9" x14ac:dyDescent="0.25">
      <c r="A1421" s="135">
        <v>42866</v>
      </c>
      <c r="B1421" s="136" t="s">
        <v>16910</v>
      </c>
      <c r="C1421" s="137">
        <v>111470</v>
      </c>
      <c r="D1421" s="136" t="s">
        <v>15244</v>
      </c>
      <c r="E1421" s="138">
        <v>15889.3</v>
      </c>
      <c r="F1421" s="145">
        <v>42869</v>
      </c>
      <c r="G1421" s="146">
        <v>15889.3</v>
      </c>
      <c r="H1421" s="138">
        <f t="shared" si="23"/>
        <v>0</v>
      </c>
      <c r="I1421" s="141" t="s">
        <v>15214</v>
      </c>
    </row>
    <row r="1422" spans="1:9" x14ac:dyDescent="0.25">
      <c r="A1422" s="135">
        <v>42866</v>
      </c>
      <c r="B1422" s="142" t="s">
        <v>16911</v>
      </c>
      <c r="C1422" s="143">
        <v>111471</v>
      </c>
      <c r="D1422" s="142" t="s">
        <v>15541</v>
      </c>
      <c r="E1422" s="144">
        <v>960</v>
      </c>
      <c r="F1422" s="145">
        <v>42866</v>
      </c>
      <c r="G1422" s="146">
        <v>960</v>
      </c>
      <c r="H1422" s="138">
        <f t="shared" si="23"/>
        <v>0</v>
      </c>
      <c r="I1422" s="147" t="s">
        <v>15214</v>
      </c>
    </row>
    <row r="1423" spans="1:9" x14ac:dyDescent="0.25">
      <c r="A1423" s="135">
        <v>42866</v>
      </c>
      <c r="B1423" s="136" t="s">
        <v>16912</v>
      </c>
      <c r="C1423" s="137">
        <v>111472</v>
      </c>
      <c r="D1423" s="136" t="s">
        <v>15254</v>
      </c>
      <c r="E1423" s="138">
        <v>2644.8</v>
      </c>
      <c r="F1423" s="139">
        <v>42870</v>
      </c>
      <c r="G1423" s="140">
        <v>2644.8</v>
      </c>
      <c r="H1423" s="138">
        <f t="shared" si="23"/>
        <v>0</v>
      </c>
      <c r="I1423" s="141" t="s">
        <v>15214</v>
      </c>
    </row>
    <row r="1424" spans="1:9" x14ac:dyDescent="0.25">
      <c r="A1424" s="135">
        <v>42866</v>
      </c>
      <c r="B1424" s="142" t="s">
        <v>16913</v>
      </c>
      <c r="C1424" s="143">
        <v>111473</v>
      </c>
      <c r="D1424" s="142" t="s">
        <v>15301</v>
      </c>
      <c r="E1424" s="144">
        <v>6223.3</v>
      </c>
      <c r="F1424" s="145">
        <v>42867</v>
      </c>
      <c r="G1424" s="146">
        <v>6223.3</v>
      </c>
      <c r="H1424" s="138">
        <f t="shared" si="23"/>
        <v>0</v>
      </c>
      <c r="I1424" s="147" t="s">
        <v>15214</v>
      </c>
    </row>
    <row r="1425" spans="1:9" x14ac:dyDescent="0.25">
      <c r="A1425" s="135">
        <v>42866</v>
      </c>
      <c r="B1425" s="136" t="s">
        <v>16914</v>
      </c>
      <c r="C1425" s="137">
        <v>111474</v>
      </c>
      <c r="D1425" s="136" t="s">
        <v>15417</v>
      </c>
      <c r="E1425" s="138">
        <v>1828.3</v>
      </c>
      <c r="F1425" s="139">
        <v>42867</v>
      </c>
      <c r="G1425" s="140">
        <v>1828.3</v>
      </c>
      <c r="H1425" s="138">
        <f t="shared" si="23"/>
        <v>0</v>
      </c>
      <c r="I1425" s="141" t="s">
        <v>15214</v>
      </c>
    </row>
    <row r="1426" spans="1:9" x14ac:dyDescent="0.25">
      <c r="A1426" s="135">
        <v>42866</v>
      </c>
      <c r="B1426" s="142" t="s">
        <v>16915</v>
      </c>
      <c r="C1426" s="143">
        <v>111475</v>
      </c>
      <c r="D1426" s="142" t="s">
        <v>15617</v>
      </c>
      <c r="E1426" s="144">
        <v>19119.599999999999</v>
      </c>
      <c r="F1426" s="145">
        <v>42867</v>
      </c>
      <c r="G1426" s="146">
        <v>19119.599999999999</v>
      </c>
      <c r="H1426" s="138">
        <f t="shared" si="23"/>
        <v>0</v>
      </c>
      <c r="I1426" s="147" t="s">
        <v>15214</v>
      </c>
    </row>
    <row r="1427" spans="1:9" x14ac:dyDescent="0.25">
      <c r="A1427" s="135">
        <v>42866</v>
      </c>
      <c r="B1427" s="136" t="s">
        <v>16916</v>
      </c>
      <c r="C1427" s="137">
        <v>111476</v>
      </c>
      <c r="D1427" s="136" t="s">
        <v>15317</v>
      </c>
      <c r="E1427" s="138">
        <v>470.4</v>
      </c>
      <c r="F1427" s="139">
        <v>42867</v>
      </c>
      <c r="G1427" s="140">
        <v>470.4</v>
      </c>
      <c r="H1427" s="138">
        <f t="shared" si="23"/>
        <v>0</v>
      </c>
      <c r="I1427" s="141" t="s">
        <v>15214</v>
      </c>
    </row>
    <row r="1428" spans="1:9" x14ac:dyDescent="0.25">
      <c r="A1428" s="135">
        <v>42866</v>
      </c>
      <c r="B1428" s="142" t="s">
        <v>16917</v>
      </c>
      <c r="C1428" s="143">
        <v>111477</v>
      </c>
      <c r="D1428" s="142" t="s">
        <v>15305</v>
      </c>
      <c r="E1428" s="144">
        <v>950.7</v>
      </c>
      <c r="F1428" s="145">
        <v>42867</v>
      </c>
      <c r="G1428" s="146">
        <v>950.7</v>
      </c>
      <c r="H1428" s="138">
        <f t="shared" si="23"/>
        <v>0</v>
      </c>
      <c r="I1428" s="147" t="s">
        <v>15214</v>
      </c>
    </row>
    <row r="1429" spans="1:9" x14ac:dyDescent="0.25">
      <c r="A1429" s="135">
        <v>42866</v>
      </c>
      <c r="B1429" s="136" t="s">
        <v>16918</v>
      </c>
      <c r="C1429" s="137">
        <v>111478</v>
      </c>
      <c r="D1429" s="136" t="s">
        <v>15315</v>
      </c>
      <c r="E1429" s="138">
        <v>488.8</v>
      </c>
      <c r="F1429" s="139">
        <v>42867</v>
      </c>
      <c r="G1429" s="140">
        <v>488.8</v>
      </c>
      <c r="H1429" s="138">
        <f t="shared" si="23"/>
        <v>0</v>
      </c>
      <c r="I1429" s="141" t="s">
        <v>15214</v>
      </c>
    </row>
    <row r="1430" spans="1:9" x14ac:dyDescent="0.25">
      <c r="A1430" s="135">
        <v>42866</v>
      </c>
      <c r="B1430" s="142" t="s">
        <v>16919</v>
      </c>
      <c r="C1430" s="143">
        <v>111479</v>
      </c>
      <c r="D1430" s="142" t="s">
        <v>15311</v>
      </c>
      <c r="E1430" s="144">
        <v>1805.4</v>
      </c>
      <c r="F1430" s="145">
        <v>42867</v>
      </c>
      <c r="G1430" s="146">
        <v>1805.4</v>
      </c>
      <c r="H1430" s="138">
        <f t="shared" si="23"/>
        <v>0</v>
      </c>
      <c r="I1430" s="147" t="s">
        <v>15214</v>
      </c>
    </row>
    <row r="1431" spans="1:9" x14ac:dyDescent="0.25">
      <c r="A1431" s="135">
        <v>42866</v>
      </c>
      <c r="B1431" s="136" t="s">
        <v>16920</v>
      </c>
      <c r="C1431" s="137">
        <v>111480</v>
      </c>
      <c r="D1431" s="136" t="s">
        <v>15835</v>
      </c>
      <c r="E1431" s="138">
        <v>16865.900000000001</v>
      </c>
      <c r="F1431" s="139">
        <v>42867</v>
      </c>
      <c r="G1431" s="140">
        <v>16865.900000000001</v>
      </c>
      <c r="H1431" s="138">
        <f t="shared" si="23"/>
        <v>0</v>
      </c>
      <c r="I1431" s="141" t="s">
        <v>15214</v>
      </c>
    </row>
    <row r="1432" spans="1:9" x14ac:dyDescent="0.25">
      <c r="A1432" s="135">
        <v>42866</v>
      </c>
      <c r="B1432" s="142" t="s">
        <v>16921</v>
      </c>
      <c r="C1432" s="143">
        <v>111481</v>
      </c>
      <c r="D1432" s="142" t="s">
        <v>15291</v>
      </c>
      <c r="E1432" s="144">
        <v>480</v>
      </c>
      <c r="F1432" s="145">
        <v>42867</v>
      </c>
      <c r="G1432" s="146">
        <v>480</v>
      </c>
      <c r="H1432" s="138">
        <f t="shared" si="23"/>
        <v>0</v>
      </c>
      <c r="I1432" s="147" t="s">
        <v>15214</v>
      </c>
    </row>
    <row r="1433" spans="1:9" x14ac:dyDescent="0.25">
      <c r="A1433" s="135">
        <v>42866</v>
      </c>
      <c r="B1433" s="136" t="s">
        <v>16922</v>
      </c>
      <c r="C1433" s="137">
        <v>111482</v>
      </c>
      <c r="D1433" s="136" t="s">
        <v>15665</v>
      </c>
      <c r="E1433" s="138">
        <v>340</v>
      </c>
      <c r="F1433" s="139">
        <v>42866</v>
      </c>
      <c r="G1433" s="140">
        <v>340</v>
      </c>
      <c r="H1433" s="138">
        <f t="shared" si="23"/>
        <v>0</v>
      </c>
      <c r="I1433" s="141" t="s">
        <v>15214</v>
      </c>
    </row>
    <row r="1434" spans="1:9" x14ac:dyDescent="0.25">
      <c r="A1434" s="135">
        <v>42866</v>
      </c>
      <c r="B1434" s="142" t="s">
        <v>16923</v>
      </c>
      <c r="C1434" s="143">
        <v>111483</v>
      </c>
      <c r="D1434" s="142" t="s">
        <v>15276</v>
      </c>
      <c r="E1434" s="144">
        <v>4800</v>
      </c>
      <c r="F1434" s="145">
        <v>42867</v>
      </c>
      <c r="G1434" s="146">
        <v>4800</v>
      </c>
      <c r="H1434" s="138">
        <f t="shared" si="23"/>
        <v>0</v>
      </c>
      <c r="I1434" s="147" t="s">
        <v>15214</v>
      </c>
    </row>
    <row r="1435" spans="1:9" x14ac:dyDescent="0.25">
      <c r="A1435" s="135">
        <v>42866</v>
      </c>
      <c r="B1435" s="136" t="s">
        <v>16924</v>
      </c>
      <c r="C1435" s="137">
        <v>111484</v>
      </c>
      <c r="D1435" s="136" t="s">
        <v>15246</v>
      </c>
      <c r="E1435" s="138">
        <v>26888.799999999999</v>
      </c>
      <c r="F1435" s="139">
        <v>42868</v>
      </c>
      <c r="G1435" s="140">
        <v>26888.799999999999</v>
      </c>
      <c r="H1435" s="138">
        <f t="shared" si="23"/>
        <v>0</v>
      </c>
      <c r="I1435" s="141" t="s">
        <v>15214</v>
      </c>
    </row>
    <row r="1436" spans="1:9" x14ac:dyDescent="0.25">
      <c r="A1436" s="135">
        <v>42866</v>
      </c>
      <c r="B1436" s="142" t="s">
        <v>16925</v>
      </c>
      <c r="C1436" s="143">
        <v>111485</v>
      </c>
      <c r="D1436" s="142" t="s">
        <v>15246</v>
      </c>
      <c r="E1436" s="144">
        <v>2700</v>
      </c>
      <c r="F1436" s="145">
        <v>42868</v>
      </c>
      <c r="G1436" s="146">
        <v>2700</v>
      </c>
      <c r="H1436" s="138">
        <f t="shared" si="23"/>
        <v>0</v>
      </c>
      <c r="I1436" s="147" t="s">
        <v>15214</v>
      </c>
    </row>
    <row r="1437" spans="1:9" x14ac:dyDescent="0.25">
      <c r="A1437" s="135">
        <v>42866</v>
      </c>
      <c r="B1437" s="136" t="s">
        <v>16926</v>
      </c>
      <c r="C1437" s="137">
        <v>111486</v>
      </c>
      <c r="D1437" s="136" t="s">
        <v>15298</v>
      </c>
      <c r="E1437" s="138">
        <v>19848.900000000001</v>
      </c>
      <c r="F1437" s="139">
        <v>39220</v>
      </c>
      <c r="G1437" s="140">
        <v>19848.900000000001</v>
      </c>
      <c r="H1437" s="138">
        <f t="shared" si="23"/>
        <v>0</v>
      </c>
      <c r="I1437" s="141" t="s">
        <v>15214</v>
      </c>
    </row>
    <row r="1438" spans="1:9" x14ac:dyDescent="0.25">
      <c r="A1438" s="135">
        <v>42866</v>
      </c>
      <c r="B1438" s="142" t="s">
        <v>16927</v>
      </c>
      <c r="C1438" s="143">
        <v>111487</v>
      </c>
      <c r="D1438" s="142" t="s">
        <v>15930</v>
      </c>
      <c r="E1438" s="144">
        <v>4807</v>
      </c>
      <c r="F1438" s="145">
        <v>42867</v>
      </c>
      <c r="G1438" s="146">
        <v>4807</v>
      </c>
      <c r="H1438" s="138">
        <f t="shared" si="23"/>
        <v>0</v>
      </c>
      <c r="I1438" s="147" t="s">
        <v>15214</v>
      </c>
    </row>
    <row r="1439" spans="1:9" x14ac:dyDescent="0.25">
      <c r="A1439" s="135">
        <v>42866</v>
      </c>
      <c r="B1439" s="136" t="s">
        <v>16928</v>
      </c>
      <c r="C1439" s="137">
        <v>111488</v>
      </c>
      <c r="D1439" s="136" t="s">
        <v>15728</v>
      </c>
      <c r="E1439" s="138">
        <v>8510.2000000000007</v>
      </c>
      <c r="F1439" s="139">
        <v>42866</v>
      </c>
      <c r="G1439" s="140">
        <v>8510.2000000000007</v>
      </c>
      <c r="H1439" s="138">
        <f t="shared" si="23"/>
        <v>0</v>
      </c>
      <c r="I1439" s="141" t="s">
        <v>15214</v>
      </c>
    </row>
    <row r="1440" spans="1:9" x14ac:dyDescent="0.25">
      <c r="A1440" s="135">
        <v>42866</v>
      </c>
      <c r="B1440" s="142" t="s">
        <v>16929</v>
      </c>
      <c r="C1440" s="143">
        <v>111489</v>
      </c>
      <c r="D1440" s="142" t="s">
        <v>15246</v>
      </c>
      <c r="E1440" s="144">
        <v>524.79999999999995</v>
      </c>
      <c r="F1440" s="145">
        <v>42868</v>
      </c>
      <c r="G1440" s="146">
        <v>524.79999999999995</v>
      </c>
      <c r="H1440" s="138">
        <f t="shared" si="23"/>
        <v>0</v>
      </c>
      <c r="I1440" s="147" t="s">
        <v>15214</v>
      </c>
    </row>
    <row r="1441" spans="1:9" x14ac:dyDescent="0.25">
      <c r="A1441" s="135">
        <v>42866</v>
      </c>
      <c r="B1441" s="136" t="s">
        <v>16930</v>
      </c>
      <c r="C1441" s="137">
        <v>111490</v>
      </c>
      <c r="D1441" s="136" t="s">
        <v>15263</v>
      </c>
      <c r="E1441" s="138">
        <v>1298.8</v>
      </c>
      <c r="F1441" s="139">
        <v>42866</v>
      </c>
      <c r="G1441" s="140">
        <v>1298.8</v>
      </c>
      <c r="H1441" s="138">
        <f t="shared" si="23"/>
        <v>0</v>
      </c>
      <c r="I1441" s="141" t="s">
        <v>15214</v>
      </c>
    </row>
    <row r="1442" spans="1:9" ht="15.75" x14ac:dyDescent="0.25">
      <c r="A1442" s="135">
        <v>42866</v>
      </c>
      <c r="B1442" s="142" t="s">
        <v>16931</v>
      </c>
      <c r="C1442" s="143">
        <v>111491</v>
      </c>
      <c r="D1442" s="142" t="s">
        <v>16093</v>
      </c>
      <c r="E1442" s="144">
        <v>0</v>
      </c>
      <c r="F1442" s="156" t="s">
        <v>95</v>
      </c>
      <c r="G1442" s="144">
        <v>0</v>
      </c>
      <c r="H1442" s="138">
        <f t="shared" si="23"/>
        <v>0</v>
      </c>
      <c r="I1442" s="147" t="s">
        <v>95</v>
      </c>
    </row>
    <row r="1443" spans="1:9" x14ac:dyDescent="0.25">
      <c r="A1443" s="135">
        <v>42866</v>
      </c>
      <c r="B1443" s="136" t="s">
        <v>16932</v>
      </c>
      <c r="C1443" s="137">
        <v>111492</v>
      </c>
      <c r="D1443" s="136" t="s">
        <v>16093</v>
      </c>
      <c r="E1443" s="138">
        <v>3687.9</v>
      </c>
      <c r="F1443" s="139">
        <v>42867</v>
      </c>
      <c r="G1443" s="140">
        <v>3687.9</v>
      </c>
      <c r="H1443" s="138">
        <f t="shared" si="23"/>
        <v>0</v>
      </c>
      <c r="I1443" s="141" t="s">
        <v>15214</v>
      </c>
    </row>
    <row r="1444" spans="1:9" x14ac:dyDescent="0.25">
      <c r="A1444" s="135">
        <v>42866</v>
      </c>
      <c r="B1444" s="142" t="s">
        <v>16933</v>
      </c>
      <c r="C1444" s="143">
        <v>111493</v>
      </c>
      <c r="D1444" s="142" t="s">
        <v>15296</v>
      </c>
      <c r="E1444" s="144">
        <v>33262.559999999998</v>
      </c>
      <c r="F1444" s="145">
        <v>42881</v>
      </c>
      <c r="G1444" s="146">
        <v>33262.559999999998</v>
      </c>
      <c r="H1444" s="138">
        <f t="shared" si="23"/>
        <v>0</v>
      </c>
      <c r="I1444" s="147" t="s">
        <v>15214</v>
      </c>
    </row>
    <row r="1445" spans="1:9" x14ac:dyDescent="0.25">
      <c r="A1445" s="135">
        <v>42866</v>
      </c>
      <c r="B1445" s="136" t="s">
        <v>16934</v>
      </c>
      <c r="C1445" s="137">
        <v>111494</v>
      </c>
      <c r="D1445" s="136" t="s">
        <v>15566</v>
      </c>
      <c r="E1445" s="138">
        <v>154</v>
      </c>
      <c r="F1445" s="139">
        <v>42866</v>
      </c>
      <c r="G1445" s="140">
        <v>154</v>
      </c>
      <c r="H1445" s="138">
        <f t="shared" si="23"/>
        <v>0</v>
      </c>
      <c r="I1445" s="141" t="s">
        <v>15214</v>
      </c>
    </row>
    <row r="1446" spans="1:9" x14ac:dyDescent="0.25">
      <c r="A1446" s="135">
        <v>42866</v>
      </c>
      <c r="B1446" s="142" t="s">
        <v>16935</v>
      </c>
      <c r="C1446" s="143">
        <v>111495</v>
      </c>
      <c r="D1446" s="142" t="s">
        <v>15956</v>
      </c>
      <c r="E1446" s="144">
        <v>2846.8</v>
      </c>
      <c r="F1446" s="161">
        <v>42866</v>
      </c>
      <c r="G1446" s="144">
        <v>2846.8</v>
      </c>
      <c r="H1446" s="138">
        <f t="shared" si="23"/>
        <v>0</v>
      </c>
      <c r="I1446" s="147" t="s">
        <v>15214</v>
      </c>
    </row>
    <row r="1447" spans="1:9" x14ac:dyDescent="0.25">
      <c r="A1447" s="135">
        <v>42866</v>
      </c>
      <c r="B1447" s="136" t="s">
        <v>16936</v>
      </c>
      <c r="C1447" s="137">
        <v>111496</v>
      </c>
      <c r="D1447" s="136" t="s">
        <v>15423</v>
      </c>
      <c r="E1447" s="138">
        <v>4071.6</v>
      </c>
      <c r="F1447" s="159">
        <v>42866</v>
      </c>
      <c r="G1447" s="138">
        <v>4071.6</v>
      </c>
      <c r="H1447" s="138">
        <f t="shared" si="23"/>
        <v>0</v>
      </c>
      <c r="I1447" s="141" t="s">
        <v>15214</v>
      </c>
    </row>
    <row r="1448" spans="1:9" x14ac:dyDescent="0.25">
      <c r="A1448" s="135">
        <v>42866</v>
      </c>
      <c r="B1448" s="142" t="s">
        <v>16937</v>
      </c>
      <c r="C1448" s="143">
        <v>111497</v>
      </c>
      <c r="D1448" s="142" t="s">
        <v>15423</v>
      </c>
      <c r="E1448" s="144">
        <v>144</v>
      </c>
      <c r="F1448" s="161">
        <v>42866</v>
      </c>
      <c r="G1448" s="144">
        <v>144</v>
      </c>
      <c r="H1448" s="138">
        <f t="shared" si="23"/>
        <v>0</v>
      </c>
      <c r="I1448" s="147" t="s">
        <v>15214</v>
      </c>
    </row>
    <row r="1449" spans="1:9" x14ac:dyDescent="0.25">
      <c r="A1449" s="135">
        <v>42866</v>
      </c>
      <c r="B1449" s="136" t="s">
        <v>16938</v>
      </c>
      <c r="C1449" s="137">
        <v>111498</v>
      </c>
      <c r="D1449" s="136" t="s">
        <v>15407</v>
      </c>
      <c r="E1449" s="138">
        <v>15748.6</v>
      </c>
      <c r="F1449" s="159">
        <v>42866</v>
      </c>
      <c r="G1449" s="138">
        <v>15748.6</v>
      </c>
      <c r="H1449" s="138">
        <f t="shared" si="23"/>
        <v>0</v>
      </c>
      <c r="I1449" s="141" t="s">
        <v>15214</v>
      </c>
    </row>
    <row r="1450" spans="1:9" x14ac:dyDescent="0.25">
      <c r="A1450" s="135">
        <v>42866</v>
      </c>
      <c r="B1450" s="142" t="s">
        <v>16939</v>
      </c>
      <c r="C1450" s="143">
        <v>111499</v>
      </c>
      <c r="D1450" s="142" t="s">
        <v>16522</v>
      </c>
      <c r="E1450" s="144">
        <v>7502.4</v>
      </c>
      <c r="F1450" s="148">
        <v>42893</v>
      </c>
      <c r="G1450" s="149">
        <v>7502.4</v>
      </c>
      <c r="H1450" s="138">
        <f t="shared" si="23"/>
        <v>0</v>
      </c>
      <c r="I1450" s="147" t="s">
        <v>15214</v>
      </c>
    </row>
    <row r="1451" spans="1:9" x14ac:dyDescent="0.25">
      <c r="A1451" s="135">
        <v>42866</v>
      </c>
      <c r="B1451" s="136" t="s">
        <v>16940</v>
      </c>
      <c r="C1451" s="137">
        <v>111500</v>
      </c>
      <c r="D1451" s="136" t="s">
        <v>15296</v>
      </c>
      <c r="E1451" s="138">
        <v>33230.160000000003</v>
      </c>
      <c r="F1451" s="139">
        <v>42881</v>
      </c>
      <c r="G1451" s="140">
        <v>33230.160000000003</v>
      </c>
      <c r="H1451" s="138">
        <f t="shared" si="23"/>
        <v>0</v>
      </c>
      <c r="I1451" s="141" t="s">
        <v>15214</v>
      </c>
    </row>
    <row r="1452" spans="1:9" x14ac:dyDescent="0.25">
      <c r="A1452" s="135">
        <v>42866</v>
      </c>
      <c r="B1452" s="142" t="s">
        <v>16941</v>
      </c>
      <c r="C1452" s="143">
        <v>111501</v>
      </c>
      <c r="D1452" s="142" t="s">
        <v>15419</v>
      </c>
      <c r="E1452" s="144">
        <v>16782.599999999999</v>
      </c>
      <c r="F1452" s="145">
        <v>42872</v>
      </c>
      <c r="G1452" s="146">
        <v>16782.599999999999</v>
      </c>
      <c r="H1452" s="138">
        <f t="shared" si="23"/>
        <v>0</v>
      </c>
      <c r="I1452" s="147" t="s">
        <v>15214</v>
      </c>
    </row>
    <row r="1453" spans="1:9" x14ac:dyDescent="0.25">
      <c r="A1453" s="135">
        <v>42866</v>
      </c>
      <c r="B1453" s="136" t="s">
        <v>16942</v>
      </c>
      <c r="C1453" s="137">
        <v>111502</v>
      </c>
      <c r="D1453" s="136" t="s">
        <v>15419</v>
      </c>
      <c r="E1453" s="138">
        <v>6545.5</v>
      </c>
      <c r="F1453" s="139">
        <v>42882</v>
      </c>
      <c r="G1453" s="140">
        <v>6545.5</v>
      </c>
      <c r="H1453" s="138">
        <f t="shared" si="23"/>
        <v>0</v>
      </c>
      <c r="I1453" s="141" t="s">
        <v>15214</v>
      </c>
    </row>
    <row r="1454" spans="1:9" ht="15.75" x14ac:dyDescent="0.25">
      <c r="A1454" s="135">
        <v>42866</v>
      </c>
      <c r="B1454" s="142" t="s">
        <v>16943</v>
      </c>
      <c r="C1454" s="143">
        <v>111503</v>
      </c>
      <c r="D1454" s="142" t="s">
        <v>15267</v>
      </c>
      <c r="E1454" s="144">
        <v>0</v>
      </c>
      <c r="F1454" s="156" t="s">
        <v>95</v>
      </c>
      <c r="G1454" s="144">
        <v>0</v>
      </c>
      <c r="H1454" s="138">
        <f t="shared" si="23"/>
        <v>0</v>
      </c>
      <c r="I1454" s="147" t="s">
        <v>95</v>
      </c>
    </row>
    <row r="1455" spans="1:9" x14ac:dyDescent="0.25">
      <c r="A1455" s="135">
        <v>42866</v>
      </c>
      <c r="B1455" s="136" t="s">
        <v>16944</v>
      </c>
      <c r="C1455" s="137">
        <v>111504</v>
      </c>
      <c r="D1455" s="136" t="s">
        <v>15398</v>
      </c>
      <c r="E1455" s="138">
        <v>2934</v>
      </c>
      <c r="F1455" s="139">
        <v>42866</v>
      </c>
      <c r="G1455" s="140">
        <v>2934</v>
      </c>
      <c r="H1455" s="138">
        <f t="shared" si="23"/>
        <v>0</v>
      </c>
      <c r="I1455" s="141" t="s">
        <v>15214</v>
      </c>
    </row>
    <row r="1456" spans="1:9" x14ac:dyDescent="0.25">
      <c r="A1456" s="135">
        <v>42866</v>
      </c>
      <c r="B1456" s="142" t="s">
        <v>16945</v>
      </c>
      <c r="C1456" s="143">
        <v>111505</v>
      </c>
      <c r="D1456" s="142" t="s">
        <v>15444</v>
      </c>
      <c r="E1456" s="144">
        <v>2154.6</v>
      </c>
      <c r="F1456" s="145">
        <v>42867</v>
      </c>
      <c r="G1456" s="146">
        <v>2154.6</v>
      </c>
      <c r="H1456" s="138">
        <f t="shared" si="23"/>
        <v>0</v>
      </c>
      <c r="I1456" s="147" t="s">
        <v>15214</v>
      </c>
    </row>
    <row r="1457" spans="1:9" x14ac:dyDescent="0.25">
      <c r="A1457" s="135">
        <v>42866</v>
      </c>
      <c r="B1457" s="136" t="s">
        <v>16946</v>
      </c>
      <c r="C1457" s="137">
        <v>111506</v>
      </c>
      <c r="D1457" s="136" t="s">
        <v>15315</v>
      </c>
      <c r="E1457" s="138">
        <v>818.3</v>
      </c>
      <c r="F1457" s="139">
        <v>42866</v>
      </c>
      <c r="G1457" s="140">
        <v>818.3</v>
      </c>
      <c r="H1457" s="138">
        <f t="shared" si="23"/>
        <v>0</v>
      </c>
      <c r="I1457" s="141" t="s">
        <v>15214</v>
      </c>
    </row>
    <row r="1458" spans="1:9" x14ac:dyDescent="0.25">
      <c r="A1458" s="135">
        <v>42866</v>
      </c>
      <c r="B1458" s="142" t="s">
        <v>16947</v>
      </c>
      <c r="C1458" s="143">
        <v>111507</v>
      </c>
      <c r="D1458" s="142" t="s">
        <v>15267</v>
      </c>
      <c r="E1458" s="144">
        <v>32070.5</v>
      </c>
      <c r="F1458" s="148">
        <v>42892</v>
      </c>
      <c r="G1458" s="149">
        <v>32070.5</v>
      </c>
      <c r="H1458" s="138">
        <f t="shared" si="23"/>
        <v>0</v>
      </c>
      <c r="I1458" s="147" t="s">
        <v>15214</v>
      </c>
    </row>
    <row r="1459" spans="1:9" x14ac:dyDescent="0.25">
      <c r="A1459" s="135">
        <v>42866</v>
      </c>
      <c r="B1459" s="136" t="s">
        <v>16948</v>
      </c>
      <c r="C1459" s="137">
        <v>111508</v>
      </c>
      <c r="D1459" s="136" t="s">
        <v>15644</v>
      </c>
      <c r="E1459" s="138">
        <v>3498.6</v>
      </c>
      <c r="F1459" s="139">
        <v>42866</v>
      </c>
      <c r="G1459" s="140">
        <v>3498.6</v>
      </c>
      <c r="H1459" s="138">
        <f t="shared" si="23"/>
        <v>0</v>
      </c>
      <c r="I1459" s="141" t="s">
        <v>15214</v>
      </c>
    </row>
    <row r="1460" spans="1:9" x14ac:dyDescent="0.25">
      <c r="A1460" s="135">
        <v>42866</v>
      </c>
      <c r="B1460" s="142" t="s">
        <v>16949</v>
      </c>
      <c r="C1460" s="143">
        <v>111509</v>
      </c>
      <c r="D1460" s="142" t="s">
        <v>15365</v>
      </c>
      <c r="E1460" s="144">
        <v>222712</v>
      </c>
      <c r="F1460" s="145">
        <v>42868</v>
      </c>
      <c r="G1460" s="146">
        <v>222712</v>
      </c>
      <c r="H1460" s="138">
        <f t="shared" si="23"/>
        <v>0</v>
      </c>
      <c r="I1460" s="147" t="s">
        <v>15214</v>
      </c>
    </row>
    <row r="1461" spans="1:9" x14ac:dyDescent="0.25">
      <c r="A1461" s="135">
        <v>42866</v>
      </c>
      <c r="B1461" s="136" t="s">
        <v>16950</v>
      </c>
      <c r="C1461" s="137">
        <v>111510</v>
      </c>
      <c r="D1461" s="136" t="s">
        <v>15267</v>
      </c>
      <c r="E1461" s="138">
        <v>56494.74</v>
      </c>
      <c r="F1461" s="157">
        <v>42892</v>
      </c>
      <c r="G1461" s="158">
        <v>56494.74</v>
      </c>
      <c r="H1461" s="138">
        <f t="shared" si="23"/>
        <v>0</v>
      </c>
      <c r="I1461" s="141" t="s">
        <v>15214</v>
      </c>
    </row>
    <row r="1462" spans="1:9" x14ac:dyDescent="0.25">
      <c r="A1462" s="135">
        <v>42866</v>
      </c>
      <c r="B1462" s="142" t="s">
        <v>16951</v>
      </c>
      <c r="C1462" s="143">
        <v>111511</v>
      </c>
      <c r="D1462" s="142" t="s">
        <v>15246</v>
      </c>
      <c r="E1462" s="144">
        <v>6904.8</v>
      </c>
      <c r="F1462" s="145">
        <v>42868</v>
      </c>
      <c r="G1462" s="146">
        <v>6904.8</v>
      </c>
      <c r="H1462" s="138">
        <f t="shared" si="23"/>
        <v>0</v>
      </c>
      <c r="I1462" s="147" t="s">
        <v>15214</v>
      </c>
    </row>
    <row r="1463" spans="1:9" x14ac:dyDescent="0.25">
      <c r="A1463" s="135">
        <v>42866</v>
      </c>
      <c r="B1463" s="136" t="s">
        <v>16952</v>
      </c>
      <c r="C1463" s="137">
        <v>111512</v>
      </c>
      <c r="D1463" s="136" t="s">
        <v>15624</v>
      </c>
      <c r="E1463" s="138">
        <v>33832.800000000003</v>
      </c>
      <c r="F1463" s="139">
        <v>42866</v>
      </c>
      <c r="G1463" s="140">
        <v>33832.800000000003</v>
      </c>
      <c r="H1463" s="138">
        <f t="shared" si="23"/>
        <v>0</v>
      </c>
      <c r="I1463" s="141" t="s">
        <v>15214</v>
      </c>
    </row>
    <row r="1464" spans="1:9" x14ac:dyDescent="0.25">
      <c r="A1464" s="135">
        <v>42866</v>
      </c>
      <c r="B1464" s="142" t="s">
        <v>16953</v>
      </c>
      <c r="C1464" s="143">
        <v>111513</v>
      </c>
      <c r="D1464" s="142" t="s">
        <v>15456</v>
      </c>
      <c r="E1464" s="144">
        <v>32626.799999999999</v>
      </c>
      <c r="F1464" s="145">
        <v>42868</v>
      </c>
      <c r="G1464" s="146">
        <v>32626.799999999999</v>
      </c>
      <c r="H1464" s="138">
        <f t="shared" si="23"/>
        <v>0</v>
      </c>
      <c r="I1464" s="147" t="s">
        <v>15214</v>
      </c>
    </row>
    <row r="1465" spans="1:9" x14ac:dyDescent="0.25">
      <c r="A1465" s="135">
        <v>42866</v>
      </c>
      <c r="B1465" s="136" t="s">
        <v>16954</v>
      </c>
      <c r="C1465" s="137">
        <v>111514</v>
      </c>
      <c r="D1465" s="136" t="s">
        <v>15939</v>
      </c>
      <c r="E1465" s="138">
        <v>69421.8</v>
      </c>
      <c r="F1465" s="268" t="s">
        <v>19809</v>
      </c>
      <c r="G1465" s="158">
        <v>5000</v>
      </c>
      <c r="H1465" s="140">
        <f t="shared" si="23"/>
        <v>64421.8</v>
      </c>
      <c r="I1465" s="141" t="s">
        <v>15214</v>
      </c>
    </row>
    <row r="1466" spans="1:9" x14ac:dyDescent="0.25">
      <c r="A1466" s="135">
        <v>42866</v>
      </c>
      <c r="B1466" s="142" t="s">
        <v>16955</v>
      </c>
      <c r="C1466" s="143">
        <v>111515</v>
      </c>
      <c r="D1466" s="142" t="s">
        <v>15246</v>
      </c>
      <c r="E1466" s="144">
        <v>40010.6</v>
      </c>
      <c r="F1466" s="145">
        <v>42868</v>
      </c>
      <c r="G1466" s="146">
        <v>40010.6</v>
      </c>
      <c r="H1466" s="138">
        <f t="shared" si="23"/>
        <v>0</v>
      </c>
      <c r="I1466" s="147" t="s">
        <v>15214</v>
      </c>
    </row>
    <row r="1467" spans="1:9" x14ac:dyDescent="0.25">
      <c r="A1467" s="135">
        <v>42866</v>
      </c>
      <c r="B1467" s="136" t="s">
        <v>16956</v>
      </c>
      <c r="C1467" s="137">
        <v>111516</v>
      </c>
      <c r="D1467" s="136" t="s">
        <v>15890</v>
      </c>
      <c r="E1467" s="138">
        <v>14647.3</v>
      </c>
      <c r="F1467" s="139">
        <v>42868</v>
      </c>
      <c r="G1467" s="140">
        <v>14647.3</v>
      </c>
      <c r="H1467" s="138">
        <f t="shared" si="23"/>
        <v>0</v>
      </c>
      <c r="I1467" s="141" t="s">
        <v>15214</v>
      </c>
    </row>
    <row r="1468" spans="1:9" x14ac:dyDescent="0.25">
      <c r="A1468" s="135">
        <v>42866</v>
      </c>
      <c r="B1468" s="142" t="s">
        <v>16957</v>
      </c>
      <c r="C1468" s="143">
        <v>111517</v>
      </c>
      <c r="D1468" s="142" t="s">
        <v>16958</v>
      </c>
      <c r="E1468" s="144">
        <v>2884.2</v>
      </c>
      <c r="F1468" s="145">
        <v>42867</v>
      </c>
      <c r="G1468" s="146">
        <v>2884.2</v>
      </c>
      <c r="H1468" s="138">
        <f t="shared" si="23"/>
        <v>0</v>
      </c>
      <c r="I1468" s="147" t="s">
        <v>15214</v>
      </c>
    </row>
    <row r="1469" spans="1:9" ht="15.75" x14ac:dyDescent="0.25">
      <c r="A1469" s="135">
        <v>42866</v>
      </c>
      <c r="B1469" s="136" t="s">
        <v>16959</v>
      </c>
      <c r="C1469" s="137">
        <v>111518</v>
      </c>
      <c r="D1469" s="136" t="s">
        <v>15315</v>
      </c>
      <c r="E1469" s="138">
        <v>0</v>
      </c>
      <c r="F1469" s="153" t="s">
        <v>95</v>
      </c>
      <c r="G1469" s="138">
        <v>0</v>
      </c>
      <c r="H1469" s="138">
        <f t="shared" si="23"/>
        <v>0</v>
      </c>
      <c r="I1469" s="141" t="s">
        <v>95</v>
      </c>
    </row>
    <row r="1470" spans="1:9" x14ac:dyDescent="0.25">
      <c r="A1470" s="135">
        <v>42866</v>
      </c>
      <c r="B1470" s="142" t="s">
        <v>16960</v>
      </c>
      <c r="C1470" s="143">
        <v>111519</v>
      </c>
      <c r="D1470" s="142" t="s">
        <v>15725</v>
      </c>
      <c r="E1470" s="144">
        <v>21060</v>
      </c>
      <c r="F1470" s="145">
        <v>42868</v>
      </c>
      <c r="G1470" s="146">
        <v>21060</v>
      </c>
      <c r="H1470" s="138">
        <f t="shared" si="23"/>
        <v>0</v>
      </c>
      <c r="I1470" s="147" t="s">
        <v>15214</v>
      </c>
    </row>
    <row r="1471" spans="1:9" x14ac:dyDescent="0.25">
      <c r="A1471" s="135">
        <v>42866</v>
      </c>
      <c r="B1471" s="136" t="s">
        <v>16961</v>
      </c>
      <c r="C1471" s="137">
        <v>111520</v>
      </c>
      <c r="D1471" s="136" t="s">
        <v>15454</v>
      </c>
      <c r="E1471" s="138">
        <v>11012.6</v>
      </c>
      <c r="F1471" s="139">
        <v>42868</v>
      </c>
      <c r="G1471" s="140">
        <v>11012.6</v>
      </c>
      <c r="H1471" s="138">
        <f t="shared" si="23"/>
        <v>0</v>
      </c>
      <c r="I1471" s="141" t="s">
        <v>15214</v>
      </c>
    </row>
    <row r="1472" spans="1:9" x14ac:dyDescent="0.25">
      <c r="A1472" s="135">
        <v>42866</v>
      </c>
      <c r="B1472" s="142" t="s">
        <v>16962</v>
      </c>
      <c r="C1472" s="143">
        <v>111521</v>
      </c>
      <c r="D1472" s="142" t="s">
        <v>15448</v>
      </c>
      <c r="E1472" s="144">
        <v>166456.79999999999</v>
      </c>
      <c r="F1472" s="145">
        <v>42875</v>
      </c>
      <c r="G1472" s="146">
        <v>166456.79999999999</v>
      </c>
      <c r="H1472" s="138">
        <f t="shared" si="23"/>
        <v>0</v>
      </c>
      <c r="I1472" s="147" t="s">
        <v>15214</v>
      </c>
    </row>
    <row r="1473" spans="1:9" x14ac:dyDescent="0.25">
      <c r="A1473" s="135">
        <v>42866</v>
      </c>
      <c r="B1473" s="136" t="s">
        <v>16963</v>
      </c>
      <c r="C1473" s="137">
        <v>111522</v>
      </c>
      <c r="D1473" s="136" t="s">
        <v>15448</v>
      </c>
      <c r="E1473" s="138">
        <v>55908.2</v>
      </c>
      <c r="F1473" s="139">
        <v>42875</v>
      </c>
      <c r="G1473" s="140">
        <v>55908.2</v>
      </c>
      <c r="H1473" s="138">
        <f t="shared" si="23"/>
        <v>0</v>
      </c>
      <c r="I1473" s="141" t="s">
        <v>15214</v>
      </c>
    </row>
    <row r="1474" spans="1:9" x14ac:dyDescent="0.25">
      <c r="A1474" s="135">
        <v>42866</v>
      </c>
      <c r="B1474" s="142" t="s">
        <v>16964</v>
      </c>
      <c r="C1474" s="143">
        <v>111523</v>
      </c>
      <c r="D1474" s="142" t="s">
        <v>16965</v>
      </c>
      <c r="E1474" s="144">
        <v>8732.4</v>
      </c>
      <c r="F1474" s="145">
        <v>42868</v>
      </c>
      <c r="G1474" s="146">
        <v>8732.4</v>
      </c>
      <c r="H1474" s="138">
        <f t="shared" si="23"/>
        <v>0</v>
      </c>
      <c r="I1474" s="147" t="s">
        <v>15214</v>
      </c>
    </row>
    <row r="1475" spans="1:9" x14ac:dyDescent="0.25">
      <c r="A1475" s="135">
        <v>42866</v>
      </c>
      <c r="B1475" s="136" t="s">
        <v>16966</v>
      </c>
      <c r="C1475" s="137">
        <v>111524</v>
      </c>
      <c r="D1475" s="136" t="s">
        <v>15465</v>
      </c>
      <c r="E1475" s="138">
        <v>1081.0999999999999</v>
      </c>
      <c r="F1475" s="139">
        <v>42868</v>
      </c>
      <c r="G1475" s="140">
        <v>1081.0999999999999</v>
      </c>
      <c r="H1475" s="138">
        <f t="shared" si="23"/>
        <v>0</v>
      </c>
      <c r="I1475" s="141" t="s">
        <v>15214</v>
      </c>
    </row>
    <row r="1476" spans="1:9" x14ac:dyDescent="0.25">
      <c r="A1476" s="135">
        <v>42866</v>
      </c>
      <c r="B1476" s="142" t="s">
        <v>16967</v>
      </c>
      <c r="C1476" s="143">
        <v>111525</v>
      </c>
      <c r="D1476" s="142" t="s">
        <v>15246</v>
      </c>
      <c r="E1476" s="144">
        <v>12148</v>
      </c>
      <c r="F1476" s="139">
        <v>42868</v>
      </c>
      <c r="G1476" s="146">
        <v>12148</v>
      </c>
      <c r="H1476" s="138">
        <f t="shared" ref="H1476:H1539" si="24">E1476-G1476</f>
        <v>0</v>
      </c>
      <c r="I1476" s="147" t="s">
        <v>15214</v>
      </c>
    </row>
    <row r="1477" spans="1:9" x14ac:dyDescent="0.25">
      <c r="A1477" s="135">
        <v>42866</v>
      </c>
      <c r="B1477" s="136" t="s">
        <v>16968</v>
      </c>
      <c r="C1477" s="137">
        <v>111526</v>
      </c>
      <c r="D1477" s="136" t="s">
        <v>15462</v>
      </c>
      <c r="E1477" s="138">
        <v>19417</v>
      </c>
      <c r="F1477" s="139">
        <v>42868</v>
      </c>
      <c r="G1477" s="140">
        <v>19417</v>
      </c>
      <c r="H1477" s="138">
        <f t="shared" si="24"/>
        <v>0</v>
      </c>
      <c r="I1477" s="141" t="s">
        <v>15214</v>
      </c>
    </row>
    <row r="1478" spans="1:9" x14ac:dyDescent="0.25">
      <c r="A1478" s="135">
        <v>42866</v>
      </c>
      <c r="B1478" s="142" t="s">
        <v>16969</v>
      </c>
      <c r="C1478" s="143">
        <v>111527</v>
      </c>
      <c r="D1478" s="142" t="s">
        <v>15446</v>
      </c>
      <c r="E1478" s="144">
        <v>4152.5</v>
      </c>
      <c r="F1478" s="139">
        <v>42868</v>
      </c>
      <c r="G1478" s="146">
        <v>4152.5</v>
      </c>
      <c r="H1478" s="138">
        <f t="shared" si="24"/>
        <v>0</v>
      </c>
      <c r="I1478" s="147" t="s">
        <v>15214</v>
      </c>
    </row>
    <row r="1479" spans="1:9" x14ac:dyDescent="0.25">
      <c r="A1479" s="135">
        <v>42866</v>
      </c>
      <c r="B1479" s="136" t="s">
        <v>16970</v>
      </c>
      <c r="C1479" s="137">
        <v>111528</v>
      </c>
      <c r="D1479" s="136" t="s">
        <v>15961</v>
      </c>
      <c r="E1479" s="138">
        <v>12432.3</v>
      </c>
      <c r="F1479" s="139">
        <v>42868</v>
      </c>
      <c r="G1479" s="140">
        <v>12432.3</v>
      </c>
      <c r="H1479" s="138">
        <f t="shared" si="24"/>
        <v>0</v>
      </c>
      <c r="I1479" s="141" t="s">
        <v>15214</v>
      </c>
    </row>
    <row r="1480" spans="1:9" x14ac:dyDescent="0.25">
      <c r="A1480" s="135">
        <v>42866</v>
      </c>
      <c r="B1480" s="142" t="s">
        <v>16971</v>
      </c>
      <c r="C1480" s="143">
        <v>111529</v>
      </c>
      <c r="D1480" s="142" t="s">
        <v>15450</v>
      </c>
      <c r="E1480" s="144">
        <v>1582.4</v>
      </c>
      <c r="F1480" s="139">
        <v>42868</v>
      </c>
      <c r="G1480" s="146">
        <v>1582.4</v>
      </c>
      <c r="H1480" s="138">
        <f t="shared" si="24"/>
        <v>0</v>
      </c>
      <c r="I1480" s="147" t="s">
        <v>15214</v>
      </c>
    </row>
    <row r="1481" spans="1:9" x14ac:dyDescent="0.25">
      <c r="A1481" s="135">
        <v>42866</v>
      </c>
      <c r="B1481" s="136" t="s">
        <v>16972</v>
      </c>
      <c r="C1481" s="137">
        <v>111530</v>
      </c>
      <c r="D1481" s="136" t="s">
        <v>15446</v>
      </c>
      <c r="E1481" s="138">
        <v>400</v>
      </c>
      <c r="F1481" s="139">
        <v>42868</v>
      </c>
      <c r="G1481" s="140">
        <v>400</v>
      </c>
      <c r="H1481" s="138">
        <f t="shared" si="24"/>
        <v>0</v>
      </c>
      <c r="I1481" s="141" t="s">
        <v>15214</v>
      </c>
    </row>
    <row r="1482" spans="1:9" x14ac:dyDescent="0.25">
      <c r="A1482" s="135">
        <v>42866</v>
      </c>
      <c r="B1482" s="142" t="s">
        <v>16973</v>
      </c>
      <c r="C1482" s="143">
        <v>111531</v>
      </c>
      <c r="D1482" s="142" t="s">
        <v>15941</v>
      </c>
      <c r="E1482" s="144">
        <v>1904.4</v>
      </c>
      <c r="F1482" s="139">
        <v>42868</v>
      </c>
      <c r="G1482" s="146">
        <v>1904.4</v>
      </c>
      <c r="H1482" s="138">
        <f t="shared" si="24"/>
        <v>0</v>
      </c>
      <c r="I1482" s="147" t="s">
        <v>15214</v>
      </c>
    </row>
    <row r="1483" spans="1:9" x14ac:dyDescent="0.25">
      <c r="A1483" s="135">
        <v>42866</v>
      </c>
      <c r="B1483" s="136" t="s">
        <v>16974</v>
      </c>
      <c r="C1483" s="137">
        <v>111532</v>
      </c>
      <c r="D1483" s="136" t="s">
        <v>15246</v>
      </c>
      <c r="E1483" s="138">
        <v>574</v>
      </c>
      <c r="F1483" s="139">
        <v>42868</v>
      </c>
      <c r="G1483" s="140">
        <v>574</v>
      </c>
      <c r="H1483" s="138">
        <f t="shared" si="24"/>
        <v>0</v>
      </c>
      <c r="I1483" s="141" t="s">
        <v>15214</v>
      </c>
    </row>
    <row r="1484" spans="1:9" x14ac:dyDescent="0.25">
      <c r="A1484" s="135">
        <v>42866</v>
      </c>
      <c r="B1484" s="142" t="s">
        <v>16975</v>
      </c>
      <c r="C1484" s="143">
        <v>111533</v>
      </c>
      <c r="D1484" s="142" t="s">
        <v>15365</v>
      </c>
      <c r="E1484" s="144">
        <v>19804.5</v>
      </c>
      <c r="F1484" s="139">
        <v>42868</v>
      </c>
      <c r="G1484" s="146">
        <v>19804.5</v>
      </c>
      <c r="H1484" s="138">
        <f t="shared" si="24"/>
        <v>0</v>
      </c>
      <c r="I1484" s="147" t="s">
        <v>15214</v>
      </c>
    </row>
    <row r="1485" spans="1:9" x14ac:dyDescent="0.25">
      <c r="A1485" s="135">
        <v>42866</v>
      </c>
      <c r="B1485" s="136" t="s">
        <v>16976</v>
      </c>
      <c r="C1485" s="137">
        <v>111534</v>
      </c>
      <c r="D1485" s="136" t="s">
        <v>15435</v>
      </c>
      <c r="E1485" s="138">
        <v>8554.4</v>
      </c>
      <c r="F1485" s="139">
        <v>42866</v>
      </c>
      <c r="G1485" s="140">
        <v>8554.4</v>
      </c>
      <c r="H1485" s="138">
        <f t="shared" si="24"/>
        <v>0</v>
      </c>
      <c r="I1485" s="141" t="s">
        <v>15214</v>
      </c>
    </row>
    <row r="1486" spans="1:9" x14ac:dyDescent="0.25">
      <c r="A1486" s="135">
        <v>42866</v>
      </c>
      <c r="B1486" s="142" t="s">
        <v>16977</v>
      </c>
      <c r="C1486" s="143">
        <v>111535</v>
      </c>
      <c r="D1486" s="142" t="s">
        <v>16297</v>
      </c>
      <c r="E1486" s="144">
        <v>57082.5</v>
      </c>
      <c r="F1486" s="148">
        <v>42892</v>
      </c>
      <c r="G1486" s="149">
        <v>57082.5</v>
      </c>
      <c r="H1486" s="138">
        <f t="shared" si="24"/>
        <v>0</v>
      </c>
      <c r="I1486" s="147" t="s">
        <v>15214</v>
      </c>
    </row>
    <row r="1487" spans="1:9" x14ac:dyDescent="0.25">
      <c r="A1487" s="135">
        <v>42867</v>
      </c>
      <c r="B1487" s="136" t="s">
        <v>16978</v>
      </c>
      <c r="C1487" s="137">
        <v>111536</v>
      </c>
      <c r="D1487" s="136" t="s">
        <v>15213</v>
      </c>
      <c r="E1487" s="138">
        <v>8944</v>
      </c>
      <c r="F1487" s="139">
        <v>42868</v>
      </c>
      <c r="G1487" s="140">
        <v>8944</v>
      </c>
      <c r="H1487" s="138">
        <f t="shared" si="24"/>
        <v>0</v>
      </c>
      <c r="I1487" s="141" t="s">
        <v>15214</v>
      </c>
    </row>
    <row r="1488" spans="1:9" x14ac:dyDescent="0.25">
      <c r="A1488" s="135">
        <v>42867</v>
      </c>
      <c r="B1488" s="142" t="s">
        <v>16979</v>
      </c>
      <c r="C1488" s="143">
        <v>111537</v>
      </c>
      <c r="D1488" s="142" t="s">
        <v>15216</v>
      </c>
      <c r="E1488" s="144">
        <v>7981.2</v>
      </c>
      <c r="F1488" s="145">
        <v>42867</v>
      </c>
      <c r="G1488" s="146">
        <v>7981.2</v>
      </c>
      <c r="H1488" s="138">
        <f t="shared" si="24"/>
        <v>0</v>
      </c>
      <c r="I1488" s="147" t="s">
        <v>15214</v>
      </c>
    </row>
    <row r="1489" spans="1:9" x14ac:dyDescent="0.25">
      <c r="A1489" s="135">
        <v>42867</v>
      </c>
      <c r="B1489" s="136" t="s">
        <v>16980</v>
      </c>
      <c r="C1489" s="137">
        <v>111538</v>
      </c>
      <c r="D1489" s="136" t="s">
        <v>15226</v>
      </c>
      <c r="E1489" s="138">
        <v>1974.4</v>
      </c>
      <c r="F1489" s="139">
        <v>42870</v>
      </c>
      <c r="G1489" s="140">
        <v>1974.4</v>
      </c>
      <c r="H1489" s="138">
        <f t="shared" si="24"/>
        <v>0</v>
      </c>
      <c r="I1489" s="141" t="s">
        <v>15214</v>
      </c>
    </row>
    <row r="1490" spans="1:9" x14ac:dyDescent="0.25">
      <c r="A1490" s="135">
        <v>42867</v>
      </c>
      <c r="B1490" s="142" t="s">
        <v>16981</v>
      </c>
      <c r="C1490" s="143">
        <v>111539</v>
      </c>
      <c r="D1490" s="142" t="s">
        <v>15220</v>
      </c>
      <c r="E1490" s="144">
        <v>2400</v>
      </c>
      <c r="F1490" s="145">
        <v>42868</v>
      </c>
      <c r="G1490" s="146">
        <v>2400</v>
      </c>
      <c r="H1490" s="138">
        <f t="shared" si="24"/>
        <v>0</v>
      </c>
      <c r="I1490" s="147" t="s">
        <v>15214</v>
      </c>
    </row>
    <row r="1491" spans="1:9" x14ac:dyDescent="0.25">
      <c r="A1491" s="135">
        <v>42867</v>
      </c>
      <c r="B1491" s="136" t="s">
        <v>16982</v>
      </c>
      <c r="C1491" s="137">
        <v>111540</v>
      </c>
      <c r="D1491" s="136" t="s">
        <v>15324</v>
      </c>
      <c r="E1491" s="138">
        <v>2284</v>
      </c>
      <c r="F1491" s="139">
        <v>42868</v>
      </c>
      <c r="G1491" s="140">
        <v>2284</v>
      </c>
      <c r="H1491" s="138">
        <f t="shared" si="24"/>
        <v>0</v>
      </c>
      <c r="I1491" s="141" t="s">
        <v>15214</v>
      </c>
    </row>
    <row r="1492" spans="1:9" x14ac:dyDescent="0.25">
      <c r="A1492" s="135">
        <v>42867</v>
      </c>
      <c r="B1492" s="142" t="s">
        <v>16983</v>
      </c>
      <c r="C1492" s="143">
        <v>111541</v>
      </c>
      <c r="D1492" s="142" t="s">
        <v>15213</v>
      </c>
      <c r="E1492" s="144">
        <v>28997.5</v>
      </c>
      <c r="F1492" s="145">
        <v>42867</v>
      </c>
      <c r="G1492" s="146">
        <v>28997.5</v>
      </c>
      <c r="H1492" s="138">
        <f t="shared" si="24"/>
        <v>0</v>
      </c>
      <c r="I1492" s="147" t="s">
        <v>15214</v>
      </c>
    </row>
    <row r="1493" spans="1:9" x14ac:dyDescent="0.25">
      <c r="A1493" s="135">
        <v>42867</v>
      </c>
      <c r="B1493" s="136" t="s">
        <v>16984</v>
      </c>
      <c r="C1493" s="137">
        <v>111542</v>
      </c>
      <c r="D1493" s="136" t="s">
        <v>15242</v>
      </c>
      <c r="E1493" s="138">
        <v>14409</v>
      </c>
      <c r="F1493" s="139">
        <v>42867</v>
      </c>
      <c r="G1493" s="140">
        <v>14409</v>
      </c>
      <c r="H1493" s="138">
        <f t="shared" si="24"/>
        <v>0</v>
      </c>
      <c r="I1493" s="141" t="s">
        <v>15214</v>
      </c>
    </row>
    <row r="1494" spans="1:9" x14ac:dyDescent="0.25">
      <c r="A1494" s="135">
        <v>42867</v>
      </c>
      <c r="B1494" s="142" t="s">
        <v>16985</v>
      </c>
      <c r="C1494" s="143">
        <v>111543</v>
      </c>
      <c r="D1494" s="142" t="s">
        <v>15352</v>
      </c>
      <c r="E1494" s="144">
        <v>512.4</v>
      </c>
      <c r="F1494" s="145">
        <v>42867</v>
      </c>
      <c r="G1494" s="146">
        <v>512.4</v>
      </c>
      <c r="H1494" s="138">
        <f t="shared" si="24"/>
        <v>0</v>
      </c>
      <c r="I1494" s="147" t="s">
        <v>15214</v>
      </c>
    </row>
    <row r="1495" spans="1:9" x14ac:dyDescent="0.25">
      <c r="A1495" s="135">
        <v>42867</v>
      </c>
      <c r="B1495" s="136" t="s">
        <v>16986</v>
      </c>
      <c r="C1495" s="137">
        <v>111544</v>
      </c>
      <c r="D1495" s="136" t="s">
        <v>15223</v>
      </c>
      <c r="E1495" s="138">
        <v>48136</v>
      </c>
      <c r="F1495" s="139" t="s">
        <v>16987</v>
      </c>
      <c r="G1495" s="140">
        <f>13722.4+34413.6</f>
        <v>48136</v>
      </c>
      <c r="H1495" s="138">
        <f t="shared" si="24"/>
        <v>0</v>
      </c>
      <c r="I1495" s="141" t="s">
        <v>15214</v>
      </c>
    </row>
    <row r="1496" spans="1:9" x14ac:dyDescent="0.25">
      <c r="A1496" s="135">
        <v>42867</v>
      </c>
      <c r="B1496" s="142" t="s">
        <v>16988</v>
      </c>
      <c r="C1496" s="143">
        <v>111545</v>
      </c>
      <c r="D1496" s="142" t="s">
        <v>15274</v>
      </c>
      <c r="E1496" s="144">
        <v>960</v>
      </c>
      <c r="F1496" s="145">
        <v>42868</v>
      </c>
      <c r="G1496" s="146">
        <v>960</v>
      </c>
      <c r="H1496" s="138">
        <f t="shared" si="24"/>
        <v>0</v>
      </c>
      <c r="I1496" s="147" t="s">
        <v>15214</v>
      </c>
    </row>
    <row r="1497" spans="1:9" x14ac:dyDescent="0.25">
      <c r="A1497" s="135">
        <v>42867</v>
      </c>
      <c r="B1497" s="136" t="s">
        <v>16989</v>
      </c>
      <c r="C1497" s="137">
        <v>111546</v>
      </c>
      <c r="D1497" s="136" t="s">
        <v>15232</v>
      </c>
      <c r="E1497" s="138">
        <v>2641.2</v>
      </c>
      <c r="F1497" s="139">
        <v>42873</v>
      </c>
      <c r="G1497" s="140">
        <v>2641.2</v>
      </c>
      <c r="H1497" s="138">
        <f t="shared" si="24"/>
        <v>0</v>
      </c>
      <c r="I1497" s="141" t="s">
        <v>15214</v>
      </c>
    </row>
    <row r="1498" spans="1:9" x14ac:dyDescent="0.25">
      <c r="A1498" s="135">
        <v>42867</v>
      </c>
      <c r="B1498" s="142" t="s">
        <v>16990</v>
      </c>
      <c r="C1498" s="143">
        <v>111547</v>
      </c>
      <c r="D1498" s="142" t="s">
        <v>15596</v>
      </c>
      <c r="E1498" s="144">
        <v>960</v>
      </c>
      <c r="F1498" s="145">
        <v>42868</v>
      </c>
      <c r="G1498" s="146">
        <v>960</v>
      </c>
      <c r="H1498" s="138">
        <f t="shared" si="24"/>
        <v>0</v>
      </c>
      <c r="I1498" s="147" t="s">
        <v>15214</v>
      </c>
    </row>
    <row r="1499" spans="1:9" x14ac:dyDescent="0.25">
      <c r="A1499" s="135">
        <v>42867</v>
      </c>
      <c r="B1499" s="136" t="s">
        <v>16991</v>
      </c>
      <c r="C1499" s="137">
        <v>111548</v>
      </c>
      <c r="D1499" s="136" t="s">
        <v>15248</v>
      </c>
      <c r="E1499" s="138">
        <v>21091.8</v>
      </c>
      <c r="F1499" s="139">
        <v>42867</v>
      </c>
      <c r="G1499" s="140">
        <v>21091.8</v>
      </c>
      <c r="H1499" s="138">
        <f t="shared" si="24"/>
        <v>0</v>
      </c>
      <c r="I1499" s="141" t="s">
        <v>15214</v>
      </c>
    </row>
    <row r="1500" spans="1:9" x14ac:dyDescent="0.25">
      <c r="A1500" s="135">
        <v>42867</v>
      </c>
      <c r="B1500" s="142" t="s">
        <v>16992</v>
      </c>
      <c r="C1500" s="143">
        <v>111549</v>
      </c>
      <c r="D1500" s="142" t="s">
        <v>15330</v>
      </c>
      <c r="E1500" s="144">
        <v>8075.1</v>
      </c>
      <c r="F1500" s="145">
        <v>42867</v>
      </c>
      <c r="G1500" s="146">
        <v>8075.1</v>
      </c>
      <c r="H1500" s="138">
        <f t="shared" si="24"/>
        <v>0</v>
      </c>
      <c r="I1500" s="147" t="s">
        <v>15214</v>
      </c>
    </row>
    <row r="1501" spans="1:9" ht="30" x14ac:dyDescent="0.25">
      <c r="A1501" s="135">
        <v>42867</v>
      </c>
      <c r="B1501" s="136" t="s">
        <v>16993</v>
      </c>
      <c r="C1501" s="137">
        <v>111550</v>
      </c>
      <c r="D1501" s="136" t="s">
        <v>15234</v>
      </c>
      <c r="E1501" s="138">
        <v>3451</v>
      </c>
      <c r="F1501" s="150" t="s">
        <v>16994</v>
      </c>
      <c r="G1501" s="140">
        <f>900+700+1851</f>
        <v>3451</v>
      </c>
      <c r="H1501" s="138">
        <f t="shared" si="24"/>
        <v>0</v>
      </c>
      <c r="I1501" s="141" t="s">
        <v>15214</v>
      </c>
    </row>
    <row r="1502" spans="1:9" x14ac:dyDescent="0.25">
      <c r="A1502" s="135">
        <v>42867</v>
      </c>
      <c r="B1502" s="142" t="s">
        <v>16995</v>
      </c>
      <c r="C1502" s="143">
        <v>111551</v>
      </c>
      <c r="D1502" s="142" t="s">
        <v>15228</v>
      </c>
      <c r="E1502" s="144">
        <v>4676.8</v>
      </c>
      <c r="F1502" s="145">
        <v>42867</v>
      </c>
      <c r="G1502" s="146">
        <v>4676.8</v>
      </c>
      <c r="H1502" s="138">
        <f t="shared" si="24"/>
        <v>0</v>
      </c>
      <c r="I1502" s="147" t="s">
        <v>15214</v>
      </c>
    </row>
    <row r="1503" spans="1:9" x14ac:dyDescent="0.25">
      <c r="A1503" s="135">
        <v>42867</v>
      </c>
      <c r="B1503" s="136" t="s">
        <v>16996</v>
      </c>
      <c r="C1503" s="137">
        <v>111552</v>
      </c>
      <c r="D1503" s="136" t="s">
        <v>15236</v>
      </c>
      <c r="E1503" s="138">
        <v>3199</v>
      </c>
      <c r="F1503" s="139">
        <v>42870</v>
      </c>
      <c r="G1503" s="140">
        <v>3199</v>
      </c>
      <c r="H1503" s="138">
        <f t="shared" si="24"/>
        <v>0</v>
      </c>
      <c r="I1503" s="141" t="s">
        <v>15214</v>
      </c>
    </row>
    <row r="1504" spans="1:9" x14ac:dyDescent="0.25">
      <c r="A1504" s="135">
        <v>42867</v>
      </c>
      <c r="B1504" s="142" t="s">
        <v>16997</v>
      </c>
      <c r="C1504" s="143">
        <v>111553</v>
      </c>
      <c r="D1504" s="142" t="s">
        <v>16116</v>
      </c>
      <c r="E1504" s="144">
        <v>26851.360000000001</v>
      </c>
      <c r="F1504" s="145">
        <v>42867</v>
      </c>
      <c r="G1504" s="146">
        <v>26851.360000000001</v>
      </c>
      <c r="H1504" s="138">
        <f t="shared" si="24"/>
        <v>0</v>
      </c>
      <c r="I1504" s="147" t="s">
        <v>15214</v>
      </c>
    </row>
    <row r="1505" spans="1:9" x14ac:dyDescent="0.25">
      <c r="A1505" s="135">
        <v>42867</v>
      </c>
      <c r="B1505" s="136" t="s">
        <v>16998</v>
      </c>
      <c r="C1505" s="137">
        <v>111554</v>
      </c>
      <c r="D1505" s="136" t="s">
        <v>15334</v>
      </c>
      <c r="E1505" s="138">
        <v>3156</v>
      </c>
      <c r="F1505" s="139">
        <v>42868</v>
      </c>
      <c r="G1505" s="140">
        <v>3156</v>
      </c>
      <c r="H1505" s="138">
        <f t="shared" si="24"/>
        <v>0</v>
      </c>
      <c r="I1505" s="141" t="s">
        <v>15214</v>
      </c>
    </row>
    <row r="1506" spans="1:9" x14ac:dyDescent="0.25">
      <c r="A1506" s="135">
        <v>42867</v>
      </c>
      <c r="B1506" s="142" t="s">
        <v>16999</v>
      </c>
      <c r="C1506" s="143">
        <v>111555</v>
      </c>
      <c r="D1506" s="142" t="s">
        <v>15334</v>
      </c>
      <c r="E1506" s="144">
        <v>2030</v>
      </c>
      <c r="F1506" s="145">
        <v>42868</v>
      </c>
      <c r="G1506" s="146">
        <v>2030</v>
      </c>
      <c r="H1506" s="138">
        <f t="shared" si="24"/>
        <v>0</v>
      </c>
      <c r="I1506" s="147" t="s">
        <v>15214</v>
      </c>
    </row>
    <row r="1507" spans="1:9" x14ac:dyDescent="0.25">
      <c r="A1507" s="135">
        <v>42867</v>
      </c>
      <c r="B1507" s="136" t="s">
        <v>17000</v>
      </c>
      <c r="C1507" s="137">
        <v>111556</v>
      </c>
      <c r="D1507" s="136" t="s">
        <v>15258</v>
      </c>
      <c r="E1507" s="138">
        <v>9422</v>
      </c>
      <c r="F1507" s="139">
        <v>42870</v>
      </c>
      <c r="G1507" s="140">
        <v>9422</v>
      </c>
      <c r="H1507" s="138">
        <f t="shared" si="24"/>
        <v>0</v>
      </c>
      <c r="I1507" s="141" t="s">
        <v>15214</v>
      </c>
    </row>
    <row r="1508" spans="1:9" x14ac:dyDescent="0.25">
      <c r="A1508" s="135">
        <v>42867</v>
      </c>
      <c r="B1508" s="142" t="s">
        <v>17001</v>
      </c>
      <c r="C1508" s="143">
        <v>111557</v>
      </c>
      <c r="D1508" s="142" t="s">
        <v>15230</v>
      </c>
      <c r="E1508" s="144">
        <v>15841.1</v>
      </c>
      <c r="F1508" s="145">
        <v>42870</v>
      </c>
      <c r="G1508" s="146">
        <v>15841.1</v>
      </c>
      <c r="H1508" s="138">
        <f t="shared" si="24"/>
        <v>0</v>
      </c>
      <c r="I1508" s="147" t="s">
        <v>15214</v>
      </c>
    </row>
    <row r="1509" spans="1:9" x14ac:dyDescent="0.25">
      <c r="A1509" s="135">
        <v>42867</v>
      </c>
      <c r="B1509" s="136" t="s">
        <v>17002</v>
      </c>
      <c r="C1509" s="137">
        <v>111558</v>
      </c>
      <c r="D1509" s="136" t="s">
        <v>15407</v>
      </c>
      <c r="E1509" s="138">
        <v>4750.3999999999996</v>
      </c>
      <c r="F1509" s="139">
        <v>42867</v>
      </c>
      <c r="G1509" s="140">
        <v>4750.3999999999996</v>
      </c>
      <c r="H1509" s="138">
        <f t="shared" si="24"/>
        <v>0</v>
      </c>
      <c r="I1509" s="141" t="s">
        <v>15214</v>
      </c>
    </row>
    <row r="1510" spans="1:9" x14ac:dyDescent="0.25">
      <c r="A1510" s="135">
        <v>42867</v>
      </c>
      <c r="B1510" s="142" t="s">
        <v>17003</v>
      </c>
      <c r="C1510" s="143">
        <v>111559</v>
      </c>
      <c r="D1510" s="142" t="s">
        <v>15250</v>
      </c>
      <c r="E1510" s="144">
        <v>40996.28</v>
      </c>
      <c r="F1510" s="145">
        <v>42877</v>
      </c>
      <c r="G1510" s="146">
        <v>40996.28</v>
      </c>
      <c r="H1510" s="138">
        <f t="shared" si="24"/>
        <v>0</v>
      </c>
      <c r="I1510" s="147" t="s">
        <v>15214</v>
      </c>
    </row>
    <row r="1511" spans="1:9" x14ac:dyDescent="0.25">
      <c r="A1511" s="135">
        <v>42867</v>
      </c>
      <c r="B1511" s="136" t="s">
        <v>17004</v>
      </c>
      <c r="C1511" s="137">
        <v>111560</v>
      </c>
      <c r="D1511" s="136" t="s">
        <v>15668</v>
      </c>
      <c r="E1511" s="138">
        <v>12978</v>
      </c>
      <c r="F1511" s="139">
        <v>42870</v>
      </c>
      <c r="G1511" s="140">
        <v>12978</v>
      </c>
      <c r="H1511" s="138">
        <f t="shared" si="24"/>
        <v>0</v>
      </c>
      <c r="I1511" s="141" t="s">
        <v>15214</v>
      </c>
    </row>
    <row r="1512" spans="1:9" x14ac:dyDescent="0.25">
      <c r="A1512" s="135">
        <v>42867</v>
      </c>
      <c r="B1512" s="142" t="s">
        <v>17005</v>
      </c>
      <c r="C1512" s="143">
        <v>111561</v>
      </c>
      <c r="D1512" s="142" t="s">
        <v>15407</v>
      </c>
      <c r="E1512" s="144">
        <v>848.4</v>
      </c>
      <c r="F1512" s="145">
        <v>42867</v>
      </c>
      <c r="G1512" s="146">
        <v>848.4</v>
      </c>
      <c r="H1512" s="138">
        <f t="shared" si="24"/>
        <v>0</v>
      </c>
      <c r="I1512" s="147" t="s">
        <v>15214</v>
      </c>
    </row>
    <row r="1513" spans="1:9" x14ac:dyDescent="0.25">
      <c r="A1513" s="135">
        <v>42867</v>
      </c>
      <c r="B1513" s="136" t="s">
        <v>17006</v>
      </c>
      <c r="C1513" s="137">
        <v>111562</v>
      </c>
      <c r="D1513" s="136" t="s">
        <v>15480</v>
      </c>
      <c r="E1513" s="138">
        <v>3019.2</v>
      </c>
      <c r="F1513" s="139">
        <v>42872</v>
      </c>
      <c r="G1513" s="140">
        <v>3019.2</v>
      </c>
      <c r="H1513" s="138">
        <f t="shared" si="24"/>
        <v>0</v>
      </c>
      <c r="I1513" s="141" t="s">
        <v>15214</v>
      </c>
    </row>
    <row r="1514" spans="1:9" x14ac:dyDescent="0.25">
      <c r="A1514" s="135">
        <v>42867</v>
      </c>
      <c r="B1514" s="142" t="s">
        <v>17007</v>
      </c>
      <c r="C1514" s="143">
        <v>111563</v>
      </c>
      <c r="D1514" s="142" t="s">
        <v>15272</v>
      </c>
      <c r="E1514" s="144">
        <v>9150.4</v>
      </c>
      <c r="F1514" s="145">
        <v>42867</v>
      </c>
      <c r="G1514" s="146">
        <v>9150.4</v>
      </c>
      <c r="H1514" s="138">
        <f t="shared" si="24"/>
        <v>0</v>
      </c>
      <c r="I1514" s="147" t="s">
        <v>15214</v>
      </c>
    </row>
    <row r="1515" spans="1:9" x14ac:dyDescent="0.25">
      <c r="A1515" s="135">
        <v>42867</v>
      </c>
      <c r="B1515" s="136" t="s">
        <v>17008</v>
      </c>
      <c r="C1515" s="137">
        <v>111564</v>
      </c>
      <c r="D1515" s="136" t="s">
        <v>15238</v>
      </c>
      <c r="E1515" s="138">
        <v>6003.6</v>
      </c>
      <c r="F1515" s="139">
        <v>42870</v>
      </c>
      <c r="G1515" s="140">
        <v>6003.6</v>
      </c>
      <c r="H1515" s="138">
        <f t="shared" si="24"/>
        <v>0</v>
      </c>
      <c r="I1515" s="141" t="s">
        <v>15214</v>
      </c>
    </row>
    <row r="1516" spans="1:9" x14ac:dyDescent="0.25">
      <c r="A1516" s="135">
        <v>42867</v>
      </c>
      <c r="B1516" s="142" t="s">
        <v>17009</v>
      </c>
      <c r="C1516" s="143">
        <v>111565</v>
      </c>
      <c r="D1516" s="142" t="s">
        <v>5575</v>
      </c>
      <c r="E1516" s="144">
        <v>6832.2</v>
      </c>
      <c r="F1516" s="145">
        <v>42870</v>
      </c>
      <c r="G1516" s="146">
        <v>6832.2</v>
      </c>
      <c r="H1516" s="138">
        <f t="shared" si="24"/>
        <v>0</v>
      </c>
      <c r="I1516" s="147" t="s">
        <v>15214</v>
      </c>
    </row>
    <row r="1517" spans="1:9" x14ac:dyDescent="0.25">
      <c r="A1517" s="135">
        <v>42867</v>
      </c>
      <c r="B1517" s="136" t="s">
        <v>17010</v>
      </c>
      <c r="C1517" s="137">
        <v>111566</v>
      </c>
      <c r="D1517" s="136" t="s">
        <v>15256</v>
      </c>
      <c r="E1517" s="138">
        <v>6685.4</v>
      </c>
      <c r="F1517" s="139">
        <v>42870</v>
      </c>
      <c r="G1517" s="140">
        <v>6685.4</v>
      </c>
      <c r="H1517" s="138">
        <f t="shared" si="24"/>
        <v>0</v>
      </c>
      <c r="I1517" s="141" t="s">
        <v>15214</v>
      </c>
    </row>
    <row r="1518" spans="1:9" x14ac:dyDescent="0.25">
      <c r="A1518" s="135">
        <v>42867</v>
      </c>
      <c r="B1518" s="142" t="s">
        <v>17011</v>
      </c>
      <c r="C1518" s="143">
        <v>111567</v>
      </c>
      <c r="D1518" s="142" t="s">
        <v>16023</v>
      </c>
      <c r="E1518" s="144">
        <v>2019.8</v>
      </c>
      <c r="F1518" s="145">
        <v>42867</v>
      </c>
      <c r="G1518" s="146">
        <v>2019.8</v>
      </c>
      <c r="H1518" s="138">
        <f t="shared" si="24"/>
        <v>0</v>
      </c>
      <c r="I1518" s="147" t="s">
        <v>15214</v>
      </c>
    </row>
    <row r="1519" spans="1:9" x14ac:dyDescent="0.25">
      <c r="A1519" s="135">
        <v>42867</v>
      </c>
      <c r="B1519" s="136" t="s">
        <v>17012</v>
      </c>
      <c r="C1519" s="137">
        <v>111568</v>
      </c>
      <c r="D1519" s="136" t="s">
        <v>15240</v>
      </c>
      <c r="E1519" s="138">
        <v>2803.5</v>
      </c>
      <c r="F1519" s="139">
        <v>42868</v>
      </c>
      <c r="G1519" s="140">
        <v>2803.5</v>
      </c>
      <c r="H1519" s="138">
        <f t="shared" si="24"/>
        <v>0</v>
      </c>
      <c r="I1519" s="141" t="s">
        <v>15214</v>
      </c>
    </row>
    <row r="1520" spans="1:9" x14ac:dyDescent="0.25">
      <c r="A1520" s="135">
        <v>42867</v>
      </c>
      <c r="B1520" s="142" t="s">
        <v>17013</v>
      </c>
      <c r="C1520" s="143">
        <v>111569</v>
      </c>
      <c r="D1520" s="142" t="s">
        <v>15523</v>
      </c>
      <c r="E1520" s="144">
        <v>1680</v>
      </c>
      <c r="F1520" s="145">
        <v>42868</v>
      </c>
      <c r="G1520" s="146">
        <v>1680</v>
      </c>
      <c r="H1520" s="138">
        <f t="shared" si="24"/>
        <v>0</v>
      </c>
      <c r="I1520" s="147" t="s">
        <v>15214</v>
      </c>
    </row>
    <row r="1521" spans="1:9" x14ac:dyDescent="0.25">
      <c r="A1521" s="135">
        <v>42867</v>
      </c>
      <c r="B1521" s="136" t="s">
        <v>17014</v>
      </c>
      <c r="C1521" s="137">
        <v>111570</v>
      </c>
      <c r="D1521" s="136" t="s">
        <v>15350</v>
      </c>
      <c r="E1521" s="138">
        <v>2107.1999999999998</v>
      </c>
      <c r="F1521" s="139">
        <v>42868</v>
      </c>
      <c r="G1521" s="140">
        <v>2107.1999999999998</v>
      </c>
      <c r="H1521" s="138">
        <f t="shared" si="24"/>
        <v>0</v>
      </c>
      <c r="I1521" s="141" t="s">
        <v>15214</v>
      </c>
    </row>
    <row r="1522" spans="1:9" x14ac:dyDescent="0.25">
      <c r="A1522" s="135">
        <v>42867</v>
      </c>
      <c r="B1522" s="142" t="s">
        <v>17015</v>
      </c>
      <c r="C1522" s="143">
        <v>111571</v>
      </c>
      <c r="D1522" s="142" t="s">
        <v>16484</v>
      </c>
      <c r="E1522" s="144">
        <v>1646.4</v>
      </c>
      <c r="F1522" s="145">
        <v>42867</v>
      </c>
      <c r="G1522" s="146">
        <v>1646.4</v>
      </c>
      <c r="H1522" s="138">
        <f t="shared" si="24"/>
        <v>0</v>
      </c>
      <c r="I1522" s="147" t="s">
        <v>15214</v>
      </c>
    </row>
    <row r="1523" spans="1:9" x14ac:dyDescent="0.25">
      <c r="A1523" s="135">
        <v>42867</v>
      </c>
      <c r="B1523" s="136" t="s">
        <v>17016</v>
      </c>
      <c r="C1523" s="137">
        <v>111572</v>
      </c>
      <c r="D1523" s="136" t="s">
        <v>15315</v>
      </c>
      <c r="E1523" s="138">
        <v>960</v>
      </c>
      <c r="F1523" s="139">
        <v>42871</v>
      </c>
      <c r="G1523" s="140">
        <v>960</v>
      </c>
      <c r="H1523" s="138">
        <f t="shared" si="24"/>
        <v>0</v>
      </c>
      <c r="I1523" s="141" t="s">
        <v>15214</v>
      </c>
    </row>
    <row r="1524" spans="1:9" x14ac:dyDescent="0.25">
      <c r="A1524" s="135">
        <v>42867</v>
      </c>
      <c r="B1524" s="142" t="s">
        <v>17017</v>
      </c>
      <c r="C1524" s="143">
        <v>111573</v>
      </c>
      <c r="D1524" s="142" t="s">
        <v>15348</v>
      </c>
      <c r="E1524" s="144">
        <v>2907.3</v>
      </c>
      <c r="F1524" s="145">
        <v>42872</v>
      </c>
      <c r="G1524" s="146">
        <v>2907.3</v>
      </c>
      <c r="H1524" s="138">
        <f t="shared" si="24"/>
        <v>0</v>
      </c>
      <c r="I1524" s="147" t="s">
        <v>15214</v>
      </c>
    </row>
    <row r="1525" spans="1:9" x14ac:dyDescent="0.25">
      <c r="A1525" s="135">
        <v>42867</v>
      </c>
      <c r="B1525" s="136" t="s">
        <v>17018</v>
      </c>
      <c r="C1525" s="137">
        <v>111574</v>
      </c>
      <c r="D1525" s="136" t="s">
        <v>15358</v>
      </c>
      <c r="E1525" s="138">
        <v>2829.4</v>
      </c>
      <c r="F1525" s="139">
        <v>42868</v>
      </c>
      <c r="G1525" s="140">
        <v>2829.4</v>
      </c>
      <c r="H1525" s="138">
        <f t="shared" si="24"/>
        <v>0</v>
      </c>
      <c r="I1525" s="141" t="s">
        <v>15214</v>
      </c>
    </row>
    <row r="1526" spans="1:9" x14ac:dyDescent="0.25">
      <c r="A1526" s="135">
        <v>42867</v>
      </c>
      <c r="B1526" s="142" t="s">
        <v>17019</v>
      </c>
      <c r="C1526" s="143">
        <v>111575</v>
      </c>
      <c r="D1526" s="142" t="s">
        <v>15358</v>
      </c>
      <c r="E1526" s="144">
        <v>385.4</v>
      </c>
      <c r="F1526" s="145">
        <v>42868</v>
      </c>
      <c r="G1526" s="146">
        <v>385.4</v>
      </c>
      <c r="H1526" s="138">
        <f t="shared" si="24"/>
        <v>0</v>
      </c>
      <c r="I1526" s="147" t="s">
        <v>15214</v>
      </c>
    </row>
    <row r="1527" spans="1:9" x14ac:dyDescent="0.25">
      <c r="A1527" s="135">
        <v>42867</v>
      </c>
      <c r="B1527" s="136" t="s">
        <v>17020</v>
      </c>
      <c r="C1527" s="137">
        <v>111576</v>
      </c>
      <c r="D1527" s="136" t="s">
        <v>15289</v>
      </c>
      <c r="E1527" s="138">
        <v>1072</v>
      </c>
      <c r="F1527" s="139">
        <v>42867</v>
      </c>
      <c r="G1527" s="140">
        <v>1072</v>
      </c>
      <c r="H1527" s="138">
        <f t="shared" si="24"/>
        <v>0</v>
      </c>
      <c r="I1527" s="141" t="s">
        <v>15214</v>
      </c>
    </row>
    <row r="1528" spans="1:9" x14ac:dyDescent="0.25">
      <c r="A1528" s="135">
        <v>42867</v>
      </c>
      <c r="B1528" s="142" t="s">
        <v>17021</v>
      </c>
      <c r="C1528" s="143">
        <v>111577</v>
      </c>
      <c r="D1528" s="142" t="s">
        <v>15526</v>
      </c>
      <c r="E1528" s="144">
        <v>3439.8</v>
      </c>
      <c r="F1528" s="145">
        <v>42868</v>
      </c>
      <c r="G1528" s="146">
        <v>3439.8</v>
      </c>
      <c r="H1528" s="138">
        <f t="shared" si="24"/>
        <v>0</v>
      </c>
      <c r="I1528" s="147" t="s">
        <v>15214</v>
      </c>
    </row>
    <row r="1529" spans="1:9" x14ac:dyDescent="0.25">
      <c r="A1529" s="135">
        <v>42867</v>
      </c>
      <c r="B1529" s="136" t="s">
        <v>17022</v>
      </c>
      <c r="C1529" s="137">
        <v>111578</v>
      </c>
      <c r="D1529" s="136" t="s">
        <v>15742</v>
      </c>
      <c r="E1529" s="138">
        <v>2424</v>
      </c>
      <c r="F1529" s="139">
        <v>42868</v>
      </c>
      <c r="G1529" s="140">
        <v>2424</v>
      </c>
      <c r="H1529" s="138">
        <f t="shared" si="24"/>
        <v>0</v>
      </c>
      <c r="I1529" s="141" t="s">
        <v>15214</v>
      </c>
    </row>
    <row r="1530" spans="1:9" x14ac:dyDescent="0.25">
      <c r="A1530" s="135">
        <v>42867</v>
      </c>
      <c r="B1530" s="142" t="s">
        <v>17023</v>
      </c>
      <c r="C1530" s="143">
        <v>111579</v>
      </c>
      <c r="D1530" s="142" t="s">
        <v>15280</v>
      </c>
      <c r="E1530" s="144">
        <v>6736.2</v>
      </c>
      <c r="F1530" s="145">
        <v>42867</v>
      </c>
      <c r="G1530" s="146">
        <v>6736.2</v>
      </c>
      <c r="H1530" s="138">
        <f t="shared" si="24"/>
        <v>0</v>
      </c>
      <c r="I1530" s="147" t="s">
        <v>15214</v>
      </c>
    </row>
    <row r="1531" spans="1:9" x14ac:dyDescent="0.25">
      <c r="A1531" s="135">
        <v>42867</v>
      </c>
      <c r="B1531" s="136" t="s">
        <v>17024</v>
      </c>
      <c r="C1531" s="137">
        <v>111580</v>
      </c>
      <c r="D1531" s="136" t="s">
        <v>15553</v>
      </c>
      <c r="E1531" s="138">
        <v>4495.7</v>
      </c>
      <c r="F1531" s="139">
        <v>42868</v>
      </c>
      <c r="G1531" s="140">
        <v>4495.7</v>
      </c>
      <c r="H1531" s="138">
        <f t="shared" si="24"/>
        <v>0</v>
      </c>
      <c r="I1531" s="141" t="s">
        <v>15214</v>
      </c>
    </row>
    <row r="1532" spans="1:9" x14ac:dyDescent="0.25">
      <c r="A1532" s="135">
        <v>42867</v>
      </c>
      <c r="B1532" s="142" t="s">
        <v>17025</v>
      </c>
      <c r="C1532" s="143">
        <v>111581</v>
      </c>
      <c r="D1532" s="142" t="s">
        <v>15340</v>
      </c>
      <c r="E1532" s="144">
        <v>3304.8</v>
      </c>
      <c r="F1532" s="145">
        <v>42868</v>
      </c>
      <c r="G1532" s="146">
        <v>3304.8</v>
      </c>
      <c r="H1532" s="138">
        <f t="shared" si="24"/>
        <v>0</v>
      </c>
      <c r="I1532" s="147" t="s">
        <v>15214</v>
      </c>
    </row>
    <row r="1533" spans="1:9" x14ac:dyDescent="0.25">
      <c r="A1533" s="135">
        <v>42867</v>
      </c>
      <c r="B1533" s="136" t="s">
        <v>17026</v>
      </c>
      <c r="C1533" s="137">
        <v>111582</v>
      </c>
      <c r="D1533" s="136" t="s">
        <v>15861</v>
      </c>
      <c r="E1533" s="138">
        <v>3159.8</v>
      </c>
      <c r="F1533" s="139">
        <v>42868</v>
      </c>
      <c r="G1533" s="140">
        <v>3159.8</v>
      </c>
      <c r="H1533" s="138">
        <f t="shared" si="24"/>
        <v>0</v>
      </c>
      <c r="I1533" s="141" t="s">
        <v>15214</v>
      </c>
    </row>
    <row r="1534" spans="1:9" x14ac:dyDescent="0.25">
      <c r="A1534" s="135">
        <v>42867</v>
      </c>
      <c r="B1534" s="142" t="s">
        <v>17027</v>
      </c>
      <c r="C1534" s="143">
        <v>111583</v>
      </c>
      <c r="D1534" s="142" t="s">
        <v>15282</v>
      </c>
      <c r="E1534" s="144">
        <v>3323</v>
      </c>
      <c r="F1534" s="145">
        <v>42867</v>
      </c>
      <c r="G1534" s="146">
        <v>3323</v>
      </c>
      <c r="H1534" s="138">
        <f t="shared" si="24"/>
        <v>0</v>
      </c>
      <c r="I1534" s="147" t="s">
        <v>15214</v>
      </c>
    </row>
    <row r="1535" spans="1:9" x14ac:dyDescent="0.25">
      <c r="A1535" s="135">
        <v>42867</v>
      </c>
      <c r="B1535" s="136" t="s">
        <v>17028</v>
      </c>
      <c r="C1535" s="137">
        <v>111584</v>
      </c>
      <c r="D1535" s="136" t="s">
        <v>15332</v>
      </c>
      <c r="E1535" s="138">
        <v>3781.6</v>
      </c>
      <c r="F1535" s="139">
        <v>42868</v>
      </c>
      <c r="G1535" s="140">
        <v>3781.6</v>
      </c>
      <c r="H1535" s="138">
        <f t="shared" si="24"/>
        <v>0</v>
      </c>
      <c r="I1535" s="141" t="s">
        <v>15214</v>
      </c>
    </row>
    <row r="1536" spans="1:9" ht="15.75" x14ac:dyDescent="0.25">
      <c r="A1536" s="135">
        <v>42867</v>
      </c>
      <c r="B1536" s="142" t="s">
        <v>17029</v>
      </c>
      <c r="C1536" s="143">
        <v>111585</v>
      </c>
      <c r="D1536" s="142" t="s">
        <v>15328</v>
      </c>
      <c r="E1536" s="144">
        <v>0</v>
      </c>
      <c r="F1536" s="156" t="s">
        <v>95</v>
      </c>
      <c r="G1536" s="144">
        <v>0</v>
      </c>
      <c r="H1536" s="138">
        <f t="shared" si="24"/>
        <v>0</v>
      </c>
      <c r="I1536" s="147" t="s">
        <v>95</v>
      </c>
    </row>
    <row r="1537" spans="1:9" x14ac:dyDescent="0.25">
      <c r="A1537" s="135">
        <v>42867</v>
      </c>
      <c r="B1537" s="136" t="s">
        <v>17030</v>
      </c>
      <c r="C1537" s="137">
        <v>111586</v>
      </c>
      <c r="D1537" s="136" t="s">
        <v>15361</v>
      </c>
      <c r="E1537" s="138">
        <v>10472.6</v>
      </c>
      <c r="F1537" s="139">
        <v>42867</v>
      </c>
      <c r="G1537" s="140">
        <v>10472.6</v>
      </c>
      <c r="H1537" s="138">
        <f t="shared" si="24"/>
        <v>0</v>
      </c>
      <c r="I1537" s="141" t="s">
        <v>15214</v>
      </c>
    </row>
    <row r="1538" spans="1:9" x14ac:dyDescent="0.25">
      <c r="A1538" s="135">
        <v>42867</v>
      </c>
      <c r="B1538" s="142" t="s">
        <v>17031</v>
      </c>
      <c r="C1538" s="143">
        <v>111587</v>
      </c>
      <c r="D1538" s="142" t="s">
        <v>15562</v>
      </c>
      <c r="E1538" s="144">
        <v>3081.6</v>
      </c>
      <c r="F1538" s="145">
        <v>42867</v>
      </c>
      <c r="G1538" s="146">
        <v>3081.6</v>
      </c>
      <c r="H1538" s="138">
        <f t="shared" si="24"/>
        <v>0</v>
      </c>
      <c r="I1538" s="147" t="s">
        <v>15214</v>
      </c>
    </row>
    <row r="1539" spans="1:9" x14ac:dyDescent="0.25">
      <c r="A1539" s="135">
        <v>42867</v>
      </c>
      <c r="B1539" s="136" t="s">
        <v>17032</v>
      </c>
      <c r="C1539" s="137">
        <v>111588</v>
      </c>
      <c r="D1539" s="136" t="s">
        <v>15387</v>
      </c>
      <c r="E1539" s="138">
        <v>830.92</v>
      </c>
      <c r="F1539" s="139">
        <v>42867</v>
      </c>
      <c r="G1539" s="140">
        <v>830.92</v>
      </c>
      <c r="H1539" s="138">
        <f t="shared" si="24"/>
        <v>0</v>
      </c>
      <c r="I1539" s="141" t="s">
        <v>15214</v>
      </c>
    </row>
    <row r="1540" spans="1:9" x14ac:dyDescent="0.25">
      <c r="A1540" s="135">
        <v>42867</v>
      </c>
      <c r="B1540" s="142" t="s">
        <v>17033</v>
      </c>
      <c r="C1540" s="143">
        <v>111589</v>
      </c>
      <c r="D1540" s="142" t="s">
        <v>15385</v>
      </c>
      <c r="E1540" s="144">
        <v>389.2</v>
      </c>
      <c r="F1540" s="145">
        <v>42867</v>
      </c>
      <c r="G1540" s="146">
        <v>389.2</v>
      </c>
      <c r="H1540" s="138">
        <f t="shared" ref="H1540:H1603" si="25">E1540-G1540</f>
        <v>0</v>
      </c>
      <c r="I1540" s="147" t="s">
        <v>15214</v>
      </c>
    </row>
    <row r="1541" spans="1:9" x14ac:dyDescent="0.25">
      <c r="A1541" s="135">
        <v>42867</v>
      </c>
      <c r="B1541" s="136" t="s">
        <v>17034</v>
      </c>
      <c r="C1541" s="137">
        <v>111590</v>
      </c>
      <c r="D1541" s="136" t="s">
        <v>15751</v>
      </c>
      <c r="E1541" s="138">
        <v>3019.2</v>
      </c>
      <c r="F1541" s="139">
        <v>42868</v>
      </c>
      <c r="G1541" s="140">
        <v>3019.2</v>
      </c>
      <c r="H1541" s="138">
        <f t="shared" si="25"/>
        <v>0</v>
      </c>
      <c r="I1541" s="141" t="s">
        <v>15214</v>
      </c>
    </row>
    <row r="1542" spans="1:9" x14ac:dyDescent="0.25">
      <c r="A1542" s="135">
        <v>42867</v>
      </c>
      <c r="B1542" s="142" t="s">
        <v>17035</v>
      </c>
      <c r="C1542" s="143">
        <v>111591</v>
      </c>
      <c r="D1542" s="142" t="s">
        <v>15363</v>
      </c>
      <c r="E1542" s="144">
        <v>780</v>
      </c>
      <c r="F1542" s="145">
        <v>42867</v>
      </c>
      <c r="G1542" s="146">
        <v>780</v>
      </c>
      <c r="H1542" s="138">
        <f t="shared" si="25"/>
        <v>0</v>
      </c>
      <c r="I1542" s="147" t="s">
        <v>15214</v>
      </c>
    </row>
    <row r="1543" spans="1:9" x14ac:dyDescent="0.25">
      <c r="A1543" s="135">
        <v>42867</v>
      </c>
      <c r="B1543" s="136" t="s">
        <v>17036</v>
      </c>
      <c r="C1543" s="137">
        <v>111592</v>
      </c>
      <c r="D1543" s="136" t="s">
        <v>15391</v>
      </c>
      <c r="E1543" s="138">
        <v>11004.8</v>
      </c>
      <c r="F1543" s="139">
        <v>42867</v>
      </c>
      <c r="G1543" s="140">
        <v>11004.8</v>
      </c>
      <c r="H1543" s="138">
        <f t="shared" si="25"/>
        <v>0</v>
      </c>
      <c r="I1543" s="141" t="s">
        <v>15214</v>
      </c>
    </row>
    <row r="1544" spans="1:9" x14ac:dyDescent="0.25">
      <c r="A1544" s="135">
        <v>42867</v>
      </c>
      <c r="B1544" s="142" t="s">
        <v>17037</v>
      </c>
      <c r="C1544" s="143">
        <v>111593</v>
      </c>
      <c r="D1544" s="142" t="s">
        <v>15371</v>
      </c>
      <c r="E1544" s="144">
        <v>2842.8</v>
      </c>
      <c r="F1544" s="145">
        <v>42868</v>
      </c>
      <c r="G1544" s="146">
        <v>2842.8</v>
      </c>
      <c r="H1544" s="138">
        <f t="shared" si="25"/>
        <v>0</v>
      </c>
      <c r="I1544" s="147" t="s">
        <v>15214</v>
      </c>
    </row>
    <row r="1545" spans="1:9" x14ac:dyDescent="0.25">
      <c r="A1545" s="135">
        <v>42867</v>
      </c>
      <c r="B1545" s="136" t="s">
        <v>17038</v>
      </c>
      <c r="C1545" s="137">
        <v>111594</v>
      </c>
      <c r="D1545" s="136" t="s">
        <v>15336</v>
      </c>
      <c r="E1545" s="138">
        <v>1377</v>
      </c>
      <c r="F1545" s="139">
        <v>42868</v>
      </c>
      <c r="G1545" s="140">
        <v>1377</v>
      </c>
      <c r="H1545" s="138">
        <f t="shared" si="25"/>
        <v>0</v>
      </c>
      <c r="I1545" s="141" t="s">
        <v>15214</v>
      </c>
    </row>
    <row r="1546" spans="1:9" x14ac:dyDescent="0.25">
      <c r="A1546" s="135">
        <v>42867</v>
      </c>
      <c r="B1546" s="142" t="s">
        <v>17039</v>
      </c>
      <c r="C1546" s="143">
        <v>111595</v>
      </c>
      <c r="D1546" s="142" t="s">
        <v>15365</v>
      </c>
      <c r="E1546" s="144">
        <v>22099</v>
      </c>
      <c r="F1546" s="145">
        <v>42868</v>
      </c>
      <c r="G1546" s="146">
        <v>22099</v>
      </c>
      <c r="H1546" s="138">
        <f t="shared" si="25"/>
        <v>0</v>
      </c>
      <c r="I1546" s="147" t="s">
        <v>15214</v>
      </c>
    </row>
    <row r="1547" spans="1:9" x14ac:dyDescent="0.25">
      <c r="A1547" s="135">
        <v>42867</v>
      </c>
      <c r="B1547" s="136" t="s">
        <v>17040</v>
      </c>
      <c r="C1547" s="137">
        <v>111596</v>
      </c>
      <c r="D1547" s="136" t="s">
        <v>15346</v>
      </c>
      <c r="E1547" s="138">
        <v>2767.6</v>
      </c>
      <c r="F1547" s="139">
        <v>42867</v>
      </c>
      <c r="G1547" s="140">
        <v>2767.6</v>
      </c>
      <c r="H1547" s="138">
        <f t="shared" si="25"/>
        <v>0</v>
      </c>
      <c r="I1547" s="141" t="s">
        <v>15214</v>
      </c>
    </row>
    <row r="1548" spans="1:9" x14ac:dyDescent="0.25">
      <c r="A1548" s="135">
        <v>42867</v>
      </c>
      <c r="B1548" s="142" t="s">
        <v>17041</v>
      </c>
      <c r="C1548" s="143">
        <v>111597</v>
      </c>
      <c r="D1548" s="142" t="s">
        <v>15725</v>
      </c>
      <c r="E1548" s="144">
        <v>17081.400000000001</v>
      </c>
      <c r="F1548" s="145">
        <v>42868</v>
      </c>
      <c r="G1548" s="146">
        <v>17081.400000000001</v>
      </c>
      <c r="H1548" s="138">
        <f t="shared" si="25"/>
        <v>0</v>
      </c>
      <c r="I1548" s="147" t="s">
        <v>15214</v>
      </c>
    </row>
    <row r="1549" spans="1:9" x14ac:dyDescent="0.25">
      <c r="A1549" s="135">
        <v>42867</v>
      </c>
      <c r="B1549" s="136" t="s">
        <v>17042</v>
      </c>
      <c r="C1549" s="137">
        <v>111598</v>
      </c>
      <c r="D1549" s="136" t="s">
        <v>15278</v>
      </c>
      <c r="E1549" s="138">
        <v>8076.9</v>
      </c>
      <c r="F1549" s="139">
        <v>42867</v>
      </c>
      <c r="G1549" s="140">
        <v>8076.9</v>
      </c>
      <c r="H1549" s="138">
        <f t="shared" si="25"/>
        <v>0</v>
      </c>
      <c r="I1549" s="141" t="s">
        <v>15214</v>
      </c>
    </row>
    <row r="1550" spans="1:9" x14ac:dyDescent="0.25">
      <c r="A1550" s="135">
        <v>42867</v>
      </c>
      <c r="B1550" s="142" t="s">
        <v>17043</v>
      </c>
      <c r="C1550" s="143">
        <v>111599</v>
      </c>
      <c r="D1550" s="142" t="s">
        <v>15263</v>
      </c>
      <c r="E1550" s="144">
        <v>3715.4</v>
      </c>
      <c r="F1550" s="145">
        <v>42867</v>
      </c>
      <c r="G1550" s="146">
        <v>3715.4</v>
      </c>
      <c r="H1550" s="138">
        <f t="shared" si="25"/>
        <v>0</v>
      </c>
      <c r="I1550" s="147" t="s">
        <v>15214</v>
      </c>
    </row>
    <row r="1551" spans="1:9" x14ac:dyDescent="0.25">
      <c r="A1551" s="135">
        <v>42867</v>
      </c>
      <c r="B1551" s="136" t="s">
        <v>17044</v>
      </c>
      <c r="C1551" s="137">
        <v>111600</v>
      </c>
      <c r="D1551" s="136" t="s">
        <v>15592</v>
      </c>
      <c r="E1551" s="138">
        <v>9907.6</v>
      </c>
      <c r="F1551" s="139">
        <v>42867</v>
      </c>
      <c r="G1551" s="140">
        <v>9907.6</v>
      </c>
      <c r="H1551" s="138">
        <f t="shared" si="25"/>
        <v>0</v>
      </c>
      <c r="I1551" s="141" t="s">
        <v>15214</v>
      </c>
    </row>
    <row r="1552" spans="1:9" x14ac:dyDescent="0.25">
      <c r="A1552" s="135">
        <v>42867</v>
      </c>
      <c r="B1552" s="142" t="s">
        <v>17045</v>
      </c>
      <c r="C1552" s="143">
        <v>111601</v>
      </c>
      <c r="D1552" s="142" t="s">
        <v>15315</v>
      </c>
      <c r="E1552" s="144">
        <v>2795.6</v>
      </c>
      <c r="F1552" s="145">
        <v>42867</v>
      </c>
      <c r="G1552" s="146">
        <v>2795.6</v>
      </c>
      <c r="H1552" s="138">
        <f t="shared" si="25"/>
        <v>0</v>
      </c>
      <c r="I1552" s="147" t="s">
        <v>15214</v>
      </c>
    </row>
    <row r="1553" spans="1:9" x14ac:dyDescent="0.25">
      <c r="A1553" s="135">
        <v>42867</v>
      </c>
      <c r="B1553" s="136" t="s">
        <v>17046</v>
      </c>
      <c r="C1553" s="137">
        <v>111602</v>
      </c>
      <c r="D1553" s="136" t="s">
        <v>15581</v>
      </c>
      <c r="E1553" s="138">
        <v>8111.8</v>
      </c>
      <c r="F1553" s="139">
        <v>42868</v>
      </c>
      <c r="G1553" s="140">
        <v>8111.8</v>
      </c>
      <c r="H1553" s="138">
        <f t="shared" si="25"/>
        <v>0</v>
      </c>
      <c r="I1553" s="141" t="s">
        <v>15214</v>
      </c>
    </row>
    <row r="1554" spans="1:9" x14ac:dyDescent="0.25">
      <c r="A1554" s="135">
        <v>42867</v>
      </c>
      <c r="B1554" s="142" t="s">
        <v>17047</v>
      </c>
      <c r="C1554" s="143">
        <v>111603</v>
      </c>
      <c r="D1554" s="142" t="s">
        <v>17048</v>
      </c>
      <c r="E1554" s="144">
        <v>5016</v>
      </c>
      <c r="F1554" s="145">
        <v>42867</v>
      </c>
      <c r="G1554" s="146">
        <v>5016</v>
      </c>
      <c r="H1554" s="138">
        <f t="shared" si="25"/>
        <v>0</v>
      </c>
      <c r="I1554" s="147" t="s">
        <v>15214</v>
      </c>
    </row>
    <row r="1555" spans="1:9" x14ac:dyDescent="0.25">
      <c r="A1555" s="135">
        <v>42867</v>
      </c>
      <c r="B1555" s="136" t="s">
        <v>17049</v>
      </c>
      <c r="C1555" s="137">
        <v>111604</v>
      </c>
      <c r="D1555" s="136" t="s">
        <v>15903</v>
      </c>
      <c r="E1555" s="138">
        <v>16320</v>
      </c>
      <c r="F1555" s="139">
        <v>42867</v>
      </c>
      <c r="G1555" s="140">
        <v>16320</v>
      </c>
      <c r="H1555" s="138">
        <f t="shared" si="25"/>
        <v>0</v>
      </c>
      <c r="I1555" s="141" t="s">
        <v>15214</v>
      </c>
    </row>
    <row r="1556" spans="1:9" x14ac:dyDescent="0.25">
      <c r="A1556" s="135">
        <v>42867</v>
      </c>
      <c r="B1556" s="142" t="s">
        <v>17050</v>
      </c>
      <c r="C1556" s="143">
        <v>111605</v>
      </c>
      <c r="D1556" s="142" t="s">
        <v>15396</v>
      </c>
      <c r="E1556" s="144">
        <v>9125.2000000000007</v>
      </c>
      <c r="F1556" s="145">
        <v>42867</v>
      </c>
      <c r="G1556" s="146">
        <v>9125.2000000000007</v>
      </c>
      <c r="H1556" s="138">
        <f t="shared" si="25"/>
        <v>0</v>
      </c>
      <c r="I1556" s="147" t="s">
        <v>15214</v>
      </c>
    </row>
    <row r="1557" spans="1:9" x14ac:dyDescent="0.25">
      <c r="A1557" s="135">
        <v>42867</v>
      </c>
      <c r="B1557" s="136" t="s">
        <v>17051</v>
      </c>
      <c r="C1557" s="137">
        <v>111606</v>
      </c>
      <c r="D1557" s="136" t="s">
        <v>15417</v>
      </c>
      <c r="E1557" s="138">
        <v>3703.6</v>
      </c>
      <c r="F1557" s="139">
        <v>42867</v>
      </c>
      <c r="G1557" s="140">
        <v>3703.6</v>
      </c>
      <c r="H1557" s="138">
        <f t="shared" si="25"/>
        <v>0</v>
      </c>
      <c r="I1557" s="141" t="s">
        <v>15214</v>
      </c>
    </row>
    <row r="1558" spans="1:9" x14ac:dyDescent="0.25">
      <c r="A1558" s="135">
        <v>42867</v>
      </c>
      <c r="B1558" s="142" t="s">
        <v>17052</v>
      </c>
      <c r="C1558" s="143">
        <v>111607</v>
      </c>
      <c r="D1558" s="142" t="s">
        <v>16108</v>
      </c>
      <c r="E1558" s="144">
        <v>4055.96</v>
      </c>
      <c r="F1558" s="145">
        <v>42867</v>
      </c>
      <c r="G1558" s="146">
        <v>4055.96</v>
      </c>
      <c r="H1558" s="138">
        <f t="shared" si="25"/>
        <v>0</v>
      </c>
      <c r="I1558" s="147" t="s">
        <v>15214</v>
      </c>
    </row>
    <row r="1559" spans="1:9" x14ac:dyDescent="0.25">
      <c r="A1559" s="135">
        <v>42867</v>
      </c>
      <c r="B1559" s="136" t="s">
        <v>17053</v>
      </c>
      <c r="C1559" s="137">
        <v>111608</v>
      </c>
      <c r="D1559" s="136" t="s">
        <v>15309</v>
      </c>
      <c r="E1559" s="138">
        <v>25903.4</v>
      </c>
      <c r="F1559" s="139">
        <v>42867</v>
      </c>
      <c r="G1559" s="140">
        <v>25903.4</v>
      </c>
      <c r="H1559" s="138">
        <f t="shared" si="25"/>
        <v>0</v>
      </c>
      <c r="I1559" s="141" t="s">
        <v>15214</v>
      </c>
    </row>
    <row r="1560" spans="1:9" x14ac:dyDescent="0.25">
      <c r="A1560" s="135">
        <v>42867</v>
      </c>
      <c r="B1560" s="142" t="s">
        <v>17054</v>
      </c>
      <c r="C1560" s="143">
        <v>111609</v>
      </c>
      <c r="D1560" s="142" t="s">
        <v>15317</v>
      </c>
      <c r="E1560" s="144">
        <v>1518</v>
      </c>
      <c r="F1560" s="145">
        <v>42870</v>
      </c>
      <c r="G1560" s="146">
        <v>1518</v>
      </c>
      <c r="H1560" s="138">
        <f t="shared" si="25"/>
        <v>0</v>
      </c>
      <c r="I1560" s="147" t="s">
        <v>15214</v>
      </c>
    </row>
    <row r="1561" spans="1:9" x14ac:dyDescent="0.25">
      <c r="A1561" s="135">
        <v>42867</v>
      </c>
      <c r="B1561" s="136" t="s">
        <v>17055</v>
      </c>
      <c r="C1561" s="137">
        <v>111610</v>
      </c>
      <c r="D1561" s="136" t="s">
        <v>15291</v>
      </c>
      <c r="E1561" s="138">
        <v>772.8</v>
      </c>
      <c r="F1561" s="139">
        <v>42867</v>
      </c>
      <c r="G1561" s="140">
        <v>772.8</v>
      </c>
      <c r="H1561" s="138">
        <f t="shared" si="25"/>
        <v>0</v>
      </c>
      <c r="I1561" s="141" t="s">
        <v>15214</v>
      </c>
    </row>
    <row r="1562" spans="1:9" x14ac:dyDescent="0.25">
      <c r="A1562" s="135">
        <v>42867</v>
      </c>
      <c r="B1562" s="142" t="s">
        <v>17056</v>
      </c>
      <c r="C1562" s="143">
        <v>111611</v>
      </c>
      <c r="D1562" s="142" t="s">
        <v>17057</v>
      </c>
      <c r="E1562" s="144">
        <v>496.8</v>
      </c>
      <c r="F1562" s="145">
        <v>42867</v>
      </c>
      <c r="G1562" s="146">
        <v>496.8</v>
      </c>
      <c r="H1562" s="138">
        <f t="shared" si="25"/>
        <v>0</v>
      </c>
      <c r="I1562" s="147" t="s">
        <v>15214</v>
      </c>
    </row>
    <row r="1563" spans="1:9" x14ac:dyDescent="0.25">
      <c r="A1563" s="135">
        <v>42867</v>
      </c>
      <c r="B1563" s="136" t="s">
        <v>17058</v>
      </c>
      <c r="C1563" s="137">
        <v>111612</v>
      </c>
      <c r="D1563" s="136" t="s">
        <v>15748</v>
      </c>
      <c r="E1563" s="138">
        <v>126.9</v>
      </c>
      <c r="F1563" s="139">
        <v>42867</v>
      </c>
      <c r="G1563" s="140">
        <v>126.9</v>
      </c>
      <c r="H1563" s="138">
        <f t="shared" si="25"/>
        <v>0</v>
      </c>
      <c r="I1563" s="141" t="s">
        <v>15214</v>
      </c>
    </row>
    <row r="1564" spans="1:9" x14ac:dyDescent="0.25">
      <c r="A1564" s="135">
        <v>42867</v>
      </c>
      <c r="B1564" s="142" t="s">
        <v>17059</v>
      </c>
      <c r="C1564" s="143">
        <v>111613</v>
      </c>
      <c r="D1564" s="142" t="s">
        <v>15748</v>
      </c>
      <c r="E1564" s="144">
        <v>2659.4</v>
      </c>
      <c r="F1564" s="145">
        <v>42872</v>
      </c>
      <c r="G1564" s="146">
        <v>2659.4</v>
      </c>
      <c r="H1564" s="138">
        <f t="shared" si="25"/>
        <v>0</v>
      </c>
      <c r="I1564" s="147" t="s">
        <v>15214</v>
      </c>
    </row>
    <row r="1565" spans="1:9" x14ac:dyDescent="0.25">
      <c r="A1565" s="135">
        <v>42867</v>
      </c>
      <c r="B1565" s="136" t="s">
        <v>17060</v>
      </c>
      <c r="C1565" s="137">
        <v>111614</v>
      </c>
      <c r="D1565" s="136" t="s">
        <v>15415</v>
      </c>
      <c r="E1565" s="138">
        <v>3703.2</v>
      </c>
      <c r="F1565" s="139">
        <v>42872</v>
      </c>
      <c r="G1565" s="140">
        <v>3703.2</v>
      </c>
      <c r="H1565" s="138">
        <f t="shared" si="25"/>
        <v>0</v>
      </c>
      <c r="I1565" s="141" t="s">
        <v>15214</v>
      </c>
    </row>
    <row r="1566" spans="1:9" x14ac:dyDescent="0.25">
      <c r="A1566" s="135">
        <v>42867</v>
      </c>
      <c r="B1566" s="142" t="s">
        <v>17061</v>
      </c>
      <c r="C1566" s="143">
        <v>111615</v>
      </c>
      <c r="D1566" s="142" t="s">
        <v>15415</v>
      </c>
      <c r="E1566" s="144">
        <v>831.2</v>
      </c>
      <c r="F1566" s="145">
        <v>42872</v>
      </c>
      <c r="G1566" s="146">
        <v>831.2</v>
      </c>
      <c r="H1566" s="138">
        <f t="shared" si="25"/>
        <v>0</v>
      </c>
      <c r="I1566" s="147" t="s">
        <v>15214</v>
      </c>
    </row>
    <row r="1567" spans="1:9" x14ac:dyDescent="0.25">
      <c r="A1567" s="135">
        <v>42867</v>
      </c>
      <c r="B1567" s="136" t="s">
        <v>17062</v>
      </c>
      <c r="C1567" s="137">
        <v>111616</v>
      </c>
      <c r="D1567" s="136" t="s">
        <v>15311</v>
      </c>
      <c r="E1567" s="138">
        <v>981</v>
      </c>
      <c r="F1567" s="139">
        <v>42867</v>
      </c>
      <c r="G1567" s="140">
        <v>981</v>
      </c>
      <c r="H1567" s="138">
        <f t="shared" si="25"/>
        <v>0</v>
      </c>
      <c r="I1567" s="141" t="s">
        <v>15214</v>
      </c>
    </row>
    <row r="1568" spans="1:9" x14ac:dyDescent="0.25">
      <c r="A1568" s="135">
        <v>42867</v>
      </c>
      <c r="B1568" s="142" t="s">
        <v>17063</v>
      </c>
      <c r="C1568" s="143">
        <v>111617</v>
      </c>
      <c r="D1568" s="142" t="s">
        <v>15276</v>
      </c>
      <c r="E1568" s="144">
        <v>4800</v>
      </c>
      <c r="F1568" s="145">
        <v>42867</v>
      </c>
      <c r="G1568" s="146">
        <v>4800</v>
      </c>
      <c r="H1568" s="138">
        <f t="shared" si="25"/>
        <v>0</v>
      </c>
      <c r="I1568" s="147" t="s">
        <v>15214</v>
      </c>
    </row>
    <row r="1569" spans="1:9" x14ac:dyDescent="0.25">
      <c r="A1569" s="135">
        <v>42867</v>
      </c>
      <c r="B1569" s="136" t="s">
        <v>17064</v>
      </c>
      <c r="C1569" s="137">
        <v>111618</v>
      </c>
      <c r="D1569" s="136" t="s">
        <v>15696</v>
      </c>
      <c r="E1569" s="138">
        <v>14065.2</v>
      </c>
      <c r="F1569" s="139">
        <v>42872</v>
      </c>
      <c r="G1569" s="140">
        <v>14065.2</v>
      </c>
      <c r="H1569" s="138">
        <f t="shared" si="25"/>
        <v>0</v>
      </c>
      <c r="I1569" s="141" t="s">
        <v>15214</v>
      </c>
    </row>
    <row r="1570" spans="1:9" x14ac:dyDescent="0.25">
      <c r="A1570" s="135">
        <v>42867</v>
      </c>
      <c r="B1570" s="142" t="s">
        <v>17065</v>
      </c>
      <c r="C1570" s="143">
        <v>111619</v>
      </c>
      <c r="D1570" s="142" t="s">
        <v>15544</v>
      </c>
      <c r="E1570" s="144">
        <v>4908.5</v>
      </c>
      <c r="F1570" s="145">
        <v>42872</v>
      </c>
      <c r="G1570" s="146">
        <v>4908.5</v>
      </c>
      <c r="H1570" s="138">
        <f t="shared" si="25"/>
        <v>0</v>
      </c>
      <c r="I1570" s="147" t="s">
        <v>15214</v>
      </c>
    </row>
    <row r="1571" spans="1:9" x14ac:dyDescent="0.25">
      <c r="A1571" s="135">
        <v>42867</v>
      </c>
      <c r="B1571" s="136" t="s">
        <v>17066</v>
      </c>
      <c r="C1571" s="137">
        <v>111620</v>
      </c>
      <c r="D1571" s="136" t="s">
        <v>15539</v>
      </c>
      <c r="E1571" s="138">
        <v>3804</v>
      </c>
      <c r="F1571" s="139">
        <v>42874</v>
      </c>
      <c r="G1571" s="140">
        <v>3804</v>
      </c>
      <c r="H1571" s="138">
        <f t="shared" si="25"/>
        <v>0</v>
      </c>
      <c r="I1571" s="141" t="s">
        <v>15214</v>
      </c>
    </row>
    <row r="1572" spans="1:9" x14ac:dyDescent="0.25">
      <c r="A1572" s="135">
        <v>42867</v>
      </c>
      <c r="B1572" s="142" t="s">
        <v>17067</v>
      </c>
      <c r="C1572" s="143">
        <v>111621</v>
      </c>
      <c r="D1572" s="142" t="s">
        <v>15555</v>
      </c>
      <c r="E1572" s="144">
        <v>2831.5</v>
      </c>
      <c r="F1572" s="145">
        <v>42872</v>
      </c>
      <c r="G1572" s="146">
        <v>2831.5</v>
      </c>
      <c r="H1572" s="138">
        <f t="shared" si="25"/>
        <v>0</v>
      </c>
      <c r="I1572" s="147" t="s">
        <v>15214</v>
      </c>
    </row>
    <row r="1573" spans="1:9" x14ac:dyDescent="0.25">
      <c r="A1573" s="135">
        <v>42867</v>
      </c>
      <c r="B1573" s="136" t="s">
        <v>17068</v>
      </c>
      <c r="C1573" s="137">
        <v>111622</v>
      </c>
      <c r="D1573" s="136" t="s">
        <v>15315</v>
      </c>
      <c r="E1573" s="138">
        <v>6086.5</v>
      </c>
      <c r="F1573" s="139">
        <v>42874</v>
      </c>
      <c r="G1573" s="140">
        <v>6086.5</v>
      </c>
      <c r="H1573" s="138">
        <f t="shared" si="25"/>
        <v>0</v>
      </c>
      <c r="I1573" s="141" t="s">
        <v>15214</v>
      </c>
    </row>
    <row r="1574" spans="1:9" x14ac:dyDescent="0.25">
      <c r="A1574" s="135">
        <v>42867</v>
      </c>
      <c r="B1574" s="142" t="s">
        <v>17069</v>
      </c>
      <c r="C1574" s="143">
        <v>111623</v>
      </c>
      <c r="D1574" s="142" t="s">
        <v>15537</v>
      </c>
      <c r="E1574" s="144">
        <v>16783.5</v>
      </c>
      <c r="F1574" s="145">
        <v>42872</v>
      </c>
      <c r="G1574" s="146">
        <v>16783.5</v>
      </c>
      <c r="H1574" s="138">
        <f t="shared" si="25"/>
        <v>0</v>
      </c>
      <c r="I1574" s="147" t="s">
        <v>15214</v>
      </c>
    </row>
    <row r="1575" spans="1:9" x14ac:dyDescent="0.25">
      <c r="A1575" s="135">
        <v>42867</v>
      </c>
      <c r="B1575" s="136" t="s">
        <v>17070</v>
      </c>
      <c r="C1575" s="137">
        <v>111624</v>
      </c>
      <c r="D1575" s="136" t="s">
        <v>15246</v>
      </c>
      <c r="E1575" s="138">
        <v>229821.3</v>
      </c>
      <c r="F1575" s="139">
        <v>42884</v>
      </c>
      <c r="G1575" s="140">
        <v>229821.3</v>
      </c>
      <c r="H1575" s="138">
        <f t="shared" si="25"/>
        <v>0</v>
      </c>
      <c r="I1575" s="141" t="s">
        <v>15214</v>
      </c>
    </row>
    <row r="1576" spans="1:9" x14ac:dyDescent="0.25">
      <c r="A1576" s="135">
        <v>42867</v>
      </c>
      <c r="B1576" s="142" t="s">
        <v>17071</v>
      </c>
      <c r="C1576" s="143">
        <v>111625</v>
      </c>
      <c r="D1576" s="142" t="s">
        <v>15699</v>
      </c>
      <c r="E1576" s="144">
        <v>585.4</v>
      </c>
      <c r="F1576" s="145">
        <v>42872</v>
      </c>
      <c r="G1576" s="146">
        <v>585.4</v>
      </c>
      <c r="H1576" s="138">
        <f t="shared" si="25"/>
        <v>0</v>
      </c>
      <c r="I1576" s="147" t="s">
        <v>15214</v>
      </c>
    </row>
    <row r="1577" spans="1:9" x14ac:dyDescent="0.25">
      <c r="A1577" s="135">
        <v>42867</v>
      </c>
      <c r="B1577" s="136" t="s">
        <v>17072</v>
      </c>
      <c r="C1577" s="137">
        <v>111626</v>
      </c>
      <c r="D1577" s="136" t="s">
        <v>15549</v>
      </c>
      <c r="E1577" s="138">
        <v>10479.1</v>
      </c>
      <c r="F1577" s="139">
        <v>42868</v>
      </c>
      <c r="G1577" s="140">
        <v>10479.1</v>
      </c>
      <c r="H1577" s="138">
        <f t="shared" si="25"/>
        <v>0</v>
      </c>
      <c r="I1577" s="141" t="s">
        <v>15214</v>
      </c>
    </row>
    <row r="1578" spans="1:9" x14ac:dyDescent="0.25">
      <c r="A1578" s="135">
        <v>42867</v>
      </c>
      <c r="B1578" s="142" t="s">
        <v>17073</v>
      </c>
      <c r="C1578" s="143">
        <v>111627</v>
      </c>
      <c r="D1578" s="142" t="s">
        <v>15252</v>
      </c>
      <c r="E1578" s="144">
        <v>1844.9</v>
      </c>
      <c r="F1578" s="145">
        <v>42870</v>
      </c>
      <c r="G1578" s="146">
        <v>1844.9</v>
      </c>
      <c r="H1578" s="138">
        <f t="shared" si="25"/>
        <v>0</v>
      </c>
      <c r="I1578" s="147" t="s">
        <v>15214</v>
      </c>
    </row>
    <row r="1579" spans="1:9" x14ac:dyDescent="0.25">
      <c r="A1579" s="135">
        <v>42867</v>
      </c>
      <c r="B1579" s="136" t="s">
        <v>17074</v>
      </c>
      <c r="C1579" s="137">
        <v>111628</v>
      </c>
      <c r="D1579" s="136" t="s">
        <v>15557</v>
      </c>
      <c r="E1579" s="138">
        <v>19721.099999999999</v>
      </c>
      <c r="F1579" s="139">
        <v>42874</v>
      </c>
      <c r="G1579" s="140">
        <v>19721.099999999999</v>
      </c>
      <c r="H1579" s="138">
        <f t="shared" si="25"/>
        <v>0</v>
      </c>
      <c r="I1579" s="141" t="s">
        <v>15214</v>
      </c>
    </row>
    <row r="1580" spans="1:9" x14ac:dyDescent="0.25">
      <c r="A1580" s="135">
        <v>42867</v>
      </c>
      <c r="B1580" s="142" t="s">
        <v>17075</v>
      </c>
      <c r="C1580" s="143">
        <v>111629</v>
      </c>
      <c r="D1580" s="142" t="s">
        <v>15244</v>
      </c>
      <c r="E1580" s="144">
        <v>15416.5</v>
      </c>
      <c r="F1580" s="145">
        <v>42870</v>
      </c>
      <c r="G1580" s="146">
        <v>15416.5</v>
      </c>
      <c r="H1580" s="138">
        <f t="shared" si="25"/>
        <v>0</v>
      </c>
      <c r="I1580" s="147" t="s">
        <v>15214</v>
      </c>
    </row>
    <row r="1581" spans="1:9" x14ac:dyDescent="0.25">
      <c r="A1581" s="135">
        <v>42867</v>
      </c>
      <c r="B1581" s="136" t="s">
        <v>17076</v>
      </c>
      <c r="C1581" s="137">
        <v>111630</v>
      </c>
      <c r="D1581" s="136" t="s">
        <v>16646</v>
      </c>
      <c r="E1581" s="138">
        <v>126</v>
      </c>
      <c r="F1581" s="139">
        <v>42867</v>
      </c>
      <c r="G1581" s="140">
        <v>126</v>
      </c>
      <c r="H1581" s="138">
        <f t="shared" si="25"/>
        <v>0</v>
      </c>
      <c r="I1581" s="141" t="s">
        <v>15214</v>
      </c>
    </row>
    <row r="1582" spans="1:9" x14ac:dyDescent="0.25">
      <c r="A1582" s="135">
        <v>42867</v>
      </c>
      <c r="B1582" s="142" t="s">
        <v>17077</v>
      </c>
      <c r="C1582" s="143">
        <v>111631</v>
      </c>
      <c r="D1582" s="142" t="s">
        <v>15810</v>
      </c>
      <c r="E1582" s="144">
        <v>559.6</v>
      </c>
      <c r="F1582" s="145">
        <v>42867</v>
      </c>
      <c r="G1582" s="146">
        <v>559.6</v>
      </c>
      <c r="H1582" s="138">
        <f t="shared" si="25"/>
        <v>0</v>
      </c>
      <c r="I1582" s="147" t="s">
        <v>15214</v>
      </c>
    </row>
    <row r="1583" spans="1:9" x14ac:dyDescent="0.25">
      <c r="A1583" s="135">
        <v>42867</v>
      </c>
      <c r="B1583" s="136" t="s">
        <v>17078</v>
      </c>
      <c r="C1583" s="137">
        <v>111632</v>
      </c>
      <c r="D1583" s="136" t="s">
        <v>15757</v>
      </c>
      <c r="E1583" s="138">
        <v>4362.3999999999996</v>
      </c>
      <c r="F1583" s="139">
        <v>42868</v>
      </c>
      <c r="G1583" s="140">
        <v>4362.3999999999996</v>
      </c>
      <c r="H1583" s="138">
        <f t="shared" si="25"/>
        <v>0</v>
      </c>
      <c r="I1583" s="141" t="s">
        <v>15214</v>
      </c>
    </row>
    <row r="1584" spans="1:9" x14ac:dyDescent="0.25">
      <c r="A1584" s="135">
        <v>42867</v>
      </c>
      <c r="B1584" s="142" t="s">
        <v>17079</v>
      </c>
      <c r="C1584" s="143">
        <v>111633</v>
      </c>
      <c r="D1584" s="142" t="s">
        <v>15566</v>
      </c>
      <c r="E1584" s="144">
        <v>2930.4</v>
      </c>
      <c r="F1584" s="145">
        <v>42867</v>
      </c>
      <c r="G1584" s="146">
        <v>2930.4</v>
      </c>
      <c r="H1584" s="138">
        <f t="shared" si="25"/>
        <v>0</v>
      </c>
      <c r="I1584" s="147" t="s">
        <v>15214</v>
      </c>
    </row>
    <row r="1585" spans="1:9" x14ac:dyDescent="0.25">
      <c r="A1585" s="135">
        <v>42867</v>
      </c>
      <c r="B1585" s="136" t="s">
        <v>17080</v>
      </c>
      <c r="C1585" s="137">
        <v>111634</v>
      </c>
      <c r="D1585" s="136" t="s">
        <v>15284</v>
      </c>
      <c r="E1585" s="138">
        <v>1560.5</v>
      </c>
      <c r="F1585" s="139">
        <v>42867</v>
      </c>
      <c r="G1585" s="140">
        <v>1560.5</v>
      </c>
      <c r="H1585" s="138">
        <f t="shared" si="25"/>
        <v>0</v>
      </c>
      <c r="I1585" s="141" t="s">
        <v>15214</v>
      </c>
    </row>
    <row r="1586" spans="1:9" x14ac:dyDescent="0.25">
      <c r="A1586" s="135">
        <v>42867</v>
      </c>
      <c r="B1586" s="142" t="s">
        <v>17081</v>
      </c>
      <c r="C1586" s="143">
        <v>111635</v>
      </c>
      <c r="D1586" s="142" t="s">
        <v>15338</v>
      </c>
      <c r="E1586" s="144">
        <v>8715.7999999999993</v>
      </c>
      <c r="F1586" s="145">
        <v>42872</v>
      </c>
      <c r="G1586" s="146">
        <v>8715.7999999999993</v>
      </c>
      <c r="H1586" s="138">
        <f t="shared" si="25"/>
        <v>0</v>
      </c>
      <c r="I1586" s="147" t="s">
        <v>15214</v>
      </c>
    </row>
    <row r="1587" spans="1:9" x14ac:dyDescent="0.25">
      <c r="A1587" s="135">
        <v>42867</v>
      </c>
      <c r="B1587" s="136" t="s">
        <v>17082</v>
      </c>
      <c r="C1587" s="137">
        <v>111636</v>
      </c>
      <c r="D1587" s="136" t="s">
        <v>15252</v>
      </c>
      <c r="E1587" s="138">
        <v>3038</v>
      </c>
      <c r="F1587" s="139">
        <v>42867</v>
      </c>
      <c r="G1587" s="140">
        <v>3038</v>
      </c>
      <c r="H1587" s="138">
        <f t="shared" si="25"/>
        <v>0</v>
      </c>
      <c r="I1587" s="141" t="s">
        <v>15214</v>
      </c>
    </row>
    <row r="1588" spans="1:9" x14ac:dyDescent="0.25">
      <c r="A1588" s="135">
        <v>42867</v>
      </c>
      <c r="B1588" s="142" t="s">
        <v>17083</v>
      </c>
      <c r="C1588" s="143">
        <v>111637</v>
      </c>
      <c r="D1588" s="142" t="s">
        <v>15442</v>
      </c>
      <c r="E1588" s="144">
        <v>20814</v>
      </c>
      <c r="F1588" s="145">
        <v>42881</v>
      </c>
      <c r="G1588" s="146">
        <v>20814</v>
      </c>
      <c r="H1588" s="138">
        <f t="shared" si="25"/>
        <v>0</v>
      </c>
      <c r="I1588" s="147" t="s">
        <v>15214</v>
      </c>
    </row>
    <row r="1589" spans="1:9" x14ac:dyDescent="0.25">
      <c r="A1589" s="135">
        <v>42867</v>
      </c>
      <c r="B1589" s="136" t="s">
        <v>17084</v>
      </c>
      <c r="C1589" s="137">
        <v>111638</v>
      </c>
      <c r="D1589" s="136" t="s">
        <v>15246</v>
      </c>
      <c r="E1589" s="138">
        <v>53230.3</v>
      </c>
      <c r="F1589" s="139">
        <v>42884</v>
      </c>
      <c r="G1589" s="140">
        <v>53230.3</v>
      </c>
      <c r="H1589" s="138">
        <f t="shared" si="25"/>
        <v>0</v>
      </c>
      <c r="I1589" s="141" t="s">
        <v>15214</v>
      </c>
    </row>
    <row r="1590" spans="1:9" x14ac:dyDescent="0.25">
      <c r="A1590" s="135">
        <v>42867</v>
      </c>
      <c r="B1590" s="142" t="s">
        <v>17085</v>
      </c>
      <c r="C1590" s="143">
        <v>111639</v>
      </c>
      <c r="D1590" s="142" t="s">
        <v>15246</v>
      </c>
      <c r="E1590" s="144">
        <v>2900</v>
      </c>
      <c r="F1590" s="145">
        <v>42884</v>
      </c>
      <c r="G1590" s="146">
        <v>2900</v>
      </c>
      <c r="H1590" s="138">
        <f t="shared" si="25"/>
        <v>0</v>
      </c>
      <c r="I1590" s="147" t="s">
        <v>15214</v>
      </c>
    </row>
    <row r="1591" spans="1:9" x14ac:dyDescent="0.25">
      <c r="A1591" s="135">
        <v>42867</v>
      </c>
      <c r="B1591" s="136" t="s">
        <v>17086</v>
      </c>
      <c r="C1591" s="137">
        <v>111640</v>
      </c>
      <c r="D1591" s="136" t="s">
        <v>16048</v>
      </c>
      <c r="E1591" s="138">
        <v>5846.6</v>
      </c>
      <c r="F1591" s="139">
        <v>42867</v>
      </c>
      <c r="G1591" s="140">
        <v>5846.6</v>
      </c>
      <c r="H1591" s="138">
        <f t="shared" si="25"/>
        <v>0</v>
      </c>
      <c r="I1591" s="141" t="s">
        <v>15214</v>
      </c>
    </row>
    <row r="1592" spans="1:9" x14ac:dyDescent="0.25">
      <c r="A1592" s="135">
        <v>42867</v>
      </c>
      <c r="B1592" s="142" t="s">
        <v>17087</v>
      </c>
      <c r="C1592" s="143">
        <v>111641</v>
      </c>
      <c r="D1592" s="142" t="s">
        <v>15367</v>
      </c>
      <c r="E1592" s="144">
        <v>9080</v>
      </c>
      <c r="F1592" s="145">
        <v>42869</v>
      </c>
      <c r="G1592" s="146">
        <v>9080</v>
      </c>
      <c r="H1592" s="138">
        <f t="shared" si="25"/>
        <v>0</v>
      </c>
      <c r="I1592" s="147" t="s">
        <v>15214</v>
      </c>
    </row>
    <row r="1593" spans="1:9" x14ac:dyDescent="0.25">
      <c r="A1593" s="135">
        <v>42867</v>
      </c>
      <c r="B1593" s="136" t="s">
        <v>17088</v>
      </c>
      <c r="C1593" s="137">
        <v>111642</v>
      </c>
      <c r="D1593" s="136" t="s">
        <v>15394</v>
      </c>
      <c r="E1593" s="138">
        <v>19442</v>
      </c>
      <c r="F1593" s="139" t="s">
        <v>17089</v>
      </c>
      <c r="G1593" s="140">
        <f>7442+12000</f>
        <v>19442</v>
      </c>
      <c r="H1593" s="138">
        <f t="shared" si="25"/>
        <v>0</v>
      </c>
      <c r="I1593" s="141" t="s">
        <v>15214</v>
      </c>
    </row>
    <row r="1594" spans="1:9" x14ac:dyDescent="0.25">
      <c r="A1594" s="135">
        <v>42867</v>
      </c>
      <c r="B1594" s="142" t="s">
        <v>17090</v>
      </c>
      <c r="C1594" s="143">
        <v>111643</v>
      </c>
      <c r="D1594" s="142" t="s">
        <v>15369</v>
      </c>
      <c r="E1594" s="144">
        <v>15795.6</v>
      </c>
      <c r="F1594" s="145">
        <v>42881</v>
      </c>
      <c r="G1594" s="146">
        <v>15795.6</v>
      </c>
      <c r="H1594" s="138">
        <f t="shared" si="25"/>
        <v>0</v>
      </c>
      <c r="I1594" s="147" t="s">
        <v>15214</v>
      </c>
    </row>
    <row r="1595" spans="1:9" x14ac:dyDescent="0.25">
      <c r="A1595" s="135">
        <v>42867</v>
      </c>
      <c r="B1595" s="136" t="s">
        <v>17091</v>
      </c>
      <c r="C1595" s="137">
        <v>111644</v>
      </c>
      <c r="D1595" s="136" t="s">
        <v>15427</v>
      </c>
      <c r="E1595" s="138">
        <v>19759.5</v>
      </c>
      <c r="F1595" s="139">
        <v>42869</v>
      </c>
      <c r="G1595" s="140">
        <v>19759.5</v>
      </c>
      <c r="H1595" s="138">
        <f t="shared" si="25"/>
        <v>0</v>
      </c>
      <c r="I1595" s="141" t="s">
        <v>15214</v>
      </c>
    </row>
    <row r="1596" spans="1:9" x14ac:dyDescent="0.25">
      <c r="A1596" s="135">
        <v>42867</v>
      </c>
      <c r="B1596" s="142" t="s">
        <v>17092</v>
      </c>
      <c r="C1596" s="143">
        <v>111645</v>
      </c>
      <c r="D1596" s="142" t="s">
        <v>15624</v>
      </c>
      <c r="E1596" s="144">
        <v>33832.800000000003</v>
      </c>
      <c r="F1596" s="145">
        <v>42870</v>
      </c>
      <c r="G1596" s="146">
        <v>33832.800000000003</v>
      </c>
      <c r="H1596" s="138">
        <f t="shared" si="25"/>
        <v>0</v>
      </c>
      <c r="I1596" s="147" t="s">
        <v>15214</v>
      </c>
    </row>
    <row r="1597" spans="1:9" x14ac:dyDescent="0.25">
      <c r="A1597" s="135">
        <v>42867</v>
      </c>
      <c r="B1597" s="136" t="s">
        <v>17093</v>
      </c>
      <c r="C1597" s="137">
        <v>111646</v>
      </c>
      <c r="D1597" s="136" t="s">
        <v>15378</v>
      </c>
      <c r="E1597" s="138">
        <v>600</v>
      </c>
      <c r="F1597" s="139">
        <v>42867</v>
      </c>
      <c r="G1597" s="140">
        <v>600</v>
      </c>
      <c r="H1597" s="138">
        <f t="shared" si="25"/>
        <v>0</v>
      </c>
      <c r="I1597" s="141" t="s">
        <v>15214</v>
      </c>
    </row>
    <row r="1598" spans="1:9" x14ac:dyDescent="0.25">
      <c r="A1598" s="135">
        <v>42867</v>
      </c>
      <c r="B1598" s="142" t="s">
        <v>17094</v>
      </c>
      <c r="C1598" s="143">
        <v>111647</v>
      </c>
      <c r="D1598" s="142" t="s">
        <v>15380</v>
      </c>
      <c r="E1598" s="144">
        <v>49177.9</v>
      </c>
      <c r="F1598" s="148">
        <v>42892</v>
      </c>
      <c r="G1598" s="149">
        <v>49177.9</v>
      </c>
      <c r="H1598" s="138">
        <f t="shared" si="25"/>
        <v>0</v>
      </c>
      <c r="I1598" s="147" t="s">
        <v>15214</v>
      </c>
    </row>
    <row r="1599" spans="1:9" x14ac:dyDescent="0.25">
      <c r="A1599" s="135">
        <v>42867</v>
      </c>
      <c r="B1599" s="136" t="s">
        <v>17095</v>
      </c>
      <c r="C1599" s="137">
        <v>111648</v>
      </c>
      <c r="D1599" s="136" t="s">
        <v>15267</v>
      </c>
      <c r="E1599" s="138">
        <v>17438.400000000001</v>
      </c>
      <c r="F1599" s="139">
        <v>42867</v>
      </c>
      <c r="G1599" s="140">
        <v>17438.400000000001</v>
      </c>
      <c r="H1599" s="138">
        <f t="shared" si="25"/>
        <v>0</v>
      </c>
      <c r="I1599" s="141" t="s">
        <v>15214</v>
      </c>
    </row>
    <row r="1600" spans="1:9" x14ac:dyDescent="0.25">
      <c r="A1600" s="135">
        <v>42867</v>
      </c>
      <c r="B1600" s="142" t="s">
        <v>17096</v>
      </c>
      <c r="C1600" s="143">
        <v>111649</v>
      </c>
      <c r="D1600" s="142" t="s">
        <v>15373</v>
      </c>
      <c r="E1600" s="144">
        <v>29019.599999999999</v>
      </c>
      <c r="F1600" s="145">
        <v>42869</v>
      </c>
      <c r="G1600" s="146">
        <v>29019.599999999999</v>
      </c>
      <c r="H1600" s="138">
        <f t="shared" si="25"/>
        <v>0</v>
      </c>
      <c r="I1600" s="147" t="s">
        <v>15214</v>
      </c>
    </row>
    <row r="1601" spans="1:9" x14ac:dyDescent="0.25">
      <c r="A1601" s="135">
        <v>42867</v>
      </c>
      <c r="B1601" s="136" t="s">
        <v>17097</v>
      </c>
      <c r="C1601" s="137">
        <v>111650</v>
      </c>
      <c r="D1601" s="136" t="s">
        <v>15213</v>
      </c>
      <c r="E1601" s="138">
        <v>5378.4</v>
      </c>
      <c r="F1601" s="139">
        <v>42867</v>
      </c>
      <c r="G1601" s="140">
        <v>5378.4</v>
      </c>
      <c r="H1601" s="138">
        <f t="shared" si="25"/>
        <v>0</v>
      </c>
      <c r="I1601" s="141" t="s">
        <v>15214</v>
      </c>
    </row>
    <row r="1602" spans="1:9" x14ac:dyDescent="0.25">
      <c r="A1602" s="135">
        <v>42867</v>
      </c>
      <c r="B1602" s="142" t="s">
        <v>17098</v>
      </c>
      <c r="C1602" s="143">
        <v>111651</v>
      </c>
      <c r="D1602" s="142" t="s">
        <v>15541</v>
      </c>
      <c r="E1602" s="144">
        <v>1920</v>
      </c>
      <c r="F1602" s="145">
        <v>42867</v>
      </c>
      <c r="G1602" s="146">
        <v>1920</v>
      </c>
      <c r="H1602" s="138">
        <f t="shared" si="25"/>
        <v>0</v>
      </c>
      <c r="I1602" s="147" t="s">
        <v>15214</v>
      </c>
    </row>
    <row r="1603" spans="1:9" x14ac:dyDescent="0.25">
      <c r="A1603" s="135">
        <v>42867</v>
      </c>
      <c r="B1603" s="136" t="s">
        <v>17099</v>
      </c>
      <c r="C1603" s="137">
        <v>111652</v>
      </c>
      <c r="D1603" s="136" t="s">
        <v>15389</v>
      </c>
      <c r="E1603" s="138">
        <v>17511.599999999999</v>
      </c>
      <c r="F1603" s="139">
        <v>42881</v>
      </c>
      <c r="G1603" s="140">
        <v>17511.599999999999</v>
      </c>
      <c r="H1603" s="138">
        <f t="shared" si="25"/>
        <v>0</v>
      </c>
      <c r="I1603" s="141" t="s">
        <v>15214</v>
      </c>
    </row>
    <row r="1604" spans="1:9" x14ac:dyDescent="0.25">
      <c r="A1604" s="135">
        <v>42867</v>
      </c>
      <c r="B1604" s="142" t="s">
        <v>17100</v>
      </c>
      <c r="C1604" s="143">
        <v>111653</v>
      </c>
      <c r="D1604" s="142" t="s">
        <v>15382</v>
      </c>
      <c r="E1604" s="144">
        <v>7977.3</v>
      </c>
      <c r="F1604" s="145">
        <v>42881</v>
      </c>
      <c r="G1604" s="146">
        <v>7977.3</v>
      </c>
      <c r="H1604" s="138">
        <f t="shared" ref="H1604:H1667" si="26">E1604-G1604</f>
        <v>0</v>
      </c>
      <c r="I1604" s="147" t="s">
        <v>15214</v>
      </c>
    </row>
    <row r="1605" spans="1:9" x14ac:dyDescent="0.25">
      <c r="A1605" s="135">
        <v>42867</v>
      </c>
      <c r="B1605" s="136" t="s">
        <v>17101</v>
      </c>
      <c r="C1605" s="137">
        <v>111654</v>
      </c>
      <c r="D1605" s="136" t="s">
        <v>15315</v>
      </c>
      <c r="E1605" s="138">
        <v>3151.7</v>
      </c>
      <c r="F1605" s="139">
        <v>42867</v>
      </c>
      <c r="G1605" s="140">
        <v>3151.7</v>
      </c>
      <c r="H1605" s="138">
        <f t="shared" si="26"/>
        <v>0</v>
      </c>
      <c r="I1605" s="141" t="s">
        <v>15214</v>
      </c>
    </row>
    <row r="1606" spans="1:9" x14ac:dyDescent="0.25">
      <c r="A1606" s="135">
        <v>42867</v>
      </c>
      <c r="B1606" s="142" t="s">
        <v>17102</v>
      </c>
      <c r="C1606" s="143">
        <v>111655</v>
      </c>
      <c r="D1606" s="142" t="s">
        <v>15716</v>
      </c>
      <c r="E1606" s="144">
        <v>8452.5</v>
      </c>
      <c r="F1606" s="145">
        <v>42867</v>
      </c>
      <c r="G1606" s="146">
        <v>8452.5</v>
      </c>
      <c r="H1606" s="138">
        <f t="shared" si="26"/>
        <v>0</v>
      </c>
      <c r="I1606" s="147" t="s">
        <v>15214</v>
      </c>
    </row>
    <row r="1607" spans="1:9" x14ac:dyDescent="0.25">
      <c r="A1607" s="135">
        <v>42867</v>
      </c>
      <c r="B1607" s="136" t="s">
        <v>17103</v>
      </c>
      <c r="C1607" s="137">
        <v>111656</v>
      </c>
      <c r="D1607" s="136" t="s">
        <v>15315</v>
      </c>
      <c r="E1607" s="138">
        <v>700.8</v>
      </c>
      <c r="F1607" s="139">
        <v>42868</v>
      </c>
      <c r="G1607" s="140">
        <v>700.8</v>
      </c>
      <c r="H1607" s="138">
        <f t="shared" si="26"/>
        <v>0</v>
      </c>
      <c r="I1607" s="141" t="s">
        <v>15214</v>
      </c>
    </row>
    <row r="1608" spans="1:9" x14ac:dyDescent="0.25">
      <c r="A1608" s="135">
        <v>42867</v>
      </c>
      <c r="B1608" s="142" t="s">
        <v>17104</v>
      </c>
      <c r="C1608" s="143">
        <v>111657</v>
      </c>
      <c r="D1608" s="142" t="s">
        <v>16126</v>
      </c>
      <c r="E1608" s="144">
        <v>6142.9</v>
      </c>
      <c r="F1608" s="145">
        <v>42867</v>
      </c>
      <c r="G1608" s="146">
        <v>6142.9</v>
      </c>
      <c r="H1608" s="138">
        <f t="shared" si="26"/>
        <v>0</v>
      </c>
      <c r="I1608" s="147" t="s">
        <v>15214</v>
      </c>
    </row>
    <row r="1609" spans="1:9" x14ac:dyDescent="0.25">
      <c r="A1609" s="135">
        <v>42867</v>
      </c>
      <c r="B1609" s="136" t="s">
        <v>17105</v>
      </c>
      <c r="C1609" s="137">
        <v>111658</v>
      </c>
      <c r="D1609" s="136" t="s">
        <v>15330</v>
      </c>
      <c r="E1609" s="138">
        <v>1500.6</v>
      </c>
      <c r="F1609" s="139">
        <v>42868</v>
      </c>
      <c r="G1609" s="140">
        <v>1500.6</v>
      </c>
      <c r="H1609" s="138">
        <f t="shared" si="26"/>
        <v>0</v>
      </c>
      <c r="I1609" s="141" t="s">
        <v>15214</v>
      </c>
    </row>
    <row r="1610" spans="1:9" x14ac:dyDescent="0.25">
      <c r="A1610" s="135">
        <v>42867</v>
      </c>
      <c r="B1610" s="142" t="s">
        <v>17106</v>
      </c>
      <c r="C1610" s="143">
        <v>111659</v>
      </c>
      <c r="D1610" s="142" t="s">
        <v>15920</v>
      </c>
      <c r="E1610" s="144">
        <v>36062</v>
      </c>
      <c r="F1610" s="145">
        <v>42867</v>
      </c>
      <c r="G1610" s="146">
        <v>36062</v>
      </c>
      <c r="H1610" s="138">
        <f t="shared" si="26"/>
        <v>0</v>
      </c>
      <c r="I1610" s="147" t="s">
        <v>15214</v>
      </c>
    </row>
    <row r="1611" spans="1:9" x14ac:dyDescent="0.25">
      <c r="A1611" s="135">
        <v>42867</v>
      </c>
      <c r="B1611" s="136" t="s">
        <v>17107</v>
      </c>
      <c r="C1611" s="137">
        <v>111660</v>
      </c>
      <c r="D1611" s="136" t="s">
        <v>15423</v>
      </c>
      <c r="E1611" s="138">
        <v>2606.4</v>
      </c>
      <c r="F1611" s="139">
        <v>42867</v>
      </c>
      <c r="G1611" s="140">
        <v>2606.4</v>
      </c>
      <c r="H1611" s="138">
        <f t="shared" si="26"/>
        <v>0</v>
      </c>
      <c r="I1611" s="141" t="s">
        <v>15214</v>
      </c>
    </row>
    <row r="1612" spans="1:9" x14ac:dyDescent="0.25">
      <c r="A1612" s="135">
        <v>42867</v>
      </c>
      <c r="B1612" s="142" t="s">
        <v>17108</v>
      </c>
      <c r="C1612" s="143">
        <v>111661</v>
      </c>
      <c r="D1612" s="142" t="s">
        <v>15315</v>
      </c>
      <c r="E1612" s="144">
        <v>701.8</v>
      </c>
      <c r="F1612" s="145">
        <v>42867</v>
      </c>
      <c r="G1612" s="146">
        <v>701.8</v>
      </c>
      <c r="H1612" s="138">
        <f t="shared" si="26"/>
        <v>0</v>
      </c>
      <c r="I1612" s="147" t="s">
        <v>15214</v>
      </c>
    </row>
    <row r="1613" spans="1:9" x14ac:dyDescent="0.25">
      <c r="A1613" s="135">
        <v>42867</v>
      </c>
      <c r="B1613" s="136" t="s">
        <v>17109</v>
      </c>
      <c r="C1613" s="137">
        <v>111662</v>
      </c>
      <c r="D1613" s="136" t="s">
        <v>15444</v>
      </c>
      <c r="E1613" s="138">
        <v>2251.6</v>
      </c>
      <c r="F1613" s="139">
        <v>42870</v>
      </c>
      <c r="G1613" s="140">
        <v>2251.6</v>
      </c>
      <c r="H1613" s="138">
        <f t="shared" si="26"/>
        <v>0</v>
      </c>
      <c r="I1613" s="141" t="s">
        <v>15214</v>
      </c>
    </row>
    <row r="1614" spans="1:9" x14ac:dyDescent="0.25">
      <c r="A1614" s="135">
        <v>42867</v>
      </c>
      <c r="B1614" s="142" t="s">
        <v>17110</v>
      </c>
      <c r="C1614" s="143">
        <v>111663</v>
      </c>
      <c r="D1614" s="142" t="s">
        <v>15920</v>
      </c>
      <c r="E1614" s="144">
        <v>30088</v>
      </c>
      <c r="F1614" s="145">
        <v>42872</v>
      </c>
      <c r="G1614" s="146">
        <v>30088</v>
      </c>
      <c r="H1614" s="138">
        <f t="shared" si="26"/>
        <v>0</v>
      </c>
      <c r="I1614" s="147" t="s">
        <v>15214</v>
      </c>
    </row>
    <row r="1615" spans="1:9" x14ac:dyDescent="0.25">
      <c r="A1615" s="135">
        <v>42867</v>
      </c>
      <c r="B1615" s="136" t="s">
        <v>17111</v>
      </c>
      <c r="C1615" s="137">
        <v>111664</v>
      </c>
      <c r="D1615" s="136" t="s">
        <v>15365</v>
      </c>
      <c r="E1615" s="138">
        <v>364204</v>
      </c>
      <c r="F1615" s="139">
        <v>42868</v>
      </c>
      <c r="G1615" s="140">
        <v>364204</v>
      </c>
      <c r="H1615" s="138">
        <f t="shared" si="26"/>
        <v>0</v>
      </c>
      <c r="I1615" s="141" t="s">
        <v>15214</v>
      </c>
    </row>
    <row r="1616" spans="1:9" x14ac:dyDescent="0.25">
      <c r="A1616" s="135">
        <v>42867</v>
      </c>
      <c r="B1616" s="142" t="s">
        <v>17112</v>
      </c>
      <c r="C1616" s="143">
        <v>111665</v>
      </c>
      <c r="D1616" s="142" t="s">
        <v>15315</v>
      </c>
      <c r="E1616" s="144">
        <v>1600.7</v>
      </c>
      <c r="F1616" s="145">
        <v>42873</v>
      </c>
      <c r="G1616" s="146">
        <v>1600.7</v>
      </c>
      <c r="H1616" s="138">
        <f t="shared" si="26"/>
        <v>0</v>
      </c>
      <c r="I1616" s="147" t="s">
        <v>15214</v>
      </c>
    </row>
    <row r="1617" spans="1:9" x14ac:dyDescent="0.25">
      <c r="A1617" s="135">
        <v>42867</v>
      </c>
      <c r="B1617" s="136" t="s">
        <v>17113</v>
      </c>
      <c r="C1617" s="137">
        <v>111666</v>
      </c>
      <c r="D1617" s="136" t="s">
        <v>15433</v>
      </c>
      <c r="E1617" s="138">
        <v>1652.2</v>
      </c>
      <c r="F1617" s="139">
        <v>42867</v>
      </c>
      <c r="G1617" s="140">
        <v>1652.2</v>
      </c>
      <c r="H1617" s="138">
        <f t="shared" si="26"/>
        <v>0</v>
      </c>
      <c r="I1617" s="141" t="s">
        <v>15214</v>
      </c>
    </row>
    <row r="1618" spans="1:9" x14ac:dyDescent="0.25">
      <c r="A1618" s="135">
        <v>42867</v>
      </c>
      <c r="B1618" s="142" t="s">
        <v>17114</v>
      </c>
      <c r="C1618" s="143">
        <v>111667</v>
      </c>
      <c r="D1618" s="142" t="s">
        <v>15956</v>
      </c>
      <c r="E1618" s="144">
        <v>1575</v>
      </c>
      <c r="F1618" s="145">
        <v>42867</v>
      </c>
      <c r="G1618" s="146">
        <v>1575</v>
      </c>
      <c r="H1618" s="138">
        <f t="shared" si="26"/>
        <v>0</v>
      </c>
      <c r="I1618" s="147" t="s">
        <v>15214</v>
      </c>
    </row>
    <row r="1619" spans="1:9" x14ac:dyDescent="0.25">
      <c r="A1619" s="135">
        <v>42867</v>
      </c>
      <c r="B1619" s="136" t="s">
        <v>17115</v>
      </c>
      <c r="C1619" s="137">
        <v>111668</v>
      </c>
      <c r="D1619" s="136" t="s">
        <v>15642</v>
      </c>
      <c r="E1619" s="138">
        <v>6400.8</v>
      </c>
      <c r="F1619" s="139">
        <v>42867</v>
      </c>
      <c r="G1619" s="140">
        <v>6400.8</v>
      </c>
      <c r="H1619" s="138">
        <f t="shared" si="26"/>
        <v>0</v>
      </c>
      <c r="I1619" s="141" t="s">
        <v>15214</v>
      </c>
    </row>
    <row r="1620" spans="1:9" x14ac:dyDescent="0.25">
      <c r="A1620" s="135">
        <v>42867</v>
      </c>
      <c r="B1620" s="142" t="s">
        <v>17116</v>
      </c>
      <c r="C1620" s="143">
        <v>111669</v>
      </c>
      <c r="D1620" s="142" t="s">
        <v>16129</v>
      </c>
      <c r="E1620" s="144">
        <v>4826.8999999999996</v>
      </c>
      <c r="F1620" s="145">
        <v>42874</v>
      </c>
      <c r="G1620" s="146">
        <v>4826.8999999999996</v>
      </c>
      <c r="H1620" s="138">
        <f t="shared" si="26"/>
        <v>0</v>
      </c>
      <c r="I1620" s="147" t="s">
        <v>15214</v>
      </c>
    </row>
    <row r="1621" spans="1:9" x14ac:dyDescent="0.25">
      <c r="A1621" s="135">
        <v>42867</v>
      </c>
      <c r="B1621" s="136" t="s">
        <v>17117</v>
      </c>
      <c r="C1621" s="137">
        <v>111670</v>
      </c>
      <c r="D1621" s="136" t="s">
        <v>15322</v>
      </c>
      <c r="E1621" s="138">
        <v>2240.1999999999998</v>
      </c>
      <c r="F1621" s="139">
        <v>42867</v>
      </c>
      <c r="G1621" s="140">
        <v>2240.1999999999998</v>
      </c>
      <c r="H1621" s="138">
        <f t="shared" si="26"/>
        <v>0</v>
      </c>
      <c r="I1621" s="141" t="s">
        <v>15214</v>
      </c>
    </row>
    <row r="1622" spans="1:9" x14ac:dyDescent="0.25">
      <c r="A1622" s="135">
        <v>42867</v>
      </c>
      <c r="B1622" s="142" t="s">
        <v>17118</v>
      </c>
      <c r="C1622" s="143">
        <v>111671</v>
      </c>
      <c r="D1622" s="142" t="s">
        <v>15315</v>
      </c>
      <c r="E1622" s="144">
        <v>7282</v>
      </c>
      <c r="F1622" s="145">
        <v>42867</v>
      </c>
      <c r="G1622" s="146">
        <v>7282</v>
      </c>
      <c r="H1622" s="138">
        <f t="shared" si="26"/>
        <v>0</v>
      </c>
      <c r="I1622" s="147" t="s">
        <v>15214</v>
      </c>
    </row>
    <row r="1623" spans="1:9" x14ac:dyDescent="0.25">
      <c r="A1623" s="135">
        <v>42867</v>
      </c>
      <c r="B1623" s="136" t="s">
        <v>17119</v>
      </c>
      <c r="C1623" s="137">
        <v>111672</v>
      </c>
      <c r="D1623" s="136" t="s">
        <v>15315</v>
      </c>
      <c r="E1623" s="138">
        <v>272.5</v>
      </c>
      <c r="F1623" s="139">
        <v>42867</v>
      </c>
      <c r="G1623" s="140">
        <v>272.5</v>
      </c>
      <c r="H1623" s="138">
        <f t="shared" si="26"/>
        <v>0</v>
      </c>
      <c r="I1623" s="141" t="s">
        <v>15214</v>
      </c>
    </row>
    <row r="1624" spans="1:9" x14ac:dyDescent="0.25">
      <c r="A1624" s="135">
        <v>42867</v>
      </c>
      <c r="B1624" s="142" t="s">
        <v>17120</v>
      </c>
      <c r="C1624" s="143">
        <v>111673</v>
      </c>
      <c r="D1624" s="142" t="s">
        <v>16522</v>
      </c>
      <c r="E1624" s="144">
        <v>10185.6</v>
      </c>
      <c r="F1624" s="145">
        <v>42926</v>
      </c>
      <c r="G1624" s="146">
        <v>10185.6</v>
      </c>
      <c r="H1624" s="138">
        <f t="shared" si="26"/>
        <v>0</v>
      </c>
      <c r="I1624" s="147" t="s">
        <v>15214</v>
      </c>
    </row>
    <row r="1625" spans="1:9" x14ac:dyDescent="0.25">
      <c r="A1625" s="135">
        <v>42867</v>
      </c>
      <c r="B1625" s="136" t="s">
        <v>17121</v>
      </c>
      <c r="C1625" s="137">
        <v>111674</v>
      </c>
      <c r="D1625" s="136" t="s">
        <v>15438</v>
      </c>
      <c r="E1625" s="138">
        <v>710.8</v>
      </c>
      <c r="F1625" s="139">
        <v>42867</v>
      </c>
      <c r="G1625" s="140">
        <v>710.8</v>
      </c>
      <c r="H1625" s="138">
        <f t="shared" si="26"/>
        <v>0</v>
      </c>
      <c r="I1625" s="141" t="s">
        <v>15214</v>
      </c>
    </row>
    <row r="1626" spans="1:9" x14ac:dyDescent="0.25">
      <c r="A1626" s="135">
        <v>42867</v>
      </c>
      <c r="B1626" s="142" t="s">
        <v>17122</v>
      </c>
      <c r="C1626" s="143">
        <v>111675</v>
      </c>
      <c r="D1626" s="142" t="s">
        <v>16093</v>
      </c>
      <c r="E1626" s="144">
        <v>2682</v>
      </c>
      <c r="F1626" s="145">
        <v>42867</v>
      </c>
      <c r="G1626" s="146">
        <v>2682</v>
      </c>
      <c r="H1626" s="138">
        <f t="shared" si="26"/>
        <v>0</v>
      </c>
      <c r="I1626" s="147" t="s">
        <v>15214</v>
      </c>
    </row>
    <row r="1627" spans="1:9" x14ac:dyDescent="0.25">
      <c r="A1627" s="135">
        <v>42867</v>
      </c>
      <c r="B1627" s="136" t="s">
        <v>17123</v>
      </c>
      <c r="C1627" s="137">
        <v>111676</v>
      </c>
      <c r="D1627" s="136" t="s">
        <v>15246</v>
      </c>
      <c r="E1627" s="138">
        <v>226938.96</v>
      </c>
      <c r="F1627" s="139" t="s">
        <v>17124</v>
      </c>
      <c r="G1627" s="140">
        <f>7101.02+219837.94</f>
        <v>226938.96</v>
      </c>
      <c r="H1627" s="163">
        <f t="shared" si="26"/>
        <v>0</v>
      </c>
      <c r="I1627" s="141" t="s">
        <v>15214</v>
      </c>
    </row>
    <row r="1628" spans="1:9" x14ac:dyDescent="0.25">
      <c r="A1628" s="135">
        <v>42867</v>
      </c>
      <c r="B1628" s="142" t="s">
        <v>17125</v>
      </c>
      <c r="C1628" s="143">
        <v>111677</v>
      </c>
      <c r="D1628" s="142" t="s">
        <v>15435</v>
      </c>
      <c r="E1628" s="144">
        <v>8891</v>
      </c>
      <c r="F1628" s="145">
        <v>42867</v>
      </c>
      <c r="G1628" s="146">
        <v>8891</v>
      </c>
      <c r="H1628" s="138">
        <f t="shared" si="26"/>
        <v>0</v>
      </c>
      <c r="I1628" s="147" t="s">
        <v>15214</v>
      </c>
    </row>
    <row r="1629" spans="1:9" x14ac:dyDescent="0.25">
      <c r="A1629" s="135">
        <v>42868</v>
      </c>
      <c r="B1629" s="136" t="s">
        <v>17126</v>
      </c>
      <c r="C1629" s="137">
        <v>111678</v>
      </c>
      <c r="D1629" s="136" t="s">
        <v>15213</v>
      </c>
      <c r="E1629" s="138">
        <v>9052.7999999999993</v>
      </c>
      <c r="F1629" s="139">
        <v>42869</v>
      </c>
      <c r="G1629" s="140">
        <v>9052.7999999999993</v>
      </c>
      <c r="H1629" s="138">
        <f t="shared" si="26"/>
        <v>0</v>
      </c>
      <c r="I1629" s="141" t="s">
        <v>15214</v>
      </c>
    </row>
    <row r="1630" spans="1:9" x14ac:dyDescent="0.25">
      <c r="A1630" s="135">
        <v>42868</v>
      </c>
      <c r="B1630" s="142" t="s">
        <v>17127</v>
      </c>
      <c r="C1630" s="143">
        <v>111679</v>
      </c>
      <c r="D1630" s="142" t="s">
        <v>15213</v>
      </c>
      <c r="E1630" s="144">
        <v>38864.400000000001</v>
      </c>
      <c r="F1630" s="145" t="s">
        <v>17128</v>
      </c>
      <c r="G1630" s="146">
        <f>23000+15864.4</f>
        <v>38864.400000000001</v>
      </c>
      <c r="H1630" s="138">
        <f t="shared" si="26"/>
        <v>0</v>
      </c>
      <c r="I1630" s="147" t="s">
        <v>15214</v>
      </c>
    </row>
    <row r="1631" spans="1:9" x14ac:dyDescent="0.25">
      <c r="A1631" s="135">
        <v>42868</v>
      </c>
      <c r="B1631" s="136" t="s">
        <v>17129</v>
      </c>
      <c r="C1631" s="137">
        <v>111680</v>
      </c>
      <c r="D1631" s="136" t="s">
        <v>16522</v>
      </c>
      <c r="E1631" s="138">
        <v>15407.2</v>
      </c>
      <c r="F1631" s="139">
        <v>42926</v>
      </c>
      <c r="G1631" s="140">
        <v>15407.2</v>
      </c>
      <c r="H1631" s="138">
        <f t="shared" si="26"/>
        <v>0</v>
      </c>
      <c r="I1631" s="141" t="s">
        <v>15214</v>
      </c>
    </row>
    <row r="1632" spans="1:9" x14ac:dyDescent="0.25">
      <c r="A1632" s="135">
        <v>42868</v>
      </c>
      <c r="B1632" s="142" t="s">
        <v>17130</v>
      </c>
      <c r="C1632" s="143">
        <v>111681</v>
      </c>
      <c r="D1632" s="142" t="s">
        <v>15272</v>
      </c>
      <c r="E1632" s="144">
        <v>30330.6</v>
      </c>
      <c r="F1632" s="145">
        <v>42868</v>
      </c>
      <c r="G1632" s="146">
        <v>30330.6</v>
      </c>
      <c r="H1632" s="138">
        <f t="shared" si="26"/>
        <v>0</v>
      </c>
      <c r="I1632" s="147" t="s">
        <v>15214</v>
      </c>
    </row>
    <row r="1633" spans="1:9" x14ac:dyDescent="0.25">
      <c r="A1633" s="135">
        <v>42868</v>
      </c>
      <c r="B1633" s="136" t="s">
        <v>17131</v>
      </c>
      <c r="C1633" s="137">
        <v>111682</v>
      </c>
      <c r="D1633" s="136" t="s">
        <v>15272</v>
      </c>
      <c r="E1633" s="138">
        <v>57.2</v>
      </c>
      <c r="F1633" s="139">
        <v>42868</v>
      </c>
      <c r="G1633" s="140">
        <v>57.2</v>
      </c>
      <c r="H1633" s="138">
        <f t="shared" si="26"/>
        <v>0</v>
      </c>
      <c r="I1633" s="141" t="s">
        <v>15214</v>
      </c>
    </row>
    <row r="1634" spans="1:9" x14ac:dyDescent="0.25">
      <c r="A1634" s="135">
        <v>42868</v>
      </c>
      <c r="B1634" s="142" t="s">
        <v>17132</v>
      </c>
      <c r="C1634" s="143">
        <v>111683</v>
      </c>
      <c r="D1634" s="142" t="s">
        <v>15230</v>
      </c>
      <c r="E1634" s="144">
        <v>29569.200000000001</v>
      </c>
      <c r="F1634" s="145">
        <v>42871</v>
      </c>
      <c r="G1634" s="146">
        <v>29569.200000000001</v>
      </c>
      <c r="H1634" s="138">
        <f t="shared" si="26"/>
        <v>0</v>
      </c>
      <c r="I1634" s="147" t="s">
        <v>15214</v>
      </c>
    </row>
    <row r="1635" spans="1:9" x14ac:dyDescent="0.25">
      <c r="A1635" s="135">
        <v>42868</v>
      </c>
      <c r="B1635" s="136" t="s">
        <v>17133</v>
      </c>
      <c r="C1635" s="137">
        <v>111684</v>
      </c>
      <c r="D1635" s="136" t="s">
        <v>15330</v>
      </c>
      <c r="E1635" s="138">
        <v>3472.4</v>
      </c>
      <c r="F1635" s="139">
        <v>42868</v>
      </c>
      <c r="G1635" s="140">
        <v>3472.4</v>
      </c>
      <c r="H1635" s="138">
        <f t="shared" si="26"/>
        <v>0</v>
      </c>
      <c r="I1635" s="141" t="s">
        <v>15214</v>
      </c>
    </row>
    <row r="1636" spans="1:9" ht="15.75" x14ac:dyDescent="0.25">
      <c r="A1636" s="135">
        <v>42868</v>
      </c>
      <c r="B1636" s="142" t="s">
        <v>17134</v>
      </c>
      <c r="C1636" s="143">
        <v>111685</v>
      </c>
      <c r="D1636" s="142" t="s">
        <v>15407</v>
      </c>
      <c r="E1636" s="144">
        <v>0</v>
      </c>
      <c r="F1636" s="156" t="s">
        <v>95</v>
      </c>
      <c r="G1636" s="144">
        <v>0</v>
      </c>
      <c r="H1636" s="138">
        <f t="shared" si="26"/>
        <v>0</v>
      </c>
      <c r="I1636" s="147" t="s">
        <v>95</v>
      </c>
    </row>
    <row r="1637" spans="1:9" x14ac:dyDescent="0.25">
      <c r="A1637" s="135">
        <v>42868</v>
      </c>
      <c r="B1637" s="136" t="s">
        <v>17135</v>
      </c>
      <c r="C1637" s="137">
        <v>111686</v>
      </c>
      <c r="D1637" s="136" t="s">
        <v>15673</v>
      </c>
      <c r="E1637" s="138">
        <v>2867</v>
      </c>
      <c r="F1637" s="139">
        <v>42868</v>
      </c>
      <c r="G1637" s="140">
        <v>2867</v>
      </c>
      <c r="H1637" s="138">
        <f t="shared" si="26"/>
        <v>0</v>
      </c>
      <c r="I1637" s="141" t="s">
        <v>15214</v>
      </c>
    </row>
    <row r="1638" spans="1:9" x14ac:dyDescent="0.25">
      <c r="A1638" s="135">
        <v>42868</v>
      </c>
      <c r="B1638" s="142" t="s">
        <v>17136</v>
      </c>
      <c r="C1638" s="143">
        <v>111687</v>
      </c>
      <c r="D1638" s="142" t="s">
        <v>15407</v>
      </c>
      <c r="E1638" s="144">
        <v>27468.2</v>
      </c>
      <c r="F1638" s="145">
        <v>42868</v>
      </c>
      <c r="G1638" s="146">
        <v>27468.2</v>
      </c>
      <c r="H1638" s="138">
        <f t="shared" si="26"/>
        <v>0</v>
      </c>
      <c r="I1638" s="147" t="s">
        <v>15214</v>
      </c>
    </row>
    <row r="1639" spans="1:9" x14ac:dyDescent="0.25">
      <c r="A1639" s="135">
        <v>42868</v>
      </c>
      <c r="B1639" s="136" t="s">
        <v>17137</v>
      </c>
      <c r="C1639" s="137">
        <v>111688</v>
      </c>
      <c r="D1639" s="136" t="s">
        <v>15226</v>
      </c>
      <c r="E1639" s="138">
        <v>1651.2</v>
      </c>
      <c r="F1639" s="139">
        <v>42870</v>
      </c>
      <c r="G1639" s="140">
        <v>1651.2</v>
      </c>
      <c r="H1639" s="138">
        <f t="shared" si="26"/>
        <v>0</v>
      </c>
      <c r="I1639" s="141" t="s">
        <v>15214</v>
      </c>
    </row>
    <row r="1640" spans="1:9" x14ac:dyDescent="0.25">
      <c r="A1640" s="135">
        <v>42868</v>
      </c>
      <c r="B1640" s="142" t="s">
        <v>17138</v>
      </c>
      <c r="C1640" s="143">
        <v>111689</v>
      </c>
      <c r="D1640" s="142" t="s">
        <v>15246</v>
      </c>
      <c r="E1640" s="144">
        <v>7120</v>
      </c>
      <c r="F1640" s="145">
        <v>42872</v>
      </c>
      <c r="G1640" s="146">
        <v>7120</v>
      </c>
      <c r="H1640" s="138">
        <f t="shared" si="26"/>
        <v>0</v>
      </c>
      <c r="I1640" s="147" t="s">
        <v>15214</v>
      </c>
    </row>
    <row r="1641" spans="1:9" x14ac:dyDescent="0.25">
      <c r="A1641" s="135">
        <v>42868</v>
      </c>
      <c r="B1641" s="136" t="s">
        <v>17139</v>
      </c>
      <c r="C1641" s="137">
        <v>111690</v>
      </c>
      <c r="D1641" s="136" t="s">
        <v>15407</v>
      </c>
      <c r="E1641" s="138">
        <v>1110</v>
      </c>
      <c r="F1641" s="139">
        <v>42868</v>
      </c>
      <c r="G1641" s="140">
        <v>1110</v>
      </c>
      <c r="H1641" s="138">
        <f t="shared" si="26"/>
        <v>0</v>
      </c>
      <c r="I1641" s="141" t="s">
        <v>15214</v>
      </c>
    </row>
    <row r="1642" spans="1:9" x14ac:dyDescent="0.25">
      <c r="A1642" s="135">
        <v>42868</v>
      </c>
      <c r="B1642" s="142" t="s">
        <v>17140</v>
      </c>
      <c r="C1642" s="143">
        <v>111691</v>
      </c>
      <c r="D1642" s="142" t="s">
        <v>16313</v>
      </c>
      <c r="E1642" s="144">
        <v>5504.4</v>
      </c>
      <c r="F1642" s="145">
        <v>42870</v>
      </c>
      <c r="G1642" s="146">
        <v>5504.4</v>
      </c>
      <c r="H1642" s="138">
        <f t="shared" si="26"/>
        <v>0</v>
      </c>
      <c r="I1642" s="147" t="s">
        <v>15214</v>
      </c>
    </row>
    <row r="1643" spans="1:9" x14ac:dyDescent="0.25">
      <c r="A1643" s="135">
        <v>42868</v>
      </c>
      <c r="B1643" s="136" t="s">
        <v>17141</v>
      </c>
      <c r="C1643" s="137">
        <v>111692</v>
      </c>
      <c r="D1643" s="136" t="s">
        <v>15258</v>
      </c>
      <c r="E1643" s="138">
        <v>25074</v>
      </c>
      <c r="F1643" s="139" t="s">
        <v>17142</v>
      </c>
      <c r="G1643" s="140">
        <f>1000+9000+15074</f>
        <v>25074</v>
      </c>
      <c r="H1643" s="138">
        <f t="shared" si="26"/>
        <v>0</v>
      </c>
      <c r="I1643" s="141" t="s">
        <v>15214</v>
      </c>
    </row>
    <row r="1644" spans="1:9" ht="15.75" x14ac:dyDescent="0.25">
      <c r="A1644" s="135">
        <v>42868</v>
      </c>
      <c r="B1644" s="142" t="s">
        <v>17143</v>
      </c>
      <c r="C1644" s="143">
        <v>111693</v>
      </c>
      <c r="D1644" s="142" t="s">
        <v>5575</v>
      </c>
      <c r="E1644" s="144">
        <v>0</v>
      </c>
      <c r="F1644" s="156" t="s">
        <v>95</v>
      </c>
      <c r="G1644" s="144">
        <v>0</v>
      </c>
      <c r="H1644" s="138">
        <f t="shared" si="26"/>
        <v>0</v>
      </c>
      <c r="I1644" s="147" t="s">
        <v>95</v>
      </c>
    </row>
    <row r="1645" spans="1:9" x14ac:dyDescent="0.25">
      <c r="A1645" s="135">
        <v>42868</v>
      </c>
      <c r="B1645" s="136" t="s">
        <v>17144</v>
      </c>
      <c r="C1645" s="137">
        <v>111694</v>
      </c>
      <c r="D1645" s="136" t="s">
        <v>5575</v>
      </c>
      <c r="E1645" s="138">
        <v>10982</v>
      </c>
      <c r="F1645" s="139" t="s">
        <v>17145</v>
      </c>
      <c r="G1645" s="140">
        <f>10740+242</f>
        <v>10982</v>
      </c>
      <c r="H1645" s="138">
        <f t="shared" si="26"/>
        <v>0</v>
      </c>
      <c r="I1645" s="141" t="s">
        <v>15214</v>
      </c>
    </row>
    <row r="1646" spans="1:9" x14ac:dyDescent="0.25">
      <c r="A1646" s="135">
        <v>42868</v>
      </c>
      <c r="B1646" s="142" t="s">
        <v>17146</v>
      </c>
      <c r="C1646" s="143">
        <v>111695</v>
      </c>
      <c r="D1646" s="142" t="s">
        <v>15238</v>
      </c>
      <c r="E1646" s="144">
        <v>12628.4</v>
      </c>
      <c r="F1646" s="145">
        <v>42871</v>
      </c>
      <c r="G1646" s="146">
        <v>12628.4</v>
      </c>
      <c r="H1646" s="138">
        <f t="shared" si="26"/>
        <v>0</v>
      </c>
      <c r="I1646" s="147" t="s">
        <v>15214</v>
      </c>
    </row>
    <row r="1647" spans="1:9" x14ac:dyDescent="0.25">
      <c r="A1647" s="135">
        <v>42868</v>
      </c>
      <c r="B1647" s="136" t="s">
        <v>17147</v>
      </c>
      <c r="C1647" s="137">
        <v>111696</v>
      </c>
      <c r="D1647" s="136" t="s">
        <v>15256</v>
      </c>
      <c r="E1647" s="138">
        <v>8777.2000000000007</v>
      </c>
      <c r="F1647" s="139" t="s">
        <v>17148</v>
      </c>
      <c r="G1647" s="140">
        <f>2100+6677.2</f>
        <v>8777.2000000000007</v>
      </c>
      <c r="H1647" s="163">
        <f t="shared" si="26"/>
        <v>0</v>
      </c>
      <c r="I1647" s="141" t="s">
        <v>15214</v>
      </c>
    </row>
    <row r="1648" spans="1:9" x14ac:dyDescent="0.25">
      <c r="A1648" s="135">
        <v>42868</v>
      </c>
      <c r="B1648" s="142" t="s">
        <v>17149</v>
      </c>
      <c r="C1648" s="143">
        <v>111697</v>
      </c>
      <c r="D1648" s="142" t="s">
        <v>15681</v>
      </c>
      <c r="E1648" s="144">
        <v>1786.4</v>
      </c>
      <c r="F1648" s="145">
        <v>42868</v>
      </c>
      <c r="G1648" s="146">
        <v>1786.4</v>
      </c>
      <c r="H1648" s="138">
        <f t="shared" si="26"/>
        <v>0</v>
      </c>
      <c r="I1648" s="147" t="s">
        <v>15214</v>
      </c>
    </row>
    <row r="1649" spans="1:9" x14ac:dyDescent="0.25">
      <c r="A1649" s="135">
        <v>42868</v>
      </c>
      <c r="B1649" s="136" t="s">
        <v>17150</v>
      </c>
      <c r="C1649" s="137">
        <v>111698</v>
      </c>
      <c r="D1649" s="136" t="s">
        <v>15232</v>
      </c>
      <c r="E1649" s="138">
        <v>13213.1</v>
      </c>
      <c r="F1649" s="139">
        <v>42873</v>
      </c>
      <c r="G1649" s="140">
        <v>13213.1</v>
      </c>
      <c r="H1649" s="138">
        <f t="shared" si="26"/>
        <v>0</v>
      </c>
      <c r="I1649" s="141" t="s">
        <v>15214</v>
      </c>
    </row>
    <row r="1650" spans="1:9" x14ac:dyDescent="0.25">
      <c r="A1650" s="135">
        <v>42868</v>
      </c>
      <c r="B1650" s="142" t="s">
        <v>17151</v>
      </c>
      <c r="C1650" s="143">
        <v>111699</v>
      </c>
      <c r="D1650" s="142" t="s">
        <v>15234</v>
      </c>
      <c r="E1650" s="144">
        <v>6125</v>
      </c>
      <c r="F1650" s="145">
        <v>42871</v>
      </c>
      <c r="G1650" s="146">
        <v>6125</v>
      </c>
      <c r="H1650" s="138">
        <f t="shared" si="26"/>
        <v>0</v>
      </c>
      <c r="I1650" s="147" t="s">
        <v>15214</v>
      </c>
    </row>
    <row r="1651" spans="1:9" x14ac:dyDescent="0.25">
      <c r="A1651" s="135">
        <v>42868</v>
      </c>
      <c r="B1651" s="136" t="s">
        <v>17152</v>
      </c>
      <c r="C1651" s="137">
        <v>111700</v>
      </c>
      <c r="D1651" s="136" t="s">
        <v>15324</v>
      </c>
      <c r="E1651" s="138">
        <v>2284</v>
      </c>
      <c r="F1651" s="139">
        <v>42868</v>
      </c>
      <c r="G1651" s="140">
        <v>2284</v>
      </c>
      <c r="H1651" s="138">
        <f t="shared" si="26"/>
        <v>0</v>
      </c>
      <c r="I1651" s="141" t="s">
        <v>15214</v>
      </c>
    </row>
    <row r="1652" spans="1:9" x14ac:dyDescent="0.25">
      <c r="A1652" s="135">
        <v>42868</v>
      </c>
      <c r="B1652" s="142" t="s">
        <v>17153</v>
      </c>
      <c r="C1652" s="143">
        <v>111701</v>
      </c>
      <c r="D1652" s="142" t="s">
        <v>15596</v>
      </c>
      <c r="E1652" s="144">
        <v>960</v>
      </c>
      <c r="F1652" s="145">
        <v>42868</v>
      </c>
      <c r="G1652" s="146">
        <v>960</v>
      </c>
      <c r="H1652" s="138">
        <f t="shared" si="26"/>
        <v>0</v>
      </c>
      <c r="I1652" s="147" t="s">
        <v>15214</v>
      </c>
    </row>
    <row r="1653" spans="1:9" x14ac:dyDescent="0.25">
      <c r="A1653" s="135">
        <v>42868</v>
      </c>
      <c r="B1653" s="136" t="s">
        <v>17154</v>
      </c>
      <c r="C1653" s="137">
        <v>111702</v>
      </c>
      <c r="D1653" s="136" t="s">
        <v>15220</v>
      </c>
      <c r="E1653" s="138">
        <v>5280</v>
      </c>
      <c r="F1653" s="139">
        <v>42868</v>
      </c>
      <c r="G1653" s="140">
        <v>5280</v>
      </c>
      <c r="H1653" s="138">
        <f t="shared" si="26"/>
        <v>0</v>
      </c>
      <c r="I1653" s="141" t="s">
        <v>15214</v>
      </c>
    </row>
    <row r="1654" spans="1:9" x14ac:dyDescent="0.25">
      <c r="A1654" s="135">
        <v>42868</v>
      </c>
      <c r="B1654" s="142" t="s">
        <v>17155</v>
      </c>
      <c r="C1654" s="143">
        <v>111703</v>
      </c>
      <c r="D1654" s="142" t="s">
        <v>15236</v>
      </c>
      <c r="E1654" s="144">
        <v>5614</v>
      </c>
      <c r="F1654" s="145">
        <v>42871</v>
      </c>
      <c r="G1654" s="146">
        <v>5614</v>
      </c>
      <c r="H1654" s="138">
        <f t="shared" si="26"/>
        <v>0</v>
      </c>
      <c r="I1654" s="147" t="s">
        <v>15214</v>
      </c>
    </row>
    <row r="1655" spans="1:9" x14ac:dyDescent="0.25">
      <c r="A1655" s="135">
        <v>42868</v>
      </c>
      <c r="B1655" s="136" t="s">
        <v>17156</v>
      </c>
      <c r="C1655" s="137">
        <v>111704</v>
      </c>
      <c r="D1655" s="136" t="s">
        <v>15274</v>
      </c>
      <c r="E1655" s="138">
        <v>3600</v>
      </c>
      <c r="F1655" s="139">
        <v>42868</v>
      </c>
      <c r="G1655" s="140">
        <v>3600</v>
      </c>
      <c r="H1655" s="138">
        <f t="shared" si="26"/>
        <v>0</v>
      </c>
      <c r="I1655" s="141" t="s">
        <v>15214</v>
      </c>
    </row>
    <row r="1656" spans="1:9" ht="15.75" x14ac:dyDescent="0.25">
      <c r="A1656" s="135">
        <v>42868</v>
      </c>
      <c r="B1656" s="142" t="s">
        <v>17157</v>
      </c>
      <c r="C1656" s="143">
        <v>111705</v>
      </c>
      <c r="D1656" s="142" t="s">
        <v>15236</v>
      </c>
      <c r="E1656" s="144">
        <v>0</v>
      </c>
      <c r="F1656" s="156" t="s">
        <v>95</v>
      </c>
      <c r="G1656" s="144">
        <v>0</v>
      </c>
      <c r="H1656" s="138">
        <f t="shared" si="26"/>
        <v>0</v>
      </c>
      <c r="I1656" s="147" t="s">
        <v>95</v>
      </c>
    </row>
    <row r="1657" spans="1:9" x14ac:dyDescent="0.25">
      <c r="A1657" s="135">
        <v>42868</v>
      </c>
      <c r="B1657" s="136" t="s">
        <v>17158</v>
      </c>
      <c r="C1657" s="137">
        <v>111706</v>
      </c>
      <c r="D1657" s="136" t="s">
        <v>15668</v>
      </c>
      <c r="E1657" s="138">
        <v>8354.4</v>
      </c>
      <c r="F1657" s="139">
        <v>42870</v>
      </c>
      <c r="G1657" s="140">
        <v>8354.4</v>
      </c>
      <c r="H1657" s="138">
        <f t="shared" si="26"/>
        <v>0</v>
      </c>
      <c r="I1657" s="141" t="s">
        <v>15214</v>
      </c>
    </row>
    <row r="1658" spans="1:9" x14ac:dyDescent="0.25">
      <c r="A1658" s="135">
        <v>42868</v>
      </c>
      <c r="B1658" s="142" t="s">
        <v>17159</v>
      </c>
      <c r="C1658" s="143">
        <v>111707</v>
      </c>
      <c r="D1658" s="142" t="s">
        <v>15242</v>
      </c>
      <c r="E1658" s="144">
        <v>14688</v>
      </c>
      <c r="F1658" s="145">
        <v>42868</v>
      </c>
      <c r="G1658" s="146">
        <v>14688</v>
      </c>
      <c r="H1658" s="138">
        <f t="shared" si="26"/>
        <v>0</v>
      </c>
      <c r="I1658" s="147" t="s">
        <v>15214</v>
      </c>
    </row>
    <row r="1659" spans="1:9" x14ac:dyDescent="0.25">
      <c r="A1659" s="135">
        <v>42868</v>
      </c>
      <c r="B1659" s="136" t="s">
        <v>17160</v>
      </c>
      <c r="C1659" s="137">
        <v>111708</v>
      </c>
      <c r="D1659" s="136" t="s">
        <v>15246</v>
      </c>
      <c r="E1659" s="138">
        <v>14913.6</v>
      </c>
      <c r="F1659" s="139">
        <v>42872</v>
      </c>
      <c r="G1659" s="140">
        <v>14913.6</v>
      </c>
      <c r="H1659" s="138">
        <f t="shared" si="26"/>
        <v>0</v>
      </c>
      <c r="I1659" s="141" t="s">
        <v>15214</v>
      </c>
    </row>
    <row r="1660" spans="1:9" ht="15.75" x14ac:dyDescent="0.25">
      <c r="A1660" s="135">
        <v>42868</v>
      </c>
      <c r="B1660" s="142" t="s">
        <v>17161</v>
      </c>
      <c r="C1660" s="143">
        <v>111709</v>
      </c>
      <c r="D1660" s="142" t="s">
        <v>15338</v>
      </c>
      <c r="E1660" s="144">
        <v>0</v>
      </c>
      <c r="F1660" s="156" t="s">
        <v>95</v>
      </c>
      <c r="G1660" s="144">
        <v>0</v>
      </c>
      <c r="H1660" s="138">
        <f t="shared" si="26"/>
        <v>0</v>
      </c>
      <c r="I1660" s="147" t="s">
        <v>95</v>
      </c>
    </row>
    <row r="1661" spans="1:9" x14ac:dyDescent="0.25">
      <c r="A1661" s="135">
        <v>42868</v>
      </c>
      <c r="B1661" s="136" t="s">
        <v>17162</v>
      </c>
      <c r="C1661" s="137">
        <v>111710</v>
      </c>
      <c r="D1661" s="136" t="s">
        <v>15480</v>
      </c>
      <c r="E1661" s="138">
        <v>12444.6</v>
      </c>
      <c r="F1661" s="139" t="s">
        <v>17163</v>
      </c>
      <c r="G1661" s="140">
        <f>9445+2999.6</f>
        <v>12444.6</v>
      </c>
      <c r="H1661" s="138">
        <f t="shared" si="26"/>
        <v>0</v>
      </c>
      <c r="I1661" s="141" t="s">
        <v>15214</v>
      </c>
    </row>
    <row r="1662" spans="1:9" x14ac:dyDescent="0.25">
      <c r="A1662" s="135">
        <v>42868</v>
      </c>
      <c r="B1662" s="142" t="s">
        <v>17164</v>
      </c>
      <c r="C1662" s="143">
        <v>111711</v>
      </c>
      <c r="D1662" s="142" t="s">
        <v>15246</v>
      </c>
      <c r="E1662" s="144">
        <v>700</v>
      </c>
      <c r="F1662" s="145">
        <v>42872</v>
      </c>
      <c r="G1662" s="146">
        <v>700</v>
      </c>
      <c r="H1662" s="138">
        <f t="shared" si="26"/>
        <v>0</v>
      </c>
      <c r="I1662" s="147" t="s">
        <v>15214</v>
      </c>
    </row>
    <row r="1663" spans="1:9" x14ac:dyDescent="0.25">
      <c r="A1663" s="135">
        <v>42868</v>
      </c>
      <c r="B1663" s="136" t="s">
        <v>17165</v>
      </c>
      <c r="C1663" s="137">
        <v>111712</v>
      </c>
      <c r="D1663" s="136" t="s">
        <v>15252</v>
      </c>
      <c r="E1663" s="138">
        <v>8298.7000000000007</v>
      </c>
      <c r="F1663" s="139">
        <v>42870</v>
      </c>
      <c r="G1663" s="140">
        <v>8298.7000000000007</v>
      </c>
      <c r="H1663" s="138">
        <f t="shared" si="26"/>
        <v>0</v>
      </c>
      <c r="I1663" s="141" t="s">
        <v>15214</v>
      </c>
    </row>
    <row r="1664" spans="1:9" x14ac:dyDescent="0.25">
      <c r="A1664" s="135">
        <v>42868</v>
      </c>
      <c r="B1664" s="142" t="s">
        <v>17166</v>
      </c>
      <c r="C1664" s="143">
        <v>111713</v>
      </c>
      <c r="D1664" s="142" t="s">
        <v>15328</v>
      </c>
      <c r="E1664" s="144">
        <v>57084.78</v>
      </c>
      <c r="F1664" s="145">
        <v>42880</v>
      </c>
      <c r="G1664" s="146">
        <v>57084.78</v>
      </c>
      <c r="H1664" s="138">
        <f t="shared" si="26"/>
        <v>0</v>
      </c>
      <c r="I1664" s="147" t="s">
        <v>15214</v>
      </c>
    </row>
    <row r="1665" spans="1:9" x14ac:dyDescent="0.25">
      <c r="A1665" s="135">
        <v>42868</v>
      </c>
      <c r="B1665" s="136" t="s">
        <v>17167</v>
      </c>
      <c r="C1665" s="137">
        <v>111714</v>
      </c>
      <c r="D1665" s="136" t="s">
        <v>15378</v>
      </c>
      <c r="E1665" s="138">
        <v>517.5</v>
      </c>
      <c r="F1665" s="139">
        <v>42868</v>
      </c>
      <c r="G1665" s="140">
        <v>517.5</v>
      </c>
      <c r="H1665" s="138">
        <f t="shared" si="26"/>
        <v>0</v>
      </c>
      <c r="I1665" s="141" t="s">
        <v>15214</v>
      </c>
    </row>
    <row r="1666" spans="1:9" x14ac:dyDescent="0.25">
      <c r="A1666" s="135">
        <v>42868</v>
      </c>
      <c r="B1666" s="142" t="s">
        <v>17168</v>
      </c>
      <c r="C1666" s="143">
        <v>111715</v>
      </c>
      <c r="D1666" s="142" t="s">
        <v>15244</v>
      </c>
      <c r="E1666" s="144">
        <v>25082.5</v>
      </c>
      <c r="F1666" s="145">
        <v>42870</v>
      </c>
      <c r="G1666" s="146">
        <v>25082.5</v>
      </c>
      <c r="H1666" s="138">
        <f t="shared" si="26"/>
        <v>0</v>
      </c>
      <c r="I1666" s="147" t="s">
        <v>15214</v>
      </c>
    </row>
    <row r="1667" spans="1:9" x14ac:dyDescent="0.25">
      <c r="A1667" s="135">
        <v>42868</v>
      </c>
      <c r="B1667" s="136" t="s">
        <v>17169</v>
      </c>
      <c r="C1667" s="137">
        <v>111716</v>
      </c>
      <c r="D1667" s="136" t="s">
        <v>15284</v>
      </c>
      <c r="E1667" s="138">
        <v>1396.5</v>
      </c>
      <c r="F1667" s="139">
        <v>42868</v>
      </c>
      <c r="G1667" s="140">
        <v>1396.5</v>
      </c>
      <c r="H1667" s="138">
        <f t="shared" si="26"/>
        <v>0</v>
      </c>
      <c r="I1667" s="141" t="s">
        <v>15214</v>
      </c>
    </row>
    <row r="1668" spans="1:9" x14ac:dyDescent="0.25">
      <c r="A1668" s="135">
        <v>42868</v>
      </c>
      <c r="B1668" s="142" t="s">
        <v>17170</v>
      </c>
      <c r="C1668" s="143">
        <v>111717</v>
      </c>
      <c r="D1668" s="142" t="s">
        <v>15282</v>
      </c>
      <c r="E1668" s="144">
        <v>1822.8</v>
      </c>
      <c r="F1668" s="145">
        <v>42868</v>
      </c>
      <c r="G1668" s="146">
        <v>1822.8</v>
      </c>
      <c r="H1668" s="138">
        <f t="shared" ref="H1668:H1731" si="27">E1668-G1668</f>
        <v>0</v>
      </c>
      <c r="I1668" s="147" t="s">
        <v>15214</v>
      </c>
    </row>
    <row r="1669" spans="1:9" x14ac:dyDescent="0.25">
      <c r="A1669" s="135">
        <v>42868</v>
      </c>
      <c r="B1669" s="136" t="s">
        <v>17171</v>
      </c>
      <c r="C1669" s="137">
        <v>111718</v>
      </c>
      <c r="D1669" s="136" t="s">
        <v>15246</v>
      </c>
      <c r="E1669" s="138">
        <v>20011.3</v>
      </c>
      <c r="F1669" s="139">
        <v>42872</v>
      </c>
      <c r="G1669" s="140">
        <v>20011.3</v>
      </c>
      <c r="H1669" s="138">
        <f t="shared" si="27"/>
        <v>0</v>
      </c>
      <c r="I1669" s="141" t="s">
        <v>15214</v>
      </c>
    </row>
    <row r="1670" spans="1:9" x14ac:dyDescent="0.25">
      <c r="A1670" s="135">
        <v>42868</v>
      </c>
      <c r="B1670" s="142" t="s">
        <v>17172</v>
      </c>
      <c r="C1670" s="143">
        <v>111719</v>
      </c>
      <c r="D1670" s="142" t="s">
        <v>15263</v>
      </c>
      <c r="E1670" s="144">
        <v>3303.6</v>
      </c>
      <c r="F1670" s="145">
        <v>42868</v>
      </c>
      <c r="G1670" s="146">
        <v>3303.6</v>
      </c>
      <c r="H1670" s="138">
        <f t="shared" si="27"/>
        <v>0</v>
      </c>
      <c r="I1670" s="147" t="s">
        <v>15214</v>
      </c>
    </row>
    <row r="1671" spans="1:9" x14ac:dyDescent="0.25">
      <c r="A1671" s="135">
        <v>42868</v>
      </c>
      <c r="B1671" s="136" t="s">
        <v>17173</v>
      </c>
      <c r="C1671" s="137">
        <v>111720</v>
      </c>
      <c r="D1671" s="136" t="s">
        <v>15223</v>
      </c>
      <c r="E1671" s="138">
        <v>55395</v>
      </c>
      <c r="F1671" s="139">
        <v>42882</v>
      </c>
      <c r="G1671" s="140">
        <v>55395</v>
      </c>
      <c r="H1671" s="138">
        <f t="shared" si="27"/>
        <v>0</v>
      </c>
      <c r="I1671" s="141" t="s">
        <v>15214</v>
      </c>
    </row>
    <row r="1672" spans="1:9" x14ac:dyDescent="0.25">
      <c r="A1672" s="135">
        <v>42868</v>
      </c>
      <c r="B1672" s="142" t="s">
        <v>17174</v>
      </c>
      <c r="C1672" s="143">
        <v>111721</v>
      </c>
      <c r="D1672" s="142" t="s">
        <v>16261</v>
      </c>
      <c r="E1672" s="144">
        <v>856</v>
      </c>
      <c r="F1672" s="145">
        <v>42868</v>
      </c>
      <c r="G1672" s="146">
        <v>856</v>
      </c>
      <c r="H1672" s="138">
        <f t="shared" si="27"/>
        <v>0</v>
      </c>
      <c r="I1672" s="147" t="s">
        <v>15214</v>
      </c>
    </row>
    <row r="1673" spans="1:9" ht="15.75" x14ac:dyDescent="0.25">
      <c r="A1673" s="135">
        <v>42868</v>
      </c>
      <c r="B1673" s="136" t="s">
        <v>17175</v>
      </c>
      <c r="C1673" s="137">
        <v>111722</v>
      </c>
      <c r="D1673" s="136" t="s">
        <v>16261</v>
      </c>
      <c r="E1673" s="138">
        <v>0</v>
      </c>
      <c r="F1673" s="153" t="s">
        <v>95</v>
      </c>
      <c r="G1673" s="138">
        <v>0</v>
      </c>
      <c r="H1673" s="138">
        <f t="shared" si="27"/>
        <v>0</v>
      </c>
      <c r="I1673" s="141" t="s">
        <v>95</v>
      </c>
    </row>
    <row r="1674" spans="1:9" x14ac:dyDescent="0.25">
      <c r="A1674" s="135">
        <v>42868</v>
      </c>
      <c r="B1674" s="142" t="s">
        <v>17176</v>
      </c>
      <c r="C1674" s="143">
        <v>111723</v>
      </c>
      <c r="D1674" s="142" t="s">
        <v>15240</v>
      </c>
      <c r="E1674" s="144">
        <v>3091.5</v>
      </c>
      <c r="F1674" s="145">
        <v>42872</v>
      </c>
      <c r="G1674" s="146">
        <v>3091.5</v>
      </c>
      <c r="H1674" s="138">
        <f t="shared" si="27"/>
        <v>0</v>
      </c>
      <c r="I1674" s="147" t="s">
        <v>15214</v>
      </c>
    </row>
    <row r="1675" spans="1:9" x14ac:dyDescent="0.25">
      <c r="A1675" s="135">
        <v>42868</v>
      </c>
      <c r="B1675" s="136" t="s">
        <v>17177</v>
      </c>
      <c r="C1675" s="137">
        <v>111724</v>
      </c>
      <c r="D1675" s="136" t="s">
        <v>16261</v>
      </c>
      <c r="E1675" s="138">
        <v>3209.7</v>
      </c>
      <c r="F1675" s="139">
        <v>42868</v>
      </c>
      <c r="G1675" s="140">
        <v>3209.7</v>
      </c>
      <c r="H1675" s="138">
        <f t="shared" si="27"/>
        <v>0</v>
      </c>
      <c r="I1675" s="141" t="s">
        <v>15214</v>
      </c>
    </row>
    <row r="1676" spans="1:9" x14ac:dyDescent="0.25">
      <c r="A1676" s="135">
        <v>42868</v>
      </c>
      <c r="B1676" s="142" t="s">
        <v>17178</v>
      </c>
      <c r="C1676" s="143">
        <v>111725</v>
      </c>
      <c r="D1676" s="142" t="s">
        <v>15350</v>
      </c>
      <c r="E1676" s="144">
        <v>1920</v>
      </c>
      <c r="F1676" s="139">
        <v>42868</v>
      </c>
      <c r="G1676" s="146">
        <v>1920</v>
      </c>
      <c r="H1676" s="138">
        <f t="shared" si="27"/>
        <v>0</v>
      </c>
      <c r="I1676" s="147" t="s">
        <v>15214</v>
      </c>
    </row>
    <row r="1677" spans="1:9" x14ac:dyDescent="0.25">
      <c r="A1677" s="135">
        <v>42868</v>
      </c>
      <c r="B1677" s="136" t="s">
        <v>17179</v>
      </c>
      <c r="C1677" s="137">
        <v>111726</v>
      </c>
      <c r="D1677" s="136" t="s">
        <v>15523</v>
      </c>
      <c r="E1677" s="138">
        <v>3840</v>
      </c>
      <c r="F1677" s="139">
        <v>42868</v>
      </c>
      <c r="G1677" s="140">
        <v>3840</v>
      </c>
      <c r="H1677" s="138">
        <f t="shared" si="27"/>
        <v>0</v>
      </c>
      <c r="I1677" s="141" t="s">
        <v>15214</v>
      </c>
    </row>
    <row r="1678" spans="1:9" x14ac:dyDescent="0.25">
      <c r="A1678" s="135">
        <v>42868</v>
      </c>
      <c r="B1678" s="142" t="s">
        <v>17180</v>
      </c>
      <c r="C1678" s="143">
        <v>111727</v>
      </c>
      <c r="D1678" s="142" t="s">
        <v>15334</v>
      </c>
      <c r="E1678" s="144">
        <v>2510</v>
      </c>
      <c r="F1678" s="139">
        <v>42868</v>
      </c>
      <c r="G1678" s="146">
        <v>2510</v>
      </c>
      <c r="H1678" s="138">
        <f t="shared" si="27"/>
        <v>0</v>
      </c>
      <c r="I1678" s="147" t="s">
        <v>15214</v>
      </c>
    </row>
    <row r="1679" spans="1:9" x14ac:dyDescent="0.25">
      <c r="A1679" s="135">
        <v>42868</v>
      </c>
      <c r="B1679" s="136" t="s">
        <v>17181</v>
      </c>
      <c r="C1679" s="137">
        <v>111728</v>
      </c>
      <c r="D1679" s="136" t="s">
        <v>15854</v>
      </c>
      <c r="E1679" s="138">
        <v>1992</v>
      </c>
      <c r="F1679" s="139">
        <v>42868</v>
      </c>
      <c r="G1679" s="140">
        <v>1992</v>
      </c>
      <c r="H1679" s="138">
        <f t="shared" si="27"/>
        <v>0</v>
      </c>
      <c r="I1679" s="141" t="s">
        <v>15214</v>
      </c>
    </row>
    <row r="1680" spans="1:9" x14ac:dyDescent="0.25">
      <c r="A1680" s="135">
        <v>42868</v>
      </c>
      <c r="B1680" s="142" t="s">
        <v>17182</v>
      </c>
      <c r="C1680" s="143">
        <v>111729</v>
      </c>
      <c r="D1680" s="142" t="s">
        <v>15714</v>
      </c>
      <c r="E1680" s="144">
        <v>780</v>
      </c>
      <c r="F1680" s="139">
        <v>42868</v>
      </c>
      <c r="G1680" s="146">
        <v>780</v>
      </c>
      <c r="H1680" s="138">
        <f t="shared" si="27"/>
        <v>0</v>
      </c>
      <c r="I1680" s="147" t="s">
        <v>15214</v>
      </c>
    </row>
    <row r="1681" spans="1:9" x14ac:dyDescent="0.25">
      <c r="A1681" s="135">
        <v>42868</v>
      </c>
      <c r="B1681" s="136" t="s">
        <v>17183</v>
      </c>
      <c r="C1681" s="137">
        <v>111730</v>
      </c>
      <c r="D1681" s="136" t="s">
        <v>15858</v>
      </c>
      <c r="E1681" s="138">
        <v>770</v>
      </c>
      <c r="F1681" s="139">
        <v>42868</v>
      </c>
      <c r="G1681" s="140">
        <v>770</v>
      </c>
      <c r="H1681" s="138">
        <f t="shared" si="27"/>
        <v>0</v>
      </c>
      <c r="I1681" s="141" t="s">
        <v>15214</v>
      </c>
    </row>
    <row r="1682" spans="1:9" x14ac:dyDescent="0.25">
      <c r="A1682" s="135">
        <v>42868</v>
      </c>
      <c r="B1682" s="142" t="s">
        <v>17184</v>
      </c>
      <c r="C1682" s="143">
        <v>111731</v>
      </c>
      <c r="D1682" s="142" t="s">
        <v>15912</v>
      </c>
      <c r="E1682" s="144">
        <v>2232.1999999999998</v>
      </c>
      <c r="F1682" s="139">
        <v>42868</v>
      </c>
      <c r="G1682" s="146">
        <v>2232.1999999999998</v>
      </c>
      <c r="H1682" s="138">
        <f t="shared" si="27"/>
        <v>0</v>
      </c>
      <c r="I1682" s="147" t="s">
        <v>15214</v>
      </c>
    </row>
    <row r="1683" spans="1:9" x14ac:dyDescent="0.25">
      <c r="A1683" s="135">
        <v>42868</v>
      </c>
      <c r="B1683" s="136" t="s">
        <v>17185</v>
      </c>
      <c r="C1683" s="137">
        <v>111732</v>
      </c>
      <c r="D1683" s="136" t="s">
        <v>15315</v>
      </c>
      <c r="E1683" s="138">
        <v>2880</v>
      </c>
      <c r="F1683" s="139">
        <v>42868</v>
      </c>
      <c r="G1683" s="140">
        <v>2880</v>
      </c>
      <c r="H1683" s="138">
        <f t="shared" si="27"/>
        <v>0</v>
      </c>
      <c r="I1683" s="141" t="s">
        <v>15214</v>
      </c>
    </row>
    <row r="1684" spans="1:9" x14ac:dyDescent="0.25">
      <c r="A1684" s="135">
        <v>42868</v>
      </c>
      <c r="B1684" s="142" t="s">
        <v>17186</v>
      </c>
      <c r="C1684" s="143">
        <v>111733</v>
      </c>
      <c r="D1684" s="142" t="s">
        <v>15280</v>
      </c>
      <c r="E1684" s="144">
        <v>5328.4</v>
      </c>
      <c r="F1684" s="139">
        <v>42868</v>
      </c>
      <c r="G1684" s="146">
        <v>5328.4</v>
      </c>
      <c r="H1684" s="138">
        <f t="shared" si="27"/>
        <v>0</v>
      </c>
      <c r="I1684" s="147" t="s">
        <v>15214</v>
      </c>
    </row>
    <row r="1685" spans="1:9" x14ac:dyDescent="0.25">
      <c r="A1685" s="135">
        <v>42868</v>
      </c>
      <c r="B1685" s="136" t="s">
        <v>17187</v>
      </c>
      <c r="C1685" s="137">
        <v>111734</v>
      </c>
      <c r="D1685" s="136" t="s">
        <v>16383</v>
      </c>
      <c r="E1685" s="138">
        <v>10338.4</v>
      </c>
      <c r="F1685" s="139">
        <v>42868</v>
      </c>
      <c r="G1685" s="140">
        <v>10338.4</v>
      </c>
      <c r="H1685" s="138">
        <f t="shared" si="27"/>
        <v>0</v>
      </c>
      <c r="I1685" s="141" t="s">
        <v>15214</v>
      </c>
    </row>
    <row r="1686" spans="1:9" x14ac:dyDescent="0.25">
      <c r="A1686" s="135">
        <v>42868</v>
      </c>
      <c r="B1686" s="142" t="s">
        <v>17188</v>
      </c>
      <c r="C1686" s="143">
        <v>111735</v>
      </c>
      <c r="D1686" s="142" t="s">
        <v>15539</v>
      </c>
      <c r="E1686" s="144">
        <v>14035</v>
      </c>
      <c r="F1686" s="145">
        <v>42874</v>
      </c>
      <c r="G1686" s="146">
        <v>14035</v>
      </c>
      <c r="H1686" s="138">
        <f t="shared" si="27"/>
        <v>0</v>
      </c>
      <c r="I1686" s="147" t="s">
        <v>15214</v>
      </c>
    </row>
    <row r="1687" spans="1:9" x14ac:dyDescent="0.25">
      <c r="A1687" s="135">
        <v>42868</v>
      </c>
      <c r="B1687" s="136" t="s">
        <v>17189</v>
      </c>
      <c r="C1687" s="137">
        <v>111736</v>
      </c>
      <c r="D1687" s="136" t="s">
        <v>16040</v>
      </c>
      <c r="E1687" s="138">
        <v>2639</v>
      </c>
      <c r="F1687" s="139">
        <v>42872</v>
      </c>
      <c r="G1687" s="140">
        <v>2639</v>
      </c>
      <c r="H1687" s="138">
        <f t="shared" si="27"/>
        <v>0</v>
      </c>
      <c r="I1687" s="141" t="s">
        <v>15214</v>
      </c>
    </row>
    <row r="1688" spans="1:9" x14ac:dyDescent="0.25">
      <c r="A1688" s="135">
        <v>42868</v>
      </c>
      <c r="B1688" s="142" t="s">
        <v>17190</v>
      </c>
      <c r="C1688" s="143">
        <v>111737</v>
      </c>
      <c r="D1688" s="142" t="s">
        <v>15537</v>
      </c>
      <c r="E1688" s="144">
        <v>23439.599999999999</v>
      </c>
      <c r="F1688" s="145">
        <v>42872</v>
      </c>
      <c r="G1688" s="146">
        <v>23439.599999999999</v>
      </c>
      <c r="H1688" s="138">
        <f t="shared" si="27"/>
        <v>0</v>
      </c>
      <c r="I1688" s="147" t="s">
        <v>15214</v>
      </c>
    </row>
    <row r="1689" spans="1:9" x14ac:dyDescent="0.25">
      <c r="A1689" s="135">
        <v>42868</v>
      </c>
      <c r="B1689" s="136" t="s">
        <v>17191</v>
      </c>
      <c r="C1689" s="137">
        <v>111738</v>
      </c>
      <c r="D1689" s="136" t="s">
        <v>15371</v>
      </c>
      <c r="E1689" s="138">
        <v>5869.1</v>
      </c>
      <c r="F1689" s="139" t="s">
        <v>17192</v>
      </c>
      <c r="G1689" s="140">
        <f>3000+2869.1</f>
        <v>5869.1</v>
      </c>
      <c r="H1689" s="138">
        <f t="shared" si="27"/>
        <v>0</v>
      </c>
      <c r="I1689" s="141" t="s">
        <v>15214</v>
      </c>
    </row>
    <row r="1690" spans="1:9" x14ac:dyDescent="0.25">
      <c r="A1690" s="135">
        <v>42868</v>
      </c>
      <c r="B1690" s="142" t="s">
        <v>17193</v>
      </c>
      <c r="C1690" s="143">
        <v>111739</v>
      </c>
      <c r="D1690" s="142" t="s">
        <v>15549</v>
      </c>
      <c r="E1690" s="144">
        <v>900.6</v>
      </c>
      <c r="F1690" s="145">
        <v>42868</v>
      </c>
      <c r="G1690" s="146">
        <v>900.6</v>
      </c>
      <c r="H1690" s="138">
        <f t="shared" si="27"/>
        <v>0</v>
      </c>
      <c r="I1690" s="147" t="s">
        <v>15214</v>
      </c>
    </row>
    <row r="1691" spans="1:9" ht="15.75" x14ac:dyDescent="0.25">
      <c r="A1691" s="135">
        <v>42868</v>
      </c>
      <c r="B1691" s="136" t="s">
        <v>17194</v>
      </c>
      <c r="C1691" s="137">
        <v>111740</v>
      </c>
      <c r="D1691" s="136" t="s">
        <v>15559</v>
      </c>
      <c r="E1691" s="138">
        <v>0</v>
      </c>
      <c r="F1691" s="153" t="s">
        <v>95</v>
      </c>
      <c r="G1691" s="138">
        <v>0</v>
      </c>
      <c r="H1691" s="138">
        <f t="shared" si="27"/>
        <v>0</v>
      </c>
      <c r="I1691" s="141" t="s">
        <v>95</v>
      </c>
    </row>
    <row r="1692" spans="1:9" x14ac:dyDescent="0.25">
      <c r="A1692" s="135">
        <v>42868</v>
      </c>
      <c r="B1692" s="142" t="s">
        <v>17195</v>
      </c>
      <c r="C1692" s="143">
        <v>111741</v>
      </c>
      <c r="D1692" s="142" t="s">
        <v>15555</v>
      </c>
      <c r="E1692" s="144">
        <v>1898</v>
      </c>
      <c r="F1692" s="145">
        <v>42872</v>
      </c>
      <c r="G1692" s="146">
        <v>1898</v>
      </c>
      <c r="H1692" s="138">
        <f t="shared" si="27"/>
        <v>0</v>
      </c>
      <c r="I1692" s="147" t="s">
        <v>15214</v>
      </c>
    </row>
    <row r="1693" spans="1:9" x14ac:dyDescent="0.25">
      <c r="A1693" s="135">
        <v>42868</v>
      </c>
      <c r="B1693" s="136" t="s">
        <v>17196</v>
      </c>
      <c r="C1693" s="137">
        <v>111742</v>
      </c>
      <c r="D1693" s="136" t="s">
        <v>15544</v>
      </c>
      <c r="E1693" s="138">
        <v>2404.5</v>
      </c>
      <c r="F1693" s="139">
        <v>42874</v>
      </c>
      <c r="G1693" s="140">
        <v>2404.5</v>
      </c>
      <c r="H1693" s="138">
        <f t="shared" si="27"/>
        <v>0</v>
      </c>
      <c r="I1693" s="141" t="s">
        <v>15214</v>
      </c>
    </row>
    <row r="1694" spans="1:9" x14ac:dyDescent="0.25">
      <c r="A1694" s="135">
        <v>42868</v>
      </c>
      <c r="B1694" s="142" t="s">
        <v>17197</v>
      </c>
      <c r="C1694" s="143">
        <v>111743</v>
      </c>
      <c r="D1694" s="142" t="s">
        <v>15833</v>
      </c>
      <c r="E1694" s="144">
        <v>14626.5</v>
      </c>
      <c r="F1694" s="145">
        <v>42872</v>
      </c>
      <c r="G1694" s="146">
        <v>14626.5</v>
      </c>
      <c r="H1694" s="138">
        <f t="shared" si="27"/>
        <v>0</v>
      </c>
      <c r="I1694" s="147" t="s">
        <v>15214</v>
      </c>
    </row>
    <row r="1695" spans="1:9" x14ac:dyDescent="0.25">
      <c r="A1695" s="135">
        <v>42868</v>
      </c>
      <c r="B1695" s="136" t="s">
        <v>17198</v>
      </c>
      <c r="C1695" s="137">
        <v>111744</v>
      </c>
      <c r="D1695" s="136" t="s">
        <v>15391</v>
      </c>
      <c r="E1695" s="138">
        <v>10153.6</v>
      </c>
      <c r="F1695" s="139">
        <v>42868</v>
      </c>
      <c r="G1695" s="140">
        <v>10153.6</v>
      </c>
      <c r="H1695" s="138">
        <f t="shared" si="27"/>
        <v>0</v>
      </c>
      <c r="I1695" s="141" t="s">
        <v>15214</v>
      </c>
    </row>
    <row r="1696" spans="1:9" x14ac:dyDescent="0.25">
      <c r="A1696" s="135">
        <v>42868</v>
      </c>
      <c r="B1696" s="142" t="s">
        <v>17199</v>
      </c>
      <c r="C1696" s="143">
        <v>111745</v>
      </c>
      <c r="D1696" s="142" t="s">
        <v>15361</v>
      </c>
      <c r="E1696" s="144">
        <v>15714</v>
      </c>
      <c r="F1696" s="145">
        <v>42868</v>
      </c>
      <c r="G1696" s="146">
        <v>15714</v>
      </c>
      <c r="H1696" s="138">
        <f t="shared" si="27"/>
        <v>0</v>
      </c>
      <c r="I1696" s="147" t="s">
        <v>15214</v>
      </c>
    </row>
    <row r="1697" spans="1:9" x14ac:dyDescent="0.25">
      <c r="A1697" s="135">
        <v>42868</v>
      </c>
      <c r="B1697" s="136" t="s">
        <v>17200</v>
      </c>
      <c r="C1697" s="137">
        <v>111746</v>
      </c>
      <c r="D1697" s="136" t="s">
        <v>15376</v>
      </c>
      <c r="E1697" s="138">
        <v>6911.2</v>
      </c>
      <c r="F1697" s="139">
        <v>42868</v>
      </c>
      <c r="G1697" s="140">
        <v>6911.2</v>
      </c>
      <c r="H1697" s="138">
        <f t="shared" si="27"/>
        <v>0</v>
      </c>
      <c r="I1697" s="141" t="s">
        <v>15214</v>
      </c>
    </row>
    <row r="1698" spans="1:9" x14ac:dyDescent="0.25">
      <c r="A1698" s="135">
        <v>42868</v>
      </c>
      <c r="B1698" s="142" t="s">
        <v>17201</v>
      </c>
      <c r="C1698" s="143">
        <v>111747</v>
      </c>
      <c r="D1698" s="142" t="s">
        <v>15315</v>
      </c>
      <c r="E1698" s="144">
        <v>530</v>
      </c>
      <c r="F1698" s="145">
        <v>42868</v>
      </c>
      <c r="G1698" s="146">
        <v>530</v>
      </c>
      <c r="H1698" s="138">
        <f t="shared" si="27"/>
        <v>0</v>
      </c>
      <c r="I1698" s="147" t="s">
        <v>15214</v>
      </c>
    </row>
    <row r="1699" spans="1:9" x14ac:dyDescent="0.25">
      <c r="A1699" s="135">
        <v>42868</v>
      </c>
      <c r="B1699" s="136" t="s">
        <v>17202</v>
      </c>
      <c r="C1699" s="137">
        <v>111748</v>
      </c>
      <c r="D1699" s="136" t="s">
        <v>15376</v>
      </c>
      <c r="E1699" s="138">
        <v>11844</v>
      </c>
      <c r="F1699" s="139">
        <v>42868</v>
      </c>
      <c r="G1699" s="140">
        <v>11844</v>
      </c>
      <c r="H1699" s="138">
        <f t="shared" si="27"/>
        <v>0</v>
      </c>
      <c r="I1699" s="141" t="s">
        <v>15214</v>
      </c>
    </row>
    <row r="1700" spans="1:9" x14ac:dyDescent="0.25">
      <c r="A1700" s="135">
        <v>42868</v>
      </c>
      <c r="B1700" s="142" t="s">
        <v>17203</v>
      </c>
      <c r="C1700" s="143">
        <v>111749</v>
      </c>
      <c r="D1700" s="142" t="s">
        <v>15278</v>
      </c>
      <c r="E1700" s="144">
        <v>1717.6</v>
      </c>
      <c r="F1700" s="145">
        <v>42868</v>
      </c>
      <c r="G1700" s="146">
        <v>1717.6</v>
      </c>
      <c r="H1700" s="138">
        <f t="shared" si="27"/>
        <v>0</v>
      </c>
      <c r="I1700" s="147" t="s">
        <v>15214</v>
      </c>
    </row>
    <row r="1701" spans="1:9" x14ac:dyDescent="0.25">
      <c r="A1701" s="135">
        <v>42868</v>
      </c>
      <c r="B1701" s="136" t="s">
        <v>17204</v>
      </c>
      <c r="C1701" s="137">
        <v>111750</v>
      </c>
      <c r="D1701" s="136" t="s">
        <v>15250</v>
      </c>
      <c r="E1701" s="138">
        <v>72371.64</v>
      </c>
      <c r="F1701" s="139">
        <v>42877</v>
      </c>
      <c r="G1701" s="140">
        <v>72371.64</v>
      </c>
      <c r="H1701" s="138">
        <f t="shared" si="27"/>
        <v>0</v>
      </c>
      <c r="I1701" s="141" t="s">
        <v>15214</v>
      </c>
    </row>
    <row r="1702" spans="1:9" x14ac:dyDescent="0.25">
      <c r="A1702" s="135">
        <v>42868</v>
      </c>
      <c r="B1702" s="142" t="s">
        <v>17205</v>
      </c>
      <c r="C1702" s="143">
        <v>111751</v>
      </c>
      <c r="D1702" s="142" t="s">
        <v>15385</v>
      </c>
      <c r="E1702" s="144">
        <v>12387.2</v>
      </c>
      <c r="F1702" s="145">
        <v>42868</v>
      </c>
      <c r="G1702" s="146">
        <v>12387.2</v>
      </c>
      <c r="H1702" s="138">
        <f t="shared" si="27"/>
        <v>0</v>
      </c>
      <c r="I1702" s="147" t="s">
        <v>15214</v>
      </c>
    </row>
    <row r="1703" spans="1:9" x14ac:dyDescent="0.25">
      <c r="A1703" s="135">
        <v>42868</v>
      </c>
      <c r="B1703" s="136" t="s">
        <v>17206</v>
      </c>
      <c r="C1703" s="137">
        <v>111752</v>
      </c>
      <c r="D1703" s="136" t="s">
        <v>15344</v>
      </c>
      <c r="E1703" s="138">
        <v>2141.3000000000002</v>
      </c>
      <c r="F1703" s="145">
        <v>42868</v>
      </c>
      <c r="G1703" s="140">
        <v>2141.3000000000002</v>
      </c>
      <c r="H1703" s="138">
        <f t="shared" si="27"/>
        <v>0</v>
      </c>
      <c r="I1703" s="141" t="s">
        <v>15214</v>
      </c>
    </row>
    <row r="1704" spans="1:9" x14ac:dyDescent="0.25">
      <c r="A1704" s="135">
        <v>42868</v>
      </c>
      <c r="B1704" s="142" t="s">
        <v>17207</v>
      </c>
      <c r="C1704" s="143">
        <v>111753</v>
      </c>
      <c r="D1704" s="142" t="s">
        <v>15526</v>
      </c>
      <c r="E1704" s="144">
        <v>4981.8999999999996</v>
      </c>
      <c r="F1704" s="145">
        <v>42868</v>
      </c>
      <c r="G1704" s="146">
        <v>4981.8999999999996</v>
      </c>
      <c r="H1704" s="138">
        <f t="shared" si="27"/>
        <v>0</v>
      </c>
      <c r="I1704" s="147" t="s">
        <v>15214</v>
      </c>
    </row>
    <row r="1705" spans="1:9" x14ac:dyDescent="0.25">
      <c r="A1705" s="135">
        <v>42868</v>
      </c>
      <c r="B1705" s="136" t="s">
        <v>17208</v>
      </c>
      <c r="C1705" s="137">
        <v>111754</v>
      </c>
      <c r="D1705" s="136" t="s">
        <v>15398</v>
      </c>
      <c r="E1705" s="138">
        <v>2746.8</v>
      </c>
      <c r="F1705" s="145">
        <v>42868</v>
      </c>
      <c r="G1705" s="140">
        <v>2746.8</v>
      </c>
      <c r="H1705" s="138">
        <f t="shared" si="27"/>
        <v>0</v>
      </c>
      <c r="I1705" s="141" t="s">
        <v>15214</v>
      </c>
    </row>
    <row r="1706" spans="1:9" x14ac:dyDescent="0.25">
      <c r="A1706" s="135">
        <v>42868</v>
      </c>
      <c r="B1706" s="142" t="s">
        <v>17209</v>
      </c>
      <c r="C1706" s="143">
        <v>111755</v>
      </c>
      <c r="D1706" s="142" t="s">
        <v>17210</v>
      </c>
      <c r="E1706" s="144">
        <v>3355.8</v>
      </c>
      <c r="F1706" s="145">
        <v>42868</v>
      </c>
      <c r="G1706" s="146">
        <v>3355.8</v>
      </c>
      <c r="H1706" s="138">
        <f t="shared" si="27"/>
        <v>0</v>
      </c>
      <c r="I1706" s="147" t="s">
        <v>15214</v>
      </c>
    </row>
    <row r="1707" spans="1:9" x14ac:dyDescent="0.25">
      <c r="A1707" s="135">
        <v>42868</v>
      </c>
      <c r="B1707" s="136" t="s">
        <v>17211</v>
      </c>
      <c r="C1707" s="137">
        <v>111756</v>
      </c>
      <c r="D1707" s="136" t="s">
        <v>15358</v>
      </c>
      <c r="E1707" s="138">
        <v>3346.4</v>
      </c>
      <c r="F1707" s="145">
        <v>42868</v>
      </c>
      <c r="G1707" s="140">
        <v>3346.4</v>
      </c>
      <c r="H1707" s="138">
        <f t="shared" si="27"/>
        <v>0</v>
      </c>
      <c r="I1707" s="141" t="s">
        <v>15214</v>
      </c>
    </row>
    <row r="1708" spans="1:9" x14ac:dyDescent="0.25">
      <c r="A1708" s="135">
        <v>42868</v>
      </c>
      <c r="B1708" s="142" t="s">
        <v>17212</v>
      </c>
      <c r="C1708" s="143">
        <v>111757</v>
      </c>
      <c r="D1708" s="142" t="s">
        <v>15315</v>
      </c>
      <c r="E1708" s="144">
        <v>2941.2</v>
      </c>
      <c r="F1708" s="145">
        <v>42868</v>
      </c>
      <c r="G1708" s="146">
        <v>2941.2</v>
      </c>
      <c r="H1708" s="138">
        <f t="shared" si="27"/>
        <v>0</v>
      </c>
      <c r="I1708" s="147" t="s">
        <v>15214</v>
      </c>
    </row>
    <row r="1709" spans="1:9" x14ac:dyDescent="0.25">
      <c r="A1709" s="135">
        <v>42868</v>
      </c>
      <c r="B1709" s="136" t="s">
        <v>17213</v>
      </c>
      <c r="C1709" s="137">
        <v>111758</v>
      </c>
      <c r="D1709" s="136" t="s">
        <v>15336</v>
      </c>
      <c r="E1709" s="138">
        <v>10377.6</v>
      </c>
      <c r="F1709" s="145">
        <v>42868</v>
      </c>
      <c r="G1709" s="140">
        <v>10377.6</v>
      </c>
      <c r="H1709" s="138">
        <f t="shared" si="27"/>
        <v>0</v>
      </c>
      <c r="I1709" s="141" t="s">
        <v>15214</v>
      </c>
    </row>
    <row r="1710" spans="1:9" x14ac:dyDescent="0.25">
      <c r="A1710" s="135">
        <v>42868</v>
      </c>
      <c r="B1710" s="142" t="s">
        <v>17214</v>
      </c>
      <c r="C1710" s="143">
        <v>111759</v>
      </c>
      <c r="D1710" s="142" t="s">
        <v>15342</v>
      </c>
      <c r="E1710" s="144">
        <v>1862.7</v>
      </c>
      <c r="F1710" s="145">
        <v>42868</v>
      </c>
      <c r="G1710" s="146">
        <v>1862.7</v>
      </c>
      <c r="H1710" s="138">
        <f t="shared" si="27"/>
        <v>0</v>
      </c>
      <c r="I1710" s="147" t="s">
        <v>15214</v>
      </c>
    </row>
    <row r="1711" spans="1:9" x14ac:dyDescent="0.25">
      <c r="A1711" s="135">
        <v>42868</v>
      </c>
      <c r="B1711" s="136" t="s">
        <v>17215</v>
      </c>
      <c r="C1711" s="137">
        <v>111760</v>
      </c>
      <c r="D1711" s="136" t="s">
        <v>15514</v>
      </c>
      <c r="E1711" s="138">
        <v>3002</v>
      </c>
      <c r="F1711" s="157">
        <v>42888</v>
      </c>
      <c r="G1711" s="158">
        <v>3002</v>
      </c>
      <c r="H1711" s="138">
        <f t="shared" si="27"/>
        <v>0</v>
      </c>
      <c r="I1711" s="141" t="s">
        <v>15214</v>
      </c>
    </row>
    <row r="1712" spans="1:9" x14ac:dyDescent="0.25">
      <c r="A1712" s="135">
        <v>42868</v>
      </c>
      <c r="B1712" s="142" t="s">
        <v>17216</v>
      </c>
      <c r="C1712" s="143">
        <v>111761</v>
      </c>
      <c r="D1712" s="142" t="s">
        <v>15398</v>
      </c>
      <c r="E1712" s="144">
        <v>1175.8</v>
      </c>
      <c r="F1712" s="145">
        <v>42868</v>
      </c>
      <c r="G1712" s="146">
        <v>1175.8</v>
      </c>
      <c r="H1712" s="138">
        <f t="shared" si="27"/>
        <v>0</v>
      </c>
      <c r="I1712" s="147" t="s">
        <v>15214</v>
      </c>
    </row>
    <row r="1713" spans="1:9" x14ac:dyDescent="0.25">
      <c r="A1713" s="135">
        <v>42868</v>
      </c>
      <c r="B1713" s="136" t="s">
        <v>17217</v>
      </c>
      <c r="C1713" s="137">
        <v>111762</v>
      </c>
      <c r="D1713" s="136" t="s">
        <v>15328</v>
      </c>
      <c r="E1713" s="138">
        <v>35329.480000000003</v>
      </c>
      <c r="F1713" s="139">
        <v>42880</v>
      </c>
      <c r="G1713" s="140">
        <v>35329.480000000003</v>
      </c>
      <c r="H1713" s="138">
        <f t="shared" si="27"/>
        <v>0</v>
      </c>
      <c r="I1713" s="141" t="s">
        <v>15214</v>
      </c>
    </row>
    <row r="1714" spans="1:9" x14ac:dyDescent="0.25">
      <c r="A1714" s="135">
        <v>42868</v>
      </c>
      <c r="B1714" s="142" t="s">
        <v>17218</v>
      </c>
      <c r="C1714" s="143">
        <v>111763</v>
      </c>
      <c r="D1714" s="142" t="s">
        <v>15861</v>
      </c>
      <c r="E1714" s="144">
        <v>2738.4</v>
      </c>
      <c r="F1714" s="145">
        <v>42868</v>
      </c>
      <c r="G1714" s="146">
        <v>2738.4</v>
      </c>
      <c r="H1714" s="138">
        <f t="shared" si="27"/>
        <v>0</v>
      </c>
      <c r="I1714" s="147" t="s">
        <v>15214</v>
      </c>
    </row>
    <row r="1715" spans="1:9" x14ac:dyDescent="0.25">
      <c r="A1715" s="135">
        <v>42868</v>
      </c>
      <c r="B1715" s="136" t="s">
        <v>17219</v>
      </c>
      <c r="C1715" s="137">
        <v>111764</v>
      </c>
      <c r="D1715" s="136" t="s">
        <v>15742</v>
      </c>
      <c r="E1715" s="138">
        <v>1675.2</v>
      </c>
      <c r="F1715" s="145">
        <v>42868</v>
      </c>
      <c r="G1715" s="140">
        <v>1675.2</v>
      </c>
      <c r="H1715" s="138">
        <f t="shared" si="27"/>
        <v>0</v>
      </c>
      <c r="I1715" s="141" t="s">
        <v>15214</v>
      </c>
    </row>
    <row r="1716" spans="1:9" x14ac:dyDescent="0.25">
      <c r="A1716" s="135">
        <v>42868</v>
      </c>
      <c r="B1716" s="142" t="s">
        <v>17220</v>
      </c>
      <c r="C1716" s="143">
        <v>111765</v>
      </c>
      <c r="D1716" s="142" t="s">
        <v>15240</v>
      </c>
      <c r="E1716" s="144">
        <v>210.8</v>
      </c>
      <c r="F1716" s="145">
        <v>42868</v>
      </c>
      <c r="G1716" s="146">
        <v>210.8</v>
      </c>
      <c r="H1716" s="138">
        <f t="shared" si="27"/>
        <v>0</v>
      </c>
      <c r="I1716" s="147" t="s">
        <v>15214</v>
      </c>
    </row>
    <row r="1717" spans="1:9" x14ac:dyDescent="0.25">
      <c r="A1717" s="135">
        <v>42868</v>
      </c>
      <c r="B1717" s="136" t="s">
        <v>17221</v>
      </c>
      <c r="C1717" s="137">
        <v>111766</v>
      </c>
      <c r="D1717" s="136" t="s">
        <v>15261</v>
      </c>
      <c r="E1717" s="138">
        <v>33107.199999999997</v>
      </c>
      <c r="F1717" s="145">
        <v>42868</v>
      </c>
      <c r="G1717" s="140">
        <v>33107.199999999997</v>
      </c>
      <c r="H1717" s="138">
        <f t="shared" si="27"/>
        <v>0</v>
      </c>
      <c r="I1717" s="141" t="s">
        <v>15214</v>
      </c>
    </row>
    <row r="1718" spans="1:9" x14ac:dyDescent="0.25">
      <c r="A1718" s="135">
        <v>42868</v>
      </c>
      <c r="B1718" s="142" t="s">
        <v>17222</v>
      </c>
      <c r="C1718" s="143">
        <v>111767</v>
      </c>
      <c r="D1718" s="142" t="s">
        <v>15248</v>
      </c>
      <c r="E1718" s="144">
        <v>26460.9</v>
      </c>
      <c r="F1718" s="145">
        <v>42868</v>
      </c>
      <c r="G1718" s="146">
        <v>26460.9</v>
      </c>
      <c r="H1718" s="138">
        <f t="shared" si="27"/>
        <v>0</v>
      </c>
      <c r="I1718" s="147" t="s">
        <v>15214</v>
      </c>
    </row>
    <row r="1719" spans="1:9" x14ac:dyDescent="0.25">
      <c r="A1719" s="135">
        <v>42868</v>
      </c>
      <c r="B1719" s="136" t="s">
        <v>17223</v>
      </c>
      <c r="C1719" s="137">
        <v>111768</v>
      </c>
      <c r="D1719" s="136" t="s">
        <v>15514</v>
      </c>
      <c r="E1719" s="138">
        <v>416</v>
      </c>
      <c r="F1719" s="139">
        <v>42871</v>
      </c>
      <c r="G1719" s="140">
        <v>416</v>
      </c>
      <c r="H1719" s="138">
        <f t="shared" si="27"/>
        <v>0</v>
      </c>
      <c r="I1719" s="141" t="s">
        <v>15214</v>
      </c>
    </row>
    <row r="1720" spans="1:9" x14ac:dyDescent="0.25">
      <c r="A1720" s="135">
        <v>42868</v>
      </c>
      <c r="B1720" s="142" t="s">
        <v>17224</v>
      </c>
      <c r="C1720" s="143">
        <v>111769</v>
      </c>
      <c r="D1720" s="142" t="s">
        <v>15332</v>
      </c>
      <c r="E1720" s="144">
        <v>4397.8</v>
      </c>
      <c r="F1720" s="145">
        <v>42868</v>
      </c>
      <c r="G1720" s="146">
        <v>4397.8</v>
      </c>
      <c r="H1720" s="138">
        <f t="shared" si="27"/>
        <v>0</v>
      </c>
      <c r="I1720" s="147" t="s">
        <v>15214</v>
      </c>
    </row>
    <row r="1721" spans="1:9" x14ac:dyDescent="0.25">
      <c r="A1721" s="135">
        <v>42868</v>
      </c>
      <c r="B1721" s="136" t="s">
        <v>17225</v>
      </c>
      <c r="C1721" s="137">
        <v>111770</v>
      </c>
      <c r="D1721" s="136" t="s">
        <v>15920</v>
      </c>
      <c r="E1721" s="138">
        <v>21316</v>
      </c>
      <c r="F1721" s="139">
        <v>42872</v>
      </c>
      <c r="G1721" s="140">
        <v>21316</v>
      </c>
      <c r="H1721" s="138">
        <f t="shared" si="27"/>
        <v>0</v>
      </c>
      <c r="I1721" s="141" t="s">
        <v>15214</v>
      </c>
    </row>
    <row r="1722" spans="1:9" x14ac:dyDescent="0.25">
      <c r="A1722" s="135">
        <v>42868</v>
      </c>
      <c r="B1722" s="142" t="s">
        <v>17226</v>
      </c>
      <c r="C1722" s="143">
        <v>111771</v>
      </c>
      <c r="D1722" s="142" t="s">
        <v>15782</v>
      </c>
      <c r="E1722" s="144">
        <v>1269.5999999999999</v>
      </c>
      <c r="F1722" s="145">
        <v>42870</v>
      </c>
      <c r="G1722" s="146">
        <v>1269.5999999999999</v>
      </c>
      <c r="H1722" s="138">
        <f t="shared" si="27"/>
        <v>0</v>
      </c>
      <c r="I1722" s="147" t="s">
        <v>15214</v>
      </c>
    </row>
    <row r="1723" spans="1:9" x14ac:dyDescent="0.25">
      <c r="A1723" s="135">
        <v>42868</v>
      </c>
      <c r="B1723" s="136" t="s">
        <v>17227</v>
      </c>
      <c r="C1723" s="137">
        <v>111772</v>
      </c>
      <c r="D1723" s="136" t="s">
        <v>15417</v>
      </c>
      <c r="E1723" s="138">
        <v>4657.7</v>
      </c>
      <c r="F1723" s="139">
        <v>42870</v>
      </c>
      <c r="G1723" s="140">
        <v>4657.7</v>
      </c>
      <c r="H1723" s="138">
        <f t="shared" si="27"/>
        <v>0</v>
      </c>
      <c r="I1723" s="141" t="s">
        <v>15214</v>
      </c>
    </row>
    <row r="1724" spans="1:9" x14ac:dyDescent="0.25">
      <c r="A1724" s="135">
        <v>42868</v>
      </c>
      <c r="B1724" s="142" t="s">
        <v>17228</v>
      </c>
      <c r="C1724" s="143">
        <v>111773</v>
      </c>
      <c r="D1724" s="142" t="s">
        <v>15307</v>
      </c>
      <c r="E1724" s="144">
        <v>3393.5</v>
      </c>
      <c r="F1724" s="145">
        <v>42870</v>
      </c>
      <c r="G1724" s="146">
        <v>3393.5</v>
      </c>
      <c r="H1724" s="138">
        <f t="shared" si="27"/>
        <v>0</v>
      </c>
      <c r="I1724" s="147" t="s">
        <v>15214</v>
      </c>
    </row>
    <row r="1725" spans="1:9" x14ac:dyDescent="0.25">
      <c r="A1725" s="135">
        <v>42868</v>
      </c>
      <c r="B1725" s="136" t="s">
        <v>17229</v>
      </c>
      <c r="C1725" s="137">
        <v>111774</v>
      </c>
      <c r="D1725" s="136" t="s">
        <v>15291</v>
      </c>
      <c r="E1725" s="138">
        <v>864</v>
      </c>
      <c r="F1725" s="139">
        <v>42870</v>
      </c>
      <c r="G1725" s="140">
        <v>864</v>
      </c>
      <c r="H1725" s="138">
        <f t="shared" si="27"/>
        <v>0</v>
      </c>
      <c r="I1725" s="141" t="s">
        <v>15214</v>
      </c>
    </row>
    <row r="1726" spans="1:9" x14ac:dyDescent="0.25">
      <c r="A1726" s="135">
        <v>42868</v>
      </c>
      <c r="B1726" s="142" t="s">
        <v>17230</v>
      </c>
      <c r="C1726" s="143">
        <v>111775</v>
      </c>
      <c r="D1726" s="142" t="s">
        <v>15311</v>
      </c>
      <c r="E1726" s="144">
        <v>2958</v>
      </c>
      <c r="F1726" s="145">
        <v>42870</v>
      </c>
      <c r="G1726" s="146">
        <v>2958</v>
      </c>
      <c r="H1726" s="138">
        <f t="shared" si="27"/>
        <v>0</v>
      </c>
      <c r="I1726" s="147" t="s">
        <v>15214</v>
      </c>
    </row>
    <row r="1727" spans="1:9" x14ac:dyDescent="0.25">
      <c r="A1727" s="135">
        <v>42868</v>
      </c>
      <c r="B1727" s="136" t="s">
        <v>17231</v>
      </c>
      <c r="C1727" s="137">
        <v>111776</v>
      </c>
      <c r="D1727" s="136" t="s">
        <v>15301</v>
      </c>
      <c r="E1727" s="138">
        <v>3100.4</v>
      </c>
      <c r="F1727" s="139">
        <v>42870</v>
      </c>
      <c r="G1727" s="140">
        <v>3100.4</v>
      </c>
      <c r="H1727" s="138">
        <f t="shared" si="27"/>
        <v>0</v>
      </c>
      <c r="I1727" s="141" t="s">
        <v>15214</v>
      </c>
    </row>
    <row r="1728" spans="1:9" x14ac:dyDescent="0.25">
      <c r="A1728" s="135">
        <v>42868</v>
      </c>
      <c r="B1728" s="142" t="s">
        <v>17232</v>
      </c>
      <c r="C1728" s="143">
        <v>111777</v>
      </c>
      <c r="D1728" s="142" t="s">
        <v>15301</v>
      </c>
      <c r="E1728" s="144">
        <v>2730</v>
      </c>
      <c r="F1728" s="145">
        <v>42870</v>
      </c>
      <c r="G1728" s="146">
        <v>2730</v>
      </c>
      <c r="H1728" s="138">
        <f t="shared" si="27"/>
        <v>0</v>
      </c>
      <c r="I1728" s="147" t="s">
        <v>15214</v>
      </c>
    </row>
    <row r="1729" spans="1:9" x14ac:dyDescent="0.25">
      <c r="A1729" s="135">
        <v>42868</v>
      </c>
      <c r="B1729" s="136" t="s">
        <v>17233</v>
      </c>
      <c r="C1729" s="137">
        <v>111778</v>
      </c>
      <c r="D1729" s="136" t="s">
        <v>15748</v>
      </c>
      <c r="E1729" s="138">
        <v>2662.2</v>
      </c>
      <c r="F1729" s="139">
        <v>42872</v>
      </c>
      <c r="G1729" s="140">
        <v>2662.2</v>
      </c>
      <c r="H1729" s="138">
        <f t="shared" si="27"/>
        <v>0</v>
      </c>
      <c r="I1729" s="141" t="s">
        <v>15214</v>
      </c>
    </row>
    <row r="1730" spans="1:9" ht="15.75" x14ac:dyDescent="0.25">
      <c r="A1730" s="135">
        <v>42868</v>
      </c>
      <c r="B1730" s="142" t="s">
        <v>17234</v>
      </c>
      <c r="C1730" s="143">
        <v>111779</v>
      </c>
      <c r="D1730" s="142" t="s">
        <v>17235</v>
      </c>
      <c r="E1730" s="144">
        <v>0</v>
      </c>
      <c r="F1730" s="156" t="s">
        <v>95</v>
      </c>
      <c r="G1730" s="144">
        <v>0</v>
      </c>
      <c r="H1730" s="138">
        <f t="shared" si="27"/>
        <v>0</v>
      </c>
      <c r="I1730" s="147" t="s">
        <v>95</v>
      </c>
    </row>
    <row r="1731" spans="1:9" x14ac:dyDescent="0.25">
      <c r="A1731" s="135">
        <v>42868</v>
      </c>
      <c r="B1731" s="136" t="s">
        <v>17236</v>
      </c>
      <c r="C1731" s="137">
        <v>111780</v>
      </c>
      <c r="D1731" s="136" t="s">
        <v>17235</v>
      </c>
      <c r="E1731" s="138">
        <v>1062.3599999999999</v>
      </c>
      <c r="F1731" s="139">
        <v>42870</v>
      </c>
      <c r="G1731" s="140">
        <v>1062.3599999999999</v>
      </c>
      <c r="H1731" s="138">
        <f t="shared" si="27"/>
        <v>0</v>
      </c>
      <c r="I1731" s="141" t="s">
        <v>15214</v>
      </c>
    </row>
    <row r="1732" spans="1:9" x14ac:dyDescent="0.25">
      <c r="A1732" s="135">
        <v>42868</v>
      </c>
      <c r="B1732" s="142" t="s">
        <v>17237</v>
      </c>
      <c r="C1732" s="143">
        <v>111781</v>
      </c>
      <c r="D1732" s="142" t="s">
        <v>15559</v>
      </c>
      <c r="E1732" s="144">
        <v>10464.450000000001</v>
      </c>
      <c r="F1732" s="145">
        <v>42872</v>
      </c>
      <c r="G1732" s="146">
        <v>10464.450000000001</v>
      </c>
      <c r="H1732" s="138">
        <f t="shared" ref="H1732:H1795" si="28">E1732-G1732</f>
        <v>0</v>
      </c>
      <c r="I1732" s="147" t="s">
        <v>15214</v>
      </c>
    </row>
    <row r="1733" spans="1:9" x14ac:dyDescent="0.25">
      <c r="A1733" s="135">
        <v>42868</v>
      </c>
      <c r="B1733" s="136" t="s">
        <v>17238</v>
      </c>
      <c r="C1733" s="137">
        <v>111782</v>
      </c>
      <c r="D1733" s="136" t="s">
        <v>15566</v>
      </c>
      <c r="E1733" s="138">
        <v>2841.6</v>
      </c>
      <c r="F1733" s="139">
        <v>42868</v>
      </c>
      <c r="G1733" s="140">
        <v>2841.6</v>
      </c>
      <c r="H1733" s="138">
        <f t="shared" si="28"/>
        <v>0</v>
      </c>
      <c r="I1733" s="141" t="s">
        <v>15214</v>
      </c>
    </row>
    <row r="1734" spans="1:9" x14ac:dyDescent="0.25">
      <c r="A1734" s="135">
        <v>42868</v>
      </c>
      <c r="B1734" s="142" t="s">
        <v>17239</v>
      </c>
      <c r="C1734" s="143">
        <v>111783</v>
      </c>
      <c r="D1734" s="142" t="s">
        <v>15276</v>
      </c>
      <c r="E1734" s="144">
        <v>4800</v>
      </c>
      <c r="F1734" s="145">
        <v>42870</v>
      </c>
      <c r="G1734" s="146">
        <v>4800</v>
      </c>
      <c r="H1734" s="138">
        <f t="shared" si="28"/>
        <v>0</v>
      </c>
      <c r="I1734" s="147" t="s">
        <v>15214</v>
      </c>
    </row>
    <row r="1735" spans="1:9" x14ac:dyDescent="0.25">
      <c r="A1735" s="135">
        <v>42868</v>
      </c>
      <c r="B1735" s="136" t="s">
        <v>17240</v>
      </c>
      <c r="C1735" s="137">
        <v>111784</v>
      </c>
      <c r="D1735" s="136" t="s">
        <v>15396</v>
      </c>
      <c r="E1735" s="138">
        <v>5155.2</v>
      </c>
      <c r="F1735" s="139">
        <v>42868</v>
      </c>
      <c r="G1735" s="140">
        <v>5155.2</v>
      </c>
      <c r="H1735" s="138">
        <f t="shared" si="28"/>
        <v>0</v>
      </c>
      <c r="I1735" s="141" t="s">
        <v>15214</v>
      </c>
    </row>
    <row r="1736" spans="1:9" x14ac:dyDescent="0.25">
      <c r="A1736" s="135">
        <v>42868</v>
      </c>
      <c r="B1736" s="142" t="s">
        <v>17241</v>
      </c>
      <c r="C1736" s="143">
        <v>111785</v>
      </c>
      <c r="D1736" s="142" t="s">
        <v>15313</v>
      </c>
      <c r="E1736" s="144">
        <v>4296.3999999999996</v>
      </c>
      <c r="F1736" s="145">
        <v>42871</v>
      </c>
      <c r="G1736" s="146">
        <v>4296.3999999999996</v>
      </c>
      <c r="H1736" s="138">
        <f t="shared" si="28"/>
        <v>0</v>
      </c>
      <c r="I1736" s="147" t="s">
        <v>15214</v>
      </c>
    </row>
    <row r="1737" spans="1:9" x14ac:dyDescent="0.25">
      <c r="A1737" s="135">
        <v>42868</v>
      </c>
      <c r="B1737" s="136" t="s">
        <v>17242</v>
      </c>
      <c r="C1737" s="137">
        <v>111786</v>
      </c>
      <c r="D1737" s="136" t="s">
        <v>15326</v>
      </c>
      <c r="E1737" s="138">
        <v>2862</v>
      </c>
      <c r="F1737" s="139">
        <v>42868</v>
      </c>
      <c r="G1737" s="140">
        <v>2862</v>
      </c>
      <c r="H1737" s="138">
        <f t="shared" si="28"/>
        <v>0</v>
      </c>
      <c r="I1737" s="141" t="s">
        <v>15214</v>
      </c>
    </row>
    <row r="1738" spans="1:9" ht="15.75" x14ac:dyDescent="0.25">
      <c r="A1738" s="135">
        <v>42868</v>
      </c>
      <c r="B1738" s="142" t="s">
        <v>17243</v>
      </c>
      <c r="C1738" s="143">
        <v>111787</v>
      </c>
      <c r="D1738" s="142" t="s">
        <v>15365</v>
      </c>
      <c r="E1738" s="144">
        <v>0</v>
      </c>
      <c r="F1738" s="156" t="s">
        <v>95</v>
      </c>
      <c r="G1738" s="144">
        <v>0</v>
      </c>
      <c r="H1738" s="138">
        <f t="shared" si="28"/>
        <v>0</v>
      </c>
      <c r="I1738" s="147" t="s">
        <v>95</v>
      </c>
    </row>
    <row r="1739" spans="1:9" x14ac:dyDescent="0.25">
      <c r="A1739" s="135">
        <v>42868</v>
      </c>
      <c r="B1739" s="136" t="s">
        <v>17244</v>
      </c>
      <c r="C1739" s="137">
        <v>111788</v>
      </c>
      <c r="D1739" s="136" t="s">
        <v>15642</v>
      </c>
      <c r="E1739" s="138">
        <v>2375</v>
      </c>
      <c r="F1739" s="139">
        <v>42868</v>
      </c>
      <c r="G1739" s="140">
        <v>2375</v>
      </c>
      <c r="H1739" s="138">
        <f t="shared" si="28"/>
        <v>0</v>
      </c>
      <c r="I1739" s="141" t="s">
        <v>15214</v>
      </c>
    </row>
    <row r="1740" spans="1:9" x14ac:dyDescent="0.25">
      <c r="A1740" s="135">
        <v>42868</v>
      </c>
      <c r="B1740" s="142" t="s">
        <v>17245</v>
      </c>
      <c r="C1740" s="143">
        <v>111789</v>
      </c>
      <c r="D1740" s="142" t="s">
        <v>15294</v>
      </c>
      <c r="E1740" s="144">
        <v>864</v>
      </c>
      <c r="F1740" s="145">
        <v>42868</v>
      </c>
      <c r="G1740" s="146">
        <v>864</v>
      </c>
      <c r="H1740" s="138">
        <f t="shared" si="28"/>
        <v>0</v>
      </c>
      <c r="I1740" s="147" t="s">
        <v>15214</v>
      </c>
    </row>
    <row r="1741" spans="1:9" x14ac:dyDescent="0.25">
      <c r="A1741" s="135">
        <v>42868</v>
      </c>
      <c r="B1741" s="136" t="s">
        <v>17246</v>
      </c>
      <c r="C1741" s="137">
        <v>111790</v>
      </c>
      <c r="D1741" s="136" t="s">
        <v>15365</v>
      </c>
      <c r="E1741" s="138">
        <v>17563.5</v>
      </c>
      <c r="F1741" s="139">
        <v>42875</v>
      </c>
      <c r="G1741" s="140">
        <v>17563.5</v>
      </c>
      <c r="H1741" s="138">
        <f t="shared" si="28"/>
        <v>0</v>
      </c>
      <c r="I1741" s="141" t="s">
        <v>15214</v>
      </c>
    </row>
    <row r="1742" spans="1:9" x14ac:dyDescent="0.25">
      <c r="A1742" s="135">
        <v>42868</v>
      </c>
      <c r="B1742" s="142" t="s">
        <v>17247</v>
      </c>
      <c r="C1742" s="143">
        <v>111791</v>
      </c>
      <c r="D1742" s="142" t="s">
        <v>15716</v>
      </c>
      <c r="E1742" s="144">
        <v>11406.15</v>
      </c>
      <c r="F1742" s="145">
        <v>42868</v>
      </c>
      <c r="G1742" s="146">
        <v>11406.15</v>
      </c>
      <c r="H1742" s="138">
        <f t="shared" si="28"/>
        <v>0</v>
      </c>
      <c r="I1742" s="147" t="s">
        <v>15214</v>
      </c>
    </row>
    <row r="1743" spans="1:9" x14ac:dyDescent="0.25">
      <c r="A1743" s="135">
        <v>42868</v>
      </c>
      <c r="B1743" s="136" t="s">
        <v>17248</v>
      </c>
      <c r="C1743" s="137">
        <v>111792</v>
      </c>
      <c r="D1743" s="136" t="s">
        <v>15322</v>
      </c>
      <c r="E1743" s="138">
        <v>4443.6000000000004</v>
      </c>
      <c r="F1743" s="139">
        <v>42868</v>
      </c>
      <c r="G1743" s="140">
        <v>4443.6000000000004</v>
      </c>
      <c r="H1743" s="138">
        <f t="shared" si="28"/>
        <v>0</v>
      </c>
      <c r="I1743" s="141" t="s">
        <v>15214</v>
      </c>
    </row>
    <row r="1744" spans="1:9" x14ac:dyDescent="0.25">
      <c r="A1744" s="135">
        <v>42868</v>
      </c>
      <c r="B1744" s="142" t="s">
        <v>17249</v>
      </c>
      <c r="C1744" s="143">
        <v>111793</v>
      </c>
      <c r="D1744" s="142" t="s">
        <v>15590</v>
      </c>
      <c r="E1744" s="144">
        <v>48815.199999999997</v>
      </c>
      <c r="F1744" s="145">
        <v>42880</v>
      </c>
      <c r="G1744" s="146">
        <v>48815.199999999997</v>
      </c>
      <c r="H1744" s="138">
        <f t="shared" si="28"/>
        <v>0</v>
      </c>
      <c r="I1744" s="147" t="s">
        <v>15214</v>
      </c>
    </row>
    <row r="1745" spans="1:9" x14ac:dyDescent="0.25">
      <c r="A1745" s="135">
        <v>42868</v>
      </c>
      <c r="B1745" s="136" t="s">
        <v>17250</v>
      </c>
      <c r="C1745" s="137">
        <v>111794</v>
      </c>
      <c r="D1745" s="136" t="s">
        <v>15365</v>
      </c>
      <c r="E1745" s="138">
        <v>22706.6</v>
      </c>
      <c r="F1745" s="139">
        <v>43603</v>
      </c>
      <c r="G1745" s="140">
        <v>22706.6</v>
      </c>
      <c r="H1745" s="138">
        <f t="shared" si="28"/>
        <v>0</v>
      </c>
      <c r="I1745" s="141" t="s">
        <v>15214</v>
      </c>
    </row>
    <row r="1746" spans="1:9" x14ac:dyDescent="0.25">
      <c r="A1746" s="135">
        <v>42868</v>
      </c>
      <c r="B1746" s="142" t="s">
        <v>17251</v>
      </c>
      <c r="C1746" s="143">
        <v>111795</v>
      </c>
      <c r="D1746" s="142" t="s">
        <v>15278</v>
      </c>
      <c r="E1746" s="144">
        <v>997.12</v>
      </c>
      <c r="F1746" s="145">
        <v>42870</v>
      </c>
      <c r="G1746" s="146">
        <v>997.12</v>
      </c>
      <c r="H1746" s="138">
        <f t="shared" si="28"/>
        <v>0</v>
      </c>
      <c r="I1746" s="147" t="s">
        <v>15214</v>
      </c>
    </row>
    <row r="1747" spans="1:9" x14ac:dyDescent="0.25">
      <c r="A1747" s="135">
        <v>42868</v>
      </c>
      <c r="B1747" s="136" t="s">
        <v>17252</v>
      </c>
      <c r="C1747" s="137">
        <v>111796</v>
      </c>
      <c r="D1747" s="136" t="s">
        <v>15628</v>
      </c>
      <c r="E1747" s="138">
        <v>8778.4</v>
      </c>
      <c r="F1747" s="139">
        <v>42868</v>
      </c>
      <c r="G1747" s="140">
        <v>8778.4</v>
      </c>
      <c r="H1747" s="138">
        <f t="shared" si="28"/>
        <v>0</v>
      </c>
      <c r="I1747" s="141" t="s">
        <v>15214</v>
      </c>
    </row>
    <row r="1748" spans="1:9" x14ac:dyDescent="0.25">
      <c r="A1748" s="135">
        <v>42868</v>
      </c>
      <c r="B1748" s="142" t="s">
        <v>17253</v>
      </c>
      <c r="C1748" s="143">
        <v>111797</v>
      </c>
      <c r="D1748" s="142" t="s">
        <v>15267</v>
      </c>
      <c r="E1748" s="144">
        <v>52077.64</v>
      </c>
      <c r="F1748" s="148">
        <v>42892</v>
      </c>
      <c r="G1748" s="149">
        <v>52077.64</v>
      </c>
      <c r="H1748" s="138">
        <f t="shared" si="28"/>
        <v>0</v>
      </c>
      <c r="I1748" s="147" t="s">
        <v>15214</v>
      </c>
    </row>
    <row r="1749" spans="1:9" x14ac:dyDescent="0.25">
      <c r="A1749" s="135">
        <v>42868</v>
      </c>
      <c r="B1749" s="136" t="s">
        <v>17254</v>
      </c>
      <c r="C1749" s="137">
        <v>111798</v>
      </c>
      <c r="D1749" s="136" t="s">
        <v>15444</v>
      </c>
      <c r="E1749" s="138">
        <v>2168.4</v>
      </c>
      <c r="F1749" s="139">
        <v>42870</v>
      </c>
      <c r="G1749" s="140">
        <v>2168.4</v>
      </c>
      <c r="H1749" s="138">
        <f t="shared" si="28"/>
        <v>0</v>
      </c>
      <c r="I1749" s="141" t="s">
        <v>15214</v>
      </c>
    </row>
    <row r="1750" spans="1:9" x14ac:dyDescent="0.25">
      <c r="A1750" s="135">
        <v>42868</v>
      </c>
      <c r="B1750" s="142" t="s">
        <v>17255</v>
      </c>
      <c r="C1750" s="143">
        <v>111799</v>
      </c>
      <c r="D1750" s="142" t="s">
        <v>15541</v>
      </c>
      <c r="E1750" s="144">
        <v>3114.8</v>
      </c>
      <c r="F1750" s="145">
        <v>42870</v>
      </c>
      <c r="G1750" s="146">
        <v>3114.8</v>
      </c>
      <c r="H1750" s="138">
        <f t="shared" si="28"/>
        <v>0</v>
      </c>
      <c r="I1750" s="147" t="s">
        <v>15214</v>
      </c>
    </row>
    <row r="1751" spans="1:9" x14ac:dyDescent="0.25">
      <c r="A1751" s="135">
        <v>42868</v>
      </c>
      <c r="B1751" s="136" t="s">
        <v>17256</v>
      </c>
      <c r="C1751" s="137">
        <v>111800</v>
      </c>
      <c r="D1751" s="136" t="s">
        <v>15263</v>
      </c>
      <c r="E1751" s="138">
        <v>586</v>
      </c>
      <c r="F1751" s="139">
        <v>42868</v>
      </c>
      <c r="G1751" s="140">
        <v>586</v>
      </c>
      <c r="H1751" s="138">
        <f t="shared" si="28"/>
        <v>0</v>
      </c>
      <c r="I1751" s="141" t="s">
        <v>15214</v>
      </c>
    </row>
    <row r="1752" spans="1:9" x14ac:dyDescent="0.25">
      <c r="A1752" s="135">
        <v>42868</v>
      </c>
      <c r="B1752" s="142" t="s">
        <v>17257</v>
      </c>
      <c r="C1752" s="143">
        <v>111801</v>
      </c>
      <c r="D1752" s="142" t="s">
        <v>15617</v>
      </c>
      <c r="E1752" s="144">
        <v>28764</v>
      </c>
      <c r="F1752" s="145">
        <v>42868</v>
      </c>
      <c r="G1752" s="146">
        <v>28764</v>
      </c>
      <c r="H1752" s="138">
        <f t="shared" si="28"/>
        <v>0</v>
      </c>
      <c r="I1752" s="147" t="s">
        <v>15214</v>
      </c>
    </row>
    <row r="1753" spans="1:9" x14ac:dyDescent="0.25">
      <c r="A1753" s="135">
        <v>42868</v>
      </c>
      <c r="B1753" s="136" t="s">
        <v>17258</v>
      </c>
      <c r="C1753" s="137">
        <v>111802</v>
      </c>
      <c r="D1753" s="136" t="s">
        <v>15884</v>
      </c>
      <c r="E1753" s="138">
        <v>310</v>
      </c>
      <c r="F1753" s="139">
        <v>42868</v>
      </c>
      <c r="G1753" s="140">
        <v>310</v>
      </c>
      <c r="H1753" s="138">
        <f t="shared" si="28"/>
        <v>0</v>
      </c>
      <c r="I1753" s="141" t="s">
        <v>15214</v>
      </c>
    </row>
    <row r="1754" spans="1:9" x14ac:dyDescent="0.25">
      <c r="A1754" s="135">
        <v>42868</v>
      </c>
      <c r="B1754" s="142" t="s">
        <v>17259</v>
      </c>
      <c r="C1754" s="143">
        <v>111803</v>
      </c>
      <c r="D1754" s="142" t="s">
        <v>15315</v>
      </c>
      <c r="E1754" s="144">
        <v>847.7</v>
      </c>
      <c r="F1754" s="145">
        <v>42868</v>
      </c>
      <c r="G1754" s="146">
        <v>847.7</v>
      </c>
      <c r="H1754" s="138">
        <f t="shared" si="28"/>
        <v>0</v>
      </c>
      <c r="I1754" s="147" t="s">
        <v>15214</v>
      </c>
    </row>
    <row r="1755" spans="1:9" x14ac:dyDescent="0.25">
      <c r="A1755" s="135">
        <v>42868</v>
      </c>
      <c r="B1755" s="136" t="s">
        <v>17260</v>
      </c>
      <c r="C1755" s="137">
        <v>111804</v>
      </c>
      <c r="D1755" s="136" t="s">
        <v>15246</v>
      </c>
      <c r="E1755" s="138">
        <v>280346.7</v>
      </c>
      <c r="F1755" s="139">
        <v>42872</v>
      </c>
      <c r="G1755" s="140">
        <v>280346.7</v>
      </c>
      <c r="H1755" s="138">
        <f t="shared" si="28"/>
        <v>0</v>
      </c>
      <c r="I1755" s="141" t="s">
        <v>15214</v>
      </c>
    </row>
    <row r="1756" spans="1:9" x14ac:dyDescent="0.25">
      <c r="A1756" s="135">
        <v>42868</v>
      </c>
      <c r="B1756" s="142" t="s">
        <v>17261</v>
      </c>
      <c r="C1756" s="143">
        <v>111805</v>
      </c>
      <c r="D1756" s="142" t="s">
        <v>15246</v>
      </c>
      <c r="E1756" s="144">
        <v>62719.66</v>
      </c>
      <c r="F1756" s="145">
        <v>42872</v>
      </c>
      <c r="G1756" s="146">
        <v>62719.66</v>
      </c>
      <c r="H1756" s="138">
        <f t="shared" si="28"/>
        <v>0</v>
      </c>
      <c r="I1756" s="147" t="s">
        <v>15214</v>
      </c>
    </row>
    <row r="1757" spans="1:9" x14ac:dyDescent="0.25">
      <c r="A1757" s="135">
        <v>42868</v>
      </c>
      <c r="B1757" s="136" t="s">
        <v>17262</v>
      </c>
      <c r="C1757" s="137">
        <v>111806</v>
      </c>
      <c r="D1757" s="136" t="s">
        <v>15246</v>
      </c>
      <c r="E1757" s="138">
        <v>3400</v>
      </c>
      <c r="F1757" s="139">
        <v>42872</v>
      </c>
      <c r="G1757" s="140">
        <v>3400</v>
      </c>
      <c r="H1757" s="138">
        <f t="shared" si="28"/>
        <v>0</v>
      </c>
      <c r="I1757" s="141" t="s">
        <v>15214</v>
      </c>
    </row>
    <row r="1758" spans="1:9" x14ac:dyDescent="0.25">
      <c r="A1758" s="135">
        <v>42868</v>
      </c>
      <c r="B1758" s="142" t="s">
        <v>17263</v>
      </c>
      <c r="C1758" s="143">
        <v>111807</v>
      </c>
      <c r="D1758" s="142" t="s">
        <v>15789</v>
      </c>
      <c r="E1758" s="144">
        <v>25707.200000000001</v>
      </c>
      <c r="F1758" s="145">
        <v>42878</v>
      </c>
      <c r="G1758" s="146">
        <v>25707.200000000001</v>
      </c>
      <c r="H1758" s="138">
        <f t="shared" si="28"/>
        <v>0</v>
      </c>
      <c r="I1758" s="147" t="s">
        <v>15214</v>
      </c>
    </row>
    <row r="1759" spans="1:9" x14ac:dyDescent="0.25">
      <c r="A1759" s="135">
        <v>42868</v>
      </c>
      <c r="B1759" s="136" t="s">
        <v>17264</v>
      </c>
      <c r="C1759" s="137">
        <v>111808</v>
      </c>
      <c r="D1759" s="136" t="s">
        <v>15267</v>
      </c>
      <c r="E1759" s="138">
        <v>14445.2</v>
      </c>
      <c r="F1759" s="139">
        <v>42868</v>
      </c>
      <c r="G1759" s="140">
        <v>14445.2</v>
      </c>
      <c r="H1759" s="138">
        <f t="shared" si="28"/>
        <v>0</v>
      </c>
      <c r="I1759" s="141" t="s">
        <v>15214</v>
      </c>
    </row>
    <row r="1760" spans="1:9" x14ac:dyDescent="0.25">
      <c r="A1760" s="135">
        <v>42868</v>
      </c>
      <c r="B1760" s="142" t="s">
        <v>17265</v>
      </c>
      <c r="C1760" s="143">
        <v>111809</v>
      </c>
      <c r="D1760" s="142" t="s">
        <v>15748</v>
      </c>
      <c r="E1760" s="144">
        <v>258</v>
      </c>
      <c r="F1760" s="145">
        <v>42868</v>
      </c>
      <c r="G1760" s="146">
        <v>258</v>
      </c>
      <c r="H1760" s="138">
        <f t="shared" si="28"/>
        <v>0</v>
      </c>
      <c r="I1760" s="147" t="s">
        <v>15214</v>
      </c>
    </row>
    <row r="1761" spans="1:9" x14ac:dyDescent="0.25">
      <c r="A1761" s="135">
        <v>42868</v>
      </c>
      <c r="B1761" s="136" t="s">
        <v>17266</v>
      </c>
      <c r="C1761" s="137">
        <v>111810</v>
      </c>
      <c r="D1761" s="136" t="s">
        <v>15246</v>
      </c>
      <c r="E1761" s="138">
        <v>338427.9</v>
      </c>
      <c r="F1761" s="139">
        <v>42872</v>
      </c>
      <c r="G1761" s="140">
        <v>338427.9</v>
      </c>
      <c r="H1761" s="138">
        <f t="shared" si="28"/>
        <v>0</v>
      </c>
      <c r="I1761" s="141" t="s">
        <v>15214</v>
      </c>
    </row>
    <row r="1762" spans="1:9" x14ac:dyDescent="0.25">
      <c r="A1762" s="135">
        <v>42868</v>
      </c>
      <c r="B1762" s="142" t="s">
        <v>17267</v>
      </c>
      <c r="C1762" s="143">
        <v>111811</v>
      </c>
      <c r="D1762" s="142" t="s">
        <v>15284</v>
      </c>
      <c r="E1762" s="144">
        <v>842.8</v>
      </c>
      <c r="F1762" s="145">
        <v>42868</v>
      </c>
      <c r="G1762" s="146">
        <v>842.8</v>
      </c>
      <c r="H1762" s="138">
        <f t="shared" si="28"/>
        <v>0</v>
      </c>
      <c r="I1762" s="147" t="s">
        <v>15214</v>
      </c>
    </row>
    <row r="1763" spans="1:9" x14ac:dyDescent="0.25">
      <c r="A1763" s="135">
        <v>42868</v>
      </c>
      <c r="B1763" s="136" t="s">
        <v>17268</v>
      </c>
      <c r="C1763" s="137">
        <v>111812</v>
      </c>
      <c r="D1763" s="136" t="s">
        <v>15725</v>
      </c>
      <c r="E1763" s="138">
        <v>15108.8</v>
      </c>
      <c r="F1763" s="145">
        <v>42868</v>
      </c>
      <c r="G1763" s="140">
        <v>15108.8</v>
      </c>
      <c r="H1763" s="138">
        <f t="shared" si="28"/>
        <v>0</v>
      </c>
      <c r="I1763" s="141" t="s">
        <v>15214</v>
      </c>
    </row>
    <row r="1764" spans="1:9" x14ac:dyDescent="0.25">
      <c r="A1764" s="135">
        <v>42868</v>
      </c>
      <c r="B1764" s="142" t="s">
        <v>17269</v>
      </c>
      <c r="C1764" s="143">
        <v>111813</v>
      </c>
      <c r="D1764" s="142" t="s">
        <v>15315</v>
      </c>
      <c r="E1764" s="144">
        <v>452.4</v>
      </c>
      <c r="F1764" s="145">
        <v>42868</v>
      </c>
      <c r="G1764" s="146">
        <v>452.4</v>
      </c>
      <c r="H1764" s="138">
        <f t="shared" si="28"/>
        <v>0</v>
      </c>
      <c r="I1764" s="147" t="s">
        <v>15214</v>
      </c>
    </row>
    <row r="1765" spans="1:9" x14ac:dyDescent="0.25">
      <c r="A1765" s="135">
        <v>42868</v>
      </c>
      <c r="B1765" s="136" t="s">
        <v>17270</v>
      </c>
      <c r="C1765" s="137">
        <v>111814</v>
      </c>
      <c r="D1765" s="136" t="s">
        <v>15322</v>
      </c>
      <c r="E1765" s="138">
        <v>696.6</v>
      </c>
      <c r="F1765" s="145">
        <v>42868</v>
      </c>
      <c r="G1765" s="140">
        <v>696.6</v>
      </c>
      <c r="H1765" s="138">
        <f t="shared" si="28"/>
        <v>0</v>
      </c>
      <c r="I1765" s="141" t="s">
        <v>15214</v>
      </c>
    </row>
    <row r="1766" spans="1:9" x14ac:dyDescent="0.25">
      <c r="A1766" s="135">
        <v>42868</v>
      </c>
      <c r="B1766" s="142" t="s">
        <v>17271</v>
      </c>
      <c r="C1766" s="143">
        <v>111815</v>
      </c>
      <c r="D1766" s="142" t="s">
        <v>15365</v>
      </c>
      <c r="E1766" s="144">
        <v>408785</v>
      </c>
      <c r="F1766" s="145">
        <v>42873</v>
      </c>
      <c r="G1766" s="146">
        <v>408785</v>
      </c>
      <c r="H1766" s="138">
        <f t="shared" si="28"/>
        <v>0</v>
      </c>
      <c r="I1766" s="147" t="s">
        <v>15214</v>
      </c>
    </row>
    <row r="1767" spans="1:9" x14ac:dyDescent="0.25">
      <c r="A1767" s="135">
        <v>42868</v>
      </c>
      <c r="B1767" s="136" t="s">
        <v>17272</v>
      </c>
      <c r="C1767" s="137">
        <v>111816</v>
      </c>
      <c r="D1767" s="136" t="s">
        <v>15642</v>
      </c>
      <c r="E1767" s="138">
        <v>8379</v>
      </c>
      <c r="F1767" s="145">
        <v>42868</v>
      </c>
      <c r="G1767" s="140">
        <v>8379</v>
      </c>
      <c r="H1767" s="138">
        <f t="shared" si="28"/>
        <v>0</v>
      </c>
      <c r="I1767" s="141" t="s">
        <v>15214</v>
      </c>
    </row>
    <row r="1768" spans="1:9" x14ac:dyDescent="0.25">
      <c r="A1768" s="135">
        <v>42868</v>
      </c>
      <c r="B1768" s="142" t="s">
        <v>17273</v>
      </c>
      <c r="C1768" s="143">
        <v>111817</v>
      </c>
      <c r="D1768" s="142" t="s">
        <v>15681</v>
      </c>
      <c r="E1768" s="144">
        <v>2583.6</v>
      </c>
      <c r="F1768" s="145">
        <v>42868</v>
      </c>
      <c r="G1768" s="146">
        <v>2583.6</v>
      </c>
      <c r="H1768" s="138">
        <f t="shared" si="28"/>
        <v>0</v>
      </c>
      <c r="I1768" s="147" t="s">
        <v>15214</v>
      </c>
    </row>
    <row r="1769" spans="1:9" x14ac:dyDescent="0.25">
      <c r="A1769" s="135">
        <v>42868</v>
      </c>
      <c r="B1769" s="136" t="s">
        <v>17274</v>
      </c>
      <c r="C1769" s="137">
        <v>111818</v>
      </c>
      <c r="D1769" s="136" t="s">
        <v>15433</v>
      </c>
      <c r="E1769" s="138">
        <v>280</v>
      </c>
      <c r="F1769" s="145">
        <v>42868</v>
      </c>
      <c r="G1769" s="140">
        <v>280</v>
      </c>
      <c r="H1769" s="138">
        <f t="shared" si="28"/>
        <v>0</v>
      </c>
      <c r="I1769" s="141" t="s">
        <v>15214</v>
      </c>
    </row>
    <row r="1770" spans="1:9" x14ac:dyDescent="0.25">
      <c r="A1770" s="135">
        <v>42869</v>
      </c>
      <c r="B1770" s="142" t="s">
        <v>17275</v>
      </c>
      <c r="C1770" s="143">
        <v>111819</v>
      </c>
      <c r="D1770" s="142" t="s">
        <v>15213</v>
      </c>
      <c r="E1770" s="144">
        <v>7662.3</v>
      </c>
      <c r="F1770" s="145">
        <v>43599</v>
      </c>
      <c r="G1770" s="146">
        <v>7662.3</v>
      </c>
      <c r="H1770" s="138">
        <f t="shared" si="28"/>
        <v>0</v>
      </c>
      <c r="I1770" s="147" t="s">
        <v>15214</v>
      </c>
    </row>
    <row r="1771" spans="1:9" x14ac:dyDescent="0.25">
      <c r="A1771" s="135">
        <v>42869</v>
      </c>
      <c r="B1771" s="136" t="s">
        <v>17276</v>
      </c>
      <c r="C1771" s="137">
        <v>111820</v>
      </c>
      <c r="D1771" s="136" t="s">
        <v>17277</v>
      </c>
      <c r="E1771" s="138">
        <v>2932.8</v>
      </c>
      <c r="F1771" s="139">
        <v>42869</v>
      </c>
      <c r="G1771" s="140">
        <v>2932.8</v>
      </c>
      <c r="H1771" s="138">
        <f t="shared" si="28"/>
        <v>0</v>
      </c>
      <c r="I1771" s="141" t="s">
        <v>15214</v>
      </c>
    </row>
    <row r="1772" spans="1:9" x14ac:dyDescent="0.25">
      <c r="A1772" s="135">
        <v>42869</v>
      </c>
      <c r="B1772" s="142" t="s">
        <v>17278</v>
      </c>
      <c r="C1772" s="143">
        <v>111821</v>
      </c>
      <c r="D1772" s="142" t="s">
        <v>15242</v>
      </c>
      <c r="E1772" s="144">
        <v>14247</v>
      </c>
      <c r="F1772" s="145">
        <v>42869</v>
      </c>
      <c r="G1772" s="146">
        <v>14247</v>
      </c>
      <c r="H1772" s="138">
        <f t="shared" si="28"/>
        <v>0</v>
      </c>
      <c r="I1772" s="147" t="s">
        <v>15214</v>
      </c>
    </row>
    <row r="1773" spans="1:9" x14ac:dyDescent="0.25">
      <c r="A1773" s="135">
        <v>42869</v>
      </c>
      <c r="B1773" s="136" t="s">
        <v>17279</v>
      </c>
      <c r="C1773" s="137">
        <v>111822</v>
      </c>
      <c r="D1773" s="136" t="s">
        <v>15213</v>
      </c>
      <c r="E1773" s="138">
        <v>37701</v>
      </c>
      <c r="F1773" s="139">
        <v>42870</v>
      </c>
      <c r="G1773" s="140">
        <v>37701</v>
      </c>
      <c r="H1773" s="138">
        <f t="shared" si="28"/>
        <v>0</v>
      </c>
      <c r="I1773" s="141" t="s">
        <v>15214</v>
      </c>
    </row>
    <row r="1774" spans="1:9" x14ac:dyDescent="0.25">
      <c r="A1774" s="135">
        <v>42869</v>
      </c>
      <c r="B1774" s="142" t="s">
        <v>17280</v>
      </c>
      <c r="C1774" s="143">
        <v>111823</v>
      </c>
      <c r="D1774" s="142" t="s">
        <v>15272</v>
      </c>
      <c r="E1774" s="144">
        <v>27478.400000000001</v>
      </c>
      <c r="F1774" s="145">
        <v>42869</v>
      </c>
      <c r="G1774" s="146">
        <v>27478.400000000001</v>
      </c>
      <c r="H1774" s="138">
        <f t="shared" si="28"/>
        <v>0</v>
      </c>
      <c r="I1774" s="147" t="s">
        <v>15214</v>
      </c>
    </row>
    <row r="1775" spans="1:9" x14ac:dyDescent="0.25">
      <c r="A1775" s="135">
        <v>42869</v>
      </c>
      <c r="B1775" s="136" t="s">
        <v>17281</v>
      </c>
      <c r="C1775" s="137">
        <v>111824</v>
      </c>
      <c r="D1775" s="136" t="s">
        <v>15330</v>
      </c>
      <c r="E1775" s="138">
        <v>1975</v>
      </c>
      <c r="F1775" s="139">
        <v>42869</v>
      </c>
      <c r="G1775" s="140">
        <v>1975</v>
      </c>
      <c r="H1775" s="138">
        <f t="shared" si="28"/>
        <v>0</v>
      </c>
      <c r="I1775" s="141" t="s">
        <v>15214</v>
      </c>
    </row>
    <row r="1776" spans="1:9" x14ac:dyDescent="0.25">
      <c r="A1776" s="135">
        <v>42869</v>
      </c>
      <c r="B1776" s="142" t="s">
        <v>17282</v>
      </c>
      <c r="C1776" s="143">
        <v>111825</v>
      </c>
      <c r="D1776" s="142" t="s">
        <v>15220</v>
      </c>
      <c r="E1776" s="144">
        <v>4800</v>
      </c>
      <c r="F1776" s="145">
        <v>42869</v>
      </c>
      <c r="G1776" s="146">
        <v>4800</v>
      </c>
      <c r="H1776" s="138">
        <f t="shared" si="28"/>
        <v>0</v>
      </c>
      <c r="I1776" s="147" t="s">
        <v>15214</v>
      </c>
    </row>
    <row r="1777" spans="1:9" x14ac:dyDescent="0.25">
      <c r="A1777" s="135">
        <v>42869</v>
      </c>
      <c r="B1777" s="136" t="s">
        <v>17283</v>
      </c>
      <c r="C1777" s="137">
        <v>111826</v>
      </c>
      <c r="D1777" s="136" t="s">
        <v>15223</v>
      </c>
      <c r="E1777" s="138">
        <v>45320</v>
      </c>
      <c r="F1777" s="139">
        <v>42882</v>
      </c>
      <c r="G1777" s="140">
        <v>45320</v>
      </c>
      <c r="H1777" s="138">
        <f t="shared" si="28"/>
        <v>0</v>
      </c>
      <c r="I1777" s="141" t="s">
        <v>15214</v>
      </c>
    </row>
    <row r="1778" spans="1:9" ht="15.75" x14ac:dyDescent="0.25">
      <c r="A1778" s="135">
        <v>42869</v>
      </c>
      <c r="B1778" s="142" t="s">
        <v>17284</v>
      </c>
      <c r="C1778" s="143">
        <v>111827</v>
      </c>
      <c r="D1778" s="142" t="s">
        <v>16338</v>
      </c>
      <c r="E1778" s="144">
        <v>0</v>
      </c>
      <c r="F1778" s="156" t="s">
        <v>95</v>
      </c>
      <c r="G1778" s="144">
        <v>0</v>
      </c>
      <c r="H1778" s="138">
        <f t="shared" si="28"/>
        <v>0</v>
      </c>
      <c r="I1778" s="147" t="s">
        <v>95</v>
      </c>
    </row>
    <row r="1779" spans="1:9" x14ac:dyDescent="0.25">
      <c r="A1779" s="135">
        <v>42869</v>
      </c>
      <c r="B1779" s="136" t="s">
        <v>17285</v>
      </c>
      <c r="C1779" s="137">
        <v>111828</v>
      </c>
      <c r="D1779" s="136" t="s">
        <v>15274</v>
      </c>
      <c r="E1779" s="138">
        <v>1200</v>
      </c>
      <c r="F1779" s="139">
        <v>42869</v>
      </c>
      <c r="G1779" s="140">
        <v>1200</v>
      </c>
      <c r="H1779" s="138">
        <f t="shared" si="28"/>
        <v>0</v>
      </c>
      <c r="I1779" s="141" t="s">
        <v>15214</v>
      </c>
    </row>
    <row r="1780" spans="1:9" x14ac:dyDescent="0.25">
      <c r="A1780" s="135">
        <v>42869</v>
      </c>
      <c r="B1780" s="142" t="s">
        <v>17286</v>
      </c>
      <c r="C1780" s="143">
        <v>111829</v>
      </c>
      <c r="D1780" s="142" t="s">
        <v>15263</v>
      </c>
      <c r="E1780" s="144">
        <v>3502.4</v>
      </c>
      <c r="F1780" s="145">
        <v>42869</v>
      </c>
      <c r="G1780" s="146">
        <v>3502.4</v>
      </c>
      <c r="H1780" s="138">
        <f t="shared" si="28"/>
        <v>0</v>
      </c>
      <c r="I1780" s="147" t="s">
        <v>15214</v>
      </c>
    </row>
    <row r="1781" spans="1:9" x14ac:dyDescent="0.25">
      <c r="A1781" s="135">
        <v>42869</v>
      </c>
      <c r="B1781" s="136" t="s">
        <v>17287</v>
      </c>
      <c r="C1781" s="137">
        <v>111830</v>
      </c>
      <c r="D1781" s="136" t="s">
        <v>15263</v>
      </c>
      <c r="E1781" s="138">
        <v>988</v>
      </c>
      <c r="F1781" s="139">
        <v>42869</v>
      </c>
      <c r="G1781" s="140">
        <v>988</v>
      </c>
      <c r="H1781" s="138">
        <f t="shared" si="28"/>
        <v>0</v>
      </c>
      <c r="I1781" s="141" t="s">
        <v>15214</v>
      </c>
    </row>
    <row r="1782" spans="1:9" x14ac:dyDescent="0.25">
      <c r="A1782" s="135">
        <v>42869</v>
      </c>
      <c r="B1782" s="142" t="s">
        <v>17288</v>
      </c>
      <c r="C1782" s="143">
        <v>111831</v>
      </c>
      <c r="D1782" s="142" t="s">
        <v>16740</v>
      </c>
      <c r="E1782" s="144">
        <v>2548</v>
      </c>
      <c r="F1782" s="145">
        <v>42869</v>
      </c>
      <c r="G1782" s="146">
        <v>2548</v>
      </c>
      <c r="H1782" s="138">
        <f t="shared" si="28"/>
        <v>0</v>
      </c>
      <c r="I1782" s="147" t="s">
        <v>15214</v>
      </c>
    </row>
    <row r="1783" spans="1:9" x14ac:dyDescent="0.25">
      <c r="A1783" s="135">
        <v>42869</v>
      </c>
      <c r="B1783" s="136" t="s">
        <v>17289</v>
      </c>
      <c r="C1783" s="137">
        <v>111832</v>
      </c>
      <c r="D1783" s="136" t="s">
        <v>15248</v>
      </c>
      <c r="E1783" s="138">
        <v>25819.119999999999</v>
      </c>
      <c r="F1783" s="139" t="s">
        <v>17290</v>
      </c>
      <c r="G1783" s="140">
        <f>22819+3000.12</f>
        <v>25819.119999999999</v>
      </c>
      <c r="H1783" s="138">
        <f t="shared" si="28"/>
        <v>0</v>
      </c>
      <c r="I1783" s="141" t="s">
        <v>15214</v>
      </c>
    </row>
    <row r="1784" spans="1:9" x14ac:dyDescent="0.25">
      <c r="A1784" s="135">
        <v>42869</v>
      </c>
      <c r="B1784" s="142" t="s">
        <v>17291</v>
      </c>
      <c r="C1784" s="143">
        <v>111833</v>
      </c>
      <c r="D1784" s="142" t="s">
        <v>16249</v>
      </c>
      <c r="E1784" s="144">
        <v>2480.4</v>
      </c>
      <c r="F1784" s="145">
        <v>42869</v>
      </c>
      <c r="G1784" s="146">
        <v>2480.4</v>
      </c>
      <c r="H1784" s="138">
        <f t="shared" si="28"/>
        <v>0</v>
      </c>
      <c r="I1784" s="147" t="s">
        <v>15214</v>
      </c>
    </row>
    <row r="1785" spans="1:9" x14ac:dyDescent="0.25">
      <c r="A1785" s="135">
        <v>42869</v>
      </c>
      <c r="B1785" s="136" t="s">
        <v>17292</v>
      </c>
      <c r="C1785" s="137">
        <v>111834</v>
      </c>
      <c r="D1785" s="136" t="s">
        <v>15365</v>
      </c>
      <c r="E1785" s="138">
        <v>12573.2</v>
      </c>
      <c r="F1785" s="139">
        <v>42873</v>
      </c>
      <c r="G1785" s="140">
        <v>12573.2</v>
      </c>
      <c r="H1785" s="138">
        <f t="shared" si="28"/>
        <v>0</v>
      </c>
      <c r="I1785" s="141" t="s">
        <v>15214</v>
      </c>
    </row>
    <row r="1786" spans="1:9" x14ac:dyDescent="0.25">
      <c r="A1786" s="135">
        <v>42869</v>
      </c>
      <c r="B1786" s="142" t="s">
        <v>17293</v>
      </c>
      <c r="C1786" s="143">
        <v>111835</v>
      </c>
      <c r="D1786" s="142" t="s">
        <v>15265</v>
      </c>
      <c r="E1786" s="144">
        <v>3441.6</v>
      </c>
      <c r="F1786" s="145">
        <v>42869</v>
      </c>
      <c r="G1786" s="146">
        <v>3441.6</v>
      </c>
      <c r="H1786" s="138">
        <f t="shared" si="28"/>
        <v>0</v>
      </c>
      <c r="I1786" s="147" t="s">
        <v>15214</v>
      </c>
    </row>
    <row r="1787" spans="1:9" x14ac:dyDescent="0.25">
      <c r="A1787" s="135">
        <v>42869</v>
      </c>
      <c r="B1787" s="136" t="s">
        <v>17294</v>
      </c>
      <c r="C1787" s="137">
        <v>111836</v>
      </c>
      <c r="D1787" s="136" t="s">
        <v>15324</v>
      </c>
      <c r="E1787" s="138">
        <v>2284</v>
      </c>
      <c r="F1787" s="139">
        <v>42869</v>
      </c>
      <c r="G1787" s="140">
        <v>2284</v>
      </c>
      <c r="H1787" s="138">
        <f t="shared" si="28"/>
        <v>0</v>
      </c>
      <c r="I1787" s="141" t="s">
        <v>15214</v>
      </c>
    </row>
    <row r="1788" spans="1:9" x14ac:dyDescent="0.25">
      <c r="A1788" s="135">
        <v>42869</v>
      </c>
      <c r="B1788" s="142" t="s">
        <v>17295</v>
      </c>
      <c r="C1788" s="143">
        <v>111837</v>
      </c>
      <c r="D1788" s="142" t="s">
        <v>15725</v>
      </c>
      <c r="E1788" s="144">
        <v>5842.8</v>
      </c>
      <c r="F1788" s="145">
        <v>42876</v>
      </c>
      <c r="G1788" s="146">
        <v>5842.8</v>
      </c>
      <c r="H1788" s="138">
        <f t="shared" si="28"/>
        <v>0</v>
      </c>
      <c r="I1788" s="147" t="s">
        <v>15214</v>
      </c>
    </row>
    <row r="1789" spans="1:9" x14ac:dyDescent="0.25">
      <c r="A1789" s="135">
        <v>42869</v>
      </c>
      <c r="B1789" s="136" t="s">
        <v>17296</v>
      </c>
      <c r="C1789" s="137">
        <v>111838</v>
      </c>
      <c r="D1789" s="136" t="s">
        <v>15234</v>
      </c>
      <c r="E1789" s="138">
        <v>2956.5</v>
      </c>
      <c r="F1789" s="139">
        <v>42869</v>
      </c>
      <c r="G1789" s="140">
        <v>2956.5</v>
      </c>
      <c r="H1789" s="138">
        <f t="shared" si="28"/>
        <v>0</v>
      </c>
      <c r="I1789" s="141" t="s">
        <v>15214</v>
      </c>
    </row>
    <row r="1790" spans="1:9" x14ac:dyDescent="0.25">
      <c r="A1790" s="135">
        <v>42869</v>
      </c>
      <c r="B1790" s="142" t="s">
        <v>17297</v>
      </c>
      <c r="C1790" s="143">
        <v>111839</v>
      </c>
      <c r="D1790" s="142" t="s">
        <v>15230</v>
      </c>
      <c r="E1790" s="144">
        <v>2934.6</v>
      </c>
      <c r="F1790" s="145">
        <v>42869</v>
      </c>
      <c r="G1790" s="146">
        <v>2934.6</v>
      </c>
      <c r="H1790" s="138">
        <f t="shared" si="28"/>
        <v>0</v>
      </c>
      <c r="I1790" s="147" t="s">
        <v>15214</v>
      </c>
    </row>
    <row r="1791" spans="1:9" x14ac:dyDescent="0.25">
      <c r="A1791" s="135">
        <v>42869</v>
      </c>
      <c r="B1791" s="136" t="s">
        <v>17298</v>
      </c>
      <c r="C1791" s="137">
        <v>111840</v>
      </c>
      <c r="D1791" s="136" t="s">
        <v>15282</v>
      </c>
      <c r="E1791" s="138">
        <v>3071.4</v>
      </c>
      <c r="F1791" s="139">
        <v>42869</v>
      </c>
      <c r="G1791" s="140">
        <v>3071.4</v>
      </c>
      <c r="H1791" s="138">
        <f t="shared" si="28"/>
        <v>0</v>
      </c>
      <c r="I1791" s="141" t="s">
        <v>15214</v>
      </c>
    </row>
    <row r="1792" spans="1:9" x14ac:dyDescent="0.25">
      <c r="A1792" s="135">
        <v>42869</v>
      </c>
      <c r="B1792" s="142" t="s">
        <v>17299</v>
      </c>
      <c r="C1792" s="143">
        <v>111841</v>
      </c>
      <c r="D1792" s="142" t="s">
        <v>15315</v>
      </c>
      <c r="E1792" s="144">
        <v>2812</v>
      </c>
      <c r="F1792" s="145">
        <v>42869</v>
      </c>
      <c r="G1792" s="146">
        <v>2812</v>
      </c>
      <c r="H1792" s="138">
        <f t="shared" si="28"/>
        <v>0</v>
      </c>
      <c r="I1792" s="147" t="s">
        <v>15214</v>
      </c>
    </row>
    <row r="1793" spans="1:9" x14ac:dyDescent="0.25">
      <c r="A1793" s="135">
        <v>42869</v>
      </c>
      <c r="B1793" s="136" t="s">
        <v>17300</v>
      </c>
      <c r="C1793" s="137">
        <v>111842</v>
      </c>
      <c r="D1793" s="136" t="s">
        <v>15289</v>
      </c>
      <c r="E1793" s="138">
        <v>862.4</v>
      </c>
      <c r="F1793" s="139">
        <v>42869</v>
      </c>
      <c r="G1793" s="140">
        <v>862.4</v>
      </c>
      <c r="H1793" s="138">
        <f t="shared" si="28"/>
        <v>0</v>
      </c>
      <c r="I1793" s="141" t="s">
        <v>15214</v>
      </c>
    </row>
    <row r="1794" spans="1:9" x14ac:dyDescent="0.25">
      <c r="A1794" s="135">
        <v>42869</v>
      </c>
      <c r="B1794" s="142" t="s">
        <v>17301</v>
      </c>
      <c r="C1794" s="143">
        <v>111843</v>
      </c>
      <c r="D1794" s="142" t="s">
        <v>15433</v>
      </c>
      <c r="E1794" s="144">
        <v>559.70000000000005</v>
      </c>
      <c r="F1794" s="145">
        <v>42869</v>
      </c>
      <c r="G1794" s="146">
        <v>559.70000000000005</v>
      </c>
      <c r="H1794" s="138">
        <f t="shared" si="28"/>
        <v>0</v>
      </c>
      <c r="I1794" s="147" t="s">
        <v>15214</v>
      </c>
    </row>
    <row r="1795" spans="1:9" x14ac:dyDescent="0.25">
      <c r="A1795" s="135">
        <v>42869</v>
      </c>
      <c r="B1795" s="136" t="s">
        <v>17302</v>
      </c>
      <c r="C1795" s="137">
        <v>111844</v>
      </c>
      <c r="D1795" s="136" t="s">
        <v>15385</v>
      </c>
      <c r="E1795" s="138">
        <v>7280.2</v>
      </c>
      <c r="F1795" s="139">
        <v>42869</v>
      </c>
      <c r="G1795" s="140">
        <v>7280.2</v>
      </c>
      <c r="H1795" s="138">
        <f t="shared" si="28"/>
        <v>0</v>
      </c>
      <c r="I1795" s="141" t="s">
        <v>15214</v>
      </c>
    </row>
    <row r="1796" spans="1:9" x14ac:dyDescent="0.25">
      <c r="A1796" s="135">
        <v>42869</v>
      </c>
      <c r="B1796" s="142" t="s">
        <v>17303</v>
      </c>
      <c r="C1796" s="143">
        <v>111845</v>
      </c>
      <c r="D1796" s="142" t="s">
        <v>15391</v>
      </c>
      <c r="E1796" s="144">
        <v>10427.200000000001</v>
      </c>
      <c r="F1796" s="145">
        <v>42869</v>
      </c>
      <c r="G1796" s="146">
        <v>10427.200000000001</v>
      </c>
      <c r="H1796" s="138">
        <f t="shared" ref="H1796:H1859" si="29">E1796-G1796</f>
        <v>0</v>
      </c>
      <c r="I1796" s="147" t="s">
        <v>15214</v>
      </c>
    </row>
    <row r="1797" spans="1:9" x14ac:dyDescent="0.25">
      <c r="A1797" s="135">
        <v>42869</v>
      </c>
      <c r="B1797" s="136" t="s">
        <v>17304</v>
      </c>
      <c r="C1797" s="137">
        <v>111846</v>
      </c>
      <c r="D1797" s="136" t="s">
        <v>15810</v>
      </c>
      <c r="E1797" s="138">
        <v>495.3</v>
      </c>
      <c r="F1797" s="139">
        <v>42869</v>
      </c>
      <c r="G1797" s="140">
        <v>495.3</v>
      </c>
      <c r="H1797" s="138">
        <f t="shared" si="29"/>
        <v>0</v>
      </c>
      <c r="I1797" s="141" t="s">
        <v>15214</v>
      </c>
    </row>
    <row r="1798" spans="1:9" x14ac:dyDescent="0.25">
      <c r="A1798" s="135">
        <v>42869</v>
      </c>
      <c r="B1798" s="142" t="s">
        <v>17305</v>
      </c>
      <c r="C1798" s="143">
        <v>111847</v>
      </c>
      <c r="D1798" s="142" t="s">
        <v>15280</v>
      </c>
      <c r="E1798" s="144">
        <v>5671</v>
      </c>
      <c r="F1798" s="145">
        <v>42869</v>
      </c>
      <c r="G1798" s="146">
        <v>5671</v>
      </c>
      <c r="H1798" s="138">
        <f t="shared" si="29"/>
        <v>0</v>
      </c>
      <c r="I1798" s="147" t="s">
        <v>15214</v>
      </c>
    </row>
    <row r="1799" spans="1:9" x14ac:dyDescent="0.25">
      <c r="A1799" s="135">
        <v>42869</v>
      </c>
      <c r="B1799" s="136" t="s">
        <v>17306</v>
      </c>
      <c r="C1799" s="137">
        <v>111848</v>
      </c>
      <c r="D1799" s="136" t="s">
        <v>15378</v>
      </c>
      <c r="E1799" s="138">
        <v>314.39999999999998</v>
      </c>
      <c r="F1799" s="139">
        <v>42869</v>
      </c>
      <c r="G1799" s="140">
        <v>314.39999999999998</v>
      </c>
      <c r="H1799" s="138">
        <f t="shared" si="29"/>
        <v>0</v>
      </c>
      <c r="I1799" s="141" t="s">
        <v>15214</v>
      </c>
    </row>
    <row r="1800" spans="1:9" x14ac:dyDescent="0.25">
      <c r="A1800" s="135">
        <v>42869</v>
      </c>
      <c r="B1800" s="142" t="s">
        <v>17307</v>
      </c>
      <c r="C1800" s="143">
        <v>111849</v>
      </c>
      <c r="D1800" s="142" t="s">
        <v>15365</v>
      </c>
      <c r="E1800" s="144">
        <v>31885.56</v>
      </c>
      <c r="F1800" s="145">
        <v>42873</v>
      </c>
      <c r="G1800" s="146">
        <v>31885.56</v>
      </c>
      <c r="H1800" s="138">
        <f t="shared" si="29"/>
        <v>0</v>
      </c>
      <c r="I1800" s="147" t="s">
        <v>15214</v>
      </c>
    </row>
    <row r="1801" spans="1:9" x14ac:dyDescent="0.25">
      <c r="A1801" s="135">
        <v>42869</v>
      </c>
      <c r="B1801" s="136" t="s">
        <v>17308</v>
      </c>
      <c r="C1801" s="137">
        <v>111850</v>
      </c>
      <c r="D1801" s="136" t="s">
        <v>15530</v>
      </c>
      <c r="E1801" s="138">
        <v>823.2</v>
      </c>
      <c r="F1801" s="139">
        <v>42869</v>
      </c>
      <c r="G1801" s="140">
        <v>823.2</v>
      </c>
      <c r="H1801" s="138">
        <f t="shared" si="29"/>
        <v>0</v>
      </c>
      <c r="I1801" s="141" t="s">
        <v>15214</v>
      </c>
    </row>
    <row r="1802" spans="1:9" x14ac:dyDescent="0.25">
      <c r="A1802" s="135">
        <v>42869</v>
      </c>
      <c r="B1802" s="142" t="s">
        <v>17309</v>
      </c>
      <c r="C1802" s="143">
        <v>111851</v>
      </c>
      <c r="D1802" s="142" t="s">
        <v>16023</v>
      </c>
      <c r="E1802" s="144">
        <v>1538</v>
      </c>
      <c r="F1802" s="145">
        <v>42869</v>
      </c>
      <c r="G1802" s="146">
        <v>1538</v>
      </c>
      <c r="H1802" s="138">
        <f t="shared" si="29"/>
        <v>0</v>
      </c>
      <c r="I1802" s="147" t="s">
        <v>15214</v>
      </c>
    </row>
    <row r="1803" spans="1:9" x14ac:dyDescent="0.25">
      <c r="A1803" s="135">
        <v>42869</v>
      </c>
      <c r="B1803" s="136" t="s">
        <v>17310</v>
      </c>
      <c r="C1803" s="137">
        <v>111852</v>
      </c>
      <c r="D1803" s="136" t="s">
        <v>15315</v>
      </c>
      <c r="E1803" s="138">
        <v>405</v>
      </c>
      <c r="F1803" s="139">
        <v>42869</v>
      </c>
      <c r="G1803" s="140">
        <v>405</v>
      </c>
      <c r="H1803" s="138">
        <f t="shared" si="29"/>
        <v>0</v>
      </c>
      <c r="I1803" s="141" t="s">
        <v>15214</v>
      </c>
    </row>
    <row r="1804" spans="1:9" x14ac:dyDescent="0.25">
      <c r="A1804" s="135">
        <v>42869</v>
      </c>
      <c r="B1804" s="142" t="s">
        <v>17311</v>
      </c>
      <c r="C1804" s="143">
        <v>111853</v>
      </c>
      <c r="D1804" s="142" t="s">
        <v>15427</v>
      </c>
      <c r="E1804" s="144">
        <v>51282.400000000001</v>
      </c>
      <c r="F1804" s="145">
        <v>42870</v>
      </c>
      <c r="G1804" s="146">
        <v>51282.400000000001</v>
      </c>
      <c r="H1804" s="138">
        <f t="shared" si="29"/>
        <v>0</v>
      </c>
      <c r="I1804" s="147" t="s">
        <v>15214</v>
      </c>
    </row>
    <row r="1805" spans="1:9" x14ac:dyDescent="0.25">
      <c r="A1805" s="135">
        <v>42869</v>
      </c>
      <c r="B1805" s="136" t="s">
        <v>17312</v>
      </c>
      <c r="C1805" s="137">
        <v>111854</v>
      </c>
      <c r="D1805" s="136" t="s">
        <v>15706</v>
      </c>
      <c r="E1805" s="138">
        <v>3099.6</v>
      </c>
      <c r="F1805" s="139">
        <v>42869</v>
      </c>
      <c r="G1805" s="140">
        <v>3099.6</v>
      </c>
      <c r="H1805" s="138">
        <f t="shared" si="29"/>
        <v>0</v>
      </c>
      <c r="I1805" s="141" t="s">
        <v>15214</v>
      </c>
    </row>
    <row r="1806" spans="1:9" x14ac:dyDescent="0.25">
      <c r="A1806" s="135">
        <v>42869</v>
      </c>
      <c r="B1806" s="142" t="s">
        <v>17313</v>
      </c>
      <c r="C1806" s="143">
        <v>111855</v>
      </c>
      <c r="D1806" s="142" t="s">
        <v>15706</v>
      </c>
      <c r="E1806" s="144">
        <v>356.7</v>
      </c>
      <c r="F1806" s="145">
        <v>42869</v>
      </c>
      <c r="G1806" s="146">
        <v>356.7</v>
      </c>
      <c r="H1806" s="138">
        <f t="shared" si="29"/>
        <v>0</v>
      </c>
      <c r="I1806" s="147" t="s">
        <v>15214</v>
      </c>
    </row>
    <row r="1807" spans="1:9" x14ac:dyDescent="0.25">
      <c r="A1807" s="135">
        <v>42869</v>
      </c>
      <c r="B1807" s="136" t="s">
        <v>17314</v>
      </c>
      <c r="C1807" s="137">
        <v>111856</v>
      </c>
      <c r="D1807" s="136" t="s">
        <v>15728</v>
      </c>
      <c r="E1807" s="138">
        <v>12889.4</v>
      </c>
      <c r="F1807" s="139">
        <v>42869</v>
      </c>
      <c r="G1807" s="140">
        <v>12889.4</v>
      </c>
      <c r="H1807" s="138">
        <f t="shared" si="29"/>
        <v>0</v>
      </c>
      <c r="I1807" s="141" t="s">
        <v>15214</v>
      </c>
    </row>
    <row r="1808" spans="1:9" x14ac:dyDescent="0.25">
      <c r="A1808" s="135">
        <v>42869</v>
      </c>
      <c r="B1808" s="142" t="s">
        <v>17315</v>
      </c>
      <c r="C1808" s="143">
        <v>111857</v>
      </c>
      <c r="D1808" s="142" t="s">
        <v>15398</v>
      </c>
      <c r="E1808" s="144">
        <v>2700.2</v>
      </c>
      <c r="F1808" s="145">
        <v>42869</v>
      </c>
      <c r="G1808" s="146">
        <v>2700.2</v>
      </c>
      <c r="H1808" s="138">
        <f t="shared" si="29"/>
        <v>0</v>
      </c>
      <c r="I1808" s="147" t="s">
        <v>15214</v>
      </c>
    </row>
    <row r="1809" spans="1:9" x14ac:dyDescent="0.25">
      <c r="A1809" s="135">
        <v>42869</v>
      </c>
      <c r="B1809" s="136" t="s">
        <v>17316</v>
      </c>
      <c r="C1809" s="137">
        <v>111858</v>
      </c>
      <c r="D1809" s="136" t="s">
        <v>15315</v>
      </c>
      <c r="E1809" s="138">
        <v>932</v>
      </c>
      <c r="F1809" s="139">
        <v>42869</v>
      </c>
      <c r="G1809" s="140">
        <v>932</v>
      </c>
      <c r="H1809" s="138">
        <f t="shared" si="29"/>
        <v>0</v>
      </c>
      <c r="I1809" s="141" t="s">
        <v>15214</v>
      </c>
    </row>
    <row r="1810" spans="1:9" x14ac:dyDescent="0.25">
      <c r="A1810" s="135">
        <v>42869</v>
      </c>
      <c r="B1810" s="142" t="s">
        <v>17317</v>
      </c>
      <c r="C1810" s="143">
        <v>111859</v>
      </c>
      <c r="D1810" s="142" t="s">
        <v>15284</v>
      </c>
      <c r="E1810" s="144">
        <v>1948.5</v>
      </c>
      <c r="F1810" s="145">
        <v>42869</v>
      </c>
      <c r="G1810" s="146">
        <v>1948.5</v>
      </c>
      <c r="H1810" s="138">
        <f t="shared" si="29"/>
        <v>0</v>
      </c>
      <c r="I1810" s="147" t="s">
        <v>15214</v>
      </c>
    </row>
    <row r="1811" spans="1:9" x14ac:dyDescent="0.25">
      <c r="A1811" s="135">
        <v>42869</v>
      </c>
      <c r="B1811" s="136" t="s">
        <v>17318</v>
      </c>
      <c r="C1811" s="137">
        <v>111860</v>
      </c>
      <c r="D1811" s="136" t="s">
        <v>15340</v>
      </c>
      <c r="E1811" s="138">
        <v>9623.4</v>
      </c>
      <c r="F1811" s="139">
        <v>42870</v>
      </c>
      <c r="G1811" s="140">
        <v>9623.4</v>
      </c>
      <c r="H1811" s="138">
        <f t="shared" si="29"/>
        <v>0</v>
      </c>
      <c r="I1811" s="141" t="s">
        <v>15214</v>
      </c>
    </row>
    <row r="1812" spans="1:9" x14ac:dyDescent="0.25">
      <c r="A1812" s="135">
        <v>42869</v>
      </c>
      <c r="B1812" s="142" t="s">
        <v>17319</v>
      </c>
      <c r="C1812" s="143">
        <v>111861</v>
      </c>
      <c r="D1812" s="142" t="s">
        <v>15252</v>
      </c>
      <c r="E1812" s="144">
        <v>4712.3</v>
      </c>
      <c r="F1812" s="145">
        <v>42870</v>
      </c>
      <c r="G1812" s="146">
        <v>4712.3</v>
      </c>
      <c r="H1812" s="138">
        <f t="shared" si="29"/>
        <v>0</v>
      </c>
      <c r="I1812" s="147" t="s">
        <v>15214</v>
      </c>
    </row>
    <row r="1813" spans="1:9" x14ac:dyDescent="0.25">
      <c r="A1813" s="135">
        <v>42869</v>
      </c>
      <c r="B1813" s="136" t="s">
        <v>17320</v>
      </c>
      <c r="C1813" s="137">
        <v>111862</v>
      </c>
      <c r="D1813" s="136" t="s">
        <v>15334</v>
      </c>
      <c r="E1813" s="138">
        <v>1797</v>
      </c>
      <c r="F1813" s="139">
        <v>42870</v>
      </c>
      <c r="G1813" s="140">
        <v>1797</v>
      </c>
      <c r="H1813" s="138">
        <f t="shared" si="29"/>
        <v>0</v>
      </c>
      <c r="I1813" s="141" t="s">
        <v>15214</v>
      </c>
    </row>
    <row r="1814" spans="1:9" x14ac:dyDescent="0.25">
      <c r="A1814" s="135">
        <v>42869</v>
      </c>
      <c r="B1814" s="142" t="s">
        <v>17321</v>
      </c>
      <c r="C1814" s="143">
        <v>111863</v>
      </c>
      <c r="D1814" s="142" t="s">
        <v>15553</v>
      </c>
      <c r="E1814" s="144">
        <v>1805.12</v>
      </c>
      <c r="F1814" s="145">
        <v>42870</v>
      </c>
      <c r="G1814" s="146">
        <v>1805.12</v>
      </c>
      <c r="H1814" s="138">
        <f t="shared" si="29"/>
        <v>0</v>
      </c>
      <c r="I1814" s="147" t="s">
        <v>15214</v>
      </c>
    </row>
    <row r="1815" spans="1:9" x14ac:dyDescent="0.25">
      <c r="A1815" s="135">
        <v>42869</v>
      </c>
      <c r="B1815" s="136" t="s">
        <v>17322</v>
      </c>
      <c r="C1815" s="137">
        <v>111864</v>
      </c>
      <c r="D1815" s="136" t="s">
        <v>15350</v>
      </c>
      <c r="E1815" s="138">
        <v>1200</v>
      </c>
      <c r="F1815" s="139">
        <v>42870</v>
      </c>
      <c r="G1815" s="140">
        <v>1200</v>
      </c>
      <c r="H1815" s="138">
        <f t="shared" si="29"/>
        <v>0</v>
      </c>
      <c r="I1815" s="141" t="s">
        <v>15214</v>
      </c>
    </row>
    <row r="1816" spans="1:9" x14ac:dyDescent="0.25">
      <c r="A1816" s="135">
        <v>42869</v>
      </c>
      <c r="B1816" s="142" t="s">
        <v>17323</v>
      </c>
      <c r="C1816" s="143">
        <v>111865</v>
      </c>
      <c r="D1816" s="142" t="s">
        <v>15858</v>
      </c>
      <c r="E1816" s="144">
        <v>2070.2399999999998</v>
      </c>
      <c r="F1816" s="145">
        <v>42870</v>
      </c>
      <c r="G1816" s="146">
        <v>2070.2399999999998</v>
      </c>
      <c r="H1816" s="138">
        <f t="shared" si="29"/>
        <v>0</v>
      </c>
      <c r="I1816" s="147" t="s">
        <v>15214</v>
      </c>
    </row>
    <row r="1817" spans="1:9" x14ac:dyDescent="0.25">
      <c r="A1817" s="135">
        <v>42869</v>
      </c>
      <c r="B1817" s="136" t="s">
        <v>17324</v>
      </c>
      <c r="C1817" s="137">
        <v>111866</v>
      </c>
      <c r="D1817" s="136" t="s">
        <v>15246</v>
      </c>
      <c r="E1817" s="138">
        <v>3237.6</v>
      </c>
      <c r="F1817" s="139">
        <v>42872</v>
      </c>
      <c r="G1817" s="140">
        <v>3237.6</v>
      </c>
      <c r="H1817" s="138">
        <f t="shared" si="29"/>
        <v>0</v>
      </c>
      <c r="I1817" s="141" t="s">
        <v>15214</v>
      </c>
    </row>
    <row r="1818" spans="1:9" x14ac:dyDescent="0.25">
      <c r="A1818" s="135">
        <v>42869</v>
      </c>
      <c r="B1818" s="142" t="s">
        <v>17325</v>
      </c>
      <c r="C1818" s="143">
        <v>111867</v>
      </c>
      <c r="D1818" s="142" t="s">
        <v>15523</v>
      </c>
      <c r="E1818" s="144">
        <v>3840</v>
      </c>
      <c r="F1818" s="145">
        <v>42870</v>
      </c>
      <c r="G1818" s="146">
        <v>3840</v>
      </c>
      <c r="H1818" s="138">
        <f t="shared" si="29"/>
        <v>0</v>
      </c>
      <c r="I1818" s="147" t="s">
        <v>15214</v>
      </c>
    </row>
    <row r="1819" spans="1:9" x14ac:dyDescent="0.25">
      <c r="A1819" s="135">
        <v>42869</v>
      </c>
      <c r="B1819" s="136" t="s">
        <v>17326</v>
      </c>
      <c r="C1819" s="137">
        <v>111868</v>
      </c>
      <c r="D1819" s="136" t="s">
        <v>15344</v>
      </c>
      <c r="E1819" s="138">
        <v>4253.2</v>
      </c>
      <c r="F1819" s="139">
        <v>42870</v>
      </c>
      <c r="G1819" s="140">
        <v>4253.2</v>
      </c>
      <c r="H1819" s="138">
        <f t="shared" si="29"/>
        <v>0</v>
      </c>
      <c r="I1819" s="141" t="s">
        <v>15214</v>
      </c>
    </row>
    <row r="1820" spans="1:9" x14ac:dyDescent="0.25">
      <c r="A1820" s="135">
        <v>42869</v>
      </c>
      <c r="B1820" s="142" t="s">
        <v>17327</v>
      </c>
      <c r="C1820" s="143">
        <v>111869</v>
      </c>
      <c r="D1820" s="142" t="s">
        <v>15394</v>
      </c>
      <c r="E1820" s="144">
        <v>10739.6</v>
      </c>
      <c r="F1820" s="145">
        <v>42869</v>
      </c>
      <c r="G1820" s="146">
        <v>10739.6</v>
      </c>
      <c r="H1820" s="138">
        <f t="shared" si="29"/>
        <v>0</v>
      </c>
      <c r="I1820" s="147" t="s">
        <v>15214</v>
      </c>
    </row>
    <row r="1821" spans="1:9" x14ac:dyDescent="0.25">
      <c r="A1821" s="135">
        <v>42869</v>
      </c>
      <c r="B1821" s="136" t="s">
        <v>17328</v>
      </c>
      <c r="C1821" s="137">
        <v>111870</v>
      </c>
      <c r="D1821" s="136" t="s">
        <v>15541</v>
      </c>
      <c r="E1821" s="138">
        <v>1200</v>
      </c>
      <c r="F1821" s="139">
        <v>42870</v>
      </c>
      <c r="G1821" s="140">
        <v>1200</v>
      </c>
      <c r="H1821" s="138">
        <f t="shared" si="29"/>
        <v>0</v>
      </c>
      <c r="I1821" s="141" t="s">
        <v>15214</v>
      </c>
    </row>
    <row r="1822" spans="1:9" x14ac:dyDescent="0.25">
      <c r="A1822" s="135">
        <v>42869</v>
      </c>
      <c r="B1822" s="142" t="s">
        <v>17329</v>
      </c>
      <c r="C1822" s="143">
        <v>111871</v>
      </c>
      <c r="D1822" s="142" t="s">
        <v>15309</v>
      </c>
      <c r="E1822" s="144">
        <v>2047</v>
      </c>
      <c r="F1822" s="145">
        <v>42870</v>
      </c>
      <c r="G1822" s="146">
        <v>2047</v>
      </c>
      <c r="H1822" s="138">
        <f t="shared" si="29"/>
        <v>0</v>
      </c>
      <c r="I1822" s="147" t="s">
        <v>15214</v>
      </c>
    </row>
    <row r="1823" spans="1:9" x14ac:dyDescent="0.25">
      <c r="A1823" s="135">
        <v>42869</v>
      </c>
      <c r="B1823" s="136" t="s">
        <v>17330</v>
      </c>
      <c r="C1823" s="137">
        <v>111872</v>
      </c>
      <c r="D1823" s="136" t="s">
        <v>15332</v>
      </c>
      <c r="E1823" s="138">
        <v>5198.8999999999996</v>
      </c>
      <c r="F1823" s="145">
        <v>42870</v>
      </c>
      <c r="G1823" s="140">
        <v>5198.8999999999996</v>
      </c>
      <c r="H1823" s="138">
        <f t="shared" si="29"/>
        <v>0</v>
      </c>
      <c r="I1823" s="141" t="s">
        <v>15214</v>
      </c>
    </row>
    <row r="1824" spans="1:9" x14ac:dyDescent="0.25">
      <c r="A1824" s="135">
        <v>42869</v>
      </c>
      <c r="B1824" s="142" t="s">
        <v>17331</v>
      </c>
      <c r="C1824" s="143">
        <v>111873</v>
      </c>
      <c r="D1824" s="142" t="s">
        <v>15549</v>
      </c>
      <c r="E1824" s="144">
        <v>9411</v>
      </c>
      <c r="F1824" s="145">
        <v>42870</v>
      </c>
      <c r="G1824" s="146">
        <v>9411</v>
      </c>
      <c r="H1824" s="138">
        <f t="shared" si="29"/>
        <v>0</v>
      </c>
      <c r="I1824" s="147" t="s">
        <v>15214</v>
      </c>
    </row>
    <row r="1825" spans="1:9" x14ac:dyDescent="0.25">
      <c r="A1825" s="135">
        <v>42869</v>
      </c>
      <c r="B1825" s="136" t="s">
        <v>17332</v>
      </c>
      <c r="C1825" s="137">
        <v>111874</v>
      </c>
      <c r="D1825" s="136" t="s">
        <v>15244</v>
      </c>
      <c r="E1825" s="138">
        <v>6323.3</v>
      </c>
      <c r="F1825" s="145">
        <v>42870</v>
      </c>
      <c r="G1825" s="140">
        <v>6323.3</v>
      </c>
      <c r="H1825" s="138">
        <f t="shared" si="29"/>
        <v>0</v>
      </c>
      <c r="I1825" s="141" t="s">
        <v>15214</v>
      </c>
    </row>
    <row r="1826" spans="1:9" x14ac:dyDescent="0.25">
      <c r="A1826" s="135">
        <v>42869</v>
      </c>
      <c r="B1826" s="142" t="s">
        <v>17333</v>
      </c>
      <c r="C1826" s="143">
        <v>111875</v>
      </c>
      <c r="D1826" s="142" t="s">
        <v>15291</v>
      </c>
      <c r="E1826" s="144">
        <v>768</v>
      </c>
      <c r="F1826" s="145">
        <v>42870</v>
      </c>
      <c r="G1826" s="146">
        <v>768</v>
      </c>
      <c r="H1826" s="138">
        <f t="shared" si="29"/>
        <v>0</v>
      </c>
      <c r="I1826" s="147" t="s">
        <v>15214</v>
      </c>
    </row>
    <row r="1827" spans="1:9" x14ac:dyDescent="0.25">
      <c r="A1827" s="135">
        <v>42869</v>
      </c>
      <c r="B1827" s="136" t="s">
        <v>17334</v>
      </c>
      <c r="C1827" s="137">
        <v>111876</v>
      </c>
      <c r="D1827" s="136" t="s">
        <v>15311</v>
      </c>
      <c r="E1827" s="138">
        <v>2235</v>
      </c>
      <c r="F1827" s="145">
        <v>42870</v>
      </c>
      <c r="G1827" s="140">
        <v>2235</v>
      </c>
      <c r="H1827" s="138">
        <f t="shared" si="29"/>
        <v>0</v>
      </c>
      <c r="I1827" s="141" t="s">
        <v>15214</v>
      </c>
    </row>
    <row r="1828" spans="1:9" x14ac:dyDescent="0.25">
      <c r="A1828" s="135">
        <v>42869</v>
      </c>
      <c r="B1828" s="142" t="s">
        <v>17335</v>
      </c>
      <c r="C1828" s="143">
        <v>111877</v>
      </c>
      <c r="D1828" s="142" t="s">
        <v>16463</v>
      </c>
      <c r="E1828" s="144">
        <v>6060</v>
      </c>
      <c r="F1828" s="145">
        <v>42870</v>
      </c>
      <c r="G1828" s="146">
        <v>6060</v>
      </c>
      <c r="H1828" s="138">
        <f t="shared" si="29"/>
        <v>0</v>
      </c>
      <c r="I1828" s="147" t="s">
        <v>15214</v>
      </c>
    </row>
    <row r="1829" spans="1:9" x14ac:dyDescent="0.25">
      <c r="A1829" s="135">
        <v>42869</v>
      </c>
      <c r="B1829" s="136" t="s">
        <v>17336</v>
      </c>
      <c r="C1829" s="137">
        <v>111878</v>
      </c>
      <c r="D1829" s="136" t="s">
        <v>15315</v>
      </c>
      <c r="E1829" s="138">
        <v>820.8</v>
      </c>
      <c r="F1829" s="145">
        <v>42870</v>
      </c>
      <c r="G1829" s="140">
        <v>820.8</v>
      </c>
      <c r="H1829" s="138">
        <f t="shared" si="29"/>
        <v>0</v>
      </c>
      <c r="I1829" s="141" t="s">
        <v>15214</v>
      </c>
    </row>
    <row r="1830" spans="1:9" x14ac:dyDescent="0.25">
      <c r="A1830" s="135">
        <v>42869</v>
      </c>
      <c r="B1830" s="142" t="s">
        <v>17337</v>
      </c>
      <c r="C1830" s="143">
        <v>111879</v>
      </c>
      <c r="D1830" s="142" t="s">
        <v>15745</v>
      </c>
      <c r="E1830" s="144">
        <v>1371.76</v>
      </c>
      <c r="F1830" s="145">
        <v>42870</v>
      </c>
      <c r="G1830" s="146">
        <v>1371.76</v>
      </c>
      <c r="H1830" s="138">
        <f t="shared" si="29"/>
        <v>0</v>
      </c>
      <c r="I1830" s="147" t="s">
        <v>15214</v>
      </c>
    </row>
    <row r="1831" spans="1:9" x14ac:dyDescent="0.25">
      <c r="A1831" s="135">
        <v>42869</v>
      </c>
      <c r="B1831" s="136" t="s">
        <v>17338</v>
      </c>
      <c r="C1831" s="137">
        <v>111880</v>
      </c>
      <c r="D1831" s="136" t="s">
        <v>15315</v>
      </c>
      <c r="E1831" s="138">
        <v>2959.2</v>
      </c>
      <c r="F1831" s="139">
        <v>42869</v>
      </c>
      <c r="G1831" s="140">
        <v>2959.2</v>
      </c>
      <c r="H1831" s="138">
        <f t="shared" si="29"/>
        <v>0</v>
      </c>
      <c r="I1831" s="141" t="s">
        <v>15214</v>
      </c>
    </row>
    <row r="1832" spans="1:9" x14ac:dyDescent="0.25">
      <c r="A1832" s="135">
        <v>42869</v>
      </c>
      <c r="B1832" s="142" t="s">
        <v>17339</v>
      </c>
      <c r="C1832" s="143">
        <v>111881</v>
      </c>
      <c r="D1832" s="142" t="s">
        <v>15566</v>
      </c>
      <c r="E1832" s="144">
        <v>487.5</v>
      </c>
      <c r="F1832" s="145">
        <v>42869</v>
      </c>
      <c r="G1832" s="146">
        <v>487.5</v>
      </c>
      <c r="H1832" s="138">
        <f t="shared" si="29"/>
        <v>0</v>
      </c>
      <c r="I1832" s="147" t="s">
        <v>15214</v>
      </c>
    </row>
    <row r="1833" spans="1:9" x14ac:dyDescent="0.25">
      <c r="A1833" s="135">
        <v>42869</v>
      </c>
      <c r="B1833" s="136" t="s">
        <v>17340</v>
      </c>
      <c r="C1833" s="137">
        <v>111882</v>
      </c>
      <c r="D1833" s="136" t="s">
        <v>15624</v>
      </c>
      <c r="E1833" s="138">
        <v>34102.9</v>
      </c>
      <c r="F1833" s="139">
        <v>42870</v>
      </c>
      <c r="G1833" s="140">
        <v>34102.9</v>
      </c>
      <c r="H1833" s="138">
        <f t="shared" si="29"/>
        <v>0</v>
      </c>
      <c r="I1833" s="141" t="s">
        <v>15214</v>
      </c>
    </row>
    <row r="1834" spans="1:9" x14ac:dyDescent="0.25">
      <c r="A1834" s="135">
        <v>42869</v>
      </c>
      <c r="B1834" s="142" t="s">
        <v>17341</v>
      </c>
      <c r="C1834" s="143">
        <v>111883</v>
      </c>
      <c r="D1834" s="142" t="s">
        <v>15246</v>
      </c>
      <c r="E1834" s="144">
        <v>1228</v>
      </c>
      <c r="F1834" s="145">
        <v>42872</v>
      </c>
      <c r="G1834" s="146">
        <v>1228</v>
      </c>
      <c r="H1834" s="138">
        <f t="shared" si="29"/>
        <v>0</v>
      </c>
      <c r="I1834" s="147" t="s">
        <v>15214</v>
      </c>
    </row>
    <row r="1835" spans="1:9" x14ac:dyDescent="0.25">
      <c r="A1835" s="135">
        <v>42869</v>
      </c>
      <c r="B1835" s="136" t="s">
        <v>17342</v>
      </c>
      <c r="C1835" s="137">
        <v>111884</v>
      </c>
      <c r="D1835" s="136" t="s">
        <v>16126</v>
      </c>
      <c r="E1835" s="138">
        <v>881.4</v>
      </c>
      <c r="F1835" s="139">
        <v>42869</v>
      </c>
      <c r="G1835" s="140">
        <v>881.4</v>
      </c>
      <c r="H1835" s="138">
        <f t="shared" si="29"/>
        <v>0</v>
      </c>
      <c r="I1835" s="141" t="s">
        <v>15214</v>
      </c>
    </row>
    <row r="1836" spans="1:9" x14ac:dyDescent="0.25">
      <c r="A1836" s="135">
        <v>42869</v>
      </c>
      <c r="B1836" s="142" t="s">
        <v>17343</v>
      </c>
      <c r="C1836" s="143">
        <v>111885</v>
      </c>
      <c r="D1836" s="142" t="s">
        <v>15315</v>
      </c>
      <c r="E1836" s="144">
        <v>61.2</v>
      </c>
      <c r="F1836" s="145">
        <v>42869</v>
      </c>
      <c r="G1836" s="146">
        <v>61.2</v>
      </c>
      <c r="H1836" s="138">
        <f t="shared" si="29"/>
        <v>0</v>
      </c>
      <c r="I1836" s="147" t="s">
        <v>15214</v>
      </c>
    </row>
    <row r="1837" spans="1:9" x14ac:dyDescent="0.25">
      <c r="A1837" s="135">
        <v>42869</v>
      </c>
      <c r="B1837" s="136" t="s">
        <v>17344</v>
      </c>
      <c r="C1837" s="137">
        <v>111886</v>
      </c>
      <c r="D1837" s="136" t="s">
        <v>15250</v>
      </c>
      <c r="E1837" s="138">
        <v>35501.35</v>
      </c>
      <c r="F1837" s="139">
        <v>42877</v>
      </c>
      <c r="G1837" s="140">
        <v>35501.35</v>
      </c>
      <c r="H1837" s="138">
        <f t="shared" si="29"/>
        <v>0</v>
      </c>
      <c r="I1837" s="141" t="s">
        <v>15214</v>
      </c>
    </row>
    <row r="1838" spans="1:9" x14ac:dyDescent="0.25">
      <c r="A1838" s="135">
        <v>42870</v>
      </c>
      <c r="B1838" s="142" t="s">
        <v>17345</v>
      </c>
      <c r="C1838" s="143">
        <v>111887</v>
      </c>
      <c r="D1838" s="142" t="s">
        <v>15213</v>
      </c>
      <c r="E1838" s="144">
        <v>6225.4</v>
      </c>
      <c r="F1838" s="145">
        <v>42871</v>
      </c>
      <c r="G1838" s="146">
        <v>6225.4</v>
      </c>
      <c r="H1838" s="138">
        <f t="shared" si="29"/>
        <v>0</v>
      </c>
      <c r="I1838" s="147" t="s">
        <v>15214</v>
      </c>
    </row>
    <row r="1839" spans="1:9" x14ac:dyDescent="0.25">
      <c r="A1839" s="135">
        <v>42870</v>
      </c>
      <c r="B1839" s="136" t="s">
        <v>17346</v>
      </c>
      <c r="C1839" s="137">
        <v>111888</v>
      </c>
      <c r="D1839" s="136" t="s">
        <v>15213</v>
      </c>
      <c r="E1839" s="138">
        <v>30011</v>
      </c>
      <c r="F1839" s="139">
        <v>42871</v>
      </c>
      <c r="G1839" s="140">
        <v>30011</v>
      </c>
      <c r="H1839" s="138">
        <f t="shared" si="29"/>
        <v>0</v>
      </c>
      <c r="I1839" s="141" t="s">
        <v>15214</v>
      </c>
    </row>
    <row r="1840" spans="1:9" x14ac:dyDescent="0.25">
      <c r="A1840" s="135">
        <v>42870</v>
      </c>
      <c r="B1840" s="142" t="s">
        <v>17347</v>
      </c>
      <c r="C1840" s="143">
        <v>111889</v>
      </c>
      <c r="D1840" s="142" t="s">
        <v>15315</v>
      </c>
      <c r="E1840" s="144">
        <v>11407.2</v>
      </c>
      <c r="F1840" s="145">
        <v>42870</v>
      </c>
      <c r="G1840" s="146">
        <v>11407.2</v>
      </c>
      <c r="H1840" s="138">
        <f t="shared" si="29"/>
        <v>0</v>
      </c>
      <c r="I1840" s="147" t="s">
        <v>15214</v>
      </c>
    </row>
    <row r="1841" spans="1:9" x14ac:dyDescent="0.25">
      <c r="A1841" s="135">
        <v>42870</v>
      </c>
      <c r="B1841" s="136" t="s">
        <v>17348</v>
      </c>
      <c r="C1841" s="137">
        <v>111890</v>
      </c>
      <c r="D1841" s="136" t="s">
        <v>15226</v>
      </c>
      <c r="E1841" s="138">
        <v>2160</v>
      </c>
      <c r="F1841" s="139">
        <v>42870</v>
      </c>
      <c r="G1841" s="140">
        <v>2160</v>
      </c>
      <c r="H1841" s="138">
        <f t="shared" si="29"/>
        <v>0</v>
      </c>
      <c r="I1841" s="141" t="s">
        <v>15214</v>
      </c>
    </row>
    <row r="1842" spans="1:9" x14ac:dyDescent="0.25">
      <c r="A1842" s="135">
        <v>42870</v>
      </c>
      <c r="B1842" s="142" t="s">
        <v>17349</v>
      </c>
      <c r="C1842" s="143">
        <v>111891</v>
      </c>
      <c r="D1842" s="142" t="s">
        <v>15263</v>
      </c>
      <c r="E1842" s="144">
        <v>4637.8999999999996</v>
      </c>
      <c r="F1842" s="145">
        <v>42870</v>
      </c>
      <c r="G1842" s="146">
        <v>4637.8999999999996</v>
      </c>
      <c r="H1842" s="138">
        <f t="shared" si="29"/>
        <v>0</v>
      </c>
      <c r="I1842" s="147" t="s">
        <v>15214</v>
      </c>
    </row>
    <row r="1843" spans="1:9" x14ac:dyDescent="0.25">
      <c r="A1843" s="135">
        <v>42870</v>
      </c>
      <c r="B1843" s="136" t="s">
        <v>17350</v>
      </c>
      <c r="C1843" s="137">
        <v>111892</v>
      </c>
      <c r="D1843" s="136" t="s">
        <v>15272</v>
      </c>
      <c r="E1843" s="138">
        <v>26807</v>
      </c>
      <c r="F1843" s="139">
        <v>42870</v>
      </c>
      <c r="G1843" s="140">
        <v>26807</v>
      </c>
      <c r="H1843" s="138">
        <f t="shared" si="29"/>
        <v>0</v>
      </c>
      <c r="I1843" s="141" t="s">
        <v>15214</v>
      </c>
    </row>
    <row r="1844" spans="1:9" x14ac:dyDescent="0.25">
      <c r="A1844" s="135">
        <v>42870</v>
      </c>
      <c r="B1844" s="142" t="s">
        <v>17351</v>
      </c>
      <c r="C1844" s="143">
        <v>111893</v>
      </c>
      <c r="D1844" s="142" t="s">
        <v>15232</v>
      </c>
      <c r="E1844" s="144">
        <v>5708.6</v>
      </c>
      <c r="F1844" s="145">
        <v>42873</v>
      </c>
      <c r="G1844" s="146">
        <v>5708.6</v>
      </c>
      <c r="H1844" s="138">
        <f t="shared" si="29"/>
        <v>0</v>
      </c>
      <c r="I1844" s="147" t="s">
        <v>15214</v>
      </c>
    </row>
    <row r="1845" spans="1:9" x14ac:dyDescent="0.25">
      <c r="A1845" s="135">
        <v>42870</v>
      </c>
      <c r="B1845" s="136" t="s">
        <v>17352</v>
      </c>
      <c r="C1845" s="137">
        <v>111894</v>
      </c>
      <c r="D1845" s="136" t="s">
        <v>15350</v>
      </c>
      <c r="E1845" s="138">
        <v>720</v>
      </c>
      <c r="F1845" s="139">
        <v>42871</v>
      </c>
      <c r="G1845" s="140">
        <v>720</v>
      </c>
      <c r="H1845" s="138">
        <f t="shared" si="29"/>
        <v>0</v>
      </c>
      <c r="I1845" s="141" t="s">
        <v>15214</v>
      </c>
    </row>
    <row r="1846" spans="1:9" x14ac:dyDescent="0.25">
      <c r="A1846" s="135">
        <v>42870</v>
      </c>
      <c r="B1846" s="142" t="s">
        <v>17353</v>
      </c>
      <c r="C1846" s="143">
        <v>111895</v>
      </c>
      <c r="D1846" s="142" t="s">
        <v>15523</v>
      </c>
      <c r="E1846" s="144">
        <v>1920</v>
      </c>
      <c r="F1846" s="145">
        <v>42871</v>
      </c>
      <c r="G1846" s="146">
        <v>1920</v>
      </c>
      <c r="H1846" s="138">
        <f t="shared" si="29"/>
        <v>0</v>
      </c>
      <c r="I1846" s="147" t="s">
        <v>15214</v>
      </c>
    </row>
    <row r="1847" spans="1:9" x14ac:dyDescent="0.25">
      <c r="A1847" s="135">
        <v>42870</v>
      </c>
      <c r="B1847" s="136" t="s">
        <v>17354</v>
      </c>
      <c r="C1847" s="137">
        <v>111896</v>
      </c>
      <c r="D1847" s="136" t="s">
        <v>15258</v>
      </c>
      <c r="E1847" s="138">
        <v>12211.2</v>
      </c>
      <c r="F1847" s="139">
        <v>42871</v>
      </c>
      <c r="G1847" s="140">
        <v>12211.2</v>
      </c>
      <c r="H1847" s="138">
        <f t="shared" si="29"/>
        <v>0</v>
      </c>
      <c r="I1847" s="141" t="s">
        <v>15214</v>
      </c>
    </row>
    <row r="1848" spans="1:9" x14ac:dyDescent="0.25">
      <c r="A1848" s="135">
        <v>42870</v>
      </c>
      <c r="B1848" s="142" t="s">
        <v>17355</v>
      </c>
      <c r="C1848" s="143">
        <v>111897</v>
      </c>
      <c r="D1848" s="142" t="s">
        <v>15236</v>
      </c>
      <c r="E1848" s="144">
        <v>2786.4</v>
      </c>
      <c r="F1848" s="145">
        <v>42872</v>
      </c>
      <c r="G1848" s="146">
        <v>2786.4</v>
      </c>
      <c r="H1848" s="138">
        <f t="shared" si="29"/>
        <v>0</v>
      </c>
      <c r="I1848" s="147" t="s">
        <v>15214</v>
      </c>
    </row>
    <row r="1849" spans="1:9" x14ac:dyDescent="0.25">
      <c r="A1849" s="135">
        <v>42870</v>
      </c>
      <c r="B1849" s="136" t="s">
        <v>17356</v>
      </c>
      <c r="C1849" s="137">
        <v>111898</v>
      </c>
      <c r="D1849" s="136" t="s">
        <v>15226</v>
      </c>
      <c r="E1849" s="138">
        <v>2020.8</v>
      </c>
      <c r="F1849" s="139">
        <v>42872</v>
      </c>
      <c r="G1849" s="140">
        <v>2020.8</v>
      </c>
      <c r="H1849" s="138">
        <f t="shared" si="29"/>
        <v>0</v>
      </c>
      <c r="I1849" s="141" t="s">
        <v>15214</v>
      </c>
    </row>
    <row r="1850" spans="1:9" x14ac:dyDescent="0.25">
      <c r="A1850" s="135">
        <v>42870</v>
      </c>
      <c r="B1850" s="142" t="s">
        <v>17357</v>
      </c>
      <c r="C1850" s="143">
        <v>111899</v>
      </c>
      <c r="D1850" s="142" t="s">
        <v>15334</v>
      </c>
      <c r="E1850" s="144">
        <v>3034</v>
      </c>
      <c r="F1850" s="145">
        <v>42871</v>
      </c>
      <c r="G1850" s="146">
        <v>3034</v>
      </c>
      <c r="H1850" s="138">
        <f t="shared" si="29"/>
        <v>0</v>
      </c>
      <c r="I1850" s="147" t="s">
        <v>15214</v>
      </c>
    </row>
    <row r="1851" spans="1:9" x14ac:dyDescent="0.25">
      <c r="A1851" s="135">
        <v>42870</v>
      </c>
      <c r="B1851" s="136" t="s">
        <v>17358</v>
      </c>
      <c r="C1851" s="137">
        <v>111900</v>
      </c>
      <c r="D1851" s="136" t="s">
        <v>15230</v>
      </c>
      <c r="E1851" s="138">
        <v>9608.5</v>
      </c>
      <c r="F1851" s="139">
        <v>42873</v>
      </c>
      <c r="G1851" s="140">
        <v>9608.5</v>
      </c>
      <c r="H1851" s="138">
        <f t="shared" si="29"/>
        <v>0</v>
      </c>
      <c r="I1851" s="141" t="s">
        <v>15214</v>
      </c>
    </row>
    <row r="1852" spans="1:9" x14ac:dyDescent="0.25">
      <c r="A1852" s="135">
        <v>42870</v>
      </c>
      <c r="B1852" s="142" t="s">
        <v>17359</v>
      </c>
      <c r="C1852" s="143">
        <v>111901</v>
      </c>
      <c r="D1852" s="142" t="s">
        <v>15668</v>
      </c>
      <c r="E1852" s="144">
        <v>6098.4</v>
      </c>
      <c r="F1852" s="145">
        <v>42872</v>
      </c>
      <c r="G1852" s="146">
        <v>6098.4</v>
      </c>
      <c r="H1852" s="138">
        <f t="shared" si="29"/>
        <v>0</v>
      </c>
      <c r="I1852" s="147" t="s">
        <v>15214</v>
      </c>
    </row>
    <row r="1853" spans="1:9" x14ac:dyDescent="0.25">
      <c r="A1853" s="135">
        <v>42870</v>
      </c>
      <c r="B1853" s="136" t="s">
        <v>17360</v>
      </c>
      <c r="C1853" s="137">
        <v>111902</v>
      </c>
      <c r="D1853" s="136" t="s">
        <v>15358</v>
      </c>
      <c r="E1853" s="138">
        <v>1264.3</v>
      </c>
      <c r="F1853" s="139">
        <v>42871</v>
      </c>
      <c r="G1853" s="140">
        <v>1264.3</v>
      </c>
      <c r="H1853" s="138">
        <f t="shared" si="29"/>
        <v>0</v>
      </c>
      <c r="I1853" s="141" t="s">
        <v>15214</v>
      </c>
    </row>
    <row r="1854" spans="1:9" x14ac:dyDescent="0.25">
      <c r="A1854" s="135">
        <v>42870</v>
      </c>
      <c r="B1854" s="142" t="s">
        <v>17361</v>
      </c>
      <c r="C1854" s="143">
        <v>111903</v>
      </c>
      <c r="D1854" s="142" t="s">
        <v>15340</v>
      </c>
      <c r="E1854" s="144">
        <v>2525.4</v>
      </c>
      <c r="F1854" s="145">
        <v>42871</v>
      </c>
      <c r="G1854" s="146">
        <v>2525.4</v>
      </c>
      <c r="H1854" s="138">
        <f t="shared" si="29"/>
        <v>0</v>
      </c>
      <c r="I1854" s="147" t="s">
        <v>15214</v>
      </c>
    </row>
    <row r="1855" spans="1:9" x14ac:dyDescent="0.25">
      <c r="A1855" s="135">
        <v>42870</v>
      </c>
      <c r="B1855" s="136" t="s">
        <v>17362</v>
      </c>
      <c r="C1855" s="137">
        <v>111904</v>
      </c>
      <c r="D1855" s="136" t="s">
        <v>5575</v>
      </c>
      <c r="E1855" s="138">
        <v>7432.8</v>
      </c>
      <c r="F1855" s="139">
        <v>42874</v>
      </c>
      <c r="G1855" s="140">
        <v>7432.8</v>
      </c>
      <c r="H1855" s="138">
        <f t="shared" si="29"/>
        <v>0</v>
      </c>
      <c r="I1855" s="141" t="s">
        <v>15214</v>
      </c>
    </row>
    <row r="1856" spans="1:9" x14ac:dyDescent="0.25">
      <c r="A1856" s="135">
        <v>42870</v>
      </c>
      <c r="B1856" s="142" t="s">
        <v>17363</v>
      </c>
      <c r="C1856" s="143">
        <v>111905</v>
      </c>
      <c r="D1856" s="142" t="s">
        <v>15234</v>
      </c>
      <c r="E1856" s="144">
        <v>3503.9</v>
      </c>
      <c r="F1856" s="145" t="s">
        <v>17364</v>
      </c>
      <c r="G1856" s="146">
        <f>3000+503.9</f>
        <v>3503.9</v>
      </c>
      <c r="H1856" s="138">
        <f t="shared" si="29"/>
        <v>0</v>
      </c>
      <c r="I1856" s="147" t="s">
        <v>15214</v>
      </c>
    </row>
    <row r="1857" spans="1:9" x14ac:dyDescent="0.25">
      <c r="A1857" s="135">
        <v>42870</v>
      </c>
      <c r="B1857" s="136" t="s">
        <v>17365</v>
      </c>
      <c r="C1857" s="137">
        <v>111906</v>
      </c>
      <c r="D1857" s="136" t="s">
        <v>15336</v>
      </c>
      <c r="E1857" s="138">
        <v>3671.6</v>
      </c>
      <c r="F1857" s="159">
        <v>42871</v>
      </c>
      <c r="G1857" s="138">
        <v>3671.6</v>
      </c>
      <c r="H1857" s="138">
        <f t="shared" si="29"/>
        <v>0</v>
      </c>
      <c r="I1857" s="141" t="s">
        <v>15214</v>
      </c>
    </row>
    <row r="1858" spans="1:9" x14ac:dyDescent="0.25">
      <c r="A1858" s="135">
        <v>42870</v>
      </c>
      <c r="B1858" s="142" t="s">
        <v>17366</v>
      </c>
      <c r="C1858" s="143">
        <v>111907</v>
      </c>
      <c r="D1858" s="142" t="s">
        <v>15242</v>
      </c>
      <c r="E1858" s="144">
        <v>4689</v>
      </c>
      <c r="F1858" s="145">
        <v>42870</v>
      </c>
      <c r="G1858" s="146">
        <v>4689</v>
      </c>
      <c r="H1858" s="138">
        <f t="shared" si="29"/>
        <v>0</v>
      </c>
      <c r="I1858" s="147" t="s">
        <v>15214</v>
      </c>
    </row>
    <row r="1859" spans="1:9" x14ac:dyDescent="0.25">
      <c r="A1859" s="135">
        <v>42870</v>
      </c>
      <c r="B1859" s="136" t="s">
        <v>17367</v>
      </c>
      <c r="C1859" s="137">
        <v>111908</v>
      </c>
      <c r="D1859" s="136" t="s">
        <v>15742</v>
      </c>
      <c r="E1859" s="138">
        <v>2484</v>
      </c>
      <c r="F1859" s="139">
        <v>42871</v>
      </c>
      <c r="G1859" s="140">
        <v>2484</v>
      </c>
      <c r="H1859" s="138">
        <f t="shared" si="29"/>
        <v>0</v>
      </c>
      <c r="I1859" s="141" t="s">
        <v>15214</v>
      </c>
    </row>
    <row r="1860" spans="1:9" x14ac:dyDescent="0.25">
      <c r="A1860" s="135">
        <v>42870</v>
      </c>
      <c r="B1860" s="142" t="s">
        <v>17368</v>
      </c>
      <c r="C1860" s="143">
        <v>111909</v>
      </c>
      <c r="D1860" s="142" t="s">
        <v>15328</v>
      </c>
      <c r="E1860" s="144">
        <v>48161</v>
      </c>
      <c r="F1860" s="145">
        <v>42880</v>
      </c>
      <c r="G1860" s="146">
        <v>48161</v>
      </c>
      <c r="H1860" s="138">
        <f t="shared" ref="H1860:H1923" si="30">E1860-G1860</f>
        <v>0</v>
      </c>
      <c r="I1860" s="147" t="s">
        <v>15214</v>
      </c>
    </row>
    <row r="1861" spans="1:9" x14ac:dyDescent="0.25">
      <c r="A1861" s="135">
        <v>42870</v>
      </c>
      <c r="B1861" s="136" t="s">
        <v>17369</v>
      </c>
      <c r="C1861" s="137">
        <v>111910</v>
      </c>
      <c r="D1861" s="136" t="s">
        <v>15348</v>
      </c>
      <c r="E1861" s="138">
        <v>2815.8</v>
      </c>
      <c r="F1861" s="139">
        <v>42871</v>
      </c>
      <c r="G1861" s="140">
        <v>2815.8</v>
      </c>
      <c r="H1861" s="138">
        <f t="shared" si="30"/>
        <v>0</v>
      </c>
      <c r="I1861" s="141" t="s">
        <v>15214</v>
      </c>
    </row>
    <row r="1862" spans="1:9" x14ac:dyDescent="0.25">
      <c r="A1862" s="135">
        <v>42870</v>
      </c>
      <c r="B1862" s="142" t="s">
        <v>17370</v>
      </c>
      <c r="C1862" s="143">
        <v>111911</v>
      </c>
      <c r="D1862" s="142" t="s">
        <v>15480</v>
      </c>
      <c r="E1862" s="144">
        <v>6062.4</v>
      </c>
      <c r="F1862" s="145">
        <v>42877</v>
      </c>
      <c r="G1862" s="146">
        <v>6062.4</v>
      </c>
      <c r="H1862" s="138">
        <f t="shared" si="30"/>
        <v>0</v>
      </c>
      <c r="I1862" s="147" t="s">
        <v>15214</v>
      </c>
    </row>
    <row r="1863" spans="1:9" x14ac:dyDescent="0.25">
      <c r="A1863" s="135">
        <v>42870</v>
      </c>
      <c r="B1863" s="136" t="s">
        <v>17371</v>
      </c>
      <c r="C1863" s="137">
        <v>111912</v>
      </c>
      <c r="D1863" s="136" t="s">
        <v>15240</v>
      </c>
      <c r="E1863" s="138">
        <v>3038.4</v>
      </c>
      <c r="F1863" s="139">
        <v>42871</v>
      </c>
      <c r="G1863" s="140">
        <v>3038.4</v>
      </c>
      <c r="H1863" s="138">
        <f t="shared" si="30"/>
        <v>0</v>
      </c>
      <c r="I1863" s="141" t="s">
        <v>15214</v>
      </c>
    </row>
    <row r="1864" spans="1:9" x14ac:dyDescent="0.25">
      <c r="A1864" s="135">
        <v>42870</v>
      </c>
      <c r="B1864" s="142" t="s">
        <v>17372</v>
      </c>
      <c r="C1864" s="143">
        <v>111913</v>
      </c>
      <c r="D1864" s="142" t="s">
        <v>15526</v>
      </c>
      <c r="E1864" s="144">
        <v>6247.1</v>
      </c>
      <c r="F1864" s="145">
        <v>42871</v>
      </c>
      <c r="G1864" s="146">
        <v>6247.1</v>
      </c>
      <c r="H1864" s="138">
        <f t="shared" si="30"/>
        <v>0</v>
      </c>
      <c r="I1864" s="147" t="s">
        <v>15214</v>
      </c>
    </row>
    <row r="1865" spans="1:9" x14ac:dyDescent="0.25">
      <c r="A1865" s="135">
        <v>42870</v>
      </c>
      <c r="B1865" s="136" t="s">
        <v>17373</v>
      </c>
      <c r="C1865" s="137">
        <v>111914</v>
      </c>
      <c r="D1865" s="136" t="s">
        <v>16171</v>
      </c>
      <c r="E1865" s="138">
        <v>428.4</v>
      </c>
      <c r="F1865" s="139">
        <v>42871</v>
      </c>
      <c r="G1865" s="140">
        <v>428.4</v>
      </c>
      <c r="H1865" s="138">
        <f t="shared" si="30"/>
        <v>0</v>
      </c>
      <c r="I1865" s="141" t="s">
        <v>15214</v>
      </c>
    </row>
    <row r="1866" spans="1:9" x14ac:dyDescent="0.25">
      <c r="A1866" s="135">
        <v>42870</v>
      </c>
      <c r="B1866" s="142" t="s">
        <v>17374</v>
      </c>
      <c r="C1866" s="143">
        <v>111915</v>
      </c>
      <c r="D1866" s="142" t="s">
        <v>15858</v>
      </c>
      <c r="E1866" s="144">
        <v>285.60000000000002</v>
      </c>
      <c r="F1866" s="145">
        <v>42871</v>
      </c>
      <c r="G1866" s="146">
        <v>285.60000000000002</v>
      </c>
      <c r="H1866" s="138">
        <f t="shared" si="30"/>
        <v>0</v>
      </c>
      <c r="I1866" s="147" t="s">
        <v>15214</v>
      </c>
    </row>
    <row r="1867" spans="1:9" x14ac:dyDescent="0.25">
      <c r="A1867" s="135">
        <v>42870</v>
      </c>
      <c r="B1867" s="136" t="s">
        <v>17375</v>
      </c>
      <c r="C1867" s="137">
        <v>111916</v>
      </c>
      <c r="D1867" s="136" t="s">
        <v>15356</v>
      </c>
      <c r="E1867" s="138">
        <v>1583.9</v>
      </c>
      <c r="F1867" s="139">
        <v>42871</v>
      </c>
      <c r="G1867" s="140">
        <v>1583.9</v>
      </c>
      <c r="H1867" s="138">
        <f t="shared" si="30"/>
        <v>0</v>
      </c>
      <c r="I1867" s="141" t="s">
        <v>15214</v>
      </c>
    </row>
    <row r="1868" spans="1:9" x14ac:dyDescent="0.25">
      <c r="A1868" s="135">
        <v>42870</v>
      </c>
      <c r="B1868" s="142" t="s">
        <v>17376</v>
      </c>
      <c r="C1868" s="143">
        <v>111917</v>
      </c>
      <c r="D1868" s="142" t="s">
        <v>15415</v>
      </c>
      <c r="E1868" s="144">
        <v>2974.5</v>
      </c>
      <c r="F1868" s="145">
        <v>42872</v>
      </c>
      <c r="G1868" s="146">
        <v>2974.5</v>
      </c>
      <c r="H1868" s="138">
        <f t="shared" si="30"/>
        <v>0</v>
      </c>
      <c r="I1868" s="147" t="s">
        <v>15214</v>
      </c>
    </row>
    <row r="1869" spans="1:9" x14ac:dyDescent="0.25">
      <c r="A1869" s="135">
        <v>42870</v>
      </c>
      <c r="B1869" s="136" t="s">
        <v>17377</v>
      </c>
      <c r="C1869" s="137">
        <v>111918</v>
      </c>
      <c r="D1869" s="136" t="s">
        <v>15317</v>
      </c>
      <c r="E1869" s="138">
        <v>2812.5</v>
      </c>
      <c r="F1869" s="139">
        <v>42872</v>
      </c>
      <c r="G1869" s="140">
        <v>2812.5</v>
      </c>
      <c r="H1869" s="138">
        <f t="shared" si="30"/>
        <v>0</v>
      </c>
      <c r="I1869" s="141" t="s">
        <v>15214</v>
      </c>
    </row>
    <row r="1870" spans="1:9" x14ac:dyDescent="0.25">
      <c r="A1870" s="135">
        <v>42870</v>
      </c>
      <c r="B1870" s="142" t="s">
        <v>17378</v>
      </c>
      <c r="C1870" s="143">
        <v>111919</v>
      </c>
      <c r="D1870" s="142" t="s">
        <v>15303</v>
      </c>
      <c r="E1870" s="144">
        <v>2796.8</v>
      </c>
      <c r="F1870" s="145">
        <v>42870</v>
      </c>
      <c r="G1870" s="146">
        <v>2796.8</v>
      </c>
      <c r="H1870" s="138">
        <f t="shared" si="30"/>
        <v>0</v>
      </c>
      <c r="I1870" s="147" t="s">
        <v>15214</v>
      </c>
    </row>
    <row r="1871" spans="1:9" x14ac:dyDescent="0.25">
      <c r="A1871" s="135">
        <v>42870</v>
      </c>
      <c r="B1871" s="136" t="s">
        <v>17379</v>
      </c>
      <c r="C1871" s="137">
        <v>111920</v>
      </c>
      <c r="D1871" s="136" t="s">
        <v>16261</v>
      </c>
      <c r="E1871" s="138">
        <v>3171.1</v>
      </c>
      <c r="F1871" s="139">
        <v>42871</v>
      </c>
      <c r="G1871" s="140">
        <v>3171.1</v>
      </c>
      <c r="H1871" s="138">
        <f t="shared" si="30"/>
        <v>0</v>
      </c>
      <c r="I1871" s="141" t="s">
        <v>15214</v>
      </c>
    </row>
    <row r="1872" spans="1:9" x14ac:dyDescent="0.25">
      <c r="A1872" s="135">
        <v>42870</v>
      </c>
      <c r="B1872" s="142" t="s">
        <v>17380</v>
      </c>
      <c r="C1872" s="143">
        <v>111921</v>
      </c>
      <c r="D1872" s="142" t="s">
        <v>15301</v>
      </c>
      <c r="E1872" s="144">
        <v>2824.4</v>
      </c>
      <c r="F1872" s="145">
        <v>42870</v>
      </c>
      <c r="G1872" s="146">
        <v>2824.4</v>
      </c>
      <c r="H1872" s="138">
        <f t="shared" si="30"/>
        <v>0</v>
      </c>
      <c r="I1872" s="147" t="s">
        <v>15214</v>
      </c>
    </row>
    <row r="1873" spans="1:9" x14ac:dyDescent="0.25">
      <c r="A1873" s="135">
        <v>42870</v>
      </c>
      <c r="B1873" s="136" t="s">
        <v>17381</v>
      </c>
      <c r="C1873" s="137">
        <v>111922</v>
      </c>
      <c r="D1873" s="136" t="s">
        <v>15307</v>
      </c>
      <c r="E1873" s="138">
        <v>959.4</v>
      </c>
      <c r="F1873" s="139">
        <v>42870</v>
      </c>
      <c r="G1873" s="140">
        <v>959.4</v>
      </c>
      <c r="H1873" s="138">
        <f t="shared" si="30"/>
        <v>0</v>
      </c>
      <c r="I1873" s="141" t="s">
        <v>15214</v>
      </c>
    </row>
    <row r="1874" spans="1:9" x14ac:dyDescent="0.25">
      <c r="A1874" s="135">
        <v>42870</v>
      </c>
      <c r="B1874" s="142" t="s">
        <v>17382</v>
      </c>
      <c r="C1874" s="143">
        <v>111923</v>
      </c>
      <c r="D1874" s="142" t="s">
        <v>15332</v>
      </c>
      <c r="E1874" s="144">
        <v>3910.2</v>
      </c>
      <c r="F1874" s="145">
        <v>42871</v>
      </c>
      <c r="G1874" s="146">
        <v>3910.2</v>
      </c>
      <c r="H1874" s="138">
        <f t="shared" si="30"/>
        <v>0</v>
      </c>
      <c r="I1874" s="147" t="s">
        <v>15214</v>
      </c>
    </row>
    <row r="1875" spans="1:9" x14ac:dyDescent="0.25">
      <c r="A1875" s="135">
        <v>42870</v>
      </c>
      <c r="B1875" s="136" t="s">
        <v>17383</v>
      </c>
      <c r="C1875" s="137">
        <v>111924</v>
      </c>
      <c r="D1875" s="136" t="s">
        <v>15301</v>
      </c>
      <c r="E1875" s="138">
        <v>1569.6</v>
      </c>
      <c r="F1875" s="139">
        <v>42870</v>
      </c>
      <c r="G1875" s="140">
        <v>1569.6</v>
      </c>
      <c r="H1875" s="138">
        <f t="shared" si="30"/>
        <v>0</v>
      </c>
      <c r="I1875" s="141" t="s">
        <v>15214</v>
      </c>
    </row>
    <row r="1876" spans="1:9" x14ac:dyDescent="0.25">
      <c r="A1876" s="135">
        <v>42870</v>
      </c>
      <c r="B1876" s="142" t="s">
        <v>17384</v>
      </c>
      <c r="C1876" s="143">
        <v>111925</v>
      </c>
      <c r="D1876" s="142" t="s">
        <v>16484</v>
      </c>
      <c r="E1876" s="144">
        <v>1624</v>
      </c>
      <c r="F1876" s="145">
        <v>42870</v>
      </c>
      <c r="G1876" s="146">
        <v>1624</v>
      </c>
      <c r="H1876" s="138">
        <f t="shared" si="30"/>
        <v>0</v>
      </c>
      <c r="I1876" s="147" t="s">
        <v>15214</v>
      </c>
    </row>
    <row r="1877" spans="1:9" x14ac:dyDescent="0.25">
      <c r="A1877" s="135">
        <v>42870</v>
      </c>
      <c r="B1877" s="136" t="s">
        <v>17385</v>
      </c>
      <c r="C1877" s="137">
        <v>111926</v>
      </c>
      <c r="D1877" s="136" t="s">
        <v>15309</v>
      </c>
      <c r="E1877" s="138">
        <v>11905.2</v>
      </c>
      <c r="F1877" s="139">
        <v>42870</v>
      </c>
      <c r="G1877" s="140">
        <v>11905.2</v>
      </c>
      <c r="H1877" s="138">
        <f t="shared" si="30"/>
        <v>0</v>
      </c>
      <c r="I1877" s="141" t="s">
        <v>15214</v>
      </c>
    </row>
    <row r="1878" spans="1:9" x14ac:dyDescent="0.25">
      <c r="A1878" s="135">
        <v>42870</v>
      </c>
      <c r="B1878" s="142" t="s">
        <v>17386</v>
      </c>
      <c r="C1878" s="143">
        <v>111927</v>
      </c>
      <c r="D1878" s="142" t="s">
        <v>15223</v>
      </c>
      <c r="E1878" s="144">
        <v>46499.199999999997</v>
      </c>
      <c r="F1878" s="145">
        <v>42882</v>
      </c>
      <c r="G1878" s="146">
        <v>46499.199999999997</v>
      </c>
      <c r="H1878" s="138">
        <f t="shared" si="30"/>
        <v>0</v>
      </c>
      <c r="I1878" s="147" t="s">
        <v>15214</v>
      </c>
    </row>
    <row r="1879" spans="1:9" x14ac:dyDescent="0.25">
      <c r="A1879" s="135">
        <v>42870</v>
      </c>
      <c r="B1879" s="136" t="s">
        <v>17387</v>
      </c>
      <c r="C1879" s="137">
        <v>111928</v>
      </c>
      <c r="D1879" s="136" t="s">
        <v>15748</v>
      </c>
      <c r="E1879" s="138">
        <v>3105.36</v>
      </c>
      <c r="F1879" s="139">
        <v>42874</v>
      </c>
      <c r="G1879" s="140">
        <v>3105.36</v>
      </c>
      <c r="H1879" s="138">
        <f t="shared" si="30"/>
        <v>0</v>
      </c>
      <c r="I1879" s="141" t="s">
        <v>15214</v>
      </c>
    </row>
    <row r="1880" spans="1:9" x14ac:dyDescent="0.25">
      <c r="A1880" s="135">
        <v>42870</v>
      </c>
      <c r="B1880" s="142" t="s">
        <v>17388</v>
      </c>
      <c r="C1880" s="143">
        <v>111929</v>
      </c>
      <c r="D1880" s="142" t="s">
        <v>15442</v>
      </c>
      <c r="E1880" s="144">
        <v>19989</v>
      </c>
      <c r="F1880" s="145">
        <v>42881</v>
      </c>
      <c r="G1880" s="146">
        <v>19989</v>
      </c>
      <c r="H1880" s="138">
        <f t="shared" si="30"/>
        <v>0</v>
      </c>
      <c r="I1880" s="147" t="s">
        <v>15214</v>
      </c>
    </row>
    <row r="1881" spans="1:9" x14ac:dyDescent="0.25">
      <c r="A1881" s="135">
        <v>42870</v>
      </c>
      <c r="B1881" s="136" t="s">
        <v>17389</v>
      </c>
      <c r="C1881" s="137">
        <v>111930</v>
      </c>
      <c r="D1881" s="136" t="s">
        <v>15284</v>
      </c>
      <c r="E1881" s="138">
        <v>2373.8000000000002</v>
      </c>
      <c r="F1881" s="139">
        <v>42870</v>
      </c>
      <c r="G1881" s="140">
        <v>2373.8000000000002</v>
      </c>
      <c r="H1881" s="138">
        <f t="shared" si="30"/>
        <v>0</v>
      </c>
      <c r="I1881" s="141" t="s">
        <v>15214</v>
      </c>
    </row>
    <row r="1882" spans="1:9" x14ac:dyDescent="0.25">
      <c r="A1882" s="135">
        <v>42870</v>
      </c>
      <c r="B1882" s="142" t="s">
        <v>17390</v>
      </c>
      <c r="C1882" s="143">
        <v>111931</v>
      </c>
      <c r="D1882" s="142" t="s">
        <v>15313</v>
      </c>
      <c r="E1882" s="144">
        <v>8891.7000000000007</v>
      </c>
      <c r="F1882" s="145">
        <v>42871</v>
      </c>
      <c r="G1882" s="146">
        <v>8891.7000000000007</v>
      </c>
      <c r="H1882" s="138">
        <f t="shared" si="30"/>
        <v>0</v>
      </c>
      <c r="I1882" s="147" t="s">
        <v>15214</v>
      </c>
    </row>
    <row r="1883" spans="1:9" x14ac:dyDescent="0.25">
      <c r="A1883" s="135">
        <v>42870</v>
      </c>
      <c r="B1883" s="136" t="s">
        <v>17391</v>
      </c>
      <c r="C1883" s="137">
        <v>111932</v>
      </c>
      <c r="D1883" s="136" t="s">
        <v>15223</v>
      </c>
      <c r="E1883" s="138">
        <v>884.8</v>
      </c>
      <c r="F1883" s="139">
        <v>42870</v>
      </c>
      <c r="G1883" s="140">
        <v>884.8</v>
      </c>
      <c r="H1883" s="138">
        <f t="shared" si="30"/>
        <v>0</v>
      </c>
      <c r="I1883" s="141" t="s">
        <v>15214</v>
      </c>
    </row>
    <row r="1884" spans="1:9" x14ac:dyDescent="0.25">
      <c r="A1884" s="135">
        <v>42870</v>
      </c>
      <c r="B1884" s="142" t="s">
        <v>17392</v>
      </c>
      <c r="C1884" s="143">
        <v>111933</v>
      </c>
      <c r="D1884" s="142" t="s">
        <v>15748</v>
      </c>
      <c r="E1884" s="144">
        <v>1700.12</v>
      </c>
      <c r="F1884" s="145">
        <v>42872</v>
      </c>
      <c r="G1884" s="146">
        <v>1700.12</v>
      </c>
      <c r="H1884" s="138">
        <f t="shared" si="30"/>
        <v>0</v>
      </c>
      <c r="I1884" s="147" t="s">
        <v>15214</v>
      </c>
    </row>
    <row r="1885" spans="1:9" x14ac:dyDescent="0.25">
      <c r="A1885" s="135">
        <v>42870</v>
      </c>
      <c r="B1885" s="136" t="s">
        <v>17393</v>
      </c>
      <c r="C1885" s="137">
        <v>111934</v>
      </c>
      <c r="D1885" s="136" t="s">
        <v>15261</v>
      </c>
      <c r="E1885" s="138">
        <v>17731.7</v>
      </c>
      <c r="F1885" s="139">
        <v>42870</v>
      </c>
      <c r="G1885" s="140">
        <v>17731.7</v>
      </c>
      <c r="H1885" s="138">
        <f t="shared" si="30"/>
        <v>0</v>
      </c>
      <c r="I1885" s="141" t="s">
        <v>15214</v>
      </c>
    </row>
    <row r="1886" spans="1:9" x14ac:dyDescent="0.25">
      <c r="A1886" s="135">
        <v>42870</v>
      </c>
      <c r="B1886" s="142" t="s">
        <v>17394</v>
      </c>
      <c r="C1886" s="143">
        <v>111935</v>
      </c>
      <c r="D1886" s="142" t="s">
        <v>15248</v>
      </c>
      <c r="E1886" s="144">
        <v>10411.32</v>
      </c>
      <c r="F1886" s="145">
        <v>42870</v>
      </c>
      <c r="G1886" s="146">
        <v>10411.32</v>
      </c>
      <c r="H1886" s="138">
        <f t="shared" si="30"/>
        <v>0</v>
      </c>
      <c r="I1886" s="147" t="s">
        <v>15214</v>
      </c>
    </row>
    <row r="1887" spans="1:9" x14ac:dyDescent="0.25">
      <c r="A1887" s="135">
        <v>42870</v>
      </c>
      <c r="B1887" s="136" t="s">
        <v>17395</v>
      </c>
      <c r="C1887" s="137">
        <v>111936</v>
      </c>
      <c r="D1887" s="136" t="s">
        <v>15291</v>
      </c>
      <c r="E1887" s="138">
        <v>720</v>
      </c>
      <c r="F1887" s="139">
        <v>42870</v>
      </c>
      <c r="G1887" s="140">
        <v>720</v>
      </c>
      <c r="H1887" s="138">
        <f t="shared" si="30"/>
        <v>0</v>
      </c>
      <c r="I1887" s="141" t="s">
        <v>15214</v>
      </c>
    </row>
    <row r="1888" spans="1:9" x14ac:dyDescent="0.25">
      <c r="A1888" s="135">
        <v>42870</v>
      </c>
      <c r="B1888" s="142" t="s">
        <v>17396</v>
      </c>
      <c r="C1888" s="143">
        <v>111937</v>
      </c>
      <c r="D1888" s="142" t="s">
        <v>5880</v>
      </c>
      <c r="E1888" s="144">
        <v>17204</v>
      </c>
      <c r="F1888" s="145">
        <v>42870</v>
      </c>
      <c r="G1888" s="146">
        <v>17204</v>
      </c>
      <c r="H1888" s="138">
        <f t="shared" si="30"/>
        <v>0</v>
      </c>
      <c r="I1888" s="147" t="s">
        <v>15214</v>
      </c>
    </row>
    <row r="1889" spans="1:9" x14ac:dyDescent="0.25">
      <c r="A1889" s="135">
        <v>42870</v>
      </c>
      <c r="B1889" s="136" t="s">
        <v>17397</v>
      </c>
      <c r="C1889" s="137">
        <v>111938</v>
      </c>
      <c r="D1889" s="136" t="s">
        <v>15568</v>
      </c>
      <c r="E1889" s="138">
        <v>9715.2000000000007</v>
      </c>
      <c r="F1889" s="139">
        <v>42870</v>
      </c>
      <c r="G1889" s="140">
        <v>9715.2000000000007</v>
      </c>
      <c r="H1889" s="138">
        <f t="shared" si="30"/>
        <v>0</v>
      </c>
      <c r="I1889" s="141" t="s">
        <v>15214</v>
      </c>
    </row>
    <row r="1890" spans="1:9" x14ac:dyDescent="0.25">
      <c r="A1890" s="135">
        <v>42870</v>
      </c>
      <c r="B1890" s="142" t="s">
        <v>17398</v>
      </c>
      <c r="C1890" s="143">
        <v>111939</v>
      </c>
      <c r="D1890" s="142" t="s">
        <v>15315</v>
      </c>
      <c r="E1890" s="144">
        <v>3070.4</v>
      </c>
      <c r="F1890" s="145">
        <v>42870</v>
      </c>
      <c r="G1890" s="146">
        <v>3070.4</v>
      </c>
      <c r="H1890" s="138">
        <f t="shared" si="30"/>
        <v>0</v>
      </c>
      <c r="I1890" s="147" t="s">
        <v>15214</v>
      </c>
    </row>
    <row r="1891" spans="1:9" x14ac:dyDescent="0.25">
      <c r="A1891" s="135">
        <v>42870</v>
      </c>
      <c r="B1891" s="136" t="s">
        <v>17399</v>
      </c>
      <c r="C1891" s="137">
        <v>111940</v>
      </c>
      <c r="D1891" s="136" t="s">
        <v>15367</v>
      </c>
      <c r="E1891" s="138">
        <v>4800</v>
      </c>
      <c r="F1891" s="139">
        <v>42871</v>
      </c>
      <c r="G1891" s="140">
        <v>4800</v>
      </c>
      <c r="H1891" s="138">
        <f t="shared" si="30"/>
        <v>0</v>
      </c>
      <c r="I1891" s="141" t="s">
        <v>15214</v>
      </c>
    </row>
    <row r="1892" spans="1:9" x14ac:dyDescent="0.25">
      <c r="A1892" s="135">
        <v>42870</v>
      </c>
      <c r="B1892" s="142" t="s">
        <v>17400</v>
      </c>
      <c r="C1892" s="143">
        <v>111941</v>
      </c>
      <c r="D1892" s="142" t="s">
        <v>16740</v>
      </c>
      <c r="E1892" s="144">
        <v>3579</v>
      </c>
      <c r="F1892" s="145">
        <v>42870</v>
      </c>
      <c r="G1892" s="146">
        <v>3579</v>
      </c>
      <c r="H1892" s="138">
        <f t="shared" si="30"/>
        <v>0</v>
      </c>
      <c r="I1892" s="147" t="s">
        <v>15214</v>
      </c>
    </row>
    <row r="1893" spans="1:9" x14ac:dyDescent="0.25">
      <c r="A1893" s="135">
        <v>42870</v>
      </c>
      <c r="B1893" s="136" t="s">
        <v>17401</v>
      </c>
      <c r="C1893" s="137">
        <v>111942</v>
      </c>
      <c r="D1893" s="136" t="s">
        <v>15324</v>
      </c>
      <c r="E1893" s="138">
        <v>1960</v>
      </c>
      <c r="F1893" s="139">
        <v>42870</v>
      </c>
      <c r="G1893" s="140">
        <v>1960</v>
      </c>
      <c r="H1893" s="138">
        <f t="shared" si="30"/>
        <v>0</v>
      </c>
      <c r="I1893" s="141" t="s">
        <v>15214</v>
      </c>
    </row>
    <row r="1894" spans="1:9" x14ac:dyDescent="0.25">
      <c r="A1894" s="135">
        <v>42870</v>
      </c>
      <c r="B1894" s="142" t="s">
        <v>17402</v>
      </c>
      <c r="C1894" s="143">
        <v>111943</v>
      </c>
      <c r="D1894" s="142" t="s">
        <v>15596</v>
      </c>
      <c r="E1894" s="144">
        <v>960</v>
      </c>
      <c r="F1894" s="145">
        <v>42870</v>
      </c>
      <c r="G1894" s="146">
        <v>960</v>
      </c>
      <c r="H1894" s="138">
        <f t="shared" si="30"/>
        <v>0</v>
      </c>
      <c r="I1894" s="147" t="s">
        <v>15214</v>
      </c>
    </row>
    <row r="1895" spans="1:9" x14ac:dyDescent="0.25">
      <c r="A1895" s="135">
        <v>42870</v>
      </c>
      <c r="B1895" s="136" t="s">
        <v>17403</v>
      </c>
      <c r="C1895" s="137">
        <v>111944</v>
      </c>
      <c r="D1895" s="136" t="s">
        <v>15338</v>
      </c>
      <c r="E1895" s="138">
        <v>9780.2999999999993</v>
      </c>
      <c r="F1895" s="139">
        <v>42873</v>
      </c>
      <c r="G1895" s="140">
        <v>9780.2999999999993</v>
      </c>
      <c r="H1895" s="138">
        <f t="shared" si="30"/>
        <v>0</v>
      </c>
      <c r="I1895" s="141" t="s">
        <v>15214</v>
      </c>
    </row>
    <row r="1896" spans="1:9" x14ac:dyDescent="0.25">
      <c r="A1896" s="135">
        <v>42870</v>
      </c>
      <c r="B1896" s="142" t="s">
        <v>17404</v>
      </c>
      <c r="C1896" s="143">
        <v>111945</v>
      </c>
      <c r="D1896" s="142" t="s">
        <v>15987</v>
      </c>
      <c r="E1896" s="144">
        <v>9390.6</v>
      </c>
      <c r="F1896" s="148">
        <v>42890</v>
      </c>
      <c r="G1896" s="149">
        <v>9390.6</v>
      </c>
      <c r="H1896" s="138">
        <f t="shared" si="30"/>
        <v>0</v>
      </c>
      <c r="I1896" s="147" t="s">
        <v>15214</v>
      </c>
    </row>
    <row r="1897" spans="1:9" x14ac:dyDescent="0.25">
      <c r="A1897" s="135">
        <v>42870</v>
      </c>
      <c r="B1897" s="136" t="s">
        <v>17405</v>
      </c>
      <c r="C1897" s="137">
        <v>111946</v>
      </c>
      <c r="D1897" s="136" t="s">
        <v>15590</v>
      </c>
      <c r="E1897" s="138">
        <v>36099</v>
      </c>
      <c r="F1897" s="139">
        <v>42880</v>
      </c>
      <c r="G1897" s="140">
        <v>36099</v>
      </c>
      <c r="H1897" s="138">
        <f t="shared" si="30"/>
        <v>0</v>
      </c>
      <c r="I1897" s="141" t="s">
        <v>15214</v>
      </c>
    </row>
    <row r="1898" spans="1:9" x14ac:dyDescent="0.25">
      <c r="A1898" s="135">
        <v>42870</v>
      </c>
      <c r="B1898" s="142" t="s">
        <v>17406</v>
      </c>
      <c r="C1898" s="143">
        <v>111947</v>
      </c>
      <c r="D1898" s="142" t="s">
        <v>15289</v>
      </c>
      <c r="E1898" s="144">
        <v>1477</v>
      </c>
      <c r="F1898" s="145">
        <v>42870</v>
      </c>
      <c r="G1898" s="146">
        <v>1477</v>
      </c>
      <c r="H1898" s="138">
        <f t="shared" si="30"/>
        <v>0</v>
      </c>
      <c r="I1898" s="147" t="s">
        <v>15214</v>
      </c>
    </row>
    <row r="1899" spans="1:9" x14ac:dyDescent="0.25">
      <c r="A1899" s="135">
        <v>42870</v>
      </c>
      <c r="B1899" s="136" t="s">
        <v>17407</v>
      </c>
      <c r="C1899" s="137">
        <v>111948</v>
      </c>
      <c r="D1899" s="136" t="s">
        <v>15282</v>
      </c>
      <c r="E1899" s="138">
        <v>2016</v>
      </c>
      <c r="F1899" s="139">
        <v>42870</v>
      </c>
      <c r="G1899" s="140">
        <v>2016</v>
      </c>
      <c r="H1899" s="138">
        <f t="shared" si="30"/>
        <v>0</v>
      </c>
      <c r="I1899" s="141" t="s">
        <v>15214</v>
      </c>
    </row>
    <row r="1900" spans="1:9" x14ac:dyDescent="0.25">
      <c r="A1900" s="135">
        <v>42870</v>
      </c>
      <c r="B1900" s="142" t="s">
        <v>17408</v>
      </c>
      <c r="C1900" s="143">
        <v>111949</v>
      </c>
      <c r="D1900" s="142" t="s">
        <v>15391</v>
      </c>
      <c r="E1900" s="144">
        <v>7774.8</v>
      </c>
      <c r="F1900" s="145">
        <v>42870</v>
      </c>
      <c r="G1900" s="146">
        <v>7774.8</v>
      </c>
      <c r="H1900" s="138">
        <f t="shared" si="30"/>
        <v>0</v>
      </c>
      <c r="I1900" s="147" t="s">
        <v>15214</v>
      </c>
    </row>
    <row r="1901" spans="1:9" x14ac:dyDescent="0.25">
      <c r="A1901" s="135">
        <v>42870</v>
      </c>
      <c r="B1901" s="136" t="s">
        <v>17409</v>
      </c>
      <c r="C1901" s="137">
        <v>111950</v>
      </c>
      <c r="D1901" s="136" t="s">
        <v>15376</v>
      </c>
      <c r="E1901" s="138">
        <v>14801.6</v>
      </c>
      <c r="F1901" s="139">
        <v>42870</v>
      </c>
      <c r="G1901" s="140">
        <v>14801.6</v>
      </c>
      <c r="H1901" s="138">
        <f t="shared" si="30"/>
        <v>0</v>
      </c>
      <c r="I1901" s="141" t="s">
        <v>15214</v>
      </c>
    </row>
    <row r="1902" spans="1:9" x14ac:dyDescent="0.25">
      <c r="A1902" s="135">
        <v>42870</v>
      </c>
      <c r="B1902" s="142" t="s">
        <v>17410</v>
      </c>
      <c r="C1902" s="143">
        <v>111951</v>
      </c>
      <c r="D1902" s="142" t="s">
        <v>15786</v>
      </c>
      <c r="E1902" s="144">
        <v>2643.2</v>
      </c>
      <c r="F1902" s="139">
        <v>42870</v>
      </c>
      <c r="G1902" s="146">
        <v>2643.2</v>
      </c>
      <c r="H1902" s="138">
        <f t="shared" si="30"/>
        <v>0</v>
      </c>
      <c r="I1902" s="147" t="s">
        <v>15214</v>
      </c>
    </row>
    <row r="1903" spans="1:9" x14ac:dyDescent="0.25">
      <c r="A1903" s="135">
        <v>42870</v>
      </c>
      <c r="B1903" s="136" t="s">
        <v>17411</v>
      </c>
      <c r="C1903" s="137">
        <v>111952</v>
      </c>
      <c r="D1903" s="136" t="s">
        <v>15278</v>
      </c>
      <c r="E1903" s="138">
        <v>5850.4</v>
      </c>
      <c r="F1903" s="139">
        <v>42870</v>
      </c>
      <c r="G1903" s="140">
        <v>5850.4</v>
      </c>
      <c r="H1903" s="138">
        <f t="shared" si="30"/>
        <v>0</v>
      </c>
      <c r="I1903" s="141" t="s">
        <v>15214</v>
      </c>
    </row>
    <row r="1904" spans="1:9" x14ac:dyDescent="0.25">
      <c r="A1904" s="135">
        <v>42870</v>
      </c>
      <c r="B1904" s="142" t="s">
        <v>17412</v>
      </c>
      <c r="C1904" s="143">
        <v>111953</v>
      </c>
      <c r="D1904" s="142" t="s">
        <v>15642</v>
      </c>
      <c r="E1904" s="144">
        <v>4090.8</v>
      </c>
      <c r="F1904" s="139">
        <v>42870</v>
      </c>
      <c r="G1904" s="146">
        <v>4090.8</v>
      </c>
      <c r="H1904" s="138">
        <f t="shared" si="30"/>
        <v>0</v>
      </c>
      <c r="I1904" s="147" t="s">
        <v>15214</v>
      </c>
    </row>
    <row r="1905" spans="1:9" x14ac:dyDescent="0.25">
      <c r="A1905" s="135">
        <v>42870</v>
      </c>
      <c r="B1905" s="136" t="s">
        <v>17413</v>
      </c>
      <c r="C1905" s="137">
        <v>111954</v>
      </c>
      <c r="D1905" s="136" t="s">
        <v>15394</v>
      </c>
      <c r="E1905" s="138">
        <v>15938.6</v>
      </c>
      <c r="F1905" s="139">
        <v>42873</v>
      </c>
      <c r="G1905" s="140">
        <v>15938.6</v>
      </c>
      <c r="H1905" s="138">
        <f t="shared" si="30"/>
        <v>0</v>
      </c>
      <c r="I1905" s="141" t="s">
        <v>15214</v>
      </c>
    </row>
    <row r="1906" spans="1:9" x14ac:dyDescent="0.25">
      <c r="A1906" s="135">
        <v>42870</v>
      </c>
      <c r="B1906" s="142" t="s">
        <v>17414</v>
      </c>
      <c r="C1906" s="143">
        <v>111955</v>
      </c>
      <c r="D1906" s="142" t="s">
        <v>15246</v>
      </c>
      <c r="E1906" s="144">
        <v>148966.57999999999</v>
      </c>
      <c r="F1906" s="145">
        <v>42872</v>
      </c>
      <c r="G1906" s="146">
        <v>148966.57999999999</v>
      </c>
      <c r="H1906" s="138">
        <f t="shared" si="30"/>
        <v>0</v>
      </c>
      <c r="I1906" s="147" t="s">
        <v>15214</v>
      </c>
    </row>
    <row r="1907" spans="1:9" x14ac:dyDescent="0.25">
      <c r="A1907" s="135">
        <v>42870</v>
      </c>
      <c r="B1907" s="136" t="s">
        <v>17415</v>
      </c>
      <c r="C1907" s="137">
        <v>111956</v>
      </c>
      <c r="D1907" s="136" t="s">
        <v>15373</v>
      </c>
      <c r="E1907" s="138">
        <v>9750.6</v>
      </c>
      <c r="F1907" s="139">
        <v>42871</v>
      </c>
      <c r="G1907" s="140">
        <v>9750.6</v>
      </c>
      <c r="H1907" s="138">
        <f t="shared" si="30"/>
        <v>0</v>
      </c>
      <c r="I1907" s="141" t="s">
        <v>15214</v>
      </c>
    </row>
    <row r="1908" spans="1:9" x14ac:dyDescent="0.25">
      <c r="A1908" s="135">
        <v>42870</v>
      </c>
      <c r="B1908" s="142" t="s">
        <v>17416</v>
      </c>
      <c r="C1908" s="143">
        <v>111957</v>
      </c>
      <c r="D1908" s="142" t="s">
        <v>15346</v>
      </c>
      <c r="E1908" s="144">
        <v>6152.2</v>
      </c>
      <c r="F1908" s="139">
        <v>42870</v>
      </c>
      <c r="G1908" s="146">
        <v>6152.2</v>
      </c>
      <c r="H1908" s="138">
        <f t="shared" si="30"/>
        <v>0</v>
      </c>
      <c r="I1908" s="147" t="s">
        <v>15214</v>
      </c>
    </row>
    <row r="1909" spans="1:9" ht="16.5" customHeight="1" x14ac:dyDescent="0.25">
      <c r="A1909" s="135">
        <v>42870</v>
      </c>
      <c r="B1909" s="136" t="s">
        <v>17417</v>
      </c>
      <c r="C1909" s="137">
        <v>111958</v>
      </c>
      <c r="D1909" s="136" t="s">
        <v>15389</v>
      </c>
      <c r="E1909" s="138">
        <v>16333.4</v>
      </c>
      <c r="F1909" s="139">
        <v>42881</v>
      </c>
      <c r="G1909" s="140">
        <v>16333.4</v>
      </c>
      <c r="H1909" s="138">
        <f t="shared" si="30"/>
        <v>0</v>
      </c>
      <c r="I1909" s="141" t="s">
        <v>15214</v>
      </c>
    </row>
    <row r="1910" spans="1:9" x14ac:dyDescent="0.25">
      <c r="A1910" s="135">
        <v>42870</v>
      </c>
      <c r="B1910" s="142" t="s">
        <v>17418</v>
      </c>
      <c r="C1910" s="143">
        <v>111959</v>
      </c>
      <c r="D1910" s="142" t="s">
        <v>15396</v>
      </c>
      <c r="E1910" s="144">
        <v>7706.7</v>
      </c>
      <c r="F1910" s="139">
        <v>42870</v>
      </c>
      <c r="G1910" s="146">
        <v>7706.7</v>
      </c>
      <c r="H1910" s="138">
        <f t="shared" si="30"/>
        <v>0</v>
      </c>
      <c r="I1910" s="147" t="s">
        <v>15214</v>
      </c>
    </row>
    <row r="1911" spans="1:9" x14ac:dyDescent="0.25">
      <c r="A1911" s="135">
        <v>42870</v>
      </c>
      <c r="B1911" s="136" t="s">
        <v>17419</v>
      </c>
      <c r="C1911" s="137">
        <v>111960</v>
      </c>
      <c r="D1911" s="136" t="s">
        <v>15407</v>
      </c>
      <c r="E1911" s="138">
        <v>13616.4</v>
      </c>
      <c r="F1911" s="139">
        <v>42870</v>
      </c>
      <c r="G1911" s="140">
        <v>13616.4</v>
      </c>
      <c r="H1911" s="138">
        <f t="shared" si="30"/>
        <v>0</v>
      </c>
      <c r="I1911" s="141" t="s">
        <v>15214</v>
      </c>
    </row>
    <row r="1912" spans="1:9" x14ac:dyDescent="0.25">
      <c r="A1912" s="135">
        <v>42870</v>
      </c>
      <c r="B1912" s="142" t="s">
        <v>17420</v>
      </c>
      <c r="C1912" s="143">
        <v>111961</v>
      </c>
      <c r="D1912" s="142" t="s">
        <v>15380</v>
      </c>
      <c r="E1912" s="144">
        <v>46143.199999999997</v>
      </c>
      <c r="F1912" s="148">
        <v>42892</v>
      </c>
      <c r="G1912" s="149">
        <v>46143.199999999997</v>
      </c>
      <c r="H1912" s="138">
        <f t="shared" si="30"/>
        <v>0</v>
      </c>
      <c r="I1912" s="147" t="s">
        <v>15214</v>
      </c>
    </row>
    <row r="1913" spans="1:9" x14ac:dyDescent="0.25">
      <c r="A1913" s="135">
        <v>42870</v>
      </c>
      <c r="B1913" s="136" t="s">
        <v>17421</v>
      </c>
      <c r="C1913" s="137">
        <v>111962</v>
      </c>
      <c r="D1913" s="136" t="s">
        <v>15378</v>
      </c>
      <c r="E1913" s="138">
        <v>5952.7</v>
      </c>
      <c r="F1913" s="139">
        <v>42878</v>
      </c>
      <c r="G1913" s="140">
        <v>5952.7</v>
      </c>
      <c r="H1913" s="138">
        <f t="shared" si="30"/>
        <v>0</v>
      </c>
      <c r="I1913" s="141" t="s">
        <v>15214</v>
      </c>
    </row>
    <row r="1914" spans="1:9" x14ac:dyDescent="0.25">
      <c r="A1914" s="135">
        <v>42870</v>
      </c>
      <c r="B1914" s="142" t="s">
        <v>17422</v>
      </c>
      <c r="C1914" s="143">
        <v>111963</v>
      </c>
      <c r="D1914" s="142" t="s">
        <v>15369</v>
      </c>
      <c r="E1914" s="144">
        <v>16059.7</v>
      </c>
      <c r="F1914" s="148">
        <v>42892</v>
      </c>
      <c r="G1914" s="149">
        <v>16059.7</v>
      </c>
      <c r="H1914" s="138">
        <f t="shared" si="30"/>
        <v>0</v>
      </c>
      <c r="I1914" s="147" t="s">
        <v>15214</v>
      </c>
    </row>
    <row r="1915" spans="1:9" x14ac:dyDescent="0.25">
      <c r="A1915" s="135">
        <v>42870</v>
      </c>
      <c r="B1915" s="136" t="s">
        <v>17423</v>
      </c>
      <c r="C1915" s="137">
        <v>111964</v>
      </c>
      <c r="D1915" s="136" t="s">
        <v>15398</v>
      </c>
      <c r="E1915" s="138">
        <v>2917.5</v>
      </c>
      <c r="F1915" s="139">
        <v>42870</v>
      </c>
      <c r="G1915" s="140">
        <v>2917.5</v>
      </c>
      <c r="H1915" s="138">
        <f t="shared" si="30"/>
        <v>0</v>
      </c>
      <c r="I1915" s="141" t="s">
        <v>15214</v>
      </c>
    </row>
    <row r="1916" spans="1:9" x14ac:dyDescent="0.25">
      <c r="A1916" s="135">
        <v>42870</v>
      </c>
      <c r="B1916" s="142" t="s">
        <v>17424</v>
      </c>
      <c r="C1916" s="143">
        <v>111965</v>
      </c>
      <c r="D1916" s="142" t="s">
        <v>15398</v>
      </c>
      <c r="E1916" s="144">
        <v>42</v>
      </c>
      <c r="F1916" s="139">
        <v>42870</v>
      </c>
      <c r="G1916" s="146">
        <v>42</v>
      </c>
      <c r="H1916" s="138">
        <f t="shared" si="30"/>
        <v>0</v>
      </c>
      <c r="I1916" s="147" t="s">
        <v>15214</v>
      </c>
    </row>
    <row r="1917" spans="1:9" x14ac:dyDescent="0.25">
      <c r="A1917" s="135">
        <v>42870</v>
      </c>
      <c r="B1917" s="136" t="s">
        <v>17425</v>
      </c>
      <c r="C1917" s="137">
        <v>111966</v>
      </c>
      <c r="D1917" s="136" t="s">
        <v>15562</v>
      </c>
      <c r="E1917" s="138">
        <v>3211.6</v>
      </c>
      <c r="F1917" s="139">
        <v>42870</v>
      </c>
      <c r="G1917" s="140">
        <v>3211.6</v>
      </c>
      <c r="H1917" s="138">
        <f t="shared" si="30"/>
        <v>0</v>
      </c>
      <c r="I1917" s="141" t="s">
        <v>15214</v>
      </c>
    </row>
    <row r="1918" spans="1:9" x14ac:dyDescent="0.25">
      <c r="A1918" s="135">
        <v>42870</v>
      </c>
      <c r="B1918" s="142" t="s">
        <v>17426</v>
      </c>
      <c r="C1918" s="143">
        <v>111967</v>
      </c>
      <c r="D1918" s="142" t="s">
        <v>15315</v>
      </c>
      <c r="E1918" s="144">
        <v>2126.4</v>
      </c>
      <c r="F1918" s="139">
        <v>42870</v>
      </c>
      <c r="G1918" s="146">
        <v>2126.4</v>
      </c>
      <c r="H1918" s="138">
        <f t="shared" si="30"/>
        <v>0</v>
      </c>
      <c r="I1918" s="147" t="s">
        <v>15214</v>
      </c>
    </row>
    <row r="1919" spans="1:9" x14ac:dyDescent="0.25">
      <c r="A1919" s="135">
        <v>42870</v>
      </c>
      <c r="B1919" s="136" t="s">
        <v>17427</v>
      </c>
      <c r="C1919" s="137">
        <v>111968</v>
      </c>
      <c r="D1919" s="136" t="s">
        <v>15322</v>
      </c>
      <c r="E1919" s="138">
        <v>356.4</v>
      </c>
      <c r="F1919" s="139">
        <v>42870</v>
      </c>
      <c r="G1919" s="140">
        <v>356.4</v>
      </c>
      <c r="H1919" s="138">
        <f t="shared" si="30"/>
        <v>0</v>
      </c>
      <c r="I1919" s="141" t="s">
        <v>15214</v>
      </c>
    </row>
    <row r="1920" spans="1:9" x14ac:dyDescent="0.25">
      <c r="A1920" s="135">
        <v>42870</v>
      </c>
      <c r="B1920" s="142" t="s">
        <v>17428</v>
      </c>
      <c r="C1920" s="143">
        <v>111969</v>
      </c>
      <c r="D1920" s="142" t="s">
        <v>15382</v>
      </c>
      <c r="E1920" s="144">
        <v>13519.2</v>
      </c>
      <c r="F1920" s="148">
        <v>42892</v>
      </c>
      <c r="G1920" s="149">
        <v>13519.2</v>
      </c>
      <c r="H1920" s="138">
        <f t="shared" si="30"/>
        <v>0</v>
      </c>
      <c r="I1920" s="147" t="s">
        <v>15214</v>
      </c>
    </row>
    <row r="1921" spans="1:9" x14ac:dyDescent="0.25">
      <c r="A1921" s="135">
        <v>42870</v>
      </c>
      <c r="B1921" s="136" t="s">
        <v>17429</v>
      </c>
      <c r="C1921" s="137">
        <v>111970</v>
      </c>
      <c r="D1921" s="136" t="s">
        <v>17430</v>
      </c>
      <c r="E1921" s="138">
        <v>3216.7</v>
      </c>
      <c r="F1921" s="139">
        <v>42870</v>
      </c>
      <c r="G1921" s="140">
        <v>3216.7</v>
      </c>
      <c r="H1921" s="138">
        <f t="shared" si="30"/>
        <v>0</v>
      </c>
      <c r="I1921" s="141" t="s">
        <v>15214</v>
      </c>
    </row>
    <row r="1922" spans="1:9" x14ac:dyDescent="0.25">
      <c r="A1922" s="135">
        <v>42870</v>
      </c>
      <c r="B1922" s="142" t="s">
        <v>17431</v>
      </c>
      <c r="C1922" s="143">
        <v>111971</v>
      </c>
      <c r="D1922" s="142" t="s">
        <v>15568</v>
      </c>
      <c r="E1922" s="144">
        <v>680</v>
      </c>
      <c r="F1922" s="139">
        <v>42870</v>
      </c>
      <c r="G1922" s="146">
        <v>680</v>
      </c>
      <c r="H1922" s="138">
        <f t="shared" si="30"/>
        <v>0</v>
      </c>
      <c r="I1922" s="147" t="s">
        <v>15214</v>
      </c>
    </row>
    <row r="1923" spans="1:9" x14ac:dyDescent="0.25">
      <c r="A1923" s="135">
        <v>42870</v>
      </c>
      <c r="B1923" s="136" t="s">
        <v>17432</v>
      </c>
      <c r="C1923" s="137">
        <v>111972</v>
      </c>
      <c r="D1923" s="136" t="s">
        <v>15246</v>
      </c>
      <c r="E1923" s="138">
        <v>26337.7</v>
      </c>
      <c r="F1923" s="139">
        <v>42872</v>
      </c>
      <c r="G1923" s="140">
        <v>26337.7</v>
      </c>
      <c r="H1923" s="138">
        <f t="shared" si="30"/>
        <v>0</v>
      </c>
      <c r="I1923" s="141" t="s">
        <v>15214</v>
      </c>
    </row>
    <row r="1924" spans="1:9" x14ac:dyDescent="0.25">
      <c r="A1924" s="135">
        <v>42870</v>
      </c>
      <c r="B1924" s="142" t="s">
        <v>17433</v>
      </c>
      <c r="C1924" s="143">
        <v>111973</v>
      </c>
      <c r="D1924" s="142" t="s">
        <v>15252</v>
      </c>
      <c r="E1924" s="144">
        <v>3746.8</v>
      </c>
      <c r="F1924" s="145">
        <v>42874</v>
      </c>
      <c r="G1924" s="146">
        <v>3746.8</v>
      </c>
      <c r="H1924" s="138">
        <f t="shared" ref="H1924:H1988" si="31">E1924-G1924</f>
        <v>0</v>
      </c>
      <c r="I1924" s="147" t="s">
        <v>15214</v>
      </c>
    </row>
    <row r="1925" spans="1:9" ht="15.75" x14ac:dyDescent="0.25">
      <c r="A1925" s="135">
        <v>42870</v>
      </c>
      <c r="B1925" s="136" t="s">
        <v>17434</v>
      </c>
      <c r="C1925" s="137">
        <v>111974</v>
      </c>
      <c r="D1925" s="136" t="s">
        <v>15244</v>
      </c>
      <c r="E1925" s="138">
        <v>0</v>
      </c>
      <c r="F1925" s="153" t="s">
        <v>95</v>
      </c>
      <c r="G1925" s="138">
        <v>0</v>
      </c>
      <c r="H1925" s="138">
        <f t="shared" si="31"/>
        <v>0</v>
      </c>
      <c r="I1925" s="141" t="s">
        <v>95</v>
      </c>
    </row>
    <row r="1926" spans="1:9" x14ac:dyDescent="0.25">
      <c r="A1926" s="135">
        <v>42870</v>
      </c>
      <c r="B1926" s="142" t="s">
        <v>17435</v>
      </c>
      <c r="C1926" s="143">
        <v>111975</v>
      </c>
      <c r="D1926" s="142" t="s">
        <v>15246</v>
      </c>
      <c r="E1926" s="144">
        <v>198331</v>
      </c>
      <c r="F1926" s="145">
        <v>42872</v>
      </c>
      <c r="G1926" s="146">
        <v>198331</v>
      </c>
      <c r="H1926" s="138">
        <f t="shared" si="31"/>
        <v>0</v>
      </c>
      <c r="I1926" s="147" t="s">
        <v>15214</v>
      </c>
    </row>
    <row r="1927" spans="1:9" x14ac:dyDescent="0.25">
      <c r="A1927" s="135">
        <v>42870</v>
      </c>
      <c r="B1927" s="136" t="s">
        <v>17436</v>
      </c>
      <c r="C1927" s="137">
        <v>111976</v>
      </c>
      <c r="D1927" s="136" t="s">
        <v>15246</v>
      </c>
      <c r="E1927" s="138">
        <v>8953</v>
      </c>
      <c r="F1927" s="139">
        <v>42872</v>
      </c>
      <c r="G1927" s="140">
        <v>8953</v>
      </c>
      <c r="H1927" s="138">
        <f t="shared" si="31"/>
        <v>0</v>
      </c>
      <c r="I1927" s="141" t="s">
        <v>15214</v>
      </c>
    </row>
    <row r="1928" spans="1:9" x14ac:dyDescent="0.25">
      <c r="A1928" s="135">
        <v>42870</v>
      </c>
      <c r="B1928" s="142" t="s">
        <v>17437</v>
      </c>
      <c r="C1928" s="143">
        <v>111977</v>
      </c>
      <c r="D1928" s="142" t="s">
        <v>15315</v>
      </c>
      <c r="E1928" s="144">
        <v>1745.3</v>
      </c>
      <c r="F1928" s="145">
        <v>42870</v>
      </c>
      <c r="G1928" s="146">
        <v>1745.3</v>
      </c>
      <c r="H1928" s="138">
        <f t="shared" si="31"/>
        <v>0</v>
      </c>
      <c r="I1928" s="147" t="s">
        <v>15214</v>
      </c>
    </row>
    <row r="1929" spans="1:9" x14ac:dyDescent="0.25">
      <c r="A1929" s="135">
        <v>42870</v>
      </c>
      <c r="B1929" s="136" t="s">
        <v>17438</v>
      </c>
      <c r="C1929" s="137">
        <v>111978</v>
      </c>
      <c r="D1929" s="136" t="s">
        <v>15419</v>
      </c>
      <c r="E1929" s="138">
        <v>30814.7</v>
      </c>
      <c r="F1929" s="139">
        <v>42882</v>
      </c>
      <c r="G1929" s="140">
        <v>30814.7</v>
      </c>
      <c r="H1929" s="138">
        <f t="shared" si="31"/>
        <v>0</v>
      </c>
      <c r="I1929" s="141" t="s">
        <v>15214</v>
      </c>
    </row>
    <row r="1930" spans="1:9" x14ac:dyDescent="0.25">
      <c r="A1930" s="135">
        <v>42870</v>
      </c>
      <c r="B1930" s="142" t="s">
        <v>17439</v>
      </c>
      <c r="C1930" s="143">
        <v>111979</v>
      </c>
      <c r="D1930" s="142" t="s">
        <v>15315</v>
      </c>
      <c r="E1930" s="144">
        <v>35640</v>
      </c>
      <c r="F1930" s="145">
        <v>42872</v>
      </c>
      <c r="G1930" s="146">
        <v>35640</v>
      </c>
      <c r="H1930" s="138">
        <f t="shared" si="31"/>
        <v>0</v>
      </c>
      <c r="I1930" s="147" t="s">
        <v>15214</v>
      </c>
    </row>
    <row r="1931" spans="1:9" x14ac:dyDescent="0.25">
      <c r="A1931" s="135">
        <v>42870</v>
      </c>
      <c r="B1931" s="136" t="s">
        <v>17440</v>
      </c>
      <c r="C1931" s="137">
        <v>111980</v>
      </c>
      <c r="D1931" s="136" t="s">
        <v>15555</v>
      </c>
      <c r="E1931" s="138">
        <v>34952</v>
      </c>
      <c r="F1931" s="139">
        <v>42874</v>
      </c>
      <c r="G1931" s="140">
        <v>34952</v>
      </c>
      <c r="H1931" s="138">
        <f t="shared" si="31"/>
        <v>0</v>
      </c>
      <c r="I1931" s="141" t="s">
        <v>15214</v>
      </c>
    </row>
    <row r="1932" spans="1:9" x14ac:dyDescent="0.25">
      <c r="A1932" s="135">
        <v>42870</v>
      </c>
      <c r="B1932" s="142" t="s">
        <v>17441</v>
      </c>
      <c r="C1932" s="143">
        <v>111981</v>
      </c>
      <c r="D1932" s="142" t="s">
        <v>15267</v>
      </c>
      <c r="E1932" s="144">
        <v>16282.1</v>
      </c>
      <c r="F1932" s="145">
        <v>42870</v>
      </c>
      <c r="G1932" s="146">
        <v>16282.1</v>
      </c>
      <c r="H1932" s="138">
        <f t="shared" si="31"/>
        <v>0</v>
      </c>
      <c r="I1932" s="147" t="s">
        <v>15214</v>
      </c>
    </row>
    <row r="1933" spans="1:9" x14ac:dyDescent="0.25">
      <c r="A1933" s="135">
        <v>42870</v>
      </c>
      <c r="B1933" s="136" t="s">
        <v>17442</v>
      </c>
      <c r="C1933" s="137">
        <v>111982</v>
      </c>
      <c r="D1933" s="136" t="s">
        <v>15409</v>
      </c>
      <c r="E1933" s="138">
        <v>13263.8</v>
      </c>
      <c r="F1933" s="139">
        <v>42870</v>
      </c>
      <c r="G1933" s="140">
        <v>13263.8</v>
      </c>
      <c r="H1933" s="138">
        <f t="shared" si="31"/>
        <v>0</v>
      </c>
      <c r="I1933" s="141" t="s">
        <v>15214</v>
      </c>
    </row>
    <row r="1934" spans="1:9" x14ac:dyDescent="0.25">
      <c r="A1934" s="135">
        <v>42870</v>
      </c>
      <c r="B1934" s="142" t="s">
        <v>17443</v>
      </c>
      <c r="C1934" s="143">
        <v>111983</v>
      </c>
      <c r="D1934" s="142" t="s">
        <v>15566</v>
      </c>
      <c r="E1934" s="144">
        <v>260</v>
      </c>
      <c r="F1934" s="145">
        <v>42870</v>
      </c>
      <c r="G1934" s="146">
        <v>260</v>
      </c>
      <c r="H1934" s="138">
        <f t="shared" si="31"/>
        <v>0</v>
      </c>
      <c r="I1934" s="147" t="s">
        <v>15214</v>
      </c>
    </row>
    <row r="1935" spans="1:9" x14ac:dyDescent="0.25">
      <c r="A1935" s="135">
        <v>42870</v>
      </c>
      <c r="B1935" s="136" t="s">
        <v>17444</v>
      </c>
      <c r="C1935" s="137">
        <v>111984</v>
      </c>
      <c r="D1935" s="136" t="s">
        <v>15322</v>
      </c>
      <c r="E1935" s="138">
        <v>696.6</v>
      </c>
      <c r="F1935" s="139">
        <v>42870</v>
      </c>
      <c r="G1935" s="140">
        <v>696.6</v>
      </c>
      <c r="H1935" s="138">
        <f t="shared" si="31"/>
        <v>0</v>
      </c>
      <c r="I1935" s="141" t="s">
        <v>15214</v>
      </c>
    </row>
    <row r="1936" spans="1:9" x14ac:dyDescent="0.25">
      <c r="A1936" s="135">
        <v>42870</v>
      </c>
      <c r="B1936" s="142" t="s">
        <v>17445</v>
      </c>
      <c r="C1936" s="143">
        <v>111985</v>
      </c>
      <c r="D1936" s="142" t="s">
        <v>15315</v>
      </c>
      <c r="E1936" s="144">
        <v>1005</v>
      </c>
      <c r="F1936" s="145">
        <v>42870</v>
      </c>
      <c r="G1936" s="146">
        <v>1005</v>
      </c>
      <c r="H1936" s="138">
        <f t="shared" si="31"/>
        <v>0</v>
      </c>
      <c r="I1936" s="147" t="s">
        <v>15214</v>
      </c>
    </row>
    <row r="1937" spans="1:9" x14ac:dyDescent="0.25">
      <c r="A1937" s="135">
        <v>42870</v>
      </c>
      <c r="B1937" s="136" t="s">
        <v>17446</v>
      </c>
      <c r="C1937" s="137">
        <v>111986</v>
      </c>
      <c r="D1937" s="136" t="s">
        <v>15294</v>
      </c>
      <c r="E1937" s="138">
        <v>1056</v>
      </c>
      <c r="F1937" s="145">
        <v>42870</v>
      </c>
      <c r="G1937" s="140">
        <v>1056</v>
      </c>
      <c r="H1937" s="138">
        <f t="shared" si="31"/>
        <v>0</v>
      </c>
      <c r="I1937" s="141" t="s">
        <v>15214</v>
      </c>
    </row>
    <row r="1938" spans="1:9" x14ac:dyDescent="0.25">
      <c r="A1938" s="135">
        <v>42870</v>
      </c>
      <c r="B1938" s="142" t="s">
        <v>17447</v>
      </c>
      <c r="C1938" s="143">
        <v>111987</v>
      </c>
      <c r="D1938" s="142" t="s">
        <v>15665</v>
      </c>
      <c r="E1938" s="144">
        <v>672.6</v>
      </c>
      <c r="F1938" s="145">
        <v>42870</v>
      </c>
      <c r="G1938" s="146">
        <v>672.6</v>
      </c>
      <c r="H1938" s="138">
        <f t="shared" si="31"/>
        <v>0</v>
      </c>
      <c r="I1938" s="147" t="s">
        <v>15214</v>
      </c>
    </row>
    <row r="1939" spans="1:9" x14ac:dyDescent="0.25">
      <c r="A1939" s="135">
        <v>42870</v>
      </c>
      <c r="B1939" s="136" t="s">
        <v>17448</v>
      </c>
      <c r="C1939" s="137">
        <v>111988</v>
      </c>
      <c r="D1939" s="136" t="s">
        <v>15413</v>
      </c>
      <c r="E1939" s="138">
        <v>3198.4</v>
      </c>
      <c r="F1939" s="145">
        <v>42870</v>
      </c>
      <c r="G1939" s="140">
        <v>3198.4</v>
      </c>
      <c r="H1939" s="138">
        <f t="shared" si="31"/>
        <v>0</v>
      </c>
      <c r="I1939" s="141" t="s">
        <v>15214</v>
      </c>
    </row>
    <row r="1940" spans="1:9" x14ac:dyDescent="0.25">
      <c r="A1940" s="135">
        <v>42870</v>
      </c>
      <c r="B1940" s="142" t="s">
        <v>17449</v>
      </c>
      <c r="C1940" s="143">
        <v>111989</v>
      </c>
      <c r="D1940" s="142" t="s">
        <v>15407</v>
      </c>
      <c r="E1940" s="144">
        <v>16864.599999999999</v>
      </c>
      <c r="F1940" s="145">
        <v>42870</v>
      </c>
      <c r="G1940" s="146">
        <v>16864.599999999999</v>
      </c>
      <c r="H1940" s="138">
        <f t="shared" si="31"/>
        <v>0</v>
      </c>
      <c r="I1940" s="147" t="s">
        <v>15214</v>
      </c>
    </row>
    <row r="1941" spans="1:9" x14ac:dyDescent="0.25">
      <c r="A1941" s="135">
        <v>42870</v>
      </c>
      <c r="B1941" s="136" t="s">
        <v>17450</v>
      </c>
      <c r="C1941" s="137">
        <v>111990</v>
      </c>
      <c r="D1941" s="136" t="s">
        <v>15244</v>
      </c>
      <c r="E1941" s="138">
        <v>18515.2</v>
      </c>
      <c r="F1941" s="139">
        <v>42872</v>
      </c>
      <c r="G1941" s="140">
        <v>18515.2</v>
      </c>
      <c r="H1941" s="138">
        <f t="shared" si="31"/>
        <v>0</v>
      </c>
      <c r="I1941" s="141" t="s">
        <v>15214</v>
      </c>
    </row>
    <row r="1942" spans="1:9" x14ac:dyDescent="0.25">
      <c r="A1942" s="135">
        <v>42870</v>
      </c>
      <c r="B1942" s="142" t="s">
        <v>17451</v>
      </c>
      <c r="C1942" s="143">
        <v>111991</v>
      </c>
      <c r="D1942" s="142" t="s">
        <v>17452</v>
      </c>
      <c r="E1942" s="144">
        <v>2400</v>
      </c>
      <c r="F1942" s="145">
        <v>42872</v>
      </c>
      <c r="G1942" s="146">
        <v>2400</v>
      </c>
      <c r="H1942" s="138">
        <f t="shared" si="31"/>
        <v>0</v>
      </c>
      <c r="I1942" s="147" t="s">
        <v>15214</v>
      </c>
    </row>
    <row r="1943" spans="1:9" x14ac:dyDescent="0.25">
      <c r="A1943" s="135">
        <v>42870</v>
      </c>
      <c r="B1943" s="136" t="s">
        <v>17453</v>
      </c>
      <c r="C1943" s="137">
        <v>111992</v>
      </c>
      <c r="D1943" s="136" t="s">
        <v>15330</v>
      </c>
      <c r="E1943" s="138">
        <v>3396.6</v>
      </c>
      <c r="F1943" s="139">
        <v>42871</v>
      </c>
      <c r="G1943" s="140">
        <v>3396.6</v>
      </c>
      <c r="H1943" s="138">
        <f t="shared" si="31"/>
        <v>0</v>
      </c>
      <c r="I1943" s="141" t="s">
        <v>15214</v>
      </c>
    </row>
    <row r="1944" spans="1:9" x14ac:dyDescent="0.25">
      <c r="A1944" s="135">
        <v>42870</v>
      </c>
      <c r="B1944" s="142" t="s">
        <v>17454</v>
      </c>
      <c r="C1944" s="143">
        <v>111993</v>
      </c>
      <c r="D1944" s="142" t="s">
        <v>15930</v>
      </c>
      <c r="E1944" s="144">
        <v>5779.4</v>
      </c>
      <c r="F1944" s="145">
        <v>42872</v>
      </c>
      <c r="G1944" s="146">
        <v>5779.4</v>
      </c>
      <c r="H1944" s="138">
        <f t="shared" si="31"/>
        <v>0</v>
      </c>
      <c r="I1944" s="147" t="s">
        <v>15214</v>
      </c>
    </row>
    <row r="1945" spans="1:9" x14ac:dyDescent="0.25">
      <c r="A1945" s="135">
        <v>42870</v>
      </c>
      <c r="B1945" s="136" t="s">
        <v>17455</v>
      </c>
      <c r="C1945" s="137">
        <v>111994</v>
      </c>
      <c r="D1945" s="136" t="s">
        <v>15782</v>
      </c>
      <c r="E1945" s="138">
        <v>1633</v>
      </c>
      <c r="F1945" s="139">
        <v>42872</v>
      </c>
      <c r="G1945" s="140">
        <v>1633</v>
      </c>
      <c r="H1945" s="138">
        <f t="shared" si="31"/>
        <v>0</v>
      </c>
      <c r="I1945" s="141" t="s">
        <v>15214</v>
      </c>
    </row>
    <row r="1946" spans="1:9" x14ac:dyDescent="0.25">
      <c r="A1946" s="135">
        <v>42870</v>
      </c>
      <c r="B1946" s="142" t="s">
        <v>17456</v>
      </c>
      <c r="C1946" s="143">
        <v>111995</v>
      </c>
      <c r="D1946" s="142" t="s">
        <v>15417</v>
      </c>
      <c r="E1946" s="144">
        <v>2129.1</v>
      </c>
      <c r="F1946" s="139">
        <v>42872</v>
      </c>
      <c r="G1946" s="146">
        <v>2129.1</v>
      </c>
      <c r="H1946" s="138">
        <f t="shared" si="31"/>
        <v>0</v>
      </c>
      <c r="I1946" s="147" t="s">
        <v>15214</v>
      </c>
    </row>
    <row r="1947" spans="1:9" x14ac:dyDescent="0.25">
      <c r="A1947" s="135">
        <v>42870</v>
      </c>
      <c r="B1947" s="136" t="s">
        <v>17457</v>
      </c>
      <c r="C1947" s="137">
        <v>111996</v>
      </c>
      <c r="D1947" s="136" t="s">
        <v>17458</v>
      </c>
      <c r="E1947" s="138">
        <v>1866.9</v>
      </c>
      <c r="F1947" s="139">
        <v>42872</v>
      </c>
      <c r="G1947" s="140">
        <v>1866.9</v>
      </c>
      <c r="H1947" s="138">
        <f t="shared" si="31"/>
        <v>0</v>
      </c>
      <c r="I1947" s="141" t="s">
        <v>15214</v>
      </c>
    </row>
    <row r="1948" spans="1:9" x14ac:dyDescent="0.25">
      <c r="A1948" s="135">
        <v>42870</v>
      </c>
      <c r="B1948" s="142" t="s">
        <v>17459</v>
      </c>
      <c r="C1948" s="143">
        <v>111997</v>
      </c>
      <c r="D1948" s="142" t="s">
        <v>15315</v>
      </c>
      <c r="E1948" s="144">
        <v>8878.7999999999993</v>
      </c>
      <c r="F1948" s="145">
        <v>42870</v>
      </c>
      <c r="G1948" s="146">
        <v>8878.7999999999993</v>
      </c>
      <c r="H1948" s="138">
        <f t="shared" si="31"/>
        <v>0</v>
      </c>
      <c r="I1948" s="147" t="s">
        <v>15214</v>
      </c>
    </row>
    <row r="1949" spans="1:9" x14ac:dyDescent="0.25">
      <c r="A1949" s="135">
        <v>42870</v>
      </c>
      <c r="B1949" s="136" t="s">
        <v>17460</v>
      </c>
      <c r="C1949" s="137">
        <v>111998</v>
      </c>
      <c r="D1949" s="136" t="s">
        <v>5883</v>
      </c>
      <c r="E1949" s="138">
        <v>30235.84</v>
      </c>
      <c r="F1949" s="139">
        <v>42884</v>
      </c>
      <c r="G1949" s="140">
        <v>30235.84</v>
      </c>
      <c r="H1949" s="138">
        <f t="shared" si="31"/>
        <v>0</v>
      </c>
      <c r="I1949" s="141" t="s">
        <v>15214</v>
      </c>
    </row>
    <row r="1950" spans="1:9" x14ac:dyDescent="0.25">
      <c r="A1950" s="135">
        <v>42870</v>
      </c>
      <c r="B1950" s="142" t="s">
        <v>17461</v>
      </c>
      <c r="C1950" s="143">
        <v>111999</v>
      </c>
      <c r="D1950" s="142" t="s">
        <v>17462</v>
      </c>
      <c r="E1950" s="144">
        <v>1157.0999999999999</v>
      </c>
      <c r="F1950" s="145">
        <v>42870</v>
      </c>
      <c r="G1950" s="146">
        <v>1157.0999999999999</v>
      </c>
      <c r="H1950" s="138">
        <f t="shared" si="31"/>
        <v>0</v>
      </c>
      <c r="I1950" s="147" t="s">
        <v>15214</v>
      </c>
    </row>
    <row r="1951" spans="1:9" x14ac:dyDescent="0.25">
      <c r="A1951" s="135">
        <v>42870</v>
      </c>
      <c r="B1951" s="136" t="s">
        <v>17463</v>
      </c>
      <c r="C1951" s="137">
        <v>112000</v>
      </c>
      <c r="D1951" s="136" t="s">
        <v>15448</v>
      </c>
      <c r="E1951" s="138">
        <v>230473.92</v>
      </c>
      <c r="F1951" s="157">
        <v>42889</v>
      </c>
      <c r="G1951" s="158">
        <v>230473.92</v>
      </c>
      <c r="H1951" s="138">
        <f t="shared" si="31"/>
        <v>0</v>
      </c>
      <c r="I1951" s="141" t="s">
        <v>15214</v>
      </c>
    </row>
    <row r="1952" spans="1:9" x14ac:dyDescent="0.25">
      <c r="A1952" s="135">
        <v>42870</v>
      </c>
      <c r="B1952" s="142" t="s">
        <v>17464</v>
      </c>
      <c r="C1952" s="143">
        <v>112001</v>
      </c>
      <c r="D1952" s="142" t="s">
        <v>15446</v>
      </c>
      <c r="E1952" s="144">
        <v>1813.6</v>
      </c>
      <c r="F1952" s="145">
        <v>42872</v>
      </c>
      <c r="G1952" s="146">
        <v>1813.6</v>
      </c>
      <c r="H1952" s="138">
        <f t="shared" si="31"/>
        <v>0</v>
      </c>
      <c r="I1952" s="147" t="s">
        <v>15214</v>
      </c>
    </row>
    <row r="1953" spans="1:9" x14ac:dyDescent="0.25">
      <c r="A1953" s="135">
        <v>42870</v>
      </c>
      <c r="B1953" s="136" t="s">
        <v>17465</v>
      </c>
      <c r="C1953" s="137">
        <v>112002</v>
      </c>
      <c r="D1953" s="136" t="s">
        <v>15454</v>
      </c>
      <c r="E1953" s="138">
        <v>780</v>
      </c>
      <c r="F1953" s="139">
        <v>42872</v>
      </c>
      <c r="G1953" s="140">
        <v>780</v>
      </c>
      <c r="H1953" s="138">
        <f t="shared" si="31"/>
        <v>0</v>
      </c>
      <c r="I1953" s="141" t="s">
        <v>15214</v>
      </c>
    </row>
    <row r="1954" spans="1:9" x14ac:dyDescent="0.25">
      <c r="A1954" s="135">
        <v>42870</v>
      </c>
      <c r="B1954" s="142" t="s">
        <v>17466</v>
      </c>
      <c r="C1954" s="143">
        <v>112003</v>
      </c>
      <c r="D1954" s="142" t="s">
        <v>15465</v>
      </c>
      <c r="E1954" s="144">
        <v>1063.3</v>
      </c>
      <c r="F1954" s="145">
        <v>42872</v>
      </c>
      <c r="G1954" s="146">
        <v>1063.3</v>
      </c>
      <c r="H1954" s="138">
        <f t="shared" si="31"/>
        <v>0</v>
      </c>
      <c r="I1954" s="147" t="s">
        <v>15214</v>
      </c>
    </row>
    <row r="1955" spans="1:9" x14ac:dyDescent="0.25">
      <c r="A1955" s="135">
        <v>42870</v>
      </c>
      <c r="B1955" s="136" t="s">
        <v>17467</v>
      </c>
      <c r="C1955" s="137">
        <v>112004</v>
      </c>
      <c r="D1955" s="136" t="s">
        <v>15246</v>
      </c>
      <c r="E1955" s="138">
        <v>55252.2</v>
      </c>
      <c r="F1955" s="139">
        <v>42873</v>
      </c>
      <c r="G1955" s="140">
        <v>55252.2</v>
      </c>
      <c r="H1955" s="138">
        <f t="shared" si="31"/>
        <v>0</v>
      </c>
      <c r="I1955" s="141" t="s">
        <v>15214</v>
      </c>
    </row>
    <row r="1956" spans="1:9" x14ac:dyDescent="0.25">
      <c r="A1956" s="135">
        <v>42870</v>
      </c>
      <c r="B1956" s="142" t="s">
        <v>17468</v>
      </c>
      <c r="C1956" s="143">
        <v>112005</v>
      </c>
      <c r="D1956" s="142" t="s">
        <v>15456</v>
      </c>
      <c r="E1956" s="144">
        <v>32004</v>
      </c>
      <c r="F1956" s="145">
        <v>42872</v>
      </c>
      <c r="G1956" s="146">
        <v>32004</v>
      </c>
      <c r="H1956" s="138">
        <f t="shared" si="31"/>
        <v>0</v>
      </c>
      <c r="I1956" s="147" t="s">
        <v>15214</v>
      </c>
    </row>
    <row r="1957" spans="1:9" x14ac:dyDescent="0.25">
      <c r="A1957" s="135">
        <v>42870</v>
      </c>
      <c r="B1957" s="136" t="s">
        <v>17469</v>
      </c>
      <c r="C1957" s="137">
        <v>112006</v>
      </c>
      <c r="D1957" s="136" t="s">
        <v>15465</v>
      </c>
      <c r="E1957" s="138">
        <v>134.4</v>
      </c>
      <c r="F1957" s="139">
        <v>42872</v>
      </c>
      <c r="G1957" s="140">
        <v>134.4</v>
      </c>
      <c r="H1957" s="138">
        <f t="shared" si="31"/>
        <v>0</v>
      </c>
      <c r="I1957" s="141" t="s">
        <v>15214</v>
      </c>
    </row>
    <row r="1958" spans="1:9" x14ac:dyDescent="0.25">
      <c r="A1958" s="135">
        <v>42870</v>
      </c>
      <c r="B1958" s="142" t="s">
        <v>17470</v>
      </c>
      <c r="C1958" s="143">
        <v>112007</v>
      </c>
      <c r="D1958" s="142" t="s">
        <v>15452</v>
      </c>
      <c r="E1958" s="144">
        <v>780</v>
      </c>
      <c r="F1958" s="145">
        <v>42872</v>
      </c>
      <c r="G1958" s="146">
        <v>780</v>
      </c>
      <c r="H1958" s="138">
        <f t="shared" si="31"/>
        <v>0</v>
      </c>
      <c r="I1958" s="147" t="s">
        <v>15214</v>
      </c>
    </row>
    <row r="1959" spans="1:9" x14ac:dyDescent="0.25">
      <c r="A1959" s="135">
        <v>42870</v>
      </c>
      <c r="B1959" s="136" t="s">
        <v>17471</v>
      </c>
      <c r="C1959" s="137">
        <v>112008</v>
      </c>
      <c r="D1959" s="136" t="s">
        <v>15265</v>
      </c>
      <c r="E1959" s="138">
        <v>4051.2</v>
      </c>
      <c r="F1959" s="139">
        <v>42871</v>
      </c>
      <c r="G1959" s="140">
        <v>4051.2</v>
      </c>
      <c r="H1959" s="138">
        <f t="shared" si="31"/>
        <v>0</v>
      </c>
      <c r="I1959" s="141" t="s">
        <v>15214</v>
      </c>
    </row>
    <row r="1960" spans="1:9" x14ac:dyDescent="0.25">
      <c r="A1960" s="135">
        <v>42870</v>
      </c>
      <c r="B1960" s="142" t="s">
        <v>17472</v>
      </c>
      <c r="C1960" s="143">
        <v>112009</v>
      </c>
      <c r="D1960" s="142" t="s">
        <v>15444</v>
      </c>
      <c r="E1960" s="144">
        <v>2241.6</v>
      </c>
      <c r="F1960" s="145">
        <v>42871</v>
      </c>
      <c r="G1960" s="146">
        <v>2241.6</v>
      </c>
      <c r="H1960" s="138">
        <f t="shared" si="31"/>
        <v>0</v>
      </c>
      <c r="I1960" s="147" t="s">
        <v>15214</v>
      </c>
    </row>
    <row r="1961" spans="1:9" x14ac:dyDescent="0.25">
      <c r="A1961" s="135">
        <v>42870</v>
      </c>
      <c r="B1961" s="136" t="s">
        <v>17473</v>
      </c>
      <c r="C1961" s="137">
        <v>112010</v>
      </c>
      <c r="D1961" s="136" t="s">
        <v>15450</v>
      </c>
      <c r="E1961" s="138">
        <v>1849</v>
      </c>
      <c r="F1961" s="139">
        <v>42872</v>
      </c>
      <c r="G1961" s="140">
        <v>1849</v>
      </c>
      <c r="H1961" s="138">
        <f t="shared" si="31"/>
        <v>0</v>
      </c>
      <c r="I1961" s="141" t="s">
        <v>15214</v>
      </c>
    </row>
    <row r="1962" spans="1:9" x14ac:dyDescent="0.25">
      <c r="A1962" s="135">
        <v>42870</v>
      </c>
      <c r="B1962" s="142" t="s">
        <v>17474</v>
      </c>
      <c r="C1962" s="143">
        <v>112011</v>
      </c>
      <c r="D1962" s="142" t="s">
        <v>15450</v>
      </c>
      <c r="E1962" s="144">
        <v>785</v>
      </c>
      <c r="F1962" s="145">
        <v>42872</v>
      </c>
      <c r="G1962" s="146">
        <v>785</v>
      </c>
      <c r="H1962" s="138">
        <f t="shared" si="31"/>
        <v>0</v>
      </c>
      <c r="I1962" s="147" t="s">
        <v>15214</v>
      </c>
    </row>
    <row r="1963" spans="1:9" x14ac:dyDescent="0.25">
      <c r="A1963" s="135">
        <v>42870</v>
      </c>
      <c r="B1963" s="136" t="s">
        <v>17475</v>
      </c>
      <c r="C1963" s="137">
        <v>112012</v>
      </c>
      <c r="D1963" s="136" t="s">
        <v>15458</v>
      </c>
      <c r="E1963" s="138">
        <v>898</v>
      </c>
      <c r="F1963" s="139">
        <v>42872</v>
      </c>
      <c r="G1963" s="140">
        <v>898</v>
      </c>
      <c r="H1963" s="138">
        <f t="shared" si="31"/>
        <v>0</v>
      </c>
      <c r="I1963" s="141" t="s">
        <v>15214</v>
      </c>
    </row>
    <row r="1964" spans="1:9" x14ac:dyDescent="0.25">
      <c r="A1964" s="135">
        <v>42870</v>
      </c>
      <c r="B1964" s="142" t="s">
        <v>17476</v>
      </c>
      <c r="C1964" s="143">
        <v>112013</v>
      </c>
      <c r="D1964" s="142" t="s">
        <v>15462</v>
      </c>
      <c r="E1964" s="144">
        <v>13430.2</v>
      </c>
      <c r="F1964" s="145">
        <v>42872</v>
      </c>
      <c r="G1964" s="146">
        <v>13430.2</v>
      </c>
      <c r="H1964" s="138">
        <f t="shared" si="31"/>
        <v>0</v>
      </c>
      <c r="I1964" s="147" t="s">
        <v>15214</v>
      </c>
    </row>
    <row r="1965" spans="1:9" x14ac:dyDescent="0.25">
      <c r="A1965" s="135">
        <v>42870</v>
      </c>
      <c r="B1965" s="136" t="s">
        <v>17477</v>
      </c>
      <c r="C1965" s="137">
        <v>112014</v>
      </c>
      <c r="D1965" s="136" t="s">
        <v>15315</v>
      </c>
      <c r="E1965" s="138">
        <v>1069.7</v>
      </c>
      <c r="F1965" s="139">
        <v>42870</v>
      </c>
      <c r="G1965" s="140">
        <v>1069.7</v>
      </c>
      <c r="H1965" s="138">
        <f t="shared" si="31"/>
        <v>0</v>
      </c>
      <c r="I1965" s="141" t="s">
        <v>15214</v>
      </c>
    </row>
    <row r="1966" spans="1:9" x14ac:dyDescent="0.25">
      <c r="A1966" s="135">
        <v>42870</v>
      </c>
      <c r="B1966" s="142" t="s">
        <v>17478</v>
      </c>
      <c r="C1966" s="143">
        <v>112015</v>
      </c>
      <c r="D1966" s="142" t="s">
        <v>15454</v>
      </c>
      <c r="E1966" s="144">
        <v>8526.9</v>
      </c>
      <c r="F1966" s="145">
        <v>42872</v>
      </c>
      <c r="G1966" s="146">
        <v>8526.9</v>
      </c>
      <c r="H1966" s="138">
        <f t="shared" si="31"/>
        <v>0</v>
      </c>
      <c r="I1966" s="147" t="s">
        <v>15214</v>
      </c>
    </row>
    <row r="1967" spans="1:9" x14ac:dyDescent="0.25">
      <c r="A1967" s="135">
        <v>42870</v>
      </c>
      <c r="B1967" s="136" t="s">
        <v>17479</v>
      </c>
      <c r="C1967" s="137">
        <v>112016</v>
      </c>
      <c r="D1967" s="136" t="s">
        <v>15315</v>
      </c>
      <c r="E1967" s="138">
        <v>1795.2</v>
      </c>
      <c r="F1967" s="139">
        <v>42870</v>
      </c>
      <c r="G1967" s="140">
        <v>1795.2</v>
      </c>
      <c r="H1967" s="138">
        <f t="shared" si="31"/>
        <v>0</v>
      </c>
      <c r="I1967" s="141" t="s">
        <v>15214</v>
      </c>
    </row>
    <row r="1968" spans="1:9" x14ac:dyDescent="0.25">
      <c r="A1968" s="135">
        <v>42870</v>
      </c>
      <c r="B1968" s="142" t="s">
        <v>17480</v>
      </c>
      <c r="C1968" s="143">
        <v>112017</v>
      </c>
      <c r="D1968" s="142" t="s">
        <v>15250</v>
      </c>
      <c r="E1968" s="144">
        <v>37270</v>
      </c>
      <c r="F1968" s="145">
        <v>42877</v>
      </c>
      <c r="G1968" s="146">
        <v>37270</v>
      </c>
      <c r="H1968" s="138">
        <f t="shared" si="31"/>
        <v>0</v>
      </c>
      <c r="I1968" s="147" t="s">
        <v>15214</v>
      </c>
    </row>
    <row r="1969" spans="1:9" x14ac:dyDescent="0.25">
      <c r="A1969" s="135">
        <v>42870</v>
      </c>
      <c r="B1969" s="136" t="s">
        <v>17481</v>
      </c>
      <c r="C1969" s="137">
        <v>112018</v>
      </c>
      <c r="D1969" s="136" t="s">
        <v>15365</v>
      </c>
      <c r="E1969" s="138">
        <v>382315.5</v>
      </c>
      <c r="F1969" s="139">
        <v>42875</v>
      </c>
      <c r="G1969" s="140">
        <v>382315.5</v>
      </c>
      <c r="H1969" s="138">
        <f t="shared" si="31"/>
        <v>0</v>
      </c>
      <c r="I1969" s="141" t="s">
        <v>15214</v>
      </c>
    </row>
    <row r="1970" spans="1:9" x14ac:dyDescent="0.25">
      <c r="A1970" s="135">
        <v>42870</v>
      </c>
      <c r="B1970" s="142" t="s">
        <v>17482</v>
      </c>
      <c r="C1970" s="143">
        <v>112019</v>
      </c>
      <c r="D1970" s="142" t="s">
        <v>15644</v>
      </c>
      <c r="E1970" s="144">
        <v>3444.7</v>
      </c>
      <c r="F1970" s="145">
        <v>42871</v>
      </c>
      <c r="G1970" s="146">
        <v>3444.7</v>
      </c>
      <c r="H1970" s="138">
        <f t="shared" si="31"/>
        <v>0</v>
      </c>
      <c r="I1970" s="147" t="s">
        <v>15214</v>
      </c>
    </row>
    <row r="1971" spans="1:9" x14ac:dyDescent="0.25">
      <c r="A1971" s="135">
        <v>42870</v>
      </c>
      <c r="B1971" s="136" t="s">
        <v>17483</v>
      </c>
      <c r="C1971" s="137">
        <v>112020</v>
      </c>
      <c r="D1971" s="136" t="s">
        <v>15354</v>
      </c>
      <c r="E1971" s="138">
        <v>3331.4</v>
      </c>
      <c r="F1971" s="139">
        <v>42871</v>
      </c>
      <c r="G1971" s="140">
        <v>3331.4</v>
      </c>
      <c r="H1971" s="138">
        <f t="shared" si="31"/>
        <v>0</v>
      </c>
      <c r="I1971" s="141" t="s">
        <v>15214</v>
      </c>
    </row>
    <row r="1972" spans="1:9" x14ac:dyDescent="0.25">
      <c r="A1972" s="135">
        <v>42870</v>
      </c>
      <c r="B1972" s="142" t="s">
        <v>17484</v>
      </c>
      <c r="C1972" s="143">
        <v>112021</v>
      </c>
      <c r="D1972" s="142" t="s">
        <v>15628</v>
      </c>
      <c r="E1972" s="144">
        <v>17170</v>
      </c>
      <c r="F1972" s="145">
        <v>42871</v>
      </c>
      <c r="G1972" s="146">
        <v>17170</v>
      </c>
      <c r="H1972" s="138">
        <f t="shared" si="31"/>
        <v>0</v>
      </c>
      <c r="I1972" s="147" t="s">
        <v>15214</v>
      </c>
    </row>
    <row r="1973" spans="1:9" x14ac:dyDescent="0.25">
      <c r="A1973" s="135">
        <v>42870</v>
      </c>
      <c r="B1973" s="136" t="s">
        <v>17485</v>
      </c>
      <c r="C1973" s="137">
        <v>112022</v>
      </c>
      <c r="D1973" s="136" t="s">
        <v>15246</v>
      </c>
      <c r="E1973" s="138">
        <v>7565.7</v>
      </c>
      <c r="F1973" s="139">
        <v>42872</v>
      </c>
      <c r="G1973" s="140">
        <v>7565.7</v>
      </c>
      <c r="H1973" s="138">
        <f t="shared" si="31"/>
        <v>0</v>
      </c>
      <c r="I1973" s="141" t="s">
        <v>15214</v>
      </c>
    </row>
    <row r="1974" spans="1:9" x14ac:dyDescent="0.25">
      <c r="A1974" s="135">
        <v>42870</v>
      </c>
      <c r="B1974" s="142" t="s">
        <v>17486</v>
      </c>
      <c r="C1974" s="143">
        <v>112023</v>
      </c>
      <c r="D1974" s="142" t="s">
        <v>15460</v>
      </c>
      <c r="E1974" s="144">
        <v>2226.4</v>
      </c>
      <c r="F1974" s="145">
        <v>42872</v>
      </c>
      <c r="G1974" s="146">
        <v>2226.4</v>
      </c>
      <c r="H1974" s="138">
        <f t="shared" si="31"/>
        <v>0</v>
      </c>
      <c r="I1974" s="147" t="s">
        <v>15214</v>
      </c>
    </row>
    <row r="1975" spans="1:9" x14ac:dyDescent="0.25">
      <c r="A1975" s="135">
        <v>42870</v>
      </c>
      <c r="B1975" s="136" t="s">
        <v>17487</v>
      </c>
      <c r="C1975" s="137">
        <v>112024</v>
      </c>
      <c r="D1975" s="136" t="s">
        <v>15398</v>
      </c>
      <c r="E1975" s="138">
        <v>1398.2</v>
      </c>
      <c r="F1975" s="139">
        <v>42870</v>
      </c>
      <c r="G1975" s="140">
        <v>1398.2</v>
      </c>
      <c r="H1975" s="138">
        <f t="shared" si="31"/>
        <v>0</v>
      </c>
      <c r="I1975" s="141" t="s">
        <v>15214</v>
      </c>
    </row>
    <row r="1976" spans="1:9" x14ac:dyDescent="0.25">
      <c r="A1976" s="135">
        <v>42870</v>
      </c>
      <c r="B1976" s="142" t="s">
        <v>17488</v>
      </c>
      <c r="C1976" s="143">
        <v>112025</v>
      </c>
      <c r="D1976" s="142" t="s">
        <v>15435</v>
      </c>
      <c r="E1976" s="144">
        <v>8969.2000000000007</v>
      </c>
      <c r="F1976" s="145">
        <v>42870</v>
      </c>
      <c r="G1976" s="146">
        <v>8969.2000000000007</v>
      </c>
      <c r="H1976" s="138">
        <f t="shared" si="31"/>
        <v>0</v>
      </c>
      <c r="I1976" s="147" t="s">
        <v>15214</v>
      </c>
    </row>
    <row r="1977" spans="1:9" x14ac:dyDescent="0.25">
      <c r="A1977" s="135">
        <v>42870</v>
      </c>
      <c r="B1977" s="136" t="s">
        <v>17489</v>
      </c>
      <c r="C1977" s="137">
        <v>112026</v>
      </c>
      <c r="D1977" s="136" t="s">
        <v>5757</v>
      </c>
      <c r="E1977" s="138">
        <v>4451</v>
      </c>
      <c r="F1977" s="139">
        <v>42870</v>
      </c>
      <c r="G1977" s="140">
        <v>4451</v>
      </c>
      <c r="H1977" s="138">
        <f t="shared" si="31"/>
        <v>0</v>
      </c>
      <c r="I1977" s="141" t="s">
        <v>15214</v>
      </c>
    </row>
    <row r="1978" spans="1:9" x14ac:dyDescent="0.25">
      <c r="A1978" s="166">
        <v>42871</v>
      </c>
      <c r="B1978" s="142" t="s">
        <v>17490</v>
      </c>
      <c r="C1978" s="143">
        <v>112027</v>
      </c>
      <c r="D1978" s="142" t="s">
        <v>15324</v>
      </c>
      <c r="E1978" s="144">
        <v>1713</v>
      </c>
      <c r="F1978" s="145">
        <v>42871</v>
      </c>
      <c r="G1978" s="146">
        <v>1713</v>
      </c>
      <c r="H1978" s="138">
        <f t="shared" si="31"/>
        <v>0</v>
      </c>
      <c r="I1978" s="147" t="s">
        <v>15214</v>
      </c>
    </row>
    <row r="1979" spans="1:9" x14ac:dyDescent="0.25">
      <c r="A1979" s="166">
        <v>42871</v>
      </c>
      <c r="B1979" s="136" t="s">
        <v>17491</v>
      </c>
      <c r="C1979" s="137">
        <v>112028</v>
      </c>
      <c r="D1979" s="136" t="s">
        <v>15213</v>
      </c>
      <c r="E1979" s="138">
        <v>5838.2</v>
      </c>
      <c r="F1979" s="139">
        <v>42872</v>
      </c>
      <c r="G1979" s="140">
        <v>5838.2</v>
      </c>
      <c r="H1979" s="138">
        <f t="shared" si="31"/>
        <v>0</v>
      </c>
      <c r="I1979" s="141" t="s">
        <v>15214</v>
      </c>
    </row>
    <row r="1980" spans="1:9" x14ac:dyDescent="0.25">
      <c r="A1980" s="166">
        <v>42871</v>
      </c>
      <c r="B1980" s="142" t="s">
        <v>17492</v>
      </c>
      <c r="C1980" s="143">
        <v>112029</v>
      </c>
      <c r="D1980" s="142" t="s">
        <v>15220</v>
      </c>
      <c r="E1980" s="144">
        <v>2160</v>
      </c>
      <c r="F1980" s="145">
        <v>42871</v>
      </c>
      <c r="G1980" s="146">
        <v>2160</v>
      </c>
      <c r="H1980" s="138">
        <f t="shared" si="31"/>
        <v>0</v>
      </c>
      <c r="I1980" s="147" t="s">
        <v>15214</v>
      </c>
    </row>
    <row r="1981" spans="1:9" x14ac:dyDescent="0.25">
      <c r="A1981" s="166">
        <v>42871</v>
      </c>
      <c r="B1981" s="136" t="s">
        <v>17493</v>
      </c>
      <c r="C1981" s="137">
        <v>112030</v>
      </c>
      <c r="D1981" s="136" t="s">
        <v>15213</v>
      </c>
      <c r="E1981" s="138">
        <v>35344.699999999997</v>
      </c>
      <c r="F1981" s="139">
        <v>42872</v>
      </c>
      <c r="G1981" s="140">
        <v>35344.699999999997</v>
      </c>
      <c r="H1981" s="138">
        <f t="shared" si="31"/>
        <v>0</v>
      </c>
      <c r="I1981" s="141" t="s">
        <v>15214</v>
      </c>
    </row>
    <row r="1982" spans="1:9" x14ac:dyDescent="0.25">
      <c r="A1982" s="166">
        <v>42871</v>
      </c>
      <c r="B1982" s="142" t="s">
        <v>17494</v>
      </c>
      <c r="C1982" s="143">
        <v>112031</v>
      </c>
      <c r="D1982" s="142" t="s">
        <v>15274</v>
      </c>
      <c r="E1982" s="144">
        <v>2400</v>
      </c>
      <c r="F1982" s="145">
        <v>42871</v>
      </c>
      <c r="G1982" s="146">
        <v>2400</v>
      </c>
      <c r="H1982" s="138">
        <f t="shared" si="31"/>
        <v>0</v>
      </c>
      <c r="I1982" s="147" t="s">
        <v>15214</v>
      </c>
    </row>
    <row r="1983" spans="1:9" x14ac:dyDescent="0.25">
      <c r="A1983" s="166">
        <v>42871</v>
      </c>
      <c r="B1983" s="136" t="s">
        <v>17495</v>
      </c>
      <c r="C1983" s="137">
        <v>112032</v>
      </c>
      <c r="D1983" s="136" t="s">
        <v>15655</v>
      </c>
      <c r="E1983" s="138">
        <v>8493.1</v>
      </c>
      <c r="F1983" s="139">
        <v>42871</v>
      </c>
      <c r="G1983" s="140">
        <v>8493.1</v>
      </c>
      <c r="H1983" s="138">
        <f t="shared" si="31"/>
        <v>0</v>
      </c>
      <c r="I1983" s="141" t="s">
        <v>15214</v>
      </c>
    </row>
    <row r="1984" spans="1:9" ht="15.75" x14ac:dyDescent="0.25">
      <c r="A1984" s="166">
        <v>42871</v>
      </c>
      <c r="B1984" s="142" t="s">
        <v>17496</v>
      </c>
      <c r="C1984" s="143">
        <v>112033</v>
      </c>
      <c r="D1984" s="142" t="s">
        <v>15223</v>
      </c>
      <c r="E1984" s="144">
        <v>0</v>
      </c>
      <c r="F1984" s="156" t="s">
        <v>95</v>
      </c>
      <c r="G1984" s="144">
        <v>0</v>
      </c>
      <c r="H1984" s="138">
        <f t="shared" si="31"/>
        <v>0</v>
      </c>
      <c r="I1984" s="147" t="s">
        <v>95</v>
      </c>
    </row>
    <row r="1985" spans="1:9" x14ac:dyDescent="0.25">
      <c r="A1985" s="166">
        <v>42871</v>
      </c>
      <c r="B1985" s="136" t="s">
        <v>17497</v>
      </c>
      <c r="C1985" s="137">
        <v>112034</v>
      </c>
      <c r="D1985" s="136" t="s">
        <v>15230</v>
      </c>
      <c r="E1985" s="138">
        <v>9678</v>
      </c>
      <c r="F1985" s="139">
        <v>42873</v>
      </c>
      <c r="G1985" s="140">
        <v>9678</v>
      </c>
      <c r="H1985" s="138">
        <f t="shared" si="31"/>
        <v>0</v>
      </c>
      <c r="I1985" s="141" t="s">
        <v>15214</v>
      </c>
    </row>
    <row r="1986" spans="1:9" x14ac:dyDescent="0.25">
      <c r="A1986" s="166">
        <v>42871</v>
      </c>
      <c r="B1986" s="142" t="s">
        <v>17498</v>
      </c>
      <c r="C1986" s="143">
        <v>112035</v>
      </c>
      <c r="D1986" s="142" t="s">
        <v>15232</v>
      </c>
      <c r="E1986" s="144">
        <v>5934.9</v>
      </c>
      <c r="F1986" s="145">
        <v>42880</v>
      </c>
      <c r="G1986" s="146">
        <v>5934.9</v>
      </c>
      <c r="H1986" s="138">
        <f t="shared" si="31"/>
        <v>0</v>
      </c>
      <c r="I1986" s="147" t="s">
        <v>15214</v>
      </c>
    </row>
    <row r="1987" spans="1:9" x14ac:dyDescent="0.25">
      <c r="A1987" s="166">
        <v>42871</v>
      </c>
      <c r="B1987" s="136" t="s">
        <v>17499</v>
      </c>
      <c r="C1987" s="137">
        <v>112036</v>
      </c>
      <c r="D1987" s="136" t="s">
        <v>15226</v>
      </c>
      <c r="E1987" s="138">
        <v>2239.1999999999998</v>
      </c>
      <c r="F1987" s="139">
        <v>42873</v>
      </c>
      <c r="G1987" s="140">
        <v>2239.1999999999998</v>
      </c>
      <c r="H1987" s="138">
        <f t="shared" si="31"/>
        <v>0</v>
      </c>
      <c r="I1987" s="141" t="s">
        <v>15214</v>
      </c>
    </row>
    <row r="1988" spans="1:9" x14ac:dyDescent="0.25">
      <c r="A1988" s="166">
        <v>42871</v>
      </c>
      <c r="B1988" s="142" t="s">
        <v>17500</v>
      </c>
      <c r="C1988" s="143">
        <v>112037</v>
      </c>
      <c r="D1988" s="142" t="s">
        <v>15234</v>
      </c>
      <c r="E1988" s="144">
        <v>3283.5</v>
      </c>
      <c r="F1988" s="145" t="s">
        <v>17501</v>
      </c>
      <c r="G1988" s="146">
        <f>2500+783.5</f>
        <v>3283.5</v>
      </c>
      <c r="H1988" s="138">
        <f t="shared" si="31"/>
        <v>0</v>
      </c>
      <c r="I1988" s="147" t="s">
        <v>15214</v>
      </c>
    </row>
    <row r="1989" spans="1:9" x14ac:dyDescent="0.25">
      <c r="A1989" s="166">
        <v>42871</v>
      </c>
      <c r="B1989" s="136" t="s">
        <v>17502</v>
      </c>
      <c r="C1989" s="137">
        <v>112038</v>
      </c>
      <c r="D1989" s="136" t="s">
        <v>15636</v>
      </c>
      <c r="E1989" s="138">
        <v>10257.799999999999</v>
      </c>
      <c r="F1989" s="139">
        <v>42871</v>
      </c>
      <c r="G1989" s="140">
        <v>10257.799999999999</v>
      </c>
      <c r="H1989" s="138">
        <f t="shared" ref="H1989:H2052" si="32">E1989-G1989</f>
        <v>0</v>
      </c>
      <c r="I1989" s="141" t="s">
        <v>15214</v>
      </c>
    </row>
    <row r="1990" spans="1:9" x14ac:dyDescent="0.25">
      <c r="A1990" s="166">
        <v>42871</v>
      </c>
      <c r="B1990" s="142" t="s">
        <v>17503</v>
      </c>
      <c r="C1990" s="143">
        <v>112039</v>
      </c>
      <c r="D1990" s="142" t="s">
        <v>15348</v>
      </c>
      <c r="E1990" s="144">
        <v>2835</v>
      </c>
      <c r="F1990" s="145">
        <v>42873</v>
      </c>
      <c r="G1990" s="146">
        <v>2835</v>
      </c>
      <c r="H1990" s="138">
        <f t="shared" si="32"/>
        <v>0</v>
      </c>
      <c r="I1990" s="147" t="s">
        <v>15214</v>
      </c>
    </row>
    <row r="1991" spans="1:9" x14ac:dyDescent="0.25">
      <c r="A1991" s="166">
        <v>42871</v>
      </c>
      <c r="B1991" s="136" t="s">
        <v>17504</v>
      </c>
      <c r="C1991" s="137">
        <v>112040</v>
      </c>
      <c r="D1991" s="136" t="s">
        <v>15242</v>
      </c>
      <c r="E1991" s="138">
        <v>7200</v>
      </c>
      <c r="F1991" s="139">
        <v>42871</v>
      </c>
      <c r="G1991" s="140">
        <v>7200</v>
      </c>
      <c r="H1991" s="138">
        <f t="shared" si="32"/>
        <v>0</v>
      </c>
      <c r="I1991" s="141" t="s">
        <v>15214</v>
      </c>
    </row>
    <row r="1992" spans="1:9" x14ac:dyDescent="0.25">
      <c r="A1992" s="166">
        <v>42871</v>
      </c>
      <c r="B1992" s="142" t="s">
        <v>17505</v>
      </c>
      <c r="C1992" s="143">
        <v>112041</v>
      </c>
      <c r="D1992" s="142" t="s">
        <v>15404</v>
      </c>
      <c r="E1992" s="144">
        <v>8108</v>
      </c>
      <c r="F1992" s="145">
        <v>42871</v>
      </c>
      <c r="G1992" s="146">
        <v>8108</v>
      </c>
      <c r="H1992" s="138">
        <f t="shared" si="32"/>
        <v>0</v>
      </c>
      <c r="I1992" s="147" t="s">
        <v>15214</v>
      </c>
    </row>
    <row r="1993" spans="1:9" x14ac:dyDescent="0.25">
      <c r="A1993" s="166">
        <v>42871</v>
      </c>
      <c r="B1993" s="136" t="s">
        <v>17506</v>
      </c>
      <c r="C1993" s="137">
        <v>112042</v>
      </c>
      <c r="D1993" s="136" t="s">
        <v>15338</v>
      </c>
      <c r="E1993" s="138">
        <v>8794</v>
      </c>
      <c r="F1993" s="139">
        <v>42874</v>
      </c>
      <c r="G1993" s="140">
        <v>8794</v>
      </c>
      <c r="H1993" s="138">
        <f t="shared" si="32"/>
        <v>0</v>
      </c>
      <c r="I1993" s="141" t="s">
        <v>15214</v>
      </c>
    </row>
    <row r="1994" spans="1:9" x14ac:dyDescent="0.25">
      <c r="A1994" s="166">
        <v>42871</v>
      </c>
      <c r="B1994" s="142" t="s">
        <v>17507</v>
      </c>
      <c r="C1994" s="143">
        <v>112043</v>
      </c>
      <c r="D1994" s="142" t="s">
        <v>15350</v>
      </c>
      <c r="E1994" s="144">
        <v>816</v>
      </c>
      <c r="F1994" s="145">
        <v>42871</v>
      </c>
      <c r="G1994" s="146">
        <v>816</v>
      </c>
      <c r="H1994" s="138">
        <f t="shared" si="32"/>
        <v>0</v>
      </c>
      <c r="I1994" s="147" t="s">
        <v>15214</v>
      </c>
    </row>
    <row r="1995" spans="1:9" x14ac:dyDescent="0.25">
      <c r="A1995" s="166">
        <v>42871</v>
      </c>
      <c r="B1995" s="136" t="s">
        <v>17508</v>
      </c>
      <c r="C1995" s="137">
        <v>112044</v>
      </c>
      <c r="D1995" s="136" t="s">
        <v>15258</v>
      </c>
      <c r="E1995" s="138">
        <v>14389.2</v>
      </c>
      <c r="F1995" s="139">
        <v>42874</v>
      </c>
      <c r="G1995" s="140">
        <v>14389.2</v>
      </c>
      <c r="H1995" s="138">
        <f t="shared" si="32"/>
        <v>0</v>
      </c>
      <c r="I1995" s="141" t="s">
        <v>15214</v>
      </c>
    </row>
    <row r="1996" spans="1:9" x14ac:dyDescent="0.25">
      <c r="A1996" s="166">
        <v>42871</v>
      </c>
      <c r="B1996" s="142" t="s">
        <v>17509</v>
      </c>
      <c r="C1996" s="143">
        <v>112045</v>
      </c>
      <c r="D1996" s="142" t="s">
        <v>15223</v>
      </c>
      <c r="E1996" s="144">
        <v>46662</v>
      </c>
      <c r="F1996" s="145">
        <v>42882</v>
      </c>
      <c r="G1996" s="146">
        <v>46662</v>
      </c>
      <c r="H1996" s="138">
        <f t="shared" si="32"/>
        <v>0</v>
      </c>
      <c r="I1996" s="147" t="s">
        <v>15214</v>
      </c>
    </row>
    <row r="1997" spans="1:9" x14ac:dyDescent="0.25">
      <c r="A1997" s="166">
        <v>42871</v>
      </c>
      <c r="B1997" s="136" t="s">
        <v>17510</v>
      </c>
      <c r="C1997" s="137">
        <v>112046</v>
      </c>
      <c r="D1997" s="136" t="s">
        <v>15742</v>
      </c>
      <c r="E1997" s="138">
        <v>2044.8</v>
      </c>
      <c r="F1997" s="139">
        <v>42871</v>
      </c>
      <c r="G1997" s="140">
        <v>2044.8</v>
      </c>
      <c r="H1997" s="138">
        <f t="shared" si="32"/>
        <v>0</v>
      </c>
      <c r="I1997" s="141" t="s">
        <v>15214</v>
      </c>
    </row>
    <row r="1998" spans="1:9" x14ac:dyDescent="0.25">
      <c r="A1998" s="166">
        <v>42871</v>
      </c>
      <c r="B1998" s="142" t="s">
        <v>17511</v>
      </c>
      <c r="C1998" s="143">
        <v>112047</v>
      </c>
      <c r="D1998" s="142" t="s">
        <v>15475</v>
      </c>
      <c r="E1998" s="144">
        <v>11482.16</v>
      </c>
      <c r="F1998" s="145">
        <v>42871</v>
      </c>
      <c r="G1998" s="146">
        <v>11482.16</v>
      </c>
      <c r="H1998" s="138">
        <f t="shared" si="32"/>
        <v>0</v>
      </c>
      <c r="I1998" s="147" t="s">
        <v>15214</v>
      </c>
    </row>
    <row r="1999" spans="1:9" x14ac:dyDescent="0.25">
      <c r="A1999" s="166">
        <v>42871</v>
      </c>
      <c r="B1999" s="136" t="s">
        <v>17512</v>
      </c>
      <c r="C1999" s="137">
        <v>112048</v>
      </c>
      <c r="D1999" s="136" t="s">
        <v>15236</v>
      </c>
      <c r="E1999" s="138">
        <v>3517.2</v>
      </c>
      <c r="F1999" s="139">
        <v>42873</v>
      </c>
      <c r="G1999" s="140">
        <v>3517.2</v>
      </c>
      <c r="H1999" s="138">
        <f t="shared" si="32"/>
        <v>0</v>
      </c>
      <c r="I1999" s="141" t="s">
        <v>15214</v>
      </c>
    </row>
    <row r="2000" spans="1:9" x14ac:dyDescent="0.25">
      <c r="A2000" s="166">
        <v>42871</v>
      </c>
      <c r="B2000" s="142" t="s">
        <v>17513</v>
      </c>
      <c r="C2000" s="143">
        <v>112049</v>
      </c>
      <c r="D2000" s="142" t="s">
        <v>15858</v>
      </c>
      <c r="E2000" s="144">
        <v>2070.2399999999998</v>
      </c>
      <c r="F2000" s="145">
        <v>42871</v>
      </c>
      <c r="G2000" s="146">
        <v>2070.2399999999998</v>
      </c>
      <c r="H2000" s="138">
        <f t="shared" si="32"/>
        <v>0</v>
      </c>
      <c r="I2000" s="147" t="s">
        <v>15214</v>
      </c>
    </row>
    <row r="2001" spans="1:9" x14ac:dyDescent="0.25">
      <c r="A2001" s="166">
        <v>42871</v>
      </c>
      <c r="B2001" s="136" t="s">
        <v>17514</v>
      </c>
      <c r="C2001" s="137">
        <v>112050</v>
      </c>
      <c r="D2001" s="136" t="s">
        <v>15256</v>
      </c>
      <c r="E2001" s="138">
        <v>7891.2</v>
      </c>
      <c r="F2001" s="139">
        <v>42872</v>
      </c>
      <c r="G2001" s="140">
        <v>7891.2</v>
      </c>
      <c r="H2001" s="138">
        <f t="shared" si="32"/>
        <v>0</v>
      </c>
      <c r="I2001" s="141" t="s">
        <v>15214</v>
      </c>
    </row>
    <row r="2002" spans="1:9" x14ac:dyDescent="0.25">
      <c r="A2002" s="166">
        <v>42871</v>
      </c>
      <c r="B2002" s="142" t="s">
        <v>17515</v>
      </c>
      <c r="C2002" s="143">
        <v>112051</v>
      </c>
      <c r="D2002" s="142" t="s">
        <v>15238</v>
      </c>
      <c r="E2002" s="144">
        <v>5632.6</v>
      </c>
      <c r="F2002" s="145">
        <v>42873</v>
      </c>
      <c r="G2002" s="146">
        <v>5632.6</v>
      </c>
      <c r="H2002" s="138">
        <f t="shared" si="32"/>
        <v>0</v>
      </c>
      <c r="I2002" s="147" t="s">
        <v>15214</v>
      </c>
    </row>
    <row r="2003" spans="1:9" x14ac:dyDescent="0.25">
      <c r="A2003" s="166">
        <v>42871</v>
      </c>
      <c r="B2003" s="136" t="s">
        <v>17516</v>
      </c>
      <c r="C2003" s="137">
        <v>112052</v>
      </c>
      <c r="D2003" s="136" t="s">
        <v>15272</v>
      </c>
      <c r="E2003" s="138">
        <v>16353.7</v>
      </c>
      <c r="F2003" s="139">
        <v>42871</v>
      </c>
      <c r="G2003" s="140">
        <v>16353.7</v>
      </c>
      <c r="H2003" s="138">
        <f t="shared" si="32"/>
        <v>0</v>
      </c>
      <c r="I2003" s="141" t="s">
        <v>15214</v>
      </c>
    </row>
    <row r="2004" spans="1:9" x14ac:dyDescent="0.25">
      <c r="A2004" s="166">
        <v>42871</v>
      </c>
      <c r="B2004" s="142" t="s">
        <v>17517</v>
      </c>
      <c r="C2004" s="143">
        <v>112053</v>
      </c>
      <c r="D2004" s="142" t="s">
        <v>5575</v>
      </c>
      <c r="E2004" s="144">
        <v>4000.6</v>
      </c>
      <c r="F2004" s="145">
        <v>42872</v>
      </c>
      <c r="G2004" s="146">
        <v>4000.6</v>
      </c>
      <c r="H2004" s="138">
        <f t="shared" si="32"/>
        <v>0</v>
      </c>
      <c r="I2004" s="147" t="s">
        <v>15214</v>
      </c>
    </row>
    <row r="2005" spans="1:9" x14ac:dyDescent="0.25">
      <c r="A2005" s="166">
        <v>42871</v>
      </c>
      <c r="B2005" s="136" t="s">
        <v>17518</v>
      </c>
      <c r="C2005" s="137">
        <v>112054</v>
      </c>
      <c r="D2005" s="136" t="s">
        <v>15328</v>
      </c>
      <c r="E2005" s="138">
        <v>57472.36</v>
      </c>
      <c r="F2005" s="139">
        <v>42880</v>
      </c>
      <c r="G2005" s="140">
        <v>57472.36</v>
      </c>
      <c r="H2005" s="138">
        <f t="shared" si="32"/>
        <v>0</v>
      </c>
      <c r="I2005" s="141" t="s">
        <v>15214</v>
      </c>
    </row>
    <row r="2006" spans="1:9" x14ac:dyDescent="0.25">
      <c r="A2006" s="166">
        <v>42871</v>
      </c>
      <c r="B2006" s="142" t="s">
        <v>17519</v>
      </c>
      <c r="C2006" s="143">
        <v>112055</v>
      </c>
      <c r="D2006" s="142" t="s">
        <v>15315</v>
      </c>
      <c r="E2006" s="144">
        <v>1078</v>
      </c>
      <c r="F2006" s="145">
        <v>42871</v>
      </c>
      <c r="G2006" s="146">
        <v>1078</v>
      </c>
      <c r="H2006" s="138">
        <f t="shared" si="32"/>
        <v>0</v>
      </c>
      <c r="I2006" s="147" t="s">
        <v>15214</v>
      </c>
    </row>
    <row r="2007" spans="1:9" x14ac:dyDescent="0.25">
      <c r="A2007" s="166">
        <v>42871</v>
      </c>
      <c r="B2007" s="136" t="s">
        <v>17520</v>
      </c>
      <c r="C2007" s="137">
        <v>112056</v>
      </c>
      <c r="D2007" s="136" t="s">
        <v>15344</v>
      </c>
      <c r="E2007" s="138">
        <v>2126.6</v>
      </c>
      <c r="F2007" s="139">
        <v>42871</v>
      </c>
      <c r="G2007" s="140">
        <v>2126.6</v>
      </c>
      <c r="H2007" s="138">
        <f t="shared" si="32"/>
        <v>0</v>
      </c>
      <c r="I2007" s="141" t="s">
        <v>15214</v>
      </c>
    </row>
    <row r="2008" spans="1:9" x14ac:dyDescent="0.25">
      <c r="A2008" s="166">
        <v>42871</v>
      </c>
      <c r="B2008" s="142" t="s">
        <v>17521</v>
      </c>
      <c r="C2008" s="143">
        <v>112057</v>
      </c>
      <c r="D2008" s="142" t="s">
        <v>15526</v>
      </c>
      <c r="E2008" s="144">
        <v>3459.4</v>
      </c>
      <c r="F2008" s="145">
        <v>42871</v>
      </c>
      <c r="G2008" s="146">
        <v>3459.4</v>
      </c>
      <c r="H2008" s="138">
        <f t="shared" si="32"/>
        <v>0</v>
      </c>
      <c r="I2008" s="147" t="s">
        <v>15214</v>
      </c>
    </row>
    <row r="2009" spans="1:9" x14ac:dyDescent="0.25">
      <c r="A2009" s="166">
        <v>42871</v>
      </c>
      <c r="B2009" s="136" t="s">
        <v>17522</v>
      </c>
      <c r="C2009" s="137">
        <v>112058</v>
      </c>
      <c r="D2009" s="136" t="s">
        <v>15553</v>
      </c>
      <c r="E2009" s="138">
        <v>1906.8</v>
      </c>
      <c r="F2009" s="139">
        <v>42871</v>
      </c>
      <c r="G2009" s="140">
        <v>1906.8</v>
      </c>
      <c r="H2009" s="138">
        <f t="shared" si="32"/>
        <v>0</v>
      </c>
      <c r="I2009" s="141" t="s">
        <v>15214</v>
      </c>
    </row>
    <row r="2010" spans="1:9" x14ac:dyDescent="0.25">
      <c r="A2010" s="166">
        <v>42871</v>
      </c>
      <c r="B2010" s="142" t="s">
        <v>17523</v>
      </c>
      <c r="C2010" s="143">
        <v>112059</v>
      </c>
      <c r="D2010" s="142" t="s">
        <v>15475</v>
      </c>
      <c r="E2010" s="144">
        <v>2919.6</v>
      </c>
      <c r="F2010" s="145">
        <v>42871</v>
      </c>
      <c r="G2010" s="146">
        <v>2919.6</v>
      </c>
      <c r="H2010" s="138">
        <f t="shared" si="32"/>
        <v>0</v>
      </c>
      <c r="I2010" s="147" t="s">
        <v>15214</v>
      </c>
    </row>
    <row r="2011" spans="1:9" x14ac:dyDescent="0.25">
      <c r="A2011" s="166">
        <v>42871</v>
      </c>
      <c r="B2011" s="136" t="s">
        <v>17524</v>
      </c>
      <c r="C2011" s="137">
        <v>112060</v>
      </c>
      <c r="D2011" s="136" t="s">
        <v>16604</v>
      </c>
      <c r="E2011" s="138">
        <v>18592</v>
      </c>
      <c r="F2011" s="139">
        <v>42871</v>
      </c>
      <c r="G2011" s="140">
        <v>18592</v>
      </c>
      <c r="H2011" s="138">
        <f t="shared" si="32"/>
        <v>0</v>
      </c>
      <c r="I2011" s="141" t="s">
        <v>15214</v>
      </c>
    </row>
    <row r="2012" spans="1:9" x14ac:dyDescent="0.25">
      <c r="A2012" s="166">
        <v>42871</v>
      </c>
      <c r="B2012" s="142" t="s">
        <v>17525</v>
      </c>
      <c r="C2012" s="143">
        <v>112061</v>
      </c>
      <c r="D2012" s="142" t="s">
        <v>15248</v>
      </c>
      <c r="E2012" s="144">
        <v>16892.599999999999</v>
      </c>
      <c r="F2012" s="139">
        <v>42871</v>
      </c>
      <c r="G2012" s="146">
        <v>16892.599999999999</v>
      </c>
      <c r="H2012" s="138">
        <f t="shared" si="32"/>
        <v>0</v>
      </c>
      <c r="I2012" s="147" t="s">
        <v>15214</v>
      </c>
    </row>
    <row r="2013" spans="1:9" x14ac:dyDescent="0.25">
      <c r="A2013" s="166">
        <v>42871</v>
      </c>
      <c r="B2013" s="136" t="s">
        <v>17526</v>
      </c>
      <c r="C2013" s="137">
        <v>112062</v>
      </c>
      <c r="D2013" s="136" t="s">
        <v>15334</v>
      </c>
      <c r="E2013" s="138">
        <v>1200</v>
      </c>
      <c r="F2013" s="139">
        <v>42871</v>
      </c>
      <c r="G2013" s="140">
        <v>1200</v>
      </c>
      <c r="H2013" s="138">
        <f t="shared" si="32"/>
        <v>0</v>
      </c>
      <c r="I2013" s="141" t="s">
        <v>15214</v>
      </c>
    </row>
    <row r="2014" spans="1:9" x14ac:dyDescent="0.25">
      <c r="A2014" s="166">
        <v>42871</v>
      </c>
      <c r="B2014" s="142" t="s">
        <v>17527</v>
      </c>
      <c r="C2014" s="143">
        <v>112063</v>
      </c>
      <c r="D2014" s="142" t="s">
        <v>15284</v>
      </c>
      <c r="E2014" s="144">
        <v>2219.6999999999998</v>
      </c>
      <c r="F2014" s="139">
        <v>42871</v>
      </c>
      <c r="G2014" s="146">
        <v>2219.6999999999998</v>
      </c>
      <c r="H2014" s="138">
        <f t="shared" si="32"/>
        <v>0</v>
      </c>
      <c r="I2014" s="147" t="s">
        <v>15214</v>
      </c>
    </row>
    <row r="2015" spans="1:9" x14ac:dyDescent="0.25">
      <c r="A2015" s="166">
        <v>42871</v>
      </c>
      <c r="B2015" s="136" t="s">
        <v>17528</v>
      </c>
      <c r="C2015" s="137">
        <v>112064</v>
      </c>
      <c r="D2015" s="136" t="s">
        <v>15261</v>
      </c>
      <c r="E2015" s="138">
        <v>6364</v>
      </c>
      <c r="F2015" s="139">
        <v>42871</v>
      </c>
      <c r="G2015" s="140">
        <v>6364</v>
      </c>
      <c r="H2015" s="138">
        <f t="shared" si="32"/>
        <v>0</v>
      </c>
      <c r="I2015" s="141" t="s">
        <v>15214</v>
      </c>
    </row>
    <row r="2016" spans="1:9" x14ac:dyDescent="0.25">
      <c r="A2016" s="166">
        <v>42871</v>
      </c>
      <c r="B2016" s="142" t="s">
        <v>17529</v>
      </c>
      <c r="C2016" s="143">
        <v>112065</v>
      </c>
      <c r="D2016" s="142" t="s">
        <v>15358</v>
      </c>
      <c r="E2016" s="144">
        <v>1602.7</v>
      </c>
      <c r="F2016" s="139">
        <v>42871</v>
      </c>
      <c r="G2016" s="146">
        <v>1602.7</v>
      </c>
      <c r="H2016" s="138">
        <f t="shared" si="32"/>
        <v>0</v>
      </c>
      <c r="I2016" s="147" t="s">
        <v>15214</v>
      </c>
    </row>
    <row r="2017" spans="1:9" x14ac:dyDescent="0.25">
      <c r="A2017" s="166">
        <v>42871</v>
      </c>
      <c r="B2017" s="136" t="s">
        <v>17530</v>
      </c>
      <c r="C2017" s="137">
        <v>112066</v>
      </c>
      <c r="D2017" s="136" t="s">
        <v>15356</v>
      </c>
      <c r="E2017" s="138">
        <v>1327.9</v>
      </c>
      <c r="F2017" s="139">
        <v>42871</v>
      </c>
      <c r="G2017" s="140">
        <v>1327.9</v>
      </c>
      <c r="H2017" s="138">
        <f t="shared" si="32"/>
        <v>0</v>
      </c>
      <c r="I2017" s="141" t="s">
        <v>15214</v>
      </c>
    </row>
    <row r="2018" spans="1:9" x14ac:dyDescent="0.25">
      <c r="A2018" s="166">
        <v>42871</v>
      </c>
      <c r="B2018" s="142" t="s">
        <v>17531</v>
      </c>
      <c r="C2018" s="143">
        <v>112067</v>
      </c>
      <c r="D2018" s="142" t="s">
        <v>15336</v>
      </c>
      <c r="E2018" s="144">
        <v>5395.6</v>
      </c>
      <c r="F2018" s="139">
        <v>42871</v>
      </c>
      <c r="G2018" s="146">
        <v>5395.6</v>
      </c>
      <c r="H2018" s="138">
        <f t="shared" si="32"/>
        <v>0</v>
      </c>
      <c r="I2018" s="147" t="s">
        <v>15214</v>
      </c>
    </row>
    <row r="2019" spans="1:9" x14ac:dyDescent="0.25">
      <c r="A2019" s="166">
        <v>42871</v>
      </c>
      <c r="B2019" s="136" t="s">
        <v>17532</v>
      </c>
      <c r="C2019" s="137">
        <v>112068</v>
      </c>
      <c r="D2019" s="136" t="s">
        <v>15332</v>
      </c>
      <c r="E2019" s="138">
        <v>3826.9</v>
      </c>
      <c r="F2019" s="139">
        <v>42871</v>
      </c>
      <c r="G2019" s="140">
        <v>3826.9</v>
      </c>
      <c r="H2019" s="138">
        <f t="shared" si="32"/>
        <v>0</v>
      </c>
      <c r="I2019" s="141" t="s">
        <v>15214</v>
      </c>
    </row>
    <row r="2020" spans="1:9" x14ac:dyDescent="0.25">
      <c r="A2020" s="166">
        <v>42871</v>
      </c>
      <c r="B2020" s="142" t="s">
        <v>17533</v>
      </c>
      <c r="C2020" s="143">
        <v>112069</v>
      </c>
      <c r="D2020" s="142" t="s">
        <v>15361</v>
      </c>
      <c r="E2020" s="144">
        <v>13548</v>
      </c>
      <c r="F2020" s="139">
        <v>42871</v>
      </c>
      <c r="G2020" s="146">
        <v>13548</v>
      </c>
      <c r="H2020" s="138">
        <f t="shared" si="32"/>
        <v>0</v>
      </c>
      <c r="I2020" s="147" t="s">
        <v>15214</v>
      </c>
    </row>
    <row r="2021" spans="1:9" x14ac:dyDescent="0.25">
      <c r="A2021" s="166">
        <v>42871</v>
      </c>
      <c r="B2021" s="136" t="s">
        <v>17534</v>
      </c>
      <c r="C2021" s="137">
        <v>112070</v>
      </c>
      <c r="D2021" s="136" t="s">
        <v>15263</v>
      </c>
      <c r="E2021" s="138">
        <v>4157.2</v>
      </c>
      <c r="F2021" s="139">
        <v>42871</v>
      </c>
      <c r="G2021" s="140">
        <v>4157.2</v>
      </c>
      <c r="H2021" s="138">
        <f t="shared" si="32"/>
        <v>0</v>
      </c>
      <c r="I2021" s="141" t="s">
        <v>15214</v>
      </c>
    </row>
    <row r="2022" spans="1:9" x14ac:dyDescent="0.25">
      <c r="A2022" s="166">
        <v>42871</v>
      </c>
      <c r="B2022" s="142" t="s">
        <v>17535</v>
      </c>
      <c r="C2022" s="143">
        <v>112071</v>
      </c>
      <c r="D2022" s="142" t="s">
        <v>15391</v>
      </c>
      <c r="E2022" s="144">
        <v>6862.8</v>
      </c>
      <c r="F2022" s="145">
        <v>42873</v>
      </c>
      <c r="G2022" s="146">
        <v>6862.8</v>
      </c>
      <c r="H2022" s="138">
        <f t="shared" si="32"/>
        <v>0</v>
      </c>
      <c r="I2022" s="147" t="s">
        <v>15214</v>
      </c>
    </row>
    <row r="2023" spans="1:9" x14ac:dyDescent="0.25">
      <c r="A2023" s="166">
        <v>42871</v>
      </c>
      <c r="B2023" s="136" t="s">
        <v>17536</v>
      </c>
      <c r="C2023" s="137">
        <v>112072</v>
      </c>
      <c r="D2023" s="136" t="s">
        <v>15326</v>
      </c>
      <c r="E2023" s="138">
        <v>2541.1999999999998</v>
      </c>
      <c r="F2023" s="139">
        <v>42871</v>
      </c>
      <c r="G2023" s="140">
        <v>2541.1999999999998</v>
      </c>
      <c r="H2023" s="138">
        <f t="shared" si="32"/>
        <v>0</v>
      </c>
      <c r="I2023" s="141" t="s">
        <v>15214</v>
      </c>
    </row>
    <row r="2024" spans="1:9" x14ac:dyDescent="0.25">
      <c r="A2024" s="166">
        <v>42871</v>
      </c>
      <c r="B2024" s="142" t="s">
        <v>17537</v>
      </c>
      <c r="C2024" s="143">
        <v>112073</v>
      </c>
      <c r="D2024" s="142" t="s">
        <v>15326</v>
      </c>
      <c r="E2024" s="144">
        <v>1385.7</v>
      </c>
      <c r="F2024" s="139">
        <v>42871</v>
      </c>
      <c r="G2024" s="146">
        <v>1385.7</v>
      </c>
      <c r="H2024" s="138">
        <f t="shared" si="32"/>
        <v>0</v>
      </c>
      <c r="I2024" s="147" t="s">
        <v>15214</v>
      </c>
    </row>
    <row r="2025" spans="1:9" x14ac:dyDescent="0.25">
      <c r="A2025" s="166">
        <v>42871</v>
      </c>
      <c r="B2025" s="136" t="s">
        <v>17538</v>
      </c>
      <c r="C2025" s="137">
        <v>112074</v>
      </c>
      <c r="D2025" s="136" t="s">
        <v>15280</v>
      </c>
      <c r="E2025" s="138">
        <v>5104.2</v>
      </c>
      <c r="F2025" s="139">
        <v>42871</v>
      </c>
      <c r="G2025" s="140">
        <v>5104.2</v>
      </c>
      <c r="H2025" s="138">
        <f t="shared" si="32"/>
        <v>0</v>
      </c>
      <c r="I2025" s="141" t="s">
        <v>15214</v>
      </c>
    </row>
    <row r="2026" spans="1:9" x14ac:dyDescent="0.25">
      <c r="A2026" s="166">
        <v>42871</v>
      </c>
      <c r="B2026" s="142" t="s">
        <v>17539</v>
      </c>
      <c r="C2026" s="143">
        <v>112075</v>
      </c>
      <c r="D2026" s="142" t="s">
        <v>15549</v>
      </c>
      <c r="E2026" s="144">
        <v>7302</v>
      </c>
      <c r="F2026" s="139">
        <v>42871</v>
      </c>
      <c r="G2026" s="146">
        <v>7302</v>
      </c>
      <c r="H2026" s="138">
        <f t="shared" si="32"/>
        <v>0</v>
      </c>
      <c r="I2026" s="147" t="s">
        <v>15214</v>
      </c>
    </row>
    <row r="2027" spans="1:9" x14ac:dyDescent="0.25">
      <c r="A2027" s="166">
        <v>42871</v>
      </c>
      <c r="B2027" s="136" t="s">
        <v>17540</v>
      </c>
      <c r="C2027" s="137">
        <v>112076</v>
      </c>
      <c r="D2027" s="136" t="s">
        <v>16383</v>
      </c>
      <c r="E2027" s="138">
        <v>10276.700000000001</v>
      </c>
      <c r="F2027" s="139">
        <v>42871</v>
      </c>
      <c r="G2027" s="140">
        <v>10276.700000000001</v>
      </c>
      <c r="H2027" s="138">
        <f t="shared" si="32"/>
        <v>0</v>
      </c>
      <c r="I2027" s="141" t="s">
        <v>15214</v>
      </c>
    </row>
    <row r="2028" spans="1:9" x14ac:dyDescent="0.25">
      <c r="A2028" s="166">
        <v>42871</v>
      </c>
      <c r="B2028" s="142" t="s">
        <v>17541</v>
      </c>
      <c r="C2028" s="143">
        <v>112077</v>
      </c>
      <c r="D2028" s="142" t="s">
        <v>15590</v>
      </c>
      <c r="E2028" s="144">
        <v>22104</v>
      </c>
      <c r="F2028" s="145">
        <v>42880</v>
      </c>
      <c r="G2028" s="146">
        <v>22104</v>
      </c>
      <c r="H2028" s="138">
        <f t="shared" si="32"/>
        <v>0</v>
      </c>
      <c r="I2028" s="147" t="s">
        <v>15214</v>
      </c>
    </row>
    <row r="2029" spans="1:9" x14ac:dyDescent="0.25">
      <c r="A2029" s="166">
        <v>42871</v>
      </c>
      <c r="B2029" s="136" t="s">
        <v>17542</v>
      </c>
      <c r="C2029" s="137">
        <v>112078</v>
      </c>
      <c r="D2029" s="136" t="s">
        <v>15286</v>
      </c>
      <c r="E2029" s="138">
        <v>6964</v>
      </c>
      <c r="F2029" s="139">
        <v>42872</v>
      </c>
      <c r="G2029" s="140">
        <v>6964</v>
      </c>
      <c r="H2029" s="138">
        <f t="shared" si="32"/>
        <v>0</v>
      </c>
      <c r="I2029" s="141" t="s">
        <v>15214</v>
      </c>
    </row>
    <row r="2030" spans="1:9" x14ac:dyDescent="0.25">
      <c r="A2030" s="166">
        <v>42871</v>
      </c>
      <c r="B2030" s="142" t="s">
        <v>17543</v>
      </c>
      <c r="C2030" s="143">
        <v>112079</v>
      </c>
      <c r="D2030" s="142" t="s">
        <v>15868</v>
      </c>
      <c r="E2030" s="144">
        <v>10604.5</v>
      </c>
      <c r="F2030" s="139">
        <v>42871</v>
      </c>
      <c r="G2030" s="146">
        <v>10604.5</v>
      </c>
      <c r="H2030" s="138">
        <f t="shared" si="32"/>
        <v>0</v>
      </c>
      <c r="I2030" s="147" t="s">
        <v>15214</v>
      </c>
    </row>
    <row r="2031" spans="1:9" x14ac:dyDescent="0.25">
      <c r="A2031" s="166">
        <v>42871</v>
      </c>
      <c r="B2031" s="136" t="s">
        <v>17544</v>
      </c>
      <c r="C2031" s="137">
        <v>112080</v>
      </c>
      <c r="D2031" s="136" t="s">
        <v>15385</v>
      </c>
      <c r="E2031" s="138">
        <v>12716.6</v>
      </c>
      <c r="F2031" s="139">
        <v>42871</v>
      </c>
      <c r="G2031" s="140">
        <v>12716.6</v>
      </c>
      <c r="H2031" s="138">
        <f t="shared" si="32"/>
        <v>0</v>
      </c>
      <c r="I2031" s="141" t="s">
        <v>15214</v>
      </c>
    </row>
    <row r="2032" spans="1:9" x14ac:dyDescent="0.25">
      <c r="A2032" s="166">
        <v>42871</v>
      </c>
      <c r="B2032" s="142" t="s">
        <v>17545</v>
      </c>
      <c r="C2032" s="143">
        <v>112081</v>
      </c>
      <c r="D2032" s="142" t="s">
        <v>15499</v>
      </c>
      <c r="E2032" s="144">
        <v>2108.6999999999998</v>
      </c>
      <c r="F2032" s="139">
        <v>42871</v>
      </c>
      <c r="G2032" s="146">
        <v>2108.6999999999998</v>
      </c>
      <c r="H2032" s="138">
        <f t="shared" si="32"/>
        <v>0</v>
      </c>
      <c r="I2032" s="147" t="s">
        <v>15214</v>
      </c>
    </row>
    <row r="2033" spans="1:9" x14ac:dyDescent="0.25">
      <c r="A2033" s="166">
        <v>42871</v>
      </c>
      <c r="B2033" s="136" t="s">
        <v>17546</v>
      </c>
      <c r="C2033" s="137">
        <v>112082</v>
      </c>
      <c r="D2033" s="136" t="s">
        <v>15307</v>
      </c>
      <c r="E2033" s="138">
        <v>1946.1</v>
      </c>
      <c r="F2033" s="139">
        <v>42872</v>
      </c>
      <c r="G2033" s="140">
        <v>1946.1</v>
      </c>
      <c r="H2033" s="138">
        <f t="shared" si="32"/>
        <v>0</v>
      </c>
      <c r="I2033" s="141" t="s">
        <v>15214</v>
      </c>
    </row>
    <row r="2034" spans="1:9" x14ac:dyDescent="0.25">
      <c r="A2034" s="166">
        <v>42871</v>
      </c>
      <c r="B2034" s="142" t="s">
        <v>17547</v>
      </c>
      <c r="C2034" s="143">
        <v>112083</v>
      </c>
      <c r="D2034" s="142" t="s">
        <v>15276</v>
      </c>
      <c r="E2034" s="144">
        <v>4800</v>
      </c>
      <c r="F2034" s="145">
        <v>42872</v>
      </c>
      <c r="G2034" s="146">
        <v>4800</v>
      </c>
      <c r="H2034" s="138">
        <f t="shared" si="32"/>
        <v>0</v>
      </c>
      <c r="I2034" s="147" t="s">
        <v>15214</v>
      </c>
    </row>
    <row r="2035" spans="1:9" x14ac:dyDescent="0.25">
      <c r="A2035" s="166">
        <v>42871</v>
      </c>
      <c r="B2035" s="136" t="s">
        <v>17548</v>
      </c>
      <c r="C2035" s="137">
        <v>112084</v>
      </c>
      <c r="D2035" s="136" t="s">
        <v>15282</v>
      </c>
      <c r="E2035" s="138">
        <v>4800.8</v>
      </c>
      <c r="F2035" s="139">
        <v>42871</v>
      </c>
      <c r="G2035" s="140">
        <v>4800.8</v>
      </c>
      <c r="H2035" s="138">
        <f t="shared" si="32"/>
        <v>0</v>
      </c>
      <c r="I2035" s="141" t="s">
        <v>15214</v>
      </c>
    </row>
    <row r="2036" spans="1:9" x14ac:dyDescent="0.25">
      <c r="A2036" s="166">
        <v>42871</v>
      </c>
      <c r="B2036" s="142" t="s">
        <v>17549</v>
      </c>
      <c r="C2036" s="143">
        <v>112085</v>
      </c>
      <c r="D2036" s="142" t="s">
        <v>15315</v>
      </c>
      <c r="E2036" s="144">
        <v>1430.72</v>
      </c>
      <c r="F2036" s="145">
        <v>42871</v>
      </c>
      <c r="G2036" s="146">
        <v>1430.72</v>
      </c>
      <c r="H2036" s="138">
        <f t="shared" si="32"/>
        <v>0</v>
      </c>
      <c r="I2036" s="147" t="s">
        <v>15214</v>
      </c>
    </row>
    <row r="2037" spans="1:9" x14ac:dyDescent="0.25">
      <c r="A2037" s="166">
        <v>42871</v>
      </c>
      <c r="B2037" s="136" t="s">
        <v>17550</v>
      </c>
      <c r="C2037" s="137">
        <v>112086</v>
      </c>
      <c r="D2037" s="136" t="s">
        <v>15818</v>
      </c>
      <c r="E2037" s="138">
        <v>5546.8</v>
      </c>
      <c r="F2037" s="139">
        <v>42871</v>
      </c>
      <c r="G2037" s="140">
        <v>5546.8</v>
      </c>
      <c r="H2037" s="138">
        <f t="shared" si="32"/>
        <v>0</v>
      </c>
      <c r="I2037" s="141" t="s">
        <v>15214</v>
      </c>
    </row>
    <row r="2038" spans="1:9" x14ac:dyDescent="0.25">
      <c r="A2038" s="166">
        <v>42871</v>
      </c>
      <c r="B2038" s="142" t="s">
        <v>17551</v>
      </c>
      <c r="C2038" s="143">
        <v>112087</v>
      </c>
      <c r="D2038" s="142" t="s">
        <v>15298</v>
      </c>
      <c r="E2038" s="144">
        <v>10560.1</v>
      </c>
      <c r="F2038" s="145">
        <v>42877</v>
      </c>
      <c r="G2038" s="146">
        <v>10560.1</v>
      </c>
      <c r="H2038" s="138">
        <f t="shared" si="32"/>
        <v>0</v>
      </c>
      <c r="I2038" s="147" t="s">
        <v>15214</v>
      </c>
    </row>
    <row r="2039" spans="1:9" x14ac:dyDescent="0.25">
      <c r="A2039" s="166">
        <v>42871</v>
      </c>
      <c r="B2039" s="136" t="s">
        <v>17552</v>
      </c>
      <c r="C2039" s="137">
        <v>112088</v>
      </c>
      <c r="D2039" s="136" t="s">
        <v>15315</v>
      </c>
      <c r="E2039" s="138">
        <v>4899.6000000000004</v>
      </c>
      <c r="F2039" s="139">
        <v>42871</v>
      </c>
      <c r="G2039" s="140">
        <v>4899.6000000000004</v>
      </c>
      <c r="H2039" s="138">
        <f t="shared" si="32"/>
        <v>0</v>
      </c>
      <c r="I2039" s="141" t="s">
        <v>15214</v>
      </c>
    </row>
    <row r="2040" spans="1:9" ht="15.75" x14ac:dyDescent="0.25">
      <c r="A2040" s="166">
        <v>42871</v>
      </c>
      <c r="B2040" s="142" t="s">
        <v>17553</v>
      </c>
      <c r="C2040" s="143">
        <v>112089</v>
      </c>
      <c r="D2040" s="142" t="s">
        <v>15291</v>
      </c>
      <c r="E2040" s="144">
        <v>0</v>
      </c>
      <c r="F2040" s="156" t="s">
        <v>95</v>
      </c>
      <c r="G2040" s="144">
        <v>0</v>
      </c>
      <c r="H2040" s="138">
        <f t="shared" si="32"/>
        <v>0</v>
      </c>
      <c r="I2040" s="147" t="s">
        <v>95</v>
      </c>
    </row>
    <row r="2041" spans="1:9" x14ac:dyDescent="0.25">
      <c r="A2041" s="166">
        <v>42871</v>
      </c>
      <c r="B2041" s="136" t="s">
        <v>17554</v>
      </c>
      <c r="C2041" s="137">
        <v>112090</v>
      </c>
      <c r="D2041" s="136" t="s">
        <v>15583</v>
      </c>
      <c r="E2041" s="138">
        <v>1433.5</v>
      </c>
      <c r="F2041" s="139">
        <v>42872</v>
      </c>
      <c r="G2041" s="140">
        <v>1433.5</v>
      </c>
      <c r="H2041" s="138">
        <f t="shared" si="32"/>
        <v>0</v>
      </c>
      <c r="I2041" s="141" t="s">
        <v>15214</v>
      </c>
    </row>
    <row r="2042" spans="1:9" x14ac:dyDescent="0.25">
      <c r="A2042" s="166">
        <v>42871</v>
      </c>
      <c r="B2042" s="142" t="s">
        <v>17555</v>
      </c>
      <c r="C2042" s="143">
        <v>112091</v>
      </c>
      <c r="D2042" s="142" t="s">
        <v>15537</v>
      </c>
      <c r="E2042" s="144">
        <v>13942.8</v>
      </c>
      <c r="F2042" s="145">
        <v>42874</v>
      </c>
      <c r="G2042" s="146">
        <v>13942.8</v>
      </c>
      <c r="H2042" s="138">
        <f t="shared" si="32"/>
        <v>0</v>
      </c>
      <c r="I2042" s="147" t="s">
        <v>15214</v>
      </c>
    </row>
    <row r="2043" spans="1:9" x14ac:dyDescent="0.25">
      <c r="A2043" s="166">
        <v>42871</v>
      </c>
      <c r="B2043" s="136" t="s">
        <v>17556</v>
      </c>
      <c r="C2043" s="137">
        <v>112092</v>
      </c>
      <c r="D2043" s="136" t="s">
        <v>15315</v>
      </c>
      <c r="E2043" s="138">
        <v>2071.1999999999998</v>
      </c>
      <c r="F2043" s="139">
        <v>42872</v>
      </c>
      <c r="G2043" s="140">
        <v>2071.1999999999998</v>
      </c>
      <c r="H2043" s="138">
        <f t="shared" si="32"/>
        <v>0</v>
      </c>
      <c r="I2043" s="141" t="s">
        <v>15214</v>
      </c>
    </row>
    <row r="2044" spans="1:9" x14ac:dyDescent="0.25">
      <c r="A2044" s="166">
        <v>42871</v>
      </c>
      <c r="B2044" s="142" t="s">
        <v>17557</v>
      </c>
      <c r="C2044" s="143">
        <v>112093</v>
      </c>
      <c r="D2044" s="142" t="s">
        <v>15346</v>
      </c>
      <c r="E2044" s="144">
        <v>3252.8</v>
      </c>
      <c r="F2044" s="145">
        <v>42872</v>
      </c>
      <c r="G2044" s="146">
        <v>3252.8</v>
      </c>
      <c r="H2044" s="138">
        <f t="shared" si="32"/>
        <v>0</v>
      </c>
      <c r="I2044" s="147" t="s">
        <v>15214</v>
      </c>
    </row>
    <row r="2045" spans="1:9" x14ac:dyDescent="0.25">
      <c r="A2045" s="166">
        <v>42871</v>
      </c>
      <c r="B2045" s="136" t="s">
        <v>17558</v>
      </c>
      <c r="C2045" s="137">
        <v>112094</v>
      </c>
      <c r="D2045" s="136" t="s">
        <v>15544</v>
      </c>
      <c r="E2045" s="138">
        <v>2797.2</v>
      </c>
      <c r="F2045" s="139">
        <v>42872</v>
      </c>
      <c r="G2045" s="140">
        <v>2797.2</v>
      </c>
      <c r="H2045" s="138">
        <f t="shared" si="32"/>
        <v>0</v>
      </c>
      <c r="I2045" s="141" t="s">
        <v>15214</v>
      </c>
    </row>
    <row r="2046" spans="1:9" x14ac:dyDescent="0.25">
      <c r="A2046" s="166">
        <v>42871</v>
      </c>
      <c r="B2046" s="142" t="s">
        <v>17559</v>
      </c>
      <c r="C2046" s="143">
        <v>112095</v>
      </c>
      <c r="D2046" s="142" t="s">
        <v>15315</v>
      </c>
      <c r="E2046" s="144">
        <v>3141.3</v>
      </c>
      <c r="F2046" s="145">
        <v>42872</v>
      </c>
      <c r="G2046" s="146">
        <v>3141.3</v>
      </c>
      <c r="H2046" s="138">
        <f t="shared" si="32"/>
        <v>0</v>
      </c>
      <c r="I2046" s="147" t="s">
        <v>15214</v>
      </c>
    </row>
    <row r="2047" spans="1:9" x14ac:dyDescent="0.25">
      <c r="A2047" s="166">
        <v>42871</v>
      </c>
      <c r="B2047" s="136" t="s">
        <v>17560</v>
      </c>
      <c r="C2047" s="137">
        <v>112096</v>
      </c>
      <c r="D2047" s="136" t="s">
        <v>15559</v>
      </c>
      <c r="E2047" s="138">
        <v>9155.2999999999993</v>
      </c>
      <c r="F2047" s="139">
        <v>42874</v>
      </c>
      <c r="G2047" s="140">
        <v>9155.2999999999993</v>
      </c>
      <c r="H2047" s="138">
        <f t="shared" si="32"/>
        <v>0</v>
      </c>
      <c r="I2047" s="141" t="s">
        <v>15214</v>
      </c>
    </row>
    <row r="2048" spans="1:9" x14ac:dyDescent="0.25">
      <c r="A2048" s="166">
        <v>42871</v>
      </c>
      <c r="B2048" s="142" t="s">
        <v>17561</v>
      </c>
      <c r="C2048" s="143">
        <v>112097</v>
      </c>
      <c r="D2048" s="142" t="s">
        <v>16040</v>
      </c>
      <c r="E2048" s="144">
        <v>8747.2000000000007</v>
      </c>
      <c r="F2048" s="145">
        <v>42872</v>
      </c>
      <c r="G2048" s="146">
        <v>8747.2000000000007</v>
      </c>
      <c r="H2048" s="138">
        <f t="shared" si="32"/>
        <v>0</v>
      </c>
      <c r="I2048" s="147" t="s">
        <v>15214</v>
      </c>
    </row>
    <row r="2049" spans="1:9" x14ac:dyDescent="0.25">
      <c r="A2049" s="166">
        <v>42871</v>
      </c>
      <c r="B2049" s="136" t="s">
        <v>17562</v>
      </c>
      <c r="C2049" s="137">
        <v>112098</v>
      </c>
      <c r="D2049" s="136" t="s">
        <v>15699</v>
      </c>
      <c r="E2049" s="138">
        <v>3610.8</v>
      </c>
      <c r="F2049" s="139">
        <v>42872</v>
      </c>
      <c r="G2049" s="140">
        <v>3610.8</v>
      </c>
      <c r="H2049" s="138">
        <f t="shared" si="32"/>
        <v>0</v>
      </c>
      <c r="I2049" s="141" t="s">
        <v>15214</v>
      </c>
    </row>
    <row r="2050" spans="1:9" x14ac:dyDescent="0.25">
      <c r="A2050" s="166">
        <v>42871</v>
      </c>
      <c r="B2050" s="142" t="s">
        <v>17563</v>
      </c>
      <c r="C2050" s="143">
        <v>112099</v>
      </c>
      <c r="D2050" s="142" t="s">
        <v>15246</v>
      </c>
      <c r="E2050" s="144">
        <v>469.8</v>
      </c>
      <c r="F2050" s="145">
        <v>42872</v>
      </c>
      <c r="G2050" s="146">
        <v>469.8</v>
      </c>
      <c r="H2050" s="138">
        <f t="shared" si="32"/>
        <v>0</v>
      </c>
      <c r="I2050" s="147" t="s">
        <v>15214</v>
      </c>
    </row>
    <row r="2051" spans="1:9" x14ac:dyDescent="0.25">
      <c r="A2051" s="166">
        <v>42871</v>
      </c>
      <c r="B2051" s="136" t="s">
        <v>17564</v>
      </c>
      <c r="C2051" s="137">
        <v>112100</v>
      </c>
      <c r="D2051" s="136" t="s">
        <v>15342</v>
      </c>
      <c r="E2051" s="138">
        <v>805</v>
      </c>
      <c r="F2051" s="139">
        <v>42871</v>
      </c>
      <c r="G2051" s="140">
        <v>805</v>
      </c>
      <c r="H2051" s="138">
        <f t="shared" si="32"/>
        <v>0</v>
      </c>
      <c r="I2051" s="141" t="s">
        <v>15214</v>
      </c>
    </row>
    <row r="2052" spans="1:9" x14ac:dyDescent="0.25">
      <c r="A2052" s="166">
        <v>42871</v>
      </c>
      <c r="B2052" s="142" t="s">
        <v>17565</v>
      </c>
      <c r="C2052" s="143">
        <v>112101</v>
      </c>
      <c r="D2052" s="142" t="s">
        <v>15617</v>
      </c>
      <c r="E2052" s="144">
        <v>28519.599999999999</v>
      </c>
      <c r="F2052" s="145">
        <v>42872</v>
      </c>
      <c r="G2052" s="146">
        <v>28519.599999999999</v>
      </c>
      <c r="H2052" s="138">
        <f t="shared" si="32"/>
        <v>0</v>
      </c>
      <c r="I2052" s="147" t="s">
        <v>15214</v>
      </c>
    </row>
    <row r="2053" spans="1:9" x14ac:dyDescent="0.25">
      <c r="A2053" s="166">
        <v>42871</v>
      </c>
      <c r="B2053" s="136" t="s">
        <v>17566</v>
      </c>
      <c r="C2053" s="137">
        <v>112102</v>
      </c>
      <c r="D2053" s="136" t="s">
        <v>15315</v>
      </c>
      <c r="E2053" s="138">
        <v>2634.6</v>
      </c>
      <c r="F2053" s="139">
        <v>42872</v>
      </c>
      <c r="G2053" s="140">
        <v>2634.6</v>
      </c>
      <c r="H2053" s="138">
        <f t="shared" ref="H2053:H2116" si="33">E2053-G2053</f>
        <v>0</v>
      </c>
      <c r="I2053" s="141" t="s">
        <v>15214</v>
      </c>
    </row>
    <row r="2054" spans="1:9" x14ac:dyDescent="0.25">
      <c r="A2054" s="166">
        <v>42871</v>
      </c>
      <c r="B2054" s="142" t="s">
        <v>17567</v>
      </c>
      <c r="C2054" s="143">
        <v>112103</v>
      </c>
      <c r="D2054" s="142" t="s">
        <v>15315</v>
      </c>
      <c r="E2054" s="144">
        <v>1575</v>
      </c>
      <c r="F2054" s="145" t="s">
        <v>17568</v>
      </c>
      <c r="G2054" s="146">
        <f>1418+157</f>
        <v>1575</v>
      </c>
      <c r="H2054" s="138">
        <f t="shared" si="33"/>
        <v>0</v>
      </c>
      <c r="I2054" s="147" t="s">
        <v>15214</v>
      </c>
    </row>
    <row r="2055" spans="1:9" x14ac:dyDescent="0.25">
      <c r="A2055" s="166">
        <v>42871</v>
      </c>
      <c r="B2055" s="136" t="s">
        <v>17569</v>
      </c>
      <c r="C2055" s="137">
        <v>112104</v>
      </c>
      <c r="D2055" s="136" t="s">
        <v>15315</v>
      </c>
      <c r="E2055" s="138">
        <v>822.5</v>
      </c>
      <c r="F2055" s="139">
        <v>42872</v>
      </c>
      <c r="G2055" s="140">
        <v>822.5</v>
      </c>
      <c r="H2055" s="138">
        <f t="shared" si="33"/>
        <v>0</v>
      </c>
      <c r="I2055" s="141" t="s">
        <v>15214</v>
      </c>
    </row>
    <row r="2056" spans="1:9" x14ac:dyDescent="0.25">
      <c r="A2056" s="166">
        <v>42871</v>
      </c>
      <c r="B2056" s="142" t="s">
        <v>17570</v>
      </c>
      <c r="C2056" s="143">
        <v>112105</v>
      </c>
      <c r="D2056" s="142" t="s">
        <v>15398</v>
      </c>
      <c r="E2056" s="144">
        <v>313.2</v>
      </c>
      <c r="F2056" s="145">
        <v>42871</v>
      </c>
      <c r="G2056" s="146">
        <v>313.2</v>
      </c>
      <c r="H2056" s="138">
        <f t="shared" si="33"/>
        <v>0</v>
      </c>
      <c r="I2056" s="147" t="s">
        <v>15214</v>
      </c>
    </row>
    <row r="2057" spans="1:9" x14ac:dyDescent="0.25">
      <c r="A2057" s="166">
        <v>42871</v>
      </c>
      <c r="B2057" s="136" t="s">
        <v>17571</v>
      </c>
      <c r="C2057" s="137">
        <v>112106</v>
      </c>
      <c r="D2057" s="136" t="s">
        <v>15856</v>
      </c>
      <c r="E2057" s="138">
        <v>1060.8</v>
      </c>
      <c r="F2057" s="139">
        <v>42871</v>
      </c>
      <c r="G2057" s="140">
        <v>1060.8</v>
      </c>
      <c r="H2057" s="138">
        <f t="shared" si="33"/>
        <v>0</v>
      </c>
      <c r="I2057" s="141" t="s">
        <v>15214</v>
      </c>
    </row>
    <row r="2058" spans="1:9" x14ac:dyDescent="0.25">
      <c r="A2058" s="166">
        <v>42871</v>
      </c>
      <c r="B2058" s="142" t="s">
        <v>17572</v>
      </c>
      <c r="C2058" s="143">
        <v>112107</v>
      </c>
      <c r="D2058" s="142" t="s">
        <v>15614</v>
      </c>
      <c r="E2058" s="144">
        <v>10140.200000000001</v>
      </c>
      <c r="F2058" s="145">
        <v>42875</v>
      </c>
      <c r="G2058" s="146">
        <v>10140.200000000001</v>
      </c>
      <c r="H2058" s="138">
        <f t="shared" si="33"/>
        <v>0</v>
      </c>
      <c r="I2058" s="147" t="s">
        <v>15214</v>
      </c>
    </row>
    <row r="2059" spans="1:9" x14ac:dyDescent="0.25">
      <c r="A2059" s="166">
        <v>42871</v>
      </c>
      <c r="B2059" s="136" t="s">
        <v>17573</v>
      </c>
      <c r="C2059" s="137">
        <v>112108</v>
      </c>
      <c r="D2059" s="136" t="s">
        <v>15920</v>
      </c>
      <c r="E2059" s="138">
        <v>6843</v>
      </c>
      <c r="F2059" s="139">
        <v>42872</v>
      </c>
      <c r="G2059" s="140">
        <v>6843</v>
      </c>
      <c r="H2059" s="138">
        <f t="shared" si="33"/>
        <v>0</v>
      </c>
      <c r="I2059" s="141" t="s">
        <v>15214</v>
      </c>
    </row>
    <row r="2060" spans="1:9" x14ac:dyDescent="0.25">
      <c r="A2060" s="166">
        <v>42871</v>
      </c>
      <c r="B2060" s="142" t="s">
        <v>17574</v>
      </c>
      <c r="C2060" s="143">
        <v>112109</v>
      </c>
      <c r="D2060" s="142" t="s">
        <v>15626</v>
      </c>
      <c r="E2060" s="144">
        <v>6305.2</v>
      </c>
      <c r="F2060" s="145">
        <v>42879</v>
      </c>
      <c r="G2060" s="146">
        <v>6305.2</v>
      </c>
      <c r="H2060" s="138">
        <f t="shared" si="33"/>
        <v>0</v>
      </c>
      <c r="I2060" s="147" t="s">
        <v>15214</v>
      </c>
    </row>
    <row r="2061" spans="1:9" x14ac:dyDescent="0.25">
      <c r="A2061" s="166">
        <v>42871</v>
      </c>
      <c r="B2061" s="136" t="s">
        <v>17575</v>
      </c>
      <c r="C2061" s="137">
        <v>112110</v>
      </c>
      <c r="D2061" s="136" t="s">
        <v>15566</v>
      </c>
      <c r="E2061" s="138">
        <v>2975.4</v>
      </c>
      <c r="F2061" s="139">
        <v>42871</v>
      </c>
      <c r="G2061" s="140">
        <v>2975.4</v>
      </c>
      <c r="H2061" s="138">
        <f t="shared" si="33"/>
        <v>0</v>
      </c>
      <c r="I2061" s="141" t="s">
        <v>15214</v>
      </c>
    </row>
    <row r="2062" spans="1:9" x14ac:dyDescent="0.25">
      <c r="A2062" s="166">
        <v>42871</v>
      </c>
      <c r="B2062" s="142" t="s">
        <v>17576</v>
      </c>
      <c r="C2062" s="143">
        <v>112111</v>
      </c>
      <c r="D2062" s="142" t="s">
        <v>16286</v>
      </c>
      <c r="E2062" s="144">
        <v>2873.2</v>
      </c>
      <c r="F2062" s="145">
        <v>42871</v>
      </c>
      <c r="G2062" s="146">
        <v>2873.2</v>
      </c>
      <c r="H2062" s="138">
        <f t="shared" si="33"/>
        <v>0</v>
      </c>
      <c r="I2062" s="147" t="s">
        <v>15214</v>
      </c>
    </row>
    <row r="2063" spans="1:9" x14ac:dyDescent="0.25">
      <c r="A2063" s="166">
        <v>42871</v>
      </c>
      <c r="B2063" s="136" t="s">
        <v>17577</v>
      </c>
      <c r="C2063" s="137">
        <v>112112</v>
      </c>
      <c r="D2063" s="136" t="s">
        <v>15665</v>
      </c>
      <c r="E2063" s="138">
        <v>121.6</v>
      </c>
      <c r="F2063" s="139">
        <v>42871</v>
      </c>
      <c r="G2063" s="140">
        <v>121.6</v>
      </c>
      <c r="H2063" s="138">
        <f t="shared" si="33"/>
        <v>0</v>
      </c>
      <c r="I2063" s="141" t="s">
        <v>15214</v>
      </c>
    </row>
    <row r="2064" spans="1:9" x14ac:dyDescent="0.25">
      <c r="A2064" s="166">
        <v>42871</v>
      </c>
      <c r="B2064" s="142" t="s">
        <v>17578</v>
      </c>
      <c r="C2064" s="143">
        <v>112113</v>
      </c>
      <c r="D2064" s="142" t="s">
        <v>15716</v>
      </c>
      <c r="E2064" s="144">
        <v>8672.4</v>
      </c>
      <c r="F2064" s="145">
        <v>42871</v>
      </c>
      <c r="G2064" s="146">
        <v>8672.4</v>
      </c>
      <c r="H2064" s="138">
        <f t="shared" si="33"/>
        <v>0</v>
      </c>
      <c r="I2064" s="147" t="s">
        <v>15214</v>
      </c>
    </row>
    <row r="2065" spans="1:9" x14ac:dyDescent="0.25">
      <c r="A2065" s="166">
        <v>42871</v>
      </c>
      <c r="B2065" s="136" t="s">
        <v>17579</v>
      </c>
      <c r="C2065" s="137">
        <v>112114</v>
      </c>
      <c r="D2065" s="136" t="s">
        <v>15549</v>
      </c>
      <c r="E2065" s="138">
        <v>1240.8</v>
      </c>
      <c r="F2065" s="139">
        <v>42871</v>
      </c>
      <c r="G2065" s="140">
        <v>1240.8</v>
      </c>
      <c r="H2065" s="138">
        <f t="shared" si="33"/>
        <v>0</v>
      </c>
      <c r="I2065" s="141" t="s">
        <v>15214</v>
      </c>
    </row>
    <row r="2066" spans="1:9" x14ac:dyDescent="0.25">
      <c r="A2066" s="166">
        <v>42871</v>
      </c>
      <c r="B2066" s="142" t="s">
        <v>17580</v>
      </c>
      <c r="C2066" s="143">
        <v>112115</v>
      </c>
      <c r="D2066" s="142" t="s">
        <v>15890</v>
      </c>
      <c r="E2066" s="144">
        <v>29598.2</v>
      </c>
      <c r="F2066" s="161">
        <v>42875</v>
      </c>
      <c r="G2066" s="144">
        <v>29598.2</v>
      </c>
      <c r="H2066" s="138">
        <f t="shared" si="33"/>
        <v>0</v>
      </c>
      <c r="I2066" s="147" t="s">
        <v>15214</v>
      </c>
    </row>
    <row r="2067" spans="1:9" x14ac:dyDescent="0.25">
      <c r="A2067" s="166">
        <v>42871</v>
      </c>
      <c r="B2067" s="136" t="s">
        <v>17581</v>
      </c>
      <c r="C2067" s="137">
        <v>112116</v>
      </c>
      <c r="D2067" s="136" t="s">
        <v>15549</v>
      </c>
      <c r="E2067" s="138">
        <v>2459.8000000000002</v>
      </c>
      <c r="F2067" s="139">
        <v>42871</v>
      </c>
      <c r="G2067" s="140">
        <v>2459.8000000000002</v>
      </c>
      <c r="H2067" s="138">
        <f t="shared" si="33"/>
        <v>0</v>
      </c>
      <c r="I2067" s="141" t="s">
        <v>15214</v>
      </c>
    </row>
    <row r="2068" spans="1:9" x14ac:dyDescent="0.25">
      <c r="A2068" s="166">
        <v>42871</v>
      </c>
      <c r="B2068" s="142" t="s">
        <v>17582</v>
      </c>
      <c r="C2068" s="143">
        <v>112117</v>
      </c>
      <c r="D2068" s="142" t="s">
        <v>15415</v>
      </c>
      <c r="E2068" s="144">
        <v>3408.5</v>
      </c>
      <c r="F2068" s="145">
        <v>42872</v>
      </c>
      <c r="G2068" s="146">
        <v>3408.5</v>
      </c>
      <c r="H2068" s="138">
        <f t="shared" si="33"/>
        <v>0</v>
      </c>
      <c r="I2068" s="147" t="s">
        <v>15214</v>
      </c>
    </row>
    <row r="2069" spans="1:9" x14ac:dyDescent="0.25">
      <c r="A2069" s="166">
        <v>42871</v>
      </c>
      <c r="B2069" s="136" t="s">
        <v>17583</v>
      </c>
      <c r="C2069" s="137">
        <v>112118</v>
      </c>
      <c r="D2069" s="136" t="s">
        <v>15252</v>
      </c>
      <c r="E2069" s="138">
        <v>3269.2</v>
      </c>
      <c r="F2069" s="139">
        <v>42875</v>
      </c>
      <c r="G2069" s="140">
        <v>3269.2</v>
      </c>
      <c r="H2069" s="138">
        <f t="shared" si="33"/>
        <v>0</v>
      </c>
      <c r="I2069" s="141" t="s">
        <v>15214</v>
      </c>
    </row>
    <row r="2070" spans="1:9" x14ac:dyDescent="0.25">
      <c r="A2070" s="166">
        <v>42871</v>
      </c>
      <c r="B2070" s="142" t="s">
        <v>17584</v>
      </c>
      <c r="C2070" s="143">
        <v>112119</v>
      </c>
      <c r="D2070" s="142" t="s">
        <v>15252</v>
      </c>
      <c r="E2070" s="144">
        <v>519.79999999999995</v>
      </c>
      <c r="F2070" s="145">
        <v>42874</v>
      </c>
      <c r="G2070" s="146">
        <v>519.79999999999995</v>
      </c>
      <c r="H2070" s="138">
        <f t="shared" si="33"/>
        <v>0</v>
      </c>
      <c r="I2070" s="147" t="s">
        <v>15214</v>
      </c>
    </row>
    <row r="2071" spans="1:9" x14ac:dyDescent="0.25">
      <c r="A2071" s="166">
        <v>42871</v>
      </c>
      <c r="B2071" s="136" t="s">
        <v>17585</v>
      </c>
      <c r="C2071" s="137">
        <v>112120</v>
      </c>
      <c r="D2071" s="136" t="s">
        <v>15244</v>
      </c>
      <c r="E2071" s="138">
        <v>4476.3999999999996</v>
      </c>
      <c r="F2071" s="139">
        <v>42873</v>
      </c>
      <c r="G2071" s="140">
        <v>4476.3999999999996</v>
      </c>
      <c r="H2071" s="138">
        <f t="shared" si="33"/>
        <v>0</v>
      </c>
      <c r="I2071" s="141" t="s">
        <v>15214</v>
      </c>
    </row>
    <row r="2072" spans="1:9" x14ac:dyDescent="0.25">
      <c r="A2072" s="166">
        <v>42871</v>
      </c>
      <c r="B2072" s="142" t="s">
        <v>17586</v>
      </c>
      <c r="C2072" s="143">
        <v>112121</v>
      </c>
      <c r="D2072" s="142" t="s">
        <v>15254</v>
      </c>
      <c r="E2072" s="144">
        <v>15448.4</v>
      </c>
      <c r="F2072" s="145">
        <v>42872</v>
      </c>
      <c r="G2072" s="146">
        <v>15448.4</v>
      </c>
      <c r="H2072" s="138">
        <f t="shared" si="33"/>
        <v>0</v>
      </c>
      <c r="I2072" s="147" t="s">
        <v>15214</v>
      </c>
    </row>
    <row r="2073" spans="1:9" x14ac:dyDescent="0.25">
      <c r="A2073" s="166">
        <v>42871</v>
      </c>
      <c r="B2073" s="136" t="s">
        <v>17587</v>
      </c>
      <c r="C2073" s="137">
        <v>112122</v>
      </c>
      <c r="D2073" s="136" t="s">
        <v>15396</v>
      </c>
      <c r="E2073" s="138">
        <v>6141.72</v>
      </c>
      <c r="F2073" s="139">
        <v>42871</v>
      </c>
      <c r="G2073" s="140">
        <v>6141.72</v>
      </c>
      <c r="H2073" s="138">
        <f t="shared" si="33"/>
        <v>0</v>
      </c>
      <c r="I2073" s="141" t="s">
        <v>15214</v>
      </c>
    </row>
    <row r="2074" spans="1:9" x14ac:dyDescent="0.25">
      <c r="A2074" s="166">
        <v>42871</v>
      </c>
      <c r="B2074" s="142" t="s">
        <v>17588</v>
      </c>
      <c r="C2074" s="143">
        <v>112123</v>
      </c>
      <c r="D2074" s="142" t="s">
        <v>15632</v>
      </c>
      <c r="E2074" s="144">
        <v>24383.599999999999</v>
      </c>
      <c r="F2074" s="145">
        <v>42878</v>
      </c>
      <c r="G2074" s="146">
        <v>24383.599999999999</v>
      </c>
      <c r="H2074" s="138">
        <f t="shared" si="33"/>
        <v>0</v>
      </c>
      <c r="I2074" s="147" t="s">
        <v>15214</v>
      </c>
    </row>
    <row r="2075" spans="1:9" x14ac:dyDescent="0.25">
      <c r="A2075" s="166">
        <v>42871</v>
      </c>
      <c r="B2075" s="136" t="s">
        <v>17589</v>
      </c>
      <c r="C2075" s="137">
        <v>112124</v>
      </c>
      <c r="D2075" s="136" t="s">
        <v>15289</v>
      </c>
      <c r="E2075" s="138">
        <v>302.39999999999998</v>
      </c>
      <c r="F2075" s="139">
        <v>42871</v>
      </c>
      <c r="G2075" s="140">
        <v>302.39999999999998</v>
      </c>
      <c r="H2075" s="138">
        <f t="shared" si="33"/>
        <v>0</v>
      </c>
      <c r="I2075" s="141" t="s">
        <v>15214</v>
      </c>
    </row>
    <row r="2076" spans="1:9" x14ac:dyDescent="0.25">
      <c r="A2076" s="166">
        <v>42871</v>
      </c>
      <c r="B2076" s="142" t="s">
        <v>17590</v>
      </c>
      <c r="C2076" s="143">
        <v>112125</v>
      </c>
      <c r="D2076" s="142" t="s">
        <v>15330</v>
      </c>
      <c r="E2076" s="144">
        <v>2907.2</v>
      </c>
      <c r="F2076" s="145">
        <v>42871</v>
      </c>
      <c r="G2076" s="146">
        <v>2907.2</v>
      </c>
      <c r="H2076" s="138">
        <f t="shared" si="33"/>
        <v>0</v>
      </c>
      <c r="I2076" s="147" t="s">
        <v>15214</v>
      </c>
    </row>
    <row r="2077" spans="1:9" x14ac:dyDescent="0.25">
      <c r="A2077" s="166">
        <v>42871</v>
      </c>
      <c r="B2077" s="136" t="s">
        <v>17591</v>
      </c>
      <c r="C2077" s="137">
        <v>112126</v>
      </c>
      <c r="D2077" s="136" t="s">
        <v>16093</v>
      </c>
      <c r="E2077" s="138">
        <v>3168</v>
      </c>
      <c r="F2077" s="139">
        <v>42871</v>
      </c>
      <c r="G2077" s="140">
        <v>3168</v>
      </c>
      <c r="H2077" s="138">
        <f t="shared" si="33"/>
        <v>0</v>
      </c>
      <c r="I2077" s="141" t="s">
        <v>15214</v>
      </c>
    </row>
    <row r="2078" spans="1:9" x14ac:dyDescent="0.25">
      <c r="A2078" s="166">
        <v>42871</v>
      </c>
      <c r="B2078" s="142" t="s">
        <v>17592</v>
      </c>
      <c r="C2078" s="143">
        <v>112127</v>
      </c>
      <c r="D2078" s="142" t="s">
        <v>15442</v>
      </c>
      <c r="E2078" s="144">
        <v>3250.8</v>
      </c>
      <c r="F2078" s="145">
        <v>42871</v>
      </c>
      <c r="G2078" s="146">
        <v>3250.8</v>
      </c>
      <c r="H2078" s="138">
        <f t="shared" si="33"/>
        <v>0</v>
      </c>
      <c r="I2078" s="147" t="s">
        <v>15214</v>
      </c>
    </row>
    <row r="2079" spans="1:9" x14ac:dyDescent="0.25">
      <c r="A2079" s="166">
        <v>42871</v>
      </c>
      <c r="B2079" s="136" t="s">
        <v>17593</v>
      </c>
      <c r="C2079" s="137">
        <v>112128</v>
      </c>
      <c r="D2079" s="136" t="s">
        <v>15284</v>
      </c>
      <c r="E2079" s="138">
        <v>1468.7</v>
      </c>
      <c r="F2079" s="145">
        <v>42871</v>
      </c>
      <c r="G2079" s="140">
        <v>1468.7</v>
      </c>
      <c r="H2079" s="138">
        <f t="shared" si="33"/>
        <v>0</v>
      </c>
      <c r="I2079" s="141" t="s">
        <v>15214</v>
      </c>
    </row>
    <row r="2080" spans="1:9" x14ac:dyDescent="0.25">
      <c r="A2080" s="166">
        <v>42871</v>
      </c>
      <c r="B2080" s="142" t="s">
        <v>17594</v>
      </c>
      <c r="C2080" s="143">
        <v>112129</v>
      </c>
      <c r="D2080" s="142" t="s">
        <v>17595</v>
      </c>
      <c r="E2080" s="144">
        <v>7268</v>
      </c>
      <c r="F2080" s="145">
        <v>42871</v>
      </c>
      <c r="G2080" s="146">
        <v>7268</v>
      </c>
      <c r="H2080" s="138">
        <f t="shared" si="33"/>
        <v>0</v>
      </c>
      <c r="I2080" s="147" t="s">
        <v>15214</v>
      </c>
    </row>
    <row r="2081" spans="1:9" x14ac:dyDescent="0.25">
      <c r="A2081" s="166">
        <v>42871</v>
      </c>
      <c r="B2081" s="136" t="s">
        <v>17596</v>
      </c>
      <c r="C2081" s="137">
        <v>112130</v>
      </c>
      <c r="D2081" s="136" t="s">
        <v>15423</v>
      </c>
      <c r="E2081" s="138">
        <v>5966</v>
      </c>
      <c r="F2081" s="145">
        <v>42871</v>
      </c>
      <c r="G2081" s="140">
        <v>5966</v>
      </c>
      <c r="H2081" s="138">
        <f t="shared" si="33"/>
        <v>0</v>
      </c>
      <c r="I2081" s="141" t="s">
        <v>15214</v>
      </c>
    </row>
    <row r="2082" spans="1:9" x14ac:dyDescent="0.25">
      <c r="A2082" s="166">
        <v>42871</v>
      </c>
      <c r="B2082" s="142" t="s">
        <v>17597</v>
      </c>
      <c r="C2082" s="143">
        <v>112131</v>
      </c>
      <c r="D2082" s="142" t="s">
        <v>15223</v>
      </c>
      <c r="E2082" s="144">
        <v>45270</v>
      </c>
      <c r="F2082" s="145">
        <v>42882</v>
      </c>
      <c r="G2082" s="146">
        <v>45270</v>
      </c>
      <c r="H2082" s="138">
        <f t="shared" si="33"/>
        <v>0</v>
      </c>
      <c r="I2082" s="147" t="s">
        <v>15214</v>
      </c>
    </row>
    <row r="2083" spans="1:9" x14ac:dyDescent="0.25">
      <c r="A2083" s="166">
        <v>42871</v>
      </c>
      <c r="B2083" s="136" t="s">
        <v>17598</v>
      </c>
      <c r="C2083" s="137">
        <v>112132</v>
      </c>
      <c r="D2083" s="136" t="s">
        <v>15298</v>
      </c>
      <c r="E2083" s="138">
        <v>4937.3999999999996</v>
      </c>
      <c r="F2083" s="145">
        <v>42871</v>
      </c>
      <c r="G2083" s="140">
        <v>4937.3999999999996</v>
      </c>
      <c r="H2083" s="138">
        <f t="shared" si="33"/>
        <v>0</v>
      </c>
      <c r="I2083" s="141" t="s">
        <v>15214</v>
      </c>
    </row>
    <row r="2084" spans="1:9" x14ac:dyDescent="0.25">
      <c r="A2084" s="166">
        <v>42871</v>
      </c>
      <c r="B2084" s="142" t="s">
        <v>17599</v>
      </c>
      <c r="C2084" s="143">
        <v>112133</v>
      </c>
      <c r="D2084" s="142" t="s">
        <v>15315</v>
      </c>
      <c r="E2084" s="144">
        <v>71.2</v>
      </c>
      <c r="F2084" s="145">
        <v>42871</v>
      </c>
      <c r="G2084" s="146">
        <v>71.2</v>
      </c>
      <c r="H2084" s="138">
        <f t="shared" si="33"/>
        <v>0</v>
      </c>
      <c r="I2084" s="147" t="s">
        <v>15214</v>
      </c>
    </row>
    <row r="2085" spans="1:9" x14ac:dyDescent="0.25">
      <c r="A2085" s="166">
        <v>42871</v>
      </c>
      <c r="B2085" s="136" t="s">
        <v>17600</v>
      </c>
      <c r="C2085" s="137">
        <v>112134</v>
      </c>
      <c r="D2085" s="136" t="s">
        <v>15315</v>
      </c>
      <c r="E2085" s="138">
        <v>31.8</v>
      </c>
      <c r="F2085" s="145">
        <v>42871</v>
      </c>
      <c r="G2085" s="140">
        <v>31.8</v>
      </c>
      <c r="H2085" s="138">
        <f t="shared" si="33"/>
        <v>0</v>
      </c>
      <c r="I2085" s="141" t="s">
        <v>15214</v>
      </c>
    </row>
    <row r="2086" spans="1:9" x14ac:dyDescent="0.25">
      <c r="A2086" s="166">
        <v>42871</v>
      </c>
      <c r="B2086" s="142" t="s">
        <v>17601</v>
      </c>
      <c r="C2086" s="143">
        <v>112135</v>
      </c>
      <c r="D2086" s="142" t="s">
        <v>15444</v>
      </c>
      <c r="E2086" s="144">
        <v>2180</v>
      </c>
      <c r="F2086" s="145">
        <v>42872</v>
      </c>
      <c r="G2086" s="146">
        <v>2180</v>
      </c>
      <c r="H2086" s="138">
        <f t="shared" si="33"/>
        <v>0</v>
      </c>
      <c r="I2086" s="147" t="s">
        <v>15214</v>
      </c>
    </row>
    <row r="2087" spans="1:9" x14ac:dyDescent="0.25">
      <c r="A2087" s="166">
        <v>42871</v>
      </c>
      <c r="B2087" s="136" t="s">
        <v>17602</v>
      </c>
      <c r="C2087" s="137">
        <v>112136</v>
      </c>
      <c r="D2087" s="136" t="s">
        <v>15365</v>
      </c>
      <c r="E2087" s="138">
        <v>259080</v>
      </c>
      <c r="F2087" s="139">
        <v>42875</v>
      </c>
      <c r="G2087" s="140">
        <v>259080</v>
      </c>
      <c r="H2087" s="138">
        <f t="shared" si="33"/>
        <v>0</v>
      </c>
      <c r="I2087" s="141" t="s">
        <v>15214</v>
      </c>
    </row>
    <row r="2088" spans="1:9" x14ac:dyDescent="0.25">
      <c r="A2088" s="166">
        <v>42871</v>
      </c>
      <c r="B2088" s="142" t="s">
        <v>17603</v>
      </c>
      <c r="C2088" s="143">
        <v>112137</v>
      </c>
      <c r="D2088" s="142" t="s">
        <v>15226</v>
      </c>
      <c r="E2088" s="144">
        <v>656</v>
      </c>
      <c r="F2088" s="145">
        <v>42873</v>
      </c>
      <c r="G2088" s="146">
        <v>656</v>
      </c>
      <c r="H2088" s="138">
        <f t="shared" si="33"/>
        <v>0</v>
      </c>
      <c r="I2088" s="147" t="s">
        <v>15214</v>
      </c>
    </row>
    <row r="2089" spans="1:9" ht="15.75" x14ac:dyDescent="0.25">
      <c r="A2089" s="166">
        <v>42871</v>
      </c>
      <c r="B2089" s="136" t="s">
        <v>17604</v>
      </c>
      <c r="C2089" s="137">
        <v>112138</v>
      </c>
      <c r="D2089" s="136" t="s">
        <v>15592</v>
      </c>
      <c r="E2089" s="138">
        <v>0</v>
      </c>
      <c r="F2089" s="153" t="s">
        <v>95</v>
      </c>
      <c r="G2089" s="138">
        <v>0</v>
      </c>
      <c r="H2089" s="138">
        <f t="shared" si="33"/>
        <v>0</v>
      </c>
      <c r="I2089" s="141" t="s">
        <v>95</v>
      </c>
    </row>
    <row r="2090" spans="1:9" x14ac:dyDescent="0.25">
      <c r="A2090" s="166">
        <v>42871</v>
      </c>
      <c r="B2090" s="142" t="s">
        <v>17605</v>
      </c>
      <c r="C2090" s="143">
        <v>112139</v>
      </c>
      <c r="D2090" s="142" t="s">
        <v>15594</v>
      </c>
      <c r="E2090" s="144">
        <v>2017.4</v>
      </c>
      <c r="F2090" s="145">
        <v>42873</v>
      </c>
      <c r="G2090" s="146">
        <v>2017.4</v>
      </c>
      <c r="H2090" s="138">
        <f t="shared" si="33"/>
        <v>0</v>
      </c>
      <c r="I2090" s="147" t="s">
        <v>15214</v>
      </c>
    </row>
    <row r="2091" spans="1:9" x14ac:dyDescent="0.25">
      <c r="A2091" s="166">
        <v>42871</v>
      </c>
      <c r="B2091" s="136" t="s">
        <v>17606</v>
      </c>
      <c r="C2091" s="137">
        <v>112140</v>
      </c>
      <c r="D2091" s="136" t="s">
        <v>15936</v>
      </c>
      <c r="E2091" s="138">
        <v>13705.4</v>
      </c>
      <c r="F2091" s="139">
        <v>42871</v>
      </c>
      <c r="G2091" s="140">
        <v>13705.4</v>
      </c>
      <c r="H2091" s="138">
        <f t="shared" si="33"/>
        <v>0</v>
      </c>
      <c r="I2091" s="141" t="s">
        <v>15214</v>
      </c>
    </row>
    <row r="2092" spans="1:9" x14ac:dyDescent="0.25">
      <c r="A2092" s="166">
        <v>42871</v>
      </c>
      <c r="B2092" s="142" t="s">
        <v>17607</v>
      </c>
      <c r="C2092" s="143">
        <v>112141</v>
      </c>
      <c r="D2092" s="142" t="s">
        <v>15581</v>
      </c>
      <c r="E2092" s="144">
        <v>22071.5</v>
      </c>
      <c r="F2092" s="145">
        <v>42878</v>
      </c>
      <c r="G2092" s="146">
        <v>22071.5</v>
      </c>
      <c r="H2092" s="138">
        <f t="shared" si="33"/>
        <v>0</v>
      </c>
      <c r="I2092" s="147" t="s">
        <v>15214</v>
      </c>
    </row>
    <row r="2093" spans="1:9" x14ac:dyDescent="0.25">
      <c r="A2093" s="166">
        <v>42871</v>
      </c>
      <c r="B2093" s="136" t="s">
        <v>17608</v>
      </c>
      <c r="C2093" s="137">
        <v>112142</v>
      </c>
      <c r="D2093" s="136" t="s">
        <v>15624</v>
      </c>
      <c r="E2093" s="138">
        <v>34764.839999999997</v>
      </c>
      <c r="F2093" s="139">
        <v>42873</v>
      </c>
      <c r="G2093" s="140">
        <v>34764.839999999997</v>
      </c>
      <c r="H2093" s="138">
        <f t="shared" si="33"/>
        <v>0</v>
      </c>
      <c r="I2093" s="141" t="s">
        <v>15214</v>
      </c>
    </row>
    <row r="2094" spans="1:9" x14ac:dyDescent="0.25">
      <c r="A2094" s="166">
        <v>42871</v>
      </c>
      <c r="B2094" s="142" t="s">
        <v>17609</v>
      </c>
      <c r="C2094" s="143">
        <v>112143</v>
      </c>
      <c r="D2094" s="142" t="s">
        <v>16522</v>
      </c>
      <c r="E2094" s="144">
        <v>7900.2</v>
      </c>
      <c r="F2094" s="145">
        <v>42926</v>
      </c>
      <c r="G2094" s="146">
        <v>7900.2</v>
      </c>
      <c r="H2094" s="138">
        <f t="shared" si="33"/>
        <v>0</v>
      </c>
      <c r="I2094" s="147" t="s">
        <v>15214</v>
      </c>
    </row>
    <row r="2095" spans="1:9" x14ac:dyDescent="0.25">
      <c r="A2095" s="166">
        <v>42871</v>
      </c>
      <c r="B2095" s="136" t="s">
        <v>17610</v>
      </c>
      <c r="C2095" s="137">
        <v>112144</v>
      </c>
      <c r="D2095" s="136" t="s">
        <v>15315</v>
      </c>
      <c r="E2095" s="138">
        <v>1440</v>
      </c>
      <c r="F2095" s="139">
        <v>42871</v>
      </c>
      <c r="G2095" s="140">
        <v>1440</v>
      </c>
      <c r="H2095" s="138">
        <f t="shared" si="33"/>
        <v>0</v>
      </c>
      <c r="I2095" s="141" t="s">
        <v>15214</v>
      </c>
    </row>
    <row r="2096" spans="1:9" x14ac:dyDescent="0.25">
      <c r="A2096" s="166">
        <v>42871</v>
      </c>
      <c r="B2096" s="142" t="s">
        <v>17611</v>
      </c>
      <c r="C2096" s="143">
        <v>112145</v>
      </c>
      <c r="D2096" s="142" t="s">
        <v>15315</v>
      </c>
      <c r="E2096" s="144">
        <v>32</v>
      </c>
      <c r="F2096" s="145">
        <v>42871</v>
      </c>
      <c r="G2096" s="146">
        <v>32</v>
      </c>
      <c r="H2096" s="138">
        <f t="shared" si="33"/>
        <v>0</v>
      </c>
      <c r="I2096" s="147" t="s">
        <v>15214</v>
      </c>
    </row>
    <row r="2097" spans="1:9" x14ac:dyDescent="0.25">
      <c r="A2097" s="166">
        <v>42871</v>
      </c>
      <c r="B2097" s="136" t="s">
        <v>17612</v>
      </c>
      <c r="C2097" s="137">
        <v>112146</v>
      </c>
      <c r="D2097" s="136" t="s">
        <v>15246</v>
      </c>
      <c r="E2097" s="138">
        <v>210331.12</v>
      </c>
      <c r="F2097" s="139" t="s">
        <v>17142</v>
      </c>
      <c r="G2097" s="140">
        <f>128187.36+82143.76</f>
        <v>210331.12</v>
      </c>
      <c r="H2097" s="138">
        <f t="shared" si="33"/>
        <v>0</v>
      </c>
      <c r="I2097" s="141" t="s">
        <v>15214</v>
      </c>
    </row>
    <row r="2098" spans="1:9" x14ac:dyDescent="0.25">
      <c r="A2098" s="166">
        <v>42871</v>
      </c>
      <c r="B2098" s="142" t="s">
        <v>17613</v>
      </c>
      <c r="C2098" s="143">
        <v>112147</v>
      </c>
      <c r="D2098" s="142" t="s">
        <v>15246</v>
      </c>
      <c r="E2098" s="144">
        <v>68449.5</v>
      </c>
      <c r="F2098" s="145">
        <v>42873</v>
      </c>
      <c r="G2098" s="146">
        <v>68449.5</v>
      </c>
      <c r="H2098" s="138">
        <f t="shared" si="33"/>
        <v>0</v>
      </c>
      <c r="I2098" s="147" t="s">
        <v>15214</v>
      </c>
    </row>
    <row r="2099" spans="1:9" x14ac:dyDescent="0.25">
      <c r="A2099" s="166">
        <v>42871</v>
      </c>
      <c r="B2099" s="136" t="s">
        <v>17614</v>
      </c>
      <c r="C2099" s="137">
        <v>112148</v>
      </c>
      <c r="D2099" s="136" t="s">
        <v>15246</v>
      </c>
      <c r="E2099" s="138">
        <v>80251.600000000006</v>
      </c>
      <c r="F2099" s="139">
        <v>42873</v>
      </c>
      <c r="G2099" s="140">
        <v>80251.600000000006</v>
      </c>
      <c r="H2099" s="138">
        <f t="shared" si="33"/>
        <v>0</v>
      </c>
      <c r="I2099" s="141" t="s">
        <v>15214</v>
      </c>
    </row>
    <row r="2100" spans="1:9" x14ac:dyDescent="0.25">
      <c r="A2100" s="166">
        <v>42871</v>
      </c>
      <c r="B2100" s="142" t="s">
        <v>17615</v>
      </c>
      <c r="C2100" s="143">
        <v>112149</v>
      </c>
      <c r="D2100" s="142" t="s">
        <v>15435</v>
      </c>
      <c r="E2100" s="144">
        <v>8700.6</v>
      </c>
      <c r="F2100" s="145">
        <v>42871</v>
      </c>
      <c r="G2100" s="146">
        <v>8700.6</v>
      </c>
      <c r="H2100" s="138">
        <f t="shared" si="33"/>
        <v>0</v>
      </c>
      <c r="I2100" s="147" t="s">
        <v>15214</v>
      </c>
    </row>
    <row r="2101" spans="1:9" x14ac:dyDescent="0.25">
      <c r="A2101" s="166">
        <v>42871</v>
      </c>
      <c r="B2101" s="136" t="s">
        <v>17616</v>
      </c>
      <c r="C2101" s="137">
        <v>112150</v>
      </c>
      <c r="D2101" s="136" t="s">
        <v>15250</v>
      </c>
      <c r="E2101" s="138">
        <v>75011.62</v>
      </c>
      <c r="F2101" s="139">
        <v>42877</v>
      </c>
      <c r="G2101" s="140">
        <v>75011.62</v>
      </c>
      <c r="H2101" s="138">
        <f t="shared" si="33"/>
        <v>0</v>
      </c>
      <c r="I2101" s="141" t="s">
        <v>15214</v>
      </c>
    </row>
    <row r="2102" spans="1:9" x14ac:dyDescent="0.25">
      <c r="A2102" s="166">
        <v>42871</v>
      </c>
      <c r="B2102" s="142" t="s">
        <v>17617</v>
      </c>
      <c r="C2102" s="143">
        <v>112151</v>
      </c>
      <c r="D2102" s="142" t="s">
        <v>15541</v>
      </c>
      <c r="E2102" s="144">
        <v>960</v>
      </c>
      <c r="F2102" s="145">
        <v>42874</v>
      </c>
      <c r="G2102" s="146">
        <v>960</v>
      </c>
      <c r="H2102" s="138">
        <f t="shared" si="33"/>
        <v>0</v>
      </c>
      <c r="I2102" s="147" t="s">
        <v>15214</v>
      </c>
    </row>
    <row r="2103" spans="1:9" x14ac:dyDescent="0.25">
      <c r="A2103" s="166">
        <v>42871</v>
      </c>
      <c r="B2103" s="136" t="s">
        <v>17618</v>
      </c>
      <c r="C2103" s="137">
        <v>112152</v>
      </c>
      <c r="D2103" s="136" t="s">
        <v>15642</v>
      </c>
      <c r="E2103" s="138">
        <v>4113.8999999999996</v>
      </c>
      <c r="F2103" s="139">
        <v>42871</v>
      </c>
      <c r="G2103" s="140">
        <v>4113.8999999999996</v>
      </c>
      <c r="H2103" s="138">
        <f t="shared" si="33"/>
        <v>0</v>
      </c>
      <c r="I2103" s="141" t="s">
        <v>15214</v>
      </c>
    </row>
    <row r="2104" spans="1:9" x14ac:dyDescent="0.25">
      <c r="A2104" s="167" t="s">
        <v>17619</v>
      </c>
      <c r="B2104" s="142" t="s">
        <v>17620</v>
      </c>
      <c r="C2104" s="143">
        <v>112153</v>
      </c>
      <c r="D2104" s="142" t="s">
        <v>15216</v>
      </c>
      <c r="E2104" s="144">
        <v>849.7</v>
      </c>
      <c r="F2104" s="145">
        <v>42872</v>
      </c>
      <c r="G2104" s="146">
        <v>849.7</v>
      </c>
      <c r="H2104" s="138">
        <f t="shared" si="33"/>
        <v>0</v>
      </c>
      <c r="I2104" s="147" t="s">
        <v>15214</v>
      </c>
    </row>
    <row r="2105" spans="1:9" x14ac:dyDescent="0.25">
      <c r="A2105" s="168" t="s">
        <v>17619</v>
      </c>
      <c r="B2105" s="136" t="s">
        <v>17621</v>
      </c>
      <c r="C2105" s="137">
        <v>112154</v>
      </c>
      <c r="D2105" s="136" t="s">
        <v>15213</v>
      </c>
      <c r="E2105" s="138">
        <v>8503.2000000000007</v>
      </c>
      <c r="F2105" s="139">
        <v>42873</v>
      </c>
      <c r="G2105" s="140">
        <v>8503.2000000000007</v>
      </c>
      <c r="H2105" s="138">
        <f t="shared" si="33"/>
        <v>0</v>
      </c>
      <c r="I2105" s="141" t="s">
        <v>15214</v>
      </c>
    </row>
    <row r="2106" spans="1:9" x14ac:dyDescent="0.25">
      <c r="A2106" s="167" t="s">
        <v>17619</v>
      </c>
      <c r="B2106" s="142" t="s">
        <v>17622</v>
      </c>
      <c r="C2106" s="143">
        <v>112155</v>
      </c>
      <c r="D2106" s="142" t="s">
        <v>15213</v>
      </c>
      <c r="E2106" s="144">
        <v>38282</v>
      </c>
      <c r="F2106" s="145">
        <v>42872</v>
      </c>
      <c r="G2106" s="146">
        <v>38282</v>
      </c>
      <c r="H2106" s="138">
        <f t="shared" si="33"/>
        <v>0</v>
      </c>
      <c r="I2106" s="147" t="s">
        <v>15214</v>
      </c>
    </row>
    <row r="2107" spans="1:9" x14ac:dyDescent="0.25">
      <c r="A2107" s="168" t="s">
        <v>17619</v>
      </c>
      <c r="B2107" s="136" t="s">
        <v>17623</v>
      </c>
      <c r="C2107" s="137">
        <v>112156</v>
      </c>
      <c r="D2107" s="136" t="s">
        <v>17624</v>
      </c>
      <c r="E2107" s="138">
        <v>1560</v>
      </c>
      <c r="F2107" s="145">
        <v>42872</v>
      </c>
      <c r="G2107" s="140">
        <v>1560</v>
      </c>
      <c r="H2107" s="138">
        <f t="shared" si="33"/>
        <v>0</v>
      </c>
      <c r="I2107" s="141" t="s">
        <v>15214</v>
      </c>
    </row>
    <row r="2108" spans="1:9" x14ac:dyDescent="0.25">
      <c r="A2108" s="167" t="s">
        <v>17619</v>
      </c>
      <c r="B2108" s="142" t="s">
        <v>17625</v>
      </c>
      <c r="C2108" s="143">
        <v>112157</v>
      </c>
      <c r="D2108" s="142" t="s">
        <v>15858</v>
      </c>
      <c r="E2108" s="144">
        <v>3105.36</v>
      </c>
      <c r="F2108" s="145">
        <v>42872</v>
      </c>
      <c r="G2108" s="146">
        <v>3105.36</v>
      </c>
      <c r="H2108" s="138">
        <f t="shared" si="33"/>
        <v>0</v>
      </c>
      <c r="I2108" s="147" t="s">
        <v>15214</v>
      </c>
    </row>
    <row r="2109" spans="1:9" x14ac:dyDescent="0.25">
      <c r="A2109" s="168" t="s">
        <v>17619</v>
      </c>
      <c r="B2109" s="136" t="s">
        <v>17626</v>
      </c>
      <c r="C2109" s="137">
        <v>112158</v>
      </c>
      <c r="D2109" s="136" t="s">
        <v>15226</v>
      </c>
      <c r="E2109" s="138">
        <v>1761.6</v>
      </c>
      <c r="F2109" s="139">
        <v>42875</v>
      </c>
      <c r="G2109" s="140">
        <v>1761.6</v>
      </c>
      <c r="H2109" s="138">
        <f t="shared" si="33"/>
        <v>0</v>
      </c>
      <c r="I2109" s="141" t="s">
        <v>15214</v>
      </c>
    </row>
    <row r="2110" spans="1:9" x14ac:dyDescent="0.25">
      <c r="A2110" s="167" t="s">
        <v>17619</v>
      </c>
      <c r="B2110" s="142" t="s">
        <v>17627</v>
      </c>
      <c r="C2110" s="143">
        <v>112159</v>
      </c>
      <c r="D2110" s="142" t="s">
        <v>15328</v>
      </c>
      <c r="E2110" s="144">
        <v>32653.08</v>
      </c>
      <c r="F2110" s="148" t="s">
        <v>19640</v>
      </c>
      <c r="G2110" s="149">
        <f>28749.79+3903.29</f>
        <v>32653.08</v>
      </c>
      <c r="H2110" s="138">
        <f t="shared" si="33"/>
        <v>0</v>
      </c>
      <c r="I2110" s="147" t="s">
        <v>15214</v>
      </c>
    </row>
    <row r="2111" spans="1:9" x14ac:dyDescent="0.25">
      <c r="A2111" s="168" t="s">
        <v>17619</v>
      </c>
      <c r="B2111" s="136" t="s">
        <v>17628</v>
      </c>
      <c r="C2111" s="137">
        <v>112160</v>
      </c>
      <c r="D2111" s="136" t="s">
        <v>16261</v>
      </c>
      <c r="E2111" s="138">
        <v>3936.8</v>
      </c>
      <c r="F2111" s="145">
        <v>42872</v>
      </c>
      <c r="G2111" s="140">
        <v>3936.8</v>
      </c>
      <c r="H2111" s="138">
        <f t="shared" si="33"/>
        <v>0</v>
      </c>
      <c r="I2111" s="141" t="s">
        <v>15214</v>
      </c>
    </row>
    <row r="2112" spans="1:9" x14ac:dyDescent="0.25">
      <c r="A2112" s="167" t="s">
        <v>17619</v>
      </c>
      <c r="B2112" s="142" t="s">
        <v>17629</v>
      </c>
      <c r="C2112" s="143">
        <v>112161</v>
      </c>
      <c r="D2112" s="142" t="s">
        <v>15350</v>
      </c>
      <c r="E2112" s="144">
        <v>480</v>
      </c>
      <c r="F2112" s="145">
        <v>42872</v>
      </c>
      <c r="G2112" s="146">
        <v>480</v>
      </c>
      <c r="H2112" s="138">
        <f t="shared" si="33"/>
        <v>0</v>
      </c>
      <c r="I2112" s="147" t="s">
        <v>15214</v>
      </c>
    </row>
    <row r="2113" spans="1:9" x14ac:dyDescent="0.25">
      <c r="A2113" s="168" t="s">
        <v>17619</v>
      </c>
      <c r="B2113" s="136" t="s">
        <v>17630</v>
      </c>
      <c r="C2113" s="137">
        <v>112162</v>
      </c>
      <c r="D2113" s="136" t="s">
        <v>15523</v>
      </c>
      <c r="E2113" s="138">
        <v>2160</v>
      </c>
      <c r="F2113" s="145">
        <v>42872</v>
      </c>
      <c r="G2113" s="140">
        <v>2160</v>
      </c>
      <c r="H2113" s="138">
        <f t="shared" si="33"/>
        <v>0</v>
      </c>
      <c r="I2113" s="141" t="s">
        <v>15214</v>
      </c>
    </row>
    <row r="2114" spans="1:9" x14ac:dyDescent="0.25">
      <c r="A2114" s="167" t="s">
        <v>17619</v>
      </c>
      <c r="B2114" s="142" t="s">
        <v>17631</v>
      </c>
      <c r="C2114" s="143">
        <v>112163</v>
      </c>
      <c r="D2114" s="142" t="s">
        <v>15854</v>
      </c>
      <c r="E2114" s="144">
        <v>1752</v>
      </c>
      <c r="F2114" s="145">
        <v>42872</v>
      </c>
      <c r="G2114" s="146">
        <v>1752</v>
      </c>
      <c r="H2114" s="138">
        <f t="shared" si="33"/>
        <v>0</v>
      </c>
      <c r="I2114" s="147" t="s">
        <v>15214</v>
      </c>
    </row>
    <row r="2115" spans="1:9" x14ac:dyDescent="0.25">
      <c r="A2115" s="168" t="s">
        <v>17619</v>
      </c>
      <c r="B2115" s="136" t="s">
        <v>17632</v>
      </c>
      <c r="C2115" s="137">
        <v>112164</v>
      </c>
      <c r="D2115" s="136" t="s">
        <v>15324</v>
      </c>
      <c r="E2115" s="138">
        <v>1713</v>
      </c>
      <c r="F2115" s="145">
        <v>42872</v>
      </c>
      <c r="G2115" s="140">
        <v>1713</v>
      </c>
      <c r="H2115" s="138">
        <f t="shared" si="33"/>
        <v>0</v>
      </c>
      <c r="I2115" s="141" t="s">
        <v>15214</v>
      </c>
    </row>
    <row r="2116" spans="1:9" x14ac:dyDescent="0.25">
      <c r="A2116" s="167" t="s">
        <v>17619</v>
      </c>
      <c r="B2116" s="142" t="s">
        <v>17633</v>
      </c>
      <c r="C2116" s="143">
        <v>112165</v>
      </c>
      <c r="D2116" s="142" t="s">
        <v>17634</v>
      </c>
      <c r="E2116" s="144">
        <v>1885.8</v>
      </c>
      <c r="F2116" s="145">
        <v>42872</v>
      </c>
      <c r="G2116" s="146">
        <v>1885.8</v>
      </c>
      <c r="H2116" s="138">
        <f t="shared" si="33"/>
        <v>0</v>
      </c>
      <c r="I2116" s="147" t="s">
        <v>15214</v>
      </c>
    </row>
    <row r="2117" spans="1:9" x14ac:dyDescent="0.25">
      <c r="A2117" s="168" t="s">
        <v>17619</v>
      </c>
      <c r="B2117" s="136" t="s">
        <v>17635</v>
      </c>
      <c r="C2117" s="137">
        <v>112166</v>
      </c>
      <c r="D2117" s="136" t="s">
        <v>15230</v>
      </c>
      <c r="E2117" s="138">
        <v>9219.9</v>
      </c>
      <c r="F2117" s="139">
        <v>42874</v>
      </c>
      <c r="G2117" s="140">
        <v>9219.9</v>
      </c>
      <c r="H2117" s="138">
        <f t="shared" ref="H2117:H2180" si="34">E2117-G2117</f>
        <v>0</v>
      </c>
      <c r="I2117" s="141" t="s">
        <v>15214</v>
      </c>
    </row>
    <row r="2118" spans="1:9" x14ac:dyDescent="0.25">
      <c r="A2118" s="167" t="s">
        <v>17619</v>
      </c>
      <c r="B2118" s="142" t="s">
        <v>17636</v>
      </c>
      <c r="C2118" s="143">
        <v>112167</v>
      </c>
      <c r="D2118" s="142" t="s">
        <v>15232</v>
      </c>
      <c r="E2118" s="144">
        <v>6000.6</v>
      </c>
      <c r="F2118" s="145">
        <v>42880</v>
      </c>
      <c r="G2118" s="146">
        <v>6000.6</v>
      </c>
      <c r="H2118" s="138">
        <f t="shared" si="34"/>
        <v>0</v>
      </c>
      <c r="I2118" s="147" t="s">
        <v>15214</v>
      </c>
    </row>
    <row r="2119" spans="1:9" x14ac:dyDescent="0.25">
      <c r="A2119" s="168" t="s">
        <v>17619</v>
      </c>
      <c r="B2119" s="136" t="s">
        <v>17637</v>
      </c>
      <c r="C2119" s="137">
        <v>112168</v>
      </c>
      <c r="D2119" s="136" t="s">
        <v>15258</v>
      </c>
      <c r="E2119" s="138">
        <v>12081.6</v>
      </c>
      <c r="F2119" s="139">
        <v>42877</v>
      </c>
      <c r="G2119" s="140">
        <v>12081.6</v>
      </c>
      <c r="H2119" s="138">
        <f t="shared" si="34"/>
        <v>0</v>
      </c>
      <c r="I2119" s="141" t="s">
        <v>15214</v>
      </c>
    </row>
    <row r="2120" spans="1:9" x14ac:dyDescent="0.25">
      <c r="A2120" s="167" t="s">
        <v>17619</v>
      </c>
      <c r="B2120" s="142" t="s">
        <v>17638</v>
      </c>
      <c r="C2120" s="143">
        <v>112169</v>
      </c>
      <c r="D2120" s="142" t="s">
        <v>15240</v>
      </c>
      <c r="E2120" s="144">
        <v>3255.5</v>
      </c>
      <c r="F2120" s="145">
        <v>42873</v>
      </c>
      <c r="G2120" s="146">
        <v>3255.5</v>
      </c>
      <c r="H2120" s="138">
        <f t="shared" si="34"/>
        <v>0</v>
      </c>
      <c r="I2120" s="147" t="s">
        <v>15214</v>
      </c>
    </row>
    <row r="2121" spans="1:9" x14ac:dyDescent="0.25">
      <c r="A2121" s="168" t="s">
        <v>17619</v>
      </c>
      <c r="B2121" s="136" t="s">
        <v>17639</v>
      </c>
      <c r="C2121" s="137">
        <v>112170</v>
      </c>
      <c r="D2121" s="136" t="s">
        <v>15348</v>
      </c>
      <c r="E2121" s="138">
        <v>1012.8</v>
      </c>
      <c r="F2121" s="139">
        <v>42874</v>
      </c>
      <c r="G2121" s="140">
        <v>1012.8</v>
      </c>
      <c r="H2121" s="138">
        <f t="shared" si="34"/>
        <v>0</v>
      </c>
      <c r="I2121" s="141" t="s">
        <v>15214</v>
      </c>
    </row>
    <row r="2122" spans="1:9" x14ac:dyDescent="0.25">
      <c r="A2122" s="167" t="s">
        <v>17619</v>
      </c>
      <c r="B2122" s="142" t="s">
        <v>17640</v>
      </c>
      <c r="C2122" s="143">
        <v>112171</v>
      </c>
      <c r="D2122" s="142" t="s">
        <v>15234</v>
      </c>
      <c r="E2122" s="144">
        <v>3153.6</v>
      </c>
      <c r="F2122" s="145" t="s">
        <v>17641</v>
      </c>
      <c r="G2122" s="146">
        <f>1000+2153.6</f>
        <v>3153.6</v>
      </c>
      <c r="H2122" s="138">
        <f t="shared" si="34"/>
        <v>0</v>
      </c>
      <c r="I2122" s="147" t="s">
        <v>15214</v>
      </c>
    </row>
    <row r="2123" spans="1:9" x14ac:dyDescent="0.25">
      <c r="A2123" s="168" t="s">
        <v>17619</v>
      </c>
      <c r="B2123" s="136" t="s">
        <v>17642</v>
      </c>
      <c r="C2123" s="137">
        <v>112172</v>
      </c>
      <c r="D2123" s="136" t="s">
        <v>15344</v>
      </c>
      <c r="E2123" s="138">
        <v>2543.1</v>
      </c>
      <c r="F2123" s="145">
        <v>42872</v>
      </c>
      <c r="G2123" s="140">
        <v>2543.1</v>
      </c>
      <c r="H2123" s="138">
        <f t="shared" si="34"/>
        <v>0</v>
      </c>
      <c r="I2123" s="141" t="s">
        <v>15214</v>
      </c>
    </row>
    <row r="2124" spans="1:9" x14ac:dyDescent="0.25">
      <c r="A2124" s="167" t="s">
        <v>17619</v>
      </c>
      <c r="B2124" s="142" t="s">
        <v>17643</v>
      </c>
      <c r="C2124" s="143">
        <v>112173</v>
      </c>
      <c r="D2124" s="142" t="s">
        <v>15526</v>
      </c>
      <c r="E2124" s="144">
        <v>3719.1</v>
      </c>
      <c r="F2124" s="145">
        <v>42872</v>
      </c>
      <c r="G2124" s="146">
        <v>3719.1</v>
      </c>
      <c r="H2124" s="138">
        <f t="shared" si="34"/>
        <v>0</v>
      </c>
      <c r="I2124" s="147" t="s">
        <v>15214</v>
      </c>
    </row>
    <row r="2125" spans="1:9" x14ac:dyDescent="0.25">
      <c r="A2125" s="168" t="s">
        <v>17619</v>
      </c>
      <c r="B2125" s="136" t="s">
        <v>17644</v>
      </c>
      <c r="C2125" s="137">
        <v>112174</v>
      </c>
      <c r="D2125" s="136" t="s">
        <v>15358</v>
      </c>
      <c r="E2125" s="138">
        <v>1334.8</v>
      </c>
      <c r="F2125" s="145">
        <v>42872</v>
      </c>
      <c r="G2125" s="140">
        <v>1334.8</v>
      </c>
      <c r="H2125" s="138">
        <f t="shared" si="34"/>
        <v>0</v>
      </c>
      <c r="I2125" s="141" t="s">
        <v>15214</v>
      </c>
    </row>
    <row r="2126" spans="1:9" x14ac:dyDescent="0.25">
      <c r="A2126" s="167" t="s">
        <v>17619</v>
      </c>
      <c r="B2126" s="142" t="s">
        <v>17645</v>
      </c>
      <c r="C2126" s="143">
        <v>112175</v>
      </c>
      <c r="D2126" s="142" t="s">
        <v>15250</v>
      </c>
      <c r="E2126" s="144">
        <v>32195.88</v>
      </c>
      <c r="F2126" s="145">
        <v>42877</v>
      </c>
      <c r="G2126" s="146">
        <v>32195.88</v>
      </c>
      <c r="H2126" s="138">
        <f t="shared" si="34"/>
        <v>0</v>
      </c>
      <c r="I2126" s="147" t="s">
        <v>15214</v>
      </c>
    </row>
    <row r="2127" spans="1:9" x14ac:dyDescent="0.25">
      <c r="A2127" s="168" t="s">
        <v>17619</v>
      </c>
      <c r="B2127" s="136" t="s">
        <v>17646</v>
      </c>
      <c r="C2127" s="137">
        <v>112176</v>
      </c>
      <c r="D2127" s="136" t="s">
        <v>15332</v>
      </c>
      <c r="E2127" s="138">
        <v>2594.4</v>
      </c>
      <c r="F2127" s="145">
        <v>42872</v>
      </c>
      <c r="G2127" s="140">
        <v>2594.4</v>
      </c>
      <c r="H2127" s="138">
        <f t="shared" si="34"/>
        <v>0</v>
      </c>
      <c r="I2127" s="141" t="s">
        <v>15214</v>
      </c>
    </row>
    <row r="2128" spans="1:9" x14ac:dyDescent="0.25">
      <c r="A2128" s="167" t="s">
        <v>17619</v>
      </c>
      <c r="B2128" s="142" t="s">
        <v>17647</v>
      </c>
      <c r="C2128" s="143">
        <v>112177</v>
      </c>
      <c r="D2128" s="142" t="s">
        <v>15742</v>
      </c>
      <c r="E2128" s="144">
        <v>1536</v>
      </c>
      <c r="F2128" s="145">
        <v>42872</v>
      </c>
      <c r="G2128" s="146">
        <v>1536</v>
      </c>
      <c r="H2128" s="138">
        <f t="shared" si="34"/>
        <v>0</v>
      </c>
      <c r="I2128" s="147" t="s">
        <v>15214</v>
      </c>
    </row>
    <row r="2129" spans="1:9" x14ac:dyDescent="0.25">
      <c r="A2129" s="168" t="s">
        <v>17619</v>
      </c>
      <c r="B2129" s="136" t="s">
        <v>17648</v>
      </c>
      <c r="C2129" s="137">
        <v>112178</v>
      </c>
      <c r="D2129" s="136" t="s">
        <v>15338</v>
      </c>
      <c r="E2129" s="138">
        <v>8283.1</v>
      </c>
      <c r="F2129" s="139">
        <v>42877</v>
      </c>
      <c r="G2129" s="140">
        <v>8283.1</v>
      </c>
      <c r="H2129" s="138">
        <f t="shared" si="34"/>
        <v>0</v>
      </c>
      <c r="I2129" s="141" t="s">
        <v>15214</v>
      </c>
    </row>
    <row r="2130" spans="1:9" x14ac:dyDescent="0.25">
      <c r="A2130" s="167" t="s">
        <v>17619</v>
      </c>
      <c r="B2130" s="142" t="s">
        <v>17649</v>
      </c>
      <c r="C2130" s="143">
        <v>112179</v>
      </c>
      <c r="D2130" s="142" t="s">
        <v>15238</v>
      </c>
      <c r="E2130" s="144">
        <v>3863.8</v>
      </c>
      <c r="F2130" s="145">
        <v>42874</v>
      </c>
      <c r="G2130" s="146">
        <v>3863.8</v>
      </c>
      <c r="H2130" s="138">
        <f t="shared" si="34"/>
        <v>0</v>
      </c>
      <c r="I2130" s="147" t="s">
        <v>15214</v>
      </c>
    </row>
    <row r="2131" spans="1:9" x14ac:dyDescent="0.25">
      <c r="A2131" s="168" t="s">
        <v>17619</v>
      </c>
      <c r="B2131" s="136" t="s">
        <v>17650</v>
      </c>
      <c r="C2131" s="137">
        <v>112180</v>
      </c>
      <c r="D2131" s="136" t="s">
        <v>15334</v>
      </c>
      <c r="E2131" s="138">
        <v>2650</v>
      </c>
      <c r="F2131" s="145">
        <v>42872</v>
      </c>
      <c r="G2131" s="140">
        <v>2650</v>
      </c>
      <c r="H2131" s="138">
        <f t="shared" si="34"/>
        <v>0</v>
      </c>
      <c r="I2131" s="141" t="s">
        <v>15214</v>
      </c>
    </row>
    <row r="2132" spans="1:9" x14ac:dyDescent="0.25">
      <c r="A2132" s="167" t="s">
        <v>17619</v>
      </c>
      <c r="B2132" s="142" t="s">
        <v>17651</v>
      </c>
      <c r="C2132" s="143">
        <v>112181</v>
      </c>
      <c r="D2132" s="142" t="s">
        <v>15220</v>
      </c>
      <c r="E2132" s="144">
        <v>2160</v>
      </c>
      <c r="F2132" s="145">
        <v>42872</v>
      </c>
      <c r="G2132" s="146">
        <v>2160</v>
      </c>
      <c r="H2132" s="138">
        <f t="shared" si="34"/>
        <v>0</v>
      </c>
      <c r="I2132" s="147" t="s">
        <v>15214</v>
      </c>
    </row>
    <row r="2133" spans="1:9" x14ac:dyDescent="0.25">
      <c r="A2133" s="168" t="s">
        <v>17619</v>
      </c>
      <c r="B2133" s="136" t="s">
        <v>17652</v>
      </c>
      <c r="C2133" s="137">
        <v>112182</v>
      </c>
      <c r="D2133" s="136" t="s">
        <v>15480</v>
      </c>
      <c r="E2133" s="138">
        <v>7117</v>
      </c>
      <c r="F2133" s="139" t="s">
        <v>17653</v>
      </c>
      <c r="G2133" s="140">
        <f>2000+5117</f>
        <v>7117</v>
      </c>
      <c r="H2133" s="138">
        <f t="shared" si="34"/>
        <v>0</v>
      </c>
      <c r="I2133" s="141" t="s">
        <v>15214</v>
      </c>
    </row>
    <row r="2134" spans="1:9" x14ac:dyDescent="0.25">
      <c r="A2134" s="167" t="s">
        <v>17619</v>
      </c>
      <c r="B2134" s="142" t="s">
        <v>17654</v>
      </c>
      <c r="C2134" s="143">
        <v>112183</v>
      </c>
      <c r="D2134" s="142" t="s">
        <v>5575</v>
      </c>
      <c r="E2134" s="144">
        <v>7126.4</v>
      </c>
      <c r="F2134" s="145">
        <v>42877</v>
      </c>
      <c r="G2134" s="146">
        <v>7126.4</v>
      </c>
      <c r="H2134" s="138">
        <f t="shared" si="34"/>
        <v>0</v>
      </c>
      <c r="I2134" s="147" t="s">
        <v>15214</v>
      </c>
    </row>
    <row r="2135" spans="1:9" x14ac:dyDescent="0.25">
      <c r="A2135" s="168" t="s">
        <v>17619</v>
      </c>
      <c r="B2135" s="136" t="s">
        <v>17655</v>
      </c>
      <c r="C2135" s="137">
        <v>112184</v>
      </c>
      <c r="D2135" s="136" t="s">
        <v>15256</v>
      </c>
      <c r="E2135" s="138">
        <v>5618.8</v>
      </c>
      <c r="F2135" s="139">
        <v>42873</v>
      </c>
      <c r="G2135" s="140">
        <v>5618.8</v>
      </c>
      <c r="H2135" s="138">
        <f t="shared" si="34"/>
        <v>0</v>
      </c>
      <c r="I2135" s="141" t="s">
        <v>15214</v>
      </c>
    </row>
    <row r="2136" spans="1:9" x14ac:dyDescent="0.25">
      <c r="A2136" s="167" t="s">
        <v>17619</v>
      </c>
      <c r="B2136" s="142" t="s">
        <v>17656</v>
      </c>
      <c r="C2136" s="143">
        <v>112185</v>
      </c>
      <c r="D2136" s="142" t="s">
        <v>15236</v>
      </c>
      <c r="E2136" s="144">
        <v>2851.2</v>
      </c>
      <c r="F2136" s="145">
        <v>42874</v>
      </c>
      <c r="G2136" s="146">
        <v>2851.2</v>
      </c>
      <c r="H2136" s="138">
        <f t="shared" si="34"/>
        <v>0</v>
      </c>
      <c r="I2136" s="147" t="s">
        <v>15214</v>
      </c>
    </row>
    <row r="2137" spans="1:9" ht="15.75" x14ac:dyDescent="0.25">
      <c r="A2137" s="168" t="s">
        <v>17619</v>
      </c>
      <c r="B2137" s="136" t="s">
        <v>17657</v>
      </c>
      <c r="C2137" s="137">
        <v>112186</v>
      </c>
      <c r="D2137" s="136" t="s">
        <v>15256</v>
      </c>
      <c r="E2137" s="138">
        <v>0</v>
      </c>
      <c r="F2137" s="153" t="s">
        <v>95</v>
      </c>
      <c r="G2137" s="138">
        <v>0</v>
      </c>
      <c r="H2137" s="138">
        <f t="shared" si="34"/>
        <v>0</v>
      </c>
      <c r="I2137" s="141" t="s">
        <v>95</v>
      </c>
    </row>
    <row r="2138" spans="1:9" x14ac:dyDescent="0.25">
      <c r="A2138" s="167" t="s">
        <v>17619</v>
      </c>
      <c r="B2138" s="142" t="s">
        <v>17658</v>
      </c>
      <c r="C2138" s="143">
        <v>112187</v>
      </c>
      <c r="D2138" s="142" t="s">
        <v>15246</v>
      </c>
      <c r="E2138" s="144">
        <v>2578.4</v>
      </c>
      <c r="F2138" s="161">
        <v>42873</v>
      </c>
      <c r="G2138" s="144">
        <v>2578.4</v>
      </c>
      <c r="H2138" s="138">
        <f t="shared" si="34"/>
        <v>0</v>
      </c>
      <c r="I2138" s="147" t="s">
        <v>15214</v>
      </c>
    </row>
    <row r="2139" spans="1:9" x14ac:dyDescent="0.25">
      <c r="A2139" s="168" t="s">
        <v>17619</v>
      </c>
      <c r="B2139" s="136" t="s">
        <v>17659</v>
      </c>
      <c r="C2139" s="137">
        <v>112188</v>
      </c>
      <c r="D2139" s="136" t="s">
        <v>15236</v>
      </c>
      <c r="E2139" s="138">
        <v>372.4</v>
      </c>
      <c r="F2139" s="139">
        <v>42874</v>
      </c>
      <c r="G2139" s="140">
        <v>372.4</v>
      </c>
      <c r="H2139" s="138">
        <f t="shared" si="34"/>
        <v>0</v>
      </c>
      <c r="I2139" s="141" t="s">
        <v>15214</v>
      </c>
    </row>
    <row r="2140" spans="1:9" x14ac:dyDescent="0.25">
      <c r="A2140" s="167" t="s">
        <v>17619</v>
      </c>
      <c r="B2140" s="142" t="s">
        <v>17660</v>
      </c>
      <c r="C2140" s="143">
        <v>112189</v>
      </c>
      <c r="D2140" s="142" t="s">
        <v>15284</v>
      </c>
      <c r="E2140" s="144">
        <v>1919.6</v>
      </c>
      <c r="F2140" s="145">
        <v>42872</v>
      </c>
      <c r="G2140" s="146">
        <v>1919.6</v>
      </c>
      <c r="H2140" s="138">
        <f t="shared" si="34"/>
        <v>0</v>
      </c>
      <c r="I2140" s="147" t="s">
        <v>15214</v>
      </c>
    </row>
    <row r="2141" spans="1:9" x14ac:dyDescent="0.25">
      <c r="A2141" s="168" t="s">
        <v>17619</v>
      </c>
      <c r="B2141" s="136" t="s">
        <v>17661</v>
      </c>
      <c r="C2141" s="137">
        <v>112190</v>
      </c>
      <c r="D2141" s="136" t="s">
        <v>15442</v>
      </c>
      <c r="E2141" s="138">
        <v>13635</v>
      </c>
      <c r="F2141" s="139">
        <v>42881</v>
      </c>
      <c r="G2141" s="140">
        <v>13635</v>
      </c>
      <c r="H2141" s="138">
        <f t="shared" si="34"/>
        <v>0</v>
      </c>
      <c r="I2141" s="141" t="s">
        <v>15214</v>
      </c>
    </row>
    <row r="2142" spans="1:9" x14ac:dyDescent="0.25">
      <c r="A2142" s="167" t="s">
        <v>17619</v>
      </c>
      <c r="B2142" s="142" t="s">
        <v>17662</v>
      </c>
      <c r="C2142" s="143">
        <v>112191</v>
      </c>
      <c r="D2142" s="142" t="s">
        <v>15673</v>
      </c>
      <c r="E2142" s="144">
        <v>2277.6</v>
      </c>
      <c r="F2142" s="145">
        <v>42872</v>
      </c>
      <c r="G2142" s="146">
        <v>2277.6</v>
      </c>
      <c r="H2142" s="138">
        <f t="shared" si="34"/>
        <v>0</v>
      </c>
      <c r="I2142" s="147" t="s">
        <v>15214</v>
      </c>
    </row>
    <row r="2143" spans="1:9" x14ac:dyDescent="0.25">
      <c r="A2143" s="168" t="s">
        <v>17619</v>
      </c>
      <c r="B2143" s="136" t="s">
        <v>17663</v>
      </c>
      <c r="C2143" s="137">
        <v>112192</v>
      </c>
      <c r="D2143" s="136" t="s">
        <v>16129</v>
      </c>
      <c r="E2143" s="138">
        <v>372</v>
      </c>
      <c r="F2143" s="145">
        <v>42872</v>
      </c>
      <c r="G2143" s="140">
        <v>372</v>
      </c>
      <c r="H2143" s="138">
        <f t="shared" si="34"/>
        <v>0</v>
      </c>
      <c r="I2143" s="141" t="s">
        <v>15214</v>
      </c>
    </row>
    <row r="2144" spans="1:9" x14ac:dyDescent="0.25">
      <c r="A2144" s="167" t="s">
        <v>17619</v>
      </c>
      <c r="B2144" s="142" t="s">
        <v>17664</v>
      </c>
      <c r="C2144" s="143">
        <v>112193</v>
      </c>
      <c r="D2144" s="142" t="s">
        <v>15284</v>
      </c>
      <c r="E2144" s="144">
        <v>686</v>
      </c>
      <c r="F2144" s="145">
        <v>42872</v>
      </c>
      <c r="G2144" s="146">
        <v>686</v>
      </c>
      <c r="H2144" s="138">
        <f t="shared" si="34"/>
        <v>0</v>
      </c>
      <c r="I2144" s="147" t="s">
        <v>15214</v>
      </c>
    </row>
    <row r="2145" spans="1:9" x14ac:dyDescent="0.25">
      <c r="A2145" s="168" t="s">
        <v>17619</v>
      </c>
      <c r="B2145" s="136" t="s">
        <v>17665</v>
      </c>
      <c r="C2145" s="137">
        <v>112194</v>
      </c>
      <c r="D2145" s="136" t="s">
        <v>15732</v>
      </c>
      <c r="E2145" s="138">
        <v>1656.2</v>
      </c>
      <c r="F2145" s="145">
        <v>42872</v>
      </c>
      <c r="G2145" s="140">
        <v>1656.2</v>
      </c>
      <c r="H2145" s="138">
        <f t="shared" si="34"/>
        <v>0</v>
      </c>
      <c r="I2145" s="141" t="s">
        <v>15214</v>
      </c>
    </row>
    <row r="2146" spans="1:9" x14ac:dyDescent="0.25">
      <c r="A2146" s="167" t="s">
        <v>17619</v>
      </c>
      <c r="B2146" s="142" t="s">
        <v>17666</v>
      </c>
      <c r="C2146" s="143">
        <v>112195</v>
      </c>
      <c r="D2146" s="142" t="s">
        <v>15340</v>
      </c>
      <c r="E2146" s="144">
        <v>6384.8</v>
      </c>
      <c r="F2146" s="145">
        <v>42872</v>
      </c>
      <c r="G2146" s="146">
        <v>6384.8</v>
      </c>
      <c r="H2146" s="138">
        <f t="shared" si="34"/>
        <v>0</v>
      </c>
      <c r="I2146" s="147" t="s">
        <v>15214</v>
      </c>
    </row>
    <row r="2147" spans="1:9" x14ac:dyDescent="0.25">
      <c r="A2147" s="168" t="s">
        <v>17619</v>
      </c>
      <c r="B2147" s="136" t="s">
        <v>17667</v>
      </c>
      <c r="C2147" s="137">
        <v>112196</v>
      </c>
      <c r="D2147" s="136" t="s">
        <v>15396</v>
      </c>
      <c r="E2147" s="138">
        <v>4481</v>
      </c>
      <c r="F2147" s="145">
        <v>42872</v>
      </c>
      <c r="G2147" s="140">
        <v>4481</v>
      </c>
      <c r="H2147" s="138">
        <f t="shared" si="34"/>
        <v>0</v>
      </c>
      <c r="I2147" s="141" t="s">
        <v>15214</v>
      </c>
    </row>
    <row r="2148" spans="1:9" x14ac:dyDescent="0.25">
      <c r="A2148" s="167" t="s">
        <v>17619</v>
      </c>
      <c r="B2148" s="142" t="s">
        <v>17668</v>
      </c>
      <c r="C2148" s="143">
        <v>112197</v>
      </c>
      <c r="D2148" s="142" t="s">
        <v>15263</v>
      </c>
      <c r="E2148" s="144">
        <v>3032</v>
      </c>
      <c r="F2148" s="145">
        <v>42872</v>
      </c>
      <c r="G2148" s="146">
        <v>3032</v>
      </c>
      <c r="H2148" s="138">
        <f t="shared" si="34"/>
        <v>0</v>
      </c>
      <c r="I2148" s="147" t="s">
        <v>15214</v>
      </c>
    </row>
    <row r="2149" spans="1:9" ht="15.75" x14ac:dyDescent="0.25">
      <c r="A2149" s="168" t="s">
        <v>17619</v>
      </c>
      <c r="B2149" s="136" t="s">
        <v>17669</v>
      </c>
      <c r="C2149" s="137">
        <v>112198</v>
      </c>
      <c r="D2149" s="136" t="s">
        <v>15248</v>
      </c>
      <c r="E2149" s="138">
        <v>0</v>
      </c>
      <c r="F2149" s="153" t="s">
        <v>95</v>
      </c>
      <c r="G2149" s="138">
        <v>0</v>
      </c>
      <c r="H2149" s="138">
        <f t="shared" si="34"/>
        <v>0</v>
      </c>
      <c r="I2149" s="141" t="s">
        <v>95</v>
      </c>
    </row>
    <row r="2150" spans="1:9" x14ac:dyDescent="0.25">
      <c r="A2150" s="167" t="s">
        <v>17619</v>
      </c>
      <c r="B2150" s="142" t="s">
        <v>17670</v>
      </c>
      <c r="C2150" s="143">
        <v>112199</v>
      </c>
      <c r="D2150" s="142" t="s">
        <v>16740</v>
      </c>
      <c r="E2150" s="144">
        <v>3100.5</v>
      </c>
      <c r="F2150" s="145">
        <v>42872</v>
      </c>
      <c r="G2150" s="146">
        <v>3100.5</v>
      </c>
      <c r="H2150" s="138">
        <f t="shared" si="34"/>
        <v>0</v>
      </c>
      <c r="I2150" s="147" t="s">
        <v>15214</v>
      </c>
    </row>
    <row r="2151" spans="1:9" x14ac:dyDescent="0.25">
      <c r="A2151" s="168" t="s">
        <v>17619</v>
      </c>
      <c r="B2151" s="136" t="s">
        <v>17671</v>
      </c>
      <c r="C2151" s="137">
        <v>112200</v>
      </c>
      <c r="D2151" s="136" t="s">
        <v>15272</v>
      </c>
      <c r="E2151" s="138">
        <v>18594.599999999999</v>
      </c>
      <c r="F2151" s="145">
        <v>42872</v>
      </c>
      <c r="G2151" s="140">
        <v>18594.599999999999</v>
      </c>
      <c r="H2151" s="138">
        <f t="shared" si="34"/>
        <v>0</v>
      </c>
      <c r="I2151" s="141" t="s">
        <v>15214</v>
      </c>
    </row>
    <row r="2152" spans="1:9" x14ac:dyDescent="0.25">
      <c r="A2152" s="167" t="s">
        <v>17619</v>
      </c>
      <c r="B2152" s="142" t="s">
        <v>17672</v>
      </c>
      <c r="C2152" s="143">
        <v>112201</v>
      </c>
      <c r="D2152" s="142" t="s">
        <v>15282</v>
      </c>
      <c r="E2152" s="144">
        <v>2620.8000000000002</v>
      </c>
      <c r="F2152" s="145">
        <v>42872</v>
      </c>
      <c r="G2152" s="146">
        <v>2620.8000000000002</v>
      </c>
      <c r="H2152" s="138">
        <f t="shared" si="34"/>
        <v>0</v>
      </c>
      <c r="I2152" s="147" t="s">
        <v>15214</v>
      </c>
    </row>
    <row r="2153" spans="1:9" x14ac:dyDescent="0.25">
      <c r="A2153" s="168" t="s">
        <v>17619</v>
      </c>
      <c r="B2153" s="136" t="s">
        <v>17673</v>
      </c>
      <c r="C2153" s="137">
        <v>112202</v>
      </c>
      <c r="D2153" s="136" t="s">
        <v>15530</v>
      </c>
      <c r="E2153" s="138">
        <v>1367.1</v>
      </c>
      <c r="F2153" s="145">
        <v>42872</v>
      </c>
      <c r="G2153" s="140">
        <v>1367.1</v>
      </c>
      <c r="H2153" s="138">
        <f t="shared" si="34"/>
        <v>0</v>
      </c>
      <c r="I2153" s="141" t="s">
        <v>15214</v>
      </c>
    </row>
    <row r="2154" spans="1:9" x14ac:dyDescent="0.25">
      <c r="A2154" s="167" t="s">
        <v>17619</v>
      </c>
      <c r="B2154" s="142" t="s">
        <v>17674</v>
      </c>
      <c r="C2154" s="143">
        <v>112203</v>
      </c>
      <c r="D2154" s="142" t="s">
        <v>15387</v>
      </c>
      <c r="E2154" s="144">
        <v>1992.2</v>
      </c>
      <c r="F2154" s="145">
        <v>42873</v>
      </c>
      <c r="G2154" s="146">
        <v>1992.2</v>
      </c>
      <c r="H2154" s="138">
        <f t="shared" si="34"/>
        <v>0</v>
      </c>
      <c r="I2154" s="147" t="s">
        <v>15214</v>
      </c>
    </row>
    <row r="2155" spans="1:9" ht="15.75" x14ac:dyDescent="0.25">
      <c r="A2155" s="168" t="s">
        <v>17619</v>
      </c>
      <c r="B2155" s="136" t="s">
        <v>17675</v>
      </c>
      <c r="C2155" s="137">
        <v>112204</v>
      </c>
      <c r="D2155" s="136" t="s">
        <v>15289</v>
      </c>
      <c r="E2155" s="138">
        <v>0</v>
      </c>
      <c r="F2155" s="153" t="s">
        <v>95</v>
      </c>
      <c r="G2155" s="138">
        <v>0</v>
      </c>
      <c r="H2155" s="138">
        <f t="shared" si="34"/>
        <v>0</v>
      </c>
      <c r="I2155" s="141" t="s">
        <v>95</v>
      </c>
    </row>
    <row r="2156" spans="1:9" x14ac:dyDescent="0.25">
      <c r="A2156" s="167" t="s">
        <v>17619</v>
      </c>
      <c r="B2156" s="142" t="s">
        <v>17676</v>
      </c>
      <c r="C2156" s="143">
        <v>112205</v>
      </c>
      <c r="D2156" s="142" t="s">
        <v>15289</v>
      </c>
      <c r="E2156" s="144">
        <v>609.9</v>
      </c>
      <c r="F2156" s="145">
        <v>42872</v>
      </c>
      <c r="G2156" s="146">
        <v>609.9</v>
      </c>
      <c r="H2156" s="138">
        <f t="shared" si="34"/>
        <v>0</v>
      </c>
      <c r="I2156" s="147" t="s">
        <v>15214</v>
      </c>
    </row>
    <row r="2157" spans="1:9" x14ac:dyDescent="0.25">
      <c r="A2157" s="168" t="s">
        <v>17619</v>
      </c>
      <c r="B2157" s="136" t="s">
        <v>17677</v>
      </c>
      <c r="C2157" s="137">
        <v>112206</v>
      </c>
      <c r="D2157" s="136" t="s">
        <v>15278</v>
      </c>
      <c r="E2157" s="138">
        <v>4421.6000000000004</v>
      </c>
      <c r="F2157" s="145">
        <v>42872</v>
      </c>
      <c r="G2157" s="140">
        <v>4421.6000000000004</v>
      </c>
      <c r="H2157" s="138">
        <f t="shared" si="34"/>
        <v>0</v>
      </c>
      <c r="I2157" s="141" t="s">
        <v>15214</v>
      </c>
    </row>
    <row r="2158" spans="1:9" x14ac:dyDescent="0.25">
      <c r="A2158" s="167" t="s">
        <v>17619</v>
      </c>
      <c r="B2158" s="142" t="s">
        <v>17678</v>
      </c>
      <c r="C2158" s="143">
        <v>112207</v>
      </c>
      <c r="D2158" s="142" t="s">
        <v>15655</v>
      </c>
      <c r="E2158" s="144">
        <v>15006</v>
      </c>
      <c r="F2158" s="145">
        <v>42909</v>
      </c>
      <c r="G2158" s="146">
        <v>15006</v>
      </c>
      <c r="H2158" s="138">
        <f t="shared" si="34"/>
        <v>0</v>
      </c>
      <c r="I2158" s="147" t="s">
        <v>15214</v>
      </c>
    </row>
    <row r="2159" spans="1:9" x14ac:dyDescent="0.25">
      <c r="A2159" s="168" t="s">
        <v>17619</v>
      </c>
      <c r="B2159" s="136" t="s">
        <v>17679</v>
      </c>
      <c r="C2159" s="137">
        <v>112208</v>
      </c>
      <c r="D2159" s="136" t="s">
        <v>15246</v>
      </c>
      <c r="E2159" s="138">
        <v>646</v>
      </c>
      <c r="F2159" s="139">
        <v>42873</v>
      </c>
      <c r="G2159" s="140">
        <v>646</v>
      </c>
      <c r="H2159" s="138">
        <f t="shared" si="34"/>
        <v>0</v>
      </c>
      <c r="I2159" s="141" t="s">
        <v>15214</v>
      </c>
    </row>
    <row r="2160" spans="1:9" x14ac:dyDescent="0.25">
      <c r="A2160" s="167" t="s">
        <v>17619</v>
      </c>
      <c r="B2160" s="142" t="s">
        <v>17680</v>
      </c>
      <c r="C2160" s="143">
        <v>112209</v>
      </c>
      <c r="D2160" s="142" t="s">
        <v>15223</v>
      </c>
      <c r="E2160" s="144">
        <v>48444</v>
      </c>
      <c r="F2160" s="145">
        <v>42882</v>
      </c>
      <c r="G2160" s="146">
        <v>48444</v>
      </c>
      <c r="H2160" s="138">
        <f t="shared" si="34"/>
        <v>0</v>
      </c>
      <c r="I2160" s="147" t="s">
        <v>15214</v>
      </c>
    </row>
    <row r="2161" spans="1:9" x14ac:dyDescent="0.25">
      <c r="A2161" s="168" t="s">
        <v>17619</v>
      </c>
      <c r="B2161" s="136" t="s">
        <v>17681</v>
      </c>
      <c r="C2161" s="137">
        <v>112210</v>
      </c>
      <c r="D2161" s="136" t="s">
        <v>15252</v>
      </c>
      <c r="E2161" s="138">
        <v>2851</v>
      </c>
      <c r="F2161" s="139">
        <v>42875</v>
      </c>
      <c r="G2161" s="140">
        <v>2851</v>
      </c>
      <c r="H2161" s="138">
        <f t="shared" si="34"/>
        <v>0</v>
      </c>
      <c r="I2161" s="141" t="s">
        <v>15214</v>
      </c>
    </row>
    <row r="2162" spans="1:9" x14ac:dyDescent="0.25">
      <c r="A2162" s="167" t="s">
        <v>17619</v>
      </c>
      <c r="B2162" s="142" t="s">
        <v>17682</v>
      </c>
      <c r="C2162" s="143">
        <v>112211</v>
      </c>
      <c r="D2162" s="142" t="s">
        <v>15244</v>
      </c>
      <c r="E2162" s="144">
        <v>7467</v>
      </c>
      <c r="F2162" s="145">
        <v>42873</v>
      </c>
      <c r="G2162" s="146">
        <v>7467</v>
      </c>
      <c r="H2162" s="138">
        <f t="shared" si="34"/>
        <v>0</v>
      </c>
      <c r="I2162" s="147" t="s">
        <v>15214</v>
      </c>
    </row>
    <row r="2163" spans="1:9" x14ac:dyDescent="0.25">
      <c r="A2163" s="168" t="s">
        <v>17619</v>
      </c>
      <c r="B2163" s="136" t="s">
        <v>17683</v>
      </c>
      <c r="C2163" s="137">
        <v>112212</v>
      </c>
      <c r="D2163" s="136" t="s">
        <v>15317</v>
      </c>
      <c r="E2163" s="138">
        <v>823.2</v>
      </c>
      <c r="F2163" s="139">
        <v>43602</v>
      </c>
      <c r="G2163" s="140">
        <v>823.2</v>
      </c>
      <c r="H2163" s="138">
        <f t="shared" si="34"/>
        <v>0</v>
      </c>
      <c r="I2163" s="141" t="s">
        <v>15214</v>
      </c>
    </row>
    <row r="2164" spans="1:9" x14ac:dyDescent="0.25">
      <c r="A2164" s="167" t="s">
        <v>17619</v>
      </c>
      <c r="B2164" s="142" t="s">
        <v>17684</v>
      </c>
      <c r="C2164" s="143">
        <v>112213</v>
      </c>
      <c r="D2164" s="142" t="s">
        <v>15415</v>
      </c>
      <c r="E2164" s="144">
        <v>2893.5</v>
      </c>
      <c r="F2164" s="145">
        <v>42875</v>
      </c>
      <c r="G2164" s="146">
        <v>2893.5</v>
      </c>
      <c r="H2164" s="138">
        <f t="shared" si="34"/>
        <v>0</v>
      </c>
      <c r="I2164" s="147" t="s">
        <v>15214</v>
      </c>
    </row>
    <row r="2165" spans="1:9" x14ac:dyDescent="0.25">
      <c r="A2165" s="168" t="s">
        <v>17619</v>
      </c>
      <c r="B2165" s="136" t="s">
        <v>17685</v>
      </c>
      <c r="C2165" s="137">
        <v>112214</v>
      </c>
      <c r="D2165" s="136" t="s">
        <v>15322</v>
      </c>
      <c r="E2165" s="138">
        <v>892.1</v>
      </c>
      <c r="F2165" s="139">
        <v>42872</v>
      </c>
      <c r="G2165" s="140">
        <v>892.1</v>
      </c>
      <c r="H2165" s="138">
        <f t="shared" si="34"/>
        <v>0</v>
      </c>
      <c r="I2165" s="141" t="s">
        <v>15214</v>
      </c>
    </row>
    <row r="2166" spans="1:9" x14ac:dyDescent="0.25">
      <c r="A2166" s="167" t="s">
        <v>17619</v>
      </c>
      <c r="B2166" s="142" t="s">
        <v>17686</v>
      </c>
      <c r="C2166" s="143">
        <v>112215</v>
      </c>
      <c r="D2166" s="142" t="s">
        <v>15549</v>
      </c>
      <c r="E2166" s="144">
        <v>1247.9000000000001</v>
      </c>
      <c r="F2166" s="139">
        <v>42872</v>
      </c>
      <c r="G2166" s="146">
        <v>1247.9000000000001</v>
      </c>
      <c r="H2166" s="138">
        <f t="shared" si="34"/>
        <v>0</v>
      </c>
      <c r="I2166" s="147" t="s">
        <v>15214</v>
      </c>
    </row>
    <row r="2167" spans="1:9" x14ac:dyDescent="0.25">
      <c r="A2167" s="168" t="s">
        <v>17619</v>
      </c>
      <c r="B2167" s="136" t="s">
        <v>17687</v>
      </c>
      <c r="C2167" s="137">
        <v>112216</v>
      </c>
      <c r="D2167" s="136" t="s">
        <v>17430</v>
      </c>
      <c r="E2167" s="138">
        <v>4669.7</v>
      </c>
      <c r="F2167" s="139">
        <v>42872</v>
      </c>
      <c r="G2167" s="140">
        <v>4669.7</v>
      </c>
      <c r="H2167" s="138">
        <f t="shared" si="34"/>
        <v>0</v>
      </c>
      <c r="I2167" s="141" t="s">
        <v>15214</v>
      </c>
    </row>
    <row r="2168" spans="1:9" x14ac:dyDescent="0.25">
      <c r="A2168" s="167" t="s">
        <v>17619</v>
      </c>
      <c r="B2168" s="142" t="s">
        <v>17688</v>
      </c>
      <c r="C2168" s="143">
        <v>112217</v>
      </c>
      <c r="D2168" s="142" t="s">
        <v>15346</v>
      </c>
      <c r="E2168" s="144">
        <v>4753.8</v>
      </c>
      <c r="F2168" s="139">
        <v>42872</v>
      </c>
      <c r="G2168" s="146">
        <v>4753.8</v>
      </c>
      <c r="H2168" s="138">
        <f t="shared" si="34"/>
        <v>0</v>
      </c>
      <c r="I2168" s="147" t="s">
        <v>15214</v>
      </c>
    </row>
    <row r="2169" spans="1:9" x14ac:dyDescent="0.25">
      <c r="A2169" s="168" t="s">
        <v>17619</v>
      </c>
      <c r="B2169" s="136" t="s">
        <v>17689</v>
      </c>
      <c r="C2169" s="137">
        <v>112218</v>
      </c>
      <c r="D2169" s="136" t="s">
        <v>15248</v>
      </c>
      <c r="E2169" s="138">
        <v>7019.6</v>
      </c>
      <c r="F2169" s="139">
        <v>42872</v>
      </c>
      <c r="G2169" s="140">
        <v>7019.6</v>
      </c>
      <c r="H2169" s="138">
        <f t="shared" si="34"/>
        <v>0</v>
      </c>
      <c r="I2169" s="141" t="s">
        <v>15214</v>
      </c>
    </row>
    <row r="2170" spans="1:9" x14ac:dyDescent="0.25">
      <c r="A2170" s="167" t="s">
        <v>17619</v>
      </c>
      <c r="B2170" s="142" t="s">
        <v>17690</v>
      </c>
      <c r="C2170" s="143">
        <v>112219</v>
      </c>
      <c r="D2170" s="142" t="s">
        <v>15294</v>
      </c>
      <c r="E2170" s="144">
        <v>4620.3999999999996</v>
      </c>
      <c r="F2170" s="139">
        <v>42872</v>
      </c>
      <c r="G2170" s="146">
        <v>4620.3999999999996</v>
      </c>
      <c r="H2170" s="138">
        <f t="shared" si="34"/>
        <v>0</v>
      </c>
      <c r="I2170" s="147" t="s">
        <v>15214</v>
      </c>
    </row>
    <row r="2171" spans="1:9" x14ac:dyDescent="0.25">
      <c r="A2171" s="168" t="s">
        <v>17619</v>
      </c>
      <c r="B2171" s="136" t="s">
        <v>17691</v>
      </c>
      <c r="C2171" s="137">
        <v>112220</v>
      </c>
      <c r="D2171" s="136" t="s">
        <v>15415</v>
      </c>
      <c r="E2171" s="138">
        <v>431.2</v>
      </c>
      <c r="F2171" s="139">
        <v>42872</v>
      </c>
      <c r="G2171" s="140">
        <v>431.2</v>
      </c>
      <c r="H2171" s="138">
        <f t="shared" si="34"/>
        <v>0</v>
      </c>
      <c r="I2171" s="141" t="s">
        <v>15214</v>
      </c>
    </row>
    <row r="2172" spans="1:9" x14ac:dyDescent="0.25">
      <c r="A2172" s="167" t="s">
        <v>17619</v>
      </c>
      <c r="B2172" s="142" t="s">
        <v>17692</v>
      </c>
      <c r="C2172" s="143">
        <v>112221</v>
      </c>
      <c r="D2172" s="142" t="s">
        <v>15920</v>
      </c>
      <c r="E2172" s="144">
        <v>60144</v>
      </c>
      <c r="F2172" s="148">
        <v>42893</v>
      </c>
      <c r="G2172" s="149">
        <v>60144</v>
      </c>
      <c r="H2172" s="138">
        <f t="shared" si="34"/>
        <v>0</v>
      </c>
      <c r="I2172" s="147" t="s">
        <v>15214</v>
      </c>
    </row>
    <row r="2173" spans="1:9" x14ac:dyDescent="0.25">
      <c r="A2173" s="168" t="s">
        <v>17619</v>
      </c>
      <c r="B2173" s="136" t="s">
        <v>17693</v>
      </c>
      <c r="C2173" s="137">
        <v>112222</v>
      </c>
      <c r="D2173" s="136" t="s">
        <v>15367</v>
      </c>
      <c r="E2173" s="138">
        <v>7920</v>
      </c>
      <c r="F2173" s="159">
        <v>42873</v>
      </c>
      <c r="G2173" s="138">
        <v>7920</v>
      </c>
      <c r="H2173" s="138">
        <f t="shared" si="34"/>
        <v>0</v>
      </c>
      <c r="I2173" s="141" t="s">
        <v>15214</v>
      </c>
    </row>
    <row r="2174" spans="1:9" x14ac:dyDescent="0.25">
      <c r="A2174" s="167" t="s">
        <v>17619</v>
      </c>
      <c r="B2174" s="142" t="s">
        <v>17694</v>
      </c>
      <c r="C2174" s="143">
        <v>112223</v>
      </c>
      <c r="D2174" s="142" t="s">
        <v>15706</v>
      </c>
      <c r="E2174" s="144">
        <v>1350</v>
      </c>
      <c r="F2174" s="139">
        <v>42872</v>
      </c>
      <c r="G2174" s="146">
        <v>1350</v>
      </c>
      <c r="H2174" s="138">
        <f t="shared" si="34"/>
        <v>0</v>
      </c>
      <c r="I2174" s="147" t="s">
        <v>15214</v>
      </c>
    </row>
    <row r="2175" spans="1:9" x14ac:dyDescent="0.25">
      <c r="A2175" s="168" t="s">
        <v>17619</v>
      </c>
      <c r="B2175" s="136" t="s">
        <v>17695</v>
      </c>
      <c r="C2175" s="137">
        <v>112224</v>
      </c>
      <c r="D2175" s="136" t="s">
        <v>15706</v>
      </c>
      <c r="E2175" s="138">
        <v>136.30000000000001</v>
      </c>
      <c r="F2175" s="139">
        <v>42872</v>
      </c>
      <c r="G2175" s="140">
        <v>136.30000000000001</v>
      </c>
      <c r="H2175" s="138">
        <f t="shared" si="34"/>
        <v>0</v>
      </c>
      <c r="I2175" s="141" t="s">
        <v>15214</v>
      </c>
    </row>
    <row r="2176" spans="1:9" x14ac:dyDescent="0.25">
      <c r="A2176" s="167" t="s">
        <v>17619</v>
      </c>
      <c r="B2176" s="142" t="s">
        <v>17696</v>
      </c>
      <c r="C2176" s="143">
        <v>112225</v>
      </c>
      <c r="D2176" s="142" t="s">
        <v>15759</v>
      </c>
      <c r="E2176" s="144">
        <v>4112.1000000000004</v>
      </c>
      <c r="F2176" s="139">
        <v>42872</v>
      </c>
      <c r="G2176" s="146">
        <v>4112.1000000000004</v>
      </c>
      <c r="H2176" s="138">
        <f t="shared" si="34"/>
        <v>0</v>
      </c>
      <c r="I2176" s="147" t="s">
        <v>15214</v>
      </c>
    </row>
    <row r="2177" spans="1:9" x14ac:dyDescent="0.25">
      <c r="A2177" s="168" t="s">
        <v>17619</v>
      </c>
      <c r="B2177" s="136" t="s">
        <v>17697</v>
      </c>
      <c r="C2177" s="137">
        <v>112226</v>
      </c>
      <c r="D2177" s="136" t="s">
        <v>15427</v>
      </c>
      <c r="E2177" s="138">
        <v>42760.6</v>
      </c>
      <c r="F2177" s="139">
        <v>42873</v>
      </c>
      <c r="G2177" s="140">
        <v>42760.6</v>
      </c>
      <c r="H2177" s="138">
        <f t="shared" si="34"/>
        <v>0</v>
      </c>
      <c r="I2177" s="141" t="s">
        <v>15214</v>
      </c>
    </row>
    <row r="2178" spans="1:9" x14ac:dyDescent="0.25">
      <c r="A2178" s="167" t="s">
        <v>17619</v>
      </c>
      <c r="B2178" s="142" t="s">
        <v>17698</v>
      </c>
      <c r="C2178" s="143">
        <v>112227</v>
      </c>
      <c r="D2178" s="142" t="s">
        <v>15537</v>
      </c>
      <c r="E2178" s="144">
        <v>13629.6</v>
      </c>
      <c r="F2178" s="145">
        <v>42879</v>
      </c>
      <c r="G2178" s="146">
        <v>13629.6</v>
      </c>
      <c r="H2178" s="138">
        <f t="shared" si="34"/>
        <v>0</v>
      </c>
      <c r="I2178" s="147" t="s">
        <v>15214</v>
      </c>
    </row>
    <row r="2179" spans="1:9" x14ac:dyDescent="0.25">
      <c r="A2179" s="168" t="s">
        <v>17619</v>
      </c>
      <c r="B2179" s="136" t="s">
        <v>17699</v>
      </c>
      <c r="C2179" s="137">
        <v>112228</v>
      </c>
      <c r="D2179" s="136" t="s">
        <v>15539</v>
      </c>
      <c r="E2179" s="138">
        <v>14204.3</v>
      </c>
      <c r="F2179" s="139">
        <v>42879</v>
      </c>
      <c r="G2179" s="140">
        <v>14204.3</v>
      </c>
      <c r="H2179" s="138">
        <f t="shared" si="34"/>
        <v>0</v>
      </c>
      <c r="I2179" s="141" t="s">
        <v>15214</v>
      </c>
    </row>
    <row r="2180" spans="1:9" x14ac:dyDescent="0.25">
      <c r="A2180" s="167" t="s">
        <v>17619</v>
      </c>
      <c r="B2180" s="142" t="s">
        <v>17700</v>
      </c>
      <c r="C2180" s="143">
        <v>112229</v>
      </c>
      <c r="D2180" s="142" t="s">
        <v>15380</v>
      </c>
      <c r="E2180" s="144">
        <v>17494.599999999999</v>
      </c>
      <c r="F2180" s="148">
        <v>42892</v>
      </c>
      <c r="G2180" s="149">
        <v>17494.599999999999</v>
      </c>
      <c r="H2180" s="138">
        <f t="shared" si="34"/>
        <v>0</v>
      </c>
      <c r="I2180" s="147" t="s">
        <v>15214</v>
      </c>
    </row>
    <row r="2181" spans="1:9" x14ac:dyDescent="0.25">
      <c r="A2181" s="168" t="s">
        <v>17619</v>
      </c>
      <c r="B2181" s="136" t="s">
        <v>17701</v>
      </c>
      <c r="C2181" s="137">
        <v>112230</v>
      </c>
      <c r="D2181" s="136" t="s">
        <v>15398</v>
      </c>
      <c r="E2181" s="138">
        <v>2097</v>
      </c>
      <c r="F2181" s="139">
        <v>42872</v>
      </c>
      <c r="G2181" s="140">
        <v>2097</v>
      </c>
      <c r="H2181" s="138">
        <f t="shared" ref="H2181:H2244" si="35">E2181-G2181</f>
        <v>0</v>
      </c>
      <c r="I2181" s="141" t="s">
        <v>15214</v>
      </c>
    </row>
    <row r="2182" spans="1:9" x14ac:dyDescent="0.25">
      <c r="A2182" s="167" t="s">
        <v>17619</v>
      </c>
      <c r="B2182" s="142" t="s">
        <v>17702</v>
      </c>
      <c r="C2182" s="143">
        <v>112231</v>
      </c>
      <c r="D2182" s="142" t="s">
        <v>15537</v>
      </c>
      <c r="E2182" s="144">
        <v>4182.6000000000004</v>
      </c>
      <c r="F2182" s="145">
        <v>42879</v>
      </c>
      <c r="G2182" s="146">
        <v>4182.6000000000004</v>
      </c>
      <c r="H2182" s="138">
        <f t="shared" si="35"/>
        <v>0</v>
      </c>
      <c r="I2182" s="147" t="s">
        <v>15214</v>
      </c>
    </row>
    <row r="2183" spans="1:9" x14ac:dyDescent="0.25">
      <c r="A2183" s="168" t="s">
        <v>17619</v>
      </c>
      <c r="B2183" s="136" t="s">
        <v>17703</v>
      </c>
      <c r="C2183" s="137">
        <v>112232</v>
      </c>
      <c r="D2183" s="136" t="s">
        <v>15544</v>
      </c>
      <c r="E2183" s="138">
        <v>2797.2</v>
      </c>
      <c r="F2183" s="139">
        <v>42881</v>
      </c>
      <c r="G2183" s="140">
        <v>2797.2</v>
      </c>
      <c r="H2183" s="138">
        <f t="shared" si="35"/>
        <v>0</v>
      </c>
      <c r="I2183" s="141" t="s">
        <v>15214</v>
      </c>
    </row>
    <row r="2184" spans="1:9" x14ac:dyDescent="0.25">
      <c r="A2184" s="167" t="s">
        <v>17619</v>
      </c>
      <c r="B2184" s="142" t="s">
        <v>17704</v>
      </c>
      <c r="C2184" s="143">
        <v>112233</v>
      </c>
      <c r="D2184" s="142" t="s">
        <v>15555</v>
      </c>
      <c r="E2184" s="144">
        <v>2915</v>
      </c>
      <c r="F2184" s="145">
        <v>42874</v>
      </c>
      <c r="G2184" s="146">
        <v>2915</v>
      </c>
      <c r="H2184" s="138">
        <f t="shared" si="35"/>
        <v>0</v>
      </c>
      <c r="I2184" s="147" t="s">
        <v>15214</v>
      </c>
    </row>
    <row r="2185" spans="1:9" x14ac:dyDescent="0.25">
      <c r="A2185" s="168" t="s">
        <v>17619</v>
      </c>
      <c r="B2185" s="136" t="s">
        <v>17705</v>
      </c>
      <c r="C2185" s="137">
        <v>112234</v>
      </c>
      <c r="D2185" s="136" t="s">
        <v>15699</v>
      </c>
      <c r="E2185" s="138">
        <v>9544.4</v>
      </c>
      <c r="F2185" s="139">
        <v>42881</v>
      </c>
      <c r="G2185" s="140">
        <v>9544.4</v>
      </c>
      <c r="H2185" s="138">
        <f t="shared" si="35"/>
        <v>0</v>
      </c>
      <c r="I2185" s="141" t="s">
        <v>15214</v>
      </c>
    </row>
    <row r="2186" spans="1:9" x14ac:dyDescent="0.25">
      <c r="A2186" s="167" t="s">
        <v>17619</v>
      </c>
      <c r="B2186" s="142" t="s">
        <v>17706</v>
      </c>
      <c r="C2186" s="143">
        <v>112235</v>
      </c>
      <c r="D2186" s="142" t="s">
        <v>15559</v>
      </c>
      <c r="E2186" s="144">
        <v>6548.4</v>
      </c>
      <c r="F2186" s="145">
        <v>42879</v>
      </c>
      <c r="G2186" s="146">
        <v>6548.4</v>
      </c>
      <c r="H2186" s="138">
        <f t="shared" si="35"/>
        <v>0</v>
      </c>
      <c r="I2186" s="147" t="s">
        <v>15214</v>
      </c>
    </row>
    <row r="2187" spans="1:9" ht="15.75" x14ac:dyDescent="0.25">
      <c r="A2187" s="168" t="s">
        <v>17619</v>
      </c>
      <c r="B2187" s="136" t="s">
        <v>17707</v>
      </c>
      <c r="C2187" s="137">
        <v>112236</v>
      </c>
      <c r="D2187" s="136" t="s">
        <v>17708</v>
      </c>
      <c r="E2187" s="138">
        <v>0</v>
      </c>
      <c r="F2187" s="153" t="s">
        <v>95</v>
      </c>
      <c r="G2187" s="138">
        <v>0</v>
      </c>
      <c r="H2187" s="138">
        <f t="shared" si="35"/>
        <v>0</v>
      </c>
      <c r="I2187" s="141" t="s">
        <v>95</v>
      </c>
    </row>
    <row r="2188" spans="1:9" x14ac:dyDescent="0.25">
      <c r="A2188" s="167" t="s">
        <v>17619</v>
      </c>
      <c r="B2188" s="142" t="s">
        <v>17709</v>
      </c>
      <c r="C2188" s="143">
        <v>112237</v>
      </c>
      <c r="D2188" s="142" t="s">
        <v>15590</v>
      </c>
      <c r="E2188" s="144">
        <v>27900</v>
      </c>
      <c r="F2188" s="145">
        <v>42880</v>
      </c>
      <c r="G2188" s="146">
        <v>27900</v>
      </c>
      <c r="H2188" s="138">
        <f t="shared" si="35"/>
        <v>0</v>
      </c>
      <c r="I2188" s="147" t="s">
        <v>15214</v>
      </c>
    </row>
    <row r="2189" spans="1:9" x14ac:dyDescent="0.25">
      <c r="A2189" s="168" t="s">
        <v>17619</v>
      </c>
      <c r="B2189" s="136" t="s">
        <v>17710</v>
      </c>
      <c r="C2189" s="137">
        <v>112238</v>
      </c>
      <c r="D2189" s="136" t="s">
        <v>15665</v>
      </c>
      <c r="E2189" s="138">
        <v>540</v>
      </c>
      <c r="F2189" s="139">
        <v>42872</v>
      </c>
      <c r="G2189" s="140">
        <v>540</v>
      </c>
      <c r="H2189" s="138">
        <f t="shared" si="35"/>
        <v>0</v>
      </c>
      <c r="I2189" s="141" t="s">
        <v>15214</v>
      </c>
    </row>
    <row r="2190" spans="1:9" x14ac:dyDescent="0.25">
      <c r="A2190" s="167" t="s">
        <v>17619</v>
      </c>
      <c r="B2190" s="142" t="s">
        <v>17711</v>
      </c>
      <c r="C2190" s="143">
        <v>112239</v>
      </c>
      <c r="D2190" s="142" t="s">
        <v>15725</v>
      </c>
      <c r="E2190" s="144">
        <v>16438</v>
      </c>
      <c r="F2190" s="145">
        <v>42876</v>
      </c>
      <c r="G2190" s="146">
        <v>16438</v>
      </c>
      <c r="H2190" s="138">
        <f t="shared" si="35"/>
        <v>0</v>
      </c>
      <c r="I2190" s="147" t="s">
        <v>15214</v>
      </c>
    </row>
    <row r="2191" spans="1:9" x14ac:dyDescent="0.25">
      <c r="A2191" s="168" t="s">
        <v>17619</v>
      </c>
      <c r="B2191" s="136" t="s">
        <v>17712</v>
      </c>
      <c r="C2191" s="137">
        <v>112240</v>
      </c>
      <c r="D2191" s="136" t="s">
        <v>16306</v>
      </c>
      <c r="E2191" s="138">
        <v>33664.400000000001</v>
      </c>
      <c r="F2191" s="139">
        <v>42873</v>
      </c>
      <c r="G2191" s="140">
        <v>33664.400000000001</v>
      </c>
      <c r="H2191" s="138">
        <f t="shared" si="35"/>
        <v>0</v>
      </c>
      <c r="I2191" s="141" t="s">
        <v>15214</v>
      </c>
    </row>
    <row r="2192" spans="1:9" x14ac:dyDescent="0.25">
      <c r="A2192" s="167" t="s">
        <v>17619</v>
      </c>
      <c r="B2192" s="142" t="s">
        <v>17713</v>
      </c>
      <c r="C2192" s="143">
        <v>112241</v>
      </c>
      <c r="D2192" s="142" t="s">
        <v>15263</v>
      </c>
      <c r="E2192" s="144">
        <v>413.8</v>
      </c>
      <c r="F2192" s="139">
        <v>42872</v>
      </c>
      <c r="G2192" s="146">
        <v>413.8</v>
      </c>
      <c r="H2192" s="138">
        <f t="shared" si="35"/>
        <v>0</v>
      </c>
      <c r="I2192" s="147" t="s">
        <v>15214</v>
      </c>
    </row>
    <row r="2193" spans="1:9" x14ac:dyDescent="0.25">
      <c r="A2193" s="168" t="s">
        <v>17619</v>
      </c>
      <c r="B2193" s="136" t="s">
        <v>17714</v>
      </c>
      <c r="C2193" s="137">
        <v>112242</v>
      </c>
      <c r="D2193" s="136" t="s">
        <v>15373</v>
      </c>
      <c r="E2193" s="138">
        <v>27815</v>
      </c>
      <c r="F2193" s="139">
        <v>42873</v>
      </c>
      <c r="G2193" s="140">
        <v>27815</v>
      </c>
      <c r="H2193" s="138">
        <f t="shared" si="35"/>
        <v>0</v>
      </c>
      <c r="I2193" s="141" t="s">
        <v>15214</v>
      </c>
    </row>
    <row r="2194" spans="1:9" x14ac:dyDescent="0.25">
      <c r="A2194" s="167" t="s">
        <v>17619</v>
      </c>
      <c r="B2194" s="142" t="s">
        <v>17715</v>
      </c>
      <c r="C2194" s="143">
        <v>112243</v>
      </c>
      <c r="D2194" s="142" t="s">
        <v>15246</v>
      </c>
      <c r="E2194" s="144">
        <v>3572</v>
      </c>
      <c r="F2194" s="145">
        <v>42873</v>
      </c>
      <c r="G2194" s="146">
        <v>3572</v>
      </c>
      <c r="H2194" s="138">
        <f t="shared" si="35"/>
        <v>0</v>
      </c>
      <c r="I2194" s="147" t="s">
        <v>15214</v>
      </c>
    </row>
    <row r="2195" spans="1:9" x14ac:dyDescent="0.25">
      <c r="A2195" s="168" t="s">
        <v>17619</v>
      </c>
      <c r="B2195" s="136" t="s">
        <v>17716</v>
      </c>
      <c r="C2195" s="137">
        <v>112244</v>
      </c>
      <c r="D2195" s="136" t="s">
        <v>16108</v>
      </c>
      <c r="E2195" s="138">
        <v>123.9</v>
      </c>
      <c r="F2195" s="139">
        <v>42872</v>
      </c>
      <c r="G2195" s="140">
        <v>123.9</v>
      </c>
      <c r="H2195" s="138">
        <f t="shared" si="35"/>
        <v>0</v>
      </c>
      <c r="I2195" s="141" t="s">
        <v>15214</v>
      </c>
    </row>
    <row r="2196" spans="1:9" x14ac:dyDescent="0.25">
      <c r="A2196" s="167" t="s">
        <v>17619</v>
      </c>
      <c r="B2196" s="142" t="s">
        <v>17717</v>
      </c>
      <c r="C2196" s="143">
        <v>112245</v>
      </c>
      <c r="D2196" s="142" t="s">
        <v>15394</v>
      </c>
      <c r="E2196" s="144">
        <v>22786.2</v>
      </c>
      <c r="F2196" s="145">
        <v>42875</v>
      </c>
      <c r="G2196" s="146">
        <v>22786.2</v>
      </c>
      <c r="H2196" s="138">
        <f t="shared" si="35"/>
        <v>0</v>
      </c>
      <c r="I2196" s="147" t="s">
        <v>15214</v>
      </c>
    </row>
    <row r="2197" spans="1:9" x14ac:dyDescent="0.25">
      <c r="A2197" s="168" t="s">
        <v>17619</v>
      </c>
      <c r="B2197" s="136" t="s">
        <v>17718</v>
      </c>
      <c r="C2197" s="137">
        <v>112246</v>
      </c>
      <c r="D2197" s="136" t="s">
        <v>15389</v>
      </c>
      <c r="E2197" s="138">
        <v>11111.1</v>
      </c>
      <c r="F2197" s="139">
        <v>42881</v>
      </c>
      <c r="G2197" s="140">
        <v>11111.1</v>
      </c>
      <c r="H2197" s="138">
        <f t="shared" si="35"/>
        <v>0</v>
      </c>
      <c r="I2197" s="141" t="s">
        <v>15214</v>
      </c>
    </row>
    <row r="2198" spans="1:9" x14ac:dyDescent="0.25">
      <c r="A2198" s="167" t="s">
        <v>17619</v>
      </c>
      <c r="B2198" s="142" t="s">
        <v>17719</v>
      </c>
      <c r="C2198" s="143">
        <v>112247</v>
      </c>
      <c r="D2198" s="142" t="s">
        <v>15361</v>
      </c>
      <c r="E2198" s="144">
        <v>10580.4</v>
      </c>
      <c r="F2198" s="145">
        <v>42873</v>
      </c>
      <c r="G2198" s="146">
        <v>10580.4</v>
      </c>
      <c r="H2198" s="138">
        <f t="shared" si="35"/>
        <v>0</v>
      </c>
      <c r="I2198" s="147" t="s">
        <v>15214</v>
      </c>
    </row>
    <row r="2199" spans="1:9" x14ac:dyDescent="0.25">
      <c r="A2199" s="168" t="s">
        <v>17619</v>
      </c>
      <c r="B2199" s="136" t="s">
        <v>17720</v>
      </c>
      <c r="C2199" s="137">
        <v>112248</v>
      </c>
      <c r="D2199" s="136" t="s">
        <v>15382</v>
      </c>
      <c r="E2199" s="138">
        <v>13034.1</v>
      </c>
      <c r="F2199" s="157">
        <v>42892</v>
      </c>
      <c r="G2199" s="158">
        <v>13034.1</v>
      </c>
      <c r="H2199" s="138">
        <f t="shared" si="35"/>
        <v>0</v>
      </c>
      <c r="I2199" s="141" t="s">
        <v>15214</v>
      </c>
    </row>
    <row r="2200" spans="1:9" x14ac:dyDescent="0.25">
      <c r="A2200" s="167" t="s">
        <v>17619</v>
      </c>
      <c r="B2200" s="142" t="s">
        <v>17721</v>
      </c>
      <c r="C2200" s="143">
        <v>112249</v>
      </c>
      <c r="D2200" s="142" t="s">
        <v>17722</v>
      </c>
      <c r="E2200" s="144">
        <v>2889</v>
      </c>
      <c r="F2200" s="139">
        <v>42872</v>
      </c>
      <c r="G2200" s="146">
        <v>2889</v>
      </c>
      <c r="H2200" s="138">
        <f t="shared" si="35"/>
        <v>0</v>
      </c>
      <c r="I2200" s="147" t="s">
        <v>15214</v>
      </c>
    </row>
    <row r="2201" spans="1:9" x14ac:dyDescent="0.25">
      <c r="A2201" s="168" t="s">
        <v>17619</v>
      </c>
      <c r="B2201" s="136" t="s">
        <v>17723</v>
      </c>
      <c r="C2201" s="137">
        <v>112250</v>
      </c>
      <c r="D2201" s="136" t="s">
        <v>15407</v>
      </c>
      <c r="E2201" s="138">
        <v>7971</v>
      </c>
      <c r="F2201" s="139">
        <v>42872</v>
      </c>
      <c r="G2201" s="140">
        <v>7971</v>
      </c>
      <c r="H2201" s="138">
        <f t="shared" si="35"/>
        <v>0</v>
      </c>
      <c r="I2201" s="141" t="s">
        <v>15214</v>
      </c>
    </row>
    <row r="2202" spans="1:9" ht="15.75" x14ac:dyDescent="0.25">
      <c r="A2202" s="167" t="s">
        <v>17619</v>
      </c>
      <c r="B2202" s="142" t="s">
        <v>17724</v>
      </c>
      <c r="C2202" s="143">
        <v>112251</v>
      </c>
      <c r="D2202" s="142" t="s">
        <v>15369</v>
      </c>
      <c r="E2202" s="144">
        <v>0</v>
      </c>
      <c r="F2202" s="156" t="s">
        <v>95</v>
      </c>
      <c r="G2202" s="144">
        <v>0</v>
      </c>
      <c r="H2202" s="138">
        <f t="shared" si="35"/>
        <v>0</v>
      </c>
      <c r="I2202" s="147" t="s">
        <v>95</v>
      </c>
    </row>
    <row r="2203" spans="1:9" x14ac:dyDescent="0.25">
      <c r="A2203" s="168" t="s">
        <v>17619</v>
      </c>
      <c r="B2203" s="136" t="s">
        <v>17725</v>
      </c>
      <c r="C2203" s="137">
        <v>112252</v>
      </c>
      <c r="D2203" s="136" t="s">
        <v>15315</v>
      </c>
      <c r="E2203" s="138">
        <v>111</v>
      </c>
      <c r="F2203" s="139">
        <v>42872</v>
      </c>
      <c r="G2203" s="140">
        <v>111</v>
      </c>
      <c r="H2203" s="138">
        <f t="shared" si="35"/>
        <v>0</v>
      </c>
      <c r="I2203" s="141" t="s">
        <v>15214</v>
      </c>
    </row>
    <row r="2204" spans="1:9" ht="15.75" x14ac:dyDescent="0.25">
      <c r="A2204" s="167" t="s">
        <v>17619</v>
      </c>
      <c r="B2204" s="142" t="s">
        <v>17726</v>
      </c>
      <c r="C2204" s="143">
        <v>112253</v>
      </c>
      <c r="D2204" s="142" t="s">
        <v>15369</v>
      </c>
      <c r="E2204" s="144">
        <v>0</v>
      </c>
      <c r="F2204" s="156" t="s">
        <v>95</v>
      </c>
      <c r="G2204" s="144">
        <v>0</v>
      </c>
      <c r="H2204" s="138">
        <f t="shared" si="35"/>
        <v>0</v>
      </c>
      <c r="I2204" s="147" t="s">
        <v>95</v>
      </c>
    </row>
    <row r="2205" spans="1:9" x14ac:dyDescent="0.25">
      <c r="A2205" s="168" t="s">
        <v>17619</v>
      </c>
      <c r="B2205" s="136" t="s">
        <v>17727</v>
      </c>
      <c r="C2205" s="137">
        <v>112254</v>
      </c>
      <c r="D2205" s="136" t="s">
        <v>16093</v>
      </c>
      <c r="E2205" s="138">
        <v>2830.5</v>
      </c>
      <c r="F2205" s="139">
        <v>42875</v>
      </c>
      <c r="G2205" s="140">
        <v>2830.5</v>
      </c>
      <c r="H2205" s="138">
        <f t="shared" si="35"/>
        <v>0</v>
      </c>
      <c r="I2205" s="141" t="s">
        <v>15214</v>
      </c>
    </row>
    <row r="2206" spans="1:9" x14ac:dyDescent="0.25">
      <c r="A2206" s="167" t="s">
        <v>17619</v>
      </c>
      <c r="B2206" s="142" t="s">
        <v>17728</v>
      </c>
      <c r="C2206" s="143">
        <v>112255</v>
      </c>
      <c r="D2206" s="142" t="s">
        <v>16129</v>
      </c>
      <c r="E2206" s="144">
        <v>244.2</v>
      </c>
      <c r="F2206" s="139">
        <v>42872</v>
      </c>
      <c r="G2206" s="146">
        <v>244.2</v>
      </c>
      <c r="H2206" s="138">
        <f t="shared" si="35"/>
        <v>0</v>
      </c>
      <c r="I2206" s="147" t="s">
        <v>15214</v>
      </c>
    </row>
    <row r="2207" spans="1:9" x14ac:dyDescent="0.25">
      <c r="A2207" s="168" t="s">
        <v>17619</v>
      </c>
      <c r="B2207" s="136" t="s">
        <v>17729</v>
      </c>
      <c r="C2207" s="137">
        <v>112256</v>
      </c>
      <c r="D2207" s="136" t="s">
        <v>15748</v>
      </c>
      <c r="E2207" s="138">
        <v>1396.8</v>
      </c>
      <c r="F2207" s="139">
        <v>42879</v>
      </c>
      <c r="G2207" s="140">
        <v>1396.8</v>
      </c>
      <c r="H2207" s="138">
        <f t="shared" si="35"/>
        <v>0</v>
      </c>
      <c r="I2207" s="141" t="s">
        <v>15214</v>
      </c>
    </row>
    <row r="2208" spans="1:9" x14ac:dyDescent="0.25">
      <c r="A2208" s="167" t="s">
        <v>17619</v>
      </c>
      <c r="B2208" s="142" t="s">
        <v>17730</v>
      </c>
      <c r="C2208" s="143">
        <v>112257</v>
      </c>
      <c r="D2208" s="142" t="s">
        <v>15276</v>
      </c>
      <c r="E2208" s="144">
        <v>2400</v>
      </c>
      <c r="F2208" s="145">
        <v>42873</v>
      </c>
      <c r="G2208" s="146">
        <v>2400</v>
      </c>
      <c r="H2208" s="138">
        <f t="shared" si="35"/>
        <v>0</v>
      </c>
      <c r="I2208" s="147" t="s">
        <v>15214</v>
      </c>
    </row>
    <row r="2209" spans="1:9" x14ac:dyDescent="0.25">
      <c r="A2209" s="168" t="s">
        <v>17619</v>
      </c>
      <c r="B2209" s="136" t="s">
        <v>17731</v>
      </c>
      <c r="C2209" s="137">
        <v>112258</v>
      </c>
      <c r="D2209" s="136" t="s">
        <v>15417</v>
      </c>
      <c r="E2209" s="138">
        <v>2006.9</v>
      </c>
      <c r="F2209" s="139">
        <v>42873</v>
      </c>
      <c r="G2209" s="140">
        <v>2006.9</v>
      </c>
      <c r="H2209" s="138">
        <f t="shared" si="35"/>
        <v>0</v>
      </c>
      <c r="I2209" s="141" t="s">
        <v>15214</v>
      </c>
    </row>
    <row r="2210" spans="1:9" x14ac:dyDescent="0.25">
      <c r="A2210" s="167" t="s">
        <v>17619</v>
      </c>
      <c r="B2210" s="142" t="s">
        <v>17732</v>
      </c>
      <c r="C2210" s="143">
        <v>112259</v>
      </c>
      <c r="D2210" s="142" t="s">
        <v>15444</v>
      </c>
      <c r="E2210" s="144">
        <v>2210.1999999999998</v>
      </c>
      <c r="F2210" s="145">
        <v>42873</v>
      </c>
      <c r="G2210" s="146">
        <v>2210.1999999999998</v>
      </c>
      <c r="H2210" s="138">
        <f t="shared" si="35"/>
        <v>0</v>
      </c>
      <c r="I2210" s="147" t="s">
        <v>15214</v>
      </c>
    </row>
    <row r="2211" spans="1:9" x14ac:dyDescent="0.25">
      <c r="A2211" s="168" t="s">
        <v>17619</v>
      </c>
      <c r="B2211" s="136" t="s">
        <v>17733</v>
      </c>
      <c r="C2211" s="137">
        <v>112260</v>
      </c>
      <c r="D2211" s="136" t="s">
        <v>15309</v>
      </c>
      <c r="E2211" s="138">
        <v>0</v>
      </c>
      <c r="F2211" s="162" t="s">
        <v>95</v>
      </c>
      <c r="G2211" s="138">
        <v>0</v>
      </c>
      <c r="H2211" s="138">
        <f t="shared" si="35"/>
        <v>0</v>
      </c>
      <c r="I2211" s="141" t="s">
        <v>95</v>
      </c>
    </row>
    <row r="2212" spans="1:9" x14ac:dyDescent="0.25">
      <c r="A2212" s="167" t="s">
        <v>17619</v>
      </c>
      <c r="B2212" s="142" t="s">
        <v>17734</v>
      </c>
      <c r="C2212" s="143">
        <v>112261</v>
      </c>
      <c r="D2212" s="142" t="s">
        <v>15301</v>
      </c>
      <c r="E2212" s="144">
        <v>455</v>
      </c>
      <c r="F2212" s="145">
        <v>42873</v>
      </c>
      <c r="G2212" s="146">
        <v>455</v>
      </c>
      <c r="H2212" s="138">
        <f t="shared" si="35"/>
        <v>0</v>
      </c>
      <c r="I2212" s="147" t="s">
        <v>15214</v>
      </c>
    </row>
    <row r="2213" spans="1:9" x14ac:dyDescent="0.25">
      <c r="A2213" s="168" t="s">
        <v>17619</v>
      </c>
      <c r="B2213" s="136" t="s">
        <v>17735</v>
      </c>
      <c r="C2213" s="137">
        <v>112262</v>
      </c>
      <c r="D2213" s="136" t="s">
        <v>15307</v>
      </c>
      <c r="E2213" s="138">
        <v>1752.8</v>
      </c>
      <c r="F2213" s="139">
        <v>42873</v>
      </c>
      <c r="G2213" s="140">
        <v>1752.8</v>
      </c>
      <c r="H2213" s="138">
        <f t="shared" si="35"/>
        <v>0</v>
      </c>
      <c r="I2213" s="141" t="s">
        <v>15214</v>
      </c>
    </row>
    <row r="2214" spans="1:9" x14ac:dyDescent="0.25">
      <c r="A2214" s="167" t="s">
        <v>17619</v>
      </c>
      <c r="B2214" s="142" t="s">
        <v>17736</v>
      </c>
      <c r="C2214" s="143">
        <v>112263</v>
      </c>
      <c r="D2214" s="142" t="s">
        <v>16958</v>
      </c>
      <c r="E2214" s="144">
        <v>2796.8</v>
      </c>
      <c r="F2214" s="145">
        <v>42873</v>
      </c>
      <c r="G2214" s="146">
        <v>2796.8</v>
      </c>
      <c r="H2214" s="138">
        <f t="shared" si="35"/>
        <v>0</v>
      </c>
      <c r="I2214" s="147" t="s">
        <v>15214</v>
      </c>
    </row>
    <row r="2215" spans="1:9" x14ac:dyDescent="0.25">
      <c r="A2215" s="168" t="s">
        <v>17619</v>
      </c>
      <c r="B2215" s="136" t="s">
        <v>17737</v>
      </c>
      <c r="C2215" s="137">
        <v>112264</v>
      </c>
      <c r="D2215" s="136" t="s">
        <v>15745</v>
      </c>
      <c r="E2215" s="138">
        <v>1198.3599999999999</v>
      </c>
      <c r="F2215" s="139">
        <v>42873</v>
      </c>
      <c r="G2215" s="140">
        <v>1198.3599999999999</v>
      </c>
      <c r="H2215" s="138">
        <f t="shared" si="35"/>
        <v>0</v>
      </c>
      <c r="I2215" s="141" t="s">
        <v>15214</v>
      </c>
    </row>
    <row r="2216" spans="1:9" x14ac:dyDescent="0.25">
      <c r="A2216" s="167" t="s">
        <v>17619</v>
      </c>
      <c r="B2216" s="142" t="s">
        <v>17738</v>
      </c>
      <c r="C2216" s="143">
        <v>112265</v>
      </c>
      <c r="D2216" s="142" t="s">
        <v>15311</v>
      </c>
      <c r="E2216" s="144">
        <v>1254.5999999999999</v>
      </c>
      <c r="F2216" s="145">
        <v>42873</v>
      </c>
      <c r="G2216" s="146">
        <v>1254.5999999999999</v>
      </c>
      <c r="H2216" s="138">
        <f t="shared" si="35"/>
        <v>0</v>
      </c>
      <c r="I2216" s="147" t="s">
        <v>15214</v>
      </c>
    </row>
    <row r="2217" spans="1:9" x14ac:dyDescent="0.25">
      <c r="A2217" s="168" t="s">
        <v>17619</v>
      </c>
      <c r="B2217" s="136" t="s">
        <v>17739</v>
      </c>
      <c r="C2217" s="137">
        <v>112266</v>
      </c>
      <c r="D2217" s="136" t="s">
        <v>15315</v>
      </c>
      <c r="E2217" s="138">
        <v>352.5</v>
      </c>
      <c r="F2217" s="139">
        <v>42873</v>
      </c>
      <c r="G2217" s="140">
        <v>352.5</v>
      </c>
      <c r="H2217" s="138">
        <f t="shared" si="35"/>
        <v>0</v>
      </c>
      <c r="I2217" s="141" t="s">
        <v>15214</v>
      </c>
    </row>
    <row r="2218" spans="1:9" x14ac:dyDescent="0.25">
      <c r="A2218" s="167" t="s">
        <v>17619</v>
      </c>
      <c r="B2218" s="142" t="s">
        <v>17740</v>
      </c>
      <c r="C2218" s="143">
        <v>112267</v>
      </c>
      <c r="D2218" s="142" t="s">
        <v>15284</v>
      </c>
      <c r="E2218" s="144">
        <v>1930.8</v>
      </c>
      <c r="F2218" s="139">
        <v>42872</v>
      </c>
      <c r="G2218" s="146">
        <v>1930.8</v>
      </c>
      <c r="H2218" s="138">
        <f t="shared" si="35"/>
        <v>0</v>
      </c>
      <c r="I2218" s="147" t="s">
        <v>15214</v>
      </c>
    </row>
    <row r="2219" spans="1:9" x14ac:dyDescent="0.25">
      <c r="A2219" s="168" t="s">
        <v>17619</v>
      </c>
      <c r="B2219" s="136" t="s">
        <v>17741</v>
      </c>
      <c r="C2219" s="137">
        <v>112268</v>
      </c>
      <c r="D2219" s="136" t="s">
        <v>15789</v>
      </c>
      <c r="E2219" s="138">
        <v>34460.400000000001</v>
      </c>
      <c r="F2219" s="139">
        <v>42879</v>
      </c>
      <c r="G2219" s="140">
        <v>34460.400000000001</v>
      </c>
      <c r="H2219" s="138">
        <f t="shared" si="35"/>
        <v>0</v>
      </c>
      <c r="I2219" s="141" t="s">
        <v>15214</v>
      </c>
    </row>
    <row r="2220" spans="1:9" x14ac:dyDescent="0.25">
      <c r="A2220" s="167" t="s">
        <v>17619</v>
      </c>
      <c r="B2220" s="142" t="s">
        <v>17742</v>
      </c>
      <c r="C2220" s="143">
        <v>112269</v>
      </c>
      <c r="D2220" s="142" t="s">
        <v>15315</v>
      </c>
      <c r="E2220" s="144">
        <v>412.8</v>
      </c>
      <c r="F2220" s="139">
        <v>42872</v>
      </c>
      <c r="G2220" s="146">
        <v>412.8</v>
      </c>
      <c r="H2220" s="138">
        <f t="shared" si="35"/>
        <v>0</v>
      </c>
      <c r="I2220" s="147" t="s">
        <v>15214</v>
      </c>
    </row>
    <row r="2221" spans="1:9" x14ac:dyDescent="0.25">
      <c r="A2221" s="168" t="s">
        <v>17619</v>
      </c>
      <c r="B2221" s="136" t="s">
        <v>17743</v>
      </c>
      <c r="C2221" s="137">
        <v>112270</v>
      </c>
      <c r="D2221" s="136" t="s">
        <v>15246</v>
      </c>
      <c r="E2221" s="138">
        <v>190877.34</v>
      </c>
      <c r="F2221" s="139">
        <v>42873</v>
      </c>
      <c r="G2221" s="140">
        <v>190877.34</v>
      </c>
      <c r="H2221" s="138">
        <f t="shared" si="35"/>
        <v>0</v>
      </c>
      <c r="I2221" s="141" t="s">
        <v>15214</v>
      </c>
    </row>
    <row r="2222" spans="1:9" x14ac:dyDescent="0.25">
      <c r="A2222" s="167" t="s">
        <v>17619</v>
      </c>
      <c r="B2222" s="142" t="s">
        <v>17744</v>
      </c>
      <c r="C2222" s="143">
        <v>112271</v>
      </c>
      <c r="D2222" s="142" t="s">
        <v>15263</v>
      </c>
      <c r="E2222" s="144">
        <v>1701</v>
      </c>
      <c r="F2222" s="139">
        <v>42872</v>
      </c>
      <c r="G2222" s="146">
        <v>1701</v>
      </c>
      <c r="H2222" s="138">
        <f t="shared" si="35"/>
        <v>0</v>
      </c>
      <c r="I2222" s="147" t="s">
        <v>15214</v>
      </c>
    </row>
    <row r="2223" spans="1:9" x14ac:dyDescent="0.25">
      <c r="A2223" s="168" t="s">
        <v>17619</v>
      </c>
      <c r="B2223" s="136" t="s">
        <v>17745</v>
      </c>
      <c r="C2223" s="137">
        <v>112272</v>
      </c>
      <c r="D2223" s="136" t="s">
        <v>15365</v>
      </c>
      <c r="E2223" s="138">
        <v>215344</v>
      </c>
      <c r="F2223" s="139">
        <v>42875</v>
      </c>
      <c r="G2223" s="140">
        <v>215344</v>
      </c>
      <c r="H2223" s="138">
        <f t="shared" si="35"/>
        <v>0</v>
      </c>
      <c r="I2223" s="141" t="s">
        <v>15214</v>
      </c>
    </row>
    <row r="2224" spans="1:9" x14ac:dyDescent="0.25">
      <c r="A2224" s="167" t="s">
        <v>17619</v>
      </c>
      <c r="B2224" s="142" t="s">
        <v>17746</v>
      </c>
      <c r="C2224" s="143">
        <v>112273</v>
      </c>
      <c r="D2224" s="142" t="s">
        <v>15246</v>
      </c>
      <c r="E2224" s="144">
        <v>226138.68</v>
      </c>
      <c r="F2224" s="145">
        <v>42873</v>
      </c>
      <c r="G2224" s="146">
        <v>226138.68</v>
      </c>
      <c r="H2224" s="138">
        <f t="shared" si="35"/>
        <v>0</v>
      </c>
      <c r="I2224" s="147" t="s">
        <v>15214</v>
      </c>
    </row>
    <row r="2225" spans="1:9" x14ac:dyDescent="0.25">
      <c r="A2225" s="168" t="s">
        <v>17619</v>
      </c>
      <c r="B2225" s="136" t="s">
        <v>17747</v>
      </c>
      <c r="C2225" s="137">
        <v>112274</v>
      </c>
      <c r="D2225" s="136" t="s">
        <v>15267</v>
      </c>
      <c r="E2225" s="138">
        <v>92409.82</v>
      </c>
      <c r="F2225" s="157">
        <v>42892</v>
      </c>
      <c r="G2225" s="158">
        <v>92409.82</v>
      </c>
      <c r="H2225" s="138">
        <f t="shared" si="35"/>
        <v>0</v>
      </c>
      <c r="I2225" s="141" t="s">
        <v>15214</v>
      </c>
    </row>
    <row r="2226" spans="1:9" x14ac:dyDescent="0.25">
      <c r="A2226" s="167" t="s">
        <v>17619</v>
      </c>
      <c r="B2226" s="142" t="s">
        <v>17748</v>
      </c>
      <c r="C2226" s="143">
        <v>112275</v>
      </c>
      <c r="D2226" s="142" t="s">
        <v>15320</v>
      </c>
      <c r="E2226" s="144">
        <v>2677.2</v>
      </c>
      <c r="F2226" s="145">
        <v>42873</v>
      </c>
      <c r="G2226" s="146">
        <v>2677.2</v>
      </c>
      <c r="H2226" s="138">
        <f t="shared" si="35"/>
        <v>0</v>
      </c>
      <c r="I2226" s="147" t="s">
        <v>15214</v>
      </c>
    </row>
    <row r="2227" spans="1:9" x14ac:dyDescent="0.25">
      <c r="A2227" s="168" t="s">
        <v>17619</v>
      </c>
      <c r="B2227" s="136" t="s">
        <v>17749</v>
      </c>
      <c r="C2227" s="137">
        <v>112276</v>
      </c>
      <c r="D2227" s="136" t="s">
        <v>15409</v>
      </c>
      <c r="E2227" s="138">
        <v>3850</v>
      </c>
      <c r="F2227" s="139">
        <v>42872</v>
      </c>
      <c r="G2227" s="140">
        <v>3850</v>
      </c>
      <c r="H2227" s="138">
        <f t="shared" si="35"/>
        <v>0</v>
      </c>
      <c r="I2227" s="141" t="s">
        <v>15214</v>
      </c>
    </row>
    <row r="2228" spans="1:9" x14ac:dyDescent="0.25">
      <c r="A2228" s="167" t="s">
        <v>17619</v>
      </c>
      <c r="B2228" s="142" t="s">
        <v>17750</v>
      </c>
      <c r="C2228" s="143">
        <v>112277</v>
      </c>
      <c r="D2228" s="142" t="s">
        <v>15369</v>
      </c>
      <c r="E2228" s="144">
        <v>12448.8</v>
      </c>
      <c r="F2228" s="148">
        <v>42892</v>
      </c>
      <c r="G2228" s="149">
        <v>12448.8</v>
      </c>
      <c r="H2228" s="138">
        <f t="shared" si="35"/>
        <v>0</v>
      </c>
      <c r="I2228" s="147" t="s">
        <v>15214</v>
      </c>
    </row>
    <row r="2229" spans="1:9" ht="15.75" x14ac:dyDescent="0.25">
      <c r="A2229" s="168" t="s">
        <v>17619</v>
      </c>
      <c r="B2229" s="136" t="s">
        <v>17751</v>
      </c>
      <c r="C2229" s="137">
        <v>112278</v>
      </c>
      <c r="D2229" s="136" t="s">
        <v>15435</v>
      </c>
      <c r="E2229" s="138">
        <v>0</v>
      </c>
      <c r="F2229" s="153" t="s">
        <v>95</v>
      </c>
      <c r="G2229" s="138">
        <v>0</v>
      </c>
      <c r="H2229" s="138">
        <f t="shared" si="35"/>
        <v>0</v>
      </c>
      <c r="I2229" s="141" t="s">
        <v>95</v>
      </c>
    </row>
    <row r="2230" spans="1:9" x14ac:dyDescent="0.25">
      <c r="A2230" s="167" t="s">
        <v>17619</v>
      </c>
      <c r="B2230" s="142" t="s">
        <v>17752</v>
      </c>
      <c r="C2230" s="143">
        <v>112279</v>
      </c>
      <c r="D2230" s="142" t="s">
        <v>15435</v>
      </c>
      <c r="E2230" s="144">
        <v>8969.2000000000007</v>
      </c>
      <c r="F2230" s="139">
        <v>42872</v>
      </c>
      <c r="G2230" s="146">
        <v>8969.2000000000007</v>
      </c>
      <c r="H2230" s="138">
        <f t="shared" si="35"/>
        <v>0</v>
      </c>
      <c r="I2230" s="147" t="s">
        <v>15214</v>
      </c>
    </row>
    <row r="2231" spans="1:9" x14ac:dyDescent="0.25">
      <c r="A2231" s="168" t="s">
        <v>17619</v>
      </c>
      <c r="B2231" s="136" t="s">
        <v>17753</v>
      </c>
      <c r="C2231" s="137">
        <v>112280</v>
      </c>
      <c r="D2231" s="136" t="s">
        <v>15642</v>
      </c>
      <c r="E2231" s="138">
        <v>6451.2</v>
      </c>
      <c r="F2231" s="139">
        <v>42872</v>
      </c>
      <c r="G2231" s="140">
        <v>6451.2</v>
      </c>
      <c r="H2231" s="138">
        <f t="shared" si="35"/>
        <v>0</v>
      </c>
      <c r="I2231" s="141" t="s">
        <v>15214</v>
      </c>
    </row>
    <row r="2232" spans="1:9" x14ac:dyDescent="0.25">
      <c r="A2232" s="167" t="s">
        <v>17619</v>
      </c>
      <c r="B2232" s="142" t="s">
        <v>17754</v>
      </c>
      <c r="C2232" s="143">
        <v>112281</v>
      </c>
      <c r="D2232" s="142" t="s">
        <v>15246</v>
      </c>
      <c r="E2232" s="144">
        <v>73170.7</v>
      </c>
      <c r="F2232" s="145">
        <v>42873</v>
      </c>
      <c r="G2232" s="146">
        <v>73170.7</v>
      </c>
      <c r="H2232" s="138">
        <f t="shared" si="35"/>
        <v>0</v>
      </c>
      <c r="I2232" s="147" t="s">
        <v>15214</v>
      </c>
    </row>
    <row r="2233" spans="1:9" x14ac:dyDescent="0.25">
      <c r="A2233" s="168" t="s">
        <v>17619</v>
      </c>
      <c r="B2233" s="136" t="s">
        <v>17755</v>
      </c>
      <c r="C2233" s="137">
        <v>112282</v>
      </c>
      <c r="D2233" s="136" t="s">
        <v>15246</v>
      </c>
      <c r="E2233" s="138">
        <v>1200</v>
      </c>
      <c r="F2233" s="139" t="s">
        <v>17756</v>
      </c>
      <c r="G2233" s="140">
        <f>1105.14+94.86</f>
        <v>1200</v>
      </c>
      <c r="H2233" s="138">
        <f t="shared" si="35"/>
        <v>0</v>
      </c>
      <c r="I2233" s="141" t="s">
        <v>15214</v>
      </c>
    </row>
    <row r="2234" spans="1:9" x14ac:dyDescent="0.25">
      <c r="A2234" s="167" t="s">
        <v>17757</v>
      </c>
      <c r="B2234" s="142" t="s">
        <v>17758</v>
      </c>
      <c r="C2234" s="143">
        <v>112283</v>
      </c>
      <c r="D2234" s="142" t="s">
        <v>15213</v>
      </c>
      <c r="E2234" s="144">
        <v>8903.1</v>
      </c>
      <c r="F2234" s="145">
        <v>42874</v>
      </c>
      <c r="G2234" s="146">
        <v>8903.1</v>
      </c>
      <c r="H2234" s="138">
        <f t="shared" si="35"/>
        <v>0</v>
      </c>
      <c r="I2234" s="147" t="s">
        <v>15214</v>
      </c>
    </row>
    <row r="2235" spans="1:9" ht="15.75" x14ac:dyDescent="0.25">
      <c r="A2235" s="168" t="s">
        <v>17757</v>
      </c>
      <c r="B2235" s="136" t="s">
        <v>17759</v>
      </c>
      <c r="C2235" s="137">
        <v>112284</v>
      </c>
      <c r="D2235" s="136" t="s">
        <v>15213</v>
      </c>
      <c r="E2235" s="138">
        <v>0</v>
      </c>
      <c r="F2235" s="153" t="s">
        <v>95</v>
      </c>
      <c r="G2235" s="138">
        <v>0</v>
      </c>
      <c r="H2235" s="138">
        <f t="shared" si="35"/>
        <v>0</v>
      </c>
      <c r="I2235" s="141" t="s">
        <v>95</v>
      </c>
    </row>
    <row r="2236" spans="1:9" x14ac:dyDescent="0.25">
      <c r="A2236" s="167" t="s">
        <v>17757</v>
      </c>
      <c r="B2236" s="142" t="s">
        <v>17760</v>
      </c>
      <c r="C2236" s="143">
        <v>112285</v>
      </c>
      <c r="D2236" s="142" t="s">
        <v>15213</v>
      </c>
      <c r="E2236" s="144">
        <v>36368.6</v>
      </c>
      <c r="F2236" s="145" t="s">
        <v>17761</v>
      </c>
      <c r="G2236" s="146">
        <f>31000+5368.6</f>
        <v>36368.6</v>
      </c>
      <c r="H2236" s="138">
        <f t="shared" si="35"/>
        <v>0</v>
      </c>
      <c r="I2236" s="147" t="s">
        <v>15214</v>
      </c>
    </row>
    <row r="2237" spans="1:9" x14ac:dyDescent="0.25">
      <c r="A2237" s="168" t="s">
        <v>17757</v>
      </c>
      <c r="B2237" s="136" t="s">
        <v>17762</v>
      </c>
      <c r="C2237" s="137">
        <v>112286</v>
      </c>
      <c r="D2237" s="136" t="s">
        <v>15220</v>
      </c>
      <c r="E2237" s="138">
        <v>2160</v>
      </c>
      <c r="F2237" s="139">
        <v>42873</v>
      </c>
      <c r="G2237" s="140">
        <v>2160</v>
      </c>
      <c r="H2237" s="138">
        <f t="shared" si="35"/>
        <v>0</v>
      </c>
      <c r="I2237" s="141" t="s">
        <v>15214</v>
      </c>
    </row>
    <row r="2238" spans="1:9" x14ac:dyDescent="0.25">
      <c r="A2238" s="167" t="s">
        <v>17757</v>
      </c>
      <c r="B2238" s="142" t="s">
        <v>17763</v>
      </c>
      <c r="C2238" s="143">
        <v>112287</v>
      </c>
      <c r="D2238" s="142" t="s">
        <v>15324</v>
      </c>
      <c r="E2238" s="144">
        <v>1713</v>
      </c>
      <c r="F2238" s="145">
        <v>42873</v>
      </c>
      <c r="G2238" s="146">
        <v>1713</v>
      </c>
      <c r="H2238" s="138">
        <f t="shared" si="35"/>
        <v>0</v>
      </c>
      <c r="I2238" s="147" t="s">
        <v>15214</v>
      </c>
    </row>
    <row r="2239" spans="1:9" x14ac:dyDescent="0.25">
      <c r="A2239" s="168" t="s">
        <v>17757</v>
      </c>
      <c r="B2239" s="136" t="s">
        <v>17764</v>
      </c>
      <c r="C2239" s="137">
        <v>112288</v>
      </c>
      <c r="D2239" s="136" t="s">
        <v>15523</v>
      </c>
      <c r="E2239" s="138">
        <v>2160</v>
      </c>
      <c r="F2239" s="139">
        <v>42873</v>
      </c>
      <c r="G2239" s="140">
        <v>2160</v>
      </c>
      <c r="H2239" s="138">
        <f t="shared" si="35"/>
        <v>0</v>
      </c>
      <c r="I2239" s="141" t="s">
        <v>15214</v>
      </c>
    </row>
    <row r="2240" spans="1:9" x14ac:dyDescent="0.25">
      <c r="A2240" s="167" t="s">
        <v>17757</v>
      </c>
      <c r="B2240" s="142" t="s">
        <v>17765</v>
      </c>
      <c r="C2240" s="143">
        <v>112289</v>
      </c>
      <c r="D2240" s="142" t="s">
        <v>15230</v>
      </c>
      <c r="E2240" s="144">
        <v>8781.9</v>
      </c>
      <c r="F2240" s="145">
        <v>42877</v>
      </c>
      <c r="G2240" s="146">
        <v>8781.9</v>
      </c>
      <c r="H2240" s="138">
        <f t="shared" si="35"/>
        <v>0</v>
      </c>
      <c r="I2240" s="147" t="s">
        <v>15214</v>
      </c>
    </row>
    <row r="2241" spans="1:9" x14ac:dyDescent="0.25">
      <c r="A2241" s="168" t="s">
        <v>17757</v>
      </c>
      <c r="B2241" s="136" t="s">
        <v>17766</v>
      </c>
      <c r="C2241" s="137">
        <v>112290</v>
      </c>
      <c r="D2241" s="136" t="s">
        <v>15232</v>
      </c>
      <c r="E2241" s="138">
        <v>5840</v>
      </c>
      <c r="F2241" s="139">
        <v>42880</v>
      </c>
      <c r="G2241" s="140">
        <v>5840</v>
      </c>
      <c r="H2241" s="138">
        <f t="shared" si="35"/>
        <v>0</v>
      </c>
      <c r="I2241" s="141" t="s">
        <v>15214</v>
      </c>
    </row>
    <row r="2242" spans="1:9" x14ac:dyDescent="0.25">
      <c r="A2242" s="167" t="s">
        <v>17757</v>
      </c>
      <c r="B2242" s="142" t="s">
        <v>17767</v>
      </c>
      <c r="C2242" s="143">
        <v>112291</v>
      </c>
      <c r="D2242" s="142" t="s">
        <v>15596</v>
      </c>
      <c r="E2242" s="144">
        <v>960</v>
      </c>
      <c r="F2242" s="145">
        <v>42873</v>
      </c>
      <c r="G2242" s="146">
        <v>960</v>
      </c>
      <c r="H2242" s="138">
        <f t="shared" si="35"/>
        <v>0</v>
      </c>
      <c r="I2242" s="147" t="s">
        <v>15214</v>
      </c>
    </row>
    <row r="2243" spans="1:9" x14ac:dyDescent="0.25">
      <c r="A2243" s="168" t="s">
        <v>17757</v>
      </c>
      <c r="B2243" s="136" t="s">
        <v>17768</v>
      </c>
      <c r="C2243" s="137">
        <v>112292</v>
      </c>
      <c r="D2243" s="136" t="s">
        <v>16522</v>
      </c>
      <c r="E2243" s="138">
        <v>5913.6</v>
      </c>
      <c r="F2243" s="139">
        <v>42926</v>
      </c>
      <c r="G2243" s="140">
        <v>5913.6</v>
      </c>
      <c r="H2243" s="138">
        <f t="shared" si="35"/>
        <v>0</v>
      </c>
      <c r="I2243" s="141" t="s">
        <v>15214</v>
      </c>
    </row>
    <row r="2244" spans="1:9" ht="15.75" x14ac:dyDescent="0.25">
      <c r="A2244" s="167" t="s">
        <v>17757</v>
      </c>
      <c r="B2244" s="142" t="s">
        <v>17769</v>
      </c>
      <c r="C2244" s="143">
        <v>112293</v>
      </c>
      <c r="D2244" s="142" t="s">
        <v>15480</v>
      </c>
      <c r="E2244" s="144">
        <v>0</v>
      </c>
      <c r="F2244" s="156" t="s">
        <v>95</v>
      </c>
      <c r="G2244" s="144">
        <v>0</v>
      </c>
      <c r="H2244" s="138">
        <f t="shared" si="35"/>
        <v>0</v>
      </c>
      <c r="I2244" s="147" t="s">
        <v>95</v>
      </c>
    </row>
    <row r="2245" spans="1:9" x14ac:dyDescent="0.25">
      <c r="A2245" s="168" t="s">
        <v>17757</v>
      </c>
      <c r="B2245" s="136" t="s">
        <v>17770</v>
      </c>
      <c r="C2245" s="137">
        <v>112294</v>
      </c>
      <c r="D2245" s="136" t="s">
        <v>15256</v>
      </c>
      <c r="E2245" s="138">
        <v>2872.8</v>
      </c>
      <c r="F2245" s="139">
        <v>42874</v>
      </c>
      <c r="G2245" s="140">
        <v>2872.8</v>
      </c>
      <c r="H2245" s="138">
        <f t="shared" ref="H2245:H2308" si="36">E2245-G2245</f>
        <v>0</v>
      </c>
      <c r="I2245" s="141" t="s">
        <v>15214</v>
      </c>
    </row>
    <row r="2246" spans="1:9" x14ac:dyDescent="0.25">
      <c r="A2246" s="167" t="s">
        <v>17757</v>
      </c>
      <c r="B2246" s="142" t="s">
        <v>17771</v>
      </c>
      <c r="C2246" s="143">
        <v>112295</v>
      </c>
      <c r="D2246" s="142" t="s">
        <v>15234</v>
      </c>
      <c r="E2246" s="144">
        <v>3835.5</v>
      </c>
      <c r="F2246" s="145">
        <v>42877</v>
      </c>
      <c r="G2246" s="146">
        <v>3835.5</v>
      </c>
      <c r="H2246" s="138">
        <f t="shared" si="36"/>
        <v>0</v>
      </c>
      <c r="I2246" s="147" t="s">
        <v>15214</v>
      </c>
    </row>
    <row r="2247" spans="1:9" x14ac:dyDescent="0.25">
      <c r="A2247" s="168" t="s">
        <v>17757</v>
      </c>
      <c r="B2247" s="136" t="s">
        <v>17772</v>
      </c>
      <c r="C2247" s="137">
        <v>112296</v>
      </c>
      <c r="D2247" s="136" t="s">
        <v>5575</v>
      </c>
      <c r="E2247" s="138">
        <v>3175.2</v>
      </c>
      <c r="F2247" s="139">
        <v>42874</v>
      </c>
      <c r="G2247" s="140">
        <v>3175.2</v>
      </c>
      <c r="H2247" s="138">
        <f t="shared" si="36"/>
        <v>0</v>
      </c>
      <c r="I2247" s="141" t="s">
        <v>15214</v>
      </c>
    </row>
    <row r="2248" spans="1:9" x14ac:dyDescent="0.25">
      <c r="A2248" s="167" t="s">
        <v>17757</v>
      </c>
      <c r="B2248" s="142" t="s">
        <v>17773</v>
      </c>
      <c r="C2248" s="143">
        <v>112297</v>
      </c>
      <c r="D2248" s="142" t="s">
        <v>15480</v>
      </c>
      <c r="E2248" s="144">
        <v>3159</v>
      </c>
      <c r="F2248" s="145">
        <v>42877</v>
      </c>
      <c r="G2248" s="146">
        <v>3159</v>
      </c>
      <c r="H2248" s="138">
        <f t="shared" si="36"/>
        <v>0</v>
      </c>
      <c r="I2248" s="147" t="s">
        <v>15214</v>
      </c>
    </row>
    <row r="2249" spans="1:9" x14ac:dyDescent="0.25">
      <c r="A2249" s="168" t="s">
        <v>17757</v>
      </c>
      <c r="B2249" s="136" t="s">
        <v>17774</v>
      </c>
      <c r="C2249" s="137">
        <v>112298</v>
      </c>
      <c r="D2249" s="136" t="s">
        <v>15348</v>
      </c>
      <c r="E2249" s="138">
        <v>3510.4</v>
      </c>
      <c r="F2249" s="139">
        <v>42875</v>
      </c>
      <c r="G2249" s="140">
        <v>3510.4</v>
      </c>
      <c r="H2249" s="138">
        <f t="shared" si="36"/>
        <v>0</v>
      </c>
      <c r="I2249" s="141" t="s">
        <v>15214</v>
      </c>
    </row>
    <row r="2250" spans="1:9" x14ac:dyDescent="0.25">
      <c r="A2250" s="167" t="s">
        <v>17757</v>
      </c>
      <c r="B2250" s="142" t="s">
        <v>17775</v>
      </c>
      <c r="C2250" s="143">
        <v>112299</v>
      </c>
      <c r="D2250" s="142" t="s">
        <v>15258</v>
      </c>
      <c r="E2250" s="144">
        <v>9921.6</v>
      </c>
      <c r="F2250" s="145">
        <v>42877</v>
      </c>
      <c r="G2250" s="146">
        <v>9921.6</v>
      </c>
      <c r="H2250" s="138">
        <f t="shared" si="36"/>
        <v>0</v>
      </c>
      <c r="I2250" s="147" t="s">
        <v>15214</v>
      </c>
    </row>
    <row r="2251" spans="1:9" ht="15.75" x14ac:dyDescent="0.25">
      <c r="A2251" s="168" t="s">
        <v>17757</v>
      </c>
      <c r="B2251" s="136" t="s">
        <v>17776</v>
      </c>
      <c r="C2251" s="137">
        <v>112300</v>
      </c>
      <c r="D2251" s="136" t="s">
        <v>15238</v>
      </c>
      <c r="E2251" s="138">
        <v>0</v>
      </c>
      <c r="F2251" s="153" t="s">
        <v>95</v>
      </c>
      <c r="G2251" s="138">
        <v>0</v>
      </c>
      <c r="H2251" s="138">
        <f t="shared" si="36"/>
        <v>0</v>
      </c>
      <c r="I2251" s="141" t="s">
        <v>95</v>
      </c>
    </row>
    <row r="2252" spans="1:9" x14ac:dyDescent="0.25">
      <c r="A2252" s="167" t="s">
        <v>17757</v>
      </c>
      <c r="B2252" s="142" t="s">
        <v>17777</v>
      </c>
      <c r="C2252" s="143">
        <v>112301</v>
      </c>
      <c r="D2252" s="142" t="s">
        <v>15238</v>
      </c>
      <c r="E2252" s="144">
        <v>3937.4</v>
      </c>
      <c r="F2252" s="145">
        <v>42877</v>
      </c>
      <c r="G2252" s="146">
        <v>3937.4</v>
      </c>
      <c r="H2252" s="138">
        <f t="shared" si="36"/>
        <v>0</v>
      </c>
      <c r="I2252" s="147" t="s">
        <v>15214</v>
      </c>
    </row>
    <row r="2253" spans="1:9" x14ac:dyDescent="0.25">
      <c r="A2253" s="168" t="s">
        <v>17757</v>
      </c>
      <c r="B2253" s="136" t="s">
        <v>17778</v>
      </c>
      <c r="C2253" s="137">
        <v>112302</v>
      </c>
      <c r="D2253" s="136" t="s">
        <v>15240</v>
      </c>
      <c r="E2253" s="138">
        <v>3455.1</v>
      </c>
      <c r="F2253" s="139">
        <v>42874</v>
      </c>
      <c r="G2253" s="140">
        <v>3455.1</v>
      </c>
      <c r="H2253" s="138">
        <f t="shared" si="36"/>
        <v>0</v>
      </c>
      <c r="I2253" s="141" t="s">
        <v>15214</v>
      </c>
    </row>
    <row r="2254" spans="1:9" x14ac:dyDescent="0.25">
      <c r="A2254" s="167" t="s">
        <v>17757</v>
      </c>
      <c r="B2254" s="142" t="s">
        <v>17779</v>
      </c>
      <c r="C2254" s="143">
        <v>112303</v>
      </c>
      <c r="D2254" s="142" t="s">
        <v>15242</v>
      </c>
      <c r="E2254" s="144">
        <v>13500</v>
      </c>
      <c r="F2254" s="145">
        <v>42874</v>
      </c>
      <c r="G2254" s="146">
        <v>13500</v>
      </c>
      <c r="H2254" s="138">
        <f t="shared" si="36"/>
        <v>0</v>
      </c>
      <c r="I2254" s="147" t="s">
        <v>15214</v>
      </c>
    </row>
    <row r="2255" spans="1:9" x14ac:dyDescent="0.25">
      <c r="A2255" s="168" t="s">
        <v>17757</v>
      </c>
      <c r="B2255" s="136" t="s">
        <v>17780</v>
      </c>
      <c r="C2255" s="137">
        <v>112304</v>
      </c>
      <c r="D2255" s="136" t="s">
        <v>15328</v>
      </c>
      <c r="E2255" s="138">
        <v>25013.7</v>
      </c>
      <c r="F2255" s="157">
        <v>42887</v>
      </c>
      <c r="G2255" s="158">
        <v>25013.7</v>
      </c>
      <c r="H2255" s="138">
        <f t="shared" si="36"/>
        <v>0</v>
      </c>
      <c r="I2255" s="141" t="s">
        <v>15214</v>
      </c>
    </row>
    <row r="2256" spans="1:9" x14ac:dyDescent="0.25">
      <c r="A2256" s="167" t="s">
        <v>17757</v>
      </c>
      <c r="B2256" s="142" t="s">
        <v>17781</v>
      </c>
      <c r="C2256" s="143">
        <v>112305</v>
      </c>
      <c r="D2256" s="142" t="s">
        <v>15226</v>
      </c>
      <c r="E2256" s="144">
        <v>1300.8</v>
      </c>
      <c r="F2256" s="145">
        <v>42875</v>
      </c>
      <c r="G2256" s="146">
        <v>1300.8</v>
      </c>
      <c r="H2256" s="138">
        <f t="shared" si="36"/>
        <v>0</v>
      </c>
      <c r="I2256" s="147" t="s">
        <v>15214</v>
      </c>
    </row>
    <row r="2257" spans="1:9" ht="15.75" x14ac:dyDescent="0.25">
      <c r="A2257" s="168" t="s">
        <v>17757</v>
      </c>
      <c r="B2257" s="136" t="s">
        <v>17782</v>
      </c>
      <c r="C2257" s="137">
        <v>112306</v>
      </c>
      <c r="D2257" s="136" t="s">
        <v>15332</v>
      </c>
      <c r="E2257" s="138">
        <v>0</v>
      </c>
      <c r="F2257" s="153" t="s">
        <v>95</v>
      </c>
      <c r="G2257" s="138">
        <v>0</v>
      </c>
      <c r="H2257" s="138">
        <f t="shared" si="36"/>
        <v>0</v>
      </c>
      <c r="I2257" s="141" t="s">
        <v>95</v>
      </c>
    </row>
    <row r="2258" spans="1:9" x14ac:dyDescent="0.25">
      <c r="A2258" s="167" t="s">
        <v>17757</v>
      </c>
      <c r="B2258" s="142" t="s">
        <v>17783</v>
      </c>
      <c r="C2258" s="143">
        <v>112307</v>
      </c>
      <c r="D2258" s="142" t="s">
        <v>15344</v>
      </c>
      <c r="E2258" s="144">
        <v>3351.6</v>
      </c>
      <c r="F2258" s="145">
        <v>42873</v>
      </c>
      <c r="G2258" s="146">
        <v>3351.6</v>
      </c>
      <c r="H2258" s="138">
        <f t="shared" si="36"/>
        <v>0</v>
      </c>
      <c r="I2258" s="147" t="s">
        <v>15214</v>
      </c>
    </row>
    <row r="2259" spans="1:9" x14ac:dyDescent="0.25">
      <c r="A2259" s="168" t="s">
        <v>17757</v>
      </c>
      <c r="B2259" s="136" t="s">
        <v>17784</v>
      </c>
      <c r="C2259" s="137">
        <v>112308</v>
      </c>
      <c r="D2259" s="136" t="s">
        <v>15526</v>
      </c>
      <c r="E2259" s="138">
        <v>2984.1</v>
      </c>
      <c r="F2259" s="139">
        <v>42873</v>
      </c>
      <c r="G2259" s="140">
        <v>2984.1</v>
      </c>
      <c r="H2259" s="138">
        <f t="shared" si="36"/>
        <v>0</v>
      </c>
      <c r="I2259" s="141" t="s">
        <v>15214</v>
      </c>
    </row>
    <row r="2260" spans="1:9" x14ac:dyDescent="0.25">
      <c r="A2260" s="167" t="s">
        <v>17757</v>
      </c>
      <c r="B2260" s="142" t="s">
        <v>17785</v>
      </c>
      <c r="C2260" s="143">
        <v>112309</v>
      </c>
      <c r="D2260" s="142" t="s">
        <v>15861</v>
      </c>
      <c r="E2260" s="144">
        <v>3209.4</v>
      </c>
      <c r="F2260" s="145">
        <v>42873</v>
      </c>
      <c r="G2260" s="146">
        <v>3209.4</v>
      </c>
      <c r="H2260" s="138">
        <f t="shared" si="36"/>
        <v>0</v>
      </c>
      <c r="I2260" s="147" t="s">
        <v>15214</v>
      </c>
    </row>
    <row r="2261" spans="1:9" x14ac:dyDescent="0.25">
      <c r="A2261" s="168" t="s">
        <v>17757</v>
      </c>
      <c r="B2261" s="136" t="s">
        <v>17786</v>
      </c>
      <c r="C2261" s="137">
        <v>112310</v>
      </c>
      <c r="D2261" s="136" t="s">
        <v>15261</v>
      </c>
      <c r="E2261" s="138">
        <v>24409.8</v>
      </c>
      <c r="F2261" s="139">
        <v>42873</v>
      </c>
      <c r="G2261" s="140">
        <v>24409.8</v>
      </c>
      <c r="H2261" s="138">
        <f t="shared" si="36"/>
        <v>0</v>
      </c>
      <c r="I2261" s="141" t="s">
        <v>15214</v>
      </c>
    </row>
    <row r="2262" spans="1:9" x14ac:dyDescent="0.25">
      <c r="A2262" s="167" t="s">
        <v>17757</v>
      </c>
      <c r="B2262" s="142" t="s">
        <v>17787</v>
      </c>
      <c r="C2262" s="143">
        <v>112311</v>
      </c>
      <c r="D2262" s="142" t="s">
        <v>15272</v>
      </c>
      <c r="E2262" s="144">
        <v>11280</v>
      </c>
      <c r="F2262" s="145">
        <v>42873</v>
      </c>
      <c r="G2262" s="146">
        <v>11280</v>
      </c>
      <c r="H2262" s="138">
        <f t="shared" si="36"/>
        <v>0</v>
      </c>
      <c r="I2262" s="147" t="s">
        <v>15214</v>
      </c>
    </row>
    <row r="2263" spans="1:9" x14ac:dyDescent="0.25">
      <c r="A2263" s="168" t="s">
        <v>17757</v>
      </c>
      <c r="B2263" s="136" t="s">
        <v>17788</v>
      </c>
      <c r="C2263" s="137">
        <v>112312</v>
      </c>
      <c r="D2263" s="136" t="s">
        <v>15330</v>
      </c>
      <c r="E2263" s="138">
        <v>3491</v>
      </c>
      <c r="F2263" s="139">
        <v>42873</v>
      </c>
      <c r="G2263" s="140">
        <v>3491</v>
      </c>
      <c r="H2263" s="138">
        <f t="shared" si="36"/>
        <v>0</v>
      </c>
      <c r="I2263" s="141" t="s">
        <v>15214</v>
      </c>
    </row>
    <row r="2264" spans="1:9" x14ac:dyDescent="0.25">
      <c r="A2264" s="167" t="s">
        <v>17757</v>
      </c>
      <c r="B2264" s="142" t="s">
        <v>17789</v>
      </c>
      <c r="C2264" s="143">
        <v>112313</v>
      </c>
      <c r="D2264" s="142" t="s">
        <v>15338</v>
      </c>
      <c r="E2264" s="144">
        <v>9215.1</v>
      </c>
      <c r="F2264" s="145">
        <v>42878</v>
      </c>
      <c r="G2264" s="146">
        <v>9215.1</v>
      </c>
      <c r="H2264" s="138">
        <f t="shared" si="36"/>
        <v>0</v>
      </c>
      <c r="I2264" s="147" t="s">
        <v>15214</v>
      </c>
    </row>
    <row r="2265" spans="1:9" x14ac:dyDescent="0.25">
      <c r="A2265" s="168" t="s">
        <v>17757</v>
      </c>
      <c r="B2265" s="136" t="s">
        <v>17790</v>
      </c>
      <c r="C2265" s="137">
        <v>112314</v>
      </c>
      <c r="D2265" s="136" t="s">
        <v>15332</v>
      </c>
      <c r="E2265" s="138">
        <v>3018.4</v>
      </c>
      <c r="F2265" s="139">
        <v>42873</v>
      </c>
      <c r="G2265" s="140">
        <v>3018.4</v>
      </c>
      <c r="H2265" s="138">
        <f t="shared" si="36"/>
        <v>0</v>
      </c>
      <c r="I2265" s="141" t="s">
        <v>15214</v>
      </c>
    </row>
    <row r="2266" spans="1:9" x14ac:dyDescent="0.25">
      <c r="A2266" s="167" t="s">
        <v>17757</v>
      </c>
      <c r="B2266" s="142" t="s">
        <v>17791</v>
      </c>
      <c r="C2266" s="143">
        <v>112315</v>
      </c>
      <c r="D2266" s="142" t="s">
        <v>15223</v>
      </c>
      <c r="E2266" s="144">
        <v>46613.599999999999</v>
      </c>
      <c r="F2266" s="145">
        <v>42882</v>
      </c>
      <c r="G2266" s="146">
        <v>46613.599999999999</v>
      </c>
      <c r="H2266" s="138">
        <f t="shared" si="36"/>
        <v>0</v>
      </c>
      <c r="I2266" s="147" t="s">
        <v>15214</v>
      </c>
    </row>
    <row r="2267" spans="1:9" x14ac:dyDescent="0.25">
      <c r="A2267" s="168" t="s">
        <v>17757</v>
      </c>
      <c r="B2267" s="136" t="s">
        <v>17792</v>
      </c>
      <c r="C2267" s="137">
        <v>112316</v>
      </c>
      <c r="D2267" s="136" t="s">
        <v>15265</v>
      </c>
      <c r="E2267" s="138">
        <v>3571.2</v>
      </c>
      <c r="F2267" s="139">
        <v>42875</v>
      </c>
      <c r="G2267" s="140">
        <v>3571.2</v>
      </c>
      <c r="H2267" s="138">
        <f t="shared" si="36"/>
        <v>0</v>
      </c>
      <c r="I2267" s="141" t="s">
        <v>15214</v>
      </c>
    </row>
    <row r="2268" spans="1:9" x14ac:dyDescent="0.25">
      <c r="A2268" s="167" t="s">
        <v>17757</v>
      </c>
      <c r="B2268" s="142" t="s">
        <v>17793</v>
      </c>
      <c r="C2268" s="143">
        <v>112317</v>
      </c>
      <c r="D2268" s="142" t="s">
        <v>15334</v>
      </c>
      <c r="E2268" s="144">
        <v>1550</v>
      </c>
      <c r="F2268" s="145">
        <v>42873</v>
      </c>
      <c r="G2268" s="146">
        <v>1550</v>
      </c>
      <c r="H2268" s="138">
        <f t="shared" si="36"/>
        <v>0</v>
      </c>
      <c r="I2268" s="147" t="s">
        <v>15214</v>
      </c>
    </row>
    <row r="2269" spans="1:9" x14ac:dyDescent="0.25">
      <c r="A2269" s="168" t="s">
        <v>17757</v>
      </c>
      <c r="B2269" s="136" t="s">
        <v>17794</v>
      </c>
      <c r="C2269" s="137">
        <v>112318</v>
      </c>
      <c r="D2269" s="136" t="s">
        <v>15263</v>
      </c>
      <c r="E2269" s="138">
        <v>2232</v>
      </c>
      <c r="F2269" s="139">
        <v>42873</v>
      </c>
      <c r="G2269" s="140">
        <v>2232</v>
      </c>
      <c r="H2269" s="138">
        <f t="shared" si="36"/>
        <v>0</v>
      </c>
      <c r="I2269" s="141" t="s">
        <v>15214</v>
      </c>
    </row>
    <row r="2270" spans="1:9" x14ac:dyDescent="0.25">
      <c r="A2270" s="167" t="s">
        <v>17757</v>
      </c>
      <c r="B2270" s="142" t="s">
        <v>17795</v>
      </c>
      <c r="C2270" s="143">
        <v>112319</v>
      </c>
      <c r="D2270" s="142" t="s">
        <v>15356</v>
      </c>
      <c r="E2270" s="144">
        <v>2731.5</v>
      </c>
      <c r="F2270" s="145">
        <v>42873</v>
      </c>
      <c r="G2270" s="146">
        <v>2731.5</v>
      </c>
      <c r="H2270" s="138">
        <f t="shared" si="36"/>
        <v>0</v>
      </c>
      <c r="I2270" s="147" t="s">
        <v>15214</v>
      </c>
    </row>
    <row r="2271" spans="1:9" x14ac:dyDescent="0.25">
      <c r="A2271" s="168" t="s">
        <v>17757</v>
      </c>
      <c r="B2271" s="136" t="s">
        <v>17796</v>
      </c>
      <c r="C2271" s="137">
        <v>112320</v>
      </c>
      <c r="D2271" s="136" t="s">
        <v>15309</v>
      </c>
      <c r="E2271" s="138">
        <v>1706.6</v>
      </c>
      <c r="F2271" s="139">
        <v>42873</v>
      </c>
      <c r="G2271" s="140">
        <v>1706.6</v>
      </c>
      <c r="H2271" s="138">
        <f t="shared" si="36"/>
        <v>0</v>
      </c>
      <c r="I2271" s="141" t="s">
        <v>15214</v>
      </c>
    </row>
    <row r="2272" spans="1:9" x14ac:dyDescent="0.25">
      <c r="A2272" s="167" t="s">
        <v>17757</v>
      </c>
      <c r="B2272" s="142" t="s">
        <v>17797</v>
      </c>
      <c r="C2272" s="143">
        <v>112321</v>
      </c>
      <c r="D2272" s="142" t="s">
        <v>15307</v>
      </c>
      <c r="E2272" s="144">
        <v>854.1</v>
      </c>
      <c r="F2272" s="145">
        <v>42873</v>
      </c>
      <c r="G2272" s="146">
        <v>854.1</v>
      </c>
      <c r="H2272" s="138">
        <f t="shared" si="36"/>
        <v>0</v>
      </c>
      <c r="I2272" s="147" t="s">
        <v>15214</v>
      </c>
    </row>
    <row r="2273" spans="1:9" x14ac:dyDescent="0.25">
      <c r="A2273" s="168" t="s">
        <v>17757</v>
      </c>
      <c r="B2273" s="136" t="s">
        <v>17798</v>
      </c>
      <c r="C2273" s="137">
        <v>112322</v>
      </c>
      <c r="D2273" s="136" t="s">
        <v>15415</v>
      </c>
      <c r="E2273" s="138">
        <v>246.4</v>
      </c>
      <c r="F2273" s="139">
        <v>42875</v>
      </c>
      <c r="G2273" s="140">
        <v>246.4</v>
      </c>
      <c r="H2273" s="138">
        <f t="shared" si="36"/>
        <v>0</v>
      </c>
      <c r="I2273" s="141" t="s">
        <v>15214</v>
      </c>
    </row>
    <row r="2274" spans="1:9" x14ac:dyDescent="0.25">
      <c r="A2274" s="167" t="s">
        <v>17757</v>
      </c>
      <c r="B2274" s="142" t="s">
        <v>17799</v>
      </c>
      <c r="C2274" s="143">
        <v>112323</v>
      </c>
      <c r="D2274" s="142" t="s">
        <v>17800</v>
      </c>
      <c r="E2274" s="144">
        <v>311.60000000000002</v>
      </c>
      <c r="F2274" s="145">
        <v>42873</v>
      </c>
      <c r="G2274" s="146">
        <v>311.60000000000002</v>
      </c>
      <c r="H2274" s="138">
        <f t="shared" si="36"/>
        <v>0</v>
      </c>
      <c r="I2274" s="147" t="s">
        <v>15214</v>
      </c>
    </row>
    <row r="2275" spans="1:9" x14ac:dyDescent="0.25">
      <c r="A2275" s="168" t="s">
        <v>17757</v>
      </c>
      <c r="B2275" s="136" t="s">
        <v>17801</v>
      </c>
      <c r="C2275" s="137">
        <v>112324</v>
      </c>
      <c r="D2275" s="136" t="s">
        <v>15317</v>
      </c>
      <c r="E2275" s="138">
        <v>1414.7</v>
      </c>
      <c r="F2275" s="139">
        <v>42875</v>
      </c>
      <c r="G2275" s="140">
        <v>1414.7</v>
      </c>
      <c r="H2275" s="138">
        <f t="shared" si="36"/>
        <v>0</v>
      </c>
      <c r="I2275" s="141" t="s">
        <v>15214</v>
      </c>
    </row>
    <row r="2276" spans="1:9" x14ac:dyDescent="0.25">
      <c r="A2276" s="167" t="s">
        <v>17757</v>
      </c>
      <c r="B2276" s="142" t="s">
        <v>17802</v>
      </c>
      <c r="C2276" s="143">
        <v>112325</v>
      </c>
      <c r="D2276" s="142" t="s">
        <v>15309</v>
      </c>
      <c r="E2276" s="144">
        <v>880</v>
      </c>
      <c r="F2276" s="145">
        <v>42873</v>
      </c>
      <c r="G2276" s="146">
        <v>880</v>
      </c>
      <c r="H2276" s="138">
        <f t="shared" si="36"/>
        <v>0</v>
      </c>
      <c r="I2276" s="147" t="s">
        <v>15214</v>
      </c>
    </row>
    <row r="2277" spans="1:9" x14ac:dyDescent="0.25">
      <c r="A2277" s="168" t="s">
        <v>17757</v>
      </c>
      <c r="B2277" s="136" t="s">
        <v>17803</v>
      </c>
      <c r="C2277" s="137">
        <v>112326</v>
      </c>
      <c r="D2277" s="136" t="s">
        <v>15298</v>
      </c>
      <c r="E2277" s="138">
        <v>19448.5</v>
      </c>
      <c r="F2277" s="139">
        <v>42880</v>
      </c>
      <c r="G2277" s="140">
        <v>19448.5</v>
      </c>
      <c r="H2277" s="138">
        <f t="shared" si="36"/>
        <v>0</v>
      </c>
      <c r="I2277" s="141" t="s">
        <v>15214</v>
      </c>
    </row>
    <row r="2278" spans="1:9" ht="15.75" x14ac:dyDescent="0.25">
      <c r="A2278" s="167" t="s">
        <v>17757</v>
      </c>
      <c r="B2278" s="142" t="s">
        <v>17804</v>
      </c>
      <c r="C2278" s="143">
        <v>112327</v>
      </c>
      <c r="D2278" s="142" t="s">
        <v>15835</v>
      </c>
      <c r="E2278" s="144">
        <v>0</v>
      </c>
      <c r="F2278" s="156" t="s">
        <v>95</v>
      </c>
      <c r="G2278" s="144">
        <v>0</v>
      </c>
      <c r="H2278" s="138">
        <f t="shared" si="36"/>
        <v>0</v>
      </c>
      <c r="I2278" s="147" t="s">
        <v>95</v>
      </c>
    </row>
    <row r="2279" spans="1:9" x14ac:dyDescent="0.25">
      <c r="A2279" s="168" t="s">
        <v>17757</v>
      </c>
      <c r="B2279" s="136" t="s">
        <v>17805</v>
      </c>
      <c r="C2279" s="137">
        <v>112328</v>
      </c>
      <c r="D2279" s="136" t="s">
        <v>15301</v>
      </c>
      <c r="E2279" s="138">
        <v>7757.4</v>
      </c>
      <c r="F2279" s="139">
        <v>42873</v>
      </c>
      <c r="G2279" s="140">
        <v>7757.4</v>
      </c>
      <c r="H2279" s="138">
        <f t="shared" si="36"/>
        <v>0</v>
      </c>
      <c r="I2279" s="141" t="s">
        <v>15214</v>
      </c>
    </row>
    <row r="2280" spans="1:9" x14ac:dyDescent="0.25">
      <c r="A2280" s="167" t="s">
        <v>17757</v>
      </c>
      <c r="B2280" s="142" t="s">
        <v>17806</v>
      </c>
      <c r="C2280" s="143">
        <v>112329</v>
      </c>
      <c r="D2280" s="142" t="s">
        <v>15250</v>
      </c>
      <c r="E2280" s="144">
        <v>75843.64</v>
      </c>
      <c r="F2280" s="145" t="s">
        <v>17807</v>
      </c>
      <c r="G2280" s="146">
        <f>43429.41+32414.23</f>
        <v>75843.64</v>
      </c>
      <c r="H2280" s="138">
        <f t="shared" si="36"/>
        <v>0</v>
      </c>
      <c r="I2280" s="147" t="s">
        <v>15214</v>
      </c>
    </row>
    <row r="2281" spans="1:9" x14ac:dyDescent="0.25">
      <c r="A2281" s="168" t="s">
        <v>17757</v>
      </c>
      <c r="B2281" s="136" t="s">
        <v>17808</v>
      </c>
      <c r="C2281" s="137">
        <v>112330</v>
      </c>
      <c r="D2281" s="136" t="s">
        <v>16484</v>
      </c>
      <c r="E2281" s="138">
        <v>1489.6</v>
      </c>
      <c r="F2281" s="139">
        <v>42873</v>
      </c>
      <c r="G2281" s="140">
        <v>1489.6</v>
      </c>
      <c r="H2281" s="138">
        <f t="shared" si="36"/>
        <v>0</v>
      </c>
      <c r="I2281" s="141" t="s">
        <v>15214</v>
      </c>
    </row>
    <row r="2282" spans="1:9" x14ac:dyDescent="0.25">
      <c r="A2282" s="167" t="s">
        <v>17757</v>
      </c>
      <c r="B2282" s="142" t="s">
        <v>17809</v>
      </c>
      <c r="C2282" s="143">
        <v>112331</v>
      </c>
      <c r="D2282" s="142" t="s">
        <v>15246</v>
      </c>
      <c r="E2282" s="144">
        <v>2794</v>
      </c>
      <c r="F2282" s="145">
        <v>42875</v>
      </c>
      <c r="G2282" s="146">
        <v>2794</v>
      </c>
      <c r="H2282" s="138">
        <f t="shared" si="36"/>
        <v>0</v>
      </c>
      <c r="I2282" s="147" t="s">
        <v>15214</v>
      </c>
    </row>
    <row r="2283" spans="1:9" ht="15.75" x14ac:dyDescent="0.25">
      <c r="A2283" s="168" t="s">
        <v>17757</v>
      </c>
      <c r="B2283" s="136" t="s">
        <v>17810</v>
      </c>
      <c r="C2283" s="137">
        <v>112332</v>
      </c>
      <c r="D2283" s="136" t="s">
        <v>15336</v>
      </c>
      <c r="E2283" s="138">
        <v>0</v>
      </c>
      <c r="F2283" s="153" t="s">
        <v>95</v>
      </c>
      <c r="G2283" s="138">
        <v>0</v>
      </c>
      <c r="H2283" s="138">
        <f t="shared" si="36"/>
        <v>0</v>
      </c>
      <c r="I2283" s="141" t="s">
        <v>95</v>
      </c>
    </row>
    <row r="2284" spans="1:9" x14ac:dyDescent="0.25">
      <c r="A2284" s="167" t="s">
        <v>17757</v>
      </c>
      <c r="B2284" s="142" t="s">
        <v>17811</v>
      </c>
      <c r="C2284" s="143">
        <v>112333</v>
      </c>
      <c r="D2284" s="142" t="s">
        <v>15336</v>
      </c>
      <c r="E2284" s="144">
        <v>8544.6</v>
      </c>
      <c r="F2284" s="145">
        <v>42873</v>
      </c>
      <c r="G2284" s="146">
        <v>8544.6</v>
      </c>
      <c r="H2284" s="138">
        <f t="shared" si="36"/>
        <v>0</v>
      </c>
      <c r="I2284" s="147" t="s">
        <v>15214</v>
      </c>
    </row>
    <row r="2285" spans="1:9" x14ac:dyDescent="0.25">
      <c r="A2285" s="168" t="s">
        <v>17757</v>
      </c>
      <c r="B2285" s="136" t="s">
        <v>17812</v>
      </c>
      <c r="C2285" s="137">
        <v>112334</v>
      </c>
      <c r="D2285" s="136" t="s">
        <v>15835</v>
      </c>
      <c r="E2285" s="138">
        <v>15173.4</v>
      </c>
      <c r="F2285" s="139">
        <v>42873</v>
      </c>
      <c r="G2285" s="140">
        <v>15173.4</v>
      </c>
      <c r="H2285" s="138">
        <f t="shared" si="36"/>
        <v>0</v>
      </c>
      <c r="I2285" s="141" t="s">
        <v>15214</v>
      </c>
    </row>
    <row r="2286" spans="1:9" x14ac:dyDescent="0.25">
      <c r="A2286" s="167" t="s">
        <v>17757</v>
      </c>
      <c r="B2286" s="142" t="s">
        <v>17813</v>
      </c>
      <c r="C2286" s="143">
        <v>112335</v>
      </c>
      <c r="D2286" s="142" t="s">
        <v>15320</v>
      </c>
      <c r="E2286" s="144">
        <v>2640.4</v>
      </c>
      <c r="F2286" s="145">
        <v>42873</v>
      </c>
      <c r="G2286" s="146">
        <v>2640.4</v>
      </c>
      <c r="H2286" s="138">
        <f t="shared" si="36"/>
        <v>0</v>
      </c>
      <c r="I2286" s="147" t="s">
        <v>15214</v>
      </c>
    </row>
    <row r="2287" spans="1:9" x14ac:dyDescent="0.25">
      <c r="A2287" s="168" t="s">
        <v>17757</v>
      </c>
      <c r="B2287" s="136" t="s">
        <v>17814</v>
      </c>
      <c r="C2287" s="137">
        <v>112336</v>
      </c>
      <c r="D2287" s="136" t="s">
        <v>17210</v>
      </c>
      <c r="E2287" s="138">
        <v>3003</v>
      </c>
      <c r="F2287" s="139">
        <v>42873</v>
      </c>
      <c r="G2287" s="140">
        <v>3003</v>
      </c>
      <c r="H2287" s="138">
        <f t="shared" si="36"/>
        <v>0</v>
      </c>
      <c r="I2287" s="141" t="s">
        <v>15214</v>
      </c>
    </row>
    <row r="2288" spans="1:9" x14ac:dyDescent="0.25">
      <c r="A2288" s="167" t="s">
        <v>17757</v>
      </c>
      <c r="B2288" s="142" t="s">
        <v>17815</v>
      </c>
      <c r="C2288" s="143">
        <v>112337</v>
      </c>
      <c r="D2288" s="142" t="s">
        <v>15291</v>
      </c>
      <c r="E2288" s="144">
        <v>720</v>
      </c>
      <c r="F2288" s="145">
        <v>42873</v>
      </c>
      <c r="G2288" s="146">
        <v>720</v>
      </c>
      <c r="H2288" s="138">
        <f t="shared" si="36"/>
        <v>0</v>
      </c>
      <c r="I2288" s="147" t="s">
        <v>15214</v>
      </c>
    </row>
    <row r="2289" spans="1:9" x14ac:dyDescent="0.25">
      <c r="A2289" s="168" t="s">
        <v>17757</v>
      </c>
      <c r="B2289" s="136" t="s">
        <v>17816</v>
      </c>
      <c r="C2289" s="137">
        <v>112338</v>
      </c>
      <c r="D2289" s="136" t="s">
        <v>15311</v>
      </c>
      <c r="E2289" s="138">
        <v>1822.74</v>
      </c>
      <c r="F2289" s="139">
        <v>42873</v>
      </c>
      <c r="G2289" s="140">
        <v>1822.74</v>
      </c>
      <c r="H2289" s="138">
        <f t="shared" si="36"/>
        <v>0</v>
      </c>
      <c r="I2289" s="141" t="s">
        <v>15214</v>
      </c>
    </row>
    <row r="2290" spans="1:9" x14ac:dyDescent="0.25">
      <c r="A2290" s="167" t="s">
        <v>17757</v>
      </c>
      <c r="B2290" s="142" t="s">
        <v>17817</v>
      </c>
      <c r="C2290" s="143">
        <v>112339</v>
      </c>
      <c r="D2290" s="142" t="s">
        <v>15248</v>
      </c>
      <c r="E2290" s="144">
        <v>23736.1</v>
      </c>
      <c r="F2290" s="145">
        <v>42874</v>
      </c>
      <c r="G2290" s="146">
        <v>23736.1</v>
      </c>
      <c r="H2290" s="138">
        <f t="shared" si="36"/>
        <v>0</v>
      </c>
      <c r="I2290" s="147" t="s">
        <v>15214</v>
      </c>
    </row>
    <row r="2291" spans="1:9" x14ac:dyDescent="0.25">
      <c r="A2291" s="168" t="s">
        <v>17757</v>
      </c>
      <c r="B2291" s="136" t="s">
        <v>17818</v>
      </c>
      <c r="C2291" s="137">
        <v>112340</v>
      </c>
      <c r="D2291" s="136" t="s">
        <v>15562</v>
      </c>
      <c r="E2291" s="138">
        <v>3111.7</v>
      </c>
      <c r="F2291" s="139">
        <v>42873</v>
      </c>
      <c r="G2291" s="140">
        <v>3111.7</v>
      </c>
      <c r="H2291" s="138">
        <f t="shared" si="36"/>
        <v>0</v>
      </c>
      <c r="I2291" s="141" t="s">
        <v>15214</v>
      </c>
    </row>
    <row r="2292" spans="1:9" x14ac:dyDescent="0.25">
      <c r="A2292" s="167" t="s">
        <v>17757</v>
      </c>
      <c r="B2292" s="142" t="s">
        <v>17819</v>
      </c>
      <c r="C2292" s="143">
        <v>112341</v>
      </c>
      <c r="D2292" s="142" t="s">
        <v>15912</v>
      </c>
      <c r="E2292" s="144">
        <v>1628</v>
      </c>
      <c r="F2292" s="145">
        <v>42873</v>
      </c>
      <c r="G2292" s="146">
        <v>1628</v>
      </c>
      <c r="H2292" s="138">
        <f t="shared" si="36"/>
        <v>0</v>
      </c>
      <c r="I2292" s="147" t="s">
        <v>15214</v>
      </c>
    </row>
    <row r="2293" spans="1:9" x14ac:dyDescent="0.25">
      <c r="A2293" s="168" t="s">
        <v>17757</v>
      </c>
      <c r="B2293" s="136" t="s">
        <v>17820</v>
      </c>
      <c r="C2293" s="137">
        <v>112342</v>
      </c>
      <c r="D2293" s="136" t="s">
        <v>15728</v>
      </c>
      <c r="E2293" s="138">
        <v>16818.099999999999</v>
      </c>
      <c r="F2293" s="139">
        <v>42873</v>
      </c>
      <c r="G2293" s="140">
        <v>16818.099999999999</v>
      </c>
      <c r="H2293" s="138">
        <f t="shared" si="36"/>
        <v>0</v>
      </c>
      <c r="I2293" s="141" t="s">
        <v>15214</v>
      </c>
    </row>
    <row r="2294" spans="1:9" x14ac:dyDescent="0.25">
      <c r="A2294" s="167" t="s">
        <v>17757</v>
      </c>
      <c r="B2294" s="142" t="s">
        <v>17821</v>
      </c>
      <c r="C2294" s="143">
        <v>112343</v>
      </c>
      <c r="D2294" s="142" t="s">
        <v>15376</v>
      </c>
      <c r="E2294" s="144">
        <v>4800</v>
      </c>
      <c r="F2294" s="145">
        <v>42876</v>
      </c>
      <c r="G2294" s="146">
        <v>4800</v>
      </c>
      <c r="H2294" s="138">
        <f t="shared" si="36"/>
        <v>0</v>
      </c>
      <c r="I2294" s="147" t="s">
        <v>15214</v>
      </c>
    </row>
    <row r="2295" spans="1:9" x14ac:dyDescent="0.25">
      <c r="A2295" s="168" t="s">
        <v>17757</v>
      </c>
      <c r="B2295" s="136" t="s">
        <v>17822</v>
      </c>
      <c r="C2295" s="137">
        <v>112344</v>
      </c>
      <c r="D2295" s="136" t="s">
        <v>15282</v>
      </c>
      <c r="E2295" s="138">
        <v>2534.4</v>
      </c>
      <c r="F2295" s="139">
        <v>42873</v>
      </c>
      <c r="G2295" s="140">
        <v>2534.4</v>
      </c>
      <c r="H2295" s="138">
        <f t="shared" si="36"/>
        <v>0</v>
      </c>
      <c r="I2295" s="141" t="s">
        <v>15214</v>
      </c>
    </row>
    <row r="2296" spans="1:9" x14ac:dyDescent="0.25">
      <c r="A2296" s="167" t="s">
        <v>17757</v>
      </c>
      <c r="B2296" s="142" t="s">
        <v>17823</v>
      </c>
      <c r="C2296" s="143">
        <v>112345</v>
      </c>
      <c r="D2296" s="142" t="s">
        <v>15282</v>
      </c>
      <c r="E2296" s="144">
        <v>685.8</v>
      </c>
      <c r="F2296" s="145">
        <v>42873</v>
      </c>
      <c r="G2296" s="146">
        <v>685.8</v>
      </c>
      <c r="H2296" s="138">
        <f t="shared" si="36"/>
        <v>0</v>
      </c>
      <c r="I2296" s="147" t="s">
        <v>15214</v>
      </c>
    </row>
    <row r="2297" spans="1:9" x14ac:dyDescent="0.25">
      <c r="A2297" s="168" t="s">
        <v>17757</v>
      </c>
      <c r="B2297" s="136" t="s">
        <v>17824</v>
      </c>
      <c r="C2297" s="137">
        <v>112346</v>
      </c>
      <c r="D2297" s="136" t="s">
        <v>15280</v>
      </c>
      <c r="E2297" s="138">
        <v>5902.2</v>
      </c>
      <c r="F2297" s="139">
        <v>42873</v>
      </c>
      <c r="G2297" s="140">
        <v>5902.2</v>
      </c>
      <c r="H2297" s="138">
        <f t="shared" si="36"/>
        <v>0</v>
      </c>
      <c r="I2297" s="141" t="s">
        <v>15214</v>
      </c>
    </row>
    <row r="2298" spans="1:9" x14ac:dyDescent="0.25">
      <c r="A2298" s="167" t="s">
        <v>17757</v>
      </c>
      <c r="B2298" s="142" t="s">
        <v>17825</v>
      </c>
      <c r="C2298" s="143">
        <v>112347</v>
      </c>
      <c r="D2298" s="142" t="s">
        <v>15278</v>
      </c>
      <c r="E2298" s="144">
        <v>4598.3999999999996</v>
      </c>
      <c r="F2298" s="145">
        <v>42873</v>
      </c>
      <c r="G2298" s="146">
        <v>4598.3999999999996</v>
      </c>
      <c r="H2298" s="138">
        <f t="shared" si="36"/>
        <v>0</v>
      </c>
      <c r="I2298" s="147" t="s">
        <v>15214</v>
      </c>
    </row>
    <row r="2299" spans="1:9" x14ac:dyDescent="0.25">
      <c r="A2299" s="168" t="s">
        <v>17757</v>
      </c>
      <c r="B2299" s="136" t="s">
        <v>17826</v>
      </c>
      <c r="C2299" s="137">
        <v>112348</v>
      </c>
      <c r="D2299" s="136" t="s">
        <v>15530</v>
      </c>
      <c r="E2299" s="138">
        <v>1939.6</v>
      </c>
      <c r="F2299" s="139">
        <v>42873</v>
      </c>
      <c r="G2299" s="140">
        <v>1939.6</v>
      </c>
      <c r="H2299" s="138">
        <f t="shared" si="36"/>
        <v>0</v>
      </c>
      <c r="I2299" s="141" t="s">
        <v>15214</v>
      </c>
    </row>
    <row r="2300" spans="1:9" x14ac:dyDescent="0.25">
      <c r="A2300" s="167" t="s">
        <v>17757</v>
      </c>
      <c r="B2300" s="142" t="s">
        <v>17827</v>
      </c>
      <c r="C2300" s="143">
        <v>112349</v>
      </c>
      <c r="D2300" s="142" t="s">
        <v>15289</v>
      </c>
      <c r="E2300" s="144">
        <v>575</v>
      </c>
      <c r="F2300" s="145">
        <v>42873</v>
      </c>
      <c r="G2300" s="146">
        <v>575</v>
      </c>
      <c r="H2300" s="138">
        <f t="shared" si="36"/>
        <v>0</v>
      </c>
      <c r="I2300" s="147" t="s">
        <v>15214</v>
      </c>
    </row>
    <row r="2301" spans="1:9" x14ac:dyDescent="0.25">
      <c r="A2301" s="168" t="s">
        <v>17757</v>
      </c>
      <c r="B2301" s="136" t="s">
        <v>17828</v>
      </c>
      <c r="C2301" s="137">
        <v>112350</v>
      </c>
      <c r="D2301" s="136" t="s">
        <v>15875</v>
      </c>
      <c r="E2301" s="138">
        <v>2678.4</v>
      </c>
      <c r="F2301" s="139" t="s">
        <v>17829</v>
      </c>
      <c r="G2301" s="140">
        <f>2590+88.4</f>
        <v>2678.4</v>
      </c>
      <c r="H2301" s="138">
        <f t="shared" si="36"/>
        <v>0</v>
      </c>
      <c r="I2301" s="141" t="s">
        <v>15214</v>
      </c>
    </row>
    <row r="2302" spans="1:9" x14ac:dyDescent="0.25">
      <c r="A2302" s="167" t="s">
        <v>17757</v>
      </c>
      <c r="B2302" s="142" t="s">
        <v>17830</v>
      </c>
      <c r="C2302" s="143">
        <v>112351</v>
      </c>
      <c r="D2302" s="142" t="s">
        <v>16116</v>
      </c>
      <c r="E2302" s="144">
        <v>26328.62</v>
      </c>
      <c r="F2302" s="145">
        <v>42873</v>
      </c>
      <c r="G2302" s="146">
        <v>26328.62</v>
      </c>
      <c r="H2302" s="138">
        <f t="shared" si="36"/>
        <v>0</v>
      </c>
      <c r="I2302" s="147" t="s">
        <v>15214</v>
      </c>
    </row>
    <row r="2303" spans="1:9" x14ac:dyDescent="0.25">
      <c r="A2303" s="168" t="s">
        <v>17757</v>
      </c>
      <c r="B2303" s="136" t="s">
        <v>17831</v>
      </c>
      <c r="C2303" s="137">
        <v>112352</v>
      </c>
      <c r="D2303" s="136" t="s">
        <v>15284</v>
      </c>
      <c r="E2303" s="138">
        <v>3090.4</v>
      </c>
      <c r="F2303" s="139">
        <v>42873</v>
      </c>
      <c r="G2303" s="140">
        <v>3090.4</v>
      </c>
      <c r="H2303" s="138">
        <f t="shared" si="36"/>
        <v>0</v>
      </c>
      <c r="I2303" s="141" t="s">
        <v>15214</v>
      </c>
    </row>
    <row r="2304" spans="1:9" x14ac:dyDescent="0.25">
      <c r="A2304" s="167" t="s">
        <v>17757</v>
      </c>
      <c r="B2304" s="142" t="s">
        <v>17832</v>
      </c>
      <c r="C2304" s="143">
        <v>112353</v>
      </c>
      <c r="D2304" s="142" t="s">
        <v>15590</v>
      </c>
      <c r="E2304" s="144">
        <v>31437</v>
      </c>
      <c r="F2304" s="145">
        <v>42880</v>
      </c>
      <c r="G2304" s="146">
        <v>31437</v>
      </c>
      <c r="H2304" s="138">
        <f t="shared" si="36"/>
        <v>0</v>
      </c>
      <c r="I2304" s="147" t="s">
        <v>15214</v>
      </c>
    </row>
    <row r="2305" spans="1:9" x14ac:dyDescent="0.25">
      <c r="A2305" s="168" t="s">
        <v>17757</v>
      </c>
      <c r="B2305" s="136" t="s">
        <v>17833</v>
      </c>
      <c r="C2305" s="137">
        <v>112354</v>
      </c>
      <c r="D2305" s="136" t="s">
        <v>17430</v>
      </c>
      <c r="E2305" s="138">
        <v>3119.1</v>
      </c>
      <c r="F2305" s="139">
        <v>42873</v>
      </c>
      <c r="G2305" s="140">
        <v>3119.1</v>
      </c>
      <c r="H2305" s="138">
        <f t="shared" si="36"/>
        <v>0</v>
      </c>
      <c r="I2305" s="141" t="s">
        <v>15214</v>
      </c>
    </row>
    <row r="2306" spans="1:9" x14ac:dyDescent="0.25">
      <c r="A2306" s="167" t="s">
        <v>17757</v>
      </c>
      <c r="B2306" s="142" t="s">
        <v>17834</v>
      </c>
      <c r="C2306" s="143">
        <v>112355</v>
      </c>
      <c r="D2306" s="142" t="s">
        <v>15510</v>
      </c>
      <c r="E2306" s="144">
        <v>709.8</v>
      </c>
      <c r="F2306" s="145">
        <v>42873</v>
      </c>
      <c r="G2306" s="146">
        <v>709.8</v>
      </c>
      <c r="H2306" s="138">
        <f t="shared" si="36"/>
        <v>0</v>
      </c>
      <c r="I2306" s="147" t="s">
        <v>15214</v>
      </c>
    </row>
    <row r="2307" spans="1:9" x14ac:dyDescent="0.25">
      <c r="A2307" s="168" t="s">
        <v>17757</v>
      </c>
      <c r="B2307" s="136" t="s">
        <v>17835</v>
      </c>
      <c r="C2307" s="137">
        <v>112356</v>
      </c>
      <c r="D2307" s="136" t="s">
        <v>15391</v>
      </c>
      <c r="E2307" s="138">
        <v>7227.6</v>
      </c>
      <c r="F2307" s="139">
        <v>42876</v>
      </c>
      <c r="G2307" s="140">
        <v>7227.6</v>
      </c>
      <c r="H2307" s="138">
        <f t="shared" si="36"/>
        <v>0</v>
      </c>
      <c r="I2307" s="141" t="s">
        <v>15214</v>
      </c>
    </row>
    <row r="2308" spans="1:9" x14ac:dyDescent="0.25">
      <c r="A2308" s="167" t="s">
        <v>17757</v>
      </c>
      <c r="B2308" s="142" t="s">
        <v>17836</v>
      </c>
      <c r="C2308" s="143">
        <v>112357</v>
      </c>
      <c r="D2308" s="142" t="s">
        <v>15590</v>
      </c>
      <c r="E2308" s="144">
        <v>359.1</v>
      </c>
      <c r="F2308" s="145">
        <v>42880</v>
      </c>
      <c r="G2308" s="146">
        <v>359.1</v>
      </c>
      <c r="H2308" s="138">
        <f t="shared" si="36"/>
        <v>0</v>
      </c>
      <c r="I2308" s="147" t="s">
        <v>15214</v>
      </c>
    </row>
    <row r="2309" spans="1:9" x14ac:dyDescent="0.25">
      <c r="A2309" s="168" t="s">
        <v>17757</v>
      </c>
      <c r="B2309" s="136" t="s">
        <v>17837</v>
      </c>
      <c r="C2309" s="137">
        <v>112358</v>
      </c>
      <c r="D2309" s="136" t="s">
        <v>15385</v>
      </c>
      <c r="E2309" s="138">
        <v>9809.7999999999993</v>
      </c>
      <c r="F2309" s="139">
        <v>42876</v>
      </c>
      <c r="G2309" s="140">
        <v>9809.7999999999993</v>
      </c>
      <c r="H2309" s="138">
        <f t="shared" ref="H2309:H2372" si="37">E2309-G2309</f>
        <v>0</v>
      </c>
      <c r="I2309" s="141" t="s">
        <v>15214</v>
      </c>
    </row>
    <row r="2310" spans="1:9" x14ac:dyDescent="0.25">
      <c r="A2310" s="167" t="s">
        <v>17757</v>
      </c>
      <c r="B2310" s="142" t="s">
        <v>17838</v>
      </c>
      <c r="C2310" s="143">
        <v>112359</v>
      </c>
      <c r="D2310" s="142" t="s">
        <v>15361</v>
      </c>
      <c r="E2310" s="144">
        <v>9153.7999999999993</v>
      </c>
      <c r="F2310" s="145">
        <v>42876</v>
      </c>
      <c r="G2310" s="146">
        <v>9153.7999999999993</v>
      </c>
      <c r="H2310" s="138">
        <f t="shared" si="37"/>
        <v>0</v>
      </c>
      <c r="I2310" s="147" t="s">
        <v>15214</v>
      </c>
    </row>
    <row r="2311" spans="1:9" x14ac:dyDescent="0.25">
      <c r="A2311" s="168" t="s">
        <v>17757</v>
      </c>
      <c r="B2311" s="136" t="s">
        <v>17839</v>
      </c>
      <c r="C2311" s="137">
        <v>112360</v>
      </c>
      <c r="D2311" s="136" t="s">
        <v>15884</v>
      </c>
      <c r="E2311" s="138">
        <v>3658.8</v>
      </c>
      <c r="F2311" s="139">
        <v>42873</v>
      </c>
      <c r="G2311" s="140">
        <v>3658.8</v>
      </c>
      <c r="H2311" s="138">
        <f t="shared" si="37"/>
        <v>0</v>
      </c>
      <c r="I2311" s="141" t="s">
        <v>15214</v>
      </c>
    </row>
    <row r="2312" spans="1:9" x14ac:dyDescent="0.25">
      <c r="A2312" s="167" t="s">
        <v>17757</v>
      </c>
      <c r="B2312" s="142" t="s">
        <v>17840</v>
      </c>
      <c r="C2312" s="143">
        <v>112361</v>
      </c>
      <c r="D2312" s="142" t="s">
        <v>16139</v>
      </c>
      <c r="E2312" s="144">
        <v>7297.12</v>
      </c>
      <c r="F2312" s="145">
        <v>42874</v>
      </c>
      <c r="G2312" s="146">
        <v>7297.12</v>
      </c>
      <c r="H2312" s="138">
        <f t="shared" si="37"/>
        <v>0</v>
      </c>
      <c r="I2312" s="147" t="s">
        <v>15214</v>
      </c>
    </row>
    <row r="2313" spans="1:9" ht="15.75" x14ac:dyDescent="0.25">
      <c r="A2313" s="168" t="s">
        <v>17757</v>
      </c>
      <c r="B2313" s="136" t="s">
        <v>17841</v>
      </c>
      <c r="C2313" s="137">
        <v>112362</v>
      </c>
      <c r="D2313" s="136" t="s">
        <v>15537</v>
      </c>
      <c r="E2313" s="138">
        <v>0</v>
      </c>
      <c r="F2313" s="153" t="s">
        <v>95</v>
      </c>
      <c r="G2313" s="138">
        <v>0</v>
      </c>
      <c r="H2313" s="138">
        <f t="shared" si="37"/>
        <v>0</v>
      </c>
      <c r="I2313" s="141" t="s">
        <v>95</v>
      </c>
    </row>
    <row r="2314" spans="1:9" x14ac:dyDescent="0.25">
      <c r="A2314" s="167" t="s">
        <v>17757</v>
      </c>
      <c r="B2314" s="142" t="s">
        <v>17842</v>
      </c>
      <c r="C2314" s="143">
        <v>112363</v>
      </c>
      <c r="D2314" s="142" t="s">
        <v>15539</v>
      </c>
      <c r="E2314" s="144">
        <v>15559.2</v>
      </c>
      <c r="F2314" s="145">
        <v>42879</v>
      </c>
      <c r="G2314" s="146">
        <v>15559.2</v>
      </c>
      <c r="H2314" s="138">
        <f t="shared" si="37"/>
        <v>0</v>
      </c>
      <c r="I2314" s="147" t="s">
        <v>15214</v>
      </c>
    </row>
    <row r="2315" spans="1:9" x14ac:dyDescent="0.25">
      <c r="A2315" s="168" t="s">
        <v>17757</v>
      </c>
      <c r="B2315" s="136" t="s">
        <v>17843</v>
      </c>
      <c r="C2315" s="137">
        <v>112364</v>
      </c>
      <c r="D2315" s="136" t="s">
        <v>15537</v>
      </c>
      <c r="E2315" s="138">
        <v>17143.2</v>
      </c>
      <c r="F2315" s="139">
        <v>42879</v>
      </c>
      <c r="G2315" s="140">
        <v>17143.2</v>
      </c>
      <c r="H2315" s="138">
        <f t="shared" si="37"/>
        <v>0</v>
      </c>
      <c r="I2315" s="141" t="s">
        <v>15214</v>
      </c>
    </row>
    <row r="2316" spans="1:9" x14ac:dyDescent="0.25">
      <c r="A2316" s="167" t="s">
        <v>17757</v>
      </c>
      <c r="B2316" s="142" t="s">
        <v>17844</v>
      </c>
      <c r="C2316" s="143">
        <v>112365</v>
      </c>
      <c r="D2316" s="142" t="s">
        <v>15833</v>
      </c>
      <c r="E2316" s="144">
        <v>15199.2</v>
      </c>
      <c r="F2316" s="145">
        <v>42879</v>
      </c>
      <c r="G2316" s="146">
        <v>15199.2</v>
      </c>
      <c r="H2316" s="138">
        <f t="shared" si="37"/>
        <v>0</v>
      </c>
      <c r="I2316" s="147" t="s">
        <v>15214</v>
      </c>
    </row>
    <row r="2317" spans="1:9" x14ac:dyDescent="0.25">
      <c r="A2317" s="168" t="s">
        <v>17757</v>
      </c>
      <c r="B2317" s="136" t="s">
        <v>17845</v>
      </c>
      <c r="C2317" s="137">
        <v>112366</v>
      </c>
      <c r="D2317" s="136" t="s">
        <v>16040</v>
      </c>
      <c r="E2317" s="138">
        <v>3009.6</v>
      </c>
      <c r="F2317" s="139">
        <v>42874</v>
      </c>
      <c r="G2317" s="140">
        <v>3009.6</v>
      </c>
      <c r="H2317" s="138">
        <f t="shared" si="37"/>
        <v>0</v>
      </c>
      <c r="I2317" s="141" t="s">
        <v>15214</v>
      </c>
    </row>
    <row r="2318" spans="1:9" x14ac:dyDescent="0.25">
      <c r="A2318" s="167" t="s">
        <v>17757</v>
      </c>
      <c r="B2318" s="142" t="s">
        <v>17846</v>
      </c>
      <c r="C2318" s="143">
        <v>112367</v>
      </c>
      <c r="D2318" s="142" t="s">
        <v>15544</v>
      </c>
      <c r="E2318" s="144">
        <v>3009.6</v>
      </c>
      <c r="F2318" s="145">
        <v>42874</v>
      </c>
      <c r="G2318" s="146">
        <v>3009.6</v>
      </c>
      <c r="H2318" s="138">
        <f t="shared" si="37"/>
        <v>0</v>
      </c>
      <c r="I2318" s="147" t="s">
        <v>15214</v>
      </c>
    </row>
    <row r="2319" spans="1:9" x14ac:dyDescent="0.25">
      <c r="A2319" s="168" t="s">
        <v>17757</v>
      </c>
      <c r="B2319" s="136" t="s">
        <v>17847</v>
      </c>
      <c r="C2319" s="137">
        <v>112368</v>
      </c>
      <c r="D2319" s="136" t="s">
        <v>15624</v>
      </c>
      <c r="E2319" s="138">
        <v>32473.439999999999</v>
      </c>
      <c r="F2319" s="139">
        <v>42873</v>
      </c>
      <c r="G2319" s="140">
        <v>32473.439999999999</v>
      </c>
      <c r="H2319" s="138">
        <f t="shared" si="37"/>
        <v>0</v>
      </c>
      <c r="I2319" s="141" t="s">
        <v>15214</v>
      </c>
    </row>
    <row r="2320" spans="1:9" x14ac:dyDescent="0.25">
      <c r="A2320" s="167" t="s">
        <v>17757</v>
      </c>
      <c r="B2320" s="142" t="s">
        <v>17848</v>
      </c>
      <c r="C2320" s="143">
        <v>112369</v>
      </c>
      <c r="D2320" s="142" t="s">
        <v>15398</v>
      </c>
      <c r="E2320" s="144">
        <v>4098</v>
      </c>
      <c r="F2320" s="145">
        <v>42873</v>
      </c>
      <c r="G2320" s="146">
        <v>4098</v>
      </c>
      <c r="H2320" s="138">
        <f t="shared" si="37"/>
        <v>0</v>
      </c>
      <c r="I2320" s="147" t="s">
        <v>15214</v>
      </c>
    </row>
    <row r="2321" spans="1:9" x14ac:dyDescent="0.25">
      <c r="A2321" s="168" t="s">
        <v>17757</v>
      </c>
      <c r="B2321" s="136" t="s">
        <v>17849</v>
      </c>
      <c r="C2321" s="137">
        <v>112370</v>
      </c>
      <c r="D2321" s="136" t="s">
        <v>15378</v>
      </c>
      <c r="E2321" s="138">
        <v>248</v>
      </c>
      <c r="F2321" s="139">
        <v>42873</v>
      </c>
      <c r="G2321" s="140">
        <v>248</v>
      </c>
      <c r="H2321" s="138">
        <f t="shared" si="37"/>
        <v>0</v>
      </c>
      <c r="I2321" s="141" t="s">
        <v>15214</v>
      </c>
    </row>
    <row r="2322" spans="1:9" x14ac:dyDescent="0.25">
      <c r="A2322" s="167" t="s">
        <v>17757</v>
      </c>
      <c r="B2322" s="142" t="s">
        <v>17850</v>
      </c>
      <c r="C2322" s="143">
        <v>112371</v>
      </c>
      <c r="D2322" s="142" t="s">
        <v>15267</v>
      </c>
      <c r="E2322" s="144">
        <v>55024.05</v>
      </c>
      <c r="F2322" s="148">
        <v>42892</v>
      </c>
      <c r="G2322" s="149">
        <v>55024.05</v>
      </c>
      <c r="H2322" s="138">
        <f t="shared" si="37"/>
        <v>0</v>
      </c>
      <c r="I2322" s="147" t="s">
        <v>15214</v>
      </c>
    </row>
    <row r="2323" spans="1:9" x14ac:dyDescent="0.25">
      <c r="A2323" s="168" t="s">
        <v>17757</v>
      </c>
      <c r="B2323" s="136" t="s">
        <v>17851</v>
      </c>
      <c r="C2323" s="137">
        <v>112372</v>
      </c>
      <c r="D2323" s="136" t="s">
        <v>15252</v>
      </c>
      <c r="E2323" s="138">
        <v>2188.3000000000002</v>
      </c>
      <c r="F2323" s="139">
        <v>42875</v>
      </c>
      <c r="G2323" s="140">
        <v>2188.3000000000002</v>
      </c>
      <c r="H2323" s="138">
        <f t="shared" si="37"/>
        <v>0</v>
      </c>
      <c r="I2323" s="141" t="s">
        <v>15214</v>
      </c>
    </row>
    <row r="2324" spans="1:9" x14ac:dyDescent="0.25">
      <c r="A2324" s="167" t="s">
        <v>17757</v>
      </c>
      <c r="B2324" s="142" t="s">
        <v>17852</v>
      </c>
      <c r="C2324" s="143">
        <v>112373</v>
      </c>
      <c r="D2324" s="142" t="s">
        <v>15244</v>
      </c>
      <c r="E2324" s="144">
        <v>10941.2</v>
      </c>
      <c r="F2324" s="145">
        <v>42880</v>
      </c>
      <c r="G2324" s="146">
        <v>10941.2</v>
      </c>
      <c r="H2324" s="138">
        <f t="shared" si="37"/>
        <v>0</v>
      </c>
      <c r="I2324" s="147" t="s">
        <v>15214</v>
      </c>
    </row>
    <row r="2325" spans="1:9" x14ac:dyDescent="0.25">
      <c r="A2325" s="168" t="s">
        <v>17757</v>
      </c>
      <c r="B2325" s="136" t="s">
        <v>17853</v>
      </c>
      <c r="C2325" s="137">
        <v>112374</v>
      </c>
      <c r="D2325" s="136" t="s">
        <v>15566</v>
      </c>
      <c r="E2325" s="138">
        <v>2789.2</v>
      </c>
      <c r="F2325" s="139">
        <v>42873</v>
      </c>
      <c r="G2325" s="140">
        <v>2789.2</v>
      </c>
      <c r="H2325" s="138">
        <f t="shared" si="37"/>
        <v>0</v>
      </c>
      <c r="I2325" s="141" t="s">
        <v>15214</v>
      </c>
    </row>
    <row r="2326" spans="1:9" x14ac:dyDescent="0.25">
      <c r="A2326" s="167" t="s">
        <v>17757</v>
      </c>
      <c r="B2326" s="142" t="s">
        <v>17854</v>
      </c>
      <c r="C2326" s="143">
        <v>112375</v>
      </c>
      <c r="D2326" s="142" t="s">
        <v>15246</v>
      </c>
      <c r="E2326" s="144">
        <v>54060.9</v>
      </c>
      <c r="F2326" s="145">
        <v>42875</v>
      </c>
      <c r="G2326" s="146">
        <v>54060.9</v>
      </c>
      <c r="H2326" s="138">
        <f t="shared" si="37"/>
        <v>0</v>
      </c>
      <c r="I2326" s="147" t="s">
        <v>15214</v>
      </c>
    </row>
    <row r="2327" spans="1:9" x14ac:dyDescent="0.25">
      <c r="A2327" s="168" t="s">
        <v>17757</v>
      </c>
      <c r="B2327" s="136" t="s">
        <v>17855</v>
      </c>
      <c r="C2327" s="137">
        <v>112376</v>
      </c>
      <c r="D2327" s="136" t="s">
        <v>15956</v>
      </c>
      <c r="E2327" s="138">
        <v>1050</v>
      </c>
      <c r="F2327" s="139">
        <v>42873</v>
      </c>
      <c r="G2327" s="140">
        <v>1050</v>
      </c>
      <c r="H2327" s="138">
        <f t="shared" si="37"/>
        <v>0</v>
      </c>
      <c r="I2327" s="141" t="s">
        <v>15214</v>
      </c>
    </row>
    <row r="2328" spans="1:9" x14ac:dyDescent="0.25">
      <c r="A2328" s="167" t="s">
        <v>17757</v>
      </c>
      <c r="B2328" s="142" t="s">
        <v>17856</v>
      </c>
      <c r="C2328" s="143">
        <v>112377</v>
      </c>
      <c r="D2328" s="142" t="s">
        <v>15378</v>
      </c>
      <c r="E2328" s="144">
        <v>590.6</v>
      </c>
      <c r="F2328" s="145">
        <v>42873</v>
      </c>
      <c r="G2328" s="146">
        <v>590.6</v>
      </c>
      <c r="H2328" s="138">
        <f t="shared" si="37"/>
        <v>0</v>
      </c>
      <c r="I2328" s="147" t="s">
        <v>15214</v>
      </c>
    </row>
    <row r="2329" spans="1:9" x14ac:dyDescent="0.25">
      <c r="A2329" s="168" t="s">
        <v>17757</v>
      </c>
      <c r="B2329" s="136" t="s">
        <v>17857</v>
      </c>
      <c r="C2329" s="137">
        <v>112378</v>
      </c>
      <c r="D2329" s="136" t="s">
        <v>15315</v>
      </c>
      <c r="E2329" s="138">
        <v>448</v>
      </c>
      <c r="F2329" s="139">
        <v>42873</v>
      </c>
      <c r="G2329" s="140">
        <v>448</v>
      </c>
      <c r="H2329" s="138">
        <f t="shared" si="37"/>
        <v>0</v>
      </c>
      <c r="I2329" s="141" t="s">
        <v>15214</v>
      </c>
    </row>
    <row r="2330" spans="1:9" x14ac:dyDescent="0.25">
      <c r="A2330" s="167" t="s">
        <v>17757</v>
      </c>
      <c r="B2330" s="142" t="s">
        <v>17858</v>
      </c>
      <c r="C2330" s="143">
        <v>112379</v>
      </c>
      <c r="D2330" s="142" t="s">
        <v>15315</v>
      </c>
      <c r="E2330" s="144">
        <v>1174.2</v>
      </c>
      <c r="F2330" s="145">
        <v>42873</v>
      </c>
      <c r="G2330" s="146">
        <v>1174.2</v>
      </c>
      <c r="H2330" s="138">
        <f t="shared" si="37"/>
        <v>0</v>
      </c>
      <c r="I2330" s="147" t="s">
        <v>15214</v>
      </c>
    </row>
    <row r="2331" spans="1:9" x14ac:dyDescent="0.25">
      <c r="A2331" s="168" t="s">
        <v>17757</v>
      </c>
      <c r="B2331" s="136" t="s">
        <v>17859</v>
      </c>
      <c r="C2331" s="137">
        <v>112380</v>
      </c>
      <c r="D2331" s="136" t="s">
        <v>15284</v>
      </c>
      <c r="E2331" s="138">
        <v>1029</v>
      </c>
      <c r="F2331" s="139">
        <v>42873</v>
      </c>
      <c r="G2331" s="140">
        <v>1029</v>
      </c>
      <c r="H2331" s="138">
        <f t="shared" si="37"/>
        <v>0</v>
      </c>
      <c r="I2331" s="141" t="s">
        <v>15214</v>
      </c>
    </row>
    <row r="2332" spans="1:9" x14ac:dyDescent="0.25">
      <c r="A2332" s="167" t="s">
        <v>17757</v>
      </c>
      <c r="B2332" s="142" t="s">
        <v>17860</v>
      </c>
      <c r="C2332" s="143">
        <v>112381</v>
      </c>
      <c r="D2332" s="142" t="s">
        <v>15541</v>
      </c>
      <c r="E2332" s="144">
        <v>960</v>
      </c>
      <c r="F2332" s="145">
        <v>42873</v>
      </c>
      <c r="G2332" s="146">
        <v>960</v>
      </c>
      <c r="H2332" s="138">
        <f t="shared" si="37"/>
        <v>0</v>
      </c>
      <c r="I2332" s="147" t="s">
        <v>15214</v>
      </c>
    </row>
    <row r="2333" spans="1:9" x14ac:dyDescent="0.25">
      <c r="A2333" s="168" t="s">
        <v>17757</v>
      </c>
      <c r="B2333" s="136" t="s">
        <v>17861</v>
      </c>
      <c r="C2333" s="137">
        <v>112382</v>
      </c>
      <c r="D2333" s="136" t="s">
        <v>17862</v>
      </c>
      <c r="E2333" s="138">
        <v>495</v>
      </c>
      <c r="F2333" s="139">
        <v>42873</v>
      </c>
      <c r="G2333" s="140">
        <v>495</v>
      </c>
      <c r="H2333" s="138">
        <f t="shared" si="37"/>
        <v>0</v>
      </c>
      <c r="I2333" s="141" t="s">
        <v>15214</v>
      </c>
    </row>
    <row r="2334" spans="1:9" x14ac:dyDescent="0.25">
      <c r="A2334" s="167" t="s">
        <v>17757</v>
      </c>
      <c r="B2334" s="142" t="s">
        <v>17863</v>
      </c>
      <c r="C2334" s="143">
        <v>112383</v>
      </c>
      <c r="D2334" s="142" t="s">
        <v>15315</v>
      </c>
      <c r="E2334" s="144">
        <v>1291.2</v>
      </c>
      <c r="F2334" s="145">
        <v>42873</v>
      </c>
      <c r="G2334" s="146">
        <v>1291.2</v>
      </c>
      <c r="H2334" s="138">
        <f t="shared" si="37"/>
        <v>0</v>
      </c>
      <c r="I2334" s="147" t="s">
        <v>15214</v>
      </c>
    </row>
    <row r="2335" spans="1:9" x14ac:dyDescent="0.25">
      <c r="A2335" s="168" t="s">
        <v>17757</v>
      </c>
      <c r="B2335" s="136" t="s">
        <v>17864</v>
      </c>
      <c r="C2335" s="137">
        <v>112384</v>
      </c>
      <c r="D2335" s="136" t="s">
        <v>16522</v>
      </c>
      <c r="E2335" s="138">
        <v>3545.6</v>
      </c>
      <c r="F2335" s="157">
        <v>42952</v>
      </c>
      <c r="G2335" s="158">
        <v>3545.6</v>
      </c>
      <c r="H2335" s="138">
        <f t="shared" si="37"/>
        <v>0</v>
      </c>
      <c r="I2335" s="141" t="s">
        <v>15214</v>
      </c>
    </row>
    <row r="2336" spans="1:9" x14ac:dyDescent="0.25">
      <c r="A2336" s="167" t="s">
        <v>17757</v>
      </c>
      <c r="B2336" s="142" t="s">
        <v>17865</v>
      </c>
      <c r="C2336" s="143">
        <v>112385</v>
      </c>
      <c r="D2336" s="142" t="s">
        <v>15600</v>
      </c>
      <c r="E2336" s="144">
        <v>3593.6</v>
      </c>
      <c r="F2336" s="145">
        <v>42874</v>
      </c>
      <c r="G2336" s="146">
        <v>3593.6</v>
      </c>
      <c r="H2336" s="138">
        <f t="shared" si="37"/>
        <v>0</v>
      </c>
      <c r="I2336" s="147" t="s">
        <v>15214</v>
      </c>
    </row>
    <row r="2337" spans="1:9" x14ac:dyDescent="0.25">
      <c r="A2337" s="168" t="s">
        <v>17757</v>
      </c>
      <c r="B2337" s="136" t="s">
        <v>17866</v>
      </c>
      <c r="C2337" s="137">
        <v>112386</v>
      </c>
      <c r="D2337" s="136" t="s">
        <v>15276</v>
      </c>
      <c r="E2337" s="138">
        <v>3840</v>
      </c>
      <c r="F2337" s="139">
        <v>42874</v>
      </c>
      <c r="G2337" s="140">
        <v>3840</v>
      </c>
      <c r="H2337" s="138">
        <f t="shared" si="37"/>
        <v>0</v>
      </c>
      <c r="I2337" s="141" t="s">
        <v>15214</v>
      </c>
    </row>
    <row r="2338" spans="1:9" x14ac:dyDescent="0.25">
      <c r="A2338" s="167" t="s">
        <v>17757</v>
      </c>
      <c r="B2338" s="142" t="s">
        <v>17867</v>
      </c>
      <c r="C2338" s="143">
        <v>112387</v>
      </c>
      <c r="D2338" s="142" t="s">
        <v>15510</v>
      </c>
      <c r="E2338" s="144">
        <v>1305</v>
      </c>
      <c r="F2338" s="145">
        <v>42874</v>
      </c>
      <c r="G2338" s="146">
        <v>1305</v>
      </c>
      <c r="H2338" s="138">
        <f t="shared" si="37"/>
        <v>0</v>
      </c>
      <c r="I2338" s="147" t="s">
        <v>15214</v>
      </c>
    </row>
    <row r="2339" spans="1:9" x14ac:dyDescent="0.25">
      <c r="A2339" s="168" t="s">
        <v>17757</v>
      </c>
      <c r="B2339" s="136" t="s">
        <v>17868</v>
      </c>
      <c r="C2339" s="137">
        <v>112388</v>
      </c>
      <c r="D2339" s="136" t="s">
        <v>15423</v>
      </c>
      <c r="E2339" s="138">
        <v>3272.8</v>
      </c>
      <c r="F2339" s="139">
        <v>42873</v>
      </c>
      <c r="G2339" s="140">
        <v>3272.8</v>
      </c>
      <c r="H2339" s="138">
        <f t="shared" si="37"/>
        <v>0</v>
      </c>
      <c r="I2339" s="141" t="s">
        <v>15214</v>
      </c>
    </row>
    <row r="2340" spans="1:9" x14ac:dyDescent="0.25">
      <c r="A2340" s="167" t="s">
        <v>17757</v>
      </c>
      <c r="B2340" s="142" t="s">
        <v>17869</v>
      </c>
      <c r="C2340" s="143">
        <v>112389</v>
      </c>
      <c r="D2340" s="142" t="s">
        <v>15417</v>
      </c>
      <c r="E2340" s="144">
        <v>1739</v>
      </c>
      <c r="F2340" s="145">
        <v>42874</v>
      </c>
      <c r="G2340" s="146">
        <v>1739</v>
      </c>
      <c r="H2340" s="138">
        <f t="shared" si="37"/>
        <v>0</v>
      </c>
      <c r="I2340" s="147" t="s">
        <v>15214</v>
      </c>
    </row>
    <row r="2341" spans="1:9" x14ac:dyDescent="0.25">
      <c r="A2341" s="168" t="s">
        <v>17757</v>
      </c>
      <c r="B2341" s="136" t="s">
        <v>17870</v>
      </c>
      <c r="C2341" s="137">
        <v>112390</v>
      </c>
      <c r="D2341" s="136" t="s">
        <v>15313</v>
      </c>
      <c r="E2341" s="138">
        <v>4009.5</v>
      </c>
      <c r="F2341" s="139">
        <v>42883</v>
      </c>
      <c r="G2341" s="140">
        <v>4009.5</v>
      </c>
      <c r="H2341" s="138">
        <f t="shared" si="37"/>
        <v>0</v>
      </c>
      <c r="I2341" s="141" t="s">
        <v>15214</v>
      </c>
    </row>
    <row r="2342" spans="1:9" x14ac:dyDescent="0.25">
      <c r="A2342" s="167" t="s">
        <v>17757</v>
      </c>
      <c r="B2342" s="142" t="s">
        <v>17871</v>
      </c>
      <c r="C2342" s="143">
        <v>112391</v>
      </c>
      <c r="D2342" s="142" t="s">
        <v>15248</v>
      </c>
      <c r="E2342" s="144">
        <v>10206.799999999999</v>
      </c>
      <c r="F2342" s="145">
        <v>42874</v>
      </c>
      <c r="G2342" s="146">
        <v>10206.799999999999</v>
      </c>
      <c r="H2342" s="138">
        <f t="shared" si="37"/>
        <v>0</v>
      </c>
      <c r="I2342" s="147" t="s">
        <v>15214</v>
      </c>
    </row>
    <row r="2343" spans="1:9" x14ac:dyDescent="0.25">
      <c r="A2343" s="168" t="s">
        <v>17757</v>
      </c>
      <c r="B2343" s="136" t="s">
        <v>17872</v>
      </c>
      <c r="C2343" s="137">
        <v>112392</v>
      </c>
      <c r="D2343" s="136" t="s">
        <v>16288</v>
      </c>
      <c r="E2343" s="138">
        <v>874.8</v>
      </c>
      <c r="F2343" s="139">
        <v>42874</v>
      </c>
      <c r="G2343" s="140">
        <v>874.8</v>
      </c>
      <c r="H2343" s="138">
        <f t="shared" si="37"/>
        <v>0</v>
      </c>
      <c r="I2343" s="141" t="s">
        <v>15214</v>
      </c>
    </row>
    <row r="2344" spans="1:9" x14ac:dyDescent="0.25">
      <c r="A2344" s="167" t="s">
        <v>17757</v>
      </c>
      <c r="B2344" s="142" t="s">
        <v>17873</v>
      </c>
      <c r="C2344" s="143">
        <v>112393</v>
      </c>
      <c r="D2344" s="142" t="s">
        <v>15442</v>
      </c>
      <c r="E2344" s="144">
        <v>16569</v>
      </c>
      <c r="F2344" s="145">
        <v>42881</v>
      </c>
      <c r="G2344" s="146">
        <v>16569</v>
      </c>
      <c r="H2344" s="138">
        <f t="shared" si="37"/>
        <v>0</v>
      </c>
      <c r="I2344" s="147" t="s">
        <v>15214</v>
      </c>
    </row>
    <row r="2345" spans="1:9" x14ac:dyDescent="0.25">
      <c r="A2345" s="168" t="s">
        <v>17757</v>
      </c>
      <c r="B2345" s="136" t="s">
        <v>17874</v>
      </c>
      <c r="C2345" s="137">
        <v>112394</v>
      </c>
      <c r="D2345" s="136" t="s">
        <v>15444</v>
      </c>
      <c r="E2345" s="138">
        <v>2940</v>
      </c>
      <c r="F2345" s="139">
        <v>42874</v>
      </c>
      <c r="G2345" s="140">
        <v>2940</v>
      </c>
      <c r="H2345" s="138">
        <f t="shared" si="37"/>
        <v>0</v>
      </c>
      <c r="I2345" s="141" t="s">
        <v>15214</v>
      </c>
    </row>
    <row r="2346" spans="1:9" x14ac:dyDescent="0.25">
      <c r="A2346" s="167" t="s">
        <v>17757</v>
      </c>
      <c r="B2346" s="142" t="s">
        <v>17875</v>
      </c>
      <c r="C2346" s="143">
        <v>112395</v>
      </c>
      <c r="D2346" s="142" t="s">
        <v>15315</v>
      </c>
      <c r="E2346" s="144">
        <v>1714.6</v>
      </c>
      <c r="F2346" s="145">
        <v>42873</v>
      </c>
      <c r="G2346" s="146">
        <v>1714.6</v>
      </c>
      <c r="H2346" s="138">
        <f t="shared" si="37"/>
        <v>0</v>
      </c>
      <c r="I2346" s="147" t="s">
        <v>15214</v>
      </c>
    </row>
    <row r="2347" spans="1:9" x14ac:dyDescent="0.25">
      <c r="A2347" s="168" t="s">
        <v>17757</v>
      </c>
      <c r="B2347" s="136" t="s">
        <v>17876</v>
      </c>
      <c r="C2347" s="137">
        <v>112396</v>
      </c>
      <c r="D2347" s="136" t="s">
        <v>15398</v>
      </c>
      <c r="E2347" s="138">
        <v>1041.5999999999999</v>
      </c>
      <c r="F2347" s="139">
        <v>42873</v>
      </c>
      <c r="G2347" s="140">
        <v>1041.5999999999999</v>
      </c>
      <c r="H2347" s="138">
        <f t="shared" si="37"/>
        <v>0</v>
      </c>
      <c r="I2347" s="141" t="s">
        <v>15214</v>
      </c>
    </row>
    <row r="2348" spans="1:9" x14ac:dyDescent="0.25">
      <c r="A2348" s="167" t="s">
        <v>17757</v>
      </c>
      <c r="B2348" s="142" t="s">
        <v>17877</v>
      </c>
      <c r="C2348" s="143">
        <v>112397</v>
      </c>
      <c r="D2348" s="142" t="s">
        <v>15396</v>
      </c>
      <c r="E2348" s="144">
        <v>7184.04</v>
      </c>
      <c r="F2348" s="145">
        <v>42873</v>
      </c>
      <c r="G2348" s="146">
        <v>7184.04</v>
      </c>
      <c r="H2348" s="138">
        <f t="shared" si="37"/>
        <v>0</v>
      </c>
      <c r="I2348" s="147" t="s">
        <v>15214</v>
      </c>
    </row>
    <row r="2349" spans="1:9" x14ac:dyDescent="0.25">
      <c r="A2349" s="168" t="s">
        <v>17757</v>
      </c>
      <c r="B2349" s="136" t="s">
        <v>17878</v>
      </c>
      <c r="C2349" s="137">
        <v>112398</v>
      </c>
      <c r="D2349" s="136" t="s">
        <v>15725</v>
      </c>
      <c r="E2349" s="138">
        <v>20162</v>
      </c>
      <c r="F2349" s="139">
        <v>42876</v>
      </c>
      <c r="G2349" s="140">
        <v>20162</v>
      </c>
      <c r="H2349" s="138">
        <f t="shared" si="37"/>
        <v>0</v>
      </c>
      <c r="I2349" s="141" t="s">
        <v>15214</v>
      </c>
    </row>
    <row r="2350" spans="1:9" ht="15.75" x14ac:dyDescent="0.25">
      <c r="A2350" s="167" t="s">
        <v>17757</v>
      </c>
      <c r="B2350" s="142" t="s">
        <v>17879</v>
      </c>
      <c r="C2350" s="143">
        <v>112399</v>
      </c>
      <c r="D2350" s="142" t="s">
        <v>15315</v>
      </c>
      <c r="E2350" s="144">
        <v>0</v>
      </c>
      <c r="F2350" s="156" t="s">
        <v>95</v>
      </c>
      <c r="G2350" s="144">
        <v>0</v>
      </c>
      <c r="H2350" s="138">
        <f t="shared" si="37"/>
        <v>0</v>
      </c>
      <c r="I2350" s="147" t="s">
        <v>95</v>
      </c>
    </row>
    <row r="2351" spans="1:9" ht="15.75" x14ac:dyDescent="0.25">
      <c r="A2351" s="168" t="s">
        <v>17757</v>
      </c>
      <c r="B2351" s="136" t="s">
        <v>17880</v>
      </c>
      <c r="C2351" s="137">
        <v>112400</v>
      </c>
      <c r="D2351" s="136" t="s">
        <v>15936</v>
      </c>
      <c r="E2351" s="138">
        <v>0</v>
      </c>
      <c r="F2351" s="153" t="s">
        <v>95</v>
      </c>
      <c r="G2351" s="138">
        <v>0</v>
      </c>
      <c r="H2351" s="138">
        <f t="shared" si="37"/>
        <v>0</v>
      </c>
      <c r="I2351" s="141" t="s">
        <v>95</v>
      </c>
    </row>
    <row r="2352" spans="1:9" x14ac:dyDescent="0.25">
      <c r="A2352" s="167" t="s">
        <v>17757</v>
      </c>
      <c r="B2352" s="142" t="s">
        <v>17881</v>
      </c>
      <c r="C2352" s="143">
        <v>112401</v>
      </c>
      <c r="D2352" s="142" t="s">
        <v>15936</v>
      </c>
      <c r="E2352" s="144">
        <v>17459</v>
      </c>
      <c r="F2352" s="145">
        <v>42873</v>
      </c>
      <c r="G2352" s="146">
        <v>17459</v>
      </c>
      <c r="H2352" s="138">
        <f t="shared" si="37"/>
        <v>0</v>
      </c>
      <c r="I2352" s="147" t="s">
        <v>15214</v>
      </c>
    </row>
    <row r="2353" spans="1:9" ht="30" x14ac:dyDescent="0.25">
      <c r="A2353" s="168" t="s">
        <v>17757</v>
      </c>
      <c r="B2353" s="136" t="s">
        <v>17882</v>
      </c>
      <c r="C2353" s="137">
        <v>112402</v>
      </c>
      <c r="D2353" s="136" t="s">
        <v>15456</v>
      </c>
      <c r="E2353" s="138">
        <v>69444</v>
      </c>
      <c r="F2353" s="172" t="s">
        <v>19784</v>
      </c>
      <c r="G2353" s="158">
        <f>15000+11500+42807+137</f>
        <v>69444</v>
      </c>
      <c r="H2353" s="138">
        <f t="shared" si="37"/>
        <v>0</v>
      </c>
      <c r="I2353" s="141" t="s">
        <v>15214</v>
      </c>
    </row>
    <row r="2354" spans="1:9" x14ac:dyDescent="0.25">
      <c r="A2354" s="167" t="s">
        <v>17757</v>
      </c>
      <c r="B2354" s="142" t="s">
        <v>17883</v>
      </c>
      <c r="C2354" s="143">
        <v>112403</v>
      </c>
      <c r="D2354" s="142" t="s">
        <v>15448</v>
      </c>
      <c r="E2354" s="144">
        <v>59985.14</v>
      </c>
      <c r="F2354" s="145">
        <v>42878</v>
      </c>
      <c r="G2354" s="146">
        <v>59985.14</v>
      </c>
      <c r="H2354" s="138">
        <f t="shared" si="37"/>
        <v>0</v>
      </c>
      <c r="I2354" s="147" t="s">
        <v>15214</v>
      </c>
    </row>
    <row r="2355" spans="1:9" x14ac:dyDescent="0.25">
      <c r="A2355" s="168" t="s">
        <v>17757</v>
      </c>
      <c r="B2355" s="136" t="s">
        <v>17884</v>
      </c>
      <c r="C2355" s="137">
        <v>112404</v>
      </c>
      <c r="D2355" s="136" t="s">
        <v>15462</v>
      </c>
      <c r="E2355" s="138">
        <v>17154.900000000001</v>
      </c>
      <c r="F2355" s="139">
        <v>42875</v>
      </c>
      <c r="G2355" s="140">
        <v>17154.900000000001</v>
      </c>
      <c r="H2355" s="138">
        <f t="shared" si="37"/>
        <v>0</v>
      </c>
      <c r="I2355" s="141" t="s">
        <v>15214</v>
      </c>
    </row>
    <row r="2356" spans="1:9" x14ac:dyDescent="0.25">
      <c r="A2356" s="167" t="s">
        <v>17757</v>
      </c>
      <c r="B2356" s="142" t="s">
        <v>17885</v>
      </c>
      <c r="C2356" s="143">
        <v>112405</v>
      </c>
      <c r="D2356" s="142" t="s">
        <v>15460</v>
      </c>
      <c r="E2356" s="144">
        <v>5036.6000000000004</v>
      </c>
      <c r="F2356" s="145">
        <v>42875</v>
      </c>
      <c r="G2356" s="146">
        <v>5036.6000000000004</v>
      </c>
      <c r="H2356" s="138">
        <f t="shared" si="37"/>
        <v>0</v>
      </c>
      <c r="I2356" s="147" t="s">
        <v>15214</v>
      </c>
    </row>
    <row r="2357" spans="1:9" x14ac:dyDescent="0.25">
      <c r="A2357" s="168" t="s">
        <v>17757</v>
      </c>
      <c r="B2357" s="136" t="s">
        <v>17886</v>
      </c>
      <c r="C2357" s="137">
        <v>112406</v>
      </c>
      <c r="D2357" s="136" t="s">
        <v>15446</v>
      </c>
      <c r="E2357" s="138">
        <v>2285.1999999999998</v>
      </c>
      <c r="F2357" s="139">
        <v>42875</v>
      </c>
      <c r="G2357" s="140">
        <v>2285.1999999999998</v>
      </c>
      <c r="H2357" s="138">
        <f t="shared" si="37"/>
        <v>0</v>
      </c>
      <c r="I2357" s="141" t="s">
        <v>15214</v>
      </c>
    </row>
    <row r="2358" spans="1:9" x14ac:dyDescent="0.25">
      <c r="A2358" s="167" t="s">
        <v>17757</v>
      </c>
      <c r="B2358" s="142" t="s">
        <v>17887</v>
      </c>
      <c r="C2358" s="143">
        <v>112407</v>
      </c>
      <c r="D2358" s="142" t="s">
        <v>15458</v>
      </c>
      <c r="E2358" s="144">
        <v>1960</v>
      </c>
      <c r="F2358" s="145">
        <v>42875</v>
      </c>
      <c r="G2358" s="146">
        <v>1960</v>
      </c>
      <c r="H2358" s="138">
        <f t="shared" si="37"/>
        <v>0</v>
      </c>
      <c r="I2358" s="147" t="s">
        <v>15214</v>
      </c>
    </row>
    <row r="2359" spans="1:9" x14ac:dyDescent="0.25">
      <c r="A2359" s="168" t="s">
        <v>17757</v>
      </c>
      <c r="B2359" s="136" t="s">
        <v>17888</v>
      </c>
      <c r="C2359" s="137">
        <v>112408</v>
      </c>
      <c r="D2359" s="136" t="s">
        <v>16965</v>
      </c>
      <c r="E2359" s="138">
        <v>11296.4</v>
      </c>
      <c r="F2359" s="139">
        <v>42875</v>
      </c>
      <c r="G2359" s="140">
        <v>11296.4</v>
      </c>
      <c r="H2359" s="138">
        <f t="shared" si="37"/>
        <v>0</v>
      </c>
      <c r="I2359" s="141" t="s">
        <v>15214</v>
      </c>
    </row>
    <row r="2360" spans="1:9" x14ac:dyDescent="0.25">
      <c r="A2360" s="167" t="s">
        <v>17757</v>
      </c>
      <c r="B2360" s="142" t="s">
        <v>17889</v>
      </c>
      <c r="C2360" s="143">
        <v>112409</v>
      </c>
      <c r="D2360" s="142" t="s">
        <v>15452</v>
      </c>
      <c r="E2360" s="144">
        <v>3871.4</v>
      </c>
      <c r="F2360" s="145">
        <v>42875</v>
      </c>
      <c r="G2360" s="146">
        <v>3871.4</v>
      </c>
      <c r="H2360" s="138">
        <f t="shared" si="37"/>
        <v>0</v>
      </c>
      <c r="I2360" s="147" t="s">
        <v>15214</v>
      </c>
    </row>
    <row r="2361" spans="1:9" x14ac:dyDescent="0.25">
      <c r="A2361" s="168" t="s">
        <v>17757</v>
      </c>
      <c r="B2361" s="136" t="s">
        <v>17890</v>
      </c>
      <c r="C2361" s="137">
        <v>112410</v>
      </c>
      <c r="D2361" s="136" t="s">
        <v>15462</v>
      </c>
      <c r="E2361" s="138">
        <v>1068.5999999999999</v>
      </c>
      <c r="F2361" s="139">
        <v>42875</v>
      </c>
      <c r="G2361" s="140">
        <v>1068.5999999999999</v>
      </c>
      <c r="H2361" s="138">
        <f t="shared" si="37"/>
        <v>0</v>
      </c>
      <c r="I2361" s="141" t="s">
        <v>15214</v>
      </c>
    </row>
    <row r="2362" spans="1:9" x14ac:dyDescent="0.25">
      <c r="A2362" s="167" t="s">
        <v>17757</v>
      </c>
      <c r="B2362" s="142" t="s">
        <v>17891</v>
      </c>
      <c r="C2362" s="143">
        <v>112411</v>
      </c>
      <c r="D2362" s="142" t="s">
        <v>15246</v>
      </c>
      <c r="E2362" s="144">
        <v>68175.5</v>
      </c>
      <c r="F2362" s="145">
        <v>42875</v>
      </c>
      <c r="G2362" s="146">
        <v>68175.5</v>
      </c>
      <c r="H2362" s="138">
        <f t="shared" si="37"/>
        <v>0</v>
      </c>
      <c r="I2362" s="147" t="s">
        <v>15214</v>
      </c>
    </row>
    <row r="2363" spans="1:9" x14ac:dyDescent="0.25">
      <c r="A2363" s="168" t="s">
        <v>17757</v>
      </c>
      <c r="B2363" s="136" t="s">
        <v>17892</v>
      </c>
      <c r="C2363" s="137">
        <v>112412</v>
      </c>
      <c r="D2363" s="136" t="s">
        <v>15961</v>
      </c>
      <c r="E2363" s="138">
        <v>10587.9</v>
      </c>
      <c r="F2363" s="139">
        <v>42875</v>
      </c>
      <c r="G2363" s="140">
        <v>10587.9</v>
      </c>
      <c r="H2363" s="138">
        <f t="shared" si="37"/>
        <v>0</v>
      </c>
      <c r="I2363" s="141" t="s">
        <v>15214</v>
      </c>
    </row>
    <row r="2364" spans="1:9" x14ac:dyDescent="0.25">
      <c r="A2364" s="167" t="s">
        <v>17757</v>
      </c>
      <c r="B2364" s="142" t="s">
        <v>17893</v>
      </c>
      <c r="C2364" s="143">
        <v>112413</v>
      </c>
      <c r="D2364" s="142" t="s">
        <v>15450</v>
      </c>
      <c r="E2364" s="144">
        <v>2179.1</v>
      </c>
      <c r="F2364" s="145">
        <v>42875</v>
      </c>
      <c r="G2364" s="146">
        <v>2179.1</v>
      </c>
      <c r="H2364" s="138">
        <f t="shared" si="37"/>
        <v>0</v>
      </c>
      <c r="I2364" s="147" t="s">
        <v>15214</v>
      </c>
    </row>
    <row r="2365" spans="1:9" x14ac:dyDescent="0.25">
      <c r="A2365" s="168" t="s">
        <v>17757</v>
      </c>
      <c r="B2365" s="136" t="s">
        <v>17894</v>
      </c>
      <c r="C2365" s="137">
        <v>112414</v>
      </c>
      <c r="D2365" s="136" t="s">
        <v>15246</v>
      </c>
      <c r="E2365" s="138">
        <v>261116.56</v>
      </c>
      <c r="F2365" s="139" t="s">
        <v>17895</v>
      </c>
      <c r="G2365" s="140">
        <f>178879.12+82237.44</f>
        <v>261116.56</v>
      </c>
      <c r="H2365" s="138">
        <f t="shared" si="37"/>
        <v>0</v>
      </c>
      <c r="I2365" s="141" t="s">
        <v>15214</v>
      </c>
    </row>
    <row r="2366" spans="1:9" x14ac:dyDescent="0.25">
      <c r="A2366" s="167" t="s">
        <v>17757</v>
      </c>
      <c r="B2366" s="142" t="s">
        <v>17896</v>
      </c>
      <c r="C2366" s="143">
        <v>112415</v>
      </c>
      <c r="D2366" s="142" t="s">
        <v>15407</v>
      </c>
      <c r="E2366" s="144">
        <v>8283.4</v>
      </c>
      <c r="F2366" s="145">
        <v>42873</v>
      </c>
      <c r="G2366" s="146">
        <v>8283.4</v>
      </c>
      <c r="H2366" s="138">
        <f t="shared" si="37"/>
        <v>0</v>
      </c>
      <c r="I2366" s="147" t="s">
        <v>15214</v>
      </c>
    </row>
    <row r="2367" spans="1:9" x14ac:dyDescent="0.25">
      <c r="A2367" s="168" t="s">
        <v>17757</v>
      </c>
      <c r="B2367" s="136" t="s">
        <v>17897</v>
      </c>
      <c r="C2367" s="137">
        <v>112416</v>
      </c>
      <c r="D2367" s="136" t="s">
        <v>15236</v>
      </c>
      <c r="E2367" s="138">
        <v>6062.4</v>
      </c>
      <c r="F2367" s="139">
        <v>42877</v>
      </c>
      <c r="G2367" s="140">
        <v>6062.4</v>
      </c>
      <c r="H2367" s="138">
        <f t="shared" si="37"/>
        <v>0</v>
      </c>
      <c r="I2367" s="141" t="s">
        <v>15214</v>
      </c>
    </row>
    <row r="2368" spans="1:9" x14ac:dyDescent="0.25">
      <c r="A2368" s="167" t="s">
        <v>17757</v>
      </c>
      <c r="B2368" s="142" t="s">
        <v>17898</v>
      </c>
      <c r="C2368" s="143">
        <v>112417</v>
      </c>
      <c r="D2368" s="142" t="s">
        <v>15642</v>
      </c>
      <c r="E2368" s="144">
        <v>6325.2</v>
      </c>
      <c r="F2368" s="145">
        <v>42873</v>
      </c>
      <c r="G2368" s="146">
        <v>6325.2</v>
      </c>
      <c r="H2368" s="138">
        <f t="shared" si="37"/>
        <v>0</v>
      </c>
      <c r="I2368" s="147" t="s">
        <v>15214</v>
      </c>
    </row>
    <row r="2369" spans="1:9" x14ac:dyDescent="0.25">
      <c r="A2369" s="168" t="s">
        <v>17757</v>
      </c>
      <c r="B2369" s="136" t="s">
        <v>17899</v>
      </c>
      <c r="C2369" s="137">
        <v>112418</v>
      </c>
      <c r="D2369" s="136" t="s">
        <v>15315</v>
      </c>
      <c r="E2369" s="138">
        <v>2984.52</v>
      </c>
      <c r="F2369" s="139">
        <v>42874</v>
      </c>
      <c r="G2369" s="140">
        <v>2984.52</v>
      </c>
      <c r="H2369" s="138">
        <f t="shared" si="37"/>
        <v>0</v>
      </c>
      <c r="I2369" s="141" t="s">
        <v>15214</v>
      </c>
    </row>
    <row r="2370" spans="1:9" x14ac:dyDescent="0.25">
      <c r="A2370" s="167" t="s">
        <v>17900</v>
      </c>
      <c r="B2370" s="142" t="s">
        <v>17901</v>
      </c>
      <c r="C2370" s="143">
        <v>112419</v>
      </c>
      <c r="D2370" s="142" t="s">
        <v>15213</v>
      </c>
      <c r="E2370" s="144">
        <v>9725.5</v>
      </c>
      <c r="F2370" s="145">
        <v>42875</v>
      </c>
      <c r="G2370" s="146">
        <v>9725.5</v>
      </c>
      <c r="H2370" s="138">
        <f t="shared" si="37"/>
        <v>0</v>
      </c>
      <c r="I2370" s="147" t="s">
        <v>15214</v>
      </c>
    </row>
    <row r="2371" spans="1:9" x14ac:dyDescent="0.25">
      <c r="A2371" s="168" t="s">
        <v>17900</v>
      </c>
      <c r="B2371" s="136" t="s">
        <v>17902</v>
      </c>
      <c r="C2371" s="137">
        <v>112420</v>
      </c>
      <c r="D2371" s="136" t="s">
        <v>15216</v>
      </c>
      <c r="E2371" s="138">
        <v>7713.4</v>
      </c>
      <c r="F2371" s="139">
        <v>42874</v>
      </c>
      <c r="G2371" s="140">
        <v>7713.4</v>
      </c>
      <c r="H2371" s="138">
        <f t="shared" si="37"/>
        <v>0</v>
      </c>
      <c r="I2371" s="141" t="s">
        <v>15214</v>
      </c>
    </row>
    <row r="2372" spans="1:9" x14ac:dyDescent="0.25">
      <c r="A2372" s="167" t="s">
        <v>17900</v>
      </c>
      <c r="B2372" s="142" t="s">
        <v>17903</v>
      </c>
      <c r="C2372" s="143">
        <v>112421</v>
      </c>
      <c r="D2372" s="142" t="s">
        <v>15213</v>
      </c>
      <c r="E2372" s="144">
        <v>28821.5</v>
      </c>
      <c r="F2372" s="145">
        <v>42875</v>
      </c>
      <c r="G2372" s="146">
        <v>28821.5</v>
      </c>
      <c r="H2372" s="138">
        <f t="shared" si="37"/>
        <v>0</v>
      </c>
      <c r="I2372" s="147" t="s">
        <v>15214</v>
      </c>
    </row>
    <row r="2373" spans="1:9" x14ac:dyDescent="0.25">
      <c r="A2373" s="168" t="s">
        <v>17900</v>
      </c>
      <c r="B2373" s="136" t="s">
        <v>17904</v>
      </c>
      <c r="C2373" s="137">
        <v>112422</v>
      </c>
      <c r="D2373" s="136" t="s">
        <v>15220</v>
      </c>
      <c r="E2373" s="138">
        <v>2400</v>
      </c>
      <c r="F2373" s="139">
        <v>42874</v>
      </c>
      <c r="G2373" s="140">
        <v>2400</v>
      </c>
      <c r="H2373" s="138">
        <f t="shared" ref="H2373:H2436" si="38">E2373-G2373</f>
        <v>0</v>
      </c>
      <c r="I2373" s="141" t="s">
        <v>15214</v>
      </c>
    </row>
    <row r="2374" spans="1:9" x14ac:dyDescent="0.25">
      <c r="A2374" s="167" t="s">
        <v>17900</v>
      </c>
      <c r="B2374" s="142" t="s">
        <v>17905</v>
      </c>
      <c r="C2374" s="143">
        <v>112423</v>
      </c>
      <c r="D2374" s="142" t="s">
        <v>15242</v>
      </c>
      <c r="E2374" s="144">
        <v>9531</v>
      </c>
      <c r="F2374" s="145">
        <v>42874</v>
      </c>
      <c r="G2374" s="146">
        <v>9531</v>
      </c>
      <c r="H2374" s="138">
        <f t="shared" si="38"/>
        <v>0</v>
      </c>
      <c r="I2374" s="147" t="s">
        <v>15214</v>
      </c>
    </row>
    <row r="2375" spans="1:9" x14ac:dyDescent="0.25">
      <c r="A2375" s="168" t="s">
        <v>17900</v>
      </c>
      <c r="B2375" s="136" t="s">
        <v>17906</v>
      </c>
      <c r="C2375" s="137">
        <v>112424</v>
      </c>
      <c r="D2375" s="136" t="s">
        <v>15315</v>
      </c>
      <c r="E2375" s="138">
        <v>3963.4</v>
      </c>
      <c r="F2375" s="139">
        <v>42874</v>
      </c>
      <c r="G2375" s="140">
        <v>3963.4</v>
      </c>
      <c r="H2375" s="138">
        <f t="shared" si="38"/>
        <v>0</v>
      </c>
      <c r="I2375" s="141" t="s">
        <v>15214</v>
      </c>
    </row>
    <row r="2376" spans="1:9" x14ac:dyDescent="0.25">
      <c r="A2376" s="167" t="s">
        <v>17900</v>
      </c>
      <c r="B2376" s="142" t="s">
        <v>17907</v>
      </c>
      <c r="C2376" s="143">
        <v>112425</v>
      </c>
      <c r="D2376" s="142" t="s">
        <v>15407</v>
      </c>
      <c r="E2376" s="144">
        <v>14430.3</v>
      </c>
      <c r="F2376" s="145">
        <v>42874</v>
      </c>
      <c r="G2376" s="146">
        <v>14430.3</v>
      </c>
      <c r="H2376" s="138">
        <f t="shared" si="38"/>
        <v>0</v>
      </c>
      <c r="I2376" s="147" t="s">
        <v>15214</v>
      </c>
    </row>
    <row r="2377" spans="1:9" x14ac:dyDescent="0.25">
      <c r="A2377" s="168" t="s">
        <v>17900</v>
      </c>
      <c r="B2377" s="136" t="s">
        <v>17908</v>
      </c>
      <c r="C2377" s="137">
        <v>112426</v>
      </c>
      <c r="D2377" s="136" t="s">
        <v>15230</v>
      </c>
      <c r="E2377" s="138">
        <v>12532.7</v>
      </c>
      <c r="F2377" s="139">
        <v>42878</v>
      </c>
      <c r="G2377" s="140">
        <v>12532.7</v>
      </c>
      <c r="H2377" s="138">
        <f t="shared" si="38"/>
        <v>0</v>
      </c>
      <c r="I2377" s="141" t="s">
        <v>15214</v>
      </c>
    </row>
    <row r="2378" spans="1:9" x14ac:dyDescent="0.25">
      <c r="A2378" s="167" t="s">
        <v>17900</v>
      </c>
      <c r="B2378" s="142" t="s">
        <v>17909</v>
      </c>
      <c r="C2378" s="143">
        <v>112427</v>
      </c>
      <c r="D2378" s="142" t="s">
        <v>15232</v>
      </c>
      <c r="E2378" s="144">
        <v>6015.2</v>
      </c>
      <c r="F2378" s="145">
        <v>42880</v>
      </c>
      <c r="G2378" s="146">
        <v>6015.2</v>
      </c>
      <c r="H2378" s="138">
        <f t="shared" si="38"/>
        <v>0</v>
      </c>
      <c r="I2378" s="147" t="s">
        <v>15214</v>
      </c>
    </row>
    <row r="2379" spans="1:9" x14ac:dyDescent="0.25">
      <c r="A2379" s="168" t="s">
        <v>17900</v>
      </c>
      <c r="B2379" s="136" t="s">
        <v>17910</v>
      </c>
      <c r="C2379" s="137">
        <v>112428</v>
      </c>
      <c r="D2379" s="136" t="s">
        <v>15236</v>
      </c>
      <c r="E2379" s="138">
        <v>3735.8</v>
      </c>
      <c r="F2379" s="139">
        <v>42877</v>
      </c>
      <c r="G2379" s="140">
        <v>3735.8</v>
      </c>
      <c r="H2379" s="138">
        <f t="shared" si="38"/>
        <v>0</v>
      </c>
      <c r="I2379" s="141" t="s">
        <v>15214</v>
      </c>
    </row>
    <row r="2380" spans="1:9" x14ac:dyDescent="0.25">
      <c r="A2380" s="167" t="s">
        <v>17900</v>
      </c>
      <c r="B2380" s="142" t="s">
        <v>17911</v>
      </c>
      <c r="C2380" s="143">
        <v>112429</v>
      </c>
      <c r="D2380" s="142" t="s">
        <v>15244</v>
      </c>
      <c r="E2380" s="144">
        <v>5464.9</v>
      </c>
      <c r="F2380" s="145">
        <v>42880</v>
      </c>
      <c r="G2380" s="146">
        <v>5464.9</v>
      </c>
      <c r="H2380" s="138">
        <f t="shared" si="38"/>
        <v>0</v>
      </c>
      <c r="I2380" s="147" t="s">
        <v>15214</v>
      </c>
    </row>
    <row r="2381" spans="1:9" x14ac:dyDescent="0.25">
      <c r="A2381" s="168" t="s">
        <v>17900</v>
      </c>
      <c r="B2381" s="136" t="s">
        <v>17912</v>
      </c>
      <c r="C2381" s="137">
        <v>112430</v>
      </c>
      <c r="D2381" s="136" t="s">
        <v>15596</v>
      </c>
      <c r="E2381" s="138">
        <v>1200</v>
      </c>
      <c r="F2381" s="139">
        <v>42874</v>
      </c>
      <c r="G2381" s="140">
        <v>1200</v>
      </c>
      <c r="H2381" s="138">
        <f t="shared" si="38"/>
        <v>0</v>
      </c>
      <c r="I2381" s="141" t="s">
        <v>15214</v>
      </c>
    </row>
    <row r="2382" spans="1:9" x14ac:dyDescent="0.25">
      <c r="A2382" s="167" t="s">
        <v>17900</v>
      </c>
      <c r="B2382" s="142" t="s">
        <v>17913</v>
      </c>
      <c r="C2382" s="143">
        <v>112431</v>
      </c>
      <c r="D2382" s="142" t="s">
        <v>15240</v>
      </c>
      <c r="E2382" s="144">
        <v>3411.9</v>
      </c>
      <c r="F2382" s="145">
        <v>42877</v>
      </c>
      <c r="G2382" s="146">
        <v>3411.9</v>
      </c>
      <c r="H2382" s="138">
        <f t="shared" si="38"/>
        <v>0</v>
      </c>
      <c r="I2382" s="147" t="s">
        <v>15214</v>
      </c>
    </row>
    <row r="2383" spans="1:9" x14ac:dyDescent="0.25">
      <c r="A2383" s="168" t="s">
        <v>17900</v>
      </c>
      <c r="B2383" s="136" t="s">
        <v>17914</v>
      </c>
      <c r="C2383" s="137">
        <v>112432</v>
      </c>
      <c r="D2383" s="136" t="s">
        <v>15549</v>
      </c>
      <c r="E2383" s="138">
        <v>8017</v>
      </c>
      <c r="F2383" s="139">
        <v>42874</v>
      </c>
      <c r="G2383" s="140">
        <v>8017</v>
      </c>
      <c r="H2383" s="138">
        <f t="shared" si="38"/>
        <v>0</v>
      </c>
      <c r="I2383" s="141" t="s">
        <v>15214</v>
      </c>
    </row>
    <row r="2384" spans="1:9" x14ac:dyDescent="0.25">
      <c r="A2384" s="167" t="s">
        <v>17900</v>
      </c>
      <c r="B2384" s="142" t="s">
        <v>17915</v>
      </c>
      <c r="C2384" s="143">
        <v>112433</v>
      </c>
      <c r="D2384" s="142" t="s">
        <v>15272</v>
      </c>
      <c r="E2384" s="144">
        <v>16549.8</v>
      </c>
      <c r="F2384" s="145">
        <v>42874</v>
      </c>
      <c r="G2384" s="146">
        <v>16549.8</v>
      </c>
      <c r="H2384" s="138">
        <f t="shared" si="38"/>
        <v>0</v>
      </c>
      <c r="I2384" s="147" t="s">
        <v>15214</v>
      </c>
    </row>
    <row r="2385" spans="1:9" x14ac:dyDescent="0.25">
      <c r="A2385" s="168" t="s">
        <v>17900</v>
      </c>
      <c r="B2385" s="136" t="s">
        <v>17916</v>
      </c>
      <c r="C2385" s="137">
        <v>112434</v>
      </c>
      <c r="D2385" s="136" t="s">
        <v>15228</v>
      </c>
      <c r="E2385" s="138">
        <v>6926.4</v>
      </c>
      <c r="F2385" s="139">
        <v>42874</v>
      </c>
      <c r="G2385" s="140">
        <v>6926.4</v>
      </c>
      <c r="H2385" s="138">
        <f t="shared" si="38"/>
        <v>0</v>
      </c>
      <c r="I2385" s="141" t="s">
        <v>15214</v>
      </c>
    </row>
    <row r="2386" spans="1:9" x14ac:dyDescent="0.25">
      <c r="A2386" s="167" t="s">
        <v>17900</v>
      </c>
      <c r="B2386" s="142" t="s">
        <v>17917</v>
      </c>
      <c r="C2386" s="143">
        <v>112435</v>
      </c>
      <c r="D2386" s="142" t="s">
        <v>15324</v>
      </c>
      <c r="E2386" s="144">
        <v>2855</v>
      </c>
      <c r="F2386" s="145">
        <v>42874</v>
      </c>
      <c r="G2386" s="146">
        <v>2855</v>
      </c>
      <c r="H2386" s="138">
        <f t="shared" si="38"/>
        <v>0</v>
      </c>
      <c r="I2386" s="147" t="s">
        <v>15214</v>
      </c>
    </row>
    <row r="2387" spans="1:9" x14ac:dyDescent="0.25">
      <c r="A2387" s="168" t="s">
        <v>17900</v>
      </c>
      <c r="B2387" s="136" t="s">
        <v>17918</v>
      </c>
      <c r="C2387" s="137">
        <v>112436</v>
      </c>
      <c r="D2387" s="136" t="s">
        <v>15480</v>
      </c>
      <c r="E2387" s="138">
        <v>3216.6</v>
      </c>
      <c r="F2387" s="139">
        <v>42877</v>
      </c>
      <c r="G2387" s="140">
        <v>3216.6</v>
      </c>
      <c r="H2387" s="138">
        <f t="shared" si="38"/>
        <v>0</v>
      </c>
      <c r="I2387" s="141" t="s">
        <v>15214</v>
      </c>
    </row>
    <row r="2388" spans="1:9" x14ac:dyDescent="0.25">
      <c r="A2388" s="167" t="s">
        <v>17900</v>
      </c>
      <c r="B2388" s="142" t="s">
        <v>17919</v>
      </c>
      <c r="C2388" s="143">
        <v>112437</v>
      </c>
      <c r="D2388" s="142" t="s">
        <v>15338</v>
      </c>
      <c r="E2388" s="144">
        <v>9086.1</v>
      </c>
      <c r="F2388" s="145">
        <v>42879</v>
      </c>
      <c r="G2388" s="146">
        <v>9086.1</v>
      </c>
      <c r="H2388" s="138">
        <f t="shared" si="38"/>
        <v>0</v>
      </c>
      <c r="I2388" s="147" t="s">
        <v>15214</v>
      </c>
    </row>
    <row r="2389" spans="1:9" x14ac:dyDescent="0.25">
      <c r="A2389" s="168" t="s">
        <v>17900</v>
      </c>
      <c r="B2389" s="136" t="s">
        <v>17920</v>
      </c>
      <c r="C2389" s="137">
        <v>112438</v>
      </c>
      <c r="D2389" s="136" t="s">
        <v>15487</v>
      </c>
      <c r="E2389" s="138">
        <v>588.9</v>
      </c>
      <c r="F2389" s="139">
        <v>42874</v>
      </c>
      <c r="G2389" s="140">
        <v>588.9</v>
      </c>
      <c r="H2389" s="138">
        <f t="shared" si="38"/>
        <v>0</v>
      </c>
      <c r="I2389" s="141" t="s">
        <v>15214</v>
      </c>
    </row>
    <row r="2390" spans="1:9" x14ac:dyDescent="0.25">
      <c r="A2390" s="167" t="s">
        <v>17900</v>
      </c>
      <c r="B2390" s="142" t="s">
        <v>17921</v>
      </c>
      <c r="C2390" s="143">
        <v>112439</v>
      </c>
      <c r="D2390" s="142" t="s">
        <v>15226</v>
      </c>
      <c r="E2390" s="144">
        <v>1113.5999999999999</v>
      </c>
      <c r="F2390" s="145">
        <v>42875</v>
      </c>
      <c r="G2390" s="146">
        <v>1113.5999999999999</v>
      </c>
      <c r="H2390" s="138">
        <f t="shared" si="38"/>
        <v>0</v>
      </c>
      <c r="I2390" s="147" t="s">
        <v>15214</v>
      </c>
    </row>
    <row r="2391" spans="1:9" x14ac:dyDescent="0.25">
      <c r="A2391" s="168" t="s">
        <v>17900</v>
      </c>
      <c r="B2391" s="136" t="s">
        <v>17922</v>
      </c>
      <c r="C2391" s="137">
        <v>112440</v>
      </c>
      <c r="D2391" s="136" t="s">
        <v>5575</v>
      </c>
      <c r="E2391" s="138">
        <v>4103.3999999999996</v>
      </c>
      <c r="F2391" s="139">
        <v>42877</v>
      </c>
      <c r="G2391" s="140">
        <v>4103.3999999999996</v>
      </c>
      <c r="H2391" s="138">
        <f t="shared" si="38"/>
        <v>0</v>
      </c>
      <c r="I2391" s="141" t="s">
        <v>15214</v>
      </c>
    </row>
    <row r="2392" spans="1:9" x14ac:dyDescent="0.25">
      <c r="A2392" s="167" t="s">
        <v>17900</v>
      </c>
      <c r="B2392" s="142" t="s">
        <v>17923</v>
      </c>
      <c r="C2392" s="143">
        <v>112441</v>
      </c>
      <c r="D2392" s="142" t="s">
        <v>15234</v>
      </c>
      <c r="E2392" s="144">
        <v>2851.2</v>
      </c>
      <c r="F2392" s="145">
        <v>42877</v>
      </c>
      <c r="G2392" s="146">
        <v>2851.2</v>
      </c>
      <c r="H2392" s="138">
        <f t="shared" si="38"/>
        <v>0</v>
      </c>
      <c r="I2392" s="147" t="s">
        <v>15214</v>
      </c>
    </row>
    <row r="2393" spans="1:9" x14ac:dyDescent="0.25">
      <c r="A2393" s="168" t="s">
        <v>17900</v>
      </c>
      <c r="B2393" s="136" t="s">
        <v>17924</v>
      </c>
      <c r="C2393" s="137">
        <v>112442</v>
      </c>
      <c r="D2393" s="136" t="s">
        <v>15315</v>
      </c>
      <c r="E2393" s="138">
        <v>6889.4</v>
      </c>
      <c r="F2393" s="139">
        <v>42874</v>
      </c>
      <c r="G2393" s="140">
        <v>6889.4</v>
      </c>
      <c r="H2393" s="138">
        <f t="shared" si="38"/>
        <v>0</v>
      </c>
      <c r="I2393" s="141" t="s">
        <v>15214</v>
      </c>
    </row>
    <row r="2394" spans="1:9" x14ac:dyDescent="0.25">
      <c r="A2394" s="167" t="s">
        <v>17900</v>
      </c>
      <c r="B2394" s="142" t="s">
        <v>17925</v>
      </c>
      <c r="C2394" s="143">
        <v>112443</v>
      </c>
      <c r="D2394" s="142" t="s">
        <v>15274</v>
      </c>
      <c r="E2394" s="144">
        <v>3490.6</v>
      </c>
      <c r="F2394" s="145">
        <v>42874</v>
      </c>
      <c r="G2394" s="146">
        <v>3490.6</v>
      </c>
      <c r="H2394" s="138">
        <f t="shared" si="38"/>
        <v>0</v>
      </c>
      <c r="I2394" s="147" t="s">
        <v>15214</v>
      </c>
    </row>
    <row r="2395" spans="1:9" x14ac:dyDescent="0.25">
      <c r="A2395" s="168" t="s">
        <v>17900</v>
      </c>
      <c r="B2395" s="136" t="s">
        <v>17926</v>
      </c>
      <c r="C2395" s="137">
        <v>112444</v>
      </c>
      <c r="D2395" s="136" t="s">
        <v>15238</v>
      </c>
      <c r="E2395" s="138">
        <v>6341.2</v>
      </c>
      <c r="F2395" s="139">
        <v>42877</v>
      </c>
      <c r="G2395" s="140">
        <v>6341.2</v>
      </c>
      <c r="H2395" s="138">
        <f t="shared" si="38"/>
        <v>0</v>
      </c>
      <c r="I2395" s="141" t="s">
        <v>15214</v>
      </c>
    </row>
    <row r="2396" spans="1:9" x14ac:dyDescent="0.25">
      <c r="A2396" s="167" t="s">
        <v>17900</v>
      </c>
      <c r="B2396" s="142" t="s">
        <v>17927</v>
      </c>
      <c r="C2396" s="143">
        <v>112445</v>
      </c>
      <c r="D2396" s="142" t="s">
        <v>15668</v>
      </c>
      <c r="E2396" s="144">
        <v>15847.2</v>
      </c>
      <c r="F2396" s="145">
        <v>42877</v>
      </c>
      <c r="G2396" s="146">
        <v>15847.2</v>
      </c>
      <c r="H2396" s="138">
        <f t="shared" si="38"/>
        <v>0</v>
      </c>
      <c r="I2396" s="147" t="s">
        <v>15214</v>
      </c>
    </row>
    <row r="2397" spans="1:9" x14ac:dyDescent="0.25">
      <c r="A2397" s="168" t="s">
        <v>17900</v>
      </c>
      <c r="B2397" s="136" t="s">
        <v>17928</v>
      </c>
      <c r="C2397" s="137">
        <v>112446</v>
      </c>
      <c r="D2397" s="136" t="s">
        <v>17929</v>
      </c>
      <c r="E2397" s="138">
        <v>9278.2000000000007</v>
      </c>
      <c r="F2397" s="139">
        <v>42874</v>
      </c>
      <c r="G2397" s="140">
        <v>9278.2000000000007</v>
      </c>
      <c r="H2397" s="138">
        <f t="shared" si="38"/>
        <v>0</v>
      </c>
      <c r="I2397" s="141" t="s">
        <v>15214</v>
      </c>
    </row>
    <row r="2398" spans="1:9" x14ac:dyDescent="0.25">
      <c r="A2398" s="167" t="s">
        <v>17900</v>
      </c>
      <c r="B2398" s="142" t="s">
        <v>17930</v>
      </c>
      <c r="C2398" s="143">
        <v>112447</v>
      </c>
      <c r="D2398" s="142" t="s">
        <v>15258</v>
      </c>
      <c r="E2398" s="144">
        <v>14479.2</v>
      </c>
      <c r="F2398" s="145" t="s">
        <v>17931</v>
      </c>
      <c r="G2398" s="146">
        <f>7000+7479.2</f>
        <v>14479.2</v>
      </c>
      <c r="H2398" s="138">
        <f t="shared" si="38"/>
        <v>0</v>
      </c>
      <c r="I2398" s="147" t="s">
        <v>15214</v>
      </c>
    </row>
    <row r="2399" spans="1:9" x14ac:dyDescent="0.25">
      <c r="A2399" s="168" t="s">
        <v>17900</v>
      </c>
      <c r="B2399" s="136" t="s">
        <v>17932</v>
      </c>
      <c r="C2399" s="137">
        <v>112448</v>
      </c>
      <c r="D2399" s="136" t="s">
        <v>15256</v>
      </c>
      <c r="E2399" s="138">
        <v>10799</v>
      </c>
      <c r="F2399" s="145" t="s">
        <v>17931</v>
      </c>
      <c r="G2399" s="140">
        <f>8700+2099</f>
        <v>10799</v>
      </c>
      <c r="H2399" s="138">
        <f t="shared" si="38"/>
        <v>0</v>
      </c>
      <c r="I2399" s="141" t="s">
        <v>15214</v>
      </c>
    </row>
    <row r="2400" spans="1:9" x14ac:dyDescent="0.25">
      <c r="A2400" s="167" t="s">
        <v>17900</v>
      </c>
      <c r="B2400" s="142" t="s">
        <v>17933</v>
      </c>
      <c r="C2400" s="143">
        <v>112449</v>
      </c>
      <c r="D2400" s="142" t="s">
        <v>15442</v>
      </c>
      <c r="E2400" s="144">
        <v>16357.5</v>
      </c>
      <c r="F2400" s="145">
        <v>42881</v>
      </c>
      <c r="G2400" s="146">
        <v>16357.5</v>
      </c>
      <c r="H2400" s="138">
        <f t="shared" si="38"/>
        <v>0</v>
      </c>
      <c r="I2400" s="147" t="s">
        <v>15214</v>
      </c>
    </row>
    <row r="2401" spans="1:9" x14ac:dyDescent="0.25">
      <c r="A2401" s="168" t="s">
        <v>17900</v>
      </c>
      <c r="B2401" s="136" t="s">
        <v>17934</v>
      </c>
      <c r="C2401" s="137">
        <v>112450</v>
      </c>
      <c r="D2401" s="136" t="s">
        <v>15263</v>
      </c>
      <c r="E2401" s="138">
        <v>1746.1</v>
      </c>
      <c r="F2401" s="139">
        <v>42874</v>
      </c>
      <c r="G2401" s="140">
        <v>1746.1</v>
      </c>
      <c r="H2401" s="138">
        <f t="shared" si="38"/>
        <v>0</v>
      </c>
      <c r="I2401" s="141" t="s">
        <v>15214</v>
      </c>
    </row>
    <row r="2402" spans="1:9" x14ac:dyDescent="0.25">
      <c r="A2402" s="167" t="s">
        <v>17900</v>
      </c>
      <c r="B2402" s="142" t="s">
        <v>17935</v>
      </c>
      <c r="C2402" s="143">
        <v>112451</v>
      </c>
      <c r="D2402" s="142" t="s">
        <v>15668</v>
      </c>
      <c r="E2402" s="144">
        <v>9288</v>
      </c>
      <c r="F2402" s="145">
        <v>42877</v>
      </c>
      <c r="G2402" s="146">
        <v>9288</v>
      </c>
      <c r="H2402" s="138">
        <f t="shared" si="38"/>
        <v>0</v>
      </c>
      <c r="I2402" s="147" t="s">
        <v>15214</v>
      </c>
    </row>
    <row r="2403" spans="1:9" x14ac:dyDescent="0.25">
      <c r="A2403" s="168" t="s">
        <v>17900</v>
      </c>
      <c r="B2403" s="136" t="s">
        <v>17936</v>
      </c>
      <c r="C2403" s="137">
        <v>112452</v>
      </c>
      <c r="D2403" s="136" t="s">
        <v>16023</v>
      </c>
      <c r="E2403" s="138">
        <v>2784.8</v>
      </c>
      <c r="F2403" s="139">
        <v>42874</v>
      </c>
      <c r="G2403" s="140">
        <v>2784.8</v>
      </c>
      <c r="H2403" s="138">
        <f t="shared" si="38"/>
        <v>0</v>
      </c>
      <c r="I2403" s="141" t="s">
        <v>15214</v>
      </c>
    </row>
    <row r="2404" spans="1:9" x14ac:dyDescent="0.25">
      <c r="A2404" s="167" t="s">
        <v>17900</v>
      </c>
      <c r="B2404" s="142" t="s">
        <v>17937</v>
      </c>
      <c r="C2404" s="143">
        <v>112453</v>
      </c>
      <c r="D2404" s="142" t="s">
        <v>15330</v>
      </c>
      <c r="E2404" s="144">
        <v>132</v>
      </c>
      <c r="F2404" s="145">
        <v>42874</v>
      </c>
      <c r="G2404" s="146">
        <v>132</v>
      </c>
      <c r="H2404" s="138">
        <f t="shared" si="38"/>
        <v>0</v>
      </c>
      <c r="I2404" s="147" t="s">
        <v>15214</v>
      </c>
    </row>
    <row r="2405" spans="1:9" x14ac:dyDescent="0.25">
      <c r="A2405" s="168" t="s">
        <v>17900</v>
      </c>
      <c r="B2405" s="136" t="s">
        <v>17938</v>
      </c>
      <c r="C2405" s="137">
        <v>112454</v>
      </c>
      <c r="D2405" s="136" t="s">
        <v>15315</v>
      </c>
      <c r="E2405" s="138">
        <v>5942.4</v>
      </c>
      <c r="F2405" s="139">
        <v>42874</v>
      </c>
      <c r="G2405" s="140">
        <v>5942.4</v>
      </c>
      <c r="H2405" s="138">
        <f t="shared" si="38"/>
        <v>0</v>
      </c>
      <c r="I2405" s="141" t="s">
        <v>15214</v>
      </c>
    </row>
    <row r="2406" spans="1:9" x14ac:dyDescent="0.25">
      <c r="A2406" s="167" t="s">
        <v>17900</v>
      </c>
      <c r="B2406" s="142" t="s">
        <v>17939</v>
      </c>
      <c r="C2406" s="143">
        <v>112455</v>
      </c>
      <c r="D2406" s="142" t="s">
        <v>15330</v>
      </c>
      <c r="E2406" s="144">
        <v>2934.8</v>
      </c>
      <c r="F2406" s="145">
        <v>42874</v>
      </c>
      <c r="G2406" s="146">
        <v>2934.8</v>
      </c>
      <c r="H2406" s="138">
        <f t="shared" si="38"/>
        <v>0</v>
      </c>
      <c r="I2406" s="147" t="s">
        <v>15214</v>
      </c>
    </row>
    <row r="2407" spans="1:9" ht="15.75" x14ac:dyDescent="0.25">
      <c r="A2407" s="168" t="s">
        <v>17900</v>
      </c>
      <c r="B2407" s="136" t="s">
        <v>17940</v>
      </c>
      <c r="C2407" s="137">
        <v>112456</v>
      </c>
      <c r="D2407" s="136" t="s">
        <v>15315</v>
      </c>
      <c r="E2407" s="138">
        <v>0</v>
      </c>
      <c r="F2407" s="153" t="s">
        <v>95</v>
      </c>
      <c r="G2407" s="138">
        <v>0</v>
      </c>
      <c r="H2407" s="138">
        <f t="shared" si="38"/>
        <v>0</v>
      </c>
      <c r="I2407" s="141" t="s">
        <v>95</v>
      </c>
    </row>
    <row r="2408" spans="1:9" x14ac:dyDescent="0.25">
      <c r="A2408" s="167" t="s">
        <v>17900</v>
      </c>
      <c r="B2408" s="142" t="s">
        <v>17941</v>
      </c>
      <c r="C2408" s="143">
        <v>112457</v>
      </c>
      <c r="D2408" s="142" t="s">
        <v>16261</v>
      </c>
      <c r="E2408" s="144">
        <v>1268</v>
      </c>
      <c r="F2408" s="145">
        <v>42874</v>
      </c>
      <c r="G2408" s="146">
        <v>1268</v>
      </c>
      <c r="H2408" s="138">
        <f t="shared" si="38"/>
        <v>0</v>
      </c>
      <c r="I2408" s="147" t="s">
        <v>15214</v>
      </c>
    </row>
    <row r="2409" spans="1:9" x14ac:dyDescent="0.25">
      <c r="A2409" s="168" t="s">
        <v>17900</v>
      </c>
      <c r="B2409" s="136" t="s">
        <v>17942</v>
      </c>
      <c r="C2409" s="137">
        <v>112458</v>
      </c>
      <c r="D2409" s="136" t="s">
        <v>15757</v>
      </c>
      <c r="E2409" s="138">
        <v>4908.6000000000004</v>
      </c>
      <c r="F2409" s="139">
        <v>42874</v>
      </c>
      <c r="G2409" s="140">
        <v>4908.6000000000004</v>
      </c>
      <c r="H2409" s="138">
        <f t="shared" si="38"/>
        <v>0</v>
      </c>
      <c r="I2409" s="141" t="s">
        <v>15214</v>
      </c>
    </row>
    <row r="2410" spans="1:9" x14ac:dyDescent="0.25">
      <c r="A2410" s="167" t="s">
        <v>17900</v>
      </c>
      <c r="B2410" s="142" t="s">
        <v>17943</v>
      </c>
      <c r="C2410" s="143">
        <v>112459</v>
      </c>
      <c r="D2410" s="142" t="s">
        <v>15328</v>
      </c>
      <c r="E2410" s="144">
        <v>50773.62</v>
      </c>
      <c r="F2410" s="148">
        <v>42887</v>
      </c>
      <c r="G2410" s="149">
        <v>50773.62</v>
      </c>
      <c r="H2410" s="138">
        <f t="shared" si="38"/>
        <v>0</v>
      </c>
      <c r="I2410" s="147" t="s">
        <v>15214</v>
      </c>
    </row>
    <row r="2411" spans="1:9" x14ac:dyDescent="0.25">
      <c r="A2411" s="168" t="s">
        <v>17900</v>
      </c>
      <c r="B2411" s="136" t="s">
        <v>17944</v>
      </c>
      <c r="C2411" s="137">
        <v>112460</v>
      </c>
      <c r="D2411" s="136" t="s">
        <v>15315</v>
      </c>
      <c r="E2411" s="138">
        <v>2692.8</v>
      </c>
      <c r="F2411" s="139">
        <v>42874</v>
      </c>
      <c r="G2411" s="140">
        <v>2692.8</v>
      </c>
      <c r="H2411" s="138">
        <f t="shared" si="38"/>
        <v>0</v>
      </c>
      <c r="I2411" s="141" t="s">
        <v>15214</v>
      </c>
    </row>
    <row r="2412" spans="1:9" x14ac:dyDescent="0.25">
      <c r="A2412" s="167" t="s">
        <v>17900</v>
      </c>
      <c r="B2412" s="142" t="s">
        <v>17945</v>
      </c>
      <c r="C2412" s="143">
        <v>112461</v>
      </c>
      <c r="D2412" s="142" t="s">
        <v>15912</v>
      </c>
      <c r="E2412" s="144">
        <v>2881</v>
      </c>
      <c r="F2412" s="145">
        <v>42874</v>
      </c>
      <c r="G2412" s="146">
        <v>2881</v>
      </c>
      <c r="H2412" s="138">
        <f t="shared" si="38"/>
        <v>0</v>
      </c>
      <c r="I2412" s="147" t="s">
        <v>15214</v>
      </c>
    </row>
    <row r="2413" spans="1:9" x14ac:dyDescent="0.25">
      <c r="A2413" s="168" t="s">
        <v>17900</v>
      </c>
      <c r="B2413" s="136" t="s">
        <v>17946</v>
      </c>
      <c r="C2413" s="137">
        <v>112462</v>
      </c>
      <c r="D2413" s="136" t="s">
        <v>15742</v>
      </c>
      <c r="E2413" s="138">
        <v>1939.2</v>
      </c>
      <c r="F2413" s="139">
        <v>42874</v>
      </c>
      <c r="G2413" s="140">
        <v>1939.2</v>
      </c>
      <c r="H2413" s="138">
        <f t="shared" si="38"/>
        <v>0</v>
      </c>
      <c r="I2413" s="141" t="s">
        <v>15214</v>
      </c>
    </row>
    <row r="2414" spans="1:9" x14ac:dyDescent="0.25">
      <c r="A2414" s="167" t="s">
        <v>17900</v>
      </c>
      <c r="B2414" s="142" t="s">
        <v>17947</v>
      </c>
      <c r="C2414" s="143">
        <v>112463</v>
      </c>
      <c r="D2414" s="142" t="s">
        <v>15387</v>
      </c>
      <c r="E2414" s="144">
        <v>1104</v>
      </c>
      <c r="F2414" s="145">
        <v>42876</v>
      </c>
      <c r="G2414" s="146">
        <v>1104</v>
      </c>
      <c r="H2414" s="138">
        <f t="shared" si="38"/>
        <v>0</v>
      </c>
      <c r="I2414" s="147" t="s">
        <v>15214</v>
      </c>
    </row>
    <row r="2415" spans="1:9" x14ac:dyDescent="0.25">
      <c r="A2415" s="168" t="s">
        <v>17900</v>
      </c>
      <c r="B2415" s="136" t="s">
        <v>17948</v>
      </c>
      <c r="C2415" s="137">
        <v>112464</v>
      </c>
      <c r="D2415" s="136" t="s">
        <v>15315</v>
      </c>
      <c r="E2415" s="138">
        <v>729.5</v>
      </c>
      <c r="F2415" s="139">
        <v>42874</v>
      </c>
      <c r="G2415" s="140">
        <v>729.5</v>
      </c>
      <c r="H2415" s="138">
        <f t="shared" si="38"/>
        <v>0</v>
      </c>
      <c r="I2415" s="141" t="s">
        <v>15214</v>
      </c>
    </row>
    <row r="2416" spans="1:9" x14ac:dyDescent="0.25">
      <c r="A2416" s="167" t="s">
        <v>17900</v>
      </c>
      <c r="B2416" s="142" t="s">
        <v>17949</v>
      </c>
      <c r="C2416" s="143">
        <v>112465</v>
      </c>
      <c r="D2416" s="142" t="s">
        <v>17950</v>
      </c>
      <c r="E2416" s="144">
        <v>3011.8</v>
      </c>
      <c r="F2416" s="145">
        <v>42874</v>
      </c>
      <c r="G2416" s="146">
        <v>3011.8</v>
      </c>
      <c r="H2416" s="138">
        <f t="shared" si="38"/>
        <v>0</v>
      </c>
      <c r="I2416" s="147" t="s">
        <v>15214</v>
      </c>
    </row>
    <row r="2417" spans="1:9" x14ac:dyDescent="0.25">
      <c r="A2417" s="168" t="s">
        <v>17900</v>
      </c>
      <c r="B2417" s="136" t="s">
        <v>17951</v>
      </c>
      <c r="C2417" s="137">
        <v>112466</v>
      </c>
      <c r="D2417" s="136" t="s">
        <v>15344</v>
      </c>
      <c r="E2417" s="138">
        <v>2312.8000000000002</v>
      </c>
      <c r="F2417" s="139">
        <v>42874</v>
      </c>
      <c r="G2417" s="140">
        <v>2312.8000000000002</v>
      </c>
      <c r="H2417" s="138">
        <f t="shared" si="38"/>
        <v>0</v>
      </c>
      <c r="I2417" s="141" t="s">
        <v>15214</v>
      </c>
    </row>
    <row r="2418" spans="1:9" x14ac:dyDescent="0.25">
      <c r="A2418" s="167" t="s">
        <v>17900</v>
      </c>
      <c r="B2418" s="142" t="s">
        <v>17952</v>
      </c>
      <c r="C2418" s="143">
        <v>112467</v>
      </c>
      <c r="D2418" s="142" t="s">
        <v>15358</v>
      </c>
      <c r="E2418" s="144">
        <v>2660.2</v>
      </c>
      <c r="F2418" s="145">
        <v>42874</v>
      </c>
      <c r="G2418" s="146">
        <v>2660.2</v>
      </c>
      <c r="H2418" s="138">
        <f t="shared" si="38"/>
        <v>0</v>
      </c>
      <c r="I2418" s="147" t="s">
        <v>15214</v>
      </c>
    </row>
    <row r="2419" spans="1:9" x14ac:dyDescent="0.25">
      <c r="A2419" s="168" t="s">
        <v>17900</v>
      </c>
      <c r="B2419" s="136" t="s">
        <v>17953</v>
      </c>
      <c r="C2419" s="137">
        <v>112468</v>
      </c>
      <c r="D2419" s="136" t="s">
        <v>15303</v>
      </c>
      <c r="E2419" s="138">
        <v>3279.4</v>
      </c>
      <c r="F2419" s="139">
        <v>42875</v>
      </c>
      <c r="G2419" s="140">
        <v>3279.4</v>
      </c>
      <c r="H2419" s="138">
        <f t="shared" si="38"/>
        <v>0</v>
      </c>
      <c r="I2419" s="141" t="s">
        <v>15214</v>
      </c>
    </row>
    <row r="2420" spans="1:9" x14ac:dyDescent="0.25">
      <c r="A2420" s="167" t="s">
        <v>17900</v>
      </c>
      <c r="B2420" s="142" t="s">
        <v>17954</v>
      </c>
      <c r="C2420" s="143">
        <v>112469</v>
      </c>
      <c r="D2420" s="142" t="s">
        <v>15861</v>
      </c>
      <c r="E2420" s="144">
        <v>3554.6</v>
      </c>
      <c r="F2420" s="145">
        <v>42874</v>
      </c>
      <c r="G2420" s="146">
        <v>3554.6</v>
      </c>
      <c r="H2420" s="138">
        <f t="shared" si="38"/>
        <v>0</v>
      </c>
      <c r="I2420" s="147" t="s">
        <v>15214</v>
      </c>
    </row>
    <row r="2421" spans="1:9" x14ac:dyDescent="0.25">
      <c r="A2421" s="168" t="s">
        <v>17900</v>
      </c>
      <c r="B2421" s="136" t="s">
        <v>17955</v>
      </c>
      <c r="C2421" s="137">
        <v>112470</v>
      </c>
      <c r="D2421" s="136" t="s">
        <v>15861</v>
      </c>
      <c r="E2421" s="138">
        <v>177.5</v>
      </c>
      <c r="F2421" s="139">
        <v>42874</v>
      </c>
      <c r="G2421" s="140">
        <v>177.5</v>
      </c>
      <c r="H2421" s="138">
        <f t="shared" si="38"/>
        <v>0</v>
      </c>
      <c r="I2421" s="141" t="s">
        <v>15214</v>
      </c>
    </row>
    <row r="2422" spans="1:9" x14ac:dyDescent="0.25">
      <c r="A2422" s="167" t="s">
        <v>17900</v>
      </c>
      <c r="B2422" s="142" t="s">
        <v>17956</v>
      </c>
      <c r="C2422" s="143">
        <v>112471</v>
      </c>
      <c r="D2422" s="142" t="s">
        <v>15415</v>
      </c>
      <c r="E2422" s="144">
        <v>3186</v>
      </c>
      <c r="F2422" s="145">
        <v>42875</v>
      </c>
      <c r="G2422" s="146">
        <v>3186</v>
      </c>
      <c r="H2422" s="138">
        <f t="shared" si="38"/>
        <v>0</v>
      </c>
      <c r="I2422" s="147" t="s">
        <v>15214</v>
      </c>
    </row>
    <row r="2423" spans="1:9" x14ac:dyDescent="0.25">
      <c r="A2423" s="168" t="s">
        <v>17900</v>
      </c>
      <c r="B2423" s="136" t="s">
        <v>17957</v>
      </c>
      <c r="C2423" s="137">
        <v>112472</v>
      </c>
      <c r="D2423" s="136" t="s">
        <v>15427</v>
      </c>
      <c r="E2423" s="138">
        <v>46119.6</v>
      </c>
      <c r="F2423" s="139">
        <v>42875</v>
      </c>
      <c r="G2423" s="140">
        <v>46119.6</v>
      </c>
      <c r="H2423" s="138">
        <f t="shared" si="38"/>
        <v>0</v>
      </c>
      <c r="I2423" s="141" t="s">
        <v>15214</v>
      </c>
    </row>
    <row r="2424" spans="1:9" x14ac:dyDescent="0.25">
      <c r="A2424" s="167" t="s">
        <v>17900</v>
      </c>
      <c r="B2424" s="142" t="s">
        <v>17958</v>
      </c>
      <c r="C2424" s="143">
        <v>112473</v>
      </c>
      <c r="D2424" s="142" t="s">
        <v>16249</v>
      </c>
      <c r="E2424" s="144">
        <v>4593.6000000000004</v>
      </c>
      <c r="F2424" s="145">
        <v>42874</v>
      </c>
      <c r="G2424" s="146">
        <v>4593.6000000000004</v>
      </c>
      <c r="H2424" s="138">
        <f t="shared" si="38"/>
        <v>0</v>
      </c>
      <c r="I2424" s="147" t="s">
        <v>15214</v>
      </c>
    </row>
    <row r="2425" spans="1:9" x14ac:dyDescent="0.25">
      <c r="A2425" s="168" t="s">
        <v>17900</v>
      </c>
      <c r="B2425" s="136" t="s">
        <v>17959</v>
      </c>
      <c r="C2425" s="137">
        <v>112474</v>
      </c>
      <c r="D2425" s="136" t="s">
        <v>15350</v>
      </c>
      <c r="E2425" s="138">
        <v>1929.6</v>
      </c>
      <c r="F2425" s="139">
        <v>42874</v>
      </c>
      <c r="G2425" s="140">
        <v>1929.6</v>
      </c>
      <c r="H2425" s="138">
        <f t="shared" si="38"/>
        <v>0</v>
      </c>
      <c r="I2425" s="141" t="s">
        <v>15214</v>
      </c>
    </row>
    <row r="2426" spans="1:9" x14ac:dyDescent="0.25">
      <c r="A2426" s="167" t="s">
        <v>17900</v>
      </c>
      <c r="B2426" s="142" t="s">
        <v>17960</v>
      </c>
      <c r="C2426" s="143">
        <v>112475</v>
      </c>
      <c r="D2426" s="142" t="s">
        <v>15334</v>
      </c>
      <c r="E2426" s="144">
        <v>2039.6</v>
      </c>
      <c r="F2426" s="145">
        <v>42874</v>
      </c>
      <c r="G2426" s="146">
        <v>2039.6</v>
      </c>
      <c r="H2426" s="138">
        <f t="shared" si="38"/>
        <v>0</v>
      </c>
      <c r="I2426" s="147" t="s">
        <v>15214</v>
      </c>
    </row>
    <row r="2427" spans="1:9" x14ac:dyDescent="0.25">
      <c r="A2427" s="168" t="s">
        <v>17900</v>
      </c>
      <c r="B2427" s="136" t="s">
        <v>17961</v>
      </c>
      <c r="C2427" s="137">
        <v>112476</v>
      </c>
      <c r="D2427" s="136" t="s">
        <v>15315</v>
      </c>
      <c r="E2427" s="138">
        <v>8039.2</v>
      </c>
      <c r="F2427" s="139">
        <v>42874</v>
      </c>
      <c r="G2427" s="140">
        <v>8039.2</v>
      </c>
      <c r="H2427" s="138">
        <f t="shared" si="38"/>
        <v>0</v>
      </c>
      <c r="I2427" s="141" t="s">
        <v>15214</v>
      </c>
    </row>
    <row r="2428" spans="1:9" x14ac:dyDescent="0.25">
      <c r="A2428" s="167" t="s">
        <v>17900</v>
      </c>
      <c r="B2428" s="142" t="s">
        <v>17962</v>
      </c>
      <c r="C2428" s="143">
        <v>112477</v>
      </c>
      <c r="D2428" s="142" t="s">
        <v>15334</v>
      </c>
      <c r="E2428" s="144">
        <v>812</v>
      </c>
      <c r="F2428" s="145">
        <v>42874</v>
      </c>
      <c r="G2428" s="146">
        <v>812</v>
      </c>
      <c r="H2428" s="138">
        <f t="shared" si="38"/>
        <v>0</v>
      </c>
      <c r="I2428" s="147" t="s">
        <v>15214</v>
      </c>
    </row>
    <row r="2429" spans="1:9" x14ac:dyDescent="0.25">
      <c r="A2429" s="168" t="s">
        <v>17900</v>
      </c>
      <c r="B2429" s="136" t="s">
        <v>17963</v>
      </c>
      <c r="C2429" s="137">
        <v>112478</v>
      </c>
      <c r="D2429" s="136" t="s">
        <v>15523</v>
      </c>
      <c r="E2429" s="138">
        <v>1929.6</v>
      </c>
      <c r="F2429" s="139">
        <v>42874</v>
      </c>
      <c r="G2429" s="140">
        <v>1929.6</v>
      </c>
      <c r="H2429" s="138">
        <f t="shared" si="38"/>
        <v>0</v>
      </c>
      <c r="I2429" s="141" t="s">
        <v>15214</v>
      </c>
    </row>
    <row r="2430" spans="1:9" x14ac:dyDescent="0.25">
      <c r="A2430" s="167" t="s">
        <v>17900</v>
      </c>
      <c r="B2430" s="142" t="s">
        <v>17964</v>
      </c>
      <c r="C2430" s="143">
        <v>112479</v>
      </c>
      <c r="D2430" s="142" t="s">
        <v>15332</v>
      </c>
      <c r="E2430" s="144">
        <v>1848.1</v>
      </c>
      <c r="F2430" s="145">
        <v>42874</v>
      </c>
      <c r="G2430" s="146">
        <v>1848.1</v>
      </c>
      <c r="H2430" s="138">
        <f t="shared" si="38"/>
        <v>0</v>
      </c>
      <c r="I2430" s="147" t="s">
        <v>15214</v>
      </c>
    </row>
    <row r="2431" spans="1:9" x14ac:dyDescent="0.25">
      <c r="A2431" s="168" t="s">
        <v>17900</v>
      </c>
      <c r="B2431" s="136" t="s">
        <v>17965</v>
      </c>
      <c r="C2431" s="137">
        <v>112480</v>
      </c>
      <c r="D2431" s="136" t="s">
        <v>15309</v>
      </c>
      <c r="E2431" s="138">
        <v>19573.2</v>
      </c>
      <c r="F2431" s="139">
        <v>42875</v>
      </c>
      <c r="G2431" s="140">
        <f>14000+5573.2</f>
        <v>19573.2</v>
      </c>
      <c r="H2431" s="138">
        <f t="shared" si="38"/>
        <v>0</v>
      </c>
      <c r="I2431" s="141" t="s">
        <v>15214</v>
      </c>
    </row>
    <row r="2432" spans="1:9" x14ac:dyDescent="0.25">
      <c r="A2432" s="167" t="s">
        <v>17900</v>
      </c>
      <c r="B2432" s="142" t="s">
        <v>17966</v>
      </c>
      <c r="C2432" s="143">
        <v>112481</v>
      </c>
      <c r="D2432" s="142" t="s">
        <v>15340</v>
      </c>
      <c r="E2432" s="144">
        <v>3122.8</v>
      </c>
      <c r="F2432" s="145">
        <v>42874</v>
      </c>
      <c r="G2432" s="146">
        <v>3122.8</v>
      </c>
      <c r="H2432" s="138">
        <f t="shared" si="38"/>
        <v>0</v>
      </c>
      <c r="I2432" s="147" t="s">
        <v>15214</v>
      </c>
    </row>
    <row r="2433" spans="1:9" x14ac:dyDescent="0.25">
      <c r="A2433" s="168" t="s">
        <v>17900</v>
      </c>
      <c r="B2433" s="136" t="s">
        <v>17967</v>
      </c>
      <c r="C2433" s="137">
        <v>112482</v>
      </c>
      <c r="D2433" s="136" t="s">
        <v>15315</v>
      </c>
      <c r="E2433" s="138">
        <v>35040.839999999997</v>
      </c>
      <c r="F2433" s="139">
        <v>42879</v>
      </c>
      <c r="G2433" s="140">
        <v>35040.839999999997</v>
      </c>
      <c r="H2433" s="138">
        <f t="shared" si="38"/>
        <v>0</v>
      </c>
      <c r="I2433" s="141" t="s">
        <v>15214</v>
      </c>
    </row>
    <row r="2434" spans="1:9" x14ac:dyDescent="0.25">
      <c r="A2434" s="167" t="s">
        <v>17900</v>
      </c>
      <c r="B2434" s="142" t="s">
        <v>17968</v>
      </c>
      <c r="C2434" s="143">
        <v>112483</v>
      </c>
      <c r="D2434" s="142" t="s">
        <v>15553</v>
      </c>
      <c r="E2434" s="144">
        <v>5159</v>
      </c>
      <c r="F2434" s="145">
        <v>42874</v>
      </c>
      <c r="G2434" s="146">
        <v>5159</v>
      </c>
      <c r="H2434" s="138">
        <f t="shared" si="38"/>
        <v>0</v>
      </c>
      <c r="I2434" s="147" t="s">
        <v>15214</v>
      </c>
    </row>
    <row r="2435" spans="1:9" x14ac:dyDescent="0.25">
      <c r="A2435" s="168" t="s">
        <v>17900</v>
      </c>
      <c r="B2435" s="136" t="s">
        <v>17969</v>
      </c>
      <c r="C2435" s="137">
        <v>112484</v>
      </c>
      <c r="D2435" s="136" t="s">
        <v>15291</v>
      </c>
      <c r="E2435" s="138">
        <v>720</v>
      </c>
      <c r="F2435" s="139">
        <v>42875</v>
      </c>
      <c r="G2435" s="140">
        <v>720</v>
      </c>
      <c r="H2435" s="138">
        <f t="shared" si="38"/>
        <v>0</v>
      </c>
      <c r="I2435" s="141" t="s">
        <v>15214</v>
      </c>
    </row>
    <row r="2436" spans="1:9" x14ac:dyDescent="0.25">
      <c r="A2436" s="167" t="s">
        <v>17900</v>
      </c>
      <c r="B2436" s="142" t="s">
        <v>17970</v>
      </c>
      <c r="C2436" s="143">
        <v>112485</v>
      </c>
      <c r="D2436" s="142" t="s">
        <v>15320</v>
      </c>
      <c r="E2436" s="144">
        <v>2714</v>
      </c>
      <c r="F2436" s="145">
        <v>42875</v>
      </c>
      <c r="G2436" s="146">
        <v>2714</v>
      </c>
      <c r="H2436" s="138">
        <f t="shared" si="38"/>
        <v>0</v>
      </c>
      <c r="I2436" s="147" t="s">
        <v>15214</v>
      </c>
    </row>
    <row r="2437" spans="1:9" x14ac:dyDescent="0.25">
      <c r="A2437" s="168" t="s">
        <v>17900</v>
      </c>
      <c r="B2437" s="136" t="s">
        <v>17971</v>
      </c>
      <c r="C2437" s="137">
        <v>112486</v>
      </c>
      <c r="D2437" s="136" t="s">
        <v>15278</v>
      </c>
      <c r="E2437" s="138">
        <v>4038.2</v>
      </c>
      <c r="F2437" s="139">
        <v>42874</v>
      </c>
      <c r="G2437" s="140">
        <v>4038.2</v>
      </c>
      <c r="H2437" s="138">
        <f t="shared" ref="H2437:H2500" si="39">E2437-G2437</f>
        <v>0</v>
      </c>
      <c r="I2437" s="141" t="s">
        <v>15214</v>
      </c>
    </row>
    <row r="2438" spans="1:9" x14ac:dyDescent="0.25">
      <c r="A2438" s="167" t="s">
        <v>17900</v>
      </c>
      <c r="B2438" s="142" t="s">
        <v>17972</v>
      </c>
      <c r="C2438" s="143">
        <v>112487</v>
      </c>
      <c r="D2438" s="142" t="s">
        <v>15284</v>
      </c>
      <c r="E2438" s="144">
        <v>2003</v>
      </c>
      <c r="F2438" s="145">
        <v>42874</v>
      </c>
      <c r="G2438" s="146">
        <v>2003</v>
      </c>
      <c r="H2438" s="138">
        <f t="shared" si="39"/>
        <v>0</v>
      </c>
      <c r="I2438" s="147" t="s">
        <v>15214</v>
      </c>
    </row>
    <row r="2439" spans="1:9" x14ac:dyDescent="0.25">
      <c r="A2439" s="168" t="s">
        <v>17900</v>
      </c>
      <c r="B2439" s="136" t="s">
        <v>17973</v>
      </c>
      <c r="C2439" s="137">
        <v>112488</v>
      </c>
      <c r="D2439" s="136" t="s">
        <v>15307</v>
      </c>
      <c r="E2439" s="138">
        <v>1318.6</v>
      </c>
      <c r="F2439" s="139">
        <v>42875</v>
      </c>
      <c r="G2439" s="140">
        <v>1318.6</v>
      </c>
      <c r="H2439" s="138">
        <f t="shared" si="39"/>
        <v>0</v>
      </c>
      <c r="I2439" s="141" t="s">
        <v>15214</v>
      </c>
    </row>
    <row r="2440" spans="1:9" x14ac:dyDescent="0.25">
      <c r="A2440" s="167" t="s">
        <v>17900</v>
      </c>
      <c r="B2440" s="142" t="s">
        <v>17974</v>
      </c>
      <c r="C2440" s="143">
        <v>112489</v>
      </c>
      <c r="D2440" s="142" t="s">
        <v>15342</v>
      </c>
      <c r="E2440" s="144">
        <v>1145</v>
      </c>
      <c r="F2440" s="145">
        <v>42874</v>
      </c>
      <c r="G2440" s="146">
        <v>1145</v>
      </c>
      <c r="H2440" s="138">
        <f t="shared" si="39"/>
        <v>0</v>
      </c>
      <c r="I2440" s="147" t="s">
        <v>15214</v>
      </c>
    </row>
    <row r="2441" spans="1:9" x14ac:dyDescent="0.25">
      <c r="A2441" s="168" t="s">
        <v>17900</v>
      </c>
      <c r="B2441" s="136" t="s">
        <v>17975</v>
      </c>
      <c r="C2441" s="137">
        <v>112490</v>
      </c>
      <c r="D2441" s="136" t="s">
        <v>15280</v>
      </c>
      <c r="E2441" s="138">
        <v>5176.8</v>
      </c>
      <c r="F2441" s="139">
        <v>42874</v>
      </c>
      <c r="G2441" s="140">
        <v>5176.8</v>
      </c>
      <c r="H2441" s="138">
        <f t="shared" si="39"/>
        <v>0</v>
      </c>
      <c r="I2441" s="141" t="s">
        <v>15214</v>
      </c>
    </row>
    <row r="2442" spans="1:9" x14ac:dyDescent="0.25">
      <c r="A2442" s="167" t="s">
        <v>17900</v>
      </c>
      <c r="B2442" s="142" t="s">
        <v>17976</v>
      </c>
      <c r="C2442" s="143">
        <v>112491</v>
      </c>
      <c r="D2442" s="142" t="s">
        <v>16064</v>
      </c>
      <c r="E2442" s="144">
        <v>4651.2</v>
      </c>
      <c r="F2442" s="145">
        <v>42875</v>
      </c>
      <c r="G2442" s="146">
        <v>4651.2</v>
      </c>
      <c r="H2442" s="138">
        <f t="shared" si="39"/>
        <v>0</v>
      </c>
      <c r="I2442" s="147" t="s">
        <v>15214</v>
      </c>
    </row>
    <row r="2443" spans="1:9" x14ac:dyDescent="0.25">
      <c r="A2443" s="168" t="s">
        <v>17900</v>
      </c>
      <c r="B2443" s="136" t="s">
        <v>17977</v>
      </c>
      <c r="C2443" s="137">
        <v>112492</v>
      </c>
      <c r="D2443" s="136" t="s">
        <v>15317</v>
      </c>
      <c r="E2443" s="138">
        <v>1815.6</v>
      </c>
      <c r="F2443" s="139">
        <v>42875</v>
      </c>
      <c r="G2443" s="140">
        <v>1815.6</v>
      </c>
      <c r="H2443" s="138">
        <f t="shared" si="39"/>
        <v>0</v>
      </c>
      <c r="I2443" s="141" t="s">
        <v>15214</v>
      </c>
    </row>
    <row r="2444" spans="1:9" x14ac:dyDescent="0.25">
      <c r="A2444" s="167" t="s">
        <v>17900</v>
      </c>
      <c r="B2444" s="142" t="s">
        <v>17978</v>
      </c>
      <c r="C2444" s="143">
        <v>112493</v>
      </c>
      <c r="D2444" s="142" t="s">
        <v>15583</v>
      </c>
      <c r="E2444" s="144">
        <v>2486.6999999999998</v>
      </c>
      <c r="F2444" s="145">
        <v>42875</v>
      </c>
      <c r="G2444" s="146">
        <v>2486.6999999999998</v>
      </c>
      <c r="H2444" s="138">
        <f t="shared" si="39"/>
        <v>0</v>
      </c>
      <c r="I2444" s="147" t="s">
        <v>15214</v>
      </c>
    </row>
    <row r="2445" spans="1:9" x14ac:dyDescent="0.25">
      <c r="A2445" s="168" t="s">
        <v>17900</v>
      </c>
      <c r="B2445" s="136" t="s">
        <v>17979</v>
      </c>
      <c r="C2445" s="137">
        <v>112494</v>
      </c>
      <c r="D2445" s="136" t="s">
        <v>15782</v>
      </c>
      <c r="E2445" s="138">
        <v>1472</v>
      </c>
      <c r="F2445" s="139">
        <v>42875</v>
      </c>
      <c r="G2445" s="140">
        <v>1472</v>
      </c>
      <c r="H2445" s="138">
        <f t="shared" si="39"/>
        <v>0</v>
      </c>
      <c r="I2445" s="141" t="s">
        <v>15214</v>
      </c>
    </row>
    <row r="2446" spans="1:9" ht="15.75" x14ac:dyDescent="0.25">
      <c r="A2446" s="167" t="s">
        <v>17900</v>
      </c>
      <c r="B2446" s="142" t="s">
        <v>17980</v>
      </c>
      <c r="C2446" s="143">
        <v>112495</v>
      </c>
      <c r="D2446" s="142" t="s">
        <v>16792</v>
      </c>
      <c r="E2446" s="144">
        <v>0</v>
      </c>
      <c r="F2446" s="156" t="s">
        <v>95</v>
      </c>
      <c r="G2446" s="144">
        <v>0</v>
      </c>
      <c r="H2446" s="138">
        <f t="shared" si="39"/>
        <v>0</v>
      </c>
      <c r="I2446" s="147" t="s">
        <v>95</v>
      </c>
    </row>
    <row r="2447" spans="1:9" x14ac:dyDescent="0.25">
      <c r="A2447" s="168" t="s">
        <v>17900</v>
      </c>
      <c r="B2447" s="136" t="s">
        <v>17981</v>
      </c>
      <c r="C2447" s="137">
        <v>112496</v>
      </c>
      <c r="D2447" s="136" t="s">
        <v>15530</v>
      </c>
      <c r="E2447" s="138">
        <v>3164.8</v>
      </c>
      <c r="F2447" s="139">
        <v>42874</v>
      </c>
      <c r="G2447" s="140">
        <v>3164.8</v>
      </c>
      <c r="H2447" s="138">
        <f t="shared" si="39"/>
        <v>0</v>
      </c>
      <c r="I2447" s="141" t="s">
        <v>15214</v>
      </c>
    </row>
    <row r="2448" spans="1:9" x14ac:dyDescent="0.25">
      <c r="A2448" s="167" t="s">
        <v>17900</v>
      </c>
      <c r="B2448" s="142" t="s">
        <v>17982</v>
      </c>
      <c r="C2448" s="143">
        <v>112497</v>
      </c>
      <c r="D2448" s="142" t="s">
        <v>15282</v>
      </c>
      <c r="E2448" s="144">
        <v>2952</v>
      </c>
      <c r="F2448" s="145">
        <v>42874</v>
      </c>
      <c r="G2448" s="146">
        <v>2952</v>
      </c>
      <c r="H2448" s="138">
        <f t="shared" si="39"/>
        <v>0</v>
      </c>
      <c r="I2448" s="147" t="s">
        <v>15214</v>
      </c>
    </row>
    <row r="2449" spans="1:9" x14ac:dyDescent="0.25">
      <c r="A2449" s="168" t="s">
        <v>17900</v>
      </c>
      <c r="B2449" s="136" t="s">
        <v>17983</v>
      </c>
      <c r="C2449" s="137">
        <v>112498</v>
      </c>
      <c r="D2449" s="136" t="s">
        <v>15748</v>
      </c>
      <c r="E2449" s="138">
        <v>2075.3000000000002</v>
      </c>
      <c r="F2449" s="139">
        <v>42879</v>
      </c>
      <c r="G2449" s="140">
        <v>2075.3000000000002</v>
      </c>
      <c r="H2449" s="138">
        <f t="shared" si="39"/>
        <v>0</v>
      </c>
      <c r="I2449" s="141" t="s">
        <v>15214</v>
      </c>
    </row>
    <row r="2450" spans="1:9" x14ac:dyDescent="0.25">
      <c r="A2450" s="167" t="s">
        <v>17900</v>
      </c>
      <c r="B2450" s="142" t="s">
        <v>17984</v>
      </c>
      <c r="C2450" s="143">
        <v>112499</v>
      </c>
      <c r="D2450" s="142" t="s">
        <v>15415</v>
      </c>
      <c r="E2450" s="144">
        <v>259.2</v>
      </c>
      <c r="F2450" s="145">
        <v>42875</v>
      </c>
      <c r="G2450" s="146">
        <v>259.2</v>
      </c>
      <c r="H2450" s="138">
        <f t="shared" si="39"/>
        <v>0</v>
      </c>
      <c r="I2450" s="147" t="s">
        <v>15214</v>
      </c>
    </row>
    <row r="2451" spans="1:9" x14ac:dyDescent="0.25">
      <c r="A2451" s="168" t="s">
        <v>17900</v>
      </c>
      <c r="B2451" s="136" t="s">
        <v>17985</v>
      </c>
      <c r="C2451" s="137">
        <v>112500</v>
      </c>
      <c r="D2451" s="136" t="s">
        <v>15240</v>
      </c>
      <c r="E2451" s="138">
        <v>392</v>
      </c>
      <c r="F2451" s="139">
        <v>42877</v>
      </c>
      <c r="G2451" s="140">
        <v>392</v>
      </c>
      <c r="H2451" s="138">
        <f t="shared" si="39"/>
        <v>0</v>
      </c>
      <c r="I2451" s="141" t="s">
        <v>15214</v>
      </c>
    </row>
    <row r="2452" spans="1:9" x14ac:dyDescent="0.25">
      <c r="A2452" s="167" t="s">
        <v>17900</v>
      </c>
      <c r="B2452" s="142" t="s">
        <v>17986</v>
      </c>
      <c r="C2452" s="143">
        <v>112501</v>
      </c>
      <c r="D2452" s="142" t="s">
        <v>15530</v>
      </c>
      <c r="E2452" s="144">
        <v>244</v>
      </c>
      <c r="F2452" s="145">
        <v>42874</v>
      </c>
      <c r="G2452" s="146">
        <v>244</v>
      </c>
      <c r="H2452" s="138">
        <f t="shared" si="39"/>
        <v>0</v>
      </c>
      <c r="I2452" s="147" t="s">
        <v>15214</v>
      </c>
    </row>
    <row r="2453" spans="1:9" x14ac:dyDescent="0.25">
      <c r="A2453" s="168" t="s">
        <v>17900</v>
      </c>
      <c r="B2453" s="136" t="s">
        <v>17987</v>
      </c>
      <c r="C2453" s="137">
        <v>112502</v>
      </c>
      <c r="D2453" s="136" t="s">
        <v>15417</v>
      </c>
      <c r="E2453" s="138">
        <v>1936.4</v>
      </c>
      <c r="F2453" s="139">
        <v>42875</v>
      </c>
      <c r="G2453" s="140">
        <v>1936.4</v>
      </c>
      <c r="H2453" s="138">
        <f t="shared" si="39"/>
        <v>0</v>
      </c>
      <c r="I2453" s="141" t="s">
        <v>15214</v>
      </c>
    </row>
    <row r="2454" spans="1:9" x14ac:dyDescent="0.25">
      <c r="A2454" s="167" t="s">
        <v>17900</v>
      </c>
      <c r="B2454" s="142" t="s">
        <v>17988</v>
      </c>
      <c r="C2454" s="143">
        <v>112503</v>
      </c>
      <c r="D2454" s="142" t="s">
        <v>15276</v>
      </c>
      <c r="E2454" s="144">
        <v>3840</v>
      </c>
      <c r="F2454" s="145">
        <v>42875</v>
      </c>
      <c r="G2454" s="146">
        <v>3840</v>
      </c>
      <c r="H2454" s="138">
        <f t="shared" si="39"/>
        <v>0</v>
      </c>
      <c r="I2454" s="147" t="s">
        <v>15214</v>
      </c>
    </row>
    <row r="2455" spans="1:9" x14ac:dyDescent="0.25">
      <c r="A2455" s="168" t="s">
        <v>17900</v>
      </c>
      <c r="B2455" s="136" t="s">
        <v>17989</v>
      </c>
      <c r="C2455" s="137">
        <v>112504</v>
      </c>
      <c r="D2455" s="136" t="s">
        <v>15346</v>
      </c>
      <c r="E2455" s="138">
        <v>6627.2</v>
      </c>
      <c r="F2455" s="139">
        <v>42875</v>
      </c>
      <c r="G2455" s="140">
        <v>6627.2</v>
      </c>
      <c r="H2455" s="138">
        <f t="shared" si="39"/>
        <v>0</v>
      </c>
      <c r="I2455" s="141" t="s">
        <v>15214</v>
      </c>
    </row>
    <row r="2456" spans="1:9" x14ac:dyDescent="0.25">
      <c r="A2456" s="167" t="s">
        <v>17900</v>
      </c>
      <c r="B2456" s="142" t="s">
        <v>17990</v>
      </c>
      <c r="C2456" s="143">
        <v>112505</v>
      </c>
      <c r="D2456" s="142" t="s">
        <v>15537</v>
      </c>
      <c r="E2456" s="144">
        <v>14822.2</v>
      </c>
      <c r="F2456" s="145">
        <v>42879</v>
      </c>
      <c r="G2456" s="146">
        <v>14822.2</v>
      </c>
      <c r="H2456" s="138">
        <f t="shared" si="39"/>
        <v>0</v>
      </c>
      <c r="I2456" s="147" t="s">
        <v>15214</v>
      </c>
    </row>
    <row r="2457" spans="1:9" x14ac:dyDescent="0.25">
      <c r="A2457" s="168" t="s">
        <v>17900</v>
      </c>
      <c r="B2457" s="136" t="s">
        <v>17991</v>
      </c>
      <c r="C2457" s="137">
        <v>112506</v>
      </c>
      <c r="D2457" s="136" t="s">
        <v>15223</v>
      </c>
      <c r="E2457" s="138">
        <v>46349.599999999999</v>
      </c>
      <c r="F2457" s="139">
        <v>42882</v>
      </c>
      <c r="G2457" s="140">
        <f>31382.6+14967</f>
        <v>46349.599999999999</v>
      </c>
      <c r="H2457" s="138">
        <f t="shared" si="39"/>
        <v>0</v>
      </c>
      <c r="I2457" s="141" t="s">
        <v>15214</v>
      </c>
    </row>
    <row r="2458" spans="1:9" x14ac:dyDescent="0.25">
      <c r="A2458" s="167" t="s">
        <v>17900</v>
      </c>
      <c r="B2458" s="142" t="s">
        <v>17992</v>
      </c>
      <c r="C2458" s="143">
        <v>112507</v>
      </c>
      <c r="D2458" s="142" t="s">
        <v>15315</v>
      </c>
      <c r="E2458" s="144">
        <v>2987.4</v>
      </c>
      <c r="F2458" s="145">
        <v>42874</v>
      </c>
      <c r="G2458" s="146">
        <v>2987.4</v>
      </c>
      <c r="H2458" s="138">
        <f t="shared" si="39"/>
        <v>0</v>
      </c>
      <c r="I2458" s="147" t="s">
        <v>15214</v>
      </c>
    </row>
    <row r="2459" spans="1:9" x14ac:dyDescent="0.25">
      <c r="A2459" s="168" t="s">
        <v>17900</v>
      </c>
      <c r="B2459" s="136" t="s">
        <v>17993</v>
      </c>
      <c r="C2459" s="137">
        <v>112508</v>
      </c>
      <c r="D2459" s="136" t="s">
        <v>15539</v>
      </c>
      <c r="E2459" s="138">
        <v>13138.5</v>
      </c>
      <c r="F2459" s="139">
        <v>42879</v>
      </c>
      <c r="G2459" s="140">
        <v>13138.5</v>
      </c>
      <c r="H2459" s="138">
        <f t="shared" si="39"/>
        <v>0</v>
      </c>
      <c r="I2459" s="141" t="s">
        <v>15214</v>
      </c>
    </row>
    <row r="2460" spans="1:9" x14ac:dyDescent="0.25">
      <c r="A2460" s="167" t="s">
        <v>17900</v>
      </c>
      <c r="B2460" s="142" t="s">
        <v>17994</v>
      </c>
      <c r="C2460" s="143">
        <v>112509</v>
      </c>
      <c r="D2460" s="142" t="s">
        <v>15315</v>
      </c>
      <c r="E2460" s="144">
        <v>2952.6</v>
      </c>
      <c r="F2460" s="145">
        <v>42881</v>
      </c>
      <c r="G2460" s="146">
        <v>2952.6</v>
      </c>
      <c r="H2460" s="138">
        <f t="shared" si="39"/>
        <v>0</v>
      </c>
      <c r="I2460" s="147" t="s">
        <v>15214</v>
      </c>
    </row>
    <row r="2461" spans="1:9" x14ac:dyDescent="0.25">
      <c r="A2461" s="168" t="s">
        <v>17900</v>
      </c>
      <c r="B2461" s="136" t="s">
        <v>17995</v>
      </c>
      <c r="C2461" s="137">
        <v>112510</v>
      </c>
      <c r="D2461" s="136" t="s">
        <v>15559</v>
      </c>
      <c r="E2461" s="138">
        <v>13107.6</v>
      </c>
      <c r="F2461" s="139">
        <v>42879</v>
      </c>
      <c r="G2461" s="140">
        <v>13107.6</v>
      </c>
      <c r="H2461" s="138">
        <f t="shared" si="39"/>
        <v>0</v>
      </c>
      <c r="I2461" s="141" t="s">
        <v>15214</v>
      </c>
    </row>
    <row r="2462" spans="1:9" x14ac:dyDescent="0.25">
      <c r="A2462" s="167" t="s">
        <v>17900</v>
      </c>
      <c r="B2462" s="142" t="s">
        <v>17996</v>
      </c>
      <c r="C2462" s="143">
        <v>112511</v>
      </c>
      <c r="D2462" s="142" t="s">
        <v>15248</v>
      </c>
      <c r="E2462" s="144">
        <v>17765.12</v>
      </c>
      <c r="F2462" s="145">
        <v>42874</v>
      </c>
      <c r="G2462" s="146">
        <v>17765.12</v>
      </c>
      <c r="H2462" s="138">
        <f t="shared" si="39"/>
        <v>0</v>
      </c>
      <c r="I2462" s="147" t="s">
        <v>15214</v>
      </c>
    </row>
    <row r="2463" spans="1:9" x14ac:dyDescent="0.25">
      <c r="A2463" s="168" t="s">
        <v>17900</v>
      </c>
      <c r="B2463" s="136" t="s">
        <v>17997</v>
      </c>
      <c r="C2463" s="137">
        <v>112512</v>
      </c>
      <c r="D2463" s="136" t="s">
        <v>16108</v>
      </c>
      <c r="E2463" s="138">
        <v>5860.6</v>
      </c>
      <c r="F2463" s="139">
        <v>42874</v>
      </c>
      <c r="G2463" s="140">
        <v>5860.6</v>
      </c>
      <c r="H2463" s="138">
        <f t="shared" si="39"/>
        <v>0</v>
      </c>
      <c r="I2463" s="141" t="s">
        <v>15214</v>
      </c>
    </row>
    <row r="2464" spans="1:9" x14ac:dyDescent="0.25">
      <c r="A2464" s="167" t="s">
        <v>17900</v>
      </c>
      <c r="B2464" s="142" t="s">
        <v>17998</v>
      </c>
      <c r="C2464" s="143">
        <v>112513</v>
      </c>
      <c r="D2464" s="142" t="s">
        <v>15875</v>
      </c>
      <c r="E2464" s="144">
        <v>3034.8</v>
      </c>
      <c r="F2464" s="145">
        <v>42874</v>
      </c>
      <c r="G2464" s="146">
        <f>2700+334.8</f>
        <v>3034.8</v>
      </c>
      <c r="H2464" s="138">
        <f t="shared" si="39"/>
        <v>0</v>
      </c>
      <c r="I2464" s="147" t="s">
        <v>15214</v>
      </c>
    </row>
    <row r="2465" spans="1:9" x14ac:dyDescent="0.25">
      <c r="A2465" s="168" t="s">
        <v>17900</v>
      </c>
      <c r="B2465" s="136" t="s">
        <v>17999</v>
      </c>
      <c r="C2465" s="137">
        <v>112514</v>
      </c>
      <c r="D2465" s="136" t="s">
        <v>15544</v>
      </c>
      <c r="E2465" s="138">
        <v>9842</v>
      </c>
      <c r="F2465" s="139">
        <v>42881</v>
      </c>
      <c r="G2465" s="140">
        <v>9842</v>
      </c>
      <c r="H2465" s="138">
        <f t="shared" si="39"/>
        <v>0</v>
      </c>
      <c r="I2465" s="141" t="s">
        <v>15214</v>
      </c>
    </row>
    <row r="2466" spans="1:9" x14ac:dyDescent="0.25">
      <c r="A2466" s="167" t="s">
        <v>17900</v>
      </c>
      <c r="B2466" s="142" t="s">
        <v>18000</v>
      </c>
      <c r="C2466" s="143">
        <v>112515</v>
      </c>
      <c r="D2466" s="142" t="s">
        <v>16522</v>
      </c>
      <c r="E2466" s="144">
        <v>900</v>
      </c>
      <c r="F2466" s="145">
        <v>42926</v>
      </c>
      <c r="G2466" s="146">
        <v>900</v>
      </c>
      <c r="H2466" s="138">
        <f t="shared" si="39"/>
        <v>0</v>
      </c>
      <c r="I2466" s="147" t="s">
        <v>15214</v>
      </c>
    </row>
    <row r="2467" spans="1:9" x14ac:dyDescent="0.25">
      <c r="A2467" s="168" t="s">
        <v>17900</v>
      </c>
      <c r="B2467" s="136" t="s">
        <v>18001</v>
      </c>
      <c r="C2467" s="137">
        <v>112516</v>
      </c>
      <c r="D2467" s="136" t="s">
        <v>15725</v>
      </c>
      <c r="E2467" s="138">
        <v>17252.8</v>
      </c>
      <c r="F2467" s="139">
        <v>42876</v>
      </c>
      <c r="G2467" s="140">
        <v>17252.8</v>
      </c>
      <c r="H2467" s="138">
        <f t="shared" si="39"/>
        <v>0</v>
      </c>
      <c r="I2467" s="141" t="s">
        <v>15214</v>
      </c>
    </row>
    <row r="2468" spans="1:9" x14ac:dyDescent="0.25">
      <c r="A2468" s="167" t="s">
        <v>17900</v>
      </c>
      <c r="B2468" s="142" t="s">
        <v>18002</v>
      </c>
      <c r="C2468" s="143">
        <v>112517</v>
      </c>
      <c r="D2468" s="142" t="s">
        <v>15594</v>
      </c>
      <c r="E2468" s="144">
        <v>1675.8</v>
      </c>
      <c r="F2468" s="145">
        <v>42876</v>
      </c>
      <c r="G2468" s="146">
        <v>1675.8</v>
      </c>
      <c r="H2468" s="138">
        <f t="shared" si="39"/>
        <v>0</v>
      </c>
      <c r="I2468" s="147" t="s">
        <v>15214</v>
      </c>
    </row>
    <row r="2469" spans="1:9" x14ac:dyDescent="0.25">
      <c r="A2469" s="168" t="s">
        <v>17900</v>
      </c>
      <c r="B2469" s="136" t="s">
        <v>18003</v>
      </c>
      <c r="C2469" s="137">
        <v>112518</v>
      </c>
      <c r="D2469" s="136" t="s">
        <v>15555</v>
      </c>
      <c r="E2469" s="138">
        <v>36709.839999999997</v>
      </c>
      <c r="F2469" s="139">
        <v>42879</v>
      </c>
      <c r="G2469" s="140">
        <v>36709.839999999997</v>
      </c>
      <c r="H2469" s="138">
        <f t="shared" si="39"/>
        <v>0</v>
      </c>
      <c r="I2469" s="141" t="s">
        <v>15214</v>
      </c>
    </row>
    <row r="2470" spans="1:9" x14ac:dyDescent="0.25">
      <c r="A2470" s="167" t="s">
        <v>17900</v>
      </c>
      <c r="B2470" s="142" t="s">
        <v>18004</v>
      </c>
      <c r="C2470" s="143">
        <v>112519</v>
      </c>
      <c r="D2470" s="142" t="s">
        <v>15398</v>
      </c>
      <c r="E2470" s="144">
        <v>7375.5</v>
      </c>
      <c r="F2470" s="145">
        <v>42881</v>
      </c>
      <c r="G2470" s="146">
        <v>7375.5</v>
      </c>
      <c r="H2470" s="138">
        <f t="shared" si="39"/>
        <v>0</v>
      </c>
      <c r="I2470" s="147" t="s">
        <v>15214</v>
      </c>
    </row>
    <row r="2471" spans="1:9" x14ac:dyDescent="0.25">
      <c r="A2471" s="168" t="s">
        <v>17900</v>
      </c>
      <c r="B2471" s="136" t="s">
        <v>18005</v>
      </c>
      <c r="C2471" s="137">
        <v>112520</v>
      </c>
      <c r="D2471" s="136" t="s">
        <v>15391</v>
      </c>
      <c r="E2471" s="138">
        <v>9405.4</v>
      </c>
      <c r="F2471" s="139">
        <v>42877</v>
      </c>
      <c r="G2471" s="140">
        <v>9405.4</v>
      </c>
      <c r="H2471" s="138">
        <f t="shared" si="39"/>
        <v>0</v>
      </c>
      <c r="I2471" s="141" t="s">
        <v>15214</v>
      </c>
    </row>
    <row r="2472" spans="1:9" x14ac:dyDescent="0.25">
      <c r="A2472" s="167" t="s">
        <v>17900</v>
      </c>
      <c r="B2472" s="142" t="s">
        <v>18006</v>
      </c>
      <c r="C2472" s="143">
        <v>112521</v>
      </c>
      <c r="D2472" s="142" t="s">
        <v>15315</v>
      </c>
      <c r="E2472" s="144">
        <v>531.29999999999995</v>
      </c>
      <c r="F2472" s="145">
        <v>42876</v>
      </c>
      <c r="G2472" s="146">
        <v>531.29999999999995</v>
      </c>
      <c r="H2472" s="138">
        <f t="shared" si="39"/>
        <v>0</v>
      </c>
      <c r="I2472" s="147" t="s">
        <v>15214</v>
      </c>
    </row>
    <row r="2473" spans="1:9" x14ac:dyDescent="0.25">
      <c r="A2473" s="168" t="s">
        <v>17900</v>
      </c>
      <c r="B2473" s="136" t="s">
        <v>18007</v>
      </c>
      <c r="C2473" s="137">
        <v>112522</v>
      </c>
      <c r="D2473" s="136" t="s">
        <v>15315</v>
      </c>
      <c r="E2473" s="138">
        <v>2536</v>
      </c>
      <c r="F2473" s="139">
        <v>42879</v>
      </c>
      <c r="G2473" s="140">
        <v>2536</v>
      </c>
      <c r="H2473" s="138">
        <f t="shared" si="39"/>
        <v>0</v>
      </c>
      <c r="I2473" s="141" t="s">
        <v>15214</v>
      </c>
    </row>
    <row r="2474" spans="1:9" x14ac:dyDescent="0.25">
      <c r="A2474" s="167" t="s">
        <v>17900</v>
      </c>
      <c r="B2474" s="142" t="s">
        <v>18008</v>
      </c>
      <c r="C2474" s="143">
        <v>112523</v>
      </c>
      <c r="D2474" s="142" t="s">
        <v>15315</v>
      </c>
      <c r="E2474" s="144">
        <v>2502.9</v>
      </c>
      <c r="F2474" s="145">
        <v>42876</v>
      </c>
      <c r="G2474" s="146">
        <v>2502.9</v>
      </c>
      <c r="H2474" s="138">
        <f t="shared" si="39"/>
        <v>0</v>
      </c>
      <c r="I2474" s="147" t="s">
        <v>15214</v>
      </c>
    </row>
    <row r="2475" spans="1:9" x14ac:dyDescent="0.25">
      <c r="A2475" s="168" t="s">
        <v>17900</v>
      </c>
      <c r="B2475" s="136" t="s">
        <v>18009</v>
      </c>
      <c r="C2475" s="137">
        <v>112524</v>
      </c>
      <c r="D2475" s="136" t="s">
        <v>17708</v>
      </c>
      <c r="E2475" s="138">
        <v>2950.7</v>
      </c>
      <c r="F2475" s="139">
        <v>42876</v>
      </c>
      <c r="G2475" s="140">
        <v>2950.7</v>
      </c>
      <c r="H2475" s="138">
        <f t="shared" si="39"/>
        <v>0</v>
      </c>
      <c r="I2475" s="141" t="s">
        <v>15214</v>
      </c>
    </row>
    <row r="2476" spans="1:9" x14ac:dyDescent="0.25">
      <c r="A2476" s="167" t="s">
        <v>17900</v>
      </c>
      <c r="B2476" s="142" t="s">
        <v>18010</v>
      </c>
      <c r="C2476" s="143">
        <v>112525</v>
      </c>
      <c r="D2476" s="142" t="s">
        <v>15642</v>
      </c>
      <c r="E2476" s="144">
        <v>3010.7</v>
      </c>
      <c r="F2476" s="145">
        <v>42874</v>
      </c>
      <c r="G2476" s="146">
        <v>3010.7</v>
      </c>
      <c r="H2476" s="138">
        <f t="shared" si="39"/>
        <v>0</v>
      </c>
      <c r="I2476" s="147" t="s">
        <v>15214</v>
      </c>
    </row>
    <row r="2477" spans="1:9" x14ac:dyDescent="0.25">
      <c r="A2477" s="168" t="s">
        <v>17900</v>
      </c>
      <c r="B2477" s="136" t="s">
        <v>18011</v>
      </c>
      <c r="C2477" s="137">
        <v>112526</v>
      </c>
      <c r="D2477" s="136" t="s">
        <v>15376</v>
      </c>
      <c r="E2477" s="138">
        <v>14064.8</v>
      </c>
      <c r="F2477" s="139">
        <v>42876</v>
      </c>
      <c r="G2477" s="140">
        <v>14064.8</v>
      </c>
      <c r="H2477" s="138">
        <f t="shared" si="39"/>
        <v>0</v>
      </c>
      <c r="I2477" s="141" t="s">
        <v>15214</v>
      </c>
    </row>
    <row r="2478" spans="1:9" x14ac:dyDescent="0.25">
      <c r="A2478" s="167" t="s">
        <v>17900</v>
      </c>
      <c r="B2478" s="142" t="s">
        <v>18012</v>
      </c>
      <c r="C2478" s="143">
        <v>112527</v>
      </c>
      <c r="D2478" s="142" t="s">
        <v>15376</v>
      </c>
      <c r="E2478" s="144">
        <v>8333.7999999999993</v>
      </c>
      <c r="F2478" s="145">
        <v>42876</v>
      </c>
      <c r="G2478" s="146">
        <v>8333.7999999999993</v>
      </c>
      <c r="H2478" s="138">
        <f t="shared" si="39"/>
        <v>0</v>
      </c>
      <c r="I2478" s="147" t="s">
        <v>15214</v>
      </c>
    </row>
    <row r="2479" spans="1:9" x14ac:dyDescent="0.25">
      <c r="A2479" s="168" t="s">
        <v>17900</v>
      </c>
      <c r="B2479" s="136" t="s">
        <v>18013</v>
      </c>
      <c r="C2479" s="137">
        <v>112528</v>
      </c>
      <c r="D2479" s="136" t="s">
        <v>15642</v>
      </c>
      <c r="E2479" s="138">
        <v>281</v>
      </c>
      <c r="F2479" s="139">
        <v>42874</v>
      </c>
      <c r="G2479" s="140">
        <v>281</v>
      </c>
      <c r="H2479" s="138">
        <f t="shared" si="39"/>
        <v>0</v>
      </c>
      <c r="I2479" s="141" t="s">
        <v>15214</v>
      </c>
    </row>
    <row r="2480" spans="1:9" x14ac:dyDescent="0.25">
      <c r="A2480" s="167" t="s">
        <v>17900</v>
      </c>
      <c r="B2480" s="142" t="s">
        <v>18014</v>
      </c>
      <c r="C2480" s="143">
        <v>112529</v>
      </c>
      <c r="D2480" s="142" t="s">
        <v>15557</v>
      </c>
      <c r="E2480" s="144">
        <v>23087.200000000001</v>
      </c>
      <c r="F2480" s="148" t="s">
        <v>19646</v>
      </c>
      <c r="G2480" s="149">
        <f>22520+567.2</f>
        <v>23087.200000000001</v>
      </c>
      <c r="H2480" s="138">
        <f t="shared" si="39"/>
        <v>0</v>
      </c>
      <c r="I2480" s="147" t="s">
        <v>15214</v>
      </c>
    </row>
    <row r="2481" spans="1:9" x14ac:dyDescent="0.25">
      <c r="A2481" s="168" t="s">
        <v>17900</v>
      </c>
      <c r="B2481" s="136" t="s">
        <v>18015</v>
      </c>
      <c r="C2481" s="137">
        <v>112530</v>
      </c>
      <c r="D2481" s="136" t="s">
        <v>16383</v>
      </c>
      <c r="E2481" s="138">
        <v>9948.4</v>
      </c>
      <c r="F2481" s="139">
        <v>42874</v>
      </c>
      <c r="G2481" s="140">
        <v>9948.4</v>
      </c>
      <c r="H2481" s="138">
        <f t="shared" si="39"/>
        <v>0</v>
      </c>
      <c r="I2481" s="141" t="s">
        <v>15214</v>
      </c>
    </row>
    <row r="2482" spans="1:9" x14ac:dyDescent="0.25">
      <c r="A2482" s="167" t="s">
        <v>17900</v>
      </c>
      <c r="B2482" s="142" t="s">
        <v>18016</v>
      </c>
      <c r="C2482" s="143">
        <v>112531</v>
      </c>
      <c r="D2482" s="142" t="s">
        <v>17708</v>
      </c>
      <c r="E2482" s="144">
        <v>2420.9</v>
      </c>
      <c r="F2482" s="145">
        <v>42879</v>
      </c>
      <c r="G2482" s="146">
        <v>2420.9</v>
      </c>
      <c r="H2482" s="138">
        <f t="shared" si="39"/>
        <v>0</v>
      </c>
      <c r="I2482" s="147" t="s">
        <v>15214</v>
      </c>
    </row>
    <row r="2483" spans="1:9" x14ac:dyDescent="0.25">
      <c r="A2483" s="168" t="s">
        <v>17900</v>
      </c>
      <c r="B2483" s="136" t="s">
        <v>18017</v>
      </c>
      <c r="C2483" s="137">
        <v>112532</v>
      </c>
      <c r="D2483" s="136" t="s">
        <v>15590</v>
      </c>
      <c r="E2483" s="138">
        <v>25410.400000000001</v>
      </c>
      <c r="F2483" s="139">
        <v>42880</v>
      </c>
      <c r="G2483" s="140">
        <v>25410.400000000001</v>
      </c>
      <c r="H2483" s="138">
        <f t="shared" si="39"/>
        <v>0</v>
      </c>
      <c r="I2483" s="141" t="s">
        <v>15214</v>
      </c>
    </row>
    <row r="2484" spans="1:9" x14ac:dyDescent="0.25">
      <c r="A2484" s="167" t="s">
        <v>17900</v>
      </c>
      <c r="B2484" s="142" t="s">
        <v>18018</v>
      </c>
      <c r="C2484" s="143">
        <v>112533</v>
      </c>
      <c r="D2484" s="142" t="s">
        <v>15378</v>
      </c>
      <c r="E2484" s="144">
        <v>329.4</v>
      </c>
      <c r="F2484" s="145">
        <v>42874</v>
      </c>
      <c r="G2484" s="146">
        <v>329.4</v>
      </c>
      <c r="H2484" s="138">
        <f t="shared" si="39"/>
        <v>0</v>
      </c>
      <c r="I2484" s="147" t="s">
        <v>15214</v>
      </c>
    </row>
    <row r="2485" spans="1:9" x14ac:dyDescent="0.25">
      <c r="A2485" s="168" t="s">
        <v>17900</v>
      </c>
      <c r="B2485" s="136" t="s">
        <v>18019</v>
      </c>
      <c r="C2485" s="137">
        <v>112534</v>
      </c>
      <c r="D2485" s="136" t="s">
        <v>15267</v>
      </c>
      <c r="E2485" s="138">
        <v>34049</v>
      </c>
      <c r="F2485" s="157">
        <v>42892</v>
      </c>
      <c r="G2485" s="158">
        <v>34049</v>
      </c>
      <c r="H2485" s="138">
        <f t="shared" si="39"/>
        <v>0</v>
      </c>
      <c r="I2485" s="141" t="s">
        <v>15214</v>
      </c>
    </row>
    <row r="2486" spans="1:9" x14ac:dyDescent="0.25">
      <c r="A2486" s="167" t="s">
        <v>17900</v>
      </c>
      <c r="B2486" s="142" t="s">
        <v>18020</v>
      </c>
      <c r="C2486" s="143">
        <v>112535</v>
      </c>
      <c r="D2486" s="142" t="s">
        <v>15267</v>
      </c>
      <c r="E2486" s="144">
        <v>33275.199999999997</v>
      </c>
      <c r="F2486" s="148">
        <v>42892</v>
      </c>
      <c r="G2486" s="149">
        <v>33275.199999999997</v>
      </c>
      <c r="H2486" s="138">
        <f t="shared" si="39"/>
        <v>0</v>
      </c>
      <c r="I2486" s="147" t="s">
        <v>15214</v>
      </c>
    </row>
    <row r="2487" spans="1:9" x14ac:dyDescent="0.25">
      <c r="A2487" s="168" t="s">
        <v>17900</v>
      </c>
      <c r="B2487" s="136" t="s">
        <v>18021</v>
      </c>
      <c r="C2487" s="137">
        <v>112536</v>
      </c>
      <c r="D2487" s="136" t="s">
        <v>15394</v>
      </c>
      <c r="E2487" s="138">
        <v>17237.599999999999</v>
      </c>
      <c r="F2487" s="139">
        <v>42882</v>
      </c>
      <c r="G2487" s="140">
        <v>17237.599999999999</v>
      </c>
      <c r="H2487" s="138">
        <f t="shared" si="39"/>
        <v>0</v>
      </c>
      <c r="I2487" s="141" t="s">
        <v>15214</v>
      </c>
    </row>
    <row r="2488" spans="1:9" x14ac:dyDescent="0.25">
      <c r="A2488" s="167" t="s">
        <v>17900</v>
      </c>
      <c r="B2488" s="142" t="s">
        <v>18022</v>
      </c>
      <c r="C2488" s="143">
        <v>112537</v>
      </c>
      <c r="D2488" s="142" t="s">
        <v>15373</v>
      </c>
      <c r="E2488" s="144">
        <v>11825.2</v>
      </c>
      <c r="F2488" s="145">
        <v>42875</v>
      </c>
      <c r="G2488" s="146">
        <v>11825.2</v>
      </c>
      <c r="H2488" s="138">
        <f t="shared" si="39"/>
        <v>0</v>
      </c>
      <c r="I2488" s="147" t="s">
        <v>15214</v>
      </c>
    </row>
    <row r="2489" spans="1:9" x14ac:dyDescent="0.25">
      <c r="A2489" s="168" t="s">
        <v>17900</v>
      </c>
      <c r="B2489" s="136" t="s">
        <v>18023</v>
      </c>
      <c r="C2489" s="137">
        <v>112538</v>
      </c>
      <c r="D2489" s="136" t="s">
        <v>16031</v>
      </c>
      <c r="E2489" s="138">
        <v>1944</v>
      </c>
      <c r="F2489" s="139">
        <v>42874</v>
      </c>
      <c r="G2489" s="140">
        <v>1944</v>
      </c>
      <c r="H2489" s="138">
        <f t="shared" si="39"/>
        <v>0</v>
      </c>
      <c r="I2489" s="141" t="s">
        <v>15214</v>
      </c>
    </row>
    <row r="2490" spans="1:9" ht="15.75" x14ac:dyDescent="0.25">
      <c r="A2490" s="167" t="s">
        <v>17900</v>
      </c>
      <c r="B2490" s="142" t="s">
        <v>18024</v>
      </c>
      <c r="C2490" s="143">
        <v>112539</v>
      </c>
      <c r="D2490" s="142" t="s">
        <v>15380</v>
      </c>
      <c r="E2490" s="144">
        <v>0</v>
      </c>
      <c r="F2490" s="156" t="s">
        <v>95</v>
      </c>
      <c r="G2490" s="144">
        <v>0</v>
      </c>
      <c r="H2490" s="138">
        <f t="shared" si="39"/>
        <v>0</v>
      </c>
      <c r="I2490" s="147" t="s">
        <v>95</v>
      </c>
    </row>
    <row r="2491" spans="1:9" ht="15.75" x14ac:dyDescent="0.25">
      <c r="A2491" s="168" t="s">
        <v>17900</v>
      </c>
      <c r="B2491" s="136" t="s">
        <v>18025</v>
      </c>
      <c r="C2491" s="137">
        <v>112540</v>
      </c>
      <c r="D2491" s="136" t="s">
        <v>15380</v>
      </c>
      <c r="E2491" s="138">
        <v>0</v>
      </c>
      <c r="F2491" s="153" t="s">
        <v>95</v>
      </c>
      <c r="G2491" s="138">
        <v>0</v>
      </c>
      <c r="H2491" s="138">
        <f t="shared" si="39"/>
        <v>0</v>
      </c>
      <c r="I2491" s="141" t="s">
        <v>95</v>
      </c>
    </row>
    <row r="2492" spans="1:9" x14ac:dyDescent="0.25">
      <c r="A2492" s="167" t="s">
        <v>17900</v>
      </c>
      <c r="B2492" s="142" t="s">
        <v>18026</v>
      </c>
      <c r="C2492" s="143">
        <v>112541</v>
      </c>
      <c r="D2492" s="142" t="s">
        <v>15380</v>
      </c>
      <c r="E2492" s="144">
        <v>46075.6</v>
      </c>
      <c r="F2492" s="148">
        <v>42892</v>
      </c>
      <c r="G2492" s="149">
        <v>46075.6</v>
      </c>
      <c r="H2492" s="138">
        <f t="shared" si="39"/>
        <v>0</v>
      </c>
      <c r="I2492" s="147" t="s">
        <v>15214</v>
      </c>
    </row>
    <row r="2493" spans="1:9" x14ac:dyDescent="0.25">
      <c r="A2493" s="168" t="s">
        <v>17900</v>
      </c>
      <c r="B2493" s="136" t="s">
        <v>18027</v>
      </c>
      <c r="C2493" s="137">
        <v>112542</v>
      </c>
      <c r="D2493" s="136" t="s">
        <v>15369</v>
      </c>
      <c r="E2493" s="138">
        <v>25108.400000000001</v>
      </c>
      <c r="F2493" s="157">
        <v>42892</v>
      </c>
      <c r="G2493" s="158">
        <v>25108.400000000001</v>
      </c>
      <c r="H2493" s="138">
        <f t="shared" si="39"/>
        <v>0</v>
      </c>
      <c r="I2493" s="141" t="s">
        <v>15214</v>
      </c>
    </row>
    <row r="2494" spans="1:9" x14ac:dyDescent="0.25">
      <c r="A2494" s="167" t="s">
        <v>17900</v>
      </c>
      <c r="B2494" s="142" t="s">
        <v>18028</v>
      </c>
      <c r="C2494" s="143">
        <v>112543</v>
      </c>
      <c r="D2494" s="142" t="s">
        <v>15389</v>
      </c>
      <c r="E2494" s="144">
        <v>20093.400000000001</v>
      </c>
      <c r="F2494" s="145">
        <v>42881</v>
      </c>
      <c r="G2494" s="146">
        <v>20093.400000000001</v>
      </c>
      <c r="H2494" s="138">
        <f t="shared" si="39"/>
        <v>0</v>
      </c>
      <c r="I2494" s="147" t="s">
        <v>15214</v>
      </c>
    </row>
    <row r="2495" spans="1:9" x14ac:dyDescent="0.25">
      <c r="A2495" s="168" t="s">
        <v>17900</v>
      </c>
      <c r="B2495" s="136" t="s">
        <v>18029</v>
      </c>
      <c r="C2495" s="137">
        <v>112544</v>
      </c>
      <c r="D2495" s="136" t="s">
        <v>15382</v>
      </c>
      <c r="E2495" s="138">
        <v>11754.3</v>
      </c>
      <c r="F2495" s="157">
        <v>42892</v>
      </c>
      <c r="G2495" s="158">
        <v>11754.3</v>
      </c>
      <c r="H2495" s="138">
        <f t="shared" si="39"/>
        <v>0</v>
      </c>
      <c r="I2495" s="141" t="s">
        <v>15214</v>
      </c>
    </row>
    <row r="2496" spans="1:9" x14ac:dyDescent="0.25">
      <c r="A2496" s="167" t="s">
        <v>17900</v>
      </c>
      <c r="B2496" s="142" t="s">
        <v>18030</v>
      </c>
      <c r="C2496" s="143">
        <v>112545</v>
      </c>
      <c r="D2496" s="142" t="s">
        <v>15367</v>
      </c>
      <c r="E2496" s="144">
        <v>8600</v>
      </c>
      <c r="F2496" s="145">
        <v>42875</v>
      </c>
      <c r="G2496" s="146">
        <v>8600</v>
      </c>
      <c r="H2496" s="138">
        <f t="shared" si="39"/>
        <v>0</v>
      </c>
      <c r="I2496" s="147" t="s">
        <v>15214</v>
      </c>
    </row>
    <row r="2497" spans="1:9" x14ac:dyDescent="0.25">
      <c r="A2497" s="168" t="s">
        <v>17900</v>
      </c>
      <c r="B2497" s="136" t="s">
        <v>18031</v>
      </c>
      <c r="C2497" s="137">
        <v>112546</v>
      </c>
      <c r="D2497" s="136" t="s">
        <v>15263</v>
      </c>
      <c r="E2497" s="138">
        <v>418</v>
      </c>
      <c r="F2497" s="139">
        <v>42874</v>
      </c>
      <c r="G2497" s="140">
        <v>418</v>
      </c>
      <c r="H2497" s="138">
        <f t="shared" si="39"/>
        <v>0</v>
      </c>
      <c r="I2497" s="141" t="s">
        <v>15214</v>
      </c>
    </row>
    <row r="2498" spans="1:9" x14ac:dyDescent="0.25">
      <c r="A2498" s="167" t="s">
        <v>17900</v>
      </c>
      <c r="B2498" s="142" t="s">
        <v>18032</v>
      </c>
      <c r="C2498" s="143">
        <v>112547</v>
      </c>
      <c r="D2498" s="142" t="s">
        <v>18033</v>
      </c>
      <c r="E2498" s="144">
        <v>4502</v>
      </c>
      <c r="F2498" s="145">
        <v>42874</v>
      </c>
      <c r="G2498" s="146">
        <v>4502</v>
      </c>
      <c r="H2498" s="138">
        <f t="shared" si="39"/>
        <v>0</v>
      </c>
      <c r="I2498" s="147" t="s">
        <v>15214</v>
      </c>
    </row>
    <row r="2499" spans="1:9" x14ac:dyDescent="0.25">
      <c r="A2499" s="168" t="s">
        <v>17900</v>
      </c>
      <c r="B2499" s="136" t="s">
        <v>18034</v>
      </c>
      <c r="C2499" s="137">
        <v>112548</v>
      </c>
      <c r="D2499" s="136" t="s">
        <v>16048</v>
      </c>
      <c r="E2499" s="138">
        <v>5586.9</v>
      </c>
      <c r="F2499" s="139">
        <v>42874</v>
      </c>
      <c r="G2499" s="140">
        <v>5586.9</v>
      </c>
      <c r="H2499" s="138">
        <f t="shared" si="39"/>
        <v>0</v>
      </c>
      <c r="I2499" s="141" t="s">
        <v>15214</v>
      </c>
    </row>
    <row r="2500" spans="1:9" x14ac:dyDescent="0.25">
      <c r="A2500" s="167" t="s">
        <v>17900</v>
      </c>
      <c r="B2500" s="142" t="s">
        <v>18035</v>
      </c>
      <c r="C2500" s="143">
        <v>112549</v>
      </c>
      <c r="D2500" s="142" t="s">
        <v>15315</v>
      </c>
      <c r="E2500" s="144">
        <v>90</v>
      </c>
      <c r="F2500" s="145">
        <v>42874</v>
      </c>
      <c r="G2500" s="146">
        <v>90</v>
      </c>
      <c r="H2500" s="138">
        <f t="shared" si="39"/>
        <v>0</v>
      </c>
      <c r="I2500" s="147" t="s">
        <v>15214</v>
      </c>
    </row>
    <row r="2501" spans="1:9" x14ac:dyDescent="0.25">
      <c r="A2501" s="168" t="s">
        <v>17900</v>
      </c>
      <c r="B2501" s="136" t="s">
        <v>18036</v>
      </c>
      <c r="C2501" s="137">
        <v>112550</v>
      </c>
      <c r="D2501" s="136" t="s">
        <v>15294</v>
      </c>
      <c r="E2501" s="138">
        <v>2447.1999999999998</v>
      </c>
      <c r="F2501" s="139">
        <v>42874</v>
      </c>
      <c r="G2501" s="140">
        <v>2447.1999999999998</v>
      </c>
      <c r="H2501" s="138">
        <f t="shared" ref="H2501:H2566" si="40">E2501-G2501</f>
        <v>0</v>
      </c>
      <c r="I2501" s="141" t="s">
        <v>15214</v>
      </c>
    </row>
    <row r="2502" spans="1:9" ht="15.75" x14ac:dyDescent="0.25">
      <c r="A2502" s="167" t="s">
        <v>17900</v>
      </c>
      <c r="B2502" s="142" t="s">
        <v>18037</v>
      </c>
      <c r="C2502" s="143">
        <v>112551</v>
      </c>
      <c r="D2502" s="142" t="s">
        <v>15315</v>
      </c>
      <c r="E2502" s="144">
        <v>0</v>
      </c>
      <c r="F2502" s="156" t="s">
        <v>95</v>
      </c>
      <c r="G2502" s="144">
        <v>0</v>
      </c>
      <c r="H2502" s="138">
        <f t="shared" si="40"/>
        <v>0</v>
      </c>
      <c r="I2502" s="147" t="s">
        <v>95</v>
      </c>
    </row>
    <row r="2503" spans="1:9" x14ac:dyDescent="0.25">
      <c r="A2503" s="168" t="s">
        <v>17900</v>
      </c>
      <c r="B2503" s="136" t="s">
        <v>18038</v>
      </c>
      <c r="C2503" s="137">
        <v>112552</v>
      </c>
      <c r="D2503" s="136" t="s">
        <v>15315</v>
      </c>
      <c r="E2503" s="138">
        <v>3248.2</v>
      </c>
      <c r="F2503" s="139">
        <v>42874</v>
      </c>
      <c r="G2503" s="140">
        <v>3248.2</v>
      </c>
      <c r="H2503" s="138">
        <f t="shared" si="40"/>
        <v>0</v>
      </c>
      <c r="I2503" s="141" t="s">
        <v>15214</v>
      </c>
    </row>
    <row r="2504" spans="1:9" x14ac:dyDescent="0.25">
      <c r="A2504" s="167" t="s">
        <v>17900</v>
      </c>
      <c r="B2504" s="142" t="s">
        <v>18039</v>
      </c>
      <c r="C2504" s="143">
        <v>112553</v>
      </c>
      <c r="D2504" s="142" t="s">
        <v>15315</v>
      </c>
      <c r="E2504" s="144">
        <v>734.4</v>
      </c>
      <c r="F2504" s="145">
        <v>42874</v>
      </c>
      <c r="G2504" s="146">
        <v>734.4</v>
      </c>
      <c r="H2504" s="138">
        <f t="shared" si="40"/>
        <v>0</v>
      </c>
      <c r="I2504" s="147" t="s">
        <v>15214</v>
      </c>
    </row>
    <row r="2505" spans="1:9" x14ac:dyDescent="0.25">
      <c r="A2505" s="168" t="s">
        <v>17900</v>
      </c>
      <c r="B2505" s="136" t="s">
        <v>18040</v>
      </c>
      <c r="C2505" s="137">
        <v>112554</v>
      </c>
      <c r="D2505" s="136" t="s">
        <v>15920</v>
      </c>
      <c r="E2505" s="138">
        <v>24032</v>
      </c>
      <c r="F2505" s="139">
        <v>42901</v>
      </c>
      <c r="G2505" s="140">
        <v>24032</v>
      </c>
      <c r="H2505" s="138">
        <f t="shared" si="40"/>
        <v>0</v>
      </c>
      <c r="I2505" s="141" t="s">
        <v>15214</v>
      </c>
    </row>
    <row r="2506" spans="1:9" x14ac:dyDescent="0.25">
      <c r="A2506" s="167" t="s">
        <v>17900</v>
      </c>
      <c r="B2506" s="142" t="s">
        <v>18041</v>
      </c>
      <c r="C2506" s="143">
        <v>112555</v>
      </c>
      <c r="D2506" s="142" t="s">
        <v>15313</v>
      </c>
      <c r="E2506" s="144">
        <v>3497.14</v>
      </c>
      <c r="F2506" s="145">
        <v>42883</v>
      </c>
      <c r="G2506" s="146">
        <v>3497.14</v>
      </c>
      <c r="H2506" s="138">
        <f t="shared" si="40"/>
        <v>0</v>
      </c>
      <c r="I2506" s="147" t="s">
        <v>15214</v>
      </c>
    </row>
    <row r="2507" spans="1:9" x14ac:dyDescent="0.25">
      <c r="A2507" s="168" t="s">
        <v>17900</v>
      </c>
      <c r="B2507" s="136" t="s">
        <v>18042</v>
      </c>
      <c r="C2507" s="137">
        <v>112556</v>
      </c>
      <c r="D2507" s="136" t="s">
        <v>16463</v>
      </c>
      <c r="E2507" s="138">
        <v>13888</v>
      </c>
      <c r="F2507" s="139">
        <v>42875</v>
      </c>
      <c r="G2507" s="140">
        <v>13888</v>
      </c>
      <c r="H2507" s="138">
        <f t="shared" si="40"/>
        <v>0</v>
      </c>
      <c r="I2507" s="141" t="s">
        <v>15214</v>
      </c>
    </row>
    <row r="2508" spans="1:9" x14ac:dyDescent="0.25">
      <c r="A2508" s="167" t="s">
        <v>17900</v>
      </c>
      <c r="B2508" s="142" t="s">
        <v>18043</v>
      </c>
      <c r="C2508" s="143">
        <v>112557</v>
      </c>
      <c r="D2508" s="142" t="s">
        <v>15541</v>
      </c>
      <c r="E2508" s="144">
        <v>1979.4</v>
      </c>
      <c r="F2508" s="145">
        <v>42874</v>
      </c>
      <c r="G2508" s="146">
        <v>1979.4</v>
      </c>
      <c r="H2508" s="138">
        <f t="shared" si="40"/>
        <v>0</v>
      </c>
      <c r="I2508" s="147" t="s">
        <v>15214</v>
      </c>
    </row>
    <row r="2509" spans="1:9" x14ac:dyDescent="0.25">
      <c r="A2509" s="168" t="s">
        <v>17900</v>
      </c>
      <c r="B2509" s="136" t="s">
        <v>18044</v>
      </c>
      <c r="C2509" s="137">
        <v>112558</v>
      </c>
      <c r="D2509" s="136" t="s">
        <v>15254</v>
      </c>
      <c r="E2509" s="138">
        <v>863.5</v>
      </c>
      <c r="F2509" s="139">
        <v>42880</v>
      </c>
      <c r="G2509" s="140">
        <v>863.5</v>
      </c>
      <c r="H2509" s="138">
        <f t="shared" si="40"/>
        <v>0</v>
      </c>
      <c r="I2509" s="141" t="s">
        <v>15214</v>
      </c>
    </row>
    <row r="2510" spans="1:9" x14ac:dyDescent="0.25">
      <c r="A2510" s="167" t="s">
        <v>17900</v>
      </c>
      <c r="B2510" s="142" t="s">
        <v>18045</v>
      </c>
      <c r="C2510" s="143">
        <v>112559</v>
      </c>
      <c r="D2510" s="142" t="s">
        <v>15267</v>
      </c>
      <c r="E2510" s="144">
        <v>0</v>
      </c>
      <c r="F2510" s="161" t="s">
        <v>95</v>
      </c>
      <c r="G2510" s="144">
        <v>0</v>
      </c>
      <c r="H2510" s="138">
        <f t="shared" si="40"/>
        <v>0</v>
      </c>
      <c r="I2510" s="147" t="s">
        <v>95</v>
      </c>
    </row>
    <row r="2511" spans="1:9" x14ac:dyDescent="0.25">
      <c r="A2511" s="168" t="s">
        <v>17900</v>
      </c>
      <c r="B2511" s="136" t="s">
        <v>18046</v>
      </c>
      <c r="C2511" s="137">
        <v>112560</v>
      </c>
      <c r="D2511" s="136" t="s">
        <v>15267</v>
      </c>
      <c r="E2511" s="138">
        <v>8040</v>
      </c>
      <c r="F2511" s="139" t="s">
        <v>17900</v>
      </c>
      <c r="G2511" s="140">
        <v>8040</v>
      </c>
      <c r="H2511" s="138">
        <f t="shared" si="40"/>
        <v>0</v>
      </c>
      <c r="I2511" s="141" t="s">
        <v>15214</v>
      </c>
    </row>
    <row r="2512" spans="1:9" x14ac:dyDescent="0.25">
      <c r="A2512" s="167" t="s">
        <v>17900</v>
      </c>
      <c r="B2512" s="142" t="s">
        <v>18047</v>
      </c>
      <c r="C2512" s="143">
        <v>112561</v>
      </c>
      <c r="D2512" s="142" t="s">
        <v>15267</v>
      </c>
      <c r="E2512" s="144">
        <v>998.8</v>
      </c>
      <c r="F2512" s="148">
        <v>42892</v>
      </c>
      <c r="G2512" s="149">
        <v>998.8</v>
      </c>
      <c r="H2512" s="138">
        <f t="shared" si="40"/>
        <v>0</v>
      </c>
      <c r="I2512" s="147" t="s">
        <v>15214</v>
      </c>
    </row>
    <row r="2513" spans="1:9" x14ac:dyDescent="0.25">
      <c r="A2513" s="168" t="s">
        <v>17900</v>
      </c>
      <c r="B2513" s="136" t="s">
        <v>18048</v>
      </c>
      <c r="C2513" s="137">
        <v>112562</v>
      </c>
      <c r="D2513" s="136" t="s">
        <v>15315</v>
      </c>
      <c r="E2513" s="138">
        <v>394.8</v>
      </c>
      <c r="F2513" s="159">
        <v>42874</v>
      </c>
      <c r="G2513" s="138">
        <v>394.8</v>
      </c>
      <c r="H2513" s="138">
        <f t="shared" si="40"/>
        <v>0</v>
      </c>
      <c r="I2513" s="141" t="s">
        <v>15214</v>
      </c>
    </row>
    <row r="2514" spans="1:9" x14ac:dyDescent="0.25">
      <c r="A2514" s="167" t="s">
        <v>17900</v>
      </c>
      <c r="B2514" s="142" t="s">
        <v>18049</v>
      </c>
      <c r="C2514" s="143">
        <v>112563</v>
      </c>
      <c r="D2514" s="142" t="s">
        <v>15272</v>
      </c>
      <c r="E2514" s="144">
        <v>5855.4</v>
      </c>
      <c r="F2514" s="161">
        <v>42874</v>
      </c>
      <c r="G2514" s="144">
        <v>5855.4</v>
      </c>
      <c r="H2514" s="138">
        <f t="shared" si="40"/>
        <v>0</v>
      </c>
      <c r="I2514" s="147" t="s">
        <v>15214</v>
      </c>
    </row>
    <row r="2515" spans="1:9" x14ac:dyDescent="0.25">
      <c r="A2515" s="168" t="s">
        <v>17900</v>
      </c>
      <c r="B2515" s="136" t="s">
        <v>18050</v>
      </c>
      <c r="C2515" s="137">
        <v>112564</v>
      </c>
      <c r="D2515" s="136" t="s">
        <v>15444</v>
      </c>
      <c r="E2515" s="138">
        <v>2199.1999999999998</v>
      </c>
      <c r="F2515" s="139">
        <v>42877</v>
      </c>
      <c r="G2515" s="140">
        <v>2199.1999999999998</v>
      </c>
      <c r="H2515" s="138">
        <f t="shared" si="40"/>
        <v>0</v>
      </c>
      <c r="I2515" s="141" t="s">
        <v>15214</v>
      </c>
    </row>
    <row r="2516" spans="1:9" ht="15.75" x14ac:dyDescent="0.25">
      <c r="A2516" s="167" t="s">
        <v>17900</v>
      </c>
      <c r="B2516" s="142" t="s">
        <v>18051</v>
      </c>
      <c r="C2516" s="143">
        <v>112565</v>
      </c>
      <c r="D2516" s="142" t="s">
        <v>15655</v>
      </c>
      <c r="E2516" s="144">
        <v>0</v>
      </c>
      <c r="F2516" s="156" t="s">
        <v>95</v>
      </c>
      <c r="G2516" s="144">
        <v>0</v>
      </c>
      <c r="H2516" s="138">
        <f t="shared" si="40"/>
        <v>0</v>
      </c>
      <c r="I2516" s="147" t="s">
        <v>95</v>
      </c>
    </row>
    <row r="2517" spans="1:9" x14ac:dyDescent="0.25">
      <c r="A2517" s="168" t="s">
        <v>17900</v>
      </c>
      <c r="B2517" s="136" t="s">
        <v>18052</v>
      </c>
      <c r="C2517" s="137">
        <v>112566</v>
      </c>
      <c r="D2517" s="136" t="s">
        <v>15655</v>
      </c>
      <c r="E2517" s="138">
        <v>2598</v>
      </c>
      <c r="F2517" s="139">
        <v>42909</v>
      </c>
      <c r="G2517" s="140">
        <v>2598</v>
      </c>
      <c r="H2517" s="138">
        <f t="shared" si="40"/>
        <v>0</v>
      </c>
      <c r="I2517" s="141" t="s">
        <v>15214</v>
      </c>
    </row>
    <row r="2518" spans="1:9" x14ac:dyDescent="0.25">
      <c r="A2518" s="167" t="s">
        <v>17900</v>
      </c>
      <c r="B2518" s="142" t="s">
        <v>18053</v>
      </c>
      <c r="C2518" s="143">
        <v>112567</v>
      </c>
      <c r="D2518" s="142" t="s">
        <v>15655</v>
      </c>
      <c r="E2518" s="144">
        <v>8231.2999999999993</v>
      </c>
      <c r="F2518" s="145">
        <v>42875</v>
      </c>
      <c r="G2518" s="146">
        <v>8231.2999999999993</v>
      </c>
      <c r="H2518" s="138">
        <f t="shared" si="40"/>
        <v>0</v>
      </c>
      <c r="I2518" s="147" t="s">
        <v>15214</v>
      </c>
    </row>
    <row r="2519" spans="1:9" x14ac:dyDescent="0.25">
      <c r="A2519" s="168" t="s">
        <v>17900</v>
      </c>
      <c r="B2519" s="136" t="s">
        <v>18054</v>
      </c>
      <c r="C2519" s="137">
        <v>112568</v>
      </c>
      <c r="D2519" s="136" t="s">
        <v>15628</v>
      </c>
      <c r="E2519" s="138">
        <v>2205</v>
      </c>
      <c r="F2519" s="139">
        <v>42874</v>
      </c>
      <c r="G2519" s="140">
        <v>2205</v>
      </c>
      <c r="H2519" s="138">
        <f t="shared" si="40"/>
        <v>0</v>
      </c>
      <c r="I2519" s="141" t="s">
        <v>15214</v>
      </c>
    </row>
    <row r="2520" spans="1:9" x14ac:dyDescent="0.25">
      <c r="A2520" s="167" t="s">
        <v>17900</v>
      </c>
      <c r="B2520" s="142" t="s">
        <v>18055</v>
      </c>
      <c r="C2520" s="143">
        <v>112569</v>
      </c>
      <c r="D2520" s="142" t="s">
        <v>15568</v>
      </c>
      <c r="E2520" s="144">
        <v>2114</v>
      </c>
      <c r="F2520" s="145">
        <v>42874</v>
      </c>
      <c r="G2520" s="146">
        <v>2114</v>
      </c>
      <c r="H2520" s="138">
        <f t="shared" si="40"/>
        <v>0</v>
      </c>
      <c r="I2520" s="147" t="s">
        <v>15214</v>
      </c>
    </row>
    <row r="2521" spans="1:9" x14ac:dyDescent="0.25">
      <c r="A2521" s="168" t="s">
        <v>17900</v>
      </c>
      <c r="B2521" s="136" t="s">
        <v>18056</v>
      </c>
      <c r="C2521" s="137">
        <v>112570</v>
      </c>
      <c r="D2521" s="136" t="s">
        <v>15315</v>
      </c>
      <c r="E2521" s="138">
        <v>1861.5</v>
      </c>
      <c r="F2521" s="139">
        <v>42874</v>
      </c>
      <c r="G2521" s="140">
        <v>1861.5</v>
      </c>
      <c r="H2521" s="138">
        <f t="shared" si="40"/>
        <v>0</v>
      </c>
      <c r="I2521" s="141" t="s">
        <v>15214</v>
      </c>
    </row>
    <row r="2522" spans="1:9" x14ac:dyDescent="0.25">
      <c r="A2522" s="167" t="s">
        <v>17900</v>
      </c>
      <c r="B2522" s="142" t="s">
        <v>18057</v>
      </c>
      <c r="C2522" s="143">
        <v>112571</v>
      </c>
      <c r="D2522" s="142" t="s">
        <v>15330</v>
      </c>
      <c r="E2522" s="144">
        <v>1512</v>
      </c>
      <c r="F2522" s="145">
        <v>42874</v>
      </c>
      <c r="G2522" s="146">
        <v>1512</v>
      </c>
      <c r="H2522" s="138">
        <f t="shared" si="40"/>
        <v>0</v>
      </c>
      <c r="I2522" s="147" t="s">
        <v>15214</v>
      </c>
    </row>
    <row r="2523" spans="1:9" x14ac:dyDescent="0.25">
      <c r="A2523" s="168" t="s">
        <v>17900</v>
      </c>
      <c r="B2523" s="136" t="s">
        <v>18058</v>
      </c>
      <c r="C2523" s="137">
        <v>112572</v>
      </c>
      <c r="D2523" s="136" t="s">
        <v>15322</v>
      </c>
      <c r="E2523" s="138">
        <v>2205</v>
      </c>
      <c r="F2523" s="139">
        <v>42874</v>
      </c>
      <c r="G2523" s="140">
        <v>2205</v>
      </c>
      <c r="H2523" s="138">
        <f t="shared" si="40"/>
        <v>0</v>
      </c>
      <c r="I2523" s="141" t="s">
        <v>15214</v>
      </c>
    </row>
    <row r="2524" spans="1:9" x14ac:dyDescent="0.25">
      <c r="A2524" s="167" t="s">
        <v>17900</v>
      </c>
      <c r="B2524" s="142" t="s">
        <v>18059</v>
      </c>
      <c r="C2524" s="143">
        <v>112573</v>
      </c>
      <c r="D2524" s="142" t="s">
        <v>15365</v>
      </c>
      <c r="E2524" s="144">
        <v>217916</v>
      </c>
      <c r="F2524" s="145">
        <v>42883</v>
      </c>
      <c r="G2524" s="146">
        <v>217916</v>
      </c>
      <c r="H2524" s="138">
        <f t="shared" si="40"/>
        <v>0</v>
      </c>
      <c r="I2524" s="147" t="s">
        <v>15214</v>
      </c>
    </row>
    <row r="2525" spans="1:9" x14ac:dyDescent="0.25">
      <c r="A2525" s="168" t="s">
        <v>17900</v>
      </c>
      <c r="B2525" s="136" t="s">
        <v>18060</v>
      </c>
      <c r="C2525" s="137">
        <v>112574</v>
      </c>
      <c r="D2525" s="136" t="s">
        <v>15263</v>
      </c>
      <c r="E2525" s="138">
        <v>1068.8</v>
      </c>
      <c r="F2525" s="139">
        <v>42874</v>
      </c>
      <c r="G2525" s="140">
        <v>1068.8</v>
      </c>
      <c r="H2525" s="138">
        <f t="shared" si="40"/>
        <v>0</v>
      </c>
      <c r="I2525" s="141" t="s">
        <v>15214</v>
      </c>
    </row>
    <row r="2526" spans="1:9" x14ac:dyDescent="0.25">
      <c r="A2526" s="167" t="s">
        <v>17900</v>
      </c>
      <c r="B2526" s="142" t="s">
        <v>18061</v>
      </c>
      <c r="C2526" s="143">
        <v>112575</v>
      </c>
      <c r="D2526" s="142" t="s">
        <v>15315</v>
      </c>
      <c r="E2526" s="144">
        <v>65.599999999999994</v>
      </c>
      <c r="F2526" s="145">
        <v>42874</v>
      </c>
      <c r="G2526" s="146">
        <v>65.599999999999994</v>
      </c>
      <c r="H2526" s="138">
        <f t="shared" si="40"/>
        <v>0</v>
      </c>
      <c r="I2526" s="147" t="s">
        <v>15214</v>
      </c>
    </row>
    <row r="2527" spans="1:9" x14ac:dyDescent="0.25">
      <c r="A2527" s="168" t="s">
        <v>17900</v>
      </c>
      <c r="B2527" s="136" t="s">
        <v>18062</v>
      </c>
      <c r="C2527" s="137">
        <v>112576</v>
      </c>
      <c r="D2527" s="136" t="s">
        <v>15423</v>
      </c>
      <c r="E2527" s="138">
        <v>2217.6</v>
      </c>
      <c r="F2527" s="139">
        <v>42874</v>
      </c>
      <c r="G2527" s="140">
        <v>2217.6</v>
      </c>
      <c r="H2527" s="138">
        <f t="shared" si="40"/>
        <v>0</v>
      </c>
      <c r="I2527" s="141" t="s">
        <v>15214</v>
      </c>
    </row>
    <row r="2528" spans="1:9" x14ac:dyDescent="0.25">
      <c r="A2528" s="167" t="s">
        <v>17900</v>
      </c>
      <c r="B2528" s="142" t="s">
        <v>18063</v>
      </c>
      <c r="C2528" s="143">
        <v>112577</v>
      </c>
      <c r="D2528" s="142" t="s">
        <v>15298</v>
      </c>
      <c r="E2528" s="144">
        <v>2926.8</v>
      </c>
      <c r="F2528" s="145">
        <v>42874</v>
      </c>
      <c r="G2528" s="146">
        <v>2926.8</v>
      </c>
      <c r="H2528" s="138">
        <f t="shared" si="40"/>
        <v>0</v>
      </c>
      <c r="I2528" s="147" t="s">
        <v>15214</v>
      </c>
    </row>
    <row r="2529" spans="1:9" x14ac:dyDescent="0.25">
      <c r="A2529" s="168" t="s">
        <v>17900</v>
      </c>
      <c r="B2529" s="136" t="s">
        <v>18064</v>
      </c>
      <c r="C2529" s="137">
        <v>112578</v>
      </c>
      <c r="D2529" s="136" t="s">
        <v>15398</v>
      </c>
      <c r="E2529" s="138">
        <v>2524.4</v>
      </c>
      <c r="F2529" s="139">
        <v>42874</v>
      </c>
      <c r="G2529" s="140">
        <v>2524.4</v>
      </c>
      <c r="H2529" s="138">
        <f t="shared" si="40"/>
        <v>0</v>
      </c>
      <c r="I2529" s="141" t="s">
        <v>15214</v>
      </c>
    </row>
    <row r="2530" spans="1:9" x14ac:dyDescent="0.25">
      <c r="A2530" s="167" t="s">
        <v>17900</v>
      </c>
      <c r="B2530" s="142" t="s">
        <v>18065</v>
      </c>
      <c r="C2530" s="143">
        <v>112579</v>
      </c>
      <c r="D2530" s="142" t="s">
        <v>15246</v>
      </c>
      <c r="E2530" s="144">
        <v>44543.6</v>
      </c>
      <c r="F2530" s="145">
        <v>42877</v>
      </c>
      <c r="G2530" s="146">
        <v>44543.6</v>
      </c>
      <c r="H2530" s="138">
        <f t="shared" si="40"/>
        <v>0</v>
      </c>
      <c r="I2530" s="147" t="s">
        <v>15214</v>
      </c>
    </row>
    <row r="2531" spans="1:9" x14ac:dyDescent="0.25">
      <c r="A2531" s="168" t="s">
        <v>17900</v>
      </c>
      <c r="B2531" s="136" t="s">
        <v>18066</v>
      </c>
      <c r="C2531" s="137">
        <v>112580</v>
      </c>
      <c r="D2531" s="136" t="s">
        <v>15681</v>
      </c>
      <c r="E2531" s="138">
        <v>4724</v>
      </c>
      <c r="F2531" s="139">
        <v>42874</v>
      </c>
      <c r="G2531" s="140">
        <v>4724</v>
      </c>
      <c r="H2531" s="138">
        <f t="shared" si="40"/>
        <v>0</v>
      </c>
      <c r="I2531" s="141" t="s">
        <v>15214</v>
      </c>
    </row>
    <row r="2532" spans="1:9" x14ac:dyDescent="0.25">
      <c r="A2532" s="167" t="s">
        <v>17900</v>
      </c>
      <c r="B2532" s="142" t="s">
        <v>18067</v>
      </c>
      <c r="C2532" s="143">
        <v>112581</v>
      </c>
      <c r="D2532" s="142" t="s">
        <v>15315</v>
      </c>
      <c r="E2532" s="144">
        <v>5641</v>
      </c>
      <c r="F2532" s="145">
        <v>42874</v>
      </c>
      <c r="G2532" s="146">
        <v>5641</v>
      </c>
      <c r="H2532" s="138">
        <f t="shared" si="40"/>
        <v>0</v>
      </c>
      <c r="I2532" s="147" t="s">
        <v>15214</v>
      </c>
    </row>
    <row r="2533" spans="1:9" x14ac:dyDescent="0.25">
      <c r="A2533" s="168" t="s">
        <v>17900</v>
      </c>
      <c r="B2533" s="136" t="s">
        <v>18068</v>
      </c>
      <c r="C2533" s="137">
        <v>112582</v>
      </c>
      <c r="D2533" s="136" t="s">
        <v>15246</v>
      </c>
      <c r="E2533" s="138">
        <v>118831.6</v>
      </c>
      <c r="F2533" s="139">
        <v>42877</v>
      </c>
      <c r="G2533" s="140">
        <v>118831.6</v>
      </c>
      <c r="H2533" s="138">
        <f t="shared" si="40"/>
        <v>0</v>
      </c>
      <c r="I2533" s="141" t="s">
        <v>15214</v>
      </c>
    </row>
    <row r="2534" spans="1:9" x14ac:dyDescent="0.25">
      <c r="A2534" s="167" t="s">
        <v>17900</v>
      </c>
      <c r="B2534" s="142" t="s">
        <v>18069</v>
      </c>
      <c r="C2534" s="143">
        <v>112583</v>
      </c>
      <c r="D2534" s="142" t="s">
        <v>15246</v>
      </c>
      <c r="E2534" s="144">
        <v>281683.09999999998</v>
      </c>
      <c r="F2534" s="145">
        <v>42877</v>
      </c>
      <c r="G2534" s="146">
        <v>281683.09999999998</v>
      </c>
      <c r="H2534" s="138">
        <f t="shared" si="40"/>
        <v>0</v>
      </c>
      <c r="I2534" s="147" t="s">
        <v>15214</v>
      </c>
    </row>
    <row r="2535" spans="1:9" x14ac:dyDescent="0.25">
      <c r="A2535" s="168" t="s">
        <v>17900</v>
      </c>
      <c r="B2535" s="136" t="s">
        <v>18070</v>
      </c>
      <c r="C2535" s="137">
        <v>112584</v>
      </c>
      <c r="D2535" s="136" t="s">
        <v>15246</v>
      </c>
      <c r="E2535" s="138">
        <v>1660</v>
      </c>
      <c r="F2535" s="139">
        <v>42877</v>
      </c>
      <c r="G2535" s="140">
        <v>1660</v>
      </c>
      <c r="H2535" s="138">
        <f t="shared" si="40"/>
        <v>0</v>
      </c>
      <c r="I2535" s="141" t="s">
        <v>15214</v>
      </c>
    </row>
    <row r="2536" spans="1:9" x14ac:dyDescent="0.25">
      <c r="A2536" s="167" t="s">
        <v>17900</v>
      </c>
      <c r="B2536" s="142" t="s">
        <v>18071</v>
      </c>
      <c r="C2536" s="143">
        <v>112585</v>
      </c>
      <c r="D2536" s="142" t="s">
        <v>16129</v>
      </c>
      <c r="E2536" s="144">
        <v>5682.6</v>
      </c>
      <c r="F2536" s="148">
        <v>42888</v>
      </c>
      <c r="G2536" s="149">
        <v>5682.6</v>
      </c>
      <c r="H2536" s="138">
        <f t="shared" si="40"/>
        <v>0</v>
      </c>
      <c r="I2536" s="147" t="s">
        <v>15214</v>
      </c>
    </row>
    <row r="2537" spans="1:9" x14ac:dyDescent="0.25">
      <c r="A2537" s="168" t="s">
        <v>17900</v>
      </c>
      <c r="B2537" s="136" t="s">
        <v>18072</v>
      </c>
      <c r="C2537" s="137">
        <v>112586</v>
      </c>
      <c r="D2537" s="136" t="s">
        <v>15246</v>
      </c>
      <c r="E2537" s="138">
        <v>8426.4</v>
      </c>
      <c r="F2537" s="139">
        <v>42877</v>
      </c>
      <c r="G2537" s="140">
        <v>8426.4</v>
      </c>
      <c r="H2537" s="138">
        <f t="shared" si="40"/>
        <v>0</v>
      </c>
      <c r="I2537" s="141" t="s">
        <v>15214</v>
      </c>
    </row>
    <row r="2538" spans="1:9" x14ac:dyDescent="0.25">
      <c r="A2538" s="167" t="s">
        <v>17900</v>
      </c>
      <c r="B2538" s="142" t="s">
        <v>18073</v>
      </c>
      <c r="C2538" s="143">
        <v>112587</v>
      </c>
      <c r="D2538" s="142" t="s">
        <v>15223</v>
      </c>
      <c r="E2538" s="144">
        <v>49688.6</v>
      </c>
      <c r="F2538" s="148" t="s">
        <v>19654</v>
      </c>
      <c r="G2538" s="149">
        <f>25643+24045.6</f>
        <v>49688.6</v>
      </c>
      <c r="H2538" s="138">
        <f t="shared" si="40"/>
        <v>0</v>
      </c>
      <c r="I2538" s="147" t="s">
        <v>15214</v>
      </c>
    </row>
    <row r="2539" spans="1:9" x14ac:dyDescent="0.25">
      <c r="A2539" s="168" t="s">
        <v>17900</v>
      </c>
      <c r="B2539" s="136" t="s">
        <v>18074</v>
      </c>
      <c r="C2539" s="137">
        <v>112588</v>
      </c>
      <c r="D2539" s="136" t="s">
        <v>15250</v>
      </c>
      <c r="E2539" s="138">
        <v>67407.48</v>
      </c>
      <c r="F2539" s="139">
        <v>42886</v>
      </c>
      <c r="G2539" s="140">
        <v>67407.48</v>
      </c>
      <c r="H2539" s="138">
        <f t="shared" si="40"/>
        <v>0</v>
      </c>
      <c r="I2539" s="141" t="s">
        <v>15214</v>
      </c>
    </row>
    <row r="2540" spans="1:9" x14ac:dyDescent="0.25">
      <c r="A2540" s="167" t="s">
        <v>17900</v>
      </c>
      <c r="B2540" s="142" t="s">
        <v>18075</v>
      </c>
      <c r="C2540" s="143">
        <v>112589</v>
      </c>
      <c r="D2540" s="142" t="s">
        <v>18076</v>
      </c>
      <c r="E2540" s="144">
        <v>3532.2</v>
      </c>
      <c r="F2540" s="145">
        <v>42874</v>
      </c>
      <c r="G2540" s="146">
        <v>3532.2</v>
      </c>
      <c r="H2540" s="138">
        <f t="shared" si="40"/>
        <v>0</v>
      </c>
      <c r="I2540" s="147" t="s">
        <v>15214</v>
      </c>
    </row>
    <row r="2541" spans="1:9" x14ac:dyDescent="0.25">
      <c r="A2541" s="168" t="s">
        <v>17900</v>
      </c>
      <c r="B2541" s="136" t="s">
        <v>18077</v>
      </c>
      <c r="C2541" s="137">
        <v>112590</v>
      </c>
      <c r="D2541" s="136" t="s">
        <v>15435</v>
      </c>
      <c r="E2541" s="138">
        <v>9074.6</v>
      </c>
      <c r="F2541" s="139">
        <v>42874</v>
      </c>
      <c r="G2541" s="140">
        <v>9074.6</v>
      </c>
      <c r="H2541" s="138">
        <f t="shared" si="40"/>
        <v>0</v>
      </c>
      <c r="I2541" s="141" t="s">
        <v>15214</v>
      </c>
    </row>
    <row r="2542" spans="1:9" x14ac:dyDescent="0.25">
      <c r="A2542" s="167" t="s">
        <v>17900</v>
      </c>
      <c r="B2542" s="142" t="s">
        <v>18078</v>
      </c>
      <c r="C2542" s="143">
        <v>112591</v>
      </c>
      <c r="D2542" s="142" t="s">
        <v>15315</v>
      </c>
      <c r="E2542" s="144">
        <v>799.2</v>
      </c>
      <c r="F2542" s="145">
        <v>42874</v>
      </c>
      <c r="G2542" s="146">
        <v>799.2</v>
      </c>
      <c r="H2542" s="138">
        <f t="shared" si="40"/>
        <v>0</v>
      </c>
      <c r="I2542" s="147" t="s">
        <v>15214</v>
      </c>
    </row>
    <row r="2543" spans="1:9" x14ac:dyDescent="0.25">
      <c r="A2543" s="168" t="s">
        <v>17900</v>
      </c>
      <c r="B2543" s="136" t="s">
        <v>18079</v>
      </c>
      <c r="C2543" s="137">
        <v>112592</v>
      </c>
      <c r="D2543" s="136" t="s">
        <v>15250</v>
      </c>
      <c r="E2543" s="138">
        <v>41938</v>
      </c>
      <c r="F2543" s="139">
        <v>42886</v>
      </c>
      <c r="G2543" s="140">
        <v>41938</v>
      </c>
      <c r="H2543" s="138">
        <f t="shared" si="40"/>
        <v>0</v>
      </c>
      <c r="I2543" s="141" t="s">
        <v>15214</v>
      </c>
    </row>
    <row r="2544" spans="1:9" x14ac:dyDescent="0.25">
      <c r="A2544" s="167" t="s">
        <v>17900</v>
      </c>
      <c r="B2544" s="142" t="s">
        <v>18080</v>
      </c>
      <c r="C2544" s="143">
        <v>112593</v>
      </c>
      <c r="D2544" s="142" t="s">
        <v>15644</v>
      </c>
      <c r="E2544" s="144">
        <v>3116.4</v>
      </c>
      <c r="F2544" s="145">
        <v>42875</v>
      </c>
      <c r="G2544" s="146">
        <v>3116.4</v>
      </c>
      <c r="H2544" s="138">
        <f t="shared" si="40"/>
        <v>0</v>
      </c>
      <c r="I2544" s="147" t="s">
        <v>15214</v>
      </c>
    </row>
    <row r="2545" spans="1:9" x14ac:dyDescent="0.25">
      <c r="A2545" s="168" t="s">
        <v>17900</v>
      </c>
      <c r="B2545" s="136" t="s">
        <v>18081</v>
      </c>
      <c r="C2545" s="137">
        <v>112594</v>
      </c>
      <c r="D2545" s="136" t="s">
        <v>18082</v>
      </c>
      <c r="E2545" s="138">
        <v>26408</v>
      </c>
      <c r="F2545" s="139">
        <v>42875</v>
      </c>
      <c r="G2545" s="140">
        <v>26408</v>
      </c>
      <c r="H2545" s="138">
        <f t="shared" si="40"/>
        <v>0</v>
      </c>
      <c r="I2545" s="141" t="s">
        <v>15214</v>
      </c>
    </row>
    <row r="2546" spans="1:9" x14ac:dyDescent="0.25">
      <c r="A2546" s="167" t="s">
        <v>17900</v>
      </c>
      <c r="B2546" s="142" t="s">
        <v>18083</v>
      </c>
      <c r="C2546" s="143">
        <v>112595</v>
      </c>
      <c r="D2546" s="142" t="s">
        <v>15642</v>
      </c>
      <c r="E2546" s="144">
        <v>6421.8</v>
      </c>
      <c r="F2546" s="145">
        <v>42875</v>
      </c>
      <c r="G2546" s="146">
        <v>6421.8</v>
      </c>
      <c r="H2546" s="138">
        <f t="shared" si="40"/>
        <v>0</v>
      </c>
      <c r="I2546" s="147" t="s">
        <v>15214</v>
      </c>
    </row>
    <row r="2547" spans="1:9" x14ac:dyDescent="0.25">
      <c r="A2547" s="168" t="s">
        <v>17900</v>
      </c>
      <c r="B2547" s="136" t="s">
        <v>18084</v>
      </c>
      <c r="C2547" s="137">
        <v>112596</v>
      </c>
      <c r="D2547" s="136" t="s">
        <v>15246</v>
      </c>
      <c r="E2547" s="138">
        <v>115959.84</v>
      </c>
      <c r="F2547" s="139">
        <v>42877</v>
      </c>
      <c r="G2547" s="140">
        <v>115959.84</v>
      </c>
      <c r="H2547" s="138">
        <f t="shared" si="40"/>
        <v>0</v>
      </c>
      <c r="I2547" s="141" t="s">
        <v>15214</v>
      </c>
    </row>
    <row r="2548" spans="1:9" x14ac:dyDescent="0.25">
      <c r="A2548" s="167" t="s">
        <v>18085</v>
      </c>
      <c r="B2548" s="142" t="s">
        <v>18086</v>
      </c>
      <c r="C2548" s="143">
        <v>112597</v>
      </c>
      <c r="D2548" s="142" t="s">
        <v>15213</v>
      </c>
      <c r="E2548" s="144">
        <v>6583.5</v>
      </c>
      <c r="F2548" s="145">
        <v>42876</v>
      </c>
      <c r="G2548" s="146">
        <v>6583.5</v>
      </c>
      <c r="H2548" s="138">
        <f t="shared" si="40"/>
        <v>0</v>
      </c>
      <c r="I2548" s="147" t="s">
        <v>15214</v>
      </c>
    </row>
    <row r="2549" spans="1:9" x14ac:dyDescent="0.25">
      <c r="A2549" s="168" t="s">
        <v>18085</v>
      </c>
      <c r="B2549" s="136" t="s">
        <v>18087</v>
      </c>
      <c r="C2549" s="137">
        <v>112598</v>
      </c>
      <c r="D2549" s="136" t="s">
        <v>15315</v>
      </c>
      <c r="E2549" s="138">
        <v>160.80000000000001</v>
      </c>
      <c r="F2549" s="139">
        <v>42875</v>
      </c>
      <c r="G2549" s="140">
        <v>160.80000000000001</v>
      </c>
      <c r="H2549" s="138">
        <f t="shared" si="40"/>
        <v>0</v>
      </c>
      <c r="I2549" s="141" t="s">
        <v>15214</v>
      </c>
    </row>
    <row r="2550" spans="1:9" x14ac:dyDescent="0.25">
      <c r="A2550" s="167" t="s">
        <v>18085</v>
      </c>
      <c r="B2550" s="142" t="s">
        <v>18088</v>
      </c>
      <c r="C2550" s="143">
        <v>112599</v>
      </c>
      <c r="D2550" s="142" t="s">
        <v>15213</v>
      </c>
      <c r="E2550" s="144">
        <v>36462.1</v>
      </c>
      <c r="F2550" s="145">
        <v>42876</v>
      </c>
      <c r="G2550" s="146">
        <v>36462.1</v>
      </c>
      <c r="H2550" s="138">
        <f t="shared" si="40"/>
        <v>0</v>
      </c>
      <c r="I2550" s="147" t="s">
        <v>15214</v>
      </c>
    </row>
    <row r="2551" spans="1:9" x14ac:dyDescent="0.25">
      <c r="A2551" s="168" t="s">
        <v>18085</v>
      </c>
      <c r="B2551" s="136" t="s">
        <v>18089</v>
      </c>
      <c r="C2551" s="137">
        <v>112600</v>
      </c>
      <c r="D2551" s="136" t="s">
        <v>15407</v>
      </c>
      <c r="E2551" s="138">
        <v>18939.599999999999</v>
      </c>
      <c r="F2551" s="139">
        <v>42875</v>
      </c>
      <c r="G2551" s="140">
        <v>18939.599999999999</v>
      </c>
      <c r="H2551" s="138">
        <f t="shared" si="40"/>
        <v>0</v>
      </c>
      <c r="I2551" s="141" t="s">
        <v>15214</v>
      </c>
    </row>
    <row r="2552" spans="1:9" x14ac:dyDescent="0.25">
      <c r="A2552" s="167" t="s">
        <v>18085</v>
      </c>
      <c r="B2552" s="142" t="s">
        <v>18090</v>
      </c>
      <c r="C2552" s="143">
        <v>112601</v>
      </c>
      <c r="D2552" s="142" t="s">
        <v>15655</v>
      </c>
      <c r="E2552" s="144">
        <v>15330.7</v>
      </c>
      <c r="F2552" s="145">
        <v>42875</v>
      </c>
      <c r="G2552" s="146">
        <v>15330.7</v>
      </c>
      <c r="H2552" s="138">
        <f t="shared" si="40"/>
        <v>0</v>
      </c>
      <c r="I2552" s="147" t="s">
        <v>15214</v>
      </c>
    </row>
    <row r="2553" spans="1:9" x14ac:dyDescent="0.25">
      <c r="A2553" s="168" t="s">
        <v>18085</v>
      </c>
      <c r="B2553" s="136" t="s">
        <v>18091</v>
      </c>
      <c r="C2553" s="137">
        <v>112602</v>
      </c>
      <c r="D2553" s="136" t="s">
        <v>15315</v>
      </c>
      <c r="E2553" s="138">
        <v>2606.4</v>
      </c>
      <c r="F2553" s="139">
        <v>42875</v>
      </c>
      <c r="G2553" s="140">
        <v>2606.4</v>
      </c>
      <c r="H2553" s="138">
        <f t="shared" si="40"/>
        <v>0</v>
      </c>
      <c r="I2553" s="141" t="s">
        <v>15214</v>
      </c>
    </row>
    <row r="2554" spans="1:9" x14ac:dyDescent="0.25">
      <c r="A2554" s="167" t="s">
        <v>18085</v>
      </c>
      <c r="B2554" s="142" t="s">
        <v>18092</v>
      </c>
      <c r="C2554" s="143">
        <v>112603</v>
      </c>
      <c r="D2554" s="142" t="s">
        <v>15348</v>
      </c>
      <c r="E2554" s="144">
        <v>132</v>
      </c>
      <c r="F2554" s="145">
        <v>42875</v>
      </c>
      <c r="G2554" s="146">
        <v>132</v>
      </c>
      <c r="H2554" s="138">
        <f t="shared" si="40"/>
        <v>0</v>
      </c>
      <c r="I2554" s="147" t="s">
        <v>15214</v>
      </c>
    </row>
    <row r="2555" spans="1:9" x14ac:dyDescent="0.25">
      <c r="A2555" s="168" t="s">
        <v>18085</v>
      </c>
      <c r="B2555" s="136" t="s">
        <v>18093</v>
      </c>
      <c r="C2555" s="137">
        <v>112604</v>
      </c>
      <c r="D2555" s="136" t="s">
        <v>15350</v>
      </c>
      <c r="E2555" s="138">
        <v>1680</v>
      </c>
      <c r="F2555" s="139">
        <v>42875</v>
      </c>
      <c r="G2555" s="140">
        <v>1680</v>
      </c>
      <c r="H2555" s="138">
        <f t="shared" si="40"/>
        <v>0</v>
      </c>
      <c r="I2555" s="141" t="s">
        <v>15214</v>
      </c>
    </row>
    <row r="2556" spans="1:9" x14ac:dyDescent="0.25">
      <c r="A2556" s="167" t="s">
        <v>18085</v>
      </c>
      <c r="B2556" s="142" t="s">
        <v>18094</v>
      </c>
      <c r="C2556" s="143">
        <v>112605</v>
      </c>
      <c r="D2556" s="142" t="s">
        <v>15523</v>
      </c>
      <c r="E2556" s="144">
        <v>4320</v>
      </c>
      <c r="F2556" s="145">
        <v>42875</v>
      </c>
      <c r="G2556" s="146">
        <v>4320</v>
      </c>
      <c r="H2556" s="138">
        <f t="shared" si="40"/>
        <v>0</v>
      </c>
      <c r="I2556" s="147" t="s">
        <v>15214</v>
      </c>
    </row>
    <row r="2557" spans="1:9" x14ac:dyDescent="0.25">
      <c r="A2557" s="168" t="s">
        <v>18085</v>
      </c>
      <c r="B2557" s="136" t="s">
        <v>18095</v>
      </c>
      <c r="C2557" s="137">
        <v>112606</v>
      </c>
      <c r="D2557" s="136" t="s">
        <v>15854</v>
      </c>
      <c r="E2557" s="138">
        <v>1992</v>
      </c>
      <c r="F2557" s="139">
        <v>42875</v>
      </c>
      <c r="G2557" s="140">
        <v>1992</v>
      </c>
      <c r="H2557" s="138">
        <f t="shared" si="40"/>
        <v>0</v>
      </c>
      <c r="I2557" s="141" t="s">
        <v>15214</v>
      </c>
    </row>
    <row r="2558" spans="1:9" x14ac:dyDescent="0.25">
      <c r="A2558" s="167" t="s">
        <v>18085</v>
      </c>
      <c r="B2558" s="142" t="s">
        <v>18096</v>
      </c>
      <c r="C2558" s="143">
        <v>112607</v>
      </c>
      <c r="D2558" s="142" t="s">
        <v>15240</v>
      </c>
      <c r="E2558" s="144">
        <v>2988</v>
      </c>
      <c r="F2558" s="145">
        <v>42875</v>
      </c>
      <c r="G2558" s="146">
        <v>2988</v>
      </c>
      <c r="H2558" s="138">
        <f t="shared" si="40"/>
        <v>0</v>
      </c>
      <c r="I2558" s="147" t="s">
        <v>15214</v>
      </c>
    </row>
    <row r="2559" spans="1:9" x14ac:dyDescent="0.25">
      <c r="A2559" s="168" t="s">
        <v>18085</v>
      </c>
      <c r="B2559" s="136" t="s">
        <v>18097</v>
      </c>
      <c r="C2559" s="137">
        <v>112608</v>
      </c>
      <c r="D2559" s="136" t="s">
        <v>15272</v>
      </c>
      <c r="E2559" s="138">
        <v>30689.5</v>
      </c>
      <c r="F2559" s="139">
        <v>42875</v>
      </c>
      <c r="G2559" s="140">
        <v>30689.5</v>
      </c>
      <c r="H2559" s="138">
        <f t="shared" si="40"/>
        <v>0</v>
      </c>
      <c r="I2559" s="141" t="s">
        <v>15214</v>
      </c>
    </row>
    <row r="2560" spans="1:9" x14ac:dyDescent="0.25">
      <c r="A2560" s="167" t="s">
        <v>18085</v>
      </c>
      <c r="B2560" s="142" t="s">
        <v>18098</v>
      </c>
      <c r="C2560" s="143">
        <v>112609</v>
      </c>
      <c r="D2560" s="142" t="s">
        <v>15252</v>
      </c>
      <c r="E2560" s="144">
        <v>4094.3</v>
      </c>
      <c r="F2560" s="145">
        <v>42882</v>
      </c>
      <c r="G2560" s="146">
        <v>4094.3</v>
      </c>
      <c r="H2560" s="138">
        <f t="shared" si="40"/>
        <v>0</v>
      </c>
      <c r="I2560" s="147" t="s">
        <v>15214</v>
      </c>
    </row>
    <row r="2561" spans="1:9" x14ac:dyDescent="0.25">
      <c r="A2561" s="168" t="s">
        <v>18085</v>
      </c>
      <c r="B2561" s="136" t="s">
        <v>18099</v>
      </c>
      <c r="C2561" s="137">
        <v>112610</v>
      </c>
      <c r="D2561" s="136" t="s">
        <v>15244</v>
      </c>
      <c r="E2561" s="138">
        <v>13615.8</v>
      </c>
      <c r="F2561" s="139">
        <v>42880</v>
      </c>
      <c r="G2561" s="140">
        <v>13615.8</v>
      </c>
      <c r="H2561" s="138">
        <f t="shared" si="40"/>
        <v>0</v>
      </c>
      <c r="I2561" s="141" t="s">
        <v>15214</v>
      </c>
    </row>
    <row r="2562" spans="1:9" x14ac:dyDescent="0.25">
      <c r="A2562" s="167" t="s">
        <v>18085</v>
      </c>
      <c r="B2562" s="142" t="s">
        <v>18100</v>
      </c>
      <c r="C2562" s="143">
        <v>112611</v>
      </c>
      <c r="D2562" s="142" t="s">
        <v>15242</v>
      </c>
      <c r="E2562" s="144">
        <v>10170</v>
      </c>
      <c r="F2562" s="145">
        <v>42875</v>
      </c>
      <c r="G2562" s="146">
        <v>10170</v>
      </c>
      <c r="H2562" s="138">
        <f t="shared" si="40"/>
        <v>0</v>
      </c>
      <c r="I2562" s="147" t="s">
        <v>15214</v>
      </c>
    </row>
    <row r="2563" spans="1:9" x14ac:dyDescent="0.25">
      <c r="A2563" s="168" t="s">
        <v>18085</v>
      </c>
      <c r="B2563" s="136" t="s">
        <v>18101</v>
      </c>
      <c r="C2563" s="137">
        <v>112612</v>
      </c>
      <c r="D2563" s="136" t="s">
        <v>15230</v>
      </c>
      <c r="E2563" s="138">
        <v>30282.799999999999</v>
      </c>
      <c r="F2563" s="139">
        <v>42878</v>
      </c>
      <c r="G2563" s="140">
        <v>30282.799999999999</v>
      </c>
      <c r="H2563" s="138">
        <f t="shared" si="40"/>
        <v>0</v>
      </c>
      <c r="I2563" s="141" t="s">
        <v>15214</v>
      </c>
    </row>
    <row r="2564" spans="1:9" x14ac:dyDescent="0.25">
      <c r="A2564" s="167" t="s">
        <v>18085</v>
      </c>
      <c r="B2564" s="142" t="s">
        <v>18102</v>
      </c>
      <c r="C2564" s="143">
        <v>112613</v>
      </c>
      <c r="D2564" s="142" t="s">
        <v>15258</v>
      </c>
      <c r="E2564" s="144">
        <v>28522.799999999999</v>
      </c>
      <c r="F2564" s="145" t="s">
        <v>18103</v>
      </c>
      <c r="G2564" s="146">
        <f>15000+13522.8</f>
        <v>28522.799999999999</v>
      </c>
      <c r="H2564" s="138">
        <f t="shared" si="40"/>
        <v>0</v>
      </c>
      <c r="I2564" s="147" t="s">
        <v>15214</v>
      </c>
    </row>
    <row r="2565" spans="1:9" x14ac:dyDescent="0.25">
      <c r="A2565" s="168" t="s">
        <v>18085</v>
      </c>
      <c r="B2565" s="136" t="s">
        <v>18104</v>
      </c>
      <c r="C2565" s="137">
        <v>112614</v>
      </c>
      <c r="D2565" s="136" t="s">
        <v>5575</v>
      </c>
      <c r="E2565" s="138">
        <v>11097.9</v>
      </c>
      <c r="F2565" s="139">
        <v>42884</v>
      </c>
      <c r="G2565" s="140">
        <v>11097.9</v>
      </c>
      <c r="H2565" s="138">
        <f t="shared" si="40"/>
        <v>0</v>
      </c>
      <c r="I2565" s="141" t="s">
        <v>15214</v>
      </c>
    </row>
    <row r="2566" spans="1:9" ht="30" x14ac:dyDescent="0.25">
      <c r="A2566" s="167" t="s">
        <v>18085</v>
      </c>
      <c r="B2566" s="142" t="s">
        <v>18105</v>
      </c>
      <c r="C2566" s="143">
        <v>112615</v>
      </c>
      <c r="D2566" s="142" t="s">
        <v>15480</v>
      </c>
      <c r="E2566" s="144">
        <v>13333.8</v>
      </c>
      <c r="F2566" s="169" t="s">
        <v>18106</v>
      </c>
      <c r="G2566" s="146">
        <f>4600+3500+5233.8</f>
        <v>13333.8</v>
      </c>
      <c r="H2566" s="138">
        <f t="shared" si="40"/>
        <v>0</v>
      </c>
      <c r="I2566" s="147" t="s">
        <v>15214</v>
      </c>
    </row>
    <row r="2567" spans="1:9" ht="15.75" x14ac:dyDescent="0.25">
      <c r="A2567" s="168" t="s">
        <v>18085</v>
      </c>
      <c r="B2567" s="136" t="s">
        <v>18107</v>
      </c>
      <c r="C2567" s="137">
        <v>112616</v>
      </c>
      <c r="D2567" s="136" t="s">
        <v>15246</v>
      </c>
      <c r="E2567" s="138">
        <v>0</v>
      </c>
      <c r="F2567" s="153" t="s">
        <v>95</v>
      </c>
      <c r="G2567" s="138">
        <v>0</v>
      </c>
      <c r="H2567" s="138">
        <f t="shared" ref="H2567:H2630" si="41">E2567-G2567</f>
        <v>0</v>
      </c>
      <c r="I2567" s="141" t="s">
        <v>95</v>
      </c>
    </row>
    <row r="2568" spans="1:9" x14ac:dyDescent="0.25">
      <c r="A2568" s="167" t="s">
        <v>18085</v>
      </c>
      <c r="B2568" s="142" t="s">
        <v>18108</v>
      </c>
      <c r="C2568" s="143">
        <v>112617</v>
      </c>
      <c r="D2568" s="142" t="s">
        <v>15246</v>
      </c>
      <c r="E2568" s="144">
        <v>129273.48</v>
      </c>
      <c r="F2568" s="145">
        <v>42877</v>
      </c>
      <c r="G2568" s="146">
        <v>129273.48</v>
      </c>
      <c r="H2568" s="138">
        <f t="shared" si="41"/>
        <v>0</v>
      </c>
      <c r="I2568" s="147" t="s">
        <v>15214</v>
      </c>
    </row>
    <row r="2569" spans="1:9" x14ac:dyDescent="0.25">
      <c r="A2569" s="168" t="s">
        <v>18085</v>
      </c>
      <c r="B2569" s="136" t="s">
        <v>18109</v>
      </c>
      <c r="C2569" s="137">
        <v>112618</v>
      </c>
      <c r="D2569" s="136" t="s">
        <v>15236</v>
      </c>
      <c r="E2569" s="138">
        <v>8186.4</v>
      </c>
      <c r="F2569" s="139" t="s">
        <v>18110</v>
      </c>
      <c r="G2569" s="140">
        <f>6000+2186.4</f>
        <v>8186.4</v>
      </c>
      <c r="H2569" s="138">
        <f t="shared" si="41"/>
        <v>0</v>
      </c>
      <c r="I2569" s="141" t="s">
        <v>15214</v>
      </c>
    </row>
    <row r="2570" spans="1:9" x14ac:dyDescent="0.25">
      <c r="A2570" s="167" t="s">
        <v>18085</v>
      </c>
      <c r="B2570" s="142" t="s">
        <v>18111</v>
      </c>
      <c r="C2570" s="143">
        <v>112619</v>
      </c>
      <c r="D2570" s="142" t="s">
        <v>15324</v>
      </c>
      <c r="E2570" s="144">
        <v>1682</v>
      </c>
      <c r="F2570" s="145">
        <v>42875</v>
      </c>
      <c r="G2570" s="146">
        <v>1682</v>
      </c>
      <c r="H2570" s="138">
        <f t="shared" si="41"/>
        <v>0</v>
      </c>
      <c r="I2570" s="147" t="s">
        <v>15214</v>
      </c>
    </row>
    <row r="2571" spans="1:9" x14ac:dyDescent="0.25">
      <c r="A2571" s="168" t="s">
        <v>18085</v>
      </c>
      <c r="B2571" s="136" t="s">
        <v>18112</v>
      </c>
      <c r="C2571" s="137">
        <v>112620</v>
      </c>
      <c r="D2571" s="136" t="s">
        <v>15226</v>
      </c>
      <c r="E2571" s="138">
        <v>1041.5999999999999</v>
      </c>
      <c r="F2571" s="139">
        <v>42877</v>
      </c>
      <c r="G2571" s="140">
        <v>1041.5999999999999</v>
      </c>
      <c r="H2571" s="138">
        <f t="shared" si="41"/>
        <v>0</v>
      </c>
      <c r="I2571" s="141" t="s">
        <v>15214</v>
      </c>
    </row>
    <row r="2572" spans="1:9" x14ac:dyDescent="0.25">
      <c r="A2572" s="167" t="s">
        <v>18085</v>
      </c>
      <c r="B2572" s="142" t="s">
        <v>18113</v>
      </c>
      <c r="C2572" s="143">
        <v>112621</v>
      </c>
      <c r="D2572" s="142" t="s">
        <v>15265</v>
      </c>
      <c r="E2572" s="144">
        <v>4406.3999999999996</v>
      </c>
      <c r="F2572" s="145">
        <v>42876</v>
      </c>
      <c r="G2572" s="146">
        <v>4406.3999999999996</v>
      </c>
      <c r="H2572" s="138">
        <f t="shared" si="41"/>
        <v>0</v>
      </c>
      <c r="I2572" s="147" t="s">
        <v>15214</v>
      </c>
    </row>
    <row r="2573" spans="1:9" x14ac:dyDescent="0.25">
      <c r="A2573" s="168" t="s">
        <v>18085</v>
      </c>
      <c r="B2573" s="136" t="s">
        <v>18114</v>
      </c>
      <c r="C2573" s="137">
        <v>112622</v>
      </c>
      <c r="D2573" s="136" t="s">
        <v>15596</v>
      </c>
      <c r="E2573" s="138">
        <v>960</v>
      </c>
      <c r="F2573" s="139">
        <v>42875</v>
      </c>
      <c r="G2573" s="140">
        <v>960</v>
      </c>
      <c r="H2573" s="138">
        <f t="shared" si="41"/>
        <v>0</v>
      </c>
      <c r="I2573" s="141" t="s">
        <v>15214</v>
      </c>
    </row>
    <row r="2574" spans="1:9" x14ac:dyDescent="0.25">
      <c r="A2574" s="167" t="s">
        <v>18085</v>
      </c>
      <c r="B2574" s="142" t="s">
        <v>18115</v>
      </c>
      <c r="C2574" s="143">
        <v>112623</v>
      </c>
      <c r="D2574" s="142" t="s">
        <v>15234</v>
      </c>
      <c r="E2574" s="144">
        <v>6242.4</v>
      </c>
      <c r="F2574" s="145">
        <v>42882</v>
      </c>
      <c r="G2574" s="146">
        <v>6242.4</v>
      </c>
      <c r="H2574" s="138">
        <f t="shared" si="41"/>
        <v>0</v>
      </c>
      <c r="I2574" s="147" t="s">
        <v>15214</v>
      </c>
    </row>
    <row r="2575" spans="1:9" x14ac:dyDescent="0.25">
      <c r="A2575" s="168" t="s">
        <v>18085</v>
      </c>
      <c r="B2575" s="136" t="s">
        <v>18116</v>
      </c>
      <c r="C2575" s="137">
        <v>112624</v>
      </c>
      <c r="D2575" s="136" t="s">
        <v>15284</v>
      </c>
      <c r="E2575" s="138">
        <v>2163.9</v>
      </c>
      <c r="F2575" s="139">
        <v>42875</v>
      </c>
      <c r="G2575" s="140">
        <v>2163.9</v>
      </c>
      <c r="H2575" s="138">
        <f t="shared" si="41"/>
        <v>0</v>
      </c>
      <c r="I2575" s="141" t="s">
        <v>15214</v>
      </c>
    </row>
    <row r="2576" spans="1:9" x14ac:dyDescent="0.25">
      <c r="A2576" s="167" t="s">
        <v>18085</v>
      </c>
      <c r="B2576" s="142" t="s">
        <v>18117</v>
      </c>
      <c r="C2576" s="143">
        <v>112625</v>
      </c>
      <c r="D2576" s="142" t="s">
        <v>15344</v>
      </c>
      <c r="E2576" s="144">
        <v>2244.1999999999998</v>
      </c>
      <c r="F2576" s="145">
        <v>42875</v>
      </c>
      <c r="G2576" s="146">
        <v>2244.1999999999998</v>
      </c>
      <c r="H2576" s="138">
        <f t="shared" si="41"/>
        <v>0</v>
      </c>
      <c r="I2576" s="147" t="s">
        <v>15214</v>
      </c>
    </row>
    <row r="2577" spans="1:9" x14ac:dyDescent="0.25">
      <c r="A2577" s="168" t="s">
        <v>18085</v>
      </c>
      <c r="B2577" s="136" t="s">
        <v>18118</v>
      </c>
      <c r="C2577" s="137">
        <v>112626</v>
      </c>
      <c r="D2577" s="136" t="s">
        <v>15232</v>
      </c>
      <c r="E2577" s="138">
        <v>15236.8</v>
      </c>
      <c r="F2577" s="139">
        <v>42880</v>
      </c>
      <c r="G2577" s="140">
        <v>15236.8</v>
      </c>
      <c r="H2577" s="138">
        <f t="shared" si="41"/>
        <v>0</v>
      </c>
      <c r="I2577" s="141" t="s">
        <v>15214</v>
      </c>
    </row>
    <row r="2578" spans="1:9" x14ac:dyDescent="0.25">
      <c r="A2578" s="167" t="s">
        <v>18085</v>
      </c>
      <c r="B2578" s="142" t="s">
        <v>18119</v>
      </c>
      <c r="C2578" s="143">
        <v>112627</v>
      </c>
      <c r="D2578" s="142" t="s">
        <v>15742</v>
      </c>
      <c r="E2578" s="144">
        <v>1550.4</v>
      </c>
      <c r="F2578" s="145">
        <v>42875</v>
      </c>
      <c r="G2578" s="146">
        <v>1550.4</v>
      </c>
      <c r="H2578" s="138">
        <f t="shared" si="41"/>
        <v>0</v>
      </c>
      <c r="I2578" s="147" t="s">
        <v>15214</v>
      </c>
    </row>
    <row r="2579" spans="1:9" x14ac:dyDescent="0.25">
      <c r="A2579" s="168" t="s">
        <v>18085</v>
      </c>
      <c r="B2579" s="136" t="s">
        <v>18120</v>
      </c>
      <c r="C2579" s="137">
        <v>112628</v>
      </c>
      <c r="D2579" s="136" t="s">
        <v>15748</v>
      </c>
      <c r="E2579" s="138">
        <v>1727.2</v>
      </c>
      <c r="F2579" s="139">
        <v>42875</v>
      </c>
      <c r="G2579" s="140">
        <v>1727.2</v>
      </c>
      <c r="H2579" s="138">
        <f t="shared" si="41"/>
        <v>0</v>
      </c>
      <c r="I2579" s="141" t="s">
        <v>15214</v>
      </c>
    </row>
    <row r="2580" spans="1:9" ht="15.75" x14ac:dyDescent="0.25">
      <c r="A2580" s="167" t="s">
        <v>18085</v>
      </c>
      <c r="B2580" s="142" t="s">
        <v>18121</v>
      </c>
      <c r="C2580" s="143">
        <v>112629</v>
      </c>
      <c r="D2580" s="142" t="s">
        <v>15342</v>
      </c>
      <c r="E2580" s="144">
        <v>0</v>
      </c>
      <c r="F2580" s="156" t="s">
        <v>95</v>
      </c>
      <c r="G2580" s="144">
        <v>0</v>
      </c>
      <c r="H2580" s="138">
        <f t="shared" si="41"/>
        <v>0</v>
      </c>
      <c r="I2580" s="147" t="s">
        <v>95</v>
      </c>
    </row>
    <row r="2581" spans="1:9" x14ac:dyDescent="0.25">
      <c r="A2581" s="168" t="s">
        <v>18085</v>
      </c>
      <c r="B2581" s="136" t="s">
        <v>18122</v>
      </c>
      <c r="C2581" s="137">
        <v>112630</v>
      </c>
      <c r="D2581" s="136" t="s">
        <v>15526</v>
      </c>
      <c r="E2581" s="138">
        <v>5380.2</v>
      </c>
      <c r="F2581" s="139">
        <v>42875</v>
      </c>
      <c r="G2581" s="140">
        <v>5380.2</v>
      </c>
      <c r="H2581" s="138">
        <f t="shared" si="41"/>
        <v>0</v>
      </c>
      <c r="I2581" s="141" t="s">
        <v>15214</v>
      </c>
    </row>
    <row r="2582" spans="1:9" x14ac:dyDescent="0.25">
      <c r="A2582" s="167" t="s">
        <v>18085</v>
      </c>
      <c r="B2582" s="142" t="s">
        <v>18123</v>
      </c>
      <c r="C2582" s="143">
        <v>112631</v>
      </c>
      <c r="D2582" s="142" t="s">
        <v>15238</v>
      </c>
      <c r="E2582" s="144">
        <v>14883.8</v>
      </c>
      <c r="F2582" s="145">
        <v>42878</v>
      </c>
      <c r="G2582" s="146">
        <v>14883.8</v>
      </c>
      <c r="H2582" s="138">
        <f t="shared" si="41"/>
        <v>0</v>
      </c>
      <c r="I2582" s="147" t="s">
        <v>15214</v>
      </c>
    </row>
    <row r="2583" spans="1:9" ht="15.75" x14ac:dyDescent="0.25">
      <c r="A2583" s="168" t="s">
        <v>18085</v>
      </c>
      <c r="B2583" s="136" t="s">
        <v>18124</v>
      </c>
      <c r="C2583" s="137">
        <v>112632</v>
      </c>
      <c r="D2583" s="136" t="s">
        <v>15358</v>
      </c>
      <c r="E2583" s="138">
        <v>0</v>
      </c>
      <c r="F2583" s="153" t="s">
        <v>95</v>
      </c>
      <c r="G2583" s="138">
        <v>0</v>
      </c>
      <c r="H2583" s="138">
        <f t="shared" si="41"/>
        <v>0</v>
      </c>
      <c r="I2583" s="141" t="s">
        <v>95</v>
      </c>
    </row>
    <row r="2584" spans="1:9" x14ac:dyDescent="0.25">
      <c r="A2584" s="167" t="s">
        <v>18085</v>
      </c>
      <c r="B2584" s="142" t="s">
        <v>18125</v>
      </c>
      <c r="C2584" s="143">
        <v>112633</v>
      </c>
      <c r="D2584" s="142" t="s">
        <v>15336</v>
      </c>
      <c r="E2584" s="144">
        <v>13214.4</v>
      </c>
      <c r="F2584" s="145">
        <v>42875</v>
      </c>
      <c r="G2584" s="146">
        <v>13214.4</v>
      </c>
      <c r="H2584" s="138">
        <f t="shared" si="41"/>
        <v>0</v>
      </c>
      <c r="I2584" s="147" t="s">
        <v>15214</v>
      </c>
    </row>
    <row r="2585" spans="1:9" x14ac:dyDescent="0.25">
      <c r="A2585" s="168" t="s">
        <v>18085</v>
      </c>
      <c r="B2585" s="136" t="s">
        <v>18126</v>
      </c>
      <c r="C2585" s="137">
        <v>112634</v>
      </c>
      <c r="D2585" s="136" t="s">
        <v>16171</v>
      </c>
      <c r="E2585" s="138">
        <v>478.8</v>
      </c>
      <c r="F2585" s="139">
        <v>42875</v>
      </c>
      <c r="G2585" s="140">
        <v>478.8</v>
      </c>
      <c r="H2585" s="138">
        <f t="shared" si="41"/>
        <v>0</v>
      </c>
      <c r="I2585" s="141" t="s">
        <v>15214</v>
      </c>
    </row>
    <row r="2586" spans="1:9" x14ac:dyDescent="0.25">
      <c r="A2586" s="167" t="s">
        <v>18085</v>
      </c>
      <c r="B2586" s="142" t="s">
        <v>18127</v>
      </c>
      <c r="C2586" s="143">
        <v>112635</v>
      </c>
      <c r="D2586" s="142" t="s">
        <v>15340</v>
      </c>
      <c r="E2586" s="144">
        <v>348</v>
      </c>
      <c r="F2586" s="145">
        <v>42875</v>
      </c>
      <c r="G2586" s="146">
        <v>348</v>
      </c>
      <c r="H2586" s="138">
        <f t="shared" si="41"/>
        <v>0</v>
      </c>
      <c r="I2586" s="147" t="s">
        <v>15214</v>
      </c>
    </row>
    <row r="2587" spans="1:9" x14ac:dyDescent="0.25">
      <c r="A2587" s="168" t="s">
        <v>18085</v>
      </c>
      <c r="B2587" s="136" t="s">
        <v>18128</v>
      </c>
      <c r="C2587" s="137">
        <v>112636</v>
      </c>
      <c r="D2587" s="136" t="s">
        <v>15858</v>
      </c>
      <c r="E2587" s="138">
        <v>285.60000000000002</v>
      </c>
      <c r="F2587" s="139">
        <v>42875</v>
      </c>
      <c r="G2587" s="140">
        <v>285.60000000000002</v>
      </c>
      <c r="H2587" s="138">
        <f t="shared" si="41"/>
        <v>0</v>
      </c>
      <c r="I2587" s="141" t="s">
        <v>15214</v>
      </c>
    </row>
    <row r="2588" spans="1:9" x14ac:dyDescent="0.25">
      <c r="A2588" s="167" t="s">
        <v>18085</v>
      </c>
      <c r="B2588" s="142" t="s">
        <v>18129</v>
      </c>
      <c r="C2588" s="143">
        <v>112637</v>
      </c>
      <c r="D2588" s="142" t="s">
        <v>15256</v>
      </c>
      <c r="E2588" s="144">
        <v>5828.6</v>
      </c>
      <c r="F2588" s="145">
        <v>42877</v>
      </c>
      <c r="G2588" s="146">
        <v>5828.6</v>
      </c>
      <c r="H2588" s="138">
        <f t="shared" si="41"/>
        <v>0</v>
      </c>
      <c r="I2588" s="147" t="s">
        <v>15214</v>
      </c>
    </row>
    <row r="2589" spans="1:9" x14ac:dyDescent="0.25">
      <c r="A2589" s="168" t="s">
        <v>18085</v>
      </c>
      <c r="B2589" s="136" t="s">
        <v>18130</v>
      </c>
      <c r="C2589" s="137">
        <v>112638</v>
      </c>
      <c r="D2589" s="136" t="s">
        <v>15358</v>
      </c>
      <c r="E2589" s="138">
        <v>2777.7</v>
      </c>
      <c r="F2589" s="139">
        <v>42875</v>
      </c>
      <c r="G2589" s="140">
        <v>2777.7</v>
      </c>
      <c r="H2589" s="138">
        <f t="shared" si="41"/>
        <v>0</v>
      </c>
      <c r="I2589" s="141" t="s">
        <v>15214</v>
      </c>
    </row>
    <row r="2590" spans="1:9" x14ac:dyDescent="0.25">
      <c r="A2590" s="167" t="s">
        <v>18085</v>
      </c>
      <c r="B2590" s="142" t="s">
        <v>18131</v>
      </c>
      <c r="C2590" s="143">
        <v>112639</v>
      </c>
      <c r="D2590" s="142" t="s">
        <v>15334</v>
      </c>
      <c r="E2590" s="144">
        <v>1484</v>
      </c>
      <c r="F2590" s="145">
        <v>42875</v>
      </c>
      <c r="G2590" s="146">
        <v>1484</v>
      </c>
      <c r="H2590" s="138">
        <f t="shared" si="41"/>
        <v>0</v>
      </c>
      <c r="I2590" s="147" t="s">
        <v>15214</v>
      </c>
    </row>
    <row r="2591" spans="1:9" x14ac:dyDescent="0.25">
      <c r="A2591" s="168" t="s">
        <v>18085</v>
      </c>
      <c r="B2591" s="136" t="s">
        <v>18132</v>
      </c>
      <c r="C2591" s="137">
        <v>112640</v>
      </c>
      <c r="D2591" s="136" t="s">
        <v>15334</v>
      </c>
      <c r="E2591" s="138">
        <v>1790</v>
      </c>
      <c r="F2591" s="139">
        <v>42875</v>
      </c>
      <c r="G2591" s="140">
        <v>1790</v>
      </c>
      <c r="H2591" s="138">
        <f t="shared" si="41"/>
        <v>0</v>
      </c>
      <c r="I2591" s="141" t="s">
        <v>15214</v>
      </c>
    </row>
    <row r="2592" spans="1:9" x14ac:dyDescent="0.25">
      <c r="A2592" s="167" t="s">
        <v>18085</v>
      </c>
      <c r="B2592" s="142" t="s">
        <v>18133</v>
      </c>
      <c r="C2592" s="143">
        <v>112641</v>
      </c>
      <c r="D2592" s="142" t="s">
        <v>15332</v>
      </c>
      <c r="E2592" s="144">
        <v>2758.7</v>
      </c>
      <c r="F2592" s="145">
        <v>42875</v>
      </c>
      <c r="G2592" s="146">
        <v>2758.7</v>
      </c>
      <c r="H2592" s="138">
        <f t="shared" si="41"/>
        <v>0</v>
      </c>
      <c r="I2592" s="147" t="s">
        <v>15214</v>
      </c>
    </row>
    <row r="2593" spans="1:9" x14ac:dyDescent="0.25">
      <c r="A2593" s="168" t="s">
        <v>18085</v>
      </c>
      <c r="B2593" s="136" t="s">
        <v>18134</v>
      </c>
      <c r="C2593" s="137">
        <v>112642</v>
      </c>
      <c r="D2593" s="136" t="s">
        <v>15246</v>
      </c>
      <c r="E2593" s="138">
        <v>37650.9</v>
      </c>
      <c r="F2593" s="139" t="s">
        <v>18135</v>
      </c>
      <c r="G2593" s="140">
        <f>4799.43+32851.47</f>
        <v>37650.9</v>
      </c>
      <c r="H2593" s="138">
        <f t="shared" si="41"/>
        <v>0</v>
      </c>
      <c r="I2593" s="141" t="s">
        <v>15214</v>
      </c>
    </row>
    <row r="2594" spans="1:9" x14ac:dyDescent="0.25">
      <c r="A2594" s="167" t="s">
        <v>18085</v>
      </c>
      <c r="B2594" s="142" t="s">
        <v>18136</v>
      </c>
      <c r="C2594" s="143">
        <v>112643</v>
      </c>
      <c r="D2594" s="142" t="s">
        <v>15220</v>
      </c>
      <c r="E2594" s="144">
        <v>5520</v>
      </c>
      <c r="F2594" s="145">
        <v>42875</v>
      </c>
      <c r="G2594" s="146">
        <v>5520</v>
      </c>
      <c r="H2594" s="138">
        <f t="shared" si="41"/>
        <v>0</v>
      </c>
      <c r="I2594" s="147" t="s">
        <v>15214</v>
      </c>
    </row>
    <row r="2595" spans="1:9" ht="15.75" x14ac:dyDescent="0.25">
      <c r="A2595" s="168" t="s">
        <v>18085</v>
      </c>
      <c r="B2595" s="136" t="s">
        <v>18137</v>
      </c>
      <c r="C2595" s="137">
        <v>112644</v>
      </c>
      <c r="D2595" s="136" t="s">
        <v>15246</v>
      </c>
      <c r="E2595" s="138">
        <v>0</v>
      </c>
      <c r="F2595" s="153" t="s">
        <v>95</v>
      </c>
      <c r="G2595" s="138">
        <v>0</v>
      </c>
      <c r="H2595" s="138">
        <f t="shared" si="41"/>
        <v>0</v>
      </c>
      <c r="I2595" s="141" t="s">
        <v>95</v>
      </c>
    </row>
    <row r="2596" spans="1:9" x14ac:dyDescent="0.25">
      <c r="A2596" s="167" t="s">
        <v>18085</v>
      </c>
      <c r="B2596" s="142" t="s">
        <v>18138</v>
      </c>
      <c r="C2596" s="143">
        <v>112645</v>
      </c>
      <c r="D2596" s="142" t="s">
        <v>16261</v>
      </c>
      <c r="E2596" s="144">
        <v>10283.5</v>
      </c>
      <c r="F2596" s="145">
        <v>42875</v>
      </c>
      <c r="G2596" s="146">
        <v>10283.5</v>
      </c>
      <c r="H2596" s="138">
        <f t="shared" si="41"/>
        <v>0</v>
      </c>
      <c r="I2596" s="147" t="s">
        <v>15214</v>
      </c>
    </row>
    <row r="2597" spans="1:9" x14ac:dyDescent="0.25">
      <c r="A2597" s="168" t="s">
        <v>18085</v>
      </c>
      <c r="B2597" s="136" t="s">
        <v>18139</v>
      </c>
      <c r="C2597" s="137">
        <v>112646</v>
      </c>
      <c r="D2597" s="136" t="s">
        <v>17210</v>
      </c>
      <c r="E2597" s="138">
        <v>6058.3</v>
      </c>
      <c r="F2597" s="139">
        <v>42875</v>
      </c>
      <c r="G2597" s="140">
        <v>6058.3</v>
      </c>
      <c r="H2597" s="138">
        <f t="shared" si="41"/>
        <v>0</v>
      </c>
      <c r="I2597" s="141" t="s">
        <v>15214</v>
      </c>
    </row>
    <row r="2598" spans="1:9" x14ac:dyDescent="0.25">
      <c r="A2598" s="167" t="s">
        <v>18085</v>
      </c>
      <c r="B2598" s="142" t="s">
        <v>18140</v>
      </c>
      <c r="C2598" s="143">
        <v>112647</v>
      </c>
      <c r="D2598" s="142" t="s">
        <v>15396</v>
      </c>
      <c r="E2598" s="144">
        <v>7287.66</v>
      </c>
      <c r="F2598" s="145">
        <v>42875</v>
      </c>
      <c r="G2598" s="146">
        <v>7287.66</v>
      </c>
      <c r="H2598" s="138">
        <f t="shared" si="41"/>
        <v>0</v>
      </c>
      <c r="I2598" s="147" t="s">
        <v>15214</v>
      </c>
    </row>
    <row r="2599" spans="1:9" x14ac:dyDescent="0.25">
      <c r="A2599" s="168" t="s">
        <v>18085</v>
      </c>
      <c r="B2599" s="136" t="s">
        <v>18141</v>
      </c>
      <c r="C2599" s="137">
        <v>112648</v>
      </c>
      <c r="D2599" s="136" t="s">
        <v>15407</v>
      </c>
      <c r="E2599" s="138">
        <v>2234.4</v>
      </c>
      <c r="F2599" s="139">
        <v>42875</v>
      </c>
      <c r="G2599" s="140">
        <v>2234.4</v>
      </c>
      <c r="H2599" s="138">
        <f t="shared" si="41"/>
        <v>0</v>
      </c>
      <c r="I2599" s="141" t="s">
        <v>15214</v>
      </c>
    </row>
    <row r="2600" spans="1:9" x14ac:dyDescent="0.25">
      <c r="A2600" s="167" t="s">
        <v>18085</v>
      </c>
      <c r="B2600" s="142" t="s">
        <v>18142</v>
      </c>
      <c r="C2600" s="143">
        <v>112649</v>
      </c>
      <c r="D2600" s="142" t="s">
        <v>15378</v>
      </c>
      <c r="E2600" s="144">
        <v>767.3</v>
      </c>
      <c r="F2600" s="145">
        <v>42875</v>
      </c>
      <c r="G2600" s="146">
        <v>767.3</v>
      </c>
      <c r="H2600" s="138">
        <f t="shared" si="41"/>
        <v>0</v>
      </c>
      <c r="I2600" s="147" t="s">
        <v>15214</v>
      </c>
    </row>
    <row r="2601" spans="1:9" x14ac:dyDescent="0.25">
      <c r="A2601" s="168" t="s">
        <v>18085</v>
      </c>
      <c r="B2601" s="136" t="s">
        <v>18143</v>
      </c>
      <c r="C2601" s="137">
        <v>112650</v>
      </c>
      <c r="D2601" s="136" t="s">
        <v>15530</v>
      </c>
      <c r="E2601" s="138">
        <v>6798.6</v>
      </c>
      <c r="F2601" s="139">
        <v>42875</v>
      </c>
      <c r="G2601" s="140">
        <v>6798.6</v>
      </c>
      <c r="H2601" s="138">
        <f t="shared" si="41"/>
        <v>0</v>
      </c>
      <c r="I2601" s="141" t="s">
        <v>15214</v>
      </c>
    </row>
    <row r="2602" spans="1:9" x14ac:dyDescent="0.25">
      <c r="A2602" s="167" t="s">
        <v>18085</v>
      </c>
      <c r="B2602" s="142" t="s">
        <v>18144</v>
      </c>
      <c r="C2602" s="143">
        <v>112651</v>
      </c>
      <c r="D2602" s="142" t="s">
        <v>15417</v>
      </c>
      <c r="E2602" s="144">
        <v>2815.3</v>
      </c>
      <c r="F2602" s="145">
        <v>42875</v>
      </c>
      <c r="G2602" s="146">
        <v>2815.3</v>
      </c>
      <c r="H2602" s="138">
        <f t="shared" si="41"/>
        <v>0</v>
      </c>
      <c r="I2602" s="147" t="s">
        <v>15214</v>
      </c>
    </row>
    <row r="2603" spans="1:9" x14ac:dyDescent="0.25">
      <c r="A2603" s="168" t="s">
        <v>18085</v>
      </c>
      <c r="B2603" s="136" t="s">
        <v>18145</v>
      </c>
      <c r="C2603" s="137">
        <v>112652</v>
      </c>
      <c r="D2603" s="136" t="s">
        <v>15276</v>
      </c>
      <c r="E2603" s="138">
        <v>4800</v>
      </c>
      <c r="F2603" s="139">
        <v>42875</v>
      </c>
      <c r="G2603" s="140">
        <v>4800</v>
      </c>
      <c r="H2603" s="138">
        <f t="shared" si="41"/>
        <v>0</v>
      </c>
      <c r="I2603" s="141" t="s">
        <v>15214</v>
      </c>
    </row>
    <row r="2604" spans="1:9" x14ac:dyDescent="0.25">
      <c r="A2604" s="167" t="s">
        <v>18085</v>
      </c>
      <c r="B2604" s="142" t="s">
        <v>18146</v>
      </c>
      <c r="C2604" s="143">
        <v>112653</v>
      </c>
      <c r="D2604" s="142" t="s">
        <v>15280</v>
      </c>
      <c r="E2604" s="144">
        <v>6728.6</v>
      </c>
      <c r="F2604" s="145">
        <v>42875</v>
      </c>
      <c r="G2604" s="146">
        <v>6728.6</v>
      </c>
      <c r="H2604" s="138">
        <f t="shared" si="41"/>
        <v>0</v>
      </c>
      <c r="I2604" s="147" t="s">
        <v>15214</v>
      </c>
    </row>
    <row r="2605" spans="1:9" x14ac:dyDescent="0.25">
      <c r="A2605" s="168" t="s">
        <v>18085</v>
      </c>
      <c r="B2605" s="136" t="s">
        <v>18147</v>
      </c>
      <c r="C2605" s="137">
        <v>112654</v>
      </c>
      <c r="D2605" s="136" t="s">
        <v>15291</v>
      </c>
      <c r="E2605" s="138">
        <v>960</v>
      </c>
      <c r="F2605" s="139">
        <v>42876</v>
      </c>
      <c r="G2605" s="140">
        <v>960</v>
      </c>
      <c r="H2605" s="138">
        <f t="shared" si="41"/>
        <v>0</v>
      </c>
      <c r="I2605" s="141" t="s">
        <v>15214</v>
      </c>
    </row>
    <row r="2606" spans="1:9" x14ac:dyDescent="0.25">
      <c r="A2606" s="167" t="s">
        <v>18085</v>
      </c>
      <c r="B2606" s="142" t="s">
        <v>18148</v>
      </c>
      <c r="C2606" s="143">
        <v>112655</v>
      </c>
      <c r="D2606" s="142" t="s">
        <v>15444</v>
      </c>
      <c r="E2606" s="144">
        <v>3241.2</v>
      </c>
      <c r="F2606" s="145">
        <v>42875</v>
      </c>
      <c r="G2606" s="146">
        <v>3241.2</v>
      </c>
      <c r="H2606" s="138">
        <f t="shared" si="41"/>
        <v>0</v>
      </c>
      <c r="I2606" s="147" t="s">
        <v>15214</v>
      </c>
    </row>
    <row r="2607" spans="1:9" x14ac:dyDescent="0.25">
      <c r="A2607" s="168" t="s">
        <v>18085</v>
      </c>
      <c r="B2607" s="136" t="s">
        <v>18149</v>
      </c>
      <c r="C2607" s="137">
        <v>112656</v>
      </c>
      <c r="D2607" s="136" t="s">
        <v>15282</v>
      </c>
      <c r="E2607" s="138">
        <v>3118.56</v>
      </c>
      <c r="F2607" s="139">
        <v>42875</v>
      </c>
      <c r="G2607" s="140">
        <v>3118.56</v>
      </c>
      <c r="H2607" s="138">
        <f t="shared" si="41"/>
        <v>0</v>
      </c>
      <c r="I2607" s="141" t="s">
        <v>15214</v>
      </c>
    </row>
    <row r="2608" spans="1:9" x14ac:dyDescent="0.25">
      <c r="A2608" s="167" t="s">
        <v>18085</v>
      </c>
      <c r="B2608" s="142" t="s">
        <v>18150</v>
      </c>
      <c r="C2608" s="143">
        <v>112657</v>
      </c>
      <c r="D2608" s="142" t="s">
        <v>15305</v>
      </c>
      <c r="E2608" s="144">
        <v>862.6</v>
      </c>
      <c r="F2608" s="145">
        <v>42875</v>
      </c>
      <c r="G2608" s="146">
        <v>862.6</v>
      </c>
      <c r="H2608" s="138">
        <f t="shared" si="41"/>
        <v>0</v>
      </c>
      <c r="I2608" s="147" t="s">
        <v>15214</v>
      </c>
    </row>
    <row r="2609" spans="1:9" x14ac:dyDescent="0.25">
      <c r="A2609" s="168" t="s">
        <v>18085</v>
      </c>
      <c r="B2609" s="136" t="s">
        <v>18151</v>
      </c>
      <c r="C2609" s="137">
        <v>112658</v>
      </c>
      <c r="D2609" s="136" t="s">
        <v>15223</v>
      </c>
      <c r="E2609" s="138">
        <v>63471</v>
      </c>
      <c r="F2609" s="157">
        <v>42891</v>
      </c>
      <c r="G2609" s="158">
        <v>63471</v>
      </c>
      <c r="H2609" s="138">
        <f t="shared" si="41"/>
        <v>0</v>
      </c>
      <c r="I2609" s="141" t="s">
        <v>15214</v>
      </c>
    </row>
    <row r="2610" spans="1:9" x14ac:dyDescent="0.25">
      <c r="A2610" s="167" t="s">
        <v>18085</v>
      </c>
      <c r="B2610" s="142" t="s">
        <v>18152</v>
      </c>
      <c r="C2610" s="143">
        <v>112659</v>
      </c>
      <c r="D2610" s="142" t="s">
        <v>15407</v>
      </c>
      <c r="E2610" s="144">
        <v>4988.2</v>
      </c>
      <c r="F2610" s="145">
        <v>42875</v>
      </c>
      <c r="G2610" s="146">
        <v>4988.2</v>
      </c>
      <c r="H2610" s="138">
        <f t="shared" si="41"/>
        <v>0</v>
      </c>
      <c r="I2610" s="147" t="s">
        <v>15214</v>
      </c>
    </row>
    <row r="2611" spans="1:9" ht="15.75" x14ac:dyDescent="0.25">
      <c r="A2611" s="168" t="s">
        <v>18085</v>
      </c>
      <c r="B2611" s="136" t="s">
        <v>18153</v>
      </c>
      <c r="C2611" s="137">
        <v>112660</v>
      </c>
      <c r="D2611" s="136" t="s">
        <v>15315</v>
      </c>
      <c r="E2611" s="138">
        <v>0</v>
      </c>
      <c r="F2611" s="153" t="s">
        <v>95</v>
      </c>
      <c r="G2611" s="138">
        <v>0</v>
      </c>
      <c r="H2611" s="138">
        <f t="shared" si="41"/>
        <v>0</v>
      </c>
      <c r="I2611" s="141" t="s">
        <v>95</v>
      </c>
    </row>
    <row r="2612" spans="1:9" x14ac:dyDescent="0.25">
      <c r="A2612" s="167" t="s">
        <v>18085</v>
      </c>
      <c r="B2612" s="142" t="s">
        <v>18154</v>
      </c>
      <c r="C2612" s="143">
        <v>112661</v>
      </c>
      <c r="D2612" s="142" t="s">
        <v>15263</v>
      </c>
      <c r="E2612" s="144">
        <v>2996.4</v>
      </c>
      <c r="F2612" s="145">
        <v>42875</v>
      </c>
      <c r="G2612" s="146">
        <v>2996.4</v>
      </c>
      <c r="H2612" s="138">
        <f t="shared" si="41"/>
        <v>0</v>
      </c>
      <c r="I2612" s="147" t="s">
        <v>15214</v>
      </c>
    </row>
    <row r="2613" spans="1:9" x14ac:dyDescent="0.25">
      <c r="A2613" s="168" t="s">
        <v>18085</v>
      </c>
      <c r="B2613" s="136" t="s">
        <v>18155</v>
      </c>
      <c r="C2613" s="137">
        <v>112662</v>
      </c>
      <c r="D2613" s="136" t="s">
        <v>15920</v>
      </c>
      <c r="E2613" s="138">
        <v>6402.2</v>
      </c>
      <c r="F2613" s="157">
        <v>42893</v>
      </c>
      <c r="G2613" s="158">
        <v>6402.2</v>
      </c>
      <c r="H2613" s="138">
        <f t="shared" si="41"/>
        <v>0</v>
      </c>
      <c r="I2613" s="141" t="s">
        <v>15214</v>
      </c>
    </row>
    <row r="2614" spans="1:9" x14ac:dyDescent="0.25">
      <c r="A2614" s="167" t="s">
        <v>18085</v>
      </c>
      <c r="B2614" s="142" t="s">
        <v>18156</v>
      </c>
      <c r="C2614" s="143">
        <v>112663</v>
      </c>
      <c r="D2614" s="142" t="s">
        <v>15289</v>
      </c>
      <c r="E2614" s="144">
        <v>1081.5999999999999</v>
      </c>
      <c r="F2614" s="145">
        <v>42875</v>
      </c>
      <c r="G2614" s="146">
        <v>1081.5999999999999</v>
      </c>
      <c r="H2614" s="138">
        <f t="shared" si="41"/>
        <v>0</v>
      </c>
      <c r="I2614" s="147" t="s">
        <v>15214</v>
      </c>
    </row>
    <row r="2615" spans="1:9" x14ac:dyDescent="0.25">
      <c r="A2615" s="168" t="s">
        <v>18085</v>
      </c>
      <c r="B2615" s="136" t="s">
        <v>18157</v>
      </c>
      <c r="C2615" s="137">
        <v>112664</v>
      </c>
      <c r="D2615" s="136" t="s">
        <v>15301</v>
      </c>
      <c r="E2615" s="138">
        <v>5298.3</v>
      </c>
      <c r="F2615" s="139">
        <v>42875</v>
      </c>
      <c r="G2615" s="140">
        <v>5298.3</v>
      </c>
      <c r="H2615" s="138">
        <f t="shared" si="41"/>
        <v>0</v>
      </c>
      <c r="I2615" s="141" t="s">
        <v>15214</v>
      </c>
    </row>
    <row r="2616" spans="1:9" x14ac:dyDescent="0.25">
      <c r="A2616" s="167" t="s">
        <v>18085</v>
      </c>
      <c r="B2616" s="142" t="s">
        <v>18158</v>
      </c>
      <c r="C2616" s="143">
        <v>112665</v>
      </c>
      <c r="D2616" s="142" t="s">
        <v>15307</v>
      </c>
      <c r="E2616" s="144">
        <v>2185</v>
      </c>
      <c r="F2616" s="145">
        <v>42875</v>
      </c>
      <c r="G2616" s="146">
        <v>2185</v>
      </c>
      <c r="H2616" s="138">
        <f t="shared" si="41"/>
        <v>0</v>
      </c>
      <c r="I2616" s="147" t="s">
        <v>15214</v>
      </c>
    </row>
    <row r="2617" spans="1:9" x14ac:dyDescent="0.25">
      <c r="A2617" s="168" t="s">
        <v>18085</v>
      </c>
      <c r="B2617" s="136" t="s">
        <v>18159</v>
      </c>
      <c r="C2617" s="137">
        <v>112666</v>
      </c>
      <c r="D2617" s="136" t="s">
        <v>17800</v>
      </c>
      <c r="E2617" s="138">
        <v>425.6</v>
      </c>
      <c r="F2617" s="139">
        <v>42875</v>
      </c>
      <c r="G2617" s="140">
        <v>425.6</v>
      </c>
      <c r="H2617" s="138">
        <f t="shared" si="41"/>
        <v>0</v>
      </c>
      <c r="I2617" s="141" t="s">
        <v>15214</v>
      </c>
    </row>
    <row r="2618" spans="1:9" x14ac:dyDescent="0.25">
      <c r="A2618" s="167" t="s">
        <v>18085</v>
      </c>
      <c r="B2618" s="142" t="s">
        <v>18160</v>
      </c>
      <c r="C2618" s="143">
        <v>112667</v>
      </c>
      <c r="D2618" s="142" t="s">
        <v>15415</v>
      </c>
      <c r="E2618" s="144">
        <v>1123.3</v>
      </c>
      <c r="F2618" s="145">
        <v>42879</v>
      </c>
      <c r="G2618" s="146">
        <v>1123.3</v>
      </c>
      <c r="H2618" s="138">
        <f t="shared" si="41"/>
        <v>0</v>
      </c>
      <c r="I2618" s="147" t="s">
        <v>15214</v>
      </c>
    </row>
    <row r="2619" spans="1:9" x14ac:dyDescent="0.25">
      <c r="A2619" s="168" t="s">
        <v>18085</v>
      </c>
      <c r="B2619" s="136" t="s">
        <v>18161</v>
      </c>
      <c r="C2619" s="137">
        <v>112668</v>
      </c>
      <c r="D2619" s="136" t="s">
        <v>15748</v>
      </c>
      <c r="E2619" s="138">
        <v>1909.8</v>
      </c>
      <c r="F2619" s="157">
        <v>42889</v>
      </c>
      <c r="G2619" s="158">
        <v>1909.8</v>
      </c>
      <c r="H2619" s="138">
        <f t="shared" si="41"/>
        <v>0</v>
      </c>
      <c r="I2619" s="141" t="s">
        <v>15214</v>
      </c>
    </row>
    <row r="2620" spans="1:9" x14ac:dyDescent="0.25">
      <c r="A2620" s="167" t="s">
        <v>18085</v>
      </c>
      <c r="B2620" s="142" t="s">
        <v>18162</v>
      </c>
      <c r="C2620" s="143">
        <v>112669</v>
      </c>
      <c r="D2620" s="142" t="s">
        <v>15315</v>
      </c>
      <c r="E2620" s="144">
        <v>2020.2</v>
      </c>
      <c r="F2620" s="145">
        <v>42875</v>
      </c>
      <c r="G2620" s="146">
        <v>2020.2</v>
      </c>
      <c r="H2620" s="138">
        <f t="shared" si="41"/>
        <v>0</v>
      </c>
      <c r="I2620" s="147" t="s">
        <v>15214</v>
      </c>
    </row>
    <row r="2621" spans="1:9" x14ac:dyDescent="0.25">
      <c r="A2621" s="168" t="s">
        <v>18085</v>
      </c>
      <c r="B2621" s="136" t="s">
        <v>18163</v>
      </c>
      <c r="C2621" s="137">
        <v>112670</v>
      </c>
      <c r="D2621" s="136" t="s">
        <v>15320</v>
      </c>
      <c r="E2621" s="138">
        <v>3353.4</v>
      </c>
      <c r="F2621" s="139">
        <v>42875</v>
      </c>
      <c r="G2621" s="140">
        <v>3353.4</v>
      </c>
      <c r="H2621" s="138">
        <f t="shared" si="41"/>
        <v>0</v>
      </c>
      <c r="I2621" s="141" t="s">
        <v>15214</v>
      </c>
    </row>
    <row r="2622" spans="1:9" x14ac:dyDescent="0.25">
      <c r="A2622" s="167" t="s">
        <v>18085</v>
      </c>
      <c r="B2622" s="142" t="s">
        <v>18164</v>
      </c>
      <c r="C2622" s="143">
        <v>112671</v>
      </c>
      <c r="D2622" s="142" t="s">
        <v>15311</v>
      </c>
      <c r="E2622" s="144">
        <v>3261.72</v>
      </c>
      <c r="F2622" s="145">
        <v>42875</v>
      </c>
      <c r="G2622" s="146">
        <v>3261.72</v>
      </c>
      <c r="H2622" s="138">
        <f t="shared" si="41"/>
        <v>0</v>
      </c>
      <c r="I2622" s="147" t="s">
        <v>15214</v>
      </c>
    </row>
    <row r="2623" spans="1:9" x14ac:dyDescent="0.25">
      <c r="A2623" s="168" t="s">
        <v>18085</v>
      </c>
      <c r="B2623" s="136" t="s">
        <v>18165</v>
      </c>
      <c r="C2623" s="137">
        <v>112672</v>
      </c>
      <c r="D2623" s="136" t="s">
        <v>16286</v>
      </c>
      <c r="E2623" s="138">
        <v>2963.8</v>
      </c>
      <c r="F2623" s="139">
        <v>42875</v>
      </c>
      <c r="G2623" s="140">
        <v>2963.8</v>
      </c>
      <c r="H2623" s="138">
        <f t="shared" si="41"/>
        <v>0</v>
      </c>
      <c r="I2623" s="141" t="s">
        <v>15214</v>
      </c>
    </row>
    <row r="2624" spans="1:9" x14ac:dyDescent="0.25">
      <c r="A2624" s="167" t="s">
        <v>18085</v>
      </c>
      <c r="B2624" s="142" t="s">
        <v>18166</v>
      </c>
      <c r="C2624" s="143">
        <v>112673</v>
      </c>
      <c r="D2624" s="142" t="s">
        <v>15261</v>
      </c>
      <c r="E2624" s="144">
        <v>23946.1</v>
      </c>
      <c r="F2624" s="145">
        <v>42875</v>
      </c>
      <c r="G2624" s="146">
        <v>23946.1</v>
      </c>
      <c r="H2624" s="138">
        <f t="shared" si="41"/>
        <v>0</v>
      </c>
      <c r="I2624" s="147" t="s">
        <v>15214</v>
      </c>
    </row>
    <row r="2625" spans="1:9" x14ac:dyDescent="0.25">
      <c r="A2625" s="168" t="s">
        <v>18085</v>
      </c>
      <c r="B2625" s="136" t="s">
        <v>18167</v>
      </c>
      <c r="C2625" s="137">
        <v>112674</v>
      </c>
      <c r="D2625" s="136" t="s">
        <v>15246</v>
      </c>
      <c r="E2625" s="138">
        <v>2581.1999999999998</v>
      </c>
      <c r="F2625" s="139">
        <v>42879</v>
      </c>
      <c r="G2625" s="140">
        <v>2581.1999999999998</v>
      </c>
      <c r="H2625" s="138">
        <f t="shared" si="41"/>
        <v>0</v>
      </c>
      <c r="I2625" s="141" t="s">
        <v>15214</v>
      </c>
    </row>
    <row r="2626" spans="1:9" x14ac:dyDescent="0.25">
      <c r="A2626" s="167" t="s">
        <v>18085</v>
      </c>
      <c r="B2626" s="142" t="s">
        <v>18168</v>
      </c>
      <c r="C2626" s="143">
        <v>112675</v>
      </c>
      <c r="D2626" s="142" t="s">
        <v>15248</v>
      </c>
      <c r="E2626" s="144">
        <v>20338</v>
      </c>
      <c r="F2626" s="145">
        <v>42875</v>
      </c>
      <c r="G2626" s="146">
        <v>20338</v>
      </c>
      <c r="H2626" s="138">
        <f t="shared" si="41"/>
        <v>0</v>
      </c>
      <c r="I2626" s="147" t="s">
        <v>15214</v>
      </c>
    </row>
    <row r="2627" spans="1:9" x14ac:dyDescent="0.25">
      <c r="A2627" s="168" t="s">
        <v>18085</v>
      </c>
      <c r="B2627" s="136" t="s">
        <v>18169</v>
      </c>
      <c r="C2627" s="137">
        <v>112676</v>
      </c>
      <c r="D2627" s="136" t="s">
        <v>15326</v>
      </c>
      <c r="E2627" s="138">
        <v>4513.8</v>
      </c>
      <c r="F2627" s="139">
        <v>42875</v>
      </c>
      <c r="G2627" s="140">
        <v>4513.8</v>
      </c>
      <c r="H2627" s="138">
        <f t="shared" si="41"/>
        <v>0</v>
      </c>
      <c r="I2627" s="141" t="s">
        <v>15214</v>
      </c>
    </row>
    <row r="2628" spans="1:9" x14ac:dyDescent="0.25">
      <c r="A2628" s="167" t="s">
        <v>18085</v>
      </c>
      <c r="B2628" s="142" t="s">
        <v>18170</v>
      </c>
      <c r="C2628" s="143">
        <v>112677</v>
      </c>
      <c r="D2628" s="142" t="s">
        <v>15725</v>
      </c>
      <c r="E2628" s="144">
        <v>24042.400000000001</v>
      </c>
      <c r="F2628" s="145">
        <v>42876</v>
      </c>
      <c r="G2628" s="146">
        <v>24042.400000000001</v>
      </c>
      <c r="H2628" s="138">
        <f t="shared" si="41"/>
        <v>0</v>
      </c>
      <c r="I2628" s="147" t="s">
        <v>15214</v>
      </c>
    </row>
    <row r="2629" spans="1:9" x14ac:dyDescent="0.25">
      <c r="A2629" s="168" t="s">
        <v>18085</v>
      </c>
      <c r="B2629" s="136" t="s">
        <v>18171</v>
      </c>
      <c r="C2629" s="137">
        <v>112678</v>
      </c>
      <c r="D2629" s="136" t="s">
        <v>15361</v>
      </c>
      <c r="E2629" s="138">
        <v>12668.8</v>
      </c>
      <c r="F2629" s="139">
        <v>42876</v>
      </c>
      <c r="G2629" s="140">
        <v>12668.8</v>
      </c>
      <c r="H2629" s="138">
        <f t="shared" si="41"/>
        <v>0</v>
      </c>
      <c r="I2629" s="141" t="s">
        <v>15214</v>
      </c>
    </row>
    <row r="2630" spans="1:9" x14ac:dyDescent="0.25">
      <c r="A2630" s="167" t="s">
        <v>18085</v>
      </c>
      <c r="B2630" s="142" t="s">
        <v>18172</v>
      </c>
      <c r="C2630" s="143">
        <v>112679</v>
      </c>
      <c r="D2630" s="142" t="s">
        <v>15363</v>
      </c>
      <c r="E2630" s="144">
        <v>1025</v>
      </c>
      <c r="F2630" s="145">
        <v>42876</v>
      </c>
      <c r="G2630" s="146">
        <v>1025</v>
      </c>
      <c r="H2630" s="138">
        <f t="shared" si="41"/>
        <v>0</v>
      </c>
      <c r="I2630" s="147" t="s">
        <v>15214</v>
      </c>
    </row>
    <row r="2631" spans="1:9" x14ac:dyDescent="0.25">
      <c r="A2631" s="168" t="s">
        <v>18085</v>
      </c>
      <c r="B2631" s="136" t="s">
        <v>18173</v>
      </c>
      <c r="C2631" s="137">
        <v>112680</v>
      </c>
      <c r="D2631" s="136" t="s">
        <v>15391</v>
      </c>
      <c r="E2631" s="138">
        <v>10619</v>
      </c>
      <c r="F2631" s="139">
        <v>42876</v>
      </c>
      <c r="G2631" s="140">
        <v>10619</v>
      </c>
      <c r="H2631" s="138">
        <f t="shared" ref="H2631:H2694" si="42">E2631-G2631</f>
        <v>0</v>
      </c>
      <c r="I2631" s="141" t="s">
        <v>15214</v>
      </c>
    </row>
    <row r="2632" spans="1:9" x14ac:dyDescent="0.25">
      <c r="A2632" s="167" t="s">
        <v>18085</v>
      </c>
      <c r="B2632" s="142" t="s">
        <v>18174</v>
      </c>
      <c r="C2632" s="143">
        <v>112681</v>
      </c>
      <c r="D2632" s="142" t="s">
        <v>15539</v>
      </c>
      <c r="E2632" s="144">
        <v>2222.4</v>
      </c>
      <c r="F2632" s="145">
        <v>42881</v>
      </c>
      <c r="G2632" s="146">
        <v>2222.4</v>
      </c>
      <c r="H2632" s="138">
        <f t="shared" si="42"/>
        <v>0</v>
      </c>
      <c r="I2632" s="147" t="s">
        <v>15214</v>
      </c>
    </row>
    <row r="2633" spans="1:9" x14ac:dyDescent="0.25">
      <c r="A2633" s="168" t="s">
        <v>18085</v>
      </c>
      <c r="B2633" s="136" t="s">
        <v>18175</v>
      </c>
      <c r="C2633" s="137">
        <v>112682</v>
      </c>
      <c r="D2633" s="136" t="s">
        <v>15298</v>
      </c>
      <c r="E2633" s="138">
        <v>357.5</v>
      </c>
      <c r="F2633" s="139">
        <v>42875</v>
      </c>
      <c r="G2633" s="140">
        <v>357.5</v>
      </c>
      <c r="H2633" s="138">
        <f t="shared" si="42"/>
        <v>0</v>
      </c>
      <c r="I2633" s="141" t="s">
        <v>15214</v>
      </c>
    </row>
    <row r="2634" spans="1:9" x14ac:dyDescent="0.25">
      <c r="A2634" s="167" t="s">
        <v>18085</v>
      </c>
      <c r="B2634" s="142" t="s">
        <v>18176</v>
      </c>
      <c r="C2634" s="143">
        <v>112683</v>
      </c>
      <c r="D2634" s="142" t="s">
        <v>15385</v>
      </c>
      <c r="E2634" s="144">
        <v>14829.6</v>
      </c>
      <c r="F2634" s="145">
        <v>42876</v>
      </c>
      <c r="G2634" s="146">
        <v>14829.6</v>
      </c>
      <c r="H2634" s="138">
        <f t="shared" si="42"/>
        <v>0</v>
      </c>
      <c r="I2634" s="147" t="s">
        <v>15214</v>
      </c>
    </row>
    <row r="2635" spans="1:9" x14ac:dyDescent="0.25">
      <c r="A2635" s="168" t="s">
        <v>18085</v>
      </c>
      <c r="B2635" s="136" t="s">
        <v>18177</v>
      </c>
      <c r="C2635" s="137">
        <v>112684</v>
      </c>
      <c r="D2635" s="136" t="s">
        <v>15315</v>
      </c>
      <c r="E2635" s="138">
        <v>560</v>
      </c>
      <c r="F2635" s="139">
        <v>42876</v>
      </c>
      <c r="G2635" s="140">
        <v>560</v>
      </c>
      <c r="H2635" s="138">
        <f t="shared" si="42"/>
        <v>0</v>
      </c>
      <c r="I2635" s="141" t="s">
        <v>15214</v>
      </c>
    </row>
    <row r="2636" spans="1:9" x14ac:dyDescent="0.25">
      <c r="A2636" s="167" t="s">
        <v>18085</v>
      </c>
      <c r="B2636" s="142" t="s">
        <v>18178</v>
      </c>
      <c r="C2636" s="143">
        <v>112685</v>
      </c>
      <c r="D2636" s="142" t="s">
        <v>15294</v>
      </c>
      <c r="E2636" s="144">
        <v>601.1</v>
      </c>
      <c r="F2636" s="145">
        <v>42875</v>
      </c>
      <c r="G2636" s="146">
        <v>601.1</v>
      </c>
      <c r="H2636" s="138">
        <f t="shared" si="42"/>
        <v>0</v>
      </c>
      <c r="I2636" s="147" t="s">
        <v>15214</v>
      </c>
    </row>
    <row r="2637" spans="1:9" x14ac:dyDescent="0.25">
      <c r="A2637" s="168" t="s">
        <v>18085</v>
      </c>
      <c r="B2637" s="136" t="s">
        <v>18179</v>
      </c>
      <c r="C2637" s="137">
        <v>112686</v>
      </c>
      <c r="D2637" s="136" t="s">
        <v>15315</v>
      </c>
      <c r="E2637" s="138">
        <v>2748.8</v>
      </c>
      <c r="F2637" s="139">
        <v>42875</v>
      </c>
      <c r="G2637" s="140">
        <v>2748.8</v>
      </c>
      <c r="H2637" s="138">
        <f t="shared" si="42"/>
        <v>0</v>
      </c>
      <c r="I2637" s="141" t="s">
        <v>15214</v>
      </c>
    </row>
    <row r="2638" spans="1:9" x14ac:dyDescent="0.25">
      <c r="A2638" s="167" t="s">
        <v>18085</v>
      </c>
      <c r="B2638" s="142" t="s">
        <v>18180</v>
      </c>
      <c r="C2638" s="143">
        <v>112687</v>
      </c>
      <c r="D2638" s="142" t="s">
        <v>15833</v>
      </c>
      <c r="E2638" s="144">
        <v>13834.8</v>
      </c>
      <c r="F2638" s="145">
        <v>42879</v>
      </c>
      <c r="G2638" s="146">
        <v>13834.8</v>
      </c>
      <c r="H2638" s="138">
        <f t="shared" si="42"/>
        <v>0</v>
      </c>
      <c r="I2638" s="147" t="s">
        <v>15214</v>
      </c>
    </row>
    <row r="2639" spans="1:9" x14ac:dyDescent="0.25">
      <c r="A2639" s="168" t="s">
        <v>18085</v>
      </c>
      <c r="B2639" s="136" t="s">
        <v>18181</v>
      </c>
      <c r="C2639" s="137">
        <v>112688</v>
      </c>
      <c r="D2639" s="136" t="s">
        <v>16040</v>
      </c>
      <c r="E2639" s="138">
        <v>15345.6</v>
      </c>
      <c r="F2639" s="139">
        <v>42879</v>
      </c>
      <c r="G2639" s="140">
        <v>15345.6</v>
      </c>
      <c r="H2639" s="138">
        <f t="shared" si="42"/>
        <v>0</v>
      </c>
      <c r="I2639" s="141" t="s">
        <v>15214</v>
      </c>
    </row>
    <row r="2640" spans="1:9" x14ac:dyDescent="0.25">
      <c r="A2640" s="167" t="s">
        <v>18085</v>
      </c>
      <c r="B2640" s="142" t="s">
        <v>18182</v>
      </c>
      <c r="C2640" s="143">
        <v>112689</v>
      </c>
      <c r="D2640" s="142" t="s">
        <v>17708</v>
      </c>
      <c r="E2640" s="144">
        <v>4295.8</v>
      </c>
      <c r="F2640" s="145">
        <v>42876</v>
      </c>
      <c r="G2640" s="146">
        <v>4295.8</v>
      </c>
      <c r="H2640" s="138">
        <f t="shared" si="42"/>
        <v>0</v>
      </c>
      <c r="I2640" s="147" t="s">
        <v>15214</v>
      </c>
    </row>
    <row r="2641" spans="1:9" x14ac:dyDescent="0.25">
      <c r="A2641" s="168" t="s">
        <v>18085</v>
      </c>
      <c r="B2641" s="136" t="s">
        <v>18183</v>
      </c>
      <c r="C2641" s="137">
        <v>112690</v>
      </c>
      <c r="D2641" s="136" t="s">
        <v>16383</v>
      </c>
      <c r="E2641" s="138">
        <v>694.6</v>
      </c>
      <c r="F2641" s="139">
        <v>42876</v>
      </c>
      <c r="G2641" s="140">
        <v>694.6</v>
      </c>
      <c r="H2641" s="138">
        <f t="shared" si="42"/>
        <v>0</v>
      </c>
      <c r="I2641" s="141" t="s">
        <v>15214</v>
      </c>
    </row>
    <row r="2642" spans="1:9" x14ac:dyDescent="0.25">
      <c r="A2642" s="167" t="s">
        <v>18085</v>
      </c>
      <c r="B2642" s="142" t="s">
        <v>18184</v>
      </c>
      <c r="C2642" s="143">
        <v>112691</v>
      </c>
      <c r="D2642" s="142" t="s">
        <v>15537</v>
      </c>
      <c r="E2642" s="144">
        <v>17522.8</v>
      </c>
      <c r="F2642" s="145">
        <v>42879</v>
      </c>
      <c r="G2642" s="146">
        <v>17522.8</v>
      </c>
      <c r="H2642" s="138">
        <f t="shared" si="42"/>
        <v>0</v>
      </c>
      <c r="I2642" s="147" t="s">
        <v>15214</v>
      </c>
    </row>
    <row r="2643" spans="1:9" x14ac:dyDescent="0.25">
      <c r="A2643" s="168" t="s">
        <v>18085</v>
      </c>
      <c r="B2643" s="136" t="s">
        <v>18185</v>
      </c>
      <c r="C2643" s="137">
        <v>112692</v>
      </c>
      <c r="D2643" s="136" t="s">
        <v>15696</v>
      </c>
      <c r="E2643" s="138">
        <v>12718.8</v>
      </c>
      <c r="F2643" s="139">
        <v>42879</v>
      </c>
      <c r="G2643" s="140">
        <v>12718.8</v>
      </c>
      <c r="H2643" s="138">
        <f t="shared" si="42"/>
        <v>0</v>
      </c>
      <c r="I2643" s="141" t="s">
        <v>15214</v>
      </c>
    </row>
    <row r="2644" spans="1:9" x14ac:dyDescent="0.25">
      <c r="A2644" s="167" t="s">
        <v>18085</v>
      </c>
      <c r="B2644" s="142" t="s">
        <v>18186</v>
      </c>
      <c r="C2644" s="143">
        <v>112693</v>
      </c>
      <c r="D2644" s="142" t="s">
        <v>15566</v>
      </c>
      <c r="E2644" s="144">
        <v>3187.2</v>
      </c>
      <c r="F2644" s="145">
        <v>42875</v>
      </c>
      <c r="G2644" s="146">
        <v>3187.2</v>
      </c>
      <c r="H2644" s="138">
        <f t="shared" si="42"/>
        <v>0</v>
      </c>
      <c r="I2644" s="147" t="s">
        <v>15214</v>
      </c>
    </row>
    <row r="2645" spans="1:9" x14ac:dyDescent="0.25">
      <c r="A2645" s="168" t="s">
        <v>18085</v>
      </c>
      <c r="B2645" s="136" t="s">
        <v>18187</v>
      </c>
      <c r="C2645" s="137">
        <v>112694</v>
      </c>
      <c r="D2645" s="136" t="s">
        <v>15315</v>
      </c>
      <c r="E2645" s="138">
        <v>2560.4</v>
      </c>
      <c r="F2645" s="139">
        <v>42879</v>
      </c>
      <c r="G2645" s="140">
        <v>2560.4</v>
      </c>
      <c r="H2645" s="138">
        <f t="shared" si="42"/>
        <v>0</v>
      </c>
      <c r="I2645" s="141" t="s">
        <v>15214</v>
      </c>
    </row>
    <row r="2646" spans="1:9" x14ac:dyDescent="0.25">
      <c r="A2646" s="167" t="s">
        <v>18085</v>
      </c>
      <c r="B2646" s="142" t="s">
        <v>18188</v>
      </c>
      <c r="C2646" s="143">
        <v>112695</v>
      </c>
      <c r="D2646" s="142" t="s">
        <v>15624</v>
      </c>
      <c r="E2646" s="144">
        <v>34846.879999999997</v>
      </c>
      <c r="F2646" s="145">
        <v>42875</v>
      </c>
      <c r="G2646" s="146">
        <v>34846.879999999997</v>
      </c>
      <c r="H2646" s="138">
        <f t="shared" si="42"/>
        <v>0</v>
      </c>
      <c r="I2646" s="147" t="s">
        <v>15214</v>
      </c>
    </row>
    <row r="2647" spans="1:9" x14ac:dyDescent="0.25">
      <c r="A2647" s="168" t="s">
        <v>18085</v>
      </c>
      <c r="B2647" s="136" t="s">
        <v>18189</v>
      </c>
      <c r="C2647" s="137">
        <v>112696</v>
      </c>
      <c r="D2647" s="136" t="s">
        <v>17722</v>
      </c>
      <c r="E2647" s="138">
        <v>4528.8</v>
      </c>
      <c r="F2647" s="139">
        <v>42875</v>
      </c>
      <c r="G2647" s="140">
        <v>4528.8</v>
      </c>
      <c r="H2647" s="138">
        <f t="shared" si="42"/>
        <v>0</v>
      </c>
      <c r="I2647" s="141" t="s">
        <v>15214</v>
      </c>
    </row>
    <row r="2648" spans="1:9" x14ac:dyDescent="0.25">
      <c r="A2648" s="167" t="s">
        <v>18085</v>
      </c>
      <c r="B2648" s="142" t="s">
        <v>18190</v>
      </c>
      <c r="C2648" s="143">
        <v>112697</v>
      </c>
      <c r="D2648" s="142" t="s">
        <v>16108</v>
      </c>
      <c r="E2648" s="144">
        <v>140.69999999999999</v>
      </c>
      <c r="F2648" s="145">
        <v>42875</v>
      </c>
      <c r="G2648" s="146">
        <v>140.69999999999999</v>
      </c>
      <c r="H2648" s="138">
        <f t="shared" si="42"/>
        <v>0</v>
      </c>
      <c r="I2648" s="147" t="s">
        <v>15214</v>
      </c>
    </row>
    <row r="2649" spans="1:9" x14ac:dyDescent="0.25">
      <c r="A2649" s="168" t="s">
        <v>18085</v>
      </c>
      <c r="B2649" s="136" t="s">
        <v>18191</v>
      </c>
      <c r="C2649" s="137">
        <v>112698</v>
      </c>
      <c r="D2649" s="136" t="s">
        <v>15628</v>
      </c>
      <c r="E2649" s="138">
        <v>2204.1999999999998</v>
      </c>
      <c r="F2649" s="139">
        <v>42875</v>
      </c>
      <c r="G2649" s="140">
        <v>2204.1999999999998</v>
      </c>
      <c r="H2649" s="138">
        <f t="shared" si="42"/>
        <v>0</v>
      </c>
      <c r="I2649" s="141" t="s">
        <v>15214</v>
      </c>
    </row>
    <row r="2650" spans="1:9" x14ac:dyDescent="0.25">
      <c r="A2650" s="167" t="s">
        <v>18085</v>
      </c>
      <c r="B2650" s="142" t="s">
        <v>18192</v>
      </c>
      <c r="C2650" s="143">
        <v>112699</v>
      </c>
      <c r="D2650" s="142" t="s">
        <v>15716</v>
      </c>
      <c r="E2650" s="144">
        <v>11292.4</v>
      </c>
      <c r="F2650" s="145">
        <v>42875</v>
      </c>
      <c r="G2650" s="146">
        <v>11292.4</v>
      </c>
      <c r="H2650" s="138">
        <f t="shared" si="42"/>
        <v>0</v>
      </c>
      <c r="I2650" s="147" t="s">
        <v>15214</v>
      </c>
    </row>
    <row r="2651" spans="1:9" x14ac:dyDescent="0.25">
      <c r="A2651" s="168" t="s">
        <v>18085</v>
      </c>
      <c r="B2651" s="136" t="s">
        <v>18193</v>
      </c>
      <c r="C2651" s="137">
        <v>112700</v>
      </c>
      <c r="D2651" s="136" t="s">
        <v>15728</v>
      </c>
      <c r="E2651" s="138">
        <v>19975</v>
      </c>
      <c r="F2651" s="139">
        <v>42875</v>
      </c>
      <c r="G2651" s="140">
        <v>19975</v>
      </c>
      <c r="H2651" s="138">
        <f t="shared" si="42"/>
        <v>0</v>
      </c>
      <c r="I2651" s="141" t="s">
        <v>15214</v>
      </c>
    </row>
    <row r="2652" spans="1:9" x14ac:dyDescent="0.25">
      <c r="A2652" s="167" t="s">
        <v>18085</v>
      </c>
      <c r="B2652" s="142" t="s">
        <v>18194</v>
      </c>
      <c r="C2652" s="143">
        <v>112701</v>
      </c>
      <c r="D2652" s="142" t="s">
        <v>15716</v>
      </c>
      <c r="E2652" s="144">
        <v>1713.1</v>
      </c>
      <c r="F2652" s="145">
        <v>42875</v>
      </c>
      <c r="G2652" s="146">
        <v>1713.1</v>
      </c>
      <c r="H2652" s="138">
        <f t="shared" si="42"/>
        <v>0</v>
      </c>
      <c r="I2652" s="147" t="s">
        <v>15214</v>
      </c>
    </row>
    <row r="2653" spans="1:9" x14ac:dyDescent="0.25">
      <c r="A2653" s="168" t="s">
        <v>18085</v>
      </c>
      <c r="B2653" s="136" t="s">
        <v>18195</v>
      </c>
      <c r="C2653" s="137">
        <v>112702</v>
      </c>
      <c r="D2653" s="136" t="s">
        <v>15267</v>
      </c>
      <c r="E2653" s="138">
        <v>38495.1</v>
      </c>
      <c r="F2653" s="157">
        <v>42892</v>
      </c>
      <c r="G2653" s="158">
        <v>38495.1</v>
      </c>
      <c r="H2653" s="138">
        <f t="shared" si="42"/>
        <v>0</v>
      </c>
      <c r="I2653" s="141" t="s">
        <v>15214</v>
      </c>
    </row>
    <row r="2654" spans="1:9" x14ac:dyDescent="0.25">
      <c r="A2654" s="167" t="s">
        <v>18085</v>
      </c>
      <c r="B2654" s="142" t="s">
        <v>18196</v>
      </c>
      <c r="C2654" s="143">
        <v>112703</v>
      </c>
      <c r="D2654" s="142" t="s">
        <v>18076</v>
      </c>
      <c r="E2654" s="144">
        <v>5216.54</v>
      </c>
      <c r="F2654" s="145">
        <v>42875</v>
      </c>
      <c r="G2654" s="146">
        <v>5216.54</v>
      </c>
      <c r="H2654" s="138">
        <f t="shared" si="42"/>
        <v>0</v>
      </c>
      <c r="I2654" s="147" t="s">
        <v>15214</v>
      </c>
    </row>
    <row r="2655" spans="1:9" x14ac:dyDescent="0.25">
      <c r="A2655" s="168" t="s">
        <v>18085</v>
      </c>
      <c r="B2655" s="136" t="s">
        <v>18197</v>
      </c>
      <c r="C2655" s="137">
        <v>112704</v>
      </c>
      <c r="D2655" s="136" t="s">
        <v>15274</v>
      </c>
      <c r="E2655" s="138">
        <v>3504</v>
      </c>
      <c r="F2655" s="139">
        <v>42875</v>
      </c>
      <c r="G2655" s="140">
        <v>3504</v>
      </c>
      <c r="H2655" s="138">
        <f t="shared" si="42"/>
        <v>0</v>
      </c>
      <c r="I2655" s="141" t="s">
        <v>15214</v>
      </c>
    </row>
    <row r="2656" spans="1:9" x14ac:dyDescent="0.25">
      <c r="A2656" s="167" t="s">
        <v>18085</v>
      </c>
      <c r="B2656" s="142" t="s">
        <v>18198</v>
      </c>
      <c r="C2656" s="143">
        <v>112705</v>
      </c>
      <c r="D2656" s="142" t="s">
        <v>15444</v>
      </c>
      <c r="E2656" s="144">
        <v>2225</v>
      </c>
      <c r="F2656" s="145">
        <v>42877</v>
      </c>
      <c r="G2656" s="146">
        <v>2225</v>
      </c>
      <c r="H2656" s="138">
        <f t="shared" si="42"/>
        <v>0</v>
      </c>
      <c r="I2656" s="147" t="s">
        <v>15214</v>
      </c>
    </row>
    <row r="2657" spans="1:9" x14ac:dyDescent="0.25">
      <c r="A2657" s="168" t="s">
        <v>18085</v>
      </c>
      <c r="B2657" s="136" t="s">
        <v>18199</v>
      </c>
      <c r="C2657" s="137">
        <v>112706</v>
      </c>
      <c r="D2657" s="136" t="s">
        <v>15284</v>
      </c>
      <c r="E2657" s="138">
        <v>1293.5999999999999</v>
      </c>
      <c r="F2657" s="139">
        <v>42875</v>
      </c>
      <c r="G2657" s="140">
        <v>1293.5999999999999</v>
      </c>
      <c r="H2657" s="138">
        <f t="shared" si="42"/>
        <v>0</v>
      </c>
      <c r="I2657" s="141" t="s">
        <v>15214</v>
      </c>
    </row>
    <row r="2658" spans="1:9" ht="15.75" x14ac:dyDescent="0.25">
      <c r="A2658" s="167" t="s">
        <v>18085</v>
      </c>
      <c r="B2658" s="142" t="s">
        <v>18200</v>
      </c>
      <c r="C2658" s="143">
        <v>112707</v>
      </c>
      <c r="D2658" s="142" t="s">
        <v>15444</v>
      </c>
      <c r="E2658" s="144">
        <v>0</v>
      </c>
      <c r="F2658" s="156" t="s">
        <v>95</v>
      </c>
      <c r="G2658" s="144">
        <v>0</v>
      </c>
      <c r="H2658" s="138">
        <f t="shared" si="42"/>
        <v>0</v>
      </c>
      <c r="I2658" s="147" t="s">
        <v>95</v>
      </c>
    </row>
    <row r="2659" spans="1:9" x14ac:dyDescent="0.25">
      <c r="A2659" s="168" t="s">
        <v>18085</v>
      </c>
      <c r="B2659" s="136" t="s">
        <v>18201</v>
      </c>
      <c r="C2659" s="137">
        <v>112708</v>
      </c>
      <c r="D2659" s="136" t="s">
        <v>15322</v>
      </c>
      <c r="E2659" s="138">
        <v>4419.8999999999996</v>
      </c>
      <c r="F2659" s="139" t="s">
        <v>18202</v>
      </c>
      <c r="G2659" s="140">
        <f>4000+419.9</f>
        <v>4419.8999999999996</v>
      </c>
      <c r="H2659" s="138">
        <f t="shared" si="42"/>
        <v>0</v>
      </c>
      <c r="I2659" s="141" t="s">
        <v>15214</v>
      </c>
    </row>
    <row r="2660" spans="1:9" x14ac:dyDescent="0.25">
      <c r="A2660" s="167" t="s">
        <v>18085</v>
      </c>
      <c r="B2660" s="142" t="s">
        <v>18203</v>
      </c>
      <c r="C2660" s="143">
        <v>112709</v>
      </c>
      <c r="D2660" s="142" t="s">
        <v>16958</v>
      </c>
      <c r="E2660" s="144">
        <v>2895.2</v>
      </c>
      <c r="F2660" s="145">
        <v>42877</v>
      </c>
      <c r="G2660" s="146">
        <v>2895.2</v>
      </c>
      <c r="H2660" s="138">
        <f t="shared" si="42"/>
        <v>0</v>
      </c>
      <c r="I2660" s="147" t="s">
        <v>15214</v>
      </c>
    </row>
    <row r="2661" spans="1:9" x14ac:dyDescent="0.25">
      <c r="A2661" s="168" t="s">
        <v>18085</v>
      </c>
      <c r="B2661" s="136" t="s">
        <v>18204</v>
      </c>
      <c r="C2661" s="137">
        <v>112710</v>
      </c>
      <c r="D2661" s="136" t="s">
        <v>15789</v>
      </c>
      <c r="E2661" s="138">
        <v>24853.200000000001</v>
      </c>
      <c r="F2661" s="139">
        <v>42882</v>
      </c>
      <c r="G2661" s="140">
        <v>24853.200000000001</v>
      </c>
      <c r="H2661" s="138">
        <f t="shared" si="42"/>
        <v>0</v>
      </c>
      <c r="I2661" s="141" t="s">
        <v>15214</v>
      </c>
    </row>
    <row r="2662" spans="1:9" x14ac:dyDescent="0.25">
      <c r="A2662" s="167" t="s">
        <v>18085</v>
      </c>
      <c r="B2662" s="142" t="s">
        <v>18205</v>
      </c>
      <c r="C2662" s="143">
        <v>112711</v>
      </c>
      <c r="D2662" s="142" t="s">
        <v>15442</v>
      </c>
      <c r="E2662" s="144">
        <v>15597</v>
      </c>
      <c r="F2662" s="145">
        <v>42881</v>
      </c>
      <c r="G2662" s="146">
        <v>15597</v>
      </c>
      <c r="H2662" s="138">
        <f t="shared" si="42"/>
        <v>0</v>
      </c>
      <c r="I2662" s="147" t="s">
        <v>15214</v>
      </c>
    </row>
    <row r="2663" spans="1:9" x14ac:dyDescent="0.25">
      <c r="A2663" s="168" t="s">
        <v>18085</v>
      </c>
      <c r="B2663" s="136" t="s">
        <v>18206</v>
      </c>
      <c r="C2663" s="137">
        <v>112712</v>
      </c>
      <c r="D2663" s="136" t="s">
        <v>15541</v>
      </c>
      <c r="E2663" s="138">
        <v>2274.8000000000002</v>
      </c>
      <c r="F2663" s="139">
        <v>42875</v>
      </c>
      <c r="G2663" s="140">
        <v>2274.8000000000002</v>
      </c>
      <c r="H2663" s="138">
        <f t="shared" si="42"/>
        <v>0</v>
      </c>
      <c r="I2663" s="141" t="s">
        <v>15214</v>
      </c>
    </row>
    <row r="2664" spans="1:9" x14ac:dyDescent="0.25">
      <c r="A2664" s="167" t="s">
        <v>18085</v>
      </c>
      <c r="B2664" s="142" t="s">
        <v>18207</v>
      </c>
      <c r="C2664" s="143">
        <v>112713</v>
      </c>
      <c r="D2664" s="142" t="s">
        <v>15354</v>
      </c>
      <c r="E2664" s="144">
        <v>12857.8</v>
      </c>
      <c r="F2664" s="145">
        <v>42877</v>
      </c>
      <c r="G2664" s="146">
        <v>12857.8</v>
      </c>
      <c r="H2664" s="138">
        <f t="shared" si="42"/>
        <v>0</v>
      </c>
      <c r="I2664" s="147" t="s">
        <v>15214</v>
      </c>
    </row>
    <row r="2665" spans="1:9" x14ac:dyDescent="0.25">
      <c r="A2665" s="168" t="s">
        <v>18085</v>
      </c>
      <c r="B2665" s="136" t="s">
        <v>18208</v>
      </c>
      <c r="C2665" s="137">
        <v>112714</v>
      </c>
      <c r="D2665" s="136" t="s">
        <v>16313</v>
      </c>
      <c r="E2665" s="138">
        <v>4848.3999999999996</v>
      </c>
      <c r="F2665" s="139">
        <v>42875</v>
      </c>
      <c r="G2665" s="140">
        <v>4848.3999999999996</v>
      </c>
      <c r="H2665" s="138">
        <f t="shared" si="42"/>
        <v>0</v>
      </c>
      <c r="I2665" s="141" t="s">
        <v>15214</v>
      </c>
    </row>
    <row r="2666" spans="1:9" x14ac:dyDescent="0.25">
      <c r="A2666" s="167" t="s">
        <v>18085</v>
      </c>
      <c r="B2666" s="142" t="s">
        <v>18209</v>
      </c>
      <c r="C2666" s="143">
        <v>112715</v>
      </c>
      <c r="D2666" s="142" t="s">
        <v>15315</v>
      </c>
      <c r="E2666" s="144">
        <v>1050</v>
      </c>
      <c r="F2666" s="145">
        <v>42875</v>
      </c>
      <c r="G2666" s="146">
        <v>1050</v>
      </c>
      <c r="H2666" s="138">
        <f t="shared" si="42"/>
        <v>0</v>
      </c>
      <c r="I2666" s="147" t="s">
        <v>15214</v>
      </c>
    </row>
    <row r="2667" spans="1:9" x14ac:dyDescent="0.25">
      <c r="A2667" s="168" t="s">
        <v>18085</v>
      </c>
      <c r="B2667" s="136" t="s">
        <v>18210</v>
      </c>
      <c r="C2667" s="137">
        <v>112716</v>
      </c>
      <c r="D2667" s="136" t="s">
        <v>15315</v>
      </c>
      <c r="E2667" s="138">
        <v>446.5</v>
      </c>
      <c r="F2667" s="139">
        <v>42875</v>
      </c>
      <c r="G2667" s="140">
        <v>446.5</v>
      </c>
      <c r="H2667" s="138">
        <f t="shared" si="42"/>
        <v>0</v>
      </c>
      <c r="I2667" s="141" t="s">
        <v>15214</v>
      </c>
    </row>
    <row r="2668" spans="1:9" x14ac:dyDescent="0.25">
      <c r="A2668" s="167" t="s">
        <v>18085</v>
      </c>
      <c r="B2668" s="142" t="s">
        <v>18211</v>
      </c>
      <c r="C2668" s="143">
        <v>112717</v>
      </c>
      <c r="D2668" s="142" t="s">
        <v>15328</v>
      </c>
      <c r="E2668" s="144">
        <v>171402.46</v>
      </c>
      <c r="F2668" s="148">
        <v>42887</v>
      </c>
      <c r="G2668" s="149">
        <v>171402.46</v>
      </c>
      <c r="H2668" s="138">
        <f t="shared" si="42"/>
        <v>0</v>
      </c>
      <c r="I2668" s="147" t="s">
        <v>15214</v>
      </c>
    </row>
    <row r="2669" spans="1:9" x14ac:dyDescent="0.25">
      <c r="A2669" s="168" t="s">
        <v>18085</v>
      </c>
      <c r="B2669" s="136" t="s">
        <v>18212</v>
      </c>
      <c r="C2669" s="137">
        <v>112718</v>
      </c>
      <c r="D2669" s="136" t="s">
        <v>15884</v>
      </c>
      <c r="E2669" s="138">
        <v>1322.5</v>
      </c>
      <c r="F2669" s="139">
        <v>42875</v>
      </c>
      <c r="G2669" s="140">
        <v>1322.5</v>
      </c>
      <c r="H2669" s="138">
        <f t="shared" si="42"/>
        <v>0</v>
      </c>
      <c r="I2669" s="141" t="s">
        <v>15214</v>
      </c>
    </row>
    <row r="2670" spans="1:9" x14ac:dyDescent="0.25">
      <c r="A2670" s="167" t="s">
        <v>18085</v>
      </c>
      <c r="B2670" s="142" t="s">
        <v>18213</v>
      </c>
      <c r="C2670" s="143">
        <v>112719</v>
      </c>
      <c r="D2670" s="142" t="s">
        <v>15315</v>
      </c>
      <c r="E2670" s="144">
        <v>452.2</v>
      </c>
      <c r="F2670" s="145">
        <v>42875</v>
      </c>
      <c r="G2670" s="146">
        <v>452.2</v>
      </c>
      <c r="H2670" s="138">
        <f t="shared" si="42"/>
        <v>0</v>
      </c>
      <c r="I2670" s="147" t="s">
        <v>15214</v>
      </c>
    </row>
    <row r="2671" spans="1:9" x14ac:dyDescent="0.25">
      <c r="A2671" s="168" t="s">
        <v>18085</v>
      </c>
      <c r="B2671" s="136" t="s">
        <v>18214</v>
      </c>
      <c r="C2671" s="137">
        <v>112720</v>
      </c>
      <c r="D2671" s="136" t="s">
        <v>15365</v>
      </c>
      <c r="E2671" s="138">
        <v>42394.65</v>
      </c>
      <c r="F2671" s="139">
        <v>42883</v>
      </c>
      <c r="G2671" s="140">
        <v>42394.65</v>
      </c>
      <c r="H2671" s="138">
        <f t="shared" si="42"/>
        <v>0</v>
      </c>
      <c r="I2671" s="141" t="s">
        <v>15214</v>
      </c>
    </row>
    <row r="2672" spans="1:9" x14ac:dyDescent="0.25">
      <c r="A2672" s="167" t="s">
        <v>18085</v>
      </c>
      <c r="B2672" s="142" t="s">
        <v>18215</v>
      </c>
      <c r="C2672" s="143">
        <v>112721</v>
      </c>
      <c r="D2672" s="142" t="s">
        <v>15267</v>
      </c>
      <c r="E2672" s="144">
        <v>67822</v>
      </c>
      <c r="F2672" s="148">
        <v>42892</v>
      </c>
      <c r="G2672" s="149">
        <v>67822</v>
      </c>
      <c r="H2672" s="138">
        <f t="shared" si="42"/>
        <v>0</v>
      </c>
      <c r="I2672" s="147" t="s">
        <v>15214</v>
      </c>
    </row>
    <row r="2673" spans="1:9" x14ac:dyDescent="0.25">
      <c r="A2673" s="168" t="s">
        <v>18085</v>
      </c>
      <c r="B2673" s="136" t="s">
        <v>18216</v>
      </c>
      <c r="C2673" s="137">
        <v>112722</v>
      </c>
      <c r="D2673" s="136" t="s">
        <v>15365</v>
      </c>
      <c r="E2673" s="138">
        <v>396630</v>
      </c>
      <c r="F2673" s="139">
        <v>42883</v>
      </c>
      <c r="G2673" s="140">
        <v>396630</v>
      </c>
      <c r="H2673" s="138">
        <f t="shared" si="42"/>
        <v>0</v>
      </c>
      <c r="I2673" s="141" t="s">
        <v>15214</v>
      </c>
    </row>
    <row r="2674" spans="1:9" x14ac:dyDescent="0.25">
      <c r="A2674" s="167" t="s">
        <v>18085</v>
      </c>
      <c r="B2674" s="142" t="s">
        <v>18217</v>
      </c>
      <c r="C2674" s="143">
        <v>112723</v>
      </c>
      <c r="D2674" s="142" t="s">
        <v>15365</v>
      </c>
      <c r="E2674" s="144">
        <v>410670</v>
      </c>
      <c r="F2674" s="145">
        <v>42883</v>
      </c>
      <c r="G2674" s="146">
        <v>410670</v>
      </c>
      <c r="H2674" s="138">
        <f t="shared" si="42"/>
        <v>0</v>
      </c>
      <c r="I2674" s="147" t="s">
        <v>15214</v>
      </c>
    </row>
    <row r="2675" spans="1:9" x14ac:dyDescent="0.25">
      <c r="A2675" s="168" t="s">
        <v>18085</v>
      </c>
      <c r="B2675" s="136" t="s">
        <v>18218</v>
      </c>
      <c r="C2675" s="137">
        <v>112724</v>
      </c>
      <c r="D2675" s="136" t="s">
        <v>15407</v>
      </c>
      <c r="E2675" s="138">
        <v>14987.8</v>
      </c>
      <c r="F2675" s="139">
        <v>42875</v>
      </c>
      <c r="G2675" s="140">
        <v>14987.8</v>
      </c>
      <c r="H2675" s="138">
        <f t="shared" si="42"/>
        <v>0</v>
      </c>
      <c r="I2675" s="141" t="s">
        <v>15214</v>
      </c>
    </row>
    <row r="2676" spans="1:9" ht="15.75" x14ac:dyDescent="0.25">
      <c r="A2676" s="167" t="s">
        <v>18085</v>
      </c>
      <c r="B2676" s="142" t="s">
        <v>18219</v>
      </c>
      <c r="C2676" s="143">
        <v>112725</v>
      </c>
      <c r="D2676" s="142" t="s">
        <v>15246</v>
      </c>
      <c r="E2676" s="144">
        <v>0</v>
      </c>
      <c r="F2676" s="156" t="s">
        <v>95</v>
      </c>
      <c r="G2676" s="144">
        <v>0</v>
      </c>
      <c r="H2676" s="138">
        <f t="shared" si="42"/>
        <v>0</v>
      </c>
      <c r="I2676" s="147" t="s">
        <v>95</v>
      </c>
    </row>
    <row r="2677" spans="1:9" x14ac:dyDescent="0.25">
      <c r="A2677" s="168" t="s">
        <v>18085</v>
      </c>
      <c r="B2677" s="136" t="s">
        <v>18220</v>
      </c>
      <c r="C2677" s="137">
        <v>112726</v>
      </c>
      <c r="D2677" s="136" t="s">
        <v>15246</v>
      </c>
      <c r="E2677" s="138">
        <v>185350.68</v>
      </c>
      <c r="F2677" s="139">
        <v>42879</v>
      </c>
      <c r="G2677" s="140">
        <v>185350.68</v>
      </c>
      <c r="H2677" s="138">
        <f t="shared" si="42"/>
        <v>0</v>
      </c>
      <c r="I2677" s="141" t="s">
        <v>15214</v>
      </c>
    </row>
    <row r="2678" spans="1:9" x14ac:dyDescent="0.25">
      <c r="A2678" s="167" t="s">
        <v>18085</v>
      </c>
      <c r="B2678" s="142" t="s">
        <v>18221</v>
      </c>
      <c r="C2678" s="143">
        <v>112727</v>
      </c>
      <c r="D2678" s="142" t="s">
        <v>15246</v>
      </c>
      <c r="E2678" s="144">
        <v>157485.6</v>
      </c>
      <c r="F2678" s="145">
        <v>42879</v>
      </c>
      <c r="G2678" s="146">
        <v>157485.6</v>
      </c>
      <c r="H2678" s="138">
        <f t="shared" si="42"/>
        <v>0</v>
      </c>
      <c r="I2678" s="147" t="s">
        <v>15214</v>
      </c>
    </row>
    <row r="2679" spans="1:9" x14ac:dyDescent="0.25">
      <c r="A2679" s="168" t="s">
        <v>18085</v>
      </c>
      <c r="B2679" s="136" t="s">
        <v>18222</v>
      </c>
      <c r="C2679" s="137">
        <v>112728</v>
      </c>
      <c r="D2679" s="136" t="s">
        <v>15315</v>
      </c>
      <c r="E2679" s="138">
        <v>5035.7</v>
      </c>
      <c r="F2679" s="139">
        <v>42875</v>
      </c>
      <c r="G2679" s="140">
        <v>5035.7</v>
      </c>
      <c r="H2679" s="138">
        <f t="shared" si="42"/>
        <v>0</v>
      </c>
      <c r="I2679" s="141" t="s">
        <v>15214</v>
      </c>
    </row>
    <row r="2680" spans="1:9" x14ac:dyDescent="0.25">
      <c r="A2680" s="167" t="s">
        <v>18085</v>
      </c>
      <c r="B2680" s="142" t="s">
        <v>18223</v>
      </c>
      <c r="C2680" s="143">
        <v>112729</v>
      </c>
      <c r="D2680" s="142" t="s">
        <v>15246</v>
      </c>
      <c r="E2680" s="144">
        <v>67037.56</v>
      </c>
      <c r="F2680" s="145">
        <v>42879</v>
      </c>
      <c r="G2680" s="146">
        <v>67037.56</v>
      </c>
      <c r="H2680" s="138">
        <f t="shared" si="42"/>
        <v>0</v>
      </c>
      <c r="I2680" s="147" t="s">
        <v>15214</v>
      </c>
    </row>
    <row r="2681" spans="1:9" x14ac:dyDescent="0.25">
      <c r="A2681" s="168" t="s">
        <v>18085</v>
      </c>
      <c r="B2681" s="136" t="s">
        <v>18224</v>
      </c>
      <c r="C2681" s="137">
        <v>112730</v>
      </c>
      <c r="D2681" s="136" t="s">
        <v>15246</v>
      </c>
      <c r="E2681" s="138">
        <v>36153.08</v>
      </c>
      <c r="F2681" s="139">
        <v>42879</v>
      </c>
      <c r="G2681" s="140">
        <v>36153.08</v>
      </c>
      <c r="H2681" s="138">
        <f t="shared" si="42"/>
        <v>0</v>
      </c>
      <c r="I2681" s="141" t="s">
        <v>15214</v>
      </c>
    </row>
    <row r="2682" spans="1:9" ht="15.75" x14ac:dyDescent="0.25">
      <c r="A2682" s="167" t="s">
        <v>18085</v>
      </c>
      <c r="B2682" s="142" t="s">
        <v>18225</v>
      </c>
      <c r="C2682" s="143">
        <v>112731</v>
      </c>
      <c r="D2682" s="142" t="s">
        <v>16217</v>
      </c>
      <c r="E2682" s="144">
        <v>0</v>
      </c>
      <c r="F2682" s="156" t="s">
        <v>95</v>
      </c>
      <c r="G2682" s="144">
        <v>0</v>
      </c>
      <c r="H2682" s="138">
        <f t="shared" si="42"/>
        <v>0</v>
      </c>
      <c r="I2682" s="147" t="s">
        <v>95</v>
      </c>
    </row>
    <row r="2683" spans="1:9" x14ac:dyDescent="0.25">
      <c r="A2683" s="168" t="s">
        <v>18085</v>
      </c>
      <c r="B2683" s="136" t="s">
        <v>18226</v>
      </c>
      <c r="C2683" s="137">
        <v>112732</v>
      </c>
      <c r="D2683" s="136" t="s">
        <v>16217</v>
      </c>
      <c r="E2683" s="138">
        <v>2751.1</v>
      </c>
      <c r="F2683" s="139">
        <v>42876</v>
      </c>
      <c r="G2683" s="140">
        <v>2751.1</v>
      </c>
      <c r="H2683" s="138">
        <f t="shared" si="42"/>
        <v>0</v>
      </c>
      <c r="I2683" s="141" t="s">
        <v>15214</v>
      </c>
    </row>
    <row r="2684" spans="1:9" x14ac:dyDescent="0.25">
      <c r="A2684" s="167" t="s">
        <v>18085</v>
      </c>
      <c r="B2684" s="142" t="s">
        <v>18227</v>
      </c>
      <c r="C2684" s="143">
        <v>112733</v>
      </c>
      <c r="D2684" s="142" t="s">
        <v>15642</v>
      </c>
      <c r="E2684" s="144">
        <v>10264.799999999999</v>
      </c>
      <c r="F2684" s="145">
        <v>42877</v>
      </c>
      <c r="G2684" s="146">
        <v>10264.799999999999</v>
      </c>
      <c r="H2684" s="138">
        <f t="shared" si="42"/>
        <v>0</v>
      </c>
      <c r="I2684" s="147" t="s">
        <v>15214</v>
      </c>
    </row>
    <row r="2685" spans="1:9" x14ac:dyDescent="0.25">
      <c r="A2685" s="168" t="s">
        <v>18085</v>
      </c>
      <c r="B2685" s="136" t="s">
        <v>18228</v>
      </c>
      <c r="C2685" s="137">
        <v>112734</v>
      </c>
      <c r="D2685" s="136" t="s">
        <v>15920</v>
      </c>
      <c r="E2685" s="138">
        <v>46771.199999999997</v>
      </c>
      <c r="F2685" s="139">
        <v>42876</v>
      </c>
      <c r="G2685" s="140">
        <v>46771.199999999997</v>
      </c>
      <c r="H2685" s="138">
        <f t="shared" si="42"/>
        <v>0</v>
      </c>
      <c r="I2685" s="141" t="s">
        <v>15214</v>
      </c>
    </row>
    <row r="2686" spans="1:9" x14ac:dyDescent="0.25">
      <c r="A2686" s="167" t="s">
        <v>18229</v>
      </c>
      <c r="B2686" s="142" t="s">
        <v>18230</v>
      </c>
      <c r="C2686" s="143">
        <v>112735</v>
      </c>
      <c r="D2686" s="142" t="s">
        <v>15213</v>
      </c>
      <c r="E2686" s="144">
        <v>9197.2999999999993</v>
      </c>
      <c r="F2686" s="145">
        <v>42877</v>
      </c>
      <c r="G2686" s="146">
        <v>9197.2999999999993</v>
      </c>
      <c r="H2686" s="138">
        <f t="shared" si="42"/>
        <v>0</v>
      </c>
      <c r="I2686" s="147" t="s">
        <v>15214</v>
      </c>
    </row>
    <row r="2687" spans="1:9" x14ac:dyDescent="0.25">
      <c r="A2687" s="168" t="s">
        <v>18229</v>
      </c>
      <c r="B2687" s="136" t="s">
        <v>18231</v>
      </c>
      <c r="C2687" s="137">
        <v>112736</v>
      </c>
      <c r="D2687" s="136" t="s">
        <v>15228</v>
      </c>
      <c r="E2687" s="138">
        <v>8177</v>
      </c>
      <c r="F2687" s="139">
        <v>42876</v>
      </c>
      <c r="G2687" s="140">
        <v>8177</v>
      </c>
      <c r="H2687" s="138">
        <f t="shared" si="42"/>
        <v>0</v>
      </c>
      <c r="I2687" s="141" t="s">
        <v>15214</v>
      </c>
    </row>
    <row r="2688" spans="1:9" x14ac:dyDescent="0.25">
      <c r="A2688" s="167" t="s">
        <v>18229</v>
      </c>
      <c r="B2688" s="142" t="s">
        <v>18232</v>
      </c>
      <c r="C2688" s="143">
        <v>112737</v>
      </c>
      <c r="D2688" s="142" t="s">
        <v>15315</v>
      </c>
      <c r="E2688" s="144">
        <v>4117.1000000000004</v>
      </c>
      <c r="F2688" s="145">
        <v>42876</v>
      </c>
      <c r="G2688" s="146">
        <v>4117.1000000000004</v>
      </c>
      <c r="H2688" s="138">
        <f t="shared" si="42"/>
        <v>0</v>
      </c>
      <c r="I2688" s="147" t="s">
        <v>15214</v>
      </c>
    </row>
    <row r="2689" spans="1:9" x14ac:dyDescent="0.25">
      <c r="A2689" s="168" t="s">
        <v>18229</v>
      </c>
      <c r="B2689" s="136" t="s">
        <v>18233</v>
      </c>
      <c r="C2689" s="137">
        <v>112738</v>
      </c>
      <c r="D2689" s="136" t="s">
        <v>15668</v>
      </c>
      <c r="E2689" s="138">
        <v>15674.4</v>
      </c>
      <c r="F2689" s="139">
        <v>42877</v>
      </c>
      <c r="G2689" s="140">
        <v>15674.4</v>
      </c>
      <c r="H2689" s="138">
        <f t="shared" si="42"/>
        <v>0</v>
      </c>
      <c r="I2689" s="141" t="s">
        <v>15214</v>
      </c>
    </row>
    <row r="2690" spans="1:9" x14ac:dyDescent="0.25">
      <c r="A2690" s="167" t="s">
        <v>18229</v>
      </c>
      <c r="B2690" s="142" t="s">
        <v>18234</v>
      </c>
      <c r="C2690" s="143">
        <v>112739</v>
      </c>
      <c r="D2690" s="142" t="s">
        <v>15213</v>
      </c>
      <c r="E2690" s="144">
        <v>40844.6</v>
      </c>
      <c r="F2690" s="145">
        <v>42877</v>
      </c>
      <c r="G2690" s="146">
        <v>40844.6</v>
      </c>
      <c r="H2690" s="138">
        <f t="shared" si="42"/>
        <v>0</v>
      </c>
      <c r="I2690" s="147" t="s">
        <v>15214</v>
      </c>
    </row>
    <row r="2691" spans="1:9" x14ac:dyDescent="0.25">
      <c r="A2691" s="168" t="s">
        <v>18229</v>
      </c>
      <c r="B2691" s="136" t="s">
        <v>18235</v>
      </c>
      <c r="C2691" s="137">
        <v>112740</v>
      </c>
      <c r="D2691" s="136" t="s">
        <v>15220</v>
      </c>
      <c r="E2691" s="138">
        <v>4800</v>
      </c>
      <c r="F2691" s="139">
        <v>42876</v>
      </c>
      <c r="G2691" s="140">
        <v>4800</v>
      </c>
      <c r="H2691" s="138">
        <f t="shared" si="42"/>
        <v>0</v>
      </c>
      <c r="I2691" s="141" t="s">
        <v>15214</v>
      </c>
    </row>
    <row r="2692" spans="1:9" x14ac:dyDescent="0.25">
      <c r="A2692" s="167" t="s">
        <v>18229</v>
      </c>
      <c r="B2692" s="142" t="s">
        <v>18236</v>
      </c>
      <c r="C2692" s="143">
        <v>112741</v>
      </c>
      <c r="D2692" s="142" t="s">
        <v>15272</v>
      </c>
      <c r="E2692" s="144">
        <v>29530.6</v>
      </c>
      <c r="F2692" s="145">
        <v>42876</v>
      </c>
      <c r="G2692" s="146">
        <v>29530.6</v>
      </c>
      <c r="H2692" s="138">
        <f t="shared" si="42"/>
        <v>0</v>
      </c>
      <c r="I2692" s="147" t="s">
        <v>15214</v>
      </c>
    </row>
    <row r="2693" spans="1:9" x14ac:dyDescent="0.25">
      <c r="A2693" s="168" t="s">
        <v>18229</v>
      </c>
      <c r="B2693" s="136" t="s">
        <v>18237</v>
      </c>
      <c r="C2693" s="137">
        <v>112742</v>
      </c>
      <c r="D2693" s="136" t="s">
        <v>15324</v>
      </c>
      <c r="E2693" s="138">
        <v>2284</v>
      </c>
      <c r="F2693" s="139">
        <v>42876</v>
      </c>
      <c r="G2693" s="140">
        <v>2284</v>
      </c>
      <c r="H2693" s="138">
        <f t="shared" si="42"/>
        <v>0</v>
      </c>
      <c r="I2693" s="141" t="s">
        <v>15214</v>
      </c>
    </row>
    <row r="2694" spans="1:9" x14ac:dyDescent="0.25">
      <c r="A2694" s="167" t="s">
        <v>18229</v>
      </c>
      <c r="B2694" s="142" t="s">
        <v>18238</v>
      </c>
      <c r="C2694" s="143">
        <v>112743</v>
      </c>
      <c r="D2694" s="142" t="s">
        <v>15250</v>
      </c>
      <c r="E2694" s="144">
        <v>34583.440000000002</v>
      </c>
      <c r="F2694" s="145">
        <v>42886</v>
      </c>
      <c r="G2694" s="146">
        <v>34583.440000000002</v>
      </c>
      <c r="H2694" s="138">
        <f t="shared" si="42"/>
        <v>0</v>
      </c>
      <c r="I2694" s="147" t="s">
        <v>15214</v>
      </c>
    </row>
    <row r="2695" spans="1:9" x14ac:dyDescent="0.25">
      <c r="A2695" s="168" t="s">
        <v>18229</v>
      </c>
      <c r="B2695" s="136" t="s">
        <v>18239</v>
      </c>
      <c r="C2695" s="137">
        <v>112744</v>
      </c>
      <c r="D2695" s="136" t="s">
        <v>15223</v>
      </c>
      <c r="E2695" s="138">
        <v>44199</v>
      </c>
      <c r="F2695" s="157">
        <v>42891</v>
      </c>
      <c r="G2695" s="158">
        <v>44199</v>
      </c>
      <c r="H2695" s="138">
        <f t="shared" ref="H2695:H2758" si="43">E2695-G2695</f>
        <v>0</v>
      </c>
      <c r="I2695" s="141" t="s">
        <v>15214</v>
      </c>
    </row>
    <row r="2696" spans="1:9" x14ac:dyDescent="0.25">
      <c r="A2696" s="167" t="s">
        <v>18229</v>
      </c>
      <c r="B2696" s="142" t="s">
        <v>18240</v>
      </c>
      <c r="C2696" s="143">
        <v>112745</v>
      </c>
      <c r="D2696" s="142" t="s">
        <v>15265</v>
      </c>
      <c r="E2696" s="144">
        <v>2380.8000000000002</v>
      </c>
      <c r="F2696" s="145">
        <v>42878</v>
      </c>
      <c r="G2696" s="146">
        <v>2380.8000000000002</v>
      </c>
      <c r="H2696" s="138">
        <f t="shared" si="43"/>
        <v>0</v>
      </c>
      <c r="I2696" s="147" t="s">
        <v>15214</v>
      </c>
    </row>
    <row r="2697" spans="1:9" x14ac:dyDescent="0.25">
      <c r="A2697" s="168" t="s">
        <v>18229</v>
      </c>
      <c r="B2697" s="136" t="s">
        <v>18241</v>
      </c>
      <c r="C2697" s="137">
        <v>112746</v>
      </c>
      <c r="D2697" s="136" t="s">
        <v>15320</v>
      </c>
      <c r="E2697" s="138">
        <v>2070</v>
      </c>
      <c r="F2697" s="139">
        <v>42876</v>
      </c>
      <c r="G2697" s="140">
        <v>2070</v>
      </c>
      <c r="H2697" s="138">
        <f t="shared" si="43"/>
        <v>0</v>
      </c>
      <c r="I2697" s="141" t="s">
        <v>15214</v>
      </c>
    </row>
    <row r="2698" spans="1:9" x14ac:dyDescent="0.25">
      <c r="A2698" s="167" t="s">
        <v>18229</v>
      </c>
      <c r="B2698" s="142" t="s">
        <v>18242</v>
      </c>
      <c r="C2698" s="143">
        <v>112747</v>
      </c>
      <c r="D2698" s="142" t="s">
        <v>15242</v>
      </c>
      <c r="E2698" s="144">
        <v>9090</v>
      </c>
      <c r="F2698" s="145">
        <v>42876</v>
      </c>
      <c r="G2698" s="146">
        <v>9090</v>
      </c>
      <c r="H2698" s="138">
        <f t="shared" si="43"/>
        <v>0</v>
      </c>
      <c r="I2698" s="147" t="s">
        <v>15214</v>
      </c>
    </row>
    <row r="2699" spans="1:9" x14ac:dyDescent="0.25">
      <c r="A2699" s="168" t="s">
        <v>18229</v>
      </c>
      <c r="B2699" s="136" t="s">
        <v>18243</v>
      </c>
      <c r="C2699" s="137">
        <v>112748</v>
      </c>
      <c r="D2699" s="136" t="s">
        <v>15568</v>
      </c>
      <c r="E2699" s="138">
        <v>15570.6</v>
      </c>
      <c r="F2699" s="139">
        <v>42876</v>
      </c>
      <c r="G2699" s="140">
        <v>15570.6</v>
      </c>
      <c r="H2699" s="138">
        <f t="shared" si="43"/>
        <v>0</v>
      </c>
      <c r="I2699" s="141" t="s">
        <v>15214</v>
      </c>
    </row>
    <row r="2700" spans="1:9" x14ac:dyDescent="0.25">
      <c r="A2700" s="167" t="s">
        <v>18229</v>
      </c>
      <c r="B2700" s="142" t="s">
        <v>18244</v>
      </c>
      <c r="C2700" s="143">
        <v>112749</v>
      </c>
      <c r="D2700" s="142" t="s">
        <v>17722</v>
      </c>
      <c r="E2700" s="144">
        <v>4195.2</v>
      </c>
      <c r="F2700" s="145">
        <v>42876</v>
      </c>
      <c r="G2700" s="146">
        <v>4195.2</v>
      </c>
      <c r="H2700" s="138">
        <f t="shared" si="43"/>
        <v>0</v>
      </c>
      <c r="I2700" s="147" t="s">
        <v>15214</v>
      </c>
    </row>
    <row r="2701" spans="1:9" x14ac:dyDescent="0.25">
      <c r="A2701" s="168" t="s">
        <v>18229</v>
      </c>
      <c r="B2701" s="136" t="s">
        <v>18245</v>
      </c>
      <c r="C2701" s="137">
        <v>112750</v>
      </c>
      <c r="D2701" s="136" t="s">
        <v>15263</v>
      </c>
      <c r="E2701" s="138">
        <v>2829.7</v>
      </c>
      <c r="F2701" s="139">
        <v>42876</v>
      </c>
      <c r="G2701" s="140">
        <v>2829.7</v>
      </c>
      <c r="H2701" s="138">
        <f t="shared" si="43"/>
        <v>0</v>
      </c>
      <c r="I2701" s="141" t="s">
        <v>15214</v>
      </c>
    </row>
    <row r="2702" spans="1:9" x14ac:dyDescent="0.25">
      <c r="A2702" s="167" t="s">
        <v>18229</v>
      </c>
      <c r="B2702" s="142" t="s">
        <v>18246</v>
      </c>
      <c r="C2702" s="143">
        <v>112751</v>
      </c>
      <c r="D2702" s="142" t="s">
        <v>15248</v>
      </c>
      <c r="E2702" s="144">
        <v>22285.34</v>
      </c>
      <c r="F2702" s="139">
        <v>42876</v>
      </c>
      <c r="G2702" s="146">
        <v>22285.34</v>
      </c>
      <c r="H2702" s="138">
        <f t="shared" si="43"/>
        <v>0</v>
      </c>
      <c r="I2702" s="147" t="s">
        <v>15214</v>
      </c>
    </row>
    <row r="2703" spans="1:9" x14ac:dyDescent="0.25">
      <c r="A2703" s="168" t="s">
        <v>18229</v>
      </c>
      <c r="B2703" s="136" t="s">
        <v>18247</v>
      </c>
      <c r="C2703" s="137">
        <v>112752</v>
      </c>
      <c r="D2703" s="136" t="s">
        <v>15284</v>
      </c>
      <c r="E2703" s="138">
        <v>1553.3</v>
      </c>
      <c r="F2703" s="139">
        <v>42876</v>
      </c>
      <c r="G2703" s="140">
        <v>1553.3</v>
      </c>
      <c r="H2703" s="138">
        <f t="shared" si="43"/>
        <v>0</v>
      </c>
      <c r="I2703" s="141" t="s">
        <v>15214</v>
      </c>
    </row>
    <row r="2704" spans="1:9" x14ac:dyDescent="0.25">
      <c r="A2704" s="167" t="s">
        <v>18229</v>
      </c>
      <c r="B2704" s="142" t="s">
        <v>18248</v>
      </c>
      <c r="C2704" s="143">
        <v>112753</v>
      </c>
      <c r="D2704" s="142" t="s">
        <v>15315</v>
      </c>
      <c r="E2704" s="144">
        <v>440.8</v>
      </c>
      <c r="F2704" s="139">
        <v>42876</v>
      </c>
      <c r="G2704" s="146">
        <v>440.8</v>
      </c>
      <c r="H2704" s="138">
        <f t="shared" si="43"/>
        <v>0</v>
      </c>
      <c r="I2704" s="147" t="s">
        <v>15214</v>
      </c>
    </row>
    <row r="2705" spans="1:9" x14ac:dyDescent="0.25">
      <c r="A2705" s="168" t="s">
        <v>18229</v>
      </c>
      <c r="B2705" s="136" t="s">
        <v>18249</v>
      </c>
      <c r="C2705" s="137">
        <v>112754</v>
      </c>
      <c r="D2705" s="136" t="s">
        <v>15745</v>
      </c>
      <c r="E2705" s="138">
        <v>3146.72</v>
      </c>
      <c r="F2705" s="139">
        <v>42876</v>
      </c>
      <c r="G2705" s="140">
        <v>3146.72</v>
      </c>
      <c r="H2705" s="138">
        <f t="shared" si="43"/>
        <v>0</v>
      </c>
      <c r="I2705" s="141" t="s">
        <v>15214</v>
      </c>
    </row>
    <row r="2706" spans="1:9" x14ac:dyDescent="0.25">
      <c r="A2706" s="167" t="s">
        <v>18229</v>
      </c>
      <c r="B2706" s="142" t="s">
        <v>18250</v>
      </c>
      <c r="C2706" s="143">
        <v>112755</v>
      </c>
      <c r="D2706" s="142" t="s">
        <v>15291</v>
      </c>
      <c r="E2706" s="144">
        <v>864</v>
      </c>
      <c r="F2706" s="139">
        <v>42876</v>
      </c>
      <c r="G2706" s="146">
        <v>864</v>
      </c>
      <c r="H2706" s="138">
        <f t="shared" si="43"/>
        <v>0</v>
      </c>
      <c r="I2706" s="147" t="s">
        <v>15214</v>
      </c>
    </row>
    <row r="2707" spans="1:9" x14ac:dyDescent="0.25">
      <c r="A2707" s="168" t="s">
        <v>18229</v>
      </c>
      <c r="B2707" s="136" t="s">
        <v>18251</v>
      </c>
      <c r="C2707" s="137">
        <v>112756</v>
      </c>
      <c r="D2707" s="136" t="s">
        <v>15280</v>
      </c>
      <c r="E2707" s="138">
        <v>5719.3</v>
      </c>
      <c r="F2707" s="139">
        <v>42876</v>
      </c>
      <c r="G2707" s="140">
        <v>5719.3</v>
      </c>
      <c r="H2707" s="138">
        <f t="shared" si="43"/>
        <v>0</v>
      </c>
      <c r="I2707" s="141" t="s">
        <v>15214</v>
      </c>
    </row>
    <row r="2708" spans="1:9" x14ac:dyDescent="0.25">
      <c r="A2708" s="167" t="s">
        <v>18229</v>
      </c>
      <c r="B2708" s="142" t="s">
        <v>18252</v>
      </c>
      <c r="C2708" s="143">
        <v>112757</v>
      </c>
      <c r="D2708" s="142" t="s">
        <v>15530</v>
      </c>
      <c r="E2708" s="144">
        <v>3410</v>
      </c>
      <c r="F2708" s="139">
        <v>42876</v>
      </c>
      <c r="G2708" s="146">
        <v>3410</v>
      </c>
      <c r="H2708" s="138">
        <f t="shared" si="43"/>
        <v>0</v>
      </c>
      <c r="I2708" s="147" t="s">
        <v>15214</v>
      </c>
    </row>
    <row r="2709" spans="1:9" x14ac:dyDescent="0.25">
      <c r="A2709" s="168" t="s">
        <v>18229</v>
      </c>
      <c r="B2709" s="136" t="s">
        <v>18253</v>
      </c>
      <c r="C2709" s="137">
        <v>112758</v>
      </c>
      <c r="D2709" s="136" t="s">
        <v>15234</v>
      </c>
      <c r="E2709" s="138">
        <v>3232.8</v>
      </c>
      <c r="F2709" s="139">
        <v>42876</v>
      </c>
      <c r="G2709" s="140">
        <v>3232.8</v>
      </c>
      <c r="H2709" s="138">
        <f t="shared" si="43"/>
        <v>0</v>
      </c>
      <c r="I2709" s="141" t="s">
        <v>15214</v>
      </c>
    </row>
    <row r="2710" spans="1:9" x14ac:dyDescent="0.25">
      <c r="A2710" s="167" t="s">
        <v>18229</v>
      </c>
      <c r="B2710" s="142" t="s">
        <v>18254</v>
      </c>
      <c r="C2710" s="143">
        <v>112759</v>
      </c>
      <c r="D2710" s="142" t="s">
        <v>15332</v>
      </c>
      <c r="E2710" s="144">
        <v>6125</v>
      </c>
      <c r="F2710" s="145">
        <v>42877</v>
      </c>
      <c r="G2710" s="146">
        <v>6125</v>
      </c>
      <c r="H2710" s="138">
        <f t="shared" si="43"/>
        <v>0</v>
      </c>
      <c r="I2710" s="147" t="s">
        <v>15214</v>
      </c>
    </row>
    <row r="2711" spans="1:9" x14ac:dyDescent="0.25">
      <c r="A2711" s="168" t="s">
        <v>18229</v>
      </c>
      <c r="B2711" s="136" t="s">
        <v>18255</v>
      </c>
      <c r="C2711" s="137">
        <v>112760</v>
      </c>
      <c r="D2711" s="136" t="s">
        <v>15256</v>
      </c>
      <c r="E2711" s="138">
        <v>4023.2</v>
      </c>
      <c r="F2711" s="139">
        <v>42876</v>
      </c>
      <c r="G2711" s="140">
        <v>4023.2</v>
      </c>
      <c r="H2711" s="138">
        <f t="shared" si="43"/>
        <v>0</v>
      </c>
      <c r="I2711" s="141" t="s">
        <v>15214</v>
      </c>
    </row>
    <row r="2712" spans="1:9" x14ac:dyDescent="0.25">
      <c r="A2712" s="167" t="s">
        <v>18229</v>
      </c>
      <c r="B2712" s="142" t="s">
        <v>18256</v>
      </c>
      <c r="C2712" s="143">
        <v>112761</v>
      </c>
      <c r="D2712" s="142" t="s">
        <v>15378</v>
      </c>
      <c r="E2712" s="144">
        <v>699.9</v>
      </c>
      <c r="F2712" s="145">
        <v>42876</v>
      </c>
      <c r="G2712" s="146">
        <v>699.9</v>
      </c>
      <c r="H2712" s="138">
        <f t="shared" si="43"/>
        <v>0</v>
      </c>
      <c r="I2712" s="147" t="s">
        <v>15214</v>
      </c>
    </row>
    <row r="2713" spans="1:9" x14ac:dyDescent="0.25">
      <c r="A2713" s="168" t="s">
        <v>18229</v>
      </c>
      <c r="B2713" s="136" t="s">
        <v>18257</v>
      </c>
      <c r="C2713" s="137">
        <v>112762</v>
      </c>
      <c r="D2713" s="136" t="s">
        <v>18258</v>
      </c>
      <c r="E2713" s="138">
        <v>12104.4</v>
      </c>
      <c r="F2713" s="139">
        <v>42876</v>
      </c>
      <c r="G2713" s="140">
        <v>12104.4</v>
      </c>
      <c r="H2713" s="138">
        <f t="shared" si="43"/>
        <v>0</v>
      </c>
      <c r="I2713" s="141" t="s">
        <v>15214</v>
      </c>
    </row>
    <row r="2714" spans="1:9" x14ac:dyDescent="0.25">
      <c r="A2714" s="167" t="s">
        <v>18229</v>
      </c>
      <c r="B2714" s="142" t="s">
        <v>18259</v>
      </c>
      <c r="C2714" s="143">
        <v>112763</v>
      </c>
      <c r="D2714" s="142" t="s">
        <v>15444</v>
      </c>
      <c r="E2714" s="144">
        <v>5039.6000000000004</v>
      </c>
      <c r="F2714" s="145">
        <v>42876</v>
      </c>
      <c r="G2714" s="146">
        <v>5039.6000000000004</v>
      </c>
      <c r="H2714" s="138">
        <f t="shared" si="43"/>
        <v>0</v>
      </c>
      <c r="I2714" s="147" t="s">
        <v>15214</v>
      </c>
    </row>
    <row r="2715" spans="1:9" x14ac:dyDescent="0.25">
      <c r="A2715" s="168" t="s">
        <v>18229</v>
      </c>
      <c r="B2715" s="136" t="s">
        <v>18260</v>
      </c>
      <c r="C2715" s="137">
        <v>112764</v>
      </c>
      <c r="D2715" s="136" t="s">
        <v>15322</v>
      </c>
      <c r="E2715" s="138">
        <v>712.5</v>
      </c>
      <c r="F2715" s="139">
        <v>42877</v>
      </c>
      <c r="G2715" s="140">
        <v>712.5</v>
      </c>
      <c r="H2715" s="138">
        <f t="shared" si="43"/>
        <v>0</v>
      </c>
      <c r="I2715" s="141" t="s">
        <v>15214</v>
      </c>
    </row>
    <row r="2716" spans="1:9" x14ac:dyDescent="0.25">
      <c r="A2716" s="167" t="s">
        <v>18229</v>
      </c>
      <c r="B2716" s="142" t="s">
        <v>18261</v>
      </c>
      <c r="C2716" s="143">
        <v>112765</v>
      </c>
      <c r="D2716" s="142" t="s">
        <v>16023</v>
      </c>
      <c r="E2716" s="144">
        <v>1044.5999999999999</v>
      </c>
      <c r="F2716" s="145">
        <v>42876</v>
      </c>
      <c r="G2716" s="146">
        <v>1044.5999999999999</v>
      </c>
      <c r="H2716" s="138">
        <f t="shared" si="43"/>
        <v>0</v>
      </c>
      <c r="I2716" s="147" t="s">
        <v>15214</v>
      </c>
    </row>
    <row r="2717" spans="1:9" x14ac:dyDescent="0.25">
      <c r="A2717" s="168" t="s">
        <v>18229</v>
      </c>
      <c r="B2717" s="136" t="s">
        <v>18262</v>
      </c>
      <c r="C2717" s="137">
        <v>112766</v>
      </c>
      <c r="D2717" s="136" t="s">
        <v>15398</v>
      </c>
      <c r="E2717" s="138">
        <v>396.5</v>
      </c>
      <c r="F2717" s="139">
        <v>42876</v>
      </c>
      <c r="G2717" s="140">
        <v>396.5</v>
      </c>
      <c r="H2717" s="138">
        <f t="shared" si="43"/>
        <v>0</v>
      </c>
      <c r="I2717" s="141" t="s">
        <v>15214</v>
      </c>
    </row>
    <row r="2718" spans="1:9" x14ac:dyDescent="0.25">
      <c r="A2718" s="167" t="s">
        <v>18229</v>
      </c>
      <c r="B2718" s="142" t="s">
        <v>18263</v>
      </c>
      <c r="C2718" s="143">
        <v>112767</v>
      </c>
      <c r="D2718" s="142" t="s">
        <v>15706</v>
      </c>
      <c r="E2718" s="144">
        <v>1383.6</v>
      </c>
      <c r="F2718" s="145">
        <v>42876</v>
      </c>
      <c r="G2718" s="146">
        <v>1383.6</v>
      </c>
      <c r="H2718" s="138">
        <f t="shared" si="43"/>
        <v>0</v>
      </c>
      <c r="I2718" s="147" t="s">
        <v>15214</v>
      </c>
    </row>
    <row r="2719" spans="1:9" x14ac:dyDescent="0.25">
      <c r="A2719" s="168" t="s">
        <v>18229</v>
      </c>
      <c r="B2719" s="136" t="s">
        <v>18264</v>
      </c>
      <c r="C2719" s="137">
        <v>112768</v>
      </c>
      <c r="D2719" s="136" t="s">
        <v>15344</v>
      </c>
      <c r="E2719" s="138">
        <v>3165.4</v>
      </c>
      <c r="F2719" s="139">
        <v>42877</v>
      </c>
      <c r="G2719" s="140">
        <v>3165.4</v>
      </c>
      <c r="H2719" s="138">
        <f t="shared" si="43"/>
        <v>0</v>
      </c>
      <c r="I2719" s="141" t="s">
        <v>15214</v>
      </c>
    </row>
    <row r="2720" spans="1:9" x14ac:dyDescent="0.25">
      <c r="A2720" s="167" t="s">
        <v>18229</v>
      </c>
      <c r="B2720" s="142" t="s">
        <v>18265</v>
      </c>
      <c r="C2720" s="143">
        <v>112769</v>
      </c>
      <c r="D2720" s="142" t="s">
        <v>15350</v>
      </c>
      <c r="E2720" s="144">
        <v>1200</v>
      </c>
      <c r="F2720" s="145">
        <v>42877</v>
      </c>
      <c r="G2720" s="146">
        <v>1200</v>
      </c>
      <c r="H2720" s="138">
        <f t="shared" si="43"/>
        <v>0</v>
      </c>
      <c r="I2720" s="147" t="s">
        <v>15214</v>
      </c>
    </row>
    <row r="2721" spans="1:10" x14ac:dyDescent="0.25">
      <c r="A2721" s="168" t="s">
        <v>18229</v>
      </c>
      <c r="B2721" s="136" t="s">
        <v>18266</v>
      </c>
      <c r="C2721" s="137">
        <v>112770</v>
      </c>
      <c r="D2721" s="136" t="s">
        <v>15334</v>
      </c>
      <c r="E2721" s="138">
        <v>1772</v>
      </c>
      <c r="F2721" s="145">
        <v>42877</v>
      </c>
      <c r="G2721" s="140">
        <v>1772</v>
      </c>
      <c r="H2721" s="138">
        <f t="shared" si="43"/>
        <v>0</v>
      </c>
      <c r="I2721" s="141" t="s">
        <v>15214</v>
      </c>
    </row>
    <row r="2722" spans="1:10" x14ac:dyDescent="0.25">
      <c r="A2722" s="167" t="s">
        <v>18229</v>
      </c>
      <c r="B2722" s="142" t="s">
        <v>18267</v>
      </c>
      <c r="C2722" s="143">
        <v>112771</v>
      </c>
      <c r="D2722" s="142" t="s">
        <v>15342</v>
      </c>
      <c r="E2722" s="144">
        <v>672.2</v>
      </c>
      <c r="F2722" s="145">
        <v>42877</v>
      </c>
      <c r="G2722" s="146">
        <v>672.2</v>
      </c>
      <c r="H2722" s="138">
        <f t="shared" si="43"/>
        <v>0</v>
      </c>
      <c r="I2722" s="147" t="s">
        <v>15214</v>
      </c>
    </row>
    <row r="2723" spans="1:10" x14ac:dyDescent="0.25">
      <c r="A2723" s="168" t="s">
        <v>18229</v>
      </c>
      <c r="B2723" s="136" t="s">
        <v>18268</v>
      </c>
      <c r="C2723" s="137">
        <v>112772</v>
      </c>
      <c r="D2723" s="136" t="s">
        <v>15340</v>
      </c>
      <c r="E2723" s="138">
        <v>10366.799999999999</v>
      </c>
      <c r="F2723" s="145">
        <v>42877</v>
      </c>
      <c r="G2723" s="140">
        <v>10366.799999999999</v>
      </c>
      <c r="H2723" s="138">
        <f t="shared" si="43"/>
        <v>0</v>
      </c>
      <c r="I2723" s="141" t="s">
        <v>15214</v>
      </c>
    </row>
    <row r="2724" spans="1:10" x14ac:dyDescent="0.25">
      <c r="A2724" s="167" t="s">
        <v>18229</v>
      </c>
      <c r="B2724" s="142" t="s">
        <v>18269</v>
      </c>
      <c r="C2724" s="143">
        <v>112773</v>
      </c>
      <c r="D2724" s="142" t="s">
        <v>17210</v>
      </c>
      <c r="E2724" s="144">
        <v>2716.6</v>
      </c>
      <c r="F2724" s="145">
        <v>42877</v>
      </c>
      <c r="G2724" s="146">
        <v>2716.6</v>
      </c>
      <c r="H2724" s="138">
        <f t="shared" si="43"/>
        <v>0</v>
      </c>
      <c r="I2724" s="147" t="s">
        <v>15214</v>
      </c>
    </row>
    <row r="2725" spans="1:10" x14ac:dyDescent="0.25">
      <c r="A2725" s="168" t="s">
        <v>18229</v>
      </c>
      <c r="B2725" s="136" t="s">
        <v>18270</v>
      </c>
      <c r="C2725" s="137">
        <v>112774</v>
      </c>
      <c r="D2725" s="136" t="s">
        <v>15254</v>
      </c>
      <c r="E2725" s="138">
        <v>11080.5</v>
      </c>
      <c r="F2725" s="139">
        <v>42880</v>
      </c>
      <c r="G2725" s="140">
        <v>11080.5</v>
      </c>
      <c r="H2725" s="138">
        <f t="shared" si="43"/>
        <v>0</v>
      </c>
      <c r="I2725" s="141" t="s">
        <v>15214</v>
      </c>
    </row>
    <row r="2726" spans="1:10" x14ac:dyDescent="0.25">
      <c r="A2726" s="167" t="s">
        <v>18229</v>
      </c>
      <c r="B2726" s="142" t="s">
        <v>18271</v>
      </c>
      <c r="C2726" s="143">
        <v>112775</v>
      </c>
      <c r="D2726" s="142" t="s">
        <v>15336</v>
      </c>
      <c r="E2726" s="144">
        <v>2368.8000000000002</v>
      </c>
      <c r="F2726" s="145">
        <v>42877</v>
      </c>
      <c r="G2726" s="146">
        <v>2368.8000000000002</v>
      </c>
      <c r="H2726" s="138">
        <f t="shared" si="43"/>
        <v>0</v>
      </c>
      <c r="I2726" s="147" t="s">
        <v>15214</v>
      </c>
    </row>
    <row r="2727" spans="1:10" x14ac:dyDescent="0.25">
      <c r="A2727" s="168" t="s">
        <v>18229</v>
      </c>
      <c r="B2727" s="136" t="s">
        <v>18272</v>
      </c>
      <c r="C2727" s="137">
        <v>112776</v>
      </c>
      <c r="D2727" s="136" t="s">
        <v>15624</v>
      </c>
      <c r="E2727" s="138">
        <v>32636.880000000001</v>
      </c>
      <c r="F2727" s="139">
        <v>42880</v>
      </c>
      <c r="G2727" s="140">
        <v>32636.880000000001</v>
      </c>
      <c r="H2727" s="138">
        <f t="shared" si="43"/>
        <v>0</v>
      </c>
      <c r="I2727" s="141" t="s">
        <v>15214</v>
      </c>
    </row>
    <row r="2728" spans="1:10" x14ac:dyDescent="0.25">
      <c r="A2728" s="167" t="s">
        <v>18229</v>
      </c>
      <c r="B2728" s="142" t="s">
        <v>18273</v>
      </c>
      <c r="C2728" s="143">
        <v>112777</v>
      </c>
      <c r="D2728" s="142" t="s">
        <v>15549</v>
      </c>
      <c r="E2728" s="144">
        <v>11938.6</v>
      </c>
      <c r="F2728" s="145">
        <v>42877</v>
      </c>
      <c r="G2728" s="146">
        <v>11938.6</v>
      </c>
      <c r="H2728" s="138">
        <f t="shared" si="43"/>
        <v>0</v>
      </c>
      <c r="I2728" s="147" t="s">
        <v>15214</v>
      </c>
    </row>
    <row r="2729" spans="1:10" x14ac:dyDescent="0.25">
      <c r="A2729" s="168" t="s">
        <v>18229</v>
      </c>
      <c r="B2729" s="136" t="s">
        <v>18274</v>
      </c>
      <c r="C2729" s="137">
        <v>112778</v>
      </c>
      <c r="D2729" s="136" t="s">
        <v>15244</v>
      </c>
      <c r="E2729" s="138">
        <v>9832.4</v>
      </c>
      <c r="F2729" s="139">
        <v>42879</v>
      </c>
      <c r="G2729" s="140">
        <v>9832.4</v>
      </c>
      <c r="H2729" s="138">
        <f t="shared" si="43"/>
        <v>0</v>
      </c>
      <c r="I2729" s="141" t="s">
        <v>15214</v>
      </c>
    </row>
    <row r="2730" spans="1:10" x14ac:dyDescent="0.25">
      <c r="A2730" s="167" t="s">
        <v>18229</v>
      </c>
      <c r="B2730" s="142" t="s">
        <v>18275</v>
      </c>
      <c r="C2730" s="143">
        <v>112779</v>
      </c>
      <c r="D2730" s="142" t="s">
        <v>15252</v>
      </c>
      <c r="E2730" s="144">
        <v>7219.5</v>
      </c>
      <c r="F2730" s="145">
        <v>42882</v>
      </c>
      <c r="G2730" s="146">
        <v>7219.5</v>
      </c>
      <c r="H2730" s="138">
        <f t="shared" si="43"/>
        <v>0</v>
      </c>
      <c r="I2730" s="147" t="s">
        <v>15214</v>
      </c>
    </row>
    <row r="2731" spans="1:10" ht="15.75" x14ac:dyDescent="0.25">
      <c r="A2731" s="168" t="s">
        <v>18229</v>
      </c>
      <c r="B2731" s="136" t="s">
        <v>18276</v>
      </c>
      <c r="C2731" s="137">
        <v>112780</v>
      </c>
      <c r="D2731" s="136" t="s">
        <v>15267</v>
      </c>
      <c r="E2731" s="138">
        <v>0</v>
      </c>
      <c r="F2731" s="153" t="s">
        <v>95</v>
      </c>
      <c r="G2731" s="138">
        <v>0</v>
      </c>
      <c r="H2731" s="138">
        <f t="shared" si="43"/>
        <v>0</v>
      </c>
      <c r="I2731" s="170" t="s">
        <v>18277</v>
      </c>
      <c r="J2731" s="171"/>
    </row>
    <row r="2732" spans="1:10" x14ac:dyDescent="0.25">
      <c r="A2732" s="167" t="s">
        <v>18229</v>
      </c>
      <c r="B2732" s="142" t="s">
        <v>18278</v>
      </c>
      <c r="C2732" s="143">
        <v>112781</v>
      </c>
      <c r="D2732" s="142" t="s">
        <v>15246</v>
      </c>
      <c r="E2732" s="144">
        <v>18340.2</v>
      </c>
      <c r="F2732" s="145">
        <v>42879</v>
      </c>
      <c r="G2732" s="146">
        <v>18340.2</v>
      </c>
      <c r="H2732" s="138">
        <f t="shared" si="43"/>
        <v>0</v>
      </c>
      <c r="I2732" s="147" t="s">
        <v>15214</v>
      </c>
    </row>
    <row r="2733" spans="1:10" x14ac:dyDescent="0.25">
      <c r="A2733" s="168" t="s">
        <v>18229</v>
      </c>
      <c r="B2733" s="136" t="s">
        <v>18279</v>
      </c>
      <c r="C2733" s="137">
        <v>112782</v>
      </c>
      <c r="D2733" s="136" t="s">
        <v>15566</v>
      </c>
      <c r="E2733" s="138">
        <v>3081.8</v>
      </c>
      <c r="F2733" s="139">
        <v>42876</v>
      </c>
      <c r="G2733" s="140">
        <v>3081.8</v>
      </c>
      <c r="H2733" s="138">
        <f t="shared" si="43"/>
        <v>0</v>
      </c>
      <c r="I2733" s="141" t="s">
        <v>15214</v>
      </c>
    </row>
    <row r="2734" spans="1:10" x14ac:dyDescent="0.25">
      <c r="A2734" s="167" t="s">
        <v>18229</v>
      </c>
      <c r="B2734" s="142" t="s">
        <v>18280</v>
      </c>
      <c r="C2734" s="143">
        <v>112783</v>
      </c>
      <c r="D2734" s="142" t="s">
        <v>15294</v>
      </c>
      <c r="E2734" s="144">
        <v>1041.8</v>
      </c>
      <c r="F2734" s="145">
        <v>42876</v>
      </c>
      <c r="G2734" s="146">
        <v>1041.8</v>
      </c>
      <c r="H2734" s="138">
        <f t="shared" si="43"/>
        <v>0</v>
      </c>
      <c r="I2734" s="147" t="s">
        <v>15214</v>
      </c>
    </row>
    <row r="2735" spans="1:10" x14ac:dyDescent="0.25">
      <c r="A2735" s="168" t="s">
        <v>18229</v>
      </c>
      <c r="B2735" s="136" t="s">
        <v>18281</v>
      </c>
      <c r="C2735" s="137">
        <v>112784</v>
      </c>
      <c r="D2735" s="136" t="s">
        <v>15315</v>
      </c>
      <c r="E2735" s="138">
        <v>367</v>
      </c>
      <c r="F2735" s="139">
        <v>42876</v>
      </c>
      <c r="G2735" s="140">
        <v>367</v>
      </c>
      <c r="H2735" s="138">
        <f t="shared" si="43"/>
        <v>0</v>
      </c>
      <c r="I2735" s="141" t="s">
        <v>15214</v>
      </c>
    </row>
    <row r="2736" spans="1:10" x14ac:dyDescent="0.25">
      <c r="A2736" s="167" t="s">
        <v>18229</v>
      </c>
      <c r="B2736" s="142" t="s">
        <v>18282</v>
      </c>
      <c r="C2736" s="143">
        <v>112785</v>
      </c>
      <c r="D2736" s="142" t="s">
        <v>15352</v>
      </c>
      <c r="E2736" s="144">
        <v>617.4</v>
      </c>
      <c r="F2736" s="145">
        <v>42876</v>
      </c>
      <c r="G2736" s="146">
        <v>617.4</v>
      </c>
      <c r="H2736" s="138">
        <f t="shared" si="43"/>
        <v>0</v>
      </c>
      <c r="I2736" s="147" t="s">
        <v>15214</v>
      </c>
    </row>
    <row r="2737" spans="1:9" x14ac:dyDescent="0.25">
      <c r="A2737" s="168" t="s">
        <v>18229</v>
      </c>
      <c r="B2737" s="136" t="s">
        <v>18283</v>
      </c>
      <c r="C2737" s="137">
        <v>112786</v>
      </c>
      <c r="D2737" s="136" t="s">
        <v>15315</v>
      </c>
      <c r="E2737" s="138">
        <v>1440</v>
      </c>
      <c r="F2737" s="139">
        <v>42876</v>
      </c>
      <c r="G2737" s="140">
        <v>1440</v>
      </c>
      <c r="H2737" s="138">
        <f t="shared" si="43"/>
        <v>0</v>
      </c>
      <c r="I2737" s="141" t="s">
        <v>15214</v>
      </c>
    </row>
    <row r="2738" spans="1:9" x14ac:dyDescent="0.25">
      <c r="A2738" s="167" t="s">
        <v>18229</v>
      </c>
      <c r="B2738" s="142" t="s">
        <v>18284</v>
      </c>
      <c r="C2738" s="143">
        <v>112787</v>
      </c>
      <c r="D2738" s="142" t="s">
        <v>15267</v>
      </c>
      <c r="E2738" s="144">
        <v>14695</v>
      </c>
      <c r="F2738" s="145">
        <v>42876</v>
      </c>
      <c r="G2738" s="146">
        <v>14695</v>
      </c>
      <c r="H2738" s="138">
        <f t="shared" si="43"/>
        <v>0</v>
      </c>
      <c r="I2738" s="147" t="s">
        <v>15214</v>
      </c>
    </row>
    <row r="2739" spans="1:9" x14ac:dyDescent="0.25">
      <c r="A2739" s="168" t="s">
        <v>18229</v>
      </c>
      <c r="B2739" s="136" t="s">
        <v>18285</v>
      </c>
      <c r="C2739" s="137">
        <v>112788</v>
      </c>
      <c r="D2739" s="136" t="s">
        <v>15442</v>
      </c>
      <c r="E2739" s="138">
        <v>4311.8</v>
      </c>
      <c r="F2739" s="139">
        <v>42876</v>
      </c>
      <c r="G2739" s="140">
        <v>4311.8</v>
      </c>
      <c r="H2739" s="138">
        <f t="shared" si="43"/>
        <v>0</v>
      </c>
      <c r="I2739" s="141" t="s">
        <v>15214</v>
      </c>
    </row>
    <row r="2740" spans="1:9" x14ac:dyDescent="0.25">
      <c r="A2740" s="167" t="s">
        <v>18229</v>
      </c>
      <c r="B2740" s="142" t="s">
        <v>18286</v>
      </c>
      <c r="C2740" s="143">
        <v>112789</v>
      </c>
      <c r="D2740" s="142" t="s">
        <v>15315</v>
      </c>
      <c r="E2740" s="144">
        <v>142.80000000000001</v>
      </c>
      <c r="F2740" s="145">
        <v>42876</v>
      </c>
      <c r="G2740" s="146">
        <v>142.80000000000001</v>
      </c>
      <c r="H2740" s="138">
        <f t="shared" si="43"/>
        <v>0</v>
      </c>
      <c r="I2740" s="147" t="s">
        <v>15214</v>
      </c>
    </row>
    <row r="2741" spans="1:9" x14ac:dyDescent="0.25">
      <c r="A2741" s="168" t="s">
        <v>18229</v>
      </c>
      <c r="B2741" s="136" t="s">
        <v>18287</v>
      </c>
      <c r="C2741" s="137">
        <v>112790</v>
      </c>
      <c r="D2741" s="136" t="s">
        <v>15391</v>
      </c>
      <c r="E2741" s="138">
        <v>8450.7999999999993</v>
      </c>
      <c r="F2741" s="139">
        <v>42877</v>
      </c>
      <c r="G2741" s="140">
        <v>8450.7999999999993</v>
      </c>
      <c r="H2741" s="138">
        <f t="shared" si="43"/>
        <v>0</v>
      </c>
      <c r="I2741" s="141" t="s">
        <v>15214</v>
      </c>
    </row>
    <row r="2742" spans="1:9" x14ac:dyDescent="0.25">
      <c r="A2742" s="167" t="s">
        <v>18229</v>
      </c>
      <c r="B2742" s="142" t="s">
        <v>18288</v>
      </c>
      <c r="C2742" s="143">
        <v>112791</v>
      </c>
      <c r="D2742" s="142" t="s">
        <v>15868</v>
      </c>
      <c r="E2742" s="144">
        <v>11584.8</v>
      </c>
      <c r="F2742" s="145">
        <v>42877</v>
      </c>
      <c r="G2742" s="146">
        <v>11584.8</v>
      </c>
      <c r="H2742" s="138">
        <f t="shared" si="43"/>
        <v>0</v>
      </c>
      <c r="I2742" s="147" t="s">
        <v>15214</v>
      </c>
    </row>
    <row r="2743" spans="1:9" x14ac:dyDescent="0.25">
      <c r="A2743" s="168" t="s">
        <v>18229</v>
      </c>
      <c r="B2743" s="136" t="s">
        <v>18289</v>
      </c>
      <c r="C2743" s="137">
        <v>112792</v>
      </c>
      <c r="D2743" s="136" t="s">
        <v>15385</v>
      </c>
      <c r="E2743" s="138">
        <v>10205</v>
      </c>
      <c r="F2743" s="139">
        <v>42877</v>
      </c>
      <c r="G2743" s="140">
        <v>10205</v>
      </c>
      <c r="H2743" s="138">
        <f t="shared" si="43"/>
        <v>0</v>
      </c>
      <c r="I2743" s="141" t="s">
        <v>15214</v>
      </c>
    </row>
    <row r="2744" spans="1:9" x14ac:dyDescent="0.25">
      <c r="A2744" s="167" t="s">
        <v>18229</v>
      </c>
      <c r="B2744" s="142" t="s">
        <v>18290</v>
      </c>
      <c r="C2744" s="143">
        <v>112793</v>
      </c>
      <c r="D2744" s="142" t="s">
        <v>15725</v>
      </c>
      <c r="E2744" s="144">
        <v>5288.4</v>
      </c>
      <c r="F2744" s="145">
        <v>42884</v>
      </c>
      <c r="G2744" s="146">
        <v>5288.4</v>
      </c>
      <c r="H2744" s="138">
        <f t="shared" si="43"/>
        <v>0</v>
      </c>
      <c r="I2744" s="147" t="s">
        <v>15214</v>
      </c>
    </row>
    <row r="2745" spans="1:9" x14ac:dyDescent="0.25">
      <c r="A2745" s="168" t="s">
        <v>18229</v>
      </c>
      <c r="B2745" s="136" t="s">
        <v>18291</v>
      </c>
      <c r="C2745" s="137">
        <v>112794</v>
      </c>
      <c r="D2745" s="136" t="s">
        <v>15590</v>
      </c>
      <c r="E2745" s="138">
        <v>14103.6</v>
      </c>
      <c r="F2745" s="139">
        <v>42880</v>
      </c>
      <c r="G2745" s="140">
        <v>14103.6</v>
      </c>
      <c r="H2745" s="138">
        <f t="shared" si="43"/>
        <v>0</v>
      </c>
      <c r="I2745" s="141" t="s">
        <v>15214</v>
      </c>
    </row>
    <row r="2746" spans="1:9" x14ac:dyDescent="0.25">
      <c r="A2746" s="167" t="s">
        <v>18229</v>
      </c>
      <c r="B2746" s="142" t="s">
        <v>18292</v>
      </c>
      <c r="C2746" s="143">
        <v>112795</v>
      </c>
      <c r="D2746" s="142" t="s">
        <v>15628</v>
      </c>
      <c r="E2746" s="144">
        <v>14729.3</v>
      </c>
      <c r="F2746" s="145">
        <v>42882</v>
      </c>
      <c r="G2746" s="146">
        <v>14729.3</v>
      </c>
      <c r="H2746" s="138">
        <f t="shared" si="43"/>
        <v>0</v>
      </c>
      <c r="I2746" s="147" t="s">
        <v>15214</v>
      </c>
    </row>
    <row r="2747" spans="1:9" ht="15.75" x14ac:dyDescent="0.25">
      <c r="A2747" s="168" t="s">
        <v>18229</v>
      </c>
      <c r="B2747" s="136" t="s">
        <v>18293</v>
      </c>
      <c r="C2747" s="137">
        <v>112796</v>
      </c>
      <c r="D2747" s="136" t="s">
        <v>15435</v>
      </c>
      <c r="E2747" s="138">
        <v>0</v>
      </c>
      <c r="F2747" s="153" t="s">
        <v>95</v>
      </c>
      <c r="G2747" s="138">
        <v>0</v>
      </c>
      <c r="H2747" s="138">
        <f t="shared" si="43"/>
        <v>0</v>
      </c>
      <c r="I2747" s="141" t="s">
        <v>95</v>
      </c>
    </row>
    <row r="2748" spans="1:9" x14ac:dyDescent="0.25">
      <c r="A2748" s="167" t="s">
        <v>18229</v>
      </c>
      <c r="B2748" s="142" t="s">
        <v>18294</v>
      </c>
      <c r="C2748" s="143">
        <v>112797</v>
      </c>
      <c r="D2748" s="142" t="s">
        <v>15435</v>
      </c>
      <c r="E2748" s="144">
        <v>9207.2000000000007</v>
      </c>
      <c r="F2748" s="145">
        <v>42876</v>
      </c>
      <c r="G2748" s="146">
        <v>9207.2000000000007</v>
      </c>
      <c r="H2748" s="138">
        <f t="shared" si="43"/>
        <v>0</v>
      </c>
      <c r="I2748" s="147" t="s">
        <v>15214</v>
      </c>
    </row>
    <row r="2749" spans="1:9" x14ac:dyDescent="0.25">
      <c r="A2749" s="168" t="s">
        <v>18229</v>
      </c>
      <c r="B2749" s="136" t="s">
        <v>18295</v>
      </c>
      <c r="C2749" s="137">
        <v>112798</v>
      </c>
      <c r="D2749" s="136" t="s">
        <v>15250</v>
      </c>
      <c r="E2749" s="138">
        <v>12273.9</v>
      </c>
      <c r="F2749" s="139">
        <v>42886</v>
      </c>
      <c r="G2749" s="140">
        <v>12273.9</v>
      </c>
      <c r="H2749" s="138">
        <f t="shared" si="43"/>
        <v>0</v>
      </c>
      <c r="I2749" s="141" t="s">
        <v>15214</v>
      </c>
    </row>
    <row r="2750" spans="1:9" x14ac:dyDescent="0.25">
      <c r="A2750" s="167" t="s">
        <v>18229</v>
      </c>
      <c r="B2750" s="142" t="s">
        <v>18296</v>
      </c>
      <c r="C2750" s="143">
        <v>112799</v>
      </c>
      <c r="D2750" s="142" t="s">
        <v>16126</v>
      </c>
      <c r="E2750" s="144">
        <v>486.4</v>
      </c>
      <c r="F2750" s="145">
        <v>42876</v>
      </c>
      <c r="G2750" s="146">
        <v>486.4</v>
      </c>
      <c r="H2750" s="138">
        <f t="shared" si="43"/>
        <v>0</v>
      </c>
      <c r="I2750" s="147" t="s">
        <v>15214</v>
      </c>
    </row>
    <row r="2751" spans="1:9" ht="15.75" x14ac:dyDescent="0.25">
      <c r="A2751" s="168" t="s">
        <v>18229</v>
      </c>
      <c r="B2751" s="136" t="s">
        <v>18297</v>
      </c>
      <c r="C2751" s="137">
        <v>112800</v>
      </c>
      <c r="D2751" s="136" t="s">
        <v>15541</v>
      </c>
      <c r="E2751" s="138">
        <v>0</v>
      </c>
      <c r="F2751" s="153" t="s">
        <v>95</v>
      </c>
      <c r="G2751" s="138">
        <v>0</v>
      </c>
      <c r="H2751" s="138">
        <f t="shared" si="43"/>
        <v>0</v>
      </c>
      <c r="I2751" s="141" t="s">
        <v>95</v>
      </c>
    </row>
    <row r="2752" spans="1:9" ht="15.75" x14ac:dyDescent="0.25">
      <c r="A2752" s="167" t="s">
        <v>18229</v>
      </c>
      <c r="B2752" s="142" t="s">
        <v>18298</v>
      </c>
      <c r="C2752" s="143">
        <v>112801</v>
      </c>
      <c r="D2752" s="142" t="s">
        <v>15541</v>
      </c>
      <c r="E2752" s="144">
        <v>0</v>
      </c>
      <c r="F2752" s="156" t="s">
        <v>95</v>
      </c>
      <c r="G2752" s="144">
        <v>0</v>
      </c>
      <c r="H2752" s="138">
        <f t="shared" si="43"/>
        <v>0</v>
      </c>
      <c r="I2752" s="147" t="s">
        <v>95</v>
      </c>
    </row>
    <row r="2753" spans="1:9" x14ac:dyDescent="0.25">
      <c r="A2753" s="168" t="s">
        <v>18229</v>
      </c>
      <c r="B2753" s="136" t="s">
        <v>18299</v>
      </c>
      <c r="C2753" s="137">
        <v>112802</v>
      </c>
      <c r="D2753" s="136" t="s">
        <v>15541</v>
      </c>
      <c r="E2753" s="138">
        <v>2544.8000000000002</v>
      </c>
      <c r="F2753" s="139">
        <v>42877</v>
      </c>
      <c r="G2753" s="140">
        <v>2544.8000000000002</v>
      </c>
      <c r="H2753" s="138">
        <f t="shared" si="43"/>
        <v>0</v>
      </c>
      <c r="I2753" s="141" t="s">
        <v>15214</v>
      </c>
    </row>
    <row r="2754" spans="1:9" x14ac:dyDescent="0.25">
      <c r="A2754" s="167" t="s">
        <v>18300</v>
      </c>
      <c r="B2754" s="142" t="s">
        <v>18301</v>
      </c>
      <c r="C2754" s="143">
        <v>112803</v>
      </c>
      <c r="D2754" s="142" t="s">
        <v>15213</v>
      </c>
      <c r="E2754" s="144">
        <v>9352.2999999999993</v>
      </c>
      <c r="F2754" s="145">
        <v>42877</v>
      </c>
      <c r="G2754" s="146">
        <v>9352.2999999999993</v>
      </c>
      <c r="H2754" s="138">
        <f t="shared" si="43"/>
        <v>0</v>
      </c>
      <c r="I2754" s="147" t="s">
        <v>15214</v>
      </c>
    </row>
    <row r="2755" spans="1:9" x14ac:dyDescent="0.25">
      <c r="A2755" s="168" t="s">
        <v>18300</v>
      </c>
      <c r="B2755" s="136" t="s">
        <v>18302</v>
      </c>
      <c r="C2755" s="137">
        <v>112804</v>
      </c>
      <c r="D2755" s="136" t="s">
        <v>15213</v>
      </c>
      <c r="E2755" s="138">
        <v>25837.4</v>
      </c>
      <c r="F2755" s="139" t="s">
        <v>18303</v>
      </c>
      <c r="G2755" s="140">
        <f>24500+1337.4</f>
        <v>25837.4</v>
      </c>
      <c r="H2755" s="138">
        <f t="shared" si="43"/>
        <v>0</v>
      </c>
      <c r="I2755" s="141" t="s">
        <v>15214</v>
      </c>
    </row>
    <row r="2756" spans="1:9" x14ac:dyDescent="0.25">
      <c r="A2756" s="167" t="s">
        <v>18300</v>
      </c>
      <c r="B2756" s="142" t="s">
        <v>18304</v>
      </c>
      <c r="C2756" s="143">
        <v>112805</v>
      </c>
      <c r="D2756" s="142" t="s">
        <v>16522</v>
      </c>
      <c r="E2756" s="144">
        <v>7301.8</v>
      </c>
      <c r="F2756" s="145">
        <v>42926</v>
      </c>
      <c r="G2756" s="146">
        <v>7301.8</v>
      </c>
      <c r="H2756" s="138">
        <f t="shared" si="43"/>
        <v>0</v>
      </c>
      <c r="I2756" s="147" t="s">
        <v>15214</v>
      </c>
    </row>
    <row r="2757" spans="1:9" x14ac:dyDescent="0.25">
      <c r="A2757" s="168" t="s">
        <v>18300</v>
      </c>
      <c r="B2757" s="136" t="s">
        <v>18305</v>
      </c>
      <c r="C2757" s="137">
        <v>112806</v>
      </c>
      <c r="D2757" s="136" t="s">
        <v>15216</v>
      </c>
      <c r="E2757" s="138">
        <v>2807.2</v>
      </c>
      <c r="F2757" s="139">
        <v>42877</v>
      </c>
      <c r="G2757" s="140">
        <v>2807.2</v>
      </c>
      <c r="H2757" s="138">
        <f t="shared" si="43"/>
        <v>0</v>
      </c>
      <c r="I2757" s="141" t="s">
        <v>15214</v>
      </c>
    </row>
    <row r="2758" spans="1:9" x14ac:dyDescent="0.25">
      <c r="A2758" s="167" t="s">
        <v>18300</v>
      </c>
      <c r="B2758" s="142" t="s">
        <v>18306</v>
      </c>
      <c r="C2758" s="143">
        <v>112807</v>
      </c>
      <c r="D2758" s="142" t="s">
        <v>15407</v>
      </c>
      <c r="E2758" s="144">
        <v>13529.9</v>
      </c>
      <c r="F2758" s="145">
        <v>42877</v>
      </c>
      <c r="G2758" s="146">
        <v>13529.9</v>
      </c>
      <c r="H2758" s="138">
        <f t="shared" si="43"/>
        <v>0</v>
      </c>
      <c r="I2758" s="147" t="s">
        <v>15214</v>
      </c>
    </row>
    <row r="2759" spans="1:9" x14ac:dyDescent="0.25">
      <c r="A2759" s="168" t="s">
        <v>18300</v>
      </c>
      <c r="B2759" s="136" t="s">
        <v>18307</v>
      </c>
      <c r="C2759" s="137">
        <v>112808</v>
      </c>
      <c r="D2759" s="136" t="s">
        <v>15655</v>
      </c>
      <c r="E2759" s="138">
        <v>4147</v>
      </c>
      <c r="F2759" s="139">
        <v>42877</v>
      </c>
      <c r="G2759" s="140">
        <v>4147</v>
      </c>
      <c r="H2759" s="138">
        <f t="shared" ref="H2759:H2822" si="44">E2759-G2759</f>
        <v>0</v>
      </c>
      <c r="I2759" s="141" t="s">
        <v>15214</v>
      </c>
    </row>
    <row r="2760" spans="1:9" x14ac:dyDescent="0.25">
      <c r="A2760" s="167" t="s">
        <v>18300</v>
      </c>
      <c r="B2760" s="142" t="s">
        <v>18308</v>
      </c>
      <c r="C2760" s="143">
        <v>112809</v>
      </c>
      <c r="D2760" s="142" t="s">
        <v>15232</v>
      </c>
      <c r="E2760" s="144">
        <v>6066.3</v>
      </c>
      <c r="F2760" s="145">
        <v>42880</v>
      </c>
      <c r="G2760" s="146">
        <v>6066.3</v>
      </c>
      <c r="H2760" s="138">
        <f t="shared" si="44"/>
        <v>0</v>
      </c>
      <c r="I2760" s="147" t="s">
        <v>15214</v>
      </c>
    </row>
    <row r="2761" spans="1:9" x14ac:dyDescent="0.25">
      <c r="A2761" s="168" t="s">
        <v>18300</v>
      </c>
      <c r="B2761" s="136" t="s">
        <v>18309</v>
      </c>
      <c r="C2761" s="137">
        <v>112810</v>
      </c>
      <c r="D2761" s="136" t="s">
        <v>15230</v>
      </c>
      <c r="E2761" s="138">
        <v>8920.6</v>
      </c>
      <c r="F2761" s="139">
        <v>42879</v>
      </c>
      <c r="G2761" s="140">
        <v>8920.6</v>
      </c>
      <c r="H2761" s="138">
        <f t="shared" si="44"/>
        <v>0</v>
      </c>
      <c r="I2761" s="141" t="s">
        <v>15214</v>
      </c>
    </row>
    <row r="2762" spans="1:9" x14ac:dyDescent="0.25">
      <c r="A2762" s="167" t="s">
        <v>18300</v>
      </c>
      <c r="B2762" s="142" t="s">
        <v>18310</v>
      </c>
      <c r="C2762" s="143">
        <v>112811</v>
      </c>
      <c r="D2762" s="142" t="s">
        <v>15223</v>
      </c>
      <c r="E2762" s="144">
        <v>48584.800000000003</v>
      </c>
      <c r="F2762" s="148">
        <v>42891</v>
      </c>
      <c r="G2762" s="149">
        <v>48584.800000000003</v>
      </c>
      <c r="H2762" s="138">
        <f t="shared" si="44"/>
        <v>0</v>
      </c>
      <c r="I2762" s="147" t="s">
        <v>15214</v>
      </c>
    </row>
    <row r="2763" spans="1:9" x14ac:dyDescent="0.25">
      <c r="A2763" s="168" t="s">
        <v>18300</v>
      </c>
      <c r="B2763" s="136" t="s">
        <v>18311</v>
      </c>
      <c r="C2763" s="137">
        <v>112812</v>
      </c>
      <c r="D2763" s="136" t="s">
        <v>15234</v>
      </c>
      <c r="E2763" s="138">
        <v>2988</v>
      </c>
      <c r="F2763" s="139">
        <v>42878</v>
      </c>
      <c r="G2763" s="140">
        <v>2988</v>
      </c>
      <c r="H2763" s="138">
        <f t="shared" si="44"/>
        <v>0</v>
      </c>
      <c r="I2763" s="141" t="s">
        <v>15214</v>
      </c>
    </row>
    <row r="2764" spans="1:9" x14ac:dyDescent="0.25">
      <c r="A2764" s="167" t="s">
        <v>18300</v>
      </c>
      <c r="B2764" s="142" t="s">
        <v>18312</v>
      </c>
      <c r="C2764" s="143">
        <v>112813</v>
      </c>
      <c r="D2764" s="142" t="s">
        <v>15252</v>
      </c>
      <c r="E2764" s="144">
        <v>6106.5</v>
      </c>
      <c r="F2764" s="145">
        <v>42882</v>
      </c>
      <c r="G2764" s="146">
        <v>6106.5</v>
      </c>
      <c r="H2764" s="138">
        <f t="shared" si="44"/>
        <v>0</v>
      </c>
      <c r="I2764" s="147" t="s">
        <v>15214</v>
      </c>
    </row>
    <row r="2765" spans="1:9" ht="15.75" x14ac:dyDescent="0.25">
      <c r="A2765" s="168" t="s">
        <v>18300</v>
      </c>
      <c r="B2765" s="136" t="s">
        <v>18313</v>
      </c>
      <c r="C2765" s="137">
        <v>112814</v>
      </c>
      <c r="D2765" s="136" t="s">
        <v>15242</v>
      </c>
      <c r="E2765" s="138">
        <v>0</v>
      </c>
      <c r="F2765" s="153" t="s">
        <v>95</v>
      </c>
      <c r="G2765" s="138">
        <v>0</v>
      </c>
      <c r="H2765" s="138">
        <f t="shared" si="44"/>
        <v>0</v>
      </c>
      <c r="I2765" s="141" t="s">
        <v>95</v>
      </c>
    </row>
    <row r="2766" spans="1:9" x14ac:dyDescent="0.25">
      <c r="A2766" s="167" t="s">
        <v>18300</v>
      </c>
      <c r="B2766" s="142" t="s">
        <v>18314</v>
      </c>
      <c r="C2766" s="143">
        <v>112815</v>
      </c>
      <c r="D2766" s="142" t="s">
        <v>15240</v>
      </c>
      <c r="E2766" s="144">
        <v>2992.5</v>
      </c>
      <c r="F2766" s="145">
        <v>42879</v>
      </c>
      <c r="G2766" s="146">
        <v>2992.5</v>
      </c>
      <c r="H2766" s="138">
        <f t="shared" si="44"/>
        <v>0</v>
      </c>
      <c r="I2766" s="147" t="s">
        <v>15214</v>
      </c>
    </row>
    <row r="2767" spans="1:9" x14ac:dyDescent="0.25">
      <c r="A2767" s="168" t="s">
        <v>18300</v>
      </c>
      <c r="B2767" s="136" t="s">
        <v>18315</v>
      </c>
      <c r="C2767" s="137">
        <v>112816</v>
      </c>
      <c r="D2767" s="136" t="s">
        <v>15242</v>
      </c>
      <c r="E2767" s="138">
        <v>5076</v>
      </c>
      <c r="F2767" s="139">
        <v>42877</v>
      </c>
      <c r="G2767" s="140">
        <v>5076</v>
      </c>
      <c r="H2767" s="138">
        <f t="shared" si="44"/>
        <v>0</v>
      </c>
      <c r="I2767" s="141" t="s">
        <v>15214</v>
      </c>
    </row>
    <row r="2768" spans="1:9" x14ac:dyDescent="0.25">
      <c r="A2768" s="167" t="s">
        <v>18300</v>
      </c>
      <c r="B2768" s="142" t="s">
        <v>18316</v>
      </c>
      <c r="C2768" s="143">
        <v>112817</v>
      </c>
      <c r="D2768" s="142" t="s">
        <v>15244</v>
      </c>
      <c r="E2768" s="144">
        <v>21943.4</v>
      </c>
      <c r="F2768" s="145">
        <v>42882</v>
      </c>
      <c r="G2768" s="146">
        <v>21943.4</v>
      </c>
      <c r="H2768" s="138">
        <f t="shared" si="44"/>
        <v>0</v>
      </c>
      <c r="I2768" s="147" t="s">
        <v>15214</v>
      </c>
    </row>
    <row r="2769" spans="1:9" x14ac:dyDescent="0.25">
      <c r="A2769" s="168" t="s">
        <v>18300</v>
      </c>
      <c r="B2769" s="136" t="s">
        <v>18317</v>
      </c>
      <c r="C2769" s="137">
        <v>112818</v>
      </c>
      <c r="D2769" s="136" t="s">
        <v>15348</v>
      </c>
      <c r="E2769" s="138">
        <v>2929.5</v>
      </c>
      <c r="F2769" s="139">
        <v>42879</v>
      </c>
      <c r="G2769" s="140">
        <v>2929.5</v>
      </c>
      <c r="H2769" s="138">
        <f t="shared" si="44"/>
        <v>0</v>
      </c>
      <c r="I2769" s="141" t="s">
        <v>15214</v>
      </c>
    </row>
    <row r="2770" spans="1:9" x14ac:dyDescent="0.25">
      <c r="A2770" s="167" t="s">
        <v>18300</v>
      </c>
      <c r="B2770" s="142" t="s">
        <v>18318</v>
      </c>
      <c r="C2770" s="143">
        <v>112819</v>
      </c>
      <c r="D2770" s="142" t="s">
        <v>15263</v>
      </c>
      <c r="E2770" s="144">
        <v>3063.2</v>
      </c>
      <c r="F2770" s="145">
        <v>42877</v>
      </c>
      <c r="G2770" s="146">
        <v>3063.2</v>
      </c>
      <c r="H2770" s="138">
        <f t="shared" si="44"/>
        <v>0</v>
      </c>
      <c r="I2770" s="147" t="s">
        <v>15214</v>
      </c>
    </row>
    <row r="2771" spans="1:9" x14ac:dyDescent="0.25">
      <c r="A2771" s="168" t="s">
        <v>18300</v>
      </c>
      <c r="B2771" s="136" t="s">
        <v>18319</v>
      </c>
      <c r="C2771" s="137">
        <v>112820</v>
      </c>
      <c r="D2771" s="136" t="s">
        <v>15258</v>
      </c>
      <c r="E2771" s="138">
        <v>12189.6</v>
      </c>
      <c r="F2771" s="139" t="s">
        <v>18320</v>
      </c>
      <c r="G2771" s="140">
        <f>8200+3989.6</f>
        <v>12189.6</v>
      </c>
      <c r="H2771" s="138">
        <f t="shared" si="44"/>
        <v>0</v>
      </c>
      <c r="I2771" s="141" t="s">
        <v>15214</v>
      </c>
    </row>
    <row r="2772" spans="1:9" x14ac:dyDescent="0.25">
      <c r="A2772" s="167" t="s">
        <v>18300</v>
      </c>
      <c r="B2772" s="142" t="s">
        <v>18321</v>
      </c>
      <c r="C2772" s="143">
        <v>112821</v>
      </c>
      <c r="D2772" s="142" t="s">
        <v>15338</v>
      </c>
      <c r="E2772" s="144">
        <v>10471.9</v>
      </c>
      <c r="F2772" s="145">
        <v>42884</v>
      </c>
      <c r="G2772" s="146">
        <v>10471.9</v>
      </c>
      <c r="H2772" s="138">
        <f t="shared" si="44"/>
        <v>0</v>
      </c>
      <c r="I2772" s="147" t="s">
        <v>15214</v>
      </c>
    </row>
    <row r="2773" spans="1:9" x14ac:dyDescent="0.25">
      <c r="A2773" s="168" t="s">
        <v>18300</v>
      </c>
      <c r="B2773" s="136" t="s">
        <v>18322</v>
      </c>
      <c r="C2773" s="137">
        <v>112822</v>
      </c>
      <c r="D2773" s="136" t="s">
        <v>15226</v>
      </c>
      <c r="E2773" s="138">
        <v>1632</v>
      </c>
      <c r="F2773" s="139">
        <v>42884</v>
      </c>
      <c r="G2773" s="140">
        <v>1632</v>
      </c>
      <c r="H2773" s="138">
        <f t="shared" si="44"/>
        <v>0</v>
      </c>
      <c r="I2773" s="141" t="s">
        <v>15214</v>
      </c>
    </row>
    <row r="2774" spans="1:9" x14ac:dyDescent="0.25">
      <c r="A2774" s="167" t="s">
        <v>18300</v>
      </c>
      <c r="B2774" s="142" t="s">
        <v>18323</v>
      </c>
      <c r="C2774" s="143">
        <v>112823</v>
      </c>
      <c r="D2774" s="142" t="s">
        <v>5575</v>
      </c>
      <c r="E2774" s="144">
        <v>6999.2</v>
      </c>
      <c r="F2774" s="145">
        <v>42878</v>
      </c>
      <c r="G2774" s="146">
        <v>6999.2</v>
      </c>
      <c r="H2774" s="138">
        <f t="shared" si="44"/>
        <v>0</v>
      </c>
      <c r="I2774" s="147" t="s">
        <v>15214</v>
      </c>
    </row>
    <row r="2775" spans="1:9" x14ac:dyDescent="0.25">
      <c r="A2775" s="168" t="s">
        <v>18300</v>
      </c>
      <c r="B2775" s="136" t="s">
        <v>18324</v>
      </c>
      <c r="C2775" s="137">
        <v>112824</v>
      </c>
      <c r="D2775" s="136" t="s">
        <v>15274</v>
      </c>
      <c r="E2775" s="138">
        <v>720</v>
      </c>
      <c r="F2775" s="139">
        <v>42877</v>
      </c>
      <c r="G2775" s="140">
        <v>720</v>
      </c>
      <c r="H2775" s="138">
        <f t="shared" si="44"/>
        <v>0</v>
      </c>
      <c r="I2775" s="141" t="s">
        <v>15214</v>
      </c>
    </row>
    <row r="2776" spans="1:9" x14ac:dyDescent="0.25">
      <c r="A2776" s="167" t="s">
        <v>18300</v>
      </c>
      <c r="B2776" s="142" t="s">
        <v>18325</v>
      </c>
      <c r="C2776" s="143">
        <v>112825</v>
      </c>
      <c r="D2776" s="142" t="s">
        <v>15272</v>
      </c>
      <c r="E2776" s="144">
        <v>15082.8</v>
      </c>
      <c r="F2776" s="145">
        <v>42877</v>
      </c>
      <c r="G2776" s="146">
        <v>15082.8</v>
      </c>
      <c r="H2776" s="138">
        <f t="shared" si="44"/>
        <v>0</v>
      </c>
      <c r="I2776" s="147" t="s">
        <v>15214</v>
      </c>
    </row>
    <row r="2777" spans="1:9" x14ac:dyDescent="0.25">
      <c r="A2777" s="168" t="s">
        <v>18300</v>
      </c>
      <c r="B2777" s="136" t="s">
        <v>18326</v>
      </c>
      <c r="C2777" s="137">
        <v>112826</v>
      </c>
      <c r="D2777" s="136" t="s">
        <v>15220</v>
      </c>
      <c r="E2777" s="138">
        <v>2400</v>
      </c>
      <c r="F2777" s="139">
        <v>42877</v>
      </c>
      <c r="G2777" s="140">
        <v>2400</v>
      </c>
      <c r="H2777" s="138">
        <f t="shared" si="44"/>
        <v>0</v>
      </c>
      <c r="I2777" s="141" t="s">
        <v>15214</v>
      </c>
    </row>
    <row r="2778" spans="1:9" x14ac:dyDescent="0.25">
      <c r="A2778" s="167" t="s">
        <v>18300</v>
      </c>
      <c r="B2778" s="142" t="s">
        <v>18327</v>
      </c>
      <c r="C2778" s="143">
        <v>112827</v>
      </c>
      <c r="D2778" s="142" t="s">
        <v>15324</v>
      </c>
      <c r="E2778" s="144">
        <v>1154.4000000000001</v>
      </c>
      <c r="F2778" s="145">
        <v>42877</v>
      </c>
      <c r="G2778" s="146">
        <v>1154.4000000000001</v>
      </c>
      <c r="H2778" s="138">
        <f t="shared" si="44"/>
        <v>0</v>
      </c>
      <c r="I2778" s="147" t="s">
        <v>15214</v>
      </c>
    </row>
    <row r="2779" spans="1:9" x14ac:dyDescent="0.25">
      <c r="A2779" s="168" t="s">
        <v>18300</v>
      </c>
      <c r="B2779" s="136" t="s">
        <v>18328</v>
      </c>
      <c r="C2779" s="137">
        <v>112828</v>
      </c>
      <c r="D2779" s="136" t="s">
        <v>15258</v>
      </c>
      <c r="E2779" s="138">
        <v>3247.2</v>
      </c>
      <c r="F2779" s="139">
        <v>42878</v>
      </c>
      <c r="G2779" s="140">
        <v>3247.2</v>
      </c>
      <c r="H2779" s="138">
        <f t="shared" si="44"/>
        <v>0</v>
      </c>
      <c r="I2779" s="141" t="s">
        <v>15214</v>
      </c>
    </row>
    <row r="2780" spans="1:9" x14ac:dyDescent="0.25">
      <c r="A2780" s="167" t="s">
        <v>18300</v>
      </c>
      <c r="B2780" s="142" t="s">
        <v>18329</v>
      </c>
      <c r="C2780" s="143">
        <v>112829</v>
      </c>
      <c r="D2780" s="142" t="s">
        <v>15330</v>
      </c>
      <c r="E2780" s="144">
        <v>2930.2</v>
      </c>
      <c r="F2780" s="145">
        <v>42877</v>
      </c>
      <c r="G2780" s="146">
        <v>2930.2</v>
      </c>
      <c r="H2780" s="138">
        <f t="shared" si="44"/>
        <v>0</v>
      </c>
      <c r="I2780" s="147" t="s">
        <v>15214</v>
      </c>
    </row>
    <row r="2781" spans="1:9" x14ac:dyDescent="0.25">
      <c r="A2781" s="168" t="s">
        <v>18300</v>
      </c>
      <c r="B2781" s="136" t="s">
        <v>18330</v>
      </c>
      <c r="C2781" s="137">
        <v>112830</v>
      </c>
      <c r="D2781" s="136" t="s">
        <v>15480</v>
      </c>
      <c r="E2781" s="138">
        <v>3397.2</v>
      </c>
      <c r="F2781" s="139">
        <v>42878</v>
      </c>
      <c r="G2781" s="140">
        <v>3397.2</v>
      </c>
      <c r="H2781" s="138">
        <f t="shared" si="44"/>
        <v>0</v>
      </c>
      <c r="I2781" s="141" t="s">
        <v>15214</v>
      </c>
    </row>
    <row r="2782" spans="1:9" x14ac:dyDescent="0.25">
      <c r="A2782" s="167" t="s">
        <v>18300</v>
      </c>
      <c r="B2782" s="142" t="s">
        <v>18331</v>
      </c>
      <c r="C2782" s="143">
        <v>112831</v>
      </c>
      <c r="D2782" s="142" t="s">
        <v>15246</v>
      </c>
      <c r="E2782" s="144">
        <v>1922.8</v>
      </c>
      <c r="F2782" s="145">
        <v>42879</v>
      </c>
      <c r="G2782" s="146">
        <v>1922.8</v>
      </c>
      <c r="H2782" s="138">
        <f t="shared" si="44"/>
        <v>0</v>
      </c>
      <c r="I2782" s="147" t="s">
        <v>15214</v>
      </c>
    </row>
    <row r="2783" spans="1:9" x14ac:dyDescent="0.25">
      <c r="A2783" s="168" t="s">
        <v>18300</v>
      </c>
      <c r="B2783" s="136" t="s">
        <v>18332</v>
      </c>
      <c r="C2783" s="137">
        <v>112832</v>
      </c>
      <c r="D2783" s="136" t="s">
        <v>15340</v>
      </c>
      <c r="E2783" s="138">
        <v>2580.6</v>
      </c>
      <c r="F2783" s="139">
        <v>42877</v>
      </c>
      <c r="G2783" s="140">
        <v>2580.6</v>
      </c>
      <c r="H2783" s="138">
        <f t="shared" si="44"/>
        <v>0</v>
      </c>
      <c r="I2783" s="141" t="s">
        <v>15214</v>
      </c>
    </row>
    <row r="2784" spans="1:9" x14ac:dyDescent="0.25">
      <c r="A2784" s="167" t="s">
        <v>18300</v>
      </c>
      <c r="B2784" s="142" t="s">
        <v>18333</v>
      </c>
      <c r="C2784" s="143">
        <v>112833</v>
      </c>
      <c r="D2784" s="142" t="s">
        <v>15861</v>
      </c>
      <c r="E2784" s="144">
        <v>1095.0999999999999</v>
      </c>
      <c r="F2784" s="145">
        <v>42877</v>
      </c>
      <c r="G2784" s="146">
        <v>1095.0999999999999</v>
      </c>
      <c r="H2784" s="138">
        <f t="shared" si="44"/>
        <v>0</v>
      </c>
      <c r="I2784" s="147" t="s">
        <v>15214</v>
      </c>
    </row>
    <row r="2785" spans="1:9" x14ac:dyDescent="0.25">
      <c r="A2785" s="168" t="s">
        <v>18300</v>
      </c>
      <c r="B2785" s="136" t="s">
        <v>18334</v>
      </c>
      <c r="C2785" s="137">
        <v>112834</v>
      </c>
      <c r="D2785" s="136" t="s">
        <v>15356</v>
      </c>
      <c r="E2785" s="138">
        <v>374.4</v>
      </c>
      <c r="F2785" s="139">
        <v>42877</v>
      </c>
      <c r="G2785" s="140">
        <v>374.4</v>
      </c>
      <c r="H2785" s="138">
        <f t="shared" si="44"/>
        <v>0</v>
      </c>
      <c r="I2785" s="141" t="s">
        <v>15214</v>
      </c>
    </row>
    <row r="2786" spans="1:9" x14ac:dyDescent="0.25">
      <c r="A2786" s="167" t="s">
        <v>18300</v>
      </c>
      <c r="B2786" s="142" t="s">
        <v>18335</v>
      </c>
      <c r="C2786" s="143">
        <v>112835</v>
      </c>
      <c r="D2786" s="142" t="s">
        <v>15523</v>
      </c>
      <c r="E2786" s="144">
        <v>1200</v>
      </c>
      <c r="F2786" s="145">
        <v>42877</v>
      </c>
      <c r="G2786" s="146">
        <v>1200</v>
      </c>
      <c r="H2786" s="138">
        <f t="shared" si="44"/>
        <v>0</v>
      </c>
      <c r="I2786" s="147" t="s">
        <v>15214</v>
      </c>
    </row>
    <row r="2787" spans="1:9" x14ac:dyDescent="0.25">
      <c r="A2787" s="168" t="s">
        <v>18300</v>
      </c>
      <c r="B2787" s="136" t="s">
        <v>18336</v>
      </c>
      <c r="C2787" s="137">
        <v>112836</v>
      </c>
      <c r="D2787" s="136" t="s">
        <v>15350</v>
      </c>
      <c r="E2787" s="138">
        <v>960</v>
      </c>
      <c r="F2787" s="139">
        <v>42877</v>
      </c>
      <c r="G2787" s="140">
        <v>960</v>
      </c>
      <c r="H2787" s="138">
        <f t="shared" si="44"/>
        <v>0</v>
      </c>
      <c r="I2787" s="141" t="s">
        <v>15214</v>
      </c>
    </row>
    <row r="2788" spans="1:9" x14ac:dyDescent="0.25">
      <c r="A2788" s="167" t="s">
        <v>18300</v>
      </c>
      <c r="B2788" s="142" t="s">
        <v>18337</v>
      </c>
      <c r="C2788" s="143">
        <v>112837</v>
      </c>
      <c r="D2788" s="142" t="s">
        <v>15336</v>
      </c>
      <c r="E2788" s="144">
        <v>4559</v>
      </c>
      <c r="F2788" s="145">
        <v>42877</v>
      </c>
      <c r="G2788" s="146">
        <v>4559</v>
      </c>
      <c r="H2788" s="138">
        <f t="shared" si="44"/>
        <v>0</v>
      </c>
      <c r="I2788" s="147" t="s">
        <v>15214</v>
      </c>
    </row>
    <row r="2789" spans="1:9" x14ac:dyDescent="0.25">
      <c r="A2789" s="168" t="s">
        <v>18300</v>
      </c>
      <c r="B2789" s="136" t="s">
        <v>18338</v>
      </c>
      <c r="C2789" s="137">
        <v>112838</v>
      </c>
      <c r="D2789" s="136" t="s">
        <v>15742</v>
      </c>
      <c r="E2789" s="138">
        <v>2322.6999999999998</v>
      </c>
      <c r="F2789" s="139">
        <v>42877</v>
      </c>
      <c r="G2789" s="140">
        <v>2322.6999999999998</v>
      </c>
      <c r="H2789" s="138">
        <f t="shared" si="44"/>
        <v>0</v>
      </c>
      <c r="I2789" s="141" t="s">
        <v>15214</v>
      </c>
    </row>
    <row r="2790" spans="1:9" x14ac:dyDescent="0.25">
      <c r="A2790" s="167" t="s">
        <v>18300</v>
      </c>
      <c r="B2790" s="142" t="s">
        <v>18339</v>
      </c>
      <c r="C2790" s="143">
        <v>112839</v>
      </c>
      <c r="D2790" s="142" t="s">
        <v>15256</v>
      </c>
      <c r="E2790" s="144">
        <v>4800.6000000000004</v>
      </c>
      <c r="F2790" s="145">
        <v>42878</v>
      </c>
      <c r="G2790" s="146">
        <v>4800.6000000000004</v>
      </c>
      <c r="H2790" s="138">
        <f t="shared" si="44"/>
        <v>0</v>
      </c>
      <c r="I2790" s="147" t="s">
        <v>15214</v>
      </c>
    </row>
    <row r="2791" spans="1:9" x14ac:dyDescent="0.25">
      <c r="A2791" s="168" t="s">
        <v>18300</v>
      </c>
      <c r="B2791" s="136" t="s">
        <v>18340</v>
      </c>
      <c r="C2791" s="137">
        <v>112840</v>
      </c>
      <c r="D2791" s="136" t="s">
        <v>15526</v>
      </c>
      <c r="E2791" s="138">
        <v>5514.3</v>
      </c>
      <c r="F2791" s="139">
        <v>42877</v>
      </c>
      <c r="G2791" s="140">
        <v>5514.3</v>
      </c>
      <c r="H2791" s="138">
        <f t="shared" si="44"/>
        <v>0</v>
      </c>
      <c r="I2791" s="141" t="s">
        <v>15214</v>
      </c>
    </row>
    <row r="2792" spans="1:9" x14ac:dyDescent="0.25">
      <c r="A2792" s="167" t="s">
        <v>18300</v>
      </c>
      <c r="B2792" s="142" t="s">
        <v>18341</v>
      </c>
      <c r="C2792" s="143">
        <v>112841</v>
      </c>
      <c r="D2792" s="142" t="s">
        <v>15344</v>
      </c>
      <c r="E2792" s="144">
        <v>2229.5</v>
      </c>
      <c r="F2792" s="145">
        <v>42877</v>
      </c>
      <c r="G2792" s="146">
        <v>2229.5</v>
      </c>
      <c r="H2792" s="138">
        <f t="shared" si="44"/>
        <v>0</v>
      </c>
      <c r="I2792" s="147" t="s">
        <v>15214</v>
      </c>
    </row>
    <row r="2793" spans="1:9" x14ac:dyDescent="0.25">
      <c r="A2793" s="168" t="s">
        <v>18300</v>
      </c>
      <c r="B2793" s="136" t="s">
        <v>18342</v>
      </c>
      <c r="C2793" s="137">
        <v>112842</v>
      </c>
      <c r="D2793" s="136" t="s">
        <v>15246</v>
      </c>
      <c r="E2793" s="138">
        <v>22547</v>
      </c>
      <c r="F2793" s="139" t="s">
        <v>18343</v>
      </c>
      <c r="G2793" s="140">
        <f>3398.38+19148.62</f>
        <v>22547</v>
      </c>
      <c r="H2793" s="138">
        <f t="shared" si="44"/>
        <v>0</v>
      </c>
      <c r="I2793" s="141" t="s">
        <v>15214</v>
      </c>
    </row>
    <row r="2794" spans="1:9" x14ac:dyDescent="0.25">
      <c r="A2794" s="167" t="s">
        <v>18300</v>
      </c>
      <c r="B2794" s="142" t="s">
        <v>18344</v>
      </c>
      <c r="C2794" s="143">
        <v>112843</v>
      </c>
      <c r="D2794" s="142" t="s">
        <v>15238</v>
      </c>
      <c r="E2794" s="144">
        <v>5806.4</v>
      </c>
      <c r="F2794" s="145">
        <v>42879</v>
      </c>
      <c r="G2794" s="146">
        <v>5806.4</v>
      </c>
      <c r="H2794" s="138">
        <f t="shared" si="44"/>
        <v>0</v>
      </c>
      <c r="I2794" s="147" t="s">
        <v>15214</v>
      </c>
    </row>
    <row r="2795" spans="1:9" x14ac:dyDescent="0.25">
      <c r="A2795" s="168" t="s">
        <v>18300</v>
      </c>
      <c r="B2795" s="136" t="s">
        <v>18345</v>
      </c>
      <c r="C2795" s="137">
        <v>112844</v>
      </c>
      <c r="D2795" s="136" t="s">
        <v>15246</v>
      </c>
      <c r="E2795" s="138">
        <v>233539.20000000001</v>
      </c>
      <c r="F2795" s="139">
        <v>42882</v>
      </c>
      <c r="G2795" s="140">
        <v>233539.20000000001</v>
      </c>
      <c r="H2795" s="138">
        <f t="shared" si="44"/>
        <v>0</v>
      </c>
      <c r="I2795" s="141" t="s">
        <v>15214</v>
      </c>
    </row>
    <row r="2796" spans="1:9" x14ac:dyDescent="0.25">
      <c r="A2796" s="167" t="s">
        <v>18300</v>
      </c>
      <c r="B2796" s="142" t="s">
        <v>18346</v>
      </c>
      <c r="C2796" s="143">
        <v>112845</v>
      </c>
      <c r="D2796" s="142" t="s">
        <v>16484</v>
      </c>
      <c r="E2796" s="144">
        <v>862.4</v>
      </c>
      <c r="F2796" s="145">
        <v>42877</v>
      </c>
      <c r="G2796" s="146">
        <v>862.4</v>
      </c>
      <c r="H2796" s="138">
        <f t="shared" si="44"/>
        <v>0</v>
      </c>
      <c r="I2796" s="147" t="s">
        <v>15214</v>
      </c>
    </row>
    <row r="2797" spans="1:9" x14ac:dyDescent="0.25">
      <c r="A2797" s="168" t="s">
        <v>18300</v>
      </c>
      <c r="B2797" s="136" t="s">
        <v>18347</v>
      </c>
      <c r="C2797" s="137">
        <v>112846</v>
      </c>
      <c r="D2797" s="136" t="s">
        <v>15261</v>
      </c>
      <c r="E2797" s="138">
        <v>22372.32</v>
      </c>
      <c r="F2797" s="139">
        <v>42877</v>
      </c>
      <c r="G2797" s="140">
        <v>22372.32</v>
      </c>
      <c r="H2797" s="138">
        <f t="shared" si="44"/>
        <v>0</v>
      </c>
      <c r="I2797" s="141" t="s">
        <v>15214</v>
      </c>
    </row>
    <row r="2798" spans="1:9" x14ac:dyDescent="0.25">
      <c r="A2798" s="167" t="s">
        <v>18300</v>
      </c>
      <c r="B2798" s="142" t="s">
        <v>18348</v>
      </c>
      <c r="C2798" s="143">
        <v>112847</v>
      </c>
      <c r="D2798" s="142" t="s">
        <v>15248</v>
      </c>
      <c r="E2798" s="144">
        <v>38973.199999999997</v>
      </c>
      <c r="F2798" s="145">
        <v>42877</v>
      </c>
      <c r="G2798" s="146">
        <v>38973.199999999997</v>
      </c>
      <c r="H2798" s="138">
        <f t="shared" si="44"/>
        <v>0</v>
      </c>
      <c r="I2798" s="147" t="s">
        <v>15214</v>
      </c>
    </row>
    <row r="2799" spans="1:9" x14ac:dyDescent="0.25">
      <c r="A2799" s="168" t="s">
        <v>18300</v>
      </c>
      <c r="B2799" s="136" t="s">
        <v>18349</v>
      </c>
      <c r="C2799" s="137">
        <v>112848</v>
      </c>
      <c r="D2799" s="136" t="s">
        <v>15250</v>
      </c>
      <c r="E2799" s="138">
        <v>35456.300000000003</v>
      </c>
      <c r="F2799" s="139">
        <v>42886</v>
      </c>
      <c r="G2799" s="140">
        <v>35456.300000000003</v>
      </c>
      <c r="H2799" s="138">
        <f t="shared" si="44"/>
        <v>0</v>
      </c>
      <c r="I2799" s="141" t="s">
        <v>15214</v>
      </c>
    </row>
    <row r="2800" spans="1:9" x14ac:dyDescent="0.25">
      <c r="A2800" s="167" t="s">
        <v>18300</v>
      </c>
      <c r="B2800" s="142" t="s">
        <v>18350</v>
      </c>
      <c r="C2800" s="143">
        <v>112849</v>
      </c>
      <c r="D2800" s="142" t="s">
        <v>15326</v>
      </c>
      <c r="E2800" s="144">
        <v>2838.9</v>
      </c>
      <c r="F2800" s="145">
        <v>42877</v>
      </c>
      <c r="G2800" s="146">
        <v>2838.9</v>
      </c>
      <c r="H2800" s="138">
        <f t="shared" si="44"/>
        <v>0</v>
      </c>
      <c r="I2800" s="147" t="s">
        <v>15214</v>
      </c>
    </row>
    <row r="2801" spans="1:9" x14ac:dyDescent="0.25">
      <c r="A2801" s="168" t="s">
        <v>18300</v>
      </c>
      <c r="B2801" s="136" t="s">
        <v>18351</v>
      </c>
      <c r="C2801" s="137">
        <v>112850</v>
      </c>
      <c r="D2801" s="136" t="s">
        <v>15398</v>
      </c>
      <c r="E2801" s="138">
        <v>3167.5</v>
      </c>
      <c r="F2801" s="139">
        <v>42877</v>
      </c>
      <c r="G2801" s="140">
        <v>3167.5</v>
      </c>
      <c r="H2801" s="138">
        <f t="shared" si="44"/>
        <v>0</v>
      </c>
      <c r="I2801" s="141" t="s">
        <v>15214</v>
      </c>
    </row>
    <row r="2802" spans="1:9" x14ac:dyDescent="0.25">
      <c r="A2802" s="167" t="s">
        <v>18300</v>
      </c>
      <c r="B2802" s="142" t="s">
        <v>18352</v>
      </c>
      <c r="C2802" s="143">
        <v>112851</v>
      </c>
      <c r="D2802" s="142" t="s">
        <v>15332</v>
      </c>
      <c r="E2802" s="144">
        <v>3474.1</v>
      </c>
      <c r="F2802" s="145">
        <v>42877</v>
      </c>
      <c r="G2802" s="146">
        <v>3474.1</v>
      </c>
      <c r="H2802" s="138">
        <f t="shared" si="44"/>
        <v>0</v>
      </c>
      <c r="I2802" s="147" t="s">
        <v>15214</v>
      </c>
    </row>
    <row r="2803" spans="1:9" x14ac:dyDescent="0.25">
      <c r="A2803" s="168" t="s">
        <v>18300</v>
      </c>
      <c r="B2803" s="136" t="s">
        <v>18353</v>
      </c>
      <c r="C2803" s="137">
        <v>112852</v>
      </c>
      <c r="D2803" s="136" t="s">
        <v>15280</v>
      </c>
      <c r="E2803" s="138">
        <v>5792.8</v>
      </c>
      <c r="F2803" s="139">
        <v>42877</v>
      </c>
      <c r="G2803" s="140">
        <v>5792.8</v>
      </c>
      <c r="H2803" s="138">
        <f t="shared" si="44"/>
        <v>0</v>
      </c>
      <c r="I2803" s="141" t="s">
        <v>15214</v>
      </c>
    </row>
    <row r="2804" spans="1:9" x14ac:dyDescent="0.25">
      <c r="A2804" s="167" t="s">
        <v>18300</v>
      </c>
      <c r="B2804" s="142" t="s">
        <v>18354</v>
      </c>
      <c r="C2804" s="143">
        <v>112853</v>
      </c>
      <c r="D2804" s="142" t="s">
        <v>15282</v>
      </c>
      <c r="E2804" s="144">
        <v>3101.1</v>
      </c>
      <c r="F2804" s="145">
        <v>42877</v>
      </c>
      <c r="G2804" s="146">
        <v>3101.1</v>
      </c>
      <c r="H2804" s="138">
        <f t="shared" si="44"/>
        <v>0</v>
      </c>
      <c r="I2804" s="147" t="s">
        <v>15214</v>
      </c>
    </row>
    <row r="2805" spans="1:9" x14ac:dyDescent="0.25">
      <c r="A2805" s="168" t="s">
        <v>18300</v>
      </c>
      <c r="B2805" s="136" t="s">
        <v>18355</v>
      </c>
      <c r="C2805" s="137">
        <v>112854</v>
      </c>
      <c r="D2805" s="136" t="s">
        <v>17057</v>
      </c>
      <c r="E2805" s="138">
        <v>440</v>
      </c>
      <c r="F2805" s="145">
        <v>42877</v>
      </c>
      <c r="G2805" s="140">
        <v>440</v>
      </c>
      <c r="H2805" s="138">
        <f t="shared" si="44"/>
        <v>0</v>
      </c>
      <c r="I2805" s="141" t="s">
        <v>15214</v>
      </c>
    </row>
    <row r="2806" spans="1:9" x14ac:dyDescent="0.25">
      <c r="A2806" s="167" t="s">
        <v>18300</v>
      </c>
      <c r="B2806" s="142" t="s">
        <v>18356</v>
      </c>
      <c r="C2806" s="143">
        <v>112855</v>
      </c>
      <c r="D2806" s="142" t="s">
        <v>15278</v>
      </c>
      <c r="E2806" s="144">
        <v>5682.2</v>
      </c>
      <c r="F2806" s="145">
        <v>42877</v>
      </c>
      <c r="G2806" s="146">
        <v>5682.2</v>
      </c>
      <c r="H2806" s="138">
        <f t="shared" si="44"/>
        <v>0</v>
      </c>
      <c r="I2806" s="147" t="s">
        <v>15214</v>
      </c>
    </row>
    <row r="2807" spans="1:9" x14ac:dyDescent="0.25">
      <c r="A2807" s="168" t="s">
        <v>18300</v>
      </c>
      <c r="B2807" s="136" t="s">
        <v>18357</v>
      </c>
      <c r="C2807" s="137">
        <v>112856</v>
      </c>
      <c r="D2807" s="136" t="s">
        <v>15289</v>
      </c>
      <c r="E2807" s="138">
        <v>1520</v>
      </c>
      <c r="F2807" s="145">
        <v>42877</v>
      </c>
      <c r="G2807" s="140">
        <v>1520</v>
      </c>
      <c r="H2807" s="138">
        <f t="shared" si="44"/>
        <v>0</v>
      </c>
      <c r="I2807" s="141" t="s">
        <v>15214</v>
      </c>
    </row>
    <row r="2808" spans="1:9" x14ac:dyDescent="0.25">
      <c r="A2808" s="167" t="s">
        <v>18300</v>
      </c>
      <c r="B2808" s="142" t="s">
        <v>18358</v>
      </c>
      <c r="C2808" s="143">
        <v>112857</v>
      </c>
      <c r="D2808" s="142" t="s">
        <v>15378</v>
      </c>
      <c r="E2808" s="144">
        <v>218.4</v>
      </c>
      <c r="F2808" s="145">
        <v>42877</v>
      </c>
      <c r="G2808" s="146">
        <v>218.4</v>
      </c>
      <c r="H2808" s="138">
        <f t="shared" si="44"/>
        <v>0</v>
      </c>
      <c r="I2808" s="147" t="s">
        <v>15214</v>
      </c>
    </row>
    <row r="2809" spans="1:9" x14ac:dyDescent="0.25">
      <c r="A2809" s="168" t="s">
        <v>18300</v>
      </c>
      <c r="B2809" s="136" t="s">
        <v>18359</v>
      </c>
      <c r="C2809" s="137">
        <v>112858</v>
      </c>
      <c r="D2809" s="136" t="s">
        <v>15510</v>
      </c>
      <c r="E2809" s="138">
        <v>11092.2</v>
      </c>
      <c r="F2809" s="145">
        <v>42877</v>
      </c>
      <c r="G2809" s="140">
        <v>11092.2</v>
      </c>
      <c r="H2809" s="138">
        <f t="shared" si="44"/>
        <v>0</v>
      </c>
      <c r="I2809" s="141" t="s">
        <v>15214</v>
      </c>
    </row>
    <row r="2810" spans="1:9" x14ac:dyDescent="0.25">
      <c r="A2810" s="167" t="s">
        <v>18300</v>
      </c>
      <c r="B2810" s="142" t="s">
        <v>18360</v>
      </c>
      <c r="C2810" s="143">
        <v>112859</v>
      </c>
      <c r="D2810" s="142" t="s">
        <v>15510</v>
      </c>
      <c r="E2810" s="144">
        <v>92.8</v>
      </c>
      <c r="F2810" s="145">
        <v>42877</v>
      </c>
      <c r="G2810" s="146">
        <v>92.8</v>
      </c>
      <c r="H2810" s="138">
        <f t="shared" si="44"/>
        <v>0</v>
      </c>
      <c r="I2810" s="147" t="s">
        <v>15214</v>
      </c>
    </row>
    <row r="2811" spans="1:9" x14ac:dyDescent="0.25">
      <c r="A2811" s="168" t="s">
        <v>18300</v>
      </c>
      <c r="B2811" s="136" t="s">
        <v>18361</v>
      </c>
      <c r="C2811" s="137">
        <v>112860</v>
      </c>
      <c r="D2811" s="136" t="s">
        <v>15284</v>
      </c>
      <c r="E2811" s="138">
        <v>3609.6</v>
      </c>
      <c r="F2811" s="145">
        <v>42877</v>
      </c>
      <c r="G2811" s="140">
        <v>3609.6</v>
      </c>
      <c r="H2811" s="138">
        <f t="shared" si="44"/>
        <v>0</v>
      </c>
      <c r="I2811" s="141" t="s">
        <v>15214</v>
      </c>
    </row>
    <row r="2812" spans="1:9" x14ac:dyDescent="0.25">
      <c r="A2812" s="167" t="s">
        <v>18300</v>
      </c>
      <c r="B2812" s="142" t="s">
        <v>18362</v>
      </c>
      <c r="C2812" s="143">
        <v>112861</v>
      </c>
      <c r="D2812" s="142" t="s">
        <v>15284</v>
      </c>
      <c r="E2812" s="144">
        <v>347.7</v>
      </c>
      <c r="F2812" s="145">
        <v>42877</v>
      </c>
      <c r="G2812" s="146">
        <v>347.7</v>
      </c>
      <c r="H2812" s="138">
        <f t="shared" si="44"/>
        <v>0</v>
      </c>
      <c r="I2812" s="147" t="s">
        <v>15214</v>
      </c>
    </row>
    <row r="2813" spans="1:9" x14ac:dyDescent="0.25">
      <c r="A2813" s="168" t="s">
        <v>18300</v>
      </c>
      <c r="B2813" s="136" t="s">
        <v>18363</v>
      </c>
      <c r="C2813" s="137">
        <v>112862</v>
      </c>
      <c r="D2813" s="136" t="s">
        <v>15298</v>
      </c>
      <c r="E2813" s="138">
        <v>15408.5</v>
      </c>
      <c r="F2813" s="139">
        <v>42884</v>
      </c>
      <c r="G2813" s="140">
        <v>15408.5</v>
      </c>
      <c r="H2813" s="138">
        <f t="shared" si="44"/>
        <v>0</v>
      </c>
      <c r="I2813" s="141" t="s">
        <v>15214</v>
      </c>
    </row>
    <row r="2814" spans="1:9" x14ac:dyDescent="0.25">
      <c r="A2814" s="167" t="s">
        <v>18300</v>
      </c>
      <c r="B2814" s="142" t="s">
        <v>18364</v>
      </c>
      <c r="C2814" s="143">
        <v>112863</v>
      </c>
      <c r="D2814" s="142" t="s">
        <v>15427</v>
      </c>
      <c r="E2814" s="144">
        <v>42986.6</v>
      </c>
      <c r="F2814" s="145">
        <v>42878</v>
      </c>
      <c r="G2814" s="146">
        <v>42986.6</v>
      </c>
      <c r="H2814" s="138">
        <f t="shared" si="44"/>
        <v>0</v>
      </c>
      <c r="I2814" s="147" t="s">
        <v>15214</v>
      </c>
    </row>
    <row r="2815" spans="1:9" x14ac:dyDescent="0.25">
      <c r="A2815" s="168" t="s">
        <v>18300</v>
      </c>
      <c r="B2815" s="136" t="s">
        <v>18365</v>
      </c>
      <c r="C2815" s="137">
        <v>112864</v>
      </c>
      <c r="D2815" s="136" t="s">
        <v>15373</v>
      </c>
      <c r="E2815" s="138">
        <v>11358.2</v>
      </c>
      <c r="F2815" s="139">
        <v>42878</v>
      </c>
      <c r="G2815" s="140">
        <v>11358.2</v>
      </c>
      <c r="H2815" s="138">
        <f t="shared" si="44"/>
        <v>0</v>
      </c>
      <c r="I2815" s="141" t="s">
        <v>15214</v>
      </c>
    </row>
    <row r="2816" spans="1:9" x14ac:dyDescent="0.25">
      <c r="A2816" s="167" t="s">
        <v>18300</v>
      </c>
      <c r="B2816" s="142" t="s">
        <v>18366</v>
      </c>
      <c r="C2816" s="143">
        <v>112865</v>
      </c>
      <c r="D2816" s="142" t="s">
        <v>15394</v>
      </c>
      <c r="E2816" s="144">
        <v>13519</v>
      </c>
      <c r="F2816" s="145">
        <v>42878</v>
      </c>
      <c r="G2816" s="146">
        <v>13519</v>
      </c>
      <c r="H2816" s="138">
        <f t="shared" si="44"/>
        <v>0</v>
      </c>
      <c r="I2816" s="147" t="s">
        <v>15214</v>
      </c>
    </row>
    <row r="2817" spans="1:9" x14ac:dyDescent="0.25">
      <c r="A2817" s="168" t="s">
        <v>18300</v>
      </c>
      <c r="B2817" s="136" t="s">
        <v>18367</v>
      </c>
      <c r="C2817" s="137">
        <v>112866</v>
      </c>
      <c r="D2817" s="136" t="s">
        <v>15903</v>
      </c>
      <c r="E2817" s="138">
        <v>70609.5</v>
      </c>
      <c r="F2817" s="139">
        <v>42878</v>
      </c>
      <c r="G2817" s="140">
        <v>70609.5</v>
      </c>
      <c r="H2817" s="138">
        <f t="shared" si="44"/>
        <v>0</v>
      </c>
      <c r="I2817" s="141" t="s">
        <v>15214</v>
      </c>
    </row>
    <row r="2818" spans="1:9" x14ac:dyDescent="0.25">
      <c r="A2818" s="167" t="s">
        <v>18300</v>
      </c>
      <c r="B2818" s="142" t="s">
        <v>18368</v>
      </c>
      <c r="C2818" s="143">
        <v>112867</v>
      </c>
      <c r="D2818" s="142" t="s">
        <v>15367</v>
      </c>
      <c r="E2818" s="144">
        <v>6200</v>
      </c>
      <c r="F2818" s="145">
        <v>42878</v>
      </c>
      <c r="G2818" s="146">
        <v>6200</v>
      </c>
      <c r="H2818" s="138">
        <f t="shared" si="44"/>
        <v>0</v>
      </c>
      <c r="I2818" s="147" t="s">
        <v>15214</v>
      </c>
    </row>
    <row r="2819" spans="1:9" x14ac:dyDescent="0.25">
      <c r="A2819" s="168" t="s">
        <v>18300</v>
      </c>
      <c r="B2819" s="136" t="s">
        <v>18369</v>
      </c>
      <c r="C2819" s="137">
        <v>112868</v>
      </c>
      <c r="D2819" s="136" t="s">
        <v>15369</v>
      </c>
      <c r="E2819" s="138">
        <v>18469.5</v>
      </c>
      <c r="F2819" s="157">
        <v>42892</v>
      </c>
      <c r="G2819" s="158">
        <v>18469.5</v>
      </c>
      <c r="H2819" s="138">
        <f t="shared" si="44"/>
        <v>0</v>
      </c>
      <c r="I2819" s="141" t="s">
        <v>15214</v>
      </c>
    </row>
    <row r="2820" spans="1:9" x14ac:dyDescent="0.25">
      <c r="A2820" s="167" t="s">
        <v>18300</v>
      </c>
      <c r="B2820" s="142" t="s">
        <v>18370</v>
      </c>
      <c r="C2820" s="143">
        <v>112869</v>
      </c>
      <c r="D2820" s="142" t="s">
        <v>15315</v>
      </c>
      <c r="E2820" s="144">
        <v>1656</v>
      </c>
      <c r="F2820" s="145">
        <v>42877</v>
      </c>
      <c r="G2820" s="146">
        <v>1656</v>
      </c>
      <c r="H2820" s="138">
        <f t="shared" si="44"/>
        <v>0</v>
      </c>
      <c r="I2820" s="147" t="s">
        <v>15214</v>
      </c>
    </row>
    <row r="2821" spans="1:9" x14ac:dyDescent="0.25">
      <c r="A2821" s="168" t="s">
        <v>18300</v>
      </c>
      <c r="B2821" s="136" t="s">
        <v>18371</v>
      </c>
      <c r="C2821" s="137">
        <v>112870</v>
      </c>
      <c r="D2821" s="136" t="s">
        <v>15380</v>
      </c>
      <c r="E2821" s="138">
        <v>45725.599999999999</v>
      </c>
      <c r="F2821" s="157">
        <v>42892</v>
      </c>
      <c r="G2821" s="158">
        <v>45725.599999999999</v>
      </c>
      <c r="H2821" s="138">
        <f t="shared" si="44"/>
        <v>0</v>
      </c>
      <c r="I2821" s="141" t="s">
        <v>15214</v>
      </c>
    </row>
    <row r="2822" spans="1:9" x14ac:dyDescent="0.25">
      <c r="A2822" s="167" t="s">
        <v>18300</v>
      </c>
      <c r="B2822" s="142" t="s">
        <v>18372</v>
      </c>
      <c r="C2822" s="143">
        <v>112871</v>
      </c>
      <c r="D2822" s="142" t="s">
        <v>15389</v>
      </c>
      <c r="E2822" s="144">
        <v>17229.2</v>
      </c>
      <c r="F2822" s="145">
        <v>42881</v>
      </c>
      <c r="G2822" s="146">
        <v>17229.2</v>
      </c>
      <c r="H2822" s="138">
        <f t="shared" si="44"/>
        <v>0</v>
      </c>
      <c r="I2822" s="147" t="s">
        <v>15214</v>
      </c>
    </row>
    <row r="2823" spans="1:9" x14ac:dyDescent="0.25">
      <c r="A2823" s="168" t="s">
        <v>18300</v>
      </c>
      <c r="B2823" s="136" t="s">
        <v>18373</v>
      </c>
      <c r="C2823" s="137">
        <v>112872</v>
      </c>
      <c r="D2823" s="136" t="s">
        <v>15382</v>
      </c>
      <c r="E2823" s="138">
        <v>10388.700000000001</v>
      </c>
      <c r="F2823" s="157">
        <v>42892</v>
      </c>
      <c r="G2823" s="158">
        <v>10388.700000000001</v>
      </c>
      <c r="H2823" s="138">
        <f t="shared" ref="H2823:H2886" si="45">E2823-G2823</f>
        <v>0</v>
      </c>
      <c r="I2823" s="141" t="s">
        <v>15214</v>
      </c>
    </row>
    <row r="2824" spans="1:9" x14ac:dyDescent="0.25">
      <c r="A2824" s="167" t="s">
        <v>18300</v>
      </c>
      <c r="B2824" s="142" t="s">
        <v>18374</v>
      </c>
      <c r="C2824" s="143">
        <v>112873</v>
      </c>
      <c r="D2824" s="142" t="s">
        <v>15276</v>
      </c>
      <c r="E2824" s="144">
        <v>2400</v>
      </c>
      <c r="F2824" s="145">
        <v>42879</v>
      </c>
      <c r="G2824" s="146">
        <v>2400</v>
      </c>
      <c r="H2824" s="138">
        <f t="shared" si="45"/>
        <v>0</v>
      </c>
      <c r="I2824" s="147" t="s">
        <v>15214</v>
      </c>
    </row>
    <row r="2825" spans="1:9" x14ac:dyDescent="0.25">
      <c r="A2825" s="168" t="s">
        <v>18300</v>
      </c>
      <c r="B2825" s="136" t="s">
        <v>18375</v>
      </c>
      <c r="C2825" s="137">
        <v>112874</v>
      </c>
      <c r="D2825" s="136" t="s">
        <v>15291</v>
      </c>
      <c r="E2825" s="138">
        <v>672</v>
      </c>
      <c r="F2825" s="139">
        <v>42879</v>
      </c>
      <c r="G2825" s="140">
        <v>672</v>
      </c>
      <c r="H2825" s="138">
        <f t="shared" si="45"/>
        <v>0</v>
      </c>
      <c r="I2825" s="141" t="s">
        <v>15214</v>
      </c>
    </row>
    <row r="2826" spans="1:9" x14ac:dyDescent="0.25">
      <c r="A2826" s="167" t="s">
        <v>18300</v>
      </c>
      <c r="B2826" s="142" t="s">
        <v>18376</v>
      </c>
      <c r="C2826" s="143">
        <v>112875</v>
      </c>
      <c r="D2826" s="142" t="s">
        <v>15309</v>
      </c>
      <c r="E2826" s="144">
        <v>12135.6</v>
      </c>
      <c r="F2826" s="145">
        <v>42879</v>
      </c>
      <c r="G2826" s="146">
        <v>12135.6</v>
      </c>
      <c r="H2826" s="138">
        <f t="shared" si="45"/>
        <v>0</v>
      </c>
      <c r="I2826" s="147" t="s">
        <v>15214</v>
      </c>
    </row>
    <row r="2827" spans="1:9" x14ac:dyDescent="0.25">
      <c r="A2827" s="168" t="s">
        <v>18300</v>
      </c>
      <c r="B2827" s="136" t="s">
        <v>18377</v>
      </c>
      <c r="C2827" s="137">
        <v>112876</v>
      </c>
      <c r="D2827" s="136" t="s">
        <v>15782</v>
      </c>
      <c r="E2827" s="138">
        <v>1347.8</v>
      </c>
      <c r="F2827" s="139">
        <v>42879</v>
      </c>
      <c r="G2827" s="140">
        <v>1347.8</v>
      </c>
      <c r="H2827" s="138">
        <f t="shared" si="45"/>
        <v>0</v>
      </c>
      <c r="I2827" s="141" t="s">
        <v>15214</v>
      </c>
    </row>
    <row r="2828" spans="1:9" ht="15.75" x14ac:dyDescent="0.25">
      <c r="A2828" s="167" t="s">
        <v>18300</v>
      </c>
      <c r="B2828" s="142" t="s">
        <v>18378</v>
      </c>
      <c r="C2828" s="143">
        <v>112877</v>
      </c>
      <c r="D2828" s="142" t="s">
        <v>15415</v>
      </c>
      <c r="E2828" s="144">
        <v>0</v>
      </c>
      <c r="F2828" s="156" t="s">
        <v>95</v>
      </c>
      <c r="G2828" s="144">
        <v>0</v>
      </c>
      <c r="H2828" s="138">
        <f t="shared" si="45"/>
        <v>0</v>
      </c>
      <c r="I2828" s="147" t="s">
        <v>95</v>
      </c>
    </row>
    <row r="2829" spans="1:9" x14ac:dyDescent="0.25">
      <c r="A2829" s="168" t="s">
        <v>18300</v>
      </c>
      <c r="B2829" s="136" t="s">
        <v>18379</v>
      </c>
      <c r="C2829" s="137">
        <v>112878</v>
      </c>
      <c r="D2829" s="136" t="s">
        <v>15276</v>
      </c>
      <c r="E2829" s="138">
        <v>2585</v>
      </c>
      <c r="F2829" s="139">
        <v>42879</v>
      </c>
      <c r="G2829" s="140">
        <v>2585</v>
      </c>
      <c r="H2829" s="138">
        <f t="shared" si="45"/>
        <v>0</v>
      </c>
      <c r="I2829" s="141" t="s">
        <v>15214</v>
      </c>
    </row>
    <row r="2830" spans="1:9" x14ac:dyDescent="0.25">
      <c r="A2830" s="167" t="s">
        <v>18300</v>
      </c>
      <c r="B2830" s="142" t="s">
        <v>18380</v>
      </c>
      <c r="C2830" s="143">
        <v>112879</v>
      </c>
      <c r="D2830" s="142" t="s">
        <v>15317</v>
      </c>
      <c r="E2830" s="144">
        <v>2808</v>
      </c>
      <c r="F2830" s="145">
        <v>42881</v>
      </c>
      <c r="G2830" s="146">
        <v>2808</v>
      </c>
      <c r="H2830" s="138">
        <f t="shared" si="45"/>
        <v>0</v>
      </c>
      <c r="I2830" s="147" t="s">
        <v>15214</v>
      </c>
    </row>
    <row r="2831" spans="1:9" ht="15.75" x14ac:dyDescent="0.25">
      <c r="A2831" s="168" t="s">
        <v>18300</v>
      </c>
      <c r="B2831" s="136" t="s">
        <v>18381</v>
      </c>
      <c r="C2831" s="137">
        <v>112880</v>
      </c>
      <c r="D2831" s="136" t="s">
        <v>15367</v>
      </c>
      <c r="E2831" s="138">
        <v>0</v>
      </c>
      <c r="F2831" s="153" t="s">
        <v>95</v>
      </c>
      <c r="G2831" s="138">
        <v>0</v>
      </c>
      <c r="H2831" s="138">
        <f t="shared" si="45"/>
        <v>0</v>
      </c>
      <c r="I2831" s="141" t="s">
        <v>95</v>
      </c>
    </row>
    <row r="2832" spans="1:9" x14ac:dyDescent="0.25">
      <c r="A2832" s="167" t="s">
        <v>18300</v>
      </c>
      <c r="B2832" s="142" t="s">
        <v>18382</v>
      </c>
      <c r="C2832" s="143">
        <v>112881</v>
      </c>
      <c r="D2832" s="142" t="s">
        <v>18076</v>
      </c>
      <c r="E2832" s="144">
        <v>6606</v>
      </c>
      <c r="F2832" s="145">
        <v>42877</v>
      </c>
      <c r="G2832" s="146">
        <v>6606</v>
      </c>
      <c r="H2832" s="138">
        <f t="shared" si="45"/>
        <v>0</v>
      </c>
      <c r="I2832" s="147" t="s">
        <v>15214</v>
      </c>
    </row>
    <row r="2833" spans="1:9" x14ac:dyDescent="0.25">
      <c r="A2833" s="168" t="s">
        <v>18300</v>
      </c>
      <c r="B2833" s="136" t="s">
        <v>18383</v>
      </c>
      <c r="C2833" s="137">
        <v>112882</v>
      </c>
      <c r="D2833" s="136" t="s">
        <v>5880</v>
      </c>
      <c r="E2833" s="138">
        <v>53820.800000000003</v>
      </c>
      <c r="F2833" s="139">
        <v>42877</v>
      </c>
      <c r="G2833" s="140">
        <v>53820.800000000003</v>
      </c>
      <c r="H2833" s="138">
        <f t="shared" si="45"/>
        <v>0</v>
      </c>
      <c r="I2833" s="141" t="s">
        <v>15214</v>
      </c>
    </row>
    <row r="2834" spans="1:9" x14ac:dyDescent="0.25">
      <c r="A2834" s="167" t="s">
        <v>18300</v>
      </c>
      <c r="B2834" s="142" t="s">
        <v>18384</v>
      </c>
      <c r="C2834" s="143">
        <v>112883</v>
      </c>
      <c r="D2834" s="142" t="s">
        <v>15307</v>
      </c>
      <c r="E2834" s="144">
        <v>2140.1</v>
      </c>
      <c r="F2834" s="145">
        <v>42879</v>
      </c>
      <c r="G2834" s="146">
        <v>2140.1</v>
      </c>
      <c r="H2834" s="138">
        <f t="shared" si="45"/>
        <v>0</v>
      </c>
      <c r="I2834" s="147" t="s">
        <v>15214</v>
      </c>
    </row>
    <row r="2835" spans="1:9" x14ac:dyDescent="0.25">
      <c r="A2835" s="168" t="s">
        <v>18300</v>
      </c>
      <c r="B2835" s="136" t="s">
        <v>18385</v>
      </c>
      <c r="C2835" s="137">
        <v>112884</v>
      </c>
      <c r="D2835" s="136" t="s">
        <v>15311</v>
      </c>
      <c r="E2835" s="138">
        <v>1966.8</v>
      </c>
      <c r="F2835" s="139">
        <v>42879</v>
      </c>
      <c r="G2835" s="140">
        <v>1966.8</v>
      </c>
      <c r="H2835" s="138">
        <f t="shared" si="45"/>
        <v>0</v>
      </c>
      <c r="I2835" s="141" t="s">
        <v>15214</v>
      </c>
    </row>
    <row r="2836" spans="1:9" x14ac:dyDescent="0.25">
      <c r="A2836" s="167" t="s">
        <v>18300</v>
      </c>
      <c r="B2836" s="142" t="s">
        <v>18386</v>
      </c>
      <c r="C2836" s="143">
        <v>112885</v>
      </c>
      <c r="D2836" s="142" t="s">
        <v>15444</v>
      </c>
      <c r="E2836" s="144">
        <v>2237.8000000000002</v>
      </c>
      <c r="F2836" s="145">
        <v>42877</v>
      </c>
      <c r="G2836" s="146">
        <v>2237.8000000000002</v>
      </c>
      <c r="H2836" s="138">
        <f t="shared" si="45"/>
        <v>0</v>
      </c>
      <c r="I2836" s="147" t="s">
        <v>15214</v>
      </c>
    </row>
    <row r="2837" spans="1:9" x14ac:dyDescent="0.25">
      <c r="A2837" s="168" t="s">
        <v>18300</v>
      </c>
      <c r="B2837" s="136" t="s">
        <v>18387</v>
      </c>
      <c r="C2837" s="137">
        <v>112886</v>
      </c>
      <c r="D2837" s="136" t="s">
        <v>16229</v>
      </c>
      <c r="E2837" s="138">
        <v>3203.4</v>
      </c>
      <c r="F2837" s="139">
        <v>42879</v>
      </c>
      <c r="G2837" s="140">
        <v>3203.4</v>
      </c>
      <c r="H2837" s="138">
        <f t="shared" si="45"/>
        <v>0</v>
      </c>
      <c r="I2837" s="141" t="s">
        <v>15214</v>
      </c>
    </row>
    <row r="2838" spans="1:9" x14ac:dyDescent="0.25">
      <c r="A2838" s="167" t="s">
        <v>18300</v>
      </c>
      <c r="B2838" s="142" t="s">
        <v>18388</v>
      </c>
      <c r="C2838" s="143">
        <v>112887</v>
      </c>
      <c r="D2838" s="142" t="s">
        <v>15444</v>
      </c>
      <c r="E2838" s="144">
        <v>3337.8</v>
      </c>
      <c r="F2838" s="145">
        <v>42877</v>
      </c>
      <c r="G2838" s="146">
        <v>3337.8</v>
      </c>
      <c r="H2838" s="138">
        <f t="shared" si="45"/>
        <v>0</v>
      </c>
      <c r="I2838" s="147" t="s">
        <v>15214</v>
      </c>
    </row>
    <row r="2839" spans="1:9" x14ac:dyDescent="0.25">
      <c r="A2839" s="168" t="s">
        <v>18300</v>
      </c>
      <c r="B2839" s="136" t="s">
        <v>18389</v>
      </c>
      <c r="C2839" s="137">
        <v>112888</v>
      </c>
      <c r="D2839" s="136" t="s">
        <v>15286</v>
      </c>
      <c r="E2839" s="138">
        <v>2992</v>
      </c>
      <c r="F2839" s="139">
        <v>42879</v>
      </c>
      <c r="G2839" s="140">
        <v>2992</v>
      </c>
      <c r="H2839" s="138">
        <f t="shared" si="45"/>
        <v>0</v>
      </c>
      <c r="I2839" s="141" t="s">
        <v>15214</v>
      </c>
    </row>
    <row r="2840" spans="1:9" x14ac:dyDescent="0.25">
      <c r="A2840" s="167" t="s">
        <v>18300</v>
      </c>
      <c r="B2840" s="142" t="s">
        <v>18390</v>
      </c>
      <c r="C2840" s="143">
        <v>112889</v>
      </c>
      <c r="D2840" s="142" t="s">
        <v>15315</v>
      </c>
      <c r="E2840" s="144">
        <v>1536.5</v>
      </c>
      <c r="F2840" s="145">
        <v>42877</v>
      </c>
      <c r="G2840" s="146">
        <v>1536.5</v>
      </c>
      <c r="H2840" s="138">
        <f t="shared" si="45"/>
        <v>0</v>
      </c>
      <c r="I2840" s="147" t="s">
        <v>15214</v>
      </c>
    </row>
    <row r="2841" spans="1:9" x14ac:dyDescent="0.25">
      <c r="A2841" s="168" t="s">
        <v>18300</v>
      </c>
      <c r="B2841" s="136" t="s">
        <v>18391</v>
      </c>
      <c r="C2841" s="137">
        <v>112890</v>
      </c>
      <c r="D2841" s="136" t="s">
        <v>15415</v>
      </c>
      <c r="E2841" s="138">
        <v>2979</v>
      </c>
      <c r="F2841" s="139">
        <v>42881</v>
      </c>
      <c r="G2841" s="140">
        <v>2979</v>
      </c>
      <c r="H2841" s="138">
        <f t="shared" si="45"/>
        <v>0</v>
      </c>
      <c r="I2841" s="141" t="s">
        <v>15214</v>
      </c>
    </row>
    <row r="2842" spans="1:9" x14ac:dyDescent="0.25">
      <c r="A2842" s="167" t="s">
        <v>18300</v>
      </c>
      <c r="B2842" s="142" t="s">
        <v>18392</v>
      </c>
      <c r="C2842" s="143">
        <v>112891</v>
      </c>
      <c r="D2842" s="142" t="s">
        <v>15246</v>
      </c>
      <c r="E2842" s="144">
        <v>4282</v>
      </c>
      <c r="F2842" s="145">
        <v>42882</v>
      </c>
      <c r="G2842" s="146">
        <v>4282</v>
      </c>
      <c r="H2842" s="138">
        <f t="shared" si="45"/>
        <v>0</v>
      </c>
      <c r="I2842" s="147" t="s">
        <v>15214</v>
      </c>
    </row>
    <row r="2843" spans="1:9" x14ac:dyDescent="0.25">
      <c r="A2843" s="168" t="s">
        <v>18300</v>
      </c>
      <c r="B2843" s="136" t="s">
        <v>18393</v>
      </c>
      <c r="C2843" s="137">
        <v>112892</v>
      </c>
      <c r="D2843" s="136" t="s">
        <v>15537</v>
      </c>
      <c r="E2843" s="138">
        <v>14490</v>
      </c>
      <c r="F2843" s="139">
        <v>42879</v>
      </c>
      <c r="G2843" s="140">
        <v>14490</v>
      </c>
      <c r="H2843" s="138">
        <f t="shared" si="45"/>
        <v>0</v>
      </c>
      <c r="I2843" s="141" t="s">
        <v>15214</v>
      </c>
    </row>
    <row r="2844" spans="1:9" x14ac:dyDescent="0.25">
      <c r="A2844" s="167" t="s">
        <v>18300</v>
      </c>
      <c r="B2844" s="142" t="s">
        <v>18394</v>
      </c>
      <c r="C2844" s="143">
        <v>112893</v>
      </c>
      <c r="D2844" s="142" t="s">
        <v>16297</v>
      </c>
      <c r="E2844" s="144">
        <v>4039.2</v>
      </c>
      <c r="F2844" s="145">
        <v>42879</v>
      </c>
      <c r="G2844" s="146">
        <v>4039.2</v>
      </c>
      <c r="H2844" s="138">
        <f t="shared" si="45"/>
        <v>0</v>
      </c>
      <c r="I2844" s="147" t="s">
        <v>15214</v>
      </c>
    </row>
    <row r="2845" spans="1:9" x14ac:dyDescent="0.25">
      <c r="A2845" s="168" t="s">
        <v>18300</v>
      </c>
      <c r="B2845" s="136" t="s">
        <v>18395</v>
      </c>
      <c r="C2845" s="137">
        <v>112894</v>
      </c>
      <c r="D2845" s="136" t="s">
        <v>15544</v>
      </c>
      <c r="E2845" s="138">
        <v>3493.4</v>
      </c>
      <c r="F2845" s="139">
        <v>42879</v>
      </c>
      <c r="G2845" s="140">
        <v>3493.4</v>
      </c>
      <c r="H2845" s="138">
        <f t="shared" si="45"/>
        <v>0</v>
      </c>
      <c r="I2845" s="141" t="s">
        <v>15214</v>
      </c>
    </row>
    <row r="2846" spans="1:9" x14ac:dyDescent="0.25">
      <c r="A2846" s="167" t="s">
        <v>18300</v>
      </c>
      <c r="B2846" s="142" t="s">
        <v>18396</v>
      </c>
      <c r="C2846" s="143">
        <v>112895</v>
      </c>
      <c r="D2846" s="142" t="s">
        <v>15320</v>
      </c>
      <c r="E2846" s="144">
        <v>2221.8000000000002</v>
      </c>
      <c r="F2846" s="145">
        <v>42879</v>
      </c>
      <c r="G2846" s="146">
        <v>2221.8000000000002</v>
      </c>
      <c r="H2846" s="138">
        <f t="shared" si="45"/>
        <v>0</v>
      </c>
      <c r="I2846" s="147" t="s">
        <v>15214</v>
      </c>
    </row>
    <row r="2847" spans="1:9" x14ac:dyDescent="0.25">
      <c r="A2847" s="168" t="s">
        <v>18300</v>
      </c>
      <c r="B2847" s="136" t="s">
        <v>18397</v>
      </c>
      <c r="C2847" s="137">
        <v>112896</v>
      </c>
      <c r="D2847" s="136" t="s">
        <v>15315</v>
      </c>
      <c r="E2847" s="138">
        <v>2894.4</v>
      </c>
      <c r="F2847" s="139">
        <v>42879</v>
      </c>
      <c r="G2847" s="140">
        <v>2894.4</v>
      </c>
      <c r="H2847" s="138">
        <f t="shared" si="45"/>
        <v>0</v>
      </c>
      <c r="I2847" s="141" t="s">
        <v>15214</v>
      </c>
    </row>
    <row r="2848" spans="1:9" x14ac:dyDescent="0.25">
      <c r="A2848" s="167" t="s">
        <v>18300</v>
      </c>
      <c r="B2848" s="142" t="s">
        <v>18398</v>
      </c>
      <c r="C2848" s="143">
        <v>112897</v>
      </c>
      <c r="D2848" s="142" t="s">
        <v>15267</v>
      </c>
      <c r="E2848" s="144">
        <v>3294</v>
      </c>
      <c r="F2848" s="145">
        <v>42877</v>
      </c>
      <c r="G2848" s="146">
        <v>3294</v>
      </c>
      <c r="H2848" s="138">
        <f t="shared" si="45"/>
        <v>0</v>
      </c>
      <c r="I2848" s="147" t="s">
        <v>15214</v>
      </c>
    </row>
    <row r="2849" spans="1:9" x14ac:dyDescent="0.25">
      <c r="A2849" s="168" t="s">
        <v>18300</v>
      </c>
      <c r="B2849" s="136" t="s">
        <v>18399</v>
      </c>
      <c r="C2849" s="137">
        <v>112898</v>
      </c>
      <c r="D2849" s="136" t="s">
        <v>15365</v>
      </c>
      <c r="E2849" s="138">
        <v>8580.5</v>
      </c>
      <c r="F2849" s="139">
        <v>42883</v>
      </c>
      <c r="G2849" s="140">
        <v>8580.5</v>
      </c>
      <c r="H2849" s="138">
        <f t="shared" si="45"/>
        <v>0</v>
      </c>
      <c r="I2849" s="141" t="s">
        <v>15214</v>
      </c>
    </row>
    <row r="2850" spans="1:9" x14ac:dyDescent="0.25">
      <c r="A2850" s="167" t="s">
        <v>18300</v>
      </c>
      <c r="B2850" s="142" t="s">
        <v>18400</v>
      </c>
      <c r="C2850" s="143">
        <v>112899</v>
      </c>
      <c r="D2850" s="142" t="s">
        <v>15510</v>
      </c>
      <c r="E2850" s="144">
        <v>972.5</v>
      </c>
      <c r="F2850" s="145">
        <v>42879</v>
      </c>
      <c r="G2850" s="146">
        <v>972.5</v>
      </c>
      <c r="H2850" s="138">
        <f t="shared" si="45"/>
        <v>0</v>
      </c>
      <c r="I2850" s="147" t="s">
        <v>15214</v>
      </c>
    </row>
    <row r="2851" spans="1:9" x14ac:dyDescent="0.25">
      <c r="A2851" s="168" t="s">
        <v>18300</v>
      </c>
      <c r="B2851" s="136" t="s">
        <v>18401</v>
      </c>
      <c r="C2851" s="137">
        <v>112900</v>
      </c>
      <c r="D2851" s="136" t="s">
        <v>15315</v>
      </c>
      <c r="E2851" s="138">
        <v>382.5</v>
      </c>
      <c r="F2851" s="139">
        <v>42877</v>
      </c>
      <c r="G2851" s="140">
        <v>382.5</v>
      </c>
      <c r="H2851" s="138">
        <f t="shared" si="45"/>
        <v>0</v>
      </c>
      <c r="I2851" s="141" t="s">
        <v>15214</v>
      </c>
    </row>
    <row r="2852" spans="1:9" x14ac:dyDescent="0.25">
      <c r="A2852" s="167" t="s">
        <v>18300</v>
      </c>
      <c r="B2852" s="142" t="s">
        <v>18402</v>
      </c>
      <c r="C2852" s="143">
        <v>112901</v>
      </c>
      <c r="D2852" s="142" t="s">
        <v>15315</v>
      </c>
      <c r="E2852" s="144">
        <v>1255</v>
      </c>
      <c r="F2852" s="145">
        <v>42877</v>
      </c>
      <c r="G2852" s="146">
        <v>1255</v>
      </c>
      <c r="H2852" s="138">
        <f t="shared" si="45"/>
        <v>0</v>
      </c>
      <c r="I2852" s="147" t="s">
        <v>15214</v>
      </c>
    </row>
    <row r="2853" spans="1:9" x14ac:dyDescent="0.25">
      <c r="A2853" s="168" t="s">
        <v>18300</v>
      </c>
      <c r="B2853" s="136" t="s">
        <v>18403</v>
      </c>
      <c r="C2853" s="137">
        <v>112902</v>
      </c>
      <c r="D2853" s="136" t="s">
        <v>15246</v>
      </c>
      <c r="E2853" s="138">
        <v>680.5</v>
      </c>
      <c r="F2853" s="139">
        <v>42882</v>
      </c>
      <c r="G2853" s="140">
        <v>680.5</v>
      </c>
      <c r="H2853" s="138">
        <f t="shared" si="45"/>
        <v>0</v>
      </c>
      <c r="I2853" s="141" t="s">
        <v>15214</v>
      </c>
    </row>
    <row r="2854" spans="1:9" x14ac:dyDescent="0.25">
      <c r="A2854" s="167" t="s">
        <v>18300</v>
      </c>
      <c r="B2854" s="142" t="s">
        <v>18404</v>
      </c>
      <c r="C2854" s="143">
        <v>112903</v>
      </c>
      <c r="D2854" s="142" t="s">
        <v>15246</v>
      </c>
      <c r="E2854" s="144">
        <v>6368.8</v>
      </c>
      <c r="F2854" s="145">
        <v>42882</v>
      </c>
      <c r="G2854" s="146">
        <v>6368.8</v>
      </c>
      <c r="H2854" s="138">
        <f t="shared" si="45"/>
        <v>0</v>
      </c>
      <c r="I2854" s="147" t="s">
        <v>15214</v>
      </c>
    </row>
    <row r="2855" spans="1:9" x14ac:dyDescent="0.25">
      <c r="A2855" s="168" t="s">
        <v>18300</v>
      </c>
      <c r="B2855" s="136" t="s">
        <v>18405</v>
      </c>
      <c r="C2855" s="137">
        <v>112904</v>
      </c>
      <c r="D2855" s="136" t="s">
        <v>17722</v>
      </c>
      <c r="E2855" s="138">
        <v>3261.4</v>
      </c>
      <c r="F2855" s="139">
        <v>42877</v>
      </c>
      <c r="G2855" s="140">
        <v>3261.4</v>
      </c>
      <c r="H2855" s="138">
        <f t="shared" si="45"/>
        <v>0</v>
      </c>
      <c r="I2855" s="141" t="s">
        <v>15214</v>
      </c>
    </row>
    <row r="2856" spans="1:9" x14ac:dyDescent="0.25">
      <c r="A2856" s="167" t="s">
        <v>18300</v>
      </c>
      <c r="B2856" s="142" t="s">
        <v>18406</v>
      </c>
      <c r="C2856" s="143">
        <v>112905</v>
      </c>
      <c r="D2856" s="142" t="s">
        <v>5883</v>
      </c>
      <c r="E2856" s="144">
        <v>27149.1</v>
      </c>
      <c r="F2856" s="148">
        <v>42895</v>
      </c>
      <c r="G2856" s="149">
        <v>27149.1</v>
      </c>
      <c r="H2856" s="138">
        <f t="shared" si="45"/>
        <v>0</v>
      </c>
      <c r="I2856" s="147" t="s">
        <v>15214</v>
      </c>
    </row>
    <row r="2857" spans="1:9" x14ac:dyDescent="0.25">
      <c r="A2857" s="168" t="s">
        <v>18300</v>
      </c>
      <c r="B2857" s="136" t="s">
        <v>18407</v>
      </c>
      <c r="C2857" s="137">
        <v>112906</v>
      </c>
      <c r="D2857" s="136" t="s">
        <v>15655</v>
      </c>
      <c r="E2857" s="138">
        <v>15108</v>
      </c>
      <c r="F2857" s="139">
        <v>42877</v>
      </c>
      <c r="G2857" s="140">
        <v>15108</v>
      </c>
      <c r="H2857" s="138">
        <f t="shared" si="45"/>
        <v>0</v>
      </c>
      <c r="I2857" s="141" t="s">
        <v>15214</v>
      </c>
    </row>
    <row r="2858" spans="1:9" x14ac:dyDescent="0.25">
      <c r="A2858" s="167" t="s">
        <v>18300</v>
      </c>
      <c r="B2858" s="142" t="s">
        <v>18408</v>
      </c>
      <c r="C2858" s="143">
        <v>112907</v>
      </c>
      <c r="D2858" s="142" t="s">
        <v>16093</v>
      </c>
      <c r="E2858" s="144">
        <v>2691</v>
      </c>
      <c r="F2858" s="145">
        <v>42877</v>
      </c>
      <c r="G2858" s="146">
        <v>2691</v>
      </c>
      <c r="H2858" s="138">
        <f t="shared" si="45"/>
        <v>0</v>
      </c>
      <c r="I2858" s="147" t="s">
        <v>15214</v>
      </c>
    </row>
    <row r="2859" spans="1:9" x14ac:dyDescent="0.25">
      <c r="A2859" s="168" t="s">
        <v>18300</v>
      </c>
      <c r="B2859" s="136" t="s">
        <v>18409</v>
      </c>
      <c r="C2859" s="137">
        <v>112908</v>
      </c>
      <c r="D2859" s="136" t="s">
        <v>15421</v>
      </c>
      <c r="E2859" s="138">
        <v>2837.2</v>
      </c>
      <c r="F2859" s="139">
        <v>42877</v>
      </c>
      <c r="G2859" s="140">
        <v>2837.2</v>
      </c>
      <c r="H2859" s="138">
        <f t="shared" si="45"/>
        <v>0</v>
      </c>
      <c r="I2859" s="141" t="s">
        <v>15214</v>
      </c>
    </row>
    <row r="2860" spans="1:9" x14ac:dyDescent="0.25">
      <c r="A2860" s="167" t="s">
        <v>18300</v>
      </c>
      <c r="B2860" s="142" t="s">
        <v>18410</v>
      </c>
      <c r="C2860" s="143">
        <v>112909</v>
      </c>
      <c r="D2860" s="142" t="s">
        <v>15421</v>
      </c>
      <c r="E2860" s="144">
        <v>185</v>
      </c>
      <c r="F2860" s="145">
        <v>42877</v>
      </c>
      <c r="G2860" s="146">
        <v>185</v>
      </c>
      <c r="H2860" s="138">
        <f t="shared" si="45"/>
        <v>0</v>
      </c>
      <c r="I2860" s="147" t="s">
        <v>15214</v>
      </c>
    </row>
    <row r="2861" spans="1:9" x14ac:dyDescent="0.25">
      <c r="A2861" s="168" t="s">
        <v>18300</v>
      </c>
      <c r="B2861" s="136" t="s">
        <v>18411</v>
      </c>
      <c r="C2861" s="137">
        <v>112910</v>
      </c>
      <c r="D2861" s="136" t="s">
        <v>15246</v>
      </c>
      <c r="E2861" s="138">
        <v>51996.2</v>
      </c>
      <c r="F2861" s="139">
        <v>42882</v>
      </c>
      <c r="G2861" s="140">
        <v>51996.2</v>
      </c>
      <c r="H2861" s="138">
        <f t="shared" si="45"/>
        <v>0</v>
      </c>
      <c r="I2861" s="141" t="s">
        <v>15214</v>
      </c>
    </row>
    <row r="2862" spans="1:9" x14ac:dyDescent="0.25">
      <c r="A2862" s="167" t="s">
        <v>18300</v>
      </c>
      <c r="B2862" s="142" t="s">
        <v>18412</v>
      </c>
      <c r="C2862" s="143">
        <v>112911</v>
      </c>
      <c r="D2862" s="142" t="s">
        <v>15407</v>
      </c>
      <c r="E2862" s="144">
        <v>3985.2</v>
      </c>
      <c r="F2862" s="145">
        <v>42877</v>
      </c>
      <c r="G2862" s="146">
        <v>3985.2</v>
      </c>
      <c r="H2862" s="138">
        <f t="shared" si="45"/>
        <v>0</v>
      </c>
      <c r="I2862" s="147" t="s">
        <v>15214</v>
      </c>
    </row>
    <row r="2863" spans="1:9" x14ac:dyDescent="0.25">
      <c r="A2863" s="168" t="s">
        <v>18300</v>
      </c>
      <c r="B2863" s="136" t="s">
        <v>18413</v>
      </c>
      <c r="C2863" s="137">
        <v>112912</v>
      </c>
      <c r="D2863" s="136" t="s">
        <v>15407</v>
      </c>
      <c r="E2863" s="138">
        <v>2280</v>
      </c>
      <c r="F2863" s="139">
        <v>42877</v>
      </c>
      <c r="G2863" s="140">
        <v>2280</v>
      </c>
      <c r="H2863" s="138">
        <f t="shared" si="45"/>
        <v>0</v>
      </c>
      <c r="I2863" s="141" t="s">
        <v>15214</v>
      </c>
    </row>
    <row r="2864" spans="1:9" x14ac:dyDescent="0.25">
      <c r="A2864" s="167" t="s">
        <v>18300</v>
      </c>
      <c r="B2864" s="142" t="s">
        <v>18414</v>
      </c>
      <c r="C2864" s="143">
        <v>112913</v>
      </c>
      <c r="D2864" s="142" t="s">
        <v>15396</v>
      </c>
      <c r="E2864" s="144">
        <v>5818.2</v>
      </c>
      <c r="F2864" s="145">
        <v>42877</v>
      </c>
      <c r="G2864" s="146">
        <v>5818.2</v>
      </c>
      <c r="H2864" s="138">
        <f t="shared" si="45"/>
        <v>0</v>
      </c>
      <c r="I2864" s="147" t="s">
        <v>15214</v>
      </c>
    </row>
    <row r="2865" spans="1:9" x14ac:dyDescent="0.25">
      <c r="A2865" s="168" t="s">
        <v>18300</v>
      </c>
      <c r="B2865" s="136" t="s">
        <v>18415</v>
      </c>
      <c r="C2865" s="137">
        <v>112914</v>
      </c>
      <c r="D2865" s="136" t="s">
        <v>15442</v>
      </c>
      <c r="E2865" s="138">
        <v>13995</v>
      </c>
      <c r="F2865" s="139">
        <v>42881</v>
      </c>
      <c r="G2865" s="140">
        <v>13995</v>
      </c>
      <c r="H2865" s="138">
        <f t="shared" si="45"/>
        <v>0</v>
      </c>
      <c r="I2865" s="141" t="s">
        <v>15214</v>
      </c>
    </row>
    <row r="2866" spans="1:9" x14ac:dyDescent="0.25">
      <c r="A2866" s="167" t="s">
        <v>18300</v>
      </c>
      <c r="B2866" s="142" t="s">
        <v>18416</v>
      </c>
      <c r="C2866" s="143">
        <v>112915</v>
      </c>
      <c r="D2866" s="142" t="s">
        <v>15706</v>
      </c>
      <c r="E2866" s="144">
        <v>336.3</v>
      </c>
      <c r="F2866" s="145">
        <v>42877</v>
      </c>
      <c r="G2866" s="146">
        <v>336.3</v>
      </c>
      <c r="H2866" s="138">
        <f t="shared" si="45"/>
        <v>0</v>
      </c>
      <c r="I2866" s="147" t="s">
        <v>15214</v>
      </c>
    </row>
    <row r="2867" spans="1:9" x14ac:dyDescent="0.25">
      <c r="A2867" s="168" t="s">
        <v>18300</v>
      </c>
      <c r="B2867" s="136" t="s">
        <v>18417</v>
      </c>
      <c r="C2867" s="137">
        <v>112916</v>
      </c>
      <c r="D2867" s="136" t="s">
        <v>15920</v>
      </c>
      <c r="E2867" s="138">
        <v>11200</v>
      </c>
      <c r="F2867" s="157">
        <v>42893</v>
      </c>
      <c r="G2867" s="158">
        <v>11200</v>
      </c>
      <c r="H2867" s="138">
        <f t="shared" si="45"/>
        <v>0</v>
      </c>
      <c r="I2867" s="141" t="s">
        <v>15214</v>
      </c>
    </row>
    <row r="2868" spans="1:9" x14ac:dyDescent="0.25">
      <c r="A2868" s="167" t="s">
        <v>18300</v>
      </c>
      <c r="B2868" s="142" t="s">
        <v>18418</v>
      </c>
      <c r="C2868" s="143">
        <v>112917</v>
      </c>
      <c r="D2868" s="142" t="s">
        <v>18419</v>
      </c>
      <c r="E2868" s="144">
        <v>22428</v>
      </c>
      <c r="F2868" s="145">
        <v>42886</v>
      </c>
      <c r="G2868" s="146">
        <v>22428</v>
      </c>
      <c r="H2868" s="138">
        <f t="shared" si="45"/>
        <v>0</v>
      </c>
      <c r="I2868" s="147" t="s">
        <v>15214</v>
      </c>
    </row>
    <row r="2869" spans="1:9" x14ac:dyDescent="0.25">
      <c r="A2869" s="168" t="s">
        <v>18300</v>
      </c>
      <c r="B2869" s="136" t="s">
        <v>18420</v>
      </c>
      <c r="C2869" s="137">
        <v>112918</v>
      </c>
      <c r="D2869" s="136" t="s">
        <v>15391</v>
      </c>
      <c r="E2869" s="138">
        <v>8073.4</v>
      </c>
      <c r="F2869" s="139">
        <v>42880</v>
      </c>
      <c r="G2869" s="140">
        <v>8073.4</v>
      </c>
      <c r="H2869" s="138">
        <f t="shared" si="45"/>
        <v>0</v>
      </c>
      <c r="I2869" s="141" t="s">
        <v>15214</v>
      </c>
    </row>
    <row r="2870" spans="1:9" x14ac:dyDescent="0.25">
      <c r="A2870" s="167" t="s">
        <v>18300</v>
      </c>
      <c r="B2870" s="142" t="s">
        <v>18421</v>
      </c>
      <c r="C2870" s="143">
        <v>112919</v>
      </c>
      <c r="D2870" s="142" t="s">
        <v>15361</v>
      </c>
      <c r="E2870" s="144">
        <v>17972.2</v>
      </c>
      <c r="F2870" s="145">
        <v>42880</v>
      </c>
      <c r="G2870" s="146">
        <v>17972.2</v>
      </c>
      <c r="H2870" s="138">
        <f t="shared" si="45"/>
        <v>0</v>
      </c>
      <c r="I2870" s="147" t="s">
        <v>15214</v>
      </c>
    </row>
    <row r="2871" spans="1:9" x14ac:dyDescent="0.25">
      <c r="A2871" s="168" t="s">
        <v>18300</v>
      </c>
      <c r="B2871" s="136" t="s">
        <v>18422</v>
      </c>
      <c r="C2871" s="137">
        <v>112920</v>
      </c>
      <c r="D2871" s="136" t="s">
        <v>15385</v>
      </c>
      <c r="E2871" s="138">
        <v>10601.4</v>
      </c>
      <c r="F2871" s="139">
        <v>42880</v>
      </c>
      <c r="G2871" s="140">
        <v>10601.4</v>
      </c>
      <c r="H2871" s="138">
        <f t="shared" si="45"/>
        <v>0</v>
      </c>
      <c r="I2871" s="141" t="s">
        <v>15214</v>
      </c>
    </row>
    <row r="2872" spans="1:9" x14ac:dyDescent="0.25">
      <c r="A2872" s="167" t="s">
        <v>18300</v>
      </c>
      <c r="B2872" s="142" t="s">
        <v>18423</v>
      </c>
      <c r="C2872" s="143">
        <v>112921</v>
      </c>
      <c r="D2872" s="142" t="s">
        <v>15452</v>
      </c>
      <c r="E2872" s="144">
        <v>2965.2</v>
      </c>
      <c r="F2872" s="145">
        <v>42878</v>
      </c>
      <c r="G2872" s="146">
        <v>2965.2</v>
      </c>
      <c r="H2872" s="138">
        <f t="shared" si="45"/>
        <v>0</v>
      </c>
      <c r="I2872" s="147" t="s">
        <v>15214</v>
      </c>
    </row>
    <row r="2873" spans="1:9" x14ac:dyDescent="0.25">
      <c r="A2873" s="168" t="s">
        <v>18300</v>
      </c>
      <c r="B2873" s="136" t="s">
        <v>18424</v>
      </c>
      <c r="C2873" s="137">
        <v>112922</v>
      </c>
      <c r="D2873" s="136" t="s">
        <v>15448</v>
      </c>
      <c r="E2873" s="138">
        <v>128490.48</v>
      </c>
      <c r="F2873" s="139">
        <v>42882</v>
      </c>
      <c r="G2873" s="140">
        <v>128490.48</v>
      </c>
      <c r="H2873" s="138">
        <f t="shared" si="45"/>
        <v>0</v>
      </c>
      <c r="I2873" s="141" t="s">
        <v>15214</v>
      </c>
    </row>
    <row r="2874" spans="1:9" x14ac:dyDescent="0.25">
      <c r="A2874" s="167" t="s">
        <v>18300</v>
      </c>
      <c r="B2874" s="142" t="s">
        <v>18425</v>
      </c>
      <c r="C2874" s="143">
        <v>112923</v>
      </c>
      <c r="D2874" s="142" t="s">
        <v>15458</v>
      </c>
      <c r="E2874" s="144">
        <v>1980</v>
      </c>
      <c r="F2874" s="145">
        <v>42878</v>
      </c>
      <c r="G2874" s="146">
        <v>1980</v>
      </c>
      <c r="H2874" s="138">
        <f t="shared" si="45"/>
        <v>0</v>
      </c>
      <c r="I2874" s="147" t="s">
        <v>15214</v>
      </c>
    </row>
    <row r="2875" spans="1:9" x14ac:dyDescent="0.25">
      <c r="A2875" s="168" t="s">
        <v>18300</v>
      </c>
      <c r="B2875" s="136" t="s">
        <v>18426</v>
      </c>
      <c r="C2875" s="137">
        <v>112924</v>
      </c>
      <c r="D2875" s="136" t="s">
        <v>15450</v>
      </c>
      <c r="E2875" s="138">
        <v>1623.1</v>
      </c>
      <c r="F2875" s="139">
        <v>42878</v>
      </c>
      <c r="G2875" s="140">
        <v>1623.1</v>
      </c>
      <c r="H2875" s="138">
        <f t="shared" si="45"/>
        <v>0</v>
      </c>
      <c r="I2875" s="141" t="s">
        <v>15214</v>
      </c>
    </row>
    <row r="2876" spans="1:9" x14ac:dyDescent="0.25">
      <c r="A2876" s="167" t="s">
        <v>18300</v>
      </c>
      <c r="B2876" s="142" t="s">
        <v>18427</v>
      </c>
      <c r="C2876" s="143">
        <v>112925</v>
      </c>
      <c r="D2876" s="142" t="s">
        <v>15454</v>
      </c>
      <c r="E2876" s="144">
        <v>4416.6000000000004</v>
      </c>
      <c r="F2876" s="145">
        <v>42878</v>
      </c>
      <c r="G2876" s="146">
        <v>4416.6000000000004</v>
      </c>
      <c r="H2876" s="138">
        <f t="shared" si="45"/>
        <v>0</v>
      </c>
      <c r="I2876" s="147" t="s">
        <v>15214</v>
      </c>
    </row>
    <row r="2877" spans="1:9" x14ac:dyDescent="0.25">
      <c r="A2877" s="168" t="s">
        <v>18300</v>
      </c>
      <c r="B2877" s="136" t="s">
        <v>18428</v>
      </c>
      <c r="C2877" s="137">
        <v>112926</v>
      </c>
      <c r="D2877" s="136" t="s">
        <v>15446</v>
      </c>
      <c r="E2877" s="138">
        <v>1996</v>
      </c>
      <c r="F2877" s="139">
        <v>42878</v>
      </c>
      <c r="G2877" s="140">
        <v>1996</v>
      </c>
      <c r="H2877" s="138">
        <f t="shared" si="45"/>
        <v>0</v>
      </c>
      <c r="I2877" s="141" t="s">
        <v>15214</v>
      </c>
    </row>
    <row r="2878" spans="1:9" x14ac:dyDescent="0.25">
      <c r="A2878" s="167" t="s">
        <v>18300</v>
      </c>
      <c r="B2878" s="142" t="s">
        <v>18429</v>
      </c>
      <c r="C2878" s="143">
        <v>112927</v>
      </c>
      <c r="D2878" s="142" t="s">
        <v>15448</v>
      </c>
      <c r="E2878" s="144">
        <v>1242.5</v>
      </c>
      <c r="F2878" s="145">
        <v>42882</v>
      </c>
      <c r="G2878" s="146">
        <v>1242.5</v>
      </c>
      <c r="H2878" s="138">
        <f t="shared" si="45"/>
        <v>0</v>
      </c>
      <c r="I2878" s="147" t="s">
        <v>15214</v>
      </c>
    </row>
    <row r="2879" spans="1:9" x14ac:dyDescent="0.25">
      <c r="A2879" s="168" t="s">
        <v>18300</v>
      </c>
      <c r="B2879" s="136" t="s">
        <v>18430</v>
      </c>
      <c r="C2879" s="137">
        <v>112928</v>
      </c>
      <c r="D2879" s="136" t="s">
        <v>15961</v>
      </c>
      <c r="E2879" s="138">
        <v>5242.3</v>
      </c>
      <c r="F2879" s="139">
        <v>42878</v>
      </c>
      <c r="G2879" s="140">
        <v>5242.3</v>
      </c>
      <c r="H2879" s="138">
        <f t="shared" si="45"/>
        <v>0</v>
      </c>
      <c r="I2879" s="141" t="s">
        <v>15214</v>
      </c>
    </row>
    <row r="2880" spans="1:9" x14ac:dyDescent="0.25">
      <c r="A2880" s="167" t="s">
        <v>18300</v>
      </c>
      <c r="B2880" s="142" t="s">
        <v>18431</v>
      </c>
      <c r="C2880" s="143">
        <v>112929</v>
      </c>
      <c r="D2880" s="142" t="s">
        <v>15433</v>
      </c>
      <c r="E2880" s="144">
        <v>1255.5</v>
      </c>
      <c r="F2880" s="145">
        <v>42877</v>
      </c>
      <c r="G2880" s="146">
        <v>1255.5</v>
      </c>
      <c r="H2880" s="138">
        <f t="shared" si="45"/>
        <v>0</v>
      </c>
      <c r="I2880" s="147" t="s">
        <v>15214</v>
      </c>
    </row>
    <row r="2881" spans="1:9" x14ac:dyDescent="0.25">
      <c r="A2881" s="168" t="s">
        <v>18300</v>
      </c>
      <c r="B2881" s="136" t="s">
        <v>18432</v>
      </c>
      <c r="C2881" s="137">
        <v>112930</v>
      </c>
      <c r="D2881" s="136" t="s">
        <v>15246</v>
      </c>
      <c r="E2881" s="138">
        <v>64356.3</v>
      </c>
      <c r="F2881" s="139">
        <v>42882</v>
      </c>
      <c r="G2881" s="140">
        <v>64356.3</v>
      </c>
      <c r="H2881" s="138">
        <f t="shared" si="45"/>
        <v>0</v>
      </c>
      <c r="I2881" s="141" t="s">
        <v>15214</v>
      </c>
    </row>
    <row r="2882" spans="1:9" x14ac:dyDescent="0.25">
      <c r="A2882" s="167" t="s">
        <v>18300</v>
      </c>
      <c r="B2882" s="142" t="s">
        <v>18433</v>
      </c>
      <c r="C2882" s="143">
        <v>112931</v>
      </c>
      <c r="D2882" s="142" t="s">
        <v>15246</v>
      </c>
      <c r="E2882" s="144">
        <v>30</v>
      </c>
      <c r="F2882" s="145">
        <v>42882</v>
      </c>
      <c r="G2882" s="146">
        <v>30</v>
      </c>
      <c r="H2882" s="138">
        <f t="shared" si="45"/>
        <v>0</v>
      </c>
      <c r="I2882" s="147" t="s">
        <v>15214</v>
      </c>
    </row>
    <row r="2883" spans="1:9" x14ac:dyDescent="0.25">
      <c r="A2883" s="168" t="s">
        <v>18300</v>
      </c>
      <c r="B2883" s="136" t="s">
        <v>18434</v>
      </c>
      <c r="C2883" s="137">
        <v>112932</v>
      </c>
      <c r="D2883" s="136" t="s">
        <v>15644</v>
      </c>
      <c r="E2883" s="138">
        <v>3351.6</v>
      </c>
      <c r="F2883" s="139">
        <v>42879</v>
      </c>
      <c r="G2883" s="140">
        <v>3351.6</v>
      </c>
      <c r="H2883" s="138">
        <f t="shared" si="45"/>
        <v>0</v>
      </c>
      <c r="I2883" s="141" t="s">
        <v>15214</v>
      </c>
    </row>
    <row r="2884" spans="1:9" x14ac:dyDescent="0.25">
      <c r="A2884" s="167" t="s">
        <v>18300</v>
      </c>
      <c r="B2884" s="142" t="s">
        <v>18435</v>
      </c>
      <c r="C2884" s="143">
        <v>112933</v>
      </c>
      <c r="D2884" s="142" t="s">
        <v>15435</v>
      </c>
      <c r="E2884" s="144">
        <v>9897.4</v>
      </c>
      <c r="F2884" s="145">
        <v>42877</v>
      </c>
      <c r="G2884" s="146">
        <v>9897.4</v>
      </c>
      <c r="H2884" s="138">
        <f t="shared" si="45"/>
        <v>0</v>
      </c>
      <c r="I2884" s="147" t="s">
        <v>15214</v>
      </c>
    </row>
    <row r="2885" spans="1:9" x14ac:dyDescent="0.25">
      <c r="A2885" s="168" t="s">
        <v>18300</v>
      </c>
      <c r="B2885" s="136" t="s">
        <v>18436</v>
      </c>
      <c r="C2885" s="137">
        <v>112934</v>
      </c>
      <c r="D2885" s="136" t="s">
        <v>15263</v>
      </c>
      <c r="E2885" s="138">
        <v>1398</v>
      </c>
      <c r="F2885" s="139">
        <v>42877</v>
      </c>
      <c r="G2885" s="140">
        <v>1398</v>
      </c>
      <c r="H2885" s="138">
        <f t="shared" si="45"/>
        <v>0</v>
      </c>
      <c r="I2885" s="141" t="s">
        <v>15214</v>
      </c>
    </row>
    <row r="2886" spans="1:9" x14ac:dyDescent="0.25">
      <c r="A2886" s="167" t="s">
        <v>18300</v>
      </c>
      <c r="B2886" s="142" t="s">
        <v>18437</v>
      </c>
      <c r="C2886" s="143">
        <v>112935</v>
      </c>
      <c r="D2886" s="142" t="s">
        <v>15920</v>
      </c>
      <c r="E2886" s="144">
        <v>4818</v>
      </c>
      <c r="F2886" s="145">
        <v>42882</v>
      </c>
      <c r="G2886" s="146">
        <v>4818</v>
      </c>
      <c r="H2886" s="138">
        <f t="shared" si="45"/>
        <v>0</v>
      </c>
      <c r="I2886" s="147" t="s">
        <v>15214</v>
      </c>
    </row>
    <row r="2887" spans="1:9" x14ac:dyDescent="0.25">
      <c r="A2887" s="168" t="s">
        <v>18300</v>
      </c>
      <c r="B2887" s="136" t="s">
        <v>18438</v>
      </c>
      <c r="C2887" s="137">
        <v>112936</v>
      </c>
      <c r="D2887" s="136" t="s">
        <v>15462</v>
      </c>
      <c r="E2887" s="138">
        <v>18700.599999999999</v>
      </c>
      <c r="F2887" s="139">
        <v>42878</v>
      </c>
      <c r="G2887" s="140">
        <v>18700.599999999999</v>
      </c>
      <c r="H2887" s="138">
        <f t="shared" ref="H2887:H2950" si="46">E2887-G2887</f>
        <v>0</v>
      </c>
      <c r="I2887" s="141" t="s">
        <v>15214</v>
      </c>
    </row>
    <row r="2888" spans="1:9" x14ac:dyDescent="0.25">
      <c r="A2888" s="167" t="s">
        <v>18300</v>
      </c>
      <c r="B2888" s="142" t="s">
        <v>18439</v>
      </c>
      <c r="C2888" s="143">
        <v>112937</v>
      </c>
      <c r="D2888" s="142" t="s">
        <v>15213</v>
      </c>
      <c r="E2888" s="144">
        <v>8300.4</v>
      </c>
      <c r="F2888" s="145">
        <v>42878</v>
      </c>
      <c r="G2888" s="146">
        <v>8300.4</v>
      </c>
      <c r="H2888" s="138">
        <f t="shared" si="46"/>
        <v>0</v>
      </c>
      <c r="I2888" s="147" t="s">
        <v>15214</v>
      </c>
    </row>
    <row r="2889" spans="1:9" x14ac:dyDescent="0.25">
      <c r="A2889" s="168" t="s">
        <v>18300</v>
      </c>
      <c r="B2889" s="136" t="s">
        <v>18440</v>
      </c>
      <c r="C2889" s="137">
        <v>112938</v>
      </c>
      <c r="D2889" s="136" t="s">
        <v>15284</v>
      </c>
      <c r="E2889" s="138">
        <v>788.9</v>
      </c>
      <c r="F2889" s="139">
        <v>42877</v>
      </c>
      <c r="G2889" s="140">
        <v>788.9</v>
      </c>
      <c r="H2889" s="138">
        <f t="shared" si="46"/>
        <v>0</v>
      </c>
      <c r="I2889" s="141" t="s">
        <v>15214</v>
      </c>
    </row>
    <row r="2890" spans="1:9" x14ac:dyDescent="0.25">
      <c r="A2890" s="167" t="s">
        <v>18300</v>
      </c>
      <c r="B2890" s="142" t="s">
        <v>18441</v>
      </c>
      <c r="C2890" s="143">
        <v>112939</v>
      </c>
      <c r="D2890" s="142" t="s">
        <v>15315</v>
      </c>
      <c r="E2890" s="144">
        <v>2124.7199999999998</v>
      </c>
      <c r="F2890" s="145">
        <v>42878</v>
      </c>
      <c r="G2890" s="146">
        <v>2124.7199999999998</v>
      </c>
      <c r="H2890" s="138">
        <f t="shared" si="46"/>
        <v>0</v>
      </c>
      <c r="I2890" s="147" t="s">
        <v>15214</v>
      </c>
    </row>
    <row r="2891" spans="1:9" x14ac:dyDescent="0.25">
      <c r="A2891" s="168" t="s">
        <v>18300</v>
      </c>
      <c r="B2891" s="136" t="s">
        <v>18442</v>
      </c>
      <c r="C2891" s="137">
        <v>112940</v>
      </c>
      <c r="D2891" s="136" t="s">
        <v>15315</v>
      </c>
      <c r="E2891" s="138">
        <v>9734.4</v>
      </c>
      <c r="F2891" s="139">
        <v>42878</v>
      </c>
      <c r="G2891" s="140">
        <v>9734.4</v>
      </c>
      <c r="H2891" s="138">
        <f t="shared" si="46"/>
        <v>0</v>
      </c>
      <c r="I2891" s="141" t="s">
        <v>15214</v>
      </c>
    </row>
    <row r="2892" spans="1:9" x14ac:dyDescent="0.25">
      <c r="A2892" s="167" t="s">
        <v>18443</v>
      </c>
      <c r="B2892" s="142" t="s">
        <v>18444</v>
      </c>
      <c r="C2892" s="143">
        <v>112941</v>
      </c>
      <c r="D2892" s="142" t="s">
        <v>15213</v>
      </c>
      <c r="E2892" s="144">
        <v>8888.4</v>
      </c>
      <c r="F2892" s="145">
        <v>42879</v>
      </c>
      <c r="G2892" s="146">
        <v>8888.4</v>
      </c>
      <c r="H2892" s="138">
        <f t="shared" si="46"/>
        <v>0</v>
      </c>
      <c r="I2892" s="147" t="s">
        <v>15214</v>
      </c>
    </row>
    <row r="2893" spans="1:9" ht="15.75" x14ac:dyDescent="0.25">
      <c r="A2893" s="168" t="s">
        <v>18443</v>
      </c>
      <c r="B2893" s="136" t="s">
        <v>18445</v>
      </c>
      <c r="C2893" s="137">
        <v>112942</v>
      </c>
      <c r="D2893" s="136" t="s">
        <v>15213</v>
      </c>
      <c r="E2893" s="138">
        <v>0</v>
      </c>
      <c r="F2893" s="153" t="s">
        <v>95</v>
      </c>
      <c r="G2893" s="138">
        <v>0</v>
      </c>
      <c r="H2893" s="138">
        <f t="shared" si="46"/>
        <v>0</v>
      </c>
      <c r="I2893" s="141" t="s">
        <v>95</v>
      </c>
    </row>
    <row r="2894" spans="1:9" x14ac:dyDescent="0.25">
      <c r="A2894" s="167" t="s">
        <v>18443</v>
      </c>
      <c r="B2894" s="142" t="s">
        <v>18446</v>
      </c>
      <c r="C2894" s="143">
        <v>112943</v>
      </c>
      <c r="D2894" s="142" t="s">
        <v>15213</v>
      </c>
      <c r="E2894" s="144">
        <v>33097.4</v>
      </c>
      <c r="F2894" s="145">
        <v>42879</v>
      </c>
      <c r="G2894" s="146">
        <v>33097.4</v>
      </c>
      <c r="H2894" s="138">
        <f t="shared" si="46"/>
        <v>0</v>
      </c>
      <c r="I2894" s="147" t="s">
        <v>15214</v>
      </c>
    </row>
    <row r="2895" spans="1:9" x14ac:dyDescent="0.25">
      <c r="A2895" s="168" t="s">
        <v>18443</v>
      </c>
      <c r="B2895" s="136" t="s">
        <v>18447</v>
      </c>
      <c r="C2895" s="137">
        <v>112944</v>
      </c>
      <c r="D2895" s="136" t="s">
        <v>15407</v>
      </c>
      <c r="E2895" s="138">
        <v>4057.7</v>
      </c>
      <c r="F2895" s="139">
        <v>42878</v>
      </c>
      <c r="G2895" s="140">
        <v>4057.7</v>
      </c>
      <c r="H2895" s="138">
        <f t="shared" si="46"/>
        <v>0</v>
      </c>
      <c r="I2895" s="141" t="s">
        <v>15214</v>
      </c>
    </row>
    <row r="2896" spans="1:9" x14ac:dyDescent="0.25">
      <c r="A2896" s="167" t="s">
        <v>18443</v>
      </c>
      <c r="B2896" s="142" t="s">
        <v>18448</v>
      </c>
      <c r="C2896" s="143">
        <v>112945</v>
      </c>
      <c r="D2896" s="142" t="s">
        <v>15348</v>
      </c>
      <c r="E2896" s="144">
        <v>792</v>
      </c>
      <c r="F2896" s="145">
        <v>42879</v>
      </c>
      <c r="G2896" s="146">
        <v>792</v>
      </c>
      <c r="H2896" s="138">
        <f t="shared" si="46"/>
        <v>0</v>
      </c>
      <c r="I2896" s="147" t="s">
        <v>15214</v>
      </c>
    </row>
    <row r="2897" spans="1:9" x14ac:dyDescent="0.25">
      <c r="A2897" s="168" t="s">
        <v>18443</v>
      </c>
      <c r="B2897" s="136" t="s">
        <v>18449</v>
      </c>
      <c r="C2897" s="137">
        <v>112946</v>
      </c>
      <c r="D2897" s="136" t="s">
        <v>15242</v>
      </c>
      <c r="E2897" s="138">
        <v>5112</v>
      </c>
      <c r="F2897" s="139">
        <v>42879</v>
      </c>
      <c r="G2897" s="140">
        <v>5112</v>
      </c>
      <c r="H2897" s="138">
        <f t="shared" si="46"/>
        <v>0</v>
      </c>
      <c r="I2897" s="141" t="s">
        <v>15214</v>
      </c>
    </row>
    <row r="2898" spans="1:9" x14ac:dyDescent="0.25">
      <c r="A2898" s="167" t="s">
        <v>18443</v>
      </c>
      <c r="B2898" s="142" t="s">
        <v>18450</v>
      </c>
      <c r="C2898" s="143">
        <v>112947</v>
      </c>
      <c r="D2898" s="142" t="s">
        <v>15240</v>
      </c>
      <c r="E2898" s="144">
        <v>801.6</v>
      </c>
      <c r="F2898" s="145">
        <v>42879</v>
      </c>
      <c r="G2898" s="146">
        <v>801.6</v>
      </c>
      <c r="H2898" s="138">
        <f t="shared" si="46"/>
        <v>0</v>
      </c>
      <c r="I2898" s="147" t="s">
        <v>15214</v>
      </c>
    </row>
    <row r="2899" spans="1:9" x14ac:dyDescent="0.25">
      <c r="A2899" s="168" t="s">
        <v>18443</v>
      </c>
      <c r="B2899" s="136" t="s">
        <v>18451</v>
      </c>
      <c r="C2899" s="137">
        <v>112948</v>
      </c>
      <c r="D2899" s="136" t="s">
        <v>18452</v>
      </c>
      <c r="E2899" s="138">
        <v>780</v>
      </c>
      <c r="F2899" s="139">
        <v>42878</v>
      </c>
      <c r="G2899" s="140">
        <v>780</v>
      </c>
      <c r="H2899" s="138">
        <f t="shared" si="46"/>
        <v>0</v>
      </c>
      <c r="I2899" s="141" t="s">
        <v>15214</v>
      </c>
    </row>
    <row r="2900" spans="1:9" x14ac:dyDescent="0.25">
      <c r="A2900" s="167" t="s">
        <v>18443</v>
      </c>
      <c r="B2900" s="142" t="s">
        <v>18453</v>
      </c>
      <c r="C2900" s="143">
        <v>112949</v>
      </c>
      <c r="D2900" s="142" t="s">
        <v>15324</v>
      </c>
      <c r="E2900" s="144">
        <v>571</v>
      </c>
      <c r="F2900" s="145">
        <v>42878</v>
      </c>
      <c r="G2900" s="146">
        <v>571</v>
      </c>
      <c r="H2900" s="138">
        <f t="shared" si="46"/>
        <v>0</v>
      </c>
      <c r="I2900" s="147" t="s">
        <v>15214</v>
      </c>
    </row>
    <row r="2901" spans="1:9" ht="15.75" x14ac:dyDescent="0.25">
      <c r="A2901" s="168" t="s">
        <v>18443</v>
      </c>
      <c r="B2901" s="136" t="s">
        <v>18454</v>
      </c>
      <c r="C2901" s="137">
        <v>112950</v>
      </c>
      <c r="D2901" s="136" t="s">
        <v>15230</v>
      </c>
      <c r="E2901" s="138">
        <v>0</v>
      </c>
      <c r="F2901" s="153" t="s">
        <v>95</v>
      </c>
      <c r="G2901" s="138">
        <v>0</v>
      </c>
      <c r="H2901" s="138">
        <f t="shared" si="46"/>
        <v>0</v>
      </c>
      <c r="I2901" s="141" t="s">
        <v>95</v>
      </c>
    </row>
    <row r="2902" spans="1:9" x14ac:dyDescent="0.25">
      <c r="A2902" s="167" t="s">
        <v>18443</v>
      </c>
      <c r="B2902" s="142" t="s">
        <v>18455</v>
      </c>
      <c r="C2902" s="143">
        <v>112951</v>
      </c>
      <c r="D2902" s="142" t="s">
        <v>15350</v>
      </c>
      <c r="E2902" s="144">
        <v>820.8</v>
      </c>
      <c r="F2902" s="145">
        <v>42878</v>
      </c>
      <c r="G2902" s="146">
        <v>820.8</v>
      </c>
      <c r="H2902" s="138">
        <f t="shared" si="46"/>
        <v>0</v>
      </c>
      <c r="I2902" s="147" t="s">
        <v>15214</v>
      </c>
    </row>
    <row r="2903" spans="1:9" x14ac:dyDescent="0.25">
      <c r="A2903" s="168" t="s">
        <v>18443</v>
      </c>
      <c r="B2903" s="136" t="s">
        <v>18456</v>
      </c>
      <c r="C2903" s="137">
        <v>112952</v>
      </c>
      <c r="D2903" s="136" t="s">
        <v>15523</v>
      </c>
      <c r="E2903" s="138">
        <v>1444.8</v>
      </c>
      <c r="F2903" s="139">
        <v>42878</v>
      </c>
      <c r="G2903" s="140">
        <v>1444.8</v>
      </c>
      <c r="H2903" s="138">
        <f t="shared" si="46"/>
        <v>0</v>
      </c>
      <c r="I2903" s="141" t="s">
        <v>15214</v>
      </c>
    </row>
    <row r="2904" spans="1:9" x14ac:dyDescent="0.25">
      <c r="A2904" s="167" t="s">
        <v>18443</v>
      </c>
      <c r="B2904" s="142" t="s">
        <v>18457</v>
      </c>
      <c r="C2904" s="143">
        <v>112953</v>
      </c>
      <c r="D2904" s="142" t="s">
        <v>15230</v>
      </c>
      <c r="E2904" s="144">
        <v>9202.5</v>
      </c>
      <c r="F2904" s="145">
        <v>42880</v>
      </c>
      <c r="G2904" s="146">
        <v>9202.5</v>
      </c>
      <c r="H2904" s="138">
        <f t="shared" si="46"/>
        <v>0</v>
      </c>
      <c r="I2904" s="147" t="s">
        <v>15214</v>
      </c>
    </row>
    <row r="2905" spans="1:9" x14ac:dyDescent="0.25">
      <c r="A2905" s="168" t="s">
        <v>18443</v>
      </c>
      <c r="B2905" s="136" t="s">
        <v>18458</v>
      </c>
      <c r="C2905" s="137">
        <v>112954</v>
      </c>
      <c r="D2905" s="136" t="s">
        <v>15553</v>
      </c>
      <c r="E2905" s="138">
        <v>1035.1199999999999</v>
      </c>
      <c r="F2905" s="139">
        <v>42878</v>
      </c>
      <c r="G2905" s="140">
        <v>1035.1199999999999</v>
      </c>
      <c r="H2905" s="138">
        <f t="shared" si="46"/>
        <v>0</v>
      </c>
      <c r="I2905" s="141" t="s">
        <v>15214</v>
      </c>
    </row>
    <row r="2906" spans="1:9" x14ac:dyDescent="0.25">
      <c r="A2906" s="167" t="s">
        <v>18443</v>
      </c>
      <c r="B2906" s="142" t="s">
        <v>18459</v>
      </c>
      <c r="C2906" s="143">
        <v>112955</v>
      </c>
      <c r="D2906" s="142" t="s">
        <v>15858</v>
      </c>
      <c r="E2906" s="144">
        <v>2070.2399999999998</v>
      </c>
      <c r="F2906" s="139">
        <v>42878</v>
      </c>
      <c r="G2906" s="146">
        <v>2070.2399999999998</v>
      </c>
      <c r="H2906" s="138">
        <f t="shared" si="46"/>
        <v>0</v>
      </c>
      <c r="I2906" s="147" t="s">
        <v>15214</v>
      </c>
    </row>
    <row r="2907" spans="1:9" x14ac:dyDescent="0.25">
      <c r="A2907" s="168" t="s">
        <v>18443</v>
      </c>
      <c r="B2907" s="136" t="s">
        <v>18460</v>
      </c>
      <c r="C2907" s="137">
        <v>112956</v>
      </c>
      <c r="D2907" s="136" t="s">
        <v>15526</v>
      </c>
      <c r="E2907" s="138">
        <v>4100.2</v>
      </c>
      <c r="F2907" s="139">
        <v>42878</v>
      </c>
      <c r="G2907" s="140">
        <v>4100.2</v>
      </c>
      <c r="H2907" s="138">
        <f t="shared" si="46"/>
        <v>0</v>
      </c>
      <c r="I2907" s="141" t="s">
        <v>15214</v>
      </c>
    </row>
    <row r="2908" spans="1:9" x14ac:dyDescent="0.25">
      <c r="A2908" s="167" t="s">
        <v>18443</v>
      </c>
      <c r="B2908" s="142" t="s">
        <v>18461</v>
      </c>
      <c r="C2908" s="143">
        <v>112957</v>
      </c>
      <c r="D2908" s="142" t="s">
        <v>15344</v>
      </c>
      <c r="E2908" s="144">
        <v>2401</v>
      </c>
      <c r="F2908" s="139">
        <v>42878</v>
      </c>
      <c r="G2908" s="146">
        <v>2401</v>
      </c>
      <c r="H2908" s="138">
        <f t="shared" si="46"/>
        <v>0</v>
      </c>
      <c r="I2908" s="147" t="s">
        <v>15214</v>
      </c>
    </row>
    <row r="2909" spans="1:9" x14ac:dyDescent="0.25">
      <c r="A2909" s="168" t="s">
        <v>18443</v>
      </c>
      <c r="B2909" s="136" t="s">
        <v>18462</v>
      </c>
      <c r="C2909" s="137">
        <v>112958</v>
      </c>
      <c r="D2909" s="136" t="s">
        <v>15358</v>
      </c>
      <c r="E2909" s="138">
        <v>2072.6999999999998</v>
      </c>
      <c r="F2909" s="139">
        <v>42878</v>
      </c>
      <c r="G2909" s="140">
        <v>2072.6999999999998</v>
      </c>
      <c r="H2909" s="138">
        <f t="shared" si="46"/>
        <v>0</v>
      </c>
      <c r="I2909" s="141" t="s">
        <v>15214</v>
      </c>
    </row>
    <row r="2910" spans="1:9" x14ac:dyDescent="0.25">
      <c r="A2910" s="167" t="s">
        <v>18443</v>
      </c>
      <c r="B2910" s="142" t="s">
        <v>18463</v>
      </c>
      <c r="C2910" s="143">
        <v>112959</v>
      </c>
      <c r="D2910" s="142" t="s">
        <v>15742</v>
      </c>
      <c r="E2910" s="144">
        <v>1617.6</v>
      </c>
      <c r="F2910" s="139">
        <v>42878</v>
      </c>
      <c r="G2910" s="146">
        <v>1617.6</v>
      </c>
      <c r="H2910" s="138">
        <f t="shared" si="46"/>
        <v>0</v>
      </c>
      <c r="I2910" s="147" t="s">
        <v>15214</v>
      </c>
    </row>
    <row r="2911" spans="1:9" x14ac:dyDescent="0.25">
      <c r="A2911" s="168" t="s">
        <v>18443</v>
      </c>
      <c r="B2911" s="136" t="s">
        <v>18464</v>
      </c>
      <c r="C2911" s="137">
        <v>112960</v>
      </c>
      <c r="D2911" s="136" t="s">
        <v>15258</v>
      </c>
      <c r="E2911" s="138">
        <v>15510.4</v>
      </c>
      <c r="F2911" s="139" t="s">
        <v>18465</v>
      </c>
      <c r="G2911" s="140">
        <f>6000+9510.4</f>
        <v>15510.4</v>
      </c>
      <c r="H2911" s="138">
        <f t="shared" si="46"/>
        <v>0</v>
      </c>
      <c r="I2911" s="141" t="s">
        <v>15214</v>
      </c>
    </row>
    <row r="2912" spans="1:9" x14ac:dyDescent="0.25">
      <c r="A2912" s="167" t="s">
        <v>18443</v>
      </c>
      <c r="B2912" s="142" t="s">
        <v>18466</v>
      </c>
      <c r="C2912" s="143">
        <v>112961</v>
      </c>
      <c r="D2912" s="142" t="s">
        <v>15232</v>
      </c>
      <c r="E2912" s="144">
        <v>5707.5</v>
      </c>
      <c r="F2912" s="145">
        <v>42880</v>
      </c>
      <c r="G2912" s="146">
        <v>5707.5</v>
      </c>
      <c r="H2912" s="138">
        <f t="shared" si="46"/>
        <v>0</v>
      </c>
      <c r="I2912" s="147" t="s">
        <v>15214</v>
      </c>
    </row>
    <row r="2913" spans="1:9" x14ac:dyDescent="0.25">
      <c r="A2913" s="168" t="s">
        <v>18443</v>
      </c>
      <c r="B2913" s="136" t="s">
        <v>18467</v>
      </c>
      <c r="C2913" s="137">
        <v>112962</v>
      </c>
      <c r="D2913" s="136" t="s">
        <v>15487</v>
      </c>
      <c r="E2913" s="138">
        <v>403.8</v>
      </c>
      <c r="F2913" s="139">
        <v>42878</v>
      </c>
      <c r="G2913" s="140">
        <v>403.8</v>
      </c>
      <c r="H2913" s="138">
        <f t="shared" si="46"/>
        <v>0</v>
      </c>
      <c r="I2913" s="141" t="s">
        <v>15214</v>
      </c>
    </row>
    <row r="2914" spans="1:9" x14ac:dyDescent="0.25">
      <c r="A2914" s="167" t="s">
        <v>18443</v>
      </c>
      <c r="B2914" s="142" t="s">
        <v>18468</v>
      </c>
      <c r="C2914" s="143">
        <v>112963</v>
      </c>
      <c r="D2914" s="142" t="s">
        <v>15274</v>
      </c>
      <c r="E2914" s="144">
        <v>1070</v>
      </c>
      <c r="F2914" s="145">
        <v>42878</v>
      </c>
      <c r="G2914" s="146">
        <v>1070</v>
      </c>
      <c r="H2914" s="138">
        <f t="shared" si="46"/>
        <v>0</v>
      </c>
      <c r="I2914" s="147" t="s">
        <v>15214</v>
      </c>
    </row>
    <row r="2915" spans="1:9" x14ac:dyDescent="0.25">
      <c r="A2915" s="168" t="s">
        <v>18443</v>
      </c>
      <c r="B2915" s="136" t="s">
        <v>18469</v>
      </c>
      <c r="C2915" s="137">
        <v>112964</v>
      </c>
      <c r="D2915" s="136" t="s">
        <v>15334</v>
      </c>
      <c r="E2915" s="138">
        <v>1004</v>
      </c>
      <c r="F2915" s="139">
        <v>42878</v>
      </c>
      <c r="G2915" s="140">
        <v>1004</v>
      </c>
      <c r="H2915" s="138">
        <f t="shared" si="46"/>
        <v>0</v>
      </c>
      <c r="I2915" s="141" t="s">
        <v>15214</v>
      </c>
    </row>
    <row r="2916" spans="1:9" x14ac:dyDescent="0.25">
      <c r="A2916" s="167" t="s">
        <v>18443</v>
      </c>
      <c r="B2916" s="142" t="s">
        <v>18470</v>
      </c>
      <c r="C2916" s="143">
        <v>112965</v>
      </c>
      <c r="D2916" s="142" t="s">
        <v>15334</v>
      </c>
      <c r="E2916" s="144">
        <v>1550</v>
      </c>
      <c r="F2916" s="145">
        <v>42878</v>
      </c>
      <c r="G2916" s="146">
        <v>1550</v>
      </c>
      <c r="H2916" s="138">
        <f t="shared" si="46"/>
        <v>0</v>
      </c>
      <c r="I2916" s="147" t="s">
        <v>15214</v>
      </c>
    </row>
    <row r="2917" spans="1:9" ht="15.75" x14ac:dyDescent="0.25">
      <c r="A2917" s="168" t="s">
        <v>18443</v>
      </c>
      <c r="B2917" s="136" t="s">
        <v>18471</v>
      </c>
      <c r="C2917" s="137">
        <v>112966</v>
      </c>
      <c r="D2917" s="136" t="s">
        <v>15272</v>
      </c>
      <c r="E2917" s="138">
        <v>0</v>
      </c>
      <c r="F2917" s="153" t="s">
        <v>95</v>
      </c>
      <c r="G2917" s="138">
        <v>0</v>
      </c>
      <c r="H2917" s="138">
        <f t="shared" si="46"/>
        <v>0</v>
      </c>
      <c r="I2917" s="141" t="s">
        <v>95</v>
      </c>
    </row>
    <row r="2918" spans="1:9" x14ac:dyDescent="0.25">
      <c r="A2918" s="167" t="s">
        <v>18443</v>
      </c>
      <c r="B2918" s="142" t="s">
        <v>18472</v>
      </c>
      <c r="C2918" s="143">
        <v>112967</v>
      </c>
      <c r="D2918" s="142" t="s">
        <v>15272</v>
      </c>
      <c r="E2918" s="144">
        <v>19350.900000000001</v>
      </c>
      <c r="F2918" s="145">
        <v>42878</v>
      </c>
      <c r="G2918" s="146">
        <v>19350.900000000001</v>
      </c>
      <c r="H2918" s="138">
        <f t="shared" si="46"/>
        <v>0</v>
      </c>
      <c r="I2918" s="147" t="s">
        <v>15214</v>
      </c>
    </row>
    <row r="2919" spans="1:9" x14ac:dyDescent="0.25">
      <c r="A2919" s="168" t="s">
        <v>18443</v>
      </c>
      <c r="B2919" s="136" t="s">
        <v>18473</v>
      </c>
      <c r="C2919" s="137">
        <v>112968</v>
      </c>
      <c r="D2919" s="136" t="s">
        <v>15220</v>
      </c>
      <c r="E2919" s="138">
        <v>2640</v>
      </c>
      <c r="F2919" s="139">
        <v>42878</v>
      </c>
      <c r="G2919" s="140">
        <v>2640</v>
      </c>
      <c r="H2919" s="138">
        <f t="shared" si="46"/>
        <v>0</v>
      </c>
      <c r="I2919" s="141" t="s">
        <v>15214</v>
      </c>
    </row>
    <row r="2920" spans="1:9" x14ac:dyDescent="0.25">
      <c r="A2920" s="167" t="s">
        <v>18443</v>
      </c>
      <c r="B2920" s="142" t="s">
        <v>18474</v>
      </c>
      <c r="C2920" s="143">
        <v>112969</v>
      </c>
      <c r="D2920" s="142" t="s">
        <v>15226</v>
      </c>
      <c r="E2920" s="144">
        <v>772.8</v>
      </c>
      <c r="F2920" s="145">
        <v>42884</v>
      </c>
      <c r="G2920" s="146">
        <v>772.8</v>
      </c>
      <c r="H2920" s="138">
        <f t="shared" si="46"/>
        <v>0</v>
      </c>
      <c r="I2920" s="147" t="s">
        <v>15214</v>
      </c>
    </row>
    <row r="2921" spans="1:9" ht="15.75" x14ac:dyDescent="0.25">
      <c r="A2921" s="168" t="s">
        <v>18443</v>
      </c>
      <c r="B2921" s="136" t="s">
        <v>18475</v>
      </c>
      <c r="C2921" s="137">
        <v>112970</v>
      </c>
      <c r="D2921" s="136" t="s">
        <v>15256</v>
      </c>
      <c r="E2921" s="138">
        <v>0</v>
      </c>
      <c r="F2921" s="153" t="s">
        <v>95</v>
      </c>
      <c r="G2921" s="138">
        <v>0</v>
      </c>
      <c r="H2921" s="138">
        <f t="shared" si="46"/>
        <v>0</v>
      </c>
      <c r="I2921" s="141" t="s">
        <v>95</v>
      </c>
    </row>
    <row r="2922" spans="1:9" x14ac:dyDescent="0.25">
      <c r="A2922" s="167" t="s">
        <v>18443</v>
      </c>
      <c r="B2922" s="142" t="s">
        <v>18476</v>
      </c>
      <c r="C2922" s="143">
        <v>112971</v>
      </c>
      <c r="D2922" s="142" t="s">
        <v>15356</v>
      </c>
      <c r="E2922" s="144">
        <v>2519.8000000000002</v>
      </c>
      <c r="F2922" s="145">
        <v>42878</v>
      </c>
      <c r="G2922" s="146">
        <v>2519.8000000000002</v>
      </c>
      <c r="H2922" s="138">
        <f t="shared" si="46"/>
        <v>0</v>
      </c>
      <c r="I2922" s="147" t="s">
        <v>15214</v>
      </c>
    </row>
    <row r="2923" spans="1:9" x14ac:dyDescent="0.25">
      <c r="A2923" s="168" t="s">
        <v>18443</v>
      </c>
      <c r="B2923" s="136" t="s">
        <v>18477</v>
      </c>
      <c r="C2923" s="137">
        <v>112972</v>
      </c>
      <c r="D2923" s="136" t="s">
        <v>15475</v>
      </c>
      <c r="E2923" s="138">
        <v>6708.7</v>
      </c>
      <c r="F2923" s="139">
        <v>42878</v>
      </c>
      <c r="G2923" s="140">
        <v>6708.7</v>
      </c>
      <c r="H2923" s="138">
        <f t="shared" si="46"/>
        <v>0</v>
      </c>
      <c r="I2923" s="141" t="s">
        <v>15214</v>
      </c>
    </row>
    <row r="2924" spans="1:9" x14ac:dyDescent="0.25">
      <c r="A2924" s="167" t="s">
        <v>18443</v>
      </c>
      <c r="B2924" s="142" t="s">
        <v>18478</v>
      </c>
      <c r="C2924" s="143">
        <v>112973</v>
      </c>
      <c r="D2924" s="142" t="s">
        <v>15475</v>
      </c>
      <c r="E2924" s="144">
        <v>6119.8</v>
      </c>
      <c r="F2924" s="145">
        <v>42881</v>
      </c>
      <c r="G2924" s="146">
        <v>6119.8</v>
      </c>
      <c r="H2924" s="138">
        <f t="shared" si="46"/>
        <v>0</v>
      </c>
      <c r="I2924" s="147" t="s">
        <v>15214</v>
      </c>
    </row>
    <row r="2925" spans="1:9" x14ac:dyDescent="0.25">
      <c r="A2925" s="168" t="s">
        <v>18443</v>
      </c>
      <c r="B2925" s="136" t="s">
        <v>18479</v>
      </c>
      <c r="C2925" s="137">
        <v>112974</v>
      </c>
      <c r="D2925" s="136" t="s">
        <v>15256</v>
      </c>
      <c r="E2925" s="138">
        <v>7228.5</v>
      </c>
      <c r="F2925" s="139" t="s">
        <v>18480</v>
      </c>
      <c r="G2925" s="140">
        <f>5000+2228.5</f>
        <v>7228.5</v>
      </c>
      <c r="H2925" s="138">
        <f t="shared" si="46"/>
        <v>0</v>
      </c>
      <c r="I2925" s="141" t="s">
        <v>15214</v>
      </c>
    </row>
    <row r="2926" spans="1:9" x14ac:dyDescent="0.25">
      <c r="A2926" s="167" t="s">
        <v>18443</v>
      </c>
      <c r="B2926" s="142" t="s">
        <v>18481</v>
      </c>
      <c r="C2926" s="143">
        <v>112975</v>
      </c>
      <c r="D2926" s="142" t="s">
        <v>18258</v>
      </c>
      <c r="E2926" s="144">
        <v>8719.2000000000007</v>
      </c>
      <c r="F2926" s="145">
        <v>42878</v>
      </c>
      <c r="G2926" s="146">
        <v>8719.2000000000007</v>
      </c>
      <c r="H2926" s="138">
        <f t="shared" si="46"/>
        <v>0</v>
      </c>
      <c r="I2926" s="147" t="s">
        <v>15214</v>
      </c>
    </row>
    <row r="2927" spans="1:9" x14ac:dyDescent="0.25">
      <c r="A2927" s="168" t="s">
        <v>18443</v>
      </c>
      <c r="B2927" s="136" t="s">
        <v>18482</v>
      </c>
      <c r="C2927" s="137">
        <v>112976</v>
      </c>
      <c r="D2927" s="136" t="s">
        <v>15236</v>
      </c>
      <c r="E2927" s="138">
        <v>3500.2</v>
      </c>
      <c r="F2927" s="139">
        <v>42880</v>
      </c>
      <c r="G2927" s="140">
        <v>3500.2</v>
      </c>
      <c r="H2927" s="138">
        <f t="shared" si="46"/>
        <v>0</v>
      </c>
      <c r="I2927" s="141" t="s">
        <v>15214</v>
      </c>
    </row>
    <row r="2928" spans="1:9" x14ac:dyDescent="0.25">
      <c r="A2928" s="167" t="s">
        <v>18443</v>
      </c>
      <c r="B2928" s="142" t="s">
        <v>18483</v>
      </c>
      <c r="C2928" s="143">
        <v>112977</v>
      </c>
      <c r="D2928" s="142" t="s">
        <v>15480</v>
      </c>
      <c r="E2928" s="144">
        <v>3517.6</v>
      </c>
      <c r="F2928" s="145">
        <v>42881</v>
      </c>
      <c r="G2928" s="146">
        <v>3517.6</v>
      </c>
      <c r="H2928" s="138">
        <f t="shared" si="46"/>
        <v>0</v>
      </c>
      <c r="I2928" s="147" t="s">
        <v>15214</v>
      </c>
    </row>
    <row r="2929" spans="1:9" x14ac:dyDescent="0.25">
      <c r="A2929" s="168" t="s">
        <v>18443</v>
      </c>
      <c r="B2929" s="136" t="s">
        <v>18484</v>
      </c>
      <c r="C2929" s="137">
        <v>112978</v>
      </c>
      <c r="D2929" s="136" t="s">
        <v>15668</v>
      </c>
      <c r="E2929" s="138">
        <v>6689.6</v>
      </c>
      <c r="F2929" s="139">
        <v>42879</v>
      </c>
      <c r="G2929" s="140">
        <v>6689.6</v>
      </c>
      <c r="H2929" s="138">
        <f t="shared" si="46"/>
        <v>0</v>
      </c>
      <c r="I2929" s="141" t="s">
        <v>15214</v>
      </c>
    </row>
    <row r="2930" spans="1:9" ht="15.75" x14ac:dyDescent="0.25">
      <c r="A2930" s="167" t="s">
        <v>18443</v>
      </c>
      <c r="B2930" s="142" t="s">
        <v>18485</v>
      </c>
      <c r="C2930" s="143">
        <v>112979</v>
      </c>
      <c r="D2930" s="142" t="s">
        <v>15265</v>
      </c>
      <c r="E2930" s="144">
        <v>0</v>
      </c>
      <c r="F2930" s="156" t="s">
        <v>95</v>
      </c>
      <c r="G2930" s="144">
        <v>0</v>
      </c>
      <c r="H2930" s="138">
        <f t="shared" si="46"/>
        <v>0</v>
      </c>
      <c r="I2930" s="147" t="s">
        <v>95</v>
      </c>
    </row>
    <row r="2931" spans="1:9" x14ac:dyDescent="0.25">
      <c r="A2931" s="168" t="s">
        <v>18443</v>
      </c>
      <c r="B2931" s="136" t="s">
        <v>18486</v>
      </c>
      <c r="C2931" s="137">
        <v>112980</v>
      </c>
      <c r="D2931" s="136" t="s">
        <v>15284</v>
      </c>
      <c r="E2931" s="138">
        <v>4537.2</v>
      </c>
      <c r="F2931" s="139">
        <v>42878</v>
      </c>
      <c r="G2931" s="140">
        <v>4537.2</v>
      </c>
      <c r="H2931" s="138">
        <f t="shared" si="46"/>
        <v>0</v>
      </c>
      <c r="I2931" s="141" t="s">
        <v>15214</v>
      </c>
    </row>
    <row r="2932" spans="1:9" x14ac:dyDescent="0.25">
      <c r="A2932" s="167" t="s">
        <v>18443</v>
      </c>
      <c r="B2932" s="142" t="s">
        <v>18487</v>
      </c>
      <c r="C2932" s="143">
        <v>112981</v>
      </c>
      <c r="D2932" s="142" t="s">
        <v>15332</v>
      </c>
      <c r="E2932" s="144">
        <v>3993.5</v>
      </c>
      <c r="F2932" s="145">
        <v>42878</v>
      </c>
      <c r="G2932" s="146">
        <v>3993.5</v>
      </c>
      <c r="H2932" s="138">
        <f t="shared" si="46"/>
        <v>0</v>
      </c>
      <c r="I2932" s="147" t="s">
        <v>15214</v>
      </c>
    </row>
    <row r="2933" spans="1:9" x14ac:dyDescent="0.25">
      <c r="A2933" s="168" t="s">
        <v>18443</v>
      </c>
      <c r="B2933" s="136" t="s">
        <v>18488</v>
      </c>
      <c r="C2933" s="137">
        <v>112982</v>
      </c>
      <c r="D2933" s="136" t="s">
        <v>15338</v>
      </c>
      <c r="E2933" s="138">
        <v>8143.7</v>
      </c>
      <c r="F2933" s="139">
        <v>42884</v>
      </c>
      <c r="G2933" s="140">
        <v>8143.7</v>
      </c>
      <c r="H2933" s="138">
        <f t="shared" si="46"/>
        <v>0</v>
      </c>
      <c r="I2933" s="141" t="s">
        <v>15214</v>
      </c>
    </row>
    <row r="2934" spans="1:9" x14ac:dyDescent="0.25">
      <c r="A2934" s="167" t="s">
        <v>18443</v>
      </c>
      <c r="B2934" s="142" t="s">
        <v>18489</v>
      </c>
      <c r="C2934" s="143">
        <v>112983</v>
      </c>
      <c r="D2934" s="142" t="s">
        <v>15265</v>
      </c>
      <c r="E2934" s="144">
        <v>3728</v>
      </c>
      <c r="F2934" s="145">
        <v>42879</v>
      </c>
      <c r="G2934" s="146">
        <v>3728</v>
      </c>
      <c r="H2934" s="138">
        <f t="shared" si="46"/>
        <v>0</v>
      </c>
      <c r="I2934" s="147" t="s">
        <v>15214</v>
      </c>
    </row>
    <row r="2935" spans="1:9" x14ac:dyDescent="0.25">
      <c r="A2935" s="168" t="s">
        <v>18443</v>
      </c>
      <c r="B2935" s="136" t="s">
        <v>18490</v>
      </c>
      <c r="C2935" s="137">
        <v>112984</v>
      </c>
      <c r="D2935" s="136" t="s">
        <v>15748</v>
      </c>
      <c r="E2935" s="138">
        <v>2012.5</v>
      </c>
      <c r="F2935" s="139">
        <v>42879</v>
      </c>
      <c r="G2935" s="140">
        <v>2012.5</v>
      </c>
      <c r="H2935" s="138">
        <f t="shared" si="46"/>
        <v>0</v>
      </c>
      <c r="I2935" s="141" t="s">
        <v>15214</v>
      </c>
    </row>
    <row r="2936" spans="1:9" x14ac:dyDescent="0.25">
      <c r="A2936" s="167" t="s">
        <v>18443</v>
      </c>
      <c r="B2936" s="142" t="s">
        <v>18491</v>
      </c>
      <c r="C2936" s="143">
        <v>112985</v>
      </c>
      <c r="D2936" s="142" t="s">
        <v>15510</v>
      </c>
      <c r="E2936" s="144">
        <v>27514.400000000001</v>
      </c>
      <c r="F2936" s="145" t="s">
        <v>18110</v>
      </c>
      <c r="G2936" s="146">
        <f>20000+7514.4</f>
        <v>27514.400000000001</v>
      </c>
      <c r="H2936" s="138">
        <f t="shared" si="46"/>
        <v>0</v>
      </c>
      <c r="I2936" s="147" t="s">
        <v>15214</v>
      </c>
    </row>
    <row r="2937" spans="1:9" x14ac:dyDescent="0.25">
      <c r="A2937" s="168" t="s">
        <v>18443</v>
      </c>
      <c r="B2937" s="136" t="s">
        <v>18492</v>
      </c>
      <c r="C2937" s="137">
        <v>112986</v>
      </c>
      <c r="D2937" s="136" t="s">
        <v>15263</v>
      </c>
      <c r="E2937" s="138">
        <v>1395.8</v>
      </c>
      <c r="F2937" s="139">
        <v>42878</v>
      </c>
      <c r="G2937" s="140">
        <v>1395.8</v>
      </c>
      <c r="H2937" s="138">
        <f t="shared" si="46"/>
        <v>0</v>
      </c>
      <c r="I2937" s="141" t="s">
        <v>15214</v>
      </c>
    </row>
    <row r="2938" spans="1:9" x14ac:dyDescent="0.25">
      <c r="A2938" s="167" t="s">
        <v>18443</v>
      </c>
      <c r="B2938" s="142" t="s">
        <v>18493</v>
      </c>
      <c r="C2938" s="143">
        <v>112987</v>
      </c>
      <c r="D2938" s="142" t="s">
        <v>15655</v>
      </c>
      <c r="E2938" s="144">
        <v>7122.5</v>
      </c>
      <c r="F2938" s="145">
        <v>42878</v>
      </c>
      <c r="G2938" s="146">
        <v>7122.5</v>
      </c>
      <c r="H2938" s="138">
        <f t="shared" si="46"/>
        <v>0</v>
      </c>
      <c r="I2938" s="147" t="s">
        <v>15214</v>
      </c>
    </row>
    <row r="2939" spans="1:9" x14ac:dyDescent="0.25">
      <c r="A2939" s="168" t="s">
        <v>18443</v>
      </c>
      <c r="B2939" s="136" t="s">
        <v>18494</v>
      </c>
      <c r="C2939" s="137">
        <v>112988</v>
      </c>
      <c r="D2939" s="136" t="s">
        <v>15280</v>
      </c>
      <c r="E2939" s="138">
        <v>4023.6</v>
      </c>
      <c r="F2939" s="139">
        <v>42878</v>
      </c>
      <c r="G2939" s="140">
        <v>4023.6</v>
      </c>
      <c r="H2939" s="138">
        <f t="shared" si="46"/>
        <v>0</v>
      </c>
      <c r="I2939" s="141" t="s">
        <v>15214</v>
      </c>
    </row>
    <row r="2940" spans="1:9" x14ac:dyDescent="0.25">
      <c r="A2940" s="167" t="s">
        <v>18443</v>
      </c>
      <c r="B2940" s="142" t="s">
        <v>18495</v>
      </c>
      <c r="C2940" s="143">
        <v>112989</v>
      </c>
      <c r="D2940" s="142" t="s">
        <v>15223</v>
      </c>
      <c r="E2940" s="144">
        <v>68130</v>
      </c>
      <c r="F2940" s="148" t="s">
        <v>19658</v>
      </c>
      <c r="G2940" s="149">
        <f>19699.96+10000+38430.04</f>
        <v>68130</v>
      </c>
      <c r="H2940" s="138">
        <f t="shared" si="46"/>
        <v>0</v>
      </c>
      <c r="I2940" s="147" t="s">
        <v>15214</v>
      </c>
    </row>
    <row r="2941" spans="1:9" x14ac:dyDescent="0.25">
      <c r="A2941" s="168" t="s">
        <v>18443</v>
      </c>
      <c r="B2941" s="136" t="s">
        <v>18496</v>
      </c>
      <c r="C2941" s="137">
        <v>112990</v>
      </c>
      <c r="D2941" s="136" t="s">
        <v>15282</v>
      </c>
      <c r="E2941" s="138">
        <v>2419.1999999999998</v>
      </c>
      <c r="F2941" s="139">
        <v>42878</v>
      </c>
      <c r="G2941" s="140">
        <v>2419.1999999999998</v>
      </c>
      <c r="H2941" s="138">
        <f t="shared" si="46"/>
        <v>0</v>
      </c>
      <c r="I2941" s="141" t="s">
        <v>15214</v>
      </c>
    </row>
    <row r="2942" spans="1:9" x14ac:dyDescent="0.25">
      <c r="A2942" s="167" t="s">
        <v>18443</v>
      </c>
      <c r="B2942" s="142" t="s">
        <v>18497</v>
      </c>
      <c r="C2942" s="143">
        <v>112991</v>
      </c>
      <c r="D2942" s="142" t="s">
        <v>15315</v>
      </c>
      <c r="E2942" s="144">
        <v>17146.2</v>
      </c>
      <c r="F2942" s="145">
        <v>42878</v>
      </c>
      <c r="G2942" s="146">
        <v>17146.2</v>
      </c>
      <c r="H2942" s="138">
        <f t="shared" si="46"/>
        <v>0</v>
      </c>
      <c r="I2942" s="147" t="s">
        <v>15214</v>
      </c>
    </row>
    <row r="2943" spans="1:9" x14ac:dyDescent="0.25">
      <c r="A2943" s="168" t="s">
        <v>18443</v>
      </c>
      <c r="B2943" s="136" t="s">
        <v>18498</v>
      </c>
      <c r="C2943" s="137">
        <v>112992</v>
      </c>
      <c r="D2943" s="136" t="s">
        <v>15223</v>
      </c>
      <c r="E2943" s="138">
        <v>6000</v>
      </c>
      <c r="F2943" s="157">
        <v>42892</v>
      </c>
      <c r="G2943" s="158">
        <v>6000</v>
      </c>
      <c r="H2943" s="138">
        <f t="shared" si="46"/>
        <v>0</v>
      </c>
      <c r="I2943" s="141" t="s">
        <v>15214</v>
      </c>
    </row>
    <row r="2944" spans="1:9" x14ac:dyDescent="0.25">
      <c r="A2944" s="167" t="s">
        <v>18443</v>
      </c>
      <c r="B2944" s="142" t="s">
        <v>18499</v>
      </c>
      <c r="C2944" s="143">
        <v>112993</v>
      </c>
      <c r="D2944" s="142" t="s">
        <v>15378</v>
      </c>
      <c r="E2944" s="144">
        <v>5282</v>
      </c>
      <c r="F2944" s="145">
        <v>42884</v>
      </c>
      <c r="G2944" s="146">
        <v>5282</v>
      </c>
      <c r="H2944" s="138">
        <f t="shared" si="46"/>
        <v>0</v>
      </c>
      <c r="I2944" s="147" t="s">
        <v>15214</v>
      </c>
    </row>
    <row r="2945" spans="1:9" x14ac:dyDescent="0.25">
      <c r="A2945" s="168" t="s">
        <v>18443</v>
      </c>
      <c r="B2945" s="136" t="s">
        <v>18500</v>
      </c>
      <c r="C2945" s="137">
        <v>112994</v>
      </c>
      <c r="D2945" s="136" t="s">
        <v>15378</v>
      </c>
      <c r="E2945" s="138">
        <v>42</v>
      </c>
      <c r="F2945" s="139">
        <v>42878</v>
      </c>
      <c r="G2945" s="140">
        <v>42</v>
      </c>
      <c r="H2945" s="138">
        <f t="shared" si="46"/>
        <v>0</v>
      </c>
      <c r="I2945" s="141" t="s">
        <v>15214</v>
      </c>
    </row>
    <row r="2946" spans="1:9" x14ac:dyDescent="0.25">
      <c r="A2946" s="167" t="s">
        <v>18443</v>
      </c>
      <c r="B2946" s="142" t="s">
        <v>18501</v>
      </c>
      <c r="C2946" s="143">
        <v>112995</v>
      </c>
      <c r="D2946" s="142" t="s">
        <v>15322</v>
      </c>
      <c r="E2946" s="144">
        <v>741</v>
      </c>
      <c r="F2946" s="145">
        <v>42878</v>
      </c>
      <c r="G2946" s="146">
        <v>741</v>
      </c>
      <c r="H2946" s="138">
        <f t="shared" si="46"/>
        <v>0</v>
      </c>
      <c r="I2946" s="147" t="s">
        <v>15214</v>
      </c>
    </row>
    <row r="2947" spans="1:9" x14ac:dyDescent="0.25">
      <c r="A2947" s="168" t="s">
        <v>18443</v>
      </c>
      <c r="B2947" s="136" t="s">
        <v>18502</v>
      </c>
      <c r="C2947" s="137">
        <v>112996</v>
      </c>
      <c r="D2947" s="136" t="s">
        <v>15322</v>
      </c>
      <c r="E2947" s="138">
        <v>980.4</v>
      </c>
      <c r="F2947" s="139">
        <v>42878</v>
      </c>
      <c r="G2947" s="140">
        <v>980.4</v>
      </c>
      <c r="H2947" s="138">
        <f t="shared" si="46"/>
        <v>0</v>
      </c>
      <c r="I2947" s="141" t="s">
        <v>15214</v>
      </c>
    </row>
    <row r="2948" spans="1:9" x14ac:dyDescent="0.25">
      <c r="A2948" s="167" t="s">
        <v>18443</v>
      </c>
      <c r="B2948" s="142" t="s">
        <v>18503</v>
      </c>
      <c r="C2948" s="143">
        <v>112997</v>
      </c>
      <c r="D2948" s="142" t="s">
        <v>17722</v>
      </c>
      <c r="E2948" s="144">
        <v>576.4</v>
      </c>
      <c r="F2948" s="145">
        <v>42878</v>
      </c>
      <c r="G2948" s="146">
        <v>576.4</v>
      </c>
      <c r="H2948" s="138">
        <f t="shared" si="46"/>
        <v>0</v>
      </c>
      <c r="I2948" s="147" t="s">
        <v>15214</v>
      </c>
    </row>
    <row r="2949" spans="1:9" x14ac:dyDescent="0.25">
      <c r="A2949" s="168" t="s">
        <v>18443</v>
      </c>
      <c r="B2949" s="136" t="s">
        <v>18504</v>
      </c>
      <c r="C2949" s="137">
        <v>112998</v>
      </c>
      <c r="D2949" s="136" t="s">
        <v>15315</v>
      </c>
      <c r="E2949" s="138">
        <v>17350.2</v>
      </c>
      <c r="F2949" s="139">
        <v>42878</v>
      </c>
      <c r="G2949" s="140">
        <v>17350.2</v>
      </c>
      <c r="H2949" s="138">
        <f t="shared" si="46"/>
        <v>0</v>
      </c>
      <c r="I2949" s="141" t="s">
        <v>15214</v>
      </c>
    </row>
    <row r="2950" spans="1:9" x14ac:dyDescent="0.25">
      <c r="A2950" s="167" t="s">
        <v>18443</v>
      </c>
      <c r="B2950" s="142" t="s">
        <v>18505</v>
      </c>
      <c r="C2950" s="143">
        <v>112999</v>
      </c>
      <c r="D2950" s="142" t="s">
        <v>15655</v>
      </c>
      <c r="E2950" s="144">
        <v>100096.15</v>
      </c>
      <c r="F2950" s="145">
        <v>42879</v>
      </c>
      <c r="G2950" s="146">
        <v>100096.15</v>
      </c>
      <c r="H2950" s="138">
        <f t="shared" si="46"/>
        <v>0</v>
      </c>
      <c r="I2950" s="147" t="s">
        <v>15214</v>
      </c>
    </row>
    <row r="2951" spans="1:9" x14ac:dyDescent="0.25">
      <c r="A2951" s="168" t="s">
        <v>18443</v>
      </c>
      <c r="B2951" s="136" t="s">
        <v>18506</v>
      </c>
      <c r="C2951" s="137">
        <v>113000</v>
      </c>
      <c r="D2951" s="136" t="s">
        <v>15396</v>
      </c>
      <c r="E2951" s="138">
        <v>2384.56</v>
      </c>
      <c r="F2951" s="139">
        <v>42878</v>
      </c>
      <c r="G2951" s="140">
        <v>2384.56</v>
      </c>
      <c r="H2951" s="138">
        <f t="shared" ref="H2951:H3014" si="47">E2951-G2951</f>
        <v>0</v>
      </c>
      <c r="I2951" s="141" t="s">
        <v>15214</v>
      </c>
    </row>
    <row r="2952" spans="1:9" x14ac:dyDescent="0.25">
      <c r="A2952" s="167" t="s">
        <v>18443</v>
      </c>
      <c r="B2952" s="142" t="s">
        <v>18507</v>
      </c>
      <c r="C2952" s="143">
        <v>113001</v>
      </c>
      <c r="D2952" s="142" t="s">
        <v>15387</v>
      </c>
      <c r="E2952" s="144">
        <v>1795.8</v>
      </c>
      <c r="F2952" s="145">
        <v>42879</v>
      </c>
      <c r="G2952" s="146">
        <v>1795.8</v>
      </c>
      <c r="H2952" s="138">
        <f t="shared" si="47"/>
        <v>0</v>
      </c>
      <c r="I2952" s="147" t="s">
        <v>15214</v>
      </c>
    </row>
    <row r="2953" spans="1:9" x14ac:dyDescent="0.25">
      <c r="A2953" s="168" t="s">
        <v>18443</v>
      </c>
      <c r="B2953" s="136" t="s">
        <v>18508</v>
      </c>
      <c r="C2953" s="137">
        <v>113002</v>
      </c>
      <c r="D2953" s="136" t="s">
        <v>15539</v>
      </c>
      <c r="E2953" s="138">
        <v>15245.6</v>
      </c>
      <c r="F2953" s="139">
        <v>42881</v>
      </c>
      <c r="G2953" s="140">
        <v>15245.6</v>
      </c>
      <c r="H2953" s="138">
        <f t="shared" si="47"/>
        <v>0</v>
      </c>
      <c r="I2953" s="141" t="s">
        <v>15214</v>
      </c>
    </row>
    <row r="2954" spans="1:9" x14ac:dyDescent="0.25">
      <c r="A2954" s="167" t="s">
        <v>18443</v>
      </c>
      <c r="B2954" s="142" t="s">
        <v>18509</v>
      </c>
      <c r="C2954" s="143">
        <v>113003</v>
      </c>
      <c r="D2954" s="142" t="s">
        <v>15530</v>
      </c>
      <c r="E2954" s="144">
        <v>1786</v>
      </c>
      <c r="F2954" s="145">
        <v>42878</v>
      </c>
      <c r="G2954" s="146">
        <v>1786</v>
      </c>
      <c r="H2954" s="138">
        <f t="shared" si="47"/>
        <v>0</v>
      </c>
      <c r="I2954" s="147" t="s">
        <v>15214</v>
      </c>
    </row>
    <row r="2955" spans="1:9" x14ac:dyDescent="0.25">
      <c r="A2955" s="168" t="s">
        <v>18443</v>
      </c>
      <c r="B2955" s="136" t="s">
        <v>18510</v>
      </c>
      <c r="C2955" s="137">
        <v>113004</v>
      </c>
      <c r="D2955" s="136" t="s">
        <v>15559</v>
      </c>
      <c r="E2955" s="138">
        <v>9335.1</v>
      </c>
      <c r="F2955" s="139">
        <v>42881</v>
      </c>
      <c r="G2955" s="140">
        <v>9335.1</v>
      </c>
      <c r="H2955" s="138">
        <f t="shared" si="47"/>
        <v>0</v>
      </c>
      <c r="I2955" s="141" t="s">
        <v>15214</v>
      </c>
    </row>
    <row r="2956" spans="1:9" x14ac:dyDescent="0.25">
      <c r="A2956" s="167" t="s">
        <v>18443</v>
      </c>
      <c r="B2956" s="142" t="s">
        <v>18511</v>
      </c>
      <c r="C2956" s="143">
        <v>113005</v>
      </c>
      <c r="D2956" s="142" t="s">
        <v>15562</v>
      </c>
      <c r="E2956" s="144">
        <v>2961</v>
      </c>
      <c r="F2956" s="145">
        <v>42878</v>
      </c>
      <c r="G2956" s="146">
        <v>2961</v>
      </c>
      <c r="H2956" s="138">
        <f t="shared" si="47"/>
        <v>0</v>
      </c>
      <c r="I2956" s="147" t="s">
        <v>15214</v>
      </c>
    </row>
    <row r="2957" spans="1:9" x14ac:dyDescent="0.25">
      <c r="A2957" s="168" t="s">
        <v>18443</v>
      </c>
      <c r="B2957" s="136" t="s">
        <v>18512</v>
      </c>
      <c r="C2957" s="137">
        <v>113006</v>
      </c>
      <c r="D2957" s="136" t="s">
        <v>15537</v>
      </c>
      <c r="E2957" s="138">
        <v>20500.8</v>
      </c>
      <c r="F2957" s="139">
        <v>42879</v>
      </c>
      <c r="G2957" s="140">
        <v>20500.8</v>
      </c>
      <c r="H2957" s="138">
        <f t="shared" si="47"/>
        <v>0</v>
      </c>
      <c r="I2957" s="141" t="s">
        <v>15214</v>
      </c>
    </row>
    <row r="2958" spans="1:9" x14ac:dyDescent="0.25">
      <c r="A2958" s="167" t="s">
        <v>18443</v>
      </c>
      <c r="B2958" s="142" t="s">
        <v>18513</v>
      </c>
      <c r="C2958" s="143">
        <v>113007</v>
      </c>
      <c r="D2958" s="142" t="s">
        <v>15315</v>
      </c>
      <c r="E2958" s="144">
        <v>4149.2</v>
      </c>
      <c r="F2958" s="145">
        <v>42879</v>
      </c>
      <c r="G2958" s="146">
        <v>4149.2</v>
      </c>
      <c r="H2958" s="138">
        <f t="shared" si="47"/>
        <v>0</v>
      </c>
      <c r="I2958" s="147" t="s">
        <v>15214</v>
      </c>
    </row>
    <row r="2959" spans="1:9" x14ac:dyDescent="0.25">
      <c r="A2959" s="168" t="s">
        <v>18443</v>
      </c>
      <c r="B2959" s="136" t="s">
        <v>18514</v>
      </c>
      <c r="C2959" s="137">
        <v>113008</v>
      </c>
      <c r="D2959" s="136" t="s">
        <v>15655</v>
      </c>
      <c r="E2959" s="138">
        <v>30216</v>
      </c>
      <c r="F2959" s="139">
        <v>42909</v>
      </c>
      <c r="G2959" s="140">
        <v>30216</v>
      </c>
      <c r="H2959" s="138">
        <f t="shared" si="47"/>
        <v>0</v>
      </c>
      <c r="I2959" s="141" t="s">
        <v>15214</v>
      </c>
    </row>
    <row r="2960" spans="1:9" x14ac:dyDescent="0.25">
      <c r="A2960" s="167" t="s">
        <v>18443</v>
      </c>
      <c r="B2960" s="142" t="s">
        <v>18515</v>
      </c>
      <c r="C2960" s="143">
        <v>113009</v>
      </c>
      <c r="D2960" s="142" t="s">
        <v>16040</v>
      </c>
      <c r="E2960" s="144">
        <v>7620.6</v>
      </c>
      <c r="F2960" s="145">
        <v>42879</v>
      </c>
      <c r="G2960" s="146">
        <v>7620.6</v>
      </c>
      <c r="H2960" s="138">
        <f t="shared" si="47"/>
        <v>0</v>
      </c>
      <c r="I2960" s="147" t="s">
        <v>15214</v>
      </c>
    </row>
    <row r="2961" spans="1:9" x14ac:dyDescent="0.25">
      <c r="A2961" s="168" t="s">
        <v>18443</v>
      </c>
      <c r="B2961" s="136" t="s">
        <v>18516</v>
      </c>
      <c r="C2961" s="137">
        <v>113010</v>
      </c>
      <c r="D2961" s="136" t="s">
        <v>15315</v>
      </c>
      <c r="E2961" s="138">
        <v>2882.3</v>
      </c>
      <c r="F2961" s="139">
        <v>42879</v>
      </c>
      <c r="G2961" s="140">
        <v>2882.3</v>
      </c>
      <c r="H2961" s="138">
        <f t="shared" si="47"/>
        <v>0</v>
      </c>
      <c r="I2961" s="141" t="s">
        <v>15214</v>
      </c>
    </row>
    <row r="2962" spans="1:9" x14ac:dyDescent="0.25">
      <c r="A2962" s="167" t="s">
        <v>18443</v>
      </c>
      <c r="B2962" s="142" t="s">
        <v>18517</v>
      </c>
      <c r="C2962" s="143">
        <v>113011</v>
      </c>
      <c r="D2962" s="142" t="s">
        <v>17708</v>
      </c>
      <c r="E2962" s="144">
        <v>4902.2</v>
      </c>
      <c r="F2962" s="145">
        <v>42881</v>
      </c>
      <c r="G2962" s="146">
        <v>4902.2</v>
      </c>
      <c r="H2962" s="138">
        <f t="shared" si="47"/>
        <v>0</v>
      </c>
      <c r="I2962" s="147" t="s">
        <v>15214</v>
      </c>
    </row>
    <row r="2963" spans="1:9" x14ac:dyDescent="0.25">
      <c r="A2963" s="168" t="s">
        <v>18443</v>
      </c>
      <c r="B2963" s="136" t="s">
        <v>18518</v>
      </c>
      <c r="C2963" s="137">
        <v>113012</v>
      </c>
      <c r="D2963" s="136" t="s">
        <v>15555</v>
      </c>
      <c r="E2963" s="138">
        <v>3017.4</v>
      </c>
      <c r="F2963" s="139">
        <v>42881</v>
      </c>
      <c r="G2963" s="140">
        <v>3017.4</v>
      </c>
      <c r="H2963" s="138">
        <f t="shared" si="47"/>
        <v>0</v>
      </c>
      <c r="I2963" s="141" t="s">
        <v>15214</v>
      </c>
    </row>
    <row r="2964" spans="1:9" x14ac:dyDescent="0.25">
      <c r="A2964" s="167" t="s">
        <v>18443</v>
      </c>
      <c r="B2964" s="142" t="s">
        <v>18519</v>
      </c>
      <c r="C2964" s="143">
        <v>113013</v>
      </c>
      <c r="D2964" s="142" t="s">
        <v>18520</v>
      </c>
      <c r="E2964" s="144">
        <v>4278.2</v>
      </c>
      <c r="F2964" s="145">
        <v>42878</v>
      </c>
      <c r="G2964" s="146">
        <v>4278.2</v>
      </c>
      <c r="H2964" s="138">
        <f t="shared" si="47"/>
        <v>0</v>
      </c>
      <c r="I2964" s="147" t="s">
        <v>15214</v>
      </c>
    </row>
    <row r="2965" spans="1:9" x14ac:dyDescent="0.25">
      <c r="A2965" s="168" t="s">
        <v>18443</v>
      </c>
      <c r="B2965" s="136" t="s">
        <v>18521</v>
      </c>
      <c r="C2965" s="137">
        <v>113014</v>
      </c>
      <c r="D2965" s="136" t="s">
        <v>15346</v>
      </c>
      <c r="E2965" s="138">
        <v>2909.4</v>
      </c>
      <c r="F2965" s="139" t="s">
        <v>18110</v>
      </c>
      <c r="G2965" s="140">
        <f>2000+909.4</f>
        <v>2909.4</v>
      </c>
      <c r="H2965" s="138">
        <f t="shared" si="47"/>
        <v>0</v>
      </c>
      <c r="I2965" s="141" t="s">
        <v>15214</v>
      </c>
    </row>
    <row r="2966" spans="1:9" x14ac:dyDescent="0.25">
      <c r="A2966" s="167" t="s">
        <v>18443</v>
      </c>
      <c r="B2966" s="142" t="s">
        <v>18522</v>
      </c>
      <c r="C2966" s="143">
        <v>113015</v>
      </c>
      <c r="D2966" s="142" t="s">
        <v>15398</v>
      </c>
      <c r="E2966" s="144">
        <v>254.4</v>
      </c>
      <c r="F2966" s="145">
        <v>42878</v>
      </c>
      <c r="G2966" s="146">
        <v>254.4</v>
      </c>
      <c r="H2966" s="138">
        <f t="shared" si="47"/>
        <v>0</v>
      </c>
      <c r="I2966" s="147" t="s">
        <v>15214</v>
      </c>
    </row>
    <row r="2967" spans="1:9" x14ac:dyDescent="0.25">
      <c r="A2967" s="168" t="s">
        <v>18443</v>
      </c>
      <c r="B2967" s="136" t="s">
        <v>18523</v>
      </c>
      <c r="C2967" s="137">
        <v>113016</v>
      </c>
      <c r="D2967" s="136" t="s">
        <v>15298</v>
      </c>
      <c r="E2967" s="138">
        <v>702</v>
      </c>
      <c r="F2967" s="139">
        <v>42878</v>
      </c>
      <c r="G2967" s="140">
        <v>702</v>
      </c>
      <c r="H2967" s="138">
        <f t="shared" si="47"/>
        <v>0</v>
      </c>
      <c r="I2967" s="141" t="s">
        <v>15214</v>
      </c>
    </row>
    <row r="2968" spans="1:9" x14ac:dyDescent="0.25">
      <c r="A2968" s="167" t="s">
        <v>18443</v>
      </c>
      <c r="B2968" s="142" t="s">
        <v>18524</v>
      </c>
      <c r="C2968" s="143">
        <v>113017</v>
      </c>
      <c r="D2968" s="142" t="s">
        <v>15213</v>
      </c>
      <c r="E2968" s="144">
        <v>9591.2000000000007</v>
      </c>
      <c r="F2968" s="145">
        <v>42879</v>
      </c>
      <c r="G2968" s="146">
        <v>9591.2000000000007</v>
      </c>
      <c r="H2968" s="138">
        <f t="shared" si="47"/>
        <v>0</v>
      </c>
      <c r="I2968" s="147" t="s">
        <v>15214</v>
      </c>
    </row>
    <row r="2969" spans="1:9" x14ac:dyDescent="0.25">
      <c r="A2969" s="168" t="s">
        <v>18443</v>
      </c>
      <c r="B2969" s="136" t="s">
        <v>18525</v>
      </c>
      <c r="C2969" s="137">
        <v>113018</v>
      </c>
      <c r="D2969" s="136" t="s">
        <v>15252</v>
      </c>
      <c r="E2969" s="138">
        <v>3099.4</v>
      </c>
      <c r="F2969" s="139">
        <v>42882</v>
      </c>
      <c r="G2969" s="140">
        <v>3099.4</v>
      </c>
      <c r="H2969" s="138">
        <f t="shared" si="47"/>
        <v>0</v>
      </c>
      <c r="I2969" s="141" t="s">
        <v>15214</v>
      </c>
    </row>
    <row r="2970" spans="1:9" x14ac:dyDescent="0.25">
      <c r="A2970" s="167" t="s">
        <v>18443</v>
      </c>
      <c r="B2970" s="142" t="s">
        <v>18526</v>
      </c>
      <c r="C2970" s="143">
        <v>113019</v>
      </c>
      <c r="D2970" s="142" t="s">
        <v>15244</v>
      </c>
      <c r="E2970" s="144">
        <v>9250</v>
      </c>
      <c r="F2970" s="145">
        <v>42879</v>
      </c>
      <c r="G2970" s="146">
        <v>9250</v>
      </c>
      <c r="H2970" s="138">
        <f t="shared" si="47"/>
        <v>0</v>
      </c>
      <c r="I2970" s="147" t="s">
        <v>15214</v>
      </c>
    </row>
    <row r="2971" spans="1:9" x14ac:dyDescent="0.25">
      <c r="A2971" s="168" t="s">
        <v>18443</v>
      </c>
      <c r="B2971" s="136" t="s">
        <v>18527</v>
      </c>
      <c r="C2971" s="137">
        <v>113020</v>
      </c>
      <c r="D2971" s="136" t="s">
        <v>15248</v>
      </c>
      <c r="E2971" s="138">
        <v>7157.6</v>
      </c>
      <c r="F2971" s="139">
        <v>42879</v>
      </c>
      <c r="G2971" s="140">
        <v>7157.6</v>
      </c>
      <c r="H2971" s="138">
        <f t="shared" si="47"/>
        <v>0</v>
      </c>
      <c r="I2971" s="141" t="s">
        <v>15214</v>
      </c>
    </row>
    <row r="2972" spans="1:9" x14ac:dyDescent="0.25">
      <c r="A2972" s="167" t="s">
        <v>18443</v>
      </c>
      <c r="B2972" s="142" t="s">
        <v>18528</v>
      </c>
      <c r="C2972" s="143">
        <v>113021</v>
      </c>
      <c r="D2972" s="142" t="s">
        <v>15636</v>
      </c>
      <c r="E2972" s="144">
        <v>7794</v>
      </c>
      <c r="F2972" s="145">
        <v>42879</v>
      </c>
      <c r="G2972" s="146">
        <v>7794</v>
      </c>
      <c r="H2972" s="138">
        <f t="shared" si="47"/>
        <v>0</v>
      </c>
      <c r="I2972" s="147" t="s">
        <v>15214</v>
      </c>
    </row>
    <row r="2973" spans="1:9" x14ac:dyDescent="0.25">
      <c r="A2973" s="168" t="s">
        <v>18443</v>
      </c>
      <c r="B2973" s="136" t="s">
        <v>18529</v>
      </c>
      <c r="C2973" s="137">
        <v>113022</v>
      </c>
      <c r="D2973" s="136" t="s">
        <v>15566</v>
      </c>
      <c r="E2973" s="138">
        <v>2726.1</v>
      </c>
      <c r="F2973" s="139">
        <v>42878</v>
      </c>
      <c r="G2973" s="140">
        <v>2726.1</v>
      </c>
      <c r="H2973" s="138">
        <f t="shared" si="47"/>
        <v>0</v>
      </c>
      <c r="I2973" s="141" t="s">
        <v>15214</v>
      </c>
    </row>
    <row r="2974" spans="1:9" x14ac:dyDescent="0.25">
      <c r="A2974" s="167" t="s">
        <v>18443</v>
      </c>
      <c r="B2974" s="142" t="s">
        <v>18530</v>
      </c>
      <c r="C2974" s="143">
        <v>113023</v>
      </c>
      <c r="D2974" s="142" t="s">
        <v>15365</v>
      </c>
      <c r="E2974" s="144">
        <v>20361.599999999999</v>
      </c>
      <c r="F2974" s="145">
        <v>42883</v>
      </c>
      <c r="G2974" s="146">
        <v>20361.599999999999</v>
      </c>
      <c r="H2974" s="138">
        <f t="shared" si="47"/>
        <v>0</v>
      </c>
      <c r="I2974" s="147" t="s">
        <v>15214</v>
      </c>
    </row>
    <row r="2975" spans="1:9" x14ac:dyDescent="0.25">
      <c r="A2975" s="168" t="s">
        <v>18443</v>
      </c>
      <c r="B2975" s="136" t="s">
        <v>18531</v>
      </c>
      <c r="C2975" s="137">
        <v>113024</v>
      </c>
      <c r="D2975" s="136" t="s">
        <v>15267</v>
      </c>
      <c r="E2975" s="138">
        <v>21589</v>
      </c>
      <c r="F2975" s="139">
        <v>42879</v>
      </c>
      <c r="G2975" s="140">
        <v>21589</v>
      </c>
      <c r="H2975" s="138">
        <f t="shared" si="47"/>
        <v>0</v>
      </c>
      <c r="I2975" s="141" t="s">
        <v>15214</v>
      </c>
    </row>
    <row r="2976" spans="1:9" x14ac:dyDescent="0.25">
      <c r="A2976" s="167" t="s">
        <v>18443</v>
      </c>
      <c r="B2976" s="142" t="s">
        <v>18532</v>
      </c>
      <c r="C2976" s="143">
        <v>113025</v>
      </c>
      <c r="D2976" s="142" t="s">
        <v>15246</v>
      </c>
      <c r="E2976" s="144">
        <v>7811.4</v>
      </c>
      <c r="F2976" s="145">
        <v>42882</v>
      </c>
      <c r="G2976" s="146">
        <v>7811.4</v>
      </c>
      <c r="H2976" s="138">
        <f t="shared" si="47"/>
        <v>0</v>
      </c>
      <c r="I2976" s="147" t="s">
        <v>15214</v>
      </c>
    </row>
    <row r="2977" spans="1:9" x14ac:dyDescent="0.25">
      <c r="A2977" s="168" t="s">
        <v>18443</v>
      </c>
      <c r="B2977" s="136" t="s">
        <v>18533</v>
      </c>
      <c r="C2977" s="137">
        <v>113026</v>
      </c>
      <c r="D2977" s="136" t="s">
        <v>15423</v>
      </c>
      <c r="E2977" s="138">
        <v>2956.8</v>
      </c>
      <c r="F2977" s="139">
        <v>42878</v>
      </c>
      <c r="G2977" s="140">
        <v>2956.8</v>
      </c>
      <c r="H2977" s="138">
        <f t="shared" si="47"/>
        <v>0</v>
      </c>
      <c r="I2977" s="141" t="s">
        <v>15214</v>
      </c>
    </row>
    <row r="2978" spans="1:9" x14ac:dyDescent="0.25">
      <c r="A2978" s="167" t="s">
        <v>18443</v>
      </c>
      <c r="B2978" s="142" t="s">
        <v>18534</v>
      </c>
      <c r="C2978" s="143">
        <v>113027</v>
      </c>
      <c r="D2978" s="142" t="s">
        <v>15315</v>
      </c>
      <c r="E2978" s="144">
        <v>4899.6000000000004</v>
      </c>
      <c r="F2978" s="145">
        <v>42878</v>
      </c>
      <c r="G2978" s="146">
        <v>4899.6000000000004</v>
      </c>
      <c r="H2978" s="138">
        <f t="shared" si="47"/>
        <v>0</v>
      </c>
      <c r="I2978" s="147" t="s">
        <v>15214</v>
      </c>
    </row>
    <row r="2979" spans="1:9" x14ac:dyDescent="0.25">
      <c r="A2979" s="168" t="s">
        <v>18443</v>
      </c>
      <c r="B2979" s="136" t="s">
        <v>18535</v>
      </c>
      <c r="C2979" s="137">
        <v>113028</v>
      </c>
      <c r="D2979" s="136" t="s">
        <v>15226</v>
      </c>
      <c r="E2979" s="138">
        <v>1056</v>
      </c>
      <c r="F2979" s="139">
        <v>42879</v>
      </c>
      <c r="G2979" s="140">
        <v>1056</v>
      </c>
      <c r="H2979" s="138">
        <f t="shared" si="47"/>
        <v>0</v>
      </c>
      <c r="I2979" s="141" t="s">
        <v>15214</v>
      </c>
    </row>
    <row r="2980" spans="1:9" x14ac:dyDescent="0.25">
      <c r="A2980" s="167" t="s">
        <v>18443</v>
      </c>
      <c r="B2980" s="142" t="s">
        <v>18536</v>
      </c>
      <c r="C2980" s="143">
        <v>113029</v>
      </c>
      <c r="D2980" s="142" t="s">
        <v>15423</v>
      </c>
      <c r="E2980" s="144">
        <v>1461.6</v>
      </c>
      <c r="F2980" s="145">
        <v>42878</v>
      </c>
      <c r="G2980" s="146">
        <v>1461.6</v>
      </c>
      <c r="H2980" s="138">
        <f t="shared" si="47"/>
        <v>0</v>
      </c>
      <c r="I2980" s="147" t="s">
        <v>15214</v>
      </c>
    </row>
    <row r="2981" spans="1:9" x14ac:dyDescent="0.25">
      <c r="A2981" s="168" t="s">
        <v>18443</v>
      </c>
      <c r="B2981" s="136" t="s">
        <v>18537</v>
      </c>
      <c r="C2981" s="137">
        <v>113030</v>
      </c>
      <c r="D2981" s="136" t="s">
        <v>15415</v>
      </c>
      <c r="E2981" s="138">
        <v>3123.4</v>
      </c>
      <c r="F2981" s="139">
        <v>42881</v>
      </c>
      <c r="G2981" s="140">
        <v>3123.4</v>
      </c>
      <c r="H2981" s="138">
        <f t="shared" si="47"/>
        <v>0</v>
      </c>
      <c r="I2981" s="141" t="s">
        <v>15214</v>
      </c>
    </row>
    <row r="2982" spans="1:9" x14ac:dyDescent="0.25">
      <c r="A2982" s="167" t="s">
        <v>18443</v>
      </c>
      <c r="B2982" s="142" t="s">
        <v>18538</v>
      </c>
      <c r="C2982" s="143">
        <v>113031</v>
      </c>
      <c r="D2982" s="142" t="s">
        <v>15759</v>
      </c>
      <c r="E2982" s="144">
        <v>4230.66</v>
      </c>
      <c r="F2982" s="145">
        <v>42879</v>
      </c>
      <c r="G2982" s="146">
        <v>4230.66</v>
      </c>
      <c r="H2982" s="138">
        <f t="shared" si="47"/>
        <v>0</v>
      </c>
      <c r="I2982" s="147" t="s">
        <v>15214</v>
      </c>
    </row>
    <row r="2983" spans="1:9" x14ac:dyDescent="0.25">
      <c r="A2983" s="168" t="s">
        <v>18443</v>
      </c>
      <c r="B2983" s="136" t="s">
        <v>18539</v>
      </c>
      <c r="C2983" s="137">
        <v>113032</v>
      </c>
      <c r="D2983" s="136" t="s">
        <v>15291</v>
      </c>
      <c r="E2983" s="138">
        <v>576</v>
      </c>
      <c r="F2983" s="139">
        <v>42879</v>
      </c>
      <c r="G2983" s="140">
        <v>576</v>
      </c>
      <c r="H2983" s="138">
        <f t="shared" si="47"/>
        <v>0</v>
      </c>
      <c r="I2983" s="141" t="s">
        <v>15214</v>
      </c>
    </row>
    <row r="2984" spans="1:9" x14ac:dyDescent="0.25">
      <c r="A2984" s="167" t="s">
        <v>18443</v>
      </c>
      <c r="B2984" s="142" t="s">
        <v>18540</v>
      </c>
      <c r="C2984" s="143">
        <v>113033</v>
      </c>
      <c r="D2984" s="142" t="s">
        <v>15587</v>
      </c>
      <c r="E2984" s="144">
        <v>414.2</v>
      </c>
      <c r="F2984" s="145">
        <v>42879</v>
      </c>
      <c r="G2984" s="146">
        <v>414.2</v>
      </c>
      <c r="H2984" s="138">
        <f t="shared" si="47"/>
        <v>0</v>
      </c>
      <c r="I2984" s="147" t="s">
        <v>15214</v>
      </c>
    </row>
    <row r="2985" spans="1:9" x14ac:dyDescent="0.25">
      <c r="A2985" s="168" t="s">
        <v>18443</v>
      </c>
      <c r="B2985" s="136" t="s">
        <v>18541</v>
      </c>
      <c r="C2985" s="137">
        <v>113034</v>
      </c>
      <c r="D2985" s="136" t="s">
        <v>15307</v>
      </c>
      <c r="E2985" s="138">
        <v>1740.4</v>
      </c>
      <c r="F2985" s="139">
        <v>42879</v>
      </c>
      <c r="G2985" s="140">
        <v>1740.4</v>
      </c>
      <c r="H2985" s="138">
        <f t="shared" si="47"/>
        <v>0</v>
      </c>
      <c r="I2985" s="141" t="s">
        <v>15214</v>
      </c>
    </row>
    <row r="2986" spans="1:9" x14ac:dyDescent="0.25">
      <c r="A2986" s="167" t="s">
        <v>18443</v>
      </c>
      <c r="B2986" s="142" t="s">
        <v>18542</v>
      </c>
      <c r="C2986" s="143">
        <v>113035</v>
      </c>
      <c r="D2986" s="142" t="s">
        <v>15309</v>
      </c>
      <c r="E2986" s="144">
        <v>2046</v>
      </c>
      <c r="F2986" s="145">
        <v>42879</v>
      </c>
      <c r="G2986" s="146">
        <v>2046</v>
      </c>
      <c r="H2986" s="138">
        <f t="shared" si="47"/>
        <v>0</v>
      </c>
      <c r="I2986" s="147" t="s">
        <v>15214</v>
      </c>
    </row>
    <row r="2987" spans="1:9" x14ac:dyDescent="0.25">
      <c r="A2987" s="168" t="s">
        <v>18443</v>
      </c>
      <c r="B2987" s="136" t="s">
        <v>18543</v>
      </c>
      <c r="C2987" s="137">
        <v>113036</v>
      </c>
      <c r="D2987" s="136" t="s">
        <v>18544</v>
      </c>
      <c r="E2987" s="138">
        <v>8892.5</v>
      </c>
      <c r="F2987" s="139">
        <v>42878</v>
      </c>
      <c r="G2987" s="140">
        <v>8892.5</v>
      </c>
      <c r="H2987" s="138">
        <f t="shared" si="47"/>
        <v>0</v>
      </c>
      <c r="I2987" s="141" t="s">
        <v>15214</v>
      </c>
    </row>
    <row r="2988" spans="1:9" ht="15.75" x14ac:dyDescent="0.25">
      <c r="A2988" s="167" t="s">
        <v>18443</v>
      </c>
      <c r="B2988" s="142" t="s">
        <v>18545</v>
      </c>
      <c r="C2988" s="143">
        <v>113037</v>
      </c>
      <c r="D2988" s="142" t="s">
        <v>15234</v>
      </c>
      <c r="E2988" s="144">
        <v>0</v>
      </c>
      <c r="F2988" s="156" t="s">
        <v>95</v>
      </c>
      <c r="G2988" s="144">
        <v>0</v>
      </c>
      <c r="H2988" s="138">
        <f t="shared" si="47"/>
        <v>0</v>
      </c>
      <c r="I2988" s="147" t="s">
        <v>95</v>
      </c>
    </row>
    <row r="2989" spans="1:9" x14ac:dyDescent="0.25">
      <c r="A2989" s="168" t="s">
        <v>18443</v>
      </c>
      <c r="B2989" s="136" t="s">
        <v>18546</v>
      </c>
      <c r="C2989" s="137">
        <v>113038</v>
      </c>
      <c r="D2989" s="136" t="s">
        <v>15417</v>
      </c>
      <c r="E2989" s="138">
        <v>1964.6</v>
      </c>
      <c r="F2989" s="139">
        <v>42879</v>
      </c>
      <c r="G2989" s="140">
        <v>1964.6</v>
      </c>
      <c r="H2989" s="138">
        <f t="shared" si="47"/>
        <v>0</v>
      </c>
      <c r="I2989" s="141" t="s">
        <v>15214</v>
      </c>
    </row>
    <row r="2990" spans="1:9" x14ac:dyDescent="0.25">
      <c r="A2990" s="167" t="s">
        <v>18443</v>
      </c>
      <c r="B2990" s="142" t="s">
        <v>18547</v>
      </c>
      <c r="C2990" s="143">
        <v>113039</v>
      </c>
      <c r="D2990" s="142" t="s">
        <v>15934</v>
      </c>
      <c r="E2990" s="144">
        <v>1515</v>
      </c>
      <c r="F2990" s="145">
        <v>42879</v>
      </c>
      <c r="G2990" s="146">
        <v>1515</v>
      </c>
      <c r="H2990" s="138">
        <f t="shared" si="47"/>
        <v>0</v>
      </c>
      <c r="I2990" s="147" t="s">
        <v>15214</v>
      </c>
    </row>
    <row r="2991" spans="1:9" x14ac:dyDescent="0.25">
      <c r="A2991" s="168" t="s">
        <v>18443</v>
      </c>
      <c r="B2991" s="136" t="s">
        <v>18548</v>
      </c>
      <c r="C2991" s="137">
        <v>113040</v>
      </c>
      <c r="D2991" s="136" t="s">
        <v>15315</v>
      </c>
      <c r="E2991" s="138">
        <v>408.9</v>
      </c>
      <c r="F2991" s="139">
        <v>42879</v>
      </c>
      <c r="G2991" s="140">
        <v>408.9</v>
      </c>
      <c r="H2991" s="138">
        <f t="shared" si="47"/>
        <v>0</v>
      </c>
      <c r="I2991" s="141" t="s">
        <v>15214</v>
      </c>
    </row>
    <row r="2992" spans="1:9" x14ac:dyDescent="0.25">
      <c r="A2992" s="167" t="s">
        <v>18443</v>
      </c>
      <c r="B2992" s="142" t="s">
        <v>18549</v>
      </c>
      <c r="C2992" s="143">
        <v>113041</v>
      </c>
      <c r="D2992" s="142" t="s">
        <v>15313</v>
      </c>
      <c r="E2992" s="144">
        <v>7549.5</v>
      </c>
      <c r="F2992" s="145">
        <v>42883</v>
      </c>
      <c r="G2992" s="146">
        <v>7549.5</v>
      </c>
      <c r="H2992" s="138">
        <f t="shared" si="47"/>
        <v>0</v>
      </c>
      <c r="I2992" s="147" t="s">
        <v>15214</v>
      </c>
    </row>
    <row r="2993" spans="1:9" x14ac:dyDescent="0.25">
      <c r="A2993" s="168" t="s">
        <v>18443</v>
      </c>
      <c r="B2993" s="136" t="s">
        <v>18550</v>
      </c>
      <c r="C2993" s="137">
        <v>113042</v>
      </c>
      <c r="D2993" s="136" t="s">
        <v>15234</v>
      </c>
      <c r="E2993" s="138">
        <v>3860.4</v>
      </c>
      <c r="F2993" s="139">
        <v>42880</v>
      </c>
      <c r="G2993" s="140">
        <v>3860.4</v>
      </c>
      <c r="H2993" s="138">
        <f t="shared" si="47"/>
        <v>0</v>
      </c>
      <c r="I2993" s="141" t="s">
        <v>15214</v>
      </c>
    </row>
    <row r="2994" spans="1:9" x14ac:dyDescent="0.25">
      <c r="A2994" s="167" t="s">
        <v>18443</v>
      </c>
      <c r="B2994" s="142" t="s">
        <v>18551</v>
      </c>
      <c r="C2994" s="143">
        <v>113043</v>
      </c>
      <c r="D2994" s="142" t="s">
        <v>15716</v>
      </c>
      <c r="E2994" s="144">
        <v>8431.5</v>
      </c>
      <c r="F2994" s="145">
        <v>42878</v>
      </c>
      <c r="G2994" s="146">
        <v>8431.5</v>
      </c>
      <c r="H2994" s="138">
        <f t="shared" si="47"/>
        <v>0</v>
      </c>
      <c r="I2994" s="147" t="s">
        <v>15214</v>
      </c>
    </row>
    <row r="2995" spans="1:9" x14ac:dyDescent="0.25">
      <c r="A2995" s="168" t="s">
        <v>18443</v>
      </c>
      <c r="B2995" s="136" t="s">
        <v>18552</v>
      </c>
      <c r="C2995" s="137">
        <v>113044</v>
      </c>
      <c r="D2995" s="136" t="s">
        <v>15263</v>
      </c>
      <c r="E2995" s="138">
        <v>1116.5</v>
      </c>
      <c r="F2995" s="139">
        <v>42878</v>
      </c>
      <c r="G2995" s="140">
        <v>1116.5</v>
      </c>
      <c r="H2995" s="138">
        <f t="shared" si="47"/>
        <v>0</v>
      </c>
      <c r="I2995" s="141" t="s">
        <v>15214</v>
      </c>
    </row>
    <row r="2996" spans="1:9" x14ac:dyDescent="0.25">
      <c r="A2996" s="167" t="s">
        <v>18443</v>
      </c>
      <c r="B2996" s="142" t="s">
        <v>18553</v>
      </c>
      <c r="C2996" s="143">
        <v>113045</v>
      </c>
      <c r="D2996" s="142" t="s">
        <v>16286</v>
      </c>
      <c r="E2996" s="144">
        <v>2556</v>
      </c>
      <c r="F2996" s="145">
        <v>42878</v>
      </c>
      <c r="G2996" s="146">
        <v>2556</v>
      </c>
      <c r="H2996" s="138">
        <f t="shared" si="47"/>
        <v>0</v>
      </c>
      <c r="I2996" s="147" t="s">
        <v>15214</v>
      </c>
    </row>
    <row r="2997" spans="1:9" x14ac:dyDescent="0.25">
      <c r="A2997" s="168" t="s">
        <v>18443</v>
      </c>
      <c r="B2997" s="136" t="s">
        <v>18554</v>
      </c>
      <c r="C2997" s="137">
        <v>113046</v>
      </c>
      <c r="D2997" s="136" t="s">
        <v>15322</v>
      </c>
      <c r="E2997" s="138">
        <v>302.10000000000002</v>
      </c>
      <c r="F2997" s="139">
        <v>42878</v>
      </c>
      <c r="G2997" s="140">
        <v>302.10000000000002</v>
      </c>
      <c r="H2997" s="138">
        <f t="shared" si="47"/>
        <v>0</v>
      </c>
      <c r="I2997" s="141" t="s">
        <v>15214</v>
      </c>
    </row>
    <row r="2998" spans="1:9" x14ac:dyDescent="0.25">
      <c r="A2998" s="167" t="s">
        <v>18443</v>
      </c>
      <c r="B2998" s="142" t="s">
        <v>18555</v>
      </c>
      <c r="C2998" s="143">
        <v>113047</v>
      </c>
      <c r="D2998" s="142" t="s">
        <v>15322</v>
      </c>
      <c r="E2998" s="144">
        <v>252</v>
      </c>
      <c r="F2998" s="145">
        <v>42878</v>
      </c>
      <c r="G2998" s="146">
        <v>252</v>
      </c>
      <c r="H2998" s="138">
        <f t="shared" si="47"/>
        <v>0</v>
      </c>
      <c r="I2998" s="147" t="s">
        <v>15214</v>
      </c>
    </row>
    <row r="2999" spans="1:9" x14ac:dyDescent="0.25">
      <c r="A2999" s="168" t="s">
        <v>18443</v>
      </c>
      <c r="B2999" s="136" t="s">
        <v>18556</v>
      </c>
      <c r="C2999" s="137">
        <v>113048</v>
      </c>
      <c r="D2999" s="136" t="s">
        <v>15665</v>
      </c>
      <c r="E2999" s="138">
        <v>466.4</v>
      </c>
      <c r="F2999" s="139">
        <v>42878</v>
      </c>
      <c r="G2999" s="140">
        <v>466.4</v>
      </c>
      <c r="H2999" s="138">
        <f t="shared" si="47"/>
        <v>0</v>
      </c>
      <c r="I2999" s="141" t="s">
        <v>15214</v>
      </c>
    </row>
    <row r="3000" spans="1:9" x14ac:dyDescent="0.25">
      <c r="A3000" s="167" t="s">
        <v>18443</v>
      </c>
      <c r="B3000" s="142" t="s">
        <v>18557</v>
      </c>
      <c r="C3000" s="143">
        <v>113049</v>
      </c>
      <c r="D3000" s="142" t="s">
        <v>15330</v>
      </c>
      <c r="E3000" s="144">
        <v>1670.1</v>
      </c>
      <c r="F3000" s="145">
        <v>42878</v>
      </c>
      <c r="G3000" s="146">
        <v>1670.1</v>
      </c>
      <c r="H3000" s="138">
        <f t="shared" si="47"/>
        <v>0</v>
      </c>
      <c r="I3000" s="147" t="s">
        <v>15214</v>
      </c>
    </row>
    <row r="3001" spans="1:9" x14ac:dyDescent="0.25">
      <c r="A3001" s="168" t="s">
        <v>18443</v>
      </c>
      <c r="B3001" s="136" t="s">
        <v>18558</v>
      </c>
      <c r="C3001" s="137">
        <v>113050</v>
      </c>
      <c r="D3001" s="136" t="s">
        <v>15590</v>
      </c>
      <c r="E3001" s="138">
        <v>29660.799999999999</v>
      </c>
      <c r="F3001" s="139">
        <v>42880</v>
      </c>
      <c r="G3001" s="140">
        <v>29660.799999999999</v>
      </c>
      <c r="H3001" s="138">
        <f t="shared" si="47"/>
        <v>0</v>
      </c>
      <c r="I3001" s="141" t="s">
        <v>15214</v>
      </c>
    </row>
    <row r="3002" spans="1:9" x14ac:dyDescent="0.25">
      <c r="A3002" s="167" t="s">
        <v>18443</v>
      </c>
      <c r="B3002" s="142" t="s">
        <v>18559</v>
      </c>
      <c r="C3002" s="143">
        <v>113051</v>
      </c>
      <c r="D3002" s="142" t="s">
        <v>18560</v>
      </c>
      <c r="E3002" s="144">
        <v>1792.5</v>
      </c>
      <c r="F3002" s="145">
        <v>42881</v>
      </c>
      <c r="G3002" s="146">
        <v>1792.5</v>
      </c>
      <c r="H3002" s="138">
        <f t="shared" si="47"/>
        <v>0</v>
      </c>
      <c r="I3002" s="147" t="s">
        <v>15214</v>
      </c>
    </row>
    <row r="3003" spans="1:9" x14ac:dyDescent="0.25">
      <c r="A3003" s="168" t="s">
        <v>18443</v>
      </c>
      <c r="B3003" s="136" t="s">
        <v>18561</v>
      </c>
      <c r="C3003" s="137">
        <v>113052</v>
      </c>
      <c r="D3003" s="136" t="s">
        <v>15594</v>
      </c>
      <c r="E3003" s="138">
        <v>1700</v>
      </c>
      <c r="F3003" s="139">
        <v>42881</v>
      </c>
      <c r="G3003" s="140">
        <v>1700</v>
      </c>
      <c r="H3003" s="138">
        <f t="shared" si="47"/>
        <v>0</v>
      </c>
      <c r="I3003" s="141" t="s">
        <v>15214</v>
      </c>
    </row>
    <row r="3004" spans="1:9" x14ac:dyDescent="0.25">
      <c r="A3004" s="167" t="s">
        <v>18443</v>
      </c>
      <c r="B3004" s="142" t="s">
        <v>18562</v>
      </c>
      <c r="C3004" s="143">
        <v>113053</v>
      </c>
      <c r="D3004" s="142" t="s">
        <v>15409</v>
      </c>
      <c r="E3004" s="144">
        <v>13235.2</v>
      </c>
      <c r="F3004" s="145">
        <v>42878</v>
      </c>
      <c r="G3004" s="146">
        <v>13235.2</v>
      </c>
      <c r="H3004" s="138">
        <f t="shared" si="47"/>
        <v>0</v>
      </c>
      <c r="I3004" s="147" t="s">
        <v>15214</v>
      </c>
    </row>
    <row r="3005" spans="1:9" x14ac:dyDescent="0.25">
      <c r="A3005" s="168" t="s">
        <v>18443</v>
      </c>
      <c r="B3005" s="136" t="s">
        <v>18563</v>
      </c>
      <c r="C3005" s="137">
        <v>113054</v>
      </c>
      <c r="D3005" s="136" t="s">
        <v>15581</v>
      </c>
      <c r="E3005" s="138">
        <v>21191</v>
      </c>
      <c r="F3005" s="139">
        <v>42882</v>
      </c>
      <c r="G3005" s="140">
        <v>21191</v>
      </c>
      <c r="H3005" s="138">
        <f t="shared" si="47"/>
        <v>0</v>
      </c>
      <c r="I3005" s="141" t="s">
        <v>15214</v>
      </c>
    </row>
    <row r="3006" spans="1:9" x14ac:dyDescent="0.25">
      <c r="A3006" s="167" t="s">
        <v>18443</v>
      </c>
      <c r="B3006" s="142" t="s">
        <v>18564</v>
      </c>
      <c r="C3006" s="143">
        <v>113055</v>
      </c>
      <c r="D3006" s="142" t="s">
        <v>17595</v>
      </c>
      <c r="E3006" s="144">
        <v>3532</v>
      </c>
      <c r="F3006" s="145">
        <v>42878</v>
      </c>
      <c r="G3006" s="146">
        <v>3532</v>
      </c>
      <c r="H3006" s="138">
        <f t="shared" si="47"/>
        <v>0</v>
      </c>
      <c r="I3006" s="147" t="s">
        <v>15214</v>
      </c>
    </row>
    <row r="3007" spans="1:9" x14ac:dyDescent="0.25">
      <c r="A3007" s="168" t="s">
        <v>18443</v>
      </c>
      <c r="B3007" s="136" t="s">
        <v>18565</v>
      </c>
      <c r="C3007" s="137">
        <v>113056</v>
      </c>
      <c r="D3007" s="136" t="s">
        <v>15315</v>
      </c>
      <c r="E3007" s="138">
        <v>1751.6</v>
      </c>
      <c r="F3007" s="139">
        <v>42878</v>
      </c>
      <c r="G3007" s="140">
        <v>1751.6</v>
      </c>
      <c r="H3007" s="138">
        <f t="shared" si="47"/>
        <v>0</v>
      </c>
      <c r="I3007" s="141" t="s">
        <v>15214</v>
      </c>
    </row>
    <row r="3008" spans="1:9" x14ac:dyDescent="0.25">
      <c r="A3008" s="167" t="s">
        <v>18443</v>
      </c>
      <c r="B3008" s="142" t="s">
        <v>18566</v>
      </c>
      <c r="C3008" s="143">
        <v>113057</v>
      </c>
      <c r="D3008" s="142" t="s">
        <v>17722</v>
      </c>
      <c r="E3008" s="144">
        <v>2640.4</v>
      </c>
      <c r="F3008" s="145">
        <v>42878</v>
      </c>
      <c r="G3008" s="146">
        <v>2640.4</v>
      </c>
      <c r="H3008" s="138">
        <f t="shared" si="47"/>
        <v>0</v>
      </c>
      <c r="I3008" s="147" t="s">
        <v>15214</v>
      </c>
    </row>
    <row r="3009" spans="1:9" x14ac:dyDescent="0.25">
      <c r="A3009" s="168" t="s">
        <v>18443</v>
      </c>
      <c r="B3009" s="136" t="s">
        <v>18567</v>
      </c>
      <c r="C3009" s="137">
        <v>113058</v>
      </c>
      <c r="D3009" s="136" t="s">
        <v>15246</v>
      </c>
      <c r="E3009" s="138">
        <v>896.7</v>
      </c>
      <c r="F3009" s="139">
        <v>42882</v>
      </c>
      <c r="G3009" s="140">
        <v>896.7</v>
      </c>
      <c r="H3009" s="138">
        <f t="shared" si="47"/>
        <v>0</v>
      </c>
      <c r="I3009" s="141" t="s">
        <v>15214</v>
      </c>
    </row>
    <row r="3010" spans="1:9" x14ac:dyDescent="0.25">
      <c r="A3010" s="167" t="s">
        <v>18443</v>
      </c>
      <c r="B3010" s="142" t="s">
        <v>18568</v>
      </c>
      <c r="C3010" s="143">
        <v>113059</v>
      </c>
      <c r="D3010" s="142" t="s">
        <v>15315</v>
      </c>
      <c r="E3010" s="144">
        <v>106.8</v>
      </c>
      <c r="F3010" s="145">
        <v>42878</v>
      </c>
      <c r="G3010" s="146">
        <v>106.8</v>
      </c>
      <c r="H3010" s="138">
        <f t="shared" si="47"/>
        <v>0</v>
      </c>
      <c r="I3010" s="147" t="s">
        <v>15214</v>
      </c>
    </row>
    <row r="3011" spans="1:9" x14ac:dyDescent="0.25">
      <c r="A3011" s="168" t="s">
        <v>18443</v>
      </c>
      <c r="B3011" s="136" t="s">
        <v>18569</v>
      </c>
      <c r="C3011" s="137">
        <v>113060</v>
      </c>
      <c r="D3011" s="136" t="s">
        <v>15553</v>
      </c>
      <c r="E3011" s="138">
        <v>4167.3999999999996</v>
      </c>
      <c r="F3011" s="139">
        <v>42878</v>
      </c>
      <c r="G3011" s="140">
        <v>4167.3999999999996</v>
      </c>
      <c r="H3011" s="138">
        <f t="shared" si="47"/>
        <v>0</v>
      </c>
      <c r="I3011" s="141" t="s">
        <v>15214</v>
      </c>
    </row>
    <row r="3012" spans="1:9" x14ac:dyDescent="0.25">
      <c r="A3012" s="167" t="s">
        <v>18443</v>
      </c>
      <c r="B3012" s="142" t="s">
        <v>18570</v>
      </c>
      <c r="C3012" s="143">
        <v>113061</v>
      </c>
      <c r="D3012" s="142" t="s">
        <v>15315</v>
      </c>
      <c r="E3012" s="144">
        <v>19529.900000000001</v>
      </c>
      <c r="F3012" s="145">
        <v>42878</v>
      </c>
      <c r="G3012" s="146">
        <v>19529.900000000001</v>
      </c>
      <c r="H3012" s="138">
        <f t="shared" si="47"/>
        <v>0</v>
      </c>
      <c r="I3012" s="147" t="s">
        <v>15214</v>
      </c>
    </row>
    <row r="3013" spans="1:9" ht="15.75" x14ac:dyDescent="0.25">
      <c r="A3013" s="168" t="s">
        <v>18443</v>
      </c>
      <c r="B3013" s="136" t="s">
        <v>18571</v>
      </c>
      <c r="C3013" s="137">
        <v>113062</v>
      </c>
      <c r="D3013" s="136" t="s">
        <v>15365</v>
      </c>
      <c r="E3013" s="138">
        <v>0</v>
      </c>
      <c r="F3013" s="153" t="s">
        <v>95</v>
      </c>
      <c r="G3013" s="138">
        <v>0</v>
      </c>
      <c r="H3013" s="138">
        <f t="shared" si="47"/>
        <v>0</v>
      </c>
      <c r="I3013" s="141" t="s">
        <v>95</v>
      </c>
    </row>
    <row r="3014" spans="1:9" x14ac:dyDescent="0.25">
      <c r="A3014" s="167" t="s">
        <v>18443</v>
      </c>
      <c r="B3014" s="142" t="s">
        <v>18572</v>
      </c>
      <c r="C3014" s="143">
        <v>113063</v>
      </c>
      <c r="D3014" s="142" t="s">
        <v>15365</v>
      </c>
      <c r="E3014" s="144">
        <v>151145</v>
      </c>
      <c r="F3014" s="145">
        <v>42883</v>
      </c>
      <c r="G3014" s="146">
        <v>151145</v>
      </c>
      <c r="H3014" s="138">
        <f t="shared" si="47"/>
        <v>0</v>
      </c>
      <c r="I3014" s="147" t="s">
        <v>15214</v>
      </c>
    </row>
    <row r="3015" spans="1:9" x14ac:dyDescent="0.25">
      <c r="A3015" s="168" t="s">
        <v>18443</v>
      </c>
      <c r="B3015" s="136" t="s">
        <v>18573</v>
      </c>
      <c r="C3015" s="137">
        <v>113064</v>
      </c>
      <c r="D3015" s="136" t="s">
        <v>15365</v>
      </c>
      <c r="E3015" s="138">
        <v>257911</v>
      </c>
      <c r="F3015" s="139">
        <v>42883</v>
      </c>
      <c r="G3015" s="140">
        <v>257911</v>
      </c>
      <c r="H3015" s="138">
        <f t="shared" ref="H3015:H3078" si="48">E3015-G3015</f>
        <v>0</v>
      </c>
      <c r="I3015" s="141" t="s">
        <v>15214</v>
      </c>
    </row>
    <row r="3016" spans="1:9" x14ac:dyDescent="0.25">
      <c r="A3016" s="167" t="s">
        <v>18443</v>
      </c>
      <c r="B3016" s="142" t="s">
        <v>18574</v>
      </c>
      <c r="C3016" s="143">
        <v>113065</v>
      </c>
      <c r="D3016" s="142" t="s">
        <v>15246</v>
      </c>
      <c r="E3016" s="144">
        <v>183573.3</v>
      </c>
      <c r="F3016" s="145">
        <v>42882</v>
      </c>
      <c r="G3016" s="146">
        <v>183573.3</v>
      </c>
      <c r="H3016" s="138">
        <f t="shared" si="48"/>
        <v>0</v>
      </c>
      <c r="I3016" s="147" t="s">
        <v>15214</v>
      </c>
    </row>
    <row r="3017" spans="1:9" x14ac:dyDescent="0.25">
      <c r="A3017" s="168" t="s">
        <v>18443</v>
      </c>
      <c r="B3017" s="136" t="s">
        <v>18575</v>
      </c>
      <c r="C3017" s="137">
        <v>113066</v>
      </c>
      <c r="D3017" s="136" t="s">
        <v>15433</v>
      </c>
      <c r="E3017" s="138">
        <v>1030</v>
      </c>
      <c r="F3017" s="139">
        <v>42878</v>
      </c>
      <c r="G3017" s="140">
        <v>1030</v>
      </c>
      <c r="H3017" s="138">
        <f t="shared" si="48"/>
        <v>0</v>
      </c>
      <c r="I3017" s="141" t="s">
        <v>15214</v>
      </c>
    </row>
    <row r="3018" spans="1:9" x14ac:dyDescent="0.25">
      <c r="A3018" s="167" t="s">
        <v>18443</v>
      </c>
      <c r="B3018" s="142" t="s">
        <v>18576</v>
      </c>
      <c r="C3018" s="143">
        <v>113067</v>
      </c>
      <c r="D3018" s="142" t="s">
        <v>15315</v>
      </c>
      <c r="E3018" s="144">
        <v>22363</v>
      </c>
      <c r="F3018" s="145">
        <v>42879</v>
      </c>
      <c r="G3018" s="146">
        <v>22363</v>
      </c>
      <c r="H3018" s="138">
        <f t="shared" si="48"/>
        <v>0</v>
      </c>
      <c r="I3018" s="147" t="s">
        <v>15214</v>
      </c>
    </row>
    <row r="3019" spans="1:9" x14ac:dyDescent="0.25">
      <c r="A3019" s="168" t="s">
        <v>18443</v>
      </c>
      <c r="B3019" s="136" t="s">
        <v>18577</v>
      </c>
      <c r="C3019" s="137">
        <v>113068</v>
      </c>
      <c r="D3019" s="136" t="s">
        <v>15246</v>
      </c>
      <c r="E3019" s="138">
        <v>68952.899999999994</v>
      </c>
      <c r="F3019" s="139">
        <v>42882</v>
      </c>
      <c r="G3019" s="140">
        <v>68952.899999999994</v>
      </c>
      <c r="H3019" s="138">
        <f t="shared" si="48"/>
        <v>0</v>
      </c>
      <c r="I3019" s="141" t="s">
        <v>15214</v>
      </c>
    </row>
    <row r="3020" spans="1:9" x14ac:dyDescent="0.25">
      <c r="A3020" s="167" t="s">
        <v>18443</v>
      </c>
      <c r="B3020" s="142" t="s">
        <v>18578</v>
      </c>
      <c r="C3020" s="143">
        <v>113069</v>
      </c>
      <c r="D3020" s="142" t="s">
        <v>15250</v>
      </c>
      <c r="E3020" s="144">
        <v>36310.559999999998</v>
      </c>
      <c r="F3020" s="145">
        <v>42886</v>
      </c>
      <c r="G3020" s="146">
        <v>36310.559999999998</v>
      </c>
      <c r="H3020" s="138">
        <f t="shared" si="48"/>
        <v>0</v>
      </c>
      <c r="I3020" s="147" t="s">
        <v>15214</v>
      </c>
    </row>
    <row r="3021" spans="1:9" x14ac:dyDescent="0.25">
      <c r="A3021" s="168" t="s">
        <v>18443</v>
      </c>
      <c r="B3021" s="136" t="s">
        <v>18579</v>
      </c>
      <c r="C3021" s="137">
        <v>113070</v>
      </c>
      <c r="D3021" s="136" t="s">
        <v>15642</v>
      </c>
      <c r="E3021" s="138">
        <v>2112.6</v>
      </c>
      <c r="F3021" s="139">
        <v>42878</v>
      </c>
      <c r="G3021" s="140">
        <v>2112.6</v>
      </c>
      <c r="H3021" s="138">
        <f t="shared" si="48"/>
        <v>0</v>
      </c>
      <c r="I3021" s="141" t="s">
        <v>15214</v>
      </c>
    </row>
    <row r="3022" spans="1:9" x14ac:dyDescent="0.25">
      <c r="A3022" s="167" t="s">
        <v>18443</v>
      </c>
      <c r="B3022" s="142" t="s">
        <v>18580</v>
      </c>
      <c r="C3022" s="143">
        <v>113071</v>
      </c>
      <c r="D3022" s="142" t="s">
        <v>15435</v>
      </c>
      <c r="E3022" s="144">
        <v>8547.6</v>
      </c>
      <c r="F3022" s="145">
        <v>42878</v>
      </c>
      <c r="G3022" s="146">
        <v>8547.6</v>
      </c>
      <c r="H3022" s="138">
        <f t="shared" si="48"/>
        <v>0</v>
      </c>
      <c r="I3022" s="147" t="s">
        <v>15214</v>
      </c>
    </row>
    <row r="3023" spans="1:9" x14ac:dyDescent="0.25">
      <c r="A3023" s="168" t="s">
        <v>18443</v>
      </c>
      <c r="B3023" s="136" t="s">
        <v>18581</v>
      </c>
      <c r="C3023" s="137">
        <v>113072</v>
      </c>
      <c r="D3023" s="136" t="s">
        <v>15444</v>
      </c>
      <c r="E3023" s="138">
        <v>2089.5</v>
      </c>
      <c r="F3023" s="139">
        <v>42878</v>
      </c>
      <c r="G3023" s="140">
        <v>2089.5</v>
      </c>
      <c r="H3023" s="138">
        <f t="shared" si="48"/>
        <v>0</v>
      </c>
      <c r="I3023" s="141" t="s">
        <v>15214</v>
      </c>
    </row>
    <row r="3024" spans="1:9" x14ac:dyDescent="0.25">
      <c r="A3024" s="167" t="s">
        <v>18582</v>
      </c>
      <c r="B3024" s="142" t="s">
        <v>18583</v>
      </c>
      <c r="C3024" s="143">
        <v>113073</v>
      </c>
      <c r="D3024" s="142" t="s">
        <v>15213</v>
      </c>
      <c r="E3024" s="144">
        <v>9572.7999999999993</v>
      </c>
      <c r="F3024" s="145">
        <v>42879</v>
      </c>
      <c r="G3024" s="146">
        <v>9572.7999999999993</v>
      </c>
      <c r="H3024" s="138">
        <f t="shared" si="48"/>
        <v>0</v>
      </c>
      <c r="I3024" s="147" t="s">
        <v>15214</v>
      </c>
    </row>
    <row r="3025" spans="1:9" x14ac:dyDescent="0.25">
      <c r="A3025" s="168" t="s">
        <v>18582</v>
      </c>
      <c r="B3025" s="136" t="s">
        <v>18584</v>
      </c>
      <c r="C3025" s="137">
        <v>113074</v>
      </c>
      <c r="D3025" s="136" t="s">
        <v>15213</v>
      </c>
      <c r="E3025" s="138">
        <v>47630.3</v>
      </c>
      <c r="F3025" s="139">
        <v>42880</v>
      </c>
      <c r="G3025" s="140">
        <v>47630.3</v>
      </c>
      <c r="H3025" s="138">
        <f t="shared" si="48"/>
        <v>0</v>
      </c>
      <c r="I3025" s="141" t="s">
        <v>15214</v>
      </c>
    </row>
    <row r="3026" spans="1:9" x14ac:dyDescent="0.25">
      <c r="A3026" s="167" t="s">
        <v>18582</v>
      </c>
      <c r="B3026" s="142" t="s">
        <v>18585</v>
      </c>
      <c r="C3026" s="143">
        <v>113075</v>
      </c>
      <c r="D3026" s="142" t="s">
        <v>15220</v>
      </c>
      <c r="E3026" s="144">
        <v>1920</v>
      </c>
      <c r="F3026" s="145">
        <v>42879</v>
      </c>
      <c r="G3026" s="146">
        <v>1920</v>
      </c>
      <c r="H3026" s="138">
        <f t="shared" si="48"/>
        <v>0</v>
      </c>
      <c r="I3026" s="147" t="s">
        <v>15214</v>
      </c>
    </row>
    <row r="3027" spans="1:9" x14ac:dyDescent="0.25">
      <c r="A3027" s="168" t="s">
        <v>18582</v>
      </c>
      <c r="B3027" s="136" t="s">
        <v>18586</v>
      </c>
      <c r="C3027" s="137">
        <v>113076</v>
      </c>
      <c r="D3027" s="136" t="s">
        <v>15324</v>
      </c>
      <c r="E3027" s="138">
        <v>2284</v>
      </c>
      <c r="F3027" s="139">
        <v>42879</v>
      </c>
      <c r="G3027" s="140">
        <v>2284</v>
      </c>
      <c r="H3027" s="138">
        <f t="shared" si="48"/>
        <v>0</v>
      </c>
      <c r="I3027" s="141" t="s">
        <v>15214</v>
      </c>
    </row>
    <row r="3028" spans="1:9" x14ac:dyDescent="0.25">
      <c r="A3028" s="167" t="s">
        <v>18582</v>
      </c>
      <c r="B3028" s="142" t="s">
        <v>18587</v>
      </c>
      <c r="C3028" s="143">
        <v>113077</v>
      </c>
      <c r="D3028" s="142" t="s">
        <v>15626</v>
      </c>
      <c r="E3028" s="144">
        <v>6657.2</v>
      </c>
      <c r="F3028" s="148">
        <v>42892</v>
      </c>
      <c r="G3028" s="149">
        <v>6657.2</v>
      </c>
      <c r="H3028" s="138">
        <f t="shared" si="48"/>
        <v>0</v>
      </c>
      <c r="I3028" s="147" t="s">
        <v>15214</v>
      </c>
    </row>
    <row r="3029" spans="1:9" x14ac:dyDescent="0.25">
      <c r="A3029" s="168" t="s">
        <v>18582</v>
      </c>
      <c r="B3029" s="136" t="s">
        <v>18588</v>
      </c>
      <c r="C3029" s="137">
        <v>113078</v>
      </c>
      <c r="D3029" s="136" t="s">
        <v>15230</v>
      </c>
      <c r="E3029" s="138">
        <v>8932.5</v>
      </c>
      <c r="F3029" s="139">
        <v>42882</v>
      </c>
      <c r="G3029" s="140">
        <v>8932.5</v>
      </c>
      <c r="H3029" s="138">
        <f t="shared" si="48"/>
        <v>0</v>
      </c>
      <c r="I3029" s="141" t="s">
        <v>15214</v>
      </c>
    </row>
    <row r="3030" spans="1:9" x14ac:dyDescent="0.25">
      <c r="A3030" s="167" t="s">
        <v>18582</v>
      </c>
      <c r="B3030" s="142" t="s">
        <v>18589</v>
      </c>
      <c r="C3030" s="143">
        <v>113079</v>
      </c>
      <c r="D3030" s="142" t="s">
        <v>15226</v>
      </c>
      <c r="E3030" s="144">
        <v>1507.2</v>
      </c>
      <c r="F3030" s="145">
        <v>42880</v>
      </c>
      <c r="G3030" s="146">
        <v>1507.2</v>
      </c>
      <c r="H3030" s="138">
        <f t="shared" si="48"/>
        <v>0</v>
      </c>
      <c r="I3030" s="147" t="s">
        <v>15214</v>
      </c>
    </row>
    <row r="3031" spans="1:9" x14ac:dyDescent="0.25">
      <c r="A3031" s="168" t="s">
        <v>18582</v>
      </c>
      <c r="B3031" s="136" t="s">
        <v>18590</v>
      </c>
      <c r="C3031" s="137">
        <v>113080</v>
      </c>
      <c r="D3031" s="136" t="s">
        <v>15232</v>
      </c>
      <c r="E3031" s="138">
        <v>6585</v>
      </c>
      <c r="F3031" s="157">
        <v>42887</v>
      </c>
      <c r="G3031" s="158">
        <v>6585</v>
      </c>
      <c r="H3031" s="138">
        <f t="shared" si="48"/>
        <v>0</v>
      </c>
      <c r="I3031" s="141" t="s">
        <v>15214</v>
      </c>
    </row>
    <row r="3032" spans="1:9" x14ac:dyDescent="0.25">
      <c r="A3032" s="167" t="s">
        <v>18582</v>
      </c>
      <c r="B3032" s="142" t="s">
        <v>18591</v>
      </c>
      <c r="C3032" s="143">
        <v>113081</v>
      </c>
      <c r="D3032" s="142" t="s">
        <v>15244</v>
      </c>
      <c r="E3032" s="144">
        <v>9260.6</v>
      </c>
      <c r="F3032" s="145">
        <v>42880</v>
      </c>
      <c r="G3032" s="146">
        <v>9260.6</v>
      </c>
      <c r="H3032" s="138">
        <f t="shared" si="48"/>
        <v>0</v>
      </c>
      <c r="I3032" s="147" t="s">
        <v>15214</v>
      </c>
    </row>
    <row r="3033" spans="1:9" x14ac:dyDescent="0.25">
      <c r="A3033" s="168" t="s">
        <v>18582</v>
      </c>
      <c r="B3033" s="136" t="s">
        <v>18592</v>
      </c>
      <c r="C3033" s="137">
        <v>113082</v>
      </c>
      <c r="D3033" s="136" t="s">
        <v>15330</v>
      </c>
      <c r="E3033" s="138">
        <v>3349.7</v>
      </c>
      <c r="F3033" s="139">
        <v>42879</v>
      </c>
      <c r="G3033" s="140">
        <v>3349.7</v>
      </c>
      <c r="H3033" s="138">
        <f t="shared" si="48"/>
        <v>0</v>
      </c>
      <c r="I3033" s="141" t="s">
        <v>15214</v>
      </c>
    </row>
    <row r="3034" spans="1:9" x14ac:dyDescent="0.25">
      <c r="A3034" s="167" t="s">
        <v>18582</v>
      </c>
      <c r="B3034" s="142" t="s">
        <v>18593</v>
      </c>
      <c r="C3034" s="143">
        <v>113083</v>
      </c>
      <c r="D3034" s="142" t="s">
        <v>15258</v>
      </c>
      <c r="E3034" s="144">
        <v>13704.8</v>
      </c>
      <c r="F3034" s="145" t="s">
        <v>18594</v>
      </c>
      <c r="G3034" s="146">
        <f>5000+8704.8</f>
        <v>13704.8</v>
      </c>
      <c r="H3034" s="138">
        <f t="shared" si="48"/>
        <v>0</v>
      </c>
      <c r="I3034" s="147" t="s">
        <v>15214</v>
      </c>
    </row>
    <row r="3035" spans="1:9" x14ac:dyDescent="0.25">
      <c r="A3035" s="168" t="s">
        <v>18582</v>
      </c>
      <c r="B3035" s="136" t="s">
        <v>18595</v>
      </c>
      <c r="C3035" s="137">
        <v>113084</v>
      </c>
      <c r="D3035" s="136" t="s">
        <v>15338</v>
      </c>
      <c r="E3035" s="138">
        <v>7956.8</v>
      </c>
      <c r="F3035" s="139">
        <v>42884</v>
      </c>
      <c r="G3035" s="140">
        <v>7956.8</v>
      </c>
      <c r="H3035" s="138">
        <f t="shared" si="48"/>
        <v>0</v>
      </c>
      <c r="I3035" s="141" t="s">
        <v>15214</v>
      </c>
    </row>
    <row r="3036" spans="1:9" x14ac:dyDescent="0.25">
      <c r="A3036" s="167" t="s">
        <v>18582</v>
      </c>
      <c r="B3036" s="142" t="s">
        <v>18596</v>
      </c>
      <c r="C3036" s="143">
        <v>113085</v>
      </c>
      <c r="D3036" s="142" t="s">
        <v>15348</v>
      </c>
      <c r="E3036" s="144">
        <v>3363</v>
      </c>
      <c r="F3036" s="145">
        <v>42881</v>
      </c>
      <c r="G3036" s="146">
        <v>3363</v>
      </c>
      <c r="H3036" s="138">
        <f t="shared" si="48"/>
        <v>0</v>
      </c>
      <c r="I3036" s="147" t="s">
        <v>15214</v>
      </c>
    </row>
    <row r="3037" spans="1:9" x14ac:dyDescent="0.25">
      <c r="A3037" s="168" t="s">
        <v>18582</v>
      </c>
      <c r="B3037" s="136" t="s">
        <v>18597</v>
      </c>
      <c r="C3037" s="137">
        <v>113086</v>
      </c>
      <c r="D3037" s="136" t="s">
        <v>15244</v>
      </c>
      <c r="E3037" s="138">
        <v>3337.4</v>
      </c>
      <c r="F3037" s="139">
        <v>42879</v>
      </c>
      <c r="G3037" s="140">
        <v>3337.4</v>
      </c>
      <c r="H3037" s="138">
        <f t="shared" si="48"/>
        <v>0</v>
      </c>
      <c r="I3037" s="141" t="s">
        <v>15214</v>
      </c>
    </row>
    <row r="3038" spans="1:9" x14ac:dyDescent="0.25">
      <c r="A3038" s="167" t="s">
        <v>18582</v>
      </c>
      <c r="B3038" s="142" t="s">
        <v>18598</v>
      </c>
      <c r="C3038" s="143">
        <v>113087</v>
      </c>
      <c r="D3038" s="142" t="s">
        <v>15236</v>
      </c>
      <c r="E3038" s="144">
        <v>6848.7</v>
      </c>
      <c r="F3038" s="145">
        <v>42881</v>
      </c>
      <c r="G3038" s="146">
        <v>6848.7</v>
      </c>
      <c r="H3038" s="138">
        <f t="shared" si="48"/>
        <v>0</v>
      </c>
      <c r="I3038" s="147" t="s">
        <v>15214</v>
      </c>
    </row>
    <row r="3039" spans="1:9" x14ac:dyDescent="0.25">
      <c r="A3039" s="168" t="s">
        <v>18582</v>
      </c>
      <c r="B3039" s="136" t="s">
        <v>18599</v>
      </c>
      <c r="C3039" s="137">
        <v>113088</v>
      </c>
      <c r="D3039" s="136" t="s">
        <v>15234</v>
      </c>
      <c r="E3039" s="138">
        <v>3359.6</v>
      </c>
      <c r="F3039" s="139">
        <v>42882</v>
      </c>
      <c r="G3039" s="140">
        <v>3359.6</v>
      </c>
      <c r="H3039" s="138">
        <f t="shared" si="48"/>
        <v>0</v>
      </c>
      <c r="I3039" s="141" t="s">
        <v>15214</v>
      </c>
    </row>
    <row r="3040" spans="1:9" x14ac:dyDescent="0.25">
      <c r="A3040" s="167" t="s">
        <v>18582</v>
      </c>
      <c r="B3040" s="142" t="s">
        <v>18600</v>
      </c>
      <c r="C3040" s="143">
        <v>113089</v>
      </c>
      <c r="D3040" s="142" t="s">
        <v>15242</v>
      </c>
      <c r="E3040" s="144">
        <v>6975</v>
      </c>
      <c r="F3040" s="145">
        <v>42879</v>
      </c>
      <c r="G3040" s="146">
        <v>6975</v>
      </c>
      <c r="H3040" s="138">
        <f t="shared" si="48"/>
        <v>0</v>
      </c>
      <c r="I3040" s="147" t="s">
        <v>15214</v>
      </c>
    </row>
    <row r="3041" spans="1:9" x14ac:dyDescent="0.25">
      <c r="A3041" s="168" t="s">
        <v>18582</v>
      </c>
      <c r="B3041" s="136" t="s">
        <v>18601</v>
      </c>
      <c r="C3041" s="137">
        <v>113090</v>
      </c>
      <c r="D3041" s="136" t="s">
        <v>15480</v>
      </c>
      <c r="E3041" s="138">
        <v>65.400000000000006</v>
      </c>
      <c r="F3041" s="139">
        <v>42880</v>
      </c>
      <c r="G3041" s="140">
        <v>65.400000000000006</v>
      </c>
      <c r="H3041" s="138">
        <f t="shared" si="48"/>
        <v>0</v>
      </c>
      <c r="I3041" s="141" t="s">
        <v>15214</v>
      </c>
    </row>
    <row r="3042" spans="1:9" x14ac:dyDescent="0.25">
      <c r="A3042" s="167" t="s">
        <v>18582</v>
      </c>
      <c r="B3042" s="142" t="s">
        <v>18602</v>
      </c>
      <c r="C3042" s="143">
        <v>113091</v>
      </c>
      <c r="D3042" s="142" t="s">
        <v>15315</v>
      </c>
      <c r="E3042" s="144">
        <v>4825.1000000000004</v>
      </c>
      <c r="F3042" s="145">
        <v>42879</v>
      </c>
      <c r="G3042" s="146">
        <v>4825.1000000000004</v>
      </c>
      <c r="H3042" s="138">
        <f t="shared" si="48"/>
        <v>0</v>
      </c>
      <c r="I3042" s="147" t="s">
        <v>15214</v>
      </c>
    </row>
    <row r="3043" spans="1:9" x14ac:dyDescent="0.25">
      <c r="A3043" s="168" t="s">
        <v>18582</v>
      </c>
      <c r="B3043" s="136" t="s">
        <v>18603</v>
      </c>
      <c r="C3043" s="137">
        <v>113092</v>
      </c>
      <c r="D3043" s="136" t="s">
        <v>15252</v>
      </c>
      <c r="E3043" s="138">
        <v>3184.6</v>
      </c>
      <c r="F3043" s="139">
        <v>42886</v>
      </c>
      <c r="G3043" s="140">
        <v>3184.6</v>
      </c>
      <c r="H3043" s="138">
        <f t="shared" si="48"/>
        <v>0</v>
      </c>
      <c r="I3043" s="141" t="s">
        <v>15214</v>
      </c>
    </row>
    <row r="3044" spans="1:9" x14ac:dyDescent="0.25">
      <c r="A3044" s="167" t="s">
        <v>18582</v>
      </c>
      <c r="B3044" s="142" t="s">
        <v>18604</v>
      </c>
      <c r="C3044" s="143">
        <v>113093</v>
      </c>
      <c r="D3044" s="142" t="s">
        <v>15668</v>
      </c>
      <c r="E3044" s="144">
        <v>10389.6</v>
      </c>
      <c r="F3044" s="145">
        <v>42880</v>
      </c>
      <c r="G3044" s="146">
        <v>10389.6</v>
      </c>
      <c r="H3044" s="138">
        <f t="shared" si="48"/>
        <v>0</v>
      </c>
      <c r="I3044" s="147" t="s">
        <v>15214</v>
      </c>
    </row>
    <row r="3045" spans="1:9" x14ac:dyDescent="0.25">
      <c r="A3045" s="168" t="s">
        <v>18582</v>
      </c>
      <c r="B3045" s="136" t="s">
        <v>18605</v>
      </c>
      <c r="C3045" s="137">
        <v>113094</v>
      </c>
      <c r="D3045" s="136" t="s">
        <v>15240</v>
      </c>
      <c r="E3045" s="138">
        <v>3279.8</v>
      </c>
      <c r="F3045" s="139">
        <v>42880</v>
      </c>
      <c r="G3045" s="140">
        <v>3279.8</v>
      </c>
      <c r="H3045" s="138">
        <f t="shared" si="48"/>
        <v>0</v>
      </c>
      <c r="I3045" s="141" t="s">
        <v>15214</v>
      </c>
    </row>
    <row r="3046" spans="1:9" x14ac:dyDescent="0.25">
      <c r="A3046" s="167" t="s">
        <v>18582</v>
      </c>
      <c r="B3046" s="142" t="s">
        <v>18606</v>
      </c>
      <c r="C3046" s="143">
        <v>113095</v>
      </c>
      <c r="D3046" s="142" t="s">
        <v>15487</v>
      </c>
      <c r="E3046" s="144">
        <v>16697.7</v>
      </c>
      <c r="F3046" s="145">
        <v>42879</v>
      </c>
      <c r="G3046" s="146">
        <v>16697.7</v>
      </c>
      <c r="H3046" s="138">
        <f t="shared" si="48"/>
        <v>0</v>
      </c>
      <c r="I3046" s="147" t="s">
        <v>15214</v>
      </c>
    </row>
    <row r="3047" spans="1:9" x14ac:dyDescent="0.25">
      <c r="A3047" s="168" t="s">
        <v>18582</v>
      </c>
      <c r="B3047" s="136" t="s">
        <v>18607</v>
      </c>
      <c r="C3047" s="137">
        <v>113096</v>
      </c>
      <c r="D3047" s="136" t="s">
        <v>15223</v>
      </c>
      <c r="E3047" s="138">
        <v>51475.199999999997</v>
      </c>
      <c r="F3047" s="157">
        <v>42892</v>
      </c>
      <c r="G3047" s="158">
        <v>51475.199999999997</v>
      </c>
      <c r="H3047" s="138">
        <f t="shared" si="48"/>
        <v>0</v>
      </c>
      <c r="I3047" s="141" t="s">
        <v>15214</v>
      </c>
    </row>
    <row r="3048" spans="1:9" x14ac:dyDescent="0.25">
      <c r="A3048" s="167" t="s">
        <v>18582</v>
      </c>
      <c r="B3048" s="142" t="s">
        <v>18608</v>
      </c>
      <c r="C3048" s="143">
        <v>113097</v>
      </c>
      <c r="D3048" s="142" t="s">
        <v>15274</v>
      </c>
      <c r="E3048" s="144">
        <v>531.61</v>
      </c>
      <c r="F3048" s="145">
        <v>42879</v>
      </c>
      <c r="G3048" s="146">
        <v>531.61</v>
      </c>
      <c r="H3048" s="138">
        <f t="shared" si="48"/>
        <v>0</v>
      </c>
      <c r="I3048" s="147" t="s">
        <v>15214</v>
      </c>
    </row>
    <row r="3049" spans="1:9" x14ac:dyDescent="0.25">
      <c r="A3049" s="168" t="s">
        <v>18582</v>
      </c>
      <c r="B3049" s="136" t="s">
        <v>18609</v>
      </c>
      <c r="C3049" s="137">
        <v>113098</v>
      </c>
      <c r="D3049" s="136" t="s">
        <v>15890</v>
      </c>
      <c r="E3049" s="138">
        <v>10963.2</v>
      </c>
      <c r="F3049" s="139">
        <v>42886</v>
      </c>
      <c r="G3049" s="140">
        <v>10963.2</v>
      </c>
      <c r="H3049" s="138">
        <f t="shared" si="48"/>
        <v>0</v>
      </c>
      <c r="I3049" s="141" t="s">
        <v>15214</v>
      </c>
    </row>
    <row r="3050" spans="1:9" ht="15.75" x14ac:dyDescent="0.25">
      <c r="A3050" s="167" t="s">
        <v>18582</v>
      </c>
      <c r="B3050" s="142" t="s">
        <v>18610</v>
      </c>
      <c r="C3050" s="143">
        <v>113099</v>
      </c>
      <c r="D3050" s="142" t="s">
        <v>15315</v>
      </c>
      <c r="E3050" s="144">
        <v>0</v>
      </c>
      <c r="F3050" s="156" t="s">
        <v>95</v>
      </c>
      <c r="G3050" s="144">
        <v>0</v>
      </c>
      <c r="H3050" s="138">
        <f t="shared" si="48"/>
        <v>0</v>
      </c>
      <c r="I3050" s="147" t="s">
        <v>95</v>
      </c>
    </row>
    <row r="3051" spans="1:9" x14ac:dyDescent="0.25">
      <c r="A3051" s="168" t="s">
        <v>18582</v>
      </c>
      <c r="B3051" s="136" t="s">
        <v>18611</v>
      </c>
      <c r="C3051" s="137">
        <v>113100</v>
      </c>
      <c r="D3051" s="136" t="s">
        <v>15272</v>
      </c>
      <c r="E3051" s="138">
        <v>17912.8</v>
      </c>
      <c r="F3051" s="139">
        <v>42879</v>
      </c>
      <c r="G3051" s="140">
        <v>17912.8</v>
      </c>
      <c r="H3051" s="138">
        <f t="shared" si="48"/>
        <v>0</v>
      </c>
      <c r="I3051" s="141" t="s">
        <v>15214</v>
      </c>
    </row>
    <row r="3052" spans="1:9" x14ac:dyDescent="0.25">
      <c r="A3052" s="167" t="s">
        <v>18582</v>
      </c>
      <c r="B3052" s="142" t="s">
        <v>18612</v>
      </c>
      <c r="C3052" s="143">
        <v>113101</v>
      </c>
      <c r="D3052" s="142" t="s">
        <v>15263</v>
      </c>
      <c r="E3052" s="144">
        <v>631</v>
      </c>
      <c r="F3052" s="145">
        <v>42879</v>
      </c>
      <c r="G3052" s="146">
        <v>631</v>
      </c>
      <c r="H3052" s="138">
        <f t="shared" si="48"/>
        <v>0</v>
      </c>
      <c r="I3052" s="147" t="s">
        <v>15214</v>
      </c>
    </row>
    <row r="3053" spans="1:9" x14ac:dyDescent="0.25">
      <c r="A3053" s="168" t="s">
        <v>18582</v>
      </c>
      <c r="B3053" s="136" t="s">
        <v>18613</v>
      </c>
      <c r="C3053" s="137">
        <v>113102</v>
      </c>
      <c r="D3053" s="136" t="s">
        <v>15263</v>
      </c>
      <c r="E3053" s="138">
        <v>2982.2</v>
      </c>
      <c r="F3053" s="139">
        <v>42879</v>
      </c>
      <c r="G3053" s="140">
        <v>2982.2</v>
      </c>
      <c r="H3053" s="138">
        <f t="shared" si="48"/>
        <v>0</v>
      </c>
      <c r="I3053" s="141" t="s">
        <v>15214</v>
      </c>
    </row>
    <row r="3054" spans="1:9" x14ac:dyDescent="0.25">
      <c r="A3054" s="167" t="s">
        <v>18582</v>
      </c>
      <c r="B3054" s="142" t="s">
        <v>18614</v>
      </c>
      <c r="C3054" s="143">
        <v>113103</v>
      </c>
      <c r="D3054" s="142" t="s">
        <v>15223</v>
      </c>
      <c r="E3054" s="144">
        <v>728</v>
      </c>
      <c r="F3054" s="145">
        <v>42879</v>
      </c>
      <c r="G3054" s="146">
        <v>728</v>
      </c>
      <c r="H3054" s="138">
        <f t="shared" si="48"/>
        <v>0</v>
      </c>
      <c r="I3054" s="147" t="s">
        <v>15214</v>
      </c>
    </row>
    <row r="3055" spans="1:9" x14ac:dyDescent="0.25">
      <c r="A3055" s="168" t="s">
        <v>18582</v>
      </c>
      <c r="B3055" s="136" t="s">
        <v>18615</v>
      </c>
      <c r="C3055" s="137">
        <v>113104</v>
      </c>
      <c r="D3055" s="136" t="s">
        <v>15510</v>
      </c>
      <c r="E3055" s="138">
        <v>24263</v>
      </c>
      <c r="F3055" s="139" t="s">
        <v>18616</v>
      </c>
      <c r="G3055" s="140">
        <f>19000+5263</f>
        <v>24263</v>
      </c>
      <c r="H3055" s="138">
        <f t="shared" si="48"/>
        <v>0</v>
      </c>
      <c r="I3055" s="141" t="s">
        <v>15214</v>
      </c>
    </row>
    <row r="3056" spans="1:9" x14ac:dyDescent="0.25">
      <c r="A3056" s="167" t="s">
        <v>18582</v>
      </c>
      <c r="B3056" s="142" t="s">
        <v>18617</v>
      </c>
      <c r="C3056" s="143">
        <v>113105</v>
      </c>
      <c r="D3056" s="142" t="s">
        <v>15246</v>
      </c>
      <c r="E3056" s="144">
        <v>619.4</v>
      </c>
      <c r="F3056" s="145">
        <v>42882</v>
      </c>
      <c r="G3056" s="146">
        <v>619.4</v>
      </c>
      <c r="H3056" s="138">
        <f t="shared" si="48"/>
        <v>0</v>
      </c>
      <c r="I3056" s="147" t="s">
        <v>15214</v>
      </c>
    </row>
    <row r="3057" spans="1:9" x14ac:dyDescent="0.25">
      <c r="A3057" s="168" t="s">
        <v>18582</v>
      </c>
      <c r="B3057" s="136" t="s">
        <v>18618</v>
      </c>
      <c r="C3057" s="137">
        <v>113106</v>
      </c>
      <c r="D3057" s="136" t="s">
        <v>15438</v>
      </c>
      <c r="E3057" s="138">
        <v>2085.9</v>
      </c>
      <c r="F3057" s="139">
        <v>42879</v>
      </c>
      <c r="G3057" s="140">
        <v>2085.9</v>
      </c>
      <c r="H3057" s="138">
        <f t="shared" si="48"/>
        <v>0</v>
      </c>
      <c r="I3057" s="141" t="s">
        <v>15214</v>
      </c>
    </row>
    <row r="3058" spans="1:9" x14ac:dyDescent="0.25">
      <c r="A3058" s="167" t="s">
        <v>18582</v>
      </c>
      <c r="B3058" s="142" t="s">
        <v>18619</v>
      </c>
      <c r="C3058" s="143">
        <v>113107</v>
      </c>
      <c r="D3058" s="142" t="s">
        <v>15330</v>
      </c>
      <c r="E3058" s="144">
        <v>2066.1</v>
      </c>
      <c r="F3058" s="145">
        <v>42879</v>
      </c>
      <c r="G3058" s="146">
        <v>2066.1</v>
      </c>
      <c r="H3058" s="138">
        <f t="shared" si="48"/>
        <v>0</v>
      </c>
      <c r="I3058" s="147" t="s">
        <v>15214</v>
      </c>
    </row>
    <row r="3059" spans="1:9" x14ac:dyDescent="0.25">
      <c r="A3059" s="168" t="s">
        <v>18582</v>
      </c>
      <c r="B3059" s="136" t="s">
        <v>18620</v>
      </c>
      <c r="C3059" s="137">
        <v>113108</v>
      </c>
      <c r="D3059" s="136" t="s">
        <v>15317</v>
      </c>
      <c r="E3059" s="138">
        <v>1348.9</v>
      </c>
      <c r="F3059" s="157">
        <v>42888</v>
      </c>
      <c r="G3059" s="158">
        <v>1348.9</v>
      </c>
      <c r="H3059" s="138">
        <f t="shared" si="48"/>
        <v>0</v>
      </c>
      <c r="I3059" s="141" t="s">
        <v>15214</v>
      </c>
    </row>
    <row r="3060" spans="1:9" x14ac:dyDescent="0.25">
      <c r="A3060" s="167" t="s">
        <v>18582</v>
      </c>
      <c r="B3060" s="142" t="s">
        <v>18621</v>
      </c>
      <c r="C3060" s="143">
        <v>113109</v>
      </c>
      <c r="D3060" s="142" t="s">
        <v>15311</v>
      </c>
      <c r="E3060" s="144">
        <v>2038</v>
      </c>
      <c r="F3060" s="145">
        <v>42879</v>
      </c>
      <c r="G3060" s="146">
        <v>2038</v>
      </c>
      <c r="H3060" s="138">
        <f t="shared" si="48"/>
        <v>0</v>
      </c>
      <c r="I3060" s="147" t="s">
        <v>15214</v>
      </c>
    </row>
    <row r="3061" spans="1:9" x14ac:dyDescent="0.25">
      <c r="A3061" s="168" t="s">
        <v>18582</v>
      </c>
      <c r="B3061" s="136" t="s">
        <v>18622</v>
      </c>
      <c r="C3061" s="137">
        <v>113110</v>
      </c>
      <c r="D3061" s="136" t="s">
        <v>15291</v>
      </c>
      <c r="E3061" s="138">
        <v>624</v>
      </c>
      <c r="F3061" s="139">
        <v>42879</v>
      </c>
      <c r="G3061" s="140">
        <v>624</v>
      </c>
      <c r="H3061" s="138">
        <f t="shared" si="48"/>
        <v>0</v>
      </c>
      <c r="I3061" s="141" t="s">
        <v>15214</v>
      </c>
    </row>
    <row r="3062" spans="1:9" x14ac:dyDescent="0.25">
      <c r="A3062" s="167" t="s">
        <v>18582</v>
      </c>
      <c r="B3062" s="142" t="s">
        <v>18623</v>
      </c>
      <c r="C3062" s="143">
        <v>113111</v>
      </c>
      <c r="D3062" s="142" t="s">
        <v>16484</v>
      </c>
      <c r="E3062" s="144">
        <v>1597.2</v>
      </c>
      <c r="F3062" s="145">
        <v>42879</v>
      </c>
      <c r="G3062" s="146">
        <v>1597.2</v>
      </c>
      <c r="H3062" s="138">
        <f t="shared" si="48"/>
        <v>0</v>
      </c>
      <c r="I3062" s="147" t="s">
        <v>15214</v>
      </c>
    </row>
    <row r="3063" spans="1:9" x14ac:dyDescent="0.25">
      <c r="A3063" s="168" t="s">
        <v>18582</v>
      </c>
      <c r="B3063" s="136" t="s">
        <v>18624</v>
      </c>
      <c r="C3063" s="137">
        <v>113112</v>
      </c>
      <c r="D3063" s="136" t="s">
        <v>15317</v>
      </c>
      <c r="E3063" s="138">
        <v>784</v>
      </c>
      <c r="F3063" s="139">
        <v>42879</v>
      </c>
      <c r="G3063" s="140">
        <v>784</v>
      </c>
      <c r="H3063" s="138">
        <f t="shared" si="48"/>
        <v>0</v>
      </c>
      <c r="I3063" s="141" t="s">
        <v>15214</v>
      </c>
    </row>
    <row r="3064" spans="1:9" x14ac:dyDescent="0.25">
      <c r="A3064" s="167" t="s">
        <v>18582</v>
      </c>
      <c r="B3064" s="142" t="s">
        <v>18625</v>
      </c>
      <c r="C3064" s="143">
        <v>113113</v>
      </c>
      <c r="D3064" s="142" t="s">
        <v>15328</v>
      </c>
      <c r="E3064" s="144">
        <v>124052.62</v>
      </c>
      <c r="F3064" s="148" t="s">
        <v>19665</v>
      </c>
      <c r="G3064" s="149">
        <f>42695.89+81356.73</f>
        <v>124052.62</v>
      </c>
      <c r="H3064" s="138">
        <f t="shared" si="48"/>
        <v>0</v>
      </c>
      <c r="I3064" s="147" t="s">
        <v>15214</v>
      </c>
    </row>
    <row r="3065" spans="1:9" x14ac:dyDescent="0.25">
      <c r="A3065" s="168" t="s">
        <v>18582</v>
      </c>
      <c r="B3065" s="136" t="s">
        <v>18626</v>
      </c>
      <c r="C3065" s="137">
        <v>113114</v>
      </c>
      <c r="D3065" s="136" t="s">
        <v>15284</v>
      </c>
      <c r="E3065" s="138">
        <v>3452.4</v>
      </c>
      <c r="F3065" s="139">
        <v>42879</v>
      </c>
      <c r="G3065" s="140">
        <v>3452.4</v>
      </c>
      <c r="H3065" s="138">
        <f t="shared" si="48"/>
        <v>0</v>
      </c>
      <c r="I3065" s="141" t="s">
        <v>15214</v>
      </c>
    </row>
    <row r="3066" spans="1:9" x14ac:dyDescent="0.25">
      <c r="A3066" s="167" t="s">
        <v>18582</v>
      </c>
      <c r="B3066" s="142" t="s">
        <v>18627</v>
      </c>
      <c r="C3066" s="143">
        <v>113115</v>
      </c>
      <c r="D3066" s="142" t="s">
        <v>15415</v>
      </c>
      <c r="E3066" s="144">
        <v>392</v>
      </c>
      <c r="F3066" s="145">
        <v>42881</v>
      </c>
      <c r="G3066" s="146">
        <v>392</v>
      </c>
      <c r="H3066" s="138">
        <f t="shared" si="48"/>
        <v>0</v>
      </c>
      <c r="I3066" s="147" t="s">
        <v>15214</v>
      </c>
    </row>
    <row r="3067" spans="1:9" x14ac:dyDescent="0.25">
      <c r="A3067" s="168" t="s">
        <v>18582</v>
      </c>
      <c r="B3067" s="136" t="s">
        <v>18628</v>
      </c>
      <c r="C3067" s="137">
        <v>113116</v>
      </c>
      <c r="D3067" s="136" t="s">
        <v>15523</v>
      </c>
      <c r="E3067" s="138">
        <v>1209.5999999999999</v>
      </c>
      <c r="F3067" s="139">
        <v>42879</v>
      </c>
      <c r="G3067" s="140">
        <v>1209.5999999999999</v>
      </c>
      <c r="H3067" s="138">
        <f t="shared" si="48"/>
        <v>0</v>
      </c>
      <c r="I3067" s="141" t="s">
        <v>15214</v>
      </c>
    </row>
    <row r="3068" spans="1:9" x14ac:dyDescent="0.25">
      <c r="A3068" s="167" t="s">
        <v>18582</v>
      </c>
      <c r="B3068" s="142" t="s">
        <v>18629</v>
      </c>
      <c r="C3068" s="143">
        <v>113117</v>
      </c>
      <c r="D3068" s="142" t="s">
        <v>15861</v>
      </c>
      <c r="E3068" s="144">
        <v>2269</v>
      </c>
      <c r="F3068" s="145">
        <v>42879</v>
      </c>
      <c r="G3068" s="146">
        <v>2269</v>
      </c>
      <c r="H3068" s="138">
        <f t="shared" si="48"/>
        <v>0</v>
      </c>
      <c r="I3068" s="147" t="s">
        <v>15214</v>
      </c>
    </row>
    <row r="3069" spans="1:9" x14ac:dyDescent="0.25">
      <c r="A3069" s="168" t="s">
        <v>18582</v>
      </c>
      <c r="B3069" s="136" t="s">
        <v>18630</v>
      </c>
      <c r="C3069" s="137">
        <v>113118</v>
      </c>
      <c r="D3069" s="136" t="s">
        <v>15858</v>
      </c>
      <c r="E3069" s="138">
        <v>2070.2399999999998</v>
      </c>
      <c r="F3069" s="139">
        <v>42879</v>
      </c>
      <c r="G3069" s="140">
        <v>2070.2399999999998</v>
      </c>
      <c r="H3069" s="138">
        <f t="shared" si="48"/>
        <v>0</v>
      </c>
      <c r="I3069" s="141" t="s">
        <v>15214</v>
      </c>
    </row>
    <row r="3070" spans="1:9" x14ac:dyDescent="0.25">
      <c r="A3070" s="167" t="s">
        <v>18582</v>
      </c>
      <c r="B3070" s="142" t="s">
        <v>18631</v>
      </c>
      <c r="C3070" s="143">
        <v>113119</v>
      </c>
      <c r="D3070" s="142" t="s">
        <v>15732</v>
      </c>
      <c r="E3070" s="144">
        <v>1504.3</v>
      </c>
      <c r="F3070" s="145">
        <v>42879</v>
      </c>
      <c r="G3070" s="146">
        <v>1504.3</v>
      </c>
      <c r="H3070" s="138">
        <f t="shared" si="48"/>
        <v>0</v>
      </c>
      <c r="I3070" s="147" t="s">
        <v>15214</v>
      </c>
    </row>
    <row r="3071" spans="1:9" x14ac:dyDescent="0.25">
      <c r="A3071" s="168" t="s">
        <v>18582</v>
      </c>
      <c r="B3071" s="136" t="s">
        <v>18632</v>
      </c>
      <c r="C3071" s="137">
        <v>113120</v>
      </c>
      <c r="D3071" s="136" t="s">
        <v>15344</v>
      </c>
      <c r="E3071" s="138">
        <v>3812.2</v>
      </c>
      <c r="F3071" s="139">
        <v>42879</v>
      </c>
      <c r="G3071" s="140">
        <v>3812.2</v>
      </c>
      <c r="H3071" s="138">
        <f t="shared" si="48"/>
        <v>0</v>
      </c>
      <c r="I3071" s="141" t="s">
        <v>15214</v>
      </c>
    </row>
    <row r="3072" spans="1:9" x14ac:dyDescent="0.25">
      <c r="A3072" s="167" t="s">
        <v>18582</v>
      </c>
      <c r="B3072" s="142" t="s">
        <v>18633</v>
      </c>
      <c r="C3072" s="143">
        <v>113121</v>
      </c>
      <c r="D3072" s="142" t="s">
        <v>15278</v>
      </c>
      <c r="E3072" s="144">
        <v>6296.8</v>
      </c>
      <c r="F3072" s="145">
        <v>42879</v>
      </c>
      <c r="G3072" s="146">
        <v>6296.8</v>
      </c>
      <c r="H3072" s="138">
        <f t="shared" si="48"/>
        <v>0</v>
      </c>
      <c r="I3072" s="147" t="s">
        <v>15214</v>
      </c>
    </row>
    <row r="3073" spans="1:9" x14ac:dyDescent="0.25">
      <c r="A3073" s="168" t="s">
        <v>18582</v>
      </c>
      <c r="B3073" s="136" t="s">
        <v>18634</v>
      </c>
      <c r="C3073" s="137">
        <v>113122</v>
      </c>
      <c r="D3073" s="136" t="s">
        <v>15248</v>
      </c>
      <c r="E3073" s="138">
        <v>33361.9</v>
      </c>
      <c r="F3073" s="139">
        <v>42880</v>
      </c>
      <c r="G3073" s="140">
        <v>33361.9</v>
      </c>
      <c r="H3073" s="138">
        <f t="shared" si="48"/>
        <v>0</v>
      </c>
      <c r="I3073" s="141" t="s">
        <v>15214</v>
      </c>
    </row>
    <row r="3074" spans="1:9" x14ac:dyDescent="0.25">
      <c r="A3074" s="167" t="s">
        <v>18582</v>
      </c>
      <c r="B3074" s="142" t="s">
        <v>18635</v>
      </c>
      <c r="C3074" s="143">
        <v>113123</v>
      </c>
      <c r="D3074" s="142" t="s">
        <v>15261</v>
      </c>
      <c r="E3074" s="144">
        <v>20872.7</v>
      </c>
      <c r="F3074" s="145">
        <v>42880</v>
      </c>
      <c r="G3074" s="146">
        <v>20872.7</v>
      </c>
      <c r="H3074" s="138">
        <f t="shared" si="48"/>
        <v>0</v>
      </c>
      <c r="I3074" s="147" t="s">
        <v>15214</v>
      </c>
    </row>
    <row r="3075" spans="1:9" x14ac:dyDescent="0.25">
      <c r="A3075" s="168" t="s">
        <v>18582</v>
      </c>
      <c r="B3075" s="136" t="s">
        <v>18636</v>
      </c>
      <c r="C3075" s="137">
        <v>113124</v>
      </c>
      <c r="D3075" s="136" t="s">
        <v>15328</v>
      </c>
      <c r="E3075" s="138">
        <v>13140.58</v>
      </c>
      <c r="F3075" s="139">
        <v>42902</v>
      </c>
      <c r="G3075" s="140">
        <v>13140.58</v>
      </c>
      <c r="H3075" s="138">
        <f t="shared" si="48"/>
        <v>0</v>
      </c>
      <c r="I3075" s="141" t="s">
        <v>15214</v>
      </c>
    </row>
    <row r="3076" spans="1:9" x14ac:dyDescent="0.25">
      <c r="A3076" s="167" t="s">
        <v>18582</v>
      </c>
      <c r="B3076" s="142" t="s">
        <v>18637</v>
      </c>
      <c r="C3076" s="143">
        <v>113125</v>
      </c>
      <c r="D3076" s="142" t="s">
        <v>16383</v>
      </c>
      <c r="E3076" s="144">
        <v>10000.08</v>
      </c>
      <c r="F3076" s="145">
        <v>42879</v>
      </c>
      <c r="G3076" s="146">
        <v>10000.08</v>
      </c>
      <c r="H3076" s="138">
        <f t="shared" si="48"/>
        <v>0</v>
      </c>
      <c r="I3076" s="147" t="s">
        <v>15214</v>
      </c>
    </row>
    <row r="3077" spans="1:9" x14ac:dyDescent="0.25">
      <c r="A3077" s="168" t="s">
        <v>18582</v>
      </c>
      <c r="B3077" s="136" t="s">
        <v>18638</v>
      </c>
      <c r="C3077" s="137">
        <v>113126</v>
      </c>
      <c r="D3077" s="136" t="s">
        <v>15742</v>
      </c>
      <c r="E3077" s="138">
        <v>2073.6</v>
      </c>
      <c r="F3077" s="139">
        <v>42879</v>
      </c>
      <c r="G3077" s="140">
        <v>2073.6</v>
      </c>
      <c r="H3077" s="138">
        <f t="shared" si="48"/>
        <v>0</v>
      </c>
      <c r="I3077" s="141" t="s">
        <v>15214</v>
      </c>
    </row>
    <row r="3078" spans="1:9" ht="15.75" x14ac:dyDescent="0.25">
      <c r="A3078" s="167" t="s">
        <v>18582</v>
      </c>
      <c r="B3078" s="142" t="s">
        <v>18639</v>
      </c>
      <c r="C3078" s="143">
        <v>113127</v>
      </c>
      <c r="D3078" s="142" t="s">
        <v>15309</v>
      </c>
      <c r="E3078" s="144">
        <v>0</v>
      </c>
      <c r="F3078" s="156" t="s">
        <v>95</v>
      </c>
      <c r="G3078" s="144">
        <v>0</v>
      </c>
      <c r="H3078" s="138">
        <f t="shared" si="48"/>
        <v>0</v>
      </c>
      <c r="I3078" s="147" t="s">
        <v>95</v>
      </c>
    </row>
    <row r="3079" spans="1:9" x14ac:dyDescent="0.25">
      <c r="A3079" s="168" t="s">
        <v>18582</v>
      </c>
      <c r="B3079" s="136" t="s">
        <v>18640</v>
      </c>
      <c r="C3079" s="137">
        <v>113128</v>
      </c>
      <c r="D3079" s="136" t="s">
        <v>15358</v>
      </c>
      <c r="E3079" s="138">
        <v>1964.6</v>
      </c>
      <c r="F3079" s="139">
        <v>42879</v>
      </c>
      <c r="G3079" s="140">
        <v>1964.6</v>
      </c>
      <c r="H3079" s="138">
        <f t="shared" ref="H3079:H3142" si="49">E3079-G3079</f>
        <v>0</v>
      </c>
      <c r="I3079" s="141" t="s">
        <v>15214</v>
      </c>
    </row>
    <row r="3080" spans="1:9" x14ac:dyDescent="0.25">
      <c r="A3080" s="167" t="s">
        <v>18582</v>
      </c>
      <c r="B3080" s="142" t="s">
        <v>18641</v>
      </c>
      <c r="C3080" s="143">
        <v>113129</v>
      </c>
      <c r="D3080" s="142" t="s">
        <v>15336</v>
      </c>
      <c r="E3080" s="144">
        <v>5536.6</v>
      </c>
      <c r="F3080" s="145">
        <v>42879</v>
      </c>
      <c r="G3080" s="146">
        <v>5536.6</v>
      </c>
      <c r="H3080" s="138">
        <f t="shared" si="49"/>
        <v>0</v>
      </c>
      <c r="I3080" s="147" t="s">
        <v>15214</v>
      </c>
    </row>
    <row r="3081" spans="1:9" x14ac:dyDescent="0.25">
      <c r="A3081" s="168" t="s">
        <v>18582</v>
      </c>
      <c r="B3081" s="136" t="s">
        <v>18642</v>
      </c>
      <c r="C3081" s="137">
        <v>113130</v>
      </c>
      <c r="D3081" s="136" t="s">
        <v>15282</v>
      </c>
      <c r="E3081" s="138">
        <v>3786.6</v>
      </c>
      <c r="F3081" s="139">
        <v>42879</v>
      </c>
      <c r="G3081" s="140">
        <v>3786.6</v>
      </c>
      <c r="H3081" s="138">
        <f t="shared" si="49"/>
        <v>0</v>
      </c>
      <c r="I3081" s="141" t="s">
        <v>15214</v>
      </c>
    </row>
    <row r="3082" spans="1:9" x14ac:dyDescent="0.25">
      <c r="A3082" s="167" t="s">
        <v>18582</v>
      </c>
      <c r="B3082" s="142" t="s">
        <v>18643</v>
      </c>
      <c r="C3082" s="143">
        <v>113131</v>
      </c>
      <c r="D3082" s="142" t="s">
        <v>15356</v>
      </c>
      <c r="E3082" s="144">
        <v>882.7</v>
      </c>
      <c r="F3082" s="145">
        <v>42879</v>
      </c>
      <c r="G3082" s="146">
        <v>882.7</v>
      </c>
      <c r="H3082" s="138">
        <f t="shared" si="49"/>
        <v>0</v>
      </c>
      <c r="I3082" s="147" t="s">
        <v>15214</v>
      </c>
    </row>
    <row r="3083" spans="1:9" x14ac:dyDescent="0.25">
      <c r="A3083" s="168" t="s">
        <v>18582</v>
      </c>
      <c r="B3083" s="136" t="s">
        <v>18644</v>
      </c>
      <c r="C3083" s="137">
        <v>113132</v>
      </c>
      <c r="D3083" s="136" t="s">
        <v>15280</v>
      </c>
      <c r="E3083" s="138">
        <v>5629.5</v>
      </c>
      <c r="F3083" s="139">
        <v>42879</v>
      </c>
      <c r="G3083" s="140">
        <v>5629.5</v>
      </c>
      <c r="H3083" s="138">
        <f t="shared" si="49"/>
        <v>0</v>
      </c>
      <c r="I3083" s="141" t="s">
        <v>15214</v>
      </c>
    </row>
    <row r="3084" spans="1:9" x14ac:dyDescent="0.25">
      <c r="A3084" s="167" t="s">
        <v>18582</v>
      </c>
      <c r="B3084" s="142" t="s">
        <v>18645</v>
      </c>
      <c r="C3084" s="143">
        <v>113133</v>
      </c>
      <c r="D3084" s="142" t="s">
        <v>15332</v>
      </c>
      <c r="E3084" s="144">
        <v>3513.3</v>
      </c>
      <c r="F3084" s="145">
        <v>42879</v>
      </c>
      <c r="G3084" s="146">
        <v>3513.3</v>
      </c>
      <c r="H3084" s="138">
        <f t="shared" si="49"/>
        <v>0</v>
      </c>
      <c r="I3084" s="147" t="s">
        <v>15214</v>
      </c>
    </row>
    <row r="3085" spans="1:9" x14ac:dyDescent="0.25">
      <c r="A3085" s="168" t="s">
        <v>18582</v>
      </c>
      <c r="B3085" s="136" t="s">
        <v>18646</v>
      </c>
      <c r="C3085" s="137">
        <v>113134</v>
      </c>
      <c r="D3085" s="136" t="s">
        <v>15380</v>
      </c>
      <c r="E3085" s="138">
        <v>29704.2</v>
      </c>
      <c r="F3085" s="157">
        <v>42892</v>
      </c>
      <c r="G3085" s="158">
        <v>29704.2</v>
      </c>
      <c r="H3085" s="138">
        <f t="shared" si="49"/>
        <v>0</v>
      </c>
      <c r="I3085" s="141" t="s">
        <v>15214</v>
      </c>
    </row>
    <row r="3086" spans="1:9" x14ac:dyDescent="0.25">
      <c r="A3086" s="167" t="s">
        <v>18582</v>
      </c>
      <c r="B3086" s="142" t="s">
        <v>18647</v>
      </c>
      <c r="C3086" s="143">
        <v>113135</v>
      </c>
      <c r="D3086" s="142" t="s">
        <v>15326</v>
      </c>
      <c r="E3086" s="144">
        <v>3006.5</v>
      </c>
      <c r="F3086" s="145">
        <v>42879</v>
      </c>
      <c r="G3086" s="146">
        <v>3006.5</v>
      </c>
      <c r="H3086" s="138">
        <f t="shared" si="49"/>
        <v>0</v>
      </c>
      <c r="I3086" s="147" t="s">
        <v>15214</v>
      </c>
    </row>
    <row r="3087" spans="1:9" x14ac:dyDescent="0.25">
      <c r="A3087" s="168" t="s">
        <v>18582</v>
      </c>
      <c r="B3087" s="136" t="s">
        <v>18648</v>
      </c>
      <c r="C3087" s="137">
        <v>113136</v>
      </c>
      <c r="D3087" s="136" t="s">
        <v>15526</v>
      </c>
      <c r="E3087" s="138">
        <v>4274.3</v>
      </c>
      <c r="F3087" s="139">
        <v>42879</v>
      </c>
      <c r="G3087" s="140">
        <v>4274.3</v>
      </c>
      <c r="H3087" s="138">
        <f t="shared" si="49"/>
        <v>0</v>
      </c>
      <c r="I3087" s="141" t="s">
        <v>15214</v>
      </c>
    </row>
    <row r="3088" spans="1:9" x14ac:dyDescent="0.25">
      <c r="A3088" s="167" t="s">
        <v>18582</v>
      </c>
      <c r="B3088" s="142" t="s">
        <v>18649</v>
      </c>
      <c r="C3088" s="143">
        <v>113137</v>
      </c>
      <c r="D3088" s="142" t="s">
        <v>15289</v>
      </c>
      <c r="E3088" s="144">
        <v>1223.2</v>
      </c>
      <c r="F3088" s="145">
        <v>42879</v>
      </c>
      <c r="G3088" s="146">
        <v>1223.2</v>
      </c>
      <c r="H3088" s="138">
        <f t="shared" si="49"/>
        <v>0</v>
      </c>
      <c r="I3088" s="147" t="s">
        <v>15214</v>
      </c>
    </row>
    <row r="3089" spans="1:9" x14ac:dyDescent="0.25">
      <c r="A3089" s="168" t="s">
        <v>18582</v>
      </c>
      <c r="B3089" s="136" t="s">
        <v>18650</v>
      </c>
      <c r="C3089" s="137">
        <v>113138</v>
      </c>
      <c r="D3089" s="136" t="s">
        <v>15371</v>
      </c>
      <c r="E3089" s="138">
        <v>2613.1999999999998</v>
      </c>
      <c r="F3089" s="139">
        <v>42880</v>
      </c>
      <c r="G3089" s="140">
        <v>2613.1999999999998</v>
      </c>
      <c r="H3089" s="138">
        <f t="shared" si="49"/>
        <v>0</v>
      </c>
      <c r="I3089" s="141" t="s">
        <v>15214</v>
      </c>
    </row>
    <row r="3090" spans="1:9" x14ac:dyDescent="0.25">
      <c r="A3090" s="167" t="s">
        <v>18582</v>
      </c>
      <c r="B3090" s="142" t="s">
        <v>18651</v>
      </c>
      <c r="C3090" s="143">
        <v>113139</v>
      </c>
      <c r="D3090" s="142" t="s">
        <v>15340</v>
      </c>
      <c r="E3090" s="144">
        <v>12518</v>
      </c>
      <c r="F3090" s="145">
        <v>42879</v>
      </c>
      <c r="G3090" s="146">
        <v>12518</v>
      </c>
      <c r="H3090" s="138">
        <f t="shared" si="49"/>
        <v>0</v>
      </c>
      <c r="I3090" s="147" t="s">
        <v>15214</v>
      </c>
    </row>
    <row r="3091" spans="1:9" x14ac:dyDescent="0.25">
      <c r="A3091" s="168" t="s">
        <v>18582</v>
      </c>
      <c r="B3091" s="136" t="s">
        <v>18652</v>
      </c>
      <c r="C3091" s="137">
        <v>113140</v>
      </c>
      <c r="D3091" s="136" t="s">
        <v>15371</v>
      </c>
      <c r="E3091" s="138">
        <v>759.5</v>
      </c>
      <c r="F3091" s="139">
        <v>42880</v>
      </c>
      <c r="G3091" s="140">
        <v>759.5</v>
      </c>
      <c r="H3091" s="138">
        <f t="shared" si="49"/>
        <v>0</v>
      </c>
      <c r="I3091" s="141" t="s">
        <v>15214</v>
      </c>
    </row>
    <row r="3092" spans="1:9" x14ac:dyDescent="0.25">
      <c r="A3092" s="167" t="s">
        <v>18582</v>
      </c>
      <c r="B3092" s="142" t="s">
        <v>18653</v>
      </c>
      <c r="C3092" s="143">
        <v>113141</v>
      </c>
      <c r="D3092" s="142" t="s">
        <v>15748</v>
      </c>
      <c r="E3092" s="144">
        <v>770</v>
      </c>
      <c r="F3092" s="145">
        <v>42879</v>
      </c>
      <c r="G3092" s="146">
        <v>770</v>
      </c>
      <c r="H3092" s="138">
        <f t="shared" si="49"/>
        <v>0</v>
      </c>
      <c r="I3092" s="147" t="s">
        <v>15214</v>
      </c>
    </row>
    <row r="3093" spans="1:9" x14ac:dyDescent="0.25">
      <c r="A3093" s="168" t="s">
        <v>18582</v>
      </c>
      <c r="B3093" s="136" t="s">
        <v>18654</v>
      </c>
      <c r="C3093" s="137">
        <v>113142</v>
      </c>
      <c r="D3093" s="136" t="s">
        <v>15354</v>
      </c>
      <c r="E3093" s="138">
        <v>1627.5</v>
      </c>
      <c r="F3093" s="139">
        <v>42879</v>
      </c>
      <c r="G3093" s="140">
        <v>1627.5</v>
      </c>
      <c r="H3093" s="138">
        <f t="shared" si="49"/>
        <v>0</v>
      </c>
      <c r="I3093" s="141" t="s">
        <v>15214</v>
      </c>
    </row>
    <row r="3094" spans="1:9" x14ac:dyDescent="0.25">
      <c r="A3094" s="167" t="s">
        <v>18582</v>
      </c>
      <c r="B3094" s="142" t="s">
        <v>18655</v>
      </c>
      <c r="C3094" s="143">
        <v>113143</v>
      </c>
      <c r="D3094" s="142" t="s">
        <v>15334</v>
      </c>
      <c r="E3094" s="144">
        <v>1244</v>
      </c>
      <c r="F3094" s="145">
        <v>42879</v>
      </c>
      <c r="G3094" s="146">
        <v>1244</v>
      </c>
      <c r="H3094" s="138">
        <f t="shared" si="49"/>
        <v>0</v>
      </c>
      <c r="I3094" s="147" t="s">
        <v>15214</v>
      </c>
    </row>
    <row r="3095" spans="1:9" x14ac:dyDescent="0.25">
      <c r="A3095" s="168" t="s">
        <v>18582</v>
      </c>
      <c r="B3095" s="136" t="s">
        <v>18656</v>
      </c>
      <c r="C3095" s="137">
        <v>113144</v>
      </c>
      <c r="D3095" s="136" t="s">
        <v>15568</v>
      </c>
      <c r="E3095" s="138">
        <v>9196.2999999999993</v>
      </c>
      <c r="F3095" s="139">
        <v>42879</v>
      </c>
      <c r="G3095" s="140">
        <v>9196.2999999999993</v>
      </c>
      <c r="H3095" s="138">
        <f t="shared" si="49"/>
        <v>0</v>
      </c>
      <c r="I3095" s="141" t="s">
        <v>15214</v>
      </c>
    </row>
    <row r="3096" spans="1:9" x14ac:dyDescent="0.25">
      <c r="A3096" s="167" t="s">
        <v>18582</v>
      </c>
      <c r="B3096" s="142" t="s">
        <v>18657</v>
      </c>
      <c r="C3096" s="143">
        <v>113145</v>
      </c>
      <c r="D3096" s="142" t="s">
        <v>18544</v>
      </c>
      <c r="E3096" s="144">
        <v>9413.2999999999993</v>
      </c>
      <c r="F3096" s="145">
        <v>42879</v>
      </c>
      <c r="G3096" s="146">
        <v>9413.2999999999993</v>
      </c>
      <c r="H3096" s="138">
        <f t="shared" si="49"/>
        <v>0</v>
      </c>
      <c r="I3096" s="147" t="s">
        <v>15214</v>
      </c>
    </row>
    <row r="3097" spans="1:9" x14ac:dyDescent="0.25">
      <c r="A3097" s="168" t="s">
        <v>18582</v>
      </c>
      <c r="B3097" s="136" t="s">
        <v>18658</v>
      </c>
      <c r="C3097" s="137">
        <v>113146</v>
      </c>
      <c r="D3097" s="136" t="s">
        <v>15352</v>
      </c>
      <c r="E3097" s="138">
        <v>444.6</v>
      </c>
      <c r="F3097" s="139">
        <v>42879</v>
      </c>
      <c r="G3097" s="140">
        <v>444.6</v>
      </c>
      <c r="H3097" s="138">
        <f t="shared" si="49"/>
        <v>0</v>
      </c>
      <c r="I3097" s="141" t="s">
        <v>15214</v>
      </c>
    </row>
    <row r="3098" spans="1:9" x14ac:dyDescent="0.25">
      <c r="A3098" s="167" t="s">
        <v>18582</v>
      </c>
      <c r="B3098" s="142" t="s">
        <v>18659</v>
      </c>
      <c r="C3098" s="143">
        <v>113147</v>
      </c>
      <c r="D3098" s="142" t="s">
        <v>15396</v>
      </c>
      <c r="E3098" s="144">
        <v>5046.2</v>
      </c>
      <c r="F3098" s="145">
        <v>42879</v>
      </c>
      <c r="G3098" s="146">
        <v>5046.2</v>
      </c>
      <c r="H3098" s="138">
        <f t="shared" si="49"/>
        <v>0</v>
      </c>
      <c r="I3098" s="147" t="s">
        <v>15214</v>
      </c>
    </row>
    <row r="3099" spans="1:9" x14ac:dyDescent="0.25">
      <c r="A3099" s="168" t="s">
        <v>18582</v>
      </c>
      <c r="B3099" s="136" t="s">
        <v>18660</v>
      </c>
      <c r="C3099" s="137">
        <v>113148</v>
      </c>
      <c r="D3099" s="136" t="s">
        <v>15427</v>
      </c>
      <c r="E3099" s="138">
        <v>24806.6</v>
      </c>
      <c r="F3099" s="139">
        <v>42880</v>
      </c>
      <c r="G3099" s="140">
        <v>24806.6</v>
      </c>
      <c r="H3099" s="138">
        <f t="shared" si="49"/>
        <v>0</v>
      </c>
      <c r="I3099" s="141" t="s">
        <v>15214</v>
      </c>
    </row>
    <row r="3100" spans="1:9" x14ac:dyDescent="0.25">
      <c r="A3100" s="167" t="s">
        <v>18582</v>
      </c>
      <c r="B3100" s="142" t="s">
        <v>18661</v>
      </c>
      <c r="C3100" s="143">
        <v>113149</v>
      </c>
      <c r="D3100" s="142" t="s">
        <v>15373</v>
      </c>
      <c r="E3100" s="144">
        <v>15451.2</v>
      </c>
      <c r="F3100" s="145">
        <v>42880</v>
      </c>
      <c r="G3100" s="146">
        <v>15451.2</v>
      </c>
      <c r="H3100" s="138">
        <f t="shared" si="49"/>
        <v>0</v>
      </c>
      <c r="I3100" s="147" t="s">
        <v>15214</v>
      </c>
    </row>
    <row r="3101" spans="1:9" x14ac:dyDescent="0.25">
      <c r="A3101" s="168" t="s">
        <v>18582</v>
      </c>
      <c r="B3101" s="136" t="s">
        <v>18662</v>
      </c>
      <c r="C3101" s="137">
        <v>113150</v>
      </c>
      <c r="D3101" s="136" t="s">
        <v>15537</v>
      </c>
      <c r="E3101" s="138">
        <v>20423.8</v>
      </c>
      <c r="F3101" s="157">
        <v>42888</v>
      </c>
      <c r="G3101" s="158">
        <v>20423.8</v>
      </c>
      <c r="H3101" s="138">
        <f t="shared" si="49"/>
        <v>0</v>
      </c>
      <c r="I3101" s="141" t="s">
        <v>15214</v>
      </c>
    </row>
    <row r="3102" spans="1:9" x14ac:dyDescent="0.25">
      <c r="A3102" s="167" t="s">
        <v>18582</v>
      </c>
      <c r="B3102" s="142" t="s">
        <v>18663</v>
      </c>
      <c r="C3102" s="143">
        <v>113151</v>
      </c>
      <c r="D3102" s="142" t="s">
        <v>15539</v>
      </c>
      <c r="E3102" s="144">
        <v>16631.5</v>
      </c>
      <c r="F3102" s="145">
        <v>42881</v>
      </c>
      <c r="G3102" s="146">
        <v>16631.5</v>
      </c>
      <c r="H3102" s="138">
        <f t="shared" si="49"/>
        <v>0</v>
      </c>
      <c r="I3102" s="147" t="s">
        <v>15214</v>
      </c>
    </row>
    <row r="3103" spans="1:9" x14ac:dyDescent="0.25">
      <c r="A3103" s="168" t="s">
        <v>18582</v>
      </c>
      <c r="B3103" s="136" t="s">
        <v>18664</v>
      </c>
      <c r="C3103" s="137">
        <v>113152</v>
      </c>
      <c r="D3103" s="136" t="s">
        <v>15555</v>
      </c>
      <c r="E3103" s="138">
        <v>35806.050000000003</v>
      </c>
      <c r="F3103" s="157">
        <v>42888</v>
      </c>
      <c r="G3103" s="158">
        <v>35806.050000000003</v>
      </c>
      <c r="H3103" s="138">
        <f t="shared" si="49"/>
        <v>0</v>
      </c>
      <c r="I3103" s="141" t="s">
        <v>15214</v>
      </c>
    </row>
    <row r="3104" spans="1:9" x14ac:dyDescent="0.25">
      <c r="A3104" s="167" t="s">
        <v>18582</v>
      </c>
      <c r="B3104" s="142" t="s">
        <v>18665</v>
      </c>
      <c r="C3104" s="143">
        <v>113153</v>
      </c>
      <c r="D3104" s="142" t="s">
        <v>15557</v>
      </c>
      <c r="E3104" s="144">
        <v>835.8</v>
      </c>
      <c r="F3104" s="145">
        <v>42881</v>
      </c>
      <c r="G3104" s="146">
        <v>835.8</v>
      </c>
      <c r="H3104" s="138">
        <f t="shared" si="49"/>
        <v>0</v>
      </c>
      <c r="I3104" s="147" t="s">
        <v>15214</v>
      </c>
    </row>
    <row r="3105" spans="1:9" x14ac:dyDescent="0.25">
      <c r="A3105" s="168" t="s">
        <v>18582</v>
      </c>
      <c r="B3105" s="136" t="s">
        <v>18666</v>
      </c>
      <c r="C3105" s="137">
        <v>113154</v>
      </c>
      <c r="D3105" s="136" t="s">
        <v>15833</v>
      </c>
      <c r="E3105" s="138">
        <v>15553.4</v>
      </c>
      <c r="F3105" s="139">
        <v>42886</v>
      </c>
      <c r="G3105" s="140">
        <v>15553.4</v>
      </c>
      <c r="H3105" s="138">
        <f t="shared" si="49"/>
        <v>0</v>
      </c>
      <c r="I3105" s="141" t="s">
        <v>15214</v>
      </c>
    </row>
    <row r="3106" spans="1:9" x14ac:dyDescent="0.25">
      <c r="A3106" s="167" t="s">
        <v>18582</v>
      </c>
      <c r="B3106" s="142" t="s">
        <v>18667</v>
      </c>
      <c r="C3106" s="143">
        <v>113155</v>
      </c>
      <c r="D3106" s="142" t="s">
        <v>16040</v>
      </c>
      <c r="E3106" s="144">
        <v>6804.3</v>
      </c>
      <c r="F3106" s="145">
        <v>42881</v>
      </c>
      <c r="G3106" s="146">
        <v>6804.3</v>
      </c>
      <c r="H3106" s="138">
        <f t="shared" si="49"/>
        <v>0</v>
      </c>
      <c r="I3106" s="147" t="s">
        <v>15214</v>
      </c>
    </row>
    <row r="3107" spans="1:9" x14ac:dyDescent="0.25">
      <c r="A3107" s="168" t="s">
        <v>18582</v>
      </c>
      <c r="B3107" s="136" t="s">
        <v>18668</v>
      </c>
      <c r="C3107" s="137">
        <v>113156</v>
      </c>
      <c r="D3107" s="136" t="s">
        <v>15394</v>
      </c>
      <c r="E3107" s="138">
        <v>24823.4</v>
      </c>
      <c r="F3107" s="139">
        <v>42880</v>
      </c>
      <c r="G3107" s="140">
        <v>24823.4</v>
      </c>
      <c r="H3107" s="138">
        <f t="shared" si="49"/>
        <v>0</v>
      </c>
      <c r="I3107" s="141" t="s">
        <v>15214</v>
      </c>
    </row>
    <row r="3108" spans="1:9" x14ac:dyDescent="0.25">
      <c r="A3108" s="167" t="s">
        <v>18582</v>
      </c>
      <c r="B3108" s="142" t="s">
        <v>18669</v>
      </c>
      <c r="C3108" s="143">
        <v>113157</v>
      </c>
      <c r="D3108" s="142" t="s">
        <v>15544</v>
      </c>
      <c r="E3108" s="144">
        <v>3600.1</v>
      </c>
      <c r="F3108" s="145">
        <v>42881</v>
      </c>
      <c r="G3108" s="146">
        <v>3600.1</v>
      </c>
      <c r="H3108" s="138">
        <f t="shared" si="49"/>
        <v>0</v>
      </c>
      <c r="I3108" s="147" t="s">
        <v>15214</v>
      </c>
    </row>
    <row r="3109" spans="1:9" x14ac:dyDescent="0.25">
      <c r="A3109" s="168" t="s">
        <v>18582</v>
      </c>
      <c r="B3109" s="136" t="s">
        <v>18670</v>
      </c>
      <c r="C3109" s="137">
        <v>113158</v>
      </c>
      <c r="D3109" s="136" t="s">
        <v>15369</v>
      </c>
      <c r="E3109" s="138">
        <v>16679.2</v>
      </c>
      <c r="F3109" s="157">
        <v>42892</v>
      </c>
      <c r="G3109" s="158">
        <v>16679.2</v>
      </c>
      <c r="H3109" s="138">
        <f t="shared" si="49"/>
        <v>0</v>
      </c>
      <c r="I3109" s="141" t="s">
        <v>15214</v>
      </c>
    </row>
    <row r="3110" spans="1:9" x14ac:dyDescent="0.25">
      <c r="A3110" s="167" t="s">
        <v>18582</v>
      </c>
      <c r="B3110" s="142" t="s">
        <v>18671</v>
      </c>
      <c r="C3110" s="143">
        <v>113159</v>
      </c>
      <c r="D3110" s="142" t="s">
        <v>15725</v>
      </c>
      <c r="E3110" s="144">
        <v>16297.6</v>
      </c>
      <c r="F3110" s="145">
        <v>42884</v>
      </c>
      <c r="G3110" s="146">
        <v>16297.6</v>
      </c>
      <c r="H3110" s="138">
        <f t="shared" si="49"/>
        <v>0</v>
      </c>
      <c r="I3110" s="147" t="s">
        <v>15214</v>
      </c>
    </row>
    <row r="3111" spans="1:9" x14ac:dyDescent="0.25">
      <c r="A3111" s="168" t="s">
        <v>18582</v>
      </c>
      <c r="B3111" s="136" t="s">
        <v>18672</v>
      </c>
      <c r="C3111" s="137">
        <v>113160</v>
      </c>
      <c r="D3111" s="136" t="s">
        <v>15389</v>
      </c>
      <c r="E3111" s="138">
        <v>8835.6</v>
      </c>
      <c r="F3111" s="157">
        <v>42905</v>
      </c>
      <c r="G3111" s="158">
        <v>8835.6</v>
      </c>
      <c r="H3111" s="138">
        <f t="shared" si="49"/>
        <v>0</v>
      </c>
      <c r="I3111" s="141" t="s">
        <v>15214</v>
      </c>
    </row>
    <row r="3112" spans="1:9" x14ac:dyDescent="0.25">
      <c r="A3112" s="167" t="s">
        <v>18582</v>
      </c>
      <c r="B3112" s="142" t="s">
        <v>18673</v>
      </c>
      <c r="C3112" s="143">
        <v>113161</v>
      </c>
      <c r="D3112" s="142" t="s">
        <v>15382</v>
      </c>
      <c r="E3112" s="144">
        <v>11368.6</v>
      </c>
      <c r="F3112" s="148">
        <v>42892</v>
      </c>
      <c r="G3112" s="149">
        <v>11368.6</v>
      </c>
      <c r="H3112" s="138">
        <f t="shared" si="49"/>
        <v>0</v>
      </c>
      <c r="I3112" s="147" t="s">
        <v>15214</v>
      </c>
    </row>
    <row r="3113" spans="1:9" x14ac:dyDescent="0.25">
      <c r="A3113" s="168" t="s">
        <v>18582</v>
      </c>
      <c r="B3113" s="136" t="s">
        <v>18674</v>
      </c>
      <c r="C3113" s="137">
        <v>113162</v>
      </c>
      <c r="D3113" s="136" t="s">
        <v>15346</v>
      </c>
      <c r="E3113" s="138">
        <v>4403.1000000000004</v>
      </c>
      <c r="F3113" s="139" t="s">
        <v>18675</v>
      </c>
      <c r="G3113" s="140">
        <f>2700+1703.1</f>
        <v>4403.1000000000004</v>
      </c>
      <c r="H3113" s="138">
        <f t="shared" si="49"/>
        <v>0</v>
      </c>
      <c r="I3113" s="141" t="s">
        <v>15214</v>
      </c>
    </row>
    <row r="3114" spans="1:9" x14ac:dyDescent="0.25">
      <c r="A3114" s="167" t="s">
        <v>18582</v>
      </c>
      <c r="B3114" s="142" t="s">
        <v>18676</v>
      </c>
      <c r="C3114" s="143">
        <v>113163</v>
      </c>
      <c r="D3114" s="142" t="s">
        <v>15665</v>
      </c>
      <c r="E3114" s="144">
        <v>585.9</v>
      </c>
      <c r="F3114" s="145">
        <v>42879</v>
      </c>
      <c r="G3114" s="146">
        <v>585.9</v>
      </c>
      <c r="H3114" s="138">
        <f t="shared" si="49"/>
        <v>0</v>
      </c>
      <c r="I3114" s="147" t="s">
        <v>15214</v>
      </c>
    </row>
    <row r="3115" spans="1:9" x14ac:dyDescent="0.25">
      <c r="A3115" s="168" t="s">
        <v>18582</v>
      </c>
      <c r="B3115" s="136" t="s">
        <v>18677</v>
      </c>
      <c r="C3115" s="137">
        <v>113164</v>
      </c>
      <c r="D3115" s="136" t="s">
        <v>15367</v>
      </c>
      <c r="E3115" s="138">
        <v>6200</v>
      </c>
      <c r="F3115" s="139">
        <v>42880</v>
      </c>
      <c r="G3115" s="140">
        <v>6200</v>
      </c>
      <c r="H3115" s="138">
        <f t="shared" si="49"/>
        <v>0</v>
      </c>
      <c r="I3115" s="141" t="s">
        <v>15214</v>
      </c>
    </row>
    <row r="3116" spans="1:9" x14ac:dyDescent="0.25">
      <c r="A3116" s="167" t="s">
        <v>18582</v>
      </c>
      <c r="B3116" s="142" t="s">
        <v>18678</v>
      </c>
      <c r="C3116" s="143">
        <v>113165</v>
      </c>
      <c r="D3116" s="142" t="s">
        <v>15549</v>
      </c>
      <c r="E3116" s="144">
        <v>5590.5</v>
      </c>
      <c r="F3116" s="145">
        <v>42879</v>
      </c>
      <c r="G3116" s="146">
        <v>5590.5</v>
      </c>
      <c r="H3116" s="138">
        <f t="shared" si="49"/>
        <v>0</v>
      </c>
      <c r="I3116" s="147" t="s">
        <v>15214</v>
      </c>
    </row>
    <row r="3117" spans="1:9" x14ac:dyDescent="0.25">
      <c r="A3117" s="168" t="s">
        <v>18582</v>
      </c>
      <c r="B3117" s="136" t="s">
        <v>18679</v>
      </c>
      <c r="C3117" s="137">
        <v>113166</v>
      </c>
      <c r="D3117" s="136" t="s">
        <v>15541</v>
      </c>
      <c r="E3117" s="138">
        <v>822.5</v>
      </c>
      <c r="F3117" s="139">
        <v>42879</v>
      </c>
      <c r="G3117" s="140">
        <v>822.5</v>
      </c>
      <c r="H3117" s="138">
        <f t="shared" si="49"/>
        <v>0</v>
      </c>
      <c r="I3117" s="141" t="s">
        <v>15214</v>
      </c>
    </row>
    <row r="3118" spans="1:9" ht="15.75" x14ac:dyDescent="0.25">
      <c r="A3118" s="167" t="s">
        <v>18582</v>
      </c>
      <c r="B3118" s="142" t="s">
        <v>18680</v>
      </c>
      <c r="C3118" s="143">
        <v>113167</v>
      </c>
      <c r="D3118" s="142" t="s">
        <v>15267</v>
      </c>
      <c r="E3118" s="144">
        <v>0</v>
      </c>
      <c r="F3118" s="156" t="s">
        <v>95</v>
      </c>
      <c r="G3118" s="144">
        <v>0</v>
      </c>
      <c r="H3118" s="138">
        <f t="shared" si="49"/>
        <v>0</v>
      </c>
      <c r="I3118" s="147" t="s">
        <v>95</v>
      </c>
    </row>
    <row r="3119" spans="1:9" x14ac:dyDescent="0.25">
      <c r="A3119" s="168" t="s">
        <v>18582</v>
      </c>
      <c r="B3119" s="136" t="s">
        <v>18681</v>
      </c>
      <c r="C3119" s="137">
        <v>113168</v>
      </c>
      <c r="D3119" s="136" t="s">
        <v>15460</v>
      </c>
      <c r="E3119" s="138">
        <v>5272</v>
      </c>
      <c r="F3119" s="139">
        <v>42879</v>
      </c>
      <c r="G3119" s="140">
        <v>5272</v>
      </c>
      <c r="H3119" s="138">
        <f t="shared" si="49"/>
        <v>0</v>
      </c>
      <c r="I3119" s="141" t="s">
        <v>15214</v>
      </c>
    </row>
    <row r="3120" spans="1:9" x14ac:dyDescent="0.25">
      <c r="A3120" s="167" t="s">
        <v>18582</v>
      </c>
      <c r="B3120" s="142" t="s">
        <v>18682</v>
      </c>
      <c r="C3120" s="143">
        <v>113169</v>
      </c>
      <c r="D3120" s="142" t="s">
        <v>15407</v>
      </c>
      <c r="E3120" s="144">
        <v>3464.3</v>
      </c>
      <c r="F3120" s="145">
        <v>42879</v>
      </c>
      <c r="G3120" s="146">
        <v>3464.3</v>
      </c>
      <c r="H3120" s="138">
        <f t="shared" si="49"/>
        <v>0</v>
      </c>
      <c r="I3120" s="147" t="s">
        <v>15214</v>
      </c>
    </row>
    <row r="3121" spans="1:9" x14ac:dyDescent="0.25">
      <c r="A3121" s="168" t="s">
        <v>18582</v>
      </c>
      <c r="B3121" s="136" t="s">
        <v>18683</v>
      </c>
      <c r="C3121" s="137">
        <v>113170</v>
      </c>
      <c r="D3121" s="136" t="s">
        <v>15444</v>
      </c>
      <c r="E3121" s="138">
        <v>2501.4</v>
      </c>
      <c r="F3121" s="139">
        <v>42880</v>
      </c>
      <c r="G3121" s="140">
        <v>2501.4</v>
      </c>
      <c r="H3121" s="138">
        <f t="shared" si="49"/>
        <v>0</v>
      </c>
      <c r="I3121" s="141" t="s">
        <v>15214</v>
      </c>
    </row>
    <row r="3122" spans="1:9" x14ac:dyDescent="0.25">
      <c r="A3122" s="167" t="s">
        <v>18582</v>
      </c>
      <c r="B3122" s="142" t="s">
        <v>18684</v>
      </c>
      <c r="C3122" s="143">
        <v>113171</v>
      </c>
      <c r="D3122" s="142" t="s">
        <v>15267</v>
      </c>
      <c r="E3122" s="144">
        <v>25133.599999999999</v>
      </c>
      <c r="F3122" s="145">
        <v>42879</v>
      </c>
      <c r="G3122" s="146">
        <v>25133.599999999999</v>
      </c>
      <c r="H3122" s="138">
        <f t="shared" si="49"/>
        <v>0</v>
      </c>
      <c r="I3122" s="147" t="s">
        <v>15214</v>
      </c>
    </row>
    <row r="3123" spans="1:9" x14ac:dyDescent="0.25">
      <c r="A3123" s="168" t="s">
        <v>18582</v>
      </c>
      <c r="B3123" s="136" t="s">
        <v>18685</v>
      </c>
      <c r="C3123" s="137">
        <v>113172</v>
      </c>
      <c r="D3123" s="136" t="s">
        <v>15419</v>
      </c>
      <c r="E3123" s="138">
        <v>18921.5</v>
      </c>
      <c r="F3123" s="139">
        <v>42898</v>
      </c>
      <c r="G3123" s="140">
        <v>18921.5</v>
      </c>
      <c r="H3123" s="138">
        <f t="shared" si="49"/>
        <v>0</v>
      </c>
      <c r="I3123" s="141" t="s">
        <v>15214</v>
      </c>
    </row>
    <row r="3124" spans="1:9" x14ac:dyDescent="0.25">
      <c r="A3124" s="167" t="s">
        <v>18582</v>
      </c>
      <c r="B3124" s="142" t="s">
        <v>18686</v>
      </c>
      <c r="C3124" s="143">
        <v>113173</v>
      </c>
      <c r="D3124" s="142" t="s">
        <v>15298</v>
      </c>
      <c r="E3124" s="144">
        <v>4475.1000000000004</v>
      </c>
      <c r="F3124" s="145">
        <v>42879</v>
      </c>
      <c r="G3124" s="146">
        <v>4475.1000000000004</v>
      </c>
      <c r="H3124" s="138">
        <f t="shared" si="49"/>
        <v>0</v>
      </c>
      <c r="I3124" s="147" t="s">
        <v>15214</v>
      </c>
    </row>
    <row r="3125" spans="1:9" x14ac:dyDescent="0.25">
      <c r="A3125" s="168" t="s">
        <v>18582</v>
      </c>
      <c r="B3125" s="136" t="s">
        <v>18687</v>
      </c>
      <c r="C3125" s="137">
        <v>113174</v>
      </c>
      <c r="D3125" s="136" t="s">
        <v>15246</v>
      </c>
      <c r="E3125" s="138">
        <v>55.2</v>
      </c>
      <c r="F3125" s="139">
        <v>42882</v>
      </c>
      <c r="G3125" s="140">
        <v>55.2</v>
      </c>
      <c r="H3125" s="138">
        <f t="shared" si="49"/>
        <v>0</v>
      </c>
      <c r="I3125" s="141" t="s">
        <v>15214</v>
      </c>
    </row>
    <row r="3126" spans="1:9" x14ac:dyDescent="0.25">
      <c r="A3126" s="167" t="s">
        <v>18582</v>
      </c>
      <c r="B3126" s="142" t="s">
        <v>18688</v>
      </c>
      <c r="C3126" s="143">
        <v>113175</v>
      </c>
      <c r="D3126" s="142" t="s">
        <v>15315</v>
      </c>
      <c r="E3126" s="144">
        <v>1560</v>
      </c>
      <c r="F3126" s="145">
        <v>42880</v>
      </c>
      <c r="G3126" s="146">
        <v>1560</v>
      </c>
      <c r="H3126" s="138">
        <f t="shared" si="49"/>
        <v>0</v>
      </c>
      <c r="I3126" s="147" t="s">
        <v>15214</v>
      </c>
    </row>
    <row r="3127" spans="1:9" x14ac:dyDescent="0.25">
      <c r="A3127" s="168" t="s">
        <v>18582</v>
      </c>
      <c r="B3127" s="136" t="s">
        <v>18689</v>
      </c>
      <c r="C3127" s="137">
        <v>113176</v>
      </c>
      <c r="D3127" s="136" t="s">
        <v>17708</v>
      </c>
      <c r="E3127" s="138">
        <v>4741.8999999999996</v>
      </c>
      <c r="F3127" s="139">
        <v>42880</v>
      </c>
      <c r="G3127" s="140">
        <v>4741.8999999999996</v>
      </c>
      <c r="H3127" s="138">
        <f t="shared" si="49"/>
        <v>0</v>
      </c>
      <c r="I3127" s="141" t="s">
        <v>15214</v>
      </c>
    </row>
    <row r="3128" spans="1:9" x14ac:dyDescent="0.25">
      <c r="A3128" s="167" t="s">
        <v>18582</v>
      </c>
      <c r="B3128" s="142" t="s">
        <v>18690</v>
      </c>
      <c r="C3128" s="143">
        <v>113177</v>
      </c>
      <c r="D3128" s="142" t="s">
        <v>15246</v>
      </c>
      <c r="E3128" s="144">
        <v>305377.44</v>
      </c>
      <c r="F3128" s="145">
        <v>42882</v>
      </c>
      <c r="G3128" s="146">
        <v>305377.44</v>
      </c>
      <c r="H3128" s="138">
        <f t="shared" si="49"/>
        <v>0</v>
      </c>
      <c r="I3128" s="147" t="s">
        <v>15214</v>
      </c>
    </row>
    <row r="3129" spans="1:9" x14ac:dyDescent="0.25">
      <c r="A3129" s="168" t="s">
        <v>18582</v>
      </c>
      <c r="B3129" s="136" t="s">
        <v>18691</v>
      </c>
      <c r="C3129" s="137">
        <v>113178</v>
      </c>
      <c r="D3129" s="136" t="s">
        <v>15385</v>
      </c>
      <c r="E3129" s="138">
        <v>9104.2000000000007</v>
      </c>
      <c r="F3129" s="139">
        <v>42880</v>
      </c>
      <c r="G3129" s="140">
        <v>9104.2000000000007</v>
      </c>
      <c r="H3129" s="138">
        <f t="shared" si="49"/>
        <v>0</v>
      </c>
      <c r="I3129" s="141" t="s">
        <v>15214</v>
      </c>
    </row>
    <row r="3130" spans="1:9" x14ac:dyDescent="0.25">
      <c r="A3130" s="167" t="s">
        <v>18582</v>
      </c>
      <c r="B3130" s="142" t="s">
        <v>18692</v>
      </c>
      <c r="C3130" s="143">
        <v>113179</v>
      </c>
      <c r="D3130" s="142" t="s">
        <v>16383</v>
      </c>
      <c r="E3130" s="144">
        <v>651.20000000000005</v>
      </c>
      <c r="F3130" s="145">
        <v>42880</v>
      </c>
      <c r="G3130" s="146">
        <v>651.20000000000005</v>
      </c>
      <c r="H3130" s="138">
        <f t="shared" si="49"/>
        <v>0</v>
      </c>
      <c r="I3130" s="147" t="s">
        <v>15214</v>
      </c>
    </row>
    <row r="3131" spans="1:9" x14ac:dyDescent="0.25">
      <c r="A3131" s="168" t="s">
        <v>18582</v>
      </c>
      <c r="B3131" s="136" t="s">
        <v>18693</v>
      </c>
      <c r="C3131" s="137">
        <v>113180</v>
      </c>
      <c r="D3131" s="136" t="s">
        <v>15590</v>
      </c>
      <c r="E3131" s="138">
        <v>6232.8</v>
      </c>
      <c r="F3131" s="139">
        <v>42880</v>
      </c>
      <c r="G3131" s="140">
        <v>6232.8</v>
      </c>
      <c r="H3131" s="138">
        <f t="shared" si="49"/>
        <v>0</v>
      </c>
      <c r="I3131" s="141" t="s">
        <v>15214</v>
      </c>
    </row>
    <row r="3132" spans="1:9" x14ac:dyDescent="0.25">
      <c r="A3132" s="167" t="s">
        <v>18582</v>
      </c>
      <c r="B3132" s="142" t="s">
        <v>18694</v>
      </c>
      <c r="C3132" s="143">
        <v>113181</v>
      </c>
      <c r="D3132" s="142" t="s">
        <v>15936</v>
      </c>
      <c r="E3132" s="144">
        <v>17180.2</v>
      </c>
      <c r="F3132" s="145">
        <v>42879</v>
      </c>
      <c r="G3132" s="146">
        <v>17180.2</v>
      </c>
      <c r="H3132" s="138">
        <f t="shared" si="49"/>
        <v>0</v>
      </c>
      <c r="I3132" s="147" t="s">
        <v>15214</v>
      </c>
    </row>
    <row r="3133" spans="1:9" x14ac:dyDescent="0.25">
      <c r="A3133" s="168" t="s">
        <v>18582</v>
      </c>
      <c r="B3133" s="136" t="s">
        <v>18695</v>
      </c>
      <c r="C3133" s="137">
        <v>113182</v>
      </c>
      <c r="D3133" s="136" t="s">
        <v>18076</v>
      </c>
      <c r="E3133" s="138">
        <v>3430</v>
      </c>
      <c r="F3133" s="139">
        <v>42879</v>
      </c>
      <c r="G3133" s="140">
        <v>3430</v>
      </c>
      <c r="H3133" s="138">
        <f t="shared" si="49"/>
        <v>0</v>
      </c>
      <c r="I3133" s="141" t="s">
        <v>15214</v>
      </c>
    </row>
    <row r="3134" spans="1:9" x14ac:dyDescent="0.25">
      <c r="A3134" s="167" t="s">
        <v>18582</v>
      </c>
      <c r="B3134" s="142" t="s">
        <v>18696</v>
      </c>
      <c r="C3134" s="143">
        <v>113183</v>
      </c>
      <c r="D3134" s="142" t="s">
        <v>15396</v>
      </c>
      <c r="E3134" s="144">
        <v>2800.9</v>
      </c>
      <c r="F3134" s="145">
        <v>42879</v>
      </c>
      <c r="G3134" s="146">
        <v>2800.9</v>
      </c>
      <c r="H3134" s="138">
        <f t="shared" si="49"/>
        <v>0</v>
      </c>
      <c r="I3134" s="147" t="s">
        <v>15214</v>
      </c>
    </row>
    <row r="3135" spans="1:9" x14ac:dyDescent="0.25">
      <c r="A3135" s="168" t="s">
        <v>18582</v>
      </c>
      <c r="B3135" s="136" t="s">
        <v>18697</v>
      </c>
      <c r="C3135" s="137">
        <v>113184</v>
      </c>
      <c r="D3135" s="136" t="s">
        <v>15307</v>
      </c>
      <c r="E3135" s="138">
        <v>1666.3</v>
      </c>
      <c r="F3135" s="139">
        <v>42880</v>
      </c>
      <c r="G3135" s="140">
        <v>1666.3</v>
      </c>
      <c r="H3135" s="138">
        <f t="shared" si="49"/>
        <v>0</v>
      </c>
      <c r="I3135" s="141" t="s">
        <v>15214</v>
      </c>
    </row>
    <row r="3136" spans="1:9" ht="15.75" x14ac:dyDescent="0.25">
      <c r="A3136" s="167" t="s">
        <v>18582</v>
      </c>
      <c r="B3136" s="142" t="s">
        <v>18698</v>
      </c>
      <c r="C3136" s="143">
        <v>113185</v>
      </c>
      <c r="D3136" s="142" t="s">
        <v>15566</v>
      </c>
      <c r="E3136" s="144">
        <v>0</v>
      </c>
      <c r="F3136" s="156" t="s">
        <v>95</v>
      </c>
      <c r="G3136" s="144">
        <v>0</v>
      </c>
      <c r="H3136" s="138">
        <f t="shared" si="49"/>
        <v>0</v>
      </c>
      <c r="I3136" s="147" t="s">
        <v>95</v>
      </c>
    </row>
    <row r="3137" spans="1:9" x14ac:dyDescent="0.25">
      <c r="A3137" s="168" t="s">
        <v>18582</v>
      </c>
      <c r="B3137" s="136" t="s">
        <v>18699</v>
      </c>
      <c r="C3137" s="137">
        <v>113186</v>
      </c>
      <c r="D3137" s="136" t="s">
        <v>15313</v>
      </c>
      <c r="E3137" s="138">
        <v>4392.8</v>
      </c>
      <c r="F3137" s="139">
        <v>42883</v>
      </c>
      <c r="G3137" s="140">
        <v>4392.8</v>
      </c>
      <c r="H3137" s="138">
        <f t="shared" si="49"/>
        <v>0</v>
      </c>
      <c r="I3137" s="141" t="s">
        <v>15214</v>
      </c>
    </row>
    <row r="3138" spans="1:9" x14ac:dyDescent="0.25">
      <c r="A3138" s="167" t="s">
        <v>18582</v>
      </c>
      <c r="B3138" s="142" t="s">
        <v>18700</v>
      </c>
      <c r="C3138" s="143">
        <v>113187</v>
      </c>
      <c r="D3138" s="142" t="s">
        <v>15276</v>
      </c>
      <c r="E3138" s="144">
        <v>2400</v>
      </c>
      <c r="F3138" s="145">
        <v>42881</v>
      </c>
      <c r="G3138" s="146">
        <v>2400</v>
      </c>
      <c r="H3138" s="138">
        <f t="shared" si="49"/>
        <v>0</v>
      </c>
      <c r="I3138" s="147" t="s">
        <v>15214</v>
      </c>
    </row>
    <row r="3139" spans="1:9" x14ac:dyDescent="0.25">
      <c r="A3139" s="168" t="s">
        <v>18582</v>
      </c>
      <c r="B3139" s="136" t="s">
        <v>18701</v>
      </c>
      <c r="C3139" s="137">
        <v>113188</v>
      </c>
      <c r="D3139" s="136" t="s">
        <v>15315</v>
      </c>
      <c r="E3139" s="138">
        <v>399.5</v>
      </c>
      <c r="F3139" s="139">
        <v>42881</v>
      </c>
      <c r="G3139" s="140">
        <v>399.5</v>
      </c>
      <c r="H3139" s="138">
        <f t="shared" si="49"/>
        <v>0</v>
      </c>
      <c r="I3139" s="141" t="s">
        <v>15214</v>
      </c>
    </row>
    <row r="3140" spans="1:9" x14ac:dyDescent="0.25">
      <c r="A3140" s="167" t="s">
        <v>18582</v>
      </c>
      <c r="B3140" s="142" t="s">
        <v>18702</v>
      </c>
      <c r="C3140" s="143">
        <v>113189</v>
      </c>
      <c r="D3140" s="142" t="s">
        <v>15284</v>
      </c>
      <c r="E3140" s="144">
        <v>764.4</v>
      </c>
      <c r="F3140" s="145">
        <v>42879</v>
      </c>
      <c r="G3140" s="146">
        <v>764.4</v>
      </c>
      <c r="H3140" s="138">
        <f t="shared" si="49"/>
        <v>0</v>
      </c>
      <c r="I3140" s="147" t="s">
        <v>15214</v>
      </c>
    </row>
    <row r="3141" spans="1:9" x14ac:dyDescent="0.25">
      <c r="A3141" s="168" t="s">
        <v>18582</v>
      </c>
      <c r="B3141" s="136" t="s">
        <v>18703</v>
      </c>
      <c r="C3141" s="137">
        <v>113190</v>
      </c>
      <c r="D3141" s="136" t="s">
        <v>15423</v>
      </c>
      <c r="E3141" s="138">
        <v>2664</v>
      </c>
      <c r="F3141" s="139">
        <v>42879</v>
      </c>
      <c r="G3141" s="140">
        <v>2664</v>
      </c>
      <c r="H3141" s="138">
        <f t="shared" si="49"/>
        <v>0</v>
      </c>
      <c r="I3141" s="141" t="s">
        <v>15214</v>
      </c>
    </row>
    <row r="3142" spans="1:9" x14ac:dyDescent="0.25">
      <c r="A3142" s="167" t="s">
        <v>18582</v>
      </c>
      <c r="B3142" s="142" t="s">
        <v>18704</v>
      </c>
      <c r="C3142" s="143">
        <v>113191</v>
      </c>
      <c r="D3142" s="142" t="s">
        <v>15789</v>
      </c>
      <c r="E3142" s="144">
        <v>33652.800000000003</v>
      </c>
      <c r="F3142" s="145">
        <v>42886</v>
      </c>
      <c r="G3142" s="146">
        <v>33652.800000000003</v>
      </c>
      <c r="H3142" s="138">
        <f t="shared" si="49"/>
        <v>0</v>
      </c>
      <c r="I3142" s="147" t="s">
        <v>15214</v>
      </c>
    </row>
    <row r="3143" spans="1:9" x14ac:dyDescent="0.25">
      <c r="A3143" s="168" t="s">
        <v>18582</v>
      </c>
      <c r="B3143" s="136" t="s">
        <v>18705</v>
      </c>
      <c r="C3143" s="137">
        <v>113192</v>
      </c>
      <c r="D3143" s="136" t="s">
        <v>15315</v>
      </c>
      <c r="E3143" s="138">
        <v>4921.5</v>
      </c>
      <c r="F3143" s="139">
        <v>42879</v>
      </c>
      <c r="G3143" s="140">
        <v>4921.5</v>
      </c>
      <c r="H3143" s="138">
        <f t="shared" ref="H3143:H3206" si="50">E3143-G3143</f>
        <v>0</v>
      </c>
      <c r="I3143" s="141" t="s">
        <v>15214</v>
      </c>
    </row>
    <row r="3144" spans="1:9" x14ac:dyDescent="0.25">
      <c r="A3144" s="167" t="s">
        <v>18582</v>
      </c>
      <c r="B3144" s="142" t="s">
        <v>18706</v>
      </c>
      <c r="C3144" s="143">
        <v>113193</v>
      </c>
      <c r="D3144" s="142" t="s">
        <v>15315</v>
      </c>
      <c r="E3144" s="144">
        <v>609.6</v>
      </c>
      <c r="F3144" s="145">
        <v>42879</v>
      </c>
      <c r="G3144" s="146">
        <v>609.6</v>
      </c>
      <c r="H3144" s="138">
        <f t="shared" si="50"/>
        <v>0</v>
      </c>
      <c r="I3144" s="147" t="s">
        <v>15214</v>
      </c>
    </row>
    <row r="3145" spans="1:9" x14ac:dyDescent="0.25">
      <c r="A3145" s="168" t="s">
        <v>18582</v>
      </c>
      <c r="B3145" s="136" t="s">
        <v>18707</v>
      </c>
      <c r="C3145" s="137">
        <v>113194</v>
      </c>
      <c r="D3145" s="136" t="s">
        <v>15246</v>
      </c>
      <c r="E3145" s="138">
        <v>62721.4</v>
      </c>
      <c r="F3145" s="139">
        <v>42882</v>
      </c>
      <c r="G3145" s="140">
        <v>62721.4</v>
      </c>
      <c r="H3145" s="138">
        <f t="shared" si="50"/>
        <v>0</v>
      </c>
      <c r="I3145" s="141" t="s">
        <v>15214</v>
      </c>
    </row>
    <row r="3146" spans="1:9" x14ac:dyDescent="0.25">
      <c r="A3146" s="167" t="s">
        <v>18582</v>
      </c>
      <c r="B3146" s="142" t="s">
        <v>18708</v>
      </c>
      <c r="C3146" s="143">
        <v>113195</v>
      </c>
      <c r="D3146" s="142" t="s">
        <v>15365</v>
      </c>
      <c r="E3146" s="144">
        <v>223416</v>
      </c>
      <c r="F3146" s="145">
        <v>42883</v>
      </c>
      <c r="G3146" s="146">
        <v>223416</v>
      </c>
      <c r="H3146" s="138">
        <f t="shared" si="50"/>
        <v>0</v>
      </c>
      <c r="I3146" s="147" t="s">
        <v>15214</v>
      </c>
    </row>
    <row r="3147" spans="1:9" x14ac:dyDescent="0.25">
      <c r="A3147" s="168" t="s">
        <v>18582</v>
      </c>
      <c r="B3147" s="136" t="s">
        <v>18709</v>
      </c>
      <c r="C3147" s="137">
        <v>113196</v>
      </c>
      <c r="D3147" s="136" t="s">
        <v>15642</v>
      </c>
      <c r="E3147" s="138">
        <v>5846.4</v>
      </c>
      <c r="F3147" s="139">
        <v>42879</v>
      </c>
      <c r="G3147" s="140">
        <v>5846.4</v>
      </c>
      <c r="H3147" s="138">
        <f t="shared" si="50"/>
        <v>0</v>
      </c>
      <c r="I3147" s="141" t="s">
        <v>15214</v>
      </c>
    </row>
    <row r="3148" spans="1:9" x14ac:dyDescent="0.25">
      <c r="A3148" s="167" t="s">
        <v>18582</v>
      </c>
      <c r="B3148" s="142" t="s">
        <v>18710</v>
      </c>
      <c r="C3148" s="143">
        <v>113197</v>
      </c>
      <c r="D3148" s="142" t="s">
        <v>15246</v>
      </c>
      <c r="E3148" s="144">
        <v>98299.1</v>
      </c>
      <c r="F3148" s="145">
        <v>42882</v>
      </c>
      <c r="G3148" s="146">
        <v>98299.1</v>
      </c>
      <c r="H3148" s="138">
        <f t="shared" si="50"/>
        <v>0</v>
      </c>
      <c r="I3148" s="147" t="s">
        <v>15214</v>
      </c>
    </row>
    <row r="3149" spans="1:9" x14ac:dyDescent="0.25">
      <c r="A3149" s="168" t="s">
        <v>18711</v>
      </c>
      <c r="B3149" s="136" t="s">
        <v>18712</v>
      </c>
      <c r="C3149" s="137">
        <v>113198</v>
      </c>
      <c r="D3149" s="136" t="s">
        <v>15213</v>
      </c>
      <c r="E3149" s="138">
        <v>9812.6</v>
      </c>
      <c r="F3149" s="139">
        <v>42881</v>
      </c>
      <c r="G3149" s="140">
        <v>9812.6</v>
      </c>
      <c r="H3149" s="138">
        <f t="shared" si="50"/>
        <v>0</v>
      </c>
      <c r="I3149" s="141" t="s">
        <v>15214</v>
      </c>
    </row>
    <row r="3150" spans="1:9" x14ac:dyDescent="0.25">
      <c r="A3150" s="167" t="s">
        <v>18711</v>
      </c>
      <c r="B3150" s="142" t="s">
        <v>18713</v>
      </c>
      <c r="C3150" s="143">
        <v>113199</v>
      </c>
      <c r="D3150" s="142" t="s">
        <v>15213</v>
      </c>
      <c r="E3150" s="144">
        <v>36110.699999999997</v>
      </c>
      <c r="F3150" s="145">
        <v>42881</v>
      </c>
      <c r="G3150" s="146">
        <v>36110.699999999997</v>
      </c>
      <c r="H3150" s="138">
        <f t="shared" si="50"/>
        <v>0</v>
      </c>
      <c r="I3150" s="147" t="s">
        <v>15214</v>
      </c>
    </row>
    <row r="3151" spans="1:9" x14ac:dyDescent="0.25">
      <c r="A3151" s="168" t="s">
        <v>18711</v>
      </c>
      <c r="B3151" s="136" t="s">
        <v>18714</v>
      </c>
      <c r="C3151" s="137">
        <v>113200</v>
      </c>
      <c r="D3151" s="136" t="s">
        <v>15903</v>
      </c>
      <c r="E3151" s="138">
        <v>72290.8</v>
      </c>
      <c r="F3151" s="139">
        <v>42880</v>
      </c>
      <c r="G3151" s="140">
        <v>72290.8</v>
      </c>
      <c r="H3151" s="138">
        <f t="shared" si="50"/>
        <v>0</v>
      </c>
      <c r="I3151" s="141" t="s">
        <v>15214</v>
      </c>
    </row>
    <row r="3152" spans="1:9" x14ac:dyDescent="0.25">
      <c r="A3152" s="167" t="s">
        <v>18711</v>
      </c>
      <c r="B3152" s="142" t="s">
        <v>18715</v>
      </c>
      <c r="C3152" s="143">
        <v>113201</v>
      </c>
      <c r="D3152" s="142" t="s">
        <v>15226</v>
      </c>
      <c r="E3152" s="144">
        <v>1425.6</v>
      </c>
      <c r="F3152" s="145">
        <v>42884</v>
      </c>
      <c r="G3152" s="146">
        <v>1425.6</v>
      </c>
      <c r="H3152" s="138">
        <f t="shared" si="50"/>
        <v>0</v>
      </c>
      <c r="I3152" s="147" t="s">
        <v>15214</v>
      </c>
    </row>
    <row r="3153" spans="1:9" x14ac:dyDescent="0.25">
      <c r="A3153" s="168" t="s">
        <v>18711</v>
      </c>
      <c r="B3153" s="136" t="s">
        <v>18716</v>
      </c>
      <c r="C3153" s="137">
        <v>113202</v>
      </c>
      <c r="D3153" s="136" t="s">
        <v>15230</v>
      </c>
      <c r="E3153" s="138">
        <v>8595</v>
      </c>
      <c r="F3153" s="139">
        <v>42882</v>
      </c>
      <c r="G3153" s="140">
        <v>8595</v>
      </c>
      <c r="H3153" s="138">
        <f t="shared" si="50"/>
        <v>0</v>
      </c>
      <c r="I3153" s="141" t="s">
        <v>15214</v>
      </c>
    </row>
    <row r="3154" spans="1:9" x14ac:dyDescent="0.25">
      <c r="A3154" s="167" t="s">
        <v>18711</v>
      </c>
      <c r="B3154" s="142" t="s">
        <v>18717</v>
      </c>
      <c r="C3154" s="143">
        <v>113203</v>
      </c>
      <c r="D3154" s="142" t="s">
        <v>15232</v>
      </c>
      <c r="E3154" s="144">
        <v>5482.5</v>
      </c>
      <c r="F3154" s="148">
        <v>42887</v>
      </c>
      <c r="G3154" s="149">
        <v>5482.5</v>
      </c>
      <c r="H3154" s="138">
        <f t="shared" si="50"/>
        <v>0</v>
      </c>
      <c r="I3154" s="147" t="s">
        <v>15214</v>
      </c>
    </row>
    <row r="3155" spans="1:9" x14ac:dyDescent="0.25">
      <c r="A3155" s="168" t="s">
        <v>18711</v>
      </c>
      <c r="B3155" s="136" t="s">
        <v>18718</v>
      </c>
      <c r="C3155" s="137">
        <v>113204</v>
      </c>
      <c r="D3155" s="136" t="s">
        <v>15242</v>
      </c>
      <c r="E3155" s="138">
        <v>10197</v>
      </c>
      <c r="F3155" s="139">
        <v>42880</v>
      </c>
      <c r="G3155" s="140">
        <v>10197</v>
      </c>
      <c r="H3155" s="138">
        <f t="shared" si="50"/>
        <v>0</v>
      </c>
      <c r="I3155" s="141" t="s">
        <v>15214</v>
      </c>
    </row>
    <row r="3156" spans="1:9" x14ac:dyDescent="0.25">
      <c r="A3156" s="167" t="s">
        <v>18711</v>
      </c>
      <c r="B3156" s="142" t="s">
        <v>18719</v>
      </c>
      <c r="C3156" s="143">
        <v>113205</v>
      </c>
      <c r="D3156" s="142" t="s">
        <v>15244</v>
      </c>
      <c r="E3156" s="144">
        <v>3907.2</v>
      </c>
      <c r="F3156" s="145">
        <v>42880</v>
      </c>
      <c r="G3156" s="146">
        <v>3907.2</v>
      </c>
      <c r="H3156" s="138">
        <f t="shared" si="50"/>
        <v>0</v>
      </c>
      <c r="I3156" s="147" t="s">
        <v>15214</v>
      </c>
    </row>
    <row r="3157" spans="1:9" x14ac:dyDescent="0.25">
      <c r="A3157" s="168" t="s">
        <v>18711</v>
      </c>
      <c r="B3157" s="136" t="s">
        <v>18720</v>
      </c>
      <c r="C3157" s="137">
        <v>113206</v>
      </c>
      <c r="D3157" s="136" t="s">
        <v>15240</v>
      </c>
      <c r="E3157" s="138">
        <v>3192.4</v>
      </c>
      <c r="F3157" s="139">
        <v>42881</v>
      </c>
      <c r="G3157" s="140">
        <v>3192.4</v>
      </c>
      <c r="H3157" s="138">
        <f t="shared" si="50"/>
        <v>0</v>
      </c>
      <c r="I3157" s="141" t="s">
        <v>15214</v>
      </c>
    </row>
    <row r="3158" spans="1:9" x14ac:dyDescent="0.25">
      <c r="A3158" s="167" t="s">
        <v>18711</v>
      </c>
      <c r="B3158" s="142" t="s">
        <v>18721</v>
      </c>
      <c r="C3158" s="143">
        <v>113207</v>
      </c>
      <c r="D3158" s="142" t="s">
        <v>15284</v>
      </c>
      <c r="E3158" s="144">
        <v>2864</v>
      </c>
      <c r="F3158" s="145">
        <v>42880</v>
      </c>
      <c r="G3158" s="146">
        <v>2864</v>
      </c>
      <c r="H3158" s="138">
        <f t="shared" si="50"/>
        <v>0</v>
      </c>
      <c r="I3158" s="147" t="s">
        <v>15214</v>
      </c>
    </row>
    <row r="3159" spans="1:9" x14ac:dyDescent="0.25">
      <c r="A3159" s="168" t="s">
        <v>18711</v>
      </c>
      <c r="B3159" s="136" t="s">
        <v>18722</v>
      </c>
      <c r="C3159" s="137">
        <v>113208</v>
      </c>
      <c r="D3159" s="136" t="s">
        <v>15236</v>
      </c>
      <c r="E3159" s="138">
        <v>3211.6</v>
      </c>
      <c r="F3159" s="139">
        <v>42882</v>
      </c>
      <c r="G3159" s="140">
        <v>3211.6</v>
      </c>
      <c r="H3159" s="138">
        <f t="shared" si="50"/>
        <v>0</v>
      </c>
      <c r="I3159" s="141" t="s">
        <v>15214</v>
      </c>
    </row>
    <row r="3160" spans="1:9" x14ac:dyDescent="0.25">
      <c r="A3160" s="167" t="s">
        <v>18711</v>
      </c>
      <c r="B3160" s="142" t="s">
        <v>18723</v>
      </c>
      <c r="C3160" s="143">
        <v>113209</v>
      </c>
      <c r="D3160" s="142" t="s">
        <v>15234</v>
      </c>
      <c r="E3160" s="144">
        <v>3352.2</v>
      </c>
      <c r="F3160" s="145">
        <v>42884</v>
      </c>
      <c r="G3160" s="146">
        <v>3352.2</v>
      </c>
      <c r="H3160" s="138">
        <f t="shared" si="50"/>
        <v>0</v>
      </c>
      <c r="I3160" s="147" t="s">
        <v>15214</v>
      </c>
    </row>
    <row r="3161" spans="1:9" x14ac:dyDescent="0.25">
      <c r="A3161" s="168" t="s">
        <v>18711</v>
      </c>
      <c r="B3161" s="136" t="s">
        <v>18724</v>
      </c>
      <c r="C3161" s="137">
        <v>113210</v>
      </c>
      <c r="D3161" s="136" t="s">
        <v>15258</v>
      </c>
      <c r="E3161" s="138">
        <v>17153.2</v>
      </c>
      <c r="F3161" s="139" t="s">
        <v>18725</v>
      </c>
      <c r="G3161" s="140">
        <f>9000+8153.2</f>
        <v>17153.2</v>
      </c>
      <c r="H3161" s="138">
        <f t="shared" si="50"/>
        <v>0</v>
      </c>
      <c r="I3161" s="141" t="s">
        <v>15214</v>
      </c>
    </row>
    <row r="3162" spans="1:9" x14ac:dyDescent="0.25">
      <c r="A3162" s="167" t="s">
        <v>18711</v>
      </c>
      <c r="B3162" s="142" t="s">
        <v>18726</v>
      </c>
      <c r="C3162" s="143">
        <v>113211</v>
      </c>
      <c r="D3162" s="142" t="s">
        <v>15238</v>
      </c>
      <c r="E3162" s="144">
        <v>5897.8</v>
      </c>
      <c r="F3162" s="145" t="s">
        <v>18727</v>
      </c>
      <c r="G3162" s="146">
        <f>3000+2897.8</f>
        <v>5897.8</v>
      </c>
      <c r="H3162" s="138">
        <f t="shared" si="50"/>
        <v>0</v>
      </c>
      <c r="I3162" s="147" t="s">
        <v>15214</v>
      </c>
    </row>
    <row r="3163" spans="1:9" x14ac:dyDescent="0.25">
      <c r="A3163" s="168" t="s">
        <v>18711</v>
      </c>
      <c r="B3163" s="136" t="s">
        <v>18728</v>
      </c>
      <c r="C3163" s="137">
        <v>113212</v>
      </c>
      <c r="D3163" s="136" t="s">
        <v>15668</v>
      </c>
      <c r="E3163" s="138">
        <v>13038.8</v>
      </c>
      <c r="F3163" s="139">
        <v>42884</v>
      </c>
      <c r="G3163" s="140">
        <v>13038.8</v>
      </c>
      <c r="H3163" s="138">
        <f t="shared" si="50"/>
        <v>0</v>
      </c>
      <c r="I3163" s="141" t="s">
        <v>15214</v>
      </c>
    </row>
    <row r="3164" spans="1:9" x14ac:dyDescent="0.25">
      <c r="A3164" s="167" t="s">
        <v>18711</v>
      </c>
      <c r="B3164" s="142" t="s">
        <v>18729</v>
      </c>
      <c r="C3164" s="143">
        <v>113213</v>
      </c>
      <c r="D3164" s="142" t="s">
        <v>15256</v>
      </c>
      <c r="E3164" s="144">
        <v>7451.4</v>
      </c>
      <c r="F3164" s="145">
        <v>42881</v>
      </c>
      <c r="G3164" s="146">
        <v>7451.4</v>
      </c>
      <c r="H3164" s="138">
        <f t="shared" si="50"/>
        <v>0</v>
      </c>
      <c r="I3164" s="147" t="s">
        <v>15214</v>
      </c>
    </row>
    <row r="3165" spans="1:9" x14ac:dyDescent="0.25">
      <c r="A3165" s="168" t="s">
        <v>18711</v>
      </c>
      <c r="B3165" s="136" t="s">
        <v>18730</v>
      </c>
      <c r="C3165" s="137">
        <v>113214</v>
      </c>
      <c r="D3165" s="136" t="s">
        <v>15250</v>
      </c>
      <c r="E3165" s="138">
        <v>69557.62</v>
      </c>
      <c r="F3165" s="139">
        <v>42886</v>
      </c>
      <c r="G3165" s="140">
        <v>69557.62</v>
      </c>
      <c r="H3165" s="138">
        <f t="shared" si="50"/>
        <v>0</v>
      </c>
      <c r="I3165" s="141" t="s">
        <v>15214</v>
      </c>
    </row>
    <row r="3166" spans="1:9" x14ac:dyDescent="0.25">
      <c r="A3166" s="167" t="s">
        <v>18711</v>
      </c>
      <c r="B3166" s="142" t="s">
        <v>18731</v>
      </c>
      <c r="C3166" s="143">
        <v>113215</v>
      </c>
      <c r="D3166" s="142" t="s">
        <v>15415</v>
      </c>
      <c r="E3166" s="144">
        <v>3095.8</v>
      </c>
      <c r="F3166" s="148">
        <v>42888</v>
      </c>
      <c r="G3166" s="149">
        <v>3095.8</v>
      </c>
      <c r="H3166" s="138">
        <f t="shared" si="50"/>
        <v>0</v>
      </c>
      <c r="I3166" s="147" t="s">
        <v>15214</v>
      </c>
    </row>
    <row r="3167" spans="1:9" x14ac:dyDescent="0.25">
      <c r="A3167" s="168" t="s">
        <v>18711</v>
      </c>
      <c r="B3167" s="136" t="s">
        <v>18732</v>
      </c>
      <c r="C3167" s="137">
        <v>113216</v>
      </c>
      <c r="D3167" s="136" t="s">
        <v>15223</v>
      </c>
      <c r="E3167" s="138">
        <v>47220.800000000003</v>
      </c>
      <c r="F3167" s="157">
        <v>42892</v>
      </c>
      <c r="G3167" s="158">
        <v>47220.800000000003</v>
      </c>
      <c r="H3167" s="138">
        <f t="shared" si="50"/>
        <v>0</v>
      </c>
      <c r="I3167" s="141" t="s">
        <v>15214</v>
      </c>
    </row>
    <row r="3168" spans="1:9" x14ac:dyDescent="0.25">
      <c r="A3168" s="167" t="s">
        <v>18711</v>
      </c>
      <c r="B3168" s="142" t="s">
        <v>18733</v>
      </c>
      <c r="C3168" s="143">
        <v>113217</v>
      </c>
      <c r="D3168" s="142" t="s">
        <v>15480</v>
      </c>
      <c r="E3168" s="144">
        <v>3454</v>
      </c>
      <c r="F3168" s="145">
        <v>42884</v>
      </c>
      <c r="G3168" s="146">
        <v>3454</v>
      </c>
      <c r="H3168" s="138">
        <f t="shared" si="50"/>
        <v>0</v>
      </c>
      <c r="I3168" s="147" t="s">
        <v>15214</v>
      </c>
    </row>
    <row r="3169" spans="1:9" x14ac:dyDescent="0.25">
      <c r="A3169" s="168" t="s">
        <v>18711</v>
      </c>
      <c r="B3169" s="136" t="s">
        <v>18734</v>
      </c>
      <c r="C3169" s="137">
        <v>113218</v>
      </c>
      <c r="D3169" s="136" t="s">
        <v>15317</v>
      </c>
      <c r="E3169" s="138">
        <v>1518.1</v>
      </c>
      <c r="F3169" s="139">
        <v>42881</v>
      </c>
      <c r="G3169" s="140">
        <v>1518.1</v>
      </c>
      <c r="H3169" s="138">
        <f t="shared" si="50"/>
        <v>0</v>
      </c>
      <c r="I3169" s="141" t="s">
        <v>15214</v>
      </c>
    </row>
    <row r="3170" spans="1:9" x14ac:dyDescent="0.25">
      <c r="A3170" s="167" t="s">
        <v>18711</v>
      </c>
      <c r="B3170" s="142" t="s">
        <v>18735</v>
      </c>
      <c r="C3170" s="143">
        <v>113219</v>
      </c>
      <c r="D3170" s="142" t="s">
        <v>15835</v>
      </c>
      <c r="E3170" s="144">
        <v>13278.4</v>
      </c>
      <c r="F3170" s="145">
        <v>42881</v>
      </c>
      <c r="G3170" s="146">
        <v>13278.4</v>
      </c>
      <c r="H3170" s="138">
        <f t="shared" si="50"/>
        <v>0</v>
      </c>
      <c r="I3170" s="147" t="s">
        <v>15214</v>
      </c>
    </row>
    <row r="3171" spans="1:9" x14ac:dyDescent="0.25">
      <c r="A3171" s="168" t="s">
        <v>18711</v>
      </c>
      <c r="B3171" s="136" t="s">
        <v>18736</v>
      </c>
      <c r="C3171" s="137">
        <v>113220</v>
      </c>
      <c r="D3171" s="136" t="s">
        <v>15263</v>
      </c>
      <c r="E3171" s="138">
        <v>2944</v>
      </c>
      <c r="F3171" s="139">
        <v>42880</v>
      </c>
      <c r="G3171" s="140">
        <v>2944</v>
      </c>
      <c r="H3171" s="138">
        <f t="shared" si="50"/>
        <v>0</v>
      </c>
      <c r="I3171" s="141" t="s">
        <v>15214</v>
      </c>
    </row>
    <row r="3172" spans="1:9" x14ac:dyDescent="0.25">
      <c r="A3172" s="167" t="s">
        <v>18711</v>
      </c>
      <c r="B3172" s="142" t="s">
        <v>18737</v>
      </c>
      <c r="C3172" s="143">
        <v>113221</v>
      </c>
      <c r="D3172" s="142" t="s">
        <v>15748</v>
      </c>
      <c r="E3172" s="144">
        <v>2187.3000000000002</v>
      </c>
      <c r="F3172" s="148">
        <v>42889</v>
      </c>
      <c r="G3172" s="149">
        <v>2187.3000000000002</v>
      </c>
      <c r="H3172" s="138">
        <f t="shared" si="50"/>
        <v>0</v>
      </c>
      <c r="I3172" s="147" t="s">
        <v>15214</v>
      </c>
    </row>
    <row r="3173" spans="1:9" x14ac:dyDescent="0.25">
      <c r="A3173" s="168" t="s">
        <v>18711</v>
      </c>
      <c r="B3173" s="136" t="s">
        <v>18738</v>
      </c>
      <c r="C3173" s="137">
        <v>113222</v>
      </c>
      <c r="D3173" s="136" t="s">
        <v>15523</v>
      </c>
      <c r="E3173" s="138">
        <v>1684.8</v>
      </c>
      <c r="F3173" s="139">
        <v>42880</v>
      </c>
      <c r="G3173" s="140">
        <v>1684.8</v>
      </c>
      <c r="H3173" s="138">
        <f t="shared" si="50"/>
        <v>0</v>
      </c>
      <c r="I3173" s="141" t="s">
        <v>15214</v>
      </c>
    </row>
    <row r="3174" spans="1:9" x14ac:dyDescent="0.25">
      <c r="A3174" s="167" t="s">
        <v>18711</v>
      </c>
      <c r="B3174" s="142" t="s">
        <v>18739</v>
      </c>
      <c r="C3174" s="143">
        <v>113223</v>
      </c>
      <c r="D3174" s="142" t="s">
        <v>15854</v>
      </c>
      <c r="E3174" s="144">
        <v>1512</v>
      </c>
      <c r="F3174" s="145">
        <v>42880</v>
      </c>
      <c r="G3174" s="146">
        <v>1512</v>
      </c>
      <c r="H3174" s="138">
        <f t="shared" si="50"/>
        <v>0</v>
      </c>
      <c r="I3174" s="147" t="s">
        <v>15214</v>
      </c>
    </row>
    <row r="3175" spans="1:9" x14ac:dyDescent="0.25">
      <c r="A3175" s="168" t="s">
        <v>18711</v>
      </c>
      <c r="B3175" s="136" t="s">
        <v>18740</v>
      </c>
      <c r="C3175" s="137">
        <v>113224</v>
      </c>
      <c r="D3175" s="136" t="s">
        <v>15334</v>
      </c>
      <c r="E3175" s="138">
        <v>1572</v>
      </c>
      <c r="F3175" s="139">
        <v>42880</v>
      </c>
      <c r="G3175" s="140">
        <v>1572</v>
      </c>
      <c r="H3175" s="138">
        <f t="shared" si="50"/>
        <v>0</v>
      </c>
      <c r="I3175" s="141" t="s">
        <v>15214</v>
      </c>
    </row>
    <row r="3176" spans="1:9" x14ac:dyDescent="0.25">
      <c r="A3176" s="167" t="s">
        <v>18711</v>
      </c>
      <c r="B3176" s="142" t="s">
        <v>18741</v>
      </c>
      <c r="C3176" s="143">
        <v>113225</v>
      </c>
      <c r="D3176" s="142" t="s">
        <v>15526</v>
      </c>
      <c r="E3176" s="144">
        <v>2998.8</v>
      </c>
      <c r="F3176" s="145">
        <v>42880</v>
      </c>
      <c r="G3176" s="146">
        <v>2998.8</v>
      </c>
      <c r="H3176" s="138">
        <f t="shared" si="50"/>
        <v>0</v>
      </c>
      <c r="I3176" s="147" t="s">
        <v>15214</v>
      </c>
    </row>
    <row r="3177" spans="1:9" x14ac:dyDescent="0.25">
      <c r="A3177" s="168" t="s">
        <v>18711</v>
      </c>
      <c r="B3177" s="136" t="s">
        <v>18742</v>
      </c>
      <c r="C3177" s="137">
        <v>113226</v>
      </c>
      <c r="D3177" s="136" t="s">
        <v>15272</v>
      </c>
      <c r="E3177" s="138">
        <v>10965</v>
      </c>
      <c r="F3177" s="139">
        <v>42880</v>
      </c>
      <c r="G3177" s="140">
        <v>10965</v>
      </c>
      <c r="H3177" s="138">
        <f t="shared" si="50"/>
        <v>0</v>
      </c>
      <c r="I3177" s="141" t="s">
        <v>15214</v>
      </c>
    </row>
    <row r="3178" spans="1:9" x14ac:dyDescent="0.25">
      <c r="A3178" s="167" t="s">
        <v>18711</v>
      </c>
      <c r="B3178" s="142" t="s">
        <v>18743</v>
      </c>
      <c r="C3178" s="143">
        <v>113227</v>
      </c>
      <c r="D3178" s="142" t="s">
        <v>15344</v>
      </c>
      <c r="E3178" s="144">
        <v>2690.1</v>
      </c>
      <c r="F3178" s="145">
        <v>42880</v>
      </c>
      <c r="G3178" s="146">
        <v>2690.1</v>
      </c>
      <c r="H3178" s="138">
        <f t="shared" si="50"/>
        <v>0</v>
      </c>
      <c r="I3178" s="147" t="s">
        <v>15214</v>
      </c>
    </row>
    <row r="3179" spans="1:9" x14ac:dyDescent="0.25">
      <c r="A3179" s="168" t="s">
        <v>18711</v>
      </c>
      <c r="B3179" s="136" t="s">
        <v>18744</v>
      </c>
      <c r="C3179" s="137">
        <v>113228</v>
      </c>
      <c r="D3179" s="136" t="s">
        <v>15358</v>
      </c>
      <c r="E3179" s="138">
        <v>1720.2</v>
      </c>
      <c r="F3179" s="139">
        <v>42880</v>
      </c>
      <c r="G3179" s="140">
        <v>1720.2</v>
      </c>
      <c r="H3179" s="138">
        <f t="shared" si="50"/>
        <v>0</v>
      </c>
      <c r="I3179" s="141" t="s">
        <v>15214</v>
      </c>
    </row>
    <row r="3180" spans="1:9" x14ac:dyDescent="0.25">
      <c r="A3180" s="167" t="s">
        <v>18711</v>
      </c>
      <c r="B3180" s="142" t="s">
        <v>18745</v>
      </c>
      <c r="C3180" s="143">
        <v>113229</v>
      </c>
      <c r="D3180" s="142" t="s">
        <v>15861</v>
      </c>
      <c r="E3180" s="144">
        <v>1971.2</v>
      </c>
      <c r="F3180" s="145">
        <v>42880</v>
      </c>
      <c r="G3180" s="146">
        <v>1971.2</v>
      </c>
      <c r="H3180" s="138">
        <f t="shared" si="50"/>
        <v>0</v>
      </c>
      <c r="I3180" s="147" t="s">
        <v>15214</v>
      </c>
    </row>
    <row r="3181" spans="1:9" x14ac:dyDescent="0.25">
      <c r="A3181" s="168" t="s">
        <v>18711</v>
      </c>
      <c r="B3181" s="136" t="s">
        <v>18746</v>
      </c>
      <c r="C3181" s="137">
        <v>113230</v>
      </c>
      <c r="D3181" s="136" t="s">
        <v>15332</v>
      </c>
      <c r="E3181" s="138">
        <v>4263</v>
      </c>
      <c r="F3181" s="139">
        <v>42880</v>
      </c>
      <c r="G3181" s="140">
        <v>4263</v>
      </c>
      <c r="H3181" s="138">
        <f t="shared" si="50"/>
        <v>0</v>
      </c>
      <c r="I3181" s="141" t="s">
        <v>15214</v>
      </c>
    </row>
    <row r="3182" spans="1:9" x14ac:dyDescent="0.25">
      <c r="A3182" s="167" t="s">
        <v>18711</v>
      </c>
      <c r="B3182" s="142" t="s">
        <v>18747</v>
      </c>
      <c r="C3182" s="143">
        <v>113231</v>
      </c>
      <c r="D3182" s="142" t="s">
        <v>15681</v>
      </c>
      <c r="E3182" s="144">
        <v>1968.4</v>
      </c>
      <c r="F3182" s="145">
        <v>42880</v>
      </c>
      <c r="G3182" s="146">
        <v>1968.4</v>
      </c>
      <c r="H3182" s="138">
        <f t="shared" si="50"/>
        <v>0</v>
      </c>
      <c r="I3182" s="147" t="s">
        <v>15214</v>
      </c>
    </row>
    <row r="3183" spans="1:9" x14ac:dyDescent="0.25">
      <c r="A3183" s="168" t="s">
        <v>18711</v>
      </c>
      <c r="B3183" s="136" t="s">
        <v>18748</v>
      </c>
      <c r="C3183" s="137">
        <v>113232</v>
      </c>
      <c r="D3183" s="136" t="s">
        <v>15858</v>
      </c>
      <c r="E3183" s="138">
        <v>3490.36</v>
      </c>
      <c r="F3183" s="139">
        <v>42880</v>
      </c>
      <c r="G3183" s="140">
        <v>3490.36</v>
      </c>
      <c r="H3183" s="138">
        <f t="shared" si="50"/>
        <v>0</v>
      </c>
      <c r="I3183" s="141" t="s">
        <v>15214</v>
      </c>
    </row>
    <row r="3184" spans="1:9" x14ac:dyDescent="0.25">
      <c r="A3184" s="167" t="s">
        <v>18711</v>
      </c>
      <c r="B3184" s="142" t="s">
        <v>18749</v>
      </c>
      <c r="C3184" s="143">
        <v>113233</v>
      </c>
      <c r="D3184" s="142" t="s">
        <v>15303</v>
      </c>
      <c r="E3184" s="144">
        <v>2741.7</v>
      </c>
      <c r="F3184" s="145">
        <v>42881</v>
      </c>
      <c r="G3184" s="146">
        <v>2741.7</v>
      </c>
      <c r="H3184" s="138">
        <f t="shared" si="50"/>
        <v>0</v>
      </c>
      <c r="I3184" s="147" t="s">
        <v>15214</v>
      </c>
    </row>
    <row r="3185" spans="1:9" x14ac:dyDescent="0.25">
      <c r="A3185" s="168" t="s">
        <v>18711</v>
      </c>
      <c r="B3185" s="136" t="s">
        <v>18750</v>
      </c>
      <c r="C3185" s="137">
        <v>113234</v>
      </c>
      <c r="D3185" s="136" t="s">
        <v>15309</v>
      </c>
      <c r="E3185" s="138">
        <v>11072.1</v>
      </c>
      <c r="F3185" s="157" t="s">
        <v>19647</v>
      </c>
      <c r="G3185" s="158">
        <f>9572+1500.1</f>
        <v>11072.1</v>
      </c>
      <c r="H3185" s="138">
        <f t="shared" si="50"/>
        <v>0</v>
      </c>
      <c r="I3185" s="141" t="s">
        <v>15214</v>
      </c>
    </row>
    <row r="3186" spans="1:9" x14ac:dyDescent="0.25">
      <c r="A3186" s="167" t="s">
        <v>18711</v>
      </c>
      <c r="B3186" s="142" t="s">
        <v>18751</v>
      </c>
      <c r="C3186" s="143">
        <v>113235</v>
      </c>
      <c r="D3186" s="142" t="s">
        <v>16732</v>
      </c>
      <c r="E3186" s="144">
        <v>31746.05</v>
      </c>
      <c r="F3186" s="145">
        <v>42880</v>
      </c>
      <c r="G3186" s="146">
        <v>31746.05</v>
      </c>
      <c r="H3186" s="138">
        <f t="shared" si="50"/>
        <v>0</v>
      </c>
      <c r="I3186" s="147" t="s">
        <v>15214</v>
      </c>
    </row>
    <row r="3187" spans="1:9" x14ac:dyDescent="0.25">
      <c r="A3187" s="168" t="s">
        <v>18711</v>
      </c>
      <c r="B3187" s="136" t="s">
        <v>18752</v>
      </c>
      <c r="C3187" s="137">
        <v>113236</v>
      </c>
      <c r="D3187" s="136" t="s">
        <v>15220</v>
      </c>
      <c r="E3187" s="138">
        <v>2640</v>
      </c>
      <c r="F3187" s="139">
        <v>42880</v>
      </c>
      <c r="G3187" s="140">
        <v>2640</v>
      </c>
      <c r="H3187" s="138">
        <f t="shared" si="50"/>
        <v>0</v>
      </c>
      <c r="I3187" s="141" t="s">
        <v>15214</v>
      </c>
    </row>
    <row r="3188" spans="1:9" x14ac:dyDescent="0.25">
      <c r="A3188" s="167" t="s">
        <v>18711</v>
      </c>
      <c r="B3188" s="142" t="s">
        <v>18753</v>
      </c>
      <c r="C3188" s="143">
        <v>113237</v>
      </c>
      <c r="D3188" s="142" t="s">
        <v>15324</v>
      </c>
      <c r="E3188" s="144">
        <v>2480</v>
      </c>
      <c r="F3188" s="145">
        <v>42880</v>
      </c>
      <c r="G3188" s="146">
        <v>2480</v>
      </c>
      <c r="H3188" s="138">
        <f t="shared" si="50"/>
        <v>0</v>
      </c>
      <c r="I3188" s="147" t="s">
        <v>15214</v>
      </c>
    </row>
    <row r="3189" spans="1:9" x14ac:dyDescent="0.25">
      <c r="A3189" s="168" t="s">
        <v>18711</v>
      </c>
      <c r="B3189" s="136" t="s">
        <v>18754</v>
      </c>
      <c r="C3189" s="137">
        <v>113238</v>
      </c>
      <c r="D3189" s="136" t="s">
        <v>15596</v>
      </c>
      <c r="E3189" s="138">
        <v>960</v>
      </c>
      <c r="F3189" s="139">
        <v>42880</v>
      </c>
      <c r="G3189" s="140">
        <v>960</v>
      </c>
      <c r="H3189" s="138">
        <f t="shared" si="50"/>
        <v>0</v>
      </c>
      <c r="I3189" s="141" t="s">
        <v>15214</v>
      </c>
    </row>
    <row r="3190" spans="1:9" x14ac:dyDescent="0.25">
      <c r="A3190" s="167" t="s">
        <v>18711</v>
      </c>
      <c r="B3190" s="142" t="s">
        <v>18755</v>
      </c>
      <c r="C3190" s="143">
        <v>113239</v>
      </c>
      <c r="D3190" s="142" t="s">
        <v>15274</v>
      </c>
      <c r="E3190" s="144">
        <v>2520</v>
      </c>
      <c r="F3190" s="145">
        <v>42880</v>
      </c>
      <c r="G3190" s="146">
        <v>2520</v>
      </c>
      <c r="H3190" s="138">
        <f t="shared" si="50"/>
        <v>0</v>
      </c>
      <c r="I3190" s="147" t="s">
        <v>15214</v>
      </c>
    </row>
    <row r="3191" spans="1:9" x14ac:dyDescent="0.25">
      <c r="A3191" s="168" t="s">
        <v>18711</v>
      </c>
      <c r="B3191" s="136" t="s">
        <v>18756</v>
      </c>
      <c r="C3191" s="137">
        <v>113240</v>
      </c>
      <c r="D3191" s="136" t="s">
        <v>15330</v>
      </c>
      <c r="E3191" s="138">
        <v>2719.9</v>
      </c>
      <c r="F3191" s="139">
        <v>42880</v>
      </c>
      <c r="G3191" s="140">
        <v>2719.9</v>
      </c>
      <c r="H3191" s="138">
        <f t="shared" si="50"/>
        <v>0</v>
      </c>
      <c r="I3191" s="141" t="s">
        <v>15214</v>
      </c>
    </row>
    <row r="3192" spans="1:9" x14ac:dyDescent="0.25">
      <c r="A3192" s="167" t="s">
        <v>18711</v>
      </c>
      <c r="B3192" s="142" t="s">
        <v>18757</v>
      </c>
      <c r="C3192" s="143">
        <v>113241</v>
      </c>
      <c r="D3192" s="142" t="s">
        <v>15338</v>
      </c>
      <c r="E3192" s="144">
        <v>9789.6</v>
      </c>
      <c r="F3192" s="145">
        <v>42886</v>
      </c>
      <c r="G3192" s="146">
        <v>9789.6</v>
      </c>
      <c r="H3192" s="138">
        <f t="shared" si="50"/>
        <v>0</v>
      </c>
      <c r="I3192" s="147" t="s">
        <v>15214</v>
      </c>
    </row>
    <row r="3193" spans="1:9" x14ac:dyDescent="0.25">
      <c r="A3193" s="168" t="s">
        <v>18711</v>
      </c>
      <c r="B3193" s="136" t="s">
        <v>18758</v>
      </c>
      <c r="C3193" s="137">
        <v>113242</v>
      </c>
      <c r="D3193" s="136" t="s">
        <v>15725</v>
      </c>
      <c r="E3193" s="138">
        <v>20999.200000000001</v>
      </c>
      <c r="F3193" s="139">
        <v>42884</v>
      </c>
      <c r="G3193" s="140">
        <v>20999.200000000001</v>
      </c>
      <c r="H3193" s="138">
        <f t="shared" si="50"/>
        <v>0</v>
      </c>
      <c r="I3193" s="141" t="s">
        <v>15214</v>
      </c>
    </row>
    <row r="3194" spans="1:9" x14ac:dyDescent="0.25">
      <c r="A3194" s="167" t="s">
        <v>18711</v>
      </c>
      <c r="B3194" s="142" t="s">
        <v>18759</v>
      </c>
      <c r="C3194" s="143">
        <v>113243</v>
      </c>
      <c r="D3194" s="142" t="s">
        <v>15280</v>
      </c>
      <c r="E3194" s="144">
        <v>5897</v>
      </c>
      <c r="F3194" s="145">
        <v>42880</v>
      </c>
      <c r="G3194" s="146">
        <v>5897</v>
      </c>
      <c r="H3194" s="138">
        <f t="shared" si="50"/>
        <v>0</v>
      </c>
      <c r="I3194" s="147" t="s">
        <v>15214</v>
      </c>
    </row>
    <row r="3195" spans="1:9" x14ac:dyDescent="0.25">
      <c r="A3195" s="168" t="s">
        <v>18711</v>
      </c>
      <c r="B3195" s="136" t="s">
        <v>18760</v>
      </c>
      <c r="C3195" s="137">
        <v>113244</v>
      </c>
      <c r="D3195" s="136" t="s">
        <v>15371</v>
      </c>
      <c r="E3195" s="138">
        <v>3125.5</v>
      </c>
      <c r="F3195" s="139">
        <v>42881</v>
      </c>
      <c r="G3195" s="140">
        <v>3125.5</v>
      </c>
      <c r="H3195" s="138">
        <f t="shared" si="50"/>
        <v>0</v>
      </c>
      <c r="I3195" s="141" t="s">
        <v>15214</v>
      </c>
    </row>
    <row r="3196" spans="1:9" x14ac:dyDescent="0.25">
      <c r="A3196" s="167" t="s">
        <v>18711</v>
      </c>
      <c r="B3196" s="142" t="s">
        <v>18761</v>
      </c>
      <c r="C3196" s="143">
        <v>113245</v>
      </c>
      <c r="D3196" s="142" t="s">
        <v>15371</v>
      </c>
      <c r="E3196" s="144">
        <v>671.3</v>
      </c>
      <c r="F3196" s="145">
        <v>42881</v>
      </c>
      <c r="G3196" s="146">
        <v>671.3</v>
      </c>
      <c r="H3196" s="138">
        <f t="shared" si="50"/>
        <v>0</v>
      </c>
      <c r="I3196" s="147" t="s">
        <v>15214</v>
      </c>
    </row>
    <row r="3197" spans="1:9" x14ac:dyDescent="0.25">
      <c r="A3197" s="168" t="s">
        <v>18711</v>
      </c>
      <c r="B3197" s="136" t="s">
        <v>18762</v>
      </c>
      <c r="C3197" s="137">
        <v>113246</v>
      </c>
      <c r="D3197" s="136" t="s">
        <v>15315</v>
      </c>
      <c r="E3197" s="138">
        <v>460</v>
      </c>
      <c r="F3197" s="139">
        <v>42880</v>
      </c>
      <c r="G3197" s="140">
        <v>460</v>
      </c>
      <c r="H3197" s="138">
        <f t="shared" si="50"/>
        <v>0</v>
      </c>
      <c r="I3197" s="141" t="s">
        <v>15214</v>
      </c>
    </row>
    <row r="3198" spans="1:9" x14ac:dyDescent="0.25">
      <c r="A3198" s="167" t="s">
        <v>18711</v>
      </c>
      <c r="B3198" s="142" t="s">
        <v>18763</v>
      </c>
      <c r="C3198" s="143">
        <v>113247</v>
      </c>
      <c r="D3198" s="142" t="s">
        <v>15590</v>
      </c>
      <c r="E3198" s="144">
        <v>34141.199999999997</v>
      </c>
      <c r="F3198" s="145">
        <v>42880</v>
      </c>
      <c r="G3198" s="146">
        <v>34141.199999999997</v>
      </c>
      <c r="H3198" s="138">
        <f t="shared" si="50"/>
        <v>0</v>
      </c>
      <c r="I3198" s="147" t="s">
        <v>15214</v>
      </c>
    </row>
    <row r="3199" spans="1:9" x14ac:dyDescent="0.25">
      <c r="A3199" s="168" t="s">
        <v>18711</v>
      </c>
      <c r="B3199" s="136" t="s">
        <v>18764</v>
      </c>
      <c r="C3199" s="137">
        <v>113248</v>
      </c>
      <c r="D3199" s="136" t="s">
        <v>15856</v>
      </c>
      <c r="E3199" s="138">
        <v>2861.6</v>
      </c>
      <c r="F3199" s="139">
        <v>42880</v>
      </c>
      <c r="G3199" s="140">
        <v>2861.6</v>
      </c>
      <c r="H3199" s="138">
        <f t="shared" si="50"/>
        <v>0</v>
      </c>
      <c r="I3199" s="141" t="s">
        <v>15214</v>
      </c>
    </row>
    <row r="3200" spans="1:9" x14ac:dyDescent="0.25">
      <c r="A3200" s="167" t="s">
        <v>18711</v>
      </c>
      <c r="B3200" s="142" t="s">
        <v>18765</v>
      </c>
      <c r="C3200" s="143">
        <v>113249</v>
      </c>
      <c r="D3200" s="142" t="s">
        <v>15391</v>
      </c>
      <c r="E3200" s="144">
        <v>7562.8</v>
      </c>
      <c r="F3200" s="148">
        <v>42887</v>
      </c>
      <c r="G3200" s="149">
        <v>7562.8</v>
      </c>
      <c r="H3200" s="138">
        <f t="shared" si="50"/>
        <v>0</v>
      </c>
      <c r="I3200" s="147" t="s">
        <v>15214</v>
      </c>
    </row>
    <row r="3201" spans="1:9" x14ac:dyDescent="0.25">
      <c r="A3201" s="168" t="s">
        <v>18711</v>
      </c>
      <c r="B3201" s="136" t="s">
        <v>18766</v>
      </c>
      <c r="C3201" s="137">
        <v>113250</v>
      </c>
      <c r="D3201" s="136" t="s">
        <v>15890</v>
      </c>
      <c r="E3201" s="138">
        <v>13320.7</v>
      </c>
      <c r="F3201" s="139">
        <v>42886</v>
      </c>
      <c r="G3201" s="140">
        <v>13320.7</v>
      </c>
      <c r="H3201" s="138">
        <f t="shared" si="50"/>
        <v>0</v>
      </c>
      <c r="I3201" s="141" t="s">
        <v>15214</v>
      </c>
    </row>
    <row r="3202" spans="1:9" x14ac:dyDescent="0.25">
      <c r="A3202" s="167" t="s">
        <v>18711</v>
      </c>
      <c r="B3202" s="142" t="s">
        <v>18767</v>
      </c>
      <c r="C3202" s="143">
        <v>113251</v>
      </c>
      <c r="D3202" s="142" t="s">
        <v>15438</v>
      </c>
      <c r="E3202" s="144">
        <v>84.8</v>
      </c>
      <c r="F3202" s="145">
        <v>42880</v>
      </c>
      <c r="G3202" s="146">
        <v>84.8</v>
      </c>
      <c r="H3202" s="138">
        <f t="shared" si="50"/>
        <v>0</v>
      </c>
      <c r="I3202" s="147" t="s">
        <v>15214</v>
      </c>
    </row>
    <row r="3203" spans="1:9" x14ac:dyDescent="0.25">
      <c r="A3203" s="168" t="s">
        <v>18711</v>
      </c>
      <c r="B3203" s="136" t="s">
        <v>18768</v>
      </c>
      <c r="C3203" s="137">
        <v>113252</v>
      </c>
      <c r="D3203" s="136" t="s">
        <v>18769</v>
      </c>
      <c r="E3203" s="138">
        <v>9337.6</v>
      </c>
      <c r="F3203" s="157">
        <v>42920</v>
      </c>
      <c r="G3203" s="158">
        <v>9337.6</v>
      </c>
      <c r="H3203" s="138">
        <f t="shared" si="50"/>
        <v>0</v>
      </c>
      <c r="I3203" s="141" t="s">
        <v>15214</v>
      </c>
    </row>
    <row r="3204" spans="1:9" x14ac:dyDescent="0.25">
      <c r="A3204" s="167" t="s">
        <v>18711</v>
      </c>
      <c r="B3204" s="142" t="s">
        <v>18770</v>
      </c>
      <c r="C3204" s="143">
        <v>113253</v>
      </c>
      <c r="D3204" s="142" t="s">
        <v>15510</v>
      </c>
      <c r="E3204" s="144">
        <v>18665.599999999999</v>
      </c>
      <c r="F3204" s="145">
        <v>42880</v>
      </c>
      <c r="G3204" s="146">
        <v>18665.599999999999</v>
      </c>
      <c r="H3204" s="138">
        <f t="shared" si="50"/>
        <v>0</v>
      </c>
      <c r="I3204" s="147" t="s">
        <v>15214</v>
      </c>
    </row>
    <row r="3205" spans="1:9" x14ac:dyDescent="0.25">
      <c r="A3205" s="168" t="s">
        <v>18711</v>
      </c>
      <c r="B3205" s="136" t="s">
        <v>18771</v>
      </c>
      <c r="C3205" s="137">
        <v>113254</v>
      </c>
      <c r="D3205" s="136" t="s">
        <v>15539</v>
      </c>
      <c r="E3205" s="138">
        <v>14844.4</v>
      </c>
      <c r="F3205" s="139">
        <v>42886</v>
      </c>
      <c r="G3205" s="140">
        <v>14844.4</v>
      </c>
      <c r="H3205" s="138">
        <f t="shared" si="50"/>
        <v>0</v>
      </c>
      <c r="I3205" s="141" t="s">
        <v>15214</v>
      </c>
    </row>
    <row r="3206" spans="1:9" x14ac:dyDescent="0.25">
      <c r="A3206" s="167" t="s">
        <v>18711</v>
      </c>
      <c r="B3206" s="142" t="s">
        <v>18772</v>
      </c>
      <c r="C3206" s="143">
        <v>113255</v>
      </c>
      <c r="D3206" s="142" t="s">
        <v>18773</v>
      </c>
      <c r="E3206" s="144">
        <v>38218.400000000001</v>
      </c>
      <c r="F3206" s="145">
        <v>42880</v>
      </c>
      <c r="G3206" s="146">
        <v>38218.400000000001</v>
      </c>
      <c r="H3206" s="138">
        <f t="shared" si="50"/>
        <v>0</v>
      </c>
      <c r="I3206" s="147" t="s">
        <v>15214</v>
      </c>
    </row>
    <row r="3207" spans="1:9" x14ac:dyDescent="0.25">
      <c r="A3207" s="168" t="s">
        <v>18711</v>
      </c>
      <c r="B3207" s="136" t="s">
        <v>18774</v>
      </c>
      <c r="C3207" s="137">
        <v>113256</v>
      </c>
      <c r="D3207" s="136" t="s">
        <v>15833</v>
      </c>
      <c r="E3207" s="138">
        <v>15849.8</v>
      </c>
      <c r="F3207" s="139">
        <v>42886</v>
      </c>
      <c r="G3207" s="140">
        <v>15849.8</v>
      </c>
      <c r="H3207" s="138">
        <f t="shared" ref="H3207:H3270" si="51">E3207-G3207</f>
        <v>0</v>
      </c>
      <c r="I3207" s="141" t="s">
        <v>15214</v>
      </c>
    </row>
    <row r="3208" spans="1:9" x14ac:dyDescent="0.25">
      <c r="A3208" s="167" t="s">
        <v>18711</v>
      </c>
      <c r="B3208" s="142" t="s">
        <v>18775</v>
      </c>
      <c r="C3208" s="143">
        <v>113257</v>
      </c>
      <c r="D3208" s="142" t="s">
        <v>15537</v>
      </c>
      <c r="E3208" s="144">
        <v>14203.3</v>
      </c>
      <c r="F3208" s="145">
        <v>42886</v>
      </c>
      <c r="G3208" s="146">
        <v>14203.3</v>
      </c>
      <c r="H3208" s="138">
        <f t="shared" si="51"/>
        <v>0</v>
      </c>
      <c r="I3208" s="147" t="s">
        <v>15214</v>
      </c>
    </row>
    <row r="3209" spans="1:9" x14ac:dyDescent="0.25">
      <c r="A3209" s="168" t="s">
        <v>18711</v>
      </c>
      <c r="B3209" s="136" t="s">
        <v>18776</v>
      </c>
      <c r="C3209" s="137">
        <v>113258</v>
      </c>
      <c r="D3209" s="136" t="s">
        <v>15544</v>
      </c>
      <c r="E3209" s="138">
        <v>2889.7</v>
      </c>
      <c r="F3209" s="139">
        <v>42881</v>
      </c>
      <c r="G3209" s="140">
        <v>2889.7</v>
      </c>
      <c r="H3209" s="138">
        <f t="shared" si="51"/>
        <v>0</v>
      </c>
      <c r="I3209" s="141" t="s">
        <v>15214</v>
      </c>
    </row>
    <row r="3210" spans="1:9" x14ac:dyDescent="0.25">
      <c r="A3210" s="167" t="s">
        <v>18711</v>
      </c>
      <c r="B3210" s="142" t="s">
        <v>18777</v>
      </c>
      <c r="C3210" s="143">
        <v>113259</v>
      </c>
      <c r="D3210" s="142" t="s">
        <v>15315</v>
      </c>
      <c r="E3210" s="144">
        <v>1062.3599999999999</v>
      </c>
      <c r="F3210" s="145">
        <v>42881</v>
      </c>
      <c r="G3210" s="146">
        <v>1062.3599999999999</v>
      </c>
      <c r="H3210" s="138">
        <f t="shared" si="51"/>
        <v>0</v>
      </c>
      <c r="I3210" s="147" t="s">
        <v>15214</v>
      </c>
    </row>
    <row r="3211" spans="1:9" x14ac:dyDescent="0.25">
      <c r="A3211" s="168" t="s">
        <v>18711</v>
      </c>
      <c r="B3211" s="136" t="s">
        <v>18778</v>
      </c>
      <c r="C3211" s="137">
        <v>113260</v>
      </c>
      <c r="D3211" s="136" t="s">
        <v>15315</v>
      </c>
      <c r="E3211" s="138">
        <v>475.3</v>
      </c>
      <c r="F3211" s="139">
        <v>42881</v>
      </c>
      <c r="G3211" s="140">
        <v>475.3</v>
      </c>
      <c r="H3211" s="138">
        <f t="shared" si="51"/>
        <v>0</v>
      </c>
      <c r="I3211" s="141" t="s">
        <v>15214</v>
      </c>
    </row>
    <row r="3212" spans="1:9" x14ac:dyDescent="0.25">
      <c r="A3212" s="167" t="s">
        <v>18711</v>
      </c>
      <c r="B3212" s="142" t="s">
        <v>18779</v>
      </c>
      <c r="C3212" s="143">
        <v>113261</v>
      </c>
      <c r="D3212" s="142" t="s">
        <v>17708</v>
      </c>
      <c r="E3212" s="144">
        <v>6772.68</v>
      </c>
      <c r="F3212" s="145">
        <v>42881</v>
      </c>
      <c r="G3212" s="146">
        <v>6772.68</v>
      </c>
      <c r="H3212" s="138">
        <f t="shared" si="51"/>
        <v>0</v>
      </c>
      <c r="I3212" s="147" t="s">
        <v>15214</v>
      </c>
    </row>
    <row r="3213" spans="1:9" x14ac:dyDescent="0.25">
      <c r="A3213" s="168" t="s">
        <v>18711</v>
      </c>
      <c r="B3213" s="136" t="s">
        <v>18780</v>
      </c>
      <c r="C3213" s="137">
        <v>113262</v>
      </c>
      <c r="D3213" s="136" t="s">
        <v>15566</v>
      </c>
      <c r="E3213" s="138">
        <v>2870.4</v>
      </c>
      <c r="F3213" s="139">
        <v>42880</v>
      </c>
      <c r="G3213" s="140">
        <v>2870.4</v>
      </c>
      <c r="H3213" s="138">
        <f t="shared" si="51"/>
        <v>0</v>
      </c>
      <c r="I3213" s="141" t="s">
        <v>15214</v>
      </c>
    </row>
    <row r="3214" spans="1:9" x14ac:dyDescent="0.25">
      <c r="A3214" s="167" t="s">
        <v>18711</v>
      </c>
      <c r="B3214" s="142" t="s">
        <v>18781</v>
      </c>
      <c r="C3214" s="143">
        <v>113263</v>
      </c>
      <c r="D3214" s="142" t="s">
        <v>15315</v>
      </c>
      <c r="E3214" s="144">
        <v>2032.6</v>
      </c>
      <c r="F3214" s="145">
        <v>42880</v>
      </c>
      <c r="G3214" s="146">
        <v>2032.6</v>
      </c>
      <c r="H3214" s="138">
        <f t="shared" si="51"/>
        <v>0</v>
      </c>
      <c r="I3214" s="147" t="s">
        <v>15214</v>
      </c>
    </row>
    <row r="3215" spans="1:9" x14ac:dyDescent="0.25">
      <c r="A3215" s="168" t="s">
        <v>18711</v>
      </c>
      <c r="B3215" s="136" t="s">
        <v>18782</v>
      </c>
      <c r="C3215" s="137">
        <v>113264</v>
      </c>
      <c r="D3215" s="136" t="s">
        <v>15665</v>
      </c>
      <c r="E3215" s="138">
        <v>176.8</v>
      </c>
      <c r="F3215" s="139">
        <v>42880</v>
      </c>
      <c r="G3215" s="140">
        <v>176.8</v>
      </c>
      <c r="H3215" s="138">
        <f t="shared" si="51"/>
        <v>0</v>
      </c>
      <c r="I3215" s="141" t="s">
        <v>15214</v>
      </c>
    </row>
    <row r="3216" spans="1:9" x14ac:dyDescent="0.25">
      <c r="A3216" s="167" t="s">
        <v>18711</v>
      </c>
      <c r="B3216" s="142" t="s">
        <v>18783</v>
      </c>
      <c r="C3216" s="143">
        <v>113265</v>
      </c>
      <c r="D3216" s="142" t="s">
        <v>16108</v>
      </c>
      <c r="E3216" s="144">
        <v>1404</v>
      </c>
      <c r="F3216" s="145">
        <v>42880</v>
      </c>
      <c r="G3216" s="146">
        <v>1404</v>
      </c>
      <c r="H3216" s="138">
        <f t="shared" si="51"/>
        <v>0</v>
      </c>
      <c r="I3216" s="147" t="s">
        <v>15214</v>
      </c>
    </row>
    <row r="3217" spans="1:9" x14ac:dyDescent="0.25">
      <c r="A3217" s="168" t="s">
        <v>18711</v>
      </c>
      <c r="B3217" s="136" t="s">
        <v>18784</v>
      </c>
      <c r="C3217" s="137">
        <v>113266</v>
      </c>
      <c r="D3217" s="136" t="s">
        <v>15276</v>
      </c>
      <c r="E3217" s="138">
        <v>3360</v>
      </c>
      <c r="F3217" s="139">
        <v>42881</v>
      </c>
      <c r="G3217" s="140">
        <v>3360</v>
      </c>
      <c r="H3217" s="138">
        <f t="shared" si="51"/>
        <v>0</v>
      </c>
      <c r="I3217" s="141" t="s">
        <v>15214</v>
      </c>
    </row>
    <row r="3218" spans="1:9" x14ac:dyDescent="0.25">
      <c r="A3218" s="167" t="s">
        <v>18711</v>
      </c>
      <c r="B3218" s="142" t="s">
        <v>18785</v>
      </c>
      <c r="C3218" s="143">
        <v>113267</v>
      </c>
      <c r="D3218" s="142" t="s">
        <v>15291</v>
      </c>
      <c r="E3218" s="144">
        <v>624</v>
      </c>
      <c r="F3218" s="145">
        <v>42881</v>
      </c>
      <c r="G3218" s="146">
        <v>624</v>
      </c>
      <c r="H3218" s="138">
        <f t="shared" si="51"/>
        <v>0</v>
      </c>
      <c r="I3218" s="147" t="s">
        <v>15214</v>
      </c>
    </row>
    <row r="3219" spans="1:9" x14ac:dyDescent="0.25">
      <c r="A3219" s="168" t="s">
        <v>18711</v>
      </c>
      <c r="B3219" s="136" t="s">
        <v>18786</v>
      </c>
      <c r="C3219" s="137">
        <v>113268</v>
      </c>
      <c r="D3219" s="136" t="s">
        <v>15617</v>
      </c>
      <c r="E3219" s="138">
        <v>28049.599999999999</v>
      </c>
      <c r="F3219" s="139">
        <v>42881</v>
      </c>
      <c r="G3219" s="140">
        <v>28049.599999999999</v>
      </c>
      <c r="H3219" s="138">
        <f t="shared" si="51"/>
        <v>0</v>
      </c>
      <c r="I3219" s="141" t="s">
        <v>15214</v>
      </c>
    </row>
    <row r="3220" spans="1:9" x14ac:dyDescent="0.25">
      <c r="A3220" s="167" t="s">
        <v>18711</v>
      </c>
      <c r="B3220" s="142" t="s">
        <v>18787</v>
      </c>
      <c r="C3220" s="143">
        <v>113269</v>
      </c>
      <c r="D3220" s="142" t="s">
        <v>15716</v>
      </c>
      <c r="E3220" s="144">
        <v>5831.2</v>
      </c>
      <c r="F3220" s="145">
        <v>42880</v>
      </c>
      <c r="G3220" s="146">
        <v>5831.2</v>
      </c>
      <c r="H3220" s="138">
        <f t="shared" si="51"/>
        <v>0</v>
      </c>
      <c r="I3220" s="147" t="s">
        <v>15214</v>
      </c>
    </row>
    <row r="3221" spans="1:9" x14ac:dyDescent="0.25">
      <c r="A3221" s="168" t="s">
        <v>18711</v>
      </c>
      <c r="B3221" s="136" t="s">
        <v>18788</v>
      </c>
      <c r="C3221" s="137">
        <v>113270</v>
      </c>
      <c r="D3221" s="136" t="s">
        <v>15409</v>
      </c>
      <c r="E3221" s="138">
        <v>3850</v>
      </c>
      <c r="F3221" s="139">
        <v>42880</v>
      </c>
      <c r="G3221" s="140">
        <v>3850</v>
      </c>
      <c r="H3221" s="138">
        <f t="shared" si="51"/>
        <v>0</v>
      </c>
      <c r="I3221" s="141" t="s">
        <v>15214</v>
      </c>
    </row>
    <row r="3222" spans="1:9" x14ac:dyDescent="0.25">
      <c r="A3222" s="167" t="s">
        <v>18711</v>
      </c>
      <c r="B3222" s="142" t="s">
        <v>18789</v>
      </c>
      <c r="C3222" s="143">
        <v>113271</v>
      </c>
      <c r="D3222" s="142" t="s">
        <v>15600</v>
      </c>
      <c r="E3222" s="144">
        <v>12557.2</v>
      </c>
      <c r="F3222" s="145">
        <v>42881</v>
      </c>
      <c r="G3222" s="146">
        <v>12557.2</v>
      </c>
      <c r="H3222" s="138">
        <f t="shared" si="51"/>
        <v>0</v>
      </c>
      <c r="I3222" s="147" t="s">
        <v>15214</v>
      </c>
    </row>
    <row r="3223" spans="1:9" x14ac:dyDescent="0.25">
      <c r="A3223" s="168" t="s">
        <v>18711</v>
      </c>
      <c r="B3223" s="136" t="s">
        <v>18790</v>
      </c>
      <c r="C3223" s="137">
        <v>113272</v>
      </c>
      <c r="D3223" s="136" t="s">
        <v>15263</v>
      </c>
      <c r="E3223" s="138">
        <v>720.2</v>
      </c>
      <c r="F3223" s="139">
        <v>42880</v>
      </c>
      <c r="G3223" s="140">
        <v>720.2</v>
      </c>
      <c r="H3223" s="138">
        <f t="shared" si="51"/>
        <v>0</v>
      </c>
      <c r="I3223" s="141" t="s">
        <v>15214</v>
      </c>
    </row>
    <row r="3224" spans="1:9" x14ac:dyDescent="0.25">
      <c r="A3224" s="167" t="s">
        <v>18711</v>
      </c>
      <c r="B3224" s="142" t="s">
        <v>18791</v>
      </c>
      <c r="C3224" s="143">
        <v>113273</v>
      </c>
      <c r="D3224" s="142" t="s">
        <v>15307</v>
      </c>
      <c r="E3224" s="144">
        <v>1734.7</v>
      </c>
      <c r="F3224" s="145">
        <v>42881</v>
      </c>
      <c r="G3224" s="146">
        <v>1734.7</v>
      </c>
      <c r="H3224" s="138">
        <f t="shared" si="51"/>
        <v>0</v>
      </c>
      <c r="I3224" s="147" t="s">
        <v>15214</v>
      </c>
    </row>
    <row r="3225" spans="1:9" x14ac:dyDescent="0.25">
      <c r="A3225" s="168" t="s">
        <v>18711</v>
      </c>
      <c r="B3225" s="136" t="s">
        <v>18792</v>
      </c>
      <c r="C3225" s="137">
        <v>113274</v>
      </c>
      <c r="D3225" s="136" t="s">
        <v>15614</v>
      </c>
      <c r="E3225" s="138">
        <v>9026.9</v>
      </c>
      <c r="F3225" s="139">
        <v>42882</v>
      </c>
      <c r="G3225" s="140">
        <v>9026.9</v>
      </c>
      <c r="H3225" s="138">
        <f t="shared" si="51"/>
        <v>0</v>
      </c>
      <c r="I3225" s="141" t="s">
        <v>15214</v>
      </c>
    </row>
    <row r="3226" spans="1:9" x14ac:dyDescent="0.25">
      <c r="A3226" s="167" t="s">
        <v>18711</v>
      </c>
      <c r="B3226" s="142" t="s">
        <v>18793</v>
      </c>
      <c r="C3226" s="143">
        <v>113275</v>
      </c>
      <c r="D3226" s="142" t="s">
        <v>15315</v>
      </c>
      <c r="E3226" s="144">
        <v>1807.5</v>
      </c>
      <c r="F3226" s="145">
        <v>42880</v>
      </c>
      <c r="G3226" s="146">
        <v>1807.5</v>
      </c>
      <c r="H3226" s="138">
        <f t="shared" si="51"/>
        <v>0</v>
      </c>
      <c r="I3226" s="147" t="s">
        <v>15214</v>
      </c>
    </row>
    <row r="3227" spans="1:9" x14ac:dyDescent="0.25">
      <c r="A3227" s="168" t="s">
        <v>18711</v>
      </c>
      <c r="B3227" s="136" t="s">
        <v>18794</v>
      </c>
      <c r="C3227" s="137">
        <v>113276</v>
      </c>
      <c r="D3227" s="136" t="s">
        <v>15315</v>
      </c>
      <c r="E3227" s="138">
        <v>80</v>
      </c>
      <c r="F3227" s="139">
        <v>42880</v>
      </c>
      <c r="G3227" s="140">
        <v>80</v>
      </c>
      <c r="H3227" s="138">
        <f t="shared" si="51"/>
        <v>0</v>
      </c>
      <c r="I3227" s="141" t="s">
        <v>15214</v>
      </c>
    </row>
    <row r="3228" spans="1:9" x14ac:dyDescent="0.25">
      <c r="A3228" s="167" t="s">
        <v>18711</v>
      </c>
      <c r="B3228" s="142" t="s">
        <v>18795</v>
      </c>
      <c r="C3228" s="143">
        <v>113277</v>
      </c>
      <c r="D3228" s="142" t="s">
        <v>15267</v>
      </c>
      <c r="E3228" s="144">
        <v>65835.259999999995</v>
      </c>
      <c r="F3228" s="148">
        <v>42892</v>
      </c>
      <c r="G3228" s="149">
        <v>65835.259999999995</v>
      </c>
      <c r="H3228" s="138">
        <f t="shared" si="51"/>
        <v>0</v>
      </c>
      <c r="I3228" s="147" t="s">
        <v>15214</v>
      </c>
    </row>
    <row r="3229" spans="1:9" x14ac:dyDescent="0.25">
      <c r="A3229" s="168" t="s">
        <v>18711</v>
      </c>
      <c r="B3229" s="136" t="s">
        <v>18796</v>
      </c>
      <c r="C3229" s="137">
        <v>113278</v>
      </c>
      <c r="D3229" s="136" t="s">
        <v>5873</v>
      </c>
      <c r="E3229" s="138">
        <v>31126.9</v>
      </c>
      <c r="F3229" s="139">
        <v>42881</v>
      </c>
      <c r="G3229" s="140">
        <v>31126.9</v>
      </c>
      <c r="H3229" s="138">
        <f t="shared" si="51"/>
        <v>0</v>
      </c>
      <c r="I3229" s="141" t="s">
        <v>15214</v>
      </c>
    </row>
    <row r="3230" spans="1:9" x14ac:dyDescent="0.25">
      <c r="A3230" s="167" t="s">
        <v>18711</v>
      </c>
      <c r="B3230" s="142" t="s">
        <v>18797</v>
      </c>
      <c r="C3230" s="143">
        <v>113279</v>
      </c>
      <c r="D3230" s="142" t="s">
        <v>15213</v>
      </c>
      <c r="E3230" s="144">
        <v>2644.8</v>
      </c>
      <c r="F3230" s="145">
        <v>42881</v>
      </c>
      <c r="G3230" s="146">
        <v>2644.8</v>
      </c>
      <c r="H3230" s="138">
        <f t="shared" si="51"/>
        <v>0</v>
      </c>
      <c r="I3230" s="147" t="s">
        <v>15214</v>
      </c>
    </row>
    <row r="3231" spans="1:9" x14ac:dyDescent="0.25">
      <c r="A3231" s="168" t="s">
        <v>18711</v>
      </c>
      <c r="B3231" s="136" t="s">
        <v>18798</v>
      </c>
      <c r="C3231" s="137">
        <v>113280</v>
      </c>
      <c r="D3231" s="136" t="s">
        <v>15315</v>
      </c>
      <c r="E3231" s="138">
        <v>423</v>
      </c>
      <c r="F3231" s="139">
        <v>42881</v>
      </c>
      <c r="G3231" s="140">
        <v>423</v>
      </c>
      <c r="H3231" s="138">
        <f t="shared" si="51"/>
        <v>0</v>
      </c>
      <c r="I3231" s="141" t="s">
        <v>15214</v>
      </c>
    </row>
    <row r="3232" spans="1:9" x14ac:dyDescent="0.25">
      <c r="A3232" s="167" t="s">
        <v>18711</v>
      </c>
      <c r="B3232" s="142" t="s">
        <v>18799</v>
      </c>
      <c r="C3232" s="143">
        <v>113281</v>
      </c>
      <c r="D3232" s="142" t="s">
        <v>15398</v>
      </c>
      <c r="E3232" s="144">
        <v>2792.2</v>
      </c>
      <c r="F3232" s="145">
        <v>42880</v>
      </c>
      <c r="G3232" s="146">
        <v>2792.2</v>
      </c>
      <c r="H3232" s="138">
        <f t="shared" si="51"/>
        <v>0</v>
      </c>
      <c r="I3232" s="147" t="s">
        <v>15214</v>
      </c>
    </row>
    <row r="3233" spans="1:9" x14ac:dyDescent="0.25">
      <c r="A3233" s="168" t="s">
        <v>18711</v>
      </c>
      <c r="B3233" s="136" t="s">
        <v>18800</v>
      </c>
      <c r="C3233" s="137">
        <v>113282</v>
      </c>
      <c r="D3233" s="136" t="s">
        <v>15442</v>
      </c>
      <c r="E3233" s="138">
        <v>18267.599999999999</v>
      </c>
      <c r="F3233" s="139">
        <v>42881</v>
      </c>
      <c r="G3233" s="140">
        <v>18267.599999999999</v>
      </c>
      <c r="H3233" s="138">
        <f t="shared" si="51"/>
        <v>0</v>
      </c>
      <c r="I3233" s="141" t="s">
        <v>15214</v>
      </c>
    </row>
    <row r="3234" spans="1:9" x14ac:dyDescent="0.25">
      <c r="A3234" s="167" t="s">
        <v>18711</v>
      </c>
      <c r="B3234" s="142" t="s">
        <v>18801</v>
      </c>
      <c r="C3234" s="143">
        <v>113283</v>
      </c>
      <c r="D3234" s="142" t="s">
        <v>15254</v>
      </c>
      <c r="E3234" s="144">
        <v>15182.9</v>
      </c>
      <c r="F3234" s="145">
        <v>42886</v>
      </c>
      <c r="G3234" s="146">
        <v>15182.9</v>
      </c>
      <c r="H3234" s="138">
        <f t="shared" si="51"/>
        <v>0</v>
      </c>
      <c r="I3234" s="147" t="s">
        <v>15214</v>
      </c>
    </row>
    <row r="3235" spans="1:9" ht="15.75" x14ac:dyDescent="0.25">
      <c r="A3235" s="168" t="s">
        <v>18711</v>
      </c>
      <c r="B3235" s="136" t="s">
        <v>18802</v>
      </c>
      <c r="C3235" s="137">
        <v>113284</v>
      </c>
      <c r="D3235" s="136" t="s">
        <v>15315</v>
      </c>
      <c r="E3235" s="138">
        <v>0</v>
      </c>
      <c r="F3235" s="153" t="s">
        <v>95</v>
      </c>
      <c r="G3235" s="138">
        <v>0</v>
      </c>
      <c r="H3235" s="138">
        <f t="shared" si="51"/>
        <v>0</v>
      </c>
      <c r="I3235" s="141" t="s">
        <v>95</v>
      </c>
    </row>
    <row r="3236" spans="1:9" x14ac:dyDescent="0.25">
      <c r="A3236" s="167" t="s">
        <v>18711</v>
      </c>
      <c r="B3236" s="142" t="s">
        <v>18803</v>
      </c>
      <c r="C3236" s="143">
        <v>113285</v>
      </c>
      <c r="D3236" s="142" t="s">
        <v>15541</v>
      </c>
      <c r="E3236" s="144">
        <v>924.7</v>
      </c>
      <c r="F3236" s="145">
        <v>42881</v>
      </c>
      <c r="G3236" s="146">
        <v>924.7</v>
      </c>
      <c r="H3236" s="138">
        <f t="shared" si="51"/>
        <v>0</v>
      </c>
      <c r="I3236" s="147" t="s">
        <v>15214</v>
      </c>
    </row>
    <row r="3237" spans="1:9" x14ac:dyDescent="0.25">
      <c r="A3237" s="168" t="s">
        <v>18711</v>
      </c>
      <c r="B3237" s="136" t="s">
        <v>18804</v>
      </c>
      <c r="C3237" s="137">
        <v>113286</v>
      </c>
      <c r="D3237" s="136" t="s">
        <v>15328</v>
      </c>
      <c r="E3237" s="138">
        <v>6555.2</v>
      </c>
      <c r="F3237" s="139">
        <v>42902</v>
      </c>
      <c r="G3237" s="140">
        <v>6555.2</v>
      </c>
      <c r="H3237" s="138">
        <f t="shared" si="51"/>
        <v>0</v>
      </c>
      <c r="I3237" s="141" t="s">
        <v>15214</v>
      </c>
    </row>
    <row r="3238" spans="1:9" x14ac:dyDescent="0.25">
      <c r="A3238" s="167" t="s">
        <v>18711</v>
      </c>
      <c r="B3238" s="142" t="s">
        <v>18805</v>
      </c>
      <c r="C3238" s="143">
        <v>113287</v>
      </c>
      <c r="D3238" s="142" t="s">
        <v>15342</v>
      </c>
      <c r="E3238" s="144">
        <v>966.4</v>
      </c>
      <c r="F3238" s="145">
        <v>42881</v>
      </c>
      <c r="G3238" s="146">
        <v>966.4</v>
      </c>
      <c r="H3238" s="138">
        <f t="shared" si="51"/>
        <v>0</v>
      </c>
      <c r="I3238" s="147" t="s">
        <v>15214</v>
      </c>
    </row>
    <row r="3239" spans="1:9" x14ac:dyDescent="0.25">
      <c r="A3239" s="168" t="s">
        <v>18711</v>
      </c>
      <c r="B3239" s="136" t="s">
        <v>18806</v>
      </c>
      <c r="C3239" s="137">
        <v>113288</v>
      </c>
      <c r="D3239" s="136" t="s">
        <v>15444</v>
      </c>
      <c r="E3239" s="138">
        <v>2322.8000000000002</v>
      </c>
      <c r="F3239" s="139">
        <v>42881</v>
      </c>
      <c r="G3239" s="140">
        <v>2322.8000000000002</v>
      </c>
      <c r="H3239" s="138">
        <f t="shared" si="51"/>
        <v>0</v>
      </c>
      <c r="I3239" s="141" t="s">
        <v>15214</v>
      </c>
    </row>
    <row r="3240" spans="1:9" x14ac:dyDescent="0.25">
      <c r="A3240" s="167" t="s">
        <v>18711</v>
      </c>
      <c r="B3240" s="142" t="s">
        <v>18807</v>
      </c>
      <c r="C3240" s="143">
        <v>113289</v>
      </c>
      <c r="D3240" s="142" t="s">
        <v>16958</v>
      </c>
      <c r="E3240" s="144">
        <v>2420.5</v>
      </c>
      <c r="F3240" s="145">
        <v>42881</v>
      </c>
      <c r="G3240" s="146">
        <v>2420.5</v>
      </c>
      <c r="H3240" s="138">
        <f t="shared" si="51"/>
        <v>0</v>
      </c>
      <c r="I3240" s="147" t="s">
        <v>15214</v>
      </c>
    </row>
    <row r="3241" spans="1:9" x14ac:dyDescent="0.25">
      <c r="A3241" s="168" t="s">
        <v>18711</v>
      </c>
      <c r="B3241" s="136" t="s">
        <v>18808</v>
      </c>
      <c r="C3241" s="137">
        <v>113290</v>
      </c>
      <c r="D3241" s="136" t="s">
        <v>15298</v>
      </c>
      <c r="E3241" s="138">
        <v>23582.7</v>
      </c>
      <c r="F3241" s="157">
        <v>42887</v>
      </c>
      <c r="G3241" s="158">
        <v>23582.7</v>
      </c>
      <c r="H3241" s="138">
        <f t="shared" si="51"/>
        <v>0</v>
      </c>
      <c r="I3241" s="141" t="s">
        <v>15214</v>
      </c>
    </row>
    <row r="3242" spans="1:9" x14ac:dyDescent="0.25">
      <c r="A3242" s="167" t="s">
        <v>18711</v>
      </c>
      <c r="B3242" s="142" t="s">
        <v>18809</v>
      </c>
      <c r="C3242" s="143">
        <v>113291</v>
      </c>
      <c r="D3242" s="142" t="s">
        <v>15365</v>
      </c>
      <c r="E3242" s="144">
        <v>27126</v>
      </c>
      <c r="F3242" s="145">
        <v>42883</v>
      </c>
      <c r="G3242" s="146">
        <v>27126</v>
      </c>
      <c r="H3242" s="138">
        <f t="shared" si="51"/>
        <v>0</v>
      </c>
      <c r="I3242" s="147" t="s">
        <v>15214</v>
      </c>
    </row>
    <row r="3243" spans="1:9" x14ac:dyDescent="0.25">
      <c r="A3243" s="168" t="s">
        <v>18711</v>
      </c>
      <c r="B3243" s="136" t="s">
        <v>18810</v>
      </c>
      <c r="C3243" s="137">
        <v>113292</v>
      </c>
      <c r="D3243" s="136" t="s">
        <v>15628</v>
      </c>
      <c r="E3243" s="138">
        <v>9683.9</v>
      </c>
      <c r="F3243" s="139">
        <v>42880</v>
      </c>
      <c r="G3243" s="140">
        <v>9683.9</v>
      </c>
      <c r="H3243" s="138">
        <f t="shared" si="51"/>
        <v>0</v>
      </c>
      <c r="I3243" s="141" t="s">
        <v>15214</v>
      </c>
    </row>
    <row r="3244" spans="1:9" x14ac:dyDescent="0.25">
      <c r="A3244" s="167" t="s">
        <v>18711</v>
      </c>
      <c r="B3244" s="142" t="s">
        <v>18811</v>
      </c>
      <c r="C3244" s="143">
        <v>113293</v>
      </c>
      <c r="D3244" s="142" t="s">
        <v>15450</v>
      </c>
      <c r="E3244" s="144">
        <v>1729.6</v>
      </c>
      <c r="F3244" s="145">
        <v>42882</v>
      </c>
      <c r="G3244" s="146">
        <v>1729.6</v>
      </c>
      <c r="H3244" s="138">
        <f t="shared" si="51"/>
        <v>0</v>
      </c>
      <c r="I3244" s="147" t="s">
        <v>15214</v>
      </c>
    </row>
    <row r="3245" spans="1:9" x14ac:dyDescent="0.25">
      <c r="A3245" s="168" t="s">
        <v>18711</v>
      </c>
      <c r="B3245" s="136" t="s">
        <v>18812</v>
      </c>
      <c r="C3245" s="137">
        <v>113294</v>
      </c>
      <c r="D3245" s="136" t="s">
        <v>15941</v>
      </c>
      <c r="E3245" s="138">
        <v>1050</v>
      </c>
      <c r="F3245" s="139">
        <v>42882</v>
      </c>
      <c r="G3245" s="140">
        <v>1050</v>
      </c>
      <c r="H3245" s="138">
        <f t="shared" si="51"/>
        <v>0</v>
      </c>
      <c r="I3245" s="141" t="s">
        <v>15214</v>
      </c>
    </row>
    <row r="3246" spans="1:9" x14ac:dyDescent="0.25">
      <c r="A3246" s="167" t="s">
        <v>18711</v>
      </c>
      <c r="B3246" s="142" t="s">
        <v>18813</v>
      </c>
      <c r="C3246" s="143">
        <v>113295</v>
      </c>
      <c r="D3246" s="142" t="s">
        <v>15454</v>
      </c>
      <c r="E3246" s="144">
        <v>1209.5999999999999</v>
      </c>
      <c r="F3246" s="145">
        <v>42882</v>
      </c>
      <c r="G3246" s="146">
        <v>1209.5999999999999</v>
      </c>
      <c r="H3246" s="138">
        <f t="shared" si="51"/>
        <v>0</v>
      </c>
      <c r="I3246" s="147" t="s">
        <v>15214</v>
      </c>
    </row>
    <row r="3247" spans="1:9" x14ac:dyDescent="0.25">
      <c r="A3247" s="168" t="s">
        <v>18711</v>
      </c>
      <c r="B3247" s="136" t="s">
        <v>18814</v>
      </c>
      <c r="C3247" s="137">
        <v>113296</v>
      </c>
      <c r="D3247" s="136" t="s">
        <v>15465</v>
      </c>
      <c r="E3247" s="138">
        <v>2390.3000000000002</v>
      </c>
      <c r="F3247" s="139">
        <v>42882</v>
      </c>
      <c r="G3247" s="140">
        <v>2390.3000000000002</v>
      </c>
      <c r="H3247" s="138">
        <f t="shared" si="51"/>
        <v>0</v>
      </c>
      <c r="I3247" s="141" t="s">
        <v>15214</v>
      </c>
    </row>
    <row r="3248" spans="1:9" x14ac:dyDescent="0.25">
      <c r="A3248" s="167" t="s">
        <v>18711</v>
      </c>
      <c r="B3248" s="142" t="s">
        <v>18815</v>
      </c>
      <c r="C3248" s="143">
        <v>113297</v>
      </c>
      <c r="D3248" s="142" t="s">
        <v>15448</v>
      </c>
      <c r="E3248" s="144">
        <v>124286.6</v>
      </c>
      <c r="F3248" s="145">
        <v>42886</v>
      </c>
      <c r="G3248" s="146">
        <v>124286.6</v>
      </c>
      <c r="H3248" s="138">
        <f t="shared" si="51"/>
        <v>0</v>
      </c>
      <c r="I3248" s="147" t="s">
        <v>15214</v>
      </c>
    </row>
    <row r="3249" spans="1:9" x14ac:dyDescent="0.25">
      <c r="A3249" s="168" t="s">
        <v>18711</v>
      </c>
      <c r="B3249" s="136" t="s">
        <v>18816</v>
      </c>
      <c r="C3249" s="137">
        <v>113298</v>
      </c>
      <c r="D3249" s="136" t="s">
        <v>15446</v>
      </c>
      <c r="E3249" s="138">
        <v>1378.7</v>
      </c>
      <c r="F3249" s="139">
        <v>42882</v>
      </c>
      <c r="G3249" s="140">
        <v>1378.7</v>
      </c>
      <c r="H3249" s="138">
        <f t="shared" si="51"/>
        <v>0</v>
      </c>
      <c r="I3249" s="141" t="s">
        <v>15214</v>
      </c>
    </row>
    <row r="3250" spans="1:9" x14ac:dyDescent="0.25">
      <c r="A3250" s="167" t="s">
        <v>18711</v>
      </c>
      <c r="B3250" s="142" t="s">
        <v>18817</v>
      </c>
      <c r="C3250" s="143">
        <v>113299</v>
      </c>
      <c r="D3250" s="142" t="s">
        <v>15456</v>
      </c>
      <c r="E3250" s="144">
        <v>1592.8</v>
      </c>
      <c r="F3250" s="145">
        <v>42882</v>
      </c>
      <c r="G3250" s="146">
        <v>1592.8</v>
      </c>
      <c r="H3250" s="138">
        <f t="shared" si="51"/>
        <v>0</v>
      </c>
      <c r="I3250" s="147" t="s">
        <v>15214</v>
      </c>
    </row>
    <row r="3251" spans="1:9" x14ac:dyDescent="0.25">
      <c r="A3251" s="168" t="s">
        <v>18711</v>
      </c>
      <c r="B3251" s="136" t="s">
        <v>18818</v>
      </c>
      <c r="C3251" s="137">
        <v>113300</v>
      </c>
      <c r="D3251" s="136" t="s">
        <v>15562</v>
      </c>
      <c r="E3251" s="138">
        <v>3045.6</v>
      </c>
      <c r="F3251" s="139">
        <v>42880</v>
      </c>
      <c r="G3251" s="140">
        <v>3045.6</v>
      </c>
      <c r="H3251" s="138">
        <f t="shared" si="51"/>
        <v>0</v>
      </c>
      <c r="I3251" s="141" t="s">
        <v>15214</v>
      </c>
    </row>
    <row r="3252" spans="1:9" x14ac:dyDescent="0.25">
      <c r="A3252" s="167" t="s">
        <v>18711</v>
      </c>
      <c r="B3252" s="142" t="s">
        <v>18819</v>
      </c>
      <c r="C3252" s="143">
        <v>113301</v>
      </c>
      <c r="D3252" s="142" t="s">
        <v>15462</v>
      </c>
      <c r="E3252" s="144">
        <v>14104.8</v>
      </c>
      <c r="F3252" s="145">
        <v>42882</v>
      </c>
      <c r="G3252" s="146">
        <v>14104.8</v>
      </c>
      <c r="H3252" s="138">
        <f t="shared" si="51"/>
        <v>0</v>
      </c>
      <c r="I3252" s="147" t="s">
        <v>15214</v>
      </c>
    </row>
    <row r="3253" spans="1:9" x14ac:dyDescent="0.25">
      <c r="A3253" s="168" t="s">
        <v>18711</v>
      </c>
      <c r="B3253" s="136" t="s">
        <v>18820</v>
      </c>
      <c r="C3253" s="137">
        <v>113302</v>
      </c>
      <c r="D3253" s="136" t="s">
        <v>15452</v>
      </c>
      <c r="E3253" s="138">
        <v>2303</v>
      </c>
      <c r="F3253" s="139">
        <v>42882</v>
      </c>
      <c r="G3253" s="140">
        <v>2303</v>
      </c>
      <c r="H3253" s="138">
        <f t="shared" si="51"/>
        <v>0</v>
      </c>
      <c r="I3253" s="141" t="s">
        <v>15214</v>
      </c>
    </row>
    <row r="3254" spans="1:9" x14ac:dyDescent="0.25">
      <c r="A3254" s="167" t="s">
        <v>18711</v>
      </c>
      <c r="B3254" s="142" t="s">
        <v>18821</v>
      </c>
      <c r="C3254" s="143">
        <v>113303</v>
      </c>
      <c r="D3254" s="142" t="s">
        <v>16965</v>
      </c>
      <c r="E3254" s="144">
        <v>8421.5</v>
      </c>
      <c r="F3254" s="145">
        <v>42882</v>
      </c>
      <c r="G3254" s="146">
        <v>8421.5</v>
      </c>
      <c r="H3254" s="138">
        <f t="shared" si="51"/>
        <v>0</v>
      </c>
      <c r="I3254" s="147" t="s">
        <v>15214</v>
      </c>
    </row>
    <row r="3255" spans="1:9" x14ac:dyDescent="0.25">
      <c r="A3255" s="168" t="s">
        <v>18711</v>
      </c>
      <c r="B3255" s="136" t="s">
        <v>18822</v>
      </c>
      <c r="C3255" s="137">
        <v>113304</v>
      </c>
      <c r="D3255" s="136" t="s">
        <v>15438</v>
      </c>
      <c r="E3255" s="138">
        <v>216</v>
      </c>
      <c r="F3255" s="139">
        <v>42880</v>
      </c>
      <c r="G3255" s="140">
        <v>216</v>
      </c>
      <c r="H3255" s="138">
        <f t="shared" si="51"/>
        <v>0</v>
      </c>
      <c r="I3255" s="141" t="s">
        <v>15214</v>
      </c>
    </row>
    <row r="3256" spans="1:9" x14ac:dyDescent="0.25">
      <c r="A3256" s="167" t="s">
        <v>18711</v>
      </c>
      <c r="B3256" s="142" t="s">
        <v>18823</v>
      </c>
      <c r="C3256" s="143">
        <v>113305</v>
      </c>
      <c r="D3256" s="142" t="s">
        <v>15246</v>
      </c>
      <c r="E3256" s="144">
        <v>108511</v>
      </c>
      <c r="F3256" s="145">
        <v>42882</v>
      </c>
      <c r="G3256" s="146">
        <v>108511</v>
      </c>
      <c r="H3256" s="138">
        <f t="shared" si="51"/>
        <v>0</v>
      </c>
      <c r="I3256" s="147" t="s">
        <v>15214</v>
      </c>
    </row>
    <row r="3257" spans="1:9" x14ac:dyDescent="0.25">
      <c r="A3257" s="168" t="s">
        <v>18711</v>
      </c>
      <c r="B3257" s="136" t="s">
        <v>18824</v>
      </c>
      <c r="C3257" s="137">
        <v>113306</v>
      </c>
      <c r="D3257" s="136" t="s">
        <v>15930</v>
      </c>
      <c r="E3257" s="138">
        <v>10305.6</v>
      </c>
      <c r="F3257" s="139">
        <v>42884</v>
      </c>
      <c r="G3257" s="140">
        <v>10305.6</v>
      </c>
      <c r="H3257" s="138">
        <f t="shared" si="51"/>
        <v>0</v>
      </c>
      <c r="I3257" s="141" t="s">
        <v>15214</v>
      </c>
    </row>
    <row r="3258" spans="1:9" x14ac:dyDescent="0.25">
      <c r="A3258" s="167" t="s">
        <v>18711</v>
      </c>
      <c r="B3258" s="142" t="s">
        <v>18825</v>
      </c>
      <c r="C3258" s="143">
        <v>113307</v>
      </c>
      <c r="D3258" s="142" t="s">
        <v>15246</v>
      </c>
      <c r="E3258" s="144">
        <v>364211.67</v>
      </c>
      <c r="F3258" s="145" t="s">
        <v>18725</v>
      </c>
      <c r="G3258" s="146">
        <f>208833.86+155377.81</f>
        <v>364211.67</v>
      </c>
      <c r="H3258" s="138">
        <f t="shared" si="51"/>
        <v>0</v>
      </c>
      <c r="I3258" s="147" t="s">
        <v>15214</v>
      </c>
    </row>
    <row r="3259" spans="1:9" x14ac:dyDescent="0.25">
      <c r="A3259" s="168" t="s">
        <v>18711</v>
      </c>
      <c r="B3259" s="136" t="s">
        <v>18826</v>
      </c>
      <c r="C3259" s="137">
        <v>113308</v>
      </c>
      <c r="D3259" s="136" t="s">
        <v>15246</v>
      </c>
      <c r="E3259" s="138">
        <v>111145.60000000001</v>
      </c>
      <c r="F3259" s="139">
        <v>42884</v>
      </c>
      <c r="G3259" s="140">
        <v>111145.60000000001</v>
      </c>
      <c r="H3259" s="138">
        <f t="shared" si="51"/>
        <v>0</v>
      </c>
      <c r="I3259" s="141" t="s">
        <v>15214</v>
      </c>
    </row>
    <row r="3260" spans="1:9" x14ac:dyDescent="0.25">
      <c r="A3260" s="167" t="s">
        <v>18711</v>
      </c>
      <c r="B3260" s="142" t="s">
        <v>18827</v>
      </c>
      <c r="C3260" s="143">
        <v>113309</v>
      </c>
      <c r="D3260" s="142" t="s">
        <v>15346</v>
      </c>
      <c r="E3260" s="144">
        <v>3276</v>
      </c>
      <c r="F3260" s="145">
        <v>42881</v>
      </c>
      <c r="G3260" s="146">
        <v>3276</v>
      </c>
      <c r="H3260" s="138">
        <f t="shared" si="51"/>
        <v>0</v>
      </c>
      <c r="I3260" s="147" t="s">
        <v>15214</v>
      </c>
    </row>
    <row r="3261" spans="1:9" x14ac:dyDescent="0.25">
      <c r="A3261" s="168" t="s">
        <v>18711</v>
      </c>
      <c r="B3261" s="136" t="s">
        <v>18828</v>
      </c>
      <c r="C3261" s="137">
        <v>113310</v>
      </c>
      <c r="D3261" s="136" t="s">
        <v>15435</v>
      </c>
      <c r="E3261" s="138">
        <v>9166.4</v>
      </c>
      <c r="F3261" s="139">
        <v>42880</v>
      </c>
      <c r="G3261" s="140">
        <v>9166.4</v>
      </c>
      <c r="H3261" s="138">
        <f t="shared" si="51"/>
        <v>0</v>
      </c>
      <c r="I3261" s="141" t="s">
        <v>15214</v>
      </c>
    </row>
    <row r="3262" spans="1:9" x14ac:dyDescent="0.25">
      <c r="A3262" s="167" t="s">
        <v>18711</v>
      </c>
      <c r="B3262" s="142" t="s">
        <v>18829</v>
      </c>
      <c r="C3262" s="143">
        <v>113311</v>
      </c>
      <c r="D3262" s="142" t="s">
        <v>15284</v>
      </c>
      <c r="E3262" s="144">
        <v>1109.4000000000001</v>
      </c>
      <c r="F3262" s="145">
        <v>42880</v>
      </c>
      <c r="G3262" s="146">
        <v>1109.4000000000001</v>
      </c>
      <c r="H3262" s="138">
        <f t="shared" si="51"/>
        <v>0</v>
      </c>
      <c r="I3262" s="147" t="s">
        <v>15214</v>
      </c>
    </row>
    <row r="3263" spans="1:9" x14ac:dyDescent="0.25">
      <c r="A3263" s="168" t="s">
        <v>18711</v>
      </c>
      <c r="B3263" s="136" t="s">
        <v>18830</v>
      </c>
      <c r="C3263" s="137">
        <v>113312</v>
      </c>
      <c r="D3263" s="136" t="s">
        <v>15433</v>
      </c>
      <c r="E3263" s="138">
        <v>1150</v>
      </c>
      <c r="F3263" s="139">
        <v>42880</v>
      </c>
      <c r="G3263" s="140">
        <v>1150</v>
      </c>
      <c r="H3263" s="138">
        <f t="shared" si="51"/>
        <v>0</v>
      </c>
      <c r="I3263" s="141" t="s">
        <v>15214</v>
      </c>
    </row>
    <row r="3264" spans="1:9" x14ac:dyDescent="0.25">
      <c r="A3264" s="167" t="s">
        <v>18711</v>
      </c>
      <c r="B3264" s="142" t="s">
        <v>18831</v>
      </c>
      <c r="C3264" s="143">
        <v>113313</v>
      </c>
      <c r="D3264" s="142" t="s">
        <v>15246</v>
      </c>
      <c r="E3264" s="144">
        <v>27516</v>
      </c>
      <c r="F3264" s="145">
        <v>42884</v>
      </c>
      <c r="G3264" s="146">
        <v>27516</v>
      </c>
      <c r="H3264" s="138">
        <f t="shared" si="51"/>
        <v>0</v>
      </c>
      <c r="I3264" s="147" t="s">
        <v>15214</v>
      </c>
    </row>
    <row r="3265" spans="1:9" x14ac:dyDescent="0.25">
      <c r="A3265" s="168" t="s">
        <v>18711</v>
      </c>
      <c r="B3265" s="136" t="s">
        <v>18832</v>
      </c>
      <c r="C3265" s="137">
        <v>113314</v>
      </c>
      <c r="D3265" s="136" t="s">
        <v>15642</v>
      </c>
      <c r="E3265" s="138">
        <v>3899.7</v>
      </c>
      <c r="F3265" s="139">
        <v>42881</v>
      </c>
      <c r="G3265" s="140">
        <v>3899.7</v>
      </c>
      <c r="H3265" s="138">
        <f t="shared" si="51"/>
        <v>0</v>
      </c>
      <c r="I3265" s="141" t="s">
        <v>15214</v>
      </c>
    </row>
    <row r="3266" spans="1:9" x14ac:dyDescent="0.25">
      <c r="A3266" s="167" t="s">
        <v>18711</v>
      </c>
      <c r="B3266" s="142" t="s">
        <v>18833</v>
      </c>
      <c r="C3266" s="143">
        <v>113315</v>
      </c>
      <c r="D3266" s="142" t="s">
        <v>15315</v>
      </c>
      <c r="E3266" s="144">
        <v>2020</v>
      </c>
      <c r="F3266" s="145">
        <v>42881</v>
      </c>
      <c r="G3266" s="146">
        <v>2020</v>
      </c>
      <c r="H3266" s="138">
        <f t="shared" si="51"/>
        <v>0</v>
      </c>
      <c r="I3266" s="147" t="s">
        <v>15214</v>
      </c>
    </row>
    <row r="3267" spans="1:9" x14ac:dyDescent="0.25">
      <c r="A3267" s="168" t="s">
        <v>18834</v>
      </c>
      <c r="B3267" s="136" t="s">
        <v>18835</v>
      </c>
      <c r="C3267" s="137">
        <v>113316</v>
      </c>
      <c r="D3267" s="136" t="s">
        <v>15213</v>
      </c>
      <c r="E3267" s="138">
        <v>9677.5</v>
      </c>
      <c r="F3267" s="139">
        <v>42881</v>
      </c>
      <c r="G3267" s="140">
        <v>9677.5</v>
      </c>
      <c r="H3267" s="138">
        <f t="shared" si="51"/>
        <v>0</v>
      </c>
      <c r="I3267" s="141" t="s">
        <v>15214</v>
      </c>
    </row>
    <row r="3268" spans="1:9" x14ac:dyDescent="0.25">
      <c r="A3268" s="167" t="s">
        <v>18834</v>
      </c>
      <c r="B3268" s="142" t="s">
        <v>18836</v>
      </c>
      <c r="C3268" s="143">
        <v>113317</v>
      </c>
      <c r="D3268" s="142" t="s">
        <v>15216</v>
      </c>
      <c r="E3268" s="144">
        <v>4923.8</v>
      </c>
      <c r="F3268" s="145">
        <v>42881</v>
      </c>
      <c r="G3268" s="146">
        <v>4923.8</v>
      </c>
      <c r="H3268" s="138">
        <f t="shared" si="51"/>
        <v>0</v>
      </c>
      <c r="I3268" s="147" t="s">
        <v>15214</v>
      </c>
    </row>
    <row r="3269" spans="1:9" ht="15.75" x14ac:dyDescent="0.25">
      <c r="A3269" s="168" t="s">
        <v>18834</v>
      </c>
      <c r="B3269" s="136" t="s">
        <v>18837</v>
      </c>
      <c r="C3269" s="137">
        <v>113318</v>
      </c>
      <c r="D3269" s="136" t="s">
        <v>15213</v>
      </c>
      <c r="E3269" s="138">
        <v>0</v>
      </c>
      <c r="F3269" s="153" t="s">
        <v>95</v>
      </c>
      <c r="G3269" s="138">
        <v>0</v>
      </c>
      <c r="H3269" s="138">
        <f t="shared" si="51"/>
        <v>0</v>
      </c>
      <c r="I3269" s="141" t="s">
        <v>95</v>
      </c>
    </row>
    <row r="3270" spans="1:9" x14ac:dyDescent="0.25">
      <c r="A3270" s="167" t="s">
        <v>18834</v>
      </c>
      <c r="B3270" s="142" t="s">
        <v>18838</v>
      </c>
      <c r="C3270" s="143">
        <v>113319</v>
      </c>
      <c r="D3270" s="142" t="s">
        <v>15213</v>
      </c>
      <c r="E3270" s="144">
        <v>53029.3</v>
      </c>
      <c r="F3270" s="145">
        <v>42882</v>
      </c>
      <c r="G3270" s="146">
        <v>53029.3</v>
      </c>
      <c r="H3270" s="138">
        <f t="shared" si="51"/>
        <v>0</v>
      </c>
      <c r="I3270" s="147" t="s">
        <v>15214</v>
      </c>
    </row>
    <row r="3271" spans="1:9" x14ac:dyDescent="0.25">
      <c r="A3271" s="168" t="s">
        <v>18834</v>
      </c>
      <c r="B3271" s="136" t="s">
        <v>18839</v>
      </c>
      <c r="C3271" s="137">
        <v>113320</v>
      </c>
      <c r="D3271" s="136" t="s">
        <v>15220</v>
      </c>
      <c r="E3271" s="138">
        <v>2884.8</v>
      </c>
      <c r="F3271" s="139">
        <v>42881</v>
      </c>
      <c r="G3271" s="140">
        <v>2884.8</v>
      </c>
      <c r="H3271" s="138">
        <f t="shared" ref="H3271:H3335" si="52">E3271-G3271</f>
        <v>0</v>
      </c>
      <c r="I3271" s="141" t="s">
        <v>15214</v>
      </c>
    </row>
    <row r="3272" spans="1:9" x14ac:dyDescent="0.25">
      <c r="A3272" s="167" t="s">
        <v>18834</v>
      </c>
      <c r="B3272" s="142" t="s">
        <v>18840</v>
      </c>
      <c r="C3272" s="143">
        <v>113321</v>
      </c>
      <c r="D3272" s="142" t="s">
        <v>15230</v>
      </c>
      <c r="E3272" s="144">
        <v>12150</v>
      </c>
      <c r="F3272" s="145">
        <v>42884</v>
      </c>
      <c r="G3272" s="146">
        <v>12150</v>
      </c>
      <c r="H3272" s="138">
        <f t="shared" si="52"/>
        <v>0</v>
      </c>
      <c r="I3272" s="147" t="s">
        <v>15214</v>
      </c>
    </row>
    <row r="3273" spans="1:9" ht="15.75" x14ac:dyDescent="0.25">
      <c r="A3273" s="168" t="s">
        <v>18834</v>
      </c>
      <c r="B3273" s="136" t="s">
        <v>18841</v>
      </c>
      <c r="C3273" s="137">
        <v>113322</v>
      </c>
      <c r="D3273" s="136" t="s">
        <v>15232</v>
      </c>
      <c r="E3273" s="138">
        <v>0</v>
      </c>
      <c r="F3273" s="153" t="s">
        <v>95</v>
      </c>
      <c r="G3273" s="138">
        <v>0</v>
      </c>
      <c r="H3273" s="138">
        <f t="shared" si="52"/>
        <v>0</v>
      </c>
      <c r="I3273" s="141" t="s">
        <v>95</v>
      </c>
    </row>
    <row r="3274" spans="1:9" x14ac:dyDescent="0.25">
      <c r="A3274" s="167" t="s">
        <v>18834</v>
      </c>
      <c r="B3274" s="142" t="s">
        <v>18842</v>
      </c>
      <c r="C3274" s="143">
        <v>113323</v>
      </c>
      <c r="D3274" s="142" t="s">
        <v>15272</v>
      </c>
      <c r="E3274" s="144">
        <v>20498.7</v>
      </c>
      <c r="F3274" s="145">
        <v>42881</v>
      </c>
      <c r="G3274" s="146">
        <v>20498.7</v>
      </c>
      <c r="H3274" s="138">
        <f t="shared" si="52"/>
        <v>0</v>
      </c>
      <c r="I3274" s="147" t="s">
        <v>15214</v>
      </c>
    </row>
    <row r="3275" spans="1:9" x14ac:dyDescent="0.25">
      <c r="A3275" s="168" t="s">
        <v>18834</v>
      </c>
      <c r="B3275" s="136" t="s">
        <v>18843</v>
      </c>
      <c r="C3275" s="137">
        <v>113324</v>
      </c>
      <c r="D3275" s="136" t="s">
        <v>15442</v>
      </c>
      <c r="E3275" s="138">
        <v>3243.8</v>
      </c>
      <c r="F3275" s="139">
        <v>42881</v>
      </c>
      <c r="G3275" s="140">
        <v>3243.8</v>
      </c>
      <c r="H3275" s="138">
        <f t="shared" si="52"/>
        <v>0</v>
      </c>
      <c r="I3275" s="141" t="s">
        <v>15214</v>
      </c>
    </row>
    <row r="3276" spans="1:9" x14ac:dyDescent="0.25">
      <c r="A3276" s="167" t="s">
        <v>18834</v>
      </c>
      <c r="B3276" s="142" t="s">
        <v>18844</v>
      </c>
      <c r="C3276" s="143">
        <v>113325</v>
      </c>
      <c r="D3276" s="142" t="s">
        <v>17950</v>
      </c>
      <c r="E3276" s="144">
        <v>1901.5</v>
      </c>
      <c r="F3276" s="145">
        <v>42881</v>
      </c>
      <c r="G3276" s="146">
        <v>1901.5</v>
      </c>
      <c r="H3276" s="138">
        <f t="shared" si="52"/>
        <v>0</v>
      </c>
      <c r="I3276" s="147" t="s">
        <v>15214</v>
      </c>
    </row>
    <row r="3277" spans="1:9" x14ac:dyDescent="0.25">
      <c r="A3277" s="168" t="s">
        <v>18834</v>
      </c>
      <c r="B3277" s="136" t="s">
        <v>18845</v>
      </c>
      <c r="C3277" s="137">
        <v>113326</v>
      </c>
      <c r="D3277" s="136" t="s">
        <v>18258</v>
      </c>
      <c r="E3277" s="138">
        <v>6724.8</v>
      </c>
      <c r="F3277" s="139">
        <v>42881</v>
      </c>
      <c r="G3277" s="140">
        <v>6724.8</v>
      </c>
      <c r="H3277" s="138">
        <f t="shared" si="52"/>
        <v>0</v>
      </c>
      <c r="I3277" s="141" t="s">
        <v>15214</v>
      </c>
    </row>
    <row r="3278" spans="1:9" x14ac:dyDescent="0.25">
      <c r="A3278" s="167" t="s">
        <v>18834</v>
      </c>
      <c r="B3278" s="142" t="s">
        <v>18846</v>
      </c>
      <c r="C3278" s="143">
        <v>113327</v>
      </c>
      <c r="D3278" s="142" t="s">
        <v>15228</v>
      </c>
      <c r="E3278" s="144">
        <v>7710.8</v>
      </c>
      <c r="F3278" s="145">
        <v>42881</v>
      </c>
      <c r="G3278" s="146">
        <v>7710.8</v>
      </c>
      <c r="H3278" s="138">
        <f t="shared" si="52"/>
        <v>0</v>
      </c>
      <c r="I3278" s="147" t="s">
        <v>15214</v>
      </c>
    </row>
    <row r="3279" spans="1:9" x14ac:dyDescent="0.25">
      <c r="A3279" s="168" t="s">
        <v>18834</v>
      </c>
      <c r="B3279" s="136" t="s">
        <v>18847</v>
      </c>
      <c r="C3279" s="137">
        <v>113328</v>
      </c>
      <c r="D3279" s="136" t="s">
        <v>15258</v>
      </c>
      <c r="E3279" s="138">
        <v>16413.2</v>
      </c>
      <c r="F3279" s="139" t="s">
        <v>18848</v>
      </c>
      <c r="G3279" s="140">
        <f>8000+8413.2</f>
        <v>16413.2</v>
      </c>
      <c r="H3279" s="138">
        <f t="shared" si="52"/>
        <v>0</v>
      </c>
      <c r="I3279" s="141" t="s">
        <v>15214</v>
      </c>
    </row>
    <row r="3280" spans="1:9" ht="15.75" x14ac:dyDescent="0.25">
      <c r="A3280" s="167" t="s">
        <v>18834</v>
      </c>
      <c r="B3280" s="142" t="s">
        <v>18849</v>
      </c>
      <c r="C3280" s="143">
        <v>113329</v>
      </c>
      <c r="D3280" s="142" t="s">
        <v>16116</v>
      </c>
      <c r="E3280" s="144">
        <v>0</v>
      </c>
      <c r="F3280" s="156" t="s">
        <v>95</v>
      </c>
      <c r="G3280" s="144">
        <v>0</v>
      </c>
      <c r="H3280" s="138">
        <f t="shared" si="52"/>
        <v>0</v>
      </c>
      <c r="I3280" s="147" t="s">
        <v>95</v>
      </c>
    </row>
    <row r="3281" spans="1:9" x14ac:dyDescent="0.25">
      <c r="A3281" s="168" t="s">
        <v>18834</v>
      </c>
      <c r="B3281" s="136" t="s">
        <v>18850</v>
      </c>
      <c r="C3281" s="137">
        <v>113330</v>
      </c>
      <c r="D3281" s="136" t="s">
        <v>17950</v>
      </c>
      <c r="E3281" s="138">
        <v>4999.6000000000004</v>
      </c>
      <c r="F3281" s="139">
        <v>42881</v>
      </c>
      <c r="G3281" s="140">
        <v>4999.6000000000004</v>
      </c>
      <c r="H3281" s="138">
        <f t="shared" si="52"/>
        <v>0</v>
      </c>
      <c r="I3281" s="141" t="s">
        <v>15214</v>
      </c>
    </row>
    <row r="3282" spans="1:9" x14ac:dyDescent="0.25">
      <c r="A3282" s="167" t="s">
        <v>18834</v>
      </c>
      <c r="B3282" s="142" t="s">
        <v>18851</v>
      </c>
      <c r="C3282" s="143">
        <v>113331</v>
      </c>
      <c r="D3282" s="142" t="s">
        <v>16116</v>
      </c>
      <c r="E3282" s="144">
        <v>25988.92</v>
      </c>
      <c r="F3282" s="145">
        <v>42881</v>
      </c>
      <c r="G3282" s="146">
        <v>25988.92</v>
      </c>
      <c r="H3282" s="138">
        <f t="shared" si="52"/>
        <v>0</v>
      </c>
      <c r="I3282" s="147" t="s">
        <v>15214</v>
      </c>
    </row>
    <row r="3283" spans="1:9" x14ac:dyDescent="0.25">
      <c r="A3283" s="168" t="s">
        <v>18834</v>
      </c>
      <c r="B3283" s="136" t="s">
        <v>18852</v>
      </c>
      <c r="C3283" s="137">
        <v>113332</v>
      </c>
      <c r="D3283" s="136" t="s">
        <v>15223</v>
      </c>
      <c r="E3283" s="138">
        <v>45513</v>
      </c>
      <c r="F3283" s="157" t="s">
        <v>19661</v>
      </c>
      <c r="G3283" s="158">
        <f>6873.96+38639.04</f>
        <v>45513</v>
      </c>
      <c r="H3283" s="138">
        <f t="shared" si="52"/>
        <v>0</v>
      </c>
      <c r="I3283" s="141" t="s">
        <v>15214</v>
      </c>
    </row>
    <row r="3284" spans="1:9" x14ac:dyDescent="0.25">
      <c r="A3284" s="167" t="s">
        <v>18834</v>
      </c>
      <c r="B3284" s="142" t="s">
        <v>18853</v>
      </c>
      <c r="C3284" s="143">
        <v>113333</v>
      </c>
      <c r="D3284" s="142" t="s">
        <v>15668</v>
      </c>
      <c r="E3284" s="144">
        <v>15473.4</v>
      </c>
      <c r="F3284" s="145">
        <v>42884</v>
      </c>
      <c r="G3284" s="146">
        <v>15473.4</v>
      </c>
      <c r="H3284" s="138">
        <f t="shared" si="52"/>
        <v>0</v>
      </c>
      <c r="I3284" s="147" t="s">
        <v>15214</v>
      </c>
    </row>
    <row r="3285" spans="1:9" x14ac:dyDescent="0.25">
      <c r="A3285" s="168" t="s">
        <v>18834</v>
      </c>
      <c r="B3285" s="136" t="s">
        <v>18854</v>
      </c>
      <c r="C3285" s="137">
        <v>113334</v>
      </c>
      <c r="D3285" s="136" t="s">
        <v>15480</v>
      </c>
      <c r="E3285" s="138">
        <v>6269.2</v>
      </c>
      <c r="F3285" s="139">
        <v>42886</v>
      </c>
      <c r="G3285" s="140">
        <v>6269.2</v>
      </c>
      <c r="H3285" s="138">
        <f t="shared" si="52"/>
        <v>0</v>
      </c>
      <c r="I3285" s="141" t="s">
        <v>15214</v>
      </c>
    </row>
    <row r="3286" spans="1:9" x14ac:dyDescent="0.25">
      <c r="A3286" s="167" t="s">
        <v>18834</v>
      </c>
      <c r="B3286" s="142" t="s">
        <v>18855</v>
      </c>
      <c r="C3286" s="143">
        <v>113335</v>
      </c>
      <c r="D3286" s="142" t="s">
        <v>15236</v>
      </c>
      <c r="E3286" s="144">
        <v>3204.2</v>
      </c>
      <c r="F3286" s="148" t="s">
        <v>19655</v>
      </c>
      <c r="G3286" s="149">
        <f>2000+1204.2</f>
        <v>3204.2</v>
      </c>
      <c r="H3286" s="138">
        <f t="shared" si="52"/>
        <v>0</v>
      </c>
      <c r="I3286" s="147" t="s">
        <v>15214</v>
      </c>
    </row>
    <row r="3287" spans="1:9" x14ac:dyDescent="0.25">
      <c r="A3287" s="168" t="s">
        <v>18834</v>
      </c>
      <c r="B3287" s="136" t="s">
        <v>18856</v>
      </c>
      <c r="C3287" s="137">
        <v>113336</v>
      </c>
      <c r="D3287" s="136" t="s">
        <v>15234</v>
      </c>
      <c r="E3287" s="138">
        <v>3226.4</v>
      </c>
      <c r="F3287" s="139" t="s">
        <v>18857</v>
      </c>
      <c r="G3287" s="140">
        <f>1226+2000.4</f>
        <v>3226.4</v>
      </c>
      <c r="H3287" s="138">
        <f t="shared" si="52"/>
        <v>0</v>
      </c>
      <c r="I3287" s="141" t="s">
        <v>15214</v>
      </c>
    </row>
    <row r="3288" spans="1:9" x14ac:dyDescent="0.25">
      <c r="A3288" s="167" t="s">
        <v>18834</v>
      </c>
      <c r="B3288" s="142" t="s">
        <v>18858</v>
      </c>
      <c r="C3288" s="143">
        <v>113337</v>
      </c>
      <c r="D3288" s="142" t="s">
        <v>15246</v>
      </c>
      <c r="E3288" s="144">
        <v>2065.8000000000002</v>
      </c>
      <c r="F3288" s="145">
        <v>42884</v>
      </c>
      <c r="G3288" s="146">
        <v>2065.8000000000002</v>
      </c>
      <c r="H3288" s="138">
        <f t="shared" si="52"/>
        <v>0</v>
      </c>
      <c r="I3288" s="147" t="s">
        <v>15214</v>
      </c>
    </row>
    <row r="3289" spans="1:9" x14ac:dyDescent="0.25">
      <c r="A3289" s="168" t="s">
        <v>18834</v>
      </c>
      <c r="B3289" s="136" t="s">
        <v>18859</v>
      </c>
      <c r="C3289" s="137">
        <v>113338</v>
      </c>
      <c r="D3289" s="136" t="s">
        <v>15487</v>
      </c>
      <c r="E3289" s="138">
        <v>9434.1</v>
      </c>
      <c r="F3289" s="139">
        <v>42881</v>
      </c>
      <c r="G3289" s="140">
        <v>9434.1</v>
      </c>
      <c r="H3289" s="138">
        <f t="shared" si="52"/>
        <v>0</v>
      </c>
      <c r="I3289" s="141" t="s">
        <v>15214</v>
      </c>
    </row>
    <row r="3290" spans="1:9" x14ac:dyDescent="0.25">
      <c r="A3290" s="167" t="s">
        <v>18834</v>
      </c>
      <c r="B3290" s="142" t="s">
        <v>18860</v>
      </c>
      <c r="C3290" s="143">
        <v>113339</v>
      </c>
      <c r="D3290" s="142" t="s">
        <v>15261</v>
      </c>
      <c r="E3290" s="144">
        <v>23056.5</v>
      </c>
      <c r="F3290" s="145">
        <v>42881</v>
      </c>
      <c r="G3290" s="146">
        <v>23056.5</v>
      </c>
      <c r="H3290" s="138">
        <f t="shared" si="52"/>
        <v>0</v>
      </c>
      <c r="I3290" s="147" t="s">
        <v>15214</v>
      </c>
    </row>
    <row r="3291" spans="1:9" x14ac:dyDescent="0.25">
      <c r="A3291" s="168" t="s">
        <v>18834</v>
      </c>
      <c r="B3291" s="136" t="s">
        <v>18861</v>
      </c>
      <c r="C3291" s="137">
        <v>113340</v>
      </c>
      <c r="D3291" s="136" t="s">
        <v>15480</v>
      </c>
      <c r="E3291" s="138">
        <v>159</v>
      </c>
      <c r="F3291" s="157">
        <v>42888</v>
      </c>
      <c r="G3291" s="158">
        <v>159</v>
      </c>
      <c r="H3291" s="138">
        <f t="shared" si="52"/>
        <v>0</v>
      </c>
      <c r="I3291" s="141" t="s">
        <v>15214</v>
      </c>
    </row>
    <row r="3292" spans="1:9" x14ac:dyDescent="0.25">
      <c r="A3292" s="167" t="s">
        <v>18834</v>
      </c>
      <c r="B3292" s="142" t="s">
        <v>18862</v>
      </c>
      <c r="C3292" s="143">
        <v>113341</v>
      </c>
      <c r="D3292" s="142" t="s">
        <v>15230</v>
      </c>
      <c r="E3292" s="144">
        <v>420</v>
      </c>
      <c r="F3292" s="145">
        <v>42884</v>
      </c>
      <c r="G3292" s="146">
        <v>420</v>
      </c>
      <c r="H3292" s="138">
        <f t="shared" si="52"/>
        <v>0</v>
      </c>
      <c r="I3292" s="147" t="s">
        <v>15214</v>
      </c>
    </row>
    <row r="3293" spans="1:9" x14ac:dyDescent="0.25">
      <c r="A3293" s="168" t="s">
        <v>18834</v>
      </c>
      <c r="B3293" s="136" t="s">
        <v>18863</v>
      </c>
      <c r="C3293" s="137">
        <v>113342</v>
      </c>
      <c r="D3293" s="136" t="s">
        <v>15284</v>
      </c>
      <c r="E3293" s="138">
        <v>2391.1999999999998</v>
      </c>
      <c r="F3293" s="139">
        <v>42881</v>
      </c>
      <c r="G3293" s="140">
        <v>2391.1999999999998</v>
      </c>
      <c r="H3293" s="138">
        <f t="shared" si="52"/>
        <v>0</v>
      </c>
      <c r="I3293" s="141" t="s">
        <v>15214</v>
      </c>
    </row>
    <row r="3294" spans="1:9" x14ac:dyDescent="0.25">
      <c r="A3294" s="167" t="s">
        <v>18834</v>
      </c>
      <c r="B3294" s="142" t="s">
        <v>18864</v>
      </c>
      <c r="C3294" s="143">
        <v>113343</v>
      </c>
      <c r="D3294" s="142" t="s">
        <v>15238</v>
      </c>
      <c r="E3294" s="144">
        <v>4573.2</v>
      </c>
      <c r="F3294" s="145">
        <v>42884</v>
      </c>
      <c r="G3294" s="146">
        <v>4573.2</v>
      </c>
      <c r="H3294" s="138">
        <f t="shared" si="52"/>
        <v>0</v>
      </c>
      <c r="I3294" s="147" t="s">
        <v>15214</v>
      </c>
    </row>
    <row r="3295" spans="1:9" x14ac:dyDescent="0.25">
      <c r="A3295" s="168" t="s">
        <v>18834</v>
      </c>
      <c r="B3295" s="136" t="s">
        <v>18865</v>
      </c>
      <c r="C3295" s="137">
        <v>113344</v>
      </c>
      <c r="D3295" s="136" t="s">
        <v>15256</v>
      </c>
      <c r="E3295" s="138">
        <v>7962.6</v>
      </c>
      <c r="F3295" s="139">
        <v>42882</v>
      </c>
      <c r="G3295" s="140">
        <v>7962.6</v>
      </c>
      <c r="H3295" s="138">
        <f t="shared" si="52"/>
        <v>0</v>
      </c>
      <c r="I3295" s="141" t="s">
        <v>15214</v>
      </c>
    </row>
    <row r="3296" spans="1:9" x14ac:dyDescent="0.25">
      <c r="A3296" s="167" t="s">
        <v>18834</v>
      </c>
      <c r="B3296" s="142" t="s">
        <v>18866</v>
      </c>
      <c r="C3296" s="143">
        <v>113345</v>
      </c>
      <c r="D3296" s="142" t="s">
        <v>15226</v>
      </c>
      <c r="E3296" s="144">
        <v>1526.4</v>
      </c>
      <c r="F3296" s="145">
        <v>42884</v>
      </c>
      <c r="G3296" s="146">
        <v>1526.4</v>
      </c>
      <c r="H3296" s="138">
        <f t="shared" si="52"/>
        <v>0</v>
      </c>
      <c r="I3296" s="147" t="s">
        <v>15214</v>
      </c>
    </row>
    <row r="3297" spans="1:9" x14ac:dyDescent="0.25">
      <c r="A3297" s="168" t="s">
        <v>18834</v>
      </c>
      <c r="B3297" s="136" t="s">
        <v>18867</v>
      </c>
      <c r="C3297" s="137">
        <v>113346</v>
      </c>
      <c r="D3297" s="136" t="s">
        <v>15240</v>
      </c>
      <c r="E3297" s="138">
        <v>3132.6</v>
      </c>
      <c r="F3297" s="139">
        <v>42882</v>
      </c>
      <c r="G3297" s="140">
        <v>3132.6</v>
      </c>
      <c r="H3297" s="138">
        <f t="shared" si="52"/>
        <v>0</v>
      </c>
      <c r="I3297" s="141" t="s">
        <v>15214</v>
      </c>
    </row>
    <row r="3298" spans="1:9" x14ac:dyDescent="0.25">
      <c r="A3298" s="167" t="s">
        <v>18834</v>
      </c>
      <c r="B3298" s="142" t="s">
        <v>18868</v>
      </c>
      <c r="C3298" s="143">
        <v>113347</v>
      </c>
      <c r="D3298" s="142" t="s">
        <v>15348</v>
      </c>
      <c r="E3298" s="144">
        <v>555.6</v>
      </c>
      <c r="F3298" s="145">
        <v>42882</v>
      </c>
      <c r="G3298" s="146">
        <v>555.6</v>
      </c>
      <c r="H3298" s="138">
        <f t="shared" si="52"/>
        <v>0</v>
      </c>
      <c r="I3298" s="147" t="s">
        <v>15214</v>
      </c>
    </row>
    <row r="3299" spans="1:9" x14ac:dyDescent="0.25">
      <c r="A3299" s="168" t="s">
        <v>18834</v>
      </c>
      <c r="B3299" s="136" t="s">
        <v>18869</v>
      </c>
      <c r="C3299" s="137">
        <v>113348</v>
      </c>
      <c r="D3299" s="136" t="s">
        <v>15252</v>
      </c>
      <c r="E3299" s="138">
        <v>2151.8000000000002</v>
      </c>
      <c r="F3299" s="139">
        <v>42886</v>
      </c>
      <c r="G3299" s="140">
        <v>2151.8000000000002</v>
      </c>
      <c r="H3299" s="138">
        <f t="shared" si="52"/>
        <v>0</v>
      </c>
      <c r="I3299" s="141" t="s">
        <v>15214</v>
      </c>
    </row>
    <row r="3300" spans="1:9" x14ac:dyDescent="0.25">
      <c r="A3300" s="167" t="s">
        <v>18834</v>
      </c>
      <c r="B3300" s="142" t="s">
        <v>18870</v>
      </c>
      <c r="C3300" s="143">
        <v>113349</v>
      </c>
      <c r="D3300" s="142" t="s">
        <v>15244</v>
      </c>
      <c r="E3300" s="144">
        <v>15662.1</v>
      </c>
      <c r="F3300" s="145">
        <v>42886</v>
      </c>
      <c r="G3300" s="146">
        <v>15662.1</v>
      </c>
      <c r="H3300" s="138">
        <f t="shared" si="52"/>
        <v>0</v>
      </c>
      <c r="I3300" s="147" t="s">
        <v>15214</v>
      </c>
    </row>
    <row r="3301" spans="1:9" x14ac:dyDescent="0.25">
      <c r="A3301" s="168" t="s">
        <v>18834</v>
      </c>
      <c r="B3301" s="136" t="s">
        <v>18871</v>
      </c>
      <c r="C3301" s="137">
        <v>113350</v>
      </c>
      <c r="D3301" s="136" t="s">
        <v>15242</v>
      </c>
      <c r="E3301" s="138">
        <v>10152</v>
      </c>
      <c r="F3301" s="139">
        <v>42881</v>
      </c>
      <c r="G3301" s="140">
        <v>10152</v>
      </c>
      <c r="H3301" s="138">
        <f t="shared" si="52"/>
        <v>0</v>
      </c>
      <c r="I3301" s="141" t="s">
        <v>15214</v>
      </c>
    </row>
    <row r="3302" spans="1:9" x14ac:dyDescent="0.25">
      <c r="A3302" s="167" t="s">
        <v>18834</v>
      </c>
      <c r="B3302" s="142" t="s">
        <v>18872</v>
      </c>
      <c r="C3302" s="143">
        <v>113351</v>
      </c>
      <c r="D3302" s="142" t="s">
        <v>15315</v>
      </c>
      <c r="E3302" s="144">
        <v>2216.8000000000002</v>
      </c>
      <c r="F3302" s="145">
        <v>42882</v>
      </c>
      <c r="G3302" s="146">
        <v>2216.8000000000002</v>
      </c>
      <c r="H3302" s="138">
        <f t="shared" si="52"/>
        <v>0</v>
      </c>
      <c r="I3302" s="147" t="s">
        <v>15214</v>
      </c>
    </row>
    <row r="3303" spans="1:9" x14ac:dyDescent="0.25">
      <c r="A3303" s="168" t="s">
        <v>18834</v>
      </c>
      <c r="B3303" s="136" t="s">
        <v>18873</v>
      </c>
      <c r="C3303" s="137">
        <v>113352</v>
      </c>
      <c r="D3303" s="136" t="s">
        <v>18258</v>
      </c>
      <c r="E3303" s="138">
        <v>11959.2</v>
      </c>
      <c r="F3303" s="139">
        <v>42881</v>
      </c>
      <c r="G3303" s="140">
        <v>11959.2</v>
      </c>
      <c r="H3303" s="138">
        <f t="shared" si="52"/>
        <v>0</v>
      </c>
      <c r="I3303" s="141" t="s">
        <v>15214</v>
      </c>
    </row>
    <row r="3304" spans="1:9" x14ac:dyDescent="0.25">
      <c r="A3304" s="167" t="s">
        <v>18834</v>
      </c>
      <c r="B3304" s="142" t="s">
        <v>18874</v>
      </c>
      <c r="C3304" s="143">
        <v>113353</v>
      </c>
      <c r="D3304" s="142" t="s">
        <v>16463</v>
      </c>
      <c r="E3304" s="144">
        <v>12096</v>
      </c>
      <c r="F3304" s="145">
        <v>42881</v>
      </c>
      <c r="G3304" s="146">
        <v>12096</v>
      </c>
      <c r="H3304" s="138">
        <f t="shared" si="52"/>
        <v>0</v>
      </c>
      <c r="I3304" s="147" t="s">
        <v>15214</v>
      </c>
    </row>
    <row r="3305" spans="1:9" x14ac:dyDescent="0.25">
      <c r="A3305" s="168" t="s">
        <v>18834</v>
      </c>
      <c r="B3305" s="136" t="s">
        <v>18875</v>
      </c>
      <c r="C3305" s="137">
        <v>113354</v>
      </c>
      <c r="D3305" s="136" t="s">
        <v>15751</v>
      </c>
      <c r="E3305" s="138">
        <v>2846.4</v>
      </c>
      <c r="F3305" s="139">
        <v>42881</v>
      </c>
      <c r="G3305" s="140">
        <v>2846.4</v>
      </c>
      <c r="H3305" s="138">
        <f t="shared" si="52"/>
        <v>0</v>
      </c>
      <c r="I3305" s="141" t="s">
        <v>15214</v>
      </c>
    </row>
    <row r="3306" spans="1:9" x14ac:dyDescent="0.25">
      <c r="A3306" s="167" t="s">
        <v>18834</v>
      </c>
      <c r="B3306" s="142" t="s">
        <v>18876</v>
      </c>
      <c r="C3306" s="143">
        <v>113355</v>
      </c>
      <c r="D3306" s="142" t="s">
        <v>15282</v>
      </c>
      <c r="E3306" s="144">
        <v>3725.5</v>
      </c>
      <c r="F3306" s="145">
        <v>42881</v>
      </c>
      <c r="G3306" s="146">
        <v>3725.5</v>
      </c>
      <c r="H3306" s="138">
        <f t="shared" si="52"/>
        <v>0</v>
      </c>
      <c r="I3306" s="147" t="s">
        <v>15214</v>
      </c>
    </row>
    <row r="3307" spans="1:9" x14ac:dyDescent="0.25">
      <c r="A3307" s="168" t="s">
        <v>18834</v>
      </c>
      <c r="B3307" s="136" t="s">
        <v>18877</v>
      </c>
      <c r="C3307" s="137">
        <v>113356</v>
      </c>
      <c r="D3307" s="136" t="s">
        <v>15315</v>
      </c>
      <c r="E3307" s="138">
        <v>34448.949999999997</v>
      </c>
      <c r="F3307" s="139">
        <v>42886</v>
      </c>
      <c r="G3307" s="140">
        <v>34448.949999999997</v>
      </c>
      <c r="H3307" s="138">
        <f t="shared" si="52"/>
        <v>0</v>
      </c>
      <c r="I3307" s="141" t="s">
        <v>15214</v>
      </c>
    </row>
    <row r="3308" spans="1:9" x14ac:dyDescent="0.25">
      <c r="A3308" s="167" t="s">
        <v>18834</v>
      </c>
      <c r="B3308" s="142" t="s">
        <v>18878</v>
      </c>
      <c r="C3308" s="143">
        <v>113357</v>
      </c>
      <c r="D3308" s="142" t="s">
        <v>15263</v>
      </c>
      <c r="E3308" s="144">
        <v>2373.5</v>
      </c>
      <c r="F3308" s="145">
        <v>42881</v>
      </c>
      <c r="G3308" s="146">
        <v>2373.5</v>
      </c>
      <c r="H3308" s="138">
        <f t="shared" si="52"/>
        <v>0</v>
      </c>
      <c r="I3308" s="147" t="s">
        <v>15214</v>
      </c>
    </row>
    <row r="3309" spans="1:9" x14ac:dyDescent="0.25">
      <c r="A3309" s="168" t="s">
        <v>18834</v>
      </c>
      <c r="B3309" s="136" t="s">
        <v>18879</v>
      </c>
      <c r="C3309" s="137">
        <v>113358</v>
      </c>
      <c r="D3309" s="136" t="s">
        <v>15278</v>
      </c>
      <c r="E3309" s="138">
        <v>7370.8</v>
      </c>
      <c r="F3309" s="139">
        <v>42881</v>
      </c>
      <c r="G3309" s="140">
        <v>7370.8</v>
      </c>
      <c r="H3309" s="138">
        <f t="shared" si="52"/>
        <v>0</v>
      </c>
      <c r="I3309" s="141" t="s">
        <v>15214</v>
      </c>
    </row>
    <row r="3310" spans="1:9" x14ac:dyDescent="0.25">
      <c r="A3310" s="167" t="s">
        <v>18834</v>
      </c>
      <c r="B3310" s="142" t="s">
        <v>18880</v>
      </c>
      <c r="C3310" s="143">
        <v>113359</v>
      </c>
      <c r="D3310" s="142" t="s">
        <v>15555</v>
      </c>
      <c r="E3310" s="144">
        <v>2803.2</v>
      </c>
      <c r="F3310" s="148">
        <v>42888</v>
      </c>
      <c r="G3310" s="149">
        <v>2803.2</v>
      </c>
      <c r="H3310" s="138">
        <f t="shared" si="52"/>
        <v>0</v>
      </c>
      <c r="I3310" s="147" t="s">
        <v>15214</v>
      </c>
    </row>
    <row r="3311" spans="1:9" x14ac:dyDescent="0.25">
      <c r="A3311" s="168" t="s">
        <v>18834</v>
      </c>
      <c r="B3311" s="136" t="s">
        <v>18881</v>
      </c>
      <c r="C3311" s="137">
        <v>113360</v>
      </c>
      <c r="D3311" s="136" t="s">
        <v>15289</v>
      </c>
      <c r="E3311" s="138">
        <v>680.4</v>
      </c>
      <c r="F3311" s="139">
        <v>42881</v>
      </c>
      <c r="G3311" s="140">
        <v>680.4</v>
      </c>
      <c r="H3311" s="138">
        <f t="shared" si="52"/>
        <v>0</v>
      </c>
      <c r="I3311" s="141" t="s">
        <v>15214</v>
      </c>
    </row>
    <row r="3312" spans="1:9" x14ac:dyDescent="0.25">
      <c r="A3312" s="167" t="s">
        <v>18834</v>
      </c>
      <c r="B3312" s="142" t="s">
        <v>18882</v>
      </c>
      <c r="C3312" s="143">
        <v>113361</v>
      </c>
      <c r="D3312" s="142" t="s">
        <v>15280</v>
      </c>
      <c r="E3312" s="144">
        <v>6276.4</v>
      </c>
      <c r="F3312" s="145">
        <v>42881</v>
      </c>
      <c r="G3312" s="146">
        <v>6276.4</v>
      </c>
      <c r="H3312" s="138">
        <f t="shared" si="52"/>
        <v>0</v>
      </c>
      <c r="I3312" s="147" t="s">
        <v>15214</v>
      </c>
    </row>
    <row r="3313" spans="1:9" x14ac:dyDescent="0.25">
      <c r="A3313" s="168" t="s">
        <v>18834</v>
      </c>
      <c r="B3313" s="136" t="s">
        <v>18883</v>
      </c>
      <c r="C3313" s="137">
        <v>113362</v>
      </c>
      <c r="D3313" s="136" t="s">
        <v>15398</v>
      </c>
      <c r="E3313" s="138">
        <v>13380.1</v>
      </c>
      <c r="F3313" s="157">
        <v>42889</v>
      </c>
      <c r="G3313" s="158">
        <v>13380.1</v>
      </c>
      <c r="H3313" s="138">
        <f t="shared" si="52"/>
        <v>0</v>
      </c>
      <c r="I3313" s="141" t="s">
        <v>15214</v>
      </c>
    </row>
    <row r="3314" spans="1:9" x14ac:dyDescent="0.25">
      <c r="A3314" s="167" t="s">
        <v>18834</v>
      </c>
      <c r="B3314" s="142" t="s">
        <v>18884</v>
      </c>
      <c r="C3314" s="143">
        <v>113363</v>
      </c>
      <c r="D3314" s="142" t="s">
        <v>15833</v>
      </c>
      <c r="E3314" s="144">
        <v>15917.4</v>
      </c>
      <c r="F3314" s="145">
        <v>42886</v>
      </c>
      <c r="G3314" s="146">
        <v>15917.4</v>
      </c>
      <c r="H3314" s="138">
        <f t="shared" si="52"/>
        <v>0</v>
      </c>
      <c r="I3314" s="147" t="s">
        <v>15214</v>
      </c>
    </row>
    <row r="3315" spans="1:9" x14ac:dyDescent="0.25">
      <c r="A3315" s="168" t="s">
        <v>18834</v>
      </c>
      <c r="B3315" s="136" t="s">
        <v>18885</v>
      </c>
      <c r="C3315" s="137">
        <v>113364</v>
      </c>
      <c r="D3315" s="136" t="s">
        <v>15544</v>
      </c>
      <c r="E3315" s="138">
        <v>2978.5</v>
      </c>
      <c r="F3315" s="157">
        <v>42895</v>
      </c>
      <c r="G3315" s="158">
        <v>2978.5</v>
      </c>
      <c r="H3315" s="138">
        <f t="shared" si="52"/>
        <v>0</v>
      </c>
      <c r="I3315" s="141" t="s">
        <v>15214</v>
      </c>
    </row>
    <row r="3316" spans="1:9" x14ac:dyDescent="0.25">
      <c r="A3316" s="167" t="s">
        <v>18834</v>
      </c>
      <c r="B3316" s="142" t="s">
        <v>18886</v>
      </c>
      <c r="C3316" s="143">
        <v>113365</v>
      </c>
      <c r="D3316" s="142" t="s">
        <v>15291</v>
      </c>
      <c r="E3316" s="144">
        <v>960</v>
      </c>
      <c r="F3316" s="145">
        <v>42881</v>
      </c>
      <c r="G3316" s="146">
        <v>960</v>
      </c>
      <c r="H3316" s="138">
        <f t="shared" si="52"/>
        <v>0</v>
      </c>
      <c r="I3316" s="147" t="s">
        <v>15214</v>
      </c>
    </row>
    <row r="3317" spans="1:9" x14ac:dyDescent="0.25">
      <c r="A3317" s="168" t="s">
        <v>18834</v>
      </c>
      <c r="B3317" s="136" t="s">
        <v>18887</v>
      </c>
      <c r="C3317" s="137">
        <v>113366</v>
      </c>
      <c r="D3317" s="136" t="s">
        <v>15307</v>
      </c>
      <c r="E3317" s="138">
        <v>5870.5</v>
      </c>
      <c r="F3317" s="139">
        <v>42881</v>
      </c>
      <c r="G3317" s="140">
        <v>5870.5</v>
      </c>
      <c r="H3317" s="138">
        <f t="shared" si="52"/>
        <v>0</v>
      </c>
      <c r="I3317" s="141" t="s">
        <v>15214</v>
      </c>
    </row>
    <row r="3318" spans="1:9" x14ac:dyDescent="0.25">
      <c r="A3318" s="167" t="s">
        <v>18834</v>
      </c>
      <c r="B3318" s="142" t="s">
        <v>18888</v>
      </c>
      <c r="C3318" s="143">
        <v>113367</v>
      </c>
      <c r="D3318" s="142" t="s">
        <v>16249</v>
      </c>
      <c r="E3318" s="144">
        <v>1684.6</v>
      </c>
      <c r="F3318" s="145">
        <v>42881</v>
      </c>
      <c r="G3318" s="146">
        <v>1684.6</v>
      </c>
      <c r="H3318" s="138">
        <f t="shared" si="52"/>
        <v>0</v>
      </c>
      <c r="I3318" s="147" t="s">
        <v>15214</v>
      </c>
    </row>
    <row r="3319" spans="1:9" x14ac:dyDescent="0.25">
      <c r="A3319" s="168" t="s">
        <v>18834</v>
      </c>
      <c r="B3319" s="136" t="s">
        <v>18889</v>
      </c>
      <c r="C3319" s="137">
        <v>113368</v>
      </c>
      <c r="D3319" s="136" t="s">
        <v>18890</v>
      </c>
      <c r="E3319" s="138">
        <v>3355.8</v>
      </c>
      <c r="F3319" s="139">
        <v>42885</v>
      </c>
      <c r="G3319" s="140">
        <v>3355.8</v>
      </c>
      <c r="H3319" s="138">
        <f t="shared" si="52"/>
        <v>0</v>
      </c>
      <c r="I3319" s="141" t="s">
        <v>15214</v>
      </c>
    </row>
    <row r="3320" spans="1:9" x14ac:dyDescent="0.25">
      <c r="A3320" s="167" t="s">
        <v>18834</v>
      </c>
      <c r="B3320" s="142" t="s">
        <v>18891</v>
      </c>
      <c r="C3320" s="143">
        <v>113369</v>
      </c>
      <c r="D3320" s="142" t="s">
        <v>15706</v>
      </c>
      <c r="E3320" s="144">
        <v>897</v>
      </c>
      <c r="F3320" s="145">
        <v>42881</v>
      </c>
      <c r="G3320" s="146">
        <v>897</v>
      </c>
      <c r="H3320" s="138">
        <f t="shared" si="52"/>
        <v>0</v>
      </c>
      <c r="I3320" s="147" t="s">
        <v>15214</v>
      </c>
    </row>
    <row r="3321" spans="1:9" x14ac:dyDescent="0.25">
      <c r="A3321" s="168" t="s">
        <v>18834</v>
      </c>
      <c r="B3321" s="136" t="s">
        <v>18892</v>
      </c>
      <c r="C3321" s="137">
        <v>113370</v>
      </c>
      <c r="D3321" s="136" t="s">
        <v>15371</v>
      </c>
      <c r="E3321" s="138">
        <v>2318.1999999999998</v>
      </c>
      <c r="F3321" s="139">
        <v>42882</v>
      </c>
      <c r="G3321" s="140">
        <v>2318.1999999999998</v>
      </c>
      <c r="H3321" s="138">
        <f t="shared" si="52"/>
        <v>0</v>
      </c>
      <c r="I3321" s="141" t="s">
        <v>15214</v>
      </c>
    </row>
    <row r="3322" spans="1:9" x14ac:dyDescent="0.25">
      <c r="A3322" s="167" t="s">
        <v>18834</v>
      </c>
      <c r="B3322" s="142" t="s">
        <v>18893</v>
      </c>
      <c r="C3322" s="143">
        <v>113371</v>
      </c>
      <c r="D3322" s="142" t="s">
        <v>15632</v>
      </c>
      <c r="E3322" s="144">
        <v>2331.6</v>
      </c>
      <c r="F3322" s="145">
        <v>42881</v>
      </c>
      <c r="G3322" s="146">
        <v>2331.6</v>
      </c>
      <c r="H3322" s="138">
        <f t="shared" si="52"/>
        <v>0</v>
      </c>
      <c r="I3322" s="147" t="s">
        <v>15214</v>
      </c>
    </row>
    <row r="3323" spans="1:9" x14ac:dyDescent="0.25">
      <c r="A3323" s="168" t="s">
        <v>18834</v>
      </c>
      <c r="B3323" s="136" t="s">
        <v>18894</v>
      </c>
      <c r="C3323" s="137">
        <v>113372</v>
      </c>
      <c r="D3323" s="136" t="s">
        <v>15311</v>
      </c>
      <c r="E3323" s="138">
        <v>1655.4</v>
      </c>
      <c r="F3323" s="139">
        <v>42881</v>
      </c>
      <c r="G3323" s="140">
        <v>1655.4</v>
      </c>
      <c r="H3323" s="138">
        <f t="shared" si="52"/>
        <v>0</v>
      </c>
      <c r="I3323" s="141" t="s">
        <v>15214</v>
      </c>
    </row>
    <row r="3324" spans="1:9" x14ac:dyDescent="0.25">
      <c r="A3324" s="167" t="s">
        <v>18834</v>
      </c>
      <c r="B3324" s="142" t="s">
        <v>18895</v>
      </c>
      <c r="C3324" s="143">
        <v>113373</v>
      </c>
      <c r="D3324" s="142" t="s">
        <v>15309</v>
      </c>
      <c r="E3324" s="144">
        <v>12665.4</v>
      </c>
      <c r="F3324" s="145">
        <v>42882</v>
      </c>
      <c r="G3324" s="146">
        <v>12665.4</v>
      </c>
      <c r="H3324" s="138">
        <f t="shared" si="52"/>
        <v>0</v>
      </c>
      <c r="I3324" s="147" t="s">
        <v>15214</v>
      </c>
    </row>
    <row r="3325" spans="1:9" x14ac:dyDescent="0.25">
      <c r="A3325" s="168" t="s">
        <v>18834</v>
      </c>
      <c r="B3325" s="136" t="s">
        <v>18896</v>
      </c>
      <c r="C3325" s="137">
        <v>113374</v>
      </c>
      <c r="D3325" s="136" t="s">
        <v>16126</v>
      </c>
      <c r="E3325" s="138">
        <v>5897.9</v>
      </c>
      <c r="F3325" s="139">
        <v>42881</v>
      </c>
      <c r="G3325" s="140">
        <v>5897.9</v>
      </c>
      <c r="H3325" s="138">
        <f t="shared" si="52"/>
        <v>0</v>
      </c>
      <c r="I3325" s="141" t="s">
        <v>15214</v>
      </c>
    </row>
    <row r="3326" spans="1:9" x14ac:dyDescent="0.25">
      <c r="A3326" s="167" t="s">
        <v>18834</v>
      </c>
      <c r="B3326" s="142" t="s">
        <v>18897</v>
      </c>
      <c r="C3326" s="143">
        <v>113375</v>
      </c>
      <c r="D3326" s="142" t="s">
        <v>15301</v>
      </c>
      <c r="E3326" s="144">
        <v>3427</v>
      </c>
      <c r="F3326" s="145">
        <v>42881</v>
      </c>
      <c r="G3326" s="146">
        <v>3427</v>
      </c>
      <c r="H3326" s="138">
        <f t="shared" si="52"/>
        <v>0</v>
      </c>
      <c r="I3326" s="147" t="s">
        <v>15214</v>
      </c>
    </row>
    <row r="3327" spans="1:9" ht="15.75" x14ac:dyDescent="0.25">
      <c r="A3327" s="168" t="s">
        <v>18834</v>
      </c>
      <c r="B3327" s="136" t="s">
        <v>18898</v>
      </c>
      <c r="C3327" s="137">
        <v>113376</v>
      </c>
      <c r="D3327" s="136" t="s">
        <v>15415</v>
      </c>
      <c r="E3327" s="138">
        <v>0</v>
      </c>
      <c r="F3327" s="153" t="s">
        <v>95</v>
      </c>
      <c r="G3327" s="138">
        <v>0</v>
      </c>
      <c r="H3327" s="138">
        <f t="shared" si="52"/>
        <v>0</v>
      </c>
      <c r="I3327" s="141" t="s">
        <v>95</v>
      </c>
    </row>
    <row r="3328" spans="1:9" x14ac:dyDescent="0.25">
      <c r="A3328" s="167" t="s">
        <v>18834</v>
      </c>
      <c r="B3328" s="142" t="s">
        <v>18899</v>
      </c>
      <c r="C3328" s="143">
        <v>113377</v>
      </c>
      <c r="D3328" s="142" t="s">
        <v>15315</v>
      </c>
      <c r="E3328" s="144">
        <v>135</v>
      </c>
      <c r="F3328" s="145">
        <v>42882</v>
      </c>
      <c r="G3328" s="146">
        <v>135</v>
      </c>
      <c r="H3328" s="138">
        <f t="shared" si="52"/>
        <v>0</v>
      </c>
      <c r="I3328" s="147" t="s">
        <v>15214</v>
      </c>
    </row>
    <row r="3329" spans="1:9" x14ac:dyDescent="0.25">
      <c r="A3329" s="168" t="s">
        <v>18834</v>
      </c>
      <c r="B3329" s="136" t="s">
        <v>18900</v>
      </c>
      <c r="C3329" s="137">
        <v>113378</v>
      </c>
      <c r="D3329" s="136" t="s">
        <v>15553</v>
      </c>
      <c r="E3329" s="138">
        <v>32640.3</v>
      </c>
      <c r="F3329" s="139">
        <v>42881</v>
      </c>
      <c r="G3329" s="140">
        <v>32640.3</v>
      </c>
      <c r="H3329" s="138">
        <f t="shared" si="52"/>
        <v>0</v>
      </c>
      <c r="I3329" s="141" t="s">
        <v>15214</v>
      </c>
    </row>
    <row r="3330" spans="1:9" x14ac:dyDescent="0.25">
      <c r="A3330" s="167" t="s">
        <v>18834</v>
      </c>
      <c r="B3330" s="142" t="s">
        <v>18901</v>
      </c>
      <c r="C3330" s="143">
        <v>113379</v>
      </c>
      <c r="D3330" s="142" t="s">
        <v>16064</v>
      </c>
      <c r="E3330" s="144">
        <v>5698.4</v>
      </c>
      <c r="F3330" s="145">
        <v>42881</v>
      </c>
      <c r="G3330" s="146">
        <v>5698.4</v>
      </c>
      <c r="H3330" s="138">
        <f t="shared" si="52"/>
        <v>0</v>
      </c>
      <c r="I3330" s="147" t="s">
        <v>15214</v>
      </c>
    </row>
    <row r="3331" spans="1:9" x14ac:dyDescent="0.25">
      <c r="A3331" s="168" t="s">
        <v>18834</v>
      </c>
      <c r="B3331" s="136" t="s">
        <v>18902</v>
      </c>
      <c r="C3331" s="137">
        <v>113380</v>
      </c>
      <c r="D3331" s="136" t="s">
        <v>15559</v>
      </c>
      <c r="E3331" s="138">
        <v>20309.8</v>
      </c>
      <c r="F3331" s="139">
        <v>42886</v>
      </c>
      <c r="G3331" s="140">
        <v>20309.8</v>
      </c>
      <c r="H3331" s="138">
        <f t="shared" si="52"/>
        <v>0</v>
      </c>
      <c r="I3331" s="141" t="s">
        <v>15214</v>
      </c>
    </row>
    <row r="3332" spans="1:9" x14ac:dyDescent="0.25">
      <c r="A3332" s="167" t="s">
        <v>18834</v>
      </c>
      <c r="B3332" s="142" t="s">
        <v>18903</v>
      </c>
      <c r="C3332" s="143">
        <v>113381</v>
      </c>
      <c r="D3332" s="142" t="s">
        <v>17708</v>
      </c>
      <c r="E3332" s="144">
        <v>2204.12</v>
      </c>
      <c r="F3332" s="145">
        <v>42886</v>
      </c>
      <c r="G3332" s="146">
        <v>2204.12</v>
      </c>
      <c r="H3332" s="138">
        <f t="shared" si="52"/>
        <v>0</v>
      </c>
      <c r="I3332" s="147" t="s">
        <v>15214</v>
      </c>
    </row>
    <row r="3333" spans="1:9" x14ac:dyDescent="0.25">
      <c r="A3333" s="168" t="s">
        <v>18834</v>
      </c>
      <c r="B3333" s="136" t="s">
        <v>18904</v>
      </c>
      <c r="C3333" s="137">
        <v>113382</v>
      </c>
      <c r="D3333" s="136" t="s">
        <v>15537</v>
      </c>
      <c r="E3333" s="138">
        <v>22636.9</v>
      </c>
      <c r="F3333" s="139">
        <v>42886</v>
      </c>
      <c r="G3333" s="140">
        <v>22636.9</v>
      </c>
      <c r="H3333" s="138">
        <f t="shared" si="52"/>
        <v>0</v>
      </c>
      <c r="I3333" s="141" t="s">
        <v>15214</v>
      </c>
    </row>
    <row r="3334" spans="1:9" x14ac:dyDescent="0.25">
      <c r="A3334" s="167" t="s">
        <v>18834</v>
      </c>
      <c r="B3334" s="142" t="s">
        <v>18905</v>
      </c>
      <c r="C3334" s="143">
        <v>113383</v>
      </c>
      <c r="D3334" s="142" t="s">
        <v>15699</v>
      </c>
      <c r="E3334" s="144">
        <v>8718.1</v>
      </c>
      <c r="F3334" s="148">
        <v>42895</v>
      </c>
      <c r="G3334" s="149">
        <v>8718.1</v>
      </c>
      <c r="H3334" s="138">
        <f t="shared" si="52"/>
        <v>0</v>
      </c>
      <c r="I3334" s="147" t="s">
        <v>15214</v>
      </c>
    </row>
    <row r="3335" spans="1:9" x14ac:dyDescent="0.25">
      <c r="A3335" s="168" t="s">
        <v>18834</v>
      </c>
      <c r="B3335" s="136" t="s">
        <v>18906</v>
      </c>
      <c r="C3335" s="137">
        <v>113384</v>
      </c>
      <c r="D3335" s="136" t="s">
        <v>15557</v>
      </c>
      <c r="E3335" s="138">
        <v>22866.7</v>
      </c>
      <c r="F3335" s="157" t="s">
        <v>19662</v>
      </c>
      <c r="G3335" s="158">
        <f>20000+2866.7</f>
        <v>22866.7</v>
      </c>
      <c r="H3335" s="138">
        <f t="shared" si="52"/>
        <v>0</v>
      </c>
      <c r="I3335" s="141" t="s">
        <v>15214</v>
      </c>
    </row>
    <row r="3336" spans="1:9" x14ac:dyDescent="0.25">
      <c r="A3336" s="167" t="s">
        <v>18834</v>
      </c>
      <c r="B3336" s="142" t="s">
        <v>18907</v>
      </c>
      <c r="C3336" s="143">
        <v>113385</v>
      </c>
      <c r="D3336" s="142" t="s">
        <v>15725</v>
      </c>
      <c r="E3336" s="144">
        <v>20219.2</v>
      </c>
      <c r="F3336" s="145">
        <v>42884</v>
      </c>
      <c r="G3336" s="146">
        <v>20219.2</v>
      </c>
      <c r="H3336" s="138">
        <f t="shared" ref="H3336" si="53">E3336-G3336</f>
        <v>0</v>
      </c>
      <c r="I3336" s="147" t="s">
        <v>15214</v>
      </c>
    </row>
    <row r="3337" spans="1:9" x14ac:dyDescent="0.25">
      <c r="A3337" s="168" t="s">
        <v>18834</v>
      </c>
      <c r="B3337" s="136" t="s">
        <v>18908</v>
      </c>
      <c r="C3337" s="137">
        <v>113386</v>
      </c>
      <c r="D3337" s="136" t="s">
        <v>15912</v>
      </c>
      <c r="E3337" s="138">
        <v>3442</v>
      </c>
      <c r="F3337" s="139">
        <v>42881</v>
      </c>
      <c r="G3337" s="140">
        <v>3442</v>
      </c>
      <c r="H3337" s="138">
        <f t="shared" ref="H3337:H3398" si="54">E3337-G3337</f>
        <v>0</v>
      </c>
      <c r="I3337" s="141" t="s">
        <v>15214</v>
      </c>
    </row>
    <row r="3338" spans="1:9" x14ac:dyDescent="0.25">
      <c r="A3338" s="167" t="s">
        <v>18834</v>
      </c>
      <c r="B3338" s="142" t="s">
        <v>18909</v>
      </c>
      <c r="C3338" s="143">
        <v>113387</v>
      </c>
      <c r="D3338" s="142" t="s">
        <v>15340</v>
      </c>
      <c r="E3338" s="144">
        <v>2606.4</v>
      </c>
      <c r="F3338" s="145">
        <v>42881</v>
      </c>
      <c r="G3338" s="146">
        <v>2606.4</v>
      </c>
      <c r="H3338" s="138">
        <f t="shared" si="54"/>
        <v>0</v>
      </c>
      <c r="I3338" s="147" t="s">
        <v>15214</v>
      </c>
    </row>
    <row r="3339" spans="1:9" x14ac:dyDescent="0.25">
      <c r="A3339" s="168" t="s">
        <v>18834</v>
      </c>
      <c r="B3339" s="136" t="s">
        <v>18910</v>
      </c>
      <c r="C3339" s="137">
        <v>113388</v>
      </c>
      <c r="D3339" s="136" t="s">
        <v>15748</v>
      </c>
      <c r="E3339" s="138">
        <v>1195.5999999999999</v>
      </c>
      <c r="F3339" s="139">
        <v>42881</v>
      </c>
      <c r="G3339" s="140">
        <v>1195.5999999999999</v>
      </c>
      <c r="H3339" s="138">
        <f t="shared" si="54"/>
        <v>0</v>
      </c>
      <c r="I3339" s="141" t="s">
        <v>15214</v>
      </c>
    </row>
    <row r="3340" spans="1:9" x14ac:dyDescent="0.25">
      <c r="A3340" s="167" t="s">
        <v>18834</v>
      </c>
      <c r="B3340" s="142" t="s">
        <v>18911</v>
      </c>
      <c r="C3340" s="143">
        <v>113389</v>
      </c>
      <c r="D3340" s="142" t="s">
        <v>16108</v>
      </c>
      <c r="E3340" s="144">
        <v>254.8</v>
      </c>
      <c r="F3340" s="145">
        <v>42881</v>
      </c>
      <c r="G3340" s="146">
        <v>254.8</v>
      </c>
      <c r="H3340" s="138">
        <f t="shared" si="54"/>
        <v>0</v>
      </c>
      <c r="I3340" s="147" t="s">
        <v>15214</v>
      </c>
    </row>
    <row r="3341" spans="1:9" x14ac:dyDescent="0.25">
      <c r="A3341" s="168" t="s">
        <v>18834</v>
      </c>
      <c r="B3341" s="136" t="s">
        <v>18912</v>
      </c>
      <c r="C3341" s="137">
        <v>113390</v>
      </c>
      <c r="D3341" s="136" t="s">
        <v>15315</v>
      </c>
      <c r="E3341" s="138">
        <v>3147.9</v>
      </c>
      <c r="F3341" s="139">
        <v>42886</v>
      </c>
      <c r="G3341" s="140">
        <v>3147.9</v>
      </c>
      <c r="H3341" s="138">
        <f t="shared" si="54"/>
        <v>0</v>
      </c>
      <c r="I3341" s="141" t="s">
        <v>15214</v>
      </c>
    </row>
    <row r="3342" spans="1:9" x14ac:dyDescent="0.25">
      <c r="A3342" s="167" t="s">
        <v>18834</v>
      </c>
      <c r="B3342" s="142" t="s">
        <v>18913</v>
      </c>
      <c r="C3342" s="143">
        <v>113391</v>
      </c>
      <c r="D3342" s="142" t="s">
        <v>16139</v>
      </c>
      <c r="E3342" s="144">
        <v>738</v>
      </c>
      <c r="F3342" s="145">
        <v>42886</v>
      </c>
      <c r="G3342" s="146">
        <v>738</v>
      </c>
      <c r="H3342" s="138">
        <f t="shared" si="54"/>
        <v>0</v>
      </c>
      <c r="I3342" s="147" t="s">
        <v>15214</v>
      </c>
    </row>
    <row r="3343" spans="1:9" x14ac:dyDescent="0.25">
      <c r="A3343" s="168" t="s">
        <v>18834</v>
      </c>
      <c r="B3343" s="136" t="s">
        <v>18914</v>
      </c>
      <c r="C3343" s="137">
        <v>113392</v>
      </c>
      <c r="D3343" s="136" t="s">
        <v>17210</v>
      </c>
      <c r="E3343" s="138">
        <v>5438.5</v>
      </c>
      <c r="F3343" s="139">
        <v>42881</v>
      </c>
      <c r="G3343" s="140">
        <v>5438.5</v>
      </c>
      <c r="H3343" s="138">
        <f t="shared" si="54"/>
        <v>0</v>
      </c>
      <c r="I3343" s="141" t="s">
        <v>15214</v>
      </c>
    </row>
    <row r="3344" spans="1:9" x14ac:dyDescent="0.25">
      <c r="A3344" s="167" t="s">
        <v>18834</v>
      </c>
      <c r="B3344" s="142" t="s">
        <v>18915</v>
      </c>
      <c r="C3344" s="143">
        <v>113393</v>
      </c>
      <c r="D3344" s="142" t="s">
        <v>15590</v>
      </c>
      <c r="E3344" s="144">
        <v>29806.2</v>
      </c>
      <c r="F3344" s="148">
        <v>42895</v>
      </c>
      <c r="G3344" s="149">
        <v>29806.2</v>
      </c>
      <c r="H3344" s="138">
        <f t="shared" si="54"/>
        <v>0</v>
      </c>
      <c r="I3344" s="147" t="s">
        <v>15214</v>
      </c>
    </row>
    <row r="3345" spans="1:9" x14ac:dyDescent="0.25">
      <c r="A3345" s="168" t="s">
        <v>18834</v>
      </c>
      <c r="B3345" s="136" t="s">
        <v>18916</v>
      </c>
      <c r="C3345" s="137">
        <v>113394</v>
      </c>
      <c r="D3345" s="136" t="s">
        <v>15714</v>
      </c>
      <c r="E3345" s="138">
        <v>390</v>
      </c>
      <c r="F3345" s="139">
        <v>42881</v>
      </c>
      <c r="G3345" s="140">
        <v>390</v>
      </c>
      <c r="H3345" s="138">
        <f t="shared" si="54"/>
        <v>0</v>
      </c>
      <c r="I3345" s="141" t="s">
        <v>15214</v>
      </c>
    </row>
    <row r="3346" spans="1:9" x14ac:dyDescent="0.25">
      <c r="A3346" s="167" t="s">
        <v>18834</v>
      </c>
      <c r="B3346" s="142" t="s">
        <v>18917</v>
      </c>
      <c r="C3346" s="143">
        <v>113395</v>
      </c>
      <c r="D3346" s="142" t="s">
        <v>15391</v>
      </c>
      <c r="E3346" s="144">
        <v>9375.7999999999993</v>
      </c>
      <c r="F3346" s="145">
        <v>42882</v>
      </c>
      <c r="G3346" s="146">
        <v>9375.7999999999993</v>
      </c>
      <c r="H3346" s="138">
        <f t="shared" si="54"/>
        <v>0</v>
      </c>
      <c r="I3346" s="147" t="s">
        <v>15214</v>
      </c>
    </row>
    <row r="3347" spans="1:9" x14ac:dyDescent="0.25">
      <c r="A3347" s="168" t="s">
        <v>18834</v>
      </c>
      <c r="B3347" s="136" t="s">
        <v>18918</v>
      </c>
      <c r="C3347" s="137">
        <v>113396</v>
      </c>
      <c r="D3347" s="136" t="s">
        <v>15568</v>
      </c>
      <c r="E3347" s="138">
        <v>17122.3</v>
      </c>
      <c r="F3347" s="139">
        <v>42882</v>
      </c>
      <c r="G3347" s="140">
        <v>17122.3</v>
      </c>
      <c r="H3347" s="138">
        <f t="shared" si="54"/>
        <v>0</v>
      </c>
      <c r="I3347" s="141" t="s">
        <v>15214</v>
      </c>
    </row>
    <row r="3348" spans="1:9" x14ac:dyDescent="0.25">
      <c r="A3348" s="167" t="s">
        <v>18834</v>
      </c>
      <c r="B3348" s="142" t="s">
        <v>18919</v>
      </c>
      <c r="C3348" s="143">
        <v>113397</v>
      </c>
      <c r="D3348" s="142" t="s">
        <v>15385</v>
      </c>
      <c r="E3348" s="144">
        <v>10395.200000000001</v>
      </c>
      <c r="F3348" s="145">
        <v>42882</v>
      </c>
      <c r="G3348" s="146">
        <v>10395.200000000001</v>
      </c>
      <c r="H3348" s="138">
        <f t="shared" si="54"/>
        <v>0</v>
      </c>
      <c r="I3348" s="147" t="s">
        <v>15214</v>
      </c>
    </row>
    <row r="3349" spans="1:9" x14ac:dyDescent="0.25">
      <c r="A3349" s="168" t="s">
        <v>18834</v>
      </c>
      <c r="B3349" s="136" t="s">
        <v>18920</v>
      </c>
      <c r="C3349" s="137">
        <v>113398</v>
      </c>
      <c r="D3349" s="136" t="s">
        <v>15344</v>
      </c>
      <c r="E3349" s="138">
        <v>5962.7</v>
      </c>
      <c r="F3349" s="139">
        <v>42881</v>
      </c>
      <c r="G3349" s="140">
        <v>5962.7</v>
      </c>
      <c r="H3349" s="138">
        <f t="shared" si="54"/>
        <v>0</v>
      </c>
      <c r="I3349" s="141" t="s">
        <v>15214</v>
      </c>
    </row>
    <row r="3350" spans="1:9" x14ac:dyDescent="0.25">
      <c r="A3350" s="167" t="s">
        <v>18834</v>
      </c>
      <c r="B3350" s="142" t="s">
        <v>18921</v>
      </c>
      <c r="C3350" s="143">
        <v>113399</v>
      </c>
      <c r="D3350" s="142" t="s">
        <v>15315</v>
      </c>
      <c r="E3350" s="144">
        <v>533.20000000000005</v>
      </c>
      <c r="F3350" s="145">
        <v>42882</v>
      </c>
      <c r="G3350" s="146">
        <v>533.20000000000005</v>
      </c>
      <c r="H3350" s="138">
        <f t="shared" si="54"/>
        <v>0</v>
      </c>
      <c r="I3350" s="147" t="s">
        <v>15214</v>
      </c>
    </row>
    <row r="3351" spans="1:9" x14ac:dyDescent="0.25">
      <c r="A3351" s="168" t="s">
        <v>18834</v>
      </c>
      <c r="B3351" s="136" t="s">
        <v>18922</v>
      </c>
      <c r="C3351" s="137">
        <v>113400</v>
      </c>
      <c r="D3351" s="136" t="s">
        <v>15868</v>
      </c>
      <c r="E3351" s="138">
        <v>9375.4</v>
      </c>
      <c r="F3351" s="139">
        <v>42882</v>
      </c>
      <c r="G3351" s="140">
        <v>9375.4</v>
      </c>
      <c r="H3351" s="138">
        <f t="shared" si="54"/>
        <v>0</v>
      </c>
      <c r="I3351" s="141" t="s">
        <v>15214</v>
      </c>
    </row>
    <row r="3352" spans="1:9" x14ac:dyDescent="0.25">
      <c r="A3352" s="167" t="s">
        <v>18834</v>
      </c>
      <c r="B3352" s="142" t="s">
        <v>18923</v>
      </c>
      <c r="C3352" s="143">
        <v>113401</v>
      </c>
      <c r="D3352" s="142" t="s">
        <v>15594</v>
      </c>
      <c r="E3352" s="144">
        <v>1210</v>
      </c>
      <c r="F3352" s="145">
        <v>42882</v>
      </c>
      <c r="G3352" s="146">
        <v>1210</v>
      </c>
      <c r="H3352" s="138">
        <f t="shared" si="54"/>
        <v>0</v>
      </c>
      <c r="I3352" s="147" t="s">
        <v>15214</v>
      </c>
    </row>
    <row r="3353" spans="1:9" x14ac:dyDescent="0.25">
      <c r="A3353" s="168" t="s">
        <v>18834</v>
      </c>
      <c r="B3353" s="136" t="s">
        <v>18924</v>
      </c>
      <c r="C3353" s="137">
        <v>113402</v>
      </c>
      <c r="D3353" s="136" t="s">
        <v>15363</v>
      </c>
      <c r="E3353" s="138">
        <v>525</v>
      </c>
      <c r="F3353" s="139">
        <v>42882</v>
      </c>
      <c r="G3353" s="140">
        <v>525</v>
      </c>
      <c r="H3353" s="138">
        <f t="shared" si="54"/>
        <v>0</v>
      </c>
      <c r="I3353" s="141" t="s">
        <v>15214</v>
      </c>
    </row>
    <row r="3354" spans="1:9" x14ac:dyDescent="0.25">
      <c r="A3354" s="167" t="s">
        <v>18834</v>
      </c>
      <c r="B3354" s="142" t="s">
        <v>18925</v>
      </c>
      <c r="C3354" s="143">
        <v>113403</v>
      </c>
      <c r="D3354" s="142" t="s">
        <v>15526</v>
      </c>
      <c r="E3354" s="144">
        <v>3777.9</v>
      </c>
      <c r="F3354" s="145">
        <v>42881</v>
      </c>
      <c r="G3354" s="146">
        <v>3777.9</v>
      </c>
      <c r="H3354" s="138">
        <f t="shared" si="54"/>
        <v>0</v>
      </c>
      <c r="I3354" s="147" t="s">
        <v>15214</v>
      </c>
    </row>
    <row r="3355" spans="1:9" x14ac:dyDescent="0.25">
      <c r="A3355" s="168" t="s">
        <v>18834</v>
      </c>
      <c r="B3355" s="136" t="s">
        <v>18926</v>
      </c>
      <c r="C3355" s="137">
        <v>113404</v>
      </c>
      <c r="D3355" s="136" t="s">
        <v>15350</v>
      </c>
      <c r="E3355" s="138">
        <v>2025.6</v>
      </c>
      <c r="F3355" s="139">
        <v>42881</v>
      </c>
      <c r="G3355" s="140">
        <v>2025.6</v>
      </c>
      <c r="H3355" s="138">
        <f t="shared" si="54"/>
        <v>0</v>
      </c>
      <c r="I3355" s="141" t="s">
        <v>15214</v>
      </c>
    </row>
    <row r="3356" spans="1:9" x14ac:dyDescent="0.25">
      <c r="A3356" s="167" t="s">
        <v>18834</v>
      </c>
      <c r="B3356" s="142" t="s">
        <v>18927</v>
      </c>
      <c r="C3356" s="143">
        <v>113405</v>
      </c>
      <c r="D3356" s="142" t="s">
        <v>15523</v>
      </c>
      <c r="E3356" s="144">
        <v>2400</v>
      </c>
      <c r="F3356" s="145">
        <v>42881</v>
      </c>
      <c r="G3356" s="146">
        <v>2400</v>
      </c>
      <c r="H3356" s="138">
        <f t="shared" si="54"/>
        <v>0</v>
      </c>
      <c r="I3356" s="147" t="s">
        <v>15214</v>
      </c>
    </row>
    <row r="3357" spans="1:9" x14ac:dyDescent="0.25">
      <c r="A3357" s="168" t="s">
        <v>18834</v>
      </c>
      <c r="B3357" s="136" t="s">
        <v>18928</v>
      </c>
      <c r="C3357" s="137">
        <v>113406</v>
      </c>
      <c r="D3357" s="136" t="s">
        <v>15315</v>
      </c>
      <c r="E3357" s="138">
        <v>960</v>
      </c>
      <c r="F3357" s="139">
        <v>42882</v>
      </c>
      <c r="G3357" s="140">
        <v>960</v>
      </c>
      <c r="H3357" s="138">
        <f t="shared" si="54"/>
        <v>0</v>
      </c>
      <c r="I3357" s="141" t="s">
        <v>15214</v>
      </c>
    </row>
    <row r="3358" spans="1:9" x14ac:dyDescent="0.25">
      <c r="A3358" s="167" t="s">
        <v>18834</v>
      </c>
      <c r="B3358" s="142" t="s">
        <v>18929</v>
      </c>
      <c r="C3358" s="143">
        <v>113407</v>
      </c>
      <c r="D3358" s="142" t="s">
        <v>15334</v>
      </c>
      <c r="E3358" s="144">
        <v>3863.6</v>
      </c>
      <c r="F3358" s="145">
        <v>42881</v>
      </c>
      <c r="G3358" s="146">
        <v>3863.6</v>
      </c>
      <c r="H3358" s="138">
        <f t="shared" si="54"/>
        <v>0</v>
      </c>
      <c r="I3358" s="147" t="s">
        <v>15214</v>
      </c>
    </row>
    <row r="3359" spans="1:9" x14ac:dyDescent="0.25">
      <c r="A3359" s="168" t="s">
        <v>18834</v>
      </c>
      <c r="B3359" s="136" t="s">
        <v>18930</v>
      </c>
      <c r="C3359" s="137">
        <v>113408</v>
      </c>
      <c r="D3359" s="136" t="s">
        <v>15510</v>
      </c>
      <c r="E3359" s="138">
        <v>1803.3</v>
      </c>
      <c r="F3359" s="139">
        <v>42881</v>
      </c>
      <c r="G3359" s="140">
        <v>1803.3</v>
      </c>
      <c r="H3359" s="138">
        <f t="shared" si="54"/>
        <v>0</v>
      </c>
      <c r="I3359" s="141" t="s">
        <v>15214</v>
      </c>
    </row>
    <row r="3360" spans="1:9" x14ac:dyDescent="0.25">
      <c r="A3360" s="167" t="s">
        <v>18834</v>
      </c>
      <c r="B3360" s="142" t="s">
        <v>18931</v>
      </c>
      <c r="C3360" s="143">
        <v>113409</v>
      </c>
      <c r="D3360" s="142" t="s">
        <v>18082</v>
      </c>
      <c r="E3360" s="144">
        <v>32814.949999999997</v>
      </c>
      <c r="F3360" s="145">
        <v>42881</v>
      </c>
      <c r="G3360" s="146">
        <v>32814.949999999997</v>
      </c>
      <c r="H3360" s="138">
        <f t="shared" si="54"/>
        <v>0</v>
      </c>
      <c r="I3360" s="147" t="s">
        <v>15214</v>
      </c>
    </row>
    <row r="3361" spans="1:9" x14ac:dyDescent="0.25">
      <c r="A3361" s="168" t="s">
        <v>18834</v>
      </c>
      <c r="B3361" s="136" t="s">
        <v>18932</v>
      </c>
      <c r="C3361" s="137">
        <v>113410</v>
      </c>
      <c r="D3361" s="136" t="s">
        <v>16048</v>
      </c>
      <c r="E3361" s="138">
        <v>5974.7</v>
      </c>
      <c r="F3361" s="139">
        <v>42881</v>
      </c>
      <c r="G3361" s="140">
        <v>5974.7</v>
      </c>
      <c r="H3361" s="138">
        <f t="shared" si="54"/>
        <v>0</v>
      </c>
      <c r="I3361" s="141" t="s">
        <v>15214</v>
      </c>
    </row>
    <row r="3362" spans="1:9" x14ac:dyDescent="0.25">
      <c r="A3362" s="167" t="s">
        <v>18834</v>
      </c>
      <c r="B3362" s="142" t="s">
        <v>18933</v>
      </c>
      <c r="C3362" s="143">
        <v>113411</v>
      </c>
      <c r="D3362" s="142" t="s">
        <v>15315</v>
      </c>
      <c r="E3362" s="144">
        <v>3133.2</v>
      </c>
      <c r="F3362" s="145">
        <v>42881</v>
      </c>
      <c r="G3362" s="146">
        <v>3133.2</v>
      </c>
      <c r="H3362" s="138">
        <f t="shared" si="54"/>
        <v>0</v>
      </c>
      <c r="I3362" s="147" t="s">
        <v>15214</v>
      </c>
    </row>
    <row r="3363" spans="1:9" x14ac:dyDescent="0.25">
      <c r="A3363" s="168" t="s">
        <v>18834</v>
      </c>
      <c r="B3363" s="136" t="s">
        <v>18934</v>
      </c>
      <c r="C3363" s="137">
        <v>113412</v>
      </c>
      <c r="D3363" s="136" t="s">
        <v>15326</v>
      </c>
      <c r="E3363" s="138">
        <v>4186.8999999999996</v>
      </c>
      <c r="F3363" s="139">
        <v>42881</v>
      </c>
      <c r="G3363" s="140">
        <v>4186.8999999999996</v>
      </c>
      <c r="H3363" s="138">
        <f t="shared" si="54"/>
        <v>0</v>
      </c>
      <c r="I3363" s="141" t="s">
        <v>15214</v>
      </c>
    </row>
    <row r="3364" spans="1:9" x14ac:dyDescent="0.25">
      <c r="A3364" s="167" t="s">
        <v>18834</v>
      </c>
      <c r="B3364" s="142" t="s">
        <v>18935</v>
      </c>
      <c r="C3364" s="143">
        <v>113413</v>
      </c>
      <c r="D3364" s="142" t="s">
        <v>15427</v>
      </c>
      <c r="E3364" s="144">
        <v>24816</v>
      </c>
      <c r="F3364" s="145">
        <v>42882</v>
      </c>
      <c r="G3364" s="146">
        <v>24816</v>
      </c>
      <c r="H3364" s="138">
        <f t="shared" si="54"/>
        <v>0</v>
      </c>
      <c r="I3364" s="147" t="s">
        <v>15214</v>
      </c>
    </row>
    <row r="3365" spans="1:9" x14ac:dyDescent="0.25">
      <c r="A3365" s="168" t="s">
        <v>18834</v>
      </c>
      <c r="B3365" s="136" t="s">
        <v>18936</v>
      </c>
      <c r="C3365" s="137">
        <v>113414</v>
      </c>
      <c r="D3365" s="136" t="s">
        <v>15324</v>
      </c>
      <c r="E3365" s="138">
        <v>1142</v>
      </c>
      <c r="F3365" s="139">
        <v>42881</v>
      </c>
      <c r="G3365" s="140">
        <v>1142</v>
      </c>
      <c r="H3365" s="138">
        <f t="shared" si="54"/>
        <v>0</v>
      </c>
      <c r="I3365" s="141" t="s">
        <v>15214</v>
      </c>
    </row>
    <row r="3366" spans="1:9" x14ac:dyDescent="0.25">
      <c r="A3366" s="167" t="s">
        <v>18834</v>
      </c>
      <c r="B3366" s="142" t="s">
        <v>18937</v>
      </c>
      <c r="C3366" s="143">
        <v>113415</v>
      </c>
      <c r="D3366" s="142" t="s">
        <v>15373</v>
      </c>
      <c r="E3366" s="144">
        <v>19251.400000000001</v>
      </c>
      <c r="F3366" s="145">
        <v>42882</v>
      </c>
      <c r="G3366" s="146">
        <v>19251.400000000001</v>
      </c>
      <c r="H3366" s="138">
        <f t="shared" si="54"/>
        <v>0</v>
      </c>
      <c r="I3366" s="147" t="s">
        <v>15214</v>
      </c>
    </row>
    <row r="3367" spans="1:9" x14ac:dyDescent="0.25">
      <c r="A3367" s="168" t="s">
        <v>18834</v>
      </c>
      <c r="B3367" s="136" t="s">
        <v>18938</v>
      </c>
      <c r="C3367" s="137">
        <v>113416</v>
      </c>
      <c r="D3367" s="136" t="s">
        <v>17722</v>
      </c>
      <c r="E3367" s="138">
        <v>3082</v>
      </c>
      <c r="F3367" s="139">
        <v>42881</v>
      </c>
      <c r="G3367" s="140">
        <v>3082</v>
      </c>
      <c r="H3367" s="138">
        <f t="shared" si="54"/>
        <v>0</v>
      </c>
      <c r="I3367" s="141" t="s">
        <v>15214</v>
      </c>
    </row>
    <row r="3368" spans="1:9" x14ac:dyDescent="0.25">
      <c r="A3368" s="167" t="s">
        <v>18834</v>
      </c>
      <c r="B3368" s="142" t="s">
        <v>18939</v>
      </c>
      <c r="C3368" s="143">
        <v>113417</v>
      </c>
      <c r="D3368" s="142" t="s">
        <v>15328</v>
      </c>
      <c r="E3368" s="144">
        <v>94655</v>
      </c>
      <c r="F3368" s="145">
        <v>42902</v>
      </c>
      <c r="G3368" s="146">
        <v>94655</v>
      </c>
      <c r="H3368" s="138">
        <f t="shared" si="54"/>
        <v>0</v>
      </c>
      <c r="I3368" s="147" t="s">
        <v>15214</v>
      </c>
    </row>
    <row r="3369" spans="1:9" x14ac:dyDescent="0.25">
      <c r="A3369" s="168" t="s">
        <v>18834</v>
      </c>
      <c r="B3369" s="136" t="s">
        <v>18940</v>
      </c>
      <c r="C3369" s="137">
        <v>113418</v>
      </c>
      <c r="D3369" s="136" t="s">
        <v>15394</v>
      </c>
      <c r="E3369" s="138">
        <v>20014.2</v>
      </c>
      <c r="F3369" s="157" t="s">
        <v>19641</v>
      </c>
      <c r="G3369" s="158">
        <f>16014.2+4000</f>
        <v>20014.2</v>
      </c>
      <c r="H3369" s="138">
        <f t="shared" si="54"/>
        <v>0</v>
      </c>
      <c r="I3369" s="141" t="s">
        <v>15214</v>
      </c>
    </row>
    <row r="3370" spans="1:9" ht="15.75" x14ac:dyDescent="0.25">
      <c r="A3370" s="167" t="s">
        <v>18834</v>
      </c>
      <c r="B3370" s="142" t="s">
        <v>18941</v>
      </c>
      <c r="C3370" s="143">
        <v>113419</v>
      </c>
      <c r="D3370" s="142" t="s">
        <v>15315</v>
      </c>
      <c r="E3370" s="144">
        <v>0</v>
      </c>
      <c r="F3370" s="156" t="s">
        <v>95</v>
      </c>
      <c r="G3370" s="144">
        <v>0</v>
      </c>
      <c r="H3370" s="138">
        <f t="shared" si="54"/>
        <v>0</v>
      </c>
      <c r="I3370" s="147" t="s">
        <v>95</v>
      </c>
    </row>
    <row r="3371" spans="1:9" x14ac:dyDescent="0.25">
      <c r="A3371" s="168" t="s">
        <v>18834</v>
      </c>
      <c r="B3371" s="136" t="s">
        <v>18942</v>
      </c>
      <c r="C3371" s="137">
        <v>113420</v>
      </c>
      <c r="D3371" s="136" t="s">
        <v>15358</v>
      </c>
      <c r="E3371" s="138">
        <v>2650.8</v>
      </c>
      <c r="F3371" s="139">
        <v>42881</v>
      </c>
      <c r="G3371" s="140">
        <v>2650.8</v>
      </c>
      <c r="H3371" s="138">
        <f t="shared" si="54"/>
        <v>0</v>
      </c>
      <c r="I3371" s="141" t="s">
        <v>15214</v>
      </c>
    </row>
    <row r="3372" spans="1:9" x14ac:dyDescent="0.25">
      <c r="A3372" s="167" t="s">
        <v>18834</v>
      </c>
      <c r="B3372" s="142" t="s">
        <v>18943</v>
      </c>
      <c r="C3372" s="143">
        <v>113421</v>
      </c>
      <c r="D3372" s="142" t="s">
        <v>15336</v>
      </c>
      <c r="E3372" s="144">
        <v>14635.8</v>
      </c>
      <c r="F3372" s="145">
        <v>42881</v>
      </c>
      <c r="G3372" s="146">
        <v>14635.8</v>
      </c>
      <c r="H3372" s="138">
        <f t="shared" si="54"/>
        <v>0</v>
      </c>
      <c r="I3372" s="147" t="s">
        <v>15214</v>
      </c>
    </row>
    <row r="3373" spans="1:9" x14ac:dyDescent="0.25">
      <c r="A3373" s="168" t="s">
        <v>18834</v>
      </c>
      <c r="B3373" s="136" t="s">
        <v>18944</v>
      </c>
      <c r="C3373" s="137">
        <v>113422</v>
      </c>
      <c r="D3373" s="136" t="s">
        <v>18544</v>
      </c>
      <c r="E3373" s="138">
        <v>7015.5</v>
      </c>
      <c r="F3373" s="139">
        <v>42881</v>
      </c>
      <c r="G3373" s="140">
        <v>7015.5</v>
      </c>
      <c r="H3373" s="138">
        <f t="shared" si="54"/>
        <v>0</v>
      </c>
      <c r="I3373" s="141" t="s">
        <v>15214</v>
      </c>
    </row>
    <row r="3374" spans="1:9" x14ac:dyDescent="0.25">
      <c r="A3374" s="167" t="s">
        <v>18834</v>
      </c>
      <c r="B3374" s="142" t="s">
        <v>18945</v>
      </c>
      <c r="C3374" s="143">
        <v>113423</v>
      </c>
      <c r="D3374" s="142" t="s">
        <v>15248</v>
      </c>
      <c r="E3374" s="144">
        <v>22761.3</v>
      </c>
      <c r="F3374" s="145">
        <v>42882</v>
      </c>
      <c r="G3374" s="146">
        <v>22761.3</v>
      </c>
      <c r="H3374" s="138">
        <f t="shared" si="54"/>
        <v>0</v>
      </c>
      <c r="I3374" s="147" t="s">
        <v>15214</v>
      </c>
    </row>
    <row r="3375" spans="1:9" x14ac:dyDescent="0.25">
      <c r="A3375" s="168" t="s">
        <v>18834</v>
      </c>
      <c r="B3375" s="136" t="s">
        <v>18946</v>
      </c>
      <c r="C3375" s="137">
        <v>113424</v>
      </c>
      <c r="D3375" s="136" t="s">
        <v>15332</v>
      </c>
      <c r="E3375" s="138">
        <v>3946.3</v>
      </c>
      <c r="F3375" s="139">
        <v>42881</v>
      </c>
      <c r="G3375" s="140">
        <v>3946.3</v>
      </c>
      <c r="H3375" s="138">
        <f t="shared" si="54"/>
        <v>0</v>
      </c>
      <c r="I3375" s="141" t="s">
        <v>15214</v>
      </c>
    </row>
    <row r="3376" spans="1:9" ht="15.75" x14ac:dyDescent="0.25">
      <c r="A3376" s="167" t="s">
        <v>18834</v>
      </c>
      <c r="B3376" s="142" t="s">
        <v>18947</v>
      </c>
      <c r="C3376" s="143">
        <v>113425</v>
      </c>
      <c r="D3376" s="142" t="s">
        <v>15315</v>
      </c>
      <c r="E3376" s="144">
        <v>0</v>
      </c>
      <c r="F3376" s="156" t="s">
        <v>95</v>
      </c>
      <c r="G3376" s="144">
        <v>0</v>
      </c>
      <c r="H3376" s="138">
        <f t="shared" si="54"/>
        <v>0</v>
      </c>
      <c r="I3376" s="147" t="s">
        <v>95</v>
      </c>
    </row>
    <row r="3377" spans="1:9" x14ac:dyDescent="0.25">
      <c r="A3377" s="168" t="s">
        <v>18834</v>
      </c>
      <c r="B3377" s="136" t="s">
        <v>18948</v>
      </c>
      <c r="C3377" s="137">
        <v>113426</v>
      </c>
      <c r="D3377" s="136" t="s">
        <v>15541</v>
      </c>
      <c r="E3377" s="138">
        <v>1792.6</v>
      </c>
      <c r="F3377" s="139">
        <v>42881</v>
      </c>
      <c r="G3377" s="140">
        <v>1792.6</v>
      </c>
      <c r="H3377" s="138">
        <f t="shared" si="54"/>
        <v>0</v>
      </c>
      <c r="I3377" s="141" t="s">
        <v>15214</v>
      </c>
    </row>
    <row r="3378" spans="1:9" x14ac:dyDescent="0.25">
      <c r="A3378" s="167" t="s">
        <v>18834</v>
      </c>
      <c r="B3378" s="142" t="s">
        <v>18949</v>
      </c>
      <c r="C3378" s="143">
        <v>113427</v>
      </c>
      <c r="D3378" s="142" t="s">
        <v>15274</v>
      </c>
      <c r="E3378" s="144">
        <v>1920</v>
      </c>
      <c r="F3378" s="145">
        <v>42881</v>
      </c>
      <c r="G3378" s="146">
        <v>1920</v>
      </c>
      <c r="H3378" s="138">
        <f t="shared" si="54"/>
        <v>0</v>
      </c>
      <c r="I3378" s="147" t="s">
        <v>15214</v>
      </c>
    </row>
    <row r="3379" spans="1:9" x14ac:dyDescent="0.25">
      <c r="A3379" s="168" t="s">
        <v>18834</v>
      </c>
      <c r="B3379" s="136" t="s">
        <v>18950</v>
      </c>
      <c r="C3379" s="137">
        <v>113428</v>
      </c>
      <c r="D3379" s="136" t="s">
        <v>15596</v>
      </c>
      <c r="E3379" s="138">
        <v>960</v>
      </c>
      <c r="F3379" s="139">
        <v>42881</v>
      </c>
      <c r="G3379" s="140">
        <v>960</v>
      </c>
      <c r="H3379" s="138">
        <f t="shared" si="54"/>
        <v>0</v>
      </c>
      <c r="I3379" s="141" t="s">
        <v>15214</v>
      </c>
    </row>
    <row r="3380" spans="1:9" x14ac:dyDescent="0.25">
      <c r="A3380" s="167" t="s">
        <v>18834</v>
      </c>
      <c r="B3380" s="142" t="s">
        <v>18951</v>
      </c>
      <c r="C3380" s="143">
        <v>113429</v>
      </c>
      <c r="D3380" s="142" t="s">
        <v>15433</v>
      </c>
      <c r="E3380" s="144">
        <v>2130.3000000000002</v>
      </c>
      <c r="F3380" s="145">
        <v>42881</v>
      </c>
      <c r="G3380" s="146">
        <v>2130.3000000000002</v>
      </c>
      <c r="H3380" s="138">
        <f t="shared" si="54"/>
        <v>0</v>
      </c>
      <c r="I3380" s="147" t="s">
        <v>15214</v>
      </c>
    </row>
    <row r="3381" spans="1:9" x14ac:dyDescent="0.25">
      <c r="A3381" s="168" t="s">
        <v>18834</v>
      </c>
      <c r="B3381" s="136" t="s">
        <v>18952</v>
      </c>
      <c r="C3381" s="137">
        <v>113430</v>
      </c>
      <c r="D3381" s="136" t="s">
        <v>15246</v>
      </c>
      <c r="E3381" s="138">
        <v>6528.6</v>
      </c>
      <c r="F3381" s="139">
        <v>42884</v>
      </c>
      <c r="G3381" s="140">
        <v>6528.6</v>
      </c>
      <c r="H3381" s="138">
        <f t="shared" si="54"/>
        <v>0</v>
      </c>
      <c r="I3381" s="141" t="s">
        <v>15214</v>
      </c>
    </row>
    <row r="3382" spans="1:9" x14ac:dyDescent="0.25">
      <c r="A3382" s="167" t="s">
        <v>18834</v>
      </c>
      <c r="B3382" s="142" t="s">
        <v>18953</v>
      </c>
      <c r="C3382" s="143">
        <v>113431</v>
      </c>
      <c r="D3382" s="142" t="s">
        <v>15380</v>
      </c>
      <c r="E3382" s="144">
        <v>44739.199999999997</v>
      </c>
      <c r="F3382" s="148">
        <v>42892</v>
      </c>
      <c r="G3382" s="149">
        <v>44739.199999999997</v>
      </c>
      <c r="H3382" s="138">
        <f t="shared" si="54"/>
        <v>0</v>
      </c>
      <c r="I3382" s="147" t="s">
        <v>15214</v>
      </c>
    </row>
    <row r="3383" spans="1:9" x14ac:dyDescent="0.25">
      <c r="A3383" s="168" t="s">
        <v>18834</v>
      </c>
      <c r="B3383" s="136" t="s">
        <v>18954</v>
      </c>
      <c r="C3383" s="137">
        <v>113432</v>
      </c>
      <c r="D3383" s="136" t="s">
        <v>15294</v>
      </c>
      <c r="E3383" s="138">
        <v>185</v>
      </c>
      <c r="F3383" s="139">
        <v>42881</v>
      </c>
      <c r="G3383" s="140">
        <v>185</v>
      </c>
      <c r="H3383" s="138">
        <f t="shared" si="54"/>
        <v>0</v>
      </c>
      <c r="I3383" s="141" t="s">
        <v>15214</v>
      </c>
    </row>
    <row r="3384" spans="1:9" x14ac:dyDescent="0.25">
      <c r="A3384" s="167" t="s">
        <v>18834</v>
      </c>
      <c r="B3384" s="142" t="s">
        <v>18955</v>
      </c>
      <c r="C3384" s="143">
        <v>113433</v>
      </c>
      <c r="D3384" s="142" t="s">
        <v>15665</v>
      </c>
      <c r="E3384" s="144">
        <v>493.8</v>
      </c>
      <c r="F3384" s="145">
        <v>42881</v>
      </c>
      <c r="G3384" s="146">
        <v>493.8</v>
      </c>
      <c r="H3384" s="138">
        <f t="shared" si="54"/>
        <v>0</v>
      </c>
      <c r="I3384" s="147" t="s">
        <v>15214</v>
      </c>
    </row>
    <row r="3385" spans="1:9" x14ac:dyDescent="0.25">
      <c r="A3385" s="168" t="s">
        <v>18834</v>
      </c>
      <c r="B3385" s="136" t="s">
        <v>18956</v>
      </c>
      <c r="C3385" s="137">
        <v>113434</v>
      </c>
      <c r="D3385" s="136" t="s">
        <v>15642</v>
      </c>
      <c r="E3385" s="138">
        <v>930.3</v>
      </c>
      <c r="F3385" s="139">
        <v>42881</v>
      </c>
      <c r="G3385" s="140">
        <v>930.3</v>
      </c>
      <c r="H3385" s="138">
        <f t="shared" si="54"/>
        <v>0</v>
      </c>
      <c r="I3385" s="141" t="s">
        <v>15214</v>
      </c>
    </row>
    <row r="3386" spans="1:9" x14ac:dyDescent="0.25">
      <c r="A3386" s="167" t="s">
        <v>18834</v>
      </c>
      <c r="B3386" s="142" t="s">
        <v>18957</v>
      </c>
      <c r="C3386" s="143">
        <v>113435</v>
      </c>
      <c r="D3386" s="142" t="s">
        <v>15369</v>
      </c>
      <c r="E3386" s="144">
        <v>13734.7</v>
      </c>
      <c r="F3386" s="148">
        <v>42892</v>
      </c>
      <c r="G3386" s="149">
        <v>13734.7</v>
      </c>
      <c r="H3386" s="138">
        <f t="shared" si="54"/>
        <v>0</v>
      </c>
      <c r="I3386" s="147" t="s">
        <v>15214</v>
      </c>
    </row>
    <row r="3387" spans="1:9" x14ac:dyDescent="0.25">
      <c r="A3387" s="168" t="s">
        <v>18834</v>
      </c>
      <c r="B3387" s="136" t="s">
        <v>18958</v>
      </c>
      <c r="C3387" s="137">
        <v>113436</v>
      </c>
      <c r="D3387" s="136" t="s">
        <v>15510</v>
      </c>
      <c r="E3387" s="138">
        <v>15311.4</v>
      </c>
      <c r="F3387" s="159">
        <v>42881</v>
      </c>
      <c r="G3387" s="138">
        <v>15311.4</v>
      </c>
      <c r="H3387" s="138">
        <f t="shared" si="54"/>
        <v>0</v>
      </c>
      <c r="I3387" s="141" t="s">
        <v>15214</v>
      </c>
    </row>
    <row r="3388" spans="1:9" x14ac:dyDescent="0.25">
      <c r="A3388" s="167" t="s">
        <v>18834</v>
      </c>
      <c r="B3388" s="142" t="s">
        <v>18959</v>
      </c>
      <c r="C3388" s="143">
        <v>113437</v>
      </c>
      <c r="D3388" s="142" t="s">
        <v>15315</v>
      </c>
      <c r="E3388" s="144">
        <v>1580.3</v>
      </c>
      <c r="F3388" s="161">
        <v>42881</v>
      </c>
      <c r="G3388" s="144">
        <v>1580.3</v>
      </c>
      <c r="H3388" s="138">
        <f t="shared" si="54"/>
        <v>0</v>
      </c>
      <c r="I3388" s="147" t="s">
        <v>15214</v>
      </c>
    </row>
    <row r="3389" spans="1:9" x14ac:dyDescent="0.25">
      <c r="A3389" s="168" t="s">
        <v>18834</v>
      </c>
      <c r="B3389" s="136" t="s">
        <v>18960</v>
      </c>
      <c r="C3389" s="137">
        <v>113438</v>
      </c>
      <c r="D3389" s="136" t="s">
        <v>15382</v>
      </c>
      <c r="E3389" s="138">
        <v>13073.6</v>
      </c>
      <c r="F3389" s="157">
        <v>42892</v>
      </c>
      <c r="G3389" s="158">
        <v>13073.6</v>
      </c>
      <c r="H3389" s="138">
        <f t="shared" si="54"/>
        <v>0</v>
      </c>
      <c r="I3389" s="141" t="s">
        <v>15214</v>
      </c>
    </row>
    <row r="3390" spans="1:9" x14ac:dyDescent="0.25">
      <c r="A3390" s="167" t="s">
        <v>18834</v>
      </c>
      <c r="B3390" s="142" t="s">
        <v>18961</v>
      </c>
      <c r="C3390" s="143">
        <v>113439</v>
      </c>
      <c r="D3390" s="142" t="s">
        <v>15389</v>
      </c>
      <c r="E3390" s="144">
        <v>17243.400000000001</v>
      </c>
      <c r="F3390" s="148">
        <v>42905</v>
      </c>
      <c r="G3390" s="149">
        <v>17243.400000000001</v>
      </c>
      <c r="H3390" s="138">
        <f t="shared" si="54"/>
        <v>0</v>
      </c>
      <c r="I3390" s="147" t="s">
        <v>15214</v>
      </c>
    </row>
    <row r="3391" spans="1:9" x14ac:dyDescent="0.25">
      <c r="A3391" s="168" t="s">
        <v>18834</v>
      </c>
      <c r="B3391" s="136" t="s">
        <v>18962</v>
      </c>
      <c r="C3391" s="137">
        <v>113440</v>
      </c>
      <c r="D3391" s="136" t="s">
        <v>15367</v>
      </c>
      <c r="E3391" s="138">
        <v>8126.2</v>
      </c>
      <c r="F3391" s="139">
        <v>42882</v>
      </c>
      <c r="G3391" s="140">
        <v>8126.2</v>
      </c>
      <c r="H3391" s="138">
        <f t="shared" si="54"/>
        <v>0</v>
      </c>
      <c r="I3391" s="141" t="s">
        <v>15214</v>
      </c>
    </row>
    <row r="3392" spans="1:9" x14ac:dyDescent="0.25">
      <c r="A3392" s="167" t="s">
        <v>18834</v>
      </c>
      <c r="B3392" s="142" t="s">
        <v>18963</v>
      </c>
      <c r="C3392" s="143">
        <v>113441</v>
      </c>
      <c r="D3392" s="142" t="s">
        <v>15315</v>
      </c>
      <c r="E3392" s="144">
        <v>449.8</v>
      </c>
      <c r="F3392" s="145">
        <v>42881</v>
      </c>
      <c r="G3392" s="146">
        <v>449.8</v>
      </c>
      <c r="H3392" s="138">
        <f t="shared" si="54"/>
        <v>0</v>
      </c>
      <c r="I3392" s="147" t="s">
        <v>15214</v>
      </c>
    </row>
    <row r="3393" spans="1:9" x14ac:dyDescent="0.25">
      <c r="A3393" s="168" t="s">
        <v>18834</v>
      </c>
      <c r="B3393" s="136" t="s">
        <v>18964</v>
      </c>
      <c r="C3393" s="137">
        <v>113442</v>
      </c>
      <c r="D3393" s="136" t="s">
        <v>16686</v>
      </c>
      <c r="E3393" s="138">
        <v>31204.799999999999</v>
      </c>
      <c r="F3393" s="139">
        <v>42881</v>
      </c>
      <c r="G3393" s="140">
        <v>31204.799999999999</v>
      </c>
      <c r="H3393" s="138">
        <f t="shared" si="54"/>
        <v>0</v>
      </c>
      <c r="I3393" s="141" t="s">
        <v>15214</v>
      </c>
    </row>
    <row r="3394" spans="1:9" x14ac:dyDescent="0.25">
      <c r="A3394" s="167" t="s">
        <v>18834</v>
      </c>
      <c r="B3394" s="142" t="s">
        <v>18965</v>
      </c>
      <c r="C3394" s="143">
        <v>113443</v>
      </c>
      <c r="D3394" s="142" t="s">
        <v>15213</v>
      </c>
      <c r="E3394" s="144">
        <v>10116.6</v>
      </c>
      <c r="F3394" s="145">
        <v>42882</v>
      </c>
      <c r="G3394" s="146">
        <v>10116.6</v>
      </c>
      <c r="H3394" s="138">
        <f t="shared" si="54"/>
        <v>0</v>
      </c>
      <c r="I3394" s="147" t="s">
        <v>15214</v>
      </c>
    </row>
    <row r="3395" spans="1:9" x14ac:dyDescent="0.25">
      <c r="A3395" s="168" t="s">
        <v>18834</v>
      </c>
      <c r="B3395" s="136" t="s">
        <v>18966</v>
      </c>
      <c r="C3395" s="137">
        <v>113444</v>
      </c>
      <c r="D3395" s="136" t="s">
        <v>15810</v>
      </c>
      <c r="E3395" s="138">
        <v>698.8</v>
      </c>
      <c r="F3395" s="139">
        <v>42881</v>
      </c>
      <c r="G3395" s="140">
        <v>698.8</v>
      </c>
      <c r="H3395" s="138">
        <f t="shared" si="54"/>
        <v>0</v>
      </c>
      <c r="I3395" s="141" t="s">
        <v>15214</v>
      </c>
    </row>
    <row r="3396" spans="1:9" x14ac:dyDescent="0.25">
      <c r="A3396" s="167" t="s">
        <v>18834</v>
      </c>
      <c r="B3396" s="142" t="s">
        <v>18967</v>
      </c>
      <c r="C3396" s="143">
        <v>113445</v>
      </c>
      <c r="D3396" s="142" t="s">
        <v>15396</v>
      </c>
      <c r="E3396" s="144">
        <v>5261.8</v>
      </c>
      <c r="F3396" s="145">
        <v>42881</v>
      </c>
      <c r="G3396" s="146">
        <v>5261.8</v>
      </c>
      <c r="H3396" s="138">
        <f t="shared" si="54"/>
        <v>0</v>
      </c>
      <c r="I3396" s="147" t="s">
        <v>15214</v>
      </c>
    </row>
    <row r="3397" spans="1:9" x14ac:dyDescent="0.25">
      <c r="A3397" s="168" t="s">
        <v>18834</v>
      </c>
      <c r="B3397" s="136" t="s">
        <v>18968</v>
      </c>
      <c r="C3397" s="137">
        <v>113446</v>
      </c>
      <c r="D3397" s="136" t="s">
        <v>15322</v>
      </c>
      <c r="E3397" s="138">
        <v>2332</v>
      </c>
      <c r="F3397" s="139">
        <v>42881</v>
      </c>
      <c r="G3397" s="140">
        <v>2332</v>
      </c>
      <c r="H3397" s="138">
        <f t="shared" si="54"/>
        <v>0</v>
      </c>
      <c r="I3397" s="141" t="s">
        <v>15214</v>
      </c>
    </row>
    <row r="3398" spans="1:9" ht="15.75" x14ac:dyDescent="0.25">
      <c r="A3398" s="167" t="s">
        <v>18834</v>
      </c>
      <c r="B3398" s="142" t="s">
        <v>18969</v>
      </c>
      <c r="C3398" s="143">
        <v>113447</v>
      </c>
      <c r="D3398" s="142" t="s">
        <v>15263</v>
      </c>
      <c r="E3398" s="144">
        <v>0</v>
      </c>
      <c r="F3398" s="156" t="s">
        <v>95</v>
      </c>
      <c r="G3398" s="144">
        <v>0</v>
      </c>
      <c r="H3398" s="138">
        <f t="shared" si="54"/>
        <v>0</v>
      </c>
      <c r="I3398" s="147" t="s">
        <v>95</v>
      </c>
    </row>
    <row r="3399" spans="1:9" x14ac:dyDescent="0.25">
      <c r="A3399" s="168" t="s">
        <v>18834</v>
      </c>
      <c r="B3399" s="136" t="s">
        <v>18970</v>
      </c>
      <c r="C3399" s="137">
        <v>113448</v>
      </c>
      <c r="D3399" s="136" t="s">
        <v>15267</v>
      </c>
      <c r="E3399" s="138">
        <v>41480.800000000003</v>
      </c>
      <c r="F3399" s="139">
        <v>42881</v>
      </c>
      <c r="G3399" s="140">
        <v>41480.800000000003</v>
      </c>
      <c r="H3399" s="138">
        <f t="shared" ref="H3399:H3462" si="55">E3399-G3399</f>
        <v>0</v>
      </c>
      <c r="I3399" s="141" t="s">
        <v>15214</v>
      </c>
    </row>
    <row r="3400" spans="1:9" x14ac:dyDescent="0.25">
      <c r="A3400" s="167" t="s">
        <v>18834</v>
      </c>
      <c r="B3400" s="142" t="s">
        <v>18971</v>
      </c>
      <c r="C3400" s="143">
        <v>113449</v>
      </c>
      <c r="D3400" s="142" t="s">
        <v>15263</v>
      </c>
      <c r="E3400" s="144">
        <v>618</v>
      </c>
      <c r="F3400" s="145">
        <v>42881</v>
      </c>
      <c r="G3400" s="146">
        <v>618</v>
      </c>
      <c r="H3400" s="138">
        <f t="shared" si="55"/>
        <v>0</v>
      </c>
      <c r="I3400" s="147" t="s">
        <v>15214</v>
      </c>
    </row>
    <row r="3401" spans="1:9" x14ac:dyDescent="0.25">
      <c r="A3401" s="168" t="s">
        <v>18834</v>
      </c>
      <c r="B3401" s="136" t="s">
        <v>18972</v>
      </c>
      <c r="C3401" s="137">
        <v>113450</v>
      </c>
      <c r="D3401" s="136" t="s">
        <v>15315</v>
      </c>
      <c r="E3401" s="138">
        <v>1210</v>
      </c>
      <c r="F3401" s="139">
        <v>42881</v>
      </c>
      <c r="G3401" s="140">
        <v>1210</v>
      </c>
      <c r="H3401" s="138">
        <f t="shared" si="55"/>
        <v>0</v>
      </c>
      <c r="I3401" s="141" t="s">
        <v>15214</v>
      </c>
    </row>
    <row r="3402" spans="1:9" x14ac:dyDescent="0.25">
      <c r="A3402" s="167" t="s">
        <v>18834</v>
      </c>
      <c r="B3402" s="142" t="s">
        <v>18973</v>
      </c>
      <c r="C3402" s="143">
        <v>113451</v>
      </c>
      <c r="D3402" s="142" t="s">
        <v>15956</v>
      </c>
      <c r="E3402" s="144">
        <v>740</v>
      </c>
      <c r="F3402" s="145">
        <v>42881</v>
      </c>
      <c r="G3402" s="146">
        <v>740</v>
      </c>
      <c r="H3402" s="138">
        <f t="shared" si="55"/>
        <v>0</v>
      </c>
      <c r="I3402" s="147" t="s">
        <v>15214</v>
      </c>
    </row>
    <row r="3403" spans="1:9" x14ac:dyDescent="0.25">
      <c r="A3403" s="168" t="s">
        <v>18834</v>
      </c>
      <c r="B3403" s="136" t="s">
        <v>18974</v>
      </c>
      <c r="C3403" s="137">
        <v>113452</v>
      </c>
      <c r="D3403" s="136" t="s">
        <v>15315</v>
      </c>
      <c r="E3403" s="138">
        <v>763.6</v>
      </c>
      <c r="F3403" s="139">
        <v>42881</v>
      </c>
      <c r="G3403" s="140">
        <v>763.6</v>
      </c>
      <c r="H3403" s="138">
        <f t="shared" si="55"/>
        <v>0</v>
      </c>
      <c r="I3403" s="141" t="s">
        <v>15214</v>
      </c>
    </row>
    <row r="3404" spans="1:9" x14ac:dyDescent="0.25">
      <c r="A3404" s="167" t="s">
        <v>18834</v>
      </c>
      <c r="B3404" s="142" t="s">
        <v>18975</v>
      </c>
      <c r="C3404" s="143">
        <v>113453</v>
      </c>
      <c r="D3404" s="142" t="s">
        <v>15267</v>
      </c>
      <c r="E3404" s="144">
        <v>25336</v>
      </c>
      <c r="F3404" s="145">
        <v>42881</v>
      </c>
      <c r="G3404" s="146">
        <v>25336</v>
      </c>
      <c r="H3404" s="138">
        <f t="shared" si="55"/>
        <v>0</v>
      </c>
      <c r="I3404" s="147" t="s">
        <v>15214</v>
      </c>
    </row>
    <row r="3405" spans="1:9" x14ac:dyDescent="0.25">
      <c r="A3405" s="168" t="s">
        <v>18834</v>
      </c>
      <c r="B3405" s="136" t="s">
        <v>18976</v>
      </c>
      <c r="C3405" s="137">
        <v>113454</v>
      </c>
      <c r="D3405" s="136" t="s">
        <v>15716</v>
      </c>
      <c r="E3405" s="138">
        <v>15262.5</v>
      </c>
      <c r="F3405" s="139">
        <v>42881</v>
      </c>
      <c r="G3405" s="140">
        <v>15262.5</v>
      </c>
      <c r="H3405" s="138">
        <f t="shared" si="55"/>
        <v>0</v>
      </c>
      <c r="I3405" s="141" t="s">
        <v>15214</v>
      </c>
    </row>
    <row r="3406" spans="1:9" x14ac:dyDescent="0.25">
      <c r="A3406" s="167" t="s">
        <v>18834</v>
      </c>
      <c r="B3406" s="142" t="s">
        <v>18977</v>
      </c>
      <c r="C3406" s="143">
        <v>113455</v>
      </c>
      <c r="D3406" s="142" t="s">
        <v>16129</v>
      </c>
      <c r="E3406" s="144">
        <v>4184.8</v>
      </c>
      <c r="F3406" s="145">
        <v>42881</v>
      </c>
      <c r="G3406" s="146">
        <v>4184.8</v>
      </c>
      <c r="H3406" s="138">
        <f t="shared" si="55"/>
        <v>0</v>
      </c>
      <c r="I3406" s="147" t="s">
        <v>15214</v>
      </c>
    </row>
    <row r="3407" spans="1:9" x14ac:dyDescent="0.25">
      <c r="A3407" s="168" t="s">
        <v>18834</v>
      </c>
      <c r="B3407" s="136" t="s">
        <v>18978</v>
      </c>
      <c r="C3407" s="137">
        <v>113456</v>
      </c>
      <c r="D3407" s="136" t="s">
        <v>15365</v>
      </c>
      <c r="E3407" s="138">
        <v>24488.75</v>
      </c>
      <c r="F3407" s="157">
        <v>42888</v>
      </c>
      <c r="G3407" s="158">
        <v>24488.75</v>
      </c>
      <c r="H3407" s="138">
        <f t="shared" si="55"/>
        <v>0</v>
      </c>
      <c r="I3407" s="141" t="s">
        <v>15214</v>
      </c>
    </row>
    <row r="3408" spans="1:9" x14ac:dyDescent="0.25">
      <c r="A3408" s="167" t="s">
        <v>18834</v>
      </c>
      <c r="B3408" s="142" t="s">
        <v>18979</v>
      </c>
      <c r="C3408" s="143">
        <v>113457</v>
      </c>
      <c r="D3408" s="142" t="s">
        <v>15226</v>
      </c>
      <c r="E3408" s="144">
        <v>496</v>
      </c>
      <c r="F3408" s="145">
        <v>42884</v>
      </c>
      <c r="G3408" s="146">
        <v>496</v>
      </c>
      <c r="H3408" s="138">
        <f t="shared" si="55"/>
        <v>0</v>
      </c>
      <c r="I3408" s="147" t="s">
        <v>15214</v>
      </c>
    </row>
    <row r="3409" spans="1:9" x14ac:dyDescent="0.25">
      <c r="A3409" s="168" t="s">
        <v>18834</v>
      </c>
      <c r="B3409" s="136" t="s">
        <v>18980</v>
      </c>
      <c r="C3409" s="137">
        <v>113458</v>
      </c>
      <c r="D3409" s="136" t="s">
        <v>15315</v>
      </c>
      <c r="E3409" s="138">
        <v>2607.6</v>
      </c>
      <c r="F3409" s="139">
        <v>42881</v>
      </c>
      <c r="G3409" s="140">
        <v>2607.6</v>
      </c>
      <c r="H3409" s="138">
        <f t="shared" si="55"/>
        <v>0</v>
      </c>
      <c r="I3409" s="141" t="s">
        <v>15214</v>
      </c>
    </row>
    <row r="3410" spans="1:9" x14ac:dyDescent="0.25">
      <c r="A3410" s="167" t="s">
        <v>18834</v>
      </c>
      <c r="B3410" s="142" t="s">
        <v>18981</v>
      </c>
      <c r="C3410" s="143">
        <v>113459</v>
      </c>
      <c r="D3410" s="142" t="s">
        <v>16288</v>
      </c>
      <c r="E3410" s="144">
        <v>1042.2</v>
      </c>
      <c r="F3410" s="145">
        <v>42882</v>
      </c>
      <c r="G3410" s="146">
        <v>1042.2</v>
      </c>
      <c r="H3410" s="138">
        <f t="shared" si="55"/>
        <v>0</v>
      </c>
      <c r="I3410" s="147" t="s">
        <v>15214</v>
      </c>
    </row>
    <row r="3411" spans="1:9" x14ac:dyDescent="0.25">
      <c r="A3411" s="168" t="s">
        <v>18834</v>
      </c>
      <c r="B3411" s="136" t="s">
        <v>18982</v>
      </c>
      <c r="C3411" s="137">
        <v>113460</v>
      </c>
      <c r="D3411" s="136" t="s">
        <v>15276</v>
      </c>
      <c r="E3411" s="138">
        <v>3840</v>
      </c>
      <c r="F3411" s="139">
        <v>42882</v>
      </c>
      <c r="G3411" s="140">
        <v>3840</v>
      </c>
      <c r="H3411" s="138">
        <f t="shared" si="55"/>
        <v>0</v>
      </c>
      <c r="I3411" s="141" t="s">
        <v>15214</v>
      </c>
    </row>
    <row r="3412" spans="1:9" x14ac:dyDescent="0.25">
      <c r="A3412" s="167" t="s">
        <v>18834</v>
      </c>
      <c r="B3412" s="142" t="s">
        <v>18983</v>
      </c>
      <c r="C3412" s="143">
        <v>113461</v>
      </c>
      <c r="D3412" s="142" t="s">
        <v>15338</v>
      </c>
      <c r="E3412" s="144">
        <v>8386</v>
      </c>
      <c r="F3412" s="148">
        <v>42887</v>
      </c>
      <c r="G3412" s="149">
        <v>8386</v>
      </c>
      <c r="H3412" s="138">
        <f t="shared" si="55"/>
        <v>0</v>
      </c>
      <c r="I3412" s="147" t="s">
        <v>15214</v>
      </c>
    </row>
    <row r="3413" spans="1:9" x14ac:dyDescent="0.25">
      <c r="A3413" s="168" t="s">
        <v>18834</v>
      </c>
      <c r="B3413" s="136" t="s">
        <v>18984</v>
      </c>
      <c r="C3413" s="137">
        <v>113462</v>
      </c>
      <c r="D3413" s="136" t="s">
        <v>15782</v>
      </c>
      <c r="E3413" s="138">
        <v>1978</v>
      </c>
      <c r="F3413" s="139">
        <v>42882</v>
      </c>
      <c r="G3413" s="140">
        <v>1978</v>
      </c>
      <c r="H3413" s="138">
        <f t="shared" si="55"/>
        <v>0</v>
      </c>
      <c r="I3413" s="141" t="s">
        <v>15214</v>
      </c>
    </row>
    <row r="3414" spans="1:9" x14ac:dyDescent="0.25">
      <c r="A3414" s="167" t="s">
        <v>18834</v>
      </c>
      <c r="B3414" s="142" t="s">
        <v>18985</v>
      </c>
      <c r="C3414" s="143">
        <v>113463</v>
      </c>
      <c r="D3414" s="142" t="s">
        <v>15417</v>
      </c>
      <c r="E3414" s="144">
        <v>4013.8</v>
      </c>
      <c r="F3414" s="145">
        <v>42882</v>
      </c>
      <c r="G3414" s="146">
        <v>4013.8</v>
      </c>
      <c r="H3414" s="138">
        <f t="shared" si="55"/>
        <v>0</v>
      </c>
      <c r="I3414" s="147" t="s">
        <v>15214</v>
      </c>
    </row>
    <row r="3415" spans="1:9" x14ac:dyDescent="0.25">
      <c r="A3415" s="168" t="s">
        <v>18834</v>
      </c>
      <c r="B3415" s="136" t="s">
        <v>18986</v>
      </c>
      <c r="C3415" s="137">
        <v>113464</v>
      </c>
      <c r="D3415" s="136" t="s">
        <v>5873</v>
      </c>
      <c r="E3415" s="138">
        <v>33465.949999999997</v>
      </c>
      <c r="F3415" s="139">
        <v>42882</v>
      </c>
      <c r="G3415" s="140">
        <v>33465.949999999997</v>
      </c>
      <c r="H3415" s="138">
        <f t="shared" si="55"/>
        <v>0</v>
      </c>
      <c r="I3415" s="141" t="s">
        <v>15214</v>
      </c>
    </row>
    <row r="3416" spans="1:9" ht="15.75" x14ac:dyDescent="0.25">
      <c r="A3416" s="167" t="s">
        <v>18834</v>
      </c>
      <c r="B3416" s="142" t="s">
        <v>18987</v>
      </c>
      <c r="C3416" s="143">
        <v>113465</v>
      </c>
      <c r="D3416" s="142" t="s">
        <v>15644</v>
      </c>
      <c r="E3416" s="144">
        <v>0</v>
      </c>
      <c r="F3416" s="156" t="s">
        <v>95</v>
      </c>
      <c r="G3416" s="144">
        <v>0</v>
      </c>
      <c r="H3416" s="138">
        <f t="shared" si="55"/>
        <v>0</v>
      </c>
      <c r="I3416" s="147" t="s">
        <v>95</v>
      </c>
    </row>
    <row r="3417" spans="1:9" x14ac:dyDescent="0.25">
      <c r="A3417" s="168" t="s">
        <v>18834</v>
      </c>
      <c r="B3417" s="136" t="s">
        <v>18988</v>
      </c>
      <c r="C3417" s="137">
        <v>113466</v>
      </c>
      <c r="D3417" s="136" t="s">
        <v>15644</v>
      </c>
      <c r="E3417" s="138">
        <v>3307.5</v>
      </c>
      <c r="F3417" s="139">
        <v>42882</v>
      </c>
      <c r="G3417" s="140">
        <v>3307.5</v>
      </c>
      <c r="H3417" s="138">
        <f t="shared" si="55"/>
        <v>0</v>
      </c>
      <c r="I3417" s="141" t="s">
        <v>15214</v>
      </c>
    </row>
    <row r="3418" spans="1:9" x14ac:dyDescent="0.25">
      <c r="A3418" s="167" t="s">
        <v>18834</v>
      </c>
      <c r="B3418" s="142" t="s">
        <v>18989</v>
      </c>
      <c r="C3418" s="143">
        <v>113467</v>
      </c>
      <c r="D3418" s="142" t="s">
        <v>15365</v>
      </c>
      <c r="E3418" s="144">
        <v>227555</v>
      </c>
      <c r="F3418" s="148">
        <v>42888</v>
      </c>
      <c r="G3418" s="149">
        <v>227555</v>
      </c>
      <c r="H3418" s="138">
        <f t="shared" si="55"/>
        <v>0</v>
      </c>
      <c r="I3418" s="147" t="s">
        <v>15214</v>
      </c>
    </row>
    <row r="3419" spans="1:9" x14ac:dyDescent="0.25">
      <c r="A3419" s="168" t="s">
        <v>18834</v>
      </c>
      <c r="B3419" s="136" t="s">
        <v>18990</v>
      </c>
      <c r="C3419" s="137">
        <v>113468</v>
      </c>
      <c r="D3419" s="136" t="s">
        <v>15365</v>
      </c>
      <c r="E3419" s="138">
        <v>418047</v>
      </c>
      <c r="F3419" s="157">
        <v>42888</v>
      </c>
      <c r="G3419" s="158">
        <v>418047</v>
      </c>
      <c r="H3419" s="138">
        <f t="shared" si="55"/>
        <v>0</v>
      </c>
      <c r="I3419" s="141" t="s">
        <v>15214</v>
      </c>
    </row>
    <row r="3420" spans="1:9" x14ac:dyDescent="0.25">
      <c r="A3420" s="167" t="s">
        <v>18834</v>
      </c>
      <c r="B3420" s="142" t="s">
        <v>18991</v>
      </c>
      <c r="C3420" s="143">
        <v>113469</v>
      </c>
      <c r="D3420" s="142" t="s">
        <v>15315</v>
      </c>
      <c r="E3420" s="144">
        <v>8115.6</v>
      </c>
      <c r="F3420" s="145">
        <v>42881</v>
      </c>
      <c r="G3420" s="146">
        <v>8115.6</v>
      </c>
      <c r="H3420" s="138">
        <f t="shared" si="55"/>
        <v>0</v>
      </c>
      <c r="I3420" s="147" t="s">
        <v>15214</v>
      </c>
    </row>
    <row r="3421" spans="1:9" x14ac:dyDescent="0.25">
      <c r="A3421" s="168" t="s">
        <v>18834</v>
      </c>
      <c r="B3421" s="136" t="s">
        <v>18992</v>
      </c>
      <c r="C3421" s="137">
        <v>113470</v>
      </c>
      <c r="D3421" s="136" t="s">
        <v>15250</v>
      </c>
      <c r="E3421" s="138">
        <v>43663.68</v>
      </c>
      <c r="F3421" s="139">
        <v>42886</v>
      </c>
      <c r="G3421" s="140">
        <v>43663.68</v>
      </c>
      <c r="H3421" s="138">
        <f t="shared" si="55"/>
        <v>0</v>
      </c>
      <c r="I3421" s="141" t="s">
        <v>15214</v>
      </c>
    </row>
    <row r="3422" spans="1:9" x14ac:dyDescent="0.25">
      <c r="A3422" s="167" t="s">
        <v>18834</v>
      </c>
      <c r="B3422" s="142" t="s">
        <v>18993</v>
      </c>
      <c r="C3422" s="143">
        <v>113471</v>
      </c>
      <c r="D3422" s="142" t="s">
        <v>15632</v>
      </c>
      <c r="E3422" s="144">
        <v>13915.6</v>
      </c>
      <c r="F3422" s="145">
        <v>42882</v>
      </c>
      <c r="G3422" s="146">
        <v>13915.6</v>
      </c>
      <c r="H3422" s="138">
        <f t="shared" si="55"/>
        <v>0</v>
      </c>
      <c r="I3422" s="147" t="s">
        <v>15214</v>
      </c>
    </row>
    <row r="3423" spans="1:9" x14ac:dyDescent="0.25">
      <c r="A3423" s="168" t="s">
        <v>18834</v>
      </c>
      <c r="B3423" s="136" t="s">
        <v>18994</v>
      </c>
      <c r="C3423" s="137">
        <v>113472</v>
      </c>
      <c r="D3423" s="136" t="s">
        <v>15642</v>
      </c>
      <c r="E3423" s="138">
        <v>6258</v>
      </c>
      <c r="F3423" s="139">
        <v>42881</v>
      </c>
      <c r="G3423" s="140">
        <v>6258</v>
      </c>
      <c r="H3423" s="138">
        <f t="shared" si="55"/>
        <v>0</v>
      </c>
      <c r="I3423" s="141" t="s">
        <v>15214</v>
      </c>
    </row>
    <row r="3424" spans="1:9" x14ac:dyDescent="0.25">
      <c r="A3424" s="167" t="s">
        <v>18834</v>
      </c>
      <c r="B3424" s="142" t="s">
        <v>18995</v>
      </c>
      <c r="C3424" s="143">
        <v>113473</v>
      </c>
      <c r="D3424" s="142" t="s">
        <v>15642</v>
      </c>
      <c r="E3424" s="144">
        <v>4042.5</v>
      </c>
      <c r="F3424" s="145">
        <v>42881</v>
      </c>
      <c r="G3424" s="146">
        <v>4042.5</v>
      </c>
      <c r="H3424" s="138">
        <f t="shared" si="55"/>
        <v>0</v>
      </c>
      <c r="I3424" s="147" t="s">
        <v>15214</v>
      </c>
    </row>
    <row r="3425" spans="1:9" x14ac:dyDescent="0.25">
      <c r="A3425" s="168" t="s">
        <v>18834</v>
      </c>
      <c r="B3425" s="136" t="s">
        <v>18996</v>
      </c>
      <c r="C3425" s="137">
        <v>113474</v>
      </c>
      <c r="D3425" s="136" t="s">
        <v>15433</v>
      </c>
      <c r="E3425" s="138">
        <v>42</v>
      </c>
      <c r="F3425" s="139">
        <v>42881</v>
      </c>
      <c r="G3425" s="140">
        <v>42</v>
      </c>
      <c r="H3425" s="138">
        <f t="shared" si="55"/>
        <v>0</v>
      </c>
      <c r="I3425" s="141" t="s">
        <v>15214</v>
      </c>
    </row>
    <row r="3426" spans="1:9" x14ac:dyDescent="0.25">
      <c r="A3426" s="167" t="s">
        <v>18834</v>
      </c>
      <c r="B3426" s="142" t="s">
        <v>18997</v>
      </c>
      <c r="C3426" s="143">
        <v>113475</v>
      </c>
      <c r="D3426" s="142" t="s">
        <v>15444</v>
      </c>
      <c r="E3426" s="144">
        <v>1128.7</v>
      </c>
      <c r="F3426" s="145">
        <v>42882</v>
      </c>
      <c r="G3426" s="146">
        <v>1128.7</v>
      </c>
      <c r="H3426" s="138">
        <f t="shared" si="55"/>
        <v>0</v>
      </c>
      <c r="I3426" s="147" t="s">
        <v>15214</v>
      </c>
    </row>
    <row r="3427" spans="1:9" x14ac:dyDescent="0.25">
      <c r="A3427" s="168" t="s">
        <v>18834</v>
      </c>
      <c r="B3427" s="136" t="s">
        <v>18998</v>
      </c>
      <c r="C3427" s="137">
        <v>113476</v>
      </c>
      <c r="D3427" s="136" t="s">
        <v>15553</v>
      </c>
      <c r="E3427" s="138">
        <v>32735.5</v>
      </c>
      <c r="F3427" s="139">
        <v>42882</v>
      </c>
      <c r="G3427" s="140">
        <v>32735.5</v>
      </c>
      <c r="H3427" s="138">
        <f t="shared" si="55"/>
        <v>0</v>
      </c>
      <c r="I3427" s="141" t="s">
        <v>15214</v>
      </c>
    </row>
    <row r="3428" spans="1:9" x14ac:dyDescent="0.25">
      <c r="A3428" s="167" t="s">
        <v>18834</v>
      </c>
      <c r="B3428" s="142" t="s">
        <v>18999</v>
      </c>
      <c r="C3428" s="143">
        <v>113477</v>
      </c>
      <c r="D3428" s="142" t="s">
        <v>15858</v>
      </c>
      <c r="E3428" s="144">
        <v>3105.36</v>
      </c>
      <c r="F3428" s="145">
        <v>42882</v>
      </c>
      <c r="G3428" s="146">
        <v>3105.36</v>
      </c>
      <c r="H3428" s="138">
        <f t="shared" si="55"/>
        <v>0</v>
      </c>
      <c r="I3428" s="147" t="s">
        <v>15214</v>
      </c>
    </row>
    <row r="3429" spans="1:9" x14ac:dyDescent="0.25">
      <c r="A3429" s="168" t="s">
        <v>18834</v>
      </c>
      <c r="B3429" s="136" t="s">
        <v>19000</v>
      </c>
      <c r="C3429" s="137">
        <v>113478</v>
      </c>
      <c r="D3429" s="136" t="s">
        <v>15250</v>
      </c>
      <c r="E3429" s="138">
        <v>33164.25</v>
      </c>
      <c r="F3429" s="139">
        <v>42886</v>
      </c>
      <c r="G3429" s="140">
        <v>33164.25</v>
      </c>
      <c r="H3429" s="138">
        <f t="shared" si="55"/>
        <v>0</v>
      </c>
      <c r="I3429" s="141" t="s">
        <v>15214</v>
      </c>
    </row>
    <row r="3430" spans="1:9" x14ac:dyDescent="0.25">
      <c r="A3430" s="167" t="s">
        <v>18834</v>
      </c>
      <c r="B3430" s="142" t="s">
        <v>19001</v>
      </c>
      <c r="C3430" s="143">
        <v>113479</v>
      </c>
      <c r="D3430" s="142" t="s">
        <v>15435</v>
      </c>
      <c r="E3430" s="144">
        <v>9126</v>
      </c>
      <c r="F3430" s="145">
        <v>42881</v>
      </c>
      <c r="G3430" s="146">
        <v>9126</v>
      </c>
      <c r="H3430" s="138">
        <f t="shared" si="55"/>
        <v>0</v>
      </c>
      <c r="I3430" s="147" t="s">
        <v>15214</v>
      </c>
    </row>
    <row r="3431" spans="1:9" x14ac:dyDescent="0.25">
      <c r="A3431" s="168" t="s">
        <v>18834</v>
      </c>
      <c r="B3431" s="136" t="s">
        <v>19002</v>
      </c>
      <c r="C3431" s="137">
        <v>113480</v>
      </c>
      <c r="D3431" s="136" t="s">
        <v>15407</v>
      </c>
      <c r="E3431" s="138">
        <v>18908.16</v>
      </c>
      <c r="F3431" s="139">
        <v>42881</v>
      </c>
      <c r="G3431" s="140">
        <v>18908.16</v>
      </c>
      <c r="H3431" s="138">
        <f t="shared" si="55"/>
        <v>0</v>
      </c>
      <c r="I3431" s="141" t="s">
        <v>15214</v>
      </c>
    </row>
    <row r="3432" spans="1:9" x14ac:dyDescent="0.25">
      <c r="A3432" s="167" t="s">
        <v>18834</v>
      </c>
      <c r="B3432" s="142" t="s">
        <v>19003</v>
      </c>
      <c r="C3432" s="143">
        <v>113481</v>
      </c>
      <c r="D3432" s="142" t="s">
        <v>15223</v>
      </c>
      <c r="E3432" s="144">
        <v>22690.799999999999</v>
      </c>
      <c r="F3432" s="148">
        <v>42894</v>
      </c>
      <c r="G3432" s="149">
        <v>22690.799999999999</v>
      </c>
      <c r="H3432" s="138">
        <f t="shared" si="55"/>
        <v>0</v>
      </c>
      <c r="I3432" s="147" t="s">
        <v>15214</v>
      </c>
    </row>
    <row r="3433" spans="1:9" x14ac:dyDescent="0.25">
      <c r="A3433" s="168" t="s">
        <v>18834</v>
      </c>
      <c r="B3433" s="136" t="s">
        <v>19004</v>
      </c>
      <c r="C3433" s="137">
        <v>113482</v>
      </c>
      <c r="D3433" s="136" t="s">
        <v>15213</v>
      </c>
      <c r="E3433" s="138">
        <v>1306.4000000000001</v>
      </c>
      <c r="F3433" s="139">
        <v>42882</v>
      </c>
      <c r="G3433" s="140">
        <v>1306.4000000000001</v>
      </c>
      <c r="H3433" s="138">
        <f t="shared" si="55"/>
        <v>0</v>
      </c>
      <c r="I3433" s="141" t="s">
        <v>15214</v>
      </c>
    </row>
    <row r="3434" spans="1:9" x14ac:dyDescent="0.25">
      <c r="A3434" s="167" t="s">
        <v>18834</v>
      </c>
      <c r="B3434" s="142" t="s">
        <v>19005</v>
      </c>
      <c r="C3434" s="143">
        <v>113483</v>
      </c>
      <c r="D3434" s="142" t="s">
        <v>15250</v>
      </c>
      <c r="E3434" s="144">
        <v>31608.5</v>
      </c>
      <c r="F3434" s="145">
        <v>42886</v>
      </c>
      <c r="G3434" s="146">
        <v>31608.5</v>
      </c>
      <c r="H3434" s="138">
        <f t="shared" si="55"/>
        <v>0</v>
      </c>
      <c r="I3434" s="147" t="s">
        <v>15214</v>
      </c>
    </row>
    <row r="3435" spans="1:9" x14ac:dyDescent="0.25">
      <c r="A3435" s="168" t="s">
        <v>18834</v>
      </c>
      <c r="B3435" s="136" t="s">
        <v>19006</v>
      </c>
      <c r="C3435" s="137">
        <v>113484</v>
      </c>
      <c r="D3435" s="136" t="s">
        <v>15246</v>
      </c>
      <c r="E3435" s="138">
        <v>3357</v>
      </c>
      <c r="F3435" s="139">
        <v>42884</v>
      </c>
      <c r="G3435" s="140">
        <v>3357</v>
      </c>
      <c r="H3435" s="138">
        <f t="shared" si="55"/>
        <v>0</v>
      </c>
      <c r="I3435" s="141" t="s">
        <v>15214</v>
      </c>
    </row>
    <row r="3436" spans="1:9" x14ac:dyDescent="0.25">
      <c r="A3436" s="167" t="s">
        <v>18834</v>
      </c>
      <c r="B3436" s="142" t="s">
        <v>19007</v>
      </c>
      <c r="C3436" s="143">
        <v>113485</v>
      </c>
      <c r="D3436" s="142" t="s">
        <v>15246</v>
      </c>
      <c r="E3436" s="144">
        <v>184850.7</v>
      </c>
      <c r="F3436" s="145">
        <v>42884</v>
      </c>
      <c r="G3436" s="146">
        <v>184850.7</v>
      </c>
      <c r="H3436" s="138">
        <f t="shared" si="55"/>
        <v>0</v>
      </c>
      <c r="I3436" s="147" t="s">
        <v>15214</v>
      </c>
    </row>
    <row r="3437" spans="1:9" x14ac:dyDescent="0.25">
      <c r="A3437" s="168" t="s">
        <v>18834</v>
      </c>
      <c r="B3437" s="136" t="s">
        <v>19008</v>
      </c>
      <c r="C3437" s="137">
        <v>113486</v>
      </c>
      <c r="D3437" s="136" t="s">
        <v>15246</v>
      </c>
      <c r="E3437" s="138">
        <v>69322.7</v>
      </c>
      <c r="F3437" s="139">
        <v>42884</v>
      </c>
      <c r="G3437" s="140">
        <v>69322.7</v>
      </c>
      <c r="H3437" s="138">
        <f t="shared" si="55"/>
        <v>0</v>
      </c>
      <c r="I3437" s="141" t="s">
        <v>15214</v>
      </c>
    </row>
    <row r="3438" spans="1:9" x14ac:dyDescent="0.25">
      <c r="A3438" s="167" t="s">
        <v>18834</v>
      </c>
      <c r="B3438" s="142" t="s">
        <v>19009</v>
      </c>
      <c r="C3438" s="143">
        <v>113487</v>
      </c>
      <c r="D3438" s="142" t="s">
        <v>15246</v>
      </c>
      <c r="E3438" s="144">
        <v>500</v>
      </c>
      <c r="F3438" s="145">
        <v>42884</v>
      </c>
      <c r="G3438" s="146">
        <v>500</v>
      </c>
      <c r="H3438" s="138">
        <f t="shared" si="55"/>
        <v>0</v>
      </c>
      <c r="I3438" s="147" t="s">
        <v>15214</v>
      </c>
    </row>
    <row r="3439" spans="1:9" x14ac:dyDescent="0.25">
      <c r="A3439" s="168" t="s">
        <v>18834</v>
      </c>
      <c r="B3439" s="136" t="s">
        <v>19010</v>
      </c>
      <c r="C3439" s="137">
        <v>113488</v>
      </c>
      <c r="D3439" s="136" t="s">
        <v>15246</v>
      </c>
      <c r="E3439" s="138">
        <v>4525.8</v>
      </c>
      <c r="F3439" s="139">
        <v>42884</v>
      </c>
      <c r="G3439" s="140">
        <v>4525.8</v>
      </c>
      <c r="H3439" s="138">
        <f t="shared" si="55"/>
        <v>0</v>
      </c>
      <c r="I3439" s="141" t="s">
        <v>15214</v>
      </c>
    </row>
    <row r="3440" spans="1:9" x14ac:dyDescent="0.25">
      <c r="A3440" s="167" t="s">
        <v>19011</v>
      </c>
      <c r="B3440" s="142" t="s">
        <v>19012</v>
      </c>
      <c r="C3440" s="143">
        <v>113489</v>
      </c>
      <c r="D3440" s="142" t="s">
        <v>15213</v>
      </c>
      <c r="E3440" s="144">
        <v>6246.6</v>
      </c>
      <c r="F3440" s="145">
        <v>42884</v>
      </c>
      <c r="G3440" s="146">
        <v>6246.6</v>
      </c>
      <c r="H3440" s="138">
        <f t="shared" si="55"/>
        <v>0</v>
      </c>
      <c r="I3440" s="147" t="s">
        <v>15214</v>
      </c>
    </row>
    <row r="3441" spans="1:9" x14ac:dyDescent="0.25">
      <c r="A3441" s="168" t="s">
        <v>19011</v>
      </c>
      <c r="B3441" s="136" t="s">
        <v>19013</v>
      </c>
      <c r="C3441" s="137">
        <v>113490</v>
      </c>
      <c r="D3441" s="136" t="s">
        <v>15213</v>
      </c>
      <c r="E3441" s="138">
        <v>47142.2</v>
      </c>
      <c r="F3441" s="139" t="s">
        <v>18725</v>
      </c>
      <c r="G3441" s="140">
        <f>35000+12142.2</f>
        <v>47142.2</v>
      </c>
      <c r="H3441" s="138">
        <f t="shared" si="55"/>
        <v>0</v>
      </c>
      <c r="I3441" s="141" t="s">
        <v>15214</v>
      </c>
    </row>
    <row r="3442" spans="1:9" x14ac:dyDescent="0.25">
      <c r="A3442" s="167" t="s">
        <v>19011</v>
      </c>
      <c r="B3442" s="142" t="s">
        <v>19014</v>
      </c>
      <c r="C3442" s="143">
        <v>113491</v>
      </c>
      <c r="D3442" s="142" t="s">
        <v>5873</v>
      </c>
      <c r="E3442" s="144">
        <v>16170</v>
      </c>
      <c r="F3442" s="145">
        <v>42882</v>
      </c>
      <c r="G3442" s="146">
        <v>16170</v>
      </c>
      <c r="H3442" s="138">
        <f t="shared" si="55"/>
        <v>0</v>
      </c>
      <c r="I3442" s="147" t="s">
        <v>15214</v>
      </c>
    </row>
    <row r="3443" spans="1:9" x14ac:dyDescent="0.25">
      <c r="A3443" s="168" t="s">
        <v>19011</v>
      </c>
      <c r="B3443" s="136" t="s">
        <v>19015</v>
      </c>
      <c r="C3443" s="137">
        <v>113492</v>
      </c>
      <c r="D3443" s="136" t="s">
        <v>5873</v>
      </c>
      <c r="E3443" s="138">
        <v>32070.5</v>
      </c>
      <c r="F3443" s="139">
        <v>42882</v>
      </c>
      <c r="G3443" s="140">
        <v>32070.5</v>
      </c>
      <c r="H3443" s="138">
        <f t="shared" si="55"/>
        <v>0</v>
      </c>
      <c r="I3443" s="141" t="s">
        <v>15214</v>
      </c>
    </row>
    <row r="3444" spans="1:9" x14ac:dyDescent="0.25">
      <c r="A3444" s="167" t="s">
        <v>19011</v>
      </c>
      <c r="B3444" s="142" t="s">
        <v>19016</v>
      </c>
      <c r="C3444" s="143">
        <v>113493</v>
      </c>
      <c r="D3444" s="142" t="s">
        <v>15309</v>
      </c>
      <c r="E3444" s="144">
        <v>6596.8</v>
      </c>
      <c r="F3444" s="145">
        <v>42882</v>
      </c>
      <c r="G3444" s="146">
        <v>6596.8</v>
      </c>
      <c r="H3444" s="138">
        <f t="shared" si="55"/>
        <v>0</v>
      </c>
      <c r="I3444" s="147" t="s">
        <v>15214</v>
      </c>
    </row>
    <row r="3445" spans="1:9" x14ac:dyDescent="0.25">
      <c r="A3445" s="168" t="s">
        <v>19011</v>
      </c>
      <c r="B3445" s="136" t="s">
        <v>19017</v>
      </c>
      <c r="C3445" s="137">
        <v>113494</v>
      </c>
      <c r="D3445" s="136" t="s">
        <v>15442</v>
      </c>
      <c r="E3445" s="138">
        <v>22369.5</v>
      </c>
      <c r="F3445" s="157">
        <v>42888</v>
      </c>
      <c r="G3445" s="158">
        <v>22369.5</v>
      </c>
      <c r="H3445" s="138">
        <f t="shared" si="55"/>
        <v>0</v>
      </c>
      <c r="I3445" s="141" t="s">
        <v>15214</v>
      </c>
    </row>
    <row r="3446" spans="1:9" x14ac:dyDescent="0.25">
      <c r="A3446" s="167" t="s">
        <v>19011</v>
      </c>
      <c r="B3446" s="142" t="s">
        <v>19018</v>
      </c>
      <c r="C3446" s="143">
        <v>113495</v>
      </c>
      <c r="D3446" s="142" t="s">
        <v>15242</v>
      </c>
      <c r="E3446" s="144">
        <v>10080</v>
      </c>
      <c r="F3446" s="145">
        <v>42882</v>
      </c>
      <c r="G3446" s="146">
        <v>10080</v>
      </c>
      <c r="H3446" s="138">
        <f t="shared" si="55"/>
        <v>0</v>
      </c>
      <c r="I3446" s="147" t="s">
        <v>15214</v>
      </c>
    </row>
    <row r="3447" spans="1:9" x14ac:dyDescent="0.25">
      <c r="A3447" s="168" t="s">
        <v>19011</v>
      </c>
      <c r="B3447" s="136" t="s">
        <v>19019</v>
      </c>
      <c r="C3447" s="137">
        <v>113496</v>
      </c>
      <c r="D3447" s="136" t="s">
        <v>15272</v>
      </c>
      <c r="E3447" s="138">
        <v>32834.199999999997</v>
      </c>
      <c r="F3447" s="139">
        <v>42882</v>
      </c>
      <c r="G3447" s="140">
        <v>32834.199999999997</v>
      </c>
      <c r="H3447" s="138">
        <f t="shared" si="55"/>
        <v>0</v>
      </c>
      <c r="I3447" s="141" t="s">
        <v>15214</v>
      </c>
    </row>
    <row r="3448" spans="1:9" x14ac:dyDescent="0.25">
      <c r="A3448" s="167" t="s">
        <v>19011</v>
      </c>
      <c r="B3448" s="142" t="s">
        <v>19020</v>
      </c>
      <c r="C3448" s="143">
        <v>113497</v>
      </c>
      <c r="D3448" s="142" t="s">
        <v>15248</v>
      </c>
      <c r="E3448" s="144">
        <v>7887.4</v>
      </c>
      <c r="F3448" s="145">
        <v>42882</v>
      </c>
      <c r="G3448" s="146">
        <v>7887.4</v>
      </c>
      <c r="H3448" s="138">
        <f t="shared" si="55"/>
        <v>0</v>
      </c>
      <c r="I3448" s="147" t="s">
        <v>15214</v>
      </c>
    </row>
    <row r="3449" spans="1:9" ht="15.75" x14ac:dyDescent="0.25">
      <c r="A3449" s="168" t="s">
        <v>19011</v>
      </c>
      <c r="B3449" s="136" t="s">
        <v>19021</v>
      </c>
      <c r="C3449" s="137">
        <v>113498</v>
      </c>
      <c r="D3449" s="136" t="s">
        <v>15248</v>
      </c>
      <c r="E3449" s="138">
        <v>0</v>
      </c>
      <c r="F3449" s="153" t="s">
        <v>95</v>
      </c>
      <c r="G3449" s="138">
        <v>0</v>
      </c>
      <c r="H3449" s="138">
        <f t="shared" si="55"/>
        <v>0</v>
      </c>
      <c r="I3449" s="141" t="s">
        <v>95</v>
      </c>
    </row>
    <row r="3450" spans="1:9" x14ac:dyDescent="0.25">
      <c r="A3450" s="167" t="s">
        <v>19011</v>
      </c>
      <c r="B3450" s="142" t="s">
        <v>19022</v>
      </c>
      <c r="C3450" s="143">
        <v>113499</v>
      </c>
      <c r="D3450" s="142" t="s">
        <v>15248</v>
      </c>
      <c r="E3450" s="144">
        <v>14884.32</v>
      </c>
      <c r="F3450" s="145">
        <v>42882</v>
      </c>
      <c r="G3450" s="146">
        <v>14884.32</v>
      </c>
      <c r="H3450" s="138">
        <f t="shared" si="55"/>
        <v>0</v>
      </c>
      <c r="I3450" s="147" t="s">
        <v>15214</v>
      </c>
    </row>
    <row r="3451" spans="1:9" x14ac:dyDescent="0.25">
      <c r="A3451" s="168" t="s">
        <v>19011</v>
      </c>
      <c r="B3451" s="136" t="s">
        <v>19023</v>
      </c>
      <c r="C3451" s="137">
        <v>113500</v>
      </c>
      <c r="D3451" s="136" t="s">
        <v>15681</v>
      </c>
      <c r="E3451" s="138">
        <v>2310.4</v>
      </c>
      <c r="F3451" s="139">
        <v>42882</v>
      </c>
      <c r="G3451" s="140">
        <v>2310.4</v>
      </c>
      <c r="H3451" s="138">
        <f t="shared" si="55"/>
        <v>0</v>
      </c>
      <c r="I3451" s="141" t="s">
        <v>15214</v>
      </c>
    </row>
    <row r="3452" spans="1:9" ht="30" x14ac:dyDescent="0.25">
      <c r="A3452" s="167" t="s">
        <v>19011</v>
      </c>
      <c r="B3452" s="142" t="s">
        <v>19024</v>
      </c>
      <c r="C3452" s="143">
        <v>113501</v>
      </c>
      <c r="D3452" s="142" t="s">
        <v>15228</v>
      </c>
      <c r="E3452" s="144">
        <v>31433.85</v>
      </c>
      <c r="F3452" s="169" t="s">
        <v>19025</v>
      </c>
      <c r="G3452" s="146">
        <f>11000+10000+5500+4933.85</f>
        <v>31433.85</v>
      </c>
      <c r="H3452" s="138">
        <f t="shared" si="55"/>
        <v>0</v>
      </c>
      <c r="I3452" s="147" t="s">
        <v>15214</v>
      </c>
    </row>
    <row r="3453" spans="1:9" x14ac:dyDescent="0.25">
      <c r="A3453" s="168" t="s">
        <v>19011</v>
      </c>
      <c r="B3453" s="136" t="s">
        <v>19026</v>
      </c>
      <c r="C3453" s="137">
        <v>113502</v>
      </c>
      <c r="D3453" s="136" t="s">
        <v>15223</v>
      </c>
      <c r="E3453" s="138">
        <v>47052</v>
      </c>
      <c r="F3453" s="157">
        <v>42894</v>
      </c>
      <c r="G3453" s="158">
        <v>47052</v>
      </c>
      <c r="H3453" s="138">
        <f t="shared" si="55"/>
        <v>0</v>
      </c>
      <c r="I3453" s="141" t="s">
        <v>15214</v>
      </c>
    </row>
    <row r="3454" spans="1:9" x14ac:dyDescent="0.25">
      <c r="A3454" s="167" t="s">
        <v>19011</v>
      </c>
      <c r="B3454" s="142" t="s">
        <v>19027</v>
      </c>
      <c r="C3454" s="143">
        <v>113503</v>
      </c>
      <c r="D3454" s="142" t="s">
        <v>15230</v>
      </c>
      <c r="E3454" s="144">
        <v>31652.6</v>
      </c>
      <c r="F3454" s="145">
        <v>42886</v>
      </c>
      <c r="G3454" s="146">
        <v>31652.6</v>
      </c>
      <c r="H3454" s="138">
        <f t="shared" si="55"/>
        <v>0</v>
      </c>
      <c r="I3454" s="147" t="s">
        <v>15214</v>
      </c>
    </row>
    <row r="3455" spans="1:9" ht="30" x14ac:dyDescent="0.25">
      <c r="A3455" s="168" t="s">
        <v>19011</v>
      </c>
      <c r="B3455" s="136" t="s">
        <v>19028</v>
      </c>
      <c r="C3455" s="137">
        <v>113504</v>
      </c>
      <c r="D3455" s="136" t="s">
        <v>15258</v>
      </c>
      <c r="E3455" s="138">
        <v>29062.400000000001</v>
      </c>
      <c r="F3455" s="172" t="s">
        <v>19648</v>
      </c>
      <c r="G3455" s="158">
        <f>5000+10000+14062.4</f>
        <v>29062.400000000001</v>
      </c>
      <c r="H3455" s="138">
        <f t="shared" si="55"/>
        <v>0</v>
      </c>
      <c r="I3455" s="141" t="s">
        <v>15214</v>
      </c>
    </row>
    <row r="3456" spans="1:9" x14ac:dyDescent="0.25">
      <c r="A3456" s="167" t="s">
        <v>19011</v>
      </c>
      <c r="B3456" s="142" t="s">
        <v>19029</v>
      </c>
      <c r="C3456" s="143">
        <v>113505</v>
      </c>
      <c r="D3456" s="142" t="s">
        <v>18258</v>
      </c>
      <c r="E3456" s="144">
        <v>9158.4</v>
      </c>
      <c r="F3456" s="145">
        <v>42882</v>
      </c>
      <c r="G3456" s="146">
        <v>9158.4</v>
      </c>
      <c r="H3456" s="138">
        <f t="shared" si="55"/>
        <v>0</v>
      </c>
      <c r="I3456" s="147" t="s">
        <v>15214</v>
      </c>
    </row>
    <row r="3457" spans="1:9" x14ac:dyDescent="0.25">
      <c r="A3457" s="168" t="s">
        <v>19011</v>
      </c>
      <c r="B3457" s="136" t="s">
        <v>19030</v>
      </c>
      <c r="C3457" s="137">
        <v>113506</v>
      </c>
      <c r="D3457" s="136" t="s">
        <v>18258</v>
      </c>
      <c r="E3457" s="138">
        <v>385</v>
      </c>
      <c r="F3457" s="139">
        <v>42882</v>
      </c>
      <c r="G3457" s="140">
        <v>385</v>
      </c>
      <c r="H3457" s="138">
        <f t="shared" si="55"/>
        <v>0</v>
      </c>
      <c r="I3457" s="141" t="s">
        <v>15214</v>
      </c>
    </row>
    <row r="3458" spans="1:9" x14ac:dyDescent="0.25">
      <c r="A3458" s="167" t="s">
        <v>19011</v>
      </c>
      <c r="B3458" s="142" t="s">
        <v>19031</v>
      </c>
      <c r="C3458" s="143">
        <v>113507</v>
      </c>
      <c r="D3458" s="142" t="s">
        <v>15234</v>
      </c>
      <c r="E3458" s="144">
        <v>9287.2000000000007</v>
      </c>
      <c r="F3458" s="148" t="s">
        <v>19642</v>
      </c>
      <c r="G3458" s="149">
        <f>6000+3287.2</f>
        <v>9287.2000000000007</v>
      </c>
      <c r="H3458" s="138">
        <f t="shared" si="55"/>
        <v>0</v>
      </c>
      <c r="I3458" s="147" t="s">
        <v>15214</v>
      </c>
    </row>
    <row r="3459" spans="1:9" x14ac:dyDescent="0.25">
      <c r="A3459" s="168" t="s">
        <v>19011</v>
      </c>
      <c r="B3459" s="136" t="s">
        <v>19032</v>
      </c>
      <c r="C3459" s="137">
        <v>113508</v>
      </c>
      <c r="D3459" s="136" t="s">
        <v>15263</v>
      </c>
      <c r="E3459" s="138">
        <v>3477.4</v>
      </c>
      <c r="F3459" s="139">
        <v>42882</v>
      </c>
      <c r="G3459" s="140">
        <v>3477.4</v>
      </c>
      <c r="H3459" s="138">
        <f t="shared" si="55"/>
        <v>0</v>
      </c>
      <c r="I3459" s="141" t="s">
        <v>15214</v>
      </c>
    </row>
    <row r="3460" spans="1:9" x14ac:dyDescent="0.25">
      <c r="A3460" s="167" t="s">
        <v>19011</v>
      </c>
      <c r="B3460" s="142" t="s">
        <v>19033</v>
      </c>
      <c r="C3460" s="143">
        <v>113509</v>
      </c>
      <c r="D3460" s="142" t="s">
        <v>15668</v>
      </c>
      <c r="E3460" s="144">
        <v>13573.6</v>
      </c>
      <c r="F3460" s="145">
        <v>42884</v>
      </c>
      <c r="G3460" s="146">
        <v>13573.6</v>
      </c>
      <c r="H3460" s="138">
        <f t="shared" si="55"/>
        <v>0</v>
      </c>
      <c r="I3460" s="147" t="s">
        <v>15214</v>
      </c>
    </row>
    <row r="3461" spans="1:9" x14ac:dyDescent="0.25">
      <c r="A3461" s="168" t="s">
        <v>19011</v>
      </c>
      <c r="B3461" s="136" t="s">
        <v>19034</v>
      </c>
      <c r="C3461" s="137">
        <v>113510</v>
      </c>
      <c r="D3461" s="136" t="s">
        <v>15246</v>
      </c>
      <c r="E3461" s="138">
        <v>3553.2</v>
      </c>
      <c r="F3461" s="139">
        <v>42884</v>
      </c>
      <c r="G3461" s="140">
        <v>3553.2</v>
      </c>
      <c r="H3461" s="138">
        <f t="shared" si="55"/>
        <v>0</v>
      </c>
      <c r="I3461" s="141" t="s">
        <v>15214</v>
      </c>
    </row>
    <row r="3462" spans="1:9" x14ac:dyDescent="0.25">
      <c r="A3462" s="167" t="s">
        <v>19011</v>
      </c>
      <c r="B3462" s="142" t="s">
        <v>19035</v>
      </c>
      <c r="C3462" s="143">
        <v>113511</v>
      </c>
      <c r="D3462" s="142" t="s">
        <v>17462</v>
      </c>
      <c r="E3462" s="144">
        <v>7156</v>
      </c>
      <c r="F3462" s="145">
        <v>42882</v>
      </c>
      <c r="G3462" s="146">
        <v>7156</v>
      </c>
      <c r="H3462" s="138">
        <f t="shared" si="55"/>
        <v>0</v>
      </c>
      <c r="I3462" s="147" t="s">
        <v>15214</v>
      </c>
    </row>
    <row r="3463" spans="1:9" x14ac:dyDescent="0.25">
      <c r="A3463" s="168" t="s">
        <v>19011</v>
      </c>
      <c r="B3463" s="136" t="s">
        <v>19036</v>
      </c>
      <c r="C3463" s="137">
        <v>113512</v>
      </c>
      <c r="D3463" s="136" t="s">
        <v>15238</v>
      </c>
      <c r="E3463" s="138">
        <v>13242.6</v>
      </c>
      <c r="F3463" s="139">
        <v>42884</v>
      </c>
      <c r="G3463" s="140">
        <v>13242.6</v>
      </c>
      <c r="H3463" s="138">
        <f t="shared" ref="H3463:H3526" si="56">E3463-G3463</f>
        <v>0</v>
      </c>
      <c r="I3463" s="141" t="s">
        <v>15214</v>
      </c>
    </row>
    <row r="3464" spans="1:9" x14ac:dyDescent="0.25">
      <c r="A3464" s="167" t="s">
        <v>19011</v>
      </c>
      <c r="B3464" s="142" t="s">
        <v>19037</v>
      </c>
      <c r="C3464" s="143">
        <v>113513</v>
      </c>
      <c r="D3464" s="142" t="s">
        <v>15549</v>
      </c>
      <c r="E3464" s="144">
        <v>10914.3</v>
      </c>
      <c r="F3464" s="145">
        <v>42882</v>
      </c>
      <c r="G3464" s="146">
        <v>10914.3</v>
      </c>
      <c r="H3464" s="138">
        <f t="shared" si="56"/>
        <v>0</v>
      </c>
      <c r="I3464" s="147" t="s">
        <v>15214</v>
      </c>
    </row>
    <row r="3465" spans="1:9" x14ac:dyDescent="0.25">
      <c r="A3465" s="168" t="s">
        <v>19011</v>
      </c>
      <c r="B3465" s="136" t="s">
        <v>19038</v>
      </c>
      <c r="C3465" s="137">
        <v>113514</v>
      </c>
      <c r="D3465" s="136" t="s">
        <v>15232</v>
      </c>
      <c r="E3465" s="138">
        <v>16205</v>
      </c>
      <c r="F3465" s="157">
        <v>42887</v>
      </c>
      <c r="G3465" s="158">
        <v>16205</v>
      </c>
      <c r="H3465" s="138">
        <f t="shared" si="56"/>
        <v>0</v>
      </c>
      <c r="I3465" s="141" t="s">
        <v>15214</v>
      </c>
    </row>
    <row r="3466" spans="1:9" x14ac:dyDescent="0.25">
      <c r="A3466" s="167" t="s">
        <v>19011</v>
      </c>
      <c r="B3466" s="142" t="s">
        <v>19039</v>
      </c>
      <c r="C3466" s="143">
        <v>113515</v>
      </c>
      <c r="D3466" s="142" t="s">
        <v>15442</v>
      </c>
      <c r="E3466" s="144">
        <v>9071.4</v>
      </c>
      <c r="F3466" s="145">
        <v>42882</v>
      </c>
      <c r="G3466" s="146">
        <v>9071.4</v>
      </c>
      <c r="H3466" s="138">
        <f t="shared" si="56"/>
        <v>0</v>
      </c>
      <c r="I3466" s="147" t="s">
        <v>15214</v>
      </c>
    </row>
    <row r="3467" spans="1:9" x14ac:dyDescent="0.25">
      <c r="A3467" s="168" t="s">
        <v>19011</v>
      </c>
      <c r="B3467" s="136" t="s">
        <v>19040</v>
      </c>
      <c r="C3467" s="137">
        <v>113516</v>
      </c>
      <c r="D3467" s="136" t="s">
        <v>15549</v>
      </c>
      <c r="E3467" s="138">
        <v>937.2</v>
      </c>
      <c r="F3467" s="139">
        <v>42882</v>
      </c>
      <c r="G3467" s="140">
        <v>937.2</v>
      </c>
      <c r="H3467" s="138">
        <f t="shared" si="56"/>
        <v>0</v>
      </c>
      <c r="I3467" s="141" t="s">
        <v>15214</v>
      </c>
    </row>
    <row r="3468" spans="1:9" x14ac:dyDescent="0.25">
      <c r="A3468" s="167" t="s">
        <v>19011</v>
      </c>
      <c r="B3468" s="142" t="s">
        <v>19041</v>
      </c>
      <c r="C3468" s="143">
        <v>113517</v>
      </c>
      <c r="D3468" s="142" t="s">
        <v>15244</v>
      </c>
      <c r="E3468" s="144">
        <v>11868</v>
      </c>
      <c r="F3468" s="145">
        <v>42886</v>
      </c>
      <c r="G3468" s="146">
        <v>11868</v>
      </c>
      <c r="H3468" s="138">
        <f t="shared" si="56"/>
        <v>0</v>
      </c>
      <c r="I3468" s="147" t="s">
        <v>15214</v>
      </c>
    </row>
    <row r="3469" spans="1:9" x14ac:dyDescent="0.25">
      <c r="A3469" s="168" t="s">
        <v>19011</v>
      </c>
      <c r="B3469" s="136" t="s">
        <v>19042</v>
      </c>
      <c r="C3469" s="137">
        <v>113518</v>
      </c>
      <c r="D3469" s="136" t="s">
        <v>15252</v>
      </c>
      <c r="E3469" s="138">
        <v>6911.7</v>
      </c>
      <c r="F3469" s="157">
        <v>42891</v>
      </c>
      <c r="G3469" s="158">
        <v>6911.7</v>
      </c>
      <c r="H3469" s="138">
        <f t="shared" si="56"/>
        <v>0</v>
      </c>
      <c r="I3469" s="141" t="s">
        <v>15214</v>
      </c>
    </row>
    <row r="3470" spans="1:9" x14ac:dyDescent="0.25">
      <c r="A3470" s="167" t="s">
        <v>19011</v>
      </c>
      <c r="B3470" s="142" t="s">
        <v>19043</v>
      </c>
      <c r="C3470" s="143">
        <v>113519</v>
      </c>
      <c r="D3470" s="142" t="s">
        <v>15348</v>
      </c>
      <c r="E3470" s="144">
        <v>3151.4</v>
      </c>
      <c r="F3470" s="145">
        <v>42886</v>
      </c>
      <c r="G3470" s="146">
        <v>3151.4</v>
      </c>
      <c r="H3470" s="138">
        <f t="shared" si="56"/>
        <v>0</v>
      </c>
      <c r="I3470" s="147" t="s">
        <v>15214</v>
      </c>
    </row>
    <row r="3471" spans="1:9" x14ac:dyDescent="0.25">
      <c r="A3471" s="168" t="s">
        <v>19011</v>
      </c>
      <c r="B3471" s="136" t="s">
        <v>19044</v>
      </c>
      <c r="C3471" s="137">
        <v>113520</v>
      </c>
      <c r="D3471" s="136" t="s">
        <v>15240</v>
      </c>
      <c r="E3471" s="138">
        <v>1564.8</v>
      </c>
      <c r="F3471" s="139">
        <v>42886</v>
      </c>
      <c r="G3471" s="140">
        <v>1564.8</v>
      </c>
      <c r="H3471" s="138">
        <f t="shared" si="56"/>
        <v>0</v>
      </c>
      <c r="I3471" s="141" t="s">
        <v>15214</v>
      </c>
    </row>
    <row r="3472" spans="1:9" x14ac:dyDescent="0.25">
      <c r="A3472" s="167" t="s">
        <v>19011</v>
      </c>
      <c r="B3472" s="142" t="s">
        <v>19045</v>
      </c>
      <c r="C3472" s="143">
        <v>113521</v>
      </c>
      <c r="D3472" s="142" t="s">
        <v>15236</v>
      </c>
      <c r="E3472" s="144">
        <v>7514.4</v>
      </c>
      <c r="F3472" s="145">
        <v>42886</v>
      </c>
      <c r="G3472" s="146">
        <v>7514.4</v>
      </c>
      <c r="H3472" s="138">
        <f t="shared" si="56"/>
        <v>0</v>
      </c>
      <c r="I3472" s="147" t="s">
        <v>15214</v>
      </c>
    </row>
    <row r="3473" spans="1:9" x14ac:dyDescent="0.25">
      <c r="A3473" s="168" t="s">
        <v>19011</v>
      </c>
      <c r="B3473" s="136" t="s">
        <v>19046</v>
      </c>
      <c r="C3473" s="137">
        <v>113522</v>
      </c>
      <c r="D3473" s="136" t="s">
        <v>15378</v>
      </c>
      <c r="E3473" s="138">
        <v>665.8</v>
      </c>
      <c r="F3473" s="139">
        <v>42882</v>
      </c>
      <c r="G3473" s="140">
        <v>665.8</v>
      </c>
      <c r="H3473" s="138">
        <f t="shared" si="56"/>
        <v>0</v>
      </c>
      <c r="I3473" s="141" t="s">
        <v>15214</v>
      </c>
    </row>
    <row r="3474" spans="1:9" x14ac:dyDescent="0.25">
      <c r="A3474" s="167" t="s">
        <v>19011</v>
      </c>
      <c r="B3474" s="142" t="s">
        <v>19047</v>
      </c>
      <c r="C3474" s="143">
        <v>113523</v>
      </c>
      <c r="D3474" s="142" t="s">
        <v>15480</v>
      </c>
      <c r="E3474" s="144">
        <v>11003.4</v>
      </c>
      <c r="F3474" s="148" t="s">
        <v>19643</v>
      </c>
      <c r="G3474" s="149">
        <f>8500+2503.4</f>
        <v>11003.4</v>
      </c>
      <c r="H3474" s="138">
        <f t="shared" si="56"/>
        <v>0</v>
      </c>
      <c r="I3474" s="147" t="s">
        <v>15214</v>
      </c>
    </row>
    <row r="3475" spans="1:9" x14ac:dyDescent="0.25">
      <c r="A3475" s="168" t="s">
        <v>19011</v>
      </c>
      <c r="B3475" s="136" t="s">
        <v>19048</v>
      </c>
      <c r="C3475" s="137">
        <v>113524</v>
      </c>
      <c r="D3475" s="136" t="s">
        <v>15294</v>
      </c>
      <c r="E3475" s="138">
        <v>4537</v>
      </c>
      <c r="F3475" s="139">
        <v>42882</v>
      </c>
      <c r="G3475" s="140">
        <v>4537</v>
      </c>
      <c r="H3475" s="138">
        <f t="shared" si="56"/>
        <v>0</v>
      </c>
      <c r="I3475" s="141" t="s">
        <v>15214</v>
      </c>
    </row>
    <row r="3476" spans="1:9" x14ac:dyDescent="0.25">
      <c r="A3476" s="167" t="s">
        <v>19011</v>
      </c>
      <c r="B3476" s="142" t="s">
        <v>19049</v>
      </c>
      <c r="C3476" s="143">
        <v>113525</v>
      </c>
      <c r="D3476" s="142" t="s">
        <v>18544</v>
      </c>
      <c r="E3476" s="144">
        <v>2096.1999999999998</v>
      </c>
      <c r="F3476" s="145">
        <v>42882</v>
      </c>
      <c r="G3476" s="146">
        <v>2096.1999999999998</v>
      </c>
      <c r="H3476" s="138">
        <f t="shared" si="56"/>
        <v>0</v>
      </c>
      <c r="I3476" s="147" t="s">
        <v>15214</v>
      </c>
    </row>
    <row r="3477" spans="1:9" x14ac:dyDescent="0.25">
      <c r="A3477" s="168" t="s">
        <v>19011</v>
      </c>
      <c r="B3477" s="136" t="s">
        <v>19050</v>
      </c>
      <c r="C3477" s="137">
        <v>113526</v>
      </c>
      <c r="D3477" s="136" t="s">
        <v>15256</v>
      </c>
      <c r="E3477" s="138">
        <v>10062.6</v>
      </c>
      <c r="F3477" s="139">
        <v>42886</v>
      </c>
      <c r="G3477" s="140">
        <v>10062.6</v>
      </c>
      <c r="H3477" s="138">
        <f t="shared" si="56"/>
        <v>0</v>
      </c>
      <c r="I3477" s="141" t="s">
        <v>15214</v>
      </c>
    </row>
    <row r="3478" spans="1:9" x14ac:dyDescent="0.25">
      <c r="A3478" s="167" t="s">
        <v>19011</v>
      </c>
      <c r="B3478" s="142" t="s">
        <v>19051</v>
      </c>
      <c r="C3478" s="143">
        <v>113527</v>
      </c>
      <c r="D3478" s="142" t="s">
        <v>15662</v>
      </c>
      <c r="E3478" s="144">
        <v>5925.4</v>
      </c>
      <c r="F3478" s="145">
        <v>42882</v>
      </c>
      <c r="G3478" s="146">
        <v>5925.4</v>
      </c>
      <c r="H3478" s="138">
        <f t="shared" si="56"/>
        <v>0</v>
      </c>
      <c r="I3478" s="147" t="s">
        <v>15214</v>
      </c>
    </row>
    <row r="3479" spans="1:9" x14ac:dyDescent="0.25">
      <c r="A3479" s="168" t="s">
        <v>19011</v>
      </c>
      <c r="B3479" s="136" t="s">
        <v>19052</v>
      </c>
      <c r="C3479" s="137">
        <v>113528</v>
      </c>
      <c r="D3479" s="136" t="s">
        <v>5575</v>
      </c>
      <c r="E3479" s="138">
        <v>6437.2</v>
      </c>
      <c r="F3479" s="139">
        <v>42886</v>
      </c>
      <c r="G3479" s="140">
        <v>6437.2</v>
      </c>
      <c r="H3479" s="138">
        <f t="shared" si="56"/>
        <v>0</v>
      </c>
      <c r="I3479" s="141" t="s">
        <v>15214</v>
      </c>
    </row>
    <row r="3480" spans="1:9" x14ac:dyDescent="0.25">
      <c r="A3480" s="167" t="s">
        <v>19011</v>
      </c>
      <c r="B3480" s="142" t="s">
        <v>19053</v>
      </c>
      <c r="C3480" s="143">
        <v>113529</v>
      </c>
      <c r="D3480" s="142" t="s">
        <v>15246</v>
      </c>
      <c r="E3480" s="144">
        <v>681.6</v>
      </c>
      <c r="F3480" s="145">
        <v>42884</v>
      </c>
      <c r="G3480" s="146">
        <v>681.6</v>
      </c>
      <c r="H3480" s="138">
        <f t="shared" si="56"/>
        <v>0</v>
      </c>
      <c r="I3480" s="147" t="s">
        <v>15214</v>
      </c>
    </row>
    <row r="3481" spans="1:9" x14ac:dyDescent="0.25">
      <c r="A3481" s="168" t="s">
        <v>19011</v>
      </c>
      <c r="B3481" s="136" t="s">
        <v>19054</v>
      </c>
      <c r="C3481" s="137">
        <v>113530</v>
      </c>
      <c r="D3481" s="136" t="s">
        <v>15274</v>
      </c>
      <c r="E3481" s="138">
        <v>3699.1</v>
      </c>
      <c r="F3481" s="139">
        <v>42882</v>
      </c>
      <c r="G3481" s="140">
        <v>3699.1</v>
      </c>
      <c r="H3481" s="138">
        <f t="shared" si="56"/>
        <v>0</v>
      </c>
      <c r="I3481" s="141" t="s">
        <v>15214</v>
      </c>
    </row>
    <row r="3482" spans="1:9" x14ac:dyDescent="0.25">
      <c r="A3482" s="167" t="s">
        <v>19011</v>
      </c>
      <c r="B3482" s="142" t="s">
        <v>19055</v>
      </c>
      <c r="C3482" s="143">
        <v>113531</v>
      </c>
      <c r="D3482" s="142" t="s">
        <v>15220</v>
      </c>
      <c r="E3482" s="144">
        <v>5520</v>
      </c>
      <c r="F3482" s="145">
        <v>42882</v>
      </c>
      <c r="G3482" s="146">
        <v>5520</v>
      </c>
      <c r="H3482" s="138">
        <f t="shared" si="56"/>
        <v>0</v>
      </c>
      <c r="I3482" s="147" t="s">
        <v>15214</v>
      </c>
    </row>
    <row r="3483" spans="1:9" x14ac:dyDescent="0.25">
      <c r="A3483" s="168" t="s">
        <v>19011</v>
      </c>
      <c r="B3483" s="136" t="s">
        <v>19056</v>
      </c>
      <c r="C3483" s="137">
        <v>113532</v>
      </c>
      <c r="D3483" s="136" t="s">
        <v>15274</v>
      </c>
      <c r="E3483" s="138">
        <v>188</v>
      </c>
      <c r="F3483" s="139">
        <v>42882</v>
      </c>
      <c r="G3483" s="140">
        <v>188</v>
      </c>
      <c r="H3483" s="138">
        <f t="shared" si="56"/>
        <v>0</v>
      </c>
      <c r="I3483" s="141" t="s">
        <v>15214</v>
      </c>
    </row>
    <row r="3484" spans="1:9" x14ac:dyDescent="0.25">
      <c r="A3484" s="167" t="s">
        <v>19011</v>
      </c>
      <c r="B3484" s="142" t="s">
        <v>19057</v>
      </c>
      <c r="C3484" s="143">
        <v>113533</v>
      </c>
      <c r="D3484" s="142" t="s">
        <v>15226</v>
      </c>
      <c r="E3484" s="144">
        <v>1099.2</v>
      </c>
      <c r="F3484" s="145">
        <v>42884</v>
      </c>
      <c r="G3484" s="146">
        <v>1099.2</v>
      </c>
      <c r="H3484" s="138">
        <f t="shared" si="56"/>
        <v>0</v>
      </c>
      <c r="I3484" s="147" t="s">
        <v>15214</v>
      </c>
    </row>
    <row r="3485" spans="1:9" x14ac:dyDescent="0.25">
      <c r="A3485" s="168" t="s">
        <v>19011</v>
      </c>
      <c r="B3485" s="136" t="s">
        <v>19058</v>
      </c>
      <c r="C3485" s="137">
        <v>113534</v>
      </c>
      <c r="D3485" s="136" t="s">
        <v>4968</v>
      </c>
      <c r="E3485" s="138">
        <v>666.96</v>
      </c>
      <c r="F3485" s="139">
        <v>42882</v>
      </c>
      <c r="G3485" s="140">
        <v>666.96</v>
      </c>
      <c r="H3485" s="138">
        <f t="shared" si="56"/>
        <v>0</v>
      </c>
      <c r="I3485" s="141" t="s">
        <v>15214</v>
      </c>
    </row>
    <row r="3486" spans="1:9" x14ac:dyDescent="0.25">
      <c r="A3486" s="167" t="s">
        <v>19011</v>
      </c>
      <c r="B3486" s="142" t="s">
        <v>19059</v>
      </c>
      <c r="C3486" s="143">
        <v>113535</v>
      </c>
      <c r="D3486" s="142" t="s">
        <v>15324</v>
      </c>
      <c r="E3486" s="144">
        <v>1713</v>
      </c>
      <c r="F3486" s="145">
        <v>42882</v>
      </c>
      <c r="G3486" s="146">
        <v>1713</v>
      </c>
      <c r="H3486" s="138">
        <f t="shared" si="56"/>
        <v>0</v>
      </c>
      <c r="I3486" s="147" t="s">
        <v>15214</v>
      </c>
    </row>
    <row r="3487" spans="1:9" x14ac:dyDescent="0.25">
      <c r="A3487" s="168" t="s">
        <v>19011</v>
      </c>
      <c r="B3487" s="136" t="s">
        <v>19060</v>
      </c>
      <c r="C3487" s="137">
        <v>113536</v>
      </c>
      <c r="D3487" s="136" t="s">
        <v>15342</v>
      </c>
      <c r="E3487" s="138">
        <v>680.4</v>
      </c>
      <c r="F3487" s="139">
        <v>42882</v>
      </c>
      <c r="G3487" s="140">
        <v>680.4</v>
      </c>
      <c r="H3487" s="138">
        <f t="shared" si="56"/>
        <v>0</v>
      </c>
      <c r="I3487" s="141" t="s">
        <v>15214</v>
      </c>
    </row>
    <row r="3488" spans="1:9" x14ac:dyDescent="0.25">
      <c r="A3488" s="167" t="s">
        <v>19011</v>
      </c>
      <c r="B3488" s="142" t="s">
        <v>19061</v>
      </c>
      <c r="C3488" s="143">
        <v>113537</v>
      </c>
      <c r="D3488" s="142" t="s">
        <v>15282</v>
      </c>
      <c r="E3488" s="144">
        <v>3709.5</v>
      </c>
      <c r="F3488" s="145">
        <v>42882</v>
      </c>
      <c r="G3488" s="146">
        <v>3709.5</v>
      </c>
      <c r="H3488" s="138">
        <f t="shared" si="56"/>
        <v>0</v>
      </c>
      <c r="I3488" s="147" t="s">
        <v>15214</v>
      </c>
    </row>
    <row r="3489" spans="1:9" x14ac:dyDescent="0.25">
      <c r="A3489" s="168" t="s">
        <v>19011</v>
      </c>
      <c r="B3489" s="136" t="s">
        <v>19062</v>
      </c>
      <c r="C3489" s="137">
        <v>113538</v>
      </c>
      <c r="D3489" s="136" t="s">
        <v>15562</v>
      </c>
      <c r="E3489" s="138">
        <v>2608</v>
      </c>
      <c r="F3489" s="139">
        <v>42882</v>
      </c>
      <c r="G3489" s="140">
        <v>2608</v>
      </c>
      <c r="H3489" s="138">
        <f t="shared" si="56"/>
        <v>0</v>
      </c>
      <c r="I3489" s="141" t="s">
        <v>15214</v>
      </c>
    </row>
    <row r="3490" spans="1:9" x14ac:dyDescent="0.25">
      <c r="A3490" s="167" t="s">
        <v>19011</v>
      </c>
      <c r="B3490" s="142" t="s">
        <v>19063</v>
      </c>
      <c r="C3490" s="143">
        <v>113539</v>
      </c>
      <c r="D3490" s="142" t="s">
        <v>15315</v>
      </c>
      <c r="E3490" s="144">
        <v>2486.4</v>
      </c>
      <c r="F3490" s="145">
        <v>42882</v>
      </c>
      <c r="G3490" s="146">
        <v>2486.4</v>
      </c>
      <c r="H3490" s="138">
        <f t="shared" si="56"/>
        <v>0</v>
      </c>
      <c r="I3490" s="147" t="s">
        <v>15214</v>
      </c>
    </row>
    <row r="3491" spans="1:9" x14ac:dyDescent="0.25">
      <c r="A3491" s="168" t="s">
        <v>19011</v>
      </c>
      <c r="B3491" s="136" t="s">
        <v>19064</v>
      </c>
      <c r="C3491" s="137">
        <v>113540</v>
      </c>
      <c r="D3491" s="136" t="s">
        <v>15280</v>
      </c>
      <c r="E3491" s="138">
        <v>5349.2</v>
      </c>
      <c r="F3491" s="139">
        <v>42882</v>
      </c>
      <c r="G3491" s="140">
        <v>5349.2</v>
      </c>
      <c r="H3491" s="138">
        <f t="shared" si="56"/>
        <v>0</v>
      </c>
      <c r="I3491" s="141" t="s">
        <v>15214</v>
      </c>
    </row>
    <row r="3492" spans="1:9" x14ac:dyDescent="0.25">
      <c r="A3492" s="167" t="s">
        <v>19011</v>
      </c>
      <c r="B3492" s="142" t="s">
        <v>19065</v>
      </c>
      <c r="C3492" s="143">
        <v>113541</v>
      </c>
      <c r="D3492" s="142" t="s">
        <v>15858</v>
      </c>
      <c r="E3492" s="144">
        <v>2070.2399999999998</v>
      </c>
      <c r="F3492" s="145">
        <v>42882</v>
      </c>
      <c r="G3492" s="146">
        <v>2070.2399999999998</v>
      </c>
      <c r="H3492" s="138">
        <f t="shared" si="56"/>
        <v>0</v>
      </c>
      <c r="I3492" s="147" t="s">
        <v>15214</v>
      </c>
    </row>
    <row r="3493" spans="1:9" x14ac:dyDescent="0.25">
      <c r="A3493" s="168" t="s">
        <v>19011</v>
      </c>
      <c r="B3493" s="136" t="s">
        <v>19066</v>
      </c>
      <c r="C3493" s="137">
        <v>113542</v>
      </c>
      <c r="D3493" s="136" t="s">
        <v>15371</v>
      </c>
      <c r="E3493" s="138">
        <v>4088</v>
      </c>
      <c r="F3493" s="139">
        <v>42883</v>
      </c>
      <c r="G3493" s="140">
        <v>4088</v>
      </c>
      <c r="H3493" s="138">
        <f t="shared" si="56"/>
        <v>0</v>
      </c>
      <c r="I3493" s="141" t="s">
        <v>15214</v>
      </c>
    </row>
    <row r="3494" spans="1:9" x14ac:dyDescent="0.25">
      <c r="A3494" s="167" t="s">
        <v>19011</v>
      </c>
      <c r="B3494" s="142" t="s">
        <v>19067</v>
      </c>
      <c r="C3494" s="143">
        <v>113543</v>
      </c>
      <c r="D3494" s="142" t="s">
        <v>15530</v>
      </c>
      <c r="E3494" s="144">
        <v>4501.6000000000004</v>
      </c>
      <c r="F3494" s="145">
        <v>42882</v>
      </c>
      <c r="G3494" s="146">
        <v>4501.6000000000004</v>
      </c>
      <c r="H3494" s="138">
        <f t="shared" si="56"/>
        <v>0</v>
      </c>
      <c r="I3494" s="147" t="s">
        <v>15214</v>
      </c>
    </row>
    <row r="3495" spans="1:9" x14ac:dyDescent="0.25">
      <c r="A3495" s="168" t="s">
        <v>19011</v>
      </c>
      <c r="B3495" s="136" t="s">
        <v>19068</v>
      </c>
      <c r="C3495" s="137">
        <v>113544</v>
      </c>
      <c r="D3495" s="136" t="s">
        <v>17210</v>
      </c>
      <c r="E3495" s="138">
        <v>2871.4</v>
      </c>
      <c r="F3495" s="139">
        <v>42882</v>
      </c>
      <c r="G3495" s="140">
        <v>2871.4</v>
      </c>
      <c r="H3495" s="138">
        <f t="shared" si="56"/>
        <v>0</v>
      </c>
      <c r="I3495" s="141" t="s">
        <v>15214</v>
      </c>
    </row>
    <row r="3496" spans="1:9" x14ac:dyDescent="0.25">
      <c r="A3496" s="167" t="s">
        <v>19011</v>
      </c>
      <c r="B3496" s="142" t="s">
        <v>19069</v>
      </c>
      <c r="C3496" s="143">
        <v>113545</v>
      </c>
      <c r="D3496" s="142" t="s">
        <v>15332</v>
      </c>
      <c r="E3496" s="144">
        <v>3777.9</v>
      </c>
      <c r="F3496" s="145">
        <v>42882</v>
      </c>
      <c r="G3496" s="146">
        <v>3777.9</v>
      </c>
      <c r="H3496" s="138">
        <f t="shared" si="56"/>
        <v>0</v>
      </c>
      <c r="I3496" s="147" t="s">
        <v>15214</v>
      </c>
    </row>
    <row r="3497" spans="1:9" x14ac:dyDescent="0.25">
      <c r="A3497" s="168" t="s">
        <v>19011</v>
      </c>
      <c r="B3497" s="136" t="s">
        <v>19070</v>
      </c>
      <c r="C3497" s="137">
        <v>113546</v>
      </c>
      <c r="D3497" s="136" t="s">
        <v>15526</v>
      </c>
      <c r="E3497" s="138">
        <v>4863.3</v>
      </c>
      <c r="F3497" s="139">
        <v>42882</v>
      </c>
      <c r="G3497" s="140">
        <v>4863.3</v>
      </c>
      <c r="H3497" s="138">
        <f t="shared" si="56"/>
        <v>0</v>
      </c>
      <c r="I3497" s="141" t="s">
        <v>15214</v>
      </c>
    </row>
    <row r="3498" spans="1:9" x14ac:dyDescent="0.25">
      <c r="A3498" s="167" t="s">
        <v>19011</v>
      </c>
      <c r="B3498" s="142" t="s">
        <v>19071</v>
      </c>
      <c r="C3498" s="143">
        <v>113547</v>
      </c>
      <c r="D3498" s="142" t="s">
        <v>15344</v>
      </c>
      <c r="E3498" s="144">
        <v>2175.6</v>
      </c>
      <c r="F3498" s="145">
        <v>42882</v>
      </c>
      <c r="G3498" s="146">
        <v>2175.6</v>
      </c>
      <c r="H3498" s="138">
        <f t="shared" si="56"/>
        <v>0</v>
      </c>
      <c r="I3498" s="147" t="s">
        <v>15214</v>
      </c>
    </row>
    <row r="3499" spans="1:9" x14ac:dyDescent="0.25">
      <c r="A3499" s="168" t="s">
        <v>19011</v>
      </c>
      <c r="B3499" s="136" t="s">
        <v>19072</v>
      </c>
      <c r="C3499" s="137">
        <v>113548</v>
      </c>
      <c r="D3499" s="136" t="s">
        <v>15861</v>
      </c>
      <c r="E3499" s="138">
        <v>1729.7</v>
      </c>
      <c r="F3499" s="139">
        <v>42882</v>
      </c>
      <c r="G3499" s="140">
        <v>1729.7</v>
      </c>
      <c r="H3499" s="138">
        <f t="shared" si="56"/>
        <v>0</v>
      </c>
      <c r="I3499" s="141" t="s">
        <v>15214</v>
      </c>
    </row>
    <row r="3500" spans="1:9" x14ac:dyDescent="0.25">
      <c r="A3500" s="167" t="s">
        <v>19011</v>
      </c>
      <c r="B3500" s="142" t="s">
        <v>19073</v>
      </c>
      <c r="C3500" s="143">
        <v>113549</v>
      </c>
      <c r="D3500" s="142" t="s">
        <v>15336</v>
      </c>
      <c r="E3500" s="144">
        <v>7008.6</v>
      </c>
      <c r="F3500" s="145">
        <v>42882</v>
      </c>
      <c r="G3500" s="146">
        <v>7008.6</v>
      </c>
      <c r="H3500" s="138">
        <f t="shared" si="56"/>
        <v>0</v>
      </c>
      <c r="I3500" s="147" t="s">
        <v>15214</v>
      </c>
    </row>
    <row r="3501" spans="1:9" x14ac:dyDescent="0.25">
      <c r="A3501" s="168" t="s">
        <v>19011</v>
      </c>
      <c r="B3501" s="136" t="s">
        <v>19074</v>
      </c>
      <c r="C3501" s="137">
        <v>113550</v>
      </c>
      <c r="D3501" s="136" t="s">
        <v>16023</v>
      </c>
      <c r="E3501" s="138">
        <v>2032</v>
      </c>
      <c r="F3501" s="139">
        <v>42882</v>
      </c>
      <c r="G3501" s="140">
        <v>2032</v>
      </c>
      <c r="H3501" s="138">
        <f t="shared" si="56"/>
        <v>0</v>
      </c>
      <c r="I3501" s="141" t="s">
        <v>15214</v>
      </c>
    </row>
    <row r="3502" spans="1:9" x14ac:dyDescent="0.25">
      <c r="A3502" s="167" t="s">
        <v>19011</v>
      </c>
      <c r="B3502" s="142" t="s">
        <v>19075</v>
      </c>
      <c r="C3502" s="143">
        <v>113551</v>
      </c>
      <c r="D3502" s="142" t="s">
        <v>15358</v>
      </c>
      <c r="E3502" s="144">
        <v>3637.8</v>
      </c>
      <c r="F3502" s="145">
        <v>42882</v>
      </c>
      <c r="G3502" s="146">
        <v>3637.8</v>
      </c>
      <c r="H3502" s="138">
        <f t="shared" si="56"/>
        <v>0</v>
      </c>
      <c r="I3502" s="147" t="s">
        <v>15214</v>
      </c>
    </row>
    <row r="3503" spans="1:9" x14ac:dyDescent="0.25">
      <c r="A3503" s="168" t="s">
        <v>19011</v>
      </c>
      <c r="B3503" s="136" t="s">
        <v>19076</v>
      </c>
      <c r="C3503" s="137">
        <v>113552</v>
      </c>
      <c r="D3503" s="136" t="s">
        <v>15315</v>
      </c>
      <c r="E3503" s="138">
        <v>3205.8</v>
      </c>
      <c r="F3503" s="139">
        <v>42882</v>
      </c>
      <c r="G3503" s="140">
        <v>3205.8</v>
      </c>
      <c r="H3503" s="138">
        <f t="shared" si="56"/>
        <v>0</v>
      </c>
      <c r="I3503" s="141" t="s">
        <v>15214</v>
      </c>
    </row>
    <row r="3504" spans="1:9" x14ac:dyDescent="0.25">
      <c r="A3504" s="167" t="s">
        <v>19011</v>
      </c>
      <c r="B3504" s="142" t="s">
        <v>19077</v>
      </c>
      <c r="C3504" s="143">
        <v>113553</v>
      </c>
      <c r="D3504" s="142" t="s">
        <v>15854</v>
      </c>
      <c r="E3504" s="144">
        <v>1992</v>
      </c>
      <c r="F3504" s="145">
        <v>42882</v>
      </c>
      <c r="G3504" s="146">
        <v>1992</v>
      </c>
      <c r="H3504" s="138">
        <f t="shared" si="56"/>
        <v>0</v>
      </c>
      <c r="I3504" s="147" t="s">
        <v>15214</v>
      </c>
    </row>
    <row r="3505" spans="1:9" x14ac:dyDescent="0.25">
      <c r="A3505" s="168" t="s">
        <v>19011</v>
      </c>
      <c r="B3505" s="136" t="s">
        <v>19078</v>
      </c>
      <c r="C3505" s="137">
        <v>113554</v>
      </c>
      <c r="D3505" s="136" t="s">
        <v>15356</v>
      </c>
      <c r="E3505" s="138">
        <v>2780</v>
      </c>
      <c r="F3505" s="139">
        <v>42882</v>
      </c>
      <c r="G3505" s="140">
        <v>2780</v>
      </c>
      <c r="H3505" s="138">
        <f t="shared" si="56"/>
        <v>0</v>
      </c>
      <c r="I3505" s="141" t="s">
        <v>15214</v>
      </c>
    </row>
    <row r="3506" spans="1:9" x14ac:dyDescent="0.25">
      <c r="A3506" s="167" t="s">
        <v>19011</v>
      </c>
      <c r="B3506" s="142" t="s">
        <v>19079</v>
      </c>
      <c r="C3506" s="143">
        <v>113555</v>
      </c>
      <c r="D3506" s="142" t="s">
        <v>15350</v>
      </c>
      <c r="E3506" s="144">
        <v>2169.6</v>
      </c>
      <c r="F3506" s="145">
        <v>42882</v>
      </c>
      <c r="G3506" s="146">
        <v>2169.6</v>
      </c>
      <c r="H3506" s="138">
        <f t="shared" si="56"/>
        <v>0</v>
      </c>
      <c r="I3506" s="147" t="s">
        <v>15214</v>
      </c>
    </row>
    <row r="3507" spans="1:9" x14ac:dyDescent="0.25">
      <c r="A3507" s="168" t="s">
        <v>19011</v>
      </c>
      <c r="B3507" s="136" t="s">
        <v>19080</v>
      </c>
      <c r="C3507" s="137">
        <v>113556</v>
      </c>
      <c r="D3507" s="136" t="s">
        <v>17057</v>
      </c>
      <c r="E3507" s="138">
        <v>1884.8</v>
      </c>
      <c r="F3507" s="139">
        <v>42882</v>
      </c>
      <c r="G3507" s="140">
        <v>1884.8</v>
      </c>
      <c r="H3507" s="138">
        <f t="shared" si="56"/>
        <v>0</v>
      </c>
      <c r="I3507" s="141" t="s">
        <v>15214</v>
      </c>
    </row>
    <row r="3508" spans="1:9" x14ac:dyDescent="0.25">
      <c r="A3508" s="167" t="s">
        <v>19011</v>
      </c>
      <c r="B3508" s="142" t="s">
        <v>19081</v>
      </c>
      <c r="C3508" s="143">
        <v>113557</v>
      </c>
      <c r="D3508" s="142" t="s">
        <v>15334</v>
      </c>
      <c r="E3508" s="144">
        <v>908</v>
      </c>
      <c r="F3508" s="145">
        <v>42882</v>
      </c>
      <c r="G3508" s="146">
        <v>908</v>
      </c>
      <c r="H3508" s="138">
        <f t="shared" si="56"/>
        <v>0</v>
      </c>
      <c r="I3508" s="147" t="s">
        <v>15214</v>
      </c>
    </row>
    <row r="3509" spans="1:9" x14ac:dyDescent="0.25">
      <c r="A3509" s="168" t="s">
        <v>19011</v>
      </c>
      <c r="B3509" s="136" t="s">
        <v>19082</v>
      </c>
      <c r="C3509" s="137">
        <v>113558</v>
      </c>
      <c r="D3509" s="136" t="s">
        <v>15334</v>
      </c>
      <c r="E3509" s="138">
        <v>2272.1999999999998</v>
      </c>
      <c r="F3509" s="139">
        <v>42882</v>
      </c>
      <c r="G3509" s="140">
        <v>2272.1999999999998</v>
      </c>
      <c r="H3509" s="138">
        <f t="shared" si="56"/>
        <v>0</v>
      </c>
      <c r="I3509" s="141" t="s">
        <v>15214</v>
      </c>
    </row>
    <row r="3510" spans="1:9" x14ac:dyDescent="0.25">
      <c r="A3510" s="167" t="s">
        <v>19011</v>
      </c>
      <c r="B3510" s="142" t="s">
        <v>19083</v>
      </c>
      <c r="C3510" s="143">
        <v>113559</v>
      </c>
      <c r="D3510" s="142" t="s">
        <v>16171</v>
      </c>
      <c r="E3510" s="144">
        <v>408.8</v>
      </c>
      <c r="F3510" s="145">
        <v>42882</v>
      </c>
      <c r="G3510" s="146">
        <v>408.8</v>
      </c>
      <c r="H3510" s="138">
        <f t="shared" si="56"/>
        <v>0</v>
      </c>
      <c r="I3510" s="147" t="s">
        <v>15214</v>
      </c>
    </row>
    <row r="3511" spans="1:9" x14ac:dyDescent="0.25">
      <c r="A3511" s="168" t="s">
        <v>19011</v>
      </c>
      <c r="B3511" s="136" t="s">
        <v>19084</v>
      </c>
      <c r="C3511" s="137">
        <v>113560</v>
      </c>
      <c r="D3511" s="136" t="s">
        <v>15706</v>
      </c>
      <c r="E3511" s="138">
        <v>632.70000000000005</v>
      </c>
      <c r="F3511" s="139">
        <v>42882</v>
      </c>
      <c r="G3511" s="140">
        <v>632.70000000000005</v>
      </c>
      <c r="H3511" s="138">
        <f t="shared" si="56"/>
        <v>0</v>
      </c>
      <c r="I3511" s="141" t="s">
        <v>15214</v>
      </c>
    </row>
    <row r="3512" spans="1:9" x14ac:dyDescent="0.25">
      <c r="A3512" s="167" t="s">
        <v>19011</v>
      </c>
      <c r="B3512" s="142" t="s">
        <v>19085</v>
      </c>
      <c r="C3512" s="143">
        <v>113561</v>
      </c>
      <c r="D3512" s="142" t="s">
        <v>16249</v>
      </c>
      <c r="E3512" s="144">
        <v>3405.7</v>
      </c>
      <c r="F3512" s="145">
        <v>42882</v>
      </c>
      <c r="G3512" s="146">
        <v>3405.7</v>
      </c>
      <c r="H3512" s="138">
        <f t="shared" si="56"/>
        <v>0</v>
      </c>
      <c r="I3512" s="147" t="s">
        <v>15214</v>
      </c>
    </row>
    <row r="3513" spans="1:9" x14ac:dyDescent="0.25">
      <c r="A3513" s="168" t="s">
        <v>19011</v>
      </c>
      <c r="B3513" s="136" t="s">
        <v>19086</v>
      </c>
      <c r="C3513" s="137">
        <v>113562</v>
      </c>
      <c r="D3513" s="136" t="s">
        <v>15315</v>
      </c>
      <c r="E3513" s="138">
        <v>5129.2</v>
      </c>
      <c r="F3513" s="139">
        <v>42882</v>
      </c>
      <c r="G3513" s="140">
        <v>5129.2</v>
      </c>
      <c r="H3513" s="138">
        <f t="shared" si="56"/>
        <v>0</v>
      </c>
      <c r="I3513" s="141" t="s">
        <v>15214</v>
      </c>
    </row>
    <row r="3514" spans="1:9" x14ac:dyDescent="0.25">
      <c r="A3514" s="167" t="s">
        <v>19011</v>
      </c>
      <c r="B3514" s="142" t="s">
        <v>19087</v>
      </c>
      <c r="C3514" s="143">
        <v>113563</v>
      </c>
      <c r="D3514" s="142" t="s">
        <v>15391</v>
      </c>
      <c r="E3514" s="144">
        <v>11632.8</v>
      </c>
      <c r="F3514" s="145">
        <v>42883</v>
      </c>
      <c r="G3514" s="146">
        <v>11632.8</v>
      </c>
      <c r="H3514" s="138">
        <f t="shared" si="56"/>
        <v>0</v>
      </c>
      <c r="I3514" s="147" t="s">
        <v>15214</v>
      </c>
    </row>
    <row r="3515" spans="1:9" x14ac:dyDescent="0.25">
      <c r="A3515" s="168" t="s">
        <v>19011</v>
      </c>
      <c r="B3515" s="136" t="s">
        <v>19088</v>
      </c>
      <c r="C3515" s="137">
        <v>113564</v>
      </c>
      <c r="D3515" s="136" t="s">
        <v>15315</v>
      </c>
      <c r="E3515" s="138">
        <v>534.6</v>
      </c>
      <c r="F3515" s="139">
        <v>42882</v>
      </c>
      <c r="G3515" s="140">
        <v>534.6</v>
      </c>
      <c r="H3515" s="138">
        <f t="shared" si="56"/>
        <v>0</v>
      </c>
      <c r="I3515" s="141" t="s">
        <v>15214</v>
      </c>
    </row>
    <row r="3516" spans="1:9" ht="15.75" x14ac:dyDescent="0.25">
      <c r="A3516" s="167" t="s">
        <v>19011</v>
      </c>
      <c r="B3516" s="142" t="s">
        <v>19089</v>
      </c>
      <c r="C3516" s="143">
        <v>113565</v>
      </c>
      <c r="D3516" s="142" t="s">
        <v>15590</v>
      </c>
      <c r="E3516" s="144">
        <v>0</v>
      </c>
      <c r="F3516" s="156" t="s">
        <v>95</v>
      </c>
      <c r="G3516" s="144">
        <v>0</v>
      </c>
      <c r="H3516" s="138">
        <f t="shared" si="56"/>
        <v>0</v>
      </c>
      <c r="I3516" s="147" t="s">
        <v>95</v>
      </c>
    </row>
    <row r="3517" spans="1:9" x14ac:dyDescent="0.25">
      <c r="A3517" s="168" t="s">
        <v>19011</v>
      </c>
      <c r="B3517" s="136" t="s">
        <v>19090</v>
      </c>
      <c r="C3517" s="137">
        <v>113566</v>
      </c>
      <c r="D3517" s="136" t="s">
        <v>15363</v>
      </c>
      <c r="E3517" s="138">
        <v>5042.2</v>
      </c>
      <c r="F3517" s="139">
        <v>42883</v>
      </c>
      <c r="G3517" s="140">
        <v>5042.2</v>
      </c>
      <c r="H3517" s="138">
        <f t="shared" si="56"/>
        <v>0</v>
      </c>
      <c r="I3517" s="141" t="s">
        <v>15214</v>
      </c>
    </row>
    <row r="3518" spans="1:9" x14ac:dyDescent="0.25">
      <c r="A3518" s="167" t="s">
        <v>19011</v>
      </c>
      <c r="B3518" s="142" t="s">
        <v>19091</v>
      </c>
      <c r="C3518" s="143">
        <v>113567</v>
      </c>
      <c r="D3518" s="142" t="s">
        <v>15361</v>
      </c>
      <c r="E3518" s="144">
        <v>8747.7000000000007</v>
      </c>
      <c r="F3518" s="145">
        <v>42882</v>
      </c>
      <c r="G3518" s="146">
        <v>8747.7000000000007</v>
      </c>
      <c r="H3518" s="138">
        <f t="shared" si="56"/>
        <v>0</v>
      </c>
      <c r="I3518" s="147" t="s">
        <v>15214</v>
      </c>
    </row>
    <row r="3519" spans="1:9" x14ac:dyDescent="0.25">
      <c r="A3519" s="168" t="s">
        <v>19011</v>
      </c>
      <c r="B3519" s="136" t="s">
        <v>19092</v>
      </c>
      <c r="C3519" s="137">
        <v>113568</v>
      </c>
      <c r="D3519" s="136" t="s">
        <v>15315</v>
      </c>
      <c r="E3519" s="138">
        <v>504.8</v>
      </c>
      <c r="F3519" s="139">
        <v>42883</v>
      </c>
      <c r="G3519" s="140">
        <v>504.8</v>
      </c>
      <c r="H3519" s="138">
        <f t="shared" si="56"/>
        <v>0</v>
      </c>
      <c r="I3519" s="141" t="s">
        <v>15214</v>
      </c>
    </row>
    <row r="3520" spans="1:9" x14ac:dyDescent="0.25">
      <c r="A3520" s="167" t="s">
        <v>19011</v>
      </c>
      <c r="B3520" s="142" t="s">
        <v>19093</v>
      </c>
      <c r="C3520" s="143">
        <v>113569</v>
      </c>
      <c r="D3520" s="142" t="s">
        <v>15396</v>
      </c>
      <c r="E3520" s="144">
        <v>6521.64</v>
      </c>
      <c r="F3520" s="145">
        <v>42882</v>
      </c>
      <c r="G3520" s="146">
        <v>6521.64</v>
      </c>
      <c r="H3520" s="138">
        <f t="shared" si="56"/>
        <v>0</v>
      </c>
      <c r="I3520" s="147" t="s">
        <v>15214</v>
      </c>
    </row>
    <row r="3521" spans="1:9" x14ac:dyDescent="0.25">
      <c r="A3521" s="168" t="s">
        <v>19011</v>
      </c>
      <c r="B3521" s="136" t="s">
        <v>19094</v>
      </c>
      <c r="C3521" s="137">
        <v>113570</v>
      </c>
      <c r="D3521" s="136" t="s">
        <v>15385</v>
      </c>
      <c r="E3521" s="138">
        <v>9780.4</v>
      </c>
      <c r="F3521" s="139">
        <v>42883</v>
      </c>
      <c r="G3521" s="140">
        <v>9780.4</v>
      </c>
      <c r="H3521" s="138">
        <f t="shared" si="56"/>
        <v>0</v>
      </c>
      <c r="I3521" s="141" t="s">
        <v>15214</v>
      </c>
    </row>
    <row r="3522" spans="1:9" x14ac:dyDescent="0.25">
      <c r="A3522" s="167" t="s">
        <v>19011</v>
      </c>
      <c r="B3522" s="142" t="s">
        <v>19095</v>
      </c>
      <c r="C3522" s="143">
        <v>113571</v>
      </c>
      <c r="D3522" s="142" t="s">
        <v>15590</v>
      </c>
      <c r="E3522" s="144">
        <v>38252.800000000003</v>
      </c>
      <c r="F3522" s="148">
        <v>42895</v>
      </c>
      <c r="G3522" s="149">
        <v>38252.800000000003</v>
      </c>
      <c r="H3522" s="138">
        <f t="shared" si="56"/>
        <v>0</v>
      </c>
      <c r="I3522" s="147" t="s">
        <v>15214</v>
      </c>
    </row>
    <row r="3523" spans="1:9" x14ac:dyDescent="0.25">
      <c r="A3523" s="168" t="s">
        <v>19011</v>
      </c>
      <c r="B3523" s="136" t="s">
        <v>19096</v>
      </c>
      <c r="C3523" s="137">
        <v>113572</v>
      </c>
      <c r="D3523" s="136" t="s">
        <v>15361</v>
      </c>
      <c r="E3523" s="138">
        <v>13827.6</v>
      </c>
      <c r="F3523" s="139">
        <v>42883</v>
      </c>
      <c r="G3523" s="140">
        <v>13827.6</v>
      </c>
      <c r="H3523" s="138">
        <f t="shared" si="56"/>
        <v>0</v>
      </c>
      <c r="I3523" s="141" t="s">
        <v>15214</v>
      </c>
    </row>
    <row r="3524" spans="1:9" x14ac:dyDescent="0.25">
      <c r="A3524" s="167" t="s">
        <v>19011</v>
      </c>
      <c r="B3524" s="142" t="s">
        <v>19097</v>
      </c>
      <c r="C3524" s="143">
        <v>113573</v>
      </c>
      <c r="D3524" s="142" t="s">
        <v>15624</v>
      </c>
      <c r="E3524" s="144">
        <v>33843.300000000003</v>
      </c>
      <c r="F3524" s="145">
        <v>42883</v>
      </c>
      <c r="G3524" s="146">
        <v>33843.300000000003</v>
      </c>
      <c r="H3524" s="138">
        <f t="shared" si="56"/>
        <v>0</v>
      </c>
      <c r="I3524" s="147" t="s">
        <v>15214</v>
      </c>
    </row>
    <row r="3525" spans="1:9" x14ac:dyDescent="0.25">
      <c r="A3525" s="168" t="s">
        <v>19011</v>
      </c>
      <c r="B3525" s="136" t="s">
        <v>19098</v>
      </c>
      <c r="C3525" s="137">
        <v>113574</v>
      </c>
      <c r="D3525" s="136" t="s">
        <v>15246</v>
      </c>
      <c r="E3525" s="138">
        <v>963.8</v>
      </c>
      <c r="F3525" s="139">
        <v>42884</v>
      </c>
      <c r="G3525" s="140">
        <v>963.8</v>
      </c>
      <c r="H3525" s="138">
        <f t="shared" si="56"/>
        <v>0</v>
      </c>
      <c r="I3525" s="141" t="s">
        <v>15214</v>
      </c>
    </row>
    <row r="3526" spans="1:9" ht="15.75" x14ac:dyDescent="0.25">
      <c r="A3526" s="167" t="s">
        <v>19011</v>
      </c>
      <c r="B3526" s="142" t="s">
        <v>19099</v>
      </c>
      <c r="C3526" s="143">
        <v>113575</v>
      </c>
      <c r="D3526" s="142" t="s">
        <v>16732</v>
      </c>
      <c r="E3526" s="144">
        <v>0</v>
      </c>
      <c r="F3526" s="156" t="s">
        <v>95</v>
      </c>
      <c r="G3526" s="144">
        <v>0</v>
      </c>
      <c r="H3526" s="138">
        <f t="shared" si="56"/>
        <v>0</v>
      </c>
      <c r="I3526" s="147" t="s">
        <v>95</v>
      </c>
    </row>
    <row r="3527" spans="1:9" x14ac:dyDescent="0.25">
      <c r="A3527" s="168" t="s">
        <v>19011</v>
      </c>
      <c r="B3527" s="136" t="s">
        <v>19100</v>
      </c>
      <c r="C3527" s="137">
        <v>113576</v>
      </c>
      <c r="D3527" s="136" t="s">
        <v>16732</v>
      </c>
      <c r="E3527" s="138">
        <v>31608.5</v>
      </c>
      <c r="F3527" s="139">
        <v>42883</v>
      </c>
      <c r="G3527" s="140">
        <v>31608.5</v>
      </c>
      <c r="H3527" s="138">
        <f t="shared" ref="H3527:H3590" si="57">E3527-G3527</f>
        <v>0</v>
      </c>
      <c r="I3527" s="141" t="s">
        <v>15214</v>
      </c>
    </row>
    <row r="3528" spans="1:9" x14ac:dyDescent="0.25">
      <c r="A3528" s="167" t="s">
        <v>19011</v>
      </c>
      <c r="B3528" s="142" t="s">
        <v>19101</v>
      </c>
      <c r="C3528" s="143">
        <v>113577</v>
      </c>
      <c r="D3528" s="142" t="s">
        <v>15537</v>
      </c>
      <c r="E3528" s="144">
        <v>17345</v>
      </c>
      <c r="F3528" s="145">
        <v>42886</v>
      </c>
      <c r="G3528" s="146">
        <v>17345</v>
      </c>
      <c r="H3528" s="138">
        <f t="shared" si="57"/>
        <v>0</v>
      </c>
      <c r="I3528" s="147" t="s">
        <v>15214</v>
      </c>
    </row>
    <row r="3529" spans="1:9" x14ac:dyDescent="0.25">
      <c r="A3529" s="168" t="s">
        <v>19011</v>
      </c>
      <c r="B3529" s="136" t="s">
        <v>19102</v>
      </c>
      <c r="C3529" s="137">
        <v>113578</v>
      </c>
      <c r="D3529" s="136" t="s">
        <v>15566</v>
      </c>
      <c r="E3529" s="138">
        <v>3192</v>
      </c>
      <c r="F3529" s="139">
        <v>42882</v>
      </c>
      <c r="G3529" s="140">
        <v>3192</v>
      </c>
      <c r="H3529" s="138">
        <f t="shared" si="57"/>
        <v>0</v>
      </c>
      <c r="I3529" s="141" t="s">
        <v>15214</v>
      </c>
    </row>
    <row r="3530" spans="1:9" x14ac:dyDescent="0.25">
      <c r="A3530" s="167" t="s">
        <v>19011</v>
      </c>
      <c r="B3530" s="142" t="s">
        <v>19103</v>
      </c>
      <c r="C3530" s="143">
        <v>113579</v>
      </c>
      <c r="D3530" s="142" t="s">
        <v>17708</v>
      </c>
      <c r="E3530" s="144">
        <v>7054.7</v>
      </c>
      <c r="F3530" s="145">
        <v>42886</v>
      </c>
      <c r="G3530" s="146">
        <v>7054.7</v>
      </c>
      <c r="H3530" s="138">
        <f t="shared" si="57"/>
        <v>0</v>
      </c>
      <c r="I3530" s="147" t="s">
        <v>15214</v>
      </c>
    </row>
    <row r="3531" spans="1:9" x14ac:dyDescent="0.25">
      <c r="A3531" s="168" t="s">
        <v>19011</v>
      </c>
      <c r="B3531" s="136" t="s">
        <v>19104</v>
      </c>
      <c r="C3531" s="137">
        <v>113580</v>
      </c>
      <c r="D3531" s="136" t="s">
        <v>15577</v>
      </c>
      <c r="E3531" s="138">
        <v>512.29999999999995</v>
      </c>
      <c r="F3531" s="139">
        <v>42882</v>
      </c>
      <c r="G3531" s="140">
        <v>512.29999999999995</v>
      </c>
      <c r="H3531" s="138">
        <f t="shared" si="57"/>
        <v>0</v>
      </c>
      <c r="I3531" s="141" t="s">
        <v>15214</v>
      </c>
    </row>
    <row r="3532" spans="1:9" x14ac:dyDescent="0.25">
      <c r="A3532" s="167" t="s">
        <v>19011</v>
      </c>
      <c r="B3532" s="142" t="s">
        <v>19105</v>
      </c>
      <c r="C3532" s="143">
        <v>113581</v>
      </c>
      <c r="D3532" s="142" t="s">
        <v>15539</v>
      </c>
      <c r="E3532" s="144">
        <v>16191.8</v>
      </c>
      <c r="F3532" s="145">
        <v>42886</v>
      </c>
      <c r="G3532" s="146">
        <v>16191.8</v>
      </c>
      <c r="H3532" s="138">
        <f t="shared" si="57"/>
        <v>0</v>
      </c>
      <c r="I3532" s="147" t="s">
        <v>15214</v>
      </c>
    </row>
    <row r="3533" spans="1:9" x14ac:dyDescent="0.25">
      <c r="A3533" s="168" t="s">
        <v>19011</v>
      </c>
      <c r="B3533" s="136" t="s">
        <v>19106</v>
      </c>
      <c r="C3533" s="137">
        <v>113582</v>
      </c>
      <c r="D3533" s="136" t="s">
        <v>15833</v>
      </c>
      <c r="E3533" s="138">
        <v>16044.6</v>
      </c>
      <c r="F3533" s="139">
        <v>42886</v>
      </c>
      <c r="G3533" s="140">
        <v>16044.6</v>
      </c>
      <c r="H3533" s="138">
        <f t="shared" si="57"/>
        <v>0</v>
      </c>
      <c r="I3533" s="141" t="s">
        <v>15214</v>
      </c>
    </row>
    <row r="3534" spans="1:9" x14ac:dyDescent="0.25">
      <c r="A3534" s="167" t="s">
        <v>19011</v>
      </c>
      <c r="B3534" s="142" t="s">
        <v>19107</v>
      </c>
      <c r="C3534" s="143">
        <v>113583</v>
      </c>
      <c r="D3534" s="142" t="s">
        <v>15559</v>
      </c>
      <c r="E3534" s="144">
        <v>4258.3999999999996</v>
      </c>
      <c r="F3534" s="145">
        <v>42886</v>
      </c>
      <c r="G3534" s="146">
        <v>4258.3999999999996</v>
      </c>
      <c r="H3534" s="138">
        <f t="shared" si="57"/>
        <v>0</v>
      </c>
      <c r="I3534" s="147" t="s">
        <v>15214</v>
      </c>
    </row>
    <row r="3535" spans="1:9" x14ac:dyDescent="0.25">
      <c r="A3535" s="168" t="s">
        <v>19011</v>
      </c>
      <c r="B3535" s="136" t="s">
        <v>19108</v>
      </c>
      <c r="C3535" s="137">
        <v>113584</v>
      </c>
      <c r="D3535" s="136" t="s">
        <v>15555</v>
      </c>
      <c r="E3535" s="138">
        <v>1251</v>
      </c>
      <c r="F3535" s="157">
        <v>42888</v>
      </c>
      <c r="G3535" s="158">
        <v>1251</v>
      </c>
      <c r="H3535" s="138">
        <f t="shared" si="57"/>
        <v>0</v>
      </c>
      <c r="I3535" s="141" t="s">
        <v>15214</v>
      </c>
    </row>
    <row r="3536" spans="1:9" x14ac:dyDescent="0.25">
      <c r="A3536" s="167" t="s">
        <v>19011</v>
      </c>
      <c r="B3536" s="142" t="s">
        <v>19109</v>
      </c>
      <c r="C3536" s="143">
        <v>113585</v>
      </c>
      <c r="D3536" s="142" t="s">
        <v>15544</v>
      </c>
      <c r="E3536" s="144">
        <v>3275.6</v>
      </c>
      <c r="F3536" s="145">
        <v>42886</v>
      </c>
      <c r="G3536" s="146">
        <v>3275.6</v>
      </c>
      <c r="H3536" s="138">
        <f t="shared" si="57"/>
        <v>0</v>
      </c>
      <c r="I3536" s="147" t="s">
        <v>15214</v>
      </c>
    </row>
    <row r="3537" spans="1:9" x14ac:dyDescent="0.25">
      <c r="A3537" s="168" t="s">
        <v>19011</v>
      </c>
      <c r="B3537" s="136" t="s">
        <v>19110</v>
      </c>
      <c r="C3537" s="137">
        <v>113586</v>
      </c>
      <c r="D3537" s="136" t="s">
        <v>15315</v>
      </c>
      <c r="E3537" s="138">
        <v>4172.8</v>
      </c>
      <c r="F3537" s="139">
        <v>42886</v>
      </c>
      <c r="G3537" s="140">
        <v>4172.8</v>
      </c>
      <c r="H3537" s="138">
        <f t="shared" si="57"/>
        <v>0</v>
      </c>
      <c r="I3537" s="141" t="s">
        <v>15214</v>
      </c>
    </row>
    <row r="3538" spans="1:9" x14ac:dyDescent="0.25">
      <c r="A3538" s="167" t="s">
        <v>19011</v>
      </c>
      <c r="B3538" s="142" t="s">
        <v>19111</v>
      </c>
      <c r="C3538" s="143">
        <v>113587</v>
      </c>
      <c r="D3538" s="142" t="s">
        <v>16040</v>
      </c>
      <c r="E3538" s="144">
        <v>1749.6</v>
      </c>
      <c r="F3538" s="145">
        <v>42886</v>
      </c>
      <c r="G3538" s="146">
        <v>1749.6</v>
      </c>
      <c r="H3538" s="138">
        <f t="shared" si="57"/>
        <v>0</v>
      </c>
      <c r="I3538" s="147" t="s">
        <v>15214</v>
      </c>
    </row>
    <row r="3539" spans="1:9" x14ac:dyDescent="0.25">
      <c r="A3539" s="168" t="s">
        <v>19011</v>
      </c>
      <c r="B3539" s="136" t="s">
        <v>19112</v>
      </c>
      <c r="C3539" s="137">
        <v>113588</v>
      </c>
      <c r="D3539" s="136" t="s">
        <v>15346</v>
      </c>
      <c r="E3539" s="138">
        <v>6400</v>
      </c>
      <c r="F3539" s="139">
        <v>42882</v>
      </c>
      <c r="G3539" s="140">
        <v>6400</v>
      </c>
      <c r="H3539" s="138">
        <f t="shared" si="57"/>
        <v>0</v>
      </c>
      <c r="I3539" s="141" t="s">
        <v>15214</v>
      </c>
    </row>
    <row r="3540" spans="1:9" x14ac:dyDescent="0.25">
      <c r="A3540" s="167" t="s">
        <v>19011</v>
      </c>
      <c r="B3540" s="142" t="s">
        <v>19113</v>
      </c>
      <c r="C3540" s="143">
        <v>113589</v>
      </c>
      <c r="D3540" s="142" t="s">
        <v>15628</v>
      </c>
      <c r="E3540" s="144">
        <v>13945.6</v>
      </c>
      <c r="F3540" s="148">
        <v>42887</v>
      </c>
      <c r="G3540" s="149">
        <v>13945.6</v>
      </c>
      <c r="H3540" s="138">
        <f t="shared" si="57"/>
        <v>0</v>
      </c>
      <c r="I3540" s="147" t="s">
        <v>15214</v>
      </c>
    </row>
    <row r="3541" spans="1:9" x14ac:dyDescent="0.25">
      <c r="A3541" s="168" t="s">
        <v>19011</v>
      </c>
      <c r="B3541" s="136" t="s">
        <v>19114</v>
      </c>
      <c r="C3541" s="137">
        <v>113590</v>
      </c>
      <c r="D3541" s="136" t="s">
        <v>15628</v>
      </c>
      <c r="E3541" s="138">
        <v>2469.6</v>
      </c>
      <c r="F3541" s="139">
        <v>42882</v>
      </c>
      <c r="G3541" s="140">
        <v>2469.6</v>
      </c>
      <c r="H3541" s="138">
        <f t="shared" si="57"/>
        <v>0</v>
      </c>
      <c r="I3541" s="141" t="s">
        <v>15214</v>
      </c>
    </row>
    <row r="3542" spans="1:9" x14ac:dyDescent="0.25">
      <c r="A3542" s="167" t="s">
        <v>19011</v>
      </c>
      <c r="B3542" s="142" t="s">
        <v>19115</v>
      </c>
      <c r="C3542" s="143">
        <v>113591</v>
      </c>
      <c r="D3542" s="142" t="s">
        <v>17462</v>
      </c>
      <c r="E3542" s="144">
        <v>2596.8000000000002</v>
      </c>
      <c r="F3542" s="145">
        <v>42882</v>
      </c>
      <c r="G3542" s="146">
        <v>2596.8000000000002</v>
      </c>
      <c r="H3542" s="138">
        <f t="shared" si="57"/>
        <v>0</v>
      </c>
      <c r="I3542" s="147" t="s">
        <v>15214</v>
      </c>
    </row>
    <row r="3543" spans="1:9" x14ac:dyDescent="0.25">
      <c r="A3543" s="168" t="s">
        <v>19011</v>
      </c>
      <c r="B3543" s="136" t="s">
        <v>19116</v>
      </c>
      <c r="C3543" s="137">
        <v>113592</v>
      </c>
      <c r="D3543" s="136" t="s">
        <v>15267</v>
      </c>
      <c r="E3543" s="138">
        <v>52076.84</v>
      </c>
      <c r="F3543" s="157">
        <v>42892</v>
      </c>
      <c r="G3543" s="158">
        <v>52076.84</v>
      </c>
      <c r="H3543" s="138">
        <f t="shared" si="57"/>
        <v>0</v>
      </c>
      <c r="I3543" s="141" t="s">
        <v>15214</v>
      </c>
    </row>
    <row r="3544" spans="1:9" x14ac:dyDescent="0.25">
      <c r="A3544" s="167" t="s">
        <v>19011</v>
      </c>
      <c r="B3544" s="142" t="s">
        <v>19117</v>
      </c>
      <c r="C3544" s="143">
        <v>113593</v>
      </c>
      <c r="D3544" s="142" t="s">
        <v>18076</v>
      </c>
      <c r="E3544" s="144">
        <v>3458.6</v>
      </c>
      <c r="F3544" s="145">
        <v>42882</v>
      </c>
      <c r="G3544" s="146">
        <v>3458.6</v>
      </c>
      <c r="H3544" s="138">
        <f t="shared" si="57"/>
        <v>0</v>
      </c>
      <c r="I3544" s="147" t="s">
        <v>15214</v>
      </c>
    </row>
    <row r="3545" spans="1:9" x14ac:dyDescent="0.25">
      <c r="A3545" s="168" t="s">
        <v>19011</v>
      </c>
      <c r="B3545" s="136" t="s">
        <v>19118</v>
      </c>
      <c r="C3545" s="137">
        <v>113594</v>
      </c>
      <c r="D3545" s="136" t="s">
        <v>15423</v>
      </c>
      <c r="E3545" s="138">
        <v>1062.5999999999999</v>
      </c>
      <c r="F3545" s="139">
        <v>42882</v>
      </c>
      <c r="G3545" s="140">
        <v>1062.5999999999999</v>
      </c>
      <c r="H3545" s="138">
        <f t="shared" si="57"/>
        <v>0</v>
      </c>
      <c r="I3545" s="141" t="s">
        <v>15214</v>
      </c>
    </row>
    <row r="3546" spans="1:9" x14ac:dyDescent="0.25">
      <c r="A3546" s="167" t="s">
        <v>19011</v>
      </c>
      <c r="B3546" s="142" t="s">
        <v>19119</v>
      </c>
      <c r="C3546" s="143">
        <v>113595</v>
      </c>
      <c r="D3546" s="142" t="s">
        <v>15291</v>
      </c>
      <c r="E3546" s="144">
        <v>576</v>
      </c>
      <c r="F3546" s="145">
        <v>42884</v>
      </c>
      <c r="G3546" s="146">
        <v>576</v>
      </c>
      <c r="H3546" s="138">
        <f t="shared" si="57"/>
        <v>0</v>
      </c>
      <c r="I3546" s="147" t="s">
        <v>15214</v>
      </c>
    </row>
    <row r="3547" spans="1:9" x14ac:dyDescent="0.25">
      <c r="A3547" s="168" t="s">
        <v>19011</v>
      </c>
      <c r="B3547" s="136" t="s">
        <v>19120</v>
      </c>
      <c r="C3547" s="137">
        <v>113596</v>
      </c>
      <c r="D3547" s="136" t="s">
        <v>15309</v>
      </c>
      <c r="E3547" s="138">
        <v>843.6</v>
      </c>
      <c r="F3547" s="139">
        <v>42884</v>
      </c>
      <c r="G3547" s="140">
        <v>843.6</v>
      </c>
      <c r="H3547" s="138">
        <f t="shared" si="57"/>
        <v>0</v>
      </c>
      <c r="I3547" s="141" t="s">
        <v>15214</v>
      </c>
    </row>
    <row r="3548" spans="1:9" x14ac:dyDescent="0.25">
      <c r="A3548" s="167" t="s">
        <v>19011</v>
      </c>
      <c r="B3548" s="142" t="s">
        <v>19121</v>
      </c>
      <c r="C3548" s="143">
        <v>113597</v>
      </c>
      <c r="D3548" s="142" t="s">
        <v>15307</v>
      </c>
      <c r="E3548" s="144">
        <v>4423.2</v>
      </c>
      <c r="F3548" s="145">
        <v>42884</v>
      </c>
      <c r="G3548" s="146">
        <v>4423.2</v>
      </c>
      <c r="H3548" s="138">
        <f t="shared" si="57"/>
        <v>0</v>
      </c>
      <c r="I3548" s="147" t="s">
        <v>15214</v>
      </c>
    </row>
    <row r="3549" spans="1:9" x14ac:dyDescent="0.25">
      <c r="A3549" s="168" t="s">
        <v>19011</v>
      </c>
      <c r="B3549" s="136" t="s">
        <v>19122</v>
      </c>
      <c r="C3549" s="137">
        <v>113598</v>
      </c>
      <c r="D3549" s="136" t="s">
        <v>15415</v>
      </c>
      <c r="E3549" s="138">
        <v>808.4</v>
      </c>
      <c r="F3549" s="157">
        <v>42888</v>
      </c>
      <c r="G3549" s="158">
        <v>808.4</v>
      </c>
      <c r="H3549" s="138">
        <f t="shared" si="57"/>
        <v>0</v>
      </c>
      <c r="I3549" s="141" t="s">
        <v>15214</v>
      </c>
    </row>
    <row r="3550" spans="1:9" x14ac:dyDescent="0.25">
      <c r="A3550" s="167" t="s">
        <v>19011</v>
      </c>
      <c r="B3550" s="142" t="s">
        <v>19123</v>
      </c>
      <c r="C3550" s="143">
        <v>113599</v>
      </c>
      <c r="D3550" s="142" t="s">
        <v>17235</v>
      </c>
      <c r="E3550" s="144">
        <v>2124.7199999999998</v>
      </c>
      <c r="F3550" s="145">
        <v>42884</v>
      </c>
      <c r="G3550" s="146">
        <v>2124.7199999999998</v>
      </c>
      <c r="H3550" s="138">
        <f t="shared" si="57"/>
        <v>0</v>
      </c>
      <c r="I3550" s="147" t="s">
        <v>15214</v>
      </c>
    </row>
    <row r="3551" spans="1:9" x14ac:dyDescent="0.25">
      <c r="A3551" s="168" t="s">
        <v>19011</v>
      </c>
      <c r="B3551" s="136" t="s">
        <v>19124</v>
      </c>
      <c r="C3551" s="137">
        <v>113600</v>
      </c>
      <c r="D3551" s="136" t="s">
        <v>15311</v>
      </c>
      <c r="E3551" s="138">
        <v>2104.1999999999998</v>
      </c>
      <c r="F3551" s="139">
        <v>42884</v>
      </c>
      <c r="G3551" s="140">
        <v>2104.1999999999998</v>
      </c>
      <c r="H3551" s="138">
        <f t="shared" si="57"/>
        <v>0</v>
      </c>
      <c r="I3551" s="141" t="s">
        <v>15214</v>
      </c>
    </row>
    <row r="3552" spans="1:9" x14ac:dyDescent="0.25">
      <c r="A3552" s="167" t="s">
        <v>19011</v>
      </c>
      <c r="B3552" s="142" t="s">
        <v>19125</v>
      </c>
      <c r="C3552" s="143">
        <v>113601</v>
      </c>
      <c r="D3552" s="142" t="s">
        <v>16277</v>
      </c>
      <c r="E3552" s="144">
        <v>3216.6</v>
      </c>
      <c r="F3552" s="145">
        <v>42884</v>
      </c>
      <c r="G3552" s="146">
        <v>3216.6</v>
      </c>
      <c r="H3552" s="138">
        <f t="shared" si="57"/>
        <v>0</v>
      </c>
      <c r="I3552" s="147" t="s">
        <v>15214</v>
      </c>
    </row>
    <row r="3553" spans="1:9" x14ac:dyDescent="0.25">
      <c r="A3553" s="168" t="s">
        <v>19011</v>
      </c>
      <c r="B3553" s="136" t="s">
        <v>19126</v>
      </c>
      <c r="C3553" s="137">
        <v>113602</v>
      </c>
      <c r="D3553" s="136" t="s">
        <v>16093</v>
      </c>
      <c r="E3553" s="138">
        <v>1406.4</v>
      </c>
      <c r="F3553" s="139">
        <v>42882</v>
      </c>
      <c r="G3553" s="140">
        <v>1406.4</v>
      </c>
      <c r="H3553" s="138">
        <f t="shared" si="57"/>
        <v>0</v>
      </c>
      <c r="I3553" s="141" t="s">
        <v>15214</v>
      </c>
    </row>
    <row r="3554" spans="1:9" x14ac:dyDescent="0.25">
      <c r="A3554" s="167" t="s">
        <v>19011</v>
      </c>
      <c r="B3554" s="142" t="s">
        <v>19127</v>
      </c>
      <c r="C3554" s="143">
        <v>113603</v>
      </c>
      <c r="D3554" s="142" t="s">
        <v>15246</v>
      </c>
      <c r="E3554" s="144">
        <v>3616.8</v>
      </c>
      <c r="F3554" s="145">
        <v>42884</v>
      </c>
      <c r="G3554" s="146">
        <v>3616.8</v>
      </c>
      <c r="H3554" s="138">
        <f t="shared" si="57"/>
        <v>0</v>
      </c>
      <c r="I3554" s="147" t="s">
        <v>15214</v>
      </c>
    </row>
    <row r="3555" spans="1:9" x14ac:dyDescent="0.25">
      <c r="A3555" s="168" t="s">
        <v>19011</v>
      </c>
      <c r="B3555" s="136" t="s">
        <v>19128</v>
      </c>
      <c r="C3555" s="137">
        <v>113604</v>
      </c>
      <c r="D3555" s="136" t="s">
        <v>15320</v>
      </c>
      <c r="E3555" s="138">
        <v>2258.6</v>
      </c>
      <c r="F3555" s="139">
        <v>42884</v>
      </c>
      <c r="G3555" s="140">
        <v>2258.6</v>
      </c>
      <c r="H3555" s="138">
        <f t="shared" si="57"/>
        <v>0</v>
      </c>
      <c r="I3555" s="141" t="s">
        <v>15214</v>
      </c>
    </row>
    <row r="3556" spans="1:9" x14ac:dyDescent="0.25">
      <c r="A3556" s="167" t="s">
        <v>19011</v>
      </c>
      <c r="B3556" s="142" t="s">
        <v>19129</v>
      </c>
      <c r="C3556" s="143">
        <v>113605</v>
      </c>
      <c r="D3556" s="142" t="s">
        <v>15267</v>
      </c>
      <c r="E3556" s="144">
        <v>41340.300000000003</v>
      </c>
      <c r="F3556" s="145">
        <v>42882</v>
      </c>
      <c r="G3556" s="146">
        <v>41340.300000000003</v>
      </c>
      <c r="H3556" s="138">
        <f t="shared" si="57"/>
        <v>0</v>
      </c>
      <c r="I3556" s="147" t="s">
        <v>15214</v>
      </c>
    </row>
    <row r="3557" spans="1:9" x14ac:dyDescent="0.25">
      <c r="A3557" s="168" t="s">
        <v>19011</v>
      </c>
      <c r="B3557" s="136" t="s">
        <v>19130</v>
      </c>
      <c r="C3557" s="137">
        <v>113606</v>
      </c>
      <c r="D3557" s="136" t="s">
        <v>15745</v>
      </c>
      <c r="E3557" s="138">
        <v>1610.56</v>
      </c>
      <c r="F3557" s="139">
        <v>42884</v>
      </c>
      <c r="G3557" s="140">
        <v>1610.56</v>
      </c>
      <c r="H3557" s="138">
        <f t="shared" si="57"/>
        <v>0</v>
      </c>
      <c r="I3557" s="141" t="s">
        <v>15214</v>
      </c>
    </row>
    <row r="3558" spans="1:9" x14ac:dyDescent="0.25">
      <c r="A3558" s="167" t="s">
        <v>19011</v>
      </c>
      <c r="B3558" s="142" t="s">
        <v>19131</v>
      </c>
      <c r="C3558" s="143">
        <v>113607</v>
      </c>
      <c r="D3558" s="142" t="s">
        <v>15276</v>
      </c>
      <c r="E3558" s="144">
        <v>4857.6000000000004</v>
      </c>
      <c r="F3558" s="145">
        <v>42884</v>
      </c>
      <c r="G3558" s="146">
        <v>4857.6000000000004</v>
      </c>
      <c r="H3558" s="138">
        <f t="shared" si="57"/>
        <v>0</v>
      </c>
      <c r="I3558" s="147" t="s">
        <v>15214</v>
      </c>
    </row>
    <row r="3559" spans="1:9" x14ac:dyDescent="0.25">
      <c r="A3559" s="168" t="s">
        <v>19011</v>
      </c>
      <c r="B3559" s="136" t="s">
        <v>19132</v>
      </c>
      <c r="C3559" s="137">
        <v>113608</v>
      </c>
      <c r="D3559" s="136" t="s">
        <v>15417</v>
      </c>
      <c r="E3559" s="138">
        <v>1992.8</v>
      </c>
      <c r="F3559" s="139">
        <v>42884</v>
      </c>
      <c r="G3559" s="140">
        <v>1992.8</v>
      </c>
      <c r="H3559" s="138">
        <f t="shared" si="57"/>
        <v>0</v>
      </c>
      <c r="I3559" s="141" t="s">
        <v>15214</v>
      </c>
    </row>
    <row r="3560" spans="1:9" x14ac:dyDescent="0.25">
      <c r="A3560" s="167" t="s">
        <v>19011</v>
      </c>
      <c r="B3560" s="142" t="s">
        <v>19133</v>
      </c>
      <c r="C3560" s="143">
        <v>113609</v>
      </c>
      <c r="D3560" s="142" t="s">
        <v>15920</v>
      </c>
      <c r="E3560" s="144">
        <v>7621.6</v>
      </c>
      <c r="F3560" s="148">
        <v>42893</v>
      </c>
      <c r="G3560" s="149">
        <v>7621.6</v>
      </c>
      <c r="H3560" s="138">
        <f t="shared" si="57"/>
        <v>0</v>
      </c>
      <c r="I3560" s="147" t="s">
        <v>15214</v>
      </c>
    </row>
    <row r="3561" spans="1:9" x14ac:dyDescent="0.25">
      <c r="A3561" s="168" t="s">
        <v>19011</v>
      </c>
      <c r="B3561" s="136" t="s">
        <v>19134</v>
      </c>
      <c r="C3561" s="137">
        <v>113610</v>
      </c>
      <c r="D3561" s="136" t="s">
        <v>15254</v>
      </c>
      <c r="E3561" s="138">
        <v>5964</v>
      </c>
      <c r="F3561" s="139">
        <v>42886</v>
      </c>
      <c r="G3561" s="140">
        <v>5964</v>
      </c>
      <c r="H3561" s="138">
        <f t="shared" si="57"/>
        <v>0</v>
      </c>
      <c r="I3561" s="141" t="s">
        <v>15214</v>
      </c>
    </row>
    <row r="3562" spans="1:9" x14ac:dyDescent="0.25">
      <c r="A3562" s="167" t="s">
        <v>19011</v>
      </c>
      <c r="B3562" s="142" t="s">
        <v>19135</v>
      </c>
      <c r="C3562" s="143">
        <v>113611</v>
      </c>
      <c r="D3562" s="142" t="s">
        <v>15223</v>
      </c>
      <c r="E3562" s="144">
        <v>50039.1</v>
      </c>
      <c r="F3562" s="148">
        <v>42894</v>
      </c>
      <c r="G3562" s="149">
        <f>25378.16+24660.94</f>
        <v>50039.1</v>
      </c>
      <c r="H3562" s="138">
        <f t="shared" si="57"/>
        <v>0</v>
      </c>
      <c r="I3562" s="147" t="s">
        <v>15214</v>
      </c>
    </row>
    <row r="3563" spans="1:9" x14ac:dyDescent="0.25">
      <c r="A3563" s="168" t="s">
        <v>19011</v>
      </c>
      <c r="B3563" s="136" t="s">
        <v>19136</v>
      </c>
      <c r="C3563" s="137">
        <v>113612</v>
      </c>
      <c r="D3563" s="136" t="s">
        <v>15315</v>
      </c>
      <c r="E3563" s="138">
        <v>956.4</v>
      </c>
      <c r="F3563" s="139">
        <v>42882</v>
      </c>
      <c r="G3563" s="140">
        <v>956.4</v>
      </c>
      <c r="H3563" s="138">
        <f t="shared" si="57"/>
        <v>0</v>
      </c>
      <c r="I3563" s="141" t="s">
        <v>15214</v>
      </c>
    </row>
    <row r="3564" spans="1:9" x14ac:dyDescent="0.25">
      <c r="A3564" s="167" t="s">
        <v>19011</v>
      </c>
      <c r="B3564" s="142" t="s">
        <v>19137</v>
      </c>
      <c r="C3564" s="143">
        <v>113613</v>
      </c>
      <c r="D3564" s="142" t="s">
        <v>15810</v>
      </c>
      <c r="E3564" s="144">
        <v>520.6</v>
      </c>
      <c r="F3564" s="145">
        <v>42882</v>
      </c>
      <c r="G3564" s="146">
        <v>520.6</v>
      </c>
      <c r="H3564" s="138">
        <f t="shared" si="57"/>
        <v>0</v>
      </c>
      <c r="I3564" s="147" t="s">
        <v>15214</v>
      </c>
    </row>
    <row r="3565" spans="1:9" x14ac:dyDescent="0.25">
      <c r="A3565" s="168" t="s">
        <v>19011</v>
      </c>
      <c r="B3565" s="136" t="s">
        <v>19138</v>
      </c>
      <c r="C3565" s="137">
        <v>113614</v>
      </c>
      <c r="D3565" s="136" t="s">
        <v>15728</v>
      </c>
      <c r="E3565" s="138">
        <v>17258.400000000001</v>
      </c>
      <c r="F3565" s="139">
        <v>42882</v>
      </c>
      <c r="G3565" s="140">
        <v>17258.400000000001</v>
      </c>
      <c r="H3565" s="138">
        <f t="shared" si="57"/>
        <v>0</v>
      </c>
      <c r="I3565" s="141" t="s">
        <v>15214</v>
      </c>
    </row>
    <row r="3566" spans="1:9" x14ac:dyDescent="0.25">
      <c r="A3566" s="167" t="s">
        <v>19011</v>
      </c>
      <c r="B3566" s="142" t="s">
        <v>19139</v>
      </c>
      <c r="C3566" s="143">
        <v>113615</v>
      </c>
      <c r="D3566" s="142" t="s">
        <v>15789</v>
      </c>
      <c r="E3566" s="144">
        <v>24548.6</v>
      </c>
      <c r="F3566" s="148">
        <v>42889</v>
      </c>
      <c r="G3566" s="149">
        <v>24548.6</v>
      </c>
      <c r="H3566" s="138">
        <f t="shared" si="57"/>
        <v>0</v>
      </c>
      <c r="I3566" s="147" t="s">
        <v>15214</v>
      </c>
    </row>
    <row r="3567" spans="1:9" x14ac:dyDescent="0.25">
      <c r="A3567" s="168" t="s">
        <v>19011</v>
      </c>
      <c r="B3567" s="136" t="s">
        <v>19140</v>
      </c>
      <c r="C3567" s="137">
        <v>113616</v>
      </c>
      <c r="D3567" s="136" t="s">
        <v>15213</v>
      </c>
      <c r="E3567" s="138">
        <v>8950.5</v>
      </c>
      <c r="F3567" s="139" t="s">
        <v>19141</v>
      </c>
      <c r="G3567" s="140">
        <v>8950.5</v>
      </c>
      <c r="H3567" s="138">
        <f t="shared" si="57"/>
        <v>0</v>
      </c>
      <c r="I3567" s="141" t="s">
        <v>15214</v>
      </c>
    </row>
    <row r="3568" spans="1:9" x14ac:dyDescent="0.25">
      <c r="A3568" s="167" t="s">
        <v>19011</v>
      </c>
      <c r="B3568" s="142" t="s">
        <v>19142</v>
      </c>
      <c r="C3568" s="143">
        <v>113617</v>
      </c>
      <c r="D3568" s="142" t="s">
        <v>15322</v>
      </c>
      <c r="E3568" s="144">
        <v>1122.9000000000001</v>
      </c>
      <c r="F3568" s="145">
        <v>42882</v>
      </c>
      <c r="G3568" s="146">
        <v>1122.9000000000001</v>
      </c>
      <c r="H3568" s="138">
        <f t="shared" si="57"/>
        <v>0</v>
      </c>
      <c r="I3568" s="147" t="s">
        <v>15214</v>
      </c>
    </row>
    <row r="3569" spans="1:9" x14ac:dyDescent="0.25">
      <c r="A3569" s="168" t="s">
        <v>19011</v>
      </c>
      <c r="B3569" s="136" t="s">
        <v>19143</v>
      </c>
      <c r="C3569" s="137">
        <v>113618</v>
      </c>
      <c r="D3569" s="136" t="s">
        <v>15541</v>
      </c>
      <c r="E3569" s="138">
        <v>1835.2</v>
      </c>
      <c r="F3569" s="139">
        <v>42886</v>
      </c>
      <c r="G3569" s="140">
        <v>1835.2</v>
      </c>
      <c r="H3569" s="138">
        <f t="shared" si="57"/>
        <v>0</v>
      </c>
      <c r="I3569" s="141" t="s">
        <v>15214</v>
      </c>
    </row>
    <row r="3570" spans="1:9" x14ac:dyDescent="0.25">
      <c r="A3570" s="167" t="s">
        <v>19011</v>
      </c>
      <c r="B3570" s="142" t="s">
        <v>19144</v>
      </c>
      <c r="C3570" s="143">
        <v>113619</v>
      </c>
      <c r="D3570" s="142" t="s">
        <v>15757</v>
      </c>
      <c r="E3570" s="144">
        <v>4363.8</v>
      </c>
      <c r="F3570" s="145">
        <v>42886</v>
      </c>
      <c r="G3570" s="146">
        <v>4363.8</v>
      </c>
      <c r="H3570" s="138">
        <f t="shared" si="57"/>
        <v>0</v>
      </c>
      <c r="I3570" s="147" t="s">
        <v>15214</v>
      </c>
    </row>
    <row r="3571" spans="1:9" ht="15.75" x14ac:dyDescent="0.25">
      <c r="A3571" s="168" t="s">
        <v>19011</v>
      </c>
      <c r="B3571" s="136" t="s">
        <v>19145</v>
      </c>
      <c r="C3571" s="137">
        <v>113620</v>
      </c>
      <c r="D3571" s="136" t="s">
        <v>15920</v>
      </c>
      <c r="E3571" s="138">
        <v>0</v>
      </c>
      <c r="F3571" s="153" t="s">
        <v>95</v>
      </c>
      <c r="G3571" s="138">
        <v>0</v>
      </c>
      <c r="H3571" s="138">
        <f t="shared" si="57"/>
        <v>0</v>
      </c>
      <c r="I3571" s="141" t="s">
        <v>95</v>
      </c>
    </row>
    <row r="3572" spans="1:9" x14ac:dyDescent="0.25">
      <c r="A3572" s="167" t="s">
        <v>19011</v>
      </c>
      <c r="B3572" s="142" t="s">
        <v>19146</v>
      </c>
      <c r="C3572" s="143">
        <v>113621</v>
      </c>
      <c r="D3572" s="142" t="s">
        <v>15365</v>
      </c>
      <c r="E3572" s="144">
        <v>20109.2</v>
      </c>
      <c r="F3572" s="148">
        <v>42888</v>
      </c>
      <c r="G3572" s="149">
        <v>20109.2</v>
      </c>
      <c r="H3572" s="138">
        <f t="shared" si="57"/>
        <v>0</v>
      </c>
      <c r="I3572" s="147" t="s">
        <v>15214</v>
      </c>
    </row>
    <row r="3573" spans="1:9" x14ac:dyDescent="0.25">
      <c r="A3573" s="168" t="s">
        <v>19011</v>
      </c>
      <c r="B3573" s="136" t="s">
        <v>19147</v>
      </c>
      <c r="C3573" s="137">
        <v>113622</v>
      </c>
      <c r="D3573" s="136" t="s">
        <v>15315</v>
      </c>
      <c r="E3573" s="138">
        <v>427.2</v>
      </c>
      <c r="F3573" s="139">
        <v>42882</v>
      </c>
      <c r="G3573" s="140">
        <v>427.2</v>
      </c>
      <c r="H3573" s="138">
        <f t="shared" si="57"/>
        <v>0</v>
      </c>
      <c r="I3573" s="141" t="s">
        <v>15214</v>
      </c>
    </row>
    <row r="3574" spans="1:9" x14ac:dyDescent="0.25">
      <c r="A3574" s="167" t="s">
        <v>19011</v>
      </c>
      <c r="B3574" s="142" t="s">
        <v>19148</v>
      </c>
      <c r="C3574" s="143">
        <v>113623</v>
      </c>
      <c r="D3574" s="142" t="s">
        <v>15246</v>
      </c>
      <c r="E3574" s="144">
        <v>317596.38</v>
      </c>
      <c r="F3574" s="145">
        <v>42884</v>
      </c>
      <c r="G3574" s="146">
        <v>317596.38</v>
      </c>
      <c r="H3574" s="138">
        <f t="shared" si="57"/>
        <v>0</v>
      </c>
      <c r="I3574" s="147" t="s">
        <v>15214</v>
      </c>
    </row>
    <row r="3575" spans="1:9" x14ac:dyDescent="0.25">
      <c r="A3575" s="168" t="s">
        <v>19011</v>
      </c>
      <c r="B3575" s="136" t="s">
        <v>19149</v>
      </c>
      <c r="C3575" s="137">
        <v>113624</v>
      </c>
      <c r="D3575" s="136" t="s">
        <v>15246</v>
      </c>
      <c r="E3575" s="138">
        <v>143400</v>
      </c>
      <c r="F3575" s="157" t="s">
        <v>19644</v>
      </c>
      <c r="G3575" s="158">
        <f>31523.76+10542.4+101333.84</f>
        <v>143400</v>
      </c>
      <c r="H3575" s="138">
        <f t="shared" si="57"/>
        <v>0</v>
      </c>
      <c r="I3575" s="141" t="s">
        <v>15214</v>
      </c>
    </row>
    <row r="3576" spans="1:9" x14ac:dyDescent="0.25">
      <c r="A3576" s="167" t="s">
        <v>19011</v>
      </c>
      <c r="B3576" s="142" t="s">
        <v>19150</v>
      </c>
      <c r="C3576" s="143">
        <v>113625</v>
      </c>
      <c r="D3576" s="142" t="s">
        <v>15438</v>
      </c>
      <c r="E3576" s="144">
        <v>408</v>
      </c>
      <c r="F3576" s="145">
        <v>42882</v>
      </c>
      <c r="G3576" s="146">
        <v>408</v>
      </c>
      <c r="H3576" s="138">
        <f t="shared" si="57"/>
        <v>0</v>
      </c>
      <c r="I3576" s="147" t="s">
        <v>15214</v>
      </c>
    </row>
    <row r="3577" spans="1:9" x14ac:dyDescent="0.25">
      <c r="A3577" s="168" t="s">
        <v>19011</v>
      </c>
      <c r="B3577" s="136" t="s">
        <v>19151</v>
      </c>
      <c r="C3577" s="137">
        <v>113626</v>
      </c>
      <c r="D3577" s="136" t="s">
        <v>15250</v>
      </c>
      <c r="E3577" s="138">
        <v>38104.36</v>
      </c>
      <c r="F3577" s="139">
        <v>42886</v>
      </c>
      <c r="G3577" s="140">
        <v>38104.36</v>
      </c>
      <c r="H3577" s="138">
        <f t="shared" si="57"/>
        <v>0</v>
      </c>
      <c r="I3577" s="141" t="s">
        <v>15214</v>
      </c>
    </row>
    <row r="3578" spans="1:9" x14ac:dyDescent="0.25">
      <c r="A3578" s="167" t="s">
        <v>19011</v>
      </c>
      <c r="B3578" s="142" t="s">
        <v>19152</v>
      </c>
      <c r="C3578" s="143">
        <v>113627</v>
      </c>
      <c r="D3578" s="142" t="s">
        <v>18082</v>
      </c>
      <c r="E3578" s="144">
        <v>20976</v>
      </c>
      <c r="F3578" s="145">
        <v>42884</v>
      </c>
      <c r="G3578" s="146">
        <v>20976</v>
      </c>
      <c r="H3578" s="138">
        <f t="shared" si="57"/>
        <v>0</v>
      </c>
      <c r="I3578" s="147" t="s">
        <v>15214</v>
      </c>
    </row>
    <row r="3579" spans="1:9" x14ac:dyDescent="0.25">
      <c r="A3579" s="168" t="s">
        <v>19011</v>
      </c>
      <c r="B3579" s="136" t="s">
        <v>19153</v>
      </c>
      <c r="C3579" s="137">
        <v>113628</v>
      </c>
      <c r="D3579" s="136" t="s">
        <v>15315</v>
      </c>
      <c r="E3579" s="138">
        <v>428</v>
      </c>
      <c r="F3579" s="157">
        <v>42888</v>
      </c>
      <c r="G3579" s="158">
        <v>428</v>
      </c>
      <c r="H3579" s="138">
        <f t="shared" si="57"/>
        <v>0</v>
      </c>
      <c r="I3579" s="141" t="s">
        <v>15214</v>
      </c>
    </row>
    <row r="3580" spans="1:9" x14ac:dyDescent="0.25">
      <c r="A3580" s="167" t="s">
        <v>19011</v>
      </c>
      <c r="B3580" s="142" t="s">
        <v>19154</v>
      </c>
      <c r="C3580" s="143">
        <v>113629</v>
      </c>
      <c r="D3580" s="142" t="s">
        <v>15246</v>
      </c>
      <c r="E3580" s="144">
        <v>96201</v>
      </c>
      <c r="F3580" s="148">
        <v>42887</v>
      </c>
      <c r="G3580" s="149">
        <v>96201</v>
      </c>
      <c r="H3580" s="138">
        <f t="shared" si="57"/>
        <v>0</v>
      </c>
      <c r="I3580" s="147" t="s">
        <v>15214</v>
      </c>
    </row>
    <row r="3581" spans="1:9" x14ac:dyDescent="0.25">
      <c r="A3581" s="168" t="s">
        <v>19011</v>
      </c>
      <c r="B3581" s="136" t="s">
        <v>19155</v>
      </c>
      <c r="C3581" s="137">
        <v>113630</v>
      </c>
      <c r="D3581" s="136" t="s">
        <v>17462</v>
      </c>
      <c r="E3581" s="138">
        <v>2644.8</v>
      </c>
      <c r="F3581" s="139">
        <v>42882</v>
      </c>
      <c r="G3581" s="140">
        <v>2644.8</v>
      </c>
      <c r="H3581" s="138">
        <f t="shared" si="57"/>
        <v>0</v>
      </c>
      <c r="I3581" s="141" t="s">
        <v>15214</v>
      </c>
    </row>
    <row r="3582" spans="1:9" x14ac:dyDescent="0.25">
      <c r="A3582" s="167" t="s">
        <v>19011</v>
      </c>
      <c r="B3582" s="142" t="s">
        <v>19156</v>
      </c>
      <c r="C3582" s="143">
        <v>113631</v>
      </c>
      <c r="D3582" s="142" t="s">
        <v>15246</v>
      </c>
      <c r="E3582" s="144">
        <v>13620</v>
      </c>
      <c r="F3582" s="148">
        <v>42887</v>
      </c>
      <c r="G3582" s="149">
        <v>13620</v>
      </c>
      <c r="H3582" s="138">
        <f t="shared" si="57"/>
        <v>0</v>
      </c>
      <c r="I3582" s="147" t="s">
        <v>15214</v>
      </c>
    </row>
    <row r="3583" spans="1:9" x14ac:dyDescent="0.25">
      <c r="A3583" s="168" t="s">
        <v>19011</v>
      </c>
      <c r="B3583" s="136" t="s">
        <v>19157</v>
      </c>
      <c r="C3583" s="137">
        <v>113632</v>
      </c>
      <c r="D3583" s="136" t="s">
        <v>15444</v>
      </c>
      <c r="E3583" s="138">
        <v>940</v>
      </c>
      <c r="F3583" s="139">
        <v>42885</v>
      </c>
      <c r="G3583" s="140">
        <v>940</v>
      </c>
      <c r="H3583" s="138">
        <f t="shared" si="57"/>
        <v>0</v>
      </c>
      <c r="I3583" s="141" t="s">
        <v>15214</v>
      </c>
    </row>
    <row r="3584" spans="1:9" x14ac:dyDescent="0.25">
      <c r="A3584" s="167" t="s">
        <v>19011</v>
      </c>
      <c r="B3584" s="142" t="s">
        <v>19158</v>
      </c>
      <c r="C3584" s="143">
        <v>113633</v>
      </c>
      <c r="D3584" s="142" t="s">
        <v>15315</v>
      </c>
      <c r="E3584" s="144">
        <v>245</v>
      </c>
      <c r="F3584" s="145">
        <v>42882</v>
      </c>
      <c r="G3584" s="146">
        <v>245</v>
      </c>
      <c r="H3584" s="138">
        <f t="shared" si="57"/>
        <v>0</v>
      </c>
      <c r="I3584" s="147" t="s">
        <v>15214</v>
      </c>
    </row>
    <row r="3585" spans="1:9" x14ac:dyDescent="0.25">
      <c r="A3585" s="168" t="s">
        <v>19011</v>
      </c>
      <c r="B3585" s="136" t="s">
        <v>19159</v>
      </c>
      <c r="C3585" s="137">
        <v>113634</v>
      </c>
      <c r="D3585" s="136" t="s">
        <v>15246</v>
      </c>
      <c r="E3585" s="138">
        <v>6526.6</v>
      </c>
      <c r="F3585" s="157">
        <v>42887</v>
      </c>
      <c r="G3585" s="158">
        <v>6526.6</v>
      </c>
      <c r="H3585" s="138">
        <f t="shared" si="57"/>
        <v>0</v>
      </c>
      <c r="I3585" s="141" t="s">
        <v>15214</v>
      </c>
    </row>
    <row r="3586" spans="1:9" x14ac:dyDescent="0.25">
      <c r="A3586" s="167" t="s">
        <v>19011</v>
      </c>
      <c r="B3586" s="142" t="s">
        <v>19160</v>
      </c>
      <c r="C3586" s="143">
        <v>113635</v>
      </c>
      <c r="D3586" s="142" t="s">
        <v>15725</v>
      </c>
      <c r="E3586" s="144">
        <v>26344.799999999999</v>
      </c>
      <c r="F3586" s="145">
        <v>42884</v>
      </c>
      <c r="G3586" s="146">
        <v>26344.799999999999</v>
      </c>
      <c r="H3586" s="138">
        <f t="shared" si="57"/>
        <v>0</v>
      </c>
      <c r="I3586" s="147" t="s">
        <v>15214</v>
      </c>
    </row>
    <row r="3587" spans="1:9" x14ac:dyDescent="0.25">
      <c r="A3587" s="168" t="s">
        <v>19011</v>
      </c>
      <c r="B3587" s="136" t="s">
        <v>19161</v>
      </c>
      <c r="C3587" s="137">
        <v>113636</v>
      </c>
      <c r="D3587" s="136" t="s">
        <v>15322</v>
      </c>
      <c r="E3587" s="138">
        <v>4024</v>
      </c>
      <c r="F3587" s="139">
        <v>42883</v>
      </c>
      <c r="G3587" s="140">
        <v>4024</v>
      </c>
      <c r="H3587" s="138">
        <f t="shared" si="57"/>
        <v>0</v>
      </c>
      <c r="I3587" s="141" t="s">
        <v>15214</v>
      </c>
    </row>
    <row r="3588" spans="1:9" x14ac:dyDescent="0.25">
      <c r="A3588" s="167" t="s">
        <v>19011</v>
      </c>
      <c r="B3588" s="142" t="s">
        <v>19162</v>
      </c>
      <c r="C3588" s="143">
        <v>113637</v>
      </c>
      <c r="D3588" s="142" t="s">
        <v>15642</v>
      </c>
      <c r="E3588" s="144">
        <v>10231.200000000001</v>
      </c>
      <c r="F3588" s="145">
        <v>42883</v>
      </c>
      <c r="G3588" s="146">
        <v>10231.200000000001</v>
      </c>
      <c r="H3588" s="138">
        <f t="shared" si="57"/>
        <v>0</v>
      </c>
      <c r="I3588" s="147" t="s">
        <v>15214</v>
      </c>
    </row>
    <row r="3589" spans="1:9" x14ac:dyDescent="0.25">
      <c r="A3589" s="168" t="s">
        <v>19163</v>
      </c>
      <c r="B3589" s="136" t="s">
        <v>19164</v>
      </c>
      <c r="C3589" s="137">
        <v>113638</v>
      </c>
      <c r="D3589" s="136" t="s">
        <v>17462</v>
      </c>
      <c r="E3589" s="138">
        <v>8271.2000000000007</v>
      </c>
      <c r="F3589" s="139">
        <v>42883</v>
      </c>
      <c r="G3589" s="140">
        <v>8271.2000000000007</v>
      </c>
      <c r="H3589" s="138">
        <f t="shared" si="57"/>
        <v>0</v>
      </c>
      <c r="I3589" s="141" t="s">
        <v>15214</v>
      </c>
    </row>
    <row r="3590" spans="1:9" x14ac:dyDescent="0.25">
      <c r="A3590" s="167" t="s">
        <v>19163</v>
      </c>
      <c r="B3590" s="142" t="s">
        <v>19165</v>
      </c>
      <c r="C3590" s="143">
        <v>113639</v>
      </c>
      <c r="D3590" s="142" t="s">
        <v>15272</v>
      </c>
      <c r="E3590" s="144">
        <v>26318.1</v>
      </c>
      <c r="F3590" s="145">
        <v>42883</v>
      </c>
      <c r="G3590" s="146">
        <v>26318.1</v>
      </c>
      <c r="H3590" s="138">
        <f t="shared" si="57"/>
        <v>0</v>
      </c>
      <c r="I3590" s="147" t="s">
        <v>15214</v>
      </c>
    </row>
    <row r="3591" spans="1:9" x14ac:dyDescent="0.25">
      <c r="A3591" s="168" t="s">
        <v>19163</v>
      </c>
      <c r="B3591" s="136" t="s">
        <v>19166</v>
      </c>
      <c r="C3591" s="137">
        <v>113640</v>
      </c>
      <c r="D3591" s="136" t="s">
        <v>15272</v>
      </c>
      <c r="E3591" s="138">
        <v>1538.5</v>
      </c>
      <c r="F3591" s="139">
        <v>42883</v>
      </c>
      <c r="G3591" s="140">
        <v>1538.5</v>
      </c>
      <c r="H3591" s="138">
        <f t="shared" ref="H3591:H3654" si="58">E3591-G3591</f>
        <v>0</v>
      </c>
      <c r="I3591" s="141" t="s">
        <v>15214</v>
      </c>
    </row>
    <row r="3592" spans="1:9" x14ac:dyDescent="0.25">
      <c r="A3592" s="167" t="s">
        <v>19163</v>
      </c>
      <c r="B3592" s="142" t="s">
        <v>19167</v>
      </c>
      <c r="C3592" s="143">
        <v>113641</v>
      </c>
      <c r="D3592" s="142" t="s">
        <v>16249</v>
      </c>
      <c r="E3592" s="144">
        <v>3461.2</v>
      </c>
      <c r="F3592" s="145">
        <v>42883</v>
      </c>
      <c r="G3592" s="146">
        <v>3461.2</v>
      </c>
      <c r="H3592" s="138">
        <f t="shared" si="58"/>
        <v>0</v>
      </c>
      <c r="I3592" s="147" t="s">
        <v>15214</v>
      </c>
    </row>
    <row r="3593" spans="1:9" x14ac:dyDescent="0.25">
      <c r="A3593" s="168" t="s">
        <v>19163</v>
      </c>
      <c r="B3593" s="136" t="s">
        <v>19168</v>
      </c>
      <c r="C3593" s="137">
        <v>113642</v>
      </c>
      <c r="D3593" s="136" t="s">
        <v>15242</v>
      </c>
      <c r="E3593" s="138">
        <v>7110</v>
      </c>
      <c r="F3593" s="139">
        <v>42883</v>
      </c>
      <c r="G3593" s="140">
        <v>7110</v>
      </c>
      <c r="H3593" s="138">
        <f t="shared" si="58"/>
        <v>0</v>
      </c>
      <c r="I3593" s="141" t="s">
        <v>15214</v>
      </c>
    </row>
    <row r="3594" spans="1:9" x14ac:dyDescent="0.25">
      <c r="A3594" s="167" t="s">
        <v>19163</v>
      </c>
      <c r="B3594" s="142" t="s">
        <v>19169</v>
      </c>
      <c r="C3594" s="143">
        <v>113643</v>
      </c>
      <c r="D3594" s="142" t="s">
        <v>15553</v>
      </c>
      <c r="E3594" s="144">
        <v>36027.4</v>
      </c>
      <c r="F3594" s="145">
        <v>42883</v>
      </c>
      <c r="G3594" s="146">
        <v>36027.4</v>
      </c>
      <c r="H3594" s="138">
        <f t="shared" si="58"/>
        <v>0</v>
      </c>
      <c r="I3594" s="147" t="s">
        <v>15214</v>
      </c>
    </row>
    <row r="3595" spans="1:9" x14ac:dyDescent="0.25">
      <c r="A3595" s="168" t="s">
        <v>19163</v>
      </c>
      <c r="B3595" s="136" t="s">
        <v>19170</v>
      </c>
      <c r="C3595" s="137">
        <v>113644</v>
      </c>
      <c r="D3595" s="136" t="s">
        <v>15213</v>
      </c>
      <c r="E3595" s="138">
        <v>37723.199999999997</v>
      </c>
      <c r="F3595" s="139">
        <v>42884</v>
      </c>
      <c r="G3595" s="140">
        <v>37723.199999999997</v>
      </c>
      <c r="H3595" s="138">
        <f t="shared" si="58"/>
        <v>0</v>
      </c>
      <c r="I3595" s="141" t="s">
        <v>15214</v>
      </c>
    </row>
    <row r="3596" spans="1:9" x14ac:dyDescent="0.25">
      <c r="A3596" s="167" t="s">
        <v>19163</v>
      </c>
      <c r="B3596" s="142" t="s">
        <v>19171</v>
      </c>
      <c r="C3596" s="143">
        <v>113645</v>
      </c>
      <c r="D3596" s="142" t="s">
        <v>15220</v>
      </c>
      <c r="E3596" s="144">
        <v>5280</v>
      </c>
      <c r="F3596" s="145">
        <v>42883</v>
      </c>
      <c r="G3596" s="146">
        <v>5280</v>
      </c>
      <c r="H3596" s="138">
        <f t="shared" si="58"/>
        <v>0</v>
      </c>
      <c r="I3596" s="147" t="s">
        <v>15214</v>
      </c>
    </row>
    <row r="3597" spans="1:9" x14ac:dyDescent="0.25">
      <c r="A3597" s="168" t="s">
        <v>19163</v>
      </c>
      <c r="B3597" s="136" t="s">
        <v>19172</v>
      </c>
      <c r="C3597" s="137">
        <v>113646</v>
      </c>
      <c r="D3597" s="136" t="s">
        <v>15313</v>
      </c>
      <c r="E3597" s="138">
        <v>2124.7199999999998</v>
      </c>
      <c r="F3597" s="139">
        <v>42883</v>
      </c>
      <c r="G3597" s="140">
        <v>2124.7199999999998</v>
      </c>
      <c r="H3597" s="138">
        <f t="shared" si="58"/>
        <v>0</v>
      </c>
      <c r="I3597" s="141" t="s">
        <v>15214</v>
      </c>
    </row>
    <row r="3598" spans="1:9" x14ac:dyDescent="0.25">
      <c r="A3598" s="167" t="s">
        <v>19163</v>
      </c>
      <c r="B3598" s="142" t="s">
        <v>19173</v>
      </c>
      <c r="C3598" s="143">
        <v>113647</v>
      </c>
      <c r="D3598" s="142" t="s">
        <v>15289</v>
      </c>
      <c r="E3598" s="144">
        <v>801.3</v>
      </c>
      <c r="F3598" s="145">
        <v>42883</v>
      </c>
      <c r="G3598" s="146">
        <v>801.3</v>
      </c>
      <c r="H3598" s="138">
        <f t="shared" si="58"/>
        <v>0</v>
      </c>
      <c r="I3598" s="147" t="s">
        <v>15214</v>
      </c>
    </row>
    <row r="3599" spans="1:9" x14ac:dyDescent="0.25">
      <c r="A3599" s="168" t="s">
        <v>19163</v>
      </c>
      <c r="B3599" s="136" t="s">
        <v>19174</v>
      </c>
      <c r="C3599" s="137">
        <v>113648</v>
      </c>
      <c r="D3599" s="136" t="s">
        <v>15324</v>
      </c>
      <c r="E3599" s="138">
        <v>1713</v>
      </c>
      <c r="F3599" s="139">
        <v>42883</v>
      </c>
      <c r="G3599" s="140">
        <v>1713</v>
      </c>
      <c r="H3599" s="138">
        <f t="shared" si="58"/>
        <v>0</v>
      </c>
      <c r="I3599" s="141" t="s">
        <v>15214</v>
      </c>
    </row>
    <row r="3600" spans="1:9" x14ac:dyDescent="0.25">
      <c r="A3600" s="167" t="s">
        <v>19163</v>
      </c>
      <c r="B3600" s="142" t="s">
        <v>19175</v>
      </c>
      <c r="C3600" s="143">
        <v>113649</v>
      </c>
      <c r="D3600" s="142" t="s">
        <v>15263</v>
      </c>
      <c r="E3600" s="144">
        <v>3186.4</v>
      </c>
      <c r="F3600" s="145">
        <v>42883</v>
      </c>
      <c r="G3600" s="146">
        <v>3186.4</v>
      </c>
      <c r="H3600" s="138">
        <f t="shared" si="58"/>
        <v>0</v>
      </c>
      <c r="I3600" s="147" t="s">
        <v>15214</v>
      </c>
    </row>
    <row r="3601" spans="1:9" x14ac:dyDescent="0.25">
      <c r="A3601" s="168" t="s">
        <v>19163</v>
      </c>
      <c r="B3601" s="136" t="s">
        <v>19176</v>
      </c>
      <c r="C3601" s="137">
        <v>113650</v>
      </c>
      <c r="D3601" s="136" t="s">
        <v>15562</v>
      </c>
      <c r="E3601" s="138">
        <v>3350.1</v>
      </c>
      <c r="F3601" s="139">
        <v>42883</v>
      </c>
      <c r="G3601" s="140">
        <v>3350.1</v>
      </c>
      <c r="H3601" s="138">
        <f t="shared" si="58"/>
        <v>0</v>
      </c>
      <c r="I3601" s="141" t="s">
        <v>15214</v>
      </c>
    </row>
    <row r="3602" spans="1:9" x14ac:dyDescent="0.25">
      <c r="A3602" s="167" t="s">
        <v>19163</v>
      </c>
      <c r="B3602" s="142" t="s">
        <v>19177</v>
      </c>
      <c r="C3602" s="143">
        <v>113651</v>
      </c>
      <c r="D3602" s="142" t="s">
        <v>15278</v>
      </c>
      <c r="E3602" s="144">
        <v>1476.4</v>
      </c>
      <c r="F3602" s="145">
        <v>42883</v>
      </c>
      <c r="G3602" s="146">
        <v>1476.4</v>
      </c>
      <c r="H3602" s="138">
        <f t="shared" si="58"/>
        <v>0</v>
      </c>
      <c r="I3602" s="147" t="s">
        <v>15214</v>
      </c>
    </row>
    <row r="3603" spans="1:9" x14ac:dyDescent="0.25">
      <c r="A3603" s="168" t="s">
        <v>19163</v>
      </c>
      <c r="B3603" s="136" t="s">
        <v>19178</v>
      </c>
      <c r="C3603" s="137">
        <v>113652</v>
      </c>
      <c r="D3603" s="136" t="s">
        <v>17057</v>
      </c>
      <c r="E3603" s="138">
        <v>286</v>
      </c>
      <c r="F3603" s="139">
        <v>42883</v>
      </c>
      <c r="G3603" s="140">
        <v>286</v>
      </c>
      <c r="H3603" s="138">
        <f t="shared" si="58"/>
        <v>0</v>
      </c>
      <c r="I3603" s="141" t="s">
        <v>15214</v>
      </c>
    </row>
    <row r="3604" spans="1:9" x14ac:dyDescent="0.25">
      <c r="A3604" s="167" t="s">
        <v>19163</v>
      </c>
      <c r="B3604" s="142" t="s">
        <v>19179</v>
      </c>
      <c r="C3604" s="143">
        <v>113653</v>
      </c>
      <c r="D3604" s="142" t="s">
        <v>15223</v>
      </c>
      <c r="E3604" s="144">
        <v>41864.800000000003</v>
      </c>
      <c r="F3604" s="148" t="s">
        <v>19664</v>
      </c>
      <c r="G3604" s="149">
        <f>25534.26+16330.54</f>
        <v>41864.800000000003</v>
      </c>
      <c r="H3604" s="138">
        <f t="shared" si="58"/>
        <v>0</v>
      </c>
      <c r="I3604" s="147" t="s">
        <v>15214</v>
      </c>
    </row>
    <row r="3605" spans="1:9" x14ac:dyDescent="0.25">
      <c r="A3605" s="168" t="s">
        <v>19163</v>
      </c>
      <c r="B3605" s="136" t="s">
        <v>19180</v>
      </c>
      <c r="C3605" s="137">
        <v>113654</v>
      </c>
      <c r="D3605" s="136" t="s">
        <v>17277</v>
      </c>
      <c r="E3605" s="138">
        <v>1318.6</v>
      </c>
      <c r="F3605" s="139">
        <v>42883</v>
      </c>
      <c r="G3605" s="140">
        <v>1318.6</v>
      </c>
      <c r="H3605" s="138">
        <f t="shared" si="58"/>
        <v>0</v>
      </c>
      <c r="I3605" s="141" t="s">
        <v>15214</v>
      </c>
    </row>
    <row r="3606" spans="1:9" x14ac:dyDescent="0.25">
      <c r="A3606" s="167" t="s">
        <v>19163</v>
      </c>
      <c r="B3606" s="142" t="s">
        <v>19181</v>
      </c>
      <c r="C3606" s="143">
        <v>113655</v>
      </c>
      <c r="D3606" s="142" t="s">
        <v>15668</v>
      </c>
      <c r="E3606" s="144">
        <v>16385.599999999999</v>
      </c>
      <c r="F3606" s="148">
        <v>42887</v>
      </c>
      <c r="G3606" s="149">
        <v>16385.599999999999</v>
      </c>
      <c r="H3606" s="138">
        <f t="shared" si="58"/>
        <v>0</v>
      </c>
      <c r="I3606" s="147" t="s">
        <v>15214</v>
      </c>
    </row>
    <row r="3607" spans="1:9" x14ac:dyDescent="0.25">
      <c r="A3607" s="168" t="s">
        <v>19163</v>
      </c>
      <c r="B3607" s="136" t="s">
        <v>19182</v>
      </c>
      <c r="C3607" s="137">
        <v>113656</v>
      </c>
      <c r="D3607" s="136" t="s">
        <v>15280</v>
      </c>
      <c r="E3607" s="138">
        <v>5300.6</v>
      </c>
      <c r="F3607" s="139">
        <v>42883</v>
      </c>
      <c r="G3607" s="140">
        <v>5300.6</v>
      </c>
      <c r="H3607" s="138">
        <f t="shared" si="58"/>
        <v>0</v>
      </c>
      <c r="I3607" s="141" t="s">
        <v>15214</v>
      </c>
    </row>
    <row r="3608" spans="1:9" x14ac:dyDescent="0.25">
      <c r="A3608" s="167" t="s">
        <v>19163</v>
      </c>
      <c r="B3608" s="142" t="s">
        <v>19183</v>
      </c>
      <c r="C3608" s="143">
        <v>113657</v>
      </c>
      <c r="D3608" s="142" t="s">
        <v>15284</v>
      </c>
      <c r="E3608" s="144">
        <v>1455.3</v>
      </c>
      <c r="F3608" s="145">
        <v>42883</v>
      </c>
      <c r="G3608" s="146">
        <v>1455.3</v>
      </c>
      <c r="H3608" s="138">
        <f t="shared" si="58"/>
        <v>0</v>
      </c>
      <c r="I3608" s="147" t="s">
        <v>15214</v>
      </c>
    </row>
    <row r="3609" spans="1:9" x14ac:dyDescent="0.25">
      <c r="A3609" s="168" t="s">
        <v>19163</v>
      </c>
      <c r="B3609" s="136" t="s">
        <v>19184</v>
      </c>
      <c r="C3609" s="137">
        <v>113658</v>
      </c>
      <c r="D3609" s="136" t="s">
        <v>15282</v>
      </c>
      <c r="E3609" s="138">
        <v>2256</v>
      </c>
      <c r="F3609" s="139">
        <v>42883</v>
      </c>
      <c r="G3609" s="140">
        <v>2256</v>
      </c>
      <c r="H3609" s="138">
        <f t="shared" si="58"/>
        <v>0</v>
      </c>
      <c r="I3609" s="141" t="s">
        <v>15214</v>
      </c>
    </row>
    <row r="3610" spans="1:9" x14ac:dyDescent="0.25">
      <c r="A3610" s="167" t="s">
        <v>19163</v>
      </c>
      <c r="B3610" s="142" t="s">
        <v>19185</v>
      </c>
      <c r="C3610" s="143">
        <v>113659</v>
      </c>
      <c r="D3610" s="142" t="s">
        <v>15530</v>
      </c>
      <c r="E3610" s="144">
        <v>3581.3</v>
      </c>
      <c r="F3610" s="145">
        <v>42883</v>
      </c>
      <c r="G3610" s="146">
        <v>3581.3</v>
      </c>
      <c r="H3610" s="138">
        <f t="shared" si="58"/>
        <v>0</v>
      </c>
      <c r="I3610" s="147" t="s">
        <v>15214</v>
      </c>
    </row>
    <row r="3611" spans="1:9" x14ac:dyDescent="0.25">
      <c r="A3611" s="168" t="s">
        <v>19163</v>
      </c>
      <c r="B3611" s="136" t="s">
        <v>19186</v>
      </c>
      <c r="C3611" s="137">
        <v>113660</v>
      </c>
      <c r="D3611" s="136" t="s">
        <v>15248</v>
      </c>
      <c r="E3611" s="138">
        <v>39166.699999999997</v>
      </c>
      <c r="F3611" s="139">
        <v>42883</v>
      </c>
      <c r="G3611" s="140">
        <v>39166.699999999997</v>
      </c>
      <c r="H3611" s="138">
        <f t="shared" si="58"/>
        <v>0</v>
      </c>
      <c r="I3611" s="141" t="s">
        <v>15214</v>
      </c>
    </row>
    <row r="3612" spans="1:9" x14ac:dyDescent="0.25">
      <c r="A3612" s="167" t="s">
        <v>19163</v>
      </c>
      <c r="B3612" s="142" t="s">
        <v>19187</v>
      </c>
      <c r="C3612" s="143">
        <v>113661</v>
      </c>
      <c r="D3612" s="142" t="s">
        <v>15261</v>
      </c>
      <c r="E3612" s="144">
        <v>28448.7</v>
      </c>
      <c r="F3612" s="145">
        <v>42883</v>
      </c>
      <c r="G3612" s="146">
        <v>28448.7</v>
      </c>
      <c r="H3612" s="138">
        <f t="shared" si="58"/>
        <v>0</v>
      </c>
      <c r="I3612" s="147" t="s">
        <v>15214</v>
      </c>
    </row>
    <row r="3613" spans="1:9" x14ac:dyDescent="0.25">
      <c r="A3613" s="168" t="s">
        <v>19163</v>
      </c>
      <c r="B3613" s="136" t="s">
        <v>19188</v>
      </c>
      <c r="C3613" s="137">
        <v>113662</v>
      </c>
      <c r="D3613" s="136" t="s">
        <v>16023</v>
      </c>
      <c r="E3613" s="138">
        <v>1384.8</v>
      </c>
      <c r="F3613" s="139">
        <v>42883</v>
      </c>
      <c r="G3613" s="140">
        <v>1384.8</v>
      </c>
      <c r="H3613" s="138">
        <f t="shared" si="58"/>
        <v>0</v>
      </c>
      <c r="I3613" s="141" t="s">
        <v>15214</v>
      </c>
    </row>
    <row r="3614" spans="1:9" x14ac:dyDescent="0.25">
      <c r="A3614" s="167" t="s">
        <v>19163</v>
      </c>
      <c r="B3614" s="142" t="s">
        <v>19189</v>
      </c>
      <c r="C3614" s="143">
        <v>113663</v>
      </c>
      <c r="D3614" s="142" t="s">
        <v>16484</v>
      </c>
      <c r="E3614" s="144">
        <v>1807</v>
      </c>
      <c r="F3614" s="145">
        <v>42883</v>
      </c>
      <c r="G3614" s="146">
        <v>1807</v>
      </c>
      <c r="H3614" s="138">
        <f t="shared" si="58"/>
        <v>0</v>
      </c>
      <c r="I3614" s="147" t="s">
        <v>15214</v>
      </c>
    </row>
    <row r="3615" spans="1:9" x14ac:dyDescent="0.25">
      <c r="A3615" s="168" t="s">
        <v>19163</v>
      </c>
      <c r="B3615" s="136" t="s">
        <v>19190</v>
      </c>
      <c r="C3615" s="137">
        <v>113664</v>
      </c>
      <c r="D3615" s="136" t="s">
        <v>15523</v>
      </c>
      <c r="E3615" s="138">
        <v>3360</v>
      </c>
      <c r="F3615" s="139">
        <v>42886</v>
      </c>
      <c r="G3615" s="140">
        <v>3360</v>
      </c>
      <c r="H3615" s="138">
        <f t="shared" si="58"/>
        <v>0</v>
      </c>
      <c r="I3615" s="141" t="s">
        <v>15214</v>
      </c>
    </row>
    <row r="3616" spans="1:9" x14ac:dyDescent="0.25">
      <c r="A3616" s="167" t="s">
        <v>19163</v>
      </c>
      <c r="B3616" s="142" t="s">
        <v>19191</v>
      </c>
      <c r="C3616" s="143">
        <v>113665</v>
      </c>
      <c r="D3616" s="142" t="s">
        <v>15350</v>
      </c>
      <c r="E3616" s="144">
        <v>960</v>
      </c>
      <c r="F3616" s="145">
        <v>42886</v>
      </c>
      <c r="G3616" s="146">
        <v>960</v>
      </c>
      <c r="H3616" s="138">
        <f t="shared" si="58"/>
        <v>0</v>
      </c>
      <c r="I3616" s="147" t="s">
        <v>15214</v>
      </c>
    </row>
    <row r="3617" spans="1:9" x14ac:dyDescent="0.25">
      <c r="A3617" s="168" t="s">
        <v>19163</v>
      </c>
      <c r="B3617" s="136" t="s">
        <v>19192</v>
      </c>
      <c r="C3617" s="137">
        <v>113666</v>
      </c>
      <c r="D3617" s="136" t="s">
        <v>15334</v>
      </c>
      <c r="E3617" s="138">
        <v>1148</v>
      </c>
      <c r="F3617" s="139">
        <v>42886</v>
      </c>
      <c r="G3617" s="140">
        <v>1148</v>
      </c>
      <c r="H3617" s="138">
        <f t="shared" si="58"/>
        <v>0</v>
      </c>
      <c r="I3617" s="141" t="s">
        <v>15214</v>
      </c>
    </row>
    <row r="3618" spans="1:9" x14ac:dyDescent="0.25">
      <c r="A3618" s="167" t="s">
        <v>19163</v>
      </c>
      <c r="B3618" s="142" t="s">
        <v>19193</v>
      </c>
      <c r="C3618" s="143">
        <v>113667</v>
      </c>
      <c r="D3618" s="142" t="s">
        <v>15371</v>
      </c>
      <c r="E3618" s="144">
        <v>6254.1</v>
      </c>
      <c r="F3618" s="145">
        <v>42884</v>
      </c>
      <c r="G3618" s="146">
        <v>6254.1</v>
      </c>
      <c r="H3618" s="138">
        <f t="shared" si="58"/>
        <v>0</v>
      </c>
      <c r="I3618" s="147" t="s">
        <v>15214</v>
      </c>
    </row>
    <row r="3619" spans="1:9" x14ac:dyDescent="0.25">
      <c r="A3619" s="168" t="s">
        <v>19163</v>
      </c>
      <c r="B3619" s="136" t="s">
        <v>19194</v>
      </c>
      <c r="C3619" s="137">
        <v>113668</v>
      </c>
      <c r="D3619" s="136" t="s">
        <v>15378</v>
      </c>
      <c r="E3619" s="138">
        <v>779.9</v>
      </c>
      <c r="F3619" s="139">
        <v>42883</v>
      </c>
      <c r="G3619" s="140">
        <v>779.9</v>
      </c>
      <c r="H3619" s="138">
        <f t="shared" si="58"/>
        <v>0</v>
      </c>
      <c r="I3619" s="141" t="s">
        <v>15214</v>
      </c>
    </row>
    <row r="3620" spans="1:9" x14ac:dyDescent="0.25">
      <c r="A3620" s="167" t="s">
        <v>19163</v>
      </c>
      <c r="B3620" s="142" t="s">
        <v>19195</v>
      </c>
      <c r="C3620" s="143">
        <v>113669</v>
      </c>
      <c r="D3620" s="142" t="s">
        <v>15267</v>
      </c>
      <c r="E3620" s="144">
        <v>9033.2000000000007</v>
      </c>
      <c r="F3620" s="148">
        <v>42892</v>
      </c>
      <c r="G3620" s="149">
        <v>9033.2000000000007</v>
      </c>
      <c r="H3620" s="138">
        <f t="shared" si="58"/>
        <v>0</v>
      </c>
      <c r="I3620" s="147" t="s">
        <v>15214</v>
      </c>
    </row>
    <row r="3621" spans="1:9" x14ac:dyDescent="0.25">
      <c r="A3621" s="168" t="s">
        <v>19163</v>
      </c>
      <c r="B3621" s="136" t="s">
        <v>19196</v>
      </c>
      <c r="C3621" s="137">
        <v>113670</v>
      </c>
      <c r="D3621" s="136" t="s">
        <v>15315</v>
      </c>
      <c r="E3621" s="138">
        <v>324.8</v>
      </c>
      <c r="F3621" s="139">
        <v>42883</v>
      </c>
      <c r="G3621" s="140">
        <v>324.8</v>
      </c>
      <c r="H3621" s="138">
        <f t="shared" si="58"/>
        <v>0</v>
      </c>
      <c r="I3621" s="141" t="s">
        <v>15214</v>
      </c>
    </row>
    <row r="3622" spans="1:9" ht="30.75" customHeight="1" x14ac:dyDescent="0.25">
      <c r="A3622" s="167" t="s">
        <v>19163</v>
      </c>
      <c r="B3622" s="142" t="s">
        <v>19197</v>
      </c>
      <c r="C3622" s="143">
        <v>113671</v>
      </c>
      <c r="D3622" s="142" t="s">
        <v>15352</v>
      </c>
      <c r="E3622" s="144">
        <v>526</v>
      </c>
      <c r="F3622" s="145">
        <v>42883</v>
      </c>
      <c r="G3622" s="146">
        <v>526</v>
      </c>
      <c r="H3622" s="138">
        <f t="shared" si="58"/>
        <v>0</v>
      </c>
      <c r="I3622" s="147" t="s">
        <v>15214</v>
      </c>
    </row>
    <row r="3623" spans="1:9" x14ac:dyDescent="0.25">
      <c r="A3623" s="168" t="s">
        <v>19163</v>
      </c>
      <c r="B3623" s="136" t="s">
        <v>19198</v>
      </c>
      <c r="C3623" s="137">
        <v>113672</v>
      </c>
      <c r="D3623" s="136" t="s">
        <v>15265</v>
      </c>
      <c r="E3623" s="138">
        <v>2092.5</v>
      </c>
      <c r="F3623" s="139">
        <v>42883</v>
      </c>
      <c r="G3623" s="140">
        <v>2092.5</v>
      </c>
      <c r="H3623" s="138">
        <f t="shared" si="58"/>
        <v>0</v>
      </c>
      <c r="I3623" s="141" t="s">
        <v>15214</v>
      </c>
    </row>
    <row r="3624" spans="1:9" x14ac:dyDescent="0.25">
      <c r="A3624" s="167" t="s">
        <v>19163</v>
      </c>
      <c r="B3624" s="142" t="s">
        <v>19199</v>
      </c>
      <c r="C3624" s="143">
        <v>113673</v>
      </c>
      <c r="D3624" s="142" t="s">
        <v>15322</v>
      </c>
      <c r="E3624" s="144">
        <v>242</v>
      </c>
      <c r="F3624" s="145">
        <v>42883</v>
      </c>
      <c r="G3624" s="146">
        <v>242</v>
      </c>
      <c r="H3624" s="138">
        <f t="shared" si="58"/>
        <v>0</v>
      </c>
      <c r="I3624" s="147" t="s">
        <v>15214</v>
      </c>
    </row>
    <row r="3625" spans="1:9" x14ac:dyDescent="0.25">
      <c r="A3625" s="168" t="s">
        <v>19163</v>
      </c>
      <c r="B3625" s="136" t="s">
        <v>19200</v>
      </c>
      <c r="C3625" s="137">
        <v>113674</v>
      </c>
      <c r="D3625" s="136" t="s">
        <v>15577</v>
      </c>
      <c r="E3625" s="138">
        <v>533.6</v>
      </c>
      <c r="F3625" s="139">
        <v>42883</v>
      </c>
      <c r="G3625" s="140">
        <v>533.6</v>
      </c>
      <c r="H3625" s="138">
        <f t="shared" si="58"/>
        <v>0</v>
      </c>
      <c r="I3625" s="141" t="s">
        <v>15214</v>
      </c>
    </row>
    <row r="3626" spans="1:9" x14ac:dyDescent="0.25">
      <c r="A3626" s="167" t="s">
        <v>19163</v>
      </c>
      <c r="B3626" s="142" t="s">
        <v>19201</v>
      </c>
      <c r="C3626" s="143">
        <v>113675</v>
      </c>
      <c r="D3626" s="142" t="s">
        <v>15328</v>
      </c>
      <c r="E3626" s="144">
        <v>49727.18</v>
      </c>
      <c r="F3626" s="145">
        <v>42902</v>
      </c>
      <c r="G3626" s="146">
        <v>49727.18</v>
      </c>
      <c r="H3626" s="138">
        <f t="shared" si="58"/>
        <v>0</v>
      </c>
      <c r="I3626" s="147" t="s">
        <v>15214</v>
      </c>
    </row>
    <row r="3627" spans="1:9" x14ac:dyDescent="0.25">
      <c r="A3627" s="168" t="s">
        <v>19163</v>
      </c>
      <c r="B3627" s="136" t="s">
        <v>19202</v>
      </c>
      <c r="C3627" s="137">
        <v>113676</v>
      </c>
      <c r="D3627" s="136" t="s">
        <v>16383</v>
      </c>
      <c r="E3627" s="138">
        <v>9999.99</v>
      </c>
      <c r="F3627" s="139">
        <v>42883</v>
      </c>
      <c r="G3627" s="140">
        <v>9999.99</v>
      </c>
      <c r="H3627" s="138">
        <f t="shared" si="58"/>
        <v>0</v>
      </c>
      <c r="I3627" s="141" t="s">
        <v>15214</v>
      </c>
    </row>
    <row r="3628" spans="1:9" ht="15" customHeight="1" x14ac:dyDescent="0.25">
      <c r="A3628" s="167" t="s">
        <v>19163</v>
      </c>
      <c r="B3628" s="142" t="s">
        <v>19203</v>
      </c>
      <c r="C3628" s="143">
        <v>113677</v>
      </c>
      <c r="D3628" s="142" t="s">
        <v>15332</v>
      </c>
      <c r="E3628" s="144">
        <v>5251.6</v>
      </c>
      <c r="F3628" s="145">
        <v>42886</v>
      </c>
      <c r="G3628" s="146">
        <v>5251.6</v>
      </c>
      <c r="H3628" s="138">
        <f t="shared" si="58"/>
        <v>0</v>
      </c>
      <c r="I3628" s="147" t="s">
        <v>15214</v>
      </c>
    </row>
    <row r="3629" spans="1:9" ht="15.75" customHeight="1" x14ac:dyDescent="0.25">
      <c r="A3629" s="168" t="s">
        <v>19163</v>
      </c>
      <c r="B3629" s="136" t="s">
        <v>19204</v>
      </c>
      <c r="C3629" s="137">
        <v>113678</v>
      </c>
      <c r="D3629" s="136" t="s">
        <v>15340</v>
      </c>
      <c r="E3629" s="138">
        <v>6146.8</v>
      </c>
      <c r="F3629" s="139">
        <v>42886</v>
      </c>
      <c r="G3629" s="140">
        <v>6146.8</v>
      </c>
      <c r="H3629" s="138">
        <f t="shared" si="58"/>
        <v>0</v>
      </c>
      <c r="I3629" s="141" t="s">
        <v>15214</v>
      </c>
    </row>
    <row r="3630" spans="1:9" x14ac:dyDescent="0.25">
      <c r="A3630" s="167" t="s">
        <v>19163</v>
      </c>
      <c r="B3630" s="142" t="s">
        <v>19205</v>
      </c>
      <c r="C3630" s="143">
        <v>113679</v>
      </c>
      <c r="D3630" s="142" t="s">
        <v>15358</v>
      </c>
      <c r="E3630" s="144">
        <v>2716.6</v>
      </c>
      <c r="F3630" s="145">
        <v>42886</v>
      </c>
      <c r="G3630" s="146">
        <v>2716.6</v>
      </c>
      <c r="H3630" s="138">
        <f t="shared" si="58"/>
        <v>0</v>
      </c>
      <c r="I3630" s="147" t="s">
        <v>15214</v>
      </c>
    </row>
    <row r="3631" spans="1:9" ht="15.75" x14ac:dyDescent="0.25">
      <c r="A3631" s="168" t="s">
        <v>19163</v>
      </c>
      <c r="B3631" s="136" t="s">
        <v>19206</v>
      </c>
      <c r="C3631" s="137">
        <v>113680</v>
      </c>
      <c r="D3631" s="136" t="s">
        <v>15344</v>
      </c>
      <c r="E3631" s="138">
        <v>0</v>
      </c>
      <c r="F3631" s="153" t="s">
        <v>95</v>
      </c>
      <c r="G3631" s="138">
        <v>0</v>
      </c>
      <c r="H3631" s="138">
        <f t="shared" si="58"/>
        <v>0</v>
      </c>
      <c r="I3631" s="141" t="s">
        <v>95</v>
      </c>
    </row>
    <row r="3632" spans="1:9" x14ac:dyDescent="0.25">
      <c r="A3632" s="167" t="s">
        <v>19163</v>
      </c>
      <c r="B3632" s="142" t="s">
        <v>19207</v>
      </c>
      <c r="C3632" s="143">
        <v>113681</v>
      </c>
      <c r="D3632" s="142" t="s">
        <v>15344</v>
      </c>
      <c r="E3632" s="144">
        <v>2249.1</v>
      </c>
      <c r="F3632" s="145">
        <v>42886</v>
      </c>
      <c r="G3632" s="146">
        <v>2249.1</v>
      </c>
      <c r="H3632" s="138">
        <f t="shared" si="58"/>
        <v>0</v>
      </c>
      <c r="I3632" s="147" t="s">
        <v>15214</v>
      </c>
    </row>
    <row r="3633" spans="1:9" x14ac:dyDescent="0.25">
      <c r="A3633" s="168" t="s">
        <v>19163</v>
      </c>
      <c r="B3633" s="136" t="s">
        <v>19208</v>
      </c>
      <c r="C3633" s="137">
        <v>113682</v>
      </c>
      <c r="D3633" s="136" t="s">
        <v>17210</v>
      </c>
      <c r="E3633" s="138">
        <v>3028.2</v>
      </c>
      <c r="F3633" s="139">
        <v>42886</v>
      </c>
      <c r="G3633" s="140">
        <v>3028.2</v>
      </c>
      <c r="H3633" s="138">
        <f t="shared" si="58"/>
        <v>0</v>
      </c>
      <c r="I3633" s="141" t="s">
        <v>15214</v>
      </c>
    </row>
    <row r="3634" spans="1:9" x14ac:dyDescent="0.25">
      <c r="A3634" s="167" t="s">
        <v>19163</v>
      </c>
      <c r="B3634" s="142" t="s">
        <v>19209</v>
      </c>
      <c r="C3634" s="143">
        <v>113683</v>
      </c>
      <c r="D3634" s="142" t="s">
        <v>15244</v>
      </c>
      <c r="E3634" s="144">
        <v>11896.1</v>
      </c>
      <c r="F3634" s="148">
        <v>42888</v>
      </c>
      <c r="G3634" s="149">
        <v>11896.1</v>
      </c>
      <c r="H3634" s="138">
        <f t="shared" si="58"/>
        <v>0</v>
      </c>
      <c r="I3634" s="147" t="s">
        <v>15214</v>
      </c>
    </row>
    <row r="3635" spans="1:9" x14ac:dyDescent="0.25">
      <c r="A3635" s="168" t="s">
        <v>19163</v>
      </c>
      <c r="B3635" s="136" t="s">
        <v>19210</v>
      </c>
      <c r="C3635" s="137">
        <v>113684</v>
      </c>
      <c r="D3635" s="136" t="s">
        <v>15252</v>
      </c>
      <c r="E3635" s="138">
        <v>6781.3</v>
      </c>
      <c r="F3635" s="139">
        <v>42886</v>
      </c>
      <c r="G3635" s="140">
        <v>6781.3</v>
      </c>
      <c r="H3635" s="138">
        <f t="shared" si="58"/>
        <v>0</v>
      </c>
      <c r="I3635" s="141" t="s">
        <v>15214</v>
      </c>
    </row>
    <row r="3636" spans="1:9" x14ac:dyDescent="0.25">
      <c r="A3636" s="167" t="s">
        <v>19163</v>
      </c>
      <c r="B3636" s="142" t="s">
        <v>19211</v>
      </c>
      <c r="C3636" s="143">
        <v>113685</v>
      </c>
      <c r="D3636" s="142" t="s">
        <v>15354</v>
      </c>
      <c r="E3636" s="144">
        <v>2270.1999999999998</v>
      </c>
      <c r="F3636" s="145">
        <v>42886</v>
      </c>
      <c r="G3636" s="146">
        <v>2270.1999999999998</v>
      </c>
      <c r="H3636" s="138">
        <f t="shared" si="58"/>
        <v>0</v>
      </c>
      <c r="I3636" s="147" t="s">
        <v>15214</v>
      </c>
    </row>
    <row r="3637" spans="1:9" x14ac:dyDescent="0.25">
      <c r="A3637" s="168" t="s">
        <v>19163</v>
      </c>
      <c r="B3637" s="136" t="s">
        <v>19212</v>
      </c>
      <c r="C3637" s="137">
        <v>113686</v>
      </c>
      <c r="D3637" s="136" t="s">
        <v>15354</v>
      </c>
      <c r="E3637" s="138">
        <v>378</v>
      </c>
      <c r="F3637" s="139">
        <v>42886</v>
      </c>
      <c r="G3637" s="140">
        <v>378</v>
      </c>
      <c r="H3637" s="138">
        <f t="shared" si="58"/>
        <v>0</v>
      </c>
      <c r="I3637" s="141" t="s">
        <v>15214</v>
      </c>
    </row>
    <row r="3638" spans="1:9" x14ac:dyDescent="0.25">
      <c r="A3638" s="167" t="s">
        <v>19163</v>
      </c>
      <c r="B3638" s="142" t="s">
        <v>19213</v>
      </c>
      <c r="C3638" s="143">
        <v>113687</v>
      </c>
      <c r="D3638" s="142" t="s">
        <v>15298</v>
      </c>
      <c r="E3638" s="144">
        <v>228</v>
      </c>
      <c r="F3638" s="145">
        <v>42883</v>
      </c>
      <c r="G3638" s="146">
        <v>228</v>
      </c>
      <c r="H3638" s="138">
        <f t="shared" si="58"/>
        <v>0</v>
      </c>
      <c r="I3638" s="147" t="s">
        <v>15214</v>
      </c>
    </row>
    <row r="3639" spans="1:9" x14ac:dyDescent="0.25">
      <c r="A3639" s="168" t="s">
        <v>19163</v>
      </c>
      <c r="B3639" s="136" t="s">
        <v>19214</v>
      </c>
      <c r="C3639" s="137">
        <v>113688</v>
      </c>
      <c r="D3639" s="136" t="s">
        <v>15566</v>
      </c>
      <c r="E3639" s="138">
        <v>467.4</v>
      </c>
      <c r="F3639" s="139">
        <v>42883</v>
      </c>
      <c r="G3639" s="140">
        <v>467.4</v>
      </c>
      <c r="H3639" s="138">
        <f t="shared" si="58"/>
        <v>0</v>
      </c>
      <c r="I3639" s="141" t="s">
        <v>15214</v>
      </c>
    </row>
    <row r="3640" spans="1:9" x14ac:dyDescent="0.25">
      <c r="A3640" s="167" t="s">
        <v>19163</v>
      </c>
      <c r="B3640" s="142" t="s">
        <v>19215</v>
      </c>
      <c r="C3640" s="143">
        <v>113689</v>
      </c>
      <c r="D3640" s="142" t="s">
        <v>15442</v>
      </c>
      <c r="E3640" s="144">
        <v>16108.6</v>
      </c>
      <c r="F3640" s="148">
        <v>42888</v>
      </c>
      <c r="G3640" s="149">
        <v>16108.6</v>
      </c>
      <c r="H3640" s="138">
        <f t="shared" si="58"/>
        <v>0</v>
      </c>
      <c r="I3640" s="147" t="s">
        <v>15214</v>
      </c>
    </row>
    <row r="3641" spans="1:9" x14ac:dyDescent="0.25">
      <c r="A3641" s="168" t="s">
        <v>19163</v>
      </c>
      <c r="B3641" s="136" t="s">
        <v>19216</v>
      </c>
      <c r="C3641" s="137">
        <v>113690</v>
      </c>
      <c r="D3641" s="136" t="s">
        <v>15541</v>
      </c>
      <c r="E3641" s="138">
        <v>2234.42</v>
      </c>
      <c r="F3641" s="139">
        <v>42883</v>
      </c>
      <c r="G3641" s="140">
        <v>2234.42</v>
      </c>
      <c r="H3641" s="138">
        <f t="shared" si="58"/>
        <v>0</v>
      </c>
      <c r="I3641" s="141" t="s">
        <v>15214</v>
      </c>
    </row>
    <row r="3642" spans="1:9" x14ac:dyDescent="0.25">
      <c r="A3642" s="167" t="s">
        <v>19163</v>
      </c>
      <c r="B3642" s="142" t="s">
        <v>19217</v>
      </c>
      <c r="C3642" s="143">
        <v>113691</v>
      </c>
      <c r="D3642" s="142" t="s">
        <v>15596</v>
      </c>
      <c r="E3642" s="144">
        <v>960</v>
      </c>
      <c r="F3642" s="145">
        <v>42883</v>
      </c>
      <c r="G3642" s="146">
        <v>960</v>
      </c>
      <c r="H3642" s="138">
        <f t="shared" si="58"/>
        <v>0</v>
      </c>
      <c r="I3642" s="147" t="s">
        <v>15214</v>
      </c>
    </row>
    <row r="3643" spans="1:9" x14ac:dyDescent="0.25">
      <c r="A3643" s="168" t="s">
        <v>19163</v>
      </c>
      <c r="B3643" s="136" t="s">
        <v>19218</v>
      </c>
      <c r="C3643" s="137">
        <v>113692</v>
      </c>
      <c r="D3643" s="136" t="s">
        <v>15284</v>
      </c>
      <c r="E3643" s="138">
        <v>793.8</v>
      </c>
      <c r="F3643" s="139">
        <v>42883</v>
      </c>
      <c r="G3643" s="140">
        <v>793.8</v>
      </c>
      <c r="H3643" s="138">
        <f t="shared" si="58"/>
        <v>0</v>
      </c>
      <c r="I3643" s="141" t="s">
        <v>15214</v>
      </c>
    </row>
    <row r="3644" spans="1:9" x14ac:dyDescent="0.25">
      <c r="A3644" s="167" t="s">
        <v>19163</v>
      </c>
      <c r="B3644" s="142" t="s">
        <v>19219</v>
      </c>
      <c r="C3644" s="143">
        <v>113693</v>
      </c>
      <c r="D3644" s="142" t="s">
        <v>15267</v>
      </c>
      <c r="E3644" s="144">
        <v>28118.3</v>
      </c>
      <c r="F3644" s="148">
        <v>42892</v>
      </c>
      <c r="G3644" s="149">
        <v>28118.3</v>
      </c>
      <c r="H3644" s="138">
        <f t="shared" si="58"/>
        <v>0</v>
      </c>
      <c r="I3644" s="147" t="s">
        <v>15214</v>
      </c>
    </row>
    <row r="3645" spans="1:9" x14ac:dyDescent="0.25">
      <c r="A3645" s="168" t="s">
        <v>19163</v>
      </c>
      <c r="B3645" s="136" t="s">
        <v>19220</v>
      </c>
      <c r="C3645" s="137">
        <v>113694</v>
      </c>
      <c r="D3645" s="136" t="s">
        <v>15407</v>
      </c>
      <c r="E3645" s="138">
        <v>4238.3</v>
      </c>
      <c r="F3645" s="139">
        <v>42883</v>
      </c>
      <c r="G3645" s="140">
        <v>4238.3</v>
      </c>
      <c r="H3645" s="138">
        <f t="shared" si="58"/>
        <v>0</v>
      </c>
      <c r="I3645" s="141" t="s">
        <v>15214</v>
      </c>
    </row>
    <row r="3646" spans="1:9" x14ac:dyDescent="0.25">
      <c r="A3646" s="167" t="s">
        <v>19163</v>
      </c>
      <c r="B3646" s="142" t="s">
        <v>19221</v>
      </c>
      <c r="C3646" s="143">
        <v>113695</v>
      </c>
      <c r="D3646" s="142" t="s">
        <v>15311</v>
      </c>
      <c r="E3646" s="144">
        <v>2092.4</v>
      </c>
      <c r="F3646" s="145">
        <v>42884</v>
      </c>
      <c r="G3646" s="146">
        <v>2092.4</v>
      </c>
      <c r="H3646" s="138">
        <f t="shared" si="58"/>
        <v>0</v>
      </c>
      <c r="I3646" s="147" t="s">
        <v>15214</v>
      </c>
    </row>
    <row r="3647" spans="1:9" x14ac:dyDescent="0.25">
      <c r="A3647" s="168" t="s">
        <v>19163</v>
      </c>
      <c r="B3647" s="136" t="s">
        <v>19222</v>
      </c>
      <c r="C3647" s="137">
        <v>113696</v>
      </c>
      <c r="D3647" s="136" t="s">
        <v>15298</v>
      </c>
      <c r="E3647" s="138">
        <v>3784.8</v>
      </c>
      <c r="F3647" s="139">
        <v>42883</v>
      </c>
      <c r="G3647" s="140">
        <v>3784.8</v>
      </c>
      <c r="H3647" s="138">
        <f t="shared" si="58"/>
        <v>0</v>
      </c>
      <c r="I3647" s="141" t="s">
        <v>15214</v>
      </c>
    </row>
    <row r="3648" spans="1:9" x14ac:dyDescent="0.25">
      <c r="A3648" s="167" t="s">
        <v>19163</v>
      </c>
      <c r="B3648" s="142" t="s">
        <v>19223</v>
      </c>
      <c r="C3648" s="143">
        <v>113697</v>
      </c>
      <c r="D3648" s="142" t="s">
        <v>15315</v>
      </c>
      <c r="E3648" s="144">
        <v>780.7</v>
      </c>
      <c r="F3648" s="161" t="s">
        <v>19224</v>
      </c>
      <c r="G3648" s="144">
        <v>780.7</v>
      </c>
      <c r="H3648" s="138">
        <f t="shared" si="58"/>
        <v>0</v>
      </c>
      <c r="I3648" s="147" t="s">
        <v>15214</v>
      </c>
    </row>
    <row r="3649" spans="1:9" x14ac:dyDescent="0.25">
      <c r="A3649" s="168" t="s">
        <v>19163</v>
      </c>
      <c r="B3649" s="136" t="s">
        <v>19225</v>
      </c>
      <c r="C3649" s="137">
        <v>113698</v>
      </c>
      <c r="D3649" s="136" t="s">
        <v>15320</v>
      </c>
      <c r="E3649" s="138">
        <v>1743.4</v>
      </c>
      <c r="F3649" s="139">
        <v>42884</v>
      </c>
      <c r="G3649" s="140">
        <v>1743.4</v>
      </c>
      <c r="H3649" s="138">
        <f t="shared" si="58"/>
        <v>0</v>
      </c>
      <c r="I3649" s="141" t="s">
        <v>15214</v>
      </c>
    </row>
    <row r="3650" spans="1:9" x14ac:dyDescent="0.25">
      <c r="A3650" s="167" t="s">
        <v>19163</v>
      </c>
      <c r="B3650" s="142" t="s">
        <v>19226</v>
      </c>
      <c r="C3650" s="143">
        <v>113699</v>
      </c>
      <c r="D3650" s="142" t="s">
        <v>15213</v>
      </c>
      <c r="E3650" s="144">
        <v>5713.2</v>
      </c>
      <c r="F3650" s="145">
        <v>42884</v>
      </c>
      <c r="G3650" s="146">
        <v>5713.2</v>
      </c>
      <c r="H3650" s="138">
        <f t="shared" si="58"/>
        <v>0</v>
      </c>
      <c r="I3650" s="147" t="s">
        <v>15214</v>
      </c>
    </row>
    <row r="3651" spans="1:9" x14ac:dyDescent="0.25">
      <c r="A3651" s="168" t="s">
        <v>19163</v>
      </c>
      <c r="B3651" s="136" t="s">
        <v>19227</v>
      </c>
      <c r="C3651" s="137">
        <v>113700</v>
      </c>
      <c r="D3651" s="136" t="s">
        <v>15391</v>
      </c>
      <c r="E3651" s="138">
        <v>11307.2</v>
      </c>
      <c r="F3651" s="139">
        <v>42884</v>
      </c>
      <c r="G3651" s="140">
        <v>11307.2</v>
      </c>
      <c r="H3651" s="138">
        <f t="shared" si="58"/>
        <v>0</v>
      </c>
      <c r="I3651" s="141" t="s">
        <v>15214</v>
      </c>
    </row>
    <row r="3652" spans="1:9" x14ac:dyDescent="0.25">
      <c r="A3652" s="167" t="s">
        <v>19163</v>
      </c>
      <c r="B3652" s="142" t="s">
        <v>19228</v>
      </c>
      <c r="C3652" s="143">
        <v>113701</v>
      </c>
      <c r="D3652" s="142" t="s">
        <v>15385</v>
      </c>
      <c r="E3652" s="144">
        <v>8536</v>
      </c>
      <c r="F3652" s="145">
        <v>42884</v>
      </c>
      <c r="G3652" s="146">
        <v>8536</v>
      </c>
      <c r="H3652" s="138">
        <f t="shared" si="58"/>
        <v>0</v>
      </c>
      <c r="I3652" s="147" t="s">
        <v>15214</v>
      </c>
    </row>
    <row r="3653" spans="1:9" x14ac:dyDescent="0.25">
      <c r="A3653" s="168" t="s">
        <v>19163</v>
      </c>
      <c r="B3653" s="136" t="s">
        <v>19229</v>
      </c>
      <c r="C3653" s="137">
        <v>113702</v>
      </c>
      <c r="D3653" s="136" t="s">
        <v>15725</v>
      </c>
      <c r="E3653" s="138">
        <v>5100</v>
      </c>
      <c r="F3653" s="157">
        <v>42889</v>
      </c>
      <c r="G3653" s="158">
        <v>5100</v>
      </c>
      <c r="H3653" s="138">
        <f t="shared" si="58"/>
        <v>0</v>
      </c>
      <c r="I3653" s="141" t="s">
        <v>15214</v>
      </c>
    </row>
    <row r="3654" spans="1:9" x14ac:dyDescent="0.25">
      <c r="A3654" s="167" t="s">
        <v>19163</v>
      </c>
      <c r="B3654" s="142" t="s">
        <v>19230</v>
      </c>
      <c r="C3654" s="143">
        <v>113703</v>
      </c>
      <c r="D3654" s="142" t="s">
        <v>15315</v>
      </c>
      <c r="E3654" s="144">
        <v>395.2</v>
      </c>
      <c r="F3654" s="145">
        <v>42883</v>
      </c>
      <c r="G3654" s="146">
        <v>395.2</v>
      </c>
      <c r="H3654" s="138">
        <f t="shared" si="58"/>
        <v>0</v>
      </c>
      <c r="I3654" s="147" t="s">
        <v>15214</v>
      </c>
    </row>
    <row r="3655" spans="1:9" x14ac:dyDescent="0.25">
      <c r="A3655" s="168" t="s">
        <v>19163</v>
      </c>
      <c r="B3655" s="136" t="s">
        <v>19231</v>
      </c>
      <c r="C3655" s="137">
        <v>113704</v>
      </c>
      <c r="D3655" s="136" t="s">
        <v>15810</v>
      </c>
      <c r="E3655" s="138">
        <v>474.2</v>
      </c>
      <c r="F3655" s="139">
        <v>42883</v>
      </c>
      <c r="G3655" s="140">
        <v>474.2</v>
      </c>
      <c r="H3655" s="138">
        <f t="shared" ref="H3655:H3718" si="59">E3655-G3655</f>
        <v>0</v>
      </c>
      <c r="I3655" s="141" t="s">
        <v>15214</v>
      </c>
    </row>
    <row r="3656" spans="1:9" x14ac:dyDescent="0.25">
      <c r="A3656" s="167" t="s">
        <v>19163</v>
      </c>
      <c r="B3656" s="142" t="s">
        <v>19232</v>
      </c>
      <c r="C3656" s="143">
        <v>113705</v>
      </c>
      <c r="D3656" s="142" t="s">
        <v>15315</v>
      </c>
      <c r="E3656" s="144">
        <v>1440</v>
      </c>
      <c r="F3656" s="145">
        <v>42883</v>
      </c>
      <c r="G3656" s="146">
        <v>1440</v>
      </c>
      <c r="H3656" s="138">
        <f t="shared" si="59"/>
        <v>0</v>
      </c>
      <c r="I3656" s="147" t="s">
        <v>15214</v>
      </c>
    </row>
    <row r="3657" spans="1:9" x14ac:dyDescent="0.25">
      <c r="A3657" s="168" t="s">
        <v>19163</v>
      </c>
      <c r="B3657" s="136" t="s">
        <v>19233</v>
      </c>
      <c r="C3657" s="137">
        <v>113706</v>
      </c>
      <c r="D3657" s="136" t="s">
        <v>15246</v>
      </c>
      <c r="E3657" s="138">
        <v>144967.4</v>
      </c>
      <c r="F3657" s="157">
        <v>42887</v>
      </c>
      <c r="G3657" s="158">
        <v>144967.4</v>
      </c>
      <c r="H3657" s="138">
        <f t="shared" si="59"/>
        <v>0</v>
      </c>
      <c r="I3657" s="141" t="s">
        <v>15214</v>
      </c>
    </row>
    <row r="3658" spans="1:9" ht="15.75" x14ac:dyDescent="0.25">
      <c r="A3658" s="167" t="s">
        <v>19224</v>
      </c>
      <c r="B3658" s="142" t="s">
        <v>19234</v>
      </c>
      <c r="C3658" s="143">
        <v>113707</v>
      </c>
      <c r="D3658" s="142" t="s">
        <v>15213</v>
      </c>
      <c r="E3658" s="144">
        <v>0</v>
      </c>
      <c r="F3658" s="156" t="s">
        <v>95</v>
      </c>
      <c r="G3658" s="144">
        <v>0</v>
      </c>
      <c r="H3658" s="138">
        <f t="shared" si="59"/>
        <v>0</v>
      </c>
      <c r="I3658" s="147" t="s">
        <v>95</v>
      </c>
    </row>
    <row r="3659" spans="1:9" x14ac:dyDescent="0.25">
      <c r="A3659" s="168" t="s">
        <v>19224</v>
      </c>
      <c r="B3659" s="136" t="s">
        <v>19235</v>
      </c>
      <c r="C3659" s="137">
        <v>113708</v>
      </c>
      <c r="D3659" s="136" t="s">
        <v>15213</v>
      </c>
      <c r="E3659" s="138">
        <v>9788.2000000000007</v>
      </c>
      <c r="F3659" s="139">
        <v>39231</v>
      </c>
      <c r="G3659" s="140">
        <v>9788.2000000000007</v>
      </c>
      <c r="H3659" s="138">
        <f t="shared" si="59"/>
        <v>0</v>
      </c>
      <c r="I3659" s="141" t="s">
        <v>15214</v>
      </c>
    </row>
    <row r="3660" spans="1:9" x14ac:dyDescent="0.25">
      <c r="A3660" s="167" t="s">
        <v>19224</v>
      </c>
      <c r="B3660" s="142" t="s">
        <v>19236</v>
      </c>
      <c r="C3660" s="143">
        <v>113709</v>
      </c>
      <c r="D3660" s="142" t="s">
        <v>15213</v>
      </c>
      <c r="E3660" s="144">
        <v>37760.6</v>
      </c>
      <c r="F3660" s="145">
        <v>42885</v>
      </c>
      <c r="G3660" s="146">
        <v>37760.6</v>
      </c>
      <c r="H3660" s="138">
        <f t="shared" si="59"/>
        <v>0</v>
      </c>
      <c r="I3660" s="147" t="s">
        <v>15214</v>
      </c>
    </row>
    <row r="3661" spans="1:9" x14ac:dyDescent="0.25">
      <c r="A3661" s="168" t="s">
        <v>19224</v>
      </c>
      <c r="B3661" s="136" t="s">
        <v>19237</v>
      </c>
      <c r="C3661" s="137">
        <v>113710</v>
      </c>
      <c r="D3661" s="136" t="s">
        <v>15220</v>
      </c>
      <c r="E3661" s="138">
        <v>2400</v>
      </c>
      <c r="F3661" s="139">
        <v>42884</v>
      </c>
      <c r="G3661" s="140">
        <v>2400</v>
      </c>
      <c r="H3661" s="138">
        <f t="shared" si="59"/>
        <v>0</v>
      </c>
      <c r="I3661" s="141" t="s">
        <v>15214</v>
      </c>
    </row>
    <row r="3662" spans="1:9" x14ac:dyDescent="0.25">
      <c r="A3662" s="167" t="s">
        <v>19224</v>
      </c>
      <c r="B3662" s="142" t="s">
        <v>19238</v>
      </c>
      <c r="C3662" s="143">
        <v>113711</v>
      </c>
      <c r="D3662" s="142" t="s">
        <v>15250</v>
      </c>
      <c r="E3662" s="144">
        <v>33563.5</v>
      </c>
      <c r="F3662" s="145" t="s">
        <v>19666</v>
      </c>
      <c r="G3662" s="146">
        <f>32981.68+581.82</f>
        <v>33563.5</v>
      </c>
      <c r="H3662" s="138">
        <f t="shared" si="59"/>
        <v>0</v>
      </c>
      <c r="I3662" s="147" t="s">
        <v>15214</v>
      </c>
    </row>
    <row r="3663" spans="1:9" x14ac:dyDescent="0.25">
      <c r="A3663" s="168" t="s">
        <v>19224</v>
      </c>
      <c r="B3663" s="136" t="s">
        <v>19239</v>
      </c>
      <c r="C3663" s="137">
        <v>113712</v>
      </c>
      <c r="D3663" s="136" t="s">
        <v>15272</v>
      </c>
      <c r="E3663" s="138">
        <v>17299.900000000001</v>
      </c>
      <c r="F3663" s="139">
        <v>42884</v>
      </c>
      <c r="G3663" s="140">
        <v>17299.900000000001</v>
      </c>
      <c r="H3663" s="138">
        <f t="shared" si="59"/>
        <v>0</v>
      </c>
      <c r="I3663" s="141" t="s">
        <v>15214</v>
      </c>
    </row>
    <row r="3664" spans="1:9" x14ac:dyDescent="0.25">
      <c r="A3664" s="167" t="s">
        <v>19224</v>
      </c>
      <c r="B3664" s="142" t="s">
        <v>19240</v>
      </c>
      <c r="C3664" s="143">
        <v>113713</v>
      </c>
      <c r="D3664" s="142" t="s">
        <v>15263</v>
      </c>
      <c r="E3664" s="144">
        <v>3727.8</v>
      </c>
      <c r="F3664" s="145">
        <v>42884</v>
      </c>
      <c r="G3664" s="146">
        <v>3727.8</v>
      </c>
      <c r="H3664" s="138">
        <f t="shared" si="59"/>
        <v>0</v>
      </c>
      <c r="I3664" s="147" t="s">
        <v>15214</v>
      </c>
    </row>
    <row r="3665" spans="1:9" x14ac:dyDescent="0.25">
      <c r="A3665" s="168" t="s">
        <v>19224</v>
      </c>
      <c r="B3665" s="136" t="s">
        <v>19241</v>
      </c>
      <c r="C3665" s="137">
        <v>113714</v>
      </c>
      <c r="D3665" s="136" t="s">
        <v>15226</v>
      </c>
      <c r="E3665" s="138">
        <v>1974</v>
      </c>
      <c r="F3665" s="157">
        <v>42887</v>
      </c>
      <c r="G3665" s="158">
        <v>1974</v>
      </c>
      <c r="H3665" s="138">
        <f t="shared" si="59"/>
        <v>0</v>
      </c>
      <c r="I3665" s="141" t="s">
        <v>15214</v>
      </c>
    </row>
    <row r="3666" spans="1:9" x14ac:dyDescent="0.25">
      <c r="A3666" s="167" t="s">
        <v>19224</v>
      </c>
      <c r="B3666" s="142" t="s">
        <v>19242</v>
      </c>
      <c r="C3666" s="143">
        <v>113715</v>
      </c>
      <c r="D3666" s="142" t="s">
        <v>15240</v>
      </c>
      <c r="E3666" s="144">
        <v>3081.6</v>
      </c>
      <c r="F3666" s="145">
        <v>42886</v>
      </c>
      <c r="G3666" s="146">
        <v>3081.6</v>
      </c>
      <c r="H3666" s="138">
        <f t="shared" si="59"/>
        <v>0</v>
      </c>
      <c r="I3666" s="147" t="s">
        <v>15214</v>
      </c>
    </row>
    <row r="3667" spans="1:9" x14ac:dyDescent="0.25">
      <c r="A3667" s="168" t="s">
        <v>19224</v>
      </c>
      <c r="B3667" s="136" t="s">
        <v>19243</v>
      </c>
      <c r="C3667" s="137">
        <v>113716</v>
      </c>
      <c r="D3667" s="136" t="s">
        <v>15242</v>
      </c>
      <c r="E3667" s="138">
        <v>4479.2</v>
      </c>
      <c r="F3667" s="139">
        <v>42886</v>
      </c>
      <c r="G3667" s="140">
        <v>4479.2</v>
      </c>
      <c r="H3667" s="138">
        <f t="shared" si="59"/>
        <v>0</v>
      </c>
      <c r="I3667" s="141" t="s">
        <v>15214</v>
      </c>
    </row>
    <row r="3668" spans="1:9" x14ac:dyDescent="0.25">
      <c r="A3668" s="167" t="s">
        <v>19224</v>
      </c>
      <c r="B3668" s="142" t="s">
        <v>19244</v>
      </c>
      <c r="C3668" s="143">
        <v>113717</v>
      </c>
      <c r="D3668" s="142" t="s">
        <v>15348</v>
      </c>
      <c r="E3668" s="144">
        <v>822.5</v>
      </c>
      <c r="F3668" s="145">
        <v>42885</v>
      </c>
      <c r="G3668" s="146">
        <v>822.5</v>
      </c>
      <c r="H3668" s="138">
        <f t="shared" si="59"/>
        <v>0</v>
      </c>
      <c r="I3668" s="147" t="s">
        <v>15214</v>
      </c>
    </row>
    <row r="3669" spans="1:9" x14ac:dyDescent="0.25">
      <c r="A3669" s="168" t="s">
        <v>19224</v>
      </c>
      <c r="B3669" s="136" t="s">
        <v>19245</v>
      </c>
      <c r="C3669" s="137">
        <v>113718</v>
      </c>
      <c r="D3669" s="136" t="s">
        <v>15252</v>
      </c>
      <c r="E3669" s="138">
        <v>4052.3</v>
      </c>
      <c r="F3669" s="139">
        <v>42886</v>
      </c>
      <c r="G3669" s="140">
        <v>4052.3</v>
      </c>
      <c r="H3669" s="138">
        <f t="shared" si="59"/>
        <v>0</v>
      </c>
      <c r="I3669" s="141" t="s">
        <v>15214</v>
      </c>
    </row>
    <row r="3670" spans="1:9" x14ac:dyDescent="0.25">
      <c r="A3670" s="167" t="s">
        <v>19224</v>
      </c>
      <c r="B3670" s="142" t="s">
        <v>19246</v>
      </c>
      <c r="C3670" s="143">
        <v>113719</v>
      </c>
      <c r="D3670" s="142" t="s">
        <v>15332</v>
      </c>
      <c r="E3670" s="144">
        <v>4003.3</v>
      </c>
      <c r="F3670" s="145">
        <v>42886</v>
      </c>
      <c r="G3670" s="146">
        <v>4003.3</v>
      </c>
      <c r="H3670" s="138">
        <f t="shared" si="59"/>
        <v>0</v>
      </c>
      <c r="I3670" s="147" t="s">
        <v>15214</v>
      </c>
    </row>
    <row r="3671" spans="1:9" ht="15.75" x14ac:dyDescent="0.25">
      <c r="A3671" s="168" t="s">
        <v>19224</v>
      </c>
      <c r="B3671" s="136" t="s">
        <v>19247</v>
      </c>
      <c r="C3671" s="137">
        <v>113720</v>
      </c>
      <c r="D3671" s="136" t="s">
        <v>15244</v>
      </c>
      <c r="E3671" s="138">
        <v>0</v>
      </c>
      <c r="F3671" s="153" t="s">
        <v>95</v>
      </c>
      <c r="G3671" s="138">
        <v>0</v>
      </c>
      <c r="H3671" s="138">
        <f t="shared" si="59"/>
        <v>0</v>
      </c>
      <c r="I3671" s="141" t="s">
        <v>95</v>
      </c>
    </row>
    <row r="3672" spans="1:9" x14ac:dyDescent="0.25">
      <c r="A3672" s="167" t="s">
        <v>19224</v>
      </c>
      <c r="B3672" s="142" t="s">
        <v>19248</v>
      </c>
      <c r="C3672" s="143">
        <v>113721</v>
      </c>
      <c r="D3672" s="142" t="s">
        <v>15244</v>
      </c>
      <c r="E3672" s="144">
        <v>15122.2</v>
      </c>
      <c r="F3672" s="148" t="s">
        <v>19656</v>
      </c>
      <c r="G3672" s="149">
        <f>5500+9622.2</f>
        <v>15122.2</v>
      </c>
      <c r="H3672" s="138">
        <f t="shared" si="59"/>
        <v>0</v>
      </c>
      <c r="I3672" s="147" t="s">
        <v>15214</v>
      </c>
    </row>
    <row r="3673" spans="1:9" x14ac:dyDescent="0.25">
      <c r="A3673" s="168" t="s">
        <v>19224</v>
      </c>
      <c r="B3673" s="136" t="s">
        <v>19249</v>
      </c>
      <c r="C3673" s="137">
        <v>113722</v>
      </c>
      <c r="D3673" s="136" t="s">
        <v>15246</v>
      </c>
      <c r="E3673" s="138">
        <v>16062.1</v>
      </c>
      <c r="F3673" s="157">
        <v>42887</v>
      </c>
      <c r="G3673" s="158">
        <v>16062.1</v>
      </c>
      <c r="H3673" s="138">
        <f t="shared" si="59"/>
        <v>0</v>
      </c>
      <c r="I3673" s="141" t="s">
        <v>15214</v>
      </c>
    </row>
    <row r="3674" spans="1:9" x14ac:dyDescent="0.25">
      <c r="A3674" s="167" t="s">
        <v>19224</v>
      </c>
      <c r="B3674" s="142" t="s">
        <v>19250</v>
      </c>
      <c r="C3674" s="143">
        <v>113723</v>
      </c>
      <c r="D3674" s="142" t="s">
        <v>18258</v>
      </c>
      <c r="E3674" s="144">
        <v>9137.2000000000007</v>
      </c>
      <c r="F3674" s="145">
        <v>42884</v>
      </c>
      <c r="G3674" s="146">
        <v>9137.2000000000007</v>
      </c>
      <c r="H3674" s="138">
        <f t="shared" si="59"/>
        <v>0</v>
      </c>
      <c r="I3674" s="147" t="s">
        <v>15214</v>
      </c>
    </row>
    <row r="3675" spans="1:9" x14ac:dyDescent="0.25">
      <c r="A3675" s="168" t="s">
        <v>19224</v>
      </c>
      <c r="B3675" s="136" t="s">
        <v>19251</v>
      </c>
      <c r="C3675" s="137">
        <v>113724</v>
      </c>
      <c r="D3675" s="136" t="s">
        <v>15223</v>
      </c>
      <c r="E3675" s="138">
        <v>45184.4</v>
      </c>
      <c r="F3675" s="139">
        <v>42901</v>
      </c>
      <c r="G3675" s="140">
        <v>45184.4</v>
      </c>
      <c r="H3675" s="138">
        <f t="shared" si="59"/>
        <v>0</v>
      </c>
      <c r="I3675" s="141" t="s">
        <v>15214</v>
      </c>
    </row>
    <row r="3676" spans="1:9" x14ac:dyDescent="0.25">
      <c r="A3676" s="167" t="s">
        <v>19224</v>
      </c>
      <c r="B3676" s="142" t="s">
        <v>19252</v>
      </c>
      <c r="C3676" s="143">
        <v>113725</v>
      </c>
      <c r="D3676" s="142" t="s">
        <v>17462</v>
      </c>
      <c r="E3676" s="144">
        <v>5320</v>
      </c>
      <c r="F3676" s="145">
        <v>42884</v>
      </c>
      <c r="G3676" s="146">
        <v>5320</v>
      </c>
      <c r="H3676" s="138">
        <f t="shared" si="59"/>
        <v>0</v>
      </c>
      <c r="I3676" s="147" t="s">
        <v>15214</v>
      </c>
    </row>
    <row r="3677" spans="1:9" x14ac:dyDescent="0.25">
      <c r="A3677" s="168" t="s">
        <v>19224</v>
      </c>
      <c r="B3677" s="136" t="s">
        <v>19253</v>
      </c>
      <c r="C3677" s="137">
        <v>113726</v>
      </c>
      <c r="D3677" s="136" t="s">
        <v>15315</v>
      </c>
      <c r="E3677" s="138">
        <v>1128.5999999999999</v>
      </c>
      <c r="F3677" s="139">
        <v>42884</v>
      </c>
      <c r="G3677" s="140">
        <v>1128.5999999999999</v>
      </c>
      <c r="H3677" s="138">
        <f t="shared" si="59"/>
        <v>0</v>
      </c>
      <c r="I3677" s="141" t="s">
        <v>15214</v>
      </c>
    </row>
    <row r="3678" spans="1:9" x14ac:dyDescent="0.25">
      <c r="A3678" s="167" t="s">
        <v>19224</v>
      </c>
      <c r="B3678" s="142" t="s">
        <v>19254</v>
      </c>
      <c r="C3678" s="143">
        <v>113727</v>
      </c>
      <c r="D3678" s="142" t="s">
        <v>15248</v>
      </c>
      <c r="E3678" s="144">
        <v>9233.52</v>
      </c>
      <c r="F3678" s="145">
        <v>42885</v>
      </c>
      <c r="G3678" s="146">
        <v>9233.52</v>
      </c>
      <c r="H3678" s="138">
        <f t="shared" si="59"/>
        <v>0</v>
      </c>
      <c r="I3678" s="147" t="s">
        <v>15214</v>
      </c>
    </row>
    <row r="3679" spans="1:9" x14ac:dyDescent="0.25">
      <c r="A3679" s="168" t="s">
        <v>19224</v>
      </c>
      <c r="B3679" s="136" t="s">
        <v>19255</v>
      </c>
      <c r="C3679" s="137">
        <v>113728</v>
      </c>
      <c r="D3679" s="136" t="s">
        <v>15367</v>
      </c>
      <c r="E3679" s="138">
        <v>7160</v>
      </c>
      <c r="F3679" s="139">
        <v>42885</v>
      </c>
      <c r="G3679" s="140">
        <v>7160</v>
      </c>
      <c r="H3679" s="138">
        <f t="shared" si="59"/>
        <v>0</v>
      </c>
      <c r="I3679" s="141" t="s">
        <v>15214</v>
      </c>
    </row>
    <row r="3680" spans="1:9" x14ac:dyDescent="0.25">
      <c r="A3680" s="167" t="s">
        <v>19224</v>
      </c>
      <c r="B3680" s="142" t="s">
        <v>19256</v>
      </c>
      <c r="C3680" s="143">
        <v>113729</v>
      </c>
      <c r="D3680" s="142" t="s">
        <v>15230</v>
      </c>
      <c r="E3680" s="144">
        <v>8816.5</v>
      </c>
      <c r="F3680" s="145">
        <v>42886</v>
      </c>
      <c r="G3680" s="146">
        <v>8816.5</v>
      </c>
      <c r="H3680" s="138">
        <f t="shared" si="59"/>
        <v>0</v>
      </c>
      <c r="I3680" s="147" t="s">
        <v>15214</v>
      </c>
    </row>
    <row r="3681" spans="1:9" x14ac:dyDescent="0.25">
      <c r="A3681" s="168" t="s">
        <v>19224</v>
      </c>
      <c r="B3681" s="136" t="s">
        <v>19257</v>
      </c>
      <c r="C3681" s="137">
        <v>113730</v>
      </c>
      <c r="D3681" s="136" t="s">
        <v>15232</v>
      </c>
      <c r="E3681" s="138">
        <v>5744.2</v>
      </c>
      <c r="F3681" s="157">
        <v>42887</v>
      </c>
      <c r="G3681" s="158">
        <v>5744.2</v>
      </c>
      <c r="H3681" s="138">
        <f t="shared" si="59"/>
        <v>0</v>
      </c>
      <c r="I3681" s="141" t="s">
        <v>15214</v>
      </c>
    </row>
    <row r="3682" spans="1:9" x14ac:dyDescent="0.25">
      <c r="A3682" s="167" t="s">
        <v>19224</v>
      </c>
      <c r="B3682" s="142" t="s">
        <v>19258</v>
      </c>
      <c r="C3682" s="143">
        <v>113731</v>
      </c>
      <c r="D3682" s="142" t="s">
        <v>15256</v>
      </c>
      <c r="E3682" s="144">
        <v>3670.3</v>
      </c>
      <c r="F3682" s="145">
        <v>42886</v>
      </c>
      <c r="G3682" s="146">
        <v>3670.3</v>
      </c>
      <c r="H3682" s="138">
        <f t="shared" si="59"/>
        <v>0</v>
      </c>
      <c r="I3682" s="147" t="s">
        <v>15214</v>
      </c>
    </row>
    <row r="3683" spans="1:9" x14ac:dyDescent="0.25">
      <c r="A3683" s="168" t="s">
        <v>19224</v>
      </c>
      <c r="B3683" s="136" t="s">
        <v>19259</v>
      </c>
      <c r="C3683" s="137">
        <v>113732</v>
      </c>
      <c r="D3683" s="136" t="s">
        <v>15258</v>
      </c>
      <c r="E3683" s="138">
        <v>12775.6</v>
      </c>
      <c r="F3683" s="139">
        <v>42886</v>
      </c>
      <c r="G3683" s="140">
        <v>12775.6</v>
      </c>
      <c r="H3683" s="138">
        <f t="shared" si="59"/>
        <v>0</v>
      </c>
      <c r="I3683" s="141" t="s">
        <v>15214</v>
      </c>
    </row>
    <row r="3684" spans="1:9" x14ac:dyDescent="0.25">
      <c r="A3684" s="167" t="s">
        <v>19224</v>
      </c>
      <c r="B3684" s="142" t="s">
        <v>19260</v>
      </c>
      <c r="C3684" s="143">
        <v>113733</v>
      </c>
      <c r="D3684" s="142" t="s">
        <v>15480</v>
      </c>
      <c r="E3684" s="144">
        <v>3339.8</v>
      </c>
      <c r="F3684" s="148">
        <v>42887</v>
      </c>
      <c r="G3684" s="149">
        <v>3339.8</v>
      </c>
      <c r="H3684" s="138">
        <f t="shared" si="59"/>
        <v>0</v>
      </c>
      <c r="I3684" s="147" t="s">
        <v>15214</v>
      </c>
    </row>
    <row r="3685" spans="1:9" x14ac:dyDescent="0.25">
      <c r="A3685" s="168" t="s">
        <v>19224</v>
      </c>
      <c r="B3685" s="136" t="s">
        <v>19261</v>
      </c>
      <c r="C3685" s="137">
        <v>113734</v>
      </c>
      <c r="D3685" s="136" t="s">
        <v>15234</v>
      </c>
      <c r="E3685" s="138">
        <v>3024.8</v>
      </c>
      <c r="F3685" s="139">
        <v>42886</v>
      </c>
      <c r="G3685" s="140">
        <v>3024.8</v>
      </c>
      <c r="H3685" s="138">
        <f t="shared" si="59"/>
        <v>0</v>
      </c>
      <c r="I3685" s="141" t="s">
        <v>15214</v>
      </c>
    </row>
    <row r="3686" spans="1:9" x14ac:dyDescent="0.25">
      <c r="A3686" s="167" t="s">
        <v>19224</v>
      </c>
      <c r="B3686" s="142" t="s">
        <v>19262</v>
      </c>
      <c r="C3686" s="143">
        <v>113735</v>
      </c>
      <c r="D3686" s="142" t="s">
        <v>15236</v>
      </c>
      <c r="E3686" s="144">
        <v>3534</v>
      </c>
      <c r="F3686" s="148">
        <v>42887</v>
      </c>
      <c r="G3686" s="149">
        <v>3534</v>
      </c>
      <c r="H3686" s="138">
        <f t="shared" si="59"/>
        <v>0</v>
      </c>
      <c r="I3686" s="147" t="s">
        <v>15214</v>
      </c>
    </row>
    <row r="3687" spans="1:9" x14ac:dyDescent="0.25">
      <c r="A3687" s="168" t="s">
        <v>19224</v>
      </c>
      <c r="B3687" s="136" t="s">
        <v>19263</v>
      </c>
      <c r="C3687" s="137">
        <v>113736</v>
      </c>
      <c r="D3687" s="136" t="s">
        <v>5575</v>
      </c>
      <c r="E3687" s="138">
        <v>7197</v>
      </c>
      <c r="F3687" s="157">
        <v>42888</v>
      </c>
      <c r="G3687" s="158">
        <v>7197</v>
      </c>
      <c r="H3687" s="138">
        <f t="shared" si="59"/>
        <v>0</v>
      </c>
      <c r="I3687" s="141" t="s">
        <v>15214</v>
      </c>
    </row>
    <row r="3688" spans="1:9" x14ac:dyDescent="0.25">
      <c r="A3688" s="167" t="s">
        <v>19224</v>
      </c>
      <c r="B3688" s="142" t="s">
        <v>19264</v>
      </c>
      <c r="C3688" s="143">
        <v>113737</v>
      </c>
      <c r="D3688" s="142" t="s">
        <v>15238</v>
      </c>
      <c r="E3688" s="144">
        <v>5931.4</v>
      </c>
      <c r="F3688" s="148">
        <v>42887</v>
      </c>
      <c r="G3688" s="149">
        <v>5931.4</v>
      </c>
      <c r="H3688" s="138">
        <f t="shared" si="59"/>
        <v>0</v>
      </c>
      <c r="I3688" s="147" t="s">
        <v>15214</v>
      </c>
    </row>
    <row r="3689" spans="1:9" x14ac:dyDescent="0.25">
      <c r="A3689" s="168" t="s">
        <v>19224</v>
      </c>
      <c r="B3689" s="136" t="s">
        <v>19265</v>
      </c>
      <c r="C3689" s="137">
        <v>113738</v>
      </c>
      <c r="D3689" s="136" t="s">
        <v>15668</v>
      </c>
      <c r="E3689" s="138">
        <v>6232</v>
      </c>
      <c r="F3689" s="139">
        <v>42886</v>
      </c>
      <c r="G3689" s="140">
        <v>6232</v>
      </c>
      <c r="H3689" s="138">
        <f t="shared" si="59"/>
        <v>0</v>
      </c>
      <c r="I3689" s="141" t="s">
        <v>15214</v>
      </c>
    </row>
    <row r="3690" spans="1:9" x14ac:dyDescent="0.25">
      <c r="A3690" s="167" t="s">
        <v>19224</v>
      </c>
      <c r="B3690" s="142" t="s">
        <v>19266</v>
      </c>
      <c r="C3690" s="143">
        <v>113739</v>
      </c>
      <c r="D3690" s="142" t="s">
        <v>15427</v>
      </c>
      <c r="E3690" s="144">
        <v>43912.4</v>
      </c>
      <c r="F3690" s="145">
        <v>42885</v>
      </c>
      <c r="G3690" s="146">
        <v>43912.4</v>
      </c>
      <c r="H3690" s="138">
        <f t="shared" si="59"/>
        <v>0</v>
      </c>
      <c r="I3690" s="147" t="s">
        <v>15214</v>
      </c>
    </row>
    <row r="3691" spans="1:9" x14ac:dyDescent="0.25">
      <c r="A3691" s="168" t="s">
        <v>19224</v>
      </c>
      <c r="B3691" s="136" t="s">
        <v>19267</v>
      </c>
      <c r="C3691" s="137">
        <v>113740</v>
      </c>
      <c r="D3691" s="136" t="s">
        <v>15373</v>
      </c>
      <c r="E3691" s="138">
        <v>18187.599999999999</v>
      </c>
      <c r="F3691" s="139">
        <v>42885</v>
      </c>
      <c r="G3691" s="140">
        <v>18187.599999999999</v>
      </c>
      <c r="H3691" s="138">
        <f t="shared" si="59"/>
        <v>0</v>
      </c>
      <c r="I3691" s="141" t="s">
        <v>15214</v>
      </c>
    </row>
    <row r="3692" spans="1:9" x14ac:dyDescent="0.25">
      <c r="A3692" s="167" t="s">
        <v>19224</v>
      </c>
      <c r="B3692" s="142" t="s">
        <v>19268</v>
      </c>
      <c r="C3692" s="143">
        <v>113741</v>
      </c>
      <c r="D3692" s="142" t="s">
        <v>15380</v>
      </c>
      <c r="E3692" s="144">
        <v>47995.8</v>
      </c>
      <c r="F3692" s="145">
        <v>42902</v>
      </c>
      <c r="G3692" s="146">
        <v>47995.8</v>
      </c>
      <c r="H3692" s="138">
        <f t="shared" si="59"/>
        <v>0</v>
      </c>
      <c r="I3692" s="147" t="s">
        <v>15214</v>
      </c>
    </row>
    <row r="3693" spans="1:9" x14ac:dyDescent="0.25">
      <c r="A3693" s="168" t="s">
        <v>19224</v>
      </c>
      <c r="B3693" s="136" t="s">
        <v>19269</v>
      </c>
      <c r="C3693" s="137">
        <v>113742</v>
      </c>
      <c r="D3693" s="136" t="s">
        <v>15389</v>
      </c>
      <c r="E3693" s="138">
        <v>17542.900000000001</v>
      </c>
      <c r="F3693" s="139">
        <v>42902</v>
      </c>
      <c r="G3693" s="140">
        <v>17542.900000000001</v>
      </c>
      <c r="H3693" s="138">
        <f t="shared" si="59"/>
        <v>0</v>
      </c>
      <c r="I3693" s="141" t="s">
        <v>15214</v>
      </c>
    </row>
    <row r="3694" spans="1:9" x14ac:dyDescent="0.25">
      <c r="A3694" s="167" t="s">
        <v>19224</v>
      </c>
      <c r="B3694" s="142" t="s">
        <v>19270</v>
      </c>
      <c r="C3694" s="143">
        <v>113743</v>
      </c>
      <c r="D3694" s="142" t="s">
        <v>15382</v>
      </c>
      <c r="E3694" s="144">
        <v>9831.7999999999993</v>
      </c>
      <c r="F3694" s="145">
        <v>42902</v>
      </c>
      <c r="G3694" s="146">
        <v>9831.7999999999993</v>
      </c>
      <c r="H3694" s="138">
        <f t="shared" si="59"/>
        <v>0</v>
      </c>
      <c r="I3694" s="147" t="s">
        <v>15214</v>
      </c>
    </row>
    <row r="3695" spans="1:9" x14ac:dyDescent="0.25">
      <c r="A3695" s="168" t="s">
        <v>19224</v>
      </c>
      <c r="B3695" s="136" t="s">
        <v>19271</v>
      </c>
      <c r="C3695" s="137">
        <v>113744</v>
      </c>
      <c r="D3695" s="136" t="s">
        <v>15371</v>
      </c>
      <c r="E3695" s="138">
        <v>4978.3999999999996</v>
      </c>
      <c r="F3695" s="139" t="s">
        <v>19649</v>
      </c>
      <c r="G3695" s="140">
        <f>3000+1978.4</f>
        <v>4978.3999999999996</v>
      </c>
      <c r="H3695" s="138">
        <f t="shared" si="59"/>
        <v>0</v>
      </c>
      <c r="I3695" s="141" t="s">
        <v>15214</v>
      </c>
    </row>
    <row r="3696" spans="1:9" x14ac:dyDescent="0.25">
      <c r="A3696" s="167" t="s">
        <v>19224</v>
      </c>
      <c r="B3696" s="142" t="s">
        <v>19272</v>
      </c>
      <c r="C3696" s="143">
        <v>113745</v>
      </c>
      <c r="D3696" s="142" t="s">
        <v>15280</v>
      </c>
      <c r="E3696" s="144">
        <v>5610</v>
      </c>
      <c r="F3696" s="145">
        <v>42884</v>
      </c>
      <c r="G3696" s="146">
        <v>5610</v>
      </c>
      <c r="H3696" s="138">
        <f t="shared" si="59"/>
        <v>0</v>
      </c>
      <c r="I3696" s="147" t="s">
        <v>15214</v>
      </c>
    </row>
    <row r="3697" spans="1:9" x14ac:dyDescent="0.25">
      <c r="A3697" s="168" t="s">
        <v>19224</v>
      </c>
      <c r="B3697" s="136" t="s">
        <v>19273</v>
      </c>
      <c r="C3697" s="137">
        <v>113746</v>
      </c>
      <c r="D3697" s="136" t="s">
        <v>15394</v>
      </c>
      <c r="E3697" s="138">
        <v>9395.2000000000007</v>
      </c>
      <c r="F3697" s="157">
        <v>42887</v>
      </c>
      <c r="G3697" s="158">
        <v>9395.2000000000007</v>
      </c>
      <c r="H3697" s="138">
        <f t="shared" si="59"/>
        <v>0</v>
      </c>
      <c r="I3697" s="141" t="s">
        <v>15214</v>
      </c>
    </row>
    <row r="3698" spans="1:9" x14ac:dyDescent="0.25">
      <c r="A3698" s="167" t="s">
        <v>19224</v>
      </c>
      <c r="B3698" s="142" t="s">
        <v>19274</v>
      </c>
      <c r="C3698" s="143">
        <v>113747</v>
      </c>
      <c r="D3698" s="142" t="s">
        <v>15278</v>
      </c>
      <c r="E3698" s="144">
        <v>2489.1999999999998</v>
      </c>
      <c r="F3698" s="145">
        <v>42884</v>
      </c>
      <c r="G3698" s="146">
        <v>2489.1999999999998</v>
      </c>
      <c r="H3698" s="138">
        <f t="shared" si="59"/>
        <v>0</v>
      </c>
      <c r="I3698" s="147" t="s">
        <v>15214</v>
      </c>
    </row>
    <row r="3699" spans="1:9" x14ac:dyDescent="0.25">
      <c r="A3699" s="168" t="s">
        <v>19224</v>
      </c>
      <c r="B3699" s="136" t="s">
        <v>19275</v>
      </c>
      <c r="C3699" s="137">
        <v>113748</v>
      </c>
      <c r="D3699" s="136" t="s">
        <v>15378</v>
      </c>
      <c r="E3699" s="138">
        <v>5885</v>
      </c>
      <c r="F3699" s="157">
        <v>42892</v>
      </c>
      <c r="G3699" s="158">
        <v>5885</v>
      </c>
      <c r="H3699" s="138">
        <f t="shared" si="59"/>
        <v>0</v>
      </c>
      <c r="I3699" s="141" t="s">
        <v>15214</v>
      </c>
    </row>
    <row r="3700" spans="1:9" x14ac:dyDescent="0.25">
      <c r="A3700" s="167" t="s">
        <v>19224</v>
      </c>
      <c r="B3700" s="142" t="s">
        <v>19276</v>
      </c>
      <c r="C3700" s="143">
        <v>113749</v>
      </c>
      <c r="D3700" s="142" t="s">
        <v>15317</v>
      </c>
      <c r="E3700" s="144">
        <v>3028.8</v>
      </c>
      <c r="F3700" s="148">
        <v>42888</v>
      </c>
      <c r="G3700" s="149">
        <v>3028.8</v>
      </c>
      <c r="H3700" s="138">
        <f t="shared" si="59"/>
        <v>0</v>
      </c>
      <c r="I3700" s="147" t="s">
        <v>15214</v>
      </c>
    </row>
    <row r="3701" spans="1:9" x14ac:dyDescent="0.25">
      <c r="A3701" s="168" t="s">
        <v>19224</v>
      </c>
      <c r="B3701" s="136" t="s">
        <v>19277</v>
      </c>
      <c r="C3701" s="137">
        <v>113750</v>
      </c>
      <c r="D3701" s="136" t="s">
        <v>15284</v>
      </c>
      <c r="E3701" s="138">
        <v>1808</v>
      </c>
      <c r="F3701" s="157">
        <v>42887</v>
      </c>
      <c r="G3701" s="158">
        <v>1808</v>
      </c>
      <c r="H3701" s="138">
        <f t="shared" si="59"/>
        <v>0</v>
      </c>
      <c r="I3701" s="141" t="s">
        <v>15214</v>
      </c>
    </row>
    <row r="3702" spans="1:9" x14ac:dyDescent="0.25">
      <c r="A3702" s="167" t="s">
        <v>19224</v>
      </c>
      <c r="B3702" s="142" t="s">
        <v>19278</v>
      </c>
      <c r="C3702" s="143">
        <v>113751</v>
      </c>
      <c r="D3702" s="142" t="s">
        <v>15324</v>
      </c>
      <c r="E3702" s="144">
        <v>2284</v>
      </c>
      <c r="F3702" s="145">
        <v>42884</v>
      </c>
      <c r="G3702" s="146">
        <v>2284</v>
      </c>
      <c r="H3702" s="138">
        <f t="shared" si="59"/>
        <v>0</v>
      </c>
      <c r="I3702" s="147" t="s">
        <v>15214</v>
      </c>
    </row>
    <row r="3703" spans="1:9" ht="15.75" x14ac:dyDescent="0.25">
      <c r="A3703" s="168" t="s">
        <v>19224</v>
      </c>
      <c r="B3703" s="136" t="s">
        <v>19279</v>
      </c>
      <c r="C3703" s="137">
        <v>113752</v>
      </c>
      <c r="D3703" s="136" t="s">
        <v>15421</v>
      </c>
      <c r="E3703" s="138">
        <v>0</v>
      </c>
      <c r="F3703" s="153" t="s">
        <v>95</v>
      </c>
      <c r="G3703" s="138">
        <v>0</v>
      </c>
      <c r="H3703" s="138">
        <f t="shared" si="59"/>
        <v>0</v>
      </c>
      <c r="I3703" s="141" t="s">
        <v>95</v>
      </c>
    </row>
    <row r="3704" spans="1:9" x14ac:dyDescent="0.25">
      <c r="A3704" s="167" t="s">
        <v>19224</v>
      </c>
      <c r="B3704" s="142" t="s">
        <v>19280</v>
      </c>
      <c r="C3704" s="143">
        <v>113753</v>
      </c>
      <c r="D3704" s="142" t="s">
        <v>15442</v>
      </c>
      <c r="E3704" s="144">
        <v>185</v>
      </c>
      <c r="F3704" s="145">
        <v>42884</v>
      </c>
      <c r="G3704" s="146">
        <v>185</v>
      </c>
      <c r="H3704" s="138">
        <f t="shared" si="59"/>
        <v>0</v>
      </c>
      <c r="I3704" s="147" t="s">
        <v>15214</v>
      </c>
    </row>
    <row r="3705" spans="1:9" x14ac:dyDescent="0.25">
      <c r="A3705" s="168" t="s">
        <v>19224</v>
      </c>
      <c r="B3705" s="136" t="s">
        <v>19281</v>
      </c>
      <c r="C3705" s="137">
        <v>113754</v>
      </c>
      <c r="D3705" s="136" t="s">
        <v>17057</v>
      </c>
      <c r="E3705" s="138">
        <v>1649.2</v>
      </c>
      <c r="F3705" s="139">
        <v>42884</v>
      </c>
      <c r="G3705" s="140">
        <v>1649.2</v>
      </c>
      <c r="H3705" s="138">
        <f t="shared" si="59"/>
        <v>0</v>
      </c>
      <c r="I3705" s="141" t="s">
        <v>15214</v>
      </c>
    </row>
    <row r="3706" spans="1:9" x14ac:dyDescent="0.25">
      <c r="A3706" s="167" t="s">
        <v>19224</v>
      </c>
      <c r="B3706" s="142" t="s">
        <v>19282</v>
      </c>
      <c r="C3706" s="143">
        <v>113755</v>
      </c>
      <c r="D3706" s="142" t="s">
        <v>15391</v>
      </c>
      <c r="E3706" s="144">
        <v>6004.8</v>
      </c>
      <c r="F3706" s="145">
        <v>42884</v>
      </c>
      <c r="G3706" s="146">
        <v>6004.8</v>
      </c>
      <c r="H3706" s="138">
        <f t="shared" si="59"/>
        <v>0</v>
      </c>
      <c r="I3706" s="147" t="s">
        <v>15214</v>
      </c>
    </row>
    <row r="3707" spans="1:9" x14ac:dyDescent="0.25">
      <c r="A3707" s="168" t="s">
        <v>19224</v>
      </c>
      <c r="B3707" s="136" t="s">
        <v>19283</v>
      </c>
      <c r="C3707" s="137">
        <v>113756</v>
      </c>
      <c r="D3707" s="136" t="s">
        <v>15361</v>
      </c>
      <c r="E3707" s="138">
        <v>12088.5</v>
      </c>
      <c r="F3707" s="139">
        <v>42884</v>
      </c>
      <c r="G3707" s="140">
        <v>12088.5</v>
      </c>
      <c r="H3707" s="138">
        <f t="shared" si="59"/>
        <v>0</v>
      </c>
      <c r="I3707" s="141" t="s">
        <v>15214</v>
      </c>
    </row>
    <row r="3708" spans="1:9" x14ac:dyDescent="0.25">
      <c r="A3708" s="167" t="s">
        <v>19224</v>
      </c>
      <c r="B3708" s="142" t="s">
        <v>19284</v>
      </c>
      <c r="C3708" s="143">
        <v>113757</v>
      </c>
      <c r="D3708" s="142" t="s">
        <v>17430</v>
      </c>
      <c r="E3708" s="144">
        <v>2936.7</v>
      </c>
      <c r="F3708" s="145">
        <v>42884</v>
      </c>
      <c r="G3708" s="146">
        <v>2936.7</v>
      </c>
      <c r="H3708" s="138">
        <f t="shared" si="59"/>
        <v>0</v>
      </c>
      <c r="I3708" s="147" t="s">
        <v>15214</v>
      </c>
    </row>
    <row r="3709" spans="1:9" x14ac:dyDescent="0.25">
      <c r="A3709" s="168" t="s">
        <v>19224</v>
      </c>
      <c r="B3709" s="136" t="s">
        <v>19285</v>
      </c>
      <c r="C3709" s="137">
        <v>113758</v>
      </c>
      <c r="D3709" s="136" t="s">
        <v>15438</v>
      </c>
      <c r="E3709" s="138">
        <v>1148</v>
      </c>
      <c r="F3709" s="139">
        <v>42884</v>
      </c>
      <c r="G3709" s="140">
        <v>1148</v>
      </c>
      <c r="H3709" s="138">
        <f t="shared" si="59"/>
        <v>0</v>
      </c>
      <c r="I3709" s="141" t="s">
        <v>15214</v>
      </c>
    </row>
    <row r="3710" spans="1:9" x14ac:dyDescent="0.25">
      <c r="A3710" s="167" t="s">
        <v>19224</v>
      </c>
      <c r="B3710" s="142" t="s">
        <v>19286</v>
      </c>
      <c r="C3710" s="143">
        <v>113759</v>
      </c>
      <c r="D3710" s="142" t="s">
        <v>15592</v>
      </c>
      <c r="E3710" s="144">
        <v>4356</v>
      </c>
      <c r="F3710" s="145">
        <v>42884</v>
      </c>
      <c r="G3710" s="146">
        <v>4356</v>
      </c>
      <c r="H3710" s="138">
        <f t="shared" si="59"/>
        <v>0</v>
      </c>
      <c r="I3710" s="147" t="s">
        <v>15214</v>
      </c>
    </row>
    <row r="3711" spans="1:9" x14ac:dyDescent="0.25">
      <c r="A3711" s="168" t="s">
        <v>19224</v>
      </c>
      <c r="B3711" s="136" t="s">
        <v>19287</v>
      </c>
      <c r="C3711" s="137">
        <v>113760</v>
      </c>
      <c r="D3711" s="136" t="s">
        <v>15590</v>
      </c>
      <c r="E3711" s="138">
        <v>26230.2</v>
      </c>
      <c r="F3711" s="157">
        <v>42895</v>
      </c>
      <c r="G3711" s="158">
        <v>26230.2</v>
      </c>
      <c r="H3711" s="138">
        <f t="shared" si="59"/>
        <v>0</v>
      </c>
      <c r="I3711" s="141" t="s">
        <v>15214</v>
      </c>
    </row>
    <row r="3712" spans="1:9" x14ac:dyDescent="0.25">
      <c r="A3712" s="167" t="s">
        <v>19224</v>
      </c>
      <c r="B3712" s="142" t="s">
        <v>19288</v>
      </c>
      <c r="C3712" s="143">
        <v>113761</v>
      </c>
      <c r="D3712" s="142" t="s">
        <v>15706</v>
      </c>
      <c r="E3712" s="144">
        <v>1398.3</v>
      </c>
      <c r="F3712" s="145">
        <v>42884</v>
      </c>
      <c r="G3712" s="146">
        <v>1398.3</v>
      </c>
      <c r="H3712" s="138">
        <f t="shared" si="59"/>
        <v>0</v>
      </c>
      <c r="I3712" s="147" t="s">
        <v>15214</v>
      </c>
    </row>
    <row r="3713" spans="1:9" x14ac:dyDescent="0.25">
      <c r="A3713" s="168" t="s">
        <v>19224</v>
      </c>
      <c r="B3713" s="136" t="s">
        <v>19289</v>
      </c>
      <c r="C3713" s="137">
        <v>113762</v>
      </c>
      <c r="D3713" s="136" t="s">
        <v>15315</v>
      </c>
      <c r="E3713" s="138">
        <v>2937</v>
      </c>
      <c r="F3713" s="139">
        <v>42884</v>
      </c>
      <c r="G3713" s="140">
        <v>2937</v>
      </c>
      <c r="H3713" s="138">
        <f t="shared" si="59"/>
        <v>0</v>
      </c>
      <c r="I3713" s="141" t="s">
        <v>15214</v>
      </c>
    </row>
    <row r="3714" spans="1:9" x14ac:dyDescent="0.25">
      <c r="A3714" s="167" t="s">
        <v>19224</v>
      </c>
      <c r="B3714" s="142" t="s">
        <v>19290</v>
      </c>
      <c r="C3714" s="143">
        <v>113763</v>
      </c>
      <c r="D3714" s="142" t="s">
        <v>15298</v>
      </c>
      <c r="E3714" s="144">
        <v>14221.8</v>
      </c>
      <c r="F3714" s="148">
        <v>42891</v>
      </c>
      <c r="G3714" s="149">
        <v>14221.8</v>
      </c>
      <c r="H3714" s="138">
        <f t="shared" si="59"/>
        <v>0</v>
      </c>
      <c r="I3714" s="147" t="s">
        <v>15214</v>
      </c>
    </row>
    <row r="3715" spans="1:9" x14ac:dyDescent="0.25">
      <c r="A3715" s="168" t="s">
        <v>19224</v>
      </c>
      <c r="B3715" s="136" t="s">
        <v>19291</v>
      </c>
      <c r="C3715" s="137">
        <v>113764</v>
      </c>
      <c r="D3715" s="136" t="s">
        <v>5880</v>
      </c>
      <c r="E3715" s="138">
        <v>49216</v>
      </c>
      <c r="F3715" s="139">
        <v>42884</v>
      </c>
      <c r="G3715" s="140">
        <v>49216</v>
      </c>
      <c r="H3715" s="138">
        <f t="shared" si="59"/>
        <v>0</v>
      </c>
      <c r="I3715" s="141" t="s">
        <v>15214</v>
      </c>
    </row>
    <row r="3716" spans="1:9" x14ac:dyDescent="0.25">
      <c r="A3716" s="167" t="s">
        <v>19224</v>
      </c>
      <c r="B3716" s="142" t="s">
        <v>19292</v>
      </c>
      <c r="C3716" s="143">
        <v>113765</v>
      </c>
      <c r="D3716" s="142" t="s">
        <v>15510</v>
      </c>
      <c r="E3716" s="144">
        <v>625</v>
      </c>
      <c r="F3716" s="145">
        <v>42884</v>
      </c>
      <c r="G3716" s="146">
        <v>625</v>
      </c>
      <c r="H3716" s="138">
        <f t="shared" si="59"/>
        <v>0</v>
      </c>
      <c r="I3716" s="147" t="s">
        <v>15214</v>
      </c>
    </row>
    <row r="3717" spans="1:9" x14ac:dyDescent="0.25">
      <c r="A3717" s="168" t="s">
        <v>19224</v>
      </c>
      <c r="B3717" s="136" t="s">
        <v>19293</v>
      </c>
      <c r="C3717" s="137">
        <v>113766</v>
      </c>
      <c r="D3717" s="136" t="s">
        <v>15369</v>
      </c>
      <c r="E3717" s="138">
        <v>19139.2</v>
      </c>
      <c r="F3717" s="157">
        <v>42892</v>
      </c>
      <c r="G3717" s="158">
        <v>19139.2</v>
      </c>
      <c r="H3717" s="138">
        <f t="shared" si="59"/>
        <v>0</v>
      </c>
      <c r="I3717" s="141" t="s">
        <v>15214</v>
      </c>
    </row>
    <row r="3718" spans="1:9" x14ac:dyDescent="0.25">
      <c r="A3718" s="167" t="s">
        <v>19224</v>
      </c>
      <c r="B3718" s="142" t="s">
        <v>19294</v>
      </c>
      <c r="C3718" s="143">
        <v>113767</v>
      </c>
      <c r="D3718" s="142" t="s">
        <v>15537</v>
      </c>
      <c r="E3718" s="144">
        <v>11970</v>
      </c>
      <c r="F3718" s="145">
        <v>42886</v>
      </c>
      <c r="G3718" s="146">
        <v>11970</v>
      </c>
      <c r="H3718" s="138">
        <f t="shared" si="59"/>
        <v>0</v>
      </c>
      <c r="I3718" s="147" t="s">
        <v>15214</v>
      </c>
    </row>
    <row r="3719" spans="1:9" x14ac:dyDescent="0.25">
      <c r="A3719" s="168" t="s">
        <v>19224</v>
      </c>
      <c r="B3719" s="136" t="s">
        <v>19295</v>
      </c>
      <c r="C3719" s="137">
        <v>113768</v>
      </c>
      <c r="D3719" s="136" t="s">
        <v>15539</v>
      </c>
      <c r="E3719" s="138">
        <v>9306.2000000000007</v>
      </c>
      <c r="F3719" s="139">
        <v>42886</v>
      </c>
      <c r="G3719" s="140">
        <v>9306.2000000000007</v>
      </c>
      <c r="H3719" s="138">
        <f t="shared" ref="H3719:H3782" si="60">E3719-G3719</f>
        <v>0</v>
      </c>
      <c r="I3719" s="141" t="s">
        <v>15214</v>
      </c>
    </row>
    <row r="3720" spans="1:9" x14ac:dyDescent="0.25">
      <c r="A3720" s="167" t="s">
        <v>19224</v>
      </c>
      <c r="B3720" s="142" t="s">
        <v>19296</v>
      </c>
      <c r="C3720" s="143">
        <v>113769</v>
      </c>
      <c r="D3720" s="142" t="s">
        <v>15544</v>
      </c>
      <c r="E3720" s="144">
        <v>2994.4</v>
      </c>
      <c r="F3720" s="145">
        <v>42886</v>
      </c>
      <c r="G3720" s="146">
        <v>2994.4</v>
      </c>
      <c r="H3720" s="138">
        <f t="shared" si="60"/>
        <v>0</v>
      </c>
      <c r="I3720" s="147" t="s">
        <v>15214</v>
      </c>
    </row>
    <row r="3721" spans="1:9" x14ac:dyDescent="0.25">
      <c r="A3721" s="168" t="s">
        <v>19224</v>
      </c>
      <c r="B3721" s="136" t="s">
        <v>19297</v>
      </c>
      <c r="C3721" s="137">
        <v>113770</v>
      </c>
      <c r="D3721" s="136" t="s">
        <v>15555</v>
      </c>
      <c r="E3721" s="138">
        <v>33134.65</v>
      </c>
      <c r="F3721" s="157" t="s">
        <v>19660</v>
      </c>
      <c r="G3721" s="158">
        <f>25000+8134.65</f>
        <v>33134.65</v>
      </c>
      <c r="H3721" s="138">
        <f t="shared" si="60"/>
        <v>0</v>
      </c>
      <c r="I3721" s="141" t="s">
        <v>15214</v>
      </c>
    </row>
    <row r="3722" spans="1:9" x14ac:dyDescent="0.25">
      <c r="A3722" s="167" t="s">
        <v>19224</v>
      </c>
      <c r="B3722" s="142" t="s">
        <v>19298</v>
      </c>
      <c r="C3722" s="143">
        <v>113771</v>
      </c>
      <c r="D3722" s="142" t="s">
        <v>17722</v>
      </c>
      <c r="E3722" s="144">
        <v>2870.4</v>
      </c>
      <c r="F3722" s="145">
        <v>42884</v>
      </c>
      <c r="G3722" s="146">
        <v>2870.4</v>
      </c>
      <c r="H3722" s="138">
        <f t="shared" si="60"/>
        <v>0</v>
      </c>
      <c r="I3722" s="147" t="s">
        <v>15214</v>
      </c>
    </row>
    <row r="3723" spans="1:9" x14ac:dyDescent="0.25">
      <c r="A3723" s="168" t="s">
        <v>19224</v>
      </c>
      <c r="B3723" s="136" t="s">
        <v>19299</v>
      </c>
      <c r="C3723" s="137">
        <v>113772</v>
      </c>
      <c r="D3723" s="136" t="s">
        <v>15294</v>
      </c>
      <c r="E3723" s="138">
        <v>719.6</v>
      </c>
      <c r="F3723" s="139">
        <v>42884</v>
      </c>
      <c r="G3723" s="140">
        <v>719.6</v>
      </c>
      <c r="H3723" s="138">
        <f t="shared" si="60"/>
        <v>0</v>
      </c>
      <c r="I3723" s="141" t="s">
        <v>15214</v>
      </c>
    </row>
    <row r="3724" spans="1:9" x14ac:dyDescent="0.25">
      <c r="A3724" s="167" t="s">
        <v>19224</v>
      </c>
      <c r="B3724" s="142" t="s">
        <v>19300</v>
      </c>
      <c r="C3724" s="143">
        <v>113773</v>
      </c>
      <c r="D3724" s="142" t="s">
        <v>16093</v>
      </c>
      <c r="E3724" s="144">
        <v>4230.8</v>
      </c>
      <c r="F3724" s="145">
        <v>42884</v>
      </c>
      <c r="G3724" s="146">
        <v>4230.8</v>
      </c>
      <c r="H3724" s="138">
        <f t="shared" si="60"/>
        <v>0</v>
      </c>
      <c r="I3724" s="147" t="s">
        <v>15214</v>
      </c>
    </row>
    <row r="3725" spans="1:9" x14ac:dyDescent="0.25">
      <c r="A3725" s="168" t="s">
        <v>19224</v>
      </c>
      <c r="B3725" s="136" t="s">
        <v>19301</v>
      </c>
      <c r="C3725" s="137">
        <v>113774</v>
      </c>
      <c r="D3725" s="136" t="s">
        <v>19302</v>
      </c>
      <c r="E3725" s="138">
        <v>960</v>
      </c>
      <c r="F3725" s="139">
        <v>42884</v>
      </c>
      <c r="G3725" s="140">
        <v>960</v>
      </c>
      <c r="H3725" s="138">
        <f t="shared" si="60"/>
        <v>0</v>
      </c>
      <c r="I3725" s="141" t="s">
        <v>15214</v>
      </c>
    </row>
    <row r="3726" spans="1:9" x14ac:dyDescent="0.25">
      <c r="A3726" s="167" t="s">
        <v>19224</v>
      </c>
      <c r="B3726" s="142" t="s">
        <v>19303</v>
      </c>
      <c r="C3726" s="143">
        <v>113775</v>
      </c>
      <c r="D3726" s="142" t="s">
        <v>16482</v>
      </c>
      <c r="E3726" s="144">
        <v>2964.8</v>
      </c>
      <c r="F3726" s="145">
        <v>42884</v>
      </c>
      <c r="G3726" s="146">
        <v>2964.8</v>
      </c>
      <c r="H3726" s="138">
        <f t="shared" si="60"/>
        <v>0</v>
      </c>
      <c r="I3726" s="147" t="s">
        <v>15214</v>
      </c>
    </row>
    <row r="3727" spans="1:9" x14ac:dyDescent="0.25">
      <c r="A3727" s="168" t="s">
        <v>19224</v>
      </c>
      <c r="B3727" s="136" t="s">
        <v>19304</v>
      </c>
      <c r="C3727" s="137">
        <v>113776</v>
      </c>
      <c r="D3727" s="136" t="s">
        <v>16286</v>
      </c>
      <c r="E3727" s="138">
        <v>3100</v>
      </c>
      <c r="F3727" s="139">
        <v>42884</v>
      </c>
      <c r="G3727" s="140">
        <v>3100</v>
      </c>
      <c r="H3727" s="138">
        <f t="shared" si="60"/>
        <v>0</v>
      </c>
      <c r="I3727" s="141" t="s">
        <v>15214</v>
      </c>
    </row>
    <row r="3728" spans="1:9" x14ac:dyDescent="0.25">
      <c r="A3728" s="167" t="s">
        <v>19224</v>
      </c>
      <c r="B3728" s="142" t="s">
        <v>19305</v>
      </c>
      <c r="C3728" s="143">
        <v>113777</v>
      </c>
      <c r="D3728" s="142" t="s">
        <v>15326</v>
      </c>
      <c r="E3728" s="144">
        <v>2269.4</v>
      </c>
      <c r="F3728" s="145">
        <v>42884</v>
      </c>
      <c r="G3728" s="146">
        <v>2269.4</v>
      </c>
      <c r="H3728" s="138">
        <f t="shared" si="60"/>
        <v>0</v>
      </c>
      <c r="I3728" s="147" t="s">
        <v>15214</v>
      </c>
    </row>
    <row r="3729" spans="1:9" x14ac:dyDescent="0.25">
      <c r="A3729" s="168" t="s">
        <v>19224</v>
      </c>
      <c r="B3729" s="136" t="s">
        <v>19306</v>
      </c>
      <c r="C3729" s="137">
        <v>113778</v>
      </c>
      <c r="D3729" s="136" t="s">
        <v>15442</v>
      </c>
      <c r="E3729" s="138">
        <v>13310</v>
      </c>
      <c r="F3729" s="157">
        <v>42888</v>
      </c>
      <c r="G3729" s="158">
        <v>13310</v>
      </c>
      <c r="H3729" s="138">
        <f t="shared" si="60"/>
        <v>0</v>
      </c>
      <c r="I3729" s="141" t="s">
        <v>15214</v>
      </c>
    </row>
    <row r="3730" spans="1:9" x14ac:dyDescent="0.25">
      <c r="A3730" s="167" t="s">
        <v>19224</v>
      </c>
      <c r="B3730" s="142" t="s">
        <v>19307</v>
      </c>
      <c r="C3730" s="143">
        <v>113779</v>
      </c>
      <c r="D3730" s="142" t="s">
        <v>15566</v>
      </c>
      <c r="E3730" s="144">
        <v>3188</v>
      </c>
      <c r="F3730" s="145">
        <v>42884</v>
      </c>
      <c r="G3730" s="146">
        <v>3188</v>
      </c>
      <c r="H3730" s="138">
        <f t="shared" si="60"/>
        <v>0</v>
      </c>
      <c r="I3730" s="147" t="s">
        <v>15214</v>
      </c>
    </row>
    <row r="3731" spans="1:9" x14ac:dyDescent="0.25">
      <c r="A3731" s="168" t="s">
        <v>19224</v>
      </c>
      <c r="B3731" s="136" t="s">
        <v>19308</v>
      </c>
      <c r="C3731" s="137">
        <v>113780</v>
      </c>
      <c r="D3731" s="136" t="s">
        <v>16313</v>
      </c>
      <c r="E3731" s="138">
        <v>6007.8</v>
      </c>
      <c r="F3731" s="139">
        <v>42884</v>
      </c>
      <c r="G3731" s="140">
        <v>6007.8</v>
      </c>
      <c r="H3731" s="138">
        <f t="shared" si="60"/>
        <v>0</v>
      </c>
      <c r="I3731" s="141" t="s">
        <v>15214</v>
      </c>
    </row>
    <row r="3732" spans="1:9" x14ac:dyDescent="0.25">
      <c r="A3732" s="167" t="s">
        <v>19224</v>
      </c>
      <c r="B3732" s="142" t="s">
        <v>19309</v>
      </c>
      <c r="C3732" s="143">
        <v>113781</v>
      </c>
      <c r="D3732" s="142" t="s">
        <v>18544</v>
      </c>
      <c r="E3732" s="144">
        <v>8202</v>
      </c>
      <c r="F3732" s="145">
        <v>42884</v>
      </c>
      <c r="G3732" s="146">
        <v>8202</v>
      </c>
      <c r="H3732" s="138">
        <f t="shared" si="60"/>
        <v>0</v>
      </c>
      <c r="I3732" s="147" t="s">
        <v>15214</v>
      </c>
    </row>
    <row r="3733" spans="1:9" x14ac:dyDescent="0.25">
      <c r="A3733" s="168" t="s">
        <v>19224</v>
      </c>
      <c r="B3733" s="136" t="s">
        <v>19310</v>
      </c>
      <c r="C3733" s="137">
        <v>113782</v>
      </c>
      <c r="D3733" s="136" t="s">
        <v>15624</v>
      </c>
      <c r="E3733" s="138">
        <v>31227</v>
      </c>
      <c r="F3733" s="139">
        <v>42885</v>
      </c>
      <c r="G3733" s="140">
        <v>31227</v>
      </c>
      <c r="H3733" s="138">
        <f t="shared" si="60"/>
        <v>0</v>
      </c>
      <c r="I3733" s="141" t="s">
        <v>15214</v>
      </c>
    </row>
    <row r="3734" spans="1:9" x14ac:dyDescent="0.25">
      <c r="A3734" s="167" t="s">
        <v>19224</v>
      </c>
      <c r="B3734" s="142" t="s">
        <v>19311</v>
      </c>
      <c r="C3734" s="143">
        <v>113783</v>
      </c>
      <c r="D3734" s="142" t="s">
        <v>15246</v>
      </c>
      <c r="E3734" s="144">
        <v>1348.8</v>
      </c>
      <c r="F3734" s="148">
        <v>42887</v>
      </c>
      <c r="G3734" s="149">
        <v>1348.8</v>
      </c>
      <c r="H3734" s="138">
        <f t="shared" si="60"/>
        <v>0</v>
      </c>
      <c r="I3734" s="147" t="s">
        <v>15214</v>
      </c>
    </row>
    <row r="3735" spans="1:9" x14ac:dyDescent="0.25">
      <c r="A3735" s="168" t="s">
        <v>19224</v>
      </c>
      <c r="B3735" s="136" t="s">
        <v>19312</v>
      </c>
      <c r="C3735" s="137">
        <v>113784</v>
      </c>
      <c r="D3735" s="136" t="s">
        <v>19313</v>
      </c>
      <c r="E3735" s="138">
        <v>1487.16</v>
      </c>
      <c r="F3735" s="139">
        <v>42884</v>
      </c>
      <c r="G3735" s="140">
        <v>1487.16</v>
      </c>
      <c r="H3735" s="138">
        <f t="shared" si="60"/>
        <v>0</v>
      </c>
      <c r="I3735" s="141" t="s">
        <v>15214</v>
      </c>
    </row>
    <row r="3736" spans="1:9" ht="15.75" x14ac:dyDescent="0.25">
      <c r="A3736" s="167" t="s">
        <v>19224</v>
      </c>
      <c r="B3736" s="142" t="s">
        <v>19314</v>
      </c>
      <c r="C3736" s="143">
        <v>113785</v>
      </c>
      <c r="D3736" s="142" t="s">
        <v>15338</v>
      </c>
      <c r="E3736" s="144">
        <v>0</v>
      </c>
      <c r="F3736" s="156" t="s">
        <v>95</v>
      </c>
      <c r="G3736" s="144">
        <v>0</v>
      </c>
      <c r="H3736" s="138">
        <f t="shared" si="60"/>
        <v>0</v>
      </c>
      <c r="I3736" s="147" t="s">
        <v>95</v>
      </c>
    </row>
    <row r="3737" spans="1:9" x14ac:dyDescent="0.25">
      <c r="A3737" s="168" t="s">
        <v>19224</v>
      </c>
      <c r="B3737" s="136" t="s">
        <v>19315</v>
      </c>
      <c r="C3737" s="137">
        <v>113786</v>
      </c>
      <c r="D3737" s="136" t="s">
        <v>15282</v>
      </c>
      <c r="E3737" s="138">
        <v>3961.5</v>
      </c>
      <c r="F3737" s="139">
        <v>42884</v>
      </c>
      <c r="G3737" s="140">
        <v>3961.5</v>
      </c>
      <c r="H3737" s="138">
        <f t="shared" si="60"/>
        <v>0</v>
      </c>
      <c r="I3737" s="141" t="s">
        <v>15214</v>
      </c>
    </row>
    <row r="3738" spans="1:9" ht="15.75" x14ac:dyDescent="0.25">
      <c r="A3738" s="167" t="s">
        <v>19224</v>
      </c>
      <c r="B3738" s="142" t="s">
        <v>19316</v>
      </c>
      <c r="C3738" s="143">
        <v>113787</v>
      </c>
      <c r="D3738" s="142" t="s">
        <v>15315</v>
      </c>
      <c r="E3738" s="144">
        <v>0</v>
      </c>
      <c r="F3738" s="156" t="s">
        <v>95</v>
      </c>
      <c r="G3738" s="144">
        <v>0</v>
      </c>
      <c r="H3738" s="138">
        <f t="shared" si="60"/>
        <v>0</v>
      </c>
      <c r="I3738" s="147" t="s">
        <v>95</v>
      </c>
    </row>
    <row r="3739" spans="1:9" x14ac:dyDescent="0.25">
      <c r="A3739" s="168" t="s">
        <v>19224</v>
      </c>
      <c r="B3739" s="136" t="s">
        <v>19317</v>
      </c>
      <c r="C3739" s="137">
        <v>113788</v>
      </c>
      <c r="D3739" s="136" t="s">
        <v>15315</v>
      </c>
      <c r="E3739" s="138">
        <v>390</v>
      </c>
      <c r="F3739" s="139">
        <v>42884</v>
      </c>
      <c r="G3739" s="140">
        <v>390</v>
      </c>
      <c r="H3739" s="138">
        <f t="shared" si="60"/>
        <v>0</v>
      </c>
      <c r="I3739" s="141" t="s">
        <v>15214</v>
      </c>
    </row>
    <row r="3740" spans="1:9" x14ac:dyDescent="0.25">
      <c r="A3740" s="167" t="s">
        <v>19224</v>
      </c>
      <c r="B3740" s="142" t="s">
        <v>19318</v>
      </c>
      <c r="C3740" s="143">
        <v>113789</v>
      </c>
      <c r="D3740" s="142" t="s">
        <v>15315</v>
      </c>
      <c r="E3740" s="144">
        <v>1520</v>
      </c>
      <c r="F3740" s="145">
        <v>42884</v>
      </c>
      <c r="G3740" s="146">
        <v>1520</v>
      </c>
      <c r="H3740" s="138">
        <f t="shared" si="60"/>
        <v>0</v>
      </c>
      <c r="I3740" s="147" t="s">
        <v>15214</v>
      </c>
    </row>
    <row r="3741" spans="1:9" x14ac:dyDescent="0.25">
      <c r="A3741" s="168" t="s">
        <v>19224</v>
      </c>
      <c r="B3741" s="136" t="s">
        <v>19319</v>
      </c>
      <c r="C3741" s="137">
        <v>113790</v>
      </c>
      <c r="D3741" s="136" t="s">
        <v>15350</v>
      </c>
      <c r="E3741" s="138">
        <v>720</v>
      </c>
      <c r="F3741" s="139">
        <v>42886</v>
      </c>
      <c r="G3741" s="140">
        <v>720</v>
      </c>
      <c r="H3741" s="138">
        <f t="shared" si="60"/>
        <v>0</v>
      </c>
      <c r="I3741" s="141" t="s">
        <v>15214</v>
      </c>
    </row>
    <row r="3742" spans="1:9" x14ac:dyDescent="0.25">
      <c r="A3742" s="167" t="s">
        <v>19224</v>
      </c>
      <c r="B3742" s="142" t="s">
        <v>19320</v>
      </c>
      <c r="C3742" s="143">
        <v>113791</v>
      </c>
      <c r="D3742" s="142" t="s">
        <v>15334</v>
      </c>
      <c r="E3742" s="144">
        <v>1004</v>
      </c>
      <c r="F3742" s="145">
        <v>42886</v>
      </c>
      <c r="G3742" s="146">
        <v>1004</v>
      </c>
      <c r="H3742" s="138">
        <f t="shared" si="60"/>
        <v>0</v>
      </c>
      <c r="I3742" s="147" t="s">
        <v>15214</v>
      </c>
    </row>
    <row r="3743" spans="1:9" x14ac:dyDescent="0.25">
      <c r="A3743" s="168" t="s">
        <v>19224</v>
      </c>
      <c r="B3743" s="136" t="s">
        <v>19321</v>
      </c>
      <c r="C3743" s="137">
        <v>113792</v>
      </c>
      <c r="D3743" s="136" t="s">
        <v>15334</v>
      </c>
      <c r="E3743" s="138">
        <v>1550</v>
      </c>
      <c r="F3743" s="139">
        <v>42886</v>
      </c>
      <c r="G3743" s="140">
        <v>1550</v>
      </c>
      <c r="H3743" s="138">
        <f t="shared" si="60"/>
        <v>0</v>
      </c>
      <c r="I3743" s="141" t="s">
        <v>15214</v>
      </c>
    </row>
    <row r="3744" spans="1:9" x14ac:dyDescent="0.25">
      <c r="A3744" s="167" t="s">
        <v>19224</v>
      </c>
      <c r="B3744" s="142" t="s">
        <v>19322</v>
      </c>
      <c r="C3744" s="143">
        <v>113793</v>
      </c>
      <c r="D3744" s="142" t="s">
        <v>15858</v>
      </c>
      <c r="E3744" s="144">
        <v>2070.2399999999998</v>
      </c>
      <c r="F3744" s="145">
        <v>42886</v>
      </c>
      <c r="G3744" s="146">
        <v>2070.2399999999998</v>
      </c>
      <c r="H3744" s="138">
        <f t="shared" si="60"/>
        <v>0</v>
      </c>
      <c r="I3744" s="147" t="s">
        <v>15214</v>
      </c>
    </row>
    <row r="3745" spans="1:9" x14ac:dyDescent="0.25">
      <c r="A3745" s="168" t="s">
        <v>19224</v>
      </c>
      <c r="B3745" s="136" t="s">
        <v>19323</v>
      </c>
      <c r="C3745" s="137">
        <v>113794</v>
      </c>
      <c r="D3745" s="136" t="s">
        <v>15309</v>
      </c>
      <c r="E3745" s="138">
        <v>9686.2000000000007</v>
      </c>
      <c r="F3745" s="139">
        <v>42886</v>
      </c>
      <c r="G3745" s="140">
        <v>9686.2000000000007</v>
      </c>
      <c r="H3745" s="138">
        <f t="shared" si="60"/>
        <v>0</v>
      </c>
      <c r="I3745" s="141" t="s">
        <v>15214</v>
      </c>
    </row>
    <row r="3746" spans="1:9" x14ac:dyDescent="0.25">
      <c r="A3746" s="167" t="s">
        <v>19224</v>
      </c>
      <c r="B3746" s="142" t="s">
        <v>19324</v>
      </c>
      <c r="C3746" s="143">
        <v>113795</v>
      </c>
      <c r="D3746" s="142" t="s">
        <v>17210</v>
      </c>
      <c r="E3746" s="144">
        <v>2918.4</v>
      </c>
      <c r="F3746" s="145">
        <v>42886</v>
      </c>
      <c r="G3746" s="146">
        <v>2918.4</v>
      </c>
      <c r="H3746" s="138">
        <f t="shared" si="60"/>
        <v>0</v>
      </c>
      <c r="I3746" s="147" t="s">
        <v>15214</v>
      </c>
    </row>
    <row r="3747" spans="1:9" x14ac:dyDescent="0.25">
      <c r="A3747" s="168" t="s">
        <v>19224</v>
      </c>
      <c r="B3747" s="136" t="s">
        <v>19325</v>
      </c>
      <c r="C3747" s="137">
        <v>113796</v>
      </c>
      <c r="D3747" s="136" t="s">
        <v>15415</v>
      </c>
      <c r="E3747" s="138">
        <v>2870.4</v>
      </c>
      <c r="F3747" s="157">
        <v>42888</v>
      </c>
      <c r="G3747" s="158">
        <v>2870.4</v>
      </c>
      <c r="H3747" s="138">
        <f t="shared" si="60"/>
        <v>0</v>
      </c>
      <c r="I3747" s="141" t="s">
        <v>15214</v>
      </c>
    </row>
    <row r="3748" spans="1:9" x14ac:dyDescent="0.25">
      <c r="A3748" s="167" t="s">
        <v>19224</v>
      </c>
      <c r="B3748" s="142" t="s">
        <v>19326</v>
      </c>
      <c r="C3748" s="143">
        <v>113797</v>
      </c>
      <c r="D3748" s="142" t="s">
        <v>15526</v>
      </c>
      <c r="E3748" s="144">
        <v>5236.8</v>
      </c>
      <c r="F3748" s="145">
        <v>42886</v>
      </c>
      <c r="G3748" s="146">
        <v>5236.8</v>
      </c>
      <c r="H3748" s="138">
        <f t="shared" si="60"/>
        <v>0</v>
      </c>
      <c r="I3748" s="147" t="s">
        <v>15214</v>
      </c>
    </row>
    <row r="3749" spans="1:9" x14ac:dyDescent="0.25">
      <c r="A3749" s="168" t="s">
        <v>19224</v>
      </c>
      <c r="B3749" s="136" t="s">
        <v>19327</v>
      </c>
      <c r="C3749" s="137">
        <v>113798</v>
      </c>
      <c r="D3749" s="136" t="s">
        <v>15301</v>
      </c>
      <c r="E3749" s="138">
        <v>3111.5</v>
      </c>
      <c r="F3749" s="139">
        <v>42886</v>
      </c>
      <c r="G3749" s="140">
        <v>3111.5</v>
      </c>
      <c r="H3749" s="138">
        <f t="shared" si="60"/>
        <v>0</v>
      </c>
      <c r="I3749" s="141" t="s">
        <v>15214</v>
      </c>
    </row>
    <row r="3750" spans="1:9" x14ac:dyDescent="0.25">
      <c r="A3750" s="167" t="s">
        <v>19224</v>
      </c>
      <c r="B3750" s="142" t="s">
        <v>19328</v>
      </c>
      <c r="C3750" s="143">
        <v>113799</v>
      </c>
      <c r="D3750" s="142" t="s">
        <v>15742</v>
      </c>
      <c r="E3750" s="144">
        <v>2764.8</v>
      </c>
      <c r="F3750" s="145">
        <v>42886</v>
      </c>
      <c r="G3750" s="146">
        <v>2764.8</v>
      </c>
      <c r="H3750" s="138">
        <f t="shared" si="60"/>
        <v>0</v>
      </c>
      <c r="I3750" s="147" t="s">
        <v>15214</v>
      </c>
    </row>
    <row r="3751" spans="1:9" x14ac:dyDescent="0.25">
      <c r="A3751" s="168" t="s">
        <v>19224</v>
      </c>
      <c r="B3751" s="136" t="s">
        <v>19329</v>
      </c>
      <c r="C3751" s="137">
        <v>113800</v>
      </c>
      <c r="D3751" s="136" t="s">
        <v>15358</v>
      </c>
      <c r="E3751" s="138">
        <v>1430.6</v>
      </c>
      <c r="F3751" s="139">
        <v>42886</v>
      </c>
      <c r="G3751" s="140">
        <v>1430.6</v>
      </c>
      <c r="H3751" s="138">
        <f t="shared" si="60"/>
        <v>0</v>
      </c>
      <c r="I3751" s="141" t="s">
        <v>15214</v>
      </c>
    </row>
    <row r="3752" spans="1:9" x14ac:dyDescent="0.25">
      <c r="A3752" s="167" t="s">
        <v>19224</v>
      </c>
      <c r="B3752" s="142" t="s">
        <v>19330</v>
      </c>
      <c r="C3752" s="143">
        <v>113801</v>
      </c>
      <c r="D3752" s="142" t="s">
        <v>15340</v>
      </c>
      <c r="E3752" s="144">
        <v>2704.8</v>
      </c>
      <c r="F3752" s="145">
        <v>42886</v>
      </c>
      <c r="G3752" s="146">
        <v>2704.8</v>
      </c>
      <c r="H3752" s="138">
        <f t="shared" si="60"/>
        <v>0</v>
      </c>
      <c r="I3752" s="147" t="s">
        <v>15214</v>
      </c>
    </row>
    <row r="3753" spans="1:9" x14ac:dyDescent="0.25">
      <c r="A3753" s="168" t="s">
        <v>19224</v>
      </c>
      <c r="B3753" s="136" t="s">
        <v>19331</v>
      </c>
      <c r="C3753" s="137">
        <v>113802</v>
      </c>
      <c r="D3753" s="136" t="s">
        <v>15365</v>
      </c>
      <c r="E3753" s="138">
        <v>391956</v>
      </c>
      <c r="F3753" s="157">
        <v>42888</v>
      </c>
      <c r="G3753" s="158">
        <v>391956</v>
      </c>
      <c r="H3753" s="138">
        <f t="shared" si="60"/>
        <v>0</v>
      </c>
      <c r="I3753" s="141" t="s">
        <v>15214</v>
      </c>
    </row>
    <row r="3754" spans="1:9" x14ac:dyDescent="0.25">
      <c r="A3754" s="167" t="s">
        <v>19224</v>
      </c>
      <c r="B3754" s="142" t="s">
        <v>19332</v>
      </c>
      <c r="C3754" s="143">
        <v>113803</v>
      </c>
      <c r="D3754" s="142" t="s">
        <v>15665</v>
      </c>
      <c r="E3754" s="144">
        <v>510.9</v>
      </c>
      <c r="F3754" s="145">
        <v>42884</v>
      </c>
      <c r="G3754" s="146">
        <v>510.9</v>
      </c>
      <c r="H3754" s="138">
        <f t="shared" si="60"/>
        <v>0</v>
      </c>
      <c r="I3754" s="147" t="s">
        <v>15214</v>
      </c>
    </row>
    <row r="3755" spans="1:9" x14ac:dyDescent="0.25">
      <c r="A3755" s="168" t="s">
        <v>19224</v>
      </c>
      <c r="B3755" s="136" t="s">
        <v>19333</v>
      </c>
      <c r="C3755" s="137">
        <v>113804</v>
      </c>
      <c r="D3755" s="136" t="s">
        <v>15549</v>
      </c>
      <c r="E3755" s="138">
        <v>7304.3</v>
      </c>
      <c r="F3755" s="139">
        <v>42886</v>
      </c>
      <c r="G3755" s="140">
        <v>7304.3</v>
      </c>
      <c r="H3755" s="138">
        <f t="shared" si="60"/>
        <v>0</v>
      </c>
      <c r="I3755" s="141" t="s">
        <v>15214</v>
      </c>
    </row>
    <row r="3756" spans="1:9" x14ac:dyDescent="0.25">
      <c r="A3756" s="167" t="s">
        <v>19224</v>
      </c>
      <c r="B3756" s="142" t="s">
        <v>19334</v>
      </c>
      <c r="C3756" s="143">
        <v>113805</v>
      </c>
      <c r="D3756" s="142" t="s">
        <v>15267</v>
      </c>
      <c r="E3756" s="144">
        <v>33148.5</v>
      </c>
      <c r="F3756" s="148">
        <v>42892</v>
      </c>
      <c r="G3756" s="149">
        <v>33148.5</v>
      </c>
      <c r="H3756" s="138">
        <f t="shared" si="60"/>
        <v>0</v>
      </c>
      <c r="I3756" s="147" t="s">
        <v>15214</v>
      </c>
    </row>
    <row r="3757" spans="1:9" x14ac:dyDescent="0.25">
      <c r="A3757" s="168" t="s">
        <v>19224</v>
      </c>
      <c r="B3757" s="136" t="s">
        <v>19335</v>
      </c>
      <c r="C3757" s="137">
        <v>113806</v>
      </c>
      <c r="D3757" s="136" t="s">
        <v>15419</v>
      </c>
      <c r="E3757" s="138">
        <v>28636.2</v>
      </c>
      <c r="F3757" s="157">
        <v>42891</v>
      </c>
      <c r="G3757" s="158">
        <v>28636.2</v>
      </c>
      <c r="H3757" s="138">
        <f t="shared" si="60"/>
        <v>0</v>
      </c>
      <c r="I3757" s="141" t="s">
        <v>15214</v>
      </c>
    </row>
    <row r="3758" spans="1:9" ht="15.75" x14ac:dyDescent="0.25">
      <c r="A3758" s="167" t="s">
        <v>19224</v>
      </c>
      <c r="B3758" s="142" t="s">
        <v>19336</v>
      </c>
      <c r="C3758" s="143">
        <v>113807</v>
      </c>
      <c r="D3758" s="142" t="s">
        <v>15315</v>
      </c>
      <c r="E3758" s="144">
        <v>0</v>
      </c>
      <c r="F3758" s="156" t="s">
        <v>95</v>
      </c>
      <c r="G3758" s="144">
        <v>0</v>
      </c>
      <c r="H3758" s="138">
        <f t="shared" si="60"/>
        <v>0</v>
      </c>
      <c r="I3758" s="147" t="s">
        <v>95</v>
      </c>
    </row>
    <row r="3759" spans="1:9" x14ac:dyDescent="0.25">
      <c r="A3759" s="168" t="s">
        <v>19224</v>
      </c>
      <c r="B3759" s="136" t="s">
        <v>19337</v>
      </c>
      <c r="C3759" s="137">
        <v>113808</v>
      </c>
      <c r="D3759" s="136" t="s">
        <v>15930</v>
      </c>
      <c r="E3759" s="138">
        <v>9042.7999999999993</v>
      </c>
      <c r="F3759" s="139">
        <v>42886</v>
      </c>
      <c r="G3759" s="140">
        <v>9042.7999999999993</v>
      </c>
      <c r="H3759" s="138">
        <f t="shared" si="60"/>
        <v>0</v>
      </c>
      <c r="I3759" s="141" t="s">
        <v>15214</v>
      </c>
    </row>
    <row r="3760" spans="1:9" x14ac:dyDescent="0.25">
      <c r="A3760" s="167" t="s">
        <v>19224</v>
      </c>
      <c r="B3760" s="142" t="s">
        <v>19338</v>
      </c>
      <c r="C3760" s="143">
        <v>113809</v>
      </c>
      <c r="D3760" s="142" t="s">
        <v>15396</v>
      </c>
      <c r="E3760" s="144">
        <v>7523.8</v>
      </c>
      <c r="F3760" s="145">
        <v>42884</v>
      </c>
      <c r="G3760" s="146">
        <v>7523.8</v>
      </c>
      <c r="H3760" s="138">
        <f t="shared" si="60"/>
        <v>0</v>
      </c>
      <c r="I3760" s="147" t="s">
        <v>15214</v>
      </c>
    </row>
    <row r="3761" spans="1:9" x14ac:dyDescent="0.25">
      <c r="A3761" s="168" t="s">
        <v>19224</v>
      </c>
      <c r="B3761" s="136" t="s">
        <v>19339</v>
      </c>
      <c r="C3761" s="137">
        <v>113810</v>
      </c>
      <c r="D3761" s="136" t="s">
        <v>16217</v>
      </c>
      <c r="E3761" s="138">
        <v>2692.8</v>
      </c>
      <c r="F3761" s="139">
        <v>42886</v>
      </c>
      <c r="G3761" s="140">
        <v>2692.8</v>
      </c>
      <c r="H3761" s="138">
        <f t="shared" si="60"/>
        <v>0</v>
      </c>
      <c r="I3761" s="141" t="s">
        <v>15214</v>
      </c>
    </row>
    <row r="3762" spans="1:9" x14ac:dyDescent="0.25">
      <c r="A3762" s="167" t="s">
        <v>19224</v>
      </c>
      <c r="B3762" s="142" t="s">
        <v>19340</v>
      </c>
      <c r="C3762" s="143">
        <v>113811</v>
      </c>
      <c r="D3762" s="142" t="s">
        <v>15396</v>
      </c>
      <c r="E3762" s="144">
        <v>420</v>
      </c>
      <c r="F3762" s="145">
        <v>42884</v>
      </c>
      <c r="G3762" s="146">
        <v>420</v>
      </c>
      <c r="H3762" s="138">
        <f t="shared" si="60"/>
        <v>0</v>
      </c>
      <c r="I3762" s="147" t="s">
        <v>15214</v>
      </c>
    </row>
    <row r="3763" spans="1:9" x14ac:dyDescent="0.25">
      <c r="A3763" s="168" t="s">
        <v>19224</v>
      </c>
      <c r="B3763" s="136" t="s">
        <v>19341</v>
      </c>
      <c r="C3763" s="137">
        <v>113812</v>
      </c>
      <c r="D3763" s="136" t="s">
        <v>15291</v>
      </c>
      <c r="E3763" s="138">
        <v>768</v>
      </c>
      <c r="F3763" s="139">
        <v>42886</v>
      </c>
      <c r="G3763" s="140">
        <v>768</v>
      </c>
      <c r="H3763" s="138">
        <f t="shared" si="60"/>
        <v>0</v>
      </c>
      <c r="I3763" s="141" t="s">
        <v>15214</v>
      </c>
    </row>
    <row r="3764" spans="1:9" x14ac:dyDescent="0.25">
      <c r="A3764" s="167" t="s">
        <v>19224</v>
      </c>
      <c r="B3764" s="142" t="s">
        <v>19342</v>
      </c>
      <c r="C3764" s="143">
        <v>113813</v>
      </c>
      <c r="D3764" s="142" t="s">
        <v>15396</v>
      </c>
      <c r="E3764" s="144">
        <v>369.6</v>
      </c>
      <c r="F3764" s="145">
        <v>42884</v>
      </c>
      <c r="G3764" s="146">
        <v>369.6</v>
      </c>
      <c r="H3764" s="138">
        <f t="shared" si="60"/>
        <v>0</v>
      </c>
      <c r="I3764" s="147" t="s">
        <v>15214</v>
      </c>
    </row>
    <row r="3765" spans="1:9" x14ac:dyDescent="0.25">
      <c r="A3765" s="168" t="s">
        <v>19224</v>
      </c>
      <c r="B3765" s="136" t="s">
        <v>19343</v>
      </c>
      <c r="C3765" s="137">
        <v>113814</v>
      </c>
      <c r="D3765" s="136" t="s">
        <v>15748</v>
      </c>
      <c r="E3765" s="138">
        <v>819</v>
      </c>
      <c r="F3765" s="157">
        <v>42889</v>
      </c>
      <c r="G3765" s="158">
        <v>819</v>
      </c>
      <c r="H3765" s="138">
        <f t="shared" si="60"/>
        <v>0</v>
      </c>
      <c r="I3765" s="141" t="s">
        <v>15214</v>
      </c>
    </row>
    <row r="3766" spans="1:9" x14ac:dyDescent="0.25">
      <c r="A3766" s="167" t="s">
        <v>19224</v>
      </c>
      <c r="B3766" s="142" t="s">
        <v>19344</v>
      </c>
      <c r="C3766" s="143">
        <v>113815</v>
      </c>
      <c r="D3766" s="142" t="s">
        <v>15407</v>
      </c>
      <c r="E3766" s="144">
        <v>7333.4</v>
      </c>
      <c r="F3766" s="145">
        <v>42884</v>
      </c>
      <c r="G3766" s="146">
        <v>7333.4</v>
      </c>
      <c r="H3766" s="138">
        <f t="shared" si="60"/>
        <v>0</v>
      </c>
      <c r="I3766" s="147" t="s">
        <v>15214</v>
      </c>
    </row>
    <row r="3767" spans="1:9" x14ac:dyDescent="0.25">
      <c r="A3767" s="168" t="s">
        <v>19224</v>
      </c>
      <c r="B3767" s="136" t="s">
        <v>19345</v>
      </c>
      <c r="C3767" s="137">
        <v>113816</v>
      </c>
      <c r="D3767" s="136" t="s">
        <v>15417</v>
      </c>
      <c r="E3767" s="138">
        <v>2327.6</v>
      </c>
      <c r="F3767" s="139">
        <v>42886</v>
      </c>
      <c r="G3767" s="140">
        <v>2327.6</v>
      </c>
      <c r="H3767" s="138">
        <f t="shared" si="60"/>
        <v>0</v>
      </c>
      <c r="I3767" s="141" t="s">
        <v>15214</v>
      </c>
    </row>
    <row r="3768" spans="1:9" x14ac:dyDescent="0.25">
      <c r="A3768" s="167" t="s">
        <v>19224</v>
      </c>
      <c r="B3768" s="142" t="s">
        <v>19346</v>
      </c>
      <c r="C3768" s="143">
        <v>113817</v>
      </c>
      <c r="D3768" s="142" t="s">
        <v>15320</v>
      </c>
      <c r="E3768" s="144">
        <v>2245.5</v>
      </c>
      <c r="F3768" s="145">
        <v>42886</v>
      </c>
      <c r="G3768" s="146">
        <v>2245.5</v>
      </c>
      <c r="H3768" s="138">
        <f t="shared" si="60"/>
        <v>0</v>
      </c>
      <c r="I3768" s="147" t="s">
        <v>15214</v>
      </c>
    </row>
    <row r="3769" spans="1:9" x14ac:dyDescent="0.25">
      <c r="A3769" s="168" t="s">
        <v>19224</v>
      </c>
      <c r="B3769" s="136" t="s">
        <v>19347</v>
      </c>
      <c r="C3769" s="137">
        <v>113818</v>
      </c>
      <c r="D3769" s="136" t="s">
        <v>15617</v>
      </c>
      <c r="E3769" s="138">
        <v>27692</v>
      </c>
      <c r="F3769" s="139">
        <v>42886</v>
      </c>
      <c r="G3769" s="140">
        <v>27692</v>
      </c>
      <c r="H3769" s="138">
        <f t="shared" si="60"/>
        <v>0</v>
      </c>
      <c r="I3769" s="141" t="s">
        <v>15214</v>
      </c>
    </row>
    <row r="3770" spans="1:9" x14ac:dyDescent="0.25">
      <c r="A3770" s="167" t="s">
        <v>19224</v>
      </c>
      <c r="B3770" s="142" t="s">
        <v>19348</v>
      </c>
      <c r="C3770" s="143">
        <v>113819</v>
      </c>
      <c r="D3770" s="142" t="s">
        <v>15315</v>
      </c>
      <c r="E3770" s="144">
        <v>18127.099999999999</v>
      </c>
      <c r="F3770" s="145">
        <v>42884</v>
      </c>
      <c r="G3770" s="146">
        <v>18127.099999999999</v>
      </c>
      <c r="H3770" s="138">
        <f t="shared" si="60"/>
        <v>0</v>
      </c>
      <c r="I3770" s="147" t="s">
        <v>15214</v>
      </c>
    </row>
    <row r="3771" spans="1:9" x14ac:dyDescent="0.25">
      <c r="A3771" s="168" t="s">
        <v>19224</v>
      </c>
      <c r="B3771" s="136" t="s">
        <v>19349</v>
      </c>
      <c r="C3771" s="137">
        <v>113820</v>
      </c>
      <c r="D3771" s="136" t="s">
        <v>15286</v>
      </c>
      <c r="E3771" s="138">
        <v>5208</v>
      </c>
      <c r="F3771" s="139">
        <v>42886</v>
      </c>
      <c r="G3771" s="140">
        <v>5208</v>
      </c>
      <c r="H3771" s="138">
        <f t="shared" si="60"/>
        <v>0</v>
      </c>
      <c r="I3771" s="141" t="s">
        <v>15214</v>
      </c>
    </row>
    <row r="3772" spans="1:9" x14ac:dyDescent="0.25">
      <c r="A3772" s="167" t="s">
        <v>19224</v>
      </c>
      <c r="B3772" s="142" t="s">
        <v>19350</v>
      </c>
      <c r="C3772" s="143">
        <v>113821</v>
      </c>
      <c r="D3772" s="142" t="s">
        <v>15315</v>
      </c>
      <c r="E3772" s="144">
        <v>391</v>
      </c>
      <c r="F3772" s="145">
        <v>42886</v>
      </c>
      <c r="G3772" s="146">
        <v>391</v>
      </c>
      <c r="H3772" s="138">
        <f t="shared" si="60"/>
        <v>0</v>
      </c>
      <c r="I3772" s="147" t="s">
        <v>15214</v>
      </c>
    </row>
    <row r="3773" spans="1:9" x14ac:dyDescent="0.25">
      <c r="A3773" s="168" t="s">
        <v>19224</v>
      </c>
      <c r="B3773" s="136" t="s">
        <v>19351</v>
      </c>
      <c r="C3773" s="137">
        <v>113822</v>
      </c>
      <c r="D3773" s="136" t="s">
        <v>15728</v>
      </c>
      <c r="E3773" s="138">
        <v>8523.7999999999993</v>
      </c>
      <c r="F3773" s="139">
        <v>42884</v>
      </c>
      <c r="G3773" s="140">
        <v>8523.7999999999993</v>
      </c>
      <c r="H3773" s="138">
        <f t="shared" si="60"/>
        <v>0</v>
      </c>
      <c r="I3773" s="141" t="s">
        <v>15214</v>
      </c>
    </row>
    <row r="3774" spans="1:9" x14ac:dyDescent="0.25">
      <c r="A3774" s="167" t="s">
        <v>19224</v>
      </c>
      <c r="B3774" s="142" t="s">
        <v>19352</v>
      </c>
      <c r="C3774" s="143">
        <v>113823</v>
      </c>
      <c r="D3774" s="142" t="s">
        <v>15728</v>
      </c>
      <c r="E3774" s="144">
        <v>5164.6000000000004</v>
      </c>
      <c r="F3774" s="145">
        <v>42884</v>
      </c>
      <c r="G3774" s="146">
        <v>5164.6000000000004</v>
      </c>
      <c r="H3774" s="138">
        <f t="shared" si="60"/>
        <v>0</v>
      </c>
      <c r="I3774" s="147" t="s">
        <v>15214</v>
      </c>
    </row>
    <row r="3775" spans="1:9" x14ac:dyDescent="0.25">
      <c r="A3775" s="168" t="s">
        <v>19224</v>
      </c>
      <c r="B3775" s="136" t="s">
        <v>19353</v>
      </c>
      <c r="C3775" s="137">
        <v>113824</v>
      </c>
      <c r="D3775" s="136" t="s">
        <v>15250</v>
      </c>
      <c r="E3775" s="138">
        <v>31621</v>
      </c>
      <c r="F3775" s="139">
        <v>42902</v>
      </c>
      <c r="G3775" s="140">
        <v>31621</v>
      </c>
      <c r="H3775" s="138">
        <f t="shared" si="60"/>
        <v>0</v>
      </c>
      <c r="I3775" s="141" t="s">
        <v>15214</v>
      </c>
    </row>
    <row r="3776" spans="1:9" x14ac:dyDescent="0.25">
      <c r="A3776" s="167" t="s">
        <v>19224</v>
      </c>
      <c r="B3776" s="142" t="s">
        <v>19354</v>
      </c>
      <c r="C3776" s="143">
        <v>113825</v>
      </c>
      <c r="D3776" s="142" t="s">
        <v>17430</v>
      </c>
      <c r="E3776" s="144">
        <v>4889.2</v>
      </c>
      <c r="F3776" s="145">
        <v>42884</v>
      </c>
      <c r="G3776" s="146">
        <v>4889.2</v>
      </c>
      <c r="H3776" s="138">
        <f t="shared" si="60"/>
        <v>0</v>
      </c>
      <c r="I3776" s="147" t="s">
        <v>15214</v>
      </c>
    </row>
    <row r="3777" spans="1:9" x14ac:dyDescent="0.25">
      <c r="A3777" s="168" t="s">
        <v>19224</v>
      </c>
      <c r="B3777" s="136" t="s">
        <v>19355</v>
      </c>
      <c r="C3777" s="137">
        <v>113826</v>
      </c>
      <c r="D3777" s="136" t="s">
        <v>15322</v>
      </c>
      <c r="E3777" s="138">
        <v>462.5</v>
      </c>
      <c r="F3777" s="139">
        <v>42884</v>
      </c>
      <c r="G3777" s="140">
        <v>462.5</v>
      </c>
      <c r="H3777" s="138">
        <f t="shared" si="60"/>
        <v>0</v>
      </c>
      <c r="I3777" s="141" t="s">
        <v>15214</v>
      </c>
    </row>
    <row r="3778" spans="1:9" x14ac:dyDescent="0.25">
      <c r="A3778" s="167" t="s">
        <v>19224</v>
      </c>
      <c r="B3778" s="142" t="s">
        <v>19356</v>
      </c>
      <c r="C3778" s="143">
        <v>113827</v>
      </c>
      <c r="D3778" s="142" t="s">
        <v>15246</v>
      </c>
      <c r="E3778" s="144">
        <v>276546.24</v>
      </c>
      <c r="F3778" s="148">
        <v>42887</v>
      </c>
      <c r="G3778" s="149">
        <v>276546.24</v>
      </c>
      <c r="H3778" s="138">
        <f t="shared" si="60"/>
        <v>0</v>
      </c>
      <c r="I3778" s="147" t="s">
        <v>15214</v>
      </c>
    </row>
    <row r="3779" spans="1:9" ht="15.75" x14ac:dyDescent="0.25">
      <c r="A3779" s="168" t="s">
        <v>19224</v>
      </c>
      <c r="B3779" s="136" t="s">
        <v>19357</v>
      </c>
      <c r="C3779" s="137">
        <v>113828</v>
      </c>
      <c r="D3779" s="136" t="s">
        <v>5883</v>
      </c>
      <c r="E3779" s="138">
        <v>0</v>
      </c>
      <c r="F3779" s="153" t="s">
        <v>95</v>
      </c>
      <c r="G3779" s="138">
        <v>0</v>
      </c>
      <c r="H3779" s="138">
        <f t="shared" si="60"/>
        <v>0</v>
      </c>
      <c r="I3779" s="141" t="s">
        <v>95</v>
      </c>
    </row>
    <row r="3780" spans="1:9" x14ac:dyDescent="0.25">
      <c r="A3780" s="167" t="s">
        <v>19224</v>
      </c>
      <c r="B3780" s="142" t="s">
        <v>19358</v>
      </c>
      <c r="C3780" s="143">
        <v>113829</v>
      </c>
      <c r="D3780" s="142" t="s">
        <v>15226</v>
      </c>
      <c r="E3780" s="144">
        <v>879.2</v>
      </c>
      <c r="F3780" s="148">
        <v>42887</v>
      </c>
      <c r="G3780" s="149">
        <v>879.2</v>
      </c>
      <c r="H3780" s="138">
        <f t="shared" si="60"/>
        <v>0</v>
      </c>
      <c r="I3780" s="147" t="s">
        <v>15214</v>
      </c>
    </row>
    <row r="3781" spans="1:9" x14ac:dyDescent="0.25">
      <c r="A3781" s="168" t="s">
        <v>19224</v>
      </c>
      <c r="B3781" s="136" t="s">
        <v>19359</v>
      </c>
      <c r="C3781" s="137">
        <v>113830</v>
      </c>
      <c r="D3781" s="136" t="s">
        <v>5883</v>
      </c>
      <c r="E3781" s="138">
        <v>28388.66</v>
      </c>
      <c r="F3781" s="157">
        <v>42895</v>
      </c>
      <c r="G3781" s="158">
        <v>28388.66</v>
      </c>
      <c r="H3781" s="138">
        <f t="shared" si="60"/>
        <v>0</v>
      </c>
      <c r="I3781" s="141" t="s">
        <v>15214</v>
      </c>
    </row>
    <row r="3782" spans="1:9" x14ac:dyDescent="0.25">
      <c r="A3782" s="167" t="s">
        <v>19224</v>
      </c>
      <c r="B3782" s="142" t="s">
        <v>19360</v>
      </c>
      <c r="C3782" s="143">
        <v>113831</v>
      </c>
      <c r="D3782" s="142" t="s">
        <v>15284</v>
      </c>
      <c r="E3782" s="144">
        <v>1195.2</v>
      </c>
      <c r="F3782" s="145">
        <v>42884</v>
      </c>
      <c r="G3782" s="146">
        <v>1195.2</v>
      </c>
      <c r="H3782" s="138">
        <f t="shared" si="60"/>
        <v>0</v>
      </c>
      <c r="I3782" s="147" t="s">
        <v>15214</v>
      </c>
    </row>
    <row r="3783" spans="1:9" x14ac:dyDescent="0.25">
      <c r="A3783" s="168" t="s">
        <v>19224</v>
      </c>
      <c r="B3783" s="136" t="s">
        <v>19361</v>
      </c>
      <c r="C3783" s="137">
        <v>113832</v>
      </c>
      <c r="D3783" s="136" t="s">
        <v>15338</v>
      </c>
      <c r="E3783" s="138">
        <v>4524</v>
      </c>
      <c r="F3783" s="157">
        <v>42888</v>
      </c>
      <c r="G3783" s="158">
        <v>4524</v>
      </c>
      <c r="H3783" s="138">
        <f t="shared" ref="H3783:H3846" si="61">E3783-G3783</f>
        <v>0</v>
      </c>
      <c r="I3783" s="141" t="s">
        <v>15214</v>
      </c>
    </row>
    <row r="3784" spans="1:9" x14ac:dyDescent="0.25">
      <c r="A3784" s="167" t="s">
        <v>19224</v>
      </c>
      <c r="B3784" s="142" t="s">
        <v>19362</v>
      </c>
      <c r="C3784" s="143">
        <v>113833</v>
      </c>
      <c r="D3784" s="142" t="s">
        <v>15444</v>
      </c>
      <c r="E3784" s="144">
        <v>2219.4</v>
      </c>
      <c r="F3784" s="145">
        <v>42886</v>
      </c>
      <c r="G3784" s="146">
        <v>2219.4</v>
      </c>
      <c r="H3784" s="138">
        <f t="shared" si="61"/>
        <v>0</v>
      </c>
      <c r="I3784" s="147" t="s">
        <v>15214</v>
      </c>
    </row>
    <row r="3785" spans="1:9" x14ac:dyDescent="0.25">
      <c r="A3785" s="168" t="s">
        <v>19224</v>
      </c>
      <c r="B3785" s="136" t="s">
        <v>19363</v>
      </c>
      <c r="C3785" s="137">
        <v>113834</v>
      </c>
      <c r="D3785" s="136" t="s">
        <v>15315</v>
      </c>
      <c r="E3785" s="138">
        <v>24425.599999999999</v>
      </c>
      <c r="F3785" s="139">
        <v>42885</v>
      </c>
      <c r="G3785" s="140">
        <v>24425.599999999999</v>
      </c>
      <c r="H3785" s="138">
        <f t="shared" si="61"/>
        <v>0</v>
      </c>
      <c r="I3785" s="141" t="s">
        <v>15214</v>
      </c>
    </row>
    <row r="3786" spans="1:9" x14ac:dyDescent="0.25">
      <c r="A3786" s="167" t="s">
        <v>19224</v>
      </c>
      <c r="B3786" s="142" t="s">
        <v>19364</v>
      </c>
      <c r="C3786" s="143">
        <v>113835</v>
      </c>
      <c r="D3786" s="142" t="s">
        <v>15435</v>
      </c>
      <c r="E3786" s="144">
        <v>6793.2</v>
      </c>
      <c r="F3786" s="145">
        <v>42884</v>
      </c>
      <c r="G3786" s="146">
        <v>6793.2</v>
      </c>
      <c r="H3786" s="138">
        <f t="shared" si="61"/>
        <v>0</v>
      </c>
      <c r="I3786" s="147" t="s">
        <v>15214</v>
      </c>
    </row>
    <row r="3787" spans="1:9" x14ac:dyDescent="0.25">
      <c r="A3787" s="168" t="s">
        <v>19224</v>
      </c>
      <c r="B3787" s="136" t="s">
        <v>19365</v>
      </c>
      <c r="C3787" s="137">
        <v>113836</v>
      </c>
      <c r="D3787" s="136" t="s">
        <v>15315</v>
      </c>
      <c r="E3787" s="138">
        <v>1440</v>
      </c>
      <c r="F3787" s="139">
        <v>42884</v>
      </c>
      <c r="G3787" s="140">
        <v>1440</v>
      </c>
      <c r="H3787" s="138">
        <f t="shared" si="61"/>
        <v>0</v>
      </c>
      <c r="I3787" s="141" t="s">
        <v>15214</v>
      </c>
    </row>
    <row r="3788" spans="1:9" x14ac:dyDescent="0.25">
      <c r="A3788" s="167" t="s">
        <v>19224</v>
      </c>
      <c r="B3788" s="142" t="s">
        <v>19366</v>
      </c>
      <c r="C3788" s="143">
        <v>113837</v>
      </c>
      <c r="D3788" s="142" t="s">
        <v>17462</v>
      </c>
      <c r="E3788" s="144">
        <v>1131</v>
      </c>
      <c r="F3788" s="145">
        <v>42884</v>
      </c>
      <c r="G3788" s="146">
        <v>1131</v>
      </c>
      <c r="H3788" s="138">
        <f t="shared" si="61"/>
        <v>0</v>
      </c>
      <c r="I3788" s="147" t="s">
        <v>15214</v>
      </c>
    </row>
    <row r="3789" spans="1:9" x14ac:dyDescent="0.25">
      <c r="A3789" s="168" t="s">
        <v>19224</v>
      </c>
      <c r="B3789" s="136" t="s">
        <v>19367</v>
      </c>
      <c r="C3789" s="137">
        <v>113838</v>
      </c>
      <c r="D3789" s="136" t="s">
        <v>15246</v>
      </c>
      <c r="E3789" s="138">
        <v>42127.5</v>
      </c>
      <c r="F3789" s="157">
        <v>42887</v>
      </c>
      <c r="G3789" s="158">
        <v>42127.5</v>
      </c>
      <c r="H3789" s="138">
        <f t="shared" si="61"/>
        <v>0</v>
      </c>
      <c r="I3789" s="141" t="s">
        <v>15214</v>
      </c>
    </row>
    <row r="3790" spans="1:9" x14ac:dyDescent="0.25">
      <c r="A3790" s="167" t="s">
        <v>19224</v>
      </c>
      <c r="B3790" s="142" t="s">
        <v>19368</v>
      </c>
      <c r="C3790" s="143">
        <v>113839</v>
      </c>
      <c r="D3790" s="142" t="s">
        <v>15433</v>
      </c>
      <c r="E3790" s="144">
        <v>1037.2</v>
      </c>
      <c r="F3790" s="145">
        <v>42884</v>
      </c>
      <c r="G3790" s="146">
        <v>1037.2</v>
      </c>
      <c r="H3790" s="138">
        <f t="shared" si="61"/>
        <v>0</v>
      </c>
      <c r="I3790" s="147" t="s">
        <v>15214</v>
      </c>
    </row>
    <row r="3791" spans="1:9" x14ac:dyDescent="0.25">
      <c r="A3791" s="168" t="s">
        <v>19224</v>
      </c>
      <c r="B3791" s="136" t="s">
        <v>19369</v>
      </c>
      <c r="C3791" s="137">
        <v>113840</v>
      </c>
      <c r="D3791" s="136" t="s">
        <v>15263</v>
      </c>
      <c r="E3791" s="138">
        <v>639.6</v>
      </c>
      <c r="F3791" s="139">
        <v>42884</v>
      </c>
      <c r="G3791" s="140">
        <v>639.6</v>
      </c>
      <c r="H3791" s="138">
        <f t="shared" si="61"/>
        <v>0</v>
      </c>
      <c r="I3791" s="141" t="s">
        <v>15214</v>
      </c>
    </row>
    <row r="3792" spans="1:9" x14ac:dyDescent="0.25">
      <c r="A3792" s="167" t="s">
        <v>19224</v>
      </c>
      <c r="B3792" s="142" t="s">
        <v>19370</v>
      </c>
      <c r="C3792" s="143">
        <v>113841</v>
      </c>
      <c r="D3792" s="142" t="s">
        <v>15460</v>
      </c>
      <c r="E3792" s="144">
        <v>4484</v>
      </c>
      <c r="F3792" s="145">
        <v>42886</v>
      </c>
      <c r="G3792" s="146">
        <v>4484</v>
      </c>
      <c r="H3792" s="138">
        <f t="shared" si="61"/>
        <v>0</v>
      </c>
      <c r="I3792" s="147" t="s">
        <v>15214</v>
      </c>
    </row>
    <row r="3793" spans="1:9" x14ac:dyDescent="0.25">
      <c r="A3793" s="168" t="s">
        <v>19224</v>
      </c>
      <c r="B3793" s="136" t="s">
        <v>19371</v>
      </c>
      <c r="C3793" s="137">
        <v>113842</v>
      </c>
      <c r="D3793" s="136" t="s">
        <v>15448</v>
      </c>
      <c r="E3793" s="138">
        <v>228441.98</v>
      </c>
      <c r="F3793" s="157">
        <v>42889</v>
      </c>
      <c r="G3793" s="158">
        <v>228441.98</v>
      </c>
      <c r="H3793" s="138">
        <f t="shared" si="61"/>
        <v>0</v>
      </c>
      <c r="I3793" s="141" t="s">
        <v>15214</v>
      </c>
    </row>
    <row r="3794" spans="1:9" x14ac:dyDescent="0.25">
      <c r="A3794" s="167" t="s">
        <v>19224</v>
      </c>
      <c r="B3794" s="142" t="s">
        <v>19372</v>
      </c>
      <c r="C3794" s="143">
        <v>113843</v>
      </c>
      <c r="D3794" s="142" t="s">
        <v>15452</v>
      </c>
      <c r="E3794" s="144">
        <v>3052</v>
      </c>
      <c r="F3794" s="145">
        <v>42886</v>
      </c>
      <c r="G3794" s="146">
        <v>3052</v>
      </c>
      <c r="H3794" s="138">
        <f t="shared" si="61"/>
        <v>0</v>
      </c>
      <c r="I3794" s="147" t="s">
        <v>15214</v>
      </c>
    </row>
    <row r="3795" spans="1:9" x14ac:dyDescent="0.25">
      <c r="A3795" s="168" t="s">
        <v>19224</v>
      </c>
      <c r="B3795" s="136" t="s">
        <v>19373</v>
      </c>
      <c r="C3795" s="137">
        <v>113844</v>
      </c>
      <c r="D3795" s="136" t="s">
        <v>15454</v>
      </c>
      <c r="E3795" s="138">
        <v>3159</v>
      </c>
      <c r="F3795" s="139">
        <v>42886</v>
      </c>
      <c r="G3795" s="140">
        <v>3159</v>
      </c>
      <c r="H3795" s="138">
        <f t="shared" si="61"/>
        <v>0</v>
      </c>
      <c r="I3795" s="141" t="s">
        <v>15214</v>
      </c>
    </row>
    <row r="3796" spans="1:9" x14ac:dyDescent="0.25">
      <c r="A3796" s="167" t="s">
        <v>19224</v>
      </c>
      <c r="B3796" s="142" t="s">
        <v>19374</v>
      </c>
      <c r="C3796" s="143">
        <v>113845</v>
      </c>
      <c r="D3796" s="142" t="s">
        <v>15246</v>
      </c>
      <c r="E3796" s="144">
        <v>567.29999999999995</v>
      </c>
      <c r="F3796" s="148">
        <v>42887</v>
      </c>
      <c r="G3796" s="149">
        <v>567.29999999999995</v>
      </c>
      <c r="H3796" s="138">
        <f t="shared" si="61"/>
        <v>0</v>
      </c>
      <c r="I3796" s="147" t="s">
        <v>15214</v>
      </c>
    </row>
    <row r="3797" spans="1:9" x14ac:dyDescent="0.25">
      <c r="A3797" s="168" t="s">
        <v>19224</v>
      </c>
      <c r="B3797" s="136" t="s">
        <v>19375</v>
      </c>
      <c r="C3797" s="137">
        <v>113846</v>
      </c>
      <c r="D3797" s="136" t="s">
        <v>15458</v>
      </c>
      <c r="E3797" s="138">
        <v>13160.8</v>
      </c>
      <c r="F3797" s="139">
        <v>42886</v>
      </c>
      <c r="G3797" s="140">
        <v>13160.8</v>
      </c>
      <c r="H3797" s="138">
        <f t="shared" si="61"/>
        <v>0</v>
      </c>
      <c r="I3797" s="141" t="s">
        <v>15214</v>
      </c>
    </row>
    <row r="3798" spans="1:9" x14ac:dyDescent="0.25">
      <c r="A3798" s="167" t="s">
        <v>19224</v>
      </c>
      <c r="B3798" s="142" t="s">
        <v>19376</v>
      </c>
      <c r="C3798" s="143">
        <v>113847</v>
      </c>
      <c r="D3798" s="142" t="s">
        <v>15450</v>
      </c>
      <c r="E3798" s="144">
        <v>1974</v>
      </c>
      <c r="F3798" s="145">
        <v>42886</v>
      </c>
      <c r="G3798" s="146">
        <v>1974</v>
      </c>
      <c r="H3798" s="138">
        <f t="shared" si="61"/>
        <v>0</v>
      </c>
      <c r="I3798" s="147" t="s">
        <v>15214</v>
      </c>
    </row>
    <row r="3799" spans="1:9" x14ac:dyDescent="0.25">
      <c r="A3799" s="168" t="s">
        <v>19224</v>
      </c>
      <c r="B3799" s="136" t="s">
        <v>19377</v>
      </c>
      <c r="C3799" s="137">
        <v>113848</v>
      </c>
      <c r="D3799" s="136" t="s">
        <v>15642</v>
      </c>
      <c r="E3799" s="138">
        <v>4300.8</v>
      </c>
      <c r="F3799" s="139">
        <v>42884</v>
      </c>
      <c r="G3799" s="140">
        <v>4300.8</v>
      </c>
      <c r="H3799" s="138">
        <f t="shared" si="61"/>
        <v>0</v>
      </c>
      <c r="I3799" s="141" t="s">
        <v>15214</v>
      </c>
    </row>
    <row r="3800" spans="1:9" x14ac:dyDescent="0.25">
      <c r="A3800" s="167" t="s">
        <v>19224</v>
      </c>
      <c r="B3800" s="142" t="s">
        <v>19378</v>
      </c>
      <c r="C3800" s="143">
        <v>113849</v>
      </c>
      <c r="D3800" s="142" t="s">
        <v>15462</v>
      </c>
      <c r="E3800" s="144">
        <v>24060</v>
      </c>
      <c r="F3800" s="145">
        <v>42886</v>
      </c>
      <c r="G3800" s="146">
        <v>24060</v>
      </c>
      <c r="H3800" s="138">
        <f t="shared" si="61"/>
        <v>0</v>
      </c>
      <c r="I3800" s="147" t="s">
        <v>15214</v>
      </c>
    </row>
    <row r="3801" spans="1:9" x14ac:dyDescent="0.25">
      <c r="A3801" s="168" t="s">
        <v>19224</v>
      </c>
      <c r="B3801" s="136" t="s">
        <v>19379</v>
      </c>
      <c r="C3801" s="137">
        <v>113850</v>
      </c>
      <c r="D3801" s="136" t="s">
        <v>19380</v>
      </c>
      <c r="E3801" s="138">
        <v>6369</v>
      </c>
      <c r="F3801" s="139">
        <v>42886</v>
      </c>
      <c r="G3801" s="140">
        <v>6369</v>
      </c>
      <c r="H3801" s="138">
        <f t="shared" si="61"/>
        <v>0</v>
      </c>
      <c r="I3801" s="141" t="s">
        <v>15214</v>
      </c>
    </row>
    <row r="3802" spans="1:9" x14ac:dyDescent="0.25">
      <c r="A3802" s="167" t="s">
        <v>19224</v>
      </c>
      <c r="B3802" s="142" t="s">
        <v>19381</v>
      </c>
      <c r="C3802" s="143">
        <v>113851</v>
      </c>
      <c r="D3802" s="142" t="s">
        <v>15446</v>
      </c>
      <c r="E3802" s="144">
        <v>2038.1</v>
      </c>
      <c r="F3802" s="145">
        <v>42886</v>
      </c>
      <c r="G3802" s="146">
        <v>2038.1</v>
      </c>
      <c r="H3802" s="138">
        <f t="shared" si="61"/>
        <v>0</v>
      </c>
      <c r="I3802" s="147" t="s">
        <v>15214</v>
      </c>
    </row>
    <row r="3803" spans="1:9" x14ac:dyDescent="0.25">
      <c r="A3803" s="168" t="s">
        <v>19224</v>
      </c>
      <c r="B3803" s="136" t="s">
        <v>19382</v>
      </c>
      <c r="C3803" s="137">
        <v>113852</v>
      </c>
      <c r="D3803" s="136" t="s">
        <v>15315</v>
      </c>
      <c r="E3803" s="138">
        <v>780</v>
      </c>
      <c r="F3803" s="139">
        <v>42885</v>
      </c>
      <c r="G3803" s="140">
        <v>780</v>
      </c>
      <c r="H3803" s="138">
        <f t="shared" si="61"/>
        <v>0</v>
      </c>
      <c r="I3803" s="141" t="s">
        <v>15214</v>
      </c>
    </row>
    <row r="3804" spans="1:9" x14ac:dyDescent="0.25">
      <c r="A3804" s="167" t="s">
        <v>19224</v>
      </c>
      <c r="B3804" s="142" t="s">
        <v>19383</v>
      </c>
      <c r="C3804" s="143">
        <v>113853</v>
      </c>
      <c r="D3804" s="142" t="s">
        <v>15246</v>
      </c>
      <c r="E3804" s="144">
        <v>13262.8</v>
      </c>
      <c r="F3804" s="148">
        <v>42887</v>
      </c>
      <c r="G3804" s="149">
        <v>13262.8</v>
      </c>
      <c r="H3804" s="138">
        <f t="shared" si="61"/>
        <v>0</v>
      </c>
      <c r="I3804" s="147" t="s">
        <v>15214</v>
      </c>
    </row>
    <row r="3805" spans="1:9" x14ac:dyDescent="0.25">
      <c r="A3805" s="168" t="s">
        <v>19384</v>
      </c>
      <c r="B3805" s="136" t="s">
        <v>19385</v>
      </c>
      <c r="C3805" s="137">
        <v>113854</v>
      </c>
      <c r="D3805" s="136" t="s">
        <v>15213</v>
      </c>
      <c r="E3805" s="138">
        <v>6053.1</v>
      </c>
      <c r="F3805" s="139">
        <v>42886</v>
      </c>
      <c r="G3805" s="140">
        <v>6053.1</v>
      </c>
      <c r="H3805" s="138">
        <f t="shared" si="61"/>
        <v>0</v>
      </c>
      <c r="I3805" s="141" t="s">
        <v>15214</v>
      </c>
    </row>
    <row r="3806" spans="1:9" ht="15.75" x14ac:dyDescent="0.25">
      <c r="A3806" s="167" t="s">
        <v>19384</v>
      </c>
      <c r="B3806" s="142" t="s">
        <v>19386</v>
      </c>
      <c r="C3806" s="143">
        <v>113855</v>
      </c>
      <c r="D3806" s="142" t="s">
        <v>15330</v>
      </c>
      <c r="E3806" s="144">
        <v>0</v>
      </c>
      <c r="F3806" s="156" t="s">
        <v>95</v>
      </c>
      <c r="G3806" s="144">
        <v>0</v>
      </c>
      <c r="H3806" s="138">
        <f t="shared" si="61"/>
        <v>0</v>
      </c>
      <c r="I3806" s="147" t="s">
        <v>95</v>
      </c>
    </row>
    <row r="3807" spans="1:9" x14ac:dyDescent="0.25">
      <c r="A3807" s="168" t="s">
        <v>19384</v>
      </c>
      <c r="B3807" s="136" t="s">
        <v>19387</v>
      </c>
      <c r="C3807" s="137">
        <v>113856</v>
      </c>
      <c r="D3807" s="136" t="s">
        <v>15330</v>
      </c>
      <c r="E3807" s="138">
        <v>2993.9</v>
      </c>
      <c r="F3807" s="139">
        <v>42885</v>
      </c>
      <c r="G3807" s="140">
        <v>2993.9</v>
      </c>
      <c r="H3807" s="138">
        <f t="shared" si="61"/>
        <v>0</v>
      </c>
      <c r="I3807" s="141" t="s">
        <v>15214</v>
      </c>
    </row>
    <row r="3808" spans="1:9" x14ac:dyDescent="0.25">
      <c r="A3808" s="167" t="s">
        <v>19384</v>
      </c>
      <c r="B3808" s="142" t="s">
        <v>19388</v>
      </c>
      <c r="C3808" s="143">
        <v>113857</v>
      </c>
      <c r="D3808" s="142" t="s">
        <v>15330</v>
      </c>
      <c r="E3808" s="144">
        <v>174</v>
      </c>
      <c r="F3808" s="145">
        <v>42885</v>
      </c>
      <c r="G3808" s="146">
        <v>174</v>
      </c>
      <c r="H3808" s="138">
        <f t="shared" si="61"/>
        <v>0</v>
      </c>
      <c r="I3808" s="147" t="s">
        <v>15214</v>
      </c>
    </row>
    <row r="3809" spans="1:9" x14ac:dyDescent="0.25">
      <c r="A3809" s="168" t="s">
        <v>19384</v>
      </c>
      <c r="B3809" s="136" t="s">
        <v>19389</v>
      </c>
      <c r="C3809" s="137">
        <v>113858</v>
      </c>
      <c r="D3809" s="136" t="s">
        <v>15330</v>
      </c>
      <c r="E3809" s="138">
        <v>5725.6</v>
      </c>
      <c r="F3809" s="139">
        <v>42885</v>
      </c>
      <c r="G3809" s="140">
        <v>5725.6</v>
      </c>
      <c r="H3809" s="138">
        <f t="shared" si="61"/>
        <v>0</v>
      </c>
      <c r="I3809" s="141" t="s">
        <v>15214</v>
      </c>
    </row>
    <row r="3810" spans="1:9" x14ac:dyDescent="0.25">
      <c r="A3810" s="167" t="s">
        <v>19384</v>
      </c>
      <c r="B3810" s="142" t="s">
        <v>19390</v>
      </c>
      <c r="C3810" s="143">
        <v>113859</v>
      </c>
      <c r="D3810" s="142" t="s">
        <v>15213</v>
      </c>
      <c r="E3810" s="144">
        <v>37724.97</v>
      </c>
      <c r="F3810" s="145">
        <v>42885</v>
      </c>
      <c r="G3810" s="146">
        <v>37724.97</v>
      </c>
      <c r="H3810" s="138">
        <f t="shared" si="61"/>
        <v>0</v>
      </c>
      <c r="I3810" s="147" t="s">
        <v>15214</v>
      </c>
    </row>
    <row r="3811" spans="1:9" x14ac:dyDescent="0.25">
      <c r="A3811" s="168" t="s">
        <v>19384</v>
      </c>
      <c r="B3811" s="136" t="s">
        <v>19391</v>
      </c>
      <c r="C3811" s="137">
        <v>113860</v>
      </c>
      <c r="D3811" s="136" t="s">
        <v>15553</v>
      </c>
      <c r="E3811" s="138">
        <v>31353</v>
      </c>
      <c r="F3811" s="139">
        <v>42885</v>
      </c>
      <c r="G3811" s="140">
        <v>31353</v>
      </c>
      <c r="H3811" s="138">
        <f t="shared" si="61"/>
        <v>0</v>
      </c>
      <c r="I3811" s="141" t="s">
        <v>15214</v>
      </c>
    </row>
    <row r="3812" spans="1:9" x14ac:dyDescent="0.25">
      <c r="A3812" s="167" t="s">
        <v>19384</v>
      </c>
      <c r="B3812" s="142" t="s">
        <v>19392</v>
      </c>
      <c r="C3812" s="143">
        <v>113861</v>
      </c>
      <c r="D3812" s="142" t="s">
        <v>18544</v>
      </c>
      <c r="E3812" s="144">
        <v>7686.6</v>
      </c>
      <c r="F3812" s="145">
        <v>42885</v>
      </c>
      <c r="G3812" s="146">
        <v>7686.6</v>
      </c>
      <c r="H3812" s="138">
        <f t="shared" si="61"/>
        <v>0</v>
      </c>
      <c r="I3812" s="147" t="s">
        <v>15214</v>
      </c>
    </row>
    <row r="3813" spans="1:9" x14ac:dyDescent="0.25">
      <c r="A3813" s="168" t="s">
        <v>19384</v>
      </c>
      <c r="B3813" s="136" t="s">
        <v>19393</v>
      </c>
      <c r="C3813" s="137">
        <v>113862</v>
      </c>
      <c r="D3813" s="136" t="s">
        <v>15230</v>
      </c>
      <c r="E3813" s="138">
        <v>9455.6</v>
      </c>
      <c r="F3813" s="157">
        <v>42887</v>
      </c>
      <c r="G3813" s="158">
        <v>9455.6</v>
      </c>
      <c r="H3813" s="138">
        <f t="shared" si="61"/>
        <v>0</v>
      </c>
      <c r="I3813" s="141" t="s">
        <v>15214</v>
      </c>
    </row>
    <row r="3814" spans="1:9" x14ac:dyDescent="0.25">
      <c r="A3814" s="167" t="s">
        <v>19384</v>
      </c>
      <c r="B3814" s="142" t="s">
        <v>19394</v>
      </c>
      <c r="C3814" s="143">
        <v>113863</v>
      </c>
      <c r="D3814" s="142" t="s">
        <v>15272</v>
      </c>
      <c r="E3814" s="144">
        <v>15398.5</v>
      </c>
      <c r="F3814" s="145">
        <v>42885</v>
      </c>
      <c r="G3814" s="146">
        <v>15398.5</v>
      </c>
      <c r="H3814" s="138">
        <f t="shared" si="61"/>
        <v>0</v>
      </c>
      <c r="I3814" s="147" t="s">
        <v>15214</v>
      </c>
    </row>
    <row r="3815" spans="1:9" x14ac:dyDescent="0.25">
      <c r="A3815" s="168" t="s">
        <v>19384</v>
      </c>
      <c r="B3815" s="136" t="s">
        <v>19395</v>
      </c>
      <c r="C3815" s="137">
        <v>113864</v>
      </c>
      <c r="D3815" s="136" t="s">
        <v>15263</v>
      </c>
      <c r="E3815" s="138">
        <v>3480.6</v>
      </c>
      <c r="F3815" s="139">
        <v>42885</v>
      </c>
      <c r="G3815" s="140">
        <v>3480.6</v>
      </c>
      <c r="H3815" s="138">
        <f t="shared" si="61"/>
        <v>0</v>
      </c>
      <c r="I3815" s="141" t="s">
        <v>15214</v>
      </c>
    </row>
    <row r="3816" spans="1:9" x14ac:dyDescent="0.25">
      <c r="A3816" s="167" t="s">
        <v>19384</v>
      </c>
      <c r="B3816" s="142" t="s">
        <v>19396</v>
      </c>
      <c r="C3816" s="143">
        <v>113865</v>
      </c>
      <c r="D3816" s="142" t="s">
        <v>15232</v>
      </c>
      <c r="E3816" s="144">
        <v>6745.2</v>
      </c>
      <c r="F3816" s="148">
        <v>42894</v>
      </c>
      <c r="G3816" s="149">
        <v>6745.2</v>
      </c>
      <c r="H3816" s="138">
        <f t="shared" si="61"/>
        <v>0</v>
      </c>
      <c r="I3816" s="147" t="s">
        <v>15214</v>
      </c>
    </row>
    <row r="3817" spans="1:9" x14ac:dyDescent="0.25">
      <c r="A3817" s="168" t="s">
        <v>19384</v>
      </c>
      <c r="B3817" s="136" t="s">
        <v>19397</v>
      </c>
      <c r="C3817" s="137">
        <v>113866</v>
      </c>
      <c r="D3817" s="136" t="s">
        <v>15328</v>
      </c>
      <c r="E3817" s="138">
        <v>63581</v>
      </c>
      <c r="F3817" s="139">
        <v>42902</v>
      </c>
      <c r="G3817" s="140">
        <v>63581</v>
      </c>
      <c r="H3817" s="138">
        <f t="shared" si="61"/>
        <v>0</v>
      </c>
      <c r="I3817" s="141" t="s">
        <v>15214</v>
      </c>
    </row>
    <row r="3818" spans="1:9" x14ac:dyDescent="0.25">
      <c r="A3818" s="167" t="s">
        <v>19384</v>
      </c>
      <c r="B3818" s="142" t="s">
        <v>19398</v>
      </c>
      <c r="C3818" s="143">
        <v>113867</v>
      </c>
      <c r="D3818" s="142" t="s">
        <v>15226</v>
      </c>
      <c r="E3818" s="144">
        <v>1363</v>
      </c>
      <c r="F3818" s="145">
        <v>42886</v>
      </c>
      <c r="G3818" s="146">
        <v>1363</v>
      </c>
      <c r="H3818" s="138">
        <f t="shared" si="61"/>
        <v>0</v>
      </c>
      <c r="I3818" s="147" t="s">
        <v>15214</v>
      </c>
    </row>
    <row r="3819" spans="1:9" x14ac:dyDescent="0.25">
      <c r="A3819" s="168" t="s">
        <v>19384</v>
      </c>
      <c r="B3819" s="136" t="s">
        <v>19399</v>
      </c>
      <c r="C3819" s="137">
        <v>113868</v>
      </c>
      <c r="D3819" s="136" t="s">
        <v>15240</v>
      </c>
      <c r="E3819" s="138">
        <v>3276</v>
      </c>
      <c r="F3819" s="139">
        <v>42886</v>
      </c>
      <c r="G3819" s="140">
        <v>3276</v>
      </c>
      <c r="H3819" s="138">
        <f t="shared" si="61"/>
        <v>0</v>
      </c>
      <c r="I3819" s="141" t="s">
        <v>15214</v>
      </c>
    </row>
    <row r="3820" spans="1:9" x14ac:dyDescent="0.25">
      <c r="A3820" s="167" t="s">
        <v>19384</v>
      </c>
      <c r="B3820" s="142" t="s">
        <v>19400</v>
      </c>
      <c r="C3820" s="143">
        <v>113869</v>
      </c>
      <c r="D3820" s="142" t="s">
        <v>15258</v>
      </c>
      <c r="E3820" s="144">
        <v>13414</v>
      </c>
      <c r="F3820" s="148">
        <v>42887</v>
      </c>
      <c r="G3820" s="149">
        <v>13414</v>
      </c>
      <c r="H3820" s="138">
        <f t="shared" si="61"/>
        <v>0</v>
      </c>
      <c r="I3820" s="147" t="s">
        <v>15214</v>
      </c>
    </row>
    <row r="3821" spans="1:9" x14ac:dyDescent="0.25">
      <c r="A3821" s="168" t="s">
        <v>19384</v>
      </c>
      <c r="B3821" s="136" t="s">
        <v>19401</v>
      </c>
      <c r="C3821" s="137">
        <v>113870</v>
      </c>
      <c r="D3821" s="136" t="s">
        <v>15250</v>
      </c>
      <c r="E3821" s="138">
        <v>66854.899999999994</v>
      </c>
      <c r="F3821" s="139">
        <v>42902</v>
      </c>
      <c r="G3821" s="140">
        <v>66854.899999999994</v>
      </c>
      <c r="H3821" s="138">
        <f t="shared" si="61"/>
        <v>0</v>
      </c>
      <c r="I3821" s="141" t="s">
        <v>15214</v>
      </c>
    </row>
    <row r="3822" spans="1:9" x14ac:dyDescent="0.25">
      <c r="A3822" s="167" t="s">
        <v>19384</v>
      </c>
      <c r="B3822" s="142" t="s">
        <v>19402</v>
      </c>
      <c r="C3822" s="143">
        <v>113871</v>
      </c>
      <c r="D3822" s="142" t="s">
        <v>15668</v>
      </c>
      <c r="E3822" s="144">
        <v>8994.6</v>
      </c>
      <c r="F3822" s="148">
        <v>42887</v>
      </c>
      <c r="G3822" s="149">
        <v>8994.6</v>
      </c>
      <c r="H3822" s="138">
        <f t="shared" si="61"/>
        <v>0</v>
      </c>
      <c r="I3822" s="147" t="s">
        <v>15214</v>
      </c>
    </row>
    <row r="3823" spans="1:9" x14ac:dyDescent="0.25">
      <c r="A3823" s="168" t="s">
        <v>19384</v>
      </c>
      <c r="B3823" s="136" t="s">
        <v>19403</v>
      </c>
      <c r="C3823" s="137">
        <v>113872</v>
      </c>
      <c r="D3823" s="136" t="s">
        <v>15480</v>
      </c>
      <c r="E3823" s="138">
        <v>3172.6</v>
      </c>
      <c r="F3823" s="157" t="s">
        <v>19650</v>
      </c>
      <c r="G3823" s="158">
        <f>2400+772.6</f>
        <v>3172.6</v>
      </c>
      <c r="H3823" s="138">
        <f t="shared" si="61"/>
        <v>0</v>
      </c>
      <c r="I3823" s="141" t="s">
        <v>15214</v>
      </c>
    </row>
    <row r="3824" spans="1:9" x14ac:dyDescent="0.25">
      <c r="A3824" s="167" t="s">
        <v>19384</v>
      </c>
      <c r="B3824" s="142" t="s">
        <v>19404</v>
      </c>
      <c r="C3824" s="143">
        <v>113873</v>
      </c>
      <c r="D3824" s="142" t="s">
        <v>15236</v>
      </c>
      <c r="E3824" s="144">
        <v>2941.2</v>
      </c>
      <c r="F3824" s="145">
        <v>42886</v>
      </c>
      <c r="G3824" s="146">
        <v>2941.2</v>
      </c>
      <c r="H3824" s="138">
        <f t="shared" si="61"/>
        <v>0</v>
      </c>
      <c r="I3824" s="147" t="s">
        <v>15214</v>
      </c>
    </row>
    <row r="3825" spans="1:9" x14ac:dyDescent="0.25">
      <c r="A3825" s="168" t="s">
        <v>19384</v>
      </c>
      <c r="B3825" s="136" t="s">
        <v>19405</v>
      </c>
      <c r="C3825" s="137">
        <v>113874</v>
      </c>
      <c r="D3825" s="136" t="s">
        <v>15348</v>
      </c>
      <c r="E3825" s="138">
        <v>686.2</v>
      </c>
      <c r="F3825" s="139">
        <v>42886</v>
      </c>
      <c r="G3825" s="140">
        <v>686.2</v>
      </c>
      <c r="H3825" s="138">
        <f t="shared" si="61"/>
        <v>0</v>
      </c>
      <c r="I3825" s="141" t="s">
        <v>15214</v>
      </c>
    </row>
    <row r="3826" spans="1:9" x14ac:dyDescent="0.25">
      <c r="A3826" s="167" t="s">
        <v>19384</v>
      </c>
      <c r="B3826" s="142" t="s">
        <v>19406</v>
      </c>
      <c r="C3826" s="143">
        <v>113875</v>
      </c>
      <c r="D3826" s="142" t="s">
        <v>15475</v>
      </c>
      <c r="E3826" s="144">
        <v>414.4</v>
      </c>
      <c r="F3826" s="145">
        <v>42885</v>
      </c>
      <c r="G3826" s="146">
        <v>414.4</v>
      </c>
      <c r="H3826" s="138">
        <f t="shared" si="61"/>
        <v>0</v>
      </c>
      <c r="I3826" s="147" t="s">
        <v>15214</v>
      </c>
    </row>
    <row r="3827" spans="1:9" x14ac:dyDescent="0.25">
      <c r="A3827" s="168" t="s">
        <v>19384</v>
      </c>
      <c r="B3827" s="136" t="s">
        <v>19407</v>
      </c>
      <c r="C3827" s="137">
        <v>113876</v>
      </c>
      <c r="D3827" s="136" t="s">
        <v>15252</v>
      </c>
      <c r="E3827" s="138">
        <v>3549.7</v>
      </c>
      <c r="F3827" s="139">
        <v>42886</v>
      </c>
      <c r="G3827" s="140">
        <v>3549.7</v>
      </c>
      <c r="H3827" s="138">
        <f t="shared" si="61"/>
        <v>0</v>
      </c>
      <c r="I3827" s="141" t="s">
        <v>15214</v>
      </c>
    </row>
    <row r="3828" spans="1:9" x14ac:dyDescent="0.25">
      <c r="A3828" s="167" t="s">
        <v>19384</v>
      </c>
      <c r="B3828" s="142" t="s">
        <v>19408</v>
      </c>
      <c r="C3828" s="143">
        <v>113877</v>
      </c>
      <c r="D3828" s="142" t="s">
        <v>15244</v>
      </c>
      <c r="E3828" s="144">
        <v>12353.2</v>
      </c>
      <c r="F3828" s="148">
        <v>42888</v>
      </c>
      <c r="G3828" s="149">
        <v>12353.2</v>
      </c>
      <c r="H3828" s="138">
        <f t="shared" si="61"/>
        <v>0</v>
      </c>
      <c r="I3828" s="147" t="s">
        <v>15214</v>
      </c>
    </row>
    <row r="3829" spans="1:9" x14ac:dyDescent="0.25">
      <c r="A3829" s="168" t="s">
        <v>19384</v>
      </c>
      <c r="B3829" s="136" t="s">
        <v>19409</v>
      </c>
      <c r="C3829" s="137">
        <v>113878</v>
      </c>
      <c r="D3829" s="136" t="s">
        <v>15242</v>
      </c>
      <c r="E3829" s="138">
        <v>8905.6</v>
      </c>
      <c r="F3829" s="139">
        <v>42885</v>
      </c>
      <c r="G3829" s="140">
        <v>8905.6</v>
      </c>
      <c r="H3829" s="138">
        <f t="shared" si="61"/>
        <v>0</v>
      </c>
      <c r="I3829" s="141" t="s">
        <v>15214</v>
      </c>
    </row>
    <row r="3830" spans="1:9" x14ac:dyDescent="0.25">
      <c r="A3830" s="167" t="s">
        <v>19384</v>
      </c>
      <c r="B3830" s="142" t="s">
        <v>19410</v>
      </c>
      <c r="C3830" s="143">
        <v>113879</v>
      </c>
      <c r="D3830" s="142" t="s">
        <v>17277</v>
      </c>
      <c r="E3830" s="144">
        <v>2001.7</v>
      </c>
      <c r="F3830" s="145">
        <v>42885</v>
      </c>
      <c r="G3830" s="146">
        <v>2001.7</v>
      </c>
      <c r="H3830" s="138">
        <f t="shared" si="61"/>
        <v>0</v>
      </c>
      <c r="I3830" s="147" t="s">
        <v>15214</v>
      </c>
    </row>
    <row r="3831" spans="1:9" x14ac:dyDescent="0.25">
      <c r="A3831" s="168" t="s">
        <v>19384</v>
      </c>
      <c r="B3831" s="136" t="s">
        <v>19411</v>
      </c>
      <c r="C3831" s="137">
        <v>113880</v>
      </c>
      <c r="D3831" s="136" t="s">
        <v>15234</v>
      </c>
      <c r="E3831" s="138">
        <v>3372.7</v>
      </c>
      <c r="F3831" s="157">
        <v>42889</v>
      </c>
      <c r="G3831" s="158">
        <v>3372.7</v>
      </c>
      <c r="H3831" s="138">
        <f t="shared" si="61"/>
        <v>0</v>
      </c>
      <c r="I3831" s="141" t="s">
        <v>15214</v>
      </c>
    </row>
    <row r="3832" spans="1:9" x14ac:dyDescent="0.25">
      <c r="A3832" s="167" t="s">
        <v>19384</v>
      </c>
      <c r="B3832" s="142" t="s">
        <v>19412</v>
      </c>
      <c r="C3832" s="143">
        <v>113881</v>
      </c>
      <c r="D3832" s="142" t="s">
        <v>15238</v>
      </c>
      <c r="E3832" s="144">
        <v>5000</v>
      </c>
      <c r="F3832" s="148">
        <v>42888</v>
      </c>
      <c r="G3832" s="149">
        <v>5000</v>
      </c>
      <c r="H3832" s="138">
        <f t="shared" si="61"/>
        <v>0</v>
      </c>
      <c r="I3832" s="147" t="s">
        <v>15214</v>
      </c>
    </row>
    <row r="3833" spans="1:9" x14ac:dyDescent="0.25">
      <c r="A3833" s="168" t="s">
        <v>19384</v>
      </c>
      <c r="B3833" s="136" t="s">
        <v>19413</v>
      </c>
      <c r="C3833" s="137">
        <v>113882</v>
      </c>
      <c r="D3833" s="136" t="s">
        <v>15289</v>
      </c>
      <c r="E3833" s="138">
        <v>562.6</v>
      </c>
      <c r="F3833" s="139">
        <v>42885</v>
      </c>
      <c r="G3833" s="140">
        <v>562.6</v>
      </c>
      <c r="H3833" s="138">
        <f t="shared" si="61"/>
        <v>0</v>
      </c>
      <c r="I3833" s="141" t="s">
        <v>15214</v>
      </c>
    </row>
    <row r="3834" spans="1:9" x14ac:dyDescent="0.25">
      <c r="A3834" s="167" t="s">
        <v>19384</v>
      </c>
      <c r="B3834" s="142" t="s">
        <v>19414</v>
      </c>
      <c r="C3834" s="143">
        <v>113883</v>
      </c>
      <c r="D3834" s="142" t="s">
        <v>15220</v>
      </c>
      <c r="E3834" s="144">
        <v>2400</v>
      </c>
      <c r="F3834" s="145">
        <v>42885</v>
      </c>
      <c r="G3834" s="146">
        <v>2400</v>
      </c>
      <c r="H3834" s="138">
        <f t="shared" si="61"/>
        <v>0</v>
      </c>
      <c r="I3834" s="147" t="s">
        <v>15214</v>
      </c>
    </row>
    <row r="3835" spans="1:9" x14ac:dyDescent="0.25">
      <c r="A3835" s="168" t="s">
        <v>19384</v>
      </c>
      <c r="B3835" s="136" t="s">
        <v>19415</v>
      </c>
      <c r="C3835" s="137">
        <v>113884</v>
      </c>
      <c r="D3835" s="136" t="s">
        <v>19302</v>
      </c>
      <c r="E3835" s="138">
        <v>960</v>
      </c>
      <c r="F3835" s="139">
        <v>42885</v>
      </c>
      <c r="G3835" s="140">
        <v>960</v>
      </c>
      <c r="H3835" s="138">
        <f t="shared" si="61"/>
        <v>0</v>
      </c>
      <c r="I3835" s="141" t="s">
        <v>15214</v>
      </c>
    </row>
    <row r="3836" spans="1:9" x14ac:dyDescent="0.25">
      <c r="A3836" s="167" t="s">
        <v>19384</v>
      </c>
      <c r="B3836" s="142" t="s">
        <v>19416</v>
      </c>
      <c r="C3836" s="143">
        <v>113885</v>
      </c>
      <c r="D3836" s="142" t="s">
        <v>15284</v>
      </c>
      <c r="E3836" s="144">
        <v>3119.7</v>
      </c>
      <c r="F3836" s="145">
        <v>42885</v>
      </c>
      <c r="G3836" s="146">
        <v>3119.7</v>
      </c>
      <c r="H3836" s="138">
        <f t="shared" si="61"/>
        <v>0</v>
      </c>
      <c r="I3836" s="147" t="s">
        <v>15214</v>
      </c>
    </row>
    <row r="3837" spans="1:9" x14ac:dyDescent="0.25">
      <c r="A3837" s="168" t="s">
        <v>19384</v>
      </c>
      <c r="B3837" s="136" t="s">
        <v>19417</v>
      </c>
      <c r="C3837" s="137">
        <v>113886</v>
      </c>
      <c r="D3837" s="136" t="s">
        <v>15365</v>
      </c>
      <c r="E3837" s="138">
        <v>9685</v>
      </c>
      <c r="F3837" s="157">
        <v>42888</v>
      </c>
      <c r="G3837" s="158">
        <v>9685</v>
      </c>
      <c r="H3837" s="138">
        <f t="shared" si="61"/>
        <v>0</v>
      </c>
      <c r="I3837" s="141" t="s">
        <v>15214</v>
      </c>
    </row>
    <row r="3838" spans="1:9" x14ac:dyDescent="0.25">
      <c r="A3838" s="167" t="s">
        <v>19384</v>
      </c>
      <c r="B3838" s="142" t="s">
        <v>19418</v>
      </c>
      <c r="C3838" s="143">
        <v>113887</v>
      </c>
      <c r="D3838" s="142" t="s">
        <v>15261</v>
      </c>
      <c r="E3838" s="144">
        <v>17074.32</v>
      </c>
      <c r="F3838" s="145">
        <v>42886</v>
      </c>
      <c r="G3838" s="146">
        <v>17074.32</v>
      </c>
      <c r="H3838" s="138">
        <f t="shared" si="61"/>
        <v>0</v>
      </c>
      <c r="I3838" s="147" t="s">
        <v>15214</v>
      </c>
    </row>
    <row r="3839" spans="1:9" x14ac:dyDescent="0.25">
      <c r="A3839" s="168" t="s">
        <v>19384</v>
      </c>
      <c r="B3839" s="136" t="s">
        <v>19419</v>
      </c>
      <c r="C3839" s="137">
        <v>113888</v>
      </c>
      <c r="D3839" s="136" t="s">
        <v>15404</v>
      </c>
      <c r="E3839" s="138">
        <v>10279</v>
      </c>
      <c r="F3839" s="139">
        <v>42885</v>
      </c>
      <c r="G3839" s="140">
        <v>10279</v>
      </c>
      <c r="H3839" s="138">
        <f t="shared" si="61"/>
        <v>0</v>
      </c>
      <c r="I3839" s="141" t="s">
        <v>15214</v>
      </c>
    </row>
    <row r="3840" spans="1:9" x14ac:dyDescent="0.25">
      <c r="A3840" s="167" t="s">
        <v>19384</v>
      </c>
      <c r="B3840" s="142" t="s">
        <v>19420</v>
      </c>
      <c r="C3840" s="143">
        <v>113889</v>
      </c>
      <c r="D3840" s="142" t="s">
        <v>15248</v>
      </c>
      <c r="E3840" s="144">
        <v>20867.7</v>
      </c>
      <c r="F3840" s="145">
        <v>42886</v>
      </c>
      <c r="G3840" s="146">
        <v>20867.7</v>
      </c>
      <c r="H3840" s="138">
        <f t="shared" si="61"/>
        <v>0</v>
      </c>
      <c r="I3840" s="147" t="s">
        <v>15214</v>
      </c>
    </row>
    <row r="3841" spans="1:9" x14ac:dyDescent="0.25">
      <c r="A3841" s="168" t="s">
        <v>19384</v>
      </c>
      <c r="B3841" s="136" t="s">
        <v>19421</v>
      </c>
      <c r="C3841" s="137">
        <v>113890</v>
      </c>
      <c r="D3841" s="136" t="s">
        <v>15280</v>
      </c>
      <c r="E3841" s="138">
        <v>5125.3</v>
      </c>
      <c r="F3841" s="139">
        <v>42885</v>
      </c>
      <c r="G3841" s="140">
        <v>5125.3</v>
      </c>
      <c r="H3841" s="138">
        <f t="shared" si="61"/>
        <v>0</v>
      </c>
      <c r="I3841" s="141" t="s">
        <v>15214</v>
      </c>
    </row>
    <row r="3842" spans="1:9" x14ac:dyDescent="0.25">
      <c r="A3842" s="167" t="s">
        <v>19384</v>
      </c>
      <c r="B3842" s="142" t="s">
        <v>19422</v>
      </c>
      <c r="C3842" s="143">
        <v>113891</v>
      </c>
      <c r="D3842" s="142" t="s">
        <v>15223</v>
      </c>
      <c r="E3842" s="144">
        <v>44986.6</v>
      </c>
      <c r="F3842" s="145">
        <v>42901</v>
      </c>
      <c r="G3842" s="146">
        <v>44986.6</v>
      </c>
      <c r="H3842" s="138">
        <f t="shared" si="61"/>
        <v>0</v>
      </c>
      <c r="I3842" s="147" t="s">
        <v>15214</v>
      </c>
    </row>
    <row r="3843" spans="1:9" x14ac:dyDescent="0.25">
      <c r="A3843" s="168" t="s">
        <v>19384</v>
      </c>
      <c r="B3843" s="136" t="s">
        <v>19423</v>
      </c>
      <c r="C3843" s="137">
        <v>113892</v>
      </c>
      <c r="D3843" s="136" t="s">
        <v>15562</v>
      </c>
      <c r="E3843" s="138">
        <v>5835.7</v>
      </c>
      <c r="F3843" s="139">
        <v>42885</v>
      </c>
      <c r="G3843" s="140">
        <v>5835.7</v>
      </c>
      <c r="H3843" s="138">
        <f t="shared" si="61"/>
        <v>0</v>
      </c>
      <c r="I3843" s="141" t="s">
        <v>15214</v>
      </c>
    </row>
    <row r="3844" spans="1:9" x14ac:dyDescent="0.25">
      <c r="A3844" s="167" t="s">
        <v>19384</v>
      </c>
      <c r="B3844" s="142" t="s">
        <v>19424</v>
      </c>
      <c r="C3844" s="143">
        <v>113893</v>
      </c>
      <c r="D3844" s="142" t="s">
        <v>15541</v>
      </c>
      <c r="E3844" s="144">
        <v>823.4</v>
      </c>
      <c r="F3844" s="148">
        <v>42887</v>
      </c>
      <c r="G3844" s="149">
        <v>823.4</v>
      </c>
      <c r="H3844" s="138">
        <f t="shared" si="61"/>
        <v>0</v>
      </c>
      <c r="I3844" s="147" t="s">
        <v>15214</v>
      </c>
    </row>
    <row r="3845" spans="1:9" x14ac:dyDescent="0.25">
      <c r="A3845" s="168" t="s">
        <v>19384</v>
      </c>
      <c r="B3845" s="136" t="s">
        <v>19425</v>
      </c>
      <c r="C3845" s="137">
        <v>113894</v>
      </c>
      <c r="D3845" s="136" t="s">
        <v>15324</v>
      </c>
      <c r="E3845" s="138">
        <v>1713</v>
      </c>
      <c r="F3845" s="157">
        <v>42887</v>
      </c>
      <c r="G3845" s="158">
        <v>1713</v>
      </c>
      <c r="H3845" s="138">
        <f t="shared" si="61"/>
        <v>0</v>
      </c>
      <c r="I3845" s="141" t="s">
        <v>15214</v>
      </c>
    </row>
    <row r="3846" spans="1:9" x14ac:dyDescent="0.25">
      <c r="A3846" s="167" t="s">
        <v>19384</v>
      </c>
      <c r="B3846" s="142" t="s">
        <v>19426</v>
      </c>
      <c r="C3846" s="143">
        <v>113895</v>
      </c>
      <c r="D3846" s="142" t="s">
        <v>15371</v>
      </c>
      <c r="E3846" s="144">
        <v>1022</v>
      </c>
      <c r="F3846" s="145">
        <v>42885</v>
      </c>
      <c r="G3846" s="146">
        <v>1022</v>
      </c>
      <c r="H3846" s="138">
        <f t="shared" si="61"/>
        <v>0</v>
      </c>
      <c r="I3846" s="147" t="s">
        <v>15214</v>
      </c>
    </row>
    <row r="3847" spans="1:9" x14ac:dyDescent="0.25">
      <c r="A3847" s="168" t="s">
        <v>19384</v>
      </c>
      <c r="B3847" s="136" t="s">
        <v>19427</v>
      </c>
      <c r="C3847" s="137">
        <v>113896</v>
      </c>
      <c r="D3847" s="136" t="s">
        <v>15246</v>
      </c>
      <c r="E3847" s="138">
        <v>8234.4</v>
      </c>
      <c r="F3847" s="157">
        <v>42887</v>
      </c>
      <c r="G3847" s="158">
        <v>8234.4</v>
      </c>
      <c r="H3847" s="138">
        <f t="shared" ref="H3847:H3910" si="62">E3847-G3847</f>
        <v>0</v>
      </c>
      <c r="I3847" s="141" t="s">
        <v>15214</v>
      </c>
    </row>
    <row r="3848" spans="1:9" x14ac:dyDescent="0.25">
      <c r="A3848" s="167" t="s">
        <v>19384</v>
      </c>
      <c r="B3848" s="142" t="s">
        <v>19428</v>
      </c>
      <c r="C3848" s="143">
        <v>113897</v>
      </c>
      <c r="D3848" s="142" t="s">
        <v>15294</v>
      </c>
      <c r="E3848" s="144">
        <v>988.68</v>
      </c>
      <c r="F3848" s="145">
        <v>42885</v>
      </c>
      <c r="G3848" s="146">
        <v>988.68</v>
      </c>
      <c r="H3848" s="138">
        <f t="shared" si="62"/>
        <v>0</v>
      </c>
      <c r="I3848" s="147" t="s">
        <v>15214</v>
      </c>
    </row>
    <row r="3849" spans="1:9" x14ac:dyDescent="0.25">
      <c r="A3849" s="168" t="s">
        <v>19384</v>
      </c>
      <c r="B3849" s="136" t="s">
        <v>19429</v>
      </c>
      <c r="C3849" s="137">
        <v>113898</v>
      </c>
      <c r="D3849" s="136" t="s">
        <v>15706</v>
      </c>
      <c r="E3849" s="138">
        <v>1466</v>
      </c>
      <c r="F3849" s="139">
        <v>42885</v>
      </c>
      <c r="G3849" s="140">
        <v>1466</v>
      </c>
      <c r="H3849" s="138">
        <f t="shared" si="62"/>
        <v>0</v>
      </c>
      <c r="I3849" s="141" t="s">
        <v>15214</v>
      </c>
    </row>
    <row r="3850" spans="1:9" x14ac:dyDescent="0.25">
      <c r="A3850" s="167" t="s">
        <v>19384</v>
      </c>
      <c r="B3850" s="142" t="s">
        <v>19430</v>
      </c>
      <c r="C3850" s="143">
        <v>113899</v>
      </c>
      <c r="D3850" s="142" t="s">
        <v>15315</v>
      </c>
      <c r="E3850" s="144">
        <v>2632.5</v>
      </c>
      <c r="F3850" s="145">
        <v>42886</v>
      </c>
      <c r="G3850" s="146">
        <v>2632.5</v>
      </c>
      <c r="H3850" s="138">
        <f t="shared" si="62"/>
        <v>0</v>
      </c>
      <c r="I3850" s="147" t="s">
        <v>15214</v>
      </c>
    </row>
    <row r="3851" spans="1:9" x14ac:dyDescent="0.25">
      <c r="A3851" s="168" t="s">
        <v>19384</v>
      </c>
      <c r="B3851" s="136" t="s">
        <v>19431</v>
      </c>
      <c r="C3851" s="137">
        <v>113900</v>
      </c>
      <c r="D3851" s="136" t="s">
        <v>15315</v>
      </c>
      <c r="E3851" s="138">
        <v>3178.5</v>
      </c>
      <c r="F3851" s="139">
        <v>42886</v>
      </c>
      <c r="G3851" s="140">
        <v>3178.5</v>
      </c>
      <c r="H3851" s="138">
        <f t="shared" si="62"/>
        <v>0</v>
      </c>
      <c r="I3851" s="141" t="s">
        <v>15214</v>
      </c>
    </row>
    <row r="3852" spans="1:9" x14ac:dyDescent="0.25">
      <c r="A3852" s="167" t="s">
        <v>19384</v>
      </c>
      <c r="B3852" s="142" t="s">
        <v>19432</v>
      </c>
      <c r="C3852" s="143">
        <v>113901</v>
      </c>
      <c r="D3852" s="142" t="s">
        <v>15699</v>
      </c>
      <c r="E3852" s="144">
        <v>3287</v>
      </c>
      <c r="F3852" s="148">
        <v>42893</v>
      </c>
      <c r="G3852" s="149">
        <v>3287</v>
      </c>
      <c r="H3852" s="138">
        <f t="shared" si="62"/>
        <v>0</v>
      </c>
      <c r="I3852" s="147" t="s">
        <v>15214</v>
      </c>
    </row>
    <row r="3853" spans="1:9" x14ac:dyDescent="0.25">
      <c r="A3853" s="168" t="s">
        <v>19384</v>
      </c>
      <c r="B3853" s="136" t="s">
        <v>19433</v>
      </c>
      <c r="C3853" s="137">
        <v>113902</v>
      </c>
      <c r="D3853" s="136" t="s">
        <v>17950</v>
      </c>
      <c r="E3853" s="138">
        <v>4345.8</v>
      </c>
      <c r="F3853" s="139">
        <v>42885</v>
      </c>
      <c r="G3853" s="140">
        <v>4345.8</v>
      </c>
      <c r="H3853" s="138">
        <f t="shared" si="62"/>
        <v>0</v>
      </c>
      <c r="I3853" s="141" t="s">
        <v>15214</v>
      </c>
    </row>
    <row r="3854" spans="1:9" x14ac:dyDescent="0.25">
      <c r="A3854" s="167" t="s">
        <v>19384</v>
      </c>
      <c r="B3854" s="142" t="s">
        <v>19434</v>
      </c>
      <c r="C3854" s="143">
        <v>113903</v>
      </c>
      <c r="D3854" s="142" t="s">
        <v>5873</v>
      </c>
      <c r="E3854" s="144">
        <v>34895.86</v>
      </c>
      <c r="F3854" s="145">
        <v>42885</v>
      </c>
      <c r="G3854" s="146">
        <v>34895.86</v>
      </c>
      <c r="H3854" s="138">
        <f t="shared" si="62"/>
        <v>0</v>
      </c>
      <c r="I3854" s="147" t="s">
        <v>15214</v>
      </c>
    </row>
    <row r="3855" spans="1:9" x14ac:dyDescent="0.25">
      <c r="A3855" s="168" t="s">
        <v>19384</v>
      </c>
      <c r="B3855" s="136" t="s">
        <v>19435</v>
      </c>
      <c r="C3855" s="137">
        <v>113904</v>
      </c>
      <c r="D3855" s="136" t="s">
        <v>15539</v>
      </c>
      <c r="E3855" s="138">
        <v>15971.4</v>
      </c>
      <c r="F3855" s="157">
        <v>42888</v>
      </c>
      <c r="G3855" s="158">
        <v>15971.4</v>
      </c>
      <c r="H3855" s="138">
        <f t="shared" si="62"/>
        <v>0</v>
      </c>
      <c r="I3855" s="141" t="s">
        <v>15214</v>
      </c>
    </row>
    <row r="3856" spans="1:9" x14ac:dyDescent="0.25">
      <c r="A3856" s="167" t="s">
        <v>19384</v>
      </c>
      <c r="B3856" s="142" t="s">
        <v>19436</v>
      </c>
      <c r="C3856" s="143">
        <v>113905</v>
      </c>
      <c r="D3856" s="142" t="s">
        <v>15415</v>
      </c>
      <c r="E3856" s="144">
        <v>3262.6</v>
      </c>
      <c r="F3856" s="148">
        <v>42888</v>
      </c>
      <c r="G3856" s="149">
        <v>3262.6</v>
      </c>
      <c r="H3856" s="138">
        <f t="shared" si="62"/>
        <v>0</v>
      </c>
      <c r="I3856" s="147" t="s">
        <v>15214</v>
      </c>
    </row>
    <row r="3857" spans="1:9" x14ac:dyDescent="0.25">
      <c r="A3857" s="168" t="s">
        <v>19384</v>
      </c>
      <c r="B3857" s="136" t="s">
        <v>19437</v>
      </c>
      <c r="C3857" s="137">
        <v>113906</v>
      </c>
      <c r="D3857" s="136" t="s">
        <v>15555</v>
      </c>
      <c r="E3857" s="138">
        <v>2533.6</v>
      </c>
      <c r="F3857" s="139">
        <v>42886</v>
      </c>
      <c r="G3857" s="140">
        <v>2533.6</v>
      </c>
      <c r="H3857" s="138">
        <f t="shared" si="62"/>
        <v>0</v>
      </c>
      <c r="I3857" s="141" t="s">
        <v>15214</v>
      </c>
    </row>
    <row r="3858" spans="1:9" ht="15.75" x14ac:dyDescent="0.25">
      <c r="A3858" s="167" t="s">
        <v>19384</v>
      </c>
      <c r="B3858" s="142" t="s">
        <v>19438</v>
      </c>
      <c r="C3858" s="143">
        <v>113907</v>
      </c>
      <c r="D3858" s="142" t="s">
        <v>15315</v>
      </c>
      <c r="E3858" s="144">
        <v>0</v>
      </c>
      <c r="F3858" s="156" t="s">
        <v>95</v>
      </c>
      <c r="G3858" s="144">
        <v>0</v>
      </c>
      <c r="H3858" s="138">
        <f t="shared" si="62"/>
        <v>0</v>
      </c>
      <c r="I3858" s="147" t="s">
        <v>95</v>
      </c>
    </row>
    <row r="3859" spans="1:9" x14ac:dyDescent="0.25">
      <c r="A3859" s="168" t="s">
        <v>19384</v>
      </c>
      <c r="B3859" s="136" t="s">
        <v>19439</v>
      </c>
      <c r="C3859" s="137">
        <v>113908</v>
      </c>
      <c r="D3859" s="136" t="s">
        <v>15526</v>
      </c>
      <c r="E3859" s="138">
        <v>3715.2</v>
      </c>
      <c r="F3859" s="139">
        <v>42885</v>
      </c>
      <c r="G3859" s="140">
        <v>3715.2</v>
      </c>
      <c r="H3859" s="138">
        <f t="shared" si="62"/>
        <v>0</v>
      </c>
      <c r="I3859" s="141" t="s">
        <v>15214</v>
      </c>
    </row>
    <row r="3860" spans="1:9" x14ac:dyDescent="0.25">
      <c r="A3860" s="167" t="s">
        <v>19384</v>
      </c>
      <c r="B3860" s="142" t="s">
        <v>19440</v>
      </c>
      <c r="C3860" s="143">
        <v>113909</v>
      </c>
      <c r="D3860" s="142" t="s">
        <v>15315</v>
      </c>
      <c r="E3860" s="144">
        <v>2451.1999999999998</v>
      </c>
      <c r="F3860" s="145">
        <v>42886</v>
      </c>
      <c r="G3860" s="146">
        <v>2451.1999999999998</v>
      </c>
      <c r="H3860" s="138">
        <f t="shared" si="62"/>
        <v>0</v>
      </c>
      <c r="I3860" s="147" t="s">
        <v>15214</v>
      </c>
    </row>
    <row r="3861" spans="1:9" x14ac:dyDescent="0.25">
      <c r="A3861" s="168" t="s">
        <v>19384</v>
      </c>
      <c r="B3861" s="136" t="s">
        <v>19441</v>
      </c>
      <c r="C3861" s="137">
        <v>113910</v>
      </c>
      <c r="D3861" s="136" t="s">
        <v>15315</v>
      </c>
      <c r="E3861" s="138">
        <v>343</v>
      </c>
      <c r="F3861" s="139">
        <v>42885</v>
      </c>
      <c r="G3861" s="140">
        <v>343</v>
      </c>
      <c r="H3861" s="138">
        <f t="shared" si="62"/>
        <v>0</v>
      </c>
      <c r="I3861" s="141" t="s">
        <v>15214</v>
      </c>
    </row>
    <row r="3862" spans="1:9" x14ac:dyDescent="0.25">
      <c r="A3862" s="167" t="s">
        <v>19384</v>
      </c>
      <c r="B3862" s="142" t="s">
        <v>19442</v>
      </c>
      <c r="C3862" s="143">
        <v>113911</v>
      </c>
      <c r="D3862" s="142" t="s">
        <v>17708</v>
      </c>
      <c r="E3862" s="144">
        <v>1909.6</v>
      </c>
      <c r="F3862" s="145">
        <v>42886</v>
      </c>
      <c r="G3862" s="146">
        <v>1909.6</v>
      </c>
      <c r="H3862" s="138">
        <f t="shared" si="62"/>
        <v>0</v>
      </c>
      <c r="I3862" s="147" t="s">
        <v>15214</v>
      </c>
    </row>
    <row r="3863" spans="1:9" x14ac:dyDescent="0.25">
      <c r="A3863" s="168" t="s">
        <v>19384</v>
      </c>
      <c r="B3863" s="136" t="s">
        <v>19443</v>
      </c>
      <c r="C3863" s="137">
        <v>113912</v>
      </c>
      <c r="D3863" s="136" t="s">
        <v>15537</v>
      </c>
      <c r="E3863" s="138">
        <v>20006.599999999999</v>
      </c>
      <c r="F3863" s="157">
        <v>42888</v>
      </c>
      <c r="G3863" s="158">
        <v>20006.599999999999</v>
      </c>
      <c r="H3863" s="138">
        <f t="shared" si="62"/>
        <v>0</v>
      </c>
      <c r="I3863" s="141" t="s">
        <v>15214</v>
      </c>
    </row>
    <row r="3864" spans="1:9" x14ac:dyDescent="0.25">
      <c r="A3864" s="167" t="s">
        <v>19384</v>
      </c>
      <c r="B3864" s="142" t="s">
        <v>19444</v>
      </c>
      <c r="C3864" s="143">
        <v>113913</v>
      </c>
      <c r="D3864" s="142" t="s">
        <v>15559</v>
      </c>
      <c r="E3864" s="144">
        <v>7521.6</v>
      </c>
      <c r="F3864" s="148">
        <v>42888</v>
      </c>
      <c r="G3864" s="149">
        <v>7521.6</v>
      </c>
      <c r="H3864" s="138">
        <f t="shared" si="62"/>
        <v>0</v>
      </c>
      <c r="I3864" s="147" t="s">
        <v>15214</v>
      </c>
    </row>
    <row r="3865" spans="1:9" x14ac:dyDescent="0.25">
      <c r="A3865" s="168" t="s">
        <v>19384</v>
      </c>
      <c r="B3865" s="136" t="s">
        <v>19445</v>
      </c>
      <c r="C3865" s="137">
        <v>113914</v>
      </c>
      <c r="D3865" s="136" t="s">
        <v>15742</v>
      </c>
      <c r="E3865" s="138">
        <v>1499.3</v>
      </c>
      <c r="F3865" s="139">
        <v>42885</v>
      </c>
      <c r="G3865" s="140">
        <v>1499.3</v>
      </c>
      <c r="H3865" s="138">
        <f t="shared" si="62"/>
        <v>0</v>
      </c>
      <c r="I3865" s="141" t="s">
        <v>15214</v>
      </c>
    </row>
    <row r="3866" spans="1:9" x14ac:dyDescent="0.25">
      <c r="A3866" s="167" t="s">
        <v>19384</v>
      </c>
      <c r="B3866" s="142" t="s">
        <v>19446</v>
      </c>
      <c r="C3866" s="143">
        <v>113915</v>
      </c>
      <c r="D3866" s="142" t="s">
        <v>15332</v>
      </c>
      <c r="E3866" s="144">
        <v>2859.1</v>
      </c>
      <c r="F3866" s="145">
        <v>42885</v>
      </c>
      <c r="G3866" s="146">
        <v>2859.1</v>
      </c>
      <c r="H3866" s="138">
        <f t="shared" si="62"/>
        <v>0</v>
      </c>
      <c r="I3866" s="147" t="s">
        <v>15214</v>
      </c>
    </row>
    <row r="3867" spans="1:9" x14ac:dyDescent="0.25">
      <c r="A3867" s="168" t="s">
        <v>19384</v>
      </c>
      <c r="B3867" s="136" t="s">
        <v>19447</v>
      </c>
      <c r="C3867" s="137">
        <v>113916</v>
      </c>
      <c r="D3867" s="136" t="s">
        <v>18076</v>
      </c>
      <c r="E3867" s="138">
        <v>2933.2</v>
      </c>
      <c r="F3867" s="139">
        <v>42885</v>
      </c>
      <c r="G3867" s="140">
        <v>2933.2</v>
      </c>
      <c r="H3867" s="138">
        <f t="shared" si="62"/>
        <v>0</v>
      </c>
      <c r="I3867" s="141" t="s">
        <v>15214</v>
      </c>
    </row>
    <row r="3868" spans="1:9" x14ac:dyDescent="0.25">
      <c r="A3868" s="167" t="s">
        <v>19384</v>
      </c>
      <c r="B3868" s="142" t="s">
        <v>19448</v>
      </c>
      <c r="C3868" s="143">
        <v>113917</v>
      </c>
      <c r="D3868" s="142" t="s">
        <v>15356</v>
      </c>
      <c r="E3868" s="144">
        <v>1287.2</v>
      </c>
      <c r="F3868" s="145">
        <v>42885</v>
      </c>
      <c r="G3868" s="146">
        <v>1287.2</v>
      </c>
      <c r="H3868" s="138">
        <f t="shared" si="62"/>
        <v>0</v>
      </c>
      <c r="I3868" s="147" t="s">
        <v>15214</v>
      </c>
    </row>
    <row r="3869" spans="1:9" x14ac:dyDescent="0.25">
      <c r="A3869" s="168" t="s">
        <v>19384</v>
      </c>
      <c r="B3869" s="136" t="s">
        <v>19449</v>
      </c>
      <c r="C3869" s="137">
        <v>113918</v>
      </c>
      <c r="D3869" s="136" t="s">
        <v>15526</v>
      </c>
      <c r="E3869" s="138">
        <v>4142.3999999999996</v>
      </c>
      <c r="F3869" s="139">
        <v>42885</v>
      </c>
      <c r="G3869" s="140">
        <v>4142.3999999999996</v>
      </c>
      <c r="H3869" s="138">
        <f t="shared" si="62"/>
        <v>0</v>
      </c>
      <c r="I3869" s="141" t="s">
        <v>15214</v>
      </c>
    </row>
    <row r="3870" spans="1:9" x14ac:dyDescent="0.25">
      <c r="A3870" s="167" t="s">
        <v>19384</v>
      </c>
      <c r="B3870" s="142" t="s">
        <v>19450</v>
      </c>
      <c r="C3870" s="143">
        <v>113919</v>
      </c>
      <c r="D3870" s="142" t="s">
        <v>15336</v>
      </c>
      <c r="E3870" s="144">
        <v>6044.4</v>
      </c>
      <c r="F3870" s="145">
        <v>42885</v>
      </c>
      <c r="G3870" s="146">
        <v>6044.4</v>
      </c>
      <c r="H3870" s="138">
        <f t="shared" si="62"/>
        <v>0</v>
      </c>
      <c r="I3870" s="147" t="s">
        <v>15214</v>
      </c>
    </row>
    <row r="3871" spans="1:9" x14ac:dyDescent="0.25">
      <c r="A3871" s="168" t="s">
        <v>19384</v>
      </c>
      <c r="B3871" s="136" t="s">
        <v>19451</v>
      </c>
      <c r="C3871" s="137">
        <v>113920</v>
      </c>
      <c r="D3871" s="136" t="s">
        <v>15358</v>
      </c>
      <c r="E3871" s="138">
        <v>1858.4</v>
      </c>
      <c r="F3871" s="139">
        <v>42885</v>
      </c>
      <c r="G3871" s="140">
        <v>1858.4</v>
      </c>
      <c r="H3871" s="138">
        <f t="shared" si="62"/>
        <v>0</v>
      </c>
      <c r="I3871" s="141" t="s">
        <v>15214</v>
      </c>
    </row>
    <row r="3872" spans="1:9" x14ac:dyDescent="0.25">
      <c r="A3872" s="167" t="s">
        <v>19384</v>
      </c>
      <c r="B3872" s="142" t="s">
        <v>19452</v>
      </c>
      <c r="C3872" s="143">
        <v>113921</v>
      </c>
      <c r="D3872" s="142" t="s">
        <v>15748</v>
      </c>
      <c r="E3872" s="144">
        <v>1356.6</v>
      </c>
      <c r="F3872" s="145">
        <v>42885</v>
      </c>
      <c r="G3872" s="146">
        <v>1356.6</v>
      </c>
      <c r="H3872" s="138">
        <f t="shared" si="62"/>
        <v>0</v>
      </c>
      <c r="I3872" s="147" t="s">
        <v>15214</v>
      </c>
    </row>
    <row r="3873" spans="1:9" x14ac:dyDescent="0.25">
      <c r="A3873" s="168" t="s">
        <v>19384</v>
      </c>
      <c r="B3873" s="136" t="s">
        <v>19453</v>
      </c>
      <c r="C3873" s="137">
        <v>113922</v>
      </c>
      <c r="D3873" s="136" t="s">
        <v>15315</v>
      </c>
      <c r="E3873" s="138">
        <v>1898.8</v>
      </c>
      <c r="F3873" s="139">
        <v>42885</v>
      </c>
      <c r="G3873" s="140">
        <v>1898.8</v>
      </c>
      <c r="H3873" s="138">
        <f t="shared" si="62"/>
        <v>0</v>
      </c>
      <c r="I3873" s="141" t="s">
        <v>15214</v>
      </c>
    </row>
    <row r="3874" spans="1:9" x14ac:dyDescent="0.25">
      <c r="A3874" s="167" t="s">
        <v>19384</v>
      </c>
      <c r="B3874" s="142" t="s">
        <v>19454</v>
      </c>
      <c r="C3874" s="143">
        <v>113923</v>
      </c>
      <c r="D3874" s="142" t="s">
        <v>15334</v>
      </c>
      <c r="E3874" s="144">
        <v>1559.6</v>
      </c>
      <c r="F3874" s="145">
        <v>42885</v>
      </c>
      <c r="G3874" s="146">
        <v>1559.6</v>
      </c>
      <c r="H3874" s="138">
        <f t="shared" si="62"/>
        <v>0</v>
      </c>
      <c r="I3874" s="147" t="s">
        <v>15214</v>
      </c>
    </row>
    <row r="3875" spans="1:9" x14ac:dyDescent="0.25">
      <c r="A3875" s="168" t="s">
        <v>19384</v>
      </c>
      <c r="B3875" s="136" t="s">
        <v>19455</v>
      </c>
      <c r="C3875" s="137">
        <v>113924</v>
      </c>
      <c r="D3875" s="136" t="s">
        <v>15350</v>
      </c>
      <c r="E3875" s="138">
        <v>816</v>
      </c>
      <c r="F3875" s="139">
        <v>42885</v>
      </c>
      <c r="G3875" s="140">
        <v>816</v>
      </c>
      <c r="H3875" s="138">
        <f t="shared" si="62"/>
        <v>0</v>
      </c>
      <c r="I3875" s="141" t="s">
        <v>15214</v>
      </c>
    </row>
    <row r="3876" spans="1:9" x14ac:dyDescent="0.25">
      <c r="A3876" s="167" t="s">
        <v>19384</v>
      </c>
      <c r="B3876" s="142" t="s">
        <v>19456</v>
      </c>
      <c r="C3876" s="143">
        <v>113925</v>
      </c>
      <c r="D3876" s="142" t="s">
        <v>15577</v>
      </c>
      <c r="E3876" s="144">
        <v>330.6</v>
      </c>
      <c r="F3876" s="145">
        <v>42885</v>
      </c>
      <c r="G3876" s="146">
        <v>330.6</v>
      </c>
      <c r="H3876" s="138">
        <f t="shared" si="62"/>
        <v>0</v>
      </c>
      <c r="I3876" s="147" t="s">
        <v>15214</v>
      </c>
    </row>
    <row r="3877" spans="1:9" x14ac:dyDescent="0.25">
      <c r="A3877" s="168" t="s">
        <v>19384</v>
      </c>
      <c r="B3877" s="136" t="s">
        <v>19457</v>
      </c>
      <c r="C3877" s="137">
        <v>113926</v>
      </c>
      <c r="D3877" s="136" t="s">
        <v>15912</v>
      </c>
      <c r="E3877" s="138">
        <v>1065.2</v>
      </c>
      <c r="F3877" s="139">
        <v>42885</v>
      </c>
      <c r="G3877" s="140">
        <v>1065.2</v>
      </c>
      <c r="H3877" s="138">
        <f t="shared" si="62"/>
        <v>0</v>
      </c>
      <c r="I3877" s="141" t="s">
        <v>15214</v>
      </c>
    </row>
    <row r="3878" spans="1:9" x14ac:dyDescent="0.25">
      <c r="A3878" s="167" t="s">
        <v>19384</v>
      </c>
      <c r="B3878" s="142" t="s">
        <v>19458</v>
      </c>
      <c r="C3878" s="143">
        <v>113927</v>
      </c>
      <c r="D3878" s="142" t="s">
        <v>15716</v>
      </c>
      <c r="E3878" s="144">
        <v>9163.7999999999993</v>
      </c>
      <c r="F3878" s="145">
        <v>42885</v>
      </c>
      <c r="G3878" s="146">
        <v>9163.7999999999993</v>
      </c>
      <c r="H3878" s="138">
        <f t="shared" si="62"/>
        <v>0</v>
      </c>
      <c r="I3878" s="147" t="s">
        <v>15214</v>
      </c>
    </row>
    <row r="3879" spans="1:9" x14ac:dyDescent="0.25">
      <c r="A3879" s="168" t="s">
        <v>19384</v>
      </c>
      <c r="B3879" s="136" t="s">
        <v>19459</v>
      </c>
      <c r="C3879" s="137">
        <v>113928</v>
      </c>
      <c r="D3879" s="136" t="s">
        <v>15442</v>
      </c>
      <c r="E3879" s="138">
        <v>12865.6</v>
      </c>
      <c r="F3879" s="157">
        <v>42888</v>
      </c>
      <c r="G3879" s="158">
        <v>12865.6</v>
      </c>
      <c r="H3879" s="138">
        <f t="shared" si="62"/>
        <v>0</v>
      </c>
      <c r="I3879" s="141" t="s">
        <v>15214</v>
      </c>
    </row>
    <row r="3880" spans="1:9" x14ac:dyDescent="0.25">
      <c r="A3880" s="167" t="s">
        <v>19384</v>
      </c>
      <c r="B3880" s="142" t="s">
        <v>19460</v>
      </c>
      <c r="C3880" s="143">
        <v>113929</v>
      </c>
      <c r="D3880" s="142" t="s">
        <v>19461</v>
      </c>
      <c r="E3880" s="144">
        <v>4398.5</v>
      </c>
      <c r="F3880" s="145">
        <v>42885</v>
      </c>
      <c r="G3880" s="146">
        <v>4398.5</v>
      </c>
      <c r="H3880" s="138">
        <f t="shared" si="62"/>
        <v>0</v>
      </c>
      <c r="I3880" s="147" t="s">
        <v>15214</v>
      </c>
    </row>
    <row r="3881" spans="1:9" x14ac:dyDescent="0.25">
      <c r="A3881" s="168" t="s">
        <v>19384</v>
      </c>
      <c r="B3881" s="136" t="s">
        <v>19462</v>
      </c>
      <c r="C3881" s="137">
        <v>113930</v>
      </c>
      <c r="D3881" s="136" t="s">
        <v>19461</v>
      </c>
      <c r="E3881" s="138">
        <v>373</v>
      </c>
      <c r="F3881" s="139">
        <v>42885</v>
      </c>
      <c r="G3881" s="140">
        <v>373</v>
      </c>
      <c r="H3881" s="138">
        <f t="shared" si="62"/>
        <v>0</v>
      </c>
      <c r="I3881" s="141" t="s">
        <v>15214</v>
      </c>
    </row>
    <row r="3882" spans="1:9" x14ac:dyDescent="0.25">
      <c r="A3882" s="167" t="s">
        <v>19384</v>
      </c>
      <c r="B3882" s="142" t="s">
        <v>19463</v>
      </c>
      <c r="C3882" s="143">
        <v>113931</v>
      </c>
      <c r="D3882" s="142" t="s">
        <v>15267</v>
      </c>
      <c r="E3882" s="144">
        <v>94970.44</v>
      </c>
      <c r="F3882" s="148">
        <v>42892</v>
      </c>
      <c r="G3882" s="149">
        <v>94970.44</v>
      </c>
      <c r="H3882" s="138">
        <f t="shared" si="62"/>
        <v>0</v>
      </c>
      <c r="I3882" s="147" t="s">
        <v>15214</v>
      </c>
    </row>
    <row r="3883" spans="1:9" x14ac:dyDescent="0.25">
      <c r="A3883" s="168" t="s">
        <v>19384</v>
      </c>
      <c r="B3883" s="136" t="s">
        <v>19464</v>
      </c>
      <c r="C3883" s="137">
        <v>113932</v>
      </c>
      <c r="D3883" s="136" t="s">
        <v>15315</v>
      </c>
      <c r="E3883" s="138">
        <v>6124.5</v>
      </c>
      <c r="F3883" s="139">
        <v>42885</v>
      </c>
      <c r="G3883" s="140">
        <v>6124.5</v>
      </c>
      <c r="H3883" s="138">
        <f t="shared" si="62"/>
        <v>0</v>
      </c>
      <c r="I3883" s="141" t="s">
        <v>15214</v>
      </c>
    </row>
    <row r="3884" spans="1:9" x14ac:dyDescent="0.25">
      <c r="A3884" s="167" t="s">
        <v>19384</v>
      </c>
      <c r="B3884" s="142" t="s">
        <v>19465</v>
      </c>
      <c r="C3884" s="143">
        <v>113933</v>
      </c>
      <c r="D3884" s="142" t="s">
        <v>15566</v>
      </c>
      <c r="E3884" s="144">
        <v>325.60000000000002</v>
      </c>
      <c r="F3884" s="145">
        <v>42885</v>
      </c>
      <c r="G3884" s="146">
        <v>325.60000000000002</v>
      </c>
      <c r="H3884" s="138">
        <f t="shared" si="62"/>
        <v>0</v>
      </c>
      <c r="I3884" s="147" t="s">
        <v>15214</v>
      </c>
    </row>
    <row r="3885" spans="1:9" x14ac:dyDescent="0.25">
      <c r="A3885" s="168" t="s">
        <v>19384</v>
      </c>
      <c r="B3885" s="136" t="s">
        <v>19466</v>
      </c>
      <c r="C3885" s="137">
        <v>113934</v>
      </c>
      <c r="D3885" s="136" t="s">
        <v>15868</v>
      </c>
      <c r="E3885" s="138">
        <v>5442.4</v>
      </c>
      <c r="F3885" s="157">
        <v>42887</v>
      </c>
      <c r="G3885" s="158">
        <v>5442.4</v>
      </c>
      <c r="H3885" s="138">
        <f t="shared" si="62"/>
        <v>0</v>
      </c>
      <c r="I3885" s="141" t="s">
        <v>15214</v>
      </c>
    </row>
    <row r="3886" spans="1:9" x14ac:dyDescent="0.25">
      <c r="A3886" s="167" t="s">
        <v>19384</v>
      </c>
      <c r="B3886" s="142" t="s">
        <v>19467</v>
      </c>
      <c r="C3886" s="143">
        <v>113935</v>
      </c>
      <c r="D3886" s="142" t="s">
        <v>15568</v>
      </c>
      <c r="E3886" s="144">
        <v>9954.24</v>
      </c>
      <c r="F3886" s="145">
        <v>42885</v>
      </c>
      <c r="G3886" s="146">
        <v>9954.24</v>
      </c>
      <c r="H3886" s="138">
        <f t="shared" si="62"/>
        <v>0</v>
      </c>
      <c r="I3886" s="147" t="s">
        <v>15214</v>
      </c>
    </row>
    <row r="3887" spans="1:9" x14ac:dyDescent="0.25">
      <c r="A3887" s="168" t="s">
        <v>19384</v>
      </c>
      <c r="B3887" s="136" t="s">
        <v>19468</v>
      </c>
      <c r="C3887" s="137">
        <v>113936</v>
      </c>
      <c r="D3887" s="136" t="s">
        <v>15387</v>
      </c>
      <c r="E3887" s="138">
        <v>1875.18</v>
      </c>
      <c r="F3887" s="157">
        <v>42887</v>
      </c>
      <c r="G3887" s="158">
        <v>1875.18</v>
      </c>
      <c r="H3887" s="138">
        <f t="shared" si="62"/>
        <v>0</v>
      </c>
      <c r="I3887" s="141" t="s">
        <v>15214</v>
      </c>
    </row>
    <row r="3888" spans="1:9" x14ac:dyDescent="0.25">
      <c r="A3888" s="167" t="s">
        <v>19384</v>
      </c>
      <c r="B3888" s="142" t="s">
        <v>19469</v>
      </c>
      <c r="C3888" s="143">
        <v>113937</v>
      </c>
      <c r="D3888" s="142" t="s">
        <v>15396</v>
      </c>
      <c r="E3888" s="144">
        <v>8583.24</v>
      </c>
      <c r="F3888" s="145">
        <v>42885</v>
      </c>
      <c r="G3888" s="146">
        <v>8583.24</v>
      </c>
      <c r="H3888" s="138">
        <f t="shared" si="62"/>
        <v>0</v>
      </c>
      <c r="I3888" s="147" t="s">
        <v>15214</v>
      </c>
    </row>
    <row r="3889" spans="1:9" x14ac:dyDescent="0.25">
      <c r="A3889" s="168" t="s">
        <v>19384</v>
      </c>
      <c r="B3889" s="136" t="s">
        <v>19470</v>
      </c>
      <c r="C3889" s="137">
        <v>113938</v>
      </c>
      <c r="D3889" s="136" t="s">
        <v>15385</v>
      </c>
      <c r="E3889" s="138">
        <v>12806.4</v>
      </c>
      <c r="F3889" s="157">
        <v>42887</v>
      </c>
      <c r="G3889" s="158">
        <v>12806.4</v>
      </c>
      <c r="H3889" s="138">
        <f t="shared" si="62"/>
        <v>0</v>
      </c>
      <c r="I3889" s="141" t="s">
        <v>15214</v>
      </c>
    </row>
    <row r="3890" spans="1:9" x14ac:dyDescent="0.25">
      <c r="A3890" s="167" t="s">
        <v>19384</v>
      </c>
      <c r="B3890" s="142" t="s">
        <v>19471</v>
      </c>
      <c r="C3890" s="143">
        <v>113939</v>
      </c>
      <c r="D3890" s="142" t="s">
        <v>15361</v>
      </c>
      <c r="E3890" s="144">
        <v>8887.2000000000007</v>
      </c>
      <c r="F3890" s="148">
        <v>42887</v>
      </c>
      <c r="G3890" s="149">
        <v>8887.2000000000007</v>
      </c>
      <c r="H3890" s="138">
        <f t="shared" si="62"/>
        <v>0</v>
      </c>
      <c r="I3890" s="147" t="s">
        <v>15214</v>
      </c>
    </row>
    <row r="3891" spans="1:9" x14ac:dyDescent="0.25">
      <c r="A3891" s="168" t="s">
        <v>19384</v>
      </c>
      <c r="B3891" s="136" t="s">
        <v>19472</v>
      </c>
      <c r="C3891" s="137">
        <v>113940</v>
      </c>
      <c r="D3891" s="136" t="s">
        <v>15590</v>
      </c>
      <c r="E3891" s="138">
        <v>30805.599999999999</v>
      </c>
      <c r="F3891" s="157">
        <v>42895</v>
      </c>
      <c r="G3891" s="158">
        <v>30805.599999999999</v>
      </c>
      <c r="H3891" s="138">
        <f t="shared" si="62"/>
        <v>0</v>
      </c>
      <c r="I3891" s="141" t="s">
        <v>15214</v>
      </c>
    </row>
    <row r="3892" spans="1:9" x14ac:dyDescent="0.25">
      <c r="A3892" s="167" t="s">
        <v>19384</v>
      </c>
      <c r="B3892" s="142" t="s">
        <v>19473</v>
      </c>
      <c r="C3892" s="143">
        <v>113941</v>
      </c>
      <c r="D3892" s="142" t="s">
        <v>15594</v>
      </c>
      <c r="E3892" s="144">
        <v>1916</v>
      </c>
      <c r="F3892" s="148">
        <v>42887</v>
      </c>
      <c r="G3892" s="149">
        <v>1916</v>
      </c>
      <c r="H3892" s="138">
        <f t="shared" si="62"/>
        <v>0</v>
      </c>
      <c r="I3892" s="147" t="s">
        <v>15214</v>
      </c>
    </row>
    <row r="3893" spans="1:9" x14ac:dyDescent="0.25">
      <c r="A3893" s="168" t="s">
        <v>19384</v>
      </c>
      <c r="B3893" s="136" t="s">
        <v>19474</v>
      </c>
      <c r="C3893" s="137">
        <v>113942</v>
      </c>
      <c r="D3893" s="136" t="s">
        <v>15246</v>
      </c>
      <c r="E3893" s="138">
        <v>878.4</v>
      </c>
      <c r="F3893" s="157">
        <v>42887</v>
      </c>
      <c r="G3893" s="158">
        <v>878.4</v>
      </c>
      <c r="H3893" s="138">
        <f t="shared" si="62"/>
        <v>0</v>
      </c>
      <c r="I3893" s="141" t="s">
        <v>15214</v>
      </c>
    </row>
    <row r="3894" spans="1:9" x14ac:dyDescent="0.25">
      <c r="A3894" s="167" t="s">
        <v>19384</v>
      </c>
      <c r="B3894" s="142" t="s">
        <v>19475</v>
      </c>
      <c r="C3894" s="143">
        <v>113943</v>
      </c>
      <c r="D3894" s="142" t="s">
        <v>15594</v>
      </c>
      <c r="E3894" s="144">
        <v>1751.8</v>
      </c>
      <c r="F3894" s="148">
        <v>42887</v>
      </c>
      <c r="G3894" s="149">
        <v>1751.8</v>
      </c>
      <c r="H3894" s="138">
        <f t="shared" si="62"/>
        <v>0</v>
      </c>
      <c r="I3894" s="147" t="s">
        <v>15214</v>
      </c>
    </row>
    <row r="3895" spans="1:9" x14ac:dyDescent="0.25">
      <c r="A3895" s="168" t="s">
        <v>19384</v>
      </c>
      <c r="B3895" s="136" t="s">
        <v>19476</v>
      </c>
      <c r="C3895" s="137">
        <v>113944</v>
      </c>
      <c r="D3895" s="136" t="s">
        <v>5757</v>
      </c>
      <c r="E3895" s="138">
        <v>4090.05</v>
      </c>
      <c r="F3895" s="139">
        <v>42885</v>
      </c>
      <c r="G3895" s="140">
        <v>4090.05</v>
      </c>
      <c r="H3895" s="138">
        <f t="shared" si="62"/>
        <v>0</v>
      </c>
      <c r="I3895" s="141" t="s">
        <v>15214</v>
      </c>
    </row>
    <row r="3896" spans="1:9" x14ac:dyDescent="0.25">
      <c r="A3896" s="167" t="s">
        <v>19384</v>
      </c>
      <c r="B3896" s="142" t="s">
        <v>19477</v>
      </c>
      <c r="C3896" s="143">
        <v>113945</v>
      </c>
      <c r="D3896" s="142" t="s">
        <v>15291</v>
      </c>
      <c r="E3896" s="144">
        <v>576</v>
      </c>
      <c r="F3896" s="145">
        <v>42886</v>
      </c>
      <c r="G3896" s="146">
        <v>576</v>
      </c>
      <c r="H3896" s="138">
        <f t="shared" si="62"/>
        <v>0</v>
      </c>
      <c r="I3896" s="147" t="s">
        <v>15214</v>
      </c>
    </row>
    <row r="3897" spans="1:9" x14ac:dyDescent="0.25">
      <c r="A3897" s="168" t="s">
        <v>19384</v>
      </c>
      <c r="B3897" s="136" t="s">
        <v>19478</v>
      </c>
      <c r="C3897" s="137">
        <v>113946</v>
      </c>
      <c r="D3897" s="136" t="s">
        <v>15338</v>
      </c>
      <c r="E3897" s="138">
        <v>6391</v>
      </c>
      <c r="F3897" s="157">
        <v>42894</v>
      </c>
      <c r="G3897" s="158">
        <v>6391</v>
      </c>
      <c r="H3897" s="138">
        <f t="shared" si="62"/>
        <v>0</v>
      </c>
      <c r="I3897" s="141" t="s">
        <v>15214</v>
      </c>
    </row>
    <row r="3898" spans="1:9" x14ac:dyDescent="0.25">
      <c r="A3898" s="167" t="s">
        <v>19384</v>
      </c>
      <c r="B3898" s="142" t="s">
        <v>19479</v>
      </c>
      <c r="C3898" s="143">
        <v>113947</v>
      </c>
      <c r="D3898" s="142" t="s">
        <v>15818</v>
      </c>
      <c r="E3898" s="144">
        <v>3309.6</v>
      </c>
      <c r="F3898" s="145">
        <v>42885</v>
      </c>
      <c r="G3898" s="146">
        <v>3309.6</v>
      </c>
      <c r="H3898" s="138">
        <f t="shared" si="62"/>
        <v>0</v>
      </c>
      <c r="I3898" s="147" t="s">
        <v>15214</v>
      </c>
    </row>
    <row r="3899" spans="1:9" x14ac:dyDescent="0.25">
      <c r="A3899" s="168" t="s">
        <v>19384</v>
      </c>
      <c r="B3899" s="136" t="s">
        <v>19480</v>
      </c>
      <c r="C3899" s="137">
        <v>113948</v>
      </c>
      <c r="D3899" s="136" t="s">
        <v>15276</v>
      </c>
      <c r="E3899" s="138">
        <v>3360</v>
      </c>
      <c r="F3899" s="139">
        <v>42886</v>
      </c>
      <c r="G3899" s="140">
        <v>3360</v>
      </c>
      <c r="H3899" s="138">
        <f t="shared" si="62"/>
        <v>0</v>
      </c>
      <c r="I3899" s="141" t="s">
        <v>15214</v>
      </c>
    </row>
    <row r="3900" spans="1:9" x14ac:dyDescent="0.25">
      <c r="A3900" s="167" t="s">
        <v>19384</v>
      </c>
      <c r="B3900" s="142" t="s">
        <v>19481</v>
      </c>
      <c r="C3900" s="143">
        <v>113949</v>
      </c>
      <c r="D3900" s="142" t="s">
        <v>15311</v>
      </c>
      <c r="E3900" s="144">
        <v>2273.48</v>
      </c>
      <c r="F3900" s="145">
        <v>42886</v>
      </c>
      <c r="G3900" s="146">
        <v>2273.48</v>
      </c>
      <c r="H3900" s="138">
        <f t="shared" si="62"/>
        <v>0</v>
      </c>
      <c r="I3900" s="147" t="s">
        <v>15214</v>
      </c>
    </row>
    <row r="3901" spans="1:9" x14ac:dyDescent="0.25">
      <c r="A3901" s="168" t="s">
        <v>19384</v>
      </c>
      <c r="B3901" s="136" t="s">
        <v>19482</v>
      </c>
      <c r="C3901" s="137">
        <v>113950</v>
      </c>
      <c r="D3901" s="136" t="s">
        <v>15248</v>
      </c>
      <c r="E3901" s="138">
        <v>7176</v>
      </c>
      <c r="F3901" s="157">
        <v>42887</v>
      </c>
      <c r="G3901" s="158">
        <v>7176</v>
      </c>
      <c r="H3901" s="138">
        <f t="shared" si="62"/>
        <v>0</v>
      </c>
      <c r="I3901" s="141" t="s">
        <v>15214</v>
      </c>
    </row>
    <row r="3902" spans="1:9" x14ac:dyDescent="0.25">
      <c r="A3902" s="167" t="s">
        <v>19384</v>
      </c>
      <c r="B3902" s="142" t="s">
        <v>19483</v>
      </c>
      <c r="C3902" s="143">
        <v>113951</v>
      </c>
      <c r="D3902" s="142" t="s">
        <v>15417</v>
      </c>
      <c r="E3902" s="144">
        <v>2019.4</v>
      </c>
      <c r="F3902" s="145">
        <v>42886</v>
      </c>
      <c r="G3902" s="146">
        <v>2019.4</v>
      </c>
      <c r="H3902" s="138">
        <f t="shared" si="62"/>
        <v>0</v>
      </c>
      <c r="I3902" s="147" t="s">
        <v>15214</v>
      </c>
    </row>
    <row r="3903" spans="1:9" x14ac:dyDescent="0.25">
      <c r="A3903" s="168" t="s">
        <v>19384</v>
      </c>
      <c r="B3903" s="136" t="s">
        <v>19484</v>
      </c>
      <c r="C3903" s="137">
        <v>113952</v>
      </c>
      <c r="D3903" s="136" t="s">
        <v>15307</v>
      </c>
      <c r="E3903" s="138">
        <v>1792.02</v>
      </c>
      <c r="F3903" s="139">
        <v>42886</v>
      </c>
      <c r="G3903" s="140">
        <v>1792.02</v>
      </c>
      <c r="H3903" s="138">
        <f t="shared" si="62"/>
        <v>0</v>
      </c>
      <c r="I3903" s="141" t="s">
        <v>15214</v>
      </c>
    </row>
    <row r="3904" spans="1:9" x14ac:dyDescent="0.25">
      <c r="A3904" s="167" t="s">
        <v>19384</v>
      </c>
      <c r="B3904" s="142" t="s">
        <v>19485</v>
      </c>
      <c r="C3904" s="143">
        <v>113953</v>
      </c>
      <c r="D3904" s="142" t="s">
        <v>15365</v>
      </c>
      <c r="E3904" s="144">
        <v>241776</v>
      </c>
      <c r="F3904" s="148">
        <v>42888</v>
      </c>
      <c r="G3904" s="149">
        <v>241776</v>
      </c>
      <c r="H3904" s="138">
        <f t="shared" si="62"/>
        <v>0</v>
      </c>
      <c r="I3904" s="147" t="s">
        <v>15214</v>
      </c>
    </row>
    <row r="3905" spans="1:9" x14ac:dyDescent="0.25">
      <c r="A3905" s="168" t="s">
        <v>19384</v>
      </c>
      <c r="B3905" s="136" t="s">
        <v>19486</v>
      </c>
      <c r="C3905" s="137">
        <v>113954</v>
      </c>
      <c r="D3905" s="136" t="s">
        <v>15309</v>
      </c>
      <c r="E3905" s="138">
        <v>5073</v>
      </c>
      <c r="F3905" s="139">
        <v>42886</v>
      </c>
      <c r="G3905" s="140">
        <v>5073</v>
      </c>
      <c r="H3905" s="138">
        <f t="shared" si="62"/>
        <v>0</v>
      </c>
      <c r="I3905" s="141" t="s">
        <v>15214</v>
      </c>
    </row>
    <row r="3906" spans="1:9" x14ac:dyDescent="0.25">
      <c r="A3906" s="167" t="s">
        <v>19384</v>
      </c>
      <c r="B3906" s="142" t="s">
        <v>19487</v>
      </c>
      <c r="C3906" s="143">
        <v>113955</v>
      </c>
      <c r="D3906" s="142" t="s">
        <v>15303</v>
      </c>
      <c r="E3906" s="144">
        <v>3140</v>
      </c>
      <c r="F3906" s="145">
        <v>42886</v>
      </c>
      <c r="G3906" s="146">
        <v>3140</v>
      </c>
      <c r="H3906" s="138">
        <f t="shared" si="62"/>
        <v>0</v>
      </c>
      <c r="I3906" s="147" t="s">
        <v>15214</v>
      </c>
    </row>
    <row r="3907" spans="1:9" x14ac:dyDescent="0.25">
      <c r="A3907" s="168" t="s">
        <v>19384</v>
      </c>
      <c r="B3907" s="136" t="s">
        <v>19488</v>
      </c>
      <c r="C3907" s="137">
        <v>113956</v>
      </c>
      <c r="D3907" s="136" t="s">
        <v>15315</v>
      </c>
      <c r="E3907" s="138">
        <v>129.6</v>
      </c>
      <c r="F3907" s="139">
        <v>42885</v>
      </c>
      <c r="G3907" s="140">
        <v>129.6</v>
      </c>
      <c r="H3907" s="138">
        <f t="shared" si="62"/>
        <v>0</v>
      </c>
      <c r="I3907" s="141" t="s">
        <v>15214</v>
      </c>
    </row>
    <row r="3908" spans="1:9" x14ac:dyDescent="0.25">
      <c r="A3908" s="167" t="s">
        <v>19384</v>
      </c>
      <c r="B3908" s="142" t="s">
        <v>19489</v>
      </c>
      <c r="C3908" s="143">
        <v>113957</v>
      </c>
      <c r="D3908" s="142" t="s">
        <v>15398</v>
      </c>
      <c r="E3908" s="144">
        <v>3135.6</v>
      </c>
      <c r="F3908" s="145">
        <v>42885</v>
      </c>
      <c r="G3908" s="146">
        <v>3135.6</v>
      </c>
      <c r="H3908" s="138">
        <f t="shared" si="62"/>
        <v>0</v>
      </c>
      <c r="I3908" s="147" t="s">
        <v>15214</v>
      </c>
    </row>
    <row r="3909" spans="1:9" x14ac:dyDescent="0.25">
      <c r="A3909" s="168" t="s">
        <v>19384</v>
      </c>
      <c r="B3909" s="136" t="s">
        <v>19490</v>
      </c>
      <c r="C3909" s="137">
        <v>113958</v>
      </c>
      <c r="D3909" s="136" t="s">
        <v>15398</v>
      </c>
      <c r="E3909" s="138">
        <v>146.4</v>
      </c>
      <c r="F3909" s="157">
        <v>42887</v>
      </c>
      <c r="G3909" s="158">
        <v>146.4</v>
      </c>
      <c r="H3909" s="138">
        <f t="shared" si="62"/>
        <v>0</v>
      </c>
      <c r="I3909" s="141" t="s">
        <v>15214</v>
      </c>
    </row>
    <row r="3910" spans="1:9" x14ac:dyDescent="0.25">
      <c r="A3910" s="167" t="s">
        <v>19384</v>
      </c>
      <c r="B3910" s="142" t="s">
        <v>19491</v>
      </c>
      <c r="C3910" s="143">
        <v>113959</v>
      </c>
      <c r="D3910" s="142" t="s">
        <v>15423</v>
      </c>
      <c r="E3910" s="144">
        <v>5159.5</v>
      </c>
      <c r="F3910" s="145">
        <v>42885</v>
      </c>
      <c r="G3910" s="146">
        <v>5159.5</v>
      </c>
      <c r="H3910" s="138">
        <f t="shared" si="62"/>
        <v>0</v>
      </c>
      <c r="I3910" s="147" t="s">
        <v>15214</v>
      </c>
    </row>
    <row r="3911" spans="1:9" x14ac:dyDescent="0.25">
      <c r="A3911" s="168" t="s">
        <v>19384</v>
      </c>
      <c r="B3911" s="136" t="s">
        <v>19492</v>
      </c>
      <c r="C3911" s="137">
        <v>113960</v>
      </c>
      <c r="D3911" s="136" t="s">
        <v>17595</v>
      </c>
      <c r="E3911" s="138">
        <v>3172</v>
      </c>
      <c r="F3911" s="139">
        <v>42885</v>
      </c>
      <c r="G3911" s="140">
        <v>3172</v>
      </c>
      <c r="H3911" s="138">
        <f t="shared" ref="H3911:H3974" si="63">E3911-G3911</f>
        <v>0</v>
      </c>
      <c r="I3911" s="141" t="s">
        <v>15214</v>
      </c>
    </row>
    <row r="3912" spans="1:9" x14ac:dyDescent="0.25">
      <c r="A3912" s="167" t="s">
        <v>19384</v>
      </c>
      <c r="B3912" s="142" t="s">
        <v>19493</v>
      </c>
      <c r="C3912" s="143">
        <v>113961</v>
      </c>
      <c r="D3912" s="142" t="s">
        <v>15330</v>
      </c>
      <c r="E3912" s="144">
        <v>1586.6</v>
      </c>
      <c r="F3912" s="145">
        <v>42885</v>
      </c>
      <c r="G3912" s="146">
        <v>1586.6</v>
      </c>
      <c r="H3912" s="138">
        <f t="shared" si="63"/>
        <v>0</v>
      </c>
      <c r="I3912" s="147" t="s">
        <v>15214</v>
      </c>
    </row>
    <row r="3913" spans="1:9" x14ac:dyDescent="0.25">
      <c r="A3913" s="168" t="s">
        <v>19384</v>
      </c>
      <c r="B3913" s="136" t="s">
        <v>19494</v>
      </c>
      <c r="C3913" s="137">
        <v>113962</v>
      </c>
      <c r="D3913" s="136" t="s">
        <v>15265</v>
      </c>
      <c r="E3913" s="138">
        <v>2439</v>
      </c>
      <c r="F3913" s="139">
        <v>42885</v>
      </c>
      <c r="G3913" s="140">
        <v>2439</v>
      </c>
      <c r="H3913" s="138">
        <f t="shared" si="63"/>
        <v>0</v>
      </c>
      <c r="I3913" s="141" t="s">
        <v>15214</v>
      </c>
    </row>
    <row r="3914" spans="1:9" x14ac:dyDescent="0.25">
      <c r="A3914" s="167" t="s">
        <v>19384</v>
      </c>
      <c r="B3914" s="142" t="s">
        <v>19495</v>
      </c>
      <c r="C3914" s="143">
        <v>113963</v>
      </c>
      <c r="D3914" s="142" t="s">
        <v>15444</v>
      </c>
      <c r="E3914" s="144">
        <v>2202.3000000000002</v>
      </c>
      <c r="F3914" s="145">
        <v>42885</v>
      </c>
      <c r="G3914" s="146">
        <v>2202.3000000000002</v>
      </c>
      <c r="H3914" s="138">
        <f t="shared" si="63"/>
        <v>0</v>
      </c>
      <c r="I3914" s="147" t="s">
        <v>15214</v>
      </c>
    </row>
    <row r="3915" spans="1:9" x14ac:dyDescent="0.25">
      <c r="A3915" s="168" t="s">
        <v>19384</v>
      </c>
      <c r="B3915" s="136" t="s">
        <v>19496</v>
      </c>
      <c r="C3915" s="137">
        <v>113964</v>
      </c>
      <c r="D3915" s="136" t="s">
        <v>15322</v>
      </c>
      <c r="E3915" s="138">
        <v>1420.4</v>
      </c>
      <c r="F3915" s="139">
        <v>42885</v>
      </c>
      <c r="G3915" s="140">
        <v>1420.4</v>
      </c>
      <c r="H3915" s="138">
        <f t="shared" si="63"/>
        <v>0</v>
      </c>
      <c r="I3915" s="141" t="s">
        <v>15214</v>
      </c>
    </row>
    <row r="3916" spans="1:9" x14ac:dyDescent="0.25">
      <c r="A3916" s="167" t="s">
        <v>19384</v>
      </c>
      <c r="B3916" s="142" t="s">
        <v>19497</v>
      </c>
      <c r="C3916" s="143">
        <v>113965</v>
      </c>
      <c r="D3916" s="142" t="s">
        <v>15284</v>
      </c>
      <c r="E3916" s="144">
        <v>2413.1999999999998</v>
      </c>
      <c r="F3916" s="145">
        <v>42885</v>
      </c>
      <c r="G3916" s="146">
        <v>2413.1999999999998</v>
      </c>
      <c r="H3916" s="138">
        <f t="shared" si="63"/>
        <v>0</v>
      </c>
      <c r="I3916" s="147" t="s">
        <v>15214</v>
      </c>
    </row>
    <row r="3917" spans="1:9" x14ac:dyDescent="0.25">
      <c r="A3917" s="168" t="s">
        <v>19384</v>
      </c>
      <c r="B3917" s="136" t="s">
        <v>19498</v>
      </c>
      <c r="C3917" s="137">
        <v>113966</v>
      </c>
      <c r="D3917" s="136" t="s">
        <v>17722</v>
      </c>
      <c r="E3917" s="138">
        <v>2961.6</v>
      </c>
      <c r="F3917" s="139">
        <v>42885</v>
      </c>
      <c r="G3917" s="140">
        <v>2961.6</v>
      </c>
      <c r="H3917" s="138">
        <f t="shared" si="63"/>
        <v>0</v>
      </c>
      <c r="I3917" s="141" t="s">
        <v>15214</v>
      </c>
    </row>
    <row r="3918" spans="1:9" x14ac:dyDescent="0.25">
      <c r="A3918" s="167" t="s">
        <v>19384</v>
      </c>
      <c r="B3918" s="142" t="s">
        <v>19499</v>
      </c>
      <c r="C3918" s="143">
        <v>113967</v>
      </c>
      <c r="D3918" s="142" t="s">
        <v>15346</v>
      </c>
      <c r="E3918" s="144">
        <v>3164</v>
      </c>
      <c r="F3918" s="145">
        <v>42885</v>
      </c>
      <c r="G3918" s="146">
        <v>3164</v>
      </c>
      <c r="H3918" s="138">
        <f t="shared" si="63"/>
        <v>0</v>
      </c>
      <c r="I3918" s="147" t="s">
        <v>15214</v>
      </c>
    </row>
    <row r="3919" spans="1:9" x14ac:dyDescent="0.25">
      <c r="A3919" s="168" t="s">
        <v>19384</v>
      </c>
      <c r="B3919" s="136" t="s">
        <v>19500</v>
      </c>
      <c r="C3919" s="137">
        <v>113968</v>
      </c>
      <c r="D3919" s="136" t="s">
        <v>15624</v>
      </c>
      <c r="E3919" s="138">
        <v>32830</v>
      </c>
      <c r="F3919" s="139">
        <v>42886</v>
      </c>
      <c r="G3919" s="140">
        <v>32830</v>
      </c>
      <c r="H3919" s="138">
        <f t="shared" si="63"/>
        <v>0</v>
      </c>
      <c r="I3919" s="141" t="s">
        <v>15214</v>
      </c>
    </row>
    <row r="3920" spans="1:9" x14ac:dyDescent="0.25">
      <c r="A3920" s="167" t="s">
        <v>19384</v>
      </c>
      <c r="B3920" s="142" t="s">
        <v>19501</v>
      </c>
      <c r="C3920" s="143">
        <v>113969</v>
      </c>
      <c r="D3920" s="142" t="s">
        <v>15398</v>
      </c>
      <c r="E3920" s="144">
        <v>527.70000000000005</v>
      </c>
      <c r="F3920" s="145">
        <v>42885</v>
      </c>
      <c r="G3920" s="146">
        <v>527.70000000000005</v>
      </c>
      <c r="H3920" s="138">
        <f t="shared" si="63"/>
        <v>0</v>
      </c>
      <c r="I3920" s="147" t="s">
        <v>15214</v>
      </c>
    </row>
    <row r="3921" spans="1:9" x14ac:dyDescent="0.25">
      <c r="A3921" s="168" t="s">
        <v>19384</v>
      </c>
      <c r="B3921" s="136" t="s">
        <v>19502</v>
      </c>
      <c r="C3921" s="137">
        <v>113970</v>
      </c>
      <c r="D3921" s="136" t="s">
        <v>15246</v>
      </c>
      <c r="E3921" s="138">
        <v>81605.7</v>
      </c>
      <c r="F3921" s="157">
        <v>42887</v>
      </c>
      <c r="G3921" s="158">
        <v>81605.7</v>
      </c>
      <c r="H3921" s="138">
        <f t="shared" si="63"/>
        <v>0</v>
      </c>
      <c r="I3921" s="141" t="s">
        <v>15214</v>
      </c>
    </row>
    <row r="3922" spans="1:9" x14ac:dyDescent="0.25">
      <c r="A3922" s="167" t="s">
        <v>19384</v>
      </c>
      <c r="B3922" s="142" t="s">
        <v>19503</v>
      </c>
      <c r="C3922" s="143">
        <v>113971</v>
      </c>
      <c r="D3922" s="142" t="s">
        <v>15246</v>
      </c>
      <c r="E3922" s="144">
        <v>103505.76</v>
      </c>
      <c r="F3922" s="161">
        <v>42887</v>
      </c>
      <c r="G3922" s="144">
        <v>103505.76</v>
      </c>
      <c r="H3922" s="138">
        <f t="shared" si="63"/>
        <v>0</v>
      </c>
      <c r="I3922" s="147" t="s">
        <v>15214</v>
      </c>
    </row>
    <row r="3923" spans="1:9" x14ac:dyDescent="0.25">
      <c r="A3923" s="168" t="s">
        <v>19384</v>
      </c>
      <c r="B3923" s="136" t="s">
        <v>19504</v>
      </c>
      <c r="C3923" s="137">
        <v>113972</v>
      </c>
      <c r="D3923" s="136" t="s">
        <v>15577</v>
      </c>
      <c r="E3923" s="138">
        <v>772</v>
      </c>
      <c r="F3923" s="139">
        <v>42885</v>
      </c>
      <c r="G3923" s="140">
        <v>772</v>
      </c>
      <c r="H3923" s="138">
        <f t="shared" si="63"/>
        <v>0</v>
      </c>
      <c r="I3923" s="141" t="s">
        <v>15214</v>
      </c>
    </row>
    <row r="3924" spans="1:9" x14ac:dyDescent="0.25">
      <c r="A3924" s="167" t="s">
        <v>19384</v>
      </c>
      <c r="B3924" s="142" t="s">
        <v>19505</v>
      </c>
      <c r="C3924" s="143">
        <v>113973</v>
      </c>
      <c r="D3924" s="142" t="s">
        <v>15365</v>
      </c>
      <c r="E3924" s="144">
        <v>256128</v>
      </c>
      <c r="F3924" s="148">
        <v>42888</v>
      </c>
      <c r="G3924" s="149">
        <v>256128</v>
      </c>
      <c r="H3924" s="138">
        <f t="shared" si="63"/>
        <v>0</v>
      </c>
      <c r="I3924" s="147" t="s">
        <v>15214</v>
      </c>
    </row>
    <row r="3925" spans="1:9" x14ac:dyDescent="0.25">
      <c r="A3925" s="168" t="s">
        <v>19384</v>
      </c>
      <c r="B3925" s="136" t="s">
        <v>19506</v>
      </c>
      <c r="C3925" s="137">
        <v>113974</v>
      </c>
      <c r="D3925" s="136" t="s">
        <v>15421</v>
      </c>
      <c r="E3925" s="138">
        <v>3094.8</v>
      </c>
      <c r="F3925" s="139">
        <v>42885</v>
      </c>
      <c r="G3925" s="140">
        <v>3094.8</v>
      </c>
      <c r="H3925" s="138">
        <f t="shared" si="63"/>
        <v>0</v>
      </c>
      <c r="I3925" s="141" t="s">
        <v>15214</v>
      </c>
    </row>
    <row r="3926" spans="1:9" x14ac:dyDescent="0.25">
      <c r="A3926" s="167" t="s">
        <v>19384</v>
      </c>
      <c r="B3926" s="142" t="s">
        <v>19507</v>
      </c>
      <c r="C3926" s="143">
        <v>113975</v>
      </c>
      <c r="D3926" s="142" t="s">
        <v>15421</v>
      </c>
      <c r="E3926" s="144">
        <v>285.60000000000002</v>
      </c>
      <c r="F3926" s="145">
        <v>42885</v>
      </c>
      <c r="G3926" s="146">
        <v>285.60000000000002</v>
      </c>
      <c r="H3926" s="138">
        <f t="shared" si="63"/>
        <v>0</v>
      </c>
      <c r="I3926" s="147" t="s">
        <v>15214</v>
      </c>
    </row>
    <row r="3927" spans="1:9" x14ac:dyDescent="0.25">
      <c r="A3927" s="168" t="s">
        <v>19384</v>
      </c>
      <c r="B3927" s="136" t="s">
        <v>19508</v>
      </c>
      <c r="C3927" s="137">
        <v>113976</v>
      </c>
      <c r="D3927" s="136" t="s">
        <v>15435</v>
      </c>
      <c r="E3927" s="138">
        <v>8479.6</v>
      </c>
      <c r="F3927" s="139">
        <v>42885</v>
      </c>
      <c r="G3927" s="140">
        <v>8479.6</v>
      </c>
      <c r="H3927" s="138">
        <f t="shared" si="63"/>
        <v>0</v>
      </c>
      <c r="I3927" s="141" t="s">
        <v>15214</v>
      </c>
    </row>
    <row r="3928" spans="1:9" x14ac:dyDescent="0.25">
      <c r="A3928" s="167" t="s">
        <v>19384</v>
      </c>
      <c r="B3928" s="142" t="s">
        <v>19509</v>
      </c>
      <c r="C3928" s="143">
        <v>113977</v>
      </c>
      <c r="D3928" s="142" t="s">
        <v>16116</v>
      </c>
      <c r="E3928" s="144">
        <v>25311.52</v>
      </c>
      <c r="F3928" s="145">
        <v>42885</v>
      </c>
      <c r="G3928" s="146">
        <v>25311.52</v>
      </c>
      <c r="H3928" s="138">
        <f t="shared" si="63"/>
        <v>0</v>
      </c>
      <c r="I3928" s="147" t="s">
        <v>15214</v>
      </c>
    </row>
    <row r="3929" spans="1:9" x14ac:dyDescent="0.25">
      <c r="A3929" s="168" t="s">
        <v>19384</v>
      </c>
      <c r="B3929" s="136" t="s">
        <v>19510</v>
      </c>
      <c r="C3929" s="137">
        <v>113978</v>
      </c>
      <c r="D3929" s="136" t="s">
        <v>16116</v>
      </c>
      <c r="E3929" s="138">
        <v>350</v>
      </c>
      <c r="F3929" s="139">
        <v>42885</v>
      </c>
      <c r="G3929" s="140">
        <v>350</v>
      </c>
      <c r="H3929" s="138">
        <f t="shared" si="63"/>
        <v>0</v>
      </c>
      <c r="I3929" s="141" t="s">
        <v>15214</v>
      </c>
    </row>
    <row r="3930" spans="1:9" x14ac:dyDescent="0.25">
      <c r="A3930" s="167" t="s">
        <v>19384</v>
      </c>
      <c r="B3930" s="142" t="s">
        <v>19511</v>
      </c>
      <c r="C3930" s="143">
        <v>113979</v>
      </c>
      <c r="D3930" s="142" t="s">
        <v>15263</v>
      </c>
      <c r="E3930" s="144">
        <v>1624.6</v>
      </c>
      <c r="F3930" s="145">
        <v>42885</v>
      </c>
      <c r="G3930" s="146">
        <v>1624.6</v>
      </c>
      <c r="H3930" s="138">
        <f t="shared" si="63"/>
        <v>0</v>
      </c>
      <c r="I3930" s="147" t="s">
        <v>15214</v>
      </c>
    </row>
    <row r="3931" spans="1:9" x14ac:dyDescent="0.25">
      <c r="A3931" s="168" t="s">
        <v>19512</v>
      </c>
      <c r="B3931" s="136" t="s">
        <v>19513</v>
      </c>
      <c r="C3931" s="137">
        <v>113980</v>
      </c>
      <c r="D3931" s="136" t="s">
        <v>15213</v>
      </c>
      <c r="E3931" s="138">
        <v>6371.8</v>
      </c>
      <c r="F3931" s="139">
        <v>42886</v>
      </c>
      <c r="G3931" s="140">
        <v>6371.8</v>
      </c>
      <c r="H3931" s="138">
        <f t="shared" si="63"/>
        <v>0</v>
      </c>
      <c r="I3931" s="141" t="s">
        <v>15214</v>
      </c>
    </row>
    <row r="3932" spans="1:9" x14ac:dyDescent="0.25">
      <c r="A3932" s="167" t="s">
        <v>19512</v>
      </c>
      <c r="B3932" s="142" t="s">
        <v>19514</v>
      </c>
      <c r="C3932" s="143">
        <v>113981</v>
      </c>
      <c r="D3932" s="142" t="s">
        <v>15216</v>
      </c>
      <c r="E3932" s="144">
        <v>803.3</v>
      </c>
      <c r="F3932" s="145">
        <v>42886</v>
      </c>
      <c r="G3932" s="146">
        <v>803.3</v>
      </c>
      <c r="H3932" s="138">
        <f t="shared" si="63"/>
        <v>0</v>
      </c>
      <c r="I3932" s="147" t="s">
        <v>15214</v>
      </c>
    </row>
    <row r="3933" spans="1:9" x14ac:dyDescent="0.25">
      <c r="A3933" s="168" t="s">
        <v>19512</v>
      </c>
      <c r="B3933" s="136" t="s">
        <v>19515</v>
      </c>
      <c r="C3933" s="137">
        <v>113982</v>
      </c>
      <c r="D3933" s="136" t="s">
        <v>15213</v>
      </c>
      <c r="E3933" s="138">
        <v>32931</v>
      </c>
      <c r="F3933" s="157">
        <v>42887</v>
      </c>
      <c r="G3933" s="158">
        <v>32931</v>
      </c>
      <c r="H3933" s="138">
        <f t="shared" si="63"/>
        <v>0</v>
      </c>
      <c r="I3933" s="141" t="s">
        <v>15214</v>
      </c>
    </row>
    <row r="3934" spans="1:9" x14ac:dyDescent="0.25">
      <c r="A3934" s="167" t="s">
        <v>19512</v>
      </c>
      <c r="B3934" s="142" t="s">
        <v>19516</v>
      </c>
      <c r="C3934" s="143">
        <v>113983</v>
      </c>
      <c r="D3934" s="142" t="s">
        <v>15330</v>
      </c>
      <c r="E3934" s="144">
        <v>1780</v>
      </c>
      <c r="F3934" s="145">
        <v>42886</v>
      </c>
      <c r="G3934" s="146">
        <v>1780</v>
      </c>
      <c r="H3934" s="138">
        <f t="shared" si="63"/>
        <v>0</v>
      </c>
      <c r="I3934" s="147" t="s">
        <v>15214</v>
      </c>
    </row>
    <row r="3935" spans="1:9" x14ac:dyDescent="0.25">
      <c r="A3935" s="168" t="s">
        <v>19512</v>
      </c>
      <c r="B3935" s="136" t="s">
        <v>19517</v>
      </c>
      <c r="C3935" s="137">
        <v>113984</v>
      </c>
      <c r="D3935" s="136" t="s">
        <v>15223</v>
      </c>
      <c r="E3935" s="138">
        <v>46233.599999999999</v>
      </c>
      <c r="F3935" s="139">
        <v>42901</v>
      </c>
      <c r="G3935" s="140">
        <v>46233.599999999999</v>
      </c>
      <c r="H3935" s="138">
        <f t="shared" si="63"/>
        <v>0</v>
      </c>
      <c r="I3935" s="141" t="s">
        <v>15214</v>
      </c>
    </row>
    <row r="3936" spans="1:9" ht="15.75" x14ac:dyDescent="0.25">
      <c r="A3936" s="167" t="s">
        <v>19512</v>
      </c>
      <c r="B3936" s="142" t="s">
        <v>19518</v>
      </c>
      <c r="C3936" s="143">
        <v>113985</v>
      </c>
      <c r="D3936" s="142" t="s">
        <v>15272</v>
      </c>
      <c r="E3936" s="144">
        <v>0</v>
      </c>
      <c r="F3936" s="156" t="s">
        <v>95</v>
      </c>
      <c r="G3936" s="144">
        <v>0</v>
      </c>
      <c r="H3936" s="138">
        <f t="shared" si="63"/>
        <v>0</v>
      </c>
      <c r="I3936" s="147" t="s">
        <v>95</v>
      </c>
    </row>
    <row r="3937" spans="1:9" x14ac:dyDescent="0.25">
      <c r="A3937" s="168" t="s">
        <v>19512</v>
      </c>
      <c r="B3937" s="136" t="s">
        <v>19519</v>
      </c>
      <c r="C3937" s="137">
        <v>113986</v>
      </c>
      <c r="D3937" s="136" t="s">
        <v>15272</v>
      </c>
      <c r="E3937" s="138">
        <v>23384.400000000001</v>
      </c>
      <c r="F3937" s="139">
        <v>42886</v>
      </c>
      <c r="G3937" s="140">
        <v>23384.400000000001</v>
      </c>
      <c r="H3937" s="138">
        <f t="shared" si="63"/>
        <v>0</v>
      </c>
      <c r="I3937" s="141" t="s">
        <v>15214</v>
      </c>
    </row>
    <row r="3938" spans="1:9" x14ac:dyDescent="0.25">
      <c r="A3938" s="167" t="s">
        <v>19512</v>
      </c>
      <c r="B3938" s="142" t="s">
        <v>19520</v>
      </c>
      <c r="C3938" s="143">
        <v>113987</v>
      </c>
      <c r="D3938" s="142" t="s">
        <v>15220</v>
      </c>
      <c r="E3938" s="144">
        <v>2880</v>
      </c>
      <c r="F3938" s="148">
        <v>42887</v>
      </c>
      <c r="G3938" s="149">
        <v>2880</v>
      </c>
      <c r="H3938" s="138">
        <f t="shared" si="63"/>
        <v>0</v>
      </c>
      <c r="I3938" s="147" t="s">
        <v>15214</v>
      </c>
    </row>
    <row r="3939" spans="1:9" x14ac:dyDescent="0.25">
      <c r="A3939" s="168" t="s">
        <v>19512</v>
      </c>
      <c r="B3939" s="136" t="s">
        <v>19521</v>
      </c>
      <c r="C3939" s="137">
        <v>113988</v>
      </c>
      <c r="D3939" s="136" t="s">
        <v>17462</v>
      </c>
      <c r="E3939" s="138">
        <v>5694.8</v>
      </c>
      <c r="F3939" s="139">
        <v>42886</v>
      </c>
      <c r="G3939" s="140">
        <v>5694.8</v>
      </c>
      <c r="H3939" s="138">
        <f t="shared" si="63"/>
        <v>0</v>
      </c>
      <c r="I3939" s="141" t="s">
        <v>15214</v>
      </c>
    </row>
    <row r="3940" spans="1:9" x14ac:dyDescent="0.25">
      <c r="A3940" s="167" t="s">
        <v>19512</v>
      </c>
      <c r="B3940" s="142" t="s">
        <v>19522</v>
      </c>
      <c r="C3940" s="143">
        <v>113989</v>
      </c>
      <c r="D3940" s="142" t="s">
        <v>15242</v>
      </c>
      <c r="E3940" s="144">
        <v>9970.4</v>
      </c>
      <c r="F3940" s="145">
        <v>42886</v>
      </c>
      <c r="G3940" s="146">
        <v>9970.4</v>
      </c>
      <c r="H3940" s="138">
        <f t="shared" si="63"/>
        <v>0</v>
      </c>
      <c r="I3940" s="147" t="s">
        <v>15214</v>
      </c>
    </row>
    <row r="3941" spans="1:9" x14ac:dyDescent="0.25">
      <c r="A3941" s="168" t="s">
        <v>19512</v>
      </c>
      <c r="B3941" s="136" t="s">
        <v>19523</v>
      </c>
      <c r="C3941" s="137">
        <v>113990</v>
      </c>
      <c r="D3941" s="136" t="s">
        <v>15252</v>
      </c>
      <c r="E3941" s="138">
        <v>4671.3</v>
      </c>
      <c r="F3941" s="157">
        <v>42891</v>
      </c>
      <c r="G3941" s="158">
        <v>4671.3</v>
      </c>
      <c r="H3941" s="138">
        <f t="shared" si="63"/>
        <v>0</v>
      </c>
      <c r="I3941" s="141" t="s">
        <v>15214</v>
      </c>
    </row>
    <row r="3942" spans="1:9" x14ac:dyDescent="0.25">
      <c r="A3942" s="167" t="s">
        <v>19512</v>
      </c>
      <c r="B3942" s="142" t="s">
        <v>19524</v>
      </c>
      <c r="C3942" s="143">
        <v>113991</v>
      </c>
      <c r="D3942" s="142" t="s">
        <v>15315</v>
      </c>
      <c r="E3942" s="144">
        <v>1917.6</v>
      </c>
      <c r="F3942" s="145">
        <v>42886</v>
      </c>
      <c r="G3942" s="146">
        <v>1917.6</v>
      </c>
      <c r="H3942" s="138">
        <f t="shared" si="63"/>
        <v>0</v>
      </c>
      <c r="I3942" s="147" t="s">
        <v>15214</v>
      </c>
    </row>
    <row r="3943" spans="1:9" x14ac:dyDescent="0.25">
      <c r="A3943" s="168" t="s">
        <v>19512</v>
      </c>
      <c r="B3943" s="136" t="s">
        <v>19525</v>
      </c>
      <c r="C3943" s="137">
        <v>113992</v>
      </c>
      <c r="D3943" s="136" t="s">
        <v>15244</v>
      </c>
      <c r="E3943" s="138">
        <v>8390.4</v>
      </c>
      <c r="F3943" s="157">
        <v>42888</v>
      </c>
      <c r="G3943" s="158">
        <v>8390.4</v>
      </c>
      <c r="H3943" s="138">
        <f t="shared" si="63"/>
        <v>0</v>
      </c>
      <c r="I3943" s="141" t="s">
        <v>15214</v>
      </c>
    </row>
    <row r="3944" spans="1:9" x14ac:dyDescent="0.25">
      <c r="A3944" s="167" t="s">
        <v>19512</v>
      </c>
      <c r="B3944" s="142" t="s">
        <v>19526</v>
      </c>
      <c r="C3944" s="143">
        <v>113993</v>
      </c>
      <c r="D3944" s="142" t="s">
        <v>15348</v>
      </c>
      <c r="E3944" s="144">
        <v>3163.2</v>
      </c>
      <c r="F3944" s="148">
        <v>42889</v>
      </c>
      <c r="G3944" s="149">
        <v>3163.2</v>
      </c>
      <c r="H3944" s="138">
        <f t="shared" si="63"/>
        <v>0</v>
      </c>
      <c r="I3944" s="147" t="s">
        <v>15214</v>
      </c>
    </row>
    <row r="3945" spans="1:9" x14ac:dyDescent="0.25">
      <c r="A3945" s="168" t="s">
        <v>19512</v>
      </c>
      <c r="B3945" s="136" t="s">
        <v>19527</v>
      </c>
      <c r="C3945" s="137">
        <v>113994</v>
      </c>
      <c r="D3945" s="136" t="s">
        <v>15240</v>
      </c>
      <c r="E3945" s="138">
        <v>3548.4</v>
      </c>
      <c r="F3945" s="157">
        <v>42888</v>
      </c>
      <c r="G3945" s="158">
        <v>3548.4</v>
      </c>
      <c r="H3945" s="138">
        <f t="shared" si="63"/>
        <v>0</v>
      </c>
      <c r="I3945" s="141" t="s">
        <v>15214</v>
      </c>
    </row>
    <row r="3946" spans="1:9" x14ac:dyDescent="0.25">
      <c r="A3946" s="167" t="s">
        <v>19512</v>
      </c>
      <c r="B3946" s="142" t="s">
        <v>19528</v>
      </c>
      <c r="C3946" s="143">
        <v>113995</v>
      </c>
      <c r="D3946" s="142" t="s">
        <v>15583</v>
      </c>
      <c r="E3946" s="144">
        <v>1474.9</v>
      </c>
      <c r="F3946" s="148">
        <v>42888</v>
      </c>
      <c r="G3946" s="149">
        <v>1474.9</v>
      </c>
      <c r="H3946" s="138">
        <f t="shared" si="63"/>
        <v>0</v>
      </c>
      <c r="I3946" s="147" t="s">
        <v>15214</v>
      </c>
    </row>
    <row r="3947" spans="1:9" x14ac:dyDescent="0.25">
      <c r="A3947" s="168" t="s">
        <v>19512</v>
      </c>
      <c r="B3947" s="136" t="s">
        <v>19529</v>
      </c>
      <c r="C3947" s="137">
        <v>113996</v>
      </c>
      <c r="D3947" s="136" t="s">
        <v>15317</v>
      </c>
      <c r="E3947" s="138">
        <v>775.5</v>
      </c>
      <c r="F3947" s="139">
        <v>42886</v>
      </c>
      <c r="G3947" s="140">
        <v>775.5</v>
      </c>
      <c r="H3947" s="138">
        <f t="shared" si="63"/>
        <v>0</v>
      </c>
      <c r="I3947" s="141" t="s">
        <v>15214</v>
      </c>
    </row>
    <row r="3948" spans="1:9" x14ac:dyDescent="0.25">
      <c r="A3948" s="167" t="s">
        <v>19512</v>
      </c>
      <c r="B3948" s="142" t="s">
        <v>19530</v>
      </c>
      <c r="C3948" s="143">
        <v>113997</v>
      </c>
      <c r="D3948" s="142" t="s">
        <v>15320</v>
      </c>
      <c r="E3948" s="144">
        <v>4707</v>
      </c>
      <c r="F3948" s="145">
        <v>42886</v>
      </c>
      <c r="G3948" s="146">
        <v>4707</v>
      </c>
      <c r="H3948" s="138">
        <f t="shared" si="63"/>
        <v>0</v>
      </c>
      <c r="I3948" s="147" t="s">
        <v>15214</v>
      </c>
    </row>
    <row r="3949" spans="1:9" x14ac:dyDescent="0.25">
      <c r="A3949" s="168" t="s">
        <v>19512</v>
      </c>
      <c r="B3949" s="136" t="s">
        <v>19531</v>
      </c>
      <c r="C3949" s="137">
        <v>113998</v>
      </c>
      <c r="D3949" s="136" t="s">
        <v>15284</v>
      </c>
      <c r="E3949" s="138">
        <v>3634.2</v>
      </c>
      <c r="F3949" s="139">
        <v>42886</v>
      </c>
      <c r="G3949" s="140">
        <v>3634.2</v>
      </c>
      <c r="H3949" s="138">
        <f t="shared" si="63"/>
        <v>0</v>
      </c>
      <c r="I3949" s="141" t="s">
        <v>15214</v>
      </c>
    </row>
    <row r="3950" spans="1:9" x14ac:dyDescent="0.25">
      <c r="A3950" s="167" t="s">
        <v>19512</v>
      </c>
      <c r="B3950" s="142" t="s">
        <v>19532</v>
      </c>
      <c r="C3950" s="143">
        <v>113999</v>
      </c>
      <c r="D3950" s="142" t="s">
        <v>15246</v>
      </c>
      <c r="E3950" s="144">
        <v>630.79999999999995</v>
      </c>
      <c r="F3950" s="148">
        <v>42887</v>
      </c>
      <c r="G3950" s="149">
        <v>630.79999999999995</v>
      </c>
      <c r="H3950" s="138">
        <f t="shared" si="63"/>
        <v>0</v>
      </c>
      <c r="I3950" s="147" t="s">
        <v>15214</v>
      </c>
    </row>
    <row r="3951" spans="1:9" x14ac:dyDescent="0.25">
      <c r="A3951" s="168" t="s">
        <v>19512</v>
      </c>
      <c r="B3951" s="136" t="s">
        <v>19533</v>
      </c>
      <c r="C3951" s="137">
        <v>114000</v>
      </c>
      <c r="D3951" s="136" t="s">
        <v>15226</v>
      </c>
      <c r="E3951" s="138">
        <v>1878.2</v>
      </c>
      <c r="F3951" s="157">
        <v>42888</v>
      </c>
      <c r="G3951" s="158">
        <v>1878.2</v>
      </c>
      <c r="H3951" s="138">
        <f t="shared" si="63"/>
        <v>0</v>
      </c>
      <c r="I3951" s="141" t="s">
        <v>15214</v>
      </c>
    </row>
    <row r="3952" spans="1:9" ht="15.75" x14ac:dyDescent="0.25">
      <c r="A3952" s="167" t="s">
        <v>19512</v>
      </c>
      <c r="B3952" s="142" t="s">
        <v>19534</v>
      </c>
      <c r="C3952" s="143">
        <v>114001</v>
      </c>
      <c r="D3952" s="142" t="s">
        <v>15462</v>
      </c>
      <c r="E3952" s="144">
        <v>0</v>
      </c>
      <c r="F3952" s="156" t="s">
        <v>95</v>
      </c>
      <c r="G3952" s="144">
        <v>0</v>
      </c>
      <c r="H3952" s="138">
        <f t="shared" si="63"/>
        <v>0</v>
      </c>
      <c r="I3952" s="147" t="s">
        <v>95</v>
      </c>
    </row>
    <row r="3953" spans="1:9" x14ac:dyDescent="0.25">
      <c r="A3953" s="168" t="s">
        <v>19512</v>
      </c>
      <c r="B3953" s="136" t="s">
        <v>19535</v>
      </c>
      <c r="C3953" s="137">
        <v>114002</v>
      </c>
      <c r="D3953" s="136" t="s">
        <v>15232</v>
      </c>
      <c r="E3953" s="138">
        <v>6290.9</v>
      </c>
      <c r="F3953" s="157">
        <v>42894</v>
      </c>
      <c r="G3953" s="158">
        <v>6290.9</v>
      </c>
      <c r="H3953" s="138">
        <f t="shared" si="63"/>
        <v>0</v>
      </c>
      <c r="I3953" s="141" t="s">
        <v>15214</v>
      </c>
    </row>
    <row r="3954" spans="1:9" x14ac:dyDescent="0.25">
      <c r="A3954" s="167" t="s">
        <v>19512</v>
      </c>
      <c r="B3954" s="142" t="s">
        <v>19536</v>
      </c>
      <c r="C3954" s="143">
        <v>114003</v>
      </c>
      <c r="D3954" s="142" t="s">
        <v>5575</v>
      </c>
      <c r="E3954" s="144">
        <v>4008.4</v>
      </c>
      <c r="F3954" s="148">
        <v>42887</v>
      </c>
      <c r="G3954" s="149">
        <v>4008.4</v>
      </c>
      <c r="H3954" s="138">
        <f t="shared" si="63"/>
        <v>0</v>
      </c>
      <c r="I3954" s="147" t="s">
        <v>15214</v>
      </c>
    </row>
    <row r="3955" spans="1:9" x14ac:dyDescent="0.25">
      <c r="A3955" s="168" t="s">
        <v>19512</v>
      </c>
      <c r="B3955" s="136" t="s">
        <v>19537</v>
      </c>
      <c r="C3955" s="137">
        <v>114004</v>
      </c>
      <c r="D3955" s="136" t="s">
        <v>15668</v>
      </c>
      <c r="E3955" s="138">
        <v>6239.6</v>
      </c>
      <c r="F3955" s="157">
        <v>42887</v>
      </c>
      <c r="G3955" s="158">
        <v>6239.6</v>
      </c>
      <c r="H3955" s="138">
        <f t="shared" si="63"/>
        <v>0</v>
      </c>
      <c r="I3955" s="141" t="s">
        <v>15214</v>
      </c>
    </row>
    <row r="3956" spans="1:9" x14ac:dyDescent="0.25">
      <c r="A3956" s="167" t="s">
        <v>19512</v>
      </c>
      <c r="B3956" s="142" t="s">
        <v>19538</v>
      </c>
      <c r="C3956" s="143">
        <v>114005</v>
      </c>
      <c r="D3956" s="142" t="s">
        <v>15480</v>
      </c>
      <c r="E3956" s="144">
        <v>3070.4</v>
      </c>
      <c r="F3956" s="148">
        <v>42889</v>
      </c>
      <c r="G3956" s="149">
        <v>3070.4</v>
      </c>
      <c r="H3956" s="138">
        <f t="shared" si="63"/>
        <v>0</v>
      </c>
      <c r="I3956" s="147" t="s">
        <v>15214</v>
      </c>
    </row>
    <row r="3957" spans="1:9" x14ac:dyDescent="0.25">
      <c r="A3957" s="168" t="s">
        <v>19512</v>
      </c>
      <c r="B3957" s="136" t="s">
        <v>19539</v>
      </c>
      <c r="C3957" s="137">
        <v>114006</v>
      </c>
      <c r="D3957" s="136" t="s">
        <v>15256</v>
      </c>
      <c r="E3957" s="138">
        <v>3564.4</v>
      </c>
      <c r="F3957" s="157">
        <v>42887</v>
      </c>
      <c r="G3957" s="158">
        <v>3564.4</v>
      </c>
      <c r="H3957" s="138">
        <f t="shared" si="63"/>
        <v>0</v>
      </c>
      <c r="I3957" s="141" t="s">
        <v>15214</v>
      </c>
    </row>
    <row r="3958" spans="1:9" x14ac:dyDescent="0.25">
      <c r="A3958" s="167" t="s">
        <v>19512</v>
      </c>
      <c r="B3958" s="142" t="s">
        <v>19540</v>
      </c>
      <c r="C3958" s="143">
        <v>114007</v>
      </c>
      <c r="D3958" s="142" t="s">
        <v>15258</v>
      </c>
      <c r="E3958" s="144">
        <v>14234.8</v>
      </c>
      <c r="F3958" s="148" t="s">
        <v>19651</v>
      </c>
      <c r="G3958" s="149">
        <f>4000+10234.8</f>
        <v>14234.8</v>
      </c>
      <c r="H3958" s="138">
        <f t="shared" si="63"/>
        <v>0</v>
      </c>
      <c r="I3958" s="147" t="s">
        <v>15214</v>
      </c>
    </row>
    <row r="3959" spans="1:9" x14ac:dyDescent="0.25">
      <c r="A3959" s="168" t="s">
        <v>19512</v>
      </c>
      <c r="B3959" s="136" t="s">
        <v>19541</v>
      </c>
      <c r="C3959" s="137">
        <v>114008</v>
      </c>
      <c r="D3959" s="136" t="s">
        <v>15236</v>
      </c>
      <c r="E3959" s="138">
        <v>6999.6</v>
      </c>
      <c r="F3959" s="157">
        <v>42888</v>
      </c>
      <c r="G3959" s="158">
        <v>6999.6</v>
      </c>
      <c r="H3959" s="138">
        <f t="shared" si="63"/>
        <v>0</v>
      </c>
      <c r="I3959" s="141" t="s">
        <v>15214</v>
      </c>
    </row>
    <row r="3960" spans="1:9" x14ac:dyDescent="0.25">
      <c r="A3960" s="167" t="s">
        <v>19512</v>
      </c>
      <c r="B3960" s="142" t="s">
        <v>19542</v>
      </c>
      <c r="C3960" s="143">
        <v>114009</v>
      </c>
      <c r="D3960" s="142" t="s">
        <v>15263</v>
      </c>
      <c r="E3960" s="144">
        <v>4252.2</v>
      </c>
      <c r="F3960" s="145">
        <v>42886</v>
      </c>
      <c r="G3960" s="146">
        <v>4252.2</v>
      </c>
      <c r="H3960" s="138">
        <f t="shared" si="63"/>
        <v>0</v>
      </c>
      <c r="I3960" s="147" t="s">
        <v>15214</v>
      </c>
    </row>
    <row r="3961" spans="1:9" x14ac:dyDescent="0.25">
      <c r="A3961" s="168" t="s">
        <v>19512</v>
      </c>
      <c r="B3961" s="136" t="s">
        <v>19543</v>
      </c>
      <c r="C3961" s="137">
        <v>114010</v>
      </c>
      <c r="D3961" s="136" t="s">
        <v>15427</v>
      </c>
      <c r="E3961" s="138">
        <v>41952</v>
      </c>
      <c r="F3961" s="139">
        <v>42886</v>
      </c>
      <c r="G3961" s="140">
        <v>41952</v>
      </c>
      <c r="H3961" s="138">
        <f t="shared" si="63"/>
        <v>0</v>
      </c>
      <c r="I3961" s="141" t="s">
        <v>15214</v>
      </c>
    </row>
    <row r="3962" spans="1:9" x14ac:dyDescent="0.25">
      <c r="A3962" s="167" t="s">
        <v>19512</v>
      </c>
      <c r="B3962" s="142" t="s">
        <v>19544</v>
      </c>
      <c r="C3962" s="143">
        <v>114011</v>
      </c>
      <c r="D3962" s="142" t="s">
        <v>15256</v>
      </c>
      <c r="E3962" s="144">
        <v>3132.8</v>
      </c>
      <c r="F3962" s="148" t="s">
        <v>19652</v>
      </c>
      <c r="G3962" s="149">
        <f>2800+332.8</f>
        <v>3132.8</v>
      </c>
      <c r="H3962" s="138">
        <f t="shared" si="63"/>
        <v>0</v>
      </c>
      <c r="I3962" s="147" t="s">
        <v>15214</v>
      </c>
    </row>
    <row r="3963" spans="1:9" x14ac:dyDescent="0.25">
      <c r="A3963" s="168" t="s">
        <v>19512</v>
      </c>
      <c r="B3963" s="136" t="s">
        <v>19545</v>
      </c>
      <c r="C3963" s="137">
        <v>114012</v>
      </c>
      <c r="D3963" s="136" t="s">
        <v>19302</v>
      </c>
      <c r="E3963" s="138">
        <v>960</v>
      </c>
      <c r="F3963" s="157">
        <v>42887</v>
      </c>
      <c r="G3963" s="158">
        <v>960</v>
      </c>
      <c r="H3963" s="138">
        <f t="shared" si="63"/>
        <v>0</v>
      </c>
      <c r="I3963" s="141" t="s">
        <v>15214</v>
      </c>
    </row>
    <row r="3964" spans="1:9" x14ac:dyDescent="0.25">
      <c r="A3964" s="167" t="s">
        <v>19512</v>
      </c>
      <c r="B3964" s="142" t="s">
        <v>19546</v>
      </c>
      <c r="C3964" s="143">
        <v>114013</v>
      </c>
      <c r="D3964" s="142" t="s">
        <v>15230</v>
      </c>
      <c r="E3964" s="144">
        <v>10103.799999999999</v>
      </c>
      <c r="F3964" s="148">
        <v>42889</v>
      </c>
      <c r="G3964" s="149">
        <v>10103.799999999999</v>
      </c>
      <c r="H3964" s="138">
        <f t="shared" si="63"/>
        <v>0</v>
      </c>
      <c r="I3964" s="147" t="s">
        <v>15214</v>
      </c>
    </row>
    <row r="3965" spans="1:9" x14ac:dyDescent="0.25">
      <c r="A3965" s="168" t="s">
        <v>19512</v>
      </c>
      <c r="B3965" s="136" t="s">
        <v>19547</v>
      </c>
      <c r="C3965" s="137">
        <v>114014</v>
      </c>
      <c r="D3965" s="136" t="s">
        <v>15367</v>
      </c>
      <c r="E3965" s="138">
        <v>7160</v>
      </c>
      <c r="F3965" s="139">
        <v>42886</v>
      </c>
      <c r="G3965" s="140">
        <v>7160</v>
      </c>
      <c r="H3965" s="138">
        <f t="shared" si="63"/>
        <v>0</v>
      </c>
      <c r="I3965" s="141" t="s">
        <v>15214</v>
      </c>
    </row>
    <row r="3966" spans="1:9" x14ac:dyDescent="0.25">
      <c r="A3966" s="167" t="s">
        <v>19512</v>
      </c>
      <c r="B3966" s="142" t="s">
        <v>19548</v>
      </c>
      <c r="C3966" s="143">
        <v>114015</v>
      </c>
      <c r="D3966" s="142" t="s">
        <v>19549</v>
      </c>
      <c r="E3966" s="144">
        <v>13340</v>
      </c>
      <c r="F3966" s="145">
        <v>42886</v>
      </c>
      <c r="G3966" s="146">
        <v>13340</v>
      </c>
      <c r="H3966" s="138">
        <f t="shared" si="63"/>
        <v>0</v>
      </c>
      <c r="I3966" s="147" t="s">
        <v>15214</v>
      </c>
    </row>
    <row r="3967" spans="1:9" x14ac:dyDescent="0.25">
      <c r="A3967" s="168" t="s">
        <v>19512</v>
      </c>
      <c r="B3967" s="136" t="s">
        <v>19550</v>
      </c>
      <c r="C3967" s="137">
        <v>114016</v>
      </c>
      <c r="D3967" s="136" t="s">
        <v>16604</v>
      </c>
      <c r="E3967" s="138">
        <v>12985.5</v>
      </c>
      <c r="F3967" s="139">
        <v>42886</v>
      </c>
      <c r="G3967" s="140">
        <v>12985.5</v>
      </c>
      <c r="H3967" s="138">
        <f t="shared" si="63"/>
        <v>0</v>
      </c>
      <c r="I3967" s="141" t="s">
        <v>15214</v>
      </c>
    </row>
    <row r="3968" spans="1:9" x14ac:dyDescent="0.25">
      <c r="A3968" s="167" t="s">
        <v>19512</v>
      </c>
      <c r="B3968" s="142" t="s">
        <v>19551</v>
      </c>
      <c r="C3968" s="143">
        <v>114017</v>
      </c>
      <c r="D3968" s="142" t="s">
        <v>15324</v>
      </c>
      <c r="E3968" s="144">
        <v>1713</v>
      </c>
      <c r="F3968" s="145">
        <v>42886</v>
      </c>
      <c r="G3968" s="146">
        <v>1713</v>
      </c>
      <c r="H3968" s="138">
        <f t="shared" si="63"/>
        <v>0</v>
      </c>
      <c r="I3968" s="147" t="s">
        <v>15214</v>
      </c>
    </row>
    <row r="3969" spans="1:9" x14ac:dyDescent="0.25">
      <c r="A3969" s="168" t="s">
        <v>19512</v>
      </c>
      <c r="B3969" s="136" t="s">
        <v>19552</v>
      </c>
      <c r="C3969" s="137">
        <v>114018</v>
      </c>
      <c r="D3969" s="136" t="s">
        <v>15274</v>
      </c>
      <c r="E3969" s="138">
        <v>1335.68</v>
      </c>
      <c r="F3969" s="139">
        <v>42886</v>
      </c>
      <c r="G3969" s="140">
        <v>1335.68</v>
      </c>
      <c r="H3969" s="138">
        <f t="shared" si="63"/>
        <v>0</v>
      </c>
      <c r="I3969" s="141" t="s">
        <v>15214</v>
      </c>
    </row>
    <row r="3970" spans="1:9" x14ac:dyDescent="0.25">
      <c r="A3970" s="167" t="s">
        <v>19512</v>
      </c>
      <c r="B3970" s="142" t="s">
        <v>19553</v>
      </c>
      <c r="C3970" s="143">
        <v>114019</v>
      </c>
      <c r="D3970" s="142" t="s">
        <v>15371</v>
      </c>
      <c r="E3970" s="144">
        <v>3176.5</v>
      </c>
      <c r="F3970" s="148">
        <v>42887</v>
      </c>
      <c r="G3970" s="149">
        <v>3176.5</v>
      </c>
      <c r="H3970" s="138">
        <f t="shared" si="63"/>
        <v>0</v>
      </c>
      <c r="I3970" s="147" t="s">
        <v>15214</v>
      </c>
    </row>
    <row r="3971" spans="1:9" x14ac:dyDescent="0.25">
      <c r="A3971" s="168" t="s">
        <v>19512</v>
      </c>
      <c r="B3971" s="136" t="s">
        <v>19554</v>
      </c>
      <c r="C3971" s="137">
        <v>114020</v>
      </c>
      <c r="D3971" s="136" t="s">
        <v>15274</v>
      </c>
      <c r="E3971" s="138">
        <v>3036</v>
      </c>
      <c r="F3971" s="139">
        <v>42886</v>
      </c>
      <c r="G3971" s="140">
        <v>3036</v>
      </c>
      <c r="H3971" s="138">
        <f t="shared" si="63"/>
        <v>0</v>
      </c>
      <c r="I3971" s="141" t="s">
        <v>15214</v>
      </c>
    </row>
    <row r="3972" spans="1:9" x14ac:dyDescent="0.25">
      <c r="A3972" s="167" t="s">
        <v>19512</v>
      </c>
      <c r="B3972" s="142" t="s">
        <v>19555</v>
      </c>
      <c r="C3972" s="143">
        <v>114021</v>
      </c>
      <c r="D3972" s="142" t="s">
        <v>15530</v>
      </c>
      <c r="E3972" s="144">
        <v>1487.4</v>
      </c>
      <c r="F3972" s="145">
        <v>42886</v>
      </c>
      <c r="G3972" s="146">
        <v>1487.4</v>
      </c>
      <c r="H3972" s="138">
        <f t="shared" si="63"/>
        <v>0</v>
      </c>
      <c r="I3972" s="147" t="s">
        <v>15214</v>
      </c>
    </row>
    <row r="3973" spans="1:9" x14ac:dyDescent="0.25">
      <c r="A3973" s="168" t="s">
        <v>19512</v>
      </c>
      <c r="B3973" s="136" t="s">
        <v>19556</v>
      </c>
      <c r="C3973" s="137">
        <v>114022</v>
      </c>
      <c r="D3973" s="136" t="s">
        <v>15581</v>
      </c>
      <c r="E3973" s="138">
        <v>21453.9</v>
      </c>
      <c r="F3973" s="157">
        <v>42887</v>
      </c>
      <c r="G3973" s="158">
        <v>21453.9</v>
      </c>
      <c r="H3973" s="138">
        <f t="shared" si="63"/>
        <v>0</v>
      </c>
      <c r="I3973" s="141" t="s">
        <v>15214</v>
      </c>
    </row>
    <row r="3974" spans="1:9" x14ac:dyDescent="0.25">
      <c r="A3974" s="167" t="s">
        <v>19512</v>
      </c>
      <c r="B3974" s="142" t="s">
        <v>19557</v>
      </c>
      <c r="C3974" s="143">
        <v>114023</v>
      </c>
      <c r="D3974" s="142" t="s">
        <v>15278</v>
      </c>
      <c r="E3974" s="144">
        <v>3771</v>
      </c>
      <c r="F3974" s="145">
        <v>42886</v>
      </c>
      <c r="G3974" s="146">
        <v>3771</v>
      </c>
      <c r="H3974" s="138">
        <f t="shared" si="63"/>
        <v>0</v>
      </c>
      <c r="I3974" s="147" t="s">
        <v>15214</v>
      </c>
    </row>
    <row r="3975" spans="1:9" x14ac:dyDescent="0.25">
      <c r="A3975" s="168" t="s">
        <v>19512</v>
      </c>
      <c r="B3975" s="136" t="s">
        <v>19558</v>
      </c>
      <c r="C3975" s="137">
        <v>114024</v>
      </c>
      <c r="D3975" s="136" t="s">
        <v>15530</v>
      </c>
      <c r="E3975" s="138">
        <v>42</v>
      </c>
      <c r="F3975" s="139">
        <v>42886</v>
      </c>
      <c r="G3975" s="140">
        <v>42</v>
      </c>
      <c r="H3975" s="138">
        <f t="shared" ref="H3975:H4038" si="64">E3975-G3975</f>
        <v>0</v>
      </c>
      <c r="I3975" s="141" t="s">
        <v>15214</v>
      </c>
    </row>
    <row r="3976" spans="1:9" x14ac:dyDescent="0.25">
      <c r="A3976" s="167" t="s">
        <v>19512</v>
      </c>
      <c r="B3976" s="142" t="s">
        <v>19559</v>
      </c>
      <c r="C3976" s="143">
        <v>114025</v>
      </c>
      <c r="D3976" s="142" t="s">
        <v>15280</v>
      </c>
      <c r="E3976" s="144">
        <v>6322.6</v>
      </c>
      <c r="F3976" s="145">
        <v>42886</v>
      </c>
      <c r="G3976" s="146">
        <v>6322.6</v>
      </c>
      <c r="H3976" s="138">
        <f t="shared" si="64"/>
        <v>0</v>
      </c>
      <c r="I3976" s="147" t="s">
        <v>15214</v>
      </c>
    </row>
    <row r="3977" spans="1:9" x14ac:dyDescent="0.25">
      <c r="A3977" s="168" t="s">
        <v>19512</v>
      </c>
      <c r="B3977" s="136" t="s">
        <v>19560</v>
      </c>
      <c r="C3977" s="137">
        <v>114026</v>
      </c>
      <c r="D3977" s="136" t="s">
        <v>15868</v>
      </c>
      <c r="E3977" s="138">
        <v>3534</v>
      </c>
      <c r="F3977" s="139">
        <v>42886</v>
      </c>
      <c r="G3977" s="140">
        <v>3534</v>
      </c>
      <c r="H3977" s="138">
        <f t="shared" si="64"/>
        <v>0</v>
      </c>
      <c r="I3977" s="141" t="s">
        <v>15214</v>
      </c>
    </row>
    <row r="3978" spans="1:9" x14ac:dyDescent="0.25">
      <c r="A3978" s="167" t="s">
        <v>19512</v>
      </c>
      <c r="B3978" s="142" t="s">
        <v>19561</v>
      </c>
      <c r="C3978" s="143">
        <v>114027</v>
      </c>
      <c r="D3978" s="142" t="s">
        <v>15590</v>
      </c>
      <c r="E3978" s="144">
        <v>26955</v>
      </c>
      <c r="F3978" s="148">
        <v>42895</v>
      </c>
      <c r="G3978" s="149">
        <v>26955</v>
      </c>
      <c r="H3978" s="138">
        <f t="shared" si="64"/>
        <v>0</v>
      </c>
      <c r="I3978" s="147" t="s">
        <v>15214</v>
      </c>
    </row>
    <row r="3979" spans="1:9" x14ac:dyDescent="0.25">
      <c r="A3979" s="168" t="s">
        <v>19512</v>
      </c>
      <c r="B3979" s="136" t="s">
        <v>19562</v>
      </c>
      <c r="C3979" s="137">
        <v>114028</v>
      </c>
      <c r="D3979" s="136" t="s">
        <v>15592</v>
      </c>
      <c r="E3979" s="138">
        <v>10974</v>
      </c>
      <c r="F3979" s="139">
        <v>42886</v>
      </c>
      <c r="G3979" s="140">
        <v>10974</v>
      </c>
      <c r="H3979" s="138">
        <f t="shared" si="64"/>
        <v>0</v>
      </c>
      <c r="I3979" s="141" t="s">
        <v>15214</v>
      </c>
    </row>
    <row r="3980" spans="1:9" x14ac:dyDescent="0.25">
      <c r="A3980" s="167" t="s">
        <v>19512</v>
      </c>
      <c r="B3980" s="142" t="s">
        <v>19563</v>
      </c>
      <c r="C3980" s="143">
        <v>114029</v>
      </c>
      <c r="D3980" s="142" t="s">
        <v>15526</v>
      </c>
      <c r="E3980" s="144">
        <v>3273.6</v>
      </c>
      <c r="F3980" s="148">
        <v>42887</v>
      </c>
      <c r="G3980" s="149">
        <v>3273.6</v>
      </c>
      <c r="H3980" s="138">
        <f t="shared" si="64"/>
        <v>0</v>
      </c>
      <c r="I3980" s="147" t="s">
        <v>15214</v>
      </c>
    </row>
    <row r="3981" spans="1:9" x14ac:dyDescent="0.25">
      <c r="A3981" s="168" t="s">
        <v>19512</v>
      </c>
      <c r="B3981" s="136" t="s">
        <v>19564</v>
      </c>
      <c r="C3981" s="137">
        <v>114030</v>
      </c>
      <c r="D3981" s="136" t="s">
        <v>15526</v>
      </c>
      <c r="E3981" s="138">
        <v>2448</v>
      </c>
      <c r="F3981" s="157">
        <v>42887</v>
      </c>
      <c r="G3981" s="158">
        <v>2448</v>
      </c>
      <c r="H3981" s="138">
        <f t="shared" si="64"/>
        <v>0</v>
      </c>
      <c r="I3981" s="141" t="s">
        <v>15214</v>
      </c>
    </row>
    <row r="3982" spans="1:9" x14ac:dyDescent="0.25">
      <c r="A3982" s="167" t="s">
        <v>19512</v>
      </c>
      <c r="B3982" s="142" t="s">
        <v>19565</v>
      </c>
      <c r="C3982" s="143">
        <v>114031</v>
      </c>
      <c r="D3982" s="142" t="s">
        <v>15562</v>
      </c>
      <c r="E3982" s="144">
        <v>3525.6</v>
      </c>
      <c r="F3982" s="145">
        <v>42886</v>
      </c>
      <c r="G3982" s="146">
        <v>3525.6</v>
      </c>
      <c r="H3982" s="138">
        <f t="shared" si="64"/>
        <v>0</v>
      </c>
      <c r="I3982" s="147" t="s">
        <v>15214</v>
      </c>
    </row>
    <row r="3983" spans="1:9" x14ac:dyDescent="0.25">
      <c r="A3983" s="168" t="s">
        <v>19512</v>
      </c>
      <c r="B3983" s="136" t="s">
        <v>19566</v>
      </c>
      <c r="C3983" s="137">
        <v>114032</v>
      </c>
      <c r="D3983" s="136" t="s">
        <v>15350</v>
      </c>
      <c r="E3983" s="138">
        <v>576</v>
      </c>
      <c r="F3983" s="157">
        <v>42887</v>
      </c>
      <c r="G3983" s="158">
        <v>576</v>
      </c>
      <c r="H3983" s="138">
        <f t="shared" si="64"/>
        <v>0</v>
      </c>
      <c r="I3983" s="141" t="s">
        <v>15214</v>
      </c>
    </row>
    <row r="3984" spans="1:9" x14ac:dyDescent="0.25">
      <c r="A3984" s="167" t="s">
        <v>19512</v>
      </c>
      <c r="B3984" s="142" t="s">
        <v>19567</v>
      </c>
      <c r="C3984" s="143">
        <v>114033</v>
      </c>
      <c r="D3984" s="142" t="s">
        <v>15394</v>
      </c>
      <c r="E3984" s="144">
        <v>28494.400000000001</v>
      </c>
      <c r="F3984" s="148">
        <v>42889</v>
      </c>
      <c r="G3984" s="149">
        <v>28494.400000000001</v>
      </c>
      <c r="H3984" s="138">
        <f t="shared" si="64"/>
        <v>0</v>
      </c>
      <c r="I3984" s="147" t="s">
        <v>15214</v>
      </c>
    </row>
    <row r="3985" spans="1:9" x14ac:dyDescent="0.25">
      <c r="A3985" s="168" t="s">
        <v>19512</v>
      </c>
      <c r="B3985" s="136" t="s">
        <v>19568</v>
      </c>
      <c r="C3985" s="137">
        <v>114034</v>
      </c>
      <c r="D3985" s="136" t="s">
        <v>15358</v>
      </c>
      <c r="E3985" s="138">
        <v>1223.5999999999999</v>
      </c>
      <c r="F3985" s="157">
        <v>42887</v>
      </c>
      <c r="G3985" s="158">
        <v>1223.5999999999999</v>
      </c>
      <c r="H3985" s="138">
        <f t="shared" si="64"/>
        <v>0</v>
      </c>
      <c r="I3985" s="141" t="s">
        <v>15214</v>
      </c>
    </row>
    <row r="3986" spans="1:9" x14ac:dyDescent="0.25">
      <c r="A3986" s="167" t="s">
        <v>19512</v>
      </c>
      <c r="B3986" s="142" t="s">
        <v>19569</v>
      </c>
      <c r="C3986" s="143">
        <v>114035</v>
      </c>
      <c r="D3986" s="142" t="s">
        <v>16093</v>
      </c>
      <c r="E3986" s="144">
        <v>5110.2</v>
      </c>
      <c r="F3986" s="145">
        <v>42886</v>
      </c>
      <c r="G3986" s="146">
        <v>5110.2</v>
      </c>
      <c r="H3986" s="138">
        <f t="shared" si="64"/>
        <v>0</v>
      </c>
      <c r="I3986" s="147" t="s">
        <v>15214</v>
      </c>
    </row>
    <row r="3987" spans="1:9" x14ac:dyDescent="0.25">
      <c r="A3987" s="168" t="s">
        <v>19512</v>
      </c>
      <c r="B3987" s="136" t="s">
        <v>19570</v>
      </c>
      <c r="C3987" s="137">
        <v>114036</v>
      </c>
      <c r="D3987" s="136" t="s">
        <v>15382</v>
      </c>
      <c r="E3987" s="138">
        <v>676.8</v>
      </c>
      <c r="F3987" s="157">
        <v>42887</v>
      </c>
      <c r="G3987" s="158">
        <v>676.8</v>
      </c>
      <c r="H3987" s="138">
        <f t="shared" si="64"/>
        <v>0</v>
      </c>
      <c r="I3987" s="141" t="s">
        <v>15214</v>
      </c>
    </row>
    <row r="3988" spans="1:9" x14ac:dyDescent="0.25">
      <c r="A3988" s="167" t="s">
        <v>19512</v>
      </c>
      <c r="B3988" s="142" t="s">
        <v>19571</v>
      </c>
      <c r="C3988" s="143">
        <v>114037</v>
      </c>
      <c r="D3988" s="142" t="s">
        <v>15340</v>
      </c>
      <c r="E3988" s="144">
        <v>7130</v>
      </c>
      <c r="F3988" s="148">
        <v>42887</v>
      </c>
      <c r="G3988" s="149">
        <v>7130</v>
      </c>
      <c r="H3988" s="138">
        <f t="shared" si="64"/>
        <v>0</v>
      </c>
      <c r="I3988" s="147" t="s">
        <v>15214</v>
      </c>
    </row>
    <row r="3989" spans="1:9" ht="15.75" x14ac:dyDescent="0.25">
      <c r="A3989" s="168" t="s">
        <v>19512</v>
      </c>
      <c r="B3989" s="136" t="s">
        <v>19572</v>
      </c>
      <c r="C3989" s="137">
        <v>114038</v>
      </c>
      <c r="D3989" s="136" t="s">
        <v>15315</v>
      </c>
      <c r="E3989" s="138">
        <v>0</v>
      </c>
      <c r="F3989" s="153" t="s">
        <v>95</v>
      </c>
      <c r="G3989" s="138">
        <v>0</v>
      </c>
      <c r="H3989" s="138">
        <f t="shared" si="64"/>
        <v>0</v>
      </c>
      <c r="I3989" s="141" t="s">
        <v>95</v>
      </c>
    </row>
    <row r="3990" spans="1:9" ht="15.75" x14ac:dyDescent="0.25">
      <c r="A3990" s="167" t="s">
        <v>19512</v>
      </c>
      <c r="B3990" s="142" t="s">
        <v>19573</v>
      </c>
      <c r="C3990" s="143">
        <v>114039</v>
      </c>
      <c r="D3990" s="142" t="s">
        <v>15380</v>
      </c>
      <c r="E3990" s="144">
        <v>0</v>
      </c>
      <c r="F3990" s="156" t="s">
        <v>95</v>
      </c>
      <c r="G3990" s="144">
        <v>0</v>
      </c>
      <c r="H3990" s="138">
        <f t="shared" si="64"/>
        <v>0</v>
      </c>
      <c r="I3990" s="147" t="s">
        <v>95</v>
      </c>
    </row>
    <row r="3991" spans="1:9" x14ac:dyDescent="0.25">
      <c r="A3991" s="168" t="s">
        <v>19512</v>
      </c>
      <c r="B3991" s="136" t="s">
        <v>19574</v>
      </c>
      <c r="C3991" s="137">
        <v>114040</v>
      </c>
      <c r="D3991" s="136" t="s">
        <v>15315</v>
      </c>
      <c r="E3991" s="138">
        <v>6139.2</v>
      </c>
      <c r="F3991" s="139">
        <v>42886</v>
      </c>
      <c r="G3991" s="140">
        <v>6139.2</v>
      </c>
      <c r="H3991" s="138">
        <f t="shared" si="64"/>
        <v>0</v>
      </c>
      <c r="I3991" s="141" t="s">
        <v>15214</v>
      </c>
    </row>
    <row r="3992" spans="1:9" x14ac:dyDescent="0.25">
      <c r="A3992" s="167" t="s">
        <v>19512</v>
      </c>
      <c r="B3992" s="142" t="s">
        <v>19575</v>
      </c>
      <c r="C3992" s="143">
        <v>114041</v>
      </c>
      <c r="D3992" s="142" t="s">
        <v>15373</v>
      </c>
      <c r="E3992" s="144">
        <v>14126.8</v>
      </c>
      <c r="F3992" s="148">
        <v>42887</v>
      </c>
      <c r="G3992" s="149">
        <v>14126.8</v>
      </c>
      <c r="H3992" s="138">
        <f t="shared" si="64"/>
        <v>0</v>
      </c>
      <c r="I3992" s="147" t="s">
        <v>15214</v>
      </c>
    </row>
    <row r="3993" spans="1:9" x14ac:dyDescent="0.25">
      <c r="A3993" s="168" t="s">
        <v>19512</v>
      </c>
      <c r="B3993" s="136" t="s">
        <v>19576</v>
      </c>
      <c r="C3993" s="137">
        <v>114042</v>
      </c>
      <c r="D3993" s="136" t="s">
        <v>15742</v>
      </c>
      <c r="E3993" s="138">
        <v>1536.9</v>
      </c>
      <c r="F3993" s="157">
        <v>42887</v>
      </c>
      <c r="G3993" s="158">
        <v>1536.9</v>
      </c>
      <c r="H3993" s="138">
        <f t="shared" si="64"/>
        <v>0</v>
      </c>
      <c r="I3993" s="141" t="s">
        <v>15214</v>
      </c>
    </row>
    <row r="3994" spans="1:9" x14ac:dyDescent="0.25">
      <c r="A3994" s="167" t="s">
        <v>19512</v>
      </c>
      <c r="B3994" s="142" t="s">
        <v>19577</v>
      </c>
      <c r="C3994" s="143">
        <v>114043</v>
      </c>
      <c r="D3994" s="142" t="s">
        <v>15342</v>
      </c>
      <c r="E3994" s="144">
        <v>1402.4</v>
      </c>
      <c r="F3994" s="148">
        <v>42887</v>
      </c>
      <c r="G3994" s="149">
        <v>1402.4</v>
      </c>
      <c r="H3994" s="138">
        <f t="shared" si="64"/>
        <v>0</v>
      </c>
      <c r="I3994" s="147" t="s">
        <v>15214</v>
      </c>
    </row>
    <row r="3995" spans="1:9" x14ac:dyDescent="0.25">
      <c r="A3995" s="168" t="s">
        <v>19512</v>
      </c>
      <c r="B3995" s="136" t="s">
        <v>19578</v>
      </c>
      <c r="C3995" s="137">
        <v>114044</v>
      </c>
      <c r="D3995" s="136" t="s">
        <v>17210</v>
      </c>
      <c r="E3995" s="138">
        <v>3648</v>
      </c>
      <c r="F3995" s="157">
        <v>42887</v>
      </c>
      <c r="G3995" s="158">
        <v>3648</v>
      </c>
      <c r="H3995" s="138">
        <f t="shared" si="64"/>
        <v>0</v>
      </c>
      <c r="I3995" s="141" t="s">
        <v>15214</v>
      </c>
    </row>
    <row r="3996" spans="1:9" x14ac:dyDescent="0.25">
      <c r="A3996" s="167" t="s">
        <v>19512</v>
      </c>
      <c r="B3996" s="142" t="s">
        <v>19579</v>
      </c>
      <c r="C3996" s="143">
        <v>114045</v>
      </c>
      <c r="D3996" s="142" t="s">
        <v>15884</v>
      </c>
      <c r="E3996" s="144">
        <v>1500</v>
      </c>
      <c r="F3996" s="145">
        <v>42886</v>
      </c>
      <c r="G3996" s="146">
        <v>1500</v>
      </c>
      <c r="H3996" s="138">
        <f t="shared" si="64"/>
        <v>0</v>
      </c>
      <c r="I3996" s="147" t="s">
        <v>15214</v>
      </c>
    </row>
    <row r="3997" spans="1:9" x14ac:dyDescent="0.25">
      <c r="A3997" s="168" t="s">
        <v>19512</v>
      </c>
      <c r="B3997" s="136" t="s">
        <v>19580</v>
      </c>
      <c r="C3997" s="137">
        <v>114046</v>
      </c>
      <c r="D3997" s="136" t="s">
        <v>15369</v>
      </c>
      <c r="E3997" s="138">
        <v>27716.400000000001</v>
      </c>
      <c r="F3997" s="139">
        <v>42902</v>
      </c>
      <c r="G3997" s="140">
        <v>27716.400000000001</v>
      </c>
      <c r="H3997" s="138">
        <f t="shared" si="64"/>
        <v>0</v>
      </c>
      <c r="I3997" s="141" t="s">
        <v>15214</v>
      </c>
    </row>
    <row r="3998" spans="1:9" x14ac:dyDescent="0.25">
      <c r="A3998" s="167" t="s">
        <v>19512</v>
      </c>
      <c r="B3998" s="142" t="s">
        <v>19581</v>
      </c>
      <c r="C3998" s="143">
        <v>114047</v>
      </c>
      <c r="D3998" s="142" t="s">
        <v>15389</v>
      </c>
      <c r="E3998" s="144">
        <v>11004.2</v>
      </c>
      <c r="F3998" s="139">
        <v>42902</v>
      </c>
      <c r="G3998" s="146">
        <v>11004.2</v>
      </c>
      <c r="H3998" s="138">
        <f t="shared" si="64"/>
        <v>0</v>
      </c>
      <c r="I3998" s="147" t="s">
        <v>15214</v>
      </c>
    </row>
    <row r="3999" spans="1:9" x14ac:dyDescent="0.25">
      <c r="A3999" s="168" t="s">
        <v>19512</v>
      </c>
      <c r="B3999" s="136" t="s">
        <v>19582</v>
      </c>
      <c r="C3999" s="137">
        <v>114048</v>
      </c>
      <c r="D3999" s="136" t="s">
        <v>15382</v>
      </c>
      <c r="E3999" s="138">
        <v>10789.8</v>
      </c>
      <c r="F3999" s="139">
        <v>42902</v>
      </c>
      <c r="G3999" s="140">
        <v>10789.8</v>
      </c>
      <c r="H3999" s="138">
        <f t="shared" si="64"/>
        <v>0</v>
      </c>
      <c r="I3999" s="141" t="s">
        <v>15214</v>
      </c>
    </row>
    <row r="4000" spans="1:9" x14ac:dyDescent="0.25">
      <c r="A4000" s="167" t="s">
        <v>19512</v>
      </c>
      <c r="B4000" s="142" t="s">
        <v>19583</v>
      </c>
      <c r="C4000" s="143">
        <v>114049</v>
      </c>
      <c r="D4000" s="142" t="s">
        <v>15336</v>
      </c>
      <c r="E4000" s="144">
        <v>1232.1600000000001</v>
      </c>
      <c r="F4000" s="148">
        <v>42887</v>
      </c>
      <c r="G4000" s="149">
        <v>1232.1600000000001</v>
      </c>
      <c r="H4000" s="138">
        <f t="shared" si="64"/>
        <v>0</v>
      </c>
      <c r="I4000" s="147" t="s">
        <v>15214</v>
      </c>
    </row>
    <row r="4001" spans="1:9" x14ac:dyDescent="0.25">
      <c r="A4001" s="168" t="s">
        <v>19512</v>
      </c>
      <c r="B4001" s="136" t="s">
        <v>19584</v>
      </c>
      <c r="C4001" s="137">
        <v>114050</v>
      </c>
      <c r="D4001" s="136" t="s">
        <v>15523</v>
      </c>
      <c r="E4001" s="138">
        <v>2400</v>
      </c>
      <c r="F4001" s="157">
        <v>42887</v>
      </c>
      <c r="G4001" s="158">
        <v>2400</v>
      </c>
      <c r="H4001" s="138">
        <f t="shared" si="64"/>
        <v>0</v>
      </c>
      <c r="I4001" s="141" t="s">
        <v>15214</v>
      </c>
    </row>
    <row r="4002" spans="1:9" x14ac:dyDescent="0.25">
      <c r="A4002" s="167" t="s">
        <v>19512</v>
      </c>
      <c r="B4002" s="142" t="s">
        <v>19585</v>
      </c>
      <c r="C4002" s="143">
        <v>114051</v>
      </c>
      <c r="D4002" s="142" t="s">
        <v>15523</v>
      </c>
      <c r="E4002" s="144">
        <v>3420</v>
      </c>
      <c r="F4002" s="148">
        <v>42887</v>
      </c>
      <c r="G4002" s="149">
        <v>3420</v>
      </c>
      <c r="H4002" s="138">
        <f t="shared" si="64"/>
        <v>0</v>
      </c>
      <c r="I4002" s="147" t="s">
        <v>15214</v>
      </c>
    </row>
    <row r="4003" spans="1:9" x14ac:dyDescent="0.25">
      <c r="A4003" s="168" t="s">
        <v>19512</v>
      </c>
      <c r="B4003" s="136" t="s">
        <v>19586</v>
      </c>
      <c r="C4003" s="137">
        <v>114052</v>
      </c>
      <c r="D4003" s="136" t="s">
        <v>15725</v>
      </c>
      <c r="E4003" s="138">
        <v>14491.2</v>
      </c>
      <c r="F4003" s="157">
        <v>42889</v>
      </c>
      <c r="G4003" s="158">
        <v>14491.2</v>
      </c>
      <c r="H4003" s="138">
        <f t="shared" si="64"/>
        <v>0</v>
      </c>
      <c r="I4003" s="141" t="s">
        <v>15214</v>
      </c>
    </row>
    <row r="4004" spans="1:9" x14ac:dyDescent="0.25">
      <c r="A4004" s="167" t="s">
        <v>19512</v>
      </c>
      <c r="B4004" s="142" t="s">
        <v>19587</v>
      </c>
      <c r="C4004" s="143">
        <v>114053</v>
      </c>
      <c r="D4004" s="142" t="s">
        <v>15884</v>
      </c>
      <c r="E4004" s="144">
        <v>518</v>
      </c>
      <c r="F4004" s="145">
        <v>42886</v>
      </c>
      <c r="G4004" s="146">
        <v>518</v>
      </c>
      <c r="H4004" s="138">
        <f t="shared" si="64"/>
        <v>0</v>
      </c>
      <c r="I4004" s="147" t="s">
        <v>15214</v>
      </c>
    </row>
    <row r="4005" spans="1:9" x14ac:dyDescent="0.25">
      <c r="A4005" s="168" t="s">
        <v>19512</v>
      </c>
      <c r="B4005" s="136" t="s">
        <v>19588</v>
      </c>
      <c r="C4005" s="137">
        <v>114054</v>
      </c>
      <c r="D4005" s="136" t="s">
        <v>15725</v>
      </c>
      <c r="E4005" s="138">
        <v>2785.2</v>
      </c>
      <c r="F4005" s="157">
        <v>42889</v>
      </c>
      <c r="G4005" s="158">
        <v>2785.2</v>
      </c>
      <c r="H4005" s="138">
        <f t="shared" si="64"/>
        <v>0</v>
      </c>
      <c r="I4005" s="141" t="s">
        <v>15214</v>
      </c>
    </row>
    <row r="4006" spans="1:9" x14ac:dyDescent="0.25">
      <c r="A4006" s="167" t="s">
        <v>19512</v>
      </c>
      <c r="B4006" s="142" t="s">
        <v>19589</v>
      </c>
      <c r="C4006" s="143">
        <v>114055</v>
      </c>
      <c r="D4006" s="142" t="s">
        <v>15566</v>
      </c>
      <c r="E4006" s="144">
        <v>2896</v>
      </c>
      <c r="F4006" s="145">
        <v>42886</v>
      </c>
      <c r="G4006" s="146">
        <v>2896</v>
      </c>
      <c r="H4006" s="138">
        <f t="shared" si="64"/>
        <v>0</v>
      </c>
      <c r="I4006" s="147" t="s">
        <v>15214</v>
      </c>
    </row>
    <row r="4007" spans="1:9" x14ac:dyDescent="0.25">
      <c r="A4007" s="168" t="s">
        <v>19512</v>
      </c>
      <c r="B4007" s="136" t="s">
        <v>19590</v>
      </c>
      <c r="C4007" s="137">
        <v>114056</v>
      </c>
      <c r="D4007" s="136" t="s">
        <v>15328</v>
      </c>
      <c r="E4007" s="138">
        <v>4258</v>
      </c>
      <c r="F4007" s="139">
        <v>42902</v>
      </c>
      <c r="G4007" s="140">
        <v>4258</v>
      </c>
      <c r="H4007" s="138">
        <f t="shared" si="64"/>
        <v>0</v>
      </c>
      <c r="I4007" s="141" t="s">
        <v>15214</v>
      </c>
    </row>
    <row r="4008" spans="1:9" x14ac:dyDescent="0.25">
      <c r="A4008" s="167" t="s">
        <v>19512</v>
      </c>
      <c r="B4008" s="142" t="s">
        <v>19591</v>
      </c>
      <c r="C4008" s="143">
        <v>114057</v>
      </c>
      <c r="D4008" s="142" t="s">
        <v>15537</v>
      </c>
      <c r="E4008" s="144">
        <v>20019.3</v>
      </c>
      <c r="F4008" s="148">
        <v>42888</v>
      </c>
      <c r="G4008" s="149">
        <v>20019.3</v>
      </c>
      <c r="H4008" s="138">
        <f t="shared" si="64"/>
        <v>0</v>
      </c>
      <c r="I4008" s="147" t="s">
        <v>15214</v>
      </c>
    </row>
    <row r="4009" spans="1:9" x14ac:dyDescent="0.25">
      <c r="A4009" s="168" t="s">
        <v>19512</v>
      </c>
      <c r="B4009" s="136" t="s">
        <v>19592</v>
      </c>
      <c r="C4009" s="137">
        <v>114058</v>
      </c>
      <c r="D4009" s="136" t="s">
        <v>15380</v>
      </c>
      <c r="E4009" s="138">
        <v>21754</v>
      </c>
      <c r="F4009" s="139">
        <v>42902</v>
      </c>
      <c r="G4009" s="140">
        <v>21754</v>
      </c>
      <c r="H4009" s="138">
        <f t="shared" si="64"/>
        <v>0</v>
      </c>
      <c r="I4009" s="141" t="s">
        <v>15214</v>
      </c>
    </row>
    <row r="4010" spans="1:9" x14ac:dyDescent="0.25">
      <c r="A4010" s="167" t="s">
        <v>19512</v>
      </c>
      <c r="B4010" s="142" t="s">
        <v>19593</v>
      </c>
      <c r="C4010" s="143">
        <v>114059</v>
      </c>
      <c r="D4010" s="142" t="s">
        <v>15539</v>
      </c>
      <c r="E4010" s="144">
        <v>16438.8</v>
      </c>
      <c r="F4010" s="148">
        <v>42893</v>
      </c>
      <c r="G4010" s="149">
        <v>16438.8</v>
      </c>
      <c r="H4010" s="138">
        <f t="shared" si="64"/>
        <v>0</v>
      </c>
      <c r="I4010" s="147" t="s">
        <v>15214</v>
      </c>
    </row>
    <row r="4011" spans="1:9" x14ac:dyDescent="0.25">
      <c r="A4011" s="168" t="s">
        <v>19512</v>
      </c>
      <c r="B4011" s="136" t="s">
        <v>19594</v>
      </c>
      <c r="C4011" s="137">
        <v>114060</v>
      </c>
      <c r="D4011" s="136" t="s">
        <v>15298</v>
      </c>
      <c r="E4011" s="138">
        <v>2362.8000000000002</v>
      </c>
      <c r="F4011" s="139">
        <v>42886</v>
      </c>
      <c r="G4011" s="140">
        <v>2362.8000000000002</v>
      </c>
      <c r="H4011" s="138">
        <f t="shared" si="64"/>
        <v>0</v>
      </c>
      <c r="I4011" s="141" t="s">
        <v>15214</v>
      </c>
    </row>
    <row r="4012" spans="1:9" x14ac:dyDescent="0.25">
      <c r="A4012" s="167" t="s">
        <v>19512</v>
      </c>
      <c r="B4012" s="142" t="s">
        <v>19595</v>
      </c>
      <c r="C4012" s="143">
        <v>114061</v>
      </c>
      <c r="D4012" s="142" t="s">
        <v>15332</v>
      </c>
      <c r="E4012" s="144">
        <v>2881.2</v>
      </c>
      <c r="F4012" s="148">
        <v>42887</v>
      </c>
      <c r="G4012" s="149">
        <v>2881.2</v>
      </c>
      <c r="H4012" s="138">
        <f t="shared" si="64"/>
        <v>0</v>
      </c>
      <c r="I4012" s="147" t="s">
        <v>15214</v>
      </c>
    </row>
    <row r="4013" spans="1:9" x14ac:dyDescent="0.25">
      <c r="A4013" s="168" t="s">
        <v>19512</v>
      </c>
      <c r="B4013" s="136" t="s">
        <v>19596</v>
      </c>
      <c r="C4013" s="137">
        <v>114062</v>
      </c>
      <c r="D4013" s="136" t="s">
        <v>17950</v>
      </c>
      <c r="E4013" s="138">
        <v>4498</v>
      </c>
      <c r="F4013" s="157">
        <v>42888</v>
      </c>
      <c r="G4013" s="158">
        <v>4498</v>
      </c>
      <c r="H4013" s="138">
        <f t="shared" si="64"/>
        <v>0</v>
      </c>
      <c r="I4013" s="141" t="s">
        <v>15214</v>
      </c>
    </row>
    <row r="4014" spans="1:9" x14ac:dyDescent="0.25">
      <c r="A4014" s="167" t="s">
        <v>19512</v>
      </c>
      <c r="B4014" s="142" t="s">
        <v>19597</v>
      </c>
      <c r="C4014" s="143">
        <v>114063</v>
      </c>
      <c r="D4014" s="142" t="s">
        <v>18544</v>
      </c>
      <c r="E4014" s="144">
        <v>5853.7</v>
      </c>
      <c r="F4014" s="148">
        <v>42887</v>
      </c>
      <c r="G4014" s="149">
        <v>5853.7</v>
      </c>
      <c r="H4014" s="138">
        <f t="shared" si="64"/>
        <v>0</v>
      </c>
      <c r="I4014" s="147" t="s">
        <v>15214</v>
      </c>
    </row>
    <row r="4015" spans="1:9" x14ac:dyDescent="0.25">
      <c r="A4015" s="168" t="s">
        <v>19512</v>
      </c>
      <c r="B4015" s="136" t="s">
        <v>19598</v>
      </c>
      <c r="C4015" s="137">
        <v>114064</v>
      </c>
      <c r="D4015" s="136" t="s">
        <v>15861</v>
      </c>
      <c r="E4015" s="138">
        <v>2105.3000000000002</v>
      </c>
      <c r="F4015" s="157">
        <v>42887</v>
      </c>
      <c r="G4015" s="158">
        <v>2105.3000000000002</v>
      </c>
      <c r="H4015" s="138">
        <f t="shared" si="64"/>
        <v>0</v>
      </c>
      <c r="I4015" s="141" t="s">
        <v>15214</v>
      </c>
    </row>
    <row r="4016" spans="1:9" x14ac:dyDescent="0.25">
      <c r="A4016" s="167" t="s">
        <v>19512</v>
      </c>
      <c r="B4016" s="142" t="s">
        <v>19599</v>
      </c>
      <c r="C4016" s="143">
        <v>114065</v>
      </c>
      <c r="D4016" s="142" t="s">
        <v>15409</v>
      </c>
      <c r="E4016" s="144">
        <v>8800</v>
      </c>
      <c r="F4016" s="145">
        <v>42886</v>
      </c>
      <c r="G4016" s="146">
        <v>8800</v>
      </c>
      <c r="H4016" s="138">
        <f t="shared" si="64"/>
        <v>0</v>
      </c>
      <c r="I4016" s="147" t="s">
        <v>15214</v>
      </c>
    </row>
    <row r="4017" spans="1:9" x14ac:dyDescent="0.25">
      <c r="A4017" s="168" t="s">
        <v>19512</v>
      </c>
      <c r="B4017" s="136" t="s">
        <v>19600</v>
      </c>
      <c r="C4017" s="137">
        <v>114066</v>
      </c>
      <c r="D4017" s="136" t="s">
        <v>17950</v>
      </c>
      <c r="E4017" s="138">
        <v>194.3</v>
      </c>
      <c r="F4017" s="157">
        <v>42887</v>
      </c>
      <c r="G4017" s="158">
        <v>194.3</v>
      </c>
      <c r="H4017" s="138">
        <f t="shared" si="64"/>
        <v>0</v>
      </c>
      <c r="I4017" s="141" t="s">
        <v>15214</v>
      </c>
    </row>
    <row r="4018" spans="1:9" x14ac:dyDescent="0.25">
      <c r="A4018" s="167" t="s">
        <v>19512</v>
      </c>
      <c r="B4018" s="142" t="s">
        <v>19601</v>
      </c>
      <c r="C4018" s="143">
        <v>114067</v>
      </c>
      <c r="D4018" s="142" t="s">
        <v>15213</v>
      </c>
      <c r="E4018" s="144">
        <v>8962.2000000000007</v>
      </c>
      <c r="F4018" s="148">
        <v>42887</v>
      </c>
      <c r="G4018" s="149">
        <v>8962.2000000000007</v>
      </c>
      <c r="H4018" s="138">
        <f t="shared" si="64"/>
        <v>0</v>
      </c>
      <c r="I4018" s="147" t="s">
        <v>15214</v>
      </c>
    </row>
    <row r="4019" spans="1:9" x14ac:dyDescent="0.25">
      <c r="A4019" s="168" t="s">
        <v>19512</v>
      </c>
      <c r="B4019" s="136" t="s">
        <v>19602</v>
      </c>
      <c r="C4019" s="137">
        <v>114068</v>
      </c>
      <c r="D4019" s="136" t="s">
        <v>15213</v>
      </c>
      <c r="E4019" s="138">
        <v>121.8</v>
      </c>
      <c r="F4019" s="157">
        <v>42887</v>
      </c>
      <c r="G4019" s="158">
        <v>121.8</v>
      </c>
      <c r="H4019" s="138">
        <f t="shared" si="64"/>
        <v>0</v>
      </c>
      <c r="I4019" s="141" t="s">
        <v>15214</v>
      </c>
    </row>
    <row r="4020" spans="1:9" x14ac:dyDescent="0.25">
      <c r="A4020" s="167" t="s">
        <v>19512</v>
      </c>
      <c r="B4020" s="142" t="s">
        <v>19603</v>
      </c>
      <c r="C4020" s="143">
        <v>114069</v>
      </c>
      <c r="D4020" s="142" t="s">
        <v>16108</v>
      </c>
      <c r="E4020" s="144">
        <v>1815.4</v>
      </c>
      <c r="F4020" s="145">
        <v>42886</v>
      </c>
      <c r="G4020" s="146">
        <v>1815.4</v>
      </c>
      <c r="H4020" s="138">
        <f t="shared" si="64"/>
        <v>0</v>
      </c>
      <c r="I4020" s="147" t="s">
        <v>15214</v>
      </c>
    </row>
    <row r="4021" spans="1:9" x14ac:dyDescent="0.25">
      <c r="A4021" s="168" t="s">
        <v>19512</v>
      </c>
      <c r="B4021" s="136" t="s">
        <v>19604</v>
      </c>
      <c r="C4021" s="137">
        <v>114070</v>
      </c>
      <c r="D4021" s="136" t="s">
        <v>15326</v>
      </c>
      <c r="E4021" s="138">
        <v>1649.7</v>
      </c>
      <c r="F4021" s="139">
        <v>42886</v>
      </c>
      <c r="G4021" s="140">
        <v>1649.7</v>
      </c>
      <c r="H4021" s="138">
        <f t="shared" si="64"/>
        <v>0</v>
      </c>
      <c r="I4021" s="141" t="s">
        <v>15214</v>
      </c>
    </row>
    <row r="4022" spans="1:9" x14ac:dyDescent="0.25">
      <c r="A4022" s="167" t="s">
        <v>19512</v>
      </c>
      <c r="B4022" s="142" t="s">
        <v>19605</v>
      </c>
      <c r="C4022" s="143">
        <v>114071</v>
      </c>
      <c r="D4022" s="142" t="s">
        <v>15346</v>
      </c>
      <c r="E4022" s="144">
        <v>3340</v>
      </c>
      <c r="F4022" s="145" t="s">
        <v>19643</v>
      </c>
      <c r="G4022" s="146">
        <f>1400+1940</f>
        <v>3340</v>
      </c>
      <c r="H4022" s="138">
        <f t="shared" si="64"/>
        <v>0</v>
      </c>
      <c r="I4022" s="147" t="s">
        <v>15214</v>
      </c>
    </row>
    <row r="4023" spans="1:9" x14ac:dyDescent="0.25">
      <c r="A4023" s="168" t="s">
        <v>19512</v>
      </c>
      <c r="B4023" s="136" t="s">
        <v>19606</v>
      </c>
      <c r="C4023" s="137">
        <v>114072</v>
      </c>
      <c r="D4023" s="136" t="s">
        <v>15326</v>
      </c>
      <c r="E4023" s="138">
        <v>682</v>
      </c>
      <c r="F4023" s="139">
        <v>42886</v>
      </c>
      <c r="G4023" s="140">
        <v>682</v>
      </c>
      <c r="H4023" s="138">
        <f t="shared" si="64"/>
        <v>0</v>
      </c>
      <c r="I4023" s="141" t="s">
        <v>15214</v>
      </c>
    </row>
    <row r="4024" spans="1:9" x14ac:dyDescent="0.25">
      <c r="A4024" s="167" t="s">
        <v>19512</v>
      </c>
      <c r="B4024" s="142" t="s">
        <v>19607</v>
      </c>
      <c r="C4024" s="143">
        <v>114073</v>
      </c>
      <c r="D4024" s="142" t="s">
        <v>15234</v>
      </c>
      <c r="E4024" s="144">
        <v>3176.8</v>
      </c>
      <c r="F4024" s="148">
        <v>42889</v>
      </c>
      <c r="G4024" s="149">
        <v>3176.8</v>
      </c>
      <c r="H4024" s="138">
        <f t="shared" si="64"/>
        <v>0</v>
      </c>
      <c r="I4024" s="147" t="s">
        <v>15214</v>
      </c>
    </row>
    <row r="4025" spans="1:9" x14ac:dyDescent="0.25">
      <c r="A4025" s="168" t="s">
        <v>19512</v>
      </c>
      <c r="B4025" s="136" t="s">
        <v>19608</v>
      </c>
      <c r="C4025" s="137">
        <v>114074</v>
      </c>
      <c r="D4025" s="136" t="s">
        <v>16732</v>
      </c>
      <c r="E4025" s="138">
        <v>33227.599999999999</v>
      </c>
      <c r="F4025" s="139">
        <v>42886</v>
      </c>
      <c r="G4025" s="140">
        <v>33227.599999999999</v>
      </c>
      <c r="H4025" s="138">
        <f t="shared" si="64"/>
        <v>0</v>
      </c>
      <c r="I4025" s="141" t="s">
        <v>15214</v>
      </c>
    </row>
    <row r="4026" spans="1:9" x14ac:dyDescent="0.25">
      <c r="A4026" s="167" t="s">
        <v>19512</v>
      </c>
      <c r="B4026" s="142" t="s">
        <v>19609</v>
      </c>
      <c r="C4026" s="143">
        <v>114075</v>
      </c>
      <c r="D4026" s="142" t="s">
        <v>15246</v>
      </c>
      <c r="E4026" s="144">
        <v>1024</v>
      </c>
      <c r="F4026" s="148">
        <v>42887</v>
      </c>
      <c r="G4026" s="149">
        <v>1024</v>
      </c>
      <c r="H4026" s="138">
        <f t="shared" si="64"/>
        <v>0</v>
      </c>
      <c r="I4026" s="147" t="s">
        <v>15214</v>
      </c>
    </row>
    <row r="4027" spans="1:9" x14ac:dyDescent="0.25">
      <c r="A4027" s="168" t="s">
        <v>19512</v>
      </c>
      <c r="B4027" s="136" t="s">
        <v>19610</v>
      </c>
      <c r="C4027" s="137">
        <v>114076</v>
      </c>
      <c r="D4027" s="136" t="s">
        <v>17950</v>
      </c>
      <c r="E4027" s="138">
        <v>1719</v>
      </c>
      <c r="F4027" s="139">
        <v>42886</v>
      </c>
      <c r="G4027" s="140">
        <v>1719</v>
      </c>
      <c r="H4027" s="138">
        <f t="shared" si="64"/>
        <v>0</v>
      </c>
      <c r="I4027" s="141" t="s">
        <v>15214</v>
      </c>
    </row>
    <row r="4028" spans="1:9" x14ac:dyDescent="0.25">
      <c r="A4028" s="167" t="s">
        <v>19512</v>
      </c>
      <c r="B4028" s="142" t="s">
        <v>19611</v>
      </c>
      <c r="C4028" s="143">
        <v>114077</v>
      </c>
      <c r="D4028" s="142" t="s">
        <v>15315</v>
      </c>
      <c r="E4028" s="144">
        <v>946.5</v>
      </c>
      <c r="F4028" s="145">
        <v>42886</v>
      </c>
      <c r="G4028" s="146">
        <v>946.5</v>
      </c>
      <c r="H4028" s="138">
        <f t="shared" si="64"/>
        <v>0</v>
      </c>
      <c r="I4028" s="147" t="s">
        <v>15214</v>
      </c>
    </row>
    <row r="4029" spans="1:9" x14ac:dyDescent="0.25">
      <c r="A4029" s="168" t="s">
        <v>19512</v>
      </c>
      <c r="B4029" s="136" t="s">
        <v>19612</v>
      </c>
      <c r="C4029" s="137">
        <v>114078</v>
      </c>
      <c r="D4029" s="136" t="s">
        <v>15936</v>
      </c>
      <c r="E4029" s="138">
        <v>32541.4</v>
      </c>
      <c r="F4029" s="139">
        <v>42886</v>
      </c>
      <c r="G4029" s="140">
        <v>32541.4</v>
      </c>
      <c r="H4029" s="138">
        <f t="shared" si="64"/>
        <v>0</v>
      </c>
      <c r="I4029" s="141" t="s">
        <v>15214</v>
      </c>
    </row>
    <row r="4030" spans="1:9" x14ac:dyDescent="0.25">
      <c r="A4030" s="167" t="s">
        <v>19512</v>
      </c>
      <c r="B4030" s="142" t="s">
        <v>19613</v>
      </c>
      <c r="C4030" s="143">
        <v>114079</v>
      </c>
      <c r="D4030" s="142" t="s">
        <v>15442</v>
      </c>
      <c r="E4030" s="144">
        <v>13200</v>
      </c>
      <c r="F4030" s="148">
        <v>42888</v>
      </c>
      <c r="G4030" s="149">
        <v>13200</v>
      </c>
      <c r="H4030" s="138">
        <f t="shared" si="64"/>
        <v>0</v>
      </c>
      <c r="I4030" s="147" t="s">
        <v>15214</v>
      </c>
    </row>
    <row r="4031" spans="1:9" x14ac:dyDescent="0.25">
      <c r="A4031" s="168" t="s">
        <v>19512</v>
      </c>
      <c r="B4031" s="136" t="s">
        <v>19614</v>
      </c>
      <c r="C4031" s="137">
        <v>114080</v>
      </c>
      <c r="D4031" s="136" t="s">
        <v>16129</v>
      </c>
      <c r="E4031" s="138">
        <v>196.8</v>
      </c>
      <c r="F4031" s="139">
        <v>42886</v>
      </c>
      <c r="G4031" s="140">
        <v>196.8</v>
      </c>
      <c r="H4031" s="138">
        <f t="shared" si="64"/>
        <v>0</v>
      </c>
      <c r="I4031" s="141" t="s">
        <v>15214</v>
      </c>
    </row>
    <row r="4032" spans="1:9" ht="30" x14ac:dyDescent="0.25">
      <c r="A4032" s="167" t="s">
        <v>19512</v>
      </c>
      <c r="B4032" s="142" t="s">
        <v>19615</v>
      </c>
      <c r="C4032" s="143">
        <v>114081</v>
      </c>
      <c r="D4032" s="142" t="s">
        <v>15246</v>
      </c>
      <c r="E4032" s="144">
        <v>363885.68</v>
      </c>
      <c r="F4032" s="173" t="s">
        <v>19653</v>
      </c>
      <c r="G4032" s="149">
        <f>113466.81+234829.62+15589.25</f>
        <v>363885.68</v>
      </c>
      <c r="H4032" s="138">
        <f t="shared" si="64"/>
        <v>0</v>
      </c>
      <c r="I4032" s="147" t="s">
        <v>15214</v>
      </c>
    </row>
    <row r="4033" spans="1:9" x14ac:dyDescent="0.25">
      <c r="A4033" s="168" t="s">
        <v>19512</v>
      </c>
      <c r="B4033" s="136" t="s">
        <v>19616</v>
      </c>
      <c r="C4033" s="137">
        <v>114082</v>
      </c>
      <c r="D4033" s="136" t="s">
        <v>18076</v>
      </c>
      <c r="E4033" s="138">
        <v>2588</v>
      </c>
      <c r="F4033" s="139">
        <v>42886</v>
      </c>
      <c r="G4033" s="140">
        <v>2588</v>
      </c>
      <c r="H4033" s="138">
        <f t="shared" si="64"/>
        <v>0</v>
      </c>
      <c r="I4033" s="141" t="s">
        <v>15214</v>
      </c>
    </row>
    <row r="4034" spans="1:9" x14ac:dyDescent="0.25">
      <c r="A4034" s="167" t="s">
        <v>19512</v>
      </c>
      <c r="B4034" s="142" t="s">
        <v>19617</v>
      </c>
      <c r="C4034" s="143">
        <v>114083</v>
      </c>
      <c r="D4034" s="142" t="s">
        <v>15541</v>
      </c>
      <c r="E4034" s="144">
        <v>1223.5999999999999</v>
      </c>
      <c r="F4034" s="145">
        <v>42886</v>
      </c>
      <c r="G4034" s="146">
        <v>1223.5999999999999</v>
      </c>
      <c r="H4034" s="138">
        <f t="shared" si="64"/>
        <v>0</v>
      </c>
      <c r="I4034" s="147" t="s">
        <v>15214</v>
      </c>
    </row>
    <row r="4035" spans="1:9" x14ac:dyDescent="0.25">
      <c r="A4035" s="168" t="s">
        <v>19512</v>
      </c>
      <c r="B4035" s="136" t="s">
        <v>19618</v>
      </c>
      <c r="C4035" s="137">
        <v>114084</v>
      </c>
      <c r="D4035" s="136" t="s">
        <v>15254</v>
      </c>
      <c r="E4035" s="138">
        <v>18612</v>
      </c>
      <c r="F4035" s="157">
        <v>42888</v>
      </c>
      <c r="G4035" s="158">
        <v>18612</v>
      </c>
      <c r="H4035" s="138">
        <f t="shared" si="64"/>
        <v>0</v>
      </c>
      <c r="I4035" s="141" t="s">
        <v>15214</v>
      </c>
    </row>
    <row r="4036" spans="1:9" x14ac:dyDescent="0.25">
      <c r="A4036" s="167" t="s">
        <v>19512</v>
      </c>
      <c r="B4036" s="142" t="s">
        <v>19619</v>
      </c>
      <c r="C4036" s="143">
        <v>114085</v>
      </c>
      <c r="D4036" s="142" t="s">
        <v>15417</v>
      </c>
      <c r="E4036" s="144">
        <v>1936.6</v>
      </c>
      <c r="F4036" s="148">
        <v>42887</v>
      </c>
      <c r="G4036" s="149">
        <v>1936.6</v>
      </c>
      <c r="H4036" s="138">
        <f t="shared" si="64"/>
        <v>0</v>
      </c>
      <c r="I4036" s="147" t="s">
        <v>15214</v>
      </c>
    </row>
    <row r="4037" spans="1:9" x14ac:dyDescent="0.25">
      <c r="A4037" s="168" t="s">
        <v>19512</v>
      </c>
      <c r="B4037" s="136" t="s">
        <v>19620</v>
      </c>
      <c r="C4037" s="137">
        <v>114086</v>
      </c>
      <c r="D4037" s="136" t="s">
        <v>15307</v>
      </c>
      <c r="E4037" s="138">
        <v>1888.6</v>
      </c>
      <c r="F4037" s="157">
        <v>42887</v>
      </c>
      <c r="G4037" s="158">
        <v>1888.6</v>
      </c>
      <c r="H4037" s="138">
        <f t="shared" si="64"/>
        <v>0</v>
      </c>
      <c r="I4037" s="141" t="s">
        <v>15214</v>
      </c>
    </row>
    <row r="4038" spans="1:9" x14ac:dyDescent="0.25">
      <c r="A4038" s="167" t="s">
        <v>19512</v>
      </c>
      <c r="B4038" s="142" t="s">
        <v>19621</v>
      </c>
      <c r="C4038" s="143">
        <v>114087</v>
      </c>
      <c r="D4038" s="142" t="s">
        <v>15291</v>
      </c>
      <c r="E4038" s="144">
        <v>480</v>
      </c>
      <c r="F4038" s="148">
        <v>42887</v>
      </c>
      <c r="G4038" s="149">
        <v>480</v>
      </c>
      <c r="H4038" s="138">
        <f t="shared" si="64"/>
        <v>0</v>
      </c>
      <c r="I4038" s="147" t="s">
        <v>15214</v>
      </c>
    </row>
    <row r="4039" spans="1:9" ht="15.75" x14ac:dyDescent="0.25">
      <c r="A4039" s="168" t="s">
        <v>19512</v>
      </c>
      <c r="B4039" s="136" t="s">
        <v>19622</v>
      </c>
      <c r="C4039" s="137">
        <v>114088</v>
      </c>
      <c r="D4039" s="136" t="s">
        <v>15759</v>
      </c>
      <c r="E4039" s="138">
        <v>0</v>
      </c>
      <c r="F4039" s="153" t="s">
        <v>95</v>
      </c>
      <c r="G4039" s="138">
        <v>0</v>
      </c>
      <c r="H4039" s="138">
        <f t="shared" ref="H4039:H4056" si="65">E4039-G4039</f>
        <v>0</v>
      </c>
      <c r="I4039" s="141" t="s">
        <v>95</v>
      </c>
    </row>
    <row r="4040" spans="1:9" x14ac:dyDescent="0.25">
      <c r="A4040" s="167" t="s">
        <v>19512</v>
      </c>
      <c r="B4040" s="142" t="s">
        <v>19623</v>
      </c>
      <c r="C4040" s="143">
        <v>114089</v>
      </c>
      <c r="D4040" s="142" t="s">
        <v>15315</v>
      </c>
      <c r="E4040" s="144">
        <v>400.2</v>
      </c>
      <c r="F4040" s="148">
        <v>42887</v>
      </c>
      <c r="G4040" s="149">
        <v>400.2</v>
      </c>
      <c r="H4040" s="138">
        <f t="shared" si="65"/>
        <v>0</v>
      </c>
      <c r="I4040" s="147" t="s">
        <v>15214</v>
      </c>
    </row>
    <row r="4041" spans="1:9" x14ac:dyDescent="0.25">
      <c r="A4041" s="168" t="s">
        <v>19512</v>
      </c>
      <c r="B4041" s="136" t="s">
        <v>19624</v>
      </c>
      <c r="C4041" s="137">
        <v>114090</v>
      </c>
      <c r="D4041" s="136" t="s">
        <v>15617</v>
      </c>
      <c r="E4041" s="138">
        <v>3290</v>
      </c>
      <c r="F4041" s="157">
        <v>42887</v>
      </c>
      <c r="G4041" s="158">
        <v>3290</v>
      </c>
      <c r="H4041" s="138">
        <f t="shared" si="65"/>
        <v>0</v>
      </c>
      <c r="I4041" s="141" t="s">
        <v>15214</v>
      </c>
    </row>
    <row r="4042" spans="1:9" x14ac:dyDescent="0.25">
      <c r="A4042" s="167" t="s">
        <v>19512</v>
      </c>
      <c r="B4042" s="142" t="s">
        <v>19625</v>
      </c>
      <c r="C4042" s="143">
        <v>114091</v>
      </c>
      <c r="D4042" s="142" t="s">
        <v>15309</v>
      </c>
      <c r="E4042" s="144">
        <v>7457.9</v>
      </c>
      <c r="F4042" s="148">
        <v>42887</v>
      </c>
      <c r="G4042" s="149">
        <v>7457.9</v>
      </c>
      <c r="H4042" s="138">
        <f t="shared" si="65"/>
        <v>0</v>
      </c>
      <c r="I4042" s="147" t="s">
        <v>15214</v>
      </c>
    </row>
    <row r="4043" spans="1:9" x14ac:dyDescent="0.25">
      <c r="A4043" s="168" t="s">
        <v>19512</v>
      </c>
      <c r="B4043" s="136" t="s">
        <v>19626</v>
      </c>
      <c r="C4043" s="137">
        <v>114092</v>
      </c>
      <c r="D4043" s="136" t="s">
        <v>15745</v>
      </c>
      <c r="E4043" s="138">
        <v>1593.36</v>
      </c>
      <c r="F4043" s="157">
        <v>42887</v>
      </c>
      <c r="G4043" s="158">
        <v>1593.36</v>
      </c>
      <c r="H4043" s="138">
        <f t="shared" si="65"/>
        <v>0</v>
      </c>
      <c r="I4043" s="141" t="s">
        <v>15214</v>
      </c>
    </row>
    <row r="4044" spans="1:9" x14ac:dyDescent="0.25">
      <c r="A4044" s="167" t="s">
        <v>19512</v>
      </c>
      <c r="B4044" s="142" t="s">
        <v>19627</v>
      </c>
      <c r="C4044" s="143">
        <v>114093</v>
      </c>
      <c r="D4044" s="142" t="s">
        <v>15365</v>
      </c>
      <c r="E4044" s="144">
        <v>245952</v>
      </c>
      <c r="F4044" s="148">
        <v>42895</v>
      </c>
      <c r="G4044" s="149">
        <v>245952</v>
      </c>
      <c r="H4044" s="138">
        <f t="shared" si="65"/>
        <v>0</v>
      </c>
      <c r="I4044" s="147" t="s">
        <v>15214</v>
      </c>
    </row>
    <row r="4045" spans="1:9" x14ac:dyDescent="0.25">
      <c r="A4045" s="168" t="s">
        <v>19512</v>
      </c>
      <c r="B4045" s="136" t="s">
        <v>19628</v>
      </c>
      <c r="C4045" s="137">
        <v>114094</v>
      </c>
      <c r="D4045" s="136" t="s">
        <v>15423</v>
      </c>
      <c r="E4045" s="138">
        <v>2871.7</v>
      </c>
      <c r="F4045" s="139">
        <v>42886</v>
      </c>
      <c r="G4045" s="140">
        <v>2871.7</v>
      </c>
      <c r="H4045" s="138">
        <f t="shared" si="65"/>
        <v>0</v>
      </c>
      <c r="I4045" s="141" t="s">
        <v>15214</v>
      </c>
    </row>
    <row r="4046" spans="1:9" x14ac:dyDescent="0.25">
      <c r="A4046" s="167" t="s">
        <v>19512</v>
      </c>
      <c r="B4046" s="142" t="s">
        <v>19629</v>
      </c>
      <c r="C4046" s="143">
        <v>114095</v>
      </c>
      <c r="D4046" s="142" t="s">
        <v>15444</v>
      </c>
      <c r="E4046" s="144">
        <v>2110.4</v>
      </c>
      <c r="F4046" s="148">
        <v>42887</v>
      </c>
      <c r="G4046" s="149">
        <v>2110.4</v>
      </c>
      <c r="H4046" s="138">
        <f t="shared" si="65"/>
        <v>0</v>
      </c>
      <c r="I4046" s="147" t="s">
        <v>15214</v>
      </c>
    </row>
    <row r="4047" spans="1:9" x14ac:dyDescent="0.25">
      <c r="A4047" s="168" t="s">
        <v>19512</v>
      </c>
      <c r="B4047" s="136" t="s">
        <v>19630</v>
      </c>
      <c r="C4047" s="137">
        <v>114096</v>
      </c>
      <c r="D4047" s="136" t="s">
        <v>15267</v>
      </c>
      <c r="E4047" s="138">
        <v>115620.17</v>
      </c>
      <c r="F4047" s="157">
        <v>42887</v>
      </c>
      <c r="G4047" s="158">
        <v>115620.17</v>
      </c>
      <c r="H4047" s="138">
        <f t="shared" si="65"/>
        <v>0</v>
      </c>
      <c r="I4047" s="141" t="s">
        <v>15214</v>
      </c>
    </row>
    <row r="4048" spans="1:9" x14ac:dyDescent="0.25">
      <c r="A4048" s="167" t="s">
        <v>19512</v>
      </c>
      <c r="B4048" s="142" t="s">
        <v>19631</v>
      </c>
      <c r="C4048" s="143">
        <v>114097</v>
      </c>
      <c r="D4048" s="142" t="s">
        <v>15789</v>
      </c>
      <c r="E4048" s="144">
        <v>26929.599999999999</v>
      </c>
      <c r="F4048" s="148">
        <v>42893</v>
      </c>
      <c r="G4048" s="149">
        <v>26929.599999999999</v>
      </c>
      <c r="H4048" s="138">
        <f t="shared" si="65"/>
        <v>0</v>
      </c>
      <c r="I4048" s="147" t="s">
        <v>15214</v>
      </c>
    </row>
    <row r="4049" spans="1:9" x14ac:dyDescent="0.25">
      <c r="A4049" s="168" t="s">
        <v>19512</v>
      </c>
      <c r="B4049" s="136" t="s">
        <v>19632</v>
      </c>
      <c r="C4049" s="137">
        <v>114098</v>
      </c>
      <c r="D4049" s="136" t="s">
        <v>15644</v>
      </c>
      <c r="E4049" s="138">
        <v>3427.2</v>
      </c>
      <c r="F4049" s="157">
        <v>42888</v>
      </c>
      <c r="G4049" s="158">
        <v>3427.2</v>
      </c>
      <c r="H4049" s="138">
        <f t="shared" si="65"/>
        <v>0</v>
      </c>
      <c r="I4049" s="141" t="s">
        <v>15214</v>
      </c>
    </row>
    <row r="4050" spans="1:9" x14ac:dyDescent="0.25">
      <c r="A4050" s="167" t="s">
        <v>19512</v>
      </c>
      <c r="B4050" s="142" t="s">
        <v>19633</v>
      </c>
      <c r="C4050" s="143">
        <v>114099</v>
      </c>
      <c r="D4050" s="142" t="s">
        <v>15435</v>
      </c>
      <c r="E4050" s="144">
        <v>8370.7999999999993</v>
      </c>
      <c r="F4050" s="145">
        <v>42886</v>
      </c>
      <c r="G4050" s="146">
        <v>8370.7999999999993</v>
      </c>
      <c r="H4050" s="138">
        <f t="shared" si="65"/>
        <v>0</v>
      </c>
      <c r="I4050" s="147" t="s">
        <v>15214</v>
      </c>
    </row>
    <row r="4051" spans="1:9" x14ac:dyDescent="0.25">
      <c r="A4051" s="168" t="s">
        <v>19512</v>
      </c>
      <c r="B4051" s="136" t="s">
        <v>19634</v>
      </c>
      <c r="C4051" s="137">
        <v>114100</v>
      </c>
      <c r="D4051" s="136" t="s">
        <v>15642</v>
      </c>
      <c r="E4051" s="138">
        <v>4242</v>
      </c>
      <c r="F4051" s="139">
        <v>42886</v>
      </c>
      <c r="G4051" s="140">
        <v>4242</v>
      </c>
      <c r="H4051" s="138">
        <f t="shared" si="65"/>
        <v>0</v>
      </c>
      <c r="I4051" s="141" t="s">
        <v>15214</v>
      </c>
    </row>
    <row r="4052" spans="1:9" x14ac:dyDescent="0.25">
      <c r="A4052" s="167" t="s">
        <v>19512</v>
      </c>
      <c r="B4052" s="142" t="s">
        <v>19635</v>
      </c>
      <c r="C4052" s="143">
        <v>114101</v>
      </c>
      <c r="D4052" s="142" t="s">
        <v>15246</v>
      </c>
      <c r="E4052" s="144">
        <v>68826.399999999994</v>
      </c>
      <c r="F4052" s="148">
        <v>42890</v>
      </c>
      <c r="G4052" s="149">
        <v>68826.399999999994</v>
      </c>
      <c r="H4052" s="138">
        <f t="shared" si="65"/>
        <v>0</v>
      </c>
      <c r="I4052" s="147" t="s">
        <v>15214</v>
      </c>
    </row>
    <row r="4053" spans="1:9" x14ac:dyDescent="0.25">
      <c r="A4053" s="168" t="s">
        <v>19512</v>
      </c>
      <c r="B4053" s="136" t="s">
        <v>19636</v>
      </c>
      <c r="C4053" s="137">
        <v>114102</v>
      </c>
      <c r="D4053" s="136" t="s">
        <v>15246</v>
      </c>
      <c r="E4053" s="138">
        <v>36060</v>
      </c>
      <c r="F4053" s="157">
        <v>42890</v>
      </c>
      <c r="G4053" s="158">
        <v>36060</v>
      </c>
      <c r="H4053" s="138">
        <f t="shared" si="65"/>
        <v>0</v>
      </c>
      <c r="I4053" s="141" t="s">
        <v>15214</v>
      </c>
    </row>
    <row r="4054" spans="1:9" x14ac:dyDescent="0.25">
      <c r="A4054" s="167" t="s">
        <v>19512</v>
      </c>
      <c r="B4054" s="142" t="s">
        <v>19637</v>
      </c>
      <c r="C4054" s="143">
        <v>114103</v>
      </c>
      <c r="D4054" s="142" t="s">
        <v>15890</v>
      </c>
      <c r="E4054" s="144">
        <v>7567.8</v>
      </c>
      <c r="F4054" s="148">
        <v>42893</v>
      </c>
      <c r="G4054" s="149">
        <v>7567.8</v>
      </c>
      <c r="H4054" s="138">
        <f t="shared" si="65"/>
        <v>0</v>
      </c>
      <c r="I4054" s="147" t="s">
        <v>15214</v>
      </c>
    </row>
    <row r="4055" spans="1:9" x14ac:dyDescent="0.25">
      <c r="A4055" s="168" t="s">
        <v>19512</v>
      </c>
      <c r="B4055" s="136" t="s">
        <v>19638</v>
      </c>
      <c r="C4055" s="137">
        <v>114104</v>
      </c>
      <c r="D4055" s="136" t="s">
        <v>15818</v>
      </c>
      <c r="E4055" s="138">
        <v>4485.6000000000004</v>
      </c>
      <c r="F4055" s="157">
        <v>42887</v>
      </c>
      <c r="G4055" s="158">
        <v>4485.6000000000004</v>
      </c>
      <c r="H4055" s="138">
        <f t="shared" si="65"/>
        <v>0</v>
      </c>
      <c r="I4055" s="141" t="s">
        <v>15214</v>
      </c>
    </row>
    <row r="4056" spans="1:9" x14ac:dyDescent="0.25">
      <c r="A4056" s="167" t="s">
        <v>19512</v>
      </c>
      <c r="B4056" s="142" t="s">
        <v>19639</v>
      </c>
      <c r="C4056" s="143">
        <v>114105</v>
      </c>
      <c r="D4056" s="142" t="s">
        <v>15284</v>
      </c>
      <c r="E4056" s="144">
        <v>1920</v>
      </c>
      <c r="F4056" s="145">
        <v>42886</v>
      </c>
      <c r="G4056" s="146">
        <v>1920</v>
      </c>
      <c r="H4056" s="138">
        <f t="shared" si="65"/>
        <v>0</v>
      </c>
      <c r="I4056" s="147" t="s">
        <v>15214</v>
      </c>
    </row>
    <row r="4057" spans="1:9" x14ac:dyDescent="0.25">
      <c r="E4057" s="15">
        <v>0</v>
      </c>
      <c r="G4057" s="15">
        <v>0</v>
      </c>
      <c r="H4057" s="15">
        <v>0</v>
      </c>
    </row>
    <row r="4058" spans="1:9" x14ac:dyDescent="0.25">
      <c r="E4058" s="15">
        <v>0</v>
      </c>
      <c r="G4058" s="15">
        <v>0</v>
      </c>
      <c r="H4058" s="15">
        <v>0</v>
      </c>
    </row>
    <row r="4059" spans="1:9" x14ac:dyDescent="0.25">
      <c r="E4059" s="15">
        <f>SUM(E3:E4058)</f>
        <v>54821204.589999959</v>
      </c>
      <c r="G4059" s="15">
        <f>SUM(G3:G4058)</f>
        <v>54756782.789999962</v>
      </c>
      <c r="H4059" s="15">
        <f>SUM(H3:H4058)</f>
        <v>64421.8</v>
      </c>
    </row>
    <row r="4061" spans="1:9" x14ac:dyDescent="0.25">
      <c r="F4061" s="51" t="s">
        <v>19659</v>
      </c>
    </row>
    <row r="4062" spans="1:9" ht="15.75" thickBot="1" x14ac:dyDescent="0.3"/>
    <row r="4063" spans="1:9" ht="21.75" thickBot="1" x14ac:dyDescent="0.4">
      <c r="E4063" s="263" t="s">
        <v>19785</v>
      </c>
      <c r="F4063" s="441">
        <f>E4059-G4059</f>
        <v>64421.79999999702</v>
      </c>
      <c r="G4063" s="442"/>
    </row>
    <row r="4064" spans="1:9" x14ac:dyDescent="0.25">
      <c r="F4064" s="262"/>
      <c r="G4064" s="262"/>
    </row>
  </sheetData>
  <mergeCells count="2">
    <mergeCell ref="A1:G1"/>
    <mergeCell ref="F4063:G4063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FF99"/>
  </sheetPr>
  <dimension ref="A1:J4058"/>
  <sheetViews>
    <sheetView workbookViewId="0">
      <pane xSplit="3" ySplit="1" topLeftCell="E4038" activePane="bottomRight" state="frozen"/>
      <selection pane="topRight" activeCell="D1" sqref="D1"/>
      <selection pane="bottomLeft" activeCell="A2" sqref="A2"/>
      <selection pane="bottomRight" activeCell="B4056" sqref="B4055:B4056"/>
    </sheetView>
  </sheetViews>
  <sheetFormatPr baseColWidth="10" defaultRowHeight="15" x14ac:dyDescent="0.25"/>
  <cols>
    <col min="1" max="1" width="14.85546875" style="2" bestFit="1" customWidth="1"/>
    <col min="2" max="2" width="13" style="18" customWidth="1"/>
    <col min="3" max="3" width="7.42578125" style="235" customWidth="1"/>
    <col min="4" max="4" width="47.5703125" style="2" customWidth="1"/>
    <col min="5" max="5" width="21" style="2" bestFit="1" customWidth="1"/>
    <col min="6" max="6" width="23.140625" style="261" customWidth="1"/>
    <col min="7" max="8" width="21" style="2" bestFit="1" customWidth="1"/>
    <col min="9" max="9" width="7.28515625" style="2" bestFit="1" customWidth="1"/>
    <col min="10" max="16384" width="11.42578125" style="2"/>
  </cols>
  <sheetData>
    <row r="1" spans="1:9" ht="33" thickBot="1" x14ac:dyDescent="0.35">
      <c r="A1" s="227" t="s">
        <v>19668</v>
      </c>
      <c r="B1" s="228" t="s">
        <v>19669</v>
      </c>
      <c r="C1" s="228" t="s">
        <v>19670</v>
      </c>
      <c r="D1" s="229" t="s">
        <v>19671</v>
      </c>
      <c r="E1" s="230" t="s">
        <v>19672</v>
      </c>
      <c r="F1" s="231" t="s">
        <v>19673</v>
      </c>
      <c r="G1" s="230" t="s">
        <v>19674</v>
      </c>
      <c r="H1" s="232" t="s">
        <v>11494</v>
      </c>
      <c r="I1" s="233" t="s">
        <v>19675</v>
      </c>
    </row>
    <row r="2" spans="1:9" ht="15.75" thickTop="1" x14ac:dyDescent="0.25">
      <c r="A2" s="234" t="s">
        <v>19676</v>
      </c>
      <c r="B2" s="18">
        <v>0</v>
      </c>
      <c r="C2" s="235" t="s">
        <v>19677</v>
      </c>
      <c r="D2" s="236" t="s">
        <v>15636</v>
      </c>
      <c r="E2" s="15">
        <v>0</v>
      </c>
      <c r="F2" s="237"/>
      <c r="G2" s="15"/>
      <c r="H2" s="15">
        <f t="shared" ref="H2:H65" si="0">E2-G2</f>
        <v>0</v>
      </c>
      <c r="I2" s="236" t="s">
        <v>19678</v>
      </c>
    </row>
    <row r="3" spans="1:9" x14ac:dyDescent="0.25">
      <c r="A3" s="234" t="s">
        <v>19679</v>
      </c>
      <c r="B3" s="18">
        <v>0</v>
      </c>
      <c r="C3" s="235" t="s">
        <v>19677</v>
      </c>
      <c r="D3" s="236" t="s">
        <v>19680</v>
      </c>
      <c r="E3" s="15">
        <v>0</v>
      </c>
      <c r="F3" s="237"/>
      <c r="G3" s="15"/>
      <c r="H3" s="15">
        <f t="shared" si="0"/>
        <v>0</v>
      </c>
      <c r="I3" s="236" t="s">
        <v>19678</v>
      </c>
    </row>
    <row r="4" spans="1:9" x14ac:dyDescent="0.25">
      <c r="A4" s="234" t="s">
        <v>19679</v>
      </c>
      <c r="B4" s="18">
        <v>0</v>
      </c>
      <c r="C4" s="235" t="s">
        <v>19677</v>
      </c>
      <c r="D4" s="236" t="s">
        <v>19681</v>
      </c>
      <c r="E4" s="15">
        <v>0</v>
      </c>
      <c r="F4" s="237"/>
      <c r="G4" s="15"/>
      <c r="H4" s="15">
        <f t="shared" si="0"/>
        <v>0</v>
      </c>
      <c r="I4" s="236" t="s">
        <v>19678</v>
      </c>
    </row>
    <row r="5" spans="1:9" x14ac:dyDescent="0.25">
      <c r="A5" s="238">
        <v>42887</v>
      </c>
      <c r="B5" s="18">
        <v>114106</v>
      </c>
      <c r="C5" s="235" t="s">
        <v>19677</v>
      </c>
      <c r="D5" s="236" t="s">
        <v>15213</v>
      </c>
      <c r="E5" s="15">
        <v>10527.9</v>
      </c>
      <c r="F5" s="237">
        <v>42887</v>
      </c>
      <c r="G5" s="15">
        <v>10527.9</v>
      </c>
      <c r="H5" s="15">
        <f t="shared" si="0"/>
        <v>0</v>
      </c>
      <c r="I5" s="236" t="s">
        <v>19682</v>
      </c>
    </row>
    <row r="6" spans="1:9" x14ac:dyDescent="0.25">
      <c r="A6" s="234">
        <v>42887</v>
      </c>
      <c r="B6" s="18">
        <v>114107</v>
      </c>
      <c r="C6" s="235" t="s">
        <v>19677</v>
      </c>
      <c r="D6" s="236" t="s">
        <v>15213</v>
      </c>
      <c r="E6" s="15">
        <v>41580.400000000001</v>
      </c>
      <c r="F6" s="237">
        <v>42888</v>
      </c>
      <c r="G6" s="15">
        <f>38000+3580.4</f>
        <v>41580.400000000001</v>
      </c>
      <c r="H6" s="15">
        <f t="shared" si="0"/>
        <v>0</v>
      </c>
      <c r="I6" s="236" t="s">
        <v>19682</v>
      </c>
    </row>
    <row r="7" spans="1:9" x14ac:dyDescent="0.25">
      <c r="A7" s="238">
        <v>42887</v>
      </c>
      <c r="B7" s="18">
        <v>114108</v>
      </c>
      <c r="C7" s="235" t="s">
        <v>19677</v>
      </c>
      <c r="D7" s="236" t="s">
        <v>15242</v>
      </c>
      <c r="E7" s="15">
        <v>13200</v>
      </c>
      <c r="F7" s="237">
        <v>42887</v>
      </c>
      <c r="G7" s="15">
        <v>13200</v>
      </c>
      <c r="H7" s="15">
        <f t="shared" si="0"/>
        <v>0</v>
      </c>
      <c r="I7" s="236" t="s">
        <v>19682</v>
      </c>
    </row>
    <row r="8" spans="1:9" x14ac:dyDescent="0.25">
      <c r="A8" s="234">
        <v>42887</v>
      </c>
      <c r="B8" s="18">
        <v>114109</v>
      </c>
      <c r="C8" s="235" t="s">
        <v>19677</v>
      </c>
      <c r="D8" s="236" t="s">
        <v>15226</v>
      </c>
      <c r="E8" s="15">
        <v>1767.2</v>
      </c>
      <c r="F8" s="237">
        <v>42888</v>
      </c>
      <c r="G8" s="15">
        <v>1767.2</v>
      </c>
      <c r="H8" s="15">
        <f t="shared" si="0"/>
        <v>0</v>
      </c>
      <c r="I8" s="236" t="s">
        <v>19682</v>
      </c>
    </row>
    <row r="9" spans="1:9" x14ac:dyDescent="0.25">
      <c r="A9" s="238">
        <v>42887</v>
      </c>
      <c r="B9" s="18">
        <v>114110</v>
      </c>
      <c r="C9" s="235" t="s">
        <v>19677</v>
      </c>
      <c r="D9" s="236" t="s">
        <v>15596</v>
      </c>
      <c r="E9" s="15">
        <v>960</v>
      </c>
      <c r="F9" s="237">
        <v>42888</v>
      </c>
      <c r="G9" s="15">
        <v>960</v>
      </c>
      <c r="H9" s="15">
        <f t="shared" si="0"/>
        <v>0</v>
      </c>
      <c r="I9" s="236" t="s">
        <v>19682</v>
      </c>
    </row>
    <row r="10" spans="1:9" x14ac:dyDescent="0.25">
      <c r="A10" s="234">
        <v>42887</v>
      </c>
      <c r="B10" s="18">
        <v>114111</v>
      </c>
      <c r="C10" s="235" t="s">
        <v>19677</v>
      </c>
      <c r="D10" s="236" t="s">
        <v>15220</v>
      </c>
      <c r="E10" s="15">
        <v>2400</v>
      </c>
      <c r="F10" s="237">
        <v>42888</v>
      </c>
      <c r="G10" s="15">
        <v>2400</v>
      </c>
      <c r="H10" s="15">
        <f t="shared" si="0"/>
        <v>0</v>
      </c>
      <c r="I10" s="236" t="s">
        <v>19682</v>
      </c>
    </row>
    <row r="11" spans="1:9" x14ac:dyDescent="0.25">
      <c r="A11" s="238">
        <v>42887</v>
      </c>
      <c r="B11" s="18">
        <v>114112</v>
      </c>
      <c r="C11" s="235" t="s">
        <v>19677</v>
      </c>
      <c r="D11" s="236" t="s">
        <v>15324</v>
      </c>
      <c r="E11" s="15">
        <v>2284</v>
      </c>
      <c r="F11" s="237">
        <v>42888</v>
      </c>
      <c r="G11" s="15">
        <v>2284</v>
      </c>
      <c r="H11" s="15">
        <f t="shared" si="0"/>
        <v>0</v>
      </c>
      <c r="I11" s="236" t="s">
        <v>19682</v>
      </c>
    </row>
    <row r="12" spans="1:9" x14ac:dyDescent="0.25">
      <c r="A12" s="234">
        <v>42887</v>
      </c>
      <c r="B12" s="18">
        <v>114113</v>
      </c>
      <c r="C12" s="235" t="s">
        <v>19677</v>
      </c>
      <c r="D12" s="236" t="s">
        <v>15272</v>
      </c>
      <c r="E12" s="15">
        <v>17633.099999999999</v>
      </c>
      <c r="F12" s="237">
        <v>42887</v>
      </c>
      <c r="G12" s="15">
        <v>17633.099999999999</v>
      </c>
      <c r="H12" s="15">
        <f t="shared" si="0"/>
        <v>0</v>
      </c>
      <c r="I12" s="236" t="s">
        <v>19682</v>
      </c>
    </row>
    <row r="13" spans="1:9" x14ac:dyDescent="0.25">
      <c r="A13" s="238">
        <v>42887</v>
      </c>
      <c r="B13" s="18">
        <v>114114</v>
      </c>
      <c r="C13" s="235" t="s">
        <v>19677</v>
      </c>
      <c r="D13" s="236" t="s">
        <v>15356</v>
      </c>
      <c r="E13" s="15">
        <v>4486.1000000000004</v>
      </c>
      <c r="F13" s="237">
        <v>42887</v>
      </c>
      <c r="G13" s="15">
        <v>4486.1000000000004</v>
      </c>
      <c r="H13" s="15">
        <f t="shared" si="0"/>
        <v>0</v>
      </c>
      <c r="I13" s="236" t="s">
        <v>19682</v>
      </c>
    </row>
    <row r="14" spans="1:9" x14ac:dyDescent="0.25">
      <c r="A14" s="234">
        <v>42887</v>
      </c>
      <c r="B14" s="18">
        <v>114115</v>
      </c>
      <c r="C14" s="235" t="s">
        <v>19677</v>
      </c>
      <c r="D14" s="236" t="s">
        <v>15348</v>
      </c>
      <c r="E14" s="15">
        <v>3206.4</v>
      </c>
      <c r="F14" s="237">
        <v>42889</v>
      </c>
      <c r="G14" s="15">
        <v>3206.4</v>
      </c>
      <c r="H14" s="15">
        <f t="shared" si="0"/>
        <v>0</v>
      </c>
      <c r="I14" s="236" t="s">
        <v>19682</v>
      </c>
    </row>
    <row r="15" spans="1:9" x14ac:dyDescent="0.25">
      <c r="A15" s="238">
        <v>42887</v>
      </c>
      <c r="B15" s="18">
        <v>114116</v>
      </c>
      <c r="C15" s="235" t="s">
        <v>19677</v>
      </c>
      <c r="D15" s="236" t="s">
        <v>15487</v>
      </c>
      <c r="E15" s="15">
        <v>9709.6</v>
      </c>
      <c r="F15" s="237">
        <v>42888</v>
      </c>
      <c r="G15" s="15">
        <v>9709.6</v>
      </c>
      <c r="H15" s="15">
        <f t="shared" si="0"/>
        <v>0</v>
      </c>
      <c r="I15" s="236" t="s">
        <v>19682</v>
      </c>
    </row>
    <row r="16" spans="1:9" x14ac:dyDescent="0.25">
      <c r="A16" s="234">
        <v>42887</v>
      </c>
      <c r="B16" s="18">
        <v>114117</v>
      </c>
      <c r="C16" s="235" t="s">
        <v>19677</v>
      </c>
      <c r="D16" s="236" t="s">
        <v>17277</v>
      </c>
      <c r="E16" s="15">
        <v>2331.8000000000002</v>
      </c>
      <c r="F16" s="237">
        <v>42887</v>
      </c>
      <c r="G16" s="15">
        <v>2331.8000000000002</v>
      </c>
      <c r="H16" s="15">
        <f t="shared" si="0"/>
        <v>0</v>
      </c>
      <c r="I16" s="236" t="s">
        <v>19682</v>
      </c>
    </row>
    <row r="17" spans="1:9" x14ac:dyDescent="0.25">
      <c r="A17" s="238">
        <v>42887</v>
      </c>
      <c r="B17" s="18">
        <v>114118</v>
      </c>
      <c r="C17" s="235" t="s">
        <v>19677</v>
      </c>
      <c r="D17" s="236" t="s">
        <v>15326</v>
      </c>
      <c r="E17" s="15">
        <v>6687.9</v>
      </c>
      <c r="F17" s="237">
        <v>42887</v>
      </c>
      <c r="G17" s="15">
        <v>6687.9</v>
      </c>
      <c r="H17" s="15">
        <f t="shared" si="0"/>
        <v>0</v>
      </c>
      <c r="I17" s="236" t="s">
        <v>19682</v>
      </c>
    </row>
    <row r="18" spans="1:9" x14ac:dyDescent="0.25">
      <c r="A18" s="234">
        <v>42887</v>
      </c>
      <c r="B18" s="18">
        <v>114119</v>
      </c>
      <c r="C18" s="235" t="s">
        <v>19677</v>
      </c>
      <c r="D18" s="236" t="s">
        <v>17462</v>
      </c>
      <c r="E18" s="15">
        <v>5600.7</v>
      </c>
      <c r="F18" s="237">
        <v>42887</v>
      </c>
      <c r="G18" s="15">
        <v>5600.7</v>
      </c>
      <c r="H18" s="15">
        <f t="shared" si="0"/>
        <v>0</v>
      </c>
      <c r="I18" s="236" t="s">
        <v>19682</v>
      </c>
    </row>
    <row r="19" spans="1:9" x14ac:dyDescent="0.25">
      <c r="A19" s="238">
        <v>42887</v>
      </c>
      <c r="B19" s="18">
        <v>114120</v>
      </c>
      <c r="C19" s="235" t="s">
        <v>19677</v>
      </c>
      <c r="D19" s="236" t="s">
        <v>15258</v>
      </c>
      <c r="E19" s="15">
        <v>13208.8</v>
      </c>
      <c r="F19" s="237">
        <v>42891</v>
      </c>
      <c r="G19" s="15">
        <v>13208.8</v>
      </c>
      <c r="H19" s="15">
        <f t="shared" si="0"/>
        <v>0</v>
      </c>
      <c r="I19" s="236" t="s">
        <v>19682</v>
      </c>
    </row>
    <row r="20" spans="1:9" x14ac:dyDescent="0.25">
      <c r="A20" s="234">
        <v>42887</v>
      </c>
      <c r="B20" s="18">
        <v>114121</v>
      </c>
      <c r="C20" s="235" t="s">
        <v>19677</v>
      </c>
      <c r="D20" s="236" t="s">
        <v>15232</v>
      </c>
      <c r="E20" s="15">
        <v>6229.3</v>
      </c>
      <c r="F20" s="237">
        <v>42894</v>
      </c>
      <c r="G20" s="15">
        <v>6229.3</v>
      </c>
      <c r="H20" s="15">
        <f t="shared" si="0"/>
        <v>0</v>
      </c>
      <c r="I20" s="236" t="s">
        <v>19682</v>
      </c>
    </row>
    <row r="21" spans="1:9" x14ac:dyDescent="0.25">
      <c r="A21" s="238">
        <v>42887</v>
      </c>
      <c r="B21" s="18">
        <v>114122</v>
      </c>
      <c r="C21" s="235" t="s">
        <v>19677</v>
      </c>
      <c r="D21" s="236" t="s">
        <v>15234</v>
      </c>
      <c r="E21" s="15">
        <v>3207.2</v>
      </c>
      <c r="F21" s="237">
        <v>42891</v>
      </c>
      <c r="G21" s="15">
        <v>3207.2</v>
      </c>
      <c r="H21" s="15">
        <f t="shared" si="0"/>
        <v>0</v>
      </c>
      <c r="I21" s="236" t="s">
        <v>19682</v>
      </c>
    </row>
    <row r="22" spans="1:9" x14ac:dyDescent="0.25">
      <c r="A22" s="234">
        <v>42887</v>
      </c>
      <c r="B22" s="18">
        <v>114123</v>
      </c>
      <c r="C22" s="235" t="s">
        <v>19677</v>
      </c>
      <c r="D22" s="236" t="s">
        <v>15265</v>
      </c>
      <c r="E22" s="15">
        <v>2925</v>
      </c>
      <c r="F22" s="237">
        <v>42887</v>
      </c>
      <c r="G22" s="15">
        <v>2925</v>
      </c>
      <c r="H22" s="15">
        <f t="shared" si="0"/>
        <v>0</v>
      </c>
      <c r="I22" s="236" t="s">
        <v>19682</v>
      </c>
    </row>
    <row r="23" spans="1:9" x14ac:dyDescent="0.25">
      <c r="A23" s="238">
        <v>42887</v>
      </c>
      <c r="B23" s="18">
        <v>114124</v>
      </c>
      <c r="C23" s="235" t="s">
        <v>19677</v>
      </c>
      <c r="D23" s="236" t="s">
        <v>15236</v>
      </c>
      <c r="E23" s="15">
        <v>3556.8</v>
      </c>
      <c r="F23" s="237">
        <v>42889</v>
      </c>
      <c r="G23" s="15">
        <v>3556.8</v>
      </c>
      <c r="H23" s="15">
        <f t="shared" si="0"/>
        <v>0</v>
      </c>
      <c r="I23" s="236" t="s">
        <v>19682</v>
      </c>
    </row>
    <row r="24" spans="1:9" x14ac:dyDescent="0.25">
      <c r="A24" s="234">
        <v>42887</v>
      </c>
      <c r="B24" s="18">
        <v>114125</v>
      </c>
      <c r="C24" s="235" t="s">
        <v>19677</v>
      </c>
      <c r="D24" s="236" t="s">
        <v>15256</v>
      </c>
      <c r="E24" s="15">
        <v>3541.6</v>
      </c>
      <c r="F24" s="237">
        <v>42889</v>
      </c>
      <c r="G24" s="15">
        <v>3541.6</v>
      </c>
      <c r="H24" s="15">
        <f t="shared" si="0"/>
        <v>0</v>
      </c>
      <c r="I24" s="236" t="s">
        <v>19682</v>
      </c>
    </row>
    <row r="25" spans="1:9" x14ac:dyDescent="0.25">
      <c r="A25" s="234">
        <v>42887</v>
      </c>
      <c r="B25" s="18">
        <v>114126</v>
      </c>
      <c r="C25" s="235" t="s">
        <v>19677</v>
      </c>
      <c r="D25" s="236" t="s">
        <v>15338</v>
      </c>
      <c r="E25" s="15">
        <v>8703.6</v>
      </c>
      <c r="F25" s="237">
        <v>42894</v>
      </c>
      <c r="G25" s="15">
        <v>8703.6</v>
      </c>
      <c r="H25" s="15">
        <f t="shared" si="0"/>
        <v>0</v>
      </c>
      <c r="I25" s="236" t="s">
        <v>19682</v>
      </c>
    </row>
    <row r="26" spans="1:9" x14ac:dyDescent="0.25">
      <c r="A26" s="234">
        <v>42887</v>
      </c>
      <c r="B26" s="18">
        <v>114127</v>
      </c>
      <c r="C26" s="235" t="s">
        <v>19677</v>
      </c>
      <c r="D26" s="236" t="s">
        <v>5575</v>
      </c>
      <c r="E26" s="15">
        <v>3671.8</v>
      </c>
      <c r="F26" s="237">
        <v>42892</v>
      </c>
      <c r="G26" s="15">
        <v>3671.8</v>
      </c>
      <c r="H26" s="15">
        <f t="shared" si="0"/>
        <v>0</v>
      </c>
      <c r="I26" s="236" t="s">
        <v>19682</v>
      </c>
    </row>
    <row r="27" spans="1:9" x14ac:dyDescent="0.25">
      <c r="A27" s="238">
        <v>42887</v>
      </c>
      <c r="B27" s="18">
        <v>114128</v>
      </c>
      <c r="C27" s="235" t="s">
        <v>19677</v>
      </c>
      <c r="D27" s="236" t="s">
        <v>15480</v>
      </c>
      <c r="E27" s="15">
        <v>3701.2</v>
      </c>
      <c r="F27" s="237">
        <v>42889</v>
      </c>
      <c r="G27" s="15">
        <v>3701.2</v>
      </c>
      <c r="H27" s="15">
        <f t="shared" si="0"/>
        <v>0</v>
      </c>
      <c r="I27" s="236" t="s">
        <v>19682</v>
      </c>
    </row>
    <row r="28" spans="1:9" x14ac:dyDescent="0.25">
      <c r="A28" s="234">
        <v>42887</v>
      </c>
      <c r="B28" s="18">
        <v>114129</v>
      </c>
      <c r="C28" s="235" t="s">
        <v>19677</v>
      </c>
      <c r="D28" s="236" t="s">
        <v>15668</v>
      </c>
      <c r="E28" s="15">
        <v>16165.2</v>
      </c>
      <c r="F28" s="237">
        <v>42888</v>
      </c>
      <c r="G28" s="15">
        <v>16165.2</v>
      </c>
      <c r="H28" s="15">
        <f t="shared" si="0"/>
        <v>0</v>
      </c>
      <c r="I28" s="236" t="s">
        <v>19682</v>
      </c>
    </row>
    <row r="29" spans="1:9" x14ac:dyDescent="0.25">
      <c r="A29" s="238">
        <v>42887</v>
      </c>
      <c r="B29" s="18">
        <v>114130</v>
      </c>
      <c r="C29" s="235" t="s">
        <v>19677</v>
      </c>
      <c r="D29" s="236" t="s">
        <v>15228</v>
      </c>
      <c r="E29" s="15">
        <v>4118.1000000000004</v>
      </c>
      <c r="F29" s="237">
        <v>42887</v>
      </c>
      <c r="G29" s="15">
        <v>4118.1000000000004</v>
      </c>
      <c r="H29" s="15">
        <f t="shared" si="0"/>
        <v>0</v>
      </c>
      <c r="I29" s="236" t="s">
        <v>19682</v>
      </c>
    </row>
    <row r="30" spans="1:9" x14ac:dyDescent="0.25">
      <c r="A30" s="234">
        <v>42887</v>
      </c>
      <c r="B30" s="18">
        <v>114131</v>
      </c>
      <c r="C30" s="235" t="s">
        <v>19677</v>
      </c>
      <c r="D30" s="236" t="s">
        <v>15230</v>
      </c>
      <c r="E30" s="15">
        <v>9764.6</v>
      </c>
      <c r="F30" s="237">
        <v>42889</v>
      </c>
      <c r="G30" s="15">
        <v>9764.6</v>
      </c>
      <c r="H30" s="15">
        <f t="shared" si="0"/>
        <v>0</v>
      </c>
      <c r="I30" s="236" t="s">
        <v>19682</v>
      </c>
    </row>
    <row r="31" spans="1:9" x14ac:dyDescent="0.25">
      <c r="A31" s="238">
        <v>42887</v>
      </c>
      <c r="B31" s="18">
        <v>114132</v>
      </c>
      <c r="C31" s="235" t="s">
        <v>19677</v>
      </c>
      <c r="D31" s="236" t="s">
        <v>15263</v>
      </c>
      <c r="E31" s="15">
        <v>3116.9</v>
      </c>
      <c r="F31" s="237">
        <v>42887</v>
      </c>
      <c r="G31" s="15">
        <v>3116.9</v>
      </c>
      <c r="H31" s="15">
        <f t="shared" si="0"/>
        <v>0</v>
      </c>
      <c r="I31" s="236" t="s">
        <v>19682</v>
      </c>
    </row>
    <row r="32" spans="1:9" x14ac:dyDescent="0.25">
      <c r="A32" s="238">
        <v>42887</v>
      </c>
      <c r="B32" s="18">
        <v>114133</v>
      </c>
      <c r="C32" s="235" t="s">
        <v>19677</v>
      </c>
      <c r="D32" s="236" t="s">
        <v>15328</v>
      </c>
      <c r="E32" s="15">
        <v>105363.08</v>
      </c>
      <c r="F32" s="237">
        <v>42902</v>
      </c>
      <c r="G32" s="15">
        <v>105363.08</v>
      </c>
      <c r="H32" s="15">
        <f t="shared" si="0"/>
        <v>0</v>
      </c>
      <c r="I32" s="236" t="s">
        <v>19682</v>
      </c>
    </row>
    <row r="33" spans="1:9" x14ac:dyDescent="0.25">
      <c r="A33" s="234">
        <v>42887</v>
      </c>
      <c r="B33" s="18">
        <v>114134</v>
      </c>
      <c r="C33" s="235" t="s">
        <v>19677</v>
      </c>
      <c r="D33" s="236" t="s">
        <v>15442</v>
      </c>
      <c r="E33" s="15">
        <v>18480</v>
      </c>
      <c r="F33" s="237">
        <v>42888</v>
      </c>
      <c r="G33" s="15">
        <v>18480</v>
      </c>
      <c r="H33" s="15">
        <f t="shared" si="0"/>
        <v>0</v>
      </c>
      <c r="I33" s="236" t="s">
        <v>19682</v>
      </c>
    </row>
    <row r="34" spans="1:9" x14ac:dyDescent="0.25">
      <c r="A34" s="238">
        <v>42887</v>
      </c>
      <c r="B34" s="18">
        <v>114135</v>
      </c>
      <c r="C34" s="235" t="s">
        <v>19677</v>
      </c>
      <c r="D34" s="236" t="s">
        <v>15315</v>
      </c>
      <c r="E34" s="15">
        <v>3196.8</v>
      </c>
      <c r="F34" s="237">
        <v>42887</v>
      </c>
      <c r="G34" s="15">
        <v>3196.8</v>
      </c>
      <c r="H34" s="15">
        <f t="shared" si="0"/>
        <v>0</v>
      </c>
      <c r="I34" s="236" t="s">
        <v>19682</v>
      </c>
    </row>
    <row r="35" spans="1:9" x14ac:dyDescent="0.25">
      <c r="A35" s="234">
        <v>42887</v>
      </c>
      <c r="B35" s="18">
        <v>114136</v>
      </c>
      <c r="C35" s="235" t="s">
        <v>19677</v>
      </c>
      <c r="D35" s="236" t="s">
        <v>15284</v>
      </c>
      <c r="E35" s="15">
        <v>2711.7</v>
      </c>
      <c r="F35" s="237">
        <v>42887</v>
      </c>
      <c r="G35" s="15">
        <v>2711.7</v>
      </c>
      <c r="H35" s="15">
        <f t="shared" si="0"/>
        <v>0</v>
      </c>
      <c r="I35" s="236" t="s">
        <v>19682</v>
      </c>
    </row>
    <row r="36" spans="1:9" x14ac:dyDescent="0.25">
      <c r="A36" s="234">
        <v>42887</v>
      </c>
      <c r="B36" s="18">
        <v>114137</v>
      </c>
      <c r="C36" s="235" t="s">
        <v>19677</v>
      </c>
      <c r="D36" s="236" t="s">
        <v>16484</v>
      </c>
      <c r="E36" s="15">
        <v>800.8</v>
      </c>
      <c r="F36" s="237">
        <v>42887</v>
      </c>
      <c r="G36" s="15">
        <v>800.8</v>
      </c>
      <c r="H36" s="15">
        <f t="shared" si="0"/>
        <v>0</v>
      </c>
      <c r="I36" s="236" t="s">
        <v>19682</v>
      </c>
    </row>
    <row r="37" spans="1:9" x14ac:dyDescent="0.25">
      <c r="A37" s="234">
        <v>42887</v>
      </c>
      <c r="B37" s="18">
        <v>114138</v>
      </c>
      <c r="C37" s="235" t="s">
        <v>19677</v>
      </c>
      <c r="D37" s="236" t="s">
        <v>15438</v>
      </c>
      <c r="E37" s="15">
        <v>2522.84</v>
      </c>
      <c r="F37" s="237">
        <v>42887</v>
      </c>
      <c r="G37" s="15">
        <v>2522.84</v>
      </c>
      <c r="H37" s="15">
        <f t="shared" si="0"/>
        <v>0</v>
      </c>
      <c r="I37" s="236" t="s">
        <v>19682</v>
      </c>
    </row>
    <row r="38" spans="1:9" x14ac:dyDescent="0.25">
      <c r="A38" s="238">
        <v>42887</v>
      </c>
      <c r="B38" s="18">
        <v>114139</v>
      </c>
      <c r="C38" s="235" t="s">
        <v>19677</v>
      </c>
      <c r="D38" s="236" t="s">
        <v>15223</v>
      </c>
      <c r="E38" s="15">
        <v>44384.6</v>
      </c>
      <c r="F38" s="237">
        <v>42901</v>
      </c>
      <c r="G38" s="15">
        <v>44384.6</v>
      </c>
      <c r="H38" s="15">
        <f t="shared" si="0"/>
        <v>0</v>
      </c>
      <c r="I38" s="236" t="s">
        <v>19682</v>
      </c>
    </row>
    <row r="39" spans="1:9" ht="15.75" x14ac:dyDescent="0.25">
      <c r="A39" s="238">
        <v>42887</v>
      </c>
      <c r="B39" s="18">
        <v>114140</v>
      </c>
      <c r="C39" s="235" t="s">
        <v>19677</v>
      </c>
      <c r="D39" s="239" t="s">
        <v>95</v>
      </c>
      <c r="E39" s="15">
        <v>0</v>
      </c>
      <c r="F39" s="240" t="s">
        <v>95</v>
      </c>
      <c r="G39" s="15">
        <v>0</v>
      </c>
      <c r="H39" s="15">
        <f t="shared" si="0"/>
        <v>0</v>
      </c>
      <c r="I39" s="236" t="s">
        <v>19678</v>
      </c>
    </row>
    <row r="40" spans="1:9" x14ac:dyDescent="0.25">
      <c r="A40" s="238">
        <v>42887</v>
      </c>
      <c r="B40" s="18">
        <v>114141</v>
      </c>
      <c r="C40" s="235" t="s">
        <v>19677</v>
      </c>
      <c r="D40" s="236" t="s">
        <v>15549</v>
      </c>
      <c r="E40" s="15">
        <v>10204.5</v>
      </c>
      <c r="F40" s="237">
        <v>42887</v>
      </c>
      <c r="G40" s="15">
        <v>10204.5</v>
      </c>
      <c r="H40" s="15">
        <f t="shared" si="0"/>
        <v>0</v>
      </c>
      <c r="I40" s="236" t="s">
        <v>19682</v>
      </c>
    </row>
    <row r="41" spans="1:9" x14ac:dyDescent="0.25">
      <c r="A41" s="234">
        <v>42887</v>
      </c>
      <c r="B41" s="18">
        <v>114142</v>
      </c>
      <c r="C41" s="235" t="s">
        <v>19677</v>
      </c>
      <c r="D41" s="236" t="s">
        <v>15244</v>
      </c>
      <c r="E41" s="15">
        <v>10383</v>
      </c>
      <c r="F41" s="237">
        <v>42893</v>
      </c>
      <c r="G41" s="15">
        <v>10383</v>
      </c>
      <c r="H41" s="15">
        <f t="shared" si="0"/>
        <v>0</v>
      </c>
      <c r="I41" s="236" t="s">
        <v>19682</v>
      </c>
    </row>
    <row r="42" spans="1:9" x14ac:dyDescent="0.25">
      <c r="A42" s="238">
        <v>42887</v>
      </c>
      <c r="B42" s="18">
        <v>114143</v>
      </c>
      <c r="C42" s="235" t="s">
        <v>19677</v>
      </c>
      <c r="D42" s="236" t="s">
        <v>15252</v>
      </c>
      <c r="E42" s="15">
        <v>4094.4</v>
      </c>
      <c r="F42" s="237">
        <v>42891</v>
      </c>
      <c r="G42" s="15">
        <v>4094.4</v>
      </c>
      <c r="H42" s="15">
        <f t="shared" si="0"/>
        <v>0</v>
      </c>
      <c r="I42" s="236" t="s">
        <v>19682</v>
      </c>
    </row>
    <row r="43" spans="1:9" x14ac:dyDescent="0.25">
      <c r="A43" s="238">
        <v>42887</v>
      </c>
      <c r="B43" s="18">
        <v>114144</v>
      </c>
      <c r="C43" s="235" t="s">
        <v>19677</v>
      </c>
      <c r="D43" s="236" t="s">
        <v>15759</v>
      </c>
      <c r="E43" s="15">
        <v>4661.04</v>
      </c>
      <c r="F43" s="237">
        <v>42887</v>
      </c>
      <c r="G43" s="15">
        <v>4661.04</v>
      </c>
      <c r="H43" s="15">
        <f t="shared" si="0"/>
        <v>0</v>
      </c>
      <c r="I43" s="236" t="s">
        <v>19682</v>
      </c>
    </row>
    <row r="44" spans="1:9" x14ac:dyDescent="0.25">
      <c r="A44" s="234">
        <v>42887</v>
      </c>
      <c r="B44" s="18">
        <v>114145</v>
      </c>
      <c r="C44" s="235" t="s">
        <v>19677</v>
      </c>
      <c r="D44" s="236" t="s">
        <v>15282</v>
      </c>
      <c r="E44" s="15">
        <v>2651.5</v>
      </c>
      <c r="F44" s="237">
        <v>42887</v>
      </c>
      <c r="G44" s="15">
        <v>2651.5</v>
      </c>
      <c r="H44" s="15">
        <f t="shared" si="0"/>
        <v>0</v>
      </c>
      <c r="I44" s="236" t="s">
        <v>19682</v>
      </c>
    </row>
    <row r="45" spans="1:9" x14ac:dyDescent="0.25">
      <c r="A45" s="238">
        <v>42887</v>
      </c>
      <c r="B45" s="18">
        <v>114146</v>
      </c>
      <c r="C45" s="235" t="s">
        <v>19677</v>
      </c>
      <c r="D45" s="236" t="s">
        <v>15280</v>
      </c>
      <c r="E45" s="15">
        <v>6207.3</v>
      </c>
      <c r="F45" s="237">
        <v>42887</v>
      </c>
      <c r="G45" s="15">
        <v>6207.3</v>
      </c>
      <c r="H45" s="15">
        <f t="shared" si="0"/>
        <v>0</v>
      </c>
      <c r="I45" s="236" t="s">
        <v>19682</v>
      </c>
    </row>
    <row r="46" spans="1:9" x14ac:dyDescent="0.25">
      <c r="A46" s="238">
        <v>42887</v>
      </c>
      <c r="B46" s="18">
        <v>114147</v>
      </c>
      <c r="C46" s="235" t="s">
        <v>19677</v>
      </c>
      <c r="D46" s="236" t="s">
        <v>15415</v>
      </c>
      <c r="E46" s="15">
        <v>3201.6</v>
      </c>
      <c r="F46" s="237">
        <v>42891</v>
      </c>
      <c r="G46" s="15">
        <v>3201.6</v>
      </c>
      <c r="H46" s="15">
        <f t="shared" si="0"/>
        <v>0</v>
      </c>
      <c r="I46" s="236" t="s">
        <v>19682</v>
      </c>
    </row>
    <row r="47" spans="1:9" x14ac:dyDescent="0.25">
      <c r="A47" s="234">
        <v>42887</v>
      </c>
      <c r="B47" s="18">
        <v>114148</v>
      </c>
      <c r="C47" s="235" t="s">
        <v>19677</v>
      </c>
      <c r="D47" s="236" t="s">
        <v>15248</v>
      </c>
      <c r="E47" s="15">
        <v>19943.599999999999</v>
      </c>
      <c r="F47" s="237">
        <v>42887</v>
      </c>
      <c r="G47" s="15">
        <v>19943.599999999999</v>
      </c>
      <c r="H47" s="15">
        <f t="shared" si="0"/>
        <v>0</v>
      </c>
      <c r="I47" s="236" t="s">
        <v>19682</v>
      </c>
    </row>
    <row r="48" spans="1:9" x14ac:dyDescent="0.25">
      <c r="A48" s="238">
        <v>42887</v>
      </c>
      <c r="B48" s="18">
        <v>114149</v>
      </c>
      <c r="C48" s="235" t="s">
        <v>19677</v>
      </c>
      <c r="D48" s="236" t="s">
        <v>15530</v>
      </c>
      <c r="E48" s="15">
        <v>1535</v>
      </c>
      <c r="F48" s="237">
        <v>42887</v>
      </c>
      <c r="G48" s="15">
        <v>1535</v>
      </c>
      <c r="H48" s="15">
        <f t="shared" si="0"/>
        <v>0</v>
      </c>
      <c r="I48" s="236" t="s">
        <v>19682</v>
      </c>
    </row>
    <row r="49" spans="1:9" x14ac:dyDescent="0.25">
      <c r="A49" s="234">
        <v>42887</v>
      </c>
      <c r="B49" s="18">
        <v>114150</v>
      </c>
      <c r="C49" s="235" t="s">
        <v>19677</v>
      </c>
      <c r="D49" s="236" t="s">
        <v>15590</v>
      </c>
      <c r="E49" s="15">
        <v>36999</v>
      </c>
      <c r="F49" s="237">
        <v>42895</v>
      </c>
      <c r="G49" s="15">
        <v>36999</v>
      </c>
      <c r="H49" s="15">
        <f t="shared" si="0"/>
        <v>0</v>
      </c>
      <c r="I49" s="236" t="s">
        <v>19682</v>
      </c>
    </row>
    <row r="50" spans="1:9" x14ac:dyDescent="0.25">
      <c r="A50" s="238">
        <v>42887</v>
      </c>
      <c r="B50" s="18">
        <v>114151</v>
      </c>
      <c r="C50" s="235" t="s">
        <v>19677</v>
      </c>
      <c r="D50" s="236" t="s">
        <v>15371</v>
      </c>
      <c r="E50" s="15">
        <v>4677.8</v>
      </c>
      <c r="F50" s="237">
        <v>42889</v>
      </c>
      <c r="G50" s="15">
        <v>4677.8</v>
      </c>
      <c r="H50" s="15">
        <f t="shared" si="0"/>
        <v>0</v>
      </c>
      <c r="I50" s="236" t="s">
        <v>19682</v>
      </c>
    </row>
    <row r="51" spans="1:9" x14ac:dyDescent="0.25">
      <c r="A51" s="234">
        <v>42887</v>
      </c>
      <c r="B51" s="18">
        <v>114152</v>
      </c>
      <c r="C51" s="235" t="s">
        <v>19677</v>
      </c>
      <c r="D51" s="236" t="s">
        <v>15289</v>
      </c>
      <c r="E51" s="15">
        <v>1586.8</v>
      </c>
      <c r="F51" s="237">
        <v>42887</v>
      </c>
      <c r="G51" s="15">
        <v>1586.8</v>
      </c>
      <c r="H51" s="15">
        <f t="shared" si="0"/>
        <v>0</v>
      </c>
      <c r="I51" s="236" t="s">
        <v>19682</v>
      </c>
    </row>
    <row r="52" spans="1:9" x14ac:dyDescent="0.25">
      <c r="A52" s="238">
        <v>42887</v>
      </c>
      <c r="B52" s="18">
        <v>114153</v>
      </c>
      <c r="C52" s="235" t="s">
        <v>19677</v>
      </c>
      <c r="D52" s="236" t="s">
        <v>15301</v>
      </c>
      <c r="E52" s="15">
        <v>3131.1</v>
      </c>
      <c r="F52" s="237">
        <v>42888</v>
      </c>
      <c r="G52" s="15">
        <v>3131.1</v>
      </c>
      <c r="H52" s="15">
        <f t="shared" si="0"/>
        <v>0</v>
      </c>
      <c r="I52" s="236" t="s">
        <v>19682</v>
      </c>
    </row>
    <row r="53" spans="1:9" x14ac:dyDescent="0.25">
      <c r="A53" s="234">
        <v>42887</v>
      </c>
      <c r="B53" s="18">
        <v>114154</v>
      </c>
      <c r="C53" s="235" t="s">
        <v>19677</v>
      </c>
      <c r="D53" s="236" t="s">
        <v>15261</v>
      </c>
      <c r="E53" s="15">
        <v>27709.4</v>
      </c>
      <c r="F53" s="237">
        <v>42887</v>
      </c>
      <c r="G53" s="15">
        <v>27709.4</v>
      </c>
      <c r="H53" s="15">
        <f t="shared" si="0"/>
        <v>0</v>
      </c>
      <c r="I53" s="236" t="s">
        <v>19682</v>
      </c>
    </row>
    <row r="54" spans="1:9" x14ac:dyDescent="0.25">
      <c r="A54" s="234">
        <v>42887</v>
      </c>
      <c r="B54" s="18">
        <v>114155</v>
      </c>
      <c r="C54" s="235" t="s">
        <v>19677</v>
      </c>
      <c r="D54" s="236" t="s">
        <v>15378</v>
      </c>
      <c r="E54" s="15">
        <v>458.1</v>
      </c>
      <c r="F54" s="237">
        <v>42887</v>
      </c>
      <c r="G54" s="15">
        <v>458.1</v>
      </c>
      <c r="H54" s="15">
        <f t="shared" si="0"/>
        <v>0</v>
      </c>
      <c r="I54" s="236" t="s">
        <v>19682</v>
      </c>
    </row>
    <row r="55" spans="1:9" x14ac:dyDescent="0.25">
      <c r="A55" s="238">
        <v>42887</v>
      </c>
      <c r="B55" s="18">
        <v>114156</v>
      </c>
      <c r="C55" s="235" t="s">
        <v>19677</v>
      </c>
      <c r="D55" s="236" t="s">
        <v>15396</v>
      </c>
      <c r="E55" s="15">
        <v>8414.6</v>
      </c>
      <c r="F55" s="237">
        <v>42887</v>
      </c>
      <c r="G55" s="15">
        <v>8414.6</v>
      </c>
      <c r="H55" s="15">
        <f t="shared" si="0"/>
        <v>0</v>
      </c>
      <c r="I55" s="236" t="s">
        <v>19682</v>
      </c>
    </row>
    <row r="56" spans="1:9" x14ac:dyDescent="0.25">
      <c r="A56" s="234">
        <v>42887</v>
      </c>
      <c r="B56" s="18">
        <v>114157</v>
      </c>
      <c r="C56" s="235" t="s">
        <v>19677</v>
      </c>
      <c r="D56" s="236" t="s">
        <v>15396</v>
      </c>
      <c r="E56" s="15">
        <v>928.2</v>
      </c>
      <c r="F56" s="237">
        <v>42887</v>
      </c>
      <c r="G56" s="15">
        <v>928.2</v>
      </c>
      <c r="H56" s="15">
        <f t="shared" si="0"/>
        <v>0</v>
      </c>
      <c r="I56" s="236" t="s">
        <v>19682</v>
      </c>
    </row>
    <row r="57" spans="1:9" x14ac:dyDescent="0.25">
      <c r="A57" s="234">
        <v>42887</v>
      </c>
      <c r="B57" s="18">
        <v>114158</v>
      </c>
      <c r="C57" s="235" t="s">
        <v>19677</v>
      </c>
      <c r="D57" s="236" t="s">
        <v>15391</v>
      </c>
      <c r="E57" s="15">
        <v>7525.8</v>
      </c>
      <c r="F57" s="237">
        <v>42887</v>
      </c>
      <c r="G57" s="15">
        <v>7525.8</v>
      </c>
      <c r="H57" s="15">
        <f t="shared" si="0"/>
        <v>0</v>
      </c>
      <c r="I57" s="236" t="s">
        <v>19682</v>
      </c>
    </row>
    <row r="58" spans="1:9" x14ac:dyDescent="0.25">
      <c r="A58" s="238">
        <v>42887</v>
      </c>
      <c r="B58" s="18">
        <v>114159</v>
      </c>
      <c r="C58" s="235" t="s">
        <v>19677</v>
      </c>
      <c r="D58" s="236" t="s">
        <v>15320</v>
      </c>
      <c r="E58" s="15">
        <v>2632.5</v>
      </c>
      <c r="F58" s="237">
        <v>42888</v>
      </c>
      <c r="G58" s="15">
        <v>2632.5</v>
      </c>
      <c r="H58" s="15">
        <f t="shared" si="0"/>
        <v>0</v>
      </c>
      <c r="I58" s="236" t="s">
        <v>19682</v>
      </c>
    </row>
    <row r="59" spans="1:9" x14ac:dyDescent="0.25">
      <c r="A59" s="234">
        <v>42887</v>
      </c>
      <c r="B59" s="18">
        <v>114160</v>
      </c>
      <c r="C59" s="235" t="s">
        <v>19677</v>
      </c>
      <c r="D59" s="236" t="s">
        <v>17862</v>
      </c>
      <c r="E59" s="15">
        <v>3112</v>
      </c>
      <c r="F59" s="237">
        <v>42887</v>
      </c>
      <c r="G59" s="15">
        <v>3112</v>
      </c>
      <c r="H59" s="15">
        <f t="shared" si="0"/>
        <v>0</v>
      </c>
      <c r="I59" s="236" t="s">
        <v>19682</v>
      </c>
    </row>
    <row r="60" spans="1:9" x14ac:dyDescent="0.25">
      <c r="A60" s="238">
        <v>42887</v>
      </c>
      <c r="B60" s="18">
        <v>114161</v>
      </c>
      <c r="C60" s="235" t="s">
        <v>19677</v>
      </c>
      <c r="D60" s="236" t="s">
        <v>15592</v>
      </c>
      <c r="E60" s="15">
        <v>3666</v>
      </c>
      <c r="F60" s="237">
        <v>42887</v>
      </c>
      <c r="G60" s="15">
        <v>3666</v>
      </c>
      <c r="H60" s="15">
        <f t="shared" si="0"/>
        <v>0</v>
      </c>
      <c r="I60" s="236" t="s">
        <v>19682</v>
      </c>
    </row>
    <row r="61" spans="1:9" x14ac:dyDescent="0.25">
      <c r="A61" s="234">
        <v>42887</v>
      </c>
      <c r="B61" s="18">
        <v>114162</v>
      </c>
      <c r="C61" s="235" t="s">
        <v>19677</v>
      </c>
      <c r="D61" s="236" t="s">
        <v>15307</v>
      </c>
      <c r="E61" s="15">
        <v>1347.6</v>
      </c>
      <c r="F61" s="237">
        <v>42888</v>
      </c>
      <c r="G61" s="15">
        <v>1347.6</v>
      </c>
      <c r="H61" s="15">
        <f t="shared" si="0"/>
        <v>0</v>
      </c>
      <c r="I61" s="236" t="s">
        <v>19682</v>
      </c>
    </row>
    <row r="62" spans="1:9" x14ac:dyDescent="0.25">
      <c r="A62" s="238">
        <v>42887</v>
      </c>
      <c r="B62" s="18">
        <v>114163</v>
      </c>
      <c r="C62" s="235" t="s">
        <v>19677</v>
      </c>
      <c r="D62" s="236" t="s">
        <v>15594</v>
      </c>
      <c r="E62" s="15">
        <v>1501</v>
      </c>
      <c r="F62" s="237">
        <v>42887</v>
      </c>
      <c r="G62" s="15">
        <v>1501</v>
      </c>
      <c r="H62" s="15">
        <f t="shared" si="0"/>
        <v>0</v>
      </c>
      <c r="I62" s="236" t="s">
        <v>19682</v>
      </c>
    </row>
    <row r="63" spans="1:9" x14ac:dyDescent="0.25">
      <c r="A63" s="234">
        <v>42887</v>
      </c>
      <c r="B63" s="18">
        <v>114164</v>
      </c>
      <c r="C63" s="235" t="s">
        <v>19677</v>
      </c>
      <c r="D63" s="236" t="s">
        <v>15313</v>
      </c>
      <c r="E63" s="15">
        <v>3187.08</v>
      </c>
      <c r="F63" s="237">
        <v>42891</v>
      </c>
      <c r="G63" s="15">
        <v>3187.08</v>
      </c>
      <c r="H63" s="15">
        <f t="shared" si="0"/>
        <v>0</v>
      </c>
      <c r="I63" s="236" t="s">
        <v>19682</v>
      </c>
    </row>
    <row r="64" spans="1:9" x14ac:dyDescent="0.25">
      <c r="A64" s="238">
        <v>42887</v>
      </c>
      <c r="B64" s="18">
        <v>114165</v>
      </c>
      <c r="C64" s="235" t="s">
        <v>19677</v>
      </c>
      <c r="D64" s="236" t="s">
        <v>15376</v>
      </c>
      <c r="E64" s="15">
        <v>4800</v>
      </c>
      <c r="F64" s="237">
        <v>42887</v>
      </c>
      <c r="G64" s="15">
        <v>4800</v>
      </c>
      <c r="H64" s="15">
        <f t="shared" si="0"/>
        <v>0</v>
      </c>
      <c r="I64" s="236" t="s">
        <v>19682</v>
      </c>
    </row>
    <row r="65" spans="1:9" x14ac:dyDescent="0.25">
      <c r="A65" s="238">
        <v>42887</v>
      </c>
      <c r="B65" s="18">
        <v>114166</v>
      </c>
      <c r="C65" s="235" t="s">
        <v>19677</v>
      </c>
      <c r="D65" s="236" t="s">
        <v>15385</v>
      </c>
      <c r="E65" s="15">
        <v>9676.7999999999993</v>
      </c>
      <c r="F65" s="237">
        <v>42887</v>
      </c>
      <c r="G65" s="15">
        <v>9676.7999999999993</v>
      </c>
      <c r="H65" s="15">
        <f t="shared" si="0"/>
        <v>0</v>
      </c>
      <c r="I65" s="236" t="s">
        <v>19682</v>
      </c>
    </row>
    <row r="66" spans="1:9" ht="15.75" x14ac:dyDescent="0.25">
      <c r="A66" s="238">
        <v>42887</v>
      </c>
      <c r="B66" s="18">
        <v>114167</v>
      </c>
      <c r="C66" s="235" t="s">
        <v>19677</v>
      </c>
      <c r="D66" s="239" t="s">
        <v>95</v>
      </c>
      <c r="E66" s="15">
        <v>0</v>
      </c>
      <c r="F66" s="240" t="s">
        <v>95</v>
      </c>
      <c r="G66" s="15">
        <v>0</v>
      </c>
      <c r="H66" s="15">
        <f t="shared" ref="H66:H129" si="1">E66-G66</f>
        <v>0</v>
      </c>
      <c r="I66" s="236" t="s">
        <v>19678</v>
      </c>
    </row>
    <row r="67" spans="1:9" x14ac:dyDescent="0.25">
      <c r="A67" s="234">
        <v>42887</v>
      </c>
      <c r="B67" s="18">
        <v>114168</v>
      </c>
      <c r="C67" s="235" t="s">
        <v>19677</v>
      </c>
      <c r="D67" s="236" t="s">
        <v>15313</v>
      </c>
      <c r="E67" s="15">
        <v>2124.1999999999998</v>
      </c>
      <c r="F67" s="237">
        <v>42891</v>
      </c>
      <c r="G67" s="15">
        <v>2124.1999999999998</v>
      </c>
      <c r="H67" s="15">
        <f t="shared" si="1"/>
        <v>0</v>
      </c>
      <c r="I67" s="236" t="s">
        <v>19682</v>
      </c>
    </row>
    <row r="68" spans="1:9" x14ac:dyDescent="0.25">
      <c r="A68" s="238">
        <v>42887</v>
      </c>
      <c r="B68" s="18">
        <v>114169</v>
      </c>
      <c r="C68" s="235" t="s">
        <v>19677</v>
      </c>
      <c r="D68" s="236" t="s">
        <v>15311</v>
      </c>
      <c r="E68" s="15">
        <v>1417.8</v>
      </c>
      <c r="F68" s="237">
        <v>42888</v>
      </c>
      <c r="G68" s="15">
        <v>1417.8</v>
      </c>
      <c r="H68" s="15">
        <f t="shared" si="1"/>
        <v>0</v>
      </c>
      <c r="I68" s="236" t="s">
        <v>19682</v>
      </c>
    </row>
    <row r="69" spans="1:9" x14ac:dyDescent="0.25">
      <c r="A69" s="234">
        <v>42887</v>
      </c>
      <c r="B69" s="18">
        <v>114170</v>
      </c>
      <c r="C69" s="235" t="s">
        <v>19677</v>
      </c>
      <c r="D69" s="236" t="s">
        <v>16139</v>
      </c>
      <c r="E69" s="15">
        <v>2815.2</v>
      </c>
      <c r="F69" s="237">
        <v>42888</v>
      </c>
      <c r="G69" s="15">
        <v>2815.2</v>
      </c>
      <c r="H69" s="15">
        <f t="shared" si="1"/>
        <v>0</v>
      </c>
      <c r="I69" s="236" t="s">
        <v>19682</v>
      </c>
    </row>
    <row r="70" spans="1:9" x14ac:dyDescent="0.25">
      <c r="A70" s="234">
        <v>42887</v>
      </c>
      <c r="B70" s="18">
        <v>114171</v>
      </c>
      <c r="C70" s="235" t="s">
        <v>19677</v>
      </c>
      <c r="D70" s="236" t="s">
        <v>15835</v>
      </c>
      <c r="E70" s="15">
        <v>14040.2</v>
      </c>
      <c r="F70" s="237">
        <v>42888</v>
      </c>
      <c r="G70" s="15">
        <v>14040.2</v>
      </c>
      <c r="H70" s="15">
        <f t="shared" si="1"/>
        <v>0</v>
      </c>
      <c r="I70" s="236" t="s">
        <v>19682</v>
      </c>
    </row>
    <row r="71" spans="1:9" x14ac:dyDescent="0.25">
      <c r="A71" s="234">
        <v>42887</v>
      </c>
      <c r="B71" s="18">
        <v>114172</v>
      </c>
      <c r="C71" s="235" t="s">
        <v>19677</v>
      </c>
      <c r="D71" s="236" t="s">
        <v>15559</v>
      </c>
      <c r="E71" s="15">
        <v>4763.2</v>
      </c>
      <c r="F71" s="237">
        <v>42888</v>
      </c>
      <c r="G71" s="15">
        <v>4763.2</v>
      </c>
      <c r="H71" s="15">
        <f t="shared" si="1"/>
        <v>0</v>
      </c>
      <c r="I71" s="236" t="s">
        <v>19682</v>
      </c>
    </row>
    <row r="72" spans="1:9" x14ac:dyDescent="0.25">
      <c r="A72" s="238">
        <v>42887</v>
      </c>
      <c r="B72" s="18">
        <v>114173</v>
      </c>
      <c r="C72" s="235" t="s">
        <v>19677</v>
      </c>
      <c r="D72" s="236" t="s">
        <v>15555</v>
      </c>
      <c r="E72" s="15">
        <v>3059.4</v>
      </c>
      <c r="F72" s="237">
        <v>42893</v>
      </c>
      <c r="G72" s="15">
        <v>3059.4</v>
      </c>
      <c r="H72" s="15">
        <f t="shared" si="1"/>
        <v>0</v>
      </c>
      <c r="I72" s="236" t="s">
        <v>19682</v>
      </c>
    </row>
    <row r="73" spans="1:9" x14ac:dyDescent="0.25">
      <c r="A73" s="234">
        <v>42887</v>
      </c>
      <c r="B73" s="18">
        <v>114174</v>
      </c>
      <c r="C73" s="235" t="s">
        <v>19677</v>
      </c>
      <c r="D73" s="236" t="s">
        <v>15315</v>
      </c>
      <c r="E73" s="15">
        <v>451</v>
      </c>
      <c r="F73" s="237">
        <v>42893</v>
      </c>
      <c r="G73" s="15">
        <v>451</v>
      </c>
      <c r="H73" s="15">
        <f t="shared" si="1"/>
        <v>0</v>
      </c>
      <c r="I73" s="236" t="s">
        <v>19682</v>
      </c>
    </row>
    <row r="74" spans="1:9" x14ac:dyDescent="0.25">
      <c r="A74" s="238">
        <v>42887</v>
      </c>
      <c r="B74" s="18">
        <v>114175</v>
      </c>
      <c r="C74" s="235" t="s">
        <v>19677</v>
      </c>
      <c r="D74" s="236" t="s">
        <v>16040</v>
      </c>
      <c r="E74" s="15">
        <v>1775.2</v>
      </c>
      <c r="F74" s="237">
        <v>42893</v>
      </c>
      <c r="G74" s="15">
        <v>1775.2</v>
      </c>
      <c r="H74" s="15">
        <f t="shared" si="1"/>
        <v>0</v>
      </c>
      <c r="I74" s="236" t="s">
        <v>19682</v>
      </c>
    </row>
    <row r="75" spans="1:9" x14ac:dyDescent="0.25">
      <c r="A75" s="238">
        <v>42887</v>
      </c>
      <c r="B75" s="18">
        <v>114176</v>
      </c>
      <c r="C75" s="235" t="s">
        <v>19677</v>
      </c>
      <c r="D75" s="236" t="s">
        <v>15317</v>
      </c>
      <c r="E75" s="15">
        <v>3129.6</v>
      </c>
      <c r="F75" s="237">
        <v>42891</v>
      </c>
      <c r="G75" s="15">
        <v>3129.6</v>
      </c>
      <c r="H75" s="15">
        <f t="shared" si="1"/>
        <v>0</v>
      </c>
      <c r="I75" s="236" t="s">
        <v>19682</v>
      </c>
    </row>
    <row r="76" spans="1:9" x14ac:dyDescent="0.25">
      <c r="A76" s="234">
        <v>42887</v>
      </c>
      <c r="B76" s="18">
        <v>114177</v>
      </c>
      <c r="C76" s="235" t="s">
        <v>19677</v>
      </c>
      <c r="D76" s="236" t="s">
        <v>15305</v>
      </c>
      <c r="E76" s="15">
        <v>1010.8</v>
      </c>
      <c r="F76" s="237">
        <v>42888</v>
      </c>
      <c r="G76" s="15">
        <v>1010.8</v>
      </c>
      <c r="H76" s="15">
        <f t="shared" si="1"/>
        <v>0</v>
      </c>
      <c r="I76" s="236" t="s">
        <v>19682</v>
      </c>
    </row>
    <row r="77" spans="1:9" x14ac:dyDescent="0.25">
      <c r="A77" s="238">
        <v>42887</v>
      </c>
      <c r="B77" s="18">
        <v>114178</v>
      </c>
      <c r="C77" s="235" t="s">
        <v>19677</v>
      </c>
      <c r="D77" s="236" t="s">
        <v>15553</v>
      </c>
      <c r="E77" s="15">
        <v>2954.7</v>
      </c>
      <c r="F77" s="237">
        <v>42887</v>
      </c>
      <c r="G77" s="15">
        <v>2954.7</v>
      </c>
      <c r="H77" s="15">
        <f t="shared" si="1"/>
        <v>0</v>
      </c>
      <c r="I77" s="236" t="s">
        <v>19682</v>
      </c>
    </row>
    <row r="78" spans="1:9" x14ac:dyDescent="0.25">
      <c r="A78" s="234">
        <v>42887</v>
      </c>
      <c r="B78" s="18">
        <v>114179</v>
      </c>
      <c r="C78" s="235" t="s">
        <v>19677</v>
      </c>
      <c r="D78" s="236" t="s">
        <v>15537</v>
      </c>
      <c r="E78" s="15">
        <v>16761.8</v>
      </c>
      <c r="F78" s="237">
        <v>42893</v>
      </c>
      <c r="G78" s="15">
        <v>16761.8</v>
      </c>
      <c r="H78" s="15">
        <f t="shared" si="1"/>
        <v>0</v>
      </c>
      <c r="I78" s="236" t="s">
        <v>19682</v>
      </c>
    </row>
    <row r="79" spans="1:9" ht="15.75" x14ac:dyDescent="0.25">
      <c r="A79" s="238">
        <v>42887</v>
      </c>
      <c r="B79" s="18">
        <v>114180</v>
      </c>
      <c r="C79" s="235" t="s">
        <v>19677</v>
      </c>
      <c r="D79" s="239" t="s">
        <v>95</v>
      </c>
      <c r="E79" s="15">
        <v>0</v>
      </c>
      <c r="F79" s="240" t="s">
        <v>95</v>
      </c>
      <c r="G79" s="15">
        <v>0</v>
      </c>
      <c r="H79" s="15">
        <f t="shared" si="1"/>
        <v>0</v>
      </c>
      <c r="I79" s="236" t="s">
        <v>19678</v>
      </c>
    </row>
    <row r="80" spans="1:9" x14ac:dyDescent="0.25">
      <c r="A80" s="234">
        <v>42887</v>
      </c>
      <c r="B80" s="18">
        <v>114181</v>
      </c>
      <c r="C80" s="235" t="s">
        <v>19677</v>
      </c>
      <c r="D80" s="236" t="s">
        <v>17210</v>
      </c>
      <c r="E80" s="15">
        <v>3040</v>
      </c>
      <c r="F80" s="237">
        <v>42887</v>
      </c>
      <c r="G80" s="15">
        <v>3040</v>
      </c>
      <c r="H80" s="15">
        <f t="shared" si="1"/>
        <v>0</v>
      </c>
      <c r="I80" s="236" t="s">
        <v>19682</v>
      </c>
    </row>
    <row r="81" spans="1:9" x14ac:dyDescent="0.25">
      <c r="A81" s="238">
        <v>42887</v>
      </c>
      <c r="B81" s="18">
        <v>114182</v>
      </c>
      <c r="C81" s="235" t="s">
        <v>19677</v>
      </c>
      <c r="D81" s="236" t="s">
        <v>15344</v>
      </c>
      <c r="E81" s="15">
        <v>2736</v>
      </c>
      <c r="F81" s="237">
        <v>42887</v>
      </c>
      <c r="G81" s="15">
        <v>2736</v>
      </c>
      <c r="H81" s="15">
        <f t="shared" si="1"/>
        <v>0</v>
      </c>
      <c r="I81" s="236" t="s">
        <v>19682</v>
      </c>
    </row>
    <row r="82" spans="1:9" x14ac:dyDescent="0.25">
      <c r="A82" s="234">
        <v>42887</v>
      </c>
      <c r="B82" s="18">
        <v>114183</v>
      </c>
      <c r="C82" s="235" t="s">
        <v>19677</v>
      </c>
      <c r="D82" s="236" t="s">
        <v>15539</v>
      </c>
      <c r="E82" s="15">
        <v>8438.4</v>
      </c>
      <c r="F82" s="237">
        <v>42893</v>
      </c>
      <c r="G82" s="15">
        <v>8438.4</v>
      </c>
      <c r="H82" s="15">
        <f t="shared" si="1"/>
        <v>0</v>
      </c>
      <c r="I82" s="236" t="s">
        <v>19682</v>
      </c>
    </row>
    <row r="83" spans="1:9" x14ac:dyDescent="0.25">
      <c r="A83" s="234">
        <v>42887</v>
      </c>
      <c r="B83" s="18">
        <v>114184</v>
      </c>
      <c r="C83" s="235" t="s">
        <v>19677</v>
      </c>
      <c r="D83" s="236" t="s">
        <v>15858</v>
      </c>
      <c r="E83" s="15">
        <v>5945.6</v>
      </c>
      <c r="F83" s="237">
        <v>42887</v>
      </c>
      <c r="G83" s="15">
        <v>5945.6</v>
      </c>
      <c r="H83" s="15">
        <f t="shared" si="1"/>
        <v>0</v>
      </c>
      <c r="I83" s="236" t="s">
        <v>19682</v>
      </c>
    </row>
    <row r="84" spans="1:9" x14ac:dyDescent="0.25">
      <c r="A84" s="238">
        <v>42887</v>
      </c>
      <c r="B84" s="18">
        <v>114185</v>
      </c>
      <c r="C84" s="235" t="s">
        <v>19677</v>
      </c>
      <c r="D84" s="236" t="s">
        <v>17210</v>
      </c>
      <c r="E84" s="15">
        <v>3436.8</v>
      </c>
      <c r="F84" s="237">
        <v>42887</v>
      </c>
      <c r="G84" s="15">
        <v>3436.8</v>
      </c>
      <c r="H84" s="15">
        <f t="shared" si="1"/>
        <v>0</v>
      </c>
      <c r="I84" s="236" t="s">
        <v>19682</v>
      </c>
    </row>
    <row r="85" spans="1:9" x14ac:dyDescent="0.25">
      <c r="A85" s="238">
        <v>42887</v>
      </c>
      <c r="B85" s="18">
        <v>114186</v>
      </c>
      <c r="C85" s="235" t="s">
        <v>19677</v>
      </c>
      <c r="D85" s="236" t="s">
        <v>15332</v>
      </c>
      <c r="E85" s="15">
        <v>2560</v>
      </c>
      <c r="F85" s="237">
        <v>42887</v>
      </c>
      <c r="G85" s="15">
        <v>2560</v>
      </c>
      <c r="H85" s="15">
        <f t="shared" si="1"/>
        <v>0</v>
      </c>
      <c r="I85" s="236" t="s">
        <v>19682</v>
      </c>
    </row>
    <row r="86" spans="1:9" x14ac:dyDescent="0.25">
      <c r="A86" s="238">
        <v>42887</v>
      </c>
      <c r="B86" s="18">
        <v>114187</v>
      </c>
      <c r="C86" s="235" t="s">
        <v>19677</v>
      </c>
      <c r="D86" s="236" t="s">
        <v>18773</v>
      </c>
      <c r="E86" s="15">
        <v>27459.8</v>
      </c>
      <c r="F86" s="237">
        <v>42887</v>
      </c>
      <c r="G86" s="15">
        <v>27459.8</v>
      </c>
      <c r="H86" s="15">
        <f t="shared" si="1"/>
        <v>0</v>
      </c>
      <c r="I86" s="236" t="s">
        <v>19682</v>
      </c>
    </row>
    <row r="87" spans="1:9" x14ac:dyDescent="0.25">
      <c r="A87" s="234">
        <v>42887</v>
      </c>
      <c r="B87" s="18">
        <v>114188</v>
      </c>
      <c r="C87" s="235" t="s">
        <v>19677</v>
      </c>
      <c r="D87" s="236" t="s">
        <v>15358</v>
      </c>
      <c r="E87" s="15">
        <v>2267.8000000000002</v>
      </c>
      <c r="F87" s="237">
        <v>42887</v>
      </c>
      <c r="G87" s="15">
        <v>2267.8000000000002</v>
      </c>
      <c r="H87" s="15">
        <f t="shared" si="1"/>
        <v>0</v>
      </c>
      <c r="I87" s="236" t="s">
        <v>19682</v>
      </c>
    </row>
    <row r="88" spans="1:9" x14ac:dyDescent="0.25">
      <c r="A88" s="234">
        <v>42887</v>
      </c>
      <c r="B88" s="18">
        <v>114189</v>
      </c>
      <c r="C88" s="235" t="s">
        <v>19677</v>
      </c>
      <c r="D88" s="236" t="s">
        <v>15336</v>
      </c>
      <c r="E88" s="15">
        <v>8602</v>
      </c>
      <c r="F88" s="237">
        <v>42887</v>
      </c>
      <c r="G88" s="15">
        <v>8602</v>
      </c>
      <c r="H88" s="15">
        <f t="shared" si="1"/>
        <v>0</v>
      </c>
      <c r="I88" s="236" t="s">
        <v>19682</v>
      </c>
    </row>
    <row r="89" spans="1:9" x14ac:dyDescent="0.25">
      <c r="A89" s="238">
        <v>42887</v>
      </c>
      <c r="B89" s="18">
        <v>114190</v>
      </c>
      <c r="C89" s="235" t="s">
        <v>19677</v>
      </c>
      <c r="D89" s="236" t="s">
        <v>15334</v>
      </c>
      <c r="E89" s="15">
        <v>768.8</v>
      </c>
      <c r="F89" s="237">
        <v>42887</v>
      </c>
      <c r="G89" s="15">
        <v>768.8</v>
      </c>
      <c r="H89" s="15">
        <f t="shared" si="1"/>
        <v>0</v>
      </c>
      <c r="I89" s="236" t="s">
        <v>19682</v>
      </c>
    </row>
    <row r="90" spans="1:9" x14ac:dyDescent="0.25">
      <c r="A90" s="234">
        <v>42887</v>
      </c>
      <c r="B90" s="18">
        <v>114191</v>
      </c>
      <c r="C90" s="235" t="s">
        <v>19677</v>
      </c>
      <c r="D90" s="236" t="s">
        <v>15523</v>
      </c>
      <c r="E90" s="15">
        <v>960</v>
      </c>
      <c r="F90" s="237">
        <v>42887</v>
      </c>
      <c r="G90" s="15">
        <v>960</v>
      </c>
      <c r="H90" s="15">
        <f t="shared" si="1"/>
        <v>0</v>
      </c>
      <c r="I90" s="236" t="s">
        <v>19682</v>
      </c>
    </row>
    <row r="91" spans="1:9" x14ac:dyDescent="0.25">
      <c r="A91" s="238">
        <v>42887</v>
      </c>
      <c r="B91" s="18">
        <v>114192</v>
      </c>
      <c r="C91" s="235" t="s">
        <v>19677</v>
      </c>
      <c r="D91" s="236" t="s">
        <v>15912</v>
      </c>
      <c r="E91" s="15">
        <v>3101.32</v>
      </c>
      <c r="F91" s="237">
        <v>42887</v>
      </c>
      <c r="G91" s="15">
        <v>3101.32</v>
      </c>
      <c r="H91" s="15">
        <f t="shared" si="1"/>
        <v>0</v>
      </c>
      <c r="I91" s="236" t="s">
        <v>19682</v>
      </c>
    </row>
    <row r="92" spans="1:9" x14ac:dyDescent="0.25">
      <c r="A92" s="238">
        <v>42887</v>
      </c>
      <c r="B92" s="18">
        <v>114193</v>
      </c>
      <c r="C92" s="235" t="s">
        <v>19677</v>
      </c>
      <c r="D92" s="236" t="s">
        <v>15250</v>
      </c>
      <c r="E92" s="15">
        <v>101162.18</v>
      </c>
      <c r="F92" s="237">
        <v>42902</v>
      </c>
      <c r="G92" s="15">
        <v>101162.18</v>
      </c>
      <c r="H92" s="15">
        <f t="shared" si="1"/>
        <v>0</v>
      </c>
      <c r="I92" s="236" t="s">
        <v>19682</v>
      </c>
    </row>
    <row r="93" spans="1:9" x14ac:dyDescent="0.25">
      <c r="A93" s="234">
        <v>42887</v>
      </c>
      <c r="B93" s="18">
        <v>114194</v>
      </c>
      <c r="C93" s="235" t="s">
        <v>19677</v>
      </c>
      <c r="D93" s="236" t="s">
        <v>15861</v>
      </c>
      <c r="E93" s="15">
        <v>3895.6</v>
      </c>
      <c r="F93" s="237">
        <v>42887</v>
      </c>
      <c r="G93" s="15">
        <v>3895.6</v>
      </c>
      <c r="H93" s="15">
        <f t="shared" si="1"/>
        <v>0</v>
      </c>
      <c r="I93" s="236" t="s">
        <v>19682</v>
      </c>
    </row>
    <row r="94" spans="1:9" x14ac:dyDescent="0.25">
      <c r="A94" s="238">
        <v>42887</v>
      </c>
      <c r="B94" s="18">
        <v>114195</v>
      </c>
      <c r="C94" s="235" t="s">
        <v>19677</v>
      </c>
      <c r="D94" s="236" t="s">
        <v>15352</v>
      </c>
      <c r="E94" s="15">
        <v>479.2</v>
      </c>
      <c r="F94" s="237">
        <v>42887</v>
      </c>
      <c r="G94" s="15">
        <v>479.2</v>
      </c>
      <c r="H94" s="15">
        <f t="shared" si="1"/>
        <v>0</v>
      </c>
      <c r="I94" s="236" t="s">
        <v>19682</v>
      </c>
    </row>
    <row r="95" spans="1:9" x14ac:dyDescent="0.25">
      <c r="A95" s="234">
        <v>42887</v>
      </c>
      <c r="B95" s="18">
        <v>114196</v>
      </c>
      <c r="C95" s="235" t="s">
        <v>19677</v>
      </c>
      <c r="D95" s="236" t="s">
        <v>18544</v>
      </c>
      <c r="E95" s="15">
        <v>3261.8</v>
      </c>
      <c r="F95" s="237">
        <v>42887</v>
      </c>
      <c r="G95" s="15">
        <v>3261.8</v>
      </c>
      <c r="H95" s="15">
        <f t="shared" si="1"/>
        <v>0</v>
      </c>
      <c r="I95" s="236" t="s">
        <v>19682</v>
      </c>
    </row>
    <row r="96" spans="1:9" x14ac:dyDescent="0.25">
      <c r="A96" s="238">
        <v>42887</v>
      </c>
      <c r="B96" s="18">
        <v>114197</v>
      </c>
      <c r="C96" s="235" t="s">
        <v>19677</v>
      </c>
      <c r="D96" s="236" t="s">
        <v>15577</v>
      </c>
      <c r="E96" s="15">
        <v>313.5</v>
      </c>
      <c r="F96" s="237">
        <v>42887</v>
      </c>
      <c r="G96" s="15">
        <v>313.5</v>
      </c>
      <c r="H96" s="15">
        <f t="shared" si="1"/>
        <v>0</v>
      </c>
      <c r="I96" s="236" t="s">
        <v>19682</v>
      </c>
    </row>
    <row r="97" spans="1:9" x14ac:dyDescent="0.25">
      <c r="A97" s="234">
        <v>42887</v>
      </c>
      <c r="B97" s="18">
        <v>114198</v>
      </c>
      <c r="C97" s="235" t="s">
        <v>19677</v>
      </c>
      <c r="D97" s="236" t="s">
        <v>15716</v>
      </c>
      <c r="E97" s="15">
        <v>9124.5</v>
      </c>
      <c r="F97" s="237">
        <v>42887</v>
      </c>
      <c r="G97" s="15">
        <v>9124.5</v>
      </c>
      <c r="H97" s="15">
        <f t="shared" si="1"/>
        <v>0</v>
      </c>
      <c r="I97" s="236" t="s">
        <v>19682</v>
      </c>
    </row>
    <row r="98" spans="1:9" x14ac:dyDescent="0.25">
      <c r="A98" s="238">
        <v>42887</v>
      </c>
      <c r="B98" s="18">
        <v>114199</v>
      </c>
      <c r="C98" s="235" t="s">
        <v>19677</v>
      </c>
      <c r="D98" s="236" t="s">
        <v>15250</v>
      </c>
      <c r="E98" s="15">
        <v>414.96</v>
      </c>
      <c r="F98" s="237">
        <v>42902</v>
      </c>
      <c r="G98" s="15">
        <v>414.96</v>
      </c>
      <c r="H98" s="15">
        <f t="shared" si="1"/>
        <v>0</v>
      </c>
      <c r="I98" s="236" t="s">
        <v>19682</v>
      </c>
    </row>
    <row r="99" spans="1:9" x14ac:dyDescent="0.25">
      <c r="A99" s="234">
        <v>42887</v>
      </c>
      <c r="B99" s="18">
        <v>114200</v>
      </c>
      <c r="C99" s="235" t="s">
        <v>19677</v>
      </c>
      <c r="D99" s="236" t="s">
        <v>15665</v>
      </c>
      <c r="E99" s="15">
        <v>696.1</v>
      </c>
      <c r="F99" s="237">
        <v>42887</v>
      </c>
      <c r="G99" s="15">
        <v>696.1</v>
      </c>
      <c r="H99" s="15">
        <f t="shared" si="1"/>
        <v>0</v>
      </c>
      <c r="I99" s="236" t="s">
        <v>19682</v>
      </c>
    </row>
    <row r="100" spans="1:9" x14ac:dyDescent="0.25">
      <c r="A100" s="234">
        <v>42887</v>
      </c>
      <c r="B100" s="18">
        <v>114201</v>
      </c>
      <c r="C100" s="235" t="s">
        <v>19677</v>
      </c>
      <c r="D100" s="236" t="s">
        <v>15298</v>
      </c>
      <c r="E100" s="15">
        <v>19565</v>
      </c>
      <c r="F100" s="237">
        <v>42894</v>
      </c>
      <c r="G100" s="15">
        <v>19565</v>
      </c>
      <c r="H100" s="15">
        <f t="shared" si="1"/>
        <v>0</v>
      </c>
      <c r="I100" s="236" t="s">
        <v>19682</v>
      </c>
    </row>
    <row r="101" spans="1:9" x14ac:dyDescent="0.25">
      <c r="A101" s="238">
        <v>42887</v>
      </c>
      <c r="B101" s="18">
        <v>114202</v>
      </c>
      <c r="C101" s="235" t="s">
        <v>19677</v>
      </c>
      <c r="D101" s="236" t="s">
        <v>15315</v>
      </c>
      <c r="E101" s="15">
        <v>2105.6</v>
      </c>
      <c r="F101" s="237">
        <v>42887</v>
      </c>
      <c r="G101" s="15">
        <v>2105.6</v>
      </c>
      <c r="H101" s="15">
        <f t="shared" si="1"/>
        <v>0</v>
      </c>
      <c r="I101" s="236" t="s">
        <v>19682</v>
      </c>
    </row>
    <row r="102" spans="1:9" x14ac:dyDescent="0.25">
      <c r="A102" s="238">
        <v>42887</v>
      </c>
      <c r="B102" s="18">
        <v>114203</v>
      </c>
      <c r="C102" s="235" t="s">
        <v>19677</v>
      </c>
      <c r="D102" s="236" t="s">
        <v>15903</v>
      </c>
      <c r="E102" s="15">
        <v>68146.2</v>
      </c>
      <c r="F102" s="237">
        <v>42888</v>
      </c>
      <c r="G102" s="15">
        <v>68146.2</v>
      </c>
      <c r="H102" s="15">
        <f t="shared" si="1"/>
        <v>0</v>
      </c>
      <c r="I102" s="236" t="s">
        <v>19682</v>
      </c>
    </row>
    <row r="103" spans="1:9" x14ac:dyDescent="0.25">
      <c r="A103" s="234">
        <v>42887</v>
      </c>
      <c r="B103" s="18">
        <v>114204</v>
      </c>
      <c r="C103" s="235" t="s">
        <v>19677</v>
      </c>
      <c r="D103" s="236" t="s">
        <v>15315</v>
      </c>
      <c r="E103" s="15">
        <v>700</v>
      </c>
      <c r="F103" s="237">
        <v>42887</v>
      </c>
      <c r="G103" s="15">
        <v>700</v>
      </c>
      <c r="H103" s="15">
        <f t="shared" si="1"/>
        <v>0</v>
      </c>
      <c r="I103" s="236" t="s">
        <v>19682</v>
      </c>
    </row>
    <row r="104" spans="1:9" ht="30" x14ac:dyDescent="0.25">
      <c r="A104" s="238">
        <v>42887</v>
      </c>
      <c r="B104" s="18">
        <v>114205</v>
      </c>
      <c r="C104" s="235" t="s">
        <v>19677</v>
      </c>
      <c r="D104" s="236" t="s">
        <v>15346</v>
      </c>
      <c r="E104" s="15">
        <v>3572</v>
      </c>
      <c r="F104" s="237" t="s">
        <v>19683</v>
      </c>
      <c r="G104" s="241">
        <f>2200+1372</f>
        <v>3572</v>
      </c>
      <c r="H104" s="241">
        <f t="shared" si="1"/>
        <v>0</v>
      </c>
      <c r="I104" s="236" t="s">
        <v>19682</v>
      </c>
    </row>
    <row r="105" spans="1:9" x14ac:dyDescent="0.25">
      <c r="A105" s="234">
        <v>42887</v>
      </c>
      <c r="B105" s="18">
        <v>114206</v>
      </c>
      <c r="C105" s="235" t="s">
        <v>19677</v>
      </c>
      <c r="D105" s="236" t="s">
        <v>15315</v>
      </c>
      <c r="E105" s="15">
        <v>752</v>
      </c>
      <c r="F105" s="237">
        <v>42887</v>
      </c>
      <c r="G105" s="15">
        <v>752</v>
      </c>
      <c r="H105" s="15">
        <f t="shared" si="1"/>
        <v>0</v>
      </c>
      <c r="I105" s="236" t="s">
        <v>19682</v>
      </c>
    </row>
    <row r="106" spans="1:9" x14ac:dyDescent="0.25">
      <c r="A106" s="238">
        <v>42887</v>
      </c>
      <c r="B106" s="18">
        <v>114207</v>
      </c>
      <c r="C106" s="235" t="s">
        <v>19677</v>
      </c>
      <c r="D106" s="236" t="s">
        <v>15614</v>
      </c>
      <c r="E106" s="15">
        <v>2136.6999999999998</v>
      </c>
      <c r="F106" s="237">
        <v>42893</v>
      </c>
      <c r="G106" s="15">
        <v>2136.6999999999998</v>
      </c>
      <c r="H106" s="15">
        <f t="shared" si="1"/>
        <v>0</v>
      </c>
      <c r="I106" s="236" t="s">
        <v>19682</v>
      </c>
    </row>
    <row r="107" spans="1:9" x14ac:dyDescent="0.25">
      <c r="A107" s="234">
        <v>42887</v>
      </c>
      <c r="B107" s="18">
        <v>114208</v>
      </c>
      <c r="C107" s="235" t="s">
        <v>19677</v>
      </c>
      <c r="D107" s="236" t="s">
        <v>15276</v>
      </c>
      <c r="E107" s="15">
        <v>3840</v>
      </c>
      <c r="F107" s="237">
        <v>42888</v>
      </c>
      <c r="G107" s="15">
        <v>3840</v>
      </c>
      <c r="H107" s="15">
        <f t="shared" si="1"/>
        <v>0</v>
      </c>
      <c r="I107" s="236" t="s">
        <v>19682</v>
      </c>
    </row>
    <row r="108" spans="1:9" ht="15.75" x14ac:dyDescent="0.25">
      <c r="A108" s="238">
        <v>42887</v>
      </c>
      <c r="B108" s="18">
        <v>114209</v>
      </c>
      <c r="C108" s="235" t="s">
        <v>19677</v>
      </c>
      <c r="D108" s="239" t="s">
        <v>95</v>
      </c>
      <c r="E108" s="15">
        <v>0</v>
      </c>
      <c r="F108" s="240" t="s">
        <v>95</v>
      </c>
      <c r="G108" s="15">
        <v>0</v>
      </c>
      <c r="H108" s="15">
        <f t="shared" si="1"/>
        <v>0</v>
      </c>
      <c r="I108" s="236" t="s">
        <v>19678</v>
      </c>
    </row>
    <row r="109" spans="1:9" x14ac:dyDescent="0.25">
      <c r="A109" s="234">
        <v>42887</v>
      </c>
      <c r="B109" s="18">
        <v>114210</v>
      </c>
      <c r="C109" s="235" t="s">
        <v>19677</v>
      </c>
      <c r="D109" s="236" t="s">
        <v>15284</v>
      </c>
      <c r="E109" s="15">
        <v>861.6</v>
      </c>
      <c r="F109" s="237">
        <v>42887</v>
      </c>
      <c r="G109" s="15">
        <v>861.6</v>
      </c>
      <c r="H109" s="15">
        <f t="shared" si="1"/>
        <v>0</v>
      </c>
      <c r="I109" s="236" t="s">
        <v>19682</v>
      </c>
    </row>
    <row r="110" spans="1:9" x14ac:dyDescent="0.25">
      <c r="A110" s="234">
        <v>42887</v>
      </c>
      <c r="B110" s="18">
        <v>114211</v>
      </c>
      <c r="C110" s="235" t="s">
        <v>19677</v>
      </c>
      <c r="D110" s="236" t="s">
        <v>15920</v>
      </c>
      <c r="E110" s="15">
        <v>21462</v>
      </c>
      <c r="F110" s="237">
        <v>42898</v>
      </c>
      <c r="G110" s="15">
        <v>21462</v>
      </c>
      <c r="H110" s="15">
        <f t="shared" si="1"/>
        <v>0</v>
      </c>
      <c r="I110" s="236" t="s">
        <v>19682</v>
      </c>
    </row>
    <row r="111" spans="1:9" x14ac:dyDescent="0.25">
      <c r="A111" s="238">
        <v>42887</v>
      </c>
      <c r="B111" s="18">
        <v>114212</v>
      </c>
      <c r="C111" s="235" t="s">
        <v>19677</v>
      </c>
      <c r="D111" s="236" t="s">
        <v>15748</v>
      </c>
      <c r="E111" s="15">
        <v>625.4</v>
      </c>
      <c r="F111" s="237">
        <v>42887</v>
      </c>
      <c r="G111" s="15">
        <v>625.4</v>
      </c>
      <c r="H111" s="15">
        <f t="shared" si="1"/>
        <v>0</v>
      </c>
      <c r="I111" s="236" t="s">
        <v>19682</v>
      </c>
    </row>
    <row r="112" spans="1:9" x14ac:dyDescent="0.25">
      <c r="A112" s="234">
        <v>42887</v>
      </c>
      <c r="B112" s="18">
        <v>114213</v>
      </c>
      <c r="C112" s="235" t="s">
        <v>19677</v>
      </c>
      <c r="D112" s="236" t="s">
        <v>15246</v>
      </c>
      <c r="E112" s="15">
        <v>186050.62</v>
      </c>
      <c r="F112" s="237">
        <v>42890</v>
      </c>
      <c r="G112" s="15">
        <v>186050.62</v>
      </c>
      <c r="H112" s="15">
        <f t="shared" si="1"/>
        <v>0</v>
      </c>
      <c r="I112" s="236" t="s">
        <v>19682</v>
      </c>
    </row>
    <row r="113" spans="1:9" x14ac:dyDescent="0.25">
      <c r="A113" s="238">
        <v>42887</v>
      </c>
      <c r="B113" s="18">
        <v>114214</v>
      </c>
      <c r="C113" s="235" t="s">
        <v>19677</v>
      </c>
      <c r="D113" s="236" t="s">
        <v>15246</v>
      </c>
      <c r="E113" s="15">
        <v>309730.92</v>
      </c>
      <c r="F113" s="237">
        <v>42890</v>
      </c>
      <c r="G113" s="15">
        <v>309730.92</v>
      </c>
      <c r="H113" s="15">
        <f t="shared" si="1"/>
        <v>0</v>
      </c>
      <c r="I113" s="236" t="s">
        <v>19682</v>
      </c>
    </row>
    <row r="114" spans="1:9" x14ac:dyDescent="0.25">
      <c r="A114" s="238">
        <v>42887</v>
      </c>
      <c r="B114" s="18">
        <v>114215</v>
      </c>
      <c r="C114" s="235" t="s">
        <v>19677</v>
      </c>
      <c r="D114" s="236" t="s">
        <v>15444</v>
      </c>
      <c r="E114" s="15">
        <v>3482.9</v>
      </c>
      <c r="F114" s="237">
        <v>42888</v>
      </c>
      <c r="G114" s="15">
        <v>3482.9</v>
      </c>
      <c r="H114" s="15">
        <f t="shared" si="1"/>
        <v>0</v>
      </c>
      <c r="I114" s="236" t="s">
        <v>19682</v>
      </c>
    </row>
    <row r="115" spans="1:9" x14ac:dyDescent="0.25">
      <c r="A115" s="234">
        <v>42887</v>
      </c>
      <c r="B115" s="18">
        <v>114216</v>
      </c>
      <c r="C115" s="235" t="s">
        <v>19677</v>
      </c>
      <c r="D115" s="236" t="s">
        <v>18076</v>
      </c>
      <c r="E115" s="15">
        <v>2880</v>
      </c>
      <c r="F115" s="237">
        <v>42887</v>
      </c>
      <c r="G115" s="15">
        <v>2880</v>
      </c>
      <c r="H115" s="15">
        <f t="shared" si="1"/>
        <v>0</v>
      </c>
      <c r="I115" s="236" t="s">
        <v>19682</v>
      </c>
    </row>
    <row r="116" spans="1:9" x14ac:dyDescent="0.25">
      <c r="A116" s="238">
        <v>42887</v>
      </c>
      <c r="B116" s="18">
        <v>114217</v>
      </c>
      <c r="C116" s="235" t="s">
        <v>19677</v>
      </c>
      <c r="D116" s="236" t="s">
        <v>15263</v>
      </c>
      <c r="E116" s="15">
        <v>2945.2</v>
      </c>
      <c r="F116" s="237">
        <v>42887</v>
      </c>
      <c r="G116" s="15">
        <v>2945.2</v>
      </c>
      <c r="H116" s="15">
        <f t="shared" si="1"/>
        <v>0</v>
      </c>
      <c r="I116" s="236" t="s">
        <v>19682</v>
      </c>
    </row>
    <row r="117" spans="1:9" x14ac:dyDescent="0.25">
      <c r="A117" s="234">
        <v>42887</v>
      </c>
      <c r="B117" s="18">
        <v>114218</v>
      </c>
      <c r="C117" s="235" t="s">
        <v>19677</v>
      </c>
      <c r="D117" s="236" t="s">
        <v>19684</v>
      </c>
      <c r="E117" s="15">
        <v>1600</v>
      </c>
      <c r="F117" s="237">
        <v>42887</v>
      </c>
      <c r="G117" s="15">
        <v>1600</v>
      </c>
      <c r="H117" s="15">
        <f t="shared" si="1"/>
        <v>0</v>
      </c>
      <c r="I117" s="236" t="s">
        <v>19682</v>
      </c>
    </row>
    <row r="118" spans="1:9" ht="30" x14ac:dyDescent="0.25">
      <c r="A118" s="234">
        <v>42887</v>
      </c>
      <c r="B118" s="18">
        <v>114219</v>
      </c>
      <c r="C118" s="235" t="s">
        <v>19677</v>
      </c>
      <c r="D118" s="236" t="s">
        <v>15246</v>
      </c>
      <c r="E118" s="15">
        <v>74089.399999999994</v>
      </c>
      <c r="F118" s="237" t="s">
        <v>19685</v>
      </c>
      <c r="G118" s="241">
        <f>50074.89+24014.51</f>
        <v>74089.399999999994</v>
      </c>
      <c r="H118" s="241">
        <f t="shared" si="1"/>
        <v>0</v>
      </c>
      <c r="I118" s="236" t="s">
        <v>19682</v>
      </c>
    </row>
    <row r="119" spans="1:9" x14ac:dyDescent="0.25">
      <c r="A119" s="238">
        <v>42887</v>
      </c>
      <c r="B119" s="18">
        <v>114220</v>
      </c>
      <c r="C119" s="235" t="s">
        <v>19677</v>
      </c>
      <c r="D119" s="236" t="s">
        <v>15930</v>
      </c>
      <c r="E119" s="15">
        <v>10160.200000000001</v>
      </c>
      <c r="F119" s="237">
        <v>42888</v>
      </c>
      <c r="G119" s="15">
        <v>10160.200000000001</v>
      </c>
      <c r="H119" s="15">
        <f t="shared" si="1"/>
        <v>0</v>
      </c>
      <c r="I119" s="236" t="s">
        <v>19682</v>
      </c>
    </row>
    <row r="120" spans="1:9" x14ac:dyDescent="0.25">
      <c r="A120" s="234">
        <v>42887</v>
      </c>
      <c r="B120" s="18">
        <v>114221</v>
      </c>
      <c r="C120" s="235" t="s">
        <v>19677</v>
      </c>
      <c r="D120" s="236" t="s">
        <v>15456</v>
      </c>
      <c r="E120" s="15">
        <v>33481.68</v>
      </c>
      <c r="F120" s="237">
        <v>42889</v>
      </c>
      <c r="G120" s="15">
        <v>33481.68</v>
      </c>
      <c r="H120" s="15">
        <f t="shared" si="1"/>
        <v>0</v>
      </c>
      <c r="I120" s="236" t="s">
        <v>19682</v>
      </c>
    </row>
    <row r="121" spans="1:9" ht="30" x14ac:dyDescent="0.25">
      <c r="A121" s="234">
        <v>42887</v>
      </c>
      <c r="B121" s="18">
        <v>114222</v>
      </c>
      <c r="C121" s="235" t="s">
        <v>19677</v>
      </c>
      <c r="D121" s="236" t="s">
        <v>15628</v>
      </c>
      <c r="E121" s="15">
        <v>18198.3</v>
      </c>
      <c r="F121" s="237" t="s">
        <v>19686</v>
      </c>
      <c r="G121" s="241">
        <f>1800+1100+15298.3</f>
        <v>18198.3</v>
      </c>
      <c r="H121" s="241">
        <f t="shared" si="1"/>
        <v>0</v>
      </c>
      <c r="I121" s="236" t="s">
        <v>19682</v>
      </c>
    </row>
    <row r="122" spans="1:9" x14ac:dyDescent="0.25">
      <c r="A122" s="238">
        <v>42887</v>
      </c>
      <c r="B122" s="18">
        <v>114223</v>
      </c>
      <c r="C122" s="235" t="s">
        <v>19677</v>
      </c>
      <c r="D122" s="236" t="s">
        <v>15448</v>
      </c>
      <c r="E122" s="15">
        <v>64483.1</v>
      </c>
      <c r="F122" s="237">
        <v>42893</v>
      </c>
      <c r="G122" s="15">
        <v>64483.1</v>
      </c>
      <c r="H122" s="15">
        <f t="shared" si="1"/>
        <v>0</v>
      </c>
      <c r="I122" s="236" t="s">
        <v>19682</v>
      </c>
    </row>
    <row r="123" spans="1:9" x14ac:dyDescent="0.25">
      <c r="A123" s="234">
        <v>42887</v>
      </c>
      <c r="B123" s="18">
        <v>114224</v>
      </c>
      <c r="C123" s="235" t="s">
        <v>19677</v>
      </c>
      <c r="D123" s="236" t="s">
        <v>15465</v>
      </c>
      <c r="E123" s="15">
        <v>2376.3000000000002</v>
      </c>
      <c r="F123" s="237">
        <v>42889</v>
      </c>
      <c r="G123" s="15">
        <v>2376.3000000000002</v>
      </c>
      <c r="H123" s="15">
        <f t="shared" si="1"/>
        <v>0</v>
      </c>
      <c r="I123" s="236" t="s">
        <v>19682</v>
      </c>
    </row>
    <row r="124" spans="1:9" x14ac:dyDescent="0.25">
      <c r="A124" s="234">
        <v>42887</v>
      </c>
      <c r="B124" s="18">
        <v>114225</v>
      </c>
      <c r="C124" s="235" t="s">
        <v>19677</v>
      </c>
      <c r="D124" s="236" t="s">
        <v>15446</v>
      </c>
      <c r="E124" s="15">
        <v>1784.3</v>
      </c>
      <c r="F124" s="237">
        <v>42889</v>
      </c>
      <c r="G124" s="15">
        <v>1784.3</v>
      </c>
      <c r="H124" s="15">
        <f t="shared" si="1"/>
        <v>0</v>
      </c>
      <c r="I124" s="236" t="s">
        <v>19682</v>
      </c>
    </row>
    <row r="125" spans="1:9" x14ac:dyDescent="0.25">
      <c r="A125" s="238">
        <v>42887</v>
      </c>
      <c r="B125" s="18">
        <v>114226</v>
      </c>
      <c r="C125" s="235" t="s">
        <v>19677</v>
      </c>
      <c r="D125" s="236" t="s">
        <v>15460</v>
      </c>
      <c r="E125" s="15">
        <v>2240.5</v>
      </c>
      <c r="F125" s="237">
        <v>42889</v>
      </c>
      <c r="G125" s="15">
        <v>2240.5</v>
      </c>
      <c r="H125" s="15">
        <f t="shared" si="1"/>
        <v>0</v>
      </c>
      <c r="I125" s="236" t="s">
        <v>19682</v>
      </c>
    </row>
    <row r="126" spans="1:9" x14ac:dyDescent="0.25">
      <c r="A126" s="238">
        <v>42887</v>
      </c>
      <c r="B126" s="18">
        <v>114227</v>
      </c>
      <c r="C126" s="235" t="s">
        <v>19677</v>
      </c>
      <c r="D126" s="236" t="s">
        <v>15267</v>
      </c>
      <c r="E126" s="15">
        <v>27220</v>
      </c>
      <c r="F126" s="237">
        <v>42888</v>
      </c>
      <c r="G126" s="15">
        <v>27220</v>
      </c>
      <c r="H126" s="15">
        <f t="shared" si="1"/>
        <v>0</v>
      </c>
      <c r="I126" s="236" t="s">
        <v>19682</v>
      </c>
    </row>
    <row r="127" spans="1:9" x14ac:dyDescent="0.25">
      <c r="A127" s="234">
        <v>42887</v>
      </c>
      <c r="B127" s="18">
        <v>114228</v>
      </c>
      <c r="C127" s="235" t="s">
        <v>19677</v>
      </c>
      <c r="D127" s="236" t="s">
        <v>15941</v>
      </c>
      <c r="E127" s="15">
        <v>2304</v>
      </c>
      <c r="F127" s="237">
        <v>42889</v>
      </c>
      <c r="G127" s="15">
        <v>2304</v>
      </c>
      <c r="H127" s="15">
        <f t="shared" si="1"/>
        <v>0</v>
      </c>
      <c r="I127" s="236" t="s">
        <v>19682</v>
      </c>
    </row>
    <row r="128" spans="1:9" x14ac:dyDescent="0.25">
      <c r="A128" s="234">
        <v>42887</v>
      </c>
      <c r="B128" s="18">
        <v>114229</v>
      </c>
      <c r="C128" s="235" t="s">
        <v>19677</v>
      </c>
      <c r="D128" s="236" t="s">
        <v>15450</v>
      </c>
      <c r="E128" s="15">
        <v>1678</v>
      </c>
      <c r="F128" s="237">
        <v>42889</v>
      </c>
      <c r="G128" s="15">
        <v>1678</v>
      </c>
      <c r="H128" s="15">
        <f t="shared" si="1"/>
        <v>0</v>
      </c>
      <c r="I128" s="236" t="s">
        <v>19682</v>
      </c>
    </row>
    <row r="129" spans="1:9" x14ac:dyDescent="0.25">
      <c r="A129" s="238">
        <v>42887</v>
      </c>
      <c r="B129" s="18">
        <v>114230</v>
      </c>
      <c r="C129" s="235" t="s">
        <v>19677</v>
      </c>
      <c r="D129" s="236" t="s">
        <v>15725</v>
      </c>
      <c r="E129" s="15">
        <v>24388.799999999999</v>
      </c>
      <c r="F129" s="237">
        <v>42889</v>
      </c>
      <c r="G129" s="15">
        <v>24388.799999999999</v>
      </c>
      <c r="H129" s="15">
        <f t="shared" si="1"/>
        <v>0</v>
      </c>
      <c r="I129" s="236" t="s">
        <v>19682</v>
      </c>
    </row>
    <row r="130" spans="1:9" x14ac:dyDescent="0.25">
      <c r="A130" s="238">
        <v>42887</v>
      </c>
      <c r="B130" s="18">
        <v>114231</v>
      </c>
      <c r="C130" s="235" t="s">
        <v>19677</v>
      </c>
      <c r="D130" s="236" t="s">
        <v>16965</v>
      </c>
      <c r="E130" s="15">
        <v>11718.3</v>
      </c>
      <c r="F130" s="237">
        <v>42889</v>
      </c>
      <c r="G130" s="15">
        <v>11718.3</v>
      </c>
      <c r="H130" s="15">
        <f t="shared" ref="H130:H193" si="2">E130-G130</f>
        <v>0</v>
      </c>
      <c r="I130" s="236" t="s">
        <v>19682</v>
      </c>
    </row>
    <row r="131" spans="1:9" ht="15.75" x14ac:dyDescent="0.25">
      <c r="A131" s="234">
        <v>42887</v>
      </c>
      <c r="B131" s="18">
        <v>114232</v>
      </c>
      <c r="C131" s="235" t="s">
        <v>19677</v>
      </c>
      <c r="D131" s="239" t="s">
        <v>95</v>
      </c>
      <c r="E131" s="15">
        <v>0</v>
      </c>
      <c r="F131" s="240" t="s">
        <v>95</v>
      </c>
      <c r="G131" s="15">
        <v>0</v>
      </c>
      <c r="H131" s="15">
        <f t="shared" si="2"/>
        <v>0</v>
      </c>
      <c r="I131" s="236" t="s">
        <v>19678</v>
      </c>
    </row>
    <row r="132" spans="1:9" x14ac:dyDescent="0.25">
      <c r="A132" s="238">
        <v>42887</v>
      </c>
      <c r="B132" s="18">
        <v>114233</v>
      </c>
      <c r="C132" s="235" t="s">
        <v>19677</v>
      </c>
      <c r="D132" s="236" t="s">
        <v>15435</v>
      </c>
      <c r="E132" s="15">
        <v>8619</v>
      </c>
      <c r="F132" s="237">
        <v>42887</v>
      </c>
      <c r="G132" s="15">
        <v>8619</v>
      </c>
      <c r="H132" s="15">
        <f t="shared" si="2"/>
        <v>0</v>
      </c>
      <c r="I132" s="236" t="s">
        <v>19682</v>
      </c>
    </row>
    <row r="133" spans="1:9" x14ac:dyDescent="0.25">
      <c r="A133" s="234">
        <v>42887</v>
      </c>
      <c r="B133" s="18">
        <v>114234</v>
      </c>
      <c r="C133" s="235" t="s">
        <v>19677</v>
      </c>
      <c r="D133" s="236" t="s">
        <v>15462</v>
      </c>
      <c r="E133" s="15">
        <v>16643.8</v>
      </c>
      <c r="F133" s="237">
        <v>42889</v>
      </c>
      <c r="G133" s="15">
        <v>16643.8</v>
      </c>
      <c r="H133" s="15">
        <f t="shared" si="2"/>
        <v>0</v>
      </c>
      <c r="I133" s="236" t="s">
        <v>19682</v>
      </c>
    </row>
    <row r="134" spans="1:9" x14ac:dyDescent="0.25">
      <c r="A134" s="238">
        <v>42887</v>
      </c>
      <c r="B134" s="18">
        <v>114235</v>
      </c>
      <c r="C134" s="235" t="s">
        <v>19677</v>
      </c>
      <c r="D134" s="236" t="s">
        <v>15642</v>
      </c>
      <c r="E134" s="15">
        <v>5913.6</v>
      </c>
      <c r="F134" s="237">
        <v>42887</v>
      </c>
      <c r="G134" s="15">
        <v>5913.6</v>
      </c>
      <c r="H134" s="15">
        <f t="shared" si="2"/>
        <v>0</v>
      </c>
      <c r="I134" s="236" t="s">
        <v>19682</v>
      </c>
    </row>
    <row r="135" spans="1:9" x14ac:dyDescent="0.25">
      <c r="A135" s="234">
        <v>42887</v>
      </c>
      <c r="B135" s="18">
        <v>114236</v>
      </c>
      <c r="C135" s="235" t="s">
        <v>19677</v>
      </c>
      <c r="D135" s="236" t="s">
        <v>15246</v>
      </c>
      <c r="E135" s="15">
        <v>1604</v>
      </c>
      <c r="F135" s="237">
        <v>42891</v>
      </c>
      <c r="G135" s="15">
        <v>1604</v>
      </c>
      <c r="H135" s="15">
        <f t="shared" si="2"/>
        <v>0</v>
      </c>
      <c r="I135" s="236" t="s">
        <v>19682</v>
      </c>
    </row>
    <row r="136" spans="1:9" x14ac:dyDescent="0.25">
      <c r="A136" s="238">
        <v>42887</v>
      </c>
      <c r="B136" s="18">
        <v>114237</v>
      </c>
      <c r="C136" s="235" t="s">
        <v>19677</v>
      </c>
      <c r="D136" s="236" t="s">
        <v>15454</v>
      </c>
      <c r="E136" s="15">
        <v>6313.6</v>
      </c>
      <c r="F136" s="237">
        <v>42889</v>
      </c>
      <c r="G136" s="15">
        <v>6313.6</v>
      </c>
      <c r="H136" s="15">
        <f t="shared" si="2"/>
        <v>0</v>
      </c>
      <c r="I136" s="236" t="s">
        <v>19682</v>
      </c>
    </row>
    <row r="137" spans="1:9" x14ac:dyDescent="0.25">
      <c r="A137" s="234">
        <v>42887</v>
      </c>
      <c r="B137" s="18">
        <v>114238</v>
      </c>
      <c r="C137" s="235" t="s">
        <v>19677</v>
      </c>
      <c r="D137" s="236" t="s">
        <v>15452</v>
      </c>
      <c r="E137" s="15">
        <v>977.6</v>
      </c>
      <c r="F137" s="237">
        <v>42889</v>
      </c>
      <c r="G137" s="15">
        <v>977.6</v>
      </c>
      <c r="H137" s="15">
        <f t="shared" si="2"/>
        <v>0</v>
      </c>
      <c r="I137" s="236" t="s">
        <v>19682</v>
      </c>
    </row>
    <row r="138" spans="1:9" ht="15.75" x14ac:dyDescent="0.25">
      <c r="A138" s="242">
        <v>42887</v>
      </c>
      <c r="B138" s="18">
        <v>114239</v>
      </c>
      <c r="C138" s="235" t="s">
        <v>19677</v>
      </c>
      <c r="D138" s="239" t="s">
        <v>95</v>
      </c>
      <c r="E138" s="15">
        <v>0</v>
      </c>
      <c r="F138" s="240" t="s">
        <v>95</v>
      </c>
      <c r="G138" s="15">
        <v>0</v>
      </c>
      <c r="H138" s="15">
        <f t="shared" si="2"/>
        <v>0</v>
      </c>
      <c r="I138" s="236" t="s">
        <v>19678</v>
      </c>
    </row>
    <row r="139" spans="1:9" x14ac:dyDescent="0.25">
      <c r="A139" s="36">
        <v>42887</v>
      </c>
      <c r="B139" s="18">
        <v>114240</v>
      </c>
      <c r="C139" s="235" t="s">
        <v>19677</v>
      </c>
      <c r="D139" s="236" t="s">
        <v>15818</v>
      </c>
      <c r="E139" s="15">
        <v>5090.3999999999996</v>
      </c>
      <c r="F139" s="237">
        <v>42888</v>
      </c>
      <c r="G139" s="15">
        <v>5090.3999999999996</v>
      </c>
      <c r="H139" s="15">
        <f t="shared" si="2"/>
        <v>0</v>
      </c>
      <c r="I139" s="236" t="s">
        <v>19682</v>
      </c>
    </row>
    <row r="140" spans="1:9" x14ac:dyDescent="0.25">
      <c r="A140" s="242">
        <v>42887</v>
      </c>
      <c r="B140" s="18">
        <v>114241</v>
      </c>
      <c r="C140" s="235" t="s">
        <v>19677</v>
      </c>
      <c r="D140" s="236" t="s">
        <v>15632</v>
      </c>
      <c r="E140" s="15">
        <v>22811.599999999999</v>
      </c>
      <c r="F140" s="237">
        <v>42899</v>
      </c>
      <c r="G140" s="15">
        <v>22811.599999999999</v>
      </c>
      <c r="H140" s="15">
        <f t="shared" si="2"/>
        <v>0</v>
      </c>
      <c r="I140" s="236" t="s">
        <v>19682</v>
      </c>
    </row>
    <row r="141" spans="1:9" x14ac:dyDescent="0.25">
      <c r="A141" s="242">
        <v>42888</v>
      </c>
      <c r="B141" s="18">
        <v>114242</v>
      </c>
      <c r="C141" s="235" t="s">
        <v>19677</v>
      </c>
      <c r="D141" s="236" t="s">
        <v>15213</v>
      </c>
      <c r="E141" s="15">
        <v>6749.5</v>
      </c>
      <c r="F141" s="237">
        <v>42889</v>
      </c>
      <c r="G141" s="15">
        <v>6749.5</v>
      </c>
      <c r="H141" s="15">
        <f t="shared" si="2"/>
        <v>0</v>
      </c>
      <c r="I141" s="236" t="s">
        <v>19682</v>
      </c>
    </row>
    <row r="142" spans="1:9" x14ac:dyDescent="0.25">
      <c r="A142" s="36">
        <v>42888</v>
      </c>
      <c r="B142" s="18">
        <v>114243</v>
      </c>
      <c r="C142" s="235" t="s">
        <v>19677</v>
      </c>
      <c r="D142" s="236" t="s">
        <v>15216</v>
      </c>
      <c r="E142" s="15">
        <v>6101.2</v>
      </c>
      <c r="F142" s="237">
        <v>42888</v>
      </c>
      <c r="G142" s="15">
        <f>E142</f>
        <v>6101.2</v>
      </c>
      <c r="H142" s="15">
        <f t="shared" si="2"/>
        <v>0</v>
      </c>
      <c r="I142" s="236" t="s">
        <v>19682</v>
      </c>
    </row>
    <row r="143" spans="1:9" x14ac:dyDescent="0.25">
      <c r="A143" s="242">
        <v>42888</v>
      </c>
      <c r="B143" s="18">
        <v>114244</v>
      </c>
      <c r="C143" s="235" t="s">
        <v>19677</v>
      </c>
      <c r="D143" s="236" t="s">
        <v>15213</v>
      </c>
      <c r="E143" s="15">
        <v>37012.9</v>
      </c>
      <c r="F143" s="237">
        <v>42889</v>
      </c>
      <c r="G143" s="15">
        <v>37012.9</v>
      </c>
      <c r="H143" s="15">
        <f t="shared" si="2"/>
        <v>0</v>
      </c>
      <c r="I143" s="236" t="s">
        <v>19682</v>
      </c>
    </row>
    <row r="144" spans="1:9" x14ac:dyDescent="0.25">
      <c r="A144" s="36">
        <v>42888</v>
      </c>
      <c r="B144" s="18">
        <v>114245</v>
      </c>
      <c r="C144" s="235" t="s">
        <v>19677</v>
      </c>
      <c r="D144" s="236" t="s">
        <v>15407</v>
      </c>
      <c r="E144" s="15">
        <v>3204.1</v>
      </c>
      <c r="F144" s="237">
        <v>42888</v>
      </c>
      <c r="G144" s="15">
        <v>3204.1</v>
      </c>
      <c r="H144" s="15">
        <f t="shared" si="2"/>
        <v>0</v>
      </c>
      <c r="I144" s="236" t="s">
        <v>19682</v>
      </c>
    </row>
    <row r="145" spans="1:9" x14ac:dyDescent="0.25">
      <c r="A145" s="242">
        <v>42888</v>
      </c>
      <c r="B145" s="18">
        <v>114246</v>
      </c>
      <c r="C145" s="235" t="s">
        <v>19677</v>
      </c>
      <c r="D145" s="236" t="s">
        <v>15220</v>
      </c>
      <c r="E145" s="15">
        <v>2880</v>
      </c>
      <c r="F145" s="237">
        <v>42888</v>
      </c>
      <c r="G145" s="15">
        <v>2880</v>
      </c>
      <c r="H145" s="15">
        <f t="shared" si="2"/>
        <v>0</v>
      </c>
      <c r="I145" s="236" t="s">
        <v>19682</v>
      </c>
    </row>
    <row r="146" spans="1:9" x14ac:dyDescent="0.25">
      <c r="A146" s="36">
        <v>42888</v>
      </c>
      <c r="B146" s="18">
        <v>114247</v>
      </c>
      <c r="C146" s="235" t="s">
        <v>19677</v>
      </c>
      <c r="D146" s="236" t="s">
        <v>15596</v>
      </c>
      <c r="E146" s="15">
        <v>1920</v>
      </c>
      <c r="F146" s="237">
        <v>42888</v>
      </c>
      <c r="G146" s="15">
        <v>1920</v>
      </c>
      <c r="H146" s="15">
        <f t="shared" si="2"/>
        <v>0</v>
      </c>
      <c r="I146" s="236" t="s">
        <v>19682</v>
      </c>
    </row>
    <row r="147" spans="1:9" x14ac:dyDescent="0.25">
      <c r="A147" s="242">
        <v>42888</v>
      </c>
      <c r="B147" s="18">
        <v>114248</v>
      </c>
      <c r="C147" s="235" t="s">
        <v>19677</v>
      </c>
      <c r="D147" s="236" t="s">
        <v>15267</v>
      </c>
      <c r="E147" s="15">
        <v>3600</v>
      </c>
      <c r="F147" s="237">
        <v>42888</v>
      </c>
      <c r="G147" s="15">
        <v>3600</v>
      </c>
      <c r="H147" s="15">
        <f t="shared" si="2"/>
        <v>0</v>
      </c>
      <c r="I147" s="236" t="s">
        <v>19682</v>
      </c>
    </row>
    <row r="148" spans="1:9" x14ac:dyDescent="0.25">
      <c r="A148" s="36">
        <v>42888</v>
      </c>
      <c r="B148" s="18">
        <v>114249</v>
      </c>
      <c r="C148" s="235" t="s">
        <v>19677</v>
      </c>
      <c r="D148" s="236" t="s">
        <v>15487</v>
      </c>
      <c r="E148" s="15">
        <v>6063.5</v>
      </c>
      <c r="F148" s="237">
        <v>42888</v>
      </c>
      <c r="G148" s="15">
        <v>6063.5</v>
      </c>
      <c r="H148" s="15">
        <f t="shared" si="2"/>
        <v>0</v>
      </c>
      <c r="I148" s="236" t="s">
        <v>19682</v>
      </c>
    </row>
    <row r="149" spans="1:9" x14ac:dyDescent="0.25">
      <c r="A149" s="242">
        <v>42888</v>
      </c>
      <c r="B149" s="18">
        <v>114250</v>
      </c>
      <c r="C149" s="235" t="s">
        <v>19677</v>
      </c>
      <c r="D149" s="236" t="s">
        <v>15272</v>
      </c>
      <c r="E149" s="15">
        <v>23057.8</v>
      </c>
      <c r="F149" s="237">
        <v>42888</v>
      </c>
      <c r="G149" s="15">
        <v>23057.8</v>
      </c>
      <c r="H149" s="15">
        <f t="shared" si="2"/>
        <v>0</v>
      </c>
      <c r="I149" s="236" t="s">
        <v>19682</v>
      </c>
    </row>
    <row r="150" spans="1:9" x14ac:dyDescent="0.25">
      <c r="A150" s="36">
        <v>42888</v>
      </c>
      <c r="B150" s="18">
        <v>114251</v>
      </c>
      <c r="C150" s="235" t="s">
        <v>19677</v>
      </c>
      <c r="D150" s="236" t="s">
        <v>15228</v>
      </c>
      <c r="E150" s="15">
        <v>7681.2</v>
      </c>
      <c r="F150" s="237">
        <v>42888</v>
      </c>
      <c r="G150" s="15">
        <v>7681.2</v>
      </c>
      <c r="H150" s="15">
        <f t="shared" si="2"/>
        <v>0</v>
      </c>
      <c r="I150" s="236" t="s">
        <v>19682</v>
      </c>
    </row>
    <row r="151" spans="1:9" x14ac:dyDescent="0.25">
      <c r="A151" s="242">
        <v>42888</v>
      </c>
      <c r="B151" s="18">
        <v>114252</v>
      </c>
      <c r="C151" s="235" t="s">
        <v>19677</v>
      </c>
      <c r="D151" s="236" t="s">
        <v>15315</v>
      </c>
      <c r="E151" s="15">
        <v>1783.2</v>
      </c>
      <c r="F151" s="237">
        <v>42888</v>
      </c>
      <c r="G151" s="15">
        <v>1783.2</v>
      </c>
      <c r="H151" s="15">
        <f t="shared" si="2"/>
        <v>0</v>
      </c>
      <c r="I151" s="236" t="s">
        <v>19682</v>
      </c>
    </row>
    <row r="152" spans="1:9" x14ac:dyDescent="0.25">
      <c r="A152" s="36">
        <v>42888</v>
      </c>
      <c r="B152" s="18">
        <v>114253</v>
      </c>
      <c r="C152" s="235" t="s">
        <v>19677</v>
      </c>
      <c r="D152" s="236" t="s">
        <v>15668</v>
      </c>
      <c r="E152" s="15">
        <v>16112</v>
      </c>
      <c r="F152" s="237">
        <v>42891</v>
      </c>
      <c r="G152" s="15">
        <v>16112</v>
      </c>
      <c r="H152" s="15">
        <f t="shared" si="2"/>
        <v>0</v>
      </c>
      <c r="I152" s="236" t="s">
        <v>19682</v>
      </c>
    </row>
    <row r="153" spans="1:9" x14ac:dyDescent="0.25">
      <c r="A153" s="242">
        <v>42888</v>
      </c>
      <c r="B153" s="18">
        <v>114254</v>
      </c>
      <c r="C153" s="235" t="s">
        <v>19677</v>
      </c>
      <c r="D153" s="236" t="s">
        <v>15223</v>
      </c>
      <c r="E153" s="15">
        <v>47932.1</v>
      </c>
      <c r="F153" s="237">
        <v>42901</v>
      </c>
      <c r="G153" s="15">
        <v>47932.1</v>
      </c>
      <c r="H153" s="15">
        <f t="shared" si="2"/>
        <v>0</v>
      </c>
      <c r="I153" s="236" t="s">
        <v>19682</v>
      </c>
    </row>
    <row r="154" spans="1:9" x14ac:dyDescent="0.25">
      <c r="A154" s="36">
        <v>42888</v>
      </c>
      <c r="B154" s="18">
        <v>114255</v>
      </c>
      <c r="C154" s="235" t="s">
        <v>19677</v>
      </c>
      <c r="D154" s="236" t="s">
        <v>15324</v>
      </c>
      <c r="E154" s="15">
        <v>3997</v>
      </c>
      <c r="F154" s="237">
        <v>42888</v>
      </c>
      <c r="G154" s="15">
        <v>3997</v>
      </c>
      <c r="H154" s="15">
        <f t="shared" si="2"/>
        <v>0</v>
      </c>
      <c r="I154" s="236" t="s">
        <v>19682</v>
      </c>
    </row>
    <row r="155" spans="1:9" x14ac:dyDescent="0.25">
      <c r="A155" s="242">
        <v>42888</v>
      </c>
      <c r="B155" s="18">
        <v>114256</v>
      </c>
      <c r="C155" s="235" t="s">
        <v>19677</v>
      </c>
      <c r="D155" s="236" t="s">
        <v>15250</v>
      </c>
      <c r="E155" s="15">
        <v>32081.759999999998</v>
      </c>
      <c r="F155" s="237">
        <v>42902</v>
      </c>
      <c r="G155" s="15">
        <v>32081.759999999998</v>
      </c>
      <c r="H155" s="15">
        <f t="shared" si="2"/>
        <v>0</v>
      </c>
      <c r="I155" s="236" t="s">
        <v>19682</v>
      </c>
    </row>
    <row r="156" spans="1:9" x14ac:dyDescent="0.25">
      <c r="A156" s="36">
        <v>42888</v>
      </c>
      <c r="B156" s="18">
        <v>114257</v>
      </c>
      <c r="C156" s="235" t="s">
        <v>19677</v>
      </c>
      <c r="D156" s="236" t="s">
        <v>17929</v>
      </c>
      <c r="E156" s="15">
        <v>1367.7</v>
      </c>
      <c r="F156" s="237">
        <v>42888</v>
      </c>
      <c r="G156" s="15">
        <v>1367.7</v>
      </c>
      <c r="H156" s="15">
        <f t="shared" si="2"/>
        <v>0</v>
      </c>
      <c r="I156" s="236" t="s">
        <v>19682</v>
      </c>
    </row>
    <row r="157" spans="1:9" x14ac:dyDescent="0.25">
      <c r="A157" s="242">
        <v>42888</v>
      </c>
      <c r="B157" s="18">
        <v>114258</v>
      </c>
      <c r="C157" s="235" t="s">
        <v>19677</v>
      </c>
      <c r="D157" s="236" t="s">
        <v>15258</v>
      </c>
      <c r="E157" s="15">
        <v>12939</v>
      </c>
      <c r="F157" s="237">
        <v>42892</v>
      </c>
      <c r="G157" s="15">
        <v>12939</v>
      </c>
      <c r="H157" s="15">
        <f t="shared" si="2"/>
        <v>0</v>
      </c>
      <c r="I157" s="236" t="s">
        <v>19682</v>
      </c>
    </row>
    <row r="158" spans="1:9" x14ac:dyDescent="0.25">
      <c r="A158" s="36">
        <v>42888</v>
      </c>
      <c r="B158" s="18">
        <v>114259</v>
      </c>
      <c r="C158" s="235" t="s">
        <v>19677</v>
      </c>
      <c r="D158" s="236" t="s">
        <v>17235</v>
      </c>
      <c r="E158" s="15">
        <v>960</v>
      </c>
      <c r="F158" s="237">
        <v>42888</v>
      </c>
      <c r="G158" s="15">
        <v>960</v>
      </c>
      <c r="H158" s="15">
        <f t="shared" si="2"/>
        <v>0</v>
      </c>
      <c r="I158" s="236" t="s">
        <v>19682</v>
      </c>
    </row>
    <row r="159" spans="1:9" x14ac:dyDescent="0.25">
      <c r="A159" s="242">
        <v>42888</v>
      </c>
      <c r="B159" s="18">
        <v>114260</v>
      </c>
      <c r="C159" s="235" t="s">
        <v>19677</v>
      </c>
      <c r="D159" s="236" t="s">
        <v>16023</v>
      </c>
      <c r="E159" s="15">
        <v>2128.6999999999998</v>
      </c>
      <c r="F159" s="237">
        <v>42888</v>
      </c>
      <c r="G159" s="15">
        <v>2128.6999999999998</v>
      </c>
      <c r="H159" s="15">
        <f t="shared" si="2"/>
        <v>0</v>
      </c>
      <c r="I159" s="236" t="s">
        <v>19682</v>
      </c>
    </row>
    <row r="160" spans="1:9" ht="30" x14ac:dyDescent="0.25">
      <c r="A160" s="36">
        <v>42888</v>
      </c>
      <c r="B160" s="18">
        <v>114261</v>
      </c>
      <c r="C160" s="235" t="s">
        <v>19677</v>
      </c>
      <c r="D160" s="236" t="s">
        <v>15248</v>
      </c>
      <c r="E160" s="15">
        <v>56887.9</v>
      </c>
      <c r="F160" s="237" t="s">
        <v>19687</v>
      </c>
      <c r="G160" s="241">
        <f>55400+1487.9</f>
        <v>56887.9</v>
      </c>
      <c r="H160" s="241">
        <f t="shared" si="2"/>
        <v>0</v>
      </c>
      <c r="I160" s="236" t="s">
        <v>19682</v>
      </c>
    </row>
    <row r="161" spans="1:9" x14ac:dyDescent="0.25">
      <c r="A161" s="242">
        <v>42888</v>
      </c>
      <c r="B161" s="18">
        <v>114262</v>
      </c>
      <c r="C161" s="235" t="s">
        <v>19677</v>
      </c>
      <c r="D161" s="236" t="s">
        <v>17462</v>
      </c>
      <c r="E161" s="15">
        <v>5965.7</v>
      </c>
      <c r="F161" s="237">
        <v>42888</v>
      </c>
      <c r="G161" s="15">
        <v>5965.7</v>
      </c>
      <c r="H161" s="15">
        <f t="shared" si="2"/>
        <v>0</v>
      </c>
      <c r="I161" s="236" t="s">
        <v>19682</v>
      </c>
    </row>
    <row r="162" spans="1:9" x14ac:dyDescent="0.25">
      <c r="A162" s="36">
        <v>42888</v>
      </c>
      <c r="B162" s="18">
        <v>114263</v>
      </c>
      <c r="C162" s="235" t="s">
        <v>19677</v>
      </c>
      <c r="D162" s="236" t="s">
        <v>15250</v>
      </c>
      <c r="E162" s="15">
        <v>5398.2</v>
      </c>
      <c r="F162" s="237">
        <v>42902</v>
      </c>
      <c r="G162" s="15">
        <v>5398.2</v>
      </c>
      <c r="H162" s="15">
        <f t="shared" si="2"/>
        <v>0</v>
      </c>
      <c r="I162" s="236" t="s">
        <v>19682</v>
      </c>
    </row>
    <row r="163" spans="1:9" x14ac:dyDescent="0.25">
      <c r="A163" s="242">
        <v>42888</v>
      </c>
      <c r="B163" s="18">
        <v>114264</v>
      </c>
      <c r="C163" s="235" t="s">
        <v>19677</v>
      </c>
      <c r="D163" s="236" t="s">
        <v>15248</v>
      </c>
      <c r="E163" s="15">
        <v>9281.52</v>
      </c>
      <c r="F163" s="237">
        <v>42888</v>
      </c>
      <c r="G163" s="15">
        <v>9281.52</v>
      </c>
      <c r="H163" s="15">
        <f t="shared" si="2"/>
        <v>0</v>
      </c>
      <c r="I163" s="236" t="s">
        <v>19682</v>
      </c>
    </row>
    <row r="164" spans="1:9" x14ac:dyDescent="0.25">
      <c r="A164" s="36">
        <v>42888</v>
      </c>
      <c r="B164" s="18">
        <v>114265</v>
      </c>
      <c r="C164" s="235" t="s">
        <v>19677</v>
      </c>
      <c r="D164" s="236" t="s">
        <v>15315</v>
      </c>
      <c r="E164" s="15">
        <v>3346.4</v>
      </c>
      <c r="F164" s="237">
        <v>42888</v>
      </c>
      <c r="G164" s="15">
        <v>3346.4</v>
      </c>
      <c r="H164" s="15">
        <f t="shared" si="2"/>
        <v>0</v>
      </c>
      <c r="I164" s="236" t="s">
        <v>19682</v>
      </c>
    </row>
    <row r="165" spans="1:9" x14ac:dyDescent="0.25">
      <c r="A165" s="242">
        <v>42888</v>
      </c>
      <c r="B165" s="18">
        <v>114266</v>
      </c>
      <c r="C165" s="235" t="s">
        <v>19677</v>
      </c>
      <c r="D165" s="236" t="s">
        <v>15250</v>
      </c>
      <c r="E165" s="15">
        <v>925</v>
      </c>
      <c r="F165" s="237">
        <v>42902</v>
      </c>
      <c r="G165" s="15">
        <v>925</v>
      </c>
      <c r="H165" s="15">
        <f t="shared" si="2"/>
        <v>0</v>
      </c>
      <c r="I165" s="236" t="s">
        <v>19682</v>
      </c>
    </row>
    <row r="166" spans="1:9" x14ac:dyDescent="0.25">
      <c r="A166" s="36">
        <v>42888</v>
      </c>
      <c r="B166" s="18">
        <v>114267</v>
      </c>
      <c r="C166" s="235" t="s">
        <v>19677</v>
      </c>
      <c r="D166" s="236" t="s">
        <v>18258</v>
      </c>
      <c r="E166" s="15">
        <v>7147.5</v>
      </c>
      <c r="F166" s="237">
        <v>42888</v>
      </c>
      <c r="G166" s="15">
        <v>7147.5</v>
      </c>
      <c r="H166" s="15">
        <f t="shared" si="2"/>
        <v>0</v>
      </c>
      <c r="I166" s="236" t="s">
        <v>19682</v>
      </c>
    </row>
    <row r="167" spans="1:9" x14ac:dyDescent="0.25">
      <c r="A167" s="242">
        <v>42888</v>
      </c>
      <c r="B167" s="18">
        <v>114268</v>
      </c>
      <c r="C167" s="235" t="s">
        <v>19677</v>
      </c>
      <c r="D167" s="236" t="s">
        <v>15232</v>
      </c>
      <c r="E167" s="15">
        <v>6059.9</v>
      </c>
      <c r="F167" s="237">
        <v>42894</v>
      </c>
      <c r="G167" s="15">
        <v>6059.9</v>
      </c>
      <c r="H167" s="15">
        <f t="shared" si="2"/>
        <v>0</v>
      </c>
      <c r="I167" s="236" t="s">
        <v>19682</v>
      </c>
    </row>
    <row r="168" spans="1:9" x14ac:dyDescent="0.25">
      <c r="A168" s="36">
        <v>42888</v>
      </c>
      <c r="B168" s="18">
        <v>114269</v>
      </c>
      <c r="C168" s="235" t="s">
        <v>19677</v>
      </c>
      <c r="D168" s="236" t="s">
        <v>15284</v>
      </c>
      <c r="E168" s="15">
        <v>2102.6</v>
      </c>
      <c r="F168" s="237">
        <v>42888</v>
      </c>
      <c r="G168" s="15">
        <v>2102.6</v>
      </c>
      <c r="H168" s="15">
        <f t="shared" si="2"/>
        <v>0</v>
      </c>
      <c r="I168" s="236" t="s">
        <v>19682</v>
      </c>
    </row>
    <row r="169" spans="1:9" x14ac:dyDescent="0.25">
      <c r="A169" s="242">
        <v>42888</v>
      </c>
      <c r="B169" s="18">
        <v>114270</v>
      </c>
      <c r="C169" s="235" t="s">
        <v>19677</v>
      </c>
      <c r="D169" s="236" t="s">
        <v>15263</v>
      </c>
      <c r="E169" s="15">
        <v>3576.6</v>
      </c>
      <c r="F169" s="237">
        <v>42888</v>
      </c>
      <c r="G169" s="15">
        <v>3576.6</v>
      </c>
      <c r="H169" s="15">
        <f t="shared" si="2"/>
        <v>0</v>
      </c>
      <c r="I169" s="236" t="s">
        <v>19682</v>
      </c>
    </row>
    <row r="170" spans="1:9" x14ac:dyDescent="0.25">
      <c r="A170" s="36">
        <v>42888</v>
      </c>
      <c r="B170" s="18">
        <v>114271</v>
      </c>
      <c r="C170" s="235" t="s">
        <v>19677</v>
      </c>
      <c r="D170" s="236" t="s">
        <v>15256</v>
      </c>
      <c r="E170" s="15">
        <v>4438.3999999999996</v>
      </c>
      <c r="F170" s="237">
        <v>42889</v>
      </c>
      <c r="G170" s="15">
        <v>4438.3999999999996</v>
      </c>
      <c r="H170" s="15">
        <f t="shared" si="2"/>
        <v>0</v>
      </c>
      <c r="I170" s="236" t="s">
        <v>19682</v>
      </c>
    </row>
    <row r="171" spans="1:9" x14ac:dyDescent="0.25">
      <c r="A171" s="242">
        <v>42888</v>
      </c>
      <c r="B171" s="18">
        <v>114272</v>
      </c>
      <c r="C171" s="235" t="s">
        <v>19677</v>
      </c>
      <c r="D171" s="236" t="s">
        <v>15238</v>
      </c>
      <c r="E171" s="15">
        <v>8759.7999999999993</v>
      </c>
      <c r="F171" s="237">
        <v>42891</v>
      </c>
      <c r="G171" s="15">
        <v>8759.7999999999993</v>
      </c>
      <c r="H171" s="15">
        <f t="shared" si="2"/>
        <v>0</v>
      </c>
      <c r="I171" s="236" t="s">
        <v>19682</v>
      </c>
    </row>
    <row r="172" spans="1:9" x14ac:dyDescent="0.25">
      <c r="A172" s="36">
        <v>42888</v>
      </c>
      <c r="B172" s="18">
        <v>114273</v>
      </c>
      <c r="C172" s="235" t="s">
        <v>19677</v>
      </c>
      <c r="D172" s="236" t="s">
        <v>15480</v>
      </c>
      <c r="E172" s="15">
        <v>6244</v>
      </c>
      <c r="F172" s="237">
        <v>42891</v>
      </c>
      <c r="G172" s="15">
        <v>6244</v>
      </c>
      <c r="H172" s="15">
        <f t="shared" si="2"/>
        <v>0</v>
      </c>
      <c r="I172" s="236" t="s">
        <v>19682</v>
      </c>
    </row>
    <row r="173" spans="1:9" ht="30" x14ac:dyDescent="0.25">
      <c r="A173" s="242">
        <v>42888</v>
      </c>
      <c r="B173" s="18">
        <v>114274</v>
      </c>
      <c r="C173" s="235" t="s">
        <v>19677</v>
      </c>
      <c r="D173" s="236" t="s">
        <v>15234</v>
      </c>
      <c r="E173" s="15">
        <v>3131.2</v>
      </c>
      <c r="F173" s="237" t="s">
        <v>19688</v>
      </c>
      <c r="G173" s="241">
        <f>1631+1500.2</f>
        <v>3131.2</v>
      </c>
      <c r="H173" s="241">
        <f t="shared" si="2"/>
        <v>0</v>
      </c>
      <c r="I173" s="236" t="s">
        <v>19682</v>
      </c>
    </row>
    <row r="174" spans="1:9" x14ac:dyDescent="0.25">
      <c r="A174" s="36">
        <v>42888</v>
      </c>
      <c r="B174" s="18">
        <v>114275</v>
      </c>
      <c r="C174" s="235" t="s">
        <v>19677</v>
      </c>
      <c r="D174" s="236" t="s">
        <v>5575</v>
      </c>
      <c r="E174" s="15">
        <v>11187</v>
      </c>
      <c r="F174" s="237">
        <v>42891</v>
      </c>
      <c r="G174" s="15">
        <v>11187</v>
      </c>
      <c r="H174" s="15">
        <f t="shared" si="2"/>
        <v>0</v>
      </c>
      <c r="I174" s="236" t="s">
        <v>19682</v>
      </c>
    </row>
    <row r="175" spans="1:9" ht="30" x14ac:dyDescent="0.25">
      <c r="A175" s="242">
        <v>42888</v>
      </c>
      <c r="B175" s="18">
        <v>114276</v>
      </c>
      <c r="C175" s="235" t="s">
        <v>19677</v>
      </c>
      <c r="D175" s="236" t="s">
        <v>15236</v>
      </c>
      <c r="E175" s="15">
        <v>3618.4</v>
      </c>
      <c r="F175" s="237" t="s">
        <v>19689</v>
      </c>
      <c r="G175" s="241">
        <f>2700+918.4</f>
        <v>3618.4</v>
      </c>
      <c r="H175" s="241">
        <f t="shared" si="2"/>
        <v>0</v>
      </c>
      <c r="I175" s="236" t="s">
        <v>19682</v>
      </c>
    </row>
    <row r="176" spans="1:9" x14ac:dyDescent="0.25">
      <c r="A176" s="36">
        <v>42888</v>
      </c>
      <c r="B176" s="18">
        <v>114277</v>
      </c>
      <c r="C176" s="235" t="s">
        <v>19677</v>
      </c>
      <c r="D176" s="236" t="s">
        <v>15230</v>
      </c>
      <c r="E176" s="15">
        <v>15036.7</v>
      </c>
      <c r="F176" s="237">
        <v>42891</v>
      </c>
      <c r="G176" s="15">
        <v>15036.7</v>
      </c>
      <c r="H176" s="15">
        <f t="shared" si="2"/>
        <v>0</v>
      </c>
      <c r="I176" s="236" t="s">
        <v>19682</v>
      </c>
    </row>
    <row r="177" spans="1:9" x14ac:dyDescent="0.25">
      <c r="A177" s="242">
        <v>42888</v>
      </c>
      <c r="B177" s="18">
        <v>114278</v>
      </c>
      <c r="C177" s="235" t="s">
        <v>19677</v>
      </c>
      <c r="D177" s="236" t="s">
        <v>18544</v>
      </c>
      <c r="E177" s="15">
        <v>6429.6</v>
      </c>
      <c r="F177" s="237">
        <v>42888</v>
      </c>
      <c r="G177" s="15">
        <v>6429.6</v>
      </c>
      <c r="H177" s="15">
        <f t="shared" si="2"/>
        <v>0</v>
      </c>
      <c r="I177" s="236" t="s">
        <v>19682</v>
      </c>
    </row>
    <row r="178" spans="1:9" x14ac:dyDescent="0.25">
      <c r="A178" s="36">
        <v>42888</v>
      </c>
      <c r="B178" s="18">
        <v>114279</v>
      </c>
      <c r="C178" s="235" t="s">
        <v>19677</v>
      </c>
      <c r="D178" s="236" t="s">
        <v>15662</v>
      </c>
      <c r="E178" s="15">
        <v>6865.1</v>
      </c>
      <c r="F178" s="237">
        <v>42888</v>
      </c>
      <c r="G178" s="15">
        <v>6865.1</v>
      </c>
      <c r="H178" s="15">
        <f t="shared" si="2"/>
        <v>0</v>
      </c>
      <c r="I178" s="236" t="s">
        <v>19682</v>
      </c>
    </row>
    <row r="179" spans="1:9" x14ac:dyDescent="0.25">
      <c r="A179" s="242">
        <v>42888</v>
      </c>
      <c r="B179" s="18">
        <v>114280</v>
      </c>
      <c r="C179" s="235" t="s">
        <v>19677</v>
      </c>
      <c r="D179" s="236" t="s">
        <v>15252</v>
      </c>
      <c r="E179" s="15">
        <v>3993.5</v>
      </c>
      <c r="F179" s="237">
        <v>42891</v>
      </c>
      <c r="G179" s="15">
        <v>3993.5</v>
      </c>
      <c r="H179" s="15">
        <f t="shared" si="2"/>
        <v>0</v>
      </c>
      <c r="I179" s="236" t="s">
        <v>19682</v>
      </c>
    </row>
    <row r="180" spans="1:9" x14ac:dyDescent="0.25">
      <c r="A180" s="36">
        <v>42888</v>
      </c>
      <c r="B180" s="18">
        <v>114281</v>
      </c>
      <c r="C180" s="235" t="s">
        <v>19677</v>
      </c>
      <c r="D180" s="236" t="s">
        <v>15252</v>
      </c>
      <c r="E180" s="15">
        <v>54.6</v>
      </c>
      <c r="F180" s="237">
        <v>42891</v>
      </c>
      <c r="G180" s="15">
        <v>54.6</v>
      </c>
      <c r="H180" s="15">
        <f t="shared" si="2"/>
        <v>0</v>
      </c>
      <c r="I180" s="236" t="s">
        <v>19682</v>
      </c>
    </row>
    <row r="181" spans="1:9" x14ac:dyDescent="0.25">
      <c r="A181" s="242">
        <v>42888</v>
      </c>
      <c r="B181" s="18">
        <v>114282</v>
      </c>
      <c r="C181" s="235" t="s">
        <v>19677</v>
      </c>
      <c r="D181" s="236" t="s">
        <v>15348</v>
      </c>
      <c r="E181" s="15">
        <v>3657.6</v>
      </c>
      <c r="F181" s="237">
        <v>42891</v>
      </c>
      <c r="G181" s="15">
        <v>3657.6</v>
      </c>
      <c r="H181" s="15">
        <f t="shared" si="2"/>
        <v>0</v>
      </c>
      <c r="I181" s="236" t="s">
        <v>19682</v>
      </c>
    </row>
    <row r="182" spans="1:9" x14ac:dyDescent="0.25">
      <c r="A182" s="36">
        <v>42888</v>
      </c>
      <c r="B182" s="18">
        <v>114283</v>
      </c>
      <c r="C182" s="235" t="s">
        <v>19677</v>
      </c>
      <c r="D182" s="236" t="s">
        <v>15728</v>
      </c>
      <c r="E182" s="15">
        <v>9958.6</v>
      </c>
      <c r="F182" s="237">
        <v>42888</v>
      </c>
      <c r="G182" s="241">
        <v>9958.6</v>
      </c>
      <c r="H182" s="241">
        <f t="shared" si="2"/>
        <v>0</v>
      </c>
      <c r="I182" s="236" t="s">
        <v>19682</v>
      </c>
    </row>
    <row r="183" spans="1:9" x14ac:dyDescent="0.25">
      <c r="A183" s="242">
        <v>42888</v>
      </c>
      <c r="B183" s="18">
        <v>114284</v>
      </c>
      <c r="C183" s="235" t="s">
        <v>19677</v>
      </c>
      <c r="D183" s="236" t="s">
        <v>15254</v>
      </c>
      <c r="E183" s="15">
        <v>9232.7999999999993</v>
      </c>
      <c r="F183" s="237">
        <v>42892</v>
      </c>
      <c r="G183" s="15">
        <v>9232.7999999999993</v>
      </c>
      <c r="H183" s="15">
        <f t="shared" si="2"/>
        <v>0</v>
      </c>
      <c r="I183" s="236" t="s">
        <v>19682</v>
      </c>
    </row>
    <row r="184" spans="1:9" x14ac:dyDescent="0.25">
      <c r="A184" s="36">
        <v>42888</v>
      </c>
      <c r="B184" s="18">
        <v>114285</v>
      </c>
      <c r="C184" s="235" t="s">
        <v>19677</v>
      </c>
      <c r="D184" s="236" t="s">
        <v>15242</v>
      </c>
      <c r="E184" s="15">
        <v>13948</v>
      </c>
      <c r="F184" s="237">
        <v>42888</v>
      </c>
      <c r="G184" s="15">
        <v>13948</v>
      </c>
      <c r="H184" s="15">
        <f t="shared" si="2"/>
        <v>0</v>
      </c>
      <c r="I184" s="236" t="s">
        <v>19682</v>
      </c>
    </row>
    <row r="185" spans="1:9" x14ac:dyDescent="0.25">
      <c r="A185" s="242">
        <v>42888</v>
      </c>
      <c r="B185" s="18">
        <v>114286</v>
      </c>
      <c r="C185" s="235" t="s">
        <v>19677</v>
      </c>
      <c r="D185" s="236" t="s">
        <v>15244</v>
      </c>
      <c r="E185" s="15">
        <v>12703.6</v>
      </c>
      <c r="F185" s="237">
        <v>42892</v>
      </c>
      <c r="G185" s="15">
        <v>12703.6</v>
      </c>
      <c r="H185" s="15">
        <f t="shared" si="2"/>
        <v>0</v>
      </c>
      <c r="I185" s="236" t="s">
        <v>19682</v>
      </c>
    </row>
    <row r="186" spans="1:9" x14ac:dyDescent="0.25">
      <c r="A186" s="36">
        <v>42888</v>
      </c>
      <c r="B186" s="18">
        <v>114287</v>
      </c>
      <c r="C186" s="235" t="s">
        <v>19677</v>
      </c>
      <c r="D186" s="236" t="s">
        <v>15289</v>
      </c>
      <c r="E186" s="15">
        <v>1904.4</v>
      </c>
      <c r="F186" s="237">
        <v>42888</v>
      </c>
      <c r="G186" s="15">
        <v>1904.4</v>
      </c>
      <c r="H186" s="15">
        <f t="shared" si="2"/>
        <v>0</v>
      </c>
      <c r="I186" s="236" t="s">
        <v>19682</v>
      </c>
    </row>
    <row r="187" spans="1:9" x14ac:dyDescent="0.25">
      <c r="A187" s="242">
        <v>42888</v>
      </c>
      <c r="B187" s="18">
        <v>114288</v>
      </c>
      <c r="C187" s="235" t="s">
        <v>19677</v>
      </c>
      <c r="D187" s="236" t="s">
        <v>15282</v>
      </c>
      <c r="E187" s="15">
        <v>3628.5</v>
      </c>
      <c r="F187" s="237">
        <v>42888</v>
      </c>
      <c r="G187" s="15">
        <v>3628.5</v>
      </c>
      <c r="H187" s="15">
        <f t="shared" si="2"/>
        <v>0</v>
      </c>
      <c r="I187" s="236" t="s">
        <v>19682</v>
      </c>
    </row>
    <row r="188" spans="1:9" x14ac:dyDescent="0.25">
      <c r="A188" s="36">
        <v>42888</v>
      </c>
      <c r="B188" s="18">
        <v>114289</v>
      </c>
      <c r="C188" s="235" t="s">
        <v>19677</v>
      </c>
      <c r="D188" s="236" t="s">
        <v>15442</v>
      </c>
      <c r="E188" s="15">
        <v>9502</v>
      </c>
      <c r="F188" s="237">
        <v>42888</v>
      </c>
      <c r="G188" s="15">
        <v>9502</v>
      </c>
      <c r="H188" s="15">
        <f t="shared" si="2"/>
        <v>0</v>
      </c>
      <c r="I188" s="236" t="s">
        <v>19682</v>
      </c>
    </row>
    <row r="189" spans="1:9" x14ac:dyDescent="0.25">
      <c r="A189" s="242">
        <v>42888</v>
      </c>
      <c r="B189" s="18">
        <v>114290</v>
      </c>
      <c r="C189" s="235" t="s">
        <v>19677</v>
      </c>
      <c r="D189" s="236" t="s">
        <v>15248</v>
      </c>
      <c r="E189" s="15">
        <v>18940.400000000001</v>
      </c>
      <c r="F189" s="237">
        <v>42888</v>
      </c>
      <c r="G189" s="15">
        <v>18940.400000000001</v>
      </c>
      <c r="H189" s="15">
        <f t="shared" si="2"/>
        <v>0</v>
      </c>
      <c r="I189" s="236" t="s">
        <v>19682</v>
      </c>
    </row>
    <row r="190" spans="1:9" x14ac:dyDescent="0.25">
      <c r="A190" s="36">
        <v>42888</v>
      </c>
      <c r="B190" s="18">
        <v>114291</v>
      </c>
      <c r="C190" s="235" t="s">
        <v>19677</v>
      </c>
      <c r="D190" s="236" t="s">
        <v>15530</v>
      </c>
      <c r="E190" s="15">
        <v>1430</v>
      </c>
      <c r="F190" s="237">
        <v>42888</v>
      </c>
      <c r="G190" s="15">
        <v>1430</v>
      </c>
      <c r="H190" s="15">
        <f t="shared" si="2"/>
        <v>0</v>
      </c>
      <c r="I190" s="236" t="s">
        <v>19682</v>
      </c>
    </row>
    <row r="191" spans="1:9" x14ac:dyDescent="0.25">
      <c r="A191" s="242">
        <v>42888</v>
      </c>
      <c r="B191" s="18">
        <v>114292</v>
      </c>
      <c r="C191" s="235" t="s">
        <v>19677</v>
      </c>
      <c r="D191" s="236" t="s">
        <v>15278</v>
      </c>
      <c r="E191" s="15">
        <v>6904.2</v>
      </c>
      <c r="F191" s="237">
        <v>42888</v>
      </c>
      <c r="G191" s="15">
        <v>6904.2</v>
      </c>
      <c r="H191" s="15">
        <f t="shared" si="2"/>
        <v>0</v>
      </c>
      <c r="I191" s="236" t="s">
        <v>19682</v>
      </c>
    </row>
    <row r="192" spans="1:9" x14ac:dyDescent="0.25">
      <c r="A192" s="36">
        <v>42888</v>
      </c>
      <c r="B192" s="18">
        <v>114293</v>
      </c>
      <c r="C192" s="235" t="s">
        <v>19677</v>
      </c>
      <c r="D192" s="236" t="s">
        <v>15890</v>
      </c>
      <c r="E192" s="15">
        <v>13149.8</v>
      </c>
      <c r="F192" s="237">
        <v>42893</v>
      </c>
      <c r="G192" s="15">
        <v>13149.8</v>
      </c>
      <c r="H192" s="15">
        <f t="shared" si="2"/>
        <v>0</v>
      </c>
      <c r="I192" s="236" t="s">
        <v>19682</v>
      </c>
    </row>
    <row r="193" spans="1:9" x14ac:dyDescent="0.25">
      <c r="A193" s="242">
        <v>42888</v>
      </c>
      <c r="B193" s="18">
        <v>114294</v>
      </c>
      <c r="C193" s="235" t="s">
        <v>19677</v>
      </c>
      <c r="D193" s="236" t="s">
        <v>16383</v>
      </c>
      <c r="E193" s="15">
        <v>9990</v>
      </c>
      <c r="F193" s="237">
        <v>42888</v>
      </c>
      <c r="G193" s="15">
        <v>9990</v>
      </c>
      <c r="H193" s="15">
        <f t="shared" si="2"/>
        <v>0</v>
      </c>
      <c r="I193" s="236" t="s">
        <v>19682</v>
      </c>
    </row>
    <row r="194" spans="1:9" x14ac:dyDescent="0.25">
      <c r="A194" s="36">
        <v>42888</v>
      </c>
      <c r="B194" s="18">
        <v>114295</v>
      </c>
      <c r="C194" s="235" t="s">
        <v>19677</v>
      </c>
      <c r="D194" s="236" t="s">
        <v>15407</v>
      </c>
      <c r="E194" s="15">
        <v>8205.1</v>
      </c>
      <c r="F194" s="237">
        <v>42888</v>
      </c>
      <c r="G194" s="15">
        <v>8205.1</v>
      </c>
      <c r="H194" s="15">
        <f t="shared" ref="H194:H257" si="3">E194-G194</f>
        <v>0</v>
      </c>
      <c r="I194" s="236" t="s">
        <v>19682</v>
      </c>
    </row>
    <row r="195" spans="1:9" x14ac:dyDescent="0.25">
      <c r="A195" s="242">
        <v>42888</v>
      </c>
      <c r="B195" s="18">
        <v>114296</v>
      </c>
      <c r="C195" s="235" t="s">
        <v>19677</v>
      </c>
      <c r="D195" s="236" t="s">
        <v>17057</v>
      </c>
      <c r="E195" s="15">
        <v>1608.8</v>
      </c>
      <c r="F195" s="237">
        <v>42888</v>
      </c>
      <c r="G195" s="15">
        <v>1608.8</v>
      </c>
      <c r="H195" s="15">
        <f t="shared" si="3"/>
        <v>0</v>
      </c>
      <c r="I195" s="236" t="s">
        <v>19682</v>
      </c>
    </row>
    <row r="196" spans="1:9" ht="15.75" x14ac:dyDescent="0.25">
      <c r="A196" s="36">
        <v>42888</v>
      </c>
      <c r="B196" s="18">
        <v>114297</v>
      </c>
      <c r="C196" s="235" t="s">
        <v>19677</v>
      </c>
      <c r="D196" s="239" t="s">
        <v>95</v>
      </c>
      <c r="E196" s="15">
        <v>0</v>
      </c>
      <c r="F196" s="240" t="s">
        <v>95</v>
      </c>
      <c r="G196" s="15">
        <v>0</v>
      </c>
      <c r="H196" s="15">
        <f t="shared" si="3"/>
        <v>0</v>
      </c>
      <c r="I196" s="236" t="s">
        <v>19678</v>
      </c>
    </row>
    <row r="197" spans="1:9" x14ac:dyDescent="0.25">
      <c r="A197" s="242">
        <v>42888</v>
      </c>
      <c r="B197" s="18">
        <v>114298</v>
      </c>
      <c r="C197" s="235" t="s">
        <v>19677</v>
      </c>
      <c r="D197" s="236" t="s">
        <v>15350</v>
      </c>
      <c r="E197" s="15">
        <v>2164.8000000000002</v>
      </c>
      <c r="F197" s="237">
        <v>42888</v>
      </c>
      <c r="G197" s="15">
        <v>2164.8000000000002</v>
      </c>
      <c r="H197" s="15">
        <f t="shared" si="3"/>
        <v>0</v>
      </c>
      <c r="I197" s="236" t="s">
        <v>19682</v>
      </c>
    </row>
    <row r="198" spans="1:9" x14ac:dyDescent="0.25">
      <c r="A198" s="36">
        <v>42888</v>
      </c>
      <c r="B198" s="18">
        <v>114299</v>
      </c>
      <c r="C198" s="235" t="s">
        <v>19677</v>
      </c>
      <c r="D198" s="236" t="s">
        <v>15328</v>
      </c>
      <c r="E198" s="15">
        <v>17370.900000000001</v>
      </c>
      <c r="F198" s="237">
        <v>42902</v>
      </c>
      <c r="G198" s="15">
        <v>17370.900000000001</v>
      </c>
      <c r="H198" s="15">
        <f t="shared" si="3"/>
        <v>0</v>
      </c>
      <c r="I198" s="236" t="s">
        <v>19682</v>
      </c>
    </row>
    <row r="199" spans="1:9" x14ac:dyDescent="0.25">
      <c r="A199" s="242">
        <v>42888</v>
      </c>
      <c r="B199" s="18">
        <v>114300</v>
      </c>
      <c r="C199" s="235" t="s">
        <v>19677</v>
      </c>
      <c r="D199" s="236" t="s">
        <v>15523</v>
      </c>
      <c r="E199" s="15">
        <v>2880</v>
      </c>
      <c r="F199" s="237">
        <v>42888</v>
      </c>
      <c r="G199" s="15">
        <v>2880</v>
      </c>
      <c r="H199" s="15">
        <f t="shared" si="3"/>
        <v>0</v>
      </c>
      <c r="I199" s="236" t="s">
        <v>19682</v>
      </c>
    </row>
    <row r="200" spans="1:9" x14ac:dyDescent="0.25">
      <c r="A200" s="36">
        <v>42888</v>
      </c>
      <c r="B200" s="18">
        <v>114301</v>
      </c>
      <c r="C200" s="235" t="s">
        <v>19677</v>
      </c>
      <c r="D200" s="236" t="s">
        <v>15334</v>
      </c>
      <c r="E200" s="15">
        <v>2554</v>
      </c>
      <c r="F200" s="237">
        <v>42888</v>
      </c>
      <c r="G200" s="15">
        <v>2554</v>
      </c>
      <c r="H200" s="15">
        <f t="shared" si="3"/>
        <v>0</v>
      </c>
      <c r="I200" s="236" t="s">
        <v>19682</v>
      </c>
    </row>
    <row r="201" spans="1:9" x14ac:dyDescent="0.25">
      <c r="A201" s="242">
        <v>42888</v>
      </c>
      <c r="B201" s="18">
        <v>114302</v>
      </c>
      <c r="C201" s="235" t="s">
        <v>19677</v>
      </c>
      <c r="D201" s="236" t="s">
        <v>15358</v>
      </c>
      <c r="E201" s="15">
        <v>2231</v>
      </c>
      <c r="F201" s="237">
        <v>42888</v>
      </c>
      <c r="G201" s="15">
        <v>2231</v>
      </c>
      <c r="H201" s="15">
        <f t="shared" si="3"/>
        <v>0</v>
      </c>
      <c r="I201" s="236" t="s">
        <v>19682</v>
      </c>
    </row>
    <row r="202" spans="1:9" x14ac:dyDescent="0.25">
      <c r="A202" s="36">
        <v>42888</v>
      </c>
      <c r="B202" s="18">
        <v>114303</v>
      </c>
      <c r="C202" s="235" t="s">
        <v>19677</v>
      </c>
      <c r="D202" s="236" t="s">
        <v>15338</v>
      </c>
      <c r="E202" s="15">
        <v>9249</v>
      </c>
      <c r="F202" s="237">
        <v>42895</v>
      </c>
      <c r="G202" s="15">
        <v>9249</v>
      </c>
      <c r="H202" s="15">
        <f t="shared" si="3"/>
        <v>0</v>
      </c>
      <c r="I202" s="236" t="s">
        <v>19682</v>
      </c>
    </row>
    <row r="203" spans="1:9" x14ac:dyDescent="0.25">
      <c r="A203" s="242">
        <v>42888</v>
      </c>
      <c r="B203" s="18">
        <v>114304</v>
      </c>
      <c r="C203" s="235" t="s">
        <v>19677</v>
      </c>
      <c r="D203" s="236" t="s">
        <v>15344</v>
      </c>
      <c r="E203" s="15">
        <v>2251.1999999999998</v>
      </c>
      <c r="F203" s="237">
        <v>42888</v>
      </c>
      <c r="G203" s="15">
        <v>2251.1999999999998</v>
      </c>
      <c r="H203" s="15">
        <f t="shared" si="3"/>
        <v>0</v>
      </c>
      <c r="I203" s="236" t="s">
        <v>19682</v>
      </c>
    </row>
    <row r="204" spans="1:9" x14ac:dyDescent="0.25">
      <c r="A204" s="36">
        <v>42888</v>
      </c>
      <c r="B204" s="18">
        <v>114305</v>
      </c>
      <c r="C204" s="235" t="s">
        <v>19677</v>
      </c>
      <c r="D204" s="236" t="s">
        <v>15526</v>
      </c>
      <c r="E204" s="15">
        <v>4017.6</v>
      </c>
      <c r="F204" s="237">
        <v>42888</v>
      </c>
      <c r="G204" s="15">
        <v>4017.6</v>
      </c>
      <c r="H204" s="15">
        <f t="shared" si="3"/>
        <v>0</v>
      </c>
      <c r="I204" s="236" t="s">
        <v>19682</v>
      </c>
    </row>
    <row r="205" spans="1:9" x14ac:dyDescent="0.25">
      <c r="A205" s="242">
        <v>42888</v>
      </c>
      <c r="B205" s="18">
        <v>114306</v>
      </c>
      <c r="C205" s="235" t="s">
        <v>19677</v>
      </c>
      <c r="D205" s="236" t="s">
        <v>15530</v>
      </c>
      <c r="E205" s="15">
        <v>570</v>
      </c>
      <c r="F205" s="237">
        <v>42888</v>
      </c>
      <c r="G205" s="15">
        <v>570</v>
      </c>
      <c r="H205" s="15">
        <f t="shared" si="3"/>
        <v>0</v>
      </c>
      <c r="I205" s="236" t="s">
        <v>19682</v>
      </c>
    </row>
    <row r="206" spans="1:9" x14ac:dyDescent="0.25">
      <c r="A206" s="36">
        <v>42888</v>
      </c>
      <c r="B206" s="18">
        <v>114307</v>
      </c>
      <c r="C206" s="235" t="s">
        <v>19677</v>
      </c>
      <c r="D206" s="236" t="s">
        <v>15562</v>
      </c>
      <c r="E206" s="15">
        <v>3681.8</v>
      </c>
      <c r="F206" s="237">
        <v>42888</v>
      </c>
      <c r="G206" s="15">
        <v>3681.8</v>
      </c>
      <c r="H206" s="15">
        <f t="shared" si="3"/>
        <v>0</v>
      </c>
      <c r="I206" s="236" t="s">
        <v>19682</v>
      </c>
    </row>
    <row r="207" spans="1:9" ht="30" x14ac:dyDescent="0.25">
      <c r="A207" s="242">
        <v>42888</v>
      </c>
      <c r="B207" s="18">
        <v>114308</v>
      </c>
      <c r="C207" s="235" t="s">
        <v>19677</v>
      </c>
      <c r="D207" s="236" t="s">
        <v>15371</v>
      </c>
      <c r="E207" s="15">
        <v>3196.9</v>
      </c>
      <c r="F207" s="237" t="s">
        <v>19690</v>
      </c>
      <c r="G207" s="241">
        <f>1000+2196.9</f>
        <v>3196.9</v>
      </c>
      <c r="H207" s="241">
        <f t="shared" si="3"/>
        <v>0</v>
      </c>
      <c r="I207" s="236" t="s">
        <v>19682</v>
      </c>
    </row>
    <row r="208" spans="1:9" x14ac:dyDescent="0.25">
      <c r="A208" s="36">
        <v>42888</v>
      </c>
      <c r="B208" s="18">
        <v>114309</v>
      </c>
      <c r="C208" s="235" t="s">
        <v>19677</v>
      </c>
      <c r="D208" s="236" t="s">
        <v>15562</v>
      </c>
      <c r="E208" s="15">
        <v>377.2</v>
      </c>
      <c r="F208" s="237">
        <v>42888</v>
      </c>
      <c r="G208" s="15">
        <v>377.2</v>
      </c>
      <c r="H208" s="15">
        <f t="shared" si="3"/>
        <v>0</v>
      </c>
      <c r="I208" s="236" t="s">
        <v>19682</v>
      </c>
    </row>
    <row r="209" spans="1:9" x14ac:dyDescent="0.25">
      <c r="A209" s="242">
        <v>42888</v>
      </c>
      <c r="B209" s="18">
        <v>114310</v>
      </c>
      <c r="C209" s="235" t="s">
        <v>19677</v>
      </c>
      <c r="D209" s="236" t="s">
        <v>15861</v>
      </c>
      <c r="E209" s="15">
        <v>2907.9</v>
      </c>
      <c r="F209" s="237">
        <v>42888</v>
      </c>
      <c r="G209" s="15">
        <v>2907.9</v>
      </c>
      <c r="H209" s="15">
        <f t="shared" si="3"/>
        <v>0</v>
      </c>
      <c r="I209" s="236" t="s">
        <v>19682</v>
      </c>
    </row>
    <row r="210" spans="1:9" x14ac:dyDescent="0.25">
      <c r="A210" s="36">
        <v>42888</v>
      </c>
      <c r="B210" s="18">
        <v>114311</v>
      </c>
      <c r="C210" s="235" t="s">
        <v>19677</v>
      </c>
      <c r="D210" s="236" t="s">
        <v>15332</v>
      </c>
      <c r="E210" s="15">
        <v>5398.6</v>
      </c>
      <c r="F210" s="237">
        <v>42888</v>
      </c>
      <c r="G210" s="15">
        <v>5398.6</v>
      </c>
      <c r="H210" s="15">
        <f t="shared" si="3"/>
        <v>0</v>
      </c>
      <c r="I210" s="236" t="s">
        <v>19682</v>
      </c>
    </row>
    <row r="211" spans="1:9" x14ac:dyDescent="0.25">
      <c r="A211" s="242">
        <v>42888</v>
      </c>
      <c r="B211" s="18">
        <v>114312</v>
      </c>
      <c r="C211" s="235" t="s">
        <v>19677</v>
      </c>
      <c r="D211" s="236" t="s">
        <v>15280</v>
      </c>
      <c r="E211" s="15">
        <v>8852.4</v>
      </c>
      <c r="F211" s="237">
        <v>42888</v>
      </c>
      <c r="G211" s="15">
        <v>8852.4</v>
      </c>
      <c r="H211" s="15">
        <f t="shared" si="3"/>
        <v>0</v>
      </c>
      <c r="I211" s="236" t="s">
        <v>19682</v>
      </c>
    </row>
    <row r="212" spans="1:9" x14ac:dyDescent="0.25">
      <c r="A212" s="36">
        <v>42888</v>
      </c>
      <c r="B212" s="18">
        <v>114313</v>
      </c>
      <c r="C212" s="235" t="s">
        <v>19677</v>
      </c>
      <c r="D212" s="236" t="s">
        <v>15568</v>
      </c>
      <c r="E212" s="15">
        <v>18105.5</v>
      </c>
      <c r="F212" s="237">
        <v>42888</v>
      </c>
      <c r="G212" s="15">
        <v>18105.5</v>
      </c>
      <c r="H212" s="15">
        <f t="shared" si="3"/>
        <v>0</v>
      </c>
      <c r="I212" s="236" t="s">
        <v>19682</v>
      </c>
    </row>
    <row r="213" spans="1:9" x14ac:dyDescent="0.25">
      <c r="A213" s="242">
        <v>42888</v>
      </c>
      <c r="B213" s="18">
        <v>114314</v>
      </c>
      <c r="C213" s="235" t="s">
        <v>19677</v>
      </c>
      <c r="D213" s="236" t="s">
        <v>15246</v>
      </c>
      <c r="E213" s="15">
        <v>13928.3</v>
      </c>
      <c r="F213" s="237">
        <v>42891</v>
      </c>
      <c r="G213" s="15">
        <v>13928.3</v>
      </c>
      <c r="H213" s="15">
        <f t="shared" si="3"/>
        <v>0</v>
      </c>
      <c r="I213" s="236" t="s">
        <v>19682</v>
      </c>
    </row>
    <row r="214" spans="1:9" x14ac:dyDescent="0.25">
      <c r="A214" s="36">
        <v>42888</v>
      </c>
      <c r="B214" s="18">
        <v>114315</v>
      </c>
      <c r="C214" s="235" t="s">
        <v>19677</v>
      </c>
      <c r="D214" s="236" t="s">
        <v>15294</v>
      </c>
      <c r="E214" s="15">
        <v>1142</v>
      </c>
      <c r="F214" s="237">
        <v>42888</v>
      </c>
      <c r="G214" s="15">
        <v>1142</v>
      </c>
      <c r="H214" s="15">
        <f t="shared" si="3"/>
        <v>0</v>
      </c>
      <c r="I214" s="236" t="s">
        <v>19682</v>
      </c>
    </row>
    <row r="215" spans="1:9" x14ac:dyDescent="0.25">
      <c r="A215" s="242">
        <v>42888</v>
      </c>
      <c r="B215" s="18">
        <v>114316</v>
      </c>
      <c r="C215" s="235" t="s">
        <v>19677</v>
      </c>
      <c r="D215" s="236" t="s">
        <v>15810</v>
      </c>
      <c r="E215" s="15">
        <v>688.9</v>
      </c>
      <c r="F215" s="237">
        <v>42888</v>
      </c>
      <c r="G215" s="15">
        <v>688.9</v>
      </c>
      <c r="H215" s="15">
        <f t="shared" si="3"/>
        <v>0</v>
      </c>
      <c r="I215" s="236" t="s">
        <v>19682</v>
      </c>
    </row>
    <row r="216" spans="1:9" x14ac:dyDescent="0.25">
      <c r="A216" s="36">
        <v>42888</v>
      </c>
      <c r="B216" s="18">
        <v>114317</v>
      </c>
      <c r="C216" s="235" t="s">
        <v>19677</v>
      </c>
      <c r="D216" s="236" t="s">
        <v>15858</v>
      </c>
      <c r="E216" s="15">
        <v>2070.2399999999998</v>
      </c>
      <c r="F216" s="237">
        <v>42888</v>
      </c>
      <c r="G216" s="15">
        <v>2070.2399999999998</v>
      </c>
      <c r="H216" s="15">
        <f t="shared" si="3"/>
        <v>0</v>
      </c>
      <c r="I216" s="236" t="s">
        <v>19682</v>
      </c>
    </row>
    <row r="217" spans="1:9" x14ac:dyDescent="0.25">
      <c r="A217" s="242">
        <v>42888</v>
      </c>
      <c r="B217" s="18">
        <v>114318</v>
      </c>
      <c r="C217" s="235" t="s">
        <v>19677</v>
      </c>
      <c r="D217" s="236" t="s">
        <v>18544</v>
      </c>
      <c r="E217" s="15">
        <v>612</v>
      </c>
      <c r="F217" s="237">
        <v>42888</v>
      </c>
      <c r="G217" s="15">
        <v>612</v>
      </c>
      <c r="H217" s="15">
        <f t="shared" si="3"/>
        <v>0</v>
      </c>
      <c r="I217" s="236" t="s">
        <v>19682</v>
      </c>
    </row>
    <row r="218" spans="1:9" x14ac:dyDescent="0.25">
      <c r="A218" s="36">
        <v>42888</v>
      </c>
      <c r="B218" s="18">
        <v>114319</v>
      </c>
      <c r="C218" s="235" t="s">
        <v>19677</v>
      </c>
      <c r="D218" s="236" t="s">
        <v>15861</v>
      </c>
      <c r="E218" s="15">
        <v>155</v>
      </c>
      <c r="F218" s="237">
        <v>42888</v>
      </c>
      <c r="G218" s="15">
        <v>155</v>
      </c>
      <c r="H218" s="15">
        <f t="shared" si="3"/>
        <v>0</v>
      </c>
      <c r="I218" s="236" t="s">
        <v>19682</v>
      </c>
    </row>
    <row r="219" spans="1:9" x14ac:dyDescent="0.25">
      <c r="A219" s="242">
        <v>42888</v>
      </c>
      <c r="B219" s="18">
        <v>114320</v>
      </c>
      <c r="C219" s="235" t="s">
        <v>19677</v>
      </c>
      <c r="D219" s="236" t="s">
        <v>15340</v>
      </c>
      <c r="E219" s="15">
        <v>3279.9</v>
      </c>
      <c r="F219" s="237">
        <v>42888</v>
      </c>
      <c r="G219" s="15">
        <v>3279.9</v>
      </c>
      <c r="H219" s="15">
        <f t="shared" si="3"/>
        <v>0</v>
      </c>
      <c r="I219" s="236" t="s">
        <v>19682</v>
      </c>
    </row>
    <row r="220" spans="1:9" x14ac:dyDescent="0.25">
      <c r="A220" s="36">
        <v>42888</v>
      </c>
      <c r="B220" s="18">
        <v>114321</v>
      </c>
      <c r="C220" s="235" t="s">
        <v>19677</v>
      </c>
      <c r="D220" s="236" t="s">
        <v>16171</v>
      </c>
      <c r="E220" s="15">
        <v>282.8</v>
      </c>
      <c r="F220" s="237">
        <v>42888</v>
      </c>
      <c r="G220" s="15">
        <v>282.8</v>
      </c>
      <c r="H220" s="15">
        <f t="shared" si="3"/>
        <v>0</v>
      </c>
      <c r="I220" s="236" t="s">
        <v>19682</v>
      </c>
    </row>
    <row r="221" spans="1:9" x14ac:dyDescent="0.25">
      <c r="A221" s="242">
        <v>42888</v>
      </c>
      <c r="B221" s="18">
        <v>114322</v>
      </c>
      <c r="C221" s="235" t="s">
        <v>19677</v>
      </c>
      <c r="D221" s="236" t="s">
        <v>15553</v>
      </c>
      <c r="E221" s="15">
        <v>2056.5</v>
      </c>
      <c r="F221" s="237">
        <v>42888</v>
      </c>
      <c r="G221" s="15">
        <v>2056.5</v>
      </c>
      <c r="H221" s="15">
        <f t="shared" si="3"/>
        <v>0</v>
      </c>
      <c r="I221" s="236" t="s">
        <v>19682</v>
      </c>
    </row>
    <row r="222" spans="1:9" x14ac:dyDescent="0.25">
      <c r="A222" s="36">
        <v>42888</v>
      </c>
      <c r="B222" s="18">
        <v>114323</v>
      </c>
      <c r="C222" s="235" t="s">
        <v>19677</v>
      </c>
      <c r="D222" s="236" t="s">
        <v>15642</v>
      </c>
      <c r="E222" s="15">
        <v>1509.2</v>
      </c>
      <c r="F222" s="237">
        <v>42888</v>
      </c>
      <c r="G222" s="15">
        <v>1509.2</v>
      </c>
      <c r="H222" s="15">
        <f t="shared" si="3"/>
        <v>0</v>
      </c>
      <c r="I222" s="236" t="s">
        <v>19682</v>
      </c>
    </row>
    <row r="223" spans="1:9" x14ac:dyDescent="0.25">
      <c r="A223" s="242">
        <v>42888</v>
      </c>
      <c r="B223" s="18">
        <v>114324</v>
      </c>
      <c r="C223" s="235" t="s">
        <v>19677</v>
      </c>
      <c r="D223" s="236" t="s">
        <v>15315</v>
      </c>
      <c r="E223" s="15">
        <v>31853.16</v>
      </c>
      <c r="F223" s="237">
        <v>42893</v>
      </c>
      <c r="G223" s="15">
        <v>31853.16</v>
      </c>
      <c r="H223" s="15">
        <f t="shared" si="3"/>
        <v>0</v>
      </c>
      <c r="I223" s="236" t="s">
        <v>19682</v>
      </c>
    </row>
    <row r="224" spans="1:9" x14ac:dyDescent="0.25">
      <c r="A224" s="36">
        <v>42888</v>
      </c>
      <c r="B224" s="18">
        <v>114325</v>
      </c>
      <c r="C224" s="235" t="s">
        <v>19677</v>
      </c>
      <c r="D224" s="236" t="s">
        <v>15555</v>
      </c>
      <c r="E224" s="15">
        <v>32645.25</v>
      </c>
      <c r="F224" s="237">
        <v>42893</v>
      </c>
      <c r="G224" s="15">
        <v>32645.25</v>
      </c>
      <c r="H224" s="15">
        <f t="shared" si="3"/>
        <v>0</v>
      </c>
      <c r="I224" s="236" t="s">
        <v>19682</v>
      </c>
    </row>
    <row r="225" spans="1:9" x14ac:dyDescent="0.25">
      <c r="A225" s="242">
        <v>42888</v>
      </c>
      <c r="B225" s="18">
        <v>114326</v>
      </c>
      <c r="C225" s="235" t="s">
        <v>19677</v>
      </c>
      <c r="D225" s="236" t="s">
        <v>15537</v>
      </c>
      <c r="E225" s="15">
        <v>20213.599999999999</v>
      </c>
      <c r="F225" s="237">
        <v>42893</v>
      </c>
      <c r="G225" s="15">
        <v>20213.599999999999</v>
      </c>
      <c r="H225" s="15">
        <f t="shared" si="3"/>
        <v>0</v>
      </c>
      <c r="I225" s="236" t="s">
        <v>19682</v>
      </c>
    </row>
    <row r="226" spans="1:9" x14ac:dyDescent="0.25">
      <c r="A226" s="36">
        <v>42888</v>
      </c>
      <c r="B226" s="18">
        <v>114327</v>
      </c>
      <c r="C226" s="235" t="s">
        <v>19677</v>
      </c>
      <c r="D226" s="236" t="s">
        <v>15539</v>
      </c>
      <c r="E226" s="15">
        <v>15740.4</v>
      </c>
      <c r="F226" s="237">
        <v>42893</v>
      </c>
      <c r="G226" s="15">
        <v>15740.4</v>
      </c>
      <c r="H226" s="15">
        <f t="shared" si="3"/>
        <v>0</v>
      </c>
      <c r="I226" s="236" t="s">
        <v>19682</v>
      </c>
    </row>
    <row r="227" spans="1:9" x14ac:dyDescent="0.25">
      <c r="A227" s="242">
        <v>42888</v>
      </c>
      <c r="B227" s="18">
        <v>114328</v>
      </c>
      <c r="C227" s="235" t="s">
        <v>19677</v>
      </c>
      <c r="D227" s="236" t="s">
        <v>15833</v>
      </c>
      <c r="E227" s="15">
        <v>2039.4</v>
      </c>
      <c r="F227" s="237">
        <v>42893</v>
      </c>
      <c r="G227" s="15">
        <v>2039.4</v>
      </c>
      <c r="H227" s="15">
        <f t="shared" si="3"/>
        <v>0</v>
      </c>
      <c r="I227" s="236" t="s">
        <v>19682</v>
      </c>
    </row>
    <row r="228" spans="1:9" x14ac:dyDescent="0.25">
      <c r="A228" s="36">
        <v>42888</v>
      </c>
      <c r="B228" s="18">
        <v>114329</v>
      </c>
      <c r="C228" s="235" t="s">
        <v>19677</v>
      </c>
      <c r="D228" s="236" t="s">
        <v>15557</v>
      </c>
      <c r="E228" s="15">
        <v>22631.1</v>
      </c>
      <c r="F228" s="237">
        <v>42900</v>
      </c>
      <c r="G228" s="15">
        <v>22631.1</v>
      </c>
      <c r="H228" s="15">
        <f t="shared" si="3"/>
        <v>0</v>
      </c>
      <c r="I228" s="236" t="s">
        <v>19682</v>
      </c>
    </row>
    <row r="229" spans="1:9" x14ac:dyDescent="0.25">
      <c r="A229" s="242">
        <v>42888</v>
      </c>
      <c r="B229" s="18">
        <v>114330</v>
      </c>
      <c r="C229" s="235" t="s">
        <v>19677</v>
      </c>
      <c r="D229" s="236" t="s">
        <v>16040</v>
      </c>
      <c r="E229" s="15">
        <v>3581</v>
      </c>
      <c r="F229" s="237">
        <v>42893</v>
      </c>
      <c r="G229" s="15">
        <v>3581</v>
      </c>
      <c r="H229" s="15">
        <f t="shared" si="3"/>
        <v>0</v>
      </c>
      <c r="I229" s="236" t="s">
        <v>19682</v>
      </c>
    </row>
    <row r="230" spans="1:9" x14ac:dyDescent="0.25">
      <c r="A230" s="36">
        <v>42888</v>
      </c>
      <c r="B230" s="18">
        <v>114331</v>
      </c>
      <c r="C230" s="235" t="s">
        <v>19677</v>
      </c>
      <c r="D230" s="236" t="s">
        <v>15544</v>
      </c>
      <c r="E230" s="15">
        <v>2690.4</v>
      </c>
      <c r="F230" s="237">
        <v>42893</v>
      </c>
      <c r="G230" s="15">
        <v>2690.4</v>
      </c>
      <c r="H230" s="15">
        <f t="shared" si="3"/>
        <v>0</v>
      </c>
      <c r="I230" s="236" t="s">
        <v>19682</v>
      </c>
    </row>
    <row r="231" spans="1:9" x14ac:dyDescent="0.25">
      <c r="A231" s="242">
        <v>42888</v>
      </c>
      <c r="B231" s="18">
        <v>114332</v>
      </c>
      <c r="C231" s="235" t="s">
        <v>19677</v>
      </c>
      <c r="D231" s="236" t="s">
        <v>15559</v>
      </c>
      <c r="E231" s="15">
        <v>14230.45</v>
      </c>
      <c r="F231" s="237">
        <v>42895</v>
      </c>
      <c r="G231" s="15">
        <v>14230.45</v>
      </c>
      <c r="H231" s="15">
        <f t="shared" si="3"/>
        <v>0</v>
      </c>
      <c r="I231" s="236" t="s">
        <v>19682</v>
      </c>
    </row>
    <row r="232" spans="1:9" x14ac:dyDescent="0.25">
      <c r="A232" s="36">
        <v>42888</v>
      </c>
      <c r="B232" s="18">
        <v>114333</v>
      </c>
      <c r="C232" s="235" t="s">
        <v>19677</v>
      </c>
      <c r="D232" s="236" t="s">
        <v>15276</v>
      </c>
      <c r="E232" s="15">
        <v>4800</v>
      </c>
      <c r="F232" s="237">
        <v>42889</v>
      </c>
      <c r="G232" s="15">
        <v>4800</v>
      </c>
      <c r="H232" s="15">
        <f t="shared" si="3"/>
        <v>0</v>
      </c>
      <c r="I232" s="236" t="s">
        <v>19682</v>
      </c>
    </row>
    <row r="233" spans="1:9" x14ac:dyDescent="0.25">
      <c r="A233" s="242">
        <v>42888</v>
      </c>
      <c r="B233" s="18">
        <v>114334</v>
      </c>
      <c r="C233" s="235" t="s">
        <v>19677</v>
      </c>
      <c r="D233" s="236" t="s">
        <v>15782</v>
      </c>
      <c r="E233" s="15">
        <v>1543.5</v>
      </c>
      <c r="F233" s="237">
        <v>42889</v>
      </c>
      <c r="G233" s="15">
        <v>1543.5</v>
      </c>
      <c r="H233" s="15">
        <f t="shared" si="3"/>
        <v>0</v>
      </c>
      <c r="I233" s="236" t="s">
        <v>19682</v>
      </c>
    </row>
    <row r="234" spans="1:9" x14ac:dyDescent="0.25">
      <c r="A234" s="36">
        <v>42888</v>
      </c>
      <c r="B234" s="18">
        <v>114335</v>
      </c>
      <c r="C234" s="235" t="s">
        <v>19677</v>
      </c>
      <c r="D234" s="236" t="s">
        <v>15417</v>
      </c>
      <c r="E234" s="15">
        <v>4646</v>
      </c>
      <c r="F234" s="237">
        <v>42889</v>
      </c>
      <c r="G234" s="15">
        <v>4646</v>
      </c>
      <c r="H234" s="15">
        <f t="shared" si="3"/>
        <v>0</v>
      </c>
      <c r="I234" s="236" t="s">
        <v>19682</v>
      </c>
    </row>
    <row r="235" spans="1:9" ht="30" x14ac:dyDescent="0.25">
      <c r="A235" s="242">
        <v>42888</v>
      </c>
      <c r="B235" s="18">
        <v>114336</v>
      </c>
      <c r="C235" s="235" t="s">
        <v>19677</v>
      </c>
      <c r="D235" s="236" t="s">
        <v>17708</v>
      </c>
      <c r="E235" s="15">
        <v>2488.6</v>
      </c>
      <c r="F235" s="237" t="s">
        <v>19802</v>
      </c>
      <c r="G235" s="241">
        <f>1000+1488.6</f>
        <v>2488.6</v>
      </c>
      <c r="H235" s="241">
        <f t="shared" si="3"/>
        <v>0</v>
      </c>
      <c r="I235" s="236" t="s">
        <v>19682</v>
      </c>
    </row>
    <row r="236" spans="1:9" x14ac:dyDescent="0.25">
      <c r="A236" s="36">
        <v>42888</v>
      </c>
      <c r="B236" s="18">
        <v>114337</v>
      </c>
      <c r="C236" s="235" t="s">
        <v>19677</v>
      </c>
      <c r="D236" s="236" t="s">
        <v>15311</v>
      </c>
      <c r="E236" s="15">
        <v>3670.98</v>
      </c>
      <c r="F236" s="237">
        <v>42889</v>
      </c>
      <c r="G236" s="15">
        <v>3670.98</v>
      </c>
      <c r="H236" s="15">
        <f t="shared" si="3"/>
        <v>0</v>
      </c>
      <c r="I236" s="236" t="s">
        <v>19682</v>
      </c>
    </row>
    <row r="237" spans="1:9" x14ac:dyDescent="0.25">
      <c r="A237" s="242">
        <v>42888</v>
      </c>
      <c r="B237" s="18">
        <v>114338</v>
      </c>
      <c r="C237" s="235" t="s">
        <v>19677</v>
      </c>
      <c r="D237" s="236" t="s">
        <v>15378</v>
      </c>
      <c r="E237" s="15">
        <v>381.9</v>
      </c>
      <c r="F237" s="237">
        <v>42888</v>
      </c>
      <c r="G237" s="15">
        <v>381.9</v>
      </c>
      <c r="H237" s="15">
        <f t="shared" si="3"/>
        <v>0</v>
      </c>
      <c r="I237" s="236" t="s">
        <v>19682</v>
      </c>
    </row>
    <row r="238" spans="1:9" x14ac:dyDescent="0.25">
      <c r="A238" s="36">
        <v>42888</v>
      </c>
      <c r="B238" s="18">
        <v>114339</v>
      </c>
      <c r="C238" s="235" t="s">
        <v>19677</v>
      </c>
      <c r="D238" s="236" t="s">
        <v>15307</v>
      </c>
      <c r="E238" s="15">
        <v>1489.6</v>
      </c>
      <c r="F238" s="237">
        <v>42889</v>
      </c>
      <c r="G238" s="15">
        <v>1489.6</v>
      </c>
      <c r="H238" s="15">
        <f t="shared" si="3"/>
        <v>0</v>
      </c>
      <c r="I238" s="236" t="s">
        <v>19682</v>
      </c>
    </row>
    <row r="239" spans="1:9" x14ac:dyDescent="0.25">
      <c r="A239" s="242">
        <v>42888</v>
      </c>
      <c r="B239" s="18">
        <v>114340</v>
      </c>
      <c r="C239" s="235" t="s">
        <v>19677</v>
      </c>
      <c r="D239" s="236" t="s">
        <v>15587</v>
      </c>
      <c r="E239" s="15">
        <v>380</v>
      </c>
      <c r="F239" s="237">
        <v>42889</v>
      </c>
      <c r="G239" s="15">
        <v>380</v>
      </c>
      <c r="H239" s="15">
        <f t="shared" si="3"/>
        <v>0</v>
      </c>
      <c r="I239" s="236" t="s">
        <v>19682</v>
      </c>
    </row>
    <row r="240" spans="1:9" x14ac:dyDescent="0.25">
      <c r="A240" s="36">
        <v>42888</v>
      </c>
      <c r="B240" s="18">
        <v>114341</v>
      </c>
      <c r="C240" s="235" t="s">
        <v>19677</v>
      </c>
      <c r="D240" s="236" t="s">
        <v>19691</v>
      </c>
      <c r="E240" s="15">
        <v>5354.08</v>
      </c>
      <c r="F240" s="237">
        <v>42894</v>
      </c>
      <c r="G240" s="15">
        <v>5354.08</v>
      </c>
      <c r="H240" s="15">
        <f t="shared" si="3"/>
        <v>0</v>
      </c>
      <c r="I240" s="236" t="s">
        <v>19682</v>
      </c>
    </row>
    <row r="241" spans="1:9" x14ac:dyDescent="0.25">
      <c r="A241" s="242">
        <v>42888</v>
      </c>
      <c r="B241" s="18">
        <v>114342</v>
      </c>
      <c r="C241" s="235" t="s">
        <v>19677</v>
      </c>
      <c r="D241" s="236" t="s">
        <v>15313</v>
      </c>
      <c r="E241" s="15">
        <v>3187.08</v>
      </c>
      <c r="F241" s="237">
        <v>42891</v>
      </c>
      <c r="G241" s="15">
        <v>3187.08</v>
      </c>
      <c r="H241" s="15">
        <f t="shared" si="3"/>
        <v>0</v>
      </c>
      <c r="I241" s="236" t="s">
        <v>19682</v>
      </c>
    </row>
    <row r="242" spans="1:9" x14ac:dyDescent="0.25">
      <c r="A242" s="36">
        <v>42888</v>
      </c>
      <c r="B242" s="18">
        <v>114343</v>
      </c>
      <c r="C242" s="235" t="s">
        <v>19677</v>
      </c>
      <c r="D242" s="236" t="s">
        <v>15566</v>
      </c>
      <c r="E242" s="15">
        <v>2872</v>
      </c>
      <c r="F242" s="237">
        <v>42888</v>
      </c>
      <c r="G242" s="15">
        <v>2872</v>
      </c>
      <c r="H242" s="15">
        <f t="shared" si="3"/>
        <v>0</v>
      </c>
      <c r="I242" s="236" t="s">
        <v>19682</v>
      </c>
    </row>
    <row r="243" spans="1:9" x14ac:dyDescent="0.25">
      <c r="A243" s="242">
        <v>42888</v>
      </c>
      <c r="B243" s="18">
        <v>114344</v>
      </c>
      <c r="C243" s="235" t="s">
        <v>19677</v>
      </c>
      <c r="D243" s="236" t="s">
        <v>15305</v>
      </c>
      <c r="E243" s="15">
        <v>1094.4000000000001</v>
      </c>
      <c r="F243" s="237">
        <v>42889</v>
      </c>
      <c r="G243" s="15">
        <v>1094.4000000000001</v>
      </c>
      <c r="H243" s="15">
        <f t="shared" si="3"/>
        <v>0</v>
      </c>
      <c r="I243" s="236" t="s">
        <v>19682</v>
      </c>
    </row>
    <row r="244" spans="1:9" x14ac:dyDescent="0.25">
      <c r="A244" s="36">
        <v>42888</v>
      </c>
      <c r="B244" s="18">
        <v>114345</v>
      </c>
      <c r="C244" s="235" t="s">
        <v>19677</v>
      </c>
      <c r="D244" s="236" t="s">
        <v>15665</v>
      </c>
      <c r="E244" s="15">
        <v>210.8</v>
      </c>
      <c r="F244" s="237">
        <v>42888</v>
      </c>
      <c r="G244" s="15">
        <v>210.8</v>
      </c>
      <c r="H244" s="15">
        <f t="shared" si="3"/>
        <v>0</v>
      </c>
      <c r="I244" s="236" t="s">
        <v>19682</v>
      </c>
    </row>
    <row r="245" spans="1:9" x14ac:dyDescent="0.25">
      <c r="A245" s="242">
        <v>42888</v>
      </c>
      <c r="B245" s="18">
        <v>114346</v>
      </c>
      <c r="C245" s="235" t="s">
        <v>19677</v>
      </c>
      <c r="D245" s="236" t="s">
        <v>15301</v>
      </c>
      <c r="E245" s="15">
        <v>3491.5</v>
      </c>
      <c r="F245" s="237">
        <v>42889</v>
      </c>
      <c r="G245" s="15">
        <v>3491.5</v>
      </c>
      <c r="H245" s="15">
        <f t="shared" si="3"/>
        <v>0</v>
      </c>
      <c r="I245" s="236" t="s">
        <v>19682</v>
      </c>
    </row>
    <row r="246" spans="1:9" x14ac:dyDescent="0.25">
      <c r="A246" s="36">
        <v>42888</v>
      </c>
      <c r="B246" s="18">
        <v>114347</v>
      </c>
      <c r="C246" s="235" t="s">
        <v>19677</v>
      </c>
      <c r="D246" s="236" t="s">
        <v>15226</v>
      </c>
      <c r="E246" s="15">
        <v>1875.3</v>
      </c>
      <c r="F246" s="237">
        <v>42892</v>
      </c>
      <c r="G246" s="15">
        <v>1875.3</v>
      </c>
      <c r="H246" s="15">
        <f t="shared" si="3"/>
        <v>0</v>
      </c>
      <c r="I246" s="236" t="s">
        <v>19682</v>
      </c>
    </row>
    <row r="247" spans="1:9" x14ac:dyDescent="0.25">
      <c r="A247" s="242">
        <v>42888</v>
      </c>
      <c r="B247" s="18">
        <v>114348</v>
      </c>
      <c r="C247" s="235" t="s">
        <v>19677</v>
      </c>
      <c r="D247" s="236" t="s">
        <v>16064</v>
      </c>
      <c r="E247" s="15">
        <v>4133.1000000000004</v>
      </c>
      <c r="F247" s="237">
        <v>42889</v>
      </c>
      <c r="G247" s="15">
        <v>4133.1000000000004</v>
      </c>
      <c r="H247" s="15">
        <f t="shared" si="3"/>
        <v>0</v>
      </c>
      <c r="I247" s="236" t="s">
        <v>19682</v>
      </c>
    </row>
    <row r="248" spans="1:9" x14ac:dyDescent="0.25">
      <c r="A248" s="36">
        <v>42888</v>
      </c>
      <c r="B248" s="18">
        <v>114349</v>
      </c>
      <c r="C248" s="235" t="s">
        <v>19677</v>
      </c>
      <c r="D248" s="236" t="s">
        <v>15309</v>
      </c>
      <c r="E248" s="15">
        <v>17970.2</v>
      </c>
      <c r="F248" s="237">
        <v>42889</v>
      </c>
      <c r="G248" s="15">
        <v>17970.2</v>
      </c>
      <c r="H248" s="15">
        <f t="shared" si="3"/>
        <v>0</v>
      </c>
      <c r="I248" s="236" t="s">
        <v>19682</v>
      </c>
    </row>
    <row r="249" spans="1:9" x14ac:dyDescent="0.25">
      <c r="A249" s="242">
        <v>42888</v>
      </c>
      <c r="B249" s="18">
        <v>114350</v>
      </c>
      <c r="C249" s="235" t="s">
        <v>19677</v>
      </c>
      <c r="D249" s="236" t="s">
        <v>15291</v>
      </c>
      <c r="E249" s="15">
        <v>1200</v>
      </c>
      <c r="F249" s="237">
        <v>42889</v>
      </c>
      <c r="G249" s="15">
        <v>1200</v>
      </c>
      <c r="H249" s="15">
        <f t="shared" si="3"/>
        <v>0</v>
      </c>
      <c r="I249" s="236" t="s">
        <v>19682</v>
      </c>
    </row>
    <row r="250" spans="1:9" x14ac:dyDescent="0.25">
      <c r="A250" s="36">
        <v>42888</v>
      </c>
      <c r="B250" s="18">
        <v>114351</v>
      </c>
      <c r="C250" s="235" t="s">
        <v>19677</v>
      </c>
      <c r="D250" s="236" t="s">
        <v>15398</v>
      </c>
      <c r="E250" s="15">
        <v>2572.5</v>
      </c>
      <c r="F250" s="237">
        <v>42888</v>
      </c>
      <c r="G250" s="15">
        <v>2572.5</v>
      </c>
      <c r="H250" s="15">
        <f t="shared" si="3"/>
        <v>0</v>
      </c>
      <c r="I250" s="236" t="s">
        <v>19682</v>
      </c>
    </row>
    <row r="251" spans="1:9" x14ac:dyDescent="0.25">
      <c r="A251" s="242">
        <v>42888</v>
      </c>
      <c r="B251" s="18">
        <v>114352</v>
      </c>
      <c r="C251" s="235" t="s">
        <v>19677</v>
      </c>
      <c r="D251" s="236" t="s">
        <v>15346</v>
      </c>
      <c r="E251" s="15">
        <v>3168</v>
      </c>
      <c r="F251" s="237">
        <v>42889</v>
      </c>
      <c r="G251" s="15">
        <v>3168</v>
      </c>
      <c r="H251" s="15">
        <f t="shared" si="3"/>
        <v>0</v>
      </c>
      <c r="I251" s="236" t="s">
        <v>19682</v>
      </c>
    </row>
    <row r="252" spans="1:9" x14ac:dyDescent="0.25">
      <c r="A252" s="36">
        <v>42888</v>
      </c>
      <c r="B252" s="18">
        <v>114353</v>
      </c>
      <c r="C252" s="235" t="s">
        <v>19677</v>
      </c>
      <c r="D252" s="236" t="s">
        <v>15632</v>
      </c>
      <c r="E252" s="15">
        <v>1968.6</v>
      </c>
      <c r="F252" s="237">
        <v>42888</v>
      </c>
      <c r="G252" s="15">
        <v>1968.6</v>
      </c>
      <c r="H252" s="15">
        <f t="shared" si="3"/>
        <v>0</v>
      </c>
      <c r="I252" s="236" t="s">
        <v>19682</v>
      </c>
    </row>
    <row r="253" spans="1:9" x14ac:dyDescent="0.25">
      <c r="A253" s="242">
        <v>42888</v>
      </c>
      <c r="B253" s="18">
        <v>114354</v>
      </c>
      <c r="C253" s="235" t="s">
        <v>19677</v>
      </c>
      <c r="D253" s="236" t="s">
        <v>16229</v>
      </c>
      <c r="E253" s="15">
        <v>3166.92</v>
      </c>
      <c r="F253" s="237">
        <v>42889</v>
      </c>
      <c r="G253" s="15">
        <v>3166.92</v>
      </c>
      <c r="H253" s="15">
        <f t="shared" si="3"/>
        <v>0</v>
      </c>
      <c r="I253" s="236" t="s">
        <v>19682</v>
      </c>
    </row>
    <row r="254" spans="1:9" x14ac:dyDescent="0.25">
      <c r="A254" s="36">
        <v>42888</v>
      </c>
      <c r="B254" s="18">
        <v>114355</v>
      </c>
      <c r="C254" s="235" t="s">
        <v>19677</v>
      </c>
      <c r="D254" s="236" t="s">
        <v>16108</v>
      </c>
      <c r="E254" s="15">
        <v>4420.6000000000004</v>
      </c>
      <c r="F254" s="237">
        <v>42888</v>
      </c>
      <c r="G254" s="15">
        <v>4420.6000000000004</v>
      </c>
      <c r="H254" s="15">
        <f t="shared" si="3"/>
        <v>0</v>
      </c>
      <c r="I254" s="236" t="s">
        <v>19682</v>
      </c>
    </row>
    <row r="255" spans="1:9" x14ac:dyDescent="0.25">
      <c r="A255" s="242">
        <v>42888</v>
      </c>
      <c r="B255" s="18">
        <v>114356</v>
      </c>
      <c r="C255" s="235" t="s">
        <v>19677</v>
      </c>
      <c r="D255" s="236" t="s">
        <v>15315</v>
      </c>
      <c r="E255" s="15">
        <v>447.2</v>
      </c>
      <c r="F255" s="237">
        <v>42888</v>
      </c>
      <c r="G255" s="15">
        <v>447.2</v>
      </c>
      <c r="H255" s="15">
        <f t="shared" si="3"/>
        <v>0</v>
      </c>
      <c r="I255" s="236" t="s">
        <v>19682</v>
      </c>
    </row>
    <row r="256" spans="1:9" x14ac:dyDescent="0.25">
      <c r="A256" s="36">
        <v>42888</v>
      </c>
      <c r="B256" s="18">
        <v>114357</v>
      </c>
      <c r="C256" s="235" t="s">
        <v>19677</v>
      </c>
      <c r="D256" s="236" t="s">
        <v>15365</v>
      </c>
      <c r="E256" s="15">
        <v>10831.24</v>
      </c>
      <c r="F256" s="237">
        <v>42895</v>
      </c>
      <c r="G256" s="15">
        <v>10831.24</v>
      </c>
      <c r="H256" s="15">
        <f t="shared" si="3"/>
        <v>0</v>
      </c>
      <c r="I256" s="236" t="s">
        <v>19682</v>
      </c>
    </row>
    <row r="257" spans="1:9" x14ac:dyDescent="0.25">
      <c r="A257" s="242">
        <v>42888</v>
      </c>
      <c r="B257" s="18">
        <v>114358</v>
      </c>
      <c r="C257" s="235" t="s">
        <v>19677</v>
      </c>
      <c r="D257" s="236" t="s">
        <v>15315</v>
      </c>
      <c r="E257" s="15">
        <v>2543.1999999999998</v>
      </c>
      <c r="F257" s="237">
        <v>42888</v>
      </c>
      <c r="G257" s="15">
        <v>2543.1999999999998</v>
      </c>
      <c r="H257" s="15">
        <f t="shared" si="3"/>
        <v>0</v>
      </c>
      <c r="I257" s="236" t="s">
        <v>19682</v>
      </c>
    </row>
    <row r="258" spans="1:9" x14ac:dyDescent="0.25">
      <c r="A258" s="36">
        <v>42888</v>
      </c>
      <c r="B258" s="18">
        <v>114359</v>
      </c>
      <c r="C258" s="235" t="s">
        <v>19677</v>
      </c>
      <c r="D258" s="236" t="s">
        <v>17462</v>
      </c>
      <c r="E258" s="15">
        <v>2837.1</v>
      </c>
      <c r="F258" s="237">
        <v>42888</v>
      </c>
      <c r="G258" s="15">
        <v>2837.1</v>
      </c>
      <c r="H258" s="15">
        <f t="shared" ref="H258:H321" si="4">E258-G258</f>
        <v>0</v>
      </c>
      <c r="I258" s="236" t="s">
        <v>19682</v>
      </c>
    </row>
    <row r="259" spans="1:9" x14ac:dyDescent="0.25">
      <c r="A259" s="242">
        <v>42888</v>
      </c>
      <c r="B259" s="18">
        <v>114360</v>
      </c>
      <c r="C259" s="235" t="s">
        <v>19677</v>
      </c>
      <c r="D259" s="236" t="s">
        <v>15394</v>
      </c>
      <c r="E259" s="15">
        <v>24458.7</v>
      </c>
      <c r="F259" s="237">
        <v>42894</v>
      </c>
      <c r="G259" s="15">
        <v>24458.7</v>
      </c>
      <c r="H259" s="15">
        <f t="shared" si="4"/>
        <v>0</v>
      </c>
      <c r="I259" s="236" t="s">
        <v>19682</v>
      </c>
    </row>
    <row r="260" spans="1:9" x14ac:dyDescent="0.25">
      <c r="A260" s="36">
        <v>42888</v>
      </c>
      <c r="B260" s="18">
        <v>114361</v>
      </c>
      <c r="C260" s="235" t="s">
        <v>19677</v>
      </c>
      <c r="D260" s="236" t="s">
        <v>15263</v>
      </c>
      <c r="E260" s="15">
        <v>1155</v>
      </c>
      <c r="F260" s="237">
        <v>42888</v>
      </c>
      <c r="G260" s="15">
        <v>1155</v>
      </c>
      <c r="H260" s="15">
        <f t="shared" si="4"/>
        <v>0</v>
      </c>
      <c r="I260" s="236" t="s">
        <v>19682</v>
      </c>
    </row>
    <row r="261" spans="1:9" x14ac:dyDescent="0.25">
      <c r="A261" s="242">
        <v>42888</v>
      </c>
      <c r="B261" s="18">
        <v>114362</v>
      </c>
      <c r="C261" s="235" t="s">
        <v>19677</v>
      </c>
      <c r="D261" s="236" t="s">
        <v>15380</v>
      </c>
      <c r="E261" s="15">
        <v>50408.6</v>
      </c>
      <c r="F261" s="237">
        <v>42902</v>
      </c>
      <c r="G261" s="15">
        <v>50408.6</v>
      </c>
      <c r="H261" s="15">
        <f t="shared" si="4"/>
        <v>0</v>
      </c>
      <c r="I261" s="236" t="s">
        <v>19682</v>
      </c>
    </row>
    <row r="262" spans="1:9" x14ac:dyDescent="0.25">
      <c r="A262" s="36">
        <v>42888</v>
      </c>
      <c r="B262" s="18">
        <v>114363</v>
      </c>
      <c r="C262" s="235" t="s">
        <v>19677</v>
      </c>
      <c r="D262" s="236" t="s">
        <v>15213</v>
      </c>
      <c r="E262" s="15">
        <v>9188.4</v>
      </c>
      <c r="F262" s="237">
        <v>42889</v>
      </c>
      <c r="G262" s="15">
        <v>9188.4</v>
      </c>
      <c r="H262" s="15">
        <f t="shared" si="4"/>
        <v>0</v>
      </c>
      <c r="I262" s="236" t="s">
        <v>19682</v>
      </c>
    </row>
    <row r="263" spans="1:9" x14ac:dyDescent="0.25">
      <c r="A263" s="242">
        <v>42888</v>
      </c>
      <c r="B263" s="18">
        <v>114364</v>
      </c>
      <c r="C263" s="235" t="s">
        <v>19677</v>
      </c>
      <c r="D263" s="236" t="s">
        <v>15624</v>
      </c>
      <c r="E263" s="15">
        <v>34454.519999999997</v>
      </c>
      <c r="F263" s="237">
        <v>42889</v>
      </c>
      <c r="G263" s="15">
        <v>34454.519999999997</v>
      </c>
      <c r="H263" s="15">
        <f t="shared" si="4"/>
        <v>0</v>
      </c>
      <c r="I263" s="236" t="s">
        <v>19682</v>
      </c>
    </row>
    <row r="264" spans="1:9" x14ac:dyDescent="0.25">
      <c r="A264" s="36">
        <v>42888</v>
      </c>
      <c r="B264" s="18">
        <v>114365</v>
      </c>
      <c r="C264" s="235" t="s">
        <v>19677</v>
      </c>
      <c r="D264" s="236" t="s">
        <v>15369</v>
      </c>
      <c r="E264" s="15">
        <v>33195.300000000003</v>
      </c>
      <c r="F264" s="237">
        <v>42902</v>
      </c>
      <c r="G264" s="15">
        <v>33195.300000000003</v>
      </c>
      <c r="H264" s="15">
        <f t="shared" si="4"/>
        <v>0</v>
      </c>
      <c r="I264" s="236" t="s">
        <v>19682</v>
      </c>
    </row>
    <row r="265" spans="1:9" x14ac:dyDescent="0.25">
      <c r="A265" s="242">
        <v>42888</v>
      </c>
      <c r="B265" s="18">
        <v>114366</v>
      </c>
      <c r="C265" s="235" t="s">
        <v>19677</v>
      </c>
      <c r="D265" s="236" t="s">
        <v>15330</v>
      </c>
      <c r="E265" s="15">
        <v>2117.8000000000002</v>
      </c>
      <c r="F265" s="237">
        <v>42889</v>
      </c>
      <c r="G265" s="15">
        <v>2117.8000000000002</v>
      </c>
      <c r="H265" s="15">
        <f t="shared" si="4"/>
        <v>0</v>
      </c>
      <c r="I265" s="236" t="s">
        <v>19682</v>
      </c>
    </row>
    <row r="266" spans="1:9" x14ac:dyDescent="0.25">
      <c r="A266" s="36">
        <v>42888</v>
      </c>
      <c r="B266" s="18">
        <v>114367</v>
      </c>
      <c r="C266" s="235" t="s">
        <v>19677</v>
      </c>
      <c r="D266" s="236" t="s">
        <v>15681</v>
      </c>
      <c r="E266" s="15">
        <v>1972.2</v>
      </c>
      <c r="F266" s="237">
        <v>42888</v>
      </c>
      <c r="G266" s="15">
        <v>1972.2</v>
      </c>
      <c r="H266" s="15">
        <f t="shared" si="4"/>
        <v>0</v>
      </c>
      <c r="I266" s="236" t="s">
        <v>19682</v>
      </c>
    </row>
    <row r="267" spans="1:9" x14ac:dyDescent="0.25">
      <c r="A267" s="242">
        <v>42888</v>
      </c>
      <c r="B267" s="18">
        <v>114368</v>
      </c>
      <c r="C267" s="235" t="s">
        <v>19677</v>
      </c>
      <c r="D267" s="236" t="s">
        <v>15433</v>
      </c>
      <c r="E267" s="15">
        <v>2365.9</v>
      </c>
      <c r="F267" s="237">
        <v>42888</v>
      </c>
      <c r="G267" s="15">
        <v>2365.9</v>
      </c>
      <c r="H267" s="15">
        <f t="shared" si="4"/>
        <v>0</v>
      </c>
      <c r="I267" s="236" t="s">
        <v>19682</v>
      </c>
    </row>
    <row r="268" spans="1:9" x14ac:dyDescent="0.25">
      <c r="A268" s="36">
        <v>42888</v>
      </c>
      <c r="B268" s="18">
        <v>114369</v>
      </c>
      <c r="C268" s="235" t="s">
        <v>19677</v>
      </c>
      <c r="D268" s="236" t="s">
        <v>15389</v>
      </c>
      <c r="E268" s="15">
        <v>23130.799999999999</v>
      </c>
      <c r="F268" s="237">
        <v>42905</v>
      </c>
      <c r="G268" s="14">
        <v>22919.200000000001</v>
      </c>
      <c r="H268" s="14">
        <f t="shared" si="4"/>
        <v>211.59999999999854</v>
      </c>
      <c r="I268" s="236" t="s">
        <v>19692</v>
      </c>
    </row>
    <row r="269" spans="1:9" x14ac:dyDescent="0.25">
      <c r="A269" s="242">
        <v>42888</v>
      </c>
      <c r="B269" s="18">
        <v>114370</v>
      </c>
      <c r="C269" s="235" t="s">
        <v>19677</v>
      </c>
      <c r="D269" s="236" t="s">
        <v>15373</v>
      </c>
      <c r="E269" s="15">
        <v>21345.599999999999</v>
      </c>
      <c r="F269" s="237">
        <v>42889</v>
      </c>
      <c r="G269" s="15">
        <v>21345.599999999999</v>
      </c>
      <c r="H269" s="15">
        <f t="shared" si="4"/>
        <v>0</v>
      </c>
      <c r="I269" s="236" t="s">
        <v>19682</v>
      </c>
    </row>
    <row r="270" spans="1:9" x14ac:dyDescent="0.25">
      <c r="A270" s="36">
        <v>42888</v>
      </c>
      <c r="B270" s="18">
        <v>114371</v>
      </c>
      <c r="C270" s="235" t="s">
        <v>19677</v>
      </c>
      <c r="D270" s="236" t="s">
        <v>15632</v>
      </c>
      <c r="E270" s="15">
        <v>1550.4</v>
      </c>
      <c r="F270" s="237">
        <v>42888</v>
      </c>
      <c r="G270" s="15">
        <v>1550.4</v>
      </c>
      <c r="H270" s="15">
        <f t="shared" si="4"/>
        <v>0</v>
      </c>
      <c r="I270" s="236" t="s">
        <v>19682</v>
      </c>
    </row>
    <row r="271" spans="1:9" x14ac:dyDescent="0.25">
      <c r="A271" s="242">
        <v>42888</v>
      </c>
      <c r="B271" s="18">
        <v>114372</v>
      </c>
      <c r="C271" s="235" t="s">
        <v>19677</v>
      </c>
      <c r="D271" s="236" t="s">
        <v>15382</v>
      </c>
      <c r="E271" s="15">
        <v>9542</v>
      </c>
      <c r="F271" s="237">
        <v>42902</v>
      </c>
      <c r="G271" s="15">
        <v>9542</v>
      </c>
      <c r="H271" s="15">
        <f t="shared" si="4"/>
        <v>0</v>
      </c>
      <c r="I271" s="236" t="s">
        <v>19682</v>
      </c>
    </row>
    <row r="272" spans="1:9" x14ac:dyDescent="0.25">
      <c r="A272" s="36">
        <v>42888</v>
      </c>
      <c r="B272" s="18">
        <v>114373</v>
      </c>
      <c r="C272" s="235" t="s">
        <v>19677</v>
      </c>
      <c r="D272" s="236" t="s">
        <v>15367</v>
      </c>
      <c r="E272" s="15">
        <v>7160</v>
      </c>
      <c r="F272" s="237">
        <v>42889</v>
      </c>
      <c r="G272" s="15">
        <v>7160</v>
      </c>
      <c r="H272" s="15">
        <f t="shared" si="4"/>
        <v>0</v>
      </c>
      <c r="I272" s="236" t="s">
        <v>19682</v>
      </c>
    </row>
    <row r="273" spans="1:9" x14ac:dyDescent="0.25">
      <c r="A273" s="242">
        <v>42888</v>
      </c>
      <c r="B273" s="18">
        <v>114374</v>
      </c>
      <c r="C273" s="235" t="s">
        <v>19677</v>
      </c>
      <c r="D273" s="236" t="s">
        <v>15856</v>
      </c>
      <c r="E273" s="15">
        <v>645.6</v>
      </c>
      <c r="F273" s="237">
        <v>42888</v>
      </c>
      <c r="G273" s="15">
        <v>645.6</v>
      </c>
      <c r="H273" s="15">
        <f t="shared" si="4"/>
        <v>0</v>
      </c>
      <c r="I273" s="236" t="s">
        <v>19682</v>
      </c>
    </row>
    <row r="274" spans="1:9" x14ac:dyDescent="0.25">
      <c r="A274" s="36">
        <v>42888</v>
      </c>
      <c r="B274" s="18">
        <v>114375</v>
      </c>
      <c r="C274" s="235" t="s">
        <v>19677</v>
      </c>
      <c r="D274" s="236" t="s">
        <v>15365</v>
      </c>
      <c r="E274" s="15">
        <v>235520</v>
      </c>
      <c r="F274" s="237">
        <v>42895</v>
      </c>
      <c r="G274" s="15">
        <v>235520</v>
      </c>
      <c r="H274" s="15">
        <f t="shared" si="4"/>
        <v>0</v>
      </c>
      <c r="I274" s="236" t="s">
        <v>19682</v>
      </c>
    </row>
    <row r="275" spans="1:9" ht="15.75" x14ac:dyDescent="0.25">
      <c r="A275" s="242">
        <v>42888</v>
      </c>
      <c r="B275" s="18">
        <v>114376</v>
      </c>
      <c r="C275" s="235" t="s">
        <v>19677</v>
      </c>
      <c r="D275" s="239" t="s">
        <v>95</v>
      </c>
      <c r="E275" s="15">
        <v>0</v>
      </c>
      <c r="F275" s="240" t="s">
        <v>95</v>
      </c>
      <c r="G275" s="15">
        <v>0</v>
      </c>
      <c r="H275" s="15">
        <f t="shared" si="4"/>
        <v>0</v>
      </c>
      <c r="I275" s="236" t="s">
        <v>19678</v>
      </c>
    </row>
    <row r="276" spans="1:9" x14ac:dyDescent="0.25">
      <c r="A276" s="36">
        <v>42888</v>
      </c>
      <c r="B276" s="18">
        <v>114377</v>
      </c>
      <c r="C276" s="235" t="s">
        <v>19677</v>
      </c>
      <c r="D276" s="236" t="s">
        <v>15365</v>
      </c>
      <c r="E276" s="15">
        <v>425966</v>
      </c>
      <c r="F276" s="237">
        <v>42895</v>
      </c>
      <c r="G276" s="15">
        <v>425966</v>
      </c>
      <c r="H276" s="15">
        <f t="shared" si="4"/>
        <v>0</v>
      </c>
      <c r="I276" s="236" t="s">
        <v>19682</v>
      </c>
    </row>
    <row r="277" spans="1:9" x14ac:dyDescent="0.25">
      <c r="A277" s="242">
        <v>42888</v>
      </c>
      <c r="B277" s="18">
        <v>114378</v>
      </c>
      <c r="C277" s="235" t="s">
        <v>19677</v>
      </c>
      <c r="D277" s="236" t="s">
        <v>19549</v>
      </c>
      <c r="E277" s="15">
        <v>12874.6</v>
      </c>
      <c r="F277" s="237">
        <v>42889</v>
      </c>
      <c r="G277" s="15">
        <v>12874.6</v>
      </c>
      <c r="H277" s="15">
        <f t="shared" si="4"/>
        <v>0</v>
      </c>
      <c r="I277" s="236" t="s">
        <v>19682</v>
      </c>
    </row>
    <row r="278" spans="1:9" x14ac:dyDescent="0.25">
      <c r="A278" s="36">
        <v>42888</v>
      </c>
      <c r="B278" s="18">
        <v>114379</v>
      </c>
      <c r="C278" s="235" t="s">
        <v>19677</v>
      </c>
      <c r="D278" s="236" t="s">
        <v>15444</v>
      </c>
      <c r="E278" s="15">
        <v>3713.4</v>
      </c>
      <c r="F278" s="237">
        <v>42889</v>
      </c>
      <c r="G278" s="15">
        <v>3713.4</v>
      </c>
      <c r="H278" s="15">
        <f t="shared" si="4"/>
        <v>0</v>
      </c>
      <c r="I278" s="236" t="s">
        <v>19682</v>
      </c>
    </row>
    <row r="279" spans="1:9" x14ac:dyDescent="0.25">
      <c r="A279" s="242">
        <v>42888</v>
      </c>
      <c r="B279" s="18">
        <v>114380</v>
      </c>
      <c r="C279" s="235" t="s">
        <v>19677</v>
      </c>
      <c r="D279" s="236" t="s">
        <v>16958</v>
      </c>
      <c r="E279" s="15">
        <v>2387.6</v>
      </c>
      <c r="F279" s="237">
        <v>42889</v>
      </c>
      <c r="G279" s="15">
        <v>2387.6</v>
      </c>
      <c r="H279" s="15">
        <f t="shared" si="4"/>
        <v>0</v>
      </c>
      <c r="I279" s="236" t="s">
        <v>19682</v>
      </c>
    </row>
    <row r="280" spans="1:9" x14ac:dyDescent="0.25">
      <c r="A280" s="36">
        <v>42888</v>
      </c>
      <c r="B280" s="18">
        <v>114381</v>
      </c>
      <c r="C280" s="235" t="s">
        <v>19677</v>
      </c>
      <c r="D280" s="236" t="s">
        <v>15725</v>
      </c>
      <c r="E280" s="15">
        <v>23986.400000000001</v>
      </c>
      <c r="F280" s="237">
        <v>42889</v>
      </c>
      <c r="G280" s="15">
        <v>23986.400000000001</v>
      </c>
      <c r="H280" s="15">
        <f t="shared" si="4"/>
        <v>0</v>
      </c>
      <c r="I280" s="236" t="s">
        <v>19682</v>
      </c>
    </row>
    <row r="281" spans="1:9" x14ac:dyDescent="0.25">
      <c r="A281" s="242">
        <v>42888</v>
      </c>
      <c r="B281" s="18">
        <v>114382</v>
      </c>
      <c r="C281" s="235" t="s">
        <v>19677</v>
      </c>
      <c r="D281" s="236" t="s">
        <v>15315</v>
      </c>
      <c r="E281" s="15">
        <v>563.79999999999995</v>
      </c>
      <c r="F281" s="237">
        <v>42889</v>
      </c>
      <c r="G281" s="15">
        <v>563.79999999999995</v>
      </c>
      <c r="H281" s="15">
        <f t="shared" si="4"/>
        <v>0</v>
      </c>
      <c r="I281" s="236" t="s">
        <v>19682</v>
      </c>
    </row>
    <row r="282" spans="1:9" x14ac:dyDescent="0.25">
      <c r="A282" s="36">
        <v>42888</v>
      </c>
      <c r="B282" s="18">
        <v>114383</v>
      </c>
      <c r="C282" s="235" t="s">
        <v>19677</v>
      </c>
      <c r="D282" s="236" t="s">
        <v>16048</v>
      </c>
      <c r="E282" s="15">
        <v>5939.7</v>
      </c>
      <c r="F282" s="237">
        <v>42888</v>
      </c>
      <c r="G282" s="15">
        <v>5939.7</v>
      </c>
      <c r="H282" s="15">
        <f t="shared" si="4"/>
        <v>0</v>
      </c>
      <c r="I282" s="236" t="s">
        <v>19682</v>
      </c>
    </row>
    <row r="283" spans="1:9" ht="15.75" x14ac:dyDescent="0.25">
      <c r="A283" s="242">
        <v>42888</v>
      </c>
      <c r="B283" s="18">
        <v>114384</v>
      </c>
      <c r="C283" s="235" t="s">
        <v>19677</v>
      </c>
      <c r="D283" s="239" t="s">
        <v>95</v>
      </c>
      <c r="E283" s="15">
        <v>0</v>
      </c>
      <c r="F283" s="240" t="s">
        <v>95</v>
      </c>
      <c r="G283" s="15">
        <v>0</v>
      </c>
      <c r="H283" s="15">
        <f t="shared" si="4"/>
        <v>0</v>
      </c>
      <c r="I283" s="236" t="s">
        <v>19678</v>
      </c>
    </row>
    <row r="284" spans="1:9" x14ac:dyDescent="0.25">
      <c r="A284" s="36">
        <v>42888</v>
      </c>
      <c r="B284" s="18">
        <v>114385</v>
      </c>
      <c r="C284" s="235" t="s">
        <v>19677</v>
      </c>
      <c r="D284" s="236" t="s">
        <v>15541</v>
      </c>
      <c r="E284" s="15">
        <v>1623.8</v>
      </c>
      <c r="F284" s="237">
        <v>42888</v>
      </c>
      <c r="G284" s="15">
        <v>1623.8</v>
      </c>
      <c r="H284" s="15">
        <f t="shared" si="4"/>
        <v>0</v>
      </c>
      <c r="I284" s="236" t="s">
        <v>19682</v>
      </c>
    </row>
    <row r="285" spans="1:9" x14ac:dyDescent="0.25">
      <c r="A285" s="242">
        <v>42888</v>
      </c>
      <c r="B285" s="18">
        <v>114386</v>
      </c>
      <c r="C285" s="235" t="s">
        <v>19677</v>
      </c>
      <c r="D285" s="236" t="s">
        <v>15272</v>
      </c>
      <c r="E285" s="15">
        <v>6755.8</v>
      </c>
      <c r="F285" s="237">
        <v>42888</v>
      </c>
      <c r="G285" s="15">
        <v>6755.8</v>
      </c>
      <c r="H285" s="15">
        <f t="shared" si="4"/>
        <v>0</v>
      </c>
      <c r="I285" s="236" t="s">
        <v>19682</v>
      </c>
    </row>
    <row r="286" spans="1:9" x14ac:dyDescent="0.25">
      <c r="A286" s="36">
        <v>42888</v>
      </c>
      <c r="B286" s="18">
        <v>114387</v>
      </c>
      <c r="C286" s="235" t="s">
        <v>19677</v>
      </c>
      <c r="D286" s="236" t="s">
        <v>15642</v>
      </c>
      <c r="E286" s="15">
        <v>8261.4</v>
      </c>
      <c r="F286" s="237">
        <v>42888</v>
      </c>
      <c r="G286" s="15">
        <v>8261.4</v>
      </c>
      <c r="H286" s="15">
        <f t="shared" si="4"/>
        <v>0</v>
      </c>
      <c r="I286" s="236" t="s">
        <v>19682</v>
      </c>
    </row>
    <row r="287" spans="1:9" ht="30" x14ac:dyDescent="0.25">
      <c r="A287" s="242">
        <v>42888</v>
      </c>
      <c r="B287" s="18">
        <v>114388</v>
      </c>
      <c r="C287" s="235" t="s">
        <v>19677</v>
      </c>
      <c r="D287" s="236" t="s">
        <v>15590</v>
      </c>
      <c r="E287" s="15">
        <v>52871.6</v>
      </c>
      <c r="F287" s="237" t="s">
        <v>19693</v>
      </c>
      <c r="G287" s="241">
        <f>11264.2+41607.4</f>
        <v>52871.600000000006</v>
      </c>
      <c r="H287" s="241">
        <f t="shared" si="4"/>
        <v>0</v>
      </c>
      <c r="I287" s="236" t="s">
        <v>19682</v>
      </c>
    </row>
    <row r="288" spans="1:9" x14ac:dyDescent="0.25">
      <c r="A288" s="36">
        <v>42888</v>
      </c>
      <c r="B288" s="18">
        <v>114389</v>
      </c>
      <c r="C288" s="235" t="s">
        <v>19677</v>
      </c>
      <c r="D288" s="236" t="s">
        <v>15322</v>
      </c>
      <c r="E288" s="15">
        <v>2340</v>
      </c>
      <c r="F288" s="237">
        <v>42888</v>
      </c>
      <c r="G288" s="15">
        <v>2340</v>
      </c>
      <c r="H288" s="15">
        <f t="shared" si="4"/>
        <v>0</v>
      </c>
      <c r="I288" s="236" t="s">
        <v>19682</v>
      </c>
    </row>
    <row r="289" spans="1:9" x14ac:dyDescent="0.25">
      <c r="A289" s="242">
        <v>42888</v>
      </c>
      <c r="B289" s="18">
        <v>114390</v>
      </c>
      <c r="C289" s="235" t="s">
        <v>19677</v>
      </c>
      <c r="D289" s="236" t="s">
        <v>15346</v>
      </c>
      <c r="E289" s="15">
        <v>503.2</v>
      </c>
      <c r="F289" s="237">
        <v>42888</v>
      </c>
      <c r="G289" s="15">
        <v>503.2</v>
      </c>
      <c r="H289" s="15">
        <f t="shared" si="4"/>
        <v>0</v>
      </c>
      <c r="I289" s="236" t="s">
        <v>19682</v>
      </c>
    </row>
    <row r="290" spans="1:9" x14ac:dyDescent="0.25">
      <c r="A290" s="36">
        <v>42888</v>
      </c>
      <c r="B290" s="18">
        <v>114391</v>
      </c>
      <c r="C290" s="235" t="s">
        <v>19677</v>
      </c>
      <c r="D290" s="236" t="s">
        <v>15338</v>
      </c>
      <c r="E290" s="15">
        <v>1982.6</v>
      </c>
      <c r="F290" s="237">
        <v>42888</v>
      </c>
      <c r="G290" s="15">
        <v>1982.6</v>
      </c>
      <c r="H290" s="15">
        <f t="shared" si="4"/>
        <v>0</v>
      </c>
      <c r="I290" s="236" t="s">
        <v>19682</v>
      </c>
    </row>
    <row r="291" spans="1:9" x14ac:dyDescent="0.25">
      <c r="A291" s="242">
        <v>42888</v>
      </c>
      <c r="B291" s="18">
        <v>114392</v>
      </c>
      <c r="C291" s="235" t="s">
        <v>19677</v>
      </c>
      <c r="D291" s="236" t="s">
        <v>15223</v>
      </c>
      <c r="E291" s="15">
        <v>23052.3</v>
      </c>
      <c r="F291" s="237">
        <v>42901</v>
      </c>
      <c r="G291" s="15">
        <v>23052.3</v>
      </c>
      <c r="H291" s="15">
        <f t="shared" si="4"/>
        <v>0</v>
      </c>
      <c r="I291" s="236" t="s">
        <v>19682</v>
      </c>
    </row>
    <row r="292" spans="1:9" x14ac:dyDescent="0.25">
      <c r="A292" s="36">
        <v>42888</v>
      </c>
      <c r="B292" s="18">
        <v>114393</v>
      </c>
      <c r="C292" s="235" t="s">
        <v>19677</v>
      </c>
      <c r="D292" s="236" t="s">
        <v>15284</v>
      </c>
      <c r="E292" s="15">
        <v>1531.2</v>
      </c>
      <c r="F292" s="237">
        <v>42888</v>
      </c>
      <c r="G292" s="15">
        <v>1531.2</v>
      </c>
      <c r="H292" s="15">
        <f t="shared" si="4"/>
        <v>0</v>
      </c>
      <c r="I292" s="236" t="s">
        <v>19682</v>
      </c>
    </row>
    <row r="293" spans="1:9" x14ac:dyDescent="0.25">
      <c r="A293" s="242">
        <v>42888</v>
      </c>
      <c r="B293" s="18">
        <v>114394</v>
      </c>
      <c r="C293" s="235" t="s">
        <v>19677</v>
      </c>
      <c r="D293" s="236" t="s">
        <v>15920</v>
      </c>
      <c r="E293" s="15">
        <v>22102</v>
      </c>
      <c r="F293" s="237">
        <v>42889</v>
      </c>
      <c r="G293" s="15">
        <v>22102</v>
      </c>
      <c r="H293" s="15">
        <f t="shared" si="4"/>
        <v>0</v>
      </c>
      <c r="I293" s="236" t="s">
        <v>19682</v>
      </c>
    </row>
    <row r="294" spans="1:9" x14ac:dyDescent="0.25">
      <c r="A294" s="36">
        <v>42888</v>
      </c>
      <c r="B294" s="18">
        <v>114395</v>
      </c>
      <c r="C294" s="235" t="s">
        <v>19677</v>
      </c>
      <c r="D294" s="236" t="s">
        <v>16463</v>
      </c>
      <c r="E294" s="15">
        <v>9787.2000000000007</v>
      </c>
      <c r="F294" s="237">
        <v>42889</v>
      </c>
      <c r="G294" s="15">
        <v>9787.2000000000007</v>
      </c>
      <c r="H294" s="15">
        <f t="shared" si="4"/>
        <v>0</v>
      </c>
      <c r="I294" s="236" t="s">
        <v>19682</v>
      </c>
    </row>
    <row r="295" spans="1:9" ht="15.75" x14ac:dyDescent="0.25">
      <c r="A295" s="242">
        <v>42888</v>
      </c>
      <c r="B295" s="18">
        <v>114396</v>
      </c>
      <c r="C295" s="235" t="s">
        <v>19677</v>
      </c>
      <c r="D295" s="239" t="s">
        <v>95</v>
      </c>
      <c r="E295" s="15">
        <v>0</v>
      </c>
      <c r="F295" s="243" t="s">
        <v>95</v>
      </c>
      <c r="G295" s="15">
        <v>0</v>
      </c>
      <c r="H295" s="15">
        <f t="shared" si="4"/>
        <v>0</v>
      </c>
      <c r="I295" s="236" t="s">
        <v>19678</v>
      </c>
    </row>
    <row r="296" spans="1:9" x14ac:dyDescent="0.25">
      <c r="A296" s="36">
        <v>42888</v>
      </c>
      <c r="B296" s="18">
        <v>114397</v>
      </c>
      <c r="C296" s="235" t="s">
        <v>19677</v>
      </c>
      <c r="D296" s="236" t="s">
        <v>16129</v>
      </c>
      <c r="E296" s="15">
        <v>5048.8</v>
      </c>
      <c r="F296" s="237">
        <v>42895</v>
      </c>
      <c r="G296" s="15">
        <v>5048.8</v>
      </c>
      <c r="H296" s="15">
        <f t="shared" si="4"/>
        <v>0</v>
      </c>
      <c r="I296" s="236" t="s">
        <v>19682</v>
      </c>
    </row>
    <row r="297" spans="1:9" x14ac:dyDescent="0.25">
      <c r="A297" s="242">
        <v>42888</v>
      </c>
      <c r="B297" s="18">
        <v>114398</v>
      </c>
      <c r="C297" s="235" t="s">
        <v>19677</v>
      </c>
      <c r="D297" s="236" t="s">
        <v>15220</v>
      </c>
      <c r="E297" s="15">
        <v>720</v>
      </c>
      <c r="F297" s="237">
        <v>42889</v>
      </c>
      <c r="G297" s="15">
        <v>720</v>
      </c>
      <c r="H297" s="15">
        <f t="shared" si="4"/>
        <v>0</v>
      </c>
      <c r="I297" s="236" t="s">
        <v>19682</v>
      </c>
    </row>
    <row r="298" spans="1:9" x14ac:dyDescent="0.25">
      <c r="A298" s="36">
        <v>42888</v>
      </c>
      <c r="B298" s="18">
        <v>114399</v>
      </c>
      <c r="C298" s="235" t="s">
        <v>19677</v>
      </c>
      <c r="D298" s="236" t="s">
        <v>15246</v>
      </c>
      <c r="E298" s="15">
        <v>218531.3</v>
      </c>
      <c r="F298" s="237">
        <v>42891</v>
      </c>
      <c r="G298" s="15">
        <v>218531.3</v>
      </c>
      <c r="H298" s="15">
        <f t="shared" si="4"/>
        <v>0</v>
      </c>
      <c r="I298" s="236" t="s">
        <v>19682</v>
      </c>
    </row>
    <row r="299" spans="1:9" ht="15.75" x14ac:dyDescent="0.25">
      <c r="A299" s="242">
        <v>42888</v>
      </c>
      <c r="B299" s="18">
        <v>114400</v>
      </c>
      <c r="C299" s="235" t="s">
        <v>19677</v>
      </c>
      <c r="D299" s="239" t="s">
        <v>95</v>
      </c>
      <c r="E299" s="15">
        <v>0</v>
      </c>
      <c r="F299" s="240" t="s">
        <v>95</v>
      </c>
      <c r="G299" s="15">
        <v>0</v>
      </c>
      <c r="H299" s="15">
        <f t="shared" si="4"/>
        <v>0</v>
      </c>
      <c r="I299" s="236" t="s">
        <v>19678</v>
      </c>
    </row>
    <row r="300" spans="1:9" x14ac:dyDescent="0.25">
      <c r="A300" s="36">
        <v>42888</v>
      </c>
      <c r="B300" s="18">
        <v>114401</v>
      </c>
      <c r="C300" s="235" t="s">
        <v>19677</v>
      </c>
      <c r="D300" s="236" t="s">
        <v>18544</v>
      </c>
      <c r="E300" s="15">
        <v>616.79999999999995</v>
      </c>
      <c r="F300" s="237">
        <v>42889</v>
      </c>
      <c r="G300" s="15">
        <v>616.79999999999995</v>
      </c>
      <c r="H300" s="15">
        <f t="shared" si="4"/>
        <v>0</v>
      </c>
      <c r="I300" s="236" t="s">
        <v>19682</v>
      </c>
    </row>
    <row r="301" spans="1:9" x14ac:dyDescent="0.25">
      <c r="A301" s="242">
        <v>42888</v>
      </c>
      <c r="B301" s="18">
        <v>114402</v>
      </c>
      <c r="C301" s="235" t="s">
        <v>19677</v>
      </c>
      <c r="D301" s="236" t="s">
        <v>15315</v>
      </c>
      <c r="E301" s="15">
        <v>3704.5</v>
      </c>
      <c r="F301" s="237">
        <v>42889</v>
      </c>
      <c r="G301" s="15">
        <v>3704.5</v>
      </c>
      <c r="H301" s="15">
        <f t="shared" si="4"/>
        <v>0</v>
      </c>
      <c r="I301" s="236" t="s">
        <v>19682</v>
      </c>
    </row>
    <row r="302" spans="1:9" x14ac:dyDescent="0.25">
      <c r="A302" s="36">
        <v>42889</v>
      </c>
      <c r="B302" s="18">
        <v>114403</v>
      </c>
      <c r="C302" s="235" t="s">
        <v>19677</v>
      </c>
      <c r="D302" s="236" t="s">
        <v>15246</v>
      </c>
      <c r="E302" s="15">
        <v>33732.1</v>
      </c>
      <c r="F302" s="237">
        <v>42891</v>
      </c>
      <c r="G302" s="15">
        <v>33732.1</v>
      </c>
      <c r="H302" s="15">
        <f t="shared" si="4"/>
        <v>0</v>
      </c>
      <c r="I302" s="236" t="s">
        <v>19682</v>
      </c>
    </row>
    <row r="303" spans="1:9" ht="15.75" x14ac:dyDescent="0.25">
      <c r="A303" s="242">
        <v>42889</v>
      </c>
      <c r="B303" s="18">
        <v>114404</v>
      </c>
      <c r="C303" s="235" t="s">
        <v>19677</v>
      </c>
      <c r="D303" s="239" t="s">
        <v>95</v>
      </c>
      <c r="E303" s="15">
        <v>0</v>
      </c>
      <c r="F303" s="240" t="s">
        <v>95</v>
      </c>
      <c r="G303" s="15">
        <v>0</v>
      </c>
      <c r="H303" s="15">
        <f t="shared" si="4"/>
        <v>0</v>
      </c>
      <c r="I303" s="236" t="s">
        <v>19678</v>
      </c>
    </row>
    <row r="304" spans="1:9" x14ac:dyDescent="0.25">
      <c r="A304" s="36">
        <v>42889</v>
      </c>
      <c r="B304" s="18">
        <v>114405</v>
      </c>
      <c r="C304" s="235" t="s">
        <v>19677</v>
      </c>
      <c r="D304" s="236" t="s">
        <v>15213</v>
      </c>
      <c r="E304" s="15">
        <v>8398.5</v>
      </c>
      <c r="F304" s="237">
        <v>42889</v>
      </c>
      <c r="G304" s="15">
        <v>8398.5</v>
      </c>
      <c r="H304" s="15">
        <f t="shared" si="4"/>
        <v>0</v>
      </c>
      <c r="I304" s="236" t="s">
        <v>19682</v>
      </c>
    </row>
    <row r="305" spans="1:9" x14ac:dyDescent="0.25">
      <c r="A305" s="242">
        <v>42889</v>
      </c>
      <c r="B305" s="18">
        <v>114406</v>
      </c>
      <c r="C305" s="235" t="s">
        <v>19677</v>
      </c>
      <c r="D305" s="236" t="s">
        <v>15407</v>
      </c>
      <c r="E305" s="15">
        <v>9240</v>
      </c>
      <c r="F305" s="237">
        <v>42889</v>
      </c>
      <c r="G305" s="15">
        <v>9240</v>
      </c>
      <c r="H305" s="15">
        <f t="shared" si="4"/>
        <v>0</v>
      </c>
      <c r="I305" s="236" t="s">
        <v>19682</v>
      </c>
    </row>
    <row r="306" spans="1:9" x14ac:dyDescent="0.25">
      <c r="A306" s="36">
        <v>42889</v>
      </c>
      <c r="B306" s="18">
        <v>114407</v>
      </c>
      <c r="C306" s="235" t="s">
        <v>19677</v>
      </c>
      <c r="D306" s="236" t="s">
        <v>15213</v>
      </c>
      <c r="E306" s="15">
        <v>49541.4</v>
      </c>
      <c r="F306" s="237">
        <v>42889</v>
      </c>
      <c r="G306" s="15">
        <v>49541.4</v>
      </c>
      <c r="H306" s="15">
        <f t="shared" si="4"/>
        <v>0</v>
      </c>
      <c r="I306" s="236" t="s">
        <v>19682</v>
      </c>
    </row>
    <row r="307" spans="1:9" x14ac:dyDescent="0.25">
      <c r="A307" s="242">
        <v>42889</v>
      </c>
      <c r="B307" s="18">
        <v>114408</v>
      </c>
      <c r="C307" s="235" t="s">
        <v>19677</v>
      </c>
      <c r="D307" s="236" t="s">
        <v>15213</v>
      </c>
      <c r="E307" s="15">
        <v>198.8</v>
      </c>
      <c r="F307" s="237">
        <v>42889</v>
      </c>
      <c r="G307" s="15">
        <v>198.8</v>
      </c>
      <c r="H307" s="15">
        <f t="shared" si="4"/>
        <v>0</v>
      </c>
      <c r="I307" s="236" t="s">
        <v>19682</v>
      </c>
    </row>
    <row r="308" spans="1:9" x14ac:dyDescent="0.25">
      <c r="A308" s="36">
        <v>42889</v>
      </c>
      <c r="B308" s="18">
        <v>114409</v>
      </c>
      <c r="C308" s="235" t="s">
        <v>19677</v>
      </c>
      <c r="D308" s="236" t="s">
        <v>15220</v>
      </c>
      <c r="E308" s="15">
        <v>5520</v>
      </c>
      <c r="F308" s="237">
        <v>42889</v>
      </c>
      <c r="G308" s="15">
        <v>5520</v>
      </c>
      <c r="H308" s="15">
        <f t="shared" si="4"/>
        <v>0</v>
      </c>
      <c r="I308" s="236" t="s">
        <v>19682</v>
      </c>
    </row>
    <row r="309" spans="1:9" x14ac:dyDescent="0.25">
      <c r="A309" s="242">
        <v>42889</v>
      </c>
      <c r="B309" s="18">
        <v>114410</v>
      </c>
      <c r="C309" s="235" t="s">
        <v>19677</v>
      </c>
      <c r="D309" s="236" t="s">
        <v>15681</v>
      </c>
      <c r="E309" s="15">
        <v>2352.4</v>
      </c>
      <c r="F309" s="237">
        <v>42889</v>
      </c>
      <c r="G309" s="15">
        <v>2352.4</v>
      </c>
      <c r="H309" s="15">
        <f t="shared" si="4"/>
        <v>0</v>
      </c>
      <c r="I309" s="236" t="s">
        <v>19682</v>
      </c>
    </row>
    <row r="310" spans="1:9" x14ac:dyDescent="0.25">
      <c r="A310" s="36">
        <v>42889</v>
      </c>
      <c r="B310" s="18">
        <v>114411</v>
      </c>
      <c r="C310" s="235" t="s">
        <v>19677</v>
      </c>
      <c r="D310" s="236" t="s">
        <v>15272</v>
      </c>
      <c r="E310" s="15">
        <v>31803.200000000001</v>
      </c>
      <c r="F310" s="237">
        <v>42889</v>
      </c>
      <c r="G310" s="15">
        <v>31803.200000000001</v>
      </c>
      <c r="H310" s="15">
        <f t="shared" si="4"/>
        <v>0</v>
      </c>
      <c r="I310" s="236" t="s">
        <v>19682</v>
      </c>
    </row>
    <row r="311" spans="1:9" x14ac:dyDescent="0.25">
      <c r="A311" s="242">
        <v>42889</v>
      </c>
      <c r="B311" s="18">
        <v>114412</v>
      </c>
      <c r="C311" s="235" t="s">
        <v>19677</v>
      </c>
      <c r="D311" s="236" t="s">
        <v>15487</v>
      </c>
      <c r="E311" s="15">
        <v>8733.9</v>
      </c>
      <c r="F311" s="237">
        <v>42889</v>
      </c>
      <c r="G311" s="15">
        <v>8733.9</v>
      </c>
      <c r="H311" s="15">
        <f t="shared" si="4"/>
        <v>0</v>
      </c>
      <c r="I311" s="236" t="s">
        <v>19682</v>
      </c>
    </row>
    <row r="312" spans="1:9" x14ac:dyDescent="0.25">
      <c r="A312" s="36">
        <v>42889</v>
      </c>
      <c r="B312" s="18">
        <v>114413</v>
      </c>
      <c r="C312" s="235" t="s">
        <v>19677</v>
      </c>
      <c r="D312" s="236" t="s">
        <v>15442</v>
      </c>
      <c r="E312" s="15">
        <v>23839.200000000001</v>
      </c>
      <c r="F312" s="237">
        <v>42895</v>
      </c>
      <c r="G312" s="15">
        <v>23839.200000000001</v>
      </c>
      <c r="H312" s="15">
        <f t="shared" si="4"/>
        <v>0</v>
      </c>
      <c r="I312" s="236" t="s">
        <v>19682</v>
      </c>
    </row>
    <row r="313" spans="1:9" ht="15.75" x14ac:dyDescent="0.25">
      <c r="A313" s="242">
        <v>42889</v>
      </c>
      <c r="B313" s="18">
        <v>114414</v>
      </c>
      <c r="C313" s="235" t="s">
        <v>19677</v>
      </c>
      <c r="D313" s="239" t="s">
        <v>95</v>
      </c>
      <c r="E313" s="15">
        <v>0</v>
      </c>
      <c r="F313" s="244" t="s">
        <v>95</v>
      </c>
      <c r="G313" s="15">
        <v>0</v>
      </c>
      <c r="H313" s="15">
        <f t="shared" si="4"/>
        <v>0</v>
      </c>
      <c r="I313" s="236" t="s">
        <v>19678</v>
      </c>
    </row>
    <row r="314" spans="1:9" x14ac:dyDescent="0.25">
      <c r="A314" s="36">
        <v>42889</v>
      </c>
      <c r="B314" s="18">
        <v>114415</v>
      </c>
      <c r="C314" s="235" t="s">
        <v>19677</v>
      </c>
      <c r="D314" s="236" t="s">
        <v>17462</v>
      </c>
      <c r="E314" s="15">
        <v>8036</v>
      </c>
      <c r="F314" s="237">
        <v>42889</v>
      </c>
      <c r="G314" s="15">
        <v>8036</v>
      </c>
      <c r="H314" s="15">
        <f t="shared" si="4"/>
        <v>0</v>
      </c>
      <c r="I314" s="236" t="s">
        <v>19682</v>
      </c>
    </row>
    <row r="315" spans="1:9" x14ac:dyDescent="0.25">
      <c r="A315" s="242">
        <v>42889</v>
      </c>
      <c r="B315" s="18">
        <v>114416</v>
      </c>
      <c r="C315" s="235" t="s">
        <v>19677</v>
      </c>
      <c r="D315" s="236" t="s">
        <v>15592</v>
      </c>
      <c r="E315" s="15">
        <v>13653</v>
      </c>
      <c r="F315" s="237">
        <v>42889</v>
      </c>
      <c r="G315" s="15">
        <v>13653</v>
      </c>
      <c r="H315" s="15">
        <f t="shared" si="4"/>
        <v>0</v>
      </c>
      <c r="I315" s="236" t="s">
        <v>19682</v>
      </c>
    </row>
    <row r="316" spans="1:9" x14ac:dyDescent="0.25">
      <c r="A316" s="36">
        <v>42889</v>
      </c>
      <c r="B316" s="18">
        <v>114417</v>
      </c>
      <c r="C316" s="235" t="s">
        <v>19677</v>
      </c>
      <c r="D316" s="236" t="s">
        <v>15398</v>
      </c>
      <c r="E316" s="15">
        <v>11976.1</v>
      </c>
      <c r="F316" s="237">
        <v>42910</v>
      </c>
      <c r="G316" s="15">
        <v>11976.1</v>
      </c>
      <c r="H316" s="15">
        <f t="shared" si="4"/>
        <v>0</v>
      </c>
      <c r="I316" s="236" t="s">
        <v>19682</v>
      </c>
    </row>
    <row r="317" spans="1:9" x14ac:dyDescent="0.25">
      <c r="A317" s="242">
        <v>42889</v>
      </c>
      <c r="B317" s="18">
        <v>114418</v>
      </c>
      <c r="C317" s="235" t="s">
        <v>19677</v>
      </c>
      <c r="D317" s="236" t="s">
        <v>15232</v>
      </c>
      <c r="E317" s="15">
        <v>17585.400000000001</v>
      </c>
      <c r="F317" s="237">
        <v>42894</v>
      </c>
      <c r="G317" s="15">
        <v>17585.400000000001</v>
      </c>
      <c r="H317" s="15">
        <f t="shared" si="4"/>
        <v>0</v>
      </c>
      <c r="I317" s="236" t="s">
        <v>19682</v>
      </c>
    </row>
    <row r="318" spans="1:9" x14ac:dyDescent="0.25">
      <c r="A318" s="36">
        <v>42889</v>
      </c>
      <c r="B318" s="18">
        <v>114419</v>
      </c>
      <c r="C318" s="235" t="s">
        <v>19677</v>
      </c>
      <c r="D318" s="236" t="s">
        <v>15230</v>
      </c>
      <c r="E318" s="15">
        <v>36782.400000000001</v>
      </c>
      <c r="F318" s="237">
        <v>42893</v>
      </c>
      <c r="G318" s="15">
        <v>36782.400000000001</v>
      </c>
      <c r="H318" s="15">
        <f t="shared" si="4"/>
        <v>0</v>
      </c>
      <c r="I318" s="236" t="s">
        <v>19682</v>
      </c>
    </row>
    <row r="319" spans="1:9" x14ac:dyDescent="0.25">
      <c r="A319" s="242">
        <v>42889</v>
      </c>
      <c r="B319" s="18">
        <v>114420</v>
      </c>
      <c r="C319" s="235" t="s">
        <v>19677</v>
      </c>
      <c r="D319" s="236" t="s">
        <v>15246</v>
      </c>
      <c r="E319" s="15">
        <v>19006.7</v>
      </c>
      <c r="F319" s="237">
        <v>42891</v>
      </c>
      <c r="G319" s="15">
        <v>19006.7</v>
      </c>
      <c r="H319" s="15">
        <f t="shared" si="4"/>
        <v>0</v>
      </c>
      <c r="I319" s="236" t="s">
        <v>19682</v>
      </c>
    </row>
    <row r="320" spans="1:9" x14ac:dyDescent="0.25">
      <c r="A320" s="36">
        <v>42889</v>
      </c>
      <c r="B320" s="18">
        <v>114421</v>
      </c>
      <c r="C320" s="235" t="s">
        <v>19677</v>
      </c>
      <c r="D320" s="236" t="s">
        <v>18258</v>
      </c>
      <c r="E320" s="15">
        <v>6530.4</v>
      </c>
      <c r="F320" s="237">
        <v>42889</v>
      </c>
      <c r="G320" s="15">
        <v>6530.4</v>
      </c>
      <c r="H320" s="15">
        <f t="shared" si="4"/>
        <v>0</v>
      </c>
      <c r="I320" s="236" t="s">
        <v>19682</v>
      </c>
    </row>
    <row r="321" spans="1:9" x14ac:dyDescent="0.25">
      <c r="A321" s="242">
        <v>42889</v>
      </c>
      <c r="B321" s="18">
        <v>114422</v>
      </c>
      <c r="C321" s="235" t="s">
        <v>19677</v>
      </c>
      <c r="D321" s="236" t="s">
        <v>15315</v>
      </c>
      <c r="E321" s="15">
        <v>7950.82</v>
      </c>
      <c r="F321" s="237">
        <v>42889</v>
      </c>
      <c r="G321" s="15">
        <v>7950.82</v>
      </c>
      <c r="H321" s="15">
        <f t="shared" si="4"/>
        <v>0</v>
      </c>
      <c r="I321" s="236" t="s">
        <v>19682</v>
      </c>
    </row>
    <row r="322" spans="1:9" x14ac:dyDescent="0.25">
      <c r="A322" s="36">
        <v>42889</v>
      </c>
      <c r="B322" s="18">
        <v>114423</v>
      </c>
      <c r="C322" s="235" t="s">
        <v>19677</v>
      </c>
      <c r="D322" s="236" t="s">
        <v>15348</v>
      </c>
      <c r="E322" s="15">
        <v>3261.6</v>
      </c>
      <c r="F322" s="237">
        <v>42892</v>
      </c>
      <c r="G322" s="15">
        <v>3261.6</v>
      </c>
      <c r="H322" s="15">
        <f t="shared" ref="H322:H385" si="5">E322-G322</f>
        <v>0</v>
      </c>
      <c r="I322" s="236" t="s">
        <v>19682</v>
      </c>
    </row>
    <row r="323" spans="1:9" x14ac:dyDescent="0.25">
      <c r="A323" s="242">
        <v>42889</v>
      </c>
      <c r="B323" s="18">
        <v>114424</v>
      </c>
      <c r="C323" s="235" t="s">
        <v>19677</v>
      </c>
      <c r="D323" s="236" t="s">
        <v>15284</v>
      </c>
      <c r="E323" s="15">
        <v>1629</v>
      </c>
      <c r="F323" s="237">
        <v>42889</v>
      </c>
      <c r="G323" s="15">
        <v>1629</v>
      </c>
      <c r="H323" s="15">
        <f t="shared" si="5"/>
        <v>0</v>
      </c>
      <c r="I323" s="236" t="s">
        <v>19682</v>
      </c>
    </row>
    <row r="324" spans="1:9" x14ac:dyDescent="0.25">
      <c r="A324" s="36">
        <v>42889</v>
      </c>
      <c r="B324" s="18">
        <v>114425</v>
      </c>
      <c r="C324" s="235" t="s">
        <v>19677</v>
      </c>
      <c r="D324" s="236" t="s">
        <v>15240</v>
      </c>
      <c r="E324" s="15">
        <v>3542.4</v>
      </c>
      <c r="F324" s="237">
        <v>42891</v>
      </c>
      <c r="G324" s="15">
        <v>3542.4</v>
      </c>
      <c r="H324" s="15">
        <f t="shared" si="5"/>
        <v>0</v>
      </c>
      <c r="I324" s="236" t="s">
        <v>19682</v>
      </c>
    </row>
    <row r="325" spans="1:9" x14ac:dyDescent="0.25">
      <c r="A325" s="242">
        <v>42889</v>
      </c>
      <c r="B325" s="18">
        <v>114426</v>
      </c>
      <c r="C325" s="235" t="s">
        <v>19677</v>
      </c>
      <c r="D325" s="236" t="s">
        <v>15549</v>
      </c>
      <c r="E325" s="15">
        <v>4682.3999999999996</v>
      </c>
      <c r="F325" s="237">
        <v>42889</v>
      </c>
      <c r="G325" s="15">
        <v>4682.3999999999996</v>
      </c>
      <c r="H325" s="15">
        <f t="shared" si="5"/>
        <v>0</v>
      </c>
      <c r="I325" s="236" t="s">
        <v>19682</v>
      </c>
    </row>
    <row r="326" spans="1:9" x14ac:dyDescent="0.25">
      <c r="A326" s="36">
        <v>42889</v>
      </c>
      <c r="B326" s="18">
        <v>114427</v>
      </c>
      <c r="C326" s="235" t="s">
        <v>19677</v>
      </c>
      <c r="D326" s="236" t="s">
        <v>15244</v>
      </c>
      <c r="E326" s="15">
        <v>13411.5</v>
      </c>
      <c r="F326" s="237">
        <v>42892</v>
      </c>
      <c r="G326" s="15">
        <v>13411.5</v>
      </c>
      <c r="H326" s="15">
        <f t="shared" si="5"/>
        <v>0</v>
      </c>
      <c r="I326" s="236" t="s">
        <v>19682</v>
      </c>
    </row>
    <row r="327" spans="1:9" x14ac:dyDescent="0.25">
      <c r="A327" s="242">
        <v>42889</v>
      </c>
      <c r="B327" s="18">
        <v>114428</v>
      </c>
      <c r="C327" s="235" t="s">
        <v>19677</v>
      </c>
      <c r="D327" s="236" t="s">
        <v>15252</v>
      </c>
      <c r="E327" s="15">
        <v>8494.2000000000007</v>
      </c>
      <c r="F327" s="237">
        <v>42891</v>
      </c>
      <c r="G327" s="15">
        <v>8494.2000000000007</v>
      </c>
      <c r="H327" s="15">
        <f t="shared" si="5"/>
        <v>0</v>
      </c>
      <c r="I327" s="236" t="s">
        <v>19682</v>
      </c>
    </row>
    <row r="328" spans="1:9" x14ac:dyDescent="0.25">
      <c r="A328" s="36">
        <v>42889</v>
      </c>
      <c r="B328" s="18">
        <v>114429</v>
      </c>
      <c r="C328" s="235" t="s">
        <v>19677</v>
      </c>
      <c r="D328" s="236" t="s">
        <v>15242</v>
      </c>
      <c r="E328" s="15">
        <v>9143.2000000000007</v>
      </c>
      <c r="F328" s="237">
        <v>42889</v>
      </c>
      <c r="G328" s="15">
        <v>9143.2000000000007</v>
      </c>
      <c r="H328" s="15">
        <f t="shared" si="5"/>
        <v>0</v>
      </c>
      <c r="I328" s="236" t="s">
        <v>19682</v>
      </c>
    </row>
    <row r="329" spans="1:9" ht="15.75" x14ac:dyDescent="0.25">
      <c r="A329" s="242">
        <v>42889</v>
      </c>
      <c r="B329" s="18">
        <v>114430</v>
      </c>
      <c r="C329" s="235" t="s">
        <v>19677</v>
      </c>
      <c r="D329" s="239" t="s">
        <v>95</v>
      </c>
      <c r="E329" s="15">
        <v>0</v>
      </c>
      <c r="F329" s="243" t="s">
        <v>95</v>
      </c>
      <c r="G329" s="15">
        <v>0</v>
      </c>
      <c r="H329" s="15">
        <f t="shared" si="5"/>
        <v>0</v>
      </c>
      <c r="I329" s="236" t="s">
        <v>19678</v>
      </c>
    </row>
    <row r="330" spans="1:9" ht="30" x14ac:dyDescent="0.25">
      <c r="A330" s="36">
        <v>42889</v>
      </c>
      <c r="B330" s="18">
        <v>114431</v>
      </c>
      <c r="C330" s="235" t="s">
        <v>19677</v>
      </c>
      <c r="D330" s="236" t="s">
        <v>15480</v>
      </c>
      <c r="E330" s="15">
        <v>15660</v>
      </c>
      <c r="F330" s="237" t="s">
        <v>19694</v>
      </c>
      <c r="G330" s="241">
        <f>5650+10010</f>
        <v>15660</v>
      </c>
      <c r="H330" s="241">
        <f t="shared" si="5"/>
        <v>0</v>
      </c>
      <c r="I330" s="236" t="s">
        <v>19682</v>
      </c>
    </row>
    <row r="331" spans="1:9" ht="30" x14ac:dyDescent="0.25">
      <c r="A331" s="242">
        <v>42889</v>
      </c>
      <c r="B331" s="18">
        <v>114432</v>
      </c>
      <c r="C331" s="235" t="s">
        <v>19677</v>
      </c>
      <c r="D331" s="236" t="s">
        <v>5575</v>
      </c>
      <c r="E331" s="15">
        <v>13179</v>
      </c>
      <c r="F331" s="237" t="s">
        <v>19694</v>
      </c>
      <c r="G331" s="15">
        <f>10500+2679</f>
        <v>13179</v>
      </c>
      <c r="H331" s="15">
        <f t="shared" si="5"/>
        <v>0</v>
      </c>
      <c r="I331" s="236" t="s">
        <v>19682</v>
      </c>
    </row>
    <row r="332" spans="1:9" x14ac:dyDescent="0.25">
      <c r="A332" s="36">
        <v>42889</v>
      </c>
      <c r="B332" s="18">
        <v>114433</v>
      </c>
      <c r="C332" s="235" t="s">
        <v>19677</v>
      </c>
      <c r="D332" s="236" t="s">
        <v>15263</v>
      </c>
      <c r="E332" s="15">
        <v>2832.2</v>
      </c>
      <c r="F332" s="237">
        <v>42889</v>
      </c>
      <c r="G332" s="15">
        <v>2832.2</v>
      </c>
      <c r="H332" s="15">
        <f t="shared" si="5"/>
        <v>0</v>
      </c>
      <c r="I332" s="236" t="s">
        <v>19682</v>
      </c>
    </row>
    <row r="333" spans="1:9" x14ac:dyDescent="0.25">
      <c r="A333" s="242">
        <v>42889</v>
      </c>
      <c r="B333" s="18">
        <v>114434</v>
      </c>
      <c r="C333" s="235" t="s">
        <v>19677</v>
      </c>
      <c r="D333" s="236" t="s">
        <v>15256</v>
      </c>
      <c r="E333" s="15">
        <v>17137.8</v>
      </c>
      <c r="F333" s="237">
        <v>42892</v>
      </c>
      <c r="G333" s="15">
        <v>17137.8</v>
      </c>
      <c r="H333" s="15">
        <f t="shared" si="5"/>
        <v>0</v>
      </c>
      <c r="I333" s="236" t="s">
        <v>19682</v>
      </c>
    </row>
    <row r="334" spans="1:9" x14ac:dyDescent="0.25">
      <c r="A334" s="36">
        <v>42889</v>
      </c>
      <c r="B334" s="18">
        <v>114435</v>
      </c>
      <c r="C334" s="235" t="s">
        <v>19677</v>
      </c>
      <c r="D334" s="236" t="s">
        <v>15267</v>
      </c>
      <c r="E334" s="15">
        <v>7926.1</v>
      </c>
      <c r="F334" s="237">
        <v>42889</v>
      </c>
      <c r="G334" s="15">
        <v>7926.1</v>
      </c>
      <c r="H334" s="15">
        <f t="shared" si="5"/>
        <v>0</v>
      </c>
      <c r="I334" s="236" t="s">
        <v>19682</v>
      </c>
    </row>
    <row r="335" spans="1:9" x14ac:dyDescent="0.25">
      <c r="A335" s="242">
        <v>42889</v>
      </c>
      <c r="B335" s="18">
        <v>114436</v>
      </c>
      <c r="C335" s="235" t="s">
        <v>19677</v>
      </c>
      <c r="D335" s="236" t="s">
        <v>15258</v>
      </c>
      <c r="E335" s="15">
        <v>30973.8</v>
      </c>
      <c r="F335" s="237" t="s">
        <v>19694</v>
      </c>
      <c r="G335" s="241">
        <f>18000+12973.8</f>
        <v>30973.8</v>
      </c>
      <c r="H335" s="241">
        <f t="shared" si="5"/>
        <v>0</v>
      </c>
      <c r="I335" s="236" t="s">
        <v>19682</v>
      </c>
    </row>
    <row r="336" spans="1:9" x14ac:dyDescent="0.25">
      <c r="A336" s="36">
        <v>42889</v>
      </c>
      <c r="B336" s="18">
        <v>114437</v>
      </c>
      <c r="C336" s="235" t="s">
        <v>19677</v>
      </c>
      <c r="D336" s="236" t="s">
        <v>15655</v>
      </c>
      <c r="E336" s="15">
        <v>11550.6</v>
      </c>
      <c r="F336" s="237">
        <v>42889</v>
      </c>
      <c r="G336" s="15">
        <v>11550.6</v>
      </c>
      <c r="H336" s="15">
        <f t="shared" si="5"/>
        <v>0</v>
      </c>
      <c r="I336" s="236" t="s">
        <v>19682</v>
      </c>
    </row>
    <row r="337" spans="1:9" ht="30" x14ac:dyDescent="0.25">
      <c r="A337" s="242">
        <v>42889</v>
      </c>
      <c r="B337" s="18">
        <v>114438</v>
      </c>
      <c r="C337" s="235" t="s">
        <v>19677</v>
      </c>
      <c r="D337" s="236" t="s">
        <v>15234</v>
      </c>
      <c r="E337" s="15">
        <v>11887.2</v>
      </c>
      <c r="F337" s="237" t="s">
        <v>19694</v>
      </c>
      <c r="G337" s="241">
        <f>8387+3500.2</f>
        <v>11887.2</v>
      </c>
      <c r="H337" s="241">
        <f t="shared" si="5"/>
        <v>0</v>
      </c>
      <c r="I337" s="236" t="s">
        <v>19682</v>
      </c>
    </row>
    <row r="338" spans="1:9" x14ac:dyDescent="0.25">
      <c r="A338" s="36">
        <v>42889</v>
      </c>
      <c r="B338" s="18">
        <v>114439</v>
      </c>
      <c r="C338" s="235" t="s">
        <v>19677</v>
      </c>
      <c r="D338" s="236" t="s">
        <v>15238</v>
      </c>
      <c r="E338" s="15">
        <v>13103.6</v>
      </c>
      <c r="F338" s="237">
        <v>42892</v>
      </c>
      <c r="G338" s="15">
        <v>13103.6</v>
      </c>
      <c r="H338" s="15">
        <f t="shared" si="5"/>
        <v>0</v>
      </c>
      <c r="I338" s="236" t="s">
        <v>19682</v>
      </c>
    </row>
    <row r="339" spans="1:9" x14ac:dyDescent="0.25">
      <c r="A339" s="242">
        <v>42889</v>
      </c>
      <c r="B339" s="18">
        <v>114440</v>
      </c>
      <c r="C339" s="235" t="s">
        <v>19677</v>
      </c>
      <c r="D339" s="236" t="s">
        <v>15391</v>
      </c>
      <c r="E339" s="15">
        <v>11196.2</v>
      </c>
      <c r="F339" s="237">
        <v>42889</v>
      </c>
      <c r="G339" s="15">
        <v>11196.2</v>
      </c>
      <c r="H339" s="15">
        <f t="shared" si="5"/>
        <v>0</v>
      </c>
      <c r="I339" s="236" t="s">
        <v>19682</v>
      </c>
    </row>
    <row r="340" spans="1:9" x14ac:dyDescent="0.25">
      <c r="A340" s="36">
        <v>42889</v>
      </c>
      <c r="B340" s="18">
        <v>114441</v>
      </c>
      <c r="C340" s="235" t="s">
        <v>19677</v>
      </c>
      <c r="D340" s="236" t="s">
        <v>15363</v>
      </c>
      <c r="E340" s="15">
        <v>555</v>
      </c>
      <c r="F340" s="237">
        <v>42889</v>
      </c>
      <c r="G340" s="15">
        <v>555</v>
      </c>
      <c r="H340" s="15">
        <f t="shared" si="5"/>
        <v>0</v>
      </c>
      <c r="I340" s="236" t="s">
        <v>19682</v>
      </c>
    </row>
    <row r="341" spans="1:9" x14ac:dyDescent="0.25">
      <c r="A341" s="242">
        <v>42889</v>
      </c>
      <c r="B341" s="18">
        <v>114442</v>
      </c>
      <c r="C341" s="235" t="s">
        <v>19677</v>
      </c>
      <c r="D341" s="236" t="s">
        <v>15363</v>
      </c>
      <c r="E341" s="15">
        <v>780</v>
      </c>
      <c r="F341" s="237">
        <v>42889</v>
      </c>
      <c r="G341" s="15">
        <v>780</v>
      </c>
      <c r="H341" s="15">
        <f t="shared" si="5"/>
        <v>0</v>
      </c>
      <c r="I341" s="236" t="s">
        <v>19682</v>
      </c>
    </row>
    <row r="342" spans="1:9" ht="30" x14ac:dyDescent="0.25">
      <c r="A342" s="36">
        <v>42889</v>
      </c>
      <c r="B342" s="18">
        <v>114443</v>
      </c>
      <c r="C342" s="235" t="s">
        <v>19677</v>
      </c>
      <c r="D342" s="236" t="s">
        <v>15236</v>
      </c>
      <c r="E342" s="15">
        <v>9874.7999999999993</v>
      </c>
      <c r="F342" s="237" t="s">
        <v>19694</v>
      </c>
      <c r="G342" s="241">
        <f>5000+4874.8</f>
        <v>9874.7999999999993</v>
      </c>
      <c r="H342" s="241">
        <f t="shared" si="5"/>
        <v>0</v>
      </c>
      <c r="I342" s="236" t="s">
        <v>19682</v>
      </c>
    </row>
    <row r="343" spans="1:9" x14ac:dyDescent="0.25">
      <c r="A343" s="242">
        <v>42889</v>
      </c>
      <c r="B343" s="18">
        <v>114444</v>
      </c>
      <c r="C343" s="235" t="s">
        <v>19677</v>
      </c>
      <c r="D343" s="236" t="s">
        <v>15223</v>
      </c>
      <c r="E343" s="15">
        <v>52651.6</v>
      </c>
      <c r="F343" s="237">
        <v>42901</v>
      </c>
      <c r="G343" s="15">
        <v>52651.6</v>
      </c>
      <c r="H343" s="15">
        <f t="shared" si="5"/>
        <v>0</v>
      </c>
      <c r="I343" s="236" t="s">
        <v>19682</v>
      </c>
    </row>
    <row r="344" spans="1:9" x14ac:dyDescent="0.25">
      <c r="A344" s="36">
        <v>42889</v>
      </c>
      <c r="B344" s="18">
        <v>114445</v>
      </c>
      <c r="C344" s="235" t="s">
        <v>19677</v>
      </c>
      <c r="D344" s="236" t="s">
        <v>15868</v>
      </c>
      <c r="E344" s="15">
        <v>7659.5</v>
      </c>
      <c r="F344" s="237">
        <v>42889</v>
      </c>
      <c r="G344" s="15">
        <v>7659.5</v>
      </c>
      <c r="H344" s="15">
        <f t="shared" si="5"/>
        <v>0</v>
      </c>
      <c r="I344" s="236" t="s">
        <v>19682</v>
      </c>
    </row>
    <row r="345" spans="1:9" x14ac:dyDescent="0.25">
      <c r="A345" s="242">
        <v>42889</v>
      </c>
      <c r="B345" s="18">
        <v>114446</v>
      </c>
      <c r="C345" s="235" t="s">
        <v>19677</v>
      </c>
      <c r="D345" s="236" t="s">
        <v>15361</v>
      </c>
      <c r="E345" s="15">
        <v>16080</v>
      </c>
      <c r="F345" s="237">
        <v>42889</v>
      </c>
      <c r="G345" s="15">
        <v>16080</v>
      </c>
      <c r="H345" s="15">
        <f t="shared" si="5"/>
        <v>0</v>
      </c>
      <c r="I345" s="236" t="s">
        <v>19682</v>
      </c>
    </row>
    <row r="346" spans="1:9" ht="15.75" x14ac:dyDescent="0.25">
      <c r="A346" s="36">
        <v>42889</v>
      </c>
      <c r="B346" s="18">
        <v>114447</v>
      </c>
      <c r="C346" s="235" t="s">
        <v>19677</v>
      </c>
      <c r="D346" s="245" t="s">
        <v>95</v>
      </c>
      <c r="E346" s="15">
        <v>0</v>
      </c>
      <c r="F346" s="240" t="s">
        <v>95</v>
      </c>
      <c r="G346" s="15">
        <v>0</v>
      </c>
      <c r="H346" s="15">
        <f t="shared" si="5"/>
        <v>0</v>
      </c>
      <c r="I346" s="236" t="s">
        <v>19678</v>
      </c>
    </row>
    <row r="347" spans="1:9" x14ac:dyDescent="0.25">
      <c r="A347" s="242">
        <v>42889</v>
      </c>
      <c r="B347" s="18">
        <v>114448</v>
      </c>
      <c r="C347" s="235" t="s">
        <v>19677</v>
      </c>
      <c r="D347" s="236" t="s">
        <v>17708</v>
      </c>
      <c r="E347" s="15">
        <v>3062.5</v>
      </c>
      <c r="F347" s="237">
        <v>42889</v>
      </c>
      <c r="G347" s="15">
        <v>3062.5</v>
      </c>
      <c r="H347" s="15">
        <f t="shared" si="5"/>
        <v>0</v>
      </c>
      <c r="I347" s="236" t="s">
        <v>19682</v>
      </c>
    </row>
    <row r="348" spans="1:9" x14ac:dyDescent="0.25">
      <c r="A348" s="36">
        <v>42889</v>
      </c>
      <c r="B348" s="18">
        <v>114449</v>
      </c>
      <c r="C348" s="235" t="s">
        <v>19677</v>
      </c>
      <c r="D348" s="236" t="s">
        <v>15280</v>
      </c>
      <c r="E348" s="15">
        <v>8037.9</v>
      </c>
      <c r="F348" s="237">
        <v>42889</v>
      </c>
      <c r="G348" s="15">
        <v>8037.9</v>
      </c>
      <c r="H348" s="15">
        <f t="shared" si="5"/>
        <v>0</v>
      </c>
      <c r="I348" s="236" t="s">
        <v>19682</v>
      </c>
    </row>
    <row r="349" spans="1:9" x14ac:dyDescent="0.25">
      <c r="A349" s="242">
        <v>42889</v>
      </c>
      <c r="B349" s="18">
        <v>114450</v>
      </c>
      <c r="C349" s="235" t="s">
        <v>19677</v>
      </c>
      <c r="D349" s="236" t="s">
        <v>15884</v>
      </c>
      <c r="E349" s="15">
        <v>4998.3</v>
      </c>
      <c r="F349" s="237">
        <v>42889</v>
      </c>
      <c r="G349" s="15">
        <v>4998.3</v>
      </c>
      <c r="H349" s="15">
        <f t="shared" si="5"/>
        <v>0</v>
      </c>
      <c r="I349" s="236" t="s">
        <v>19682</v>
      </c>
    </row>
    <row r="350" spans="1:9" x14ac:dyDescent="0.25">
      <c r="A350" s="36">
        <v>42889</v>
      </c>
      <c r="B350" s="18">
        <v>114451</v>
      </c>
      <c r="C350" s="235" t="s">
        <v>19677</v>
      </c>
      <c r="D350" s="236" t="s">
        <v>15371</v>
      </c>
      <c r="E350" s="15">
        <v>6265.2</v>
      </c>
      <c r="F350" s="237">
        <v>42890</v>
      </c>
      <c r="G350" s="15">
        <v>6265.2</v>
      </c>
      <c r="H350" s="15">
        <f t="shared" si="5"/>
        <v>0</v>
      </c>
      <c r="I350" s="236" t="s">
        <v>19682</v>
      </c>
    </row>
    <row r="351" spans="1:9" ht="15.75" x14ac:dyDescent="0.25">
      <c r="A351" s="242">
        <v>42889</v>
      </c>
      <c r="B351" s="18">
        <v>114452</v>
      </c>
      <c r="C351" s="235" t="s">
        <v>19677</v>
      </c>
      <c r="D351" s="239" t="s">
        <v>95</v>
      </c>
      <c r="E351" s="15">
        <v>0</v>
      </c>
      <c r="F351" s="243" t="s">
        <v>95</v>
      </c>
      <c r="G351" s="15">
        <v>0</v>
      </c>
      <c r="H351" s="15">
        <f t="shared" si="5"/>
        <v>0</v>
      </c>
      <c r="I351" s="236" t="s">
        <v>19678</v>
      </c>
    </row>
    <row r="352" spans="1:9" x14ac:dyDescent="0.25">
      <c r="A352" s="36">
        <v>42889</v>
      </c>
      <c r="B352" s="18">
        <v>114453</v>
      </c>
      <c r="C352" s="235" t="s">
        <v>19677</v>
      </c>
      <c r="D352" s="236" t="s">
        <v>15282</v>
      </c>
      <c r="E352" s="15">
        <v>2310.3000000000002</v>
      </c>
      <c r="F352" s="237">
        <v>42889</v>
      </c>
      <c r="G352" s="15">
        <v>2310.3000000000002</v>
      </c>
      <c r="H352" s="15">
        <f t="shared" si="5"/>
        <v>0</v>
      </c>
      <c r="I352" s="236" t="s">
        <v>19682</v>
      </c>
    </row>
    <row r="353" spans="1:9" x14ac:dyDescent="0.25">
      <c r="A353" s="242">
        <v>42889</v>
      </c>
      <c r="B353" s="18">
        <v>114454</v>
      </c>
      <c r="C353" s="235" t="s">
        <v>19677</v>
      </c>
      <c r="D353" s="236" t="s">
        <v>15261</v>
      </c>
      <c r="E353" s="15">
        <v>27808.799999999999</v>
      </c>
      <c r="F353" s="237">
        <v>42889</v>
      </c>
      <c r="G353" s="15">
        <v>27808.799999999999</v>
      </c>
      <c r="H353" s="15">
        <f t="shared" si="5"/>
        <v>0</v>
      </c>
      <c r="I353" s="236" t="s">
        <v>19682</v>
      </c>
    </row>
    <row r="354" spans="1:9" x14ac:dyDescent="0.25">
      <c r="A354" s="36">
        <v>42889</v>
      </c>
      <c r="B354" s="18">
        <v>114455</v>
      </c>
      <c r="C354" s="235" t="s">
        <v>19677</v>
      </c>
      <c r="D354" s="236" t="s">
        <v>15530</v>
      </c>
      <c r="E354" s="15">
        <v>2000</v>
      </c>
      <c r="F354" s="237">
        <v>42889</v>
      </c>
      <c r="G354" s="15">
        <v>2000</v>
      </c>
      <c r="H354" s="15">
        <f t="shared" si="5"/>
        <v>0</v>
      </c>
      <c r="I354" s="236" t="s">
        <v>19682</v>
      </c>
    </row>
    <row r="355" spans="1:9" x14ac:dyDescent="0.25">
      <c r="A355" s="242">
        <v>42889</v>
      </c>
      <c r="B355" s="18">
        <v>114456</v>
      </c>
      <c r="C355" s="235" t="s">
        <v>19677</v>
      </c>
      <c r="D355" s="236" t="s">
        <v>18258</v>
      </c>
      <c r="E355" s="15">
        <v>10389.6</v>
      </c>
      <c r="F355" s="237">
        <v>42889</v>
      </c>
      <c r="G355" s="15">
        <v>10389.6</v>
      </c>
      <c r="H355" s="15">
        <f t="shared" si="5"/>
        <v>0</v>
      </c>
      <c r="I355" s="236" t="s">
        <v>19682</v>
      </c>
    </row>
    <row r="356" spans="1:9" x14ac:dyDescent="0.25">
      <c r="A356" s="36">
        <v>42889</v>
      </c>
      <c r="B356" s="18">
        <v>114457</v>
      </c>
      <c r="C356" s="235" t="s">
        <v>19677</v>
      </c>
      <c r="D356" s="236" t="s">
        <v>15324</v>
      </c>
      <c r="E356" s="15">
        <v>1713</v>
      </c>
      <c r="F356" s="237">
        <v>42889</v>
      </c>
      <c r="G356" s="15">
        <v>1713</v>
      </c>
      <c r="H356" s="15">
        <f t="shared" si="5"/>
        <v>0</v>
      </c>
      <c r="I356" s="236" t="s">
        <v>19682</v>
      </c>
    </row>
    <row r="357" spans="1:9" ht="15.75" x14ac:dyDescent="0.25">
      <c r="A357" s="242">
        <v>42889</v>
      </c>
      <c r="B357" s="18">
        <v>114458</v>
      </c>
      <c r="C357" s="235" t="s">
        <v>19677</v>
      </c>
      <c r="D357" s="239" t="s">
        <v>95</v>
      </c>
      <c r="E357" s="15">
        <v>0</v>
      </c>
      <c r="F357" s="240" t="s">
        <v>95</v>
      </c>
      <c r="G357" s="15">
        <v>0</v>
      </c>
      <c r="H357" s="15">
        <f t="shared" si="5"/>
        <v>0</v>
      </c>
      <c r="I357" s="236" t="s">
        <v>19678</v>
      </c>
    </row>
    <row r="358" spans="1:9" ht="15.75" x14ac:dyDescent="0.25">
      <c r="A358" s="36">
        <v>42889</v>
      </c>
      <c r="B358" s="18">
        <v>114459</v>
      </c>
      <c r="C358" s="235" t="s">
        <v>19677</v>
      </c>
      <c r="D358" s="239" t="s">
        <v>95</v>
      </c>
      <c r="E358" s="15">
        <v>0</v>
      </c>
      <c r="F358" s="240" t="s">
        <v>95</v>
      </c>
      <c r="G358" s="15">
        <v>0</v>
      </c>
      <c r="H358" s="15">
        <f t="shared" si="5"/>
        <v>0</v>
      </c>
      <c r="I358" s="236" t="s">
        <v>19678</v>
      </c>
    </row>
    <row r="359" spans="1:9" x14ac:dyDescent="0.25">
      <c r="A359" s="242">
        <v>42889</v>
      </c>
      <c r="B359" s="18">
        <v>114460</v>
      </c>
      <c r="C359" s="235" t="s">
        <v>19677</v>
      </c>
      <c r="D359" s="236" t="s">
        <v>17277</v>
      </c>
      <c r="E359" s="15">
        <v>5707.6</v>
      </c>
      <c r="F359" s="237">
        <v>42889</v>
      </c>
      <c r="G359" s="15">
        <v>5707.6</v>
      </c>
      <c r="H359" s="15">
        <f t="shared" si="5"/>
        <v>0</v>
      </c>
      <c r="I359" s="236" t="s">
        <v>19682</v>
      </c>
    </row>
    <row r="360" spans="1:9" x14ac:dyDescent="0.25">
      <c r="A360" s="36">
        <v>42889</v>
      </c>
      <c r="B360" s="18">
        <v>114461</v>
      </c>
      <c r="C360" s="235" t="s">
        <v>19677</v>
      </c>
      <c r="D360" s="236" t="s">
        <v>15987</v>
      </c>
      <c r="E360" s="15">
        <v>708.4</v>
      </c>
      <c r="F360" s="237">
        <v>42889</v>
      </c>
      <c r="G360" s="15">
        <v>708.4</v>
      </c>
      <c r="H360" s="15">
        <f t="shared" si="5"/>
        <v>0</v>
      </c>
      <c r="I360" s="236" t="s">
        <v>19682</v>
      </c>
    </row>
    <row r="361" spans="1:9" x14ac:dyDescent="0.25">
      <c r="A361" s="242">
        <v>42889</v>
      </c>
      <c r="B361" s="18">
        <v>114462</v>
      </c>
      <c r="C361" s="235" t="s">
        <v>19677</v>
      </c>
      <c r="D361" s="236" t="s">
        <v>15226</v>
      </c>
      <c r="E361" s="15">
        <v>2984.1</v>
      </c>
      <c r="F361" s="237">
        <v>42892</v>
      </c>
      <c r="G361" s="15">
        <v>2984.1</v>
      </c>
      <c r="H361" s="15">
        <f t="shared" si="5"/>
        <v>0</v>
      </c>
      <c r="I361" s="236" t="s">
        <v>19682</v>
      </c>
    </row>
    <row r="362" spans="1:9" x14ac:dyDescent="0.25">
      <c r="A362" s="36">
        <v>42889</v>
      </c>
      <c r="B362" s="18">
        <v>114463</v>
      </c>
      <c r="C362" s="235" t="s">
        <v>19677</v>
      </c>
      <c r="D362" s="236" t="s">
        <v>15562</v>
      </c>
      <c r="E362" s="15">
        <v>3611.3</v>
      </c>
      <c r="F362" s="237">
        <v>42889</v>
      </c>
      <c r="G362" s="15">
        <v>3611.3</v>
      </c>
      <c r="H362" s="15">
        <f t="shared" si="5"/>
        <v>0</v>
      </c>
      <c r="I362" s="236" t="s">
        <v>19682</v>
      </c>
    </row>
    <row r="363" spans="1:9" x14ac:dyDescent="0.25">
      <c r="A363" s="242">
        <v>42889</v>
      </c>
      <c r="B363" s="18">
        <v>114464</v>
      </c>
      <c r="C363" s="235" t="s">
        <v>19677</v>
      </c>
      <c r="D363" s="236" t="s">
        <v>15530</v>
      </c>
      <c r="E363" s="15">
        <v>3614.1</v>
      </c>
      <c r="F363" s="237">
        <v>42889</v>
      </c>
      <c r="G363" s="15">
        <v>3614.1</v>
      </c>
      <c r="H363" s="15">
        <f t="shared" si="5"/>
        <v>0</v>
      </c>
      <c r="I363" s="236" t="s">
        <v>19682</v>
      </c>
    </row>
    <row r="364" spans="1:9" x14ac:dyDescent="0.25">
      <c r="A364" s="36">
        <v>42889</v>
      </c>
      <c r="B364" s="18">
        <v>114465</v>
      </c>
      <c r="C364" s="235" t="s">
        <v>19677</v>
      </c>
      <c r="D364" s="236" t="s">
        <v>15385</v>
      </c>
      <c r="E364" s="15">
        <v>13231.4</v>
      </c>
      <c r="F364" s="237">
        <v>42889</v>
      </c>
      <c r="G364" s="15">
        <v>13231.4</v>
      </c>
      <c r="H364" s="15">
        <f t="shared" si="5"/>
        <v>0</v>
      </c>
      <c r="I364" s="236" t="s">
        <v>19682</v>
      </c>
    </row>
    <row r="365" spans="1:9" x14ac:dyDescent="0.25">
      <c r="A365" s="242">
        <v>42889</v>
      </c>
      <c r="B365" s="18">
        <v>114466</v>
      </c>
      <c r="C365" s="235" t="s">
        <v>19677</v>
      </c>
      <c r="D365" s="236" t="s">
        <v>16732</v>
      </c>
      <c r="E365" s="15">
        <v>33259.449999999997</v>
      </c>
      <c r="F365" s="237">
        <v>42889</v>
      </c>
      <c r="G365" s="15">
        <v>33259.449999999997</v>
      </c>
      <c r="H365" s="15">
        <f t="shared" si="5"/>
        <v>0</v>
      </c>
      <c r="I365" s="236" t="s">
        <v>19682</v>
      </c>
    </row>
    <row r="366" spans="1:9" x14ac:dyDescent="0.25">
      <c r="A366" s="36">
        <v>42889</v>
      </c>
      <c r="B366" s="18">
        <v>114467</v>
      </c>
      <c r="C366" s="235" t="s">
        <v>19677</v>
      </c>
      <c r="D366" s="236" t="s">
        <v>15856</v>
      </c>
      <c r="E366" s="15">
        <v>1494</v>
      </c>
      <c r="F366" s="237">
        <v>42889</v>
      </c>
      <c r="G366" s="15">
        <v>1494</v>
      </c>
      <c r="H366" s="15">
        <f t="shared" si="5"/>
        <v>0</v>
      </c>
      <c r="I366" s="236" t="s">
        <v>19682</v>
      </c>
    </row>
    <row r="367" spans="1:9" ht="15.75" x14ac:dyDescent="0.25">
      <c r="A367" s="242">
        <v>42889</v>
      </c>
      <c r="B367" s="18">
        <v>114468</v>
      </c>
      <c r="C367" s="235" t="s">
        <v>19677</v>
      </c>
      <c r="D367" s="239" t="s">
        <v>95</v>
      </c>
      <c r="E367" s="15">
        <v>0</v>
      </c>
      <c r="F367" s="240" t="s">
        <v>95</v>
      </c>
      <c r="G367" s="15">
        <v>0</v>
      </c>
      <c r="H367" s="15">
        <f t="shared" si="5"/>
        <v>0</v>
      </c>
      <c r="I367" s="236" t="s">
        <v>19678</v>
      </c>
    </row>
    <row r="368" spans="1:9" ht="15.75" x14ac:dyDescent="0.25">
      <c r="A368" s="36">
        <v>42889</v>
      </c>
      <c r="B368" s="18">
        <v>114469</v>
      </c>
      <c r="C368" s="235" t="s">
        <v>19677</v>
      </c>
      <c r="D368" s="239" t="s">
        <v>95</v>
      </c>
      <c r="E368" s="15">
        <v>0</v>
      </c>
      <c r="F368" s="240" t="s">
        <v>95</v>
      </c>
      <c r="G368" s="15">
        <v>0</v>
      </c>
      <c r="H368" s="15">
        <f t="shared" si="5"/>
        <v>0</v>
      </c>
      <c r="I368" s="236" t="s">
        <v>19678</v>
      </c>
    </row>
    <row r="369" spans="1:9" x14ac:dyDescent="0.25">
      <c r="A369" s="242">
        <v>42889</v>
      </c>
      <c r="B369" s="18">
        <v>114470</v>
      </c>
      <c r="C369" s="235" t="s">
        <v>19677</v>
      </c>
      <c r="D369" s="236" t="s">
        <v>15858</v>
      </c>
      <c r="E369" s="15">
        <v>5311.8</v>
      </c>
      <c r="F369" s="237">
        <v>42889</v>
      </c>
      <c r="G369" s="15">
        <v>5311.8</v>
      </c>
      <c r="H369" s="15">
        <f t="shared" si="5"/>
        <v>0</v>
      </c>
      <c r="I369" s="236" t="s">
        <v>19682</v>
      </c>
    </row>
    <row r="370" spans="1:9" x14ac:dyDescent="0.25">
      <c r="A370" s="36">
        <v>42889</v>
      </c>
      <c r="B370" s="18">
        <v>114471</v>
      </c>
      <c r="C370" s="235" t="s">
        <v>19677</v>
      </c>
      <c r="D370" s="236" t="s">
        <v>15315</v>
      </c>
      <c r="E370" s="15">
        <v>2471.6</v>
      </c>
      <c r="F370" s="237">
        <v>42889</v>
      </c>
      <c r="G370" s="15">
        <v>2471.6</v>
      </c>
      <c r="H370" s="15">
        <f t="shared" si="5"/>
        <v>0</v>
      </c>
      <c r="I370" s="236" t="s">
        <v>19682</v>
      </c>
    </row>
    <row r="371" spans="1:9" x14ac:dyDescent="0.25">
      <c r="A371" s="242">
        <v>42889</v>
      </c>
      <c r="B371" s="18">
        <v>114472</v>
      </c>
      <c r="C371" s="235" t="s">
        <v>19677</v>
      </c>
      <c r="D371" s="236" t="s">
        <v>15861</v>
      </c>
      <c r="E371" s="15">
        <v>1358.3</v>
      </c>
      <c r="F371" s="237">
        <v>42889</v>
      </c>
      <c r="G371" s="15">
        <v>1358.3</v>
      </c>
      <c r="H371" s="15">
        <f t="shared" si="5"/>
        <v>0</v>
      </c>
      <c r="I371" s="236" t="s">
        <v>19682</v>
      </c>
    </row>
    <row r="372" spans="1:9" x14ac:dyDescent="0.25">
      <c r="A372" s="36">
        <v>42889</v>
      </c>
      <c r="B372" s="18">
        <v>114473</v>
      </c>
      <c r="C372" s="235" t="s">
        <v>19677</v>
      </c>
      <c r="D372" s="236" t="s">
        <v>15340</v>
      </c>
      <c r="E372" s="15">
        <v>1981.2</v>
      </c>
      <c r="F372" s="237">
        <v>42889</v>
      </c>
      <c r="G372" s="15">
        <v>1981.2</v>
      </c>
      <c r="H372" s="15">
        <f t="shared" si="5"/>
        <v>0</v>
      </c>
      <c r="I372" s="236" t="s">
        <v>19682</v>
      </c>
    </row>
    <row r="373" spans="1:9" x14ac:dyDescent="0.25">
      <c r="A373" s="242">
        <v>42889</v>
      </c>
      <c r="B373" s="18">
        <v>114474</v>
      </c>
      <c r="C373" s="235" t="s">
        <v>19677</v>
      </c>
      <c r="D373" s="236" t="s">
        <v>15332</v>
      </c>
      <c r="E373" s="15">
        <v>5208.3999999999996</v>
      </c>
      <c r="F373" s="237">
        <v>42889</v>
      </c>
      <c r="G373" s="15">
        <v>5208.3999999999996</v>
      </c>
      <c r="H373" s="15">
        <f t="shared" si="5"/>
        <v>0</v>
      </c>
      <c r="I373" s="236" t="s">
        <v>19682</v>
      </c>
    </row>
    <row r="374" spans="1:9" x14ac:dyDescent="0.25">
      <c r="A374" s="36">
        <v>42889</v>
      </c>
      <c r="B374" s="18">
        <v>114475</v>
      </c>
      <c r="C374" s="235" t="s">
        <v>19677</v>
      </c>
      <c r="D374" s="236" t="s">
        <v>15344</v>
      </c>
      <c r="E374" s="15">
        <v>2347.1999999999998</v>
      </c>
      <c r="F374" s="237">
        <v>42889</v>
      </c>
      <c r="G374" s="15">
        <v>2347.1999999999998</v>
      </c>
      <c r="H374" s="15">
        <f t="shared" si="5"/>
        <v>0</v>
      </c>
      <c r="I374" s="236" t="s">
        <v>19682</v>
      </c>
    </row>
    <row r="375" spans="1:9" x14ac:dyDescent="0.25">
      <c r="A375" s="242">
        <v>42889</v>
      </c>
      <c r="B375" s="18">
        <v>114476</v>
      </c>
      <c r="C375" s="235" t="s">
        <v>19677</v>
      </c>
      <c r="D375" s="236" t="s">
        <v>15396</v>
      </c>
      <c r="E375" s="15">
        <v>9686.66</v>
      </c>
      <c r="F375" s="237">
        <v>42889</v>
      </c>
      <c r="G375" s="15">
        <v>9686.66</v>
      </c>
      <c r="H375" s="15">
        <f t="shared" si="5"/>
        <v>0</v>
      </c>
      <c r="I375" s="236" t="s">
        <v>19682</v>
      </c>
    </row>
    <row r="376" spans="1:9" x14ac:dyDescent="0.25">
      <c r="A376" s="36">
        <v>42889</v>
      </c>
      <c r="B376" s="18">
        <v>114477</v>
      </c>
      <c r="C376" s="235" t="s">
        <v>19677</v>
      </c>
      <c r="D376" s="236" t="s">
        <v>15526</v>
      </c>
      <c r="E376" s="15">
        <v>3873.6</v>
      </c>
      <c r="F376" s="237">
        <v>42889</v>
      </c>
      <c r="G376" s="15">
        <v>3873.6</v>
      </c>
      <c r="H376" s="15">
        <f t="shared" si="5"/>
        <v>0</v>
      </c>
      <c r="I376" s="236" t="s">
        <v>19682</v>
      </c>
    </row>
    <row r="377" spans="1:9" x14ac:dyDescent="0.25">
      <c r="A377" s="242">
        <v>42889</v>
      </c>
      <c r="B377" s="18">
        <v>114478</v>
      </c>
      <c r="C377" s="235" t="s">
        <v>19677</v>
      </c>
      <c r="D377" s="236" t="s">
        <v>15378</v>
      </c>
      <c r="E377" s="15">
        <v>1223.5</v>
      </c>
      <c r="F377" s="237">
        <v>42889</v>
      </c>
      <c r="G377" s="15">
        <v>1223.5</v>
      </c>
      <c r="H377" s="15">
        <f t="shared" si="5"/>
        <v>0</v>
      </c>
      <c r="I377" s="236" t="s">
        <v>19682</v>
      </c>
    </row>
    <row r="378" spans="1:9" x14ac:dyDescent="0.25">
      <c r="A378" s="36">
        <v>42889</v>
      </c>
      <c r="B378" s="18">
        <v>114479</v>
      </c>
      <c r="C378" s="235" t="s">
        <v>19677</v>
      </c>
      <c r="D378" s="236" t="s">
        <v>15358</v>
      </c>
      <c r="E378" s="15">
        <v>2886.04</v>
      </c>
      <c r="F378" s="237">
        <v>42889</v>
      </c>
      <c r="G378" s="15">
        <v>2886.04</v>
      </c>
      <c r="H378" s="15">
        <f t="shared" si="5"/>
        <v>0</v>
      </c>
      <c r="I378" s="236" t="s">
        <v>19682</v>
      </c>
    </row>
    <row r="379" spans="1:9" x14ac:dyDescent="0.25">
      <c r="A379" s="242">
        <v>42889</v>
      </c>
      <c r="B379" s="18">
        <v>114480</v>
      </c>
      <c r="C379" s="235" t="s">
        <v>19677</v>
      </c>
      <c r="D379" s="236" t="s">
        <v>15336</v>
      </c>
      <c r="E379" s="15">
        <v>8859.6</v>
      </c>
      <c r="F379" s="237">
        <v>42889</v>
      </c>
      <c r="G379" s="15">
        <v>8859.6</v>
      </c>
      <c r="H379" s="15">
        <f t="shared" si="5"/>
        <v>0</v>
      </c>
      <c r="I379" s="236" t="s">
        <v>19682</v>
      </c>
    </row>
    <row r="380" spans="1:9" x14ac:dyDescent="0.25">
      <c r="A380" s="36">
        <v>42889</v>
      </c>
      <c r="B380" s="18">
        <v>114481</v>
      </c>
      <c r="C380" s="235" t="s">
        <v>19677</v>
      </c>
      <c r="D380" s="236" t="s">
        <v>15742</v>
      </c>
      <c r="E380" s="15">
        <v>1724.9</v>
      </c>
      <c r="F380" s="237">
        <v>42889</v>
      </c>
      <c r="G380" s="15">
        <v>1724.9</v>
      </c>
      <c r="H380" s="15">
        <f t="shared" si="5"/>
        <v>0</v>
      </c>
      <c r="I380" s="236" t="s">
        <v>19682</v>
      </c>
    </row>
    <row r="381" spans="1:9" x14ac:dyDescent="0.25">
      <c r="A381" s="242">
        <v>42889</v>
      </c>
      <c r="B381" s="18">
        <v>114482</v>
      </c>
      <c r="C381" s="235" t="s">
        <v>19677</v>
      </c>
      <c r="D381" s="236" t="s">
        <v>15350</v>
      </c>
      <c r="E381" s="15">
        <v>1824</v>
      </c>
      <c r="F381" s="237">
        <v>42889</v>
      </c>
      <c r="G381" s="15">
        <v>1824</v>
      </c>
      <c r="H381" s="15">
        <f t="shared" si="5"/>
        <v>0</v>
      </c>
      <c r="I381" s="236" t="s">
        <v>19682</v>
      </c>
    </row>
    <row r="382" spans="1:9" x14ac:dyDescent="0.25">
      <c r="A382" s="36">
        <v>42889</v>
      </c>
      <c r="B382" s="18">
        <v>114483</v>
      </c>
      <c r="C382" s="235" t="s">
        <v>19677</v>
      </c>
      <c r="D382" s="236" t="s">
        <v>15523</v>
      </c>
      <c r="E382" s="15">
        <v>5520</v>
      </c>
      <c r="F382" s="237">
        <v>42889</v>
      </c>
      <c r="G382" s="15">
        <v>5520</v>
      </c>
      <c r="H382" s="15">
        <f t="shared" si="5"/>
        <v>0</v>
      </c>
      <c r="I382" s="236" t="s">
        <v>19682</v>
      </c>
    </row>
    <row r="383" spans="1:9" x14ac:dyDescent="0.25">
      <c r="A383" s="242">
        <v>42889</v>
      </c>
      <c r="B383" s="18">
        <v>114484</v>
      </c>
      <c r="C383" s="235" t="s">
        <v>19677</v>
      </c>
      <c r="D383" s="236" t="s">
        <v>15334</v>
      </c>
      <c r="E383" s="15">
        <v>3130</v>
      </c>
      <c r="F383" s="237">
        <v>42889</v>
      </c>
      <c r="G383" s="15">
        <v>3130</v>
      </c>
      <c r="H383" s="15">
        <f t="shared" si="5"/>
        <v>0</v>
      </c>
      <c r="I383" s="236" t="s">
        <v>19682</v>
      </c>
    </row>
    <row r="384" spans="1:9" x14ac:dyDescent="0.25">
      <c r="A384" s="36">
        <v>42889</v>
      </c>
      <c r="B384" s="18">
        <v>114485</v>
      </c>
      <c r="C384" s="235" t="s">
        <v>19677</v>
      </c>
      <c r="D384" s="236" t="s">
        <v>15328</v>
      </c>
      <c r="E384" s="15">
        <v>27945.360000000001</v>
      </c>
      <c r="F384" s="237">
        <v>42902</v>
      </c>
      <c r="G384" s="15">
        <v>27945.360000000001</v>
      </c>
      <c r="H384" s="15">
        <f t="shared" si="5"/>
        <v>0</v>
      </c>
      <c r="I384" s="236" t="s">
        <v>19682</v>
      </c>
    </row>
    <row r="385" spans="1:9" x14ac:dyDescent="0.25">
      <c r="A385" s="242">
        <v>42889</v>
      </c>
      <c r="B385" s="18">
        <v>114486</v>
      </c>
      <c r="C385" s="235" t="s">
        <v>19677</v>
      </c>
      <c r="D385" s="236" t="s">
        <v>18076</v>
      </c>
      <c r="E385" s="15">
        <v>2304</v>
      </c>
      <c r="F385" s="237">
        <v>42889</v>
      </c>
      <c r="G385" s="15">
        <v>2304</v>
      </c>
      <c r="H385" s="15">
        <f t="shared" si="5"/>
        <v>0</v>
      </c>
      <c r="I385" s="236" t="s">
        <v>19682</v>
      </c>
    </row>
    <row r="386" spans="1:9" x14ac:dyDescent="0.25">
      <c r="A386" s="36">
        <v>42889</v>
      </c>
      <c r="B386" s="18">
        <v>114487</v>
      </c>
      <c r="C386" s="235" t="s">
        <v>19677</v>
      </c>
      <c r="D386" s="236" t="s">
        <v>15577</v>
      </c>
      <c r="E386" s="15">
        <v>416.4</v>
      </c>
      <c r="F386" s="237">
        <v>42889</v>
      </c>
      <c r="G386" s="15">
        <v>416.4</v>
      </c>
      <c r="H386" s="15">
        <f t="shared" ref="H386:H449" si="6">E386-G386</f>
        <v>0</v>
      </c>
      <c r="I386" s="236" t="s">
        <v>19682</v>
      </c>
    </row>
    <row r="387" spans="1:9" x14ac:dyDescent="0.25">
      <c r="A387" s="242">
        <v>42889</v>
      </c>
      <c r="B387" s="18">
        <v>114488</v>
      </c>
      <c r="C387" s="235" t="s">
        <v>19677</v>
      </c>
      <c r="D387" s="236" t="s">
        <v>15590</v>
      </c>
      <c r="E387" s="15">
        <v>40970.400000000001</v>
      </c>
      <c r="F387" s="237">
        <v>42898</v>
      </c>
      <c r="G387" s="15">
        <v>40970.400000000001</v>
      </c>
      <c r="H387" s="15">
        <f t="shared" si="6"/>
        <v>0</v>
      </c>
      <c r="I387" s="236" t="s">
        <v>19682</v>
      </c>
    </row>
    <row r="388" spans="1:9" x14ac:dyDescent="0.25">
      <c r="A388" s="36">
        <v>42889</v>
      </c>
      <c r="B388" s="18">
        <v>114489</v>
      </c>
      <c r="C388" s="235" t="s">
        <v>19677</v>
      </c>
      <c r="D388" s="236" t="s">
        <v>15748</v>
      </c>
      <c r="E388" s="15">
        <v>3071</v>
      </c>
      <c r="F388" s="237">
        <v>42889</v>
      </c>
      <c r="G388" s="15">
        <v>3071</v>
      </c>
      <c r="H388" s="15">
        <f t="shared" si="6"/>
        <v>0</v>
      </c>
      <c r="I388" s="236" t="s">
        <v>19682</v>
      </c>
    </row>
    <row r="389" spans="1:9" x14ac:dyDescent="0.25">
      <c r="A389" s="242">
        <v>42889</v>
      </c>
      <c r="B389" s="18">
        <v>114490</v>
      </c>
      <c r="C389" s="235" t="s">
        <v>19677</v>
      </c>
      <c r="D389" s="236" t="s">
        <v>15313</v>
      </c>
      <c r="E389" s="15">
        <v>3187.08</v>
      </c>
      <c r="F389" s="237">
        <v>42891</v>
      </c>
      <c r="G389" s="15">
        <v>3187.08</v>
      </c>
      <c r="H389" s="15">
        <f t="shared" si="6"/>
        <v>0</v>
      </c>
      <c r="I389" s="236" t="s">
        <v>19682</v>
      </c>
    </row>
    <row r="390" spans="1:9" ht="15.75" x14ac:dyDescent="0.25">
      <c r="A390" s="36">
        <v>42889</v>
      </c>
      <c r="B390" s="18">
        <v>114491</v>
      </c>
      <c r="C390" s="235" t="s">
        <v>19677</v>
      </c>
      <c r="D390" s="239" t="s">
        <v>95</v>
      </c>
      <c r="E390" s="15">
        <v>0</v>
      </c>
      <c r="F390" s="240" t="s">
        <v>95</v>
      </c>
      <c r="G390" s="15">
        <v>0</v>
      </c>
      <c r="H390" s="15">
        <f t="shared" si="6"/>
        <v>0</v>
      </c>
      <c r="I390" s="236" t="s">
        <v>19678</v>
      </c>
    </row>
    <row r="391" spans="1:9" x14ac:dyDescent="0.25">
      <c r="A391" s="242">
        <v>42889</v>
      </c>
      <c r="B391" s="18">
        <v>114492</v>
      </c>
      <c r="C391" s="235" t="s">
        <v>19677</v>
      </c>
      <c r="D391" s="236" t="s">
        <v>15326</v>
      </c>
      <c r="E391" s="15">
        <v>4567.3999999999996</v>
      </c>
      <c r="F391" s="237">
        <v>42889</v>
      </c>
      <c r="G391" s="15">
        <v>4567.3999999999996</v>
      </c>
      <c r="H391" s="15">
        <f t="shared" si="6"/>
        <v>0</v>
      </c>
      <c r="I391" s="236" t="s">
        <v>19682</v>
      </c>
    </row>
    <row r="392" spans="1:9" x14ac:dyDescent="0.25">
      <c r="A392" s="36">
        <v>42889</v>
      </c>
      <c r="B392" s="18">
        <v>114493</v>
      </c>
      <c r="C392" s="235" t="s">
        <v>19677</v>
      </c>
      <c r="D392" s="236" t="s">
        <v>15537</v>
      </c>
      <c r="E392" s="15">
        <v>30750</v>
      </c>
      <c r="F392" s="237">
        <v>42893</v>
      </c>
      <c r="G392" s="15">
        <v>30750</v>
      </c>
      <c r="H392" s="15">
        <f t="shared" si="6"/>
        <v>0</v>
      </c>
      <c r="I392" s="236" t="s">
        <v>19682</v>
      </c>
    </row>
    <row r="393" spans="1:9" x14ac:dyDescent="0.25">
      <c r="A393" s="242">
        <v>42889</v>
      </c>
      <c r="B393" s="18">
        <v>114494</v>
      </c>
      <c r="C393" s="235" t="s">
        <v>19677</v>
      </c>
      <c r="D393" s="236" t="s">
        <v>15539</v>
      </c>
      <c r="E393" s="15">
        <v>21092</v>
      </c>
      <c r="F393" s="237">
        <v>42893</v>
      </c>
      <c r="G393" s="15">
        <v>21092</v>
      </c>
      <c r="H393" s="15">
        <f t="shared" si="6"/>
        <v>0</v>
      </c>
      <c r="I393" s="236" t="s">
        <v>19682</v>
      </c>
    </row>
    <row r="394" spans="1:9" x14ac:dyDescent="0.25">
      <c r="A394" s="36">
        <v>42889</v>
      </c>
      <c r="B394" s="18">
        <v>114495</v>
      </c>
      <c r="C394" s="235" t="s">
        <v>19677</v>
      </c>
      <c r="D394" s="236" t="s">
        <v>16040</v>
      </c>
      <c r="E394" s="15">
        <v>16814.900000000001</v>
      </c>
      <c r="F394" s="237">
        <v>42900</v>
      </c>
      <c r="G394" s="15">
        <v>16814.900000000001</v>
      </c>
      <c r="H394" s="15">
        <f t="shared" si="6"/>
        <v>0</v>
      </c>
      <c r="I394" s="236" t="s">
        <v>19682</v>
      </c>
    </row>
    <row r="395" spans="1:9" x14ac:dyDescent="0.25">
      <c r="A395" s="242">
        <v>42889</v>
      </c>
      <c r="B395" s="18">
        <v>114496</v>
      </c>
      <c r="C395" s="235" t="s">
        <v>19677</v>
      </c>
      <c r="D395" s="236" t="s">
        <v>16093</v>
      </c>
      <c r="E395" s="15">
        <v>2307.9</v>
      </c>
      <c r="F395" s="237">
        <v>42889</v>
      </c>
      <c r="G395" s="15">
        <v>2307.9</v>
      </c>
      <c r="H395" s="15">
        <f t="shared" si="6"/>
        <v>0</v>
      </c>
      <c r="I395" s="236" t="s">
        <v>19682</v>
      </c>
    </row>
    <row r="396" spans="1:9" x14ac:dyDescent="0.25">
      <c r="A396" s="36">
        <v>42889</v>
      </c>
      <c r="B396" s="18">
        <v>114497</v>
      </c>
      <c r="C396" s="235" t="s">
        <v>19677</v>
      </c>
      <c r="D396" s="236" t="s">
        <v>15544</v>
      </c>
      <c r="E396" s="15">
        <v>767.2</v>
      </c>
      <c r="F396" s="237">
        <v>42895</v>
      </c>
      <c r="G396" s="15">
        <v>767.2</v>
      </c>
      <c r="H396" s="15">
        <f t="shared" si="6"/>
        <v>0</v>
      </c>
      <c r="I396" s="236" t="s">
        <v>19682</v>
      </c>
    </row>
    <row r="397" spans="1:9" x14ac:dyDescent="0.25">
      <c r="A397" s="242">
        <v>42889</v>
      </c>
      <c r="B397" s="18">
        <v>114498</v>
      </c>
      <c r="C397" s="235" t="s">
        <v>19677</v>
      </c>
      <c r="D397" s="236" t="s">
        <v>15315</v>
      </c>
      <c r="E397" s="15">
        <v>3252.6</v>
      </c>
      <c r="F397" s="237">
        <v>42893</v>
      </c>
      <c r="G397" s="15">
        <v>3252.6</v>
      </c>
      <c r="H397" s="15">
        <f t="shared" si="6"/>
        <v>0</v>
      </c>
      <c r="I397" s="236" t="s">
        <v>19682</v>
      </c>
    </row>
    <row r="398" spans="1:9" x14ac:dyDescent="0.25">
      <c r="A398" s="36">
        <v>42889</v>
      </c>
      <c r="B398" s="18">
        <v>114499</v>
      </c>
      <c r="C398" s="235" t="s">
        <v>19677</v>
      </c>
      <c r="D398" s="236" t="s">
        <v>15315</v>
      </c>
      <c r="E398" s="15">
        <v>11696.1</v>
      </c>
      <c r="F398" s="237">
        <v>42895</v>
      </c>
      <c r="G398" s="15">
        <v>11696.1</v>
      </c>
      <c r="H398" s="15">
        <f t="shared" si="6"/>
        <v>0</v>
      </c>
      <c r="I398" s="236" t="s">
        <v>19682</v>
      </c>
    </row>
    <row r="399" spans="1:9" x14ac:dyDescent="0.25">
      <c r="A399" s="242">
        <v>42889</v>
      </c>
      <c r="B399" s="18">
        <v>114500</v>
      </c>
      <c r="C399" s="235" t="s">
        <v>19677</v>
      </c>
      <c r="D399" s="236" t="s">
        <v>15566</v>
      </c>
      <c r="E399" s="15">
        <v>2964.3</v>
      </c>
      <c r="F399" s="237">
        <v>42889</v>
      </c>
      <c r="G399" s="15">
        <v>2964.3</v>
      </c>
      <c r="H399" s="15">
        <f t="shared" si="6"/>
        <v>0</v>
      </c>
      <c r="I399" s="236" t="s">
        <v>19682</v>
      </c>
    </row>
    <row r="400" spans="1:9" ht="15.75" x14ac:dyDescent="0.25">
      <c r="A400" s="36">
        <v>42889</v>
      </c>
      <c r="B400" s="18">
        <v>114501</v>
      </c>
      <c r="C400" s="235" t="s">
        <v>19677</v>
      </c>
      <c r="D400" s="239" t="s">
        <v>95</v>
      </c>
      <c r="E400" s="15">
        <v>0</v>
      </c>
      <c r="F400" s="240" t="s">
        <v>95</v>
      </c>
      <c r="G400" s="15">
        <v>0</v>
      </c>
      <c r="H400" s="15">
        <f t="shared" si="6"/>
        <v>0</v>
      </c>
      <c r="I400" s="236" t="s">
        <v>19678</v>
      </c>
    </row>
    <row r="401" spans="1:9" x14ac:dyDescent="0.25">
      <c r="A401" s="242">
        <v>42889</v>
      </c>
      <c r="B401" s="18">
        <v>114502</v>
      </c>
      <c r="C401" s="235" t="s">
        <v>19677</v>
      </c>
      <c r="D401" s="236" t="s">
        <v>15267</v>
      </c>
      <c r="E401" s="15">
        <v>11140</v>
      </c>
      <c r="F401" s="237">
        <v>42889</v>
      </c>
      <c r="G401" s="15">
        <v>11140</v>
      </c>
      <c r="H401" s="15">
        <f t="shared" si="6"/>
        <v>0</v>
      </c>
      <c r="I401" s="236" t="s">
        <v>19682</v>
      </c>
    </row>
    <row r="402" spans="1:9" x14ac:dyDescent="0.25">
      <c r="A402" s="36">
        <v>42889</v>
      </c>
      <c r="B402" s="18">
        <v>114503</v>
      </c>
      <c r="C402" s="235" t="s">
        <v>19677</v>
      </c>
      <c r="D402" s="236" t="s">
        <v>15920</v>
      </c>
      <c r="E402" s="15">
        <v>11160</v>
      </c>
      <c r="F402" s="237">
        <v>42889</v>
      </c>
      <c r="G402" s="15">
        <v>11160</v>
      </c>
      <c r="H402" s="15">
        <f t="shared" si="6"/>
        <v>0</v>
      </c>
      <c r="I402" s="236" t="s">
        <v>19682</v>
      </c>
    </row>
    <row r="403" spans="1:9" x14ac:dyDescent="0.25">
      <c r="A403" s="242">
        <v>42889</v>
      </c>
      <c r="B403" s="18">
        <v>114504</v>
      </c>
      <c r="C403" s="235" t="s">
        <v>19677</v>
      </c>
      <c r="D403" s="236" t="s">
        <v>15246</v>
      </c>
      <c r="E403" s="15">
        <v>13558.8</v>
      </c>
      <c r="F403" s="237">
        <v>42891</v>
      </c>
      <c r="G403" s="15">
        <v>13558.8</v>
      </c>
      <c r="H403" s="15">
        <f t="shared" si="6"/>
        <v>0</v>
      </c>
      <c r="I403" s="236" t="s">
        <v>19682</v>
      </c>
    </row>
    <row r="404" spans="1:9" x14ac:dyDescent="0.25">
      <c r="A404" s="36">
        <v>42889</v>
      </c>
      <c r="B404" s="18">
        <v>114505</v>
      </c>
      <c r="C404" s="235" t="s">
        <v>19677</v>
      </c>
      <c r="D404" s="236" t="s">
        <v>15303</v>
      </c>
      <c r="E404" s="15">
        <v>3353.8</v>
      </c>
      <c r="F404" s="237">
        <v>42889</v>
      </c>
      <c r="G404" s="15">
        <v>3353.8</v>
      </c>
      <c r="H404" s="15">
        <f t="shared" si="6"/>
        <v>0</v>
      </c>
      <c r="I404" s="236" t="s">
        <v>19682</v>
      </c>
    </row>
    <row r="405" spans="1:9" x14ac:dyDescent="0.25">
      <c r="A405" s="242">
        <v>42889</v>
      </c>
      <c r="B405" s="18">
        <v>114506</v>
      </c>
      <c r="C405" s="235" t="s">
        <v>19677</v>
      </c>
      <c r="D405" s="236" t="s">
        <v>5873</v>
      </c>
      <c r="E405" s="15">
        <v>6022.96</v>
      </c>
      <c r="F405" s="237">
        <v>42889</v>
      </c>
      <c r="G405" s="15">
        <v>6022.96</v>
      </c>
      <c r="H405" s="15">
        <f t="shared" si="6"/>
        <v>0</v>
      </c>
      <c r="I405" s="236" t="s">
        <v>19682</v>
      </c>
    </row>
    <row r="406" spans="1:9" x14ac:dyDescent="0.25">
      <c r="A406" s="36">
        <v>42889</v>
      </c>
      <c r="B406" s="18">
        <v>114507</v>
      </c>
      <c r="C406" s="235" t="s">
        <v>19677</v>
      </c>
      <c r="D406" s="236" t="s">
        <v>15596</v>
      </c>
      <c r="E406" s="15">
        <v>1204.8</v>
      </c>
      <c r="F406" s="237">
        <v>42889</v>
      </c>
      <c r="G406" s="15">
        <v>1204.8</v>
      </c>
      <c r="H406" s="15">
        <f t="shared" si="6"/>
        <v>0</v>
      </c>
      <c r="I406" s="236" t="s">
        <v>19682</v>
      </c>
    </row>
    <row r="407" spans="1:9" x14ac:dyDescent="0.25">
      <c r="A407" s="242">
        <v>42889</v>
      </c>
      <c r="B407" s="18">
        <v>114508</v>
      </c>
      <c r="C407" s="235" t="s">
        <v>19677</v>
      </c>
      <c r="D407" s="236" t="s">
        <v>15415</v>
      </c>
      <c r="E407" s="15">
        <v>1174.5999999999999</v>
      </c>
      <c r="F407" s="237">
        <v>42891</v>
      </c>
      <c r="G407" s="15">
        <v>1174.5999999999999</v>
      </c>
      <c r="H407" s="15">
        <f t="shared" si="6"/>
        <v>0</v>
      </c>
      <c r="I407" s="236" t="s">
        <v>19682</v>
      </c>
    </row>
    <row r="408" spans="1:9" x14ac:dyDescent="0.25">
      <c r="A408" s="36">
        <v>42889</v>
      </c>
      <c r="B408" s="18">
        <v>114509</v>
      </c>
      <c r="C408" s="235" t="s">
        <v>19677</v>
      </c>
      <c r="D408" s="236" t="s">
        <v>15320</v>
      </c>
      <c r="E408" s="15">
        <v>2515.5</v>
      </c>
      <c r="F408" s="237">
        <v>42889</v>
      </c>
      <c r="G408" s="15">
        <v>2515.5</v>
      </c>
      <c r="H408" s="15">
        <f t="shared" si="6"/>
        <v>0</v>
      </c>
      <c r="I408" s="236" t="s">
        <v>19682</v>
      </c>
    </row>
    <row r="409" spans="1:9" x14ac:dyDescent="0.25">
      <c r="A409" s="242">
        <v>42889</v>
      </c>
      <c r="B409" s="18">
        <v>114510</v>
      </c>
      <c r="C409" s="235" t="s">
        <v>19677</v>
      </c>
      <c r="D409" s="236" t="s">
        <v>15267</v>
      </c>
      <c r="E409" s="15">
        <v>7337</v>
      </c>
      <c r="F409" s="237">
        <v>42889</v>
      </c>
      <c r="G409" s="15">
        <v>7337</v>
      </c>
      <c r="H409" s="15">
        <f t="shared" si="6"/>
        <v>0</v>
      </c>
      <c r="I409" s="236" t="s">
        <v>19682</v>
      </c>
    </row>
    <row r="410" spans="1:9" x14ac:dyDescent="0.25">
      <c r="A410" s="36">
        <v>42889</v>
      </c>
      <c r="B410" s="18">
        <v>114511</v>
      </c>
      <c r="C410" s="235" t="s">
        <v>19677</v>
      </c>
      <c r="D410" s="236" t="s">
        <v>15291</v>
      </c>
      <c r="E410" s="15">
        <v>672</v>
      </c>
      <c r="F410" s="237">
        <v>42889</v>
      </c>
      <c r="G410" s="15">
        <v>672</v>
      </c>
      <c r="H410" s="15">
        <f t="shared" si="6"/>
        <v>0</v>
      </c>
      <c r="I410" s="236" t="s">
        <v>19682</v>
      </c>
    </row>
    <row r="411" spans="1:9" x14ac:dyDescent="0.25">
      <c r="A411" s="242">
        <v>42889</v>
      </c>
      <c r="B411" s="18">
        <v>114512</v>
      </c>
      <c r="C411" s="235" t="s">
        <v>19677</v>
      </c>
      <c r="D411" s="236" t="s">
        <v>15307</v>
      </c>
      <c r="E411" s="15">
        <v>3942.4</v>
      </c>
      <c r="F411" s="237">
        <v>42889</v>
      </c>
      <c r="G411" s="15">
        <v>3942.4</v>
      </c>
      <c r="H411" s="15">
        <f t="shared" si="6"/>
        <v>0</v>
      </c>
      <c r="I411" s="236" t="s">
        <v>19682</v>
      </c>
    </row>
    <row r="412" spans="1:9" x14ac:dyDescent="0.25">
      <c r="A412" s="36">
        <v>42889</v>
      </c>
      <c r="B412" s="18">
        <v>114513</v>
      </c>
      <c r="C412" s="235" t="s">
        <v>19677</v>
      </c>
      <c r="D412" s="236" t="s">
        <v>15745</v>
      </c>
      <c r="E412" s="15">
        <v>1549.6</v>
      </c>
      <c r="F412" s="237">
        <v>42889</v>
      </c>
      <c r="G412" s="15">
        <v>1549.6</v>
      </c>
      <c r="H412" s="15">
        <f t="shared" si="6"/>
        <v>0</v>
      </c>
      <c r="I412" s="236" t="s">
        <v>19682</v>
      </c>
    </row>
    <row r="413" spans="1:9" ht="30" x14ac:dyDescent="0.25">
      <c r="A413" s="242">
        <v>42889</v>
      </c>
      <c r="B413" s="18">
        <v>114514</v>
      </c>
      <c r="C413" s="235" t="s">
        <v>19677</v>
      </c>
      <c r="D413" s="236" t="s">
        <v>16093</v>
      </c>
      <c r="E413" s="15">
        <v>3518.4</v>
      </c>
      <c r="F413" s="237" t="s">
        <v>19695</v>
      </c>
      <c r="G413" s="241">
        <f>3000+518.4</f>
        <v>3518.4</v>
      </c>
      <c r="H413" s="241">
        <f t="shared" si="6"/>
        <v>0</v>
      </c>
      <c r="I413" s="236" t="s">
        <v>19682</v>
      </c>
    </row>
    <row r="414" spans="1:9" x14ac:dyDescent="0.25">
      <c r="A414" s="36">
        <v>42889</v>
      </c>
      <c r="B414" s="18">
        <v>114515</v>
      </c>
      <c r="C414" s="235" t="s">
        <v>19677</v>
      </c>
      <c r="D414" s="236" t="s">
        <v>15274</v>
      </c>
      <c r="E414" s="15">
        <v>2400</v>
      </c>
      <c r="F414" s="237">
        <v>42889</v>
      </c>
      <c r="G414" s="15">
        <v>2400</v>
      </c>
      <c r="H414" s="15">
        <f t="shared" si="6"/>
        <v>0</v>
      </c>
      <c r="I414" s="236" t="s">
        <v>19682</v>
      </c>
    </row>
    <row r="415" spans="1:9" x14ac:dyDescent="0.25">
      <c r="A415" s="242">
        <v>42889</v>
      </c>
      <c r="B415" s="18">
        <v>114516</v>
      </c>
      <c r="C415" s="235" t="s">
        <v>19677</v>
      </c>
      <c r="D415" s="236" t="s">
        <v>15317</v>
      </c>
      <c r="E415" s="15">
        <v>1073.0999999999999</v>
      </c>
      <c r="F415" s="237">
        <v>42891</v>
      </c>
      <c r="G415" s="15">
        <v>1073.0999999999999</v>
      </c>
      <c r="H415" s="15">
        <f t="shared" si="6"/>
        <v>0</v>
      </c>
      <c r="I415" s="236" t="s">
        <v>19682</v>
      </c>
    </row>
    <row r="416" spans="1:9" x14ac:dyDescent="0.25">
      <c r="A416" s="36">
        <v>42889</v>
      </c>
      <c r="B416" s="18">
        <v>114517</v>
      </c>
      <c r="C416" s="235" t="s">
        <v>19677</v>
      </c>
      <c r="D416" s="236" t="s">
        <v>15309</v>
      </c>
      <c r="E416" s="15">
        <v>7858.5</v>
      </c>
      <c r="F416" s="237">
        <v>42891</v>
      </c>
      <c r="G416" s="15">
        <v>7858.5</v>
      </c>
      <c r="H416" s="15">
        <f t="shared" si="6"/>
        <v>0</v>
      </c>
      <c r="I416" s="236" t="s">
        <v>19682</v>
      </c>
    </row>
    <row r="417" spans="1:9" x14ac:dyDescent="0.25">
      <c r="A417" s="242">
        <v>42889</v>
      </c>
      <c r="B417" s="18">
        <v>114518</v>
      </c>
      <c r="C417" s="235" t="s">
        <v>19677</v>
      </c>
      <c r="D417" s="236" t="s">
        <v>15716</v>
      </c>
      <c r="E417" s="15">
        <v>15638.7</v>
      </c>
      <c r="F417" s="237">
        <v>42889</v>
      </c>
      <c r="G417" s="15">
        <v>15638.7</v>
      </c>
      <c r="H417" s="15">
        <f t="shared" si="6"/>
        <v>0</v>
      </c>
      <c r="I417" s="236" t="s">
        <v>19682</v>
      </c>
    </row>
    <row r="418" spans="1:9" x14ac:dyDescent="0.25">
      <c r="A418" s="36">
        <v>42889</v>
      </c>
      <c r="B418" s="18">
        <v>114519</v>
      </c>
      <c r="C418" s="235" t="s">
        <v>19677</v>
      </c>
      <c r="D418" s="236" t="s">
        <v>15315</v>
      </c>
      <c r="E418" s="15">
        <v>1050</v>
      </c>
      <c r="F418" s="237">
        <v>42889</v>
      </c>
      <c r="G418" s="15">
        <v>1050</v>
      </c>
      <c r="H418" s="15">
        <f t="shared" si="6"/>
        <v>0</v>
      </c>
      <c r="I418" s="236" t="s">
        <v>19682</v>
      </c>
    </row>
    <row r="419" spans="1:9" x14ac:dyDescent="0.25">
      <c r="A419" s="242">
        <v>42889</v>
      </c>
      <c r="B419" s="18">
        <v>114520</v>
      </c>
      <c r="C419" s="235" t="s">
        <v>19677</v>
      </c>
      <c r="D419" s="236" t="s">
        <v>15246</v>
      </c>
      <c r="E419" s="15">
        <v>1443.2</v>
      </c>
      <c r="F419" s="237">
        <v>42891</v>
      </c>
      <c r="G419" s="15">
        <v>1443.2</v>
      </c>
      <c r="H419" s="15">
        <f t="shared" si="6"/>
        <v>0</v>
      </c>
      <c r="I419" s="236" t="s">
        <v>19682</v>
      </c>
    </row>
    <row r="420" spans="1:9" x14ac:dyDescent="0.25">
      <c r="A420" s="36">
        <v>42889</v>
      </c>
      <c r="B420" s="18">
        <v>114521</v>
      </c>
      <c r="C420" s="235" t="s">
        <v>19677</v>
      </c>
      <c r="D420" s="236" t="s">
        <v>15728</v>
      </c>
      <c r="E420" s="15">
        <v>14028.4</v>
      </c>
      <c r="F420" s="237">
        <v>42889</v>
      </c>
      <c r="G420" s="15">
        <v>14028.4</v>
      </c>
      <c r="H420" s="15">
        <f t="shared" si="6"/>
        <v>0</v>
      </c>
      <c r="I420" s="236" t="s">
        <v>19682</v>
      </c>
    </row>
    <row r="421" spans="1:9" x14ac:dyDescent="0.25">
      <c r="A421" s="242">
        <v>42889</v>
      </c>
      <c r="B421" s="18">
        <v>114522</v>
      </c>
      <c r="C421" s="235" t="s">
        <v>19677</v>
      </c>
      <c r="D421" s="236" t="s">
        <v>15315</v>
      </c>
      <c r="E421" s="15">
        <v>2400</v>
      </c>
      <c r="F421" s="237">
        <v>42889</v>
      </c>
      <c r="G421" s="15">
        <v>2400</v>
      </c>
      <c r="H421" s="15">
        <f t="shared" si="6"/>
        <v>0</v>
      </c>
      <c r="I421" s="236" t="s">
        <v>19682</v>
      </c>
    </row>
    <row r="422" spans="1:9" x14ac:dyDescent="0.25">
      <c r="A422" s="36">
        <v>42889</v>
      </c>
      <c r="B422" s="18">
        <v>114523</v>
      </c>
      <c r="C422" s="235" t="s">
        <v>19677</v>
      </c>
      <c r="D422" s="236" t="s">
        <v>17235</v>
      </c>
      <c r="E422" s="15">
        <v>1200</v>
      </c>
      <c r="F422" s="237">
        <v>42889</v>
      </c>
      <c r="G422" s="15">
        <v>1200</v>
      </c>
      <c r="H422" s="15">
        <f t="shared" si="6"/>
        <v>0</v>
      </c>
      <c r="I422" s="236" t="s">
        <v>19682</v>
      </c>
    </row>
    <row r="423" spans="1:9" x14ac:dyDescent="0.25">
      <c r="A423" s="242">
        <v>42889</v>
      </c>
      <c r="B423" s="18">
        <v>114524</v>
      </c>
      <c r="C423" s="235" t="s">
        <v>19677</v>
      </c>
      <c r="D423" s="236" t="s">
        <v>17595</v>
      </c>
      <c r="E423" s="15">
        <v>8008</v>
      </c>
      <c r="F423" s="237">
        <v>42889</v>
      </c>
      <c r="G423" s="15">
        <v>8008</v>
      </c>
      <c r="H423" s="15">
        <f t="shared" si="6"/>
        <v>0</v>
      </c>
      <c r="I423" s="236" t="s">
        <v>19682</v>
      </c>
    </row>
    <row r="424" spans="1:9" x14ac:dyDescent="0.25">
      <c r="A424" s="36">
        <v>42889</v>
      </c>
      <c r="B424" s="18">
        <v>114525</v>
      </c>
      <c r="C424" s="235" t="s">
        <v>19677</v>
      </c>
      <c r="D424" s="236" t="s">
        <v>15789</v>
      </c>
      <c r="E424" s="15">
        <v>25557.8</v>
      </c>
      <c r="F424" s="237">
        <v>42896</v>
      </c>
      <c r="G424" s="15">
        <v>25557.8</v>
      </c>
      <c r="H424" s="15">
        <f t="shared" si="6"/>
        <v>0</v>
      </c>
      <c r="I424" s="236" t="s">
        <v>19682</v>
      </c>
    </row>
    <row r="425" spans="1:9" x14ac:dyDescent="0.25">
      <c r="A425" s="242">
        <v>42889</v>
      </c>
      <c r="B425" s="18">
        <v>114526</v>
      </c>
      <c r="C425" s="235" t="s">
        <v>19677</v>
      </c>
      <c r="D425" s="236" t="s">
        <v>15315</v>
      </c>
      <c r="E425" s="15">
        <v>633.20000000000005</v>
      </c>
      <c r="F425" s="237">
        <v>42889</v>
      </c>
      <c r="G425" s="15">
        <v>633.20000000000005</v>
      </c>
      <c r="H425" s="15">
        <f t="shared" si="6"/>
        <v>0</v>
      </c>
      <c r="I425" s="236" t="s">
        <v>19682</v>
      </c>
    </row>
    <row r="426" spans="1:9" x14ac:dyDescent="0.25">
      <c r="A426" s="36">
        <v>42889</v>
      </c>
      <c r="B426" s="18">
        <v>114527</v>
      </c>
      <c r="C426" s="235" t="s">
        <v>19677</v>
      </c>
      <c r="D426" s="236" t="s">
        <v>15365</v>
      </c>
      <c r="E426" s="15">
        <v>442974</v>
      </c>
      <c r="F426" s="237">
        <v>42895</v>
      </c>
      <c r="G426" s="15">
        <v>442974</v>
      </c>
      <c r="H426" s="15">
        <f t="shared" si="6"/>
        <v>0</v>
      </c>
      <c r="I426" s="236" t="s">
        <v>19682</v>
      </c>
    </row>
    <row r="427" spans="1:9" x14ac:dyDescent="0.25">
      <c r="A427" s="242">
        <v>42889</v>
      </c>
      <c r="B427" s="18">
        <v>114528</v>
      </c>
      <c r="C427" s="235" t="s">
        <v>19677</v>
      </c>
      <c r="D427" s="236" t="s">
        <v>15624</v>
      </c>
      <c r="E427" s="15">
        <v>3376.1</v>
      </c>
      <c r="F427" s="237">
        <v>42889</v>
      </c>
      <c r="G427" s="15">
        <v>3376.1</v>
      </c>
      <c r="H427" s="15">
        <f t="shared" si="6"/>
        <v>0</v>
      </c>
      <c r="I427" s="236" t="s">
        <v>19682</v>
      </c>
    </row>
    <row r="428" spans="1:9" x14ac:dyDescent="0.25">
      <c r="A428" s="36">
        <v>42889</v>
      </c>
      <c r="B428" s="18">
        <v>114529</v>
      </c>
      <c r="C428" s="235" t="s">
        <v>19677</v>
      </c>
      <c r="D428" s="236" t="s">
        <v>15223</v>
      </c>
      <c r="E428" s="15">
        <v>49536</v>
      </c>
      <c r="F428" s="237">
        <v>42901</v>
      </c>
      <c r="G428" s="15">
        <v>49536</v>
      </c>
      <c r="H428" s="15">
        <f t="shared" si="6"/>
        <v>0</v>
      </c>
      <c r="I428" s="236" t="s">
        <v>19682</v>
      </c>
    </row>
    <row r="429" spans="1:9" x14ac:dyDescent="0.25">
      <c r="A429" s="242">
        <v>42889</v>
      </c>
      <c r="B429" s="18">
        <v>114530</v>
      </c>
      <c r="C429" s="235" t="s">
        <v>19677</v>
      </c>
      <c r="D429" s="236" t="s">
        <v>15417</v>
      </c>
      <c r="E429" s="15">
        <v>4800</v>
      </c>
      <c r="F429" s="237">
        <v>42889</v>
      </c>
      <c r="G429" s="15">
        <v>4800</v>
      </c>
      <c r="H429" s="15">
        <f t="shared" si="6"/>
        <v>0</v>
      </c>
      <c r="I429" s="236" t="s">
        <v>19682</v>
      </c>
    </row>
    <row r="430" spans="1:9" x14ac:dyDescent="0.25">
      <c r="A430" s="36">
        <v>42889</v>
      </c>
      <c r="B430" s="18">
        <v>114531</v>
      </c>
      <c r="C430" s="235" t="s">
        <v>19677</v>
      </c>
      <c r="D430" s="236" t="s">
        <v>15276</v>
      </c>
      <c r="E430" s="15">
        <v>4800</v>
      </c>
      <c r="F430" s="237">
        <v>42889</v>
      </c>
      <c r="G430" s="15">
        <v>4800</v>
      </c>
      <c r="H430" s="15">
        <f t="shared" si="6"/>
        <v>0</v>
      </c>
      <c r="I430" s="236" t="s">
        <v>19682</v>
      </c>
    </row>
    <row r="431" spans="1:9" x14ac:dyDescent="0.25">
      <c r="A431" s="242">
        <v>42889</v>
      </c>
      <c r="B431" s="18">
        <v>114532</v>
      </c>
      <c r="C431" s="235" t="s">
        <v>19677</v>
      </c>
      <c r="D431" s="236" t="s">
        <v>15407</v>
      </c>
      <c r="E431" s="15">
        <v>630</v>
      </c>
      <c r="F431" s="237">
        <v>42889</v>
      </c>
      <c r="G431" s="15">
        <v>630</v>
      </c>
      <c r="H431" s="15">
        <f t="shared" si="6"/>
        <v>0</v>
      </c>
      <c r="I431" s="236" t="s">
        <v>19682</v>
      </c>
    </row>
    <row r="432" spans="1:9" x14ac:dyDescent="0.25">
      <c r="A432" s="36">
        <v>42889</v>
      </c>
      <c r="B432" s="18">
        <v>114533</v>
      </c>
      <c r="C432" s="235" t="s">
        <v>19677</v>
      </c>
      <c r="D432" s="236" t="s">
        <v>15725</v>
      </c>
      <c r="E432" s="15">
        <v>29648</v>
      </c>
      <c r="F432" s="237">
        <v>42889</v>
      </c>
      <c r="G432" s="15">
        <v>29648</v>
      </c>
      <c r="H432" s="15">
        <f t="shared" si="6"/>
        <v>0</v>
      </c>
      <c r="I432" s="236" t="s">
        <v>19682</v>
      </c>
    </row>
    <row r="433" spans="1:9" ht="15.75" x14ac:dyDescent="0.25">
      <c r="A433" s="242">
        <v>42889</v>
      </c>
      <c r="B433" s="18">
        <v>114534</v>
      </c>
      <c r="C433" s="235" t="s">
        <v>19677</v>
      </c>
      <c r="D433" s="239" t="s">
        <v>95</v>
      </c>
      <c r="E433" s="15">
        <v>0</v>
      </c>
      <c r="F433" s="243" t="s">
        <v>95</v>
      </c>
      <c r="G433" s="15"/>
      <c r="H433" s="15">
        <f t="shared" si="6"/>
        <v>0</v>
      </c>
      <c r="I433" s="236" t="s">
        <v>19678</v>
      </c>
    </row>
    <row r="434" spans="1:9" x14ac:dyDescent="0.25">
      <c r="A434" s="36">
        <v>42889</v>
      </c>
      <c r="B434" s="18">
        <v>114535</v>
      </c>
      <c r="C434" s="235" t="s">
        <v>19677</v>
      </c>
      <c r="D434" s="236" t="s">
        <v>15315</v>
      </c>
      <c r="E434" s="15">
        <v>2303.9</v>
      </c>
      <c r="F434" s="237">
        <v>42889</v>
      </c>
      <c r="G434" s="15">
        <v>2303.9</v>
      </c>
      <c r="H434" s="15">
        <f t="shared" si="6"/>
        <v>0</v>
      </c>
      <c r="I434" s="236" t="s">
        <v>19682</v>
      </c>
    </row>
    <row r="435" spans="1:9" x14ac:dyDescent="0.25">
      <c r="A435" s="242">
        <v>42889</v>
      </c>
      <c r="B435" s="18">
        <v>114536</v>
      </c>
      <c r="C435" s="235" t="s">
        <v>19677</v>
      </c>
      <c r="D435" s="236" t="s">
        <v>17722</v>
      </c>
      <c r="E435" s="15">
        <v>1712</v>
      </c>
      <c r="F435" s="237">
        <v>42889</v>
      </c>
      <c r="G435" s="15">
        <v>1712</v>
      </c>
      <c r="H435" s="15">
        <f t="shared" si="6"/>
        <v>0</v>
      </c>
      <c r="I435" s="236" t="s">
        <v>19682</v>
      </c>
    </row>
    <row r="436" spans="1:9" x14ac:dyDescent="0.25">
      <c r="A436" s="36">
        <v>42889</v>
      </c>
      <c r="B436" s="18">
        <v>114537</v>
      </c>
      <c r="C436" s="235" t="s">
        <v>19677</v>
      </c>
      <c r="D436" s="236" t="s">
        <v>15442</v>
      </c>
      <c r="E436" s="15">
        <v>909</v>
      </c>
      <c r="F436" s="237">
        <v>42889</v>
      </c>
      <c r="G436" s="15">
        <v>909</v>
      </c>
      <c r="H436" s="15">
        <f t="shared" si="6"/>
        <v>0</v>
      </c>
      <c r="I436" s="236" t="s">
        <v>19682</v>
      </c>
    </row>
    <row r="437" spans="1:9" x14ac:dyDescent="0.25">
      <c r="A437" s="242">
        <v>42889</v>
      </c>
      <c r="B437" s="18">
        <v>114538</v>
      </c>
      <c r="C437" s="235" t="s">
        <v>19677</v>
      </c>
      <c r="D437" s="236" t="s">
        <v>15315</v>
      </c>
      <c r="E437" s="15">
        <v>667.4</v>
      </c>
      <c r="F437" s="237">
        <v>42889</v>
      </c>
      <c r="G437" s="15">
        <v>667.4</v>
      </c>
      <c r="H437" s="15">
        <f t="shared" si="6"/>
        <v>0</v>
      </c>
      <c r="I437" s="236" t="s">
        <v>19682</v>
      </c>
    </row>
    <row r="438" spans="1:9" x14ac:dyDescent="0.25">
      <c r="A438" s="36">
        <v>42889</v>
      </c>
      <c r="B438" s="18">
        <v>114539</v>
      </c>
      <c r="C438" s="235" t="s">
        <v>19677</v>
      </c>
      <c r="D438" s="236" t="s">
        <v>15246</v>
      </c>
      <c r="E438" s="15">
        <v>258261.12</v>
      </c>
      <c r="F438" s="237">
        <v>42891</v>
      </c>
      <c r="G438" s="15">
        <v>258261.12</v>
      </c>
      <c r="H438" s="15">
        <f t="shared" si="6"/>
        <v>0</v>
      </c>
      <c r="I438" s="236" t="s">
        <v>19682</v>
      </c>
    </row>
    <row r="439" spans="1:9" x14ac:dyDescent="0.25">
      <c r="A439" s="242">
        <v>42889</v>
      </c>
      <c r="B439" s="18">
        <v>114540</v>
      </c>
      <c r="C439" s="235" t="s">
        <v>19677</v>
      </c>
      <c r="D439" s="236" t="s">
        <v>15600</v>
      </c>
      <c r="E439" s="15">
        <v>3741.8</v>
      </c>
      <c r="F439" s="237">
        <v>42889</v>
      </c>
      <c r="G439" s="15">
        <v>3741.8</v>
      </c>
      <c r="H439" s="15">
        <f t="shared" si="6"/>
        <v>0</v>
      </c>
      <c r="I439" s="236" t="s">
        <v>19682</v>
      </c>
    </row>
    <row r="440" spans="1:9" x14ac:dyDescent="0.25">
      <c r="A440" s="36">
        <v>42889</v>
      </c>
      <c r="B440" s="18">
        <v>114541</v>
      </c>
      <c r="C440" s="235" t="s">
        <v>19677</v>
      </c>
      <c r="D440" s="236" t="s">
        <v>15920</v>
      </c>
      <c r="E440" s="15">
        <v>1665</v>
      </c>
      <c r="F440" s="237">
        <v>42889</v>
      </c>
      <c r="G440" s="15">
        <v>1665</v>
      </c>
      <c r="H440" s="15">
        <f t="shared" si="6"/>
        <v>0</v>
      </c>
      <c r="I440" s="236" t="s">
        <v>19682</v>
      </c>
    </row>
    <row r="441" spans="1:9" x14ac:dyDescent="0.25">
      <c r="A441" s="242">
        <v>42889</v>
      </c>
      <c r="B441" s="18">
        <v>114542</v>
      </c>
      <c r="C441" s="235" t="s">
        <v>19677</v>
      </c>
      <c r="D441" s="236" t="s">
        <v>15246</v>
      </c>
      <c r="E441" s="15">
        <v>67705.2</v>
      </c>
      <c r="F441" s="237">
        <v>42891</v>
      </c>
      <c r="G441" s="15">
        <v>67705.2</v>
      </c>
      <c r="H441" s="15">
        <f t="shared" si="6"/>
        <v>0</v>
      </c>
      <c r="I441" s="236" t="s">
        <v>19682</v>
      </c>
    </row>
    <row r="442" spans="1:9" ht="30" x14ac:dyDescent="0.25">
      <c r="A442" s="36">
        <v>42889</v>
      </c>
      <c r="B442" s="18">
        <v>114543</v>
      </c>
      <c r="C442" s="235" t="s">
        <v>19677</v>
      </c>
      <c r="D442" s="236" t="s">
        <v>15246</v>
      </c>
      <c r="E442" s="15">
        <v>326700</v>
      </c>
      <c r="F442" s="237" t="s">
        <v>19688</v>
      </c>
      <c r="G442" s="241">
        <f>297207.53+29492.47</f>
        <v>326700</v>
      </c>
      <c r="H442" s="241">
        <f t="shared" si="6"/>
        <v>0</v>
      </c>
      <c r="I442" s="236" t="s">
        <v>19682</v>
      </c>
    </row>
    <row r="443" spans="1:9" x14ac:dyDescent="0.25">
      <c r="A443" s="242">
        <v>42889</v>
      </c>
      <c r="B443" s="18">
        <v>114544</v>
      </c>
      <c r="C443" s="235" t="s">
        <v>19677</v>
      </c>
      <c r="D443" s="236" t="s">
        <v>15322</v>
      </c>
      <c r="E443" s="15">
        <v>4304</v>
      </c>
      <c r="F443" s="237">
        <v>42889</v>
      </c>
      <c r="G443" s="15">
        <v>4304</v>
      </c>
      <c r="H443" s="15">
        <f t="shared" si="6"/>
        <v>0</v>
      </c>
      <c r="I443" s="236" t="s">
        <v>19682</v>
      </c>
    </row>
    <row r="444" spans="1:9" x14ac:dyDescent="0.25">
      <c r="A444" s="36">
        <v>42889</v>
      </c>
      <c r="B444" s="18">
        <v>114545</v>
      </c>
      <c r="C444" s="235" t="s">
        <v>19677</v>
      </c>
      <c r="D444" s="236" t="s">
        <v>15642</v>
      </c>
      <c r="E444" s="15">
        <v>1732.5</v>
      </c>
      <c r="F444" s="237">
        <v>42889</v>
      </c>
      <c r="G444" s="15">
        <v>1732.5</v>
      </c>
      <c r="H444" s="15">
        <f t="shared" si="6"/>
        <v>0</v>
      </c>
      <c r="I444" s="236" t="s">
        <v>19682</v>
      </c>
    </row>
    <row r="445" spans="1:9" x14ac:dyDescent="0.25">
      <c r="A445" s="242">
        <v>42889</v>
      </c>
      <c r="B445" s="18">
        <v>114546</v>
      </c>
      <c r="C445" s="235" t="s">
        <v>19677</v>
      </c>
      <c r="D445" s="236" t="s">
        <v>15250</v>
      </c>
      <c r="E445" s="15">
        <v>39724.080000000002</v>
      </c>
      <c r="F445" s="237">
        <v>42902</v>
      </c>
      <c r="G445" s="15">
        <v>39724.080000000002</v>
      </c>
      <c r="H445" s="15">
        <f t="shared" si="6"/>
        <v>0</v>
      </c>
      <c r="I445" s="236" t="s">
        <v>19682</v>
      </c>
    </row>
    <row r="446" spans="1:9" x14ac:dyDescent="0.25">
      <c r="A446" s="36">
        <v>42889</v>
      </c>
      <c r="B446" s="18">
        <v>114547</v>
      </c>
      <c r="C446" s="235" t="s">
        <v>19677</v>
      </c>
      <c r="D446" s="236" t="s">
        <v>15642</v>
      </c>
      <c r="E446" s="15">
        <v>7380</v>
      </c>
      <c r="F446" s="237">
        <v>42889</v>
      </c>
      <c r="G446" s="15">
        <v>7380</v>
      </c>
      <c r="H446" s="15">
        <f t="shared" si="6"/>
        <v>0</v>
      </c>
      <c r="I446" s="236" t="s">
        <v>19682</v>
      </c>
    </row>
    <row r="447" spans="1:9" x14ac:dyDescent="0.25">
      <c r="A447" s="242">
        <v>42889</v>
      </c>
      <c r="B447" s="18">
        <v>114548</v>
      </c>
      <c r="C447" s="235" t="s">
        <v>19677</v>
      </c>
      <c r="D447" s="236" t="s">
        <v>15250</v>
      </c>
      <c r="E447" s="15">
        <v>33195.599999999999</v>
      </c>
      <c r="F447" s="237">
        <v>42909</v>
      </c>
      <c r="G447" s="15">
        <v>33195.599999999999</v>
      </c>
      <c r="H447" s="15">
        <f t="shared" si="6"/>
        <v>0</v>
      </c>
      <c r="I447" s="236" t="s">
        <v>19682</v>
      </c>
    </row>
    <row r="448" spans="1:9" x14ac:dyDescent="0.25">
      <c r="A448" s="36">
        <v>42889</v>
      </c>
      <c r="B448" s="18">
        <v>114549</v>
      </c>
      <c r="C448" s="235" t="s">
        <v>19677</v>
      </c>
      <c r="D448" s="236" t="s">
        <v>15644</v>
      </c>
      <c r="E448" s="15">
        <v>2966.4</v>
      </c>
      <c r="F448" s="237">
        <v>42891</v>
      </c>
      <c r="G448" s="15">
        <v>2966.4</v>
      </c>
      <c r="H448" s="15">
        <f t="shared" si="6"/>
        <v>0</v>
      </c>
      <c r="I448" s="236" t="s">
        <v>19682</v>
      </c>
    </row>
    <row r="449" spans="1:9" x14ac:dyDescent="0.25">
      <c r="A449" s="242">
        <v>42889</v>
      </c>
      <c r="B449" s="18">
        <v>114550</v>
      </c>
      <c r="C449" s="235" t="s">
        <v>19677</v>
      </c>
      <c r="D449" s="236" t="s">
        <v>15246</v>
      </c>
      <c r="E449" s="15">
        <v>94231</v>
      </c>
      <c r="F449" s="237">
        <v>42892</v>
      </c>
      <c r="G449" s="15">
        <v>94231</v>
      </c>
      <c r="H449" s="15">
        <f t="shared" si="6"/>
        <v>0</v>
      </c>
      <c r="I449" s="236" t="s">
        <v>19682</v>
      </c>
    </row>
    <row r="450" spans="1:9" x14ac:dyDescent="0.25">
      <c r="A450" s="36">
        <v>42889</v>
      </c>
      <c r="B450" s="18">
        <v>114551</v>
      </c>
      <c r="C450" s="235" t="s">
        <v>19677</v>
      </c>
      <c r="D450" s="236" t="s">
        <v>15246</v>
      </c>
      <c r="E450" s="15">
        <v>46436.1</v>
      </c>
      <c r="F450" s="237">
        <v>42892</v>
      </c>
      <c r="G450" s="15">
        <v>46436.1</v>
      </c>
      <c r="H450" s="15">
        <f t="shared" ref="H450:H513" si="7">E450-G450</f>
        <v>0</v>
      </c>
      <c r="I450" s="236" t="s">
        <v>19682</v>
      </c>
    </row>
    <row r="451" spans="1:9" x14ac:dyDescent="0.25">
      <c r="A451" s="242">
        <v>42890</v>
      </c>
      <c r="B451" s="18">
        <v>114552</v>
      </c>
      <c r="C451" s="235" t="s">
        <v>19677</v>
      </c>
      <c r="D451" s="236" t="s">
        <v>15213</v>
      </c>
      <c r="E451" s="15">
        <v>6899.1</v>
      </c>
      <c r="F451" s="237">
        <v>42891</v>
      </c>
      <c r="G451" s="15">
        <v>6899.1</v>
      </c>
      <c r="H451" s="15">
        <f t="shared" si="7"/>
        <v>0</v>
      </c>
      <c r="I451" s="236" t="s">
        <v>19682</v>
      </c>
    </row>
    <row r="452" spans="1:9" x14ac:dyDescent="0.25">
      <c r="A452" s="36">
        <v>42890</v>
      </c>
      <c r="B452" s="18">
        <v>114553</v>
      </c>
      <c r="C452" s="235" t="s">
        <v>19677</v>
      </c>
      <c r="D452" s="236" t="s">
        <v>5873</v>
      </c>
      <c r="E452" s="15">
        <v>32529</v>
      </c>
      <c r="F452" s="237">
        <v>42890</v>
      </c>
      <c r="G452" s="15">
        <v>32529</v>
      </c>
      <c r="H452" s="15">
        <f t="shared" si="7"/>
        <v>0</v>
      </c>
      <c r="I452" s="236" t="s">
        <v>19682</v>
      </c>
    </row>
    <row r="453" spans="1:9" x14ac:dyDescent="0.25">
      <c r="A453" s="242">
        <v>42890</v>
      </c>
      <c r="B453" s="18">
        <v>114554</v>
      </c>
      <c r="C453" s="235" t="s">
        <v>19677</v>
      </c>
      <c r="D453" s="236" t="s">
        <v>15320</v>
      </c>
      <c r="E453" s="15">
        <v>2601</v>
      </c>
      <c r="F453" s="237">
        <v>42891</v>
      </c>
      <c r="G453" s="15">
        <v>2601</v>
      </c>
      <c r="H453" s="15">
        <f t="shared" si="7"/>
        <v>0</v>
      </c>
      <c r="I453" s="236" t="s">
        <v>19682</v>
      </c>
    </row>
    <row r="454" spans="1:9" x14ac:dyDescent="0.25">
      <c r="A454" s="36">
        <v>42890</v>
      </c>
      <c r="B454" s="18">
        <v>114555</v>
      </c>
      <c r="C454" s="235" t="s">
        <v>19677</v>
      </c>
      <c r="D454" s="236" t="s">
        <v>15213</v>
      </c>
      <c r="E454" s="15">
        <v>40358.800000000003</v>
      </c>
      <c r="F454" s="237">
        <v>42891</v>
      </c>
      <c r="G454" s="15">
        <v>40358.800000000003</v>
      </c>
      <c r="H454" s="15">
        <f t="shared" si="7"/>
        <v>0</v>
      </c>
      <c r="I454" s="236" t="s">
        <v>19682</v>
      </c>
    </row>
    <row r="455" spans="1:9" x14ac:dyDescent="0.25">
      <c r="A455" s="242">
        <v>42890</v>
      </c>
      <c r="B455" s="18">
        <v>114556</v>
      </c>
      <c r="C455" s="235" t="s">
        <v>19677</v>
      </c>
      <c r="D455" s="236" t="s">
        <v>15668</v>
      </c>
      <c r="E455" s="15">
        <v>22358.7</v>
      </c>
      <c r="F455" s="237">
        <v>42893</v>
      </c>
      <c r="G455" s="15">
        <v>22358.7</v>
      </c>
      <c r="H455" s="15">
        <f t="shared" si="7"/>
        <v>0</v>
      </c>
      <c r="I455" s="236" t="s">
        <v>19682</v>
      </c>
    </row>
    <row r="456" spans="1:9" x14ac:dyDescent="0.25">
      <c r="A456" s="36">
        <v>42890</v>
      </c>
      <c r="B456" s="18">
        <v>114557</v>
      </c>
      <c r="C456" s="235" t="s">
        <v>19677</v>
      </c>
      <c r="D456" s="236" t="s">
        <v>15272</v>
      </c>
      <c r="E456" s="15">
        <v>28978.6</v>
      </c>
      <c r="F456" s="237">
        <v>42890</v>
      </c>
      <c r="G456" s="15">
        <v>28978.6</v>
      </c>
      <c r="H456" s="15">
        <f t="shared" si="7"/>
        <v>0</v>
      </c>
      <c r="I456" s="236" t="s">
        <v>19682</v>
      </c>
    </row>
    <row r="457" spans="1:9" x14ac:dyDescent="0.25">
      <c r="A457" s="242">
        <v>42890</v>
      </c>
      <c r="B457" s="18">
        <v>114558</v>
      </c>
      <c r="C457" s="235" t="s">
        <v>19677</v>
      </c>
      <c r="D457" s="236" t="s">
        <v>15220</v>
      </c>
      <c r="E457" s="15">
        <v>5040</v>
      </c>
      <c r="F457" s="237">
        <v>42890</v>
      </c>
      <c r="G457" s="15">
        <v>5040</v>
      </c>
      <c r="H457" s="15">
        <f t="shared" si="7"/>
        <v>0</v>
      </c>
      <c r="I457" s="236" t="s">
        <v>19682</v>
      </c>
    </row>
    <row r="458" spans="1:9" x14ac:dyDescent="0.25">
      <c r="A458" s="36">
        <v>42890</v>
      </c>
      <c r="B458" s="18">
        <v>114559</v>
      </c>
      <c r="C458" s="235" t="s">
        <v>19677</v>
      </c>
      <c r="D458" s="236" t="s">
        <v>15487</v>
      </c>
      <c r="E458" s="15">
        <v>6480</v>
      </c>
      <c r="F458" s="237">
        <v>42890</v>
      </c>
      <c r="G458" s="15">
        <v>6480</v>
      </c>
      <c r="H458" s="15">
        <f t="shared" si="7"/>
        <v>0</v>
      </c>
      <c r="I458" s="236" t="s">
        <v>19682</v>
      </c>
    </row>
    <row r="459" spans="1:9" x14ac:dyDescent="0.25">
      <c r="A459" s="242">
        <v>42890</v>
      </c>
      <c r="B459" s="18">
        <v>114560</v>
      </c>
      <c r="C459" s="235" t="s">
        <v>19677</v>
      </c>
      <c r="D459" s="236" t="s">
        <v>17462</v>
      </c>
      <c r="E459" s="15">
        <v>9995.6</v>
      </c>
      <c r="F459" s="237">
        <v>42890</v>
      </c>
      <c r="G459" s="15">
        <v>9995.6</v>
      </c>
      <c r="H459" s="15">
        <f t="shared" si="7"/>
        <v>0</v>
      </c>
      <c r="I459" s="236" t="s">
        <v>19682</v>
      </c>
    </row>
    <row r="460" spans="1:9" x14ac:dyDescent="0.25">
      <c r="A460" s="36">
        <v>42890</v>
      </c>
      <c r="B460" s="18">
        <v>114561</v>
      </c>
      <c r="C460" s="235" t="s">
        <v>19677</v>
      </c>
      <c r="D460" s="236" t="s">
        <v>17235</v>
      </c>
      <c r="E460" s="15">
        <v>1200</v>
      </c>
      <c r="F460" s="237">
        <v>42890</v>
      </c>
      <c r="G460" s="15">
        <v>1200</v>
      </c>
      <c r="H460" s="15">
        <f t="shared" si="7"/>
        <v>0</v>
      </c>
      <c r="I460" s="236" t="s">
        <v>19682</v>
      </c>
    </row>
    <row r="461" spans="1:9" x14ac:dyDescent="0.25">
      <c r="A461" s="242">
        <v>42890</v>
      </c>
      <c r="B461" s="18">
        <v>114562</v>
      </c>
      <c r="C461" s="235" t="s">
        <v>19677</v>
      </c>
      <c r="D461" s="236" t="s">
        <v>15577</v>
      </c>
      <c r="E461" s="15">
        <v>1064.2</v>
      </c>
      <c r="F461" s="237">
        <v>42890</v>
      </c>
      <c r="G461" s="15">
        <v>1064.2</v>
      </c>
      <c r="H461" s="15">
        <f t="shared" si="7"/>
        <v>0</v>
      </c>
      <c r="I461" s="236" t="s">
        <v>19682</v>
      </c>
    </row>
    <row r="462" spans="1:9" x14ac:dyDescent="0.25">
      <c r="A462" s="36">
        <v>42890</v>
      </c>
      <c r="B462" s="18">
        <v>114563</v>
      </c>
      <c r="C462" s="235" t="s">
        <v>19677</v>
      </c>
      <c r="D462" s="236" t="s">
        <v>15263</v>
      </c>
      <c r="E462" s="15">
        <v>2767.4</v>
      </c>
      <c r="F462" s="237">
        <v>42890</v>
      </c>
      <c r="G462" s="15">
        <v>2767.4</v>
      </c>
      <c r="H462" s="15">
        <f t="shared" si="7"/>
        <v>0</v>
      </c>
      <c r="I462" s="236" t="s">
        <v>19682</v>
      </c>
    </row>
    <row r="463" spans="1:9" x14ac:dyDescent="0.25">
      <c r="A463" s="242">
        <v>42890</v>
      </c>
      <c r="B463" s="18">
        <v>114564</v>
      </c>
      <c r="C463" s="235" t="s">
        <v>19677</v>
      </c>
      <c r="D463" s="236" t="s">
        <v>15242</v>
      </c>
      <c r="E463" s="15">
        <v>9248.7999999999993</v>
      </c>
      <c r="F463" s="237">
        <v>42890</v>
      </c>
      <c r="G463" s="15">
        <v>9248.7999999999993</v>
      </c>
      <c r="H463" s="15">
        <f t="shared" si="7"/>
        <v>0</v>
      </c>
      <c r="I463" s="236" t="s">
        <v>19682</v>
      </c>
    </row>
    <row r="464" spans="1:9" x14ac:dyDescent="0.25">
      <c r="A464" s="36">
        <v>42890</v>
      </c>
      <c r="B464" s="18">
        <v>114565</v>
      </c>
      <c r="C464" s="235" t="s">
        <v>19677</v>
      </c>
      <c r="D464" s="236" t="s">
        <v>17277</v>
      </c>
      <c r="E464" s="15">
        <v>2973.3</v>
      </c>
      <c r="F464" s="237">
        <v>42890</v>
      </c>
      <c r="G464" s="15">
        <v>2973.3</v>
      </c>
      <c r="H464" s="15">
        <f t="shared" si="7"/>
        <v>0</v>
      </c>
      <c r="I464" s="236" t="s">
        <v>19682</v>
      </c>
    </row>
    <row r="465" spans="1:9" x14ac:dyDescent="0.25">
      <c r="A465" s="242">
        <v>42890</v>
      </c>
      <c r="B465" s="18">
        <v>114566</v>
      </c>
      <c r="C465" s="235" t="s">
        <v>19677</v>
      </c>
      <c r="D465" s="236" t="s">
        <v>15278</v>
      </c>
      <c r="E465" s="15">
        <v>3513.76</v>
      </c>
      <c r="F465" s="237">
        <v>42890</v>
      </c>
      <c r="G465" s="15">
        <v>3513.76</v>
      </c>
      <c r="H465" s="15">
        <f t="shared" si="7"/>
        <v>0</v>
      </c>
      <c r="I465" s="236" t="s">
        <v>19682</v>
      </c>
    </row>
    <row r="466" spans="1:9" x14ac:dyDescent="0.25">
      <c r="A466" s="36">
        <v>42890</v>
      </c>
      <c r="B466" s="18">
        <v>114567</v>
      </c>
      <c r="C466" s="235" t="s">
        <v>19677</v>
      </c>
      <c r="D466" s="236" t="s">
        <v>15433</v>
      </c>
      <c r="E466" s="15">
        <v>556.1</v>
      </c>
      <c r="F466" s="237">
        <v>42890</v>
      </c>
      <c r="G466" s="15">
        <v>556.1</v>
      </c>
      <c r="H466" s="15">
        <f t="shared" si="7"/>
        <v>0</v>
      </c>
      <c r="I466" s="236" t="s">
        <v>19682</v>
      </c>
    </row>
    <row r="467" spans="1:9" x14ac:dyDescent="0.25">
      <c r="A467" s="242">
        <v>42890</v>
      </c>
      <c r="B467" s="18">
        <v>114568</v>
      </c>
      <c r="C467" s="235" t="s">
        <v>19677</v>
      </c>
      <c r="D467" s="236" t="s">
        <v>15289</v>
      </c>
      <c r="E467" s="15">
        <v>451.2</v>
      </c>
      <c r="F467" s="237">
        <v>42890</v>
      </c>
      <c r="G467" s="15">
        <v>451.2</v>
      </c>
      <c r="H467" s="15">
        <f t="shared" si="7"/>
        <v>0</v>
      </c>
      <c r="I467" s="236" t="s">
        <v>19682</v>
      </c>
    </row>
    <row r="468" spans="1:9" x14ac:dyDescent="0.25">
      <c r="A468" s="36">
        <v>42890</v>
      </c>
      <c r="B468" s="18">
        <v>114569</v>
      </c>
      <c r="C468" s="235" t="s">
        <v>19677</v>
      </c>
      <c r="D468" s="236" t="s">
        <v>15282</v>
      </c>
      <c r="E468" s="15">
        <v>2397</v>
      </c>
      <c r="F468" s="237">
        <v>42890</v>
      </c>
      <c r="G468" s="15">
        <v>2397</v>
      </c>
      <c r="H468" s="15">
        <f t="shared" si="7"/>
        <v>0</v>
      </c>
      <c r="I468" s="236" t="s">
        <v>19682</v>
      </c>
    </row>
    <row r="469" spans="1:9" x14ac:dyDescent="0.25">
      <c r="A469" s="242">
        <v>42890</v>
      </c>
      <c r="B469" s="18">
        <v>114570</v>
      </c>
      <c r="C469" s="235" t="s">
        <v>19677</v>
      </c>
      <c r="D469" s="236" t="s">
        <v>15280</v>
      </c>
      <c r="E469" s="15">
        <v>4824.8</v>
      </c>
      <c r="F469" s="237">
        <v>42890</v>
      </c>
      <c r="G469" s="15">
        <v>4824.8</v>
      </c>
      <c r="H469" s="15">
        <f t="shared" si="7"/>
        <v>0</v>
      </c>
      <c r="I469" s="236" t="s">
        <v>19682</v>
      </c>
    </row>
    <row r="470" spans="1:9" x14ac:dyDescent="0.25">
      <c r="A470" s="36">
        <v>42890</v>
      </c>
      <c r="B470" s="18">
        <v>114571</v>
      </c>
      <c r="C470" s="235" t="s">
        <v>19677</v>
      </c>
      <c r="D470" s="236" t="s">
        <v>15523</v>
      </c>
      <c r="E470" s="15">
        <v>3840</v>
      </c>
      <c r="F470" s="237">
        <v>42891</v>
      </c>
      <c r="G470" s="15">
        <v>3840</v>
      </c>
      <c r="H470" s="15">
        <f t="shared" si="7"/>
        <v>0</v>
      </c>
      <c r="I470" s="236" t="s">
        <v>19682</v>
      </c>
    </row>
    <row r="471" spans="1:9" x14ac:dyDescent="0.25">
      <c r="A471" s="242">
        <v>42890</v>
      </c>
      <c r="B471" s="18">
        <v>114572</v>
      </c>
      <c r="C471" s="235" t="s">
        <v>19677</v>
      </c>
      <c r="D471" s="236" t="s">
        <v>15350</v>
      </c>
      <c r="E471" s="15">
        <v>720</v>
      </c>
      <c r="F471" s="237">
        <v>42891</v>
      </c>
      <c r="G471" s="15">
        <v>720</v>
      </c>
      <c r="H471" s="15">
        <f t="shared" si="7"/>
        <v>0</v>
      </c>
      <c r="I471" s="236" t="s">
        <v>19682</v>
      </c>
    </row>
    <row r="472" spans="1:9" x14ac:dyDescent="0.25">
      <c r="A472" s="36">
        <v>42890</v>
      </c>
      <c r="B472" s="18">
        <v>114573</v>
      </c>
      <c r="C472" s="235" t="s">
        <v>19677</v>
      </c>
      <c r="D472" s="236" t="s">
        <v>15334</v>
      </c>
      <c r="E472" s="15">
        <v>3754</v>
      </c>
      <c r="F472" s="237">
        <v>42891</v>
      </c>
      <c r="G472" s="15">
        <v>3754</v>
      </c>
      <c r="H472" s="15">
        <f t="shared" si="7"/>
        <v>0</v>
      </c>
      <c r="I472" s="236" t="s">
        <v>19682</v>
      </c>
    </row>
    <row r="473" spans="1:9" x14ac:dyDescent="0.25">
      <c r="A473" s="242">
        <v>42890</v>
      </c>
      <c r="B473" s="18">
        <v>114574</v>
      </c>
      <c r="C473" s="235" t="s">
        <v>19677</v>
      </c>
      <c r="D473" s="236" t="s">
        <v>15315</v>
      </c>
      <c r="E473" s="15">
        <v>1306.5999999999999</v>
      </c>
      <c r="F473" s="237">
        <v>42890</v>
      </c>
      <c r="G473" s="15">
        <v>1306.5999999999999</v>
      </c>
      <c r="H473" s="15">
        <f t="shared" si="7"/>
        <v>0</v>
      </c>
      <c r="I473" s="236" t="s">
        <v>19682</v>
      </c>
    </row>
    <row r="474" spans="1:9" x14ac:dyDescent="0.25">
      <c r="A474" s="36">
        <v>42890</v>
      </c>
      <c r="B474" s="18">
        <v>114575</v>
      </c>
      <c r="C474" s="235" t="s">
        <v>19677</v>
      </c>
      <c r="D474" s="236" t="s">
        <v>16023</v>
      </c>
      <c r="E474" s="15">
        <v>1680.2</v>
      </c>
      <c r="F474" s="237">
        <v>42890</v>
      </c>
      <c r="G474" s="15">
        <v>1680.2</v>
      </c>
      <c r="H474" s="15">
        <f t="shared" si="7"/>
        <v>0</v>
      </c>
      <c r="I474" s="236" t="s">
        <v>19682</v>
      </c>
    </row>
    <row r="475" spans="1:9" x14ac:dyDescent="0.25">
      <c r="A475" s="242">
        <v>42890</v>
      </c>
      <c r="B475" s="18">
        <v>114576</v>
      </c>
      <c r="C475" s="235" t="s">
        <v>19677</v>
      </c>
      <c r="D475" s="236" t="s">
        <v>15284</v>
      </c>
      <c r="E475" s="15">
        <v>2280</v>
      </c>
      <c r="F475" s="237">
        <v>42890</v>
      </c>
      <c r="G475" s="15">
        <v>2280</v>
      </c>
      <c r="H475" s="15">
        <f t="shared" si="7"/>
        <v>0</v>
      </c>
      <c r="I475" s="236" t="s">
        <v>19682</v>
      </c>
    </row>
    <row r="476" spans="1:9" x14ac:dyDescent="0.25">
      <c r="A476" s="36">
        <v>42890</v>
      </c>
      <c r="B476" s="18">
        <v>114577</v>
      </c>
      <c r="C476" s="235" t="s">
        <v>19677</v>
      </c>
      <c r="D476" s="236" t="s">
        <v>15526</v>
      </c>
      <c r="E476" s="15">
        <v>3993.6</v>
      </c>
      <c r="F476" s="237">
        <v>42891</v>
      </c>
      <c r="G476" s="15">
        <v>3993.6</v>
      </c>
      <c r="H476" s="15">
        <f t="shared" si="7"/>
        <v>0</v>
      </c>
      <c r="I476" s="236" t="s">
        <v>19682</v>
      </c>
    </row>
    <row r="477" spans="1:9" x14ac:dyDescent="0.25">
      <c r="A477" s="242">
        <v>42890</v>
      </c>
      <c r="B477" s="18">
        <v>114578</v>
      </c>
      <c r="C477" s="235" t="s">
        <v>19677</v>
      </c>
      <c r="D477" s="236" t="s">
        <v>15987</v>
      </c>
      <c r="E477" s="15">
        <v>1334</v>
      </c>
      <c r="F477" s="237">
        <v>42906</v>
      </c>
      <c r="G477" s="15">
        <v>1334</v>
      </c>
      <c r="H477" s="15">
        <f t="shared" si="7"/>
        <v>0</v>
      </c>
      <c r="I477" s="236" t="s">
        <v>19682</v>
      </c>
    </row>
    <row r="478" spans="1:9" x14ac:dyDescent="0.25">
      <c r="A478" s="36">
        <v>42890</v>
      </c>
      <c r="B478" s="18">
        <v>114579</v>
      </c>
      <c r="C478" s="235" t="s">
        <v>19677</v>
      </c>
      <c r="D478" s="236" t="s">
        <v>15344</v>
      </c>
      <c r="E478" s="15">
        <v>1320.8</v>
      </c>
      <c r="F478" s="237">
        <v>42891</v>
      </c>
      <c r="G478" s="15">
        <v>1320.8</v>
      </c>
      <c r="H478" s="15">
        <f t="shared" si="7"/>
        <v>0</v>
      </c>
      <c r="I478" s="236" t="s">
        <v>19682</v>
      </c>
    </row>
    <row r="479" spans="1:9" x14ac:dyDescent="0.25">
      <c r="A479" s="242">
        <v>42890</v>
      </c>
      <c r="B479" s="18">
        <v>114580</v>
      </c>
      <c r="C479" s="235" t="s">
        <v>19677</v>
      </c>
      <c r="D479" s="236" t="s">
        <v>17430</v>
      </c>
      <c r="E479" s="15">
        <v>5154.3</v>
      </c>
      <c r="F479" s="237">
        <v>42890</v>
      </c>
      <c r="G479" s="15">
        <v>5154.3</v>
      </c>
      <c r="H479" s="15">
        <f t="shared" si="7"/>
        <v>0</v>
      </c>
      <c r="I479" s="236" t="s">
        <v>19682</v>
      </c>
    </row>
    <row r="480" spans="1:9" x14ac:dyDescent="0.25">
      <c r="A480" s="36">
        <v>42890</v>
      </c>
      <c r="B480" s="18">
        <v>114581</v>
      </c>
      <c r="C480" s="235" t="s">
        <v>19677</v>
      </c>
      <c r="D480" s="236" t="s">
        <v>15332</v>
      </c>
      <c r="E480" s="15">
        <v>4331.6000000000004</v>
      </c>
      <c r="F480" s="237">
        <v>42891</v>
      </c>
      <c r="G480" s="15">
        <v>4331.6000000000004</v>
      </c>
      <c r="H480" s="15">
        <f t="shared" si="7"/>
        <v>0</v>
      </c>
      <c r="I480" s="236" t="s">
        <v>19682</v>
      </c>
    </row>
    <row r="481" spans="1:9" x14ac:dyDescent="0.25">
      <c r="A481" s="242">
        <v>42890</v>
      </c>
      <c r="B481" s="18">
        <v>114582</v>
      </c>
      <c r="C481" s="235" t="s">
        <v>19677</v>
      </c>
      <c r="D481" s="236" t="s">
        <v>15530</v>
      </c>
      <c r="E481" s="15">
        <v>3110</v>
      </c>
      <c r="F481" s="237">
        <v>42890</v>
      </c>
      <c r="G481" s="15">
        <v>3110</v>
      </c>
      <c r="H481" s="15">
        <f t="shared" si="7"/>
        <v>0</v>
      </c>
      <c r="I481" s="236" t="s">
        <v>19682</v>
      </c>
    </row>
    <row r="482" spans="1:9" x14ac:dyDescent="0.25">
      <c r="A482" s="36">
        <v>42890</v>
      </c>
      <c r="B482" s="18">
        <v>114583</v>
      </c>
      <c r="C482" s="235" t="s">
        <v>19677</v>
      </c>
      <c r="D482" s="236" t="s">
        <v>15340</v>
      </c>
      <c r="E482" s="15">
        <v>11374.5</v>
      </c>
      <c r="F482" s="237">
        <v>42891</v>
      </c>
      <c r="G482" s="15">
        <v>11374.5</v>
      </c>
      <c r="H482" s="15">
        <f t="shared" si="7"/>
        <v>0</v>
      </c>
      <c r="I482" s="236" t="s">
        <v>19682</v>
      </c>
    </row>
    <row r="483" spans="1:9" x14ac:dyDescent="0.25">
      <c r="A483" s="242">
        <v>42890</v>
      </c>
      <c r="B483" s="18">
        <v>114584</v>
      </c>
      <c r="C483" s="235" t="s">
        <v>19677</v>
      </c>
      <c r="D483" s="236" t="s">
        <v>15328</v>
      </c>
      <c r="E483" s="15">
        <v>23947.3</v>
      </c>
      <c r="F483" s="237">
        <v>42902</v>
      </c>
      <c r="G483" s="15">
        <v>23947.3</v>
      </c>
      <c r="H483" s="15">
        <f t="shared" si="7"/>
        <v>0</v>
      </c>
      <c r="I483" s="236" t="s">
        <v>19682</v>
      </c>
    </row>
    <row r="484" spans="1:9" x14ac:dyDescent="0.25">
      <c r="A484" s="36">
        <v>42890</v>
      </c>
      <c r="B484" s="18">
        <v>114585</v>
      </c>
      <c r="C484" s="235" t="s">
        <v>19677</v>
      </c>
      <c r="D484" s="236" t="s">
        <v>15358</v>
      </c>
      <c r="E484" s="15">
        <v>2355.1999999999998</v>
      </c>
      <c r="F484" s="237">
        <v>42891</v>
      </c>
      <c r="G484" s="15">
        <v>2355.1999999999998</v>
      </c>
      <c r="H484" s="15">
        <f t="shared" si="7"/>
        <v>0</v>
      </c>
      <c r="I484" s="236" t="s">
        <v>19682</v>
      </c>
    </row>
    <row r="485" spans="1:9" x14ac:dyDescent="0.25">
      <c r="A485" s="242">
        <v>42890</v>
      </c>
      <c r="B485" s="18">
        <v>114586</v>
      </c>
      <c r="C485" s="235" t="s">
        <v>19677</v>
      </c>
      <c r="D485" s="236" t="s">
        <v>15378</v>
      </c>
      <c r="E485" s="15">
        <v>1251.4000000000001</v>
      </c>
      <c r="F485" s="237">
        <v>42890</v>
      </c>
      <c r="G485" s="15">
        <v>1251.4000000000001</v>
      </c>
      <c r="H485" s="15">
        <f t="shared" si="7"/>
        <v>0</v>
      </c>
      <c r="I485" s="236" t="s">
        <v>19682</v>
      </c>
    </row>
    <row r="486" spans="1:9" x14ac:dyDescent="0.25">
      <c r="A486" s="36">
        <v>42890</v>
      </c>
      <c r="B486" s="18">
        <v>114587</v>
      </c>
      <c r="C486" s="235" t="s">
        <v>19677</v>
      </c>
      <c r="D486" s="236" t="s">
        <v>15371</v>
      </c>
      <c r="E486" s="15">
        <v>2965</v>
      </c>
      <c r="F486" s="237">
        <v>42891</v>
      </c>
      <c r="G486" s="15">
        <v>2965</v>
      </c>
      <c r="H486" s="15">
        <f t="shared" si="7"/>
        <v>0</v>
      </c>
      <c r="I486" s="236" t="s">
        <v>19682</v>
      </c>
    </row>
    <row r="487" spans="1:9" x14ac:dyDescent="0.25">
      <c r="A487" s="242">
        <v>42890</v>
      </c>
      <c r="B487" s="18">
        <v>114588</v>
      </c>
      <c r="C487" s="235" t="s">
        <v>19677</v>
      </c>
      <c r="D487" s="236" t="s">
        <v>15265</v>
      </c>
      <c r="E487" s="15">
        <v>3073.8</v>
      </c>
      <c r="F487" s="237">
        <v>42890</v>
      </c>
      <c r="G487" s="15">
        <v>3073.8</v>
      </c>
      <c r="H487" s="15">
        <f t="shared" si="7"/>
        <v>0</v>
      </c>
      <c r="I487" s="236" t="s">
        <v>19682</v>
      </c>
    </row>
    <row r="488" spans="1:9" x14ac:dyDescent="0.25">
      <c r="A488" s="36">
        <v>42890</v>
      </c>
      <c r="B488" s="18">
        <v>114589</v>
      </c>
      <c r="C488" s="235" t="s">
        <v>19677</v>
      </c>
      <c r="D488" s="236" t="s">
        <v>15324</v>
      </c>
      <c r="E488" s="15">
        <v>1791</v>
      </c>
      <c r="F488" s="237">
        <v>42890</v>
      </c>
      <c r="G488" s="15">
        <v>1791</v>
      </c>
      <c r="H488" s="15">
        <f t="shared" si="7"/>
        <v>0</v>
      </c>
      <c r="I488" s="236" t="s">
        <v>19682</v>
      </c>
    </row>
    <row r="489" spans="1:9" ht="15.75" x14ac:dyDescent="0.25">
      <c r="A489" s="242">
        <v>42890</v>
      </c>
      <c r="B489" s="18">
        <v>114590</v>
      </c>
      <c r="C489" s="235" t="s">
        <v>19677</v>
      </c>
      <c r="D489" s="239" t="s">
        <v>95</v>
      </c>
      <c r="E489" s="15">
        <v>0</v>
      </c>
      <c r="F489" s="240" t="s">
        <v>95</v>
      </c>
      <c r="G489" s="15">
        <v>0</v>
      </c>
      <c r="H489" s="15">
        <f t="shared" si="7"/>
        <v>0</v>
      </c>
      <c r="I489" s="236" t="s">
        <v>19678</v>
      </c>
    </row>
    <row r="490" spans="1:9" x14ac:dyDescent="0.25">
      <c r="A490" s="36">
        <v>42890</v>
      </c>
      <c r="B490" s="18">
        <v>114591</v>
      </c>
      <c r="C490" s="235" t="s">
        <v>19677</v>
      </c>
      <c r="D490" s="236" t="s">
        <v>15252</v>
      </c>
      <c r="E490" s="15">
        <v>3963.9</v>
      </c>
      <c r="F490" s="237">
        <v>42898</v>
      </c>
      <c r="G490" s="15">
        <v>3963.9</v>
      </c>
      <c r="H490" s="15">
        <f t="shared" si="7"/>
        <v>0</v>
      </c>
      <c r="I490" s="236" t="s">
        <v>19682</v>
      </c>
    </row>
    <row r="491" spans="1:9" x14ac:dyDescent="0.25">
      <c r="A491" s="242">
        <v>42890</v>
      </c>
      <c r="B491" s="18">
        <v>114592</v>
      </c>
      <c r="C491" s="235" t="s">
        <v>19677</v>
      </c>
      <c r="D491" s="236" t="s">
        <v>15442</v>
      </c>
      <c r="E491" s="15">
        <v>10157.6</v>
      </c>
      <c r="F491" s="237">
        <v>42895</v>
      </c>
      <c r="G491" s="15">
        <v>10157.6</v>
      </c>
      <c r="H491" s="15">
        <f t="shared" si="7"/>
        <v>0</v>
      </c>
      <c r="I491" s="236" t="s">
        <v>19682</v>
      </c>
    </row>
    <row r="492" spans="1:9" x14ac:dyDescent="0.25">
      <c r="A492" s="36">
        <v>42890</v>
      </c>
      <c r="B492" s="18">
        <v>114593</v>
      </c>
      <c r="C492" s="235" t="s">
        <v>19677</v>
      </c>
      <c r="D492" s="236" t="s">
        <v>15549</v>
      </c>
      <c r="E492" s="15">
        <v>12817.4</v>
      </c>
      <c r="F492" s="237">
        <v>42891</v>
      </c>
      <c r="G492" s="15">
        <v>12817.4</v>
      </c>
      <c r="H492" s="15">
        <f t="shared" si="7"/>
        <v>0</v>
      </c>
      <c r="I492" s="236" t="s">
        <v>19682</v>
      </c>
    </row>
    <row r="493" spans="1:9" x14ac:dyDescent="0.25">
      <c r="A493" s="242">
        <v>42890</v>
      </c>
      <c r="B493" s="18">
        <v>114594</v>
      </c>
      <c r="C493" s="235" t="s">
        <v>19677</v>
      </c>
      <c r="D493" s="236" t="s">
        <v>15244</v>
      </c>
      <c r="E493" s="15">
        <v>20505.400000000001</v>
      </c>
      <c r="F493" s="237">
        <v>42894</v>
      </c>
      <c r="G493" s="15">
        <v>20505.400000000001</v>
      </c>
      <c r="H493" s="15">
        <f t="shared" si="7"/>
        <v>0</v>
      </c>
      <c r="I493" s="236" t="s">
        <v>19682</v>
      </c>
    </row>
    <row r="494" spans="1:9" x14ac:dyDescent="0.25">
      <c r="A494" s="36">
        <v>42890</v>
      </c>
      <c r="B494" s="18">
        <v>114595</v>
      </c>
      <c r="C494" s="235" t="s">
        <v>19677</v>
      </c>
      <c r="D494" s="236" t="s">
        <v>15248</v>
      </c>
      <c r="E494" s="15">
        <v>15728.96</v>
      </c>
      <c r="F494" s="237">
        <v>42891</v>
      </c>
      <c r="G494" s="15">
        <v>15728.96</v>
      </c>
      <c r="H494" s="15">
        <f t="shared" si="7"/>
        <v>0</v>
      </c>
      <c r="I494" s="236" t="s">
        <v>19682</v>
      </c>
    </row>
    <row r="495" spans="1:9" x14ac:dyDescent="0.25">
      <c r="A495" s="242">
        <v>42890</v>
      </c>
      <c r="B495" s="18">
        <v>114596</v>
      </c>
      <c r="C495" s="235" t="s">
        <v>19677</v>
      </c>
      <c r="D495" s="236" t="s">
        <v>16646</v>
      </c>
      <c r="E495" s="15">
        <v>591.6</v>
      </c>
      <c r="F495" s="237">
        <v>42890</v>
      </c>
      <c r="G495" s="15">
        <v>591.6</v>
      </c>
      <c r="H495" s="15">
        <f t="shared" si="7"/>
        <v>0</v>
      </c>
      <c r="I495" s="236" t="s">
        <v>19682</v>
      </c>
    </row>
    <row r="496" spans="1:9" x14ac:dyDescent="0.25">
      <c r="A496" s="36">
        <v>42890</v>
      </c>
      <c r="B496" s="18">
        <v>114597</v>
      </c>
      <c r="C496" s="235" t="s">
        <v>19677</v>
      </c>
      <c r="D496" s="236" t="s">
        <v>15624</v>
      </c>
      <c r="E496" s="15">
        <v>32515</v>
      </c>
      <c r="F496" s="237">
        <v>42891</v>
      </c>
      <c r="G496" s="15">
        <v>32515</v>
      </c>
      <c r="H496" s="15">
        <f t="shared" si="7"/>
        <v>0</v>
      </c>
      <c r="I496" s="236" t="s">
        <v>19682</v>
      </c>
    </row>
    <row r="497" spans="1:9" x14ac:dyDescent="0.25">
      <c r="A497" s="242">
        <v>42890</v>
      </c>
      <c r="B497" s="18">
        <v>114598</v>
      </c>
      <c r="C497" s="235" t="s">
        <v>19677</v>
      </c>
      <c r="D497" s="236" t="s">
        <v>15725</v>
      </c>
      <c r="E497" s="15">
        <v>5535.2</v>
      </c>
      <c r="F497" s="237">
        <v>42900</v>
      </c>
      <c r="G497" s="15">
        <v>5535.2</v>
      </c>
      <c r="H497" s="15">
        <f t="shared" si="7"/>
        <v>0</v>
      </c>
      <c r="I497" s="236" t="s">
        <v>19682</v>
      </c>
    </row>
    <row r="498" spans="1:9" x14ac:dyDescent="0.25">
      <c r="A498" s="36">
        <v>42890</v>
      </c>
      <c r="B498" s="18">
        <v>114599</v>
      </c>
      <c r="C498" s="235" t="s">
        <v>19677</v>
      </c>
      <c r="D498" s="236" t="s">
        <v>15385</v>
      </c>
      <c r="E498" s="15">
        <v>9792</v>
      </c>
      <c r="F498" s="237">
        <v>42891</v>
      </c>
      <c r="G498" s="15">
        <v>9792</v>
      </c>
      <c r="H498" s="15">
        <f t="shared" si="7"/>
        <v>0</v>
      </c>
      <c r="I498" s="236" t="s">
        <v>19682</v>
      </c>
    </row>
    <row r="499" spans="1:9" x14ac:dyDescent="0.25">
      <c r="A499" s="242">
        <v>42890</v>
      </c>
      <c r="B499" s="18">
        <v>114600</v>
      </c>
      <c r="C499" s="235" t="s">
        <v>19677</v>
      </c>
      <c r="D499" s="236" t="s">
        <v>15391</v>
      </c>
      <c r="E499" s="15">
        <v>10878</v>
      </c>
      <c r="F499" s="237">
        <v>42891</v>
      </c>
      <c r="G499" s="15">
        <v>10878</v>
      </c>
      <c r="H499" s="15">
        <f t="shared" si="7"/>
        <v>0</v>
      </c>
      <c r="I499" s="236" t="s">
        <v>19682</v>
      </c>
    </row>
    <row r="500" spans="1:9" x14ac:dyDescent="0.25">
      <c r="A500" s="36">
        <v>42890</v>
      </c>
      <c r="B500" s="18">
        <v>114601</v>
      </c>
      <c r="C500" s="235" t="s">
        <v>19677</v>
      </c>
      <c r="D500" s="236" t="s">
        <v>15444</v>
      </c>
      <c r="E500" s="15">
        <v>1704</v>
      </c>
      <c r="F500" s="237">
        <v>42890</v>
      </c>
      <c r="G500" s="15">
        <v>1704</v>
      </c>
      <c r="H500" s="15">
        <f t="shared" si="7"/>
        <v>0</v>
      </c>
      <c r="I500" s="236" t="s">
        <v>19682</v>
      </c>
    </row>
    <row r="501" spans="1:9" x14ac:dyDescent="0.25">
      <c r="A501" s="242">
        <v>42890</v>
      </c>
      <c r="B501" s="18">
        <v>114602</v>
      </c>
      <c r="C501" s="235" t="s">
        <v>19677</v>
      </c>
      <c r="D501" s="236" t="s">
        <v>15361</v>
      </c>
      <c r="E501" s="15">
        <v>7421.9</v>
      </c>
      <c r="F501" s="237">
        <v>42891</v>
      </c>
      <c r="G501" s="15">
        <v>7421.9</v>
      </c>
      <c r="H501" s="15">
        <f t="shared" si="7"/>
        <v>0</v>
      </c>
      <c r="I501" s="236" t="s">
        <v>19682</v>
      </c>
    </row>
    <row r="502" spans="1:9" x14ac:dyDescent="0.25">
      <c r="A502" s="36">
        <v>42890</v>
      </c>
      <c r="B502" s="18">
        <v>114603</v>
      </c>
      <c r="C502" s="235" t="s">
        <v>19677</v>
      </c>
      <c r="D502" s="236" t="s">
        <v>15267</v>
      </c>
      <c r="E502" s="15">
        <v>8710</v>
      </c>
      <c r="F502" s="237">
        <v>42891</v>
      </c>
      <c r="G502" s="15">
        <v>8710</v>
      </c>
      <c r="H502" s="15">
        <f t="shared" si="7"/>
        <v>0</v>
      </c>
      <c r="I502" s="236" t="s">
        <v>19682</v>
      </c>
    </row>
    <row r="503" spans="1:9" x14ac:dyDescent="0.25">
      <c r="A503" s="242">
        <v>42890</v>
      </c>
      <c r="B503" s="18">
        <v>114604</v>
      </c>
      <c r="C503" s="235" t="s">
        <v>19677</v>
      </c>
      <c r="D503" s="236" t="s">
        <v>15326</v>
      </c>
      <c r="E503" s="15">
        <v>1168.5</v>
      </c>
      <c r="F503" s="237">
        <v>42890</v>
      </c>
      <c r="G503" s="15">
        <v>1168.5</v>
      </c>
      <c r="H503" s="15">
        <f t="shared" si="7"/>
        <v>0</v>
      </c>
      <c r="I503" s="236" t="s">
        <v>19682</v>
      </c>
    </row>
    <row r="504" spans="1:9" x14ac:dyDescent="0.25">
      <c r="A504" s="36">
        <v>42890</v>
      </c>
      <c r="B504" s="18">
        <v>114605</v>
      </c>
      <c r="C504" s="235" t="s">
        <v>19677</v>
      </c>
      <c r="D504" s="236" t="s">
        <v>15510</v>
      </c>
      <c r="E504" s="15">
        <v>10858.4</v>
      </c>
      <c r="F504" s="237">
        <v>42890</v>
      </c>
      <c r="G504" s="15">
        <v>10858.4</v>
      </c>
      <c r="H504" s="15">
        <f t="shared" si="7"/>
        <v>0</v>
      </c>
      <c r="I504" s="236" t="s">
        <v>19682</v>
      </c>
    </row>
    <row r="505" spans="1:9" x14ac:dyDescent="0.25">
      <c r="A505" s="242">
        <v>42890</v>
      </c>
      <c r="B505" s="18">
        <v>114606</v>
      </c>
      <c r="C505" s="235" t="s">
        <v>19677</v>
      </c>
      <c r="D505" s="236" t="s">
        <v>15315</v>
      </c>
      <c r="E505" s="15">
        <v>2703</v>
      </c>
      <c r="F505" s="237">
        <v>42890</v>
      </c>
      <c r="G505" s="15">
        <v>2703</v>
      </c>
      <c r="H505" s="15">
        <f t="shared" si="7"/>
        <v>0</v>
      </c>
      <c r="I505" s="236" t="s">
        <v>19682</v>
      </c>
    </row>
    <row r="506" spans="1:9" x14ac:dyDescent="0.25">
      <c r="A506" s="36">
        <v>42890</v>
      </c>
      <c r="B506" s="18">
        <v>114607</v>
      </c>
      <c r="C506" s="235" t="s">
        <v>19677</v>
      </c>
      <c r="D506" s="236" t="s">
        <v>15263</v>
      </c>
      <c r="E506" s="15">
        <v>1063.4000000000001</v>
      </c>
      <c r="F506" s="237">
        <v>42890</v>
      </c>
      <c r="G506" s="15">
        <v>1063.4000000000001</v>
      </c>
      <c r="H506" s="15">
        <f t="shared" si="7"/>
        <v>0</v>
      </c>
      <c r="I506" s="236" t="s">
        <v>19682</v>
      </c>
    </row>
    <row r="507" spans="1:9" x14ac:dyDescent="0.25">
      <c r="A507" s="242">
        <v>42890</v>
      </c>
      <c r="B507" s="18">
        <v>114608</v>
      </c>
      <c r="C507" s="235" t="s">
        <v>19677</v>
      </c>
      <c r="D507" s="236" t="s">
        <v>15706</v>
      </c>
      <c r="E507" s="15">
        <v>1753.8</v>
      </c>
      <c r="F507" s="237">
        <v>42890</v>
      </c>
      <c r="G507" s="15">
        <v>1753.8</v>
      </c>
      <c r="H507" s="15">
        <f t="shared" si="7"/>
        <v>0</v>
      </c>
      <c r="I507" s="236" t="s">
        <v>19682</v>
      </c>
    </row>
    <row r="508" spans="1:9" x14ac:dyDescent="0.25">
      <c r="A508" s="36">
        <v>42890</v>
      </c>
      <c r="B508" s="18">
        <v>114609</v>
      </c>
      <c r="C508" s="235" t="s">
        <v>19677</v>
      </c>
      <c r="D508" s="236" t="s">
        <v>17462</v>
      </c>
      <c r="E508" s="15">
        <v>3258.9</v>
      </c>
      <c r="F508" s="237">
        <v>42890</v>
      </c>
      <c r="G508" s="15">
        <v>3258.9</v>
      </c>
      <c r="H508" s="15">
        <f t="shared" si="7"/>
        <v>0</v>
      </c>
      <c r="I508" s="236" t="s">
        <v>19682</v>
      </c>
    </row>
    <row r="509" spans="1:9" x14ac:dyDescent="0.25">
      <c r="A509" s="242">
        <v>42890</v>
      </c>
      <c r="B509" s="18">
        <v>114610</v>
      </c>
      <c r="C509" s="235" t="s">
        <v>19677</v>
      </c>
      <c r="D509" s="236" t="s">
        <v>15435</v>
      </c>
      <c r="E509" s="15">
        <v>7150.2</v>
      </c>
      <c r="F509" s="237">
        <v>42890</v>
      </c>
      <c r="G509" s="15">
        <v>7150.2</v>
      </c>
      <c r="H509" s="15">
        <f t="shared" si="7"/>
        <v>0</v>
      </c>
      <c r="I509" s="236" t="s">
        <v>19682</v>
      </c>
    </row>
    <row r="510" spans="1:9" x14ac:dyDescent="0.25">
      <c r="A510" s="36">
        <v>42890</v>
      </c>
      <c r="B510" s="18">
        <v>114611</v>
      </c>
      <c r="C510" s="235" t="s">
        <v>19677</v>
      </c>
      <c r="D510" s="236" t="s">
        <v>15315</v>
      </c>
      <c r="E510" s="15">
        <v>8629.7999999999993</v>
      </c>
      <c r="F510" s="237">
        <v>42891</v>
      </c>
      <c r="G510" s="15">
        <v>8629.7999999999993</v>
      </c>
      <c r="H510" s="15">
        <f t="shared" si="7"/>
        <v>0</v>
      </c>
      <c r="I510" s="236" t="s">
        <v>19682</v>
      </c>
    </row>
    <row r="511" spans="1:9" x14ac:dyDescent="0.25">
      <c r="A511" s="242">
        <v>42890</v>
      </c>
      <c r="B511" s="18">
        <v>114612</v>
      </c>
      <c r="C511" s="235" t="s">
        <v>19677</v>
      </c>
      <c r="D511" s="236" t="s">
        <v>15223</v>
      </c>
      <c r="E511" s="15">
        <v>42868</v>
      </c>
      <c r="F511" s="237">
        <v>42901</v>
      </c>
      <c r="G511" s="15">
        <v>42868</v>
      </c>
      <c r="H511" s="15">
        <f t="shared" si="7"/>
        <v>0</v>
      </c>
      <c r="I511" s="236" t="s">
        <v>19682</v>
      </c>
    </row>
    <row r="512" spans="1:9" x14ac:dyDescent="0.25">
      <c r="A512" s="36">
        <v>42890</v>
      </c>
      <c r="B512" s="18">
        <v>114613</v>
      </c>
      <c r="C512" s="235" t="s">
        <v>19677</v>
      </c>
      <c r="D512" s="236" t="s">
        <v>15352</v>
      </c>
      <c r="E512" s="15">
        <v>281.2</v>
      </c>
      <c r="F512" s="237">
        <v>42890</v>
      </c>
      <c r="G512" s="15">
        <v>281.2</v>
      </c>
      <c r="H512" s="15">
        <f t="shared" si="7"/>
        <v>0</v>
      </c>
      <c r="I512" s="236" t="s">
        <v>19682</v>
      </c>
    </row>
    <row r="513" spans="1:9" x14ac:dyDescent="0.25">
      <c r="A513" s="242">
        <v>42890</v>
      </c>
      <c r="B513" s="18">
        <v>114614</v>
      </c>
      <c r="C513" s="235" t="s">
        <v>19677</v>
      </c>
      <c r="D513" s="236" t="s">
        <v>15315</v>
      </c>
      <c r="E513" s="15">
        <v>490</v>
      </c>
      <c r="F513" s="237">
        <v>42891</v>
      </c>
      <c r="G513" s="15">
        <v>490</v>
      </c>
      <c r="H513" s="15">
        <f t="shared" si="7"/>
        <v>0</v>
      </c>
      <c r="I513" s="236" t="s">
        <v>19682</v>
      </c>
    </row>
    <row r="514" spans="1:9" x14ac:dyDescent="0.25">
      <c r="A514" s="36">
        <v>42890</v>
      </c>
      <c r="B514" s="18">
        <v>114615</v>
      </c>
      <c r="C514" s="235" t="s">
        <v>19677</v>
      </c>
      <c r="D514" s="236" t="s">
        <v>16126</v>
      </c>
      <c r="E514" s="15">
        <v>1421.2</v>
      </c>
      <c r="F514" s="237">
        <v>42890</v>
      </c>
      <c r="G514" s="15">
        <v>1421.2</v>
      </c>
      <c r="H514" s="15">
        <f t="shared" ref="H514:H577" si="8">E514-G514</f>
        <v>0</v>
      </c>
      <c r="I514" s="236" t="s">
        <v>19682</v>
      </c>
    </row>
    <row r="515" spans="1:9" x14ac:dyDescent="0.25">
      <c r="A515" s="242">
        <v>42890</v>
      </c>
      <c r="B515" s="18">
        <v>114616</v>
      </c>
      <c r="C515" s="235" t="s">
        <v>19677</v>
      </c>
      <c r="D515" s="236" t="s">
        <v>15250</v>
      </c>
      <c r="E515" s="15">
        <v>49889.16</v>
      </c>
      <c r="F515" s="237">
        <v>42902</v>
      </c>
      <c r="G515" s="15">
        <v>49889.16</v>
      </c>
      <c r="H515" s="15">
        <f t="shared" si="8"/>
        <v>0</v>
      </c>
      <c r="I515" s="236" t="s">
        <v>19682</v>
      </c>
    </row>
    <row r="516" spans="1:9" x14ac:dyDescent="0.25">
      <c r="A516" s="242">
        <v>42891</v>
      </c>
      <c r="B516" s="18">
        <v>114617</v>
      </c>
      <c r="C516" s="235" t="s">
        <v>19677</v>
      </c>
      <c r="D516" s="236" t="s">
        <v>15213</v>
      </c>
      <c r="E516" s="15">
        <v>7556</v>
      </c>
      <c r="F516" s="237">
        <v>42891</v>
      </c>
      <c r="G516" s="15">
        <v>7556</v>
      </c>
      <c r="H516" s="15">
        <f t="shared" si="8"/>
        <v>0</v>
      </c>
      <c r="I516" s="236" t="s">
        <v>19682</v>
      </c>
    </row>
    <row r="517" spans="1:9" x14ac:dyDescent="0.25">
      <c r="A517" s="36">
        <v>42891</v>
      </c>
      <c r="B517" s="18">
        <v>114618</v>
      </c>
      <c r="C517" s="235" t="s">
        <v>19677</v>
      </c>
      <c r="D517" s="236" t="s">
        <v>15216</v>
      </c>
      <c r="E517" s="15">
        <v>2137.6</v>
      </c>
      <c r="F517" s="237">
        <v>42893</v>
      </c>
      <c r="G517" s="15">
        <v>2137.6</v>
      </c>
      <c r="H517" s="15">
        <f t="shared" si="8"/>
        <v>0</v>
      </c>
      <c r="I517" s="236" t="s">
        <v>19682</v>
      </c>
    </row>
    <row r="518" spans="1:9" x14ac:dyDescent="0.25">
      <c r="A518" s="242">
        <v>42891</v>
      </c>
      <c r="B518" s="18">
        <v>114619</v>
      </c>
      <c r="C518" s="235" t="s">
        <v>19677</v>
      </c>
      <c r="D518" s="236" t="s">
        <v>15213</v>
      </c>
      <c r="E518" s="15">
        <v>34467.800000000003</v>
      </c>
      <c r="F518" s="237">
        <v>42892</v>
      </c>
      <c r="G518" s="15">
        <v>34467.800000000003</v>
      </c>
      <c r="H518" s="15">
        <f t="shared" si="8"/>
        <v>0</v>
      </c>
      <c r="I518" s="236" t="s">
        <v>19682</v>
      </c>
    </row>
    <row r="519" spans="1:9" x14ac:dyDescent="0.25">
      <c r="A519" s="36">
        <v>42891</v>
      </c>
      <c r="B519" s="18">
        <v>114620</v>
      </c>
      <c r="C519" s="235" t="s">
        <v>19677</v>
      </c>
      <c r="D519" s="236" t="s">
        <v>15220</v>
      </c>
      <c r="E519" s="15">
        <v>2400</v>
      </c>
      <c r="F519" s="237">
        <v>42891</v>
      </c>
      <c r="G519" s="15">
        <v>2400</v>
      </c>
      <c r="H519" s="15">
        <f t="shared" si="8"/>
        <v>0</v>
      </c>
      <c r="I519" s="236" t="s">
        <v>19682</v>
      </c>
    </row>
    <row r="520" spans="1:9" x14ac:dyDescent="0.25">
      <c r="A520" s="242">
        <v>42891</v>
      </c>
      <c r="B520" s="18">
        <v>114621</v>
      </c>
      <c r="C520" s="235" t="s">
        <v>19677</v>
      </c>
      <c r="D520" s="236" t="s">
        <v>15330</v>
      </c>
      <c r="E520" s="15">
        <v>5089.2</v>
      </c>
      <c r="F520" s="237">
        <v>42891</v>
      </c>
      <c r="G520" s="15">
        <v>5089.2</v>
      </c>
      <c r="H520" s="15">
        <f t="shared" si="8"/>
        <v>0</v>
      </c>
      <c r="I520" s="236" t="s">
        <v>19682</v>
      </c>
    </row>
    <row r="521" spans="1:9" x14ac:dyDescent="0.25">
      <c r="A521" s="36">
        <v>42891</v>
      </c>
      <c r="B521" s="18">
        <v>114622</v>
      </c>
      <c r="C521" s="235" t="s">
        <v>19677</v>
      </c>
      <c r="D521" s="236" t="s">
        <v>15272</v>
      </c>
      <c r="E521" s="15">
        <v>23062.1</v>
      </c>
      <c r="F521" s="237">
        <v>42891</v>
      </c>
      <c r="G521" s="15">
        <v>23062.1</v>
      </c>
      <c r="H521" s="15">
        <f t="shared" si="8"/>
        <v>0</v>
      </c>
      <c r="I521" s="236" t="s">
        <v>19682</v>
      </c>
    </row>
    <row r="522" spans="1:9" x14ac:dyDescent="0.25">
      <c r="A522" s="242">
        <v>42891</v>
      </c>
      <c r="B522" s="18">
        <v>114623</v>
      </c>
      <c r="C522" s="235" t="s">
        <v>19677</v>
      </c>
      <c r="D522" s="236" t="s">
        <v>15330</v>
      </c>
      <c r="E522" s="15">
        <v>400</v>
      </c>
      <c r="F522" s="237">
        <v>42891</v>
      </c>
      <c r="G522" s="15">
        <v>400</v>
      </c>
      <c r="H522" s="15">
        <f t="shared" si="8"/>
        <v>0</v>
      </c>
      <c r="I522" s="236" t="s">
        <v>19682</v>
      </c>
    </row>
    <row r="523" spans="1:9" x14ac:dyDescent="0.25">
      <c r="A523" s="36">
        <v>42891</v>
      </c>
      <c r="B523" s="18">
        <v>114624</v>
      </c>
      <c r="C523" s="235" t="s">
        <v>19677</v>
      </c>
      <c r="D523" s="236" t="s">
        <v>15234</v>
      </c>
      <c r="E523" s="15">
        <v>3135.6</v>
      </c>
      <c r="F523" s="237">
        <v>42894</v>
      </c>
      <c r="G523" s="15">
        <v>3135.6</v>
      </c>
      <c r="H523" s="15">
        <f t="shared" si="8"/>
        <v>0</v>
      </c>
      <c r="I523" s="236" t="s">
        <v>19682</v>
      </c>
    </row>
    <row r="524" spans="1:9" x14ac:dyDescent="0.25">
      <c r="A524" s="242">
        <v>42891</v>
      </c>
      <c r="B524" s="18">
        <v>114625</v>
      </c>
      <c r="C524" s="235" t="s">
        <v>19677</v>
      </c>
      <c r="D524" s="236" t="s">
        <v>15232</v>
      </c>
      <c r="E524" s="15">
        <v>5830.2</v>
      </c>
      <c r="F524" s="237">
        <v>42894</v>
      </c>
      <c r="G524" s="15">
        <v>5830.2</v>
      </c>
      <c r="H524" s="15">
        <f t="shared" si="8"/>
        <v>0</v>
      </c>
      <c r="I524" s="236" t="s">
        <v>19682</v>
      </c>
    </row>
    <row r="525" spans="1:9" x14ac:dyDescent="0.25">
      <c r="A525" s="36">
        <v>42891</v>
      </c>
      <c r="B525" s="18">
        <v>114626</v>
      </c>
      <c r="C525" s="235" t="s">
        <v>19677</v>
      </c>
      <c r="D525" s="236" t="s">
        <v>15480</v>
      </c>
      <c r="E525" s="15">
        <v>3244.2</v>
      </c>
      <c r="F525" s="237">
        <v>42895</v>
      </c>
      <c r="G525" s="15">
        <v>3244.2</v>
      </c>
      <c r="H525" s="15">
        <f t="shared" si="8"/>
        <v>0</v>
      </c>
      <c r="I525" s="236" t="s">
        <v>19682</v>
      </c>
    </row>
    <row r="526" spans="1:9" x14ac:dyDescent="0.25">
      <c r="A526" s="242">
        <v>42891</v>
      </c>
      <c r="B526" s="18">
        <v>114627</v>
      </c>
      <c r="C526" s="235" t="s">
        <v>19677</v>
      </c>
      <c r="D526" s="236" t="s">
        <v>15487</v>
      </c>
      <c r="E526" s="15">
        <v>3342</v>
      </c>
      <c r="F526" s="237">
        <v>42891</v>
      </c>
      <c r="G526" s="15">
        <v>3342</v>
      </c>
      <c r="H526" s="15">
        <f t="shared" si="8"/>
        <v>0</v>
      </c>
      <c r="I526" s="236" t="s">
        <v>19682</v>
      </c>
    </row>
    <row r="527" spans="1:9" x14ac:dyDescent="0.25">
      <c r="A527" s="36">
        <v>42891</v>
      </c>
      <c r="B527" s="18">
        <v>114628</v>
      </c>
      <c r="C527" s="235" t="s">
        <v>19677</v>
      </c>
      <c r="D527" s="236" t="s">
        <v>15230</v>
      </c>
      <c r="E527" s="15">
        <v>3684</v>
      </c>
      <c r="F527" s="237">
        <v>42901</v>
      </c>
      <c r="G527" s="15">
        <v>3684</v>
      </c>
      <c r="H527" s="15">
        <f t="shared" si="8"/>
        <v>0</v>
      </c>
      <c r="I527" s="236" t="s">
        <v>19682</v>
      </c>
    </row>
    <row r="528" spans="1:9" x14ac:dyDescent="0.25">
      <c r="A528" s="242">
        <v>42891</v>
      </c>
      <c r="B528" s="18">
        <v>114629</v>
      </c>
      <c r="C528" s="235" t="s">
        <v>19677</v>
      </c>
      <c r="D528" s="236" t="s">
        <v>5575</v>
      </c>
      <c r="E528" s="15">
        <v>7525</v>
      </c>
      <c r="F528" s="237">
        <v>42895</v>
      </c>
      <c r="G528" s="15">
        <v>7525</v>
      </c>
      <c r="H528" s="15">
        <f t="shared" si="8"/>
        <v>0</v>
      </c>
      <c r="I528" s="236" t="s">
        <v>19682</v>
      </c>
    </row>
    <row r="529" spans="1:9" x14ac:dyDescent="0.25">
      <c r="A529" s="36">
        <v>42891</v>
      </c>
      <c r="B529" s="18">
        <v>114630</v>
      </c>
      <c r="C529" s="235" t="s">
        <v>19677</v>
      </c>
      <c r="D529" s="236" t="s">
        <v>15252</v>
      </c>
      <c r="E529" s="15">
        <v>4255.1000000000004</v>
      </c>
      <c r="F529" s="237">
        <v>42898</v>
      </c>
      <c r="G529" s="15">
        <v>4255.1000000000004</v>
      </c>
      <c r="H529" s="15">
        <f t="shared" si="8"/>
        <v>0</v>
      </c>
      <c r="I529" s="236" t="s">
        <v>19682</v>
      </c>
    </row>
    <row r="530" spans="1:9" x14ac:dyDescent="0.25">
      <c r="A530" s="242">
        <v>42891</v>
      </c>
      <c r="B530" s="18">
        <v>114631</v>
      </c>
      <c r="C530" s="235" t="s">
        <v>19677</v>
      </c>
      <c r="D530" s="236" t="s">
        <v>15332</v>
      </c>
      <c r="E530" s="15">
        <v>3067.4</v>
      </c>
      <c r="F530" s="237">
        <v>42891</v>
      </c>
      <c r="G530" s="15">
        <v>3067.4</v>
      </c>
      <c r="H530" s="15">
        <f t="shared" si="8"/>
        <v>0</v>
      </c>
      <c r="I530" s="236" t="s">
        <v>19682</v>
      </c>
    </row>
    <row r="531" spans="1:9" x14ac:dyDescent="0.25">
      <c r="A531" s="36">
        <v>42891</v>
      </c>
      <c r="B531" s="18">
        <v>114632</v>
      </c>
      <c r="C531" s="235" t="s">
        <v>19677</v>
      </c>
      <c r="D531" s="236" t="s">
        <v>15263</v>
      </c>
      <c r="E531" s="15">
        <v>3876.6</v>
      </c>
      <c r="F531" s="237">
        <v>42891</v>
      </c>
      <c r="G531" s="15">
        <v>3876.6</v>
      </c>
      <c r="H531" s="15">
        <f t="shared" si="8"/>
        <v>0</v>
      </c>
      <c r="I531" s="236" t="s">
        <v>19682</v>
      </c>
    </row>
    <row r="532" spans="1:9" ht="15.75" x14ac:dyDescent="0.25">
      <c r="A532" s="242">
        <v>42891</v>
      </c>
      <c r="B532" s="18">
        <v>114633</v>
      </c>
      <c r="C532" s="235" t="s">
        <v>19677</v>
      </c>
      <c r="D532" s="239" t="s">
        <v>95</v>
      </c>
      <c r="E532" s="15">
        <v>0</v>
      </c>
      <c r="F532" s="243" t="s">
        <v>95</v>
      </c>
      <c r="G532" s="15">
        <v>0</v>
      </c>
      <c r="H532" s="15">
        <f t="shared" si="8"/>
        <v>0</v>
      </c>
      <c r="I532" s="236" t="s">
        <v>19678</v>
      </c>
    </row>
    <row r="533" spans="1:9" x14ac:dyDescent="0.25">
      <c r="A533" s="36">
        <v>42891</v>
      </c>
      <c r="B533" s="18">
        <v>114634</v>
      </c>
      <c r="C533" s="235" t="s">
        <v>19677</v>
      </c>
      <c r="D533" s="236" t="s">
        <v>15240</v>
      </c>
      <c r="E533" s="15">
        <v>3410.4</v>
      </c>
      <c r="F533" s="237">
        <v>42892</v>
      </c>
      <c r="G533" s="15">
        <v>3410.4</v>
      </c>
      <c r="H533" s="15">
        <f t="shared" si="8"/>
        <v>0</v>
      </c>
      <c r="I533" s="236" t="s">
        <v>19682</v>
      </c>
    </row>
    <row r="534" spans="1:9" x14ac:dyDescent="0.25">
      <c r="A534" s="242">
        <v>42891</v>
      </c>
      <c r="B534" s="18">
        <v>114635</v>
      </c>
      <c r="C534" s="235" t="s">
        <v>19677</v>
      </c>
      <c r="D534" s="236" t="s">
        <v>15340</v>
      </c>
      <c r="E534" s="15">
        <v>2995</v>
      </c>
      <c r="F534" s="237">
        <v>42891</v>
      </c>
      <c r="G534" s="15">
        <v>2995</v>
      </c>
      <c r="H534" s="15">
        <f t="shared" si="8"/>
        <v>0</v>
      </c>
      <c r="I534" s="236" t="s">
        <v>19682</v>
      </c>
    </row>
    <row r="535" spans="1:9" x14ac:dyDescent="0.25">
      <c r="A535" s="36">
        <v>42891</v>
      </c>
      <c r="B535" s="18">
        <v>114636</v>
      </c>
      <c r="C535" s="235" t="s">
        <v>19677</v>
      </c>
      <c r="D535" s="236" t="s">
        <v>15244</v>
      </c>
      <c r="E535" s="15">
        <v>11335.7</v>
      </c>
      <c r="F535" s="237">
        <v>42892</v>
      </c>
      <c r="G535" s="15">
        <v>11335.7</v>
      </c>
      <c r="H535" s="15">
        <f t="shared" si="8"/>
        <v>0</v>
      </c>
      <c r="I535" s="236" t="s">
        <v>19682</v>
      </c>
    </row>
    <row r="536" spans="1:9" x14ac:dyDescent="0.25">
      <c r="A536" s="242">
        <v>42891</v>
      </c>
      <c r="B536" s="18">
        <v>114637</v>
      </c>
      <c r="C536" s="235" t="s">
        <v>19677</v>
      </c>
      <c r="D536" s="236" t="s">
        <v>15284</v>
      </c>
      <c r="E536" s="15">
        <v>3972.6</v>
      </c>
      <c r="F536" s="237">
        <v>42891</v>
      </c>
      <c r="G536" s="15">
        <v>3972.6</v>
      </c>
      <c r="H536" s="15">
        <f t="shared" si="8"/>
        <v>0</v>
      </c>
      <c r="I536" s="236" t="s">
        <v>19682</v>
      </c>
    </row>
    <row r="537" spans="1:9" x14ac:dyDescent="0.25">
      <c r="A537" s="36">
        <v>42891</v>
      </c>
      <c r="B537" s="18">
        <v>114638</v>
      </c>
      <c r="C537" s="235" t="s">
        <v>19677</v>
      </c>
      <c r="D537" s="236" t="s">
        <v>15242</v>
      </c>
      <c r="E537" s="15">
        <v>6802.6</v>
      </c>
      <c r="F537" s="237">
        <v>42891</v>
      </c>
      <c r="G537" s="15">
        <v>6802.6</v>
      </c>
      <c r="H537" s="15">
        <f t="shared" si="8"/>
        <v>0</v>
      </c>
      <c r="I537" s="236" t="s">
        <v>19682</v>
      </c>
    </row>
    <row r="538" spans="1:9" ht="30" x14ac:dyDescent="0.25">
      <c r="A538" s="242">
        <v>42891</v>
      </c>
      <c r="B538" s="18">
        <v>114639</v>
      </c>
      <c r="C538" s="235" t="s">
        <v>19677</v>
      </c>
      <c r="D538" s="236" t="s">
        <v>15238</v>
      </c>
      <c r="E538" s="15">
        <v>6232</v>
      </c>
      <c r="F538" s="246" t="s">
        <v>19696</v>
      </c>
      <c r="G538" s="14">
        <f>3232+3000</f>
        <v>6232</v>
      </c>
      <c r="H538" s="241">
        <f t="shared" si="8"/>
        <v>0</v>
      </c>
      <c r="I538" s="236" t="s">
        <v>19682</v>
      </c>
    </row>
    <row r="539" spans="1:9" x14ac:dyDescent="0.25">
      <c r="A539" s="36">
        <v>42891</v>
      </c>
      <c r="B539" s="18">
        <v>114640</v>
      </c>
      <c r="C539" s="235" t="s">
        <v>19677</v>
      </c>
      <c r="D539" s="236" t="s">
        <v>15256</v>
      </c>
      <c r="E539" s="15">
        <v>5986</v>
      </c>
      <c r="F539" s="237">
        <v>42892</v>
      </c>
      <c r="G539" s="15">
        <v>5986</v>
      </c>
      <c r="H539" s="15">
        <f t="shared" si="8"/>
        <v>0</v>
      </c>
      <c r="I539" s="236" t="s">
        <v>19682</v>
      </c>
    </row>
    <row r="540" spans="1:9" x14ac:dyDescent="0.25">
      <c r="A540" s="242">
        <v>42891</v>
      </c>
      <c r="B540" s="18">
        <v>114641</v>
      </c>
      <c r="C540" s="235" t="s">
        <v>19677</v>
      </c>
      <c r="D540" s="236" t="s">
        <v>15226</v>
      </c>
      <c r="E540" s="15">
        <v>1867.6</v>
      </c>
      <c r="F540" s="237">
        <v>42894</v>
      </c>
      <c r="G540" s="15">
        <v>1867.6</v>
      </c>
      <c r="H540" s="15">
        <f t="shared" si="8"/>
        <v>0</v>
      </c>
      <c r="I540" s="236" t="s">
        <v>19682</v>
      </c>
    </row>
    <row r="541" spans="1:9" x14ac:dyDescent="0.25">
      <c r="A541" s="36">
        <v>42891</v>
      </c>
      <c r="B541" s="18">
        <v>114642</v>
      </c>
      <c r="C541" s="235" t="s">
        <v>19677</v>
      </c>
      <c r="D541" s="236" t="s">
        <v>17462</v>
      </c>
      <c r="E541" s="15">
        <v>6732</v>
      </c>
      <c r="F541" s="237">
        <v>42891</v>
      </c>
      <c r="G541" s="15">
        <v>6732</v>
      </c>
      <c r="H541" s="15">
        <f t="shared" si="8"/>
        <v>0</v>
      </c>
      <c r="I541" s="236" t="s">
        <v>19682</v>
      </c>
    </row>
    <row r="542" spans="1:9" x14ac:dyDescent="0.25">
      <c r="A542" s="242">
        <v>42891</v>
      </c>
      <c r="B542" s="18">
        <v>114643</v>
      </c>
      <c r="C542" s="235" t="s">
        <v>19677</v>
      </c>
      <c r="D542" s="236" t="s">
        <v>18258</v>
      </c>
      <c r="E542" s="15">
        <v>7953.8</v>
      </c>
      <c r="F542" s="237">
        <v>42891</v>
      </c>
      <c r="G542" s="15">
        <v>7953.8</v>
      </c>
      <c r="H542" s="15">
        <f t="shared" si="8"/>
        <v>0</v>
      </c>
      <c r="I542" s="236" t="s">
        <v>19682</v>
      </c>
    </row>
    <row r="543" spans="1:9" x14ac:dyDescent="0.25">
      <c r="A543" s="36">
        <v>42891</v>
      </c>
      <c r="B543" s="18">
        <v>114644</v>
      </c>
      <c r="C543" s="235" t="s">
        <v>19677</v>
      </c>
      <c r="D543" s="236" t="s">
        <v>15246</v>
      </c>
      <c r="E543" s="15">
        <v>50502.3</v>
      </c>
      <c r="F543" s="237">
        <v>42892</v>
      </c>
      <c r="G543" s="15">
        <v>50502.3</v>
      </c>
      <c r="H543" s="15">
        <f t="shared" si="8"/>
        <v>0</v>
      </c>
      <c r="I543" s="236" t="s">
        <v>19682</v>
      </c>
    </row>
    <row r="544" spans="1:9" x14ac:dyDescent="0.25">
      <c r="A544" s="242">
        <v>42891</v>
      </c>
      <c r="B544" s="18">
        <v>114645</v>
      </c>
      <c r="C544" s="235" t="s">
        <v>19677</v>
      </c>
      <c r="D544" s="236" t="s">
        <v>15223</v>
      </c>
      <c r="E544" s="15">
        <v>44511.6</v>
      </c>
      <c r="F544" s="237">
        <v>42901</v>
      </c>
      <c r="G544" s="15">
        <f>16840.26+27671.34</f>
        <v>44511.6</v>
      </c>
      <c r="H544" s="15">
        <f t="shared" si="8"/>
        <v>0</v>
      </c>
      <c r="I544" s="236" t="s">
        <v>19682</v>
      </c>
    </row>
    <row r="545" spans="1:9" x14ac:dyDescent="0.25">
      <c r="A545" s="36">
        <v>42891</v>
      </c>
      <c r="B545" s="18">
        <v>114646</v>
      </c>
      <c r="C545" s="235" t="s">
        <v>19677</v>
      </c>
      <c r="D545" s="236" t="s">
        <v>15248</v>
      </c>
      <c r="E545" s="15">
        <v>27834.3</v>
      </c>
      <c r="F545" s="237">
        <v>42891</v>
      </c>
      <c r="G545" s="15">
        <v>27834.3</v>
      </c>
      <c r="H545" s="15">
        <f t="shared" si="8"/>
        <v>0</v>
      </c>
      <c r="I545" s="236" t="s">
        <v>19682</v>
      </c>
    </row>
    <row r="546" spans="1:9" x14ac:dyDescent="0.25">
      <c r="A546" s="242">
        <v>42891</v>
      </c>
      <c r="B546" s="18">
        <v>114647</v>
      </c>
      <c r="C546" s="235" t="s">
        <v>19677</v>
      </c>
      <c r="D546" s="236" t="s">
        <v>15655</v>
      </c>
      <c r="E546" s="15">
        <v>11930.1</v>
      </c>
      <c r="F546" s="237">
        <v>42891</v>
      </c>
      <c r="G546" s="15">
        <v>11930.1</v>
      </c>
      <c r="H546" s="15">
        <f t="shared" si="8"/>
        <v>0</v>
      </c>
      <c r="I546" s="236" t="s">
        <v>19682</v>
      </c>
    </row>
    <row r="547" spans="1:9" x14ac:dyDescent="0.25">
      <c r="A547" s="36">
        <v>42891</v>
      </c>
      <c r="B547" s="18">
        <v>114648</v>
      </c>
      <c r="C547" s="235" t="s">
        <v>19677</v>
      </c>
      <c r="D547" s="236" t="s">
        <v>15365</v>
      </c>
      <c r="E547" s="15">
        <v>3028.2</v>
      </c>
      <c r="F547" s="237">
        <v>42892</v>
      </c>
      <c r="G547" s="15">
        <v>3028.2</v>
      </c>
      <c r="H547" s="15">
        <f t="shared" si="8"/>
        <v>0</v>
      </c>
      <c r="I547" s="236" t="s">
        <v>19682</v>
      </c>
    </row>
    <row r="548" spans="1:9" x14ac:dyDescent="0.25">
      <c r="A548" s="242">
        <v>42891</v>
      </c>
      <c r="B548" s="18">
        <v>114649</v>
      </c>
      <c r="C548" s="235" t="s">
        <v>19677</v>
      </c>
      <c r="D548" s="236" t="s">
        <v>17235</v>
      </c>
      <c r="E548" s="15">
        <v>960</v>
      </c>
      <c r="F548" s="237">
        <v>42891</v>
      </c>
      <c r="G548" s="15">
        <v>960</v>
      </c>
      <c r="H548" s="15">
        <f t="shared" si="8"/>
        <v>0</v>
      </c>
      <c r="I548" s="236" t="s">
        <v>19682</v>
      </c>
    </row>
    <row r="549" spans="1:9" x14ac:dyDescent="0.25">
      <c r="A549" s="36">
        <v>42891</v>
      </c>
      <c r="B549" s="18">
        <v>114650</v>
      </c>
      <c r="C549" s="235" t="s">
        <v>19677</v>
      </c>
      <c r="D549" s="236" t="s">
        <v>16484</v>
      </c>
      <c r="E549" s="15">
        <v>1360.8</v>
      </c>
      <c r="F549" s="237">
        <v>42891</v>
      </c>
      <c r="G549" s="15">
        <v>1360.8</v>
      </c>
      <c r="H549" s="15">
        <f t="shared" si="8"/>
        <v>0</v>
      </c>
      <c r="I549" s="236" t="s">
        <v>19682</v>
      </c>
    </row>
    <row r="550" spans="1:9" x14ac:dyDescent="0.25">
      <c r="A550" s="242">
        <v>42891</v>
      </c>
      <c r="B550" s="18">
        <v>114651</v>
      </c>
      <c r="C550" s="235" t="s">
        <v>19677</v>
      </c>
      <c r="D550" s="236" t="s">
        <v>15324</v>
      </c>
      <c r="E550" s="15">
        <v>2388</v>
      </c>
      <c r="F550" s="237">
        <v>42891</v>
      </c>
      <c r="G550" s="15">
        <v>2388</v>
      </c>
      <c r="H550" s="15">
        <f t="shared" si="8"/>
        <v>0</v>
      </c>
      <c r="I550" s="236" t="s">
        <v>19682</v>
      </c>
    </row>
    <row r="551" spans="1:9" x14ac:dyDescent="0.25">
      <c r="A551" s="36">
        <v>42891</v>
      </c>
      <c r="B551" s="18">
        <v>114652</v>
      </c>
      <c r="C551" s="235" t="s">
        <v>19677</v>
      </c>
      <c r="D551" s="236" t="s">
        <v>15596</v>
      </c>
      <c r="E551" s="15">
        <v>960</v>
      </c>
      <c r="F551" s="237">
        <v>42891</v>
      </c>
      <c r="G551" s="15">
        <v>960</v>
      </c>
      <c r="H551" s="15">
        <f t="shared" si="8"/>
        <v>0</v>
      </c>
      <c r="I551" s="236" t="s">
        <v>19682</v>
      </c>
    </row>
    <row r="552" spans="1:9" x14ac:dyDescent="0.25">
      <c r="A552" s="242">
        <v>42891</v>
      </c>
      <c r="B552" s="18">
        <v>114653</v>
      </c>
      <c r="C552" s="235" t="s">
        <v>19677</v>
      </c>
      <c r="D552" s="236" t="s">
        <v>18544</v>
      </c>
      <c r="E552" s="15">
        <v>8911.2000000000007</v>
      </c>
      <c r="F552" s="237">
        <v>42891</v>
      </c>
      <c r="G552" s="15">
        <v>8911.2000000000007</v>
      </c>
      <c r="H552" s="15">
        <f t="shared" si="8"/>
        <v>0</v>
      </c>
      <c r="I552" s="236" t="s">
        <v>19682</v>
      </c>
    </row>
    <row r="553" spans="1:9" x14ac:dyDescent="0.25">
      <c r="A553" s="36">
        <v>42891</v>
      </c>
      <c r="B553" s="18">
        <v>114654</v>
      </c>
      <c r="C553" s="235" t="s">
        <v>19677</v>
      </c>
      <c r="D553" s="236" t="s">
        <v>15250</v>
      </c>
      <c r="E553" s="15">
        <v>31847.8</v>
      </c>
      <c r="F553" s="237">
        <v>42902</v>
      </c>
      <c r="G553" s="15">
        <v>31847.8</v>
      </c>
      <c r="H553" s="15">
        <f t="shared" si="8"/>
        <v>0</v>
      </c>
      <c r="I553" s="236" t="s">
        <v>19682</v>
      </c>
    </row>
    <row r="554" spans="1:9" x14ac:dyDescent="0.25">
      <c r="A554" s="242">
        <v>42891</v>
      </c>
      <c r="B554" s="18">
        <v>114655</v>
      </c>
      <c r="C554" s="235" t="s">
        <v>19677</v>
      </c>
      <c r="D554" s="236" t="s">
        <v>18076</v>
      </c>
      <c r="E554" s="15">
        <v>2270.1</v>
      </c>
      <c r="F554" s="237">
        <v>42891</v>
      </c>
      <c r="G554" s="15">
        <v>2270.1</v>
      </c>
      <c r="H554" s="15">
        <f t="shared" si="8"/>
        <v>0</v>
      </c>
      <c r="I554" s="236" t="s">
        <v>19682</v>
      </c>
    </row>
    <row r="555" spans="1:9" x14ac:dyDescent="0.25">
      <c r="A555" s="36">
        <v>42891</v>
      </c>
      <c r="B555" s="18">
        <v>114656</v>
      </c>
      <c r="C555" s="235" t="s">
        <v>19677</v>
      </c>
      <c r="D555" s="236" t="s">
        <v>15396</v>
      </c>
      <c r="E555" s="15">
        <v>6089.2</v>
      </c>
      <c r="F555" s="237">
        <v>42891</v>
      </c>
      <c r="G555" s="15">
        <v>6089.2</v>
      </c>
      <c r="H555" s="15">
        <f t="shared" si="8"/>
        <v>0</v>
      </c>
      <c r="I555" s="236" t="s">
        <v>19682</v>
      </c>
    </row>
    <row r="556" spans="1:9" x14ac:dyDescent="0.25">
      <c r="A556" s="242">
        <v>42891</v>
      </c>
      <c r="B556" s="18">
        <v>114657</v>
      </c>
      <c r="C556" s="235" t="s">
        <v>19677</v>
      </c>
      <c r="D556" s="236" t="s">
        <v>15371</v>
      </c>
      <c r="E556" s="15">
        <v>4926.5</v>
      </c>
      <c r="F556" s="237">
        <v>42892</v>
      </c>
      <c r="G556" s="15">
        <v>4926.5</v>
      </c>
      <c r="H556" s="15">
        <f t="shared" si="8"/>
        <v>0</v>
      </c>
      <c r="I556" s="236" t="s">
        <v>19682</v>
      </c>
    </row>
    <row r="557" spans="1:9" x14ac:dyDescent="0.25">
      <c r="A557" s="36">
        <v>42891</v>
      </c>
      <c r="B557" s="18">
        <v>114658</v>
      </c>
      <c r="C557" s="235" t="s">
        <v>19677</v>
      </c>
      <c r="D557" s="236" t="s">
        <v>15530</v>
      </c>
      <c r="E557" s="15">
        <v>1542.7</v>
      </c>
      <c r="F557" s="237">
        <v>42891</v>
      </c>
      <c r="G557" s="15">
        <v>1542.7</v>
      </c>
      <c r="H557" s="15">
        <f t="shared" si="8"/>
        <v>0</v>
      </c>
      <c r="I557" s="236" t="s">
        <v>19682</v>
      </c>
    </row>
    <row r="558" spans="1:9" x14ac:dyDescent="0.25">
      <c r="A558" s="242">
        <v>42891</v>
      </c>
      <c r="B558" s="18">
        <v>114659</v>
      </c>
      <c r="C558" s="235" t="s">
        <v>19677</v>
      </c>
      <c r="D558" s="236" t="s">
        <v>15391</v>
      </c>
      <c r="E558" s="15">
        <v>7091</v>
      </c>
      <c r="F558" s="237">
        <v>42892</v>
      </c>
      <c r="G558" s="15">
        <v>7091</v>
      </c>
      <c r="H558" s="15">
        <f t="shared" si="8"/>
        <v>0</v>
      </c>
      <c r="I558" s="236" t="s">
        <v>19682</v>
      </c>
    </row>
    <row r="559" spans="1:9" x14ac:dyDescent="0.25">
      <c r="A559" s="36">
        <v>42891</v>
      </c>
      <c r="B559" s="18">
        <v>114660</v>
      </c>
      <c r="C559" s="235" t="s">
        <v>19677</v>
      </c>
      <c r="D559" s="236" t="s">
        <v>15361</v>
      </c>
      <c r="E559" s="15">
        <v>11524</v>
      </c>
      <c r="F559" s="237">
        <v>42892</v>
      </c>
      <c r="G559" s="15">
        <v>11524</v>
      </c>
      <c r="H559" s="15">
        <f t="shared" si="8"/>
        <v>0</v>
      </c>
      <c r="I559" s="236" t="s">
        <v>19682</v>
      </c>
    </row>
    <row r="560" spans="1:9" x14ac:dyDescent="0.25">
      <c r="A560" s="242">
        <v>42891</v>
      </c>
      <c r="B560" s="18">
        <v>114661</v>
      </c>
      <c r="C560" s="235" t="s">
        <v>19677</v>
      </c>
      <c r="D560" s="236" t="s">
        <v>17057</v>
      </c>
      <c r="E560" s="15">
        <v>842.4</v>
      </c>
      <c r="F560" s="237">
        <v>42891</v>
      </c>
      <c r="G560" s="15">
        <v>842.4</v>
      </c>
      <c r="H560" s="15">
        <f t="shared" si="8"/>
        <v>0</v>
      </c>
      <c r="I560" s="236" t="s">
        <v>19682</v>
      </c>
    </row>
    <row r="561" spans="1:9" x14ac:dyDescent="0.25">
      <c r="A561" s="36">
        <v>42891</v>
      </c>
      <c r="B561" s="18">
        <v>114662</v>
      </c>
      <c r="C561" s="235" t="s">
        <v>19677</v>
      </c>
      <c r="D561" s="236" t="s">
        <v>17722</v>
      </c>
      <c r="E561" s="15">
        <v>922.2</v>
      </c>
      <c r="F561" s="237">
        <v>42891</v>
      </c>
      <c r="G561" s="15">
        <v>922.2</v>
      </c>
      <c r="H561" s="15">
        <f t="shared" si="8"/>
        <v>0</v>
      </c>
      <c r="I561" s="236" t="s">
        <v>19682</v>
      </c>
    </row>
    <row r="562" spans="1:9" x14ac:dyDescent="0.25">
      <c r="A562" s="242">
        <v>42891</v>
      </c>
      <c r="B562" s="18">
        <v>114663</v>
      </c>
      <c r="C562" s="235" t="s">
        <v>19677</v>
      </c>
      <c r="D562" s="236" t="s">
        <v>15920</v>
      </c>
      <c r="E562" s="15">
        <v>10408</v>
      </c>
      <c r="F562" s="237">
        <v>42893</v>
      </c>
      <c r="G562" s="15">
        <v>10408</v>
      </c>
      <c r="H562" s="15">
        <f t="shared" si="8"/>
        <v>0</v>
      </c>
      <c r="I562" s="236" t="s">
        <v>19682</v>
      </c>
    </row>
    <row r="563" spans="1:9" x14ac:dyDescent="0.25">
      <c r="A563" s="36">
        <v>42891</v>
      </c>
      <c r="B563" s="18">
        <v>114664</v>
      </c>
      <c r="C563" s="235" t="s">
        <v>19677</v>
      </c>
      <c r="D563" s="236" t="s">
        <v>15282</v>
      </c>
      <c r="E563" s="15">
        <v>3647.3</v>
      </c>
      <c r="F563" s="237">
        <v>42891</v>
      </c>
      <c r="G563" s="15">
        <v>3647.3</v>
      </c>
      <c r="H563" s="15">
        <f t="shared" si="8"/>
        <v>0</v>
      </c>
      <c r="I563" s="236" t="s">
        <v>19682</v>
      </c>
    </row>
    <row r="564" spans="1:9" x14ac:dyDescent="0.25">
      <c r="A564" s="242">
        <v>42891</v>
      </c>
      <c r="B564" s="18">
        <v>114665</v>
      </c>
      <c r="C564" s="235" t="s">
        <v>19677</v>
      </c>
      <c r="D564" s="236" t="s">
        <v>15280</v>
      </c>
      <c r="E564" s="15">
        <v>5636.5</v>
      </c>
      <c r="F564" s="237">
        <v>42891</v>
      </c>
      <c r="G564" s="15">
        <v>5636.5</v>
      </c>
      <c r="H564" s="15">
        <f t="shared" si="8"/>
        <v>0</v>
      </c>
      <c r="I564" s="236" t="s">
        <v>19682</v>
      </c>
    </row>
    <row r="565" spans="1:9" x14ac:dyDescent="0.25">
      <c r="A565" s="36">
        <v>42891</v>
      </c>
      <c r="B565" s="18">
        <v>114666</v>
      </c>
      <c r="C565" s="235" t="s">
        <v>19677</v>
      </c>
      <c r="D565" s="236" t="s">
        <v>15592</v>
      </c>
      <c r="E565" s="15">
        <v>11606</v>
      </c>
      <c r="F565" s="237">
        <v>42892</v>
      </c>
      <c r="G565" s="15">
        <v>11606</v>
      </c>
      <c r="H565" s="15">
        <f t="shared" si="8"/>
        <v>0</v>
      </c>
      <c r="I565" s="236" t="s">
        <v>19682</v>
      </c>
    </row>
    <row r="566" spans="1:9" x14ac:dyDescent="0.25">
      <c r="A566" s="242">
        <v>42891</v>
      </c>
      <c r="B566" s="18">
        <v>114667</v>
      </c>
      <c r="C566" s="235" t="s">
        <v>19677</v>
      </c>
      <c r="D566" s="236" t="s">
        <v>19697</v>
      </c>
      <c r="E566" s="15">
        <v>885.4</v>
      </c>
      <c r="F566" s="237">
        <v>42896</v>
      </c>
      <c r="G566" s="15">
        <v>885.4</v>
      </c>
      <c r="H566" s="15">
        <f t="shared" si="8"/>
        <v>0</v>
      </c>
      <c r="I566" s="236" t="s">
        <v>19682</v>
      </c>
    </row>
    <row r="567" spans="1:9" ht="30" x14ac:dyDescent="0.25">
      <c r="A567" s="36">
        <v>42891</v>
      </c>
      <c r="B567" s="18">
        <v>114668</v>
      </c>
      <c r="C567" s="235" t="s">
        <v>19677</v>
      </c>
      <c r="D567" s="236" t="s">
        <v>15246</v>
      </c>
      <c r="E567" s="15">
        <v>153317.4</v>
      </c>
      <c r="F567" s="237" t="s">
        <v>19698</v>
      </c>
      <c r="G567" s="241">
        <f>102992.66+50324.74</f>
        <v>153317.4</v>
      </c>
      <c r="H567" s="241">
        <f t="shared" si="8"/>
        <v>0</v>
      </c>
      <c r="I567" s="236" t="s">
        <v>19682</v>
      </c>
    </row>
    <row r="568" spans="1:9" ht="15.75" x14ac:dyDescent="0.25">
      <c r="A568" s="242">
        <v>42891</v>
      </c>
      <c r="B568" s="18">
        <v>114669</v>
      </c>
      <c r="C568" s="235" t="s">
        <v>19677</v>
      </c>
      <c r="D568" s="239" t="s">
        <v>95</v>
      </c>
      <c r="E568" s="15">
        <v>0</v>
      </c>
      <c r="F568" s="240" t="s">
        <v>95</v>
      </c>
      <c r="G568" s="15">
        <v>0</v>
      </c>
      <c r="H568" s="15">
        <f t="shared" si="8"/>
        <v>0</v>
      </c>
      <c r="I568" s="236" t="s">
        <v>19678</v>
      </c>
    </row>
    <row r="569" spans="1:9" x14ac:dyDescent="0.25">
      <c r="A569" s="36">
        <v>42891</v>
      </c>
      <c r="B569" s="18">
        <v>114670</v>
      </c>
      <c r="C569" s="235" t="s">
        <v>19677</v>
      </c>
      <c r="D569" s="236" t="s">
        <v>15987</v>
      </c>
      <c r="E569" s="15">
        <v>8370</v>
      </c>
      <c r="F569" s="237">
        <v>42906</v>
      </c>
      <c r="G569" s="15">
        <v>8370</v>
      </c>
      <c r="H569" s="15">
        <f t="shared" si="8"/>
        <v>0</v>
      </c>
      <c r="I569" s="236" t="s">
        <v>19682</v>
      </c>
    </row>
    <row r="570" spans="1:9" x14ac:dyDescent="0.25">
      <c r="A570" s="242">
        <v>42891</v>
      </c>
      <c r="B570" s="18">
        <v>114671</v>
      </c>
      <c r="C570" s="235" t="s">
        <v>19677</v>
      </c>
      <c r="D570" s="236" t="s">
        <v>15298</v>
      </c>
      <c r="E570" s="15">
        <v>17848</v>
      </c>
      <c r="F570" s="237">
        <v>42898</v>
      </c>
      <c r="G570" s="15">
        <v>17848</v>
      </c>
      <c r="H570" s="15">
        <f t="shared" si="8"/>
        <v>0</v>
      </c>
      <c r="I570" s="236" t="s">
        <v>19682</v>
      </c>
    </row>
    <row r="571" spans="1:9" x14ac:dyDescent="0.25">
      <c r="A571" s="36">
        <v>42891</v>
      </c>
      <c r="B571" s="18">
        <v>114672</v>
      </c>
      <c r="C571" s="235" t="s">
        <v>19677</v>
      </c>
      <c r="D571" s="236" t="s">
        <v>15291</v>
      </c>
      <c r="E571" s="15">
        <v>1094.4000000000001</v>
      </c>
      <c r="F571" s="237">
        <v>42891</v>
      </c>
      <c r="G571" s="15">
        <v>1094.4000000000001</v>
      </c>
      <c r="H571" s="15">
        <f t="shared" si="8"/>
        <v>0</v>
      </c>
      <c r="I571" s="236" t="s">
        <v>19682</v>
      </c>
    </row>
    <row r="572" spans="1:9" x14ac:dyDescent="0.25">
      <c r="A572" s="242">
        <v>42891</v>
      </c>
      <c r="B572" s="18">
        <v>114673</v>
      </c>
      <c r="C572" s="235" t="s">
        <v>19677</v>
      </c>
      <c r="D572" s="236" t="s">
        <v>15415</v>
      </c>
      <c r="E572" s="15">
        <v>3787.7</v>
      </c>
      <c r="F572" s="237">
        <v>42893</v>
      </c>
      <c r="G572" s="15">
        <v>3787.7</v>
      </c>
      <c r="H572" s="15">
        <f t="shared" si="8"/>
        <v>0</v>
      </c>
      <c r="I572" s="236" t="s">
        <v>19682</v>
      </c>
    </row>
    <row r="573" spans="1:9" x14ac:dyDescent="0.25">
      <c r="A573" s="36">
        <v>42891</v>
      </c>
      <c r="B573" s="18">
        <v>114674</v>
      </c>
      <c r="C573" s="235" t="s">
        <v>19677</v>
      </c>
      <c r="D573" s="236" t="s">
        <v>15320</v>
      </c>
      <c r="E573" s="15">
        <v>1738</v>
      </c>
      <c r="F573" s="237">
        <v>42891</v>
      </c>
      <c r="G573" s="15">
        <v>1738</v>
      </c>
      <c r="H573" s="15">
        <f t="shared" si="8"/>
        <v>0</v>
      </c>
      <c r="I573" s="236" t="s">
        <v>19682</v>
      </c>
    </row>
    <row r="574" spans="1:9" x14ac:dyDescent="0.25">
      <c r="A574" s="242">
        <v>42891</v>
      </c>
      <c r="B574" s="18">
        <v>114675</v>
      </c>
      <c r="C574" s="235" t="s">
        <v>19677</v>
      </c>
      <c r="D574" s="236" t="s">
        <v>15541</v>
      </c>
      <c r="E574" s="15">
        <v>886.5</v>
      </c>
      <c r="F574" s="237">
        <v>42891</v>
      </c>
      <c r="G574" s="15">
        <v>886.5</v>
      </c>
      <c r="H574" s="15">
        <f t="shared" si="8"/>
        <v>0</v>
      </c>
      <c r="I574" s="236" t="s">
        <v>19682</v>
      </c>
    </row>
    <row r="575" spans="1:9" x14ac:dyDescent="0.25">
      <c r="A575" s="36">
        <v>42891</v>
      </c>
      <c r="B575" s="18">
        <v>114676</v>
      </c>
      <c r="C575" s="235" t="s">
        <v>19677</v>
      </c>
      <c r="D575" s="236" t="s">
        <v>15301</v>
      </c>
      <c r="E575" s="15">
        <v>3845</v>
      </c>
      <c r="F575" s="237">
        <v>42891</v>
      </c>
      <c r="G575" s="15">
        <v>3845</v>
      </c>
      <c r="H575" s="15">
        <f t="shared" si="8"/>
        <v>0</v>
      </c>
      <c r="I575" s="236" t="s">
        <v>19682</v>
      </c>
    </row>
    <row r="576" spans="1:9" x14ac:dyDescent="0.25">
      <c r="A576" s="242">
        <v>42891</v>
      </c>
      <c r="B576" s="18">
        <v>114677</v>
      </c>
      <c r="C576" s="235" t="s">
        <v>19677</v>
      </c>
      <c r="D576" s="236" t="s">
        <v>15311</v>
      </c>
      <c r="E576" s="15">
        <v>419</v>
      </c>
      <c r="F576" s="237">
        <v>42891</v>
      </c>
      <c r="G576" s="15">
        <v>419</v>
      </c>
      <c r="H576" s="15">
        <f t="shared" si="8"/>
        <v>0</v>
      </c>
      <c r="I576" s="236" t="s">
        <v>19682</v>
      </c>
    </row>
    <row r="577" spans="1:9" x14ac:dyDescent="0.25">
      <c r="A577" s="36">
        <v>42891</v>
      </c>
      <c r="B577" s="18">
        <v>114678</v>
      </c>
      <c r="C577" s="235" t="s">
        <v>19677</v>
      </c>
      <c r="D577" s="236" t="s">
        <v>15309</v>
      </c>
      <c r="E577" s="15">
        <v>6216.6</v>
      </c>
      <c r="F577" s="237">
        <v>42891</v>
      </c>
      <c r="G577" s="15">
        <v>6216.6</v>
      </c>
      <c r="H577" s="15">
        <f t="shared" si="8"/>
        <v>0</v>
      </c>
      <c r="I577" s="236" t="s">
        <v>19682</v>
      </c>
    </row>
    <row r="578" spans="1:9" x14ac:dyDescent="0.25">
      <c r="A578" s="242">
        <v>42891</v>
      </c>
      <c r="B578" s="18">
        <v>114679</v>
      </c>
      <c r="C578" s="235" t="s">
        <v>19677</v>
      </c>
      <c r="D578" s="236" t="s">
        <v>15305</v>
      </c>
      <c r="E578" s="15">
        <v>1864.8</v>
      </c>
      <c r="F578" s="237">
        <v>42891</v>
      </c>
      <c r="G578" s="15">
        <v>1864.8</v>
      </c>
      <c r="H578" s="15">
        <f t="shared" ref="H578:H641" si="9">E578-G578</f>
        <v>0</v>
      </c>
      <c r="I578" s="236" t="s">
        <v>19682</v>
      </c>
    </row>
    <row r="579" spans="1:9" x14ac:dyDescent="0.25">
      <c r="A579" s="36">
        <v>42891</v>
      </c>
      <c r="B579" s="18">
        <v>114680</v>
      </c>
      <c r="C579" s="235" t="s">
        <v>19677</v>
      </c>
      <c r="D579" s="236" t="s">
        <v>15286</v>
      </c>
      <c r="E579" s="15">
        <v>7159.2</v>
      </c>
      <c r="F579" s="237">
        <v>42891</v>
      </c>
      <c r="G579" s="15">
        <v>7159.2</v>
      </c>
      <c r="H579" s="15">
        <f t="shared" si="9"/>
        <v>0</v>
      </c>
      <c r="I579" s="236" t="s">
        <v>19682</v>
      </c>
    </row>
    <row r="580" spans="1:9" x14ac:dyDescent="0.25">
      <c r="A580" s="242">
        <v>42891</v>
      </c>
      <c r="B580" s="18">
        <v>114681</v>
      </c>
      <c r="C580" s="235" t="s">
        <v>19677</v>
      </c>
      <c r="D580" s="236" t="s">
        <v>15258</v>
      </c>
      <c r="E580" s="15">
        <v>14008.8</v>
      </c>
      <c r="F580" s="237">
        <v>42894</v>
      </c>
      <c r="G580" s="15">
        <v>14008.8</v>
      </c>
      <c r="H580" s="15">
        <f t="shared" si="9"/>
        <v>0</v>
      </c>
      <c r="I580" s="236" t="s">
        <v>19682</v>
      </c>
    </row>
    <row r="581" spans="1:9" x14ac:dyDescent="0.25">
      <c r="A581" s="36">
        <v>42891</v>
      </c>
      <c r="B581" s="18">
        <v>114682</v>
      </c>
      <c r="C581" s="235" t="s">
        <v>19677</v>
      </c>
      <c r="D581" s="236" t="s">
        <v>15307</v>
      </c>
      <c r="E581" s="15">
        <v>3394.8</v>
      </c>
      <c r="F581" s="237">
        <v>42891</v>
      </c>
      <c r="G581" s="15">
        <v>3394.8</v>
      </c>
      <c r="H581" s="15">
        <f t="shared" si="9"/>
        <v>0</v>
      </c>
      <c r="I581" s="236" t="s">
        <v>19682</v>
      </c>
    </row>
    <row r="582" spans="1:9" x14ac:dyDescent="0.25">
      <c r="A582" s="242">
        <v>42891</v>
      </c>
      <c r="B582" s="18">
        <v>114683</v>
      </c>
      <c r="C582" s="235" t="s">
        <v>19677</v>
      </c>
      <c r="D582" s="236" t="s">
        <v>15334</v>
      </c>
      <c r="E582" s="15">
        <v>1228.8</v>
      </c>
      <c r="F582" s="237">
        <v>42891</v>
      </c>
      <c r="G582" s="15">
        <v>1228.8</v>
      </c>
      <c r="H582" s="15">
        <f t="shared" si="9"/>
        <v>0</v>
      </c>
      <c r="I582" s="236" t="s">
        <v>19682</v>
      </c>
    </row>
    <row r="583" spans="1:9" x14ac:dyDescent="0.25">
      <c r="A583" s="36">
        <v>42891</v>
      </c>
      <c r="B583" s="18">
        <v>114684</v>
      </c>
      <c r="C583" s="235" t="s">
        <v>19677</v>
      </c>
      <c r="D583" s="236" t="s">
        <v>15523</v>
      </c>
      <c r="E583" s="15">
        <v>1497.6</v>
      </c>
      <c r="F583" s="237">
        <v>42891</v>
      </c>
      <c r="G583" s="15">
        <v>1497.6</v>
      </c>
      <c r="H583" s="15">
        <f t="shared" si="9"/>
        <v>0</v>
      </c>
      <c r="I583" s="236" t="s">
        <v>19682</v>
      </c>
    </row>
    <row r="584" spans="1:9" x14ac:dyDescent="0.25">
      <c r="A584" s="242">
        <v>42891</v>
      </c>
      <c r="B584" s="18">
        <v>114685</v>
      </c>
      <c r="C584" s="235" t="s">
        <v>19677</v>
      </c>
      <c r="D584" s="236" t="s">
        <v>17210</v>
      </c>
      <c r="E584" s="15">
        <v>3064.4</v>
      </c>
      <c r="F584" s="237">
        <v>42891</v>
      </c>
      <c r="G584" s="15">
        <v>3064.4</v>
      </c>
      <c r="H584" s="15">
        <f t="shared" si="9"/>
        <v>0</v>
      </c>
      <c r="I584" s="236" t="s">
        <v>19682</v>
      </c>
    </row>
    <row r="585" spans="1:9" x14ac:dyDescent="0.25">
      <c r="A585" s="36">
        <v>42891</v>
      </c>
      <c r="B585" s="18">
        <v>114686</v>
      </c>
      <c r="C585" s="235" t="s">
        <v>19677</v>
      </c>
      <c r="D585" s="236" t="s">
        <v>15328</v>
      </c>
      <c r="E585" s="15">
        <v>8990.6</v>
      </c>
      <c r="F585" s="237">
        <v>42902</v>
      </c>
      <c r="G585" s="15">
        <v>8990.6</v>
      </c>
      <c r="H585" s="15">
        <f t="shared" si="9"/>
        <v>0</v>
      </c>
      <c r="I585" s="236" t="s">
        <v>19682</v>
      </c>
    </row>
    <row r="586" spans="1:9" ht="15.75" x14ac:dyDescent="0.25">
      <c r="A586" s="242">
        <v>42891</v>
      </c>
      <c r="B586" s="18">
        <v>114687</v>
      </c>
      <c r="C586" s="235" t="s">
        <v>19677</v>
      </c>
      <c r="D586" s="239" t="s">
        <v>95</v>
      </c>
      <c r="E586" s="15">
        <v>0</v>
      </c>
      <c r="F586" s="240" t="s">
        <v>95</v>
      </c>
      <c r="G586" s="15">
        <v>0</v>
      </c>
      <c r="H586" s="15">
        <f t="shared" si="9"/>
        <v>0</v>
      </c>
      <c r="I586" s="236" t="s">
        <v>19678</v>
      </c>
    </row>
    <row r="587" spans="1:9" x14ac:dyDescent="0.25">
      <c r="A587" s="36">
        <v>42891</v>
      </c>
      <c r="B587" s="18">
        <v>114688</v>
      </c>
      <c r="C587" s="235" t="s">
        <v>19677</v>
      </c>
      <c r="D587" s="236" t="s">
        <v>15526</v>
      </c>
      <c r="E587" s="15">
        <v>3459.2</v>
      </c>
      <c r="F587" s="237">
        <v>42891</v>
      </c>
      <c r="G587" s="15">
        <v>3459.2</v>
      </c>
      <c r="H587" s="15">
        <f t="shared" si="9"/>
        <v>0</v>
      </c>
      <c r="I587" s="236" t="s">
        <v>19682</v>
      </c>
    </row>
    <row r="588" spans="1:9" x14ac:dyDescent="0.25">
      <c r="A588" s="242">
        <v>42891</v>
      </c>
      <c r="B588" s="18">
        <v>114689</v>
      </c>
      <c r="C588" s="235" t="s">
        <v>19677</v>
      </c>
      <c r="D588" s="236" t="s">
        <v>15344</v>
      </c>
      <c r="E588" s="15">
        <v>2105.6</v>
      </c>
      <c r="F588" s="237">
        <v>42891</v>
      </c>
      <c r="G588" s="15">
        <v>2105.6</v>
      </c>
      <c r="H588" s="15">
        <f t="shared" si="9"/>
        <v>0</v>
      </c>
      <c r="I588" s="236" t="s">
        <v>19682</v>
      </c>
    </row>
    <row r="589" spans="1:9" x14ac:dyDescent="0.25">
      <c r="A589" s="36">
        <v>42891</v>
      </c>
      <c r="B589" s="18">
        <v>114690</v>
      </c>
      <c r="C589" s="235" t="s">
        <v>19677</v>
      </c>
      <c r="D589" s="236" t="s">
        <v>15510</v>
      </c>
      <c r="E589" s="15">
        <v>16679.2</v>
      </c>
      <c r="F589" s="237">
        <v>42891</v>
      </c>
      <c r="G589" s="15">
        <v>16679.2</v>
      </c>
      <c r="H589" s="15">
        <f t="shared" si="9"/>
        <v>0</v>
      </c>
      <c r="I589" s="236" t="s">
        <v>19682</v>
      </c>
    </row>
    <row r="590" spans="1:9" x14ac:dyDescent="0.25">
      <c r="A590" s="242">
        <v>42891</v>
      </c>
      <c r="B590" s="18">
        <v>114691</v>
      </c>
      <c r="C590" s="235" t="s">
        <v>19677</v>
      </c>
      <c r="D590" s="236" t="s">
        <v>15742</v>
      </c>
      <c r="E590" s="15">
        <v>2964.7</v>
      </c>
      <c r="F590" s="237">
        <v>42891</v>
      </c>
      <c r="G590" s="15">
        <v>2964.7</v>
      </c>
      <c r="H590" s="15">
        <f t="shared" si="9"/>
        <v>0</v>
      </c>
      <c r="I590" s="236" t="s">
        <v>19682</v>
      </c>
    </row>
    <row r="591" spans="1:9" x14ac:dyDescent="0.25">
      <c r="A591" s="36">
        <v>42891</v>
      </c>
      <c r="B591" s="18">
        <v>114692</v>
      </c>
      <c r="C591" s="235" t="s">
        <v>19677</v>
      </c>
      <c r="D591" s="236" t="s">
        <v>15858</v>
      </c>
      <c r="E591" s="15">
        <v>385</v>
      </c>
      <c r="F591" s="237">
        <v>42891</v>
      </c>
      <c r="G591" s="15">
        <v>385</v>
      </c>
      <c r="H591" s="15">
        <f t="shared" si="9"/>
        <v>0</v>
      </c>
      <c r="I591" s="236" t="s">
        <v>19682</v>
      </c>
    </row>
    <row r="592" spans="1:9" x14ac:dyDescent="0.25">
      <c r="A592" s="242">
        <v>42891</v>
      </c>
      <c r="B592" s="18">
        <v>114693</v>
      </c>
      <c r="C592" s="235" t="s">
        <v>19677</v>
      </c>
      <c r="D592" s="236" t="s">
        <v>15358</v>
      </c>
      <c r="E592" s="15">
        <v>1188</v>
      </c>
      <c r="F592" s="237">
        <v>42891</v>
      </c>
      <c r="G592" s="15">
        <v>1188</v>
      </c>
      <c r="H592" s="15">
        <f t="shared" si="9"/>
        <v>0</v>
      </c>
      <c r="I592" s="236" t="s">
        <v>19682</v>
      </c>
    </row>
    <row r="593" spans="1:9" x14ac:dyDescent="0.25">
      <c r="A593" s="36">
        <v>42891</v>
      </c>
      <c r="B593" s="18">
        <v>114694</v>
      </c>
      <c r="C593" s="235" t="s">
        <v>19677</v>
      </c>
      <c r="D593" s="236" t="s">
        <v>15336</v>
      </c>
      <c r="E593" s="15">
        <v>7145.7</v>
      </c>
      <c r="F593" s="237">
        <v>42891</v>
      </c>
      <c r="G593" s="15">
        <v>7145.7</v>
      </c>
      <c r="H593" s="15">
        <f t="shared" si="9"/>
        <v>0</v>
      </c>
      <c r="I593" s="236" t="s">
        <v>19682</v>
      </c>
    </row>
    <row r="594" spans="1:9" x14ac:dyDescent="0.25">
      <c r="A594" s="242">
        <v>42891</v>
      </c>
      <c r="B594" s="18">
        <v>114695</v>
      </c>
      <c r="C594" s="235" t="s">
        <v>19677</v>
      </c>
      <c r="D594" s="236" t="s">
        <v>15356</v>
      </c>
      <c r="E594" s="15">
        <v>2940</v>
      </c>
      <c r="F594" s="237">
        <v>42891</v>
      </c>
      <c r="G594" s="15">
        <v>2940</v>
      </c>
      <c r="H594" s="15">
        <f t="shared" si="9"/>
        <v>0</v>
      </c>
      <c r="I594" s="236" t="s">
        <v>19682</v>
      </c>
    </row>
    <row r="595" spans="1:9" x14ac:dyDescent="0.25">
      <c r="A595" s="36">
        <v>42891</v>
      </c>
      <c r="B595" s="18">
        <v>114696</v>
      </c>
      <c r="C595" s="235" t="s">
        <v>19677</v>
      </c>
      <c r="D595" s="236" t="s">
        <v>15354</v>
      </c>
      <c r="E595" s="15">
        <v>4303</v>
      </c>
      <c r="F595" s="237">
        <v>42891</v>
      </c>
      <c r="G595" s="15">
        <v>4303</v>
      </c>
      <c r="H595" s="15">
        <f t="shared" si="9"/>
        <v>0</v>
      </c>
      <c r="I595" s="236" t="s">
        <v>19682</v>
      </c>
    </row>
    <row r="596" spans="1:9" x14ac:dyDescent="0.25">
      <c r="A596" s="242">
        <v>42891</v>
      </c>
      <c r="B596" s="18">
        <v>114697</v>
      </c>
      <c r="C596" s="235" t="s">
        <v>19677</v>
      </c>
      <c r="D596" s="236" t="s">
        <v>15398</v>
      </c>
      <c r="E596" s="15">
        <v>3088.8</v>
      </c>
      <c r="F596" s="237">
        <v>42891</v>
      </c>
      <c r="G596" s="15">
        <v>3088.8</v>
      </c>
      <c r="H596" s="15">
        <f t="shared" si="9"/>
        <v>0</v>
      </c>
      <c r="I596" s="236" t="s">
        <v>19682</v>
      </c>
    </row>
    <row r="597" spans="1:9" x14ac:dyDescent="0.25">
      <c r="A597" s="36">
        <v>42891</v>
      </c>
      <c r="B597" s="18">
        <v>114698</v>
      </c>
      <c r="C597" s="235" t="s">
        <v>19677</v>
      </c>
      <c r="D597" s="236" t="s">
        <v>15555</v>
      </c>
      <c r="E597" s="15">
        <v>32016</v>
      </c>
      <c r="F597" s="237">
        <v>42900</v>
      </c>
      <c r="G597" s="15">
        <v>32016</v>
      </c>
      <c r="H597" s="15">
        <f t="shared" si="9"/>
        <v>0</v>
      </c>
      <c r="I597" s="236" t="s">
        <v>19682</v>
      </c>
    </row>
    <row r="598" spans="1:9" x14ac:dyDescent="0.25">
      <c r="A598" s="242">
        <v>42891</v>
      </c>
      <c r="B598" s="18">
        <v>114699</v>
      </c>
      <c r="C598" s="235" t="s">
        <v>19677</v>
      </c>
      <c r="D598" s="236" t="s">
        <v>15315</v>
      </c>
      <c r="E598" s="15">
        <v>1048.8</v>
      </c>
      <c r="F598" s="237">
        <v>42893</v>
      </c>
      <c r="G598" s="15">
        <v>1048.8</v>
      </c>
      <c r="H598" s="15">
        <f t="shared" si="9"/>
        <v>0</v>
      </c>
      <c r="I598" s="236" t="s">
        <v>19682</v>
      </c>
    </row>
    <row r="599" spans="1:9" x14ac:dyDescent="0.25">
      <c r="A599" s="36">
        <v>42891</v>
      </c>
      <c r="B599" s="18">
        <v>114700</v>
      </c>
      <c r="C599" s="235" t="s">
        <v>19677</v>
      </c>
      <c r="D599" s="236" t="s">
        <v>15223</v>
      </c>
      <c r="E599" s="15">
        <v>19857.599999999999</v>
      </c>
      <c r="F599" s="237">
        <v>42901</v>
      </c>
      <c r="G599" s="15">
        <v>19857.599999999999</v>
      </c>
      <c r="H599" s="15">
        <f t="shared" si="9"/>
        <v>0</v>
      </c>
      <c r="I599" s="236" t="s">
        <v>19682</v>
      </c>
    </row>
    <row r="600" spans="1:9" x14ac:dyDescent="0.25">
      <c r="A600" s="242">
        <v>42891</v>
      </c>
      <c r="B600" s="18">
        <v>114701</v>
      </c>
      <c r="C600" s="235" t="s">
        <v>19677</v>
      </c>
      <c r="D600" s="236" t="s">
        <v>15342</v>
      </c>
      <c r="E600" s="15">
        <v>736</v>
      </c>
      <c r="F600" s="237">
        <v>39238</v>
      </c>
      <c r="G600" s="15">
        <v>736</v>
      </c>
      <c r="H600" s="15">
        <f t="shared" si="9"/>
        <v>0</v>
      </c>
      <c r="I600" s="236" t="s">
        <v>19682</v>
      </c>
    </row>
    <row r="601" spans="1:9" ht="15.75" x14ac:dyDescent="0.25">
      <c r="A601" s="36">
        <v>42891</v>
      </c>
      <c r="B601" s="18">
        <v>114702</v>
      </c>
      <c r="C601" s="235" t="s">
        <v>19677</v>
      </c>
      <c r="D601" s="239" t="s">
        <v>95</v>
      </c>
      <c r="E601" s="15">
        <v>0</v>
      </c>
      <c r="F601" s="244" t="s">
        <v>95</v>
      </c>
      <c r="G601" s="15">
        <v>0</v>
      </c>
      <c r="H601" s="15">
        <f t="shared" si="9"/>
        <v>0</v>
      </c>
      <c r="I601" s="236" t="s">
        <v>19678</v>
      </c>
    </row>
    <row r="602" spans="1:9" x14ac:dyDescent="0.25">
      <c r="A602" s="242">
        <v>42891</v>
      </c>
      <c r="B602" s="18">
        <v>114703</v>
      </c>
      <c r="C602" s="235" t="s">
        <v>19677</v>
      </c>
      <c r="D602" s="236" t="s">
        <v>15315</v>
      </c>
      <c r="E602" s="15">
        <v>3326.7</v>
      </c>
      <c r="F602" s="237">
        <v>42893</v>
      </c>
      <c r="G602" s="15">
        <v>3326.7</v>
      </c>
      <c r="H602" s="15">
        <f t="shared" si="9"/>
        <v>0</v>
      </c>
      <c r="I602" s="236" t="s">
        <v>19682</v>
      </c>
    </row>
    <row r="603" spans="1:9" x14ac:dyDescent="0.25">
      <c r="A603" s="36">
        <v>42891</v>
      </c>
      <c r="B603" s="18">
        <v>114704</v>
      </c>
      <c r="C603" s="235" t="s">
        <v>19677</v>
      </c>
      <c r="D603" s="236" t="s">
        <v>15315</v>
      </c>
      <c r="E603" s="15">
        <v>3139.5</v>
      </c>
      <c r="F603" s="237">
        <v>42893</v>
      </c>
      <c r="G603" s="15">
        <v>3139.5</v>
      </c>
      <c r="H603" s="15">
        <f t="shared" si="9"/>
        <v>0</v>
      </c>
      <c r="I603" s="236" t="s">
        <v>19682</v>
      </c>
    </row>
    <row r="604" spans="1:9" x14ac:dyDescent="0.25">
      <c r="A604" s="242">
        <v>42891</v>
      </c>
      <c r="B604" s="18">
        <v>114705</v>
      </c>
      <c r="C604" s="235" t="s">
        <v>19677</v>
      </c>
      <c r="D604" s="236" t="s">
        <v>15315</v>
      </c>
      <c r="E604" s="15">
        <v>312.8</v>
      </c>
      <c r="F604" s="237">
        <v>42893</v>
      </c>
      <c r="G604" s="15">
        <v>312.8</v>
      </c>
      <c r="H604" s="15">
        <f t="shared" si="9"/>
        <v>0</v>
      </c>
      <c r="I604" s="236" t="s">
        <v>19682</v>
      </c>
    </row>
    <row r="605" spans="1:9" x14ac:dyDescent="0.25">
      <c r="A605" s="36">
        <v>42891</v>
      </c>
      <c r="B605" s="18">
        <v>114706</v>
      </c>
      <c r="C605" s="235" t="s">
        <v>19677</v>
      </c>
      <c r="D605" s="236" t="s">
        <v>15537</v>
      </c>
      <c r="E605" s="15">
        <v>17481</v>
      </c>
      <c r="F605" s="237">
        <v>42893</v>
      </c>
      <c r="G605" s="15">
        <v>17481</v>
      </c>
      <c r="H605" s="15">
        <f t="shared" si="9"/>
        <v>0</v>
      </c>
      <c r="I605" s="236" t="s">
        <v>19682</v>
      </c>
    </row>
    <row r="606" spans="1:9" x14ac:dyDescent="0.25">
      <c r="A606" s="242">
        <v>42891</v>
      </c>
      <c r="B606" s="18">
        <v>114707</v>
      </c>
      <c r="C606" s="235" t="s">
        <v>19677</v>
      </c>
      <c r="D606" s="236" t="s">
        <v>15315</v>
      </c>
      <c r="E606" s="15">
        <v>1682.5</v>
      </c>
      <c r="F606" s="237">
        <v>42891</v>
      </c>
      <c r="G606" s="15">
        <v>1682.5</v>
      </c>
      <c r="H606" s="15">
        <f t="shared" si="9"/>
        <v>0</v>
      </c>
      <c r="I606" s="236" t="s">
        <v>19682</v>
      </c>
    </row>
    <row r="607" spans="1:9" x14ac:dyDescent="0.25">
      <c r="A607" s="36">
        <v>42891</v>
      </c>
      <c r="B607" s="18">
        <v>114708</v>
      </c>
      <c r="C607" s="235" t="s">
        <v>19677</v>
      </c>
      <c r="D607" s="236" t="s">
        <v>15539</v>
      </c>
      <c r="E607" s="15">
        <v>14260</v>
      </c>
      <c r="F607" s="237">
        <v>42892</v>
      </c>
      <c r="G607" s="15">
        <v>14260</v>
      </c>
      <c r="H607" s="15">
        <f t="shared" si="9"/>
        <v>0</v>
      </c>
      <c r="I607" s="236" t="s">
        <v>19682</v>
      </c>
    </row>
    <row r="608" spans="1:9" x14ac:dyDescent="0.25">
      <c r="A608" s="242">
        <v>42891</v>
      </c>
      <c r="B608" s="18">
        <v>114709</v>
      </c>
      <c r="C608" s="235" t="s">
        <v>19677</v>
      </c>
      <c r="D608" s="236" t="s">
        <v>16732</v>
      </c>
      <c r="E608" s="15">
        <v>30596.6</v>
      </c>
      <c r="F608" s="237">
        <v>42891</v>
      </c>
      <c r="G608" s="15">
        <v>30596.6</v>
      </c>
      <c r="H608" s="15">
        <f t="shared" si="9"/>
        <v>0</v>
      </c>
      <c r="I608" s="236" t="s">
        <v>19682</v>
      </c>
    </row>
    <row r="609" spans="1:9" x14ac:dyDescent="0.25">
      <c r="A609" s="36">
        <v>42891</v>
      </c>
      <c r="B609" s="18">
        <v>114710</v>
      </c>
      <c r="C609" s="235" t="s">
        <v>19677</v>
      </c>
      <c r="D609" s="236" t="s">
        <v>15315</v>
      </c>
      <c r="E609" s="15">
        <v>377.5</v>
      </c>
      <c r="F609" s="237">
        <v>42891</v>
      </c>
      <c r="G609" s="15">
        <v>377.5</v>
      </c>
      <c r="H609" s="15">
        <f t="shared" si="9"/>
        <v>0</v>
      </c>
      <c r="I609" s="236" t="s">
        <v>19682</v>
      </c>
    </row>
    <row r="610" spans="1:9" x14ac:dyDescent="0.25">
      <c r="A610" s="242">
        <v>42891</v>
      </c>
      <c r="B610" s="18">
        <v>114711</v>
      </c>
      <c r="C610" s="235" t="s">
        <v>19677</v>
      </c>
      <c r="D610" s="236" t="s">
        <v>15559</v>
      </c>
      <c r="E610" s="15">
        <v>10817.7</v>
      </c>
      <c r="F610" s="237">
        <v>42895</v>
      </c>
      <c r="G610" s="15">
        <v>10817.7</v>
      </c>
      <c r="H610" s="15">
        <f t="shared" si="9"/>
        <v>0</v>
      </c>
      <c r="I610" s="236" t="s">
        <v>19682</v>
      </c>
    </row>
    <row r="611" spans="1:9" x14ac:dyDescent="0.25">
      <c r="A611" s="36">
        <v>42891</v>
      </c>
      <c r="B611" s="18">
        <v>114712</v>
      </c>
      <c r="C611" s="235" t="s">
        <v>19677</v>
      </c>
      <c r="D611" s="236" t="s">
        <v>15544</v>
      </c>
      <c r="E611" s="15">
        <v>3808.1</v>
      </c>
      <c r="F611" s="237">
        <v>42893</v>
      </c>
      <c r="G611" s="15">
        <v>3808.1</v>
      </c>
      <c r="H611" s="15">
        <f t="shared" si="9"/>
        <v>0</v>
      </c>
      <c r="I611" s="236" t="s">
        <v>19682</v>
      </c>
    </row>
    <row r="612" spans="1:9" x14ac:dyDescent="0.25">
      <c r="A612" s="242">
        <v>42891</v>
      </c>
      <c r="B612" s="18">
        <v>114713</v>
      </c>
      <c r="C612" s="235" t="s">
        <v>19677</v>
      </c>
      <c r="D612" s="236" t="s">
        <v>16313</v>
      </c>
      <c r="E612" s="15">
        <v>5389.8</v>
      </c>
      <c r="F612" s="237">
        <v>42891</v>
      </c>
      <c r="G612" s="15">
        <v>5389.8</v>
      </c>
      <c r="H612" s="15">
        <f t="shared" si="9"/>
        <v>0</v>
      </c>
      <c r="I612" s="236" t="s">
        <v>19682</v>
      </c>
    </row>
    <row r="613" spans="1:9" x14ac:dyDescent="0.25">
      <c r="A613" s="36">
        <v>42891</v>
      </c>
      <c r="B613" s="18">
        <v>114714</v>
      </c>
      <c r="C613" s="235" t="s">
        <v>19677</v>
      </c>
      <c r="D613" s="236" t="s">
        <v>15315</v>
      </c>
      <c r="E613" s="15">
        <v>1714.9</v>
      </c>
      <c r="F613" s="237">
        <v>42891</v>
      </c>
      <c r="G613" s="15">
        <v>1714.9</v>
      </c>
      <c r="H613" s="15">
        <f t="shared" si="9"/>
        <v>0</v>
      </c>
      <c r="I613" s="236" t="s">
        <v>19682</v>
      </c>
    </row>
    <row r="614" spans="1:9" x14ac:dyDescent="0.25">
      <c r="A614" s="242">
        <v>42891</v>
      </c>
      <c r="B614" s="18">
        <v>114715</v>
      </c>
      <c r="C614" s="235" t="s">
        <v>19677</v>
      </c>
      <c r="D614" s="236" t="s">
        <v>15373</v>
      </c>
      <c r="E614" s="15">
        <v>12478</v>
      </c>
      <c r="F614" s="237">
        <v>42892</v>
      </c>
      <c r="G614" s="15">
        <v>12478</v>
      </c>
      <c r="H614" s="15">
        <f t="shared" si="9"/>
        <v>0</v>
      </c>
      <c r="I614" s="236" t="s">
        <v>19682</v>
      </c>
    </row>
    <row r="615" spans="1:9" x14ac:dyDescent="0.25">
      <c r="A615" s="36">
        <v>42891</v>
      </c>
      <c r="B615" s="18">
        <v>114716</v>
      </c>
      <c r="C615" s="235" t="s">
        <v>19677</v>
      </c>
      <c r="D615" s="236" t="s">
        <v>15380</v>
      </c>
      <c r="E615" s="15">
        <v>45512.7</v>
      </c>
      <c r="F615" s="237">
        <v>42902</v>
      </c>
      <c r="G615" s="15">
        <v>45512.7</v>
      </c>
      <c r="H615" s="15">
        <f t="shared" si="9"/>
        <v>0</v>
      </c>
      <c r="I615" s="236" t="s">
        <v>19682</v>
      </c>
    </row>
    <row r="616" spans="1:9" x14ac:dyDescent="0.25">
      <c r="A616" s="242">
        <v>42891</v>
      </c>
      <c r="B616" s="18">
        <v>114717</v>
      </c>
      <c r="C616" s="235" t="s">
        <v>19677</v>
      </c>
      <c r="D616" s="236" t="s">
        <v>15226</v>
      </c>
      <c r="E616" s="15">
        <v>1218</v>
      </c>
      <c r="F616" s="237">
        <v>42894</v>
      </c>
      <c r="G616" s="15">
        <v>1218</v>
      </c>
      <c r="H616" s="15">
        <f t="shared" si="9"/>
        <v>0</v>
      </c>
      <c r="I616" s="236" t="s">
        <v>19682</v>
      </c>
    </row>
    <row r="617" spans="1:9" x14ac:dyDescent="0.25">
      <c r="A617" s="36">
        <v>42891</v>
      </c>
      <c r="B617" s="18">
        <v>114718</v>
      </c>
      <c r="C617" s="235" t="s">
        <v>19677</v>
      </c>
      <c r="D617" s="236" t="s">
        <v>15665</v>
      </c>
      <c r="E617" s="15">
        <v>568.4</v>
      </c>
      <c r="F617" s="237">
        <v>42891</v>
      </c>
      <c r="G617" s="15">
        <v>568.4</v>
      </c>
      <c r="H617" s="15">
        <f t="shared" si="9"/>
        <v>0</v>
      </c>
      <c r="I617" s="236" t="s">
        <v>19682</v>
      </c>
    </row>
    <row r="618" spans="1:9" x14ac:dyDescent="0.25">
      <c r="A618" s="242">
        <v>42891</v>
      </c>
      <c r="B618" s="18">
        <v>114719</v>
      </c>
      <c r="C618" s="235" t="s">
        <v>19677</v>
      </c>
      <c r="D618" s="236" t="s">
        <v>15294</v>
      </c>
      <c r="E618" s="15">
        <v>370</v>
      </c>
      <c r="F618" s="237">
        <v>42891</v>
      </c>
      <c r="G618" s="15">
        <v>370</v>
      </c>
      <c r="H618" s="15">
        <f t="shared" si="9"/>
        <v>0</v>
      </c>
      <c r="I618" s="236" t="s">
        <v>19682</v>
      </c>
    </row>
    <row r="619" spans="1:9" x14ac:dyDescent="0.25">
      <c r="A619" s="36">
        <v>42891</v>
      </c>
      <c r="B619" s="18">
        <v>114720</v>
      </c>
      <c r="C619" s="235" t="s">
        <v>19677</v>
      </c>
      <c r="D619" s="236" t="s">
        <v>15367</v>
      </c>
      <c r="E619" s="15">
        <v>6600</v>
      </c>
      <c r="F619" s="237">
        <v>42892</v>
      </c>
      <c r="G619" s="15">
        <v>6600</v>
      </c>
      <c r="H619" s="15">
        <f t="shared" si="9"/>
        <v>0</v>
      </c>
      <c r="I619" s="236" t="s">
        <v>19682</v>
      </c>
    </row>
    <row r="620" spans="1:9" x14ac:dyDescent="0.25">
      <c r="A620" s="242">
        <v>42891</v>
      </c>
      <c r="B620" s="18">
        <v>114721</v>
      </c>
      <c r="C620" s="235" t="s">
        <v>19677</v>
      </c>
      <c r="D620" s="236" t="s">
        <v>15423</v>
      </c>
      <c r="E620" s="15">
        <v>2188.1999999999998</v>
      </c>
      <c r="F620" s="237">
        <v>42891</v>
      </c>
      <c r="G620" s="15">
        <v>2188.1999999999998</v>
      </c>
      <c r="H620" s="15">
        <f t="shared" si="9"/>
        <v>0</v>
      </c>
      <c r="I620" s="236" t="s">
        <v>19682</v>
      </c>
    </row>
    <row r="621" spans="1:9" x14ac:dyDescent="0.25">
      <c r="A621" s="36">
        <v>42891</v>
      </c>
      <c r="B621" s="18">
        <v>114722</v>
      </c>
      <c r="C621" s="235" t="s">
        <v>19677</v>
      </c>
      <c r="D621" s="236" t="s">
        <v>15394</v>
      </c>
      <c r="E621" s="15">
        <v>21779.5</v>
      </c>
      <c r="F621" s="237">
        <v>42892</v>
      </c>
      <c r="G621" s="15">
        <v>21779.5</v>
      </c>
      <c r="H621" s="15">
        <f t="shared" si="9"/>
        <v>0</v>
      </c>
      <c r="I621" s="236" t="s">
        <v>19682</v>
      </c>
    </row>
    <row r="622" spans="1:9" x14ac:dyDescent="0.25">
      <c r="A622" s="242">
        <v>42891</v>
      </c>
      <c r="B622" s="18">
        <v>114723</v>
      </c>
      <c r="C622" s="235" t="s">
        <v>19677</v>
      </c>
      <c r="D622" s="236" t="s">
        <v>15389</v>
      </c>
      <c r="E622" s="15">
        <v>15399.9</v>
      </c>
      <c r="F622" s="237">
        <v>42902</v>
      </c>
      <c r="G622" s="15">
        <v>15399.9</v>
      </c>
      <c r="H622" s="15">
        <f t="shared" si="9"/>
        <v>0</v>
      </c>
      <c r="I622" s="236" t="s">
        <v>19682</v>
      </c>
    </row>
    <row r="623" spans="1:9" x14ac:dyDescent="0.25">
      <c r="A623" s="36">
        <v>42891</v>
      </c>
      <c r="B623" s="18">
        <v>114724</v>
      </c>
      <c r="C623" s="235" t="s">
        <v>19677</v>
      </c>
      <c r="D623" s="236" t="s">
        <v>15566</v>
      </c>
      <c r="E623" s="15">
        <v>753</v>
      </c>
      <c r="F623" s="237">
        <v>42891</v>
      </c>
      <c r="G623" s="15">
        <v>753</v>
      </c>
      <c r="H623" s="15">
        <f t="shared" si="9"/>
        <v>0</v>
      </c>
      <c r="I623" s="236" t="s">
        <v>19682</v>
      </c>
    </row>
    <row r="624" spans="1:9" x14ac:dyDescent="0.25">
      <c r="A624" s="242">
        <v>42891</v>
      </c>
      <c r="B624" s="18">
        <v>114725</v>
      </c>
      <c r="C624" s="235" t="s">
        <v>19677</v>
      </c>
      <c r="D624" s="236" t="s">
        <v>15382</v>
      </c>
      <c r="E624" s="15">
        <v>6950.6</v>
      </c>
      <c r="F624" s="237">
        <v>42902</v>
      </c>
      <c r="G624" s="15">
        <v>6950.6</v>
      </c>
      <c r="H624" s="15">
        <f t="shared" si="9"/>
        <v>0</v>
      </c>
      <c r="I624" s="236" t="s">
        <v>19682</v>
      </c>
    </row>
    <row r="625" spans="1:9" x14ac:dyDescent="0.25">
      <c r="A625" s="36">
        <v>42891</v>
      </c>
      <c r="B625" s="18">
        <v>114726</v>
      </c>
      <c r="C625" s="235" t="s">
        <v>19677</v>
      </c>
      <c r="D625" s="236" t="s">
        <v>15315</v>
      </c>
      <c r="E625" s="15">
        <v>703.8</v>
      </c>
      <c r="F625" s="237">
        <v>42892</v>
      </c>
      <c r="G625" s="15">
        <v>703.8</v>
      </c>
      <c r="H625" s="15">
        <f t="shared" si="9"/>
        <v>0</v>
      </c>
      <c r="I625" s="236" t="s">
        <v>19682</v>
      </c>
    </row>
    <row r="626" spans="1:9" x14ac:dyDescent="0.25">
      <c r="A626" s="242">
        <v>42891</v>
      </c>
      <c r="B626" s="18">
        <v>114727</v>
      </c>
      <c r="C626" s="235" t="s">
        <v>19677</v>
      </c>
      <c r="D626" s="236" t="s">
        <v>15409</v>
      </c>
      <c r="E626" s="15">
        <v>13200</v>
      </c>
      <c r="F626" s="237">
        <v>42891</v>
      </c>
      <c r="G626" s="15">
        <v>13200</v>
      </c>
      <c r="H626" s="15">
        <f t="shared" si="9"/>
        <v>0</v>
      </c>
      <c r="I626" s="236" t="s">
        <v>19682</v>
      </c>
    </row>
    <row r="627" spans="1:9" x14ac:dyDescent="0.25">
      <c r="A627" s="36">
        <v>42891</v>
      </c>
      <c r="B627" s="18">
        <v>114728</v>
      </c>
      <c r="C627" s="235" t="s">
        <v>19677</v>
      </c>
      <c r="D627" s="236" t="s">
        <v>16286</v>
      </c>
      <c r="E627" s="15">
        <v>4232</v>
      </c>
      <c r="F627" s="237">
        <v>42891</v>
      </c>
      <c r="G627" s="15">
        <v>4232</v>
      </c>
      <c r="H627" s="15">
        <f t="shared" si="9"/>
        <v>0</v>
      </c>
      <c r="I627" s="236" t="s">
        <v>19682</v>
      </c>
    </row>
    <row r="628" spans="1:9" x14ac:dyDescent="0.25">
      <c r="A628" s="242">
        <v>42891</v>
      </c>
      <c r="B628" s="18">
        <v>114729</v>
      </c>
      <c r="C628" s="235" t="s">
        <v>19677</v>
      </c>
      <c r="D628" s="236" t="s">
        <v>16482</v>
      </c>
      <c r="E628" s="15">
        <v>758</v>
      </c>
      <c r="F628" s="237">
        <v>42891</v>
      </c>
      <c r="G628" s="15">
        <v>758</v>
      </c>
      <c r="H628" s="15">
        <f t="shared" si="9"/>
        <v>0</v>
      </c>
      <c r="I628" s="236" t="s">
        <v>19682</v>
      </c>
    </row>
    <row r="629" spans="1:9" ht="15.75" x14ac:dyDescent="0.25">
      <c r="A629" s="36">
        <v>42891</v>
      </c>
      <c r="B629" s="18">
        <v>114730</v>
      </c>
      <c r="C629" s="235" t="s">
        <v>19677</v>
      </c>
      <c r="D629" s="239" t="s">
        <v>95</v>
      </c>
      <c r="E629" s="15">
        <v>0</v>
      </c>
      <c r="F629" s="247" t="s">
        <v>95</v>
      </c>
      <c r="G629" s="15">
        <v>0</v>
      </c>
      <c r="H629" s="15">
        <f t="shared" si="9"/>
        <v>0</v>
      </c>
      <c r="I629" s="236" t="s">
        <v>19678</v>
      </c>
    </row>
    <row r="630" spans="1:9" x14ac:dyDescent="0.25">
      <c r="A630" s="242">
        <v>42891</v>
      </c>
      <c r="B630" s="18">
        <v>114731</v>
      </c>
      <c r="C630" s="235" t="s">
        <v>19677</v>
      </c>
      <c r="D630" s="236" t="s">
        <v>15315</v>
      </c>
      <c r="E630" s="15">
        <v>1545.6</v>
      </c>
      <c r="F630" s="237">
        <v>42891</v>
      </c>
      <c r="G630" s="15">
        <v>1545.6</v>
      </c>
      <c r="H630" s="15">
        <f t="shared" si="9"/>
        <v>0</v>
      </c>
      <c r="I630" s="236" t="s">
        <v>19682</v>
      </c>
    </row>
    <row r="631" spans="1:9" x14ac:dyDescent="0.25">
      <c r="A631" s="36">
        <v>42891</v>
      </c>
      <c r="B631" s="18">
        <v>114732</v>
      </c>
      <c r="C631" s="235" t="s">
        <v>19677</v>
      </c>
      <c r="D631" s="236" t="s">
        <v>5883</v>
      </c>
      <c r="E631" s="15">
        <v>29521.82</v>
      </c>
      <c r="F631" s="266">
        <v>42927</v>
      </c>
      <c r="G631" s="35">
        <v>29521.82</v>
      </c>
      <c r="H631" s="15">
        <f t="shared" si="9"/>
        <v>0</v>
      </c>
      <c r="I631" s="236" t="s">
        <v>19682</v>
      </c>
    </row>
    <row r="632" spans="1:9" x14ac:dyDescent="0.25">
      <c r="A632" s="242">
        <v>42891</v>
      </c>
      <c r="B632" s="18">
        <v>114733</v>
      </c>
      <c r="C632" s="235" t="s">
        <v>19677</v>
      </c>
      <c r="D632" s="236" t="s">
        <v>15936</v>
      </c>
      <c r="E632" s="15">
        <v>13707.1</v>
      </c>
      <c r="F632" s="237">
        <v>42891</v>
      </c>
      <c r="G632" s="15">
        <v>13707.1</v>
      </c>
      <c r="H632" s="15">
        <f t="shared" si="9"/>
        <v>0</v>
      </c>
      <c r="I632" s="236" t="s">
        <v>19682</v>
      </c>
    </row>
    <row r="633" spans="1:9" x14ac:dyDescent="0.25">
      <c r="A633" s="36">
        <v>42891</v>
      </c>
      <c r="B633" s="18">
        <v>114734</v>
      </c>
      <c r="C633" s="235" t="s">
        <v>19677</v>
      </c>
      <c r="D633" s="236" t="s">
        <v>15244</v>
      </c>
      <c r="E633" s="15">
        <v>6467.2</v>
      </c>
      <c r="F633" s="237">
        <v>42892</v>
      </c>
      <c r="G633" s="15">
        <v>6467.2</v>
      </c>
      <c r="H633" s="15">
        <f t="shared" si="9"/>
        <v>0</v>
      </c>
      <c r="I633" s="236" t="s">
        <v>19682</v>
      </c>
    </row>
    <row r="634" spans="1:9" x14ac:dyDescent="0.25">
      <c r="A634" s="242">
        <v>42891</v>
      </c>
      <c r="B634" s="18">
        <v>114735</v>
      </c>
      <c r="C634" s="235" t="s">
        <v>19677</v>
      </c>
      <c r="D634" s="236" t="s">
        <v>15322</v>
      </c>
      <c r="E634" s="15">
        <v>1695.2</v>
      </c>
      <c r="F634" s="237">
        <v>42891</v>
      </c>
      <c r="G634" s="15">
        <v>1695.2</v>
      </c>
      <c r="H634" s="15">
        <f t="shared" si="9"/>
        <v>0</v>
      </c>
      <c r="I634" s="236" t="s">
        <v>19682</v>
      </c>
    </row>
    <row r="635" spans="1:9" x14ac:dyDescent="0.25">
      <c r="A635" s="36">
        <v>42891</v>
      </c>
      <c r="B635" s="18">
        <v>114736</v>
      </c>
      <c r="C635" s="235" t="s">
        <v>19677</v>
      </c>
      <c r="D635" s="236" t="s">
        <v>15444</v>
      </c>
      <c r="E635" s="15">
        <v>2268</v>
      </c>
      <c r="F635" s="237">
        <v>42892</v>
      </c>
      <c r="G635" s="15">
        <v>2268</v>
      </c>
      <c r="H635" s="15">
        <f t="shared" si="9"/>
        <v>0</v>
      </c>
      <c r="I635" s="236" t="s">
        <v>19682</v>
      </c>
    </row>
    <row r="636" spans="1:9" x14ac:dyDescent="0.25">
      <c r="A636" s="242">
        <v>42891</v>
      </c>
      <c r="B636" s="18">
        <v>114737</v>
      </c>
      <c r="C636" s="235" t="s">
        <v>19677</v>
      </c>
      <c r="D636" s="236" t="s">
        <v>15263</v>
      </c>
      <c r="E636" s="15">
        <v>3049.4</v>
      </c>
      <c r="F636" s="237">
        <v>42891</v>
      </c>
      <c r="G636" s="15">
        <v>3049.4</v>
      </c>
      <c r="H636" s="15">
        <f t="shared" si="9"/>
        <v>0</v>
      </c>
      <c r="I636" s="236" t="s">
        <v>19682</v>
      </c>
    </row>
    <row r="637" spans="1:9" ht="15.75" x14ac:dyDescent="0.25">
      <c r="A637" s="36">
        <v>42891</v>
      </c>
      <c r="B637" s="18">
        <v>114738</v>
      </c>
      <c r="C637" s="235" t="s">
        <v>19677</v>
      </c>
      <c r="D637" s="239" t="s">
        <v>95</v>
      </c>
      <c r="E637" s="15">
        <v>0</v>
      </c>
      <c r="F637" s="240" t="s">
        <v>95</v>
      </c>
      <c r="G637" s="15">
        <v>0</v>
      </c>
      <c r="H637" s="15">
        <f t="shared" si="9"/>
        <v>0</v>
      </c>
      <c r="I637" s="236" t="s">
        <v>19678</v>
      </c>
    </row>
    <row r="638" spans="1:9" x14ac:dyDescent="0.25">
      <c r="A638" s="242">
        <v>42891</v>
      </c>
      <c r="B638" s="18">
        <v>114739</v>
      </c>
      <c r="C638" s="235" t="s">
        <v>19677</v>
      </c>
      <c r="D638" s="236" t="s">
        <v>15442</v>
      </c>
      <c r="E638" s="15">
        <v>12745.2</v>
      </c>
      <c r="F638" s="237">
        <v>42895</v>
      </c>
      <c r="G638" s="15">
        <v>12745.2</v>
      </c>
      <c r="H638" s="15">
        <f t="shared" si="9"/>
        <v>0</v>
      </c>
      <c r="I638" s="236" t="s">
        <v>19682</v>
      </c>
    </row>
    <row r="639" spans="1:9" x14ac:dyDescent="0.25">
      <c r="A639" s="36">
        <v>42891</v>
      </c>
      <c r="B639" s="18">
        <v>114740</v>
      </c>
      <c r="C639" s="235" t="s">
        <v>19677</v>
      </c>
      <c r="D639" s="236" t="s">
        <v>16383</v>
      </c>
      <c r="E639" s="15">
        <v>9972</v>
      </c>
      <c r="F639" s="237">
        <v>42891</v>
      </c>
      <c r="G639" s="15">
        <v>9972</v>
      </c>
      <c r="H639" s="15">
        <f t="shared" si="9"/>
        <v>0</v>
      </c>
      <c r="I639" s="236" t="s">
        <v>19682</v>
      </c>
    </row>
    <row r="640" spans="1:9" ht="15.75" x14ac:dyDescent="0.25">
      <c r="A640" s="242">
        <v>42891</v>
      </c>
      <c r="B640" s="18">
        <v>114741</v>
      </c>
      <c r="C640" s="235" t="s">
        <v>19677</v>
      </c>
      <c r="D640" s="239" t="s">
        <v>95</v>
      </c>
      <c r="E640" s="15">
        <v>0</v>
      </c>
      <c r="F640" s="240" t="s">
        <v>95</v>
      </c>
      <c r="G640" s="15">
        <v>0</v>
      </c>
      <c r="H640" s="15">
        <f t="shared" si="9"/>
        <v>0</v>
      </c>
      <c r="I640" s="236" t="s">
        <v>19678</v>
      </c>
    </row>
    <row r="641" spans="1:9" x14ac:dyDescent="0.25">
      <c r="A641" s="36">
        <v>42891</v>
      </c>
      <c r="B641" s="18">
        <v>114742</v>
      </c>
      <c r="C641" s="235" t="s">
        <v>19677</v>
      </c>
      <c r="D641" s="236" t="s">
        <v>15315</v>
      </c>
      <c r="E641" s="15">
        <v>2096.6</v>
      </c>
      <c r="F641" s="237">
        <v>42892</v>
      </c>
      <c r="G641" s="15">
        <v>2096.6</v>
      </c>
      <c r="H641" s="15">
        <f t="shared" si="9"/>
        <v>0</v>
      </c>
      <c r="I641" s="236" t="s">
        <v>19682</v>
      </c>
    </row>
    <row r="642" spans="1:9" x14ac:dyDescent="0.25">
      <c r="A642" s="242">
        <v>42891</v>
      </c>
      <c r="B642" s="18">
        <v>114743</v>
      </c>
      <c r="C642" s="235" t="s">
        <v>19677</v>
      </c>
      <c r="D642" s="236" t="s">
        <v>15315</v>
      </c>
      <c r="E642" s="15">
        <v>418.5</v>
      </c>
      <c r="F642" s="237">
        <v>42892</v>
      </c>
      <c r="G642" s="15">
        <v>418.5</v>
      </c>
      <c r="H642" s="15">
        <f t="shared" ref="H642:H705" si="10">E642-G642</f>
        <v>0</v>
      </c>
      <c r="I642" s="236" t="s">
        <v>19682</v>
      </c>
    </row>
    <row r="643" spans="1:9" x14ac:dyDescent="0.25">
      <c r="A643" s="36">
        <v>42891</v>
      </c>
      <c r="B643" s="18">
        <v>114744</v>
      </c>
      <c r="C643" s="235" t="s">
        <v>19677</v>
      </c>
      <c r="D643" s="236" t="s">
        <v>15423</v>
      </c>
      <c r="E643" s="15">
        <v>2681.8</v>
      </c>
      <c r="F643" s="237">
        <v>42891</v>
      </c>
      <c r="G643" s="15">
        <v>2681.8</v>
      </c>
      <c r="H643" s="15">
        <f t="shared" si="10"/>
        <v>0</v>
      </c>
      <c r="I643" s="236" t="s">
        <v>19682</v>
      </c>
    </row>
    <row r="644" spans="1:9" x14ac:dyDescent="0.25">
      <c r="A644" s="242">
        <v>42891</v>
      </c>
      <c r="B644" s="18">
        <v>114745</v>
      </c>
      <c r="C644" s="235" t="s">
        <v>19677</v>
      </c>
      <c r="D644" s="236" t="s">
        <v>15433</v>
      </c>
      <c r="E644" s="15">
        <v>1078.8</v>
      </c>
      <c r="F644" s="237">
        <v>42891</v>
      </c>
      <c r="G644" s="15">
        <v>1078.8</v>
      </c>
      <c r="H644" s="15">
        <f t="shared" si="10"/>
        <v>0</v>
      </c>
      <c r="I644" s="236" t="s">
        <v>19682</v>
      </c>
    </row>
    <row r="645" spans="1:9" x14ac:dyDescent="0.25">
      <c r="A645" s="36">
        <v>42891</v>
      </c>
      <c r="B645" s="18">
        <v>114746</v>
      </c>
      <c r="C645" s="235" t="s">
        <v>19677</v>
      </c>
      <c r="D645" s="236" t="s">
        <v>15934</v>
      </c>
      <c r="E645" s="15">
        <v>930.6</v>
      </c>
      <c r="F645" s="237">
        <v>42892</v>
      </c>
      <c r="G645" s="15">
        <v>930.6</v>
      </c>
      <c r="H645" s="15">
        <f t="shared" si="10"/>
        <v>0</v>
      </c>
      <c r="I645" s="236" t="s">
        <v>19682</v>
      </c>
    </row>
    <row r="646" spans="1:9" x14ac:dyDescent="0.25">
      <c r="A646" s="242">
        <v>42891</v>
      </c>
      <c r="B646" s="18">
        <v>114747</v>
      </c>
      <c r="C646" s="235" t="s">
        <v>19677</v>
      </c>
      <c r="D646" s="236" t="s">
        <v>5880</v>
      </c>
      <c r="E646" s="15">
        <v>60622</v>
      </c>
      <c r="F646" s="237">
        <v>42892</v>
      </c>
      <c r="G646" s="15">
        <v>60622</v>
      </c>
      <c r="H646" s="15">
        <f t="shared" si="10"/>
        <v>0</v>
      </c>
      <c r="I646" s="236" t="s">
        <v>19682</v>
      </c>
    </row>
    <row r="647" spans="1:9" x14ac:dyDescent="0.25">
      <c r="A647" s="36">
        <v>42891</v>
      </c>
      <c r="B647" s="18">
        <v>114748</v>
      </c>
      <c r="C647" s="235" t="s">
        <v>19677</v>
      </c>
      <c r="D647" s="236" t="s">
        <v>15276</v>
      </c>
      <c r="E647" s="15">
        <v>2400</v>
      </c>
      <c r="F647" s="237">
        <v>42892</v>
      </c>
      <c r="G647" s="15">
        <v>2400</v>
      </c>
      <c r="H647" s="15">
        <f t="shared" si="10"/>
        <v>0</v>
      </c>
      <c r="I647" s="236" t="s">
        <v>19682</v>
      </c>
    </row>
    <row r="648" spans="1:9" x14ac:dyDescent="0.25">
      <c r="A648" s="242">
        <v>42891</v>
      </c>
      <c r="B648" s="18">
        <v>114749</v>
      </c>
      <c r="C648" s="235" t="s">
        <v>19677</v>
      </c>
      <c r="D648" s="236" t="s">
        <v>15782</v>
      </c>
      <c r="E648" s="15">
        <v>1267.2</v>
      </c>
      <c r="F648" s="237">
        <v>42892</v>
      </c>
      <c r="G648" s="15">
        <v>1267.2</v>
      </c>
      <c r="H648" s="15">
        <f t="shared" si="10"/>
        <v>0</v>
      </c>
      <c r="I648" s="236" t="s">
        <v>19682</v>
      </c>
    </row>
    <row r="649" spans="1:9" x14ac:dyDescent="0.25">
      <c r="A649" s="36">
        <v>42891</v>
      </c>
      <c r="B649" s="18">
        <v>114750</v>
      </c>
      <c r="C649" s="235" t="s">
        <v>19677</v>
      </c>
      <c r="D649" s="236" t="s">
        <v>15315</v>
      </c>
      <c r="E649" s="15">
        <v>21838.6</v>
      </c>
      <c r="F649" s="237">
        <v>42892</v>
      </c>
      <c r="G649" s="15">
        <v>21838.6</v>
      </c>
      <c r="H649" s="15">
        <f t="shared" si="10"/>
        <v>0</v>
      </c>
      <c r="I649" s="236" t="s">
        <v>19682</v>
      </c>
    </row>
    <row r="650" spans="1:9" x14ac:dyDescent="0.25">
      <c r="A650" s="242">
        <v>42891</v>
      </c>
      <c r="B650" s="18">
        <v>114751</v>
      </c>
      <c r="C650" s="235" t="s">
        <v>19677</v>
      </c>
      <c r="D650" s="236" t="s">
        <v>15417</v>
      </c>
      <c r="E650" s="15">
        <v>1705.5</v>
      </c>
      <c r="F650" s="237">
        <v>42892</v>
      </c>
      <c r="G650" s="15">
        <v>1705.5</v>
      </c>
      <c r="H650" s="15">
        <f t="shared" si="10"/>
        <v>0</v>
      </c>
      <c r="I650" s="236" t="s">
        <v>19682</v>
      </c>
    </row>
    <row r="651" spans="1:9" x14ac:dyDescent="0.25">
      <c r="A651" s="36">
        <v>42891</v>
      </c>
      <c r="B651" s="18">
        <v>114752</v>
      </c>
      <c r="C651" s="235" t="s">
        <v>19677</v>
      </c>
      <c r="D651" s="236" t="s">
        <v>19699</v>
      </c>
      <c r="E651" s="15">
        <v>1513.6</v>
      </c>
      <c r="F651" s="237">
        <v>42891</v>
      </c>
      <c r="G651" s="15">
        <v>1513.6</v>
      </c>
      <c r="H651" s="15">
        <f t="shared" si="10"/>
        <v>0</v>
      </c>
      <c r="I651" s="236" t="s">
        <v>19682</v>
      </c>
    </row>
    <row r="652" spans="1:9" x14ac:dyDescent="0.25">
      <c r="A652" s="242">
        <v>42891</v>
      </c>
      <c r="B652" s="18">
        <v>114753</v>
      </c>
      <c r="C652" s="235" t="s">
        <v>19677</v>
      </c>
      <c r="D652" s="236" t="s">
        <v>15930</v>
      </c>
      <c r="E652" s="15">
        <v>8904.2000000000007</v>
      </c>
      <c r="F652" s="237">
        <v>42892</v>
      </c>
      <c r="G652" s="15">
        <v>8904.2000000000007</v>
      </c>
      <c r="H652" s="15">
        <f t="shared" si="10"/>
        <v>0</v>
      </c>
      <c r="I652" s="236" t="s">
        <v>19682</v>
      </c>
    </row>
    <row r="653" spans="1:9" x14ac:dyDescent="0.25">
      <c r="A653" s="36">
        <v>42891</v>
      </c>
      <c r="B653" s="18">
        <v>114754</v>
      </c>
      <c r="C653" s="235" t="s">
        <v>19677</v>
      </c>
      <c r="D653" s="236" t="s">
        <v>15330</v>
      </c>
      <c r="E653" s="15">
        <v>2556.3000000000002</v>
      </c>
      <c r="F653" s="237">
        <v>42891</v>
      </c>
      <c r="G653" s="15">
        <v>2556.3000000000002</v>
      </c>
      <c r="H653" s="15">
        <f t="shared" si="10"/>
        <v>0</v>
      </c>
      <c r="I653" s="236" t="s">
        <v>19682</v>
      </c>
    </row>
    <row r="654" spans="1:9" x14ac:dyDescent="0.25">
      <c r="A654" s="242">
        <v>42891</v>
      </c>
      <c r="B654" s="18">
        <v>114755</v>
      </c>
      <c r="C654" s="235" t="s">
        <v>19677</v>
      </c>
      <c r="D654" s="236" t="s">
        <v>15284</v>
      </c>
      <c r="E654" s="15">
        <v>1433</v>
      </c>
      <c r="F654" s="237">
        <v>42891</v>
      </c>
      <c r="G654" s="15">
        <v>1433</v>
      </c>
      <c r="H654" s="15">
        <f t="shared" si="10"/>
        <v>0</v>
      </c>
      <c r="I654" s="236" t="s">
        <v>19682</v>
      </c>
    </row>
    <row r="655" spans="1:9" x14ac:dyDescent="0.25">
      <c r="A655" s="36">
        <v>42891</v>
      </c>
      <c r="B655" s="18">
        <v>114756</v>
      </c>
      <c r="C655" s="235" t="s">
        <v>19677</v>
      </c>
      <c r="D655" s="236" t="s">
        <v>15435</v>
      </c>
      <c r="E655" s="15">
        <v>8075</v>
      </c>
      <c r="F655" s="237">
        <v>42891</v>
      </c>
      <c r="G655" s="15">
        <v>8075</v>
      </c>
      <c r="H655" s="15">
        <f t="shared" si="10"/>
        <v>0</v>
      </c>
      <c r="I655" s="236" t="s">
        <v>19682</v>
      </c>
    </row>
    <row r="656" spans="1:9" x14ac:dyDescent="0.25">
      <c r="A656" s="242">
        <v>42891</v>
      </c>
      <c r="B656" s="18">
        <v>114757</v>
      </c>
      <c r="C656" s="235" t="s">
        <v>19677</v>
      </c>
      <c r="D656" s="236" t="s">
        <v>15315</v>
      </c>
      <c r="E656" s="15">
        <v>3708.3</v>
      </c>
      <c r="F656" s="237">
        <v>42891</v>
      </c>
      <c r="G656" s="15">
        <v>3708.3</v>
      </c>
      <c r="H656" s="15">
        <f t="shared" si="10"/>
        <v>0</v>
      </c>
      <c r="I656" s="236" t="s">
        <v>19682</v>
      </c>
    </row>
    <row r="657" spans="1:9" x14ac:dyDescent="0.25">
      <c r="A657" s="36">
        <v>42891</v>
      </c>
      <c r="B657" s="18">
        <v>114758</v>
      </c>
      <c r="C657" s="235" t="s">
        <v>19677</v>
      </c>
      <c r="D657" s="236" t="s">
        <v>15315</v>
      </c>
      <c r="E657" s="15">
        <v>1089.5999999999999</v>
      </c>
      <c r="F657" s="237">
        <v>42891</v>
      </c>
      <c r="G657" s="15">
        <v>1089.5999999999999</v>
      </c>
      <c r="H657" s="15">
        <f t="shared" si="10"/>
        <v>0</v>
      </c>
      <c r="I657" s="236" t="s">
        <v>19682</v>
      </c>
    </row>
    <row r="658" spans="1:9" x14ac:dyDescent="0.25">
      <c r="A658" s="242">
        <v>42891</v>
      </c>
      <c r="B658" s="18">
        <v>114759</v>
      </c>
      <c r="C658" s="235" t="s">
        <v>19677</v>
      </c>
      <c r="D658" s="236" t="s">
        <v>15246</v>
      </c>
      <c r="E658" s="15">
        <v>60728.800000000003</v>
      </c>
      <c r="F658" s="237">
        <v>42894</v>
      </c>
      <c r="G658" s="15">
        <v>60728.800000000003</v>
      </c>
      <c r="H658" s="15">
        <f t="shared" si="10"/>
        <v>0</v>
      </c>
      <c r="I658" s="236" t="s">
        <v>19682</v>
      </c>
    </row>
    <row r="659" spans="1:9" x14ac:dyDescent="0.25">
      <c r="A659" s="36">
        <v>42891</v>
      </c>
      <c r="B659" s="18">
        <v>114760</v>
      </c>
      <c r="C659" s="235" t="s">
        <v>19677</v>
      </c>
      <c r="D659" s="236" t="s">
        <v>15448</v>
      </c>
      <c r="E659" s="15">
        <v>177525.4</v>
      </c>
      <c r="F659" s="237">
        <v>43019</v>
      </c>
      <c r="G659" s="15">
        <v>177525.4</v>
      </c>
      <c r="H659" s="15">
        <f t="shared" si="10"/>
        <v>0</v>
      </c>
      <c r="I659" s="236" t="s">
        <v>19682</v>
      </c>
    </row>
    <row r="660" spans="1:9" x14ac:dyDescent="0.25">
      <c r="A660" s="242">
        <v>42891</v>
      </c>
      <c r="B660" s="18">
        <v>114761</v>
      </c>
      <c r="C660" s="235" t="s">
        <v>19677</v>
      </c>
      <c r="D660" s="236" t="s">
        <v>15246</v>
      </c>
      <c r="E660" s="15">
        <v>260490.02</v>
      </c>
      <c r="F660" s="237">
        <v>42894</v>
      </c>
      <c r="G660" s="15">
        <v>260490.02</v>
      </c>
      <c r="H660" s="15">
        <f t="shared" si="10"/>
        <v>0</v>
      </c>
      <c r="I660" s="236" t="s">
        <v>19682</v>
      </c>
    </row>
    <row r="661" spans="1:9" x14ac:dyDescent="0.25">
      <c r="A661" s="36">
        <v>42891</v>
      </c>
      <c r="B661" s="18">
        <v>114762</v>
      </c>
      <c r="C661" s="235" t="s">
        <v>19677</v>
      </c>
      <c r="D661" s="236" t="s">
        <v>15446</v>
      </c>
      <c r="E661" s="15">
        <v>3843.2</v>
      </c>
      <c r="F661" s="237">
        <v>42893</v>
      </c>
      <c r="G661" s="15">
        <v>3843.2</v>
      </c>
      <c r="H661" s="15">
        <f t="shared" si="10"/>
        <v>0</v>
      </c>
      <c r="I661" s="236" t="s">
        <v>19682</v>
      </c>
    </row>
    <row r="662" spans="1:9" x14ac:dyDescent="0.25">
      <c r="A662" s="242">
        <v>42891</v>
      </c>
      <c r="B662" s="18">
        <v>114763</v>
      </c>
      <c r="C662" s="235" t="s">
        <v>19677</v>
      </c>
      <c r="D662" s="236" t="s">
        <v>15450</v>
      </c>
      <c r="E662" s="15">
        <v>2517.8000000000002</v>
      </c>
      <c r="F662" s="237">
        <v>42893</v>
      </c>
      <c r="G662" s="15">
        <v>2517.8000000000002</v>
      </c>
      <c r="H662" s="15">
        <f t="shared" si="10"/>
        <v>0</v>
      </c>
      <c r="I662" s="236" t="s">
        <v>19682</v>
      </c>
    </row>
    <row r="663" spans="1:9" x14ac:dyDescent="0.25">
      <c r="A663" s="36">
        <v>42891</v>
      </c>
      <c r="B663" s="18">
        <v>114764</v>
      </c>
      <c r="C663" s="235" t="s">
        <v>19677</v>
      </c>
      <c r="D663" s="236" t="s">
        <v>15961</v>
      </c>
      <c r="E663" s="15">
        <v>4893.5</v>
      </c>
      <c r="F663" s="237">
        <v>42893</v>
      </c>
      <c r="G663" s="15">
        <v>4893.5</v>
      </c>
      <c r="H663" s="15">
        <f t="shared" si="10"/>
        <v>0</v>
      </c>
      <c r="I663" s="236" t="s">
        <v>19682</v>
      </c>
    </row>
    <row r="664" spans="1:9" x14ac:dyDescent="0.25">
      <c r="A664" s="242">
        <v>42891</v>
      </c>
      <c r="B664" s="18">
        <v>114765</v>
      </c>
      <c r="C664" s="235" t="s">
        <v>19677</v>
      </c>
      <c r="D664" s="236" t="s">
        <v>15454</v>
      </c>
      <c r="E664" s="15">
        <v>4883.6000000000004</v>
      </c>
      <c r="F664" s="237">
        <v>42893</v>
      </c>
      <c r="G664" s="15">
        <v>4883.6000000000004</v>
      </c>
      <c r="H664" s="15">
        <f t="shared" si="10"/>
        <v>0</v>
      </c>
      <c r="I664" s="236" t="s">
        <v>19682</v>
      </c>
    </row>
    <row r="665" spans="1:9" x14ac:dyDescent="0.25">
      <c r="A665" s="36">
        <v>42891</v>
      </c>
      <c r="B665" s="18">
        <v>114766</v>
      </c>
      <c r="C665" s="235" t="s">
        <v>19677</v>
      </c>
      <c r="D665" s="236" t="s">
        <v>15365</v>
      </c>
      <c r="E665" s="15">
        <v>162918</v>
      </c>
      <c r="F665" s="237">
        <v>42895</v>
      </c>
      <c r="G665" s="15">
        <v>162918</v>
      </c>
      <c r="H665" s="15">
        <f t="shared" si="10"/>
        <v>0</v>
      </c>
      <c r="I665" s="236" t="s">
        <v>19682</v>
      </c>
    </row>
    <row r="666" spans="1:9" x14ac:dyDescent="0.25">
      <c r="A666" s="242">
        <v>42891</v>
      </c>
      <c r="B666" s="18">
        <v>114767</v>
      </c>
      <c r="C666" s="235" t="s">
        <v>19677</v>
      </c>
      <c r="D666" s="236" t="s">
        <v>15448</v>
      </c>
      <c r="E666" s="15">
        <v>17767.2</v>
      </c>
      <c r="F666" s="237">
        <v>42896</v>
      </c>
      <c r="G666" s="15">
        <v>17767.2</v>
      </c>
      <c r="H666" s="15">
        <f t="shared" si="10"/>
        <v>0</v>
      </c>
      <c r="I666" s="236" t="s">
        <v>19682</v>
      </c>
    </row>
    <row r="667" spans="1:9" x14ac:dyDescent="0.25">
      <c r="A667" s="36">
        <v>42891</v>
      </c>
      <c r="B667" s="18">
        <v>114768</v>
      </c>
      <c r="C667" s="235" t="s">
        <v>19677</v>
      </c>
      <c r="D667" s="236" t="s">
        <v>15460</v>
      </c>
      <c r="E667" s="15">
        <v>3844</v>
      </c>
      <c r="F667" s="237"/>
      <c r="G667" s="15"/>
      <c r="H667" s="15">
        <f t="shared" si="10"/>
        <v>3844</v>
      </c>
      <c r="I667" s="236" t="s">
        <v>19682</v>
      </c>
    </row>
    <row r="668" spans="1:9" x14ac:dyDescent="0.25">
      <c r="A668" s="242">
        <v>42891</v>
      </c>
      <c r="B668" s="18">
        <v>114769</v>
      </c>
      <c r="C668" s="235" t="s">
        <v>19677</v>
      </c>
      <c r="D668" s="236" t="s">
        <v>15452</v>
      </c>
      <c r="E668" s="15">
        <v>1297.5</v>
      </c>
      <c r="F668" s="237">
        <v>42893</v>
      </c>
      <c r="G668" s="15">
        <v>1297.5</v>
      </c>
      <c r="H668" s="15">
        <f t="shared" si="10"/>
        <v>0</v>
      </c>
      <c r="I668" s="236" t="s">
        <v>19682</v>
      </c>
    </row>
    <row r="669" spans="1:9" x14ac:dyDescent="0.25">
      <c r="A669" s="36">
        <v>42891</v>
      </c>
      <c r="B669" s="18">
        <v>114770</v>
      </c>
      <c r="C669" s="235" t="s">
        <v>19677</v>
      </c>
      <c r="D669" s="236" t="s">
        <v>15456</v>
      </c>
      <c r="E669" s="15">
        <v>33480.199999999997</v>
      </c>
      <c r="F669" s="237">
        <v>42893</v>
      </c>
      <c r="G669" s="15">
        <v>33480.199999999997</v>
      </c>
      <c r="H669" s="15">
        <f t="shared" si="10"/>
        <v>0</v>
      </c>
      <c r="I669" s="236" t="s">
        <v>19682</v>
      </c>
    </row>
    <row r="670" spans="1:9" x14ac:dyDescent="0.25">
      <c r="A670" s="242">
        <v>42891</v>
      </c>
      <c r="B670" s="18">
        <v>114771</v>
      </c>
      <c r="C670" s="235" t="s">
        <v>19677</v>
      </c>
      <c r="D670" s="236" t="s">
        <v>15230</v>
      </c>
      <c r="E670" s="15">
        <v>10443.299999999999</v>
      </c>
      <c r="F670" s="237">
        <v>42893</v>
      </c>
      <c r="G670" s="15">
        <v>10443.299999999999</v>
      </c>
      <c r="H670" s="15">
        <f t="shared" si="10"/>
        <v>0</v>
      </c>
      <c r="I670" s="236" t="s">
        <v>19682</v>
      </c>
    </row>
    <row r="671" spans="1:9" x14ac:dyDescent="0.25">
      <c r="A671" s="36">
        <v>42891</v>
      </c>
      <c r="B671" s="12">
        <v>114772</v>
      </c>
      <c r="C671" s="235" t="s">
        <v>19677</v>
      </c>
      <c r="D671" s="236" t="s">
        <v>15818</v>
      </c>
      <c r="E671" s="15">
        <v>4334.3999999999996</v>
      </c>
      <c r="F671" s="237">
        <v>42893</v>
      </c>
      <c r="G671" s="15">
        <v>4334.3999999999996</v>
      </c>
      <c r="H671" s="15">
        <f t="shared" si="10"/>
        <v>0</v>
      </c>
      <c r="I671" s="236" t="s">
        <v>19682</v>
      </c>
    </row>
    <row r="672" spans="1:9" x14ac:dyDescent="0.25">
      <c r="A672" s="242">
        <v>42892</v>
      </c>
      <c r="B672" s="18">
        <v>114773</v>
      </c>
      <c r="C672" s="235" t="s">
        <v>19677</v>
      </c>
      <c r="D672" s="236" t="s">
        <v>15213</v>
      </c>
      <c r="E672" s="15">
        <v>10806.1</v>
      </c>
      <c r="F672" s="237">
        <v>42893</v>
      </c>
      <c r="G672" s="15">
        <v>10806.1</v>
      </c>
      <c r="H672" s="15">
        <f t="shared" si="10"/>
        <v>0</v>
      </c>
      <c r="I672" s="236" t="s">
        <v>19682</v>
      </c>
    </row>
    <row r="673" spans="1:9" x14ac:dyDescent="0.25">
      <c r="A673" s="36">
        <v>42892</v>
      </c>
      <c r="B673" s="18">
        <v>114774</v>
      </c>
      <c r="C673" s="235" t="s">
        <v>19677</v>
      </c>
      <c r="D673" s="236" t="s">
        <v>15213</v>
      </c>
      <c r="E673" s="15">
        <v>38890.400000000001</v>
      </c>
      <c r="F673" s="237">
        <v>42893</v>
      </c>
      <c r="G673" s="15">
        <v>38890.400000000001</v>
      </c>
      <c r="H673" s="15">
        <f t="shared" si="10"/>
        <v>0</v>
      </c>
      <c r="I673" s="236" t="s">
        <v>19682</v>
      </c>
    </row>
    <row r="674" spans="1:9" x14ac:dyDescent="0.25">
      <c r="A674" s="242">
        <v>42892</v>
      </c>
      <c r="B674" s="18">
        <v>114775</v>
      </c>
      <c r="C674" s="235" t="s">
        <v>19677</v>
      </c>
      <c r="D674" s="236" t="s">
        <v>15232</v>
      </c>
      <c r="E674" s="15">
        <v>6201.5</v>
      </c>
      <c r="F674" s="237">
        <v>42894</v>
      </c>
      <c r="G674" s="15">
        <v>6201.5</v>
      </c>
      <c r="H674" s="15">
        <f t="shared" si="10"/>
        <v>0</v>
      </c>
      <c r="I674" s="236" t="s">
        <v>19682</v>
      </c>
    </row>
    <row r="675" spans="1:9" x14ac:dyDescent="0.25">
      <c r="A675" s="36">
        <v>42892</v>
      </c>
      <c r="B675" s="18">
        <v>114776</v>
      </c>
      <c r="C675" s="235" t="s">
        <v>19677</v>
      </c>
      <c r="D675" s="236" t="s">
        <v>15234</v>
      </c>
      <c r="E675" s="15">
        <v>3361.8</v>
      </c>
      <c r="F675" s="237">
        <v>42896</v>
      </c>
      <c r="G675" s="15">
        <v>3361.8</v>
      </c>
      <c r="H675" s="15">
        <f t="shared" si="10"/>
        <v>0</v>
      </c>
      <c r="I675" s="236" t="s">
        <v>19682</v>
      </c>
    </row>
    <row r="676" spans="1:9" x14ac:dyDescent="0.25">
      <c r="A676" s="242">
        <v>42892</v>
      </c>
      <c r="B676" s="18">
        <v>114777</v>
      </c>
      <c r="C676" s="235" t="s">
        <v>19677</v>
      </c>
      <c r="D676" s="236" t="s">
        <v>15236</v>
      </c>
      <c r="E676" s="15">
        <v>3471</v>
      </c>
      <c r="F676" s="237">
        <v>42894</v>
      </c>
      <c r="G676" s="15">
        <v>3471</v>
      </c>
      <c r="H676" s="15">
        <f t="shared" si="10"/>
        <v>0</v>
      </c>
      <c r="I676" s="236" t="s">
        <v>19682</v>
      </c>
    </row>
    <row r="677" spans="1:9" x14ac:dyDescent="0.25">
      <c r="A677" s="36">
        <v>42892</v>
      </c>
      <c r="B677" s="18">
        <v>114778</v>
      </c>
      <c r="C677" s="235" t="s">
        <v>19677</v>
      </c>
      <c r="D677" s="236" t="s">
        <v>15230</v>
      </c>
      <c r="E677" s="15">
        <v>9693.2999999999993</v>
      </c>
      <c r="F677" s="237">
        <v>42894</v>
      </c>
      <c r="G677" s="15">
        <v>9693.2999999999993</v>
      </c>
      <c r="H677" s="15">
        <f t="shared" si="10"/>
        <v>0</v>
      </c>
      <c r="I677" s="236" t="s">
        <v>19682</v>
      </c>
    </row>
    <row r="678" spans="1:9" x14ac:dyDescent="0.25">
      <c r="A678" s="242">
        <v>42892</v>
      </c>
      <c r="B678" s="18">
        <v>114779</v>
      </c>
      <c r="C678" s="235" t="s">
        <v>19677</v>
      </c>
      <c r="D678" s="236" t="s">
        <v>15256</v>
      </c>
      <c r="E678" s="15">
        <v>3533.4</v>
      </c>
      <c r="F678" s="237">
        <v>42893</v>
      </c>
      <c r="G678" s="15">
        <v>3533.4</v>
      </c>
      <c r="H678" s="15">
        <f t="shared" si="10"/>
        <v>0</v>
      </c>
      <c r="I678" s="236" t="s">
        <v>19682</v>
      </c>
    </row>
    <row r="679" spans="1:9" x14ac:dyDescent="0.25">
      <c r="A679" s="36">
        <v>42892</v>
      </c>
      <c r="B679" s="18">
        <v>114780</v>
      </c>
      <c r="C679" s="235" t="s">
        <v>19677</v>
      </c>
      <c r="D679" s="236" t="s">
        <v>15272</v>
      </c>
      <c r="E679" s="15">
        <v>13481.6</v>
      </c>
      <c r="F679" s="237">
        <v>42892</v>
      </c>
      <c r="G679" s="15">
        <v>13481.6</v>
      </c>
      <c r="H679" s="15">
        <f t="shared" si="10"/>
        <v>0</v>
      </c>
      <c r="I679" s="236" t="s">
        <v>19682</v>
      </c>
    </row>
    <row r="680" spans="1:9" x14ac:dyDescent="0.25">
      <c r="A680" s="242">
        <v>42892</v>
      </c>
      <c r="B680" s="18">
        <v>114781</v>
      </c>
      <c r="C680" s="235" t="s">
        <v>19677</v>
      </c>
      <c r="D680" s="236" t="s">
        <v>15226</v>
      </c>
      <c r="E680" s="15">
        <v>1131.5999999999999</v>
      </c>
      <c r="F680" s="237">
        <v>42894</v>
      </c>
      <c r="G680" s="15">
        <v>1131.5999999999999</v>
      </c>
      <c r="H680" s="15">
        <f t="shared" si="10"/>
        <v>0</v>
      </c>
      <c r="I680" s="236" t="s">
        <v>19682</v>
      </c>
    </row>
    <row r="681" spans="1:9" x14ac:dyDescent="0.25">
      <c r="A681" s="36">
        <v>42892</v>
      </c>
      <c r="B681" s="18">
        <v>114782</v>
      </c>
      <c r="C681" s="235" t="s">
        <v>19677</v>
      </c>
      <c r="D681" s="236" t="s">
        <v>15242</v>
      </c>
      <c r="E681" s="15">
        <v>9227.7999999999993</v>
      </c>
      <c r="F681" s="237">
        <v>42892</v>
      </c>
      <c r="G681" s="15">
        <v>9227.7999999999993</v>
      </c>
      <c r="H681" s="15">
        <f t="shared" si="10"/>
        <v>0</v>
      </c>
      <c r="I681" s="236" t="s">
        <v>19682</v>
      </c>
    </row>
    <row r="682" spans="1:9" x14ac:dyDescent="0.25">
      <c r="A682" s="242">
        <v>42892</v>
      </c>
      <c r="B682" s="18">
        <v>114783</v>
      </c>
      <c r="C682" s="235" t="s">
        <v>19677</v>
      </c>
      <c r="D682" s="236" t="s">
        <v>15475</v>
      </c>
      <c r="E682" s="15">
        <v>7621.9</v>
      </c>
      <c r="F682" s="237">
        <v>42892</v>
      </c>
      <c r="G682" s="15">
        <v>7621.9</v>
      </c>
      <c r="H682" s="15">
        <f t="shared" si="10"/>
        <v>0</v>
      </c>
      <c r="I682" s="236" t="s">
        <v>19682</v>
      </c>
    </row>
    <row r="683" spans="1:9" x14ac:dyDescent="0.25">
      <c r="A683" s="36">
        <v>42892</v>
      </c>
      <c r="B683" s="18">
        <v>114784</v>
      </c>
      <c r="C683" s="235" t="s">
        <v>19677</v>
      </c>
      <c r="D683" s="236" t="s">
        <v>15348</v>
      </c>
      <c r="E683" s="15">
        <v>3332</v>
      </c>
      <c r="F683" s="237">
        <v>42893</v>
      </c>
      <c r="G683" s="15">
        <v>3332</v>
      </c>
      <c r="H683" s="15">
        <f t="shared" si="10"/>
        <v>0</v>
      </c>
      <c r="I683" s="236" t="s">
        <v>19682</v>
      </c>
    </row>
    <row r="684" spans="1:9" x14ac:dyDescent="0.25">
      <c r="A684" s="242">
        <v>42892</v>
      </c>
      <c r="B684" s="18">
        <v>114785</v>
      </c>
      <c r="C684" s="235" t="s">
        <v>19677</v>
      </c>
      <c r="D684" s="236" t="s">
        <v>15480</v>
      </c>
      <c r="E684" s="15">
        <v>3330.6</v>
      </c>
      <c r="F684" s="237">
        <v>42893</v>
      </c>
      <c r="G684" s="15">
        <v>3330.6</v>
      </c>
      <c r="H684" s="15">
        <f t="shared" si="10"/>
        <v>0</v>
      </c>
      <c r="I684" s="236" t="s">
        <v>19682</v>
      </c>
    </row>
    <row r="685" spans="1:9" x14ac:dyDescent="0.25">
      <c r="A685" s="36">
        <v>42892</v>
      </c>
      <c r="B685" s="18">
        <v>114786</v>
      </c>
      <c r="C685" s="235" t="s">
        <v>19677</v>
      </c>
      <c r="D685" s="236" t="s">
        <v>15668</v>
      </c>
      <c r="E685" s="15">
        <v>9929.4</v>
      </c>
      <c r="F685" s="237">
        <v>42893</v>
      </c>
      <c r="G685" s="15">
        <v>9929.4</v>
      </c>
      <c r="H685" s="15">
        <f t="shared" si="10"/>
        <v>0</v>
      </c>
      <c r="I685" s="236" t="s">
        <v>19682</v>
      </c>
    </row>
    <row r="686" spans="1:9" x14ac:dyDescent="0.25">
      <c r="A686" s="242">
        <v>42892</v>
      </c>
      <c r="B686" s="18">
        <v>114787</v>
      </c>
      <c r="C686" s="235" t="s">
        <v>19677</v>
      </c>
      <c r="D686" s="236" t="s">
        <v>15258</v>
      </c>
      <c r="E686" s="15">
        <v>16590.599999999999</v>
      </c>
      <c r="F686" s="237">
        <v>42895</v>
      </c>
      <c r="G686" s="15">
        <v>16590.599999999999</v>
      </c>
      <c r="H686" s="15">
        <f t="shared" si="10"/>
        <v>0</v>
      </c>
      <c r="I686" s="236" t="s">
        <v>19682</v>
      </c>
    </row>
    <row r="687" spans="1:9" x14ac:dyDescent="0.25">
      <c r="A687" s="36">
        <v>42892</v>
      </c>
      <c r="B687" s="18">
        <v>114788</v>
      </c>
      <c r="C687" s="235" t="s">
        <v>19677</v>
      </c>
      <c r="D687" s="236" t="s">
        <v>15238</v>
      </c>
      <c r="E687" s="15">
        <v>1910.3</v>
      </c>
      <c r="F687" s="237">
        <v>42895</v>
      </c>
      <c r="G687" s="15">
        <v>1910.3</v>
      </c>
      <c r="H687" s="15">
        <f t="shared" si="10"/>
        <v>0</v>
      </c>
      <c r="I687" s="236" t="s">
        <v>19682</v>
      </c>
    </row>
    <row r="688" spans="1:9" x14ac:dyDescent="0.25">
      <c r="A688" s="242">
        <v>42892</v>
      </c>
      <c r="B688" s="18">
        <v>114789</v>
      </c>
      <c r="C688" s="235" t="s">
        <v>19677</v>
      </c>
      <c r="D688" s="236" t="s">
        <v>15284</v>
      </c>
      <c r="E688" s="15">
        <v>1692.2</v>
      </c>
      <c r="F688" s="237">
        <v>42892</v>
      </c>
      <c r="G688" s="15">
        <v>1692.2</v>
      </c>
      <c r="H688" s="15">
        <f t="shared" si="10"/>
        <v>0</v>
      </c>
      <c r="I688" s="236" t="s">
        <v>19682</v>
      </c>
    </row>
    <row r="689" spans="1:9" x14ac:dyDescent="0.25">
      <c r="A689" s="36">
        <v>42892</v>
      </c>
      <c r="B689" s="18">
        <v>114790</v>
      </c>
      <c r="C689" s="235" t="s">
        <v>19677</v>
      </c>
      <c r="D689" s="236" t="s">
        <v>15220</v>
      </c>
      <c r="E689" s="15">
        <v>2400</v>
      </c>
      <c r="F689" s="237">
        <v>42892</v>
      </c>
      <c r="G689" s="15">
        <v>2400</v>
      </c>
      <c r="H689" s="15">
        <f t="shared" si="10"/>
        <v>0</v>
      </c>
      <c r="I689" s="236" t="s">
        <v>19682</v>
      </c>
    </row>
    <row r="690" spans="1:9" x14ac:dyDescent="0.25">
      <c r="A690" s="242">
        <v>42892</v>
      </c>
      <c r="B690" s="18">
        <v>114791</v>
      </c>
      <c r="C690" s="235" t="s">
        <v>19677</v>
      </c>
      <c r="D690" s="236" t="s">
        <v>15274</v>
      </c>
      <c r="E690" s="15">
        <v>3454.2</v>
      </c>
      <c r="F690" s="237">
        <v>42892</v>
      </c>
      <c r="G690" s="15">
        <v>3454.2</v>
      </c>
      <c r="H690" s="15">
        <f t="shared" si="10"/>
        <v>0</v>
      </c>
      <c r="I690" s="236" t="s">
        <v>19682</v>
      </c>
    </row>
    <row r="691" spans="1:9" x14ac:dyDescent="0.25">
      <c r="A691" s="36">
        <v>42892</v>
      </c>
      <c r="B691" s="18">
        <v>114792</v>
      </c>
      <c r="C691" s="235" t="s">
        <v>19677</v>
      </c>
      <c r="D691" s="236" t="s">
        <v>15371</v>
      </c>
      <c r="E691" s="15">
        <v>2821.4</v>
      </c>
      <c r="F691" s="237">
        <v>42893</v>
      </c>
      <c r="G691" s="15">
        <v>2821.4</v>
      </c>
      <c r="H691" s="15">
        <f t="shared" si="10"/>
        <v>0</v>
      </c>
      <c r="I691" s="236" t="s">
        <v>19682</v>
      </c>
    </row>
    <row r="692" spans="1:9" x14ac:dyDescent="0.25">
      <c r="A692" s="242">
        <v>42892</v>
      </c>
      <c r="B692" s="18">
        <v>114793</v>
      </c>
      <c r="C692" s="235" t="s">
        <v>19677</v>
      </c>
      <c r="D692" s="236" t="s">
        <v>15890</v>
      </c>
      <c r="E692" s="15">
        <v>1848</v>
      </c>
      <c r="F692" s="237">
        <v>42899</v>
      </c>
      <c r="G692" s="15">
        <v>1848</v>
      </c>
      <c r="H692" s="15">
        <f t="shared" si="10"/>
        <v>0</v>
      </c>
      <c r="I692" s="236" t="s">
        <v>19682</v>
      </c>
    </row>
    <row r="693" spans="1:9" x14ac:dyDescent="0.25">
      <c r="A693" s="36">
        <v>42892</v>
      </c>
      <c r="B693" s="18">
        <v>114794</v>
      </c>
      <c r="C693" s="235" t="s">
        <v>19677</v>
      </c>
      <c r="D693" s="236" t="s">
        <v>5575</v>
      </c>
      <c r="E693" s="15">
        <v>628</v>
      </c>
      <c r="F693" s="237">
        <v>42893</v>
      </c>
      <c r="G693" s="15">
        <v>628</v>
      </c>
      <c r="H693" s="15">
        <f t="shared" si="10"/>
        <v>0</v>
      </c>
      <c r="I693" s="236" t="s">
        <v>19682</v>
      </c>
    </row>
    <row r="694" spans="1:9" x14ac:dyDescent="0.25">
      <c r="A694" s="242">
        <v>42892</v>
      </c>
      <c r="B694" s="18">
        <v>114795</v>
      </c>
      <c r="C694" s="235" t="s">
        <v>19677</v>
      </c>
      <c r="D694" s="236" t="s">
        <v>15348</v>
      </c>
      <c r="E694" s="15">
        <v>220.4</v>
      </c>
      <c r="F694" s="237">
        <v>42893</v>
      </c>
      <c r="G694" s="15">
        <v>220.4</v>
      </c>
      <c r="H694" s="15">
        <f t="shared" si="10"/>
        <v>0</v>
      </c>
      <c r="I694" s="236" t="s">
        <v>19682</v>
      </c>
    </row>
    <row r="695" spans="1:9" x14ac:dyDescent="0.25">
      <c r="A695" s="36">
        <v>42892</v>
      </c>
      <c r="B695" s="18">
        <v>114796</v>
      </c>
      <c r="C695" s="235" t="s">
        <v>19677</v>
      </c>
      <c r="D695" s="236" t="s">
        <v>15315</v>
      </c>
      <c r="E695" s="15">
        <v>851.4</v>
      </c>
      <c r="F695" s="237">
        <v>42892</v>
      </c>
      <c r="G695" s="15">
        <v>851.4</v>
      </c>
      <c r="H695" s="15">
        <f t="shared" si="10"/>
        <v>0</v>
      </c>
      <c r="I695" s="236" t="s">
        <v>19682</v>
      </c>
    </row>
    <row r="696" spans="1:9" x14ac:dyDescent="0.25">
      <c r="A696" s="242">
        <v>42892</v>
      </c>
      <c r="B696" s="18">
        <v>114797</v>
      </c>
      <c r="C696" s="235" t="s">
        <v>19677</v>
      </c>
      <c r="D696" s="236" t="s">
        <v>15240</v>
      </c>
      <c r="E696" s="15">
        <v>212.8</v>
      </c>
      <c r="F696" s="237">
        <v>42893</v>
      </c>
      <c r="G696" s="15">
        <v>212.8</v>
      </c>
      <c r="H696" s="15">
        <f t="shared" si="10"/>
        <v>0</v>
      </c>
      <c r="I696" s="236" t="s">
        <v>19682</v>
      </c>
    </row>
    <row r="697" spans="1:9" x14ac:dyDescent="0.25">
      <c r="A697" s="36">
        <v>42892</v>
      </c>
      <c r="B697" s="18">
        <v>114798</v>
      </c>
      <c r="C697" s="235" t="s">
        <v>19677</v>
      </c>
      <c r="D697" s="236" t="s">
        <v>17462</v>
      </c>
      <c r="E697" s="15">
        <v>6121</v>
      </c>
      <c r="F697" s="237">
        <v>42892</v>
      </c>
      <c r="G697" s="15">
        <v>6121</v>
      </c>
      <c r="H697" s="15">
        <f t="shared" si="10"/>
        <v>0</v>
      </c>
      <c r="I697" s="236" t="s">
        <v>19682</v>
      </c>
    </row>
    <row r="698" spans="1:9" x14ac:dyDescent="0.25">
      <c r="A698" s="242">
        <v>42892</v>
      </c>
      <c r="B698" s="18">
        <v>114799</v>
      </c>
      <c r="C698" s="235" t="s">
        <v>19677</v>
      </c>
      <c r="D698" s="236" t="s">
        <v>15252</v>
      </c>
      <c r="E698" s="15">
        <v>5810.2</v>
      </c>
      <c r="F698" s="237">
        <v>42898</v>
      </c>
      <c r="G698" s="15">
        <v>5810.2</v>
      </c>
      <c r="H698" s="15">
        <f t="shared" si="10"/>
        <v>0</v>
      </c>
      <c r="I698" s="236" t="s">
        <v>19682</v>
      </c>
    </row>
    <row r="699" spans="1:9" x14ac:dyDescent="0.25">
      <c r="A699" s="36">
        <v>42892</v>
      </c>
      <c r="B699" s="18">
        <v>114800</v>
      </c>
      <c r="C699" s="235" t="s">
        <v>19677</v>
      </c>
      <c r="D699" s="236" t="s">
        <v>15250</v>
      </c>
      <c r="E699" s="15">
        <v>32112.400000000001</v>
      </c>
      <c r="F699" s="237">
        <v>42902</v>
      </c>
      <c r="G699" s="15">
        <v>32112.400000000001</v>
      </c>
      <c r="H699" s="15">
        <f t="shared" si="10"/>
        <v>0</v>
      </c>
      <c r="I699" s="236" t="s">
        <v>19682</v>
      </c>
    </row>
    <row r="700" spans="1:9" x14ac:dyDescent="0.25">
      <c r="A700" s="242">
        <v>42892</v>
      </c>
      <c r="B700" s="18">
        <v>114801</v>
      </c>
      <c r="C700" s="235" t="s">
        <v>19677</v>
      </c>
      <c r="D700" s="236" t="s">
        <v>17235</v>
      </c>
      <c r="E700" s="15">
        <v>960</v>
      </c>
      <c r="F700" s="237">
        <v>42892</v>
      </c>
      <c r="G700" s="15">
        <v>960</v>
      </c>
      <c r="H700" s="15">
        <f t="shared" si="10"/>
        <v>0</v>
      </c>
      <c r="I700" s="236" t="s">
        <v>19682</v>
      </c>
    </row>
    <row r="701" spans="1:9" x14ac:dyDescent="0.25">
      <c r="A701" s="36">
        <v>42892</v>
      </c>
      <c r="B701" s="18">
        <v>114802</v>
      </c>
      <c r="C701" s="235" t="s">
        <v>19677</v>
      </c>
      <c r="D701" s="236" t="s">
        <v>15244</v>
      </c>
      <c r="E701" s="15">
        <v>10610.6</v>
      </c>
      <c r="F701" s="237">
        <v>42893</v>
      </c>
      <c r="G701" s="15">
        <v>10610.6</v>
      </c>
      <c r="H701" s="15">
        <f t="shared" si="10"/>
        <v>0</v>
      </c>
      <c r="I701" s="236" t="s">
        <v>19682</v>
      </c>
    </row>
    <row r="702" spans="1:9" x14ac:dyDescent="0.25">
      <c r="A702" s="242">
        <v>42892</v>
      </c>
      <c r="B702" s="18">
        <v>114803</v>
      </c>
      <c r="C702" s="235" t="s">
        <v>19677</v>
      </c>
      <c r="D702" s="236" t="s">
        <v>19700</v>
      </c>
      <c r="E702" s="15">
        <v>2401.1999999999998</v>
      </c>
      <c r="F702" s="237">
        <v>42893</v>
      </c>
      <c r="G702" s="15">
        <v>2401.1999999999998</v>
      </c>
      <c r="H702" s="15">
        <f t="shared" si="10"/>
        <v>0</v>
      </c>
      <c r="I702" s="236" t="s">
        <v>19682</v>
      </c>
    </row>
    <row r="703" spans="1:9" x14ac:dyDescent="0.25">
      <c r="A703" s="36">
        <v>42892</v>
      </c>
      <c r="B703" s="18">
        <v>114804</v>
      </c>
      <c r="C703" s="235" t="s">
        <v>19677</v>
      </c>
      <c r="D703" s="236" t="s">
        <v>15391</v>
      </c>
      <c r="E703" s="15">
        <v>7259</v>
      </c>
      <c r="F703" s="237">
        <v>42894</v>
      </c>
      <c r="G703" s="15">
        <v>7259</v>
      </c>
      <c r="H703" s="15">
        <f t="shared" si="10"/>
        <v>0</v>
      </c>
      <c r="I703" s="236" t="s">
        <v>19682</v>
      </c>
    </row>
    <row r="704" spans="1:9" x14ac:dyDescent="0.25">
      <c r="A704" s="242">
        <v>42892</v>
      </c>
      <c r="B704" s="18">
        <v>114805</v>
      </c>
      <c r="C704" s="235" t="s">
        <v>19677</v>
      </c>
      <c r="D704" s="236" t="s">
        <v>15728</v>
      </c>
      <c r="E704" s="15">
        <v>9271.7999999999993</v>
      </c>
      <c r="F704" s="237">
        <v>42892</v>
      </c>
      <c r="G704" s="15">
        <v>9271.7999999999993</v>
      </c>
      <c r="H704" s="15">
        <f t="shared" si="10"/>
        <v>0</v>
      </c>
      <c r="I704" s="236" t="s">
        <v>19682</v>
      </c>
    </row>
    <row r="705" spans="1:9" x14ac:dyDescent="0.25">
      <c r="A705" s="36">
        <v>42892</v>
      </c>
      <c r="B705" s="18">
        <v>114806</v>
      </c>
      <c r="C705" s="235" t="s">
        <v>19677</v>
      </c>
      <c r="D705" s="236" t="s">
        <v>15385</v>
      </c>
      <c r="E705" s="15">
        <v>9988.7000000000007</v>
      </c>
      <c r="F705" s="237">
        <v>42893</v>
      </c>
      <c r="G705" s="15">
        <v>9988.7000000000007</v>
      </c>
      <c r="H705" s="15">
        <f t="shared" si="10"/>
        <v>0</v>
      </c>
      <c r="I705" s="236" t="s">
        <v>19682</v>
      </c>
    </row>
    <row r="706" spans="1:9" x14ac:dyDescent="0.25">
      <c r="A706" s="242">
        <v>42892</v>
      </c>
      <c r="B706" s="18">
        <v>114807</v>
      </c>
      <c r="C706" s="235" t="s">
        <v>19677</v>
      </c>
      <c r="D706" s="236" t="s">
        <v>15868</v>
      </c>
      <c r="E706" s="15">
        <v>7939.9</v>
      </c>
      <c r="F706" s="237">
        <v>42893</v>
      </c>
      <c r="G706" s="15">
        <v>7939.9</v>
      </c>
      <c r="H706" s="15">
        <f t="shared" ref="H706:H769" si="11">E706-G706</f>
        <v>0</v>
      </c>
      <c r="I706" s="236" t="s">
        <v>19682</v>
      </c>
    </row>
    <row r="707" spans="1:9" x14ac:dyDescent="0.25">
      <c r="A707" s="36">
        <v>42892</v>
      </c>
      <c r="B707" s="18">
        <v>114808</v>
      </c>
      <c r="C707" s="235" t="s">
        <v>19677</v>
      </c>
      <c r="D707" s="236" t="s">
        <v>15263</v>
      </c>
      <c r="E707" s="15">
        <v>2753.8</v>
      </c>
      <c r="F707" s="237">
        <v>42892</v>
      </c>
      <c r="G707" s="15">
        <v>2753.8</v>
      </c>
      <c r="H707" s="15">
        <f t="shared" si="11"/>
        <v>0</v>
      </c>
      <c r="I707" s="236" t="s">
        <v>19682</v>
      </c>
    </row>
    <row r="708" spans="1:9" x14ac:dyDescent="0.25">
      <c r="A708" s="242">
        <v>42892</v>
      </c>
      <c r="B708" s="18">
        <v>114809</v>
      </c>
      <c r="C708" s="235" t="s">
        <v>19677</v>
      </c>
      <c r="D708" s="236" t="s">
        <v>15421</v>
      </c>
      <c r="E708" s="15">
        <v>525</v>
      </c>
      <c r="F708" s="237">
        <v>42892</v>
      </c>
      <c r="G708" s="15">
        <v>525</v>
      </c>
      <c r="H708" s="15">
        <f t="shared" si="11"/>
        <v>0</v>
      </c>
      <c r="I708" s="236" t="s">
        <v>19682</v>
      </c>
    </row>
    <row r="709" spans="1:9" x14ac:dyDescent="0.25">
      <c r="A709" s="36">
        <v>42892</v>
      </c>
      <c r="B709" s="18">
        <v>114810</v>
      </c>
      <c r="C709" s="235" t="s">
        <v>19677</v>
      </c>
      <c r="D709" s="236" t="s">
        <v>15361</v>
      </c>
      <c r="E709" s="15">
        <v>12700.1</v>
      </c>
      <c r="F709" s="237">
        <v>42893</v>
      </c>
      <c r="G709" s="15">
        <v>12700.1</v>
      </c>
      <c r="H709" s="15">
        <f t="shared" si="11"/>
        <v>0</v>
      </c>
      <c r="I709" s="236" t="s">
        <v>19682</v>
      </c>
    </row>
    <row r="710" spans="1:9" x14ac:dyDescent="0.25">
      <c r="A710" s="242">
        <v>42892</v>
      </c>
      <c r="B710" s="18">
        <v>114811</v>
      </c>
      <c r="C710" s="235" t="s">
        <v>19677</v>
      </c>
      <c r="D710" s="236" t="s">
        <v>15475</v>
      </c>
      <c r="E710" s="15">
        <v>3321</v>
      </c>
      <c r="F710" s="237">
        <v>42892</v>
      </c>
      <c r="G710" s="15">
        <v>3321</v>
      </c>
      <c r="H710" s="15">
        <f t="shared" si="11"/>
        <v>0</v>
      </c>
      <c r="I710" s="236" t="s">
        <v>19682</v>
      </c>
    </row>
    <row r="711" spans="1:9" x14ac:dyDescent="0.25">
      <c r="A711" s="36">
        <v>42892</v>
      </c>
      <c r="B711" s="18">
        <v>114812</v>
      </c>
      <c r="C711" s="235" t="s">
        <v>19677</v>
      </c>
      <c r="D711" s="236" t="s">
        <v>15363</v>
      </c>
      <c r="E711" s="15">
        <v>4939.3999999999996</v>
      </c>
      <c r="F711" s="237">
        <v>42893</v>
      </c>
      <c r="G711" s="15">
        <v>4939.3999999999996</v>
      </c>
      <c r="H711" s="15">
        <f t="shared" si="11"/>
        <v>0</v>
      </c>
      <c r="I711" s="236" t="s">
        <v>19682</v>
      </c>
    </row>
    <row r="712" spans="1:9" x14ac:dyDescent="0.25">
      <c r="A712" s="242">
        <v>42892</v>
      </c>
      <c r="B712" s="18">
        <v>114813</v>
      </c>
      <c r="C712" s="235" t="s">
        <v>19677</v>
      </c>
      <c r="D712" s="236" t="s">
        <v>15387</v>
      </c>
      <c r="E712" s="15">
        <v>1827.24</v>
      </c>
      <c r="F712" s="237">
        <v>42893</v>
      </c>
      <c r="G712" s="15">
        <v>1827.24</v>
      </c>
      <c r="H712" s="15">
        <f t="shared" si="11"/>
        <v>0</v>
      </c>
      <c r="I712" s="236" t="s">
        <v>19682</v>
      </c>
    </row>
    <row r="713" spans="1:9" x14ac:dyDescent="0.25">
      <c r="A713" s="36">
        <v>42892</v>
      </c>
      <c r="B713" s="18">
        <v>114814</v>
      </c>
      <c r="C713" s="235" t="s">
        <v>19677</v>
      </c>
      <c r="D713" s="236" t="s">
        <v>15594</v>
      </c>
      <c r="E713" s="15">
        <v>1856</v>
      </c>
      <c r="F713" s="237">
        <v>42893</v>
      </c>
      <c r="G713" s="15">
        <v>1856</v>
      </c>
      <c r="H713" s="15">
        <f t="shared" si="11"/>
        <v>0</v>
      </c>
      <c r="I713" s="236" t="s">
        <v>19682</v>
      </c>
    </row>
    <row r="714" spans="1:9" x14ac:dyDescent="0.25">
      <c r="A714" s="242">
        <v>42892</v>
      </c>
      <c r="B714" s="18">
        <v>114815</v>
      </c>
      <c r="C714" s="235" t="s">
        <v>19677</v>
      </c>
      <c r="D714" s="236" t="s">
        <v>15510</v>
      </c>
      <c r="E714" s="15">
        <v>16245.6</v>
      </c>
      <c r="F714" s="237">
        <v>42892</v>
      </c>
      <c r="G714" s="15">
        <v>16245.6</v>
      </c>
      <c r="H714" s="15">
        <f t="shared" si="11"/>
        <v>0</v>
      </c>
      <c r="I714" s="236" t="s">
        <v>19682</v>
      </c>
    </row>
    <row r="715" spans="1:9" x14ac:dyDescent="0.25">
      <c r="A715" s="36">
        <v>42892</v>
      </c>
      <c r="B715" s="18">
        <v>114816</v>
      </c>
      <c r="C715" s="235" t="s">
        <v>19677</v>
      </c>
      <c r="D715" s="236" t="s">
        <v>15280</v>
      </c>
      <c r="E715" s="15">
        <v>5838</v>
      </c>
      <c r="F715" s="237">
        <v>42892</v>
      </c>
      <c r="G715" s="15">
        <v>5838</v>
      </c>
      <c r="H715" s="15">
        <f t="shared" si="11"/>
        <v>0</v>
      </c>
      <c r="I715" s="236" t="s">
        <v>19682</v>
      </c>
    </row>
    <row r="716" spans="1:9" x14ac:dyDescent="0.25">
      <c r="A716" s="242">
        <v>42892</v>
      </c>
      <c r="B716" s="18">
        <v>114817</v>
      </c>
      <c r="C716" s="235" t="s">
        <v>19677</v>
      </c>
      <c r="D716" s="236" t="s">
        <v>15594</v>
      </c>
      <c r="E716" s="15">
        <v>1768.9</v>
      </c>
      <c r="F716" s="237">
        <v>42893</v>
      </c>
      <c r="G716" s="15">
        <v>1768.9</v>
      </c>
      <c r="H716" s="15">
        <f t="shared" si="11"/>
        <v>0</v>
      </c>
      <c r="I716" s="236" t="s">
        <v>19682</v>
      </c>
    </row>
    <row r="717" spans="1:9" x14ac:dyDescent="0.25">
      <c r="A717" s="36">
        <v>42892</v>
      </c>
      <c r="B717" s="18">
        <v>114818</v>
      </c>
      <c r="C717" s="235" t="s">
        <v>19677</v>
      </c>
      <c r="D717" s="236" t="s">
        <v>15442</v>
      </c>
      <c r="E717" s="15">
        <v>13880.4</v>
      </c>
      <c r="F717" s="237">
        <v>42895</v>
      </c>
      <c r="G717" s="15">
        <v>13880.4</v>
      </c>
      <c r="H717" s="15">
        <f t="shared" si="11"/>
        <v>0</v>
      </c>
      <c r="I717" s="236" t="s">
        <v>19682</v>
      </c>
    </row>
    <row r="718" spans="1:9" x14ac:dyDescent="0.25">
      <c r="A718" s="242">
        <v>42892</v>
      </c>
      <c r="B718" s="18">
        <v>114819</v>
      </c>
      <c r="C718" s="235" t="s">
        <v>19677</v>
      </c>
      <c r="D718" s="236" t="s">
        <v>15442</v>
      </c>
      <c r="E718" s="15">
        <v>890.4</v>
      </c>
      <c r="F718" s="237">
        <v>42895</v>
      </c>
      <c r="G718" s="15">
        <v>890.4</v>
      </c>
      <c r="H718" s="15">
        <f t="shared" si="11"/>
        <v>0</v>
      </c>
      <c r="I718" s="236" t="s">
        <v>19682</v>
      </c>
    </row>
    <row r="719" spans="1:9" x14ac:dyDescent="0.25">
      <c r="A719" s="36">
        <v>42892</v>
      </c>
      <c r="B719" s="18">
        <v>114820</v>
      </c>
      <c r="C719" s="235" t="s">
        <v>19677</v>
      </c>
      <c r="D719" s="236" t="s">
        <v>15282</v>
      </c>
      <c r="E719" s="15">
        <v>2705.2</v>
      </c>
      <c r="F719" s="237">
        <v>42892</v>
      </c>
      <c r="G719" s="15">
        <v>2705.2</v>
      </c>
      <c r="H719" s="15">
        <f t="shared" si="11"/>
        <v>0</v>
      </c>
      <c r="I719" s="236" t="s">
        <v>19682</v>
      </c>
    </row>
    <row r="720" spans="1:9" x14ac:dyDescent="0.25">
      <c r="A720" s="242">
        <v>42892</v>
      </c>
      <c r="B720" s="18">
        <v>114821</v>
      </c>
      <c r="C720" s="235" t="s">
        <v>19677</v>
      </c>
      <c r="D720" s="236" t="s">
        <v>15510</v>
      </c>
      <c r="E720" s="15">
        <v>1050</v>
      </c>
      <c r="F720" s="237">
        <v>42892</v>
      </c>
      <c r="G720" s="15">
        <v>1050</v>
      </c>
      <c r="H720" s="15">
        <f t="shared" si="11"/>
        <v>0</v>
      </c>
      <c r="I720" s="236" t="s">
        <v>19682</v>
      </c>
    </row>
    <row r="721" spans="1:9" x14ac:dyDescent="0.25">
      <c r="A721" s="36">
        <v>42892</v>
      </c>
      <c r="B721" s="18">
        <v>114822</v>
      </c>
      <c r="C721" s="235" t="s">
        <v>19677</v>
      </c>
      <c r="D721" s="236" t="s">
        <v>15378</v>
      </c>
      <c r="E721" s="15">
        <v>5652.8</v>
      </c>
      <c r="F721" s="237">
        <v>42900</v>
      </c>
      <c r="G721" s="15">
        <v>5652.8</v>
      </c>
      <c r="H721" s="15">
        <f t="shared" si="11"/>
        <v>0</v>
      </c>
      <c r="I721" s="236" t="s">
        <v>19682</v>
      </c>
    </row>
    <row r="722" spans="1:9" x14ac:dyDescent="0.25">
      <c r="A722" s="242">
        <v>42892</v>
      </c>
      <c r="B722" s="18">
        <v>114823</v>
      </c>
      <c r="C722" s="235" t="s">
        <v>19677</v>
      </c>
      <c r="D722" s="236" t="s">
        <v>15298</v>
      </c>
      <c r="E722" s="15">
        <v>1228.2</v>
      </c>
      <c r="F722" s="237">
        <v>42892</v>
      </c>
      <c r="G722" s="15">
        <v>1228.2</v>
      </c>
      <c r="H722" s="15">
        <f t="shared" si="11"/>
        <v>0</v>
      </c>
      <c r="I722" s="236" t="s">
        <v>19682</v>
      </c>
    </row>
    <row r="723" spans="1:9" x14ac:dyDescent="0.25">
      <c r="A723" s="36">
        <v>42892</v>
      </c>
      <c r="B723" s="18">
        <v>114824</v>
      </c>
      <c r="C723" s="235" t="s">
        <v>19677</v>
      </c>
      <c r="D723" s="236" t="s">
        <v>15315</v>
      </c>
      <c r="E723" s="15">
        <v>3674.7</v>
      </c>
      <c r="F723" s="237">
        <v>42892</v>
      </c>
      <c r="G723" s="15">
        <v>3674.7</v>
      </c>
      <c r="H723" s="15">
        <f t="shared" si="11"/>
        <v>0</v>
      </c>
      <c r="I723" s="236" t="s">
        <v>19682</v>
      </c>
    </row>
    <row r="724" spans="1:9" x14ac:dyDescent="0.25">
      <c r="A724" s="242">
        <v>42892</v>
      </c>
      <c r="B724" s="18">
        <v>114825</v>
      </c>
      <c r="C724" s="235" t="s">
        <v>19677</v>
      </c>
      <c r="D724" s="236" t="s">
        <v>15562</v>
      </c>
      <c r="E724" s="15">
        <v>3838</v>
      </c>
      <c r="F724" s="237">
        <v>42892</v>
      </c>
      <c r="G724" s="15">
        <v>3838</v>
      </c>
      <c r="H724" s="15">
        <f t="shared" si="11"/>
        <v>0</v>
      </c>
      <c r="I724" s="236" t="s">
        <v>19682</v>
      </c>
    </row>
    <row r="725" spans="1:9" x14ac:dyDescent="0.25">
      <c r="A725" s="36">
        <v>42892</v>
      </c>
      <c r="B725" s="18">
        <v>114826</v>
      </c>
      <c r="C725" s="235" t="s">
        <v>19677</v>
      </c>
      <c r="D725" s="236" t="s">
        <v>15246</v>
      </c>
      <c r="E725" s="15">
        <v>6710.4</v>
      </c>
      <c r="F725" s="237">
        <v>42894</v>
      </c>
      <c r="G725" s="15">
        <v>6710.4</v>
      </c>
      <c r="H725" s="15">
        <f t="shared" si="11"/>
        <v>0</v>
      </c>
      <c r="I725" s="236" t="s">
        <v>19682</v>
      </c>
    </row>
    <row r="726" spans="1:9" x14ac:dyDescent="0.25">
      <c r="A726" s="242">
        <v>42892</v>
      </c>
      <c r="B726" s="18">
        <v>114827</v>
      </c>
      <c r="C726" s="235" t="s">
        <v>19677</v>
      </c>
      <c r="D726" s="236" t="s">
        <v>16306</v>
      </c>
      <c r="E726" s="15">
        <v>31616</v>
      </c>
      <c r="F726" s="237">
        <v>42893</v>
      </c>
      <c r="G726" s="15">
        <v>31616</v>
      </c>
      <c r="H726" s="15">
        <f t="shared" si="11"/>
        <v>0</v>
      </c>
      <c r="I726" s="236" t="s">
        <v>19682</v>
      </c>
    </row>
    <row r="727" spans="1:9" x14ac:dyDescent="0.25">
      <c r="A727" s="36">
        <v>42892</v>
      </c>
      <c r="B727" s="18">
        <v>114828</v>
      </c>
      <c r="C727" s="235" t="s">
        <v>19677</v>
      </c>
      <c r="D727" s="236" t="s">
        <v>15261</v>
      </c>
      <c r="E727" s="15">
        <v>24078.2</v>
      </c>
      <c r="F727" s="237">
        <v>42892</v>
      </c>
      <c r="G727" s="15">
        <v>24078.2</v>
      </c>
      <c r="H727" s="15">
        <f t="shared" si="11"/>
        <v>0</v>
      </c>
      <c r="I727" s="236" t="s">
        <v>19682</v>
      </c>
    </row>
    <row r="728" spans="1:9" x14ac:dyDescent="0.25">
      <c r="A728" s="242">
        <v>42892</v>
      </c>
      <c r="B728" s="18">
        <v>114829</v>
      </c>
      <c r="C728" s="235" t="s">
        <v>19677</v>
      </c>
      <c r="D728" s="236" t="s">
        <v>15404</v>
      </c>
      <c r="E728" s="15">
        <v>10908</v>
      </c>
      <c r="F728" s="237">
        <v>42892</v>
      </c>
      <c r="G728" s="15">
        <v>10908</v>
      </c>
      <c r="H728" s="15">
        <f t="shared" si="11"/>
        <v>0</v>
      </c>
      <c r="I728" s="236" t="s">
        <v>19682</v>
      </c>
    </row>
    <row r="729" spans="1:9" x14ac:dyDescent="0.25">
      <c r="A729" s="36">
        <v>42892</v>
      </c>
      <c r="B729" s="18">
        <v>114830</v>
      </c>
      <c r="C729" s="235" t="s">
        <v>19677</v>
      </c>
      <c r="D729" s="236" t="s">
        <v>15315</v>
      </c>
      <c r="E729" s="15">
        <v>2079.1999999999998</v>
      </c>
      <c r="F729" s="237">
        <v>42892</v>
      </c>
      <c r="G729" s="15">
        <v>2079.1999999999998</v>
      </c>
      <c r="H729" s="15">
        <f t="shared" si="11"/>
        <v>0</v>
      </c>
      <c r="I729" s="236" t="s">
        <v>19682</v>
      </c>
    </row>
    <row r="730" spans="1:9" x14ac:dyDescent="0.25">
      <c r="A730" s="242">
        <v>42892</v>
      </c>
      <c r="B730" s="18">
        <v>114831</v>
      </c>
      <c r="C730" s="235" t="s">
        <v>19677</v>
      </c>
      <c r="D730" s="236" t="s">
        <v>15398</v>
      </c>
      <c r="E730" s="15">
        <v>3786.3</v>
      </c>
      <c r="F730" s="237">
        <v>42892</v>
      </c>
      <c r="G730" s="15">
        <v>3786.3</v>
      </c>
      <c r="H730" s="15">
        <f t="shared" si="11"/>
        <v>0</v>
      </c>
      <c r="I730" s="236" t="s">
        <v>19682</v>
      </c>
    </row>
    <row r="731" spans="1:9" x14ac:dyDescent="0.25">
      <c r="A731" s="36">
        <v>42892</v>
      </c>
      <c r="B731" s="18">
        <v>114832</v>
      </c>
      <c r="C731" s="235" t="s">
        <v>19677</v>
      </c>
      <c r="D731" s="236" t="s">
        <v>15544</v>
      </c>
      <c r="E731" s="15">
        <v>4485.3999999999996</v>
      </c>
      <c r="F731" s="237">
        <v>42893</v>
      </c>
      <c r="G731" s="15">
        <v>4485.3999999999996</v>
      </c>
      <c r="H731" s="15">
        <f t="shared" si="11"/>
        <v>0</v>
      </c>
      <c r="I731" s="236" t="s">
        <v>19682</v>
      </c>
    </row>
    <row r="732" spans="1:9" x14ac:dyDescent="0.25">
      <c r="A732" s="242">
        <v>42892</v>
      </c>
      <c r="B732" s="18">
        <v>114833</v>
      </c>
      <c r="C732" s="235" t="s">
        <v>19677</v>
      </c>
      <c r="D732" s="236" t="s">
        <v>15539</v>
      </c>
      <c r="E732" s="15">
        <v>16863.599999999999</v>
      </c>
      <c r="F732" s="237">
        <v>42895</v>
      </c>
      <c r="G732" s="15">
        <v>16863.599999999999</v>
      </c>
      <c r="H732" s="15">
        <f t="shared" si="11"/>
        <v>0</v>
      </c>
      <c r="I732" s="236" t="s">
        <v>19682</v>
      </c>
    </row>
    <row r="733" spans="1:9" x14ac:dyDescent="0.25">
      <c r="A733" s="36">
        <v>42892</v>
      </c>
      <c r="B733" s="18">
        <v>114834</v>
      </c>
      <c r="C733" s="235" t="s">
        <v>19677</v>
      </c>
      <c r="D733" s="236" t="s">
        <v>15537</v>
      </c>
      <c r="E733" s="15">
        <v>17649</v>
      </c>
      <c r="F733" s="237">
        <v>42895</v>
      </c>
      <c r="G733" s="15">
        <v>17649</v>
      </c>
      <c r="H733" s="15">
        <f t="shared" si="11"/>
        <v>0</v>
      </c>
      <c r="I733" s="236" t="s">
        <v>19682</v>
      </c>
    </row>
    <row r="734" spans="1:9" x14ac:dyDescent="0.25">
      <c r="A734" s="242">
        <v>42892</v>
      </c>
      <c r="B734" s="18">
        <v>114835</v>
      </c>
      <c r="C734" s="235" t="s">
        <v>19677</v>
      </c>
      <c r="D734" s="236" t="s">
        <v>15315</v>
      </c>
      <c r="E734" s="15">
        <v>1635.4</v>
      </c>
      <c r="F734" s="246">
        <v>42893</v>
      </c>
      <c r="G734" s="14">
        <v>975.76</v>
      </c>
      <c r="H734" s="14">
        <f t="shared" si="11"/>
        <v>659.6400000000001</v>
      </c>
      <c r="I734" s="236" t="s">
        <v>19682</v>
      </c>
    </row>
    <row r="735" spans="1:9" ht="30" x14ac:dyDescent="0.25">
      <c r="A735" s="36">
        <v>42892</v>
      </c>
      <c r="B735" s="18">
        <v>114836</v>
      </c>
      <c r="C735" s="235" t="s">
        <v>19677</v>
      </c>
      <c r="D735" s="236" t="s">
        <v>15223</v>
      </c>
      <c r="E735" s="15">
        <v>45418.8</v>
      </c>
      <c r="F735" s="237" t="s">
        <v>19701</v>
      </c>
      <c r="G735" s="241">
        <f>5704.46+39714.34</f>
        <v>45418.799999999996</v>
      </c>
      <c r="H735" s="241">
        <f t="shared" si="11"/>
        <v>0</v>
      </c>
      <c r="I735" s="236" t="s">
        <v>19682</v>
      </c>
    </row>
    <row r="736" spans="1:9" x14ac:dyDescent="0.25">
      <c r="A736" s="242">
        <v>42892</v>
      </c>
      <c r="B736" s="18">
        <v>114837</v>
      </c>
      <c r="C736" s="235" t="s">
        <v>19677</v>
      </c>
      <c r="D736" s="236" t="s">
        <v>15555</v>
      </c>
      <c r="E736" s="15">
        <v>2244.6999999999998</v>
      </c>
      <c r="F736" s="237">
        <v>42900</v>
      </c>
      <c r="G736" s="15">
        <v>2244.6999999999998</v>
      </c>
      <c r="H736" s="15">
        <f t="shared" si="11"/>
        <v>0</v>
      </c>
      <c r="I736" s="236" t="s">
        <v>19682</v>
      </c>
    </row>
    <row r="737" spans="1:9" x14ac:dyDescent="0.25">
      <c r="A737" s="36">
        <v>42892</v>
      </c>
      <c r="B737" s="18">
        <v>114838</v>
      </c>
      <c r="C737" s="235" t="s">
        <v>19677</v>
      </c>
      <c r="D737" s="236" t="s">
        <v>15617</v>
      </c>
      <c r="E737" s="15">
        <v>27324</v>
      </c>
      <c r="F737" s="237">
        <v>42892</v>
      </c>
      <c r="G737" s="15">
        <v>27324</v>
      </c>
      <c r="H737" s="15">
        <f t="shared" si="11"/>
        <v>0</v>
      </c>
      <c r="I737" s="236" t="s">
        <v>19682</v>
      </c>
    </row>
    <row r="738" spans="1:9" x14ac:dyDescent="0.25">
      <c r="A738" s="242">
        <v>42892</v>
      </c>
      <c r="B738" s="18">
        <v>114839</v>
      </c>
      <c r="C738" s="235" t="s">
        <v>19677</v>
      </c>
      <c r="D738" s="236" t="s">
        <v>15291</v>
      </c>
      <c r="E738" s="15">
        <v>460</v>
      </c>
      <c r="F738" s="237">
        <v>42892</v>
      </c>
      <c r="G738" s="15">
        <v>460</v>
      </c>
      <c r="H738" s="15">
        <f t="shared" si="11"/>
        <v>0</v>
      </c>
      <c r="I738" s="236" t="s">
        <v>19682</v>
      </c>
    </row>
    <row r="739" spans="1:9" x14ac:dyDescent="0.25">
      <c r="A739" s="36">
        <v>42892</v>
      </c>
      <c r="B739" s="18">
        <v>114840</v>
      </c>
      <c r="C739" s="235" t="s">
        <v>19677</v>
      </c>
      <c r="D739" s="236" t="s">
        <v>15311</v>
      </c>
      <c r="E739" s="15">
        <v>2099.4</v>
      </c>
      <c r="F739" s="237">
        <v>42892</v>
      </c>
      <c r="G739" s="15">
        <v>2099.4</v>
      </c>
      <c r="H739" s="15">
        <f t="shared" si="11"/>
        <v>0</v>
      </c>
      <c r="I739" s="236" t="s">
        <v>19682</v>
      </c>
    </row>
    <row r="740" spans="1:9" x14ac:dyDescent="0.25">
      <c r="A740" s="242">
        <v>42892</v>
      </c>
      <c r="B740" s="18">
        <v>114841</v>
      </c>
      <c r="C740" s="235" t="s">
        <v>19677</v>
      </c>
      <c r="D740" s="236" t="s">
        <v>15320</v>
      </c>
      <c r="E740" s="15">
        <v>2129.6</v>
      </c>
      <c r="F740" s="237">
        <v>42892</v>
      </c>
      <c r="G740" s="15">
        <v>2129.6</v>
      </c>
      <c r="H740" s="15">
        <f t="shared" si="11"/>
        <v>0</v>
      </c>
      <c r="I740" s="236" t="s">
        <v>19682</v>
      </c>
    </row>
    <row r="741" spans="1:9" x14ac:dyDescent="0.25">
      <c r="A741" s="36">
        <v>42892</v>
      </c>
      <c r="B741" s="18">
        <v>114842</v>
      </c>
      <c r="C741" s="235" t="s">
        <v>19677</v>
      </c>
      <c r="D741" s="236" t="s">
        <v>15415</v>
      </c>
      <c r="E741" s="15">
        <v>121.8</v>
      </c>
      <c r="F741" s="237">
        <v>42892</v>
      </c>
      <c r="G741" s="15">
        <v>121.8</v>
      </c>
      <c r="H741" s="15">
        <f t="shared" si="11"/>
        <v>0</v>
      </c>
      <c r="I741" s="236" t="s">
        <v>19682</v>
      </c>
    </row>
    <row r="742" spans="1:9" x14ac:dyDescent="0.25">
      <c r="A742" s="242">
        <v>42892</v>
      </c>
      <c r="B742" s="18">
        <v>114843</v>
      </c>
      <c r="C742" s="235" t="s">
        <v>19677</v>
      </c>
      <c r="D742" s="236" t="s">
        <v>15583</v>
      </c>
      <c r="E742" s="15">
        <v>1325</v>
      </c>
      <c r="F742" s="237">
        <v>42898</v>
      </c>
      <c r="G742" s="15">
        <v>1325</v>
      </c>
      <c r="H742" s="15">
        <f t="shared" si="11"/>
        <v>0</v>
      </c>
      <c r="I742" s="236" t="s">
        <v>19682</v>
      </c>
    </row>
    <row r="743" spans="1:9" x14ac:dyDescent="0.25">
      <c r="A743" s="36">
        <v>42892</v>
      </c>
      <c r="B743" s="18">
        <v>114844</v>
      </c>
      <c r="C743" s="235" t="s">
        <v>19677</v>
      </c>
      <c r="D743" s="236" t="s">
        <v>17430</v>
      </c>
      <c r="E743" s="15">
        <v>3633</v>
      </c>
      <c r="F743" s="237">
        <v>42892</v>
      </c>
      <c r="G743" s="15">
        <v>3633</v>
      </c>
      <c r="H743" s="15">
        <f t="shared" si="11"/>
        <v>0</v>
      </c>
      <c r="I743" s="236" t="s">
        <v>19682</v>
      </c>
    </row>
    <row r="744" spans="1:9" x14ac:dyDescent="0.25">
      <c r="A744" s="242">
        <v>42892</v>
      </c>
      <c r="B744" s="18">
        <v>114845</v>
      </c>
      <c r="C744" s="235" t="s">
        <v>19677</v>
      </c>
      <c r="D744" s="236" t="s">
        <v>15624</v>
      </c>
      <c r="E744" s="15">
        <v>32123.200000000001</v>
      </c>
      <c r="F744" s="237">
        <v>42894</v>
      </c>
      <c r="G744" s="15">
        <v>32123.200000000001</v>
      </c>
      <c r="H744" s="15">
        <f t="shared" si="11"/>
        <v>0</v>
      </c>
      <c r="I744" s="236" t="s">
        <v>19682</v>
      </c>
    </row>
    <row r="745" spans="1:9" x14ac:dyDescent="0.25">
      <c r="A745" s="36">
        <v>42892</v>
      </c>
      <c r="B745" s="18">
        <v>114846</v>
      </c>
      <c r="C745" s="235" t="s">
        <v>19677</v>
      </c>
      <c r="D745" s="236" t="s">
        <v>15742</v>
      </c>
      <c r="E745" s="15">
        <v>2298.1999999999998</v>
      </c>
      <c r="F745" s="237">
        <v>42892</v>
      </c>
      <c r="G745" s="15">
        <v>2298.1999999999998</v>
      </c>
      <c r="H745" s="15">
        <f t="shared" si="11"/>
        <v>0</v>
      </c>
      <c r="I745" s="236" t="s">
        <v>19682</v>
      </c>
    </row>
    <row r="746" spans="1:9" x14ac:dyDescent="0.25">
      <c r="A746" s="242">
        <v>42892</v>
      </c>
      <c r="B746" s="18">
        <v>114847</v>
      </c>
      <c r="C746" s="235" t="s">
        <v>19677</v>
      </c>
      <c r="D746" s="236" t="s">
        <v>15577</v>
      </c>
      <c r="E746" s="15">
        <v>295.8</v>
      </c>
      <c r="F746" s="237">
        <v>42892</v>
      </c>
      <c r="G746" s="15">
        <v>295.8</v>
      </c>
      <c r="H746" s="15">
        <f t="shared" si="11"/>
        <v>0</v>
      </c>
      <c r="I746" s="236" t="s">
        <v>19682</v>
      </c>
    </row>
    <row r="747" spans="1:9" x14ac:dyDescent="0.25">
      <c r="A747" s="36">
        <v>42892</v>
      </c>
      <c r="B747" s="18">
        <v>114848</v>
      </c>
      <c r="C747" s="235" t="s">
        <v>19677</v>
      </c>
      <c r="D747" s="236" t="s">
        <v>15757</v>
      </c>
      <c r="E747" s="15">
        <v>4176.8</v>
      </c>
      <c r="F747" s="237">
        <v>42892</v>
      </c>
      <c r="G747" s="15">
        <v>4176.8</v>
      </c>
      <c r="H747" s="15">
        <f t="shared" si="11"/>
        <v>0</v>
      </c>
      <c r="I747" s="236" t="s">
        <v>19682</v>
      </c>
    </row>
    <row r="748" spans="1:9" x14ac:dyDescent="0.25">
      <c r="A748" s="242">
        <v>42892</v>
      </c>
      <c r="B748" s="18">
        <v>114849</v>
      </c>
      <c r="C748" s="235" t="s">
        <v>19677</v>
      </c>
      <c r="D748" s="236" t="s">
        <v>15332</v>
      </c>
      <c r="E748" s="15">
        <v>3557.4</v>
      </c>
      <c r="F748" s="237">
        <v>42892</v>
      </c>
      <c r="G748" s="15">
        <v>3557.4</v>
      </c>
      <c r="H748" s="15">
        <f t="shared" si="11"/>
        <v>0</v>
      </c>
      <c r="I748" s="236" t="s">
        <v>19682</v>
      </c>
    </row>
    <row r="749" spans="1:9" x14ac:dyDescent="0.25">
      <c r="A749" s="36">
        <v>42892</v>
      </c>
      <c r="B749" s="18">
        <v>114850</v>
      </c>
      <c r="C749" s="235" t="s">
        <v>19677</v>
      </c>
      <c r="D749" s="236" t="s">
        <v>15356</v>
      </c>
      <c r="E749" s="15">
        <v>1136.8</v>
      </c>
      <c r="F749" s="237">
        <v>42892</v>
      </c>
      <c r="G749" s="15">
        <v>1136.8</v>
      </c>
      <c r="H749" s="15">
        <f t="shared" si="11"/>
        <v>0</v>
      </c>
      <c r="I749" s="236" t="s">
        <v>19682</v>
      </c>
    </row>
    <row r="750" spans="1:9" x14ac:dyDescent="0.25">
      <c r="A750" s="242">
        <v>42892</v>
      </c>
      <c r="B750" s="18">
        <v>114851</v>
      </c>
      <c r="C750" s="235" t="s">
        <v>19677</v>
      </c>
      <c r="D750" s="236" t="s">
        <v>15858</v>
      </c>
      <c r="E750" s="15">
        <v>2270.42</v>
      </c>
      <c r="F750" s="237">
        <v>42892</v>
      </c>
      <c r="G750" s="15">
        <v>2270.42</v>
      </c>
      <c r="H750" s="15">
        <f t="shared" si="11"/>
        <v>0</v>
      </c>
      <c r="I750" s="236" t="s">
        <v>19682</v>
      </c>
    </row>
    <row r="751" spans="1:9" x14ac:dyDescent="0.25">
      <c r="A751" s="36">
        <v>42892</v>
      </c>
      <c r="B751" s="18">
        <v>114852</v>
      </c>
      <c r="C751" s="235" t="s">
        <v>19677</v>
      </c>
      <c r="D751" s="236" t="s">
        <v>15350</v>
      </c>
      <c r="E751" s="15">
        <v>1246.5999999999999</v>
      </c>
      <c r="F751" s="237">
        <v>42892</v>
      </c>
      <c r="G751" s="15">
        <v>1246.5999999999999</v>
      </c>
      <c r="H751" s="15">
        <f t="shared" si="11"/>
        <v>0</v>
      </c>
      <c r="I751" s="236" t="s">
        <v>19682</v>
      </c>
    </row>
    <row r="752" spans="1:9" x14ac:dyDescent="0.25">
      <c r="A752" s="242">
        <v>42892</v>
      </c>
      <c r="B752" s="18">
        <v>114853</v>
      </c>
      <c r="C752" s="235" t="s">
        <v>19677</v>
      </c>
      <c r="D752" s="236" t="s">
        <v>15334</v>
      </c>
      <c r="E752" s="15">
        <v>1849.2</v>
      </c>
      <c r="F752" s="237">
        <v>42892</v>
      </c>
      <c r="G752" s="15">
        <v>1849.2</v>
      </c>
      <c r="H752" s="15">
        <f t="shared" si="11"/>
        <v>0</v>
      </c>
      <c r="I752" s="236" t="s">
        <v>19682</v>
      </c>
    </row>
    <row r="753" spans="1:9" x14ac:dyDescent="0.25">
      <c r="A753" s="36">
        <v>42892</v>
      </c>
      <c r="B753" s="18">
        <v>114854</v>
      </c>
      <c r="C753" s="235" t="s">
        <v>19677</v>
      </c>
      <c r="D753" s="236" t="s">
        <v>15334</v>
      </c>
      <c r="E753" s="15">
        <v>110</v>
      </c>
      <c r="F753" s="237">
        <v>42892</v>
      </c>
      <c r="G753" s="15">
        <v>110</v>
      </c>
      <c r="H753" s="15">
        <f t="shared" si="11"/>
        <v>0</v>
      </c>
      <c r="I753" s="236" t="s">
        <v>19682</v>
      </c>
    </row>
    <row r="754" spans="1:9" x14ac:dyDescent="0.25">
      <c r="A754" s="242">
        <v>42892</v>
      </c>
      <c r="B754" s="18">
        <v>114855</v>
      </c>
      <c r="C754" s="235" t="s">
        <v>19677</v>
      </c>
      <c r="D754" s="236" t="s">
        <v>15315</v>
      </c>
      <c r="E754" s="15">
        <v>2304.6</v>
      </c>
      <c r="F754" s="237">
        <v>42892</v>
      </c>
      <c r="G754" s="15">
        <v>2304.6</v>
      </c>
      <c r="H754" s="15">
        <f t="shared" si="11"/>
        <v>0</v>
      </c>
      <c r="I754" s="236" t="s">
        <v>19682</v>
      </c>
    </row>
    <row r="755" spans="1:9" x14ac:dyDescent="0.25">
      <c r="A755" s="36">
        <v>42892</v>
      </c>
      <c r="B755" s="18">
        <v>114856</v>
      </c>
      <c r="C755" s="235" t="s">
        <v>19677</v>
      </c>
      <c r="D755" s="236" t="s">
        <v>15526</v>
      </c>
      <c r="E755" s="15">
        <v>2307.6999999999998</v>
      </c>
      <c r="F755" s="237">
        <v>42892</v>
      </c>
      <c r="G755" s="15">
        <v>2307.6999999999998</v>
      </c>
      <c r="H755" s="15">
        <f t="shared" si="11"/>
        <v>0</v>
      </c>
      <c r="I755" s="236" t="s">
        <v>19682</v>
      </c>
    </row>
    <row r="756" spans="1:9" x14ac:dyDescent="0.25">
      <c r="A756" s="242">
        <v>42892</v>
      </c>
      <c r="B756" s="18">
        <v>114857</v>
      </c>
      <c r="C756" s="235" t="s">
        <v>19677</v>
      </c>
      <c r="D756" s="236" t="s">
        <v>15396</v>
      </c>
      <c r="E756" s="15">
        <v>3793.5</v>
      </c>
      <c r="F756" s="237">
        <v>42892</v>
      </c>
      <c r="G756" s="15">
        <v>3793.5</v>
      </c>
      <c r="H756" s="15">
        <f t="shared" si="11"/>
        <v>0</v>
      </c>
      <c r="I756" s="236" t="s">
        <v>19682</v>
      </c>
    </row>
    <row r="757" spans="1:9" x14ac:dyDescent="0.25">
      <c r="A757" s="36">
        <v>42892</v>
      </c>
      <c r="B757" s="18">
        <v>114858</v>
      </c>
      <c r="C757" s="235" t="s">
        <v>19677</v>
      </c>
      <c r="D757" s="236" t="s">
        <v>18544</v>
      </c>
      <c r="E757" s="15">
        <v>8299.2000000000007</v>
      </c>
      <c r="F757" s="237">
        <v>42892</v>
      </c>
      <c r="G757" s="15">
        <v>8299.2000000000007</v>
      </c>
      <c r="H757" s="15">
        <f t="shared" si="11"/>
        <v>0</v>
      </c>
      <c r="I757" s="236" t="s">
        <v>19682</v>
      </c>
    </row>
    <row r="758" spans="1:9" x14ac:dyDescent="0.25">
      <c r="A758" s="242">
        <v>42892</v>
      </c>
      <c r="B758" s="18">
        <v>114859</v>
      </c>
      <c r="C758" s="235" t="s">
        <v>19677</v>
      </c>
      <c r="D758" s="236" t="s">
        <v>15326</v>
      </c>
      <c r="E758" s="15">
        <v>2328.9</v>
      </c>
      <c r="F758" s="237">
        <v>42892</v>
      </c>
      <c r="G758" s="15">
        <v>2328.9</v>
      </c>
      <c r="H758" s="15">
        <f t="shared" si="11"/>
        <v>0</v>
      </c>
      <c r="I758" s="236" t="s">
        <v>19682</v>
      </c>
    </row>
    <row r="759" spans="1:9" x14ac:dyDescent="0.25">
      <c r="A759" s="36">
        <v>42892</v>
      </c>
      <c r="B759" s="18">
        <v>114860</v>
      </c>
      <c r="C759" s="235" t="s">
        <v>19677</v>
      </c>
      <c r="D759" s="236" t="s">
        <v>15326</v>
      </c>
      <c r="E759" s="15">
        <v>3872</v>
      </c>
      <c r="F759" s="237">
        <v>42892</v>
      </c>
      <c r="G759" s="15">
        <v>3872</v>
      </c>
      <c r="H759" s="15">
        <f t="shared" si="11"/>
        <v>0</v>
      </c>
      <c r="I759" s="236" t="s">
        <v>19682</v>
      </c>
    </row>
    <row r="760" spans="1:9" x14ac:dyDescent="0.25">
      <c r="A760" s="242">
        <v>42892</v>
      </c>
      <c r="B760" s="18">
        <v>114861</v>
      </c>
      <c r="C760" s="235" t="s">
        <v>19677</v>
      </c>
      <c r="D760" s="236" t="s">
        <v>15566</v>
      </c>
      <c r="E760" s="15">
        <v>3196.2</v>
      </c>
      <c r="F760" s="237">
        <v>42892</v>
      </c>
      <c r="G760" s="15">
        <v>3196.2</v>
      </c>
      <c r="H760" s="15">
        <f t="shared" si="11"/>
        <v>0</v>
      </c>
      <c r="I760" s="236" t="s">
        <v>19682</v>
      </c>
    </row>
    <row r="761" spans="1:9" x14ac:dyDescent="0.25">
      <c r="A761" s="36">
        <v>42892</v>
      </c>
      <c r="B761" s="18">
        <v>114862</v>
      </c>
      <c r="C761" s="235" t="s">
        <v>19677</v>
      </c>
      <c r="D761" s="236" t="s">
        <v>15566</v>
      </c>
      <c r="E761" s="15">
        <v>120</v>
      </c>
      <c r="F761" s="237">
        <v>42892</v>
      </c>
      <c r="G761" s="15">
        <v>120</v>
      </c>
      <c r="H761" s="15">
        <f t="shared" si="11"/>
        <v>0</v>
      </c>
      <c r="I761" s="236" t="s">
        <v>19682</v>
      </c>
    </row>
    <row r="762" spans="1:9" x14ac:dyDescent="0.25">
      <c r="A762" s="242">
        <v>42892</v>
      </c>
      <c r="B762" s="18">
        <v>114863</v>
      </c>
      <c r="C762" s="235" t="s">
        <v>19677</v>
      </c>
      <c r="D762" s="236" t="s">
        <v>15328</v>
      </c>
      <c r="E762" s="15">
        <v>39602.699999999997</v>
      </c>
      <c r="F762" s="237">
        <v>42902</v>
      </c>
      <c r="G762" s="15">
        <v>39602.699999999997</v>
      </c>
      <c r="H762" s="15">
        <f t="shared" si="11"/>
        <v>0</v>
      </c>
      <c r="I762" s="236" t="s">
        <v>19682</v>
      </c>
    </row>
    <row r="763" spans="1:9" x14ac:dyDescent="0.25">
      <c r="A763" s="36">
        <v>42892</v>
      </c>
      <c r="B763" s="18">
        <v>114864</v>
      </c>
      <c r="C763" s="235" t="s">
        <v>19677</v>
      </c>
      <c r="D763" s="236" t="s">
        <v>15213</v>
      </c>
      <c r="E763" s="15">
        <v>6452</v>
      </c>
      <c r="F763" s="237">
        <v>42893</v>
      </c>
      <c r="G763" s="15">
        <v>6452</v>
      </c>
      <c r="H763" s="15">
        <f t="shared" si="11"/>
        <v>0</v>
      </c>
      <c r="I763" s="236" t="s">
        <v>19682</v>
      </c>
    </row>
    <row r="764" spans="1:9" x14ac:dyDescent="0.25">
      <c r="A764" s="242">
        <v>42892</v>
      </c>
      <c r="B764" s="18">
        <v>114865</v>
      </c>
      <c r="C764" s="235" t="s">
        <v>19677</v>
      </c>
      <c r="D764" s="236" t="s">
        <v>15324</v>
      </c>
      <c r="E764" s="15">
        <v>2360</v>
      </c>
      <c r="F764" s="237">
        <v>42892</v>
      </c>
      <c r="G764" s="15">
        <v>2360</v>
      </c>
      <c r="H764" s="15">
        <f t="shared" si="11"/>
        <v>0</v>
      </c>
      <c r="I764" s="236" t="s">
        <v>19682</v>
      </c>
    </row>
    <row r="765" spans="1:9" x14ac:dyDescent="0.25">
      <c r="A765" s="36">
        <v>42892</v>
      </c>
      <c r="B765" s="18">
        <v>114866</v>
      </c>
      <c r="C765" s="235" t="s">
        <v>19677</v>
      </c>
      <c r="D765" s="236" t="s">
        <v>15716</v>
      </c>
      <c r="E765" s="15">
        <v>6282.9</v>
      </c>
      <c r="F765" s="237">
        <v>42892</v>
      </c>
      <c r="G765" s="15">
        <v>6282.9</v>
      </c>
      <c r="H765" s="15">
        <f t="shared" si="11"/>
        <v>0</v>
      </c>
      <c r="I765" s="236" t="s">
        <v>19682</v>
      </c>
    </row>
    <row r="766" spans="1:9" x14ac:dyDescent="0.25">
      <c r="A766" s="242">
        <v>42892</v>
      </c>
      <c r="B766" s="18">
        <v>114867</v>
      </c>
      <c r="C766" s="235" t="s">
        <v>19677</v>
      </c>
      <c r="D766" s="236" t="s">
        <v>15423</v>
      </c>
      <c r="E766" s="15">
        <v>1218</v>
      </c>
      <c r="F766" s="237">
        <v>42892</v>
      </c>
      <c r="G766" s="15">
        <v>1218</v>
      </c>
      <c r="H766" s="15">
        <f t="shared" si="11"/>
        <v>0</v>
      </c>
      <c r="I766" s="236" t="s">
        <v>19682</v>
      </c>
    </row>
    <row r="767" spans="1:9" x14ac:dyDescent="0.25">
      <c r="A767" s="36">
        <v>42892</v>
      </c>
      <c r="B767" s="18">
        <v>114868</v>
      </c>
      <c r="C767" s="235" t="s">
        <v>19677</v>
      </c>
      <c r="D767" s="236" t="s">
        <v>16093</v>
      </c>
      <c r="E767" s="15">
        <v>3376.1</v>
      </c>
      <c r="F767" s="237">
        <v>42892</v>
      </c>
      <c r="G767" s="15">
        <v>3376.1</v>
      </c>
      <c r="H767" s="15">
        <f t="shared" si="11"/>
        <v>0</v>
      </c>
      <c r="I767" s="236" t="s">
        <v>19682</v>
      </c>
    </row>
    <row r="768" spans="1:9" x14ac:dyDescent="0.25">
      <c r="A768" s="242">
        <v>42892</v>
      </c>
      <c r="B768" s="18">
        <v>114869</v>
      </c>
      <c r="C768" s="235" t="s">
        <v>19677</v>
      </c>
      <c r="D768" s="236" t="s">
        <v>15315</v>
      </c>
      <c r="E768" s="15">
        <v>117.6</v>
      </c>
      <c r="F768" s="237">
        <v>42892</v>
      </c>
      <c r="G768" s="15">
        <v>117.6</v>
      </c>
      <c r="H768" s="15">
        <f t="shared" si="11"/>
        <v>0</v>
      </c>
      <c r="I768" s="236" t="s">
        <v>19682</v>
      </c>
    </row>
    <row r="769" spans="1:9" x14ac:dyDescent="0.25">
      <c r="A769" s="36">
        <v>42892</v>
      </c>
      <c r="B769" s="18">
        <v>114870</v>
      </c>
      <c r="C769" s="235" t="s">
        <v>19677</v>
      </c>
      <c r="D769" s="236" t="s">
        <v>15254</v>
      </c>
      <c r="E769" s="15">
        <v>7680.6</v>
      </c>
      <c r="F769" s="237">
        <v>42894</v>
      </c>
      <c r="G769" s="15">
        <v>7680.6</v>
      </c>
      <c r="H769" s="15">
        <f t="shared" si="11"/>
        <v>0</v>
      </c>
      <c r="I769" s="236" t="s">
        <v>19682</v>
      </c>
    </row>
    <row r="770" spans="1:9" x14ac:dyDescent="0.25">
      <c r="A770" s="242">
        <v>42892</v>
      </c>
      <c r="B770" s="18">
        <v>114871</v>
      </c>
      <c r="C770" s="235" t="s">
        <v>19677</v>
      </c>
      <c r="D770" s="236" t="s">
        <v>15541</v>
      </c>
      <c r="E770" s="15">
        <v>922.95</v>
      </c>
      <c r="F770" s="237">
        <v>42892</v>
      </c>
      <c r="G770" s="15">
        <v>922.95</v>
      </c>
      <c r="H770" s="15">
        <f t="shared" ref="H770:H833" si="12">E770-G770</f>
        <v>0</v>
      </c>
      <c r="I770" s="236" t="s">
        <v>19682</v>
      </c>
    </row>
    <row r="771" spans="1:9" x14ac:dyDescent="0.25">
      <c r="A771" s="36">
        <v>42892</v>
      </c>
      <c r="B771" s="18">
        <v>114872</v>
      </c>
      <c r="C771" s="235" t="s">
        <v>19677</v>
      </c>
      <c r="D771" s="236" t="s">
        <v>15246</v>
      </c>
      <c r="E771" s="15">
        <v>60674.239999999998</v>
      </c>
      <c r="F771" s="237">
        <v>42894</v>
      </c>
      <c r="G771" s="15">
        <v>60674.239999999998</v>
      </c>
      <c r="H771" s="15">
        <f t="shared" si="12"/>
        <v>0</v>
      </c>
      <c r="I771" s="236" t="s">
        <v>19682</v>
      </c>
    </row>
    <row r="772" spans="1:9" ht="30" x14ac:dyDescent="0.25">
      <c r="A772" s="242">
        <v>42892</v>
      </c>
      <c r="B772" s="18">
        <v>114873</v>
      </c>
      <c r="C772" s="235" t="s">
        <v>19677</v>
      </c>
      <c r="D772" s="236" t="s">
        <v>15246</v>
      </c>
      <c r="E772" s="15">
        <v>157499.6</v>
      </c>
      <c r="F772" s="237" t="s">
        <v>19702</v>
      </c>
      <c r="G772" s="15">
        <f>60940.8+96558.8</f>
        <v>157499.6</v>
      </c>
      <c r="H772" s="241">
        <f t="shared" si="12"/>
        <v>0</v>
      </c>
      <c r="I772" s="236" t="s">
        <v>19682</v>
      </c>
    </row>
    <row r="773" spans="1:9" x14ac:dyDescent="0.25">
      <c r="A773" s="36">
        <v>42892</v>
      </c>
      <c r="B773" s="18">
        <v>114874</v>
      </c>
      <c r="C773" s="235" t="s">
        <v>19677</v>
      </c>
      <c r="D773" s="236" t="s">
        <v>15298</v>
      </c>
      <c r="E773" s="15">
        <v>3298.4</v>
      </c>
      <c r="F773" s="237">
        <v>42892</v>
      </c>
      <c r="G773" s="15">
        <v>3298.4</v>
      </c>
      <c r="H773" s="15">
        <f t="shared" si="12"/>
        <v>0</v>
      </c>
      <c r="I773" s="236" t="s">
        <v>19682</v>
      </c>
    </row>
    <row r="774" spans="1:9" x14ac:dyDescent="0.25">
      <c r="A774" s="242">
        <v>42892</v>
      </c>
      <c r="B774" s="18">
        <v>114875</v>
      </c>
      <c r="C774" s="235" t="s">
        <v>19677</v>
      </c>
      <c r="D774" s="236" t="s">
        <v>16522</v>
      </c>
      <c r="E774" s="15">
        <v>3920</v>
      </c>
      <c r="F774" s="293">
        <v>42952</v>
      </c>
      <c r="G774" s="107">
        <v>3920</v>
      </c>
      <c r="H774" s="15">
        <f t="shared" si="12"/>
        <v>0</v>
      </c>
      <c r="I774" s="236" t="s">
        <v>19682</v>
      </c>
    </row>
    <row r="775" spans="1:9" x14ac:dyDescent="0.25">
      <c r="A775" s="36">
        <v>42892</v>
      </c>
      <c r="B775" s="18">
        <v>114876</v>
      </c>
      <c r="C775" s="235" t="s">
        <v>19677</v>
      </c>
      <c r="D775" s="236" t="s">
        <v>15890</v>
      </c>
      <c r="E775" s="15">
        <v>11847.6</v>
      </c>
      <c r="F775" s="237">
        <v>42899</v>
      </c>
      <c r="G775" s="15">
        <v>11847.6</v>
      </c>
      <c r="H775" s="15">
        <f t="shared" si="12"/>
        <v>0</v>
      </c>
      <c r="I775" s="236" t="s">
        <v>19682</v>
      </c>
    </row>
    <row r="776" spans="1:9" x14ac:dyDescent="0.25">
      <c r="A776" s="242">
        <v>42892</v>
      </c>
      <c r="B776" s="18">
        <v>114877</v>
      </c>
      <c r="C776" s="235" t="s">
        <v>19677</v>
      </c>
      <c r="D776" s="236" t="s">
        <v>15628</v>
      </c>
      <c r="E776" s="15">
        <v>4107.2</v>
      </c>
      <c r="F776" s="237">
        <v>42892</v>
      </c>
      <c r="G776" s="15">
        <v>4107.2</v>
      </c>
      <c r="H776" s="15">
        <f t="shared" si="12"/>
        <v>0</v>
      </c>
      <c r="I776" s="236" t="s">
        <v>19682</v>
      </c>
    </row>
    <row r="777" spans="1:9" x14ac:dyDescent="0.25">
      <c r="A777" s="36">
        <v>42892</v>
      </c>
      <c r="B777" s="18">
        <v>114878</v>
      </c>
      <c r="C777" s="235" t="s">
        <v>19677</v>
      </c>
      <c r="D777" s="236" t="s">
        <v>15254</v>
      </c>
      <c r="E777" s="15">
        <v>3600</v>
      </c>
      <c r="F777" s="237">
        <v>42894</v>
      </c>
      <c r="G777" s="15">
        <v>3600</v>
      </c>
      <c r="H777" s="15">
        <f t="shared" si="12"/>
        <v>0</v>
      </c>
      <c r="I777" s="236" t="s">
        <v>19682</v>
      </c>
    </row>
    <row r="778" spans="1:9" x14ac:dyDescent="0.25">
      <c r="A778" s="242">
        <v>42892</v>
      </c>
      <c r="B778" s="18">
        <v>114879</v>
      </c>
      <c r="C778" s="235" t="s">
        <v>19677</v>
      </c>
      <c r="D778" s="236" t="s">
        <v>15322</v>
      </c>
      <c r="E778" s="15">
        <v>1075.2</v>
      </c>
      <c r="F778" s="237">
        <v>42892</v>
      </c>
      <c r="G778" s="15">
        <v>1075.2</v>
      </c>
      <c r="H778" s="15">
        <f t="shared" si="12"/>
        <v>0</v>
      </c>
      <c r="I778" s="236" t="s">
        <v>19682</v>
      </c>
    </row>
    <row r="779" spans="1:9" x14ac:dyDescent="0.25">
      <c r="A779" s="36">
        <v>42892</v>
      </c>
      <c r="B779" s="18">
        <v>114880</v>
      </c>
      <c r="C779" s="235" t="s">
        <v>19677</v>
      </c>
      <c r="D779" s="236" t="s">
        <v>15315</v>
      </c>
      <c r="E779" s="15">
        <v>3602.8</v>
      </c>
      <c r="F779" s="237">
        <v>42892</v>
      </c>
      <c r="G779" s="15">
        <v>3602.8</v>
      </c>
      <c r="H779" s="15">
        <f t="shared" si="12"/>
        <v>0</v>
      </c>
      <c r="I779" s="236" t="s">
        <v>19682</v>
      </c>
    </row>
    <row r="780" spans="1:9" x14ac:dyDescent="0.25">
      <c r="A780" s="242">
        <v>42892</v>
      </c>
      <c r="B780" s="18">
        <v>114881</v>
      </c>
      <c r="C780" s="235" t="s">
        <v>19677</v>
      </c>
      <c r="D780" s="236" t="s">
        <v>15315</v>
      </c>
      <c r="E780" s="15">
        <v>1475</v>
      </c>
      <c r="F780" s="237">
        <v>42892</v>
      </c>
      <c r="G780" s="15">
        <v>1475</v>
      </c>
      <c r="H780" s="15">
        <f t="shared" si="12"/>
        <v>0</v>
      </c>
      <c r="I780" s="236" t="s">
        <v>19682</v>
      </c>
    </row>
    <row r="781" spans="1:9" x14ac:dyDescent="0.25">
      <c r="A781" s="36">
        <v>42892</v>
      </c>
      <c r="B781" s="18">
        <v>114882</v>
      </c>
      <c r="C781" s="235" t="s">
        <v>19677</v>
      </c>
      <c r="D781" s="236" t="s">
        <v>15315</v>
      </c>
      <c r="E781" s="15">
        <v>962</v>
      </c>
      <c r="F781" s="237">
        <v>42892</v>
      </c>
      <c r="G781" s="15">
        <v>962</v>
      </c>
      <c r="H781" s="15">
        <f t="shared" si="12"/>
        <v>0</v>
      </c>
      <c r="I781" s="236" t="s">
        <v>19682</v>
      </c>
    </row>
    <row r="782" spans="1:9" x14ac:dyDescent="0.25">
      <c r="A782" s="242">
        <v>42892</v>
      </c>
      <c r="B782" s="18">
        <v>114883</v>
      </c>
      <c r="C782" s="235" t="s">
        <v>19677</v>
      </c>
      <c r="D782" s="236" t="s">
        <v>15284</v>
      </c>
      <c r="E782" s="15">
        <v>992.74</v>
      </c>
      <c r="F782" s="237">
        <v>42892</v>
      </c>
      <c r="G782" s="15">
        <v>992.74</v>
      </c>
      <c r="H782" s="15">
        <f t="shared" si="12"/>
        <v>0</v>
      </c>
      <c r="I782" s="236" t="s">
        <v>19682</v>
      </c>
    </row>
    <row r="783" spans="1:9" x14ac:dyDescent="0.25">
      <c r="A783" s="36">
        <v>42892</v>
      </c>
      <c r="B783" s="18">
        <v>114884</v>
      </c>
      <c r="C783" s="235" t="s">
        <v>19677</v>
      </c>
      <c r="D783" s="236" t="s">
        <v>15433</v>
      </c>
      <c r="E783" s="15">
        <v>1048.8</v>
      </c>
      <c r="F783" s="237">
        <v>42892</v>
      </c>
      <c r="G783" s="15">
        <v>1048.8</v>
      </c>
      <c r="H783" s="15">
        <f t="shared" si="12"/>
        <v>0</v>
      </c>
      <c r="I783" s="236" t="s">
        <v>19682</v>
      </c>
    </row>
    <row r="784" spans="1:9" x14ac:dyDescent="0.25">
      <c r="A784" s="242">
        <v>42892</v>
      </c>
      <c r="B784" s="18">
        <v>114885</v>
      </c>
      <c r="C784" s="235" t="s">
        <v>19677</v>
      </c>
      <c r="D784" s="236" t="s">
        <v>15590</v>
      </c>
      <c r="E784" s="15">
        <v>20433.599999999999</v>
      </c>
      <c r="F784" s="237">
        <v>42898</v>
      </c>
      <c r="G784" s="15">
        <v>20433.599999999999</v>
      </c>
      <c r="H784" s="15">
        <f t="shared" si="12"/>
        <v>0</v>
      </c>
      <c r="I784" s="236" t="s">
        <v>19682</v>
      </c>
    </row>
    <row r="785" spans="1:9" x14ac:dyDescent="0.25">
      <c r="A785" s="36">
        <v>42892</v>
      </c>
      <c r="B785" s="18">
        <v>114886</v>
      </c>
      <c r="C785" s="235" t="s">
        <v>19677</v>
      </c>
      <c r="D785" s="236" t="s">
        <v>15590</v>
      </c>
      <c r="E785" s="15">
        <v>3910.2</v>
      </c>
      <c r="F785" s="237">
        <v>42898</v>
      </c>
      <c r="G785" s="15">
        <v>3910.2</v>
      </c>
      <c r="H785" s="15">
        <f t="shared" si="12"/>
        <v>0</v>
      </c>
      <c r="I785" s="236" t="s">
        <v>19682</v>
      </c>
    </row>
    <row r="786" spans="1:9" x14ac:dyDescent="0.25">
      <c r="A786" s="242">
        <v>42892</v>
      </c>
      <c r="B786" s="18">
        <v>114887</v>
      </c>
      <c r="C786" s="235" t="s">
        <v>19677</v>
      </c>
      <c r="D786" s="236" t="s">
        <v>15284</v>
      </c>
      <c r="E786" s="15">
        <v>266.8</v>
      </c>
      <c r="F786" s="237">
        <v>42892</v>
      </c>
      <c r="G786" s="15">
        <v>266.8</v>
      </c>
      <c r="H786" s="15">
        <f t="shared" si="12"/>
        <v>0</v>
      </c>
      <c r="I786" s="236" t="s">
        <v>19682</v>
      </c>
    </row>
    <row r="787" spans="1:9" x14ac:dyDescent="0.25">
      <c r="A787" s="36">
        <v>42892</v>
      </c>
      <c r="B787" s="18">
        <v>114888</v>
      </c>
      <c r="C787" s="235" t="s">
        <v>19677</v>
      </c>
      <c r="D787" s="236" t="s">
        <v>15267</v>
      </c>
      <c r="E787" s="15">
        <v>1180</v>
      </c>
      <c r="F787" s="237">
        <v>42893</v>
      </c>
      <c r="G787" s="15">
        <v>1180</v>
      </c>
      <c r="H787" s="15">
        <f t="shared" si="12"/>
        <v>0</v>
      </c>
      <c r="I787" s="236" t="s">
        <v>19682</v>
      </c>
    </row>
    <row r="788" spans="1:9" ht="15.75" x14ac:dyDescent="0.25">
      <c r="A788" s="242">
        <v>42892</v>
      </c>
      <c r="B788" s="18">
        <v>114889</v>
      </c>
      <c r="C788" s="235" t="s">
        <v>19677</v>
      </c>
      <c r="D788" s="239" t="s">
        <v>95</v>
      </c>
      <c r="E788" s="15">
        <v>0</v>
      </c>
      <c r="F788" s="243" t="s">
        <v>95</v>
      </c>
      <c r="G788" s="15">
        <v>0</v>
      </c>
      <c r="H788" s="15">
        <f t="shared" si="12"/>
        <v>0</v>
      </c>
      <c r="I788" s="236" t="s">
        <v>19678</v>
      </c>
    </row>
    <row r="789" spans="1:9" x14ac:dyDescent="0.25">
      <c r="A789" s="36">
        <v>42892</v>
      </c>
      <c r="B789" s="18">
        <v>114890</v>
      </c>
      <c r="C789" s="235" t="s">
        <v>19677</v>
      </c>
      <c r="D789" s="236" t="s">
        <v>15614</v>
      </c>
      <c r="E789" s="15">
        <v>4659.6000000000004</v>
      </c>
      <c r="F789" s="237">
        <v>42899</v>
      </c>
      <c r="G789" s="15">
        <v>4659.6000000000004</v>
      </c>
      <c r="H789" s="15">
        <f t="shared" si="12"/>
        <v>0</v>
      </c>
      <c r="I789" s="236" t="s">
        <v>19682</v>
      </c>
    </row>
    <row r="790" spans="1:9" x14ac:dyDescent="0.25">
      <c r="A790" s="242">
        <v>42892</v>
      </c>
      <c r="B790" s="18">
        <v>114891</v>
      </c>
      <c r="C790" s="235" t="s">
        <v>19677</v>
      </c>
      <c r="D790" s="236" t="s">
        <v>15642</v>
      </c>
      <c r="E790" s="15">
        <v>4027.8</v>
      </c>
      <c r="F790" s="237">
        <v>42892</v>
      </c>
      <c r="G790" s="15">
        <v>4027.8</v>
      </c>
      <c r="H790" s="15">
        <f t="shared" si="12"/>
        <v>0</v>
      </c>
      <c r="I790" s="236" t="s">
        <v>19682</v>
      </c>
    </row>
    <row r="791" spans="1:9" x14ac:dyDescent="0.25">
      <c r="A791" s="36">
        <v>42892</v>
      </c>
      <c r="B791" s="18">
        <v>114892</v>
      </c>
      <c r="C791" s="235" t="s">
        <v>19677</v>
      </c>
      <c r="D791" s="236" t="s">
        <v>18076</v>
      </c>
      <c r="E791" s="15">
        <v>4499.7</v>
      </c>
      <c r="F791" s="237">
        <v>42892</v>
      </c>
      <c r="G791" s="15">
        <v>4499.7</v>
      </c>
      <c r="H791" s="15">
        <f t="shared" si="12"/>
        <v>0</v>
      </c>
      <c r="I791" s="236" t="s">
        <v>19682</v>
      </c>
    </row>
    <row r="792" spans="1:9" x14ac:dyDescent="0.25">
      <c r="A792" s="242">
        <v>42892</v>
      </c>
      <c r="B792" s="18">
        <v>114893</v>
      </c>
      <c r="C792" s="235" t="s">
        <v>19677</v>
      </c>
      <c r="D792" s="236" t="s">
        <v>15365</v>
      </c>
      <c r="E792" s="15">
        <v>270074</v>
      </c>
      <c r="F792" s="237">
        <v>42902</v>
      </c>
      <c r="G792" s="15">
        <v>270074</v>
      </c>
      <c r="H792" s="15">
        <f t="shared" si="12"/>
        <v>0</v>
      </c>
      <c r="I792" s="236" t="s">
        <v>19682</v>
      </c>
    </row>
    <row r="793" spans="1:9" x14ac:dyDescent="0.25">
      <c r="A793" s="36">
        <v>42922</v>
      </c>
      <c r="B793" s="18">
        <v>114894</v>
      </c>
      <c r="C793" s="235" t="s">
        <v>19677</v>
      </c>
      <c r="D793" s="236" t="s">
        <v>15435</v>
      </c>
      <c r="E793" s="15">
        <v>6997.2</v>
      </c>
      <c r="F793" s="237">
        <v>42892</v>
      </c>
      <c r="G793" s="15">
        <v>6997.2</v>
      </c>
      <c r="H793" s="15">
        <f t="shared" si="12"/>
        <v>0</v>
      </c>
      <c r="I793" s="236" t="s">
        <v>19682</v>
      </c>
    </row>
    <row r="794" spans="1:9" x14ac:dyDescent="0.25">
      <c r="A794" s="242">
        <v>42893</v>
      </c>
      <c r="B794" s="18">
        <v>114895</v>
      </c>
      <c r="C794" s="235" t="s">
        <v>19677</v>
      </c>
      <c r="D794" s="236" t="s">
        <v>15216</v>
      </c>
      <c r="E794" s="15">
        <v>1056</v>
      </c>
      <c r="F794" s="237">
        <v>42893</v>
      </c>
      <c r="G794" s="15">
        <v>1056</v>
      </c>
      <c r="H794" s="15">
        <f t="shared" si="12"/>
        <v>0</v>
      </c>
      <c r="I794" s="236" t="s">
        <v>19682</v>
      </c>
    </row>
    <row r="795" spans="1:9" x14ac:dyDescent="0.25">
      <c r="A795" s="36">
        <v>42893</v>
      </c>
      <c r="B795" s="18">
        <v>114896</v>
      </c>
      <c r="C795" s="235" t="s">
        <v>19677</v>
      </c>
      <c r="D795" s="236" t="s">
        <v>15213</v>
      </c>
      <c r="E795" s="15">
        <v>8497.6</v>
      </c>
      <c r="F795" s="237">
        <v>42893</v>
      </c>
      <c r="G795" s="15">
        <v>8497.6</v>
      </c>
      <c r="H795" s="15">
        <f t="shared" si="12"/>
        <v>0</v>
      </c>
      <c r="I795" s="236" t="s">
        <v>19682</v>
      </c>
    </row>
    <row r="796" spans="1:9" ht="15.75" x14ac:dyDescent="0.25">
      <c r="A796" s="242">
        <v>42893</v>
      </c>
      <c r="B796" s="18">
        <v>114897</v>
      </c>
      <c r="C796" s="235" t="s">
        <v>19677</v>
      </c>
      <c r="D796" s="248" t="s">
        <v>95</v>
      </c>
      <c r="E796" s="15">
        <v>0</v>
      </c>
      <c r="F796" s="243" t="s">
        <v>95</v>
      </c>
      <c r="G796" s="15">
        <v>0</v>
      </c>
      <c r="H796" s="15">
        <f t="shared" si="12"/>
        <v>0</v>
      </c>
      <c r="I796" s="236" t="s">
        <v>19678</v>
      </c>
    </row>
    <row r="797" spans="1:9" ht="15.75" x14ac:dyDescent="0.25">
      <c r="A797" s="36">
        <v>42893</v>
      </c>
      <c r="B797" s="18">
        <v>114898</v>
      </c>
      <c r="C797" s="235" t="s">
        <v>19677</v>
      </c>
      <c r="D797" s="248" t="s">
        <v>95</v>
      </c>
      <c r="E797" s="15">
        <v>0</v>
      </c>
      <c r="F797" s="243" t="s">
        <v>95</v>
      </c>
      <c r="G797" s="15">
        <v>0</v>
      </c>
      <c r="H797" s="15">
        <f t="shared" si="12"/>
        <v>0</v>
      </c>
      <c r="I797" s="236" t="s">
        <v>19678</v>
      </c>
    </row>
    <row r="798" spans="1:9" x14ac:dyDescent="0.25">
      <c r="A798" s="242">
        <v>42893</v>
      </c>
      <c r="B798" s="18">
        <v>114899</v>
      </c>
      <c r="C798" s="235" t="s">
        <v>19677</v>
      </c>
      <c r="D798" s="236" t="s">
        <v>15330</v>
      </c>
      <c r="E798" s="15">
        <v>3498.4</v>
      </c>
      <c r="F798" s="237">
        <v>42893</v>
      </c>
      <c r="G798" s="15">
        <v>3498.4</v>
      </c>
      <c r="H798" s="15">
        <f t="shared" si="12"/>
        <v>0</v>
      </c>
      <c r="I798" s="236" t="s">
        <v>19682</v>
      </c>
    </row>
    <row r="799" spans="1:9" x14ac:dyDescent="0.25">
      <c r="A799" s="36">
        <v>42893</v>
      </c>
      <c r="B799" s="18">
        <v>114900</v>
      </c>
      <c r="C799" s="235" t="s">
        <v>19677</v>
      </c>
      <c r="D799" s="236" t="s">
        <v>15213</v>
      </c>
      <c r="E799" s="15">
        <v>46339.8</v>
      </c>
      <c r="F799" s="237">
        <v>42894</v>
      </c>
      <c r="G799" s="15">
        <v>46339.8</v>
      </c>
      <c r="H799" s="15">
        <f t="shared" si="12"/>
        <v>0</v>
      </c>
      <c r="I799" s="236" t="s">
        <v>19682</v>
      </c>
    </row>
    <row r="800" spans="1:9" x14ac:dyDescent="0.25">
      <c r="A800" s="242">
        <v>42893</v>
      </c>
      <c r="B800" s="18">
        <v>114901</v>
      </c>
      <c r="C800" s="235" t="s">
        <v>19677</v>
      </c>
      <c r="D800" s="236" t="s">
        <v>15246</v>
      </c>
      <c r="E800" s="15">
        <v>32213.9</v>
      </c>
      <c r="F800" s="237">
        <v>42894</v>
      </c>
      <c r="G800" s="15">
        <v>32213.9</v>
      </c>
      <c r="H800" s="15">
        <f t="shared" si="12"/>
        <v>0</v>
      </c>
      <c r="I800" s="236" t="s">
        <v>19682</v>
      </c>
    </row>
    <row r="801" spans="1:9" x14ac:dyDescent="0.25">
      <c r="A801" s="36">
        <v>42893</v>
      </c>
      <c r="B801" s="18">
        <v>114902</v>
      </c>
      <c r="C801" s="235" t="s">
        <v>19677</v>
      </c>
      <c r="D801" s="236" t="s">
        <v>15240</v>
      </c>
      <c r="E801" s="15">
        <v>3476.9</v>
      </c>
      <c r="F801" s="237">
        <v>42896</v>
      </c>
      <c r="G801" s="15">
        <v>3476.9</v>
      </c>
      <c r="H801" s="15">
        <f t="shared" si="12"/>
        <v>0</v>
      </c>
      <c r="I801" s="236" t="s">
        <v>19682</v>
      </c>
    </row>
    <row r="802" spans="1:9" x14ac:dyDescent="0.25">
      <c r="A802" s="242">
        <v>42893</v>
      </c>
      <c r="B802" s="18">
        <v>114903</v>
      </c>
      <c r="C802" s="235" t="s">
        <v>19677</v>
      </c>
      <c r="D802" s="236" t="s">
        <v>15487</v>
      </c>
      <c r="E802" s="15">
        <v>1568</v>
      </c>
      <c r="F802" s="237">
        <v>42893</v>
      </c>
      <c r="G802" s="15">
        <v>1568</v>
      </c>
      <c r="H802" s="15">
        <f t="shared" si="12"/>
        <v>0</v>
      </c>
      <c r="I802" s="236" t="s">
        <v>19682</v>
      </c>
    </row>
    <row r="803" spans="1:9" x14ac:dyDescent="0.25">
      <c r="A803" s="36">
        <v>42893</v>
      </c>
      <c r="B803" s="18">
        <v>114904</v>
      </c>
      <c r="C803" s="235" t="s">
        <v>19677</v>
      </c>
      <c r="D803" s="236" t="s">
        <v>15348</v>
      </c>
      <c r="E803" s="15">
        <v>891.8</v>
      </c>
      <c r="F803" s="237">
        <v>42894</v>
      </c>
      <c r="G803" s="15">
        <v>891.8</v>
      </c>
      <c r="H803" s="15">
        <f t="shared" si="12"/>
        <v>0</v>
      </c>
      <c r="I803" s="236" t="s">
        <v>19682</v>
      </c>
    </row>
    <row r="804" spans="1:9" x14ac:dyDescent="0.25">
      <c r="A804" s="242">
        <v>42893</v>
      </c>
      <c r="B804" s="18">
        <v>114905</v>
      </c>
      <c r="C804" s="235" t="s">
        <v>19677</v>
      </c>
      <c r="D804" s="236" t="s">
        <v>15541</v>
      </c>
      <c r="E804" s="15">
        <v>468</v>
      </c>
      <c r="F804" s="237">
        <v>42893</v>
      </c>
      <c r="G804" s="15">
        <v>468</v>
      </c>
      <c r="H804" s="15">
        <f t="shared" si="12"/>
        <v>0</v>
      </c>
      <c r="I804" s="236" t="s">
        <v>19682</v>
      </c>
    </row>
    <row r="805" spans="1:9" x14ac:dyDescent="0.25">
      <c r="A805" s="36">
        <v>42893</v>
      </c>
      <c r="B805" s="18">
        <v>114906</v>
      </c>
      <c r="C805" s="235" t="s">
        <v>19677</v>
      </c>
      <c r="D805" s="236" t="s">
        <v>15244</v>
      </c>
      <c r="E805" s="15">
        <v>8938.9</v>
      </c>
      <c r="F805" s="237">
        <v>42900</v>
      </c>
      <c r="G805" s="15">
        <v>8938.9</v>
      </c>
      <c r="H805" s="15">
        <f t="shared" si="12"/>
        <v>0</v>
      </c>
      <c r="I805" s="236" t="s">
        <v>19682</v>
      </c>
    </row>
    <row r="806" spans="1:9" x14ac:dyDescent="0.25">
      <c r="A806" s="242">
        <v>42893</v>
      </c>
      <c r="B806" s="18">
        <v>114907</v>
      </c>
      <c r="C806" s="235" t="s">
        <v>19677</v>
      </c>
      <c r="D806" s="236" t="s">
        <v>15242</v>
      </c>
      <c r="E806" s="15">
        <v>13760</v>
      </c>
      <c r="F806" s="237">
        <v>42893</v>
      </c>
      <c r="G806" s="15">
        <v>13760</v>
      </c>
      <c r="H806" s="15">
        <f t="shared" si="12"/>
        <v>0</v>
      </c>
      <c r="I806" s="236" t="s">
        <v>19682</v>
      </c>
    </row>
    <row r="807" spans="1:9" x14ac:dyDescent="0.25">
      <c r="A807" s="36">
        <v>42893</v>
      </c>
      <c r="B807" s="18">
        <v>114908</v>
      </c>
      <c r="C807" s="235" t="s">
        <v>19677</v>
      </c>
      <c r="D807" s="236" t="s">
        <v>15230</v>
      </c>
      <c r="E807" s="15">
        <v>10848.6</v>
      </c>
      <c r="F807" s="237">
        <v>42899</v>
      </c>
      <c r="G807" s="15">
        <v>10848.6</v>
      </c>
      <c r="H807" s="15">
        <f t="shared" si="12"/>
        <v>0</v>
      </c>
      <c r="I807" s="236" t="s">
        <v>19682</v>
      </c>
    </row>
    <row r="808" spans="1:9" x14ac:dyDescent="0.25">
      <c r="A808" s="242">
        <v>42893</v>
      </c>
      <c r="B808" s="18">
        <v>114909</v>
      </c>
      <c r="C808" s="235" t="s">
        <v>19677</v>
      </c>
      <c r="D808" s="236" t="s">
        <v>15232</v>
      </c>
      <c r="E808" s="15">
        <v>6024</v>
      </c>
      <c r="F808" s="237">
        <v>42901</v>
      </c>
      <c r="G808" s="15">
        <v>6024</v>
      </c>
      <c r="H808" s="15">
        <f t="shared" si="12"/>
        <v>0</v>
      </c>
      <c r="I808" s="236" t="s">
        <v>19682</v>
      </c>
    </row>
    <row r="809" spans="1:9" x14ac:dyDescent="0.25">
      <c r="A809" s="36">
        <v>42893</v>
      </c>
      <c r="B809" s="18">
        <v>114910</v>
      </c>
      <c r="C809" s="235" t="s">
        <v>19677</v>
      </c>
      <c r="D809" s="236" t="s">
        <v>15234</v>
      </c>
      <c r="E809" s="15">
        <v>3658.2</v>
      </c>
      <c r="F809" s="237">
        <v>42896</v>
      </c>
      <c r="G809" s="15">
        <v>3658.2</v>
      </c>
      <c r="H809" s="15">
        <f t="shared" si="12"/>
        <v>0</v>
      </c>
      <c r="I809" s="236" t="s">
        <v>19682</v>
      </c>
    </row>
    <row r="810" spans="1:9" x14ac:dyDescent="0.25">
      <c r="A810" s="242">
        <v>42893</v>
      </c>
      <c r="B810" s="18">
        <v>114911</v>
      </c>
      <c r="C810" s="235" t="s">
        <v>19677</v>
      </c>
      <c r="D810" s="236" t="s">
        <v>15256</v>
      </c>
      <c r="E810" s="15">
        <v>4122.6000000000004</v>
      </c>
      <c r="F810" s="237">
        <v>42894</v>
      </c>
      <c r="G810" s="15">
        <v>4122.6000000000004</v>
      </c>
      <c r="H810" s="15">
        <f t="shared" si="12"/>
        <v>0</v>
      </c>
      <c r="I810" s="236" t="s">
        <v>19682</v>
      </c>
    </row>
    <row r="811" spans="1:9" x14ac:dyDescent="0.25">
      <c r="A811" s="36">
        <v>42893</v>
      </c>
      <c r="B811" s="18">
        <v>114912</v>
      </c>
      <c r="C811" s="235" t="s">
        <v>19677</v>
      </c>
      <c r="D811" s="236" t="s">
        <v>15480</v>
      </c>
      <c r="E811" s="15">
        <v>236.4</v>
      </c>
      <c r="F811" s="237">
        <v>42895</v>
      </c>
      <c r="G811" s="15">
        <v>236.4</v>
      </c>
      <c r="H811" s="15">
        <f t="shared" si="12"/>
        <v>0</v>
      </c>
      <c r="I811" s="236" t="s">
        <v>19682</v>
      </c>
    </row>
    <row r="812" spans="1:9" x14ac:dyDescent="0.25">
      <c r="A812" s="242">
        <v>42893</v>
      </c>
      <c r="B812" s="18">
        <v>114913</v>
      </c>
      <c r="C812" s="235" t="s">
        <v>19677</v>
      </c>
      <c r="D812" s="236" t="s">
        <v>5575</v>
      </c>
      <c r="E812" s="15">
        <v>4048.2</v>
      </c>
      <c r="F812" s="237">
        <v>42894</v>
      </c>
      <c r="G812" s="15">
        <v>4048.2</v>
      </c>
      <c r="H812" s="15">
        <f t="shared" si="12"/>
        <v>0</v>
      </c>
      <c r="I812" s="236" t="s">
        <v>19682</v>
      </c>
    </row>
    <row r="813" spans="1:9" x14ac:dyDescent="0.25">
      <c r="A813" s="36">
        <v>42893</v>
      </c>
      <c r="B813" s="18">
        <v>114914</v>
      </c>
      <c r="C813" s="235" t="s">
        <v>19677</v>
      </c>
      <c r="D813" s="236" t="s">
        <v>15236</v>
      </c>
      <c r="E813" s="15">
        <v>3478.8</v>
      </c>
      <c r="F813" s="237">
        <v>42895</v>
      </c>
      <c r="G813" s="15">
        <v>3478.8</v>
      </c>
      <c r="H813" s="15">
        <f t="shared" si="12"/>
        <v>0</v>
      </c>
      <c r="I813" s="236" t="s">
        <v>19682</v>
      </c>
    </row>
    <row r="814" spans="1:9" x14ac:dyDescent="0.25">
      <c r="A814" s="242">
        <v>42893</v>
      </c>
      <c r="B814" s="18">
        <v>114915</v>
      </c>
      <c r="C814" s="235" t="s">
        <v>19677</v>
      </c>
      <c r="D814" s="236" t="s">
        <v>15258</v>
      </c>
      <c r="E814" s="15">
        <v>13517.4</v>
      </c>
      <c r="F814" s="237" t="s">
        <v>19703</v>
      </c>
      <c r="G814" s="241">
        <f>4517+9000.4</f>
        <v>13517.4</v>
      </c>
      <c r="H814" s="241">
        <f t="shared" si="12"/>
        <v>0</v>
      </c>
      <c r="I814" s="236" t="s">
        <v>19682</v>
      </c>
    </row>
    <row r="815" spans="1:9" x14ac:dyDescent="0.25">
      <c r="A815" s="36">
        <v>42893</v>
      </c>
      <c r="B815" s="18">
        <v>114916</v>
      </c>
      <c r="C815" s="235" t="s">
        <v>19677</v>
      </c>
      <c r="D815" s="236" t="s">
        <v>15668</v>
      </c>
      <c r="E815" s="15">
        <v>13786.5</v>
      </c>
      <c r="F815" s="237">
        <v>42896</v>
      </c>
      <c r="G815" s="241">
        <v>13786.5</v>
      </c>
      <c r="H815" s="241">
        <f t="shared" si="12"/>
        <v>0</v>
      </c>
      <c r="I815" s="236" t="s">
        <v>19682</v>
      </c>
    </row>
    <row r="816" spans="1:9" x14ac:dyDescent="0.25">
      <c r="A816" s="242">
        <v>42893</v>
      </c>
      <c r="B816" s="18">
        <v>114917</v>
      </c>
      <c r="C816" s="235" t="s">
        <v>19677</v>
      </c>
      <c r="D816" s="236" t="s">
        <v>15371</v>
      </c>
      <c r="E816" s="15">
        <v>3922.8</v>
      </c>
      <c r="F816" s="237">
        <v>42894</v>
      </c>
      <c r="G816" s="15">
        <v>3922.8</v>
      </c>
      <c r="H816" s="15">
        <f t="shared" si="12"/>
        <v>0</v>
      </c>
      <c r="I816" s="236" t="s">
        <v>19682</v>
      </c>
    </row>
    <row r="817" spans="1:9" x14ac:dyDescent="0.25">
      <c r="A817" s="36">
        <v>42893</v>
      </c>
      <c r="B817" s="18">
        <v>114918</v>
      </c>
      <c r="C817" s="235" t="s">
        <v>19677</v>
      </c>
      <c r="D817" s="236" t="s">
        <v>15263</v>
      </c>
      <c r="E817" s="15">
        <v>3805.8</v>
      </c>
      <c r="F817" s="237">
        <v>42893</v>
      </c>
      <c r="G817" s="15">
        <v>3805.8</v>
      </c>
      <c r="H817" s="15">
        <f t="shared" si="12"/>
        <v>0</v>
      </c>
      <c r="I817" s="236" t="s">
        <v>19682</v>
      </c>
    </row>
    <row r="818" spans="1:9" x14ac:dyDescent="0.25">
      <c r="A818" s="242">
        <v>42893</v>
      </c>
      <c r="B818" s="18">
        <v>114919</v>
      </c>
      <c r="C818" s="235" t="s">
        <v>19677</v>
      </c>
      <c r="D818" s="236" t="s">
        <v>15272</v>
      </c>
      <c r="E818" s="15">
        <v>27585.3</v>
      </c>
      <c r="F818" s="237">
        <v>42893</v>
      </c>
      <c r="G818" s="15">
        <v>27585.3</v>
      </c>
      <c r="H818" s="15">
        <f t="shared" si="12"/>
        <v>0</v>
      </c>
      <c r="I818" s="236" t="s">
        <v>19682</v>
      </c>
    </row>
    <row r="819" spans="1:9" x14ac:dyDescent="0.25">
      <c r="A819" s="36">
        <v>42893</v>
      </c>
      <c r="B819" s="18">
        <v>114920</v>
      </c>
      <c r="C819" s="235" t="s">
        <v>19677</v>
      </c>
      <c r="D819" s="236" t="s">
        <v>15250</v>
      </c>
      <c r="E819" s="15">
        <v>37579.64</v>
      </c>
      <c r="F819" s="237">
        <v>42902</v>
      </c>
      <c r="G819" s="15">
        <v>37579.64</v>
      </c>
      <c r="H819" s="15">
        <f t="shared" si="12"/>
        <v>0</v>
      </c>
      <c r="I819" s="236" t="s">
        <v>19682</v>
      </c>
    </row>
    <row r="820" spans="1:9" x14ac:dyDescent="0.25">
      <c r="A820" s="242">
        <v>42893</v>
      </c>
      <c r="B820" s="18">
        <v>114921</v>
      </c>
      <c r="C820" s="235" t="s">
        <v>19677</v>
      </c>
      <c r="D820" s="236" t="s">
        <v>15324</v>
      </c>
      <c r="E820" s="15">
        <v>1770</v>
      </c>
      <c r="F820" s="237">
        <v>42893</v>
      </c>
      <c r="G820" s="15">
        <v>1770</v>
      </c>
      <c r="H820" s="15">
        <f t="shared" si="12"/>
        <v>0</v>
      </c>
      <c r="I820" s="236" t="s">
        <v>19682</v>
      </c>
    </row>
    <row r="821" spans="1:9" x14ac:dyDescent="0.25">
      <c r="A821" s="36">
        <v>42893</v>
      </c>
      <c r="B821" s="18">
        <v>114922</v>
      </c>
      <c r="C821" s="235" t="s">
        <v>19677</v>
      </c>
      <c r="D821" s="236" t="s">
        <v>15596</v>
      </c>
      <c r="E821" s="15">
        <v>920</v>
      </c>
      <c r="F821" s="237">
        <v>42893</v>
      </c>
      <c r="G821" s="15">
        <v>920</v>
      </c>
      <c r="H821" s="15">
        <f t="shared" si="12"/>
        <v>0</v>
      </c>
      <c r="I821" s="236" t="s">
        <v>19682</v>
      </c>
    </row>
    <row r="822" spans="1:9" x14ac:dyDescent="0.25">
      <c r="A822" s="242">
        <v>42893</v>
      </c>
      <c r="B822" s="18">
        <v>114923</v>
      </c>
      <c r="C822" s="235" t="s">
        <v>19677</v>
      </c>
      <c r="D822" s="236" t="s">
        <v>15220</v>
      </c>
      <c r="E822" s="15">
        <v>2300</v>
      </c>
      <c r="F822" s="237">
        <v>42893</v>
      </c>
      <c r="G822" s="15">
        <v>2300</v>
      </c>
      <c r="H822" s="15">
        <f t="shared" si="12"/>
        <v>0</v>
      </c>
      <c r="I822" s="236" t="s">
        <v>19682</v>
      </c>
    </row>
    <row r="823" spans="1:9" x14ac:dyDescent="0.25">
      <c r="A823" s="36">
        <v>42893</v>
      </c>
      <c r="B823" s="18">
        <v>114924</v>
      </c>
      <c r="C823" s="235" t="s">
        <v>19677</v>
      </c>
      <c r="D823" s="236" t="s">
        <v>17462</v>
      </c>
      <c r="E823" s="15">
        <v>5816</v>
      </c>
      <c r="F823" s="237">
        <v>42893</v>
      </c>
      <c r="G823" s="15">
        <v>5816</v>
      </c>
      <c r="H823" s="15">
        <f t="shared" si="12"/>
        <v>0</v>
      </c>
      <c r="I823" s="236" t="s">
        <v>19682</v>
      </c>
    </row>
    <row r="824" spans="1:9" x14ac:dyDescent="0.25">
      <c r="A824" s="242">
        <v>42893</v>
      </c>
      <c r="B824" s="18">
        <v>114925</v>
      </c>
      <c r="C824" s="235" t="s">
        <v>19677</v>
      </c>
      <c r="D824" s="236" t="s">
        <v>15284</v>
      </c>
      <c r="E824" s="15">
        <v>1855.9</v>
      </c>
      <c r="F824" s="237">
        <v>42893</v>
      </c>
      <c r="G824" s="15">
        <v>1855.9</v>
      </c>
      <c r="H824" s="15">
        <f t="shared" si="12"/>
        <v>0</v>
      </c>
      <c r="I824" s="236" t="s">
        <v>19682</v>
      </c>
    </row>
    <row r="825" spans="1:9" x14ac:dyDescent="0.25">
      <c r="A825" s="36">
        <v>42893</v>
      </c>
      <c r="B825" s="18">
        <v>114926</v>
      </c>
      <c r="C825" s="235" t="s">
        <v>19677</v>
      </c>
      <c r="D825" s="236" t="s">
        <v>16116</v>
      </c>
      <c r="E825" s="15">
        <v>26309.200000000001</v>
      </c>
      <c r="F825" s="237">
        <v>42893</v>
      </c>
      <c r="G825" s="15">
        <v>26309.200000000001</v>
      </c>
      <c r="H825" s="15">
        <f t="shared" si="12"/>
        <v>0</v>
      </c>
      <c r="I825" s="236" t="s">
        <v>19682</v>
      </c>
    </row>
    <row r="826" spans="1:9" x14ac:dyDescent="0.25">
      <c r="A826" s="242">
        <v>42893</v>
      </c>
      <c r="B826" s="18">
        <v>114927</v>
      </c>
      <c r="C826" s="235" t="s">
        <v>19677</v>
      </c>
      <c r="D826" s="236" t="s">
        <v>15338</v>
      </c>
      <c r="E826" s="15">
        <v>10675.1</v>
      </c>
      <c r="F826" s="237">
        <v>42898</v>
      </c>
      <c r="G826" s="15">
        <v>10675.1</v>
      </c>
      <c r="H826" s="15">
        <f t="shared" si="12"/>
        <v>0</v>
      </c>
      <c r="I826" s="236" t="s">
        <v>19682</v>
      </c>
    </row>
    <row r="827" spans="1:9" x14ac:dyDescent="0.25">
      <c r="A827" s="36">
        <v>42893</v>
      </c>
      <c r="B827" s="18">
        <v>114928</v>
      </c>
      <c r="C827" s="235" t="s">
        <v>19677</v>
      </c>
      <c r="D827" s="236" t="s">
        <v>15223</v>
      </c>
      <c r="E827" s="15">
        <v>50114.400000000001</v>
      </c>
      <c r="F827" s="237">
        <v>42911</v>
      </c>
      <c r="G827" s="15">
        <v>50114.400000000001</v>
      </c>
      <c r="H827" s="15">
        <f t="shared" si="12"/>
        <v>0</v>
      </c>
      <c r="I827" s="236" t="s">
        <v>19682</v>
      </c>
    </row>
    <row r="828" spans="1:9" x14ac:dyDescent="0.25">
      <c r="A828" s="242">
        <v>42893</v>
      </c>
      <c r="B828" s="18">
        <v>114929</v>
      </c>
      <c r="C828" s="235" t="s">
        <v>19677</v>
      </c>
      <c r="D828" s="236" t="s">
        <v>15248</v>
      </c>
      <c r="E828" s="15">
        <v>27696</v>
      </c>
      <c r="F828" s="237">
        <v>42893</v>
      </c>
      <c r="G828" s="15">
        <v>27696</v>
      </c>
      <c r="H828" s="15">
        <f t="shared" si="12"/>
        <v>0</v>
      </c>
      <c r="I828" s="236" t="s">
        <v>19682</v>
      </c>
    </row>
    <row r="829" spans="1:9" x14ac:dyDescent="0.25">
      <c r="A829" s="36">
        <v>42893</v>
      </c>
      <c r="B829" s="18">
        <v>114930</v>
      </c>
      <c r="C829" s="235" t="s">
        <v>19677</v>
      </c>
      <c r="D829" s="236" t="s">
        <v>15636</v>
      </c>
      <c r="E829" s="15">
        <v>8323.2000000000007</v>
      </c>
      <c r="F829" s="237">
        <v>42900</v>
      </c>
      <c r="G829" s="15">
        <v>8323.2000000000007</v>
      </c>
      <c r="H829" s="15">
        <f t="shared" si="12"/>
        <v>0</v>
      </c>
      <c r="I829" s="236" t="s">
        <v>19682</v>
      </c>
    </row>
    <row r="830" spans="1:9" x14ac:dyDescent="0.25">
      <c r="A830" s="242">
        <v>42893</v>
      </c>
      <c r="B830" s="18">
        <v>114931</v>
      </c>
      <c r="C830" s="235" t="s">
        <v>19677</v>
      </c>
      <c r="D830" s="236" t="s">
        <v>15246</v>
      </c>
      <c r="E830" s="15">
        <v>624</v>
      </c>
      <c r="F830" s="237">
        <v>42896</v>
      </c>
      <c r="G830" s="15">
        <v>624</v>
      </c>
      <c r="H830" s="15">
        <f t="shared" si="12"/>
        <v>0</v>
      </c>
      <c r="I830" s="236" t="s">
        <v>19682</v>
      </c>
    </row>
    <row r="831" spans="1:9" x14ac:dyDescent="0.25">
      <c r="A831" s="36">
        <v>42893</v>
      </c>
      <c r="B831" s="18">
        <v>114932</v>
      </c>
      <c r="C831" s="235" t="s">
        <v>19677</v>
      </c>
      <c r="D831" s="236" t="s">
        <v>15265</v>
      </c>
      <c r="E831" s="15">
        <v>200</v>
      </c>
      <c r="F831" s="237">
        <v>42893</v>
      </c>
      <c r="G831" s="15">
        <v>200</v>
      </c>
      <c r="H831" s="15">
        <f t="shared" si="12"/>
        <v>0</v>
      </c>
      <c r="I831" s="236" t="s">
        <v>19682</v>
      </c>
    </row>
    <row r="832" spans="1:9" x14ac:dyDescent="0.25">
      <c r="A832" s="242">
        <v>42893</v>
      </c>
      <c r="B832" s="18">
        <v>114933</v>
      </c>
      <c r="C832" s="235" t="s">
        <v>19677</v>
      </c>
      <c r="D832" s="236" t="s">
        <v>15340</v>
      </c>
      <c r="E832" s="15">
        <v>5955</v>
      </c>
      <c r="F832" s="237">
        <v>42893</v>
      </c>
      <c r="G832" s="15">
        <v>5955</v>
      </c>
      <c r="H832" s="15">
        <f t="shared" si="12"/>
        <v>0</v>
      </c>
      <c r="I832" s="236" t="s">
        <v>19682</v>
      </c>
    </row>
    <row r="833" spans="1:9" x14ac:dyDescent="0.25">
      <c r="A833" s="36">
        <v>42893</v>
      </c>
      <c r="B833" s="18">
        <v>114934</v>
      </c>
      <c r="C833" s="235" t="s">
        <v>19677</v>
      </c>
      <c r="D833" s="236" t="s">
        <v>15280</v>
      </c>
      <c r="E833" s="15">
        <v>4882</v>
      </c>
      <c r="F833" s="237">
        <v>42893</v>
      </c>
      <c r="G833" s="15">
        <v>4882</v>
      </c>
      <c r="H833" s="15">
        <f t="shared" si="12"/>
        <v>0</v>
      </c>
      <c r="I833" s="236" t="s">
        <v>19682</v>
      </c>
    </row>
    <row r="834" spans="1:9" x14ac:dyDescent="0.25">
      <c r="A834" s="242">
        <v>42893</v>
      </c>
      <c r="B834" s="18">
        <v>114935</v>
      </c>
      <c r="C834" s="235" t="s">
        <v>19677</v>
      </c>
      <c r="D834" s="236" t="s">
        <v>15427</v>
      </c>
      <c r="E834" s="15">
        <v>29017.5</v>
      </c>
      <c r="F834" s="237">
        <v>42894</v>
      </c>
      <c r="G834" s="15">
        <v>29017.5</v>
      </c>
      <c r="H834" s="15">
        <f t="shared" ref="H834:H897" si="13">E834-G834</f>
        <v>0</v>
      </c>
      <c r="I834" s="236" t="s">
        <v>19682</v>
      </c>
    </row>
    <row r="835" spans="1:9" ht="15.75" x14ac:dyDescent="0.25">
      <c r="A835" s="36">
        <v>42893</v>
      </c>
      <c r="B835" s="18">
        <v>114936</v>
      </c>
      <c r="C835" s="235" t="s">
        <v>19677</v>
      </c>
      <c r="D835" s="248" t="s">
        <v>95</v>
      </c>
      <c r="E835" s="15">
        <v>0</v>
      </c>
      <c r="F835" s="243" t="s">
        <v>95</v>
      </c>
      <c r="G835" s="15">
        <v>0</v>
      </c>
      <c r="H835" s="15">
        <f t="shared" si="13"/>
        <v>0</v>
      </c>
      <c r="I835" s="236" t="s">
        <v>19678</v>
      </c>
    </row>
    <row r="836" spans="1:9" x14ac:dyDescent="0.25">
      <c r="A836" s="242">
        <v>42893</v>
      </c>
      <c r="B836" s="18">
        <v>114937</v>
      </c>
      <c r="C836" s="235" t="s">
        <v>19677</v>
      </c>
      <c r="D836" s="236" t="s">
        <v>15510</v>
      </c>
      <c r="E836" s="15">
        <v>23625</v>
      </c>
      <c r="F836" s="237">
        <v>42893</v>
      </c>
      <c r="G836" s="15">
        <v>23625</v>
      </c>
      <c r="H836" s="15">
        <f t="shared" si="13"/>
        <v>0</v>
      </c>
      <c r="I836" s="236" t="s">
        <v>19682</v>
      </c>
    </row>
    <row r="837" spans="1:9" x14ac:dyDescent="0.25">
      <c r="A837" s="36">
        <v>42893</v>
      </c>
      <c r="B837" s="18">
        <v>114938</v>
      </c>
      <c r="C837" s="235" t="s">
        <v>19677</v>
      </c>
      <c r="D837" s="236" t="s">
        <v>15373</v>
      </c>
      <c r="E837" s="15">
        <v>13635</v>
      </c>
      <c r="F837" s="237">
        <v>42894</v>
      </c>
      <c r="G837" s="15">
        <v>13635</v>
      </c>
      <c r="H837" s="15">
        <f t="shared" si="13"/>
        <v>0</v>
      </c>
      <c r="I837" s="236" t="s">
        <v>19682</v>
      </c>
    </row>
    <row r="838" spans="1:9" x14ac:dyDescent="0.25">
      <c r="A838" s="242">
        <v>42893</v>
      </c>
      <c r="B838" s="18">
        <v>114939</v>
      </c>
      <c r="C838" s="235" t="s">
        <v>19677</v>
      </c>
      <c r="D838" s="236" t="s">
        <v>15278</v>
      </c>
      <c r="E838" s="15">
        <v>6909.2</v>
      </c>
      <c r="F838" s="237">
        <v>42893</v>
      </c>
      <c r="G838" s="15">
        <v>6909.2</v>
      </c>
      <c r="H838" s="15">
        <f t="shared" si="13"/>
        <v>0</v>
      </c>
      <c r="I838" s="236" t="s">
        <v>19682</v>
      </c>
    </row>
    <row r="839" spans="1:9" x14ac:dyDescent="0.25">
      <c r="A839" s="36">
        <v>42893</v>
      </c>
      <c r="B839" s="18">
        <v>114940</v>
      </c>
      <c r="C839" s="235" t="s">
        <v>19677</v>
      </c>
      <c r="D839" s="236" t="s">
        <v>17057</v>
      </c>
      <c r="E839" s="15">
        <v>1364.4</v>
      </c>
      <c r="F839" s="237">
        <v>42893</v>
      </c>
      <c r="G839" s="15">
        <v>1364.4</v>
      </c>
      <c r="H839" s="15">
        <f t="shared" si="13"/>
        <v>0</v>
      </c>
      <c r="I839" s="236" t="s">
        <v>19682</v>
      </c>
    </row>
    <row r="840" spans="1:9" x14ac:dyDescent="0.25">
      <c r="A840" s="242">
        <v>42893</v>
      </c>
      <c r="B840" s="18">
        <v>114941</v>
      </c>
      <c r="C840" s="235" t="s">
        <v>19677</v>
      </c>
      <c r="D840" s="236" t="s">
        <v>15382</v>
      </c>
      <c r="E840" s="15">
        <v>8005.6</v>
      </c>
      <c r="F840" s="237">
        <v>42902</v>
      </c>
      <c r="G840" s="15">
        <v>8005.6</v>
      </c>
      <c r="H840" s="15">
        <f t="shared" si="13"/>
        <v>0</v>
      </c>
      <c r="I840" s="236" t="s">
        <v>19682</v>
      </c>
    </row>
    <row r="841" spans="1:9" x14ac:dyDescent="0.25">
      <c r="A841" s="36">
        <v>42893</v>
      </c>
      <c r="B841" s="18">
        <v>114942</v>
      </c>
      <c r="C841" s="235" t="s">
        <v>19677</v>
      </c>
      <c r="D841" s="236" t="s">
        <v>15530</v>
      </c>
      <c r="E841" s="15">
        <v>3640</v>
      </c>
      <c r="F841" s="237">
        <v>42893</v>
      </c>
      <c r="G841" s="15">
        <v>3640</v>
      </c>
      <c r="H841" s="15">
        <f t="shared" si="13"/>
        <v>0</v>
      </c>
      <c r="I841" s="236" t="s">
        <v>19682</v>
      </c>
    </row>
    <row r="842" spans="1:9" x14ac:dyDescent="0.25">
      <c r="A842" s="242">
        <v>42893</v>
      </c>
      <c r="B842" s="18">
        <v>114943</v>
      </c>
      <c r="C842" s="235" t="s">
        <v>19677</v>
      </c>
      <c r="D842" s="236" t="s">
        <v>15858</v>
      </c>
      <c r="E842" s="15">
        <v>5696.8</v>
      </c>
      <c r="F842" s="237">
        <v>42893</v>
      </c>
      <c r="G842" s="15">
        <v>5696.8</v>
      </c>
      <c r="H842" s="15">
        <f t="shared" si="13"/>
        <v>0</v>
      </c>
      <c r="I842" s="236" t="s">
        <v>19682</v>
      </c>
    </row>
    <row r="843" spans="1:9" x14ac:dyDescent="0.25">
      <c r="A843" s="36">
        <v>42893</v>
      </c>
      <c r="B843" s="18">
        <v>114944</v>
      </c>
      <c r="C843" s="235" t="s">
        <v>19677</v>
      </c>
      <c r="D843" s="236" t="s">
        <v>16171</v>
      </c>
      <c r="E843" s="15">
        <v>1062.3599999999999</v>
      </c>
      <c r="F843" s="237">
        <v>42893</v>
      </c>
      <c r="G843" s="15">
        <v>1062.3599999999999</v>
      </c>
      <c r="H843" s="15">
        <f t="shared" si="13"/>
        <v>0</v>
      </c>
      <c r="I843" s="236" t="s">
        <v>19682</v>
      </c>
    </row>
    <row r="844" spans="1:9" x14ac:dyDescent="0.25">
      <c r="A844" s="242">
        <v>42893</v>
      </c>
      <c r="B844" s="18">
        <v>114945</v>
      </c>
      <c r="C844" s="235" t="s">
        <v>19677</v>
      </c>
      <c r="D844" s="236" t="s">
        <v>15350</v>
      </c>
      <c r="E844" s="15">
        <v>690</v>
      </c>
      <c r="F844" s="237">
        <v>42893</v>
      </c>
      <c r="G844" s="15">
        <v>690</v>
      </c>
      <c r="H844" s="15">
        <f t="shared" si="13"/>
        <v>0</v>
      </c>
      <c r="I844" s="236" t="s">
        <v>19682</v>
      </c>
    </row>
    <row r="845" spans="1:9" x14ac:dyDescent="0.25">
      <c r="A845" s="36">
        <v>42893</v>
      </c>
      <c r="B845" s="18">
        <v>114946</v>
      </c>
      <c r="C845" s="235" t="s">
        <v>19677</v>
      </c>
      <c r="D845" s="236" t="s">
        <v>15282</v>
      </c>
      <c r="E845" s="15">
        <v>3583.4</v>
      </c>
      <c r="F845" s="237">
        <v>42893</v>
      </c>
      <c r="G845" s="15">
        <v>3583.4</v>
      </c>
      <c r="H845" s="15">
        <f t="shared" si="13"/>
        <v>0</v>
      </c>
      <c r="I845" s="236" t="s">
        <v>19682</v>
      </c>
    </row>
    <row r="846" spans="1:9" x14ac:dyDescent="0.25">
      <c r="A846" s="242">
        <v>42893</v>
      </c>
      <c r="B846" s="18">
        <v>114947</v>
      </c>
      <c r="C846" s="235" t="s">
        <v>19677</v>
      </c>
      <c r="D846" s="236" t="s">
        <v>17210</v>
      </c>
      <c r="E846" s="15">
        <v>3990.3</v>
      </c>
      <c r="F846" s="237">
        <v>42893</v>
      </c>
      <c r="G846" s="15">
        <v>3990.3</v>
      </c>
      <c r="H846" s="15">
        <f t="shared" si="13"/>
        <v>0</v>
      </c>
      <c r="I846" s="236" t="s">
        <v>19682</v>
      </c>
    </row>
    <row r="847" spans="1:9" x14ac:dyDescent="0.25">
      <c r="A847" s="36">
        <v>42893</v>
      </c>
      <c r="B847" s="18">
        <v>114948</v>
      </c>
      <c r="C847" s="235" t="s">
        <v>19677</v>
      </c>
      <c r="D847" s="236" t="s">
        <v>15526</v>
      </c>
      <c r="E847" s="15">
        <v>3642.5</v>
      </c>
      <c r="F847" s="237">
        <v>42893</v>
      </c>
      <c r="G847" s="15">
        <v>3642.5</v>
      </c>
      <c r="H847" s="15">
        <f t="shared" si="13"/>
        <v>0</v>
      </c>
      <c r="I847" s="236" t="s">
        <v>19682</v>
      </c>
    </row>
    <row r="848" spans="1:9" x14ac:dyDescent="0.25">
      <c r="A848" s="242">
        <v>42893</v>
      </c>
      <c r="B848" s="18">
        <v>114949</v>
      </c>
      <c r="C848" s="235" t="s">
        <v>19677</v>
      </c>
      <c r="D848" s="236" t="s">
        <v>15344</v>
      </c>
      <c r="E848" s="15">
        <v>1809.5</v>
      </c>
      <c r="F848" s="237">
        <v>42893</v>
      </c>
      <c r="G848" s="15">
        <v>1809.5</v>
      </c>
      <c r="H848" s="15">
        <f t="shared" si="13"/>
        <v>0</v>
      </c>
      <c r="I848" s="236" t="s">
        <v>19682</v>
      </c>
    </row>
    <row r="849" spans="1:9" x14ac:dyDescent="0.25">
      <c r="A849" s="36">
        <v>42893</v>
      </c>
      <c r="B849" s="18">
        <v>114950</v>
      </c>
      <c r="C849" s="235" t="s">
        <v>19677</v>
      </c>
      <c r="D849" s="236" t="s">
        <v>15315</v>
      </c>
      <c r="E849" s="15">
        <v>653.29999999999995</v>
      </c>
      <c r="F849" s="237">
        <v>42894</v>
      </c>
      <c r="G849" s="15">
        <v>653.29999999999995</v>
      </c>
      <c r="H849" s="15">
        <f t="shared" si="13"/>
        <v>0</v>
      </c>
      <c r="I849" s="236" t="s">
        <v>19682</v>
      </c>
    </row>
    <row r="850" spans="1:9" x14ac:dyDescent="0.25">
      <c r="A850" s="242">
        <v>42893</v>
      </c>
      <c r="B850" s="18">
        <v>114951</v>
      </c>
      <c r="C850" s="235" t="s">
        <v>19677</v>
      </c>
      <c r="D850" s="236" t="s">
        <v>19549</v>
      </c>
      <c r="E850" s="15">
        <v>11972.2</v>
      </c>
      <c r="F850" s="237">
        <v>42894</v>
      </c>
      <c r="G850" s="15">
        <v>11972.2</v>
      </c>
      <c r="H850" s="15">
        <f t="shared" si="13"/>
        <v>0</v>
      </c>
      <c r="I850" s="236" t="s">
        <v>19682</v>
      </c>
    </row>
    <row r="851" spans="1:9" x14ac:dyDescent="0.25">
      <c r="A851" s="36">
        <v>42893</v>
      </c>
      <c r="B851" s="18">
        <v>114952</v>
      </c>
      <c r="C851" s="235" t="s">
        <v>19677</v>
      </c>
      <c r="D851" s="236" t="s">
        <v>15344</v>
      </c>
      <c r="E851" s="15">
        <v>1443</v>
      </c>
      <c r="F851" s="237">
        <v>42893</v>
      </c>
      <c r="G851" s="15">
        <v>1443</v>
      </c>
      <c r="H851" s="15">
        <f t="shared" si="13"/>
        <v>0</v>
      </c>
      <c r="I851" s="236" t="s">
        <v>19682</v>
      </c>
    </row>
    <row r="852" spans="1:9" x14ac:dyDescent="0.25">
      <c r="A852" s="242">
        <v>42893</v>
      </c>
      <c r="B852" s="18">
        <v>114953</v>
      </c>
      <c r="C852" s="235" t="s">
        <v>19677</v>
      </c>
      <c r="D852" s="236" t="s">
        <v>15415</v>
      </c>
      <c r="E852" s="15">
        <v>3268.3</v>
      </c>
      <c r="F852" s="237">
        <v>42893</v>
      </c>
      <c r="G852" s="15">
        <v>3268.3</v>
      </c>
      <c r="H852" s="15">
        <f t="shared" si="13"/>
        <v>0</v>
      </c>
      <c r="I852" s="236" t="s">
        <v>19682</v>
      </c>
    </row>
    <row r="853" spans="1:9" x14ac:dyDescent="0.25">
      <c r="A853" s="36">
        <v>42893</v>
      </c>
      <c r="B853" s="18">
        <v>114954</v>
      </c>
      <c r="C853" s="235" t="s">
        <v>19677</v>
      </c>
      <c r="D853" s="236" t="s">
        <v>15317</v>
      </c>
      <c r="E853" s="15">
        <v>3091.9</v>
      </c>
      <c r="F853" s="237">
        <v>42896</v>
      </c>
      <c r="G853" s="15">
        <v>3091.9</v>
      </c>
      <c r="H853" s="15">
        <f t="shared" si="13"/>
        <v>0</v>
      </c>
      <c r="I853" s="236" t="s">
        <v>19682</v>
      </c>
    </row>
    <row r="854" spans="1:9" x14ac:dyDescent="0.25">
      <c r="A854" s="242">
        <v>42893</v>
      </c>
      <c r="B854" s="18">
        <v>114955</v>
      </c>
      <c r="C854" s="235" t="s">
        <v>19677</v>
      </c>
      <c r="D854" s="236" t="s">
        <v>15334</v>
      </c>
      <c r="E854" s="15">
        <v>1264.4000000000001</v>
      </c>
      <c r="F854" s="237">
        <v>42893</v>
      </c>
      <c r="G854" s="15">
        <v>1264.4000000000001</v>
      </c>
      <c r="H854" s="15">
        <f t="shared" si="13"/>
        <v>0</v>
      </c>
      <c r="I854" s="236" t="s">
        <v>19682</v>
      </c>
    </row>
    <row r="855" spans="1:9" x14ac:dyDescent="0.25">
      <c r="A855" s="36">
        <v>42893</v>
      </c>
      <c r="B855" s="18">
        <v>114956</v>
      </c>
      <c r="C855" s="235" t="s">
        <v>19677</v>
      </c>
      <c r="D855" s="236" t="s">
        <v>15861</v>
      </c>
      <c r="E855" s="15">
        <v>1624.2</v>
      </c>
      <c r="F855" s="237">
        <v>42893</v>
      </c>
      <c r="G855" s="15">
        <v>1624.2</v>
      </c>
      <c r="H855" s="15">
        <f t="shared" si="13"/>
        <v>0</v>
      </c>
      <c r="I855" s="236" t="s">
        <v>19682</v>
      </c>
    </row>
    <row r="856" spans="1:9" x14ac:dyDescent="0.25">
      <c r="A856" s="242">
        <v>42893</v>
      </c>
      <c r="B856" s="18">
        <v>114957</v>
      </c>
      <c r="C856" s="235" t="s">
        <v>19677</v>
      </c>
      <c r="D856" s="236" t="s">
        <v>18544</v>
      </c>
      <c r="E856" s="15">
        <v>7924.8</v>
      </c>
      <c r="F856" s="237">
        <v>42893</v>
      </c>
      <c r="G856" s="15">
        <v>7924.8</v>
      </c>
      <c r="H856" s="15">
        <f t="shared" si="13"/>
        <v>0</v>
      </c>
      <c r="I856" s="236" t="s">
        <v>19682</v>
      </c>
    </row>
    <row r="857" spans="1:9" x14ac:dyDescent="0.25">
      <c r="A857" s="36">
        <v>42893</v>
      </c>
      <c r="B857" s="18">
        <v>114958</v>
      </c>
      <c r="C857" s="235" t="s">
        <v>19677</v>
      </c>
      <c r="D857" s="236" t="s">
        <v>15523</v>
      </c>
      <c r="E857" s="15">
        <v>1380</v>
      </c>
      <c r="F857" s="237">
        <v>42893</v>
      </c>
      <c r="G857" s="15">
        <v>1380</v>
      </c>
      <c r="H857" s="15">
        <f t="shared" si="13"/>
        <v>0</v>
      </c>
      <c r="I857" s="236" t="s">
        <v>19682</v>
      </c>
    </row>
    <row r="858" spans="1:9" x14ac:dyDescent="0.25">
      <c r="A858" s="242">
        <v>42893</v>
      </c>
      <c r="B858" s="18">
        <v>114959</v>
      </c>
      <c r="C858" s="235" t="s">
        <v>19677</v>
      </c>
      <c r="D858" s="236" t="s">
        <v>15358</v>
      </c>
      <c r="E858" s="15">
        <v>1903.5</v>
      </c>
      <c r="F858" s="237">
        <v>42893</v>
      </c>
      <c r="G858" s="15">
        <v>1903.5</v>
      </c>
      <c r="H858" s="15">
        <f t="shared" si="13"/>
        <v>0</v>
      </c>
      <c r="I858" s="236" t="s">
        <v>19682</v>
      </c>
    </row>
    <row r="859" spans="1:9" x14ac:dyDescent="0.25">
      <c r="A859" s="36">
        <v>42893</v>
      </c>
      <c r="B859" s="18">
        <v>114960</v>
      </c>
      <c r="C859" s="235" t="s">
        <v>19677</v>
      </c>
      <c r="D859" s="236" t="s">
        <v>15742</v>
      </c>
      <c r="E859" s="15">
        <v>1688.2</v>
      </c>
      <c r="F859" s="237">
        <v>42893</v>
      </c>
      <c r="G859" s="15">
        <v>1688.2</v>
      </c>
      <c r="H859" s="15">
        <f t="shared" si="13"/>
        <v>0</v>
      </c>
      <c r="I859" s="236" t="s">
        <v>19682</v>
      </c>
    </row>
    <row r="860" spans="1:9" x14ac:dyDescent="0.25">
      <c r="A860" s="242">
        <v>42893</v>
      </c>
      <c r="B860" s="18">
        <v>114961</v>
      </c>
      <c r="C860" s="235" t="s">
        <v>19677</v>
      </c>
      <c r="D860" s="236" t="s">
        <v>15332</v>
      </c>
      <c r="E860" s="15">
        <v>3983.7</v>
      </c>
      <c r="F860" s="237">
        <v>42893</v>
      </c>
      <c r="G860" s="15">
        <v>3983.7</v>
      </c>
      <c r="H860" s="15">
        <f t="shared" si="13"/>
        <v>0</v>
      </c>
      <c r="I860" s="236" t="s">
        <v>19682</v>
      </c>
    </row>
    <row r="861" spans="1:9" x14ac:dyDescent="0.25">
      <c r="A861" s="36">
        <v>42893</v>
      </c>
      <c r="B861" s="18">
        <v>114962</v>
      </c>
      <c r="C861" s="235" t="s">
        <v>19677</v>
      </c>
      <c r="D861" s="236" t="s">
        <v>15342</v>
      </c>
      <c r="E861" s="15">
        <v>643.79999999999995</v>
      </c>
      <c r="F861" s="237">
        <v>42893</v>
      </c>
      <c r="G861" s="15">
        <v>643.79999999999995</v>
      </c>
      <c r="H861" s="15">
        <f t="shared" si="13"/>
        <v>0</v>
      </c>
      <c r="I861" s="236" t="s">
        <v>19682</v>
      </c>
    </row>
    <row r="862" spans="1:9" x14ac:dyDescent="0.25">
      <c r="A862" s="242">
        <v>42893</v>
      </c>
      <c r="B862" s="18">
        <v>114963</v>
      </c>
      <c r="C862" s="235" t="s">
        <v>19677</v>
      </c>
      <c r="D862" s="236" t="s">
        <v>15748</v>
      </c>
      <c r="E862" s="15">
        <v>2624.8</v>
      </c>
      <c r="F862" s="237">
        <v>42893</v>
      </c>
      <c r="G862" s="15">
        <v>2624.8</v>
      </c>
      <c r="H862" s="15">
        <f t="shared" si="13"/>
        <v>0</v>
      </c>
      <c r="I862" s="236" t="s">
        <v>19682</v>
      </c>
    </row>
    <row r="863" spans="1:9" x14ac:dyDescent="0.25">
      <c r="A863" s="36">
        <v>42893</v>
      </c>
      <c r="B863" s="18">
        <v>114964</v>
      </c>
      <c r="C863" s="235" t="s">
        <v>19677</v>
      </c>
      <c r="D863" s="236" t="s">
        <v>19302</v>
      </c>
      <c r="E863" s="15">
        <v>690</v>
      </c>
      <c r="F863" s="237">
        <v>42893</v>
      </c>
      <c r="G863" s="15">
        <v>690</v>
      </c>
      <c r="H863" s="15">
        <f t="shared" si="13"/>
        <v>0</v>
      </c>
      <c r="I863" s="236" t="s">
        <v>19682</v>
      </c>
    </row>
    <row r="864" spans="1:9" x14ac:dyDescent="0.25">
      <c r="A864" s="242">
        <v>42893</v>
      </c>
      <c r="B864" s="18">
        <v>114965</v>
      </c>
      <c r="C864" s="235" t="s">
        <v>19677</v>
      </c>
      <c r="D864" s="236" t="s">
        <v>15356</v>
      </c>
      <c r="E864" s="15">
        <v>2944.9</v>
      </c>
      <c r="F864" s="237">
        <v>42893</v>
      </c>
      <c r="G864" s="15">
        <v>2944.9</v>
      </c>
      <c r="H864" s="15">
        <f t="shared" si="13"/>
        <v>0</v>
      </c>
      <c r="I864" s="236" t="s">
        <v>19682</v>
      </c>
    </row>
    <row r="865" spans="1:9" x14ac:dyDescent="0.25">
      <c r="A865" s="36">
        <v>42893</v>
      </c>
      <c r="B865" s="18">
        <v>114966</v>
      </c>
      <c r="C865" s="235" t="s">
        <v>19677</v>
      </c>
      <c r="D865" s="236" t="s">
        <v>15398</v>
      </c>
      <c r="E865" s="15">
        <v>254.4</v>
      </c>
      <c r="F865" s="237">
        <v>42893</v>
      </c>
      <c r="G865" s="15">
        <v>254.4</v>
      </c>
      <c r="H865" s="15">
        <f t="shared" si="13"/>
        <v>0</v>
      </c>
      <c r="I865" s="236" t="s">
        <v>19682</v>
      </c>
    </row>
    <row r="866" spans="1:9" x14ac:dyDescent="0.25">
      <c r="A866" s="242">
        <v>42893</v>
      </c>
      <c r="B866" s="18">
        <v>114967</v>
      </c>
      <c r="C866" s="235" t="s">
        <v>19677</v>
      </c>
      <c r="D866" s="236" t="s">
        <v>15725</v>
      </c>
      <c r="E866" s="15">
        <v>16562.400000000001</v>
      </c>
      <c r="F866" s="237">
        <v>42900</v>
      </c>
      <c r="G866" s="15">
        <v>16562.400000000001</v>
      </c>
      <c r="H866" s="15">
        <f t="shared" si="13"/>
        <v>0</v>
      </c>
      <c r="I866" s="236" t="s">
        <v>19682</v>
      </c>
    </row>
    <row r="867" spans="1:9" ht="15.75" x14ac:dyDescent="0.25">
      <c r="A867" s="36">
        <v>42893</v>
      </c>
      <c r="B867" s="18">
        <v>114968</v>
      </c>
      <c r="C867" s="235" t="s">
        <v>19677</v>
      </c>
      <c r="D867" s="239" t="s">
        <v>95</v>
      </c>
      <c r="E867" s="15">
        <v>0</v>
      </c>
      <c r="F867" s="240" t="s">
        <v>95</v>
      </c>
      <c r="G867" s="15">
        <v>0</v>
      </c>
      <c r="H867" s="15">
        <f t="shared" si="13"/>
        <v>0</v>
      </c>
      <c r="I867" s="236" t="s">
        <v>19678</v>
      </c>
    </row>
    <row r="868" spans="1:9" x14ac:dyDescent="0.25">
      <c r="A868" s="242">
        <v>42893</v>
      </c>
      <c r="B868" s="18">
        <v>114969</v>
      </c>
      <c r="C868" s="235" t="s">
        <v>19677</v>
      </c>
      <c r="D868" s="236" t="s">
        <v>16732</v>
      </c>
      <c r="E868" s="15">
        <v>32478.84</v>
      </c>
      <c r="F868" s="237">
        <v>42894</v>
      </c>
      <c r="G868" s="15">
        <v>32478.84</v>
      </c>
      <c r="H868" s="15">
        <f t="shared" si="13"/>
        <v>0</v>
      </c>
      <c r="I868" s="236" t="s">
        <v>19682</v>
      </c>
    </row>
    <row r="869" spans="1:9" x14ac:dyDescent="0.25">
      <c r="A869" s="36">
        <v>42893</v>
      </c>
      <c r="B869" s="18">
        <v>114970</v>
      </c>
      <c r="C869" s="235" t="s">
        <v>19677</v>
      </c>
      <c r="D869" s="236" t="s">
        <v>15294</v>
      </c>
      <c r="E869" s="15">
        <v>370</v>
      </c>
      <c r="F869" s="237">
        <v>42893</v>
      </c>
      <c r="G869" s="15">
        <v>370</v>
      </c>
      <c r="H869" s="15">
        <f t="shared" si="13"/>
        <v>0</v>
      </c>
      <c r="I869" s="236" t="s">
        <v>19682</v>
      </c>
    </row>
    <row r="870" spans="1:9" x14ac:dyDescent="0.25">
      <c r="A870" s="242">
        <v>42893</v>
      </c>
      <c r="B870" s="18">
        <v>114971</v>
      </c>
      <c r="C870" s="235" t="s">
        <v>19677</v>
      </c>
      <c r="D870" s="236" t="s">
        <v>15987</v>
      </c>
      <c r="E870" s="15">
        <v>963</v>
      </c>
      <c r="F870" s="237">
        <v>42893</v>
      </c>
      <c r="G870" s="15">
        <v>963</v>
      </c>
      <c r="H870" s="15">
        <f t="shared" si="13"/>
        <v>0</v>
      </c>
      <c r="I870" s="236" t="s">
        <v>19682</v>
      </c>
    </row>
    <row r="871" spans="1:9" x14ac:dyDescent="0.25">
      <c r="A871" s="36">
        <v>42893</v>
      </c>
      <c r="B871" s="18">
        <v>114972</v>
      </c>
      <c r="C871" s="235" t="s">
        <v>19677</v>
      </c>
      <c r="D871" s="236" t="s">
        <v>17708</v>
      </c>
      <c r="E871" s="15">
        <v>2185.4</v>
      </c>
      <c r="F871" s="237">
        <v>42894</v>
      </c>
      <c r="G871" s="15">
        <v>2185.4</v>
      </c>
      <c r="H871" s="15">
        <f t="shared" si="13"/>
        <v>0</v>
      </c>
      <c r="I871" s="236" t="s">
        <v>19682</v>
      </c>
    </row>
    <row r="872" spans="1:9" x14ac:dyDescent="0.25">
      <c r="A872" s="242">
        <v>42893</v>
      </c>
      <c r="B872" s="18">
        <v>114973</v>
      </c>
      <c r="C872" s="235" t="s">
        <v>19677</v>
      </c>
      <c r="D872" s="236" t="s">
        <v>15568</v>
      </c>
      <c r="E872" s="15">
        <v>770</v>
      </c>
      <c r="F872" s="237">
        <v>42894</v>
      </c>
      <c r="G872" s="15">
        <v>770</v>
      </c>
      <c r="H872" s="15">
        <f t="shared" si="13"/>
        <v>0</v>
      </c>
      <c r="I872" s="236" t="s">
        <v>19682</v>
      </c>
    </row>
    <row r="873" spans="1:9" x14ac:dyDescent="0.25">
      <c r="A873" s="36">
        <v>42893</v>
      </c>
      <c r="B873" s="18">
        <v>114974</v>
      </c>
      <c r="C873" s="235" t="s">
        <v>19677</v>
      </c>
      <c r="D873" s="236" t="s">
        <v>15594</v>
      </c>
      <c r="E873" s="15">
        <v>1031.7</v>
      </c>
      <c r="F873" s="237">
        <v>42894</v>
      </c>
      <c r="G873" s="15">
        <v>1031.7</v>
      </c>
      <c r="H873" s="15">
        <f t="shared" si="13"/>
        <v>0</v>
      </c>
      <c r="I873" s="236" t="s">
        <v>19682</v>
      </c>
    </row>
    <row r="874" spans="1:9" x14ac:dyDescent="0.25">
      <c r="A874" s="242">
        <v>42893</v>
      </c>
      <c r="B874" s="18">
        <v>114975</v>
      </c>
      <c r="C874" s="235" t="s">
        <v>19677</v>
      </c>
      <c r="D874" s="236" t="s">
        <v>15391</v>
      </c>
      <c r="E874" s="15">
        <v>6195</v>
      </c>
      <c r="F874" s="237">
        <v>42894</v>
      </c>
      <c r="G874" s="15">
        <v>6195</v>
      </c>
      <c r="H874" s="15">
        <f t="shared" si="13"/>
        <v>0</v>
      </c>
      <c r="I874" s="236" t="s">
        <v>19682</v>
      </c>
    </row>
    <row r="875" spans="1:9" x14ac:dyDescent="0.25">
      <c r="A875" s="36">
        <v>42893</v>
      </c>
      <c r="B875" s="18">
        <v>114976</v>
      </c>
      <c r="C875" s="235" t="s">
        <v>19677</v>
      </c>
      <c r="D875" s="236" t="s">
        <v>15544</v>
      </c>
      <c r="E875" s="15">
        <v>3303.3</v>
      </c>
      <c r="F875" s="237">
        <v>42895</v>
      </c>
      <c r="G875" s="15">
        <v>3303.3</v>
      </c>
      <c r="H875" s="15">
        <f t="shared" si="13"/>
        <v>0</v>
      </c>
      <c r="I875" s="236" t="s">
        <v>19682</v>
      </c>
    </row>
    <row r="876" spans="1:9" x14ac:dyDescent="0.25">
      <c r="A876" s="242">
        <v>42893</v>
      </c>
      <c r="B876" s="18">
        <v>114977</v>
      </c>
      <c r="C876" s="235" t="s">
        <v>19677</v>
      </c>
      <c r="D876" s="236" t="s">
        <v>15581</v>
      </c>
      <c r="E876" s="15">
        <v>18110</v>
      </c>
      <c r="F876" s="237">
        <v>42899</v>
      </c>
      <c r="G876" s="15">
        <v>18110</v>
      </c>
      <c r="H876" s="15">
        <f t="shared" si="13"/>
        <v>0</v>
      </c>
      <c r="I876" s="236" t="s">
        <v>19682</v>
      </c>
    </row>
    <row r="877" spans="1:9" x14ac:dyDescent="0.25">
      <c r="A877" s="36">
        <v>42893</v>
      </c>
      <c r="B877" s="18">
        <v>114978</v>
      </c>
      <c r="C877" s="235" t="s">
        <v>19677</v>
      </c>
      <c r="D877" s="236" t="s">
        <v>15539</v>
      </c>
      <c r="E877" s="15">
        <v>16809</v>
      </c>
      <c r="F877" s="237">
        <v>42895</v>
      </c>
      <c r="G877" s="15">
        <v>16809</v>
      </c>
      <c r="H877" s="15">
        <f t="shared" si="13"/>
        <v>0</v>
      </c>
      <c r="I877" s="236" t="s">
        <v>19682</v>
      </c>
    </row>
    <row r="878" spans="1:9" ht="15.75" x14ac:dyDescent="0.25">
      <c r="A878" s="242">
        <v>42893</v>
      </c>
      <c r="B878" s="18">
        <v>114979</v>
      </c>
      <c r="C878" s="235" t="s">
        <v>19677</v>
      </c>
      <c r="D878" s="239" t="s">
        <v>95</v>
      </c>
      <c r="E878" s="15">
        <v>0</v>
      </c>
      <c r="F878" s="240" t="s">
        <v>95</v>
      </c>
      <c r="G878" s="15">
        <v>0</v>
      </c>
      <c r="H878" s="15">
        <f t="shared" si="13"/>
        <v>0</v>
      </c>
      <c r="I878" s="236" t="s">
        <v>19678</v>
      </c>
    </row>
    <row r="879" spans="1:9" x14ac:dyDescent="0.25">
      <c r="A879" s="36">
        <v>42893</v>
      </c>
      <c r="B879" s="18">
        <v>114980</v>
      </c>
      <c r="C879" s="235" t="s">
        <v>19677</v>
      </c>
      <c r="D879" s="236" t="s">
        <v>15537</v>
      </c>
      <c r="E879" s="15">
        <v>16668.599999999999</v>
      </c>
      <c r="F879" s="237">
        <v>42900</v>
      </c>
      <c r="G879" s="15">
        <v>16668.599999999999</v>
      </c>
      <c r="H879" s="15">
        <f t="shared" si="13"/>
        <v>0</v>
      </c>
      <c r="I879" s="236" t="s">
        <v>19682</v>
      </c>
    </row>
    <row r="880" spans="1:9" x14ac:dyDescent="0.25">
      <c r="A880" s="242">
        <v>42893</v>
      </c>
      <c r="B880" s="18">
        <v>114981</v>
      </c>
      <c r="C880" s="235" t="s">
        <v>19677</v>
      </c>
      <c r="D880" s="236" t="s">
        <v>15361</v>
      </c>
      <c r="E880" s="15">
        <v>9983.7000000000007</v>
      </c>
      <c r="F880" s="237">
        <v>42894</v>
      </c>
      <c r="G880" s="15">
        <v>9983.7000000000007</v>
      </c>
      <c r="H880" s="15">
        <f t="shared" si="13"/>
        <v>0</v>
      </c>
      <c r="I880" s="236" t="s">
        <v>19682</v>
      </c>
    </row>
    <row r="881" spans="1:9" x14ac:dyDescent="0.25">
      <c r="A881" s="36">
        <v>42893</v>
      </c>
      <c r="B881" s="18">
        <v>114982</v>
      </c>
      <c r="C881" s="235" t="s">
        <v>19677</v>
      </c>
      <c r="D881" s="236" t="s">
        <v>15315</v>
      </c>
      <c r="E881" s="15">
        <v>3357.9</v>
      </c>
      <c r="F881" s="237">
        <v>42894</v>
      </c>
      <c r="G881" s="15">
        <v>3357.9</v>
      </c>
      <c r="H881" s="15">
        <f t="shared" si="13"/>
        <v>0</v>
      </c>
      <c r="I881" s="236" t="s">
        <v>19682</v>
      </c>
    </row>
    <row r="882" spans="1:9" x14ac:dyDescent="0.25">
      <c r="A882" s="242">
        <v>42893</v>
      </c>
      <c r="B882" s="18">
        <v>114983</v>
      </c>
      <c r="C882" s="235" t="s">
        <v>19677</v>
      </c>
      <c r="D882" s="236" t="s">
        <v>15665</v>
      </c>
      <c r="E882" s="15">
        <v>824.4</v>
      </c>
      <c r="F882" s="237">
        <v>42893</v>
      </c>
      <c r="G882" s="15">
        <v>824.4</v>
      </c>
      <c r="H882" s="15">
        <f t="shared" si="13"/>
        <v>0</v>
      </c>
      <c r="I882" s="236" t="s">
        <v>19682</v>
      </c>
    </row>
    <row r="883" spans="1:9" x14ac:dyDescent="0.25">
      <c r="A883" s="36">
        <v>42893</v>
      </c>
      <c r="B883" s="18">
        <v>114984</v>
      </c>
      <c r="C883" s="235" t="s">
        <v>19677</v>
      </c>
      <c r="D883" s="236" t="s">
        <v>15431</v>
      </c>
      <c r="E883" s="15">
        <v>9609.2000000000007</v>
      </c>
      <c r="F883" s="237">
        <v>42893</v>
      </c>
      <c r="G883" s="15">
        <v>9609.2000000000007</v>
      </c>
      <c r="H883" s="15">
        <f t="shared" si="13"/>
        <v>0</v>
      </c>
      <c r="I883" s="236" t="s">
        <v>19682</v>
      </c>
    </row>
    <row r="884" spans="1:9" x14ac:dyDescent="0.25">
      <c r="A884" s="242">
        <v>42893</v>
      </c>
      <c r="B884" s="18">
        <v>114985</v>
      </c>
      <c r="C884" s="235" t="s">
        <v>19677</v>
      </c>
      <c r="D884" s="236" t="s">
        <v>15912</v>
      </c>
      <c r="E884" s="15">
        <v>1813</v>
      </c>
      <c r="F884" s="237">
        <v>42893</v>
      </c>
      <c r="G884" s="15">
        <v>1813</v>
      </c>
      <c r="H884" s="15">
        <f t="shared" si="13"/>
        <v>0</v>
      </c>
      <c r="I884" s="236" t="s">
        <v>19682</v>
      </c>
    </row>
    <row r="885" spans="1:9" x14ac:dyDescent="0.25">
      <c r="A885" s="36">
        <v>42893</v>
      </c>
      <c r="B885" s="18">
        <v>114986</v>
      </c>
      <c r="C885" s="235" t="s">
        <v>19677</v>
      </c>
      <c r="D885" s="236" t="s">
        <v>15549</v>
      </c>
      <c r="E885" s="15">
        <v>10865.9</v>
      </c>
      <c r="F885" s="237">
        <v>42893</v>
      </c>
      <c r="G885" s="15">
        <v>10865.9</v>
      </c>
      <c r="H885" s="15">
        <f t="shared" si="13"/>
        <v>0</v>
      </c>
      <c r="I885" s="236" t="s">
        <v>19682</v>
      </c>
    </row>
    <row r="886" spans="1:9" x14ac:dyDescent="0.25">
      <c r="A886" s="242">
        <v>42893</v>
      </c>
      <c r="B886" s="18">
        <v>114987</v>
      </c>
      <c r="C886" s="235" t="s">
        <v>19677</v>
      </c>
      <c r="D886" s="236" t="s">
        <v>19704</v>
      </c>
      <c r="E886" s="15">
        <v>2103.4</v>
      </c>
      <c r="F886" s="237">
        <v>42893</v>
      </c>
      <c r="G886" s="15">
        <v>2103.4</v>
      </c>
      <c r="H886" s="15">
        <f t="shared" si="13"/>
        <v>0</v>
      </c>
      <c r="I886" s="236" t="s">
        <v>19682</v>
      </c>
    </row>
    <row r="887" spans="1:9" x14ac:dyDescent="0.25">
      <c r="A887" s="36">
        <v>42893</v>
      </c>
      <c r="B887" s="18">
        <v>114988</v>
      </c>
      <c r="C887" s="235" t="s">
        <v>19677</v>
      </c>
      <c r="D887" s="236" t="s">
        <v>16108</v>
      </c>
      <c r="E887" s="15">
        <v>584.20000000000005</v>
      </c>
      <c r="F887" s="237">
        <v>42893</v>
      </c>
      <c r="G887" s="15">
        <v>584.20000000000005</v>
      </c>
      <c r="H887" s="15">
        <f t="shared" si="13"/>
        <v>0</v>
      </c>
      <c r="I887" s="236" t="s">
        <v>19682</v>
      </c>
    </row>
    <row r="888" spans="1:9" x14ac:dyDescent="0.25">
      <c r="A888" s="242">
        <v>42893</v>
      </c>
      <c r="B888" s="18">
        <v>114989</v>
      </c>
      <c r="C888" s="235" t="s">
        <v>19677</v>
      </c>
      <c r="D888" s="236" t="s">
        <v>15346</v>
      </c>
      <c r="E888" s="15">
        <v>3507</v>
      </c>
      <c r="F888" s="237">
        <v>42893</v>
      </c>
      <c r="G888" s="15">
        <v>3507</v>
      </c>
      <c r="H888" s="15">
        <f t="shared" si="13"/>
        <v>0</v>
      </c>
      <c r="I888" s="236" t="s">
        <v>19682</v>
      </c>
    </row>
    <row r="889" spans="1:9" x14ac:dyDescent="0.25">
      <c r="A889" s="36">
        <v>42893</v>
      </c>
      <c r="B889" s="18">
        <v>114990</v>
      </c>
      <c r="C889" s="235" t="s">
        <v>19677</v>
      </c>
      <c r="D889" s="236" t="s">
        <v>15315</v>
      </c>
      <c r="E889" s="15">
        <v>277.2</v>
      </c>
      <c r="F889" s="237">
        <v>42893</v>
      </c>
      <c r="G889" s="15">
        <v>277.2</v>
      </c>
      <c r="H889" s="15">
        <f t="shared" si="13"/>
        <v>0</v>
      </c>
      <c r="I889" s="236" t="s">
        <v>19682</v>
      </c>
    </row>
    <row r="890" spans="1:9" x14ac:dyDescent="0.25">
      <c r="A890" s="242">
        <v>42893</v>
      </c>
      <c r="B890" s="18">
        <v>114991</v>
      </c>
      <c r="C890" s="235" t="s">
        <v>19677</v>
      </c>
      <c r="D890" s="236" t="s">
        <v>15315</v>
      </c>
      <c r="E890" s="15">
        <v>3141.6</v>
      </c>
      <c r="F890" s="237">
        <v>42893</v>
      </c>
      <c r="G890" s="15">
        <v>3141.6</v>
      </c>
      <c r="H890" s="15">
        <f t="shared" si="13"/>
        <v>0</v>
      </c>
      <c r="I890" s="236" t="s">
        <v>19682</v>
      </c>
    </row>
    <row r="891" spans="1:9" x14ac:dyDescent="0.25">
      <c r="A891" s="36">
        <v>42893</v>
      </c>
      <c r="B891" s="18">
        <v>114992</v>
      </c>
      <c r="C891" s="235" t="s">
        <v>19677</v>
      </c>
      <c r="D891" s="236" t="s">
        <v>15423</v>
      </c>
      <c r="E891" s="15">
        <v>2732.4</v>
      </c>
      <c r="F891" s="237">
        <v>42893</v>
      </c>
      <c r="G891" s="15">
        <v>2732.4</v>
      </c>
      <c r="H891" s="15">
        <f t="shared" si="13"/>
        <v>0</v>
      </c>
      <c r="I891" s="236" t="s">
        <v>19682</v>
      </c>
    </row>
    <row r="892" spans="1:9" x14ac:dyDescent="0.25">
      <c r="A892" s="242">
        <v>42893</v>
      </c>
      <c r="B892" s="18">
        <v>114993</v>
      </c>
      <c r="C892" s="235" t="s">
        <v>19677</v>
      </c>
      <c r="D892" s="236" t="s">
        <v>19705</v>
      </c>
      <c r="E892" s="15">
        <v>22601.599999999999</v>
      </c>
      <c r="F892" s="237">
        <v>42894</v>
      </c>
      <c r="G892" s="15">
        <v>22601.599999999999</v>
      </c>
      <c r="H892" s="15">
        <f t="shared" si="13"/>
        <v>0</v>
      </c>
      <c r="I892" s="236" t="s">
        <v>19682</v>
      </c>
    </row>
    <row r="893" spans="1:9" ht="15.75" x14ac:dyDescent="0.25">
      <c r="A893" s="36">
        <v>42893</v>
      </c>
      <c r="B893" s="18">
        <v>114994</v>
      </c>
      <c r="C893" s="235" t="s">
        <v>19677</v>
      </c>
      <c r="D893" s="239" t="s">
        <v>95</v>
      </c>
      <c r="E893" s="15">
        <v>0</v>
      </c>
      <c r="F893" s="243" t="s">
        <v>95</v>
      </c>
      <c r="G893" s="15">
        <v>0</v>
      </c>
      <c r="H893" s="15">
        <f t="shared" si="13"/>
        <v>0</v>
      </c>
      <c r="I893" s="236" t="s">
        <v>19678</v>
      </c>
    </row>
    <row r="894" spans="1:9" ht="31.5" x14ac:dyDescent="0.25">
      <c r="A894" s="242">
        <v>42893</v>
      </c>
      <c r="B894" s="18">
        <v>114995</v>
      </c>
      <c r="C894" s="235" t="s">
        <v>19677</v>
      </c>
      <c r="D894" s="239" t="s">
        <v>95</v>
      </c>
      <c r="E894" s="15">
        <v>0</v>
      </c>
      <c r="F894" s="249" t="s">
        <v>19706</v>
      </c>
      <c r="G894" s="15">
        <v>0</v>
      </c>
      <c r="H894" s="15">
        <f t="shared" si="13"/>
        <v>0</v>
      </c>
      <c r="I894" s="236" t="s">
        <v>19678</v>
      </c>
    </row>
    <row r="895" spans="1:9" x14ac:dyDescent="0.25">
      <c r="A895" s="36">
        <v>42893</v>
      </c>
      <c r="B895" s="18">
        <v>114996</v>
      </c>
      <c r="C895" s="235" t="s">
        <v>19677</v>
      </c>
      <c r="D895" s="236" t="s">
        <v>15394</v>
      </c>
      <c r="E895" s="15">
        <v>4248</v>
      </c>
      <c r="F895" s="237">
        <v>42899</v>
      </c>
      <c r="G895" s="15">
        <v>4248</v>
      </c>
      <c r="H895" s="15">
        <f t="shared" si="13"/>
        <v>0</v>
      </c>
      <c r="I895" s="236" t="s">
        <v>19682</v>
      </c>
    </row>
    <row r="896" spans="1:9" x14ac:dyDescent="0.25">
      <c r="A896" s="242">
        <v>42893</v>
      </c>
      <c r="B896" s="18">
        <v>114997</v>
      </c>
      <c r="C896" s="235" t="s">
        <v>19677</v>
      </c>
      <c r="D896" s="236" t="s">
        <v>15394</v>
      </c>
      <c r="E896" s="15">
        <v>13086</v>
      </c>
      <c r="F896" s="237">
        <v>42899</v>
      </c>
      <c r="G896" s="15">
        <v>13086</v>
      </c>
      <c r="H896" s="15">
        <f t="shared" si="13"/>
        <v>0</v>
      </c>
      <c r="I896" s="236" t="s">
        <v>19682</v>
      </c>
    </row>
    <row r="897" spans="1:9" x14ac:dyDescent="0.25">
      <c r="A897" s="36">
        <v>42893</v>
      </c>
      <c r="B897" s="18">
        <v>114998</v>
      </c>
      <c r="C897" s="235" t="s">
        <v>19677</v>
      </c>
      <c r="D897" s="236" t="s">
        <v>15394</v>
      </c>
      <c r="E897" s="15">
        <v>1545.3</v>
      </c>
      <c r="F897" s="237">
        <v>42899</v>
      </c>
      <c r="G897" s="15">
        <v>1545.3</v>
      </c>
      <c r="H897" s="15">
        <f t="shared" si="13"/>
        <v>0</v>
      </c>
      <c r="I897" s="236" t="s">
        <v>19682</v>
      </c>
    </row>
    <row r="898" spans="1:9" x14ac:dyDescent="0.25">
      <c r="A898" s="242">
        <v>42893</v>
      </c>
      <c r="B898" s="18">
        <v>114999</v>
      </c>
      <c r="C898" s="235" t="s">
        <v>19677</v>
      </c>
      <c r="D898" s="236" t="s">
        <v>15373</v>
      </c>
      <c r="E898" s="15">
        <v>418</v>
      </c>
      <c r="F898" s="237">
        <v>42894</v>
      </c>
      <c r="G898" s="15">
        <v>418</v>
      </c>
      <c r="H898" s="15">
        <f t="shared" ref="H898:H961" si="14">E898-G898</f>
        <v>0</v>
      </c>
      <c r="I898" s="236" t="s">
        <v>19682</v>
      </c>
    </row>
    <row r="899" spans="1:9" x14ac:dyDescent="0.25">
      <c r="A899" s="36">
        <v>42893</v>
      </c>
      <c r="B899" s="18">
        <v>115000</v>
      </c>
      <c r="C899" s="235" t="s">
        <v>19677</v>
      </c>
      <c r="D899" s="236" t="s">
        <v>15427</v>
      </c>
      <c r="E899" s="15">
        <v>8955</v>
      </c>
      <c r="F899" s="237">
        <v>42894</v>
      </c>
      <c r="G899" s="15">
        <v>8955</v>
      </c>
      <c r="H899" s="15">
        <f t="shared" si="14"/>
        <v>0</v>
      </c>
      <c r="I899" s="236" t="s">
        <v>19682</v>
      </c>
    </row>
    <row r="900" spans="1:9" x14ac:dyDescent="0.25">
      <c r="A900" s="242">
        <v>42893</v>
      </c>
      <c r="B900" s="18">
        <v>115001</v>
      </c>
      <c r="C900" s="235" t="s">
        <v>19677</v>
      </c>
      <c r="D900" s="236" t="s">
        <v>15530</v>
      </c>
      <c r="E900" s="15">
        <v>787</v>
      </c>
      <c r="F900" s="237">
        <v>42893</v>
      </c>
      <c r="G900" s="15">
        <v>787</v>
      </c>
      <c r="H900" s="15">
        <f t="shared" si="14"/>
        <v>0</v>
      </c>
      <c r="I900" s="236" t="s">
        <v>19682</v>
      </c>
    </row>
    <row r="901" spans="1:9" x14ac:dyDescent="0.25">
      <c r="A901" s="36">
        <v>42893</v>
      </c>
      <c r="B901" s="18">
        <v>115002</v>
      </c>
      <c r="C901" s="235" t="s">
        <v>19677</v>
      </c>
      <c r="D901" s="236" t="s">
        <v>15380</v>
      </c>
      <c r="E901" s="15">
        <v>31620</v>
      </c>
      <c r="F901" s="237">
        <v>42902</v>
      </c>
      <c r="G901" s="15">
        <v>31620</v>
      </c>
      <c r="H901" s="15">
        <f t="shared" si="14"/>
        <v>0</v>
      </c>
      <c r="I901" s="236" t="s">
        <v>19682</v>
      </c>
    </row>
    <row r="902" spans="1:9" x14ac:dyDescent="0.25">
      <c r="A902" s="242">
        <v>42893</v>
      </c>
      <c r="B902" s="18">
        <v>115003</v>
      </c>
      <c r="C902" s="235" t="s">
        <v>19677</v>
      </c>
      <c r="D902" s="236" t="s">
        <v>15920</v>
      </c>
      <c r="E902" s="15">
        <v>24412</v>
      </c>
      <c r="F902" s="237">
        <v>42909</v>
      </c>
      <c r="G902" s="15">
        <v>24412</v>
      </c>
      <c r="H902" s="15">
        <f t="shared" si="14"/>
        <v>0</v>
      </c>
      <c r="I902" s="236" t="s">
        <v>19682</v>
      </c>
    </row>
    <row r="903" spans="1:9" x14ac:dyDescent="0.25">
      <c r="A903" s="36">
        <v>42893</v>
      </c>
      <c r="B903" s="18">
        <v>115004</v>
      </c>
      <c r="C903" s="235" t="s">
        <v>19677</v>
      </c>
      <c r="D903" s="236" t="s">
        <v>15389</v>
      </c>
      <c r="E903" s="15">
        <v>12662.9</v>
      </c>
      <c r="F903" s="237">
        <v>42916</v>
      </c>
      <c r="G903" s="15">
        <v>12662.9</v>
      </c>
      <c r="H903" s="15">
        <f t="shared" si="14"/>
        <v>0</v>
      </c>
      <c r="I903" s="236" t="s">
        <v>19682</v>
      </c>
    </row>
    <row r="904" spans="1:9" x14ac:dyDescent="0.25">
      <c r="A904" s="242">
        <v>42893</v>
      </c>
      <c r="B904" s="18">
        <v>115005</v>
      </c>
      <c r="C904" s="235" t="s">
        <v>19677</v>
      </c>
      <c r="D904" s="236" t="s">
        <v>15367</v>
      </c>
      <c r="E904" s="15">
        <v>6283.2</v>
      </c>
      <c r="F904" s="237">
        <v>42894</v>
      </c>
      <c r="G904" s="15">
        <v>6283.2</v>
      </c>
      <c r="H904" s="15">
        <f t="shared" si="14"/>
        <v>0</v>
      </c>
      <c r="I904" s="236" t="s">
        <v>19682</v>
      </c>
    </row>
    <row r="905" spans="1:9" x14ac:dyDescent="0.25">
      <c r="A905" s="36">
        <v>42893</v>
      </c>
      <c r="B905" s="18">
        <v>115006</v>
      </c>
      <c r="C905" s="235" t="s">
        <v>19677</v>
      </c>
      <c r="D905" s="236" t="s">
        <v>19707</v>
      </c>
      <c r="E905" s="15">
        <v>2106.1</v>
      </c>
      <c r="F905" s="237">
        <v>42893</v>
      </c>
      <c r="G905" s="15">
        <v>2106.1</v>
      </c>
      <c r="H905" s="15">
        <f t="shared" si="14"/>
        <v>0</v>
      </c>
      <c r="I905" s="236" t="s">
        <v>19682</v>
      </c>
    </row>
    <row r="906" spans="1:9" x14ac:dyDescent="0.25">
      <c r="A906" s="242">
        <v>42893</v>
      </c>
      <c r="B906" s="18">
        <v>115007</v>
      </c>
      <c r="C906" s="235" t="s">
        <v>19677</v>
      </c>
      <c r="D906" s="236" t="s">
        <v>15417</v>
      </c>
      <c r="E906" s="15">
        <v>2191.5</v>
      </c>
      <c r="F906" s="237">
        <v>42894</v>
      </c>
      <c r="G906" s="15">
        <v>2191.5</v>
      </c>
      <c r="H906" s="15">
        <f t="shared" si="14"/>
        <v>0</v>
      </c>
      <c r="I906" s="236" t="s">
        <v>19682</v>
      </c>
    </row>
    <row r="907" spans="1:9" x14ac:dyDescent="0.25">
      <c r="A907" s="36">
        <v>42893</v>
      </c>
      <c r="B907" s="18">
        <v>115008</v>
      </c>
      <c r="C907" s="235" t="s">
        <v>19677</v>
      </c>
      <c r="D907" s="236" t="s">
        <v>15284</v>
      </c>
      <c r="E907" s="15">
        <v>1732.3</v>
      </c>
      <c r="F907" s="237">
        <v>42893</v>
      </c>
      <c r="G907" s="15">
        <v>1732.3</v>
      </c>
      <c r="H907" s="15">
        <f t="shared" si="14"/>
        <v>0</v>
      </c>
      <c r="I907" s="236" t="s">
        <v>19682</v>
      </c>
    </row>
    <row r="908" spans="1:9" x14ac:dyDescent="0.25">
      <c r="A908" s="242">
        <v>42893</v>
      </c>
      <c r="B908" s="18">
        <v>115009</v>
      </c>
      <c r="C908" s="235" t="s">
        <v>19677</v>
      </c>
      <c r="D908" s="236" t="s">
        <v>15307</v>
      </c>
      <c r="E908" s="15">
        <v>774</v>
      </c>
      <c r="F908" s="237">
        <v>42894</v>
      </c>
      <c r="G908" s="15">
        <v>774</v>
      </c>
      <c r="H908" s="15">
        <f t="shared" si="14"/>
        <v>0</v>
      </c>
      <c r="I908" s="236" t="s">
        <v>19682</v>
      </c>
    </row>
    <row r="909" spans="1:9" x14ac:dyDescent="0.25">
      <c r="A909" s="36">
        <v>42893</v>
      </c>
      <c r="B909" s="18">
        <v>115010</v>
      </c>
      <c r="C909" s="235" t="s">
        <v>19677</v>
      </c>
      <c r="D909" s="236" t="s">
        <v>15759</v>
      </c>
      <c r="E909" s="15">
        <v>4664.6000000000004</v>
      </c>
      <c r="F909" s="237">
        <v>42893</v>
      </c>
      <c r="G909" s="15">
        <v>4664.6000000000004</v>
      </c>
      <c r="H909" s="15">
        <f t="shared" si="14"/>
        <v>0</v>
      </c>
      <c r="I909" s="236" t="s">
        <v>19682</v>
      </c>
    </row>
    <row r="910" spans="1:9" x14ac:dyDescent="0.25">
      <c r="A910" s="242">
        <v>42893</v>
      </c>
      <c r="B910" s="18">
        <v>115011</v>
      </c>
      <c r="C910" s="235" t="s">
        <v>19677</v>
      </c>
      <c r="D910" s="236" t="s">
        <v>15745</v>
      </c>
      <c r="E910" s="15">
        <v>1808.2</v>
      </c>
      <c r="F910" s="237">
        <v>42894</v>
      </c>
      <c r="G910" s="15">
        <v>1808.2</v>
      </c>
      <c r="H910" s="15">
        <f t="shared" si="14"/>
        <v>0</v>
      </c>
      <c r="I910" s="236" t="s">
        <v>19682</v>
      </c>
    </row>
    <row r="911" spans="1:9" x14ac:dyDescent="0.25">
      <c r="A911" s="36">
        <v>42893</v>
      </c>
      <c r="B911" s="18">
        <v>115012</v>
      </c>
      <c r="C911" s="235" t="s">
        <v>19677</v>
      </c>
      <c r="D911" s="236" t="s">
        <v>15309</v>
      </c>
      <c r="E911" s="15">
        <v>6316.3</v>
      </c>
      <c r="F911" s="237">
        <v>42894</v>
      </c>
      <c r="G911" s="15">
        <v>6316.3</v>
      </c>
      <c r="H911" s="15">
        <f t="shared" si="14"/>
        <v>0</v>
      </c>
      <c r="I911" s="236" t="s">
        <v>19682</v>
      </c>
    </row>
    <row r="912" spans="1:9" x14ac:dyDescent="0.25">
      <c r="A912" s="242">
        <v>42893</v>
      </c>
      <c r="B912" s="18">
        <v>115013</v>
      </c>
      <c r="C912" s="235" t="s">
        <v>19677</v>
      </c>
      <c r="D912" s="236" t="s">
        <v>15320</v>
      </c>
      <c r="E912" s="15">
        <v>2041.6</v>
      </c>
      <c r="F912" s="237">
        <v>42894</v>
      </c>
      <c r="G912" s="15">
        <v>2041.6</v>
      </c>
      <c r="H912" s="15">
        <f t="shared" si="14"/>
        <v>0</v>
      </c>
      <c r="I912" s="236" t="s">
        <v>19682</v>
      </c>
    </row>
    <row r="913" spans="1:9" x14ac:dyDescent="0.25">
      <c r="A913" s="36">
        <v>42893</v>
      </c>
      <c r="B913" s="18">
        <v>115014</v>
      </c>
      <c r="C913" s="235" t="s">
        <v>19677</v>
      </c>
      <c r="D913" s="236" t="s">
        <v>15291</v>
      </c>
      <c r="E913" s="15">
        <v>473.8</v>
      </c>
      <c r="F913" s="237">
        <v>42894</v>
      </c>
      <c r="G913" s="15">
        <v>473.8</v>
      </c>
      <c r="H913" s="15">
        <f t="shared" si="14"/>
        <v>0</v>
      </c>
      <c r="I913" s="236" t="s">
        <v>19682</v>
      </c>
    </row>
    <row r="914" spans="1:9" x14ac:dyDescent="0.25">
      <c r="A914" s="242">
        <v>42893</v>
      </c>
      <c r="B914" s="18">
        <v>115015</v>
      </c>
      <c r="C914" s="235" t="s">
        <v>19677</v>
      </c>
      <c r="D914" s="236" t="s">
        <v>15276</v>
      </c>
      <c r="E914" s="15">
        <v>2300</v>
      </c>
      <c r="F914" s="237">
        <v>42894</v>
      </c>
      <c r="G914" s="15">
        <v>2300</v>
      </c>
      <c r="H914" s="15">
        <f t="shared" si="14"/>
        <v>0</v>
      </c>
      <c r="I914" s="236" t="s">
        <v>19682</v>
      </c>
    </row>
    <row r="915" spans="1:9" x14ac:dyDescent="0.25">
      <c r="A915" s="36">
        <v>42893</v>
      </c>
      <c r="B915" s="18">
        <v>115016</v>
      </c>
      <c r="C915" s="235" t="s">
        <v>19677</v>
      </c>
      <c r="D915" s="236" t="s">
        <v>16792</v>
      </c>
      <c r="E915" s="15">
        <v>911.8</v>
      </c>
      <c r="F915" s="237">
        <v>42894</v>
      </c>
      <c r="G915" s="15">
        <v>911.8</v>
      </c>
      <c r="H915" s="15">
        <f t="shared" si="14"/>
        <v>0</v>
      </c>
      <c r="I915" s="236" t="s">
        <v>19682</v>
      </c>
    </row>
    <row r="916" spans="1:9" x14ac:dyDescent="0.25">
      <c r="A916" s="242">
        <v>42893</v>
      </c>
      <c r="B916" s="18">
        <v>115017</v>
      </c>
      <c r="C916" s="235" t="s">
        <v>19677</v>
      </c>
      <c r="D916" s="236" t="s">
        <v>15413</v>
      </c>
      <c r="E916" s="15">
        <v>1998.8</v>
      </c>
      <c r="F916" s="237"/>
      <c r="G916" s="15"/>
      <c r="H916" s="15">
        <f t="shared" si="14"/>
        <v>1998.8</v>
      </c>
      <c r="I916" s="236" t="s">
        <v>19682</v>
      </c>
    </row>
    <row r="917" spans="1:9" x14ac:dyDescent="0.25">
      <c r="A917" s="36">
        <v>42893</v>
      </c>
      <c r="B917" s="18">
        <v>115018</v>
      </c>
      <c r="C917" s="235" t="s">
        <v>19677</v>
      </c>
      <c r="D917" s="236" t="s">
        <v>15387</v>
      </c>
      <c r="E917" s="15">
        <v>739.34</v>
      </c>
      <c r="F917" s="237">
        <v>42894</v>
      </c>
      <c r="G917" s="15">
        <v>739.34</v>
      </c>
      <c r="H917" s="15">
        <f t="shared" si="14"/>
        <v>0</v>
      </c>
      <c r="I917" s="236" t="s">
        <v>19682</v>
      </c>
    </row>
    <row r="918" spans="1:9" x14ac:dyDescent="0.25">
      <c r="A918" s="242">
        <v>42893</v>
      </c>
      <c r="B918" s="18">
        <v>115019</v>
      </c>
      <c r="C918" s="235" t="s">
        <v>19677</v>
      </c>
      <c r="D918" s="236" t="s">
        <v>15223</v>
      </c>
      <c r="E918" s="15">
        <v>24922.799999999999</v>
      </c>
      <c r="F918" s="237">
        <v>42911</v>
      </c>
      <c r="G918" s="15">
        <v>24922.799999999999</v>
      </c>
      <c r="H918" s="15">
        <f t="shared" si="14"/>
        <v>0</v>
      </c>
      <c r="I918" s="236" t="s">
        <v>19682</v>
      </c>
    </row>
    <row r="919" spans="1:9" x14ac:dyDescent="0.25">
      <c r="A919" s="36">
        <v>42893</v>
      </c>
      <c r="B919" s="18">
        <v>115020</v>
      </c>
      <c r="C919" s="235" t="s">
        <v>19677</v>
      </c>
      <c r="D919" s="236" t="s">
        <v>16958</v>
      </c>
      <c r="E919" s="15">
        <v>3300</v>
      </c>
      <c r="F919" s="237">
        <v>42894</v>
      </c>
      <c r="G919" s="15">
        <v>3300</v>
      </c>
      <c r="H919" s="15">
        <f t="shared" si="14"/>
        <v>0</v>
      </c>
      <c r="I919" s="236" t="s">
        <v>19682</v>
      </c>
    </row>
    <row r="920" spans="1:9" x14ac:dyDescent="0.25">
      <c r="A920" s="242">
        <v>42893</v>
      </c>
      <c r="B920" s="18">
        <v>115021</v>
      </c>
      <c r="C920" s="235" t="s">
        <v>19677</v>
      </c>
      <c r="D920" s="236" t="s">
        <v>15444</v>
      </c>
      <c r="E920" s="15">
        <v>3375.6</v>
      </c>
      <c r="F920" s="237">
        <v>42894</v>
      </c>
      <c r="G920" s="15">
        <v>3375.6</v>
      </c>
      <c r="H920" s="15">
        <f t="shared" si="14"/>
        <v>0</v>
      </c>
      <c r="I920" s="236" t="s">
        <v>19682</v>
      </c>
    </row>
    <row r="921" spans="1:9" x14ac:dyDescent="0.25">
      <c r="A921" s="36">
        <v>42893</v>
      </c>
      <c r="B921" s="18">
        <v>115022</v>
      </c>
      <c r="C921" s="235" t="s">
        <v>19677</v>
      </c>
      <c r="D921" s="236" t="s">
        <v>15407</v>
      </c>
      <c r="E921" s="15">
        <v>6755.8</v>
      </c>
      <c r="F921" s="237">
        <v>42893</v>
      </c>
      <c r="G921" s="15">
        <v>6755.8</v>
      </c>
      <c r="H921" s="15">
        <f t="shared" si="14"/>
        <v>0</v>
      </c>
      <c r="I921" s="236" t="s">
        <v>19682</v>
      </c>
    </row>
    <row r="922" spans="1:9" x14ac:dyDescent="0.25">
      <c r="A922" s="242">
        <v>42893</v>
      </c>
      <c r="B922" s="18">
        <v>115023</v>
      </c>
      <c r="C922" s="235" t="s">
        <v>19677</v>
      </c>
      <c r="D922" s="236" t="s">
        <v>15284</v>
      </c>
      <c r="E922" s="15">
        <v>893</v>
      </c>
      <c r="F922" s="237">
        <v>42893</v>
      </c>
      <c r="G922" s="15">
        <v>893</v>
      </c>
      <c r="H922" s="15">
        <f t="shared" si="14"/>
        <v>0</v>
      </c>
      <c r="I922" s="236" t="s">
        <v>19682</v>
      </c>
    </row>
    <row r="923" spans="1:9" x14ac:dyDescent="0.25">
      <c r="A923" s="36">
        <v>42893</v>
      </c>
      <c r="B923" s="18">
        <v>115024</v>
      </c>
      <c r="C923" s="235" t="s">
        <v>19677</v>
      </c>
      <c r="D923" s="236" t="s">
        <v>15328</v>
      </c>
      <c r="E923" s="15">
        <v>42671.86</v>
      </c>
      <c r="F923" s="237">
        <v>42902</v>
      </c>
      <c r="G923" s="15">
        <v>42671.86</v>
      </c>
      <c r="H923" s="15">
        <f t="shared" si="14"/>
        <v>0</v>
      </c>
      <c r="I923" s="236" t="s">
        <v>19682</v>
      </c>
    </row>
    <row r="924" spans="1:9" ht="15.75" x14ac:dyDescent="0.25">
      <c r="A924" s="242">
        <v>42893</v>
      </c>
      <c r="B924" s="18">
        <v>115025</v>
      </c>
      <c r="C924" s="235" t="s">
        <v>19677</v>
      </c>
      <c r="D924" s="239" t="s">
        <v>95</v>
      </c>
      <c r="E924" s="15">
        <v>0</v>
      </c>
      <c r="F924" s="240" t="s">
        <v>95</v>
      </c>
      <c r="G924" s="15">
        <v>0</v>
      </c>
      <c r="H924" s="15">
        <f t="shared" si="14"/>
        <v>0</v>
      </c>
      <c r="I924" s="236" t="s">
        <v>19678</v>
      </c>
    </row>
    <row r="925" spans="1:9" x14ac:dyDescent="0.25">
      <c r="A925" s="36">
        <v>42893</v>
      </c>
      <c r="B925" s="18">
        <v>115026</v>
      </c>
      <c r="C925" s="235" t="s">
        <v>19677</v>
      </c>
      <c r="D925" s="236" t="s">
        <v>15936</v>
      </c>
      <c r="E925" s="15">
        <v>33830</v>
      </c>
      <c r="F925" s="237">
        <v>42893</v>
      </c>
      <c r="G925" s="15">
        <v>33830</v>
      </c>
      <c r="H925" s="15">
        <f t="shared" si="14"/>
        <v>0</v>
      </c>
      <c r="I925" s="236" t="s">
        <v>19682</v>
      </c>
    </row>
    <row r="926" spans="1:9" x14ac:dyDescent="0.25">
      <c r="A926" s="242">
        <v>42893</v>
      </c>
      <c r="B926" s="18">
        <v>115027</v>
      </c>
      <c r="C926" s="235" t="s">
        <v>19677</v>
      </c>
      <c r="D926" s="236" t="s">
        <v>15789</v>
      </c>
      <c r="E926" s="15">
        <v>21612.400000000001</v>
      </c>
      <c r="F926" s="237">
        <v>42900</v>
      </c>
      <c r="G926" s="15">
        <v>21612.400000000001</v>
      </c>
      <c r="H926" s="15">
        <f t="shared" si="14"/>
        <v>0</v>
      </c>
      <c r="I926" s="236" t="s">
        <v>19682</v>
      </c>
    </row>
    <row r="927" spans="1:9" x14ac:dyDescent="0.25">
      <c r="A927" s="36">
        <v>42893</v>
      </c>
      <c r="B927" s="18">
        <v>115028</v>
      </c>
      <c r="C927" s="235" t="s">
        <v>19677</v>
      </c>
      <c r="D927" s="236" t="s">
        <v>15246</v>
      </c>
      <c r="E927" s="15">
        <v>389056.6</v>
      </c>
      <c r="F927" s="237">
        <v>42894</v>
      </c>
      <c r="G927" s="15">
        <v>389056.6</v>
      </c>
      <c r="H927" s="15">
        <f t="shared" si="14"/>
        <v>0</v>
      </c>
      <c r="I927" s="236" t="s">
        <v>19682</v>
      </c>
    </row>
    <row r="928" spans="1:9" x14ac:dyDescent="0.25">
      <c r="A928" s="242">
        <v>42893</v>
      </c>
      <c r="B928" s="18">
        <v>115029</v>
      </c>
      <c r="C928" s="235" t="s">
        <v>19677</v>
      </c>
      <c r="D928" s="236" t="s">
        <v>15246</v>
      </c>
      <c r="E928" s="15">
        <v>74642.2</v>
      </c>
      <c r="F928" s="237">
        <v>42894</v>
      </c>
      <c r="G928" s="15">
        <v>74642.2</v>
      </c>
      <c r="H928" s="15">
        <f t="shared" si="14"/>
        <v>0</v>
      </c>
      <c r="I928" s="236" t="s">
        <v>19682</v>
      </c>
    </row>
    <row r="929" spans="1:9" x14ac:dyDescent="0.25">
      <c r="A929" s="36">
        <v>42893</v>
      </c>
      <c r="B929" s="18">
        <v>115030</v>
      </c>
      <c r="C929" s="235" t="s">
        <v>19677</v>
      </c>
      <c r="D929" s="236" t="s">
        <v>15315</v>
      </c>
      <c r="E929" s="15">
        <v>3400</v>
      </c>
      <c r="F929" s="237">
        <v>42894</v>
      </c>
      <c r="G929" s="15">
        <v>3400</v>
      </c>
      <c r="H929" s="15">
        <f t="shared" si="14"/>
        <v>0</v>
      </c>
      <c r="I929" s="236" t="s">
        <v>19682</v>
      </c>
    </row>
    <row r="930" spans="1:9" ht="30" x14ac:dyDescent="0.25">
      <c r="A930" s="242">
        <v>42893</v>
      </c>
      <c r="B930" s="18">
        <v>115031</v>
      </c>
      <c r="C930" s="235" t="s">
        <v>19677</v>
      </c>
      <c r="D930" s="236" t="s">
        <v>15246</v>
      </c>
      <c r="E930" s="15">
        <v>51094.2</v>
      </c>
      <c r="F930" s="250" t="s">
        <v>19708</v>
      </c>
      <c r="G930" s="241">
        <f>29455.04+21639.16</f>
        <v>51094.2</v>
      </c>
      <c r="H930" s="241">
        <f t="shared" si="14"/>
        <v>0</v>
      </c>
      <c r="I930" s="236" t="s">
        <v>19682</v>
      </c>
    </row>
    <row r="931" spans="1:9" x14ac:dyDescent="0.25">
      <c r="A931" s="36">
        <v>42893</v>
      </c>
      <c r="B931" s="18">
        <v>115032</v>
      </c>
      <c r="C931" s="235" t="s">
        <v>19677</v>
      </c>
      <c r="D931" s="236" t="s">
        <v>15644</v>
      </c>
      <c r="E931" s="15">
        <v>2867</v>
      </c>
      <c r="F931" s="237">
        <v>42896</v>
      </c>
      <c r="G931" s="15">
        <v>2867</v>
      </c>
      <c r="H931" s="15">
        <f t="shared" si="14"/>
        <v>0</v>
      </c>
      <c r="I931" s="236" t="s">
        <v>19682</v>
      </c>
    </row>
    <row r="932" spans="1:9" x14ac:dyDescent="0.25">
      <c r="A932" s="242">
        <v>42893</v>
      </c>
      <c r="B932" s="18">
        <v>115033</v>
      </c>
      <c r="C932" s="235" t="s">
        <v>19677</v>
      </c>
      <c r="D932" s="236" t="s">
        <v>15642</v>
      </c>
      <c r="E932" s="15">
        <v>4046.7</v>
      </c>
      <c r="F932" s="237">
        <v>42893</v>
      </c>
      <c r="G932" s="15">
        <v>4046.7</v>
      </c>
      <c r="H932" s="15">
        <f t="shared" si="14"/>
        <v>0</v>
      </c>
      <c r="I932" s="236" t="s">
        <v>19682</v>
      </c>
    </row>
    <row r="933" spans="1:9" x14ac:dyDescent="0.25">
      <c r="A933" s="36">
        <v>42894</v>
      </c>
      <c r="B933" s="18">
        <v>115034</v>
      </c>
      <c r="C933" s="235" t="s">
        <v>19677</v>
      </c>
      <c r="D933" s="236" t="s">
        <v>15213</v>
      </c>
      <c r="E933" s="15">
        <v>9748.9</v>
      </c>
      <c r="F933" s="237">
        <v>42895</v>
      </c>
      <c r="G933" s="15">
        <v>9748.9</v>
      </c>
      <c r="H933" s="15">
        <f t="shared" si="14"/>
        <v>0</v>
      </c>
      <c r="I933" s="236" t="s">
        <v>19682</v>
      </c>
    </row>
    <row r="934" spans="1:9" x14ac:dyDescent="0.25">
      <c r="A934" s="242">
        <v>42894</v>
      </c>
      <c r="B934" s="18">
        <v>115035</v>
      </c>
      <c r="C934" s="235" t="s">
        <v>19677</v>
      </c>
      <c r="D934" s="236" t="s">
        <v>15332</v>
      </c>
      <c r="E934" s="15">
        <v>4003.3</v>
      </c>
      <c r="F934" s="237">
        <v>42894</v>
      </c>
      <c r="G934" s="15">
        <v>4003.3</v>
      </c>
      <c r="H934" s="15">
        <f t="shared" si="14"/>
        <v>0</v>
      </c>
      <c r="I934" s="236" t="s">
        <v>19682</v>
      </c>
    </row>
    <row r="935" spans="1:9" ht="30" x14ac:dyDescent="0.25">
      <c r="A935" s="36">
        <v>42894</v>
      </c>
      <c r="B935" s="18">
        <v>115036</v>
      </c>
      <c r="C935" s="235" t="s">
        <v>19677</v>
      </c>
      <c r="D935" s="236" t="s">
        <v>15213</v>
      </c>
      <c r="E935" s="15">
        <v>44245.9</v>
      </c>
      <c r="F935" s="237" t="s">
        <v>19703</v>
      </c>
      <c r="G935" s="241">
        <f>10000+34245.9</f>
        <v>44245.9</v>
      </c>
      <c r="H935" s="241">
        <f t="shared" si="14"/>
        <v>0</v>
      </c>
      <c r="I935" s="236" t="s">
        <v>19682</v>
      </c>
    </row>
    <row r="936" spans="1:9" x14ac:dyDescent="0.25">
      <c r="A936" s="242">
        <v>42894</v>
      </c>
      <c r="B936" s="18">
        <v>115037</v>
      </c>
      <c r="C936" s="235" t="s">
        <v>19677</v>
      </c>
      <c r="D936" s="236" t="s">
        <v>15220</v>
      </c>
      <c r="E936" s="15">
        <v>2300</v>
      </c>
      <c r="F936" s="237">
        <v>42894</v>
      </c>
      <c r="G936" s="15">
        <v>2300</v>
      </c>
      <c r="H936" s="15">
        <f t="shared" si="14"/>
        <v>0</v>
      </c>
      <c r="I936" s="236" t="s">
        <v>19682</v>
      </c>
    </row>
    <row r="937" spans="1:9" x14ac:dyDescent="0.25">
      <c r="A937" s="36">
        <v>42894</v>
      </c>
      <c r="B937" s="18">
        <v>115038</v>
      </c>
      <c r="C937" s="235" t="s">
        <v>19677</v>
      </c>
      <c r="D937" s="236" t="s">
        <v>18544</v>
      </c>
      <c r="E937" s="15">
        <v>6663.8</v>
      </c>
      <c r="F937" s="237">
        <v>42894</v>
      </c>
      <c r="G937" s="15">
        <v>6663.8</v>
      </c>
      <c r="H937" s="15">
        <f t="shared" si="14"/>
        <v>0</v>
      </c>
      <c r="I937" s="236" t="s">
        <v>19682</v>
      </c>
    </row>
    <row r="938" spans="1:9" x14ac:dyDescent="0.25">
      <c r="A938" s="242">
        <v>42894</v>
      </c>
      <c r="B938" s="18">
        <v>115039</v>
      </c>
      <c r="C938" s="235" t="s">
        <v>19677</v>
      </c>
      <c r="D938" s="236" t="s">
        <v>15348</v>
      </c>
      <c r="E938" s="15">
        <v>3294.1</v>
      </c>
      <c r="F938" s="237">
        <v>42896</v>
      </c>
      <c r="G938" s="15">
        <v>3294.1</v>
      </c>
      <c r="H938" s="15">
        <f t="shared" si="14"/>
        <v>0</v>
      </c>
      <c r="I938" s="236" t="s">
        <v>19682</v>
      </c>
    </row>
    <row r="939" spans="1:9" x14ac:dyDescent="0.25">
      <c r="A939" s="36">
        <v>42894</v>
      </c>
      <c r="B939" s="18">
        <v>115040</v>
      </c>
      <c r="C939" s="235" t="s">
        <v>19677</v>
      </c>
      <c r="D939" s="236" t="s">
        <v>15244</v>
      </c>
      <c r="E939" s="15">
        <v>7015.1</v>
      </c>
      <c r="F939" s="237">
        <v>42898</v>
      </c>
      <c r="G939" s="15">
        <v>7015.1</v>
      </c>
      <c r="H939" s="15">
        <f t="shared" si="14"/>
        <v>0</v>
      </c>
      <c r="I939" s="236" t="s">
        <v>19682</v>
      </c>
    </row>
    <row r="940" spans="1:9" x14ac:dyDescent="0.25">
      <c r="A940" s="242">
        <v>42894</v>
      </c>
      <c r="B940" s="18">
        <v>115041</v>
      </c>
      <c r="C940" s="235" t="s">
        <v>19677</v>
      </c>
      <c r="D940" s="236" t="s">
        <v>15858</v>
      </c>
      <c r="E940" s="15">
        <v>396.8</v>
      </c>
      <c r="F940" s="237">
        <v>42894</v>
      </c>
      <c r="G940" s="15">
        <v>396.8</v>
      </c>
      <c r="H940" s="15">
        <f t="shared" si="14"/>
        <v>0</v>
      </c>
      <c r="I940" s="236" t="s">
        <v>19682</v>
      </c>
    </row>
    <row r="941" spans="1:9" x14ac:dyDescent="0.25">
      <c r="A941" s="36">
        <v>42894</v>
      </c>
      <c r="B941" s="18">
        <v>115042</v>
      </c>
      <c r="C941" s="235" t="s">
        <v>19677</v>
      </c>
      <c r="D941" s="236" t="s">
        <v>16171</v>
      </c>
      <c r="E941" s="15">
        <v>353.4</v>
      </c>
      <c r="F941" s="237">
        <v>42894</v>
      </c>
      <c r="G941" s="15">
        <v>353.4</v>
      </c>
      <c r="H941" s="15">
        <f t="shared" si="14"/>
        <v>0</v>
      </c>
      <c r="I941" s="236" t="s">
        <v>19682</v>
      </c>
    </row>
    <row r="942" spans="1:9" x14ac:dyDescent="0.25">
      <c r="A942" s="242">
        <v>42894</v>
      </c>
      <c r="B942" s="18">
        <v>115043</v>
      </c>
      <c r="C942" s="235" t="s">
        <v>19677</v>
      </c>
      <c r="D942" s="236" t="s">
        <v>15348</v>
      </c>
      <c r="E942" s="15">
        <v>224.2</v>
      </c>
      <c r="F942" s="237">
        <v>42896</v>
      </c>
      <c r="G942" s="15">
        <v>224.2</v>
      </c>
      <c r="H942" s="15">
        <f t="shared" si="14"/>
        <v>0</v>
      </c>
      <c r="I942" s="236" t="s">
        <v>19682</v>
      </c>
    </row>
    <row r="943" spans="1:9" x14ac:dyDescent="0.25">
      <c r="A943" s="36">
        <v>42894</v>
      </c>
      <c r="B943" s="18">
        <v>115044</v>
      </c>
      <c r="C943" s="235" t="s">
        <v>19677</v>
      </c>
      <c r="D943" s="236" t="s">
        <v>15541</v>
      </c>
      <c r="E943" s="15">
        <v>1125</v>
      </c>
      <c r="F943" s="237">
        <v>42894</v>
      </c>
      <c r="G943" s="15">
        <v>1125</v>
      </c>
      <c r="H943" s="15">
        <f t="shared" si="14"/>
        <v>0</v>
      </c>
      <c r="I943" s="236" t="s">
        <v>19682</v>
      </c>
    </row>
    <row r="944" spans="1:9" x14ac:dyDescent="0.25">
      <c r="A944" s="242">
        <v>42894</v>
      </c>
      <c r="B944" s="18">
        <v>115045</v>
      </c>
      <c r="C944" s="235" t="s">
        <v>19677</v>
      </c>
      <c r="D944" s="236" t="s">
        <v>15242</v>
      </c>
      <c r="E944" s="15">
        <v>9391.2000000000007</v>
      </c>
      <c r="F944" s="237">
        <v>42894</v>
      </c>
      <c r="G944" s="15">
        <v>9391.2000000000007</v>
      </c>
      <c r="H944" s="15">
        <f t="shared" si="14"/>
        <v>0</v>
      </c>
      <c r="I944" s="236" t="s">
        <v>19682</v>
      </c>
    </row>
    <row r="945" spans="1:10" x14ac:dyDescent="0.25">
      <c r="A945" s="36">
        <v>42894</v>
      </c>
      <c r="B945" s="18">
        <v>115046</v>
      </c>
      <c r="C945" s="235" t="s">
        <v>19677</v>
      </c>
      <c r="D945" s="236" t="s">
        <v>15244</v>
      </c>
      <c r="E945" s="15">
        <v>2623.5</v>
      </c>
      <c r="F945" s="237">
        <v>42898</v>
      </c>
      <c r="G945" s="15">
        <v>2623.5</v>
      </c>
      <c r="H945" s="15">
        <f t="shared" si="14"/>
        <v>0</v>
      </c>
      <c r="I945" s="236" t="s">
        <v>19682</v>
      </c>
    </row>
    <row r="946" spans="1:10" x14ac:dyDescent="0.25">
      <c r="A946" s="242">
        <v>42894</v>
      </c>
      <c r="B946" s="18">
        <v>115047</v>
      </c>
      <c r="C946" s="235" t="s">
        <v>19677</v>
      </c>
      <c r="D946" s="236" t="s">
        <v>15252</v>
      </c>
      <c r="E946" s="15">
        <v>4932.3999999999996</v>
      </c>
      <c r="F946" s="237">
        <v>42898</v>
      </c>
      <c r="G946" s="15">
        <v>4932.3999999999996</v>
      </c>
      <c r="H946" s="15">
        <f t="shared" si="14"/>
        <v>0</v>
      </c>
      <c r="I946" s="236" t="s">
        <v>19682</v>
      </c>
    </row>
    <row r="947" spans="1:10" x14ac:dyDescent="0.25">
      <c r="A947" s="36">
        <v>42894</v>
      </c>
      <c r="B947" s="18">
        <v>115048</v>
      </c>
      <c r="C947" s="235" t="s">
        <v>19677</v>
      </c>
      <c r="D947" s="236" t="s">
        <v>15254</v>
      </c>
      <c r="E947" s="15">
        <v>6000</v>
      </c>
      <c r="F947" s="237">
        <v>42898</v>
      </c>
      <c r="G947" s="15">
        <v>6000</v>
      </c>
      <c r="H947" s="15">
        <f t="shared" si="14"/>
        <v>0</v>
      </c>
      <c r="I947" s="236" t="s">
        <v>19682</v>
      </c>
    </row>
    <row r="948" spans="1:10" x14ac:dyDescent="0.25">
      <c r="A948" s="242">
        <v>42894</v>
      </c>
      <c r="B948" s="18">
        <v>115049</v>
      </c>
      <c r="C948" s="235" t="s">
        <v>19677</v>
      </c>
      <c r="D948" s="236" t="s">
        <v>15315</v>
      </c>
      <c r="E948" s="15">
        <v>8079.6</v>
      </c>
      <c r="F948" s="237">
        <v>42894</v>
      </c>
      <c r="G948" s="15">
        <v>8079.6</v>
      </c>
      <c r="H948" s="15">
        <f t="shared" si="14"/>
        <v>0</v>
      </c>
      <c r="I948" s="236" t="s">
        <v>19682</v>
      </c>
    </row>
    <row r="949" spans="1:10" x14ac:dyDescent="0.25">
      <c r="A949" s="36">
        <v>42894</v>
      </c>
      <c r="B949" s="251">
        <v>115050</v>
      </c>
      <c r="C949" s="235" t="s">
        <v>19677</v>
      </c>
      <c r="D949" s="236" t="s">
        <v>18258</v>
      </c>
      <c r="E949" s="15">
        <v>7252</v>
      </c>
      <c r="F949" s="237">
        <v>42894</v>
      </c>
      <c r="G949" s="15">
        <v>7252</v>
      </c>
      <c r="H949" s="15">
        <f t="shared" si="14"/>
        <v>0</v>
      </c>
      <c r="I949" s="236" t="s">
        <v>19682</v>
      </c>
      <c r="J949" s="29" t="s">
        <v>19709</v>
      </c>
    </row>
    <row r="950" spans="1:10" ht="48.75" x14ac:dyDescent="0.25">
      <c r="A950" s="242">
        <v>42894</v>
      </c>
      <c r="B950" s="18">
        <v>115051</v>
      </c>
      <c r="C950" s="235" t="s">
        <v>19677</v>
      </c>
      <c r="D950" s="248" t="s">
        <v>19710</v>
      </c>
      <c r="E950" s="15">
        <v>5045.6000000000004</v>
      </c>
      <c r="F950" s="252" t="s">
        <v>27701</v>
      </c>
      <c r="G950" s="385">
        <f>500+500+500+500+500+500+500+500+500+545.6</f>
        <v>5045.6000000000004</v>
      </c>
      <c r="H950" s="385">
        <f t="shared" si="14"/>
        <v>0</v>
      </c>
      <c r="I950" s="236" t="s">
        <v>19682</v>
      </c>
      <c r="J950" s="2" t="s">
        <v>19711</v>
      </c>
    </row>
    <row r="951" spans="1:10" x14ac:dyDescent="0.25">
      <c r="A951" s="36">
        <v>42894</v>
      </c>
      <c r="B951" s="18">
        <v>115052</v>
      </c>
      <c r="C951" s="235" t="s">
        <v>19677</v>
      </c>
      <c r="D951" s="236" t="s">
        <v>15272</v>
      </c>
      <c r="E951" s="15">
        <v>15605.5</v>
      </c>
      <c r="F951" s="237">
        <v>42894</v>
      </c>
      <c r="G951" s="15">
        <v>15605.5</v>
      </c>
      <c r="H951" s="15">
        <f t="shared" si="14"/>
        <v>0</v>
      </c>
      <c r="I951" s="236" t="s">
        <v>19682</v>
      </c>
    </row>
    <row r="952" spans="1:10" x14ac:dyDescent="0.25">
      <c r="A952" s="242">
        <v>42894</v>
      </c>
      <c r="B952" s="18">
        <v>115053</v>
      </c>
      <c r="C952" s="235" t="s">
        <v>19677</v>
      </c>
      <c r="D952" s="236" t="s">
        <v>15371</v>
      </c>
      <c r="E952" s="15">
        <v>4885.1000000000004</v>
      </c>
      <c r="F952" s="237">
        <v>42907</v>
      </c>
      <c r="G952" s="15">
        <v>4885.1000000000004</v>
      </c>
      <c r="H952" s="15">
        <f t="shared" si="14"/>
        <v>0</v>
      </c>
      <c r="I952" s="236" t="s">
        <v>19682</v>
      </c>
    </row>
    <row r="953" spans="1:10" x14ac:dyDescent="0.25">
      <c r="A953" s="36">
        <v>42894</v>
      </c>
      <c r="B953" s="18">
        <v>115054</v>
      </c>
      <c r="C953" s="235" t="s">
        <v>19677</v>
      </c>
      <c r="D953" s="236" t="s">
        <v>15284</v>
      </c>
      <c r="E953" s="15">
        <v>2018.6</v>
      </c>
      <c r="F953" s="237">
        <v>42894</v>
      </c>
      <c r="G953" s="15">
        <v>2018.6</v>
      </c>
      <c r="H953" s="15">
        <f t="shared" si="14"/>
        <v>0</v>
      </c>
      <c r="I953" s="236" t="s">
        <v>19682</v>
      </c>
    </row>
    <row r="954" spans="1:10" x14ac:dyDescent="0.25">
      <c r="A954" s="242">
        <v>42894</v>
      </c>
      <c r="B954" s="18">
        <v>115055</v>
      </c>
      <c r="C954" s="235" t="s">
        <v>19677</v>
      </c>
      <c r="D954" s="236" t="s">
        <v>15330</v>
      </c>
      <c r="E954" s="15">
        <v>1254</v>
      </c>
      <c r="F954" s="237">
        <v>42894</v>
      </c>
      <c r="G954" s="15">
        <v>1254</v>
      </c>
      <c r="H954" s="15">
        <f t="shared" si="14"/>
        <v>0</v>
      </c>
      <c r="I954" s="236" t="s">
        <v>19682</v>
      </c>
    </row>
    <row r="955" spans="1:10" x14ac:dyDescent="0.25">
      <c r="A955" s="36">
        <v>42894</v>
      </c>
      <c r="B955" s="18">
        <v>115056</v>
      </c>
      <c r="C955" s="235" t="s">
        <v>19677</v>
      </c>
      <c r="D955" s="236" t="s">
        <v>17462</v>
      </c>
      <c r="E955" s="15">
        <v>5818</v>
      </c>
      <c r="F955" s="237">
        <v>42894</v>
      </c>
      <c r="G955" s="15">
        <v>5818</v>
      </c>
      <c r="H955" s="15">
        <f t="shared" si="14"/>
        <v>0</v>
      </c>
      <c r="I955" s="236" t="s">
        <v>19682</v>
      </c>
    </row>
    <row r="956" spans="1:10" x14ac:dyDescent="0.25">
      <c r="A956" s="242">
        <v>42894</v>
      </c>
      <c r="B956" s="18">
        <v>115057</v>
      </c>
      <c r="C956" s="235" t="s">
        <v>19677</v>
      </c>
      <c r="D956" s="236" t="s">
        <v>15315</v>
      </c>
      <c r="E956" s="15">
        <v>571.20000000000005</v>
      </c>
      <c r="F956" s="237">
        <v>42894</v>
      </c>
      <c r="G956" s="15">
        <v>571.20000000000005</v>
      </c>
      <c r="H956" s="15">
        <f t="shared" si="14"/>
        <v>0</v>
      </c>
      <c r="I956" s="236" t="s">
        <v>19682</v>
      </c>
    </row>
    <row r="957" spans="1:10" ht="36.75" x14ac:dyDescent="0.25">
      <c r="A957" s="36">
        <v>42894</v>
      </c>
      <c r="B957" s="18">
        <v>115058</v>
      </c>
      <c r="C957" s="235" t="s">
        <v>19677</v>
      </c>
      <c r="D957" s="236" t="s">
        <v>15228</v>
      </c>
      <c r="E957" s="15">
        <v>31877.38</v>
      </c>
      <c r="F957" s="252" t="s">
        <v>19712</v>
      </c>
      <c r="G957" s="241">
        <f>9500+7000+6000+6000+3377.38</f>
        <v>31877.38</v>
      </c>
      <c r="H957" s="241">
        <f t="shared" si="14"/>
        <v>0</v>
      </c>
      <c r="I957" s="236" t="s">
        <v>19682</v>
      </c>
    </row>
    <row r="958" spans="1:10" x14ac:dyDescent="0.25">
      <c r="A958" s="242">
        <v>42894</v>
      </c>
      <c r="B958" s="18">
        <v>115059</v>
      </c>
      <c r="C958" s="235" t="s">
        <v>19677</v>
      </c>
      <c r="D958" s="236" t="s">
        <v>15234</v>
      </c>
      <c r="E958" s="15">
        <v>3697.2</v>
      </c>
      <c r="F958" s="237">
        <v>42899</v>
      </c>
      <c r="G958" s="15">
        <v>3697.2</v>
      </c>
      <c r="H958" s="15">
        <f t="shared" si="14"/>
        <v>0</v>
      </c>
      <c r="I958" s="236" t="s">
        <v>19682</v>
      </c>
    </row>
    <row r="959" spans="1:10" x14ac:dyDescent="0.25">
      <c r="A959" s="36">
        <v>42894</v>
      </c>
      <c r="B959" s="18">
        <v>115060</v>
      </c>
      <c r="C959" s="235" t="s">
        <v>19677</v>
      </c>
      <c r="D959" s="236" t="s">
        <v>15668</v>
      </c>
      <c r="E959" s="15">
        <v>21301.8</v>
      </c>
      <c r="F959" s="237">
        <v>42896</v>
      </c>
      <c r="G959" s="15">
        <v>21301.8</v>
      </c>
      <c r="H959" s="15">
        <f t="shared" si="14"/>
        <v>0</v>
      </c>
      <c r="I959" s="236" t="s">
        <v>19682</v>
      </c>
    </row>
    <row r="960" spans="1:10" x14ac:dyDescent="0.25">
      <c r="A960" s="242">
        <v>42894</v>
      </c>
      <c r="B960" s="18">
        <v>115061</v>
      </c>
      <c r="C960" s="235" t="s">
        <v>19677</v>
      </c>
      <c r="D960" s="236" t="s">
        <v>15263</v>
      </c>
      <c r="E960" s="15">
        <v>2670.6</v>
      </c>
      <c r="F960" s="237">
        <v>42894</v>
      </c>
      <c r="G960" s="15">
        <v>2670.6</v>
      </c>
      <c r="H960" s="15">
        <f t="shared" si="14"/>
        <v>0</v>
      </c>
      <c r="I960" s="236" t="s">
        <v>19682</v>
      </c>
    </row>
    <row r="961" spans="1:9" x14ac:dyDescent="0.25">
      <c r="A961" s="36">
        <v>42894</v>
      </c>
      <c r="B961" s="18">
        <v>115062</v>
      </c>
      <c r="C961" s="235" t="s">
        <v>19677</v>
      </c>
      <c r="D961" s="236" t="s">
        <v>15592</v>
      </c>
      <c r="E961" s="15">
        <v>15470.4</v>
      </c>
      <c r="F961" s="237">
        <v>42894</v>
      </c>
      <c r="G961" s="15">
        <v>15470.4</v>
      </c>
      <c r="H961" s="15">
        <f t="shared" si="14"/>
        <v>0</v>
      </c>
      <c r="I961" s="236" t="s">
        <v>19682</v>
      </c>
    </row>
    <row r="962" spans="1:9" x14ac:dyDescent="0.25">
      <c r="A962" s="242">
        <v>42894</v>
      </c>
      <c r="B962" s="18">
        <v>115063</v>
      </c>
      <c r="C962" s="235" t="s">
        <v>19677</v>
      </c>
      <c r="D962" s="236" t="s">
        <v>15396</v>
      </c>
      <c r="E962" s="15">
        <v>8011.02</v>
      </c>
      <c r="F962" s="237">
        <v>42894</v>
      </c>
      <c r="G962" s="15">
        <v>8011.02</v>
      </c>
      <c r="H962" s="15">
        <f t="shared" ref="H962:H1025" si="15">E962-G962</f>
        <v>0</v>
      </c>
      <c r="I962" s="236" t="s">
        <v>19682</v>
      </c>
    </row>
    <row r="963" spans="1:9" x14ac:dyDescent="0.25">
      <c r="A963" s="36">
        <v>42894</v>
      </c>
      <c r="B963" s="18">
        <v>115064</v>
      </c>
      <c r="C963" s="235" t="s">
        <v>19677</v>
      </c>
      <c r="D963" s="236" t="s">
        <v>15725</v>
      </c>
      <c r="E963" s="15">
        <v>23872.400000000001</v>
      </c>
      <c r="F963" s="237">
        <v>42900</v>
      </c>
      <c r="G963" s="15">
        <v>23872.400000000001</v>
      </c>
      <c r="H963" s="15">
        <f t="shared" si="15"/>
        <v>0</v>
      </c>
      <c r="I963" s="236" t="s">
        <v>19682</v>
      </c>
    </row>
    <row r="964" spans="1:9" x14ac:dyDescent="0.25">
      <c r="A964" s="242">
        <v>42894</v>
      </c>
      <c r="B964" s="18">
        <v>115065</v>
      </c>
      <c r="C964" s="235" t="s">
        <v>19677</v>
      </c>
      <c r="D964" s="236" t="s">
        <v>15256</v>
      </c>
      <c r="E964" s="15">
        <v>2511.1999999999998</v>
      </c>
      <c r="F964" s="237">
        <v>42895</v>
      </c>
      <c r="G964" s="15">
        <v>2511.1999999999998</v>
      </c>
      <c r="H964" s="15">
        <f t="shared" si="15"/>
        <v>0</v>
      </c>
      <c r="I964" s="236" t="s">
        <v>19682</v>
      </c>
    </row>
    <row r="965" spans="1:9" ht="15.75" x14ac:dyDescent="0.25">
      <c r="A965" s="36">
        <v>42894</v>
      </c>
      <c r="B965" s="18">
        <v>115066</v>
      </c>
      <c r="C965" s="235" t="s">
        <v>19677</v>
      </c>
      <c r="D965" s="239" t="s">
        <v>95</v>
      </c>
      <c r="E965" s="15">
        <v>0</v>
      </c>
      <c r="F965" s="243" t="s">
        <v>95</v>
      </c>
      <c r="G965" s="15">
        <v>0</v>
      </c>
      <c r="H965" s="15">
        <f t="shared" si="15"/>
        <v>0</v>
      </c>
      <c r="I965" s="236" t="s">
        <v>19678</v>
      </c>
    </row>
    <row r="966" spans="1:9" x14ac:dyDescent="0.25">
      <c r="A966" s="242">
        <v>42894</v>
      </c>
      <c r="B966" s="18">
        <v>115067</v>
      </c>
      <c r="C966" s="235" t="s">
        <v>19677</v>
      </c>
      <c r="D966" s="236" t="s">
        <v>15230</v>
      </c>
      <c r="E966" s="15">
        <v>9744</v>
      </c>
      <c r="F966" s="237">
        <v>42901</v>
      </c>
      <c r="G966" s="15">
        <v>9744</v>
      </c>
      <c r="H966" s="15">
        <f t="shared" si="15"/>
        <v>0</v>
      </c>
      <c r="I966" s="236" t="s">
        <v>19682</v>
      </c>
    </row>
    <row r="967" spans="1:9" x14ac:dyDescent="0.25">
      <c r="A967" s="36">
        <v>42894</v>
      </c>
      <c r="B967" s="18">
        <v>115068</v>
      </c>
      <c r="C967" s="235" t="s">
        <v>19677</v>
      </c>
      <c r="D967" s="236" t="s">
        <v>15232</v>
      </c>
      <c r="E967" s="15">
        <v>6360</v>
      </c>
      <c r="F967" s="237">
        <v>42901</v>
      </c>
      <c r="G967" s="15">
        <v>6360</v>
      </c>
      <c r="H967" s="15">
        <f t="shared" si="15"/>
        <v>0</v>
      </c>
      <c r="I967" s="236" t="s">
        <v>19682</v>
      </c>
    </row>
    <row r="968" spans="1:9" x14ac:dyDescent="0.25">
      <c r="A968" s="242">
        <v>42894</v>
      </c>
      <c r="B968" s="18">
        <v>115069</v>
      </c>
      <c r="C968" s="235" t="s">
        <v>19677</v>
      </c>
      <c r="D968" s="236" t="s">
        <v>15236</v>
      </c>
      <c r="E968" s="15">
        <v>7160.4</v>
      </c>
      <c r="F968" s="237">
        <v>42896</v>
      </c>
      <c r="G968" s="15">
        <v>7160.4</v>
      </c>
      <c r="H968" s="15">
        <f t="shared" si="15"/>
        <v>0</v>
      </c>
      <c r="I968" s="236" t="s">
        <v>19682</v>
      </c>
    </row>
    <row r="969" spans="1:9" x14ac:dyDescent="0.25">
      <c r="A969" s="36">
        <v>42894</v>
      </c>
      <c r="B969" s="18">
        <v>115070</v>
      </c>
      <c r="C969" s="235" t="s">
        <v>19677</v>
      </c>
      <c r="D969" s="236" t="s">
        <v>15238</v>
      </c>
      <c r="E969" s="15">
        <v>5109.8999999999996</v>
      </c>
      <c r="F969" s="237">
        <v>42896</v>
      </c>
      <c r="G969" s="15">
        <v>5109.8999999999996</v>
      </c>
      <c r="H969" s="15">
        <f t="shared" si="15"/>
        <v>0</v>
      </c>
      <c r="I969" s="236" t="s">
        <v>19682</v>
      </c>
    </row>
    <row r="970" spans="1:9" x14ac:dyDescent="0.25">
      <c r="A970" s="242">
        <v>42894</v>
      </c>
      <c r="B970" s="18">
        <v>115071</v>
      </c>
      <c r="C970" s="235" t="s">
        <v>19677</v>
      </c>
      <c r="D970" s="236" t="s">
        <v>15258</v>
      </c>
      <c r="E970" s="15">
        <v>14250.6</v>
      </c>
      <c r="F970" s="237">
        <v>42898</v>
      </c>
      <c r="G970" s="15">
        <v>14250.6</v>
      </c>
      <c r="H970" s="15">
        <f t="shared" si="15"/>
        <v>0</v>
      </c>
      <c r="I970" s="236" t="s">
        <v>19682</v>
      </c>
    </row>
    <row r="971" spans="1:9" x14ac:dyDescent="0.25">
      <c r="A971" s="36">
        <v>42894</v>
      </c>
      <c r="B971" s="18">
        <v>115072</v>
      </c>
      <c r="C971" s="235" t="s">
        <v>19677</v>
      </c>
      <c r="D971" s="236" t="s">
        <v>5575</v>
      </c>
      <c r="E971" s="15">
        <v>7324.2</v>
      </c>
      <c r="F971" s="237">
        <v>42898</v>
      </c>
      <c r="G971" s="15">
        <v>7324.2</v>
      </c>
      <c r="H971" s="15">
        <f t="shared" si="15"/>
        <v>0</v>
      </c>
      <c r="I971" s="236" t="s">
        <v>19682</v>
      </c>
    </row>
    <row r="972" spans="1:9" x14ac:dyDescent="0.25">
      <c r="A972" s="242">
        <v>42894</v>
      </c>
      <c r="B972" s="18">
        <v>115073</v>
      </c>
      <c r="C972" s="235" t="s">
        <v>19677</v>
      </c>
      <c r="D972" s="236" t="s">
        <v>15315</v>
      </c>
      <c r="E972" s="15">
        <v>595</v>
      </c>
      <c r="F972" s="237">
        <v>42894</v>
      </c>
      <c r="G972" s="15">
        <v>595</v>
      </c>
      <c r="H972" s="15">
        <f t="shared" si="15"/>
        <v>0</v>
      </c>
      <c r="I972" s="236" t="s">
        <v>19682</v>
      </c>
    </row>
    <row r="973" spans="1:9" x14ac:dyDescent="0.25">
      <c r="A973" s="36">
        <v>42894</v>
      </c>
      <c r="B973" s="18">
        <v>115074</v>
      </c>
      <c r="C973" s="235" t="s">
        <v>19677</v>
      </c>
      <c r="D973" s="236" t="s">
        <v>15590</v>
      </c>
      <c r="E973" s="15">
        <v>42047.6</v>
      </c>
      <c r="F973" s="237" t="s">
        <v>19713</v>
      </c>
      <c r="G973" s="241">
        <f>20938.8+21108.8</f>
        <v>42047.6</v>
      </c>
      <c r="H973" s="241">
        <f t="shared" si="15"/>
        <v>0</v>
      </c>
      <c r="I973" s="236" t="s">
        <v>19682</v>
      </c>
    </row>
    <row r="974" spans="1:9" ht="30" x14ac:dyDescent="0.25">
      <c r="A974" s="242">
        <v>42894</v>
      </c>
      <c r="B974" s="18">
        <v>115075</v>
      </c>
      <c r="C974" s="235" t="s">
        <v>19677</v>
      </c>
      <c r="D974" s="236" t="s">
        <v>15223</v>
      </c>
      <c r="E974" s="15">
        <v>41806.800000000003</v>
      </c>
      <c r="F974" s="237" t="s">
        <v>19714</v>
      </c>
      <c r="G974" s="241">
        <f>15248.45+26558.35</f>
        <v>41806.800000000003</v>
      </c>
      <c r="H974" s="241">
        <f t="shared" si="15"/>
        <v>0</v>
      </c>
      <c r="I974" s="236" t="s">
        <v>19682</v>
      </c>
    </row>
    <row r="975" spans="1:9" x14ac:dyDescent="0.25">
      <c r="A975" s="36">
        <v>42894</v>
      </c>
      <c r="B975" s="18">
        <v>115076</v>
      </c>
      <c r="C975" s="235" t="s">
        <v>19677</v>
      </c>
      <c r="D975" s="236" t="s">
        <v>15330</v>
      </c>
      <c r="E975" s="15">
        <v>2920</v>
      </c>
      <c r="F975" s="237">
        <v>42894</v>
      </c>
      <c r="G975" s="15">
        <v>2920</v>
      </c>
      <c r="H975" s="15">
        <f t="shared" si="15"/>
        <v>0</v>
      </c>
      <c r="I975" s="236" t="s">
        <v>19682</v>
      </c>
    </row>
    <row r="976" spans="1:9" x14ac:dyDescent="0.25">
      <c r="A976" s="242">
        <v>42894</v>
      </c>
      <c r="B976" s="18">
        <v>115077</v>
      </c>
      <c r="C976" s="235" t="s">
        <v>19677</v>
      </c>
      <c r="D976" s="236" t="s">
        <v>15226</v>
      </c>
      <c r="E976" s="15">
        <v>1724</v>
      </c>
      <c r="F976" s="237">
        <v>42896</v>
      </c>
      <c r="G976" s="15">
        <v>1724</v>
      </c>
      <c r="H976" s="15">
        <f t="shared" si="15"/>
        <v>0</v>
      </c>
      <c r="I976" s="236" t="s">
        <v>19682</v>
      </c>
    </row>
    <row r="977" spans="1:9" x14ac:dyDescent="0.25">
      <c r="A977" s="36">
        <v>42894</v>
      </c>
      <c r="B977" s="18">
        <v>115078</v>
      </c>
      <c r="C977" s="235" t="s">
        <v>19677</v>
      </c>
      <c r="D977" s="236" t="s">
        <v>15324</v>
      </c>
      <c r="E977" s="15">
        <v>1938</v>
      </c>
      <c r="F977" s="237">
        <v>42894</v>
      </c>
      <c r="G977" s="15">
        <v>1938</v>
      </c>
      <c r="H977" s="15">
        <f t="shared" si="15"/>
        <v>0</v>
      </c>
      <c r="I977" s="236" t="s">
        <v>19682</v>
      </c>
    </row>
    <row r="978" spans="1:9" x14ac:dyDescent="0.25">
      <c r="A978" s="242">
        <v>42894</v>
      </c>
      <c r="B978" s="18">
        <v>115079</v>
      </c>
      <c r="C978" s="235" t="s">
        <v>19677</v>
      </c>
      <c r="D978" s="236" t="s">
        <v>16522</v>
      </c>
      <c r="E978" s="15">
        <v>6824</v>
      </c>
      <c r="F978" s="293">
        <v>42952</v>
      </c>
      <c r="G978" s="107">
        <v>6824</v>
      </c>
      <c r="H978" s="15">
        <f t="shared" si="15"/>
        <v>0</v>
      </c>
      <c r="I978" s="236" t="s">
        <v>19682</v>
      </c>
    </row>
    <row r="979" spans="1:9" x14ac:dyDescent="0.25">
      <c r="A979" s="36">
        <v>42894</v>
      </c>
      <c r="B979" s="18">
        <v>115080</v>
      </c>
      <c r="C979" s="235" t="s">
        <v>19677</v>
      </c>
      <c r="D979" s="236" t="s">
        <v>15320</v>
      </c>
      <c r="E979" s="15">
        <v>2741.2</v>
      </c>
      <c r="F979" s="237">
        <v>42894</v>
      </c>
      <c r="G979" s="15">
        <v>2741.2</v>
      </c>
      <c r="H979" s="15">
        <f t="shared" si="15"/>
        <v>0</v>
      </c>
      <c r="I979" s="236" t="s">
        <v>19682</v>
      </c>
    </row>
    <row r="980" spans="1:9" x14ac:dyDescent="0.25">
      <c r="A980" s="242">
        <v>42894</v>
      </c>
      <c r="B980" s="18">
        <v>115081</v>
      </c>
      <c r="C980" s="235" t="s">
        <v>19677</v>
      </c>
      <c r="D980" s="236" t="s">
        <v>15305</v>
      </c>
      <c r="E980" s="15">
        <v>2552.4</v>
      </c>
      <c r="F980" s="237">
        <v>42894</v>
      </c>
      <c r="G980" s="15">
        <v>2552.4</v>
      </c>
      <c r="H980" s="15">
        <f t="shared" si="15"/>
        <v>0</v>
      </c>
      <c r="I980" s="236" t="s">
        <v>19682</v>
      </c>
    </row>
    <row r="981" spans="1:9" x14ac:dyDescent="0.25">
      <c r="A981" s="36">
        <v>42894</v>
      </c>
      <c r="B981" s="18">
        <v>115082</v>
      </c>
      <c r="C981" s="235" t="s">
        <v>19677</v>
      </c>
      <c r="D981" s="236" t="s">
        <v>17800</v>
      </c>
      <c r="E981" s="15">
        <v>370</v>
      </c>
      <c r="F981" s="237">
        <v>42894</v>
      </c>
      <c r="G981" s="15">
        <v>370</v>
      </c>
      <c r="H981" s="15">
        <f t="shared" si="15"/>
        <v>0</v>
      </c>
      <c r="I981" s="236" t="s">
        <v>19682</v>
      </c>
    </row>
    <row r="982" spans="1:9" x14ac:dyDescent="0.25">
      <c r="A982" s="242">
        <v>42894</v>
      </c>
      <c r="B982" s="18">
        <v>115083</v>
      </c>
      <c r="C982" s="235" t="s">
        <v>19677</v>
      </c>
      <c r="D982" s="236" t="s">
        <v>15280</v>
      </c>
      <c r="E982" s="15">
        <v>6781</v>
      </c>
      <c r="F982" s="237">
        <v>42894</v>
      </c>
      <c r="G982" s="15">
        <v>6781</v>
      </c>
      <c r="H982" s="15">
        <f t="shared" si="15"/>
        <v>0</v>
      </c>
      <c r="I982" s="236" t="s">
        <v>19682</v>
      </c>
    </row>
    <row r="983" spans="1:9" x14ac:dyDescent="0.25">
      <c r="A983" s="36">
        <v>42894</v>
      </c>
      <c r="B983" s="18">
        <v>115084</v>
      </c>
      <c r="C983" s="235" t="s">
        <v>19677</v>
      </c>
      <c r="D983" s="236" t="s">
        <v>15301</v>
      </c>
      <c r="E983" s="15">
        <v>3125</v>
      </c>
      <c r="F983" s="237">
        <v>42894</v>
      </c>
      <c r="G983" s="15">
        <v>3125</v>
      </c>
      <c r="H983" s="15">
        <f t="shared" si="15"/>
        <v>0</v>
      </c>
      <c r="I983" s="236" t="s">
        <v>19682</v>
      </c>
    </row>
    <row r="984" spans="1:9" x14ac:dyDescent="0.25">
      <c r="A984" s="242">
        <v>42894</v>
      </c>
      <c r="B984" s="18">
        <v>115085</v>
      </c>
      <c r="C984" s="235" t="s">
        <v>19677</v>
      </c>
      <c r="D984" s="236" t="s">
        <v>15309</v>
      </c>
      <c r="E984" s="15">
        <v>10257</v>
      </c>
      <c r="F984" s="237">
        <v>42894</v>
      </c>
      <c r="G984" s="15">
        <v>10257</v>
      </c>
      <c r="H984" s="15">
        <f t="shared" si="15"/>
        <v>0</v>
      </c>
      <c r="I984" s="236" t="s">
        <v>19682</v>
      </c>
    </row>
    <row r="985" spans="1:9" x14ac:dyDescent="0.25">
      <c r="A985" s="36">
        <v>42894</v>
      </c>
      <c r="B985" s="18">
        <v>115086</v>
      </c>
      <c r="C985" s="235" t="s">
        <v>19677</v>
      </c>
      <c r="D985" s="236" t="s">
        <v>15624</v>
      </c>
      <c r="E985" s="15">
        <v>32324.48</v>
      </c>
      <c r="F985" s="237">
        <v>42894</v>
      </c>
      <c r="G985" s="15">
        <v>32324.48</v>
      </c>
      <c r="H985" s="15">
        <f t="shared" si="15"/>
        <v>0</v>
      </c>
      <c r="I985" s="236" t="s">
        <v>19682</v>
      </c>
    </row>
    <row r="986" spans="1:9" x14ac:dyDescent="0.25">
      <c r="A986" s="242">
        <v>42894</v>
      </c>
      <c r="B986" s="18">
        <v>115087</v>
      </c>
      <c r="C986" s="235" t="s">
        <v>19677</v>
      </c>
      <c r="D986" s="236" t="s">
        <v>15282</v>
      </c>
      <c r="E986" s="15">
        <v>846.8</v>
      </c>
      <c r="F986" s="237">
        <v>42894</v>
      </c>
      <c r="G986" s="15">
        <v>846.8</v>
      </c>
      <c r="H986" s="15">
        <f t="shared" si="15"/>
        <v>0</v>
      </c>
      <c r="I986" s="236" t="s">
        <v>19682</v>
      </c>
    </row>
    <row r="987" spans="1:9" x14ac:dyDescent="0.25">
      <c r="A987" s="36">
        <v>42894</v>
      </c>
      <c r="B987" s="18">
        <v>115088</v>
      </c>
      <c r="C987" s="235" t="s">
        <v>19677</v>
      </c>
      <c r="D987" s="236" t="s">
        <v>15562</v>
      </c>
      <c r="E987" s="15">
        <v>3784.2</v>
      </c>
      <c r="F987" s="237">
        <v>42894</v>
      </c>
      <c r="G987" s="15">
        <v>3784.2</v>
      </c>
      <c r="H987" s="15">
        <f t="shared" si="15"/>
        <v>0</v>
      </c>
      <c r="I987" s="236" t="s">
        <v>19682</v>
      </c>
    </row>
    <row r="988" spans="1:9" x14ac:dyDescent="0.25">
      <c r="A988" s="242">
        <v>42894</v>
      </c>
      <c r="B988" s="18">
        <v>115089</v>
      </c>
      <c r="C988" s="235" t="s">
        <v>19677</v>
      </c>
      <c r="D988" s="236" t="s">
        <v>15568</v>
      </c>
      <c r="E988" s="15">
        <v>11113.4</v>
      </c>
      <c r="F988" s="237">
        <v>42894</v>
      </c>
      <c r="G988" s="15">
        <v>11113.4</v>
      </c>
      <c r="H988" s="15">
        <f t="shared" si="15"/>
        <v>0</v>
      </c>
      <c r="I988" s="236" t="s">
        <v>19682</v>
      </c>
    </row>
    <row r="989" spans="1:9" x14ac:dyDescent="0.25">
      <c r="A989" s="36">
        <v>42894</v>
      </c>
      <c r="B989" s="18">
        <v>115090</v>
      </c>
      <c r="C989" s="235" t="s">
        <v>19677</v>
      </c>
      <c r="D989" s="236" t="s">
        <v>15326</v>
      </c>
      <c r="E989" s="15">
        <v>4160.3</v>
      </c>
      <c r="F989" s="237">
        <v>42894</v>
      </c>
      <c r="G989" s="15">
        <v>4160.3</v>
      </c>
      <c r="H989" s="15">
        <f t="shared" si="15"/>
        <v>0</v>
      </c>
      <c r="I989" s="236" t="s">
        <v>19682</v>
      </c>
    </row>
    <row r="990" spans="1:9" x14ac:dyDescent="0.25">
      <c r="A990" s="242">
        <v>42894</v>
      </c>
      <c r="B990" s="18">
        <v>115091</v>
      </c>
      <c r="C990" s="235" t="s">
        <v>19677</v>
      </c>
      <c r="D990" s="236" t="s">
        <v>15342</v>
      </c>
      <c r="E990" s="15">
        <v>349.6</v>
      </c>
      <c r="F990" s="237">
        <v>42894</v>
      </c>
      <c r="G990" s="15">
        <v>349.6</v>
      </c>
      <c r="H990" s="15">
        <f t="shared" si="15"/>
        <v>0</v>
      </c>
      <c r="I990" s="236" t="s">
        <v>19682</v>
      </c>
    </row>
    <row r="991" spans="1:9" x14ac:dyDescent="0.25">
      <c r="A991" s="36">
        <v>42894</v>
      </c>
      <c r="B991" s="18">
        <v>115092</v>
      </c>
      <c r="C991" s="235" t="s">
        <v>19677</v>
      </c>
      <c r="D991" s="236" t="s">
        <v>15326</v>
      </c>
      <c r="E991" s="15">
        <v>48.26</v>
      </c>
      <c r="F991" s="237">
        <v>42894</v>
      </c>
      <c r="G991" s="15">
        <v>48.26</v>
      </c>
      <c r="H991" s="15">
        <f t="shared" si="15"/>
        <v>0</v>
      </c>
      <c r="I991" s="236" t="s">
        <v>19682</v>
      </c>
    </row>
    <row r="992" spans="1:9" x14ac:dyDescent="0.25">
      <c r="A992" s="242">
        <v>42894</v>
      </c>
      <c r="B992" s="18">
        <v>115093</v>
      </c>
      <c r="C992" s="235" t="s">
        <v>19677</v>
      </c>
      <c r="D992" s="236" t="s">
        <v>15419</v>
      </c>
      <c r="E992" s="15">
        <v>34302.6</v>
      </c>
      <c r="F992" s="237">
        <v>42898</v>
      </c>
      <c r="G992" s="15">
        <v>34302.6</v>
      </c>
      <c r="H992" s="15">
        <f t="shared" si="15"/>
        <v>0</v>
      </c>
      <c r="I992" s="236" t="s">
        <v>19682</v>
      </c>
    </row>
    <row r="993" spans="1:9" x14ac:dyDescent="0.25">
      <c r="A993" s="36">
        <v>42894</v>
      </c>
      <c r="B993" s="18">
        <v>115094</v>
      </c>
      <c r="C993" s="235" t="s">
        <v>19677</v>
      </c>
      <c r="D993" s="236" t="s">
        <v>15378</v>
      </c>
      <c r="E993" s="15">
        <v>363.4</v>
      </c>
      <c r="F993" s="237">
        <v>42894</v>
      </c>
      <c r="G993" s="15">
        <v>363.4</v>
      </c>
      <c r="H993" s="15">
        <f t="shared" si="15"/>
        <v>0</v>
      </c>
      <c r="I993" s="236" t="s">
        <v>19682</v>
      </c>
    </row>
    <row r="994" spans="1:9" x14ac:dyDescent="0.25">
      <c r="A994" s="242">
        <v>42894</v>
      </c>
      <c r="B994" s="18">
        <v>115095</v>
      </c>
      <c r="C994" s="235" t="s">
        <v>19677</v>
      </c>
      <c r="D994" s="236" t="s">
        <v>15307</v>
      </c>
      <c r="E994" s="15">
        <v>842.4</v>
      </c>
      <c r="F994" s="237">
        <v>42894</v>
      </c>
      <c r="G994" s="15">
        <v>842.4</v>
      </c>
      <c r="H994" s="15">
        <f t="shared" si="15"/>
        <v>0</v>
      </c>
      <c r="I994" s="236" t="s">
        <v>19682</v>
      </c>
    </row>
    <row r="995" spans="1:9" ht="15.75" x14ac:dyDescent="0.25">
      <c r="A995" s="36">
        <v>42894</v>
      </c>
      <c r="B995" s="18">
        <v>115096</v>
      </c>
      <c r="C995" s="235" t="s">
        <v>19677</v>
      </c>
      <c r="D995" s="239" t="s">
        <v>95</v>
      </c>
      <c r="E995" s="15">
        <v>0</v>
      </c>
      <c r="F995" s="243" t="s">
        <v>95</v>
      </c>
      <c r="G995" s="15">
        <v>0</v>
      </c>
      <c r="H995" s="15">
        <f t="shared" si="15"/>
        <v>0</v>
      </c>
      <c r="I995" s="236" t="s">
        <v>19678</v>
      </c>
    </row>
    <row r="996" spans="1:9" x14ac:dyDescent="0.25">
      <c r="A996" s="242">
        <v>42894</v>
      </c>
      <c r="B996" s="18">
        <v>115097</v>
      </c>
      <c r="C996" s="235" t="s">
        <v>19677</v>
      </c>
      <c r="D996" s="236" t="s">
        <v>15530</v>
      </c>
      <c r="E996" s="15">
        <v>3624</v>
      </c>
      <c r="F996" s="237">
        <v>42894</v>
      </c>
      <c r="G996" s="15">
        <v>3624</v>
      </c>
      <c r="H996" s="15">
        <f t="shared" si="15"/>
        <v>0</v>
      </c>
      <c r="I996" s="236" t="s">
        <v>19682</v>
      </c>
    </row>
    <row r="997" spans="1:9" x14ac:dyDescent="0.25">
      <c r="A997" s="36">
        <v>42894</v>
      </c>
      <c r="B997" s="18">
        <v>115098</v>
      </c>
      <c r="C997" s="235" t="s">
        <v>19677</v>
      </c>
      <c r="D997" s="236" t="s">
        <v>15835</v>
      </c>
      <c r="E997" s="15">
        <v>14676.6</v>
      </c>
      <c r="F997" s="237">
        <v>42894</v>
      </c>
      <c r="G997" s="15">
        <v>14676.6</v>
      </c>
      <c r="H997" s="15">
        <f t="shared" si="15"/>
        <v>0</v>
      </c>
      <c r="I997" s="236" t="s">
        <v>19682</v>
      </c>
    </row>
    <row r="998" spans="1:9" x14ac:dyDescent="0.25">
      <c r="A998" s="242">
        <v>42894</v>
      </c>
      <c r="B998" s="18">
        <v>115099</v>
      </c>
      <c r="C998" s="235" t="s">
        <v>19677</v>
      </c>
      <c r="D998" s="236" t="s">
        <v>15352</v>
      </c>
      <c r="E998" s="15">
        <v>62.4</v>
      </c>
      <c r="F998" s="237">
        <v>42894</v>
      </c>
      <c r="G998" s="15">
        <v>62.4</v>
      </c>
      <c r="H998" s="15">
        <f t="shared" si="15"/>
        <v>0</v>
      </c>
      <c r="I998" s="236" t="s">
        <v>19682</v>
      </c>
    </row>
    <row r="999" spans="1:9" x14ac:dyDescent="0.25">
      <c r="A999" s="36">
        <v>42894</v>
      </c>
      <c r="B999" s="18">
        <v>115100</v>
      </c>
      <c r="C999" s="235" t="s">
        <v>19677</v>
      </c>
      <c r="D999" s="236" t="s">
        <v>15706</v>
      </c>
      <c r="E999" s="15">
        <v>1561.8</v>
      </c>
      <c r="F999" s="237">
        <v>42894</v>
      </c>
      <c r="G999" s="15">
        <v>1561.8</v>
      </c>
      <c r="H999" s="15">
        <f t="shared" si="15"/>
        <v>0</v>
      </c>
      <c r="I999" s="236" t="s">
        <v>19682</v>
      </c>
    </row>
    <row r="1000" spans="1:9" x14ac:dyDescent="0.25">
      <c r="A1000" s="242">
        <v>42894</v>
      </c>
      <c r="B1000" s="18">
        <v>115101</v>
      </c>
      <c r="C1000" s="235" t="s">
        <v>19677</v>
      </c>
      <c r="D1000" s="236" t="s">
        <v>15398</v>
      </c>
      <c r="E1000" s="15">
        <v>3264.4</v>
      </c>
      <c r="F1000" s="237">
        <v>42894</v>
      </c>
      <c r="G1000" s="15">
        <v>3264.4</v>
      </c>
      <c r="H1000" s="15">
        <f t="shared" si="15"/>
        <v>0</v>
      </c>
      <c r="I1000" s="236" t="s">
        <v>19682</v>
      </c>
    </row>
    <row r="1001" spans="1:9" x14ac:dyDescent="0.25">
      <c r="A1001" s="36">
        <v>42894</v>
      </c>
      <c r="B1001" s="18">
        <v>115102</v>
      </c>
      <c r="C1001" s="235" t="s">
        <v>19677</v>
      </c>
      <c r="D1001" s="236" t="s">
        <v>15523</v>
      </c>
      <c r="E1001" s="15">
        <v>1840</v>
      </c>
      <c r="F1001" s="237">
        <v>42894</v>
      </c>
      <c r="G1001" s="15">
        <v>1840</v>
      </c>
      <c r="H1001" s="15">
        <f t="shared" si="15"/>
        <v>0</v>
      </c>
      <c r="I1001" s="236" t="s">
        <v>19682</v>
      </c>
    </row>
    <row r="1002" spans="1:9" x14ac:dyDescent="0.25">
      <c r="A1002" s="242">
        <v>42894</v>
      </c>
      <c r="B1002" s="18">
        <v>115103</v>
      </c>
      <c r="C1002" s="235" t="s">
        <v>19677</v>
      </c>
      <c r="D1002" s="236" t="s">
        <v>15334</v>
      </c>
      <c r="E1002" s="15">
        <v>1196.2</v>
      </c>
      <c r="F1002" s="237">
        <v>42894</v>
      </c>
      <c r="G1002" s="15">
        <v>1196.2</v>
      </c>
      <c r="H1002" s="15">
        <f t="shared" si="15"/>
        <v>0</v>
      </c>
      <c r="I1002" s="236" t="s">
        <v>19682</v>
      </c>
    </row>
    <row r="1003" spans="1:9" x14ac:dyDescent="0.25">
      <c r="A1003" s="36">
        <v>42894</v>
      </c>
      <c r="B1003" s="18">
        <v>115104</v>
      </c>
      <c r="C1003" s="235" t="s">
        <v>19677</v>
      </c>
      <c r="D1003" s="236" t="s">
        <v>15714</v>
      </c>
      <c r="E1003" s="15">
        <v>780</v>
      </c>
      <c r="F1003" s="237">
        <v>42894</v>
      </c>
      <c r="G1003" s="15">
        <v>780</v>
      </c>
      <c r="H1003" s="15">
        <f t="shared" si="15"/>
        <v>0</v>
      </c>
      <c r="I1003" s="236" t="s">
        <v>19682</v>
      </c>
    </row>
    <row r="1004" spans="1:9" x14ac:dyDescent="0.25">
      <c r="A1004" s="242">
        <v>42894</v>
      </c>
      <c r="B1004" s="18">
        <v>115105</v>
      </c>
      <c r="C1004" s="235" t="s">
        <v>19677</v>
      </c>
      <c r="D1004" s="236" t="s">
        <v>15358</v>
      </c>
      <c r="E1004" s="15">
        <v>1584</v>
      </c>
      <c r="F1004" s="237">
        <v>42894</v>
      </c>
      <c r="G1004" s="15">
        <v>1584</v>
      </c>
      <c r="H1004" s="15">
        <f t="shared" si="15"/>
        <v>0</v>
      </c>
      <c r="I1004" s="236" t="s">
        <v>19682</v>
      </c>
    </row>
    <row r="1005" spans="1:9" x14ac:dyDescent="0.25">
      <c r="A1005" s="36">
        <v>42894</v>
      </c>
      <c r="B1005" s="18">
        <v>115106</v>
      </c>
      <c r="C1005" s="235" t="s">
        <v>19677</v>
      </c>
      <c r="D1005" s="236" t="s">
        <v>15336</v>
      </c>
      <c r="E1005" s="15">
        <v>8109</v>
      </c>
      <c r="F1005" s="237">
        <v>42894</v>
      </c>
      <c r="G1005" s="15">
        <v>8109</v>
      </c>
      <c r="H1005" s="15">
        <f t="shared" si="15"/>
        <v>0</v>
      </c>
      <c r="I1005" s="236" t="s">
        <v>19682</v>
      </c>
    </row>
    <row r="1006" spans="1:9" x14ac:dyDescent="0.25">
      <c r="A1006" s="242">
        <v>42894</v>
      </c>
      <c r="B1006" s="18">
        <v>115107</v>
      </c>
      <c r="C1006" s="235" t="s">
        <v>19677</v>
      </c>
      <c r="D1006" s="236" t="s">
        <v>15298</v>
      </c>
      <c r="E1006" s="15">
        <v>18007.8</v>
      </c>
      <c r="F1006" s="237">
        <v>42901</v>
      </c>
      <c r="G1006" s="15">
        <v>18007.8</v>
      </c>
      <c r="H1006" s="15">
        <f t="shared" si="15"/>
        <v>0</v>
      </c>
      <c r="I1006" s="236" t="s">
        <v>19682</v>
      </c>
    </row>
    <row r="1007" spans="1:9" x14ac:dyDescent="0.25">
      <c r="A1007" s="36">
        <v>42894</v>
      </c>
      <c r="B1007" s="18">
        <v>115108</v>
      </c>
      <c r="C1007" s="235" t="s">
        <v>19677</v>
      </c>
      <c r="D1007" s="236" t="s">
        <v>17210</v>
      </c>
      <c r="E1007" s="15">
        <v>2509.8000000000002</v>
      </c>
      <c r="F1007" s="237">
        <v>42894</v>
      </c>
      <c r="G1007" s="15">
        <v>2509.8000000000002</v>
      </c>
      <c r="H1007" s="15">
        <f t="shared" si="15"/>
        <v>0</v>
      </c>
      <c r="I1007" s="236" t="s">
        <v>19682</v>
      </c>
    </row>
    <row r="1008" spans="1:9" x14ac:dyDescent="0.25">
      <c r="A1008" s="242">
        <v>42894</v>
      </c>
      <c r="B1008" s="18">
        <v>115109</v>
      </c>
      <c r="C1008" s="235" t="s">
        <v>19677</v>
      </c>
      <c r="D1008" s="236" t="s">
        <v>15526</v>
      </c>
      <c r="E1008" s="15">
        <v>3374.6</v>
      </c>
      <c r="F1008" s="237">
        <v>42894</v>
      </c>
      <c r="G1008" s="15">
        <v>3374.6</v>
      </c>
      <c r="H1008" s="15">
        <f t="shared" si="15"/>
        <v>0</v>
      </c>
      <c r="I1008" s="236" t="s">
        <v>19682</v>
      </c>
    </row>
    <row r="1009" spans="1:9" x14ac:dyDescent="0.25">
      <c r="A1009" s="36">
        <v>42894</v>
      </c>
      <c r="B1009" s="18">
        <v>115110</v>
      </c>
      <c r="C1009" s="235" t="s">
        <v>19677</v>
      </c>
      <c r="D1009" s="236" t="s">
        <v>15344</v>
      </c>
      <c r="E1009" s="15">
        <v>1889.4</v>
      </c>
      <c r="F1009" s="237">
        <v>42894</v>
      </c>
      <c r="G1009" s="15">
        <v>1889.4</v>
      </c>
      <c r="H1009" s="15">
        <f t="shared" si="15"/>
        <v>0</v>
      </c>
      <c r="I1009" s="236" t="s">
        <v>19682</v>
      </c>
    </row>
    <row r="1010" spans="1:9" x14ac:dyDescent="0.25">
      <c r="A1010" s="242">
        <v>42894</v>
      </c>
      <c r="B1010" s="18">
        <v>115111</v>
      </c>
      <c r="C1010" s="235" t="s">
        <v>19677</v>
      </c>
      <c r="D1010" s="236" t="s">
        <v>15340</v>
      </c>
      <c r="E1010" s="15">
        <v>5250.9</v>
      </c>
      <c r="F1010" s="237">
        <v>42894</v>
      </c>
      <c r="G1010" s="15">
        <v>5250.9</v>
      </c>
      <c r="H1010" s="15">
        <f t="shared" si="15"/>
        <v>0</v>
      </c>
      <c r="I1010" s="236" t="s">
        <v>19682</v>
      </c>
    </row>
    <row r="1011" spans="1:9" x14ac:dyDescent="0.25">
      <c r="A1011" s="36">
        <v>42894</v>
      </c>
      <c r="B1011" s="18">
        <v>115112</v>
      </c>
      <c r="C1011" s="235" t="s">
        <v>19677</v>
      </c>
      <c r="D1011" s="236" t="s">
        <v>15553</v>
      </c>
      <c r="E1011" s="15">
        <v>5079.6000000000004</v>
      </c>
      <c r="F1011" s="237">
        <v>42894</v>
      </c>
      <c r="G1011" s="15">
        <v>5079.6000000000004</v>
      </c>
      <c r="H1011" s="15">
        <f t="shared" si="15"/>
        <v>0</v>
      </c>
      <c r="I1011" s="236" t="s">
        <v>19682</v>
      </c>
    </row>
    <row r="1012" spans="1:9" x14ac:dyDescent="0.25">
      <c r="A1012" s="242">
        <v>42894</v>
      </c>
      <c r="B1012" s="18">
        <v>115113</v>
      </c>
      <c r="C1012" s="235" t="s">
        <v>19677</v>
      </c>
      <c r="D1012" s="236" t="s">
        <v>15338</v>
      </c>
      <c r="E1012" s="15">
        <v>2938.5</v>
      </c>
      <c r="F1012" s="237">
        <v>42899</v>
      </c>
      <c r="G1012" s="15">
        <v>2938.5</v>
      </c>
      <c r="H1012" s="15">
        <f t="shared" si="15"/>
        <v>0</v>
      </c>
      <c r="I1012" s="236" t="s">
        <v>19682</v>
      </c>
    </row>
    <row r="1013" spans="1:9" x14ac:dyDescent="0.25">
      <c r="A1013" s="36">
        <v>42894</v>
      </c>
      <c r="B1013" s="18">
        <v>115114</v>
      </c>
      <c r="C1013" s="235" t="s">
        <v>19677</v>
      </c>
      <c r="D1013" s="236" t="s">
        <v>15728</v>
      </c>
      <c r="E1013" s="15">
        <v>19781.2</v>
      </c>
      <c r="F1013" s="237">
        <v>42894</v>
      </c>
      <c r="G1013" s="15">
        <v>19781.2</v>
      </c>
      <c r="H1013" s="15">
        <f t="shared" si="15"/>
        <v>0</v>
      </c>
      <c r="I1013" s="236" t="s">
        <v>19682</v>
      </c>
    </row>
    <row r="1014" spans="1:9" x14ac:dyDescent="0.25">
      <c r="A1014" s="242">
        <v>42894</v>
      </c>
      <c r="B1014" s="18">
        <v>115115</v>
      </c>
      <c r="C1014" s="235" t="s">
        <v>19677</v>
      </c>
      <c r="D1014" s="236" t="s">
        <v>15315</v>
      </c>
      <c r="E1014" s="15">
        <v>2300</v>
      </c>
      <c r="F1014" s="237">
        <v>42894</v>
      </c>
      <c r="G1014" s="15">
        <v>2300</v>
      </c>
      <c r="H1014" s="15">
        <f t="shared" si="15"/>
        <v>0</v>
      </c>
      <c r="I1014" s="236" t="s">
        <v>19682</v>
      </c>
    </row>
    <row r="1015" spans="1:9" x14ac:dyDescent="0.25">
      <c r="A1015" s="36">
        <v>42894</v>
      </c>
      <c r="B1015" s="18">
        <v>115116</v>
      </c>
      <c r="C1015" s="235" t="s">
        <v>19677</v>
      </c>
      <c r="D1015" s="236" t="s">
        <v>15361</v>
      </c>
      <c r="E1015" s="15">
        <v>2777.3</v>
      </c>
      <c r="F1015" s="237">
        <v>42894</v>
      </c>
      <c r="G1015" s="15">
        <v>2777.3</v>
      </c>
      <c r="H1015" s="15">
        <f t="shared" si="15"/>
        <v>0</v>
      </c>
      <c r="I1015" s="236" t="s">
        <v>19682</v>
      </c>
    </row>
    <row r="1016" spans="1:9" x14ac:dyDescent="0.25">
      <c r="A1016" s="242">
        <v>42894</v>
      </c>
      <c r="B1016" s="18">
        <v>115117</v>
      </c>
      <c r="C1016" s="235" t="s">
        <v>19677</v>
      </c>
      <c r="D1016" s="236" t="s">
        <v>16383</v>
      </c>
      <c r="E1016" s="15">
        <v>499.2</v>
      </c>
      <c r="F1016" s="237">
        <v>42894</v>
      </c>
      <c r="G1016" s="15">
        <v>499.2</v>
      </c>
      <c r="H1016" s="15">
        <f t="shared" si="15"/>
        <v>0</v>
      </c>
      <c r="I1016" s="236" t="s">
        <v>19682</v>
      </c>
    </row>
    <row r="1017" spans="1:9" x14ac:dyDescent="0.25">
      <c r="A1017" s="36">
        <v>42894</v>
      </c>
      <c r="B1017" s="18">
        <v>115118</v>
      </c>
      <c r="C1017" s="235" t="s">
        <v>19677</v>
      </c>
      <c r="D1017" s="236" t="s">
        <v>15391</v>
      </c>
      <c r="E1017" s="15">
        <v>7371</v>
      </c>
      <c r="F1017" s="237">
        <v>42894</v>
      </c>
      <c r="G1017" s="15">
        <v>7371</v>
      </c>
      <c r="H1017" s="15">
        <f t="shared" si="15"/>
        <v>0</v>
      </c>
      <c r="I1017" s="236" t="s">
        <v>19682</v>
      </c>
    </row>
    <row r="1018" spans="1:9" x14ac:dyDescent="0.25">
      <c r="A1018" s="242">
        <v>42894</v>
      </c>
      <c r="B1018" s="18">
        <v>115119</v>
      </c>
      <c r="C1018" s="235" t="s">
        <v>19677</v>
      </c>
      <c r="D1018" s="236" t="s">
        <v>16297</v>
      </c>
      <c r="E1018" s="15">
        <v>12051</v>
      </c>
      <c r="F1018" s="237">
        <v>42899</v>
      </c>
      <c r="G1018" s="15">
        <v>12051</v>
      </c>
      <c r="H1018" s="15">
        <f t="shared" si="15"/>
        <v>0</v>
      </c>
      <c r="I1018" s="236" t="s">
        <v>19682</v>
      </c>
    </row>
    <row r="1019" spans="1:9" x14ac:dyDescent="0.25">
      <c r="A1019" s="36">
        <v>42894</v>
      </c>
      <c r="B1019" s="18">
        <v>115120</v>
      </c>
      <c r="C1019" s="235" t="s">
        <v>19677</v>
      </c>
      <c r="D1019" s="236" t="s">
        <v>15267</v>
      </c>
      <c r="E1019" s="15">
        <v>11557.8</v>
      </c>
      <c r="F1019" s="237">
        <v>42894</v>
      </c>
      <c r="G1019" s="15">
        <v>11557.8</v>
      </c>
      <c r="H1019" s="15">
        <f t="shared" si="15"/>
        <v>0</v>
      </c>
      <c r="I1019" s="236" t="s">
        <v>19682</v>
      </c>
    </row>
    <row r="1020" spans="1:9" x14ac:dyDescent="0.25">
      <c r="A1020" s="242">
        <v>42894</v>
      </c>
      <c r="B1020" s="18">
        <v>115121</v>
      </c>
      <c r="C1020" s="235" t="s">
        <v>19677</v>
      </c>
      <c r="D1020" s="236" t="s">
        <v>15537</v>
      </c>
      <c r="E1020" s="15">
        <v>18578.7</v>
      </c>
      <c r="F1020" s="237">
        <v>42900</v>
      </c>
      <c r="G1020" s="15">
        <v>18578.7</v>
      </c>
      <c r="H1020" s="15">
        <f t="shared" si="15"/>
        <v>0</v>
      </c>
      <c r="I1020" s="236" t="s">
        <v>19682</v>
      </c>
    </row>
    <row r="1021" spans="1:9" x14ac:dyDescent="0.25">
      <c r="A1021" s="36">
        <v>42894</v>
      </c>
      <c r="B1021" s="18">
        <v>115122</v>
      </c>
      <c r="C1021" s="235" t="s">
        <v>19677</v>
      </c>
      <c r="D1021" s="236" t="s">
        <v>15539</v>
      </c>
      <c r="E1021" s="15">
        <v>17456.400000000001</v>
      </c>
      <c r="F1021" s="237">
        <v>42900</v>
      </c>
      <c r="G1021" s="15">
        <v>17456.400000000001</v>
      </c>
      <c r="H1021" s="15">
        <f t="shared" si="15"/>
        <v>0</v>
      </c>
      <c r="I1021" s="236" t="s">
        <v>19682</v>
      </c>
    </row>
    <row r="1022" spans="1:9" x14ac:dyDescent="0.25">
      <c r="A1022" s="242">
        <v>42894</v>
      </c>
      <c r="B1022" s="18">
        <v>115123</v>
      </c>
      <c r="C1022" s="235" t="s">
        <v>19677</v>
      </c>
      <c r="D1022" s="236" t="s">
        <v>15833</v>
      </c>
      <c r="E1022" s="15">
        <v>17842.5</v>
      </c>
      <c r="F1022" s="237">
        <v>42900</v>
      </c>
      <c r="G1022" s="241">
        <v>17842.5</v>
      </c>
      <c r="H1022" s="241">
        <f t="shared" si="15"/>
        <v>0</v>
      </c>
      <c r="I1022" s="236" t="s">
        <v>19682</v>
      </c>
    </row>
    <row r="1023" spans="1:9" x14ac:dyDescent="0.25">
      <c r="A1023" s="36">
        <v>42894</v>
      </c>
      <c r="B1023" s="18">
        <v>115124</v>
      </c>
      <c r="C1023" s="235" t="s">
        <v>19677</v>
      </c>
      <c r="D1023" s="236" t="s">
        <v>15544</v>
      </c>
      <c r="E1023" s="15">
        <v>4059.9</v>
      </c>
      <c r="F1023" s="237" t="s">
        <v>19715</v>
      </c>
      <c r="G1023" s="241">
        <f>3352.74+707.16</f>
        <v>4059.8999999999996</v>
      </c>
      <c r="H1023" s="241">
        <f t="shared" si="15"/>
        <v>0</v>
      </c>
      <c r="I1023" s="236" t="s">
        <v>19682</v>
      </c>
    </row>
    <row r="1024" spans="1:9" x14ac:dyDescent="0.25">
      <c r="A1024" s="242">
        <v>42894</v>
      </c>
      <c r="B1024" s="18">
        <v>115125</v>
      </c>
      <c r="C1024" s="235" t="s">
        <v>19677</v>
      </c>
      <c r="D1024" s="236" t="s">
        <v>15315</v>
      </c>
      <c r="E1024" s="15">
        <v>3529.5</v>
      </c>
      <c r="F1024" s="237">
        <v>42909</v>
      </c>
      <c r="G1024" s="15">
        <v>3529.5</v>
      </c>
      <c r="H1024" s="15">
        <f t="shared" si="15"/>
        <v>0</v>
      </c>
      <c r="I1024" s="236" t="s">
        <v>19682</v>
      </c>
    </row>
    <row r="1025" spans="1:9" x14ac:dyDescent="0.25">
      <c r="A1025" s="36">
        <v>42894</v>
      </c>
      <c r="B1025" s="18">
        <v>115126</v>
      </c>
      <c r="C1025" s="235" t="s">
        <v>19677</v>
      </c>
      <c r="D1025" s="236" t="s">
        <v>15699</v>
      </c>
      <c r="E1025" s="15">
        <v>3767.4</v>
      </c>
      <c r="F1025" s="237">
        <v>42909</v>
      </c>
      <c r="G1025" s="15">
        <v>3767.4</v>
      </c>
      <c r="H1025" s="15">
        <f t="shared" si="15"/>
        <v>0</v>
      </c>
      <c r="I1025" s="236" t="s">
        <v>19682</v>
      </c>
    </row>
    <row r="1026" spans="1:9" x14ac:dyDescent="0.25">
      <c r="A1026" s="242">
        <v>42894</v>
      </c>
      <c r="B1026" s="18">
        <v>115127</v>
      </c>
      <c r="C1026" s="235" t="s">
        <v>19677</v>
      </c>
      <c r="D1026" s="236" t="s">
        <v>15294</v>
      </c>
      <c r="E1026" s="15">
        <v>4485</v>
      </c>
      <c r="F1026" s="237">
        <v>42894</v>
      </c>
      <c r="G1026" s="15">
        <v>4485</v>
      </c>
      <c r="H1026" s="15">
        <f t="shared" ref="H1026:H1089" si="16">E1026-G1026</f>
        <v>0</v>
      </c>
      <c r="I1026" s="236" t="s">
        <v>19682</v>
      </c>
    </row>
    <row r="1027" spans="1:9" x14ac:dyDescent="0.25">
      <c r="A1027" s="36">
        <v>42894</v>
      </c>
      <c r="B1027" s="18">
        <v>115128</v>
      </c>
      <c r="C1027" s="235" t="s">
        <v>19677</v>
      </c>
      <c r="D1027" s="236" t="s">
        <v>15566</v>
      </c>
      <c r="E1027" s="15">
        <v>3187.8</v>
      </c>
      <c r="F1027" s="237">
        <v>42894</v>
      </c>
      <c r="G1027" s="15">
        <v>3187.8</v>
      </c>
      <c r="H1027" s="15">
        <f t="shared" si="16"/>
        <v>0</v>
      </c>
      <c r="I1027" s="236" t="s">
        <v>19682</v>
      </c>
    </row>
    <row r="1028" spans="1:9" x14ac:dyDescent="0.25">
      <c r="A1028" s="242">
        <v>42894</v>
      </c>
      <c r="B1028" s="18">
        <v>115129</v>
      </c>
      <c r="C1028" s="235" t="s">
        <v>19677</v>
      </c>
      <c r="D1028" s="236" t="s">
        <v>15315</v>
      </c>
      <c r="E1028" s="15">
        <v>4985.6000000000004</v>
      </c>
      <c r="F1028" s="237">
        <v>42894</v>
      </c>
      <c r="G1028" s="15">
        <v>4985.6000000000004</v>
      </c>
      <c r="H1028" s="15">
        <f t="shared" si="16"/>
        <v>0</v>
      </c>
      <c r="I1028" s="236" t="s">
        <v>19682</v>
      </c>
    </row>
    <row r="1029" spans="1:9" x14ac:dyDescent="0.25">
      <c r="A1029" s="36">
        <v>42894</v>
      </c>
      <c r="B1029" s="18">
        <v>115130</v>
      </c>
      <c r="C1029" s="235" t="s">
        <v>19677</v>
      </c>
      <c r="D1029" s="236" t="s">
        <v>18544</v>
      </c>
      <c r="E1029" s="15">
        <v>722.4</v>
      </c>
      <c r="F1029" s="237">
        <v>42894</v>
      </c>
      <c r="G1029" s="15">
        <v>722.4</v>
      </c>
      <c r="H1029" s="15">
        <f t="shared" si="16"/>
        <v>0</v>
      </c>
      <c r="I1029" s="236" t="s">
        <v>19682</v>
      </c>
    </row>
    <row r="1030" spans="1:9" x14ac:dyDescent="0.25">
      <c r="A1030" s="242">
        <v>42894</v>
      </c>
      <c r="B1030" s="18">
        <v>115131</v>
      </c>
      <c r="C1030" s="235" t="s">
        <v>19677</v>
      </c>
      <c r="D1030" s="236" t="s">
        <v>16064</v>
      </c>
      <c r="E1030" s="15">
        <v>4250.3999999999996</v>
      </c>
      <c r="F1030" s="237">
        <v>42895</v>
      </c>
      <c r="G1030" s="15">
        <v>4250.3999999999996</v>
      </c>
      <c r="H1030" s="15">
        <f t="shared" si="16"/>
        <v>0</v>
      </c>
      <c r="I1030" s="236" t="s">
        <v>19682</v>
      </c>
    </row>
    <row r="1031" spans="1:9" x14ac:dyDescent="0.25">
      <c r="A1031" s="36">
        <v>42894</v>
      </c>
      <c r="B1031" s="18">
        <v>115132</v>
      </c>
      <c r="C1031" s="235" t="s">
        <v>19677</v>
      </c>
      <c r="D1031" s="236" t="s">
        <v>15930</v>
      </c>
      <c r="E1031" s="15">
        <v>8272.7999999999993</v>
      </c>
      <c r="F1031" s="237">
        <v>42895</v>
      </c>
      <c r="G1031" s="15">
        <v>8272.7999999999993</v>
      </c>
      <c r="H1031" s="15">
        <f t="shared" si="16"/>
        <v>0</v>
      </c>
      <c r="I1031" s="236" t="s">
        <v>19682</v>
      </c>
    </row>
    <row r="1032" spans="1:9" x14ac:dyDescent="0.25">
      <c r="A1032" s="242">
        <v>42894</v>
      </c>
      <c r="B1032" s="18">
        <v>115133</v>
      </c>
      <c r="C1032" s="235" t="s">
        <v>19677</v>
      </c>
      <c r="D1032" s="236" t="s">
        <v>15600</v>
      </c>
      <c r="E1032" s="15">
        <v>9474.7999999999993</v>
      </c>
      <c r="F1032" s="237">
        <v>42895</v>
      </c>
      <c r="G1032" s="15">
        <v>9474.7999999999993</v>
      </c>
      <c r="H1032" s="15">
        <f t="shared" si="16"/>
        <v>0</v>
      </c>
      <c r="I1032" s="236" t="s">
        <v>19682</v>
      </c>
    </row>
    <row r="1033" spans="1:9" x14ac:dyDescent="0.25">
      <c r="A1033" s="36">
        <v>42894</v>
      </c>
      <c r="B1033" s="18">
        <v>115134</v>
      </c>
      <c r="C1033" s="235" t="s">
        <v>19677</v>
      </c>
      <c r="D1033" s="236" t="s">
        <v>15442</v>
      </c>
      <c r="E1033" s="15">
        <v>12900</v>
      </c>
      <c r="F1033" s="237">
        <v>42895</v>
      </c>
      <c r="G1033" s="15">
        <v>12900</v>
      </c>
      <c r="H1033" s="15">
        <f t="shared" si="16"/>
        <v>0</v>
      </c>
      <c r="I1033" s="236" t="s">
        <v>19682</v>
      </c>
    </row>
    <row r="1034" spans="1:9" x14ac:dyDescent="0.25">
      <c r="A1034" s="242">
        <v>42894</v>
      </c>
      <c r="B1034" s="18">
        <v>115135</v>
      </c>
      <c r="C1034" s="235" t="s">
        <v>19677</v>
      </c>
      <c r="D1034" s="236" t="s">
        <v>15786</v>
      </c>
      <c r="E1034" s="15">
        <v>1504</v>
      </c>
      <c r="F1034" s="237">
        <v>42894</v>
      </c>
      <c r="G1034" s="15">
        <v>1504</v>
      </c>
      <c r="H1034" s="15">
        <f t="shared" si="16"/>
        <v>0</v>
      </c>
      <c r="I1034" s="236" t="s">
        <v>19682</v>
      </c>
    </row>
    <row r="1035" spans="1:9" x14ac:dyDescent="0.25">
      <c r="A1035" s="36">
        <v>42894</v>
      </c>
      <c r="B1035" s="18">
        <v>115136</v>
      </c>
      <c r="C1035" s="235" t="s">
        <v>19677</v>
      </c>
      <c r="D1035" s="236" t="s">
        <v>15265</v>
      </c>
      <c r="E1035" s="15">
        <v>2439.3000000000002</v>
      </c>
      <c r="F1035" s="237">
        <v>42894</v>
      </c>
      <c r="G1035" s="15">
        <v>2439.3000000000002</v>
      </c>
      <c r="H1035" s="15">
        <f t="shared" si="16"/>
        <v>0</v>
      </c>
      <c r="I1035" s="236" t="s">
        <v>19682</v>
      </c>
    </row>
    <row r="1036" spans="1:9" x14ac:dyDescent="0.25">
      <c r="A1036" s="242">
        <v>42894</v>
      </c>
      <c r="B1036" s="18">
        <v>115137</v>
      </c>
      <c r="C1036" s="235" t="s">
        <v>19677</v>
      </c>
      <c r="D1036" s="236" t="s">
        <v>15363</v>
      </c>
      <c r="E1036" s="15">
        <v>2044.5</v>
      </c>
      <c r="F1036" s="237">
        <v>42894</v>
      </c>
      <c r="G1036" s="15">
        <v>2044.5</v>
      </c>
      <c r="H1036" s="15">
        <f t="shared" si="16"/>
        <v>0</v>
      </c>
      <c r="I1036" s="236" t="s">
        <v>19682</v>
      </c>
    </row>
    <row r="1037" spans="1:9" x14ac:dyDescent="0.25">
      <c r="A1037" s="36">
        <v>42894</v>
      </c>
      <c r="B1037" s="18">
        <v>115138</v>
      </c>
      <c r="C1037" s="235" t="s">
        <v>19677</v>
      </c>
      <c r="D1037" s="236" t="s">
        <v>15276</v>
      </c>
      <c r="E1037" s="15">
        <v>3735.2</v>
      </c>
      <c r="F1037" s="237">
        <v>42895</v>
      </c>
      <c r="G1037" s="15">
        <v>3735.2</v>
      </c>
      <c r="H1037" s="15">
        <f t="shared" si="16"/>
        <v>0</v>
      </c>
      <c r="I1037" s="236" t="s">
        <v>19682</v>
      </c>
    </row>
    <row r="1038" spans="1:9" ht="15.75" x14ac:dyDescent="0.25">
      <c r="A1038" s="242">
        <v>42894</v>
      </c>
      <c r="B1038" s="18">
        <v>115139</v>
      </c>
      <c r="C1038" s="235" t="s">
        <v>19677</v>
      </c>
      <c r="D1038" s="239" t="s">
        <v>95</v>
      </c>
      <c r="E1038" s="15">
        <v>0</v>
      </c>
      <c r="F1038" s="243" t="s">
        <v>95</v>
      </c>
      <c r="G1038" s="15"/>
      <c r="H1038" s="15">
        <f t="shared" si="16"/>
        <v>0</v>
      </c>
      <c r="I1038" s="236" t="s">
        <v>19678</v>
      </c>
    </row>
    <row r="1039" spans="1:9" x14ac:dyDescent="0.25">
      <c r="A1039" s="36">
        <v>42894</v>
      </c>
      <c r="B1039" s="18">
        <v>115140</v>
      </c>
      <c r="C1039" s="235" t="s">
        <v>19677</v>
      </c>
      <c r="D1039" s="236" t="s">
        <v>15315</v>
      </c>
      <c r="E1039" s="15">
        <v>2750.6</v>
      </c>
      <c r="F1039" s="237">
        <v>42894</v>
      </c>
      <c r="G1039" s="15">
        <v>2750.6</v>
      </c>
      <c r="H1039" s="15">
        <f t="shared" si="16"/>
        <v>0</v>
      </c>
      <c r="I1039" s="236" t="s">
        <v>19682</v>
      </c>
    </row>
    <row r="1040" spans="1:9" x14ac:dyDescent="0.25">
      <c r="A1040" s="242">
        <v>42894</v>
      </c>
      <c r="B1040" s="18">
        <v>115141</v>
      </c>
      <c r="C1040" s="235" t="s">
        <v>19677</v>
      </c>
      <c r="D1040" s="236" t="s">
        <v>18773</v>
      </c>
      <c r="E1040" s="15">
        <v>30802.799999999999</v>
      </c>
      <c r="F1040" s="237">
        <v>42894</v>
      </c>
      <c r="G1040" s="15">
        <v>30802.799999999999</v>
      </c>
      <c r="H1040" s="15">
        <f t="shared" si="16"/>
        <v>0</v>
      </c>
      <c r="I1040" s="236" t="s">
        <v>19682</v>
      </c>
    </row>
    <row r="1041" spans="1:9" x14ac:dyDescent="0.25">
      <c r="A1041" s="36">
        <v>42894</v>
      </c>
      <c r="B1041" s="18">
        <v>115142</v>
      </c>
      <c r="C1041" s="235" t="s">
        <v>19677</v>
      </c>
      <c r="D1041" s="236" t="s">
        <v>15417</v>
      </c>
      <c r="E1041" s="15">
        <v>2272.5</v>
      </c>
      <c r="F1041" s="237">
        <v>42895</v>
      </c>
      <c r="G1041" s="15">
        <v>2272.5</v>
      </c>
      <c r="H1041" s="15">
        <f t="shared" si="16"/>
        <v>0</v>
      </c>
      <c r="I1041" s="236" t="s">
        <v>19682</v>
      </c>
    </row>
    <row r="1042" spans="1:9" x14ac:dyDescent="0.25">
      <c r="A1042" s="242">
        <v>42894</v>
      </c>
      <c r="B1042" s="18">
        <v>115143</v>
      </c>
      <c r="C1042" s="235" t="s">
        <v>19677</v>
      </c>
      <c r="D1042" s="236" t="s">
        <v>15317</v>
      </c>
      <c r="E1042" s="15">
        <v>539.6</v>
      </c>
      <c r="F1042" s="237">
        <v>42895</v>
      </c>
      <c r="G1042" s="15">
        <v>539.6</v>
      </c>
      <c r="H1042" s="15">
        <f t="shared" si="16"/>
        <v>0</v>
      </c>
      <c r="I1042" s="236" t="s">
        <v>19682</v>
      </c>
    </row>
    <row r="1043" spans="1:9" x14ac:dyDescent="0.25">
      <c r="A1043" s="36">
        <v>42894</v>
      </c>
      <c r="B1043" s="18">
        <v>115144</v>
      </c>
      <c r="C1043" s="235" t="s">
        <v>19677</v>
      </c>
      <c r="D1043" s="236" t="s">
        <v>15246</v>
      </c>
      <c r="E1043" s="15">
        <v>8102</v>
      </c>
      <c r="F1043" s="237">
        <v>42896</v>
      </c>
      <c r="G1043" s="15">
        <v>8102</v>
      </c>
      <c r="H1043" s="15">
        <f t="shared" si="16"/>
        <v>0</v>
      </c>
      <c r="I1043" s="236" t="s">
        <v>19682</v>
      </c>
    </row>
    <row r="1044" spans="1:9" x14ac:dyDescent="0.25">
      <c r="A1044" s="242">
        <v>42894</v>
      </c>
      <c r="B1044" s="18">
        <v>115145</v>
      </c>
      <c r="C1044" s="235" t="s">
        <v>19677</v>
      </c>
      <c r="D1044" s="236" t="s">
        <v>15246</v>
      </c>
      <c r="E1044" s="15">
        <v>257825.8</v>
      </c>
      <c r="F1044" s="237">
        <v>42896</v>
      </c>
      <c r="G1044" s="15">
        <v>257825.8</v>
      </c>
      <c r="H1044" s="15">
        <f t="shared" si="16"/>
        <v>0</v>
      </c>
      <c r="I1044" s="236" t="s">
        <v>19682</v>
      </c>
    </row>
    <row r="1045" spans="1:9" x14ac:dyDescent="0.25">
      <c r="A1045" s="36">
        <v>42894</v>
      </c>
      <c r="B1045" s="18">
        <v>115146</v>
      </c>
      <c r="C1045" s="235" t="s">
        <v>19677</v>
      </c>
      <c r="D1045" s="236" t="s">
        <v>16286</v>
      </c>
      <c r="E1045" s="15">
        <v>720</v>
      </c>
      <c r="F1045" s="237">
        <v>42894</v>
      </c>
      <c r="G1045" s="15">
        <v>720</v>
      </c>
      <c r="H1045" s="15">
        <f t="shared" si="16"/>
        <v>0</v>
      </c>
      <c r="I1045" s="236" t="s">
        <v>19682</v>
      </c>
    </row>
    <row r="1046" spans="1:9" x14ac:dyDescent="0.25">
      <c r="A1046" s="242">
        <v>42894</v>
      </c>
      <c r="B1046" s="18">
        <v>115147</v>
      </c>
      <c r="C1046" s="235" t="s">
        <v>19677</v>
      </c>
      <c r="D1046" s="236" t="s">
        <v>15716</v>
      </c>
      <c r="E1046" s="15">
        <v>3728</v>
      </c>
      <c r="F1046" s="237">
        <v>42894</v>
      </c>
      <c r="G1046" s="15">
        <v>3728</v>
      </c>
      <c r="H1046" s="15">
        <f t="shared" si="16"/>
        <v>0</v>
      </c>
      <c r="I1046" s="236" t="s">
        <v>19682</v>
      </c>
    </row>
    <row r="1047" spans="1:9" x14ac:dyDescent="0.25">
      <c r="A1047" s="36">
        <v>42894</v>
      </c>
      <c r="B1047" s="18">
        <v>115148</v>
      </c>
      <c r="C1047" s="235" t="s">
        <v>19677</v>
      </c>
      <c r="D1047" s="236" t="s">
        <v>17462</v>
      </c>
      <c r="E1047" s="15">
        <v>1344</v>
      </c>
      <c r="F1047" s="237">
        <v>42894</v>
      </c>
      <c r="G1047" s="15">
        <v>1344</v>
      </c>
      <c r="H1047" s="15">
        <f t="shared" si="16"/>
        <v>0</v>
      </c>
      <c r="I1047" s="236" t="s">
        <v>19682</v>
      </c>
    </row>
    <row r="1048" spans="1:9" x14ac:dyDescent="0.25">
      <c r="A1048" s="242">
        <v>42894</v>
      </c>
      <c r="B1048" s="18">
        <v>115149</v>
      </c>
      <c r="C1048" s="235" t="s">
        <v>19677</v>
      </c>
      <c r="D1048" s="236" t="s">
        <v>19313</v>
      </c>
      <c r="E1048" s="15">
        <v>916.5</v>
      </c>
      <c r="F1048" s="237">
        <v>42894</v>
      </c>
      <c r="G1048" s="15">
        <v>916.5</v>
      </c>
      <c r="H1048" s="15">
        <f t="shared" si="16"/>
        <v>0</v>
      </c>
      <c r="I1048" s="236" t="s">
        <v>19682</v>
      </c>
    </row>
    <row r="1049" spans="1:9" x14ac:dyDescent="0.25">
      <c r="A1049" s="36">
        <v>42894</v>
      </c>
      <c r="B1049" s="18">
        <v>115150</v>
      </c>
      <c r="C1049" s="235" t="s">
        <v>19677</v>
      </c>
      <c r="D1049" s="236" t="s">
        <v>15284</v>
      </c>
      <c r="E1049" s="15">
        <v>1990.5</v>
      </c>
      <c r="F1049" s="237">
        <v>42894</v>
      </c>
      <c r="G1049" s="15">
        <v>1990.5</v>
      </c>
      <c r="H1049" s="15">
        <f t="shared" si="16"/>
        <v>0</v>
      </c>
      <c r="I1049" s="236" t="s">
        <v>19682</v>
      </c>
    </row>
    <row r="1050" spans="1:9" x14ac:dyDescent="0.25">
      <c r="A1050" s="242">
        <v>42894</v>
      </c>
      <c r="B1050" s="18">
        <v>115151</v>
      </c>
      <c r="C1050" s="235" t="s">
        <v>19677</v>
      </c>
      <c r="D1050" s="236" t="s">
        <v>15246</v>
      </c>
      <c r="E1050" s="15">
        <v>56666.5</v>
      </c>
      <c r="F1050" s="237">
        <v>42896</v>
      </c>
      <c r="G1050" s="15">
        <v>56666.5</v>
      </c>
      <c r="H1050" s="15">
        <f t="shared" si="16"/>
        <v>0</v>
      </c>
      <c r="I1050" s="236" t="s">
        <v>19682</v>
      </c>
    </row>
    <row r="1051" spans="1:9" x14ac:dyDescent="0.25">
      <c r="A1051" s="36">
        <v>42894</v>
      </c>
      <c r="B1051" s="18">
        <v>115152</v>
      </c>
      <c r="C1051" s="235" t="s">
        <v>19677</v>
      </c>
      <c r="D1051" s="236" t="s">
        <v>15365</v>
      </c>
      <c r="E1051" s="15">
        <v>20066.2</v>
      </c>
      <c r="F1051" s="237">
        <v>42902</v>
      </c>
      <c r="G1051" s="15">
        <v>20066.2</v>
      </c>
      <c r="H1051" s="15">
        <f t="shared" si="16"/>
        <v>0</v>
      </c>
      <c r="I1051" s="236" t="s">
        <v>19682</v>
      </c>
    </row>
    <row r="1052" spans="1:9" x14ac:dyDescent="0.25">
      <c r="A1052" s="242">
        <v>42894</v>
      </c>
      <c r="B1052" s="18">
        <v>115153</v>
      </c>
      <c r="C1052" s="235" t="s">
        <v>19677</v>
      </c>
      <c r="D1052" s="236" t="s">
        <v>15246</v>
      </c>
      <c r="E1052" s="15">
        <v>48645.2</v>
      </c>
      <c r="F1052" s="237">
        <v>42896</v>
      </c>
      <c r="G1052" s="15">
        <v>48645.2</v>
      </c>
      <c r="H1052" s="15">
        <f t="shared" si="16"/>
        <v>0</v>
      </c>
      <c r="I1052" s="236" t="s">
        <v>19682</v>
      </c>
    </row>
    <row r="1053" spans="1:9" x14ac:dyDescent="0.25">
      <c r="A1053" s="36">
        <v>42894</v>
      </c>
      <c r="B1053" s="18">
        <v>115154</v>
      </c>
      <c r="C1053" s="235" t="s">
        <v>19677</v>
      </c>
      <c r="D1053" s="236" t="s">
        <v>15617</v>
      </c>
      <c r="E1053" s="15">
        <v>27963</v>
      </c>
      <c r="F1053" s="237">
        <v>42895</v>
      </c>
      <c r="G1053" s="15">
        <v>27963</v>
      </c>
      <c r="H1053" s="15">
        <f t="shared" si="16"/>
        <v>0</v>
      </c>
      <c r="I1053" s="236" t="s">
        <v>19682</v>
      </c>
    </row>
    <row r="1054" spans="1:9" x14ac:dyDescent="0.25">
      <c r="A1054" s="242">
        <v>42894</v>
      </c>
      <c r="B1054" s="18">
        <v>115155</v>
      </c>
      <c r="C1054" s="235" t="s">
        <v>19677</v>
      </c>
      <c r="D1054" s="236" t="s">
        <v>15632</v>
      </c>
      <c r="E1054" s="15">
        <v>20290</v>
      </c>
      <c r="F1054" s="237">
        <v>39253</v>
      </c>
      <c r="G1054" s="15">
        <v>20290</v>
      </c>
      <c r="H1054" s="15">
        <f t="shared" si="16"/>
        <v>0</v>
      </c>
      <c r="I1054" s="236" t="s">
        <v>19682</v>
      </c>
    </row>
    <row r="1055" spans="1:9" x14ac:dyDescent="0.25">
      <c r="A1055" s="36">
        <v>42894</v>
      </c>
      <c r="B1055" s="18">
        <v>115156</v>
      </c>
      <c r="C1055" s="235" t="s">
        <v>19677</v>
      </c>
      <c r="D1055" s="236" t="s">
        <v>15220</v>
      </c>
      <c r="E1055" s="15">
        <v>2783</v>
      </c>
      <c r="F1055" s="237">
        <v>42895</v>
      </c>
      <c r="G1055" s="15">
        <v>2783</v>
      </c>
      <c r="H1055" s="15">
        <f t="shared" si="16"/>
        <v>0</v>
      </c>
      <c r="I1055" s="236" t="s">
        <v>19682</v>
      </c>
    </row>
    <row r="1056" spans="1:9" x14ac:dyDescent="0.25">
      <c r="A1056" s="242">
        <v>42894</v>
      </c>
      <c r="B1056" s="18">
        <v>115157</v>
      </c>
      <c r="C1056" s="235" t="s">
        <v>19677</v>
      </c>
      <c r="D1056" s="236" t="s">
        <v>15628</v>
      </c>
      <c r="E1056" s="15">
        <v>8069.8</v>
      </c>
      <c r="F1056" s="237">
        <v>42895</v>
      </c>
      <c r="G1056" s="15">
        <v>8069.8</v>
      </c>
      <c r="H1056" s="15">
        <f t="shared" si="16"/>
        <v>0</v>
      </c>
      <c r="I1056" s="236" t="s">
        <v>19682</v>
      </c>
    </row>
    <row r="1057" spans="1:9" x14ac:dyDescent="0.25">
      <c r="A1057" s="36">
        <v>42894</v>
      </c>
      <c r="B1057" s="18">
        <v>115158</v>
      </c>
      <c r="C1057" s="235" t="s">
        <v>19677</v>
      </c>
      <c r="D1057" s="236" t="s">
        <v>15920</v>
      </c>
      <c r="E1057" s="15">
        <v>19516</v>
      </c>
      <c r="F1057" s="237">
        <v>42901</v>
      </c>
      <c r="G1057" s="15">
        <v>19516</v>
      </c>
      <c r="H1057" s="15">
        <f t="shared" si="16"/>
        <v>0</v>
      </c>
      <c r="I1057" s="236" t="s">
        <v>19682</v>
      </c>
    </row>
    <row r="1058" spans="1:9" x14ac:dyDescent="0.25">
      <c r="A1058" s="242">
        <v>42894</v>
      </c>
      <c r="B1058" s="18">
        <v>115159</v>
      </c>
      <c r="C1058" s="235" t="s">
        <v>19677</v>
      </c>
      <c r="D1058" s="236" t="s">
        <v>15365</v>
      </c>
      <c r="E1058" s="15">
        <v>255067</v>
      </c>
      <c r="F1058" s="237">
        <v>42902</v>
      </c>
      <c r="G1058" s="15">
        <v>255067</v>
      </c>
      <c r="H1058" s="15">
        <f t="shared" si="16"/>
        <v>0</v>
      </c>
      <c r="I1058" s="236" t="s">
        <v>19682</v>
      </c>
    </row>
    <row r="1059" spans="1:9" x14ac:dyDescent="0.25">
      <c r="A1059" s="36">
        <v>42894</v>
      </c>
      <c r="B1059" s="18">
        <v>115160</v>
      </c>
      <c r="C1059" s="235" t="s">
        <v>19677</v>
      </c>
      <c r="D1059" s="236" t="s">
        <v>15365</v>
      </c>
      <c r="E1059" s="15">
        <v>245971</v>
      </c>
      <c r="F1059" s="237">
        <v>42902</v>
      </c>
      <c r="G1059" s="15">
        <v>245971</v>
      </c>
      <c r="H1059" s="15">
        <f t="shared" si="16"/>
        <v>0</v>
      </c>
      <c r="I1059" s="236" t="s">
        <v>19682</v>
      </c>
    </row>
    <row r="1060" spans="1:9" x14ac:dyDescent="0.25">
      <c r="A1060" s="242">
        <v>42894</v>
      </c>
      <c r="B1060" s="18">
        <v>115161</v>
      </c>
      <c r="C1060" s="235" t="s">
        <v>19677</v>
      </c>
      <c r="D1060" s="236" t="s">
        <v>15444</v>
      </c>
      <c r="E1060" s="15">
        <v>3785</v>
      </c>
      <c r="F1060" s="237">
        <v>42895</v>
      </c>
      <c r="G1060" s="15">
        <v>3785</v>
      </c>
      <c r="H1060" s="15">
        <f t="shared" si="16"/>
        <v>0</v>
      </c>
      <c r="I1060" s="236" t="s">
        <v>19682</v>
      </c>
    </row>
    <row r="1061" spans="1:9" x14ac:dyDescent="0.25">
      <c r="A1061" s="36">
        <v>42894</v>
      </c>
      <c r="B1061" s="18">
        <v>115162</v>
      </c>
      <c r="C1061" s="235" t="s">
        <v>19677</v>
      </c>
      <c r="D1061" s="236" t="s">
        <v>18076</v>
      </c>
      <c r="E1061" s="15">
        <v>3268.8</v>
      </c>
      <c r="F1061" s="237">
        <v>42894</v>
      </c>
      <c r="G1061" s="15">
        <v>3268.8</v>
      </c>
      <c r="H1061" s="15">
        <f t="shared" si="16"/>
        <v>0</v>
      </c>
      <c r="I1061" s="236" t="s">
        <v>19682</v>
      </c>
    </row>
    <row r="1062" spans="1:9" x14ac:dyDescent="0.25">
      <c r="A1062" s="242">
        <v>42894</v>
      </c>
      <c r="B1062" s="18">
        <v>115163</v>
      </c>
      <c r="C1062" s="235" t="s">
        <v>19677</v>
      </c>
      <c r="D1062" s="236" t="s">
        <v>19716</v>
      </c>
      <c r="E1062" s="15">
        <v>1430.4</v>
      </c>
      <c r="F1062" s="237">
        <v>42894</v>
      </c>
      <c r="G1062" s="15">
        <v>1430.4</v>
      </c>
      <c r="H1062" s="15">
        <f t="shared" si="16"/>
        <v>0</v>
      </c>
      <c r="I1062" s="236" t="s">
        <v>19682</v>
      </c>
    </row>
    <row r="1063" spans="1:9" x14ac:dyDescent="0.25">
      <c r="A1063" s="36">
        <v>42894</v>
      </c>
      <c r="B1063" s="18">
        <v>115164</v>
      </c>
      <c r="C1063" s="235" t="s">
        <v>19677</v>
      </c>
      <c r="D1063" s="236" t="s">
        <v>15818</v>
      </c>
      <c r="E1063" s="15">
        <v>4678.8</v>
      </c>
      <c r="F1063" s="237">
        <v>42895</v>
      </c>
      <c r="G1063" s="15">
        <v>4678.8</v>
      </c>
      <c r="H1063" s="15">
        <f t="shared" si="16"/>
        <v>0</v>
      </c>
      <c r="I1063" s="236" t="s">
        <v>19682</v>
      </c>
    </row>
    <row r="1064" spans="1:9" ht="15.75" x14ac:dyDescent="0.25">
      <c r="A1064" s="242">
        <v>42894</v>
      </c>
      <c r="B1064" s="18">
        <v>115165</v>
      </c>
      <c r="C1064" s="235" t="s">
        <v>19677</v>
      </c>
      <c r="D1064" s="239" t="s">
        <v>95</v>
      </c>
      <c r="E1064" s="15">
        <v>0</v>
      </c>
      <c r="F1064" s="243" t="s">
        <v>95</v>
      </c>
      <c r="G1064" s="15">
        <v>0</v>
      </c>
      <c r="H1064" s="15">
        <f t="shared" si="16"/>
        <v>0</v>
      </c>
      <c r="I1064" s="236" t="s">
        <v>19678</v>
      </c>
    </row>
    <row r="1065" spans="1:9" x14ac:dyDescent="0.25">
      <c r="A1065" s="36">
        <v>42894</v>
      </c>
      <c r="B1065" s="18">
        <v>115166</v>
      </c>
      <c r="C1065" s="235" t="s">
        <v>19677</v>
      </c>
      <c r="D1065" s="236" t="s">
        <v>15398</v>
      </c>
      <c r="E1065" s="15">
        <v>1471.4</v>
      </c>
      <c r="F1065" s="237">
        <v>42894</v>
      </c>
      <c r="G1065" s="15">
        <v>1471.4</v>
      </c>
      <c r="H1065" s="15">
        <f t="shared" si="16"/>
        <v>0</v>
      </c>
      <c r="I1065" s="236" t="s">
        <v>19682</v>
      </c>
    </row>
    <row r="1066" spans="1:9" x14ac:dyDescent="0.25">
      <c r="A1066" s="242">
        <v>42894</v>
      </c>
      <c r="B1066" s="18">
        <v>115167</v>
      </c>
      <c r="C1066" s="235" t="s">
        <v>19677</v>
      </c>
      <c r="D1066" s="236" t="s">
        <v>15435</v>
      </c>
      <c r="E1066" s="15">
        <v>8591.7999999999993</v>
      </c>
      <c r="F1066" s="237">
        <v>42894</v>
      </c>
      <c r="G1066" s="15">
        <v>8591.7999999999993</v>
      </c>
      <c r="H1066" s="15">
        <f t="shared" si="16"/>
        <v>0</v>
      </c>
      <c r="I1066" s="236" t="s">
        <v>19682</v>
      </c>
    </row>
    <row r="1067" spans="1:9" x14ac:dyDescent="0.25">
      <c r="A1067" s="36">
        <v>42894</v>
      </c>
      <c r="B1067" s="18">
        <v>115168</v>
      </c>
      <c r="C1067" s="235" t="s">
        <v>19677</v>
      </c>
      <c r="D1067" s="236" t="s">
        <v>15250</v>
      </c>
      <c r="E1067" s="15">
        <v>49456.28</v>
      </c>
      <c r="F1067" s="237">
        <v>42902</v>
      </c>
      <c r="G1067" s="15">
        <v>49456.28</v>
      </c>
      <c r="H1067" s="15">
        <f t="shared" si="16"/>
        <v>0</v>
      </c>
      <c r="I1067" s="236" t="s">
        <v>19682</v>
      </c>
    </row>
    <row r="1068" spans="1:9" x14ac:dyDescent="0.25">
      <c r="A1068" s="242">
        <v>42894</v>
      </c>
      <c r="B1068" s="18">
        <v>115169</v>
      </c>
      <c r="C1068" s="235" t="s">
        <v>19677</v>
      </c>
      <c r="D1068" s="236" t="s">
        <v>15642</v>
      </c>
      <c r="E1068" s="15">
        <v>5970.3</v>
      </c>
      <c r="F1068" s="237">
        <v>42894</v>
      </c>
      <c r="G1068" s="15">
        <v>5970.3</v>
      </c>
      <c r="H1068" s="15">
        <f t="shared" si="16"/>
        <v>0</v>
      </c>
      <c r="I1068" s="236" t="s">
        <v>19682</v>
      </c>
    </row>
    <row r="1069" spans="1:9" x14ac:dyDescent="0.25">
      <c r="A1069" s="36">
        <v>42894</v>
      </c>
      <c r="B1069" s="18">
        <v>115170</v>
      </c>
      <c r="C1069" s="235" t="s">
        <v>19677</v>
      </c>
      <c r="D1069" s="236" t="s">
        <v>15448</v>
      </c>
      <c r="E1069" s="15">
        <v>159757.16</v>
      </c>
      <c r="F1069" s="237">
        <v>42900</v>
      </c>
      <c r="G1069" s="15">
        <v>159757.16</v>
      </c>
      <c r="H1069" s="15">
        <f t="shared" si="16"/>
        <v>0</v>
      </c>
      <c r="I1069" s="236" t="s">
        <v>19682</v>
      </c>
    </row>
    <row r="1070" spans="1:9" x14ac:dyDescent="0.25">
      <c r="A1070" s="242">
        <v>42894</v>
      </c>
      <c r="B1070" s="18">
        <v>115171</v>
      </c>
      <c r="C1070" s="235" t="s">
        <v>19677</v>
      </c>
      <c r="D1070" s="236" t="s">
        <v>15246</v>
      </c>
      <c r="E1070" s="15">
        <v>2300</v>
      </c>
      <c r="F1070" s="237">
        <v>42898</v>
      </c>
      <c r="G1070" s="15">
        <v>2300</v>
      </c>
      <c r="H1070" s="15">
        <f t="shared" si="16"/>
        <v>0</v>
      </c>
      <c r="I1070" s="236" t="s">
        <v>19682</v>
      </c>
    </row>
    <row r="1071" spans="1:9" x14ac:dyDescent="0.25">
      <c r="A1071" s="36">
        <v>42894</v>
      </c>
      <c r="B1071" s="18">
        <v>115172</v>
      </c>
      <c r="C1071" s="235" t="s">
        <v>19677</v>
      </c>
      <c r="D1071" s="236" t="s">
        <v>15450</v>
      </c>
      <c r="E1071" s="15">
        <v>2376.8000000000002</v>
      </c>
      <c r="F1071" s="237">
        <v>42896</v>
      </c>
      <c r="G1071" s="15">
        <v>2376.8000000000002</v>
      </c>
      <c r="H1071" s="15">
        <f t="shared" si="16"/>
        <v>0</v>
      </c>
      <c r="I1071" s="236" t="s">
        <v>19682</v>
      </c>
    </row>
    <row r="1072" spans="1:9" x14ac:dyDescent="0.25">
      <c r="A1072" s="242">
        <v>42894</v>
      </c>
      <c r="B1072" s="18">
        <v>115173</v>
      </c>
      <c r="C1072" s="235" t="s">
        <v>19677</v>
      </c>
      <c r="D1072" s="236" t="s">
        <v>15450</v>
      </c>
      <c r="E1072" s="15">
        <v>2657.2</v>
      </c>
      <c r="F1072" s="237">
        <v>42896</v>
      </c>
      <c r="G1072" s="15">
        <v>2657.2</v>
      </c>
      <c r="H1072" s="15">
        <f t="shared" si="16"/>
        <v>0</v>
      </c>
      <c r="I1072" s="236" t="s">
        <v>19682</v>
      </c>
    </row>
    <row r="1073" spans="1:9" x14ac:dyDescent="0.25">
      <c r="A1073" s="36">
        <v>42894</v>
      </c>
      <c r="B1073" s="18">
        <v>115174</v>
      </c>
      <c r="C1073" s="235" t="s">
        <v>19677</v>
      </c>
      <c r="D1073" s="236" t="s">
        <v>15465</v>
      </c>
      <c r="E1073" s="15">
        <v>2384.6</v>
      </c>
      <c r="F1073" s="237">
        <v>42896</v>
      </c>
      <c r="G1073" s="15">
        <v>2384.6</v>
      </c>
      <c r="H1073" s="15">
        <f t="shared" si="16"/>
        <v>0</v>
      </c>
      <c r="I1073" s="236" t="s">
        <v>19682</v>
      </c>
    </row>
    <row r="1074" spans="1:9" x14ac:dyDescent="0.25">
      <c r="A1074" s="242">
        <v>42894</v>
      </c>
      <c r="B1074" s="18">
        <v>115175</v>
      </c>
      <c r="C1074" s="235" t="s">
        <v>19677</v>
      </c>
      <c r="D1074" s="236" t="s">
        <v>15454</v>
      </c>
      <c r="E1074" s="15">
        <v>1973.2</v>
      </c>
      <c r="F1074" s="237">
        <v>42896</v>
      </c>
      <c r="G1074" s="15">
        <v>1973.2</v>
      </c>
      <c r="H1074" s="15">
        <f t="shared" si="16"/>
        <v>0</v>
      </c>
      <c r="I1074" s="236" t="s">
        <v>19682</v>
      </c>
    </row>
    <row r="1075" spans="1:9" ht="60.75" x14ac:dyDescent="0.25">
      <c r="A1075" s="36">
        <v>42894</v>
      </c>
      <c r="B1075" s="18">
        <v>115176</v>
      </c>
      <c r="C1075" s="235" t="s">
        <v>19677</v>
      </c>
      <c r="D1075" s="236" t="s">
        <v>15456</v>
      </c>
      <c r="E1075" s="15">
        <v>64232.800000000003</v>
      </c>
      <c r="F1075" s="416" t="s">
        <v>31625</v>
      </c>
      <c r="G1075" s="417">
        <f>10000+10000+10000+5000+6000+2940+5000+3000+3000+2000+4000+3292.8</f>
        <v>64232.800000000003</v>
      </c>
      <c r="H1075" s="241">
        <f t="shared" si="16"/>
        <v>0</v>
      </c>
      <c r="I1075" s="236" t="s">
        <v>19682</v>
      </c>
    </row>
    <row r="1076" spans="1:9" x14ac:dyDescent="0.25">
      <c r="A1076" s="242">
        <v>42894</v>
      </c>
      <c r="B1076" s="18">
        <v>115177</v>
      </c>
      <c r="C1076" s="235" t="s">
        <v>19677</v>
      </c>
      <c r="D1076" s="236" t="s">
        <v>15446</v>
      </c>
      <c r="E1076" s="15">
        <v>1296.8</v>
      </c>
      <c r="F1076" s="237">
        <v>42896</v>
      </c>
      <c r="G1076" s="15">
        <v>1296.8</v>
      </c>
      <c r="H1076" s="15">
        <f t="shared" si="16"/>
        <v>0</v>
      </c>
      <c r="I1076" s="236" t="s">
        <v>19682</v>
      </c>
    </row>
    <row r="1077" spans="1:9" x14ac:dyDescent="0.25">
      <c r="A1077" s="36">
        <v>42894</v>
      </c>
      <c r="B1077" s="18">
        <v>115178</v>
      </c>
      <c r="C1077" s="235" t="s">
        <v>19677</v>
      </c>
      <c r="D1077" s="236" t="s">
        <v>15448</v>
      </c>
      <c r="E1077" s="15">
        <v>37009.599999999999</v>
      </c>
      <c r="F1077" s="237">
        <v>42900</v>
      </c>
      <c r="G1077" s="15">
        <v>37009.599999999999</v>
      </c>
      <c r="H1077" s="15">
        <f t="shared" si="16"/>
        <v>0</v>
      </c>
      <c r="I1077" s="236" t="s">
        <v>19682</v>
      </c>
    </row>
    <row r="1078" spans="1:9" x14ac:dyDescent="0.25">
      <c r="A1078" s="242">
        <v>42894</v>
      </c>
      <c r="B1078" s="18">
        <v>115179</v>
      </c>
      <c r="C1078" s="235" t="s">
        <v>19677</v>
      </c>
      <c r="D1078" s="236" t="s">
        <v>16965</v>
      </c>
      <c r="E1078" s="15">
        <v>13027.2</v>
      </c>
      <c r="F1078" s="237">
        <v>42896</v>
      </c>
      <c r="G1078" s="15">
        <v>13027.2</v>
      </c>
      <c r="H1078" s="15">
        <f t="shared" si="16"/>
        <v>0</v>
      </c>
      <c r="I1078" s="236" t="s">
        <v>19682</v>
      </c>
    </row>
    <row r="1079" spans="1:9" x14ac:dyDescent="0.25">
      <c r="A1079" s="36">
        <v>42894</v>
      </c>
      <c r="B1079" s="18">
        <v>115180</v>
      </c>
      <c r="C1079" s="235" t="s">
        <v>19677</v>
      </c>
      <c r="D1079" s="236" t="s">
        <v>15961</v>
      </c>
      <c r="E1079" s="15">
        <v>14924.5</v>
      </c>
      <c r="F1079" s="237">
        <v>42896</v>
      </c>
      <c r="G1079" s="15">
        <v>14924.5</v>
      </c>
      <c r="H1079" s="15">
        <f t="shared" si="16"/>
        <v>0</v>
      </c>
      <c r="I1079" s="236" t="s">
        <v>19682</v>
      </c>
    </row>
    <row r="1080" spans="1:9" x14ac:dyDescent="0.25">
      <c r="A1080" s="242">
        <v>42894</v>
      </c>
      <c r="B1080" s="18">
        <v>115181</v>
      </c>
      <c r="C1080" s="235" t="s">
        <v>19677</v>
      </c>
      <c r="D1080" s="236" t="s">
        <v>15462</v>
      </c>
      <c r="E1080" s="15">
        <v>22549.78</v>
      </c>
      <c r="F1080" s="237">
        <v>42896</v>
      </c>
      <c r="G1080" s="15">
        <v>22549.78</v>
      </c>
      <c r="H1080" s="15">
        <f t="shared" si="16"/>
        <v>0</v>
      </c>
      <c r="I1080" s="236" t="s">
        <v>19682</v>
      </c>
    </row>
    <row r="1081" spans="1:9" x14ac:dyDescent="0.25">
      <c r="A1081" s="36">
        <v>42895</v>
      </c>
      <c r="B1081" s="18">
        <v>115182</v>
      </c>
      <c r="C1081" s="235" t="s">
        <v>19677</v>
      </c>
      <c r="D1081" s="236" t="s">
        <v>15213</v>
      </c>
      <c r="E1081" s="15">
        <v>6871.9</v>
      </c>
      <c r="F1081" s="237">
        <v>42895</v>
      </c>
      <c r="G1081" s="15">
        <v>6871.9</v>
      </c>
      <c r="H1081" s="15">
        <f t="shared" si="16"/>
        <v>0</v>
      </c>
      <c r="I1081" s="236" t="s">
        <v>19682</v>
      </c>
    </row>
    <row r="1082" spans="1:9" x14ac:dyDescent="0.25">
      <c r="A1082" s="242">
        <v>42895</v>
      </c>
      <c r="B1082" s="18">
        <v>115183</v>
      </c>
      <c r="C1082" s="235" t="s">
        <v>19677</v>
      </c>
      <c r="D1082" s="236" t="s">
        <v>15216</v>
      </c>
      <c r="E1082" s="15">
        <v>3900</v>
      </c>
      <c r="F1082" s="237">
        <v>42895</v>
      </c>
      <c r="G1082" s="15">
        <v>3900</v>
      </c>
      <c r="H1082" s="15">
        <f t="shared" si="16"/>
        <v>0</v>
      </c>
      <c r="I1082" s="236" t="s">
        <v>19682</v>
      </c>
    </row>
    <row r="1083" spans="1:9" x14ac:dyDescent="0.25">
      <c r="A1083" s="36">
        <v>42895</v>
      </c>
      <c r="B1083" s="18">
        <v>115184</v>
      </c>
      <c r="C1083" s="235" t="s">
        <v>19677</v>
      </c>
      <c r="D1083" s="236" t="s">
        <v>15213</v>
      </c>
      <c r="E1083" s="15">
        <v>56222.400000000001</v>
      </c>
      <c r="F1083" s="237" t="s">
        <v>19717</v>
      </c>
      <c r="G1083" s="241">
        <f>20400+35822.4</f>
        <v>56222.400000000001</v>
      </c>
      <c r="H1083" s="241">
        <f t="shared" si="16"/>
        <v>0</v>
      </c>
      <c r="I1083" s="236" t="s">
        <v>19682</v>
      </c>
    </row>
    <row r="1084" spans="1:9" x14ac:dyDescent="0.25">
      <c r="A1084" s="242">
        <v>42895</v>
      </c>
      <c r="B1084" s="18">
        <v>115185</v>
      </c>
      <c r="C1084" s="235" t="s">
        <v>19677</v>
      </c>
      <c r="D1084" s="236" t="s">
        <v>15330</v>
      </c>
      <c r="E1084" s="15">
        <v>208</v>
      </c>
      <c r="F1084" s="237">
        <v>42895</v>
      </c>
      <c r="G1084" s="15">
        <v>208</v>
      </c>
      <c r="H1084" s="15">
        <f t="shared" si="16"/>
        <v>0</v>
      </c>
      <c r="I1084" s="236" t="s">
        <v>19682</v>
      </c>
    </row>
    <row r="1085" spans="1:9" x14ac:dyDescent="0.25">
      <c r="A1085" s="36">
        <v>42895</v>
      </c>
      <c r="B1085" s="18">
        <v>115186</v>
      </c>
      <c r="C1085" s="235" t="s">
        <v>19677</v>
      </c>
      <c r="D1085" s="236" t="s">
        <v>15407</v>
      </c>
      <c r="E1085" s="15">
        <v>5811</v>
      </c>
      <c r="F1085" s="237">
        <v>42895</v>
      </c>
      <c r="G1085" s="15">
        <v>5811</v>
      </c>
      <c r="H1085" s="15">
        <f t="shared" si="16"/>
        <v>0</v>
      </c>
      <c r="I1085" s="236" t="s">
        <v>19682</v>
      </c>
    </row>
    <row r="1086" spans="1:9" x14ac:dyDescent="0.25">
      <c r="A1086" s="242">
        <v>42895</v>
      </c>
      <c r="B1086" s="18">
        <v>115187</v>
      </c>
      <c r="C1086" s="235" t="s">
        <v>19677</v>
      </c>
      <c r="D1086" s="236" t="s">
        <v>15236</v>
      </c>
      <c r="E1086" s="15">
        <v>3400.8</v>
      </c>
      <c r="F1086" s="237">
        <v>42898</v>
      </c>
      <c r="G1086" s="15">
        <v>3400.8</v>
      </c>
      <c r="H1086" s="15">
        <f t="shared" si="16"/>
        <v>0</v>
      </c>
      <c r="I1086" s="236" t="s">
        <v>19682</v>
      </c>
    </row>
    <row r="1087" spans="1:9" x14ac:dyDescent="0.25">
      <c r="A1087" s="36">
        <v>42895</v>
      </c>
      <c r="B1087" s="18">
        <v>115188</v>
      </c>
      <c r="C1087" s="235" t="s">
        <v>19677</v>
      </c>
      <c r="D1087" s="236" t="s">
        <v>18544</v>
      </c>
      <c r="E1087" s="15">
        <v>4721.6000000000004</v>
      </c>
      <c r="F1087" s="237">
        <v>42896</v>
      </c>
      <c r="G1087" s="15">
        <v>4721.6000000000004</v>
      </c>
      <c r="H1087" s="15">
        <f t="shared" si="16"/>
        <v>0</v>
      </c>
      <c r="I1087" s="236" t="s">
        <v>19682</v>
      </c>
    </row>
    <row r="1088" spans="1:9" x14ac:dyDescent="0.25">
      <c r="A1088" s="242">
        <v>42895</v>
      </c>
      <c r="B1088" s="18">
        <v>115189</v>
      </c>
      <c r="C1088" s="235" t="s">
        <v>19677</v>
      </c>
      <c r="D1088" s="236" t="s">
        <v>15590</v>
      </c>
      <c r="E1088" s="15">
        <v>28476.799999999999</v>
      </c>
      <c r="F1088" s="237">
        <v>42905</v>
      </c>
      <c r="G1088" s="15">
        <v>28476.799999999999</v>
      </c>
      <c r="H1088" s="15">
        <f t="shared" si="16"/>
        <v>0</v>
      </c>
      <c r="I1088" s="236" t="s">
        <v>19682</v>
      </c>
    </row>
    <row r="1089" spans="1:9" x14ac:dyDescent="0.25">
      <c r="A1089" s="36">
        <v>42895</v>
      </c>
      <c r="B1089" s="18">
        <v>115190</v>
      </c>
      <c r="C1089" s="235" t="s">
        <v>19677</v>
      </c>
      <c r="D1089" s="236" t="s">
        <v>15332</v>
      </c>
      <c r="E1089" s="15">
        <v>3861.2</v>
      </c>
      <c r="F1089" s="237">
        <v>42896</v>
      </c>
      <c r="G1089" s="15">
        <v>3861.2</v>
      </c>
      <c r="H1089" s="15">
        <f t="shared" si="16"/>
        <v>0</v>
      </c>
      <c r="I1089" s="236" t="s">
        <v>19682</v>
      </c>
    </row>
    <row r="1090" spans="1:9" x14ac:dyDescent="0.25">
      <c r="A1090" s="242">
        <v>42895</v>
      </c>
      <c r="B1090" s="18">
        <v>115191</v>
      </c>
      <c r="C1090" s="235" t="s">
        <v>19677</v>
      </c>
      <c r="D1090" s="236" t="s">
        <v>15385</v>
      </c>
      <c r="E1090" s="15">
        <v>12857.2</v>
      </c>
      <c r="F1090" s="237">
        <v>42896</v>
      </c>
      <c r="G1090" s="15">
        <v>12857.2</v>
      </c>
      <c r="H1090" s="15">
        <f t="shared" ref="H1090:H1153" si="17">E1090-G1090</f>
        <v>0</v>
      </c>
      <c r="I1090" s="236" t="s">
        <v>19682</v>
      </c>
    </row>
    <row r="1091" spans="1:9" x14ac:dyDescent="0.25">
      <c r="A1091" s="36">
        <v>42895</v>
      </c>
      <c r="B1091" s="18">
        <v>115192</v>
      </c>
      <c r="C1091" s="235" t="s">
        <v>19677</v>
      </c>
      <c r="D1091" s="236" t="s">
        <v>15240</v>
      </c>
      <c r="E1091" s="15">
        <v>3430</v>
      </c>
      <c r="F1091" s="237">
        <v>42896</v>
      </c>
      <c r="G1091" s="15">
        <v>3430</v>
      </c>
      <c r="H1091" s="15">
        <f t="shared" si="17"/>
        <v>0</v>
      </c>
      <c r="I1091" s="236" t="s">
        <v>19682</v>
      </c>
    </row>
    <row r="1092" spans="1:9" x14ac:dyDescent="0.25">
      <c r="A1092" s="242">
        <v>42895</v>
      </c>
      <c r="B1092" s="18">
        <v>115193</v>
      </c>
      <c r="C1092" s="235" t="s">
        <v>19677</v>
      </c>
      <c r="D1092" s="236" t="s">
        <v>15668</v>
      </c>
      <c r="E1092" s="15">
        <v>10038.6</v>
      </c>
      <c r="F1092" s="237">
        <v>42896</v>
      </c>
      <c r="G1092" s="15">
        <v>10038.6</v>
      </c>
      <c r="H1092" s="15">
        <f t="shared" si="17"/>
        <v>0</v>
      </c>
      <c r="I1092" s="236" t="s">
        <v>19682</v>
      </c>
    </row>
    <row r="1093" spans="1:9" x14ac:dyDescent="0.25">
      <c r="A1093" s="36">
        <v>42895</v>
      </c>
      <c r="B1093" s="18">
        <v>115194</v>
      </c>
      <c r="C1093" s="235" t="s">
        <v>19677</v>
      </c>
      <c r="D1093" s="236" t="s">
        <v>15681</v>
      </c>
      <c r="E1093" s="15">
        <v>4548.6000000000004</v>
      </c>
      <c r="F1093" s="237">
        <v>42895</v>
      </c>
      <c r="G1093" s="15">
        <v>4548.6000000000004</v>
      </c>
      <c r="H1093" s="15">
        <f t="shared" si="17"/>
        <v>0</v>
      </c>
      <c r="I1093" s="236" t="s">
        <v>19682</v>
      </c>
    </row>
    <row r="1094" spans="1:9" x14ac:dyDescent="0.25">
      <c r="A1094" s="242">
        <v>42895</v>
      </c>
      <c r="B1094" s="18">
        <v>115195</v>
      </c>
      <c r="C1094" s="235" t="s">
        <v>19677</v>
      </c>
      <c r="D1094" s="236" t="s">
        <v>15240</v>
      </c>
      <c r="E1094" s="15">
        <v>283.10000000000002</v>
      </c>
      <c r="F1094" s="237">
        <v>42896</v>
      </c>
      <c r="G1094" s="15">
        <v>283.10000000000002</v>
      </c>
      <c r="H1094" s="15">
        <f t="shared" si="17"/>
        <v>0</v>
      </c>
      <c r="I1094" s="236" t="s">
        <v>19682</v>
      </c>
    </row>
    <row r="1095" spans="1:9" x14ac:dyDescent="0.25">
      <c r="A1095" s="36">
        <v>42895</v>
      </c>
      <c r="B1095" s="18">
        <v>115196</v>
      </c>
      <c r="C1095" s="235" t="s">
        <v>19677</v>
      </c>
      <c r="D1095" s="236" t="s">
        <v>15220</v>
      </c>
      <c r="E1095" s="15">
        <v>2530</v>
      </c>
      <c r="F1095" s="237">
        <v>42896</v>
      </c>
      <c r="G1095" s="15">
        <v>2530</v>
      </c>
      <c r="H1095" s="15">
        <f t="shared" si="17"/>
        <v>0</v>
      </c>
      <c r="I1095" s="236" t="s">
        <v>19682</v>
      </c>
    </row>
    <row r="1096" spans="1:9" x14ac:dyDescent="0.25">
      <c r="A1096" s="242">
        <v>42895</v>
      </c>
      <c r="B1096" s="18">
        <v>115197</v>
      </c>
      <c r="C1096" s="235" t="s">
        <v>19677</v>
      </c>
      <c r="D1096" s="236" t="s">
        <v>17235</v>
      </c>
      <c r="E1096" s="15">
        <v>920</v>
      </c>
      <c r="F1096" s="237">
        <v>42896</v>
      </c>
      <c r="G1096" s="15">
        <v>920</v>
      </c>
      <c r="H1096" s="15">
        <f t="shared" si="17"/>
        <v>0</v>
      </c>
      <c r="I1096" s="236" t="s">
        <v>19682</v>
      </c>
    </row>
    <row r="1097" spans="1:9" ht="15.75" x14ac:dyDescent="0.25">
      <c r="A1097" s="36">
        <v>42895</v>
      </c>
      <c r="B1097" s="18">
        <v>115198</v>
      </c>
      <c r="C1097" s="235" t="s">
        <v>19677</v>
      </c>
      <c r="D1097" s="239" t="s">
        <v>95</v>
      </c>
      <c r="E1097" s="15">
        <v>0</v>
      </c>
      <c r="F1097" s="243" t="s">
        <v>95</v>
      </c>
      <c r="G1097" s="15">
        <v>0</v>
      </c>
      <c r="H1097" s="15">
        <f t="shared" si="17"/>
        <v>0</v>
      </c>
      <c r="I1097" s="236" t="s">
        <v>19678</v>
      </c>
    </row>
    <row r="1098" spans="1:9" x14ac:dyDescent="0.25">
      <c r="A1098" s="242">
        <v>42895</v>
      </c>
      <c r="B1098" s="18">
        <v>115199</v>
      </c>
      <c r="C1098" s="235" t="s">
        <v>19677</v>
      </c>
      <c r="D1098" s="236" t="s">
        <v>15272</v>
      </c>
      <c r="E1098" s="15">
        <v>22434.799999999999</v>
      </c>
      <c r="F1098" s="237">
        <v>42895</v>
      </c>
      <c r="G1098" s="15">
        <v>22434.799999999999</v>
      </c>
      <c r="H1098" s="15">
        <f t="shared" si="17"/>
        <v>0</v>
      </c>
      <c r="I1098" s="236" t="s">
        <v>19682</v>
      </c>
    </row>
    <row r="1099" spans="1:9" x14ac:dyDescent="0.25">
      <c r="A1099" s="36">
        <v>42895</v>
      </c>
      <c r="B1099" s="18">
        <v>115200</v>
      </c>
      <c r="C1099" s="235" t="s">
        <v>19677</v>
      </c>
      <c r="D1099" s="236" t="s">
        <v>15258</v>
      </c>
      <c r="E1099" s="15">
        <v>16801.2</v>
      </c>
      <c r="F1099" s="237" t="s">
        <v>19718</v>
      </c>
      <c r="G1099" s="241">
        <f>6000+10801.2</f>
        <v>16801.2</v>
      </c>
      <c r="H1099" s="241">
        <f t="shared" si="17"/>
        <v>0</v>
      </c>
      <c r="I1099" s="236" t="s">
        <v>19682</v>
      </c>
    </row>
    <row r="1100" spans="1:9" x14ac:dyDescent="0.25">
      <c r="A1100" s="242">
        <v>42895</v>
      </c>
      <c r="B1100" s="18">
        <v>115201</v>
      </c>
      <c r="C1100" s="235" t="s">
        <v>19677</v>
      </c>
      <c r="D1100" s="236" t="s">
        <v>17462</v>
      </c>
      <c r="E1100" s="15">
        <v>6162.4</v>
      </c>
      <c r="F1100" s="237">
        <v>42895</v>
      </c>
      <c r="G1100" s="15">
        <v>6162.4</v>
      </c>
      <c r="H1100" s="15">
        <f t="shared" si="17"/>
        <v>0</v>
      </c>
      <c r="I1100" s="236" t="s">
        <v>19682</v>
      </c>
    </row>
    <row r="1101" spans="1:9" x14ac:dyDescent="0.25">
      <c r="A1101" s="36">
        <v>42895</v>
      </c>
      <c r="B1101" s="18">
        <v>115202</v>
      </c>
      <c r="C1101" s="235" t="s">
        <v>19677</v>
      </c>
      <c r="D1101" s="236" t="s">
        <v>15442</v>
      </c>
      <c r="E1101" s="15">
        <v>17049.2</v>
      </c>
      <c r="F1101" s="237">
        <v>42907</v>
      </c>
      <c r="G1101" s="15">
        <v>17049.2</v>
      </c>
      <c r="H1101" s="15">
        <f t="shared" si="17"/>
        <v>0</v>
      </c>
      <c r="I1101" s="236" t="s">
        <v>19682</v>
      </c>
    </row>
    <row r="1102" spans="1:9" x14ac:dyDescent="0.25">
      <c r="A1102" s="242">
        <v>42895</v>
      </c>
      <c r="B1102" s="18">
        <v>115203</v>
      </c>
      <c r="C1102" s="235" t="s">
        <v>19677</v>
      </c>
      <c r="D1102" s="236" t="s">
        <v>15365</v>
      </c>
      <c r="E1102" s="15">
        <v>15815.8</v>
      </c>
      <c r="F1102" s="237">
        <v>42902</v>
      </c>
      <c r="G1102" s="15">
        <v>15815.8</v>
      </c>
      <c r="H1102" s="15">
        <f t="shared" si="17"/>
        <v>0</v>
      </c>
      <c r="I1102" s="236" t="s">
        <v>19682</v>
      </c>
    </row>
    <row r="1103" spans="1:9" x14ac:dyDescent="0.25">
      <c r="A1103" s="36">
        <v>42895</v>
      </c>
      <c r="B1103" s="18">
        <v>115204</v>
      </c>
      <c r="C1103" s="235" t="s">
        <v>19677</v>
      </c>
      <c r="D1103" s="236" t="s">
        <v>15315</v>
      </c>
      <c r="E1103" s="15">
        <v>2138.4</v>
      </c>
      <c r="F1103" s="237">
        <v>42895</v>
      </c>
      <c r="G1103" s="15">
        <v>2138.4</v>
      </c>
      <c r="H1103" s="15">
        <f t="shared" si="17"/>
        <v>0</v>
      </c>
      <c r="I1103" s="236" t="s">
        <v>19682</v>
      </c>
    </row>
    <row r="1104" spans="1:9" x14ac:dyDescent="0.25">
      <c r="A1104" s="242">
        <v>42895</v>
      </c>
      <c r="B1104" s="18">
        <v>115205</v>
      </c>
      <c r="C1104" s="235" t="s">
        <v>19677</v>
      </c>
      <c r="D1104" s="236" t="s">
        <v>15315</v>
      </c>
      <c r="E1104" s="15">
        <v>2967</v>
      </c>
      <c r="F1104" s="237">
        <v>42895</v>
      </c>
      <c r="G1104" s="15">
        <v>2967</v>
      </c>
      <c r="H1104" s="15">
        <f t="shared" si="17"/>
        <v>0</v>
      </c>
      <c r="I1104" s="236" t="s">
        <v>19682</v>
      </c>
    </row>
    <row r="1105" spans="1:9" x14ac:dyDescent="0.25">
      <c r="A1105" s="36">
        <v>42895</v>
      </c>
      <c r="B1105" s="18">
        <v>115206</v>
      </c>
      <c r="C1105" s="235" t="s">
        <v>19677</v>
      </c>
      <c r="D1105" s="236" t="s">
        <v>16023</v>
      </c>
      <c r="E1105" s="15">
        <v>2486.1999999999998</v>
      </c>
      <c r="F1105" s="237">
        <v>42895</v>
      </c>
      <c r="G1105" s="15">
        <v>2486.1999999999998</v>
      </c>
      <c r="H1105" s="15">
        <f t="shared" si="17"/>
        <v>0</v>
      </c>
      <c r="I1105" s="236" t="s">
        <v>19682</v>
      </c>
    </row>
    <row r="1106" spans="1:9" x14ac:dyDescent="0.25">
      <c r="A1106" s="242">
        <v>42895</v>
      </c>
      <c r="B1106" s="18">
        <v>115207</v>
      </c>
      <c r="C1106" s="235" t="s">
        <v>19677</v>
      </c>
      <c r="D1106" s="236" t="s">
        <v>15232</v>
      </c>
      <c r="E1106" s="15">
        <v>3305.5</v>
      </c>
      <c r="F1106" s="237">
        <v>42901</v>
      </c>
      <c r="G1106" s="15">
        <v>3305.5</v>
      </c>
      <c r="H1106" s="15">
        <f t="shared" si="17"/>
        <v>0</v>
      </c>
      <c r="I1106" s="236" t="s">
        <v>19682</v>
      </c>
    </row>
    <row r="1107" spans="1:9" x14ac:dyDescent="0.25">
      <c r="A1107" s="36">
        <v>42895</v>
      </c>
      <c r="B1107" s="18">
        <v>115208</v>
      </c>
      <c r="C1107" s="235" t="s">
        <v>19677</v>
      </c>
      <c r="D1107" s="236" t="s">
        <v>15238</v>
      </c>
      <c r="E1107" s="15">
        <v>5469</v>
      </c>
      <c r="F1107" s="237">
        <v>42898</v>
      </c>
      <c r="G1107" s="15">
        <v>5469</v>
      </c>
      <c r="H1107" s="15">
        <f t="shared" si="17"/>
        <v>0</v>
      </c>
      <c r="I1107" s="236" t="s">
        <v>19682</v>
      </c>
    </row>
    <row r="1108" spans="1:9" x14ac:dyDescent="0.25">
      <c r="A1108" s="242">
        <v>42895</v>
      </c>
      <c r="B1108" s="18">
        <v>115209</v>
      </c>
      <c r="C1108" s="235" t="s">
        <v>19677</v>
      </c>
      <c r="D1108" s="236" t="s">
        <v>15230</v>
      </c>
      <c r="E1108" s="15">
        <v>9783</v>
      </c>
      <c r="F1108" s="237">
        <v>42900</v>
      </c>
      <c r="G1108" s="15">
        <v>9783</v>
      </c>
      <c r="H1108" s="15">
        <f t="shared" si="17"/>
        <v>0</v>
      </c>
      <c r="I1108" s="236" t="s">
        <v>19682</v>
      </c>
    </row>
    <row r="1109" spans="1:9" x14ac:dyDescent="0.25">
      <c r="A1109" s="36">
        <v>42895</v>
      </c>
      <c r="B1109" s="18">
        <v>115210</v>
      </c>
      <c r="C1109" s="235" t="s">
        <v>19677</v>
      </c>
      <c r="D1109" s="236" t="s">
        <v>5575</v>
      </c>
      <c r="E1109" s="15">
        <v>7909.1</v>
      </c>
      <c r="F1109" s="237" t="s">
        <v>19718</v>
      </c>
      <c r="G1109" s="241">
        <f>2500+5409.1</f>
        <v>7909.1</v>
      </c>
      <c r="H1109" s="241">
        <f t="shared" si="17"/>
        <v>0</v>
      </c>
      <c r="I1109" s="236" t="s">
        <v>19682</v>
      </c>
    </row>
    <row r="1110" spans="1:9" x14ac:dyDescent="0.25">
      <c r="A1110" s="242">
        <v>42895</v>
      </c>
      <c r="B1110" s="18">
        <v>115211</v>
      </c>
      <c r="C1110" s="235" t="s">
        <v>19677</v>
      </c>
      <c r="D1110" s="236" t="s">
        <v>15590</v>
      </c>
      <c r="E1110" s="15">
        <v>3959.2</v>
      </c>
      <c r="F1110" s="237">
        <v>42905</v>
      </c>
      <c r="G1110" s="15">
        <v>3959.2</v>
      </c>
      <c r="H1110" s="15">
        <f t="shared" si="17"/>
        <v>0</v>
      </c>
      <c r="I1110" s="236" t="s">
        <v>19682</v>
      </c>
    </row>
    <row r="1111" spans="1:9" x14ac:dyDescent="0.25">
      <c r="A1111" s="36">
        <v>42895</v>
      </c>
      <c r="B1111" s="18">
        <v>115212</v>
      </c>
      <c r="C1111" s="235" t="s">
        <v>19677</v>
      </c>
      <c r="D1111" s="236" t="s">
        <v>15480</v>
      </c>
      <c r="E1111" s="15">
        <v>7147.9</v>
      </c>
      <c r="F1111" s="237" t="s">
        <v>19719</v>
      </c>
      <c r="G1111" s="241">
        <f>6147.1+1000.8</f>
        <v>7147.9000000000005</v>
      </c>
      <c r="H1111" s="241">
        <f t="shared" si="17"/>
        <v>0</v>
      </c>
      <c r="I1111" s="236" t="s">
        <v>19682</v>
      </c>
    </row>
    <row r="1112" spans="1:9" x14ac:dyDescent="0.25">
      <c r="A1112" s="242">
        <v>42895</v>
      </c>
      <c r="B1112" s="18">
        <v>115213</v>
      </c>
      <c r="C1112" s="235" t="s">
        <v>19677</v>
      </c>
      <c r="D1112" s="236" t="s">
        <v>15256</v>
      </c>
      <c r="E1112" s="15">
        <v>6166.6</v>
      </c>
      <c r="F1112" s="237">
        <v>42896</v>
      </c>
      <c r="G1112" s="15">
        <v>6166.6</v>
      </c>
      <c r="H1112" s="15">
        <f t="shared" si="17"/>
        <v>0</v>
      </c>
      <c r="I1112" s="236" t="s">
        <v>19682</v>
      </c>
    </row>
    <row r="1113" spans="1:9" x14ac:dyDescent="0.25">
      <c r="A1113" s="36">
        <v>42895</v>
      </c>
      <c r="B1113" s="18">
        <v>115214</v>
      </c>
      <c r="C1113" s="235" t="s">
        <v>19677</v>
      </c>
      <c r="D1113" s="236" t="s">
        <v>15246</v>
      </c>
      <c r="E1113" s="15">
        <v>3800.5</v>
      </c>
      <c r="F1113" s="237">
        <v>42896</v>
      </c>
      <c r="G1113" s="15">
        <v>3800.5</v>
      </c>
      <c r="H1113" s="15">
        <f t="shared" si="17"/>
        <v>0</v>
      </c>
      <c r="I1113" s="236" t="s">
        <v>19682</v>
      </c>
    </row>
    <row r="1114" spans="1:9" x14ac:dyDescent="0.25">
      <c r="A1114" s="242">
        <v>42895</v>
      </c>
      <c r="B1114" s="18">
        <v>115215</v>
      </c>
      <c r="C1114" s="235" t="s">
        <v>19677</v>
      </c>
      <c r="D1114" s="236" t="s">
        <v>15254</v>
      </c>
      <c r="E1114" s="15">
        <v>4074.9</v>
      </c>
      <c r="F1114" s="237">
        <v>42898</v>
      </c>
      <c r="G1114" s="15">
        <v>4074.9</v>
      </c>
      <c r="H1114" s="15">
        <f t="shared" si="17"/>
        <v>0</v>
      </c>
      <c r="I1114" s="236" t="s">
        <v>19682</v>
      </c>
    </row>
    <row r="1115" spans="1:9" x14ac:dyDescent="0.25">
      <c r="A1115" s="36">
        <v>42895</v>
      </c>
      <c r="B1115" s="18">
        <v>115216</v>
      </c>
      <c r="C1115" s="235" t="s">
        <v>19677</v>
      </c>
      <c r="D1115" s="236" t="s">
        <v>15252</v>
      </c>
      <c r="E1115" s="15">
        <v>3817.7</v>
      </c>
      <c r="F1115" s="237">
        <v>42898</v>
      </c>
      <c r="G1115" s="15">
        <v>3817.7</v>
      </c>
      <c r="H1115" s="15">
        <f t="shared" si="17"/>
        <v>0</v>
      </c>
      <c r="I1115" s="236" t="s">
        <v>19682</v>
      </c>
    </row>
    <row r="1116" spans="1:9" x14ac:dyDescent="0.25">
      <c r="A1116" s="242">
        <v>42895</v>
      </c>
      <c r="B1116" s="18">
        <v>115217</v>
      </c>
      <c r="C1116" s="235" t="s">
        <v>19677</v>
      </c>
      <c r="D1116" s="236" t="s">
        <v>15244</v>
      </c>
      <c r="E1116" s="15">
        <v>8787.2999999999993</v>
      </c>
      <c r="F1116" s="237">
        <v>42898</v>
      </c>
      <c r="G1116" s="15">
        <v>8787.2999999999993</v>
      </c>
      <c r="H1116" s="15">
        <f t="shared" si="17"/>
        <v>0</v>
      </c>
      <c r="I1116" s="236" t="s">
        <v>19682</v>
      </c>
    </row>
    <row r="1117" spans="1:9" x14ac:dyDescent="0.25">
      <c r="A1117" s="36">
        <v>42895</v>
      </c>
      <c r="B1117" s="18">
        <v>115218</v>
      </c>
      <c r="C1117" s="235" t="s">
        <v>19677</v>
      </c>
      <c r="D1117" s="236" t="s">
        <v>15250</v>
      </c>
      <c r="E1117" s="15">
        <v>70769.759999999995</v>
      </c>
      <c r="F1117" s="237" t="s">
        <v>19720</v>
      </c>
      <c r="G1117" s="241">
        <f>17164.32+53605.44</f>
        <v>70769.760000000009</v>
      </c>
      <c r="H1117" s="241">
        <f t="shared" si="17"/>
        <v>0</v>
      </c>
      <c r="I1117" s="236" t="s">
        <v>19682</v>
      </c>
    </row>
    <row r="1118" spans="1:9" x14ac:dyDescent="0.25">
      <c r="A1118" s="242">
        <v>42895</v>
      </c>
      <c r="B1118" s="18">
        <v>115219</v>
      </c>
      <c r="C1118" s="235" t="s">
        <v>19677</v>
      </c>
      <c r="D1118" s="236" t="s">
        <v>15242</v>
      </c>
      <c r="E1118" s="15">
        <v>13493.4</v>
      </c>
      <c r="F1118" s="237">
        <v>42895</v>
      </c>
      <c r="G1118" s="15">
        <v>13493.4</v>
      </c>
      <c r="H1118" s="15">
        <f t="shared" si="17"/>
        <v>0</v>
      </c>
      <c r="I1118" s="236" t="s">
        <v>19682</v>
      </c>
    </row>
    <row r="1119" spans="1:9" x14ac:dyDescent="0.25">
      <c r="A1119" s="36">
        <v>42895</v>
      </c>
      <c r="B1119" s="18">
        <v>115220</v>
      </c>
      <c r="C1119" s="235" t="s">
        <v>19677</v>
      </c>
      <c r="D1119" s="236" t="s">
        <v>15391</v>
      </c>
      <c r="E1119" s="15">
        <v>9142</v>
      </c>
      <c r="F1119" s="237">
        <v>42901</v>
      </c>
      <c r="G1119" s="15">
        <v>9142</v>
      </c>
      <c r="H1119" s="15">
        <f t="shared" si="17"/>
        <v>0</v>
      </c>
      <c r="I1119" s="236" t="s">
        <v>19682</v>
      </c>
    </row>
    <row r="1120" spans="1:9" x14ac:dyDescent="0.25">
      <c r="A1120" s="242">
        <v>42895</v>
      </c>
      <c r="B1120" s="18">
        <v>115221</v>
      </c>
      <c r="C1120" s="235" t="s">
        <v>19677</v>
      </c>
      <c r="D1120" s="236" t="s">
        <v>15442</v>
      </c>
      <c r="E1120" s="15">
        <v>13532.1</v>
      </c>
      <c r="F1120" s="237">
        <v>42907</v>
      </c>
      <c r="G1120" s="15">
        <v>13532.1</v>
      </c>
      <c r="H1120" s="15">
        <f t="shared" si="17"/>
        <v>0</v>
      </c>
      <c r="I1120" s="236" t="s">
        <v>19682</v>
      </c>
    </row>
    <row r="1121" spans="1:9" x14ac:dyDescent="0.25">
      <c r="A1121" s="36">
        <v>42895</v>
      </c>
      <c r="B1121" s="18">
        <v>115222</v>
      </c>
      <c r="C1121" s="235" t="s">
        <v>19677</v>
      </c>
      <c r="D1121" s="236" t="s">
        <v>15278</v>
      </c>
      <c r="E1121" s="15">
        <v>5957.3</v>
      </c>
      <c r="F1121" s="237">
        <v>42895</v>
      </c>
      <c r="G1121" s="15">
        <v>5957.3</v>
      </c>
      <c r="H1121" s="15">
        <f t="shared" si="17"/>
        <v>0</v>
      </c>
      <c r="I1121" s="236" t="s">
        <v>19682</v>
      </c>
    </row>
    <row r="1122" spans="1:9" x14ac:dyDescent="0.25">
      <c r="A1122" s="242">
        <v>42895</v>
      </c>
      <c r="B1122" s="18">
        <v>115223</v>
      </c>
      <c r="C1122" s="235" t="s">
        <v>19677</v>
      </c>
      <c r="D1122" s="236" t="s">
        <v>15284</v>
      </c>
      <c r="E1122" s="15">
        <v>1475.8</v>
      </c>
      <c r="F1122" s="237">
        <v>42895</v>
      </c>
      <c r="G1122" s="15">
        <v>1475.8</v>
      </c>
      <c r="H1122" s="15">
        <f t="shared" si="17"/>
        <v>0</v>
      </c>
      <c r="I1122" s="236" t="s">
        <v>19682</v>
      </c>
    </row>
    <row r="1123" spans="1:9" x14ac:dyDescent="0.25">
      <c r="A1123" s="36">
        <v>42895</v>
      </c>
      <c r="B1123" s="18">
        <v>115224</v>
      </c>
      <c r="C1123" s="235" t="s">
        <v>19677</v>
      </c>
      <c r="D1123" s="236" t="s">
        <v>16383</v>
      </c>
      <c r="E1123" s="15">
        <v>10000.08</v>
      </c>
      <c r="F1123" s="237">
        <v>42895</v>
      </c>
      <c r="G1123" s="15">
        <v>10000.08</v>
      </c>
      <c r="H1123" s="15">
        <f t="shared" si="17"/>
        <v>0</v>
      </c>
      <c r="I1123" s="236" t="s">
        <v>19682</v>
      </c>
    </row>
    <row r="1124" spans="1:9" x14ac:dyDescent="0.25">
      <c r="A1124" s="242">
        <v>42895</v>
      </c>
      <c r="B1124" s="18">
        <v>115225</v>
      </c>
      <c r="C1124" s="235" t="s">
        <v>19677</v>
      </c>
      <c r="D1124" s="236" t="s">
        <v>15282</v>
      </c>
      <c r="E1124" s="15">
        <v>2658</v>
      </c>
      <c r="F1124" s="237">
        <v>42895</v>
      </c>
      <c r="G1124" s="15">
        <v>2658</v>
      </c>
      <c r="H1124" s="15">
        <f t="shared" si="17"/>
        <v>0</v>
      </c>
      <c r="I1124" s="236" t="s">
        <v>19682</v>
      </c>
    </row>
    <row r="1125" spans="1:9" x14ac:dyDescent="0.25">
      <c r="A1125" s="36">
        <v>42895</v>
      </c>
      <c r="B1125" s="18">
        <v>115226</v>
      </c>
      <c r="C1125" s="235" t="s">
        <v>19677</v>
      </c>
      <c r="D1125" s="236" t="s">
        <v>15263</v>
      </c>
      <c r="E1125" s="15">
        <v>3575.9</v>
      </c>
      <c r="F1125" s="237">
        <v>42895</v>
      </c>
      <c r="G1125" s="15">
        <v>3575.9</v>
      </c>
      <c r="H1125" s="15">
        <f t="shared" si="17"/>
        <v>0</v>
      </c>
      <c r="I1125" s="236" t="s">
        <v>19682</v>
      </c>
    </row>
    <row r="1126" spans="1:9" x14ac:dyDescent="0.25">
      <c r="A1126" s="242">
        <v>42895</v>
      </c>
      <c r="B1126" s="18">
        <v>115227</v>
      </c>
      <c r="C1126" s="235" t="s">
        <v>19677</v>
      </c>
      <c r="D1126" s="236" t="s">
        <v>15261</v>
      </c>
      <c r="E1126" s="15">
        <v>29956.6</v>
      </c>
      <c r="F1126" s="237">
        <v>42895</v>
      </c>
      <c r="G1126" s="15">
        <v>29956.6</v>
      </c>
      <c r="H1126" s="15">
        <f t="shared" si="17"/>
        <v>0</v>
      </c>
      <c r="I1126" s="236" t="s">
        <v>19682</v>
      </c>
    </row>
    <row r="1127" spans="1:9" x14ac:dyDescent="0.25">
      <c r="A1127" s="36">
        <v>42895</v>
      </c>
      <c r="B1127" s="18">
        <v>115228</v>
      </c>
      <c r="C1127" s="235" t="s">
        <v>19677</v>
      </c>
      <c r="D1127" s="236" t="s">
        <v>15530</v>
      </c>
      <c r="E1127" s="15">
        <v>3623.2</v>
      </c>
      <c r="F1127" s="237">
        <v>42895</v>
      </c>
      <c r="G1127" s="15">
        <v>3623.2</v>
      </c>
      <c r="H1127" s="15">
        <f t="shared" si="17"/>
        <v>0</v>
      </c>
      <c r="I1127" s="236" t="s">
        <v>19682</v>
      </c>
    </row>
    <row r="1128" spans="1:9" x14ac:dyDescent="0.25">
      <c r="A1128" s="242">
        <v>42895</v>
      </c>
      <c r="B1128" s="18">
        <v>115229</v>
      </c>
      <c r="C1128" s="235" t="s">
        <v>19677</v>
      </c>
      <c r="D1128" s="236" t="s">
        <v>15248</v>
      </c>
      <c r="E1128" s="15">
        <v>27079.46</v>
      </c>
      <c r="F1128" s="237">
        <v>42895</v>
      </c>
      <c r="G1128" s="15">
        <v>27079.46</v>
      </c>
      <c r="H1128" s="15">
        <f t="shared" si="17"/>
        <v>0</v>
      </c>
      <c r="I1128" s="236" t="s">
        <v>19682</v>
      </c>
    </row>
    <row r="1129" spans="1:9" x14ac:dyDescent="0.25">
      <c r="A1129" s="36">
        <v>42895</v>
      </c>
      <c r="B1129" s="18">
        <v>115230</v>
      </c>
      <c r="C1129" s="235" t="s">
        <v>19677</v>
      </c>
      <c r="D1129" s="236" t="s">
        <v>15280</v>
      </c>
      <c r="E1129" s="15">
        <v>6759</v>
      </c>
      <c r="F1129" s="237">
        <v>42895</v>
      </c>
      <c r="G1129" s="15">
        <v>6759</v>
      </c>
      <c r="H1129" s="15">
        <f t="shared" si="17"/>
        <v>0</v>
      </c>
      <c r="I1129" s="236" t="s">
        <v>19682</v>
      </c>
    </row>
    <row r="1130" spans="1:9" x14ac:dyDescent="0.25">
      <c r="A1130" s="242">
        <v>42895</v>
      </c>
      <c r="B1130" s="18">
        <v>115231</v>
      </c>
      <c r="C1130" s="235" t="s">
        <v>19677</v>
      </c>
      <c r="D1130" s="236" t="s">
        <v>15592</v>
      </c>
      <c r="E1130" s="15">
        <v>3569.6</v>
      </c>
      <c r="F1130" s="237">
        <v>42896</v>
      </c>
      <c r="G1130" s="15">
        <v>3569.6</v>
      </c>
      <c r="H1130" s="15">
        <f t="shared" si="17"/>
        <v>0</v>
      </c>
      <c r="I1130" s="236" t="s">
        <v>19682</v>
      </c>
    </row>
    <row r="1131" spans="1:9" x14ac:dyDescent="0.25">
      <c r="A1131" s="36">
        <v>42895</v>
      </c>
      <c r="B1131" s="18">
        <v>115232</v>
      </c>
      <c r="C1131" s="235" t="s">
        <v>19677</v>
      </c>
      <c r="D1131" s="236" t="s">
        <v>15223</v>
      </c>
      <c r="E1131" s="15">
        <v>43520.4</v>
      </c>
      <c r="F1131" s="237">
        <v>42912</v>
      </c>
      <c r="G1131" s="15">
        <v>43520.4</v>
      </c>
      <c r="H1131" s="15">
        <f t="shared" si="17"/>
        <v>0</v>
      </c>
      <c r="I1131" s="236" t="s">
        <v>19682</v>
      </c>
    </row>
    <row r="1132" spans="1:9" x14ac:dyDescent="0.25">
      <c r="A1132" s="242">
        <v>42895</v>
      </c>
      <c r="B1132" s="18">
        <v>115233</v>
      </c>
      <c r="C1132" s="235" t="s">
        <v>19677</v>
      </c>
      <c r="D1132" s="236" t="s">
        <v>15363</v>
      </c>
      <c r="E1132" s="15">
        <v>260</v>
      </c>
      <c r="F1132" s="237">
        <v>42896</v>
      </c>
      <c r="G1132" s="15">
        <v>260</v>
      </c>
      <c r="H1132" s="15">
        <f t="shared" si="17"/>
        <v>0</v>
      </c>
      <c r="I1132" s="236" t="s">
        <v>19682</v>
      </c>
    </row>
    <row r="1133" spans="1:9" x14ac:dyDescent="0.25">
      <c r="A1133" s="36">
        <v>42895</v>
      </c>
      <c r="B1133" s="18">
        <v>115234</v>
      </c>
      <c r="C1133" s="235" t="s">
        <v>19677</v>
      </c>
      <c r="D1133" s="236" t="s">
        <v>15324</v>
      </c>
      <c r="E1133" s="15">
        <v>1719.8</v>
      </c>
      <c r="F1133" s="237">
        <v>42895</v>
      </c>
      <c r="G1133" s="15">
        <v>1719.8</v>
      </c>
      <c r="H1133" s="15">
        <f t="shared" si="17"/>
        <v>0</v>
      </c>
      <c r="I1133" s="236" t="s">
        <v>19682</v>
      </c>
    </row>
    <row r="1134" spans="1:9" x14ac:dyDescent="0.25">
      <c r="A1134" s="242">
        <v>42895</v>
      </c>
      <c r="B1134" s="18">
        <v>115235</v>
      </c>
      <c r="C1134" s="235" t="s">
        <v>19677</v>
      </c>
      <c r="D1134" s="236" t="s">
        <v>15596</v>
      </c>
      <c r="E1134" s="15">
        <v>1840</v>
      </c>
      <c r="F1134" s="237">
        <v>42895</v>
      </c>
      <c r="G1134" s="15">
        <v>1840</v>
      </c>
      <c r="H1134" s="15">
        <f t="shared" si="17"/>
        <v>0</v>
      </c>
      <c r="I1134" s="236" t="s">
        <v>19682</v>
      </c>
    </row>
    <row r="1135" spans="1:9" x14ac:dyDescent="0.25">
      <c r="A1135" s="36">
        <v>42895</v>
      </c>
      <c r="B1135" s="18">
        <v>115236</v>
      </c>
      <c r="C1135" s="235" t="s">
        <v>19677</v>
      </c>
      <c r="D1135" s="236" t="s">
        <v>15330</v>
      </c>
      <c r="E1135" s="15">
        <v>2995</v>
      </c>
      <c r="F1135" s="237">
        <v>42895</v>
      </c>
      <c r="G1135" s="15">
        <v>2995</v>
      </c>
      <c r="H1135" s="15">
        <f t="shared" si="17"/>
        <v>0</v>
      </c>
      <c r="I1135" s="236" t="s">
        <v>19682</v>
      </c>
    </row>
    <row r="1136" spans="1:9" x14ac:dyDescent="0.25">
      <c r="A1136" s="242">
        <v>42895</v>
      </c>
      <c r="B1136" s="18">
        <v>115237</v>
      </c>
      <c r="C1136" s="235" t="s">
        <v>19677</v>
      </c>
      <c r="D1136" s="236" t="s">
        <v>15330</v>
      </c>
      <c r="E1136" s="15">
        <v>312</v>
      </c>
      <c r="F1136" s="237">
        <v>42895</v>
      </c>
      <c r="G1136" s="15">
        <v>312</v>
      </c>
      <c r="H1136" s="15">
        <f t="shared" si="17"/>
        <v>0</v>
      </c>
      <c r="I1136" s="236" t="s">
        <v>19682</v>
      </c>
    </row>
    <row r="1137" spans="1:9" x14ac:dyDescent="0.25">
      <c r="A1137" s="36">
        <v>42895</v>
      </c>
      <c r="B1137" s="18">
        <v>115238</v>
      </c>
      <c r="C1137" s="235" t="s">
        <v>19677</v>
      </c>
      <c r="D1137" s="236" t="s">
        <v>15315</v>
      </c>
      <c r="E1137" s="15">
        <v>2266.3000000000002</v>
      </c>
      <c r="F1137" s="237">
        <v>42895</v>
      </c>
      <c r="G1137" s="15">
        <v>2266.3000000000002</v>
      </c>
      <c r="H1137" s="15">
        <f t="shared" si="17"/>
        <v>0</v>
      </c>
      <c r="I1137" s="236" t="s">
        <v>19682</v>
      </c>
    </row>
    <row r="1138" spans="1:9" x14ac:dyDescent="0.25">
      <c r="A1138" s="242">
        <v>42895</v>
      </c>
      <c r="B1138" s="18">
        <v>115239</v>
      </c>
      <c r="C1138" s="235" t="s">
        <v>19677</v>
      </c>
      <c r="D1138" s="236" t="s">
        <v>16463</v>
      </c>
      <c r="E1138" s="15">
        <v>3762</v>
      </c>
      <c r="F1138" s="237">
        <v>42896</v>
      </c>
      <c r="G1138" s="15">
        <v>3762</v>
      </c>
      <c r="H1138" s="15">
        <f t="shared" si="17"/>
        <v>0</v>
      </c>
      <c r="I1138" s="236" t="s">
        <v>19682</v>
      </c>
    </row>
    <row r="1139" spans="1:9" x14ac:dyDescent="0.25">
      <c r="A1139" s="36">
        <v>42895</v>
      </c>
      <c r="B1139" s="18">
        <v>115240</v>
      </c>
      <c r="C1139" s="235" t="s">
        <v>19677</v>
      </c>
      <c r="D1139" s="236" t="s">
        <v>15423</v>
      </c>
      <c r="E1139" s="15">
        <v>4939.2</v>
      </c>
      <c r="F1139" s="237">
        <v>42895</v>
      </c>
      <c r="G1139" s="15">
        <v>4939.2</v>
      </c>
      <c r="H1139" s="15">
        <f t="shared" si="17"/>
        <v>0</v>
      </c>
      <c r="I1139" s="236" t="s">
        <v>19682</v>
      </c>
    </row>
    <row r="1140" spans="1:9" x14ac:dyDescent="0.25">
      <c r="A1140" s="242">
        <v>42895</v>
      </c>
      <c r="B1140" s="18">
        <v>115241</v>
      </c>
      <c r="C1140" s="235" t="s">
        <v>19677</v>
      </c>
      <c r="D1140" s="236" t="s">
        <v>15320</v>
      </c>
      <c r="E1140" s="15">
        <v>2332</v>
      </c>
      <c r="F1140" s="237">
        <v>42896</v>
      </c>
      <c r="G1140" s="15">
        <v>2332</v>
      </c>
      <c r="H1140" s="15">
        <f t="shared" si="17"/>
        <v>0</v>
      </c>
      <c r="I1140" s="236" t="s">
        <v>19682</v>
      </c>
    </row>
    <row r="1141" spans="1:9" x14ac:dyDescent="0.25">
      <c r="A1141" s="36">
        <v>42895</v>
      </c>
      <c r="B1141" s="18">
        <v>115242</v>
      </c>
      <c r="C1141" s="235" t="s">
        <v>19677</v>
      </c>
      <c r="D1141" s="236" t="s">
        <v>15423</v>
      </c>
      <c r="E1141" s="15">
        <v>136.5</v>
      </c>
      <c r="F1141" s="237">
        <v>42895</v>
      </c>
      <c r="G1141" s="15">
        <v>136.5</v>
      </c>
      <c r="H1141" s="15">
        <f t="shared" si="17"/>
        <v>0</v>
      </c>
      <c r="I1141" s="236" t="s">
        <v>19682</v>
      </c>
    </row>
    <row r="1142" spans="1:9" x14ac:dyDescent="0.25">
      <c r="A1142" s="242">
        <v>42895</v>
      </c>
      <c r="B1142" s="18">
        <v>115243</v>
      </c>
      <c r="C1142" s="235" t="s">
        <v>19677</v>
      </c>
      <c r="D1142" s="236" t="s">
        <v>15276</v>
      </c>
      <c r="E1142" s="15">
        <v>3680</v>
      </c>
      <c r="F1142" s="237">
        <v>42896</v>
      </c>
      <c r="G1142" s="15">
        <v>3680</v>
      </c>
      <c r="H1142" s="15">
        <f t="shared" si="17"/>
        <v>0</v>
      </c>
      <c r="I1142" s="236" t="s">
        <v>19682</v>
      </c>
    </row>
    <row r="1143" spans="1:9" x14ac:dyDescent="0.25">
      <c r="A1143" s="36">
        <v>42895</v>
      </c>
      <c r="B1143" s="18">
        <v>115244</v>
      </c>
      <c r="C1143" s="235" t="s">
        <v>19677</v>
      </c>
      <c r="D1143" s="236" t="s">
        <v>15311</v>
      </c>
      <c r="E1143" s="15">
        <v>2359.8000000000002</v>
      </c>
      <c r="F1143" s="237">
        <v>42896</v>
      </c>
      <c r="G1143" s="15">
        <v>2359.8000000000002</v>
      </c>
      <c r="H1143" s="15">
        <f t="shared" si="17"/>
        <v>0</v>
      </c>
      <c r="I1143" s="236" t="s">
        <v>19682</v>
      </c>
    </row>
    <row r="1144" spans="1:9" x14ac:dyDescent="0.25">
      <c r="A1144" s="242">
        <v>42895</v>
      </c>
      <c r="B1144" s="18">
        <v>115245</v>
      </c>
      <c r="C1144" s="235" t="s">
        <v>19677</v>
      </c>
      <c r="D1144" s="236" t="s">
        <v>16126</v>
      </c>
      <c r="E1144" s="15">
        <v>5852.2</v>
      </c>
      <c r="F1144" s="237">
        <v>42895</v>
      </c>
      <c r="G1144" s="15">
        <v>5852.2</v>
      </c>
      <c r="H1144" s="15">
        <f t="shared" si="17"/>
        <v>0</v>
      </c>
      <c r="I1144" s="236" t="s">
        <v>19682</v>
      </c>
    </row>
    <row r="1145" spans="1:9" x14ac:dyDescent="0.25">
      <c r="A1145" s="36">
        <v>42895</v>
      </c>
      <c r="B1145" s="18">
        <v>115246</v>
      </c>
      <c r="C1145" s="235" t="s">
        <v>19677</v>
      </c>
      <c r="D1145" s="236" t="s">
        <v>15309</v>
      </c>
      <c r="E1145" s="15">
        <v>6778.2</v>
      </c>
      <c r="F1145" s="237">
        <v>42896</v>
      </c>
      <c r="G1145" s="15">
        <v>6778.2</v>
      </c>
      <c r="H1145" s="15">
        <f t="shared" si="17"/>
        <v>0</v>
      </c>
      <c r="I1145" s="236" t="s">
        <v>19682</v>
      </c>
    </row>
    <row r="1146" spans="1:9" x14ac:dyDescent="0.25">
      <c r="A1146" s="242">
        <v>42895</v>
      </c>
      <c r="B1146" s="18">
        <v>115247</v>
      </c>
      <c r="C1146" s="235" t="s">
        <v>19677</v>
      </c>
      <c r="D1146" s="236" t="s">
        <v>15396</v>
      </c>
      <c r="E1146" s="15">
        <v>6112.5</v>
      </c>
      <c r="F1146" s="237">
        <v>42895</v>
      </c>
      <c r="G1146" s="15">
        <v>6112.5</v>
      </c>
      <c r="H1146" s="15">
        <f t="shared" si="17"/>
        <v>0</v>
      </c>
      <c r="I1146" s="236" t="s">
        <v>19682</v>
      </c>
    </row>
    <row r="1147" spans="1:9" x14ac:dyDescent="0.25">
      <c r="A1147" s="36">
        <v>42895</v>
      </c>
      <c r="B1147" s="18">
        <v>115248</v>
      </c>
      <c r="C1147" s="235" t="s">
        <v>19677</v>
      </c>
      <c r="D1147" s="236" t="s">
        <v>15303</v>
      </c>
      <c r="E1147" s="15">
        <v>3507</v>
      </c>
      <c r="F1147" s="237">
        <v>42896</v>
      </c>
      <c r="G1147" s="15">
        <v>3507</v>
      </c>
      <c r="H1147" s="15">
        <f t="shared" si="17"/>
        <v>0</v>
      </c>
      <c r="I1147" s="236" t="s">
        <v>19682</v>
      </c>
    </row>
    <row r="1148" spans="1:9" x14ac:dyDescent="0.25">
      <c r="A1148" s="242">
        <v>42895</v>
      </c>
      <c r="B1148" s="18">
        <v>115249</v>
      </c>
      <c r="C1148" s="235" t="s">
        <v>19677</v>
      </c>
      <c r="D1148" s="236" t="s">
        <v>15291</v>
      </c>
      <c r="E1148" s="15">
        <v>1012</v>
      </c>
      <c r="F1148" s="237">
        <v>42896</v>
      </c>
      <c r="G1148" s="15">
        <v>1012</v>
      </c>
      <c r="H1148" s="15">
        <f t="shared" si="17"/>
        <v>0</v>
      </c>
      <c r="I1148" s="236" t="s">
        <v>19682</v>
      </c>
    </row>
    <row r="1149" spans="1:9" x14ac:dyDescent="0.25">
      <c r="A1149" s="36">
        <v>42895</v>
      </c>
      <c r="B1149" s="18">
        <v>115250</v>
      </c>
      <c r="C1149" s="235" t="s">
        <v>19677</v>
      </c>
      <c r="D1149" s="236" t="s">
        <v>15338</v>
      </c>
      <c r="E1149" s="15">
        <v>8548</v>
      </c>
      <c r="F1149" s="237">
        <v>42900</v>
      </c>
      <c r="G1149" s="15">
        <v>8548</v>
      </c>
      <c r="H1149" s="15">
        <f t="shared" si="17"/>
        <v>0</v>
      </c>
      <c r="I1149" s="236" t="s">
        <v>19682</v>
      </c>
    </row>
    <row r="1150" spans="1:9" x14ac:dyDescent="0.25">
      <c r="A1150" s="242">
        <v>42895</v>
      </c>
      <c r="B1150" s="18">
        <v>115251</v>
      </c>
      <c r="C1150" s="235" t="s">
        <v>19677</v>
      </c>
      <c r="D1150" s="236" t="s">
        <v>15417</v>
      </c>
      <c r="E1150" s="15">
        <v>3780</v>
      </c>
      <c r="F1150" s="237">
        <v>42896</v>
      </c>
      <c r="G1150" s="15">
        <v>3780</v>
      </c>
      <c r="H1150" s="15">
        <f t="shared" si="17"/>
        <v>0</v>
      </c>
      <c r="I1150" s="236" t="s">
        <v>19682</v>
      </c>
    </row>
    <row r="1151" spans="1:9" x14ac:dyDescent="0.25">
      <c r="A1151" s="36">
        <v>42895</v>
      </c>
      <c r="B1151" s="18">
        <v>115252</v>
      </c>
      <c r="C1151" s="235" t="s">
        <v>19677</v>
      </c>
      <c r="D1151" s="236" t="s">
        <v>15265</v>
      </c>
      <c r="E1151" s="15">
        <v>2636.7</v>
      </c>
      <c r="F1151" s="237">
        <v>42895</v>
      </c>
      <c r="G1151" s="15">
        <v>2636.7</v>
      </c>
      <c r="H1151" s="15">
        <f t="shared" si="17"/>
        <v>0</v>
      </c>
      <c r="I1151" s="236" t="s">
        <v>19682</v>
      </c>
    </row>
    <row r="1152" spans="1:9" x14ac:dyDescent="0.25">
      <c r="A1152" s="242">
        <v>42895</v>
      </c>
      <c r="B1152" s="18">
        <v>115253</v>
      </c>
      <c r="C1152" s="235" t="s">
        <v>19677</v>
      </c>
      <c r="D1152" s="236" t="s">
        <v>15305</v>
      </c>
      <c r="E1152" s="15">
        <v>853.2</v>
      </c>
      <c r="F1152" s="237">
        <v>42896</v>
      </c>
      <c r="G1152" s="15">
        <v>853.2</v>
      </c>
      <c r="H1152" s="15">
        <f t="shared" si="17"/>
        <v>0</v>
      </c>
      <c r="I1152" s="236" t="s">
        <v>19682</v>
      </c>
    </row>
    <row r="1153" spans="1:9" x14ac:dyDescent="0.25">
      <c r="A1153" s="36">
        <v>42895</v>
      </c>
      <c r="B1153" s="18">
        <v>115254</v>
      </c>
      <c r="C1153" s="235" t="s">
        <v>19677</v>
      </c>
      <c r="D1153" s="236" t="s">
        <v>15307</v>
      </c>
      <c r="E1153" s="15">
        <v>1321.2</v>
      </c>
      <c r="F1153" s="237">
        <v>42896</v>
      </c>
      <c r="G1153" s="15">
        <v>1321.2</v>
      </c>
      <c r="H1153" s="15">
        <f t="shared" si="17"/>
        <v>0</v>
      </c>
      <c r="I1153" s="236" t="s">
        <v>19682</v>
      </c>
    </row>
    <row r="1154" spans="1:9" x14ac:dyDescent="0.25">
      <c r="A1154" s="242">
        <v>42895</v>
      </c>
      <c r="B1154" s="18">
        <v>115255</v>
      </c>
      <c r="C1154" s="235" t="s">
        <v>19677</v>
      </c>
      <c r="D1154" s="236" t="s">
        <v>15415</v>
      </c>
      <c r="E1154" s="15">
        <v>3529.9</v>
      </c>
      <c r="F1154" s="237">
        <v>42896</v>
      </c>
      <c r="G1154" s="15">
        <v>3529.9</v>
      </c>
      <c r="H1154" s="15">
        <f t="shared" ref="H1154:H1217" si="18">E1154-G1154</f>
        <v>0</v>
      </c>
      <c r="I1154" s="236" t="s">
        <v>19682</v>
      </c>
    </row>
    <row r="1155" spans="1:9" x14ac:dyDescent="0.25">
      <c r="A1155" s="36">
        <v>42895</v>
      </c>
      <c r="B1155" s="18">
        <v>115256</v>
      </c>
      <c r="C1155" s="235" t="s">
        <v>19677</v>
      </c>
      <c r="D1155" s="236" t="s">
        <v>15782</v>
      </c>
      <c r="E1155" s="15">
        <v>1381.6</v>
      </c>
      <c r="F1155" s="237">
        <v>42896</v>
      </c>
      <c r="G1155" s="15">
        <v>1381.6</v>
      </c>
      <c r="H1155" s="15">
        <f t="shared" si="18"/>
        <v>0</v>
      </c>
      <c r="I1155" s="236" t="s">
        <v>19682</v>
      </c>
    </row>
    <row r="1156" spans="1:9" x14ac:dyDescent="0.25">
      <c r="A1156" s="242">
        <v>42895</v>
      </c>
      <c r="B1156" s="18">
        <v>115257</v>
      </c>
      <c r="C1156" s="235" t="s">
        <v>19677</v>
      </c>
      <c r="D1156" s="236" t="s">
        <v>15810</v>
      </c>
      <c r="E1156" s="15">
        <v>704.8</v>
      </c>
      <c r="F1156" s="237">
        <v>42895</v>
      </c>
      <c r="G1156" s="15">
        <v>704.8</v>
      </c>
      <c r="H1156" s="15">
        <f t="shared" si="18"/>
        <v>0</v>
      </c>
      <c r="I1156" s="236" t="s">
        <v>19682</v>
      </c>
    </row>
    <row r="1157" spans="1:9" x14ac:dyDescent="0.25">
      <c r="A1157" s="36">
        <v>42895</v>
      </c>
      <c r="B1157" s="18">
        <v>115258</v>
      </c>
      <c r="C1157" s="235" t="s">
        <v>19677</v>
      </c>
      <c r="D1157" s="236" t="s">
        <v>15317</v>
      </c>
      <c r="E1157" s="15">
        <v>3264.5</v>
      </c>
      <c r="F1157" s="237">
        <v>42898</v>
      </c>
      <c r="G1157" s="15">
        <v>3264.5</v>
      </c>
      <c r="H1157" s="15">
        <f t="shared" si="18"/>
        <v>0</v>
      </c>
      <c r="I1157" s="236" t="s">
        <v>19682</v>
      </c>
    </row>
    <row r="1158" spans="1:9" x14ac:dyDescent="0.25">
      <c r="A1158" s="242">
        <v>42895</v>
      </c>
      <c r="B1158" s="18">
        <v>115259</v>
      </c>
      <c r="C1158" s="235" t="s">
        <v>19677</v>
      </c>
      <c r="D1158" s="236" t="s">
        <v>15642</v>
      </c>
      <c r="E1158" s="15">
        <v>399</v>
      </c>
      <c r="F1158" s="237">
        <v>42895</v>
      </c>
      <c r="G1158" s="15">
        <v>399</v>
      </c>
      <c r="H1158" s="15">
        <f t="shared" si="18"/>
        <v>0</v>
      </c>
      <c r="I1158" s="236" t="s">
        <v>19682</v>
      </c>
    </row>
    <row r="1159" spans="1:9" x14ac:dyDescent="0.25">
      <c r="A1159" s="36">
        <v>42895</v>
      </c>
      <c r="B1159" s="18">
        <v>115260</v>
      </c>
      <c r="C1159" s="235" t="s">
        <v>19677</v>
      </c>
      <c r="D1159" s="236" t="s">
        <v>15642</v>
      </c>
      <c r="E1159" s="15">
        <v>3280.2</v>
      </c>
      <c r="F1159" s="237">
        <v>42895</v>
      </c>
      <c r="G1159" s="15">
        <v>3280.2</v>
      </c>
      <c r="H1159" s="15">
        <f t="shared" si="18"/>
        <v>0</v>
      </c>
      <c r="I1159" s="236" t="s">
        <v>19682</v>
      </c>
    </row>
    <row r="1160" spans="1:9" x14ac:dyDescent="0.25">
      <c r="A1160" s="242">
        <v>42895</v>
      </c>
      <c r="B1160" s="18">
        <v>115261</v>
      </c>
      <c r="C1160" s="235" t="s">
        <v>19677</v>
      </c>
      <c r="D1160" s="236" t="s">
        <v>15328</v>
      </c>
      <c r="E1160" s="15">
        <v>57699.78</v>
      </c>
      <c r="F1160" s="237" t="s">
        <v>19721</v>
      </c>
      <c r="G1160" s="241">
        <f>3552.51+54147.27</f>
        <v>57699.78</v>
      </c>
      <c r="H1160" s="241">
        <f t="shared" si="18"/>
        <v>0</v>
      </c>
      <c r="I1160" s="236" t="s">
        <v>19682</v>
      </c>
    </row>
    <row r="1161" spans="1:9" x14ac:dyDescent="0.25">
      <c r="A1161" s="36">
        <v>42895</v>
      </c>
      <c r="B1161" s="18">
        <v>115262</v>
      </c>
      <c r="C1161" s="235" t="s">
        <v>19677</v>
      </c>
      <c r="D1161" s="236" t="s">
        <v>15523</v>
      </c>
      <c r="E1161" s="15">
        <v>2313.8000000000002</v>
      </c>
      <c r="F1161" s="237">
        <v>42896</v>
      </c>
      <c r="G1161" s="15">
        <v>2313.8000000000002</v>
      </c>
      <c r="H1161" s="15">
        <f t="shared" si="18"/>
        <v>0</v>
      </c>
      <c r="I1161" s="236" t="s">
        <v>19682</v>
      </c>
    </row>
    <row r="1162" spans="1:9" x14ac:dyDescent="0.25">
      <c r="A1162" s="242">
        <v>42895</v>
      </c>
      <c r="B1162" s="18">
        <v>115263</v>
      </c>
      <c r="C1162" s="235" t="s">
        <v>19677</v>
      </c>
      <c r="D1162" s="236" t="s">
        <v>15537</v>
      </c>
      <c r="E1162" s="15">
        <v>20558.400000000001</v>
      </c>
      <c r="F1162" s="237">
        <v>42900</v>
      </c>
      <c r="G1162" s="15">
        <v>20558.400000000001</v>
      </c>
      <c r="H1162" s="15">
        <f t="shared" si="18"/>
        <v>0</v>
      </c>
      <c r="I1162" s="236" t="s">
        <v>19682</v>
      </c>
    </row>
    <row r="1163" spans="1:9" x14ac:dyDescent="0.25">
      <c r="A1163" s="36">
        <v>42895</v>
      </c>
      <c r="B1163" s="18">
        <v>115264</v>
      </c>
      <c r="C1163" s="235" t="s">
        <v>19677</v>
      </c>
      <c r="D1163" s="236" t="s">
        <v>15226</v>
      </c>
      <c r="E1163" s="15">
        <v>1991.8</v>
      </c>
      <c r="F1163" s="237">
        <v>42896</v>
      </c>
      <c r="G1163" s="15">
        <v>1991.8</v>
      </c>
      <c r="H1163" s="15">
        <f t="shared" si="18"/>
        <v>0</v>
      </c>
      <c r="I1163" s="236" t="s">
        <v>19682</v>
      </c>
    </row>
    <row r="1164" spans="1:9" x14ac:dyDescent="0.25">
      <c r="A1164" s="242">
        <v>42895</v>
      </c>
      <c r="B1164" s="18">
        <v>115265</v>
      </c>
      <c r="C1164" s="235" t="s">
        <v>19677</v>
      </c>
      <c r="D1164" s="236" t="s">
        <v>16040</v>
      </c>
      <c r="E1164" s="15">
        <v>21609.9</v>
      </c>
      <c r="F1164" s="237">
        <v>42900</v>
      </c>
      <c r="G1164" s="15">
        <v>21609.9</v>
      </c>
      <c r="H1164" s="15">
        <f t="shared" si="18"/>
        <v>0</v>
      </c>
      <c r="I1164" s="236" t="s">
        <v>19682</v>
      </c>
    </row>
    <row r="1165" spans="1:9" x14ac:dyDescent="0.25">
      <c r="A1165" s="36">
        <v>42895</v>
      </c>
      <c r="B1165" s="18">
        <v>115266</v>
      </c>
      <c r="C1165" s="235" t="s">
        <v>19677</v>
      </c>
      <c r="D1165" s="236" t="s">
        <v>15539</v>
      </c>
      <c r="E1165" s="15">
        <v>16848</v>
      </c>
      <c r="F1165" s="237">
        <v>42900</v>
      </c>
      <c r="G1165" s="15">
        <v>16848</v>
      </c>
      <c r="H1165" s="15">
        <f t="shared" si="18"/>
        <v>0</v>
      </c>
      <c r="I1165" s="236" t="s">
        <v>19682</v>
      </c>
    </row>
    <row r="1166" spans="1:9" x14ac:dyDescent="0.25">
      <c r="A1166" s="242">
        <v>42895</v>
      </c>
      <c r="B1166" s="18">
        <v>115267</v>
      </c>
      <c r="C1166" s="235" t="s">
        <v>19677</v>
      </c>
      <c r="D1166" s="236" t="s">
        <v>15350</v>
      </c>
      <c r="E1166" s="15">
        <v>1614.6</v>
      </c>
      <c r="F1166" s="237">
        <v>42896</v>
      </c>
      <c r="G1166" s="15">
        <v>1614.6</v>
      </c>
      <c r="H1166" s="15">
        <f t="shared" si="18"/>
        <v>0</v>
      </c>
      <c r="I1166" s="236" t="s">
        <v>19682</v>
      </c>
    </row>
    <row r="1167" spans="1:9" x14ac:dyDescent="0.25">
      <c r="A1167" s="36">
        <v>42895</v>
      </c>
      <c r="B1167" s="18">
        <v>115268</v>
      </c>
      <c r="C1167" s="235" t="s">
        <v>19677</v>
      </c>
      <c r="D1167" s="236" t="s">
        <v>15398</v>
      </c>
      <c r="E1167" s="15">
        <v>3033.75</v>
      </c>
      <c r="F1167" s="237">
        <v>42895</v>
      </c>
      <c r="G1167" s="15">
        <v>3033.75</v>
      </c>
      <c r="H1167" s="15">
        <f t="shared" si="18"/>
        <v>0</v>
      </c>
      <c r="I1167" s="236" t="s">
        <v>19682</v>
      </c>
    </row>
    <row r="1168" spans="1:9" x14ac:dyDescent="0.25">
      <c r="A1168" s="242">
        <v>42895</v>
      </c>
      <c r="B1168" s="18">
        <v>115269</v>
      </c>
      <c r="C1168" s="235" t="s">
        <v>19677</v>
      </c>
      <c r="D1168" s="236" t="s">
        <v>15334</v>
      </c>
      <c r="E1168" s="15">
        <v>2715.4</v>
      </c>
      <c r="F1168" s="237">
        <v>42896</v>
      </c>
      <c r="G1168" s="15">
        <v>2715.4</v>
      </c>
      <c r="H1168" s="15">
        <f t="shared" si="18"/>
        <v>0</v>
      </c>
      <c r="I1168" s="236" t="s">
        <v>19682</v>
      </c>
    </row>
    <row r="1169" spans="1:9" x14ac:dyDescent="0.25">
      <c r="A1169" s="36">
        <v>42895</v>
      </c>
      <c r="B1169" s="18">
        <v>115270</v>
      </c>
      <c r="C1169" s="235" t="s">
        <v>19677</v>
      </c>
      <c r="D1169" s="236" t="s">
        <v>15544</v>
      </c>
      <c r="E1169" s="15">
        <v>3127.8</v>
      </c>
      <c r="F1169" s="237">
        <v>42900</v>
      </c>
      <c r="G1169" s="15">
        <v>3127.8</v>
      </c>
      <c r="H1169" s="15">
        <f t="shared" si="18"/>
        <v>0</v>
      </c>
      <c r="I1169" s="236" t="s">
        <v>19682</v>
      </c>
    </row>
    <row r="1170" spans="1:9" x14ac:dyDescent="0.25">
      <c r="A1170" s="242">
        <v>42895</v>
      </c>
      <c r="B1170" s="18">
        <v>115271</v>
      </c>
      <c r="C1170" s="235" t="s">
        <v>19677</v>
      </c>
      <c r="D1170" s="236" t="s">
        <v>15328</v>
      </c>
      <c r="E1170" s="15">
        <v>2640.4</v>
      </c>
      <c r="F1170" s="237">
        <v>42909</v>
      </c>
      <c r="G1170" s="15">
        <v>2640.4</v>
      </c>
      <c r="H1170" s="15">
        <f t="shared" si="18"/>
        <v>0</v>
      </c>
      <c r="I1170" s="236" t="s">
        <v>19682</v>
      </c>
    </row>
    <row r="1171" spans="1:9" x14ac:dyDescent="0.25">
      <c r="A1171" s="36">
        <v>42895</v>
      </c>
      <c r="B1171" s="18">
        <v>115272</v>
      </c>
      <c r="C1171" s="235" t="s">
        <v>19677</v>
      </c>
      <c r="D1171" s="236" t="s">
        <v>15340</v>
      </c>
      <c r="E1171" s="15">
        <v>3240</v>
      </c>
      <c r="F1171" s="237">
        <v>42896</v>
      </c>
      <c r="G1171" s="15">
        <v>3240</v>
      </c>
      <c r="H1171" s="15">
        <f t="shared" si="18"/>
        <v>0</v>
      </c>
      <c r="I1171" s="236" t="s">
        <v>19682</v>
      </c>
    </row>
    <row r="1172" spans="1:9" x14ac:dyDescent="0.25">
      <c r="A1172" s="242">
        <v>42895</v>
      </c>
      <c r="B1172" s="18">
        <v>115273</v>
      </c>
      <c r="C1172" s="235" t="s">
        <v>19677</v>
      </c>
      <c r="D1172" s="236" t="s">
        <v>15342</v>
      </c>
      <c r="E1172" s="15">
        <v>733.6</v>
      </c>
      <c r="F1172" s="237">
        <v>42896</v>
      </c>
      <c r="G1172" s="15">
        <v>733.6</v>
      </c>
      <c r="H1172" s="15">
        <f t="shared" si="18"/>
        <v>0</v>
      </c>
      <c r="I1172" s="236" t="s">
        <v>19682</v>
      </c>
    </row>
    <row r="1173" spans="1:9" x14ac:dyDescent="0.25">
      <c r="A1173" s="36">
        <v>42895</v>
      </c>
      <c r="B1173" s="18">
        <v>115274</v>
      </c>
      <c r="C1173" s="235" t="s">
        <v>19677</v>
      </c>
      <c r="D1173" s="236" t="s">
        <v>15336</v>
      </c>
      <c r="E1173" s="15">
        <v>1509.6</v>
      </c>
      <c r="F1173" s="237">
        <v>42896</v>
      </c>
      <c r="G1173" s="15">
        <v>1509.6</v>
      </c>
      <c r="H1173" s="15">
        <f t="shared" si="18"/>
        <v>0</v>
      </c>
      <c r="I1173" s="236" t="s">
        <v>19682</v>
      </c>
    </row>
    <row r="1174" spans="1:9" x14ac:dyDescent="0.25">
      <c r="A1174" s="242">
        <v>42895</v>
      </c>
      <c r="B1174" s="18">
        <v>115275</v>
      </c>
      <c r="C1174" s="235" t="s">
        <v>19677</v>
      </c>
      <c r="D1174" s="236" t="s">
        <v>15861</v>
      </c>
      <c r="E1174" s="15">
        <v>2295.6</v>
      </c>
      <c r="F1174" s="237">
        <v>42896</v>
      </c>
      <c r="G1174" s="15">
        <v>2295.6</v>
      </c>
      <c r="H1174" s="15">
        <f t="shared" si="18"/>
        <v>0</v>
      </c>
      <c r="I1174" s="236" t="s">
        <v>19682</v>
      </c>
    </row>
    <row r="1175" spans="1:9" x14ac:dyDescent="0.25">
      <c r="A1175" s="36">
        <v>42895</v>
      </c>
      <c r="B1175" s="18">
        <v>115276</v>
      </c>
      <c r="C1175" s="235" t="s">
        <v>19677</v>
      </c>
      <c r="D1175" s="236" t="s">
        <v>17210</v>
      </c>
      <c r="E1175" s="15">
        <v>5112.8</v>
      </c>
      <c r="F1175" s="237">
        <v>42896</v>
      </c>
      <c r="G1175" s="15">
        <v>5112.8</v>
      </c>
      <c r="H1175" s="15">
        <f t="shared" si="18"/>
        <v>0</v>
      </c>
      <c r="I1175" s="236" t="s">
        <v>19682</v>
      </c>
    </row>
    <row r="1176" spans="1:9" x14ac:dyDescent="0.25">
      <c r="A1176" s="242">
        <v>42895</v>
      </c>
      <c r="B1176" s="18">
        <v>115277</v>
      </c>
      <c r="C1176" s="235" t="s">
        <v>19677</v>
      </c>
      <c r="D1176" s="236" t="s">
        <v>15315</v>
      </c>
      <c r="E1176" s="15">
        <v>3049.8</v>
      </c>
      <c r="F1176" s="237">
        <v>42900</v>
      </c>
      <c r="G1176" s="15">
        <v>3049.8</v>
      </c>
      <c r="H1176" s="15">
        <f t="shared" si="18"/>
        <v>0</v>
      </c>
      <c r="I1176" s="236" t="s">
        <v>19682</v>
      </c>
    </row>
    <row r="1177" spans="1:9" x14ac:dyDescent="0.25">
      <c r="A1177" s="36">
        <v>42895</v>
      </c>
      <c r="B1177" s="18">
        <v>115278</v>
      </c>
      <c r="C1177" s="235" t="s">
        <v>19677</v>
      </c>
      <c r="D1177" s="236" t="s">
        <v>15344</v>
      </c>
      <c r="E1177" s="15">
        <v>2152.6</v>
      </c>
      <c r="F1177" s="237">
        <v>42896</v>
      </c>
      <c r="G1177" s="15">
        <v>2152.6</v>
      </c>
      <c r="H1177" s="15">
        <f t="shared" si="18"/>
        <v>0</v>
      </c>
      <c r="I1177" s="236" t="s">
        <v>19682</v>
      </c>
    </row>
    <row r="1178" spans="1:9" x14ac:dyDescent="0.25">
      <c r="A1178" s="242">
        <v>42895</v>
      </c>
      <c r="B1178" s="18">
        <v>115279</v>
      </c>
      <c r="C1178" s="235" t="s">
        <v>19677</v>
      </c>
      <c r="D1178" s="236" t="s">
        <v>15315</v>
      </c>
      <c r="E1178" s="15">
        <v>1362</v>
      </c>
      <c r="F1178" s="237">
        <v>42895</v>
      </c>
      <c r="G1178" s="15">
        <v>1362</v>
      </c>
      <c r="H1178" s="15">
        <f t="shared" si="18"/>
        <v>0</v>
      </c>
      <c r="I1178" s="236" t="s">
        <v>19682</v>
      </c>
    </row>
    <row r="1179" spans="1:9" x14ac:dyDescent="0.25">
      <c r="A1179" s="36">
        <v>42895</v>
      </c>
      <c r="B1179" s="18">
        <v>115280</v>
      </c>
      <c r="C1179" s="235" t="s">
        <v>19677</v>
      </c>
      <c r="D1179" s="236" t="s">
        <v>15526</v>
      </c>
      <c r="E1179" s="15">
        <v>3830.5</v>
      </c>
      <c r="F1179" s="237">
        <v>42896</v>
      </c>
      <c r="G1179" s="15">
        <v>3830.5</v>
      </c>
      <c r="H1179" s="15">
        <f t="shared" si="18"/>
        <v>0</v>
      </c>
      <c r="I1179" s="236" t="s">
        <v>19682</v>
      </c>
    </row>
    <row r="1180" spans="1:9" x14ac:dyDescent="0.25">
      <c r="A1180" s="242">
        <v>42895</v>
      </c>
      <c r="B1180" s="18">
        <v>115281</v>
      </c>
      <c r="C1180" s="235" t="s">
        <v>19677</v>
      </c>
      <c r="D1180" s="236" t="s">
        <v>15358</v>
      </c>
      <c r="E1180" s="15">
        <v>2758.5</v>
      </c>
      <c r="F1180" s="237">
        <v>42896</v>
      </c>
      <c r="G1180" s="15">
        <v>2758.5</v>
      </c>
      <c r="H1180" s="15">
        <f t="shared" si="18"/>
        <v>0</v>
      </c>
      <c r="I1180" s="236" t="s">
        <v>19682</v>
      </c>
    </row>
    <row r="1181" spans="1:9" x14ac:dyDescent="0.25">
      <c r="A1181" s="36">
        <v>42895</v>
      </c>
      <c r="B1181" s="18">
        <v>115282</v>
      </c>
      <c r="C1181" s="235" t="s">
        <v>19677</v>
      </c>
      <c r="D1181" s="236" t="s">
        <v>15559</v>
      </c>
      <c r="E1181" s="15">
        <v>15254.7</v>
      </c>
      <c r="F1181" s="237">
        <v>42900</v>
      </c>
      <c r="G1181" s="15">
        <v>15254.7</v>
      </c>
      <c r="H1181" s="15">
        <f t="shared" si="18"/>
        <v>0</v>
      </c>
      <c r="I1181" s="236" t="s">
        <v>19682</v>
      </c>
    </row>
    <row r="1182" spans="1:9" x14ac:dyDescent="0.25">
      <c r="A1182" s="242">
        <v>42895</v>
      </c>
      <c r="B1182" s="18">
        <v>115283</v>
      </c>
      <c r="C1182" s="235" t="s">
        <v>19677</v>
      </c>
      <c r="D1182" s="236" t="s">
        <v>15858</v>
      </c>
      <c r="E1182" s="15">
        <v>4249.4399999999996</v>
      </c>
      <c r="F1182" s="237">
        <v>42896</v>
      </c>
      <c r="G1182" s="15">
        <v>4249.4399999999996</v>
      </c>
      <c r="H1182" s="15">
        <f t="shared" si="18"/>
        <v>0</v>
      </c>
      <c r="I1182" s="236" t="s">
        <v>19682</v>
      </c>
    </row>
    <row r="1183" spans="1:9" x14ac:dyDescent="0.25">
      <c r="A1183" s="36">
        <v>42895</v>
      </c>
      <c r="B1183" s="18">
        <v>115284</v>
      </c>
      <c r="C1183" s="235" t="s">
        <v>19677</v>
      </c>
      <c r="D1183" s="236" t="s">
        <v>15315</v>
      </c>
      <c r="E1183" s="15">
        <v>2300</v>
      </c>
      <c r="F1183" s="237">
        <v>42895</v>
      </c>
      <c r="G1183" s="15">
        <v>2300</v>
      </c>
      <c r="H1183" s="15">
        <f t="shared" si="18"/>
        <v>0</v>
      </c>
      <c r="I1183" s="236" t="s">
        <v>19682</v>
      </c>
    </row>
    <row r="1184" spans="1:9" x14ac:dyDescent="0.25">
      <c r="A1184" s="242">
        <v>42895</v>
      </c>
      <c r="B1184" s="18">
        <v>115285</v>
      </c>
      <c r="C1184" s="235" t="s">
        <v>19677</v>
      </c>
      <c r="D1184" s="236" t="s">
        <v>15315</v>
      </c>
      <c r="E1184" s="15">
        <v>31926.78</v>
      </c>
      <c r="F1184" s="237">
        <v>42900</v>
      </c>
      <c r="G1184" s="15">
        <v>31926.78</v>
      </c>
      <c r="H1184" s="15">
        <f t="shared" si="18"/>
        <v>0</v>
      </c>
      <c r="I1184" s="236" t="s">
        <v>19682</v>
      </c>
    </row>
    <row r="1185" spans="1:9" x14ac:dyDescent="0.25">
      <c r="A1185" s="36">
        <v>42895</v>
      </c>
      <c r="B1185" s="18">
        <v>115286</v>
      </c>
      <c r="C1185" s="235" t="s">
        <v>19677</v>
      </c>
      <c r="D1185" s="236" t="s">
        <v>15555</v>
      </c>
      <c r="E1185" s="15">
        <v>4068.75</v>
      </c>
      <c r="F1185" s="237">
        <v>42902</v>
      </c>
      <c r="G1185" s="15">
        <v>4068.75</v>
      </c>
      <c r="H1185" s="15">
        <f t="shared" si="18"/>
        <v>0</v>
      </c>
      <c r="I1185" s="236" t="s">
        <v>19682</v>
      </c>
    </row>
    <row r="1186" spans="1:9" x14ac:dyDescent="0.25">
      <c r="A1186" s="242">
        <v>42895</v>
      </c>
      <c r="B1186" s="18">
        <v>115287</v>
      </c>
      <c r="C1186" s="235" t="s">
        <v>19677</v>
      </c>
      <c r="D1186" s="236" t="s">
        <v>15557</v>
      </c>
      <c r="E1186" s="15">
        <v>23974.7</v>
      </c>
      <c r="F1186" s="237">
        <v>42909</v>
      </c>
      <c r="G1186" s="15">
        <v>23974.7</v>
      </c>
      <c r="H1186" s="15">
        <f t="shared" si="18"/>
        <v>0</v>
      </c>
      <c r="I1186" s="236" t="s">
        <v>19682</v>
      </c>
    </row>
    <row r="1187" spans="1:9" x14ac:dyDescent="0.25">
      <c r="A1187" s="36">
        <v>42895</v>
      </c>
      <c r="B1187" s="18">
        <v>115288</v>
      </c>
      <c r="C1187" s="235" t="s">
        <v>19677</v>
      </c>
      <c r="D1187" s="236" t="s">
        <v>15833</v>
      </c>
      <c r="E1187" s="15">
        <v>8876.5</v>
      </c>
      <c r="F1187" s="237">
        <v>42900</v>
      </c>
      <c r="G1187" s="15">
        <v>8876.5</v>
      </c>
      <c r="H1187" s="15">
        <f t="shared" si="18"/>
        <v>0</v>
      </c>
      <c r="I1187" s="236" t="s">
        <v>19682</v>
      </c>
    </row>
    <row r="1188" spans="1:9" x14ac:dyDescent="0.25">
      <c r="A1188" s="242">
        <v>42895</v>
      </c>
      <c r="B1188" s="18">
        <v>115289</v>
      </c>
      <c r="C1188" s="235" t="s">
        <v>19677</v>
      </c>
      <c r="D1188" s="236" t="s">
        <v>15356</v>
      </c>
      <c r="E1188" s="15">
        <v>759.5</v>
      </c>
      <c r="F1188" s="237">
        <v>42896</v>
      </c>
      <c r="G1188" s="15">
        <v>759.5</v>
      </c>
      <c r="H1188" s="15">
        <f t="shared" si="18"/>
        <v>0</v>
      </c>
      <c r="I1188" s="236" t="s">
        <v>19682</v>
      </c>
    </row>
    <row r="1189" spans="1:9" x14ac:dyDescent="0.25">
      <c r="A1189" s="36">
        <v>42895</v>
      </c>
      <c r="B1189" s="18">
        <v>115290</v>
      </c>
      <c r="C1189" s="235" t="s">
        <v>19677</v>
      </c>
      <c r="D1189" s="236" t="s">
        <v>15665</v>
      </c>
      <c r="E1189" s="15">
        <v>508.4</v>
      </c>
      <c r="F1189" s="237">
        <v>42895</v>
      </c>
      <c r="G1189" s="15">
        <v>508.4</v>
      </c>
      <c r="H1189" s="15">
        <f t="shared" si="18"/>
        <v>0</v>
      </c>
      <c r="I1189" s="236" t="s">
        <v>19682</v>
      </c>
    </row>
    <row r="1190" spans="1:9" x14ac:dyDescent="0.25">
      <c r="A1190" s="242">
        <v>42895</v>
      </c>
      <c r="B1190" s="18">
        <v>115291</v>
      </c>
      <c r="C1190" s="235" t="s">
        <v>19677</v>
      </c>
      <c r="D1190" s="236" t="s">
        <v>15409</v>
      </c>
      <c r="E1190" s="15">
        <v>2340</v>
      </c>
      <c r="F1190" s="237">
        <v>42895</v>
      </c>
      <c r="G1190" s="15">
        <v>2340</v>
      </c>
      <c r="H1190" s="15">
        <f t="shared" si="18"/>
        <v>0</v>
      </c>
      <c r="I1190" s="236" t="s">
        <v>19682</v>
      </c>
    </row>
    <row r="1191" spans="1:9" x14ac:dyDescent="0.25">
      <c r="A1191" s="36">
        <v>42895</v>
      </c>
      <c r="B1191" s="18">
        <v>115292</v>
      </c>
      <c r="C1191" s="235" t="s">
        <v>19677</v>
      </c>
      <c r="D1191" s="236" t="s">
        <v>15987</v>
      </c>
      <c r="E1191" s="15">
        <v>702</v>
      </c>
      <c r="F1191" s="237">
        <v>42895</v>
      </c>
      <c r="G1191" s="15">
        <v>702</v>
      </c>
      <c r="H1191" s="15">
        <f t="shared" si="18"/>
        <v>0</v>
      </c>
      <c r="I1191" s="236" t="s">
        <v>19682</v>
      </c>
    </row>
    <row r="1192" spans="1:9" x14ac:dyDescent="0.25">
      <c r="A1192" s="242">
        <v>42895</v>
      </c>
      <c r="B1192" s="18">
        <v>115293</v>
      </c>
      <c r="C1192" s="235" t="s">
        <v>19677</v>
      </c>
      <c r="D1192" s="236" t="s">
        <v>15315</v>
      </c>
      <c r="E1192" s="15">
        <v>1555</v>
      </c>
      <c r="F1192" s="237">
        <v>42895</v>
      </c>
      <c r="G1192" s="15">
        <v>1555</v>
      </c>
      <c r="H1192" s="15">
        <f t="shared" si="18"/>
        <v>0</v>
      </c>
      <c r="I1192" s="236" t="s">
        <v>19682</v>
      </c>
    </row>
    <row r="1193" spans="1:9" x14ac:dyDescent="0.25">
      <c r="A1193" s="36">
        <v>42895</v>
      </c>
      <c r="B1193" s="18">
        <v>115294</v>
      </c>
      <c r="C1193" s="235" t="s">
        <v>19677</v>
      </c>
      <c r="D1193" s="236" t="s">
        <v>15394</v>
      </c>
      <c r="E1193" s="15">
        <v>17069</v>
      </c>
      <c r="F1193" s="237">
        <v>42896</v>
      </c>
      <c r="G1193" s="15">
        <v>17069</v>
      </c>
      <c r="H1193" s="15">
        <f t="shared" si="18"/>
        <v>0</v>
      </c>
      <c r="I1193" s="236" t="s">
        <v>19682</v>
      </c>
    </row>
    <row r="1194" spans="1:9" x14ac:dyDescent="0.25">
      <c r="A1194" s="242">
        <v>42895</v>
      </c>
      <c r="B1194" s="18">
        <v>115295</v>
      </c>
      <c r="C1194" s="235" t="s">
        <v>19677</v>
      </c>
      <c r="D1194" s="236" t="s">
        <v>15315</v>
      </c>
      <c r="E1194" s="15">
        <v>370</v>
      </c>
      <c r="F1194" s="237">
        <v>42895</v>
      </c>
      <c r="G1194" s="15">
        <v>370</v>
      </c>
      <c r="H1194" s="15">
        <f t="shared" si="18"/>
        <v>0</v>
      </c>
      <c r="I1194" s="236" t="s">
        <v>19682</v>
      </c>
    </row>
    <row r="1195" spans="1:9" x14ac:dyDescent="0.25">
      <c r="A1195" s="36">
        <v>42895</v>
      </c>
      <c r="B1195" s="18">
        <v>115296</v>
      </c>
      <c r="C1195" s="235" t="s">
        <v>19677</v>
      </c>
      <c r="D1195" s="236" t="s">
        <v>15373</v>
      </c>
      <c r="E1195" s="15">
        <v>13500</v>
      </c>
      <c r="F1195" s="237">
        <v>42896</v>
      </c>
      <c r="G1195" s="15">
        <v>13500</v>
      </c>
      <c r="H1195" s="15">
        <f t="shared" si="18"/>
        <v>0</v>
      </c>
      <c r="I1195" s="236" t="s">
        <v>19682</v>
      </c>
    </row>
    <row r="1196" spans="1:9" x14ac:dyDescent="0.25">
      <c r="A1196" s="242">
        <v>42895</v>
      </c>
      <c r="B1196" s="18">
        <v>115297</v>
      </c>
      <c r="C1196" s="235" t="s">
        <v>19677</v>
      </c>
      <c r="D1196" s="236" t="s">
        <v>17929</v>
      </c>
      <c r="E1196" s="15">
        <v>800</v>
      </c>
      <c r="F1196" s="237">
        <v>42895</v>
      </c>
      <c r="G1196" s="15">
        <v>800</v>
      </c>
      <c r="H1196" s="15">
        <f t="shared" si="18"/>
        <v>0</v>
      </c>
      <c r="I1196" s="236" t="s">
        <v>19682</v>
      </c>
    </row>
    <row r="1197" spans="1:9" x14ac:dyDescent="0.25">
      <c r="A1197" s="36">
        <v>42895</v>
      </c>
      <c r="B1197" s="18">
        <v>115298</v>
      </c>
      <c r="C1197" s="235" t="s">
        <v>19677</v>
      </c>
      <c r="D1197" s="236" t="s">
        <v>15884</v>
      </c>
      <c r="E1197" s="15">
        <v>4566.8</v>
      </c>
      <c r="F1197" s="237">
        <v>42895</v>
      </c>
      <c r="G1197" s="15">
        <v>4566.8</v>
      </c>
      <c r="H1197" s="15">
        <f t="shared" si="18"/>
        <v>0</v>
      </c>
      <c r="I1197" s="236" t="s">
        <v>19682</v>
      </c>
    </row>
    <row r="1198" spans="1:9" x14ac:dyDescent="0.25">
      <c r="A1198" s="242">
        <v>42895</v>
      </c>
      <c r="B1198" s="18">
        <v>115299</v>
      </c>
      <c r="C1198" s="235" t="s">
        <v>19677</v>
      </c>
      <c r="D1198" s="236" t="s">
        <v>15315</v>
      </c>
      <c r="E1198" s="15">
        <v>418.6</v>
      </c>
      <c r="F1198" s="237">
        <v>42895</v>
      </c>
      <c r="G1198" s="15">
        <v>418.6</v>
      </c>
      <c r="H1198" s="15">
        <f t="shared" si="18"/>
        <v>0</v>
      </c>
      <c r="I1198" s="236" t="s">
        <v>19682</v>
      </c>
    </row>
    <row r="1199" spans="1:9" x14ac:dyDescent="0.25">
      <c r="A1199" s="36">
        <v>42895</v>
      </c>
      <c r="B1199" s="18">
        <v>115300</v>
      </c>
      <c r="C1199" s="235" t="s">
        <v>19677</v>
      </c>
      <c r="D1199" s="236" t="s">
        <v>15322</v>
      </c>
      <c r="E1199" s="15">
        <v>2368</v>
      </c>
      <c r="F1199" s="237">
        <v>42895</v>
      </c>
      <c r="G1199" s="15">
        <v>2368</v>
      </c>
      <c r="H1199" s="15">
        <f t="shared" si="18"/>
        <v>0</v>
      </c>
      <c r="I1199" s="236" t="s">
        <v>19682</v>
      </c>
    </row>
    <row r="1200" spans="1:9" x14ac:dyDescent="0.25">
      <c r="A1200" s="242">
        <v>42895</v>
      </c>
      <c r="B1200" s="18">
        <v>115301</v>
      </c>
      <c r="C1200" s="235" t="s">
        <v>19677</v>
      </c>
      <c r="D1200" s="236" t="s">
        <v>15427</v>
      </c>
      <c r="E1200" s="15">
        <v>24742.7</v>
      </c>
      <c r="F1200" s="237">
        <v>42896</v>
      </c>
      <c r="G1200" s="15">
        <v>24742.7</v>
      </c>
      <c r="H1200" s="15">
        <f t="shared" si="18"/>
        <v>0</v>
      </c>
      <c r="I1200" s="236" t="s">
        <v>19682</v>
      </c>
    </row>
    <row r="1201" spans="1:10" x14ac:dyDescent="0.25">
      <c r="A1201" s="36">
        <v>42895</v>
      </c>
      <c r="B1201" s="18">
        <v>115302</v>
      </c>
      <c r="C1201" s="235" t="s">
        <v>19677</v>
      </c>
      <c r="D1201" s="236" t="s">
        <v>15315</v>
      </c>
      <c r="E1201" s="15">
        <v>756.7</v>
      </c>
      <c r="F1201" s="237">
        <v>42896</v>
      </c>
      <c r="G1201" s="15">
        <v>756.7</v>
      </c>
      <c r="H1201" s="15">
        <f t="shared" si="18"/>
        <v>0</v>
      </c>
      <c r="I1201" s="236" t="s">
        <v>19682</v>
      </c>
    </row>
    <row r="1202" spans="1:10" x14ac:dyDescent="0.25">
      <c r="A1202" s="242">
        <v>42895</v>
      </c>
      <c r="B1202" s="18">
        <v>115303</v>
      </c>
      <c r="C1202" s="235" t="s">
        <v>19677</v>
      </c>
      <c r="D1202" s="236" t="s">
        <v>16048</v>
      </c>
      <c r="E1202" s="15">
        <v>6145</v>
      </c>
      <c r="F1202" s="237">
        <v>42895</v>
      </c>
      <c r="G1202" s="15">
        <v>6145</v>
      </c>
      <c r="H1202" s="15">
        <f t="shared" si="18"/>
        <v>0</v>
      </c>
      <c r="I1202" s="236" t="s">
        <v>19682</v>
      </c>
    </row>
    <row r="1203" spans="1:10" x14ac:dyDescent="0.25">
      <c r="A1203" s="36">
        <v>42895</v>
      </c>
      <c r="B1203" s="18">
        <v>115304</v>
      </c>
      <c r="C1203" s="235" t="s">
        <v>19677</v>
      </c>
      <c r="D1203" s="236" t="s">
        <v>15380</v>
      </c>
      <c r="E1203" s="15">
        <v>48861.7</v>
      </c>
      <c r="F1203" s="237">
        <v>42902</v>
      </c>
      <c r="G1203" s="15">
        <v>48861.7</v>
      </c>
      <c r="H1203" s="15">
        <f t="shared" si="18"/>
        <v>0</v>
      </c>
      <c r="I1203" s="236" t="s">
        <v>19682</v>
      </c>
    </row>
    <row r="1204" spans="1:10" x14ac:dyDescent="0.25">
      <c r="A1204" s="242">
        <v>42895</v>
      </c>
      <c r="B1204" s="18">
        <v>115305</v>
      </c>
      <c r="C1204" s="235" t="s">
        <v>19677</v>
      </c>
      <c r="D1204" s="236" t="s">
        <v>15716</v>
      </c>
      <c r="E1204" s="15">
        <v>6016</v>
      </c>
      <c r="F1204" s="237">
        <v>42895</v>
      </c>
      <c r="G1204" s="15">
        <v>6016</v>
      </c>
      <c r="H1204" s="15">
        <f t="shared" si="18"/>
        <v>0</v>
      </c>
      <c r="I1204" s="236" t="s">
        <v>19682</v>
      </c>
    </row>
    <row r="1205" spans="1:10" x14ac:dyDescent="0.25">
      <c r="A1205" s="36">
        <v>42895</v>
      </c>
      <c r="B1205" s="18">
        <v>115306</v>
      </c>
      <c r="C1205" s="235" t="s">
        <v>19677</v>
      </c>
      <c r="D1205" s="236" t="s">
        <v>15480</v>
      </c>
      <c r="E1205" s="15">
        <v>3361.8</v>
      </c>
      <c r="F1205" s="237">
        <v>42896</v>
      </c>
      <c r="G1205" s="15">
        <v>3361.8</v>
      </c>
      <c r="H1205" s="15">
        <f t="shared" si="18"/>
        <v>0</v>
      </c>
      <c r="I1205" s="236" t="s">
        <v>19682</v>
      </c>
    </row>
    <row r="1206" spans="1:10" x14ac:dyDescent="0.25">
      <c r="A1206" s="242">
        <v>42895</v>
      </c>
      <c r="B1206" s="18">
        <v>115307</v>
      </c>
      <c r="C1206" s="235" t="s">
        <v>19677</v>
      </c>
      <c r="D1206" s="236" t="s">
        <v>15444</v>
      </c>
      <c r="E1206" s="15">
        <v>2298.8000000000002</v>
      </c>
      <c r="F1206" s="237">
        <v>42896</v>
      </c>
      <c r="G1206" s="15">
        <v>2298.8000000000002</v>
      </c>
      <c r="H1206" s="15">
        <f t="shared" si="18"/>
        <v>0</v>
      </c>
      <c r="I1206" s="236" t="s">
        <v>19682</v>
      </c>
    </row>
    <row r="1207" spans="1:10" x14ac:dyDescent="0.25">
      <c r="A1207" s="36">
        <v>42895</v>
      </c>
      <c r="B1207" s="18">
        <v>115308</v>
      </c>
      <c r="C1207" s="235" t="s">
        <v>19677</v>
      </c>
      <c r="D1207" s="236" t="s">
        <v>17277</v>
      </c>
      <c r="E1207" s="15">
        <v>4867.2</v>
      </c>
      <c r="F1207" s="237">
        <v>42895</v>
      </c>
      <c r="G1207" s="15">
        <v>4867.2</v>
      </c>
      <c r="H1207" s="15">
        <f t="shared" si="18"/>
        <v>0</v>
      </c>
      <c r="I1207" s="236" t="s">
        <v>19682</v>
      </c>
    </row>
    <row r="1208" spans="1:10" x14ac:dyDescent="0.25">
      <c r="A1208" s="242">
        <v>42895</v>
      </c>
      <c r="B1208" s="18">
        <v>115309</v>
      </c>
      <c r="C1208" s="235" t="s">
        <v>19677</v>
      </c>
      <c r="D1208" s="236" t="s">
        <v>15382</v>
      </c>
      <c r="E1208" s="15">
        <v>10621.4</v>
      </c>
      <c r="F1208" s="237">
        <v>42902</v>
      </c>
      <c r="G1208" s="15">
        <v>10621.4</v>
      </c>
      <c r="H1208" s="15">
        <f t="shared" si="18"/>
        <v>0</v>
      </c>
      <c r="I1208" s="236" t="s">
        <v>19682</v>
      </c>
    </row>
    <row r="1209" spans="1:10" ht="15.75" x14ac:dyDescent="0.25">
      <c r="A1209" s="36">
        <v>42895</v>
      </c>
      <c r="B1209" s="18">
        <v>115310</v>
      </c>
      <c r="C1209" s="235" t="s">
        <v>19677</v>
      </c>
      <c r="D1209" s="239" t="s">
        <v>95</v>
      </c>
      <c r="E1209" s="15">
        <v>0</v>
      </c>
      <c r="F1209" s="244" t="s">
        <v>95</v>
      </c>
      <c r="G1209" s="15">
        <v>0</v>
      </c>
      <c r="H1209" s="15">
        <f t="shared" si="18"/>
        <v>0</v>
      </c>
      <c r="I1209" s="236" t="s">
        <v>19678</v>
      </c>
      <c r="J1209" s="2" t="s">
        <v>19722</v>
      </c>
    </row>
    <row r="1210" spans="1:10" ht="15.75" x14ac:dyDescent="0.25">
      <c r="A1210" s="242">
        <v>42895</v>
      </c>
      <c r="B1210" s="18">
        <v>115311</v>
      </c>
      <c r="C1210" s="235" t="s">
        <v>19677</v>
      </c>
      <c r="D1210" s="239" t="s">
        <v>95</v>
      </c>
      <c r="E1210" s="15">
        <v>0</v>
      </c>
      <c r="F1210" s="244" t="s">
        <v>95</v>
      </c>
      <c r="G1210" s="15">
        <v>0</v>
      </c>
      <c r="H1210" s="15">
        <f t="shared" si="18"/>
        <v>0</v>
      </c>
      <c r="I1210" s="236" t="s">
        <v>19678</v>
      </c>
      <c r="J1210" s="2" t="s">
        <v>19722</v>
      </c>
    </row>
    <row r="1211" spans="1:10" x14ac:dyDescent="0.25">
      <c r="A1211" s="36">
        <v>42895</v>
      </c>
      <c r="B1211" s="18">
        <v>115312</v>
      </c>
      <c r="C1211" s="235" t="s">
        <v>19677</v>
      </c>
      <c r="D1211" s="236" t="s">
        <v>15396</v>
      </c>
      <c r="E1211" s="15">
        <v>4931.9799999999996</v>
      </c>
      <c r="F1211" s="237">
        <v>42895</v>
      </c>
      <c r="G1211" s="15">
        <v>4931.9799999999996</v>
      </c>
      <c r="H1211" s="15">
        <f t="shared" si="18"/>
        <v>0</v>
      </c>
      <c r="I1211" s="236" t="s">
        <v>19682</v>
      </c>
    </row>
    <row r="1212" spans="1:10" x14ac:dyDescent="0.25">
      <c r="A1212" s="242">
        <v>42895</v>
      </c>
      <c r="B1212" s="18">
        <v>115313</v>
      </c>
      <c r="C1212" s="235" t="s">
        <v>19677</v>
      </c>
      <c r="D1212" s="236" t="s">
        <v>15284</v>
      </c>
      <c r="E1212" s="15">
        <v>1293.7</v>
      </c>
      <c r="F1212" s="237">
        <v>42895</v>
      </c>
      <c r="G1212" s="15">
        <v>1293.7</v>
      </c>
      <c r="H1212" s="15">
        <f t="shared" si="18"/>
        <v>0</v>
      </c>
      <c r="I1212" s="236" t="s">
        <v>19682</v>
      </c>
    </row>
    <row r="1213" spans="1:10" x14ac:dyDescent="0.25">
      <c r="A1213" s="36">
        <v>42895</v>
      </c>
      <c r="B1213" s="18">
        <v>115314</v>
      </c>
      <c r="C1213" s="235" t="s">
        <v>19677</v>
      </c>
      <c r="D1213" s="236" t="s">
        <v>16732</v>
      </c>
      <c r="E1213" s="15">
        <v>29872.400000000001</v>
      </c>
      <c r="F1213" s="237">
        <v>42896</v>
      </c>
      <c r="G1213" s="15">
        <v>29872.400000000001</v>
      </c>
      <c r="H1213" s="15">
        <f t="shared" si="18"/>
        <v>0</v>
      </c>
      <c r="I1213" s="236" t="s">
        <v>19682</v>
      </c>
    </row>
    <row r="1214" spans="1:10" x14ac:dyDescent="0.25">
      <c r="A1214" s="242">
        <v>42895</v>
      </c>
      <c r="B1214" s="18">
        <v>115315</v>
      </c>
      <c r="C1214" s="235" t="s">
        <v>19677</v>
      </c>
      <c r="D1214" s="236" t="s">
        <v>15624</v>
      </c>
      <c r="E1214" s="15">
        <v>31779.46</v>
      </c>
      <c r="F1214" s="237">
        <v>42896</v>
      </c>
      <c r="G1214" s="15">
        <v>31779.46</v>
      </c>
      <c r="H1214" s="15">
        <f t="shared" si="18"/>
        <v>0</v>
      </c>
      <c r="I1214" s="236" t="s">
        <v>19682</v>
      </c>
    </row>
    <row r="1215" spans="1:10" x14ac:dyDescent="0.25">
      <c r="A1215" s="36">
        <v>42895</v>
      </c>
      <c r="B1215" s="18">
        <v>115316</v>
      </c>
      <c r="C1215" s="235" t="s">
        <v>19677</v>
      </c>
      <c r="D1215" s="236" t="s">
        <v>19707</v>
      </c>
      <c r="E1215" s="15">
        <v>2070</v>
      </c>
      <c r="F1215" s="237">
        <v>42895</v>
      </c>
      <c r="G1215" s="15">
        <v>2070</v>
      </c>
      <c r="H1215" s="15">
        <f t="shared" si="18"/>
        <v>0</v>
      </c>
      <c r="I1215" s="236" t="s">
        <v>19682</v>
      </c>
    </row>
    <row r="1216" spans="1:10" x14ac:dyDescent="0.25">
      <c r="A1216" s="242">
        <v>42895</v>
      </c>
      <c r="B1216" s="18">
        <v>115317</v>
      </c>
      <c r="C1216" s="235" t="s">
        <v>19677</v>
      </c>
      <c r="D1216" s="236" t="s">
        <v>15725</v>
      </c>
      <c r="E1216" s="15">
        <v>22220</v>
      </c>
      <c r="F1216" s="237">
        <v>42900</v>
      </c>
      <c r="G1216" s="15">
        <v>22220</v>
      </c>
      <c r="H1216" s="15">
        <f t="shared" si="18"/>
        <v>0</v>
      </c>
      <c r="I1216" s="236" t="s">
        <v>19682</v>
      </c>
    </row>
    <row r="1217" spans="1:9" x14ac:dyDescent="0.25">
      <c r="A1217" s="36">
        <v>42895</v>
      </c>
      <c r="B1217" s="18">
        <v>115318</v>
      </c>
      <c r="C1217" s="235" t="s">
        <v>19677</v>
      </c>
      <c r="D1217" s="236" t="s">
        <v>19707</v>
      </c>
      <c r="E1217" s="15">
        <v>182</v>
      </c>
      <c r="F1217" s="237">
        <v>42895</v>
      </c>
      <c r="G1217" s="15">
        <v>182</v>
      </c>
      <c r="H1217" s="15">
        <f t="shared" si="18"/>
        <v>0</v>
      </c>
      <c r="I1217" s="236" t="s">
        <v>19682</v>
      </c>
    </row>
    <row r="1218" spans="1:9" x14ac:dyDescent="0.25">
      <c r="A1218" s="242">
        <v>42895</v>
      </c>
      <c r="B1218" s="18">
        <v>115319</v>
      </c>
      <c r="C1218" s="235" t="s">
        <v>19677</v>
      </c>
      <c r="D1218" s="236" t="s">
        <v>15568</v>
      </c>
      <c r="E1218" s="15">
        <v>6840.6</v>
      </c>
      <c r="F1218" s="237">
        <v>42896</v>
      </c>
      <c r="G1218" s="15">
        <v>6840.6</v>
      </c>
      <c r="H1218" s="15">
        <f t="shared" ref="H1218:H1281" si="19">E1218-G1218</f>
        <v>0</v>
      </c>
      <c r="I1218" s="236" t="s">
        <v>19682</v>
      </c>
    </row>
    <row r="1219" spans="1:9" x14ac:dyDescent="0.25">
      <c r="A1219" s="36">
        <v>42895</v>
      </c>
      <c r="B1219" s="18">
        <v>115320</v>
      </c>
      <c r="C1219" s="235" t="s">
        <v>19677</v>
      </c>
      <c r="D1219" s="236" t="s">
        <v>15592</v>
      </c>
      <c r="E1219" s="15">
        <v>1424.6</v>
      </c>
      <c r="F1219" s="237">
        <v>42896</v>
      </c>
      <c r="G1219" s="15">
        <v>1424.6</v>
      </c>
      <c r="H1219" s="15">
        <f t="shared" si="19"/>
        <v>0</v>
      </c>
      <c r="I1219" s="236" t="s">
        <v>19682</v>
      </c>
    </row>
    <row r="1220" spans="1:9" x14ac:dyDescent="0.25">
      <c r="A1220" s="242">
        <v>42895</v>
      </c>
      <c r="B1220" s="18">
        <v>115321</v>
      </c>
      <c r="C1220" s="235" t="s">
        <v>19677</v>
      </c>
      <c r="D1220" s="236" t="s">
        <v>15438</v>
      </c>
      <c r="E1220" s="15">
        <v>277.60000000000002</v>
      </c>
      <c r="F1220" s="237">
        <v>42895</v>
      </c>
      <c r="G1220" s="15">
        <v>277.60000000000002</v>
      </c>
      <c r="H1220" s="15">
        <f t="shared" si="19"/>
        <v>0</v>
      </c>
      <c r="I1220" s="236" t="s">
        <v>19682</v>
      </c>
    </row>
    <row r="1221" spans="1:9" x14ac:dyDescent="0.25">
      <c r="A1221" s="36">
        <v>42895</v>
      </c>
      <c r="B1221" s="18">
        <v>115322</v>
      </c>
      <c r="C1221" s="235" t="s">
        <v>19677</v>
      </c>
      <c r="D1221" s="236" t="s">
        <v>15594</v>
      </c>
      <c r="E1221" s="15">
        <v>1294</v>
      </c>
      <c r="F1221" s="237">
        <v>42899</v>
      </c>
      <c r="G1221" s="15">
        <v>1294</v>
      </c>
      <c r="H1221" s="15">
        <f t="shared" si="19"/>
        <v>0</v>
      </c>
      <c r="I1221" s="236" t="s">
        <v>19682</v>
      </c>
    </row>
    <row r="1222" spans="1:9" ht="15.75" x14ac:dyDescent="0.25">
      <c r="A1222" s="242">
        <v>42895</v>
      </c>
      <c r="B1222" s="18">
        <v>115323</v>
      </c>
      <c r="C1222" s="235" t="s">
        <v>19677</v>
      </c>
      <c r="D1222" s="239" t="s">
        <v>95</v>
      </c>
      <c r="E1222" s="15">
        <v>0</v>
      </c>
      <c r="F1222" s="240" t="s">
        <v>95</v>
      </c>
      <c r="G1222" s="15">
        <v>0</v>
      </c>
      <c r="H1222" s="15">
        <f t="shared" si="19"/>
        <v>0</v>
      </c>
      <c r="I1222" s="236" t="s">
        <v>19678</v>
      </c>
    </row>
    <row r="1223" spans="1:9" x14ac:dyDescent="0.25">
      <c r="A1223" s="36">
        <v>42895</v>
      </c>
      <c r="B1223" s="18">
        <v>115324</v>
      </c>
      <c r="C1223" s="235" t="s">
        <v>19677</v>
      </c>
      <c r="D1223" s="236" t="s">
        <v>15328</v>
      </c>
      <c r="E1223" s="15">
        <v>38957.660000000003</v>
      </c>
      <c r="F1223" s="237">
        <v>42909</v>
      </c>
      <c r="G1223" s="15">
        <v>38957.660000000003</v>
      </c>
      <c r="H1223" s="15">
        <f t="shared" si="19"/>
        <v>0</v>
      </c>
      <c r="I1223" s="236" t="s">
        <v>19682</v>
      </c>
    </row>
    <row r="1224" spans="1:9" x14ac:dyDescent="0.25">
      <c r="A1224" s="242">
        <v>42895</v>
      </c>
      <c r="B1224" s="18">
        <v>115325</v>
      </c>
      <c r="C1224" s="235" t="s">
        <v>19677</v>
      </c>
      <c r="D1224" s="236" t="s">
        <v>15628</v>
      </c>
      <c r="E1224" s="15">
        <v>14034.8</v>
      </c>
      <c r="F1224" s="237">
        <v>42896</v>
      </c>
      <c r="G1224" s="15">
        <v>14034.8</v>
      </c>
      <c r="H1224" s="15">
        <f t="shared" si="19"/>
        <v>0</v>
      </c>
      <c r="I1224" s="236" t="s">
        <v>19682</v>
      </c>
    </row>
    <row r="1225" spans="1:9" ht="15.75" x14ac:dyDescent="0.25">
      <c r="A1225" s="36">
        <v>42895</v>
      </c>
      <c r="B1225" s="18">
        <v>115326</v>
      </c>
      <c r="C1225" s="235" t="s">
        <v>19677</v>
      </c>
      <c r="D1225" s="239" t="s">
        <v>95</v>
      </c>
      <c r="E1225" s="15">
        <v>0</v>
      </c>
      <c r="F1225" s="243" t="s">
        <v>95</v>
      </c>
      <c r="G1225" s="15">
        <v>0</v>
      </c>
      <c r="H1225" s="15">
        <f t="shared" si="19"/>
        <v>0</v>
      </c>
      <c r="I1225" s="236" t="s">
        <v>19678</v>
      </c>
    </row>
    <row r="1226" spans="1:9" x14ac:dyDescent="0.25">
      <c r="A1226" s="242">
        <v>42895</v>
      </c>
      <c r="B1226" s="18">
        <v>115327</v>
      </c>
      <c r="C1226" s="235" t="s">
        <v>19677</v>
      </c>
      <c r="D1226" s="236" t="s">
        <v>15541</v>
      </c>
      <c r="E1226" s="15">
        <v>1994.4</v>
      </c>
      <c r="F1226" s="237">
        <v>42897</v>
      </c>
      <c r="G1226" s="15">
        <v>1994.4</v>
      </c>
      <c r="H1226" s="15">
        <f t="shared" si="19"/>
        <v>0</v>
      </c>
      <c r="I1226" s="236" t="s">
        <v>19682</v>
      </c>
    </row>
    <row r="1227" spans="1:9" x14ac:dyDescent="0.25">
      <c r="A1227" s="36">
        <v>42895</v>
      </c>
      <c r="B1227" s="18">
        <v>115328</v>
      </c>
      <c r="C1227" s="235" t="s">
        <v>19677</v>
      </c>
      <c r="D1227" s="236" t="s">
        <v>15365</v>
      </c>
      <c r="E1227" s="15">
        <v>424738.8</v>
      </c>
      <c r="F1227" s="237">
        <v>42902</v>
      </c>
      <c r="G1227" s="15">
        <v>424738.8</v>
      </c>
      <c r="H1227" s="15">
        <f t="shared" si="19"/>
        <v>0</v>
      </c>
      <c r="I1227" s="236" t="s">
        <v>19682</v>
      </c>
    </row>
    <row r="1228" spans="1:9" x14ac:dyDescent="0.25">
      <c r="A1228" s="242">
        <v>42895</v>
      </c>
      <c r="B1228" s="18">
        <v>115329</v>
      </c>
      <c r="C1228" s="235" t="s">
        <v>19677</v>
      </c>
      <c r="D1228" s="236" t="s">
        <v>15267</v>
      </c>
      <c r="E1228" s="15">
        <v>24881.599999999999</v>
      </c>
      <c r="F1228" s="237">
        <v>42933</v>
      </c>
      <c r="G1228" s="15">
        <v>24881.599999999999</v>
      </c>
      <c r="H1228" s="15">
        <f t="shared" si="19"/>
        <v>0</v>
      </c>
      <c r="I1228" s="236" t="s">
        <v>19682</v>
      </c>
    </row>
    <row r="1229" spans="1:9" x14ac:dyDescent="0.25">
      <c r="A1229" s="36">
        <v>42895</v>
      </c>
      <c r="B1229" s="18">
        <v>115330</v>
      </c>
      <c r="C1229" s="235" t="s">
        <v>19677</v>
      </c>
      <c r="D1229" s="236" t="s">
        <v>15267</v>
      </c>
      <c r="E1229" s="15">
        <v>9065.1</v>
      </c>
      <c r="F1229" s="237">
        <v>42933</v>
      </c>
      <c r="G1229" s="15">
        <v>9065.1</v>
      </c>
      <c r="H1229" s="15">
        <f t="shared" si="19"/>
        <v>0</v>
      </c>
      <c r="I1229" s="236" t="s">
        <v>19682</v>
      </c>
    </row>
    <row r="1230" spans="1:9" x14ac:dyDescent="0.25">
      <c r="A1230" s="242">
        <v>42895</v>
      </c>
      <c r="B1230" s="18">
        <v>115331</v>
      </c>
      <c r="C1230" s="235" t="s">
        <v>19677</v>
      </c>
      <c r="D1230" s="236" t="s">
        <v>15433</v>
      </c>
      <c r="E1230" s="15">
        <v>1576.9</v>
      </c>
      <c r="F1230" s="237">
        <v>42895</v>
      </c>
      <c r="G1230" s="15">
        <v>1576.9</v>
      </c>
      <c r="H1230" s="15">
        <f t="shared" si="19"/>
        <v>0</v>
      </c>
      <c r="I1230" s="236" t="s">
        <v>19682</v>
      </c>
    </row>
    <row r="1231" spans="1:9" x14ac:dyDescent="0.25">
      <c r="A1231" s="36">
        <v>42895</v>
      </c>
      <c r="B1231" s="18">
        <v>115332</v>
      </c>
      <c r="C1231" s="235" t="s">
        <v>19677</v>
      </c>
      <c r="D1231" s="236" t="s">
        <v>15435</v>
      </c>
      <c r="E1231" s="15">
        <v>6956.4</v>
      </c>
      <c r="F1231" s="237">
        <v>42895</v>
      </c>
      <c r="G1231" s="15">
        <v>6956.4</v>
      </c>
      <c r="H1231" s="15">
        <f t="shared" si="19"/>
        <v>0</v>
      </c>
      <c r="I1231" s="236" t="s">
        <v>19682</v>
      </c>
    </row>
    <row r="1232" spans="1:9" ht="15.75" x14ac:dyDescent="0.25">
      <c r="A1232" s="242">
        <v>42895</v>
      </c>
      <c r="B1232" s="18">
        <v>115333</v>
      </c>
      <c r="C1232" s="235" t="s">
        <v>19677</v>
      </c>
      <c r="D1232" s="239" t="s">
        <v>95</v>
      </c>
      <c r="E1232" s="15">
        <v>0</v>
      </c>
      <c r="F1232" s="244" t="s">
        <v>95</v>
      </c>
      <c r="G1232" s="15">
        <v>0</v>
      </c>
      <c r="H1232" s="15">
        <f t="shared" si="19"/>
        <v>0</v>
      </c>
      <c r="I1232" s="236" t="s">
        <v>19678</v>
      </c>
    </row>
    <row r="1233" spans="1:9" x14ac:dyDescent="0.25">
      <c r="A1233" s="36">
        <v>42895</v>
      </c>
      <c r="B1233" s="18">
        <v>115334</v>
      </c>
      <c r="C1233" s="235" t="s">
        <v>19677</v>
      </c>
      <c r="D1233" s="236" t="s">
        <v>16129</v>
      </c>
      <c r="E1233" s="15">
        <v>5662.4</v>
      </c>
      <c r="F1233" s="237">
        <v>42902</v>
      </c>
      <c r="G1233" s="15">
        <v>5662.4</v>
      </c>
      <c r="H1233" s="15">
        <f t="shared" si="19"/>
        <v>0</v>
      </c>
      <c r="I1233" s="236" t="s">
        <v>19682</v>
      </c>
    </row>
    <row r="1234" spans="1:9" x14ac:dyDescent="0.25">
      <c r="A1234" s="242">
        <v>42895</v>
      </c>
      <c r="B1234" s="18">
        <v>115335</v>
      </c>
      <c r="C1234" s="235" t="s">
        <v>19677</v>
      </c>
      <c r="D1234" s="236" t="s">
        <v>15642</v>
      </c>
      <c r="E1234" s="15">
        <v>6543.6</v>
      </c>
      <c r="F1234" s="237">
        <v>42895</v>
      </c>
      <c r="G1234" s="15">
        <v>6543.6</v>
      </c>
      <c r="H1234" s="15">
        <f t="shared" si="19"/>
        <v>0</v>
      </c>
      <c r="I1234" s="236" t="s">
        <v>19682</v>
      </c>
    </row>
    <row r="1235" spans="1:9" x14ac:dyDescent="0.25">
      <c r="A1235" s="36">
        <v>42895</v>
      </c>
      <c r="B1235" s="18">
        <v>115336</v>
      </c>
      <c r="C1235" s="235" t="s">
        <v>19677</v>
      </c>
      <c r="D1235" s="236" t="s">
        <v>15246</v>
      </c>
      <c r="E1235" s="15">
        <v>311377.78000000003</v>
      </c>
      <c r="F1235" s="237" t="s">
        <v>19723</v>
      </c>
      <c r="G1235" s="241">
        <f>210372.4+101005.38</f>
        <v>311377.78000000003</v>
      </c>
      <c r="H1235" s="241">
        <f t="shared" si="19"/>
        <v>0</v>
      </c>
      <c r="I1235" s="236" t="s">
        <v>19682</v>
      </c>
    </row>
    <row r="1236" spans="1:9" x14ac:dyDescent="0.25">
      <c r="A1236" s="242">
        <v>42895</v>
      </c>
      <c r="B1236" s="18">
        <v>115337</v>
      </c>
      <c r="C1236" s="235" t="s">
        <v>19677</v>
      </c>
      <c r="D1236" s="236" t="s">
        <v>15246</v>
      </c>
      <c r="E1236" s="15">
        <v>81418.5</v>
      </c>
      <c r="F1236" s="237">
        <v>42898</v>
      </c>
      <c r="G1236" s="15">
        <v>81418.5</v>
      </c>
      <c r="H1236" s="15">
        <f t="shared" si="19"/>
        <v>0</v>
      </c>
      <c r="I1236" s="236" t="s">
        <v>19682</v>
      </c>
    </row>
    <row r="1237" spans="1:9" x14ac:dyDescent="0.25">
      <c r="A1237" s="36">
        <v>42895</v>
      </c>
      <c r="B1237" s="18">
        <v>115338</v>
      </c>
      <c r="C1237" s="235" t="s">
        <v>19677</v>
      </c>
      <c r="D1237" s="236" t="s">
        <v>15246</v>
      </c>
      <c r="E1237" s="15">
        <v>14150.8</v>
      </c>
      <c r="F1237" s="237">
        <v>42898</v>
      </c>
      <c r="G1237" s="15">
        <v>14150.8</v>
      </c>
      <c r="H1237" s="15">
        <f t="shared" si="19"/>
        <v>0</v>
      </c>
      <c r="I1237" s="236" t="s">
        <v>19682</v>
      </c>
    </row>
    <row r="1238" spans="1:9" x14ac:dyDescent="0.25">
      <c r="A1238" s="242">
        <v>42895</v>
      </c>
      <c r="B1238" s="18">
        <v>115339</v>
      </c>
      <c r="C1238" s="235" t="s">
        <v>19677</v>
      </c>
      <c r="D1238" s="236" t="s">
        <v>15213</v>
      </c>
      <c r="E1238" s="15">
        <v>734.4</v>
      </c>
      <c r="F1238" s="237">
        <v>42895</v>
      </c>
      <c r="G1238" s="15">
        <v>734.4</v>
      </c>
      <c r="H1238" s="15">
        <f t="shared" si="19"/>
        <v>0</v>
      </c>
      <c r="I1238" s="236" t="s">
        <v>19682</v>
      </c>
    </row>
    <row r="1239" spans="1:9" x14ac:dyDescent="0.25">
      <c r="A1239" s="36">
        <v>42896</v>
      </c>
      <c r="B1239" s="18">
        <v>115340</v>
      </c>
      <c r="C1239" s="235" t="s">
        <v>19677</v>
      </c>
      <c r="D1239" s="236" t="s">
        <v>15216</v>
      </c>
      <c r="E1239" s="15">
        <v>1056</v>
      </c>
      <c r="F1239" s="237">
        <v>42896</v>
      </c>
      <c r="G1239" s="15">
        <v>1056</v>
      </c>
      <c r="H1239" s="15">
        <f t="shared" si="19"/>
        <v>0</v>
      </c>
      <c r="I1239" s="236" t="s">
        <v>19682</v>
      </c>
    </row>
    <row r="1240" spans="1:9" ht="15.75" x14ac:dyDescent="0.25">
      <c r="A1240" s="242">
        <v>42896</v>
      </c>
      <c r="B1240" s="18">
        <v>115341</v>
      </c>
      <c r="C1240" s="235" t="s">
        <v>19677</v>
      </c>
      <c r="D1240" s="239" t="s">
        <v>95</v>
      </c>
      <c r="E1240" s="15">
        <v>0</v>
      </c>
      <c r="F1240" s="240" t="s">
        <v>95</v>
      </c>
      <c r="G1240" s="15">
        <v>0</v>
      </c>
      <c r="H1240" s="15">
        <f t="shared" si="19"/>
        <v>0</v>
      </c>
      <c r="I1240" s="236" t="s">
        <v>19678</v>
      </c>
    </row>
    <row r="1241" spans="1:9" x14ac:dyDescent="0.25">
      <c r="A1241" s="36">
        <v>42896</v>
      </c>
      <c r="B1241" s="18">
        <v>115342</v>
      </c>
      <c r="C1241" s="235" t="s">
        <v>19677</v>
      </c>
      <c r="D1241" s="236" t="s">
        <v>15213</v>
      </c>
      <c r="E1241" s="15">
        <v>9970.6</v>
      </c>
      <c r="F1241" s="237">
        <v>42897</v>
      </c>
      <c r="G1241" s="15">
        <v>9970.6</v>
      </c>
      <c r="H1241" s="15">
        <f t="shared" si="19"/>
        <v>0</v>
      </c>
      <c r="I1241" s="236" t="s">
        <v>19682</v>
      </c>
    </row>
    <row r="1242" spans="1:9" x14ac:dyDescent="0.25">
      <c r="A1242" s="242">
        <v>42896</v>
      </c>
      <c r="B1242" s="18">
        <v>115343</v>
      </c>
      <c r="C1242" s="235" t="s">
        <v>19677</v>
      </c>
      <c r="D1242" s="236" t="s">
        <v>15220</v>
      </c>
      <c r="E1242" s="15">
        <v>5060</v>
      </c>
      <c r="F1242" s="237">
        <v>42896</v>
      </c>
      <c r="G1242" s="15">
        <v>5060</v>
      </c>
      <c r="H1242" s="15">
        <f t="shared" si="19"/>
        <v>0</v>
      </c>
      <c r="I1242" s="236" t="s">
        <v>19682</v>
      </c>
    </row>
    <row r="1243" spans="1:9" x14ac:dyDescent="0.25">
      <c r="A1243" s="36">
        <v>42896</v>
      </c>
      <c r="B1243" s="18">
        <v>115344</v>
      </c>
      <c r="C1243" s="235" t="s">
        <v>19677</v>
      </c>
      <c r="D1243" s="236" t="s">
        <v>15541</v>
      </c>
      <c r="E1243" s="15">
        <v>2695</v>
      </c>
      <c r="F1243" s="237">
        <v>42896</v>
      </c>
      <c r="G1243" s="15">
        <v>2695</v>
      </c>
      <c r="H1243" s="15">
        <f t="shared" si="19"/>
        <v>0</v>
      </c>
      <c r="I1243" s="236" t="s">
        <v>19682</v>
      </c>
    </row>
    <row r="1244" spans="1:9" x14ac:dyDescent="0.25">
      <c r="A1244" s="242">
        <v>42896</v>
      </c>
      <c r="B1244" s="18">
        <v>115345</v>
      </c>
      <c r="C1244" s="235" t="s">
        <v>19677</v>
      </c>
      <c r="D1244" s="236" t="s">
        <v>17235</v>
      </c>
      <c r="E1244" s="15">
        <v>920</v>
      </c>
      <c r="F1244" s="237">
        <v>42896</v>
      </c>
      <c r="G1244" s="15">
        <v>920</v>
      </c>
      <c r="H1244" s="15">
        <f t="shared" si="19"/>
        <v>0</v>
      </c>
      <c r="I1244" s="236" t="s">
        <v>19682</v>
      </c>
    </row>
    <row r="1245" spans="1:9" x14ac:dyDescent="0.25">
      <c r="A1245" s="36">
        <v>42896</v>
      </c>
      <c r="B1245" s="18">
        <v>115346</v>
      </c>
      <c r="C1245" s="235" t="s">
        <v>19677</v>
      </c>
      <c r="D1245" s="236" t="s">
        <v>15324</v>
      </c>
      <c r="E1245" s="15">
        <v>2360</v>
      </c>
      <c r="F1245" s="237">
        <v>42896</v>
      </c>
      <c r="G1245" s="15">
        <v>2360</v>
      </c>
      <c r="H1245" s="15">
        <f t="shared" si="19"/>
        <v>0</v>
      </c>
      <c r="I1245" s="236" t="s">
        <v>19682</v>
      </c>
    </row>
    <row r="1246" spans="1:9" ht="15.75" x14ac:dyDescent="0.25">
      <c r="A1246" s="242">
        <v>42896</v>
      </c>
      <c r="B1246" s="18">
        <v>115347</v>
      </c>
      <c r="C1246" s="235" t="s">
        <v>19677</v>
      </c>
      <c r="D1246" s="239" t="s">
        <v>95</v>
      </c>
      <c r="E1246" s="15">
        <v>0</v>
      </c>
      <c r="F1246" s="240" t="s">
        <v>95</v>
      </c>
      <c r="G1246" s="15">
        <v>0</v>
      </c>
      <c r="H1246" s="15">
        <f t="shared" si="19"/>
        <v>0</v>
      </c>
      <c r="I1246" s="236" t="s">
        <v>19678</v>
      </c>
    </row>
    <row r="1247" spans="1:9" x14ac:dyDescent="0.25">
      <c r="A1247" s="36">
        <v>42896</v>
      </c>
      <c r="B1247" s="18">
        <v>115348</v>
      </c>
      <c r="C1247" s="235" t="s">
        <v>19677</v>
      </c>
      <c r="D1247" s="236" t="s">
        <v>15213</v>
      </c>
      <c r="E1247" s="15">
        <v>32716.7</v>
      </c>
      <c r="F1247" s="237">
        <v>42898</v>
      </c>
      <c r="G1247" s="15">
        <v>32716.7</v>
      </c>
      <c r="H1247" s="15">
        <f t="shared" si="19"/>
        <v>0</v>
      </c>
      <c r="I1247" s="236" t="s">
        <v>19682</v>
      </c>
    </row>
    <row r="1248" spans="1:9" x14ac:dyDescent="0.25">
      <c r="A1248" s="242">
        <v>42896</v>
      </c>
      <c r="B1248" s="18">
        <v>115349</v>
      </c>
      <c r="C1248" s="235" t="s">
        <v>19677</v>
      </c>
      <c r="D1248" s="236" t="s">
        <v>15226</v>
      </c>
      <c r="E1248" s="15">
        <v>1163.8</v>
      </c>
      <c r="F1248" s="237">
        <v>42898</v>
      </c>
      <c r="G1248" s="15">
        <v>1163.8</v>
      </c>
      <c r="H1248" s="15">
        <f t="shared" si="19"/>
        <v>0</v>
      </c>
      <c r="I1248" s="236" t="s">
        <v>19682</v>
      </c>
    </row>
    <row r="1249" spans="1:9" x14ac:dyDescent="0.25">
      <c r="A1249" s="36">
        <v>42896</v>
      </c>
      <c r="B1249" s="18">
        <v>115350</v>
      </c>
      <c r="C1249" s="235" t="s">
        <v>19677</v>
      </c>
      <c r="D1249" s="236" t="s">
        <v>16522</v>
      </c>
      <c r="E1249" s="15">
        <v>17794.400000000001</v>
      </c>
      <c r="F1249" s="293">
        <v>42952</v>
      </c>
      <c r="G1249" s="107">
        <v>17794.400000000001</v>
      </c>
      <c r="H1249" s="15">
        <f t="shared" si="19"/>
        <v>0</v>
      </c>
      <c r="I1249" s="236" t="s">
        <v>19682</v>
      </c>
    </row>
    <row r="1250" spans="1:9" x14ac:dyDescent="0.25">
      <c r="A1250" s="242">
        <v>42896</v>
      </c>
      <c r="B1250" s="18">
        <v>115351</v>
      </c>
      <c r="C1250" s="235" t="s">
        <v>19677</v>
      </c>
      <c r="D1250" s="236" t="s">
        <v>15596</v>
      </c>
      <c r="E1250" s="15">
        <v>1150</v>
      </c>
      <c r="F1250" s="237">
        <v>42896</v>
      </c>
      <c r="G1250" s="15">
        <v>1150</v>
      </c>
      <c r="H1250" s="15">
        <f t="shared" si="19"/>
        <v>0</v>
      </c>
      <c r="I1250" s="236" t="s">
        <v>19682</v>
      </c>
    </row>
    <row r="1251" spans="1:9" x14ac:dyDescent="0.25">
      <c r="A1251" s="36">
        <v>42896</v>
      </c>
      <c r="B1251" s="18">
        <v>115352</v>
      </c>
      <c r="C1251" s="235" t="s">
        <v>19677</v>
      </c>
      <c r="D1251" s="236" t="s">
        <v>15230</v>
      </c>
      <c r="E1251" s="15">
        <v>29976</v>
      </c>
      <c r="F1251" s="237">
        <v>42899</v>
      </c>
      <c r="G1251" s="15">
        <v>29976</v>
      </c>
      <c r="H1251" s="15">
        <f t="shared" si="19"/>
        <v>0</v>
      </c>
      <c r="I1251" s="236" t="s">
        <v>19682</v>
      </c>
    </row>
    <row r="1252" spans="1:9" x14ac:dyDescent="0.25">
      <c r="A1252" s="242">
        <v>42896</v>
      </c>
      <c r="B1252" s="18">
        <v>115353</v>
      </c>
      <c r="C1252" s="235" t="s">
        <v>19677</v>
      </c>
      <c r="D1252" s="236" t="s">
        <v>15272</v>
      </c>
      <c r="E1252" s="15">
        <v>27623.599999999999</v>
      </c>
      <c r="F1252" s="237">
        <v>42896</v>
      </c>
      <c r="G1252" s="15">
        <v>27623.599999999999</v>
      </c>
      <c r="H1252" s="15">
        <f t="shared" si="19"/>
        <v>0</v>
      </c>
      <c r="I1252" s="236" t="s">
        <v>19682</v>
      </c>
    </row>
    <row r="1253" spans="1:9" x14ac:dyDescent="0.25">
      <c r="A1253" s="36">
        <v>42896</v>
      </c>
      <c r="B1253" s="18">
        <v>115354</v>
      </c>
      <c r="C1253" s="235" t="s">
        <v>19677</v>
      </c>
      <c r="D1253" s="236" t="s">
        <v>19549</v>
      </c>
      <c r="E1253" s="15">
        <v>8406.4</v>
      </c>
      <c r="F1253" s="237">
        <v>42896</v>
      </c>
      <c r="G1253" s="15">
        <v>8406.4</v>
      </c>
      <c r="H1253" s="15">
        <f t="shared" si="19"/>
        <v>0</v>
      </c>
      <c r="I1253" s="236" t="s">
        <v>19682</v>
      </c>
    </row>
    <row r="1254" spans="1:9" x14ac:dyDescent="0.25">
      <c r="A1254" s="242">
        <v>42896</v>
      </c>
      <c r="B1254" s="18">
        <v>115355</v>
      </c>
      <c r="C1254" s="235" t="s">
        <v>19677</v>
      </c>
      <c r="D1254" s="236" t="s">
        <v>15223</v>
      </c>
      <c r="E1254" s="15">
        <v>48589.8</v>
      </c>
      <c r="F1254" s="237">
        <v>42912</v>
      </c>
      <c r="G1254" s="15">
        <v>48589.8</v>
      </c>
      <c r="H1254" s="15">
        <f t="shared" si="19"/>
        <v>0</v>
      </c>
      <c r="I1254" s="236" t="s">
        <v>19682</v>
      </c>
    </row>
    <row r="1255" spans="1:9" x14ac:dyDescent="0.25">
      <c r="A1255" s="36">
        <v>42896</v>
      </c>
      <c r="B1255" s="18">
        <v>115356</v>
      </c>
      <c r="C1255" s="235" t="s">
        <v>19677</v>
      </c>
      <c r="D1255" s="236" t="s">
        <v>15322</v>
      </c>
      <c r="E1255" s="15">
        <v>140.80000000000001</v>
      </c>
      <c r="F1255" s="237">
        <v>42896</v>
      </c>
      <c r="G1255" s="15">
        <v>140.80000000000001</v>
      </c>
      <c r="H1255" s="15">
        <f t="shared" si="19"/>
        <v>0</v>
      </c>
      <c r="I1255" s="236" t="s">
        <v>19682</v>
      </c>
    </row>
    <row r="1256" spans="1:9" x14ac:dyDescent="0.25">
      <c r="A1256" s="242">
        <v>42896</v>
      </c>
      <c r="B1256" s="18">
        <v>115357</v>
      </c>
      <c r="C1256" s="235" t="s">
        <v>19677</v>
      </c>
      <c r="D1256" s="236" t="s">
        <v>17462</v>
      </c>
      <c r="E1256" s="15">
        <v>9077.5</v>
      </c>
      <c r="F1256" s="237">
        <v>42896</v>
      </c>
      <c r="G1256" s="15">
        <v>9077.5</v>
      </c>
      <c r="H1256" s="15">
        <f t="shared" si="19"/>
        <v>0</v>
      </c>
      <c r="I1256" s="236" t="s">
        <v>19682</v>
      </c>
    </row>
    <row r="1257" spans="1:9" x14ac:dyDescent="0.25">
      <c r="A1257" s="36">
        <v>42896</v>
      </c>
      <c r="B1257" s="18">
        <v>115358</v>
      </c>
      <c r="C1257" s="235" t="s">
        <v>19677</v>
      </c>
      <c r="D1257" s="236" t="s">
        <v>15246</v>
      </c>
      <c r="E1257" s="15">
        <v>65327.8</v>
      </c>
      <c r="F1257" s="237">
        <v>42898</v>
      </c>
      <c r="G1257" s="15">
        <v>65327.8</v>
      </c>
      <c r="H1257" s="15">
        <f t="shared" si="19"/>
        <v>0</v>
      </c>
      <c r="I1257" s="236" t="s">
        <v>19682</v>
      </c>
    </row>
    <row r="1258" spans="1:9" x14ac:dyDescent="0.25">
      <c r="A1258" s="242">
        <v>42896</v>
      </c>
      <c r="B1258" s="18">
        <v>115359</v>
      </c>
      <c r="C1258" s="235" t="s">
        <v>19677</v>
      </c>
      <c r="D1258" s="236" t="s">
        <v>15232</v>
      </c>
      <c r="E1258" s="15">
        <v>15656</v>
      </c>
      <c r="F1258" s="237">
        <v>42901</v>
      </c>
      <c r="G1258" s="15">
        <v>15656</v>
      </c>
      <c r="H1258" s="15">
        <f t="shared" si="19"/>
        <v>0</v>
      </c>
      <c r="I1258" s="236" t="s">
        <v>19682</v>
      </c>
    </row>
    <row r="1259" spans="1:9" x14ac:dyDescent="0.25">
      <c r="A1259" s="36">
        <v>42896</v>
      </c>
      <c r="B1259" s="18">
        <v>115360</v>
      </c>
      <c r="C1259" s="235" t="s">
        <v>19677</v>
      </c>
      <c r="D1259" s="236" t="s">
        <v>15258</v>
      </c>
      <c r="E1259" s="15">
        <v>34378.5</v>
      </c>
      <c r="F1259" s="237" t="s">
        <v>19719</v>
      </c>
      <c r="G1259" s="241">
        <f>20000+14378.5</f>
        <v>34378.5</v>
      </c>
      <c r="H1259" s="241">
        <f t="shared" si="19"/>
        <v>0</v>
      </c>
      <c r="I1259" s="236" t="s">
        <v>19682</v>
      </c>
    </row>
    <row r="1260" spans="1:9" x14ac:dyDescent="0.25">
      <c r="A1260" s="242">
        <v>42896</v>
      </c>
      <c r="B1260" s="18">
        <v>115361</v>
      </c>
      <c r="C1260" s="235" t="s">
        <v>19677</v>
      </c>
      <c r="D1260" s="236" t="s">
        <v>15238</v>
      </c>
      <c r="E1260" s="15">
        <v>17297</v>
      </c>
      <c r="F1260" s="237">
        <v>42898</v>
      </c>
      <c r="G1260" s="15">
        <v>17297</v>
      </c>
      <c r="H1260" s="15">
        <f t="shared" si="19"/>
        <v>0</v>
      </c>
      <c r="I1260" s="236" t="s">
        <v>19682</v>
      </c>
    </row>
    <row r="1261" spans="1:9" x14ac:dyDescent="0.25">
      <c r="A1261" s="36">
        <v>42896</v>
      </c>
      <c r="B1261" s="18">
        <v>115362</v>
      </c>
      <c r="C1261" s="235" t="s">
        <v>19677</v>
      </c>
      <c r="D1261" s="236" t="s">
        <v>15480</v>
      </c>
      <c r="E1261" s="15">
        <v>14148.6</v>
      </c>
      <c r="F1261" s="237">
        <v>42899</v>
      </c>
      <c r="G1261" s="15">
        <v>14148.6</v>
      </c>
      <c r="H1261" s="15">
        <f t="shared" si="19"/>
        <v>0</v>
      </c>
      <c r="I1261" s="236" t="s">
        <v>19682</v>
      </c>
    </row>
    <row r="1262" spans="1:9" x14ac:dyDescent="0.25">
      <c r="A1262" s="242">
        <v>42896</v>
      </c>
      <c r="B1262" s="18">
        <v>115363</v>
      </c>
      <c r="C1262" s="235" t="s">
        <v>19677</v>
      </c>
      <c r="D1262" s="236" t="s">
        <v>15330</v>
      </c>
      <c r="E1262" s="15">
        <v>6663</v>
      </c>
      <c r="F1262" s="237">
        <v>42896</v>
      </c>
      <c r="G1262" s="15">
        <v>6663</v>
      </c>
      <c r="H1262" s="15">
        <f t="shared" si="19"/>
        <v>0</v>
      </c>
      <c r="I1262" s="236" t="s">
        <v>19682</v>
      </c>
    </row>
    <row r="1263" spans="1:9" x14ac:dyDescent="0.25">
      <c r="A1263" s="36">
        <v>42896</v>
      </c>
      <c r="B1263" s="18">
        <v>115364</v>
      </c>
      <c r="C1263" s="235" t="s">
        <v>19677</v>
      </c>
      <c r="D1263" s="236" t="s">
        <v>15246</v>
      </c>
      <c r="E1263" s="15">
        <v>8555</v>
      </c>
      <c r="F1263" s="237">
        <v>42898</v>
      </c>
      <c r="G1263" s="15">
        <v>8555</v>
      </c>
      <c r="H1263" s="15">
        <f t="shared" si="19"/>
        <v>0</v>
      </c>
      <c r="I1263" s="236" t="s">
        <v>19682</v>
      </c>
    </row>
    <row r="1264" spans="1:9" x14ac:dyDescent="0.25">
      <c r="A1264" s="242">
        <v>42896</v>
      </c>
      <c r="B1264" s="18">
        <v>115365</v>
      </c>
      <c r="C1264" s="235" t="s">
        <v>19677</v>
      </c>
      <c r="D1264" s="236" t="s">
        <v>5575</v>
      </c>
      <c r="E1264" s="15">
        <v>4522.2</v>
      </c>
      <c r="F1264" s="237" t="s">
        <v>19719</v>
      </c>
      <c r="G1264" s="15">
        <f>1000+3522.2</f>
        <v>4522.2</v>
      </c>
      <c r="H1264" s="15">
        <f t="shared" si="19"/>
        <v>0</v>
      </c>
      <c r="I1264" s="236" t="s">
        <v>19682</v>
      </c>
    </row>
    <row r="1265" spans="1:9" x14ac:dyDescent="0.25">
      <c r="A1265" s="36">
        <v>42896</v>
      </c>
      <c r="B1265" s="18">
        <v>115366</v>
      </c>
      <c r="C1265" s="235" t="s">
        <v>19677</v>
      </c>
      <c r="D1265" s="236" t="s">
        <v>15246</v>
      </c>
      <c r="E1265" s="15">
        <v>22701.599999999999</v>
      </c>
      <c r="F1265" s="237">
        <v>42898</v>
      </c>
      <c r="G1265" s="15">
        <v>22701.599999999999</v>
      </c>
      <c r="H1265" s="15">
        <f t="shared" si="19"/>
        <v>0</v>
      </c>
      <c r="I1265" s="236" t="s">
        <v>19682</v>
      </c>
    </row>
    <row r="1266" spans="1:9" x14ac:dyDescent="0.25">
      <c r="A1266" s="242">
        <v>42896</v>
      </c>
      <c r="B1266" s="18">
        <v>115367</v>
      </c>
      <c r="C1266" s="235" t="s">
        <v>19677</v>
      </c>
      <c r="D1266" s="236" t="s">
        <v>15234</v>
      </c>
      <c r="E1266" s="15">
        <v>7604.4</v>
      </c>
      <c r="F1266" s="237" t="s">
        <v>19719</v>
      </c>
      <c r="G1266" s="241">
        <f>4000+3604.4</f>
        <v>7604.4</v>
      </c>
      <c r="H1266" s="241">
        <f t="shared" si="19"/>
        <v>0</v>
      </c>
      <c r="I1266" s="236" t="s">
        <v>19682</v>
      </c>
    </row>
    <row r="1267" spans="1:9" x14ac:dyDescent="0.25">
      <c r="A1267" s="36">
        <v>42896</v>
      </c>
      <c r="B1267" s="18">
        <v>115368</v>
      </c>
      <c r="C1267" s="235" t="s">
        <v>19677</v>
      </c>
      <c r="D1267" s="236" t="s">
        <v>15668</v>
      </c>
      <c r="E1267" s="15">
        <v>10600.2</v>
      </c>
      <c r="F1267" s="237">
        <v>42901</v>
      </c>
      <c r="G1267" s="15">
        <v>10600.2</v>
      </c>
      <c r="H1267" s="15">
        <f t="shared" si="19"/>
        <v>0</v>
      </c>
      <c r="I1267" s="236" t="s">
        <v>19682</v>
      </c>
    </row>
    <row r="1268" spans="1:9" x14ac:dyDescent="0.25">
      <c r="A1268" s="242">
        <v>42896</v>
      </c>
      <c r="B1268" s="18">
        <v>115369</v>
      </c>
      <c r="C1268" s="235" t="s">
        <v>19677</v>
      </c>
      <c r="D1268" s="236" t="s">
        <v>15236</v>
      </c>
      <c r="E1268" s="15">
        <v>10350.6</v>
      </c>
      <c r="F1268" s="237">
        <v>42899</v>
      </c>
      <c r="G1268" s="15">
        <v>10350.6</v>
      </c>
      <c r="H1268" s="15">
        <f t="shared" si="19"/>
        <v>0</v>
      </c>
      <c r="I1268" s="236" t="s">
        <v>19682</v>
      </c>
    </row>
    <row r="1269" spans="1:9" x14ac:dyDescent="0.25">
      <c r="A1269" s="36">
        <v>42896</v>
      </c>
      <c r="B1269" s="18">
        <v>115370</v>
      </c>
      <c r="C1269" s="235" t="s">
        <v>19677</v>
      </c>
      <c r="D1269" s="236" t="s">
        <v>15256</v>
      </c>
      <c r="E1269" s="15">
        <v>11467.1</v>
      </c>
      <c r="F1269" s="237">
        <v>42898</v>
      </c>
      <c r="G1269" s="15">
        <v>11467.1</v>
      </c>
      <c r="H1269" s="15">
        <f t="shared" si="19"/>
        <v>0</v>
      </c>
      <c r="I1269" s="236" t="s">
        <v>19682</v>
      </c>
    </row>
    <row r="1270" spans="1:9" x14ac:dyDescent="0.25">
      <c r="A1270" s="242">
        <v>42896</v>
      </c>
      <c r="B1270" s="18">
        <v>115371</v>
      </c>
      <c r="C1270" s="235" t="s">
        <v>19677</v>
      </c>
      <c r="D1270" s="236" t="s">
        <v>15263</v>
      </c>
      <c r="E1270" s="15">
        <v>4131.2</v>
      </c>
      <c r="F1270" s="237">
        <v>42896</v>
      </c>
      <c r="G1270" s="15">
        <v>4131.2</v>
      </c>
      <c r="H1270" s="15">
        <f t="shared" si="19"/>
        <v>0</v>
      </c>
      <c r="I1270" s="236" t="s">
        <v>19682</v>
      </c>
    </row>
    <row r="1271" spans="1:9" x14ac:dyDescent="0.25">
      <c r="A1271" s="36">
        <v>42896</v>
      </c>
      <c r="B1271" s="18">
        <v>115372</v>
      </c>
      <c r="C1271" s="235" t="s">
        <v>19677</v>
      </c>
      <c r="D1271" s="236" t="s">
        <v>18258</v>
      </c>
      <c r="E1271" s="15">
        <v>10052</v>
      </c>
      <c r="F1271" s="237">
        <v>42896</v>
      </c>
      <c r="G1271" s="15">
        <v>10052</v>
      </c>
      <c r="H1271" s="15">
        <f t="shared" si="19"/>
        <v>0</v>
      </c>
      <c r="I1271" s="236" t="s">
        <v>19682</v>
      </c>
    </row>
    <row r="1272" spans="1:9" x14ac:dyDescent="0.25">
      <c r="A1272" s="242">
        <v>42896</v>
      </c>
      <c r="B1272" s="18">
        <v>115373</v>
      </c>
      <c r="C1272" s="235" t="s">
        <v>19677</v>
      </c>
      <c r="D1272" s="236" t="s">
        <v>15725</v>
      </c>
      <c r="E1272" s="15">
        <v>28040.799999999999</v>
      </c>
      <c r="F1272" s="237">
        <v>42900</v>
      </c>
      <c r="G1272" s="15">
        <v>28040.799999999999</v>
      </c>
      <c r="H1272" s="15">
        <f t="shared" si="19"/>
        <v>0</v>
      </c>
      <c r="I1272" s="236" t="s">
        <v>19682</v>
      </c>
    </row>
    <row r="1273" spans="1:9" x14ac:dyDescent="0.25">
      <c r="A1273" s="36">
        <v>42896</v>
      </c>
      <c r="B1273" s="18">
        <v>115374</v>
      </c>
      <c r="C1273" s="235" t="s">
        <v>19677</v>
      </c>
      <c r="D1273" s="236" t="s">
        <v>15385</v>
      </c>
      <c r="E1273" s="15">
        <v>7961.8</v>
      </c>
      <c r="F1273" s="237">
        <v>42896</v>
      </c>
      <c r="G1273" s="15">
        <v>7961.8</v>
      </c>
      <c r="H1273" s="15">
        <f t="shared" si="19"/>
        <v>0</v>
      </c>
      <c r="I1273" s="236" t="s">
        <v>19682</v>
      </c>
    </row>
    <row r="1274" spans="1:9" x14ac:dyDescent="0.25">
      <c r="A1274" s="242">
        <v>42896</v>
      </c>
      <c r="B1274" s="18">
        <v>115375</v>
      </c>
      <c r="C1274" s="235" t="s">
        <v>19677</v>
      </c>
      <c r="D1274" s="236" t="s">
        <v>15280</v>
      </c>
      <c r="E1274" s="15">
        <v>6518</v>
      </c>
      <c r="F1274" s="237">
        <v>42896</v>
      </c>
      <c r="G1274" s="15">
        <v>6518</v>
      </c>
      <c r="H1274" s="15">
        <f t="shared" si="19"/>
        <v>0</v>
      </c>
      <c r="I1274" s="236" t="s">
        <v>19682</v>
      </c>
    </row>
    <row r="1275" spans="1:9" x14ac:dyDescent="0.25">
      <c r="A1275" s="36">
        <v>42896</v>
      </c>
      <c r="B1275" s="18">
        <v>115376</v>
      </c>
      <c r="C1275" s="235" t="s">
        <v>19677</v>
      </c>
      <c r="D1275" s="236" t="s">
        <v>15278</v>
      </c>
      <c r="E1275" s="15">
        <v>4642.8999999999996</v>
      </c>
      <c r="F1275" s="237">
        <v>42896</v>
      </c>
      <c r="G1275" s="15">
        <v>4642.8999999999996</v>
      </c>
      <c r="H1275" s="15">
        <f t="shared" si="19"/>
        <v>0</v>
      </c>
      <c r="I1275" s="236" t="s">
        <v>19682</v>
      </c>
    </row>
    <row r="1276" spans="1:9" x14ac:dyDescent="0.25">
      <c r="A1276" s="242">
        <v>42896</v>
      </c>
      <c r="B1276" s="18">
        <v>115377</v>
      </c>
      <c r="C1276" s="235" t="s">
        <v>19677</v>
      </c>
      <c r="D1276" s="236" t="s">
        <v>15240</v>
      </c>
      <c r="E1276" s="15">
        <v>3253.2</v>
      </c>
      <c r="F1276" s="237">
        <v>42898</v>
      </c>
      <c r="G1276" s="15">
        <v>3253.2</v>
      </c>
      <c r="H1276" s="15">
        <f t="shared" si="19"/>
        <v>0</v>
      </c>
      <c r="I1276" s="236" t="s">
        <v>19682</v>
      </c>
    </row>
    <row r="1277" spans="1:9" x14ac:dyDescent="0.25">
      <c r="A1277" s="36">
        <v>42896</v>
      </c>
      <c r="B1277" s="18">
        <v>115378</v>
      </c>
      <c r="C1277" s="235" t="s">
        <v>19677</v>
      </c>
      <c r="D1277" s="236" t="s">
        <v>15348</v>
      </c>
      <c r="E1277" s="15">
        <v>3574.8</v>
      </c>
      <c r="F1277" s="237">
        <v>42899</v>
      </c>
      <c r="G1277" s="15">
        <v>3574.8</v>
      </c>
      <c r="H1277" s="15">
        <f t="shared" si="19"/>
        <v>0</v>
      </c>
      <c r="I1277" s="236" t="s">
        <v>19682</v>
      </c>
    </row>
    <row r="1278" spans="1:9" x14ac:dyDescent="0.25">
      <c r="A1278" s="242">
        <v>42896</v>
      </c>
      <c r="B1278" s="18">
        <v>115379</v>
      </c>
      <c r="C1278" s="235" t="s">
        <v>19677</v>
      </c>
      <c r="D1278" s="236" t="s">
        <v>15252</v>
      </c>
      <c r="E1278" s="15">
        <v>5679.3</v>
      </c>
      <c r="F1278" s="237" t="s">
        <v>19724</v>
      </c>
      <c r="G1278" s="241">
        <f>2220.7+3458.6</f>
        <v>5679.2999999999993</v>
      </c>
      <c r="H1278" s="241">
        <f t="shared" si="19"/>
        <v>0</v>
      </c>
      <c r="I1278" s="236" t="s">
        <v>19682</v>
      </c>
    </row>
    <row r="1279" spans="1:9" x14ac:dyDescent="0.25">
      <c r="A1279" s="36">
        <v>42896</v>
      </c>
      <c r="B1279" s="18">
        <v>115380</v>
      </c>
      <c r="C1279" s="235" t="s">
        <v>19677</v>
      </c>
      <c r="D1279" s="236" t="s">
        <v>15549</v>
      </c>
      <c r="E1279" s="15">
        <v>11528.1</v>
      </c>
      <c r="F1279" s="237">
        <v>42900</v>
      </c>
      <c r="G1279" s="15">
        <v>11528.1</v>
      </c>
      <c r="H1279" s="15">
        <f t="shared" si="19"/>
        <v>0</v>
      </c>
      <c r="I1279" s="236" t="s">
        <v>19682</v>
      </c>
    </row>
    <row r="1280" spans="1:9" x14ac:dyDescent="0.25">
      <c r="A1280" s="242">
        <v>42896</v>
      </c>
      <c r="B1280" s="18">
        <v>115381</v>
      </c>
      <c r="C1280" s="235" t="s">
        <v>19677</v>
      </c>
      <c r="D1280" s="236" t="s">
        <v>15244</v>
      </c>
      <c r="E1280" s="15">
        <v>12132.6</v>
      </c>
      <c r="F1280" s="237">
        <v>42898</v>
      </c>
      <c r="G1280" s="15">
        <v>12132.6</v>
      </c>
      <c r="H1280" s="15">
        <f t="shared" si="19"/>
        <v>0</v>
      </c>
      <c r="I1280" s="236" t="s">
        <v>19682</v>
      </c>
    </row>
    <row r="1281" spans="1:9" x14ac:dyDescent="0.25">
      <c r="A1281" s="36">
        <v>42896</v>
      </c>
      <c r="B1281" s="18">
        <v>115382</v>
      </c>
      <c r="C1281" s="235" t="s">
        <v>19677</v>
      </c>
      <c r="D1281" s="236" t="s">
        <v>15284</v>
      </c>
      <c r="E1281" s="15">
        <v>1151.5</v>
      </c>
      <c r="F1281" s="237">
        <v>42896</v>
      </c>
      <c r="G1281" s="15">
        <v>1151.5</v>
      </c>
      <c r="H1281" s="15">
        <f t="shared" si="19"/>
        <v>0</v>
      </c>
      <c r="I1281" s="236" t="s">
        <v>19682</v>
      </c>
    </row>
    <row r="1282" spans="1:9" x14ac:dyDescent="0.25">
      <c r="A1282" s="242">
        <v>42896</v>
      </c>
      <c r="B1282" s="18">
        <v>115383</v>
      </c>
      <c r="C1282" s="235" t="s">
        <v>19677</v>
      </c>
      <c r="D1282" s="236" t="s">
        <v>15242</v>
      </c>
      <c r="E1282" s="15">
        <v>13398.8</v>
      </c>
      <c r="F1282" s="237">
        <v>42896</v>
      </c>
      <c r="G1282" s="15">
        <v>13398.8</v>
      </c>
      <c r="H1282" s="15">
        <f t="shared" ref="H1282:H1345" si="20">E1282-G1282</f>
        <v>0</v>
      </c>
      <c r="I1282" s="236" t="s">
        <v>19682</v>
      </c>
    </row>
    <row r="1283" spans="1:9" x14ac:dyDescent="0.25">
      <c r="A1283" s="36">
        <v>42896</v>
      </c>
      <c r="B1283" s="18">
        <v>115384</v>
      </c>
      <c r="C1283" s="235" t="s">
        <v>19677</v>
      </c>
      <c r="D1283" s="236" t="s">
        <v>15282</v>
      </c>
      <c r="E1283" s="15">
        <v>3028.2</v>
      </c>
      <c r="F1283" s="237">
        <v>42896</v>
      </c>
      <c r="G1283" s="15">
        <v>3028.2</v>
      </c>
      <c r="H1283" s="15">
        <f t="shared" si="20"/>
        <v>0</v>
      </c>
      <c r="I1283" s="236" t="s">
        <v>19682</v>
      </c>
    </row>
    <row r="1284" spans="1:9" ht="15.75" x14ac:dyDescent="0.25">
      <c r="A1284" s="242">
        <v>42896</v>
      </c>
      <c r="B1284" s="18">
        <v>115385</v>
      </c>
      <c r="C1284" s="235" t="s">
        <v>19677</v>
      </c>
      <c r="D1284" s="239" t="s">
        <v>95</v>
      </c>
      <c r="E1284" s="15">
        <v>0</v>
      </c>
      <c r="F1284" s="240" t="s">
        <v>95</v>
      </c>
      <c r="G1284" s="15">
        <v>0</v>
      </c>
      <c r="H1284" s="15">
        <f t="shared" si="20"/>
        <v>0</v>
      </c>
      <c r="I1284" s="236" t="s">
        <v>19678</v>
      </c>
    </row>
    <row r="1285" spans="1:9" x14ac:dyDescent="0.25">
      <c r="A1285" s="36">
        <v>42896</v>
      </c>
      <c r="B1285" s="18">
        <v>115386</v>
      </c>
      <c r="C1285" s="235" t="s">
        <v>19677</v>
      </c>
      <c r="D1285" s="236" t="s">
        <v>19725</v>
      </c>
      <c r="E1285" s="15">
        <v>994.4</v>
      </c>
      <c r="F1285" s="237">
        <v>42896</v>
      </c>
      <c r="G1285" s="15">
        <v>994.4</v>
      </c>
      <c r="H1285" s="15">
        <f t="shared" si="20"/>
        <v>0</v>
      </c>
      <c r="I1285" s="236" t="s">
        <v>19682</v>
      </c>
    </row>
    <row r="1286" spans="1:9" x14ac:dyDescent="0.25">
      <c r="A1286" s="242">
        <v>42896</v>
      </c>
      <c r="B1286" s="18">
        <v>115387</v>
      </c>
      <c r="C1286" s="235" t="s">
        <v>19677</v>
      </c>
      <c r="D1286" s="236" t="s">
        <v>15356</v>
      </c>
      <c r="E1286" s="15">
        <v>4044.9</v>
      </c>
      <c r="F1286" s="237">
        <v>42896</v>
      </c>
      <c r="G1286" s="15">
        <v>4044.9</v>
      </c>
      <c r="H1286" s="15">
        <f t="shared" si="20"/>
        <v>0</v>
      </c>
      <c r="I1286" s="236" t="s">
        <v>19682</v>
      </c>
    </row>
    <row r="1287" spans="1:9" x14ac:dyDescent="0.25">
      <c r="A1287" s="36">
        <v>42896</v>
      </c>
      <c r="B1287" s="18">
        <v>115388</v>
      </c>
      <c r="C1287" s="235" t="s">
        <v>19677</v>
      </c>
      <c r="D1287" s="236" t="s">
        <v>15530</v>
      </c>
      <c r="E1287" s="15">
        <v>1840</v>
      </c>
      <c r="F1287" s="237">
        <v>42896</v>
      </c>
      <c r="G1287" s="15">
        <v>1840</v>
      </c>
      <c r="H1287" s="15">
        <f t="shared" si="20"/>
        <v>0</v>
      </c>
      <c r="I1287" s="236" t="s">
        <v>19682</v>
      </c>
    </row>
    <row r="1288" spans="1:9" x14ac:dyDescent="0.25">
      <c r="A1288" s="242">
        <v>42896</v>
      </c>
      <c r="B1288" s="18">
        <v>115389</v>
      </c>
      <c r="C1288" s="235" t="s">
        <v>19677</v>
      </c>
      <c r="D1288" s="236" t="s">
        <v>15861</v>
      </c>
      <c r="E1288" s="15">
        <v>1831.2</v>
      </c>
      <c r="F1288" s="237">
        <v>42896</v>
      </c>
      <c r="G1288" s="15">
        <v>1831.2</v>
      </c>
      <c r="H1288" s="15">
        <f t="shared" si="20"/>
        <v>0</v>
      </c>
      <c r="I1288" s="236" t="s">
        <v>19682</v>
      </c>
    </row>
    <row r="1289" spans="1:9" x14ac:dyDescent="0.25">
      <c r="A1289" s="36">
        <v>42896</v>
      </c>
      <c r="B1289" s="18">
        <v>115390</v>
      </c>
      <c r="C1289" s="235" t="s">
        <v>19677</v>
      </c>
      <c r="D1289" s="236" t="s">
        <v>15344</v>
      </c>
      <c r="E1289" s="15">
        <v>1945.8</v>
      </c>
      <c r="F1289" s="237">
        <v>42896</v>
      </c>
      <c r="G1289" s="15">
        <v>1945.8</v>
      </c>
      <c r="H1289" s="15">
        <f t="shared" si="20"/>
        <v>0</v>
      </c>
      <c r="I1289" s="236" t="s">
        <v>19682</v>
      </c>
    </row>
    <row r="1290" spans="1:9" x14ac:dyDescent="0.25">
      <c r="A1290" s="242">
        <v>42896</v>
      </c>
      <c r="B1290" s="18">
        <v>115391</v>
      </c>
      <c r="C1290" s="235" t="s">
        <v>19677</v>
      </c>
      <c r="D1290" s="236" t="s">
        <v>15344</v>
      </c>
      <c r="E1290" s="15">
        <v>1773.2</v>
      </c>
      <c r="F1290" s="237">
        <v>42896</v>
      </c>
      <c r="G1290" s="15">
        <v>1773.2</v>
      </c>
      <c r="H1290" s="15">
        <f t="shared" si="20"/>
        <v>0</v>
      </c>
      <c r="I1290" s="236" t="s">
        <v>19682</v>
      </c>
    </row>
    <row r="1291" spans="1:9" x14ac:dyDescent="0.25">
      <c r="A1291" s="36">
        <v>42896</v>
      </c>
      <c r="B1291" s="18">
        <v>115392</v>
      </c>
      <c r="C1291" s="235" t="s">
        <v>19677</v>
      </c>
      <c r="D1291" s="236" t="s">
        <v>17210</v>
      </c>
      <c r="E1291" s="15">
        <v>3807</v>
      </c>
      <c r="F1291" s="237">
        <v>42896</v>
      </c>
      <c r="G1291" s="15">
        <v>3807</v>
      </c>
      <c r="H1291" s="15">
        <f t="shared" si="20"/>
        <v>0</v>
      </c>
      <c r="I1291" s="236" t="s">
        <v>19682</v>
      </c>
    </row>
    <row r="1292" spans="1:9" x14ac:dyDescent="0.25">
      <c r="A1292" s="242">
        <v>42896</v>
      </c>
      <c r="B1292" s="18">
        <v>115393</v>
      </c>
      <c r="C1292" s="235" t="s">
        <v>19677</v>
      </c>
      <c r="D1292" s="236" t="s">
        <v>15526</v>
      </c>
      <c r="E1292" s="15">
        <v>4296.3999999999996</v>
      </c>
      <c r="F1292" s="237">
        <v>42896</v>
      </c>
      <c r="G1292" s="15">
        <v>4296.3999999999996</v>
      </c>
      <c r="H1292" s="15">
        <f t="shared" si="20"/>
        <v>0</v>
      </c>
      <c r="I1292" s="236" t="s">
        <v>19682</v>
      </c>
    </row>
    <row r="1293" spans="1:9" x14ac:dyDescent="0.25">
      <c r="A1293" s="36">
        <v>42896</v>
      </c>
      <c r="B1293" s="18">
        <v>115394</v>
      </c>
      <c r="C1293" s="235" t="s">
        <v>19677</v>
      </c>
      <c r="D1293" s="236" t="s">
        <v>15757</v>
      </c>
      <c r="E1293" s="15">
        <v>4853</v>
      </c>
      <c r="F1293" s="237">
        <v>42896</v>
      </c>
      <c r="G1293" s="15">
        <v>4853</v>
      </c>
      <c r="H1293" s="15">
        <f t="shared" si="20"/>
        <v>0</v>
      </c>
      <c r="I1293" s="236" t="s">
        <v>19682</v>
      </c>
    </row>
    <row r="1294" spans="1:9" x14ac:dyDescent="0.25">
      <c r="A1294" s="242">
        <v>42896</v>
      </c>
      <c r="B1294" s="18">
        <v>115395</v>
      </c>
      <c r="C1294" s="235" t="s">
        <v>19677</v>
      </c>
      <c r="D1294" s="236" t="s">
        <v>15350</v>
      </c>
      <c r="E1294" s="15">
        <v>1384.6</v>
      </c>
      <c r="F1294" s="237">
        <v>42896</v>
      </c>
      <c r="G1294" s="15">
        <v>1384.6</v>
      </c>
      <c r="H1294" s="15">
        <f t="shared" si="20"/>
        <v>0</v>
      </c>
      <c r="I1294" s="236" t="s">
        <v>19682</v>
      </c>
    </row>
    <row r="1295" spans="1:9" x14ac:dyDescent="0.25">
      <c r="A1295" s="36">
        <v>42896</v>
      </c>
      <c r="B1295" s="18">
        <v>115396</v>
      </c>
      <c r="C1295" s="235" t="s">
        <v>19677</v>
      </c>
      <c r="D1295" s="236" t="s">
        <v>15523</v>
      </c>
      <c r="E1295" s="15">
        <v>4613.8</v>
      </c>
      <c r="F1295" s="237">
        <v>42896</v>
      </c>
      <c r="G1295" s="15">
        <v>4613.8</v>
      </c>
      <c r="H1295" s="15">
        <f t="shared" si="20"/>
        <v>0</v>
      </c>
      <c r="I1295" s="236" t="s">
        <v>19682</v>
      </c>
    </row>
    <row r="1296" spans="1:9" x14ac:dyDescent="0.25">
      <c r="A1296" s="242">
        <v>42896</v>
      </c>
      <c r="B1296" s="18">
        <v>115397</v>
      </c>
      <c r="C1296" s="235" t="s">
        <v>19677</v>
      </c>
      <c r="D1296" s="236" t="s">
        <v>15334</v>
      </c>
      <c r="E1296" s="15">
        <v>1950</v>
      </c>
      <c r="F1296" s="237">
        <v>42896</v>
      </c>
      <c r="G1296" s="15">
        <v>1950</v>
      </c>
      <c r="H1296" s="15">
        <f t="shared" si="20"/>
        <v>0</v>
      </c>
      <c r="I1296" s="236" t="s">
        <v>19682</v>
      </c>
    </row>
    <row r="1297" spans="1:9" x14ac:dyDescent="0.25">
      <c r="A1297" s="36">
        <v>42896</v>
      </c>
      <c r="B1297" s="18">
        <v>115398</v>
      </c>
      <c r="C1297" s="235" t="s">
        <v>19677</v>
      </c>
      <c r="D1297" s="236" t="s">
        <v>15334</v>
      </c>
      <c r="E1297" s="15">
        <v>1102</v>
      </c>
      <c r="F1297" s="237">
        <v>42896</v>
      </c>
      <c r="G1297" s="15">
        <v>1102</v>
      </c>
      <c r="H1297" s="15">
        <f t="shared" si="20"/>
        <v>0</v>
      </c>
      <c r="I1297" s="236" t="s">
        <v>19682</v>
      </c>
    </row>
    <row r="1298" spans="1:9" x14ac:dyDescent="0.25">
      <c r="A1298" s="242">
        <v>42896</v>
      </c>
      <c r="B1298" s="18">
        <v>115399</v>
      </c>
      <c r="C1298" s="235" t="s">
        <v>19677</v>
      </c>
      <c r="D1298" s="236" t="s">
        <v>15246</v>
      </c>
      <c r="E1298" s="15">
        <v>3172.8</v>
      </c>
      <c r="F1298" s="237">
        <v>42898</v>
      </c>
      <c r="G1298" s="15">
        <v>3172.8</v>
      </c>
      <c r="H1298" s="15">
        <f t="shared" si="20"/>
        <v>0</v>
      </c>
      <c r="I1298" s="236" t="s">
        <v>19682</v>
      </c>
    </row>
    <row r="1299" spans="1:9" x14ac:dyDescent="0.25">
      <c r="A1299" s="36">
        <v>42896</v>
      </c>
      <c r="B1299" s="18">
        <v>115400</v>
      </c>
      <c r="C1299" s="235" t="s">
        <v>19677</v>
      </c>
      <c r="D1299" s="236" t="s">
        <v>15742</v>
      </c>
      <c r="E1299" s="15">
        <v>2162</v>
      </c>
      <c r="F1299" s="237">
        <v>42896</v>
      </c>
      <c r="G1299" s="15">
        <v>2162</v>
      </c>
      <c r="H1299" s="15">
        <f t="shared" si="20"/>
        <v>0</v>
      </c>
      <c r="I1299" s="236" t="s">
        <v>19682</v>
      </c>
    </row>
    <row r="1300" spans="1:9" x14ac:dyDescent="0.25">
      <c r="A1300" s="242">
        <v>42896</v>
      </c>
      <c r="B1300" s="18">
        <v>115401</v>
      </c>
      <c r="C1300" s="235" t="s">
        <v>19677</v>
      </c>
      <c r="D1300" s="236" t="s">
        <v>15263</v>
      </c>
      <c r="E1300" s="15">
        <v>882</v>
      </c>
      <c r="F1300" s="237">
        <v>42896</v>
      </c>
      <c r="G1300" s="15">
        <v>882</v>
      </c>
      <c r="H1300" s="15">
        <f t="shared" si="20"/>
        <v>0</v>
      </c>
      <c r="I1300" s="236" t="s">
        <v>19682</v>
      </c>
    </row>
    <row r="1301" spans="1:9" x14ac:dyDescent="0.25">
      <c r="A1301" s="36">
        <v>42896</v>
      </c>
      <c r="B1301" s="18">
        <v>115402</v>
      </c>
      <c r="C1301" s="235" t="s">
        <v>19677</v>
      </c>
      <c r="D1301" s="236" t="s">
        <v>15358</v>
      </c>
      <c r="E1301" s="15">
        <v>2664</v>
      </c>
      <c r="F1301" s="237">
        <v>42896</v>
      </c>
      <c r="G1301" s="15">
        <v>2664</v>
      </c>
      <c r="H1301" s="15">
        <f t="shared" si="20"/>
        <v>0</v>
      </c>
      <c r="I1301" s="236" t="s">
        <v>19682</v>
      </c>
    </row>
    <row r="1302" spans="1:9" x14ac:dyDescent="0.25">
      <c r="A1302" s="242">
        <v>42896</v>
      </c>
      <c r="B1302" s="18">
        <v>115403</v>
      </c>
      <c r="C1302" s="235" t="s">
        <v>19677</v>
      </c>
      <c r="D1302" s="236" t="s">
        <v>15336</v>
      </c>
      <c r="E1302" s="15">
        <v>9360</v>
      </c>
      <c r="F1302" s="237">
        <v>42896</v>
      </c>
      <c r="G1302" s="15">
        <v>9360</v>
      </c>
      <c r="H1302" s="15">
        <f t="shared" si="20"/>
        <v>0</v>
      </c>
      <c r="I1302" s="236" t="s">
        <v>19682</v>
      </c>
    </row>
    <row r="1303" spans="1:9" x14ac:dyDescent="0.25">
      <c r="A1303" s="36">
        <v>42896</v>
      </c>
      <c r="B1303" s="18">
        <v>115404</v>
      </c>
      <c r="C1303" s="235" t="s">
        <v>19677</v>
      </c>
      <c r="D1303" s="236" t="s">
        <v>15442</v>
      </c>
      <c r="E1303" s="15">
        <v>13889</v>
      </c>
      <c r="F1303" s="237">
        <v>42907</v>
      </c>
      <c r="G1303" s="15">
        <v>13889</v>
      </c>
      <c r="H1303" s="15">
        <f t="shared" si="20"/>
        <v>0</v>
      </c>
      <c r="I1303" s="236" t="s">
        <v>19682</v>
      </c>
    </row>
    <row r="1304" spans="1:9" x14ac:dyDescent="0.25">
      <c r="A1304" s="242">
        <v>42896</v>
      </c>
      <c r="B1304" s="18">
        <v>115405</v>
      </c>
      <c r="C1304" s="235" t="s">
        <v>19677</v>
      </c>
      <c r="D1304" s="236" t="s">
        <v>15332</v>
      </c>
      <c r="E1304" s="15">
        <v>3929.8</v>
      </c>
      <c r="F1304" s="237">
        <v>42896</v>
      </c>
      <c r="G1304" s="15">
        <v>3929.8</v>
      </c>
      <c r="H1304" s="15">
        <f t="shared" si="20"/>
        <v>0</v>
      </c>
      <c r="I1304" s="236" t="s">
        <v>19682</v>
      </c>
    </row>
    <row r="1305" spans="1:9" x14ac:dyDescent="0.25">
      <c r="A1305" s="36">
        <v>42896</v>
      </c>
      <c r="B1305" s="18">
        <v>115406</v>
      </c>
      <c r="C1305" s="235" t="s">
        <v>19677</v>
      </c>
      <c r="D1305" s="236" t="s">
        <v>15248</v>
      </c>
      <c r="E1305" s="15">
        <v>25483.7</v>
      </c>
      <c r="F1305" s="237">
        <v>42896</v>
      </c>
      <c r="G1305" s="15">
        <v>25483.7</v>
      </c>
      <c r="H1305" s="15">
        <f t="shared" si="20"/>
        <v>0</v>
      </c>
      <c r="I1305" s="236" t="s">
        <v>19682</v>
      </c>
    </row>
    <row r="1306" spans="1:9" x14ac:dyDescent="0.25">
      <c r="A1306" s="242">
        <v>42896</v>
      </c>
      <c r="B1306" s="18">
        <v>115407</v>
      </c>
      <c r="C1306" s="235" t="s">
        <v>19677</v>
      </c>
      <c r="D1306" s="236" t="s">
        <v>15912</v>
      </c>
      <c r="E1306" s="15">
        <v>1490.96</v>
      </c>
      <c r="F1306" s="237">
        <v>42896</v>
      </c>
      <c r="G1306" s="15">
        <v>1490.96</v>
      </c>
      <c r="H1306" s="15">
        <f t="shared" si="20"/>
        <v>0</v>
      </c>
      <c r="I1306" s="236" t="s">
        <v>19682</v>
      </c>
    </row>
    <row r="1307" spans="1:9" x14ac:dyDescent="0.25">
      <c r="A1307" s="36">
        <v>42896</v>
      </c>
      <c r="B1307" s="18">
        <v>115408</v>
      </c>
      <c r="C1307" s="235" t="s">
        <v>19677</v>
      </c>
      <c r="D1307" s="236" t="s">
        <v>15398</v>
      </c>
      <c r="E1307" s="15">
        <v>598.1</v>
      </c>
      <c r="F1307" s="237">
        <v>42896</v>
      </c>
      <c r="G1307" s="15">
        <v>598.1</v>
      </c>
      <c r="H1307" s="15">
        <f t="shared" si="20"/>
        <v>0</v>
      </c>
      <c r="I1307" s="236" t="s">
        <v>19682</v>
      </c>
    </row>
    <row r="1308" spans="1:9" x14ac:dyDescent="0.25">
      <c r="A1308" s="242">
        <v>42896</v>
      </c>
      <c r="B1308" s="18">
        <v>115409</v>
      </c>
      <c r="C1308" s="235" t="s">
        <v>19677</v>
      </c>
      <c r="D1308" s="236" t="s">
        <v>15391</v>
      </c>
      <c r="E1308" s="15">
        <v>10983</v>
      </c>
      <c r="F1308" s="237">
        <v>42896</v>
      </c>
      <c r="G1308" s="15">
        <v>10983</v>
      </c>
      <c r="H1308" s="15">
        <f t="shared" si="20"/>
        <v>0</v>
      </c>
      <c r="I1308" s="236" t="s">
        <v>19682</v>
      </c>
    </row>
    <row r="1309" spans="1:9" x14ac:dyDescent="0.25">
      <c r="A1309" s="36">
        <v>42896</v>
      </c>
      <c r="B1309" s="18">
        <v>115410</v>
      </c>
      <c r="C1309" s="235" t="s">
        <v>19677</v>
      </c>
      <c r="D1309" s="236" t="s">
        <v>15592</v>
      </c>
      <c r="E1309" s="15">
        <v>12362.2</v>
      </c>
      <c r="F1309" s="237">
        <v>42896</v>
      </c>
      <c r="G1309" s="15">
        <v>12362.2</v>
      </c>
      <c r="H1309" s="15">
        <f t="shared" si="20"/>
        <v>0</v>
      </c>
      <c r="I1309" s="236" t="s">
        <v>19682</v>
      </c>
    </row>
    <row r="1310" spans="1:9" x14ac:dyDescent="0.25">
      <c r="A1310" s="242">
        <v>42896</v>
      </c>
      <c r="B1310" s="18">
        <v>115411</v>
      </c>
      <c r="C1310" s="235" t="s">
        <v>19677</v>
      </c>
      <c r="D1310" s="236" t="s">
        <v>15315</v>
      </c>
      <c r="E1310" s="15">
        <v>3211.2</v>
      </c>
      <c r="F1310" s="237">
        <v>42896</v>
      </c>
      <c r="G1310" s="15">
        <v>3211.2</v>
      </c>
      <c r="H1310" s="15">
        <f t="shared" si="20"/>
        <v>0</v>
      </c>
      <c r="I1310" s="236" t="s">
        <v>19682</v>
      </c>
    </row>
    <row r="1311" spans="1:9" x14ac:dyDescent="0.25">
      <c r="A1311" s="36">
        <v>42896</v>
      </c>
      <c r="B1311" s="18">
        <v>115412</v>
      </c>
      <c r="C1311" s="235" t="s">
        <v>19677</v>
      </c>
      <c r="D1311" s="236" t="s">
        <v>15369</v>
      </c>
      <c r="E1311" s="15">
        <v>16797.5</v>
      </c>
      <c r="F1311" s="237">
        <v>42916</v>
      </c>
      <c r="G1311" s="15">
        <v>16797.5</v>
      </c>
      <c r="H1311" s="15">
        <f t="shared" si="20"/>
        <v>0</v>
      </c>
      <c r="I1311" s="236" t="s">
        <v>19682</v>
      </c>
    </row>
    <row r="1312" spans="1:9" x14ac:dyDescent="0.25">
      <c r="A1312" s="242">
        <v>42896</v>
      </c>
      <c r="B1312" s="18">
        <v>115413</v>
      </c>
      <c r="C1312" s="235" t="s">
        <v>19677</v>
      </c>
      <c r="D1312" s="236" t="s">
        <v>15389</v>
      </c>
      <c r="E1312" s="15">
        <v>19474.3</v>
      </c>
      <c r="F1312" s="237">
        <v>42916</v>
      </c>
      <c r="G1312" s="15">
        <v>19474.3</v>
      </c>
      <c r="H1312" s="15">
        <f t="shared" si="20"/>
        <v>0</v>
      </c>
      <c r="I1312" s="236" t="s">
        <v>19682</v>
      </c>
    </row>
    <row r="1313" spans="1:9" x14ac:dyDescent="0.25">
      <c r="A1313" s="36">
        <v>42896</v>
      </c>
      <c r="B1313" s="18">
        <v>115414</v>
      </c>
      <c r="C1313" s="235" t="s">
        <v>19677</v>
      </c>
      <c r="D1313" s="236" t="s">
        <v>15378</v>
      </c>
      <c r="E1313" s="15">
        <v>833</v>
      </c>
      <c r="F1313" s="237">
        <v>42896</v>
      </c>
      <c r="G1313" s="15">
        <v>833</v>
      </c>
      <c r="H1313" s="15">
        <f t="shared" si="20"/>
        <v>0</v>
      </c>
      <c r="I1313" s="236" t="s">
        <v>19682</v>
      </c>
    </row>
    <row r="1314" spans="1:9" x14ac:dyDescent="0.25">
      <c r="A1314" s="242">
        <v>42896</v>
      </c>
      <c r="B1314" s="18">
        <v>115415</v>
      </c>
      <c r="C1314" s="235" t="s">
        <v>19677</v>
      </c>
      <c r="D1314" s="236" t="s">
        <v>15555</v>
      </c>
      <c r="E1314" s="15">
        <v>32689.3</v>
      </c>
      <c r="F1314" s="237">
        <v>42902</v>
      </c>
      <c r="G1314" s="15">
        <v>32689.3</v>
      </c>
      <c r="H1314" s="15">
        <f t="shared" si="20"/>
        <v>0</v>
      </c>
      <c r="I1314" s="236" t="s">
        <v>19682</v>
      </c>
    </row>
    <row r="1315" spans="1:9" x14ac:dyDescent="0.25">
      <c r="A1315" s="36">
        <v>42896</v>
      </c>
      <c r="B1315" s="18">
        <v>115416</v>
      </c>
      <c r="C1315" s="235" t="s">
        <v>19677</v>
      </c>
      <c r="D1315" s="236" t="s">
        <v>15378</v>
      </c>
      <c r="E1315" s="15">
        <v>210</v>
      </c>
      <c r="F1315" s="237">
        <v>42896</v>
      </c>
      <c r="G1315" s="15">
        <v>210</v>
      </c>
      <c r="H1315" s="15">
        <f t="shared" si="20"/>
        <v>0</v>
      </c>
      <c r="I1315" s="236" t="s">
        <v>19682</v>
      </c>
    </row>
    <row r="1316" spans="1:9" x14ac:dyDescent="0.25">
      <c r="A1316" s="242">
        <v>42896</v>
      </c>
      <c r="B1316" s="18">
        <v>115417</v>
      </c>
      <c r="C1316" s="235" t="s">
        <v>19677</v>
      </c>
      <c r="D1316" s="236" t="s">
        <v>15396</v>
      </c>
      <c r="E1316" s="15">
        <v>7829.62</v>
      </c>
      <c r="F1316" s="237">
        <v>42896</v>
      </c>
      <c r="G1316" s="15">
        <v>7829.62</v>
      </c>
      <c r="H1316" s="15">
        <f t="shared" si="20"/>
        <v>0</v>
      </c>
      <c r="I1316" s="236" t="s">
        <v>19682</v>
      </c>
    </row>
    <row r="1317" spans="1:9" x14ac:dyDescent="0.25">
      <c r="A1317" s="36">
        <v>42896</v>
      </c>
      <c r="B1317" s="18">
        <v>115418</v>
      </c>
      <c r="C1317" s="235" t="s">
        <v>19677</v>
      </c>
      <c r="D1317" s="236" t="s">
        <v>15276</v>
      </c>
      <c r="E1317" s="15">
        <v>4600</v>
      </c>
      <c r="F1317" s="237">
        <v>42898</v>
      </c>
      <c r="G1317" s="15">
        <v>4600</v>
      </c>
      <c r="H1317" s="15">
        <f t="shared" si="20"/>
        <v>0</v>
      </c>
      <c r="I1317" s="236" t="s">
        <v>19682</v>
      </c>
    </row>
    <row r="1318" spans="1:9" x14ac:dyDescent="0.25">
      <c r="A1318" s="242">
        <v>42896</v>
      </c>
      <c r="B1318" s="18">
        <v>115419</v>
      </c>
      <c r="C1318" s="235" t="s">
        <v>19677</v>
      </c>
      <c r="D1318" s="236" t="s">
        <v>15291</v>
      </c>
      <c r="E1318" s="15">
        <v>552</v>
      </c>
      <c r="F1318" s="237">
        <v>42898</v>
      </c>
      <c r="G1318" s="15">
        <v>552</v>
      </c>
      <c r="H1318" s="15">
        <f t="shared" si="20"/>
        <v>0</v>
      </c>
      <c r="I1318" s="236" t="s">
        <v>19682</v>
      </c>
    </row>
    <row r="1319" spans="1:9" x14ac:dyDescent="0.25">
      <c r="A1319" s="36">
        <v>42896</v>
      </c>
      <c r="B1319" s="18">
        <v>115420</v>
      </c>
      <c r="C1319" s="235" t="s">
        <v>19677</v>
      </c>
      <c r="D1319" s="236" t="s">
        <v>15291</v>
      </c>
      <c r="E1319" s="15">
        <v>2898</v>
      </c>
      <c r="F1319" s="237">
        <v>42898</v>
      </c>
      <c r="G1319" s="15">
        <v>2898</v>
      </c>
      <c r="H1319" s="15">
        <f t="shared" si="20"/>
        <v>0</v>
      </c>
      <c r="I1319" s="236" t="s">
        <v>19682</v>
      </c>
    </row>
    <row r="1320" spans="1:9" x14ac:dyDescent="0.25">
      <c r="A1320" s="242">
        <v>42896</v>
      </c>
      <c r="B1320" s="18">
        <v>115421</v>
      </c>
      <c r="C1320" s="235" t="s">
        <v>19677</v>
      </c>
      <c r="D1320" s="236" t="s">
        <v>15583</v>
      </c>
      <c r="E1320" s="15">
        <v>1515</v>
      </c>
      <c r="F1320" s="237">
        <v>42898</v>
      </c>
      <c r="G1320" s="15">
        <v>1515</v>
      </c>
      <c r="H1320" s="15">
        <f t="shared" si="20"/>
        <v>0</v>
      </c>
      <c r="I1320" s="236" t="s">
        <v>19682</v>
      </c>
    </row>
    <row r="1321" spans="1:9" x14ac:dyDescent="0.25">
      <c r="A1321" s="36">
        <v>42896</v>
      </c>
      <c r="B1321" s="18">
        <v>115422</v>
      </c>
      <c r="C1321" s="235" t="s">
        <v>19677</v>
      </c>
      <c r="D1321" s="236" t="s">
        <v>15307</v>
      </c>
      <c r="E1321" s="15">
        <v>1994.6</v>
      </c>
      <c r="F1321" s="237">
        <v>42898</v>
      </c>
      <c r="G1321" s="15">
        <v>1994.6</v>
      </c>
      <c r="H1321" s="15">
        <f t="shared" si="20"/>
        <v>0</v>
      </c>
      <c r="I1321" s="236" t="s">
        <v>19682</v>
      </c>
    </row>
    <row r="1322" spans="1:9" x14ac:dyDescent="0.25">
      <c r="A1322" s="242">
        <v>42896</v>
      </c>
      <c r="B1322" s="18">
        <v>115423</v>
      </c>
      <c r="C1322" s="235" t="s">
        <v>19677</v>
      </c>
      <c r="D1322" s="236" t="s">
        <v>15396</v>
      </c>
      <c r="E1322" s="15">
        <v>322</v>
      </c>
      <c r="F1322" s="237">
        <v>42896</v>
      </c>
      <c r="G1322" s="15">
        <v>322</v>
      </c>
      <c r="H1322" s="15">
        <f t="shared" si="20"/>
        <v>0</v>
      </c>
      <c r="I1322" s="236" t="s">
        <v>19682</v>
      </c>
    </row>
    <row r="1323" spans="1:9" x14ac:dyDescent="0.25">
      <c r="A1323" s="36">
        <v>42896</v>
      </c>
      <c r="B1323" s="18">
        <v>115424</v>
      </c>
      <c r="C1323" s="235" t="s">
        <v>19677</v>
      </c>
      <c r="D1323" s="236" t="s">
        <v>15309</v>
      </c>
      <c r="E1323" s="15">
        <v>6420.3</v>
      </c>
      <c r="F1323" s="237">
        <v>42898</v>
      </c>
      <c r="G1323" s="15">
        <v>6420.3</v>
      </c>
      <c r="H1323" s="15">
        <f t="shared" si="20"/>
        <v>0</v>
      </c>
      <c r="I1323" s="236" t="s">
        <v>19682</v>
      </c>
    </row>
    <row r="1324" spans="1:9" x14ac:dyDescent="0.25">
      <c r="A1324" s="242">
        <v>42896</v>
      </c>
      <c r="B1324" s="18">
        <v>115425</v>
      </c>
      <c r="C1324" s="235" t="s">
        <v>19677</v>
      </c>
      <c r="D1324" s="236" t="s">
        <v>17800</v>
      </c>
      <c r="E1324" s="15">
        <v>3839</v>
      </c>
      <c r="F1324" s="237">
        <v>42898</v>
      </c>
      <c r="G1324" s="15">
        <v>3839</v>
      </c>
      <c r="H1324" s="15">
        <f t="shared" si="20"/>
        <v>0</v>
      </c>
      <c r="I1324" s="236" t="s">
        <v>19682</v>
      </c>
    </row>
    <row r="1325" spans="1:9" x14ac:dyDescent="0.25">
      <c r="A1325" s="36">
        <v>42896</v>
      </c>
      <c r="B1325" s="18">
        <v>115426</v>
      </c>
      <c r="C1325" s="235" t="s">
        <v>19677</v>
      </c>
      <c r="D1325" s="236" t="s">
        <v>15415</v>
      </c>
      <c r="E1325" s="15">
        <v>256.2</v>
      </c>
      <c r="F1325" s="237">
        <v>42898</v>
      </c>
      <c r="G1325" s="15">
        <v>256.2</v>
      </c>
      <c r="H1325" s="15">
        <f t="shared" si="20"/>
        <v>0</v>
      </c>
      <c r="I1325" s="236" t="s">
        <v>19682</v>
      </c>
    </row>
    <row r="1326" spans="1:9" x14ac:dyDescent="0.25">
      <c r="A1326" s="242">
        <v>42896</v>
      </c>
      <c r="B1326" s="18">
        <v>115427</v>
      </c>
      <c r="C1326" s="235" t="s">
        <v>19677</v>
      </c>
      <c r="D1326" s="236" t="s">
        <v>15301</v>
      </c>
      <c r="E1326" s="15">
        <v>3690</v>
      </c>
      <c r="F1326" s="237">
        <v>42898</v>
      </c>
      <c r="G1326" s="15">
        <v>3690</v>
      </c>
      <c r="H1326" s="15">
        <f t="shared" si="20"/>
        <v>0</v>
      </c>
      <c r="I1326" s="236" t="s">
        <v>19682</v>
      </c>
    </row>
    <row r="1327" spans="1:9" x14ac:dyDescent="0.25">
      <c r="A1327" s="36">
        <v>42896</v>
      </c>
      <c r="B1327" s="18">
        <v>115428</v>
      </c>
      <c r="C1327" s="235" t="s">
        <v>19677</v>
      </c>
      <c r="D1327" s="236" t="s">
        <v>15294</v>
      </c>
      <c r="E1327" s="15">
        <v>370</v>
      </c>
      <c r="F1327" s="237">
        <v>42896</v>
      </c>
      <c r="G1327" s="15">
        <v>370</v>
      </c>
      <c r="H1327" s="15">
        <f t="shared" si="20"/>
        <v>0</v>
      </c>
      <c r="I1327" s="236" t="s">
        <v>19682</v>
      </c>
    </row>
    <row r="1328" spans="1:9" x14ac:dyDescent="0.25">
      <c r="A1328" s="242">
        <v>42896</v>
      </c>
      <c r="B1328" s="18">
        <v>115429</v>
      </c>
      <c r="C1328" s="235" t="s">
        <v>19677</v>
      </c>
      <c r="D1328" s="236" t="s">
        <v>15305</v>
      </c>
      <c r="E1328" s="15">
        <v>432</v>
      </c>
      <c r="F1328" s="237">
        <v>42898</v>
      </c>
      <c r="G1328" s="15">
        <v>432</v>
      </c>
      <c r="H1328" s="15">
        <f t="shared" si="20"/>
        <v>0</v>
      </c>
      <c r="I1328" s="236" t="s">
        <v>19682</v>
      </c>
    </row>
    <row r="1329" spans="1:9" x14ac:dyDescent="0.25">
      <c r="A1329" s="36">
        <v>42896</v>
      </c>
      <c r="B1329" s="18">
        <v>115430</v>
      </c>
      <c r="C1329" s="235" t="s">
        <v>19677</v>
      </c>
      <c r="D1329" s="236" t="s">
        <v>15833</v>
      </c>
      <c r="E1329" s="15">
        <v>15854</v>
      </c>
      <c r="F1329" s="237">
        <v>42900</v>
      </c>
      <c r="G1329" s="15">
        <v>15854</v>
      </c>
      <c r="H1329" s="15">
        <f t="shared" si="20"/>
        <v>0</v>
      </c>
      <c r="I1329" s="236" t="s">
        <v>19682</v>
      </c>
    </row>
    <row r="1330" spans="1:9" x14ac:dyDescent="0.25">
      <c r="A1330" s="242">
        <v>42896</v>
      </c>
      <c r="B1330" s="18">
        <v>115431</v>
      </c>
      <c r="C1330" s="235" t="s">
        <v>19677</v>
      </c>
      <c r="D1330" s="236" t="s">
        <v>15315</v>
      </c>
      <c r="E1330" s="15">
        <v>902.4</v>
      </c>
      <c r="F1330" s="237">
        <v>42896</v>
      </c>
      <c r="G1330" s="15">
        <v>902.4</v>
      </c>
      <c r="H1330" s="15">
        <f t="shared" si="20"/>
        <v>0</v>
      </c>
      <c r="I1330" s="236" t="s">
        <v>19682</v>
      </c>
    </row>
    <row r="1331" spans="1:9" x14ac:dyDescent="0.25">
      <c r="A1331" s="36">
        <v>42896</v>
      </c>
      <c r="B1331" s="18">
        <v>115432</v>
      </c>
      <c r="C1331" s="235" t="s">
        <v>19677</v>
      </c>
      <c r="D1331" s="236" t="s">
        <v>15315</v>
      </c>
      <c r="E1331" s="15">
        <v>3467.1</v>
      </c>
      <c r="F1331" s="237">
        <v>42900</v>
      </c>
      <c r="G1331" s="15">
        <v>3467.1</v>
      </c>
      <c r="H1331" s="15">
        <f t="shared" si="20"/>
        <v>0</v>
      </c>
      <c r="I1331" s="236" t="s">
        <v>19682</v>
      </c>
    </row>
    <row r="1332" spans="1:9" ht="15.75" x14ac:dyDescent="0.25">
      <c r="A1332" s="242">
        <v>42896</v>
      </c>
      <c r="B1332" s="18">
        <v>115433</v>
      </c>
      <c r="C1332" s="235" t="s">
        <v>19677</v>
      </c>
      <c r="D1332" s="239" t="s">
        <v>95</v>
      </c>
      <c r="E1332" s="15">
        <v>0</v>
      </c>
      <c r="F1332" s="240" t="s">
        <v>95</v>
      </c>
      <c r="G1332" s="15">
        <v>0</v>
      </c>
      <c r="H1332" s="15">
        <f t="shared" si="20"/>
        <v>0</v>
      </c>
      <c r="I1332" s="236" t="s">
        <v>19678</v>
      </c>
    </row>
    <row r="1333" spans="1:9" x14ac:dyDescent="0.25">
      <c r="A1333" s="36">
        <v>42896</v>
      </c>
      <c r="B1333" s="18">
        <v>115434</v>
      </c>
      <c r="C1333" s="235" t="s">
        <v>19677</v>
      </c>
      <c r="D1333" s="236" t="s">
        <v>15566</v>
      </c>
      <c r="E1333" s="15">
        <v>3886.6</v>
      </c>
      <c r="F1333" s="237">
        <v>42896</v>
      </c>
      <c r="G1333" s="15">
        <v>3886.6</v>
      </c>
      <c r="H1333" s="15">
        <f t="shared" si="20"/>
        <v>0</v>
      </c>
      <c r="I1333" s="236" t="s">
        <v>19682</v>
      </c>
    </row>
    <row r="1334" spans="1:9" x14ac:dyDescent="0.25">
      <c r="A1334" s="242">
        <v>42896</v>
      </c>
      <c r="B1334" s="18">
        <v>115435</v>
      </c>
      <c r="C1334" s="235" t="s">
        <v>19677</v>
      </c>
      <c r="D1334" s="236" t="s">
        <v>15699</v>
      </c>
      <c r="E1334" s="15">
        <v>3385.2</v>
      </c>
      <c r="F1334" s="237">
        <v>42909</v>
      </c>
      <c r="G1334" s="15">
        <v>3385.2</v>
      </c>
      <c r="H1334" s="15">
        <f t="shared" si="20"/>
        <v>0</v>
      </c>
      <c r="I1334" s="236" t="s">
        <v>19682</v>
      </c>
    </row>
    <row r="1335" spans="1:9" x14ac:dyDescent="0.25">
      <c r="A1335" s="36">
        <v>42896</v>
      </c>
      <c r="B1335" s="18">
        <v>115436</v>
      </c>
      <c r="C1335" s="235" t="s">
        <v>19677</v>
      </c>
      <c r="D1335" s="236" t="s">
        <v>15417</v>
      </c>
      <c r="E1335" s="15">
        <v>3636</v>
      </c>
      <c r="F1335" s="237">
        <v>42898</v>
      </c>
      <c r="G1335" s="15">
        <v>3636</v>
      </c>
      <c r="H1335" s="15">
        <f t="shared" si="20"/>
        <v>0</v>
      </c>
      <c r="I1335" s="236" t="s">
        <v>19682</v>
      </c>
    </row>
    <row r="1336" spans="1:9" x14ac:dyDescent="0.25">
      <c r="A1336" s="242">
        <v>42896</v>
      </c>
      <c r="B1336" s="18">
        <v>115437</v>
      </c>
      <c r="C1336" s="235" t="s">
        <v>19677</v>
      </c>
      <c r="D1336" s="236" t="s">
        <v>15326</v>
      </c>
      <c r="E1336" s="15">
        <v>4727.6000000000004</v>
      </c>
      <c r="F1336" s="237">
        <v>42896</v>
      </c>
      <c r="G1336" s="15">
        <v>4727.6000000000004</v>
      </c>
      <c r="H1336" s="15">
        <f t="shared" si="20"/>
        <v>0</v>
      </c>
      <c r="I1336" s="236" t="s">
        <v>19682</v>
      </c>
    </row>
    <row r="1337" spans="1:9" x14ac:dyDescent="0.25">
      <c r="A1337" s="36">
        <v>42896</v>
      </c>
      <c r="B1337" s="18">
        <v>115438</v>
      </c>
      <c r="C1337" s="235" t="s">
        <v>19677</v>
      </c>
      <c r="D1337" s="236" t="s">
        <v>15555</v>
      </c>
      <c r="E1337" s="15">
        <v>1149.5999999999999</v>
      </c>
      <c r="F1337" s="237">
        <v>42902</v>
      </c>
      <c r="G1337" s="15">
        <v>1149.5999999999999</v>
      </c>
      <c r="H1337" s="15">
        <f t="shared" si="20"/>
        <v>0</v>
      </c>
      <c r="I1337" s="236" t="s">
        <v>19682</v>
      </c>
    </row>
    <row r="1338" spans="1:9" x14ac:dyDescent="0.25">
      <c r="A1338" s="242">
        <v>42896</v>
      </c>
      <c r="B1338" s="18">
        <v>115439</v>
      </c>
      <c r="C1338" s="235" t="s">
        <v>19677</v>
      </c>
      <c r="D1338" s="236" t="s">
        <v>19726</v>
      </c>
      <c r="E1338" s="15">
        <v>7000</v>
      </c>
      <c r="F1338" s="237">
        <v>42898</v>
      </c>
      <c r="G1338" s="15">
        <v>7000</v>
      </c>
      <c r="H1338" s="15">
        <f t="shared" si="20"/>
        <v>0</v>
      </c>
      <c r="I1338" s="236" t="s">
        <v>19682</v>
      </c>
    </row>
    <row r="1339" spans="1:9" x14ac:dyDescent="0.25">
      <c r="A1339" s="36">
        <v>42896</v>
      </c>
      <c r="B1339" s="18">
        <v>115440</v>
      </c>
      <c r="C1339" s="235" t="s">
        <v>19677</v>
      </c>
      <c r="D1339" s="236" t="s">
        <v>15539</v>
      </c>
      <c r="E1339" s="15">
        <v>23621</v>
      </c>
      <c r="F1339" s="237">
        <v>42900</v>
      </c>
      <c r="G1339" s="15">
        <v>23621</v>
      </c>
      <c r="H1339" s="15">
        <f t="shared" si="20"/>
        <v>0</v>
      </c>
      <c r="I1339" s="236" t="s">
        <v>19682</v>
      </c>
    </row>
    <row r="1340" spans="1:9" x14ac:dyDescent="0.25">
      <c r="A1340" s="242">
        <v>42896</v>
      </c>
      <c r="B1340" s="18">
        <v>115441</v>
      </c>
      <c r="C1340" s="235" t="s">
        <v>19677</v>
      </c>
      <c r="D1340" s="236" t="s">
        <v>18076</v>
      </c>
      <c r="E1340" s="15">
        <v>5414.4</v>
      </c>
      <c r="F1340" s="237">
        <v>42896</v>
      </c>
      <c r="G1340" s="15">
        <v>5414.4</v>
      </c>
      <c r="H1340" s="15">
        <f t="shared" si="20"/>
        <v>0</v>
      </c>
      <c r="I1340" s="236" t="s">
        <v>19682</v>
      </c>
    </row>
    <row r="1341" spans="1:9" x14ac:dyDescent="0.25">
      <c r="A1341" s="36">
        <v>42896</v>
      </c>
      <c r="B1341" s="18">
        <v>115442</v>
      </c>
      <c r="C1341" s="235" t="s">
        <v>19677</v>
      </c>
      <c r="D1341" s="236" t="s">
        <v>15246</v>
      </c>
      <c r="E1341" s="15">
        <v>2340</v>
      </c>
      <c r="F1341" s="237">
        <v>42898</v>
      </c>
      <c r="G1341" s="15">
        <v>2340</v>
      </c>
      <c r="H1341" s="15">
        <f t="shared" si="20"/>
        <v>0</v>
      </c>
      <c r="I1341" s="236" t="s">
        <v>19682</v>
      </c>
    </row>
    <row r="1342" spans="1:9" x14ac:dyDescent="0.25">
      <c r="A1342" s="242">
        <v>42896</v>
      </c>
      <c r="B1342" s="18">
        <v>115443</v>
      </c>
      <c r="C1342" s="235" t="s">
        <v>19677</v>
      </c>
      <c r="D1342" s="236" t="s">
        <v>17235</v>
      </c>
      <c r="E1342" s="15">
        <v>1089.5999999999999</v>
      </c>
      <c r="F1342" s="237">
        <v>42898</v>
      </c>
      <c r="G1342" s="15">
        <v>1089.5999999999999</v>
      </c>
      <c r="H1342" s="15">
        <f t="shared" si="20"/>
        <v>0</v>
      </c>
      <c r="I1342" s="236" t="s">
        <v>19682</v>
      </c>
    </row>
    <row r="1343" spans="1:9" x14ac:dyDescent="0.25">
      <c r="A1343" s="36">
        <v>42896</v>
      </c>
      <c r="B1343" s="18">
        <v>115444</v>
      </c>
      <c r="C1343" s="235" t="s">
        <v>19677</v>
      </c>
      <c r="D1343" s="236" t="s">
        <v>15745</v>
      </c>
      <c r="E1343" s="15">
        <v>2903.2</v>
      </c>
      <c r="F1343" s="237">
        <v>42898</v>
      </c>
      <c r="G1343" s="15">
        <v>2903.2</v>
      </c>
      <c r="H1343" s="15">
        <f t="shared" si="20"/>
        <v>0</v>
      </c>
      <c r="I1343" s="236" t="s">
        <v>19682</v>
      </c>
    </row>
    <row r="1344" spans="1:9" x14ac:dyDescent="0.25">
      <c r="A1344" s="242">
        <v>42896</v>
      </c>
      <c r="B1344" s="18">
        <v>115445</v>
      </c>
      <c r="C1344" s="235" t="s">
        <v>19677</v>
      </c>
      <c r="D1344" s="236" t="s">
        <v>16288</v>
      </c>
      <c r="E1344" s="15">
        <v>1183.2</v>
      </c>
      <c r="F1344" s="237">
        <v>42898</v>
      </c>
      <c r="G1344" s="15">
        <v>1183.2</v>
      </c>
      <c r="H1344" s="15">
        <f t="shared" si="20"/>
        <v>0</v>
      </c>
      <c r="I1344" s="236" t="s">
        <v>19682</v>
      </c>
    </row>
    <row r="1345" spans="1:9" x14ac:dyDescent="0.25">
      <c r="A1345" s="36">
        <v>42896</v>
      </c>
      <c r="B1345" s="18">
        <v>115446</v>
      </c>
      <c r="C1345" s="235" t="s">
        <v>19677</v>
      </c>
      <c r="D1345" s="236" t="s">
        <v>15745</v>
      </c>
      <c r="E1345" s="15">
        <v>476</v>
      </c>
      <c r="F1345" s="237">
        <v>42898</v>
      </c>
      <c r="G1345" s="15">
        <v>476</v>
      </c>
      <c r="H1345" s="15">
        <f t="shared" si="20"/>
        <v>0</v>
      </c>
      <c r="I1345" s="236" t="s">
        <v>19682</v>
      </c>
    </row>
    <row r="1346" spans="1:9" x14ac:dyDescent="0.25">
      <c r="A1346" s="242">
        <v>42896</v>
      </c>
      <c r="B1346" s="18">
        <v>115447</v>
      </c>
      <c r="C1346" s="235" t="s">
        <v>19677</v>
      </c>
      <c r="D1346" s="236" t="s">
        <v>15315</v>
      </c>
      <c r="E1346" s="15">
        <v>2300</v>
      </c>
      <c r="F1346" s="237">
        <v>42896</v>
      </c>
      <c r="G1346" s="15">
        <v>2300</v>
      </c>
      <c r="H1346" s="15">
        <f t="shared" ref="H1346:H1409" si="21">E1346-G1346</f>
        <v>0</v>
      </c>
      <c r="I1346" s="236" t="s">
        <v>19682</v>
      </c>
    </row>
    <row r="1347" spans="1:9" x14ac:dyDescent="0.25">
      <c r="A1347" s="36">
        <v>42896</v>
      </c>
      <c r="B1347" s="18">
        <v>115448</v>
      </c>
      <c r="C1347" s="235" t="s">
        <v>19677</v>
      </c>
      <c r="D1347" s="236" t="s">
        <v>15537</v>
      </c>
      <c r="E1347" s="15">
        <v>21802.799999999999</v>
      </c>
      <c r="F1347" s="237">
        <v>42900</v>
      </c>
      <c r="G1347" s="15">
        <v>21802.799999999999</v>
      </c>
      <c r="H1347" s="15">
        <f t="shared" si="21"/>
        <v>0</v>
      </c>
      <c r="I1347" s="236" t="s">
        <v>19682</v>
      </c>
    </row>
    <row r="1348" spans="1:9" x14ac:dyDescent="0.25">
      <c r="A1348" s="242">
        <v>42896</v>
      </c>
      <c r="B1348" s="18">
        <v>115449</v>
      </c>
      <c r="C1348" s="235" t="s">
        <v>19677</v>
      </c>
      <c r="D1348" s="236" t="s">
        <v>15920</v>
      </c>
      <c r="E1348" s="15">
        <v>1652</v>
      </c>
      <c r="F1348" s="237">
        <v>42898</v>
      </c>
      <c r="G1348" s="15">
        <v>1652</v>
      </c>
      <c r="H1348" s="15">
        <f t="shared" si="21"/>
        <v>0</v>
      </c>
      <c r="I1348" s="236" t="s">
        <v>19682</v>
      </c>
    </row>
    <row r="1349" spans="1:9" ht="15.75" x14ac:dyDescent="0.25">
      <c r="A1349" s="36">
        <v>42896</v>
      </c>
      <c r="B1349" s="18">
        <v>115450</v>
      </c>
      <c r="C1349" s="235" t="s">
        <v>19677</v>
      </c>
      <c r="D1349" s="239" t="s">
        <v>95</v>
      </c>
      <c r="E1349" s="15">
        <v>0</v>
      </c>
      <c r="F1349" s="243" t="s">
        <v>95</v>
      </c>
      <c r="G1349" s="15">
        <v>0</v>
      </c>
      <c r="H1349" s="15">
        <f t="shared" si="21"/>
        <v>0</v>
      </c>
      <c r="I1349" s="236" t="s">
        <v>19678</v>
      </c>
    </row>
    <row r="1350" spans="1:9" x14ac:dyDescent="0.25">
      <c r="A1350" s="242">
        <v>42896</v>
      </c>
      <c r="B1350" s="18">
        <v>115451</v>
      </c>
      <c r="C1350" s="235" t="s">
        <v>19677</v>
      </c>
      <c r="D1350" s="236" t="s">
        <v>16093</v>
      </c>
      <c r="E1350" s="15">
        <v>3095</v>
      </c>
      <c r="F1350" s="237">
        <v>42898</v>
      </c>
      <c r="G1350" s="15">
        <v>3095</v>
      </c>
      <c r="H1350" s="15">
        <f t="shared" si="21"/>
        <v>0</v>
      </c>
      <c r="I1350" s="236" t="s">
        <v>19682</v>
      </c>
    </row>
    <row r="1351" spans="1:9" x14ac:dyDescent="0.25">
      <c r="A1351" s="36">
        <v>42896</v>
      </c>
      <c r="B1351" s="18">
        <v>115452</v>
      </c>
      <c r="C1351" s="235" t="s">
        <v>19677</v>
      </c>
      <c r="D1351" s="236" t="s">
        <v>15728</v>
      </c>
      <c r="E1351" s="15">
        <v>20512.2</v>
      </c>
      <c r="F1351" s="237">
        <v>42896</v>
      </c>
      <c r="G1351" s="15">
        <v>20512.2</v>
      </c>
      <c r="H1351" s="15">
        <f t="shared" si="21"/>
        <v>0</v>
      </c>
      <c r="I1351" s="236" t="s">
        <v>19682</v>
      </c>
    </row>
    <row r="1352" spans="1:9" x14ac:dyDescent="0.25">
      <c r="A1352" s="242">
        <v>42896</v>
      </c>
      <c r="B1352" s="18">
        <v>115453</v>
      </c>
      <c r="C1352" s="235" t="s">
        <v>19677</v>
      </c>
      <c r="D1352" s="236" t="s">
        <v>15716</v>
      </c>
      <c r="E1352" s="15">
        <v>15636</v>
      </c>
      <c r="F1352" s="237">
        <v>42896</v>
      </c>
      <c r="G1352" s="15">
        <v>15636</v>
      </c>
      <c r="H1352" s="15">
        <f t="shared" si="21"/>
        <v>0</v>
      </c>
      <c r="I1352" s="236" t="s">
        <v>19682</v>
      </c>
    </row>
    <row r="1353" spans="1:9" x14ac:dyDescent="0.25">
      <c r="A1353" s="36">
        <v>42896</v>
      </c>
      <c r="B1353" s="18">
        <v>115454</v>
      </c>
      <c r="C1353" s="235" t="s">
        <v>19677</v>
      </c>
      <c r="D1353" s="236" t="s">
        <v>15510</v>
      </c>
      <c r="E1353" s="15">
        <v>2716.58</v>
      </c>
      <c r="F1353" s="237">
        <v>42898</v>
      </c>
      <c r="G1353" s="15">
        <v>2716.58</v>
      </c>
      <c r="H1353" s="15">
        <f t="shared" si="21"/>
        <v>0</v>
      </c>
      <c r="I1353" s="236" t="s">
        <v>19682</v>
      </c>
    </row>
    <row r="1354" spans="1:9" x14ac:dyDescent="0.25">
      <c r="A1354" s="242">
        <v>42896</v>
      </c>
      <c r="B1354" s="18">
        <v>115455</v>
      </c>
      <c r="C1354" s="235" t="s">
        <v>19677</v>
      </c>
      <c r="D1354" s="236" t="s">
        <v>15789</v>
      </c>
      <c r="E1354" s="15">
        <v>24160.2</v>
      </c>
      <c r="F1354" s="237">
        <v>42903</v>
      </c>
      <c r="G1354" s="15">
        <v>24160.2</v>
      </c>
      <c r="H1354" s="15">
        <f t="shared" si="21"/>
        <v>0</v>
      </c>
      <c r="I1354" s="236" t="s">
        <v>19682</v>
      </c>
    </row>
    <row r="1355" spans="1:9" x14ac:dyDescent="0.25">
      <c r="A1355" s="36">
        <v>42896</v>
      </c>
      <c r="B1355" s="18">
        <v>115456</v>
      </c>
      <c r="C1355" s="235" t="s">
        <v>19677</v>
      </c>
      <c r="D1355" s="236" t="s">
        <v>15226</v>
      </c>
      <c r="E1355" s="15">
        <v>656</v>
      </c>
      <c r="F1355" s="237">
        <v>42898</v>
      </c>
      <c r="G1355" s="15">
        <v>656</v>
      </c>
      <c r="H1355" s="15">
        <f t="shared" si="21"/>
        <v>0</v>
      </c>
      <c r="I1355" s="236" t="s">
        <v>19682</v>
      </c>
    </row>
    <row r="1356" spans="1:9" x14ac:dyDescent="0.25">
      <c r="A1356" s="242">
        <v>42896</v>
      </c>
      <c r="B1356" s="18">
        <v>115457</v>
      </c>
      <c r="C1356" s="235" t="s">
        <v>19677</v>
      </c>
      <c r="D1356" s="236" t="s">
        <v>15315</v>
      </c>
      <c r="E1356" s="15">
        <v>1050</v>
      </c>
      <c r="F1356" s="237">
        <v>42896</v>
      </c>
      <c r="G1356" s="15">
        <v>1050</v>
      </c>
      <c r="H1356" s="15">
        <f t="shared" si="21"/>
        <v>0</v>
      </c>
      <c r="I1356" s="236" t="s">
        <v>19682</v>
      </c>
    </row>
    <row r="1357" spans="1:9" x14ac:dyDescent="0.25">
      <c r="A1357" s="36">
        <v>42896</v>
      </c>
      <c r="B1357" s="18">
        <v>115458</v>
      </c>
      <c r="C1357" s="235" t="s">
        <v>19677</v>
      </c>
      <c r="D1357" s="236" t="s">
        <v>15315</v>
      </c>
      <c r="E1357" s="15">
        <v>363.4</v>
      </c>
      <c r="F1357" s="237">
        <v>42896</v>
      </c>
      <c r="G1357" s="15">
        <v>363.4</v>
      </c>
      <c r="H1357" s="15">
        <f t="shared" si="21"/>
        <v>0</v>
      </c>
      <c r="I1357" s="236" t="s">
        <v>19682</v>
      </c>
    </row>
    <row r="1358" spans="1:9" ht="15.75" x14ac:dyDescent="0.25">
      <c r="A1358" s="242">
        <v>42896</v>
      </c>
      <c r="B1358" s="18">
        <v>115459</v>
      </c>
      <c r="C1358" s="235" t="s">
        <v>19677</v>
      </c>
      <c r="D1358" s="239" t="s">
        <v>95</v>
      </c>
      <c r="E1358" s="15">
        <v>0</v>
      </c>
      <c r="F1358" s="240" t="s">
        <v>95</v>
      </c>
      <c r="G1358" s="15">
        <v>0</v>
      </c>
      <c r="H1358" s="15">
        <f t="shared" si="21"/>
        <v>0</v>
      </c>
      <c r="I1358" s="236" t="s">
        <v>19678</v>
      </c>
    </row>
    <row r="1359" spans="1:9" x14ac:dyDescent="0.25">
      <c r="A1359" s="36">
        <v>42896</v>
      </c>
      <c r="B1359" s="18">
        <v>115460</v>
      </c>
      <c r="C1359" s="235" t="s">
        <v>19677</v>
      </c>
      <c r="D1359" s="236" t="s">
        <v>17462</v>
      </c>
      <c r="E1359" s="15">
        <v>2741.1</v>
      </c>
      <c r="F1359" s="237">
        <v>42896</v>
      </c>
      <c r="G1359" s="15">
        <v>2741.1</v>
      </c>
      <c r="H1359" s="15">
        <f t="shared" si="21"/>
        <v>0</v>
      </c>
      <c r="I1359" s="236" t="s">
        <v>19682</v>
      </c>
    </row>
    <row r="1360" spans="1:9" x14ac:dyDescent="0.25">
      <c r="A1360" s="242">
        <v>42896</v>
      </c>
      <c r="B1360" s="18">
        <v>115461</v>
      </c>
      <c r="C1360" s="235" t="s">
        <v>19677</v>
      </c>
      <c r="D1360" s="236" t="s">
        <v>16958</v>
      </c>
      <c r="E1360" s="15">
        <v>2420</v>
      </c>
      <c r="F1360" s="237">
        <v>42898</v>
      </c>
      <c r="G1360" s="15">
        <v>2420</v>
      </c>
      <c r="H1360" s="15">
        <f t="shared" si="21"/>
        <v>0</v>
      </c>
      <c r="I1360" s="236" t="s">
        <v>19682</v>
      </c>
    </row>
    <row r="1361" spans="1:9" ht="15.75" x14ac:dyDescent="0.25">
      <c r="A1361" s="36">
        <v>42896</v>
      </c>
      <c r="B1361" s="18">
        <v>115462</v>
      </c>
      <c r="C1361" s="235" t="s">
        <v>19677</v>
      </c>
      <c r="D1361" s="239" t="s">
        <v>95</v>
      </c>
      <c r="E1361" s="15">
        <v>0</v>
      </c>
      <c r="F1361" s="240" t="s">
        <v>95</v>
      </c>
      <c r="G1361" s="15">
        <v>0</v>
      </c>
      <c r="H1361" s="15">
        <f t="shared" si="21"/>
        <v>0</v>
      </c>
      <c r="I1361" s="236" t="s">
        <v>19678</v>
      </c>
    </row>
    <row r="1362" spans="1:9" x14ac:dyDescent="0.25">
      <c r="A1362" s="242">
        <v>42896</v>
      </c>
      <c r="B1362" s="18">
        <v>115463</v>
      </c>
      <c r="C1362" s="235" t="s">
        <v>19677</v>
      </c>
      <c r="D1362" s="236" t="s">
        <v>15284</v>
      </c>
      <c r="E1362" s="15">
        <v>388.6</v>
      </c>
      <c r="F1362" s="237">
        <v>42896</v>
      </c>
      <c r="G1362" s="15">
        <v>388.6</v>
      </c>
      <c r="H1362" s="15">
        <f t="shared" si="21"/>
        <v>0</v>
      </c>
      <c r="I1362" s="236" t="s">
        <v>19682</v>
      </c>
    </row>
    <row r="1363" spans="1:9" x14ac:dyDescent="0.25">
      <c r="A1363" s="36">
        <v>42896</v>
      </c>
      <c r="B1363" s="18">
        <v>115464</v>
      </c>
      <c r="C1363" s="235" t="s">
        <v>19677</v>
      </c>
      <c r="D1363" s="236" t="s">
        <v>15890</v>
      </c>
      <c r="E1363" s="15">
        <v>13160.4</v>
      </c>
      <c r="F1363" s="237">
        <v>42908</v>
      </c>
      <c r="G1363" s="15">
        <v>13160.4</v>
      </c>
      <c r="H1363" s="15">
        <f t="shared" si="21"/>
        <v>0</v>
      </c>
      <c r="I1363" s="236" t="s">
        <v>19682</v>
      </c>
    </row>
    <row r="1364" spans="1:9" x14ac:dyDescent="0.25">
      <c r="A1364" s="242">
        <v>42896</v>
      </c>
      <c r="B1364" s="18">
        <v>115465</v>
      </c>
      <c r="C1364" s="235" t="s">
        <v>19677</v>
      </c>
      <c r="D1364" s="236" t="s">
        <v>15232</v>
      </c>
      <c r="E1364" s="15">
        <v>690.9</v>
      </c>
      <c r="F1364" s="237">
        <v>42901</v>
      </c>
      <c r="G1364" s="15">
        <v>690.9</v>
      </c>
      <c r="H1364" s="15">
        <f t="shared" si="21"/>
        <v>0</v>
      </c>
      <c r="I1364" s="236" t="s">
        <v>19682</v>
      </c>
    </row>
    <row r="1365" spans="1:9" ht="15.75" x14ac:dyDescent="0.25">
      <c r="A1365" s="36">
        <v>42896</v>
      </c>
      <c r="B1365" s="18">
        <v>115466</v>
      </c>
      <c r="C1365" s="235" t="s">
        <v>19677</v>
      </c>
      <c r="D1365" s="239" t="s">
        <v>95</v>
      </c>
      <c r="E1365" s="15">
        <v>0</v>
      </c>
      <c r="F1365" s="240" t="s">
        <v>95</v>
      </c>
      <c r="G1365" s="15">
        <v>0</v>
      </c>
      <c r="H1365" s="15">
        <f t="shared" si="21"/>
        <v>0</v>
      </c>
      <c r="I1365" s="236" t="s">
        <v>19678</v>
      </c>
    </row>
    <row r="1366" spans="1:9" x14ac:dyDescent="0.25">
      <c r="A1366" s="242">
        <v>42896</v>
      </c>
      <c r="B1366" s="18">
        <v>115467</v>
      </c>
      <c r="C1366" s="235" t="s">
        <v>19677</v>
      </c>
      <c r="D1366" s="236" t="s">
        <v>15810</v>
      </c>
      <c r="E1366" s="15">
        <v>474.8</v>
      </c>
      <c r="F1366" s="237">
        <v>42896</v>
      </c>
      <c r="G1366" s="15">
        <v>474.8</v>
      </c>
      <c r="H1366" s="15">
        <f t="shared" si="21"/>
        <v>0</v>
      </c>
      <c r="I1366" s="236" t="s">
        <v>19682</v>
      </c>
    </row>
    <row r="1367" spans="1:9" ht="15.75" x14ac:dyDescent="0.25">
      <c r="A1367" s="36">
        <v>42896</v>
      </c>
      <c r="B1367" s="18">
        <v>115468</v>
      </c>
      <c r="C1367" s="235" t="s">
        <v>19677</v>
      </c>
      <c r="D1367" s="239" t="s">
        <v>95</v>
      </c>
      <c r="E1367" s="15">
        <v>0</v>
      </c>
      <c r="F1367" s="240" t="s">
        <v>95</v>
      </c>
      <c r="G1367" s="15">
        <v>0</v>
      </c>
      <c r="H1367" s="15">
        <f t="shared" si="21"/>
        <v>0</v>
      </c>
      <c r="I1367" s="236" t="s">
        <v>19678</v>
      </c>
    </row>
    <row r="1368" spans="1:9" x14ac:dyDescent="0.25">
      <c r="A1368" s="242">
        <v>42896</v>
      </c>
      <c r="B1368" s="18">
        <v>115469</v>
      </c>
      <c r="C1368" s="235" t="s">
        <v>19677</v>
      </c>
      <c r="D1368" s="236" t="s">
        <v>15328</v>
      </c>
      <c r="E1368" s="15">
        <v>6086.6</v>
      </c>
      <c r="F1368" s="237">
        <v>42909</v>
      </c>
      <c r="G1368" s="15">
        <v>6086.6</v>
      </c>
      <c r="H1368" s="15">
        <f t="shared" si="21"/>
        <v>0</v>
      </c>
      <c r="I1368" s="236" t="s">
        <v>19682</v>
      </c>
    </row>
    <row r="1369" spans="1:9" x14ac:dyDescent="0.25">
      <c r="A1369" s="36">
        <v>42896</v>
      </c>
      <c r="B1369" s="18">
        <v>115470</v>
      </c>
      <c r="C1369" s="235" t="s">
        <v>19677</v>
      </c>
      <c r="D1369" s="236" t="s">
        <v>15421</v>
      </c>
      <c r="E1369" s="15">
        <v>616.4</v>
      </c>
      <c r="F1369" s="237">
        <v>42896</v>
      </c>
      <c r="G1369" s="15">
        <v>616.4</v>
      </c>
      <c r="H1369" s="15">
        <f t="shared" si="21"/>
        <v>0</v>
      </c>
      <c r="I1369" s="236" t="s">
        <v>19682</v>
      </c>
    </row>
    <row r="1370" spans="1:9" x14ac:dyDescent="0.25">
      <c r="A1370" s="242">
        <v>42896</v>
      </c>
      <c r="B1370" s="18">
        <v>115471</v>
      </c>
      <c r="C1370" s="235" t="s">
        <v>19677</v>
      </c>
      <c r="D1370" s="236" t="s">
        <v>15248</v>
      </c>
      <c r="E1370" s="15">
        <v>9676.4</v>
      </c>
      <c r="F1370" s="237" t="s">
        <v>19727</v>
      </c>
      <c r="G1370" s="241">
        <f>4676+5000.4</f>
        <v>9676.4</v>
      </c>
      <c r="H1370" s="241">
        <f t="shared" si="21"/>
        <v>0</v>
      </c>
      <c r="I1370" s="236" t="s">
        <v>19682</v>
      </c>
    </row>
    <row r="1371" spans="1:9" x14ac:dyDescent="0.25">
      <c r="A1371" s="36">
        <v>42896</v>
      </c>
      <c r="B1371" s="18">
        <v>115472</v>
      </c>
      <c r="C1371" s="235" t="s">
        <v>19677</v>
      </c>
      <c r="D1371" s="236" t="s">
        <v>15322</v>
      </c>
      <c r="E1371" s="15">
        <v>1113.4000000000001</v>
      </c>
      <c r="F1371" s="237">
        <v>42896</v>
      </c>
      <c r="G1371" s="15">
        <v>1113.4000000000001</v>
      </c>
      <c r="H1371" s="15">
        <f t="shared" si="21"/>
        <v>0</v>
      </c>
      <c r="I1371" s="236" t="s">
        <v>19682</v>
      </c>
    </row>
    <row r="1372" spans="1:9" x14ac:dyDescent="0.25">
      <c r="A1372" s="242">
        <v>42896</v>
      </c>
      <c r="B1372" s="18">
        <v>115473</v>
      </c>
      <c r="C1372" s="235" t="s">
        <v>19677</v>
      </c>
      <c r="D1372" s="236" t="s">
        <v>15267</v>
      </c>
      <c r="E1372" s="15">
        <v>20711.599999999999</v>
      </c>
      <c r="F1372" s="237">
        <v>42898</v>
      </c>
      <c r="G1372" s="15">
        <v>20711.599999999999</v>
      </c>
      <c r="H1372" s="15">
        <f t="shared" si="21"/>
        <v>0</v>
      </c>
      <c r="I1372" s="236" t="s">
        <v>19682</v>
      </c>
    </row>
    <row r="1373" spans="1:9" x14ac:dyDescent="0.25">
      <c r="A1373" s="36">
        <v>42896</v>
      </c>
      <c r="B1373" s="18">
        <v>115474</v>
      </c>
      <c r="C1373" s="235" t="s">
        <v>19677</v>
      </c>
      <c r="D1373" s="236" t="s">
        <v>15328</v>
      </c>
      <c r="E1373" s="15">
        <v>43825.34</v>
      </c>
      <c r="F1373" s="237">
        <v>42909</v>
      </c>
      <c r="G1373" s="15">
        <v>43825.34</v>
      </c>
      <c r="H1373" s="15">
        <f t="shared" si="21"/>
        <v>0</v>
      </c>
      <c r="I1373" s="236" t="s">
        <v>19682</v>
      </c>
    </row>
    <row r="1374" spans="1:9" x14ac:dyDescent="0.25">
      <c r="A1374" s="242">
        <v>42896</v>
      </c>
      <c r="B1374" s="18">
        <v>115475</v>
      </c>
      <c r="C1374" s="235" t="s">
        <v>19677</v>
      </c>
      <c r="D1374" s="236" t="s">
        <v>15438</v>
      </c>
      <c r="E1374" s="15">
        <v>683.2</v>
      </c>
      <c r="F1374" s="237">
        <v>42896</v>
      </c>
      <c r="G1374" s="15">
        <v>683.2</v>
      </c>
      <c r="H1374" s="15">
        <f t="shared" si="21"/>
        <v>0</v>
      </c>
      <c r="I1374" s="236" t="s">
        <v>19682</v>
      </c>
    </row>
    <row r="1375" spans="1:9" x14ac:dyDescent="0.25">
      <c r="A1375" s="36">
        <v>42896</v>
      </c>
      <c r="B1375" s="18">
        <v>115476</v>
      </c>
      <c r="C1375" s="235" t="s">
        <v>19677</v>
      </c>
      <c r="D1375" s="236" t="s">
        <v>15246</v>
      </c>
      <c r="E1375" s="15">
        <v>215497.12</v>
      </c>
      <c r="F1375" s="237" t="s">
        <v>19724</v>
      </c>
      <c r="G1375" s="241">
        <f>160584.12+54913</f>
        <v>215497.12</v>
      </c>
      <c r="H1375" s="241">
        <f t="shared" si="21"/>
        <v>0</v>
      </c>
      <c r="I1375" s="236" t="s">
        <v>19682</v>
      </c>
    </row>
    <row r="1376" spans="1:9" x14ac:dyDescent="0.25">
      <c r="A1376" s="242">
        <v>42896</v>
      </c>
      <c r="B1376" s="18">
        <v>115477</v>
      </c>
      <c r="C1376" s="235" t="s">
        <v>19677</v>
      </c>
      <c r="D1376" s="236" t="s">
        <v>15246</v>
      </c>
      <c r="E1376" s="15">
        <v>31285.200000000001</v>
      </c>
      <c r="F1376" s="237">
        <v>42901</v>
      </c>
      <c r="G1376" s="15">
        <v>31285.200000000001</v>
      </c>
      <c r="H1376" s="15">
        <f t="shared" si="21"/>
        <v>0</v>
      </c>
      <c r="I1376" s="236" t="s">
        <v>19682</v>
      </c>
    </row>
    <row r="1377" spans="1:9" ht="15.75" x14ac:dyDescent="0.25">
      <c r="A1377" s="36">
        <v>42896</v>
      </c>
      <c r="B1377" s="18">
        <v>115478</v>
      </c>
      <c r="C1377" s="235" t="s">
        <v>19677</v>
      </c>
      <c r="D1377" s="239" t="s">
        <v>95</v>
      </c>
      <c r="E1377" s="15">
        <v>0</v>
      </c>
      <c r="F1377" s="240" t="s">
        <v>95</v>
      </c>
      <c r="G1377" s="15">
        <v>0</v>
      </c>
      <c r="H1377" s="15">
        <f t="shared" si="21"/>
        <v>0</v>
      </c>
      <c r="I1377" s="236" t="s">
        <v>19678</v>
      </c>
    </row>
    <row r="1378" spans="1:9" x14ac:dyDescent="0.25">
      <c r="A1378" s="242">
        <v>42896</v>
      </c>
      <c r="B1378" s="18">
        <v>115479</v>
      </c>
      <c r="C1378" s="235" t="s">
        <v>19677</v>
      </c>
      <c r="D1378" s="236" t="s">
        <v>15365</v>
      </c>
      <c r="E1378" s="15">
        <v>445360</v>
      </c>
      <c r="F1378" s="237">
        <v>42902</v>
      </c>
      <c r="G1378" s="15">
        <v>445360</v>
      </c>
      <c r="H1378" s="15">
        <f t="shared" si="21"/>
        <v>0</v>
      </c>
      <c r="I1378" s="236" t="s">
        <v>19682</v>
      </c>
    </row>
    <row r="1379" spans="1:9" x14ac:dyDescent="0.25">
      <c r="A1379" s="36">
        <v>42896</v>
      </c>
      <c r="B1379" s="18">
        <v>115480</v>
      </c>
      <c r="C1379" s="235" t="s">
        <v>19677</v>
      </c>
      <c r="D1379" s="236" t="s">
        <v>15250</v>
      </c>
      <c r="E1379" s="15">
        <v>53708.18</v>
      </c>
      <c r="F1379" s="237">
        <v>42909</v>
      </c>
      <c r="G1379" s="15">
        <v>53708.18</v>
      </c>
      <c r="H1379" s="15">
        <f t="shared" si="21"/>
        <v>0</v>
      </c>
      <c r="I1379" s="236" t="s">
        <v>19682</v>
      </c>
    </row>
    <row r="1380" spans="1:9" x14ac:dyDescent="0.25">
      <c r="A1380" s="242">
        <v>42896</v>
      </c>
      <c r="B1380" s="18">
        <v>115481</v>
      </c>
      <c r="C1380" s="235" t="s">
        <v>19677</v>
      </c>
      <c r="D1380" s="236" t="s">
        <v>15246</v>
      </c>
      <c r="E1380" s="15">
        <v>4430.8</v>
      </c>
      <c r="F1380" s="237">
        <v>42901</v>
      </c>
      <c r="G1380" s="15">
        <v>4430.8</v>
      </c>
      <c r="H1380" s="15">
        <f t="shared" si="21"/>
        <v>0</v>
      </c>
      <c r="I1380" s="236" t="s">
        <v>19682</v>
      </c>
    </row>
    <row r="1381" spans="1:9" x14ac:dyDescent="0.25">
      <c r="A1381" s="36">
        <v>42896</v>
      </c>
      <c r="B1381" s="18">
        <v>115482</v>
      </c>
      <c r="C1381" s="235" t="s">
        <v>19677</v>
      </c>
      <c r="D1381" s="236" t="s">
        <v>15681</v>
      </c>
      <c r="E1381" s="15">
        <v>1562</v>
      </c>
      <c r="F1381" s="237">
        <v>42896</v>
      </c>
      <c r="G1381" s="15">
        <v>1562</v>
      </c>
      <c r="H1381" s="15">
        <f t="shared" si="21"/>
        <v>0</v>
      </c>
      <c r="I1381" s="236" t="s">
        <v>19682</v>
      </c>
    </row>
    <row r="1382" spans="1:9" x14ac:dyDescent="0.25">
      <c r="A1382" s="242">
        <v>42896</v>
      </c>
      <c r="B1382" s="18">
        <v>115483</v>
      </c>
      <c r="C1382" s="235" t="s">
        <v>19677</v>
      </c>
      <c r="D1382" s="236" t="s">
        <v>15642</v>
      </c>
      <c r="E1382" s="15">
        <v>8345.2000000000007</v>
      </c>
      <c r="F1382" s="237">
        <v>42896</v>
      </c>
      <c r="G1382" s="15">
        <v>8345.2000000000007</v>
      </c>
      <c r="H1382" s="15">
        <f t="shared" si="21"/>
        <v>0</v>
      </c>
      <c r="I1382" s="236" t="s">
        <v>19682</v>
      </c>
    </row>
    <row r="1383" spans="1:9" x14ac:dyDescent="0.25">
      <c r="A1383" s="242">
        <v>42897</v>
      </c>
      <c r="B1383" s="18">
        <v>115484</v>
      </c>
      <c r="C1383" s="235" t="s">
        <v>19677</v>
      </c>
      <c r="D1383" s="236" t="s">
        <v>15213</v>
      </c>
      <c r="E1383" s="15">
        <v>9869.2999999999993</v>
      </c>
      <c r="F1383" s="237">
        <v>42898</v>
      </c>
      <c r="G1383" s="15">
        <v>9869.2999999999993</v>
      </c>
      <c r="H1383" s="15">
        <f t="shared" si="21"/>
        <v>0</v>
      </c>
      <c r="I1383" s="236" t="s">
        <v>19682</v>
      </c>
    </row>
    <row r="1384" spans="1:9" x14ac:dyDescent="0.25">
      <c r="A1384" s="36">
        <v>42897</v>
      </c>
      <c r="B1384" s="18">
        <v>115485</v>
      </c>
      <c r="C1384" s="235" t="s">
        <v>19677</v>
      </c>
      <c r="D1384" s="236" t="s">
        <v>15322</v>
      </c>
      <c r="E1384" s="15">
        <v>4000</v>
      </c>
      <c r="F1384" s="237">
        <v>42899</v>
      </c>
      <c r="G1384" s="15">
        <v>4000</v>
      </c>
      <c r="H1384" s="15">
        <f t="shared" si="21"/>
        <v>0</v>
      </c>
      <c r="I1384" s="236" t="s">
        <v>19682</v>
      </c>
    </row>
    <row r="1385" spans="1:9" x14ac:dyDescent="0.25">
      <c r="A1385" s="242">
        <v>42897</v>
      </c>
      <c r="B1385" s="18">
        <v>115486</v>
      </c>
      <c r="C1385" s="235" t="s">
        <v>19677</v>
      </c>
      <c r="D1385" s="236" t="s">
        <v>15213</v>
      </c>
      <c r="E1385" s="15">
        <v>36521.800000000003</v>
      </c>
      <c r="F1385" s="237">
        <v>42898</v>
      </c>
      <c r="G1385" s="15">
        <v>36521.800000000003</v>
      </c>
      <c r="H1385" s="15">
        <f t="shared" si="21"/>
        <v>0</v>
      </c>
      <c r="I1385" s="236" t="s">
        <v>19682</v>
      </c>
    </row>
    <row r="1386" spans="1:9" x14ac:dyDescent="0.25">
      <c r="A1386" s="36">
        <v>42897</v>
      </c>
      <c r="B1386" s="18">
        <v>115487</v>
      </c>
      <c r="C1386" s="235" t="s">
        <v>19677</v>
      </c>
      <c r="D1386" s="236" t="s">
        <v>15668</v>
      </c>
      <c r="E1386" s="15">
        <v>19834.62</v>
      </c>
      <c r="F1386" s="237">
        <v>42897</v>
      </c>
      <c r="G1386" s="15">
        <v>19834.62</v>
      </c>
      <c r="H1386" s="15">
        <f t="shared" si="21"/>
        <v>0</v>
      </c>
      <c r="I1386" s="236" t="s">
        <v>19682</v>
      </c>
    </row>
    <row r="1387" spans="1:9" x14ac:dyDescent="0.25">
      <c r="A1387" s="242">
        <v>42897</v>
      </c>
      <c r="B1387" s="18">
        <v>115488</v>
      </c>
      <c r="C1387" s="235" t="s">
        <v>19677</v>
      </c>
      <c r="D1387" s="236" t="s">
        <v>15220</v>
      </c>
      <c r="E1387" s="15">
        <v>4830</v>
      </c>
      <c r="F1387" s="237">
        <v>42897</v>
      </c>
      <c r="G1387" s="15">
        <v>4830</v>
      </c>
      <c r="H1387" s="15">
        <f t="shared" si="21"/>
        <v>0</v>
      </c>
      <c r="I1387" s="236" t="s">
        <v>19682</v>
      </c>
    </row>
    <row r="1388" spans="1:9" x14ac:dyDescent="0.25">
      <c r="A1388" s="36">
        <v>42897</v>
      </c>
      <c r="B1388" s="18">
        <v>115489</v>
      </c>
      <c r="C1388" s="235" t="s">
        <v>19677</v>
      </c>
      <c r="D1388" s="236" t="s">
        <v>15272</v>
      </c>
      <c r="E1388" s="15">
        <v>25151.4</v>
      </c>
      <c r="F1388" s="237">
        <v>42897</v>
      </c>
      <c r="G1388" s="15">
        <v>25151.4</v>
      </c>
      <c r="H1388" s="15">
        <f t="shared" si="21"/>
        <v>0</v>
      </c>
      <c r="I1388" s="236" t="s">
        <v>19682</v>
      </c>
    </row>
    <row r="1389" spans="1:9" x14ac:dyDescent="0.25">
      <c r="A1389" s="242">
        <v>42897</v>
      </c>
      <c r="B1389" s="18">
        <v>115490</v>
      </c>
      <c r="C1389" s="235" t="s">
        <v>19677</v>
      </c>
      <c r="D1389" s="236" t="s">
        <v>15223</v>
      </c>
      <c r="E1389" s="15">
        <v>45339</v>
      </c>
      <c r="F1389" s="237">
        <v>42912</v>
      </c>
      <c r="G1389" s="15">
        <f>31331.45+14007.55</f>
        <v>45339</v>
      </c>
      <c r="H1389" s="15">
        <f t="shared" si="21"/>
        <v>0</v>
      </c>
      <c r="I1389" s="236" t="s">
        <v>19682</v>
      </c>
    </row>
    <row r="1390" spans="1:9" x14ac:dyDescent="0.25">
      <c r="A1390" s="36">
        <v>42897</v>
      </c>
      <c r="B1390" s="18">
        <v>115491</v>
      </c>
      <c r="C1390" s="235" t="s">
        <v>19677</v>
      </c>
      <c r="D1390" s="236" t="s">
        <v>15242</v>
      </c>
      <c r="E1390" s="15">
        <v>4626.8</v>
      </c>
      <c r="F1390" s="237">
        <v>42898</v>
      </c>
      <c r="G1390" s="15">
        <v>4626.8</v>
      </c>
      <c r="H1390" s="15">
        <f t="shared" si="21"/>
        <v>0</v>
      </c>
      <c r="I1390" s="236" t="s">
        <v>19682</v>
      </c>
    </row>
    <row r="1391" spans="1:9" x14ac:dyDescent="0.25">
      <c r="A1391" s="242">
        <v>42897</v>
      </c>
      <c r="B1391" s="18">
        <v>115492</v>
      </c>
      <c r="C1391" s="235" t="s">
        <v>19677</v>
      </c>
      <c r="D1391" s="236" t="s">
        <v>15725</v>
      </c>
      <c r="E1391" s="15">
        <v>5678</v>
      </c>
      <c r="F1391" s="237">
        <v>42904</v>
      </c>
      <c r="G1391" s="15">
        <v>5678</v>
      </c>
      <c r="H1391" s="15">
        <f t="shared" si="21"/>
        <v>0</v>
      </c>
      <c r="I1391" s="236" t="s">
        <v>19682</v>
      </c>
    </row>
    <row r="1392" spans="1:9" x14ac:dyDescent="0.25">
      <c r="A1392" s="36">
        <v>42897</v>
      </c>
      <c r="B1392" s="18">
        <v>115493</v>
      </c>
      <c r="C1392" s="235" t="s">
        <v>19677</v>
      </c>
      <c r="D1392" s="236" t="s">
        <v>17462</v>
      </c>
      <c r="E1392" s="15">
        <v>9170</v>
      </c>
      <c r="F1392" s="237">
        <v>42897</v>
      </c>
      <c r="G1392" s="15">
        <v>9170</v>
      </c>
      <c r="H1392" s="15">
        <f t="shared" si="21"/>
        <v>0</v>
      </c>
      <c r="I1392" s="236" t="s">
        <v>19682</v>
      </c>
    </row>
    <row r="1393" spans="1:9" x14ac:dyDescent="0.25">
      <c r="A1393" s="242">
        <v>42897</v>
      </c>
      <c r="B1393" s="18">
        <v>115494</v>
      </c>
      <c r="C1393" s="235" t="s">
        <v>19677</v>
      </c>
      <c r="D1393" s="236" t="s">
        <v>15248</v>
      </c>
      <c r="E1393" s="15">
        <v>8677.36</v>
      </c>
      <c r="F1393" s="237">
        <v>42897</v>
      </c>
      <c r="G1393" s="15">
        <v>8677.36</v>
      </c>
      <c r="H1393" s="15">
        <f t="shared" si="21"/>
        <v>0</v>
      </c>
      <c r="I1393" s="236" t="s">
        <v>19682</v>
      </c>
    </row>
    <row r="1394" spans="1:9" x14ac:dyDescent="0.25">
      <c r="A1394" s="36">
        <v>42897</v>
      </c>
      <c r="B1394" s="18">
        <v>115495</v>
      </c>
      <c r="C1394" s="235" t="s">
        <v>19677</v>
      </c>
      <c r="D1394" s="236" t="s">
        <v>15391</v>
      </c>
      <c r="E1394" s="15">
        <v>9030</v>
      </c>
      <c r="F1394" s="237">
        <v>42897</v>
      </c>
      <c r="G1394" s="15">
        <v>9030</v>
      </c>
      <c r="H1394" s="15">
        <f t="shared" si="21"/>
        <v>0</v>
      </c>
      <c r="I1394" s="236" t="s">
        <v>19682</v>
      </c>
    </row>
    <row r="1395" spans="1:9" ht="15.75" x14ac:dyDescent="0.25">
      <c r="A1395" s="242">
        <v>42897</v>
      </c>
      <c r="B1395" s="18">
        <v>115496</v>
      </c>
      <c r="C1395" s="235" t="s">
        <v>19677</v>
      </c>
      <c r="D1395" s="239" t="s">
        <v>95</v>
      </c>
      <c r="E1395" s="15">
        <v>0</v>
      </c>
      <c r="F1395" s="244" t="s">
        <v>95</v>
      </c>
      <c r="G1395" s="15">
        <v>0</v>
      </c>
      <c r="H1395" s="15">
        <f t="shared" si="21"/>
        <v>0</v>
      </c>
      <c r="I1395" s="236" t="s">
        <v>19678</v>
      </c>
    </row>
    <row r="1396" spans="1:9" x14ac:dyDescent="0.25">
      <c r="A1396" s="36">
        <v>42897</v>
      </c>
      <c r="B1396" s="18">
        <v>115497</v>
      </c>
      <c r="C1396" s="235" t="s">
        <v>19677</v>
      </c>
      <c r="D1396" s="236" t="s">
        <v>15261</v>
      </c>
      <c r="E1396" s="15">
        <v>21885.3</v>
      </c>
      <c r="F1396" s="237">
        <v>42897</v>
      </c>
      <c r="G1396" s="15">
        <v>21885.3</v>
      </c>
      <c r="H1396" s="15">
        <f t="shared" si="21"/>
        <v>0</v>
      </c>
      <c r="I1396" s="236" t="s">
        <v>19682</v>
      </c>
    </row>
    <row r="1397" spans="1:9" x14ac:dyDescent="0.25">
      <c r="A1397" s="242">
        <v>42897</v>
      </c>
      <c r="B1397" s="18">
        <v>115498</v>
      </c>
      <c r="C1397" s="235" t="s">
        <v>19677</v>
      </c>
      <c r="D1397" s="236" t="s">
        <v>15284</v>
      </c>
      <c r="E1397" s="15">
        <v>2593.8000000000002</v>
      </c>
      <c r="F1397" s="237">
        <v>42897</v>
      </c>
      <c r="G1397" s="15">
        <v>2593.8000000000002</v>
      </c>
      <c r="H1397" s="15">
        <f t="shared" si="21"/>
        <v>0</v>
      </c>
      <c r="I1397" s="236" t="s">
        <v>19682</v>
      </c>
    </row>
    <row r="1398" spans="1:9" x14ac:dyDescent="0.25">
      <c r="A1398" s="36">
        <v>42897</v>
      </c>
      <c r="B1398" s="18">
        <v>115499</v>
      </c>
      <c r="C1398" s="235" t="s">
        <v>19677</v>
      </c>
      <c r="D1398" s="236" t="s">
        <v>15487</v>
      </c>
      <c r="E1398" s="15">
        <v>3516.3</v>
      </c>
      <c r="F1398" s="237">
        <v>42897</v>
      </c>
      <c r="G1398" s="15">
        <v>3516.3</v>
      </c>
      <c r="H1398" s="15">
        <f t="shared" si="21"/>
        <v>0</v>
      </c>
      <c r="I1398" s="236" t="s">
        <v>19682</v>
      </c>
    </row>
    <row r="1399" spans="1:9" x14ac:dyDescent="0.25">
      <c r="A1399" s="242">
        <v>42897</v>
      </c>
      <c r="B1399" s="18">
        <v>115500</v>
      </c>
      <c r="C1399" s="235" t="s">
        <v>19677</v>
      </c>
      <c r="D1399" s="236" t="s">
        <v>17235</v>
      </c>
      <c r="E1399" s="15">
        <v>1150</v>
      </c>
      <c r="F1399" s="237">
        <v>42897</v>
      </c>
      <c r="G1399" s="15">
        <v>1150</v>
      </c>
      <c r="H1399" s="15">
        <f t="shared" si="21"/>
        <v>0</v>
      </c>
      <c r="I1399" s="236" t="s">
        <v>19682</v>
      </c>
    </row>
    <row r="1400" spans="1:9" x14ac:dyDescent="0.25">
      <c r="A1400" s="36">
        <v>42897</v>
      </c>
      <c r="B1400" s="18">
        <v>115501</v>
      </c>
      <c r="C1400" s="235" t="s">
        <v>19677</v>
      </c>
      <c r="D1400" s="236" t="s">
        <v>15868</v>
      </c>
      <c r="E1400" s="15">
        <v>11449.2</v>
      </c>
      <c r="F1400" s="237">
        <v>42897</v>
      </c>
      <c r="G1400" s="15">
        <v>11449.2</v>
      </c>
      <c r="H1400" s="15">
        <f t="shared" si="21"/>
        <v>0</v>
      </c>
      <c r="I1400" s="236" t="s">
        <v>19682</v>
      </c>
    </row>
    <row r="1401" spans="1:9" x14ac:dyDescent="0.25">
      <c r="A1401" s="242">
        <v>42897</v>
      </c>
      <c r="B1401" s="18">
        <v>115502</v>
      </c>
      <c r="C1401" s="235" t="s">
        <v>19677</v>
      </c>
      <c r="D1401" s="236" t="s">
        <v>15289</v>
      </c>
      <c r="E1401" s="15">
        <v>978.3</v>
      </c>
      <c r="F1401" s="237">
        <v>42897</v>
      </c>
      <c r="G1401" s="15">
        <v>978.3</v>
      </c>
      <c r="H1401" s="15">
        <f t="shared" si="21"/>
        <v>0</v>
      </c>
      <c r="I1401" s="236" t="s">
        <v>19682</v>
      </c>
    </row>
    <row r="1402" spans="1:9" x14ac:dyDescent="0.25">
      <c r="A1402" s="36">
        <v>42897</v>
      </c>
      <c r="B1402" s="18">
        <v>115503</v>
      </c>
      <c r="C1402" s="235" t="s">
        <v>19677</v>
      </c>
      <c r="D1402" s="236" t="s">
        <v>16023</v>
      </c>
      <c r="E1402" s="15">
        <v>2072.5</v>
      </c>
      <c r="F1402" s="237">
        <v>42897</v>
      </c>
      <c r="G1402" s="15">
        <v>2072.5</v>
      </c>
      <c r="H1402" s="15">
        <f t="shared" si="21"/>
        <v>0</v>
      </c>
      <c r="I1402" s="236" t="s">
        <v>19682</v>
      </c>
    </row>
    <row r="1403" spans="1:9" x14ac:dyDescent="0.25">
      <c r="A1403" s="242">
        <v>42897</v>
      </c>
      <c r="B1403" s="18">
        <v>115504</v>
      </c>
      <c r="C1403" s="235" t="s">
        <v>19677</v>
      </c>
      <c r="D1403" s="236" t="s">
        <v>15250</v>
      </c>
      <c r="E1403" s="15">
        <v>19807.900000000001</v>
      </c>
      <c r="F1403" s="237">
        <v>42909</v>
      </c>
      <c r="G1403" s="15">
        <v>19807.900000000001</v>
      </c>
      <c r="H1403" s="15">
        <f t="shared" si="21"/>
        <v>0</v>
      </c>
      <c r="I1403" s="236" t="s">
        <v>19682</v>
      </c>
    </row>
    <row r="1404" spans="1:9" x14ac:dyDescent="0.25">
      <c r="A1404" s="36">
        <v>42897</v>
      </c>
      <c r="B1404" s="18">
        <v>115505</v>
      </c>
      <c r="C1404" s="235" t="s">
        <v>19677</v>
      </c>
      <c r="D1404" s="236" t="s">
        <v>15385</v>
      </c>
      <c r="E1404" s="15">
        <v>10866.4</v>
      </c>
      <c r="F1404" s="237">
        <v>42897</v>
      </c>
      <c r="G1404" s="15">
        <v>10866.4</v>
      </c>
      <c r="H1404" s="15">
        <f t="shared" si="21"/>
        <v>0</v>
      </c>
      <c r="I1404" s="236" t="s">
        <v>19682</v>
      </c>
    </row>
    <row r="1405" spans="1:9" x14ac:dyDescent="0.25">
      <c r="A1405" s="242">
        <v>42897</v>
      </c>
      <c r="B1405" s="18">
        <v>115506</v>
      </c>
      <c r="C1405" s="235" t="s">
        <v>19677</v>
      </c>
      <c r="D1405" s="236" t="s">
        <v>15706</v>
      </c>
      <c r="E1405" s="15">
        <v>2560.1999999999998</v>
      </c>
      <c r="F1405" s="237">
        <v>42897</v>
      </c>
      <c r="G1405" s="15">
        <v>2560.1999999999998</v>
      </c>
      <c r="H1405" s="15">
        <f t="shared" si="21"/>
        <v>0</v>
      </c>
      <c r="I1405" s="236" t="s">
        <v>19682</v>
      </c>
    </row>
    <row r="1406" spans="1:9" x14ac:dyDescent="0.25">
      <c r="A1406" s="36">
        <v>42897</v>
      </c>
      <c r="B1406" s="18">
        <v>115507</v>
      </c>
      <c r="C1406" s="235" t="s">
        <v>19677</v>
      </c>
      <c r="D1406" s="236" t="s">
        <v>15810</v>
      </c>
      <c r="E1406" s="15">
        <v>399.6</v>
      </c>
      <c r="F1406" s="237">
        <v>42897</v>
      </c>
      <c r="G1406" s="15">
        <v>399.6</v>
      </c>
      <c r="H1406" s="15">
        <f t="shared" si="21"/>
        <v>0</v>
      </c>
      <c r="I1406" s="236" t="s">
        <v>19682</v>
      </c>
    </row>
    <row r="1407" spans="1:9" x14ac:dyDescent="0.25">
      <c r="A1407" s="242">
        <v>42897</v>
      </c>
      <c r="B1407" s="18">
        <v>115508</v>
      </c>
      <c r="C1407" s="235" t="s">
        <v>19677</v>
      </c>
      <c r="D1407" s="236" t="s">
        <v>15263</v>
      </c>
      <c r="E1407" s="15">
        <v>3177</v>
      </c>
      <c r="F1407" s="237">
        <v>42897</v>
      </c>
      <c r="G1407" s="15">
        <v>3177</v>
      </c>
      <c r="H1407" s="15">
        <f t="shared" si="21"/>
        <v>0</v>
      </c>
      <c r="I1407" s="236" t="s">
        <v>19682</v>
      </c>
    </row>
    <row r="1408" spans="1:9" x14ac:dyDescent="0.25">
      <c r="A1408" s="36">
        <v>42897</v>
      </c>
      <c r="B1408" s="18">
        <v>115509</v>
      </c>
      <c r="C1408" s="235" t="s">
        <v>19677</v>
      </c>
      <c r="D1408" s="236" t="s">
        <v>15282</v>
      </c>
      <c r="E1408" s="15">
        <v>2742.9</v>
      </c>
      <c r="F1408" s="237">
        <v>42897</v>
      </c>
      <c r="G1408" s="15">
        <v>2742.9</v>
      </c>
      <c r="H1408" s="15">
        <f t="shared" si="21"/>
        <v>0</v>
      </c>
      <c r="I1408" s="236" t="s">
        <v>19682</v>
      </c>
    </row>
    <row r="1409" spans="1:9" x14ac:dyDescent="0.25">
      <c r="A1409" s="242">
        <v>42897</v>
      </c>
      <c r="B1409" s="18">
        <v>115510</v>
      </c>
      <c r="C1409" s="235" t="s">
        <v>19677</v>
      </c>
      <c r="D1409" s="236" t="s">
        <v>15280</v>
      </c>
      <c r="E1409" s="15">
        <v>3990</v>
      </c>
      <c r="F1409" s="237">
        <v>42897</v>
      </c>
      <c r="G1409" s="15">
        <v>3990</v>
      </c>
      <c r="H1409" s="15">
        <f t="shared" si="21"/>
        <v>0</v>
      </c>
      <c r="I1409" s="236" t="s">
        <v>19682</v>
      </c>
    </row>
    <row r="1410" spans="1:9" x14ac:dyDescent="0.25">
      <c r="A1410" s="36">
        <v>42897</v>
      </c>
      <c r="B1410" s="18">
        <v>115511</v>
      </c>
      <c r="C1410" s="235" t="s">
        <v>19677</v>
      </c>
      <c r="D1410" s="236" t="s">
        <v>16249</v>
      </c>
      <c r="E1410" s="15">
        <v>1480.5</v>
      </c>
      <c r="F1410" s="237">
        <v>42897</v>
      </c>
      <c r="G1410" s="15">
        <v>1480.5</v>
      </c>
      <c r="H1410" s="15">
        <f t="shared" ref="H1410:H1473" si="22">E1410-G1410</f>
        <v>0</v>
      </c>
      <c r="I1410" s="236" t="s">
        <v>19682</v>
      </c>
    </row>
    <row r="1411" spans="1:9" x14ac:dyDescent="0.25">
      <c r="A1411" s="242">
        <v>42897</v>
      </c>
      <c r="B1411" s="18">
        <v>115512</v>
      </c>
      <c r="C1411" s="235" t="s">
        <v>19677</v>
      </c>
      <c r="D1411" s="236" t="s">
        <v>16249</v>
      </c>
      <c r="E1411" s="15">
        <v>382.8</v>
      </c>
      <c r="F1411" s="237">
        <v>42897</v>
      </c>
      <c r="G1411" s="15">
        <v>382.8</v>
      </c>
      <c r="H1411" s="15">
        <f t="shared" si="22"/>
        <v>0</v>
      </c>
      <c r="I1411" s="236" t="s">
        <v>19682</v>
      </c>
    </row>
    <row r="1412" spans="1:9" x14ac:dyDescent="0.25">
      <c r="A1412" s="36">
        <v>42897</v>
      </c>
      <c r="B1412" s="18">
        <v>115513</v>
      </c>
      <c r="C1412" s="235" t="s">
        <v>19677</v>
      </c>
      <c r="D1412" s="236" t="s">
        <v>15562</v>
      </c>
      <c r="E1412" s="15">
        <v>3045</v>
      </c>
      <c r="F1412" s="237">
        <v>42897</v>
      </c>
      <c r="G1412" s="15">
        <v>3045</v>
      </c>
      <c r="H1412" s="15">
        <f t="shared" si="22"/>
        <v>0</v>
      </c>
      <c r="I1412" s="236" t="s">
        <v>19682</v>
      </c>
    </row>
    <row r="1413" spans="1:9" x14ac:dyDescent="0.25">
      <c r="A1413" s="242">
        <v>42897</v>
      </c>
      <c r="B1413" s="18">
        <v>115514</v>
      </c>
      <c r="C1413" s="235" t="s">
        <v>19677</v>
      </c>
      <c r="D1413" s="236" t="s">
        <v>15315</v>
      </c>
      <c r="E1413" s="15">
        <v>4434.5</v>
      </c>
      <c r="F1413" s="237">
        <v>42897</v>
      </c>
      <c r="G1413" s="15">
        <v>4434.5</v>
      </c>
      <c r="H1413" s="15">
        <f t="shared" si="22"/>
        <v>0</v>
      </c>
      <c r="I1413" s="236" t="s">
        <v>19682</v>
      </c>
    </row>
    <row r="1414" spans="1:9" x14ac:dyDescent="0.25">
      <c r="A1414" s="36">
        <v>42897</v>
      </c>
      <c r="B1414" s="18">
        <v>115515</v>
      </c>
      <c r="C1414" s="235" t="s">
        <v>19677</v>
      </c>
      <c r="D1414" s="236" t="s">
        <v>15398</v>
      </c>
      <c r="E1414" s="15">
        <v>3232.5</v>
      </c>
      <c r="F1414" s="237">
        <v>42897</v>
      </c>
      <c r="G1414" s="15">
        <v>3232.5</v>
      </c>
      <c r="H1414" s="15">
        <f t="shared" si="22"/>
        <v>0</v>
      </c>
      <c r="I1414" s="236" t="s">
        <v>19682</v>
      </c>
    </row>
    <row r="1415" spans="1:9" x14ac:dyDescent="0.25">
      <c r="A1415" s="242">
        <v>42897</v>
      </c>
      <c r="B1415" s="18">
        <v>115516</v>
      </c>
      <c r="C1415" s="235" t="s">
        <v>19677</v>
      </c>
      <c r="D1415" s="236" t="s">
        <v>15590</v>
      </c>
      <c r="E1415" s="15">
        <v>31982.400000000001</v>
      </c>
      <c r="F1415" s="237">
        <v>42905</v>
      </c>
      <c r="G1415" s="15">
        <v>31982.400000000001</v>
      </c>
      <c r="H1415" s="15">
        <f t="shared" si="22"/>
        <v>0</v>
      </c>
      <c r="I1415" s="236" t="s">
        <v>19682</v>
      </c>
    </row>
    <row r="1416" spans="1:9" x14ac:dyDescent="0.25">
      <c r="A1416" s="36">
        <v>42897</v>
      </c>
      <c r="B1416" s="18">
        <v>115517</v>
      </c>
      <c r="C1416" s="235" t="s">
        <v>19677</v>
      </c>
      <c r="D1416" s="236" t="s">
        <v>15378</v>
      </c>
      <c r="E1416" s="15">
        <v>1003.4</v>
      </c>
      <c r="F1416" s="237">
        <v>42897</v>
      </c>
      <c r="G1416" s="15">
        <v>1003.4</v>
      </c>
      <c r="H1416" s="15">
        <f t="shared" si="22"/>
        <v>0</v>
      </c>
      <c r="I1416" s="236" t="s">
        <v>19682</v>
      </c>
    </row>
    <row r="1417" spans="1:9" x14ac:dyDescent="0.25">
      <c r="A1417" s="242">
        <v>42897</v>
      </c>
      <c r="B1417" s="18">
        <v>115518</v>
      </c>
      <c r="C1417" s="235" t="s">
        <v>19677</v>
      </c>
      <c r="D1417" s="236" t="s">
        <v>15530</v>
      </c>
      <c r="E1417" s="15">
        <v>2923.4</v>
      </c>
      <c r="F1417" s="237">
        <v>42897</v>
      </c>
      <c r="G1417" s="15">
        <v>2923.4</v>
      </c>
      <c r="H1417" s="15">
        <f t="shared" si="22"/>
        <v>0</v>
      </c>
      <c r="I1417" s="236" t="s">
        <v>19682</v>
      </c>
    </row>
    <row r="1418" spans="1:9" x14ac:dyDescent="0.25">
      <c r="A1418" s="36">
        <v>42897</v>
      </c>
      <c r="B1418" s="18">
        <v>115519</v>
      </c>
      <c r="C1418" s="235" t="s">
        <v>19677</v>
      </c>
      <c r="D1418" s="236" t="s">
        <v>15523</v>
      </c>
      <c r="E1418" s="15">
        <v>3680</v>
      </c>
      <c r="F1418" s="237">
        <v>42898</v>
      </c>
      <c r="G1418" s="15">
        <v>3680</v>
      </c>
      <c r="H1418" s="15">
        <f t="shared" si="22"/>
        <v>0</v>
      </c>
      <c r="I1418" s="236" t="s">
        <v>19682</v>
      </c>
    </row>
    <row r="1419" spans="1:9" x14ac:dyDescent="0.25">
      <c r="A1419" s="242">
        <v>42897</v>
      </c>
      <c r="B1419" s="18">
        <v>115520</v>
      </c>
      <c r="C1419" s="235" t="s">
        <v>19677</v>
      </c>
      <c r="D1419" s="236" t="s">
        <v>15378</v>
      </c>
      <c r="E1419" s="15">
        <v>244.8</v>
      </c>
      <c r="F1419" s="237">
        <v>42897</v>
      </c>
      <c r="G1419" s="15">
        <v>244.8</v>
      </c>
      <c r="H1419" s="15">
        <f t="shared" si="22"/>
        <v>0</v>
      </c>
      <c r="I1419" s="236" t="s">
        <v>19682</v>
      </c>
    </row>
    <row r="1420" spans="1:9" x14ac:dyDescent="0.25">
      <c r="A1420" s="36">
        <v>42897</v>
      </c>
      <c r="B1420" s="18">
        <v>115521</v>
      </c>
      <c r="C1420" s="235" t="s">
        <v>19677</v>
      </c>
      <c r="D1420" s="236" t="s">
        <v>15334</v>
      </c>
      <c r="E1420" s="15">
        <v>1424</v>
      </c>
      <c r="F1420" s="237">
        <v>42898</v>
      </c>
      <c r="G1420" s="15">
        <v>1424</v>
      </c>
      <c r="H1420" s="15">
        <f t="shared" si="22"/>
        <v>0</v>
      </c>
      <c r="I1420" s="236" t="s">
        <v>19682</v>
      </c>
    </row>
    <row r="1421" spans="1:9" x14ac:dyDescent="0.25">
      <c r="A1421" s="242">
        <v>42897</v>
      </c>
      <c r="B1421" s="18">
        <v>115522</v>
      </c>
      <c r="C1421" s="235" t="s">
        <v>19677</v>
      </c>
      <c r="D1421" s="236" t="s">
        <v>15350</v>
      </c>
      <c r="E1421" s="15">
        <v>920</v>
      </c>
      <c r="F1421" s="237">
        <v>42898</v>
      </c>
      <c r="G1421" s="15">
        <v>920</v>
      </c>
      <c r="H1421" s="15">
        <f t="shared" si="22"/>
        <v>0</v>
      </c>
      <c r="I1421" s="236" t="s">
        <v>19682</v>
      </c>
    </row>
    <row r="1422" spans="1:9" x14ac:dyDescent="0.25">
      <c r="A1422" s="36">
        <v>42897</v>
      </c>
      <c r="B1422" s="18">
        <v>115523</v>
      </c>
      <c r="C1422" s="235" t="s">
        <v>19677</v>
      </c>
      <c r="D1422" s="236" t="s">
        <v>15358</v>
      </c>
      <c r="E1422" s="15">
        <v>2659.5</v>
      </c>
      <c r="F1422" s="237">
        <v>42898</v>
      </c>
      <c r="G1422" s="15">
        <v>2659.5</v>
      </c>
      <c r="H1422" s="15">
        <f t="shared" si="22"/>
        <v>0</v>
      </c>
      <c r="I1422" s="236" t="s">
        <v>19682</v>
      </c>
    </row>
    <row r="1423" spans="1:9" x14ac:dyDescent="0.25">
      <c r="A1423" s="242">
        <v>42897</v>
      </c>
      <c r="B1423" s="18">
        <v>115524</v>
      </c>
      <c r="C1423" s="235" t="s">
        <v>19677</v>
      </c>
      <c r="D1423" s="236" t="s">
        <v>15644</v>
      </c>
      <c r="E1423" s="15">
        <v>3196</v>
      </c>
      <c r="F1423" s="237">
        <v>42898</v>
      </c>
      <c r="G1423" s="15">
        <v>3196</v>
      </c>
      <c r="H1423" s="15">
        <f t="shared" si="22"/>
        <v>0</v>
      </c>
      <c r="I1423" s="236" t="s">
        <v>19682</v>
      </c>
    </row>
    <row r="1424" spans="1:9" x14ac:dyDescent="0.25">
      <c r="A1424" s="36">
        <v>42897</v>
      </c>
      <c r="B1424" s="18">
        <v>115525</v>
      </c>
      <c r="C1424" s="235" t="s">
        <v>19677</v>
      </c>
      <c r="D1424" s="236" t="s">
        <v>17210</v>
      </c>
      <c r="E1424" s="15">
        <v>2777.7</v>
      </c>
      <c r="F1424" s="237">
        <v>42898</v>
      </c>
      <c r="G1424" s="15">
        <v>2777.7</v>
      </c>
      <c r="H1424" s="15">
        <f t="shared" si="22"/>
        <v>0</v>
      </c>
      <c r="I1424" s="236" t="s">
        <v>19682</v>
      </c>
    </row>
    <row r="1425" spans="1:9" x14ac:dyDescent="0.25">
      <c r="A1425" s="242">
        <v>42897</v>
      </c>
      <c r="B1425" s="18">
        <v>115526</v>
      </c>
      <c r="C1425" s="235" t="s">
        <v>19677</v>
      </c>
      <c r="D1425" s="236" t="s">
        <v>15340</v>
      </c>
      <c r="E1425" s="15">
        <v>10275.200000000001</v>
      </c>
      <c r="F1425" s="237">
        <v>42898</v>
      </c>
      <c r="G1425" s="15">
        <v>10275.200000000001</v>
      </c>
      <c r="H1425" s="15">
        <f t="shared" si="22"/>
        <v>0</v>
      </c>
      <c r="I1425" s="236" t="s">
        <v>19682</v>
      </c>
    </row>
    <row r="1426" spans="1:9" x14ac:dyDescent="0.25">
      <c r="A1426" s="36">
        <v>42897</v>
      </c>
      <c r="B1426" s="18">
        <v>115527</v>
      </c>
      <c r="C1426" s="235" t="s">
        <v>19677</v>
      </c>
      <c r="D1426" s="236" t="s">
        <v>15344</v>
      </c>
      <c r="E1426" s="15">
        <v>2058.6</v>
      </c>
      <c r="F1426" s="237">
        <v>42898</v>
      </c>
      <c r="G1426" s="15">
        <v>2058.6</v>
      </c>
      <c r="H1426" s="15">
        <f t="shared" si="22"/>
        <v>0</v>
      </c>
      <c r="I1426" s="236" t="s">
        <v>19682</v>
      </c>
    </row>
    <row r="1427" spans="1:9" x14ac:dyDescent="0.25">
      <c r="A1427" s="242">
        <v>42897</v>
      </c>
      <c r="B1427" s="18">
        <v>115528</v>
      </c>
      <c r="C1427" s="235" t="s">
        <v>19677</v>
      </c>
      <c r="D1427" s="236" t="s">
        <v>15858</v>
      </c>
      <c r="E1427" s="15">
        <v>2894.72</v>
      </c>
      <c r="F1427" s="237">
        <v>42898</v>
      </c>
      <c r="G1427" s="15">
        <v>2894.72</v>
      </c>
      <c r="H1427" s="15">
        <f t="shared" si="22"/>
        <v>0</v>
      </c>
      <c r="I1427" s="236" t="s">
        <v>19682</v>
      </c>
    </row>
    <row r="1428" spans="1:9" x14ac:dyDescent="0.25">
      <c r="A1428" s="36">
        <v>42897</v>
      </c>
      <c r="B1428" s="18">
        <v>115529</v>
      </c>
      <c r="C1428" s="235" t="s">
        <v>19677</v>
      </c>
      <c r="D1428" s="236" t="s">
        <v>17950</v>
      </c>
      <c r="E1428" s="15">
        <v>3113.6</v>
      </c>
      <c r="F1428" s="237">
        <v>42898</v>
      </c>
      <c r="G1428" s="15">
        <v>3113.6</v>
      </c>
      <c r="H1428" s="15">
        <f t="shared" si="22"/>
        <v>0</v>
      </c>
      <c r="I1428" s="236" t="s">
        <v>19682</v>
      </c>
    </row>
    <row r="1429" spans="1:9" x14ac:dyDescent="0.25">
      <c r="A1429" s="242">
        <v>42897</v>
      </c>
      <c r="B1429" s="18">
        <v>115530</v>
      </c>
      <c r="C1429" s="235" t="s">
        <v>19677</v>
      </c>
      <c r="D1429" s="236" t="s">
        <v>15252</v>
      </c>
      <c r="E1429" s="15">
        <v>4010.3</v>
      </c>
      <c r="F1429" s="237">
        <v>42901</v>
      </c>
      <c r="G1429" s="15">
        <v>4010.3</v>
      </c>
      <c r="H1429" s="15">
        <f t="shared" si="22"/>
        <v>0</v>
      </c>
      <c r="I1429" s="236" t="s">
        <v>19682</v>
      </c>
    </row>
    <row r="1430" spans="1:9" x14ac:dyDescent="0.25">
      <c r="A1430" s="36">
        <v>42897</v>
      </c>
      <c r="B1430" s="18">
        <v>115531</v>
      </c>
      <c r="C1430" s="235" t="s">
        <v>19677</v>
      </c>
      <c r="D1430" s="236" t="s">
        <v>15254</v>
      </c>
      <c r="E1430" s="15">
        <v>9735.2000000000007</v>
      </c>
      <c r="F1430" s="237">
        <v>42898</v>
      </c>
      <c r="G1430" s="15">
        <v>9735.2000000000007</v>
      </c>
      <c r="H1430" s="15">
        <f t="shared" si="22"/>
        <v>0</v>
      </c>
      <c r="I1430" s="236" t="s">
        <v>19682</v>
      </c>
    </row>
    <row r="1431" spans="1:9" x14ac:dyDescent="0.25">
      <c r="A1431" s="242">
        <v>42897</v>
      </c>
      <c r="B1431" s="18">
        <v>115532</v>
      </c>
      <c r="C1431" s="235" t="s">
        <v>19677</v>
      </c>
      <c r="D1431" s="236" t="s">
        <v>15244</v>
      </c>
      <c r="E1431" s="15">
        <v>14475.4</v>
      </c>
      <c r="F1431" s="237">
        <v>42900</v>
      </c>
      <c r="G1431" s="15">
        <v>14475.4</v>
      </c>
      <c r="H1431" s="15">
        <f t="shared" si="22"/>
        <v>0</v>
      </c>
      <c r="I1431" s="236" t="s">
        <v>19682</v>
      </c>
    </row>
    <row r="1432" spans="1:9" x14ac:dyDescent="0.25">
      <c r="A1432" s="36">
        <v>42897</v>
      </c>
      <c r="B1432" s="18">
        <v>115533</v>
      </c>
      <c r="C1432" s="235" t="s">
        <v>19677</v>
      </c>
      <c r="D1432" s="236" t="s">
        <v>15332</v>
      </c>
      <c r="E1432" s="15">
        <v>4000</v>
      </c>
      <c r="F1432" s="237">
        <v>42898</v>
      </c>
      <c r="G1432" s="15">
        <v>4000</v>
      </c>
      <c r="H1432" s="15">
        <f t="shared" si="22"/>
        <v>0</v>
      </c>
      <c r="I1432" s="236" t="s">
        <v>19682</v>
      </c>
    </row>
    <row r="1433" spans="1:9" x14ac:dyDescent="0.25">
      <c r="A1433" s="242">
        <v>42897</v>
      </c>
      <c r="B1433" s="18">
        <v>115534</v>
      </c>
      <c r="C1433" s="235" t="s">
        <v>19677</v>
      </c>
      <c r="D1433" s="236" t="s">
        <v>15396</v>
      </c>
      <c r="E1433" s="15">
        <v>4127.28</v>
      </c>
      <c r="F1433" s="237">
        <v>42897</v>
      </c>
      <c r="G1433" s="15">
        <v>4127.28</v>
      </c>
      <c r="H1433" s="15">
        <f t="shared" si="22"/>
        <v>0</v>
      </c>
      <c r="I1433" s="236" t="s">
        <v>19682</v>
      </c>
    </row>
    <row r="1434" spans="1:9" x14ac:dyDescent="0.25">
      <c r="A1434" s="36">
        <v>42897</v>
      </c>
      <c r="B1434" s="18">
        <v>115535</v>
      </c>
      <c r="C1434" s="235" t="s">
        <v>19677</v>
      </c>
      <c r="D1434" s="236" t="s">
        <v>15252</v>
      </c>
      <c r="E1434" s="15">
        <v>883.2</v>
      </c>
      <c r="F1434" s="237">
        <v>42901</v>
      </c>
      <c r="G1434" s="15">
        <v>883.2</v>
      </c>
      <c r="H1434" s="15">
        <f t="shared" si="22"/>
        <v>0</v>
      </c>
      <c r="I1434" s="236" t="s">
        <v>19682</v>
      </c>
    </row>
    <row r="1435" spans="1:9" x14ac:dyDescent="0.25">
      <c r="A1435" s="242">
        <v>42897</v>
      </c>
      <c r="B1435" s="18">
        <v>115536</v>
      </c>
      <c r="C1435" s="235" t="s">
        <v>19677</v>
      </c>
      <c r="D1435" s="236" t="s">
        <v>15541</v>
      </c>
      <c r="E1435" s="15">
        <v>1578.84</v>
      </c>
      <c r="F1435" s="237">
        <v>42898</v>
      </c>
      <c r="G1435" s="15">
        <v>1578.84</v>
      </c>
      <c r="H1435" s="15">
        <f t="shared" si="22"/>
        <v>0</v>
      </c>
      <c r="I1435" s="236" t="s">
        <v>19682</v>
      </c>
    </row>
    <row r="1436" spans="1:9" x14ac:dyDescent="0.25">
      <c r="A1436" s="36">
        <v>42897</v>
      </c>
      <c r="B1436" s="18">
        <v>115537</v>
      </c>
      <c r="C1436" s="235" t="s">
        <v>19677</v>
      </c>
      <c r="D1436" s="236" t="s">
        <v>15246</v>
      </c>
      <c r="E1436" s="15">
        <v>2300</v>
      </c>
      <c r="F1436" s="237">
        <v>42901</v>
      </c>
      <c r="G1436" s="15">
        <v>2300</v>
      </c>
      <c r="H1436" s="15">
        <f t="shared" si="22"/>
        <v>0</v>
      </c>
      <c r="I1436" s="236" t="s">
        <v>19682</v>
      </c>
    </row>
    <row r="1437" spans="1:9" x14ac:dyDescent="0.25">
      <c r="A1437" s="242">
        <v>42897</v>
      </c>
      <c r="B1437" s="18">
        <v>115538</v>
      </c>
      <c r="C1437" s="235" t="s">
        <v>19677</v>
      </c>
      <c r="D1437" s="236" t="s">
        <v>15324</v>
      </c>
      <c r="E1437" s="15">
        <v>2474.1999999999998</v>
      </c>
      <c r="F1437" s="237">
        <v>42897</v>
      </c>
      <c r="G1437" s="15">
        <v>2474.1999999999998</v>
      </c>
      <c r="H1437" s="15">
        <f t="shared" si="22"/>
        <v>0</v>
      </c>
      <c r="I1437" s="236" t="s">
        <v>19682</v>
      </c>
    </row>
    <row r="1438" spans="1:9" x14ac:dyDescent="0.25">
      <c r="A1438" s="36">
        <v>42897</v>
      </c>
      <c r="B1438" s="18">
        <v>115539</v>
      </c>
      <c r="C1438" s="235" t="s">
        <v>19677</v>
      </c>
      <c r="D1438" s="236" t="s">
        <v>15315</v>
      </c>
      <c r="E1438" s="15">
        <v>2300</v>
      </c>
      <c r="F1438" s="237">
        <v>42897</v>
      </c>
      <c r="G1438" s="15">
        <v>2300</v>
      </c>
      <c r="H1438" s="15">
        <f t="shared" si="22"/>
        <v>0</v>
      </c>
      <c r="I1438" s="236" t="s">
        <v>19682</v>
      </c>
    </row>
    <row r="1439" spans="1:9" x14ac:dyDescent="0.25">
      <c r="A1439" s="242">
        <v>42897</v>
      </c>
      <c r="B1439" s="18">
        <v>115540</v>
      </c>
      <c r="C1439" s="235" t="s">
        <v>19677</v>
      </c>
      <c r="D1439" s="236" t="s">
        <v>15624</v>
      </c>
      <c r="E1439" s="15">
        <v>30438.16</v>
      </c>
      <c r="F1439" s="237">
        <v>42898</v>
      </c>
      <c r="G1439" s="15">
        <v>30438.16</v>
      </c>
      <c r="H1439" s="15">
        <f t="shared" si="22"/>
        <v>0</v>
      </c>
      <c r="I1439" s="236" t="s">
        <v>19682</v>
      </c>
    </row>
    <row r="1440" spans="1:9" x14ac:dyDescent="0.25">
      <c r="A1440" s="36">
        <v>42897</v>
      </c>
      <c r="B1440" s="18">
        <v>115541</v>
      </c>
      <c r="C1440" s="235" t="s">
        <v>19677</v>
      </c>
      <c r="D1440" s="236" t="s">
        <v>15566</v>
      </c>
      <c r="E1440" s="15">
        <v>3536.4</v>
      </c>
      <c r="F1440" s="237">
        <v>42897</v>
      </c>
      <c r="G1440" s="15">
        <v>3536.4</v>
      </c>
      <c r="H1440" s="15">
        <f t="shared" si="22"/>
        <v>0</v>
      </c>
      <c r="I1440" s="236" t="s">
        <v>19682</v>
      </c>
    </row>
    <row r="1441" spans="1:9" x14ac:dyDescent="0.25">
      <c r="A1441" s="242">
        <v>42897</v>
      </c>
      <c r="B1441" s="18">
        <v>115542</v>
      </c>
      <c r="C1441" s="235" t="s">
        <v>19677</v>
      </c>
      <c r="D1441" s="236" t="s">
        <v>15987</v>
      </c>
      <c r="E1441" s="15">
        <v>380</v>
      </c>
      <c r="F1441" s="237">
        <v>42897</v>
      </c>
      <c r="G1441" s="15">
        <v>380</v>
      </c>
      <c r="H1441" s="15">
        <f t="shared" si="22"/>
        <v>0</v>
      </c>
      <c r="I1441" s="236" t="s">
        <v>19682</v>
      </c>
    </row>
    <row r="1442" spans="1:9" x14ac:dyDescent="0.25">
      <c r="A1442" s="36">
        <v>42897</v>
      </c>
      <c r="B1442" s="18">
        <v>115543</v>
      </c>
      <c r="C1442" s="235" t="s">
        <v>19677</v>
      </c>
      <c r="D1442" s="236" t="s">
        <v>15298</v>
      </c>
      <c r="E1442" s="15">
        <v>3891.2</v>
      </c>
      <c r="F1442" s="237">
        <v>42897</v>
      </c>
      <c r="G1442" s="15">
        <v>3891.2</v>
      </c>
      <c r="H1442" s="15">
        <f t="shared" si="22"/>
        <v>0</v>
      </c>
      <c r="I1442" s="236" t="s">
        <v>19682</v>
      </c>
    </row>
    <row r="1443" spans="1:9" x14ac:dyDescent="0.25">
      <c r="A1443" s="242">
        <v>42897</v>
      </c>
      <c r="B1443" s="18">
        <v>115544</v>
      </c>
      <c r="C1443" s="235" t="s">
        <v>19677</v>
      </c>
      <c r="D1443" s="236" t="s">
        <v>15706</v>
      </c>
      <c r="E1443" s="15">
        <v>1556.1</v>
      </c>
      <c r="F1443" s="237">
        <v>42897</v>
      </c>
      <c r="G1443" s="15">
        <v>1556.1</v>
      </c>
      <c r="H1443" s="15">
        <f t="shared" si="22"/>
        <v>0</v>
      </c>
      <c r="I1443" s="236" t="s">
        <v>19682</v>
      </c>
    </row>
    <row r="1444" spans="1:9" x14ac:dyDescent="0.25">
      <c r="A1444" s="36">
        <v>42897</v>
      </c>
      <c r="B1444" s="18">
        <v>115545</v>
      </c>
      <c r="C1444" s="235" t="s">
        <v>19677</v>
      </c>
      <c r="D1444" s="236" t="s">
        <v>15320</v>
      </c>
      <c r="E1444" s="15">
        <v>2200</v>
      </c>
      <c r="F1444" s="237">
        <v>42898</v>
      </c>
      <c r="G1444" s="15">
        <v>2200</v>
      </c>
      <c r="H1444" s="15">
        <f t="shared" si="22"/>
        <v>0</v>
      </c>
      <c r="I1444" s="236" t="s">
        <v>19682</v>
      </c>
    </row>
    <row r="1445" spans="1:9" x14ac:dyDescent="0.25">
      <c r="A1445" s="242">
        <v>42897</v>
      </c>
      <c r="B1445" s="18">
        <v>115546</v>
      </c>
      <c r="C1445" s="235" t="s">
        <v>19677</v>
      </c>
      <c r="D1445" s="236" t="s">
        <v>15291</v>
      </c>
      <c r="E1445" s="15">
        <v>690</v>
      </c>
      <c r="F1445" s="237">
        <v>42898</v>
      </c>
      <c r="G1445" s="15">
        <v>690</v>
      </c>
      <c r="H1445" s="15">
        <f t="shared" si="22"/>
        <v>0</v>
      </c>
      <c r="I1445" s="236" t="s">
        <v>19682</v>
      </c>
    </row>
    <row r="1446" spans="1:9" x14ac:dyDescent="0.25">
      <c r="A1446" s="36">
        <v>42897</v>
      </c>
      <c r="B1446" s="18">
        <v>115547</v>
      </c>
      <c r="C1446" s="235" t="s">
        <v>19677</v>
      </c>
      <c r="D1446" s="236" t="s">
        <v>15920</v>
      </c>
      <c r="E1446" s="15">
        <v>8393.6</v>
      </c>
      <c r="F1446" s="237">
        <v>42898</v>
      </c>
      <c r="G1446" s="15">
        <v>8393.6</v>
      </c>
      <c r="H1446" s="15">
        <f t="shared" si="22"/>
        <v>0</v>
      </c>
      <c r="I1446" s="236" t="s">
        <v>19682</v>
      </c>
    </row>
    <row r="1447" spans="1:9" x14ac:dyDescent="0.25">
      <c r="A1447" s="242">
        <v>42897</v>
      </c>
      <c r="B1447" s="18">
        <v>115548</v>
      </c>
      <c r="C1447" s="235" t="s">
        <v>19677</v>
      </c>
      <c r="D1447" s="236" t="s">
        <v>15307</v>
      </c>
      <c r="E1447" s="15">
        <v>3497</v>
      </c>
      <c r="F1447" s="237">
        <v>42898</v>
      </c>
      <c r="G1447" s="15">
        <v>3497</v>
      </c>
      <c r="H1447" s="15">
        <f t="shared" si="22"/>
        <v>0</v>
      </c>
      <c r="I1447" s="236" t="s">
        <v>19682</v>
      </c>
    </row>
    <row r="1448" spans="1:9" x14ac:dyDescent="0.25">
      <c r="A1448" s="36">
        <v>42897</v>
      </c>
      <c r="B1448" s="18">
        <v>115549</v>
      </c>
      <c r="C1448" s="235" t="s">
        <v>19677</v>
      </c>
      <c r="D1448" s="236" t="s">
        <v>17462</v>
      </c>
      <c r="E1448" s="15">
        <v>3077.2</v>
      </c>
      <c r="F1448" s="237">
        <v>42897</v>
      </c>
      <c r="G1448" s="15">
        <v>3077.2</v>
      </c>
      <c r="H1448" s="15">
        <f t="shared" si="22"/>
        <v>0</v>
      </c>
      <c r="I1448" s="236" t="s">
        <v>19682</v>
      </c>
    </row>
    <row r="1449" spans="1:9" x14ac:dyDescent="0.25">
      <c r="A1449" s="242">
        <v>42897</v>
      </c>
      <c r="B1449" s="18">
        <v>115550</v>
      </c>
      <c r="C1449" s="235" t="s">
        <v>19677</v>
      </c>
      <c r="D1449" s="236" t="s">
        <v>15378</v>
      </c>
      <c r="E1449" s="15">
        <v>270</v>
      </c>
      <c r="F1449" s="237">
        <v>42897</v>
      </c>
      <c r="G1449" s="15">
        <v>270</v>
      </c>
      <c r="H1449" s="15">
        <f t="shared" si="22"/>
        <v>0</v>
      </c>
      <c r="I1449" s="236" t="s">
        <v>19682</v>
      </c>
    </row>
    <row r="1450" spans="1:9" x14ac:dyDescent="0.25">
      <c r="A1450" s="36">
        <v>42897</v>
      </c>
      <c r="B1450" s="18">
        <v>115551</v>
      </c>
      <c r="C1450" s="235" t="s">
        <v>19677</v>
      </c>
      <c r="D1450" s="236" t="s">
        <v>15246</v>
      </c>
      <c r="E1450" s="15">
        <v>159196.20000000001</v>
      </c>
      <c r="F1450" s="237">
        <v>42901</v>
      </c>
      <c r="G1450" s="15">
        <v>159196.20000000001</v>
      </c>
      <c r="H1450" s="15">
        <f t="shared" si="22"/>
        <v>0</v>
      </c>
      <c r="I1450" s="236" t="s">
        <v>19682</v>
      </c>
    </row>
    <row r="1451" spans="1:9" x14ac:dyDescent="0.25">
      <c r="A1451" s="242">
        <v>42897</v>
      </c>
      <c r="B1451" s="18">
        <v>115552</v>
      </c>
      <c r="C1451" s="235" t="s">
        <v>19677</v>
      </c>
      <c r="D1451" s="236" t="s">
        <v>15284</v>
      </c>
      <c r="E1451" s="15">
        <v>1095.0999999999999</v>
      </c>
      <c r="F1451" s="237">
        <v>42897</v>
      </c>
      <c r="G1451" s="15">
        <v>1095.0999999999999</v>
      </c>
      <c r="H1451" s="15">
        <f t="shared" si="22"/>
        <v>0</v>
      </c>
      <c r="I1451" s="236" t="s">
        <v>19682</v>
      </c>
    </row>
    <row r="1452" spans="1:9" x14ac:dyDescent="0.25">
      <c r="A1452" s="36">
        <v>42897</v>
      </c>
      <c r="B1452" s="18">
        <v>115553</v>
      </c>
      <c r="C1452" s="235" t="s">
        <v>19677</v>
      </c>
      <c r="D1452" s="236" t="s">
        <v>15267</v>
      </c>
      <c r="E1452" s="15">
        <v>21526.400000000001</v>
      </c>
      <c r="F1452" s="237">
        <v>42933</v>
      </c>
      <c r="G1452" s="15">
        <v>21526.400000000001</v>
      </c>
      <c r="H1452" s="15">
        <f t="shared" si="22"/>
        <v>0</v>
      </c>
      <c r="I1452" s="236" t="s">
        <v>19682</v>
      </c>
    </row>
    <row r="1453" spans="1:9" ht="15.75" x14ac:dyDescent="0.25">
      <c r="A1453" s="242">
        <v>42897</v>
      </c>
      <c r="B1453" s="18">
        <v>115554</v>
      </c>
      <c r="C1453" s="235" t="s">
        <v>19677</v>
      </c>
      <c r="D1453" s="239" t="s">
        <v>95</v>
      </c>
      <c r="E1453" s="15">
        <v>0</v>
      </c>
      <c r="F1453" s="243" t="s">
        <v>95</v>
      </c>
      <c r="G1453" s="15">
        <v>0</v>
      </c>
      <c r="H1453" s="15">
        <f t="shared" si="22"/>
        <v>0</v>
      </c>
      <c r="I1453" s="236" t="s">
        <v>19678</v>
      </c>
    </row>
    <row r="1454" spans="1:9" x14ac:dyDescent="0.25">
      <c r="A1454" s="36">
        <v>42897</v>
      </c>
      <c r="B1454" s="18">
        <v>115555</v>
      </c>
      <c r="C1454" s="235" t="s">
        <v>19677</v>
      </c>
      <c r="D1454" s="236" t="s">
        <v>16126</v>
      </c>
      <c r="E1454" s="15">
        <v>802.8</v>
      </c>
      <c r="F1454" s="237">
        <v>42897</v>
      </c>
      <c r="G1454" s="15">
        <v>802.8</v>
      </c>
      <c r="H1454" s="15">
        <f t="shared" si="22"/>
        <v>0</v>
      </c>
      <c r="I1454" s="236" t="s">
        <v>19682</v>
      </c>
    </row>
    <row r="1455" spans="1:9" x14ac:dyDescent="0.25">
      <c r="A1455" s="242">
        <v>42897</v>
      </c>
      <c r="B1455" s="18">
        <v>115556</v>
      </c>
      <c r="C1455" s="235" t="s">
        <v>19677</v>
      </c>
      <c r="D1455" s="236" t="s">
        <v>15246</v>
      </c>
      <c r="E1455" s="15">
        <v>116468.4</v>
      </c>
      <c r="F1455" s="237">
        <v>42901</v>
      </c>
      <c r="G1455" s="15">
        <v>116468.4</v>
      </c>
      <c r="H1455" s="15">
        <f t="shared" si="22"/>
        <v>0</v>
      </c>
      <c r="I1455" s="236" t="s">
        <v>19682</v>
      </c>
    </row>
    <row r="1456" spans="1:9" x14ac:dyDescent="0.25">
      <c r="A1456" s="36">
        <v>42897</v>
      </c>
      <c r="B1456" s="18">
        <v>115557</v>
      </c>
      <c r="C1456" s="235" t="s">
        <v>19677</v>
      </c>
      <c r="D1456" s="236" t="s">
        <v>15213</v>
      </c>
      <c r="E1456" s="15">
        <v>2947.5</v>
      </c>
      <c r="F1456" s="237">
        <v>42898</v>
      </c>
      <c r="G1456" s="15">
        <v>2947.5</v>
      </c>
      <c r="H1456" s="15">
        <f t="shared" si="22"/>
        <v>0</v>
      </c>
      <c r="I1456" s="236" t="s">
        <v>19682</v>
      </c>
    </row>
    <row r="1457" spans="1:9" x14ac:dyDescent="0.25">
      <c r="A1457" s="242">
        <v>42897</v>
      </c>
      <c r="B1457" s="18">
        <v>115558</v>
      </c>
      <c r="C1457" s="235" t="s">
        <v>19677</v>
      </c>
      <c r="D1457" s="236" t="s">
        <v>15644</v>
      </c>
      <c r="E1457" s="15">
        <v>3125.5</v>
      </c>
      <c r="F1457" s="237">
        <v>42898</v>
      </c>
      <c r="G1457" s="15">
        <v>3125.5</v>
      </c>
      <c r="H1457" s="15">
        <f t="shared" si="22"/>
        <v>0</v>
      </c>
      <c r="I1457" s="236" t="s">
        <v>19682</v>
      </c>
    </row>
    <row r="1458" spans="1:9" x14ac:dyDescent="0.25">
      <c r="A1458" s="242">
        <v>42898</v>
      </c>
      <c r="B1458" s="18">
        <v>115559</v>
      </c>
      <c r="C1458" s="235" t="s">
        <v>19677</v>
      </c>
      <c r="D1458" s="236" t="s">
        <v>15213</v>
      </c>
      <c r="E1458" s="15">
        <v>9434.6</v>
      </c>
      <c r="F1458" s="237">
        <v>42899</v>
      </c>
      <c r="G1458" s="15">
        <v>9434.6</v>
      </c>
      <c r="H1458" s="15">
        <f t="shared" si="22"/>
        <v>0</v>
      </c>
      <c r="I1458" s="236" t="s">
        <v>19682</v>
      </c>
    </row>
    <row r="1459" spans="1:9" x14ac:dyDescent="0.25">
      <c r="A1459" s="36">
        <v>42898</v>
      </c>
      <c r="B1459" s="18">
        <v>115560</v>
      </c>
      <c r="C1459" s="235" t="s">
        <v>19677</v>
      </c>
      <c r="D1459" s="236" t="s">
        <v>17235</v>
      </c>
      <c r="E1459" s="15">
        <v>920</v>
      </c>
      <c r="F1459" s="237">
        <v>42898</v>
      </c>
      <c r="G1459" s="15">
        <v>920</v>
      </c>
      <c r="H1459" s="15">
        <f t="shared" si="22"/>
        <v>0</v>
      </c>
      <c r="I1459" s="236" t="s">
        <v>19682</v>
      </c>
    </row>
    <row r="1460" spans="1:9" x14ac:dyDescent="0.25">
      <c r="A1460" s="242">
        <v>42898</v>
      </c>
      <c r="B1460" s="18">
        <v>115561</v>
      </c>
      <c r="C1460" s="235" t="s">
        <v>19677</v>
      </c>
      <c r="D1460" s="236" t="s">
        <v>15216</v>
      </c>
      <c r="E1460" s="15">
        <v>1017.6</v>
      </c>
      <c r="F1460" s="237">
        <v>42898</v>
      </c>
      <c r="G1460" s="15">
        <v>1017.6</v>
      </c>
      <c r="H1460" s="15">
        <f t="shared" si="22"/>
        <v>0</v>
      </c>
      <c r="I1460" s="236" t="s">
        <v>19682</v>
      </c>
    </row>
    <row r="1461" spans="1:9" x14ac:dyDescent="0.25">
      <c r="A1461" s="36">
        <v>42898</v>
      </c>
      <c r="B1461" s="18">
        <v>115562</v>
      </c>
      <c r="C1461" s="235" t="s">
        <v>19677</v>
      </c>
      <c r="D1461" s="236" t="s">
        <v>15213</v>
      </c>
      <c r="E1461" s="15">
        <v>33849</v>
      </c>
      <c r="F1461" s="237">
        <v>39246</v>
      </c>
      <c r="G1461" s="15">
        <v>33849</v>
      </c>
      <c r="H1461" s="15">
        <f t="shared" si="22"/>
        <v>0</v>
      </c>
      <c r="I1461" s="236" t="s">
        <v>19682</v>
      </c>
    </row>
    <row r="1462" spans="1:9" x14ac:dyDescent="0.25">
      <c r="A1462" s="242">
        <v>42898</v>
      </c>
      <c r="B1462" s="18">
        <v>115563</v>
      </c>
      <c r="C1462" s="235" t="s">
        <v>19677</v>
      </c>
      <c r="D1462" s="236" t="s">
        <v>15230</v>
      </c>
      <c r="E1462" s="15">
        <v>9952</v>
      </c>
      <c r="F1462" s="237">
        <v>42899</v>
      </c>
      <c r="G1462" s="15">
        <v>9952</v>
      </c>
      <c r="H1462" s="15">
        <f t="shared" si="22"/>
        <v>0</v>
      </c>
      <c r="I1462" s="236" t="s">
        <v>19682</v>
      </c>
    </row>
    <row r="1463" spans="1:9" ht="15.75" x14ac:dyDescent="0.25">
      <c r="A1463" s="36">
        <v>42898</v>
      </c>
      <c r="B1463" s="18">
        <v>115564</v>
      </c>
      <c r="C1463" s="235" t="s">
        <v>19677</v>
      </c>
      <c r="D1463" s="239" t="s">
        <v>95</v>
      </c>
      <c r="E1463" s="15">
        <v>0</v>
      </c>
      <c r="F1463" s="240" t="s">
        <v>95</v>
      </c>
      <c r="G1463" s="15">
        <v>0</v>
      </c>
      <c r="H1463" s="15">
        <f t="shared" si="22"/>
        <v>0</v>
      </c>
      <c r="I1463" s="236" t="s">
        <v>19678</v>
      </c>
    </row>
    <row r="1464" spans="1:9" x14ac:dyDescent="0.25">
      <c r="A1464" s="242">
        <v>42898</v>
      </c>
      <c r="B1464" s="18">
        <v>115565</v>
      </c>
      <c r="C1464" s="235" t="s">
        <v>19677</v>
      </c>
      <c r="D1464" s="236" t="s">
        <v>15272</v>
      </c>
      <c r="E1464" s="15">
        <v>22720.6</v>
      </c>
      <c r="F1464" s="237">
        <v>42898</v>
      </c>
      <c r="G1464" s="15">
        <v>22720.6</v>
      </c>
      <c r="H1464" s="15">
        <f t="shared" si="22"/>
        <v>0</v>
      </c>
      <c r="I1464" s="236" t="s">
        <v>19682</v>
      </c>
    </row>
    <row r="1465" spans="1:9" x14ac:dyDescent="0.25">
      <c r="A1465" s="36">
        <v>42898</v>
      </c>
      <c r="B1465" s="18">
        <v>115566</v>
      </c>
      <c r="C1465" s="235" t="s">
        <v>19677</v>
      </c>
      <c r="D1465" s="236" t="s">
        <v>15232</v>
      </c>
      <c r="E1465" s="15">
        <v>5784</v>
      </c>
      <c r="F1465" s="237">
        <v>42901</v>
      </c>
      <c r="G1465" s="15">
        <v>5784</v>
      </c>
      <c r="H1465" s="15">
        <f t="shared" si="22"/>
        <v>0</v>
      </c>
      <c r="I1465" s="236" t="s">
        <v>19682</v>
      </c>
    </row>
    <row r="1466" spans="1:9" x14ac:dyDescent="0.25">
      <c r="A1466" s="242">
        <v>42898</v>
      </c>
      <c r="B1466" s="18">
        <v>115567</v>
      </c>
      <c r="C1466" s="235" t="s">
        <v>19677</v>
      </c>
      <c r="D1466" s="236" t="s">
        <v>15382</v>
      </c>
      <c r="E1466" s="15">
        <v>9919.9</v>
      </c>
      <c r="F1466" s="237">
        <v>42916</v>
      </c>
      <c r="G1466" s="15">
        <v>9919.9</v>
      </c>
      <c r="H1466" s="15">
        <f t="shared" si="22"/>
        <v>0</v>
      </c>
      <c r="I1466" s="236" t="s">
        <v>19682</v>
      </c>
    </row>
    <row r="1467" spans="1:9" ht="15.75" x14ac:dyDescent="0.25">
      <c r="A1467" s="36">
        <v>42898</v>
      </c>
      <c r="B1467" s="18">
        <v>115568</v>
      </c>
      <c r="C1467" s="235" t="s">
        <v>19677</v>
      </c>
      <c r="D1467" s="248" t="s">
        <v>95</v>
      </c>
      <c r="E1467" s="15">
        <v>0</v>
      </c>
      <c r="F1467" s="243" t="s">
        <v>95</v>
      </c>
      <c r="G1467" s="15">
        <v>0</v>
      </c>
      <c r="H1467" s="15">
        <f t="shared" si="22"/>
        <v>0</v>
      </c>
      <c r="I1467" s="236" t="s">
        <v>19678</v>
      </c>
    </row>
    <row r="1468" spans="1:9" x14ac:dyDescent="0.25">
      <c r="A1468" s="242">
        <v>42898</v>
      </c>
      <c r="B1468" s="18">
        <v>115569</v>
      </c>
      <c r="C1468" s="235" t="s">
        <v>19677</v>
      </c>
      <c r="D1468" s="236" t="s">
        <v>15389</v>
      </c>
      <c r="E1468" s="15">
        <v>18628.400000000001</v>
      </c>
      <c r="F1468" s="237">
        <v>42916</v>
      </c>
      <c r="G1468" s="15">
        <v>18628.400000000001</v>
      </c>
      <c r="H1468" s="15">
        <f t="shared" si="22"/>
        <v>0</v>
      </c>
      <c r="I1468" s="236" t="s">
        <v>19682</v>
      </c>
    </row>
    <row r="1469" spans="1:9" x14ac:dyDescent="0.25">
      <c r="A1469" s="36">
        <v>42898</v>
      </c>
      <c r="B1469" s="18">
        <v>115570</v>
      </c>
      <c r="C1469" s="235" t="s">
        <v>19677</v>
      </c>
      <c r="D1469" s="236" t="s">
        <v>15373</v>
      </c>
      <c r="E1469" s="15">
        <v>23203.7</v>
      </c>
      <c r="F1469" s="237">
        <v>42899</v>
      </c>
      <c r="G1469" s="15">
        <v>23203.7</v>
      </c>
      <c r="H1469" s="15">
        <f t="shared" si="22"/>
        <v>0</v>
      </c>
      <c r="I1469" s="236" t="s">
        <v>19682</v>
      </c>
    </row>
    <row r="1470" spans="1:9" x14ac:dyDescent="0.25">
      <c r="A1470" s="242">
        <v>42898</v>
      </c>
      <c r="B1470" s="18">
        <v>115571</v>
      </c>
      <c r="C1470" s="235" t="s">
        <v>19677</v>
      </c>
      <c r="D1470" s="236" t="s">
        <v>19549</v>
      </c>
      <c r="E1470" s="15">
        <v>12180.9</v>
      </c>
      <c r="F1470" s="237">
        <v>42899</v>
      </c>
      <c r="G1470" s="15">
        <v>12180.9</v>
      </c>
      <c r="H1470" s="15">
        <f t="shared" si="22"/>
        <v>0</v>
      </c>
      <c r="I1470" s="236" t="s">
        <v>19682</v>
      </c>
    </row>
    <row r="1471" spans="1:9" x14ac:dyDescent="0.25">
      <c r="A1471" s="36">
        <v>42898</v>
      </c>
      <c r="B1471" s="18">
        <v>115572</v>
      </c>
      <c r="C1471" s="235" t="s">
        <v>19677</v>
      </c>
      <c r="D1471" s="236" t="s">
        <v>15380</v>
      </c>
      <c r="E1471" s="15">
        <v>44452.1</v>
      </c>
      <c r="F1471" s="237">
        <v>42916</v>
      </c>
      <c r="G1471" s="15">
        <v>44452.1</v>
      </c>
      <c r="H1471" s="15">
        <f t="shared" si="22"/>
        <v>0</v>
      </c>
      <c r="I1471" s="236" t="s">
        <v>19682</v>
      </c>
    </row>
    <row r="1472" spans="1:9" ht="15.75" x14ac:dyDescent="0.25">
      <c r="A1472" s="242">
        <v>42898</v>
      </c>
      <c r="B1472" s="18">
        <v>115573</v>
      </c>
      <c r="C1472" s="235" t="s">
        <v>19677</v>
      </c>
      <c r="D1472" s="248" t="s">
        <v>95</v>
      </c>
      <c r="E1472" s="15">
        <v>0</v>
      </c>
      <c r="F1472" s="243" t="s">
        <v>95</v>
      </c>
      <c r="G1472" s="15">
        <v>0</v>
      </c>
      <c r="H1472" s="15">
        <f t="shared" si="22"/>
        <v>0</v>
      </c>
      <c r="I1472" s="236" t="s">
        <v>19678</v>
      </c>
    </row>
    <row r="1473" spans="1:9" x14ac:dyDescent="0.25">
      <c r="A1473" s="36">
        <v>42898</v>
      </c>
      <c r="B1473" s="18">
        <v>115574</v>
      </c>
      <c r="C1473" s="235" t="s">
        <v>19677</v>
      </c>
      <c r="D1473" s="236" t="s">
        <v>15367</v>
      </c>
      <c r="E1473" s="15">
        <v>6666</v>
      </c>
      <c r="F1473" s="237">
        <v>42899</v>
      </c>
      <c r="G1473" s="15">
        <v>6666</v>
      </c>
      <c r="H1473" s="15">
        <f t="shared" si="22"/>
        <v>0</v>
      </c>
      <c r="I1473" s="236" t="s">
        <v>19682</v>
      </c>
    </row>
    <row r="1474" spans="1:9" x14ac:dyDescent="0.25">
      <c r="A1474" s="242">
        <v>42898</v>
      </c>
      <c r="B1474" s="18">
        <v>115575</v>
      </c>
      <c r="C1474" s="235" t="s">
        <v>19677</v>
      </c>
      <c r="D1474" s="236" t="s">
        <v>15263</v>
      </c>
      <c r="E1474" s="15">
        <v>4461.22</v>
      </c>
      <c r="F1474" s="237">
        <v>42898</v>
      </c>
      <c r="G1474" s="15">
        <v>4461.22</v>
      </c>
      <c r="H1474" s="15">
        <f t="shared" ref="H1474:H1537" si="23">E1474-G1474</f>
        <v>0</v>
      </c>
      <c r="I1474" s="236" t="s">
        <v>19682</v>
      </c>
    </row>
    <row r="1475" spans="1:9" x14ac:dyDescent="0.25">
      <c r="A1475" s="36">
        <v>42898</v>
      </c>
      <c r="B1475" s="18">
        <v>115576</v>
      </c>
      <c r="C1475" s="235" t="s">
        <v>19677</v>
      </c>
      <c r="D1475" s="236" t="s">
        <v>15369</v>
      </c>
      <c r="E1475" s="15">
        <v>28892.6</v>
      </c>
      <c r="F1475" s="237">
        <v>42916</v>
      </c>
      <c r="G1475" s="15">
        <v>28892.6</v>
      </c>
      <c r="H1475" s="15">
        <f t="shared" si="23"/>
        <v>0</v>
      </c>
      <c r="I1475" s="236" t="s">
        <v>19682</v>
      </c>
    </row>
    <row r="1476" spans="1:9" x14ac:dyDescent="0.25">
      <c r="A1476" s="242">
        <v>42898</v>
      </c>
      <c r="B1476" s="18">
        <v>115577</v>
      </c>
      <c r="C1476" s="235" t="s">
        <v>19677</v>
      </c>
      <c r="D1476" s="236" t="s">
        <v>18258</v>
      </c>
      <c r="E1476" s="15">
        <v>10987.5</v>
      </c>
      <c r="F1476" s="237">
        <v>42898</v>
      </c>
      <c r="G1476" s="15">
        <v>10987.5</v>
      </c>
      <c r="H1476" s="15">
        <f t="shared" si="23"/>
        <v>0</v>
      </c>
      <c r="I1476" s="236" t="s">
        <v>19682</v>
      </c>
    </row>
    <row r="1477" spans="1:9" x14ac:dyDescent="0.25">
      <c r="A1477" s="36">
        <v>42898</v>
      </c>
      <c r="B1477" s="18">
        <v>115578</v>
      </c>
      <c r="C1477" s="235" t="s">
        <v>19677</v>
      </c>
      <c r="D1477" s="236" t="s">
        <v>15220</v>
      </c>
      <c r="E1477" s="15">
        <v>1610</v>
      </c>
      <c r="F1477" s="237">
        <v>42898</v>
      </c>
      <c r="G1477" s="15">
        <v>1610</v>
      </c>
      <c r="H1477" s="15">
        <f t="shared" si="23"/>
        <v>0</v>
      </c>
      <c r="I1477" s="236" t="s">
        <v>19682</v>
      </c>
    </row>
    <row r="1478" spans="1:9" x14ac:dyDescent="0.25">
      <c r="A1478" s="242">
        <v>42898</v>
      </c>
      <c r="B1478" s="18">
        <v>115579</v>
      </c>
      <c r="C1478" s="235" t="s">
        <v>19677</v>
      </c>
      <c r="D1478" s="236" t="s">
        <v>15668</v>
      </c>
      <c r="E1478" s="15">
        <v>12183.6</v>
      </c>
      <c r="F1478" s="237">
        <v>42901</v>
      </c>
      <c r="G1478" s="15">
        <v>12183.6</v>
      </c>
      <c r="H1478" s="15">
        <f t="shared" si="23"/>
        <v>0</v>
      </c>
      <c r="I1478" s="236" t="s">
        <v>19682</v>
      </c>
    </row>
    <row r="1479" spans="1:9" x14ac:dyDescent="0.25">
      <c r="A1479" s="36">
        <v>42898</v>
      </c>
      <c r="B1479" s="18">
        <v>115580</v>
      </c>
      <c r="C1479" s="235" t="s">
        <v>19677</v>
      </c>
      <c r="D1479" s="236" t="s">
        <v>17462</v>
      </c>
      <c r="E1479" s="15">
        <v>5570</v>
      </c>
      <c r="F1479" s="237">
        <v>42898</v>
      </c>
      <c r="G1479" s="15">
        <v>5570</v>
      </c>
      <c r="H1479" s="15">
        <f t="shared" si="23"/>
        <v>0</v>
      </c>
      <c r="I1479" s="236" t="s">
        <v>19682</v>
      </c>
    </row>
    <row r="1480" spans="1:9" x14ac:dyDescent="0.25">
      <c r="A1480" s="242">
        <v>42898</v>
      </c>
      <c r="B1480" s="18">
        <v>115581</v>
      </c>
      <c r="C1480" s="235" t="s">
        <v>19677</v>
      </c>
      <c r="D1480" s="236" t="s">
        <v>17462</v>
      </c>
      <c r="E1480" s="15">
        <v>182.4</v>
      </c>
      <c r="F1480" s="237">
        <v>42898</v>
      </c>
      <c r="G1480" s="15">
        <v>182.4</v>
      </c>
      <c r="H1480" s="15">
        <f t="shared" si="23"/>
        <v>0</v>
      </c>
      <c r="I1480" s="236" t="s">
        <v>19682</v>
      </c>
    </row>
    <row r="1481" spans="1:9" x14ac:dyDescent="0.25">
      <c r="A1481" s="36">
        <v>42898</v>
      </c>
      <c r="B1481" s="18">
        <v>115582</v>
      </c>
      <c r="C1481" s="235" t="s">
        <v>19677</v>
      </c>
      <c r="D1481" s="236" t="s">
        <v>15324</v>
      </c>
      <c r="E1481" s="15">
        <v>1770</v>
      </c>
      <c r="F1481" s="237">
        <v>42898</v>
      </c>
      <c r="G1481" s="15">
        <v>1770</v>
      </c>
      <c r="H1481" s="15">
        <f t="shared" si="23"/>
        <v>0</v>
      </c>
      <c r="I1481" s="236" t="s">
        <v>19682</v>
      </c>
    </row>
    <row r="1482" spans="1:9" x14ac:dyDescent="0.25">
      <c r="A1482" s="242">
        <v>42898</v>
      </c>
      <c r="B1482" s="18">
        <v>115583</v>
      </c>
      <c r="C1482" s="235" t="s">
        <v>19677</v>
      </c>
      <c r="D1482" s="236" t="s">
        <v>15480</v>
      </c>
      <c r="E1482" s="15">
        <v>3586.8</v>
      </c>
      <c r="F1482" s="237">
        <v>42901</v>
      </c>
      <c r="G1482" s="15">
        <v>3586.8</v>
      </c>
      <c r="H1482" s="15">
        <f t="shared" si="23"/>
        <v>0</v>
      </c>
      <c r="I1482" s="236" t="s">
        <v>19682</v>
      </c>
    </row>
    <row r="1483" spans="1:9" x14ac:dyDescent="0.25">
      <c r="A1483" s="36">
        <v>42898</v>
      </c>
      <c r="B1483" s="18">
        <v>115584</v>
      </c>
      <c r="C1483" s="235" t="s">
        <v>19677</v>
      </c>
      <c r="D1483" s="236" t="s">
        <v>15223</v>
      </c>
      <c r="E1483" s="15">
        <v>43612.800000000003</v>
      </c>
      <c r="F1483" s="237" t="s">
        <v>19794</v>
      </c>
      <c r="G1483" s="241">
        <f>27021.5+8860.45+70+7660.85</f>
        <v>43612.799999999996</v>
      </c>
      <c r="H1483" s="241">
        <f t="shared" si="23"/>
        <v>0</v>
      </c>
      <c r="I1483" s="236" t="s">
        <v>19682</v>
      </c>
    </row>
    <row r="1484" spans="1:9" x14ac:dyDescent="0.25">
      <c r="A1484" s="242">
        <v>42898</v>
      </c>
      <c r="B1484" s="18">
        <v>115585</v>
      </c>
      <c r="C1484" s="235" t="s">
        <v>19677</v>
      </c>
      <c r="D1484" s="236" t="s">
        <v>15226</v>
      </c>
      <c r="E1484" s="15">
        <v>1697.4</v>
      </c>
      <c r="F1484" s="237">
        <v>42900</v>
      </c>
      <c r="G1484" s="15">
        <v>1697.4</v>
      </c>
      <c r="H1484" s="15">
        <f t="shared" si="23"/>
        <v>0</v>
      </c>
      <c r="I1484" s="236" t="s">
        <v>19682</v>
      </c>
    </row>
    <row r="1485" spans="1:9" x14ac:dyDescent="0.25">
      <c r="A1485" s="36">
        <v>42898</v>
      </c>
      <c r="B1485" s="18">
        <v>115586</v>
      </c>
      <c r="C1485" s="235" t="s">
        <v>19677</v>
      </c>
      <c r="D1485" s="236" t="s">
        <v>15338</v>
      </c>
      <c r="E1485" s="15">
        <v>7581.4</v>
      </c>
      <c r="F1485" s="237">
        <v>42901</v>
      </c>
      <c r="G1485" s="15">
        <v>7581.4</v>
      </c>
      <c r="H1485" s="15">
        <f t="shared" si="23"/>
        <v>0</v>
      </c>
      <c r="I1485" s="236" t="s">
        <v>19682</v>
      </c>
    </row>
    <row r="1486" spans="1:9" x14ac:dyDescent="0.25">
      <c r="A1486" s="242">
        <v>42898</v>
      </c>
      <c r="B1486" s="18">
        <v>115587</v>
      </c>
      <c r="C1486" s="235" t="s">
        <v>19677</v>
      </c>
      <c r="D1486" s="236" t="s">
        <v>15258</v>
      </c>
      <c r="E1486" s="15">
        <v>13377</v>
      </c>
      <c r="F1486" s="237" t="s">
        <v>19728</v>
      </c>
      <c r="G1486" s="241">
        <f>10000+3377</f>
        <v>13377</v>
      </c>
      <c r="H1486" s="241">
        <f t="shared" si="23"/>
        <v>0</v>
      </c>
      <c r="I1486" s="236" t="s">
        <v>19682</v>
      </c>
    </row>
    <row r="1487" spans="1:9" x14ac:dyDescent="0.25">
      <c r="A1487" s="36">
        <v>42898</v>
      </c>
      <c r="B1487" s="18">
        <v>115588</v>
      </c>
      <c r="C1487" s="235" t="s">
        <v>19677</v>
      </c>
      <c r="D1487" s="236" t="s">
        <v>18544</v>
      </c>
      <c r="E1487" s="15">
        <v>7840</v>
      </c>
      <c r="F1487" s="237">
        <v>42898</v>
      </c>
      <c r="G1487" s="15">
        <v>7840</v>
      </c>
      <c r="H1487" s="15">
        <f t="shared" si="23"/>
        <v>0</v>
      </c>
      <c r="I1487" s="236" t="s">
        <v>19682</v>
      </c>
    </row>
    <row r="1488" spans="1:9" x14ac:dyDescent="0.25">
      <c r="A1488" s="242">
        <v>42898</v>
      </c>
      <c r="B1488" s="18">
        <v>115589</v>
      </c>
      <c r="C1488" s="235" t="s">
        <v>19677</v>
      </c>
      <c r="D1488" s="236" t="s">
        <v>17430</v>
      </c>
      <c r="E1488" s="15">
        <v>3826.2</v>
      </c>
      <c r="F1488" s="237">
        <v>42898</v>
      </c>
      <c r="G1488" s="15">
        <v>3826.2</v>
      </c>
      <c r="H1488" s="15">
        <f t="shared" si="23"/>
        <v>0</v>
      </c>
      <c r="I1488" s="236" t="s">
        <v>19682</v>
      </c>
    </row>
    <row r="1489" spans="1:9" x14ac:dyDescent="0.25">
      <c r="A1489" s="36">
        <v>42898</v>
      </c>
      <c r="B1489" s="18">
        <v>115590</v>
      </c>
      <c r="C1489" s="235" t="s">
        <v>19677</v>
      </c>
      <c r="D1489" s="236" t="s">
        <v>15330</v>
      </c>
      <c r="E1489" s="15">
        <v>3573</v>
      </c>
      <c r="F1489" s="237">
        <v>42898</v>
      </c>
      <c r="G1489" s="15">
        <v>3573</v>
      </c>
      <c r="H1489" s="15">
        <f t="shared" si="23"/>
        <v>0</v>
      </c>
      <c r="I1489" s="236" t="s">
        <v>19682</v>
      </c>
    </row>
    <row r="1490" spans="1:9" x14ac:dyDescent="0.25">
      <c r="A1490" s="242">
        <v>42898</v>
      </c>
      <c r="B1490" s="18">
        <v>115591</v>
      </c>
      <c r="C1490" s="235" t="s">
        <v>19677</v>
      </c>
      <c r="D1490" s="236" t="s">
        <v>5575</v>
      </c>
      <c r="E1490" s="15">
        <v>3751.8</v>
      </c>
      <c r="F1490" s="237" t="s">
        <v>19729</v>
      </c>
      <c r="G1490" s="241">
        <f>2000+1751.8</f>
        <v>3751.8</v>
      </c>
      <c r="H1490" s="241">
        <f t="shared" si="23"/>
        <v>0</v>
      </c>
      <c r="I1490" s="236" t="s">
        <v>19682</v>
      </c>
    </row>
    <row r="1491" spans="1:9" x14ac:dyDescent="0.25">
      <c r="A1491" s="36">
        <v>42898</v>
      </c>
      <c r="B1491" s="18">
        <v>115592</v>
      </c>
      <c r="C1491" s="235" t="s">
        <v>19677</v>
      </c>
      <c r="D1491" s="236" t="s">
        <v>15636</v>
      </c>
      <c r="E1491" s="15">
        <v>15772.6</v>
      </c>
      <c r="F1491" s="237">
        <v>42900</v>
      </c>
      <c r="G1491" s="15">
        <v>15772.6</v>
      </c>
      <c r="H1491" s="15">
        <f t="shared" si="23"/>
        <v>0</v>
      </c>
      <c r="I1491" s="236" t="s">
        <v>19682</v>
      </c>
    </row>
    <row r="1492" spans="1:9" x14ac:dyDescent="0.25">
      <c r="A1492" s="242">
        <v>42898</v>
      </c>
      <c r="B1492" s="18">
        <v>115593</v>
      </c>
      <c r="C1492" s="235" t="s">
        <v>19677</v>
      </c>
      <c r="D1492" s="236" t="s">
        <v>15256</v>
      </c>
      <c r="E1492" s="15">
        <v>6086.4</v>
      </c>
      <c r="F1492" s="237">
        <v>42899</v>
      </c>
      <c r="G1492" s="15">
        <v>6086.4</v>
      </c>
      <c r="H1492" s="15">
        <f t="shared" si="23"/>
        <v>0</v>
      </c>
      <c r="I1492" s="236" t="s">
        <v>19682</v>
      </c>
    </row>
    <row r="1493" spans="1:9" x14ac:dyDescent="0.25">
      <c r="A1493" s="36">
        <v>42898</v>
      </c>
      <c r="B1493" s="18">
        <v>115594</v>
      </c>
      <c r="C1493" s="235" t="s">
        <v>19677</v>
      </c>
      <c r="D1493" s="236" t="s">
        <v>15248</v>
      </c>
      <c r="E1493" s="15">
        <v>24492</v>
      </c>
      <c r="F1493" s="237">
        <v>42900</v>
      </c>
      <c r="G1493" s="15">
        <v>24492</v>
      </c>
      <c r="H1493" s="15">
        <f t="shared" si="23"/>
        <v>0</v>
      </c>
      <c r="I1493" s="236" t="s">
        <v>19682</v>
      </c>
    </row>
    <row r="1494" spans="1:9" x14ac:dyDescent="0.25">
      <c r="A1494" s="242">
        <v>42898</v>
      </c>
      <c r="B1494" s="18">
        <v>115595</v>
      </c>
      <c r="C1494" s="235" t="s">
        <v>19677</v>
      </c>
      <c r="D1494" s="236" t="s">
        <v>15352</v>
      </c>
      <c r="E1494" s="15">
        <v>599.6</v>
      </c>
      <c r="F1494" s="237">
        <v>42898</v>
      </c>
      <c r="G1494" s="15">
        <v>599.6</v>
      </c>
      <c r="H1494" s="15">
        <f t="shared" si="23"/>
        <v>0</v>
      </c>
      <c r="I1494" s="236" t="s">
        <v>19682</v>
      </c>
    </row>
    <row r="1495" spans="1:9" x14ac:dyDescent="0.25">
      <c r="A1495" s="36">
        <v>42898</v>
      </c>
      <c r="B1495" s="18">
        <v>115596</v>
      </c>
      <c r="C1495" s="235" t="s">
        <v>19677</v>
      </c>
      <c r="D1495" s="236" t="s">
        <v>15236</v>
      </c>
      <c r="E1495" s="15">
        <v>3127.8</v>
      </c>
      <c r="F1495" s="237">
        <v>42900</v>
      </c>
      <c r="G1495" s="15">
        <v>3127.8</v>
      </c>
      <c r="H1495" s="15">
        <f t="shared" si="23"/>
        <v>0</v>
      </c>
      <c r="I1495" s="236" t="s">
        <v>19682</v>
      </c>
    </row>
    <row r="1496" spans="1:9" ht="30" x14ac:dyDescent="0.25">
      <c r="A1496" s="242">
        <v>42898</v>
      </c>
      <c r="B1496" s="18">
        <v>115597</v>
      </c>
      <c r="C1496" s="235" t="s">
        <v>19677</v>
      </c>
      <c r="D1496" s="236" t="s">
        <v>15238</v>
      </c>
      <c r="E1496" s="15">
        <v>2933</v>
      </c>
      <c r="F1496" s="237" t="s">
        <v>19796</v>
      </c>
      <c r="G1496" s="241">
        <f>2000+500+250+183</f>
        <v>2933</v>
      </c>
      <c r="H1496" s="241">
        <f t="shared" si="23"/>
        <v>0</v>
      </c>
      <c r="I1496" s="236" t="s">
        <v>19682</v>
      </c>
    </row>
    <row r="1497" spans="1:9" x14ac:dyDescent="0.25">
      <c r="A1497" s="36">
        <v>42898</v>
      </c>
      <c r="B1497" s="18">
        <v>115598</v>
      </c>
      <c r="C1497" s="235" t="s">
        <v>19677</v>
      </c>
      <c r="D1497" s="236" t="s">
        <v>15234</v>
      </c>
      <c r="E1497" s="15">
        <v>3902.1</v>
      </c>
      <c r="F1497" s="237">
        <v>42903</v>
      </c>
      <c r="G1497" s="15">
        <v>3902.1</v>
      </c>
      <c r="H1497" s="15">
        <f t="shared" si="23"/>
        <v>0</v>
      </c>
      <c r="I1497" s="236" t="s">
        <v>19682</v>
      </c>
    </row>
    <row r="1498" spans="1:9" x14ac:dyDescent="0.25">
      <c r="A1498" s="242">
        <v>42898</v>
      </c>
      <c r="B1498" s="18">
        <v>115599</v>
      </c>
      <c r="C1498" s="235" t="s">
        <v>19677</v>
      </c>
      <c r="D1498" s="236" t="s">
        <v>15240</v>
      </c>
      <c r="E1498" s="15">
        <v>3627.6</v>
      </c>
      <c r="F1498" s="237">
        <v>42899</v>
      </c>
      <c r="G1498" s="15">
        <v>3627.6</v>
      </c>
      <c r="H1498" s="15">
        <f t="shared" si="23"/>
        <v>0</v>
      </c>
      <c r="I1498" s="236" t="s">
        <v>19682</v>
      </c>
    </row>
    <row r="1499" spans="1:9" x14ac:dyDescent="0.25">
      <c r="A1499" s="36">
        <v>42898</v>
      </c>
      <c r="B1499" s="18">
        <v>115600</v>
      </c>
      <c r="C1499" s="235" t="s">
        <v>19677</v>
      </c>
      <c r="D1499" s="236" t="s">
        <v>15252</v>
      </c>
      <c r="E1499" s="15">
        <v>5545.9</v>
      </c>
      <c r="F1499" s="237">
        <v>42901</v>
      </c>
      <c r="G1499" s="15">
        <v>5545.9</v>
      </c>
      <c r="H1499" s="15">
        <f t="shared" si="23"/>
        <v>0</v>
      </c>
      <c r="I1499" s="236" t="s">
        <v>19682</v>
      </c>
    </row>
    <row r="1500" spans="1:9" x14ac:dyDescent="0.25">
      <c r="A1500" s="242">
        <v>42898</v>
      </c>
      <c r="B1500" s="18">
        <v>115601</v>
      </c>
      <c r="C1500" s="235" t="s">
        <v>19677</v>
      </c>
      <c r="D1500" s="236" t="s">
        <v>15244</v>
      </c>
      <c r="E1500" s="15">
        <v>13501.2</v>
      </c>
      <c r="F1500" s="237">
        <v>42900</v>
      </c>
      <c r="G1500" s="15">
        <v>13501.2</v>
      </c>
      <c r="H1500" s="15">
        <f t="shared" si="23"/>
        <v>0</v>
      </c>
      <c r="I1500" s="236" t="s">
        <v>19682</v>
      </c>
    </row>
    <row r="1501" spans="1:9" x14ac:dyDescent="0.25">
      <c r="A1501" s="36">
        <v>42898</v>
      </c>
      <c r="B1501" s="18">
        <v>115602</v>
      </c>
      <c r="C1501" s="235" t="s">
        <v>19677</v>
      </c>
      <c r="D1501" s="236" t="s">
        <v>17462</v>
      </c>
      <c r="E1501" s="15">
        <v>1559.2</v>
      </c>
      <c r="F1501" s="237">
        <v>42898</v>
      </c>
      <c r="G1501" s="15">
        <v>1559.2</v>
      </c>
      <c r="H1501" s="15">
        <f t="shared" si="23"/>
        <v>0</v>
      </c>
      <c r="I1501" s="236" t="s">
        <v>19682</v>
      </c>
    </row>
    <row r="1502" spans="1:9" x14ac:dyDescent="0.25">
      <c r="A1502" s="242">
        <v>42898</v>
      </c>
      <c r="B1502" s="18">
        <v>115603</v>
      </c>
      <c r="C1502" s="235" t="s">
        <v>19677</v>
      </c>
      <c r="D1502" s="236" t="s">
        <v>16484</v>
      </c>
      <c r="E1502" s="15">
        <v>736.1</v>
      </c>
      <c r="F1502" s="237">
        <v>42898</v>
      </c>
      <c r="G1502" s="15">
        <v>736.1</v>
      </c>
      <c r="H1502" s="15">
        <f t="shared" si="23"/>
        <v>0</v>
      </c>
      <c r="I1502" s="236" t="s">
        <v>19682</v>
      </c>
    </row>
    <row r="1503" spans="1:9" x14ac:dyDescent="0.25">
      <c r="A1503" s="36">
        <v>42898</v>
      </c>
      <c r="B1503" s="18">
        <v>115604</v>
      </c>
      <c r="C1503" s="235" t="s">
        <v>19677</v>
      </c>
      <c r="D1503" s="236" t="s">
        <v>18076</v>
      </c>
      <c r="E1503" s="15">
        <v>1452.3</v>
      </c>
      <c r="F1503" s="237">
        <v>42898</v>
      </c>
      <c r="G1503" s="15">
        <v>1452.3</v>
      </c>
      <c r="H1503" s="15">
        <f t="shared" si="23"/>
        <v>0</v>
      </c>
      <c r="I1503" s="236" t="s">
        <v>19682</v>
      </c>
    </row>
    <row r="1504" spans="1:9" x14ac:dyDescent="0.25">
      <c r="A1504" s="242">
        <v>42898</v>
      </c>
      <c r="B1504" s="18">
        <v>115605</v>
      </c>
      <c r="C1504" s="235" t="s">
        <v>19677</v>
      </c>
      <c r="D1504" s="236" t="s">
        <v>15315</v>
      </c>
      <c r="E1504" s="15">
        <v>266.8</v>
      </c>
      <c r="F1504" s="237">
        <v>42898</v>
      </c>
      <c r="G1504" s="15">
        <v>266.8</v>
      </c>
      <c r="H1504" s="15">
        <f t="shared" si="23"/>
        <v>0</v>
      </c>
      <c r="I1504" s="236" t="s">
        <v>19682</v>
      </c>
    </row>
    <row r="1505" spans="1:9" x14ac:dyDescent="0.25">
      <c r="A1505" s="36">
        <v>42898</v>
      </c>
      <c r="B1505" s="18">
        <v>115606</v>
      </c>
      <c r="C1505" s="235" t="s">
        <v>19677</v>
      </c>
      <c r="D1505" s="236" t="s">
        <v>15284</v>
      </c>
      <c r="E1505" s="15">
        <v>2258.1999999999998</v>
      </c>
      <c r="F1505" s="237">
        <v>42898</v>
      </c>
      <c r="G1505" s="15">
        <v>2258.1999999999998</v>
      </c>
      <c r="H1505" s="15">
        <f t="shared" si="23"/>
        <v>0</v>
      </c>
      <c r="I1505" s="236" t="s">
        <v>19682</v>
      </c>
    </row>
    <row r="1506" spans="1:9" x14ac:dyDescent="0.25">
      <c r="A1506" s="242">
        <v>42898</v>
      </c>
      <c r="B1506" s="18">
        <v>115607</v>
      </c>
      <c r="C1506" s="235" t="s">
        <v>19677</v>
      </c>
      <c r="D1506" s="236" t="s">
        <v>15340</v>
      </c>
      <c r="E1506" s="15">
        <v>3235</v>
      </c>
      <c r="F1506" s="237">
        <v>42898</v>
      </c>
      <c r="G1506" s="15">
        <v>3235</v>
      </c>
      <c r="H1506" s="15">
        <f t="shared" si="23"/>
        <v>0</v>
      </c>
      <c r="I1506" s="236" t="s">
        <v>19682</v>
      </c>
    </row>
    <row r="1507" spans="1:9" x14ac:dyDescent="0.25">
      <c r="A1507" s="36">
        <v>42898</v>
      </c>
      <c r="B1507" s="18">
        <v>115608</v>
      </c>
      <c r="C1507" s="235" t="s">
        <v>19677</v>
      </c>
      <c r="D1507" s="236" t="s">
        <v>15344</v>
      </c>
      <c r="E1507" s="15">
        <v>1955.2</v>
      </c>
      <c r="F1507" s="237">
        <v>42898</v>
      </c>
      <c r="G1507" s="15">
        <v>1955.2</v>
      </c>
      <c r="H1507" s="15">
        <f t="shared" si="23"/>
        <v>0</v>
      </c>
      <c r="I1507" s="236" t="s">
        <v>19682</v>
      </c>
    </row>
    <row r="1508" spans="1:9" x14ac:dyDescent="0.25">
      <c r="A1508" s="242">
        <v>42898</v>
      </c>
      <c r="B1508" s="18">
        <v>115609</v>
      </c>
      <c r="C1508" s="235" t="s">
        <v>19677</v>
      </c>
      <c r="D1508" s="236" t="s">
        <v>17210</v>
      </c>
      <c r="E1508" s="15">
        <v>4201.8</v>
      </c>
      <c r="F1508" s="237">
        <v>42898</v>
      </c>
      <c r="G1508" s="15">
        <v>4201.8</v>
      </c>
      <c r="H1508" s="15">
        <f t="shared" si="23"/>
        <v>0</v>
      </c>
      <c r="I1508" s="236" t="s">
        <v>19682</v>
      </c>
    </row>
    <row r="1509" spans="1:9" x14ac:dyDescent="0.25">
      <c r="A1509" s="36">
        <v>42898</v>
      </c>
      <c r="B1509" s="18">
        <v>115610</v>
      </c>
      <c r="C1509" s="235" t="s">
        <v>19677</v>
      </c>
      <c r="D1509" s="236" t="s">
        <v>15526</v>
      </c>
      <c r="E1509" s="15">
        <v>2389.6</v>
      </c>
      <c r="F1509" s="237">
        <v>42898</v>
      </c>
      <c r="G1509" s="15">
        <v>2389.6</v>
      </c>
      <c r="H1509" s="15">
        <f t="shared" si="23"/>
        <v>0</v>
      </c>
      <c r="I1509" s="236" t="s">
        <v>19682</v>
      </c>
    </row>
    <row r="1510" spans="1:9" x14ac:dyDescent="0.25">
      <c r="A1510" s="242">
        <v>42898</v>
      </c>
      <c r="B1510" s="18">
        <v>115611</v>
      </c>
      <c r="C1510" s="235" t="s">
        <v>19677</v>
      </c>
      <c r="D1510" s="236" t="s">
        <v>15742</v>
      </c>
      <c r="E1510" s="15">
        <v>2634.9</v>
      </c>
      <c r="F1510" s="237">
        <v>42898</v>
      </c>
      <c r="G1510" s="15">
        <v>2634.9</v>
      </c>
      <c r="H1510" s="15">
        <f t="shared" si="23"/>
        <v>0</v>
      </c>
      <c r="I1510" s="236" t="s">
        <v>19682</v>
      </c>
    </row>
    <row r="1511" spans="1:9" x14ac:dyDescent="0.25">
      <c r="A1511" s="36">
        <v>42898</v>
      </c>
      <c r="B1511" s="18">
        <v>115612</v>
      </c>
      <c r="C1511" s="235" t="s">
        <v>19677</v>
      </c>
      <c r="D1511" s="236" t="s">
        <v>15358</v>
      </c>
      <c r="E1511" s="15">
        <v>1057.5</v>
      </c>
      <c r="F1511" s="237">
        <v>42898</v>
      </c>
      <c r="G1511" s="15">
        <v>1057.5</v>
      </c>
      <c r="H1511" s="15">
        <f t="shared" si="23"/>
        <v>0</v>
      </c>
      <c r="I1511" s="236" t="s">
        <v>19682</v>
      </c>
    </row>
    <row r="1512" spans="1:9" x14ac:dyDescent="0.25">
      <c r="A1512" s="242">
        <v>42898</v>
      </c>
      <c r="B1512" s="18">
        <v>115613</v>
      </c>
      <c r="C1512" s="235" t="s">
        <v>19677</v>
      </c>
      <c r="D1512" s="236" t="s">
        <v>15278</v>
      </c>
      <c r="E1512" s="15">
        <v>4192.7</v>
      </c>
      <c r="F1512" s="237">
        <v>42898</v>
      </c>
      <c r="G1512" s="15">
        <v>4192.7</v>
      </c>
      <c r="H1512" s="15">
        <f t="shared" si="23"/>
        <v>0</v>
      </c>
      <c r="I1512" s="236" t="s">
        <v>19682</v>
      </c>
    </row>
    <row r="1513" spans="1:9" x14ac:dyDescent="0.25">
      <c r="A1513" s="36">
        <v>42898</v>
      </c>
      <c r="B1513" s="18">
        <v>115614</v>
      </c>
      <c r="C1513" s="235" t="s">
        <v>19677</v>
      </c>
      <c r="D1513" s="236" t="s">
        <v>15326</v>
      </c>
      <c r="E1513" s="15">
        <v>2564.4</v>
      </c>
      <c r="F1513" s="237">
        <v>42898</v>
      </c>
      <c r="G1513" s="15">
        <v>2564.4</v>
      </c>
      <c r="H1513" s="15">
        <f t="shared" si="23"/>
        <v>0</v>
      </c>
      <c r="I1513" s="236" t="s">
        <v>19682</v>
      </c>
    </row>
    <row r="1514" spans="1:9" x14ac:dyDescent="0.25">
      <c r="A1514" s="242">
        <v>42898</v>
      </c>
      <c r="B1514" s="18">
        <v>115615</v>
      </c>
      <c r="C1514" s="235" t="s">
        <v>19677</v>
      </c>
      <c r="D1514" s="236" t="s">
        <v>15523</v>
      </c>
      <c r="E1514" s="15">
        <v>1840</v>
      </c>
      <c r="F1514" s="237">
        <v>42898</v>
      </c>
      <c r="G1514" s="15">
        <v>1840</v>
      </c>
      <c r="H1514" s="15">
        <f t="shared" si="23"/>
        <v>0</v>
      </c>
      <c r="I1514" s="236" t="s">
        <v>19682</v>
      </c>
    </row>
    <row r="1515" spans="1:9" x14ac:dyDescent="0.25">
      <c r="A1515" s="36">
        <v>42898</v>
      </c>
      <c r="B1515" s="18">
        <v>115616</v>
      </c>
      <c r="C1515" s="235" t="s">
        <v>19677</v>
      </c>
      <c r="D1515" s="236" t="s">
        <v>15350</v>
      </c>
      <c r="E1515" s="15">
        <v>929.2</v>
      </c>
      <c r="F1515" s="237">
        <v>42898</v>
      </c>
      <c r="G1515" s="15">
        <v>929.2</v>
      </c>
      <c r="H1515" s="15">
        <f t="shared" si="23"/>
        <v>0</v>
      </c>
      <c r="I1515" s="236" t="s">
        <v>19682</v>
      </c>
    </row>
    <row r="1516" spans="1:9" x14ac:dyDescent="0.25">
      <c r="A1516" s="242">
        <v>42898</v>
      </c>
      <c r="B1516" s="18">
        <v>115617</v>
      </c>
      <c r="C1516" s="235" t="s">
        <v>19677</v>
      </c>
      <c r="D1516" s="236" t="s">
        <v>15334</v>
      </c>
      <c r="E1516" s="15">
        <v>1111</v>
      </c>
      <c r="F1516" s="237">
        <v>42898</v>
      </c>
      <c r="G1516" s="15">
        <v>1111</v>
      </c>
      <c r="H1516" s="15">
        <f t="shared" si="23"/>
        <v>0</v>
      </c>
      <c r="I1516" s="236" t="s">
        <v>19682</v>
      </c>
    </row>
    <row r="1517" spans="1:9" x14ac:dyDescent="0.25">
      <c r="A1517" s="36">
        <v>42898</v>
      </c>
      <c r="B1517" s="18">
        <v>115618</v>
      </c>
      <c r="C1517" s="235" t="s">
        <v>19677</v>
      </c>
      <c r="D1517" s="236" t="s">
        <v>15706</v>
      </c>
      <c r="E1517" s="15">
        <v>2422.5</v>
      </c>
      <c r="F1517" s="237">
        <v>42898</v>
      </c>
      <c r="G1517" s="15">
        <v>2422.5</v>
      </c>
      <c r="H1517" s="15">
        <f t="shared" si="23"/>
        <v>0</v>
      </c>
      <c r="I1517" s="236" t="s">
        <v>19682</v>
      </c>
    </row>
    <row r="1518" spans="1:9" x14ac:dyDescent="0.25">
      <c r="A1518" s="242">
        <v>42898</v>
      </c>
      <c r="B1518" s="18">
        <v>115619</v>
      </c>
      <c r="C1518" s="235" t="s">
        <v>19677</v>
      </c>
      <c r="D1518" s="236" t="s">
        <v>15289</v>
      </c>
      <c r="E1518" s="15">
        <v>599.4</v>
      </c>
      <c r="F1518" s="237">
        <v>42898</v>
      </c>
      <c r="G1518" s="15">
        <v>599.4</v>
      </c>
      <c r="H1518" s="15">
        <f t="shared" si="23"/>
        <v>0</v>
      </c>
      <c r="I1518" s="236" t="s">
        <v>19682</v>
      </c>
    </row>
    <row r="1519" spans="1:9" x14ac:dyDescent="0.25">
      <c r="A1519" s="36">
        <v>42898</v>
      </c>
      <c r="B1519" s="18">
        <v>115620</v>
      </c>
      <c r="C1519" s="235" t="s">
        <v>19677</v>
      </c>
      <c r="D1519" s="236" t="s">
        <v>15748</v>
      </c>
      <c r="E1519" s="15">
        <v>1930.8</v>
      </c>
      <c r="F1519" s="237">
        <v>42898</v>
      </c>
      <c r="G1519" s="15">
        <v>1930.8</v>
      </c>
      <c r="H1519" s="15">
        <f t="shared" si="23"/>
        <v>0</v>
      </c>
      <c r="I1519" s="236" t="s">
        <v>19682</v>
      </c>
    </row>
    <row r="1520" spans="1:9" x14ac:dyDescent="0.25">
      <c r="A1520" s="242">
        <v>42898</v>
      </c>
      <c r="B1520" s="18">
        <v>115621</v>
      </c>
      <c r="C1520" s="235" t="s">
        <v>19677</v>
      </c>
      <c r="D1520" s="236" t="s">
        <v>15246</v>
      </c>
      <c r="E1520" s="15">
        <v>57254.1</v>
      </c>
      <c r="F1520" s="237">
        <v>42901</v>
      </c>
      <c r="G1520" s="15">
        <v>57254.1</v>
      </c>
      <c r="H1520" s="15">
        <f t="shared" si="23"/>
        <v>0</v>
      </c>
      <c r="I1520" s="236" t="s">
        <v>19682</v>
      </c>
    </row>
    <row r="1521" spans="1:9" x14ac:dyDescent="0.25">
      <c r="A1521" s="36">
        <v>42898</v>
      </c>
      <c r="B1521" s="18">
        <v>115622</v>
      </c>
      <c r="C1521" s="235" t="s">
        <v>19677</v>
      </c>
      <c r="D1521" s="236" t="s">
        <v>15309</v>
      </c>
      <c r="E1521" s="15">
        <v>10015.200000000001</v>
      </c>
      <c r="F1521" s="237">
        <v>42898</v>
      </c>
      <c r="G1521" s="15">
        <v>10015.200000000001</v>
      </c>
      <c r="H1521" s="15">
        <f t="shared" si="23"/>
        <v>0</v>
      </c>
      <c r="I1521" s="236" t="s">
        <v>19682</v>
      </c>
    </row>
    <row r="1522" spans="1:9" x14ac:dyDescent="0.25">
      <c r="A1522" s="242">
        <v>42898</v>
      </c>
      <c r="B1522" s="18">
        <v>115623</v>
      </c>
      <c r="C1522" s="235" t="s">
        <v>19677</v>
      </c>
      <c r="D1522" s="236" t="s">
        <v>15336</v>
      </c>
      <c r="E1522" s="15">
        <v>4788</v>
      </c>
      <c r="F1522" s="237">
        <v>42898</v>
      </c>
      <c r="G1522" s="15">
        <v>4788</v>
      </c>
      <c r="H1522" s="15">
        <f t="shared" si="23"/>
        <v>0</v>
      </c>
      <c r="I1522" s="236" t="s">
        <v>19682</v>
      </c>
    </row>
    <row r="1523" spans="1:9" x14ac:dyDescent="0.25">
      <c r="A1523" s="36">
        <v>42898</v>
      </c>
      <c r="B1523" s="18">
        <v>115624</v>
      </c>
      <c r="C1523" s="235" t="s">
        <v>19677</v>
      </c>
      <c r="D1523" s="236" t="s">
        <v>15332</v>
      </c>
      <c r="E1523" s="15">
        <v>5110</v>
      </c>
      <c r="F1523" s="237">
        <v>42898</v>
      </c>
      <c r="G1523" s="15">
        <v>5110</v>
      </c>
      <c r="H1523" s="15">
        <f t="shared" si="23"/>
        <v>0</v>
      </c>
      <c r="I1523" s="236" t="s">
        <v>19682</v>
      </c>
    </row>
    <row r="1524" spans="1:9" x14ac:dyDescent="0.25">
      <c r="A1524" s="242">
        <v>42898</v>
      </c>
      <c r="B1524" s="18">
        <v>115625</v>
      </c>
      <c r="C1524" s="235" t="s">
        <v>19677</v>
      </c>
      <c r="D1524" s="236" t="s">
        <v>15280</v>
      </c>
      <c r="E1524" s="15">
        <v>3912.6</v>
      </c>
      <c r="F1524" s="237">
        <v>42898</v>
      </c>
      <c r="G1524" s="15">
        <v>3912.6</v>
      </c>
      <c r="H1524" s="15">
        <f t="shared" si="23"/>
        <v>0</v>
      </c>
      <c r="I1524" s="236" t="s">
        <v>19682</v>
      </c>
    </row>
    <row r="1525" spans="1:9" x14ac:dyDescent="0.25">
      <c r="A1525" s="36">
        <v>42898</v>
      </c>
      <c r="B1525" s="18">
        <v>115626</v>
      </c>
      <c r="C1525" s="235" t="s">
        <v>19677</v>
      </c>
      <c r="D1525" s="236" t="s">
        <v>15317</v>
      </c>
      <c r="E1525" s="15">
        <v>740</v>
      </c>
      <c r="F1525" s="237">
        <v>42898</v>
      </c>
      <c r="G1525" s="15">
        <v>740</v>
      </c>
      <c r="H1525" s="15">
        <f t="shared" si="23"/>
        <v>0</v>
      </c>
      <c r="I1525" s="236" t="s">
        <v>19682</v>
      </c>
    </row>
    <row r="1526" spans="1:9" x14ac:dyDescent="0.25">
      <c r="A1526" s="242">
        <v>42898</v>
      </c>
      <c r="B1526" s="18">
        <v>115627</v>
      </c>
      <c r="C1526" s="235" t="s">
        <v>19677</v>
      </c>
      <c r="D1526" s="236" t="s">
        <v>15748</v>
      </c>
      <c r="E1526" s="15">
        <v>4534.88</v>
      </c>
      <c r="F1526" s="237">
        <v>42906</v>
      </c>
      <c r="G1526" s="15">
        <v>4534.88</v>
      </c>
      <c r="H1526" s="15">
        <f t="shared" si="23"/>
        <v>0</v>
      </c>
      <c r="I1526" s="236" t="s">
        <v>19682</v>
      </c>
    </row>
    <row r="1527" spans="1:9" x14ac:dyDescent="0.25">
      <c r="A1527" s="36">
        <v>42898</v>
      </c>
      <c r="B1527" s="18">
        <v>115628</v>
      </c>
      <c r="C1527" s="235" t="s">
        <v>19677</v>
      </c>
      <c r="D1527" s="236" t="s">
        <v>15378</v>
      </c>
      <c r="E1527" s="15">
        <v>1190.8</v>
      </c>
      <c r="F1527" s="237">
        <v>42898</v>
      </c>
      <c r="G1527" s="15">
        <v>1190.8</v>
      </c>
      <c r="H1527" s="15">
        <f t="shared" si="23"/>
        <v>0</v>
      </c>
      <c r="I1527" s="236" t="s">
        <v>19682</v>
      </c>
    </row>
    <row r="1528" spans="1:9" x14ac:dyDescent="0.25">
      <c r="A1528" s="242">
        <v>42898</v>
      </c>
      <c r="B1528" s="18">
        <v>115629</v>
      </c>
      <c r="C1528" s="235" t="s">
        <v>19677</v>
      </c>
      <c r="D1528" s="236" t="s">
        <v>15291</v>
      </c>
      <c r="E1528" s="15">
        <v>460</v>
      </c>
      <c r="F1528" s="237">
        <v>42898</v>
      </c>
      <c r="G1528" s="15">
        <v>460</v>
      </c>
      <c r="H1528" s="15">
        <f t="shared" si="23"/>
        <v>0</v>
      </c>
      <c r="I1528" s="236" t="s">
        <v>19682</v>
      </c>
    </row>
    <row r="1529" spans="1:9" x14ac:dyDescent="0.25">
      <c r="A1529" s="36">
        <v>42898</v>
      </c>
      <c r="B1529" s="18">
        <v>115630</v>
      </c>
      <c r="C1529" s="235" t="s">
        <v>19677</v>
      </c>
      <c r="D1529" s="236" t="s">
        <v>15415</v>
      </c>
      <c r="E1529" s="15">
        <v>3674.1</v>
      </c>
      <c r="F1529" s="237">
        <v>42901</v>
      </c>
      <c r="G1529" s="15">
        <v>3674.1</v>
      </c>
      <c r="H1529" s="15">
        <f t="shared" si="23"/>
        <v>0</v>
      </c>
      <c r="I1529" s="236" t="s">
        <v>19682</v>
      </c>
    </row>
    <row r="1530" spans="1:9" x14ac:dyDescent="0.25">
      <c r="A1530" s="242">
        <v>42898</v>
      </c>
      <c r="B1530" s="18">
        <v>115631</v>
      </c>
      <c r="C1530" s="235" t="s">
        <v>19677</v>
      </c>
      <c r="D1530" s="236" t="s">
        <v>15415</v>
      </c>
      <c r="E1530" s="15">
        <v>790</v>
      </c>
      <c r="F1530" s="237">
        <v>42901</v>
      </c>
      <c r="G1530" s="15">
        <v>790</v>
      </c>
      <c r="H1530" s="15">
        <f t="shared" si="23"/>
        <v>0</v>
      </c>
      <c r="I1530" s="236" t="s">
        <v>19682</v>
      </c>
    </row>
    <row r="1531" spans="1:9" x14ac:dyDescent="0.25">
      <c r="A1531" s="36">
        <v>42898</v>
      </c>
      <c r="B1531" s="18">
        <v>115632</v>
      </c>
      <c r="C1531" s="235" t="s">
        <v>19677</v>
      </c>
      <c r="D1531" s="236" t="s">
        <v>15311</v>
      </c>
      <c r="E1531" s="15">
        <v>1633.8</v>
      </c>
      <c r="F1531" s="237">
        <v>42898</v>
      </c>
      <c r="G1531" s="15">
        <v>1633.8</v>
      </c>
      <c r="H1531" s="15">
        <f t="shared" si="23"/>
        <v>0</v>
      </c>
      <c r="I1531" s="236" t="s">
        <v>19682</v>
      </c>
    </row>
    <row r="1532" spans="1:9" x14ac:dyDescent="0.25">
      <c r="A1532" s="242">
        <v>42898</v>
      </c>
      <c r="B1532" s="18">
        <v>115633</v>
      </c>
      <c r="C1532" s="235" t="s">
        <v>19677</v>
      </c>
      <c r="D1532" s="236" t="s">
        <v>15301</v>
      </c>
      <c r="E1532" s="15">
        <v>1704.4</v>
      </c>
      <c r="F1532" s="237">
        <v>42898</v>
      </c>
      <c r="G1532" s="15">
        <v>1704.4</v>
      </c>
      <c r="H1532" s="15">
        <f t="shared" si="23"/>
        <v>0</v>
      </c>
      <c r="I1532" s="236" t="s">
        <v>19682</v>
      </c>
    </row>
    <row r="1533" spans="1:9" x14ac:dyDescent="0.25">
      <c r="A1533" s="36">
        <v>42898</v>
      </c>
      <c r="B1533" s="18">
        <v>115634</v>
      </c>
      <c r="C1533" s="235" t="s">
        <v>19677</v>
      </c>
      <c r="D1533" s="236" t="s">
        <v>15305</v>
      </c>
      <c r="E1533" s="15">
        <v>1224</v>
      </c>
      <c r="F1533" s="237">
        <v>42898</v>
      </c>
      <c r="G1533" s="15">
        <v>1224</v>
      </c>
      <c r="H1533" s="15">
        <f t="shared" si="23"/>
        <v>0</v>
      </c>
      <c r="I1533" s="236" t="s">
        <v>19682</v>
      </c>
    </row>
    <row r="1534" spans="1:9" x14ac:dyDescent="0.25">
      <c r="A1534" s="242">
        <v>42898</v>
      </c>
      <c r="B1534" s="18">
        <v>115635</v>
      </c>
      <c r="C1534" s="235" t="s">
        <v>19677</v>
      </c>
      <c r="D1534" s="236" t="s">
        <v>17800</v>
      </c>
      <c r="E1534" s="15">
        <v>5160</v>
      </c>
      <c r="F1534" s="237">
        <v>42898</v>
      </c>
      <c r="G1534" s="15">
        <v>5160</v>
      </c>
      <c r="H1534" s="15">
        <f t="shared" si="23"/>
        <v>0</v>
      </c>
      <c r="I1534" s="236" t="s">
        <v>19682</v>
      </c>
    </row>
    <row r="1535" spans="1:9" ht="15.75" x14ac:dyDescent="0.25">
      <c r="A1535" s="36">
        <v>42898</v>
      </c>
      <c r="B1535" s="18">
        <v>115636</v>
      </c>
      <c r="C1535" s="235" t="s">
        <v>19677</v>
      </c>
      <c r="D1535" s="248" t="s">
        <v>95</v>
      </c>
      <c r="E1535" s="15">
        <v>0</v>
      </c>
      <c r="F1535" s="243" t="s">
        <v>95</v>
      </c>
      <c r="G1535" s="15">
        <v>0</v>
      </c>
      <c r="H1535" s="15">
        <f t="shared" si="23"/>
        <v>0</v>
      </c>
      <c r="I1535" s="236" t="s">
        <v>19678</v>
      </c>
    </row>
    <row r="1536" spans="1:9" x14ac:dyDescent="0.25">
      <c r="A1536" s="242">
        <v>42898</v>
      </c>
      <c r="B1536" s="18">
        <v>115637</v>
      </c>
      <c r="C1536" s="235" t="s">
        <v>19677</v>
      </c>
      <c r="D1536" s="236" t="s">
        <v>16732</v>
      </c>
      <c r="E1536" s="15">
        <v>29112.6</v>
      </c>
      <c r="F1536" s="237">
        <v>42898</v>
      </c>
      <c r="G1536" s="15">
        <v>29112.6</v>
      </c>
      <c r="H1536" s="15">
        <f t="shared" si="23"/>
        <v>0</v>
      </c>
      <c r="I1536" s="236" t="s">
        <v>19682</v>
      </c>
    </row>
    <row r="1537" spans="1:9" x14ac:dyDescent="0.25">
      <c r="A1537" s="36">
        <v>42898</v>
      </c>
      <c r="B1537" s="18">
        <v>115638</v>
      </c>
      <c r="C1537" s="235" t="s">
        <v>19677</v>
      </c>
      <c r="D1537" s="236" t="s">
        <v>15391</v>
      </c>
      <c r="E1537" s="15">
        <v>4564</v>
      </c>
      <c r="F1537" s="237">
        <v>42899</v>
      </c>
      <c r="G1537" s="15">
        <v>4564</v>
      </c>
      <c r="H1537" s="15">
        <f t="shared" si="23"/>
        <v>0</v>
      </c>
      <c r="I1537" s="236" t="s">
        <v>19682</v>
      </c>
    </row>
    <row r="1538" spans="1:9" x14ac:dyDescent="0.25">
      <c r="A1538" s="242">
        <v>42898</v>
      </c>
      <c r="B1538" s="18">
        <v>115639</v>
      </c>
      <c r="C1538" s="235" t="s">
        <v>19677</v>
      </c>
      <c r="D1538" s="236" t="s">
        <v>15315</v>
      </c>
      <c r="E1538" s="15">
        <v>1560</v>
      </c>
      <c r="F1538" s="237">
        <v>42898</v>
      </c>
      <c r="G1538" s="15">
        <v>1560</v>
      </c>
      <c r="H1538" s="15">
        <f t="shared" ref="H1538:H1601" si="24">E1538-G1538</f>
        <v>0</v>
      </c>
      <c r="I1538" s="236" t="s">
        <v>19682</v>
      </c>
    </row>
    <row r="1539" spans="1:9" x14ac:dyDescent="0.25">
      <c r="A1539" s="36">
        <v>42898</v>
      </c>
      <c r="B1539" s="18">
        <v>115640</v>
      </c>
      <c r="C1539" s="235" t="s">
        <v>19677</v>
      </c>
      <c r="D1539" s="236" t="s">
        <v>15298</v>
      </c>
      <c r="E1539" s="15">
        <v>15270.4</v>
      </c>
      <c r="F1539" s="237">
        <v>42905</v>
      </c>
      <c r="G1539" s="15">
        <v>15270.4</v>
      </c>
      <c r="H1539" s="15">
        <f t="shared" si="24"/>
        <v>0</v>
      </c>
      <c r="I1539" s="236" t="s">
        <v>19682</v>
      </c>
    </row>
    <row r="1540" spans="1:9" x14ac:dyDescent="0.25">
      <c r="A1540" s="242">
        <v>42898</v>
      </c>
      <c r="B1540" s="18">
        <v>115641</v>
      </c>
      <c r="C1540" s="235" t="s">
        <v>19677</v>
      </c>
      <c r="D1540" s="236" t="s">
        <v>15315</v>
      </c>
      <c r="E1540" s="15">
        <v>1578.8</v>
      </c>
      <c r="F1540" s="237">
        <v>42898</v>
      </c>
      <c r="G1540" s="15">
        <v>1578.8</v>
      </c>
      <c r="H1540" s="15">
        <f t="shared" si="24"/>
        <v>0</v>
      </c>
      <c r="I1540" s="236" t="s">
        <v>19682</v>
      </c>
    </row>
    <row r="1541" spans="1:9" x14ac:dyDescent="0.25">
      <c r="A1541" s="36">
        <v>42898</v>
      </c>
      <c r="B1541" s="18">
        <v>115642</v>
      </c>
      <c r="C1541" s="235" t="s">
        <v>19677</v>
      </c>
      <c r="D1541" s="236" t="s">
        <v>15376</v>
      </c>
      <c r="E1541" s="15">
        <v>16307</v>
      </c>
      <c r="F1541" s="237">
        <v>42898</v>
      </c>
      <c r="G1541" s="15">
        <v>16307</v>
      </c>
      <c r="H1541" s="15">
        <f t="shared" si="24"/>
        <v>0</v>
      </c>
      <c r="I1541" s="236" t="s">
        <v>19682</v>
      </c>
    </row>
    <row r="1542" spans="1:9" x14ac:dyDescent="0.25">
      <c r="A1542" s="242">
        <v>42898</v>
      </c>
      <c r="B1542" s="18">
        <v>115643</v>
      </c>
      <c r="C1542" s="235" t="s">
        <v>19677</v>
      </c>
      <c r="D1542" s="236" t="s">
        <v>15363</v>
      </c>
      <c r="E1542" s="15">
        <v>6025</v>
      </c>
      <c r="F1542" s="237">
        <v>42898</v>
      </c>
      <c r="G1542" s="15">
        <v>6025</v>
      </c>
      <c r="H1542" s="15">
        <f t="shared" si="24"/>
        <v>0</v>
      </c>
      <c r="I1542" s="236" t="s">
        <v>19682</v>
      </c>
    </row>
    <row r="1543" spans="1:9" x14ac:dyDescent="0.25">
      <c r="A1543" s="36">
        <v>42898</v>
      </c>
      <c r="B1543" s="18">
        <v>115644</v>
      </c>
      <c r="C1543" s="235" t="s">
        <v>19677</v>
      </c>
      <c r="D1543" s="236" t="s">
        <v>19697</v>
      </c>
      <c r="E1543" s="15">
        <v>938.6</v>
      </c>
      <c r="F1543" s="237">
        <v>42898</v>
      </c>
      <c r="G1543" s="15">
        <v>938.6</v>
      </c>
      <c r="H1543" s="15">
        <f t="shared" si="24"/>
        <v>0</v>
      </c>
      <c r="I1543" s="236" t="s">
        <v>19682</v>
      </c>
    </row>
    <row r="1544" spans="1:9" x14ac:dyDescent="0.25">
      <c r="A1544" s="242">
        <v>42898</v>
      </c>
      <c r="B1544" s="18">
        <v>115645</v>
      </c>
      <c r="C1544" s="235" t="s">
        <v>19677</v>
      </c>
      <c r="D1544" s="236" t="s">
        <v>15361</v>
      </c>
      <c r="E1544" s="15">
        <v>1918</v>
      </c>
      <c r="F1544" s="237">
        <v>42898</v>
      </c>
      <c r="G1544" s="15">
        <v>1918</v>
      </c>
      <c r="H1544" s="15">
        <f t="shared" si="24"/>
        <v>0</v>
      </c>
      <c r="I1544" s="236" t="s">
        <v>19682</v>
      </c>
    </row>
    <row r="1545" spans="1:9" ht="15.75" x14ac:dyDescent="0.25">
      <c r="A1545" s="36">
        <v>42898</v>
      </c>
      <c r="B1545" s="18">
        <v>115646</v>
      </c>
      <c r="C1545" s="235" t="s">
        <v>19677</v>
      </c>
      <c r="D1545" s="248" t="s">
        <v>95</v>
      </c>
      <c r="E1545" s="15">
        <v>0</v>
      </c>
      <c r="F1545" s="243" t="s">
        <v>95</v>
      </c>
      <c r="G1545" s="15">
        <v>0</v>
      </c>
      <c r="H1545" s="15">
        <f t="shared" si="24"/>
        <v>0</v>
      </c>
      <c r="I1545" s="236" t="s">
        <v>19678</v>
      </c>
    </row>
    <row r="1546" spans="1:9" x14ac:dyDescent="0.25">
      <c r="A1546" s="242">
        <v>42898</v>
      </c>
      <c r="B1546" s="18">
        <v>115647</v>
      </c>
      <c r="C1546" s="235" t="s">
        <v>19677</v>
      </c>
      <c r="D1546" s="236" t="s">
        <v>15398</v>
      </c>
      <c r="E1546" s="15">
        <v>444.2</v>
      </c>
      <c r="F1546" s="237">
        <v>42898</v>
      </c>
      <c r="G1546" s="15">
        <v>444.2</v>
      </c>
      <c r="H1546" s="15">
        <f t="shared" si="24"/>
        <v>0</v>
      </c>
      <c r="I1546" s="236" t="s">
        <v>19682</v>
      </c>
    </row>
    <row r="1547" spans="1:9" x14ac:dyDescent="0.25">
      <c r="A1547" s="36">
        <v>42898</v>
      </c>
      <c r="B1547" s="18">
        <v>115648</v>
      </c>
      <c r="C1547" s="235" t="s">
        <v>19677</v>
      </c>
      <c r="D1547" s="236" t="s">
        <v>15409</v>
      </c>
      <c r="E1547" s="15">
        <v>13310</v>
      </c>
      <c r="F1547" s="237">
        <v>42898</v>
      </c>
      <c r="G1547" s="15">
        <v>13310</v>
      </c>
      <c r="H1547" s="15">
        <f t="shared" si="24"/>
        <v>0</v>
      </c>
      <c r="I1547" s="236" t="s">
        <v>19682</v>
      </c>
    </row>
    <row r="1548" spans="1:9" x14ac:dyDescent="0.25">
      <c r="A1548" s="242">
        <v>42898</v>
      </c>
      <c r="B1548" s="18">
        <v>115649</v>
      </c>
      <c r="C1548" s="235" t="s">
        <v>19677</v>
      </c>
      <c r="D1548" s="236" t="s">
        <v>15423</v>
      </c>
      <c r="E1548" s="15">
        <v>3354.9</v>
      </c>
      <c r="F1548" s="237">
        <v>42898</v>
      </c>
      <c r="G1548" s="15">
        <v>3354.9</v>
      </c>
      <c r="H1548" s="15">
        <f t="shared" si="24"/>
        <v>0</v>
      </c>
      <c r="I1548" s="236" t="s">
        <v>19682</v>
      </c>
    </row>
    <row r="1549" spans="1:9" x14ac:dyDescent="0.25">
      <c r="A1549" s="36">
        <v>42898</v>
      </c>
      <c r="B1549" s="18">
        <v>115650</v>
      </c>
      <c r="C1549" s="235" t="s">
        <v>19677</v>
      </c>
      <c r="D1549" s="236" t="s">
        <v>15537</v>
      </c>
      <c r="E1549" s="15">
        <v>14363.9</v>
      </c>
      <c r="F1549" s="237">
        <v>42902</v>
      </c>
      <c r="G1549" s="15">
        <v>14363.9</v>
      </c>
      <c r="H1549" s="15">
        <f t="shared" si="24"/>
        <v>0</v>
      </c>
      <c r="I1549" s="236" t="s">
        <v>19682</v>
      </c>
    </row>
    <row r="1550" spans="1:9" x14ac:dyDescent="0.25">
      <c r="A1550" s="242">
        <v>42898</v>
      </c>
      <c r="B1550" s="18">
        <v>115651</v>
      </c>
      <c r="C1550" s="235" t="s">
        <v>19677</v>
      </c>
      <c r="D1550" s="236" t="s">
        <v>15539</v>
      </c>
      <c r="E1550" s="15">
        <v>9484.7999999999993</v>
      </c>
      <c r="F1550" s="237">
        <v>42900</v>
      </c>
      <c r="G1550" s="15">
        <v>9484.7999999999993</v>
      </c>
      <c r="H1550" s="15">
        <f t="shared" si="24"/>
        <v>0</v>
      </c>
      <c r="I1550" s="236" t="s">
        <v>19682</v>
      </c>
    </row>
    <row r="1551" spans="1:9" x14ac:dyDescent="0.25">
      <c r="A1551" s="36">
        <v>42898</v>
      </c>
      <c r="B1551" s="18">
        <v>115652</v>
      </c>
      <c r="C1551" s="235" t="s">
        <v>19677</v>
      </c>
      <c r="D1551" s="236" t="s">
        <v>15559</v>
      </c>
      <c r="E1551" s="15">
        <v>7302.3</v>
      </c>
      <c r="F1551" s="237">
        <v>42902</v>
      </c>
      <c r="G1551" s="15">
        <v>7302.3</v>
      </c>
      <c r="H1551" s="15">
        <f t="shared" si="24"/>
        <v>0</v>
      </c>
      <c r="I1551" s="236" t="s">
        <v>19682</v>
      </c>
    </row>
    <row r="1552" spans="1:9" x14ac:dyDescent="0.25">
      <c r="A1552" s="242">
        <v>42898</v>
      </c>
      <c r="B1552" s="18">
        <v>115653</v>
      </c>
      <c r="C1552" s="235" t="s">
        <v>19677</v>
      </c>
      <c r="D1552" s="236" t="s">
        <v>15544</v>
      </c>
      <c r="E1552" s="15">
        <v>2683.2</v>
      </c>
      <c r="F1552" s="237">
        <v>42900</v>
      </c>
      <c r="G1552" s="15">
        <v>2683.2</v>
      </c>
      <c r="H1552" s="15">
        <f t="shared" si="24"/>
        <v>0</v>
      </c>
      <c r="I1552" s="236" t="s">
        <v>19682</v>
      </c>
    </row>
    <row r="1553" spans="1:9" x14ac:dyDescent="0.25">
      <c r="A1553" s="36">
        <v>42898</v>
      </c>
      <c r="B1553" s="18">
        <v>115654</v>
      </c>
      <c r="C1553" s="235" t="s">
        <v>19677</v>
      </c>
      <c r="D1553" s="236" t="s">
        <v>15833</v>
      </c>
      <c r="E1553" s="15">
        <v>9471</v>
      </c>
      <c r="F1553" s="237">
        <v>42900</v>
      </c>
      <c r="G1553" s="15">
        <v>9471</v>
      </c>
      <c r="H1553" s="15">
        <f t="shared" si="24"/>
        <v>0</v>
      </c>
      <c r="I1553" s="236" t="s">
        <v>19682</v>
      </c>
    </row>
    <row r="1554" spans="1:9" x14ac:dyDescent="0.25">
      <c r="A1554" s="242">
        <v>42898</v>
      </c>
      <c r="B1554" s="18">
        <v>115655</v>
      </c>
      <c r="C1554" s="235" t="s">
        <v>19677</v>
      </c>
      <c r="D1554" s="236" t="s">
        <v>15315</v>
      </c>
      <c r="E1554" s="15">
        <v>2744.1</v>
      </c>
      <c r="F1554" s="237">
        <v>42900</v>
      </c>
      <c r="G1554" s="15">
        <v>2744.1</v>
      </c>
      <c r="H1554" s="15">
        <f t="shared" si="24"/>
        <v>0</v>
      </c>
      <c r="I1554" s="236" t="s">
        <v>19682</v>
      </c>
    </row>
    <row r="1555" spans="1:9" x14ac:dyDescent="0.25">
      <c r="A1555" s="36">
        <v>42898</v>
      </c>
      <c r="B1555" s="18">
        <v>115656</v>
      </c>
      <c r="C1555" s="235" t="s">
        <v>19677</v>
      </c>
      <c r="D1555" s="236" t="s">
        <v>15555</v>
      </c>
      <c r="E1555" s="15">
        <v>1305</v>
      </c>
      <c r="F1555" s="237">
        <v>42902</v>
      </c>
      <c r="G1555" s="15">
        <v>1305</v>
      </c>
      <c r="H1555" s="15">
        <f t="shared" si="24"/>
        <v>0</v>
      </c>
      <c r="I1555" s="236" t="s">
        <v>19682</v>
      </c>
    </row>
    <row r="1556" spans="1:9" x14ac:dyDescent="0.25">
      <c r="A1556" s="242">
        <v>42898</v>
      </c>
      <c r="B1556" s="18">
        <v>115657</v>
      </c>
      <c r="C1556" s="235" t="s">
        <v>19677</v>
      </c>
      <c r="D1556" s="236" t="s">
        <v>15315</v>
      </c>
      <c r="E1556" s="15">
        <v>761.4</v>
      </c>
      <c r="F1556" s="237">
        <v>42900</v>
      </c>
      <c r="G1556" s="15">
        <v>761.4</v>
      </c>
      <c r="H1556" s="15">
        <f t="shared" si="24"/>
        <v>0</v>
      </c>
      <c r="I1556" s="236" t="s">
        <v>19682</v>
      </c>
    </row>
    <row r="1557" spans="1:9" x14ac:dyDescent="0.25">
      <c r="A1557" s="36">
        <v>42898</v>
      </c>
      <c r="B1557" s="18">
        <v>115658</v>
      </c>
      <c r="C1557" s="235" t="s">
        <v>19677</v>
      </c>
      <c r="D1557" s="236" t="s">
        <v>15315</v>
      </c>
      <c r="E1557" s="15">
        <v>1235</v>
      </c>
      <c r="F1557" s="237">
        <v>42898</v>
      </c>
      <c r="G1557" s="15">
        <v>1235</v>
      </c>
      <c r="H1557" s="15">
        <f t="shared" si="24"/>
        <v>0</v>
      </c>
      <c r="I1557" s="236" t="s">
        <v>19682</v>
      </c>
    </row>
    <row r="1558" spans="1:9" x14ac:dyDescent="0.25">
      <c r="A1558" s="242">
        <v>42898</v>
      </c>
      <c r="B1558" s="18">
        <v>115659</v>
      </c>
      <c r="C1558" s="235" t="s">
        <v>19677</v>
      </c>
      <c r="D1558" s="236" t="s">
        <v>15315</v>
      </c>
      <c r="E1558" s="15">
        <v>372.5</v>
      </c>
      <c r="F1558" s="237">
        <v>42898</v>
      </c>
      <c r="G1558" s="15">
        <v>372.5</v>
      </c>
      <c r="H1558" s="15">
        <f t="shared" si="24"/>
        <v>0</v>
      </c>
      <c r="I1558" s="236" t="s">
        <v>19682</v>
      </c>
    </row>
    <row r="1559" spans="1:9" x14ac:dyDescent="0.25">
      <c r="A1559" s="36">
        <v>42898</v>
      </c>
      <c r="B1559" s="18">
        <v>115660</v>
      </c>
      <c r="C1559" s="235" t="s">
        <v>19677</v>
      </c>
      <c r="D1559" s="236" t="s">
        <v>15213</v>
      </c>
      <c r="E1559" s="15">
        <v>5981.6</v>
      </c>
      <c r="F1559" s="237">
        <v>42901</v>
      </c>
      <c r="G1559" s="15">
        <v>5981.6</v>
      </c>
      <c r="H1559" s="15">
        <f t="shared" si="24"/>
        <v>0</v>
      </c>
      <c r="I1559" s="236" t="s">
        <v>19682</v>
      </c>
    </row>
    <row r="1560" spans="1:9" x14ac:dyDescent="0.25">
      <c r="A1560" s="242">
        <v>42898</v>
      </c>
      <c r="B1560" s="18">
        <v>115661</v>
      </c>
      <c r="C1560" s="235" t="s">
        <v>19677</v>
      </c>
      <c r="D1560" s="236" t="s">
        <v>15326</v>
      </c>
      <c r="E1560" s="15">
        <v>8978.2000000000007</v>
      </c>
      <c r="F1560" s="237">
        <v>42909</v>
      </c>
      <c r="G1560" s="15">
        <v>8978.2000000000007</v>
      </c>
      <c r="H1560" s="15">
        <f t="shared" si="24"/>
        <v>0</v>
      </c>
      <c r="I1560" s="236" t="s">
        <v>19682</v>
      </c>
    </row>
    <row r="1561" spans="1:9" ht="15.75" x14ac:dyDescent="0.25">
      <c r="A1561" s="36">
        <v>42898</v>
      </c>
      <c r="B1561" s="18">
        <v>115662</v>
      </c>
      <c r="C1561" s="235" t="s">
        <v>19677</v>
      </c>
      <c r="D1561" s="248" t="s">
        <v>95</v>
      </c>
      <c r="E1561" s="15">
        <v>0</v>
      </c>
      <c r="F1561" s="243" t="s">
        <v>95</v>
      </c>
      <c r="G1561" s="15">
        <v>0</v>
      </c>
      <c r="H1561" s="15">
        <f t="shared" si="24"/>
        <v>0</v>
      </c>
      <c r="I1561" s="236" t="s">
        <v>19678</v>
      </c>
    </row>
    <row r="1562" spans="1:9" x14ac:dyDescent="0.25">
      <c r="A1562" s="242">
        <v>42898</v>
      </c>
      <c r="B1562" s="18">
        <v>115663</v>
      </c>
      <c r="C1562" s="235" t="s">
        <v>19677</v>
      </c>
      <c r="D1562" s="236" t="s">
        <v>15442</v>
      </c>
      <c r="E1562" s="15">
        <v>22368.6</v>
      </c>
      <c r="F1562" s="237">
        <v>42907</v>
      </c>
      <c r="G1562" s="15">
        <v>22368.6</v>
      </c>
      <c r="H1562" s="15">
        <f t="shared" si="24"/>
        <v>0</v>
      </c>
      <c r="I1562" s="236" t="s">
        <v>19682</v>
      </c>
    </row>
    <row r="1563" spans="1:9" x14ac:dyDescent="0.25">
      <c r="A1563" s="36">
        <v>42898</v>
      </c>
      <c r="B1563" s="18">
        <v>115664</v>
      </c>
      <c r="C1563" s="235" t="s">
        <v>19677</v>
      </c>
      <c r="D1563" s="236" t="s">
        <v>15274</v>
      </c>
      <c r="E1563" s="15">
        <v>2300</v>
      </c>
      <c r="F1563" s="237">
        <v>42898</v>
      </c>
      <c r="G1563" s="15">
        <v>2300</v>
      </c>
      <c r="H1563" s="15">
        <f t="shared" si="24"/>
        <v>0</v>
      </c>
      <c r="I1563" s="236" t="s">
        <v>19682</v>
      </c>
    </row>
    <row r="1564" spans="1:9" x14ac:dyDescent="0.25">
      <c r="A1564" s="242">
        <v>42898</v>
      </c>
      <c r="B1564" s="18">
        <v>115665</v>
      </c>
      <c r="C1564" s="235" t="s">
        <v>19677</v>
      </c>
      <c r="D1564" s="236" t="s">
        <v>15274</v>
      </c>
      <c r="E1564" s="15">
        <v>68</v>
      </c>
      <c r="F1564" s="237">
        <v>42898</v>
      </c>
      <c r="G1564" s="15">
        <v>68</v>
      </c>
      <c r="H1564" s="15">
        <f t="shared" si="24"/>
        <v>0</v>
      </c>
      <c r="I1564" s="236" t="s">
        <v>19682</v>
      </c>
    </row>
    <row r="1565" spans="1:9" x14ac:dyDescent="0.25">
      <c r="A1565" s="36">
        <v>42898</v>
      </c>
      <c r="B1565" s="18">
        <v>115666</v>
      </c>
      <c r="C1565" s="235" t="s">
        <v>19677</v>
      </c>
      <c r="D1565" s="236" t="s">
        <v>15419</v>
      </c>
      <c r="E1565" s="15">
        <v>25195.8</v>
      </c>
      <c r="F1565" s="237">
        <v>42908</v>
      </c>
      <c r="G1565" s="15">
        <v>25195.8</v>
      </c>
      <c r="H1565" s="15">
        <f t="shared" si="24"/>
        <v>0</v>
      </c>
      <c r="I1565" s="236" t="s">
        <v>19682</v>
      </c>
    </row>
    <row r="1566" spans="1:9" x14ac:dyDescent="0.25">
      <c r="A1566" s="242">
        <v>42898</v>
      </c>
      <c r="B1566" s="18">
        <v>115667</v>
      </c>
      <c r="C1566" s="235" t="s">
        <v>19677</v>
      </c>
      <c r="D1566" s="236" t="s">
        <v>15274</v>
      </c>
      <c r="E1566" s="15">
        <v>788.68</v>
      </c>
      <c r="F1566" s="237">
        <v>42898</v>
      </c>
      <c r="G1566" s="15">
        <v>788.68</v>
      </c>
      <c r="H1566" s="15">
        <f t="shared" si="24"/>
        <v>0</v>
      </c>
      <c r="I1566" s="236" t="s">
        <v>19682</v>
      </c>
    </row>
    <row r="1567" spans="1:9" x14ac:dyDescent="0.25">
      <c r="A1567" s="36">
        <v>42898</v>
      </c>
      <c r="B1567" s="18">
        <v>115668</v>
      </c>
      <c r="C1567" s="235" t="s">
        <v>19677</v>
      </c>
      <c r="D1567" s="236" t="s">
        <v>15566</v>
      </c>
      <c r="E1567" s="15">
        <v>3164</v>
      </c>
      <c r="F1567" s="237">
        <v>42898</v>
      </c>
      <c r="G1567" s="15">
        <v>3164</v>
      </c>
      <c r="H1567" s="15">
        <f t="shared" si="24"/>
        <v>0</v>
      </c>
      <c r="I1567" s="236" t="s">
        <v>19682</v>
      </c>
    </row>
    <row r="1568" spans="1:9" x14ac:dyDescent="0.25">
      <c r="A1568" s="242">
        <v>42898</v>
      </c>
      <c r="B1568" s="18">
        <v>115669</v>
      </c>
      <c r="C1568" s="235" t="s">
        <v>19677</v>
      </c>
      <c r="D1568" s="236" t="s">
        <v>16093</v>
      </c>
      <c r="E1568" s="15">
        <v>896.8</v>
      </c>
      <c r="F1568" s="237">
        <v>42898</v>
      </c>
      <c r="G1568" s="15">
        <v>896.8</v>
      </c>
      <c r="H1568" s="15">
        <f t="shared" si="24"/>
        <v>0</v>
      </c>
      <c r="I1568" s="236" t="s">
        <v>19682</v>
      </c>
    </row>
    <row r="1569" spans="1:9" x14ac:dyDescent="0.25">
      <c r="A1569" s="36">
        <v>42898</v>
      </c>
      <c r="B1569" s="18">
        <v>115670</v>
      </c>
      <c r="C1569" s="235" t="s">
        <v>19677</v>
      </c>
      <c r="D1569" s="236" t="s">
        <v>15566</v>
      </c>
      <c r="E1569" s="15">
        <v>792</v>
      </c>
      <c r="F1569" s="237">
        <v>42898</v>
      </c>
      <c r="G1569" s="15">
        <v>792</v>
      </c>
      <c r="H1569" s="15">
        <f t="shared" si="24"/>
        <v>0</v>
      </c>
      <c r="I1569" s="236" t="s">
        <v>19682</v>
      </c>
    </row>
    <row r="1570" spans="1:9" x14ac:dyDescent="0.25">
      <c r="A1570" s="242">
        <v>42898</v>
      </c>
      <c r="B1570" s="18">
        <v>115671</v>
      </c>
      <c r="C1570" s="235" t="s">
        <v>19677</v>
      </c>
      <c r="D1570" s="236" t="s">
        <v>15566</v>
      </c>
      <c r="E1570" s="15">
        <v>396</v>
      </c>
      <c r="F1570" s="237">
        <v>42898</v>
      </c>
      <c r="G1570" s="15">
        <v>396</v>
      </c>
      <c r="H1570" s="15">
        <f t="shared" si="24"/>
        <v>0</v>
      </c>
      <c r="I1570" s="236" t="s">
        <v>19682</v>
      </c>
    </row>
    <row r="1571" spans="1:9" x14ac:dyDescent="0.25">
      <c r="A1571" s="36">
        <v>42898</v>
      </c>
      <c r="B1571" s="18">
        <v>115672</v>
      </c>
      <c r="C1571" s="235" t="s">
        <v>19677</v>
      </c>
      <c r="D1571" s="236" t="s">
        <v>16093</v>
      </c>
      <c r="E1571" s="15">
        <v>1990.24</v>
      </c>
      <c r="F1571" s="237">
        <v>42898</v>
      </c>
      <c r="G1571" s="15">
        <v>1990.24</v>
      </c>
      <c r="H1571" s="15">
        <f t="shared" si="24"/>
        <v>0</v>
      </c>
      <c r="I1571" s="236" t="s">
        <v>19682</v>
      </c>
    </row>
    <row r="1572" spans="1:9" x14ac:dyDescent="0.25">
      <c r="A1572" s="242">
        <v>42898</v>
      </c>
      <c r="B1572" s="18">
        <v>115673</v>
      </c>
      <c r="C1572" s="235" t="s">
        <v>19677</v>
      </c>
      <c r="D1572" s="236" t="s">
        <v>15566</v>
      </c>
      <c r="E1572" s="15">
        <v>486</v>
      </c>
      <c r="F1572" s="237">
        <v>42898</v>
      </c>
      <c r="G1572" s="15">
        <v>486</v>
      </c>
      <c r="H1572" s="15">
        <f t="shared" si="24"/>
        <v>0</v>
      </c>
      <c r="I1572" s="236" t="s">
        <v>19682</v>
      </c>
    </row>
    <row r="1573" spans="1:9" x14ac:dyDescent="0.25">
      <c r="A1573" s="36">
        <v>42898</v>
      </c>
      <c r="B1573" s="18">
        <v>115674</v>
      </c>
      <c r="C1573" s="235" t="s">
        <v>19677</v>
      </c>
      <c r="D1573" s="236" t="s">
        <v>15226</v>
      </c>
      <c r="E1573" s="15">
        <v>2048.1999999999998</v>
      </c>
      <c r="F1573" s="237">
        <v>42901</v>
      </c>
      <c r="G1573" s="15">
        <v>2048.1999999999998</v>
      </c>
      <c r="H1573" s="15">
        <f t="shared" si="24"/>
        <v>0</v>
      </c>
      <c r="I1573" s="236" t="s">
        <v>19682</v>
      </c>
    </row>
    <row r="1574" spans="1:9" x14ac:dyDescent="0.25">
      <c r="A1574" s="242">
        <v>42898</v>
      </c>
      <c r="B1574" s="18">
        <v>115675</v>
      </c>
      <c r="C1574" s="235" t="s">
        <v>19677</v>
      </c>
      <c r="D1574" s="236" t="s">
        <v>15728</v>
      </c>
      <c r="E1574" s="15">
        <v>69897.2</v>
      </c>
      <c r="F1574" s="237">
        <v>42900</v>
      </c>
      <c r="G1574" s="15">
        <v>69897.2</v>
      </c>
      <c r="H1574" s="15">
        <f t="shared" si="24"/>
        <v>0</v>
      </c>
      <c r="I1574" s="236" t="s">
        <v>19682</v>
      </c>
    </row>
    <row r="1575" spans="1:9" x14ac:dyDescent="0.25">
      <c r="A1575" s="36">
        <v>42898</v>
      </c>
      <c r="B1575" s="18">
        <v>115676</v>
      </c>
      <c r="C1575" s="235" t="s">
        <v>19677</v>
      </c>
      <c r="D1575" s="236" t="s">
        <v>15315</v>
      </c>
      <c r="E1575" s="15">
        <v>1380</v>
      </c>
      <c r="F1575" s="237">
        <v>42898</v>
      </c>
      <c r="G1575" s="15">
        <v>1380</v>
      </c>
      <c r="H1575" s="15">
        <f t="shared" si="24"/>
        <v>0</v>
      </c>
      <c r="I1575" s="236" t="s">
        <v>19682</v>
      </c>
    </row>
    <row r="1576" spans="1:9" x14ac:dyDescent="0.25">
      <c r="A1576" s="242">
        <v>42898</v>
      </c>
      <c r="B1576" s="18">
        <v>115677</v>
      </c>
      <c r="C1576" s="235" t="s">
        <v>19677</v>
      </c>
      <c r="D1576" s="236" t="s">
        <v>15328</v>
      </c>
      <c r="E1576" s="15">
        <v>16787.12</v>
      </c>
      <c r="F1576" s="237">
        <v>42909</v>
      </c>
      <c r="G1576" s="15">
        <v>16787.12</v>
      </c>
      <c r="H1576" s="15">
        <f t="shared" si="24"/>
        <v>0</v>
      </c>
      <c r="I1576" s="236" t="s">
        <v>19682</v>
      </c>
    </row>
    <row r="1577" spans="1:9" x14ac:dyDescent="0.25">
      <c r="A1577" s="36">
        <v>42898</v>
      </c>
      <c r="B1577" s="18">
        <v>115678</v>
      </c>
      <c r="C1577" s="235" t="s">
        <v>19677</v>
      </c>
      <c r="D1577" s="236" t="s">
        <v>17430</v>
      </c>
      <c r="E1577" s="15">
        <v>3891.6</v>
      </c>
      <c r="F1577" s="237">
        <v>42898</v>
      </c>
      <c r="G1577" s="15">
        <v>3891.6</v>
      </c>
      <c r="H1577" s="15">
        <f t="shared" si="24"/>
        <v>0</v>
      </c>
      <c r="I1577" s="236" t="s">
        <v>19682</v>
      </c>
    </row>
    <row r="1578" spans="1:9" x14ac:dyDescent="0.25">
      <c r="A1578" s="242">
        <v>42898</v>
      </c>
      <c r="B1578" s="18">
        <v>115679</v>
      </c>
      <c r="C1578" s="235" t="s">
        <v>19677</v>
      </c>
      <c r="D1578" s="236" t="s">
        <v>15284</v>
      </c>
      <c r="E1578" s="15">
        <v>1050.8</v>
      </c>
      <c r="F1578" s="237">
        <v>42898</v>
      </c>
      <c r="G1578" s="15">
        <v>1050.8</v>
      </c>
      <c r="H1578" s="15">
        <f t="shared" si="24"/>
        <v>0</v>
      </c>
      <c r="I1578" s="236" t="s">
        <v>19682</v>
      </c>
    </row>
    <row r="1579" spans="1:9" x14ac:dyDescent="0.25">
      <c r="A1579" s="36">
        <v>42898</v>
      </c>
      <c r="B1579" s="18">
        <v>115680</v>
      </c>
      <c r="C1579" s="235" t="s">
        <v>19677</v>
      </c>
      <c r="D1579" s="236" t="s">
        <v>17462</v>
      </c>
      <c r="E1579" s="15">
        <v>1308.4000000000001</v>
      </c>
      <c r="F1579" s="237">
        <v>42898</v>
      </c>
      <c r="G1579" s="15">
        <v>1308.4000000000001</v>
      </c>
      <c r="H1579" s="15">
        <f t="shared" si="24"/>
        <v>0</v>
      </c>
      <c r="I1579" s="236" t="s">
        <v>19682</v>
      </c>
    </row>
    <row r="1580" spans="1:9" x14ac:dyDescent="0.25">
      <c r="A1580" s="242">
        <v>42898</v>
      </c>
      <c r="B1580" s="18">
        <v>115681</v>
      </c>
      <c r="C1580" s="235" t="s">
        <v>19677</v>
      </c>
      <c r="D1580" s="236" t="s">
        <v>16463</v>
      </c>
      <c r="E1580" s="15">
        <v>5712</v>
      </c>
      <c r="F1580" s="237">
        <v>42899</v>
      </c>
      <c r="G1580" s="15">
        <v>5712</v>
      </c>
      <c r="H1580" s="15">
        <f t="shared" si="24"/>
        <v>0</v>
      </c>
      <c r="I1580" s="236" t="s">
        <v>19682</v>
      </c>
    </row>
    <row r="1581" spans="1:9" x14ac:dyDescent="0.25">
      <c r="A1581" s="36">
        <v>42898</v>
      </c>
      <c r="B1581" s="18">
        <v>115682</v>
      </c>
      <c r="C1581" s="235" t="s">
        <v>19677</v>
      </c>
      <c r="D1581" s="236" t="s">
        <v>15930</v>
      </c>
      <c r="E1581" s="15">
        <v>9751</v>
      </c>
      <c r="F1581" s="237">
        <v>42899</v>
      </c>
      <c r="G1581" s="15">
        <v>9751</v>
      </c>
      <c r="H1581" s="15">
        <f t="shared" si="24"/>
        <v>0</v>
      </c>
      <c r="I1581" s="236" t="s">
        <v>19682</v>
      </c>
    </row>
    <row r="1582" spans="1:9" x14ac:dyDescent="0.25">
      <c r="A1582" s="242">
        <v>42898</v>
      </c>
      <c r="B1582" s="18">
        <v>115683</v>
      </c>
      <c r="C1582" s="235" t="s">
        <v>19677</v>
      </c>
      <c r="D1582" s="236" t="s">
        <v>15276</v>
      </c>
      <c r="E1582" s="15">
        <v>2300</v>
      </c>
      <c r="F1582" s="237">
        <v>42899</v>
      </c>
      <c r="G1582" s="15">
        <v>2300</v>
      </c>
      <c r="H1582" s="15">
        <f t="shared" si="24"/>
        <v>0</v>
      </c>
      <c r="I1582" s="236" t="s">
        <v>19682</v>
      </c>
    </row>
    <row r="1583" spans="1:9" x14ac:dyDescent="0.25">
      <c r="A1583" s="36">
        <v>42898</v>
      </c>
      <c r="B1583" s="18">
        <v>115684</v>
      </c>
      <c r="C1583" s="235" t="s">
        <v>19677</v>
      </c>
      <c r="D1583" s="236" t="s">
        <v>15444</v>
      </c>
      <c r="E1583" s="15">
        <v>2736.2</v>
      </c>
      <c r="F1583" s="237">
        <v>42900</v>
      </c>
      <c r="G1583" s="15">
        <v>2736.2</v>
      </c>
      <c r="H1583" s="15">
        <f t="shared" si="24"/>
        <v>0</v>
      </c>
      <c r="I1583" s="236" t="s">
        <v>19682</v>
      </c>
    </row>
    <row r="1584" spans="1:9" x14ac:dyDescent="0.25">
      <c r="A1584" s="242">
        <v>42898</v>
      </c>
      <c r="B1584" s="18">
        <v>115685</v>
      </c>
      <c r="C1584" s="235" t="s">
        <v>19677</v>
      </c>
      <c r="D1584" s="236" t="s">
        <v>15934</v>
      </c>
      <c r="E1584" s="15">
        <v>780</v>
      </c>
      <c r="F1584" s="237">
        <v>42899</v>
      </c>
      <c r="G1584" s="15">
        <v>780</v>
      </c>
      <c r="H1584" s="15">
        <f t="shared" si="24"/>
        <v>0</v>
      </c>
      <c r="I1584" s="236" t="s">
        <v>19682</v>
      </c>
    </row>
    <row r="1585" spans="1:9" x14ac:dyDescent="0.25">
      <c r="A1585" s="36">
        <v>42898</v>
      </c>
      <c r="B1585" s="18">
        <v>115686</v>
      </c>
      <c r="C1585" s="235" t="s">
        <v>19677</v>
      </c>
      <c r="D1585" s="236" t="s">
        <v>15920</v>
      </c>
      <c r="E1585" s="15">
        <v>10662</v>
      </c>
      <c r="F1585" s="237">
        <v>42909</v>
      </c>
      <c r="G1585" s="15">
        <v>10662</v>
      </c>
      <c r="H1585" s="15">
        <f t="shared" si="24"/>
        <v>0</v>
      </c>
      <c r="I1585" s="236" t="s">
        <v>19682</v>
      </c>
    </row>
    <row r="1586" spans="1:9" x14ac:dyDescent="0.25">
      <c r="A1586" s="242">
        <v>42898</v>
      </c>
      <c r="B1586" s="18">
        <v>115687</v>
      </c>
      <c r="C1586" s="235" t="s">
        <v>19677</v>
      </c>
      <c r="D1586" s="236" t="s">
        <v>19707</v>
      </c>
      <c r="E1586" s="15">
        <v>1934.6</v>
      </c>
      <c r="F1586" s="237">
        <v>42898</v>
      </c>
      <c r="G1586" s="15">
        <v>1934.6</v>
      </c>
      <c r="H1586" s="15">
        <f t="shared" si="24"/>
        <v>0</v>
      </c>
      <c r="I1586" s="236" t="s">
        <v>19682</v>
      </c>
    </row>
    <row r="1587" spans="1:9" x14ac:dyDescent="0.25">
      <c r="A1587" s="36">
        <v>42898</v>
      </c>
      <c r="B1587" s="18">
        <v>115688</v>
      </c>
      <c r="C1587" s="235" t="s">
        <v>19677</v>
      </c>
      <c r="D1587" s="236" t="s">
        <v>15417</v>
      </c>
      <c r="E1587" s="15">
        <v>1782</v>
      </c>
      <c r="F1587" s="237">
        <v>42899</v>
      </c>
      <c r="G1587" s="15">
        <v>1782</v>
      </c>
      <c r="H1587" s="15">
        <f t="shared" si="24"/>
        <v>0</v>
      </c>
      <c r="I1587" s="236" t="s">
        <v>19682</v>
      </c>
    </row>
    <row r="1588" spans="1:9" x14ac:dyDescent="0.25">
      <c r="A1588" s="242">
        <v>42898</v>
      </c>
      <c r="B1588" s="18">
        <v>115689</v>
      </c>
      <c r="C1588" s="235" t="s">
        <v>19677</v>
      </c>
      <c r="D1588" s="236" t="s">
        <v>15782</v>
      </c>
      <c r="E1588" s="15">
        <v>1386</v>
      </c>
      <c r="F1588" s="237">
        <v>42899</v>
      </c>
      <c r="G1588" s="15">
        <v>1386</v>
      </c>
      <c r="H1588" s="15">
        <f t="shared" si="24"/>
        <v>0</v>
      </c>
      <c r="I1588" s="236" t="s">
        <v>19682</v>
      </c>
    </row>
    <row r="1589" spans="1:9" x14ac:dyDescent="0.25">
      <c r="A1589" s="36">
        <v>42898</v>
      </c>
      <c r="B1589" s="18">
        <v>115690</v>
      </c>
      <c r="C1589" s="235" t="s">
        <v>19677</v>
      </c>
      <c r="D1589" s="236" t="s">
        <v>15396</v>
      </c>
      <c r="E1589" s="15">
        <v>7425.52</v>
      </c>
      <c r="F1589" s="237">
        <v>42898</v>
      </c>
      <c r="G1589" s="15">
        <v>7425.52</v>
      </c>
      <c r="H1589" s="15">
        <f t="shared" si="24"/>
        <v>0</v>
      </c>
      <c r="I1589" s="236" t="s">
        <v>19682</v>
      </c>
    </row>
    <row r="1590" spans="1:9" x14ac:dyDescent="0.25">
      <c r="A1590" s="242">
        <v>42898</v>
      </c>
      <c r="B1590" s="18">
        <v>115691</v>
      </c>
      <c r="C1590" s="235" t="s">
        <v>19677</v>
      </c>
      <c r="D1590" s="236" t="s">
        <v>15433</v>
      </c>
      <c r="E1590" s="15">
        <v>1682.3</v>
      </c>
      <c r="F1590" s="237">
        <v>42899</v>
      </c>
      <c r="G1590" s="15">
        <v>1682.3</v>
      </c>
      <c r="H1590" s="15">
        <f t="shared" si="24"/>
        <v>0</v>
      </c>
      <c r="I1590" s="236" t="s">
        <v>19682</v>
      </c>
    </row>
    <row r="1591" spans="1:9" x14ac:dyDescent="0.25">
      <c r="A1591" s="36">
        <v>42898</v>
      </c>
      <c r="B1591" s="18">
        <v>115692</v>
      </c>
      <c r="C1591" s="235" t="s">
        <v>19677</v>
      </c>
      <c r="D1591" s="236" t="s">
        <v>15267</v>
      </c>
      <c r="E1591" s="15">
        <v>18937.599999999999</v>
      </c>
      <c r="F1591" s="237">
        <v>42933</v>
      </c>
      <c r="G1591" s="15">
        <v>18937.599999999999</v>
      </c>
      <c r="H1591" s="15">
        <f t="shared" si="24"/>
        <v>0</v>
      </c>
      <c r="I1591" s="236" t="s">
        <v>19682</v>
      </c>
    </row>
    <row r="1592" spans="1:9" x14ac:dyDescent="0.25">
      <c r="A1592" s="242">
        <v>42898</v>
      </c>
      <c r="B1592" s="18">
        <v>115693</v>
      </c>
      <c r="C1592" s="235" t="s">
        <v>19677</v>
      </c>
      <c r="D1592" s="236" t="s">
        <v>15365</v>
      </c>
      <c r="E1592" s="15">
        <v>2951</v>
      </c>
      <c r="F1592" s="237">
        <v>42902</v>
      </c>
      <c r="G1592" s="15">
        <v>2951</v>
      </c>
      <c r="H1592" s="15">
        <f t="shared" si="24"/>
        <v>0</v>
      </c>
      <c r="I1592" s="236" t="s">
        <v>19682</v>
      </c>
    </row>
    <row r="1593" spans="1:9" x14ac:dyDescent="0.25">
      <c r="A1593" s="36">
        <v>42898</v>
      </c>
      <c r="B1593" s="18">
        <v>115694</v>
      </c>
      <c r="C1593" s="235" t="s">
        <v>19677</v>
      </c>
      <c r="D1593" s="236" t="s">
        <v>15246</v>
      </c>
      <c r="E1593" s="15">
        <v>47371.199999999997</v>
      </c>
      <c r="F1593" s="237">
        <v>42901</v>
      </c>
      <c r="G1593" s="15">
        <v>47371.199999999997</v>
      </c>
      <c r="H1593" s="15">
        <f t="shared" si="24"/>
        <v>0</v>
      </c>
      <c r="I1593" s="236" t="s">
        <v>19682</v>
      </c>
    </row>
    <row r="1594" spans="1:9" x14ac:dyDescent="0.25">
      <c r="A1594" s="242">
        <v>42898</v>
      </c>
      <c r="B1594" s="18">
        <v>115695</v>
      </c>
      <c r="C1594" s="235" t="s">
        <v>19677</v>
      </c>
      <c r="D1594" s="236" t="s">
        <v>15624</v>
      </c>
      <c r="E1594" s="15">
        <v>3095</v>
      </c>
      <c r="F1594" s="237">
        <v>42898</v>
      </c>
      <c r="G1594" s="15">
        <v>3095</v>
      </c>
      <c r="H1594" s="15">
        <f t="shared" si="24"/>
        <v>0</v>
      </c>
      <c r="I1594" s="236" t="s">
        <v>19682</v>
      </c>
    </row>
    <row r="1595" spans="1:9" x14ac:dyDescent="0.25">
      <c r="A1595" s="36">
        <v>42898</v>
      </c>
      <c r="B1595" s="18">
        <v>115696</v>
      </c>
      <c r="C1595" s="235" t="s">
        <v>19677</v>
      </c>
      <c r="D1595" s="236" t="s">
        <v>15568</v>
      </c>
      <c r="E1595" s="15">
        <v>770</v>
      </c>
      <c r="F1595" s="237">
        <v>42898</v>
      </c>
      <c r="G1595" s="15">
        <v>770</v>
      </c>
      <c r="H1595" s="15">
        <f t="shared" si="24"/>
        <v>0</v>
      </c>
      <c r="I1595" s="236" t="s">
        <v>19682</v>
      </c>
    </row>
    <row r="1596" spans="1:9" x14ac:dyDescent="0.25">
      <c r="A1596" s="242">
        <v>42898</v>
      </c>
      <c r="B1596" s="18">
        <v>115697</v>
      </c>
      <c r="C1596" s="235" t="s">
        <v>19677</v>
      </c>
      <c r="D1596" s="236" t="s">
        <v>15448</v>
      </c>
      <c r="E1596" s="15">
        <v>208147.5</v>
      </c>
      <c r="F1596" s="237">
        <v>42903</v>
      </c>
      <c r="G1596" s="15">
        <v>208147.5</v>
      </c>
      <c r="H1596" s="15">
        <f t="shared" si="24"/>
        <v>0</v>
      </c>
      <c r="I1596" s="236" t="s">
        <v>19682</v>
      </c>
    </row>
    <row r="1597" spans="1:9" x14ac:dyDescent="0.25">
      <c r="A1597" s="36">
        <v>42898</v>
      </c>
      <c r="B1597" s="18">
        <v>115698</v>
      </c>
      <c r="C1597" s="235" t="s">
        <v>19677</v>
      </c>
      <c r="D1597" s="236" t="s">
        <v>15263</v>
      </c>
      <c r="E1597" s="15">
        <v>530.70000000000005</v>
      </c>
      <c r="F1597" s="237">
        <v>42898</v>
      </c>
      <c r="G1597" s="15">
        <v>530.70000000000005</v>
      </c>
      <c r="H1597" s="15">
        <f t="shared" si="24"/>
        <v>0</v>
      </c>
      <c r="I1597" s="236" t="s">
        <v>19682</v>
      </c>
    </row>
    <row r="1598" spans="1:9" x14ac:dyDescent="0.25">
      <c r="A1598" s="242">
        <v>42898</v>
      </c>
      <c r="B1598" s="18">
        <v>115699</v>
      </c>
      <c r="C1598" s="235" t="s">
        <v>19677</v>
      </c>
      <c r="D1598" s="236" t="s">
        <v>18076</v>
      </c>
      <c r="E1598" s="15">
        <v>752</v>
      </c>
      <c r="F1598" s="237">
        <v>42898</v>
      </c>
      <c r="G1598" s="15">
        <v>752</v>
      </c>
      <c r="H1598" s="15">
        <f t="shared" si="24"/>
        <v>0</v>
      </c>
      <c r="I1598" s="236" t="s">
        <v>19682</v>
      </c>
    </row>
    <row r="1599" spans="1:9" x14ac:dyDescent="0.25">
      <c r="A1599" s="36">
        <v>42898</v>
      </c>
      <c r="B1599" s="18">
        <v>115700</v>
      </c>
      <c r="C1599" s="235" t="s">
        <v>19677</v>
      </c>
      <c r="D1599" s="236" t="s">
        <v>15421</v>
      </c>
      <c r="E1599" s="15">
        <v>3076.4</v>
      </c>
      <c r="F1599" s="237">
        <v>42898</v>
      </c>
      <c r="G1599" s="15">
        <v>3076.4</v>
      </c>
      <c r="H1599" s="15">
        <f t="shared" si="24"/>
        <v>0</v>
      </c>
      <c r="I1599" s="236" t="s">
        <v>19682</v>
      </c>
    </row>
    <row r="1600" spans="1:9" x14ac:dyDescent="0.25">
      <c r="A1600" s="242">
        <v>42898</v>
      </c>
      <c r="B1600" s="18">
        <v>115701</v>
      </c>
      <c r="C1600" s="235" t="s">
        <v>19677</v>
      </c>
      <c r="D1600" s="236" t="s">
        <v>15250</v>
      </c>
      <c r="E1600" s="15">
        <v>4754.0200000000004</v>
      </c>
      <c r="F1600" s="237">
        <v>42909</v>
      </c>
      <c r="G1600" s="15">
        <v>4754.0200000000004</v>
      </c>
      <c r="H1600" s="15">
        <f t="shared" si="24"/>
        <v>0</v>
      </c>
      <c r="I1600" s="236" t="s">
        <v>19682</v>
      </c>
    </row>
    <row r="1601" spans="1:9" x14ac:dyDescent="0.25">
      <c r="A1601" s="36">
        <v>42898</v>
      </c>
      <c r="B1601" s="18">
        <v>115702</v>
      </c>
      <c r="C1601" s="235" t="s">
        <v>19677</v>
      </c>
      <c r="D1601" s="236" t="s">
        <v>15246</v>
      </c>
      <c r="E1601" s="15">
        <v>7888.8</v>
      </c>
      <c r="F1601" s="237">
        <v>42901</v>
      </c>
      <c r="G1601" s="15">
        <v>7888.8</v>
      </c>
      <c r="H1601" s="15">
        <f t="shared" si="24"/>
        <v>0</v>
      </c>
      <c r="I1601" s="236" t="s">
        <v>19682</v>
      </c>
    </row>
    <row r="1602" spans="1:9" x14ac:dyDescent="0.25">
      <c r="A1602" s="242">
        <v>42898</v>
      </c>
      <c r="B1602" s="18">
        <v>115703</v>
      </c>
      <c r="C1602" s="235" t="s">
        <v>19677</v>
      </c>
      <c r="D1602" s="236" t="s">
        <v>15328</v>
      </c>
      <c r="E1602" s="15">
        <v>71189.759999999995</v>
      </c>
      <c r="F1602" s="237">
        <v>42909</v>
      </c>
      <c r="G1602" s="15">
        <v>71189.759999999995</v>
      </c>
      <c r="H1602" s="15">
        <f t="shared" ref="H1602:H1665" si="25">E1602-G1602</f>
        <v>0</v>
      </c>
      <c r="I1602" s="236" t="s">
        <v>19682</v>
      </c>
    </row>
    <row r="1603" spans="1:9" x14ac:dyDescent="0.25">
      <c r="A1603" s="36">
        <v>42898</v>
      </c>
      <c r="B1603" s="18">
        <v>115704</v>
      </c>
      <c r="C1603" s="235" t="s">
        <v>19677</v>
      </c>
      <c r="D1603" s="236" t="s">
        <v>15448</v>
      </c>
      <c r="E1603" s="15">
        <v>50865.3</v>
      </c>
      <c r="F1603" s="237">
        <v>42903</v>
      </c>
      <c r="G1603" s="15">
        <v>50865.3</v>
      </c>
      <c r="H1603" s="15">
        <f t="shared" si="25"/>
        <v>0</v>
      </c>
      <c r="I1603" s="236" t="s">
        <v>19682</v>
      </c>
    </row>
    <row r="1604" spans="1:9" x14ac:dyDescent="0.25">
      <c r="A1604" s="242">
        <v>42898</v>
      </c>
      <c r="B1604" s="18">
        <v>115705</v>
      </c>
      <c r="C1604" s="235" t="s">
        <v>19677</v>
      </c>
      <c r="D1604" s="236" t="s">
        <v>15458</v>
      </c>
      <c r="E1604" s="15">
        <v>4814</v>
      </c>
      <c r="F1604" s="237">
        <v>42900</v>
      </c>
      <c r="G1604" s="15">
        <v>4814</v>
      </c>
      <c r="H1604" s="15">
        <f t="shared" si="25"/>
        <v>0</v>
      </c>
      <c r="I1604" s="236" t="s">
        <v>19682</v>
      </c>
    </row>
    <row r="1605" spans="1:9" x14ac:dyDescent="0.25">
      <c r="A1605" s="36">
        <v>42898</v>
      </c>
      <c r="B1605" s="18">
        <v>115706</v>
      </c>
      <c r="C1605" s="235" t="s">
        <v>19677</v>
      </c>
      <c r="D1605" s="236" t="s">
        <v>15452</v>
      </c>
      <c r="E1605" s="15">
        <v>2215</v>
      </c>
      <c r="F1605" s="237">
        <v>42900</v>
      </c>
      <c r="G1605" s="15">
        <v>2215</v>
      </c>
      <c r="H1605" s="15">
        <f t="shared" si="25"/>
        <v>0</v>
      </c>
      <c r="I1605" s="236" t="s">
        <v>19682</v>
      </c>
    </row>
    <row r="1606" spans="1:9" x14ac:dyDescent="0.25">
      <c r="A1606" s="242">
        <v>42898</v>
      </c>
      <c r="B1606" s="18">
        <v>115707</v>
      </c>
      <c r="C1606" s="235" t="s">
        <v>19677</v>
      </c>
      <c r="D1606" s="236" t="s">
        <v>15446</v>
      </c>
      <c r="E1606" s="15">
        <v>957</v>
      </c>
      <c r="F1606" s="237">
        <v>42900</v>
      </c>
      <c r="G1606" s="15">
        <v>957</v>
      </c>
      <c r="H1606" s="15">
        <f t="shared" si="25"/>
        <v>0</v>
      </c>
      <c r="I1606" s="236" t="s">
        <v>19682</v>
      </c>
    </row>
    <row r="1607" spans="1:9" x14ac:dyDescent="0.25">
      <c r="A1607" s="36">
        <v>42898</v>
      </c>
      <c r="B1607" s="18">
        <v>115708</v>
      </c>
      <c r="C1607" s="235" t="s">
        <v>19677</v>
      </c>
      <c r="D1607" s="236" t="s">
        <v>15354</v>
      </c>
      <c r="E1607" s="15">
        <v>3766.2</v>
      </c>
      <c r="F1607" s="237">
        <v>42899</v>
      </c>
      <c r="G1607" s="15">
        <v>3766.2</v>
      </c>
      <c r="H1607" s="15">
        <f t="shared" si="25"/>
        <v>0</v>
      </c>
      <c r="I1607" s="236" t="s">
        <v>19682</v>
      </c>
    </row>
    <row r="1608" spans="1:9" x14ac:dyDescent="0.25">
      <c r="A1608" s="242">
        <v>42898</v>
      </c>
      <c r="B1608" s="18">
        <v>115709</v>
      </c>
      <c r="C1608" s="235" t="s">
        <v>19677</v>
      </c>
      <c r="D1608" s="236" t="s">
        <v>15450</v>
      </c>
      <c r="E1608" s="15">
        <v>1331.7</v>
      </c>
      <c r="F1608" s="237">
        <v>42900</v>
      </c>
      <c r="G1608" s="15">
        <v>1331.7</v>
      </c>
      <c r="H1608" s="15">
        <f t="shared" si="25"/>
        <v>0</v>
      </c>
      <c r="I1608" s="236" t="s">
        <v>19682</v>
      </c>
    </row>
    <row r="1609" spans="1:9" x14ac:dyDescent="0.25">
      <c r="A1609" s="36">
        <v>42898</v>
      </c>
      <c r="B1609" s="18">
        <v>115710</v>
      </c>
      <c r="C1609" s="235" t="s">
        <v>19677</v>
      </c>
      <c r="D1609" s="236" t="s">
        <v>15328</v>
      </c>
      <c r="E1609" s="15">
        <v>6115</v>
      </c>
      <c r="F1609" s="237">
        <v>42909</v>
      </c>
      <c r="G1609" s="15">
        <v>6115</v>
      </c>
      <c r="H1609" s="15">
        <f t="shared" si="25"/>
        <v>0</v>
      </c>
      <c r="I1609" s="236" t="s">
        <v>19682</v>
      </c>
    </row>
    <row r="1610" spans="1:9" x14ac:dyDescent="0.25">
      <c r="A1610" s="242">
        <v>42898</v>
      </c>
      <c r="B1610" s="18">
        <v>115711</v>
      </c>
      <c r="C1610" s="235" t="s">
        <v>19677</v>
      </c>
      <c r="D1610" s="236" t="s">
        <v>5880</v>
      </c>
      <c r="E1610" s="15">
        <v>64284.800000000003</v>
      </c>
      <c r="F1610" s="237">
        <v>42899</v>
      </c>
      <c r="G1610" s="15">
        <v>64284.800000000003</v>
      </c>
      <c r="H1610" s="15">
        <f t="shared" si="25"/>
        <v>0</v>
      </c>
      <c r="I1610" s="236" t="s">
        <v>19682</v>
      </c>
    </row>
    <row r="1611" spans="1:9" x14ac:dyDescent="0.25">
      <c r="A1611" s="36">
        <v>42898</v>
      </c>
      <c r="B1611" s="18">
        <v>115712</v>
      </c>
      <c r="C1611" s="235" t="s">
        <v>19677</v>
      </c>
      <c r="D1611" s="236" t="s">
        <v>15454</v>
      </c>
      <c r="E1611" s="15">
        <v>5627</v>
      </c>
      <c r="F1611" s="237">
        <v>42900</v>
      </c>
      <c r="G1611" s="15">
        <v>5627</v>
      </c>
      <c r="H1611" s="15">
        <f t="shared" si="25"/>
        <v>0</v>
      </c>
      <c r="I1611" s="236" t="s">
        <v>19682</v>
      </c>
    </row>
    <row r="1612" spans="1:9" x14ac:dyDescent="0.25">
      <c r="A1612" s="242">
        <v>42898</v>
      </c>
      <c r="B1612" s="18">
        <v>115713</v>
      </c>
      <c r="C1612" s="235" t="s">
        <v>19677</v>
      </c>
      <c r="D1612" s="236" t="s">
        <v>15462</v>
      </c>
      <c r="E1612" s="15">
        <v>21425.5</v>
      </c>
      <c r="F1612" s="237">
        <v>42900</v>
      </c>
      <c r="G1612" s="15">
        <v>21425.5</v>
      </c>
      <c r="H1612" s="15">
        <f t="shared" si="25"/>
        <v>0</v>
      </c>
      <c r="I1612" s="236" t="s">
        <v>19682</v>
      </c>
    </row>
    <row r="1613" spans="1:9" x14ac:dyDescent="0.25">
      <c r="A1613" s="36">
        <v>42898</v>
      </c>
      <c r="B1613" s="18">
        <v>115714</v>
      </c>
      <c r="C1613" s="235" t="s">
        <v>19677</v>
      </c>
      <c r="D1613" s="236" t="s">
        <v>15315</v>
      </c>
      <c r="E1613" s="15">
        <v>19117.8</v>
      </c>
      <c r="F1613" s="237">
        <v>42899</v>
      </c>
      <c r="G1613" s="15">
        <v>19117.8</v>
      </c>
      <c r="H1613" s="15">
        <f t="shared" si="25"/>
        <v>0</v>
      </c>
      <c r="I1613" s="236" t="s">
        <v>19682</v>
      </c>
    </row>
    <row r="1614" spans="1:9" x14ac:dyDescent="0.25">
      <c r="A1614" s="242">
        <v>42898</v>
      </c>
      <c r="B1614" s="18">
        <v>115715</v>
      </c>
      <c r="C1614" s="235" t="s">
        <v>19677</v>
      </c>
      <c r="D1614" s="236" t="s">
        <v>15246</v>
      </c>
      <c r="E1614" s="15">
        <v>42031</v>
      </c>
      <c r="F1614" s="237">
        <v>42901</v>
      </c>
      <c r="G1614" s="15">
        <v>42031</v>
      </c>
      <c r="H1614" s="15">
        <f t="shared" si="25"/>
        <v>0</v>
      </c>
      <c r="I1614" s="236" t="s">
        <v>19682</v>
      </c>
    </row>
    <row r="1615" spans="1:9" x14ac:dyDescent="0.25">
      <c r="A1615" s="36">
        <v>42898</v>
      </c>
      <c r="B1615" s="18">
        <v>115716</v>
      </c>
      <c r="C1615" s="235" t="s">
        <v>19677</v>
      </c>
      <c r="D1615" s="236" t="s">
        <v>5883</v>
      </c>
      <c r="E1615" s="15">
        <v>19917.32</v>
      </c>
      <c r="F1615" s="266">
        <v>42927</v>
      </c>
      <c r="G1615" s="35">
        <v>19917.32</v>
      </c>
      <c r="H1615" s="15">
        <f t="shared" si="25"/>
        <v>0</v>
      </c>
      <c r="I1615" s="236" t="s">
        <v>19682</v>
      </c>
    </row>
    <row r="1616" spans="1:9" x14ac:dyDescent="0.25">
      <c r="A1616" s="242">
        <v>42898</v>
      </c>
      <c r="B1616" s="18">
        <v>115717</v>
      </c>
      <c r="C1616" s="235" t="s">
        <v>19677</v>
      </c>
      <c r="D1616" s="236" t="s">
        <v>15435</v>
      </c>
      <c r="E1616" s="15">
        <v>7517.4</v>
      </c>
      <c r="F1616" s="237">
        <v>42898</v>
      </c>
      <c r="G1616" s="15">
        <v>7517.4</v>
      </c>
      <c r="H1616" s="15">
        <f t="shared" si="25"/>
        <v>0</v>
      </c>
      <c r="I1616" s="236" t="s">
        <v>19682</v>
      </c>
    </row>
    <row r="1617" spans="1:9" x14ac:dyDescent="0.25">
      <c r="A1617" s="36">
        <v>42898</v>
      </c>
      <c r="B1617" s="18">
        <v>115718</v>
      </c>
      <c r="C1617" s="235" t="s">
        <v>19677</v>
      </c>
      <c r="D1617" s="236" t="s">
        <v>15246</v>
      </c>
      <c r="E1617" s="15">
        <v>3000</v>
      </c>
      <c r="F1617" s="237">
        <v>42903</v>
      </c>
      <c r="G1617" s="15">
        <v>3000</v>
      </c>
      <c r="H1617" s="15">
        <f t="shared" si="25"/>
        <v>0</v>
      </c>
      <c r="I1617" s="236" t="s">
        <v>19682</v>
      </c>
    </row>
    <row r="1618" spans="1:9" x14ac:dyDescent="0.25">
      <c r="A1618" s="242">
        <v>42898</v>
      </c>
      <c r="B1618" s="18">
        <v>115719</v>
      </c>
      <c r="C1618" s="235" t="s">
        <v>19677</v>
      </c>
      <c r="D1618" s="236" t="s">
        <v>15223</v>
      </c>
      <c r="E1618" s="15">
        <v>42147</v>
      </c>
      <c r="F1618" s="237">
        <v>42920</v>
      </c>
      <c r="G1618" s="15">
        <v>42147</v>
      </c>
      <c r="H1618" s="15">
        <f t="shared" si="25"/>
        <v>0</v>
      </c>
      <c r="I1618" s="236" t="s">
        <v>19682</v>
      </c>
    </row>
    <row r="1619" spans="1:9" x14ac:dyDescent="0.25">
      <c r="A1619" s="242">
        <v>42899</v>
      </c>
      <c r="B1619" s="18">
        <v>115720</v>
      </c>
      <c r="C1619" s="235" t="s">
        <v>19677</v>
      </c>
      <c r="D1619" s="236" t="s">
        <v>15213</v>
      </c>
      <c r="E1619" s="15">
        <v>9588.9</v>
      </c>
      <c r="F1619" s="237">
        <v>42901</v>
      </c>
      <c r="G1619" s="15">
        <v>9588.9</v>
      </c>
      <c r="H1619" s="15">
        <f t="shared" si="25"/>
        <v>0</v>
      </c>
      <c r="I1619" s="236" t="s">
        <v>19682</v>
      </c>
    </row>
    <row r="1620" spans="1:9" x14ac:dyDescent="0.25">
      <c r="A1620" s="36">
        <v>42899</v>
      </c>
      <c r="B1620" s="18">
        <v>115721</v>
      </c>
      <c r="C1620" s="235" t="s">
        <v>19677</v>
      </c>
      <c r="D1620" s="236" t="s">
        <v>15452</v>
      </c>
      <c r="E1620" s="15">
        <v>900</v>
      </c>
      <c r="F1620" s="237">
        <v>42900</v>
      </c>
      <c r="G1620" s="15">
        <v>900</v>
      </c>
      <c r="H1620" s="15">
        <f t="shared" si="25"/>
        <v>0</v>
      </c>
      <c r="I1620" s="236" t="s">
        <v>19682</v>
      </c>
    </row>
    <row r="1621" spans="1:9" x14ac:dyDescent="0.25">
      <c r="A1621" s="242">
        <v>42899</v>
      </c>
      <c r="B1621" s="18">
        <v>115722</v>
      </c>
      <c r="C1621" s="235" t="s">
        <v>19677</v>
      </c>
      <c r="D1621" s="236" t="s">
        <v>15213</v>
      </c>
      <c r="E1621" s="15">
        <v>41871.199999999997</v>
      </c>
      <c r="F1621" s="237">
        <v>42901</v>
      </c>
      <c r="G1621" s="15">
        <v>41871.199999999997</v>
      </c>
      <c r="H1621" s="15">
        <f t="shared" si="25"/>
        <v>0</v>
      </c>
      <c r="I1621" s="236" t="s">
        <v>19682</v>
      </c>
    </row>
    <row r="1622" spans="1:9" x14ac:dyDescent="0.25">
      <c r="A1622" s="36">
        <v>42899</v>
      </c>
      <c r="B1622" s="18">
        <v>115723</v>
      </c>
      <c r="C1622" s="235" t="s">
        <v>19677</v>
      </c>
      <c r="D1622" s="236" t="s">
        <v>15213</v>
      </c>
      <c r="E1622" s="15">
        <v>753.3</v>
      </c>
      <c r="F1622" s="237">
        <v>42901</v>
      </c>
      <c r="G1622" s="15">
        <v>753.3</v>
      </c>
      <c r="H1622" s="15">
        <f t="shared" si="25"/>
        <v>0</v>
      </c>
      <c r="I1622" s="236" t="s">
        <v>19682</v>
      </c>
    </row>
    <row r="1623" spans="1:9" ht="15.75" x14ac:dyDescent="0.25">
      <c r="A1623" s="242">
        <v>42899</v>
      </c>
      <c r="B1623" s="18">
        <v>115724</v>
      </c>
      <c r="C1623" s="235" t="s">
        <v>19677</v>
      </c>
      <c r="D1623" s="248" t="s">
        <v>95</v>
      </c>
      <c r="E1623" s="15">
        <v>0</v>
      </c>
      <c r="F1623" s="243" t="s">
        <v>95</v>
      </c>
      <c r="G1623" s="15">
        <v>0</v>
      </c>
      <c r="H1623" s="15">
        <f t="shared" si="25"/>
        <v>0</v>
      </c>
      <c r="I1623" s="236" t="s">
        <v>19678</v>
      </c>
    </row>
    <row r="1624" spans="1:9" ht="15.75" x14ac:dyDescent="0.25">
      <c r="A1624" s="36">
        <v>42899</v>
      </c>
      <c r="B1624" s="18">
        <v>115725</v>
      </c>
      <c r="C1624" s="235" t="s">
        <v>19677</v>
      </c>
      <c r="D1624" s="248" t="s">
        <v>95</v>
      </c>
      <c r="E1624" s="15">
        <v>0</v>
      </c>
      <c r="F1624" s="243" t="s">
        <v>95</v>
      </c>
      <c r="G1624" s="15">
        <v>0</v>
      </c>
      <c r="H1624" s="15">
        <f t="shared" si="25"/>
        <v>0</v>
      </c>
      <c r="I1624" s="236" t="s">
        <v>19678</v>
      </c>
    </row>
    <row r="1625" spans="1:9" x14ac:dyDescent="0.25">
      <c r="A1625" s="242">
        <v>42899</v>
      </c>
      <c r="B1625" s="18">
        <v>115726</v>
      </c>
      <c r="C1625" s="235" t="s">
        <v>19677</v>
      </c>
      <c r="D1625" s="236" t="s">
        <v>15394</v>
      </c>
      <c r="E1625" s="15">
        <v>18724.28</v>
      </c>
      <c r="F1625" s="237">
        <v>42901</v>
      </c>
      <c r="G1625" s="15">
        <v>18724.28</v>
      </c>
      <c r="H1625" s="15">
        <f t="shared" si="25"/>
        <v>0</v>
      </c>
      <c r="I1625" s="236" t="s">
        <v>19682</v>
      </c>
    </row>
    <row r="1626" spans="1:9" x14ac:dyDescent="0.25">
      <c r="A1626" s="36">
        <v>42899</v>
      </c>
      <c r="B1626" s="18">
        <v>115727</v>
      </c>
      <c r="C1626" s="235" t="s">
        <v>19677</v>
      </c>
      <c r="D1626" s="236" t="s">
        <v>15330</v>
      </c>
      <c r="E1626" s="15">
        <v>3851.8</v>
      </c>
      <c r="F1626" s="237">
        <v>42899</v>
      </c>
      <c r="G1626" s="15">
        <v>3851.8</v>
      </c>
      <c r="H1626" s="15">
        <f t="shared" si="25"/>
        <v>0</v>
      </c>
      <c r="I1626" s="236" t="s">
        <v>19682</v>
      </c>
    </row>
    <row r="1627" spans="1:9" x14ac:dyDescent="0.25">
      <c r="A1627" s="242">
        <v>42899</v>
      </c>
      <c r="B1627" s="18">
        <v>115728</v>
      </c>
      <c r="C1627" s="235" t="s">
        <v>19677</v>
      </c>
      <c r="D1627" s="236" t="s">
        <v>18544</v>
      </c>
      <c r="E1627" s="15">
        <v>9123.4</v>
      </c>
      <c r="F1627" s="237">
        <v>42899</v>
      </c>
      <c r="G1627" s="15">
        <v>9123.4</v>
      </c>
      <c r="H1627" s="15">
        <f t="shared" si="25"/>
        <v>0</v>
      </c>
      <c r="I1627" s="236" t="s">
        <v>19682</v>
      </c>
    </row>
    <row r="1628" spans="1:9" x14ac:dyDescent="0.25">
      <c r="A1628" s="36">
        <v>42899</v>
      </c>
      <c r="B1628" s="18">
        <v>115729</v>
      </c>
      <c r="C1628" s="235" t="s">
        <v>19677</v>
      </c>
      <c r="D1628" s="236" t="s">
        <v>15332</v>
      </c>
      <c r="E1628" s="15">
        <v>3420</v>
      </c>
      <c r="F1628" s="237">
        <v>42899</v>
      </c>
      <c r="G1628" s="15">
        <v>3420</v>
      </c>
      <c r="H1628" s="15">
        <f t="shared" si="25"/>
        <v>0</v>
      </c>
      <c r="I1628" s="236" t="s">
        <v>19682</v>
      </c>
    </row>
    <row r="1629" spans="1:9" x14ac:dyDescent="0.25">
      <c r="A1629" s="242">
        <v>42899</v>
      </c>
      <c r="B1629" s="18">
        <v>115730</v>
      </c>
      <c r="C1629" s="235" t="s">
        <v>19677</v>
      </c>
      <c r="D1629" s="236" t="s">
        <v>15398</v>
      </c>
      <c r="E1629" s="15">
        <v>3849.3</v>
      </c>
      <c r="F1629" s="237">
        <v>42899</v>
      </c>
      <c r="G1629" s="15">
        <v>3849.3</v>
      </c>
      <c r="H1629" s="15">
        <f t="shared" si="25"/>
        <v>0</v>
      </c>
      <c r="I1629" s="236" t="s">
        <v>19682</v>
      </c>
    </row>
    <row r="1630" spans="1:9" x14ac:dyDescent="0.25">
      <c r="A1630" s="36">
        <v>42899</v>
      </c>
      <c r="B1630" s="18">
        <v>115731</v>
      </c>
      <c r="C1630" s="235" t="s">
        <v>19677</v>
      </c>
      <c r="D1630" s="236" t="s">
        <v>15263</v>
      </c>
      <c r="E1630" s="15">
        <v>3140.9</v>
      </c>
      <c r="F1630" s="237">
        <v>42899</v>
      </c>
      <c r="G1630" s="15">
        <v>3140.9</v>
      </c>
      <c r="H1630" s="15">
        <f t="shared" si="25"/>
        <v>0</v>
      </c>
      <c r="I1630" s="236" t="s">
        <v>19682</v>
      </c>
    </row>
    <row r="1631" spans="1:9" x14ac:dyDescent="0.25">
      <c r="A1631" s="242">
        <v>42899</v>
      </c>
      <c r="B1631" s="18">
        <v>115732</v>
      </c>
      <c r="C1631" s="235" t="s">
        <v>19677</v>
      </c>
      <c r="D1631" s="236" t="s">
        <v>15356</v>
      </c>
      <c r="E1631" s="15">
        <v>1195</v>
      </c>
      <c r="F1631" s="237">
        <v>42899</v>
      </c>
      <c r="G1631" s="15">
        <v>1195</v>
      </c>
      <c r="H1631" s="15">
        <f t="shared" si="25"/>
        <v>0</v>
      </c>
      <c r="I1631" s="236" t="s">
        <v>19682</v>
      </c>
    </row>
    <row r="1632" spans="1:9" x14ac:dyDescent="0.25">
      <c r="A1632" s="36">
        <v>42899</v>
      </c>
      <c r="B1632" s="18">
        <v>115733</v>
      </c>
      <c r="C1632" s="235" t="s">
        <v>19677</v>
      </c>
      <c r="D1632" s="236" t="s">
        <v>15240</v>
      </c>
      <c r="E1632" s="15">
        <v>3425.1</v>
      </c>
      <c r="F1632" s="237">
        <v>42900</v>
      </c>
      <c r="G1632" s="15">
        <v>3425.1</v>
      </c>
      <c r="H1632" s="15">
        <f t="shared" si="25"/>
        <v>0</v>
      </c>
      <c r="I1632" s="236" t="s">
        <v>19682</v>
      </c>
    </row>
    <row r="1633" spans="1:9" x14ac:dyDescent="0.25">
      <c r="A1633" s="242">
        <v>42899</v>
      </c>
      <c r="B1633" s="18">
        <v>115734</v>
      </c>
      <c r="C1633" s="235" t="s">
        <v>19677</v>
      </c>
      <c r="D1633" s="236" t="s">
        <v>15263</v>
      </c>
      <c r="E1633" s="15">
        <v>906</v>
      </c>
      <c r="F1633" s="237">
        <v>42899</v>
      </c>
      <c r="G1633" s="15">
        <v>906</v>
      </c>
      <c r="H1633" s="15">
        <f t="shared" si="25"/>
        <v>0</v>
      </c>
      <c r="I1633" s="236" t="s">
        <v>19682</v>
      </c>
    </row>
    <row r="1634" spans="1:9" x14ac:dyDescent="0.25">
      <c r="A1634" s="36">
        <v>42899</v>
      </c>
      <c r="B1634" s="18">
        <v>115735</v>
      </c>
      <c r="C1634" s="235" t="s">
        <v>19677</v>
      </c>
      <c r="D1634" s="236" t="s">
        <v>16171</v>
      </c>
      <c r="E1634" s="15">
        <v>709.9</v>
      </c>
      <c r="F1634" s="237">
        <v>42899</v>
      </c>
      <c r="G1634" s="15">
        <v>709.9</v>
      </c>
      <c r="H1634" s="15">
        <f t="shared" si="25"/>
        <v>0</v>
      </c>
      <c r="I1634" s="236" t="s">
        <v>19682</v>
      </c>
    </row>
    <row r="1635" spans="1:9" x14ac:dyDescent="0.25">
      <c r="A1635" s="242">
        <v>42899</v>
      </c>
      <c r="B1635" s="18">
        <v>115736</v>
      </c>
      <c r="C1635" s="235" t="s">
        <v>19677</v>
      </c>
      <c r="D1635" s="236" t="s">
        <v>15348</v>
      </c>
      <c r="E1635" s="15">
        <v>660.2</v>
      </c>
      <c r="F1635" s="237">
        <v>42900</v>
      </c>
      <c r="G1635" s="15">
        <v>660.2</v>
      </c>
      <c r="H1635" s="15">
        <f t="shared" si="25"/>
        <v>0</v>
      </c>
      <c r="I1635" s="236" t="s">
        <v>19682</v>
      </c>
    </row>
    <row r="1636" spans="1:9" x14ac:dyDescent="0.25">
      <c r="A1636" s="36">
        <v>42899</v>
      </c>
      <c r="B1636" s="18">
        <v>115737</v>
      </c>
      <c r="C1636" s="235" t="s">
        <v>19677</v>
      </c>
      <c r="D1636" s="236" t="s">
        <v>15220</v>
      </c>
      <c r="E1636" s="15">
        <v>2070</v>
      </c>
      <c r="F1636" s="237">
        <v>42899</v>
      </c>
      <c r="G1636" s="15">
        <v>2070</v>
      </c>
      <c r="H1636" s="15">
        <f t="shared" si="25"/>
        <v>0</v>
      </c>
      <c r="I1636" s="236" t="s">
        <v>19682</v>
      </c>
    </row>
    <row r="1637" spans="1:9" x14ac:dyDescent="0.25">
      <c r="A1637" s="242">
        <v>42899</v>
      </c>
      <c r="B1637" s="18">
        <v>115738</v>
      </c>
      <c r="C1637" s="235" t="s">
        <v>19677</v>
      </c>
      <c r="D1637" s="236" t="s">
        <v>15226</v>
      </c>
      <c r="E1637" s="15">
        <v>2056.1999999999998</v>
      </c>
      <c r="F1637" s="237">
        <v>42901</v>
      </c>
      <c r="G1637" s="15">
        <v>2056.1999999999998</v>
      </c>
      <c r="H1637" s="15">
        <f t="shared" si="25"/>
        <v>0</v>
      </c>
      <c r="I1637" s="236" t="s">
        <v>19682</v>
      </c>
    </row>
    <row r="1638" spans="1:9" x14ac:dyDescent="0.25">
      <c r="A1638" s="36">
        <v>42899</v>
      </c>
      <c r="B1638" s="18">
        <v>115739</v>
      </c>
      <c r="C1638" s="235" t="s">
        <v>19677</v>
      </c>
      <c r="D1638" s="236" t="s">
        <v>15252</v>
      </c>
      <c r="E1638" s="15">
        <v>5494</v>
      </c>
      <c r="F1638" s="237">
        <v>42905</v>
      </c>
      <c r="G1638" s="15">
        <v>5494</v>
      </c>
      <c r="H1638" s="15">
        <f t="shared" si="25"/>
        <v>0</v>
      </c>
      <c r="I1638" s="236" t="s">
        <v>19682</v>
      </c>
    </row>
    <row r="1639" spans="1:9" x14ac:dyDescent="0.25">
      <c r="A1639" s="242">
        <v>42899</v>
      </c>
      <c r="B1639" s="18">
        <v>115740</v>
      </c>
      <c r="C1639" s="235" t="s">
        <v>19677</v>
      </c>
      <c r="D1639" s="236" t="s">
        <v>15541</v>
      </c>
      <c r="E1639" s="15">
        <v>540</v>
      </c>
      <c r="F1639" s="237">
        <v>42899</v>
      </c>
      <c r="G1639" s="15">
        <v>540</v>
      </c>
      <c r="H1639" s="15">
        <f t="shared" si="25"/>
        <v>0</v>
      </c>
      <c r="I1639" s="236" t="s">
        <v>19682</v>
      </c>
    </row>
    <row r="1640" spans="1:9" x14ac:dyDescent="0.25">
      <c r="A1640" s="36">
        <v>42899</v>
      </c>
      <c r="B1640" s="18">
        <v>115741</v>
      </c>
      <c r="C1640" s="235" t="s">
        <v>19677</v>
      </c>
      <c r="D1640" s="236" t="s">
        <v>15272</v>
      </c>
      <c r="E1640" s="15">
        <v>19851.8</v>
      </c>
      <c r="F1640" s="237">
        <v>42899</v>
      </c>
      <c r="G1640" s="15">
        <v>19851.8</v>
      </c>
      <c r="H1640" s="15">
        <f t="shared" si="25"/>
        <v>0</v>
      </c>
      <c r="I1640" s="236" t="s">
        <v>19682</v>
      </c>
    </row>
    <row r="1641" spans="1:9" x14ac:dyDescent="0.25">
      <c r="A1641" s="242">
        <v>42899</v>
      </c>
      <c r="B1641" s="18">
        <v>115742</v>
      </c>
      <c r="C1641" s="235" t="s">
        <v>19677</v>
      </c>
      <c r="D1641" s="236" t="s">
        <v>15242</v>
      </c>
      <c r="E1641" s="15">
        <v>4620</v>
      </c>
      <c r="F1641" s="237">
        <v>42899</v>
      </c>
      <c r="G1641" s="15">
        <v>4620</v>
      </c>
      <c r="H1641" s="15">
        <f t="shared" si="25"/>
        <v>0</v>
      </c>
      <c r="I1641" s="236" t="s">
        <v>19682</v>
      </c>
    </row>
    <row r="1642" spans="1:9" x14ac:dyDescent="0.25">
      <c r="A1642" s="36">
        <v>42899</v>
      </c>
      <c r="B1642" s="18">
        <v>115743</v>
      </c>
      <c r="C1642" s="235" t="s">
        <v>19677</v>
      </c>
      <c r="D1642" s="236" t="s">
        <v>15480</v>
      </c>
      <c r="E1642" s="15">
        <v>7653.6</v>
      </c>
      <c r="F1642" s="237">
        <v>42902</v>
      </c>
      <c r="G1642" s="15">
        <v>7653.6</v>
      </c>
      <c r="H1642" s="15">
        <f t="shared" si="25"/>
        <v>0</v>
      </c>
      <c r="I1642" s="236" t="s">
        <v>19682</v>
      </c>
    </row>
    <row r="1643" spans="1:9" x14ac:dyDescent="0.25">
      <c r="A1643" s="242">
        <v>42899</v>
      </c>
      <c r="B1643" s="18">
        <v>115744</v>
      </c>
      <c r="C1643" s="235" t="s">
        <v>19677</v>
      </c>
      <c r="D1643" s="236" t="s">
        <v>15254</v>
      </c>
      <c r="E1643" s="15">
        <v>3169.2</v>
      </c>
      <c r="F1643" s="237">
        <v>42900</v>
      </c>
      <c r="G1643" s="15">
        <v>3169.2</v>
      </c>
      <c r="H1643" s="15">
        <f t="shared" si="25"/>
        <v>0</v>
      </c>
      <c r="I1643" s="236" t="s">
        <v>19682</v>
      </c>
    </row>
    <row r="1644" spans="1:9" x14ac:dyDescent="0.25">
      <c r="A1644" s="36">
        <v>42899</v>
      </c>
      <c r="B1644" s="18">
        <v>115745</v>
      </c>
      <c r="C1644" s="235" t="s">
        <v>19677</v>
      </c>
      <c r="D1644" s="236" t="s">
        <v>15244</v>
      </c>
      <c r="E1644" s="15">
        <v>9622.9</v>
      </c>
      <c r="F1644" s="237">
        <v>42900</v>
      </c>
      <c r="G1644" s="15">
        <v>9622.9</v>
      </c>
      <c r="H1644" s="15">
        <f t="shared" si="25"/>
        <v>0</v>
      </c>
      <c r="I1644" s="236" t="s">
        <v>19682</v>
      </c>
    </row>
    <row r="1645" spans="1:9" ht="15.75" x14ac:dyDescent="0.25">
      <c r="A1645" s="242">
        <v>42899</v>
      </c>
      <c r="B1645" s="18">
        <v>115746</v>
      </c>
      <c r="C1645" s="235" t="s">
        <v>19677</v>
      </c>
      <c r="D1645" s="248" t="s">
        <v>95</v>
      </c>
      <c r="E1645" s="15">
        <v>0</v>
      </c>
      <c r="F1645" s="243" t="s">
        <v>95</v>
      </c>
      <c r="G1645" s="15">
        <v>0</v>
      </c>
      <c r="H1645" s="15">
        <f t="shared" si="25"/>
        <v>0</v>
      </c>
      <c r="I1645" s="236" t="s">
        <v>19678</v>
      </c>
    </row>
    <row r="1646" spans="1:9" x14ac:dyDescent="0.25">
      <c r="A1646" s="36">
        <v>42899</v>
      </c>
      <c r="B1646" s="18">
        <v>115747</v>
      </c>
      <c r="C1646" s="235" t="s">
        <v>19677</v>
      </c>
      <c r="D1646" s="236" t="s">
        <v>17462</v>
      </c>
      <c r="E1646" s="15">
        <v>5355.2</v>
      </c>
      <c r="F1646" s="237">
        <v>42899</v>
      </c>
      <c r="G1646" s="15">
        <v>5355.2</v>
      </c>
      <c r="H1646" s="15">
        <f t="shared" si="25"/>
        <v>0</v>
      </c>
      <c r="I1646" s="236" t="s">
        <v>19682</v>
      </c>
    </row>
    <row r="1647" spans="1:9" x14ac:dyDescent="0.25">
      <c r="A1647" s="242">
        <v>42899</v>
      </c>
      <c r="B1647" s="18">
        <v>115748</v>
      </c>
      <c r="C1647" s="235" t="s">
        <v>19677</v>
      </c>
      <c r="D1647" s="236" t="s">
        <v>15596</v>
      </c>
      <c r="E1647" s="15">
        <v>920</v>
      </c>
      <c r="F1647" s="237">
        <v>42899</v>
      </c>
      <c r="G1647" s="15">
        <v>920</v>
      </c>
      <c r="H1647" s="15">
        <f t="shared" si="25"/>
        <v>0</v>
      </c>
      <c r="I1647" s="236" t="s">
        <v>19682</v>
      </c>
    </row>
    <row r="1648" spans="1:9" x14ac:dyDescent="0.25">
      <c r="A1648" s="36">
        <v>42899</v>
      </c>
      <c r="B1648" s="18">
        <v>115749</v>
      </c>
      <c r="C1648" s="235" t="s">
        <v>19677</v>
      </c>
      <c r="D1648" s="236" t="s">
        <v>15338</v>
      </c>
      <c r="E1648" s="15">
        <v>8413.7000000000007</v>
      </c>
      <c r="F1648" s="237">
        <v>42903</v>
      </c>
      <c r="G1648" s="15">
        <v>8413.7000000000007</v>
      </c>
      <c r="H1648" s="15">
        <f t="shared" si="25"/>
        <v>0</v>
      </c>
      <c r="I1648" s="236" t="s">
        <v>19682</v>
      </c>
    </row>
    <row r="1649" spans="1:9" x14ac:dyDescent="0.25">
      <c r="A1649" s="242">
        <v>42899</v>
      </c>
      <c r="B1649" s="18">
        <v>115750</v>
      </c>
      <c r="C1649" s="235" t="s">
        <v>19677</v>
      </c>
      <c r="D1649" s="236" t="s">
        <v>15442</v>
      </c>
      <c r="E1649" s="15">
        <v>1601.6</v>
      </c>
      <c r="F1649" s="237">
        <v>42899</v>
      </c>
      <c r="G1649" s="15">
        <v>1601.6</v>
      </c>
      <c r="H1649" s="15">
        <f t="shared" si="25"/>
        <v>0</v>
      </c>
      <c r="I1649" s="236" t="s">
        <v>19682</v>
      </c>
    </row>
    <row r="1650" spans="1:9" x14ac:dyDescent="0.25">
      <c r="A1650" s="36">
        <v>42899</v>
      </c>
      <c r="B1650" s="18">
        <v>115751</v>
      </c>
      <c r="C1650" s="235" t="s">
        <v>19677</v>
      </c>
      <c r="D1650" s="236" t="s">
        <v>15324</v>
      </c>
      <c r="E1650" s="15">
        <v>2360</v>
      </c>
      <c r="F1650" s="237">
        <v>42899</v>
      </c>
      <c r="G1650" s="15">
        <v>2360</v>
      </c>
      <c r="H1650" s="15">
        <f t="shared" si="25"/>
        <v>0</v>
      </c>
      <c r="I1650" s="236" t="s">
        <v>19682</v>
      </c>
    </row>
    <row r="1651" spans="1:9" x14ac:dyDescent="0.25">
      <c r="A1651" s="242">
        <v>42899</v>
      </c>
      <c r="B1651" s="18">
        <v>115752</v>
      </c>
      <c r="C1651" s="235" t="s">
        <v>19677</v>
      </c>
      <c r="D1651" s="236" t="s">
        <v>17235</v>
      </c>
      <c r="E1651" s="15">
        <v>920</v>
      </c>
      <c r="F1651" s="237">
        <v>42899</v>
      </c>
      <c r="G1651" s="15">
        <v>920</v>
      </c>
      <c r="H1651" s="15">
        <f t="shared" si="25"/>
        <v>0</v>
      </c>
      <c r="I1651" s="236" t="s">
        <v>19682</v>
      </c>
    </row>
    <row r="1652" spans="1:9" x14ac:dyDescent="0.25">
      <c r="A1652" s="36">
        <v>42899</v>
      </c>
      <c r="B1652" s="18">
        <v>115753</v>
      </c>
      <c r="C1652" s="235" t="s">
        <v>19677</v>
      </c>
      <c r="D1652" s="236" t="s">
        <v>15284</v>
      </c>
      <c r="E1652" s="15">
        <v>2959.8</v>
      </c>
      <c r="F1652" s="237">
        <v>42899</v>
      </c>
      <c r="G1652" s="15">
        <v>2959.8</v>
      </c>
      <c r="H1652" s="15">
        <f t="shared" si="25"/>
        <v>0</v>
      </c>
      <c r="I1652" s="236" t="s">
        <v>19682</v>
      </c>
    </row>
    <row r="1653" spans="1:9" x14ac:dyDescent="0.25">
      <c r="A1653" s="242">
        <v>42899</v>
      </c>
      <c r="B1653" s="18">
        <v>115754</v>
      </c>
      <c r="C1653" s="235" t="s">
        <v>19677</v>
      </c>
      <c r="D1653" s="236" t="s">
        <v>15365</v>
      </c>
      <c r="E1653" s="15">
        <v>3530.9</v>
      </c>
      <c r="F1653" s="237">
        <v>42902</v>
      </c>
      <c r="G1653" s="15">
        <v>3530.9</v>
      </c>
      <c r="H1653" s="15">
        <f t="shared" si="25"/>
        <v>0</v>
      </c>
      <c r="I1653" s="236" t="s">
        <v>19682</v>
      </c>
    </row>
    <row r="1654" spans="1:9" x14ac:dyDescent="0.25">
      <c r="A1654" s="36">
        <v>42899</v>
      </c>
      <c r="B1654" s="18">
        <v>115755</v>
      </c>
      <c r="C1654" s="235" t="s">
        <v>19677</v>
      </c>
      <c r="D1654" s="236" t="s">
        <v>15232</v>
      </c>
      <c r="E1654" s="15">
        <v>10395.6</v>
      </c>
      <c r="F1654" s="237">
        <v>42908</v>
      </c>
      <c r="G1654" s="15">
        <v>10395.6</v>
      </c>
      <c r="H1654" s="15">
        <f t="shared" si="25"/>
        <v>0</v>
      </c>
      <c r="I1654" s="236" t="s">
        <v>19682</v>
      </c>
    </row>
    <row r="1655" spans="1:9" x14ac:dyDescent="0.25">
      <c r="A1655" s="242">
        <v>42899</v>
      </c>
      <c r="B1655" s="18">
        <v>115756</v>
      </c>
      <c r="C1655" s="235" t="s">
        <v>19677</v>
      </c>
      <c r="D1655" s="236" t="s">
        <v>15234</v>
      </c>
      <c r="E1655" s="15">
        <v>3712.8</v>
      </c>
      <c r="F1655" s="237">
        <v>42901</v>
      </c>
      <c r="G1655" s="15">
        <v>3712.8</v>
      </c>
      <c r="H1655" s="15">
        <f t="shared" si="25"/>
        <v>0</v>
      </c>
      <c r="I1655" s="236" t="s">
        <v>19682</v>
      </c>
    </row>
    <row r="1656" spans="1:9" ht="30" x14ac:dyDescent="0.25">
      <c r="A1656" s="36">
        <v>42899</v>
      </c>
      <c r="B1656" s="18">
        <v>115757</v>
      </c>
      <c r="C1656" s="235" t="s">
        <v>19677</v>
      </c>
      <c r="D1656" s="236" t="s">
        <v>5575</v>
      </c>
      <c r="E1656" s="15">
        <v>8177</v>
      </c>
      <c r="F1656" s="237" t="s">
        <v>19730</v>
      </c>
      <c r="G1656" s="241">
        <f>2000+1000+5177</f>
        <v>8177</v>
      </c>
      <c r="H1656" s="241">
        <f t="shared" si="25"/>
        <v>0</v>
      </c>
      <c r="I1656" s="236" t="s">
        <v>19682</v>
      </c>
    </row>
    <row r="1657" spans="1:9" x14ac:dyDescent="0.25">
      <c r="A1657" s="242">
        <v>42899</v>
      </c>
      <c r="B1657" s="18">
        <v>115758</v>
      </c>
      <c r="C1657" s="235" t="s">
        <v>19677</v>
      </c>
      <c r="D1657" s="236" t="s">
        <v>15236</v>
      </c>
      <c r="E1657" s="15">
        <v>3607.5</v>
      </c>
      <c r="F1657" s="237">
        <v>42901</v>
      </c>
      <c r="G1657" s="15">
        <v>3607.5</v>
      </c>
      <c r="H1657" s="15">
        <f t="shared" si="25"/>
        <v>0</v>
      </c>
      <c r="I1657" s="236" t="s">
        <v>19682</v>
      </c>
    </row>
    <row r="1658" spans="1:9" x14ac:dyDescent="0.25">
      <c r="A1658" s="36">
        <v>42899</v>
      </c>
      <c r="B1658" s="18">
        <v>115759</v>
      </c>
      <c r="C1658" s="235" t="s">
        <v>19677</v>
      </c>
      <c r="D1658" s="236" t="s">
        <v>15668</v>
      </c>
      <c r="E1658" s="15">
        <v>19921.2</v>
      </c>
      <c r="F1658" s="237">
        <v>42901</v>
      </c>
      <c r="G1658" s="15">
        <v>19921.2</v>
      </c>
      <c r="H1658" s="15">
        <f t="shared" si="25"/>
        <v>0</v>
      </c>
      <c r="I1658" s="236" t="s">
        <v>19682</v>
      </c>
    </row>
    <row r="1659" spans="1:9" x14ac:dyDescent="0.25">
      <c r="A1659" s="242">
        <v>42899</v>
      </c>
      <c r="B1659" s="18">
        <v>115760</v>
      </c>
      <c r="C1659" s="235" t="s">
        <v>19677</v>
      </c>
      <c r="D1659" s="236" t="s">
        <v>15480</v>
      </c>
      <c r="E1659" s="15">
        <v>3658.2</v>
      </c>
      <c r="F1659" s="237">
        <v>42906</v>
      </c>
      <c r="G1659" s="15">
        <v>3658.2</v>
      </c>
      <c r="H1659" s="15">
        <f t="shared" si="25"/>
        <v>0</v>
      </c>
      <c r="I1659" s="236" t="s">
        <v>19682</v>
      </c>
    </row>
    <row r="1660" spans="1:9" x14ac:dyDescent="0.25">
      <c r="A1660" s="36">
        <v>42899</v>
      </c>
      <c r="B1660" s="18">
        <v>115761</v>
      </c>
      <c r="C1660" s="235" t="s">
        <v>19677</v>
      </c>
      <c r="D1660" s="236" t="s">
        <v>15258</v>
      </c>
      <c r="E1660" s="15">
        <v>18033.599999999999</v>
      </c>
      <c r="F1660" s="237" t="s">
        <v>19731</v>
      </c>
      <c r="G1660" s="241">
        <f>12000+6033.6</f>
        <v>18033.599999999999</v>
      </c>
      <c r="H1660" s="241">
        <f t="shared" si="25"/>
        <v>0</v>
      </c>
      <c r="I1660" s="236" t="s">
        <v>19682</v>
      </c>
    </row>
    <row r="1661" spans="1:9" x14ac:dyDescent="0.25">
      <c r="A1661" s="242">
        <v>42899</v>
      </c>
      <c r="B1661" s="18">
        <v>115762</v>
      </c>
      <c r="C1661" s="235" t="s">
        <v>19677</v>
      </c>
      <c r="D1661" s="236" t="s">
        <v>15256</v>
      </c>
      <c r="E1661" s="15">
        <v>5073</v>
      </c>
      <c r="F1661" s="237">
        <v>42900</v>
      </c>
      <c r="G1661" s="15">
        <v>5073</v>
      </c>
      <c r="H1661" s="15">
        <f t="shared" si="25"/>
        <v>0</v>
      </c>
      <c r="I1661" s="236" t="s">
        <v>19682</v>
      </c>
    </row>
    <row r="1662" spans="1:9" x14ac:dyDescent="0.25">
      <c r="A1662" s="36">
        <v>42899</v>
      </c>
      <c r="B1662" s="18">
        <v>115763</v>
      </c>
      <c r="C1662" s="235" t="s">
        <v>19677</v>
      </c>
      <c r="D1662" s="236" t="s">
        <v>15238</v>
      </c>
      <c r="E1662" s="15">
        <v>3673.8</v>
      </c>
      <c r="F1662" s="237">
        <v>42901</v>
      </c>
      <c r="G1662" s="15">
        <v>3673.8</v>
      </c>
      <c r="H1662" s="15">
        <f t="shared" si="25"/>
        <v>0</v>
      </c>
      <c r="I1662" s="236" t="s">
        <v>19682</v>
      </c>
    </row>
    <row r="1663" spans="1:9" x14ac:dyDescent="0.25">
      <c r="A1663" s="242">
        <v>42899</v>
      </c>
      <c r="B1663" s="18">
        <v>115764</v>
      </c>
      <c r="C1663" s="235" t="s">
        <v>19677</v>
      </c>
      <c r="D1663" s="236" t="s">
        <v>15230</v>
      </c>
      <c r="E1663" s="15">
        <v>11016.6</v>
      </c>
      <c r="F1663" s="237" t="s">
        <v>19732</v>
      </c>
      <c r="G1663" s="241">
        <f>9000+2016.6</f>
        <v>11016.6</v>
      </c>
      <c r="H1663" s="241">
        <f t="shared" si="25"/>
        <v>0</v>
      </c>
      <c r="I1663" s="236" t="s">
        <v>19682</v>
      </c>
    </row>
    <row r="1664" spans="1:9" x14ac:dyDescent="0.25">
      <c r="A1664" s="36">
        <v>42899</v>
      </c>
      <c r="B1664" s="18">
        <v>115765</v>
      </c>
      <c r="C1664" s="235" t="s">
        <v>19677</v>
      </c>
      <c r="D1664" s="236" t="s">
        <v>15315</v>
      </c>
      <c r="E1664" s="15">
        <v>4899.6000000000004</v>
      </c>
      <c r="F1664" s="237">
        <v>42899</v>
      </c>
      <c r="G1664" s="15">
        <v>4899.6000000000004</v>
      </c>
      <c r="H1664" s="15">
        <f t="shared" si="25"/>
        <v>0</v>
      </c>
      <c r="I1664" s="236" t="s">
        <v>19682</v>
      </c>
    </row>
    <row r="1665" spans="1:9" x14ac:dyDescent="0.25">
      <c r="A1665" s="242">
        <v>42899</v>
      </c>
      <c r="B1665" s="18">
        <v>115766</v>
      </c>
      <c r="C1665" s="235" t="s">
        <v>19677</v>
      </c>
      <c r="D1665" s="236" t="s">
        <v>17057</v>
      </c>
      <c r="E1665" s="15">
        <v>4623</v>
      </c>
      <c r="F1665" s="237">
        <v>42899</v>
      </c>
      <c r="G1665" s="15">
        <v>4623</v>
      </c>
      <c r="H1665" s="15">
        <f t="shared" si="25"/>
        <v>0</v>
      </c>
      <c r="I1665" s="236" t="s">
        <v>19682</v>
      </c>
    </row>
    <row r="1666" spans="1:9" x14ac:dyDescent="0.25">
      <c r="A1666" s="36">
        <v>42899</v>
      </c>
      <c r="B1666" s="18">
        <v>115767</v>
      </c>
      <c r="C1666" s="235" t="s">
        <v>19677</v>
      </c>
      <c r="D1666" s="236" t="s">
        <v>15282</v>
      </c>
      <c r="E1666" s="15">
        <v>3512.4</v>
      </c>
      <c r="F1666" s="237">
        <v>42899</v>
      </c>
      <c r="G1666" s="15">
        <v>3512.4</v>
      </c>
      <c r="H1666" s="15">
        <f t="shared" ref="H1666:H1729" si="26">E1666-G1666</f>
        <v>0</v>
      </c>
      <c r="I1666" s="236" t="s">
        <v>19682</v>
      </c>
    </row>
    <row r="1667" spans="1:9" x14ac:dyDescent="0.25">
      <c r="A1667" s="242">
        <v>42899</v>
      </c>
      <c r="B1667" s="18">
        <v>115768</v>
      </c>
      <c r="C1667" s="235" t="s">
        <v>19677</v>
      </c>
      <c r="D1667" s="236" t="s">
        <v>15315</v>
      </c>
      <c r="E1667" s="15">
        <v>16539.2</v>
      </c>
      <c r="F1667" s="237">
        <v>42899</v>
      </c>
      <c r="G1667" s="15">
        <v>16539.2</v>
      </c>
      <c r="H1667" s="15">
        <f t="shared" si="26"/>
        <v>0</v>
      </c>
      <c r="I1667" s="236" t="s">
        <v>19682</v>
      </c>
    </row>
    <row r="1668" spans="1:9" x14ac:dyDescent="0.25">
      <c r="A1668" s="36">
        <v>42899</v>
      </c>
      <c r="B1668" s="18">
        <v>115769</v>
      </c>
      <c r="C1668" s="235" t="s">
        <v>19677</v>
      </c>
      <c r="D1668" s="236" t="s">
        <v>15289</v>
      </c>
      <c r="E1668" s="15">
        <v>558</v>
      </c>
      <c r="F1668" s="237">
        <v>42899</v>
      </c>
      <c r="G1668" s="15">
        <v>558</v>
      </c>
      <c r="H1668" s="15">
        <f t="shared" si="26"/>
        <v>0</v>
      </c>
      <c r="I1668" s="236" t="s">
        <v>19682</v>
      </c>
    </row>
    <row r="1669" spans="1:9" x14ac:dyDescent="0.25">
      <c r="A1669" s="242">
        <v>42899</v>
      </c>
      <c r="B1669" s="18">
        <v>115770</v>
      </c>
      <c r="C1669" s="235" t="s">
        <v>19677</v>
      </c>
      <c r="D1669" s="236" t="s">
        <v>16383</v>
      </c>
      <c r="E1669" s="15">
        <v>10180.799999999999</v>
      </c>
      <c r="F1669" s="237">
        <v>42899</v>
      </c>
      <c r="G1669" s="15">
        <v>10180.799999999999</v>
      </c>
      <c r="H1669" s="15">
        <f t="shared" si="26"/>
        <v>0</v>
      </c>
      <c r="I1669" s="236" t="s">
        <v>19682</v>
      </c>
    </row>
    <row r="1670" spans="1:9" x14ac:dyDescent="0.25">
      <c r="A1670" s="36">
        <v>42899</v>
      </c>
      <c r="B1670" s="18">
        <v>115771</v>
      </c>
      <c r="C1670" s="235" t="s">
        <v>19677</v>
      </c>
      <c r="D1670" s="236" t="s">
        <v>15280</v>
      </c>
      <c r="E1670" s="15">
        <v>4961</v>
      </c>
      <c r="F1670" s="237">
        <v>42899</v>
      </c>
      <c r="G1670" s="15">
        <v>4961</v>
      </c>
      <c r="H1670" s="15">
        <f t="shared" si="26"/>
        <v>0</v>
      </c>
      <c r="I1670" s="236" t="s">
        <v>19682</v>
      </c>
    </row>
    <row r="1671" spans="1:9" x14ac:dyDescent="0.25">
      <c r="A1671" s="242">
        <v>42899</v>
      </c>
      <c r="B1671" s="18">
        <v>115772</v>
      </c>
      <c r="C1671" s="235" t="s">
        <v>19677</v>
      </c>
      <c r="D1671" s="236" t="s">
        <v>15378</v>
      </c>
      <c r="E1671" s="15">
        <v>841.6</v>
      </c>
      <c r="F1671" s="237">
        <v>42899</v>
      </c>
      <c r="G1671" s="15">
        <v>841.6</v>
      </c>
      <c r="H1671" s="15">
        <f t="shared" si="26"/>
        <v>0</v>
      </c>
      <c r="I1671" s="236" t="s">
        <v>19682</v>
      </c>
    </row>
    <row r="1672" spans="1:9" x14ac:dyDescent="0.25">
      <c r="A1672" s="36">
        <v>42899</v>
      </c>
      <c r="B1672" s="18">
        <v>115773</v>
      </c>
      <c r="C1672" s="235" t="s">
        <v>19677</v>
      </c>
      <c r="D1672" s="236" t="s">
        <v>15530</v>
      </c>
      <c r="E1672" s="15">
        <v>3587.7</v>
      </c>
      <c r="F1672" s="237">
        <v>42899</v>
      </c>
      <c r="G1672" s="15">
        <v>3587.7</v>
      </c>
      <c r="H1672" s="15">
        <f t="shared" si="26"/>
        <v>0</v>
      </c>
      <c r="I1672" s="236" t="s">
        <v>19682</v>
      </c>
    </row>
    <row r="1673" spans="1:9" x14ac:dyDescent="0.25">
      <c r="A1673" s="242">
        <v>42899</v>
      </c>
      <c r="B1673" s="18">
        <v>115774</v>
      </c>
      <c r="C1673" s="235" t="s">
        <v>19677</v>
      </c>
      <c r="D1673" s="236" t="s">
        <v>15246</v>
      </c>
      <c r="E1673" s="15">
        <v>166402.4</v>
      </c>
      <c r="F1673" s="237" t="s">
        <v>19733</v>
      </c>
      <c r="G1673" s="241">
        <f>7983.51+158418.89</f>
        <v>166402.40000000002</v>
      </c>
      <c r="H1673" s="241">
        <f t="shared" si="26"/>
        <v>0</v>
      </c>
      <c r="I1673" s="236" t="s">
        <v>19682</v>
      </c>
    </row>
    <row r="1674" spans="1:9" x14ac:dyDescent="0.25">
      <c r="A1674" s="36">
        <v>42899</v>
      </c>
      <c r="B1674" s="18">
        <v>115775</v>
      </c>
      <c r="C1674" s="235" t="s">
        <v>19677</v>
      </c>
      <c r="D1674" s="236" t="s">
        <v>15562</v>
      </c>
      <c r="E1674" s="15">
        <v>3832</v>
      </c>
      <c r="F1674" s="237">
        <v>42899</v>
      </c>
      <c r="G1674" s="15">
        <v>3832</v>
      </c>
      <c r="H1674" s="15">
        <f t="shared" si="26"/>
        <v>0</v>
      </c>
      <c r="I1674" s="236" t="s">
        <v>19682</v>
      </c>
    </row>
    <row r="1675" spans="1:9" x14ac:dyDescent="0.25">
      <c r="A1675" s="242">
        <v>42899</v>
      </c>
      <c r="B1675" s="18">
        <v>115776</v>
      </c>
      <c r="C1675" s="235" t="s">
        <v>19677</v>
      </c>
      <c r="D1675" s="236" t="s">
        <v>15404</v>
      </c>
      <c r="E1675" s="15">
        <v>11397.6</v>
      </c>
      <c r="F1675" s="237">
        <v>42899</v>
      </c>
      <c r="G1675" s="15">
        <v>11397.6</v>
      </c>
      <c r="H1675" s="15">
        <f t="shared" si="26"/>
        <v>0</v>
      </c>
      <c r="I1675" s="236" t="s">
        <v>19682</v>
      </c>
    </row>
    <row r="1676" spans="1:9" x14ac:dyDescent="0.25">
      <c r="A1676" s="36">
        <v>42899</v>
      </c>
      <c r="B1676" s="18">
        <v>115777</v>
      </c>
      <c r="C1676" s="235" t="s">
        <v>19677</v>
      </c>
      <c r="D1676" s="236" t="s">
        <v>15298</v>
      </c>
      <c r="E1676" s="15">
        <v>1961.4</v>
      </c>
      <c r="F1676" s="237">
        <v>42899</v>
      </c>
      <c r="G1676" s="15">
        <v>1961.4</v>
      </c>
      <c r="H1676" s="15">
        <f t="shared" si="26"/>
        <v>0</v>
      </c>
      <c r="I1676" s="236" t="s">
        <v>19682</v>
      </c>
    </row>
    <row r="1677" spans="1:9" x14ac:dyDescent="0.25">
      <c r="A1677" s="242">
        <v>42899</v>
      </c>
      <c r="B1677" s="18">
        <v>115778</v>
      </c>
      <c r="C1677" s="235" t="s">
        <v>19677</v>
      </c>
      <c r="D1677" s="236" t="s">
        <v>15868</v>
      </c>
      <c r="E1677" s="15">
        <v>826.5</v>
      </c>
      <c r="F1677" s="237">
        <v>42899</v>
      </c>
      <c r="G1677" s="15">
        <v>826.5</v>
      </c>
      <c r="H1677" s="15">
        <f t="shared" si="26"/>
        <v>0</v>
      </c>
      <c r="I1677" s="236" t="s">
        <v>19682</v>
      </c>
    </row>
    <row r="1678" spans="1:9" x14ac:dyDescent="0.25">
      <c r="A1678" s="36">
        <v>42899</v>
      </c>
      <c r="B1678" s="18">
        <v>115779</v>
      </c>
      <c r="C1678" s="235" t="s">
        <v>19677</v>
      </c>
      <c r="D1678" s="236" t="s">
        <v>15363</v>
      </c>
      <c r="E1678" s="15">
        <v>1050</v>
      </c>
      <c r="F1678" s="237">
        <v>42899</v>
      </c>
      <c r="G1678" s="15">
        <v>1050</v>
      </c>
      <c r="H1678" s="15">
        <f t="shared" si="26"/>
        <v>0</v>
      </c>
      <c r="I1678" s="236" t="s">
        <v>19682</v>
      </c>
    </row>
    <row r="1679" spans="1:9" x14ac:dyDescent="0.25">
      <c r="A1679" s="242">
        <v>42899</v>
      </c>
      <c r="B1679" s="18">
        <v>115780</v>
      </c>
      <c r="C1679" s="235" t="s">
        <v>19677</v>
      </c>
      <c r="D1679" s="236" t="s">
        <v>15590</v>
      </c>
      <c r="E1679" s="15">
        <v>27167.4</v>
      </c>
      <c r="F1679" s="237">
        <v>42905</v>
      </c>
      <c r="G1679" s="15">
        <v>27167.4</v>
      </c>
      <c r="H1679" s="15">
        <f t="shared" si="26"/>
        <v>0</v>
      </c>
      <c r="I1679" s="236" t="s">
        <v>19682</v>
      </c>
    </row>
    <row r="1680" spans="1:9" x14ac:dyDescent="0.25">
      <c r="A1680" s="36">
        <v>42899</v>
      </c>
      <c r="B1680" s="18">
        <v>115781</v>
      </c>
      <c r="C1680" s="235" t="s">
        <v>19677</v>
      </c>
      <c r="D1680" s="236" t="s">
        <v>17708</v>
      </c>
      <c r="E1680" s="15">
        <v>1991.8</v>
      </c>
      <c r="F1680" s="237"/>
      <c r="G1680" s="15"/>
      <c r="H1680" s="15">
        <f t="shared" si="26"/>
        <v>1991.8</v>
      </c>
      <c r="I1680" s="236" t="s">
        <v>19682</v>
      </c>
    </row>
    <row r="1681" spans="1:9" x14ac:dyDescent="0.25">
      <c r="A1681" s="242">
        <v>42899</v>
      </c>
      <c r="B1681" s="18">
        <v>115782</v>
      </c>
      <c r="C1681" s="235" t="s">
        <v>19677</v>
      </c>
      <c r="D1681" s="236" t="s">
        <v>15261</v>
      </c>
      <c r="E1681" s="15">
        <v>29733</v>
      </c>
      <c r="F1681" s="237">
        <v>42899</v>
      </c>
      <c r="G1681" s="15">
        <v>29733</v>
      </c>
      <c r="H1681" s="15">
        <f t="shared" si="26"/>
        <v>0</v>
      </c>
      <c r="I1681" s="236" t="s">
        <v>19682</v>
      </c>
    </row>
    <row r="1682" spans="1:9" x14ac:dyDescent="0.25">
      <c r="A1682" s="36">
        <v>42899</v>
      </c>
      <c r="B1682" s="18">
        <v>115783</v>
      </c>
      <c r="C1682" s="235" t="s">
        <v>19677</v>
      </c>
      <c r="D1682" s="236" t="s">
        <v>15315</v>
      </c>
      <c r="E1682" s="15">
        <v>2231.6</v>
      </c>
      <c r="F1682" s="237">
        <v>42899</v>
      </c>
      <c r="G1682" s="15">
        <v>2231.6</v>
      </c>
      <c r="H1682" s="15">
        <f t="shared" si="26"/>
        <v>0</v>
      </c>
      <c r="I1682" s="236" t="s">
        <v>19682</v>
      </c>
    </row>
    <row r="1683" spans="1:9" x14ac:dyDescent="0.25">
      <c r="A1683" s="242">
        <v>42899</v>
      </c>
      <c r="B1683" s="18">
        <v>115784</v>
      </c>
      <c r="C1683" s="235" t="s">
        <v>19677</v>
      </c>
      <c r="D1683" s="236" t="s">
        <v>15246</v>
      </c>
      <c r="E1683" s="15">
        <v>2707.5</v>
      </c>
      <c r="F1683" s="237">
        <v>42903</v>
      </c>
      <c r="G1683" s="15">
        <v>2707.5</v>
      </c>
      <c r="H1683" s="15">
        <f t="shared" si="26"/>
        <v>0</v>
      </c>
      <c r="I1683" s="236" t="s">
        <v>19682</v>
      </c>
    </row>
    <row r="1684" spans="1:9" x14ac:dyDescent="0.25">
      <c r="A1684" s="36">
        <v>42899</v>
      </c>
      <c r="B1684" s="18">
        <v>115785</v>
      </c>
      <c r="C1684" s="235" t="s">
        <v>19677</v>
      </c>
      <c r="D1684" s="236" t="s">
        <v>16249</v>
      </c>
      <c r="E1684" s="15">
        <v>1832.3</v>
      </c>
      <c r="F1684" s="237">
        <v>42899</v>
      </c>
      <c r="G1684" s="15">
        <v>1832.3</v>
      </c>
      <c r="H1684" s="15">
        <f t="shared" si="26"/>
        <v>0</v>
      </c>
      <c r="I1684" s="236" t="s">
        <v>19682</v>
      </c>
    </row>
    <row r="1685" spans="1:9" x14ac:dyDescent="0.25">
      <c r="A1685" s="242">
        <v>42899</v>
      </c>
      <c r="B1685" s="18">
        <v>115786</v>
      </c>
      <c r="C1685" s="235" t="s">
        <v>19677</v>
      </c>
      <c r="D1685" s="236" t="s">
        <v>15706</v>
      </c>
      <c r="E1685" s="15">
        <v>1878.3</v>
      </c>
      <c r="F1685" s="237">
        <v>42899</v>
      </c>
      <c r="G1685" s="15">
        <v>1878.3</v>
      </c>
      <c r="H1685" s="15">
        <f t="shared" si="26"/>
        <v>0</v>
      </c>
      <c r="I1685" s="236" t="s">
        <v>19682</v>
      </c>
    </row>
    <row r="1686" spans="1:9" x14ac:dyDescent="0.25">
      <c r="A1686" s="36">
        <v>42899</v>
      </c>
      <c r="B1686" s="18">
        <v>115787</v>
      </c>
      <c r="C1686" s="235" t="s">
        <v>19677</v>
      </c>
      <c r="D1686" s="236" t="s">
        <v>15309</v>
      </c>
      <c r="E1686" s="15">
        <v>10790.6</v>
      </c>
      <c r="F1686" s="237">
        <v>42899</v>
      </c>
      <c r="G1686" s="15">
        <v>10790.6</v>
      </c>
      <c r="H1686" s="15">
        <f t="shared" si="26"/>
        <v>0</v>
      </c>
      <c r="I1686" s="236" t="s">
        <v>19682</v>
      </c>
    </row>
    <row r="1687" spans="1:9" x14ac:dyDescent="0.25">
      <c r="A1687" s="242">
        <v>42899</v>
      </c>
      <c r="B1687" s="18">
        <v>115788</v>
      </c>
      <c r="C1687" s="235" t="s">
        <v>19677</v>
      </c>
      <c r="D1687" s="236" t="s">
        <v>15291</v>
      </c>
      <c r="E1687" s="15">
        <v>464.6</v>
      </c>
      <c r="F1687" s="237">
        <v>42899</v>
      </c>
      <c r="G1687" s="15">
        <v>464.6</v>
      </c>
      <c r="H1687" s="15">
        <f t="shared" si="26"/>
        <v>0</v>
      </c>
      <c r="I1687" s="236" t="s">
        <v>19682</v>
      </c>
    </row>
    <row r="1688" spans="1:9" x14ac:dyDescent="0.25">
      <c r="A1688" s="36">
        <v>42899</v>
      </c>
      <c r="B1688" s="18">
        <v>115789</v>
      </c>
      <c r="C1688" s="235" t="s">
        <v>19677</v>
      </c>
      <c r="D1688" s="236" t="s">
        <v>15311</v>
      </c>
      <c r="E1688" s="15">
        <v>1764.6</v>
      </c>
      <c r="F1688" s="237">
        <v>42899</v>
      </c>
      <c r="G1688" s="15">
        <v>1764.6</v>
      </c>
      <c r="H1688" s="15">
        <f t="shared" si="26"/>
        <v>0</v>
      </c>
      <c r="I1688" s="236" t="s">
        <v>19682</v>
      </c>
    </row>
    <row r="1689" spans="1:9" x14ac:dyDescent="0.25">
      <c r="A1689" s="242">
        <v>42899</v>
      </c>
      <c r="B1689" s="18">
        <v>115790</v>
      </c>
      <c r="C1689" s="235" t="s">
        <v>19677</v>
      </c>
      <c r="D1689" s="236" t="s">
        <v>15305</v>
      </c>
      <c r="E1689" s="15">
        <v>1177.2</v>
      </c>
      <c r="F1689" s="237">
        <v>42899</v>
      </c>
      <c r="G1689" s="15">
        <v>1177.2</v>
      </c>
      <c r="H1689" s="15">
        <f t="shared" si="26"/>
        <v>0</v>
      </c>
      <c r="I1689" s="236" t="s">
        <v>19682</v>
      </c>
    </row>
    <row r="1690" spans="1:9" x14ac:dyDescent="0.25">
      <c r="A1690" s="36">
        <v>42899</v>
      </c>
      <c r="B1690" s="18">
        <v>115791</v>
      </c>
      <c r="C1690" s="235" t="s">
        <v>19677</v>
      </c>
      <c r="D1690" s="236" t="s">
        <v>15317</v>
      </c>
      <c r="E1690" s="15">
        <v>2998.8</v>
      </c>
      <c r="F1690" s="237">
        <v>42901</v>
      </c>
      <c r="G1690" s="15">
        <v>2998.8</v>
      </c>
      <c r="H1690" s="15">
        <f t="shared" si="26"/>
        <v>0</v>
      </c>
      <c r="I1690" s="236" t="s">
        <v>19682</v>
      </c>
    </row>
    <row r="1691" spans="1:9" x14ac:dyDescent="0.25">
      <c r="A1691" s="242">
        <v>42899</v>
      </c>
      <c r="B1691" s="18">
        <v>115792</v>
      </c>
      <c r="C1691" s="235" t="s">
        <v>19677</v>
      </c>
      <c r="D1691" s="236" t="s">
        <v>15920</v>
      </c>
      <c r="E1691" s="15">
        <v>8599.7000000000007</v>
      </c>
      <c r="F1691" s="237">
        <v>42901</v>
      </c>
      <c r="G1691" s="15">
        <v>8599.7000000000007</v>
      </c>
      <c r="H1691" s="15">
        <f t="shared" si="26"/>
        <v>0</v>
      </c>
      <c r="I1691" s="236" t="s">
        <v>19682</v>
      </c>
    </row>
    <row r="1692" spans="1:9" x14ac:dyDescent="0.25">
      <c r="A1692" s="36">
        <v>42899</v>
      </c>
      <c r="B1692" s="18">
        <v>115793</v>
      </c>
      <c r="C1692" s="235" t="s">
        <v>19677</v>
      </c>
      <c r="D1692" s="236" t="s">
        <v>15248</v>
      </c>
      <c r="E1692" s="15">
        <v>24142</v>
      </c>
      <c r="F1692" s="237">
        <v>42899</v>
      </c>
      <c r="G1692" s="15">
        <v>24142</v>
      </c>
      <c r="H1692" s="15">
        <f t="shared" si="26"/>
        <v>0</v>
      </c>
      <c r="I1692" s="236" t="s">
        <v>19682</v>
      </c>
    </row>
    <row r="1693" spans="1:9" x14ac:dyDescent="0.25">
      <c r="A1693" s="242">
        <v>42899</v>
      </c>
      <c r="B1693" s="18">
        <v>115794</v>
      </c>
      <c r="C1693" s="235" t="s">
        <v>19677</v>
      </c>
      <c r="D1693" s="236" t="s">
        <v>15391</v>
      </c>
      <c r="E1693" s="15">
        <v>7378</v>
      </c>
      <c r="F1693" s="237">
        <v>42901</v>
      </c>
      <c r="G1693" s="15">
        <v>7378</v>
      </c>
      <c r="H1693" s="15">
        <f t="shared" si="26"/>
        <v>0</v>
      </c>
      <c r="I1693" s="236" t="s">
        <v>19682</v>
      </c>
    </row>
    <row r="1694" spans="1:9" x14ac:dyDescent="0.25">
      <c r="A1694" s="36">
        <v>42899</v>
      </c>
      <c r="B1694" s="18">
        <v>115795</v>
      </c>
      <c r="C1694" s="235" t="s">
        <v>19677</v>
      </c>
      <c r="D1694" s="236" t="s">
        <v>15385</v>
      </c>
      <c r="E1694" s="15">
        <v>13684</v>
      </c>
      <c r="F1694" s="237">
        <v>42899</v>
      </c>
      <c r="G1694" s="15">
        <v>13684</v>
      </c>
      <c r="H1694" s="15">
        <f t="shared" si="26"/>
        <v>0</v>
      </c>
      <c r="I1694" s="236" t="s">
        <v>19682</v>
      </c>
    </row>
    <row r="1695" spans="1:9" x14ac:dyDescent="0.25">
      <c r="A1695" s="242">
        <v>42899</v>
      </c>
      <c r="B1695" s="18">
        <v>115796</v>
      </c>
      <c r="C1695" s="235" t="s">
        <v>19677</v>
      </c>
      <c r="D1695" s="236" t="s">
        <v>15223</v>
      </c>
      <c r="E1695" s="15">
        <v>44914.8</v>
      </c>
      <c r="F1695" s="266">
        <v>42920</v>
      </c>
      <c r="G1695" s="35">
        <v>44914.8</v>
      </c>
      <c r="H1695" s="15">
        <f t="shared" si="26"/>
        <v>0</v>
      </c>
      <c r="I1695" s="236" t="s">
        <v>19682</v>
      </c>
    </row>
    <row r="1696" spans="1:9" x14ac:dyDescent="0.25">
      <c r="A1696" s="36">
        <v>42899</v>
      </c>
      <c r="B1696" s="18">
        <v>115797</v>
      </c>
      <c r="C1696" s="235" t="s">
        <v>19677</v>
      </c>
      <c r="D1696" s="236" t="s">
        <v>15307</v>
      </c>
      <c r="E1696" s="15">
        <v>18399.099999999999</v>
      </c>
      <c r="F1696" s="237">
        <v>42899</v>
      </c>
      <c r="G1696" s="15">
        <v>18399.099999999999</v>
      </c>
      <c r="H1696" s="15">
        <f t="shared" si="26"/>
        <v>0</v>
      </c>
      <c r="I1696" s="236" t="s">
        <v>19682</v>
      </c>
    </row>
    <row r="1697" spans="1:9" x14ac:dyDescent="0.25">
      <c r="A1697" s="242">
        <v>42899</v>
      </c>
      <c r="B1697" s="18">
        <v>115798</v>
      </c>
      <c r="C1697" s="235" t="s">
        <v>19677</v>
      </c>
      <c r="D1697" s="236" t="s">
        <v>16064</v>
      </c>
      <c r="E1697" s="15">
        <v>4650.6000000000004</v>
      </c>
      <c r="F1697" s="237">
        <v>42899</v>
      </c>
      <c r="G1697" s="15">
        <v>4650.6000000000004</v>
      </c>
      <c r="H1697" s="15">
        <f t="shared" si="26"/>
        <v>0</v>
      </c>
      <c r="I1697" s="236" t="s">
        <v>19682</v>
      </c>
    </row>
    <row r="1698" spans="1:9" x14ac:dyDescent="0.25">
      <c r="A1698" s="36">
        <v>42899</v>
      </c>
      <c r="B1698" s="18">
        <v>115799</v>
      </c>
      <c r="C1698" s="235" t="s">
        <v>19677</v>
      </c>
      <c r="D1698" s="236" t="s">
        <v>15276</v>
      </c>
      <c r="E1698" s="15">
        <v>2300</v>
      </c>
      <c r="F1698" s="237">
        <v>42899</v>
      </c>
      <c r="G1698" s="15">
        <v>2300</v>
      </c>
      <c r="H1698" s="15">
        <f t="shared" si="26"/>
        <v>0</v>
      </c>
      <c r="I1698" s="236" t="s">
        <v>19682</v>
      </c>
    </row>
    <row r="1699" spans="1:9" x14ac:dyDescent="0.25">
      <c r="A1699" s="242">
        <v>42899</v>
      </c>
      <c r="B1699" s="18">
        <v>115800</v>
      </c>
      <c r="C1699" s="235" t="s">
        <v>19677</v>
      </c>
      <c r="D1699" s="236" t="s">
        <v>15315</v>
      </c>
      <c r="E1699" s="15">
        <v>1380</v>
      </c>
      <c r="F1699" s="237">
        <v>42899</v>
      </c>
      <c r="G1699" s="15">
        <v>1380</v>
      </c>
      <c r="H1699" s="15">
        <f t="shared" si="26"/>
        <v>0</v>
      </c>
      <c r="I1699" s="236" t="s">
        <v>19682</v>
      </c>
    </row>
    <row r="1700" spans="1:9" x14ac:dyDescent="0.25">
      <c r="A1700" s="36">
        <v>42899</v>
      </c>
      <c r="B1700" s="18">
        <v>115801</v>
      </c>
      <c r="C1700" s="235" t="s">
        <v>19677</v>
      </c>
      <c r="D1700" s="236" t="s">
        <v>16306</v>
      </c>
      <c r="E1700" s="15">
        <v>31420.2</v>
      </c>
      <c r="F1700" s="237">
        <v>42899</v>
      </c>
      <c r="G1700" s="15">
        <v>31420.2</v>
      </c>
      <c r="H1700" s="15">
        <f t="shared" si="26"/>
        <v>0</v>
      </c>
      <c r="I1700" s="236" t="s">
        <v>19682</v>
      </c>
    </row>
    <row r="1701" spans="1:9" x14ac:dyDescent="0.25">
      <c r="A1701" s="242">
        <v>42899</v>
      </c>
      <c r="B1701" s="18">
        <v>115802</v>
      </c>
      <c r="C1701" s="235" t="s">
        <v>19677</v>
      </c>
      <c r="D1701" s="236" t="s">
        <v>15322</v>
      </c>
      <c r="E1701" s="15">
        <v>732</v>
      </c>
      <c r="F1701" s="237">
        <v>42899</v>
      </c>
      <c r="G1701" s="15">
        <v>732</v>
      </c>
      <c r="H1701" s="15">
        <f t="shared" si="26"/>
        <v>0</v>
      </c>
      <c r="I1701" s="236" t="s">
        <v>19682</v>
      </c>
    </row>
    <row r="1702" spans="1:9" x14ac:dyDescent="0.25">
      <c r="A1702" s="36">
        <v>42899</v>
      </c>
      <c r="B1702" s="18">
        <v>115803</v>
      </c>
      <c r="C1702" s="235" t="s">
        <v>19677</v>
      </c>
      <c r="D1702" s="236" t="s">
        <v>15350</v>
      </c>
      <c r="E1702" s="15">
        <v>685.4</v>
      </c>
      <c r="F1702" s="237">
        <v>42899</v>
      </c>
      <c r="G1702" s="15">
        <v>685.4</v>
      </c>
      <c r="H1702" s="15">
        <f t="shared" si="26"/>
        <v>0</v>
      </c>
      <c r="I1702" s="236" t="s">
        <v>19682</v>
      </c>
    </row>
    <row r="1703" spans="1:9" x14ac:dyDescent="0.25">
      <c r="A1703" s="242">
        <v>42899</v>
      </c>
      <c r="B1703" s="18">
        <v>115804</v>
      </c>
      <c r="C1703" s="235" t="s">
        <v>19677</v>
      </c>
      <c r="D1703" s="236" t="s">
        <v>15334</v>
      </c>
      <c r="E1703" s="15">
        <v>1729.2</v>
      </c>
      <c r="F1703" s="237">
        <v>42899</v>
      </c>
      <c r="G1703" s="15">
        <v>1729.2</v>
      </c>
      <c r="H1703" s="15">
        <f t="shared" si="26"/>
        <v>0</v>
      </c>
      <c r="I1703" s="236" t="s">
        <v>19682</v>
      </c>
    </row>
    <row r="1704" spans="1:9" x14ac:dyDescent="0.25">
      <c r="A1704" s="36">
        <v>42899</v>
      </c>
      <c r="B1704" s="18">
        <v>115805</v>
      </c>
      <c r="C1704" s="235" t="s">
        <v>19677</v>
      </c>
      <c r="D1704" s="236" t="s">
        <v>15334</v>
      </c>
      <c r="E1704" s="15">
        <v>370.6</v>
      </c>
      <c r="F1704" s="237">
        <v>42899</v>
      </c>
      <c r="G1704" s="15">
        <v>370.6</v>
      </c>
      <c r="H1704" s="15">
        <f t="shared" si="26"/>
        <v>0</v>
      </c>
      <c r="I1704" s="236" t="s">
        <v>19682</v>
      </c>
    </row>
    <row r="1705" spans="1:9" x14ac:dyDescent="0.25">
      <c r="A1705" s="242">
        <v>42899</v>
      </c>
      <c r="B1705" s="18">
        <v>115806</v>
      </c>
      <c r="C1705" s="235" t="s">
        <v>19677</v>
      </c>
      <c r="D1705" s="236" t="s">
        <v>15861</v>
      </c>
      <c r="E1705" s="15">
        <v>1466.5</v>
      </c>
      <c r="F1705" s="237">
        <v>42899</v>
      </c>
      <c r="G1705" s="15">
        <v>1466.5</v>
      </c>
      <c r="H1705" s="15">
        <f t="shared" si="26"/>
        <v>0</v>
      </c>
      <c r="I1705" s="236" t="s">
        <v>19682</v>
      </c>
    </row>
    <row r="1706" spans="1:9" x14ac:dyDescent="0.25">
      <c r="A1706" s="36">
        <v>42899</v>
      </c>
      <c r="B1706" s="18">
        <v>115807</v>
      </c>
      <c r="C1706" s="235" t="s">
        <v>19677</v>
      </c>
      <c r="D1706" s="236" t="s">
        <v>15344</v>
      </c>
      <c r="E1706" s="15">
        <v>1489.8</v>
      </c>
      <c r="F1706" s="237">
        <v>42899</v>
      </c>
      <c r="G1706" s="15">
        <v>1489.8</v>
      </c>
      <c r="H1706" s="15">
        <f t="shared" si="26"/>
        <v>0</v>
      </c>
      <c r="I1706" s="236" t="s">
        <v>19682</v>
      </c>
    </row>
    <row r="1707" spans="1:9" x14ac:dyDescent="0.25">
      <c r="A1707" s="242">
        <v>42899</v>
      </c>
      <c r="B1707" s="18">
        <v>115808</v>
      </c>
      <c r="C1707" s="235" t="s">
        <v>19677</v>
      </c>
      <c r="D1707" s="236" t="s">
        <v>15912</v>
      </c>
      <c r="E1707" s="15">
        <v>3675.8</v>
      </c>
      <c r="F1707" s="237">
        <v>42899</v>
      </c>
      <c r="G1707" s="15">
        <v>3675.8</v>
      </c>
      <c r="H1707" s="15">
        <f t="shared" si="26"/>
        <v>0</v>
      </c>
      <c r="I1707" s="236" t="s">
        <v>19682</v>
      </c>
    </row>
    <row r="1708" spans="1:9" x14ac:dyDescent="0.25">
      <c r="A1708" s="36">
        <v>42899</v>
      </c>
      <c r="B1708" s="18">
        <v>115809</v>
      </c>
      <c r="C1708" s="235" t="s">
        <v>19677</v>
      </c>
      <c r="D1708" s="236" t="s">
        <v>15344</v>
      </c>
      <c r="E1708" s="15">
        <v>2274.8000000000002</v>
      </c>
      <c r="F1708" s="237">
        <v>42899</v>
      </c>
      <c r="G1708" s="15">
        <v>2274.8000000000002</v>
      </c>
      <c r="H1708" s="15">
        <f t="shared" si="26"/>
        <v>0</v>
      </c>
      <c r="I1708" s="236" t="s">
        <v>19682</v>
      </c>
    </row>
    <row r="1709" spans="1:9" x14ac:dyDescent="0.25">
      <c r="A1709" s="242">
        <v>42899</v>
      </c>
      <c r="B1709" s="18">
        <v>115810</v>
      </c>
      <c r="C1709" s="235" t="s">
        <v>19677</v>
      </c>
      <c r="D1709" s="236" t="s">
        <v>15358</v>
      </c>
      <c r="E1709" s="15">
        <v>796.5</v>
      </c>
      <c r="F1709" s="237">
        <v>42899</v>
      </c>
      <c r="G1709" s="15">
        <v>796.5</v>
      </c>
      <c r="H1709" s="15">
        <f t="shared" si="26"/>
        <v>0</v>
      </c>
      <c r="I1709" s="236" t="s">
        <v>19682</v>
      </c>
    </row>
    <row r="1710" spans="1:9" x14ac:dyDescent="0.25">
      <c r="A1710" s="36">
        <v>42899</v>
      </c>
      <c r="B1710" s="18">
        <v>115811</v>
      </c>
      <c r="C1710" s="235" t="s">
        <v>19677</v>
      </c>
      <c r="D1710" s="236" t="s">
        <v>15716</v>
      </c>
      <c r="E1710" s="15">
        <v>7136</v>
      </c>
      <c r="F1710" s="237">
        <v>42899</v>
      </c>
      <c r="G1710" s="15">
        <v>7136</v>
      </c>
      <c r="H1710" s="15">
        <f t="shared" si="26"/>
        <v>0</v>
      </c>
      <c r="I1710" s="236" t="s">
        <v>19682</v>
      </c>
    </row>
    <row r="1711" spans="1:9" x14ac:dyDescent="0.25">
      <c r="A1711" s="242">
        <v>42899</v>
      </c>
      <c r="B1711" s="18">
        <v>115812</v>
      </c>
      <c r="C1711" s="235" t="s">
        <v>19677</v>
      </c>
      <c r="D1711" s="236" t="s">
        <v>15442</v>
      </c>
      <c r="E1711" s="15">
        <v>12831</v>
      </c>
      <c r="F1711" s="237">
        <v>42907</v>
      </c>
      <c r="G1711" s="15">
        <v>12831</v>
      </c>
      <c r="H1711" s="15">
        <f t="shared" si="26"/>
        <v>0</v>
      </c>
      <c r="I1711" s="236" t="s">
        <v>19682</v>
      </c>
    </row>
    <row r="1712" spans="1:9" x14ac:dyDescent="0.25">
      <c r="A1712" s="36">
        <v>42899</v>
      </c>
      <c r="B1712" s="18">
        <v>115813</v>
      </c>
      <c r="C1712" s="235" t="s">
        <v>19677</v>
      </c>
      <c r="D1712" s="236" t="s">
        <v>15213</v>
      </c>
      <c r="E1712" s="15">
        <v>6826.5</v>
      </c>
      <c r="F1712" s="237">
        <v>42901</v>
      </c>
      <c r="G1712" s="15">
        <v>6826.5</v>
      </c>
      <c r="H1712" s="15">
        <f t="shared" si="26"/>
        <v>0</v>
      </c>
      <c r="I1712" s="236" t="s">
        <v>19682</v>
      </c>
    </row>
    <row r="1713" spans="1:9" x14ac:dyDescent="0.25">
      <c r="A1713" s="242">
        <v>42899</v>
      </c>
      <c r="B1713" s="18">
        <v>115814</v>
      </c>
      <c r="C1713" s="235" t="s">
        <v>19677</v>
      </c>
      <c r="D1713" s="236" t="s">
        <v>15423</v>
      </c>
      <c r="E1713" s="15">
        <v>1552.2</v>
      </c>
      <c r="F1713" s="237">
        <v>42899</v>
      </c>
      <c r="G1713" s="15">
        <v>1552.2</v>
      </c>
      <c r="H1713" s="15">
        <f t="shared" si="26"/>
        <v>0</v>
      </c>
      <c r="I1713" s="236" t="s">
        <v>19682</v>
      </c>
    </row>
    <row r="1714" spans="1:9" x14ac:dyDescent="0.25">
      <c r="A1714" s="36">
        <v>42899</v>
      </c>
      <c r="B1714" s="18">
        <v>115815</v>
      </c>
      <c r="C1714" s="235" t="s">
        <v>19677</v>
      </c>
      <c r="D1714" s="236" t="s">
        <v>15294</v>
      </c>
      <c r="E1714" s="15">
        <v>370</v>
      </c>
      <c r="F1714" s="237">
        <v>42899</v>
      </c>
      <c r="G1714" s="15">
        <v>370</v>
      </c>
      <c r="H1714" s="15">
        <f t="shared" si="26"/>
        <v>0</v>
      </c>
      <c r="I1714" s="236" t="s">
        <v>19682</v>
      </c>
    </row>
    <row r="1715" spans="1:9" x14ac:dyDescent="0.25">
      <c r="A1715" s="242">
        <v>42899</v>
      </c>
      <c r="B1715" s="18">
        <v>115816</v>
      </c>
      <c r="C1715" s="235" t="s">
        <v>19677</v>
      </c>
      <c r="D1715" s="236" t="s">
        <v>15265</v>
      </c>
      <c r="E1715" s="15">
        <v>3666</v>
      </c>
      <c r="F1715" s="237">
        <v>42899</v>
      </c>
      <c r="G1715" s="15">
        <v>3666</v>
      </c>
      <c r="H1715" s="15">
        <f t="shared" si="26"/>
        <v>0</v>
      </c>
      <c r="I1715" s="236" t="s">
        <v>19682</v>
      </c>
    </row>
    <row r="1716" spans="1:9" x14ac:dyDescent="0.25">
      <c r="A1716" s="36">
        <v>42899</v>
      </c>
      <c r="B1716" s="18">
        <v>115817</v>
      </c>
      <c r="C1716" s="235" t="s">
        <v>19677</v>
      </c>
      <c r="D1716" s="236" t="s">
        <v>15315</v>
      </c>
      <c r="E1716" s="15">
        <v>190.4</v>
      </c>
      <c r="F1716" s="237">
        <v>42899</v>
      </c>
      <c r="G1716" s="15">
        <v>190.4</v>
      </c>
      <c r="H1716" s="15">
        <f t="shared" si="26"/>
        <v>0</v>
      </c>
      <c r="I1716" s="236" t="s">
        <v>19682</v>
      </c>
    </row>
    <row r="1717" spans="1:9" x14ac:dyDescent="0.25">
      <c r="A1717" s="242">
        <v>42899</v>
      </c>
      <c r="B1717" s="18">
        <v>115818</v>
      </c>
      <c r="C1717" s="235" t="s">
        <v>19677</v>
      </c>
      <c r="D1717" s="236" t="s">
        <v>18076</v>
      </c>
      <c r="E1717" s="15">
        <v>2884.8</v>
      </c>
      <c r="F1717" s="237">
        <v>42899</v>
      </c>
      <c r="G1717" s="15">
        <v>2884.8</v>
      </c>
      <c r="H1717" s="15">
        <f t="shared" si="26"/>
        <v>0</v>
      </c>
      <c r="I1717" s="236" t="s">
        <v>19682</v>
      </c>
    </row>
    <row r="1718" spans="1:9" x14ac:dyDescent="0.25">
      <c r="A1718" s="36">
        <v>42899</v>
      </c>
      <c r="B1718" s="18">
        <v>115819</v>
      </c>
      <c r="C1718" s="235" t="s">
        <v>19677</v>
      </c>
      <c r="D1718" s="236" t="s">
        <v>15438</v>
      </c>
      <c r="E1718" s="15">
        <v>2328.1999999999998</v>
      </c>
      <c r="F1718" s="237">
        <v>42899</v>
      </c>
      <c r="G1718" s="15">
        <v>2328.1999999999998</v>
      </c>
      <c r="H1718" s="15">
        <f t="shared" si="26"/>
        <v>0</v>
      </c>
      <c r="I1718" s="236" t="s">
        <v>19682</v>
      </c>
    </row>
    <row r="1719" spans="1:9" x14ac:dyDescent="0.25">
      <c r="A1719" s="242">
        <v>42899</v>
      </c>
      <c r="B1719" s="18">
        <v>115820</v>
      </c>
      <c r="C1719" s="235" t="s">
        <v>19677</v>
      </c>
      <c r="D1719" s="236" t="s">
        <v>15537</v>
      </c>
      <c r="E1719" s="15">
        <v>16989.3</v>
      </c>
      <c r="F1719" s="237">
        <v>42902</v>
      </c>
      <c r="G1719" s="15">
        <v>16989.3</v>
      </c>
      <c r="H1719" s="15">
        <f t="shared" si="26"/>
        <v>0</v>
      </c>
      <c r="I1719" s="236" t="s">
        <v>19682</v>
      </c>
    </row>
    <row r="1720" spans="1:9" x14ac:dyDescent="0.25">
      <c r="A1720" s="36">
        <v>42899</v>
      </c>
      <c r="B1720" s="18">
        <v>115821</v>
      </c>
      <c r="C1720" s="235" t="s">
        <v>19677</v>
      </c>
      <c r="D1720" s="236" t="s">
        <v>15539</v>
      </c>
      <c r="E1720" s="15">
        <v>11052.6</v>
      </c>
      <c r="F1720" s="237">
        <v>42902</v>
      </c>
      <c r="G1720" s="15">
        <v>11052.6</v>
      </c>
      <c r="H1720" s="15">
        <f t="shared" si="26"/>
        <v>0</v>
      </c>
      <c r="I1720" s="236" t="s">
        <v>19682</v>
      </c>
    </row>
    <row r="1721" spans="1:9" x14ac:dyDescent="0.25">
      <c r="A1721" s="242">
        <v>42899</v>
      </c>
      <c r="B1721" s="18">
        <v>115822</v>
      </c>
      <c r="C1721" s="235" t="s">
        <v>19677</v>
      </c>
      <c r="D1721" s="236" t="s">
        <v>15544</v>
      </c>
      <c r="E1721" s="15">
        <v>4005.3</v>
      </c>
      <c r="F1721" s="237">
        <v>42909</v>
      </c>
      <c r="G1721" s="15">
        <v>4005.3</v>
      </c>
      <c r="H1721" s="15">
        <f t="shared" si="26"/>
        <v>0</v>
      </c>
      <c r="I1721" s="236" t="s">
        <v>19682</v>
      </c>
    </row>
    <row r="1722" spans="1:9" x14ac:dyDescent="0.25">
      <c r="A1722" s="36">
        <v>42899</v>
      </c>
      <c r="B1722" s="18">
        <v>115823</v>
      </c>
      <c r="C1722" s="235" t="s">
        <v>19677</v>
      </c>
      <c r="D1722" s="236" t="s">
        <v>15833</v>
      </c>
      <c r="E1722" s="15">
        <v>7640.1</v>
      </c>
      <c r="F1722" s="237" t="s">
        <v>19734</v>
      </c>
      <c r="G1722" s="241">
        <f>7336.1+304</f>
        <v>7640.1</v>
      </c>
      <c r="H1722" s="241">
        <f t="shared" si="26"/>
        <v>0</v>
      </c>
      <c r="I1722" s="236" t="s">
        <v>19682</v>
      </c>
    </row>
    <row r="1723" spans="1:9" x14ac:dyDescent="0.25">
      <c r="A1723" s="242">
        <v>42899</v>
      </c>
      <c r="B1723" s="18">
        <v>115824</v>
      </c>
      <c r="C1723" s="235" t="s">
        <v>19677</v>
      </c>
      <c r="D1723" s="236" t="s">
        <v>15315</v>
      </c>
      <c r="E1723" s="15">
        <v>708</v>
      </c>
      <c r="F1723" s="237">
        <v>42900</v>
      </c>
      <c r="G1723" s="15">
        <v>708</v>
      </c>
      <c r="H1723" s="15">
        <f t="shared" si="26"/>
        <v>0</v>
      </c>
      <c r="I1723" s="236" t="s">
        <v>19682</v>
      </c>
    </row>
    <row r="1724" spans="1:9" x14ac:dyDescent="0.25">
      <c r="A1724" s="36">
        <v>42899</v>
      </c>
      <c r="B1724" s="18">
        <v>115825</v>
      </c>
      <c r="C1724" s="235" t="s">
        <v>19677</v>
      </c>
      <c r="D1724" s="236" t="s">
        <v>15315</v>
      </c>
      <c r="E1724" s="15">
        <v>160</v>
      </c>
      <c r="F1724" s="237">
        <v>42909</v>
      </c>
      <c r="G1724" s="15">
        <v>160</v>
      </c>
      <c r="H1724" s="15">
        <f t="shared" si="26"/>
        <v>0</v>
      </c>
      <c r="I1724" s="236" t="s">
        <v>19682</v>
      </c>
    </row>
    <row r="1725" spans="1:9" x14ac:dyDescent="0.25">
      <c r="A1725" s="242">
        <v>42899</v>
      </c>
      <c r="B1725" s="18">
        <v>115826</v>
      </c>
      <c r="C1725" s="235" t="s">
        <v>19677</v>
      </c>
      <c r="D1725" s="236" t="s">
        <v>15555</v>
      </c>
      <c r="E1725" s="15">
        <v>852</v>
      </c>
      <c r="F1725" s="237">
        <v>42900</v>
      </c>
      <c r="G1725" s="15">
        <v>852</v>
      </c>
      <c r="H1725" s="15">
        <f t="shared" si="26"/>
        <v>0</v>
      </c>
      <c r="I1725" s="236" t="s">
        <v>19682</v>
      </c>
    </row>
    <row r="1726" spans="1:9" x14ac:dyDescent="0.25">
      <c r="A1726" s="36">
        <v>42899</v>
      </c>
      <c r="B1726" s="18">
        <v>115827</v>
      </c>
      <c r="C1726" s="235" t="s">
        <v>19677</v>
      </c>
      <c r="D1726" s="236" t="s">
        <v>15378</v>
      </c>
      <c r="E1726" s="15">
        <v>629.20000000000005</v>
      </c>
      <c r="F1726" s="237">
        <v>42899</v>
      </c>
      <c r="G1726" s="15">
        <v>629.20000000000005</v>
      </c>
      <c r="H1726" s="15">
        <f t="shared" si="26"/>
        <v>0</v>
      </c>
      <c r="I1726" s="236" t="s">
        <v>19682</v>
      </c>
    </row>
    <row r="1727" spans="1:9" x14ac:dyDescent="0.25">
      <c r="A1727" s="242">
        <v>42899</v>
      </c>
      <c r="B1727" s="18">
        <v>115828</v>
      </c>
      <c r="C1727" s="235" t="s">
        <v>19677</v>
      </c>
      <c r="D1727" s="236" t="s">
        <v>15365</v>
      </c>
      <c r="E1727" s="15">
        <v>435092</v>
      </c>
      <c r="F1727" s="237">
        <v>42902</v>
      </c>
      <c r="G1727" s="15">
        <v>435092</v>
      </c>
      <c r="H1727" s="15">
        <f t="shared" si="26"/>
        <v>0</v>
      </c>
      <c r="I1727" s="236" t="s">
        <v>19682</v>
      </c>
    </row>
    <row r="1728" spans="1:9" x14ac:dyDescent="0.25">
      <c r="A1728" s="36">
        <v>42899</v>
      </c>
      <c r="B1728" s="18">
        <v>115829</v>
      </c>
      <c r="C1728" s="235" t="s">
        <v>19677</v>
      </c>
      <c r="D1728" s="236" t="s">
        <v>15315</v>
      </c>
      <c r="E1728" s="15">
        <v>387</v>
      </c>
      <c r="F1728" s="237">
        <v>42900</v>
      </c>
      <c r="G1728" s="15">
        <v>387</v>
      </c>
      <c r="H1728" s="15">
        <f t="shared" si="26"/>
        <v>0</v>
      </c>
      <c r="I1728" s="236" t="s">
        <v>19682</v>
      </c>
    </row>
    <row r="1729" spans="1:9" x14ac:dyDescent="0.25">
      <c r="A1729" s="242">
        <v>42899</v>
      </c>
      <c r="B1729" s="18">
        <v>115830</v>
      </c>
      <c r="C1729" s="235" t="s">
        <v>19677</v>
      </c>
      <c r="D1729" s="236" t="s">
        <v>16297</v>
      </c>
      <c r="E1729" s="15">
        <v>10896</v>
      </c>
      <c r="F1729" s="237">
        <v>42899</v>
      </c>
      <c r="G1729" s="15">
        <v>10896</v>
      </c>
      <c r="H1729" s="15">
        <f t="shared" si="26"/>
        <v>0</v>
      </c>
      <c r="I1729" s="236" t="s">
        <v>19682</v>
      </c>
    </row>
    <row r="1730" spans="1:9" x14ac:dyDescent="0.25">
      <c r="A1730" s="36">
        <v>42899</v>
      </c>
      <c r="B1730" s="18">
        <v>115831</v>
      </c>
      <c r="C1730" s="235" t="s">
        <v>19677</v>
      </c>
      <c r="D1730" s="236" t="s">
        <v>15284</v>
      </c>
      <c r="E1730" s="15">
        <v>1619.1</v>
      </c>
      <c r="F1730" s="237" t="s">
        <v>19735</v>
      </c>
      <c r="G1730" s="241">
        <f>1500+119.1</f>
        <v>1619.1</v>
      </c>
      <c r="H1730" s="241">
        <f t="shared" ref="H1730:H1793" si="27">E1730-G1730</f>
        <v>0</v>
      </c>
      <c r="I1730" s="236" t="s">
        <v>19682</v>
      </c>
    </row>
    <row r="1731" spans="1:9" x14ac:dyDescent="0.25">
      <c r="A1731" s="242">
        <v>42899</v>
      </c>
      <c r="B1731" s="18">
        <v>115832</v>
      </c>
      <c r="C1731" s="235" t="s">
        <v>19677</v>
      </c>
      <c r="D1731" s="236" t="s">
        <v>18769</v>
      </c>
      <c r="E1731" s="15">
        <v>525</v>
      </c>
      <c r="F1731" s="237">
        <v>42899</v>
      </c>
      <c r="G1731" s="15">
        <v>525</v>
      </c>
      <c r="H1731" s="15">
        <f t="shared" si="27"/>
        <v>0</v>
      </c>
      <c r="I1731" s="236" t="s">
        <v>19682</v>
      </c>
    </row>
    <row r="1732" spans="1:9" x14ac:dyDescent="0.25">
      <c r="A1732" s="36">
        <v>42899</v>
      </c>
      <c r="B1732" s="18">
        <v>115833</v>
      </c>
      <c r="C1732" s="235" t="s">
        <v>19677</v>
      </c>
      <c r="D1732" s="236" t="s">
        <v>15407</v>
      </c>
      <c r="E1732" s="15">
        <v>4567.2</v>
      </c>
      <c r="F1732" s="237">
        <v>42899</v>
      </c>
      <c r="G1732" s="15">
        <v>4567.2</v>
      </c>
      <c r="H1732" s="15">
        <f t="shared" si="27"/>
        <v>0</v>
      </c>
      <c r="I1732" s="236" t="s">
        <v>19682</v>
      </c>
    </row>
    <row r="1733" spans="1:9" x14ac:dyDescent="0.25">
      <c r="A1733" s="242">
        <v>42899</v>
      </c>
      <c r="B1733" s="18">
        <v>115834</v>
      </c>
      <c r="C1733" s="235" t="s">
        <v>19677</v>
      </c>
      <c r="D1733" s="236" t="s">
        <v>15890</v>
      </c>
      <c r="E1733" s="15">
        <v>7104.6</v>
      </c>
      <c r="F1733" s="237">
        <v>42916</v>
      </c>
      <c r="G1733" s="15">
        <v>7104.6</v>
      </c>
      <c r="H1733" s="15">
        <f t="shared" si="27"/>
        <v>0</v>
      </c>
      <c r="I1733" s="236" t="s">
        <v>19682</v>
      </c>
    </row>
    <row r="1734" spans="1:9" x14ac:dyDescent="0.25">
      <c r="A1734" s="36">
        <v>42899</v>
      </c>
      <c r="B1734" s="18">
        <v>115835</v>
      </c>
      <c r="C1734" s="235" t="s">
        <v>19677</v>
      </c>
      <c r="D1734" s="236" t="s">
        <v>15624</v>
      </c>
      <c r="E1734" s="15">
        <v>30505.200000000001</v>
      </c>
      <c r="F1734" s="237">
        <v>42901</v>
      </c>
      <c r="G1734" s="15">
        <v>30505.200000000001</v>
      </c>
      <c r="H1734" s="15">
        <f t="shared" si="27"/>
        <v>0</v>
      </c>
      <c r="I1734" s="236" t="s">
        <v>19682</v>
      </c>
    </row>
    <row r="1735" spans="1:9" x14ac:dyDescent="0.25">
      <c r="A1735" s="242">
        <v>42899</v>
      </c>
      <c r="B1735" s="18">
        <v>115836</v>
      </c>
      <c r="C1735" s="235" t="s">
        <v>19677</v>
      </c>
      <c r="D1735" s="236" t="s">
        <v>16313</v>
      </c>
      <c r="E1735" s="15">
        <v>7937.4</v>
      </c>
      <c r="F1735" s="237">
        <v>42899</v>
      </c>
      <c r="G1735" s="15">
        <v>7937.4</v>
      </c>
      <c r="H1735" s="15">
        <f t="shared" si="27"/>
        <v>0</v>
      </c>
      <c r="I1735" s="236" t="s">
        <v>19682</v>
      </c>
    </row>
    <row r="1736" spans="1:9" x14ac:dyDescent="0.25">
      <c r="A1736" s="36">
        <v>42899</v>
      </c>
      <c r="B1736" s="18">
        <v>115837</v>
      </c>
      <c r="C1736" s="235" t="s">
        <v>19677</v>
      </c>
      <c r="D1736" s="236" t="s">
        <v>15936</v>
      </c>
      <c r="E1736" s="15">
        <v>17601.8</v>
      </c>
      <c r="F1736" s="237">
        <v>42899</v>
      </c>
      <c r="G1736" s="15">
        <v>17601.8</v>
      </c>
      <c r="H1736" s="15">
        <f t="shared" si="27"/>
        <v>0</v>
      </c>
      <c r="I1736" s="236" t="s">
        <v>19682</v>
      </c>
    </row>
    <row r="1737" spans="1:9" x14ac:dyDescent="0.25">
      <c r="A1737" s="242">
        <v>42899</v>
      </c>
      <c r="B1737" s="18">
        <v>115838</v>
      </c>
      <c r="C1737" s="235" t="s">
        <v>19677</v>
      </c>
      <c r="D1737" s="236" t="s">
        <v>15444</v>
      </c>
      <c r="E1737" s="15">
        <v>2600.6</v>
      </c>
      <c r="F1737" s="237">
        <v>42900</v>
      </c>
      <c r="G1737" s="15">
        <v>2600.6</v>
      </c>
      <c r="H1737" s="15">
        <f t="shared" si="27"/>
        <v>0</v>
      </c>
      <c r="I1737" s="236" t="s">
        <v>19682</v>
      </c>
    </row>
    <row r="1738" spans="1:9" x14ac:dyDescent="0.25">
      <c r="A1738" s="36">
        <v>42899</v>
      </c>
      <c r="B1738" s="18">
        <v>115839</v>
      </c>
      <c r="C1738" s="235" t="s">
        <v>19677</v>
      </c>
      <c r="D1738" s="236" t="s">
        <v>15246</v>
      </c>
      <c r="E1738" s="15">
        <v>309719.7</v>
      </c>
      <c r="F1738" s="237">
        <v>42903</v>
      </c>
      <c r="G1738" s="15">
        <v>309719.7</v>
      </c>
      <c r="H1738" s="15">
        <f t="shared" si="27"/>
        <v>0</v>
      </c>
      <c r="I1738" s="236" t="s">
        <v>19682</v>
      </c>
    </row>
    <row r="1739" spans="1:9" x14ac:dyDescent="0.25">
      <c r="A1739" s="242">
        <v>42899</v>
      </c>
      <c r="B1739" s="18">
        <v>115840</v>
      </c>
      <c r="C1739" s="235" t="s">
        <v>19677</v>
      </c>
      <c r="D1739" s="236" t="s">
        <v>15246</v>
      </c>
      <c r="E1739" s="15">
        <v>72997.2</v>
      </c>
      <c r="F1739" s="237">
        <v>42903</v>
      </c>
      <c r="G1739" s="15">
        <v>72997.2</v>
      </c>
      <c r="H1739" s="15">
        <f t="shared" si="27"/>
        <v>0</v>
      </c>
      <c r="I1739" s="236" t="s">
        <v>19682</v>
      </c>
    </row>
    <row r="1740" spans="1:9" x14ac:dyDescent="0.25">
      <c r="A1740" s="36">
        <v>42899</v>
      </c>
      <c r="B1740" s="18">
        <v>115841</v>
      </c>
      <c r="C1740" s="235" t="s">
        <v>19677</v>
      </c>
      <c r="D1740" s="236" t="s">
        <v>15433</v>
      </c>
      <c r="E1740" s="15">
        <v>84</v>
      </c>
      <c r="F1740" s="237">
        <v>42899</v>
      </c>
      <c r="G1740" s="15">
        <v>84</v>
      </c>
      <c r="H1740" s="15">
        <f t="shared" si="27"/>
        <v>0</v>
      </c>
      <c r="I1740" s="236" t="s">
        <v>19682</v>
      </c>
    </row>
    <row r="1741" spans="1:9" ht="15.75" x14ac:dyDescent="0.25">
      <c r="A1741" s="242">
        <v>42899</v>
      </c>
      <c r="B1741" s="18">
        <v>115842</v>
      </c>
      <c r="C1741" s="235" t="s">
        <v>19677</v>
      </c>
      <c r="D1741" s="248" t="s">
        <v>95</v>
      </c>
      <c r="E1741" s="15">
        <v>0</v>
      </c>
      <c r="F1741" s="243" t="s">
        <v>95</v>
      </c>
      <c r="G1741" s="15">
        <v>0</v>
      </c>
      <c r="H1741" s="15">
        <f t="shared" si="27"/>
        <v>0</v>
      </c>
      <c r="I1741" s="236" t="s">
        <v>19678</v>
      </c>
    </row>
    <row r="1742" spans="1:9" x14ac:dyDescent="0.25">
      <c r="A1742" s="36">
        <v>42899</v>
      </c>
      <c r="B1742" s="18">
        <v>115843</v>
      </c>
      <c r="C1742" s="235" t="s">
        <v>19677</v>
      </c>
      <c r="D1742" s="236" t="s">
        <v>16522</v>
      </c>
      <c r="E1742" s="15">
        <v>38070</v>
      </c>
      <c r="F1742" s="293">
        <v>42952</v>
      </c>
      <c r="G1742" s="107">
        <v>38070</v>
      </c>
      <c r="H1742" s="15">
        <f t="shared" si="27"/>
        <v>0</v>
      </c>
      <c r="I1742" s="236" t="s">
        <v>19682</v>
      </c>
    </row>
    <row r="1743" spans="1:9" x14ac:dyDescent="0.25">
      <c r="A1743" s="242">
        <v>42899</v>
      </c>
      <c r="B1743" s="18">
        <v>115844</v>
      </c>
      <c r="C1743" s="235" t="s">
        <v>19677</v>
      </c>
      <c r="D1743" s="236" t="s">
        <v>15246</v>
      </c>
      <c r="E1743" s="15">
        <v>37158.6</v>
      </c>
      <c r="F1743" s="237">
        <v>42903</v>
      </c>
      <c r="G1743" s="15">
        <v>37158.6</v>
      </c>
      <c r="H1743" s="15">
        <f t="shared" si="27"/>
        <v>0</v>
      </c>
      <c r="I1743" s="236" t="s">
        <v>19682</v>
      </c>
    </row>
    <row r="1744" spans="1:9" x14ac:dyDescent="0.25">
      <c r="A1744" s="36">
        <v>42899</v>
      </c>
      <c r="B1744" s="18">
        <v>115845</v>
      </c>
      <c r="C1744" s="235" t="s">
        <v>19677</v>
      </c>
      <c r="D1744" s="236" t="s">
        <v>15435</v>
      </c>
      <c r="E1744" s="15">
        <v>7177.4</v>
      </c>
      <c r="F1744" s="237">
        <v>42899</v>
      </c>
      <c r="G1744" s="15">
        <v>7177.4</v>
      </c>
      <c r="H1744" s="15">
        <f t="shared" si="27"/>
        <v>0</v>
      </c>
      <c r="I1744" s="236" t="s">
        <v>19682</v>
      </c>
    </row>
    <row r="1745" spans="1:9" x14ac:dyDescent="0.25">
      <c r="A1745" s="242">
        <v>42899</v>
      </c>
      <c r="B1745" s="18">
        <v>115846</v>
      </c>
      <c r="C1745" s="235" t="s">
        <v>19677</v>
      </c>
      <c r="D1745" s="236" t="s">
        <v>15592</v>
      </c>
      <c r="E1745" s="15">
        <v>13790</v>
      </c>
      <c r="F1745" s="237">
        <v>42902</v>
      </c>
      <c r="G1745" s="15">
        <v>13790</v>
      </c>
      <c r="H1745" s="15">
        <f t="shared" si="27"/>
        <v>0</v>
      </c>
      <c r="I1745" s="236" t="s">
        <v>19682</v>
      </c>
    </row>
    <row r="1746" spans="1:9" x14ac:dyDescent="0.25">
      <c r="A1746" s="36">
        <v>42899</v>
      </c>
      <c r="B1746" s="18">
        <v>115847</v>
      </c>
      <c r="C1746" s="235" t="s">
        <v>19677</v>
      </c>
      <c r="D1746" s="236" t="s">
        <v>15435</v>
      </c>
      <c r="E1746" s="15">
        <v>525</v>
      </c>
      <c r="F1746" s="237">
        <v>42899</v>
      </c>
      <c r="G1746" s="15">
        <v>525</v>
      </c>
      <c r="H1746" s="15">
        <f t="shared" si="27"/>
        <v>0</v>
      </c>
      <c r="I1746" s="236" t="s">
        <v>19682</v>
      </c>
    </row>
    <row r="1747" spans="1:9" x14ac:dyDescent="0.25">
      <c r="A1747" s="242">
        <v>42899</v>
      </c>
      <c r="B1747" s="18">
        <v>115848</v>
      </c>
      <c r="C1747" s="235" t="s">
        <v>19677</v>
      </c>
      <c r="D1747" s="236" t="s">
        <v>15581</v>
      </c>
      <c r="E1747" s="15">
        <v>13442</v>
      </c>
      <c r="F1747" s="237">
        <v>42905</v>
      </c>
      <c r="G1747" s="15">
        <v>13442</v>
      </c>
      <c r="H1747" s="15">
        <f t="shared" si="27"/>
        <v>0</v>
      </c>
      <c r="I1747" s="236" t="s">
        <v>19682</v>
      </c>
    </row>
    <row r="1748" spans="1:9" x14ac:dyDescent="0.25">
      <c r="A1748" s="36">
        <v>42899</v>
      </c>
      <c r="B1748" s="18">
        <v>115849</v>
      </c>
      <c r="C1748" s="235" t="s">
        <v>19677</v>
      </c>
      <c r="D1748" s="236" t="s">
        <v>15818</v>
      </c>
      <c r="E1748" s="15">
        <v>4939.2</v>
      </c>
      <c r="F1748" s="237">
        <v>42903</v>
      </c>
      <c r="G1748" s="15">
        <v>4939.2</v>
      </c>
      <c r="H1748" s="15">
        <f t="shared" si="27"/>
        <v>0</v>
      </c>
      <c r="I1748" s="236" t="s">
        <v>19682</v>
      </c>
    </row>
    <row r="1749" spans="1:9" x14ac:dyDescent="0.25">
      <c r="A1749" s="242">
        <v>42899</v>
      </c>
      <c r="B1749" s="18">
        <v>115850</v>
      </c>
      <c r="C1749" s="235" t="s">
        <v>19677</v>
      </c>
      <c r="D1749" s="236" t="s">
        <v>15365</v>
      </c>
      <c r="E1749" s="15">
        <v>281988</v>
      </c>
      <c r="F1749" s="237">
        <v>42903</v>
      </c>
      <c r="G1749" s="15">
        <v>281988</v>
      </c>
      <c r="H1749" s="15">
        <f t="shared" si="27"/>
        <v>0</v>
      </c>
      <c r="I1749" s="236" t="s">
        <v>19682</v>
      </c>
    </row>
    <row r="1750" spans="1:9" x14ac:dyDescent="0.25">
      <c r="A1750" s="242">
        <v>42900</v>
      </c>
      <c r="B1750" s="18">
        <v>115851</v>
      </c>
      <c r="C1750" s="235" t="s">
        <v>19677</v>
      </c>
      <c r="D1750" s="236" t="s">
        <v>15213</v>
      </c>
      <c r="E1750" s="15">
        <v>11067.4</v>
      </c>
      <c r="F1750" s="237">
        <v>42901</v>
      </c>
      <c r="G1750" s="15">
        <v>11067.4</v>
      </c>
      <c r="H1750" s="15">
        <f t="shared" si="27"/>
        <v>0</v>
      </c>
      <c r="I1750" s="236" t="s">
        <v>19682</v>
      </c>
    </row>
    <row r="1751" spans="1:9" x14ac:dyDescent="0.25">
      <c r="A1751" s="36">
        <v>42900</v>
      </c>
      <c r="B1751" s="18">
        <v>115852</v>
      </c>
      <c r="C1751" s="235" t="s">
        <v>19677</v>
      </c>
      <c r="D1751" s="236" t="s">
        <v>15213</v>
      </c>
      <c r="E1751" s="15">
        <v>35234.1</v>
      </c>
      <c r="F1751" s="237">
        <v>42901</v>
      </c>
      <c r="G1751" s="15">
        <v>35234.1</v>
      </c>
      <c r="H1751" s="15">
        <f t="shared" si="27"/>
        <v>0</v>
      </c>
      <c r="I1751" s="236" t="s">
        <v>19682</v>
      </c>
    </row>
    <row r="1752" spans="1:9" x14ac:dyDescent="0.25">
      <c r="A1752" s="242">
        <v>42900</v>
      </c>
      <c r="B1752" s="18">
        <v>115853</v>
      </c>
      <c r="C1752" s="235" t="s">
        <v>19677</v>
      </c>
      <c r="D1752" s="236" t="s">
        <v>15220</v>
      </c>
      <c r="E1752" s="15">
        <v>2300</v>
      </c>
      <c r="F1752" s="237">
        <v>42900</v>
      </c>
      <c r="G1752" s="15">
        <v>2300</v>
      </c>
      <c r="H1752" s="15">
        <f t="shared" si="27"/>
        <v>0</v>
      </c>
      <c r="I1752" s="236" t="s">
        <v>19682</v>
      </c>
    </row>
    <row r="1753" spans="1:9" x14ac:dyDescent="0.25">
      <c r="A1753" s="36">
        <v>42900</v>
      </c>
      <c r="B1753" s="18">
        <v>115854</v>
      </c>
      <c r="C1753" s="235" t="s">
        <v>19677</v>
      </c>
      <c r="D1753" s="236" t="s">
        <v>19302</v>
      </c>
      <c r="E1753" s="15">
        <v>690</v>
      </c>
      <c r="F1753" s="237">
        <v>42900</v>
      </c>
      <c r="G1753" s="15">
        <v>690</v>
      </c>
      <c r="H1753" s="15">
        <f t="shared" si="27"/>
        <v>0</v>
      </c>
      <c r="I1753" s="236" t="s">
        <v>19682</v>
      </c>
    </row>
    <row r="1754" spans="1:9" x14ac:dyDescent="0.25">
      <c r="A1754" s="242">
        <v>42900</v>
      </c>
      <c r="B1754" s="18">
        <v>115855</v>
      </c>
      <c r="C1754" s="235" t="s">
        <v>19677</v>
      </c>
      <c r="D1754" s="236" t="s">
        <v>18544</v>
      </c>
      <c r="E1754" s="15">
        <v>7478</v>
      </c>
      <c r="F1754" s="237">
        <v>42900</v>
      </c>
      <c r="G1754" s="15">
        <v>7478</v>
      </c>
      <c r="H1754" s="15">
        <f t="shared" si="27"/>
        <v>0</v>
      </c>
      <c r="I1754" s="236" t="s">
        <v>19682</v>
      </c>
    </row>
    <row r="1755" spans="1:9" x14ac:dyDescent="0.25">
      <c r="A1755" s="36">
        <v>42900</v>
      </c>
      <c r="B1755" s="18">
        <v>115856</v>
      </c>
      <c r="C1755" s="235" t="s">
        <v>19677</v>
      </c>
      <c r="D1755" s="236" t="s">
        <v>15216</v>
      </c>
      <c r="E1755" s="15">
        <v>2220.8000000000002</v>
      </c>
      <c r="F1755" s="237">
        <v>42900</v>
      </c>
      <c r="G1755" s="15">
        <v>2220.8000000000002</v>
      </c>
      <c r="H1755" s="15">
        <f t="shared" si="27"/>
        <v>0</v>
      </c>
      <c r="I1755" s="236" t="s">
        <v>19682</v>
      </c>
    </row>
    <row r="1756" spans="1:9" x14ac:dyDescent="0.25">
      <c r="A1756" s="242">
        <v>42900</v>
      </c>
      <c r="B1756" s="18">
        <v>115857</v>
      </c>
      <c r="C1756" s="235" t="s">
        <v>19677</v>
      </c>
      <c r="D1756" s="236" t="s">
        <v>15250</v>
      </c>
      <c r="E1756" s="15">
        <v>35588.720000000001</v>
      </c>
      <c r="F1756" s="237">
        <v>42909</v>
      </c>
      <c r="G1756" s="15">
        <v>35588.720000000001</v>
      </c>
      <c r="H1756" s="15">
        <f t="shared" si="27"/>
        <v>0</v>
      </c>
      <c r="I1756" s="236" t="s">
        <v>19682</v>
      </c>
    </row>
    <row r="1757" spans="1:9" x14ac:dyDescent="0.25">
      <c r="A1757" s="36">
        <v>42900</v>
      </c>
      <c r="B1757" s="18">
        <v>115858</v>
      </c>
      <c r="C1757" s="235" t="s">
        <v>19677</v>
      </c>
      <c r="D1757" s="236" t="s">
        <v>15348</v>
      </c>
      <c r="E1757" s="15">
        <v>3101.7</v>
      </c>
      <c r="F1757" s="237">
        <v>42901</v>
      </c>
      <c r="G1757" s="15">
        <v>3101.7</v>
      </c>
      <c r="H1757" s="15">
        <f t="shared" si="27"/>
        <v>0</v>
      </c>
      <c r="I1757" s="236" t="s">
        <v>19682</v>
      </c>
    </row>
    <row r="1758" spans="1:9" x14ac:dyDescent="0.25">
      <c r="A1758" s="242">
        <v>42900</v>
      </c>
      <c r="B1758" s="18">
        <v>115859</v>
      </c>
      <c r="C1758" s="235" t="s">
        <v>19677</v>
      </c>
      <c r="D1758" s="236" t="s">
        <v>15553</v>
      </c>
      <c r="E1758" s="15">
        <v>9009.9599999999991</v>
      </c>
      <c r="F1758" s="237">
        <v>42900</v>
      </c>
      <c r="G1758" s="15">
        <v>9009.9599999999991</v>
      </c>
      <c r="H1758" s="15">
        <f t="shared" si="27"/>
        <v>0</v>
      </c>
      <c r="I1758" s="236" t="s">
        <v>19682</v>
      </c>
    </row>
    <row r="1759" spans="1:9" x14ac:dyDescent="0.25">
      <c r="A1759" s="36">
        <v>42900</v>
      </c>
      <c r="B1759" s="18">
        <v>115860</v>
      </c>
      <c r="C1759" s="235" t="s">
        <v>19677</v>
      </c>
      <c r="D1759" s="236" t="s">
        <v>15596</v>
      </c>
      <c r="E1759" s="15">
        <v>1150</v>
      </c>
      <c r="F1759" s="237">
        <v>42900</v>
      </c>
      <c r="G1759" s="15">
        <v>1150</v>
      </c>
      <c r="H1759" s="15">
        <f t="shared" si="27"/>
        <v>0</v>
      </c>
      <c r="I1759" s="236" t="s">
        <v>19682</v>
      </c>
    </row>
    <row r="1760" spans="1:9" x14ac:dyDescent="0.25">
      <c r="A1760" s="242">
        <v>42900</v>
      </c>
      <c r="B1760" s="18">
        <v>115861</v>
      </c>
      <c r="C1760" s="235" t="s">
        <v>19677</v>
      </c>
      <c r="D1760" s="236" t="s">
        <v>15861</v>
      </c>
      <c r="E1760" s="15">
        <v>1423.8</v>
      </c>
      <c r="F1760" s="237">
        <v>42900</v>
      </c>
      <c r="G1760" s="15">
        <v>1423.8</v>
      </c>
      <c r="H1760" s="15">
        <f t="shared" si="27"/>
        <v>0</v>
      </c>
      <c r="I1760" s="236" t="s">
        <v>19682</v>
      </c>
    </row>
    <row r="1761" spans="1:9" x14ac:dyDescent="0.25">
      <c r="A1761" s="36">
        <v>42900</v>
      </c>
      <c r="B1761" s="18">
        <v>115862</v>
      </c>
      <c r="C1761" s="235" t="s">
        <v>19677</v>
      </c>
      <c r="D1761" s="236" t="s">
        <v>15332</v>
      </c>
      <c r="E1761" s="15">
        <v>2660</v>
      </c>
      <c r="F1761" s="237">
        <v>42900</v>
      </c>
      <c r="G1761" s="15">
        <v>2660</v>
      </c>
      <c r="H1761" s="15">
        <f t="shared" si="27"/>
        <v>0</v>
      </c>
      <c r="I1761" s="236" t="s">
        <v>19682</v>
      </c>
    </row>
    <row r="1762" spans="1:9" x14ac:dyDescent="0.25">
      <c r="A1762" s="242">
        <v>42900</v>
      </c>
      <c r="B1762" s="18">
        <v>115863</v>
      </c>
      <c r="C1762" s="235" t="s">
        <v>19677</v>
      </c>
      <c r="D1762" s="236" t="s">
        <v>15240</v>
      </c>
      <c r="E1762" s="15">
        <v>126</v>
      </c>
      <c r="F1762" s="237">
        <v>42900</v>
      </c>
      <c r="G1762" s="15">
        <v>126</v>
      </c>
      <c r="H1762" s="15">
        <f t="shared" si="27"/>
        <v>0</v>
      </c>
      <c r="I1762" s="236" t="s">
        <v>19682</v>
      </c>
    </row>
    <row r="1763" spans="1:9" x14ac:dyDescent="0.25">
      <c r="A1763" s="36">
        <v>42900</v>
      </c>
      <c r="B1763" s="18">
        <v>115864</v>
      </c>
      <c r="C1763" s="235" t="s">
        <v>19677</v>
      </c>
      <c r="D1763" s="236" t="s">
        <v>15340</v>
      </c>
      <c r="E1763" s="15">
        <v>7430.4</v>
      </c>
      <c r="F1763" s="237">
        <v>42900</v>
      </c>
      <c r="G1763" s="15">
        <v>7430.4</v>
      </c>
      <c r="H1763" s="15">
        <f t="shared" si="27"/>
        <v>0</v>
      </c>
      <c r="I1763" s="236" t="s">
        <v>19682</v>
      </c>
    </row>
    <row r="1764" spans="1:9" x14ac:dyDescent="0.25">
      <c r="A1764" s="242">
        <v>42900</v>
      </c>
      <c r="B1764" s="18">
        <v>115865</v>
      </c>
      <c r="C1764" s="235" t="s">
        <v>19677</v>
      </c>
      <c r="D1764" s="236" t="s">
        <v>15415</v>
      </c>
      <c r="E1764" s="15">
        <v>3214.4</v>
      </c>
      <c r="F1764" s="237">
        <v>42900</v>
      </c>
      <c r="G1764" s="15">
        <v>3214.4</v>
      </c>
      <c r="H1764" s="15">
        <f t="shared" si="27"/>
        <v>0</v>
      </c>
      <c r="I1764" s="236" t="s">
        <v>19682</v>
      </c>
    </row>
    <row r="1765" spans="1:9" x14ac:dyDescent="0.25">
      <c r="A1765" s="36">
        <v>42900</v>
      </c>
      <c r="B1765" s="18">
        <v>115866</v>
      </c>
      <c r="C1765" s="235" t="s">
        <v>19677</v>
      </c>
      <c r="D1765" s="236" t="s">
        <v>15526</v>
      </c>
      <c r="E1765" s="15">
        <v>4444.6000000000004</v>
      </c>
      <c r="F1765" s="237">
        <v>42900</v>
      </c>
      <c r="G1765" s="15">
        <v>4444.6000000000004</v>
      </c>
      <c r="H1765" s="15">
        <f t="shared" si="27"/>
        <v>0</v>
      </c>
      <c r="I1765" s="236" t="s">
        <v>19682</v>
      </c>
    </row>
    <row r="1766" spans="1:9" x14ac:dyDescent="0.25">
      <c r="A1766" s="242">
        <v>42900</v>
      </c>
      <c r="B1766" s="18">
        <v>115867</v>
      </c>
      <c r="C1766" s="235" t="s">
        <v>19677</v>
      </c>
      <c r="D1766" s="236" t="s">
        <v>15344</v>
      </c>
      <c r="E1766" s="15">
        <v>2773</v>
      </c>
      <c r="F1766" s="237">
        <v>42900</v>
      </c>
      <c r="G1766" s="15">
        <v>2773</v>
      </c>
      <c r="H1766" s="15">
        <f t="shared" si="27"/>
        <v>0</v>
      </c>
      <c r="I1766" s="236" t="s">
        <v>19682</v>
      </c>
    </row>
    <row r="1767" spans="1:9" x14ac:dyDescent="0.25">
      <c r="A1767" s="36">
        <v>42900</v>
      </c>
      <c r="B1767" s="18">
        <v>115868</v>
      </c>
      <c r="C1767" s="235" t="s">
        <v>19677</v>
      </c>
      <c r="D1767" s="236" t="s">
        <v>15263</v>
      </c>
      <c r="E1767" s="15">
        <v>3478.3</v>
      </c>
      <c r="F1767" s="237">
        <v>42900</v>
      </c>
      <c r="G1767" s="15">
        <v>3478.3</v>
      </c>
      <c r="H1767" s="15">
        <f t="shared" si="27"/>
        <v>0</v>
      </c>
      <c r="I1767" s="236" t="s">
        <v>19682</v>
      </c>
    </row>
    <row r="1768" spans="1:9" x14ac:dyDescent="0.25">
      <c r="A1768" s="242">
        <v>42900</v>
      </c>
      <c r="B1768" s="18">
        <v>115869</v>
      </c>
      <c r="C1768" s="235" t="s">
        <v>19677</v>
      </c>
      <c r="D1768" s="236" t="s">
        <v>15324</v>
      </c>
      <c r="E1768" s="15">
        <v>1180</v>
      </c>
      <c r="F1768" s="237">
        <v>42900</v>
      </c>
      <c r="G1768" s="15">
        <v>1180</v>
      </c>
      <c r="H1768" s="15">
        <f t="shared" si="27"/>
        <v>0</v>
      </c>
      <c r="I1768" s="236" t="s">
        <v>19682</v>
      </c>
    </row>
    <row r="1769" spans="1:9" x14ac:dyDescent="0.25">
      <c r="A1769" s="36">
        <v>42900</v>
      </c>
      <c r="B1769" s="18">
        <v>115870</v>
      </c>
      <c r="C1769" s="235" t="s">
        <v>19677</v>
      </c>
      <c r="D1769" s="236" t="s">
        <v>15236</v>
      </c>
      <c r="E1769" s="15">
        <v>3556.8</v>
      </c>
      <c r="F1769" s="237">
        <v>42902</v>
      </c>
      <c r="G1769" s="15">
        <v>3556.8</v>
      </c>
      <c r="H1769" s="15">
        <f t="shared" si="27"/>
        <v>0</v>
      </c>
      <c r="I1769" s="236" t="s">
        <v>19682</v>
      </c>
    </row>
    <row r="1770" spans="1:9" x14ac:dyDescent="0.25">
      <c r="A1770" s="242">
        <v>42900</v>
      </c>
      <c r="B1770" s="18">
        <v>115871</v>
      </c>
      <c r="C1770" s="235" t="s">
        <v>19677</v>
      </c>
      <c r="D1770" s="236" t="s">
        <v>15480</v>
      </c>
      <c r="E1770" s="15">
        <v>112.2</v>
      </c>
      <c r="F1770" s="237">
        <v>42902</v>
      </c>
      <c r="G1770" s="15">
        <v>112.2</v>
      </c>
      <c r="H1770" s="15">
        <f t="shared" si="27"/>
        <v>0</v>
      </c>
      <c r="I1770" s="236" t="s">
        <v>19682</v>
      </c>
    </row>
    <row r="1771" spans="1:9" x14ac:dyDescent="0.25">
      <c r="A1771" s="36">
        <v>42900</v>
      </c>
      <c r="B1771" s="18">
        <v>115872</v>
      </c>
      <c r="C1771" s="235" t="s">
        <v>19677</v>
      </c>
      <c r="D1771" s="236" t="s">
        <v>5575</v>
      </c>
      <c r="E1771" s="15">
        <v>3400.8</v>
      </c>
      <c r="F1771" s="237">
        <v>42902</v>
      </c>
      <c r="G1771" s="15">
        <v>3400.8</v>
      </c>
      <c r="H1771" s="15">
        <f t="shared" si="27"/>
        <v>0</v>
      </c>
      <c r="I1771" s="236" t="s">
        <v>19682</v>
      </c>
    </row>
    <row r="1772" spans="1:9" x14ac:dyDescent="0.25">
      <c r="A1772" s="242">
        <v>42900</v>
      </c>
      <c r="B1772" s="18">
        <v>115873</v>
      </c>
      <c r="C1772" s="235" t="s">
        <v>19677</v>
      </c>
      <c r="D1772" s="236" t="s">
        <v>15258</v>
      </c>
      <c r="E1772" s="15">
        <v>11434.8</v>
      </c>
      <c r="F1772" s="237">
        <v>42903</v>
      </c>
      <c r="G1772" s="15">
        <v>11434.8</v>
      </c>
      <c r="H1772" s="15">
        <f t="shared" si="27"/>
        <v>0</v>
      </c>
      <c r="I1772" s="236" t="s">
        <v>19682</v>
      </c>
    </row>
    <row r="1773" spans="1:9" x14ac:dyDescent="0.25">
      <c r="A1773" s="36">
        <v>42900</v>
      </c>
      <c r="B1773" s="18">
        <v>115874</v>
      </c>
      <c r="C1773" s="235" t="s">
        <v>19677</v>
      </c>
      <c r="D1773" s="236" t="s">
        <v>15246</v>
      </c>
      <c r="E1773" s="15">
        <v>25318.6</v>
      </c>
      <c r="F1773" s="237">
        <v>42903</v>
      </c>
      <c r="G1773" s="15">
        <v>25318.6</v>
      </c>
      <c r="H1773" s="15">
        <f t="shared" si="27"/>
        <v>0</v>
      </c>
      <c r="I1773" s="236" t="s">
        <v>19682</v>
      </c>
    </row>
    <row r="1774" spans="1:9" x14ac:dyDescent="0.25">
      <c r="A1774" s="242">
        <v>42900</v>
      </c>
      <c r="B1774" s="18">
        <v>115875</v>
      </c>
      <c r="C1774" s="235" t="s">
        <v>19677</v>
      </c>
      <c r="D1774" s="236" t="s">
        <v>15230</v>
      </c>
      <c r="E1774" s="15">
        <v>9500.4</v>
      </c>
      <c r="F1774" s="237">
        <v>42905</v>
      </c>
      <c r="G1774" s="15">
        <v>9500.4</v>
      </c>
      <c r="H1774" s="15">
        <f t="shared" si="27"/>
        <v>0</v>
      </c>
      <c r="I1774" s="236" t="s">
        <v>19682</v>
      </c>
    </row>
    <row r="1775" spans="1:9" x14ac:dyDescent="0.25">
      <c r="A1775" s="36">
        <v>42900</v>
      </c>
      <c r="B1775" s="18">
        <v>115876</v>
      </c>
      <c r="C1775" s="235" t="s">
        <v>19677</v>
      </c>
      <c r="D1775" s="236" t="s">
        <v>15252</v>
      </c>
      <c r="E1775" s="15">
        <v>4329.1000000000004</v>
      </c>
      <c r="F1775" s="237">
        <v>42905</v>
      </c>
      <c r="G1775" s="15">
        <v>4329.1000000000004</v>
      </c>
      <c r="H1775" s="15">
        <f t="shared" si="27"/>
        <v>0</v>
      </c>
      <c r="I1775" s="236" t="s">
        <v>19682</v>
      </c>
    </row>
    <row r="1776" spans="1:9" x14ac:dyDescent="0.25">
      <c r="A1776" s="242">
        <v>42900</v>
      </c>
      <c r="B1776" s="18">
        <v>115877</v>
      </c>
      <c r="C1776" s="235" t="s">
        <v>19677</v>
      </c>
      <c r="D1776" s="236" t="s">
        <v>15668</v>
      </c>
      <c r="E1776" s="15">
        <v>10983</v>
      </c>
      <c r="F1776" s="237">
        <v>42901</v>
      </c>
      <c r="G1776" s="15">
        <v>10983</v>
      </c>
      <c r="H1776" s="15">
        <f t="shared" si="27"/>
        <v>0</v>
      </c>
      <c r="I1776" s="236" t="s">
        <v>19682</v>
      </c>
    </row>
    <row r="1777" spans="1:9" x14ac:dyDescent="0.25">
      <c r="A1777" s="36">
        <v>42900</v>
      </c>
      <c r="B1777" s="18">
        <v>115878</v>
      </c>
      <c r="C1777" s="235" t="s">
        <v>19677</v>
      </c>
      <c r="D1777" s="236" t="s">
        <v>15232</v>
      </c>
      <c r="E1777" s="15">
        <v>6583.8</v>
      </c>
      <c r="F1777" s="237">
        <v>42908</v>
      </c>
      <c r="G1777" s="15">
        <v>6583.8</v>
      </c>
      <c r="H1777" s="15">
        <f t="shared" si="27"/>
        <v>0</v>
      </c>
      <c r="I1777" s="236" t="s">
        <v>19682</v>
      </c>
    </row>
    <row r="1778" spans="1:9" x14ac:dyDescent="0.25">
      <c r="A1778" s="242">
        <v>42900</v>
      </c>
      <c r="B1778" s="18">
        <v>115879</v>
      </c>
      <c r="C1778" s="235" t="s">
        <v>19677</v>
      </c>
      <c r="D1778" s="236" t="s">
        <v>16129</v>
      </c>
      <c r="E1778" s="15">
        <v>240</v>
      </c>
      <c r="F1778" s="237">
        <v>42900</v>
      </c>
      <c r="G1778" s="15">
        <v>240</v>
      </c>
      <c r="H1778" s="15">
        <f t="shared" si="27"/>
        <v>0</v>
      </c>
      <c r="I1778" s="236" t="s">
        <v>19682</v>
      </c>
    </row>
    <row r="1779" spans="1:9" x14ac:dyDescent="0.25">
      <c r="A1779" s="36">
        <v>42900</v>
      </c>
      <c r="B1779" s="18">
        <v>115880</v>
      </c>
      <c r="C1779" s="235" t="s">
        <v>19677</v>
      </c>
      <c r="D1779" s="236" t="s">
        <v>17462</v>
      </c>
      <c r="E1779" s="15">
        <v>5815</v>
      </c>
      <c r="F1779" s="237">
        <v>42900</v>
      </c>
      <c r="G1779" s="15">
        <v>5815</v>
      </c>
      <c r="H1779" s="15">
        <f t="shared" si="27"/>
        <v>0</v>
      </c>
      <c r="I1779" s="236" t="s">
        <v>19682</v>
      </c>
    </row>
    <row r="1780" spans="1:9" x14ac:dyDescent="0.25">
      <c r="A1780" s="242">
        <v>42900</v>
      </c>
      <c r="B1780" s="18">
        <v>115881</v>
      </c>
      <c r="C1780" s="235" t="s">
        <v>19677</v>
      </c>
      <c r="D1780" s="236" t="s">
        <v>15242</v>
      </c>
      <c r="E1780" s="15">
        <v>7081.2</v>
      </c>
      <c r="F1780" s="237">
        <v>42900</v>
      </c>
      <c r="G1780" s="15">
        <v>7081.2</v>
      </c>
      <c r="H1780" s="15">
        <f t="shared" si="27"/>
        <v>0</v>
      </c>
      <c r="I1780" s="236" t="s">
        <v>19682</v>
      </c>
    </row>
    <row r="1781" spans="1:9" x14ac:dyDescent="0.25">
      <c r="A1781" s="36">
        <v>42900</v>
      </c>
      <c r="B1781" s="18">
        <v>115882</v>
      </c>
      <c r="C1781" s="235" t="s">
        <v>19677</v>
      </c>
      <c r="D1781" s="236" t="s">
        <v>15226</v>
      </c>
      <c r="E1781" s="15">
        <v>1393.8</v>
      </c>
      <c r="F1781" s="237">
        <v>42905</v>
      </c>
      <c r="G1781" s="15">
        <v>1393.8</v>
      </c>
      <c r="H1781" s="15">
        <f t="shared" si="27"/>
        <v>0</v>
      </c>
      <c r="I1781" s="236" t="s">
        <v>19682</v>
      </c>
    </row>
    <row r="1782" spans="1:9" x14ac:dyDescent="0.25">
      <c r="A1782" s="242">
        <v>42900</v>
      </c>
      <c r="B1782" s="18">
        <v>115883</v>
      </c>
      <c r="C1782" s="235" t="s">
        <v>19677</v>
      </c>
      <c r="D1782" s="236" t="s">
        <v>15244</v>
      </c>
      <c r="E1782" s="15">
        <v>12815.6</v>
      </c>
      <c r="F1782" s="237">
        <v>42908</v>
      </c>
      <c r="G1782" s="15">
        <v>12815.6</v>
      </c>
      <c r="H1782" s="15">
        <f t="shared" si="27"/>
        <v>0</v>
      </c>
      <c r="I1782" s="236" t="s">
        <v>19682</v>
      </c>
    </row>
    <row r="1783" spans="1:9" x14ac:dyDescent="0.25">
      <c r="A1783" s="36">
        <v>42900</v>
      </c>
      <c r="B1783" s="18">
        <v>115884</v>
      </c>
      <c r="C1783" s="235" t="s">
        <v>19677</v>
      </c>
      <c r="D1783" s="236" t="s">
        <v>15541</v>
      </c>
      <c r="E1783" s="15">
        <v>775.5</v>
      </c>
      <c r="F1783" s="237">
        <v>42900</v>
      </c>
      <c r="G1783" s="15">
        <v>775.5</v>
      </c>
      <c r="H1783" s="15">
        <f t="shared" si="27"/>
        <v>0</v>
      </c>
      <c r="I1783" s="236" t="s">
        <v>19682</v>
      </c>
    </row>
    <row r="1784" spans="1:9" x14ac:dyDescent="0.25">
      <c r="A1784" s="242">
        <v>42900</v>
      </c>
      <c r="B1784" s="18">
        <v>115885</v>
      </c>
      <c r="C1784" s="235" t="s">
        <v>19677</v>
      </c>
      <c r="D1784" s="236" t="s">
        <v>15338</v>
      </c>
      <c r="E1784" s="15">
        <v>9521.7999999999993</v>
      </c>
      <c r="F1784" s="237">
        <v>42905</v>
      </c>
      <c r="G1784" s="15">
        <v>9521.7999999999993</v>
      </c>
      <c r="H1784" s="15">
        <f t="shared" si="27"/>
        <v>0</v>
      </c>
      <c r="I1784" s="236" t="s">
        <v>19682</v>
      </c>
    </row>
    <row r="1785" spans="1:9" x14ac:dyDescent="0.25">
      <c r="A1785" s="36">
        <v>42900</v>
      </c>
      <c r="B1785" s="18">
        <v>115886</v>
      </c>
      <c r="C1785" s="235" t="s">
        <v>19677</v>
      </c>
      <c r="D1785" s="236" t="s">
        <v>15284</v>
      </c>
      <c r="E1785" s="15">
        <v>1880</v>
      </c>
      <c r="F1785" s="237">
        <v>42900</v>
      </c>
      <c r="G1785" s="15">
        <v>1880</v>
      </c>
      <c r="H1785" s="15">
        <f t="shared" si="27"/>
        <v>0</v>
      </c>
      <c r="I1785" s="236" t="s">
        <v>19682</v>
      </c>
    </row>
    <row r="1786" spans="1:9" x14ac:dyDescent="0.25">
      <c r="A1786" s="242">
        <v>42900</v>
      </c>
      <c r="B1786" s="18">
        <v>115887</v>
      </c>
      <c r="C1786" s="235" t="s">
        <v>19677</v>
      </c>
      <c r="D1786" s="236" t="s">
        <v>15272</v>
      </c>
      <c r="E1786" s="15">
        <v>16008.7</v>
      </c>
      <c r="F1786" s="237">
        <v>42900</v>
      </c>
      <c r="G1786" s="15">
        <v>16008.7</v>
      </c>
      <c r="H1786" s="15">
        <f t="shared" si="27"/>
        <v>0</v>
      </c>
      <c r="I1786" s="236" t="s">
        <v>19682</v>
      </c>
    </row>
    <row r="1787" spans="1:9" x14ac:dyDescent="0.25">
      <c r="A1787" s="36">
        <v>42900</v>
      </c>
      <c r="B1787" s="18">
        <v>115888</v>
      </c>
      <c r="C1787" s="235" t="s">
        <v>19677</v>
      </c>
      <c r="D1787" s="236" t="s">
        <v>15256</v>
      </c>
      <c r="E1787" s="15">
        <v>2081.1999999999998</v>
      </c>
      <c r="F1787" s="237">
        <v>42901</v>
      </c>
      <c r="G1787" s="15">
        <v>2081.1999999999998</v>
      </c>
      <c r="H1787" s="15">
        <f t="shared" si="27"/>
        <v>0</v>
      </c>
      <c r="I1787" s="236" t="s">
        <v>19682</v>
      </c>
    </row>
    <row r="1788" spans="1:9" x14ac:dyDescent="0.25">
      <c r="A1788" s="242">
        <v>42900</v>
      </c>
      <c r="B1788" s="18">
        <v>115889</v>
      </c>
      <c r="C1788" s="235" t="s">
        <v>19677</v>
      </c>
      <c r="D1788" s="236" t="s">
        <v>15246</v>
      </c>
      <c r="E1788" s="15">
        <v>14209.8</v>
      </c>
      <c r="F1788" s="237">
        <v>42903</v>
      </c>
      <c r="G1788" s="15">
        <v>14209.8</v>
      </c>
      <c r="H1788" s="15">
        <f t="shared" si="27"/>
        <v>0</v>
      </c>
      <c r="I1788" s="236" t="s">
        <v>19682</v>
      </c>
    </row>
    <row r="1789" spans="1:9" x14ac:dyDescent="0.25">
      <c r="A1789" s="36">
        <v>42900</v>
      </c>
      <c r="B1789" s="18">
        <v>115890</v>
      </c>
      <c r="C1789" s="235" t="s">
        <v>19677</v>
      </c>
      <c r="D1789" s="236" t="s">
        <v>15387</v>
      </c>
      <c r="E1789" s="15">
        <v>2182.3000000000002</v>
      </c>
      <c r="F1789" s="237">
        <v>42902</v>
      </c>
      <c r="G1789" s="15">
        <v>2182.3000000000002</v>
      </c>
      <c r="H1789" s="15">
        <f t="shared" si="27"/>
        <v>0</v>
      </c>
      <c r="I1789" s="236" t="s">
        <v>19682</v>
      </c>
    </row>
    <row r="1790" spans="1:9" x14ac:dyDescent="0.25">
      <c r="A1790" s="242">
        <v>42900</v>
      </c>
      <c r="B1790" s="18">
        <v>115891</v>
      </c>
      <c r="C1790" s="235" t="s">
        <v>19677</v>
      </c>
      <c r="D1790" s="236" t="s">
        <v>19549</v>
      </c>
      <c r="E1790" s="15">
        <v>12109.8</v>
      </c>
      <c r="F1790" s="237">
        <v>42901</v>
      </c>
      <c r="G1790" s="15">
        <v>12109.8</v>
      </c>
      <c r="H1790" s="15">
        <f t="shared" si="27"/>
        <v>0</v>
      </c>
      <c r="I1790" s="236" t="s">
        <v>19682</v>
      </c>
    </row>
    <row r="1791" spans="1:9" x14ac:dyDescent="0.25">
      <c r="A1791" s="36">
        <v>42900</v>
      </c>
      <c r="B1791" s="18">
        <v>115892</v>
      </c>
      <c r="C1791" s="235" t="s">
        <v>19677</v>
      </c>
      <c r="D1791" s="236" t="s">
        <v>15373</v>
      </c>
      <c r="E1791" s="15">
        <v>9741.6</v>
      </c>
      <c r="F1791" s="237">
        <v>42901</v>
      </c>
      <c r="G1791" s="15">
        <v>9741.6</v>
      </c>
      <c r="H1791" s="15">
        <f t="shared" si="27"/>
        <v>0</v>
      </c>
      <c r="I1791" s="236" t="s">
        <v>19682</v>
      </c>
    </row>
    <row r="1792" spans="1:9" ht="15.75" x14ac:dyDescent="0.25">
      <c r="A1792" s="242">
        <v>42900</v>
      </c>
      <c r="B1792" s="18">
        <v>115893</v>
      </c>
      <c r="C1792" s="235" t="s">
        <v>19677</v>
      </c>
      <c r="D1792" s="248" t="s">
        <v>95</v>
      </c>
      <c r="E1792" s="15">
        <v>0</v>
      </c>
      <c r="F1792" s="243" t="s">
        <v>95</v>
      </c>
      <c r="G1792" s="15">
        <v>0</v>
      </c>
      <c r="H1792" s="15">
        <f t="shared" si="27"/>
        <v>0</v>
      </c>
      <c r="I1792" s="236" t="s">
        <v>19678</v>
      </c>
    </row>
    <row r="1793" spans="1:9" x14ac:dyDescent="0.25">
      <c r="A1793" s="36">
        <v>42900</v>
      </c>
      <c r="B1793" s="18">
        <v>115894</v>
      </c>
      <c r="C1793" s="235" t="s">
        <v>19677</v>
      </c>
      <c r="D1793" s="236" t="s">
        <v>15549</v>
      </c>
      <c r="E1793" s="15">
        <v>5764.5</v>
      </c>
      <c r="F1793" s="237">
        <v>42900</v>
      </c>
      <c r="G1793" s="15">
        <v>5764.5</v>
      </c>
      <c r="H1793" s="15">
        <f t="shared" si="27"/>
        <v>0</v>
      </c>
      <c r="I1793" s="236" t="s">
        <v>19682</v>
      </c>
    </row>
    <row r="1794" spans="1:9" x14ac:dyDescent="0.25">
      <c r="A1794" s="242">
        <v>42900</v>
      </c>
      <c r="B1794" s="18">
        <v>115895</v>
      </c>
      <c r="C1794" s="235" t="s">
        <v>19677</v>
      </c>
      <c r="D1794" s="236" t="s">
        <v>16116</v>
      </c>
      <c r="E1794" s="15">
        <v>27322.12</v>
      </c>
      <c r="F1794" s="237">
        <v>42900</v>
      </c>
      <c r="G1794" s="15">
        <v>27322.12</v>
      </c>
      <c r="H1794" s="15">
        <f t="shared" ref="H1794:H1857" si="28">E1794-G1794</f>
        <v>0</v>
      </c>
      <c r="I1794" s="236" t="s">
        <v>19682</v>
      </c>
    </row>
    <row r="1795" spans="1:9" x14ac:dyDescent="0.25">
      <c r="A1795" s="36">
        <v>42900</v>
      </c>
      <c r="B1795" s="18">
        <v>115896</v>
      </c>
      <c r="C1795" s="235" t="s">
        <v>19677</v>
      </c>
      <c r="D1795" s="236" t="s">
        <v>15394</v>
      </c>
      <c r="E1795" s="15">
        <v>25134.400000000001</v>
      </c>
      <c r="F1795" s="237">
        <v>42906</v>
      </c>
      <c r="G1795" s="15">
        <v>25134.400000000001</v>
      </c>
      <c r="H1795" s="15">
        <f t="shared" si="28"/>
        <v>0</v>
      </c>
      <c r="I1795" s="236" t="s">
        <v>19682</v>
      </c>
    </row>
    <row r="1796" spans="1:9" x14ac:dyDescent="0.25">
      <c r="A1796" s="242">
        <v>42900</v>
      </c>
      <c r="B1796" s="18">
        <v>115897</v>
      </c>
      <c r="C1796" s="235" t="s">
        <v>19677</v>
      </c>
      <c r="D1796" s="236" t="s">
        <v>15248</v>
      </c>
      <c r="E1796" s="15">
        <v>20628.099999999999</v>
      </c>
      <c r="F1796" s="237">
        <v>42900</v>
      </c>
      <c r="G1796" s="15">
        <v>20628.099999999999</v>
      </c>
      <c r="H1796" s="15">
        <f t="shared" si="28"/>
        <v>0</v>
      </c>
      <c r="I1796" s="236" t="s">
        <v>19682</v>
      </c>
    </row>
    <row r="1797" spans="1:9" x14ac:dyDescent="0.25">
      <c r="A1797" s="36">
        <v>42900</v>
      </c>
      <c r="B1797" s="18">
        <v>115898</v>
      </c>
      <c r="C1797" s="235" t="s">
        <v>19677</v>
      </c>
      <c r="D1797" s="236" t="s">
        <v>15280</v>
      </c>
      <c r="E1797" s="15">
        <v>5232.8</v>
      </c>
      <c r="F1797" s="237">
        <v>42900</v>
      </c>
      <c r="G1797" s="15">
        <v>5232.8</v>
      </c>
      <c r="H1797" s="15">
        <f t="shared" si="28"/>
        <v>0</v>
      </c>
      <c r="I1797" s="236" t="s">
        <v>19682</v>
      </c>
    </row>
    <row r="1798" spans="1:9" x14ac:dyDescent="0.25">
      <c r="A1798" s="242">
        <v>42900</v>
      </c>
      <c r="B1798" s="18">
        <v>115899</v>
      </c>
      <c r="C1798" s="235" t="s">
        <v>19677</v>
      </c>
      <c r="D1798" s="236" t="s">
        <v>15223</v>
      </c>
      <c r="E1798" s="15">
        <v>47379.6</v>
      </c>
      <c r="F1798" s="266">
        <v>42920</v>
      </c>
      <c r="G1798" s="35">
        <v>47379.6</v>
      </c>
      <c r="H1798" s="15">
        <f t="shared" si="28"/>
        <v>0</v>
      </c>
      <c r="I1798" s="236" t="s">
        <v>19682</v>
      </c>
    </row>
    <row r="1799" spans="1:9" x14ac:dyDescent="0.25">
      <c r="A1799" s="36">
        <v>42900</v>
      </c>
      <c r="B1799" s="18">
        <v>115900</v>
      </c>
      <c r="C1799" s="235" t="s">
        <v>19677</v>
      </c>
      <c r="D1799" s="236" t="s">
        <v>15594</v>
      </c>
      <c r="E1799" s="15">
        <v>2106</v>
      </c>
      <c r="F1799" s="237">
        <v>42902</v>
      </c>
      <c r="G1799" s="15">
        <v>2106</v>
      </c>
      <c r="H1799" s="15">
        <f t="shared" si="28"/>
        <v>0</v>
      </c>
      <c r="I1799" s="236" t="s">
        <v>19682</v>
      </c>
    </row>
    <row r="1800" spans="1:9" x14ac:dyDescent="0.25">
      <c r="A1800" s="242">
        <v>42900</v>
      </c>
      <c r="B1800" s="18">
        <v>115901</v>
      </c>
      <c r="C1800" s="235" t="s">
        <v>19677</v>
      </c>
      <c r="D1800" s="236" t="s">
        <v>17862</v>
      </c>
      <c r="E1800" s="15">
        <v>3136</v>
      </c>
      <c r="F1800" s="237">
        <v>42902</v>
      </c>
      <c r="G1800" s="15">
        <v>3136</v>
      </c>
      <c r="H1800" s="15">
        <f t="shared" si="28"/>
        <v>0</v>
      </c>
      <c r="I1800" s="236" t="s">
        <v>19682</v>
      </c>
    </row>
    <row r="1801" spans="1:9" x14ac:dyDescent="0.25">
      <c r="A1801" s="36">
        <v>42900</v>
      </c>
      <c r="B1801" s="18">
        <v>115902</v>
      </c>
      <c r="C1801" s="235" t="s">
        <v>19677</v>
      </c>
      <c r="D1801" s="236" t="s">
        <v>15282</v>
      </c>
      <c r="E1801" s="15">
        <v>2456.4</v>
      </c>
      <c r="F1801" s="237">
        <v>42900</v>
      </c>
      <c r="G1801" s="15">
        <v>2456.4</v>
      </c>
      <c r="H1801" s="15">
        <f t="shared" si="28"/>
        <v>0</v>
      </c>
      <c r="I1801" s="236" t="s">
        <v>19682</v>
      </c>
    </row>
    <row r="1802" spans="1:9" x14ac:dyDescent="0.25">
      <c r="A1802" s="242">
        <v>42900</v>
      </c>
      <c r="B1802" s="18">
        <v>115903</v>
      </c>
      <c r="C1802" s="235" t="s">
        <v>19677</v>
      </c>
      <c r="D1802" s="236" t="s">
        <v>15278</v>
      </c>
      <c r="E1802" s="15">
        <v>9093.26</v>
      </c>
      <c r="F1802" s="237">
        <v>42900</v>
      </c>
      <c r="G1802" s="15">
        <v>9093.26</v>
      </c>
      <c r="H1802" s="15">
        <f t="shared" si="28"/>
        <v>0</v>
      </c>
      <c r="I1802" s="236" t="s">
        <v>19682</v>
      </c>
    </row>
    <row r="1803" spans="1:9" x14ac:dyDescent="0.25">
      <c r="A1803" s="36">
        <v>42900</v>
      </c>
      <c r="B1803" s="18">
        <v>115904</v>
      </c>
      <c r="C1803" s="235" t="s">
        <v>19677</v>
      </c>
      <c r="D1803" s="236" t="s">
        <v>15326</v>
      </c>
      <c r="E1803" s="15">
        <v>2487.1999999999998</v>
      </c>
      <c r="F1803" s="237">
        <v>42900</v>
      </c>
      <c r="G1803" s="15">
        <v>2487.1999999999998</v>
      </c>
      <c r="H1803" s="15">
        <f t="shared" si="28"/>
        <v>0</v>
      </c>
      <c r="I1803" s="236" t="s">
        <v>19682</v>
      </c>
    </row>
    <row r="1804" spans="1:9" ht="15.75" x14ac:dyDescent="0.25">
      <c r="A1804" s="242">
        <v>42900</v>
      </c>
      <c r="B1804" s="18">
        <v>115905</v>
      </c>
      <c r="C1804" s="235" t="s">
        <v>19677</v>
      </c>
      <c r="D1804" s="248" t="s">
        <v>95</v>
      </c>
      <c r="E1804" s="15">
        <v>0</v>
      </c>
      <c r="F1804" s="243" t="s">
        <v>95</v>
      </c>
      <c r="G1804" s="15">
        <v>0</v>
      </c>
      <c r="H1804" s="15">
        <f t="shared" si="28"/>
        <v>0</v>
      </c>
      <c r="I1804" s="236" t="s">
        <v>19678</v>
      </c>
    </row>
    <row r="1805" spans="1:9" x14ac:dyDescent="0.25">
      <c r="A1805" s="36">
        <v>42900</v>
      </c>
      <c r="B1805" s="18">
        <v>115906</v>
      </c>
      <c r="C1805" s="235" t="s">
        <v>19677</v>
      </c>
      <c r="D1805" s="236" t="s">
        <v>15391</v>
      </c>
      <c r="E1805" s="15">
        <v>5732.4</v>
      </c>
      <c r="F1805" s="237">
        <v>42901</v>
      </c>
      <c r="G1805" s="15">
        <v>5732.4</v>
      </c>
      <c r="H1805" s="15">
        <f t="shared" si="28"/>
        <v>0</v>
      </c>
      <c r="I1805" s="236" t="s">
        <v>19682</v>
      </c>
    </row>
    <row r="1806" spans="1:9" x14ac:dyDescent="0.25">
      <c r="A1806" s="242">
        <v>42900</v>
      </c>
      <c r="B1806" s="18">
        <v>115907</v>
      </c>
      <c r="C1806" s="235" t="s">
        <v>19677</v>
      </c>
      <c r="D1806" s="236" t="s">
        <v>15378</v>
      </c>
      <c r="E1806" s="15">
        <v>4992</v>
      </c>
      <c r="F1806" s="237">
        <v>42905</v>
      </c>
      <c r="G1806" s="15">
        <v>4992</v>
      </c>
      <c r="H1806" s="15">
        <f t="shared" si="28"/>
        <v>0</v>
      </c>
      <c r="I1806" s="236" t="s">
        <v>19682</v>
      </c>
    </row>
    <row r="1807" spans="1:9" x14ac:dyDescent="0.25">
      <c r="A1807" s="36">
        <v>42900</v>
      </c>
      <c r="B1807" s="18">
        <v>115908</v>
      </c>
      <c r="C1807" s="235" t="s">
        <v>19677</v>
      </c>
      <c r="D1807" s="236" t="s">
        <v>15378</v>
      </c>
      <c r="E1807" s="15">
        <v>2082.5</v>
      </c>
      <c r="F1807" s="237">
        <v>42905</v>
      </c>
      <c r="G1807" s="15">
        <v>2082.5</v>
      </c>
      <c r="H1807" s="15">
        <f t="shared" si="28"/>
        <v>0</v>
      </c>
      <c r="I1807" s="236" t="s">
        <v>19682</v>
      </c>
    </row>
    <row r="1808" spans="1:9" x14ac:dyDescent="0.25">
      <c r="A1808" s="242">
        <v>42900</v>
      </c>
      <c r="B1808" s="18">
        <v>115909</v>
      </c>
      <c r="C1808" s="235" t="s">
        <v>19677</v>
      </c>
      <c r="D1808" s="236" t="s">
        <v>15298</v>
      </c>
      <c r="E1808" s="15">
        <v>2680.6</v>
      </c>
      <c r="F1808" s="237">
        <v>42900</v>
      </c>
      <c r="G1808" s="15">
        <v>2680.6</v>
      </c>
      <c r="H1808" s="15">
        <f t="shared" si="28"/>
        <v>0</v>
      </c>
      <c r="I1808" s="236" t="s">
        <v>19682</v>
      </c>
    </row>
    <row r="1809" spans="1:9" x14ac:dyDescent="0.25">
      <c r="A1809" s="36">
        <v>42900</v>
      </c>
      <c r="B1809" s="18">
        <v>115910</v>
      </c>
      <c r="C1809" s="235" t="s">
        <v>19677</v>
      </c>
      <c r="D1809" s="236" t="s">
        <v>17708</v>
      </c>
      <c r="E1809" s="15">
        <v>2703</v>
      </c>
      <c r="F1809" s="237">
        <v>42902</v>
      </c>
      <c r="G1809" s="15">
        <v>2703</v>
      </c>
      <c r="H1809" s="15">
        <f t="shared" si="28"/>
        <v>0</v>
      </c>
      <c r="I1809" s="236" t="s">
        <v>19682</v>
      </c>
    </row>
    <row r="1810" spans="1:9" x14ac:dyDescent="0.25">
      <c r="A1810" s="242">
        <v>42900</v>
      </c>
      <c r="B1810" s="18">
        <v>115911</v>
      </c>
      <c r="C1810" s="235" t="s">
        <v>19677</v>
      </c>
      <c r="D1810" s="236" t="s">
        <v>15530</v>
      </c>
      <c r="E1810" s="15">
        <v>3380</v>
      </c>
      <c r="F1810" s="237">
        <v>42900</v>
      </c>
      <c r="G1810" s="15">
        <v>3380</v>
      </c>
      <c r="H1810" s="15">
        <f t="shared" si="28"/>
        <v>0</v>
      </c>
      <c r="I1810" s="236" t="s">
        <v>19682</v>
      </c>
    </row>
    <row r="1811" spans="1:9" x14ac:dyDescent="0.25">
      <c r="A1811" s="36">
        <v>42900</v>
      </c>
      <c r="B1811" s="18">
        <v>115912</v>
      </c>
      <c r="C1811" s="235" t="s">
        <v>19677</v>
      </c>
      <c r="D1811" s="236" t="s">
        <v>15363</v>
      </c>
      <c r="E1811" s="15">
        <v>1968.6</v>
      </c>
      <c r="F1811" s="237">
        <v>42902</v>
      </c>
      <c r="G1811" s="15">
        <v>1968.6</v>
      </c>
      <c r="H1811" s="15">
        <f t="shared" si="28"/>
        <v>0</v>
      </c>
      <c r="I1811" s="236" t="s">
        <v>19682</v>
      </c>
    </row>
    <row r="1812" spans="1:9" x14ac:dyDescent="0.25">
      <c r="A1812" s="242">
        <v>42900</v>
      </c>
      <c r="B1812" s="18">
        <v>115913</v>
      </c>
      <c r="C1812" s="235" t="s">
        <v>19677</v>
      </c>
      <c r="D1812" s="236" t="s">
        <v>17277</v>
      </c>
      <c r="E1812" s="15">
        <v>2991</v>
      </c>
      <c r="F1812" s="237">
        <v>42900</v>
      </c>
      <c r="G1812" s="15">
        <v>2991</v>
      </c>
      <c r="H1812" s="15">
        <f t="shared" si="28"/>
        <v>0</v>
      </c>
      <c r="I1812" s="236" t="s">
        <v>19682</v>
      </c>
    </row>
    <row r="1813" spans="1:9" x14ac:dyDescent="0.25">
      <c r="A1813" s="36">
        <v>42900</v>
      </c>
      <c r="B1813" s="18">
        <v>115914</v>
      </c>
      <c r="C1813" s="235" t="s">
        <v>19677</v>
      </c>
      <c r="D1813" s="236" t="s">
        <v>15856</v>
      </c>
      <c r="E1813" s="15">
        <v>1307.5999999999999</v>
      </c>
      <c r="F1813" s="237">
        <v>42902</v>
      </c>
      <c r="G1813" s="15">
        <v>1307.5999999999999</v>
      </c>
      <c r="H1813" s="15">
        <f t="shared" si="28"/>
        <v>0</v>
      </c>
      <c r="I1813" s="236" t="s">
        <v>19682</v>
      </c>
    </row>
    <row r="1814" spans="1:9" x14ac:dyDescent="0.25">
      <c r="A1814" s="242">
        <v>42900</v>
      </c>
      <c r="B1814" s="18">
        <v>115915</v>
      </c>
      <c r="C1814" s="235" t="s">
        <v>19677</v>
      </c>
      <c r="D1814" s="236" t="s">
        <v>15568</v>
      </c>
      <c r="E1814" s="15">
        <v>7264</v>
      </c>
      <c r="F1814" s="237">
        <v>42902</v>
      </c>
      <c r="G1814" s="15">
        <v>7264</v>
      </c>
      <c r="H1814" s="15">
        <f t="shared" si="28"/>
        <v>0</v>
      </c>
      <c r="I1814" s="236" t="s">
        <v>19682</v>
      </c>
    </row>
    <row r="1815" spans="1:9" x14ac:dyDescent="0.25">
      <c r="A1815" s="36">
        <v>42900</v>
      </c>
      <c r="B1815" s="18">
        <v>115916</v>
      </c>
      <c r="C1815" s="235" t="s">
        <v>19677</v>
      </c>
      <c r="D1815" s="236" t="s">
        <v>15315</v>
      </c>
      <c r="E1815" s="15">
        <v>625.1</v>
      </c>
      <c r="F1815" s="237">
        <v>42901</v>
      </c>
      <c r="G1815" s="15">
        <v>625.1</v>
      </c>
      <c r="H1815" s="15">
        <f t="shared" si="28"/>
        <v>0</v>
      </c>
      <c r="I1815" s="236" t="s">
        <v>19682</v>
      </c>
    </row>
    <row r="1816" spans="1:9" x14ac:dyDescent="0.25">
      <c r="A1816" s="242">
        <v>42900</v>
      </c>
      <c r="B1816" s="18">
        <v>115917</v>
      </c>
      <c r="C1816" s="235" t="s">
        <v>19677</v>
      </c>
      <c r="D1816" s="236" t="s">
        <v>15246</v>
      </c>
      <c r="E1816" s="15">
        <v>13716.7</v>
      </c>
      <c r="F1816" s="237">
        <v>42903</v>
      </c>
      <c r="G1816" s="15">
        <v>13716.7</v>
      </c>
      <c r="H1816" s="15">
        <f t="shared" si="28"/>
        <v>0</v>
      </c>
      <c r="I1816" s="236" t="s">
        <v>19682</v>
      </c>
    </row>
    <row r="1817" spans="1:9" x14ac:dyDescent="0.25">
      <c r="A1817" s="36">
        <v>42900</v>
      </c>
      <c r="B1817" s="18">
        <v>115918</v>
      </c>
      <c r="C1817" s="235" t="s">
        <v>19677</v>
      </c>
      <c r="D1817" s="236" t="s">
        <v>15380</v>
      </c>
      <c r="E1817" s="15">
        <v>32582.400000000001</v>
      </c>
      <c r="F1817" s="237">
        <v>42916</v>
      </c>
      <c r="G1817" s="15">
        <v>32582.400000000001</v>
      </c>
      <c r="H1817" s="15">
        <f t="shared" si="28"/>
        <v>0</v>
      </c>
      <c r="I1817" s="236" t="s">
        <v>19682</v>
      </c>
    </row>
    <row r="1818" spans="1:9" x14ac:dyDescent="0.25">
      <c r="A1818" s="242">
        <v>42900</v>
      </c>
      <c r="B1818" s="18">
        <v>115919</v>
      </c>
      <c r="C1818" s="235" t="s">
        <v>19677</v>
      </c>
      <c r="D1818" s="236" t="s">
        <v>15382</v>
      </c>
      <c r="E1818" s="15">
        <v>11610</v>
      </c>
      <c r="F1818" s="237">
        <v>42916</v>
      </c>
      <c r="G1818" s="15">
        <v>11610</v>
      </c>
      <c r="H1818" s="15">
        <f t="shared" si="28"/>
        <v>0</v>
      </c>
      <c r="I1818" s="236" t="s">
        <v>19682</v>
      </c>
    </row>
    <row r="1819" spans="1:9" x14ac:dyDescent="0.25">
      <c r="A1819" s="36">
        <v>42900</v>
      </c>
      <c r="B1819" s="18">
        <v>115920</v>
      </c>
      <c r="C1819" s="235" t="s">
        <v>19677</v>
      </c>
      <c r="D1819" s="236" t="s">
        <v>15389</v>
      </c>
      <c r="E1819" s="15">
        <v>6858.6</v>
      </c>
      <c r="F1819" s="237">
        <v>42916</v>
      </c>
      <c r="G1819" s="15">
        <v>6858.6</v>
      </c>
      <c r="H1819" s="15">
        <f t="shared" si="28"/>
        <v>0</v>
      </c>
      <c r="I1819" s="236" t="s">
        <v>19682</v>
      </c>
    </row>
    <row r="1820" spans="1:9" x14ac:dyDescent="0.25">
      <c r="A1820" s="242">
        <v>42900</v>
      </c>
      <c r="B1820" s="18">
        <v>115921</v>
      </c>
      <c r="C1820" s="235" t="s">
        <v>19677</v>
      </c>
      <c r="D1820" s="236" t="s">
        <v>15369</v>
      </c>
      <c r="E1820" s="15">
        <v>25239.200000000001</v>
      </c>
      <c r="F1820" s="237">
        <v>42916</v>
      </c>
      <c r="G1820" s="15">
        <v>25239.200000000001</v>
      </c>
      <c r="H1820" s="15">
        <f t="shared" si="28"/>
        <v>0</v>
      </c>
      <c r="I1820" s="236" t="s">
        <v>19682</v>
      </c>
    </row>
    <row r="1821" spans="1:9" x14ac:dyDescent="0.25">
      <c r="A1821" s="36">
        <v>42900</v>
      </c>
      <c r="B1821" s="18">
        <v>115922</v>
      </c>
      <c r="C1821" s="235" t="s">
        <v>19677</v>
      </c>
      <c r="D1821" s="236" t="s">
        <v>15301</v>
      </c>
      <c r="E1821" s="15">
        <v>3445</v>
      </c>
      <c r="F1821" s="237">
        <v>42901</v>
      </c>
      <c r="G1821" s="15">
        <v>3445</v>
      </c>
      <c r="H1821" s="15">
        <f t="shared" si="28"/>
        <v>0</v>
      </c>
      <c r="I1821" s="236" t="s">
        <v>19682</v>
      </c>
    </row>
    <row r="1822" spans="1:9" x14ac:dyDescent="0.25">
      <c r="A1822" s="242">
        <v>42900</v>
      </c>
      <c r="B1822" s="18">
        <v>115923</v>
      </c>
      <c r="C1822" s="235" t="s">
        <v>19677</v>
      </c>
      <c r="D1822" s="236" t="s">
        <v>15328</v>
      </c>
      <c r="E1822" s="15">
        <v>43813.1</v>
      </c>
      <c r="F1822" s="237">
        <v>42909</v>
      </c>
      <c r="G1822" s="15">
        <v>43813.1</v>
      </c>
      <c r="H1822" s="15">
        <f t="shared" si="28"/>
        <v>0</v>
      </c>
      <c r="I1822" s="236" t="s">
        <v>19682</v>
      </c>
    </row>
    <row r="1823" spans="1:9" x14ac:dyDescent="0.25">
      <c r="A1823" s="36">
        <v>42900</v>
      </c>
      <c r="B1823" s="18">
        <v>115924</v>
      </c>
      <c r="C1823" s="235" t="s">
        <v>19677</v>
      </c>
      <c r="D1823" s="236" t="s">
        <v>17722</v>
      </c>
      <c r="E1823" s="15">
        <v>3150.7</v>
      </c>
      <c r="F1823" s="237">
        <v>42900</v>
      </c>
      <c r="G1823" s="15">
        <v>3150.7</v>
      </c>
      <c r="H1823" s="15">
        <f t="shared" si="28"/>
        <v>0</v>
      </c>
      <c r="I1823" s="236" t="s">
        <v>19682</v>
      </c>
    </row>
    <row r="1824" spans="1:9" x14ac:dyDescent="0.25">
      <c r="A1824" s="242">
        <v>42900</v>
      </c>
      <c r="B1824" s="18">
        <v>115925</v>
      </c>
      <c r="C1824" s="235" t="s">
        <v>19677</v>
      </c>
      <c r="D1824" s="236" t="s">
        <v>15759</v>
      </c>
      <c r="E1824" s="15">
        <v>4994.6000000000004</v>
      </c>
      <c r="F1824" s="237">
        <v>42901</v>
      </c>
      <c r="G1824" s="15">
        <v>4994.6000000000004</v>
      </c>
      <c r="H1824" s="15">
        <f t="shared" si="28"/>
        <v>0</v>
      </c>
      <c r="I1824" s="236" t="s">
        <v>19682</v>
      </c>
    </row>
    <row r="1825" spans="1:9" x14ac:dyDescent="0.25">
      <c r="A1825" s="36">
        <v>42900</v>
      </c>
      <c r="B1825" s="18">
        <v>115926</v>
      </c>
      <c r="C1825" s="235" t="s">
        <v>19677</v>
      </c>
      <c r="D1825" s="236" t="s">
        <v>17235</v>
      </c>
      <c r="E1825" s="15">
        <v>2227.4</v>
      </c>
      <c r="F1825" s="237">
        <v>42901</v>
      </c>
      <c r="G1825" s="15">
        <v>2227.4</v>
      </c>
      <c r="H1825" s="15">
        <f t="shared" si="28"/>
        <v>0</v>
      </c>
      <c r="I1825" s="236" t="s">
        <v>19682</v>
      </c>
    </row>
    <row r="1826" spans="1:9" x14ac:dyDescent="0.25">
      <c r="A1826" s="242">
        <v>42900</v>
      </c>
      <c r="B1826" s="18">
        <v>115927</v>
      </c>
      <c r="C1826" s="235" t="s">
        <v>19677</v>
      </c>
      <c r="D1826" s="236" t="s">
        <v>15309</v>
      </c>
      <c r="E1826" s="15">
        <v>8695.2000000000007</v>
      </c>
      <c r="F1826" s="237">
        <v>42901</v>
      </c>
      <c r="G1826" s="15">
        <v>8695.2000000000007</v>
      </c>
      <c r="H1826" s="15">
        <f t="shared" si="28"/>
        <v>0</v>
      </c>
      <c r="I1826" s="236" t="s">
        <v>19682</v>
      </c>
    </row>
    <row r="1827" spans="1:9" x14ac:dyDescent="0.25">
      <c r="A1827" s="36">
        <v>42900</v>
      </c>
      <c r="B1827" s="18">
        <v>115928</v>
      </c>
      <c r="C1827" s="235" t="s">
        <v>19677</v>
      </c>
      <c r="D1827" s="236" t="s">
        <v>15291</v>
      </c>
      <c r="E1827" s="15">
        <v>460</v>
      </c>
      <c r="F1827" s="237">
        <v>42901</v>
      </c>
      <c r="G1827" s="15">
        <v>460</v>
      </c>
      <c r="H1827" s="15">
        <f t="shared" si="28"/>
        <v>0</v>
      </c>
      <c r="I1827" s="236" t="s">
        <v>19682</v>
      </c>
    </row>
    <row r="1828" spans="1:9" x14ac:dyDescent="0.25">
      <c r="A1828" s="242">
        <v>42900</v>
      </c>
      <c r="B1828" s="18">
        <v>115929</v>
      </c>
      <c r="C1828" s="235" t="s">
        <v>19677</v>
      </c>
      <c r="D1828" s="236" t="s">
        <v>15305</v>
      </c>
      <c r="E1828" s="15">
        <v>416.5</v>
      </c>
      <c r="F1828" s="237">
        <v>42901</v>
      </c>
      <c r="G1828" s="15">
        <v>416.5</v>
      </c>
      <c r="H1828" s="15">
        <f t="shared" si="28"/>
        <v>0</v>
      </c>
      <c r="I1828" s="236" t="s">
        <v>19682</v>
      </c>
    </row>
    <row r="1829" spans="1:9" x14ac:dyDescent="0.25">
      <c r="A1829" s="36">
        <v>42900</v>
      </c>
      <c r="B1829" s="18">
        <v>115930</v>
      </c>
      <c r="C1829" s="235" t="s">
        <v>19677</v>
      </c>
      <c r="D1829" s="236" t="s">
        <v>15305</v>
      </c>
      <c r="E1829" s="15">
        <v>204</v>
      </c>
      <c r="F1829" s="237">
        <v>42901</v>
      </c>
      <c r="G1829" s="15">
        <v>204</v>
      </c>
      <c r="H1829" s="15">
        <f t="shared" si="28"/>
        <v>0</v>
      </c>
      <c r="I1829" s="236" t="s">
        <v>19682</v>
      </c>
    </row>
    <row r="1830" spans="1:9" x14ac:dyDescent="0.25">
      <c r="A1830" s="242">
        <v>42900</v>
      </c>
      <c r="B1830" s="18">
        <v>115931</v>
      </c>
      <c r="C1830" s="235" t="s">
        <v>19677</v>
      </c>
      <c r="D1830" s="236" t="s">
        <v>15317</v>
      </c>
      <c r="E1830" s="15">
        <v>733.4</v>
      </c>
      <c r="F1830" s="237">
        <v>42902</v>
      </c>
      <c r="G1830" s="15">
        <v>733.4</v>
      </c>
      <c r="H1830" s="15">
        <f t="shared" si="28"/>
        <v>0</v>
      </c>
      <c r="I1830" s="236" t="s">
        <v>19682</v>
      </c>
    </row>
    <row r="1831" spans="1:9" x14ac:dyDescent="0.25">
      <c r="A1831" s="36">
        <v>42900</v>
      </c>
      <c r="B1831" s="18">
        <v>115932</v>
      </c>
      <c r="C1831" s="235" t="s">
        <v>19677</v>
      </c>
      <c r="D1831" s="236" t="s">
        <v>17458</v>
      </c>
      <c r="E1831" s="15">
        <v>1024.5999999999999</v>
      </c>
      <c r="F1831" s="237">
        <v>42901</v>
      </c>
      <c r="G1831" s="15">
        <v>1024.5999999999999</v>
      </c>
      <c r="H1831" s="15">
        <f t="shared" si="28"/>
        <v>0</v>
      </c>
      <c r="I1831" s="236" t="s">
        <v>19682</v>
      </c>
    </row>
    <row r="1832" spans="1:9" x14ac:dyDescent="0.25">
      <c r="A1832" s="242">
        <v>42900</v>
      </c>
      <c r="B1832" s="18">
        <v>115933</v>
      </c>
      <c r="C1832" s="235" t="s">
        <v>19677</v>
      </c>
      <c r="D1832" s="236" t="s">
        <v>15745</v>
      </c>
      <c r="E1832" s="15">
        <v>1089.5999999999999</v>
      </c>
      <c r="F1832" s="237">
        <v>42901</v>
      </c>
      <c r="G1832" s="15">
        <v>1089.5999999999999</v>
      </c>
      <c r="H1832" s="15">
        <f t="shared" si="28"/>
        <v>0</v>
      </c>
      <c r="I1832" s="236" t="s">
        <v>19682</v>
      </c>
    </row>
    <row r="1833" spans="1:9" x14ac:dyDescent="0.25">
      <c r="A1833" s="36">
        <v>42900</v>
      </c>
      <c r="B1833" s="18">
        <v>115934</v>
      </c>
      <c r="C1833" s="235" t="s">
        <v>19677</v>
      </c>
      <c r="D1833" s="236" t="s">
        <v>15617</v>
      </c>
      <c r="E1833" s="15">
        <v>28174.5</v>
      </c>
      <c r="F1833" s="237">
        <v>42901</v>
      </c>
      <c r="G1833" s="15">
        <v>28174.5</v>
      </c>
      <c r="H1833" s="15">
        <f t="shared" si="28"/>
        <v>0</v>
      </c>
      <c r="I1833" s="236" t="s">
        <v>19682</v>
      </c>
    </row>
    <row r="1834" spans="1:9" x14ac:dyDescent="0.25">
      <c r="A1834" s="242">
        <v>42900</v>
      </c>
      <c r="B1834" s="18">
        <v>115935</v>
      </c>
      <c r="C1834" s="235" t="s">
        <v>19677</v>
      </c>
      <c r="D1834" s="236" t="s">
        <v>15614</v>
      </c>
      <c r="E1834" s="15">
        <v>8894.4</v>
      </c>
      <c r="F1834" s="237">
        <v>42906</v>
      </c>
      <c r="G1834" s="15">
        <v>8894.4</v>
      </c>
      <c r="H1834" s="15">
        <f t="shared" si="28"/>
        <v>0</v>
      </c>
      <c r="I1834" s="236" t="s">
        <v>19682</v>
      </c>
    </row>
    <row r="1835" spans="1:9" x14ac:dyDescent="0.25">
      <c r="A1835" s="36">
        <v>42900</v>
      </c>
      <c r="B1835" s="18">
        <v>115936</v>
      </c>
      <c r="C1835" s="235" t="s">
        <v>19677</v>
      </c>
      <c r="D1835" s="236" t="s">
        <v>15875</v>
      </c>
      <c r="E1835" s="15">
        <v>3884</v>
      </c>
      <c r="F1835" s="237">
        <v>42900</v>
      </c>
      <c r="G1835" s="15">
        <v>3884</v>
      </c>
      <c r="H1835" s="15">
        <f t="shared" si="28"/>
        <v>0</v>
      </c>
      <c r="I1835" s="236" t="s">
        <v>19682</v>
      </c>
    </row>
    <row r="1836" spans="1:9" x14ac:dyDescent="0.25">
      <c r="A1836" s="242">
        <v>42900</v>
      </c>
      <c r="B1836" s="18">
        <v>115937</v>
      </c>
      <c r="C1836" s="235" t="s">
        <v>19677</v>
      </c>
      <c r="D1836" s="236" t="s">
        <v>15725</v>
      </c>
      <c r="E1836" s="15">
        <v>13165.6</v>
      </c>
      <c r="F1836" s="237">
        <v>42904</v>
      </c>
      <c r="G1836" s="15">
        <v>13165.6</v>
      </c>
      <c r="H1836" s="15">
        <f t="shared" si="28"/>
        <v>0</v>
      </c>
      <c r="I1836" s="236" t="s">
        <v>19682</v>
      </c>
    </row>
    <row r="1837" spans="1:9" x14ac:dyDescent="0.25">
      <c r="A1837" s="36">
        <v>42900</v>
      </c>
      <c r="B1837" s="18">
        <v>115938</v>
      </c>
      <c r="C1837" s="235" t="s">
        <v>19677</v>
      </c>
      <c r="D1837" s="236" t="s">
        <v>15315</v>
      </c>
      <c r="E1837" s="15">
        <v>1380</v>
      </c>
      <c r="F1837" s="237">
        <v>42900</v>
      </c>
      <c r="G1837" s="15">
        <v>1380</v>
      </c>
      <c r="H1837" s="15">
        <f t="shared" si="28"/>
        <v>0</v>
      </c>
      <c r="I1837" s="236" t="s">
        <v>19682</v>
      </c>
    </row>
    <row r="1838" spans="1:9" x14ac:dyDescent="0.25">
      <c r="A1838" s="242">
        <v>42900</v>
      </c>
      <c r="B1838" s="18">
        <v>115939</v>
      </c>
      <c r="C1838" s="235" t="s">
        <v>19677</v>
      </c>
      <c r="D1838" s="236" t="s">
        <v>15537</v>
      </c>
      <c r="E1838" s="15">
        <v>16957.599999999999</v>
      </c>
      <c r="F1838" s="237">
        <v>42907</v>
      </c>
      <c r="G1838" s="15">
        <v>16957.599999999999</v>
      </c>
      <c r="H1838" s="15">
        <f t="shared" si="28"/>
        <v>0</v>
      </c>
      <c r="I1838" s="236" t="s">
        <v>19682</v>
      </c>
    </row>
    <row r="1839" spans="1:9" x14ac:dyDescent="0.25">
      <c r="A1839" s="36">
        <v>42900</v>
      </c>
      <c r="B1839" s="18">
        <v>115940</v>
      </c>
      <c r="C1839" s="235" t="s">
        <v>19677</v>
      </c>
      <c r="D1839" s="236" t="s">
        <v>15539</v>
      </c>
      <c r="E1839" s="15">
        <v>16736.2</v>
      </c>
      <c r="F1839" s="237">
        <v>42902</v>
      </c>
      <c r="G1839" s="15">
        <v>16736.2</v>
      </c>
      <c r="H1839" s="15">
        <f t="shared" si="28"/>
        <v>0</v>
      </c>
      <c r="I1839" s="236" t="s">
        <v>19682</v>
      </c>
    </row>
    <row r="1840" spans="1:9" x14ac:dyDescent="0.25">
      <c r="A1840" s="242">
        <v>42900</v>
      </c>
      <c r="B1840" s="18">
        <v>115941</v>
      </c>
      <c r="C1840" s="235" t="s">
        <v>19677</v>
      </c>
      <c r="D1840" s="236" t="s">
        <v>16040</v>
      </c>
      <c r="E1840" s="15">
        <v>8977.7999999999993</v>
      </c>
      <c r="F1840" s="237">
        <v>42902</v>
      </c>
      <c r="G1840" s="15">
        <v>8977.7999999999993</v>
      </c>
      <c r="H1840" s="15">
        <f t="shared" si="28"/>
        <v>0</v>
      </c>
      <c r="I1840" s="236" t="s">
        <v>19682</v>
      </c>
    </row>
    <row r="1841" spans="1:9" x14ac:dyDescent="0.25">
      <c r="A1841" s="36">
        <v>42900</v>
      </c>
      <c r="B1841" s="18">
        <v>115942</v>
      </c>
      <c r="C1841" s="235" t="s">
        <v>19677</v>
      </c>
      <c r="D1841" s="236" t="s">
        <v>15544</v>
      </c>
      <c r="E1841" s="15">
        <v>3030.3</v>
      </c>
      <c r="F1841" s="237">
        <v>42902</v>
      </c>
      <c r="G1841" s="15">
        <v>3030.3</v>
      </c>
      <c r="H1841" s="15">
        <f t="shared" si="28"/>
        <v>0</v>
      </c>
      <c r="I1841" s="236" t="s">
        <v>19682</v>
      </c>
    </row>
    <row r="1842" spans="1:9" x14ac:dyDescent="0.25">
      <c r="A1842" s="242">
        <v>42900</v>
      </c>
      <c r="B1842" s="18">
        <v>115943</v>
      </c>
      <c r="C1842" s="235" t="s">
        <v>19677</v>
      </c>
      <c r="D1842" s="236" t="s">
        <v>15315</v>
      </c>
      <c r="E1842" s="15">
        <v>474</v>
      </c>
      <c r="F1842" s="237">
        <v>42909</v>
      </c>
      <c r="G1842" s="15">
        <v>474</v>
      </c>
      <c r="H1842" s="15">
        <f t="shared" si="28"/>
        <v>0</v>
      </c>
      <c r="I1842" s="236" t="s">
        <v>19682</v>
      </c>
    </row>
    <row r="1843" spans="1:9" x14ac:dyDescent="0.25">
      <c r="A1843" s="36">
        <v>42900</v>
      </c>
      <c r="B1843" s="18">
        <v>115944</v>
      </c>
      <c r="C1843" s="235" t="s">
        <v>19677</v>
      </c>
      <c r="D1843" s="236" t="s">
        <v>15884</v>
      </c>
      <c r="E1843" s="15">
        <v>4746.8</v>
      </c>
      <c r="F1843" s="237">
        <v>42900</v>
      </c>
      <c r="G1843" s="15">
        <v>4746.8</v>
      </c>
      <c r="H1843" s="15">
        <f t="shared" si="28"/>
        <v>0</v>
      </c>
      <c r="I1843" s="236" t="s">
        <v>19682</v>
      </c>
    </row>
    <row r="1844" spans="1:9" x14ac:dyDescent="0.25">
      <c r="A1844" s="242">
        <v>42900</v>
      </c>
      <c r="B1844" s="18">
        <v>115945</v>
      </c>
      <c r="C1844" s="235" t="s">
        <v>19677</v>
      </c>
      <c r="D1844" s="236" t="s">
        <v>15315</v>
      </c>
      <c r="E1844" s="15">
        <v>290.39999999999998</v>
      </c>
      <c r="F1844" s="237">
        <v>42900</v>
      </c>
      <c r="G1844" s="15">
        <v>290.39999999999998</v>
      </c>
      <c r="H1844" s="15">
        <f t="shared" si="28"/>
        <v>0</v>
      </c>
      <c r="I1844" s="236" t="s">
        <v>19682</v>
      </c>
    </row>
    <row r="1845" spans="1:9" x14ac:dyDescent="0.25">
      <c r="A1845" s="36">
        <v>42900</v>
      </c>
      <c r="B1845" s="18">
        <v>115946</v>
      </c>
      <c r="C1845" s="235" t="s">
        <v>19677</v>
      </c>
      <c r="D1845" s="236" t="s">
        <v>15350</v>
      </c>
      <c r="E1845" s="15">
        <v>690</v>
      </c>
      <c r="F1845" s="237">
        <v>42901</v>
      </c>
      <c r="G1845" s="15">
        <v>690</v>
      </c>
      <c r="H1845" s="15">
        <f t="shared" si="28"/>
        <v>0</v>
      </c>
      <c r="I1845" s="236" t="s">
        <v>19682</v>
      </c>
    </row>
    <row r="1846" spans="1:9" x14ac:dyDescent="0.25">
      <c r="A1846" s="242">
        <v>42900</v>
      </c>
      <c r="B1846" s="18">
        <v>115947</v>
      </c>
      <c r="C1846" s="235" t="s">
        <v>19677</v>
      </c>
      <c r="D1846" s="236" t="s">
        <v>15523</v>
      </c>
      <c r="E1846" s="15">
        <v>1380</v>
      </c>
      <c r="F1846" s="237">
        <v>42901</v>
      </c>
      <c r="G1846" s="15">
        <v>1380</v>
      </c>
      <c r="H1846" s="15">
        <f t="shared" si="28"/>
        <v>0</v>
      </c>
      <c r="I1846" s="236" t="s">
        <v>19682</v>
      </c>
    </row>
    <row r="1847" spans="1:9" x14ac:dyDescent="0.25">
      <c r="A1847" s="36">
        <v>42900</v>
      </c>
      <c r="B1847" s="18">
        <v>115948</v>
      </c>
      <c r="C1847" s="235" t="s">
        <v>19677</v>
      </c>
      <c r="D1847" s="236" t="s">
        <v>15858</v>
      </c>
      <c r="E1847" s="15">
        <v>2124.7199999999998</v>
      </c>
      <c r="F1847" s="237">
        <v>42901</v>
      </c>
      <c r="G1847" s="15">
        <v>2124.7199999999998</v>
      </c>
      <c r="H1847" s="15">
        <f t="shared" si="28"/>
        <v>0</v>
      </c>
      <c r="I1847" s="236" t="s">
        <v>19682</v>
      </c>
    </row>
    <row r="1848" spans="1:9" x14ac:dyDescent="0.25">
      <c r="A1848" s="242">
        <v>42900</v>
      </c>
      <c r="B1848" s="18">
        <v>115949</v>
      </c>
      <c r="C1848" s="235" t="s">
        <v>19677</v>
      </c>
      <c r="D1848" s="236" t="s">
        <v>16171</v>
      </c>
      <c r="E1848" s="15">
        <v>1062.3599999999999</v>
      </c>
      <c r="F1848" s="237">
        <v>42901</v>
      </c>
      <c r="G1848" s="15">
        <v>1062.3599999999999</v>
      </c>
      <c r="H1848" s="15">
        <f t="shared" si="28"/>
        <v>0</v>
      </c>
      <c r="I1848" s="236" t="s">
        <v>19682</v>
      </c>
    </row>
    <row r="1849" spans="1:9" x14ac:dyDescent="0.25">
      <c r="A1849" s="36">
        <v>42900</v>
      </c>
      <c r="B1849" s="18">
        <v>115950</v>
      </c>
      <c r="C1849" s="235" t="s">
        <v>19677</v>
      </c>
      <c r="D1849" s="236" t="s">
        <v>15334</v>
      </c>
      <c r="E1849" s="15">
        <v>1643.6</v>
      </c>
      <c r="F1849" s="237">
        <v>42901</v>
      </c>
      <c r="G1849" s="15">
        <v>1643.6</v>
      </c>
      <c r="H1849" s="15">
        <f t="shared" si="28"/>
        <v>0</v>
      </c>
      <c r="I1849" s="236" t="s">
        <v>19682</v>
      </c>
    </row>
    <row r="1850" spans="1:9" x14ac:dyDescent="0.25">
      <c r="A1850" s="242">
        <v>42900</v>
      </c>
      <c r="B1850" s="18">
        <v>115951</v>
      </c>
      <c r="C1850" s="235" t="s">
        <v>19677</v>
      </c>
      <c r="D1850" s="236" t="s">
        <v>15748</v>
      </c>
      <c r="E1850" s="15">
        <v>1235.96</v>
      </c>
      <c r="F1850" s="237">
        <v>42901</v>
      </c>
      <c r="G1850" s="15">
        <v>1235.96</v>
      </c>
      <c r="H1850" s="15">
        <f t="shared" si="28"/>
        <v>0</v>
      </c>
      <c r="I1850" s="236" t="s">
        <v>19682</v>
      </c>
    </row>
    <row r="1851" spans="1:9" x14ac:dyDescent="0.25">
      <c r="A1851" s="36">
        <v>42900</v>
      </c>
      <c r="B1851" s="18">
        <v>115952</v>
      </c>
      <c r="C1851" s="235" t="s">
        <v>19677</v>
      </c>
      <c r="D1851" s="236" t="s">
        <v>15342</v>
      </c>
      <c r="E1851" s="15">
        <v>875.4</v>
      </c>
      <c r="F1851" s="237">
        <v>42901</v>
      </c>
      <c r="G1851" s="15">
        <v>875.4</v>
      </c>
      <c r="H1851" s="15">
        <f t="shared" si="28"/>
        <v>0</v>
      </c>
      <c r="I1851" s="236" t="s">
        <v>19682</v>
      </c>
    </row>
    <row r="1852" spans="1:9" ht="15.75" x14ac:dyDescent="0.25">
      <c r="A1852" s="242">
        <v>42900</v>
      </c>
      <c r="B1852" s="18">
        <v>115953</v>
      </c>
      <c r="C1852" s="235" t="s">
        <v>19677</v>
      </c>
      <c r="D1852" s="248" t="s">
        <v>95</v>
      </c>
      <c r="E1852" s="15">
        <v>0</v>
      </c>
      <c r="F1852" s="243" t="s">
        <v>95</v>
      </c>
      <c r="G1852" s="15">
        <v>0</v>
      </c>
      <c r="H1852" s="15">
        <f t="shared" si="28"/>
        <v>0</v>
      </c>
      <c r="I1852" s="236" t="s">
        <v>19678</v>
      </c>
    </row>
    <row r="1853" spans="1:9" x14ac:dyDescent="0.25">
      <c r="A1853" s="36">
        <v>42900</v>
      </c>
      <c r="B1853" s="18">
        <v>115954</v>
      </c>
      <c r="C1853" s="235" t="s">
        <v>19677</v>
      </c>
      <c r="D1853" s="236" t="s">
        <v>15336</v>
      </c>
      <c r="E1853" s="15">
        <v>6103.8</v>
      </c>
      <c r="F1853" s="237">
        <v>42901</v>
      </c>
      <c r="G1853" s="15">
        <v>6103.8</v>
      </c>
      <c r="H1853" s="15">
        <f t="shared" si="28"/>
        <v>0</v>
      </c>
      <c r="I1853" s="236" t="s">
        <v>19682</v>
      </c>
    </row>
    <row r="1854" spans="1:9" x14ac:dyDescent="0.25">
      <c r="A1854" s="242">
        <v>42900</v>
      </c>
      <c r="B1854" s="18">
        <v>115955</v>
      </c>
      <c r="C1854" s="235" t="s">
        <v>19677</v>
      </c>
      <c r="D1854" s="236" t="s">
        <v>15358</v>
      </c>
      <c r="E1854" s="15">
        <v>1647</v>
      </c>
      <c r="F1854" s="237">
        <v>42901</v>
      </c>
      <c r="G1854" s="15">
        <v>1647</v>
      </c>
      <c r="H1854" s="15">
        <f t="shared" si="28"/>
        <v>0</v>
      </c>
      <c r="I1854" s="236" t="s">
        <v>19682</v>
      </c>
    </row>
    <row r="1855" spans="1:9" x14ac:dyDescent="0.25">
      <c r="A1855" s="36">
        <v>42900</v>
      </c>
      <c r="B1855" s="18">
        <v>115956</v>
      </c>
      <c r="C1855" s="235" t="s">
        <v>19677</v>
      </c>
      <c r="D1855" s="236" t="s">
        <v>15296</v>
      </c>
      <c r="E1855" s="15">
        <v>19101.2</v>
      </c>
      <c r="F1855" s="237">
        <v>42936</v>
      </c>
      <c r="G1855" s="15">
        <v>19101.2</v>
      </c>
      <c r="H1855" s="15">
        <f t="shared" si="28"/>
        <v>0</v>
      </c>
      <c r="I1855" s="236" t="s">
        <v>19682</v>
      </c>
    </row>
    <row r="1856" spans="1:9" x14ac:dyDescent="0.25">
      <c r="A1856" s="242">
        <v>42900</v>
      </c>
      <c r="B1856" s="18">
        <v>115957</v>
      </c>
      <c r="C1856" s="235" t="s">
        <v>19677</v>
      </c>
      <c r="D1856" s="236" t="s">
        <v>16958</v>
      </c>
      <c r="E1856" s="15">
        <v>2685</v>
      </c>
      <c r="F1856" s="237">
        <v>42901</v>
      </c>
      <c r="G1856" s="15">
        <v>2685</v>
      </c>
      <c r="H1856" s="15">
        <f t="shared" si="28"/>
        <v>0</v>
      </c>
      <c r="I1856" s="236" t="s">
        <v>19682</v>
      </c>
    </row>
    <row r="1857" spans="1:9" x14ac:dyDescent="0.25">
      <c r="A1857" s="36">
        <v>42900</v>
      </c>
      <c r="B1857" s="18">
        <v>115958</v>
      </c>
      <c r="C1857" s="235" t="s">
        <v>19677</v>
      </c>
      <c r="D1857" s="236" t="s">
        <v>15315</v>
      </c>
      <c r="E1857" s="15">
        <v>373.5</v>
      </c>
      <c r="F1857" s="237">
        <v>42901</v>
      </c>
      <c r="G1857" s="15">
        <v>373.5</v>
      </c>
      <c r="H1857" s="15">
        <f t="shared" si="28"/>
        <v>0</v>
      </c>
      <c r="I1857" s="236" t="s">
        <v>19682</v>
      </c>
    </row>
    <row r="1858" spans="1:9" x14ac:dyDescent="0.25">
      <c r="A1858" s="242">
        <v>42900</v>
      </c>
      <c r="B1858" s="18">
        <v>115959</v>
      </c>
      <c r="C1858" s="235" t="s">
        <v>19677</v>
      </c>
      <c r="D1858" s="236" t="s">
        <v>15265</v>
      </c>
      <c r="E1858" s="15">
        <v>2829.4</v>
      </c>
      <c r="F1858" s="237">
        <v>42901</v>
      </c>
      <c r="G1858" s="15">
        <v>2829.4</v>
      </c>
      <c r="H1858" s="15">
        <f t="shared" ref="H1858:H1921" si="29">E1858-G1858</f>
        <v>0</v>
      </c>
      <c r="I1858" s="236" t="s">
        <v>19682</v>
      </c>
    </row>
    <row r="1859" spans="1:9" x14ac:dyDescent="0.25">
      <c r="A1859" s="36">
        <v>42900</v>
      </c>
      <c r="B1859" s="18">
        <v>115960</v>
      </c>
      <c r="C1859" s="235" t="s">
        <v>19677</v>
      </c>
      <c r="D1859" s="236" t="s">
        <v>15407</v>
      </c>
      <c r="E1859" s="15">
        <v>13458</v>
      </c>
      <c r="F1859" s="237">
        <v>42900</v>
      </c>
      <c r="G1859" s="15">
        <v>13458</v>
      </c>
      <c r="H1859" s="15">
        <f t="shared" si="29"/>
        <v>0</v>
      </c>
      <c r="I1859" s="236" t="s">
        <v>19682</v>
      </c>
    </row>
    <row r="1860" spans="1:9" x14ac:dyDescent="0.25">
      <c r="A1860" s="242">
        <v>42900</v>
      </c>
      <c r="B1860" s="18">
        <v>115961</v>
      </c>
      <c r="C1860" s="235" t="s">
        <v>19677</v>
      </c>
      <c r="D1860" s="236" t="s">
        <v>15254</v>
      </c>
      <c r="E1860" s="15">
        <v>15626</v>
      </c>
      <c r="F1860" s="237">
        <v>42905</v>
      </c>
      <c r="G1860" s="15">
        <v>15626</v>
      </c>
      <c r="H1860" s="15">
        <f t="shared" si="29"/>
        <v>0</v>
      </c>
      <c r="I1860" s="236" t="s">
        <v>19682</v>
      </c>
    </row>
    <row r="1861" spans="1:9" x14ac:dyDescent="0.25">
      <c r="A1861" s="36">
        <v>42900</v>
      </c>
      <c r="B1861" s="18">
        <v>115962</v>
      </c>
      <c r="C1861" s="235" t="s">
        <v>19677</v>
      </c>
      <c r="D1861" s="236" t="s">
        <v>15407</v>
      </c>
      <c r="E1861" s="15">
        <v>771.4</v>
      </c>
      <c r="F1861" s="237">
        <v>42900</v>
      </c>
      <c r="G1861" s="15">
        <v>771.4</v>
      </c>
      <c r="H1861" s="15">
        <f t="shared" si="29"/>
        <v>0</v>
      </c>
      <c r="I1861" s="236" t="s">
        <v>19682</v>
      </c>
    </row>
    <row r="1862" spans="1:9" x14ac:dyDescent="0.25">
      <c r="A1862" s="242">
        <v>42900</v>
      </c>
      <c r="B1862" s="18">
        <v>115963</v>
      </c>
      <c r="C1862" s="235" t="s">
        <v>19677</v>
      </c>
      <c r="D1862" s="236" t="s">
        <v>15444</v>
      </c>
      <c r="E1862" s="15">
        <v>1180</v>
      </c>
      <c r="F1862" s="237">
        <v>42901</v>
      </c>
      <c r="G1862" s="15">
        <v>1180</v>
      </c>
      <c r="H1862" s="15">
        <f t="shared" si="29"/>
        <v>0</v>
      </c>
      <c r="I1862" s="236" t="s">
        <v>19682</v>
      </c>
    </row>
    <row r="1863" spans="1:9" x14ac:dyDescent="0.25">
      <c r="A1863" s="36">
        <v>42900</v>
      </c>
      <c r="B1863" s="18">
        <v>115964</v>
      </c>
      <c r="C1863" s="235" t="s">
        <v>19677</v>
      </c>
      <c r="D1863" s="236" t="s">
        <v>16093</v>
      </c>
      <c r="E1863" s="15">
        <v>3332</v>
      </c>
      <c r="F1863" s="237">
        <v>42900</v>
      </c>
      <c r="G1863" s="15">
        <v>3332</v>
      </c>
      <c r="H1863" s="15">
        <f t="shared" si="29"/>
        <v>0</v>
      </c>
      <c r="I1863" s="236" t="s">
        <v>19682</v>
      </c>
    </row>
    <row r="1864" spans="1:9" x14ac:dyDescent="0.25">
      <c r="A1864" s="242">
        <v>42900</v>
      </c>
      <c r="B1864" s="18">
        <v>115965</v>
      </c>
      <c r="C1864" s="235" t="s">
        <v>19677</v>
      </c>
      <c r="D1864" s="236" t="s">
        <v>15284</v>
      </c>
      <c r="E1864" s="15">
        <v>1392.3</v>
      </c>
      <c r="F1864" s="237">
        <v>42900</v>
      </c>
      <c r="G1864" s="15">
        <v>1392.3</v>
      </c>
      <c r="H1864" s="15">
        <f t="shared" si="29"/>
        <v>0</v>
      </c>
      <c r="I1864" s="236" t="s">
        <v>19682</v>
      </c>
    </row>
    <row r="1865" spans="1:9" x14ac:dyDescent="0.25">
      <c r="A1865" s="36">
        <v>42900</v>
      </c>
      <c r="B1865" s="18">
        <v>115966</v>
      </c>
      <c r="C1865" s="235" t="s">
        <v>19677</v>
      </c>
      <c r="D1865" s="236" t="s">
        <v>15284</v>
      </c>
      <c r="E1865" s="15">
        <v>15</v>
      </c>
      <c r="F1865" s="237">
        <v>42900</v>
      </c>
      <c r="G1865" s="15">
        <v>15</v>
      </c>
      <c r="H1865" s="15">
        <f t="shared" si="29"/>
        <v>0</v>
      </c>
      <c r="I1865" s="236" t="s">
        <v>19682</v>
      </c>
    </row>
    <row r="1866" spans="1:9" x14ac:dyDescent="0.25">
      <c r="A1866" s="242">
        <v>42900</v>
      </c>
      <c r="B1866" s="18">
        <v>115967</v>
      </c>
      <c r="C1866" s="235" t="s">
        <v>19677</v>
      </c>
      <c r="D1866" s="236" t="s">
        <v>15322</v>
      </c>
      <c r="E1866" s="15">
        <v>979</v>
      </c>
      <c r="F1866" s="237">
        <v>42900</v>
      </c>
      <c r="G1866" s="15">
        <v>979</v>
      </c>
      <c r="H1866" s="15">
        <f t="shared" si="29"/>
        <v>0</v>
      </c>
      <c r="I1866" s="236" t="s">
        <v>19682</v>
      </c>
    </row>
    <row r="1867" spans="1:9" x14ac:dyDescent="0.25">
      <c r="A1867" s="36">
        <v>42900</v>
      </c>
      <c r="B1867" s="18">
        <v>115968</v>
      </c>
      <c r="C1867" s="235" t="s">
        <v>19677</v>
      </c>
      <c r="D1867" s="236" t="s">
        <v>17462</v>
      </c>
      <c r="E1867" s="15">
        <v>486</v>
      </c>
      <c r="F1867" s="237">
        <v>42900</v>
      </c>
      <c r="G1867" s="15">
        <v>486</v>
      </c>
      <c r="H1867" s="15">
        <f t="shared" si="29"/>
        <v>0</v>
      </c>
      <c r="I1867" s="236" t="s">
        <v>19682</v>
      </c>
    </row>
    <row r="1868" spans="1:9" x14ac:dyDescent="0.25">
      <c r="A1868" s="242">
        <v>42900</v>
      </c>
      <c r="B1868" s="18">
        <v>115969</v>
      </c>
      <c r="C1868" s="235" t="s">
        <v>19677</v>
      </c>
      <c r="D1868" s="236" t="s">
        <v>15789</v>
      </c>
      <c r="E1868" s="15">
        <v>33617.199999999997</v>
      </c>
      <c r="F1868" s="237">
        <v>42906</v>
      </c>
      <c r="G1868" s="15">
        <v>33617.199999999997</v>
      </c>
      <c r="H1868" s="15">
        <f t="shared" si="29"/>
        <v>0</v>
      </c>
      <c r="I1868" s="236" t="s">
        <v>19682</v>
      </c>
    </row>
    <row r="1869" spans="1:9" x14ac:dyDescent="0.25">
      <c r="A1869" s="36">
        <v>42900</v>
      </c>
      <c r="B1869" s="18">
        <v>115970</v>
      </c>
      <c r="C1869" s="235" t="s">
        <v>19677</v>
      </c>
      <c r="D1869" s="236" t="s">
        <v>15246</v>
      </c>
      <c r="E1869" s="15">
        <v>111284.1</v>
      </c>
      <c r="F1869" s="237">
        <v>42903</v>
      </c>
      <c r="G1869" s="15">
        <v>111284.1</v>
      </c>
      <c r="H1869" s="15">
        <f t="shared" si="29"/>
        <v>0</v>
      </c>
      <c r="I1869" s="236" t="s">
        <v>19682</v>
      </c>
    </row>
    <row r="1870" spans="1:9" x14ac:dyDescent="0.25">
      <c r="A1870" s="242">
        <v>42900</v>
      </c>
      <c r="B1870" s="18">
        <v>115971</v>
      </c>
      <c r="C1870" s="235" t="s">
        <v>19677</v>
      </c>
      <c r="D1870" s="236" t="s">
        <v>18076</v>
      </c>
      <c r="E1870" s="15">
        <v>4965.7</v>
      </c>
      <c r="F1870" s="237">
        <v>42900</v>
      </c>
      <c r="G1870" s="15">
        <v>4965.7</v>
      </c>
      <c r="H1870" s="15">
        <f t="shared" si="29"/>
        <v>0</v>
      </c>
      <c r="I1870" s="236" t="s">
        <v>19682</v>
      </c>
    </row>
    <row r="1871" spans="1:9" x14ac:dyDescent="0.25">
      <c r="A1871" s="36">
        <v>42900</v>
      </c>
      <c r="B1871" s="18">
        <v>115972</v>
      </c>
      <c r="C1871" s="235" t="s">
        <v>19677</v>
      </c>
      <c r="D1871" s="236" t="s">
        <v>15435</v>
      </c>
      <c r="E1871" s="15">
        <v>7174</v>
      </c>
      <c r="F1871" s="237">
        <v>42900</v>
      </c>
      <c r="G1871" s="15">
        <v>7174</v>
      </c>
      <c r="H1871" s="15">
        <f t="shared" si="29"/>
        <v>0</v>
      </c>
      <c r="I1871" s="236" t="s">
        <v>19682</v>
      </c>
    </row>
    <row r="1872" spans="1:9" x14ac:dyDescent="0.25">
      <c r="A1872" s="242">
        <v>42900</v>
      </c>
      <c r="B1872" s="18">
        <v>115973</v>
      </c>
      <c r="C1872" s="235" t="s">
        <v>19677</v>
      </c>
      <c r="D1872" s="236" t="s">
        <v>15365</v>
      </c>
      <c r="E1872" s="15">
        <v>248724</v>
      </c>
      <c r="F1872" s="237">
        <v>42903</v>
      </c>
      <c r="G1872" s="15">
        <v>248724</v>
      </c>
      <c r="H1872" s="15">
        <f t="shared" si="29"/>
        <v>0</v>
      </c>
      <c r="I1872" s="236" t="s">
        <v>19682</v>
      </c>
    </row>
    <row r="1873" spans="1:9" x14ac:dyDescent="0.25">
      <c r="A1873" s="36">
        <v>42900</v>
      </c>
      <c r="B1873" s="18">
        <v>115974</v>
      </c>
      <c r="C1873" s="235" t="s">
        <v>19677</v>
      </c>
      <c r="D1873" s="236" t="s">
        <v>5757</v>
      </c>
      <c r="E1873" s="15">
        <v>755</v>
      </c>
      <c r="F1873" s="237">
        <v>42900</v>
      </c>
      <c r="G1873" s="15">
        <v>755</v>
      </c>
      <c r="H1873" s="15">
        <f t="shared" si="29"/>
        <v>0</v>
      </c>
      <c r="I1873" s="236" t="s">
        <v>19682</v>
      </c>
    </row>
    <row r="1874" spans="1:9" x14ac:dyDescent="0.25">
      <c r="A1874" s="242">
        <v>42900</v>
      </c>
      <c r="B1874" s="18">
        <v>115975</v>
      </c>
      <c r="C1874" s="235" t="s">
        <v>19677</v>
      </c>
      <c r="D1874" s="236" t="s">
        <v>15590</v>
      </c>
      <c r="E1874" s="15">
        <v>14955.4</v>
      </c>
      <c r="F1874" s="237">
        <v>42905</v>
      </c>
      <c r="G1874" s="15">
        <v>14955.4</v>
      </c>
      <c r="H1874" s="15">
        <f t="shared" si="29"/>
        <v>0</v>
      </c>
      <c r="I1874" s="236" t="s">
        <v>19682</v>
      </c>
    </row>
    <row r="1875" spans="1:9" x14ac:dyDescent="0.25">
      <c r="A1875" s="36">
        <v>42900</v>
      </c>
      <c r="B1875" s="18">
        <v>115976</v>
      </c>
      <c r="C1875" s="235" t="s">
        <v>19677</v>
      </c>
      <c r="D1875" s="236" t="s">
        <v>15315</v>
      </c>
      <c r="E1875" s="15">
        <v>3161.8</v>
      </c>
      <c r="F1875" s="237">
        <v>42900</v>
      </c>
      <c r="G1875" s="15">
        <v>3161.8</v>
      </c>
      <c r="H1875" s="15">
        <f t="shared" si="29"/>
        <v>0</v>
      </c>
      <c r="I1875" s="236" t="s">
        <v>19682</v>
      </c>
    </row>
    <row r="1876" spans="1:9" x14ac:dyDescent="0.25">
      <c r="A1876" s="242">
        <v>42900</v>
      </c>
      <c r="B1876" s="18">
        <v>115977</v>
      </c>
      <c r="C1876" s="235" t="s">
        <v>19677</v>
      </c>
      <c r="D1876" s="236" t="s">
        <v>15315</v>
      </c>
      <c r="E1876" s="15">
        <v>1413.5</v>
      </c>
      <c r="F1876" s="237">
        <v>42900</v>
      </c>
      <c r="G1876" s="15">
        <v>1413.5</v>
      </c>
      <c r="H1876" s="15">
        <f t="shared" si="29"/>
        <v>0</v>
      </c>
      <c r="I1876" s="236" t="s">
        <v>19682</v>
      </c>
    </row>
    <row r="1877" spans="1:9" x14ac:dyDescent="0.25">
      <c r="A1877" s="36">
        <v>42900</v>
      </c>
      <c r="B1877" s="18">
        <v>115978</v>
      </c>
      <c r="C1877" s="235" t="s">
        <v>19677</v>
      </c>
      <c r="D1877" s="236" t="s">
        <v>15642</v>
      </c>
      <c r="E1877" s="15">
        <v>2156.6999999999998</v>
      </c>
      <c r="F1877" s="237">
        <v>42901</v>
      </c>
      <c r="G1877" s="15">
        <v>2156.6999999999998</v>
      </c>
      <c r="H1877" s="15">
        <f t="shared" si="29"/>
        <v>0</v>
      </c>
      <c r="I1877" s="236" t="s">
        <v>19682</v>
      </c>
    </row>
    <row r="1878" spans="1:9" x14ac:dyDescent="0.25">
      <c r="A1878" s="242">
        <v>42900</v>
      </c>
      <c r="B1878" s="18">
        <v>115979</v>
      </c>
      <c r="C1878" s="235" t="s">
        <v>19677</v>
      </c>
      <c r="D1878" s="236" t="s">
        <v>5757</v>
      </c>
      <c r="E1878" s="15">
        <v>4575</v>
      </c>
      <c r="F1878" s="237">
        <v>42901</v>
      </c>
      <c r="G1878" s="15">
        <v>4575</v>
      </c>
      <c r="H1878" s="15">
        <f t="shared" si="29"/>
        <v>0</v>
      </c>
      <c r="I1878" s="236" t="s">
        <v>19682</v>
      </c>
    </row>
    <row r="1879" spans="1:9" x14ac:dyDescent="0.25">
      <c r="A1879" s="242">
        <v>42901</v>
      </c>
      <c r="B1879" s="18">
        <v>115980</v>
      </c>
      <c r="C1879" s="235" t="s">
        <v>19677</v>
      </c>
      <c r="D1879" s="236" t="s">
        <v>15213</v>
      </c>
      <c r="E1879" s="15">
        <v>10464.4</v>
      </c>
      <c r="F1879" s="237">
        <v>42903</v>
      </c>
      <c r="G1879" s="15">
        <v>10464.4</v>
      </c>
      <c r="H1879" s="15">
        <f t="shared" si="29"/>
        <v>0</v>
      </c>
      <c r="I1879" s="236" t="s">
        <v>19682</v>
      </c>
    </row>
    <row r="1880" spans="1:9" x14ac:dyDescent="0.25">
      <c r="A1880" s="36">
        <v>42901</v>
      </c>
      <c r="B1880" s="18">
        <v>115981</v>
      </c>
      <c r="C1880" s="235" t="s">
        <v>19677</v>
      </c>
      <c r="D1880" s="236" t="s">
        <v>15213</v>
      </c>
      <c r="E1880" s="15">
        <v>36649.4</v>
      </c>
      <c r="F1880" s="237">
        <v>42902</v>
      </c>
      <c r="G1880" s="15">
        <v>36649.4</v>
      </c>
      <c r="H1880" s="15">
        <f t="shared" si="29"/>
        <v>0</v>
      </c>
      <c r="I1880" s="236" t="s">
        <v>19682</v>
      </c>
    </row>
    <row r="1881" spans="1:9" x14ac:dyDescent="0.25">
      <c r="A1881" s="242">
        <v>42901</v>
      </c>
      <c r="B1881" s="18">
        <v>115982</v>
      </c>
      <c r="C1881" s="235" t="s">
        <v>19677</v>
      </c>
      <c r="D1881" s="236" t="s">
        <v>15220</v>
      </c>
      <c r="E1881" s="15">
        <v>2300</v>
      </c>
      <c r="F1881" s="237">
        <v>42901</v>
      </c>
      <c r="G1881" s="15">
        <v>2300</v>
      </c>
      <c r="H1881" s="15">
        <f t="shared" si="29"/>
        <v>0</v>
      </c>
      <c r="I1881" s="236" t="s">
        <v>19682</v>
      </c>
    </row>
    <row r="1882" spans="1:9" ht="15.75" x14ac:dyDescent="0.25">
      <c r="A1882" s="36">
        <v>42901</v>
      </c>
      <c r="B1882" s="18">
        <v>115983</v>
      </c>
      <c r="C1882" s="235" t="s">
        <v>19677</v>
      </c>
      <c r="D1882" s="248" t="s">
        <v>95</v>
      </c>
      <c r="E1882" s="15">
        <v>0</v>
      </c>
      <c r="F1882" s="243" t="s">
        <v>95</v>
      </c>
      <c r="G1882" s="15">
        <v>0</v>
      </c>
      <c r="H1882" s="15">
        <f t="shared" si="29"/>
        <v>0</v>
      </c>
      <c r="I1882" s="236" t="s">
        <v>19678</v>
      </c>
    </row>
    <row r="1883" spans="1:9" x14ac:dyDescent="0.25">
      <c r="A1883" s="242">
        <v>42901</v>
      </c>
      <c r="B1883" s="18">
        <v>115984</v>
      </c>
      <c r="C1883" s="235" t="s">
        <v>19677</v>
      </c>
      <c r="D1883" s="236" t="s">
        <v>15232</v>
      </c>
      <c r="E1883" s="15">
        <v>7064</v>
      </c>
      <c r="F1883" s="237">
        <v>42908</v>
      </c>
      <c r="G1883" s="15">
        <v>7064</v>
      </c>
      <c r="H1883" s="15">
        <f t="shared" si="29"/>
        <v>0</v>
      </c>
      <c r="I1883" s="236" t="s">
        <v>19682</v>
      </c>
    </row>
    <row r="1884" spans="1:9" x14ac:dyDescent="0.25">
      <c r="A1884" s="36">
        <v>42901</v>
      </c>
      <c r="B1884" s="18">
        <v>115985</v>
      </c>
      <c r="C1884" s="235" t="s">
        <v>19677</v>
      </c>
      <c r="D1884" s="236" t="s">
        <v>15272</v>
      </c>
      <c r="E1884" s="15">
        <v>18271.099999999999</v>
      </c>
      <c r="F1884" s="237">
        <v>42901</v>
      </c>
      <c r="G1884" s="15">
        <v>18271.099999999999</v>
      </c>
      <c r="H1884" s="15">
        <f t="shared" si="29"/>
        <v>0</v>
      </c>
      <c r="I1884" s="236" t="s">
        <v>19682</v>
      </c>
    </row>
    <row r="1885" spans="1:9" x14ac:dyDescent="0.25">
      <c r="A1885" s="242">
        <v>42901</v>
      </c>
      <c r="B1885" s="18">
        <v>115986</v>
      </c>
      <c r="C1885" s="235" t="s">
        <v>19677</v>
      </c>
      <c r="D1885" s="236" t="s">
        <v>15246</v>
      </c>
      <c r="E1885" s="15">
        <v>124367.76</v>
      </c>
      <c r="F1885" s="237">
        <v>42903</v>
      </c>
      <c r="G1885" s="15">
        <v>124367.76</v>
      </c>
      <c r="H1885" s="15">
        <f t="shared" si="29"/>
        <v>0</v>
      </c>
      <c r="I1885" s="236" t="s">
        <v>19682</v>
      </c>
    </row>
    <row r="1886" spans="1:9" x14ac:dyDescent="0.25">
      <c r="A1886" s="36">
        <v>42901</v>
      </c>
      <c r="B1886" s="18">
        <v>115987</v>
      </c>
      <c r="C1886" s="235" t="s">
        <v>19677</v>
      </c>
      <c r="D1886" s="236" t="s">
        <v>15858</v>
      </c>
      <c r="E1886" s="15">
        <v>3187.08</v>
      </c>
      <c r="F1886" s="237">
        <v>42901</v>
      </c>
      <c r="G1886" s="15">
        <v>3187.08</v>
      </c>
      <c r="H1886" s="15">
        <f t="shared" si="29"/>
        <v>0</v>
      </c>
      <c r="I1886" s="236" t="s">
        <v>19682</v>
      </c>
    </row>
    <row r="1887" spans="1:9" x14ac:dyDescent="0.25">
      <c r="A1887" s="242">
        <v>42901</v>
      </c>
      <c r="B1887" s="18">
        <v>115988</v>
      </c>
      <c r="C1887" s="235" t="s">
        <v>19677</v>
      </c>
      <c r="D1887" s="236" t="s">
        <v>18258</v>
      </c>
      <c r="E1887" s="15">
        <v>6165</v>
      </c>
      <c r="F1887" s="237">
        <v>42901</v>
      </c>
      <c r="G1887" s="15">
        <v>6165</v>
      </c>
      <c r="H1887" s="15">
        <f t="shared" si="29"/>
        <v>0</v>
      </c>
      <c r="I1887" s="236" t="s">
        <v>19682</v>
      </c>
    </row>
    <row r="1888" spans="1:9" x14ac:dyDescent="0.25">
      <c r="A1888" s="36">
        <v>42901</v>
      </c>
      <c r="B1888" s="18">
        <v>115989</v>
      </c>
      <c r="C1888" s="235" t="s">
        <v>19677</v>
      </c>
      <c r="D1888" s="236" t="s">
        <v>15258</v>
      </c>
      <c r="E1888" s="15">
        <v>10842</v>
      </c>
      <c r="F1888" s="237">
        <v>42905</v>
      </c>
      <c r="G1888" s="15">
        <v>10842</v>
      </c>
      <c r="H1888" s="15">
        <f t="shared" si="29"/>
        <v>0</v>
      </c>
      <c r="I1888" s="236" t="s">
        <v>19682</v>
      </c>
    </row>
    <row r="1889" spans="1:9" x14ac:dyDescent="0.25">
      <c r="A1889" s="242">
        <v>42901</v>
      </c>
      <c r="B1889" s="18">
        <v>115990</v>
      </c>
      <c r="C1889" s="235" t="s">
        <v>19677</v>
      </c>
      <c r="D1889" s="236" t="s">
        <v>15234</v>
      </c>
      <c r="E1889" s="15">
        <v>3993.6</v>
      </c>
      <c r="F1889" s="237">
        <v>42905</v>
      </c>
      <c r="G1889" s="15">
        <v>3993.6</v>
      </c>
      <c r="H1889" s="15">
        <f t="shared" si="29"/>
        <v>0</v>
      </c>
      <c r="I1889" s="236" t="s">
        <v>19682</v>
      </c>
    </row>
    <row r="1890" spans="1:9" ht="15.75" x14ac:dyDescent="0.25">
      <c r="A1890" s="36">
        <v>42901</v>
      </c>
      <c r="B1890" s="18">
        <v>115991</v>
      </c>
      <c r="C1890" s="235" t="s">
        <v>19677</v>
      </c>
      <c r="D1890" s="248" t="s">
        <v>95</v>
      </c>
      <c r="E1890" s="15">
        <v>0</v>
      </c>
      <c r="F1890" s="243" t="s">
        <v>95</v>
      </c>
      <c r="G1890" s="15">
        <v>0</v>
      </c>
      <c r="H1890" s="15">
        <f t="shared" si="29"/>
        <v>0</v>
      </c>
      <c r="I1890" s="236" t="s">
        <v>19678</v>
      </c>
    </row>
    <row r="1891" spans="1:9" x14ac:dyDescent="0.25">
      <c r="A1891" s="242">
        <v>42901</v>
      </c>
      <c r="B1891" s="18">
        <v>115992</v>
      </c>
      <c r="C1891" s="235" t="s">
        <v>19677</v>
      </c>
      <c r="D1891" s="236" t="s">
        <v>15442</v>
      </c>
      <c r="E1891" s="15">
        <v>17774.400000000001</v>
      </c>
      <c r="F1891" s="237">
        <v>42907</v>
      </c>
      <c r="G1891" s="15">
        <v>17774.400000000001</v>
      </c>
      <c r="H1891" s="15">
        <f t="shared" si="29"/>
        <v>0</v>
      </c>
      <c r="I1891" s="236" t="s">
        <v>19682</v>
      </c>
    </row>
    <row r="1892" spans="1:9" x14ac:dyDescent="0.25">
      <c r="A1892" s="36">
        <v>42901</v>
      </c>
      <c r="B1892" s="18">
        <v>115993</v>
      </c>
      <c r="C1892" s="235" t="s">
        <v>19677</v>
      </c>
      <c r="D1892" s="236" t="s">
        <v>15223</v>
      </c>
      <c r="E1892" s="15">
        <v>48593.2</v>
      </c>
      <c r="F1892" s="266" t="s">
        <v>19798</v>
      </c>
      <c r="G1892" s="133">
        <f>47897.75+695.45</f>
        <v>48593.2</v>
      </c>
      <c r="H1892" s="241">
        <f t="shared" si="29"/>
        <v>0</v>
      </c>
      <c r="I1892" s="236" t="s">
        <v>19682</v>
      </c>
    </row>
    <row r="1893" spans="1:9" x14ac:dyDescent="0.25">
      <c r="A1893" s="242">
        <v>42901</v>
      </c>
      <c r="B1893" s="18">
        <v>115994</v>
      </c>
      <c r="C1893" s="235" t="s">
        <v>19677</v>
      </c>
      <c r="D1893" s="236" t="s">
        <v>15344</v>
      </c>
      <c r="E1893" s="15">
        <v>4397.8599999999997</v>
      </c>
      <c r="F1893" s="237">
        <v>42901</v>
      </c>
      <c r="G1893" s="15">
        <v>4397.8599999999997</v>
      </c>
      <c r="H1893" s="15">
        <f t="shared" si="29"/>
        <v>0</v>
      </c>
      <c r="I1893" s="236" t="s">
        <v>19682</v>
      </c>
    </row>
    <row r="1894" spans="1:9" x14ac:dyDescent="0.25">
      <c r="A1894" s="36">
        <v>42901</v>
      </c>
      <c r="B1894" s="18">
        <v>115995</v>
      </c>
      <c r="C1894" s="235" t="s">
        <v>19677</v>
      </c>
      <c r="D1894" s="236" t="s">
        <v>15526</v>
      </c>
      <c r="E1894" s="15">
        <v>3026.8</v>
      </c>
      <c r="F1894" s="237">
        <v>42901</v>
      </c>
      <c r="G1894" s="15">
        <v>3026.8</v>
      </c>
      <c r="H1894" s="15">
        <f t="shared" si="29"/>
        <v>0</v>
      </c>
      <c r="I1894" s="236" t="s">
        <v>19682</v>
      </c>
    </row>
    <row r="1895" spans="1:9" x14ac:dyDescent="0.25">
      <c r="A1895" s="242">
        <v>42901</v>
      </c>
      <c r="B1895" s="18">
        <v>115996</v>
      </c>
      <c r="C1895" s="235" t="s">
        <v>19677</v>
      </c>
      <c r="D1895" s="236" t="s">
        <v>15350</v>
      </c>
      <c r="E1895" s="15">
        <v>460</v>
      </c>
      <c r="F1895" s="237">
        <v>42901</v>
      </c>
      <c r="G1895" s="15">
        <v>460</v>
      </c>
      <c r="H1895" s="15">
        <f t="shared" si="29"/>
        <v>0</v>
      </c>
      <c r="I1895" s="236" t="s">
        <v>19682</v>
      </c>
    </row>
    <row r="1896" spans="1:9" x14ac:dyDescent="0.25">
      <c r="A1896" s="36">
        <v>42901</v>
      </c>
      <c r="B1896" s="18">
        <v>115997</v>
      </c>
      <c r="C1896" s="235" t="s">
        <v>19677</v>
      </c>
      <c r="D1896" s="236" t="s">
        <v>15358</v>
      </c>
      <c r="E1896" s="15">
        <v>2236.5</v>
      </c>
      <c r="F1896" s="237">
        <v>42901</v>
      </c>
      <c r="G1896" s="15">
        <v>2236.5</v>
      </c>
      <c r="H1896" s="15">
        <f t="shared" si="29"/>
        <v>0</v>
      </c>
      <c r="I1896" s="236" t="s">
        <v>19682</v>
      </c>
    </row>
    <row r="1897" spans="1:9" x14ac:dyDescent="0.25">
      <c r="A1897" s="242">
        <v>42901</v>
      </c>
      <c r="B1897" s="18">
        <v>115998</v>
      </c>
      <c r="C1897" s="235" t="s">
        <v>19677</v>
      </c>
      <c r="D1897" s="236" t="s">
        <v>15523</v>
      </c>
      <c r="E1897" s="15">
        <v>2300</v>
      </c>
      <c r="F1897" s="237">
        <v>42901</v>
      </c>
      <c r="G1897" s="15">
        <v>2300</v>
      </c>
      <c r="H1897" s="15">
        <f t="shared" si="29"/>
        <v>0</v>
      </c>
      <c r="I1897" s="236" t="s">
        <v>19682</v>
      </c>
    </row>
    <row r="1898" spans="1:9" x14ac:dyDescent="0.25">
      <c r="A1898" s="36">
        <v>42901</v>
      </c>
      <c r="B1898" s="18">
        <v>115999</v>
      </c>
      <c r="C1898" s="235" t="s">
        <v>19677</v>
      </c>
      <c r="D1898" s="236" t="s">
        <v>15332</v>
      </c>
      <c r="E1898" s="15">
        <v>3575</v>
      </c>
      <c r="F1898" s="237">
        <v>42901</v>
      </c>
      <c r="G1898" s="15">
        <v>3575</v>
      </c>
      <c r="H1898" s="15">
        <f t="shared" si="29"/>
        <v>0</v>
      </c>
      <c r="I1898" s="236" t="s">
        <v>19682</v>
      </c>
    </row>
    <row r="1899" spans="1:9" ht="15.75" x14ac:dyDescent="0.25">
      <c r="A1899" s="242">
        <v>42901</v>
      </c>
      <c r="B1899" s="18">
        <v>116000</v>
      </c>
      <c r="C1899" s="235" t="s">
        <v>19677</v>
      </c>
      <c r="D1899" s="248" t="s">
        <v>95</v>
      </c>
      <c r="E1899" s="15">
        <v>0</v>
      </c>
      <c r="F1899" s="243" t="s">
        <v>95</v>
      </c>
      <c r="G1899" s="15">
        <v>0</v>
      </c>
      <c r="H1899" s="15">
        <f t="shared" si="29"/>
        <v>0</v>
      </c>
      <c r="I1899" s="236" t="s">
        <v>19678</v>
      </c>
    </row>
    <row r="1900" spans="1:9" x14ac:dyDescent="0.25">
      <c r="A1900" s="36">
        <v>42901</v>
      </c>
      <c r="B1900" s="18">
        <v>116001</v>
      </c>
      <c r="C1900" s="235" t="s">
        <v>19677</v>
      </c>
      <c r="D1900" s="236" t="s">
        <v>18544</v>
      </c>
      <c r="E1900" s="15">
        <v>8208.6</v>
      </c>
      <c r="F1900" s="237">
        <v>42901</v>
      </c>
      <c r="G1900" s="15">
        <v>8208.6</v>
      </c>
      <c r="H1900" s="15">
        <f t="shared" si="29"/>
        <v>0</v>
      </c>
      <c r="I1900" s="236" t="s">
        <v>19682</v>
      </c>
    </row>
    <row r="1901" spans="1:9" x14ac:dyDescent="0.25">
      <c r="A1901" s="242">
        <v>42901</v>
      </c>
      <c r="B1901" s="18">
        <v>116002</v>
      </c>
      <c r="C1901" s="235" t="s">
        <v>19677</v>
      </c>
      <c r="D1901" s="236" t="s">
        <v>15263</v>
      </c>
      <c r="E1901" s="15">
        <v>1821.8</v>
      </c>
      <c r="F1901" s="237">
        <v>42901</v>
      </c>
      <c r="G1901" s="15">
        <v>1821.8</v>
      </c>
      <c r="H1901" s="15">
        <f t="shared" si="29"/>
        <v>0</v>
      </c>
      <c r="I1901" s="236" t="s">
        <v>19682</v>
      </c>
    </row>
    <row r="1902" spans="1:9" x14ac:dyDescent="0.25">
      <c r="A1902" s="36">
        <v>42901</v>
      </c>
      <c r="B1902" s="18">
        <v>116003</v>
      </c>
      <c r="C1902" s="235" t="s">
        <v>19677</v>
      </c>
      <c r="D1902" s="236" t="s">
        <v>15861</v>
      </c>
      <c r="E1902" s="15">
        <v>5554.6</v>
      </c>
      <c r="F1902" s="237">
        <v>42901</v>
      </c>
      <c r="G1902" s="15">
        <v>5554.6</v>
      </c>
      <c r="H1902" s="15">
        <f t="shared" si="29"/>
        <v>0</v>
      </c>
      <c r="I1902" s="236" t="s">
        <v>19682</v>
      </c>
    </row>
    <row r="1903" spans="1:9" x14ac:dyDescent="0.25">
      <c r="A1903" s="242">
        <v>42901</v>
      </c>
      <c r="B1903" s="18">
        <v>116004</v>
      </c>
      <c r="C1903" s="235" t="s">
        <v>19677</v>
      </c>
      <c r="D1903" s="236" t="s">
        <v>15858</v>
      </c>
      <c r="E1903" s="15">
        <v>341</v>
      </c>
      <c r="F1903" s="237">
        <v>42901</v>
      </c>
      <c r="G1903" s="15">
        <v>341</v>
      </c>
      <c r="H1903" s="15">
        <f t="shared" si="29"/>
        <v>0</v>
      </c>
      <c r="I1903" s="236" t="s">
        <v>19682</v>
      </c>
    </row>
    <row r="1904" spans="1:9" x14ac:dyDescent="0.25">
      <c r="A1904" s="36">
        <v>42901</v>
      </c>
      <c r="B1904" s="18">
        <v>116005</v>
      </c>
      <c r="C1904" s="235" t="s">
        <v>19677</v>
      </c>
      <c r="D1904" s="236" t="s">
        <v>15240</v>
      </c>
      <c r="E1904" s="15">
        <v>3434.9</v>
      </c>
      <c r="F1904" s="237">
        <v>42902</v>
      </c>
      <c r="G1904" s="15">
        <v>3434.9</v>
      </c>
      <c r="H1904" s="15">
        <f t="shared" si="29"/>
        <v>0</v>
      </c>
      <c r="I1904" s="236" t="s">
        <v>19682</v>
      </c>
    </row>
    <row r="1905" spans="1:9" x14ac:dyDescent="0.25">
      <c r="A1905" s="242">
        <v>42901</v>
      </c>
      <c r="B1905" s="18">
        <v>116006</v>
      </c>
      <c r="C1905" s="235" t="s">
        <v>19677</v>
      </c>
      <c r="D1905" s="236" t="s">
        <v>15348</v>
      </c>
      <c r="E1905" s="15">
        <v>596.4</v>
      </c>
      <c r="F1905" s="237">
        <v>42902</v>
      </c>
      <c r="G1905" s="15">
        <v>596.4</v>
      </c>
      <c r="H1905" s="15">
        <f t="shared" si="29"/>
        <v>0</v>
      </c>
      <c r="I1905" s="236" t="s">
        <v>19682</v>
      </c>
    </row>
    <row r="1906" spans="1:9" x14ac:dyDescent="0.25">
      <c r="A1906" s="36">
        <v>42901</v>
      </c>
      <c r="B1906" s="18">
        <v>116007</v>
      </c>
      <c r="C1906" s="235" t="s">
        <v>19677</v>
      </c>
      <c r="D1906" s="236" t="s">
        <v>17462</v>
      </c>
      <c r="E1906" s="15">
        <v>6660.2</v>
      </c>
      <c r="F1906" s="237">
        <v>42901</v>
      </c>
      <c r="G1906" s="15">
        <v>6660.2</v>
      </c>
      <c r="H1906" s="15">
        <f t="shared" si="29"/>
        <v>0</v>
      </c>
      <c r="I1906" s="236" t="s">
        <v>19682</v>
      </c>
    </row>
    <row r="1907" spans="1:9" x14ac:dyDescent="0.25">
      <c r="A1907" s="242">
        <v>42901</v>
      </c>
      <c r="B1907" s="18">
        <v>116008</v>
      </c>
      <c r="C1907" s="235" t="s">
        <v>19677</v>
      </c>
      <c r="D1907" s="236" t="s">
        <v>15334</v>
      </c>
      <c r="E1907" s="15">
        <v>1720</v>
      </c>
      <c r="F1907" s="237">
        <v>42901</v>
      </c>
      <c r="G1907" s="15">
        <v>1720</v>
      </c>
      <c r="H1907" s="15">
        <f t="shared" si="29"/>
        <v>0</v>
      </c>
      <c r="I1907" s="236" t="s">
        <v>19682</v>
      </c>
    </row>
    <row r="1908" spans="1:9" x14ac:dyDescent="0.25">
      <c r="A1908" s="36">
        <v>42901</v>
      </c>
      <c r="B1908" s="18">
        <v>116009</v>
      </c>
      <c r="C1908" s="235" t="s">
        <v>19677</v>
      </c>
      <c r="D1908" s="236" t="s">
        <v>5556</v>
      </c>
      <c r="E1908" s="15">
        <v>47212</v>
      </c>
      <c r="F1908" s="237">
        <v>42903</v>
      </c>
      <c r="G1908" s="15">
        <v>47212</v>
      </c>
      <c r="H1908" s="15">
        <f t="shared" si="29"/>
        <v>0</v>
      </c>
      <c r="I1908" s="236" t="s">
        <v>19682</v>
      </c>
    </row>
    <row r="1909" spans="1:9" x14ac:dyDescent="0.25">
      <c r="A1909" s="242">
        <v>42901</v>
      </c>
      <c r="B1909" s="18">
        <v>116010</v>
      </c>
      <c r="C1909" s="235" t="s">
        <v>19677</v>
      </c>
      <c r="D1909" s="236" t="s">
        <v>15315</v>
      </c>
      <c r="E1909" s="15">
        <v>2978.9</v>
      </c>
      <c r="F1909" s="237">
        <v>42901</v>
      </c>
      <c r="G1909" s="15">
        <v>2978.9</v>
      </c>
      <c r="H1909" s="15">
        <f t="shared" si="29"/>
        <v>0</v>
      </c>
      <c r="I1909" s="236" t="s">
        <v>19682</v>
      </c>
    </row>
    <row r="1910" spans="1:9" x14ac:dyDescent="0.25">
      <c r="A1910" s="36">
        <v>42901</v>
      </c>
      <c r="B1910" s="18">
        <v>116011</v>
      </c>
      <c r="C1910" s="235" t="s">
        <v>19677</v>
      </c>
      <c r="D1910" s="236" t="s">
        <v>15352</v>
      </c>
      <c r="E1910" s="15">
        <v>581</v>
      </c>
      <c r="F1910" s="237">
        <v>42901</v>
      </c>
      <c r="G1910" s="15">
        <v>581</v>
      </c>
      <c r="H1910" s="15">
        <f t="shared" si="29"/>
        <v>0</v>
      </c>
      <c r="I1910" s="236" t="s">
        <v>19682</v>
      </c>
    </row>
    <row r="1911" spans="1:9" x14ac:dyDescent="0.25">
      <c r="A1911" s="242">
        <v>42901</v>
      </c>
      <c r="B1911" s="18">
        <v>116012</v>
      </c>
      <c r="C1911" s="235" t="s">
        <v>19677</v>
      </c>
      <c r="D1911" s="236" t="s">
        <v>15328</v>
      </c>
      <c r="E1911" s="15">
        <v>17937.16</v>
      </c>
      <c r="F1911" s="237">
        <v>42909</v>
      </c>
      <c r="G1911" s="15">
        <v>17937.16</v>
      </c>
      <c r="H1911" s="15">
        <f t="shared" si="29"/>
        <v>0</v>
      </c>
      <c r="I1911" s="236" t="s">
        <v>19682</v>
      </c>
    </row>
    <row r="1912" spans="1:9" x14ac:dyDescent="0.25">
      <c r="A1912" s="36">
        <v>42901</v>
      </c>
      <c r="B1912" s="18">
        <v>116013</v>
      </c>
      <c r="C1912" s="235" t="s">
        <v>19677</v>
      </c>
      <c r="D1912" s="236" t="s">
        <v>15315</v>
      </c>
      <c r="E1912" s="15">
        <v>357.2</v>
      </c>
      <c r="F1912" s="237">
        <v>42901</v>
      </c>
      <c r="G1912" s="15">
        <v>357.2</v>
      </c>
      <c r="H1912" s="15">
        <f t="shared" si="29"/>
        <v>0</v>
      </c>
      <c r="I1912" s="236" t="s">
        <v>19682</v>
      </c>
    </row>
    <row r="1913" spans="1:9" x14ac:dyDescent="0.25">
      <c r="A1913" s="242">
        <v>42901</v>
      </c>
      <c r="B1913" s="18">
        <v>116014</v>
      </c>
      <c r="C1913" s="235" t="s">
        <v>19677</v>
      </c>
      <c r="D1913" s="236" t="s">
        <v>15256</v>
      </c>
      <c r="E1913" s="15">
        <v>5716.8</v>
      </c>
      <c r="F1913" s="237" t="s">
        <v>19736</v>
      </c>
      <c r="G1913" s="241">
        <f>4800+916.8</f>
        <v>5716.8</v>
      </c>
      <c r="H1913" s="241">
        <f t="shared" si="29"/>
        <v>0</v>
      </c>
      <c r="I1913" s="236" t="s">
        <v>19682</v>
      </c>
    </row>
    <row r="1914" spans="1:9" x14ac:dyDescent="0.25">
      <c r="A1914" s="36">
        <v>42901</v>
      </c>
      <c r="B1914" s="18">
        <v>116015</v>
      </c>
      <c r="C1914" s="235" t="s">
        <v>19677</v>
      </c>
      <c r="D1914" s="236" t="s">
        <v>15356</v>
      </c>
      <c r="E1914" s="15">
        <v>2191.6</v>
      </c>
      <c r="F1914" s="237">
        <v>42901</v>
      </c>
      <c r="G1914" s="15">
        <v>2191.6</v>
      </c>
      <c r="H1914" s="15">
        <f t="shared" si="29"/>
        <v>0</v>
      </c>
      <c r="I1914" s="236" t="s">
        <v>19682</v>
      </c>
    </row>
    <row r="1915" spans="1:9" x14ac:dyDescent="0.25">
      <c r="A1915" s="242">
        <v>42901</v>
      </c>
      <c r="B1915" s="18">
        <v>116016</v>
      </c>
      <c r="C1915" s="235" t="s">
        <v>19677</v>
      </c>
      <c r="D1915" s="236" t="s">
        <v>15226</v>
      </c>
      <c r="E1915" s="15">
        <v>1720.4</v>
      </c>
      <c r="F1915" s="237">
        <v>42905</v>
      </c>
      <c r="G1915" s="15">
        <v>1720.4</v>
      </c>
      <c r="H1915" s="15">
        <f t="shared" si="29"/>
        <v>0</v>
      </c>
      <c r="I1915" s="236" t="s">
        <v>19682</v>
      </c>
    </row>
    <row r="1916" spans="1:9" x14ac:dyDescent="0.25">
      <c r="A1916" s="36">
        <v>42901</v>
      </c>
      <c r="B1916" s="18">
        <v>116017</v>
      </c>
      <c r="C1916" s="235" t="s">
        <v>19677</v>
      </c>
      <c r="D1916" s="236" t="s">
        <v>5575</v>
      </c>
      <c r="E1916" s="15">
        <v>240</v>
      </c>
      <c r="F1916" s="237">
        <v>42902</v>
      </c>
      <c r="G1916" s="15">
        <v>240</v>
      </c>
      <c r="H1916" s="15">
        <f t="shared" si="29"/>
        <v>0</v>
      </c>
      <c r="I1916" s="236" t="s">
        <v>19682</v>
      </c>
    </row>
    <row r="1917" spans="1:9" x14ac:dyDescent="0.25">
      <c r="A1917" s="242">
        <v>42901</v>
      </c>
      <c r="B1917" s="18">
        <v>116018</v>
      </c>
      <c r="C1917" s="235" t="s">
        <v>19677</v>
      </c>
      <c r="D1917" s="236" t="s">
        <v>15480</v>
      </c>
      <c r="E1917" s="15">
        <v>4117.2</v>
      </c>
      <c r="F1917" s="237">
        <v>42903</v>
      </c>
      <c r="G1917" s="15">
        <v>4117.2</v>
      </c>
      <c r="H1917" s="15">
        <f t="shared" si="29"/>
        <v>0</v>
      </c>
      <c r="I1917" s="236" t="s">
        <v>19682</v>
      </c>
    </row>
    <row r="1918" spans="1:9" ht="15.75" x14ac:dyDescent="0.25">
      <c r="A1918" s="36">
        <v>42901</v>
      </c>
      <c r="B1918" s="18">
        <v>116019</v>
      </c>
      <c r="C1918" s="235" t="s">
        <v>19677</v>
      </c>
      <c r="D1918" s="248" t="s">
        <v>95</v>
      </c>
      <c r="E1918" s="15">
        <v>0</v>
      </c>
      <c r="F1918" s="243" t="s">
        <v>95</v>
      </c>
      <c r="G1918" s="15">
        <v>0</v>
      </c>
      <c r="H1918" s="15">
        <f t="shared" si="29"/>
        <v>0</v>
      </c>
      <c r="I1918" s="236" t="s">
        <v>19678</v>
      </c>
    </row>
    <row r="1919" spans="1:9" x14ac:dyDescent="0.25">
      <c r="A1919" s="242">
        <v>42901</v>
      </c>
      <c r="B1919" s="18">
        <v>116020</v>
      </c>
      <c r="C1919" s="235" t="s">
        <v>19677</v>
      </c>
      <c r="D1919" s="236" t="s">
        <v>15238</v>
      </c>
      <c r="E1919" s="15">
        <v>8002.8</v>
      </c>
      <c r="F1919" s="237">
        <v>42903</v>
      </c>
      <c r="G1919" s="15">
        <v>8002.8</v>
      </c>
      <c r="H1919" s="15">
        <f t="shared" si="29"/>
        <v>0</v>
      </c>
      <c r="I1919" s="236" t="s">
        <v>19682</v>
      </c>
    </row>
    <row r="1920" spans="1:9" x14ac:dyDescent="0.25">
      <c r="A1920" s="36">
        <v>42901</v>
      </c>
      <c r="B1920" s="18">
        <v>116021</v>
      </c>
      <c r="C1920" s="235" t="s">
        <v>19677</v>
      </c>
      <c r="D1920" s="236" t="s">
        <v>15236</v>
      </c>
      <c r="E1920" s="15">
        <v>408</v>
      </c>
      <c r="F1920" s="237">
        <v>42903</v>
      </c>
      <c r="G1920" s="15">
        <v>408</v>
      </c>
      <c r="H1920" s="15">
        <f t="shared" si="29"/>
        <v>0</v>
      </c>
      <c r="I1920" s="236" t="s">
        <v>19682</v>
      </c>
    </row>
    <row r="1921" spans="1:9" x14ac:dyDescent="0.25">
      <c r="A1921" s="242">
        <v>42901</v>
      </c>
      <c r="B1921" s="18">
        <v>116022</v>
      </c>
      <c r="C1921" s="235" t="s">
        <v>19677</v>
      </c>
      <c r="D1921" s="236" t="s">
        <v>15668</v>
      </c>
      <c r="E1921" s="15">
        <v>26586.2</v>
      </c>
      <c r="F1921" s="237">
        <v>42905</v>
      </c>
      <c r="G1921" s="15">
        <v>26586.2</v>
      </c>
      <c r="H1921" s="15">
        <f t="shared" si="29"/>
        <v>0</v>
      </c>
      <c r="I1921" s="236" t="s">
        <v>19682</v>
      </c>
    </row>
    <row r="1922" spans="1:9" x14ac:dyDescent="0.25">
      <c r="A1922" s="36">
        <v>42901</v>
      </c>
      <c r="B1922" s="18">
        <v>116023</v>
      </c>
      <c r="C1922" s="235" t="s">
        <v>19677</v>
      </c>
      <c r="D1922" s="236" t="s">
        <v>15242</v>
      </c>
      <c r="E1922" s="15">
        <v>13566</v>
      </c>
      <c r="F1922" s="237">
        <v>42901</v>
      </c>
      <c r="G1922" s="15">
        <v>13566</v>
      </c>
      <c r="H1922" s="15">
        <f t="shared" ref="H1922:H1985" si="30">E1922-G1922</f>
        <v>0</v>
      </c>
      <c r="I1922" s="236" t="s">
        <v>19682</v>
      </c>
    </row>
    <row r="1923" spans="1:9" x14ac:dyDescent="0.25">
      <c r="A1923" s="242">
        <v>42901</v>
      </c>
      <c r="B1923" s="18">
        <v>116024</v>
      </c>
      <c r="C1923" s="235" t="s">
        <v>19677</v>
      </c>
      <c r="D1923" s="236" t="s">
        <v>16484</v>
      </c>
      <c r="E1923" s="15">
        <v>1383.2</v>
      </c>
      <c r="F1923" s="237">
        <v>42901</v>
      </c>
      <c r="G1923" s="15">
        <v>1383.2</v>
      </c>
      <c r="H1923" s="15">
        <f t="shared" si="30"/>
        <v>0</v>
      </c>
      <c r="I1923" s="236" t="s">
        <v>19682</v>
      </c>
    </row>
    <row r="1924" spans="1:9" x14ac:dyDescent="0.25">
      <c r="A1924" s="36">
        <v>42901</v>
      </c>
      <c r="B1924" s="18">
        <v>116025</v>
      </c>
      <c r="C1924" s="235" t="s">
        <v>19677</v>
      </c>
      <c r="D1924" s="236" t="s">
        <v>15284</v>
      </c>
      <c r="E1924" s="15">
        <v>3580.7</v>
      </c>
      <c r="F1924" s="237">
        <v>42901</v>
      </c>
      <c r="G1924" s="15">
        <v>3580.7</v>
      </c>
      <c r="H1924" s="15">
        <f t="shared" si="30"/>
        <v>0</v>
      </c>
      <c r="I1924" s="236" t="s">
        <v>19682</v>
      </c>
    </row>
    <row r="1925" spans="1:9" x14ac:dyDescent="0.25">
      <c r="A1925" s="242">
        <v>42901</v>
      </c>
      <c r="B1925" s="18">
        <v>116026</v>
      </c>
      <c r="C1925" s="235" t="s">
        <v>19677</v>
      </c>
      <c r="D1925" s="236" t="s">
        <v>15541</v>
      </c>
      <c r="E1925" s="15">
        <v>926</v>
      </c>
      <c r="F1925" s="237">
        <v>42901</v>
      </c>
      <c r="G1925" s="15">
        <v>926</v>
      </c>
      <c r="H1925" s="15">
        <f t="shared" si="30"/>
        <v>0</v>
      </c>
      <c r="I1925" s="236" t="s">
        <v>19682</v>
      </c>
    </row>
    <row r="1926" spans="1:9" x14ac:dyDescent="0.25">
      <c r="A1926" s="36">
        <v>42901</v>
      </c>
      <c r="B1926" s="18">
        <v>116027</v>
      </c>
      <c r="C1926" s="235" t="s">
        <v>19677</v>
      </c>
      <c r="D1926" s="236" t="s">
        <v>15338</v>
      </c>
      <c r="E1926" s="15">
        <v>10267.200000000001</v>
      </c>
      <c r="F1926" s="237">
        <v>42907</v>
      </c>
      <c r="G1926" s="15">
        <v>10267.200000000001</v>
      </c>
      <c r="H1926" s="15">
        <f t="shared" si="30"/>
        <v>0</v>
      </c>
      <c r="I1926" s="236" t="s">
        <v>19682</v>
      </c>
    </row>
    <row r="1927" spans="1:9" x14ac:dyDescent="0.25">
      <c r="A1927" s="242">
        <v>42901</v>
      </c>
      <c r="B1927" s="18">
        <v>116028</v>
      </c>
      <c r="C1927" s="235" t="s">
        <v>19677</v>
      </c>
      <c r="D1927" s="236" t="s">
        <v>15280</v>
      </c>
      <c r="E1927" s="15">
        <v>10524.3</v>
      </c>
      <c r="F1927" s="237">
        <v>42901</v>
      </c>
      <c r="G1927" s="15">
        <v>10524.3</v>
      </c>
      <c r="H1927" s="15">
        <f t="shared" si="30"/>
        <v>0</v>
      </c>
      <c r="I1927" s="236" t="s">
        <v>19682</v>
      </c>
    </row>
    <row r="1928" spans="1:9" x14ac:dyDescent="0.25">
      <c r="A1928" s="36">
        <v>42901</v>
      </c>
      <c r="B1928" s="18">
        <v>116029</v>
      </c>
      <c r="C1928" s="235" t="s">
        <v>19677</v>
      </c>
      <c r="D1928" s="236" t="s">
        <v>15252</v>
      </c>
      <c r="E1928" s="15">
        <v>4125.3999999999996</v>
      </c>
      <c r="F1928" s="237">
        <v>42905</v>
      </c>
      <c r="G1928" s="15">
        <v>4125.3999999999996</v>
      </c>
      <c r="H1928" s="15">
        <f t="shared" si="30"/>
        <v>0</v>
      </c>
      <c r="I1928" s="236" t="s">
        <v>19682</v>
      </c>
    </row>
    <row r="1929" spans="1:9" x14ac:dyDescent="0.25">
      <c r="A1929" s="242">
        <v>42901</v>
      </c>
      <c r="B1929" s="18">
        <v>116030</v>
      </c>
      <c r="C1929" s="235" t="s">
        <v>19677</v>
      </c>
      <c r="D1929" s="236" t="s">
        <v>15244</v>
      </c>
      <c r="E1929" s="15">
        <v>10034.9</v>
      </c>
      <c r="F1929" s="237">
        <v>42905</v>
      </c>
      <c r="G1929" s="15">
        <v>10034.9</v>
      </c>
      <c r="H1929" s="15">
        <f t="shared" si="30"/>
        <v>0</v>
      </c>
      <c r="I1929" s="236" t="s">
        <v>19682</v>
      </c>
    </row>
    <row r="1930" spans="1:9" x14ac:dyDescent="0.25">
      <c r="A1930" s="36">
        <v>42901</v>
      </c>
      <c r="B1930" s="18">
        <v>116031</v>
      </c>
      <c r="C1930" s="235" t="s">
        <v>19677</v>
      </c>
      <c r="D1930" s="236" t="s">
        <v>15549</v>
      </c>
      <c r="E1930" s="15">
        <v>13493.6</v>
      </c>
      <c r="F1930" s="237">
        <v>42903</v>
      </c>
      <c r="G1930" s="15">
        <v>13493.6</v>
      </c>
      <c r="H1930" s="15">
        <f t="shared" si="30"/>
        <v>0</v>
      </c>
      <c r="I1930" s="236" t="s">
        <v>19682</v>
      </c>
    </row>
    <row r="1931" spans="1:9" x14ac:dyDescent="0.25">
      <c r="A1931" s="242">
        <v>42901</v>
      </c>
      <c r="B1931" s="18">
        <v>116032</v>
      </c>
      <c r="C1931" s="235" t="s">
        <v>19677</v>
      </c>
      <c r="D1931" s="236" t="s">
        <v>15282</v>
      </c>
      <c r="E1931" s="15">
        <v>2243.9</v>
      </c>
      <c r="F1931" s="237">
        <v>42901</v>
      </c>
      <c r="G1931" s="15">
        <v>2243.9</v>
      </c>
      <c r="H1931" s="15">
        <f t="shared" si="30"/>
        <v>0</v>
      </c>
      <c r="I1931" s="236" t="s">
        <v>19682</v>
      </c>
    </row>
    <row r="1932" spans="1:9" x14ac:dyDescent="0.25">
      <c r="A1932" s="36">
        <v>42901</v>
      </c>
      <c r="B1932" s="18">
        <v>116033</v>
      </c>
      <c r="C1932" s="235" t="s">
        <v>19677</v>
      </c>
      <c r="D1932" s="236" t="s">
        <v>15530</v>
      </c>
      <c r="E1932" s="15">
        <v>888</v>
      </c>
      <c r="F1932" s="237">
        <v>42901</v>
      </c>
      <c r="G1932" s="15">
        <v>888</v>
      </c>
      <c r="H1932" s="15">
        <f t="shared" si="30"/>
        <v>0</v>
      </c>
      <c r="I1932" s="236" t="s">
        <v>19682</v>
      </c>
    </row>
    <row r="1933" spans="1:9" x14ac:dyDescent="0.25">
      <c r="A1933" s="242">
        <v>42901</v>
      </c>
      <c r="B1933" s="18">
        <v>116034</v>
      </c>
      <c r="C1933" s="235" t="s">
        <v>19677</v>
      </c>
      <c r="D1933" s="236" t="s">
        <v>15289</v>
      </c>
      <c r="E1933" s="15">
        <v>884.5</v>
      </c>
      <c r="F1933" s="237">
        <v>42901</v>
      </c>
      <c r="G1933" s="15">
        <v>884.5</v>
      </c>
      <c r="H1933" s="15">
        <f t="shared" si="30"/>
        <v>0</v>
      </c>
      <c r="I1933" s="236" t="s">
        <v>19682</v>
      </c>
    </row>
    <row r="1934" spans="1:9" x14ac:dyDescent="0.25">
      <c r="A1934" s="36">
        <v>42901</v>
      </c>
      <c r="B1934" s="18">
        <v>116035</v>
      </c>
      <c r="C1934" s="235" t="s">
        <v>19677</v>
      </c>
      <c r="D1934" s="236" t="s">
        <v>15856</v>
      </c>
      <c r="E1934" s="15">
        <v>13222.5</v>
      </c>
      <c r="F1934" s="237">
        <v>42902</v>
      </c>
      <c r="G1934" s="15">
        <v>13222.5</v>
      </c>
      <c r="H1934" s="15">
        <f t="shared" si="30"/>
        <v>0</v>
      </c>
      <c r="I1934" s="236" t="s">
        <v>19682</v>
      </c>
    </row>
    <row r="1935" spans="1:9" x14ac:dyDescent="0.25">
      <c r="A1935" s="242">
        <v>42901</v>
      </c>
      <c r="B1935" s="18">
        <v>116036</v>
      </c>
      <c r="C1935" s="235" t="s">
        <v>19677</v>
      </c>
      <c r="D1935" s="236" t="s">
        <v>15590</v>
      </c>
      <c r="E1935" s="15">
        <v>28501</v>
      </c>
      <c r="F1935" s="237">
        <v>42905</v>
      </c>
      <c r="G1935" s="15">
        <v>28501</v>
      </c>
      <c r="H1935" s="15">
        <f t="shared" si="30"/>
        <v>0</v>
      </c>
      <c r="I1935" s="236" t="s">
        <v>19682</v>
      </c>
    </row>
    <row r="1936" spans="1:9" x14ac:dyDescent="0.25">
      <c r="A1936" s="36">
        <v>42901</v>
      </c>
      <c r="B1936" s="18">
        <v>116037</v>
      </c>
      <c r="C1936" s="235" t="s">
        <v>19677</v>
      </c>
      <c r="D1936" s="236" t="s">
        <v>15725</v>
      </c>
      <c r="E1936" s="15">
        <v>36392</v>
      </c>
      <c r="F1936" s="237">
        <v>42904</v>
      </c>
      <c r="G1936" s="15">
        <v>36392</v>
      </c>
      <c r="H1936" s="15">
        <f t="shared" si="30"/>
        <v>0</v>
      </c>
      <c r="I1936" s="236" t="s">
        <v>19682</v>
      </c>
    </row>
    <row r="1937" spans="1:9" x14ac:dyDescent="0.25">
      <c r="A1937" s="242">
        <v>42901</v>
      </c>
      <c r="B1937" s="18">
        <v>116038</v>
      </c>
      <c r="C1937" s="235" t="s">
        <v>19677</v>
      </c>
      <c r="D1937" s="236" t="s">
        <v>15835</v>
      </c>
      <c r="E1937" s="15">
        <v>12285</v>
      </c>
      <c r="F1937" s="237">
        <v>42902</v>
      </c>
      <c r="G1937" s="15">
        <v>12285</v>
      </c>
      <c r="H1937" s="15">
        <f t="shared" si="30"/>
        <v>0</v>
      </c>
      <c r="I1937" s="236" t="s">
        <v>19682</v>
      </c>
    </row>
    <row r="1938" spans="1:9" x14ac:dyDescent="0.25">
      <c r="A1938" s="36">
        <v>42901</v>
      </c>
      <c r="B1938" s="18">
        <v>116039</v>
      </c>
      <c r="C1938" s="235" t="s">
        <v>19677</v>
      </c>
      <c r="D1938" s="236" t="s">
        <v>15315</v>
      </c>
      <c r="E1938" s="15">
        <v>2553</v>
      </c>
      <c r="F1938" s="237">
        <v>42901</v>
      </c>
      <c r="G1938" s="15">
        <v>2553</v>
      </c>
      <c r="H1938" s="15">
        <f t="shared" si="30"/>
        <v>0</v>
      </c>
      <c r="I1938" s="236" t="s">
        <v>19682</v>
      </c>
    </row>
    <row r="1939" spans="1:9" x14ac:dyDescent="0.25">
      <c r="A1939" s="242">
        <v>42901</v>
      </c>
      <c r="B1939" s="18">
        <v>116040</v>
      </c>
      <c r="C1939" s="235" t="s">
        <v>19677</v>
      </c>
      <c r="D1939" s="236" t="s">
        <v>15510</v>
      </c>
      <c r="E1939" s="15">
        <v>19080</v>
      </c>
      <c r="F1939" s="237">
        <v>42901</v>
      </c>
      <c r="G1939" s="15">
        <v>19080</v>
      </c>
      <c r="H1939" s="15">
        <f t="shared" si="30"/>
        <v>0</v>
      </c>
      <c r="I1939" s="236" t="s">
        <v>19682</v>
      </c>
    </row>
    <row r="1940" spans="1:9" x14ac:dyDescent="0.25">
      <c r="A1940" s="36">
        <v>42901</v>
      </c>
      <c r="B1940" s="18">
        <v>116041</v>
      </c>
      <c r="C1940" s="235" t="s">
        <v>19677</v>
      </c>
      <c r="D1940" s="236" t="s">
        <v>15315</v>
      </c>
      <c r="E1940" s="15">
        <v>2608.1999999999998</v>
      </c>
      <c r="F1940" s="237">
        <v>42901</v>
      </c>
      <c r="G1940" s="15">
        <v>2608.1999999999998</v>
      </c>
      <c r="H1940" s="15">
        <f t="shared" si="30"/>
        <v>0</v>
      </c>
      <c r="I1940" s="236" t="s">
        <v>19682</v>
      </c>
    </row>
    <row r="1941" spans="1:9" x14ac:dyDescent="0.25">
      <c r="A1941" s="242">
        <v>42901</v>
      </c>
      <c r="B1941" s="18">
        <v>116042</v>
      </c>
      <c r="C1941" s="235" t="s">
        <v>19677</v>
      </c>
      <c r="D1941" s="236" t="s">
        <v>15309</v>
      </c>
      <c r="E1941" s="15">
        <v>23595.8</v>
      </c>
      <c r="F1941" s="237">
        <v>42902</v>
      </c>
      <c r="G1941" s="15">
        <v>23595.8</v>
      </c>
      <c r="H1941" s="15">
        <f t="shared" si="30"/>
        <v>0</v>
      </c>
      <c r="I1941" s="236" t="s">
        <v>19682</v>
      </c>
    </row>
    <row r="1942" spans="1:9" x14ac:dyDescent="0.25">
      <c r="A1942" s="36">
        <v>42901</v>
      </c>
      <c r="B1942" s="18">
        <v>116043</v>
      </c>
      <c r="C1942" s="235" t="s">
        <v>19677</v>
      </c>
      <c r="D1942" s="236" t="s">
        <v>15305</v>
      </c>
      <c r="E1942" s="15">
        <v>1687</v>
      </c>
      <c r="F1942" s="237">
        <v>42902</v>
      </c>
      <c r="G1942" s="15">
        <v>1687</v>
      </c>
      <c r="H1942" s="15">
        <f t="shared" si="30"/>
        <v>0</v>
      </c>
      <c r="I1942" s="236" t="s">
        <v>19682</v>
      </c>
    </row>
    <row r="1943" spans="1:9" x14ac:dyDescent="0.25">
      <c r="A1943" s="242">
        <v>42901</v>
      </c>
      <c r="B1943" s="18">
        <v>116044</v>
      </c>
      <c r="C1943" s="235" t="s">
        <v>19677</v>
      </c>
      <c r="D1943" s="236" t="s">
        <v>15303</v>
      </c>
      <c r="E1943" s="15">
        <v>3977.4</v>
      </c>
      <c r="F1943" s="237">
        <v>42902</v>
      </c>
      <c r="G1943" s="15">
        <v>3977.4</v>
      </c>
      <c r="H1943" s="15">
        <f t="shared" si="30"/>
        <v>0</v>
      </c>
      <c r="I1943" s="236" t="s">
        <v>19682</v>
      </c>
    </row>
    <row r="1944" spans="1:9" x14ac:dyDescent="0.25">
      <c r="A1944" s="36">
        <v>42901</v>
      </c>
      <c r="B1944" s="18">
        <v>116045</v>
      </c>
      <c r="C1944" s="235" t="s">
        <v>19677</v>
      </c>
      <c r="D1944" s="236" t="s">
        <v>15415</v>
      </c>
      <c r="E1944" s="15">
        <v>4013.1</v>
      </c>
      <c r="F1944" s="237">
        <v>42902</v>
      </c>
      <c r="G1944" s="15">
        <v>4013.1</v>
      </c>
      <c r="H1944" s="15">
        <f t="shared" si="30"/>
        <v>0</v>
      </c>
      <c r="I1944" s="236" t="s">
        <v>19682</v>
      </c>
    </row>
    <row r="1945" spans="1:9" x14ac:dyDescent="0.25">
      <c r="A1945" s="242">
        <v>42901</v>
      </c>
      <c r="B1945" s="18">
        <v>116046</v>
      </c>
      <c r="C1945" s="235" t="s">
        <v>19677</v>
      </c>
      <c r="D1945" s="236" t="s">
        <v>15317</v>
      </c>
      <c r="E1945" s="15">
        <v>3136</v>
      </c>
      <c r="F1945" s="237">
        <v>42905</v>
      </c>
      <c r="G1945" s="15">
        <v>3136</v>
      </c>
      <c r="H1945" s="15">
        <f t="shared" si="30"/>
        <v>0</v>
      </c>
      <c r="I1945" s="236" t="s">
        <v>19682</v>
      </c>
    </row>
    <row r="1946" spans="1:9" x14ac:dyDescent="0.25">
      <c r="A1946" s="36">
        <v>42901</v>
      </c>
      <c r="B1946" s="18">
        <v>116047</v>
      </c>
      <c r="C1946" s="235" t="s">
        <v>19677</v>
      </c>
      <c r="D1946" s="236" t="s">
        <v>15311</v>
      </c>
      <c r="E1946" s="15">
        <v>1661.12</v>
      </c>
      <c r="F1946" s="237">
        <v>42902</v>
      </c>
      <c r="G1946" s="15">
        <v>1661.12</v>
      </c>
      <c r="H1946" s="15">
        <f t="shared" si="30"/>
        <v>0</v>
      </c>
      <c r="I1946" s="236" t="s">
        <v>19682</v>
      </c>
    </row>
    <row r="1947" spans="1:9" x14ac:dyDescent="0.25">
      <c r="A1947" s="242">
        <v>42901</v>
      </c>
      <c r="B1947" s="18">
        <v>116048</v>
      </c>
      <c r="C1947" s="235" t="s">
        <v>19677</v>
      </c>
      <c r="D1947" s="236" t="s">
        <v>17800</v>
      </c>
      <c r="E1947" s="15">
        <v>2733.6</v>
      </c>
      <c r="F1947" s="237">
        <v>42902</v>
      </c>
      <c r="G1947" s="15">
        <v>2733.6</v>
      </c>
      <c r="H1947" s="15">
        <f t="shared" si="30"/>
        <v>0</v>
      </c>
      <c r="I1947" s="236" t="s">
        <v>19682</v>
      </c>
    </row>
    <row r="1948" spans="1:9" x14ac:dyDescent="0.25">
      <c r="A1948" s="36">
        <v>42901</v>
      </c>
      <c r="B1948" s="18">
        <v>116049</v>
      </c>
      <c r="C1948" s="235" t="s">
        <v>19677</v>
      </c>
      <c r="D1948" s="236" t="s">
        <v>15291</v>
      </c>
      <c r="E1948" s="15">
        <v>736</v>
      </c>
      <c r="F1948" s="237">
        <v>42902</v>
      </c>
      <c r="G1948" s="15">
        <v>736</v>
      </c>
      <c r="H1948" s="15">
        <f t="shared" si="30"/>
        <v>0</v>
      </c>
      <c r="I1948" s="236" t="s">
        <v>19682</v>
      </c>
    </row>
    <row r="1949" spans="1:9" x14ac:dyDescent="0.25">
      <c r="A1949" s="242">
        <v>42901</v>
      </c>
      <c r="B1949" s="18">
        <v>116050</v>
      </c>
      <c r="C1949" s="235" t="s">
        <v>19677</v>
      </c>
      <c r="D1949" s="236" t="s">
        <v>15313</v>
      </c>
      <c r="E1949" s="15">
        <v>3268.8</v>
      </c>
      <c r="F1949" s="237">
        <v>42902</v>
      </c>
      <c r="G1949" s="15">
        <v>3268.8</v>
      </c>
      <c r="H1949" s="15">
        <f t="shared" si="30"/>
        <v>0</v>
      </c>
      <c r="I1949" s="236" t="s">
        <v>19682</v>
      </c>
    </row>
    <row r="1950" spans="1:9" x14ac:dyDescent="0.25">
      <c r="A1950" s="36">
        <v>42901</v>
      </c>
      <c r="B1950" s="18">
        <v>116051</v>
      </c>
      <c r="C1950" s="235" t="s">
        <v>19677</v>
      </c>
      <c r="D1950" s="236" t="s">
        <v>15577</v>
      </c>
      <c r="E1950" s="15">
        <v>384</v>
      </c>
      <c r="F1950" s="237">
        <v>42901</v>
      </c>
      <c r="G1950" s="15">
        <v>384</v>
      </c>
      <c r="H1950" s="15">
        <f t="shared" si="30"/>
        <v>0</v>
      </c>
      <c r="I1950" s="236" t="s">
        <v>19682</v>
      </c>
    </row>
    <row r="1951" spans="1:9" x14ac:dyDescent="0.25">
      <c r="A1951" s="242">
        <v>42901</v>
      </c>
      <c r="B1951" s="18">
        <v>116052</v>
      </c>
      <c r="C1951" s="235" t="s">
        <v>19677</v>
      </c>
      <c r="D1951" s="236" t="s">
        <v>15246</v>
      </c>
      <c r="E1951" s="15">
        <v>143349.87</v>
      </c>
      <c r="F1951" s="237">
        <v>42903</v>
      </c>
      <c r="G1951" s="15">
        <v>143349.87</v>
      </c>
      <c r="H1951" s="15">
        <f t="shared" si="30"/>
        <v>0</v>
      </c>
      <c r="I1951" s="236" t="s">
        <v>19682</v>
      </c>
    </row>
    <row r="1952" spans="1:9" x14ac:dyDescent="0.25">
      <c r="A1952" s="36">
        <v>42901</v>
      </c>
      <c r="B1952" s="18">
        <v>116053</v>
      </c>
      <c r="C1952" s="235" t="s">
        <v>19677</v>
      </c>
      <c r="D1952" s="236" t="s">
        <v>17722</v>
      </c>
      <c r="E1952" s="15">
        <v>3471.3</v>
      </c>
      <c r="F1952" s="237">
        <v>42901</v>
      </c>
      <c r="G1952" s="15">
        <v>3471.3</v>
      </c>
      <c r="H1952" s="15">
        <f t="shared" si="30"/>
        <v>0</v>
      </c>
      <c r="I1952" s="236" t="s">
        <v>19682</v>
      </c>
    </row>
    <row r="1953" spans="1:9" x14ac:dyDescent="0.25">
      <c r="A1953" s="242">
        <v>42901</v>
      </c>
      <c r="B1953" s="18">
        <v>116054</v>
      </c>
      <c r="C1953" s="235" t="s">
        <v>19677</v>
      </c>
      <c r="D1953" s="236" t="s">
        <v>16108</v>
      </c>
      <c r="E1953" s="15">
        <v>257.3</v>
      </c>
      <c r="F1953" s="237">
        <v>42901</v>
      </c>
      <c r="G1953" s="15">
        <v>257.3</v>
      </c>
      <c r="H1953" s="15">
        <f t="shared" si="30"/>
        <v>0</v>
      </c>
      <c r="I1953" s="236" t="s">
        <v>19682</v>
      </c>
    </row>
    <row r="1954" spans="1:9" x14ac:dyDescent="0.25">
      <c r="A1954" s="36">
        <v>42901</v>
      </c>
      <c r="B1954" s="18">
        <v>116055</v>
      </c>
      <c r="C1954" s="235" t="s">
        <v>19677</v>
      </c>
      <c r="D1954" s="236" t="s">
        <v>18773</v>
      </c>
      <c r="E1954" s="15">
        <v>31160</v>
      </c>
      <c r="F1954" s="237">
        <v>42901</v>
      </c>
      <c r="G1954" s="15">
        <v>31160</v>
      </c>
      <c r="H1954" s="15">
        <f t="shared" si="30"/>
        <v>0</v>
      </c>
      <c r="I1954" s="236" t="s">
        <v>19682</v>
      </c>
    </row>
    <row r="1955" spans="1:9" x14ac:dyDescent="0.25">
      <c r="A1955" s="242">
        <v>42901</v>
      </c>
      <c r="B1955" s="18">
        <v>116056</v>
      </c>
      <c r="C1955" s="235" t="s">
        <v>19677</v>
      </c>
      <c r="D1955" s="236" t="s">
        <v>15396</v>
      </c>
      <c r="E1955" s="15">
        <v>10936.38</v>
      </c>
      <c r="F1955" s="237">
        <v>42901</v>
      </c>
      <c r="G1955" s="15">
        <v>10936.38</v>
      </c>
      <c r="H1955" s="15">
        <f t="shared" si="30"/>
        <v>0</v>
      </c>
      <c r="I1955" s="236" t="s">
        <v>19682</v>
      </c>
    </row>
    <row r="1956" spans="1:9" x14ac:dyDescent="0.25">
      <c r="A1956" s="36">
        <v>42901</v>
      </c>
      <c r="B1956" s="18">
        <v>116057</v>
      </c>
      <c r="C1956" s="235" t="s">
        <v>19677</v>
      </c>
      <c r="D1956" s="236" t="s">
        <v>15315</v>
      </c>
      <c r="E1956" s="15">
        <v>1380</v>
      </c>
      <c r="F1956" s="237">
        <v>42901</v>
      </c>
      <c r="G1956" s="15">
        <v>1380</v>
      </c>
      <c r="H1956" s="15">
        <f t="shared" si="30"/>
        <v>0</v>
      </c>
      <c r="I1956" s="236" t="s">
        <v>19682</v>
      </c>
    </row>
    <row r="1957" spans="1:9" x14ac:dyDescent="0.25">
      <c r="A1957" s="242">
        <v>42901</v>
      </c>
      <c r="B1957" s="18">
        <v>116058</v>
      </c>
      <c r="C1957" s="235" t="s">
        <v>19677</v>
      </c>
      <c r="D1957" s="236" t="s">
        <v>15378</v>
      </c>
      <c r="E1957" s="15">
        <v>689.6</v>
      </c>
      <c r="F1957" s="237">
        <v>42901</v>
      </c>
      <c r="G1957" s="15">
        <v>689.6</v>
      </c>
      <c r="H1957" s="15">
        <f t="shared" si="30"/>
        <v>0</v>
      </c>
      <c r="I1957" s="236" t="s">
        <v>19682</v>
      </c>
    </row>
    <row r="1958" spans="1:9" x14ac:dyDescent="0.25">
      <c r="A1958" s="36">
        <v>42901</v>
      </c>
      <c r="B1958" s="18">
        <v>116059</v>
      </c>
      <c r="C1958" s="235" t="s">
        <v>19677</v>
      </c>
      <c r="D1958" s="236" t="s">
        <v>17722</v>
      </c>
      <c r="E1958" s="15">
        <v>3121.2</v>
      </c>
      <c r="F1958" s="237">
        <v>42901</v>
      </c>
      <c r="G1958" s="15">
        <v>3121.2</v>
      </c>
      <c r="H1958" s="15">
        <f t="shared" si="30"/>
        <v>0</v>
      </c>
      <c r="I1958" s="236" t="s">
        <v>19682</v>
      </c>
    </row>
    <row r="1959" spans="1:9" x14ac:dyDescent="0.25">
      <c r="A1959" s="242">
        <v>42901</v>
      </c>
      <c r="B1959" s="18">
        <v>116060</v>
      </c>
      <c r="C1959" s="235" t="s">
        <v>19677</v>
      </c>
      <c r="D1959" s="236" t="s">
        <v>15566</v>
      </c>
      <c r="E1959" s="15">
        <v>3736</v>
      </c>
      <c r="F1959" s="237">
        <v>42901</v>
      </c>
      <c r="G1959" s="15">
        <v>3736</v>
      </c>
      <c r="H1959" s="15">
        <f t="shared" si="30"/>
        <v>0</v>
      </c>
      <c r="I1959" s="236" t="s">
        <v>19682</v>
      </c>
    </row>
    <row r="1960" spans="1:9" x14ac:dyDescent="0.25">
      <c r="A1960" s="36">
        <v>42901</v>
      </c>
      <c r="B1960" s="18">
        <v>116061</v>
      </c>
      <c r="C1960" s="235" t="s">
        <v>19677</v>
      </c>
      <c r="D1960" s="236" t="s">
        <v>15716</v>
      </c>
      <c r="E1960" s="15">
        <v>10352</v>
      </c>
      <c r="F1960" s="237">
        <v>42901</v>
      </c>
      <c r="G1960" s="15">
        <v>10352</v>
      </c>
      <c r="H1960" s="15">
        <f t="shared" si="30"/>
        <v>0</v>
      </c>
      <c r="I1960" s="236" t="s">
        <v>19682</v>
      </c>
    </row>
    <row r="1961" spans="1:9" x14ac:dyDescent="0.25">
      <c r="A1961" s="242">
        <v>42901</v>
      </c>
      <c r="B1961" s="18">
        <v>116062</v>
      </c>
      <c r="C1961" s="235" t="s">
        <v>19677</v>
      </c>
      <c r="D1961" s="236" t="s">
        <v>15562</v>
      </c>
      <c r="E1961" s="15">
        <v>3145</v>
      </c>
      <c r="F1961" s="237">
        <v>42901</v>
      </c>
      <c r="G1961" s="15">
        <v>3145</v>
      </c>
      <c r="H1961" s="15">
        <f t="shared" si="30"/>
        <v>0</v>
      </c>
      <c r="I1961" s="236" t="s">
        <v>19682</v>
      </c>
    </row>
    <row r="1962" spans="1:9" ht="15.75" x14ac:dyDescent="0.25">
      <c r="A1962" s="36">
        <v>42901</v>
      </c>
      <c r="B1962" s="18">
        <v>116063</v>
      </c>
      <c r="C1962" s="235" t="s">
        <v>19677</v>
      </c>
      <c r="D1962" s="248" t="s">
        <v>95</v>
      </c>
      <c r="E1962" s="15">
        <v>0</v>
      </c>
      <c r="F1962" s="243" t="s">
        <v>95</v>
      </c>
      <c r="G1962" s="15">
        <v>0</v>
      </c>
      <c r="H1962" s="15">
        <f t="shared" si="30"/>
        <v>0</v>
      </c>
      <c r="I1962" s="236" t="s">
        <v>19678</v>
      </c>
    </row>
    <row r="1963" spans="1:9" x14ac:dyDescent="0.25">
      <c r="A1963" s="242">
        <v>42901</v>
      </c>
      <c r="B1963" s="18">
        <v>116064</v>
      </c>
      <c r="C1963" s="235" t="s">
        <v>19677</v>
      </c>
      <c r="D1963" s="236" t="s">
        <v>15398</v>
      </c>
      <c r="E1963" s="15">
        <v>1973.7</v>
      </c>
      <c r="F1963" s="237">
        <v>42901</v>
      </c>
      <c r="G1963" s="15">
        <v>1973.7</v>
      </c>
      <c r="H1963" s="15">
        <f t="shared" si="30"/>
        <v>0</v>
      </c>
      <c r="I1963" s="236" t="s">
        <v>19682</v>
      </c>
    </row>
    <row r="1964" spans="1:9" x14ac:dyDescent="0.25">
      <c r="A1964" s="36">
        <v>42901</v>
      </c>
      <c r="B1964" s="18">
        <v>116065</v>
      </c>
      <c r="C1964" s="235" t="s">
        <v>19677</v>
      </c>
      <c r="D1964" s="236" t="s">
        <v>15324</v>
      </c>
      <c r="E1964" s="15">
        <v>2360</v>
      </c>
      <c r="F1964" s="237">
        <v>42901</v>
      </c>
      <c r="G1964" s="15">
        <v>2360</v>
      </c>
      <c r="H1964" s="15">
        <f t="shared" si="30"/>
        <v>0</v>
      </c>
      <c r="I1964" s="236" t="s">
        <v>19682</v>
      </c>
    </row>
    <row r="1965" spans="1:9" x14ac:dyDescent="0.25">
      <c r="A1965" s="242">
        <v>42901</v>
      </c>
      <c r="B1965" s="18">
        <v>116066</v>
      </c>
      <c r="C1965" s="235" t="s">
        <v>19677</v>
      </c>
      <c r="D1965" s="236" t="s">
        <v>15665</v>
      </c>
      <c r="E1965" s="15">
        <v>312.8</v>
      </c>
      <c r="F1965" s="237">
        <v>42901</v>
      </c>
      <c r="G1965" s="15">
        <v>312.8</v>
      </c>
      <c r="H1965" s="15">
        <f t="shared" si="30"/>
        <v>0</v>
      </c>
      <c r="I1965" s="236" t="s">
        <v>19682</v>
      </c>
    </row>
    <row r="1966" spans="1:9" x14ac:dyDescent="0.25">
      <c r="A1966" s="36">
        <v>42901</v>
      </c>
      <c r="B1966" s="18">
        <v>116067</v>
      </c>
      <c r="C1966" s="235" t="s">
        <v>19677</v>
      </c>
      <c r="D1966" s="236" t="s">
        <v>15298</v>
      </c>
      <c r="E1966" s="15">
        <v>24332.3</v>
      </c>
      <c r="F1966" s="237">
        <v>42908</v>
      </c>
      <c r="G1966" s="15">
        <v>24332.3</v>
      </c>
      <c r="H1966" s="15">
        <f t="shared" si="30"/>
        <v>0</v>
      </c>
      <c r="I1966" s="236" t="s">
        <v>19682</v>
      </c>
    </row>
    <row r="1967" spans="1:9" x14ac:dyDescent="0.25">
      <c r="A1967" s="242">
        <v>42901</v>
      </c>
      <c r="B1967" s="18">
        <v>116068</v>
      </c>
      <c r="C1967" s="235" t="s">
        <v>19677</v>
      </c>
      <c r="D1967" s="236" t="s">
        <v>15213</v>
      </c>
      <c r="E1967" s="15">
        <v>2730.7</v>
      </c>
      <c r="F1967" s="237">
        <v>42902</v>
      </c>
      <c r="G1967" s="15">
        <v>2730.7</v>
      </c>
      <c r="H1967" s="15">
        <f t="shared" si="30"/>
        <v>0</v>
      </c>
      <c r="I1967" s="236" t="s">
        <v>19682</v>
      </c>
    </row>
    <row r="1968" spans="1:9" x14ac:dyDescent="0.25">
      <c r="A1968" s="36">
        <v>42901</v>
      </c>
      <c r="B1968" s="18">
        <v>116069</v>
      </c>
      <c r="C1968" s="235" t="s">
        <v>19677</v>
      </c>
      <c r="D1968" s="236" t="s">
        <v>15537</v>
      </c>
      <c r="E1968" s="15">
        <v>19165.2</v>
      </c>
      <c r="F1968" s="237">
        <v>42907</v>
      </c>
      <c r="G1968" s="15">
        <v>19165.2</v>
      </c>
      <c r="H1968" s="15">
        <f t="shared" si="30"/>
        <v>0</v>
      </c>
      <c r="I1968" s="236" t="s">
        <v>19682</v>
      </c>
    </row>
    <row r="1969" spans="1:9" x14ac:dyDescent="0.25">
      <c r="A1969" s="242">
        <v>42901</v>
      </c>
      <c r="B1969" s="18">
        <v>116070</v>
      </c>
      <c r="C1969" s="235" t="s">
        <v>19677</v>
      </c>
      <c r="D1969" s="236" t="s">
        <v>15539</v>
      </c>
      <c r="E1969" s="15">
        <v>18840.900000000001</v>
      </c>
      <c r="F1969" s="237">
        <v>42907</v>
      </c>
      <c r="G1969" s="15">
        <v>18840.900000000001</v>
      </c>
      <c r="H1969" s="15">
        <f t="shared" si="30"/>
        <v>0</v>
      </c>
      <c r="I1969" s="236" t="s">
        <v>19682</v>
      </c>
    </row>
    <row r="1970" spans="1:9" x14ac:dyDescent="0.25">
      <c r="A1970" s="36">
        <v>42901</v>
      </c>
      <c r="B1970" s="18">
        <v>116071</v>
      </c>
      <c r="C1970" s="235" t="s">
        <v>19677</v>
      </c>
      <c r="D1970" s="236" t="s">
        <v>15833</v>
      </c>
      <c r="E1970" s="15">
        <v>7948.2</v>
      </c>
      <c r="F1970" s="237">
        <v>42902</v>
      </c>
      <c r="G1970" s="15">
        <v>7948.2</v>
      </c>
      <c r="H1970" s="15">
        <f t="shared" si="30"/>
        <v>0</v>
      </c>
      <c r="I1970" s="236" t="s">
        <v>19682</v>
      </c>
    </row>
    <row r="1971" spans="1:9" x14ac:dyDescent="0.25">
      <c r="A1971" s="242">
        <v>42901</v>
      </c>
      <c r="B1971" s="18">
        <v>116072</v>
      </c>
      <c r="C1971" s="235" t="s">
        <v>19677</v>
      </c>
      <c r="D1971" s="236" t="s">
        <v>15555</v>
      </c>
      <c r="E1971" s="15">
        <v>34601.64</v>
      </c>
      <c r="F1971" s="237">
        <v>42907</v>
      </c>
      <c r="G1971" s="15">
        <v>34601.64</v>
      </c>
      <c r="H1971" s="15">
        <f t="shared" si="30"/>
        <v>0</v>
      </c>
      <c r="I1971" s="236" t="s">
        <v>19682</v>
      </c>
    </row>
    <row r="1972" spans="1:9" x14ac:dyDescent="0.25">
      <c r="A1972" s="36">
        <v>42901</v>
      </c>
      <c r="B1972" s="18">
        <v>116073</v>
      </c>
      <c r="C1972" s="235" t="s">
        <v>19677</v>
      </c>
      <c r="D1972" s="236" t="s">
        <v>15544</v>
      </c>
      <c r="E1972" s="15">
        <v>3268.2</v>
      </c>
      <c r="F1972" s="237" t="s">
        <v>19721</v>
      </c>
      <c r="G1972" s="241">
        <f>2845.59+422.61</f>
        <v>3268.2000000000003</v>
      </c>
      <c r="H1972" s="241">
        <f t="shared" si="30"/>
        <v>0</v>
      </c>
      <c r="I1972" s="236" t="s">
        <v>19682</v>
      </c>
    </row>
    <row r="1973" spans="1:9" x14ac:dyDescent="0.25">
      <c r="A1973" s="242">
        <v>42901</v>
      </c>
      <c r="B1973" s="18">
        <v>116074</v>
      </c>
      <c r="C1973" s="235" t="s">
        <v>19677</v>
      </c>
      <c r="D1973" s="236" t="s">
        <v>15699</v>
      </c>
      <c r="E1973" s="15">
        <v>4040.4</v>
      </c>
      <c r="F1973" s="237">
        <v>42916</v>
      </c>
      <c r="G1973" s="15">
        <v>4040.4</v>
      </c>
      <c r="H1973" s="15">
        <f t="shared" si="30"/>
        <v>0</v>
      </c>
      <c r="I1973" s="236" t="s">
        <v>19682</v>
      </c>
    </row>
    <row r="1974" spans="1:9" x14ac:dyDescent="0.25">
      <c r="A1974" s="36">
        <v>42901</v>
      </c>
      <c r="B1974" s="18">
        <v>116075</v>
      </c>
      <c r="C1974" s="235" t="s">
        <v>19677</v>
      </c>
      <c r="D1974" s="236" t="s">
        <v>15559</v>
      </c>
      <c r="E1974" s="15">
        <v>4934.3</v>
      </c>
      <c r="F1974" s="237">
        <v>42909</v>
      </c>
      <c r="G1974" s="15">
        <v>4934.3</v>
      </c>
      <c r="H1974" s="15">
        <f t="shared" si="30"/>
        <v>0</v>
      </c>
      <c r="I1974" s="236" t="s">
        <v>19682</v>
      </c>
    </row>
    <row r="1975" spans="1:9" x14ac:dyDescent="0.25">
      <c r="A1975" s="242">
        <v>42901</v>
      </c>
      <c r="B1975" s="18">
        <v>116076</v>
      </c>
      <c r="C1975" s="235" t="s">
        <v>19677</v>
      </c>
      <c r="D1975" s="236" t="s">
        <v>15419</v>
      </c>
      <c r="E1975" s="15">
        <v>29727</v>
      </c>
      <c r="F1975" s="237">
        <v>42909</v>
      </c>
      <c r="G1975" s="15">
        <v>29727</v>
      </c>
      <c r="H1975" s="15">
        <f t="shared" si="30"/>
        <v>0</v>
      </c>
      <c r="I1975" s="236" t="s">
        <v>19682</v>
      </c>
    </row>
    <row r="1976" spans="1:9" x14ac:dyDescent="0.25">
      <c r="A1976" s="36">
        <v>42901</v>
      </c>
      <c r="B1976" s="18">
        <v>116077</v>
      </c>
      <c r="C1976" s="235" t="s">
        <v>19677</v>
      </c>
      <c r="D1976" s="236" t="s">
        <v>15628</v>
      </c>
      <c r="E1976" s="15">
        <v>17579.560000000001</v>
      </c>
      <c r="F1976" s="237" t="s">
        <v>19737</v>
      </c>
      <c r="G1976" s="15">
        <f>3400+14179.56</f>
        <v>17579.559999999998</v>
      </c>
      <c r="H1976" s="15">
        <f t="shared" si="30"/>
        <v>0</v>
      </c>
      <c r="I1976" s="236" t="s">
        <v>19682</v>
      </c>
    </row>
    <row r="1977" spans="1:9" x14ac:dyDescent="0.25">
      <c r="A1977" s="242">
        <v>42901</v>
      </c>
      <c r="B1977" s="18">
        <v>116078</v>
      </c>
      <c r="C1977" s="235" t="s">
        <v>19677</v>
      </c>
      <c r="D1977" s="236" t="s">
        <v>15407</v>
      </c>
      <c r="E1977" s="15">
        <v>1867.4</v>
      </c>
      <c r="F1977" s="237">
        <v>42901</v>
      </c>
      <c r="G1977" s="15">
        <v>1867.4</v>
      </c>
      <c r="H1977" s="15">
        <f t="shared" si="30"/>
        <v>0</v>
      </c>
      <c r="I1977" s="236" t="s">
        <v>19682</v>
      </c>
    </row>
    <row r="1978" spans="1:9" x14ac:dyDescent="0.25">
      <c r="A1978" s="36">
        <v>42901</v>
      </c>
      <c r="B1978" s="18">
        <v>116079</v>
      </c>
      <c r="C1978" s="235" t="s">
        <v>19677</v>
      </c>
      <c r="D1978" s="236" t="s">
        <v>15230</v>
      </c>
      <c r="E1978" s="15">
        <v>10248</v>
      </c>
      <c r="F1978" s="237">
        <v>42905</v>
      </c>
      <c r="G1978" s="15">
        <v>10248</v>
      </c>
      <c r="H1978" s="15">
        <f t="shared" si="30"/>
        <v>0</v>
      </c>
      <c r="I1978" s="236" t="s">
        <v>19682</v>
      </c>
    </row>
    <row r="1979" spans="1:9" x14ac:dyDescent="0.25">
      <c r="A1979" s="242">
        <v>42901</v>
      </c>
      <c r="B1979" s="18">
        <v>116080</v>
      </c>
      <c r="C1979" s="235" t="s">
        <v>19677</v>
      </c>
      <c r="D1979" s="236" t="s">
        <v>15423</v>
      </c>
      <c r="E1979" s="15">
        <v>3063.6</v>
      </c>
      <c r="F1979" s="237">
        <v>42901</v>
      </c>
      <c r="G1979" s="15">
        <v>3063.6</v>
      </c>
      <c r="H1979" s="15">
        <f t="shared" si="30"/>
        <v>0</v>
      </c>
      <c r="I1979" s="236" t="s">
        <v>19682</v>
      </c>
    </row>
    <row r="1980" spans="1:9" x14ac:dyDescent="0.25">
      <c r="A1980" s="36">
        <v>42901</v>
      </c>
      <c r="B1980" s="18">
        <v>116081</v>
      </c>
      <c r="C1980" s="235" t="s">
        <v>19677</v>
      </c>
      <c r="D1980" s="236" t="s">
        <v>15315</v>
      </c>
      <c r="E1980" s="15">
        <v>572</v>
      </c>
      <c r="F1980" s="237">
        <v>42902</v>
      </c>
      <c r="G1980" s="15">
        <v>572</v>
      </c>
      <c r="H1980" s="15">
        <f t="shared" si="30"/>
        <v>0</v>
      </c>
      <c r="I1980" s="236" t="s">
        <v>19682</v>
      </c>
    </row>
    <row r="1981" spans="1:9" x14ac:dyDescent="0.25">
      <c r="A1981" s="242">
        <v>42901</v>
      </c>
      <c r="B1981" s="18">
        <v>116082</v>
      </c>
      <c r="C1981" s="235" t="s">
        <v>19677</v>
      </c>
      <c r="D1981" s="236" t="s">
        <v>15385</v>
      </c>
      <c r="E1981" s="15">
        <v>2829.4</v>
      </c>
      <c r="F1981" s="237">
        <v>42902</v>
      </c>
      <c r="G1981" s="15">
        <v>2829.4</v>
      </c>
      <c r="H1981" s="15">
        <f t="shared" si="30"/>
        <v>0</v>
      </c>
      <c r="I1981" s="236" t="s">
        <v>19682</v>
      </c>
    </row>
    <row r="1982" spans="1:9" x14ac:dyDescent="0.25">
      <c r="A1982" s="36">
        <v>42901</v>
      </c>
      <c r="B1982" s="18">
        <v>116083</v>
      </c>
      <c r="C1982" s="235" t="s">
        <v>19677</v>
      </c>
      <c r="D1982" s="236" t="s">
        <v>15361</v>
      </c>
      <c r="E1982" s="15">
        <v>2356.1999999999998</v>
      </c>
      <c r="F1982" s="237">
        <v>42904</v>
      </c>
      <c r="G1982" s="15">
        <v>2356.1999999999998</v>
      </c>
      <c r="H1982" s="15">
        <f t="shared" si="30"/>
        <v>0</v>
      </c>
      <c r="I1982" s="236" t="s">
        <v>19682</v>
      </c>
    </row>
    <row r="1983" spans="1:9" x14ac:dyDescent="0.25">
      <c r="A1983" s="242">
        <v>42901</v>
      </c>
      <c r="B1983" s="18">
        <v>116084</v>
      </c>
      <c r="C1983" s="235" t="s">
        <v>19677</v>
      </c>
      <c r="D1983" s="236" t="s">
        <v>15363</v>
      </c>
      <c r="E1983" s="15">
        <v>3120</v>
      </c>
      <c r="F1983" s="237">
        <v>42902</v>
      </c>
      <c r="G1983" s="15">
        <v>3120</v>
      </c>
      <c r="H1983" s="15">
        <f t="shared" si="30"/>
        <v>0</v>
      </c>
      <c r="I1983" s="236" t="s">
        <v>19682</v>
      </c>
    </row>
    <row r="1984" spans="1:9" x14ac:dyDescent="0.25">
      <c r="A1984" s="36">
        <v>42901</v>
      </c>
      <c r="B1984" s="18">
        <v>116085</v>
      </c>
      <c r="C1984" s="235" t="s">
        <v>19677</v>
      </c>
      <c r="D1984" s="236" t="s">
        <v>15391</v>
      </c>
      <c r="E1984" s="15">
        <v>7561.6</v>
      </c>
      <c r="F1984" s="237">
        <v>42905</v>
      </c>
      <c r="G1984" s="15">
        <v>7561.6</v>
      </c>
      <c r="H1984" s="15">
        <f t="shared" si="30"/>
        <v>0</v>
      </c>
      <c r="I1984" s="236" t="s">
        <v>19682</v>
      </c>
    </row>
    <row r="1985" spans="1:9" x14ac:dyDescent="0.25">
      <c r="A1985" s="242">
        <v>42901</v>
      </c>
      <c r="B1985" s="18">
        <v>116086</v>
      </c>
      <c r="C1985" s="235" t="s">
        <v>19677</v>
      </c>
      <c r="D1985" s="236" t="s">
        <v>15920</v>
      </c>
      <c r="E1985" s="15">
        <v>9980</v>
      </c>
      <c r="F1985" s="237">
        <v>42909</v>
      </c>
      <c r="G1985" s="15">
        <v>9980</v>
      </c>
      <c r="H1985" s="15">
        <f t="shared" si="30"/>
        <v>0</v>
      </c>
      <c r="I1985" s="236" t="s">
        <v>19682</v>
      </c>
    </row>
    <row r="1986" spans="1:9" x14ac:dyDescent="0.25">
      <c r="A1986" s="36">
        <v>42901</v>
      </c>
      <c r="B1986" s="18">
        <v>116087</v>
      </c>
      <c r="C1986" s="235" t="s">
        <v>19677</v>
      </c>
      <c r="D1986" s="236" t="s">
        <v>19699</v>
      </c>
      <c r="E1986" s="15">
        <v>1765.4</v>
      </c>
      <c r="F1986" s="237">
        <v>42901</v>
      </c>
      <c r="G1986" s="15">
        <v>1765.4</v>
      </c>
      <c r="H1986" s="15">
        <f t="shared" ref="H1986:H2049" si="31">E1986-G1986</f>
        <v>0</v>
      </c>
      <c r="I1986" s="236" t="s">
        <v>19682</v>
      </c>
    </row>
    <row r="1987" spans="1:9" x14ac:dyDescent="0.25">
      <c r="A1987" s="242">
        <v>42901</v>
      </c>
      <c r="B1987" s="18">
        <v>116088</v>
      </c>
      <c r="C1987" s="235" t="s">
        <v>19677</v>
      </c>
      <c r="D1987" s="236" t="s">
        <v>19699</v>
      </c>
      <c r="E1987" s="15">
        <v>1610</v>
      </c>
      <c r="F1987" s="237">
        <v>42901</v>
      </c>
      <c r="G1987" s="15">
        <v>1610</v>
      </c>
      <c r="H1987" s="15">
        <f t="shared" si="31"/>
        <v>0</v>
      </c>
      <c r="I1987" s="236" t="s">
        <v>19682</v>
      </c>
    </row>
    <row r="1988" spans="1:9" x14ac:dyDescent="0.25">
      <c r="A1988" s="36">
        <v>42901</v>
      </c>
      <c r="B1988" s="18">
        <v>116089</v>
      </c>
      <c r="C1988" s="235" t="s">
        <v>19677</v>
      </c>
      <c r="D1988" s="236" t="s">
        <v>15315</v>
      </c>
      <c r="E1988" s="15">
        <v>2123.6</v>
      </c>
      <c r="F1988" s="237">
        <v>42901</v>
      </c>
      <c r="G1988" s="15">
        <v>2123.6</v>
      </c>
      <c r="H1988" s="15">
        <f t="shared" si="31"/>
        <v>0</v>
      </c>
      <c r="I1988" s="236" t="s">
        <v>19682</v>
      </c>
    </row>
    <row r="1989" spans="1:9" x14ac:dyDescent="0.25">
      <c r="A1989" s="242">
        <v>42901</v>
      </c>
      <c r="B1989" s="18">
        <v>116090</v>
      </c>
      <c r="C1989" s="235" t="s">
        <v>19677</v>
      </c>
      <c r="D1989" s="236" t="s">
        <v>15930</v>
      </c>
      <c r="E1989" s="15">
        <v>9961</v>
      </c>
      <c r="F1989" s="237">
        <v>42902</v>
      </c>
      <c r="G1989" s="15">
        <v>9961</v>
      </c>
      <c r="H1989" s="15">
        <f t="shared" si="31"/>
        <v>0</v>
      </c>
      <c r="I1989" s="236" t="s">
        <v>19682</v>
      </c>
    </row>
    <row r="1990" spans="1:9" x14ac:dyDescent="0.25">
      <c r="A1990" s="36">
        <v>42901</v>
      </c>
      <c r="B1990" s="18">
        <v>116091</v>
      </c>
      <c r="C1990" s="235" t="s">
        <v>19677</v>
      </c>
      <c r="D1990" s="236" t="s">
        <v>15417</v>
      </c>
      <c r="E1990" s="15">
        <v>3680</v>
      </c>
      <c r="F1990" s="237">
        <v>42902</v>
      </c>
      <c r="G1990" s="15">
        <v>3680</v>
      </c>
      <c r="H1990" s="15">
        <f t="shared" si="31"/>
        <v>0</v>
      </c>
      <c r="I1990" s="236" t="s">
        <v>19682</v>
      </c>
    </row>
    <row r="1991" spans="1:9" x14ac:dyDescent="0.25">
      <c r="A1991" s="242">
        <v>42901</v>
      </c>
      <c r="B1991" s="18">
        <v>116092</v>
      </c>
      <c r="C1991" s="235" t="s">
        <v>19677</v>
      </c>
      <c r="D1991" s="236" t="s">
        <v>15276</v>
      </c>
      <c r="E1991" s="15">
        <v>3680</v>
      </c>
      <c r="F1991" s="237">
        <v>42902</v>
      </c>
      <c r="G1991" s="15">
        <v>3680</v>
      </c>
      <c r="H1991" s="15">
        <f t="shared" si="31"/>
        <v>0</v>
      </c>
      <c r="I1991" s="236" t="s">
        <v>19682</v>
      </c>
    </row>
    <row r="1992" spans="1:9" x14ac:dyDescent="0.25">
      <c r="A1992" s="36">
        <v>42901</v>
      </c>
      <c r="B1992" s="18">
        <v>116093</v>
      </c>
      <c r="C1992" s="235" t="s">
        <v>19677</v>
      </c>
      <c r="D1992" s="236" t="s">
        <v>15315</v>
      </c>
      <c r="E1992" s="15">
        <v>1342.32</v>
      </c>
      <c r="F1992" s="237">
        <v>42902</v>
      </c>
      <c r="G1992" s="15">
        <v>1342.32</v>
      </c>
      <c r="H1992" s="15">
        <f t="shared" si="31"/>
        <v>0</v>
      </c>
      <c r="I1992" s="236" t="s">
        <v>19682</v>
      </c>
    </row>
    <row r="1993" spans="1:9" x14ac:dyDescent="0.25">
      <c r="A1993" s="242">
        <v>42901</v>
      </c>
      <c r="B1993" s="18">
        <v>116094</v>
      </c>
      <c r="C1993" s="235" t="s">
        <v>19677</v>
      </c>
      <c r="D1993" s="236" t="s">
        <v>16463</v>
      </c>
      <c r="E1993" s="15">
        <v>8467.2000000000007</v>
      </c>
      <c r="F1993" s="237">
        <v>42902</v>
      </c>
      <c r="G1993" s="15">
        <v>8467.2000000000007</v>
      </c>
      <c r="H1993" s="15">
        <f t="shared" si="31"/>
        <v>0</v>
      </c>
      <c r="I1993" s="236" t="s">
        <v>19682</v>
      </c>
    </row>
    <row r="1994" spans="1:9" x14ac:dyDescent="0.25">
      <c r="A1994" s="36">
        <v>42901</v>
      </c>
      <c r="B1994" s="18">
        <v>116095</v>
      </c>
      <c r="C1994" s="235" t="s">
        <v>19677</v>
      </c>
      <c r="D1994" s="236" t="s">
        <v>16463</v>
      </c>
      <c r="E1994" s="15">
        <v>2942.4</v>
      </c>
      <c r="F1994" s="237">
        <v>42902</v>
      </c>
      <c r="G1994" s="15">
        <v>2942.4</v>
      </c>
      <c r="H1994" s="15">
        <f t="shared" si="31"/>
        <v>0</v>
      </c>
      <c r="I1994" s="236" t="s">
        <v>19682</v>
      </c>
    </row>
    <row r="1995" spans="1:9" x14ac:dyDescent="0.25">
      <c r="A1995" s="242">
        <v>42901</v>
      </c>
      <c r="B1995" s="18">
        <v>116096</v>
      </c>
      <c r="C1995" s="235" t="s">
        <v>19677</v>
      </c>
      <c r="D1995" s="236" t="s">
        <v>15433</v>
      </c>
      <c r="E1995" s="15">
        <v>1192</v>
      </c>
      <c r="F1995" s="237">
        <v>42901</v>
      </c>
      <c r="G1995" s="15">
        <v>1192</v>
      </c>
      <c r="H1995" s="15">
        <f t="shared" si="31"/>
        <v>0</v>
      </c>
      <c r="I1995" s="236" t="s">
        <v>19682</v>
      </c>
    </row>
    <row r="1996" spans="1:9" x14ac:dyDescent="0.25">
      <c r="A1996" s="36">
        <v>42901</v>
      </c>
      <c r="B1996" s="18">
        <v>116097</v>
      </c>
      <c r="C1996" s="235" t="s">
        <v>19677</v>
      </c>
      <c r="D1996" s="236" t="s">
        <v>15600</v>
      </c>
      <c r="E1996" s="15">
        <v>15206.4</v>
      </c>
      <c r="F1996" s="237">
        <v>42902</v>
      </c>
      <c r="G1996" s="15">
        <v>15206.4</v>
      </c>
      <c r="H1996" s="15">
        <f t="shared" si="31"/>
        <v>0</v>
      </c>
      <c r="I1996" s="236" t="s">
        <v>19682</v>
      </c>
    </row>
    <row r="1997" spans="1:9" x14ac:dyDescent="0.25">
      <c r="A1997" s="242">
        <v>42901</v>
      </c>
      <c r="B1997" s="18">
        <v>116098</v>
      </c>
      <c r="C1997" s="235" t="s">
        <v>19677</v>
      </c>
      <c r="D1997" s="236" t="s">
        <v>15315</v>
      </c>
      <c r="E1997" s="15">
        <v>1560</v>
      </c>
      <c r="F1997" s="237">
        <v>42901</v>
      </c>
      <c r="G1997" s="15">
        <v>1560</v>
      </c>
      <c r="H1997" s="15">
        <f t="shared" si="31"/>
        <v>0</v>
      </c>
      <c r="I1997" s="236" t="s">
        <v>19682</v>
      </c>
    </row>
    <row r="1998" spans="1:9" x14ac:dyDescent="0.25">
      <c r="A1998" s="36">
        <v>42901</v>
      </c>
      <c r="B1998" s="18">
        <v>116099</v>
      </c>
      <c r="C1998" s="235" t="s">
        <v>19677</v>
      </c>
      <c r="D1998" s="236" t="s">
        <v>15315</v>
      </c>
      <c r="E1998" s="15">
        <v>122.2</v>
      </c>
      <c r="F1998" s="237">
        <v>42902</v>
      </c>
      <c r="G1998" s="15">
        <v>122.2</v>
      </c>
      <c r="H1998" s="15">
        <f t="shared" si="31"/>
        <v>0</v>
      </c>
      <c r="I1998" s="236" t="s">
        <v>19682</v>
      </c>
    </row>
    <row r="1999" spans="1:9" x14ac:dyDescent="0.25">
      <c r="A1999" s="242">
        <v>42901</v>
      </c>
      <c r="B1999" s="18">
        <v>116100</v>
      </c>
      <c r="C1999" s="235" t="s">
        <v>19677</v>
      </c>
      <c r="D1999" s="236" t="s">
        <v>15315</v>
      </c>
      <c r="E1999" s="15">
        <v>122.4</v>
      </c>
      <c r="F1999" s="237">
        <v>42902</v>
      </c>
      <c r="G1999" s="15">
        <v>122.4</v>
      </c>
      <c r="H1999" s="15">
        <f t="shared" si="31"/>
        <v>0</v>
      </c>
      <c r="I1999" s="236" t="s">
        <v>19682</v>
      </c>
    </row>
    <row r="2000" spans="1:9" x14ac:dyDescent="0.25">
      <c r="A2000" s="36">
        <v>42901</v>
      </c>
      <c r="B2000" s="18">
        <v>116101</v>
      </c>
      <c r="C2000" s="235" t="s">
        <v>19677</v>
      </c>
      <c r="D2000" s="236" t="s">
        <v>15315</v>
      </c>
      <c r="E2000" s="15">
        <v>1325.4</v>
      </c>
      <c r="F2000" s="237">
        <v>42901</v>
      </c>
      <c r="G2000" s="15">
        <v>1325.4</v>
      </c>
      <c r="H2000" s="15">
        <f t="shared" si="31"/>
        <v>0</v>
      </c>
      <c r="I2000" s="236" t="s">
        <v>19682</v>
      </c>
    </row>
    <row r="2001" spans="1:9" x14ac:dyDescent="0.25">
      <c r="A2001" s="242">
        <v>42901</v>
      </c>
      <c r="B2001" s="18">
        <v>116102</v>
      </c>
      <c r="C2001" s="235" t="s">
        <v>19677</v>
      </c>
      <c r="D2001" s="236" t="s">
        <v>15444</v>
      </c>
      <c r="E2001" s="15">
        <v>3564</v>
      </c>
      <c r="F2001" s="237">
        <v>42902</v>
      </c>
      <c r="G2001" s="15">
        <v>3564</v>
      </c>
      <c r="H2001" s="15">
        <f t="shared" si="31"/>
        <v>0</v>
      </c>
      <c r="I2001" s="236" t="s">
        <v>19682</v>
      </c>
    </row>
    <row r="2002" spans="1:9" ht="15.75" x14ac:dyDescent="0.25">
      <c r="A2002" s="36">
        <v>42901</v>
      </c>
      <c r="B2002" s="18">
        <v>116103</v>
      </c>
      <c r="C2002" s="235" t="s">
        <v>19677</v>
      </c>
      <c r="D2002" s="248" t="s">
        <v>95</v>
      </c>
      <c r="E2002" s="15">
        <v>0</v>
      </c>
      <c r="F2002" s="243" t="s">
        <v>95</v>
      </c>
      <c r="G2002" s="15">
        <v>0</v>
      </c>
      <c r="H2002" s="15">
        <f t="shared" si="31"/>
        <v>0</v>
      </c>
      <c r="I2002" s="236" t="s">
        <v>19678</v>
      </c>
    </row>
    <row r="2003" spans="1:9" x14ac:dyDescent="0.25">
      <c r="A2003" s="242">
        <v>42901</v>
      </c>
      <c r="B2003" s="18">
        <v>116104</v>
      </c>
      <c r="C2003" s="235" t="s">
        <v>19677</v>
      </c>
      <c r="D2003" s="236" t="s">
        <v>15365</v>
      </c>
      <c r="E2003" s="15">
        <v>18674.400000000001</v>
      </c>
      <c r="F2003" s="237">
        <v>42908</v>
      </c>
      <c r="G2003" s="15">
        <v>18674.400000000001</v>
      </c>
      <c r="H2003" s="15">
        <f t="shared" si="31"/>
        <v>0</v>
      </c>
      <c r="I2003" s="236" t="s">
        <v>19682</v>
      </c>
    </row>
    <row r="2004" spans="1:9" x14ac:dyDescent="0.25">
      <c r="A2004" s="36">
        <v>42901</v>
      </c>
      <c r="B2004" s="18">
        <v>116105</v>
      </c>
      <c r="C2004" s="235" t="s">
        <v>19677</v>
      </c>
      <c r="D2004" s="236" t="s">
        <v>15890</v>
      </c>
      <c r="E2004" s="15">
        <v>19936.2</v>
      </c>
      <c r="F2004" s="237" t="s">
        <v>19738</v>
      </c>
      <c r="G2004" s="241">
        <f>4501+15435.2</f>
        <v>19936.2</v>
      </c>
      <c r="H2004" s="241">
        <f t="shared" si="31"/>
        <v>0</v>
      </c>
      <c r="I2004" s="236" t="s">
        <v>19682</v>
      </c>
    </row>
    <row r="2005" spans="1:9" x14ac:dyDescent="0.25">
      <c r="A2005" s="242">
        <v>42901</v>
      </c>
      <c r="B2005" s="18">
        <v>116106</v>
      </c>
      <c r="C2005" s="235" t="s">
        <v>19677</v>
      </c>
      <c r="D2005" s="236" t="s">
        <v>15632</v>
      </c>
      <c r="E2005" s="15">
        <v>24152.2</v>
      </c>
      <c r="F2005" s="237">
        <v>42922</v>
      </c>
      <c r="G2005" s="15">
        <v>24152.2</v>
      </c>
      <c r="H2005" s="15">
        <f t="shared" si="31"/>
        <v>0</v>
      </c>
      <c r="I2005" s="236" t="s">
        <v>19682</v>
      </c>
    </row>
    <row r="2006" spans="1:9" x14ac:dyDescent="0.25">
      <c r="A2006" s="36">
        <v>42901</v>
      </c>
      <c r="B2006" s="18">
        <v>116107</v>
      </c>
      <c r="C2006" s="235" t="s">
        <v>19677</v>
      </c>
      <c r="D2006" s="236" t="s">
        <v>15435</v>
      </c>
      <c r="E2006" s="15">
        <v>7556.4</v>
      </c>
      <c r="F2006" s="237">
        <v>42901</v>
      </c>
      <c r="G2006" s="15">
        <v>7556.4</v>
      </c>
      <c r="H2006" s="15">
        <f t="shared" si="31"/>
        <v>0</v>
      </c>
      <c r="I2006" s="236" t="s">
        <v>19682</v>
      </c>
    </row>
    <row r="2007" spans="1:9" x14ac:dyDescent="0.25">
      <c r="A2007" s="242">
        <v>42901</v>
      </c>
      <c r="B2007" s="18">
        <v>116108</v>
      </c>
      <c r="C2007" s="235" t="s">
        <v>19677</v>
      </c>
      <c r="D2007" s="236" t="s">
        <v>15250</v>
      </c>
      <c r="E2007" s="15">
        <v>127684.22</v>
      </c>
      <c r="F2007" s="237">
        <v>42909</v>
      </c>
      <c r="G2007" s="15">
        <v>127684.22</v>
      </c>
      <c r="H2007" s="15">
        <f t="shared" si="31"/>
        <v>0</v>
      </c>
      <c r="I2007" s="236" t="s">
        <v>19682</v>
      </c>
    </row>
    <row r="2008" spans="1:9" x14ac:dyDescent="0.25">
      <c r="A2008" s="36">
        <v>42901</v>
      </c>
      <c r="B2008" s="18">
        <v>116109</v>
      </c>
      <c r="C2008" s="235" t="s">
        <v>19677</v>
      </c>
      <c r="D2008" s="236" t="s">
        <v>15456</v>
      </c>
      <c r="E2008" s="15">
        <v>31209.42</v>
      </c>
      <c r="F2008" s="237">
        <v>42903</v>
      </c>
      <c r="G2008" s="15">
        <v>31209.42</v>
      </c>
      <c r="H2008" s="15">
        <f t="shared" si="31"/>
        <v>0</v>
      </c>
      <c r="I2008" s="236" t="s">
        <v>19682</v>
      </c>
    </row>
    <row r="2009" spans="1:9" x14ac:dyDescent="0.25">
      <c r="A2009" s="242">
        <v>42901</v>
      </c>
      <c r="B2009" s="18">
        <v>116110</v>
      </c>
      <c r="C2009" s="235" t="s">
        <v>19677</v>
      </c>
      <c r="D2009" s="236" t="s">
        <v>15448</v>
      </c>
      <c r="E2009" s="15">
        <v>193077.99</v>
      </c>
      <c r="F2009" s="237">
        <v>42907</v>
      </c>
      <c r="G2009" s="15">
        <v>193077.99</v>
      </c>
      <c r="H2009" s="15">
        <f t="shared" si="31"/>
        <v>0</v>
      </c>
      <c r="I2009" s="236" t="s">
        <v>19682</v>
      </c>
    </row>
    <row r="2010" spans="1:9" x14ac:dyDescent="0.25">
      <c r="A2010" s="36">
        <v>42901</v>
      </c>
      <c r="B2010" s="18">
        <v>116111</v>
      </c>
      <c r="C2010" s="235" t="s">
        <v>19677</v>
      </c>
      <c r="D2010" s="236" t="s">
        <v>16965</v>
      </c>
      <c r="E2010" s="15">
        <v>8970.7999999999993</v>
      </c>
      <c r="F2010" s="237">
        <v>42903</v>
      </c>
      <c r="G2010" s="15">
        <v>8970.7999999999993</v>
      </c>
      <c r="H2010" s="15">
        <f t="shared" si="31"/>
        <v>0</v>
      </c>
      <c r="I2010" s="236" t="s">
        <v>19682</v>
      </c>
    </row>
    <row r="2011" spans="1:9" x14ac:dyDescent="0.25">
      <c r="A2011" s="242">
        <v>42901</v>
      </c>
      <c r="B2011" s="18">
        <v>116112</v>
      </c>
      <c r="C2011" s="235" t="s">
        <v>19677</v>
      </c>
      <c r="D2011" s="236" t="s">
        <v>15642</v>
      </c>
      <c r="E2011" s="15">
        <v>5558.7</v>
      </c>
      <c r="F2011" s="237">
        <v>42902</v>
      </c>
      <c r="G2011" s="15">
        <v>5558.7</v>
      </c>
      <c r="H2011" s="15">
        <f t="shared" si="31"/>
        <v>0</v>
      </c>
      <c r="I2011" s="236" t="s">
        <v>19682</v>
      </c>
    </row>
    <row r="2012" spans="1:9" x14ac:dyDescent="0.25">
      <c r="A2012" s="36">
        <v>42901</v>
      </c>
      <c r="B2012" s="18">
        <v>116113</v>
      </c>
      <c r="C2012" s="235" t="s">
        <v>19677</v>
      </c>
      <c r="D2012" s="236" t="s">
        <v>15452</v>
      </c>
      <c r="E2012" s="15">
        <v>3840</v>
      </c>
      <c r="F2012" s="237">
        <v>42903</v>
      </c>
      <c r="G2012" s="15">
        <v>3840</v>
      </c>
      <c r="H2012" s="15">
        <f t="shared" si="31"/>
        <v>0</v>
      </c>
      <c r="I2012" s="236" t="s">
        <v>19682</v>
      </c>
    </row>
    <row r="2013" spans="1:9" x14ac:dyDescent="0.25">
      <c r="A2013" s="242">
        <v>42901</v>
      </c>
      <c r="B2013" s="18">
        <v>116114</v>
      </c>
      <c r="C2013" s="235" t="s">
        <v>19677</v>
      </c>
      <c r="D2013" s="236" t="s">
        <v>15458</v>
      </c>
      <c r="E2013" s="15">
        <v>7775.6</v>
      </c>
      <c r="F2013" s="237">
        <v>42903</v>
      </c>
      <c r="G2013" s="15">
        <v>7775.6</v>
      </c>
      <c r="H2013" s="15">
        <f t="shared" si="31"/>
        <v>0</v>
      </c>
      <c r="I2013" s="236" t="s">
        <v>19682</v>
      </c>
    </row>
    <row r="2014" spans="1:9" x14ac:dyDescent="0.25">
      <c r="A2014" s="36">
        <v>42901</v>
      </c>
      <c r="B2014" s="18">
        <v>116115</v>
      </c>
      <c r="C2014" s="235" t="s">
        <v>19677</v>
      </c>
      <c r="D2014" s="236" t="s">
        <v>15462</v>
      </c>
      <c r="E2014" s="15">
        <v>13948</v>
      </c>
      <c r="F2014" s="237">
        <v>42903</v>
      </c>
      <c r="G2014" s="15">
        <v>13948</v>
      </c>
      <c r="H2014" s="15">
        <f t="shared" si="31"/>
        <v>0</v>
      </c>
      <c r="I2014" s="236" t="s">
        <v>19682</v>
      </c>
    </row>
    <row r="2015" spans="1:9" x14ac:dyDescent="0.25">
      <c r="A2015" s="242">
        <v>42901</v>
      </c>
      <c r="B2015" s="18">
        <v>116116</v>
      </c>
      <c r="C2015" s="235" t="s">
        <v>19677</v>
      </c>
      <c r="D2015" s="236" t="s">
        <v>15446</v>
      </c>
      <c r="E2015" s="15">
        <v>3559.6</v>
      </c>
      <c r="F2015" s="237">
        <v>42903</v>
      </c>
      <c r="G2015" s="15">
        <v>3559.6</v>
      </c>
      <c r="H2015" s="15">
        <f t="shared" si="31"/>
        <v>0</v>
      </c>
      <c r="I2015" s="236" t="s">
        <v>19682</v>
      </c>
    </row>
    <row r="2016" spans="1:9" x14ac:dyDescent="0.25">
      <c r="A2016" s="36">
        <v>42901</v>
      </c>
      <c r="B2016" s="18">
        <v>116117</v>
      </c>
      <c r="C2016" s="235" t="s">
        <v>19677</v>
      </c>
      <c r="D2016" s="236" t="s">
        <v>15450</v>
      </c>
      <c r="E2016" s="15">
        <v>2535</v>
      </c>
      <c r="F2016" s="237">
        <v>42903</v>
      </c>
      <c r="G2016" s="15">
        <v>2535</v>
      </c>
      <c r="H2016" s="15">
        <f t="shared" si="31"/>
        <v>0</v>
      </c>
      <c r="I2016" s="236" t="s">
        <v>19682</v>
      </c>
    </row>
    <row r="2017" spans="1:9" x14ac:dyDescent="0.25">
      <c r="A2017" s="242">
        <v>42901</v>
      </c>
      <c r="B2017" s="18">
        <v>116118</v>
      </c>
      <c r="C2017" s="235" t="s">
        <v>19677</v>
      </c>
      <c r="D2017" s="236" t="s">
        <v>15246</v>
      </c>
      <c r="E2017" s="15">
        <v>28435.7</v>
      </c>
      <c r="F2017" s="237">
        <v>42903</v>
      </c>
      <c r="G2017" s="15">
        <v>28435.7</v>
      </c>
      <c r="H2017" s="15">
        <f t="shared" si="31"/>
        <v>0</v>
      </c>
      <c r="I2017" s="236" t="s">
        <v>19682</v>
      </c>
    </row>
    <row r="2018" spans="1:9" x14ac:dyDescent="0.25">
      <c r="A2018" s="36">
        <v>42901</v>
      </c>
      <c r="B2018" s="18">
        <v>116119</v>
      </c>
      <c r="C2018" s="235" t="s">
        <v>19677</v>
      </c>
      <c r="D2018" s="236" t="s">
        <v>15246</v>
      </c>
      <c r="E2018" s="15">
        <v>163111.48000000001</v>
      </c>
      <c r="F2018" s="237" t="s">
        <v>19739</v>
      </c>
      <c r="G2018" s="241">
        <f>155782.56+7328.92</f>
        <v>163111.48000000001</v>
      </c>
      <c r="H2018" s="241">
        <f t="shared" si="31"/>
        <v>0</v>
      </c>
      <c r="I2018" s="236" t="s">
        <v>19682</v>
      </c>
    </row>
    <row r="2019" spans="1:9" x14ac:dyDescent="0.25">
      <c r="A2019" s="242">
        <v>42901</v>
      </c>
      <c r="B2019" s="18">
        <v>116120</v>
      </c>
      <c r="C2019" s="235" t="s">
        <v>19677</v>
      </c>
      <c r="D2019" s="236" t="s">
        <v>15454</v>
      </c>
      <c r="E2019" s="15">
        <v>21045.8</v>
      </c>
      <c r="F2019" s="237">
        <v>42903</v>
      </c>
      <c r="G2019" s="15">
        <v>21045.8</v>
      </c>
      <c r="H2019" s="15">
        <f t="shared" si="31"/>
        <v>0</v>
      </c>
      <c r="I2019" s="236" t="s">
        <v>19682</v>
      </c>
    </row>
    <row r="2020" spans="1:9" x14ac:dyDescent="0.25">
      <c r="A2020" s="36">
        <v>42901</v>
      </c>
      <c r="B2020" s="18">
        <v>116121</v>
      </c>
      <c r="C2020" s="235" t="s">
        <v>19677</v>
      </c>
      <c r="D2020" s="236" t="s">
        <v>15941</v>
      </c>
      <c r="E2020" s="15">
        <v>1864</v>
      </c>
      <c r="F2020" s="237">
        <v>42903</v>
      </c>
      <c r="G2020" s="15">
        <v>1864</v>
      </c>
      <c r="H2020" s="15">
        <f t="shared" si="31"/>
        <v>0</v>
      </c>
      <c r="I2020" s="236" t="s">
        <v>19682</v>
      </c>
    </row>
    <row r="2021" spans="1:9" x14ac:dyDescent="0.25">
      <c r="A2021" s="242">
        <v>42901</v>
      </c>
      <c r="B2021" s="18">
        <v>116122</v>
      </c>
      <c r="C2021" s="235" t="s">
        <v>19677</v>
      </c>
      <c r="D2021" s="236" t="s">
        <v>15284</v>
      </c>
      <c r="E2021" s="15">
        <v>1123.3</v>
      </c>
      <c r="F2021" s="237">
        <v>42902</v>
      </c>
      <c r="G2021" s="15">
        <v>1123.3</v>
      </c>
      <c r="H2021" s="15">
        <f t="shared" si="31"/>
        <v>0</v>
      </c>
      <c r="I2021" s="236" t="s">
        <v>19682</v>
      </c>
    </row>
    <row r="2022" spans="1:9" x14ac:dyDescent="0.25">
      <c r="A2022" s="36">
        <v>42901</v>
      </c>
      <c r="B2022" s="18">
        <v>116123</v>
      </c>
      <c r="C2022" s="235" t="s">
        <v>19677</v>
      </c>
      <c r="D2022" s="236" t="s">
        <v>15365</v>
      </c>
      <c r="E2022" s="15">
        <v>266490</v>
      </c>
      <c r="F2022" s="237">
        <v>42903</v>
      </c>
      <c r="G2022" s="15">
        <v>266490</v>
      </c>
      <c r="H2022" s="15">
        <f t="shared" si="31"/>
        <v>0</v>
      </c>
      <c r="I2022" s="236" t="s">
        <v>19682</v>
      </c>
    </row>
    <row r="2023" spans="1:9" x14ac:dyDescent="0.25">
      <c r="A2023" s="242">
        <v>42901</v>
      </c>
      <c r="B2023" s="18">
        <v>116124</v>
      </c>
      <c r="C2023" s="235" t="s">
        <v>19677</v>
      </c>
      <c r="D2023" s="236" t="s">
        <v>15644</v>
      </c>
      <c r="E2023" s="15">
        <v>2937.5</v>
      </c>
      <c r="F2023" s="237">
        <v>42902</v>
      </c>
      <c r="G2023" s="15">
        <v>2937.5</v>
      </c>
      <c r="H2023" s="15">
        <f t="shared" si="31"/>
        <v>0</v>
      </c>
      <c r="I2023" s="236" t="s">
        <v>19682</v>
      </c>
    </row>
    <row r="2024" spans="1:9" x14ac:dyDescent="0.25">
      <c r="A2024" s="36">
        <v>42901</v>
      </c>
      <c r="B2024" s="18">
        <v>116125</v>
      </c>
      <c r="C2024" s="235" t="s">
        <v>19677</v>
      </c>
      <c r="D2024" s="236" t="s">
        <v>15254</v>
      </c>
      <c r="E2024" s="15">
        <v>2310</v>
      </c>
      <c r="F2024" s="237">
        <v>42905</v>
      </c>
      <c r="G2024" s="15">
        <v>2310</v>
      </c>
      <c r="H2024" s="15">
        <f t="shared" si="31"/>
        <v>0</v>
      </c>
      <c r="I2024" s="236" t="s">
        <v>19682</v>
      </c>
    </row>
    <row r="2025" spans="1:9" x14ac:dyDescent="0.25">
      <c r="A2025" s="242">
        <v>42902</v>
      </c>
      <c r="B2025" s="18">
        <v>116126</v>
      </c>
      <c r="C2025" s="235" t="s">
        <v>19677</v>
      </c>
      <c r="D2025" s="236" t="s">
        <v>15213</v>
      </c>
      <c r="E2025" s="15">
        <v>7960.9</v>
      </c>
      <c r="F2025" s="237">
        <v>42903</v>
      </c>
      <c r="G2025" s="15">
        <v>7960.9</v>
      </c>
      <c r="H2025" s="15">
        <f t="shared" si="31"/>
        <v>0</v>
      </c>
      <c r="I2025" s="236" t="s">
        <v>19682</v>
      </c>
    </row>
    <row r="2026" spans="1:9" x14ac:dyDescent="0.25">
      <c r="A2026" s="36">
        <v>42902</v>
      </c>
      <c r="B2026" s="18">
        <v>116127</v>
      </c>
      <c r="C2026" s="235" t="s">
        <v>19677</v>
      </c>
      <c r="D2026" s="236" t="s">
        <v>15213</v>
      </c>
      <c r="E2026" s="15">
        <v>43310.400000000001</v>
      </c>
      <c r="F2026" s="237">
        <v>42903</v>
      </c>
      <c r="G2026" s="15">
        <v>43310.400000000001</v>
      </c>
      <c r="H2026" s="15">
        <f t="shared" si="31"/>
        <v>0</v>
      </c>
      <c r="I2026" s="236" t="s">
        <v>19682</v>
      </c>
    </row>
    <row r="2027" spans="1:9" x14ac:dyDescent="0.25">
      <c r="A2027" s="242">
        <v>42902</v>
      </c>
      <c r="B2027" s="18">
        <v>116128</v>
      </c>
      <c r="C2027" s="235" t="s">
        <v>19677</v>
      </c>
      <c r="D2027" s="236" t="s">
        <v>15216</v>
      </c>
      <c r="E2027" s="15">
        <v>6255.2</v>
      </c>
      <c r="F2027" s="237">
        <v>42902</v>
      </c>
      <c r="G2027" s="15">
        <v>6255.2</v>
      </c>
      <c r="H2027" s="15">
        <f t="shared" si="31"/>
        <v>0</v>
      </c>
      <c r="I2027" s="236" t="s">
        <v>19682</v>
      </c>
    </row>
    <row r="2028" spans="1:9" x14ac:dyDescent="0.25">
      <c r="A2028" s="36">
        <v>42902</v>
      </c>
      <c r="B2028" s="18">
        <v>116129</v>
      </c>
      <c r="C2028" s="235" t="s">
        <v>19677</v>
      </c>
      <c r="D2028" s="236" t="s">
        <v>15380</v>
      </c>
      <c r="E2028" s="15">
        <v>51811.1</v>
      </c>
      <c r="F2028" s="237">
        <v>42916</v>
      </c>
      <c r="G2028" s="15">
        <v>51811.1</v>
      </c>
      <c r="H2028" s="15">
        <f t="shared" si="31"/>
        <v>0</v>
      </c>
      <c r="I2028" s="236" t="s">
        <v>19682</v>
      </c>
    </row>
    <row r="2029" spans="1:9" x14ac:dyDescent="0.25">
      <c r="A2029" s="242">
        <v>42902</v>
      </c>
      <c r="B2029" s="18">
        <v>116130</v>
      </c>
      <c r="C2029" s="235" t="s">
        <v>19677</v>
      </c>
      <c r="D2029" s="236" t="s">
        <v>15382</v>
      </c>
      <c r="E2029" s="15">
        <v>13522.4</v>
      </c>
      <c r="F2029" s="237">
        <v>42916</v>
      </c>
      <c r="G2029" s="15">
        <v>13522.4</v>
      </c>
      <c r="H2029" s="15">
        <f t="shared" si="31"/>
        <v>0</v>
      </c>
      <c r="I2029" s="236" t="s">
        <v>19682</v>
      </c>
    </row>
    <row r="2030" spans="1:9" x14ac:dyDescent="0.25">
      <c r="A2030" s="36">
        <v>42902</v>
      </c>
      <c r="B2030" s="18">
        <v>116131</v>
      </c>
      <c r="C2030" s="235" t="s">
        <v>19677</v>
      </c>
      <c r="D2030" s="236" t="s">
        <v>15394</v>
      </c>
      <c r="E2030" s="15">
        <v>23448</v>
      </c>
      <c r="F2030" s="237">
        <v>42903</v>
      </c>
      <c r="G2030" s="15">
        <v>23448</v>
      </c>
      <c r="H2030" s="15">
        <f t="shared" si="31"/>
        <v>0</v>
      </c>
      <c r="I2030" s="236" t="s">
        <v>19682</v>
      </c>
    </row>
    <row r="2031" spans="1:9" x14ac:dyDescent="0.25">
      <c r="A2031" s="242">
        <v>42902</v>
      </c>
      <c r="B2031" s="18">
        <v>116132</v>
      </c>
      <c r="C2031" s="235" t="s">
        <v>19677</v>
      </c>
      <c r="D2031" s="236" t="s">
        <v>15373</v>
      </c>
      <c r="E2031" s="15">
        <v>17387</v>
      </c>
      <c r="F2031" s="237">
        <v>42903</v>
      </c>
      <c r="G2031" s="15">
        <v>17387</v>
      </c>
      <c r="H2031" s="15">
        <f t="shared" si="31"/>
        <v>0</v>
      </c>
      <c r="I2031" s="236" t="s">
        <v>19682</v>
      </c>
    </row>
    <row r="2032" spans="1:9" x14ac:dyDescent="0.25">
      <c r="A2032" s="36">
        <v>42902</v>
      </c>
      <c r="B2032" s="18">
        <v>116133</v>
      </c>
      <c r="C2032" s="235" t="s">
        <v>19677</v>
      </c>
      <c r="D2032" s="236" t="s">
        <v>15369</v>
      </c>
      <c r="E2032" s="15">
        <v>36637.300000000003</v>
      </c>
      <c r="F2032" s="237">
        <v>42916</v>
      </c>
      <c r="G2032" s="15">
        <v>36637.300000000003</v>
      </c>
      <c r="H2032" s="15">
        <f t="shared" si="31"/>
        <v>0</v>
      </c>
      <c r="I2032" s="236" t="s">
        <v>19682</v>
      </c>
    </row>
    <row r="2033" spans="1:9" x14ac:dyDescent="0.25">
      <c r="A2033" s="242">
        <v>42902</v>
      </c>
      <c r="B2033" s="18">
        <v>116134</v>
      </c>
      <c r="C2033" s="235" t="s">
        <v>19677</v>
      </c>
      <c r="D2033" s="236" t="s">
        <v>15389</v>
      </c>
      <c r="E2033" s="15">
        <v>20659</v>
      </c>
      <c r="F2033" s="237">
        <v>42916</v>
      </c>
      <c r="G2033" s="15">
        <v>20659</v>
      </c>
      <c r="H2033" s="15">
        <f t="shared" si="31"/>
        <v>0</v>
      </c>
      <c r="I2033" s="236" t="s">
        <v>19682</v>
      </c>
    </row>
    <row r="2034" spans="1:9" x14ac:dyDescent="0.25">
      <c r="A2034" s="36">
        <v>42902</v>
      </c>
      <c r="B2034" s="18">
        <v>116135</v>
      </c>
      <c r="C2034" s="235" t="s">
        <v>19677</v>
      </c>
      <c r="D2034" s="236" t="s">
        <v>19549</v>
      </c>
      <c r="E2034" s="15">
        <v>13322.8</v>
      </c>
      <c r="F2034" s="237">
        <v>42903</v>
      </c>
      <c r="G2034" s="15">
        <v>13322.8</v>
      </c>
      <c r="H2034" s="15">
        <f t="shared" si="31"/>
        <v>0</v>
      </c>
      <c r="I2034" s="236" t="s">
        <v>19682</v>
      </c>
    </row>
    <row r="2035" spans="1:9" x14ac:dyDescent="0.25">
      <c r="A2035" s="242">
        <v>42902</v>
      </c>
      <c r="B2035" s="18">
        <v>116136</v>
      </c>
      <c r="C2035" s="235" t="s">
        <v>19677</v>
      </c>
      <c r="D2035" s="236" t="s">
        <v>15367</v>
      </c>
      <c r="E2035" s="15">
        <v>2760</v>
      </c>
      <c r="F2035" s="237">
        <v>42903</v>
      </c>
      <c r="G2035" s="15">
        <v>2760</v>
      </c>
      <c r="H2035" s="15">
        <f t="shared" si="31"/>
        <v>0</v>
      </c>
      <c r="I2035" s="236" t="s">
        <v>19682</v>
      </c>
    </row>
    <row r="2036" spans="1:9" x14ac:dyDescent="0.25">
      <c r="A2036" s="36">
        <v>42902</v>
      </c>
      <c r="B2036" s="18">
        <v>116137</v>
      </c>
      <c r="C2036" s="235" t="s">
        <v>19677</v>
      </c>
      <c r="D2036" s="236" t="s">
        <v>15315</v>
      </c>
      <c r="E2036" s="15">
        <v>766.1</v>
      </c>
      <c r="F2036" s="237">
        <v>42903</v>
      </c>
      <c r="G2036" s="15">
        <v>766.1</v>
      </c>
      <c r="H2036" s="15">
        <f t="shared" si="31"/>
        <v>0</v>
      </c>
      <c r="I2036" s="236" t="s">
        <v>19682</v>
      </c>
    </row>
    <row r="2037" spans="1:9" x14ac:dyDescent="0.25">
      <c r="A2037" s="242">
        <v>42902</v>
      </c>
      <c r="B2037" s="18">
        <v>116138</v>
      </c>
      <c r="C2037" s="235" t="s">
        <v>19677</v>
      </c>
      <c r="D2037" s="236" t="s">
        <v>16249</v>
      </c>
      <c r="E2037" s="15">
        <v>4012</v>
      </c>
      <c r="F2037" s="237">
        <v>42902</v>
      </c>
      <c r="G2037" s="15">
        <v>4012</v>
      </c>
      <c r="H2037" s="15">
        <f t="shared" si="31"/>
        <v>0</v>
      </c>
      <c r="I2037" s="236" t="s">
        <v>19682</v>
      </c>
    </row>
    <row r="2038" spans="1:9" x14ac:dyDescent="0.25">
      <c r="A2038" s="36">
        <v>42902</v>
      </c>
      <c r="B2038" s="18">
        <v>116139</v>
      </c>
      <c r="C2038" s="235" t="s">
        <v>19677</v>
      </c>
      <c r="D2038" s="236" t="s">
        <v>15223</v>
      </c>
      <c r="E2038" s="15">
        <v>47031.6</v>
      </c>
      <c r="F2038" s="237">
        <v>42922</v>
      </c>
      <c r="G2038" s="15">
        <v>47031.6</v>
      </c>
      <c r="H2038" s="15">
        <f t="shared" si="31"/>
        <v>0</v>
      </c>
      <c r="I2038" s="236" t="s">
        <v>19682</v>
      </c>
    </row>
    <row r="2039" spans="1:9" x14ac:dyDescent="0.25">
      <c r="A2039" s="242">
        <v>42902</v>
      </c>
      <c r="B2039" s="18">
        <v>116140</v>
      </c>
      <c r="C2039" s="235" t="s">
        <v>19677</v>
      </c>
      <c r="D2039" s="236" t="s">
        <v>18258</v>
      </c>
      <c r="E2039" s="15">
        <v>5440</v>
      </c>
      <c r="F2039" s="237">
        <v>42902</v>
      </c>
      <c r="G2039" s="15">
        <v>5440</v>
      </c>
      <c r="H2039" s="15">
        <f t="shared" si="31"/>
        <v>0</v>
      </c>
      <c r="I2039" s="236" t="s">
        <v>19682</v>
      </c>
    </row>
    <row r="2040" spans="1:9" x14ac:dyDescent="0.25">
      <c r="A2040" s="36">
        <v>42902</v>
      </c>
      <c r="B2040" s="18">
        <v>116141</v>
      </c>
      <c r="C2040" s="235" t="s">
        <v>19677</v>
      </c>
      <c r="D2040" s="236" t="s">
        <v>15728</v>
      </c>
      <c r="E2040" s="15">
        <v>20080.400000000001</v>
      </c>
      <c r="F2040" s="237">
        <v>42902</v>
      </c>
      <c r="G2040" s="15">
        <v>20080.400000000001</v>
      </c>
      <c r="H2040" s="15">
        <f t="shared" si="31"/>
        <v>0</v>
      </c>
      <c r="I2040" s="236" t="s">
        <v>19682</v>
      </c>
    </row>
    <row r="2041" spans="1:9" x14ac:dyDescent="0.25">
      <c r="A2041" s="242">
        <v>42902</v>
      </c>
      <c r="B2041" s="18">
        <v>116142</v>
      </c>
      <c r="C2041" s="235" t="s">
        <v>19677</v>
      </c>
      <c r="D2041" s="236" t="s">
        <v>15242</v>
      </c>
      <c r="E2041" s="15">
        <v>13588</v>
      </c>
      <c r="F2041" s="237">
        <v>42902</v>
      </c>
      <c r="G2041" s="15">
        <v>13588</v>
      </c>
      <c r="H2041" s="15">
        <f t="shared" si="31"/>
        <v>0</v>
      </c>
      <c r="I2041" s="236" t="s">
        <v>19682</v>
      </c>
    </row>
    <row r="2042" spans="1:9" x14ac:dyDescent="0.25">
      <c r="A2042" s="36">
        <v>42902</v>
      </c>
      <c r="B2042" s="18">
        <v>116143</v>
      </c>
      <c r="C2042" s="235" t="s">
        <v>19677</v>
      </c>
      <c r="D2042" s="236" t="s">
        <v>15442</v>
      </c>
      <c r="E2042" s="15">
        <v>12900</v>
      </c>
      <c r="F2042" s="237">
        <v>42907</v>
      </c>
      <c r="G2042" s="15">
        <v>12900</v>
      </c>
      <c r="H2042" s="15">
        <f t="shared" si="31"/>
        <v>0</v>
      </c>
      <c r="I2042" s="236" t="s">
        <v>19682</v>
      </c>
    </row>
    <row r="2043" spans="1:9" x14ac:dyDescent="0.25">
      <c r="A2043" s="242">
        <v>42902</v>
      </c>
      <c r="B2043" s="18">
        <v>116144</v>
      </c>
      <c r="C2043" s="235" t="s">
        <v>19677</v>
      </c>
      <c r="D2043" s="236" t="s">
        <v>15226</v>
      </c>
      <c r="E2043" s="15">
        <v>2161.6</v>
      </c>
      <c r="F2043" s="237">
        <v>42933</v>
      </c>
      <c r="G2043" s="15">
        <v>2161.6</v>
      </c>
      <c r="H2043" s="15">
        <f t="shared" si="31"/>
        <v>0</v>
      </c>
      <c r="I2043" s="236" t="s">
        <v>19682</v>
      </c>
    </row>
    <row r="2044" spans="1:9" x14ac:dyDescent="0.25">
      <c r="A2044" s="36">
        <v>42902</v>
      </c>
      <c r="B2044" s="18">
        <v>116145</v>
      </c>
      <c r="C2044" s="235" t="s">
        <v>19677</v>
      </c>
      <c r="D2044" s="236" t="s">
        <v>17929</v>
      </c>
      <c r="E2044" s="15">
        <v>4120</v>
      </c>
      <c r="F2044" s="237">
        <v>42902</v>
      </c>
      <c r="G2044" s="15">
        <v>4120</v>
      </c>
      <c r="H2044" s="15">
        <f t="shared" si="31"/>
        <v>0</v>
      </c>
      <c r="I2044" s="236" t="s">
        <v>19682</v>
      </c>
    </row>
    <row r="2045" spans="1:9" ht="15.75" x14ac:dyDescent="0.25">
      <c r="A2045" s="242">
        <v>42902</v>
      </c>
      <c r="B2045" s="18">
        <v>116146</v>
      </c>
      <c r="C2045" s="235" t="s">
        <v>19677</v>
      </c>
      <c r="D2045" s="248" t="s">
        <v>95</v>
      </c>
      <c r="E2045" s="15">
        <v>0</v>
      </c>
      <c r="F2045" s="243" t="s">
        <v>95</v>
      </c>
      <c r="G2045" s="15">
        <v>0</v>
      </c>
      <c r="H2045" s="15">
        <f t="shared" si="31"/>
        <v>0</v>
      </c>
      <c r="I2045" s="236" t="s">
        <v>19678</v>
      </c>
    </row>
    <row r="2046" spans="1:9" x14ac:dyDescent="0.25">
      <c r="A2046" s="36">
        <v>42902</v>
      </c>
      <c r="B2046" s="18">
        <v>116147</v>
      </c>
      <c r="C2046" s="235" t="s">
        <v>19677</v>
      </c>
      <c r="D2046" s="236" t="s">
        <v>15284</v>
      </c>
      <c r="E2046" s="15">
        <v>1248.0999999999999</v>
      </c>
      <c r="F2046" s="237">
        <v>42902</v>
      </c>
      <c r="G2046" s="15">
        <v>1248.0999999999999</v>
      </c>
      <c r="H2046" s="15">
        <f t="shared" si="31"/>
        <v>0</v>
      </c>
      <c r="I2046" s="236" t="s">
        <v>19682</v>
      </c>
    </row>
    <row r="2047" spans="1:9" x14ac:dyDescent="0.25">
      <c r="A2047" s="242">
        <v>42902</v>
      </c>
      <c r="B2047" s="18">
        <v>116148</v>
      </c>
      <c r="C2047" s="235" t="s">
        <v>19677</v>
      </c>
      <c r="D2047" s="236" t="s">
        <v>15358</v>
      </c>
      <c r="E2047" s="15">
        <v>2916</v>
      </c>
      <c r="F2047" s="237">
        <v>42902</v>
      </c>
      <c r="G2047" s="15">
        <v>2916</v>
      </c>
      <c r="H2047" s="15">
        <f t="shared" si="31"/>
        <v>0</v>
      </c>
      <c r="I2047" s="236" t="s">
        <v>19682</v>
      </c>
    </row>
    <row r="2048" spans="1:9" x14ac:dyDescent="0.25">
      <c r="A2048" s="36">
        <v>42902</v>
      </c>
      <c r="B2048" s="18">
        <v>116149</v>
      </c>
      <c r="C2048" s="235" t="s">
        <v>19677</v>
      </c>
      <c r="D2048" s="236" t="s">
        <v>15336</v>
      </c>
      <c r="E2048" s="15">
        <v>6957</v>
      </c>
      <c r="F2048" s="237">
        <v>42902</v>
      </c>
      <c r="G2048" s="15">
        <v>6957</v>
      </c>
      <c r="H2048" s="15">
        <f t="shared" si="31"/>
        <v>0</v>
      </c>
      <c r="I2048" s="236" t="s">
        <v>19682</v>
      </c>
    </row>
    <row r="2049" spans="1:9" x14ac:dyDescent="0.25">
      <c r="A2049" s="242">
        <v>42902</v>
      </c>
      <c r="B2049" s="18">
        <v>116150</v>
      </c>
      <c r="C2049" s="235" t="s">
        <v>19677</v>
      </c>
      <c r="D2049" s="236" t="s">
        <v>15858</v>
      </c>
      <c r="E2049" s="15">
        <v>2124.7199999999998</v>
      </c>
      <c r="F2049" s="237">
        <v>42902</v>
      </c>
      <c r="G2049" s="15">
        <v>2124.7199999999998</v>
      </c>
      <c r="H2049" s="15">
        <f t="shared" si="31"/>
        <v>0</v>
      </c>
      <c r="I2049" s="236" t="s">
        <v>19682</v>
      </c>
    </row>
    <row r="2050" spans="1:9" x14ac:dyDescent="0.25">
      <c r="A2050" s="36">
        <v>42902</v>
      </c>
      <c r="B2050" s="18">
        <v>116151</v>
      </c>
      <c r="C2050" s="235" t="s">
        <v>19677</v>
      </c>
      <c r="D2050" s="236" t="s">
        <v>15523</v>
      </c>
      <c r="E2050" s="15">
        <v>2300</v>
      </c>
      <c r="F2050" s="237">
        <v>42902</v>
      </c>
      <c r="G2050" s="15">
        <v>2300</v>
      </c>
      <c r="H2050" s="15">
        <f t="shared" ref="H2050:H2113" si="32">E2050-G2050</f>
        <v>0</v>
      </c>
      <c r="I2050" s="236" t="s">
        <v>19682</v>
      </c>
    </row>
    <row r="2051" spans="1:9" x14ac:dyDescent="0.25">
      <c r="A2051" s="242">
        <v>42902</v>
      </c>
      <c r="B2051" s="18">
        <v>116152</v>
      </c>
      <c r="C2051" s="235" t="s">
        <v>19677</v>
      </c>
      <c r="D2051" s="236" t="s">
        <v>15332</v>
      </c>
      <c r="E2051" s="15">
        <v>3960</v>
      </c>
      <c r="F2051" s="237">
        <v>42902</v>
      </c>
      <c r="G2051" s="15">
        <v>3960</v>
      </c>
      <c r="H2051" s="15">
        <f t="shared" si="32"/>
        <v>0</v>
      </c>
      <c r="I2051" s="236" t="s">
        <v>19682</v>
      </c>
    </row>
    <row r="2052" spans="1:9" x14ac:dyDescent="0.25">
      <c r="A2052" s="36">
        <v>42902</v>
      </c>
      <c r="B2052" s="18">
        <v>116153</v>
      </c>
      <c r="C2052" s="235" t="s">
        <v>19677</v>
      </c>
      <c r="D2052" s="236" t="s">
        <v>16023</v>
      </c>
      <c r="E2052" s="15">
        <v>2684.8</v>
      </c>
      <c r="F2052" s="237">
        <v>42902</v>
      </c>
      <c r="G2052" s="15">
        <v>2684.8</v>
      </c>
      <c r="H2052" s="15">
        <f t="shared" si="32"/>
        <v>0</v>
      </c>
      <c r="I2052" s="236" t="s">
        <v>19682</v>
      </c>
    </row>
    <row r="2053" spans="1:9" x14ac:dyDescent="0.25">
      <c r="A2053" s="242">
        <v>42902</v>
      </c>
      <c r="B2053" s="18">
        <v>116154</v>
      </c>
      <c r="C2053" s="235" t="s">
        <v>19677</v>
      </c>
      <c r="D2053" s="236" t="s">
        <v>15350</v>
      </c>
      <c r="E2053" s="15">
        <v>1610</v>
      </c>
      <c r="F2053" s="237">
        <v>42902</v>
      </c>
      <c r="G2053" s="15">
        <v>1610</v>
      </c>
      <c r="H2053" s="15">
        <f t="shared" si="32"/>
        <v>0</v>
      </c>
      <c r="I2053" s="236" t="s">
        <v>19682</v>
      </c>
    </row>
    <row r="2054" spans="1:9" x14ac:dyDescent="0.25">
      <c r="A2054" s="36">
        <v>42902</v>
      </c>
      <c r="B2054" s="18">
        <v>116155</v>
      </c>
      <c r="C2054" s="235" t="s">
        <v>19677</v>
      </c>
      <c r="D2054" s="236" t="s">
        <v>17462</v>
      </c>
      <c r="E2054" s="15">
        <v>6234</v>
      </c>
      <c r="F2054" s="237">
        <v>42902</v>
      </c>
      <c r="G2054" s="15">
        <v>6234</v>
      </c>
      <c r="H2054" s="15">
        <f t="shared" si="32"/>
        <v>0</v>
      </c>
      <c r="I2054" s="236" t="s">
        <v>19682</v>
      </c>
    </row>
    <row r="2055" spans="1:9" x14ac:dyDescent="0.25">
      <c r="A2055" s="242">
        <v>42902</v>
      </c>
      <c r="B2055" s="18">
        <v>116156</v>
      </c>
      <c r="C2055" s="235" t="s">
        <v>19677</v>
      </c>
      <c r="D2055" s="236" t="s">
        <v>15757</v>
      </c>
      <c r="E2055" s="15">
        <v>6173.2</v>
      </c>
      <c r="F2055" s="237">
        <v>42902</v>
      </c>
      <c r="G2055" s="15">
        <v>6173.2</v>
      </c>
      <c r="H2055" s="15">
        <f t="shared" si="32"/>
        <v>0</v>
      </c>
      <c r="I2055" s="236" t="s">
        <v>19682</v>
      </c>
    </row>
    <row r="2056" spans="1:9" x14ac:dyDescent="0.25">
      <c r="A2056" s="36">
        <v>42902</v>
      </c>
      <c r="B2056" s="18">
        <v>116157</v>
      </c>
      <c r="C2056" s="235" t="s">
        <v>19677</v>
      </c>
      <c r="D2056" s="236" t="s">
        <v>15344</v>
      </c>
      <c r="E2056" s="15">
        <v>2152.6</v>
      </c>
      <c r="F2056" s="237">
        <v>42902</v>
      </c>
      <c r="G2056" s="15">
        <v>2152.6</v>
      </c>
      <c r="H2056" s="15">
        <f t="shared" si="32"/>
        <v>0</v>
      </c>
      <c r="I2056" s="236" t="s">
        <v>19682</v>
      </c>
    </row>
    <row r="2057" spans="1:9" x14ac:dyDescent="0.25">
      <c r="A2057" s="242">
        <v>42902</v>
      </c>
      <c r="B2057" s="18">
        <v>116158</v>
      </c>
      <c r="C2057" s="235" t="s">
        <v>19677</v>
      </c>
      <c r="D2057" s="236" t="s">
        <v>15526</v>
      </c>
      <c r="E2057" s="15">
        <v>3684.8</v>
      </c>
      <c r="F2057" s="237">
        <v>42902</v>
      </c>
      <c r="G2057" s="15">
        <v>3684.8</v>
      </c>
      <c r="H2057" s="15">
        <f t="shared" si="32"/>
        <v>0</v>
      </c>
      <c r="I2057" s="236" t="s">
        <v>19682</v>
      </c>
    </row>
    <row r="2058" spans="1:9" x14ac:dyDescent="0.25">
      <c r="A2058" s="36">
        <v>42902</v>
      </c>
      <c r="B2058" s="18">
        <v>116159</v>
      </c>
      <c r="C2058" s="235" t="s">
        <v>19677</v>
      </c>
      <c r="D2058" s="236" t="s">
        <v>15334</v>
      </c>
      <c r="E2058" s="15">
        <v>3604</v>
      </c>
      <c r="F2058" s="237">
        <v>42902</v>
      </c>
      <c r="G2058" s="15">
        <v>3604</v>
      </c>
      <c r="H2058" s="15">
        <f t="shared" si="32"/>
        <v>0</v>
      </c>
      <c r="I2058" s="236" t="s">
        <v>19682</v>
      </c>
    </row>
    <row r="2059" spans="1:9" x14ac:dyDescent="0.25">
      <c r="A2059" s="242">
        <v>42902</v>
      </c>
      <c r="B2059" s="18">
        <v>116160</v>
      </c>
      <c r="C2059" s="235" t="s">
        <v>19677</v>
      </c>
      <c r="D2059" s="236" t="s">
        <v>18544</v>
      </c>
      <c r="E2059" s="15">
        <v>7319</v>
      </c>
      <c r="F2059" s="237">
        <v>42902</v>
      </c>
      <c r="G2059" s="15">
        <v>7319</v>
      </c>
      <c r="H2059" s="15">
        <f t="shared" si="32"/>
        <v>0</v>
      </c>
      <c r="I2059" s="236" t="s">
        <v>19682</v>
      </c>
    </row>
    <row r="2060" spans="1:9" x14ac:dyDescent="0.25">
      <c r="A2060" s="36">
        <v>42902</v>
      </c>
      <c r="B2060" s="18">
        <v>116161</v>
      </c>
      <c r="C2060" s="235" t="s">
        <v>19677</v>
      </c>
      <c r="D2060" s="236" t="s">
        <v>17210</v>
      </c>
      <c r="E2060" s="15">
        <v>3534.4</v>
      </c>
      <c r="F2060" s="237">
        <v>42902</v>
      </c>
      <c r="G2060" s="15">
        <v>3534.4</v>
      </c>
      <c r="H2060" s="15">
        <f t="shared" si="32"/>
        <v>0</v>
      </c>
      <c r="I2060" s="236" t="s">
        <v>19682</v>
      </c>
    </row>
    <row r="2061" spans="1:9" x14ac:dyDescent="0.25">
      <c r="A2061" s="242">
        <v>42902</v>
      </c>
      <c r="B2061" s="18">
        <v>116162</v>
      </c>
      <c r="C2061" s="235" t="s">
        <v>19677</v>
      </c>
      <c r="D2061" s="236" t="s">
        <v>15240</v>
      </c>
      <c r="E2061" s="15">
        <v>193.8</v>
      </c>
      <c r="F2061" s="237">
        <v>42904</v>
      </c>
      <c r="G2061" s="15">
        <v>193.8</v>
      </c>
      <c r="H2061" s="15">
        <f t="shared" si="32"/>
        <v>0</v>
      </c>
      <c r="I2061" s="236" t="s">
        <v>19682</v>
      </c>
    </row>
    <row r="2062" spans="1:9" x14ac:dyDescent="0.25">
      <c r="A2062" s="36">
        <v>42902</v>
      </c>
      <c r="B2062" s="18">
        <v>116163</v>
      </c>
      <c r="C2062" s="235" t="s">
        <v>19677</v>
      </c>
      <c r="D2062" s="236" t="s">
        <v>15240</v>
      </c>
      <c r="E2062" s="15">
        <v>3165.4</v>
      </c>
      <c r="F2062" s="237">
        <v>42904</v>
      </c>
      <c r="G2062" s="15">
        <v>3165.4</v>
      </c>
      <c r="H2062" s="15">
        <f t="shared" si="32"/>
        <v>0</v>
      </c>
      <c r="I2062" s="236" t="s">
        <v>19682</v>
      </c>
    </row>
    <row r="2063" spans="1:9" x14ac:dyDescent="0.25">
      <c r="A2063" s="242">
        <v>42902</v>
      </c>
      <c r="B2063" s="18">
        <v>116164</v>
      </c>
      <c r="C2063" s="235" t="s">
        <v>19677</v>
      </c>
      <c r="D2063" s="236" t="s">
        <v>15748</v>
      </c>
      <c r="E2063" s="15">
        <v>1266</v>
      </c>
      <c r="F2063" s="237">
        <v>42902</v>
      </c>
      <c r="G2063" s="15">
        <v>1266</v>
      </c>
      <c r="H2063" s="15">
        <f t="shared" si="32"/>
        <v>0</v>
      </c>
      <c r="I2063" s="236" t="s">
        <v>19682</v>
      </c>
    </row>
    <row r="2064" spans="1:9" x14ac:dyDescent="0.25">
      <c r="A2064" s="36">
        <v>42902</v>
      </c>
      <c r="B2064" s="18">
        <v>116165</v>
      </c>
      <c r="C2064" s="235" t="s">
        <v>19677</v>
      </c>
      <c r="D2064" s="236" t="s">
        <v>15742</v>
      </c>
      <c r="E2064" s="15">
        <v>2221.8000000000002</v>
      </c>
      <c r="F2064" s="237">
        <v>42902</v>
      </c>
      <c r="G2064" s="15">
        <v>2221.8000000000002</v>
      </c>
      <c r="H2064" s="15">
        <f t="shared" si="32"/>
        <v>0</v>
      </c>
      <c r="I2064" s="236" t="s">
        <v>19682</v>
      </c>
    </row>
    <row r="2065" spans="1:9" x14ac:dyDescent="0.25">
      <c r="A2065" s="242">
        <v>42902</v>
      </c>
      <c r="B2065" s="18">
        <v>116166</v>
      </c>
      <c r="C2065" s="235" t="s">
        <v>19677</v>
      </c>
      <c r="D2065" s="236" t="s">
        <v>15272</v>
      </c>
      <c r="E2065" s="15">
        <v>23403.3</v>
      </c>
      <c r="F2065" s="237">
        <v>42902</v>
      </c>
      <c r="G2065" s="15">
        <v>23403.3</v>
      </c>
      <c r="H2065" s="15">
        <f t="shared" si="32"/>
        <v>0</v>
      </c>
      <c r="I2065" s="236" t="s">
        <v>19682</v>
      </c>
    </row>
    <row r="2066" spans="1:9" x14ac:dyDescent="0.25">
      <c r="A2066" s="36">
        <v>42902</v>
      </c>
      <c r="B2066" s="18">
        <v>116167</v>
      </c>
      <c r="C2066" s="235" t="s">
        <v>19677</v>
      </c>
      <c r="D2066" s="236" t="s">
        <v>15220</v>
      </c>
      <c r="E2066" s="15">
        <v>2760</v>
      </c>
      <c r="F2066" s="237">
        <v>42902</v>
      </c>
      <c r="G2066" s="15">
        <v>2760</v>
      </c>
      <c r="H2066" s="15">
        <f t="shared" si="32"/>
        <v>0</v>
      </c>
      <c r="I2066" s="236" t="s">
        <v>19682</v>
      </c>
    </row>
    <row r="2067" spans="1:9" x14ac:dyDescent="0.25">
      <c r="A2067" s="242">
        <v>42902</v>
      </c>
      <c r="B2067" s="18">
        <v>116168</v>
      </c>
      <c r="C2067" s="235" t="s">
        <v>19677</v>
      </c>
      <c r="D2067" s="236" t="s">
        <v>17235</v>
      </c>
      <c r="E2067" s="15">
        <v>690</v>
      </c>
      <c r="F2067" s="237">
        <v>42902</v>
      </c>
      <c r="G2067" s="15">
        <v>690</v>
      </c>
      <c r="H2067" s="15">
        <f t="shared" si="32"/>
        <v>0</v>
      </c>
      <c r="I2067" s="236" t="s">
        <v>19682</v>
      </c>
    </row>
    <row r="2068" spans="1:9" x14ac:dyDescent="0.25">
      <c r="A2068" s="36">
        <v>42902</v>
      </c>
      <c r="B2068" s="18">
        <v>116169</v>
      </c>
      <c r="C2068" s="235" t="s">
        <v>19677</v>
      </c>
      <c r="D2068" s="236" t="s">
        <v>15590</v>
      </c>
      <c r="E2068" s="15">
        <v>31372.799999999999</v>
      </c>
      <c r="F2068" s="237" t="s">
        <v>19740</v>
      </c>
      <c r="G2068" s="241">
        <f>3628.6+27744.2</f>
        <v>31372.799999999999</v>
      </c>
      <c r="H2068" s="241">
        <f t="shared" si="32"/>
        <v>0</v>
      </c>
      <c r="I2068" s="236" t="s">
        <v>19682</v>
      </c>
    </row>
    <row r="2069" spans="1:9" x14ac:dyDescent="0.25">
      <c r="A2069" s="242">
        <v>42902</v>
      </c>
      <c r="B2069" s="18">
        <v>116170</v>
      </c>
      <c r="C2069" s="235" t="s">
        <v>19677</v>
      </c>
      <c r="D2069" s="236" t="s">
        <v>15438</v>
      </c>
      <c r="E2069" s="15">
        <v>2575.6</v>
      </c>
      <c r="F2069" s="237">
        <v>42902</v>
      </c>
      <c r="G2069" s="15">
        <v>2575.6</v>
      </c>
      <c r="H2069" s="15">
        <f t="shared" si="32"/>
        <v>0</v>
      </c>
      <c r="I2069" s="236" t="s">
        <v>19682</v>
      </c>
    </row>
    <row r="2070" spans="1:9" x14ac:dyDescent="0.25">
      <c r="A2070" s="36">
        <v>42902</v>
      </c>
      <c r="B2070" s="18">
        <v>116171</v>
      </c>
      <c r="C2070" s="235" t="s">
        <v>19677</v>
      </c>
      <c r="D2070" s="236" t="s">
        <v>15326</v>
      </c>
      <c r="E2070" s="15">
        <v>5232.2</v>
      </c>
      <c r="F2070" s="237">
        <v>42902</v>
      </c>
      <c r="G2070" s="15">
        <v>5232.2</v>
      </c>
      <c r="H2070" s="15">
        <f t="shared" si="32"/>
        <v>0</v>
      </c>
      <c r="I2070" s="236" t="s">
        <v>19682</v>
      </c>
    </row>
    <row r="2071" spans="1:9" x14ac:dyDescent="0.25">
      <c r="A2071" s="242">
        <v>42902</v>
      </c>
      <c r="B2071" s="18">
        <v>116172</v>
      </c>
      <c r="C2071" s="235" t="s">
        <v>19677</v>
      </c>
      <c r="D2071" s="236" t="s">
        <v>15230</v>
      </c>
      <c r="E2071" s="15">
        <v>10501.7</v>
      </c>
      <c r="F2071" s="237">
        <v>42905</v>
      </c>
      <c r="G2071" s="15">
        <v>10501.7</v>
      </c>
      <c r="H2071" s="15">
        <f t="shared" si="32"/>
        <v>0</v>
      </c>
      <c r="I2071" s="236" t="s">
        <v>19682</v>
      </c>
    </row>
    <row r="2072" spans="1:9" x14ac:dyDescent="0.25">
      <c r="A2072" s="36">
        <v>42902</v>
      </c>
      <c r="B2072" s="18">
        <v>116173</v>
      </c>
      <c r="C2072" s="235" t="s">
        <v>19677</v>
      </c>
      <c r="D2072" s="236" t="s">
        <v>15258</v>
      </c>
      <c r="E2072" s="15">
        <v>16933.8</v>
      </c>
      <c r="F2072" s="237" t="s">
        <v>19741</v>
      </c>
      <c r="G2072" s="241">
        <f>10000+6933.8</f>
        <v>16933.8</v>
      </c>
      <c r="H2072" s="241">
        <f t="shared" si="32"/>
        <v>0</v>
      </c>
      <c r="I2072" s="236" t="s">
        <v>19682</v>
      </c>
    </row>
    <row r="2073" spans="1:9" x14ac:dyDescent="0.25">
      <c r="A2073" s="242">
        <v>42902</v>
      </c>
      <c r="B2073" s="18">
        <v>116174</v>
      </c>
      <c r="C2073" s="235" t="s">
        <v>19677</v>
      </c>
      <c r="D2073" s="236" t="s">
        <v>15256</v>
      </c>
      <c r="E2073" s="15">
        <v>7440.8</v>
      </c>
      <c r="F2073" s="237">
        <v>42905</v>
      </c>
      <c r="G2073" s="15">
        <v>7440.8</v>
      </c>
      <c r="H2073" s="15">
        <f t="shared" si="32"/>
        <v>0</v>
      </c>
      <c r="I2073" s="236" t="s">
        <v>19682</v>
      </c>
    </row>
    <row r="2074" spans="1:9" x14ac:dyDescent="0.25">
      <c r="A2074" s="36">
        <v>42902</v>
      </c>
      <c r="B2074" s="18">
        <v>116175</v>
      </c>
      <c r="C2074" s="235" t="s">
        <v>19677</v>
      </c>
      <c r="D2074" s="236" t="s">
        <v>15391</v>
      </c>
      <c r="E2074" s="15">
        <v>10676</v>
      </c>
      <c r="F2074" s="237">
        <v>42905</v>
      </c>
      <c r="G2074" s="15">
        <v>10676</v>
      </c>
      <c r="H2074" s="15">
        <f t="shared" si="32"/>
        <v>0</v>
      </c>
      <c r="I2074" s="236" t="s">
        <v>19682</v>
      </c>
    </row>
    <row r="2075" spans="1:9" x14ac:dyDescent="0.25">
      <c r="A2075" s="242">
        <v>42902</v>
      </c>
      <c r="B2075" s="18">
        <v>116176</v>
      </c>
      <c r="C2075" s="235" t="s">
        <v>19677</v>
      </c>
      <c r="D2075" s="236" t="s">
        <v>15668</v>
      </c>
      <c r="E2075" s="15">
        <v>28613.9</v>
      </c>
      <c r="F2075" s="237">
        <v>42905</v>
      </c>
      <c r="G2075" s="15">
        <v>28613.9</v>
      </c>
      <c r="H2075" s="15">
        <f t="shared" si="32"/>
        <v>0</v>
      </c>
      <c r="I2075" s="236" t="s">
        <v>19682</v>
      </c>
    </row>
    <row r="2076" spans="1:9" x14ac:dyDescent="0.25">
      <c r="A2076" s="36">
        <v>42902</v>
      </c>
      <c r="B2076" s="18">
        <v>116177</v>
      </c>
      <c r="C2076" s="235" t="s">
        <v>19677</v>
      </c>
      <c r="D2076" s="236" t="s">
        <v>15480</v>
      </c>
      <c r="E2076" s="15">
        <v>3779.4</v>
      </c>
      <c r="F2076" s="237">
        <v>42903</v>
      </c>
      <c r="G2076" s="15">
        <v>3779.4</v>
      </c>
      <c r="H2076" s="15">
        <f t="shared" si="32"/>
        <v>0</v>
      </c>
      <c r="I2076" s="236" t="s">
        <v>19682</v>
      </c>
    </row>
    <row r="2077" spans="1:9" x14ac:dyDescent="0.25">
      <c r="A2077" s="242">
        <v>42902</v>
      </c>
      <c r="B2077" s="18">
        <v>116178</v>
      </c>
      <c r="C2077" s="235" t="s">
        <v>19677</v>
      </c>
      <c r="D2077" s="236" t="s">
        <v>5575</v>
      </c>
      <c r="E2077" s="15">
        <v>7334</v>
      </c>
      <c r="F2077" s="237">
        <v>42905</v>
      </c>
      <c r="G2077" s="15">
        <v>7334</v>
      </c>
      <c r="H2077" s="15">
        <f t="shared" si="32"/>
        <v>0</v>
      </c>
      <c r="I2077" s="236" t="s">
        <v>19682</v>
      </c>
    </row>
    <row r="2078" spans="1:9" x14ac:dyDescent="0.25">
      <c r="A2078" s="36">
        <v>42902</v>
      </c>
      <c r="B2078" s="18">
        <v>116179</v>
      </c>
      <c r="C2078" s="235" t="s">
        <v>19677</v>
      </c>
      <c r="D2078" s="236" t="s">
        <v>15236</v>
      </c>
      <c r="E2078" s="15">
        <v>8689.2000000000007</v>
      </c>
      <c r="F2078" s="237">
        <v>42905</v>
      </c>
      <c r="G2078" s="15">
        <v>8689.2000000000007</v>
      </c>
      <c r="H2078" s="15">
        <f t="shared" si="32"/>
        <v>0</v>
      </c>
      <c r="I2078" s="236" t="s">
        <v>19682</v>
      </c>
    </row>
    <row r="2079" spans="1:9" x14ac:dyDescent="0.25">
      <c r="A2079" s="242">
        <v>42902</v>
      </c>
      <c r="B2079" s="18">
        <v>116180</v>
      </c>
      <c r="C2079" s="235" t="s">
        <v>19677</v>
      </c>
      <c r="D2079" s="236" t="s">
        <v>15238</v>
      </c>
      <c r="E2079" s="15">
        <v>7202.4</v>
      </c>
      <c r="F2079" s="237">
        <v>42905</v>
      </c>
      <c r="G2079" s="15">
        <v>7202.4</v>
      </c>
      <c r="H2079" s="15">
        <f t="shared" si="32"/>
        <v>0</v>
      </c>
      <c r="I2079" s="236" t="s">
        <v>19682</v>
      </c>
    </row>
    <row r="2080" spans="1:9" x14ac:dyDescent="0.25">
      <c r="A2080" s="36">
        <v>42902</v>
      </c>
      <c r="B2080" s="18">
        <v>116181</v>
      </c>
      <c r="C2080" s="235" t="s">
        <v>19677</v>
      </c>
      <c r="D2080" s="236" t="s">
        <v>15234</v>
      </c>
      <c r="E2080" s="15">
        <v>3788.7</v>
      </c>
      <c r="F2080" s="237" t="s">
        <v>19741</v>
      </c>
      <c r="G2080" s="241">
        <f>1000+2788.7</f>
        <v>3788.7</v>
      </c>
      <c r="H2080" s="241">
        <f t="shared" si="32"/>
        <v>0</v>
      </c>
      <c r="I2080" s="236" t="s">
        <v>19682</v>
      </c>
    </row>
    <row r="2081" spans="1:9" x14ac:dyDescent="0.25">
      <c r="A2081" s="242">
        <v>42902</v>
      </c>
      <c r="B2081" s="18">
        <v>116182</v>
      </c>
      <c r="C2081" s="235" t="s">
        <v>19677</v>
      </c>
      <c r="D2081" s="236" t="s">
        <v>15385</v>
      </c>
      <c r="E2081" s="15">
        <v>6009</v>
      </c>
      <c r="F2081" s="237">
        <v>42902</v>
      </c>
      <c r="G2081" s="15">
        <v>6009</v>
      </c>
      <c r="H2081" s="15">
        <f t="shared" si="32"/>
        <v>0</v>
      </c>
      <c r="I2081" s="236" t="s">
        <v>19682</v>
      </c>
    </row>
    <row r="2082" spans="1:9" x14ac:dyDescent="0.25">
      <c r="A2082" s="36">
        <v>42902</v>
      </c>
      <c r="B2082" s="18">
        <v>116183</v>
      </c>
      <c r="C2082" s="235" t="s">
        <v>19677</v>
      </c>
      <c r="D2082" s="236" t="s">
        <v>15856</v>
      </c>
      <c r="E2082" s="15">
        <v>20445.8</v>
      </c>
      <c r="F2082" s="237">
        <v>42903</v>
      </c>
      <c r="G2082" s="15">
        <v>20445.8</v>
      </c>
      <c r="H2082" s="15">
        <f t="shared" si="32"/>
        <v>0</v>
      </c>
      <c r="I2082" s="236" t="s">
        <v>19682</v>
      </c>
    </row>
    <row r="2083" spans="1:9" x14ac:dyDescent="0.25">
      <c r="A2083" s="242">
        <v>42902</v>
      </c>
      <c r="B2083" s="18">
        <v>116184</v>
      </c>
      <c r="C2083" s="235" t="s">
        <v>19677</v>
      </c>
      <c r="D2083" s="236" t="s">
        <v>15568</v>
      </c>
      <c r="E2083" s="15">
        <v>10639.2</v>
      </c>
      <c r="F2083" s="237">
        <v>42902</v>
      </c>
      <c r="G2083" s="15">
        <v>10639.2</v>
      </c>
      <c r="H2083" s="15">
        <f t="shared" si="32"/>
        <v>0</v>
      </c>
      <c r="I2083" s="236" t="s">
        <v>19682</v>
      </c>
    </row>
    <row r="2084" spans="1:9" x14ac:dyDescent="0.25">
      <c r="A2084" s="36">
        <v>42902</v>
      </c>
      <c r="B2084" s="18">
        <v>116185</v>
      </c>
      <c r="C2084" s="235" t="s">
        <v>19677</v>
      </c>
      <c r="D2084" s="236" t="s">
        <v>15261</v>
      </c>
      <c r="E2084" s="15">
        <v>24226.16</v>
      </c>
      <c r="F2084" s="237">
        <v>42902</v>
      </c>
      <c r="G2084" s="15">
        <v>24226.16</v>
      </c>
      <c r="H2084" s="15">
        <f t="shared" si="32"/>
        <v>0</v>
      </c>
      <c r="I2084" s="236" t="s">
        <v>19682</v>
      </c>
    </row>
    <row r="2085" spans="1:9" x14ac:dyDescent="0.25">
      <c r="A2085" s="242">
        <v>42902</v>
      </c>
      <c r="B2085" s="18">
        <v>116186</v>
      </c>
      <c r="C2085" s="235" t="s">
        <v>19677</v>
      </c>
      <c r="D2085" s="236" t="s">
        <v>15263</v>
      </c>
      <c r="E2085" s="15">
        <v>3153.8</v>
      </c>
      <c r="F2085" s="237">
        <v>42902</v>
      </c>
      <c r="G2085" s="15">
        <v>3153.8</v>
      </c>
      <c r="H2085" s="15">
        <f t="shared" si="32"/>
        <v>0</v>
      </c>
      <c r="I2085" s="236" t="s">
        <v>19682</v>
      </c>
    </row>
    <row r="2086" spans="1:9" x14ac:dyDescent="0.25">
      <c r="A2086" s="36">
        <v>42902</v>
      </c>
      <c r="B2086" s="18">
        <v>116187</v>
      </c>
      <c r="C2086" s="235" t="s">
        <v>19677</v>
      </c>
      <c r="D2086" s="236" t="s">
        <v>15315</v>
      </c>
      <c r="E2086" s="15">
        <v>1262.8</v>
      </c>
      <c r="F2086" s="237">
        <v>42902</v>
      </c>
      <c r="G2086" s="15">
        <v>1262.8</v>
      </c>
      <c r="H2086" s="15">
        <f t="shared" si="32"/>
        <v>0</v>
      </c>
      <c r="I2086" s="236" t="s">
        <v>19682</v>
      </c>
    </row>
    <row r="2087" spans="1:9" x14ac:dyDescent="0.25">
      <c r="A2087" s="242">
        <v>42902</v>
      </c>
      <c r="B2087" s="18">
        <v>116188</v>
      </c>
      <c r="C2087" s="235" t="s">
        <v>19677</v>
      </c>
      <c r="D2087" s="236" t="s">
        <v>15315</v>
      </c>
      <c r="E2087" s="15">
        <v>729</v>
      </c>
      <c r="F2087" s="237">
        <v>42902</v>
      </c>
      <c r="G2087" s="15">
        <v>729</v>
      </c>
      <c r="H2087" s="15">
        <f t="shared" si="32"/>
        <v>0</v>
      </c>
      <c r="I2087" s="236" t="s">
        <v>19682</v>
      </c>
    </row>
    <row r="2088" spans="1:9" x14ac:dyDescent="0.25">
      <c r="A2088" s="36">
        <v>42902</v>
      </c>
      <c r="B2088" s="18">
        <v>116189</v>
      </c>
      <c r="C2088" s="235" t="s">
        <v>19677</v>
      </c>
      <c r="D2088" s="236" t="s">
        <v>15280</v>
      </c>
      <c r="E2088" s="15">
        <v>6114</v>
      </c>
      <c r="F2088" s="237">
        <v>42902</v>
      </c>
      <c r="G2088" s="15">
        <v>6114</v>
      </c>
      <c r="H2088" s="15">
        <f t="shared" si="32"/>
        <v>0</v>
      </c>
      <c r="I2088" s="236" t="s">
        <v>19682</v>
      </c>
    </row>
    <row r="2089" spans="1:9" x14ac:dyDescent="0.25">
      <c r="A2089" s="242">
        <v>42902</v>
      </c>
      <c r="B2089" s="18">
        <v>116190</v>
      </c>
      <c r="C2089" s="235" t="s">
        <v>19677</v>
      </c>
      <c r="D2089" s="236" t="s">
        <v>15248</v>
      </c>
      <c r="E2089" s="15">
        <v>17027.900000000001</v>
      </c>
      <c r="F2089" s="237">
        <v>42902</v>
      </c>
      <c r="G2089" s="15">
        <v>17027.900000000001</v>
      </c>
      <c r="H2089" s="15">
        <f t="shared" si="32"/>
        <v>0</v>
      </c>
      <c r="I2089" s="236" t="s">
        <v>19682</v>
      </c>
    </row>
    <row r="2090" spans="1:9" x14ac:dyDescent="0.25">
      <c r="A2090" s="36">
        <v>42902</v>
      </c>
      <c r="B2090" s="18">
        <v>116191</v>
      </c>
      <c r="C2090" s="235" t="s">
        <v>19677</v>
      </c>
      <c r="D2090" s="236" t="s">
        <v>15278</v>
      </c>
      <c r="E2090" s="15">
        <v>10497.3</v>
      </c>
      <c r="F2090" s="237">
        <v>42902</v>
      </c>
      <c r="G2090" s="15">
        <v>10497.3</v>
      </c>
      <c r="H2090" s="15">
        <f t="shared" si="32"/>
        <v>0</v>
      </c>
      <c r="I2090" s="236" t="s">
        <v>19682</v>
      </c>
    </row>
    <row r="2091" spans="1:9" x14ac:dyDescent="0.25">
      <c r="A2091" s="242">
        <v>42902</v>
      </c>
      <c r="B2091" s="18">
        <v>116192</v>
      </c>
      <c r="C2091" s="235" t="s">
        <v>19677</v>
      </c>
      <c r="D2091" s="236" t="s">
        <v>15530</v>
      </c>
      <c r="E2091" s="15">
        <v>1958.4</v>
      </c>
      <c r="F2091" s="237">
        <v>42902</v>
      </c>
      <c r="G2091" s="15">
        <v>1958.4</v>
      </c>
      <c r="H2091" s="15">
        <f t="shared" si="32"/>
        <v>0</v>
      </c>
      <c r="I2091" s="236" t="s">
        <v>19682</v>
      </c>
    </row>
    <row r="2092" spans="1:9" x14ac:dyDescent="0.25">
      <c r="A2092" s="36">
        <v>42902</v>
      </c>
      <c r="B2092" s="18">
        <v>116193</v>
      </c>
      <c r="C2092" s="235" t="s">
        <v>19677</v>
      </c>
      <c r="D2092" s="236" t="s">
        <v>15282</v>
      </c>
      <c r="E2092" s="15">
        <v>2944.65</v>
      </c>
      <c r="F2092" s="237">
        <v>42902</v>
      </c>
      <c r="G2092" s="15">
        <v>2944.65</v>
      </c>
      <c r="H2092" s="15">
        <f t="shared" si="32"/>
        <v>0</v>
      </c>
      <c r="I2092" s="236" t="s">
        <v>19682</v>
      </c>
    </row>
    <row r="2093" spans="1:9" x14ac:dyDescent="0.25">
      <c r="A2093" s="242">
        <v>42902</v>
      </c>
      <c r="B2093" s="18">
        <v>116194</v>
      </c>
      <c r="C2093" s="235" t="s">
        <v>19677</v>
      </c>
      <c r="D2093" s="236" t="s">
        <v>15298</v>
      </c>
      <c r="E2093" s="15">
        <v>3204.2</v>
      </c>
      <c r="F2093" s="237">
        <v>42902</v>
      </c>
      <c r="G2093" s="15">
        <v>3204.2</v>
      </c>
      <c r="H2093" s="15">
        <f t="shared" si="32"/>
        <v>0</v>
      </c>
      <c r="I2093" s="236" t="s">
        <v>19682</v>
      </c>
    </row>
    <row r="2094" spans="1:9" x14ac:dyDescent="0.25">
      <c r="A2094" s="36">
        <v>42902</v>
      </c>
      <c r="B2094" s="18">
        <v>116195</v>
      </c>
      <c r="C2094" s="235" t="s">
        <v>19677</v>
      </c>
      <c r="D2094" s="236" t="s">
        <v>15642</v>
      </c>
      <c r="E2094" s="15">
        <v>4126.3</v>
      </c>
      <c r="F2094" s="237">
        <v>42902</v>
      </c>
      <c r="G2094" s="15">
        <v>4126.3</v>
      </c>
      <c r="H2094" s="15">
        <f t="shared" si="32"/>
        <v>0</v>
      </c>
      <c r="I2094" s="236" t="s">
        <v>19682</v>
      </c>
    </row>
    <row r="2095" spans="1:9" x14ac:dyDescent="0.25">
      <c r="A2095" s="242">
        <v>42902</v>
      </c>
      <c r="B2095" s="18">
        <v>116196</v>
      </c>
      <c r="C2095" s="235" t="s">
        <v>19677</v>
      </c>
      <c r="D2095" s="236" t="s">
        <v>15315</v>
      </c>
      <c r="E2095" s="15">
        <v>2271.4</v>
      </c>
      <c r="F2095" s="237">
        <v>42902</v>
      </c>
      <c r="G2095" s="15">
        <v>2271.4</v>
      </c>
      <c r="H2095" s="15">
        <f t="shared" si="32"/>
        <v>0</v>
      </c>
      <c r="I2095" s="236" t="s">
        <v>19682</v>
      </c>
    </row>
    <row r="2096" spans="1:9" x14ac:dyDescent="0.25">
      <c r="A2096" s="36">
        <v>42902</v>
      </c>
      <c r="B2096" s="18">
        <v>116197</v>
      </c>
      <c r="C2096" s="235" t="s">
        <v>19677</v>
      </c>
      <c r="D2096" s="236" t="s">
        <v>15407</v>
      </c>
      <c r="E2096" s="15">
        <v>2220</v>
      </c>
      <c r="F2096" s="237">
        <v>42902</v>
      </c>
      <c r="G2096" s="15">
        <v>2220</v>
      </c>
      <c r="H2096" s="15">
        <f t="shared" si="32"/>
        <v>0</v>
      </c>
      <c r="I2096" s="236" t="s">
        <v>19682</v>
      </c>
    </row>
    <row r="2097" spans="1:9" x14ac:dyDescent="0.25">
      <c r="A2097" s="242">
        <v>42902</v>
      </c>
      <c r="B2097" s="18">
        <v>116198</v>
      </c>
      <c r="C2097" s="235" t="s">
        <v>19677</v>
      </c>
      <c r="D2097" s="236" t="s">
        <v>15272</v>
      </c>
      <c r="E2097" s="15">
        <v>6824.9</v>
      </c>
      <c r="F2097" s="237">
        <v>42902</v>
      </c>
      <c r="G2097" s="15">
        <v>6824.9</v>
      </c>
      <c r="H2097" s="15">
        <f t="shared" si="32"/>
        <v>0</v>
      </c>
      <c r="I2097" s="236" t="s">
        <v>19682</v>
      </c>
    </row>
    <row r="2098" spans="1:9" x14ac:dyDescent="0.25">
      <c r="A2098" s="36">
        <v>42902</v>
      </c>
      <c r="B2098" s="18">
        <v>116199</v>
      </c>
      <c r="C2098" s="235" t="s">
        <v>19677</v>
      </c>
      <c r="D2098" s="236" t="s">
        <v>15252</v>
      </c>
      <c r="E2098" s="15">
        <v>1249.2</v>
      </c>
      <c r="F2098" s="237">
        <v>42905</v>
      </c>
      <c r="G2098" s="15">
        <v>1249.2</v>
      </c>
      <c r="H2098" s="15">
        <f t="shared" si="32"/>
        <v>0</v>
      </c>
      <c r="I2098" s="236" t="s">
        <v>19682</v>
      </c>
    </row>
    <row r="2099" spans="1:9" x14ac:dyDescent="0.25">
      <c r="A2099" s="242">
        <v>42902</v>
      </c>
      <c r="B2099" s="18">
        <v>116200</v>
      </c>
      <c r="C2099" s="235" t="s">
        <v>19677</v>
      </c>
      <c r="D2099" s="236" t="s">
        <v>15272</v>
      </c>
      <c r="E2099" s="15">
        <v>195.2</v>
      </c>
      <c r="F2099" s="237">
        <v>42902</v>
      </c>
      <c r="G2099" s="15">
        <v>195.2</v>
      </c>
      <c r="H2099" s="15">
        <f t="shared" si="32"/>
        <v>0</v>
      </c>
      <c r="I2099" s="236" t="s">
        <v>19682</v>
      </c>
    </row>
    <row r="2100" spans="1:9" x14ac:dyDescent="0.25">
      <c r="A2100" s="36">
        <v>42902</v>
      </c>
      <c r="B2100" s="18">
        <v>116201</v>
      </c>
      <c r="C2100" s="235" t="s">
        <v>19677</v>
      </c>
      <c r="D2100" s="236" t="s">
        <v>15244</v>
      </c>
      <c r="E2100" s="15">
        <v>14893.4</v>
      </c>
      <c r="F2100" s="237">
        <v>42908</v>
      </c>
      <c r="G2100" s="15">
        <v>14893.4</v>
      </c>
      <c r="H2100" s="15">
        <f t="shared" si="32"/>
        <v>0</v>
      </c>
      <c r="I2100" s="236" t="s">
        <v>19682</v>
      </c>
    </row>
    <row r="2101" spans="1:9" x14ac:dyDescent="0.25">
      <c r="A2101" s="242">
        <v>42902</v>
      </c>
      <c r="B2101" s="18">
        <v>116202</v>
      </c>
      <c r="C2101" s="235" t="s">
        <v>19677</v>
      </c>
      <c r="D2101" s="236" t="s">
        <v>15541</v>
      </c>
      <c r="E2101" s="15">
        <v>2175.5</v>
      </c>
      <c r="F2101" s="237">
        <v>42903</v>
      </c>
      <c r="G2101" s="15">
        <v>2175.5</v>
      </c>
      <c r="H2101" s="15">
        <f t="shared" si="32"/>
        <v>0</v>
      </c>
      <c r="I2101" s="236" t="s">
        <v>19682</v>
      </c>
    </row>
    <row r="2102" spans="1:9" x14ac:dyDescent="0.25">
      <c r="A2102" s="36">
        <v>42902</v>
      </c>
      <c r="B2102" s="18">
        <v>116203</v>
      </c>
      <c r="C2102" s="235" t="s">
        <v>19677</v>
      </c>
      <c r="D2102" s="236" t="s">
        <v>15596</v>
      </c>
      <c r="E2102" s="15">
        <v>1610</v>
      </c>
      <c r="F2102" s="237">
        <v>42902</v>
      </c>
      <c r="G2102" s="15">
        <v>1610</v>
      </c>
      <c r="H2102" s="15">
        <f t="shared" si="32"/>
        <v>0</v>
      </c>
      <c r="I2102" s="236" t="s">
        <v>19682</v>
      </c>
    </row>
    <row r="2103" spans="1:9" x14ac:dyDescent="0.25">
      <c r="A2103" s="242">
        <v>42902</v>
      </c>
      <c r="B2103" s="18">
        <v>116204</v>
      </c>
      <c r="C2103" s="235" t="s">
        <v>19677</v>
      </c>
      <c r="D2103" s="236" t="s">
        <v>15274</v>
      </c>
      <c r="E2103" s="15">
        <v>1242</v>
      </c>
      <c r="F2103" s="237">
        <v>42902</v>
      </c>
      <c r="G2103" s="15">
        <v>1242</v>
      </c>
      <c r="H2103" s="15">
        <f t="shared" si="32"/>
        <v>0</v>
      </c>
      <c r="I2103" s="236" t="s">
        <v>19682</v>
      </c>
    </row>
    <row r="2104" spans="1:9" x14ac:dyDescent="0.25">
      <c r="A2104" s="36">
        <v>42902</v>
      </c>
      <c r="B2104" s="18">
        <v>116205</v>
      </c>
      <c r="C2104" s="235" t="s">
        <v>19677</v>
      </c>
      <c r="D2104" s="236" t="s">
        <v>15246</v>
      </c>
      <c r="E2104" s="15">
        <v>65033</v>
      </c>
      <c r="F2104" s="237">
        <v>42905</v>
      </c>
      <c r="G2104" s="15">
        <v>65033</v>
      </c>
      <c r="H2104" s="15">
        <f t="shared" si="32"/>
        <v>0</v>
      </c>
      <c r="I2104" s="236" t="s">
        <v>19682</v>
      </c>
    </row>
    <row r="2105" spans="1:9" x14ac:dyDescent="0.25">
      <c r="A2105" s="242">
        <v>42902</v>
      </c>
      <c r="B2105" s="18">
        <v>116206</v>
      </c>
      <c r="C2105" s="235" t="s">
        <v>19677</v>
      </c>
      <c r="D2105" s="236" t="s">
        <v>15396</v>
      </c>
      <c r="E2105" s="15">
        <v>7409.6</v>
      </c>
      <c r="F2105" s="237">
        <v>42902</v>
      </c>
      <c r="G2105" s="15">
        <v>7409.6</v>
      </c>
      <c r="H2105" s="15">
        <f t="shared" si="32"/>
        <v>0</v>
      </c>
      <c r="I2105" s="236" t="s">
        <v>19682</v>
      </c>
    </row>
    <row r="2106" spans="1:9" x14ac:dyDescent="0.25">
      <c r="A2106" s="36">
        <v>42902</v>
      </c>
      <c r="B2106" s="18">
        <v>116207</v>
      </c>
      <c r="C2106" s="235" t="s">
        <v>19677</v>
      </c>
      <c r="D2106" s="236" t="s">
        <v>15324</v>
      </c>
      <c r="E2106" s="15">
        <v>4196</v>
      </c>
      <c r="F2106" s="237">
        <v>42902</v>
      </c>
      <c r="G2106" s="15">
        <v>4196</v>
      </c>
      <c r="H2106" s="15">
        <f t="shared" si="32"/>
        <v>0</v>
      </c>
      <c r="I2106" s="236" t="s">
        <v>19682</v>
      </c>
    </row>
    <row r="2107" spans="1:9" x14ac:dyDescent="0.25">
      <c r="A2107" s="242">
        <v>42902</v>
      </c>
      <c r="B2107" s="18">
        <v>116208</v>
      </c>
      <c r="C2107" s="235" t="s">
        <v>19677</v>
      </c>
      <c r="D2107" s="236" t="s">
        <v>18082</v>
      </c>
      <c r="E2107" s="15">
        <v>31523.58</v>
      </c>
      <c r="F2107" s="237">
        <v>42902</v>
      </c>
      <c r="G2107" s="15">
        <v>31523.58</v>
      </c>
      <c r="H2107" s="15">
        <f t="shared" si="32"/>
        <v>0</v>
      </c>
      <c r="I2107" s="236" t="s">
        <v>19682</v>
      </c>
    </row>
    <row r="2108" spans="1:9" x14ac:dyDescent="0.25">
      <c r="A2108" s="36">
        <v>42902</v>
      </c>
      <c r="B2108" s="18">
        <v>116209</v>
      </c>
      <c r="C2108" s="235" t="s">
        <v>19677</v>
      </c>
      <c r="D2108" s="236" t="s">
        <v>15284</v>
      </c>
      <c r="E2108" s="15">
        <v>1080.5</v>
      </c>
      <c r="F2108" s="237">
        <v>42902</v>
      </c>
      <c r="G2108" s="15">
        <v>1080.5</v>
      </c>
      <c r="H2108" s="15">
        <f t="shared" si="32"/>
        <v>0</v>
      </c>
      <c r="I2108" s="236" t="s">
        <v>19682</v>
      </c>
    </row>
    <row r="2109" spans="1:9" x14ac:dyDescent="0.25">
      <c r="A2109" s="242">
        <v>42902</v>
      </c>
      <c r="B2109" s="18">
        <v>116210</v>
      </c>
      <c r="C2109" s="235" t="s">
        <v>19677</v>
      </c>
      <c r="D2109" s="236" t="s">
        <v>15315</v>
      </c>
      <c r="E2109" s="15">
        <v>2300</v>
      </c>
      <c r="F2109" s="237">
        <v>42902</v>
      </c>
      <c r="G2109" s="15">
        <v>2300</v>
      </c>
      <c r="H2109" s="15">
        <f t="shared" si="32"/>
        <v>0</v>
      </c>
      <c r="I2109" s="236" t="s">
        <v>19682</v>
      </c>
    </row>
    <row r="2110" spans="1:9" x14ac:dyDescent="0.25">
      <c r="A2110" s="36">
        <v>42902</v>
      </c>
      <c r="B2110" s="18">
        <v>116211</v>
      </c>
      <c r="C2110" s="235" t="s">
        <v>19677</v>
      </c>
      <c r="D2110" s="236" t="s">
        <v>15539</v>
      </c>
      <c r="E2110" s="15">
        <v>19863.3</v>
      </c>
      <c r="F2110" s="237">
        <v>42907</v>
      </c>
      <c r="G2110" s="15">
        <v>19863.3</v>
      </c>
      <c r="H2110" s="15">
        <f t="shared" si="32"/>
        <v>0</v>
      </c>
      <c r="I2110" s="236" t="s">
        <v>19682</v>
      </c>
    </row>
    <row r="2111" spans="1:9" x14ac:dyDescent="0.25">
      <c r="A2111" s="242">
        <v>42902</v>
      </c>
      <c r="B2111" s="18">
        <v>116212</v>
      </c>
      <c r="C2111" s="235" t="s">
        <v>19677</v>
      </c>
      <c r="D2111" s="236" t="s">
        <v>15833</v>
      </c>
      <c r="E2111" s="15">
        <v>16824.599999999999</v>
      </c>
      <c r="F2111" s="237">
        <v>42907</v>
      </c>
      <c r="G2111" s="15">
        <v>16824.599999999999</v>
      </c>
      <c r="H2111" s="15">
        <f t="shared" si="32"/>
        <v>0</v>
      </c>
      <c r="I2111" s="236" t="s">
        <v>19682</v>
      </c>
    </row>
    <row r="2112" spans="1:9" x14ac:dyDescent="0.25">
      <c r="A2112" s="36">
        <v>42902</v>
      </c>
      <c r="B2112" s="18">
        <v>116213</v>
      </c>
      <c r="C2112" s="235" t="s">
        <v>19677</v>
      </c>
      <c r="D2112" s="236" t="s">
        <v>15544</v>
      </c>
      <c r="E2112" s="15">
        <v>18376.099999999999</v>
      </c>
      <c r="F2112" s="237">
        <v>42909</v>
      </c>
      <c r="G2112" s="15">
        <v>18376.099999999999</v>
      </c>
      <c r="H2112" s="15">
        <f t="shared" si="32"/>
        <v>0</v>
      </c>
      <c r="I2112" s="236" t="s">
        <v>19682</v>
      </c>
    </row>
    <row r="2113" spans="1:9" x14ac:dyDescent="0.25">
      <c r="A2113" s="242">
        <v>42902</v>
      </c>
      <c r="B2113" s="18">
        <v>116214</v>
      </c>
      <c r="C2113" s="235" t="s">
        <v>19677</v>
      </c>
      <c r="D2113" s="236" t="s">
        <v>15315</v>
      </c>
      <c r="E2113" s="15">
        <v>3166.8</v>
      </c>
      <c r="F2113" s="237">
        <v>42909</v>
      </c>
      <c r="G2113" s="15">
        <v>3166.8</v>
      </c>
      <c r="H2113" s="15">
        <f t="shared" si="32"/>
        <v>0</v>
      </c>
      <c r="I2113" s="236" t="s">
        <v>19682</v>
      </c>
    </row>
    <row r="2114" spans="1:9" x14ac:dyDescent="0.25">
      <c r="A2114" s="36">
        <v>42902</v>
      </c>
      <c r="B2114" s="18">
        <v>116215</v>
      </c>
      <c r="C2114" s="235" t="s">
        <v>19677</v>
      </c>
      <c r="D2114" s="236" t="s">
        <v>15265</v>
      </c>
      <c r="E2114" s="15">
        <v>3177.2</v>
      </c>
      <c r="F2114" s="237">
        <v>42904</v>
      </c>
      <c r="G2114" s="15">
        <v>3177.2</v>
      </c>
      <c r="H2114" s="15">
        <f t="shared" ref="H2114:H2177" si="33">E2114-G2114</f>
        <v>0</v>
      </c>
      <c r="I2114" s="236" t="s">
        <v>19682</v>
      </c>
    </row>
    <row r="2115" spans="1:9" x14ac:dyDescent="0.25">
      <c r="A2115" s="242">
        <v>42902</v>
      </c>
      <c r="B2115" s="18">
        <v>116216</v>
      </c>
      <c r="C2115" s="235" t="s">
        <v>19677</v>
      </c>
      <c r="D2115" s="236" t="s">
        <v>15246</v>
      </c>
      <c r="E2115" s="15">
        <v>38410.9</v>
      </c>
      <c r="F2115" s="237">
        <v>42905</v>
      </c>
      <c r="G2115" s="15">
        <v>38410.9</v>
      </c>
      <c r="H2115" s="15">
        <f t="shared" si="33"/>
        <v>0</v>
      </c>
      <c r="I2115" s="236" t="s">
        <v>19682</v>
      </c>
    </row>
    <row r="2116" spans="1:9" x14ac:dyDescent="0.25">
      <c r="A2116" s="36">
        <v>42902</v>
      </c>
      <c r="B2116" s="18">
        <v>116217</v>
      </c>
      <c r="C2116" s="235" t="s">
        <v>19677</v>
      </c>
      <c r="D2116" s="236" t="s">
        <v>15294</v>
      </c>
      <c r="E2116" s="15">
        <v>370</v>
      </c>
      <c r="F2116" s="237">
        <v>42902</v>
      </c>
      <c r="G2116" s="15">
        <v>370</v>
      </c>
      <c r="H2116" s="15">
        <f t="shared" si="33"/>
        <v>0</v>
      </c>
      <c r="I2116" s="236" t="s">
        <v>19682</v>
      </c>
    </row>
    <row r="2117" spans="1:9" x14ac:dyDescent="0.25">
      <c r="A2117" s="242">
        <v>42902</v>
      </c>
      <c r="B2117" s="18">
        <v>116218</v>
      </c>
      <c r="C2117" s="235" t="s">
        <v>19677</v>
      </c>
      <c r="D2117" s="236" t="s">
        <v>15246</v>
      </c>
      <c r="E2117" s="15">
        <v>4662</v>
      </c>
      <c r="F2117" s="237">
        <v>42905</v>
      </c>
      <c r="G2117" s="15">
        <v>4662</v>
      </c>
      <c r="H2117" s="15">
        <f t="shared" si="33"/>
        <v>0</v>
      </c>
      <c r="I2117" s="236" t="s">
        <v>19682</v>
      </c>
    </row>
    <row r="2118" spans="1:9" x14ac:dyDescent="0.25">
      <c r="A2118" s="36">
        <v>42902</v>
      </c>
      <c r="B2118" s="18">
        <v>116219</v>
      </c>
      <c r="C2118" s="235" t="s">
        <v>19677</v>
      </c>
      <c r="D2118" s="236" t="s">
        <v>15378</v>
      </c>
      <c r="E2118" s="15">
        <v>303.60000000000002</v>
      </c>
      <c r="F2118" s="237">
        <v>42902</v>
      </c>
      <c r="G2118" s="15">
        <v>303.60000000000002</v>
      </c>
      <c r="H2118" s="15">
        <f t="shared" si="33"/>
        <v>0</v>
      </c>
      <c r="I2118" s="236" t="s">
        <v>19682</v>
      </c>
    </row>
    <row r="2119" spans="1:9" x14ac:dyDescent="0.25">
      <c r="A2119" s="242">
        <v>42902</v>
      </c>
      <c r="B2119" s="18">
        <v>116220</v>
      </c>
      <c r="C2119" s="235" t="s">
        <v>19677</v>
      </c>
      <c r="D2119" s="236" t="s">
        <v>15301</v>
      </c>
      <c r="E2119" s="15">
        <v>4405</v>
      </c>
      <c r="F2119" s="237">
        <v>42902</v>
      </c>
      <c r="G2119" s="15">
        <v>4405</v>
      </c>
      <c r="H2119" s="15">
        <f t="shared" si="33"/>
        <v>0</v>
      </c>
      <c r="I2119" s="236" t="s">
        <v>19682</v>
      </c>
    </row>
    <row r="2120" spans="1:9" x14ac:dyDescent="0.25">
      <c r="A2120" s="36">
        <v>42902</v>
      </c>
      <c r="B2120" s="18">
        <v>116221</v>
      </c>
      <c r="C2120" s="235" t="s">
        <v>19677</v>
      </c>
      <c r="D2120" s="236" t="s">
        <v>15317</v>
      </c>
      <c r="E2120" s="15">
        <v>495</v>
      </c>
      <c r="F2120" s="237">
        <v>42902</v>
      </c>
      <c r="G2120" s="15">
        <v>495</v>
      </c>
      <c r="H2120" s="15">
        <f t="shared" si="33"/>
        <v>0</v>
      </c>
      <c r="I2120" s="236" t="s">
        <v>19682</v>
      </c>
    </row>
    <row r="2121" spans="1:9" x14ac:dyDescent="0.25">
      <c r="A2121" s="242">
        <v>42902</v>
      </c>
      <c r="B2121" s="18">
        <v>116222</v>
      </c>
      <c r="C2121" s="235" t="s">
        <v>19677</v>
      </c>
      <c r="D2121" s="236" t="s">
        <v>15311</v>
      </c>
      <c r="E2121" s="15">
        <v>2193</v>
      </c>
      <c r="F2121" s="237">
        <v>42902</v>
      </c>
      <c r="G2121" s="15">
        <v>2193</v>
      </c>
      <c r="H2121" s="15">
        <f t="shared" si="33"/>
        <v>0</v>
      </c>
      <c r="I2121" s="236" t="s">
        <v>19682</v>
      </c>
    </row>
    <row r="2122" spans="1:9" x14ac:dyDescent="0.25">
      <c r="A2122" s="36">
        <v>42902</v>
      </c>
      <c r="B2122" s="18">
        <v>116223</v>
      </c>
      <c r="C2122" s="235" t="s">
        <v>19677</v>
      </c>
      <c r="D2122" s="236" t="s">
        <v>15376</v>
      </c>
      <c r="E2122" s="15">
        <v>7461.6</v>
      </c>
      <c r="F2122" s="237">
        <v>42902</v>
      </c>
      <c r="G2122" s="15">
        <v>7461.6</v>
      </c>
      <c r="H2122" s="15">
        <f t="shared" si="33"/>
        <v>0</v>
      </c>
      <c r="I2122" s="236" t="s">
        <v>19682</v>
      </c>
    </row>
    <row r="2123" spans="1:9" x14ac:dyDescent="0.25">
      <c r="A2123" s="242">
        <v>42902</v>
      </c>
      <c r="B2123" s="18">
        <v>116224</v>
      </c>
      <c r="C2123" s="235" t="s">
        <v>19677</v>
      </c>
      <c r="D2123" s="236" t="s">
        <v>16040</v>
      </c>
      <c r="E2123" s="15">
        <v>26999.8</v>
      </c>
      <c r="F2123" s="237">
        <v>42907</v>
      </c>
      <c r="G2123" s="15">
        <v>26999.8</v>
      </c>
      <c r="H2123" s="15">
        <f t="shared" si="33"/>
        <v>0</v>
      </c>
      <c r="I2123" s="236" t="s">
        <v>19682</v>
      </c>
    </row>
    <row r="2124" spans="1:9" x14ac:dyDescent="0.25">
      <c r="A2124" s="36">
        <v>42902</v>
      </c>
      <c r="B2124" s="18">
        <v>116225</v>
      </c>
      <c r="C2124" s="235" t="s">
        <v>19677</v>
      </c>
      <c r="D2124" s="236" t="s">
        <v>15305</v>
      </c>
      <c r="E2124" s="15">
        <v>966</v>
      </c>
      <c r="F2124" s="237">
        <v>42902</v>
      </c>
      <c r="G2124" s="15">
        <v>966</v>
      </c>
      <c r="H2124" s="15">
        <f t="shared" si="33"/>
        <v>0</v>
      </c>
      <c r="I2124" s="236" t="s">
        <v>19682</v>
      </c>
    </row>
    <row r="2125" spans="1:9" x14ac:dyDescent="0.25">
      <c r="A2125" s="242">
        <v>42902</v>
      </c>
      <c r="B2125" s="18">
        <v>116226</v>
      </c>
      <c r="C2125" s="235" t="s">
        <v>19677</v>
      </c>
      <c r="D2125" s="236" t="s">
        <v>15699</v>
      </c>
      <c r="E2125" s="15">
        <v>6269.6</v>
      </c>
      <c r="F2125" s="237">
        <v>42915</v>
      </c>
      <c r="G2125" s="15">
        <v>6269.6</v>
      </c>
      <c r="H2125" s="15">
        <f t="shared" si="33"/>
        <v>0</v>
      </c>
      <c r="I2125" s="236" t="s">
        <v>19682</v>
      </c>
    </row>
    <row r="2126" spans="1:9" x14ac:dyDescent="0.25">
      <c r="A2126" s="36">
        <v>42902</v>
      </c>
      <c r="B2126" s="18">
        <v>116227</v>
      </c>
      <c r="C2126" s="235" t="s">
        <v>19677</v>
      </c>
      <c r="D2126" s="236" t="s">
        <v>15315</v>
      </c>
      <c r="E2126" s="15">
        <v>19548.2</v>
      </c>
      <c r="F2126" s="237">
        <v>42907</v>
      </c>
      <c r="G2126" s="15">
        <v>19548.2</v>
      </c>
      <c r="H2126" s="15">
        <f t="shared" si="33"/>
        <v>0</v>
      </c>
      <c r="I2126" s="236" t="s">
        <v>19682</v>
      </c>
    </row>
    <row r="2127" spans="1:9" x14ac:dyDescent="0.25">
      <c r="A2127" s="242">
        <v>42902</v>
      </c>
      <c r="B2127" s="18">
        <v>116228</v>
      </c>
      <c r="C2127" s="235" t="s">
        <v>19677</v>
      </c>
      <c r="D2127" s="236" t="s">
        <v>15309</v>
      </c>
      <c r="E2127" s="15">
        <v>24915.1</v>
      </c>
      <c r="F2127" s="237">
        <v>42902</v>
      </c>
      <c r="G2127" s="15">
        <v>24915.1</v>
      </c>
      <c r="H2127" s="15">
        <f t="shared" si="33"/>
        <v>0</v>
      </c>
      <c r="I2127" s="236" t="s">
        <v>19682</v>
      </c>
    </row>
    <row r="2128" spans="1:9" x14ac:dyDescent="0.25">
      <c r="A2128" s="36">
        <v>42902</v>
      </c>
      <c r="B2128" s="18">
        <v>116229</v>
      </c>
      <c r="C2128" s="235" t="s">
        <v>19677</v>
      </c>
      <c r="D2128" s="236" t="s">
        <v>17722</v>
      </c>
      <c r="E2128" s="15">
        <v>3029.4</v>
      </c>
      <c r="F2128" s="237">
        <v>42902</v>
      </c>
      <c r="G2128" s="15">
        <v>3029.4</v>
      </c>
      <c r="H2128" s="15">
        <f t="shared" si="33"/>
        <v>0</v>
      </c>
      <c r="I2128" s="236" t="s">
        <v>19682</v>
      </c>
    </row>
    <row r="2129" spans="1:9" x14ac:dyDescent="0.25">
      <c r="A2129" s="242">
        <v>42902</v>
      </c>
      <c r="B2129" s="18">
        <v>116230</v>
      </c>
      <c r="C2129" s="235" t="s">
        <v>19677</v>
      </c>
      <c r="D2129" s="236" t="s">
        <v>15537</v>
      </c>
      <c r="E2129" s="15">
        <v>39338.1</v>
      </c>
      <c r="F2129" s="237">
        <v>42907</v>
      </c>
      <c r="G2129" s="15">
        <v>39338.1</v>
      </c>
      <c r="H2129" s="15">
        <f t="shared" si="33"/>
        <v>0</v>
      </c>
      <c r="I2129" s="236" t="s">
        <v>19682</v>
      </c>
    </row>
    <row r="2130" spans="1:9" x14ac:dyDescent="0.25">
      <c r="A2130" s="36">
        <v>42902</v>
      </c>
      <c r="B2130" s="18">
        <v>116231</v>
      </c>
      <c r="C2130" s="235" t="s">
        <v>19677</v>
      </c>
      <c r="D2130" s="236" t="s">
        <v>15559</v>
      </c>
      <c r="E2130" s="15">
        <v>21177.3</v>
      </c>
      <c r="F2130" s="237">
        <v>42907</v>
      </c>
      <c r="G2130" s="15">
        <v>21177.3</v>
      </c>
      <c r="H2130" s="15">
        <f t="shared" si="33"/>
        <v>0</v>
      </c>
      <c r="I2130" s="236" t="s">
        <v>19682</v>
      </c>
    </row>
    <row r="2131" spans="1:9" x14ac:dyDescent="0.25">
      <c r="A2131" s="242">
        <v>42902</v>
      </c>
      <c r="B2131" s="18">
        <v>116232</v>
      </c>
      <c r="C2131" s="235" t="s">
        <v>19677</v>
      </c>
      <c r="D2131" s="236" t="s">
        <v>15557</v>
      </c>
      <c r="E2131" s="15">
        <v>16599.2</v>
      </c>
      <c r="F2131" s="237">
        <v>42916</v>
      </c>
      <c r="G2131" s="15">
        <v>16599.2</v>
      </c>
      <c r="H2131" s="15">
        <f t="shared" si="33"/>
        <v>0</v>
      </c>
      <c r="I2131" s="236" t="s">
        <v>19682</v>
      </c>
    </row>
    <row r="2132" spans="1:9" x14ac:dyDescent="0.25">
      <c r="A2132" s="36">
        <v>42902</v>
      </c>
      <c r="B2132" s="18">
        <v>116233</v>
      </c>
      <c r="C2132" s="235" t="s">
        <v>19677</v>
      </c>
      <c r="D2132" s="236" t="s">
        <v>15557</v>
      </c>
      <c r="E2132" s="15">
        <v>10487.3</v>
      </c>
      <c r="F2132" s="237">
        <v>42915</v>
      </c>
      <c r="G2132" s="15">
        <v>10487.3</v>
      </c>
      <c r="H2132" s="15">
        <f t="shared" si="33"/>
        <v>0</v>
      </c>
      <c r="I2132" s="236" t="s">
        <v>19682</v>
      </c>
    </row>
    <row r="2133" spans="1:9" x14ac:dyDescent="0.25">
      <c r="A2133" s="242">
        <v>42902</v>
      </c>
      <c r="B2133" s="18">
        <v>116234</v>
      </c>
      <c r="C2133" s="235" t="s">
        <v>19677</v>
      </c>
      <c r="D2133" s="236" t="s">
        <v>15315</v>
      </c>
      <c r="E2133" s="15">
        <v>1225.8</v>
      </c>
      <c r="F2133" s="237">
        <v>42902</v>
      </c>
      <c r="G2133" s="15">
        <v>1225.8</v>
      </c>
      <c r="H2133" s="15">
        <f t="shared" si="33"/>
        <v>0</v>
      </c>
      <c r="I2133" s="236" t="s">
        <v>19682</v>
      </c>
    </row>
    <row r="2134" spans="1:9" x14ac:dyDescent="0.25">
      <c r="A2134" s="36">
        <v>42902</v>
      </c>
      <c r="B2134" s="18">
        <v>116235</v>
      </c>
      <c r="C2134" s="235" t="s">
        <v>19677</v>
      </c>
      <c r="D2134" s="236" t="s">
        <v>15315</v>
      </c>
      <c r="E2134" s="15">
        <v>421.2</v>
      </c>
      <c r="F2134" s="237">
        <v>42902</v>
      </c>
      <c r="G2134" s="15">
        <v>421.2</v>
      </c>
      <c r="H2134" s="15">
        <f t="shared" si="33"/>
        <v>0</v>
      </c>
      <c r="I2134" s="236" t="s">
        <v>19682</v>
      </c>
    </row>
    <row r="2135" spans="1:9" x14ac:dyDescent="0.25">
      <c r="A2135" s="242">
        <v>42902</v>
      </c>
      <c r="B2135" s="18">
        <v>116236</v>
      </c>
      <c r="C2135" s="235" t="s">
        <v>19677</v>
      </c>
      <c r="D2135" s="236" t="s">
        <v>15555</v>
      </c>
      <c r="E2135" s="15">
        <v>2085.1999999999998</v>
      </c>
      <c r="F2135" s="237">
        <v>42907</v>
      </c>
      <c r="G2135" s="15">
        <v>2085.1999999999998</v>
      </c>
      <c r="H2135" s="15">
        <f t="shared" si="33"/>
        <v>0</v>
      </c>
      <c r="I2135" s="236" t="s">
        <v>19682</v>
      </c>
    </row>
    <row r="2136" spans="1:9" x14ac:dyDescent="0.25">
      <c r="A2136" s="36">
        <v>42902</v>
      </c>
      <c r="B2136" s="18">
        <v>116237</v>
      </c>
      <c r="C2136" s="235" t="s">
        <v>19677</v>
      </c>
      <c r="D2136" s="236" t="s">
        <v>16048</v>
      </c>
      <c r="E2136" s="15">
        <v>5838.9</v>
      </c>
      <c r="F2136" s="237">
        <v>42902</v>
      </c>
      <c r="G2136" s="15">
        <v>5838.9</v>
      </c>
      <c r="H2136" s="15">
        <f t="shared" si="33"/>
        <v>0</v>
      </c>
      <c r="I2136" s="236" t="s">
        <v>19682</v>
      </c>
    </row>
    <row r="2137" spans="1:9" x14ac:dyDescent="0.25">
      <c r="A2137" s="242">
        <v>42902</v>
      </c>
      <c r="B2137" s="18">
        <v>116238</v>
      </c>
      <c r="C2137" s="235" t="s">
        <v>19677</v>
      </c>
      <c r="D2137" s="236" t="s">
        <v>15291</v>
      </c>
      <c r="E2137" s="15">
        <v>920</v>
      </c>
      <c r="F2137" s="237">
        <v>42902</v>
      </c>
      <c r="G2137" s="15">
        <v>920</v>
      </c>
      <c r="H2137" s="15">
        <f t="shared" si="33"/>
        <v>0</v>
      </c>
      <c r="I2137" s="236" t="s">
        <v>19682</v>
      </c>
    </row>
    <row r="2138" spans="1:9" x14ac:dyDescent="0.25">
      <c r="A2138" s="36">
        <v>42902</v>
      </c>
      <c r="B2138" s="18">
        <v>116239</v>
      </c>
      <c r="C2138" s="235" t="s">
        <v>19677</v>
      </c>
      <c r="D2138" s="236" t="s">
        <v>15322</v>
      </c>
      <c r="E2138" s="15">
        <v>2080</v>
      </c>
      <c r="F2138" s="237">
        <v>42902</v>
      </c>
      <c r="G2138" s="15">
        <v>2080</v>
      </c>
      <c r="H2138" s="15">
        <f t="shared" si="33"/>
        <v>0</v>
      </c>
      <c r="I2138" s="236" t="s">
        <v>19682</v>
      </c>
    </row>
    <row r="2139" spans="1:9" x14ac:dyDescent="0.25">
      <c r="A2139" s="242">
        <v>42902</v>
      </c>
      <c r="B2139" s="18">
        <v>116240</v>
      </c>
      <c r="C2139" s="235" t="s">
        <v>19677</v>
      </c>
      <c r="D2139" s="236" t="s">
        <v>15624</v>
      </c>
      <c r="E2139" s="15">
        <v>31134.51</v>
      </c>
      <c r="F2139" s="237">
        <v>42903</v>
      </c>
      <c r="G2139" s="15">
        <v>31134.51</v>
      </c>
      <c r="H2139" s="15">
        <f t="shared" si="33"/>
        <v>0</v>
      </c>
      <c r="I2139" s="236" t="s">
        <v>19682</v>
      </c>
    </row>
    <row r="2140" spans="1:9" x14ac:dyDescent="0.25">
      <c r="A2140" s="36">
        <v>42902</v>
      </c>
      <c r="B2140" s="18">
        <v>116241</v>
      </c>
      <c r="C2140" s="235" t="s">
        <v>19677</v>
      </c>
      <c r="D2140" s="236" t="s">
        <v>15213</v>
      </c>
      <c r="E2140" s="15">
        <v>3419.4</v>
      </c>
      <c r="F2140" s="237">
        <v>42903</v>
      </c>
      <c r="G2140" s="15">
        <v>3419.4</v>
      </c>
      <c r="H2140" s="15">
        <f t="shared" si="33"/>
        <v>0</v>
      </c>
      <c r="I2140" s="236" t="s">
        <v>19682</v>
      </c>
    </row>
    <row r="2141" spans="1:9" x14ac:dyDescent="0.25">
      <c r="A2141" s="242">
        <v>42902</v>
      </c>
      <c r="B2141" s="18">
        <v>116242</v>
      </c>
      <c r="C2141" s="235" t="s">
        <v>19677</v>
      </c>
      <c r="D2141" s="236" t="s">
        <v>15284</v>
      </c>
      <c r="E2141" s="15">
        <v>1272.5999999999999</v>
      </c>
      <c r="F2141" s="237">
        <v>42902</v>
      </c>
      <c r="G2141" s="15">
        <v>1272.5999999999999</v>
      </c>
      <c r="H2141" s="15">
        <f t="shared" si="33"/>
        <v>0</v>
      </c>
      <c r="I2141" s="236" t="s">
        <v>19682</v>
      </c>
    </row>
    <row r="2142" spans="1:9" x14ac:dyDescent="0.25">
      <c r="A2142" s="36">
        <v>42902</v>
      </c>
      <c r="B2142" s="18">
        <v>116243</v>
      </c>
      <c r="C2142" s="235" t="s">
        <v>19677</v>
      </c>
      <c r="D2142" s="236" t="s">
        <v>15444</v>
      </c>
      <c r="E2142" s="15">
        <v>3623</v>
      </c>
      <c r="F2142" s="237">
        <v>42903</v>
      </c>
      <c r="G2142" s="15">
        <v>3623</v>
      </c>
      <c r="H2142" s="15">
        <f t="shared" si="33"/>
        <v>0</v>
      </c>
      <c r="I2142" s="236" t="s">
        <v>19682</v>
      </c>
    </row>
    <row r="2143" spans="1:9" x14ac:dyDescent="0.25">
      <c r="A2143" s="242">
        <v>42902</v>
      </c>
      <c r="B2143" s="18">
        <v>116244</v>
      </c>
      <c r="C2143" s="235" t="s">
        <v>19677</v>
      </c>
      <c r="D2143" s="236" t="s">
        <v>15338</v>
      </c>
      <c r="E2143" s="15">
        <v>9327.1</v>
      </c>
      <c r="F2143" s="237">
        <v>42908</v>
      </c>
      <c r="G2143" s="15">
        <v>9327.1</v>
      </c>
      <c r="H2143" s="15">
        <f t="shared" si="33"/>
        <v>0</v>
      </c>
      <c r="I2143" s="236" t="s">
        <v>19682</v>
      </c>
    </row>
    <row r="2144" spans="1:9" x14ac:dyDescent="0.25">
      <c r="A2144" s="36">
        <v>42902</v>
      </c>
      <c r="B2144" s="18">
        <v>116245</v>
      </c>
      <c r="C2144" s="235" t="s">
        <v>19677</v>
      </c>
      <c r="D2144" s="236" t="s">
        <v>15284</v>
      </c>
      <c r="E2144" s="15">
        <v>385.4</v>
      </c>
      <c r="F2144" s="237">
        <v>42902</v>
      </c>
      <c r="G2144" s="15">
        <v>385.4</v>
      </c>
      <c r="H2144" s="15">
        <f t="shared" si="33"/>
        <v>0</v>
      </c>
      <c r="I2144" s="236" t="s">
        <v>19682</v>
      </c>
    </row>
    <row r="2145" spans="1:9" ht="15.75" x14ac:dyDescent="0.25">
      <c r="A2145" s="242">
        <v>42902</v>
      </c>
      <c r="B2145" s="18">
        <v>116246</v>
      </c>
      <c r="C2145" s="235" t="s">
        <v>19677</v>
      </c>
      <c r="D2145" s="248" t="s">
        <v>95</v>
      </c>
      <c r="E2145" s="15">
        <v>0</v>
      </c>
      <c r="F2145" s="243" t="s">
        <v>95</v>
      </c>
      <c r="G2145" s="15">
        <v>0</v>
      </c>
      <c r="H2145" s="15">
        <f t="shared" si="33"/>
        <v>0</v>
      </c>
      <c r="I2145" s="236" t="s">
        <v>19678</v>
      </c>
    </row>
    <row r="2146" spans="1:9" x14ac:dyDescent="0.25">
      <c r="A2146" s="36">
        <v>42902</v>
      </c>
      <c r="B2146" s="18">
        <v>116247</v>
      </c>
      <c r="C2146" s="235" t="s">
        <v>19677</v>
      </c>
      <c r="D2146" s="236" t="s">
        <v>15423</v>
      </c>
      <c r="E2146" s="15">
        <v>2152.9</v>
      </c>
      <c r="F2146" s="237">
        <v>42902</v>
      </c>
      <c r="G2146" s="15">
        <v>2152.9</v>
      </c>
      <c r="H2146" s="15">
        <f t="shared" si="33"/>
        <v>0</v>
      </c>
      <c r="I2146" s="236" t="s">
        <v>19682</v>
      </c>
    </row>
    <row r="2147" spans="1:9" x14ac:dyDescent="0.25">
      <c r="A2147" s="242">
        <v>42902</v>
      </c>
      <c r="B2147" s="18">
        <v>116248</v>
      </c>
      <c r="C2147" s="235" t="s">
        <v>19677</v>
      </c>
      <c r="D2147" s="236" t="s">
        <v>15267</v>
      </c>
      <c r="E2147" s="15">
        <v>18638.400000000001</v>
      </c>
      <c r="F2147" s="237">
        <v>42933</v>
      </c>
      <c r="G2147" s="15">
        <v>18638.400000000001</v>
      </c>
      <c r="H2147" s="15">
        <f t="shared" si="33"/>
        <v>0</v>
      </c>
      <c r="I2147" s="236" t="s">
        <v>19682</v>
      </c>
    </row>
    <row r="2148" spans="1:9" x14ac:dyDescent="0.25">
      <c r="A2148" s="36">
        <v>42902</v>
      </c>
      <c r="B2148" s="18">
        <v>116249</v>
      </c>
      <c r="C2148" s="235" t="s">
        <v>19677</v>
      </c>
      <c r="D2148" s="236" t="s">
        <v>15394</v>
      </c>
      <c r="E2148" s="15">
        <v>1488.8</v>
      </c>
      <c r="F2148" s="237">
        <v>42906</v>
      </c>
      <c r="G2148" s="15">
        <v>1488.8</v>
      </c>
      <c r="H2148" s="15">
        <f t="shared" si="33"/>
        <v>0</v>
      </c>
      <c r="I2148" s="236" t="s">
        <v>19682</v>
      </c>
    </row>
    <row r="2149" spans="1:9" x14ac:dyDescent="0.25">
      <c r="A2149" s="242">
        <v>42902</v>
      </c>
      <c r="B2149" s="18">
        <v>116250</v>
      </c>
      <c r="C2149" s="235" t="s">
        <v>19677</v>
      </c>
      <c r="D2149" s="236" t="s">
        <v>15427</v>
      </c>
      <c r="E2149" s="15">
        <v>26488</v>
      </c>
      <c r="F2149" s="237">
        <v>42903</v>
      </c>
      <c r="G2149" s="15">
        <v>26488</v>
      </c>
      <c r="H2149" s="15">
        <f t="shared" si="33"/>
        <v>0</v>
      </c>
      <c r="I2149" s="236" t="s">
        <v>19682</v>
      </c>
    </row>
    <row r="2150" spans="1:9" x14ac:dyDescent="0.25">
      <c r="A2150" s="36">
        <v>42902</v>
      </c>
      <c r="B2150" s="18">
        <v>116251</v>
      </c>
      <c r="C2150" s="235" t="s">
        <v>19677</v>
      </c>
      <c r="D2150" s="236" t="s">
        <v>15417</v>
      </c>
      <c r="E2150" s="15">
        <v>3680</v>
      </c>
      <c r="F2150" s="237">
        <v>42903</v>
      </c>
      <c r="G2150" s="15">
        <v>3680</v>
      </c>
      <c r="H2150" s="15">
        <f t="shared" si="33"/>
        <v>0</v>
      </c>
      <c r="I2150" s="236" t="s">
        <v>19682</v>
      </c>
    </row>
    <row r="2151" spans="1:9" x14ac:dyDescent="0.25">
      <c r="A2151" s="242">
        <v>42902</v>
      </c>
      <c r="B2151" s="18">
        <v>116252</v>
      </c>
      <c r="C2151" s="235" t="s">
        <v>19677</v>
      </c>
      <c r="D2151" s="236" t="s">
        <v>15276</v>
      </c>
      <c r="E2151" s="15">
        <v>4600</v>
      </c>
      <c r="F2151" s="237">
        <v>42903</v>
      </c>
      <c r="G2151" s="15">
        <v>4600</v>
      </c>
      <c r="H2151" s="15">
        <f t="shared" si="33"/>
        <v>0</v>
      </c>
      <c r="I2151" s="236" t="s">
        <v>19682</v>
      </c>
    </row>
    <row r="2152" spans="1:9" x14ac:dyDescent="0.25">
      <c r="A2152" s="36">
        <v>42902</v>
      </c>
      <c r="B2152" s="18">
        <v>116253</v>
      </c>
      <c r="C2152" s="235" t="s">
        <v>19677</v>
      </c>
      <c r="D2152" s="236" t="s">
        <v>15600</v>
      </c>
      <c r="E2152" s="15">
        <v>8016</v>
      </c>
      <c r="F2152" s="237">
        <v>42903</v>
      </c>
      <c r="G2152" s="15">
        <v>8016</v>
      </c>
      <c r="H2152" s="15">
        <f t="shared" si="33"/>
        <v>0</v>
      </c>
      <c r="I2152" s="236" t="s">
        <v>19682</v>
      </c>
    </row>
    <row r="2153" spans="1:9" x14ac:dyDescent="0.25">
      <c r="A2153" s="242">
        <v>42902</v>
      </c>
      <c r="B2153" s="18">
        <v>116254</v>
      </c>
      <c r="C2153" s="235" t="s">
        <v>19677</v>
      </c>
      <c r="D2153" s="236" t="s">
        <v>15782</v>
      </c>
      <c r="E2153" s="15">
        <v>1636.8</v>
      </c>
      <c r="F2153" s="237">
        <v>42903</v>
      </c>
      <c r="G2153" s="15">
        <v>1636.8</v>
      </c>
      <c r="H2153" s="15">
        <f t="shared" si="33"/>
        <v>0</v>
      </c>
      <c r="I2153" s="236" t="s">
        <v>19682</v>
      </c>
    </row>
    <row r="2154" spans="1:9" x14ac:dyDescent="0.25">
      <c r="A2154" s="36">
        <v>42902</v>
      </c>
      <c r="B2154" s="18">
        <v>116255</v>
      </c>
      <c r="C2154" s="235" t="s">
        <v>19677</v>
      </c>
      <c r="D2154" s="236" t="s">
        <v>15934</v>
      </c>
      <c r="E2154" s="15">
        <v>1548.5</v>
      </c>
      <c r="F2154" s="237">
        <v>42903</v>
      </c>
      <c r="G2154" s="15">
        <v>1548.5</v>
      </c>
      <c r="H2154" s="15">
        <f t="shared" si="33"/>
        <v>0</v>
      </c>
      <c r="I2154" s="236" t="s">
        <v>19682</v>
      </c>
    </row>
    <row r="2155" spans="1:9" x14ac:dyDescent="0.25">
      <c r="A2155" s="242">
        <v>42902</v>
      </c>
      <c r="B2155" s="18">
        <v>116256</v>
      </c>
      <c r="C2155" s="235" t="s">
        <v>19677</v>
      </c>
      <c r="D2155" s="236" t="s">
        <v>15920</v>
      </c>
      <c r="E2155" s="15">
        <v>17412</v>
      </c>
      <c r="F2155" s="237">
        <v>42903</v>
      </c>
      <c r="G2155" s="15">
        <v>17412</v>
      </c>
      <c r="H2155" s="15">
        <f t="shared" si="33"/>
        <v>0</v>
      </c>
      <c r="I2155" s="236" t="s">
        <v>19682</v>
      </c>
    </row>
    <row r="2156" spans="1:9" x14ac:dyDescent="0.25">
      <c r="A2156" s="36">
        <v>42902</v>
      </c>
      <c r="B2156" s="18">
        <v>116257</v>
      </c>
      <c r="C2156" s="235" t="s">
        <v>19677</v>
      </c>
      <c r="D2156" s="236" t="s">
        <v>15309</v>
      </c>
      <c r="E2156" s="15">
        <v>2459.8000000000002</v>
      </c>
      <c r="F2156" s="237">
        <v>42903</v>
      </c>
      <c r="G2156" s="15">
        <v>2459.8000000000002</v>
      </c>
      <c r="H2156" s="15">
        <f t="shared" si="33"/>
        <v>0</v>
      </c>
      <c r="I2156" s="236" t="s">
        <v>19682</v>
      </c>
    </row>
    <row r="2157" spans="1:9" x14ac:dyDescent="0.25">
      <c r="A2157" s="242">
        <v>42902</v>
      </c>
      <c r="B2157" s="18">
        <v>116258</v>
      </c>
      <c r="C2157" s="235" t="s">
        <v>19677</v>
      </c>
      <c r="D2157" s="236" t="s">
        <v>15315</v>
      </c>
      <c r="E2157" s="15">
        <v>4607.2</v>
      </c>
      <c r="F2157" s="237">
        <v>42903</v>
      </c>
      <c r="G2157" s="15">
        <v>4607.2</v>
      </c>
      <c r="H2157" s="15">
        <f t="shared" si="33"/>
        <v>0</v>
      </c>
      <c r="I2157" s="236" t="s">
        <v>19682</v>
      </c>
    </row>
    <row r="2158" spans="1:9" x14ac:dyDescent="0.25">
      <c r="A2158" s="36">
        <v>42902</v>
      </c>
      <c r="B2158" s="18">
        <v>116259</v>
      </c>
      <c r="C2158" s="235" t="s">
        <v>19677</v>
      </c>
      <c r="D2158" s="236" t="s">
        <v>15725</v>
      </c>
      <c r="E2158" s="15">
        <v>27288.6</v>
      </c>
      <c r="F2158" s="237">
        <v>42904</v>
      </c>
      <c r="G2158" s="15">
        <v>27288.6</v>
      </c>
      <c r="H2158" s="15">
        <f t="shared" si="33"/>
        <v>0</v>
      </c>
      <c r="I2158" s="236" t="s">
        <v>19682</v>
      </c>
    </row>
    <row r="2159" spans="1:9" x14ac:dyDescent="0.25">
      <c r="A2159" s="242">
        <v>42902</v>
      </c>
      <c r="B2159" s="18">
        <v>116260</v>
      </c>
      <c r="C2159" s="235" t="s">
        <v>19677</v>
      </c>
      <c r="D2159" s="236" t="s">
        <v>19742</v>
      </c>
      <c r="E2159" s="15">
        <v>1676.8</v>
      </c>
      <c r="F2159" s="237">
        <v>42903</v>
      </c>
      <c r="G2159" s="15">
        <v>1676.8</v>
      </c>
      <c r="H2159" s="15">
        <f t="shared" si="33"/>
        <v>0</v>
      </c>
      <c r="I2159" s="236" t="s">
        <v>19682</v>
      </c>
    </row>
    <row r="2160" spans="1:9" ht="15.75" x14ac:dyDescent="0.25">
      <c r="A2160" s="36">
        <v>42902</v>
      </c>
      <c r="B2160" s="18">
        <v>116261</v>
      </c>
      <c r="C2160" s="235" t="s">
        <v>19677</v>
      </c>
      <c r="D2160" s="248" t="s">
        <v>95</v>
      </c>
      <c r="E2160" s="15">
        <v>0</v>
      </c>
      <c r="F2160" s="243" t="s">
        <v>95</v>
      </c>
      <c r="G2160" s="15">
        <v>0</v>
      </c>
      <c r="H2160" s="15">
        <f t="shared" si="33"/>
        <v>0</v>
      </c>
      <c r="I2160" s="236" t="s">
        <v>19678</v>
      </c>
    </row>
    <row r="2161" spans="1:9" x14ac:dyDescent="0.25">
      <c r="A2161" s="242">
        <v>42902</v>
      </c>
      <c r="B2161" s="18">
        <v>116262</v>
      </c>
      <c r="C2161" s="235" t="s">
        <v>19677</v>
      </c>
      <c r="D2161" s="236" t="s">
        <v>17462</v>
      </c>
      <c r="E2161" s="15">
        <v>1410</v>
      </c>
      <c r="F2161" s="237">
        <v>42902</v>
      </c>
      <c r="G2161" s="15">
        <v>1410</v>
      </c>
      <c r="H2161" s="15">
        <f t="shared" si="33"/>
        <v>0</v>
      </c>
      <c r="I2161" s="236" t="s">
        <v>19682</v>
      </c>
    </row>
    <row r="2162" spans="1:9" x14ac:dyDescent="0.25">
      <c r="A2162" s="36">
        <v>42902</v>
      </c>
      <c r="B2162" s="18">
        <v>116263</v>
      </c>
      <c r="C2162" s="235" t="s">
        <v>19677</v>
      </c>
      <c r="D2162" s="236" t="s">
        <v>15433</v>
      </c>
      <c r="E2162" s="15">
        <v>2304.6</v>
      </c>
      <c r="F2162" s="237">
        <v>42902</v>
      </c>
      <c r="G2162" s="15">
        <v>2304.6</v>
      </c>
      <c r="H2162" s="15">
        <f t="shared" si="33"/>
        <v>0</v>
      </c>
      <c r="I2162" s="236" t="s">
        <v>19682</v>
      </c>
    </row>
    <row r="2163" spans="1:9" x14ac:dyDescent="0.25">
      <c r="A2163" s="242">
        <v>42902</v>
      </c>
      <c r="B2163" s="18">
        <v>116264</v>
      </c>
      <c r="C2163" s="235" t="s">
        <v>19677</v>
      </c>
      <c r="D2163" s="236" t="s">
        <v>15577</v>
      </c>
      <c r="E2163" s="15">
        <v>862</v>
      </c>
      <c r="F2163" s="237">
        <v>42902</v>
      </c>
      <c r="G2163" s="15">
        <v>862</v>
      </c>
      <c r="H2163" s="15">
        <f t="shared" si="33"/>
        <v>0</v>
      </c>
      <c r="I2163" s="236" t="s">
        <v>19682</v>
      </c>
    </row>
    <row r="2164" spans="1:9" x14ac:dyDescent="0.25">
      <c r="A2164" s="36">
        <v>42902</v>
      </c>
      <c r="B2164" s="18">
        <v>116265</v>
      </c>
      <c r="C2164" s="235" t="s">
        <v>19677</v>
      </c>
      <c r="D2164" s="236" t="s">
        <v>15340</v>
      </c>
      <c r="E2164" s="15">
        <v>2764.1</v>
      </c>
      <c r="F2164" s="237">
        <v>42904</v>
      </c>
      <c r="G2164" s="15">
        <v>2764.1</v>
      </c>
      <c r="H2164" s="15">
        <f t="shared" si="33"/>
        <v>0</v>
      </c>
      <c r="I2164" s="236" t="s">
        <v>19682</v>
      </c>
    </row>
    <row r="2165" spans="1:9" x14ac:dyDescent="0.25">
      <c r="A2165" s="242">
        <v>42902</v>
      </c>
      <c r="B2165" s="18">
        <v>116266</v>
      </c>
      <c r="C2165" s="235" t="s">
        <v>19677</v>
      </c>
      <c r="D2165" s="236" t="s">
        <v>15342</v>
      </c>
      <c r="E2165" s="15">
        <v>965</v>
      </c>
      <c r="F2165" s="237">
        <v>42904</v>
      </c>
      <c r="G2165" s="15">
        <v>965</v>
      </c>
      <c r="H2165" s="15">
        <f t="shared" si="33"/>
        <v>0</v>
      </c>
      <c r="I2165" s="236" t="s">
        <v>19682</v>
      </c>
    </row>
    <row r="2166" spans="1:9" x14ac:dyDescent="0.25">
      <c r="A2166" s="36">
        <v>42902</v>
      </c>
      <c r="B2166" s="18">
        <v>116267</v>
      </c>
      <c r="C2166" s="235" t="s">
        <v>19677</v>
      </c>
      <c r="D2166" s="236" t="s">
        <v>15328</v>
      </c>
      <c r="E2166" s="15">
        <v>52460.67</v>
      </c>
      <c r="F2166" s="237" t="s">
        <v>19743</v>
      </c>
      <c r="G2166" s="241">
        <f>2921.09+49539.58</f>
        <v>52460.67</v>
      </c>
      <c r="H2166" s="241">
        <f t="shared" si="33"/>
        <v>0</v>
      </c>
      <c r="I2166" s="236" t="s">
        <v>19682</v>
      </c>
    </row>
    <row r="2167" spans="1:9" x14ac:dyDescent="0.25">
      <c r="A2167" s="242">
        <v>42902</v>
      </c>
      <c r="B2167" s="18">
        <v>116268</v>
      </c>
      <c r="C2167" s="235" t="s">
        <v>19677</v>
      </c>
      <c r="D2167" s="236" t="s">
        <v>16129</v>
      </c>
      <c r="E2167" s="15">
        <v>4763.2</v>
      </c>
      <c r="F2167" s="237">
        <v>42909</v>
      </c>
      <c r="G2167" s="15">
        <v>4763.2</v>
      </c>
      <c r="H2167" s="15">
        <f t="shared" si="33"/>
        <v>0</v>
      </c>
      <c r="I2167" s="236" t="s">
        <v>19682</v>
      </c>
    </row>
    <row r="2168" spans="1:9" x14ac:dyDescent="0.25">
      <c r="A2168" s="36">
        <v>42902</v>
      </c>
      <c r="B2168" s="18">
        <v>116269</v>
      </c>
      <c r="C2168" s="235" t="s">
        <v>19677</v>
      </c>
      <c r="D2168" s="236" t="s">
        <v>15315</v>
      </c>
      <c r="E2168" s="15">
        <v>372</v>
      </c>
      <c r="F2168" s="237">
        <v>42902</v>
      </c>
      <c r="G2168" s="15">
        <v>372</v>
      </c>
      <c r="H2168" s="15">
        <f t="shared" si="33"/>
        <v>0</v>
      </c>
      <c r="I2168" s="236" t="s">
        <v>19682</v>
      </c>
    </row>
    <row r="2169" spans="1:9" x14ac:dyDescent="0.25">
      <c r="A2169" s="242">
        <v>42902</v>
      </c>
      <c r="B2169" s="18">
        <v>116270</v>
      </c>
      <c r="C2169" s="235" t="s">
        <v>19677</v>
      </c>
      <c r="D2169" s="236" t="s">
        <v>15263</v>
      </c>
      <c r="E2169" s="15">
        <v>747.4</v>
      </c>
      <c r="F2169" s="237">
        <v>42902</v>
      </c>
      <c r="G2169" s="15">
        <v>747.4</v>
      </c>
      <c r="H2169" s="15">
        <f t="shared" si="33"/>
        <v>0</v>
      </c>
      <c r="I2169" s="236" t="s">
        <v>19682</v>
      </c>
    </row>
    <row r="2170" spans="1:9" x14ac:dyDescent="0.25">
      <c r="A2170" s="36">
        <v>42902</v>
      </c>
      <c r="B2170" s="18">
        <v>116271</v>
      </c>
      <c r="C2170" s="235" t="s">
        <v>19677</v>
      </c>
      <c r="D2170" s="236" t="s">
        <v>15246</v>
      </c>
      <c r="E2170" s="15">
        <v>163375.57999999999</v>
      </c>
      <c r="F2170" s="237">
        <v>42905</v>
      </c>
      <c r="G2170" s="15">
        <v>163375.57999999999</v>
      </c>
      <c r="H2170" s="15">
        <f t="shared" si="33"/>
        <v>0</v>
      </c>
      <c r="I2170" s="236" t="s">
        <v>19682</v>
      </c>
    </row>
    <row r="2171" spans="1:9" x14ac:dyDescent="0.25">
      <c r="A2171" s="242">
        <v>42902</v>
      </c>
      <c r="B2171" s="18">
        <v>116272</v>
      </c>
      <c r="C2171" s="235" t="s">
        <v>19677</v>
      </c>
      <c r="D2171" s="236" t="s">
        <v>15246</v>
      </c>
      <c r="E2171" s="15">
        <v>21463.4</v>
      </c>
      <c r="F2171" s="237">
        <v>42905</v>
      </c>
      <c r="G2171" s="15">
        <v>21463.4</v>
      </c>
      <c r="H2171" s="15">
        <f t="shared" si="33"/>
        <v>0</v>
      </c>
      <c r="I2171" s="236" t="s">
        <v>19682</v>
      </c>
    </row>
    <row r="2172" spans="1:9" x14ac:dyDescent="0.25">
      <c r="A2172" s="36">
        <v>42902</v>
      </c>
      <c r="B2172" s="18">
        <v>116273</v>
      </c>
      <c r="C2172" s="235" t="s">
        <v>19677</v>
      </c>
      <c r="D2172" s="236" t="s">
        <v>15250</v>
      </c>
      <c r="E2172" s="15">
        <v>39316.83</v>
      </c>
      <c r="F2172" s="237">
        <v>42909</v>
      </c>
      <c r="G2172" s="15">
        <v>39316.83</v>
      </c>
      <c r="H2172" s="15">
        <f t="shared" si="33"/>
        <v>0</v>
      </c>
      <c r="I2172" s="236" t="s">
        <v>19682</v>
      </c>
    </row>
    <row r="2173" spans="1:9" x14ac:dyDescent="0.25">
      <c r="A2173" s="242">
        <v>42902</v>
      </c>
      <c r="B2173" s="18">
        <v>116274</v>
      </c>
      <c r="C2173" s="235" t="s">
        <v>19677</v>
      </c>
      <c r="D2173" s="236" t="s">
        <v>15435</v>
      </c>
      <c r="E2173" s="15">
        <v>6976.8</v>
      </c>
      <c r="F2173" s="237">
        <v>42902</v>
      </c>
      <c r="G2173" s="15">
        <v>6976.8</v>
      </c>
      <c r="H2173" s="15">
        <f t="shared" si="33"/>
        <v>0</v>
      </c>
      <c r="I2173" s="236" t="s">
        <v>19682</v>
      </c>
    </row>
    <row r="2174" spans="1:9" x14ac:dyDescent="0.25">
      <c r="A2174" s="36">
        <v>42902</v>
      </c>
      <c r="B2174" s="18">
        <v>116275</v>
      </c>
      <c r="C2174" s="235" t="s">
        <v>19677</v>
      </c>
      <c r="D2174" s="236" t="s">
        <v>15284</v>
      </c>
      <c r="E2174" s="15">
        <v>700.3</v>
      </c>
      <c r="F2174" s="237">
        <v>42902</v>
      </c>
      <c r="G2174" s="15">
        <v>700.3</v>
      </c>
      <c r="H2174" s="15">
        <f t="shared" si="33"/>
        <v>0</v>
      </c>
      <c r="I2174" s="236" t="s">
        <v>19682</v>
      </c>
    </row>
    <row r="2175" spans="1:9" x14ac:dyDescent="0.25">
      <c r="A2175" s="242">
        <v>42902</v>
      </c>
      <c r="B2175" s="18">
        <v>116276</v>
      </c>
      <c r="C2175" s="235" t="s">
        <v>19677</v>
      </c>
      <c r="D2175" s="236" t="s">
        <v>15728</v>
      </c>
      <c r="E2175" s="15">
        <v>16741.599999999999</v>
      </c>
      <c r="F2175" s="237">
        <v>42902</v>
      </c>
      <c r="G2175" s="15">
        <v>16741.599999999999</v>
      </c>
      <c r="H2175" s="15">
        <f t="shared" si="33"/>
        <v>0</v>
      </c>
      <c r="I2175" s="236" t="s">
        <v>19682</v>
      </c>
    </row>
    <row r="2176" spans="1:9" x14ac:dyDescent="0.25">
      <c r="A2176" s="36">
        <v>42902</v>
      </c>
      <c r="B2176" s="18">
        <v>116277</v>
      </c>
      <c r="C2176" s="235" t="s">
        <v>19677</v>
      </c>
      <c r="D2176" s="236" t="s">
        <v>15365</v>
      </c>
      <c r="E2176" s="15">
        <v>414580</v>
      </c>
      <c r="F2176" s="237">
        <v>42908</v>
      </c>
      <c r="G2176" s="15">
        <v>414580</v>
      </c>
      <c r="H2176" s="15">
        <f t="shared" si="33"/>
        <v>0</v>
      </c>
      <c r="I2176" s="236" t="s">
        <v>19682</v>
      </c>
    </row>
    <row r="2177" spans="1:9" x14ac:dyDescent="0.25">
      <c r="A2177" s="242">
        <v>42902</v>
      </c>
      <c r="B2177" s="18">
        <v>116278</v>
      </c>
      <c r="C2177" s="235" t="s">
        <v>19677</v>
      </c>
      <c r="D2177" s="236" t="s">
        <v>15246</v>
      </c>
      <c r="E2177" s="15">
        <v>298339.90000000002</v>
      </c>
      <c r="F2177" s="237">
        <v>42905</v>
      </c>
      <c r="G2177" s="15">
        <v>298339.90000000002</v>
      </c>
      <c r="H2177" s="15">
        <f t="shared" si="33"/>
        <v>0</v>
      </c>
      <c r="I2177" s="236" t="s">
        <v>19682</v>
      </c>
    </row>
    <row r="2178" spans="1:9" x14ac:dyDescent="0.25">
      <c r="A2178" s="36">
        <v>42902</v>
      </c>
      <c r="B2178" s="18">
        <v>116279</v>
      </c>
      <c r="C2178" s="235" t="s">
        <v>19677</v>
      </c>
      <c r="D2178" s="236" t="s">
        <v>15642</v>
      </c>
      <c r="E2178" s="15">
        <v>6169.8</v>
      </c>
      <c r="F2178" s="237">
        <v>42902</v>
      </c>
      <c r="G2178" s="15">
        <v>6169.8</v>
      </c>
      <c r="H2178" s="15">
        <f t="shared" ref="H2178:H2241" si="34">E2178-G2178</f>
        <v>0</v>
      </c>
      <c r="I2178" s="236" t="s">
        <v>19682</v>
      </c>
    </row>
    <row r="2179" spans="1:9" ht="15.75" x14ac:dyDescent="0.25">
      <c r="A2179" s="242">
        <v>42902</v>
      </c>
      <c r="B2179" s="18">
        <v>116280</v>
      </c>
      <c r="C2179" s="235" t="s">
        <v>19677</v>
      </c>
      <c r="D2179" s="248" t="s">
        <v>95</v>
      </c>
      <c r="E2179" s="15">
        <v>0</v>
      </c>
      <c r="F2179" s="243" t="s">
        <v>95</v>
      </c>
      <c r="G2179" s="15"/>
      <c r="H2179" s="15">
        <f t="shared" si="34"/>
        <v>0</v>
      </c>
      <c r="I2179" s="236" t="s">
        <v>19678</v>
      </c>
    </row>
    <row r="2180" spans="1:9" x14ac:dyDescent="0.25">
      <c r="A2180" s="36">
        <v>42902</v>
      </c>
      <c r="B2180" s="18">
        <v>116281</v>
      </c>
      <c r="C2180" s="235" t="s">
        <v>19677</v>
      </c>
      <c r="D2180" s="236" t="s">
        <v>18082</v>
      </c>
      <c r="E2180" s="15">
        <v>61445.67</v>
      </c>
      <c r="F2180" s="237" t="s">
        <v>19744</v>
      </c>
      <c r="G2180" s="241">
        <f>60945.67+500</f>
        <v>61445.67</v>
      </c>
      <c r="H2180" s="241">
        <f t="shared" si="34"/>
        <v>0</v>
      </c>
      <c r="I2180" s="236" t="s">
        <v>19682</v>
      </c>
    </row>
    <row r="2181" spans="1:9" x14ac:dyDescent="0.25">
      <c r="A2181" s="242">
        <v>42902</v>
      </c>
      <c r="B2181" s="18">
        <v>116282</v>
      </c>
      <c r="C2181" s="235" t="s">
        <v>19677</v>
      </c>
      <c r="D2181" s="236" t="s">
        <v>15315</v>
      </c>
      <c r="E2181" s="15">
        <v>765</v>
      </c>
      <c r="F2181" s="237">
        <v>42903</v>
      </c>
      <c r="G2181" s="241">
        <v>765</v>
      </c>
      <c r="H2181" s="241">
        <f t="shared" si="34"/>
        <v>0</v>
      </c>
      <c r="I2181" s="236" t="s">
        <v>19682</v>
      </c>
    </row>
    <row r="2182" spans="1:9" x14ac:dyDescent="0.25">
      <c r="A2182" s="36">
        <v>42902</v>
      </c>
      <c r="B2182" s="18">
        <v>116283</v>
      </c>
      <c r="C2182" s="235" t="s">
        <v>19677</v>
      </c>
      <c r="D2182" s="236" t="s">
        <v>15315</v>
      </c>
      <c r="E2182" s="15">
        <v>6893.3</v>
      </c>
      <c r="F2182" s="237">
        <v>42902</v>
      </c>
      <c r="G2182" s="15">
        <v>6893.3</v>
      </c>
      <c r="H2182" s="15">
        <f t="shared" si="34"/>
        <v>0</v>
      </c>
      <c r="I2182" s="236" t="s">
        <v>19682</v>
      </c>
    </row>
    <row r="2183" spans="1:9" x14ac:dyDescent="0.25">
      <c r="A2183" s="242">
        <v>42902</v>
      </c>
      <c r="B2183" s="18">
        <v>116284</v>
      </c>
      <c r="C2183" s="235" t="s">
        <v>19677</v>
      </c>
      <c r="D2183" s="236" t="s">
        <v>15315</v>
      </c>
      <c r="E2183" s="15">
        <v>52037.7</v>
      </c>
      <c r="F2183" s="237" t="s">
        <v>19745</v>
      </c>
      <c r="G2183" s="241">
        <f>40000+12037.7</f>
        <v>52037.7</v>
      </c>
      <c r="H2183" s="241">
        <f t="shared" si="34"/>
        <v>0</v>
      </c>
      <c r="I2183" s="236" t="s">
        <v>19682</v>
      </c>
    </row>
    <row r="2184" spans="1:9" x14ac:dyDescent="0.25">
      <c r="A2184" s="36">
        <v>42902</v>
      </c>
      <c r="B2184" s="18">
        <v>116285</v>
      </c>
      <c r="C2184" s="235" t="s">
        <v>19677</v>
      </c>
      <c r="D2184" s="236" t="s">
        <v>15315</v>
      </c>
      <c r="E2184" s="15">
        <v>409.7</v>
      </c>
      <c r="F2184" s="237">
        <v>42909</v>
      </c>
      <c r="G2184" s="15">
        <v>409.7</v>
      </c>
      <c r="H2184" s="15">
        <f t="shared" si="34"/>
        <v>0</v>
      </c>
      <c r="I2184" s="236" t="s">
        <v>19682</v>
      </c>
    </row>
    <row r="2185" spans="1:9" x14ac:dyDescent="0.25">
      <c r="A2185" s="242">
        <v>42902</v>
      </c>
      <c r="B2185" s="18">
        <v>116286</v>
      </c>
      <c r="C2185" s="235" t="s">
        <v>19677</v>
      </c>
      <c r="D2185" s="236" t="s">
        <v>15315</v>
      </c>
      <c r="E2185" s="15">
        <v>4422.8999999999996</v>
      </c>
      <c r="F2185" s="237">
        <v>42909</v>
      </c>
      <c r="G2185" s="15">
        <v>4422.8999999999996</v>
      </c>
      <c r="H2185" s="15">
        <f t="shared" si="34"/>
        <v>0</v>
      </c>
      <c r="I2185" s="236" t="s">
        <v>19682</v>
      </c>
    </row>
    <row r="2186" spans="1:9" x14ac:dyDescent="0.25">
      <c r="A2186" s="36">
        <v>42903</v>
      </c>
      <c r="B2186" s="18">
        <v>116287</v>
      </c>
      <c r="C2186" s="235" t="s">
        <v>19677</v>
      </c>
      <c r="D2186" s="236" t="s">
        <v>15213</v>
      </c>
      <c r="E2186" s="15">
        <v>12965.7</v>
      </c>
      <c r="F2186" s="237">
        <v>42905</v>
      </c>
      <c r="G2186" s="15">
        <v>12965.7</v>
      </c>
      <c r="H2186" s="15">
        <f t="shared" si="34"/>
        <v>0</v>
      </c>
      <c r="I2186" s="236" t="s">
        <v>19682</v>
      </c>
    </row>
    <row r="2187" spans="1:9" ht="15.75" x14ac:dyDescent="0.25">
      <c r="A2187" s="242">
        <v>42903</v>
      </c>
      <c r="B2187" s="18">
        <v>116288</v>
      </c>
      <c r="C2187" s="235" t="s">
        <v>19677</v>
      </c>
      <c r="D2187" s="248" t="s">
        <v>19746</v>
      </c>
      <c r="E2187" s="15">
        <v>0</v>
      </c>
      <c r="F2187" s="243" t="s">
        <v>95</v>
      </c>
      <c r="G2187" s="15">
        <v>0</v>
      </c>
      <c r="H2187" s="15">
        <f t="shared" si="34"/>
        <v>0</v>
      </c>
      <c r="I2187" s="236" t="s">
        <v>19678</v>
      </c>
    </row>
    <row r="2188" spans="1:9" ht="15.75" x14ac:dyDescent="0.25">
      <c r="A2188" s="36">
        <v>42903</v>
      </c>
      <c r="B2188" s="18">
        <v>116289</v>
      </c>
      <c r="C2188" s="235" t="s">
        <v>19677</v>
      </c>
      <c r="D2188" s="236" t="s">
        <v>19747</v>
      </c>
      <c r="E2188" s="15">
        <v>47986.400000000001</v>
      </c>
      <c r="F2188" s="237">
        <v>42904</v>
      </c>
      <c r="G2188" s="15">
        <v>47986.400000000001</v>
      </c>
      <c r="H2188" s="15">
        <f t="shared" si="34"/>
        <v>0</v>
      </c>
      <c r="I2188" s="236" t="s">
        <v>19682</v>
      </c>
    </row>
    <row r="2189" spans="1:9" ht="15.75" x14ac:dyDescent="0.25">
      <c r="A2189" s="242">
        <v>42903</v>
      </c>
      <c r="B2189" s="18">
        <v>116290</v>
      </c>
      <c r="C2189" s="235" t="s">
        <v>19677</v>
      </c>
      <c r="D2189" s="236" t="s">
        <v>19748</v>
      </c>
      <c r="E2189" s="15">
        <v>0</v>
      </c>
      <c r="F2189" s="237"/>
      <c r="G2189" s="15"/>
      <c r="H2189" s="15">
        <f t="shared" si="34"/>
        <v>0</v>
      </c>
      <c r="I2189" s="236" t="s">
        <v>19678</v>
      </c>
    </row>
    <row r="2190" spans="1:9" x14ac:dyDescent="0.25">
      <c r="A2190" s="36">
        <v>42903</v>
      </c>
      <c r="B2190" s="18">
        <v>116291</v>
      </c>
      <c r="C2190" s="235" t="s">
        <v>19677</v>
      </c>
      <c r="D2190" s="236" t="s">
        <v>15530</v>
      </c>
      <c r="E2190" s="15">
        <v>3891.3</v>
      </c>
      <c r="F2190" s="237">
        <v>42903</v>
      </c>
      <c r="G2190" s="15">
        <v>3891.3</v>
      </c>
      <c r="H2190" s="15">
        <f t="shared" si="34"/>
        <v>0</v>
      </c>
      <c r="I2190" s="236" t="s">
        <v>19682</v>
      </c>
    </row>
    <row r="2191" spans="1:9" x14ac:dyDescent="0.25">
      <c r="A2191" s="242">
        <v>42903</v>
      </c>
      <c r="B2191" s="18">
        <v>116292</v>
      </c>
      <c r="C2191" s="235" t="s">
        <v>19677</v>
      </c>
      <c r="D2191" s="236" t="s">
        <v>15258</v>
      </c>
      <c r="E2191" s="15">
        <v>9882.6</v>
      </c>
      <c r="F2191" s="237">
        <v>42903</v>
      </c>
      <c r="G2191" s="15">
        <v>9882.6</v>
      </c>
      <c r="H2191" s="15">
        <f t="shared" si="34"/>
        <v>0</v>
      </c>
      <c r="I2191" s="236" t="s">
        <v>19682</v>
      </c>
    </row>
    <row r="2192" spans="1:9" x14ac:dyDescent="0.25">
      <c r="A2192" s="36">
        <v>42903</v>
      </c>
      <c r="B2192" s="18">
        <v>116293</v>
      </c>
      <c r="C2192" s="235" t="s">
        <v>19677</v>
      </c>
      <c r="D2192" s="236" t="s">
        <v>15223</v>
      </c>
      <c r="E2192" s="15">
        <v>44016</v>
      </c>
      <c r="F2192" s="237">
        <v>42922</v>
      </c>
      <c r="G2192" s="15">
        <v>44016</v>
      </c>
      <c r="H2192" s="15">
        <f t="shared" si="34"/>
        <v>0</v>
      </c>
      <c r="I2192" s="236" t="s">
        <v>19682</v>
      </c>
    </row>
    <row r="2193" spans="1:9" ht="15.75" x14ac:dyDescent="0.25">
      <c r="A2193" s="242">
        <v>42903</v>
      </c>
      <c r="B2193" s="18">
        <v>116294</v>
      </c>
      <c r="C2193" s="235" t="s">
        <v>19677</v>
      </c>
      <c r="D2193" s="248" t="s">
        <v>95</v>
      </c>
      <c r="E2193" s="15">
        <v>0</v>
      </c>
      <c r="F2193" s="243" t="s">
        <v>95</v>
      </c>
      <c r="G2193" s="15">
        <v>0</v>
      </c>
      <c r="H2193" s="15">
        <f t="shared" si="34"/>
        <v>0</v>
      </c>
      <c r="I2193" s="236" t="s">
        <v>19678</v>
      </c>
    </row>
    <row r="2194" spans="1:9" ht="15.75" x14ac:dyDescent="0.25">
      <c r="A2194" s="36">
        <v>42903</v>
      </c>
      <c r="B2194" s="18">
        <v>116295</v>
      </c>
      <c r="C2194" s="235" t="s">
        <v>19677</v>
      </c>
      <c r="D2194" s="248" t="s">
        <v>95</v>
      </c>
      <c r="E2194" s="15">
        <v>0</v>
      </c>
      <c r="F2194" s="243" t="s">
        <v>95</v>
      </c>
      <c r="G2194" s="15">
        <v>0</v>
      </c>
      <c r="H2194" s="15">
        <f t="shared" si="34"/>
        <v>0</v>
      </c>
      <c r="I2194" s="236" t="s">
        <v>19678</v>
      </c>
    </row>
    <row r="2195" spans="1:9" x14ac:dyDescent="0.25">
      <c r="A2195" s="242">
        <v>42903</v>
      </c>
      <c r="B2195" s="18">
        <v>116296</v>
      </c>
      <c r="C2195" s="235" t="s">
        <v>19677</v>
      </c>
      <c r="D2195" s="236" t="s">
        <v>15407</v>
      </c>
      <c r="E2195" s="15">
        <v>17901.099999999999</v>
      </c>
      <c r="F2195" s="237">
        <v>42903</v>
      </c>
      <c r="G2195" s="15">
        <v>17901.099999999999</v>
      </c>
      <c r="H2195" s="15">
        <f t="shared" si="34"/>
        <v>0</v>
      </c>
      <c r="I2195" s="236" t="s">
        <v>19682</v>
      </c>
    </row>
    <row r="2196" spans="1:9" x14ac:dyDescent="0.25">
      <c r="A2196" s="36">
        <v>42903</v>
      </c>
      <c r="B2196" s="18">
        <v>116297</v>
      </c>
      <c r="C2196" s="235" t="s">
        <v>19677</v>
      </c>
      <c r="D2196" s="236" t="s">
        <v>15242</v>
      </c>
      <c r="E2196" s="15">
        <v>14288.4</v>
      </c>
      <c r="F2196" s="237">
        <v>42905</v>
      </c>
      <c r="G2196" s="15">
        <v>14288.4</v>
      </c>
      <c r="H2196" s="15">
        <f t="shared" si="34"/>
        <v>0</v>
      </c>
      <c r="I2196" s="236" t="s">
        <v>19682</v>
      </c>
    </row>
    <row r="2197" spans="1:9" x14ac:dyDescent="0.25">
      <c r="A2197" s="242">
        <v>42903</v>
      </c>
      <c r="B2197" s="18">
        <v>116298</v>
      </c>
      <c r="C2197" s="235" t="s">
        <v>19677</v>
      </c>
      <c r="D2197" s="236" t="s">
        <v>15248</v>
      </c>
      <c r="E2197" s="15">
        <v>38570.160000000003</v>
      </c>
      <c r="F2197" s="237">
        <v>42903</v>
      </c>
      <c r="G2197" s="15">
        <v>38570.160000000003</v>
      </c>
      <c r="H2197" s="15">
        <f t="shared" si="34"/>
        <v>0</v>
      </c>
      <c r="I2197" s="236" t="s">
        <v>19682</v>
      </c>
    </row>
    <row r="2198" spans="1:9" x14ac:dyDescent="0.25">
      <c r="A2198" s="36">
        <v>42903</v>
      </c>
      <c r="B2198" s="18">
        <v>116299</v>
      </c>
      <c r="C2198" s="235" t="s">
        <v>19677</v>
      </c>
      <c r="D2198" s="236" t="s">
        <v>15272</v>
      </c>
      <c r="E2198" s="15">
        <v>35983.800000000003</v>
      </c>
      <c r="F2198" s="237">
        <v>42903</v>
      </c>
      <c r="G2198" s="15">
        <v>35983.800000000003</v>
      </c>
      <c r="H2198" s="15">
        <f t="shared" si="34"/>
        <v>0</v>
      </c>
      <c r="I2198" s="236" t="s">
        <v>19682</v>
      </c>
    </row>
    <row r="2199" spans="1:9" ht="15.75" x14ac:dyDescent="0.25">
      <c r="A2199" s="242">
        <v>42903</v>
      </c>
      <c r="B2199" s="18">
        <v>116300</v>
      </c>
      <c r="C2199" s="235" t="s">
        <v>19677</v>
      </c>
      <c r="D2199" s="248" t="s">
        <v>95</v>
      </c>
      <c r="E2199" s="15">
        <v>0</v>
      </c>
      <c r="F2199" s="243" t="s">
        <v>95</v>
      </c>
      <c r="G2199" s="15">
        <v>0</v>
      </c>
      <c r="H2199" s="15">
        <f t="shared" si="34"/>
        <v>0</v>
      </c>
      <c r="I2199" s="236" t="s">
        <v>19678</v>
      </c>
    </row>
    <row r="2200" spans="1:9" x14ac:dyDescent="0.25">
      <c r="A2200" s="36">
        <v>42903</v>
      </c>
      <c r="B2200" s="18">
        <v>116301</v>
      </c>
      <c r="C2200" s="235" t="s">
        <v>19677</v>
      </c>
      <c r="D2200" s="236" t="s">
        <v>15220</v>
      </c>
      <c r="E2200" s="15">
        <v>4830</v>
      </c>
      <c r="F2200" s="237">
        <v>42903</v>
      </c>
      <c r="G2200" s="15">
        <v>4830</v>
      </c>
      <c r="H2200" s="15">
        <f t="shared" si="34"/>
        <v>0</v>
      </c>
      <c r="I2200" s="236" t="s">
        <v>19682</v>
      </c>
    </row>
    <row r="2201" spans="1:9" x14ac:dyDescent="0.25">
      <c r="A2201" s="242">
        <v>42903</v>
      </c>
      <c r="B2201" s="18">
        <v>116302</v>
      </c>
      <c r="C2201" s="235" t="s">
        <v>19677</v>
      </c>
      <c r="D2201" s="236" t="s">
        <v>17235</v>
      </c>
      <c r="E2201" s="15">
        <v>920</v>
      </c>
      <c r="F2201" s="237">
        <v>42903</v>
      </c>
      <c r="G2201" s="15">
        <v>920</v>
      </c>
      <c r="H2201" s="15">
        <f t="shared" si="34"/>
        <v>0</v>
      </c>
      <c r="I2201" s="236" t="s">
        <v>19682</v>
      </c>
    </row>
    <row r="2202" spans="1:9" x14ac:dyDescent="0.25">
      <c r="A2202" s="36">
        <v>42903</v>
      </c>
      <c r="B2202" s="18">
        <v>116303</v>
      </c>
      <c r="C2202" s="235" t="s">
        <v>19677</v>
      </c>
      <c r="D2202" s="236" t="s">
        <v>17462</v>
      </c>
      <c r="E2202" s="15">
        <v>10084.6</v>
      </c>
      <c r="F2202" s="237">
        <v>42903</v>
      </c>
      <c r="G2202" s="15">
        <v>10084.6</v>
      </c>
      <c r="H2202" s="15">
        <f t="shared" si="34"/>
        <v>0</v>
      </c>
      <c r="I2202" s="236" t="s">
        <v>19682</v>
      </c>
    </row>
    <row r="2203" spans="1:9" x14ac:dyDescent="0.25">
      <c r="A2203" s="242">
        <v>42903</v>
      </c>
      <c r="B2203" s="18">
        <v>116304</v>
      </c>
      <c r="C2203" s="235" t="s">
        <v>19677</v>
      </c>
      <c r="D2203" s="236" t="s">
        <v>17462</v>
      </c>
      <c r="E2203" s="15">
        <v>268.39999999999998</v>
      </c>
      <c r="F2203" s="237">
        <v>42903</v>
      </c>
      <c r="G2203" s="15">
        <v>268.39999999999998</v>
      </c>
      <c r="H2203" s="15">
        <f t="shared" si="34"/>
        <v>0</v>
      </c>
      <c r="I2203" s="236" t="s">
        <v>19682</v>
      </c>
    </row>
    <row r="2204" spans="1:9" x14ac:dyDescent="0.25">
      <c r="A2204" s="36">
        <v>42903</v>
      </c>
      <c r="B2204" s="18">
        <v>116305</v>
      </c>
      <c r="C2204" s="235" t="s">
        <v>19677</v>
      </c>
      <c r="D2204" s="236" t="s">
        <v>15230</v>
      </c>
      <c r="E2204" s="15">
        <v>28792</v>
      </c>
      <c r="F2204" s="237">
        <v>42908</v>
      </c>
      <c r="G2204" s="15">
        <v>28792</v>
      </c>
      <c r="H2204" s="15">
        <f t="shared" si="34"/>
        <v>0</v>
      </c>
      <c r="I2204" s="236" t="s">
        <v>19682</v>
      </c>
    </row>
    <row r="2205" spans="1:9" x14ac:dyDescent="0.25">
      <c r="A2205" s="242">
        <v>42903</v>
      </c>
      <c r="B2205" s="18">
        <v>116306</v>
      </c>
      <c r="C2205" s="235" t="s">
        <v>19677</v>
      </c>
      <c r="D2205" s="236" t="s">
        <v>15232</v>
      </c>
      <c r="E2205" s="15">
        <v>17088</v>
      </c>
      <c r="F2205" s="237">
        <v>42908</v>
      </c>
      <c r="G2205" s="15">
        <v>17088</v>
      </c>
      <c r="H2205" s="15">
        <f t="shared" si="34"/>
        <v>0</v>
      </c>
      <c r="I2205" s="236" t="s">
        <v>19682</v>
      </c>
    </row>
    <row r="2206" spans="1:9" x14ac:dyDescent="0.25">
      <c r="A2206" s="36">
        <v>42903</v>
      </c>
      <c r="B2206" s="18">
        <v>116307</v>
      </c>
      <c r="C2206" s="235" t="s">
        <v>19677</v>
      </c>
      <c r="D2206" s="236" t="s">
        <v>15315</v>
      </c>
      <c r="E2206" s="15">
        <v>3318</v>
      </c>
      <c r="F2206" s="237">
        <v>42903</v>
      </c>
      <c r="G2206" s="15">
        <v>3318</v>
      </c>
      <c r="H2206" s="15">
        <f t="shared" si="34"/>
        <v>0</v>
      </c>
      <c r="I2206" s="236" t="s">
        <v>19682</v>
      </c>
    </row>
    <row r="2207" spans="1:9" x14ac:dyDescent="0.25">
      <c r="A2207" s="242">
        <v>42903</v>
      </c>
      <c r="B2207" s="18">
        <v>116308</v>
      </c>
      <c r="C2207" s="235" t="s">
        <v>19677</v>
      </c>
      <c r="D2207" s="236" t="s">
        <v>15668</v>
      </c>
      <c r="E2207" s="15">
        <v>34409.699999999997</v>
      </c>
      <c r="F2207" s="237" t="s">
        <v>19741</v>
      </c>
      <c r="G2207" s="241">
        <f>7000+27409.7</f>
        <v>34409.699999999997</v>
      </c>
      <c r="H2207" s="241">
        <f t="shared" si="34"/>
        <v>0</v>
      </c>
      <c r="I2207" s="236" t="s">
        <v>19682</v>
      </c>
    </row>
    <row r="2208" spans="1:9" x14ac:dyDescent="0.25">
      <c r="A2208" s="36">
        <v>42903</v>
      </c>
      <c r="B2208" s="18">
        <v>116309</v>
      </c>
      <c r="C2208" s="235" t="s">
        <v>19677</v>
      </c>
      <c r="D2208" s="236" t="s">
        <v>15220</v>
      </c>
      <c r="E2208" s="15">
        <v>460</v>
      </c>
      <c r="F2208" s="237">
        <v>42903</v>
      </c>
      <c r="G2208" s="15">
        <v>460</v>
      </c>
      <c r="H2208" s="15">
        <f t="shared" si="34"/>
        <v>0</v>
      </c>
      <c r="I2208" s="236" t="s">
        <v>19682</v>
      </c>
    </row>
    <row r="2209" spans="1:9" x14ac:dyDescent="0.25">
      <c r="A2209" s="242">
        <v>42903</v>
      </c>
      <c r="B2209" s="18">
        <v>116310</v>
      </c>
      <c r="C2209" s="235" t="s">
        <v>19677</v>
      </c>
      <c r="D2209" s="236" t="s">
        <v>15480</v>
      </c>
      <c r="E2209" s="15">
        <v>13494</v>
      </c>
      <c r="F2209" s="237" t="s">
        <v>19741</v>
      </c>
      <c r="G2209" s="241">
        <f>10500+2994</f>
        <v>13494</v>
      </c>
      <c r="H2209" s="241">
        <f t="shared" si="34"/>
        <v>0</v>
      </c>
      <c r="I2209" s="236" t="s">
        <v>19682</v>
      </c>
    </row>
    <row r="2210" spans="1:9" x14ac:dyDescent="0.25">
      <c r="A2210" s="36">
        <v>42903</v>
      </c>
      <c r="B2210" s="18">
        <v>116311</v>
      </c>
      <c r="C2210" s="235" t="s">
        <v>19677</v>
      </c>
      <c r="D2210" s="236" t="s">
        <v>15263</v>
      </c>
      <c r="E2210" s="15">
        <v>2886.3</v>
      </c>
      <c r="F2210" s="237">
        <v>42903</v>
      </c>
      <c r="G2210" s="241">
        <v>2886.3</v>
      </c>
      <c r="H2210" s="241">
        <f t="shared" si="34"/>
        <v>0</v>
      </c>
      <c r="I2210" s="236" t="s">
        <v>19682</v>
      </c>
    </row>
    <row r="2211" spans="1:9" x14ac:dyDescent="0.25">
      <c r="A2211" s="242">
        <v>42903</v>
      </c>
      <c r="B2211" s="18">
        <v>116312</v>
      </c>
      <c r="C2211" s="235" t="s">
        <v>19677</v>
      </c>
      <c r="D2211" s="236" t="s">
        <v>15238</v>
      </c>
      <c r="E2211" s="15">
        <v>12179.2</v>
      </c>
      <c r="F2211" s="237">
        <v>42906</v>
      </c>
      <c r="G2211" s="15">
        <v>12179.2</v>
      </c>
      <c r="H2211" s="15">
        <f t="shared" si="34"/>
        <v>0</v>
      </c>
      <c r="I2211" s="236" t="s">
        <v>19682</v>
      </c>
    </row>
    <row r="2212" spans="1:9" x14ac:dyDescent="0.25">
      <c r="A2212" s="36">
        <v>42903</v>
      </c>
      <c r="B2212" s="18">
        <v>116313</v>
      </c>
      <c r="C2212" s="235" t="s">
        <v>19677</v>
      </c>
      <c r="D2212" s="236" t="s">
        <v>18258</v>
      </c>
      <c r="E2212" s="15">
        <v>6401.7</v>
      </c>
      <c r="F2212" s="237">
        <v>42903</v>
      </c>
      <c r="G2212" s="15">
        <v>6401.7</v>
      </c>
      <c r="H2212" s="15">
        <f t="shared" si="34"/>
        <v>0</v>
      </c>
      <c r="I2212" s="236" t="s">
        <v>19682</v>
      </c>
    </row>
    <row r="2213" spans="1:9" x14ac:dyDescent="0.25">
      <c r="A2213" s="242">
        <v>42903</v>
      </c>
      <c r="B2213" s="18">
        <v>116314</v>
      </c>
      <c r="C2213" s="235" t="s">
        <v>19677</v>
      </c>
      <c r="D2213" s="236" t="s">
        <v>18258</v>
      </c>
      <c r="E2213" s="15">
        <v>1801.1</v>
      </c>
      <c r="F2213" s="237">
        <v>42903</v>
      </c>
      <c r="G2213" s="15">
        <v>1801.1</v>
      </c>
      <c r="H2213" s="15">
        <f t="shared" si="34"/>
        <v>0</v>
      </c>
      <c r="I2213" s="236" t="s">
        <v>19682</v>
      </c>
    </row>
    <row r="2214" spans="1:9" x14ac:dyDescent="0.25">
      <c r="A2214" s="36">
        <v>42903</v>
      </c>
      <c r="B2214" s="18">
        <v>116315</v>
      </c>
      <c r="C2214" s="235" t="s">
        <v>19677</v>
      </c>
      <c r="D2214" s="236" t="s">
        <v>15234</v>
      </c>
      <c r="E2214" s="15">
        <v>7004.4</v>
      </c>
      <c r="F2214" s="237" t="s">
        <v>19749</v>
      </c>
      <c r="G2214" s="241">
        <f>5000+2004.4</f>
        <v>7004.4</v>
      </c>
      <c r="H2214" s="241">
        <f t="shared" si="34"/>
        <v>0</v>
      </c>
      <c r="I2214" s="236" t="s">
        <v>19682</v>
      </c>
    </row>
    <row r="2215" spans="1:9" x14ac:dyDescent="0.25">
      <c r="A2215" s="242">
        <v>42903</v>
      </c>
      <c r="B2215" s="18">
        <v>116316</v>
      </c>
      <c r="C2215" s="235" t="s">
        <v>19677</v>
      </c>
      <c r="D2215" s="236" t="s">
        <v>15236</v>
      </c>
      <c r="E2215" s="15">
        <v>10311.6</v>
      </c>
      <c r="F2215" s="237">
        <v>42906</v>
      </c>
      <c r="G2215" s="15">
        <v>10311.6</v>
      </c>
      <c r="H2215" s="15">
        <f t="shared" si="34"/>
        <v>0</v>
      </c>
      <c r="I2215" s="236" t="s">
        <v>19682</v>
      </c>
    </row>
    <row r="2216" spans="1:9" x14ac:dyDescent="0.25">
      <c r="A2216" s="36">
        <v>42903</v>
      </c>
      <c r="B2216" s="18">
        <v>116317</v>
      </c>
      <c r="C2216" s="235" t="s">
        <v>19677</v>
      </c>
      <c r="D2216" s="236" t="s">
        <v>5575</v>
      </c>
      <c r="E2216" s="15">
        <v>16000.4</v>
      </c>
      <c r="F2216" s="237" t="s">
        <v>19741</v>
      </c>
      <c r="G2216" s="241">
        <f>3000+13000.4</f>
        <v>16000.4</v>
      </c>
      <c r="H2216" s="241">
        <f t="shared" si="34"/>
        <v>0</v>
      </c>
      <c r="I2216" s="236" t="s">
        <v>19682</v>
      </c>
    </row>
    <row r="2217" spans="1:9" x14ac:dyDescent="0.25">
      <c r="A2217" s="242">
        <v>42903</v>
      </c>
      <c r="B2217" s="18">
        <v>116318</v>
      </c>
      <c r="C2217" s="235" t="s">
        <v>19677</v>
      </c>
      <c r="D2217" s="236" t="s">
        <v>15655</v>
      </c>
      <c r="E2217" s="15">
        <v>12482.1</v>
      </c>
      <c r="F2217" s="237">
        <v>42903</v>
      </c>
      <c r="G2217" s="15">
        <v>12482.1</v>
      </c>
      <c r="H2217" s="15">
        <f t="shared" si="34"/>
        <v>0</v>
      </c>
      <c r="I2217" s="236" t="s">
        <v>19682</v>
      </c>
    </row>
    <row r="2218" spans="1:9" x14ac:dyDescent="0.25">
      <c r="A2218" s="36">
        <v>42903</v>
      </c>
      <c r="B2218" s="18">
        <v>116319</v>
      </c>
      <c r="C2218" s="235" t="s">
        <v>19677</v>
      </c>
      <c r="D2218" s="236" t="s">
        <v>15398</v>
      </c>
      <c r="E2218" s="15">
        <v>3231.45</v>
      </c>
      <c r="F2218" s="237">
        <v>42903</v>
      </c>
      <c r="G2218" s="15">
        <v>3231.45</v>
      </c>
      <c r="H2218" s="15">
        <f t="shared" si="34"/>
        <v>0</v>
      </c>
      <c r="I2218" s="236" t="s">
        <v>19682</v>
      </c>
    </row>
    <row r="2219" spans="1:9" x14ac:dyDescent="0.25">
      <c r="A2219" s="242">
        <v>42903</v>
      </c>
      <c r="B2219" s="18">
        <v>116320</v>
      </c>
      <c r="C2219" s="235" t="s">
        <v>19677</v>
      </c>
      <c r="D2219" s="236" t="s">
        <v>15668</v>
      </c>
      <c r="E2219" s="15">
        <v>393.7</v>
      </c>
      <c r="F2219" s="237">
        <v>42905</v>
      </c>
      <c r="G2219" s="15">
        <v>393.7</v>
      </c>
      <c r="H2219" s="15">
        <f t="shared" si="34"/>
        <v>0</v>
      </c>
      <c r="I2219" s="236" t="s">
        <v>19682</v>
      </c>
    </row>
    <row r="2220" spans="1:9" x14ac:dyDescent="0.25">
      <c r="A2220" s="36">
        <v>42903</v>
      </c>
      <c r="B2220" s="18">
        <v>116321</v>
      </c>
      <c r="C2220" s="235" t="s">
        <v>19677</v>
      </c>
      <c r="D2220" s="236" t="s">
        <v>15256</v>
      </c>
      <c r="E2220" s="15">
        <v>13167</v>
      </c>
      <c r="F2220" s="237" t="s">
        <v>19741</v>
      </c>
      <c r="G2220" s="241">
        <f>9000+4167</f>
        <v>13167</v>
      </c>
      <c r="H2220" s="241">
        <f t="shared" si="34"/>
        <v>0</v>
      </c>
      <c r="I2220" s="236" t="s">
        <v>19682</v>
      </c>
    </row>
    <row r="2221" spans="1:9" x14ac:dyDescent="0.25">
      <c r="A2221" s="242">
        <v>42903</v>
      </c>
      <c r="B2221" s="18">
        <v>116322</v>
      </c>
      <c r="C2221" s="235" t="s">
        <v>19677</v>
      </c>
      <c r="D2221" s="236" t="s">
        <v>15315</v>
      </c>
      <c r="E2221" s="15">
        <v>4050.4</v>
      </c>
      <c r="F2221" s="237">
        <v>42903</v>
      </c>
      <c r="G2221" s="15">
        <v>4050.4</v>
      </c>
      <c r="H2221" s="15">
        <f t="shared" si="34"/>
        <v>0</v>
      </c>
      <c r="I2221" s="236" t="s">
        <v>19682</v>
      </c>
    </row>
    <row r="2222" spans="1:9" x14ac:dyDescent="0.25">
      <c r="A2222" s="36">
        <v>42903</v>
      </c>
      <c r="B2222" s="18">
        <v>116323</v>
      </c>
      <c r="C2222" s="235" t="s">
        <v>19677</v>
      </c>
      <c r="D2222" s="236" t="s">
        <v>15315</v>
      </c>
      <c r="E2222" s="15">
        <v>3308</v>
      </c>
      <c r="F2222" s="237">
        <v>42903</v>
      </c>
      <c r="G2222" s="15">
        <v>3308</v>
      </c>
      <c r="H2222" s="15">
        <f t="shared" si="34"/>
        <v>0</v>
      </c>
      <c r="I2222" s="236" t="s">
        <v>19682</v>
      </c>
    </row>
    <row r="2223" spans="1:9" x14ac:dyDescent="0.25">
      <c r="A2223" s="242">
        <v>42903</v>
      </c>
      <c r="B2223" s="18">
        <v>116324</v>
      </c>
      <c r="C2223" s="235" t="s">
        <v>19677</v>
      </c>
      <c r="D2223" s="236" t="s">
        <v>18258</v>
      </c>
      <c r="E2223" s="15">
        <v>10043.6</v>
      </c>
      <c r="F2223" s="237">
        <v>42903</v>
      </c>
      <c r="G2223" s="15">
        <v>10043.6</v>
      </c>
      <c r="H2223" s="15">
        <f t="shared" si="34"/>
        <v>0</v>
      </c>
      <c r="I2223" s="236" t="s">
        <v>19682</v>
      </c>
    </row>
    <row r="2224" spans="1:9" x14ac:dyDescent="0.25">
      <c r="A2224" s="36">
        <v>42903</v>
      </c>
      <c r="B2224" s="18">
        <v>116325</v>
      </c>
      <c r="C2224" s="235" t="s">
        <v>19677</v>
      </c>
      <c r="D2224" s="236" t="s">
        <v>15246</v>
      </c>
      <c r="E2224" s="15">
        <v>42757</v>
      </c>
      <c r="F2224" s="237">
        <v>42906</v>
      </c>
      <c r="G2224" s="15">
        <v>42757</v>
      </c>
      <c r="H2224" s="15">
        <f t="shared" si="34"/>
        <v>0</v>
      </c>
      <c r="I2224" s="236" t="s">
        <v>19682</v>
      </c>
    </row>
    <row r="2225" spans="1:9" x14ac:dyDescent="0.25">
      <c r="A2225" s="242">
        <v>42903</v>
      </c>
      <c r="B2225" s="18">
        <v>116326</v>
      </c>
      <c r="C2225" s="235" t="s">
        <v>19677</v>
      </c>
      <c r="D2225" s="236" t="s">
        <v>16108</v>
      </c>
      <c r="E2225" s="15">
        <v>3758.5</v>
      </c>
      <c r="F2225" s="237">
        <v>42903</v>
      </c>
      <c r="G2225" s="15">
        <v>3758.5</v>
      </c>
      <c r="H2225" s="15">
        <f t="shared" si="34"/>
        <v>0</v>
      </c>
      <c r="I2225" s="236" t="s">
        <v>19682</v>
      </c>
    </row>
    <row r="2226" spans="1:9" ht="15.75" x14ac:dyDescent="0.25">
      <c r="A2226" s="36">
        <v>42903</v>
      </c>
      <c r="B2226" s="18">
        <v>116327</v>
      </c>
      <c r="C2226" s="235" t="s">
        <v>19677</v>
      </c>
      <c r="D2226" s="248" t="s">
        <v>95</v>
      </c>
      <c r="E2226" s="15">
        <v>0</v>
      </c>
      <c r="F2226" s="243" t="s">
        <v>95</v>
      </c>
      <c r="G2226" s="15">
        <v>0</v>
      </c>
      <c r="H2226" s="15">
        <f t="shared" si="34"/>
        <v>0</v>
      </c>
      <c r="I2226" s="236" t="s">
        <v>19678</v>
      </c>
    </row>
    <row r="2227" spans="1:9" x14ac:dyDescent="0.25">
      <c r="A2227" s="242">
        <v>42903</v>
      </c>
      <c r="B2227" s="18">
        <v>116328</v>
      </c>
      <c r="C2227" s="235" t="s">
        <v>19677</v>
      </c>
      <c r="D2227" s="236" t="s">
        <v>15378</v>
      </c>
      <c r="E2227" s="15">
        <v>573.20000000000005</v>
      </c>
      <c r="F2227" s="237">
        <v>42903</v>
      </c>
      <c r="G2227" s="15">
        <v>573.20000000000005</v>
      </c>
      <c r="H2227" s="15">
        <f t="shared" si="34"/>
        <v>0</v>
      </c>
      <c r="I2227" s="236" t="s">
        <v>19682</v>
      </c>
    </row>
    <row r="2228" spans="1:9" x14ac:dyDescent="0.25">
      <c r="A2228" s="36">
        <v>42903</v>
      </c>
      <c r="B2228" s="18">
        <v>116329</v>
      </c>
      <c r="C2228" s="235" t="s">
        <v>19677</v>
      </c>
      <c r="D2228" s="236" t="s">
        <v>15284</v>
      </c>
      <c r="E2228" s="15">
        <v>2419.9</v>
      </c>
      <c r="F2228" s="237">
        <v>42903</v>
      </c>
      <c r="G2228" s="15">
        <v>2419.9</v>
      </c>
      <c r="H2228" s="15">
        <f t="shared" si="34"/>
        <v>0</v>
      </c>
      <c r="I2228" s="236" t="s">
        <v>19682</v>
      </c>
    </row>
    <row r="2229" spans="1:9" x14ac:dyDescent="0.25">
      <c r="A2229" s="242">
        <v>42903</v>
      </c>
      <c r="B2229" s="18">
        <v>116330</v>
      </c>
      <c r="C2229" s="235" t="s">
        <v>19677</v>
      </c>
      <c r="D2229" s="236" t="s">
        <v>15282</v>
      </c>
      <c r="E2229" s="15">
        <v>3511.5</v>
      </c>
      <c r="F2229" s="237">
        <v>42903</v>
      </c>
      <c r="G2229" s="15">
        <v>3511.5</v>
      </c>
      <c r="H2229" s="15">
        <f t="shared" si="34"/>
        <v>0</v>
      </c>
      <c r="I2229" s="236" t="s">
        <v>19682</v>
      </c>
    </row>
    <row r="2230" spans="1:9" x14ac:dyDescent="0.25">
      <c r="A2230" s="36">
        <v>42903</v>
      </c>
      <c r="B2230" s="18">
        <v>116331</v>
      </c>
      <c r="C2230" s="235" t="s">
        <v>19677</v>
      </c>
      <c r="D2230" s="236" t="s">
        <v>5556</v>
      </c>
      <c r="E2230" s="15">
        <v>44470.8</v>
      </c>
      <c r="F2230" s="237">
        <v>42905</v>
      </c>
      <c r="G2230" s="15">
        <v>44470.8</v>
      </c>
      <c r="H2230" s="15">
        <f t="shared" si="34"/>
        <v>0</v>
      </c>
      <c r="I2230" s="236" t="s">
        <v>19682</v>
      </c>
    </row>
    <row r="2231" spans="1:9" ht="15.75" x14ac:dyDescent="0.25">
      <c r="A2231" s="242">
        <v>42903</v>
      </c>
      <c r="B2231" s="18">
        <v>116332</v>
      </c>
      <c r="C2231" s="235" t="s">
        <v>19677</v>
      </c>
      <c r="D2231" s="248" t="s">
        <v>95</v>
      </c>
      <c r="E2231" s="15">
        <v>0</v>
      </c>
      <c r="F2231" s="243" t="s">
        <v>95</v>
      </c>
      <c r="G2231" s="15">
        <v>0</v>
      </c>
      <c r="H2231" s="15">
        <f t="shared" si="34"/>
        <v>0</v>
      </c>
      <c r="I2231" s="236" t="s">
        <v>19678</v>
      </c>
    </row>
    <row r="2232" spans="1:9" x14ac:dyDescent="0.25">
      <c r="A2232" s="36">
        <v>42903</v>
      </c>
      <c r="B2232" s="18">
        <v>116333</v>
      </c>
      <c r="C2232" s="235" t="s">
        <v>19677</v>
      </c>
      <c r="D2232" s="236" t="s">
        <v>15385</v>
      </c>
      <c r="E2232" s="15">
        <v>10133.200000000001</v>
      </c>
      <c r="F2232" s="237">
        <v>42903</v>
      </c>
      <c r="G2232" s="15">
        <v>10133.200000000001</v>
      </c>
      <c r="H2232" s="15">
        <f t="shared" si="34"/>
        <v>0</v>
      </c>
      <c r="I2232" s="236" t="s">
        <v>19682</v>
      </c>
    </row>
    <row r="2233" spans="1:9" x14ac:dyDescent="0.25">
      <c r="A2233" s="242">
        <v>42903</v>
      </c>
      <c r="B2233" s="18">
        <v>116334</v>
      </c>
      <c r="C2233" s="235" t="s">
        <v>19677</v>
      </c>
      <c r="D2233" s="236" t="s">
        <v>15706</v>
      </c>
      <c r="E2233" s="15">
        <v>413.6</v>
      </c>
      <c r="F2233" s="237">
        <v>42903</v>
      </c>
      <c r="G2233" s="15">
        <v>413.6</v>
      </c>
      <c r="H2233" s="15">
        <f t="shared" si="34"/>
        <v>0</v>
      </c>
      <c r="I2233" s="236" t="s">
        <v>19682</v>
      </c>
    </row>
    <row r="2234" spans="1:9" x14ac:dyDescent="0.25">
      <c r="A2234" s="36">
        <v>42903</v>
      </c>
      <c r="B2234" s="18">
        <v>116335</v>
      </c>
      <c r="C2234" s="235" t="s">
        <v>19677</v>
      </c>
      <c r="D2234" s="236" t="s">
        <v>15856</v>
      </c>
      <c r="E2234" s="15">
        <v>21740.799999999999</v>
      </c>
      <c r="F2234" s="237">
        <v>42903</v>
      </c>
      <c r="G2234" s="15">
        <v>21740.799999999999</v>
      </c>
      <c r="H2234" s="15">
        <f t="shared" si="34"/>
        <v>0</v>
      </c>
      <c r="I2234" s="236" t="s">
        <v>19682</v>
      </c>
    </row>
    <row r="2235" spans="1:9" x14ac:dyDescent="0.25">
      <c r="A2235" s="242">
        <v>42903</v>
      </c>
      <c r="B2235" s="18">
        <v>116336</v>
      </c>
      <c r="C2235" s="235" t="s">
        <v>19677</v>
      </c>
      <c r="D2235" s="236" t="s">
        <v>15348</v>
      </c>
      <c r="E2235" s="15">
        <v>3023.3</v>
      </c>
      <c r="F2235" s="237">
        <v>42906</v>
      </c>
      <c r="G2235" s="15">
        <v>3023.3</v>
      </c>
      <c r="H2235" s="15">
        <f t="shared" si="34"/>
        <v>0</v>
      </c>
      <c r="I2235" s="236" t="s">
        <v>19682</v>
      </c>
    </row>
    <row r="2236" spans="1:9" x14ac:dyDescent="0.25">
      <c r="A2236" s="36">
        <v>42903</v>
      </c>
      <c r="B2236" s="18">
        <v>116337</v>
      </c>
      <c r="C2236" s="235" t="s">
        <v>19677</v>
      </c>
      <c r="D2236" s="236" t="s">
        <v>15240</v>
      </c>
      <c r="E2236" s="15">
        <v>3023.3</v>
      </c>
      <c r="F2236" s="237">
        <v>42905</v>
      </c>
      <c r="G2236" s="15">
        <v>3023.3</v>
      </c>
      <c r="H2236" s="15">
        <f t="shared" si="34"/>
        <v>0</v>
      </c>
      <c r="I2236" s="236" t="s">
        <v>19682</v>
      </c>
    </row>
    <row r="2237" spans="1:9" x14ac:dyDescent="0.25">
      <c r="A2237" s="242">
        <v>42903</v>
      </c>
      <c r="B2237" s="18">
        <v>116338</v>
      </c>
      <c r="C2237" s="235" t="s">
        <v>19677</v>
      </c>
      <c r="D2237" s="236" t="s">
        <v>5873</v>
      </c>
      <c r="E2237" s="15">
        <v>30998.48</v>
      </c>
      <c r="F2237" s="237">
        <v>42903</v>
      </c>
      <c r="G2237" s="15">
        <v>30998.48</v>
      </c>
      <c r="H2237" s="15">
        <f t="shared" si="34"/>
        <v>0</v>
      </c>
      <c r="I2237" s="236" t="s">
        <v>19682</v>
      </c>
    </row>
    <row r="2238" spans="1:9" x14ac:dyDescent="0.25">
      <c r="A2238" s="36">
        <v>42903</v>
      </c>
      <c r="B2238" s="18">
        <v>116339</v>
      </c>
      <c r="C2238" s="235" t="s">
        <v>19677</v>
      </c>
      <c r="D2238" s="236" t="s">
        <v>15280</v>
      </c>
      <c r="E2238" s="15">
        <v>6970</v>
      </c>
      <c r="F2238" s="237">
        <v>42903</v>
      </c>
      <c r="G2238" s="15">
        <v>6970</v>
      </c>
      <c r="H2238" s="15">
        <f t="shared" si="34"/>
        <v>0</v>
      </c>
      <c r="I2238" s="236" t="s">
        <v>19682</v>
      </c>
    </row>
    <row r="2239" spans="1:9" x14ac:dyDescent="0.25">
      <c r="A2239" s="242">
        <v>42903</v>
      </c>
      <c r="B2239" s="18">
        <v>116340</v>
      </c>
      <c r="C2239" s="235" t="s">
        <v>19677</v>
      </c>
      <c r="D2239" s="236" t="s">
        <v>15858</v>
      </c>
      <c r="E2239" s="15">
        <v>3481.58</v>
      </c>
      <c r="F2239" s="237">
        <v>42904</v>
      </c>
      <c r="G2239" s="15">
        <v>3481.58</v>
      </c>
      <c r="H2239" s="15">
        <f t="shared" si="34"/>
        <v>0</v>
      </c>
      <c r="I2239" s="236" t="s">
        <v>19682</v>
      </c>
    </row>
    <row r="2240" spans="1:9" x14ac:dyDescent="0.25">
      <c r="A2240" s="36">
        <v>42903</v>
      </c>
      <c r="B2240" s="18">
        <v>116341</v>
      </c>
      <c r="C2240" s="235" t="s">
        <v>19677</v>
      </c>
      <c r="D2240" s="236" t="s">
        <v>16171</v>
      </c>
      <c r="E2240" s="15">
        <v>1803.26</v>
      </c>
      <c r="F2240" s="237">
        <v>42904</v>
      </c>
      <c r="G2240" s="15">
        <v>1803.26</v>
      </c>
      <c r="H2240" s="15">
        <f t="shared" si="34"/>
        <v>0</v>
      </c>
      <c r="I2240" s="236" t="s">
        <v>19682</v>
      </c>
    </row>
    <row r="2241" spans="1:9" x14ac:dyDescent="0.25">
      <c r="A2241" s="242">
        <v>42903</v>
      </c>
      <c r="B2241" s="18">
        <v>116342</v>
      </c>
      <c r="C2241" s="235" t="s">
        <v>19677</v>
      </c>
      <c r="D2241" s="236" t="s">
        <v>15714</v>
      </c>
      <c r="E2241" s="15">
        <v>1160.7</v>
      </c>
      <c r="F2241" s="237">
        <v>42904</v>
      </c>
      <c r="G2241" s="15">
        <v>1160.7</v>
      </c>
      <c r="H2241" s="15">
        <f t="shared" si="34"/>
        <v>0</v>
      </c>
      <c r="I2241" s="236" t="s">
        <v>19682</v>
      </c>
    </row>
    <row r="2242" spans="1:9" x14ac:dyDescent="0.25">
      <c r="A2242" s="36">
        <v>42903</v>
      </c>
      <c r="B2242" s="18">
        <v>116343</v>
      </c>
      <c r="C2242" s="235" t="s">
        <v>19677</v>
      </c>
      <c r="D2242" s="236" t="s">
        <v>15523</v>
      </c>
      <c r="E2242" s="15">
        <v>5060</v>
      </c>
      <c r="F2242" s="237">
        <v>42904</v>
      </c>
      <c r="G2242" s="15">
        <v>5060</v>
      </c>
      <c r="H2242" s="15">
        <f t="shared" ref="H2242:H2305" si="35">E2242-G2242</f>
        <v>0</v>
      </c>
      <c r="I2242" s="236" t="s">
        <v>19682</v>
      </c>
    </row>
    <row r="2243" spans="1:9" x14ac:dyDescent="0.25">
      <c r="A2243" s="242">
        <v>42903</v>
      </c>
      <c r="B2243" s="18">
        <v>116344</v>
      </c>
      <c r="C2243" s="235" t="s">
        <v>19677</v>
      </c>
      <c r="D2243" s="236" t="s">
        <v>15350</v>
      </c>
      <c r="E2243" s="15">
        <v>1610</v>
      </c>
      <c r="F2243" s="237">
        <v>42904</v>
      </c>
      <c r="G2243" s="15">
        <v>1610</v>
      </c>
      <c r="H2243" s="15">
        <f t="shared" si="35"/>
        <v>0</v>
      </c>
      <c r="I2243" s="236" t="s">
        <v>19682</v>
      </c>
    </row>
    <row r="2244" spans="1:9" x14ac:dyDescent="0.25">
      <c r="A2244" s="36">
        <v>42903</v>
      </c>
      <c r="B2244" s="18">
        <v>116345</v>
      </c>
      <c r="C2244" s="235" t="s">
        <v>19677</v>
      </c>
      <c r="D2244" s="236" t="s">
        <v>15742</v>
      </c>
      <c r="E2244" s="15">
        <v>1904.4</v>
      </c>
      <c r="F2244" s="237">
        <v>42904</v>
      </c>
      <c r="G2244" s="15">
        <v>1904.4</v>
      </c>
      <c r="H2244" s="15">
        <f t="shared" si="35"/>
        <v>0</v>
      </c>
      <c r="I2244" s="236" t="s">
        <v>19682</v>
      </c>
    </row>
    <row r="2245" spans="1:9" x14ac:dyDescent="0.25">
      <c r="A2245" s="242">
        <v>42903</v>
      </c>
      <c r="B2245" s="18">
        <v>116346</v>
      </c>
      <c r="C2245" s="235" t="s">
        <v>19677</v>
      </c>
      <c r="D2245" s="236" t="s">
        <v>15358</v>
      </c>
      <c r="E2245" s="15">
        <v>3816</v>
      </c>
      <c r="F2245" s="237">
        <v>42904</v>
      </c>
      <c r="G2245" s="15">
        <v>3816</v>
      </c>
      <c r="H2245" s="15">
        <f t="shared" si="35"/>
        <v>0</v>
      </c>
      <c r="I2245" s="236" t="s">
        <v>19682</v>
      </c>
    </row>
    <row r="2246" spans="1:9" x14ac:dyDescent="0.25">
      <c r="A2246" s="36">
        <v>42903</v>
      </c>
      <c r="B2246" s="18">
        <v>116347</v>
      </c>
      <c r="C2246" s="235" t="s">
        <v>19677</v>
      </c>
      <c r="D2246" s="236" t="s">
        <v>15912</v>
      </c>
      <c r="E2246" s="15">
        <v>3280.4</v>
      </c>
      <c r="F2246" s="237">
        <v>42904</v>
      </c>
      <c r="G2246" s="15">
        <v>3280.4</v>
      </c>
      <c r="H2246" s="15">
        <f t="shared" si="35"/>
        <v>0</v>
      </c>
      <c r="I2246" s="236" t="s">
        <v>19682</v>
      </c>
    </row>
    <row r="2247" spans="1:9" x14ac:dyDescent="0.25">
      <c r="A2247" s="242">
        <v>42903</v>
      </c>
      <c r="B2247" s="18">
        <v>116348</v>
      </c>
      <c r="C2247" s="235" t="s">
        <v>19677</v>
      </c>
      <c r="D2247" s="236" t="s">
        <v>15590</v>
      </c>
      <c r="E2247" s="15">
        <v>33178.800000000003</v>
      </c>
      <c r="F2247" s="237">
        <v>42915</v>
      </c>
      <c r="G2247" s="15">
        <v>33178.800000000003</v>
      </c>
      <c r="H2247" s="15">
        <f t="shared" si="35"/>
        <v>0</v>
      </c>
      <c r="I2247" s="236" t="s">
        <v>19682</v>
      </c>
    </row>
    <row r="2248" spans="1:9" x14ac:dyDescent="0.25">
      <c r="A2248" s="36">
        <v>42903</v>
      </c>
      <c r="B2248" s="18">
        <v>116349</v>
      </c>
      <c r="C2248" s="235" t="s">
        <v>19677</v>
      </c>
      <c r="D2248" s="236" t="s">
        <v>15562</v>
      </c>
      <c r="E2248" s="15">
        <v>1442.4</v>
      </c>
      <c r="F2248" s="237">
        <v>42903</v>
      </c>
      <c r="G2248" s="15">
        <v>1442.4</v>
      </c>
      <c r="H2248" s="15">
        <f t="shared" si="35"/>
        <v>0</v>
      </c>
      <c r="I2248" s="236" t="s">
        <v>19682</v>
      </c>
    </row>
    <row r="2249" spans="1:9" x14ac:dyDescent="0.25">
      <c r="A2249" s="242">
        <v>42903</v>
      </c>
      <c r="B2249" s="18">
        <v>116350</v>
      </c>
      <c r="C2249" s="235" t="s">
        <v>19677</v>
      </c>
      <c r="D2249" s="236" t="s">
        <v>15549</v>
      </c>
      <c r="E2249" s="15">
        <v>4371.8</v>
      </c>
      <c r="F2249" s="237">
        <v>42903</v>
      </c>
      <c r="G2249" s="15">
        <v>4371.8</v>
      </c>
      <c r="H2249" s="15">
        <f t="shared" si="35"/>
        <v>0</v>
      </c>
      <c r="I2249" s="236" t="s">
        <v>19682</v>
      </c>
    </row>
    <row r="2250" spans="1:9" x14ac:dyDescent="0.25">
      <c r="A2250" s="36">
        <v>42903</v>
      </c>
      <c r="B2250" s="18">
        <v>116351</v>
      </c>
      <c r="C2250" s="235" t="s">
        <v>19677</v>
      </c>
      <c r="D2250" s="236" t="s">
        <v>15344</v>
      </c>
      <c r="E2250" s="15">
        <v>2194.9</v>
      </c>
      <c r="F2250" s="237">
        <v>42904</v>
      </c>
      <c r="G2250" s="15">
        <v>2194.9</v>
      </c>
      <c r="H2250" s="15">
        <f t="shared" si="35"/>
        <v>0</v>
      </c>
      <c r="I2250" s="236" t="s">
        <v>19682</v>
      </c>
    </row>
    <row r="2251" spans="1:9" x14ac:dyDescent="0.25">
      <c r="A2251" s="242">
        <v>42903</v>
      </c>
      <c r="B2251" s="18">
        <v>116352</v>
      </c>
      <c r="C2251" s="235" t="s">
        <v>19677</v>
      </c>
      <c r="D2251" s="236" t="s">
        <v>15344</v>
      </c>
      <c r="E2251" s="15">
        <v>1344.2</v>
      </c>
      <c r="F2251" s="237">
        <v>42904</v>
      </c>
      <c r="G2251" s="15">
        <v>1344.2</v>
      </c>
      <c r="H2251" s="15">
        <f t="shared" si="35"/>
        <v>0</v>
      </c>
      <c r="I2251" s="236" t="s">
        <v>19682</v>
      </c>
    </row>
    <row r="2252" spans="1:9" x14ac:dyDescent="0.25">
      <c r="A2252" s="36">
        <v>42903</v>
      </c>
      <c r="B2252" s="18">
        <v>116353</v>
      </c>
      <c r="C2252" s="235" t="s">
        <v>19677</v>
      </c>
      <c r="D2252" s="236" t="s">
        <v>15391</v>
      </c>
      <c r="E2252" s="15">
        <v>11900</v>
      </c>
      <c r="F2252" s="237">
        <v>42905</v>
      </c>
      <c r="G2252" s="15">
        <v>11900</v>
      </c>
      <c r="H2252" s="15">
        <f t="shared" si="35"/>
        <v>0</v>
      </c>
      <c r="I2252" s="236" t="s">
        <v>19682</v>
      </c>
    </row>
    <row r="2253" spans="1:9" x14ac:dyDescent="0.25">
      <c r="A2253" s="242">
        <v>42903</v>
      </c>
      <c r="B2253" s="18">
        <v>116354</v>
      </c>
      <c r="C2253" s="235" t="s">
        <v>19677</v>
      </c>
      <c r="D2253" s="236" t="s">
        <v>17210</v>
      </c>
      <c r="E2253" s="15">
        <v>3675.4</v>
      </c>
      <c r="F2253" s="237">
        <v>42904</v>
      </c>
      <c r="G2253" s="15">
        <v>3675.4</v>
      </c>
      <c r="H2253" s="15">
        <f t="shared" si="35"/>
        <v>0</v>
      </c>
      <c r="I2253" s="236" t="s">
        <v>19682</v>
      </c>
    </row>
    <row r="2254" spans="1:9" x14ac:dyDescent="0.25">
      <c r="A2254" s="36">
        <v>42903</v>
      </c>
      <c r="B2254" s="18">
        <v>116355</v>
      </c>
      <c r="C2254" s="235" t="s">
        <v>19677</v>
      </c>
      <c r="D2254" s="236" t="s">
        <v>15309</v>
      </c>
      <c r="E2254" s="15">
        <v>17947.8</v>
      </c>
      <c r="F2254" s="237">
        <v>42903</v>
      </c>
      <c r="G2254" s="15">
        <v>17947.8</v>
      </c>
      <c r="H2254" s="15">
        <f t="shared" si="35"/>
        <v>0</v>
      </c>
      <c r="I2254" s="236" t="s">
        <v>19682</v>
      </c>
    </row>
    <row r="2255" spans="1:9" x14ac:dyDescent="0.25">
      <c r="A2255" s="242">
        <v>42903</v>
      </c>
      <c r="B2255" s="18">
        <v>116356</v>
      </c>
      <c r="C2255" s="235" t="s">
        <v>19677</v>
      </c>
      <c r="D2255" s="236" t="s">
        <v>17800</v>
      </c>
      <c r="E2255" s="15">
        <v>8192.7999999999993</v>
      </c>
      <c r="F2255" s="237">
        <v>42903</v>
      </c>
      <c r="G2255" s="15">
        <v>8192.7999999999993</v>
      </c>
      <c r="H2255" s="15">
        <f t="shared" si="35"/>
        <v>0</v>
      </c>
      <c r="I2255" s="236" t="s">
        <v>19682</v>
      </c>
    </row>
    <row r="2256" spans="1:9" x14ac:dyDescent="0.25">
      <c r="A2256" s="36">
        <v>42903</v>
      </c>
      <c r="B2256" s="18">
        <v>116357</v>
      </c>
      <c r="C2256" s="235" t="s">
        <v>19677</v>
      </c>
      <c r="D2256" s="236" t="s">
        <v>15526</v>
      </c>
      <c r="E2256" s="15">
        <v>3915.1</v>
      </c>
      <c r="F2256" s="237">
        <v>42904</v>
      </c>
      <c r="G2256" s="15">
        <v>3915.1</v>
      </c>
      <c r="H2256" s="15">
        <f t="shared" si="35"/>
        <v>0</v>
      </c>
      <c r="I2256" s="236" t="s">
        <v>19682</v>
      </c>
    </row>
    <row r="2257" spans="1:9" x14ac:dyDescent="0.25">
      <c r="A2257" s="242">
        <v>42903</v>
      </c>
      <c r="B2257" s="18">
        <v>116358</v>
      </c>
      <c r="C2257" s="235" t="s">
        <v>19677</v>
      </c>
      <c r="D2257" s="236" t="s">
        <v>15396</v>
      </c>
      <c r="E2257" s="15">
        <v>8274.9599999999991</v>
      </c>
      <c r="F2257" s="237">
        <v>42903</v>
      </c>
      <c r="G2257" s="15">
        <v>8274.9599999999991</v>
      </c>
      <c r="H2257" s="15">
        <f t="shared" si="35"/>
        <v>0</v>
      </c>
      <c r="I2257" s="236" t="s">
        <v>19682</v>
      </c>
    </row>
    <row r="2258" spans="1:9" x14ac:dyDescent="0.25">
      <c r="A2258" s="36">
        <v>42903</v>
      </c>
      <c r="B2258" s="18">
        <v>116359</v>
      </c>
      <c r="C2258" s="235" t="s">
        <v>19677</v>
      </c>
      <c r="D2258" s="236" t="s">
        <v>15336</v>
      </c>
      <c r="E2258" s="15">
        <v>11615.4</v>
      </c>
      <c r="F2258" s="237">
        <v>42904</v>
      </c>
      <c r="G2258" s="15">
        <v>11615.4</v>
      </c>
      <c r="H2258" s="15">
        <f t="shared" si="35"/>
        <v>0</v>
      </c>
      <c r="I2258" s="236" t="s">
        <v>19682</v>
      </c>
    </row>
    <row r="2259" spans="1:9" x14ac:dyDescent="0.25">
      <c r="A2259" s="242">
        <v>42903</v>
      </c>
      <c r="B2259" s="18">
        <v>116360</v>
      </c>
      <c r="C2259" s="235" t="s">
        <v>19677</v>
      </c>
      <c r="D2259" s="236" t="s">
        <v>15315</v>
      </c>
      <c r="E2259" s="15">
        <v>1440</v>
      </c>
      <c r="F2259" s="237">
        <v>42903</v>
      </c>
      <c r="G2259" s="15">
        <v>1440</v>
      </c>
      <c r="H2259" s="15">
        <f t="shared" si="35"/>
        <v>0</v>
      </c>
      <c r="I2259" s="236" t="s">
        <v>19682</v>
      </c>
    </row>
    <row r="2260" spans="1:9" x14ac:dyDescent="0.25">
      <c r="A2260" s="36">
        <v>42903</v>
      </c>
      <c r="B2260" s="18">
        <v>116361</v>
      </c>
      <c r="C2260" s="235" t="s">
        <v>19677</v>
      </c>
      <c r="D2260" s="236" t="s">
        <v>15594</v>
      </c>
      <c r="E2260" s="15">
        <v>994</v>
      </c>
      <c r="F2260" s="237">
        <v>42903</v>
      </c>
      <c r="G2260" s="15">
        <v>994</v>
      </c>
      <c r="H2260" s="15">
        <f t="shared" si="35"/>
        <v>0</v>
      </c>
      <c r="I2260" s="236" t="s">
        <v>19682</v>
      </c>
    </row>
    <row r="2261" spans="1:9" x14ac:dyDescent="0.25">
      <c r="A2261" s="242">
        <v>42903</v>
      </c>
      <c r="B2261" s="18">
        <v>116362</v>
      </c>
      <c r="C2261" s="235" t="s">
        <v>19677</v>
      </c>
      <c r="D2261" s="236" t="s">
        <v>15315</v>
      </c>
      <c r="E2261" s="15">
        <v>647.20000000000005</v>
      </c>
      <c r="F2261" s="237">
        <v>42903</v>
      </c>
      <c r="G2261" s="15">
        <v>647.20000000000005</v>
      </c>
      <c r="H2261" s="15">
        <f t="shared" si="35"/>
        <v>0</v>
      </c>
      <c r="I2261" s="236" t="s">
        <v>19682</v>
      </c>
    </row>
    <row r="2262" spans="1:9" x14ac:dyDescent="0.25">
      <c r="A2262" s="36">
        <v>42903</v>
      </c>
      <c r="B2262" s="18">
        <v>116363</v>
      </c>
      <c r="C2262" s="235" t="s">
        <v>19677</v>
      </c>
      <c r="D2262" s="236" t="s">
        <v>15332</v>
      </c>
      <c r="E2262" s="15">
        <v>5670</v>
      </c>
      <c r="F2262" s="237">
        <v>42904</v>
      </c>
      <c r="G2262" s="15">
        <v>5670</v>
      </c>
      <c r="H2262" s="15">
        <f t="shared" si="35"/>
        <v>0</v>
      </c>
      <c r="I2262" s="236" t="s">
        <v>19682</v>
      </c>
    </row>
    <row r="2263" spans="1:9" x14ac:dyDescent="0.25">
      <c r="A2263" s="242">
        <v>42903</v>
      </c>
      <c r="B2263" s="18">
        <v>116364</v>
      </c>
      <c r="C2263" s="235" t="s">
        <v>19677</v>
      </c>
      <c r="D2263" s="236" t="s">
        <v>15568</v>
      </c>
      <c r="E2263" s="15">
        <v>3588</v>
      </c>
      <c r="F2263" s="237">
        <v>42913</v>
      </c>
      <c r="G2263" s="15">
        <v>3588</v>
      </c>
      <c r="H2263" s="15">
        <f t="shared" si="35"/>
        <v>0</v>
      </c>
      <c r="I2263" s="236" t="s">
        <v>19682</v>
      </c>
    </row>
    <row r="2264" spans="1:9" x14ac:dyDescent="0.25">
      <c r="A2264" s="36">
        <v>42903</v>
      </c>
      <c r="B2264" s="18">
        <v>116365</v>
      </c>
      <c r="C2264" s="235" t="s">
        <v>19677</v>
      </c>
      <c r="D2264" s="236" t="s">
        <v>15385</v>
      </c>
      <c r="E2264" s="15">
        <v>7078.2</v>
      </c>
      <c r="F2264" s="237">
        <v>42903</v>
      </c>
      <c r="G2264" s="15">
        <v>7078.2</v>
      </c>
      <c r="H2264" s="15">
        <f t="shared" si="35"/>
        <v>0</v>
      </c>
      <c r="I2264" s="236" t="s">
        <v>19682</v>
      </c>
    </row>
    <row r="2265" spans="1:9" x14ac:dyDescent="0.25">
      <c r="A2265" s="242">
        <v>42903</v>
      </c>
      <c r="B2265" s="18">
        <v>116366</v>
      </c>
      <c r="C2265" s="235" t="s">
        <v>19677</v>
      </c>
      <c r="D2265" s="236" t="s">
        <v>15332</v>
      </c>
      <c r="E2265" s="15">
        <v>129.6</v>
      </c>
      <c r="F2265" s="237">
        <v>42904</v>
      </c>
      <c r="G2265" s="15">
        <v>129.6</v>
      </c>
      <c r="H2265" s="15">
        <f t="shared" si="35"/>
        <v>0</v>
      </c>
      <c r="I2265" s="236" t="s">
        <v>19682</v>
      </c>
    </row>
    <row r="2266" spans="1:9" x14ac:dyDescent="0.25">
      <c r="A2266" s="36">
        <v>42903</v>
      </c>
      <c r="B2266" s="18">
        <v>116367</v>
      </c>
      <c r="C2266" s="235" t="s">
        <v>19677</v>
      </c>
      <c r="D2266" s="236" t="s">
        <v>15334</v>
      </c>
      <c r="E2266" s="15">
        <v>2936</v>
      </c>
      <c r="F2266" s="237">
        <v>42904</v>
      </c>
      <c r="G2266" s="15">
        <v>2936</v>
      </c>
      <c r="H2266" s="15">
        <f t="shared" si="35"/>
        <v>0</v>
      </c>
      <c r="I2266" s="236" t="s">
        <v>19682</v>
      </c>
    </row>
    <row r="2267" spans="1:9" x14ac:dyDescent="0.25">
      <c r="A2267" s="242">
        <v>42903</v>
      </c>
      <c r="B2267" s="18">
        <v>116368</v>
      </c>
      <c r="C2267" s="235" t="s">
        <v>19677</v>
      </c>
      <c r="D2267" s="236" t="s">
        <v>15415</v>
      </c>
      <c r="E2267" s="15">
        <v>3057.6</v>
      </c>
      <c r="F2267" s="237">
        <v>42909</v>
      </c>
      <c r="G2267" s="15">
        <v>3057.6</v>
      </c>
      <c r="H2267" s="15">
        <f t="shared" si="35"/>
        <v>0</v>
      </c>
      <c r="I2267" s="236" t="s">
        <v>19682</v>
      </c>
    </row>
    <row r="2268" spans="1:9" x14ac:dyDescent="0.25">
      <c r="A2268" s="36">
        <v>42903</v>
      </c>
      <c r="B2268" s="18">
        <v>116369</v>
      </c>
      <c r="C2268" s="235" t="s">
        <v>19677</v>
      </c>
      <c r="D2268" s="236" t="s">
        <v>15415</v>
      </c>
      <c r="E2268" s="15">
        <v>2197.8000000000002</v>
      </c>
      <c r="F2268" s="237">
        <v>42909</v>
      </c>
      <c r="G2268" s="15">
        <v>2197.8000000000002</v>
      </c>
      <c r="H2268" s="15">
        <f t="shared" si="35"/>
        <v>0</v>
      </c>
      <c r="I2268" s="236" t="s">
        <v>19682</v>
      </c>
    </row>
    <row r="2269" spans="1:9" x14ac:dyDescent="0.25">
      <c r="A2269" s="242">
        <v>42903</v>
      </c>
      <c r="B2269" s="18">
        <v>116370</v>
      </c>
      <c r="C2269" s="235" t="s">
        <v>19677</v>
      </c>
      <c r="D2269" s="236" t="s">
        <v>15748</v>
      </c>
      <c r="E2269" s="15">
        <v>3496.8</v>
      </c>
      <c r="F2269" s="237">
        <v>42909</v>
      </c>
      <c r="G2269" s="15">
        <v>3496.8</v>
      </c>
      <c r="H2269" s="15">
        <f t="shared" si="35"/>
        <v>0</v>
      </c>
      <c r="I2269" s="236" t="s">
        <v>19682</v>
      </c>
    </row>
    <row r="2270" spans="1:9" x14ac:dyDescent="0.25">
      <c r="A2270" s="36">
        <v>42903</v>
      </c>
      <c r="B2270" s="18">
        <v>116371</v>
      </c>
      <c r="C2270" s="235" t="s">
        <v>19677</v>
      </c>
      <c r="D2270" s="236" t="s">
        <v>17235</v>
      </c>
      <c r="E2270" s="15">
        <v>1089.5999999999999</v>
      </c>
      <c r="F2270" s="237">
        <v>42903</v>
      </c>
      <c r="G2270" s="15">
        <v>1089.5999999999999</v>
      </c>
      <c r="H2270" s="15">
        <f t="shared" si="35"/>
        <v>0</v>
      </c>
      <c r="I2270" s="236" t="s">
        <v>19682</v>
      </c>
    </row>
    <row r="2271" spans="1:9" x14ac:dyDescent="0.25">
      <c r="A2271" s="242">
        <v>42903</v>
      </c>
      <c r="B2271" s="18">
        <v>116372</v>
      </c>
      <c r="C2271" s="235" t="s">
        <v>19677</v>
      </c>
      <c r="D2271" s="236" t="s">
        <v>15291</v>
      </c>
      <c r="E2271" s="15">
        <v>736</v>
      </c>
      <c r="F2271" s="237">
        <v>42903</v>
      </c>
      <c r="G2271" s="15">
        <v>736</v>
      </c>
      <c r="H2271" s="15">
        <f t="shared" si="35"/>
        <v>0</v>
      </c>
      <c r="I2271" s="236" t="s">
        <v>19682</v>
      </c>
    </row>
    <row r="2272" spans="1:9" x14ac:dyDescent="0.25">
      <c r="A2272" s="36">
        <v>42903</v>
      </c>
      <c r="B2272" s="18">
        <v>116373</v>
      </c>
      <c r="C2272" s="235" t="s">
        <v>19677</v>
      </c>
      <c r="D2272" s="236" t="s">
        <v>15324</v>
      </c>
      <c r="E2272" s="15">
        <v>2360</v>
      </c>
      <c r="F2272" s="237">
        <v>42904</v>
      </c>
      <c r="G2272" s="15">
        <v>2360</v>
      </c>
      <c r="H2272" s="15">
        <f t="shared" si="35"/>
        <v>0</v>
      </c>
      <c r="I2272" s="236" t="s">
        <v>19682</v>
      </c>
    </row>
    <row r="2273" spans="1:9" x14ac:dyDescent="0.25">
      <c r="A2273" s="242">
        <v>42903</v>
      </c>
      <c r="B2273" s="18">
        <v>116374</v>
      </c>
      <c r="C2273" s="235" t="s">
        <v>19677</v>
      </c>
      <c r="D2273" s="236" t="s">
        <v>15311</v>
      </c>
      <c r="E2273" s="15">
        <v>2959.84</v>
      </c>
      <c r="F2273" s="237">
        <v>42903</v>
      </c>
      <c r="G2273" s="15">
        <v>2959.84</v>
      </c>
      <c r="H2273" s="15">
        <f t="shared" si="35"/>
        <v>0</v>
      </c>
      <c r="I2273" s="236" t="s">
        <v>19682</v>
      </c>
    </row>
    <row r="2274" spans="1:9" x14ac:dyDescent="0.25">
      <c r="A2274" s="36">
        <v>42903</v>
      </c>
      <c r="B2274" s="18">
        <v>116375</v>
      </c>
      <c r="C2274" s="235" t="s">
        <v>19677</v>
      </c>
      <c r="D2274" s="236" t="s">
        <v>15240</v>
      </c>
      <c r="E2274" s="15">
        <v>510</v>
      </c>
      <c r="F2274" s="237">
        <v>42904</v>
      </c>
      <c r="G2274" s="15">
        <v>510</v>
      </c>
      <c r="H2274" s="15">
        <f t="shared" si="35"/>
        <v>0</v>
      </c>
      <c r="I2274" s="236" t="s">
        <v>19682</v>
      </c>
    </row>
    <row r="2275" spans="1:9" x14ac:dyDescent="0.25">
      <c r="A2275" s="242">
        <v>42903</v>
      </c>
      <c r="B2275" s="18">
        <v>116376</v>
      </c>
      <c r="C2275" s="235" t="s">
        <v>19677</v>
      </c>
      <c r="D2275" s="236" t="s">
        <v>15226</v>
      </c>
      <c r="E2275" s="15">
        <v>2097.6</v>
      </c>
      <c r="F2275" s="237">
        <v>42906</v>
      </c>
      <c r="G2275" s="15">
        <v>2097.6</v>
      </c>
      <c r="H2275" s="15">
        <f t="shared" si="35"/>
        <v>0</v>
      </c>
      <c r="I2275" s="236" t="s">
        <v>19682</v>
      </c>
    </row>
    <row r="2276" spans="1:9" x14ac:dyDescent="0.25">
      <c r="A2276" s="36">
        <v>42903</v>
      </c>
      <c r="B2276" s="18">
        <v>116377</v>
      </c>
      <c r="C2276" s="235" t="s">
        <v>19677</v>
      </c>
      <c r="D2276" s="236" t="s">
        <v>15716</v>
      </c>
      <c r="E2276" s="15">
        <v>15444</v>
      </c>
      <c r="F2276" s="237">
        <v>42903</v>
      </c>
      <c r="G2276" s="15">
        <v>15444</v>
      </c>
      <c r="H2276" s="15">
        <f t="shared" si="35"/>
        <v>0</v>
      </c>
      <c r="I2276" s="236" t="s">
        <v>19682</v>
      </c>
    </row>
    <row r="2277" spans="1:9" x14ac:dyDescent="0.25">
      <c r="A2277" s="242">
        <v>42903</v>
      </c>
      <c r="B2277" s="18">
        <v>116378</v>
      </c>
      <c r="C2277" s="235" t="s">
        <v>19677</v>
      </c>
      <c r="D2277" s="236" t="s">
        <v>15668</v>
      </c>
      <c r="E2277" s="15">
        <v>1335.6</v>
      </c>
      <c r="F2277" s="237">
        <v>42906</v>
      </c>
      <c r="G2277" s="15">
        <v>1335.6</v>
      </c>
      <c r="H2277" s="15">
        <f t="shared" si="35"/>
        <v>0</v>
      </c>
      <c r="I2277" s="236" t="s">
        <v>19682</v>
      </c>
    </row>
    <row r="2278" spans="1:9" x14ac:dyDescent="0.25">
      <c r="A2278" s="36">
        <v>42903</v>
      </c>
      <c r="B2278" s="18">
        <v>116379</v>
      </c>
      <c r="C2278" s="235" t="s">
        <v>19677</v>
      </c>
      <c r="D2278" s="236" t="s">
        <v>15265</v>
      </c>
      <c r="E2278" s="15">
        <v>4192.3999999999996</v>
      </c>
      <c r="F2278" s="237" t="s">
        <v>19750</v>
      </c>
      <c r="G2278" s="241">
        <f>2500+1692.4</f>
        <v>4192.3999999999996</v>
      </c>
      <c r="H2278" s="241">
        <f t="shared" si="35"/>
        <v>0</v>
      </c>
      <c r="I2278" s="236" t="s">
        <v>19682</v>
      </c>
    </row>
    <row r="2279" spans="1:9" x14ac:dyDescent="0.25">
      <c r="A2279" s="242">
        <v>42903</v>
      </c>
      <c r="B2279" s="18">
        <v>116380</v>
      </c>
      <c r="C2279" s="235" t="s">
        <v>19677</v>
      </c>
      <c r="D2279" s="236" t="s">
        <v>16313</v>
      </c>
      <c r="E2279" s="15">
        <v>1921.5</v>
      </c>
      <c r="F2279" s="237">
        <v>42904</v>
      </c>
      <c r="G2279" s="15">
        <v>1921.5</v>
      </c>
      <c r="H2279" s="15">
        <f t="shared" si="35"/>
        <v>0</v>
      </c>
      <c r="I2279" s="236" t="s">
        <v>19682</v>
      </c>
    </row>
    <row r="2280" spans="1:9" x14ac:dyDescent="0.25">
      <c r="A2280" s="36">
        <v>42903</v>
      </c>
      <c r="B2280" s="18">
        <v>116381</v>
      </c>
      <c r="C2280" s="235" t="s">
        <v>19677</v>
      </c>
      <c r="D2280" s="236" t="s">
        <v>15246</v>
      </c>
      <c r="E2280" s="15">
        <v>32518</v>
      </c>
      <c r="F2280" s="237">
        <v>42905</v>
      </c>
      <c r="G2280" s="15">
        <v>32518</v>
      </c>
      <c r="H2280" s="15">
        <f t="shared" si="35"/>
        <v>0</v>
      </c>
      <c r="I2280" s="236" t="s">
        <v>19682</v>
      </c>
    </row>
    <row r="2281" spans="1:9" x14ac:dyDescent="0.25">
      <c r="A2281" s="242">
        <v>42903</v>
      </c>
      <c r="B2281" s="18">
        <v>116382</v>
      </c>
      <c r="C2281" s="235" t="s">
        <v>19677</v>
      </c>
      <c r="D2281" s="236" t="s">
        <v>15274</v>
      </c>
      <c r="E2281" s="15">
        <v>3358</v>
      </c>
      <c r="F2281" s="237">
        <v>42903</v>
      </c>
      <c r="G2281" s="15">
        <v>3358</v>
      </c>
      <c r="H2281" s="15">
        <f t="shared" si="35"/>
        <v>0</v>
      </c>
      <c r="I2281" s="236" t="s">
        <v>19682</v>
      </c>
    </row>
    <row r="2282" spans="1:9" x14ac:dyDescent="0.25">
      <c r="A2282" s="36">
        <v>42903</v>
      </c>
      <c r="B2282" s="18">
        <v>116383</v>
      </c>
      <c r="C2282" s="235" t="s">
        <v>19677</v>
      </c>
      <c r="D2282" s="236" t="s">
        <v>15596</v>
      </c>
      <c r="E2282" s="15">
        <v>1610</v>
      </c>
      <c r="F2282" s="237">
        <v>42903</v>
      </c>
      <c r="G2282" s="15">
        <v>1610</v>
      </c>
      <c r="H2282" s="15">
        <f t="shared" si="35"/>
        <v>0</v>
      </c>
      <c r="I2282" s="236" t="s">
        <v>19682</v>
      </c>
    </row>
    <row r="2283" spans="1:9" x14ac:dyDescent="0.25">
      <c r="A2283" s="242">
        <v>42903</v>
      </c>
      <c r="B2283" s="18">
        <v>116384</v>
      </c>
      <c r="C2283" s="235" t="s">
        <v>19677</v>
      </c>
      <c r="D2283" s="236" t="s">
        <v>15716</v>
      </c>
      <c r="E2283" s="15">
        <v>1260</v>
      </c>
      <c r="F2283" s="237">
        <v>42903</v>
      </c>
      <c r="G2283" s="15">
        <v>1260</v>
      </c>
      <c r="H2283" s="15">
        <f t="shared" si="35"/>
        <v>0</v>
      </c>
      <c r="I2283" s="236" t="s">
        <v>19682</v>
      </c>
    </row>
    <row r="2284" spans="1:9" x14ac:dyDescent="0.25">
      <c r="A2284" s="36">
        <v>42903</v>
      </c>
      <c r="B2284" s="18">
        <v>116385</v>
      </c>
      <c r="C2284" s="235" t="s">
        <v>19677</v>
      </c>
      <c r="D2284" s="236" t="s">
        <v>15541</v>
      </c>
      <c r="E2284" s="15">
        <v>2148.5</v>
      </c>
      <c r="F2284" s="237">
        <v>42903</v>
      </c>
      <c r="G2284" s="15">
        <v>2148.5</v>
      </c>
      <c r="H2284" s="15">
        <f t="shared" si="35"/>
        <v>0</v>
      </c>
      <c r="I2284" s="236" t="s">
        <v>19682</v>
      </c>
    </row>
    <row r="2285" spans="1:9" x14ac:dyDescent="0.25">
      <c r="A2285" s="242">
        <v>42903</v>
      </c>
      <c r="B2285" s="18">
        <v>116386</v>
      </c>
      <c r="C2285" s="235" t="s">
        <v>19677</v>
      </c>
      <c r="D2285" s="236" t="s">
        <v>15252</v>
      </c>
      <c r="E2285" s="15">
        <v>7911.1</v>
      </c>
      <c r="F2285" s="237">
        <v>42905</v>
      </c>
      <c r="G2285" s="15">
        <v>7911.1</v>
      </c>
      <c r="H2285" s="15">
        <f t="shared" si="35"/>
        <v>0</v>
      </c>
      <c r="I2285" s="236" t="s">
        <v>19682</v>
      </c>
    </row>
    <row r="2286" spans="1:9" x14ac:dyDescent="0.25">
      <c r="A2286" s="36">
        <v>42903</v>
      </c>
      <c r="B2286" s="18">
        <v>116387</v>
      </c>
      <c r="C2286" s="235" t="s">
        <v>19677</v>
      </c>
      <c r="D2286" s="236" t="s">
        <v>15244</v>
      </c>
      <c r="E2286" s="15">
        <v>15199.9</v>
      </c>
      <c r="F2286" s="237">
        <v>42905</v>
      </c>
      <c r="G2286" s="15">
        <v>15199.9</v>
      </c>
      <c r="H2286" s="15">
        <f t="shared" si="35"/>
        <v>0</v>
      </c>
      <c r="I2286" s="236" t="s">
        <v>19682</v>
      </c>
    </row>
    <row r="2287" spans="1:9" x14ac:dyDescent="0.25">
      <c r="A2287" s="242">
        <v>42903</v>
      </c>
      <c r="B2287" s="18">
        <v>116388</v>
      </c>
      <c r="C2287" s="235" t="s">
        <v>19677</v>
      </c>
      <c r="D2287" s="236" t="s">
        <v>18076</v>
      </c>
      <c r="E2287" s="15">
        <v>6603.7</v>
      </c>
      <c r="F2287" s="237">
        <v>42903</v>
      </c>
      <c r="G2287" s="15">
        <v>6603.7</v>
      </c>
      <c r="H2287" s="15">
        <f t="shared" si="35"/>
        <v>0</v>
      </c>
      <c r="I2287" s="236" t="s">
        <v>19682</v>
      </c>
    </row>
    <row r="2288" spans="1:9" ht="15.75" x14ac:dyDescent="0.25">
      <c r="A2288" s="36">
        <v>42903</v>
      </c>
      <c r="B2288" s="18">
        <v>116389</v>
      </c>
      <c r="C2288" s="235" t="s">
        <v>19677</v>
      </c>
      <c r="D2288" s="248" t="s">
        <v>95</v>
      </c>
      <c r="E2288" s="15">
        <v>0</v>
      </c>
      <c r="F2288" s="243" t="s">
        <v>95</v>
      </c>
      <c r="G2288" s="15">
        <v>0</v>
      </c>
      <c r="H2288" s="15">
        <f t="shared" si="35"/>
        <v>0</v>
      </c>
      <c r="I2288" s="236" t="s">
        <v>19678</v>
      </c>
    </row>
    <row r="2289" spans="1:9" x14ac:dyDescent="0.25">
      <c r="A2289" s="242">
        <v>42903</v>
      </c>
      <c r="B2289" s="18">
        <v>116390</v>
      </c>
      <c r="C2289" s="235" t="s">
        <v>19677</v>
      </c>
      <c r="D2289" s="236" t="s">
        <v>15328</v>
      </c>
      <c r="E2289" s="15">
        <v>114738.84</v>
      </c>
      <c r="F2289" s="237">
        <v>42915</v>
      </c>
      <c r="G2289" s="15">
        <v>114738.84</v>
      </c>
      <c r="H2289" s="15">
        <f t="shared" si="35"/>
        <v>0</v>
      </c>
      <c r="I2289" s="236" t="s">
        <v>19682</v>
      </c>
    </row>
    <row r="2290" spans="1:9" x14ac:dyDescent="0.25">
      <c r="A2290" s="36">
        <v>42903</v>
      </c>
      <c r="B2290" s="18">
        <v>116391</v>
      </c>
      <c r="C2290" s="235" t="s">
        <v>19677</v>
      </c>
      <c r="D2290" s="236" t="s">
        <v>15987</v>
      </c>
      <c r="E2290" s="15">
        <v>2290.5</v>
      </c>
      <c r="F2290" s="237">
        <v>42903</v>
      </c>
      <c r="G2290" s="15">
        <v>2290.5</v>
      </c>
      <c r="H2290" s="15">
        <f t="shared" si="35"/>
        <v>0</v>
      </c>
      <c r="I2290" s="236" t="s">
        <v>19682</v>
      </c>
    </row>
    <row r="2291" spans="1:9" x14ac:dyDescent="0.25">
      <c r="A2291" s="242">
        <v>42903</v>
      </c>
      <c r="B2291" s="18">
        <v>116392</v>
      </c>
      <c r="C2291" s="235" t="s">
        <v>19677</v>
      </c>
      <c r="D2291" s="236" t="s">
        <v>15315</v>
      </c>
      <c r="E2291" s="15">
        <v>2300</v>
      </c>
      <c r="F2291" s="237">
        <v>42903</v>
      </c>
      <c r="G2291" s="15">
        <v>2300</v>
      </c>
      <c r="H2291" s="15">
        <f t="shared" si="35"/>
        <v>0</v>
      </c>
      <c r="I2291" s="236" t="s">
        <v>19682</v>
      </c>
    </row>
    <row r="2292" spans="1:9" x14ac:dyDescent="0.25">
      <c r="A2292" s="36">
        <v>42903</v>
      </c>
      <c r="B2292" s="18">
        <v>116393</v>
      </c>
      <c r="C2292" s="235" t="s">
        <v>19677</v>
      </c>
      <c r="D2292" s="236" t="s">
        <v>15566</v>
      </c>
      <c r="E2292" s="15">
        <v>3519.6</v>
      </c>
      <c r="F2292" s="237">
        <v>42903</v>
      </c>
      <c r="G2292" s="15">
        <v>3519.6</v>
      </c>
      <c r="H2292" s="15">
        <f t="shared" si="35"/>
        <v>0</v>
      </c>
      <c r="I2292" s="236" t="s">
        <v>19682</v>
      </c>
    </row>
    <row r="2293" spans="1:9" x14ac:dyDescent="0.25">
      <c r="A2293" s="242">
        <v>42903</v>
      </c>
      <c r="B2293" s="18">
        <v>116394</v>
      </c>
      <c r="C2293" s="235" t="s">
        <v>19677</v>
      </c>
      <c r="D2293" s="236" t="s">
        <v>15246</v>
      </c>
      <c r="E2293" s="15">
        <v>15468</v>
      </c>
      <c r="F2293" s="237" t="s">
        <v>19741</v>
      </c>
      <c r="G2293" s="241">
        <f>8471.16+6996.84</f>
        <v>15468</v>
      </c>
      <c r="H2293" s="241">
        <f t="shared" si="35"/>
        <v>0</v>
      </c>
      <c r="I2293" s="236" t="s">
        <v>19682</v>
      </c>
    </row>
    <row r="2294" spans="1:9" x14ac:dyDescent="0.25">
      <c r="A2294" s="36">
        <v>42903</v>
      </c>
      <c r="B2294" s="18">
        <v>116395</v>
      </c>
      <c r="C2294" s="235" t="s">
        <v>19677</v>
      </c>
      <c r="D2294" s="236" t="s">
        <v>15258</v>
      </c>
      <c r="E2294" s="15">
        <v>29838.9</v>
      </c>
      <c r="F2294" s="237" t="s">
        <v>19749</v>
      </c>
      <c r="G2294" s="241">
        <f>22000+7838.9</f>
        <v>29838.9</v>
      </c>
      <c r="H2294" s="241">
        <f t="shared" si="35"/>
        <v>0</v>
      </c>
      <c r="I2294" s="236" t="s">
        <v>19682</v>
      </c>
    </row>
    <row r="2295" spans="1:9" x14ac:dyDescent="0.25">
      <c r="A2295" s="242">
        <v>42903</v>
      </c>
      <c r="B2295" s="18">
        <v>116396</v>
      </c>
      <c r="C2295" s="235" t="s">
        <v>19677</v>
      </c>
      <c r="D2295" s="236" t="s">
        <v>15272</v>
      </c>
      <c r="E2295" s="15">
        <v>6321.3</v>
      </c>
      <c r="F2295" s="237">
        <v>42903</v>
      </c>
      <c r="G2295" s="15">
        <v>6321.3</v>
      </c>
      <c r="H2295" s="15">
        <f t="shared" si="35"/>
        <v>0</v>
      </c>
      <c r="I2295" s="236" t="s">
        <v>19682</v>
      </c>
    </row>
    <row r="2296" spans="1:9" x14ac:dyDescent="0.25">
      <c r="A2296" s="36">
        <v>42903</v>
      </c>
      <c r="B2296" s="18">
        <v>116397</v>
      </c>
      <c r="C2296" s="235" t="s">
        <v>19677</v>
      </c>
      <c r="D2296" s="236" t="s">
        <v>15246</v>
      </c>
      <c r="E2296" s="15">
        <v>9027.2000000000007</v>
      </c>
      <c r="F2296" s="237">
        <v>42906</v>
      </c>
      <c r="G2296" s="15">
        <v>9027.2000000000007</v>
      </c>
      <c r="H2296" s="15">
        <f t="shared" si="35"/>
        <v>0</v>
      </c>
      <c r="I2296" s="236" t="s">
        <v>19682</v>
      </c>
    </row>
    <row r="2297" spans="1:9" x14ac:dyDescent="0.25">
      <c r="A2297" s="242">
        <v>42903</v>
      </c>
      <c r="B2297" s="18">
        <v>116398</v>
      </c>
      <c r="C2297" s="235" t="s">
        <v>19677</v>
      </c>
      <c r="D2297" s="236" t="s">
        <v>15272</v>
      </c>
      <c r="E2297" s="15">
        <v>1702.8</v>
      </c>
      <c r="F2297" s="237">
        <v>42903</v>
      </c>
      <c r="G2297" s="15">
        <v>1702.8</v>
      </c>
      <c r="H2297" s="15">
        <f t="shared" si="35"/>
        <v>0</v>
      </c>
      <c r="I2297" s="236" t="s">
        <v>19682</v>
      </c>
    </row>
    <row r="2298" spans="1:9" x14ac:dyDescent="0.25">
      <c r="A2298" s="36">
        <v>42903</v>
      </c>
      <c r="B2298" s="18">
        <v>116399</v>
      </c>
      <c r="C2298" s="235" t="s">
        <v>19677</v>
      </c>
      <c r="D2298" s="236" t="s">
        <v>17722</v>
      </c>
      <c r="E2298" s="15">
        <v>3122</v>
      </c>
      <c r="F2298" s="237">
        <v>42903</v>
      </c>
      <c r="G2298" s="15">
        <v>3122</v>
      </c>
      <c r="H2298" s="15">
        <f t="shared" si="35"/>
        <v>0</v>
      </c>
      <c r="I2298" s="236" t="s">
        <v>19682</v>
      </c>
    </row>
    <row r="2299" spans="1:9" ht="15.75" x14ac:dyDescent="0.25">
      <c r="A2299" s="242">
        <v>42903</v>
      </c>
      <c r="B2299" s="18">
        <v>116400</v>
      </c>
      <c r="C2299" s="235" t="s">
        <v>19677</v>
      </c>
      <c r="D2299" s="248" t="s">
        <v>95</v>
      </c>
      <c r="E2299" s="15">
        <v>0</v>
      </c>
      <c r="F2299" s="243" t="s">
        <v>95</v>
      </c>
      <c r="G2299" s="15">
        <v>0</v>
      </c>
      <c r="H2299" s="15">
        <f t="shared" si="35"/>
        <v>0</v>
      </c>
      <c r="I2299" s="236" t="s">
        <v>19678</v>
      </c>
    </row>
    <row r="2300" spans="1:9" x14ac:dyDescent="0.25">
      <c r="A2300" s="36">
        <v>42903</v>
      </c>
      <c r="B2300" s="18">
        <v>116401</v>
      </c>
      <c r="C2300" s="235" t="s">
        <v>19677</v>
      </c>
      <c r="D2300" s="236" t="s">
        <v>15296</v>
      </c>
      <c r="E2300" s="15">
        <v>16975.900000000001</v>
      </c>
      <c r="F2300" s="237">
        <v>42922</v>
      </c>
      <c r="G2300" s="15">
        <v>16975.900000000001</v>
      </c>
      <c r="H2300" s="15">
        <f t="shared" si="35"/>
        <v>0</v>
      </c>
      <c r="I2300" s="236" t="s">
        <v>19682</v>
      </c>
    </row>
    <row r="2301" spans="1:9" x14ac:dyDescent="0.25">
      <c r="A2301" s="242">
        <v>42903</v>
      </c>
      <c r="B2301" s="18">
        <v>116402</v>
      </c>
      <c r="C2301" s="235" t="s">
        <v>19677</v>
      </c>
      <c r="D2301" s="236" t="s">
        <v>15246</v>
      </c>
      <c r="E2301" s="15">
        <v>6695.6</v>
      </c>
      <c r="F2301" s="237">
        <v>42906</v>
      </c>
      <c r="G2301" s="15">
        <v>6695.6</v>
      </c>
      <c r="H2301" s="15">
        <f t="shared" si="35"/>
        <v>0</v>
      </c>
      <c r="I2301" s="236" t="s">
        <v>19682</v>
      </c>
    </row>
    <row r="2302" spans="1:9" x14ac:dyDescent="0.25">
      <c r="A2302" s="36">
        <v>42903</v>
      </c>
      <c r="B2302" s="18">
        <v>116403</v>
      </c>
      <c r="C2302" s="235" t="s">
        <v>19677</v>
      </c>
      <c r="D2302" s="236" t="s">
        <v>15378</v>
      </c>
      <c r="E2302" s="15">
        <v>908.4</v>
      </c>
      <c r="F2302" s="237">
        <v>42903</v>
      </c>
      <c r="G2302" s="15">
        <v>908.4</v>
      </c>
      <c r="H2302" s="15">
        <f t="shared" si="35"/>
        <v>0</v>
      </c>
      <c r="I2302" s="236" t="s">
        <v>19682</v>
      </c>
    </row>
    <row r="2303" spans="1:9" x14ac:dyDescent="0.25">
      <c r="A2303" s="242">
        <v>42903</v>
      </c>
      <c r="B2303" s="18">
        <v>116404</v>
      </c>
      <c r="C2303" s="235" t="s">
        <v>19677</v>
      </c>
      <c r="D2303" s="236" t="s">
        <v>15423</v>
      </c>
      <c r="E2303" s="15">
        <v>74.400000000000006</v>
      </c>
      <c r="F2303" s="237">
        <v>42903</v>
      </c>
      <c r="G2303" s="15">
        <v>74.400000000000006</v>
      </c>
      <c r="H2303" s="15">
        <f t="shared" si="35"/>
        <v>0</v>
      </c>
      <c r="I2303" s="236" t="s">
        <v>19682</v>
      </c>
    </row>
    <row r="2304" spans="1:9" x14ac:dyDescent="0.25">
      <c r="A2304" s="36">
        <v>42903</v>
      </c>
      <c r="B2304" s="18">
        <v>116405</v>
      </c>
      <c r="C2304" s="235" t="s">
        <v>19677</v>
      </c>
      <c r="D2304" s="236" t="s">
        <v>15213</v>
      </c>
      <c r="E2304" s="15">
        <v>13518.5</v>
      </c>
      <c r="F2304" s="237">
        <v>42904</v>
      </c>
      <c r="G2304" s="15">
        <v>13518.5</v>
      </c>
      <c r="H2304" s="15">
        <f t="shared" si="35"/>
        <v>0</v>
      </c>
      <c r="I2304" s="236" t="s">
        <v>19682</v>
      </c>
    </row>
    <row r="2305" spans="1:9" x14ac:dyDescent="0.25">
      <c r="A2305" s="242">
        <v>42903</v>
      </c>
      <c r="B2305" s="18">
        <v>116406</v>
      </c>
      <c r="C2305" s="235" t="s">
        <v>19677</v>
      </c>
      <c r="D2305" s="236" t="s">
        <v>15223</v>
      </c>
      <c r="E2305" s="15">
        <v>23386</v>
      </c>
      <c r="F2305" s="237">
        <v>42922</v>
      </c>
      <c r="G2305" s="15">
        <v>23386</v>
      </c>
      <c r="H2305" s="15">
        <f t="shared" si="35"/>
        <v>0</v>
      </c>
      <c r="I2305" s="236" t="s">
        <v>19682</v>
      </c>
    </row>
    <row r="2306" spans="1:9" x14ac:dyDescent="0.25">
      <c r="A2306" s="36">
        <v>42903</v>
      </c>
      <c r="B2306" s="18">
        <v>116407</v>
      </c>
      <c r="C2306" s="235" t="s">
        <v>19677</v>
      </c>
      <c r="D2306" s="236" t="s">
        <v>15884</v>
      </c>
      <c r="E2306" s="15">
        <v>4004</v>
      </c>
      <c r="F2306" s="237">
        <v>42903</v>
      </c>
      <c r="G2306" s="15">
        <v>4004</v>
      </c>
      <c r="H2306" s="15">
        <f t="shared" ref="H2306:H2369" si="36">E2306-G2306</f>
        <v>0</v>
      </c>
      <c r="I2306" s="236" t="s">
        <v>19682</v>
      </c>
    </row>
    <row r="2307" spans="1:9" x14ac:dyDescent="0.25">
      <c r="A2307" s="242">
        <v>42903</v>
      </c>
      <c r="B2307" s="18">
        <v>116408</v>
      </c>
      <c r="C2307" s="235" t="s">
        <v>19677</v>
      </c>
      <c r="D2307" s="236" t="s">
        <v>15789</v>
      </c>
      <c r="E2307" s="15">
        <v>22598.400000000001</v>
      </c>
      <c r="F2307" s="237">
        <v>42910</v>
      </c>
      <c r="G2307" s="15">
        <v>22598.400000000001</v>
      </c>
      <c r="H2307" s="15">
        <f t="shared" si="36"/>
        <v>0</v>
      </c>
      <c r="I2307" s="236" t="s">
        <v>19682</v>
      </c>
    </row>
    <row r="2308" spans="1:9" x14ac:dyDescent="0.25">
      <c r="A2308" s="36">
        <v>42903</v>
      </c>
      <c r="B2308" s="18">
        <v>116409</v>
      </c>
      <c r="C2308" s="235" t="s">
        <v>19677</v>
      </c>
      <c r="D2308" s="236" t="s">
        <v>15284</v>
      </c>
      <c r="E2308" s="15">
        <v>211.2</v>
      </c>
      <c r="F2308" s="237">
        <v>42903</v>
      </c>
      <c r="G2308" s="15">
        <v>211.2</v>
      </c>
      <c r="H2308" s="15">
        <f t="shared" si="36"/>
        <v>0</v>
      </c>
      <c r="I2308" s="236" t="s">
        <v>19682</v>
      </c>
    </row>
    <row r="2309" spans="1:9" x14ac:dyDescent="0.25">
      <c r="A2309" s="242">
        <v>42903</v>
      </c>
      <c r="B2309" s="18">
        <v>116410</v>
      </c>
      <c r="C2309" s="235" t="s">
        <v>19677</v>
      </c>
      <c r="D2309" s="236" t="s">
        <v>15365</v>
      </c>
      <c r="E2309" s="15">
        <v>394060</v>
      </c>
      <c r="F2309" s="237">
        <v>42908</v>
      </c>
      <c r="G2309" s="15">
        <v>394060</v>
      </c>
      <c r="H2309" s="15">
        <f t="shared" si="36"/>
        <v>0</v>
      </c>
      <c r="I2309" s="236" t="s">
        <v>19682</v>
      </c>
    </row>
    <row r="2310" spans="1:9" x14ac:dyDescent="0.25">
      <c r="A2310" s="36">
        <v>42903</v>
      </c>
      <c r="B2310" s="18">
        <v>116411</v>
      </c>
      <c r="C2310" s="235" t="s">
        <v>19677</v>
      </c>
      <c r="D2310" s="236" t="s">
        <v>15810</v>
      </c>
      <c r="E2310" s="15">
        <v>32</v>
      </c>
      <c r="F2310" s="237">
        <v>42903</v>
      </c>
      <c r="G2310" s="15">
        <v>32</v>
      </c>
      <c r="H2310" s="15">
        <f t="shared" si="36"/>
        <v>0</v>
      </c>
      <c r="I2310" s="236" t="s">
        <v>19682</v>
      </c>
    </row>
    <row r="2311" spans="1:9" x14ac:dyDescent="0.25">
      <c r="A2311" s="242">
        <v>42903</v>
      </c>
      <c r="B2311" s="18">
        <v>116412</v>
      </c>
      <c r="C2311" s="235" t="s">
        <v>19677</v>
      </c>
      <c r="D2311" s="236" t="s">
        <v>15442</v>
      </c>
      <c r="E2311" s="15">
        <v>8600</v>
      </c>
      <c r="F2311" s="237">
        <v>42907</v>
      </c>
      <c r="G2311" s="15">
        <v>8600</v>
      </c>
      <c r="H2311" s="15">
        <f t="shared" si="36"/>
        <v>0</v>
      </c>
      <c r="I2311" s="236" t="s">
        <v>19682</v>
      </c>
    </row>
    <row r="2312" spans="1:9" x14ac:dyDescent="0.25">
      <c r="A2312" s="36">
        <v>42903</v>
      </c>
      <c r="B2312" s="18">
        <v>116413</v>
      </c>
      <c r="C2312" s="235" t="s">
        <v>19677</v>
      </c>
      <c r="D2312" s="236" t="s">
        <v>15298</v>
      </c>
      <c r="E2312" s="15">
        <v>909</v>
      </c>
      <c r="F2312" s="237">
        <v>42903</v>
      </c>
      <c r="G2312" s="15">
        <v>909</v>
      </c>
      <c r="H2312" s="15">
        <f t="shared" si="36"/>
        <v>0</v>
      </c>
      <c r="I2312" s="236" t="s">
        <v>19682</v>
      </c>
    </row>
    <row r="2313" spans="1:9" x14ac:dyDescent="0.25">
      <c r="A2313" s="242">
        <v>42903</v>
      </c>
      <c r="B2313" s="18">
        <v>116414</v>
      </c>
      <c r="C2313" s="235" t="s">
        <v>19677</v>
      </c>
      <c r="D2313" s="236" t="s">
        <v>16093</v>
      </c>
      <c r="E2313" s="15">
        <v>3352</v>
      </c>
      <c r="F2313" s="237">
        <v>42903</v>
      </c>
      <c r="G2313" s="15">
        <v>3352</v>
      </c>
      <c r="H2313" s="15">
        <f t="shared" si="36"/>
        <v>0</v>
      </c>
      <c r="I2313" s="236" t="s">
        <v>19682</v>
      </c>
    </row>
    <row r="2314" spans="1:9" x14ac:dyDescent="0.25">
      <c r="A2314" s="36">
        <v>42903</v>
      </c>
      <c r="B2314" s="18">
        <v>116415</v>
      </c>
      <c r="C2314" s="235" t="s">
        <v>19677</v>
      </c>
      <c r="D2314" s="236" t="s">
        <v>17595</v>
      </c>
      <c r="E2314" s="15">
        <v>5720</v>
      </c>
      <c r="F2314" s="237">
        <v>42903</v>
      </c>
      <c r="G2314" s="15">
        <v>5720</v>
      </c>
      <c r="H2314" s="15">
        <f t="shared" si="36"/>
        <v>0</v>
      </c>
      <c r="I2314" s="236" t="s">
        <v>19682</v>
      </c>
    </row>
    <row r="2315" spans="1:9" x14ac:dyDescent="0.25">
      <c r="A2315" s="242">
        <v>42903</v>
      </c>
      <c r="B2315" s="18">
        <v>116416</v>
      </c>
      <c r="C2315" s="235" t="s">
        <v>19677</v>
      </c>
      <c r="D2315" s="236" t="s">
        <v>15258</v>
      </c>
      <c r="E2315" s="15">
        <v>810.6</v>
      </c>
      <c r="F2315" s="237">
        <v>42905</v>
      </c>
      <c r="G2315" s="15">
        <v>810.6</v>
      </c>
      <c r="H2315" s="15">
        <f t="shared" si="36"/>
        <v>0</v>
      </c>
      <c r="I2315" s="236" t="s">
        <v>19682</v>
      </c>
    </row>
    <row r="2316" spans="1:9" x14ac:dyDescent="0.25">
      <c r="A2316" s="36">
        <v>42903</v>
      </c>
      <c r="B2316" s="18">
        <v>116417</v>
      </c>
      <c r="C2316" s="235" t="s">
        <v>19677</v>
      </c>
      <c r="D2316" s="236" t="s">
        <v>15232</v>
      </c>
      <c r="E2316" s="15">
        <v>3993.2</v>
      </c>
      <c r="F2316" s="237">
        <v>42908</v>
      </c>
      <c r="G2316" s="15">
        <v>3993.2</v>
      </c>
      <c r="H2316" s="15">
        <f t="shared" si="36"/>
        <v>0</v>
      </c>
      <c r="I2316" s="236" t="s">
        <v>19682</v>
      </c>
    </row>
    <row r="2317" spans="1:9" x14ac:dyDescent="0.25">
      <c r="A2317" s="242">
        <v>42903</v>
      </c>
      <c r="B2317" s="18">
        <v>116418</v>
      </c>
      <c r="C2317" s="235" t="s">
        <v>19677</v>
      </c>
      <c r="D2317" s="236" t="s">
        <v>15549</v>
      </c>
      <c r="E2317" s="15">
        <v>1613.7</v>
      </c>
      <c r="F2317" s="237">
        <v>42905</v>
      </c>
      <c r="G2317" s="15">
        <v>1613.7</v>
      </c>
      <c r="H2317" s="15">
        <f t="shared" si="36"/>
        <v>0</v>
      </c>
      <c r="I2317" s="236" t="s">
        <v>19682</v>
      </c>
    </row>
    <row r="2318" spans="1:9" x14ac:dyDescent="0.25">
      <c r="A2318" s="36">
        <v>42903</v>
      </c>
      <c r="B2318" s="18">
        <v>116419</v>
      </c>
      <c r="C2318" s="235" t="s">
        <v>19677</v>
      </c>
      <c r="D2318" s="236" t="s">
        <v>15226</v>
      </c>
      <c r="E2318" s="15">
        <v>2902</v>
      </c>
      <c r="F2318" s="237">
        <v>42906</v>
      </c>
      <c r="G2318" s="15">
        <v>2902</v>
      </c>
      <c r="H2318" s="15">
        <f t="shared" si="36"/>
        <v>0</v>
      </c>
      <c r="I2318" s="236" t="s">
        <v>19682</v>
      </c>
    </row>
    <row r="2319" spans="1:9" x14ac:dyDescent="0.25">
      <c r="A2319" s="242">
        <v>42903</v>
      </c>
      <c r="B2319" s="18">
        <v>116420</v>
      </c>
      <c r="C2319" s="235" t="s">
        <v>19677</v>
      </c>
      <c r="D2319" s="236" t="s">
        <v>15417</v>
      </c>
      <c r="E2319" s="15">
        <v>2760</v>
      </c>
      <c r="F2319" s="237">
        <v>42905</v>
      </c>
      <c r="G2319" s="15">
        <v>2760</v>
      </c>
      <c r="H2319" s="15">
        <f t="shared" si="36"/>
        <v>0</v>
      </c>
      <c r="I2319" s="236" t="s">
        <v>19682</v>
      </c>
    </row>
    <row r="2320" spans="1:9" x14ac:dyDescent="0.25">
      <c r="A2320" s="36">
        <v>42903</v>
      </c>
      <c r="B2320" s="18">
        <v>116421</v>
      </c>
      <c r="C2320" s="235" t="s">
        <v>19677</v>
      </c>
      <c r="D2320" s="236" t="s">
        <v>15276</v>
      </c>
      <c r="E2320" s="15">
        <v>4600</v>
      </c>
      <c r="F2320" s="237">
        <v>42905</v>
      </c>
      <c r="G2320" s="15">
        <v>4600</v>
      </c>
      <c r="H2320" s="15">
        <f t="shared" si="36"/>
        <v>0</v>
      </c>
      <c r="I2320" s="236" t="s">
        <v>19682</v>
      </c>
    </row>
    <row r="2321" spans="1:9" x14ac:dyDescent="0.25">
      <c r="A2321" s="242">
        <v>42903</v>
      </c>
      <c r="B2321" s="18">
        <v>116422</v>
      </c>
      <c r="C2321" s="235" t="s">
        <v>19677</v>
      </c>
      <c r="D2321" s="236" t="s">
        <v>15592</v>
      </c>
      <c r="E2321" s="15">
        <v>20973.599999999999</v>
      </c>
      <c r="F2321" s="237">
        <v>42904</v>
      </c>
      <c r="G2321" s="15">
        <v>20973.599999999999</v>
      </c>
      <c r="H2321" s="15">
        <f t="shared" si="36"/>
        <v>0</v>
      </c>
      <c r="I2321" s="236" t="s">
        <v>19682</v>
      </c>
    </row>
    <row r="2322" spans="1:9" x14ac:dyDescent="0.25">
      <c r="A2322" s="36">
        <v>42903</v>
      </c>
      <c r="B2322" s="18">
        <v>116423</v>
      </c>
      <c r="C2322" s="235" t="s">
        <v>19677</v>
      </c>
      <c r="D2322" s="236" t="s">
        <v>15322</v>
      </c>
      <c r="E2322" s="15">
        <v>2548</v>
      </c>
      <c r="F2322" s="237">
        <v>42903</v>
      </c>
      <c r="G2322" s="15">
        <v>2548</v>
      </c>
      <c r="H2322" s="15">
        <f t="shared" si="36"/>
        <v>0</v>
      </c>
      <c r="I2322" s="236" t="s">
        <v>19682</v>
      </c>
    </row>
    <row r="2323" spans="1:9" x14ac:dyDescent="0.25">
      <c r="A2323" s="242">
        <v>42903</v>
      </c>
      <c r="B2323" s="18">
        <v>116424</v>
      </c>
      <c r="C2323" s="235" t="s">
        <v>19677</v>
      </c>
      <c r="D2323" s="236" t="s">
        <v>15313</v>
      </c>
      <c r="E2323" s="15">
        <v>30623.119999999999</v>
      </c>
      <c r="F2323" s="237">
        <v>42905</v>
      </c>
      <c r="G2323" s="15">
        <v>30623.119999999999</v>
      </c>
      <c r="H2323" s="15">
        <f t="shared" si="36"/>
        <v>0</v>
      </c>
      <c r="I2323" s="236" t="s">
        <v>19682</v>
      </c>
    </row>
    <row r="2324" spans="1:9" x14ac:dyDescent="0.25">
      <c r="A2324" s="36">
        <v>42903</v>
      </c>
      <c r="B2324" s="18">
        <v>116425</v>
      </c>
      <c r="C2324" s="235" t="s">
        <v>19677</v>
      </c>
      <c r="D2324" s="236" t="s">
        <v>15810</v>
      </c>
      <c r="E2324" s="15">
        <v>435.6</v>
      </c>
      <c r="F2324" s="237">
        <v>42903</v>
      </c>
      <c r="G2324" s="15">
        <v>435.6</v>
      </c>
      <c r="H2324" s="15">
        <f t="shared" si="36"/>
        <v>0</v>
      </c>
      <c r="I2324" s="236" t="s">
        <v>19682</v>
      </c>
    </row>
    <row r="2325" spans="1:9" x14ac:dyDescent="0.25">
      <c r="A2325" s="242">
        <v>42903</v>
      </c>
      <c r="B2325" s="18">
        <v>116426</v>
      </c>
      <c r="C2325" s="235" t="s">
        <v>19677</v>
      </c>
      <c r="D2325" s="236" t="s">
        <v>15250</v>
      </c>
      <c r="E2325" s="15">
        <v>69872.240000000005</v>
      </c>
      <c r="F2325" s="237">
        <v>42909</v>
      </c>
      <c r="G2325" s="15">
        <v>69872.240000000005</v>
      </c>
      <c r="H2325" s="15">
        <f t="shared" si="36"/>
        <v>0</v>
      </c>
      <c r="I2325" s="236" t="s">
        <v>19682</v>
      </c>
    </row>
    <row r="2326" spans="1:9" x14ac:dyDescent="0.25">
      <c r="A2326" s="36">
        <v>42903</v>
      </c>
      <c r="B2326" s="18">
        <v>116427</v>
      </c>
      <c r="C2326" s="235" t="s">
        <v>19677</v>
      </c>
      <c r="D2326" s="236" t="s">
        <v>15725</v>
      </c>
      <c r="E2326" s="15">
        <v>35245.800000000003</v>
      </c>
      <c r="F2326" s="237">
        <v>42904</v>
      </c>
      <c r="G2326" s="15">
        <v>35245.800000000003</v>
      </c>
      <c r="H2326" s="15">
        <f t="shared" si="36"/>
        <v>0</v>
      </c>
      <c r="I2326" s="236" t="s">
        <v>19682</v>
      </c>
    </row>
    <row r="2327" spans="1:9" x14ac:dyDescent="0.25">
      <c r="A2327" s="242">
        <v>42903</v>
      </c>
      <c r="B2327" s="18">
        <v>116428</v>
      </c>
      <c r="C2327" s="235" t="s">
        <v>19677</v>
      </c>
      <c r="D2327" s="236" t="s">
        <v>15267</v>
      </c>
      <c r="E2327" s="15">
        <v>13849.9</v>
      </c>
      <c r="F2327" s="237">
        <v>42904</v>
      </c>
      <c r="G2327" s="15">
        <v>13849.9</v>
      </c>
      <c r="H2327" s="15">
        <f t="shared" si="36"/>
        <v>0</v>
      </c>
      <c r="I2327" s="236" t="s">
        <v>19682</v>
      </c>
    </row>
    <row r="2328" spans="1:9" x14ac:dyDescent="0.25">
      <c r="A2328" s="36">
        <v>42903</v>
      </c>
      <c r="B2328" s="18">
        <v>116429</v>
      </c>
      <c r="C2328" s="235" t="s">
        <v>19677</v>
      </c>
      <c r="D2328" s="236" t="s">
        <v>15856</v>
      </c>
      <c r="E2328" s="15">
        <v>864</v>
      </c>
      <c r="F2328" s="237">
        <v>42904</v>
      </c>
      <c r="G2328" s="15">
        <v>864</v>
      </c>
      <c r="H2328" s="15">
        <f t="shared" si="36"/>
        <v>0</v>
      </c>
      <c r="I2328" s="236" t="s">
        <v>19682</v>
      </c>
    </row>
    <row r="2329" spans="1:9" x14ac:dyDescent="0.25">
      <c r="A2329" s="242">
        <v>42903</v>
      </c>
      <c r="B2329" s="18">
        <v>116430</v>
      </c>
      <c r="C2329" s="235" t="s">
        <v>19677</v>
      </c>
      <c r="D2329" s="236" t="s">
        <v>16306</v>
      </c>
      <c r="E2329" s="15">
        <v>22500</v>
      </c>
      <c r="F2329" s="237">
        <v>42904</v>
      </c>
      <c r="G2329" s="15">
        <v>22500</v>
      </c>
      <c r="H2329" s="15">
        <f t="shared" si="36"/>
        <v>0</v>
      </c>
      <c r="I2329" s="236" t="s">
        <v>19682</v>
      </c>
    </row>
    <row r="2330" spans="1:9" x14ac:dyDescent="0.25">
      <c r="A2330" s="36">
        <v>42903</v>
      </c>
      <c r="B2330" s="18">
        <v>116431</v>
      </c>
      <c r="C2330" s="235" t="s">
        <v>19677</v>
      </c>
      <c r="D2330" s="236" t="s">
        <v>15642</v>
      </c>
      <c r="E2330" s="15">
        <v>12537</v>
      </c>
      <c r="F2330" s="237">
        <v>42903</v>
      </c>
      <c r="G2330" s="15">
        <v>12537</v>
      </c>
      <c r="H2330" s="15">
        <f t="shared" si="36"/>
        <v>0</v>
      </c>
      <c r="I2330" s="236" t="s">
        <v>19682</v>
      </c>
    </row>
    <row r="2331" spans="1:9" x14ac:dyDescent="0.25">
      <c r="A2331" s="242">
        <v>42903</v>
      </c>
      <c r="B2331" s="18">
        <v>116432</v>
      </c>
      <c r="C2331" s="235" t="s">
        <v>19677</v>
      </c>
      <c r="D2331" s="236" t="s">
        <v>15681</v>
      </c>
      <c r="E2331" s="15">
        <v>3104.8</v>
      </c>
      <c r="F2331" s="237">
        <v>42903</v>
      </c>
      <c r="G2331" s="15">
        <v>3104.8</v>
      </c>
      <c r="H2331" s="15">
        <f t="shared" si="36"/>
        <v>0</v>
      </c>
      <c r="I2331" s="236" t="s">
        <v>19682</v>
      </c>
    </row>
    <row r="2332" spans="1:9" x14ac:dyDescent="0.25">
      <c r="A2332" s="36">
        <v>42903</v>
      </c>
      <c r="B2332" s="18">
        <v>116433</v>
      </c>
      <c r="C2332" s="235" t="s">
        <v>19677</v>
      </c>
      <c r="D2332" s="236" t="s">
        <v>15246</v>
      </c>
      <c r="E2332" s="15">
        <v>171565.9</v>
      </c>
      <c r="F2332" s="237">
        <v>42906</v>
      </c>
      <c r="G2332" s="15">
        <v>171565.9</v>
      </c>
      <c r="H2332" s="15">
        <f t="shared" si="36"/>
        <v>0</v>
      </c>
      <c r="I2332" s="236" t="s">
        <v>19682</v>
      </c>
    </row>
    <row r="2333" spans="1:9" x14ac:dyDescent="0.25">
      <c r="A2333" s="242">
        <v>42903</v>
      </c>
      <c r="B2333" s="18">
        <v>116434</v>
      </c>
      <c r="C2333" s="235" t="s">
        <v>19677</v>
      </c>
      <c r="D2333" s="236" t="s">
        <v>15246</v>
      </c>
      <c r="E2333" s="15">
        <v>318467.8</v>
      </c>
      <c r="F2333" s="237">
        <v>42906</v>
      </c>
      <c r="G2333" s="15">
        <v>318467.8</v>
      </c>
      <c r="H2333" s="15">
        <f t="shared" si="36"/>
        <v>0</v>
      </c>
      <c r="I2333" s="236" t="s">
        <v>19682</v>
      </c>
    </row>
    <row r="2334" spans="1:9" x14ac:dyDescent="0.25">
      <c r="A2334" s="36">
        <v>42904</v>
      </c>
      <c r="B2334" s="18">
        <v>116435</v>
      </c>
      <c r="C2334" s="235" t="s">
        <v>19677</v>
      </c>
      <c r="D2334" s="253" t="s">
        <v>15246</v>
      </c>
      <c r="E2334" s="15">
        <v>146859.1</v>
      </c>
      <c r="F2334" s="237">
        <v>42906</v>
      </c>
      <c r="G2334" s="15">
        <v>146859.1</v>
      </c>
      <c r="H2334" s="15">
        <f t="shared" si="36"/>
        <v>0</v>
      </c>
      <c r="I2334" s="236" t="s">
        <v>19682</v>
      </c>
    </row>
    <row r="2335" spans="1:9" x14ac:dyDescent="0.25">
      <c r="A2335" s="242">
        <v>42904</v>
      </c>
      <c r="B2335" s="18">
        <v>116436</v>
      </c>
      <c r="C2335" s="235" t="s">
        <v>19677</v>
      </c>
      <c r="D2335" s="236" t="s">
        <v>15213</v>
      </c>
      <c r="E2335" s="15">
        <v>7061.1</v>
      </c>
      <c r="F2335" s="237">
        <v>42905</v>
      </c>
      <c r="G2335" s="15">
        <v>7061.1</v>
      </c>
      <c r="H2335" s="15">
        <f t="shared" si="36"/>
        <v>0</v>
      </c>
      <c r="I2335" s="236" t="s">
        <v>19682</v>
      </c>
    </row>
    <row r="2336" spans="1:9" x14ac:dyDescent="0.25">
      <c r="A2336" s="36">
        <v>42904</v>
      </c>
      <c r="B2336" s="18">
        <v>116437</v>
      </c>
      <c r="C2336" s="235" t="s">
        <v>19677</v>
      </c>
      <c r="D2336" s="236" t="s">
        <v>15213</v>
      </c>
      <c r="E2336" s="15">
        <v>50376</v>
      </c>
      <c r="F2336" s="237" t="s">
        <v>19741</v>
      </c>
      <c r="G2336" s="241">
        <f>50000+376</f>
        <v>50376</v>
      </c>
      <c r="H2336" s="241">
        <f t="shared" si="36"/>
        <v>0</v>
      </c>
      <c r="I2336" s="236" t="s">
        <v>19682</v>
      </c>
    </row>
    <row r="2337" spans="1:9" x14ac:dyDescent="0.25">
      <c r="A2337" s="242">
        <v>42904</v>
      </c>
      <c r="B2337" s="18">
        <v>116438</v>
      </c>
      <c r="C2337" s="235" t="s">
        <v>19677</v>
      </c>
      <c r="D2337" s="236" t="s">
        <v>15242</v>
      </c>
      <c r="E2337" s="15">
        <v>8400</v>
      </c>
      <c r="F2337" s="237">
        <v>42905</v>
      </c>
      <c r="G2337" s="15">
        <v>8400</v>
      </c>
      <c r="H2337" s="15">
        <f t="shared" si="36"/>
        <v>0</v>
      </c>
      <c r="I2337" s="236" t="s">
        <v>19682</v>
      </c>
    </row>
    <row r="2338" spans="1:9" x14ac:dyDescent="0.25">
      <c r="A2338" s="36">
        <v>42904</v>
      </c>
      <c r="B2338" s="18">
        <v>116439</v>
      </c>
      <c r="C2338" s="235" t="s">
        <v>19677</v>
      </c>
      <c r="D2338" s="236" t="s">
        <v>15274</v>
      </c>
      <c r="E2338" s="15">
        <v>2444</v>
      </c>
      <c r="F2338" s="237">
        <v>42904</v>
      </c>
      <c r="G2338" s="15">
        <v>2444</v>
      </c>
      <c r="H2338" s="15">
        <f t="shared" si="36"/>
        <v>0</v>
      </c>
      <c r="I2338" s="236" t="s">
        <v>19682</v>
      </c>
    </row>
    <row r="2339" spans="1:9" x14ac:dyDescent="0.25">
      <c r="A2339" s="242">
        <v>42904</v>
      </c>
      <c r="B2339" s="18">
        <v>116440</v>
      </c>
      <c r="C2339" s="235" t="s">
        <v>19677</v>
      </c>
      <c r="D2339" s="236" t="s">
        <v>15274</v>
      </c>
      <c r="E2339" s="15">
        <v>690</v>
      </c>
      <c r="F2339" s="237">
        <v>42904</v>
      </c>
      <c r="G2339" s="15">
        <v>690</v>
      </c>
      <c r="H2339" s="15">
        <f t="shared" si="36"/>
        <v>0</v>
      </c>
      <c r="I2339" s="236" t="s">
        <v>19682</v>
      </c>
    </row>
    <row r="2340" spans="1:9" x14ac:dyDescent="0.25">
      <c r="A2340" s="36">
        <v>42904</v>
      </c>
      <c r="B2340" s="18">
        <v>116441</v>
      </c>
      <c r="C2340" s="235" t="s">
        <v>19677</v>
      </c>
      <c r="D2340" s="236" t="s">
        <v>16383</v>
      </c>
      <c r="E2340" s="15">
        <v>10156</v>
      </c>
      <c r="F2340" s="237">
        <v>42904</v>
      </c>
      <c r="G2340" s="15">
        <v>10156</v>
      </c>
      <c r="H2340" s="15">
        <f t="shared" si="36"/>
        <v>0</v>
      </c>
      <c r="I2340" s="236" t="s">
        <v>19682</v>
      </c>
    </row>
    <row r="2341" spans="1:9" x14ac:dyDescent="0.25">
      <c r="A2341" s="242">
        <v>42904</v>
      </c>
      <c r="B2341" s="18">
        <v>116442</v>
      </c>
      <c r="C2341" s="235" t="s">
        <v>19677</v>
      </c>
      <c r="D2341" s="236" t="s">
        <v>15220</v>
      </c>
      <c r="E2341" s="15">
        <v>5060</v>
      </c>
      <c r="F2341" s="237">
        <v>42904</v>
      </c>
      <c r="G2341" s="15">
        <v>5060</v>
      </c>
      <c r="H2341" s="15">
        <f t="shared" si="36"/>
        <v>0</v>
      </c>
      <c r="I2341" s="236" t="s">
        <v>19682</v>
      </c>
    </row>
    <row r="2342" spans="1:9" x14ac:dyDescent="0.25">
      <c r="A2342" s="36">
        <v>42904</v>
      </c>
      <c r="B2342" s="18">
        <v>116443</v>
      </c>
      <c r="C2342" s="235" t="s">
        <v>19677</v>
      </c>
      <c r="D2342" s="236" t="s">
        <v>17235</v>
      </c>
      <c r="E2342" s="15">
        <v>2300</v>
      </c>
      <c r="F2342" s="237">
        <v>42906</v>
      </c>
      <c r="G2342" s="15">
        <v>2300</v>
      </c>
      <c r="H2342" s="15">
        <f t="shared" si="36"/>
        <v>0</v>
      </c>
      <c r="I2342" s="236" t="s">
        <v>19682</v>
      </c>
    </row>
    <row r="2343" spans="1:9" x14ac:dyDescent="0.25">
      <c r="A2343" s="242">
        <v>42904</v>
      </c>
      <c r="B2343" s="18">
        <v>116444</v>
      </c>
      <c r="C2343" s="235" t="s">
        <v>19677</v>
      </c>
      <c r="D2343" s="236" t="s">
        <v>15324</v>
      </c>
      <c r="E2343" s="15">
        <v>2360</v>
      </c>
      <c r="F2343" s="237">
        <v>42904</v>
      </c>
      <c r="G2343" s="15">
        <v>2360</v>
      </c>
      <c r="H2343" s="15">
        <f t="shared" si="36"/>
        <v>0</v>
      </c>
      <c r="I2343" s="236" t="s">
        <v>19682</v>
      </c>
    </row>
    <row r="2344" spans="1:9" x14ac:dyDescent="0.25">
      <c r="A2344" s="36">
        <v>42904</v>
      </c>
      <c r="B2344" s="18">
        <v>116445</v>
      </c>
      <c r="C2344" s="235" t="s">
        <v>19677</v>
      </c>
      <c r="D2344" s="236" t="s">
        <v>15272</v>
      </c>
      <c r="E2344" s="15">
        <v>22954.400000000001</v>
      </c>
      <c r="F2344" s="237">
        <v>42904</v>
      </c>
      <c r="G2344" s="15">
        <v>22954.400000000001</v>
      </c>
      <c r="H2344" s="15">
        <f t="shared" si="36"/>
        <v>0</v>
      </c>
      <c r="I2344" s="236" t="s">
        <v>19682</v>
      </c>
    </row>
    <row r="2345" spans="1:9" x14ac:dyDescent="0.25">
      <c r="A2345" s="242">
        <v>42904</v>
      </c>
      <c r="B2345" s="18">
        <v>116446</v>
      </c>
      <c r="C2345" s="235" t="s">
        <v>19677</v>
      </c>
      <c r="D2345" s="236" t="s">
        <v>17462</v>
      </c>
      <c r="E2345" s="15">
        <v>12213</v>
      </c>
      <c r="F2345" s="237">
        <v>42904</v>
      </c>
      <c r="G2345" s="15">
        <v>12213</v>
      </c>
      <c r="H2345" s="15">
        <f t="shared" si="36"/>
        <v>0</v>
      </c>
      <c r="I2345" s="236" t="s">
        <v>19682</v>
      </c>
    </row>
    <row r="2346" spans="1:9" x14ac:dyDescent="0.25">
      <c r="A2346" s="36">
        <v>42904</v>
      </c>
      <c r="B2346" s="18">
        <v>116447</v>
      </c>
      <c r="C2346" s="235" t="s">
        <v>19677</v>
      </c>
      <c r="D2346" s="236" t="s">
        <v>15330</v>
      </c>
      <c r="E2346" s="15">
        <v>1780.2</v>
      </c>
      <c r="F2346" s="237">
        <v>42904</v>
      </c>
      <c r="G2346" s="15">
        <v>1780.2</v>
      </c>
      <c r="H2346" s="15">
        <f t="shared" si="36"/>
        <v>0</v>
      </c>
      <c r="I2346" s="236" t="s">
        <v>19682</v>
      </c>
    </row>
    <row r="2347" spans="1:9" x14ac:dyDescent="0.25">
      <c r="A2347" s="242">
        <v>42904</v>
      </c>
      <c r="B2347" s="18">
        <v>116448</v>
      </c>
      <c r="C2347" s="235" t="s">
        <v>19677</v>
      </c>
      <c r="D2347" s="236" t="s">
        <v>15487</v>
      </c>
      <c r="E2347" s="15">
        <v>10126.9</v>
      </c>
      <c r="F2347" s="237">
        <v>42904</v>
      </c>
      <c r="G2347" s="15">
        <v>10126.9</v>
      </c>
      <c r="H2347" s="15">
        <f t="shared" si="36"/>
        <v>0</v>
      </c>
      <c r="I2347" s="236" t="s">
        <v>19682</v>
      </c>
    </row>
    <row r="2348" spans="1:9" x14ac:dyDescent="0.25">
      <c r="A2348" s="36">
        <v>42904</v>
      </c>
      <c r="B2348" s="18">
        <v>116449</v>
      </c>
      <c r="C2348" s="235" t="s">
        <v>19677</v>
      </c>
      <c r="D2348" s="236" t="s">
        <v>15577</v>
      </c>
      <c r="E2348" s="15">
        <v>813</v>
      </c>
      <c r="F2348" s="237">
        <v>42904</v>
      </c>
      <c r="G2348" s="15">
        <v>813</v>
      </c>
      <c r="H2348" s="15">
        <f t="shared" si="36"/>
        <v>0</v>
      </c>
      <c r="I2348" s="236" t="s">
        <v>19682</v>
      </c>
    </row>
    <row r="2349" spans="1:9" x14ac:dyDescent="0.25">
      <c r="A2349" s="242">
        <v>42904</v>
      </c>
      <c r="B2349" s="18">
        <v>116450</v>
      </c>
      <c r="C2349" s="235" t="s">
        <v>19677</v>
      </c>
      <c r="D2349" s="236" t="s">
        <v>17722</v>
      </c>
      <c r="E2349" s="15">
        <v>6087</v>
      </c>
      <c r="F2349" s="237">
        <v>42904</v>
      </c>
      <c r="G2349" s="15">
        <v>6087</v>
      </c>
      <c r="H2349" s="15">
        <f t="shared" si="36"/>
        <v>0</v>
      </c>
      <c r="I2349" s="236" t="s">
        <v>19682</v>
      </c>
    </row>
    <row r="2350" spans="1:9" x14ac:dyDescent="0.25">
      <c r="A2350" s="36">
        <v>42904</v>
      </c>
      <c r="B2350" s="18">
        <v>116451</v>
      </c>
      <c r="C2350" s="235" t="s">
        <v>19677</v>
      </c>
      <c r="D2350" s="236" t="s">
        <v>16116</v>
      </c>
      <c r="E2350" s="15">
        <v>14002.6</v>
      </c>
      <c r="F2350" s="237">
        <v>42904</v>
      </c>
      <c r="G2350" s="15">
        <v>14002.6</v>
      </c>
      <c r="H2350" s="15">
        <f t="shared" si="36"/>
        <v>0</v>
      </c>
      <c r="I2350" s="236" t="s">
        <v>19682</v>
      </c>
    </row>
    <row r="2351" spans="1:9" x14ac:dyDescent="0.25">
      <c r="A2351" s="242">
        <v>42904</v>
      </c>
      <c r="B2351" s="18">
        <v>116452</v>
      </c>
      <c r="C2351" s="235" t="s">
        <v>19677</v>
      </c>
      <c r="D2351" s="236" t="s">
        <v>16116</v>
      </c>
      <c r="E2351" s="15">
        <v>705</v>
      </c>
      <c r="F2351" s="237">
        <v>42904</v>
      </c>
      <c r="G2351" s="15">
        <v>705</v>
      </c>
      <c r="H2351" s="15">
        <f t="shared" si="36"/>
        <v>0</v>
      </c>
      <c r="I2351" s="236" t="s">
        <v>19682</v>
      </c>
    </row>
    <row r="2352" spans="1:9" x14ac:dyDescent="0.25">
      <c r="A2352" s="36">
        <v>42904</v>
      </c>
      <c r="B2352" s="18">
        <v>116453</v>
      </c>
      <c r="C2352" s="235" t="s">
        <v>19677</v>
      </c>
      <c r="D2352" s="236" t="s">
        <v>15668</v>
      </c>
      <c r="E2352" s="15">
        <v>29937.4</v>
      </c>
      <c r="F2352" s="237">
        <v>42906</v>
      </c>
      <c r="G2352" s="15">
        <v>29937.4</v>
      </c>
      <c r="H2352" s="15">
        <f t="shared" si="36"/>
        <v>0</v>
      </c>
      <c r="I2352" s="236" t="s">
        <v>19682</v>
      </c>
    </row>
    <row r="2353" spans="1:9" x14ac:dyDescent="0.25">
      <c r="A2353" s="242">
        <v>42904</v>
      </c>
      <c r="B2353" s="18">
        <v>116454</v>
      </c>
      <c r="C2353" s="235" t="s">
        <v>19677</v>
      </c>
      <c r="D2353" s="236" t="s">
        <v>15223</v>
      </c>
      <c r="E2353" s="15">
        <v>38514</v>
      </c>
      <c r="F2353" s="237">
        <v>42922</v>
      </c>
      <c r="G2353" s="15">
        <v>38514</v>
      </c>
      <c r="H2353" s="15">
        <f t="shared" si="36"/>
        <v>0</v>
      </c>
      <c r="I2353" s="236" t="s">
        <v>19682</v>
      </c>
    </row>
    <row r="2354" spans="1:9" ht="15.75" x14ac:dyDescent="0.25">
      <c r="A2354" s="36">
        <v>42904</v>
      </c>
      <c r="B2354" s="18">
        <v>116455</v>
      </c>
      <c r="C2354" s="235" t="s">
        <v>19677</v>
      </c>
      <c r="D2354" s="248" t="s">
        <v>95</v>
      </c>
      <c r="E2354" s="15">
        <v>0</v>
      </c>
      <c r="F2354" s="243" t="s">
        <v>95</v>
      </c>
      <c r="G2354" s="15">
        <v>0</v>
      </c>
      <c r="H2354" s="15">
        <f t="shared" si="36"/>
        <v>0</v>
      </c>
      <c r="I2354" s="236" t="s">
        <v>19678</v>
      </c>
    </row>
    <row r="2355" spans="1:9" x14ac:dyDescent="0.25">
      <c r="A2355" s="242">
        <v>42904</v>
      </c>
      <c r="B2355" s="18">
        <v>116456</v>
      </c>
      <c r="C2355" s="235" t="s">
        <v>19677</v>
      </c>
      <c r="D2355" s="236" t="s">
        <v>15258</v>
      </c>
      <c r="E2355" s="15">
        <v>4063.2</v>
      </c>
      <c r="F2355" s="237">
        <v>42904</v>
      </c>
      <c r="G2355" s="15">
        <v>4063.2</v>
      </c>
      <c r="H2355" s="15">
        <f t="shared" si="36"/>
        <v>0</v>
      </c>
      <c r="I2355" s="236" t="s">
        <v>19682</v>
      </c>
    </row>
    <row r="2356" spans="1:9" x14ac:dyDescent="0.25">
      <c r="A2356" s="36">
        <v>42904</v>
      </c>
      <c r="B2356" s="18">
        <v>116457</v>
      </c>
      <c r="C2356" s="235" t="s">
        <v>19677</v>
      </c>
      <c r="D2356" s="236" t="s">
        <v>15378</v>
      </c>
      <c r="E2356" s="15">
        <v>3700.1</v>
      </c>
      <c r="F2356" s="237">
        <v>42904</v>
      </c>
      <c r="G2356" s="15">
        <v>3700.1</v>
      </c>
      <c r="H2356" s="15">
        <f t="shared" si="36"/>
        <v>0</v>
      </c>
      <c r="I2356" s="236" t="s">
        <v>19682</v>
      </c>
    </row>
    <row r="2357" spans="1:9" x14ac:dyDescent="0.25">
      <c r="A2357" s="242">
        <v>42904</v>
      </c>
      <c r="B2357" s="18">
        <v>116458</v>
      </c>
      <c r="C2357" s="235" t="s">
        <v>19677</v>
      </c>
      <c r="D2357" s="236" t="s">
        <v>15315</v>
      </c>
      <c r="E2357" s="15">
        <v>789.6</v>
      </c>
      <c r="F2357" s="237">
        <v>42904</v>
      </c>
      <c r="G2357" s="15">
        <v>789.6</v>
      </c>
      <c r="H2357" s="15">
        <f t="shared" si="36"/>
        <v>0</v>
      </c>
      <c r="I2357" s="236" t="s">
        <v>19682</v>
      </c>
    </row>
    <row r="2358" spans="1:9" x14ac:dyDescent="0.25">
      <c r="A2358" s="36">
        <v>42904</v>
      </c>
      <c r="B2358" s="18">
        <v>116459</v>
      </c>
      <c r="C2358" s="235" t="s">
        <v>19677</v>
      </c>
      <c r="D2358" s="236" t="s">
        <v>15315</v>
      </c>
      <c r="E2358" s="15">
        <v>41</v>
      </c>
      <c r="F2358" s="237">
        <v>42904</v>
      </c>
      <c r="G2358" s="15">
        <v>41</v>
      </c>
      <c r="H2358" s="15">
        <f t="shared" si="36"/>
        <v>0</v>
      </c>
      <c r="I2358" s="236" t="s">
        <v>19682</v>
      </c>
    </row>
    <row r="2359" spans="1:9" x14ac:dyDescent="0.25">
      <c r="A2359" s="242">
        <v>42904</v>
      </c>
      <c r="B2359" s="18">
        <v>116460</v>
      </c>
      <c r="C2359" s="235" t="s">
        <v>19677</v>
      </c>
      <c r="D2359" s="236" t="s">
        <v>15315</v>
      </c>
      <c r="E2359" s="15">
        <v>42</v>
      </c>
      <c r="F2359" s="237">
        <v>42904</v>
      </c>
      <c r="G2359" s="15">
        <v>42</v>
      </c>
      <c r="H2359" s="15">
        <f t="shared" si="36"/>
        <v>0</v>
      </c>
      <c r="I2359" s="236" t="s">
        <v>19682</v>
      </c>
    </row>
    <row r="2360" spans="1:9" x14ac:dyDescent="0.25">
      <c r="A2360" s="36">
        <v>42904</v>
      </c>
      <c r="B2360" s="18">
        <v>116461</v>
      </c>
      <c r="C2360" s="235" t="s">
        <v>19677</v>
      </c>
      <c r="D2360" s="236" t="s">
        <v>15858</v>
      </c>
      <c r="E2360" s="15">
        <v>2509.7199999999998</v>
      </c>
      <c r="F2360" s="237">
        <v>42905</v>
      </c>
      <c r="G2360" s="15">
        <v>2509.7199999999998</v>
      </c>
      <c r="H2360" s="15">
        <f t="shared" si="36"/>
        <v>0</v>
      </c>
      <c r="I2360" s="236" t="s">
        <v>19682</v>
      </c>
    </row>
    <row r="2361" spans="1:9" x14ac:dyDescent="0.25">
      <c r="A2361" s="242">
        <v>42904</v>
      </c>
      <c r="B2361" s="18">
        <v>116462</v>
      </c>
      <c r="C2361" s="235" t="s">
        <v>19677</v>
      </c>
      <c r="D2361" s="236" t="s">
        <v>15350</v>
      </c>
      <c r="E2361" s="15">
        <v>690</v>
      </c>
      <c r="F2361" s="237">
        <v>42905</v>
      </c>
      <c r="G2361" s="15">
        <v>690</v>
      </c>
      <c r="H2361" s="15">
        <f t="shared" si="36"/>
        <v>0</v>
      </c>
      <c r="I2361" s="236" t="s">
        <v>19682</v>
      </c>
    </row>
    <row r="2362" spans="1:9" x14ac:dyDescent="0.25">
      <c r="A2362" s="36">
        <v>42904</v>
      </c>
      <c r="B2362" s="18">
        <v>116463</v>
      </c>
      <c r="C2362" s="235" t="s">
        <v>19677</v>
      </c>
      <c r="D2362" s="236" t="s">
        <v>15523</v>
      </c>
      <c r="E2362" s="15">
        <v>3680</v>
      </c>
      <c r="F2362" s="237">
        <v>42905</v>
      </c>
      <c r="G2362" s="15">
        <v>3680</v>
      </c>
      <c r="H2362" s="15">
        <f t="shared" si="36"/>
        <v>0</v>
      </c>
      <c r="I2362" s="236" t="s">
        <v>19682</v>
      </c>
    </row>
    <row r="2363" spans="1:9" x14ac:dyDescent="0.25">
      <c r="A2363" s="242">
        <v>42904</v>
      </c>
      <c r="B2363" s="18">
        <v>116464</v>
      </c>
      <c r="C2363" s="235" t="s">
        <v>19677</v>
      </c>
      <c r="D2363" s="236" t="s">
        <v>15315</v>
      </c>
      <c r="E2363" s="15">
        <v>424.8</v>
      </c>
      <c r="F2363" s="237">
        <v>42904</v>
      </c>
      <c r="G2363" s="15">
        <v>424.8</v>
      </c>
      <c r="H2363" s="15">
        <f t="shared" si="36"/>
        <v>0</v>
      </c>
      <c r="I2363" s="236" t="s">
        <v>19682</v>
      </c>
    </row>
    <row r="2364" spans="1:9" x14ac:dyDescent="0.25">
      <c r="A2364" s="36">
        <v>42904</v>
      </c>
      <c r="B2364" s="18">
        <v>116465</v>
      </c>
      <c r="C2364" s="235" t="s">
        <v>19677</v>
      </c>
      <c r="D2364" s="236" t="s">
        <v>16023</v>
      </c>
      <c r="E2364" s="15">
        <v>1559.2</v>
      </c>
      <c r="F2364" s="237">
        <v>42904</v>
      </c>
      <c r="G2364" s="15">
        <v>1559.2</v>
      </c>
      <c r="H2364" s="15">
        <f t="shared" si="36"/>
        <v>0</v>
      </c>
      <c r="I2364" s="236" t="s">
        <v>19682</v>
      </c>
    </row>
    <row r="2365" spans="1:9" x14ac:dyDescent="0.25">
      <c r="A2365" s="242">
        <v>42904</v>
      </c>
      <c r="B2365" s="18">
        <v>116466</v>
      </c>
      <c r="C2365" s="235" t="s">
        <v>19677</v>
      </c>
      <c r="D2365" s="236" t="s">
        <v>15334</v>
      </c>
      <c r="E2365" s="15">
        <v>2952</v>
      </c>
      <c r="F2365" s="237">
        <v>42905</v>
      </c>
      <c r="G2365" s="15">
        <v>2952</v>
      </c>
      <c r="H2365" s="15">
        <f t="shared" si="36"/>
        <v>0</v>
      </c>
      <c r="I2365" s="236" t="s">
        <v>19682</v>
      </c>
    </row>
    <row r="2366" spans="1:9" x14ac:dyDescent="0.25">
      <c r="A2366" s="36">
        <v>42904</v>
      </c>
      <c r="B2366" s="18">
        <v>116467</v>
      </c>
      <c r="C2366" s="235" t="s">
        <v>19677</v>
      </c>
      <c r="D2366" s="236" t="s">
        <v>15278</v>
      </c>
      <c r="E2366" s="15">
        <v>6717.6</v>
      </c>
      <c r="F2366" s="237">
        <v>42904</v>
      </c>
      <c r="G2366" s="15">
        <v>6717.6</v>
      </c>
      <c r="H2366" s="15">
        <f t="shared" si="36"/>
        <v>0</v>
      </c>
      <c r="I2366" s="236" t="s">
        <v>19682</v>
      </c>
    </row>
    <row r="2367" spans="1:9" x14ac:dyDescent="0.25">
      <c r="A2367" s="242">
        <v>42904</v>
      </c>
      <c r="B2367" s="18">
        <v>116468</v>
      </c>
      <c r="C2367" s="235" t="s">
        <v>19677</v>
      </c>
      <c r="D2367" s="236" t="s">
        <v>15280</v>
      </c>
      <c r="E2367" s="15">
        <v>5684.7</v>
      </c>
      <c r="F2367" s="237">
        <v>42904</v>
      </c>
      <c r="G2367" s="15">
        <v>5684.7</v>
      </c>
      <c r="H2367" s="15">
        <f t="shared" si="36"/>
        <v>0</v>
      </c>
      <c r="I2367" s="236" t="s">
        <v>19682</v>
      </c>
    </row>
    <row r="2368" spans="1:9" x14ac:dyDescent="0.25">
      <c r="A2368" s="36">
        <v>42904</v>
      </c>
      <c r="B2368" s="18">
        <v>116469</v>
      </c>
      <c r="C2368" s="235" t="s">
        <v>19677</v>
      </c>
      <c r="D2368" s="236" t="s">
        <v>15315</v>
      </c>
      <c r="E2368" s="15">
        <v>1899.8</v>
      </c>
      <c r="F2368" s="237">
        <v>42904</v>
      </c>
      <c r="G2368" s="15">
        <v>1899.8</v>
      </c>
      <c r="H2368" s="15">
        <f t="shared" si="36"/>
        <v>0</v>
      </c>
      <c r="I2368" s="236" t="s">
        <v>19682</v>
      </c>
    </row>
    <row r="2369" spans="1:9" x14ac:dyDescent="0.25">
      <c r="A2369" s="242">
        <v>42904</v>
      </c>
      <c r="B2369" s="18">
        <v>116470</v>
      </c>
      <c r="C2369" s="235" t="s">
        <v>19677</v>
      </c>
      <c r="D2369" s="236" t="s">
        <v>15590</v>
      </c>
      <c r="E2369" s="15">
        <v>27192</v>
      </c>
      <c r="F2369" s="237">
        <v>42915</v>
      </c>
      <c r="G2369" s="15">
        <v>27192</v>
      </c>
      <c r="H2369" s="15">
        <f t="shared" si="36"/>
        <v>0</v>
      </c>
      <c r="I2369" s="236" t="s">
        <v>19682</v>
      </c>
    </row>
    <row r="2370" spans="1:9" ht="15.75" x14ac:dyDescent="0.25">
      <c r="A2370" s="36">
        <v>42904</v>
      </c>
      <c r="B2370" s="18">
        <v>116471</v>
      </c>
      <c r="C2370" s="235" t="s">
        <v>19677</v>
      </c>
      <c r="D2370" s="248" t="s">
        <v>95</v>
      </c>
      <c r="E2370" s="15">
        <v>0</v>
      </c>
      <c r="F2370" s="243" t="s">
        <v>95</v>
      </c>
      <c r="G2370" s="15">
        <v>0</v>
      </c>
      <c r="H2370" s="15">
        <f t="shared" ref="H2370:H2433" si="37">E2370-G2370</f>
        <v>0</v>
      </c>
      <c r="I2370" s="236" t="s">
        <v>19678</v>
      </c>
    </row>
    <row r="2371" spans="1:9" x14ac:dyDescent="0.25">
      <c r="A2371" s="242">
        <v>42904</v>
      </c>
      <c r="B2371" s="18">
        <v>116472</v>
      </c>
      <c r="C2371" s="235" t="s">
        <v>19677</v>
      </c>
      <c r="D2371" s="236" t="s">
        <v>15263</v>
      </c>
      <c r="E2371" s="15">
        <v>3805.5</v>
      </c>
      <c r="F2371" s="237">
        <v>42904</v>
      </c>
      <c r="G2371" s="15">
        <v>3805.5</v>
      </c>
      <c r="H2371" s="15">
        <f t="shared" si="37"/>
        <v>0</v>
      </c>
      <c r="I2371" s="236" t="s">
        <v>19682</v>
      </c>
    </row>
    <row r="2372" spans="1:9" x14ac:dyDescent="0.25">
      <c r="A2372" s="36">
        <v>42904</v>
      </c>
      <c r="B2372" s="18">
        <v>116473</v>
      </c>
      <c r="C2372" s="235" t="s">
        <v>19677</v>
      </c>
      <c r="D2372" s="236" t="s">
        <v>15282</v>
      </c>
      <c r="E2372" s="15">
        <v>3884.4</v>
      </c>
      <c r="F2372" s="237">
        <v>42904</v>
      </c>
      <c r="G2372" s="15">
        <v>3884.4</v>
      </c>
      <c r="H2372" s="15">
        <f t="shared" si="37"/>
        <v>0</v>
      </c>
      <c r="I2372" s="236" t="s">
        <v>19682</v>
      </c>
    </row>
    <row r="2373" spans="1:9" x14ac:dyDescent="0.25">
      <c r="A2373" s="242">
        <v>42904</v>
      </c>
      <c r="B2373" s="18">
        <v>116474</v>
      </c>
      <c r="C2373" s="235" t="s">
        <v>19677</v>
      </c>
      <c r="D2373" s="236" t="s">
        <v>15315</v>
      </c>
      <c r="E2373" s="15">
        <v>2760</v>
      </c>
      <c r="F2373" s="237">
        <v>42904</v>
      </c>
      <c r="G2373" s="15">
        <v>2760</v>
      </c>
      <c r="H2373" s="15">
        <f t="shared" si="37"/>
        <v>0</v>
      </c>
      <c r="I2373" s="236" t="s">
        <v>19682</v>
      </c>
    </row>
    <row r="2374" spans="1:9" x14ac:dyDescent="0.25">
      <c r="A2374" s="36">
        <v>42904</v>
      </c>
      <c r="B2374" s="18">
        <v>116475</v>
      </c>
      <c r="C2374" s="235" t="s">
        <v>19677</v>
      </c>
      <c r="D2374" s="236" t="s">
        <v>17430</v>
      </c>
      <c r="E2374" s="15">
        <v>2215.1999999999998</v>
      </c>
      <c r="F2374" s="237">
        <v>42904</v>
      </c>
      <c r="G2374" s="15">
        <v>2215.1999999999998</v>
      </c>
      <c r="H2374" s="15">
        <f t="shared" si="37"/>
        <v>0</v>
      </c>
      <c r="I2374" s="236" t="s">
        <v>19682</v>
      </c>
    </row>
    <row r="2375" spans="1:9" x14ac:dyDescent="0.25">
      <c r="A2375" s="242">
        <v>42904</v>
      </c>
      <c r="B2375" s="18">
        <v>116476</v>
      </c>
      <c r="C2375" s="235" t="s">
        <v>19677</v>
      </c>
      <c r="D2375" s="236" t="s">
        <v>15361</v>
      </c>
      <c r="E2375" s="15">
        <v>12668.4</v>
      </c>
      <c r="F2375" s="237">
        <v>42905</v>
      </c>
      <c r="G2375" s="15">
        <v>12668.4</v>
      </c>
      <c r="H2375" s="15">
        <f t="shared" si="37"/>
        <v>0</v>
      </c>
      <c r="I2375" s="236" t="s">
        <v>19682</v>
      </c>
    </row>
    <row r="2376" spans="1:9" x14ac:dyDescent="0.25">
      <c r="A2376" s="36">
        <v>42904</v>
      </c>
      <c r="B2376" s="18">
        <v>116477</v>
      </c>
      <c r="C2376" s="235" t="s">
        <v>19677</v>
      </c>
      <c r="D2376" s="236" t="s">
        <v>15385</v>
      </c>
      <c r="E2376" s="15">
        <v>10076.799999999999</v>
      </c>
      <c r="F2376" s="237">
        <v>42905</v>
      </c>
      <c r="G2376" s="15">
        <v>10076.799999999999</v>
      </c>
      <c r="H2376" s="15">
        <f t="shared" si="37"/>
        <v>0</v>
      </c>
      <c r="I2376" s="236" t="s">
        <v>19682</v>
      </c>
    </row>
    <row r="2377" spans="1:9" x14ac:dyDescent="0.25">
      <c r="A2377" s="242">
        <v>42904</v>
      </c>
      <c r="B2377" s="18">
        <v>116478</v>
      </c>
      <c r="C2377" s="235" t="s">
        <v>19677</v>
      </c>
      <c r="D2377" s="236" t="s">
        <v>15261</v>
      </c>
      <c r="E2377" s="15">
        <v>30823.7</v>
      </c>
      <c r="F2377" s="237">
        <v>42904</v>
      </c>
      <c r="G2377" s="15">
        <v>30823.7</v>
      </c>
      <c r="H2377" s="15">
        <f t="shared" si="37"/>
        <v>0</v>
      </c>
      <c r="I2377" s="236" t="s">
        <v>19682</v>
      </c>
    </row>
    <row r="2378" spans="1:9" x14ac:dyDescent="0.25">
      <c r="A2378" s="36">
        <v>42904</v>
      </c>
      <c r="B2378" s="18">
        <v>116479</v>
      </c>
      <c r="C2378" s="235" t="s">
        <v>19677</v>
      </c>
      <c r="D2378" s="236" t="s">
        <v>15725</v>
      </c>
      <c r="E2378" s="15">
        <v>5198.6000000000004</v>
      </c>
      <c r="F2378" s="237">
        <v>42911</v>
      </c>
      <c r="G2378" s="15">
        <v>5198.6000000000004</v>
      </c>
      <c r="H2378" s="15">
        <f t="shared" si="37"/>
        <v>0</v>
      </c>
      <c r="I2378" s="236" t="s">
        <v>19682</v>
      </c>
    </row>
    <row r="2379" spans="1:9" x14ac:dyDescent="0.25">
      <c r="A2379" s="242">
        <v>42904</v>
      </c>
      <c r="B2379" s="18">
        <v>116480</v>
      </c>
      <c r="C2379" s="235" t="s">
        <v>19677</v>
      </c>
      <c r="D2379" s="236" t="s">
        <v>15568</v>
      </c>
      <c r="E2379" s="15">
        <v>9868</v>
      </c>
      <c r="F2379" s="237">
        <v>42905</v>
      </c>
      <c r="G2379" s="15">
        <v>9868</v>
      </c>
      <c r="H2379" s="15">
        <f t="shared" si="37"/>
        <v>0</v>
      </c>
      <c r="I2379" s="236" t="s">
        <v>19682</v>
      </c>
    </row>
    <row r="2380" spans="1:9" x14ac:dyDescent="0.25">
      <c r="A2380" s="36">
        <v>42904</v>
      </c>
      <c r="B2380" s="18">
        <v>116481</v>
      </c>
      <c r="C2380" s="235" t="s">
        <v>19677</v>
      </c>
      <c r="D2380" s="236" t="s">
        <v>15391</v>
      </c>
      <c r="E2380" s="15">
        <v>11375</v>
      </c>
      <c r="F2380" s="237">
        <v>42905</v>
      </c>
      <c r="G2380" s="15">
        <v>11375</v>
      </c>
      <c r="H2380" s="15">
        <f t="shared" si="37"/>
        <v>0</v>
      </c>
      <c r="I2380" s="236" t="s">
        <v>19682</v>
      </c>
    </row>
    <row r="2381" spans="1:9" x14ac:dyDescent="0.25">
      <c r="A2381" s="242">
        <v>42904</v>
      </c>
      <c r="B2381" s="18">
        <v>116482</v>
      </c>
      <c r="C2381" s="235" t="s">
        <v>19677</v>
      </c>
      <c r="D2381" s="236" t="s">
        <v>15248</v>
      </c>
      <c r="E2381" s="15">
        <v>10627.38</v>
      </c>
      <c r="F2381" s="237">
        <v>42904</v>
      </c>
      <c r="G2381" s="15">
        <v>10627.38</v>
      </c>
      <c r="H2381" s="15">
        <f t="shared" si="37"/>
        <v>0</v>
      </c>
      <c r="I2381" s="236" t="s">
        <v>19682</v>
      </c>
    </row>
    <row r="2382" spans="1:9" x14ac:dyDescent="0.25">
      <c r="A2382" s="36">
        <v>42904</v>
      </c>
      <c r="B2382" s="18">
        <v>116483</v>
      </c>
      <c r="C2382" s="235" t="s">
        <v>19677</v>
      </c>
      <c r="D2382" s="236" t="s">
        <v>15510</v>
      </c>
      <c r="E2382" s="15">
        <v>1277.5</v>
      </c>
      <c r="F2382" s="237">
        <v>42904</v>
      </c>
      <c r="G2382" s="15">
        <v>1277.5</v>
      </c>
      <c r="H2382" s="15">
        <f t="shared" si="37"/>
        <v>0</v>
      </c>
      <c r="I2382" s="236" t="s">
        <v>19682</v>
      </c>
    </row>
    <row r="2383" spans="1:9" x14ac:dyDescent="0.25">
      <c r="A2383" s="242">
        <v>42904</v>
      </c>
      <c r="B2383" s="18">
        <v>116484</v>
      </c>
      <c r="C2383" s="235" t="s">
        <v>19677</v>
      </c>
      <c r="D2383" s="236" t="s">
        <v>15818</v>
      </c>
      <c r="E2383" s="15">
        <v>1075.2</v>
      </c>
      <c r="F2383" s="237">
        <v>42904</v>
      </c>
      <c r="G2383" s="15">
        <v>1075.2</v>
      </c>
      <c r="H2383" s="15">
        <f t="shared" si="37"/>
        <v>0</v>
      </c>
      <c r="I2383" s="236" t="s">
        <v>19682</v>
      </c>
    </row>
    <row r="2384" spans="1:9" x14ac:dyDescent="0.25">
      <c r="A2384" s="36">
        <v>42904</v>
      </c>
      <c r="B2384" s="18">
        <v>116485</v>
      </c>
      <c r="C2384" s="235" t="s">
        <v>19677</v>
      </c>
      <c r="D2384" s="236" t="s">
        <v>15398</v>
      </c>
      <c r="E2384" s="15">
        <v>4152.3500000000004</v>
      </c>
      <c r="F2384" s="237">
        <v>42904</v>
      </c>
      <c r="G2384" s="15">
        <v>4152.3500000000004</v>
      </c>
      <c r="H2384" s="15">
        <f t="shared" si="37"/>
        <v>0</v>
      </c>
      <c r="I2384" s="236" t="s">
        <v>19682</v>
      </c>
    </row>
    <row r="2385" spans="1:9" x14ac:dyDescent="0.25">
      <c r="A2385" s="242">
        <v>42904</v>
      </c>
      <c r="B2385" s="18">
        <v>116486</v>
      </c>
      <c r="C2385" s="235" t="s">
        <v>19677</v>
      </c>
      <c r="D2385" s="236" t="s">
        <v>15530</v>
      </c>
      <c r="E2385" s="15">
        <v>5691</v>
      </c>
      <c r="F2385" s="237">
        <v>42904</v>
      </c>
      <c r="G2385" s="15">
        <v>5691</v>
      </c>
      <c r="H2385" s="15">
        <f t="shared" si="37"/>
        <v>0</v>
      </c>
      <c r="I2385" s="236" t="s">
        <v>19682</v>
      </c>
    </row>
    <row r="2386" spans="1:9" x14ac:dyDescent="0.25">
      <c r="A2386" s="36">
        <v>42904</v>
      </c>
      <c r="B2386" s="18">
        <v>116487</v>
      </c>
      <c r="C2386" s="235" t="s">
        <v>19677</v>
      </c>
      <c r="D2386" s="236" t="s">
        <v>15530</v>
      </c>
      <c r="E2386" s="15">
        <v>691.2</v>
      </c>
      <c r="F2386" s="237">
        <v>42904</v>
      </c>
      <c r="G2386" s="15">
        <v>691.2</v>
      </c>
      <c r="H2386" s="15">
        <f t="shared" si="37"/>
        <v>0</v>
      </c>
      <c r="I2386" s="236" t="s">
        <v>19682</v>
      </c>
    </row>
    <row r="2387" spans="1:9" x14ac:dyDescent="0.25">
      <c r="A2387" s="242">
        <v>42904</v>
      </c>
      <c r="B2387" s="18">
        <v>116488</v>
      </c>
      <c r="C2387" s="235" t="s">
        <v>19677</v>
      </c>
      <c r="D2387" s="236" t="s">
        <v>15284</v>
      </c>
      <c r="E2387" s="15">
        <v>2091.4</v>
      </c>
      <c r="F2387" s="237">
        <v>42904</v>
      </c>
      <c r="G2387" s="15">
        <v>2091.4</v>
      </c>
      <c r="H2387" s="15">
        <f t="shared" si="37"/>
        <v>0</v>
      </c>
      <c r="I2387" s="236" t="s">
        <v>19682</v>
      </c>
    </row>
    <row r="2388" spans="1:9" x14ac:dyDescent="0.25">
      <c r="A2388" s="36">
        <v>42904</v>
      </c>
      <c r="B2388" s="18">
        <v>116489</v>
      </c>
      <c r="C2388" s="235" t="s">
        <v>19677</v>
      </c>
      <c r="D2388" s="236" t="s">
        <v>15340</v>
      </c>
      <c r="E2388" s="15">
        <v>6267.6</v>
      </c>
      <c r="F2388" s="237">
        <v>42905</v>
      </c>
      <c r="G2388" s="15">
        <v>6267.6</v>
      </c>
      <c r="H2388" s="15">
        <f t="shared" si="37"/>
        <v>0</v>
      </c>
      <c r="I2388" s="236" t="s">
        <v>19682</v>
      </c>
    </row>
    <row r="2389" spans="1:9" x14ac:dyDescent="0.25">
      <c r="A2389" s="242">
        <v>42904</v>
      </c>
      <c r="B2389" s="18">
        <v>116490</v>
      </c>
      <c r="C2389" s="235" t="s">
        <v>19677</v>
      </c>
      <c r="D2389" s="236" t="s">
        <v>15344</v>
      </c>
      <c r="E2389" s="15">
        <v>2368.8000000000002</v>
      </c>
      <c r="F2389" s="237">
        <v>42905</v>
      </c>
      <c r="G2389" s="15">
        <v>2368.8000000000002</v>
      </c>
      <c r="H2389" s="15">
        <f t="shared" si="37"/>
        <v>0</v>
      </c>
      <c r="I2389" s="236" t="s">
        <v>19682</v>
      </c>
    </row>
    <row r="2390" spans="1:9" x14ac:dyDescent="0.25">
      <c r="A2390" s="36">
        <v>42904</v>
      </c>
      <c r="B2390" s="18">
        <v>116491</v>
      </c>
      <c r="C2390" s="235" t="s">
        <v>19677</v>
      </c>
      <c r="D2390" s="236" t="s">
        <v>15358</v>
      </c>
      <c r="E2390" s="15">
        <v>2344.5</v>
      </c>
      <c r="F2390" s="237">
        <v>42905</v>
      </c>
      <c r="G2390" s="15">
        <v>2344.5</v>
      </c>
      <c r="H2390" s="15">
        <f t="shared" si="37"/>
        <v>0</v>
      </c>
      <c r="I2390" s="236" t="s">
        <v>19682</v>
      </c>
    </row>
    <row r="2391" spans="1:9" x14ac:dyDescent="0.25">
      <c r="A2391" s="242">
        <v>42904</v>
      </c>
      <c r="B2391" s="18">
        <v>116492</v>
      </c>
      <c r="C2391" s="235" t="s">
        <v>19677</v>
      </c>
      <c r="D2391" s="236" t="s">
        <v>15541</v>
      </c>
      <c r="E2391" s="15">
        <v>2728</v>
      </c>
      <c r="F2391" s="237">
        <v>42905</v>
      </c>
      <c r="G2391" s="15">
        <v>2728</v>
      </c>
      <c r="H2391" s="15">
        <f t="shared" si="37"/>
        <v>0</v>
      </c>
      <c r="I2391" s="236" t="s">
        <v>19682</v>
      </c>
    </row>
    <row r="2392" spans="1:9" x14ac:dyDescent="0.25">
      <c r="A2392" s="36">
        <v>42904</v>
      </c>
      <c r="B2392" s="18">
        <v>116493</v>
      </c>
      <c r="C2392" s="235" t="s">
        <v>19677</v>
      </c>
      <c r="D2392" s="236" t="s">
        <v>15549</v>
      </c>
      <c r="E2392" s="15">
        <v>13313.4</v>
      </c>
      <c r="F2392" s="237">
        <v>42905</v>
      </c>
      <c r="G2392" s="15">
        <v>13313.4</v>
      </c>
      <c r="H2392" s="15">
        <f t="shared" si="37"/>
        <v>0</v>
      </c>
      <c r="I2392" s="236" t="s">
        <v>19682</v>
      </c>
    </row>
    <row r="2393" spans="1:9" x14ac:dyDescent="0.25">
      <c r="A2393" s="242">
        <v>42904</v>
      </c>
      <c r="B2393" s="18">
        <v>116494</v>
      </c>
      <c r="C2393" s="235" t="s">
        <v>19677</v>
      </c>
      <c r="D2393" s="236" t="s">
        <v>15252</v>
      </c>
      <c r="E2393" s="15">
        <v>8934.5400000000009</v>
      </c>
      <c r="F2393" s="237">
        <v>42908</v>
      </c>
      <c r="G2393" s="15">
        <v>8934.5400000000009</v>
      </c>
      <c r="H2393" s="15">
        <f t="shared" si="37"/>
        <v>0</v>
      </c>
      <c r="I2393" s="236" t="s">
        <v>19682</v>
      </c>
    </row>
    <row r="2394" spans="1:9" x14ac:dyDescent="0.25">
      <c r="A2394" s="36">
        <v>42904</v>
      </c>
      <c r="B2394" s="18">
        <v>116495</v>
      </c>
      <c r="C2394" s="235" t="s">
        <v>19677</v>
      </c>
      <c r="D2394" s="236" t="s">
        <v>15332</v>
      </c>
      <c r="E2394" s="15">
        <v>4285</v>
      </c>
      <c r="F2394" s="237">
        <v>42905</v>
      </c>
      <c r="G2394" s="15">
        <v>4285</v>
      </c>
      <c r="H2394" s="15">
        <f t="shared" si="37"/>
        <v>0</v>
      </c>
      <c r="I2394" s="236" t="s">
        <v>19682</v>
      </c>
    </row>
    <row r="2395" spans="1:9" x14ac:dyDescent="0.25">
      <c r="A2395" s="242">
        <v>42904</v>
      </c>
      <c r="B2395" s="18">
        <v>116496</v>
      </c>
      <c r="C2395" s="235" t="s">
        <v>19677</v>
      </c>
      <c r="D2395" s="236" t="s">
        <v>15242</v>
      </c>
      <c r="E2395" s="15">
        <v>4569.6000000000004</v>
      </c>
      <c r="F2395" s="237">
        <v>42905</v>
      </c>
      <c r="G2395" s="15">
        <v>4569.6000000000004</v>
      </c>
      <c r="H2395" s="15">
        <f t="shared" si="37"/>
        <v>0</v>
      </c>
      <c r="I2395" s="236" t="s">
        <v>19682</v>
      </c>
    </row>
    <row r="2396" spans="1:9" x14ac:dyDescent="0.25">
      <c r="A2396" s="36">
        <v>42904</v>
      </c>
      <c r="B2396" s="18">
        <v>116497</v>
      </c>
      <c r="C2396" s="235" t="s">
        <v>19677</v>
      </c>
      <c r="D2396" s="236" t="s">
        <v>15920</v>
      </c>
      <c r="E2396" s="15">
        <v>6773.8</v>
      </c>
      <c r="F2396" s="237">
        <v>42904</v>
      </c>
      <c r="G2396" s="15">
        <v>6773.8</v>
      </c>
      <c r="H2396" s="15">
        <f t="shared" si="37"/>
        <v>0</v>
      </c>
      <c r="I2396" s="236" t="s">
        <v>19682</v>
      </c>
    </row>
    <row r="2397" spans="1:9" x14ac:dyDescent="0.25">
      <c r="A2397" s="242">
        <v>42904</v>
      </c>
      <c r="B2397" s="18">
        <v>116498</v>
      </c>
      <c r="C2397" s="235" t="s">
        <v>19677</v>
      </c>
      <c r="D2397" s="236" t="s">
        <v>15332</v>
      </c>
      <c r="E2397" s="15">
        <v>185</v>
      </c>
      <c r="F2397" s="237">
        <v>42905</v>
      </c>
      <c r="G2397" s="15">
        <v>185</v>
      </c>
      <c r="H2397" s="15">
        <f t="shared" si="37"/>
        <v>0</v>
      </c>
      <c r="I2397" s="236" t="s">
        <v>19682</v>
      </c>
    </row>
    <row r="2398" spans="1:9" x14ac:dyDescent="0.25">
      <c r="A2398" s="36">
        <v>42904</v>
      </c>
      <c r="B2398" s="18">
        <v>116499</v>
      </c>
      <c r="C2398" s="235" t="s">
        <v>19677</v>
      </c>
      <c r="D2398" s="236" t="s">
        <v>15244</v>
      </c>
      <c r="E2398" s="15">
        <v>19612</v>
      </c>
      <c r="F2398" s="237">
        <v>42908</v>
      </c>
      <c r="G2398" s="15">
        <v>19612</v>
      </c>
      <c r="H2398" s="15">
        <f t="shared" si="37"/>
        <v>0</v>
      </c>
      <c r="I2398" s="236" t="s">
        <v>19682</v>
      </c>
    </row>
    <row r="2399" spans="1:9" x14ac:dyDescent="0.25">
      <c r="A2399" s="242">
        <v>42904</v>
      </c>
      <c r="B2399" s="18">
        <v>116500</v>
      </c>
      <c r="C2399" s="235" t="s">
        <v>19677</v>
      </c>
      <c r="D2399" s="236" t="s">
        <v>15526</v>
      </c>
      <c r="E2399" s="15">
        <v>4747.3</v>
      </c>
      <c r="F2399" s="237">
        <v>42905</v>
      </c>
      <c r="G2399" s="15">
        <v>4747.3</v>
      </c>
      <c r="H2399" s="15">
        <f t="shared" si="37"/>
        <v>0</v>
      </c>
      <c r="I2399" s="236" t="s">
        <v>19682</v>
      </c>
    </row>
    <row r="2400" spans="1:9" x14ac:dyDescent="0.25">
      <c r="A2400" s="36">
        <v>42904</v>
      </c>
      <c r="B2400" s="18">
        <v>116501</v>
      </c>
      <c r="C2400" s="235" t="s">
        <v>19677</v>
      </c>
      <c r="D2400" s="236" t="s">
        <v>15322</v>
      </c>
      <c r="E2400" s="15">
        <v>1116</v>
      </c>
      <c r="F2400" s="237">
        <v>42904</v>
      </c>
      <c r="G2400" s="15">
        <v>1116</v>
      </c>
      <c r="H2400" s="15">
        <f t="shared" si="37"/>
        <v>0</v>
      </c>
      <c r="I2400" s="236" t="s">
        <v>19682</v>
      </c>
    </row>
    <row r="2401" spans="1:9" x14ac:dyDescent="0.25">
      <c r="A2401" s="242">
        <v>42904</v>
      </c>
      <c r="B2401" s="18">
        <v>116502</v>
      </c>
      <c r="C2401" s="235" t="s">
        <v>19677</v>
      </c>
      <c r="D2401" s="236" t="s">
        <v>16297</v>
      </c>
      <c r="E2401" s="15">
        <v>31086.2</v>
      </c>
      <c r="F2401" s="237">
        <v>42926</v>
      </c>
      <c r="G2401" s="15">
        <v>31086.2</v>
      </c>
      <c r="H2401" s="15">
        <f t="shared" si="37"/>
        <v>0</v>
      </c>
      <c r="I2401" s="236" t="s">
        <v>19682</v>
      </c>
    </row>
    <row r="2402" spans="1:9" x14ac:dyDescent="0.25">
      <c r="A2402" s="36">
        <v>42904</v>
      </c>
      <c r="B2402" s="18">
        <v>116503</v>
      </c>
      <c r="C2402" s="235" t="s">
        <v>19677</v>
      </c>
      <c r="D2402" s="236" t="s">
        <v>15328</v>
      </c>
      <c r="E2402" s="15">
        <v>42579.040000000001</v>
      </c>
      <c r="F2402" s="237">
        <v>42915</v>
      </c>
      <c r="G2402" s="15">
        <v>42579.040000000001</v>
      </c>
      <c r="H2402" s="15">
        <f t="shared" si="37"/>
        <v>0</v>
      </c>
      <c r="I2402" s="236" t="s">
        <v>19682</v>
      </c>
    </row>
    <row r="2403" spans="1:9" x14ac:dyDescent="0.25">
      <c r="A2403" s="242">
        <v>42904</v>
      </c>
      <c r="B2403" s="18">
        <v>116504</v>
      </c>
      <c r="C2403" s="235" t="s">
        <v>19677</v>
      </c>
      <c r="D2403" s="236" t="s">
        <v>15291</v>
      </c>
      <c r="E2403" s="15">
        <v>846</v>
      </c>
      <c r="F2403" s="237">
        <v>42905</v>
      </c>
      <c r="G2403" s="15">
        <v>846</v>
      </c>
      <c r="H2403" s="15">
        <f t="shared" si="37"/>
        <v>0</v>
      </c>
      <c r="I2403" s="236" t="s">
        <v>19682</v>
      </c>
    </row>
    <row r="2404" spans="1:9" x14ac:dyDescent="0.25">
      <c r="A2404" s="36">
        <v>42904</v>
      </c>
      <c r="B2404" s="18">
        <v>116505</v>
      </c>
      <c r="C2404" s="235" t="s">
        <v>19677</v>
      </c>
      <c r="D2404" s="236" t="s">
        <v>15745</v>
      </c>
      <c r="E2404" s="15">
        <v>1089.5999999999999</v>
      </c>
      <c r="F2404" s="237">
        <v>42905</v>
      </c>
      <c r="G2404" s="15">
        <v>1089.5999999999999</v>
      </c>
      <c r="H2404" s="15">
        <f t="shared" si="37"/>
        <v>0</v>
      </c>
      <c r="I2404" s="236" t="s">
        <v>19682</v>
      </c>
    </row>
    <row r="2405" spans="1:9" x14ac:dyDescent="0.25">
      <c r="A2405" s="242">
        <v>42904</v>
      </c>
      <c r="B2405" s="18">
        <v>116506</v>
      </c>
      <c r="C2405" s="235" t="s">
        <v>19677</v>
      </c>
      <c r="D2405" s="236" t="s">
        <v>15311</v>
      </c>
      <c r="E2405" s="15">
        <v>1889.8</v>
      </c>
      <c r="F2405" s="237">
        <v>42905</v>
      </c>
      <c r="G2405" s="15">
        <v>1889.8</v>
      </c>
      <c r="H2405" s="15">
        <f t="shared" si="37"/>
        <v>0</v>
      </c>
      <c r="I2405" s="236" t="s">
        <v>19682</v>
      </c>
    </row>
    <row r="2406" spans="1:9" x14ac:dyDescent="0.25">
      <c r="A2406" s="36">
        <v>42904</v>
      </c>
      <c r="B2406" s="18">
        <v>116507</v>
      </c>
      <c r="C2406" s="235" t="s">
        <v>19677</v>
      </c>
      <c r="D2406" s="236" t="s">
        <v>15305</v>
      </c>
      <c r="E2406" s="15">
        <v>885.6</v>
      </c>
      <c r="F2406" s="237">
        <v>42905</v>
      </c>
      <c r="G2406" s="15">
        <v>885.6</v>
      </c>
      <c r="H2406" s="15">
        <f t="shared" si="37"/>
        <v>0</v>
      </c>
      <c r="I2406" s="236" t="s">
        <v>19682</v>
      </c>
    </row>
    <row r="2407" spans="1:9" x14ac:dyDescent="0.25">
      <c r="A2407" s="242">
        <v>42904</v>
      </c>
      <c r="B2407" s="18">
        <v>116508</v>
      </c>
      <c r="C2407" s="235" t="s">
        <v>19677</v>
      </c>
      <c r="D2407" s="236" t="s">
        <v>15566</v>
      </c>
      <c r="E2407" s="15">
        <v>856.8</v>
      </c>
      <c r="F2407" s="237">
        <v>42904</v>
      </c>
      <c r="G2407" s="15">
        <v>856.8</v>
      </c>
      <c r="H2407" s="15">
        <f t="shared" si="37"/>
        <v>0</v>
      </c>
      <c r="I2407" s="236" t="s">
        <v>19682</v>
      </c>
    </row>
    <row r="2408" spans="1:9" x14ac:dyDescent="0.25">
      <c r="A2408" s="36">
        <v>42904</v>
      </c>
      <c r="B2408" s="18">
        <v>116509</v>
      </c>
      <c r="C2408" s="235" t="s">
        <v>19677</v>
      </c>
      <c r="D2408" s="236" t="s">
        <v>15444</v>
      </c>
      <c r="E2408" s="15">
        <v>1170</v>
      </c>
      <c r="F2408" s="237">
        <v>42904</v>
      </c>
      <c r="G2408" s="15">
        <v>1170</v>
      </c>
      <c r="H2408" s="15">
        <f t="shared" si="37"/>
        <v>0</v>
      </c>
      <c r="I2408" s="236" t="s">
        <v>19682</v>
      </c>
    </row>
    <row r="2409" spans="1:9" x14ac:dyDescent="0.25">
      <c r="A2409" s="242">
        <v>42904</v>
      </c>
      <c r="B2409" s="18">
        <v>116510</v>
      </c>
      <c r="C2409" s="235" t="s">
        <v>19677</v>
      </c>
      <c r="D2409" s="236" t="s">
        <v>15510</v>
      </c>
      <c r="E2409" s="15">
        <v>10659.7</v>
      </c>
      <c r="F2409" s="237">
        <v>42904</v>
      </c>
      <c r="G2409" s="15">
        <v>10659.7</v>
      </c>
      <c r="H2409" s="15">
        <f t="shared" si="37"/>
        <v>0</v>
      </c>
      <c r="I2409" s="236" t="s">
        <v>19682</v>
      </c>
    </row>
    <row r="2410" spans="1:9" x14ac:dyDescent="0.25">
      <c r="A2410" s="36">
        <v>42904</v>
      </c>
      <c r="B2410" s="18">
        <v>116511</v>
      </c>
      <c r="C2410" s="235" t="s">
        <v>19677</v>
      </c>
      <c r="D2410" s="236" t="s">
        <v>15263</v>
      </c>
      <c r="E2410" s="15">
        <v>1600</v>
      </c>
      <c r="F2410" s="237">
        <v>42904</v>
      </c>
      <c r="G2410" s="15">
        <v>1600</v>
      </c>
      <c r="H2410" s="15">
        <f t="shared" si="37"/>
        <v>0</v>
      </c>
      <c r="I2410" s="236" t="s">
        <v>19682</v>
      </c>
    </row>
    <row r="2411" spans="1:9" ht="15.75" x14ac:dyDescent="0.25">
      <c r="A2411" s="242">
        <v>42904</v>
      </c>
      <c r="B2411" s="18">
        <v>116512</v>
      </c>
      <c r="C2411" s="235" t="s">
        <v>19677</v>
      </c>
      <c r="D2411" s="248" t="s">
        <v>95</v>
      </c>
      <c r="E2411" s="15">
        <v>0</v>
      </c>
      <c r="F2411" s="240" t="s">
        <v>95</v>
      </c>
      <c r="G2411" s="15">
        <v>0</v>
      </c>
      <c r="H2411" s="15">
        <f t="shared" si="37"/>
        <v>0</v>
      </c>
      <c r="I2411" s="236" t="s">
        <v>19678</v>
      </c>
    </row>
    <row r="2412" spans="1:9" ht="15.75" x14ac:dyDescent="0.25">
      <c r="A2412" s="36">
        <v>42904</v>
      </c>
      <c r="B2412" s="18">
        <v>116513</v>
      </c>
      <c r="C2412" s="235" t="s">
        <v>19677</v>
      </c>
      <c r="D2412" s="248" t="s">
        <v>95</v>
      </c>
      <c r="E2412" s="15">
        <v>0</v>
      </c>
      <c r="F2412" s="240" t="s">
        <v>95</v>
      </c>
      <c r="G2412" s="15">
        <v>0</v>
      </c>
      <c r="H2412" s="15">
        <f t="shared" si="37"/>
        <v>0</v>
      </c>
      <c r="I2412" s="236" t="s">
        <v>19678</v>
      </c>
    </row>
    <row r="2413" spans="1:9" x14ac:dyDescent="0.25">
      <c r="A2413" s="242">
        <v>42904</v>
      </c>
      <c r="B2413" s="18">
        <v>116514</v>
      </c>
      <c r="C2413" s="235" t="s">
        <v>19677</v>
      </c>
      <c r="D2413" s="236" t="s">
        <v>15246</v>
      </c>
      <c r="E2413" s="15">
        <v>50996.3</v>
      </c>
      <c r="F2413" s="237">
        <v>42906</v>
      </c>
      <c r="G2413" s="15">
        <v>50996.3</v>
      </c>
      <c r="H2413" s="15">
        <f t="shared" si="37"/>
        <v>0</v>
      </c>
      <c r="I2413" s="236" t="s">
        <v>19682</v>
      </c>
    </row>
    <row r="2414" spans="1:9" x14ac:dyDescent="0.25">
      <c r="A2414" s="36">
        <v>42904</v>
      </c>
      <c r="B2414" s="18">
        <v>116515</v>
      </c>
      <c r="C2414" s="235" t="s">
        <v>19677</v>
      </c>
      <c r="D2414" s="236" t="s">
        <v>18544</v>
      </c>
      <c r="E2414" s="15">
        <v>1337.4</v>
      </c>
      <c r="F2414" s="237">
        <v>42904</v>
      </c>
      <c r="G2414" s="15">
        <v>1337.4</v>
      </c>
      <c r="H2414" s="15">
        <f t="shared" si="37"/>
        <v>0</v>
      </c>
      <c r="I2414" s="236" t="s">
        <v>19682</v>
      </c>
    </row>
    <row r="2415" spans="1:9" x14ac:dyDescent="0.25">
      <c r="A2415" s="242">
        <v>42904</v>
      </c>
      <c r="B2415" s="18">
        <v>116516</v>
      </c>
      <c r="C2415" s="235" t="s">
        <v>19677</v>
      </c>
      <c r="D2415" s="236" t="s">
        <v>15284</v>
      </c>
      <c r="E2415" s="15">
        <v>860.1</v>
      </c>
      <c r="F2415" s="237">
        <v>42904</v>
      </c>
      <c r="G2415" s="15">
        <v>860.1</v>
      </c>
      <c r="H2415" s="15">
        <f t="shared" si="37"/>
        <v>0</v>
      </c>
      <c r="I2415" s="236" t="s">
        <v>19682</v>
      </c>
    </row>
    <row r="2416" spans="1:9" x14ac:dyDescent="0.25">
      <c r="A2416" s="36">
        <v>42904</v>
      </c>
      <c r="B2416" s="18">
        <v>116517</v>
      </c>
      <c r="C2416" s="235" t="s">
        <v>19677</v>
      </c>
      <c r="D2416" s="236" t="s">
        <v>15435</v>
      </c>
      <c r="E2416" s="15">
        <v>7506</v>
      </c>
      <c r="F2416" s="237">
        <v>42904</v>
      </c>
      <c r="G2416" s="15">
        <v>7506</v>
      </c>
      <c r="H2416" s="15">
        <f t="shared" si="37"/>
        <v>0</v>
      </c>
      <c r="I2416" s="236" t="s">
        <v>19682</v>
      </c>
    </row>
    <row r="2417" spans="1:9" x14ac:dyDescent="0.25">
      <c r="A2417" s="242">
        <v>42904</v>
      </c>
      <c r="B2417" s="18">
        <v>116518</v>
      </c>
      <c r="C2417" s="235" t="s">
        <v>19677</v>
      </c>
      <c r="D2417" s="236" t="s">
        <v>16297</v>
      </c>
      <c r="E2417" s="15">
        <v>16326.8</v>
      </c>
      <c r="F2417" s="237">
        <v>42926</v>
      </c>
      <c r="G2417" s="15">
        <v>16326.8</v>
      </c>
      <c r="H2417" s="15">
        <f t="shared" si="37"/>
        <v>0</v>
      </c>
      <c r="I2417" s="236" t="s">
        <v>19682</v>
      </c>
    </row>
    <row r="2418" spans="1:9" x14ac:dyDescent="0.25">
      <c r="A2418" s="36">
        <v>42904</v>
      </c>
      <c r="B2418" s="18">
        <v>116519</v>
      </c>
      <c r="C2418" s="235" t="s">
        <v>19677</v>
      </c>
      <c r="D2418" s="236" t="s">
        <v>15265</v>
      </c>
      <c r="E2418" s="15">
        <v>2015.2</v>
      </c>
      <c r="F2418" s="237">
        <v>42908</v>
      </c>
      <c r="G2418" s="15">
        <v>2015.2</v>
      </c>
      <c r="H2418" s="15">
        <f t="shared" si="37"/>
        <v>0</v>
      </c>
      <c r="I2418" s="236" t="s">
        <v>19682</v>
      </c>
    </row>
    <row r="2419" spans="1:9" x14ac:dyDescent="0.25">
      <c r="A2419" s="242">
        <v>42904</v>
      </c>
      <c r="B2419" s="18">
        <v>116520</v>
      </c>
      <c r="C2419" s="235" t="s">
        <v>19677</v>
      </c>
      <c r="D2419" s="236" t="s">
        <v>15624</v>
      </c>
      <c r="E2419" s="15">
        <v>2963.1</v>
      </c>
      <c r="F2419" s="237">
        <v>42905</v>
      </c>
      <c r="G2419" s="15">
        <v>2963.1</v>
      </c>
      <c r="H2419" s="15">
        <f t="shared" si="37"/>
        <v>0</v>
      </c>
      <c r="I2419" s="236" t="s">
        <v>19682</v>
      </c>
    </row>
    <row r="2420" spans="1:9" x14ac:dyDescent="0.25">
      <c r="A2420" s="36">
        <v>42904</v>
      </c>
      <c r="B2420" s="18">
        <v>116521</v>
      </c>
      <c r="C2420" s="235" t="s">
        <v>19677</v>
      </c>
      <c r="D2420" s="236" t="s">
        <v>15644</v>
      </c>
      <c r="E2420" s="15">
        <v>2547.4</v>
      </c>
      <c r="F2420" s="237">
        <v>42905</v>
      </c>
      <c r="G2420" s="15">
        <v>2547.4</v>
      </c>
      <c r="H2420" s="15">
        <f t="shared" si="37"/>
        <v>0</v>
      </c>
      <c r="I2420" s="236" t="s">
        <v>19682</v>
      </c>
    </row>
    <row r="2421" spans="1:9" x14ac:dyDescent="0.25">
      <c r="A2421" s="242">
        <v>42904</v>
      </c>
      <c r="B2421" s="18">
        <v>116522</v>
      </c>
      <c r="C2421" s="235" t="s">
        <v>19677</v>
      </c>
      <c r="D2421" s="236" t="s">
        <v>15298</v>
      </c>
      <c r="E2421" s="15">
        <v>3887.4</v>
      </c>
      <c r="F2421" s="237">
        <v>42904</v>
      </c>
      <c r="G2421" s="15">
        <v>3887.4</v>
      </c>
      <c r="H2421" s="15">
        <f t="shared" si="37"/>
        <v>0</v>
      </c>
      <c r="I2421" s="236" t="s">
        <v>19682</v>
      </c>
    </row>
    <row r="2422" spans="1:9" x14ac:dyDescent="0.25">
      <c r="A2422" s="36">
        <v>42904</v>
      </c>
      <c r="B2422" s="18">
        <v>116523</v>
      </c>
      <c r="C2422" s="235" t="s">
        <v>19677</v>
      </c>
      <c r="D2422" s="236" t="s">
        <v>15246</v>
      </c>
      <c r="E2422" s="15">
        <v>122785.22</v>
      </c>
      <c r="F2422" s="237">
        <v>42906</v>
      </c>
      <c r="G2422" s="15">
        <v>122785.22</v>
      </c>
      <c r="H2422" s="15">
        <f t="shared" si="37"/>
        <v>0</v>
      </c>
      <c r="I2422" s="236" t="s">
        <v>19682</v>
      </c>
    </row>
    <row r="2423" spans="1:9" x14ac:dyDescent="0.25">
      <c r="A2423" s="242">
        <v>42904</v>
      </c>
      <c r="B2423" s="18">
        <v>116524</v>
      </c>
      <c r="C2423" s="235" t="s">
        <v>19677</v>
      </c>
      <c r="D2423" s="236" t="s">
        <v>16126</v>
      </c>
      <c r="E2423" s="15">
        <v>1145.5999999999999</v>
      </c>
      <c r="F2423" s="237">
        <v>42905</v>
      </c>
      <c r="G2423" s="15">
        <v>1145.5999999999999</v>
      </c>
      <c r="H2423" s="15">
        <f t="shared" si="37"/>
        <v>0</v>
      </c>
      <c r="I2423" s="236" t="s">
        <v>19682</v>
      </c>
    </row>
    <row r="2424" spans="1:9" x14ac:dyDescent="0.25">
      <c r="A2424" s="36">
        <v>42904</v>
      </c>
      <c r="B2424" s="18">
        <v>116525</v>
      </c>
      <c r="C2424" s="235" t="s">
        <v>19677</v>
      </c>
      <c r="D2424" s="236" t="s">
        <v>15267</v>
      </c>
      <c r="E2424" s="15">
        <v>14734.2</v>
      </c>
      <c r="F2424" s="237">
        <v>42933</v>
      </c>
      <c r="G2424" s="15">
        <v>14734.2</v>
      </c>
      <c r="H2424" s="15">
        <f t="shared" si="37"/>
        <v>0</v>
      </c>
      <c r="I2424" s="236" t="s">
        <v>19682</v>
      </c>
    </row>
    <row r="2425" spans="1:9" x14ac:dyDescent="0.25">
      <c r="A2425" s="242">
        <v>42904</v>
      </c>
      <c r="B2425" s="18">
        <v>116526</v>
      </c>
      <c r="C2425" s="235" t="s">
        <v>19677</v>
      </c>
      <c r="D2425" s="236" t="s">
        <v>15642</v>
      </c>
      <c r="E2425" s="15">
        <v>1090.8</v>
      </c>
      <c r="F2425" s="237">
        <v>42905</v>
      </c>
      <c r="G2425" s="15">
        <v>1090.8</v>
      </c>
      <c r="H2425" s="15">
        <f t="shared" si="37"/>
        <v>0</v>
      </c>
      <c r="I2425" s="236" t="s">
        <v>19682</v>
      </c>
    </row>
    <row r="2426" spans="1:9" ht="15.75" x14ac:dyDescent="0.25">
      <c r="A2426" s="36">
        <v>42905</v>
      </c>
      <c r="B2426" s="18">
        <v>116527</v>
      </c>
      <c r="C2426" s="235" t="s">
        <v>19677</v>
      </c>
      <c r="D2426" s="248" t="s">
        <v>95</v>
      </c>
      <c r="E2426" s="15">
        <v>0</v>
      </c>
      <c r="F2426" s="243" t="s">
        <v>95</v>
      </c>
      <c r="G2426" s="15">
        <v>0</v>
      </c>
      <c r="H2426" s="15">
        <f t="shared" si="37"/>
        <v>0</v>
      </c>
      <c r="I2426" s="236" t="s">
        <v>19678</v>
      </c>
    </row>
    <row r="2427" spans="1:9" x14ac:dyDescent="0.25">
      <c r="A2427" s="242">
        <v>42905</v>
      </c>
      <c r="B2427" s="18">
        <v>116528</v>
      </c>
      <c r="C2427" s="235" t="s">
        <v>19677</v>
      </c>
      <c r="D2427" s="236" t="s">
        <v>15216</v>
      </c>
      <c r="E2427" s="15">
        <v>2414</v>
      </c>
      <c r="F2427" s="237">
        <v>42905</v>
      </c>
      <c r="G2427" s="15">
        <v>2414</v>
      </c>
      <c r="H2427" s="15">
        <f t="shared" si="37"/>
        <v>0</v>
      </c>
      <c r="I2427" s="236" t="s">
        <v>19682</v>
      </c>
    </row>
    <row r="2428" spans="1:9" x14ac:dyDescent="0.25">
      <c r="A2428" s="36">
        <v>42905</v>
      </c>
      <c r="B2428" s="18">
        <v>116529</v>
      </c>
      <c r="C2428" s="235" t="s">
        <v>19677</v>
      </c>
      <c r="D2428" s="236" t="s">
        <v>15213</v>
      </c>
      <c r="E2428" s="15">
        <v>10968.8</v>
      </c>
      <c r="F2428" s="237">
        <v>42907</v>
      </c>
      <c r="G2428" s="15">
        <v>10968.8</v>
      </c>
      <c r="H2428" s="15">
        <f t="shared" si="37"/>
        <v>0</v>
      </c>
      <c r="I2428" s="236" t="s">
        <v>19682</v>
      </c>
    </row>
    <row r="2429" spans="1:9" x14ac:dyDescent="0.25">
      <c r="A2429" s="242">
        <v>42905</v>
      </c>
      <c r="B2429" s="18">
        <v>116530</v>
      </c>
      <c r="C2429" s="235" t="s">
        <v>19677</v>
      </c>
      <c r="D2429" s="236" t="s">
        <v>15213</v>
      </c>
      <c r="E2429" s="15">
        <v>39213</v>
      </c>
      <c r="F2429" s="237">
        <v>42906</v>
      </c>
      <c r="G2429" s="15">
        <v>39213</v>
      </c>
      <c r="H2429" s="15">
        <f t="shared" si="37"/>
        <v>0</v>
      </c>
      <c r="I2429" s="236" t="s">
        <v>19682</v>
      </c>
    </row>
    <row r="2430" spans="1:9" x14ac:dyDescent="0.25">
      <c r="A2430" s="36">
        <v>42905</v>
      </c>
      <c r="B2430" s="18">
        <v>116531</v>
      </c>
      <c r="C2430" s="235" t="s">
        <v>19677</v>
      </c>
      <c r="D2430" s="236" t="s">
        <v>15407</v>
      </c>
      <c r="E2430" s="15">
        <v>3538.3</v>
      </c>
      <c r="F2430" s="237">
        <v>42905</v>
      </c>
      <c r="G2430" s="15">
        <v>3538.3</v>
      </c>
      <c r="H2430" s="15">
        <f t="shared" si="37"/>
        <v>0</v>
      </c>
      <c r="I2430" s="236" t="s">
        <v>19682</v>
      </c>
    </row>
    <row r="2431" spans="1:9" x14ac:dyDescent="0.25">
      <c r="A2431" s="242">
        <v>42905</v>
      </c>
      <c r="B2431" s="18">
        <v>116532</v>
      </c>
      <c r="C2431" s="235" t="s">
        <v>19677</v>
      </c>
      <c r="D2431" s="236" t="s">
        <v>15272</v>
      </c>
      <c r="E2431" s="15">
        <v>24715.200000000001</v>
      </c>
      <c r="F2431" s="237">
        <v>42905</v>
      </c>
      <c r="G2431" s="15">
        <v>24715.200000000001</v>
      </c>
      <c r="H2431" s="15">
        <f t="shared" si="37"/>
        <v>0</v>
      </c>
      <c r="I2431" s="236" t="s">
        <v>19682</v>
      </c>
    </row>
    <row r="2432" spans="1:9" x14ac:dyDescent="0.25">
      <c r="A2432" s="36">
        <v>42905</v>
      </c>
      <c r="B2432" s="18">
        <v>116533</v>
      </c>
      <c r="C2432" s="235" t="s">
        <v>19677</v>
      </c>
      <c r="D2432" s="236" t="s">
        <v>15242</v>
      </c>
      <c r="E2432" s="15">
        <v>4730</v>
      </c>
      <c r="F2432" s="237">
        <v>42905</v>
      </c>
      <c r="G2432" s="15">
        <v>4730</v>
      </c>
      <c r="H2432" s="15">
        <f t="shared" si="37"/>
        <v>0</v>
      </c>
      <c r="I2432" s="236" t="s">
        <v>19682</v>
      </c>
    </row>
    <row r="2433" spans="1:9" x14ac:dyDescent="0.25">
      <c r="A2433" s="242">
        <v>42905</v>
      </c>
      <c r="B2433" s="18">
        <v>116534</v>
      </c>
      <c r="C2433" s="235" t="s">
        <v>19677</v>
      </c>
      <c r="D2433" s="236" t="s">
        <v>15263</v>
      </c>
      <c r="E2433" s="15">
        <v>5556.9</v>
      </c>
      <c r="F2433" s="237">
        <v>42905</v>
      </c>
      <c r="G2433" s="15">
        <v>5556.9</v>
      </c>
      <c r="H2433" s="15">
        <f t="shared" si="37"/>
        <v>0</v>
      </c>
      <c r="I2433" s="236" t="s">
        <v>19682</v>
      </c>
    </row>
    <row r="2434" spans="1:9" x14ac:dyDescent="0.25">
      <c r="A2434" s="36">
        <v>42905</v>
      </c>
      <c r="B2434" s="18">
        <v>116535</v>
      </c>
      <c r="C2434" s="235" t="s">
        <v>19677</v>
      </c>
      <c r="D2434" s="236" t="s">
        <v>15394</v>
      </c>
      <c r="E2434" s="15">
        <v>16556.8</v>
      </c>
      <c r="F2434" s="237">
        <v>42908</v>
      </c>
      <c r="G2434" s="15">
        <v>16556.8</v>
      </c>
      <c r="H2434" s="15">
        <f t="shared" ref="H2434:H2497" si="38">E2434-G2434</f>
        <v>0</v>
      </c>
      <c r="I2434" s="236" t="s">
        <v>19682</v>
      </c>
    </row>
    <row r="2435" spans="1:9" x14ac:dyDescent="0.25">
      <c r="A2435" s="242">
        <v>42905</v>
      </c>
      <c r="B2435" s="18">
        <v>116536</v>
      </c>
      <c r="C2435" s="235" t="s">
        <v>19677</v>
      </c>
      <c r="D2435" s="236" t="s">
        <v>15380</v>
      </c>
      <c r="E2435" s="15">
        <v>50999</v>
      </c>
      <c r="F2435" s="266">
        <v>42927</v>
      </c>
      <c r="G2435" s="35">
        <v>50999</v>
      </c>
      <c r="H2435" s="15">
        <f t="shared" si="38"/>
        <v>0</v>
      </c>
      <c r="I2435" s="236" t="s">
        <v>19682</v>
      </c>
    </row>
    <row r="2436" spans="1:9" x14ac:dyDescent="0.25">
      <c r="A2436" s="36">
        <v>42905</v>
      </c>
      <c r="B2436" s="18">
        <v>116537</v>
      </c>
      <c r="C2436" s="235" t="s">
        <v>19677</v>
      </c>
      <c r="D2436" s="236" t="s">
        <v>15382</v>
      </c>
      <c r="E2436" s="15">
        <v>11611.8</v>
      </c>
      <c r="F2436" s="266">
        <v>42931</v>
      </c>
      <c r="G2436" s="35">
        <v>11611.8</v>
      </c>
      <c r="H2436" s="15">
        <f t="shared" si="38"/>
        <v>0</v>
      </c>
      <c r="I2436" s="236" t="s">
        <v>19682</v>
      </c>
    </row>
    <row r="2437" spans="1:9" x14ac:dyDescent="0.25">
      <c r="A2437" s="242">
        <v>42905</v>
      </c>
      <c r="B2437" s="18">
        <v>116538</v>
      </c>
      <c r="C2437" s="235" t="s">
        <v>19677</v>
      </c>
      <c r="D2437" s="236" t="s">
        <v>19549</v>
      </c>
      <c r="E2437" s="15">
        <v>12684</v>
      </c>
      <c r="F2437" s="237">
        <v>42906</v>
      </c>
      <c r="G2437" s="15">
        <v>12684</v>
      </c>
      <c r="H2437" s="15">
        <f t="shared" si="38"/>
        <v>0</v>
      </c>
      <c r="I2437" s="236" t="s">
        <v>19682</v>
      </c>
    </row>
    <row r="2438" spans="1:9" x14ac:dyDescent="0.25">
      <c r="A2438" s="36">
        <v>42905</v>
      </c>
      <c r="B2438" s="18">
        <v>116539</v>
      </c>
      <c r="C2438" s="235" t="s">
        <v>19677</v>
      </c>
      <c r="D2438" s="236" t="s">
        <v>15373</v>
      </c>
      <c r="E2438" s="15">
        <v>9846</v>
      </c>
      <c r="F2438" s="237">
        <v>42906</v>
      </c>
      <c r="G2438" s="15">
        <v>9846</v>
      </c>
      <c r="H2438" s="15">
        <f t="shared" si="38"/>
        <v>0</v>
      </c>
      <c r="I2438" s="236" t="s">
        <v>19682</v>
      </c>
    </row>
    <row r="2439" spans="1:9" x14ac:dyDescent="0.25">
      <c r="A2439" s="242">
        <v>42905</v>
      </c>
      <c r="B2439" s="18">
        <v>116540</v>
      </c>
      <c r="C2439" s="235" t="s">
        <v>19677</v>
      </c>
      <c r="D2439" s="236" t="s">
        <v>15427</v>
      </c>
      <c r="E2439" s="15">
        <v>23786.400000000001</v>
      </c>
      <c r="F2439" s="237">
        <v>42906</v>
      </c>
      <c r="G2439" s="15">
        <v>23786.400000000001</v>
      </c>
      <c r="H2439" s="15">
        <f t="shared" si="38"/>
        <v>0</v>
      </c>
      <c r="I2439" s="236" t="s">
        <v>19682</v>
      </c>
    </row>
    <row r="2440" spans="1:9" x14ac:dyDescent="0.25">
      <c r="A2440" s="36">
        <v>42905</v>
      </c>
      <c r="B2440" s="18">
        <v>116541</v>
      </c>
      <c r="C2440" s="235" t="s">
        <v>19677</v>
      </c>
      <c r="D2440" s="236" t="s">
        <v>15369</v>
      </c>
      <c r="E2440" s="15">
        <v>27253</v>
      </c>
      <c r="F2440" s="237">
        <v>42916</v>
      </c>
      <c r="G2440" s="15">
        <v>27253</v>
      </c>
      <c r="H2440" s="15">
        <f t="shared" si="38"/>
        <v>0</v>
      </c>
      <c r="I2440" s="236" t="s">
        <v>19682</v>
      </c>
    </row>
    <row r="2441" spans="1:9" x14ac:dyDescent="0.25">
      <c r="A2441" s="242">
        <v>42905</v>
      </c>
      <c r="B2441" s="18">
        <v>116542</v>
      </c>
      <c r="C2441" s="235" t="s">
        <v>19677</v>
      </c>
      <c r="D2441" s="236" t="s">
        <v>15389</v>
      </c>
      <c r="E2441" s="15">
        <v>17898.599999999999</v>
      </c>
      <c r="F2441" s="266">
        <v>42927</v>
      </c>
      <c r="G2441" s="35">
        <v>17898.599999999999</v>
      </c>
      <c r="H2441" s="15">
        <f t="shared" si="38"/>
        <v>0</v>
      </c>
      <c r="I2441" s="236" t="s">
        <v>19682</v>
      </c>
    </row>
    <row r="2442" spans="1:9" x14ac:dyDescent="0.25">
      <c r="A2442" s="36">
        <v>42905</v>
      </c>
      <c r="B2442" s="18">
        <v>116543</v>
      </c>
      <c r="C2442" s="235" t="s">
        <v>19677</v>
      </c>
      <c r="D2442" s="236" t="s">
        <v>17462</v>
      </c>
      <c r="E2442" s="15">
        <v>7644.9</v>
      </c>
      <c r="F2442" s="237">
        <v>42905</v>
      </c>
      <c r="G2442" s="15">
        <v>7644.9</v>
      </c>
      <c r="H2442" s="15">
        <f t="shared" si="38"/>
        <v>0</v>
      </c>
      <c r="I2442" s="236" t="s">
        <v>19682</v>
      </c>
    </row>
    <row r="2443" spans="1:9" ht="15.75" x14ac:dyDescent="0.25">
      <c r="A2443" s="242">
        <v>42905</v>
      </c>
      <c r="B2443" s="18">
        <v>116544</v>
      </c>
      <c r="C2443" s="235" t="s">
        <v>19677</v>
      </c>
      <c r="D2443" s="248" t="s">
        <v>95</v>
      </c>
      <c r="E2443" s="15">
        <v>0</v>
      </c>
      <c r="F2443" s="243" t="s">
        <v>95</v>
      </c>
      <c r="G2443" s="15">
        <v>0</v>
      </c>
      <c r="H2443" s="15">
        <f t="shared" si="38"/>
        <v>0</v>
      </c>
      <c r="I2443" s="236" t="s">
        <v>19678</v>
      </c>
    </row>
    <row r="2444" spans="1:9" x14ac:dyDescent="0.25">
      <c r="A2444" s="36">
        <v>42905</v>
      </c>
      <c r="B2444" s="18">
        <v>116545</v>
      </c>
      <c r="C2444" s="235" t="s">
        <v>19677</v>
      </c>
      <c r="D2444" s="236" t="s">
        <v>15315</v>
      </c>
      <c r="E2444" s="15">
        <v>2013.1</v>
      </c>
      <c r="F2444" s="237">
        <v>42905</v>
      </c>
      <c r="G2444" s="15">
        <v>2013.1</v>
      </c>
      <c r="H2444" s="15">
        <f t="shared" si="38"/>
        <v>0</v>
      </c>
      <c r="I2444" s="236" t="s">
        <v>19682</v>
      </c>
    </row>
    <row r="2445" spans="1:9" ht="15.75" x14ac:dyDescent="0.25">
      <c r="A2445" s="242">
        <v>42905</v>
      </c>
      <c r="B2445" s="18">
        <v>116546</v>
      </c>
      <c r="C2445" s="235" t="s">
        <v>19677</v>
      </c>
      <c r="D2445" s="248" t="s">
        <v>95</v>
      </c>
      <c r="E2445" s="15">
        <v>0</v>
      </c>
      <c r="F2445" s="243" t="s">
        <v>95</v>
      </c>
      <c r="G2445" s="15">
        <v>0</v>
      </c>
      <c r="H2445" s="15">
        <f t="shared" si="38"/>
        <v>0</v>
      </c>
      <c r="I2445" s="236" t="s">
        <v>19678</v>
      </c>
    </row>
    <row r="2446" spans="1:9" x14ac:dyDescent="0.25">
      <c r="A2446" s="36">
        <v>42905</v>
      </c>
      <c r="B2446" s="18">
        <v>116547</v>
      </c>
      <c r="C2446" s="235" t="s">
        <v>19677</v>
      </c>
      <c r="D2446" s="236" t="s">
        <v>15284</v>
      </c>
      <c r="E2446" s="15">
        <v>1622.8</v>
      </c>
      <c r="F2446" s="237">
        <v>42905</v>
      </c>
      <c r="G2446" s="15">
        <v>1622.8</v>
      </c>
      <c r="H2446" s="15">
        <f t="shared" si="38"/>
        <v>0</v>
      </c>
      <c r="I2446" s="236" t="s">
        <v>19682</v>
      </c>
    </row>
    <row r="2447" spans="1:9" x14ac:dyDescent="0.25">
      <c r="A2447" s="242">
        <v>42905</v>
      </c>
      <c r="B2447" s="18">
        <v>116548</v>
      </c>
      <c r="C2447" s="235" t="s">
        <v>19677</v>
      </c>
      <c r="D2447" s="236" t="s">
        <v>15223</v>
      </c>
      <c r="E2447" s="15">
        <v>47460</v>
      </c>
      <c r="F2447" s="237">
        <v>42922</v>
      </c>
      <c r="G2447" s="15">
        <v>47460</v>
      </c>
      <c r="H2447" s="15">
        <f t="shared" si="38"/>
        <v>0</v>
      </c>
      <c r="I2447" s="236" t="s">
        <v>19682</v>
      </c>
    </row>
    <row r="2448" spans="1:9" x14ac:dyDescent="0.25">
      <c r="A2448" s="36">
        <v>42905</v>
      </c>
      <c r="B2448" s="18">
        <v>116549</v>
      </c>
      <c r="C2448" s="235" t="s">
        <v>19677</v>
      </c>
      <c r="D2448" s="236" t="s">
        <v>15315</v>
      </c>
      <c r="E2448" s="15">
        <v>686.2</v>
      </c>
      <c r="F2448" s="237">
        <v>42906</v>
      </c>
      <c r="G2448" s="15">
        <v>686.2</v>
      </c>
      <c r="H2448" s="15">
        <f t="shared" si="38"/>
        <v>0</v>
      </c>
      <c r="I2448" s="236" t="s">
        <v>19682</v>
      </c>
    </row>
    <row r="2449" spans="1:9" ht="15.75" x14ac:dyDescent="0.25">
      <c r="A2449" s="242">
        <v>42905</v>
      </c>
      <c r="B2449" s="18">
        <v>116550</v>
      </c>
      <c r="C2449" s="235" t="s">
        <v>19677</v>
      </c>
      <c r="D2449" s="248" t="s">
        <v>95</v>
      </c>
      <c r="E2449" s="15">
        <v>0</v>
      </c>
      <c r="F2449" s="243" t="s">
        <v>95</v>
      </c>
      <c r="G2449" s="15">
        <v>0</v>
      </c>
      <c r="H2449" s="15">
        <f t="shared" si="38"/>
        <v>0</v>
      </c>
      <c r="I2449" s="236" t="s">
        <v>19678</v>
      </c>
    </row>
    <row r="2450" spans="1:9" x14ac:dyDescent="0.25">
      <c r="A2450" s="36">
        <v>42905</v>
      </c>
      <c r="B2450" s="18">
        <v>116551</v>
      </c>
      <c r="C2450" s="235" t="s">
        <v>19677</v>
      </c>
      <c r="D2450" s="236" t="s">
        <v>15655</v>
      </c>
      <c r="E2450" s="15">
        <v>1255.5999999999999</v>
      </c>
      <c r="F2450" s="293">
        <v>42950</v>
      </c>
      <c r="G2450" s="107">
        <v>1255.5999999999999</v>
      </c>
      <c r="H2450" s="15">
        <f t="shared" si="38"/>
        <v>0</v>
      </c>
      <c r="I2450" s="236" t="s">
        <v>19682</v>
      </c>
    </row>
    <row r="2451" spans="1:9" x14ac:dyDescent="0.25">
      <c r="A2451" s="242">
        <v>42905</v>
      </c>
      <c r="B2451" s="18">
        <v>116552</v>
      </c>
      <c r="C2451" s="235" t="s">
        <v>19677</v>
      </c>
      <c r="D2451" s="236" t="s">
        <v>15232</v>
      </c>
      <c r="E2451" s="15">
        <v>8409.6</v>
      </c>
      <c r="F2451" s="237">
        <v>42908</v>
      </c>
      <c r="G2451" s="15">
        <v>8409.6</v>
      </c>
      <c r="H2451" s="15">
        <f t="shared" si="38"/>
        <v>0</v>
      </c>
      <c r="I2451" s="236" t="s">
        <v>19682</v>
      </c>
    </row>
    <row r="2452" spans="1:9" x14ac:dyDescent="0.25">
      <c r="A2452" s="36">
        <v>42905</v>
      </c>
      <c r="B2452" s="18">
        <v>116553</v>
      </c>
      <c r="C2452" s="235" t="s">
        <v>19677</v>
      </c>
      <c r="D2452" s="236" t="s">
        <v>15238</v>
      </c>
      <c r="E2452" s="15">
        <v>6131.4</v>
      </c>
      <c r="F2452" s="237">
        <v>42907</v>
      </c>
      <c r="G2452" s="15">
        <v>6131.4</v>
      </c>
      <c r="H2452" s="15">
        <f t="shared" si="38"/>
        <v>0</v>
      </c>
      <c r="I2452" s="236" t="s">
        <v>19682</v>
      </c>
    </row>
    <row r="2453" spans="1:9" x14ac:dyDescent="0.25">
      <c r="A2453" s="242">
        <v>42905</v>
      </c>
      <c r="B2453" s="18">
        <v>116554</v>
      </c>
      <c r="C2453" s="235" t="s">
        <v>19677</v>
      </c>
      <c r="D2453" s="236" t="s">
        <v>15480</v>
      </c>
      <c r="E2453" s="15">
        <v>7591.6</v>
      </c>
      <c r="F2453" s="237">
        <v>42907</v>
      </c>
      <c r="G2453" s="15">
        <v>7591.6</v>
      </c>
      <c r="H2453" s="15">
        <f t="shared" si="38"/>
        <v>0</v>
      </c>
      <c r="I2453" s="236" t="s">
        <v>19682</v>
      </c>
    </row>
    <row r="2454" spans="1:9" x14ac:dyDescent="0.25">
      <c r="A2454" s="36">
        <v>42905</v>
      </c>
      <c r="B2454" s="18">
        <v>116555</v>
      </c>
      <c r="C2454" s="235" t="s">
        <v>19677</v>
      </c>
      <c r="D2454" s="236" t="s">
        <v>15230</v>
      </c>
      <c r="E2454" s="15">
        <v>10730.1</v>
      </c>
      <c r="F2454" s="237">
        <v>42908</v>
      </c>
      <c r="G2454" s="15">
        <v>10730.1</v>
      </c>
      <c r="H2454" s="15">
        <f t="shared" si="38"/>
        <v>0</v>
      </c>
      <c r="I2454" s="236" t="s">
        <v>19682</v>
      </c>
    </row>
    <row r="2455" spans="1:9" x14ac:dyDescent="0.25">
      <c r="A2455" s="242">
        <v>42905</v>
      </c>
      <c r="B2455" s="18">
        <v>116556</v>
      </c>
      <c r="C2455" s="235" t="s">
        <v>19677</v>
      </c>
      <c r="D2455" s="236" t="s">
        <v>5556</v>
      </c>
      <c r="E2455" s="15">
        <v>27441</v>
      </c>
      <c r="F2455" s="237">
        <v>42905</v>
      </c>
      <c r="G2455" s="15">
        <v>27441</v>
      </c>
      <c r="H2455" s="15">
        <f t="shared" si="38"/>
        <v>0</v>
      </c>
      <c r="I2455" s="236" t="s">
        <v>19682</v>
      </c>
    </row>
    <row r="2456" spans="1:9" x14ac:dyDescent="0.25">
      <c r="A2456" s="36">
        <v>42905</v>
      </c>
      <c r="B2456" s="18">
        <v>116557</v>
      </c>
      <c r="C2456" s="235" t="s">
        <v>19677</v>
      </c>
      <c r="D2456" s="236" t="s">
        <v>15668</v>
      </c>
      <c r="E2456" s="15">
        <v>26388</v>
      </c>
      <c r="F2456" s="237">
        <v>42906</v>
      </c>
      <c r="G2456" s="15">
        <v>26388</v>
      </c>
      <c r="H2456" s="15">
        <f t="shared" si="38"/>
        <v>0</v>
      </c>
      <c r="I2456" s="236" t="s">
        <v>19682</v>
      </c>
    </row>
    <row r="2457" spans="1:9" x14ac:dyDescent="0.25">
      <c r="A2457" s="242">
        <v>42905</v>
      </c>
      <c r="B2457" s="18">
        <v>116558</v>
      </c>
      <c r="C2457" s="235" t="s">
        <v>19677</v>
      </c>
      <c r="D2457" s="236" t="s">
        <v>15234</v>
      </c>
      <c r="E2457" s="15">
        <v>3648</v>
      </c>
      <c r="F2457" s="237">
        <v>42908</v>
      </c>
      <c r="G2457" s="15">
        <v>3648</v>
      </c>
      <c r="H2457" s="15">
        <f t="shared" si="38"/>
        <v>0</v>
      </c>
      <c r="I2457" s="236" t="s">
        <v>19682</v>
      </c>
    </row>
    <row r="2458" spans="1:9" x14ac:dyDescent="0.25">
      <c r="A2458" s="36">
        <v>42905</v>
      </c>
      <c r="B2458" s="18">
        <v>116559</v>
      </c>
      <c r="C2458" s="235" t="s">
        <v>19677</v>
      </c>
      <c r="D2458" s="236" t="s">
        <v>15258</v>
      </c>
      <c r="E2458" s="15">
        <v>18336</v>
      </c>
      <c r="F2458" s="237" t="s">
        <v>19751</v>
      </c>
      <c r="G2458" s="241">
        <f>3000+15336</f>
        <v>18336</v>
      </c>
      <c r="H2458" s="241">
        <f t="shared" si="38"/>
        <v>0</v>
      </c>
      <c r="I2458" s="236" t="s">
        <v>19682</v>
      </c>
    </row>
    <row r="2459" spans="1:9" x14ac:dyDescent="0.25">
      <c r="A2459" s="242">
        <v>42905</v>
      </c>
      <c r="B2459" s="18">
        <v>116560</v>
      </c>
      <c r="C2459" s="235" t="s">
        <v>19677</v>
      </c>
      <c r="D2459" s="236" t="s">
        <v>5575</v>
      </c>
      <c r="E2459" s="15">
        <v>8375</v>
      </c>
      <c r="F2459" s="237">
        <v>42909</v>
      </c>
      <c r="G2459" s="15">
        <v>8375</v>
      </c>
      <c r="H2459" s="15">
        <f t="shared" si="38"/>
        <v>0</v>
      </c>
      <c r="I2459" s="236" t="s">
        <v>19682</v>
      </c>
    </row>
    <row r="2460" spans="1:9" ht="15.75" x14ac:dyDescent="0.25">
      <c r="A2460" s="36">
        <v>42905</v>
      </c>
      <c r="B2460" s="18">
        <v>116561</v>
      </c>
      <c r="C2460" s="235" t="s">
        <v>19677</v>
      </c>
      <c r="D2460" s="248" t="s">
        <v>95</v>
      </c>
      <c r="E2460" s="15">
        <v>0</v>
      </c>
      <c r="F2460" s="243" t="s">
        <v>95</v>
      </c>
      <c r="G2460" s="15">
        <v>0</v>
      </c>
      <c r="H2460" s="15">
        <f t="shared" si="38"/>
        <v>0</v>
      </c>
      <c r="I2460" s="236" t="s">
        <v>19678</v>
      </c>
    </row>
    <row r="2461" spans="1:9" x14ac:dyDescent="0.25">
      <c r="A2461" s="242">
        <v>42905</v>
      </c>
      <c r="B2461" s="18">
        <v>116562</v>
      </c>
      <c r="C2461" s="235" t="s">
        <v>19677</v>
      </c>
      <c r="D2461" s="236" t="s">
        <v>15236</v>
      </c>
      <c r="E2461" s="15">
        <v>3344</v>
      </c>
      <c r="F2461" s="237">
        <v>42907</v>
      </c>
      <c r="G2461" s="15">
        <v>3344</v>
      </c>
      <c r="H2461" s="15">
        <f t="shared" si="38"/>
        <v>0</v>
      </c>
      <c r="I2461" s="236" t="s">
        <v>19682</v>
      </c>
    </row>
    <row r="2462" spans="1:9" x14ac:dyDescent="0.25">
      <c r="A2462" s="36">
        <v>42905</v>
      </c>
      <c r="B2462" s="18">
        <v>116563</v>
      </c>
      <c r="C2462" s="235" t="s">
        <v>19677</v>
      </c>
      <c r="D2462" s="236" t="s">
        <v>15256</v>
      </c>
      <c r="E2462" s="15">
        <v>4985</v>
      </c>
      <c r="F2462" s="237">
        <v>42906</v>
      </c>
      <c r="G2462" s="15">
        <v>4985</v>
      </c>
      <c r="H2462" s="15">
        <f t="shared" si="38"/>
        <v>0</v>
      </c>
      <c r="I2462" s="236" t="s">
        <v>19682</v>
      </c>
    </row>
    <row r="2463" spans="1:9" x14ac:dyDescent="0.25">
      <c r="A2463" s="242">
        <v>42905</v>
      </c>
      <c r="B2463" s="18">
        <v>116564</v>
      </c>
      <c r="C2463" s="235" t="s">
        <v>19677</v>
      </c>
      <c r="D2463" s="236" t="s">
        <v>15226</v>
      </c>
      <c r="E2463" s="15">
        <v>1467.4</v>
      </c>
      <c r="F2463" s="237">
        <v>42907</v>
      </c>
      <c r="G2463" s="15">
        <v>1467.4</v>
      </c>
      <c r="H2463" s="15">
        <f t="shared" si="38"/>
        <v>0</v>
      </c>
      <c r="I2463" s="236" t="s">
        <v>19682</v>
      </c>
    </row>
    <row r="2464" spans="1:9" x14ac:dyDescent="0.25">
      <c r="A2464" s="36">
        <v>42905</v>
      </c>
      <c r="B2464" s="18">
        <v>116565</v>
      </c>
      <c r="C2464" s="235" t="s">
        <v>19677</v>
      </c>
      <c r="D2464" s="236" t="s">
        <v>15350</v>
      </c>
      <c r="E2464" s="15">
        <v>685.4</v>
      </c>
      <c r="F2464" s="237">
        <v>42905</v>
      </c>
      <c r="G2464" s="15">
        <v>685.4</v>
      </c>
      <c r="H2464" s="15">
        <f t="shared" si="38"/>
        <v>0</v>
      </c>
      <c r="I2464" s="236" t="s">
        <v>19682</v>
      </c>
    </row>
    <row r="2465" spans="1:9" x14ac:dyDescent="0.25">
      <c r="A2465" s="242">
        <v>42905</v>
      </c>
      <c r="B2465" s="18">
        <v>116566</v>
      </c>
      <c r="C2465" s="235" t="s">
        <v>19677</v>
      </c>
      <c r="D2465" s="236" t="s">
        <v>15732</v>
      </c>
      <c r="E2465" s="15">
        <v>893</v>
      </c>
      <c r="F2465" s="237">
        <v>42905</v>
      </c>
      <c r="G2465" s="15">
        <v>893</v>
      </c>
      <c r="H2465" s="15">
        <f t="shared" si="38"/>
        <v>0</v>
      </c>
      <c r="I2465" s="236" t="s">
        <v>19682</v>
      </c>
    </row>
    <row r="2466" spans="1:9" x14ac:dyDescent="0.25">
      <c r="A2466" s="36">
        <v>42905</v>
      </c>
      <c r="B2466" s="18">
        <v>116567</v>
      </c>
      <c r="C2466" s="235" t="s">
        <v>19677</v>
      </c>
      <c r="D2466" s="236" t="s">
        <v>15344</v>
      </c>
      <c r="E2466" s="15">
        <v>1837.7</v>
      </c>
      <c r="F2466" s="237">
        <v>42905</v>
      </c>
      <c r="G2466" s="15">
        <v>1837.7</v>
      </c>
      <c r="H2466" s="15">
        <f t="shared" si="38"/>
        <v>0</v>
      </c>
      <c r="I2466" s="236" t="s">
        <v>19682</v>
      </c>
    </row>
    <row r="2467" spans="1:9" x14ac:dyDescent="0.25">
      <c r="A2467" s="242">
        <v>42905</v>
      </c>
      <c r="B2467" s="18">
        <v>116568</v>
      </c>
      <c r="C2467" s="235" t="s">
        <v>19677</v>
      </c>
      <c r="D2467" s="236" t="s">
        <v>15742</v>
      </c>
      <c r="E2467" s="15">
        <v>2389.3000000000002</v>
      </c>
      <c r="F2467" s="237">
        <v>42905</v>
      </c>
      <c r="G2467" s="15">
        <v>2389.3000000000002</v>
      </c>
      <c r="H2467" s="15">
        <f t="shared" si="38"/>
        <v>0</v>
      </c>
      <c r="I2467" s="236" t="s">
        <v>19682</v>
      </c>
    </row>
    <row r="2468" spans="1:9" x14ac:dyDescent="0.25">
      <c r="A2468" s="36">
        <v>42905</v>
      </c>
      <c r="B2468" s="18">
        <v>116569</v>
      </c>
      <c r="C2468" s="235" t="s">
        <v>19677</v>
      </c>
      <c r="D2468" s="236" t="s">
        <v>15280</v>
      </c>
      <c r="E2468" s="15">
        <v>5720.2</v>
      </c>
      <c r="F2468" s="237">
        <v>42905</v>
      </c>
      <c r="G2468" s="15">
        <v>5720.2</v>
      </c>
      <c r="H2468" s="15">
        <f t="shared" si="38"/>
        <v>0</v>
      </c>
      <c r="I2468" s="236" t="s">
        <v>19682</v>
      </c>
    </row>
    <row r="2469" spans="1:9" x14ac:dyDescent="0.25">
      <c r="A2469" s="242">
        <v>42905</v>
      </c>
      <c r="B2469" s="18">
        <v>116570</v>
      </c>
      <c r="C2469" s="235" t="s">
        <v>19677</v>
      </c>
      <c r="D2469" s="236" t="s">
        <v>15340</v>
      </c>
      <c r="E2469" s="15">
        <v>3837.7</v>
      </c>
      <c r="F2469" s="237">
        <v>42905</v>
      </c>
      <c r="G2469" s="15">
        <v>3837.7</v>
      </c>
      <c r="H2469" s="15">
        <f t="shared" si="38"/>
        <v>0</v>
      </c>
      <c r="I2469" s="236" t="s">
        <v>19682</v>
      </c>
    </row>
    <row r="2470" spans="1:9" x14ac:dyDescent="0.25">
      <c r="A2470" s="36">
        <v>42905</v>
      </c>
      <c r="B2470" s="18">
        <v>116571</v>
      </c>
      <c r="C2470" s="235" t="s">
        <v>19677</v>
      </c>
      <c r="D2470" s="236" t="s">
        <v>15240</v>
      </c>
      <c r="E2470" s="15">
        <v>3430</v>
      </c>
      <c r="F2470" s="237">
        <v>42906</v>
      </c>
      <c r="G2470" s="15">
        <v>3430</v>
      </c>
      <c r="H2470" s="15">
        <f t="shared" si="38"/>
        <v>0</v>
      </c>
      <c r="I2470" s="236" t="s">
        <v>19682</v>
      </c>
    </row>
    <row r="2471" spans="1:9" x14ac:dyDescent="0.25">
      <c r="A2471" s="242">
        <v>42905</v>
      </c>
      <c r="B2471" s="18">
        <v>116572</v>
      </c>
      <c r="C2471" s="235" t="s">
        <v>19677</v>
      </c>
      <c r="D2471" s="236" t="s">
        <v>15356</v>
      </c>
      <c r="E2471" s="15">
        <v>3230</v>
      </c>
      <c r="F2471" s="237">
        <v>42905</v>
      </c>
      <c r="G2471" s="15">
        <v>3230</v>
      </c>
      <c r="H2471" s="15">
        <f t="shared" si="38"/>
        <v>0</v>
      </c>
      <c r="I2471" s="236" t="s">
        <v>19682</v>
      </c>
    </row>
    <row r="2472" spans="1:9" x14ac:dyDescent="0.25">
      <c r="A2472" s="36">
        <v>42905</v>
      </c>
      <c r="B2472" s="18">
        <v>116573</v>
      </c>
      <c r="C2472" s="235" t="s">
        <v>19677</v>
      </c>
      <c r="D2472" s="236" t="s">
        <v>15298</v>
      </c>
      <c r="E2472" s="15">
        <v>15528.1</v>
      </c>
      <c r="F2472" s="237">
        <v>42912</v>
      </c>
      <c r="G2472" s="15">
        <v>15528.1</v>
      </c>
      <c r="H2472" s="15">
        <f t="shared" si="38"/>
        <v>0</v>
      </c>
      <c r="I2472" s="236" t="s">
        <v>19682</v>
      </c>
    </row>
    <row r="2473" spans="1:9" x14ac:dyDescent="0.25">
      <c r="A2473" s="242">
        <v>42905</v>
      </c>
      <c r="B2473" s="18">
        <v>116574</v>
      </c>
      <c r="C2473" s="235" t="s">
        <v>19677</v>
      </c>
      <c r="D2473" s="236" t="s">
        <v>15282</v>
      </c>
      <c r="E2473" s="15">
        <v>2465.6</v>
      </c>
      <c r="F2473" s="237">
        <v>42905</v>
      </c>
      <c r="G2473" s="15">
        <v>2465.6</v>
      </c>
      <c r="H2473" s="15">
        <f t="shared" si="38"/>
        <v>0</v>
      </c>
      <c r="I2473" s="236" t="s">
        <v>19682</v>
      </c>
    </row>
    <row r="2474" spans="1:9" x14ac:dyDescent="0.25">
      <c r="A2474" s="36">
        <v>42905</v>
      </c>
      <c r="B2474" s="18">
        <v>116575</v>
      </c>
      <c r="C2474" s="235" t="s">
        <v>19677</v>
      </c>
      <c r="D2474" s="236" t="s">
        <v>15332</v>
      </c>
      <c r="E2474" s="15">
        <v>5395</v>
      </c>
      <c r="F2474" s="237">
        <v>42905</v>
      </c>
      <c r="G2474" s="15">
        <v>5395</v>
      </c>
      <c r="H2474" s="15">
        <f t="shared" si="38"/>
        <v>0</v>
      </c>
      <c r="I2474" s="236" t="s">
        <v>19682</v>
      </c>
    </row>
    <row r="2475" spans="1:9" x14ac:dyDescent="0.25">
      <c r="A2475" s="242">
        <v>42905</v>
      </c>
      <c r="B2475" s="18">
        <v>116576</v>
      </c>
      <c r="C2475" s="235" t="s">
        <v>19677</v>
      </c>
      <c r="D2475" s="236" t="s">
        <v>15398</v>
      </c>
      <c r="E2475" s="15">
        <v>3452.9</v>
      </c>
      <c r="F2475" s="237">
        <v>42905</v>
      </c>
      <c r="G2475" s="15">
        <v>3452.9</v>
      </c>
      <c r="H2475" s="15">
        <f t="shared" si="38"/>
        <v>0</v>
      </c>
      <c r="I2475" s="236" t="s">
        <v>19682</v>
      </c>
    </row>
    <row r="2476" spans="1:9" x14ac:dyDescent="0.25">
      <c r="A2476" s="36">
        <v>42905</v>
      </c>
      <c r="B2476" s="18">
        <v>116577</v>
      </c>
      <c r="C2476" s="235" t="s">
        <v>19677</v>
      </c>
      <c r="D2476" s="236" t="s">
        <v>15387</v>
      </c>
      <c r="E2476" s="15">
        <v>1894.4</v>
      </c>
      <c r="F2476" s="237">
        <v>42906</v>
      </c>
      <c r="G2476" s="15">
        <v>1894.4</v>
      </c>
      <c r="H2476" s="15">
        <f t="shared" si="38"/>
        <v>0</v>
      </c>
      <c r="I2476" s="236" t="s">
        <v>19682</v>
      </c>
    </row>
    <row r="2477" spans="1:9" x14ac:dyDescent="0.25">
      <c r="A2477" s="242">
        <v>42905</v>
      </c>
      <c r="B2477" s="18">
        <v>116578</v>
      </c>
      <c r="C2477" s="235" t="s">
        <v>19677</v>
      </c>
      <c r="D2477" s="236" t="s">
        <v>18544</v>
      </c>
      <c r="E2477" s="15">
        <v>6398.8</v>
      </c>
      <c r="F2477" s="237">
        <v>42905</v>
      </c>
      <c r="G2477" s="15">
        <v>6398.8</v>
      </c>
      <c r="H2477" s="15">
        <f t="shared" si="38"/>
        <v>0</v>
      </c>
      <c r="I2477" s="236" t="s">
        <v>19682</v>
      </c>
    </row>
    <row r="2478" spans="1:9" x14ac:dyDescent="0.25">
      <c r="A2478" s="36">
        <v>42905</v>
      </c>
      <c r="B2478" s="18">
        <v>116579</v>
      </c>
      <c r="C2478" s="235" t="s">
        <v>19677</v>
      </c>
      <c r="D2478" s="236" t="s">
        <v>15326</v>
      </c>
      <c r="E2478" s="15">
        <v>1325.2</v>
      </c>
      <c r="F2478" s="237">
        <v>42905</v>
      </c>
      <c r="G2478" s="15">
        <v>1325.2</v>
      </c>
      <c r="H2478" s="15">
        <f t="shared" si="38"/>
        <v>0</v>
      </c>
      <c r="I2478" s="236" t="s">
        <v>19682</v>
      </c>
    </row>
    <row r="2479" spans="1:9" x14ac:dyDescent="0.25">
      <c r="A2479" s="242">
        <v>42905</v>
      </c>
      <c r="B2479" s="18">
        <v>116580</v>
      </c>
      <c r="C2479" s="235" t="s">
        <v>19677</v>
      </c>
      <c r="D2479" s="236" t="s">
        <v>15278</v>
      </c>
      <c r="E2479" s="15">
        <v>11714.7</v>
      </c>
      <c r="F2479" s="237">
        <v>42905</v>
      </c>
      <c r="G2479" s="15">
        <v>11714.7</v>
      </c>
      <c r="H2479" s="15">
        <f t="shared" si="38"/>
        <v>0</v>
      </c>
      <c r="I2479" s="236" t="s">
        <v>19682</v>
      </c>
    </row>
    <row r="2480" spans="1:9" x14ac:dyDescent="0.25">
      <c r="A2480" s="36">
        <v>42905</v>
      </c>
      <c r="B2480" s="18">
        <v>116581</v>
      </c>
      <c r="C2480" s="235" t="s">
        <v>19677</v>
      </c>
      <c r="D2480" s="236" t="s">
        <v>15354</v>
      </c>
      <c r="E2480" s="15">
        <v>2482</v>
      </c>
      <c r="F2480" s="237">
        <v>42905</v>
      </c>
      <c r="G2480" s="15">
        <v>2482</v>
      </c>
      <c r="H2480" s="15">
        <f t="shared" si="38"/>
        <v>0</v>
      </c>
      <c r="I2480" s="236" t="s">
        <v>19682</v>
      </c>
    </row>
    <row r="2481" spans="1:9" x14ac:dyDescent="0.25">
      <c r="A2481" s="242">
        <v>42905</v>
      </c>
      <c r="B2481" s="18">
        <v>116582</v>
      </c>
      <c r="C2481" s="235" t="s">
        <v>19677</v>
      </c>
      <c r="D2481" s="236" t="s">
        <v>15396</v>
      </c>
      <c r="E2481" s="15">
        <v>8590.7999999999993</v>
      </c>
      <c r="F2481" s="237">
        <v>42905</v>
      </c>
      <c r="G2481" s="15">
        <v>8590.7999999999993</v>
      </c>
      <c r="H2481" s="15">
        <f t="shared" si="38"/>
        <v>0</v>
      </c>
      <c r="I2481" s="236" t="s">
        <v>19682</v>
      </c>
    </row>
    <row r="2482" spans="1:9" x14ac:dyDescent="0.25">
      <c r="A2482" s="36">
        <v>42905</v>
      </c>
      <c r="B2482" s="18">
        <v>116583</v>
      </c>
      <c r="C2482" s="235" t="s">
        <v>19677</v>
      </c>
      <c r="D2482" s="236" t="s">
        <v>15289</v>
      </c>
      <c r="E2482" s="15">
        <v>871.8</v>
      </c>
      <c r="F2482" s="237">
        <v>42905</v>
      </c>
      <c r="G2482" s="15">
        <v>871.8</v>
      </c>
      <c r="H2482" s="15">
        <f t="shared" si="38"/>
        <v>0</v>
      </c>
      <c r="I2482" s="236" t="s">
        <v>19682</v>
      </c>
    </row>
    <row r="2483" spans="1:9" x14ac:dyDescent="0.25">
      <c r="A2483" s="242">
        <v>42905</v>
      </c>
      <c r="B2483" s="18">
        <v>116584</v>
      </c>
      <c r="C2483" s="235" t="s">
        <v>19677</v>
      </c>
      <c r="D2483" s="236" t="s">
        <v>17057</v>
      </c>
      <c r="E2483" s="15">
        <v>1580.4</v>
      </c>
      <c r="F2483" s="237">
        <v>42905</v>
      </c>
      <c r="G2483" s="15">
        <v>1580.4</v>
      </c>
      <c r="H2483" s="15">
        <f t="shared" si="38"/>
        <v>0</v>
      </c>
      <c r="I2483" s="236" t="s">
        <v>19682</v>
      </c>
    </row>
    <row r="2484" spans="1:9" x14ac:dyDescent="0.25">
      <c r="A2484" s="36">
        <v>42905</v>
      </c>
      <c r="B2484" s="18">
        <v>116585</v>
      </c>
      <c r="C2484" s="235" t="s">
        <v>19677</v>
      </c>
      <c r="D2484" s="236" t="s">
        <v>15510</v>
      </c>
      <c r="E2484" s="15">
        <v>7609.6</v>
      </c>
      <c r="F2484" s="237">
        <v>42905</v>
      </c>
      <c r="G2484" s="15">
        <v>7609.6</v>
      </c>
      <c r="H2484" s="15">
        <f t="shared" si="38"/>
        <v>0</v>
      </c>
      <c r="I2484" s="236" t="s">
        <v>19682</v>
      </c>
    </row>
    <row r="2485" spans="1:9" x14ac:dyDescent="0.25">
      <c r="A2485" s="242">
        <v>42905</v>
      </c>
      <c r="B2485" s="18">
        <v>116586</v>
      </c>
      <c r="C2485" s="235" t="s">
        <v>19677</v>
      </c>
      <c r="D2485" s="236" t="s">
        <v>15220</v>
      </c>
      <c r="E2485" s="15">
        <v>2300</v>
      </c>
      <c r="F2485" s="237">
        <v>42906</v>
      </c>
      <c r="G2485" s="15">
        <v>2300</v>
      </c>
      <c r="H2485" s="15">
        <f t="shared" si="38"/>
        <v>0</v>
      </c>
      <c r="I2485" s="236" t="s">
        <v>19682</v>
      </c>
    </row>
    <row r="2486" spans="1:9" x14ac:dyDescent="0.25">
      <c r="A2486" s="36">
        <v>42905</v>
      </c>
      <c r="B2486" s="18">
        <v>116587</v>
      </c>
      <c r="C2486" s="235" t="s">
        <v>19677</v>
      </c>
      <c r="D2486" s="236" t="s">
        <v>15562</v>
      </c>
      <c r="E2486" s="15">
        <v>3610.8</v>
      </c>
      <c r="F2486" s="237">
        <v>42905</v>
      </c>
      <c r="G2486" s="15">
        <v>3610.8</v>
      </c>
      <c r="H2486" s="15">
        <f t="shared" si="38"/>
        <v>0</v>
      </c>
      <c r="I2486" s="236" t="s">
        <v>19682</v>
      </c>
    </row>
    <row r="2487" spans="1:9" x14ac:dyDescent="0.25">
      <c r="A2487" s="242">
        <v>42905</v>
      </c>
      <c r="B2487" s="18">
        <v>116588</v>
      </c>
      <c r="C2487" s="235" t="s">
        <v>19677</v>
      </c>
      <c r="D2487" s="236" t="s">
        <v>15378</v>
      </c>
      <c r="E2487" s="15">
        <v>6592.4</v>
      </c>
      <c r="F2487" s="237">
        <v>42912</v>
      </c>
      <c r="G2487" s="15">
        <v>6592.4</v>
      </c>
      <c r="H2487" s="15">
        <f t="shared" si="38"/>
        <v>0</v>
      </c>
      <c r="I2487" s="236" t="s">
        <v>19682</v>
      </c>
    </row>
    <row r="2488" spans="1:9" x14ac:dyDescent="0.25">
      <c r="A2488" s="36">
        <v>42905</v>
      </c>
      <c r="B2488" s="18">
        <v>116589</v>
      </c>
      <c r="C2488" s="235" t="s">
        <v>19677</v>
      </c>
      <c r="D2488" s="236" t="s">
        <v>15530</v>
      </c>
      <c r="E2488" s="15">
        <v>3478.2</v>
      </c>
      <c r="F2488" s="237">
        <v>42905</v>
      </c>
      <c r="G2488" s="15">
        <v>3478.2</v>
      </c>
      <c r="H2488" s="15">
        <f t="shared" si="38"/>
        <v>0</v>
      </c>
      <c r="I2488" s="236" t="s">
        <v>19682</v>
      </c>
    </row>
    <row r="2489" spans="1:9" x14ac:dyDescent="0.25">
      <c r="A2489" s="242">
        <v>42905</v>
      </c>
      <c r="B2489" s="18">
        <v>116590</v>
      </c>
      <c r="C2489" s="235" t="s">
        <v>19677</v>
      </c>
      <c r="D2489" s="236" t="s">
        <v>15244</v>
      </c>
      <c r="E2489" s="15">
        <v>15178.8</v>
      </c>
      <c r="F2489" s="237">
        <v>42909</v>
      </c>
      <c r="G2489" s="15">
        <v>15178.8</v>
      </c>
      <c r="H2489" s="15">
        <f t="shared" si="38"/>
        <v>0</v>
      </c>
      <c r="I2489" s="236" t="s">
        <v>19682</v>
      </c>
    </row>
    <row r="2490" spans="1:9" ht="15.75" x14ac:dyDescent="0.25">
      <c r="A2490" s="36">
        <v>42905</v>
      </c>
      <c r="B2490" s="18">
        <v>116591</v>
      </c>
      <c r="C2490" s="235" t="s">
        <v>19677</v>
      </c>
      <c r="D2490" s="248" t="s">
        <v>95</v>
      </c>
      <c r="E2490" s="15">
        <v>0</v>
      </c>
      <c r="F2490" s="243" t="s">
        <v>95</v>
      </c>
      <c r="G2490" s="15">
        <v>0</v>
      </c>
      <c r="H2490" s="15">
        <f t="shared" si="38"/>
        <v>0</v>
      </c>
      <c r="I2490" s="236" t="s">
        <v>19678</v>
      </c>
    </row>
    <row r="2491" spans="1:9" x14ac:dyDescent="0.25">
      <c r="A2491" s="242">
        <v>42905</v>
      </c>
      <c r="B2491" s="18">
        <v>116592</v>
      </c>
      <c r="C2491" s="235" t="s">
        <v>19677</v>
      </c>
      <c r="D2491" s="236" t="s">
        <v>15252</v>
      </c>
      <c r="E2491" s="15">
        <v>6115.4</v>
      </c>
      <c r="F2491" s="237">
        <v>42909</v>
      </c>
      <c r="G2491" s="15">
        <v>6115.4</v>
      </c>
      <c r="H2491" s="15">
        <f t="shared" si="38"/>
        <v>0</v>
      </c>
      <c r="I2491" s="236" t="s">
        <v>19682</v>
      </c>
    </row>
    <row r="2492" spans="1:9" x14ac:dyDescent="0.25">
      <c r="A2492" s="36">
        <v>42905</v>
      </c>
      <c r="B2492" s="18">
        <v>116593</v>
      </c>
      <c r="C2492" s="235" t="s">
        <v>19677</v>
      </c>
      <c r="D2492" s="236" t="s">
        <v>17430</v>
      </c>
      <c r="E2492" s="15">
        <v>3792.5</v>
      </c>
      <c r="F2492" s="237">
        <v>42905</v>
      </c>
      <c r="G2492" s="15">
        <v>3792.5</v>
      </c>
      <c r="H2492" s="15">
        <f t="shared" si="38"/>
        <v>0</v>
      </c>
      <c r="I2492" s="236" t="s">
        <v>19682</v>
      </c>
    </row>
    <row r="2493" spans="1:9" x14ac:dyDescent="0.25">
      <c r="A2493" s="242">
        <v>42905</v>
      </c>
      <c r="B2493" s="18">
        <v>116594</v>
      </c>
      <c r="C2493" s="235" t="s">
        <v>19677</v>
      </c>
      <c r="D2493" s="236" t="s">
        <v>15363</v>
      </c>
      <c r="E2493" s="15">
        <v>6803.4</v>
      </c>
      <c r="F2493" s="237">
        <v>42906</v>
      </c>
      <c r="G2493" s="15">
        <v>6803.4</v>
      </c>
      <c r="H2493" s="15">
        <f t="shared" si="38"/>
        <v>0</v>
      </c>
      <c r="I2493" s="236" t="s">
        <v>19682</v>
      </c>
    </row>
    <row r="2494" spans="1:9" x14ac:dyDescent="0.25">
      <c r="A2494" s="36">
        <v>42905</v>
      </c>
      <c r="B2494" s="18">
        <v>116595</v>
      </c>
      <c r="C2494" s="235" t="s">
        <v>19677</v>
      </c>
      <c r="D2494" s="236" t="s">
        <v>15315</v>
      </c>
      <c r="E2494" s="15">
        <v>1729.6</v>
      </c>
      <c r="F2494" s="237">
        <v>42905</v>
      </c>
      <c r="G2494" s="15">
        <v>1729.6</v>
      </c>
      <c r="H2494" s="15">
        <f t="shared" si="38"/>
        <v>0</v>
      </c>
      <c r="I2494" s="236" t="s">
        <v>19682</v>
      </c>
    </row>
    <row r="2495" spans="1:9" x14ac:dyDescent="0.25">
      <c r="A2495" s="242">
        <v>42905</v>
      </c>
      <c r="B2495" s="18">
        <v>116596</v>
      </c>
      <c r="C2495" s="235" t="s">
        <v>19677</v>
      </c>
      <c r="D2495" s="236" t="s">
        <v>15286</v>
      </c>
      <c r="E2495" s="15">
        <v>5904</v>
      </c>
      <c r="F2495" s="237">
        <v>42905</v>
      </c>
      <c r="G2495" s="15">
        <v>5904</v>
      </c>
      <c r="H2495" s="15">
        <f t="shared" si="38"/>
        <v>0</v>
      </c>
      <c r="I2495" s="236" t="s">
        <v>19682</v>
      </c>
    </row>
    <row r="2496" spans="1:9" x14ac:dyDescent="0.25">
      <c r="A2496" s="36">
        <v>42905</v>
      </c>
      <c r="B2496" s="18">
        <v>116597</v>
      </c>
      <c r="C2496" s="235" t="s">
        <v>19677</v>
      </c>
      <c r="D2496" s="236" t="s">
        <v>15315</v>
      </c>
      <c r="E2496" s="15">
        <v>5520</v>
      </c>
      <c r="F2496" s="237">
        <v>42905</v>
      </c>
      <c r="G2496" s="15">
        <v>5520</v>
      </c>
      <c r="H2496" s="15">
        <f t="shared" si="38"/>
        <v>0</v>
      </c>
      <c r="I2496" s="236" t="s">
        <v>19682</v>
      </c>
    </row>
    <row r="2497" spans="1:9" x14ac:dyDescent="0.25">
      <c r="A2497" s="242">
        <v>42905</v>
      </c>
      <c r="B2497" s="18">
        <v>116598</v>
      </c>
      <c r="C2497" s="235" t="s">
        <v>19677</v>
      </c>
      <c r="D2497" s="236" t="s">
        <v>15291</v>
      </c>
      <c r="E2497" s="15">
        <v>552</v>
      </c>
      <c r="F2497" s="237">
        <v>42905</v>
      </c>
      <c r="G2497" s="15">
        <v>552</v>
      </c>
      <c r="H2497" s="15">
        <f t="shared" si="38"/>
        <v>0</v>
      </c>
      <c r="I2497" s="236" t="s">
        <v>19682</v>
      </c>
    </row>
    <row r="2498" spans="1:9" x14ac:dyDescent="0.25">
      <c r="A2498" s="36">
        <v>42905</v>
      </c>
      <c r="B2498" s="18">
        <v>116599</v>
      </c>
      <c r="C2498" s="235" t="s">
        <v>19677</v>
      </c>
      <c r="D2498" s="236" t="s">
        <v>15324</v>
      </c>
      <c r="E2498" s="15">
        <v>2360</v>
      </c>
      <c r="F2498" s="237">
        <v>42905</v>
      </c>
      <c r="G2498" s="15">
        <v>2360</v>
      </c>
      <c r="H2498" s="15">
        <f t="shared" ref="H2498:H2561" si="39">E2498-G2498</f>
        <v>0</v>
      </c>
      <c r="I2498" s="236" t="s">
        <v>19682</v>
      </c>
    </row>
    <row r="2499" spans="1:9" x14ac:dyDescent="0.25">
      <c r="A2499" s="242">
        <v>42905</v>
      </c>
      <c r="B2499" s="18">
        <v>116600</v>
      </c>
      <c r="C2499" s="235" t="s">
        <v>19677</v>
      </c>
      <c r="D2499" s="236" t="s">
        <v>15317</v>
      </c>
      <c r="E2499" s="15">
        <v>1392.3</v>
      </c>
      <c r="F2499" s="237">
        <v>42907</v>
      </c>
      <c r="G2499" s="15">
        <v>1392.3</v>
      </c>
      <c r="H2499" s="15">
        <f t="shared" si="39"/>
        <v>0</v>
      </c>
      <c r="I2499" s="236" t="s">
        <v>19682</v>
      </c>
    </row>
    <row r="2500" spans="1:9" x14ac:dyDescent="0.25">
      <c r="A2500" s="36">
        <v>42905</v>
      </c>
      <c r="B2500" s="18">
        <v>116601</v>
      </c>
      <c r="C2500" s="235" t="s">
        <v>19677</v>
      </c>
      <c r="D2500" s="236" t="s">
        <v>15583</v>
      </c>
      <c r="E2500" s="15">
        <v>1331.1</v>
      </c>
      <c r="F2500" s="237">
        <v>42912</v>
      </c>
      <c r="G2500" s="15">
        <v>1331.1</v>
      </c>
      <c r="H2500" s="15">
        <f t="shared" si="39"/>
        <v>0</v>
      </c>
      <c r="I2500" s="236" t="s">
        <v>19682</v>
      </c>
    </row>
    <row r="2501" spans="1:9" x14ac:dyDescent="0.25">
      <c r="A2501" s="242">
        <v>42905</v>
      </c>
      <c r="B2501" s="18">
        <v>116602</v>
      </c>
      <c r="C2501" s="235" t="s">
        <v>19677</v>
      </c>
      <c r="D2501" s="236" t="s">
        <v>15415</v>
      </c>
      <c r="E2501" s="15">
        <v>495.3</v>
      </c>
      <c r="F2501" s="237">
        <v>42910</v>
      </c>
      <c r="G2501" s="15">
        <v>495.3</v>
      </c>
      <c r="H2501" s="15">
        <f t="shared" si="39"/>
        <v>0</v>
      </c>
      <c r="I2501" s="236" t="s">
        <v>19682</v>
      </c>
    </row>
    <row r="2502" spans="1:9" x14ac:dyDescent="0.25">
      <c r="A2502" s="36">
        <v>42905</v>
      </c>
      <c r="B2502" s="18">
        <v>116603</v>
      </c>
      <c r="C2502" s="235" t="s">
        <v>19677</v>
      </c>
      <c r="D2502" s="236" t="s">
        <v>15305</v>
      </c>
      <c r="E2502" s="15">
        <v>1803.6</v>
      </c>
      <c r="F2502" s="237">
        <v>42905</v>
      </c>
      <c r="G2502" s="15">
        <v>1803.6</v>
      </c>
      <c r="H2502" s="15">
        <f t="shared" si="39"/>
        <v>0</v>
      </c>
      <c r="I2502" s="236" t="s">
        <v>19682</v>
      </c>
    </row>
    <row r="2503" spans="1:9" x14ac:dyDescent="0.25">
      <c r="A2503" s="242">
        <v>42905</v>
      </c>
      <c r="B2503" s="18">
        <v>116604</v>
      </c>
      <c r="C2503" s="235" t="s">
        <v>19677</v>
      </c>
      <c r="D2503" s="236" t="s">
        <v>15566</v>
      </c>
      <c r="E2503" s="15">
        <v>3320</v>
      </c>
      <c r="F2503" s="237">
        <v>42905</v>
      </c>
      <c r="G2503" s="15">
        <v>3320</v>
      </c>
      <c r="H2503" s="15">
        <f t="shared" si="39"/>
        <v>0</v>
      </c>
      <c r="I2503" s="236" t="s">
        <v>19682</v>
      </c>
    </row>
    <row r="2504" spans="1:9" x14ac:dyDescent="0.25">
      <c r="A2504" s="36">
        <v>42905</v>
      </c>
      <c r="B2504" s="18">
        <v>116605</v>
      </c>
      <c r="C2504" s="235" t="s">
        <v>19677</v>
      </c>
      <c r="D2504" s="236" t="s">
        <v>15309</v>
      </c>
      <c r="E2504" s="15">
        <v>7412</v>
      </c>
      <c r="F2504" s="237">
        <v>42907</v>
      </c>
      <c r="G2504" s="15">
        <v>7412</v>
      </c>
      <c r="H2504" s="15">
        <f t="shared" si="39"/>
        <v>0</v>
      </c>
      <c r="I2504" s="236" t="s">
        <v>19682</v>
      </c>
    </row>
    <row r="2505" spans="1:9" x14ac:dyDescent="0.25">
      <c r="A2505" s="242">
        <v>42905</v>
      </c>
      <c r="B2505" s="18">
        <v>116606</v>
      </c>
      <c r="C2505" s="235" t="s">
        <v>19677</v>
      </c>
      <c r="D2505" s="236" t="s">
        <v>15246</v>
      </c>
      <c r="E2505" s="15">
        <v>11045.4</v>
      </c>
      <c r="F2505" s="237" t="s">
        <v>19752</v>
      </c>
      <c r="G2505" s="15">
        <f>9530.48+1514.92</f>
        <v>11045.4</v>
      </c>
      <c r="H2505" s="15">
        <f t="shared" si="39"/>
        <v>0</v>
      </c>
      <c r="I2505" s="236" t="s">
        <v>19682</v>
      </c>
    </row>
    <row r="2506" spans="1:9" x14ac:dyDescent="0.25">
      <c r="A2506" s="36">
        <v>42905</v>
      </c>
      <c r="B2506" s="18">
        <v>116607</v>
      </c>
      <c r="C2506" s="235" t="s">
        <v>19677</v>
      </c>
      <c r="D2506" s="236" t="s">
        <v>15376</v>
      </c>
      <c r="E2506" s="15">
        <v>12871.4</v>
      </c>
      <c r="F2506" s="237">
        <v>42906</v>
      </c>
      <c r="G2506" s="15">
        <v>12871.4</v>
      </c>
      <c r="H2506" s="15">
        <f t="shared" si="39"/>
        <v>0</v>
      </c>
      <c r="I2506" s="236" t="s">
        <v>19682</v>
      </c>
    </row>
    <row r="2507" spans="1:9" x14ac:dyDescent="0.25">
      <c r="A2507" s="242">
        <v>42905</v>
      </c>
      <c r="B2507" s="18">
        <v>116608</v>
      </c>
      <c r="C2507" s="235" t="s">
        <v>19677</v>
      </c>
      <c r="D2507" s="236" t="s">
        <v>15376</v>
      </c>
      <c r="E2507" s="15">
        <v>5763.1</v>
      </c>
      <c r="F2507" s="237">
        <v>42906</v>
      </c>
      <c r="G2507" s="15">
        <v>5763.1</v>
      </c>
      <c r="H2507" s="15">
        <f t="shared" si="39"/>
        <v>0</v>
      </c>
      <c r="I2507" s="236" t="s">
        <v>19682</v>
      </c>
    </row>
    <row r="2508" spans="1:9" x14ac:dyDescent="0.25">
      <c r="A2508" s="36">
        <v>42905</v>
      </c>
      <c r="B2508" s="18">
        <v>116609</v>
      </c>
      <c r="C2508" s="235" t="s">
        <v>19677</v>
      </c>
      <c r="D2508" s="236" t="s">
        <v>19697</v>
      </c>
      <c r="E2508" s="15">
        <v>959.5</v>
      </c>
      <c r="F2508" s="237">
        <v>42908</v>
      </c>
      <c r="G2508" s="15">
        <v>959.5</v>
      </c>
      <c r="H2508" s="15">
        <f t="shared" si="39"/>
        <v>0</v>
      </c>
      <c r="I2508" s="236" t="s">
        <v>19682</v>
      </c>
    </row>
    <row r="2509" spans="1:9" x14ac:dyDescent="0.25">
      <c r="A2509" s="242">
        <v>42905</v>
      </c>
      <c r="B2509" s="18">
        <v>116610</v>
      </c>
      <c r="C2509" s="235" t="s">
        <v>19677</v>
      </c>
      <c r="D2509" s="236" t="s">
        <v>15315</v>
      </c>
      <c r="E2509" s="15">
        <v>1380</v>
      </c>
      <c r="F2509" s="237">
        <v>42905</v>
      </c>
      <c r="G2509" s="15">
        <v>1380</v>
      </c>
      <c r="H2509" s="15">
        <f t="shared" si="39"/>
        <v>0</v>
      </c>
      <c r="I2509" s="236" t="s">
        <v>19682</v>
      </c>
    </row>
    <row r="2510" spans="1:9" x14ac:dyDescent="0.25">
      <c r="A2510" s="36">
        <v>42905</v>
      </c>
      <c r="B2510" s="18">
        <v>116611</v>
      </c>
      <c r="C2510" s="235" t="s">
        <v>19677</v>
      </c>
      <c r="D2510" s="236" t="s">
        <v>15391</v>
      </c>
      <c r="E2510" s="15">
        <v>6545</v>
      </c>
      <c r="F2510" s="237">
        <v>42908</v>
      </c>
      <c r="G2510" s="15">
        <v>6545</v>
      </c>
      <c r="H2510" s="15">
        <f t="shared" si="39"/>
        <v>0</v>
      </c>
      <c r="I2510" s="236" t="s">
        <v>19682</v>
      </c>
    </row>
    <row r="2511" spans="1:9" x14ac:dyDescent="0.25">
      <c r="A2511" s="242">
        <v>42905</v>
      </c>
      <c r="B2511" s="18">
        <v>116612</v>
      </c>
      <c r="C2511" s="235" t="s">
        <v>19677</v>
      </c>
      <c r="D2511" s="236" t="s">
        <v>15581</v>
      </c>
      <c r="E2511" s="15">
        <v>5006.2</v>
      </c>
      <c r="F2511" s="237">
        <v>42910</v>
      </c>
      <c r="G2511" s="15">
        <v>5006.2</v>
      </c>
      <c r="H2511" s="15">
        <f t="shared" si="39"/>
        <v>0</v>
      </c>
      <c r="I2511" s="236" t="s">
        <v>19682</v>
      </c>
    </row>
    <row r="2512" spans="1:9" x14ac:dyDescent="0.25">
      <c r="A2512" s="36">
        <v>42905</v>
      </c>
      <c r="B2512" s="18">
        <v>116613</v>
      </c>
      <c r="C2512" s="235" t="s">
        <v>19677</v>
      </c>
      <c r="D2512" s="236" t="s">
        <v>17708</v>
      </c>
      <c r="E2512" s="15">
        <v>2491.8000000000002</v>
      </c>
      <c r="F2512" s="237">
        <v>42906</v>
      </c>
      <c r="G2512" s="15">
        <v>2491.8000000000002</v>
      </c>
      <c r="H2512" s="15">
        <f t="shared" si="39"/>
        <v>0</v>
      </c>
      <c r="I2512" s="236" t="s">
        <v>19682</v>
      </c>
    </row>
    <row r="2513" spans="1:9" x14ac:dyDescent="0.25">
      <c r="A2513" s="242">
        <v>42905</v>
      </c>
      <c r="B2513" s="18">
        <v>116614</v>
      </c>
      <c r="C2513" s="235" t="s">
        <v>19677</v>
      </c>
      <c r="D2513" s="236" t="s">
        <v>15315</v>
      </c>
      <c r="E2513" s="15">
        <v>2844</v>
      </c>
      <c r="F2513" s="237">
        <v>42906</v>
      </c>
      <c r="G2513" s="15">
        <v>2844</v>
      </c>
      <c r="H2513" s="15">
        <f t="shared" si="39"/>
        <v>0</v>
      </c>
      <c r="I2513" s="236" t="s">
        <v>19682</v>
      </c>
    </row>
    <row r="2514" spans="1:9" x14ac:dyDescent="0.25">
      <c r="A2514" s="36">
        <v>42905</v>
      </c>
      <c r="B2514" s="18">
        <v>116615</v>
      </c>
      <c r="C2514" s="235" t="s">
        <v>19677</v>
      </c>
      <c r="D2514" s="236" t="s">
        <v>17235</v>
      </c>
      <c r="E2514" s="15">
        <v>920</v>
      </c>
      <c r="F2514" s="237">
        <v>42905</v>
      </c>
      <c r="G2514" s="15">
        <v>920</v>
      </c>
      <c r="H2514" s="15">
        <f t="shared" si="39"/>
        <v>0</v>
      </c>
      <c r="I2514" s="236" t="s">
        <v>19682</v>
      </c>
    </row>
    <row r="2515" spans="1:9" x14ac:dyDescent="0.25">
      <c r="A2515" s="242">
        <v>42905</v>
      </c>
      <c r="B2515" s="18">
        <v>116616</v>
      </c>
      <c r="C2515" s="235" t="s">
        <v>19677</v>
      </c>
      <c r="D2515" s="236" t="s">
        <v>15315</v>
      </c>
      <c r="E2515" s="15">
        <v>1432.5</v>
      </c>
      <c r="F2515" s="237">
        <v>42905</v>
      </c>
      <c r="G2515" s="15">
        <v>1432.5</v>
      </c>
      <c r="H2515" s="15">
        <f t="shared" si="39"/>
        <v>0</v>
      </c>
      <c r="I2515" s="236" t="s">
        <v>19682</v>
      </c>
    </row>
    <row r="2516" spans="1:9" x14ac:dyDescent="0.25">
      <c r="A2516" s="36">
        <v>42905</v>
      </c>
      <c r="B2516" s="18">
        <v>116617</v>
      </c>
      <c r="C2516" s="235" t="s">
        <v>19677</v>
      </c>
      <c r="D2516" s="236" t="s">
        <v>15315</v>
      </c>
      <c r="E2516" s="15">
        <v>387.5</v>
      </c>
      <c r="F2516" s="237">
        <v>42905</v>
      </c>
      <c r="G2516" s="15">
        <v>387.5</v>
      </c>
      <c r="H2516" s="15">
        <f t="shared" si="39"/>
        <v>0</v>
      </c>
      <c r="I2516" s="236" t="s">
        <v>19682</v>
      </c>
    </row>
    <row r="2517" spans="1:9" x14ac:dyDescent="0.25">
      <c r="A2517" s="242">
        <v>42905</v>
      </c>
      <c r="B2517" s="18">
        <v>116618</v>
      </c>
      <c r="C2517" s="235" t="s">
        <v>19677</v>
      </c>
      <c r="D2517" s="236" t="s">
        <v>15716</v>
      </c>
      <c r="E2517" s="15">
        <v>6468</v>
      </c>
      <c r="F2517" s="237">
        <v>42905</v>
      </c>
      <c r="G2517" s="15">
        <v>6468</v>
      </c>
      <c r="H2517" s="15">
        <f t="shared" si="39"/>
        <v>0</v>
      </c>
      <c r="I2517" s="236" t="s">
        <v>19682</v>
      </c>
    </row>
    <row r="2518" spans="1:9" ht="15.75" x14ac:dyDescent="0.25">
      <c r="A2518" s="36">
        <v>42905</v>
      </c>
      <c r="B2518" s="18">
        <v>116619</v>
      </c>
      <c r="C2518" s="235" t="s">
        <v>19677</v>
      </c>
      <c r="D2518" s="248" t="s">
        <v>95</v>
      </c>
      <c r="E2518" s="15">
        <v>0</v>
      </c>
      <c r="F2518" s="243" t="s">
        <v>95</v>
      </c>
      <c r="G2518" s="15">
        <v>0</v>
      </c>
      <c r="H2518" s="15">
        <f t="shared" si="39"/>
        <v>0</v>
      </c>
      <c r="I2518" s="236" t="s">
        <v>19678</v>
      </c>
    </row>
    <row r="2519" spans="1:9" x14ac:dyDescent="0.25">
      <c r="A2519" s="242">
        <v>42905</v>
      </c>
      <c r="B2519" s="18">
        <v>116620</v>
      </c>
      <c r="C2519" s="235" t="s">
        <v>19677</v>
      </c>
      <c r="D2519" s="236" t="s">
        <v>15442</v>
      </c>
      <c r="E2519" s="15">
        <v>13717</v>
      </c>
      <c r="F2519" s="237">
        <v>42917</v>
      </c>
      <c r="G2519" s="15">
        <v>13717</v>
      </c>
      <c r="H2519" s="15">
        <f t="shared" si="39"/>
        <v>0</v>
      </c>
      <c r="I2519" s="236" t="s">
        <v>19682</v>
      </c>
    </row>
    <row r="2520" spans="1:9" x14ac:dyDescent="0.25">
      <c r="A2520" s="36">
        <v>42905</v>
      </c>
      <c r="B2520" s="18">
        <v>116621</v>
      </c>
      <c r="C2520" s="235" t="s">
        <v>19677</v>
      </c>
      <c r="D2520" s="236" t="s">
        <v>15338</v>
      </c>
      <c r="E2520" s="15">
        <v>8754.1</v>
      </c>
      <c r="F2520" s="237">
        <v>42909</v>
      </c>
      <c r="G2520" s="15">
        <v>8754.1</v>
      </c>
      <c r="H2520" s="15">
        <f t="shared" si="39"/>
        <v>0</v>
      </c>
      <c r="I2520" s="236" t="s">
        <v>19682</v>
      </c>
    </row>
    <row r="2521" spans="1:9" x14ac:dyDescent="0.25">
      <c r="A2521" s="242">
        <v>42905</v>
      </c>
      <c r="B2521" s="18">
        <v>116622</v>
      </c>
      <c r="C2521" s="235" t="s">
        <v>19677</v>
      </c>
      <c r="D2521" s="236" t="s">
        <v>19753</v>
      </c>
      <c r="E2521" s="15">
        <v>4701.8</v>
      </c>
      <c r="F2521" s="237">
        <v>42905</v>
      </c>
      <c r="G2521" s="15">
        <v>4701.8</v>
      </c>
      <c r="H2521" s="15">
        <f t="shared" si="39"/>
        <v>0</v>
      </c>
      <c r="I2521" s="236" t="s">
        <v>19682</v>
      </c>
    </row>
    <row r="2522" spans="1:9" x14ac:dyDescent="0.25">
      <c r="A2522" s="36">
        <v>42905</v>
      </c>
      <c r="B2522" s="18">
        <v>116623</v>
      </c>
      <c r="C2522" s="235" t="s">
        <v>19677</v>
      </c>
      <c r="D2522" s="236" t="s">
        <v>15284</v>
      </c>
      <c r="E2522" s="15">
        <v>294</v>
      </c>
      <c r="F2522" s="237">
        <v>42905</v>
      </c>
      <c r="G2522" s="15">
        <v>294</v>
      </c>
      <c r="H2522" s="15">
        <f t="shared" si="39"/>
        <v>0</v>
      </c>
      <c r="I2522" s="236" t="s">
        <v>19682</v>
      </c>
    </row>
    <row r="2523" spans="1:9" ht="15.75" x14ac:dyDescent="0.25">
      <c r="A2523" s="242">
        <v>42905</v>
      </c>
      <c r="B2523" s="18">
        <v>116624</v>
      </c>
      <c r="C2523" s="235" t="s">
        <v>19677</v>
      </c>
      <c r="D2523" s="248" t="s">
        <v>95</v>
      </c>
      <c r="E2523" s="15">
        <v>0</v>
      </c>
      <c r="F2523" s="243" t="s">
        <v>95</v>
      </c>
      <c r="G2523" s="15">
        <v>0</v>
      </c>
      <c r="H2523" s="15">
        <f t="shared" si="39"/>
        <v>0</v>
      </c>
      <c r="I2523" s="236" t="s">
        <v>19678</v>
      </c>
    </row>
    <row r="2524" spans="1:9" x14ac:dyDescent="0.25">
      <c r="A2524" s="36">
        <v>42905</v>
      </c>
      <c r="B2524" s="18">
        <v>116625</v>
      </c>
      <c r="C2524" s="235" t="s">
        <v>19677</v>
      </c>
      <c r="D2524" s="236" t="s">
        <v>15539</v>
      </c>
      <c r="E2524" s="15">
        <v>15875</v>
      </c>
      <c r="F2524" s="237">
        <v>42907</v>
      </c>
      <c r="G2524" s="15">
        <v>15875</v>
      </c>
      <c r="H2524" s="15">
        <f t="shared" si="39"/>
        <v>0</v>
      </c>
      <c r="I2524" s="236" t="s">
        <v>19682</v>
      </c>
    </row>
    <row r="2525" spans="1:9" x14ac:dyDescent="0.25">
      <c r="A2525" s="242">
        <v>42905</v>
      </c>
      <c r="B2525" s="18">
        <v>116626</v>
      </c>
      <c r="C2525" s="235" t="s">
        <v>19677</v>
      </c>
      <c r="D2525" s="236" t="s">
        <v>15537</v>
      </c>
      <c r="E2525" s="15">
        <v>18194.400000000001</v>
      </c>
      <c r="F2525" s="237">
        <v>42909</v>
      </c>
      <c r="G2525" s="15">
        <v>18194.400000000001</v>
      </c>
      <c r="H2525" s="15">
        <f t="shared" si="39"/>
        <v>0</v>
      </c>
      <c r="I2525" s="236" t="s">
        <v>19682</v>
      </c>
    </row>
    <row r="2526" spans="1:9" x14ac:dyDescent="0.25">
      <c r="A2526" s="36">
        <v>42905</v>
      </c>
      <c r="B2526" s="18">
        <v>116627</v>
      </c>
      <c r="C2526" s="235" t="s">
        <v>19677</v>
      </c>
      <c r="D2526" s="236" t="s">
        <v>15365</v>
      </c>
      <c r="E2526" s="15">
        <v>6000</v>
      </c>
      <c r="F2526" s="237">
        <v>42908</v>
      </c>
      <c r="G2526" s="15">
        <v>6000</v>
      </c>
      <c r="H2526" s="15">
        <f t="shared" si="39"/>
        <v>0</v>
      </c>
      <c r="I2526" s="236" t="s">
        <v>19682</v>
      </c>
    </row>
    <row r="2527" spans="1:9" x14ac:dyDescent="0.25">
      <c r="A2527" s="242">
        <v>42905</v>
      </c>
      <c r="B2527" s="18">
        <v>116628</v>
      </c>
      <c r="C2527" s="235" t="s">
        <v>19677</v>
      </c>
      <c r="D2527" s="236" t="s">
        <v>15553</v>
      </c>
      <c r="E2527" s="15">
        <v>31708.400000000001</v>
      </c>
      <c r="F2527" s="237">
        <v>42905</v>
      </c>
      <c r="G2527" s="15">
        <v>31708.400000000001</v>
      </c>
      <c r="H2527" s="15">
        <f t="shared" si="39"/>
        <v>0</v>
      </c>
      <c r="I2527" s="236" t="s">
        <v>19682</v>
      </c>
    </row>
    <row r="2528" spans="1:9" x14ac:dyDescent="0.25">
      <c r="A2528" s="36">
        <v>42905</v>
      </c>
      <c r="B2528" s="18">
        <v>116629</v>
      </c>
      <c r="C2528" s="235" t="s">
        <v>19677</v>
      </c>
      <c r="D2528" s="236" t="s">
        <v>15665</v>
      </c>
      <c r="E2528" s="15">
        <v>546.32000000000005</v>
      </c>
      <c r="F2528" s="237">
        <v>42905</v>
      </c>
      <c r="G2528" s="15">
        <v>546.32000000000005</v>
      </c>
      <c r="H2528" s="15">
        <f t="shared" si="39"/>
        <v>0</v>
      </c>
      <c r="I2528" s="236" t="s">
        <v>19682</v>
      </c>
    </row>
    <row r="2529" spans="1:9" x14ac:dyDescent="0.25">
      <c r="A2529" s="242">
        <v>42905</v>
      </c>
      <c r="B2529" s="18">
        <v>116630</v>
      </c>
      <c r="C2529" s="235" t="s">
        <v>19677</v>
      </c>
      <c r="D2529" s="236" t="s">
        <v>18076</v>
      </c>
      <c r="E2529" s="15">
        <v>2556.8000000000002</v>
      </c>
      <c r="F2529" s="237">
        <v>42905</v>
      </c>
      <c r="G2529" s="15">
        <v>2556.8000000000002</v>
      </c>
      <c r="H2529" s="15">
        <f t="shared" si="39"/>
        <v>0</v>
      </c>
      <c r="I2529" s="236" t="s">
        <v>19682</v>
      </c>
    </row>
    <row r="2530" spans="1:9" x14ac:dyDescent="0.25">
      <c r="A2530" s="36">
        <v>42905</v>
      </c>
      <c r="B2530" s="18">
        <v>116631</v>
      </c>
      <c r="C2530" s="235" t="s">
        <v>19677</v>
      </c>
      <c r="D2530" s="236" t="s">
        <v>17462</v>
      </c>
      <c r="E2530" s="15">
        <v>1177.5999999999999</v>
      </c>
      <c r="F2530" s="237">
        <v>42905</v>
      </c>
      <c r="G2530" s="15">
        <v>1177.5999999999999</v>
      </c>
      <c r="H2530" s="15">
        <f t="shared" si="39"/>
        <v>0</v>
      </c>
      <c r="I2530" s="236" t="s">
        <v>19682</v>
      </c>
    </row>
    <row r="2531" spans="1:9" x14ac:dyDescent="0.25">
      <c r="A2531" s="242">
        <v>42905</v>
      </c>
      <c r="B2531" s="18">
        <v>116632</v>
      </c>
      <c r="C2531" s="235" t="s">
        <v>19677</v>
      </c>
      <c r="D2531" s="236" t="s">
        <v>15328</v>
      </c>
      <c r="E2531" s="15">
        <v>32095.5</v>
      </c>
      <c r="F2531" s="237">
        <v>42915</v>
      </c>
      <c r="G2531" s="15">
        <v>32095.5</v>
      </c>
      <c r="H2531" s="15">
        <f t="shared" si="39"/>
        <v>0</v>
      </c>
      <c r="I2531" s="236" t="s">
        <v>19682</v>
      </c>
    </row>
    <row r="2532" spans="1:9" x14ac:dyDescent="0.25">
      <c r="A2532" s="36">
        <v>42905</v>
      </c>
      <c r="B2532" s="18">
        <v>116633</v>
      </c>
      <c r="C2532" s="235" t="s">
        <v>19677</v>
      </c>
      <c r="D2532" s="236" t="s">
        <v>15409</v>
      </c>
      <c r="E2532" s="15">
        <v>15510</v>
      </c>
      <c r="F2532" s="237">
        <v>42905</v>
      </c>
      <c r="G2532" s="15">
        <v>15510</v>
      </c>
      <c r="H2532" s="15">
        <f t="shared" si="39"/>
        <v>0</v>
      </c>
      <c r="I2532" s="236" t="s">
        <v>19682</v>
      </c>
    </row>
    <row r="2533" spans="1:9" x14ac:dyDescent="0.25">
      <c r="A2533" s="242">
        <v>42905</v>
      </c>
      <c r="B2533" s="18">
        <v>116634</v>
      </c>
      <c r="C2533" s="235" t="s">
        <v>19677</v>
      </c>
      <c r="D2533" s="236" t="s">
        <v>15246</v>
      </c>
      <c r="E2533" s="15">
        <v>23595.599999999999</v>
      </c>
      <c r="F2533" s="237">
        <v>42909</v>
      </c>
      <c r="G2533" s="15">
        <v>23595.599999999999</v>
      </c>
      <c r="H2533" s="15">
        <f t="shared" si="39"/>
        <v>0</v>
      </c>
      <c r="I2533" s="236" t="s">
        <v>19682</v>
      </c>
    </row>
    <row r="2534" spans="1:9" x14ac:dyDescent="0.25">
      <c r="A2534" s="36">
        <v>42905</v>
      </c>
      <c r="B2534" s="18">
        <v>116635</v>
      </c>
      <c r="C2534" s="235" t="s">
        <v>19677</v>
      </c>
      <c r="D2534" s="236" t="s">
        <v>15413</v>
      </c>
      <c r="E2534" s="15">
        <v>4576</v>
      </c>
      <c r="F2534" s="237">
        <v>42905</v>
      </c>
      <c r="G2534" s="15">
        <v>4576</v>
      </c>
      <c r="H2534" s="15">
        <f t="shared" si="39"/>
        <v>0</v>
      </c>
      <c r="I2534" s="236" t="s">
        <v>19682</v>
      </c>
    </row>
    <row r="2535" spans="1:9" x14ac:dyDescent="0.25">
      <c r="A2535" s="242">
        <v>42905</v>
      </c>
      <c r="B2535" s="18">
        <v>116636</v>
      </c>
      <c r="C2535" s="235" t="s">
        <v>19677</v>
      </c>
      <c r="D2535" s="236" t="s">
        <v>15294</v>
      </c>
      <c r="E2535" s="15">
        <v>370</v>
      </c>
      <c r="F2535" s="237">
        <v>42905</v>
      </c>
      <c r="G2535" s="15">
        <v>370</v>
      </c>
      <c r="H2535" s="15">
        <f t="shared" si="39"/>
        <v>0</v>
      </c>
      <c r="I2535" s="236" t="s">
        <v>19682</v>
      </c>
    </row>
    <row r="2536" spans="1:9" x14ac:dyDescent="0.25">
      <c r="A2536" s="36">
        <v>42905</v>
      </c>
      <c r="B2536" s="18">
        <v>116637</v>
      </c>
      <c r="C2536" s="235" t="s">
        <v>19677</v>
      </c>
      <c r="D2536" s="236" t="s">
        <v>15284</v>
      </c>
      <c r="E2536" s="15">
        <v>1311</v>
      </c>
      <c r="F2536" s="237">
        <v>42905</v>
      </c>
      <c r="G2536" s="15">
        <v>1311</v>
      </c>
      <c r="H2536" s="15">
        <f t="shared" si="39"/>
        <v>0</v>
      </c>
      <c r="I2536" s="236" t="s">
        <v>19682</v>
      </c>
    </row>
    <row r="2537" spans="1:9" x14ac:dyDescent="0.25">
      <c r="A2537" s="242">
        <v>42905</v>
      </c>
      <c r="B2537" s="18">
        <v>116638</v>
      </c>
      <c r="C2537" s="235" t="s">
        <v>19677</v>
      </c>
      <c r="D2537" s="236" t="s">
        <v>15284</v>
      </c>
      <c r="E2537" s="15">
        <v>483.6</v>
      </c>
      <c r="F2537" s="237">
        <v>42905</v>
      </c>
      <c r="G2537" s="15">
        <v>483.6</v>
      </c>
      <c r="H2537" s="15">
        <f t="shared" si="39"/>
        <v>0</v>
      </c>
      <c r="I2537" s="236" t="s">
        <v>19682</v>
      </c>
    </row>
    <row r="2538" spans="1:9" x14ac:dyDescent="0.25">
      <c r="A2538" s="36">
        <v>42905</v>
      </c>
      <c r="B2538" s="18">
        <v>116639</v>
      </c>
      <c r="C2538" s="235" t="s">
        <v>19677</v>
      </c>
      <c r="D2538" s="236" t="s">
        <v>15213</v>
      </c>
      <c r="E2538" s="15">
        <v>1574.4</v>
      </c>
      <c r="F2538" s="237">
        <v>42906</v>
      </c>
      <c r="G2538" s="15">
        <v>1574.4</v>
      </c>
      <c r="H2538" s="15">
        <f t="shared" si="39"/>
        <v>0</v>
      </c>
      <c r="I2538" s="236" t="s">
        <v>19682</v>
      </c>
    </row>
    <row r="2539" spans="1:9" x14ac:dyDescent="0.25">
      <c r="A2539" s="242">
        <v>42905</v>
      </c>
      <c r="B2539" s="18">
        <v>116640</v>
      </c>
      <c r="C2539" s="235" t="s">
        <v>19677</v>
      </c>
      <c r="D2539" s="236" t="s">
        <v>15263</v>
      </c>
      <c r="E2539" s="15">
        <v>1424.3</v>
      </c>
      <c r="F2539" s="237">
        <v>42905</v>
      </c>
      <c r="G2539" s="15">
        <v>1424.3</v>
      </c>
      <c r="H2539" s="15">
        <f t="shared" si="39"/>
        <v>0</v>
      </c>
      <c r="I2539" s="236" t="s">
        <v>19682</v>
      </c>
    </row>
    <row r="2540" spans="1:9" x14ac:dyDescent="0.25">
      <c r="A2540" s="36">
        <v>42905</v>
      </c>
      <c r="B2540" s="18">
        <v>116641</v>
      </c>
      <c r="C2540" s="235" t="s">
        <v>19677</v>
      </c>
      <c r="D2540" s="236" t="s">
        <v>16093</v>
      </c>
      <c r="E2540" s="15">
        <v>3683.4</v>
      </c>
      <c r="F2540" s="237">
        <v>42905</v>
      </c>
      <c r="G2540" s="15">
        <v>3683.4</v>
      </c>
      <c r="H2540" s="15">
        <f t="shared" si="39"/>
        <v>0</v>
      </c>
      <c r="I2540" s="236" t="s">
        <v>19682</v>
      </c>
    </row>
    <row r="2541" spans="1:9" x14ac:dyDescent="0.25">
      <c r="A2541" s="242">
        <v>42905</v>
      </c>
      <c r="B2541" s="18">
        <v>116642</v>
      </c>
      <c r="C2541" s="235" t="s">
        <v>19677</v>
      </c>
      <c r="D2541" s="236" t="s">
        <v>15624</v>
      </c>
      <c r="E2541" s="15">
        <v>30792.78</v>
      </c>
      <c r="F2541" s="237">
        <v>42907</v>
      </c>
      <c r="G2541" s="15">
        <v>30792.78</v>
      </c>
      <c r="H2541" s="15">
        <f t="shared" si="39"/>
        <v>0</v>
      </c>
      <c r="I2541" s="236" t="s">
        <v>19682</v>
      </c>
    </row>
    <row r="2542" spans="1:9" x14ac:dyDescent="0.25">
      <c r="A2542" s="36">
        <v>42905</v>
      </c>
      <c r="B2542" s="18">
        <v>116643</v>
      </c>
      <c r="C2542" s="235" t="s">
        <v>19677</v>
      </c>
      <c r="D2542" s="236" t="s">
        <v>17452</v>
      </c>
      <c r="E2542" s="15">
        <v>2300</v>
      </c>
      <c r="F2542" s="237">
        <v>42906</v>
      </c>
      <c r="G2542" s="15">
        <v>2300</v>
      </c>
      <c r="H2542" s="15">
        <f t="shared" si="39"/>
        <v>0</v>
      </c>
      <c r="I2542" s="236" t="s">
        <v>19682</v>
      </c>
    </row>
    <row r="2543" spans="1:9" x14ac:dyDescent="0.25">
      <c r="A2543" s="242">
        <v>42905</v>
      </c>
      <c r="B2543" s="18">
        <v>116644</v>
      </c>
      <c r="C2543" s="235" t="s">
        <v>19677</v>
      </c>
      <c r="D2543" s="236" t="s">
        <v>15628</v>
      </c>
      <c r="E2543" s="15">
        <v>8356.4</v>
      </c>
      <c r="F2543" s="237">
        <v>42905</v>
      </c>
      <c r="G2543" s="15">
        <v>8356.4</v>
      </c>
      <c r="H2543" s="15">
        <f t="shared" si="39"/>
        <v>0</v>
      </c>
      <c r="I2543" s="236" t="s">
        <v>19682</v>
      </c>
    </row>
    <row r="2544" spans="1:9" x14ac:dyDescent="0.25">
      <c r="A2544" s="36">
        <v>42905</v>
      </c>
      <c r="B2544" s="18">
        <v>116645</v>
      </c>
      <c r="C2544" s="235" t="s">
        <v>19677</v>
      </c>
      <c r="D2544" s="236" t="s">
        <v>15276</v>
      </c>
      <c r="E2544" s="15">
        <v>2300</v>
      </c>
      <c r="F2544" s="237">
        <v>42906</v>
      </c>
      <c r="G2544" s="15">
        <v>2300</v>
      </c>
      <c r="H2544" s="15">
        <f t="shared" si="39"/>
        <v>0</v>
      </c>
      <c r="I2544" s="236" t="s">
        <v>19682</v>
      </c>
    </row>
    <row r="2545" spans="1:9" x14ac:dyDescent="0.25">
      <c r="A2545" s="242">
        <v>42905</v>
      </c>
      <c r="B2545" s="18">
        <v>116646</v>
      </c>
      <c r="C2545" s="235" t="s">
        <v>19677</v>
      </c>
      <c r="D2545" s="236" t="s">
        <v>15246</v>
      </c>
      <c r="E2545" s="15">
        <v>299495.40000000002</v>
      </c>
      <c r="F2545" s="237">
        <v>42909</v>
      </c>
      <c r="G2545" s="15">
        <v>299495.40000000002</v>
      </c>
      <c r="H2545" s="15">
        <f t="shared" si="39"/>
        <v>0</v>
      </c>
      <c r="I2545" s="236" t="s">
        <v>19682</v>
      </c>
    </row>
    <row r="2546" spans="1:9" x14ac:dyDescent="0.25">
      <c r="A2546" s="36">
        <v>42905</v>
      </c>
      <c r="B2546" s="18">
        <v>116647</v>
      </c>
      <c r="C2546" s="235" t="s">
        <v>19677</v>
      </c>
      <c r="D2546" s="236" t="s">
        <v>15636</v>
      </c>
      <c r="E2546" s="15">
        <v>20342.2</v>
      </c>
      <c r="F2546" s="237">
        <v>42907</v>
      </c>
      <c r="G2546" s="15">
        <v>20342.2</v>
      </c>
      <c r="H2546" s="15">
        <f t="shared" si="39"/>
        <v>0</v>
      </c>
      <c r="I2546" s="236" t="s">
        <v>19682</v>
      </c>
    </row>
    <row r="2547" spans="1:9" x14ac:dyDescent="0.25">
      <c r="A2547" s="242">
        <v>42905</v>
      </c>
      <c r="B2547" s="18">
        <v>116648</v>
      </c>
      <c r="C2547" s="235" t="s">
        <v>19677</v>
      </c>
      <c r="D2547" s="236" t="s">
        <v>16313</v>
      </c>
      <c r="E2547" s="15">
        <v>4855.3999999999996</v>
      </c>
      <c r="F2547" s="237">
        <v>42906</v>
      </c>
      <c r="G2547" s="15">
        <v>4855.3999999999996</v>
      </c>
      <c r="H2547" s="15">
        <f t="shared" si="39"/>
        <v>0</v>
      </c>
      <c r="I2547" s="236" t="s">
        <v>19682</v>
      </c>
    </row>
    <row r="2548" spans="1:9" x14ac:dyDescent="0.25">
      <c r="A2548" s="36">
        <v>42905</v>
      </c>
      <c r="B2548" s="18">
        <v>116649</v>
      </c>
      <c r="C2548" s="235" t="s">
        <v>19677</v>
      </c>
      <c r="D2548" s="236" t="s">
        <v>16288</v>
      </c>
      <c r="E2548" s="15">
        <v>1270.2</v>
      </c>
      <c r="F2548" s="237">
        <v>42906</v>
      </c>
      <c r="G2548" s="15">
        <v>1270.2</v>
      </c>
      <c r="H2548" s="15">
        <f t="shared" si="39"/>
        <v>0</v>
      </c>
      <c r="I2548" s="236" t="s">
        <v>19682</v>
      </c>
    </row>
    <row r="2549" spans="1:9" x14ac:dyDescent="0.25">
      <c r="A2549" s="242">
        <v>42905</v>
      </c>
      <c r="B2549" s="18">
        <v>116650</v>
      </c>
      <c r="C2549" s="235" t="s">
        <v>19677</v>
      </c>
      <c r="D2549" s="236" t="s">
        <v>15322</v>
      </c>
      <c r="E2549" s="15">
        <v>871.2</v>
      </c>
      <c r="F2549" s="237">
        <v>42905</v>
      </c>
      <c r="G2549" s="15">
        <v>871.2</v>
      </c>
      <c r="H2549" s="15">
        <f t="shared" si="39"/>
        <v>0</v>
      </c>
      <c r="I2549" s="236" t="s">
        <v>19682</v>
      </c>
    </row>
    <row r="2550" spans="1:9" x14ac:dyDescent="0.25">
      <c r="A2550" s="36">
        <v>42905</v>
      </c>
      <c r="B2550" s="18">
        <v>116651</v>
      </c>
      <c r="C2550" s="235" t="s">
        <v>19677</v>
      </c>
      <c r="D2550" s="236" t="s">
        <v>15930</v>
      </c>
      <c r="E2550" s="15">
        <v>9417.6</v>
      </c>
      <c r="F2550" s="237">
        <v>42906</v>
      </c>
      <c r="G2550" s="15">
        <v>9417.6</v>
      </c>
      <c r="H2550" s="15">
        <f t="shared" si="39"/>
        <v>0</v>
      </c>
      <c r="I2550" s="236" t="s">
        <v>19682</v>
      </c>
    </row>
    <row r="2551" spans="1:9" x14ac:dyDescent="0.25">
      <c r="A2551" s="242">
        <v>42905</v>
      </c>
      <c r="B2551" s="18">
        <v>116652</v>
      </c>
      <c r="C2551" s="235" t="s">
        <v>19677</v>
      </c>
      <c r="D2551" s="236" t="s">
        <v>15600</v>
      </c>
      <c r="E2551" s="15">
        <v>7431.2</v>
      </c>
      <c r="F2551" s="237">
        <v>42906</v>
      </c>
      <c r="G2551" s="15">
        <v>7431.2</v>
      </c>
      <c r="H2551" s="15">
        <f t="shared" si="39"/>
        <v>0</v>
      </c>
      <c r="I2551" s="236" t="s">
        <v>19682</v>
      </c>
    </row>
    <row r="2552" spans="1:9" x14ac:dyDescent="0.25">
      <c r="A2552" s="36">
        <v>42905</v>
      </c>
      <c r="B2552" s="18">
        <v>116653</v>
      </c>
      <c r="C2552" s="235" t="s">
        <v>19677</v>
      </c>
      <c r="D2552" s="236" t="s">
        <v>17458</v>
      </c>
      <c r="E2552" s="15">
        <v>1442.9</v>
      </c>
      <c r="F2552" s="237">
        <v>42906</v>
      </c>
      <c r="G2552" s="15">
        <v>1442.9</v>
      </c>
      <c r="H2552" s="15">
        <f t="shared" si="39"/>
        <v>0</v>
      </c>
      <c r="I2552" s="236" t="s">
        <v>19682</v>
      </c>
    </row>
    <row r="2553" spans="1:9" x14ac:dyDescent="0.25">
      <c r="A2553" s="242">
        <v>42905</v>
      </c>
      <c r="B2553" s="18">
        <v>116654</v>
      </c>
      <c r="C2553" s="235" t="s">
        <v>19677</v>
      </c>
      <c r="D2553" s="236" t="s">
        <v>15417</v>
      </c>
      <c r="E2553" s="15">
        <v>2547</v>
      </c>
      <c r="F2553" s="237">
        <v>42906</v>
      </c>
      <c r="G2553" s="15">
        <v>2547</v>
      </c>
      <c r="H2553" s="15">
        <f t="shared" si="39"/>
        <v>0</v>
      </c>
      <c r="I2553" s="236" t="s">
        <v>19682</v>
      </c>
    </row>
    <row r="2554" spans="1:9" x14ac:dyDescent="0.25">
      <c r="A2554" s="36">
        <v>42905</v>
      </c>
      <c r="B2554" s="18">
        <v>116655</v>
      </c>
      <c r="C2554" s="235" t="s">
        <v>19677</v>
      </c>
      <c r="D2554" s="236" t="s">
        <v>15782</v>
      </c>
      <c r="E2554" s="15">
        <v>1460.8</v>
      </c>
      <c r="F2554" s="237">
        <v>42906</v>
      </c>
      <c r="G2554" s="15">
        <v>1460.8</v>
      </c>
      <c r="H2554" s="15">
        <f t="shared" si="39"/>
        <v>0</v>
      </c>
      <c r="I2554" s="236" t="s">
        <v>19682</v>
      </c>
    </row>
    <row r="2555" spans="1:9" x14ac:dyDescent="0.25">
      <c r="A2555" s="242">
        <v>42905</v>
      </c>
      <c r="B2555" s="18">
        <v>116656</v>
      </c>
      <c r="C2555" s="235" t="s">
        <v>19677</v>
      </c>
      <c r="D2555" s="236" t="s">
        <v>5883</v>
      </c>
      <c r="E2555" s="15">
        <v>14329.04</v>
      </c>
      <c r="F2555" s="266">
        <v>42927</v>
      </c>
      <c r="G2555" s="35">
        <v>14329.04</v>
      </c>
      <c r="H2555" s="15">
        <f t="shared" si="39"/>
        <v>0</v>
      </c>
      <c r="I2555" s="236" t="s">
        <v>19682</v>
      </c>
    </row>
    <row r="2556" spans="1:9" x14ac:dyDescent="0.25">
      <c r="A2556" s="36">
        <v>42905</v>
      </c>
      <c r="B2556" s="18">
        <v>116657</v>
      </c>
      <c r="C2556" s="235" t="s">
        <v>19677</v>
      </c>
      <c r="D2556" s="236" t="s">
        <v>19754</v>
      </c>
      <c r="E2556" s="15">
        <v>20088</v>
      </c>
      <c r="F2556" s="237">
        <v>42907</v>
      </c>
      <c r="G2556" s="15">
        <v>20088</v>
      </c>
      <c r="H2556" s="15">
        <f t="shared" si="39"/>
        <v>0</v>
      </c>
      <c r="I2556" s="236" t="s">
        <v>19682</v>
      </c>
    </row>
    <row r="2557" spans="1:9" x14ac:dyDescent="0.25">
      <c r="A2557" s="242">
        <v>42905</v>
      </c>
      <c r="B2557" s="18">
        <v>116658</v>
      </c>
      <c r="C2557" s="235" t="s">
        <v>19677</v>
      </c>
      <c r="D2557" s="236" t="s">
        <v>5880</v>
      </c>
      <c r="E2557" s="15">
        <v>88000</v>
      </c>
      <c r="F2557" s="237">
        <v>42907</v>
      </c>
      <c r="G2557" s="15">
        <v>88000</v>
      </c>
      <c r="H2557" s="15">
        <f t="shared" si="39"/>
        <v>0</v>
      </c>
      <c r="I2557" s="236" t="s">
        <v>19682</v>
      </c>
    </row>
    <row r="2558" spans="1:9" x14ac:dyDescent="0.25">
      <c r="A2558" s="36">
        <v>42905</v>
      </c>
      <c r="B2558" s="18">
        <v>116659</v>
      </c>
      <c r="C2558" s="235" t="s">
        <v>19677</v>
      </c>
      <c r="D2558" s="236" t="s">
        <v>15365</v>
      </c>
      <c r="E2558" s="15">
        <v>460310</v>
      </c>
      <c r="F2558" s="237">
        <v>42908</v>
      </c>
      <c r="G2558" s="15">
        <v>460310</v>
      </c>
      <c r="H2558" s="15">
        <f t="shared" si="39"/>
        <v>0</v>
      </c>
      <c r="I2558" s="236" t="s">
        <v>19682</v>
      </c>
    </row>
    <row r="2559" spans="1:9" x14ac:dyDescent="0.25">
      <c r="A2559" s="242">
        <v>42905</v>
      </c>
      <c r="B2559" s="18">
        <v>116660</v>
      </c>
      <c r="C2559" s="235" t="s">
        <v>19677</v>
      </c>
      <c r="D2559" s="236" t="s">
        <v>15223</v>
      </c>
      <c r="E2559" s="15">
        <v>26245.8</v>
      </c>
      <c r="F2559" s="237">
        <v>42922</v>
      </c>
      <c r="G2559" s="15">
        <f>7966.95+18278.85</f>
        <v>26245.8</v>
      </c>
      <c r="H2559" s="15">
        <f t="shared" si="39"/>
        <v>0</v>
      </c>
      <c r="I2559" s="236" t="s">
        <v>19682</v>
      </c>
    </row>
    <row r="2560" spans="1:9" x14ac:dyDescent="0.25">
      <c r="A2560" s="36">
        <v>42905</v>
      </c>
      <c r="B2560" s="18">
        <v>116661</v>
      </c>
      <c r="C2560" s="235" t="s">
        <v>19677</v>
      </c>
      <c r="D2560" s="236" t="s">
        <v>15250</v>
      </c>
      <c r="E2560" s="15">
        <v>44871.64</v>
      </c>
      <c r="F2560" s="237">
        <v>42909</v>
      </c>
      <c r="G2560" s="15">
        <v>44871.64</v>
      </c>
      <c r="H2560" s="15">
        <f t="shared" si="39"/>
        <v>0</v>
      </c>
      <c r="I2560" s="236" t="s">
        <v>19682</v>
      </c>
    </row>
    <row r="2561" spans="1:9" x14ac:dyDescent="0.25">
      <c r="A2561" s="242">
        <v>42905</v>
      </c>
      <c r="B2561" s="18">
        <v>116662</v>
      </c>
      <c r="C2561" s="235" t="s">
        <v>19677</v>
      </c>
      <c r="D2561" s="236" t="s">
        <v>15433</v>
      </c>
      <c r="E2561" s="15">
        <v>1048.3</v>
      </c>
      <c r="F2561" s="237">
        <v>42905</v>
      </c>
      <c r="G2561" s="15">
        <v>1048.3</v>
      </c>
      <c r="H2561" s="15">
        <f t="shared" si="39"/>
        <v>0</v>
      </c>
      <c r="I2561" s="236" t="s">
        <v>19682</v>
      </c>
    </row>
    <row r="2562" spans="1:9" x14ac:dyDescent="0.25">
      <c r="A2562" s="36">
        <v>42905</v>
      </c>
      <c r="B2562" s="18">
        <v>116663</v>
      </c>
      <c r="C2562" s="235" t="s">
        <v>19677</v>
      </c>
      <c r="D2562" s="236" t="s">
        <v>15435</v>
      </c>
      <c r="E2562" s="15">
        <v>7462.8</v>
      </c>
      <c r="F2562" s="237">
        <v>42905</v>
      </c>
      <c r="G2562" s="15">
        <v>7462.8</v>
      </c>
      <c r="H2562" s="15">
        <f t="shared" ref="H2562:H2625" si="40">E2562-G2562</f>
        <v>0</v>
      </c>
      <c r="I2562" s="236" t="s">
        <v>19682</v>
      </c>
    </row>
    <row r="2563" spans="1:9" x14ac:dyDescent="0.25">
      <c r="A2563" s="242">
        <v>42905</v>
      </c>
      <c r="B2563" s="18">
        <v>116664</v>
      </c>
      <c r="C2563" s="235" t="s">
        <v>19677</v>
      </c>
      <c r="D2563" s="236" t="s">
        <v>15465</v>
      </c>
      <c r="E2563" s="15">
        <v>1142.0999999999999</v>
      </c>
      <c r="F2563" s="237">
        <v>42907</v>
      </c>
      <c r="G2563" s="15">
        <v>1142.0999999999999</v>
      </c>
      <c r="H2563" s="15">
        <f t="shared" si="40"/>
        <v>0</v>
      </c>
      <c r="I2563" s="236" t="s">
        <v>19682</v>
      </c>
    </row>
    <row r="2564" spans="1:9" x14ac:dyDescent="0.25">
      <c r="A2564" s="36">
        <v>42905</v>
      </c>
      <c r="B2564" s="18">
        <v>116665</v>
      </c>
      <c r="C2564" s="235" t="s">
        <v>19677</v>
      </c>
      <c r="D2564" s="236" t="s">
        <v>15444</v>
      </c>
      <c r="E2564" s="15">
        <v>2228.4</v>
      </c>
      <c r="F2564" s="237">
        <v>42905</v>
      </c>
      <c r="G2564" s="15">
        <v>2228.4</v>
      </c>
      <c r="H2564" s="15">
        <f t="shared" si="40"/>
        <v>0</v>
      </c>
      <c r="I2564" s="236" t="s">
        <v>19682</v>
      </c>
    </row>
    <row r="2565" spans="1:9" x14ac:dyDescent="0.25">
      <c r="A2565" s="242">
        <v>42905</v>
      </c>
      <c r="B2565" s="18">
        <v>116666</v>
      </c>
      <c r="C2565" s="235" t="s">
        <v>19677</v>
      </c>
      <c r="D2565" s="236" t="s">
        <v>5873</v>
      </c>
      <c r="E2565" s="15">
        <v>30396</v>
      </c>
      <c r="F2565" s="237">
        <v>42907</v>
      </c>
      <c r="G2565" s="15">
        <v>30396</v>
      </c>
      <c r="H2565" s="15">
        <f t="shared" si="40"/>
        <v>0</v>
      </c>
      <c r="I2565" s="236" t="s">
        <v>19682</v>
      </c>
    </row>
    <row r="2566" spans="1:9" x14ac:dyDescent="0.25">
      <c r="A2566" s="36">
        <v>42905</v>
      </c>
      <c r="B2566" s="18">
        <v>116667</v>
      </c>
      <c r="C2566" s="235" t="s">
        <v>19677</v>
      </c>
      <c r="D2566" s="236" t="s">
        <v>15448</v>
      </c>
      <c r="E2566" s="15">
        <v>179685.3</v>
      </c>
      <c r="F2566" s="237">
        <v>42910</v>
      </c>
      <c r="G2566" s="15">
        <v>179685.3</v>
      </c>
      <c r="H2566" s="15">
        <f t="shared" si="40"/>
        <v>0</v>
      </c>
      <c r="I2566" s="236" t="s">
        <v>19682</v>
      </c>
    </row>
    <row r="2567" spans="1:9" x14ac:dyDescent="0.25">
      <c r="A2567" s="242">
        <v>42905</v>
      </c>
      <c r="B2567" s="18">
        <v>116668</v>
      </c>
      <c r="C2567" s="235" t="s">
        <v>19677</v>
      </c>
      <c r="D2567" s="236" t="s">
        <v>15454</v>
      </c>
      <c r="E2567" s="15">
        <v>4180.3</v>
      </c>
      <c r="F2567" s="237">
        <v>42907</v>
      </c>
      <c r="G2567" s="15">
        <v>4180.3</v>
      </c>
      <c r="H2567" s="15">
        <f t="shared" si="40"/>
        <v>0</v>
      </c>
      <c r="I2567" s="236" t="s">
        <v>19682</v>
      </c>
    </row>
    <row r="2568" spans="1:9" x14ac:dyDescent="0.25">
      <c r="A2568" s="36">
        <v>42905</v>
      </c>
      <c r="B2568" s="18">
        <v>116669</v>
      </c>
      <c r="C2568" s="235" t="s">
        <v>19677</v>
      </c>
      <c r="D2568" s="236" t="s">
        <v>15452</v>
      </c>
      <c r="E2568" s="15">
        <v>4836.3</v>
      </c>
      <c r="F2568" s="237">
        <v>42907</v>
      </c>
      <c r="G2568" s="15">
        <v>4836.3</v>
      </c>
      <c r="H2568" s="15">
        <f t="shared" si="40"/>
        <v>0</v>
      </c>
      <c r="I2568" s="236" t="s">
        <v>19682</v>
      </c>
    </row>
    <row r="2569" spans="1:9" x14ac:dyDescent="0.25">
      <c r="A2569" s="242">
        <v>42905</v>
      </c>
      <c r="B2569" s="18">
        <v>116670</v>
      </c>
      <c r="C2569" s="235" t="s">
        <v>19677</v>
      </c>
      <c r="D2569" s="236" t="s">
        <v>15446</v>
      </c>
      <c r="E2569" s="15">
        <v>3240.8</v>
      </c>
      <c r="F2569" s="237">
        <v>42907</v>
      </c>
      <c r="G2569" s="15">
        <v>3240.8</v>
      </c>
      <c r="H2569" s="15">
        <f t="shared" si="40"/>
        <v>0</v>
      </c>
      <c r="I2569" s="236" t="s">
        <v>19682</v>
      </c>
    </row>
    <row r="2570" spans="1:9" x14ac:dyDescent="0.25">
      <c r="A2570" s="36">
        <v>42905</v>
      </c>
      <c r="B2570" s="18">
        <v>116671</v>
      </c>
      <c r="C2570" s="235" t="s">
        <v>19677</v>
      </c>
      <c r="D2570" s="236" t="s">
        <v>15452</v>
      </c>
      <c r="E2570" s="15">
        <v>1582.5</v>
      </c>
      <c r="F2570" s="237">
        <v>42907</v>
      </c>
      <c r="G2570" s="15">
        <v>1582.5</v>
      </c>
      <c r="H2570" s="15">
        <f t="shared" si="40"/>
        <v>0</v>
      </c>
      <c r="I2570" s="236" t="s">
        <v>19682</v>
      </c>
    </row>
    <row r="2571" spans="1:9" x14ac:dyDescent="0.25">
      <c r="A2571" s="242">
        <v>42905</v>
      </c>
      <c r="B2571" s="18">
        <v>116672</v>
      </c>
      <c r="C2571" s="235" t="s">
        <v>19677</v>
      </c>
      <c r="D2571" s="236" t="s">
        <v>19380</v>
      </c>
      <c r="E2571" s="15">
        <v>3721</v>
      </c>
      <c r="F2571" s="237">
        <v>42907</v>
      </c>
      <c r="G2571" s="15">
        <v>3721</v>
      </c>
      <c r="H2571" s="15">
        <f t="shared" si="40"/>
        <v>0</v>
      </c>
      <c r="I2571" s="236" t="s">
        <v>19682</v>
      </c>
    </row>
    <row r="2572" spans="1:9" x14ac:dyDescent="0.25">
      <c r="A2572" s="36">
        <v>42905</v>
      </c>
      <c r="B2572" s="18">
        <v>116673</v>
      </c>
      <c r="C2572" s="235" t="s">
        <v>19677</v>
      </c>
      <c r="D2572" s="236" t="s">
        <v>15450</v>
      </c>
      <c r="E2572" s="15">
        <v>2182</v>
      </c>
      <c r="F2572" s="237">
        <v>42907</v>
      </c>
      <c r="G2572" s="15">
        <v>2182</v>
      </c>
      <c r="H2572" s="15">
        <f t="shared" si="40"/>
        <v>0</v>
      </c>
      <c r="I2572" s="236" t="s">
        <v>19682</v>
      </c>
    </row>
    <row r="2573" spans="1:9" x14ac:dyDescent="0.25">
      <c r="A2573" s="242">
        <v>42905</v>
      </c>
      <c r="B2573" s="18">
        <v>116674</v>
      </c>
      <c r="C2573" s="235" t="s">
        <v>19677</v>
      </c>
      <c r="D2573" s="236" t="s">
        <v>15246</v>
      </c>
      <c r="E2573" s="15">
        <v>14533.6</v>
      </c>
      <c r="F2573" s="237">
        <v>42909</v>
      </c>
      <c r="G2573" s="15">
        <v>14533.6</v>
      </c>
      <c r="H2573" s="15">
        <f t="shared" si="40"/>
        <v>0</v>
      </c>
      <c r="I2573" s="236" t="s">
        <v>19682</v>
      </c>
    </row>
    <row r="2574" spans="1:9" x14ac:dyDescent="0.25">
      <c r="A2574" s="36">
        <v>42905</v>
      </c>
      <c r="B2574" s="18">
        <v>116675</v>
      </c>
      <c r="C2574" s="235" t="s">
        <v>19677</v>
      </c>
      <c r="D2574" s="236" t="s">
        <v>15230</v>
      </c>
      <c r="E2574" s="15">
        <v>22478.9</v>
      </c>
      <c r="F2574" s="237">
        <v>42907</v>
      </c>
      <c r="G2574" s="15">
        <v>22478.9</v>
      </c>
      <c r="H2574" s="15">
        <f t="shared" si="40"/>
        <v>0</v>
      </c>
      <c r="I2574" s="236" t="s">
        <v>19682</v>
      </c>
    </row>
    <row r="2575" spans="1:9" x14ac:dyDescent="0.25">
      <c r="A2575" s="242">
        <v>42905</v>
      </c>
      <c r="B2575" s="18">
        <v>116676</v>
      </c>
      <c r="C2575" s="235" t="s">
        <v>19677</v>
      </c>
      <c r="D2575" s="236" t="s">
        <v>15456</v>
      </c>
      <c r="E2575" s="15">
        <v>4968</v>
      </c>
      <c r="F2575" s="237">
        <v>42907</v>
      </c>
      <c r="G2575" s="15">
        <v>4968</v>
      </c>
      <c r="H2575" s="15">
        <f t="shared" si="40"/>
        <v>0</v>
      </c>
      <c r="I2575" s="236" t="s">
        <v>19682</v>
      </c>
    </row>
    <row r="2576" spans="1:9" x14ac:dyDescent="0.25">
      <c r="A2576" s="36">
        <v>42905</v>
      </c>
      <c r="B2576" s="18">
        <v>116677</v>
      </c>
      <c r="C2576" s="235" t="s">
        <v>19677</v>
      </c>
      <c r="D2576" s="236" t="s">
        <v>15458</v>
      </c>
      <c r="E2576" s="15">
        <v>5719</v>
      </c>
      <c r="F2576" s="237">
        <v>42907</v>
      </c>
      <c r="G2576" s="15">
        <v>5719</v>
      </c>
      <c r="H2576" s="15">
        <f t="shared" si="40"/>
        <v>0</v>
      </c>
      <c r="I2576" s="236" t="s">
        <v>19682</v>
      </c>
    </row>
    <row r="2577" spans="1:9" x14ac:dyDescent="0.25">
      <c r="A2577" s="242">
        <v>42906</v>
      </c>
      <c r="B2577" s="18">
        <v>116678</v>
      </c>
      <c r="C2577" s="235" t="s">
        <v>19677</v>
      </c>
      <c r="D2577" s="236" t="s">
        <v>15213</v>
      </c>
      <c r="E2577" s="15">
        <v>7155.2</v>
      </c>
      <c r="F2577" s="237">
        <v>42907</v>
      </c>
      <c r="G2577" s="15">
        <v>7155.2</v>
      </c>
      <c r="H2577" s="15">
        <f t="shared" si="40"/>
        <v>0</v>
      </c>
      <c r="I2577" s="236" t="s">
        <v>19682</v>
      </c>
    </row>
    <row r="2578" spans="1:9" x14ac:dyDescent="0.25">
      <c r="A2578" s="36">
        <v>42906</v>
      </c>
      <c r="B2578" s="18">
        <v>116679</v>
      </c>
      <c r="C2578" s="235" t="s">
        <v>19677</v>
      </c>
      <c r="D2578" s="236" t="s">
        <v>15213</v>
      </c>
      <c r="E2578" s="15">
        <v>42735.4</v>
      </c>
      <c r="F2578" s="237">
        <v>42908</v>
      </c>
      <c r="G2578" s="15">
        <v>42735.4</v>
      </c>
      <c r="H2578" s="15">
        <f t="shared" si="40"/>
        <v>0</v>
      </c>
      <c r="I2578" s="236" t="s">
        <v>19682</v>
      </c>
    </row>
    <row r="2579" spans="1:9" x14ac:dyDescent="0.25">
      <c r="A2579" s="242">
        <v>42906</v>
      </c>
      <c r="B2579" s="18">
        <v>116680</v>
      </c>
      <c r="C2579" s="235" t="s">
        <v>19677</v>
      </c>
      <c r="D2579" s="236" t="s">
        <v>15448</v>
      </c>
      <c r="E2579" s="15">
        <v>45284.5</v>
      </c>
      <c r="F2579" s="237">
        <v>42910</v>
      </c>
      <c r="G2579" s="15">
        <v>45284.5</v>
      </c>
      <c r="H2579" s="15">
        <f t="shared" si="40"/>
        <v>0</v>
      </c>
      <c r="I2579" s="236" t="s">
        <v>19682</v>
      </c>
    </row>
    <row r="2580" spans="1:9" x14ac:dyDescent="0.25">
      <c r="A2580" s="36">
        <v>42906</v>
      </c>
      <c r="B2580" s="18">
        <v>116681</v>
      </c>
      <c r="C2580" s="235" t="s">
        <v>19677</v>
      </c>
      <c r="D2580" s="236" t="s">
        <v>15330</v>
      </c>
      <c r="E2580" s="15">
        <v>3386.4</v>
      </c>
      <c r="F2580" s="237">
        <v>42906</v>
      </c>
      <c r="G2580" s="15">
        <v>3386.4</v>
      </c>
      <c r="H2580" s="15">
        <f t="shared" si="40"/>
        <v>0</v>
      </c>
      <c r="I2580" s="236" t="s">
        <v>19682</v>
      </c>
    </row>
    <row r="2581" spans="1:9" x14ac:dyDescent="0.25">
      <c r="A2581" s="242">
        <v>42906</v>
      </c>
      <c r="B2581" s="18">
        <v>116682</v>
      </c>
      <c r="C2581" s="235" t="s">
        <v>19677</v>
      </c>
      <c r="D2581" s="236" t="s">
        <v>15242</v>
      </c>
      <c r="E2581" s="15">
        <v>5220</v>
      </c>
      <c r="F2581" s="237">
        <v>42907</v>
      </c>
      <c r="G2581" s="15">
        <v>5220</v>
      </c>
      <c r="H2581" s="15">
        <f t="shared" si="40"/>
        <v>0</v>
      </c>
      <c r="I2581" s="236" t="s">
        <v>19682</v>
      </c>
    </row>
    <row r="2582" spans="1:9" x14ac:dyDescent="0.25">
      <c r="A2582" s="36">
        <v>42906</v>
      </c>
      <c r="B2582" s="18">
        <v>116683</v>
      </c>
      <c r="C2582" s="235" t="s">
        <v>19677</v>
      </c>
      <c r="D2582" s="236" t="s">
        <v>15365</v>
      </c>
      <c r="E2582" s="15">
        <v>27782.82</v>
      </c>
      <c r="F2582" s="237">
        <v>42908</v>
      </c>
      <c r="G2582" s="15">
        <v>27782.82</v>
      </c>
      <c r="H2582" s="15">
        <f t="shared" si="40"/>
        <v>0</v>
      </c>
      <c r="I2582" s="236" t="s">
        <v>19682</v>
      </c>
    </row>
    <row r="2583" spans="1:9" x14ac:dyDescent="0.25">
      <c r="A2583" s="242">
        <v>42906</v>
      </c>
      <c r="B2583" s="18">
        <v>116684</v>
      </c>
      <c r="C2583" s="235" t="s">
        <v>19677</v>
      </c>
      <c r="D2583" s="236" t="s">
        <v>15267</v>
      </c>
      <c r="E2583" s="15">
        <v>16305.6</v>
      </c>
      <c r="F2583" s="237">
        <v>42906</v>
      </c>
      <c r="G2583" s="15">
        <v>16305.6</v>
      </c>
      <c r="H2583" s="15">
        <f t="shared" si="40"/>
        <v>0</v>
      </c>
      <c r="I2583" s="236" t="s">
        <v>19682</v>
      </c>
    </row>
    <row r="2584" spans="1:9" x14ac:dyDescent="0.25">
      <c r="A2584" s="36">
        <v>42906</v>
      </c>
      <c r="B2584" s="18">
        <v>116685</v>
      </c>
      <c r="C2584" s="235" t="s">
        <v>19677</v>
      </c>
      <c r="D2584" s="236" t="s">
        <v>15324</v>
      </c>
      <c r="E2584" s="15">
        <v>2360</v>
      </c>
      <c r="F2584" s="237">
        <v>42906</v>
      </c>
      <c r="G2584" s="15">
        <v>2360</v>
      </c>
      <c r="H2584" s="15">
        <f t="shared" si="40"/>
        <v>0</v>
      </c>
      <c r="I2584" s="236" t="s">
        <v>19682</v>
      </c>
    </row>
    <row r="2585" spans="1:9" x14ac:dyDescent="0.25">
      <c r="A2585" s="242">
        <v>42906</v>
      </c>
      <c r="B2585" s="18">
        <v>116686</v>
      </c>
      <c r="C2585" s="235" t="s">
        <v>19677</v>
      </c>
      <c r="D2585" s="236" t="s">
        <v>15330</v>
      </c>
      <c r="E2585" s="15">
        <v>4712.7</v>
      </c>
      <c r="F2585" s="237">
        <v>42906</v>
      </c>
      <c r="G2585" s="15">
        <v>4712.7</v>
      </c>
      <c r="H2585" s="15">
        <f t="shared" si="40"/>
        <v>0</v>
      </c>
      <c r="I2585" s="236" t="s">
        <v>19682</v>
      </c>
    </row>
    <row r="2586" spans="1:9" x14ac:dyDescent="0.25">
      <c r="A2586" s="36">
        <v>42906</v>
      </c>
      <c r="B2586" s="18">
        <v>116687</v>
      </c>
      <c r="C2586" s="235" t="s">
        <v>19677</v>
      </c>
      <c r="D2586" s="236" t="s">
        <v>15226</v>
      </c>
      <c r="E2586" s="15">
        <v>1927.4</v>
      </c>
      <c r="F2586" s="237">
        <v>42907</v>
      </c>
      <c r="G2586" s="15">
        <v>1927.4</v>
      </c>
      <c r="H2586" s="15">
        <f t="shared" si="40"/>
        <v>0</v>
      </c>
      <c r="I2586" s="236" t="s">
        <v>19682</v>
      </c>
    </row>
    <row r="2587" spans="1:9" x14ac:dyDescent="0.25">
      <c r="A2587" s="242">
        <v>42906</v>
      </c>
      <c r="B2587" s="18">
        <v>116688</v>
      </c>
      <c r="C2587" s="235" t="s">
        <v>19677</v>
      </c>
      <c r="D2587" s="236" t="s">
        <v>15234</v>
      </c>
      <c r="E2587" s="15">
        <v>3720</v>
      </c>
      <c r="F2587" s="237">
        <v>42909</v>
      </c>
      <c r="G2587" s="15">
        <v>3720</v>
      </c>
      <c r="H2587" s="15">
        <f t="shared" si="40"/>
        <v>0</v>
      </c>
      <c r="I2587" s="236" t="s">
        <v>19682</v>
      </c>
    </row>
    <row r="2588" spans="1:9" x14ac:dyDescent="0.25">
      <c r="A2588" s="36">
        <v>42906</v>
      </c>
      <c r="B2588" s="18">
        <v>116689</v>
      </c>
      <c r="C2588" s="235" t="s">
        <v>19677</v>
      </c>
      <c r="D2588" s="236" t="s">
        <v>15258</v>
      </c>
      <c r="E2588" s="15">
        <v>11912</v>
      </c>
      <c r="F2588" s="237">
        <v>42909</v>
      </c>
      <c r="G2588" s="15">
        <v>11912</v>
      </c>
      <c r="H2588" s="15">
        <f t="shared" si="40"/>
        <v>0</v>
      </c>
      <c r="I2588" s="236" t="s">
        <v>19682</v>
      </c>
    </row>
    <row r="2589" spans="1:9" x14ac:dyDescent="0.25">
      <c r="A2589" s="242">
        <v>42906</v>
      </c>
      <c r="B2589" s="18">
        <v>116690</v>
      </c>
      <c r="C2589" s="235" t="s">
        <v>19677</v>
      </c>
      <c r="D2589" s="236" t="s">
        <v>15272</v>
      </c>
      <c r="E2589" s="15">
        <v>20142.900000000001</v>
      </c>
      <c r="F2589" s="237">
        <v>42906</v>
      </c>
      <c r="G2589" s="15">
        <v>20142.900000000001</v>
      </c>
      <c r="H2589" s="15">
        <f t="shared" si="40"/>
        <v>0</v>
      </c>
      <c r="I2589" s="236" t="s">
        <v>19682</v>
      </c>
    </row>
    <row r="2590" spans="1:9" x14ac:dyDescent="0.25">
      <c r="A2590" s="36">
        <v>42906</v>
      </c>
      <c r="B2590" s="18">
        <v>116691</v>
      </c>
      <c r="C2590" s="235" t="s">
        <v>19677</v>
      </c>
      <c r="D2590" s="236" t="s">
        <v>15256</v>
      </c>
      <c r="E2590" s="15">
        <v>4160</v>
      </c>
      <c r="F2590" s="237">
        <v>42907</v>
      </c>
      <c r="G2590" s="15">
        <v>4160</v>
      </c>
      <c r="H2590" s="15">
        <f t="shared" si="40"/>
        <v>0</v>
      </c>
      <c r="I2590" s="236" t="s">
        <v>19682</v>
      </c>
    </row>
    <row r="2591" spans="1:9" x14ac:dyDescent="0.25">
      <c r="A2591" s="242">
        <v>42906</v>
      </c>
      <c r="B2591" s="18">
        <v>116692</v>
      </c>
      <c r="C2591" s="235" t="s">
        <v>19677</v>
      </c>
      <c r="D2591" s="236" t="s">
        <v>15590</v>
      </c>
      <c r="E2591" s="15">
        <v>26815.5</v>
      </c>
      <c r="F2591" s="237">
        <v>42915</v>
      </c>
      <c r="G2591" s="15">
        <v>26815.5</v>
      </c>
      <c r="H2591" s="15">
        <f t="shared" si="40"/>
        <v>0</v>
      </c>
      <c r="I2591" s="236" t="s">
        <v>19682</v>
      </c>
    </row>
    <row r="2592" spans="1:9" x14ac:dyDescent="0.25">
      <c r="A2592" s="36">
        <v>42906</v>
      </c>
      <c r="B2592" s="18">
        <v>116693</v>
      </c>
      <c r="C2592" s="235" t="s">
        <v>19677</v>
      </c>
      <c r="D2592" s="236" t="s">
        <v>15284</v>
      </c>
      <c r="E2592" s="15">
        <v>3905.82</v>
      </c>
      <c r="F2592" s="237">
        <v>42906</v>
      </c>
      <c r="G2592" s="15">
        <v>3905.82</v>
      </c>
      <c r="H2592" s="15">
        <f t="shared" si="40"/>
        <v>0</v>
      </c>
      <c r="I2592" s="236" t="s">
        <v>19682</v>
      </c>
    </row>
    <row r="2593" spans="1:9" ht="15.75" x14ac:dyDescent="0.25">
      <c r="A2593" s="242">
        <v>42906</v>
      </c>
      <c r="B2593" s="18">
        <v>116694</v>
      </c>
      <c r="C2593" s="235" t="s">
        <v>19677</v>
      </c>
      <c r="D2593" s="248" t="s">
        <v>95</v>
      </c>
      <c r="E2593" s="15">
        <v>0</v>
      </c>
      <c r="F2593" s="243" t="s">
        <v>95</v>
      </c>
      <c r="G2593" s="15">
        <v>0</v>
      </c>
      <c r="H2593" s="15">
        <f t="shared" si="40"/>
        <v>0</v>
      </c>
      <c r="I2593" s="236" t="s">
        <v>19678</v>
      </c>
    </row>
    <row r="2594" spans="1:9" x14ac:dyDescent="0.25">
      <c r="A2594" s="36">
        <v>42906</v>
      </c>
      <c r="B2594" s="18">
        <v>116695</v>
      </c>
      <c r="C2594" s="235" t="s">
        <v>19677</v>
      </c>
      <c r="D2594" s="236" t="s">
        <v>15363</v>
      </c>
      <c r="E2594" s="15">
        <v>982.5</v>
      </c>
      <c r="F2594" s="237">
        <v>42908</v>
      </c>
      <c r="G2594" s="15">
        <v>982.5</v>
      </c>
      <c r="H2594" s="15">
        <f t="shared" si="40"/>
        <v>0</v>
      </c>
      <c r="I2594" s="236" t="s">
        <v>19682</v>
      </c>
    </row>
    <row r="2595" spans="1:9" x14ac:dyDescent="0.25">
      <c r="A2595" s="242">
        <v>42906</v>
      </c>
      <c r="B2595" s="18">
        <v>116696</v>
      </c>
      <c r="C2595" s="235" t="s">
        <v>19677</v>
      </c>
      <c r="D2595" s="236" t="s">
        <v>15668</v>
      </c>
      <c r="E2595" s="15">
        <v>19023.8</v>
      </c>
      <c r="F2595" s="237">
        <v>42907</v>
      </c>
      <c r="G2595" s="15">
        <v>19023.8</v>
      </c>
      <c r="H2595" s="15">
        <f t="shared" si="40"/>
        <v>0</v>
      </c>
      <c r="I2595" s="236" t="s">
        <v>19682</v>
      </c>
    </row>
    <row r="2596" spans="1:9" x14ac:dyDescent="0.25">
      <c r="A2596" s="36">
        <v>42906</v>
      </c>
      <c r="B2596" s="18">
        <v>116697</v>
      </c>
      <c r="C2596" s="235" t="s">
        <v>19677</v>
      </c>
      <c r="D2596" s="236" t="s">
        <v>15391</v>
      </c>
      <c r="E2596" s="15">
        <v>7273</v>
      </c>
      <c r="F2596" s="237">
        <v>42913</v>
      </c>
      <c r="G2596" s="15">
        <v>7273</v>
      </c>
      <c r="H2596" s="15">
        <f t="shared" si="40"/>
        <v>0</v>
      </c>
      <c r="I2596" s="236" t="s">
        <v>19682</v>
      </c>
    </row>
    <row r="2597" spans="1:9" x14ac:dyDescent="0.25">
      <c r="A2597" s="242">
        <v>42906</v>
      </c>
      <c r="B2597" s="18">
        <v>116698</v>
      </c>
      <c r="C2597" s="235" t="s">
        <v>19677</v>
      </c>
      <c r="D2597" s="236" t="s">
        <v>15223</v>
      </c>
      <c r="E2597" s="15">
        <v>48720</v>
      </c>
      <c r="F2597" s="237" t="s">
        <v>19800</v>
      </c>
      <c r="G2597" s="241">
        <f>44183.85+4536.15</f>
        <v>48720</v>
      </c>
      <c r="H2597" s="241">
        <f t="shared" si="40"/>
        <v>0</v>
      </c>
      <c r="I2597" s="236" t="s">
        <v>19682</v>
      </c>
    </row>
    <row r="2598" spans="1:9" x14ac:dyDescent="0.25">
      <c r="A2598" s="36">
        <v>42906</v>
      </c>
      <c r="B2598" s="18">
        <v>116699</v>
      </c>
      <c r="C2598" s="235" t="s">
        <v>19677</v>
      </c>
      <c r="D2598" s="236" t="s">
        <v>17462</v>
      </c>
      <c r="E2598" s="15">
        <v>5857.6</v>
      </c>
      <c r="F2598" s="237">
        <v>42906</v>
      </c>
      <c r="G2598" s="15">
        <v>5857.6</v>
      </c>
      <c r="H2598" s="15">
        <f t="shared" si="40"/>
        <v>0</v>
      </c>
      <c r="I2598" s="236" t="s">
        <v>19682</v>
      </c>
    </row>
    <row r="2599" spans="1:9" x14ac:dyDescent="0.25">
      <c r="A2599" s="242">
        <v>42906</v>
      </c>
      <c r="B2599" s="18">
        <v>116700</v>
      </c>
      <c r="C2599" s="235" t="s">
        <v>19677</v>
      </c>
      <c r="D2599" s="236" t="s">
        <v>17462</v>
      </c>
      <c r="E2599" s="15">
        <v>1588.6</v>
      </c>
      <c r="F2599" s="237">
        <v>42906</v>
      </c>
      <c r="G2599" s="15">
        <v>1588.6</v>
      </c>
      <c r="H2599" s="15">
        <f t="shared" si="40"/>
        <v>0</v>
      </c>
      <c r="I2599" s="236" t="s">
        <v>19682</v>
      </c>
    </row>
    <row r="2600" spans="1:9" x14ac:dyDescent="0.25">
      <c r="A2600" s="36">
        <v>42906</v>
      </c>
      <c r="B2600" s="18">
        <v>116701</v>
      </c>
      <c r="C2600" s="235" t="s">
        <v>19677</v>
      </c>
      <c r="D2600" s="236" t="s">
        <v>15594</v>
      </c>
      <c r="E2600" s="15">
        <v>1969.8</v>
      </c>
      <c r="F2600" s="237">
        <v>42908</v>
      </c>
      <c r="G2600" s="15">
        <v>1969.8</v>
      </c>
      <c r="H2600" s="15">
        <f t="shared" si="40"/>
        <v>0</v>
      </c>
      <c r="I2600" s="236" t="s">
        <v>19682</v>
      </c>
    </row>
    <row r="2601" spans="1:9" x14ac:dyDescent="0.25">
      <c r="A2601" s="242">
        <v>42906</v>
      </c>
      <c r="B2601" s="18">
        <v>116702</v>
      </c>
      <c r="C2601" s="235" t="s">
        <v>19677</v>
      </c>
      <c r="D2601" s="236" t="s">
        <v>15232</v>
      </c>
      <c r="E2601" s="15">
        <v>8874</v>
      </c>
      <c r="F2601" s="237">
        <v>42915</v>
      </c>
      <c r="G2601" s="15">
        <v>8874</v>
      </c>
      <c r="H2601" s="15">
        <f t="shared" si="40"/>
        <v>0</v>
      </c>
      <c r="I2601" s="236" t="s">
        <v>19682</v>
      </c>
    </row>
    <row r="2602" spans="1:9" x14ac:dyDescent="0.25">
      <c r="A2602" s="36">
        <v>42906</v>
      </c>
      <c r="B2602" s="18">
        <v>116703</v>
      </c>
      <c r="C2602" s="235" t="s">
        <v>19677</v>
      </c>
      <c r="D2602" s="236" t="s">
        <v>15236</v>
      </c>
      <c r="E2602" s="15">
        <v>385</v>
      </c>
      <c r="F2602" s="237">
        <v>42908</v>
      </c>
      <c r="G2602" s="15">
        <v>385</v>
      </c>
      <c r="H2602" s="15">
        <f t="shared" si="40"/>
        <v>0</v>
      </c>
      <c r="I2602" s="236" t="s">
        <v>19682</v>
      </c>
    </row>
    <row r="2603" spans="1:9" x14ac:dyDescent="0.25">
      <c r="A2603" s="242">
        <v>42906</v>
      </c>
      <c r="B2603" s="18">
        <v>116704</v>
      </c>
      <c r="C2603" s="235" t="s">
        <v>19677</v>
      </c>
      <c r="D2603" s="236" t="s">
        <v>15238</v>
      </c>
      <c r="E2603" s="15">
        <v>6220.6</v>
      </c>
      <c r="F2603" s="237">
        <v>42908</v>
      </c>
      <c r="G2603" s="15">
        <v>6220.6</v>
      </c>
      <c r="H2603" s="15">
        <f t="shared" si="40"/>
        <v>0</v>
      </c>
      <c r="I2603" s="236" t="s">
        <v>19682</v>
      </c>
    </row>
    <row r="2604" spans="1:9" x14ac:dyDescent="0.25">
      <c r="A2604" s="36">
        <v>42906</v>
      </c>
      <c r="B2604" s="18">
        <v>116705</v>
      </c>
      <c r="C2604" s="235" t="s">
        <v>19677</v>
      </c>
      <c r="D2604" s="236" t="s">
        <v>15230</v>
      </c>
      <c r="E2604" s="15">
        <v>10212.200000000001</v>
      </c>
      <c r="F2604" s="237">
        <v>42908</v>
      </c>
      <c r="G2604" s="15">
        <v>10212.200000000001</v>
      </c>
      <c r="H2604" s="15">
        <f t="shared" si="40"/>
        <v>0</v>
      </c>
      <c r="I2604" s="236" t="s">
        <v>19682</v>
      </c>
    </row>
    <row r="2605" spans="1:9" x14ac:dyDescent="0.25">
      <c r="A2605" s="242">
        <v>42906</v>
      </c>
      <c r="B2605" s="18">
        <v>116706</v>
      </c>
      <c r="C2605" s="235" t="s">
        <v>19677</v>
      </c>
      <c r="D2605" s="236" t="s">
        <v>15480</v>
      </c>
      <c r="E2605" s="15">
        <v>3680</v>
      </c>
      <c r="F2605" s="237">
        <v>42912</v>
      </c>
      <c r="G2605" s="15">
        <v>3680</v>
      </c>
      <c r="H2605" s="15">
        <f t="shared" si="40"/>
        <v>0</v>
      </c>
      <c r="I2605" s="236" t="s">
        <v>19682</v>
      </c>
    </row>
    <row r="2606" spans="1:9" x14ac:dyDescent="0.25">
      <c r="A2606" s="36">
        <v>42906</v>
      </c>
      <c r="B2606" s="18">
        <v>116707</v>
      </c>
      <c r="C2606" s="235" t="s">
        <v>19677</v>
      </c>
      <c r="D2606" s="236" t="s">
        <v>15385</v>
      </c>
      <c r="E2606" s="15">
        <v>14363.2</v>
      </c>
      <c r="F2606" s="237">
        <v>42908</v>
      </c>
      <c r="G2606" s="15">
        <v>14363.2</v>
      </c>
      <c r="H2606" s="15">
        <f t="shared" si="40"/>
        <v>0</v>
      </c>
      <c r="I2606" s="236" t="s">
        <v>19682</v>
      </c>
    </row>
    <row r="2607" spans="1:9" x14ac:dyDescent="0.25">
      <c r="A2607" s="242">
        <v>42906</v>
      </c>
      <c r="B2607" s="18">
        <v>116708</v>
      </c>
      <c r="C2607" s="235" t="s">
        <v>19677</v>
      </c>
      <c r="D2607" s="236" t="s">
        <v>15385</v>
      </c>
      <c r="E2607" s="15">
        <v>629.6</v>
      </c>
      <c r="F2607" s="237">
        <v>42908</v>
      </c>
      <c r="G2607" s="15">
        <v>629.6</v>
      </c>
      <c r="H2607" s="15">
        <f t="shared" si="40"/>
        <v>0</v>
      </c>
      <c r="I2607" s="236" t="s">
        <v>19682</v>
      </c>
    </row>
    <row r="2608" spans="1:9" x14ac:dyDescent="0.25">
      <c r="A2608" s="36">
        <v>42906</v>
      </c>
      <c r="B2608" s="18">
        <v>116709</v>
      </c>
      <c r="C2608" s="235" t="s">
        <v>19677</v>
      </c>
      <c r="D2608" s="236" t="s">
        <v>15581</v>
      </c>
      <c r="E2608" s="15">
        <v>15395.8</v>
      </c>
      <c r="F2608" s="237">
        <v>42910</v>
      </c>
      <c r="G2608" s="15">
        <v>15395.8</v>
      </c>
      <c r="H2608" s="15">
        <f t="shared" si="40"/>
        <v>0</v>
      </c>
      <c r="I2608" s="236" t="s">
        <v>19682</v>
      </c>
    </row>
    <row r="2609" spans="1:9" x14ac:dyDescent="0.25">
      <c r="A2609" s="242">
        <v>42906</v>
      </c>
      <c r="B2609" s="18">
        <v>116710</v>
      </c>
      <c r="C2609" s="235" t="s">
        <v>19677</v>
      </c>
      <c r="D2609" s="236" t="s">
        <v>15220</v>
      </c>
      <c r="E2609" s="15">
        <v>2208</v>
      </c>
      <c r="F2609" s="237">
        <v>42908</v>
      </c>
      <c r="G2609" s="15">
        <v>2208</v>
      </c>
      <c r="H2609" s="15">
        <f t="shared" si="40"/>
        <v>0</v>
      </c>
      <c r="I2609" s="236" t="s">
        <v>19682</v>
      </c>
    </row>
    <row r="2610" spans="1:9" x14ac:dyDescent="0.25">
      <c r="A2610" s="36">
        <v>42906</v>
      </c>
      <c r="B2610" s="18">
        <v>116711</v>
      </c>
      <c r="C2610" s="235" t="s">
        <v>19677</v>
      </c>
      <c r="D2610" s="236" t="s">
        <v>17235</v>
      </c>
      <c r="E2610" s="15">
        <v>690</v>
      </c>
      <c r="F2610" s="237">
        <v>42908</v>
      </c>
      <c r="G2610" s="15">
        <v>690</v>
      </c>
      <c r="H2610" s="15">
        <f t="shared" si="40"/>
        <v>0</v>
      </c>
      <c r="I2610" s="236" t="s">
        <v>19682</v>
      </c>
    </row>
    <row r="2611" spans="1:9" x14ac:dyDescent="0.25">
      <c r="A2611" s="242">
        <v>42906</v>
      </c>
      <c r="B2611" s="18">
        <v>116712</v>
      </c>
      <c r="C2611" s="235" t="s">
        <v>19677</v>
      </c>
      <c r="D2611" s="236" t="s">
        <v>15594</v>
      </c>
      <c r="E2611" s="15">
        <v>2052</v>
      </c>
      <c r="F2611" s="237">
        <v>42908</v>
      </c>
      <c r="G2611" s="15">
        <v>2052</v>
      </c>
      <c r="H2611" s="15">
        <f t="shared" si="40"/>
        <v>0</v>
      </c>
      <c r="I2611" s="236" t="s">
        <v>19682</v>
      </c>
    </row>
    <row r="2612" spans="1:9" x14ac:dyDescent="0.25">
      <c r="A2612" s="36">
        <v>42906</v>
      </c>
      <c r="B2612" s="18">
        <v>116713</v>
      </c>
      <c r="C2612" s="235" t="s">
        <v>19677</v>
      </c>
      <c r="D2612" s="236" t="s">
        <v>15326</v>
      </c>
      <c r="E2612" s="15">
        <v>3168.8</v>
      </c>
      <c r="F2612" s="237">
        <v>42906</v>
      </c>
      <c r="G2612" s="15">
        <v>3168.8</v>
      </c>
      <c r="H2612" s="15">
        <f t="shared" si="40"/>
        <v>0</v>
      </c>
      <c r="I2612" s="236" t="s">
        <v>19682</v>
      </c>
    </row>
    <row r="2613" spans="1:9" x14ac:dyDescent="0.25">
      <c r="A2613" s="242">
        <v>42906</v>
      </c>
      <c r="B2613" s="18">
        <v>116714</v>
      </c>
      <c r="C2613" s="235" t="s">
        <v>19677</v>
      </c>
      <c r="D2613" s="236" t="s">
        <v>15315</v>
      </c>
      <c r="E2613" s="15">
        <v>6124.5</v>
      </c>
      <c r="F2613" s="237">
        <v>42906</v>
      </c>
      <c r="G2613" s="15">
        <v>6124.5</v>
      </c>
      <c r="H2613" s="15">
        <f t="shared" si="40"/>
        <v>0</v>
      </c>
      <c r="I2613" s="236" t="s">
        <v>19682</v>
      </c>
    </row>
    <row r="2614" spans="1:9" x14ac:dyDescent="0.25">
      <c r="A2614" s="36">
        <v>42906</v>
      </c>
      <c r="B2614" s="18">
        <v>116715</v>
      </c>
      <c r="C2614" s="235" t="s">
        <v>19677</v>
      </c>
      <c r="D2614" s="236" t="s">
        <v>15263</v>
      </c>
      <c r="E2614" s="15">
        <v>3504</v>
      </c>
      <c r="F2614" s="237">
        <v>42906</v>
      </c>
      <c r="G2614" s="15">
        <v>3504</v>
      </c>
      <c r="H2614" s="15">
        <f t="shared" si="40"/>
        <v>0</v>
      </c>
      <c r="I2614" s="236" t="s">
        <v>19682</v>
      </c>
    </row>
    <row r="2615" spans="1:9" x14ac:dyDescent="0.25">
      <c r="A2615" s="242">
        <v>42906</v>
      </c>
      <c r="B2615" s="18">
        <v>116716</v>
      </c>
      <c r="C2615" s="235" t="s">
        <v>19677</v>
      </c>
      <c r="D2615" s="236" t="s">
        <v>15282</v>
      </c>
      <c r="E2615" s="15">
        <v>2019.4</v>
      </c>
      <c r="F2615" s="237">
        <v>42906</v>
      </c>
      <c r="G2615" s="15">
        <v>2019.4</v>
      </c>
      <c r="H2615" s="15">
        <f t="shared" si="40"/>
        <v>0</v>
      </c>
      <c r="I2615" s="236" t="s">
        <v>19682</v>
      </c>
    </row>
    <row r="2616" spans="1:9" x14ac:dyDescent="0.25">
      <c r="A2616" s="36">
        <v>42906</v>
      </c>
      <c r="B2616" s="18">
        <v>116717</v>
      </c>
      <c r="C2616" s="235" t="s">
        <v>19677</v>
      </c>
      <c r="D2616" s="236" t="s">
        <v>15789</v>
      </c>
      <c r="E2616" s="15">
        <v>12778.8</v>
      </c>
      <c r="F2616" s="237">
        <v>42910</v>
      </c>
      <c r="G2616" s="15">
        <v>12778.8</v>
      </c>
      <c r="H2616" s="15">
        <f t="shared" si="40"/>
        <v>0</v>
      </c>
      <c r="I2616" s="236" t="s">
        <v>19682</v>
      </c>
    </row>
    <row r="2617" spans="1:9" x14ac:dyDescent="0.25">
      <c r="A2617" s="242">
        <v>42906</v>
      </c>
      <c r="B2617" s="18">
        <v>116718</v>
      </c>
      <c r="C2617" s="235" t="s">
        <v>19677</v>
      </c>
      <c r="D2617" s="236" t="s">
        <v>15289</v>
      </c>
      <c r="E2617" s="15">
        <v>1639.3</v>
      </c>
      <c r="F2617" s="237">
        <v>42906</v>
      </c>
      <c r="G2617" s="15">
        <v>1639.3</v>
      </c>
      <c r="H2617" s="15">
        <f t="shared" si="40"/>
        <v>0</v>
      </c>
      <c r="I2617" s="236" t="s">
        <v>19682</v>
      </c>
    </row>
    <row r="2618" spans="1:9" x14ac:dyDescent="0.25">
      <c r="A2618" s="36">
        <v>42906</v>
      </c>
      <c r="B2618" s="18">
        <v>116719</v>
      </c>
      <c r="C2618" s="235" t="s">
        <v>19677</v>
      </c>
      <c r="D2618" s="236" t="s">
        <v>17057</v>
      </c>
      <c r="E2618" s="15">
        <v>930</v>
      </c>
      <c r="F2618" s="237">
        <v>42906</v>
      </c>
      <c r="G2618" s="15">
        <v>930</v>
      </c>
      <c r="H2618" s="15">
        <f t="shared" si="40"/>
        <v>0</v>
      </c>
      <c r="I2618" s="236" t="s">
        <v>19682</v>
      </c>
    </row>
    <row r="2619" spans="1:9" x14ac:dyDescent="0.25">
      <c r="A2619" s="242">
        <v>42906</v>
      </c>
      <c r="B2619" s="18">
        <v>116720</v>
      </c>
      <c r="C2619" s="235" t="s">
        <v>19677</v>
      </c>
      <c r="D2619" s="236" t="s">
        <v>15261</v>
      </c>
      <c r="E2619" s="15">
        <v>25216.6</v>
      </c>
      <c r="F2619" s="237">
        <v>42906</v>
      </c>
      <c r="G2619" s="15">
        <v>25216.6</v>
      </c>
      <c r="H2619" s="15">
        <f t="shared" si="40"/>
        <v>0</v>
      </c>
      <c r="I2619" s="236" t="s">
        <v>19682</v>
      </c>
    </row>
    <row r="2620" spans="1:9" x14ac:dyDescent="0.25">
      <c r="A2620" s="36">
        <v>42906</v>
      </c>
      <c r="B2620" s="18">
        <v>116721</v>
      </c>
      <c r="C2620" s="235" t="s">
        <v>19677</v>
      </c>
      <c r="D2620" s="236" t="s">
        <v>15261</v>
      </c>
      <c r="E2620" s="15">
        <v>361.6</v>
      </c>
      <c r="F2620" s="237">
        <v>42906</v>
      </c>
      <c r="G2620" s="15">
        <v>361.6</v>
      </c>
      <c r="H2620" s="15">
        <f t="shared" si="40"/>
        <v>0</v>
      </c>
      <c r="I2620" s="236" t="s">
        <v>19682</v>
      </c>
    </row>
    <row r="2621" spans="1:9" x14ac:dyDescent="0.25">
      <c r="A2621" s="242">
        <v>42906</v>
      </c>
      <c r="B2621" s="18">
        <v>116722</v>
      </c>
      <c r="C2621" s="235" t="s">
        <v>19677</v>
      </c>
      <c r="D2621" s="236" t="s">
        <v>15280</v>
      </c>
      <c r="E2621" s="15">
        <v>3785.8</v>
      </c>
      <c r="F2621" s="237">
        <v>42906</v>
      </c>
      <c r="G2621" s="15">
        <v>3785.8</v>
      </c>
      <c r="H2621" s="15">
        <f t="shared" si="40"/>
        <v>0</v>
      </c>
      <c r="I2621" s="236" t="s">
        <v>19682</v>
      </c>
    </row>
    <row r="2622" spans="1:9" x14ac:dyDescent="0.25">
      <c r="A2622" s="36">
        <v>42906</v>
      </c>
      <c r="B2622" s="18">
        <v>116723</v>
      </c>
      <c r="C2622" s="235" t="s">
        <v>19677</v>
      </c>
      <c r="D2622" s="236" t="s">
        <v>15404</v>
      </c>
      <c r="E2622" s="15">
        <v>9579.6</v>
      </c>
      <c r="F2622" s="237">
        <v>42906</v>
      </c>
      <c r="G2622" s="15">
        <v>9579.6</v>
      </c>
      <c r="H2622" s="15">
        <f t="shared" si="40"/>
        <v>0</v>
      </c>
      <c r="I2622" s="236" t="s">
        <v>19682</v>
      </c>
    </row>
    <row r="2623" spans="1:9" x14ac:dyDescent="0.25">
      <c r="A2623" s="242">
        <v>42906</v>
      </c>
      <c r="B2623" s="18">
        <v>116724</v>
      </c>
      <c r="C2623" s="235" t="s">
        <v>19677</v>
      </c>
      <c r="D2623" s="236" t="s">
        <v>16261</v>
      </c>
      <c r="E2623" s="15">
        <v>3640.2</v>
      </c>
      <c r="F2623" s="237">
        <v>42906</v>
      </c>
      <c r="G2623" s="15">
        <v>3640.2</v>
      </c>
      <c r="H2623" s="15">
        <f t="shared" si="40"/>
        <v>0</v>
      </c>
      <c r="I2623" s="236" t="s">
        <v>19682</v>
      </c>
    </row>
    <row r="2624" spans="1:9" x14ac:dyDescent="0.25">
      <c r="A2624" s="36">
        <v>42906</v>
      </c>
      <c r="B2624" s="18">
        <v>116725</v>
      </c>
      <c r="C2624" s="235" t="s">
        <v>19677</v>
      </c>
      <c r="D2624" s="236" t="s">
        <v>15344</v>
      </c>
      <c r="E2624" s="15">
        <v>2453.4</v>
      </c>
      <c r="F2624" s="237">
        <v>42906</v>
      </c>
      <c r="G2624" s="15">
        <v>2453.4</v>
      </c>
      <c r="H2624" s="15">
        <f t="shared" si="40"/>
        <v>0</v>
      </c>
      <c r="I2624" s="236" t="s">
        <v>19682</v>
      </c>
    </row>
    <row r="2625" spans="1:9" x14ac:dyDescent="0.25">
      <c r="A2625" s="242">
        <v>42906</v>
      </c>
      <c r="B2625" s="18">
        <v>116726</v>
      </c>
      <c r="C2625" s="235" t="s">
        <v>19677</v>
      </c>
      <c r="D2625" s="236" t="s">
        <v>15438</v>
      </c>
      <c r="E2625" s="15">
        <v>1550.4</v>
      </c>
      <c r="F2625" s="237">
        <v>42906</v>
      </c>
      <c r="G2625" s="15">
        <v>1550.4</v>
      </c>
      <c r="H2625" s="15">
        <f t="shared" si="40"/>
        <v>0</v>
      </c>
      <c r="I2625" s="236" t="s">
        <v>19682</v>
      </c>
    </row>
    <row r="2626" spans="1:9" x14ac:dyDescent="0.25">
      <c r="A2626" s="36">
        <v>42906</v>
      </c>
      <c r="B2626" s="18">
        <v>116727</v>
      </c>
      <c r="C2626" s="235" t="s">
        <v>19677</v>
      </c>
      <c r="D2626" s="236" t="s">
        <v>15858</v>
      </c>
      <c r="E2626" s="15">
        <v>2124.7199999999998</v>
      </c>
      <c r="F2626" s="237">
        <v>42906</v>
      </c>
      <c r="G2626" s="15">
        <v>2124.7199999999998</v>
      </c>
      <c r="H2626" s="15">
        <f t="shared" ref="H2626:H2689" si="41">E2626-G2626</f>
        <v>0</v>
      </c>
      <c r="I2626" s="236" t="s">
        <v>19682</v>
      </c>
    </row>
    <row r="2627" spans="1:9" x14ac:dyDescent="0.25">
      <c r="A2627" s="242">
        <v>42906</v>
      </c>
      <c r="B2627" s="18">
        <v>116728</v>
      </c>
      <c r="C2627" s="235" t="s">
        <v>19677</v>
      </c>
      <c r="D2627" s="236" t="s">
        <v>18076</v>
      </c>
      <c r="E2627" s="15">
        <v>5588.3</v>
      </c>
      <c r="F2627" s="237">
        <v>42906</v>
      </c>
      <c r="G2627" s="15">
        <v>5588.3</v>
      </c>
      <c r="H2627" s="15">
        <f t="shared" si="41"/>
        <v>0</v>
      </c>
      <c r="I2627" s="236" t="s">
        <v>19682</v>
      </c>
    </row>
    <row r="2628" spans="1:9" x14ac:dyDescent="0.25">
      <c r="A2628" s="36">
        <v>42906</v>
      </c>
      <c r="B2628" s="18">
        <v>116729</v>
      </c>
      <c r="C2628" s="235" t="s">
        <v>19677</v>
      </c>
      <c r="D2628" s="236" t="s">
        <v>15358</v>
      </c>
      <c r="E2628" s="15">
        <v>1458</v>
      </c>
      <c r="F2628" s="237">
        <v>42906</v>
      </c>
      <c r="G2628" s="15">
        <v>1458</v>
      </c>
      <c r="H2628" s="15">
        <f t="shared" si="41"/>
        <v>0</v>
      </c>
      <c r="I2628" s="236" t="s">
        <v>19682</v>
      </c>
    </row>
    <row r="2629" spans="1:9" x14ac:dyDescent="0.25">
      <c r="A2629" s="242">
        <v>42906</v>
      </c>
      <c r="B2629" s="18">
        <v>116730</v>
      </c>
      <c r="C2629" s="235" t="s">
        <v>19677</v>
      </c>
      <c r="D2629" s="236" t="s">
        <v>15742</v>
      </c>
      <c r="E2629" s="15">
        <v>2273.4</v>
      </c>
      <c r="F2629" s="237">
        <v>42906</v>
      </c>
      <c r="G2629" s="15">
        <v>2273.1</v>
      </c>
      <c r="H2629" s="15">
        <f t="shared" si="41"/>
        <v>0.3000000000001819</v>
      </c>
      <c r="I2629" s="236" t="s">
        <v>19682</v>
      </c>
    </row>
    <row r="2630" spans="1:9" x14ac:dyDescent="0.25">
      <c r="A2630" s="36">
        <v>42906</v>
      </c>
      <c r="B2630" s="18">
        <v>116731</v>
      </c>
      <c r="C2630" s="235" t="s">
        <v>19677</v>
      </c>
      <c r="D2630" s="236" t="s">
        <v>15336</v>
      </c>
      <c r="E2630" s="15">
        <v>5521.5</v>
      </c>
      <c r="F2630" s="237">
        <v>42906</v>
      </c>
      <c r="G2630" s="15">
        <v>5521.5</v>
      </c>
      <c r="H2630" s="15">
        <f t="shared" si="41"/>
        <v>0</v>
      </c>
      <c r="I2630" s="236" t="s">
        <v>19682</v>
      </c>
    </row>
    <row r="2631" spans="1:9" x14ac:dyDescent="0.25">
      <c r="A2631" s="242">
        <v>42906</v>
      </c>
      <c r="B2631" s="18">
        <v>116732</v>
      </c>
      <c r="C2631" s="235" t="s">
        <v>19677</v>
      </c>
      <c r="D2631" s="236" t="s">
        <v>15350</v>
      </c>
      <c r="E2631" s="15">
        <v>694.6</v>
      </c>
      <c r="F2631" s="237">
        <v>42906</v>
      </c>
      <c r="G2631" s="15">
        <v>694.6</v>
      </c>
      <c r="H2631" s="15">
        <f t="shared" si="41"/>
        <v>0</v>
      </c>
      <c r="I2631" s="236" t="s">
        <v>19682</v>
      </c>
    </row>
    <row r="2632" spans="1:9" x14ac:dyDescent="0.25">
      <c r="A2632" s="36">
        <v>42906</v>
      </c>
      <c r="B2632" s="18">
        <v>116733</v>
      </c>
      <c r="C2632" s="235" t="s">
        <v>19677</v>
      </c>
      <c r="D2632" s="236" t="s">
        <v>15356</v>
      </c>
      <c r="E2632" s="15">
        <v>1110</v>
      </c>
      <c r="F2632" s="237">
        <v>42906</v>
      </c>
      <c r="G2632" s="15">
        <v>1110</v>
      </c>
      <c r="H2632" s="15">
        <f t="shared" si="41"/>
        <v>0</v>
      </c>
      <c r="I2632" s="236" t="s">
        <v>19682</v>
      </c>
    </row>
    <row r="2633" spans="1:9" x14ac:dyDescent="0.25">
      <c r="A2633" s="242">
        <v>42906</v>
      </c>
      <c r="B2633" s="18">
        <v>116734</v>
      </c>
      <c r="C2633" s="235" t="s">
        <v>19677</v>
      </c>
      <c r="D2633" s="236" t="s">
        <v>15523</v>
      </c>
      <c r="E2633" s="15">
        <v>920</v>
      </c>
      <c r="F2633" s="237">
        <v>42906</v>
      </c>
      <c r="G2633" s="15">
        <v>920</v>
      </c>
      <c r="H2633" s="15">
        <f t="shared" si="41"/>
        <v>0</v>
      </c>
      <c r="I2633" s="236" t="s">
        <v>19682</v>
      </c>
    </row>
    <row r="2634" spans="1:9" x14ac:dyDescent="0.25">
      <c r="A2634" s="36">
        <v>42906</v>
      </c>
      <c r="B2634" s="18">
        <v>116735</v>
      </c>
      <c r="C2634" s="235" t="s">
        <v>19677</v>
      </c>
      <c r="D2634" s="236" t="s">
        <v>15334</v>
      </c>
      <c r="E2634" s="15">
        <v>690</v>
      </c>
      <c r="F2634" s="237">
        <v>42906</v>
      </c>
      <c r="G2634" s="15">
        <v>690</v>
      </c>
      <c r="H2634" s="15">
        <f t="shared" si="41"/>
        <v>0</v>
      </c>
      <c r="I2634" s="236" t="s">
        <v>19682</v>
      </c>
    </row>
    <row r="2635" spans="1:9" x14ac:dyDescent="0.25">
      <c r="A2635" s="242">
        <v>42906</v>
      </c>
      <c r="B2635" s="18">
        <v>116736</v>
      </c>
      <c r="C2635" s="235" t="s">
        <v>19677</v>
      </c>
      <c r="D2635" s="236" t="s">
        <v>17277</v>
      </c>
      <c r="E2635" s="15">
        <v>3081.6</v>
      </c>
      <c r="F2635" s="237">
        <v>42906</v>
      </c>
      <c r="G2635" s="15">
        <v>3081.6</v>
      </c>
      <c r="H2635" s="15">
        <f t="shared" si="41"/>
        <v>0</v>
      </c>
      <c r="I2635" s="236" t="s">
        <v>19682</v>
      </c>
    </row>
    <row r="2636" spans="1:9" x14ac:dyDescent="0.25">
      <c r="A2636" s="36">
        <v>42906</v>
      </c>
      <c r="B2636" s="18">
        <v>116737</v>
      </c>
      <c r="C2636" s="235" t="s">
        <v>19677</v>
      </c>
      <c r="D2636" s="236" t="s">
        <v>15240</v>
      </c>
      <c r="E2636" s="15">
        <v>3643.9</v>
      </c>
      <c r="F2636" s="237">
        <v>42908</v>
      </c>
      <c r="G2636" s="15">
        <v>3643.9</v>
      </c>
      <c r="H2636" s="15">
        <f t="shared" si="41"/>
        <v>0</v>
      </c>
      <c r="I2636" s="236" t="s">
        <v>19682</v>
      </c>
    </row>
    <row r="2637" spans="1:9" x14ac:dyDescent="0.25">
      <c r="A2637" s="242">
        <v>42906</v>
      </c>
      <c r="B2637" s="18">
        <v>116738</v>
      </c>
      <c r="C2637" s="235" t="s">
        <v>19677</v>
      </c>
      <c r="D2637" s="236" t="s">
        <v>15348</v>
      </c>
      <c r="E2637" s="15">
        <v>3521.3</v>
      </c>
      <c r="F2637" s="237">
        <v>42908</v>
      </c>
      <c r="G2637" s="15">
        <v>3521.3</v>
      </c>
      <c r="H2637" s="15">
        <f t="shared" si="41"/>
        <v>0</v>
      </c>
      <c r="I2637" s="236" t="s">
        <v>19682</v>
      </c>
    </row>
    <row r="2638" spans="1:9" x14ac:dyDescent="0.25">
      <c r="A2638" s="36">
        <v>42906</v>
      </c>
      <c r="B2638" s="18">
        <v>116739</v>
      </c>
      <c r="C2638" s="235" t="s">
        <v>19677</v>
      </c>
      <c r="D2638" s="236" t="s">
        <v>15332</v>
      </c>
      <c r="E2638" s="15">
        <v>3150</v>
      </c>
      <c r="F2638" s="237">
        <v>42906</v>
      </c>
      <c r="G2638" s="15">
        <v>3150</v>
      </c>
      <c r="H2638" s="15">
        <f t="shared" si="41"/>
        <v>0</v>
      </c>
      <c r="I2638" s="236" t="s">
        <v>19682</v>
      </c>
    </row>
    <row r="2639" spans="1:9" x14ac:dyDescent="0.25">
      <c r="A2639" s="242">
        <v>42906</v>
      </c>
      <c r="B2639" s="18">
        <v>116740</v>
      </c>
      <c r="C2639" s="235" t="s">
        <v>19677</v>
      </c>
      <c r="D2639" s="236" t="s">
        <v>15332</v>
      </c>
      <c r="E2639" s="15">
        <v>139.19999999999999</v>
      </c>
      <c r="F2639" s="237">
        <v>42906</v>
      </c>
      <c r="G2639" s="15">
        <v>139.19999999999999</v>
      </c>
      <c r="H2639" s="15">
        <f t="shared" si="41"/>
        <v>0</v>
      </c>
      <c r="I2639" s="236" t="s">
        <v>19682</v>
      </c>
    </row>
    <row r="2640" spans="1:9" x14ac:dyDescent="0.25">
      <c r="A2640" s="36">
        <v>42906</v>
      </c>
      <c r="B2640" s="18">
        <v>116741</v>
      </c>
      <c r="C2640" s="235" t="s">
        <v>19677</v>
      </c>
      <c r="D2640" s="236" t="s">
        <v>18544</v>
      </c>
      <c r="E2640" s="15">
        <v>8300.2000000000007</v>
      </c>
      <c r="F2640" s="237">
        <v>42906</v>
      </c>
      <c r="G2640" s="15">
        <v>8300.2000000000007</v>
      </c>
      <c r="H2640" s="15">
        <f t="shared" si="41"/>
        <v>0</v>
      </c>
      <c r="I2640" s="236" t="s">
        <v>19682</v>
      </c>
    </row>
    <row r="2641" spans="1:9" x14ac:dyDescent="0.25">
      <c r="A2641" s="242">
        <v>42906</v>
      </c>
      <c r="B2641" s="18">
        <v>116742</v>
      </c>
      <c r="C2641" s="235" t="s">
        <v>19677</v>
      </c>
      <c r="D2641" s="236" t="s">
        <v>15398</v>
      </c>
      <c r="E2641" s="15">
        <v>301.60000000000002</v>
      </c>
      <c r="F2641" s="237">
        <v>42906</v>
      </c>
      <c r="G2641" s="15">
        <v>301.60000000000002</v>
      </c>
      <c r="H2641" s="15">
        <f t="shared" si="41"/>
        <v>0</v>
      </c>
      <c r="I2641" s="236" t="s">
        <v>19682</v>
      </c>
    </row>
    <row r="2642" spans="1:9" x14ac:dyDescent="0.25">
      <c r="A2642" s="36">
        <v>42906</v>
      </c>
      <c r="B2642" s="18">
        <v>116743</v>
      </c>
      <c r="C2642" s="235" t="s">
        <v>19677</v>
      </c>
      <c r="D2642" s="236" t="s">
        <v>15342</v>
      </c>
      <c r="E2642" s="15">
        <v>1017</v>
      </c>
      <c r="F2642" s="237">
        <v>42906</v>
      </c>
      <c r="G2642" s="15">
        <v>1017</v>
      </c>
      <c r="H2642" s="15">
        <f t="shared" si="41"/>
        <v>0</v>
      </c>
      <c r="I2642" s="236" t="s">
        <v>19682</v>
      </c>
    </row>
    <row r="2643" spans="1:9" x14ac:dyDescent="0.25">
      <c r="A2643" s="242">
        <v>42906</v>
      </c>
      <c r="B2643" s="18">
        <v>116744</v>
      </c>
      <c r="C2643" s="235" t="s">
        <v>19677</v>
      </c>
      <c r="D2643" s="236" t="s">
        <v>15748</v>
      </c>
      <c r="E2643" s="15">
        <v>1759.1</v>
      </c>
      <c r="F2643" s="237">
        <v>42906</v>
      </c>
      <c r="G2643" s="15">
        <v>1759.1</v>
      </c>
      <c r="H2643" s="15">
        <f t="shared" si="41"/>
        <v>0</v>
      </c>
      <c r="I2643" s="236" t="s">
        <v>19682</v>
      </c>
    </row>
    <row r="2644" spans="1:9" x14ac:dyDescent="0.25">
      <c r="A2644" s="36">
        <v>42906</v>
      </c>
      <c r="B2644" s="18">
        <v>116745</v>
      </c>
      <c r="C2644" s="235" t="s">
        <v>19677</v>
      </c>
      <c r="D2644" s="236" t="s">
        <v>15246</v>
      </c>
      <c r="E2644" s="15">
        <v>77621.399999999994</v>
      </c>
      <c r="F2644" s="237">
        <v>42909</v>
      </c>
      <c r="G2644" s="15">
        <v>77621.399999999994</v>
      </c>
      <c r="H2644" s="15">
        <f t="shared" si="41"/>
        <v>0</v>
      </c>
      <c r="I2644" s="236" t="s">
        <v>19682</v>
      </c>
    </row>
    <row r="2645" spans="1:9" x14ac:dyDescent="0.25">
      <c r="A2645" s="242">
        <v>42906</v>
      </c>
      <c r="B2645" s="18">
        <v>116746</v>
      </c>
      <c r="C2645" s="235" t="s">
        <v>19677</v>
      </c>
      <c r="D2645" s="236" t="s">
        <v>15252</v>
      </c>
      <c r="E2645" s="15">
        <v>4071.2</v>
      </c>
      <c r="F2645" s="237">
        <v>42909</v>
      </c>
      <c r="G2645" s="15">
        <v>4071.2</v>
      </c>
      <c r="H2645" s="15">
        <f t="shared" si="41"/>
        <v>0</v>
      </c>
      <c r="I2645" s="236" t="s">
        <v>19682</v>
      </c>
    </row>
    <row r="2646" spans="1:9" x14ac:dyDescent="0.25">
      <c r="A2646" s="36">
        <v>42906</v>
      </c>
      <c r="B2646" s="18">
        <v>116747</v>
      </c>
      <c r="C2646" s="235" t="s">
        <v>19677</v>
      </c>
      <c r="D2646" s="236" t="s">
        <v>15244</v>
      </c>
      <c r="E2646" s="15">
        <v>1739.4</v>
      </c>
      <c r="F2646" s="237">
        <v>42909</v>
      </c>
      <c r="G2646" s="15">
        <v>1739.4</v>
      </c>
      <c r="H2646" s="15">
        <f t="shared" si="41"/>
        <v>0</v>
      </c>
      <c r="I2646" s="236" t="s">
        <v>19682</v>
      </c>
    </row>
    <row r="2647" spans="1:9" x14ac:dyDescent="0.25">
      <c r="A2647" s="242">
        <v>42906</v>
      </c>
      <c r="B2647" s="18">
        <v>116748</v>
      </c>
      <c r="C2647" s="235" t="s">
        <v>19677</v>
      </c>
      <c r="D2647" s="236" t="s">
        <v>15309</v>
      </c>
      <c r="E2647" s="15">
        <v>12351.6</v>
      </c>
      <c r="F2647" s="237">
        <v>42906</v>
      </c>
      <c r="G2647" s="15">
        <v>12351.6</v>
      </c>
      <c r="H2647" s="15">
        <f t="shared" si="41"/>
        <v>0</v>
      </c>
      <c r="I2647" s="236" t="s">
        <v>19682</v>
      </c>
    </row>
    <row r="2648" spans="1:9" x14ac:dyDescent="0.25">
      <c r="A2648" s="36">
        <v>42906</v>
      </c>
      <c r="B2648" s="18">
        <v>116749</v>
      </c>
      <c r="C2648" s="235" t="s">
        <v>19677</v>
      </c>
      <c r="D2648" s="236" t="s">
        <v>15421</v>
      </c>
      <c r="E2648" s="15">
        <v>710</v>
      </c>
      <c r="F2648" s="237">
        <v>42906</v>
      </c>
      <c r="G2648" s="15">
        <v>710</v>
      </c>
      <c r="H2648" s="15">
        <f t="shared" si="41"/>
        <v>0</v>
      </c>
      <c r="I2648" s="236" t="s">
        <v>19682</v>
      </c>
    </row>
    <row r="2649" spans="1:9" x14ac:dyDescent="0.25">
      <c r="A2649" s="242">
        <v>42906</v>
      </c>
      <c r="B2649" s="18">
        <v>116750</v>
      </c>
      <c r="C2649" s="235" t="s">
        <v>19677</v>
      </c>
      <c r="D2649" s="236" t="s">
        <v>15614</v>
      </c>
      <c r="E2649" s="15">
        <v>5085.3999999999996</v>
      </c>
      <c r="F2649" s="237">
        <v>42909</v>
      </c>
      <c r="G2649" s="15">
        <v>5085.3999999999996</v>
      </c>
      <c r="H2649" s="15">
        <f t="shared" si="41"/>
        <v>0</v>
      </c>
      <c r="I2649" s="236" t="s">
        <v>19682</v>
      </c>
    </row>
    <row r="2650" spans="1:9" x14ac:dyDescent="0.25">
      <c r="A2650" s="36">
        <v>42906</v>
      </c>
      <c r="B2650" s="18">
        <v>116751</v>
      </c>
      <c r="C2650" s="235" t="s">
        <v>19677</v>
      </c>
      <c r="D2650" s="236" t="s">
        <v>15276</v>
      </c>
      <c r="E2650" s="15">
        <v>2300</v>
      </c>
      <c r="F2650" s="237">
        <v>42906</v>
      </c>
      <c r="G2650" s="15">
        <v>2300</v>
      </c>
      <c r="H2650" s="15">
        <f t="shared" si="41"/>
        <v>0</v>
      </c>
      <c r="I2650" s="236" t="s">
        <v>19682</v>
      </c>
    </row>
    <row r="2651" spans="1:9" x14ac:dyDescent="0.25">
      <c r="A2651" s="242">
        <v>42906</v>
      </c>
      <c r="B2651" s="18">
        <v>116752</v>
      </c>
      <c r="C2651" s="235" t="s">
        <v>19677</v>
      </c>
      <c r="D2651" s="236" t="s">
        <v>15417</v>
      </c>
      <c r="E2651" s="15">
        <v>2101.5</v>
      </c>
      <c r="F2651" s="237">
        <v>42906</v>
      </c>
      <c r="G2651" s="15">
        <v>2101.5</v>
      </c>
      <c r="H2651" s="15">
        <f t="shared" si="41"/>
        <v>0</v>
      </c>
      <c r="I2651" s="236" t="s">
        <v>19682</v>
      </c>
    </row>
    <row r="2652" spans="1:9" x14ac:dyDescent="0.25">
      <c r="A2652" s="36">
        <v>42906</v>
      </c>
      <c r="B2652" s="18">
        <v>116753</v>
      </c>
      <c r="C2652" s="235" t="s">
        <v>19677</v>
      </c>
      <c r="D2652" s="236" t="s">
        <v>15326</v>
      </c>
      <c r="E2652" s="15">
        <v>602.4</v>
      </c>
      <c r="F2652" s="237">
        <v>42906</v>
      </c>
      <c r="G2652" s="15">
        <v>602.4</v>
      </c>
      <c r="H2652" s="15">
        <f t="shared" si="41"/>
        <v>0</v>
      </c>
      <c r="I2652" s="236" t="s">
        <v>19682</v>
      </c>
    </row>
    <row r="2653" spans="1:9" x14ac:dyDescent="0.25">
      <c r="A2653" s="242">
        <v>42906</v>
      </c>
      <c r="B2653" s="18">
        <v>116754</v>
      </c>
      <c r="C2653" s="235" t="s">
        <v>19677</v>
      </c>
      <c r="D2653" s="236" t="s">
        <v>16064</v>
      </c>
      <c r="E2653" s="15">
        <v>4747.2</v>
      </c>
      <c r="F2653" s="237">
        <v>42906</v>
      </c>
      <c r="G2653" s="15">
        <v>4747.2</v>
      </c>
      <c r="H2653" s="15">
        <f t="shared" si="41"/>
        <v>0</v>
      </c>
      <c r="I2653" s="236" t="s">
        <v>19682</v>
      </c>
    </row>
    <row r="2654" spans="1:9" x14ac:dyDescent="0.25">
      <c r="A2654" s="36">
        <v>42906</v>
      </c>
      <c r="B2654" s="18">
        <v>116755</v>
      </c>
      <c r="C2654" s="235" t="s">
        <v>19677</v>
      </c>
      <c r="D2654" s="236" t="s">
        <v>15317</v>
      </c>
      <c r="E2654" s="15">
        <v>1556.5</v>
      </c>
      <c r="F2654" s="237">
        <v>42913</v>
      </c>
      <c r="G2654" s="15">
        <v>1556.5</v>
      </c>
      <c r="H2654" s="15">
        <f t="shared" si="41"/>
        <v>0</v>
      </c>
      <c r="I2654" s="236" t="s">
        <v>19682</v>
      </c>
    </row>
    <row r="2655" spans="1:9" x14ac:dyDescent="0.25">
      <c r="A2655" s="242">
        <v>42906</v>
      </c>
      <c r="B2655" s="18">
        <v>116756</v>
      </c>
      <c r="C2655" s="235" t="s">
        <v>19677</v>
      </c>
      <c r="D2655" s="236" t="s">
        <v>15748</v>
      </c>
      <c r="E2655" s="15">
        <v>4183.7</v>
      </c>
      <c r="F2655" s="237">
        <v>42916</v>
      </c>
      <c r="G2655" s="15">
        <v>4183.7</v>
      </c>
      <c r="H2655" s="15">
        <f t="shared" si="41"/>
        <v>0</v>
      </c>
      <c r="I2655" s="236" t="s">
        <v>19682</v>
      </c>
    </row>
    <row r="2656" spans="1:9" x14ac:dyDescent="0.25">
      <c r="A2656" s="36">
        <v>42906</v>
      </c>
      <c r="B2656" s="18">
        <v>116757</v>
      </c>
      <c r="C2656" s="235" t="s">
        <v>19677</v>
      </c>
      <c r="D2656" s="236" t="s">
        <v>15307</v>
      </c>
      <c r="E2656" s="15">
        <v>3878.6</v>
      </c>
      <c r="F2656" s="237">
        <v>42906</v>
      </c>
      <c r="G2656" s="15">
        <v>3878.6</v>
      </c>
      <c r="H2656" s="15">
        <f t="shared" si="41"/>
        <v>0</v>
      </c>
      <c r="I2656" s="236" t="s">
        <v>19682</v>
      </c>
    </row>
    <row r="2657" spans="1:9" x14ac:dyDescent="0.25">
      <c r="A2657" s="242">
        <v>42906</v>
      </c>
      <c r="B2657" s="18">
        <v>116758</v>
      </c>
      <c r="C2657" s="235" t="s">
        <v>19677</v>
      </c>
      <c r="D2657" s="236" t="s">
        <v>19755</v>
      </c>
      <c r="E2657" s="15">
        <v>40677</v>
      </c>
      <c r="F2657" s="237">
        <v>42906</v>
      </c>
      <c r="G2657" s="15">
        <v>40677</v>
      </c>
      <c r="H2657" s="15">
        <f t="shared" si="41"/>
        <v>0</v>
      </c>
      <c r="I2657" s="236" t="s">
        <v>19682</v>
      </c>
    </row>
    <row r="2658" spans="1:9" x14ac:dyDescent="0.25">
      <c r="A2658" s="36">
        <v>42906</v>
      </c>
      <c r="B2658" s="18">
        <v>116759</v>
      </c>
      <c r="C2658" s="235" t="s">
        <v>19677</v>
      </c>
      <c r="D2658" s="236" t="s">
        <v>15415</v>
      </c>
      <c r="E2658" s="15">
        <v>3195</v>
      </c>
      <c r="F2658" s="237">
        <v>42910</v>
      </c>
      <c r="G2658" s="15">
        <v>3195</v>
      </c>
      <c r="H2658" s="15">
        <f t="shared" si="41"/>
        <v>0</v>
      </c>
      <c r="I2658" s="236" t="s">
        <v>19682</v>
      </c>
    </row>
    <row r="2659" spans="1:9" x14ac:dyDescent="0.25">
      <c r="A2659" s="242">
        <v>42906</v>
      </c>
      <c r="B2659" s="18">
        <v>116760</v>
      </c>
      <c r="C2659" s="235" t="s">
        <v>19677</v>
      </c>
      <c r="D2659" s="236" t="s">
        <v>15378</v>
      </c>
      <c r="E2659" s="15">
        <v>469.2</v>
      </c>
      <c r="F2659" s="237">
        <v>42906</v>
      </c>
      <c r="G2659" s="15">
        <v>469.2</v>
      </c>
      <c r="H2659" s="15">
        <f t="shared" si="41"/>
        <v>0</v>
      </c>
      <c r="I2659" s="236" t="s">
        <v>19682</v>
      </c>
    </row>
    <row r="2660" spans="1:9" x14ac:dyDescent="0.25">
      <c r="A2660" s="36">
        <v>42906</v>
      </c>
      <c r="B2660" s="18">
        <v>116761</v>
      </c>
      <c r="C2660" s="235" t="s">
        <v>19677</v>
      </c>
      <c r="D2660" s="236" t="s">
        <v>15596</v>
      </c>
      <c r="E2660" s="15">
        <v>920</v>
      </c>
      <c r="F2660" s="237">
        <v>42907</v>
      </c>
      <c r="G2660" s="15">
        <v>920</v>
      </c>
      <c r="H2660" s="15">
        <f t="shared" si="41"/>
        <v>0</v>
      </c>
      <c r="I2660" s="236" t="s">
        <v>19682</v>
      </c>
    </row>
    <row r="2661" spans="1:9" x14ac:dyDescent="0.25">
      <c r="A2661" s="242">
        <v>42906</v>
      </c>
      <c r="B2661" s="18">
        <v>116762</v>
      </c>
      <c r="C2661" s="235" t="s">
        <v>19677</v>
      </c>
      <c r="D2661" s="236" t="s">
        <v>15280</v>
      </c>
      <c r="E2661" s="15">
        <v>2815.2</v>
      </c>
      <c r="F2661" s="237">
        <v>42906</v>
      </c>
      <c r="G2661" s="15">
        <v>2815.2</v>
      </c>
      <c r="H2661" s="15">
        <f t="shared" si="41"/>
        <v>0</v>
      </c>
      <c r="I2661" s="236" t="s">
        <v>19682</v>
      </c>
    </row>
    <row r="2662" spans="1:9" x14ac:dyDescent="0.25">
      <c r="A2662" s="36">
        <v>42906</v>
      </c>
      <c r="B2662" s="18">
        <v>116763</v>
      </c>
      <c r="C2662" s="235" t="s">
        <v>19677</v>
      </c>
      <c r="D2662" s="236" t="s">
        <v>15419</v>
      </c>
      <c r="E2662" s="15">
        <v>31643.599999999999</v>
      </c>
      <c r="F2662" s="237">
        <v>42912</v>
      </c>
      <c r="G2662" s="15">
        <v>31643.599999999999</v>
      </c>
      <c r="H2662" s="15">
        <f t="shared" si="41"/>
        <v>0</v>
      </c>
      <c r="I2662" s="236" t="s">
        <v>19682</v>
      </c>
    </row>
    <row r="2663" spans="1:9" ht="15.75" x14ac:dyDescent="0.25">
      <c r="A2663" s="242">
        <v>42906</v>
      </c>
      <c r="B2663" s="18">
        <v>116764</v>
      </c>
      <c r="C2663" s="235" t="s">
        <v>19677</v>
      </c>
      <c r="D2663" s="248" t="s">
        <v>95</v>
      </c>
      <c r="E2663" s="15">
        <v>0</v>
      </c>
      <c r="F2663" s="243" t="s">
        <v>95</v>
      </c>
      <c r="G2663" s="15">
        <v>0</v>
      </c>
      <c r="H2663" s="15">
        <f t="shared" si="41"/>
        <v>0</v>
      </c>
      <c r="I2663" s="236" t="s">
        <v>19678</v>
      </c>
    </row>
    <row r="2664" spans="1:9" x14ac:dyDescent="0.25">
      <c r="A2664" s="36">
        <v>42906</v>
      </c>
      <c r="B2664" s="18">
        <v>116765</v>
      </c>
      <c r="C2664" s="235" t="s">
        <v>19677</v>
      </c>
      <c r="D2664" s="236" t="s">
        <v>15315</v>
      </c>
      <c r="E2664" s="15">
        <v>1380</v>
      </c>
      <c r="F2664" s="237">
        <v>42906</v>
      </c>
      <c r="G2664" s="15">
        <v>1380</v>
      </c>
      <c r="H2664" s="15">
        <f t="shared" si="41"/>
        <v>0</v>
      </c>
      <c r="I2664" s="236" t="s">
        <v>19682</v>
      </c>
    </row>
    <row r="2665" spans="1:9" x14ac:dyDescent="0.25">
      <c r="A2665" s="242">
        <v>42906</v>
      </c>
      <c r="B2665" s="18">
        <v>116766</v>
      </c>
      <c r="C2665" s="235" t="s">
        <v>19677</v>
      </c>
      <c r="D2665" s="236" t="s">
        <v>15326</v>
      </c>
      <c r="E2665" s="15">
        <v>2287.1999999999998</v>
      </c>
      <c r="F2665" s="237">
        <v>42906</v>
      </c>
      <c r="G2665" s="15">
        <v>2287.1999999999998</v>
      </c>
      <c r="H2665" s="15">
        <f t="shared" si="41"/>
        <v>0</v>
      </c>
      <c r="I2665" s="236" t="s">
        <v>19682</v>
      </c>
    </row>
    <row r="2666" spans="1:9" x14ac:dyDescent="0.25">
      <c r="A2666" s="36">
        <v>42906</v>
      </c>
      <c r="B2666" s="18">
        <v>116767</v>
      </c>
      <c r="C2666" s="235" t="s">
        <v>19677</v>
      </c>
      <c r="D2666" s="236" t="s">
        <v>15378</v>
      </c>
      <c r="E2666" s="15">
        <v>42</v>
      </c>
      <c r="F2666" s="237">
        <v>42906</v>
      </c>
      <c r="G2666" s="15">
        <v>42</v>
      </c>
      <c r="H2666" s="15">
        <f t="shared" si="41"/>
        <v>0</v>
      </c>
      <c r="I2666" s="236" t="s">
        <v>19682</v>
      </c>
    </row>
    <row r="2667" spans="1:9" x14ac:dyDescent="0.25">
      <c r="A2667" s="242">
        <v>42906</v>
      </c>
      <c r="B2667" s="18">
        <v>116768</v>
      </c>
      <c r="C2667" s="235" t="s">
        <v>19677</v>
      </c>
      <c r="D2667" s="236" t="s">
        <v>15322</v>
      </c>
      <c r="E2667" s="15">
        <v>1799.4</v>
      </c>
      <c r="F2667" s="237">
        <v>42906</v>
      </c>
      <c r="G2667" s="15">
        <v>1799.4</v>
      </c>
      <c r="H2667" s="15">
        <f t="shared" si="41"/>
        <v>0</v>
      </c>
      <c r="I2667" s="236" t="s">
        <v>19682</v>
      </c>
    </row>
    <row r="2668" spans="1:9" x14ac:dyDescent="0.25">
      <c r="A2668" s="36">
        <v>42906</v>
      </c>
      <c r="B2668" s="18">
        <v>116769</v>
      </c>
      <c r="C2668" s="235" t="s">
        <v>19677</v>
      </c>
      <c r="D2668" s="236" t="s">
        <v>15213</v>
      </c>
      <c r="E2668" s="15">
        <v>3683.4</v>
      </c>
      <c r="F2668" s="237">
        <v>42908</v>
      </c>
      <c r="G2668" s="15">
        <v>3683.4</v>
      </c>
      <c r="H2668" s="15">
        <f t="shared" si="41"/>
        <v>0</v>
      </c>
      <c r="I2668" s="236" t="s">
        <v>19682</v>
      </c>
    </row>
    <row r="2669" spans="1:9" x14ac:dyDescent="0.25">
      <c r="A2669" s="242">
        <v>42906</v>
      </c>
      <c r="B2669" s="18">
        <v>116770</v>
      </c>
      <c r="C2669" s="235" t="s">
        <v>19677</v>
      </c>
      <c r="D2669" s="236" t="s">
        <v>15810</v>
      </c>
      <c r="E2669" s="15">
        <v>456</v>
      </c>
      <c r="F2669" s="237">
        <v>42906</v>
      </c>
      <c r="G2669" s="15">
        <v>456</v>
      </c>
      <c r="H2669" s="15">
        <f t="shared" si="41"/>
        <v>0</v>
      </c>
      <c r="I2669" s="236" t="s">
        <v>19682</v>
      </c>
    </row>
    <row r="2670" spans="1:9" x14ac:dyDescent="0.25">
      <c r="A2670" s="36">
        <v>42906</v>
      </c>
      <c r="B2670" s="18">
        <v>116771</v>
      </c>
      <c r="C2670" s="235" t="s">
        <v>19677</v>
      </c>
      <c r="D2670" s="236" t="s">
        <v>15568</v>
      </c>
      <c r="E2670" s="15">
        <v>7399</v>
      </c>
      <c r="F2670" s="237">
        <v>42906</v>
      </c>
      <c r="G2670" s="15">
        <v>7399</v>
      </c>
      <c r="H2670" s="15">
        <f t="shared" si="41"/>
        <v>0</v>
      </c>
      <c r="I2670" s="236" t="s">
        <v>19682</v>
      </c>
    </row>
    <row r="2671" spans="1:9" x14ac:dyDescent="0.25">
      <c r="A2671" s="242">
        <v>42906</v>
      </c>
      <c r="B2671" s="18">
        <v>116772</v>
      </c>
      <c r="C2671" s="235" t="s">
        <v>19677</v>
      </c>
      <c r="D2671" s="236" t="s">
        <v>15903</v>
      </c>
      <c r="E2671" s="15">
        <v>68190.399999999994</v>
      </c>
      <c r="F2671" s="237">
        <v>42907</v>
      </c>
      <c r="G2671" s="15">
        <v>68190.399999999994</v>
      </c>
      <c r="H2671" s="15">
        <f t="shared" si="41"/>
        <v>0</v>
      </c>
      <c r="I2671" s="236" t="s">
        <v>19682</v>
      </c>
    </row>
    <row r="2672" spans="1:9" x14ac:dyDescent="0.25">
      <c r="A2672" s="36">
        <v>42906</v>
      </c>
      <c r="B2672" s="18">
        <v>116773</v>
      </c>
      <c r="C2672" s="235" t="s">
        <v>19677</v>
      </c>
      <c r="D2672" s="236" t="s">
        <v>15537</v>
      </c>
      <c r="E2672" s="15">
        <v>18244</v>
      </c>
      <c r="F2672" s="237">
        <v>42909</v>
      </c>
      <c r="G2672" s="15">
        <v>18244</v>
      </c>
      <c r="H2672" s="15">
        <f t="shared" si="41"/>
        <v>0</v>
      </c>
      <c r="I2672" s="236" t="s">
        <v>19682</v>
      </c>
    </row>
    <row r="2673" spans="1:9" x14ac:dyDescent="0.25">
      <c r="A2673" s="242">
        <v>42906</v>
      </c>
      <c r="B2673" s="18">
        <v>116774</v>
      </c>
      <c r="C2673" s="235" t="s">
        <v>19677</v>
      </c>
      <c r="D2673" s="236" t="s">
        <v>15539</v>
      </c>
      <c r="E2673" s="15">
        <v>18440</v>
      </c>
      <c r="F2673" s="237">
        <v>42909</v>
      </c>
      <c r="G2673" s="15">
        <v>18440</v>
      </c>
      <c r="H2673" s="15">
        <f t="shared" si="41"/>
        <v>0</v>
      </c>
      <c r="I2673" s="236" t="s">
        <v>19682</v>
      </c>
    </row>
    <row r="2674" spans="1:9" x14ac:dyDescent="0.25">
      <c r="A2674" s="36">
        <v>42906</v>
      </c>
      <c r="B2674" s="18">
        <v>116775</v>
      </c>
      <c r="C2674" s="235" t="s">
        <v>19677</v>
      </c>
      <c r="D2674" s="236" t="s">
        <v>15315</v>
      </c>
      <c r="E2674" s="15">
        <v>3728</v>
      </c>
      <c r="F2674" s="237">
        <v>42915</v>
      </c>
      <c r="G2674" s="15">
        <v>3728</v>
      </c>
      <c r="H2674" s="15">
        <f t="shared" si="41"/>
        <v>0</v>
      </c>
      <c r="I2674" s="236" t="s">
        <v>19682</v>
      </c>
    </row>
    <row r="2675" spans="1:9" x14ac:dyDescent="0.25">
      <c r="A2675" s="242">
        <v>42906</v>
      </c>
      <c r="B2675" s="18">
        <v>116776</v>
      </c>
      <c r="C2675" s="235" t="s">
        <v>19677</v>
      </c>
      <c r="D2675" s="236" t="s">
        <v>15544</v>
      </c>
      <c r="E2675" s="15">
        <v>4076</v>
      </c>
      <c r="F2675" s="237">
        <v>42915</v>
      </c>
      <c r="G2675" s="15">
        <v>4076</v>
      </c>
      <c r="H2675" s="15">
        <f t="shared" si="41"/>
        <v>0</v>
      </c>
      <c r="I2675" s="236" t="s">
        <v>19682</v>
      </c>
    </row>
    <row r="2676" spans="1:9" x14ac:dyDescent="0.25">
      <c r="A2676" s="36">
        <v>42906</v>
      </c>
      <c r="B2676" s="18">
        <v>116777</v>
      </c>
      <c r="C2676" s="235" t="s">
        <v>19677</v>
      </c>
      <c r="D2676" s="236" t="s">
        <v>15555</v>
      </c>
      <c r="E2676" s="15">
        <v>36150.85</v>
      </c>
      <c r="F2676" s="237">
        <v>42915</v>
      </c>
      <c r="G2676" s="15">
        <v>36150.85</v>
      </c>
      <c r="H2676" s="15">
        <f t="shared" si="41"/>
        <v>0</v>
      </c>
      <c r="I2676" s="236" t="s">
        <v>19682</v>
      </c>
    </row>
    <row r="2677" spans="1:9" x14ac:dyDescent="0.25">
      <c r="A2677" s="242">
        <v>42906</v>
      </c>
      <c r="B2677" s="18">
        <v>116778</v>
      </c>
      <c r="C2677" s="235" t="s">
        <v>19677</v>
      </c>
      <c r="D2677" s="236" t="s">
        <v>19756</v>
      </c>
      <c r="E2677" s="15">
        <v>3470.4</v>
      </c>
      <c r="F2677" s="237">
        <v>42906</v>
      </c>
      <c r="G2677" s="15">
        <v>3470.4</v>
      </c>
      <c r="H2677" s="15">
        <f t="shared" si="41"/>
        <v>0</v>
      </c>
      <c r="I2677" s="236" t="s">
        <v>19682</v>
      </c>
    </row>
    <row r="2678" spans="1:9" x14ac:dyDescent="0.25">
      <c r="A2678" s="36">
        <v>42906</v>
      </c>
      <c r="B2678" s="18">
        <v>116779</v>
      </c>
      <c r="C2678" s="235" t="s">
        <v>19677</v>
      </c>
      <c r="D2678" s="236" t="s">
        <v>15423</v>
      </c>
      <c r="E2678" s="15">
        <v>3022.2</v>
      </c>
      <c r="F2678" s="237">
        <v>42906</v>
      </c>
      <c r="G2678" s="15">
        <v>3022.2</v>
      </c>
      <c r="H2678" s="15">
        <f t="shared" si="41"/>
        <v>0</v>
      </c>
      <c r="I2678" s="236" t="s">
        <v>19682</v>
      </c>
    </row>
    <row r="2679" spans="1:9" x14ac:dyDescent="0.25">
      <c r="A2679" s="242">
        <v>42906</v>
      </c>
      <c r="B2679" s="18">
        <v>116780</v>
      </c>
      <c r="C2679" s="235" t="s">
        <v>19677</v>
      </c>
      <c r="D2679" s="236" t="s">
        <v>15442</v>
      </c>
      <c r="E2679" s="15">
        <v>9030</v>
      </c>
      <c r="F2679" s="237">
        <v>42917</v>
      </c>
      <c r="G2679" s="15">
        <v>9030</v>
      </c>
      <c r="H2679" s="15">
        <f t="shared" si="41"/>
        <v>0</v>
      </c>
      <c r="I2679" s="236" t="s">
        <v>19682</v>
      </c>
    </row>
    <row r="2680" spans="1:9" x14ac:dyDescent="0.25">
      <c r="A2680" s="36">
        <v>42906</v>
      </c>
      <c r="B2680" s="18">
        <v>116781</v>
      </c>
      <c r="C2680" s="235" t="s">
        <v>19677</v>
      </c>
      <c r="D2680" s="236" t="s">
        <v>15890</v>
      </c>
      <c r="E2680" s="15">
        <v>14788.4</v>
      </c>
      <c r="F2680" s="237">
        <v>42916</v>
      </c>
      <c r="G2680" s="15">
        <v>14788.4</v>
      </c>
      <c r="H2680" s="15">
        <f t="shared" si="41"/>
        <v>0</v>
      </c>
      <c r="I2680" s="236" t="s">
        <v>19682</v>
      </c>
    </row>
    <row r="2681" spans="1:9" x14ac:dyDescent="0.25">
      <c r="A2681" s="242">
        <v>42906</v>
      </c>
      <c r="B2681" s="18">
        <v>116782</v>
      </c>
      <c r="C2681" s="235" t="s">
        <v>19677</v>
      </c>
      <c r="D2681" s="236" t="s">
        <v>15315</v>
      </c>
      <c r="E2681" s="15">
        <v>544</v>
      </c>
      <c r="F2681" s="237">
        <v>42908</v>
      </c>
      <c r="G2681" s="15">
        <v>544</v>
      </c>
      <c r="H2681" s="15">
        <f t="shared" si="41"/>
        <v>0</v>
      </c>
      <c r="I2681" s="236" t="s">
        <v>19682</v>
      </c>
    </row>
    <row r="2682" spans="1:9" x14ac:dyDescent="0.25">
      <c r="A2682" s="36">
        <v>42906</v>
      </c>
      <c r="B2682" s="18">
        <v>116783</v>
      </c>
      <c r="C2682" s="235" t="s">
        <v>19677</v>
      </c>
      <c r="D2682" s="236" t="s">
        <v>15315</v>
      </c>
      <c r="E2682" s="15">
        <v>165.6</v>
      </c>
      <c r="F2682" s="237">
        <v>42906</v>
      </c>
      <c r="G2682" s="15">
        <v>165.6</v>
      </c>
      <c r="H2682" s="15">
        <f t="shared" si="41"/>
        <v>0</v>
      </c>
      <c r="I2682" s="236" t="s">
        <v>19682</v>
      </c>
    </row>
    <row r="2683" spans="1:9" x14ac:dyDescent="0.25">
      <c r="A2683" s="242">
        <v>42906</v>
      </c>
      <c r="B2683" s="18">
        <v>116784</v>
      </c>
      <c r="C2683" s="235" t="s">
        <v>19677</v>
      </c>
      <c r="D2683" s="236" t="s">
        <v>19757</v>
      </c>
      <c r="E2683" s="15">
        <v>4000</v>
      </c>
      <c r="F2683" s="237">
        <v>42912</v>
      </c>
      <c r="G2683" s="15">
        <v>4000</v>
      </c>
      <c r="H2683" s="15">
        <f t="shared" si="41"/>
        <v>0</v>
      </c>
      <c r="I2683" s="236" t="s">
        <v>19682</v>
      </c>
    </row>
    <row r="2684" spans="1:9" x14ac:dyDescent="0.25">
      <c r="A2684" s="36">
        <v>42906</v>
      </c>
      <c r="B2684" s="18">
        <v>116785</v>
      </c>
      <c r="C2684" s="235" t="s">
        <v>19677</v>
      </c>
      <c r="D2684" s="236" t="s">
        <v>15298</v>
      </c>
      <c r="E2684" s="15">
        <v>140.69999999999999</v>
      </c>
      <c r="F2684" s="237">
        <v>42906</v>
      </c>
      <c r="G2684" s="15">
        <v>140.69999999999999</v>
      </c>
      <c r="H2684" s="15">
        <f t="shared" si="41"/>
        <v>0</v>
      </c>
      <c r="I2684" s="236" t="s">
        <v>19682</v>
      </c>
    </row>
    <row r="2685" spans="1:9" x14ac:dyDescent="0.25">
      <c r="A2685" s="242">
        <v>42906</v>
      </c>
      <c r="B2685" s="18">
        <v>116786</v>
      </c>
      <c r="C2685" s="235" t="s">
        <v>19677</v>
      </c>
      <c r="D2685" s="236" t="s">
        <v>15728</v>
      </c>
      <c r="E2685" s="15">
        <v>19917.2</v>
      </c>
      <c r="F2685" s="237">
        <v>42906</v>
      </c>
      <c r="G2685" s="15">
        <v>19917.2</v>
      </c>
      <c r="H2685" s="15">
        <f t="shared" si="41"/>
        <v>0</v>
      </c>
      <c r="I2685" s="236" t="s">
        <v>19682</v>
      </c>
    </row>
    <row r="2686" spans="1:9" x14ac:dyDescent="0.25">
      <c r="A2686" s="36">
        <v>42906</v>
      </c>
      <c r="B2686" s="18">
        <v>116787</v>
      </c>
      <c r="C2686" s="235" t="s">
        <v>19677</v>
      </c>
      <c r="D2686" s="236" t="s">
        <v>17462</v>
      </c>
      <c r="E2686" s="15">
        <v>1181.4000000000001</v>
      </c>
      <c r="F2686" s="237">
        <v>42906</v>
      </c>
      <c r="G2686" s="15">
        <v>1181.4000000000001</v>
      </c>
      <c r="H2686" s="15">
        <f t="shared" si="41"/>
        <v>0</v>
      </c>
      <c r="I2686" s="236" t="s">
        <v>19682</v>
      </c>
    </row>
    <row r="2687" spans="1:9" x14ac:dyDescent="0.25">
      <c r="A2687" s="242">
        <v>42906</v>
      </c>
      <c r="B2687" s="18">
        <v>116788</v>
      </c>
      <c r="C2687" s="235" t="s">
        <v>19677</v>
      </c>
      <c r="D2687" s="236" t="s">
        <v>15936</v>
      </c>
      <c r="E2687" s="15">
        <v>17051</v>
      </c>
      <c r="F2687" s="237">
        <v>42906</v>
      </c>
      <c r="G2687" s="15">
        <v>17051</v>
      </c>
      <c r="H2687" s="15">
        <f t="shared" si="41"/>
        <v>0</v>
      </c>
      <c r="I2687" s="236" t="s">
        <v>19682</v>
      </c>
    </row>
    <row r="2688" spans="1:9" x14ac:dyDescent="0.25">
      <c r="A2688" s="36">
        <v>42906</v>
      </c>
      <c r="B2688" s="18">
        <v>116789</v>
      </c>
      <c r="C2688" s="235" t="s">
        <v>19677</v>
      </c>
      <c r="D2688" s="236" t="s">
        <v>15444</v>
      </c>
      <c r="E2688" s="15">
        <v>3044</v>
      </c>
      <c r="F2688" s="237">
        <v>42907</v>
      </c>
      <c r="G2688" s="15">
        <v>3044</v>
      </c>
      <c r="H2688" s="15">
        <f t="shared" si="41"/>
        <v>0</v>
      </c>
      <c r="I2688" s="236" t="s">
        <v>19682</v>
      </c>
    </row>
    <row r="2689" spans="1:9" ht="15.75" x14ac:dyDescent="0.25">
      <c r="A2689" s="242">
        <v>42906</v>
      </c>
      <c r="B2689" s="18">
        <v>116790</v>
      </c>
      <c r="C2689" s="235" t="s">
        <v>19677</v>
      </c>
      <c r="D2689" s="248" t="s">
        <v>95</v>
      </c>
      <c r="E2689" s="15">
        <v>0</v>
      </c>
      <c r="F2689" s="243" t="s">
        <v>95</v>
      </c>
      <c r="G2689" s="15">
        <v>0</v>
      </c>
      <c r="H2689" s="15">
        <f t="shared" si="41"/>
        <v>0</v>
      </c>
      <c r="I2689" s="236" t="s">
        <v>19678</v>
      </c>
    </row>
    <row r="2690" spans="1:9" x14ac:dyDescent="0.25">
      <c r="A2690" s="36">
        <v>42906</v>
      </c>
      <c r="B2690" s="18">
        <v>116791</v>
      </c>
      <c r="C2690" s="235" t="s">
        <v>19677</v>
      </c>
      <c r="D2690" s="236" t="s">
        <v>15642</v>
      </c>
      <c r="E2690" s="15">
        <v>4432.5</v>
      </c>
      <c r="F2690" s="237">
        <v>42906</v>
      </c>
      <c r="G2690" s="15">
        <v>4432.5</v>
      </c>
      <c r="H2690" s="15">
        <f t="shared" ref="H2690:H2753" si="42">E2690-G2690</f>
        <v>0</v>
      </c>
      <c r="I2690" s="236" t="s">
        <v>19682</v>
      </c>
    </row>
    <row r="2691" spans="1:9" x14ac:dyDescent="0.25">
      <c r="A2691" s="242">
        <v>42906</v>
      </c>
      <c r="B2691" s="18">
        <v>116792</v>
      </c>
      <c r="C2691" s="235" t="s">
        <v>19677</v>
      </c>
      <c r="D2691" s="236" t="s">
        <v>15226</v>
      </c>
      <c r="E2691" s="15">
        <v>4534</v>
      </c>
      <c r="F2691" s="237">
        <v>42916</v>
      </c>
      <c r="G2691" s="15">
        <v>4534</v>
      </c>
      <c r="H2691" s="15">
        <f t="shared" si="42"/>
        <v>0</v>
      </c>
      <c r="I2691" s="236" t="s">
        <v>19682</v>
      </c>
    </row>
    <row r="2692" spans="1:9" x14ac:dyDescent="0.25">
      <c r="A2692" s="36">
        <v>42906</v>
      </c>
      <c r="B2692" s="18">
        <v>116793</v>
      </c>
      <c r="C2692" s="235" t="s">
        <v>19677</v>
      </c>
      <c r="D2692" s="236" t="s">
        <v>19699</v>
      </c>
      <c r="E2692" s="15">
        <v>1380</v>
      </c>
      <c r="F2692" s="237">
        <v>42906</v>
      </c>
      <c r="G2692" s="15">
        <v>1380</v>
      </c>
      <c r="H2692" s="15">
        <f t="shared" si="42"/>
        <v>0</v>
      </c>
      <c r="I2692" s="236" t="s">
        <v>19682</v>
      </c>
    </row>
    <row r="2693" spans="1:9" x14ac:dyDescent="0.25">
      <c r="A2693" s="242">
        <v>42906</v>
      </c>
      <c r="B2693" s="18">
        <v>116794</v>
      </c>
      <c r="C2693" s="235" t="s">
        <v>19677</v>
      </c>
      <c r="D2693" s="236" t="s">
        <v>19699</v>
      </c>
      <c r="E2693" s="15">
        <v>1990.6</v>
      </c>
      <c r="F2693" s="237">
        <v>42906</v>
      </c>
      <c r="G2693" s="15">
        <v>1990.6</v>
      </c>
      <c r="H2693" s="15">
        <f t="shared" si="42"/>
        <v>0</v>
      </c>
      <c r="I2693" s="236" t="s">
        <v>19682</v>
      </c>
    </row>
    <row r="2694" spans="1:9" x14ac:dyDescent="0.25">
      <c r="A2694" s="36">
        <v>42906</v>
      </c>
      <c r="B2694" s="18">
        <v>116795</v>
      </c>
      <c r="C2694" s="235" t="s">
        <v>19677</v>
      </c>
      <c r="D2694" s="236" t="s">
        <v>15267</v>
      </c>
      <c r="E2694" s="15">
        <v>4300</v>
      </c>
      <c r="F2694" s="237">
        <v>42907</v>
      </c>
      <c r="G2694" s="15">
        <v>4300</v>
      </c>
      <c r="H2694" s="15">
        <f t="shared" si="42"/>
        <v>0</v>
      </c>
      <c r="I2694" s="236" t="s">
        <v>19682</v>
      </c>
    </row>
    <row r="2695" spans="1:9" x14ac:dyDescent="0.25">
      <c r="A2695" s="242">
        <v>42906</v>
      </c>
      <c r="B2695" s="18">
        <v>116796</v>
      </c>
      <c r="C2695" s="235" t="s">
        <v>19677</v>
      </c>
      <c r="D2695" s="236" t="s">
        <v>15284</v>
      </c>
      <c r="E2695" s="15">
        <v>939.9</v>
      </c>
      <c r="F2695" s="237">
        <v>42906</v>
      </c>
      <c r="G2695" s="15">
        <v>939.9</v>
      </c>
      <c r="H2695" s="15">
        <f t="shared" si="42"/>
        <v>0</v>
      </c>
      <c r="I2695" s="236" t="s">
        <v>19682</v>
      </c>
    </row>
    <row r="2696" spans="1:9" ht="36.75" x14ac:dyDescent="0.25">
      <c r="A2696" s="36">
        <v>42906</v>
      </c>
      <c r="B2696" s="18">
        <v>116797</v>
      </c>
      <c r="C2696" s="235" t="s">
        <v>19677</v>
      </c>
      <c r="D2696" s="236" t="s">
        <v>15987</v>
      </c>
      <c r="E2696" s="15">
        <v>10413</v>
      </c>
      <c r="F2696" s="298" t="s">
        <v>23774</v>
      </c>
      <c r="G2696" s="133">
        <f>600+1400+1300+1200+1000+1400+1400+2113</f>
        <v>10413</v>
      </c>
      <c r="H2696" s="241">
        <f t="shared" si="42"/>
        <v>0</v>
      </c>
      <c r="I2696" s="236" t="s">
        <v>19682</v>
      </c>
    </row>
    <row r="2697" spans="1:9" x14ac:dyDescent="0.25">
      <c r="A2697" s="242">
        <v>42906</v>
      </c>
      <c r="B2697" s="18">
        <v>116798</v>
      </c>
      <c r="C2697" s="235" t="s">
        <v>19677</v>
      </c>
      <c r="D2697" s="236" t="s">
        <v>19758</v>
      </c>
      <c r="E2697" s="15">
        <v>12534</v>
      </c>
      <c r="F2697" s="237">
        <v>42906</v>
      </c>
      <c r="G2697" s="15">
        <v>12534</v>
      </c>
      <c r="H2697" s="15">
        <f t="shared" si="42"/>
        <v>0</v>
      </c>
      <c r="I2697" s="236" t="s">
        <v>19682</v>
      </c>
    </row>
    <row r="2698" spans="1:9" ht="15.75" x14ac:dyDescent="0.25">
      <c r="A2698" s="36">
        <v>42906</v>
      </c>
      <c r="B2698" s="18">
        <v>116799</v>
      </c>
      <c r="C2698" s="235" t="s">
        <v>19677</v>
      </c>
      <c r="D2698" s="248" t="s">
        <v>95</v>
      </c>
      <c r="E2698" s="15">
        <v>0</v>
      </c>
      <c r="F2698" s="243" t="s">
        <v>95</v>
      </c>
      <c r="G2698" s="15">
        <v>0</v>
      </c>
      <c r="H2698" s="15">
        <f t="shared" si="42"/>
        <v>0</v>
      </c>
      <c r="I2698" s="236" t="s">
        <v>19678</v>
      </c>
    </row>
    <row r="2699" spans="1:9" x14ac:dyDescent="0.25">
      <c r="A2699" s="242">
        <v>42906</v>
      </c>
      <c r="B2699" s="18">
        <v>116800</v>
      </c>
      <c r="C2699" s="235" t="s">
        <v>19677</v>
      </c>
      <c r="D2699" s="236" t="s">
        <v>15246</v>
      </c>
      <c r="E2699" s="15">
        <v>158436.06</v>
      </c>
      <c r="F2699" s="237">
        <v>42909</v>
      </c>
      <c r="G2699" s="15">
        <v>158436.06</v>
      </c>
      <c r="H2699" s="15">
        <f t="shared" si="42"/>
        <v>0</v>
      </c>
      <c r="I2699" s="236" t="s">
        <v>19682</v>
      </c>
    </row>
    <row r="2700" spans="1:9" x14ac:dyDescent="0.25">
      <c r="A2700" s="36">
        <v>42906</v>
      </c>
      <c r="B2700" s="18">
        <v>116801</v>
      </c>
      <c r="C2700" s="235" t="s">
        <v>19677</v>
      </c>
      <c r="D2700" s="236" t="s">
        <v>15246</v>
      </c>
      <c r="E2700" s="15">
        <v>5431.4</v>
      </c>
      <c r="F2700" s="237" t="s">
        <v>19751</v>
      </c>
      <c r="G2700" s="15">
        <f>5231.4+200</f>
        <v>5431.4</v>
      </c>
      <c r="H2700" s="15">
        <f t="shared" si="42"/>
        <v>0</v>
      </c>
      <c r="I2700" s="236" t="s">
        <v>19682</v>
      </c>
    </row>
    <row r="2701" spans="1:9" x14ac:dyDescent="0.25">
      <c r="A2701" s="242">
        <v>42906</v>
      </c>
      <c r="B2701" s="18">
        <v>116802</v>
      </c>
      <c r="C2701" s="235" t="s">
        <v>19677</v>
      </c>
      <c r="D2701" s="236" t="s">
        <v>19754</v>
      </c>
      <c r="E2701" s="15">
        <v>16550.400000000001</v>
      </c>
      <c r="F2701" s="237">
        <v>42907</v>
      </c>
      <c r="G2701" s="15">
        <v>16550.400000000001</v>
      </c>
      <c r="H2701" s="15">
        <f t="shared" si="42"/>
        <v>0</v>
      </c>
      <c r="I2701" s="236" t="s">
        <v>19682</v>
      </c>
    </row>
    <row r="2702" spans="1:9" x14ac:dyDescent="0.25">
      <c r="A2702" s="36">
        <v>42906</v>
      </c>
      <c r="B2702" s="18">
        <v>116803</v>
      </c>
      <c r="C2702" s="235" t="s">
        <v>19677</v>
      </c>
      <c r="D2702" s="236" t="s">
        <v>15435</v>
      </c>
      <c r="E2702" s="15">
        <v>7977.6</v>
      </c>
      <c r="F2702" s="237">
        <v>42906</v>
      </c>
      <c r="G2702" s="15">
        <v>7977.6</v>
      </c>
      <c r="H2702" s="15">
        <f t="shared" si="42"/>
        <v>0</v>
      </c>
      <c r="I2702" s="236" t="s">
        <v>19682</v>
      </c>
    </row>
    <row r="2703" spans="1:9" x14ac:dyDescent="0.25">
      <c r="A2703" s="242">
        <v>42906</v>
      </c>
      <c r="B2703" s="18">
        <v>116804</v>
      </c>
      <c r="C2703" s="235" t="s">
        <v>19677</v>
      </c>
      <c r="D2703" s="236" t="s">
        <v>15365</v>
      </c>
      <c r="E2703" s="15">
        <v>286118</v>
      </c>
      <c r="F2703" s="237">
        <v>42915</v>
      </c>
      <c r="G2703" s="15">
        <v>286118</v>
      </c>
      <c r="H2703" s="15">
        <f t="shared" si="42"/>
        <v>0</v>
      </c>
      <c r="I2703" s="236" t="s">
        <v>19682</v>
      </c>
    </row>
    <row r="2704" spans="1:9" x14ac:dyDescent="0.25">
      <c r="A2704" s="36">
        <v>42906</v>
      </c>
      <c r="B2704" s="18">
        <v>116805</v>
      </c>
      <c r="C2704" s="235" t="s">
        <v>19677</v>
      </c>
      <c r="D2704" s="236" t="s">
        <v>16732</v>
      </c>
      <c r="E2704" s="15">
        <v>31106.26</v>
      </c>
      <c r="F2704" s="237">
        <v>42908</v>
      </c>
      <c r="G2704" s="15">
        <v>31106.26</v>
      </c>
      <c r="H2704" s="15">
        <f t="shared" si="42"/>
        <v>0</v>
      </c>
      <c r="I2704" s="236" t="s">
        <v>19682</v>
      </c>
    </row>
    <row r="2705" spans="1:9" x14ac:dyDescent="0.25">
      <c r="A2705" s="242">
        <v>42906</v>
      </c>
      <c r="B2705" s="18">
        <v>116806</v>
      </c>
      <c r="C2705" s="235" t="s">
        <v>19677</v>
      </c>
      <c r="D2705" s="236" t="s">
        <v>15315</v>
      </c>
      <c r="E2705" s="15">
        <v>3084.2</v>
      </c>
      <c r="F2705" s="237">
        <v>42906</v>
      </c>
      <c r="G2705" s="15">
        <v>3084.2</v>
      </c>
      <c r="H2705" s="15">
        <f t="shared" si="42"/>
        <v>0</v>
      </c>
      <c r="I2705" s="236" t="s">
        <v>19682</v>
      </c>
    </row>
    <row r="2706" spans="1:9" ht="15.75" x14ac:dyDescent="0.25">
      <c r="A2706" s="36">
        <v>42906</v>
      </c>
      <c r="B2706" s="18">
        <v>116807</v>
      </c>
      <c r="C2706" s="235" t="s">
        <v>19677</v>
      </c>
      <c r="D2706" s="248" t="s">
        <v>95</v>
      </c>
      <c r="E2706" s="15">
        <v>0</v>
      </c>
      <c r="F2706" s="243" t="s">
        <v>95</v>
      </c>
      <c r="G2706" s="15">
        <v>0</v>
      </c>
      <c r="H2706" s="15">
        <f t="shared" si="42"/>
        <v>0</v>
      </c>
      <c r="I2706" s="236" t="s">
        <v>19678</v>
      </c>
    </row>
    <row r="2707" spans="1:9" x14ac:dyDescent="0.25">
      <c r="A2707" s="242">
        <v>42906</v>
      </c>
      <c r="B2707" s="18">
        <v>116808</v>
      </c>
      <c r="C2707" s="235" t="s">
        <v>19677</v>
      </c>
      <c r="D2707" s="236" t="s">
        <v>15246</v>
      </c>
      <c r="E2707" s="15">
        <v>204726.54</v>
      </c>
      <c r="F2707" s="237" t="s">
        <v>19759</v>
      </c>
      <c r="G2707" s="241">
        <f>60585.75+144140.79</f>
        <v>204726.54</v>
      </c>
      <c r="H2707" s="241">
        <f t="shared" si="42"/>
        <v>0</v>
      </c>
      <c r="I2707" s="236" t="s">
        <v>19682</v>
      </c>
    </row>
    <row r="2708" spans="1:9" x14ac:dyDescent="0.25">
      <c r="A2708" s="36">
        <v>42907</v>
      </c>
      <c r="B2708" s="18">
        <v>116809</v>
      </c>
      <c r="C2708" s="235" t="s">
        <v>19677</v>
      </c>
      <c r="D2708" s="236" t="s">
        <v>15213</v>
      </c>
      <c r="E2708" s="15">
        <v>39171.5</v>
      </c>
      <c r="F2708" s="237">
        <v>42908</v>
      </c>
      <c r="G2708" s="15">
        <v>39171.5</v>
      </c>
      <c r="H2708" s="15">
        <f t="shared" si="42"/>
        <v>0</v>
      </c>
      <c r="I2708" s="236" t="s">
        <v>19682</v>
      </c>
    </row>
    <row r="2709" spans="1:9" x14ac:dyDescent="0.25">
      <c r="A2709" s="242">
        <v>42907</v>
      </c>
      <c r="B2709" s="18">
        <v>116810</v>
      </c>
      <c r="C2709" s="235" t="s">
        <v>19677</v>
      </c>
      <c r="D2709" s="236" t="s">
        <v>15213</v>
      </c>
      <c r="E2709" s="15">
        <v>7895.8</v>
      </c>
      <c r="F2709" s="237">
        <v>42910</v>
      </c>
      <c r="G2709" s="15">
        <v>7895.8</v>
      </c>
      <c r="H2709" s="15">
        <f t="shared" si="42"/>
        <v>0</v>
      </c>
      <c r="I2709" s="236" t="s">
        <v>19682</v>
      </c>
    </row>
    <row r="2710" spans="1:9" x14ac:dyDescent="0.25">
      <c r="A2710" s="36">
        <v>42907</v>
      </c>
      <c r="B2710" s="18">
        <v>116811</v>
      </c>
      <c r="C2710" s="235" t="s">
        <v>19677</v>
      </c>
      <c r="D2710" s="236" t="s">
        <v>15250</v>
      </c>
      <c r="E2710" s="15">
        <v>52471</v>
      </c>
      <c r="F2710" s="237" t="s">
        <v>19743</v>
      </c>
      <c r="G2710" s="241">
        <f>2996.71+49474.29</f>
        <v>52471</v>
      </c>
      <c r="H2710" s="241">
        <f t="shared" si="42"/>
        <v>0</v>
      </c>
      <c r="I2710" s="236" t="s">
        <v>19682</v>
      </c>
    </row>
    <row r="2711" spans="1:9" ht="15.75" x14ac:dyDescent="0.25">
      <c r="A2711" s="242">
        <v>42907</v>
      </c>
      <c r="B2711" s="18">
        <v>116812</v>
      </c>
      <c r="C2711" s="235" t="s">
        <v>19677</v>
      </c>
      <c r="D2711" s="248" t="s">
        <v>95</v>
      </c>
      <c r="E2711" s="15">
        <v>0</v>
      </c>
      <c r="F2711" s="243" t="s">
        <v>95</v>
      </c>
      <c r="G2711" s="15">
        <v>0</v>
      </c>
      <c r="H2711" s="15">
        <f t="shared" si="42"/>
        <v>0</v>
      </c>
      <c r="I2711" s="236" t="s">
        <v>19678</v>
      </c>
    </row>
    <row r="2712" spans="1:9" x14ac:dyDescent="0.25">
      <c r="A2712" s="36">
        <v>42907</v>
      </c>
      <c r="B2712" s="18">
        <v>116813</v>
      </c>
      <c r="C2712" s="235" t="s">
        <v>19677</v>
      </c>
      <c r="D2712" s="236" t="s">
        <v>15230</v>
      </c>
      <c r="E2712" s="15">
        <v>9525.6</v>
      </c>
      <c r="F2712" s="237">
        <v>42912</v>
      </c>
      <c r="G2712" s="15">
        <v>9525.6</v>
      </c>
      <c r="H2712" s="15">
        <f t="shared" si="42"/>
        <v>0</v>
      </c>
      <c r="I2712" s="236" t="s">
        <v>19682</v>
      </c>
    </row>
    <row r="2713" spans="1:9" x14ac:dyDescent="0.25">
      <c r="A2713" s="242">
        <v>42907</v>
      </c>
      <c r="B2713" s="18">
        <v>116814</v>
      </c>
      <c r="C2713" s="235" t="s">
        <v>19677</v>
      </c>
      <c r="D2713" s="236" t="s">
        <v>15232</v>
      </c>
      <c r="E2713" s="15">
        <v>6428.8</v>
      </c>
      <c r="F2713" s="237">
        <v>42915</v>
      </c>
      <c r="G2713" s="15">
        <v>6428.8</v>
      </c>
      <c r="H2713" s="15">
        <f t="shared" si="42"/>
        <v>0</v>
      </c>
      <c r="I2713" s="236" t="s">
        <v>19682</v>
      </c>
    </row>
    <row r="2714" spans="1:9" x14ac:dyDescent="0.25">
      <c r="A2714" s="36">
        <v>42907</v>
      </c>
      <c r="B2714" s="18">
        <v>116815</v>
      </c>
      <c r="C2714" s="235" t="s">
        <v>19677</v>
      </c>
      <c r="D2714" s="236" t="s">
        <v>15328</v>
      </c>
      <c r="E2714" s="15">
        <v>31599.8</v>
      </c>
      <c r="F2714" s="266">
        <v>42934</v>
      </c>
      <c r="G2714" s="35">
        <v>31599.8</v>
      </c>
      <c r="H2714" s="15">
        <f t="shared" si="42"/>
        <v>0</v>
      </c>
      <c r="I2714" s="236" t="s">
        <v>19682</v>
      </c>
    </row>
    <row r="2715" spans="1:9" x14ac:dyDescent="0.25">
      <c r="A2715" s="242">
        <v>42907</v>
      </c>
      <c r="B2715" s="18">
        <v>116816</v>
      </c>
      <c r="C2715" s="235" t="s">
        <v>19677</v>
      </c>
      <c r="D2715" s="236" t="s">
        <v>15263</v>
      </c>
      <c r="E2715" s="15">
        <v>3960.7</v>
      </c>
      <c r="F2715" s="237">
        <v>42907</v>
      </c>
      <c r="G2715" s="15">
        <v>3960.7</v>
      </c>
      <c r="H2715" s="15">
        <f t="shared" si="42"/>
        <v>0</v>
      </c>
      <c r="I2715" s="236" t="s">
        <v>19682</v>
      </c>
    </row>
    <row r="2716" spans="1:9" x14ac:dyDescent="0.25">
      <c r="A2716" s="36">
        <v>42907</v>
      </c>
      <c r="B2716" s="18">
        <v>116817</v>
      </c>
      <c r="C2716" s="235" t="s">
        <v>19677</v>
      </c>
      <c r="D2716" s="236" t="s">
        <v>18544</v>
      </c>
      <c r="E2716" s="15">
        <v>7122.8</v>
      </c>
      <c r="F2716" s="237">
        <v>42907</v>
      </c>
      <c r="G2716" s="15">
        <v>7122.8</v>
      </c>
      <c r="H2716" s="15">
        <f t="shared" si="42"/>
        <v>0</v>
      </c>
      <c r="I2716" s="236" t="s">
        <v>19682</v>
      </c>
    </row>
    <row r="2717" spans="1:9" x14ac:dyDescent="0.25">
      <c r="A2717" s="242">
        <v>42907</v>
      </c>
      <c r="B2717" s="18">
        <v>116818</v>
      </c>
      <c r="C2717" s="235" t="s">
        <v>19677</v>
      </c>
      <c r="D2717" s="236" t="s">
        <v>15553</v>
      </c>
      <c r="E2717" s="15">
        <v>5317.6</v>
      </c>
      <c r="F2717" s="237">
        <v>42907</v>
      </c>
      <c r="G2717" s="15">
        <v>5317.6</v>
      </c>
      <c r="H2717" s="15">
        <f t="shared" si="42"/>
        <v>0</v>
      </c>
      <c r="I2717" s="236" t="s">
        <v>19682</v>
      </c>
    </row>
    <row r="2718" spans="1:9" x14ac:dyDescent="0.25">
      <c r="A2718" s="36">
        <v>42907</v>
      </c>
      <c r="B2718" s="18">
        <v>116819</v>
      </c>
      <c r="C2718" s="235" t="s">
        <v>19677</v>
      </c>
      <c r="D2718" s="236" t="s">
        <v>15272</v>
      </c>
      <c r="E2718" s="15">
        <v>12084.8</v>
      </c>
      <c r="F2718" s="237">
        <v>42907</v>
      </c>
      <c r="G2718" s="15">
        <v>12084.8</v>
      </c>
      <c r="H2718" s="15">
        <f t="shared" si="42"/>
        <v>0</v>
      </c>
      <c r="I2718" s="236" t="s">
        <v>19682</v>
      </c>
    </row>
    <row r="2719" spans="1:9" x14ac:dyDescent="0.25">
      <c r="A2719" s="242">
        <v>42907</v>
      </c>
      <c r="B2719" s="18">
        <v>116820</v>
      </c>
      <c r="C2719" s="235" t="s">
        <v>19677</v>
      </c>
      <c r="D2719" s="236" t="s">
        <v>15236</v>
      </c>
      <c r="E2719" s="15">
        <v>7048</v>
      </c>
      <c r="F2719" s="237">
        <v>42909</v>
      </c>
      <c r="G2719" s="15">
        <v>7048</v>
      </c>
      <c r="H2719" s="15">
        <f t="shared" si="42"/>
        <v>0</v>
      </c>
      <c r="I2719" s="236" t="s">
        <v>19682</v>
      </c>
    </row>
    <row r="2720" spans="1:9" x14ac:dyDescent="0.25">
      <c r="A2720" s="36">
        <v>42907</v>
      </c>
      <c r="B2720" s="18">
        <v>116821</v>
      </c>
      <c r="C2720" s="235" t="s">
        <v>19677</v>
      </c>
      <c r="D2720" s="236" t="s">
        <v>15427</v>
      </c>
      <c r="E2720" s="15">
        <v>47538.400000000001</v>
      </c>
      <c r="F2720" s="237">
        <v>42908</v>
      </c>
      <c r="G2720" s="15">
        <v>47538.400000000001</v>
      </c>
      <c r="H2720" s="15">
        <f t="shared" si="42"/>
        <v>0</v>
      </c>
      <c r="I2720" s="236" t="s">
        <v>19682</v>
      </c>
    </row>
    <row r="2721" spans="1:9" x14ac:dyDescent="0.25">
      <c r="A2721" s="242">
        <v>42907</v>
      </c>
      <c r="B2721" s="18">
        <v>116822</v>
      </c>
      <c r="C2721" s="235" t="s">
        <v>19677</v>
      </c>
      <c r="D2721" s="236" t="s">
        <v>15371</v>
      </c>
      <c r="E2721" s="15">
        <v>4281</v>
      </c>
      <c r="F2721" s="237">
        <v>42908</v>
      </c>
      <c r="G2721" s="15">
        <v>4281</v>
      </c>
      <c r="H2721" s="15">
        <f t="shared" si="42"/>
        <v>0</v>
      </c>
      <c r="I2721" s="236" t="s">
        <v>19682</v>
      </c>
    </row>
    <row r="2722" spans="1:9" x14ac:dyDescent="0.25">
      <c r="A2722" s="36">
        <v>42907</v>
      </c>
      <c r="B2722" s="18">
        <v>116823</v>
      </c>
      <c r="C2722" s="235" t="s">
        <v>19677</v>
      </c>
      <c r="D2722" s="236" t="s">
        <v>15234</v>
      </c>
      <c r="E2722" s="15">
        <v>3224</v>
      </c>
      <c r="F2722" s="237">
        <v>42912</v>
      </c>
      <c r="G2722" s="15">
        <v>3224</v>
      </c>
      <c r="H2722" s="15">
        <f t="shared" si="42"/>
        <v>0</v>
      </c>
      <c r="I2722" s="236" t="s">
        <v>19682</v>
      </c>
    </row>
    <row r="2723" spans="1:9" x14ac:dyDescent="0.25">
      <c r="A2723" s="242">
        <v>42907</v>
      </c>
      <c r="B2723" s="18">
        <v>116824</v>
      </c>
      <c r="C2723" s="235" t="s">
        <v>19677</v>
      </c>
      <c r="D2723" s="236" t="s">
        <v>15394</v>
      </c>
      <c r="E2723" s="15">
        <v>23751.599999999999</v>
      </c>
      <c r="F2723" s="237">
        <v>42910</v>
      </c>
      <c r="G2723" s="15">
        <v>23751.599999999999</v>
      </c>
      <c r="H2723" s="15">
        <f t="shared" si="42"/>
        <v>0</v>
      </c>
      <c r="I2723" s="236" t="s">
        <v>19682</v>
      </c>
    </row>
    <row r="2724" spans="1:9" x14ac:dyDescent="0.25">
      <c r="A2724" s="36">
        <v>42907</v>
      </c>
      <c r="B2724" s="18">
        <v>116825</v>
      </c>
      <c r="C2724" s="235" t="s">
        <v>19677</v>
      </c>
      <c r="D2724" s="236" t="s">
        <v>19549</v>
      </c>
      <c r="E2724" s="15">
        <v>11717</v>
      </c>
      <c r="F2724" s="237">
        <v>42908</v>
      </c>
      <c r="G2724" s="15">
        <v>11717</v>
      </c>
      <c r="H2724" s="15">
        <f t="shared" si="42"/>
        <v>0</v>
      </c>
      <c r="I2724" s="236" t="s">
        <v>19682</v>
      </c>
    </row>
    <row r="2725" spans="1:9" x14ac:dyDescent="0.25">
      <c r="A2725" s="242">
        <v>42907</v>
      </c>
      <c r="B2725" s="18">
        <v>116826</v>
      </c>
      <c r="C2725" s="235" t="s">
        <v>19677</v>
      </c>
      <c r="D2725" s="236" t="s">
        <v>15294</v>
      </c>
      <c r="E2725" s="15">
        <v>3588</v>
      </c>
      <c r="F2725" s="237">
        <v>42907</v>
      </c>
      <c r="G2725" s="15">
        <v>3588</v>
      </c>
      <c r="H2725" s="15">
        <f t="shared" si="42"/>
        <v>0</v>
      </c>
      <c r="I2725" s="236" t="s">
        <v>19682</v>
      </c>
    </row>
    <row r="2726" spans="1:9" x14ac:dyDescent="0.25">
      <c r="A2726" s="36">
        <v>42907</v>
      </c>
      <c r="B2726" s="18">
        <v>116827</v>
      </c>
      <c r="C2726" s="235" t="s">
        <v>19677</v>
      </c>
      <c r="D2726" s="236" t="s">
        <v>15373</v>
      </c>
      <c r="E2726" s="15">
        <v>13554</v>
      </c>
      <c r="F2726" s="237">
        <v>42908</v>
      </c>
      <c r="G2726" s="15">
        <v>13554</v>
      </c>
      <c r="H2726" s="15">
        <f t="shared" si="42"/>
        <v>0</v>
      </c>
      <c r="I2726" s="236" t="s">
        <v>19682</v>
      </c>
    </row>
    <row r="2727" spans="1:9" x14ac:dyDescent="0.25">
      <c r="A2727" s="242">
        <v>42907</v>
      </c>
      <c r="B2727" s="18">
        <v>116828</v>
      </c>
      <c r="C2727" s="235" t="s">
        <v>19677</v>
      </c>
      <c r="D2727" s="236" t="s">
        <v>17462</v>
      </c>
      <c r="E2727" s="15">
        <v>6079.2</v>
      </c>
      <c r="F2727" s="237">
        <v>42907</v>
      </c>
      <c r="G2727" s="15">
        <v>6079.2</v>
      </c>
      <c r="H2727" s="15">
        <f t="shared" si="42"/>
        <v>0</v>
      </c>
      <c r="I2727" s="236" t="s">
        <v>19682</v>
      </c>
    </row>
    <row r="2728" spans="1:9" x14ac:dyDescent="0.25">
      <c r="A2728" s="36">
        <v>42907</v>
      </c>
      <c r="B2728" s="18">
        <v>116829</v>
      </c>
      <c r="C2728" s="235" t="s">
        <v>19677</v>
      </c>
      <c r="D2728" s="236" t="s">
        <v>15256</v>
      </c>
      <c r="E2728" s="15">
        <v>3011</v>
      </c>
      <c r="F2728" s="237">
        <v>42908</v>
      </c>
      <c r="G2728" s="15">
        <v>3011</v>
      </c>
      <c r="H2728" s="15">
        <f t="shared" si="42"/>
        <v>0</v>
      </c>
      <c r="I2728" s="236" t="s">
        <v>19682</v>
      </c>
    </row>
    <row r="2729" spans="1:9" x14ac:dyDescent="0.25">
      <c r="A2729" s="242">
        <v>42907</v>
      </c>
      <c r="B2729" s="18">
        <v>116830</v>
      </c>
      <c r="C2729" s="235" t="s">
        <v>19677</v>
      </c>
      <c r="D2729" s="236" t="s">
        <v>15238</v>
      </c>
      <c r="E2729" s="15">
        <v>2080.8000000000002</v>
      </c>
      <c r="F2729" s="237">
        <v>42909</v>
      </c>
      <c r="G2729" s="15">
        <v>2080.8000000000002</v>
      </c>
      <c r="H2729" s="15">
        <f t="shared" si="42"/>
        <v>0</v>
      </c>
      <c r="I2729" s="236" t="s">
        <v>19682</v>
      </c>
    </row>
    <row r="2730" spans="1:9" x14ac:dyDescent="0.25">
      <c r="A2730" s="36">
        <v>42907</v>
      </c>
      <c r="B2730" s="18">
        <v>116831</v>
      </c>
      <c r="C2730" s="235" t="s">
        <v>19677</v>
      </c>
      <c r="D2730" s="236" t="s">
        <v>15668</v>
      </c>
      <c r="E2730" s="15">
        <v>20977.599999999999</v>
      </c>
      <c r="F2730" s="237">
        <v>42908</v>
      </c>
      <c r="G2730" s="15">
        <v>20977.599999999999</v>
      </c>
      <c r="H2730" s="15">
        <f t="shared" si="42"/>
        <v>0</v>
      </c>
      <c r="I2730" s="236" t="s">
        <v>19682</v>
      </c>
    </row>
    <row r="2731" spans="1:9" x14ac:dyDescent="0.25">
      <c r="A2731" s="242">
        <v>42907</v>
      </c>
      <c r="B2731" s="18">
        <v>116832</v>
      </c>
      <c r="C2731" s="235" t="s">
        <v>19677</v>
      </c>
      <c r="D2731" s="236" t="s">
        <v>15258</v>
      </c>
      <c r="E2731" s="15">
        <v>10792</v>
      </c>
      <c r="F2731" s="237">
        <v>42908</v>
      </c>
      <c r="G2731" s="15">
        <v>10792</v>
      </c>
      <c r="H2731" s="15">
        <f t="shared" si="42"/>
        <v>0</v>
      </c>
      <c r="I2731" s="236" t="s">
        <v>19682</v>
      </c>
    </row>
    <row r="2732" spans="1:9" x14ac:dyDescent="0.25">
      <c r="A2732" s="36">
        <v>42907</v>
      </c>
      <c r="B2732" s="18">
        <v>116833</v>
      </c>
      <c r="C2732" s="235" t="s">
        <v>19677</v>
      </c>
      <c r="D2732" s="236" t="s">
        <v>15284</v>
      </c>
      <c r="E2732" s="15">
        <v>2034</v>
      </c>
      <c r="F2732" s="237">
        <v>42907</v>
      </c>
      <c r="G2732" s="15">
        <v>2034</v>
      </c>
      <c r="H2732" s="15">
        <f t="shared" si="42"/>
        <v>0</v>
      </c>
      <c r="I2732" s="236" t="s">
        <v>19682</v>
      </c>
    </row>
    <row r="2733" spans="1:9" x14ac:dyDescent="0.25">
      <c r="A2733" s="242">
        <v>42907</v>
      </c>
      <c r="B2733" s="18">
        <v>116834</v>
      </c>
      <c r="C2733" s="235" t="s">
        <v>19677</v>
      </c>
      <c r="D2733" s="236" t="s">
        <v>15242</v>
      </c>
      <c r="E2733" s="15">
        <v>4588.1000000000004</v>
      </c>
      <c r="F2733" s="237">
        <v>42907</v>
      </c>
      <c r="G2733" s="15">
        <v>4588.1000000000004</v>
      </c>
      <c r="H2733" s="15">
        <f t="shared" si="42"/>
        <v>0</v>
      </c>
      <c r="I2733" s="236" t="s">
        <v>19682</v>
      </c>
    </row>
    <row r="2734" spans="1:9" x14ac:dyDescent="0.25">
      <c r="A2734" s="36">
        <v>42907</v>
      </c>
      <c r="B2734" s="18">
        <v>116835</v>
      </c>
      <c r="C2734" s="235" t="s">
        <v>19677</v>
      </c>
      <c r="D2734" s="236" t="s">
        <v>15244</v>
      </c>
      <c r="E2734" s="15">
        <v>13059</v>
      </c>
      <c r="F2734" s="237">
        <v>42913</v>
      </c>
      <c r="G2734" s="15">
        <v>13059</v>
      </c>
      <c r="H2734" s="15">
        <f t="shared" si="42"/>
        <v>0</v>
      </c>
      <c r="I2734" s="236" t="s">
        <v>19682</v>
      </c>
    </row>
    <row r="2735" spans="1:9" x14ac:dyDescent="0.25">
      <c r="A2735" s="242">
        <v>42907</v>
      </c>
      <c r="B2735" s="18">
        <v>116836</v>
      </c>
      <c r="C2735" s="235" t="s">
        <v>19677</v>
      </c>
      <c r="D2735" s="236" t="s">
        <v>15244</v>
      </c>
      <c r="E2735" s="15">
        <v>534.4</v>
      </c>
      <c r="F2735" s="237">
        <v>42909</v>
      </c>
      <c r="G2735" s="15">
        <v>534.4</v>
      </c>
      <c r="H2735" s="15">
        <f t="shared" si="42"/>
        <v>0</v>
      </c>
      <c r="I2735" s="236" t="s">
        <v>19682</v>
      </c>
    </row>
    <row r="2736" spans="1:9" x14ac:dyDescent="0.25">
      <c r="A2736" s="36">
        <v>42907</v>
      </c>
      <c r="B2736" s="18">
        <v>116837</v>
      </c>
      <c r="C2736" s="235" t="s">
        <v>19677</v>
      </c>
      <c r="D2736" s="236" t="s">
        <v>15240</v>
      </c>
      <c r="E2736" s="15">
        <v>3245</v>
      </c>
      <c r="F2736" s="237">
        <v>42908</v>
      </c>
      <c r="G2736" s="15">
        <v>3245</v>
      </c>
      <c r="H2736" s="15">
        <f t="shared" si="42"/>
        <v>0</v>
      </c>
      <c r="I2736" s="236" t="s">
        <v>19682</v>
      </c>
    </row>
    <row r="2737" spans="1:9" x14ac:dyDescent="0.25">
      <c r="A2737" s="242">
        <v>42907</v>
      </c>
      <c r="B2737" s="18">
        <v>116838</v>
      </c>
      <c r="C2737" s="235" t="s">
        <v>19677</v>
      </c>
      <c r="D2737" s="236" t="s">
        <v>15226</v>
      </c>
      <c r="E2737" s="15">
        <v>1430.6</v>
      </c>
      <c r="F2737" s="237">
        <v>42907</v>
      </c>
      <c r="G2737" s="15">
        <v>1430.6</v>
      </c>
      <c r="H2737" s="15">
        <f t="shared" si="42"/>
        <v>0</v>
      </c>
      <c r="I2737" s="236" t="s">
        <v>19682</v>
      </c>
    </row>
    <row r="2738" spans="1:9" x14ac:dyDescent="0.25">
      <c r="A2738" s="36">
        <v>42907</v>
      </c>
      <c r="B2738" s="18">
        <v>116839</v>
      </c>
      <c r="C2738" s="235" t="s">
        <v>19677</v>
      </c>
      <c r="D2738" s="236" t="s">
        <v>15252</v>
      </c>
      <c r="E2738" s="15">
        <v>4229.3999999999996</v>
      </c>
      <c r="F2738" s="237">
        <v>42910</v>
      </c>
      <c r="G2738" s="15">
        <v>4229.3999999999996</v>
      </c>
      <c r="H2738" s="15">
        <f t="shared" si="42"/>
        <v>0</v>
      </c>
      <c r="I2738" s="236" t="s">
        <v>19682</v>
      </c>
    </row>
    <row r="2739" spans="1:9" x14ac:dyDescent="0.25">
      <c r="A2739" s="242">
        <v>42907</v>
      </c>
      <c r="B2739" s="18">
        <v>116840</v>
      </c>
      <c r="C2739" s="235" t="s">
        <v>19677</v>
      </c>
      <c r="D2739" s="236" t="s">
        <v>15480</v>
      </c>
      <c r="E2739" s="15">
        <v>3940.4</v>
      </c>
      <c r="F2739" s="237">
        <v>42909</v>
      </c>
      <c r="G2739" s="15">
        <v>3940.4</v>
      </c>
      <c r="H2739" s="15">
        <f t="shared" si="42"/>
        <v>0</v>
      </c>
      <c r="I2739" s="236" t="s">
        <v>19682</v>
      </c>
    </row>
    <row r="2740" spans="1:9" x14ac:dyDescent="0.25">
      <c r="A2740" s="36">
        <v>42907</v>
      </c>
      <c r="B2740" s="18">
        <v>116841</v>
      </c>
      <c r="C2740" s="235" t="s">
        <v>19677</v>
      </c>
      <c r="D2740" s="236" t="s">
        <v>15369</v>
      </c>
      <c r="E2740" s="15">
        <v>29453.8</v>
      </c>
      <c r="F2740" s="266">
        <v>42927</v>
      </c>
      <c r="G2740" s="35">
        <v>29453.8</v>
      </c>
      <c r="H2740" s="15">
        <f t="shared" si="42"/>
        <v>0</v>
      </c>
      <c r="I2740" s="236" t="s">
        <v>19682</v>
      </c>
    </row>
    <row r="2741" spans="1:9" x14ac:dyDescent="0.25">
      <c r="A2741" s="242">
        <v>42907</v>
      </c>
      <c r="B2741" s="18">
        <v>116842</v>
      </c>
      <c r="C2741" s="235" t="s">
        <v>19677</v>
      </c>
      <c r="D2741" s="236" t="s">
        <v>15380</v>
      </c>
      <c r="E2741" s="15">
        <v>32286</v>
      </c>
      <c r="F2741" s="266">
        <v>42927</v>
      </c>
      <c r="G2741" s="35">
        <v>32286</v>
      </c>
      <c r="H2741" s="15">
        <f t="shared" si="42"/>
        <v>0</v>
      </c>
      <c r="I2741" s="236" t="s">
        <v>19682</v>
      </c>
    </row>
    <row r="2742" spans="1:9" x14ac:dyDescent="0.25">
      <c r="A2742" s="36">
        <v>42907</v>
      </c>
      <c r="B2742" s="18">
        <v>116843</v>
      </c>
      <c r="C2742" s="235" t="s">
        <v>19677</v>
      </c>
      <c r="D2742" s="236" t="s">
        <v>15389</v>
      </c>
      <c r="E2742" s="15">
        <v>12277</v>
      </c>
      <c r="F2742" s="266">
        <v>42927</v>
      </c>
      <c r="G2742" s="35">
        <v>12277</v>
      </c>
      <c r="H2742" s="15">
        <f t="shared" si="42"/>
        <v>0</v>
      </c>
      <c r="I2742" s="236" t="s">
        <v>19682</v>
      </c>
    </row>
    <row r="2743" spans="1:9" x14ac:dyDescent="0.25">
      <c r="A2743" s="242">
        <v>42907</v>
      </c>
      <c r="B2743" s="18">
        <v>116844</v>
      </c>
      <c r="C2743" s="235" t="s">
        <v>19677</v>
      </c>
      <c r="D2743" s="236" t="s">
        <v>15278</v>
      </c>
      <c r="E2743" s="15">
        <v>6094.6</v>
      </c>
      <c r="F2743" s="237">
        <v>42907</v>
      </c>
      <c r="G2743" s="15">
        <v>6094.6</v>
      </c>
      <c r="H2743" s="15">
        <f t="shared" si="42"/>
        <v>0</v>
      </c>
      <c r="I2743" s="236" t="s">
        <v>19682</v>
      </c>
    </row>
    <row r="2744" spans="1:9" x14ac:dyDescent="0.25">
      <c r="A2744" s="36">
        <v>42907</v>
      </c>
      <c r="B2744" s="18">
        <v>116845</v>
      </c>
      <c r="C2744" s="235" t="s">
        <v>19677</v>
      </c>
      <c r="D2744" s="236" t="s">
        <v>15382</v>
      </c>
      <c r="E2744" s="15">
        <v>11750.6</v>
      </c>
      <c r="F2744" s="266">
        <v>42931</v>
      </c>
      <c r="G2744" s="35">
        <v>11750.6</v>
      </c>
      <c r="H2744" s="15">
        <f t="shared" si="42"/>
        <v>0</v>
      </c>
      <c r="I2744" s="236" t="s">
        <v>19682</v>
      </c>
    </row>
    <row r="2745" spans="1:9" x14ac:dyDescent="0.25">
      <c r="A2745" s="242">
        <v>42907</v>
      </c>
      <c r="B2745" s="18">
        <v>116846</v>
      </c>
      <c r="C2745" s="235" t="s">
        <v>19677</v>
      </c>
      <c r="D2745" s="236" t="s">
        <v>17057</v>
      </c>
      <c r="E2745" s="15">
        <v>2060.1999999999998</v>
      </c>
      <c r="F2745" s="237">
        <v>42907</v>
      </c>
      <c r="G2745" s="15">
        <v>2060.1999999999998</v>
      </c>
      <c r="H2745" s="15">
        <f t="shared" si="42"/>
        <v>0</v>
      </c>
      <c r="I2745" s="236" t="s">
        <v>19682</v>
      </c>
    </row>
    <row r="2746" spans="1:9" x14ac:dyDescent="0.25">
      <c r="A2746" s="36">
        <v>42907</v>
      </c>
      <c r="B2746" s="18">
        <v>116847</v>
      </c>
      <c r="C2746" s="235" t="s">
        <v>19677</v>
      </c>
      <c r="D2746" s="236" t="s">
        <v>15330</v>
      </c>
      <c r="E2746" s="15">
        <v>3879.3</v>
      </c>
      <c r="F2746" s="237">
        <v>42907</v>
      </c>
      <c r="G2746" s="15">
        <v>3879.3</v>
      </c>
      <c r="H2746" s="15">
        <f t="shared" si="42"/>
        <v>0</v>
      </c>
      <c r="I2746" s="236" t="s">
        <v>19682</v>
      </c>
    </row>
    <row r="2747" spans="1:9" x14ac:dyDescent="0.25">
      <c r="A2747" s="242">
        <v>42907</v>
      </c>
      <c r="B2747" s="18">
        <v>116848</v>
      </c>
      <c r="C2747" s="235" t="s">
        <v>19677</v>
      </c>
      <c r="D2747" s="236" t="s">
        <v>15220</v>
      </c>
      <c r="E2747" s="15">
        <v>2300</v>
      </c>
      <c r="F2747" s="237">
        <v>42907</v>
      </c>
      <c r="G2747" s="15">
        <v>2300</v>
      </c>
      <c r="H2747" s="15">
        <f t="shared" si="42"/>
        <v>0</v>
      </c>
      <c r="I2747" s="236" t="s">
        <v>19682</v>
      </c>
    </row>
    <row r="2748" spans="1:9" x14ac:dyDescent="0.25">
      <c r="A2748" s="36">
        <v>42907</v>
      </c>
      <c r="B2748" s="18">
        <v>116849</v>
      </c>
      <c r="C2748" s="235" t="s">
        <v>19677</v>
      </c>
      <c r="D2748" s="236" t="s">
        <v>15282</v>
      </c>
      <c r="E2748" s="15">
        <v>2811.2</v>
      </c>
      <c r="F2748" s="237">
        <v>42907</v>
      </c>
      <c r="G2748" s="15">
        <v>2811.2</v>
      </c>
      <c r="H2748" s="15">
        <f t="shared" si="42"/>
        <v>0</v>
      </c>
      <c r="I2748" s="236" t="s">
        <v>19682</v>
      </c>
    </row>
    <row r="2749" spans="1:9" x14ac:dyDescent="0.25">
      <c r="A2749" s="242">
        <v>42907</v>
      </c>
      <c r="B2749" s="18">
        <v>116850</v>
      </c>
      <c r="C2749" s="235" t="s">
        <v>19677</v>
      </c>
      <c r="D2749" s="236" t="s">
        <v>15324</v>
      </c>
      <c r="E2749" s="15">
        <v>2360</v>
      </c>
      <c r="F2749" s="237">
        <v>42907</v>
      </c>
      <c r="G2749" s="15">
        <v>2360</v>
      </c>
      <c r="H2749" s="15">
        <f t="shared" si="42"/>
        <v>0</v>
      </c>
      <c r="I2749" s="236" t="s">
        <v>19682</v>
      </c>
    </row>
    <row r="2750" spans="1:9" x14ac:dyDescent="0.25">
      <c r="A2750" s="36">
        <v>42907</v>
      </c>
      <c r="B2750" s="18">
        <v>116851</v>
      </c>
      <c r="C2750" s="235" t="s">
        <v>19677</v>
      </c>
      <c r="D2750" s="236" t="s">
        <v>17235</v>
      </c>
      <c r="E2750" s="15">
        <v>460</v>
      </c>
      <c r="F2750" s="237">
        <v>42907</v>
      </c>
      <c r="G2750" s="15">
        <v>460</v>
      </c>
      <c r="H2750" s="15">
        <f t="shared" si="42"/>
        <v>0</v>
      </c>
      <c r="I2750" s="236" t="s">
        <v>19682</v>
      </c>
    </row>
    <row r="2751" spans="1:9" x14ac:dyDescent="0.25">
      <c r="A2751" s="242">
        <v>42907</v>
      </c>
      <c r="B2751" s="18">
        <v>116852</v>
      </c>
      <c r="C2751" s="235" t="s">
        <v>19677</v>
      </c>
      <c r="D2751" s="236" t="s">
        <v>15367</v>
      </c>
      <c r="E2751" s="15">
        <v>3680</v>
      </c>
      <c r="F2751" s="237">
        <v>42908</v>
      </c>
      <c r="G2751" s="15">
        <v>3680</v>
      </c>
      <c r="H2751" s="15">
        <f t="shared" si="42"/>
        <v>0</v>
      </c>
      <c r="I2751" s="236" t="s">
        <v>19682</v>
      </c>
    </row>
    <row r="2752" spans="1:9" x14ac:dyDescent="0.25">
      <c r="A2752" s="36">
        <v>42907</v>
      </c>
      <c r="B2752" s="18">
        <v>116853</v>
      </c>
      <c r="C2752" s="235" t="s">
        <v>19677</v>
      </c>
      <c r="D2752" s="236" t="s">
        <v>15289</v>
      </c>
      <c r="E2752" s="15">
        <v>1071.5999999999999</v>
      </c>
      <c r="F2752" s="237">
        <v>42907</v>
      </c>
      <c r="G2752" s="15">
        <v>1071.5999999999999</v>
      </c>
      <c r="H2752" s="15">
        <f t="shared" si="42"/>
        <v>0</v>
      </c>
      <c r="I2752" s="236" t="s">
        <v>19682</v>
      </c>
    </row>
    <row r="2753" spans="1:9" x14ac:dyDescent="0.25">
      <c r="A2753" s="242">
        <v>42907</v>
      </c>
      <c r="B2753" s="18">
        <v>116854</v>
      </c>
      <c r="C2753" s="235" t="s">
        <v>19677</v>
      </c>
      <c r="D2753" s="236" t="s">
        <v>15315</v>
      </c>
      <c r="E2753" s="15">
        <v>696</v>
      </c>
      <c r="F2753" s="237">
        <v>42908</v>
      </c>
      <c r="G2753" s="15">
        <v>696</v>
      </c>
      <c r="H2753" s="15">
        <f t="shared" si="42"/>
        <v>0</v>
      </c>
      <c r="I2753" s="236" t="s">
        <v>19682</v>
      </c>
    </row>
    <row r="2754" spans="1:9" x14ac:dyDescent="0.25">
      <c r="A2754" s="36">
        <v>42907</v>
      </c>
      <c r="B2754" s="18">
        <v>116855</v>
      </c>
      <c r="C2754" s="235" t="s">
        <v>19677</v>
      </c>
      <c r="D2754" s="236" t="s">
        <v>15280</v>
      </c>
      <c r="E2754" s="15">
        <v>6466.2</v>
      </c>
      <c r="F2754" s="237">
        <v>42907</v>
      </c>
      <c r="G2754" s="15">
        <v>6466.2</v>
      </c>
      <c r="H2754" s="15">
        <f t="shared" ref="H2754:H2817" si="43">E2754-G2754</f>
        <v>0</v>
      </c>
      <c r="I2754" s="236" t="s">
        <v>19682</v>
      </c>
    </row>
    <row r="2755" spans="1:9" x14ac:dyDescent="0.25">
      <c r="A2755" s="242">
        <v>42907</v>
      </c>
      <c r="B2755" s="18">
        <v>116856</v>
      </c>
      <c r="C2755" s="235" t="s">
        <v>19677</v>
      </c>
      <c r="D2755" s="236" t="s">
        <v>15530</v>
      </c>
      <c r="E2755" s="15">
        <v>1369.8</v>
      </c>
      <c r="F2755" s="237">
        <v>42907</v>
      </c>
      <c r="G2755" s="15">
        <v>1369.8</v>
      </c>
      <c r="H2755" s="15">
        <f t="shared" si="43"/>
        <v>0</v>
      </c>
      <c r="I2755" s="236" t="s">
        <v>19682</v>
      </c>
    </row>
    <row r="2756" spans="1:9" x14ac:dyDescent="0.25">
      <c r="A2756" s="36">
        <v>42907</v>
      </c>
      <c r="B2756" s="18">
        <v>116857</v>
      </c>
      <c r="C2756" s="235" t="s">
        <v>19677</v>
      </c>
      <c r="D2756" s="236" t="s">
        <v>15223</v>
      </c>
      <c r="E2756" s="15">
        <v>46065.599999999999</v>
      </c>
      <c r="F2756" s="237">
        <v>42926</v>
      </c>
      <c r="G2756" s="15">
        <v>46065.599999999999</v>
      </c>
      <c r="H2756" s="15">
        <f t="shared" si="43"/>
        <v>0</v>
      </c>
      <c r="I2756" s="236" t="s">
        <v>19682</v>
      </c>
    </row>
    <row r="2757" spans="1:9" x14ac:dyDescent="0.25">
      <c r="A2757" s="242">
        <v>42907</v>
      </c>
      <c r="B2757" s="18">
        <v>116858</v>
      </c>
      <c r="C2757" s="235" t="s">
        <v>19677</v>
      </c>
      <c r="D2757" s="236" t="s">
        <v>15706</v>
      </c>
      <c r="E2757" s="15">
        <v>1971.4</v>
      </c>
      <c r="F2757" s="237">
        <v>42907</v>
      </c>
      <c r="G2757" s="15">
        <v>1971.4</v>
      </c>
      <c r="H2757" s="15">
        <f t="shared" si="43"/>
        <v>0</v>
      </c>
      <c r="I2757" s="236" t="s">
        <v>19682</v>
      </c>
    </row>
    <row r="2758" spans="1:9" x14ac:dyDescent="0.25">
      <c r="A2758" s="36">
        <v>42907</v>
      </c>
      <c r="B2758" s="18">
        <v>116859</v>
      </c>
      <c r="C2758" s="235" t="s">
        <v>19677</v>
      </c>
      <c r="D2758" s="236" t="s">
        <v>15404</v>
      </c>
      <c r="E2758" s="15">
        <v>2310</v>
      </c>
      <c r="F2758" s="237">
        <v>42907</v>
      </c>
      <c r="G2758" s="15">
        <v>2310</v>
      </c>
      <c r="H2758" s="15">
        <f t="shared" si="43"/>
        <v>0</v>
      </c>
      <c r="I2758" s="236" t="s">
        <v>19682</v>
      </c>
    </row>
    <row r="2759" spans="1:9" ht="15.75" x14ac:dyDescent="0.25">
      <c r="A2759" s="242">
        <v>42907</v>
      </c>
      <c r="B2759" s="18">
        <v>116860</v>
      </c>
      <c r="C2759" s="235" t="s">
        <v>19677</v>
      </c>
      <c r="D2759" s="248" t="s">
        <v>95</v>
      </c>
      <c r="E2759" s="15">
        <v>0</v>
      </c>
      <c r="F2759" s="243" t="s">
        <v>95</v>
      </c>
      <c r="G2759" s="15">
        <v>0</v>
      </c>
      <c r="H2759" s="15">
        <f t="shared" si="43"/>
        <v>0</v>
      </c>
      <c r="I2759" s="236" t="s">
        <v>19678</v>
      </c>
    </row>
    <row r="2760" spans="1:9" x14ac:dyDescent="0.25">
      <c r="A2760" s="36">
        <v>42907</v>
      </c>
      <c r="B2760" s="18">
        <v>116861</v>
      </c>
      <c r="C2760" s="235" t="s">
        <v>19677</v>
      </c>
      <c r="D2760" s="236" t="s">
        <v>15246</v>
      </c>
      <c r="E2760" s="15">
        <v>412</v>
      </c>
      <c r="F2760" s="237">
        <v>42910</v>
      </c>
      <c r="G2760" s="15">
        <v>412</v>
      </c>
      <c r="H2760" s="15">
        <f t="shared" si="43"/>
        <v>0</v>
      </c>
      <c r="I2760" s="236" t="s">
        <v>19682</v>
      </c>
    </row>
    <row r="2761" spans="1:9" x14ac:dyDescent="0.25">
      <c r="A2761" s="242">
        <v>42907</v>
      </c>
      <c r="B2761" s="18">
        <v>116862</v>
      </c>
      <c r="C2761" s="235" t="s">
        <v>19677</v>
      </c>
      <c r="D2761" s="236" t="s">
        <v>17708</v>
      </c>
      <c r="E2761" s="15">
        <v>2571.4</v>
      </c>
      <c r="F2761" s="237">
        <v>42908</v>
      </c>
      <c r="G2761" s="15">
        <v>2571.4</v>
      </c>
      <c r="H2761" s="15">
        <f t="shared" si="43"/>
        <v>0</v>
      </c>
      <c r="I2761" s="236" t="s">
        <v>19682</v>
      </c>
    </row>
    <row r="2762" spans="1:9" ht="15.75" x14ac:dyDescent="0.25">
      <c r="A2762" s="36">
        <v>42907</v>
      </c>
      <c r="B2762" s="18">
        <v>116863</v>
      </c>
      <c r="C2762" s="235" t="s">
        <v>19677</v>
      </c>
      <c r="D2762" s="248" t="s">
        <v>95</v>
      </c>
      <c r="E2762" s="15">
        <v>0</v>
      </c>
      <c r="F2762" s="243" t="s">
        <v>95</v>
      </c>
      <c r="G2762" s="15">
        <v>0</v>
      </c>
      <c r="H2762" s="15">
        <f t="shared" si="43"/>
        <v>0</v>
      </c>
      <c r="I2762" s="236" t="s">
        <v>19678</v>
      </c>
    </row>
    <row r="2763" spans="1:9" x14ac:dyDescent="0.25">
      <c r="A2763" s="242">
        <v>42907</v>
      </c>
      <c r="B2763" s="18">
        <v>116864</v>
      </c>
      <c r="C2763" s="235" t="s">
        <v>19677</v>
      </c>
      <c r="D2763" s="236" t="s">
        <v>15391</v>
      </c>
      <c r="E2763" s="15">
        <v>5112</v>
      </c>
      <c r="F2763" s="237">
        <v>42913</v>
      </c>
      <c r="G2763" s="15">
        <v>5112</v>
      </c>
      <c r="H2763" s="15">
        <f t="shared" si="43"/>
        <v>0</v>
      </c>
      <c r="I2763" s="236" t="s">
        <v>19682</v>
      </c>
    </row>
    <row r="2764" spans="1:9" x14ac:dyDescent="0.25">
      <c r="A2764" s="36">
        <v>42907</v>
      </c>
      <c r="B2764" s="18">
        <v>116865</v>
      </c>
      <c r="C2764" s="235" t="s">
        <v>19677</v>
      </c>
      <c r="D2764" s="236" t="s">
        <v>15378</v>
      </c>
      <c r="E2764" s="15">
        <v>1579</v>
      </c>
      <c r="F2764" s="237">
        <v>42907</v>
      </c>
      <c r="G2764" s="15">
        <v>1579</v>
      </c>
      <c r="H2764" s="15">
        <f t="shared" si="43"/>
        <v>0</v>
      </c>
      <c r="I2764" s="236" t="s">
        <v>19682</v>
      </c>
    </row>
    <row r="2765" spans="1:9" x14ac:dyDescent="0.25">
      <c r="A2765" s="242">
        <v>42907</v>
      </c>
      <c r="B2765" s="18">
        <v>116866</v>
      </c>
      <c r="C2765" s="235" t="s">
        <v>19677</v>
      </c>
      <c r="D2765" s="236" t="s">
        <v>19700</v>
      </c>
      <c r="E2765" s="15">
        <v>2806.92</v>
      </c>
      <c r="F2765" s="237">
        <v>42908</v>
      </c>
      <c r="G2765" s="15">
        <v>2806.92</v>
      </c>
      <c r="H2765" s="15">
        <f t="shared" si="43"/>
        <v>0</v>
      </c>
      <c r="I2765" s="236" t="s">
        <v>19682</v>
      </c>
    </row>
    <row r="2766" spans="1:9" ht="15.75" x14ac:dyDescent="0.25">
      <c r="A2766" s="36">
        <v>42907</v>
      </c>
      <c r="B2766" s="18">
        <v>116867</v>
      </c>
      <c r="C2766" s="235" t="s">
        <v>19677</v>
      </c>
      <c r="D2766" s="248" t="s">
        <v>95</v>
      </c>
      <c r="E2766" s="15">
        <v>0</v>
      </c>
      <c r="F2766" s="243" t="s">
        <v>95</v>
      </c>
      <c r="G2766" s="15">
        <v>0</v>
      </c>
      <c r="H2766" s="15">
        <f t="shared" si="43"/>
        <v>0</v>
      </c>
      <c r="I2766" s="236" t="s">
        <v>19678</v>
      </c>
    </row>
    <row r="2767" spans="1:9" x14ac:dyDescent="0.25">
      <c r="A2767" s="242">
        <v>42907</v>
      </c>
      <c r="B2767" s="18">
        <v>116868</v>
      </c>
      <c r="C2767" s="235" t="s">
        <v>19677</v>
      </c>
      <c r="D2767" s="236" t="s">
        <v>15317</v>
      </c>
      <c r="E2767" s="15">
        <v>3115</v>
      </c>
      <c r="F2767" s="237">
        <v>42910</v>
      </c>
      <c r="G2767" s="15">
        <v>3115</v>
      </c>
      <c r="H2767" s="15">
        <f t="shared" si="43"/>
        <v>0</v>
      </c>
      <c r="I2767" s="236" t="s">
        <v>19682</v>
      </c>
    </row>
    <row r="2768" spans="1:9" ht="15.75" x14ac:dyDescent="0.25">
      <c r="A2768" s="36">
        <v>42907</v>
      </c>
      <c r="B2768" s="18">
        <v>116869</v>
      </c>
      <c r="C2768" s="235" t="s">
        <v>19677</v>
      </c>
      <c r="D2768" s="248" t="s">
        <v>95</v>
      </c>
      <c r="E2768" s="15">
        <v>0</v>
      </c>
      <c r="F2768" s="243" t="s">
        <v>95</v>
      </c>
      <c r="G2768" s="15">
        <v>0</v>
      </c>
      <c r="H2768" s="15">
        <f t="shared" si="43"/>
        <v>0</v>
      </c>
      <c r="I2768" s="236" t="s">
        <v>19678</v>
      </c>
    </row>
    <row r="2769" spans="1:9" x14ac:dyDescent="0.25">
      <c r="A2769" s="242">
        <v>42907</v>
      </c>
      <c r="B2769" s="18">
        <v>116870</v>
      </c>
      <c r="C2769" s="235" t="s">
        <v>19677</v>
      </c>
      <c r="D2769" s="236" t="s">
        <v>15759</v>
      </c>
      <c r="E2769" s="15">
        <v>4346.84</v>
      </c>
      <c r="F2769" s="237">
        <v>42907</v>
      </c>
      <c r="G2769" s="15">
        <v>4346.84</v>
      </c>
      <c r="H2769" s="15">
        <f t="shared" si="43"/>
        <v>0</v>
      </c>
      <c r="I2769" s="236" t="s">
        <v>19682</v>
      </c>
    </row>
    <row r="2770" spans="1:9" x14ac:dyDescent="0.25">
      <c r="A2770" s="36">
        <v>42907</v>
      </c>
      <c r="B2770" s="18">
        <v>116871</v>
      </c>
      <c r="C2770" s="235" t="s">
        <v>19677</v>
      </c>
      <c r="D2770" s="236" t="s">
        <v>15301</v>
      </c>
      <c r="E2770" s="15">
        <v>3921.9</v>
      </c>
      <c r="F2770" s="237">
        <v>42907</v>
      </c>
      <c r="G2770" s="15">
        <v>3921.9</v>
      </c>
      <c r="H2770" s="15">
        <f t="shared" si="43"/>
        <v>0</v>
      </c>
      <c r="I2770" s="236" t="s">
        <v>19682</v>
      </c>
    </row>
    <row r="2771" spans="1:9" x14ac:dyDescent="0.25">
      <c r="A2771" s="242">
        <v>42907</v>
      </c>
      <c r="B2771" s="18">
        <v>116872</v>
      </c>
      <c r="C2771" s="235" t="s">
        <v>19677</v>
      </c>
      <c r="D2771" s="236" t="s">
        <v>15303</v>
      </c>
      <c r="E2771" s="15">
        <v>3771.1</v>
      </c>
      <c r="F2771" s="237">
        <v>42907</v>
      </c>
      <c r="G2771" s="15">
        <v>3771.1</v>
      </c>
      <c r="H2771" s="15">
        <f t="shared" si="43"/>
        <v>0</v>
      </c>
      <c r="I2771" s="236" t="s">
        <v>19682</v>
      </c>
    </row>
    <row r="2772" spans="1:9" x14ac:dyDescent="0.25">
      <c r="A2772" s="36">
        <v>42907</v>
      </c>
      <c r="B2772" s="18">
        <v>116873</v>
      </c>
      <c r="C2772" s="235" t="s">
        <v>19677</v>
      </c>
      <c r="D2772" s="236" t="s">
        <v>16093</v>
      </c>
      <c r="E2772" s="15">
        <v>4358</v>
      </c>
      <c r="F2772" s="237">
        <v>42907</v>
      </c>
      <c r="G2772" s="15">
        <v>4358</v>
      </c>
      <c r="H2772" s="15">
        <f t="shared" si="43"/>
        <v>0</v>
      </c>
      <c r="I2772" s="236" t="s">
        <v>19682</v>
      </c>
    </row>
    <row r="2773" spans="1:9" x14ac:dyDescent="0.25">
      <c r="A2773" s="242">
        <v>42907</v>
      </c>
      <c r="B2773" s="18">
        <v>116874</v>
      </c>
      <c r="C2773" s="235" t="s">
        <v>19677</v>
      </c>
      <c r="D2773" s="236" t="s">
        <v>17722</v>
      </c>
      <c r="E2773" s="15">
        <v>3425</v>
      </c>
      <c r="F2773" s="237">
        <v>42907</v>
      </c>
      <c r="G2773" s="15">
        <v>3425</v>
      </c>
      <c r="H2773" s="15">
        <f t="shared" si="43"/>
        <v>0</v>
      </c>
      <c r="I2773" s="236" t="s">
        <v>19682</v>
      </c>
    </row>
    <row r="2774" spans="1:9" x14ac:dyDescent="0.25">
      <c r="A2774" s="36">
        <v>42907</v>
      </c>
      <c r="B2774" s="18">
        <v>116875</v>
      </c>
      <c r="C2774" s="235" t="s">
        <v>19677</v>
      </c>
      <c r="D2774" s="236" t="s">
        <v>15745</v>
      </c>
      <c r="E2774" s="15">
        <v>1817.44</v>
      </c>
      <c r="F2774" s="237">
        <v>42907</v>
      </c>
      <c r="G2774" s="15">
        <v>1817.44</v>
      </c>
      <c r="H2774" s="15">
        <f t="shared" si="43"/>
        <v>0</v>
      </c>
      <c r="I2774" s="236" t="s">
        <v>19682</v>
      </c>
    </row>
    <row r="2775" spans="1:9" x14ac:dyDescent="0.25">
      <c r="A2775" s="242">
        <v>42907</v>
      </c>
      <c r="B2775" s="18">
        <v>116876</v>
      </c>
      <c r="C2775" s="235" t="s">
        <v>19677</v>
      </c>
      <c r="D2775" s="236" t="s">
        <v>15311</v>
      </c>
      <c r="E2775" s="15">
        <v>1218.9000000000001</v>
      </c>
      <c r="F2775" s="237">
        <v>42907</v>
      </c>
      <c r="G2775" s="15">
        <v>1218.9000000000001</v>
      </c>
      <c r="H2775" s="15">
        <f t="shared" si="43"/>
        <v>0</v>
      </c>
      <c r="I2775" s="236" t="s">
        <v>19682</v>
      </c>
    </row>
    <row r="2776" spans="1:9" x14ac:dyDescent="0.25">
      <c r="A2776" s="36">
        <v>42907</v>
      </c>
      <c r="B2776" s="18">
        <v>116877</v>
      </c>
      <c r="C2776" s="235" t="s">
        <v>19677</v>
      </c>
      <c r="D2776" s="236" t="s">
        <v>15291</v>
      </c>
      <c r="E2776" s="15">
        <v>653.20000000000005</v>
      </c>
      <c r="F2776" s="237">
        <v>42907</v>
      </c>
      <c r="G2776" s="15">
        <v>653.20000000000005</v>
      </c>
      <c r="H2776" s="15">
        <f t="shared" si="43"/>
        <v>0</v>
      </c>
      <c r="I2776" s="236" t="s">
        <v>19682</v>
      </c>
    </row>
    <row r="2777" spans="1:9" x14ac:dyDescent="0.25">
      <c r="A2777" s="242">
        <v>42907</v>
      </c>
      <c r="B2777" s="18">
        <v>116878</v>
      </c>
      <c r="C2777" s="235" t="s">
        <v>19677</v>
      </c>
      <c r="D2777" s="236" t="s">
        <v>17235</v>
      </c>
      <c r="E2777" s="15">
        <v>1593.24</v>
      </c>
      <c r="F2777" s="237">
        <v>42907</v>
      </c>
      <c r="G2777" s="15">
        <v>1593.24</v>
      </c>
      <c r="H2777" s="15">
        <f t="shared" si="43"/>
        <v>0</v>
      </c>
      <c r="I2777" s="236" t="s">
        <v>19682</v>
      </c>
    </row>
    <row r="2778" spans="1:9" x14ac:dyDescent="0.25">
      <c r="A2778" s="36">
        <v>42907</v>
      </c>
      <c r="B2778" s="18">
        <v>116879</v>
      </c>
      <c r="C2778" s="235" t="s">
        <v>19677</v>
      </c>
      <c r="D2778" s="236" t="s">
        <v>15309</v>
      </c>
      <c r="E2778" s="15">
        <v>11435.3</v>
      </c>
      <c r="F2778" s="237">
        <v>42907</v>
      </c>
      <c r="G2778" s="15">
        <v>11435.3</v>
      </c>
      <c r="H2778" s="15">
        <f t="shared" si="43"/>
        <v>0</v>
      </c>
      <c r="I2778" s="236" t="s">
        <v>19682</v>
      </c>
    </row>
    <row r="2779" spans="1:9" x14ac:dyDescent="0.25">
      <c r="A2779" s="242">
        <v>42907</v>
      </c>
      <c r="B2779" s="18">
        <v>116880</v>
      </c>
      <c r="C2779" s="235" t="s">
        <v>19677</v>
      </c>
      <c r="D2779" s="236" t="s">
        <v>15276</v>
      </c>
      <c r="E2779" s="15">
        <v>2300</v>
      </c>
      <c r="F2779" s="237">
        <v>42907</v>
      </c>
      <c r="G2779" s="15">
        <v>2300</v>
      </c>
      <c r="H2779" s="15">
        <f t="shared" si="43"/>
        <v>0</v>
      </c>
      <c r="I2779" s="236" t="s">
        <v>19682</v>
      </c>
    </row>
    <row r="2780" spans="1:9" x14ac:dyDescent="0.25">
      <c r="A2780" s="36">
        <v>42907</v>
      </c>
      <c r="B2780" s="18">
        <v>116881</v>
      </c>
      <c r="C2780" s="235" t="s">
        <v>19677</v>
      </c>
      <c r="D2780" s="236" t="s">
        <v>15868</v>
      </c>
      <c r="E2780" s="15">
        <v>7601.7</v>
      </c>
      <c r="F2780" s="237">
        <v>42908</v>
      </c>
      <c r="G2780" s="15">
        <v>7601.7</v>
      </c>
      <c r="H2780" s="15">
        <f t="shared" si="43"/>
        <v>0</v>
      </c>
      <c r="I2780" s="236" t="s">
        <v>19682</v>
      </c>
    </row>
    <row r="2781" spans="1:9" x14ac:dyDescent="0.25">
      <c r="A2781" s="242">
        <v>42907</v>
      </c>
      <c r="B2781" s="18">
        <v>116882</v>
      </c>
      <c r="C2781" s="235" t="s">
        <v>19677</v>
      </c>
      <c r="D2781" s="236" t="s">
        <v>16383</v>
      </c>
      <c r="E2781" s="15">
        <v>1276.5</v>
      </c>
      <c r="F2781" s="237">
        <v>42908</v>
      </c>
      <c r="G2781" s="15">
        <v>1276.5</v>
      </c>
      <c r="H2781" s="15">
        <f t="shared" si="43"/>
        <v>0</v>
      </c>
      <c r="I2781" s="236" t="s">
        <v>19682</v>
      </c>
    </row>
    <row r="2782" spans="1:9" x14ac:dyDescent="0.25">
      <c r="A2782" s="36">
        <v>42907</v>
      </c>
      <c r="B2782" s="18">
        <v>116883</v>
      </c>
      <c r="C2782" s="235" t="s">
        <v>19677</v>
      </c>
      <c r="D2782" s="236" t="s">
        <v>15305</v>
      </c>
      <c r="E2782" s="15">
        <v>1280.2</v>
      </c>
      <c r="F2782" s="237">
        <v>42907</v>
      </c>
      <c r="G2782" s="15">
        <v>1280.2</v>
      </c>
      <c r="H2782" s="15">
        <f t="shared" si="43"/>
        <v>0</v>
      </c>
      <c r="I2782" s="236" t="s">
        <v>19682</v>
      </c>
    </row>
    <row r="2783" spans="1:9" x14ac:dyDescent="0.25">
      <c r="A2783" s="242">
        <v>42907</v>
      </c>
      <c r="B2783" s="18">
        <v>116884</v>
      </c>
      <c r="C2783" s="235" t="s">
        <v>19677</v>
      </c>
      <c r="D2783" s="236" t="s">
        <v>19760</v>
      </c>
      <c r="E2783" s="15">
        <v>1345.5</v>
      </c>
      <c r="F2783" s="237">
        <v>42907</v>
      </c>
      <c r="G2783" s="15">
        <v>1345.5</v>
      </c>
      <c r="H2783" s="15">
        <f t="shared" si="43"/>
        <v>0</v>
      </c>
      <c r="I2783" s="236" t="s">
        <v>19682</v>
      </c>
    </row>
    <row r="2784" spans="1:9" ht="15.75" x14ac:dyDescent="0.25">
      <c r="A2784" s="36">
        <v>42907</v>
      </c>
      <c r="B2784" s="18">
        <v>116885</v>
      </c>
      <c r="C2784" s="235" t="s">
        <v>19677</v>
      </c>
      <c r="D2784" s="248" t="s">
        <v>95</v>
      </c>
      <c r="E2784" s="15">
        <v>0</v>
      </c>
      <c r="F2784" s="243" t="s">
        <v>95</v>
      </c>
      <c r="G2784" s="15">
        <v>0</v>
      </c>
      <c r="H2784" s="15">
        <f t="shared" si="43"/>
        <v>0</v>
      </c>
      <c r="I2784" s="236" t="s">
        <v>19678</v>
      </c>
    </row>
    <row r="2785" spans="1:9" x14ac:dyDescent="0.25">
      <c r="A2785" s="242">
        <v>42907</v>
      </c>
      <c r="B2785" s="18">
        <v>116886</v>
      </c>
      <c r="C2785" s="235" t="s">
        <v>19677</v>
      </c>
      <c r="D2785" s="236" t="s">
        <v>15566</v>
      </c>
      <c r="E2785" s="15">
        <v>3061.6</v>
      </c>
      <c r="F2785" s="237">
        <v>42907</v>
      </c>
      <c r="G2785" s="15">
        <v>3061.6</v>
      </c>
      <c r="H2785" s="15">
        <f t="shared" si="43"/>
        <v>0</v>
      </c>
      <c r="I2785" s="236" t="s">
        <v>19682</v>
      </c>
    </row>
    <row r="2786" spans="1:9" x14ac:dyDescent="0.25">
      <c r="A2786" s="36">
        <v>42907</v>
      </c>
      <c r="B2786" s="18">
        <v>116887</v>
      </c>
      <c r="C2786" s="235" t="s">
        <v>19677</v>
      </c>
      <c r="D2786" s="236" t="s">
        <v>15396</v>
      </c>
      <c r="E2786" s="15">
        <v>6695</v>
      </c>
      <c r="F2786" s="237">
        <v>42907</v>
      </c>
      <c r="G2786" s="15">
        <v>6695</v>
      </c>
      <c r="H2786" s="15">
        <f t="shared" si="43"/>
        <v>0</v>
      </c>
      <c r="I2786" s="236" t="s">
        <v>19682</v>
      </c>
    </row>
    <row r="2787" spans="1:9" x14ac:dyDescent="0.25">
      <c r="A2787" s="242">
        <v>42907</v>
      </c>
      <c r="B2787" s="18">
        <v>116888</v>
      </c>
      <c r="C2787" s="235" t="s">
        <v>19677</v>
      </c>
      <c r="D2787" s="236" t="s">
        <v>15725</v>
      </c>
      <c r="E2787" s="15">
        <v>17774.400000000001</v>
      </c>
      <c r="F2787" s="237">
        <v>42911</v>
      </c>
      <c r="G2787" s="15">
        <v>17774.400000000001</v>
      </c>
      <c r="H2787" s="15">
        <f t="shared" si="43"/>
        <v>0</v>
      </c>
      <c r="I2787" s="236" t="s">
        <v>19682</v>
      </c>
    </row>
    <row r="2788" spans="1:9" x14ac:dyDescent="0.25">
      <c r="A2788" s="36">
        <v>42907</v>
      </c>
      <c r="B2788" s="18">
        <v>116889</v>
      </c>
      <c r="C2788" s="235" t="s">
        <v>19677</v>
      </c>
      <c r="D2788" s="236" t="s">
        <v>15315</v>
      </c>
      <c r="E2788" s="15">
        <v>1380</v>
      </c>
      <c r="F2788" s="237">
        <v>42907</v>
      </c>
      <c r="G2788" s="15">
        <v>1380</v>
      </c>
      <c r="H2788" s="15">
        <f t="shared" si="43"/>
        <v>0</v>
      </c>
      <c r="I2788" s="236" t="s">
        <v>19682</v>
      </c>
    </row>
    <row r="2789" spans="1:9" x14ac:dyDescent="0.25">
      <c r="A2789" s="242">
        <v>42907</v>
      </c>
      <c r="B2789" s="18">
        <v>116890</v>
      </c>
      <c r="C2789" s="235" t="s">
        <v>19677</v>
      </c>
      <c r="D2789" s="236" t="s">
        <v>15328</v>
      </c>
      <c r="E2789" s="15">
        <v>32050.400000000001</v>
      </c>
      <c r="F2789" s="237">
        <v>42915</v>
      </c>
      <c r="G2789" s="15">
        <v>32050.400000000001</v>
      </c>
      <c r="H2789" s="15">
        <f t="shared" si="43"/>
        <v>0</v>
      </c>
      <c r="I2789" s="236" t="s">
        <v>19682</v>
      </c>
    </row>
    <row r="2790" spans="1:9" x14ac:dyDescent="0.25">
      <c r="A2790" s="36">
        <v>42907</v>
      </c>
      <c r="B2790" s="18">
        <v>116891</v>
      </c>
      <c r="C2790" s="235" t="s">
        <v>19677</v>
      </c>
      <c r="D2790" s="236" t="s">
        <v>15537</v>
      </c>
      <c r="E2790" s="15">
        <v>16532</v>
      </c>
      <c r="F2790" s="237">
        <v>42915</v>
      </c>
      <c r="G2790" s="15">
        <v>16532</v>
      </c>
      <c r="H2790" s="15">
        <f t="shared" si="43"/>
        <v>0</v>
      </c>
      <c r="I2790" s="236" t="s">
        <v>19682</v>
      </c>
    </row>
    <row r="2791" spans="1:9" x14ac:dyDescent="0.25">
      <c r="A2791" s="242">
        <v>42907</v>
      </c>
      <c r="B2791" s="18">
        <v>116892</v>
      </c>
      <c r="C2791" s="235" t="s">
        <v>19677</v>
      </c>
      <c r="D2791" s="236" t="s">
        <v>15539</v>
      </c>
      <c r="E2791" s="15">
        <v>16496</v>
      </c>
      <c r="F2791" s="237">
        <v>42909</v>
      </c>
      <c r="G2791" s="15">
        <v>16496</v>
      </c>
      <c r="H2791" s="15">
        <f t="shared" si="43"/>
        <v>0</v>
      </c>
      <c r="I2791" s="236" t="s">
        <v>19682</v>
      </c>
    </row>
    <row r="2792" spans="1:9" x14ac:dyDescent="0.25">
      <c r="A2792" s="36">
        <v>42907</v>
      </c>
      <c r="B2792" s="18">
        <v>116893</v>
      </c>
      <c r="C2792" s="235" t="s">
        <v>19677</v>
      </c>
      <c r="D2792" s="236" t="s">
        <v>15315</v>
      </c>
      <c r="E2792" s="15">
        <v>1064.4000000000001</v>
      </c>
      <c r="F2792" s="237">
        <v>42909</v>
      </c>
      <c r="G2792" s="15">
        <v>1064.4000000000001</v>
      </c>
      <c r="H2792" s="15">
        <f t="shared" si="43"/>
        <v>0</v>
      </c>
      <c r="I2792" s="236" t="s">
        <v>19682</v>
      </c>
    </row>
    <row r="2793" spans="1:9" x14ac:dyDescent="0.25">
      <c r="A2793" s="242">
        <v>42907</v>
      </c>
      <c r="B2793" s="18">
        <v>116894</v>
      </c>
      <c r="C2793" s="235" t="s">
        <v>19677</v>
      </c>
      <c r="D2793" s="236" t="s">
        <v>15559</v>
      </c>
      <c r="E2793" s="15">
        <v>8143.6</v>
      </c>
      <c r="F2793" s="237">
        <v>42909</v>
      </c>
      <c r="G2793" s="15">
        <v>8143.6</v>
      </c>
      <c r="H2793" s="15">
        <f t="shared" si="43"/>
        <v>0</v>
      </c>
      <c r="I2793" s="236" t="s">
        <v>19682</v>
      </c>
    </row>
    <row r="2794" spans="1:9" x14ac:dyDescent="0.25">
      <c r="A2794" s="36">
        <v>42907</v>
      </c>
      <c r="B2794" s="18">
        <v>116895</v>
      </c>
      <c r="C2794" s="235" t="s">
        <v>19677</v>
      </c>
      <c r="D2794" s="236" t="s">
        <v>15699</v>
      </c>
      <c r="E2794" s="15">
        <v>3915.5</v>
      </c>
      <c r="F2794" s="237">
        <v>42909</v>
      </c>
      <c r="G2794" s="15">
        <v>3915.5</v>
      </c>
      <c r="H2794" s="15">
        <f t="shared" si="43"/>
        <v>0</v>
      </c>
      <c r="I2794" s="236" t="s">
        <v>19682</v>
      </c>
    </row>
    <row r="2795" spans="1:9" x14ac:dyDescent="0.25">
      <c r="A2795" s="242">
        <v>42907</v>
      </c>
      <c r="B2795" s="18">
        <v>116896</v>
      </c>
      <c r="C2795" s="235" t="s">
        <v>19677</v>
      </c>
      <c r="D2795" s="236" t="s">
        <v>15696</v>
      </c>
      <c r="E2795" s="15">
        <v>11128.2</v>
      </c>
      <c r="F2795" s="237">
        <v>42909</v>
      </c>
      <c r="G2795" s="15">
        <v>11128.2</v>
      </c>
      <c r="H2795" s="15">
        <f t="shared" si="43"/>
        <v>0</v>
      </c>
      <c r="I2795" s="236" t="s">
        <v>19682</v>
      </c>
    </row>
    <row r="2796" spans="1:9" ht="15.75" x14ac:dyDescent="0.25">
      <c r="A2796" s="36">
        <v>42907</v>
      </c>
      <c r="B2796" s="18">
        <v>116897</v>
      </c>
      <c r="C2796" s="235" t="s">
        <v>19677</v>
      </c>
      <c r="D2796" s="248" t="s">
        <v>95</v>
      </c>
      <c r="E2796" s="15">
        <v>0</v>
      </c>
      <c r="F2796" s="243" t="s">
        <v>95</v>
      </c>
      <c r="G2796" s="15">
        <v>0</v>
      </c>
      <c r="H2796" s="15">
        <f t="shared" si="43"/>
        <v>0</v>
      </c>
      <c r="I2796" s="236" t="s">
        <v>19678</v>
      </c>
    </row>
    <row r="2797" spans="1:9" x14ac:dyDescent="0.25">
      <c r="A2797" s="242">
        <v>42907</v>
      </c>
      <c r="B2797" s="18">
        <v>116898</v>
      </c>
      <c r="C2797" s="235" t="s">
        <v>19677</v>
      </c>
      <c r="D2797" s="236" t="s">
        <v>15246</v>
      </c>
      <c r="E2797" s="15">
        <v>2252.8000000000002</v>
      </c>
      <c r="F2797" s="237">
        <v>42910</v>
      </c>
      <c r="G2797" s="15">
        <v>2252.8000000000002</v>
      </c>
      <c r="H2797" s="15">
        <f t="shared" si="43"/>
        <v>0</v>
      </c>
      <c r="I2797" s="236" t="s">
        <v>19682</v>
      </c>
    </row>
    <row r="2798" spans="1:9" x14ac:dyDescent="0.25">
      <c r="A2798" s="36">
        <v>42907</v>
      </c>
      <c r="B2798" s="18">
        <v>116899</v>
      </c>
      <c r="C2798" s="235" t="s">
        <v>19677</v>
      </c>
      <c r="D2798" s="236" t="s">
        <v>15523</v>
      </c>
      <c r="E2798" s="15">
        <v>1880</v>
      </c>
      <c r="F2798" s="237">
        <v>42908</v>
      </c>
      <c r="G2798" s="15">
        <v>1880</v>
      </c>
      <c r="H2798" s="15">
        <f t="shared" si="43"/>
        <v>0</v>
      </c>
      <c r="I2798" s="236" t="s">
        <v>19682</v>
      </c>
    </row>
    <row r="2799" spans="1:9" x14ac:dyDescent="0.25">
      <c r="A2799" s="242">
        <v>42907</v>
      </c>
      <c r="B2799" s="18">
        <v>116900</v>
      </c>
      <c r="C2799" s="235" t="s">
        <v>19677</v>
      </c>
      <c r="D2799" s="236" t="s">
        <v>15884</v>
      </c>
      <c r="E2799" s="15">
        <v>2958.5</v>
      </c>
      <c r="F2799" s="237">
        <v>42907</v>
      </c>
      <c r="G2799" s="15">
        <v>2958.5</v>
      </c>
      <c r="H2799" s="15">
        <f t="shared" si="43"/>
        <v>0</v>
      </c>
      <c r="I2799" s="236" t="s">
        <v>19682</v>
      </c>
    </row>
    <row r="2800" spans="1:9" x14ac:dyDescent="0.25">
      <c r="A2800" s="36">
        <v>42907</v>
      </c>
      <c r="B2800" s="18">
        <v>116901</v>
      </c>
      <c r="C2800" s="235" t="s">
        <v>19677</v>
      </c>
      <c r="D2800" s="236" t="s">
        <v>15334</v>
      </c>
      <c r="E2800" s="15">
        <v>823</v>
      </c>
      <c r="F2800" s="237">
        <v>42908</v>
      </c>
      <c r="G2800" s="15">
        <v>823</v>
      </c>
      <c r="H2800" s="15">
        <f t="shared" si="43"/>
        <v>0</v>
      </c>
      <c r="I2800" s="236" t="s">
        <v>19682</v>
      </c>
    </row>
    <row r="2801" spans="1:9" x14ac:dyDescent="0.25">
      <c r="A2801" s="242">
        <v>42907</v>
      </c>
      <c r="B2801" s="18">
        <v>116902</v>
      </c>
      <c r="C2801" s="235" t="s">
        <v>19677</v>
      </c>
      <c r="D2801" s="236" t="s">
        <v>15298</v>
      </c>
      <c r="E2801" s="15">
        <v>303.60000000000002</v>
      </c>
      <c r="F2801" s="237">
        <v>42907</v>
      </c>
      <c r="G2801" s="15">
        <v>303.60000000000002</v>
      </c>
      <c r="H2801" s="15">
        <f t="shared" si="43"/>
        <v>0</v>
      </c>
      <c r="I2801" s="236" t="s">
        <v>19682</v>
      </c>
    </row>
    <row r="2802" spans="1:9" x14ac:dyDescent="0.25">
      <c r="A2802" s="36">
        <v>42907</v>
      </c>
      <c r="B2802" s="18">
        <v>116903</v>
      </c>
      <c r="C2802" s="235" t="s">
        <v>19677</v>
      </c>
      <c r="D2802" s="236" t="s">
        <v>15742</v>
      </c>
      <c r="E2802" s="15">
        <v>1582.4</v>
      </c>
      <c r="F2802" s="237">
        <v>42908</v>
      </c>
      <c r="G2802" s="15">
        <v>1582.4</v>
      </c>
      <c r="H2802" s="15">
        <f t="shared" si="43"/>
        <v>0</v>
      </c>
      <c r="I2802" s="236" t="s">
        <v>19682</v>
      </c>
    </row>
    <row r="2803" spans="1:9" x14ac:dyDescent="0.25">
      <c r="A2803" s="242">
        <v>42907</v>
      </c>
      <c r="B2803" s="18">
        <v>116904</v>
      </c>
      <c r="C2803" s="235" t="s">
        <v>19677</v>
      </c>
      <c r="D2803" s="236" t="s">
        <v>15358</v>
      </c>
      <c r="E2803" s="15">
        <v>1300.5</v>
      </c>
      <c r="F2803" s="237">
        <v>42908</v>
      </c>
      <c r="G2803" s="15">
        <v>1300.5</v>
      </c>
      <c r="H2803" s="15">
        <f t="shared" si="43"/>
        <v>0</v>
      </c>
      <c r="I2803" s="236" t="s">
        <v>19682</v>
      </c>
    </row>
    <row r="2804" spans="1:9" x14ac:dyDescent="0.25">
      <c r="A2804" s="36">
        <v>42907</v>
      </c>
      <c r="B2804" s="18">
        <v>116905</v>
      </c>
      <c r="C2804" s="235" t="s">
        <v>19677</v>
      </c>
      <c r="D2804" s="236" t="s">
        <v>15340</v>
      </c>
      <c r="E2804" s="15">
        <v>7087.3</v>
      </c>
      <c r="F2804" s="237">
        <v>42908</v>
      </c>
      <c r="G2804" s="15">
        <v>7087.3</v>
      </c>
      <c r="H2804" s="15">
        <f t="shared" si="43"/>
        <v>0</v>
      </c>
      <c r="I2804" s="236" t="s">
        <v>19682</v>
      </c>
    </row>
    <row r="2805" spans="1:9" x14ac:dyDescent="0.25">
      <c r="A2805" s="242">
        <v>42907</v>
      </c>
      <c r="B2805" s="18">
        <v>116906</v>
      </c>
      <c r="C2805" s="235" t="s">
        <v>19677</v>
      </c>
      <c r="D2805" s="236" t="s">
        <v>15732</v>
      </c>
      <c r="E2805" s="15">
        <v>1405.3</v>
      </c>
      <c r="F2805" s="237">
        <v>42908</v>
      </c>
      <c r="G2805" s="15">
        <v>1405.3</v>
      </c>
      <c r="H2805" s="15">
        <f t="shared" si="43"/>
        <v>0</v>
      </c>
      <c r="I2805" s="236" t="s">
        <v>19682</v>
      </c>
    </row>
    <row r="2806" spans="1:9" x14ac:dyDescent="0.25">
      <c r="A2806" s="36">
        <v>42907</v>
      </c>
      <c r="B2806" s="18">
        <v>116907</v>
      </c>
      <c r="C2806" s="235" t="s">
        <v>19677</v>
      </c>
      <c r="D2806" s="236" t="s">
        <v>15267</v>
      </c>
      <c r="E2806" s="15">
        <v>392139.16</v>
      </c>
      <c r="F2806" s="237">
        <v>42933</v>
      </c>
      <c r="G2806" s="15">
        <v>392139.16</v>
      </c>
      <c r="H2806" s="15">
        <f t="shared" si="43"/>
        <v>0</v>
      </c>
      <c r="I2806" s="236" t="s">
        <v>19682</v>
      </c>
    </row>
    <row r="2807" spans="1:9" x14ac:dyDescent="0.25">
      <c r="A2807" s="242">
        <v>42907</v>
      </c>
      <c r="B2807" s="18">
        <v>116908</v>
      </c>
      <c r="C2807" s="235" t="s">
        <v>19677</v>
      </c>
      <c r="D2807" s="236" t="s">
        <v>15344</v>
      </c>
      <c r="E2807" s="15">
        <v>3386.9</v>
      </c>
      <c r="F2807" s="237">
        <v>42908</v>
      </c>
      <c r="G2807" s="15">
        <v>3386.9</v>
      </c>
      <c r="H2807" s="15">
        <f t="shared" si="43"/>
        <v>0</v>
      </c>
      <c r="I2807" s="236" t="s">
        <v>19682</v>
      </c>
    </row>
    <row r="2808" spans="1:9" x14ac:dyDescent="0.25">
      <c r="A2808" s="36">
        <v>42907</v>
      </c>
      <c r="B2808" s="18">
        <v>116909</v>
      </c>
      <c r="C2808" s="235" t="s">
        <v>19677</v>
      </c>
      <c r="D2808" s="236" t="s">
        <v>15338</v>
      </c>
      <c r="E2808" s="15">
        <v>10596.8</v>
      </c>
      <c r="F2808" s="237">
        <v>42909</v>
      </c>
      <c r="G2808" s="15">
        <v>10596.8</v>
      </c>
      <c r="H2808" s="15">
        <f t="shared" si="43"/>
        <v>0</v>
      </c>
      <c r="I2808" s="236" t="s">
        <v>19682</v>
      </c>
    </row>
    <row r="2809" spans="1:9" x14ac:dyDescent="0.25">
      <c r="A2809" s="242">
        <v>42907</v>
      </c>
      <c r="B2809" s="18">
        <v>116910</v>
      </c>
      <c r="C2809" s="235" t="s">
        <v>19677</v>
      </c>
      <c r="D2809" s="236" t="s">
        <v>15526</v>
      </c>
      <c r="E2809" s="15">
        <v>4770</v>
      </c>
      <c r="F2809" s="237">
        <v>42908</v>
      </c>
      <c r="G2809" s="15">
        <v>4770</v>
      </c>
      <c r="H2809" s="15">
        <f t="shared" si="43"/>
        <v>0</v>
      </c>
      <c r="I2809" s="236" t="s">
        <v>19682</v>
      </c>
    </row>
    <row r="2810" spans="1:9" x14ac:dyDescent="0.25">
      <c r="A2810" s="36">
        <v>42907</v>
      </c>
      <c r="B2810" s="18">
        <v>116911</v>
      </c>
      <c r="C2810" s="235" t="s">
        <v>19677</v>
      </c>
      <c r="D2810" s="236" t="s">
        <v>15328</v>
      </c>
      <c r="E2810" s="15">
        <v>995.5</v>
      </c>
      <c r="F2810" s="237">
        <v>42915</v>
      </c>
      <c r="G2810" s="15">
        <v>995.5</v>
      </c>
      <c r="H2810" s="15">
        <f t="shared" si="43"/>
        <v>0</v>
      </c>
      <c r="I2810" s="236" t="s">
        <v>19682</v>
      </c>
    </row>
    <row r="2811" spans="1:9" x14ac:dyDescent="0.25">
      <c r="A2811" s="242">
        <v>42907</v>
      </c>
      <c r="B2811" s="18">
        <v>116912</v>
      </c>
      <c r="C2811" s="235" t="s">
        <v>19677</v>
      </c>
      <c r="D2811" s="236" t="s">
        <v>15332</v>
      </c>
      <c r="E2811" s="15">
        <v>5080</v>
      </c>
      <c r="F2811" s="237">
        <v>42908</v>
      </c>
      <c r="G2811" s="15">
        <v>5080</v>
      </c>
      <c r="H2811" s="15">
        <f t="shared" si="43"/>
        <v>0</v>
      </c>
      <c r="I2811" s="236" t="s">
        <v>19682</v>
      </c>
    </row>
    <row r="2812" spans="1:9" x14ac:dyDescent="0.25">
      <c r="A2812" s="36">
        <v>42907</v>
      </c>
      <c r="B2812" s="18">
        <v>116913</v>
      </c>
      <c r="C2812" s="235" t="s">
        <v>19677</v>
      </c>
      <c r="D2812" s="236" t="s">
        <v>15246</v>
      </c>
      <c r="E2812" s="15">
        <v>9600</v>
      </c>
      <c r="F2812" s="237">
        <v>42910</v>
      </c>
      <c r="G2812" s="15">
        <v>9600</v>
      </c>
      <c r="H2812" s="15">
        <f t="shared" si="43"/>
        <v>0</v>
      </c>
      <c r="I2812" s="236" t="s">
        <v>19682</v>
      </c>
    </row>
    <row r="2813" spans="1:9" x14ac:dyDescent="0.25">
      <c r="A2813" s="242">
        <v>42907</v>
      </c>
      <c r="B2813" s="18">
        <v>116914</v>
      </c>
      <c r="C2813" s="235" t="s">
        <v>19677</v>
      </c>
      <c r="D2813" s="236" t="s">
        <v>15644</v>
      </c>
      <c r="E2813" s="15">
        <v>3694.2</v>
      </c>
      <c r="F2813" s="237">
        <v>42909</v>
      </c>
      <c r="G2813" s="15">
        <v>3694.2</v>
      </c>
      <c r="H2813" s="15">
        <f t="shared" si="43"/>
        <v>0</v>
      </c>
      <c r="I2813" s="236" t="s">
        <v>19682</v>
      </c>
    </row>
    <row r="2814" spans="1:9" x14ac:dyDescent="0.25">
      <c r="A2814" s="36">
        <v>42907</v>
      </c>
      <c r="B2814" s="18">
        <v>116915</v>
      </c>
      <c r="C2814" s="235" t="s">
        <v>19677</v>
      </c>
      <c r="D2814" s="236" t="s">
        <v>15284</v>
      </c>
      <c r="E2814" s="15">
        <v>1475.8</v>
      </c>
      <c r="F2814" s="237">
        <v>42907</v>
      </c>
      <c r="G2814" s="15">
        <v>1475.8</v>
      </c>
      <c r="H2814" s="15">
        <f t="shared" si="43"/>
        <v>0</v>
      </c>
      <c r="I2814" s="236" t="s">
        <v>19682</v>
      </c>
    </row>
    <row r="2815" spans="1:9" x14ac:dyDescent="0.25">
      <c r="A2815" s="242">
        <v>42907</v>
      </c>
      <c r="B2815" s="18">
        <v>116916</v>
      </c>
      <c r="C2815" s="235" t="s">
        <v>19677</v>
      </c>
      <c r="D2815" s="236" t="s">
        <v>18419</v>
      </c>
      <c r="E2815" s="15">
        <v>20352.8</v>
      </c>
      <c r="F2815" s="237">
        <v>42914</v>
      </c>
      <c r="G2815" s="15">
        <v>20352.8</v>
      </c>
      <c r="H2815" s="15">
        <f t="shared" si="43"/>
        <v>0</v>
      </c>
      <c r="I2815" s="236" t="s">
        <v>19682</v>
      </c>
    </row>
    <row r="2816" spans="1:9" x14ac:dyDescent="0.25">
      <c r="A2816" s="36">
        <v>42907</v>
      </c>
      <c r="B2816" s="18">
        <v>116917</v>
      </c>
      <c r="C2816" s="235" t="s">
        <v>19677</v>
      </c>
      <c r="D2816" s="236" t="s">
        <v>15444</v>
      </c>
      <c r="E2816" s="15">
        <v>1259</v>
      </c>
      <c r="F2816" s="237">
        <v>42908</v>
      </c>
      <c r="G2816" s="15">
        <v>1259</v>
      </c>
      <c r="H2816" s="15">
        <f t="shared" si="43"/>
        <v>0</v>
      </c>
      <c r="I2816" s="236" t="s">
        <v>19682</v>
      </c>
    </row>
    <row r="2817" spans="1:9" x14ac:dyDescent="0.25">
      <c r="A2817" s="242">
        <v>42907</v>
      </c>
      <c r="B2817" s="18">
        <v>116918</v>
      </c>
      <c r="C2817" s="235" t="s">
        <v>19677</v>
      </c>
      <c r="D2817" s="236" t="s">
        <v>15254</v>
      </c>
      <c r="E2817" s="15">
        <v>14582.9</v>
      </c>
      <c r="F2817" s="237">
        <v>42909</v>
      </c>
      <c r="G2817" s="15">
        <v>14582.9</v>
      </c>
      <c r="H2817" s="15">
        <f t="shared" si="43"/>
        <v>0</v>
      </c>
      <c r="I2817" s="236" t="s">
        <v>19682</v>
      </c>
    </row>
    <row r="2818" spans="1:9" x14ac:dyDescent="0.25">
      <c r="A2818" s="36">
        <v>42907</v>
      </c>
      <c r="B2818" s="18">
        <v>116919</v>
      </c>
      <c r="C2818" s="235" t="s">
        <v>19677</v>
      </c>
      <c r="D2818" s="236" t="s">
        <v>18076</v>
      </c>
      <c r="E2818" s="15">
        <v>4993.68</v>
      </c>
      <c r="F2818" s="237">
        <v>42907</v>
      </c>
      <c r="G2818" s="15">
        <v>4993.68</v>
      </c>
      <c r="H2818" s="15">
        <f t="shared" ref="H2818:H2881" si="44">E2818-G2818</f>
        <v>0</v>
      </c>
      <c r="I2818" s="236" t="s">
        <v>19682</v>
      </c>
    </row>
    <row r="2819" spans="1:9" x14ac:dyDescent="0.25">
      <c r="A2819" s="242">
        <v>42907</v>
      </c>
      <c r="B2819" s="18">
        <v>116920</v>
      </c>
      <c r="C2819" s="235" t="s">
        <v>19677</v>
      </c>
      <c r="D2819" s="236" t="s">
        <v>15442</v>
      </c>
      <c r="E2819" s="15">
        <v>25259</v>
      </c>
      <c r="F2819" s="237" t="s">
        <v>19786</v>
      </c>
      <c r="G2819" s="241">
        <f>620+24639</f>
        <v>25259</v>
      </c>
      <c r="H2819" s="241">
        <f t="shared" si="44"/>
        <v>0</v>
      </c>
      <c r="I2819" s="236" t="s">
        <v>19682</v>
      </c>
    </row>
    <row r="2820" spans="1:9" x14ac:dyDescent="0.25">
      <c r="A2820" s="36">
        <v>42907</v>
      </c>
      <c r="B2820" s="18">
        <v>116921</v>
      </c>
      <c r="C2820" s="235" t="s">
        <v>19677</v>
      </c>
      <c r="D2820" s="236" t="s">
        <v>16093</v>
      </c>
      <c r="E2820" s="15">
        <v>2185</v>
      </c>
      <c r="F2820" s="237">
        <v>42907</v>
      </c>
      <c r="G2820" s="15">
        <v>2185</v>
      </c>
      <c r="H2820" s="15">
        <f t="shared" si="44"/>
        <v>0</v>
      </c>
      <c r="I2820" s="236" t="s">
        <v>19682</v>
      </c>
    </row>
    <row r="2821" spans="1:9" x14ac:dyDescent="0.25">
      <c r="A2821" s="242">
        <v>42907</v>
      </c>
      <c r="B2821" s="18">
        <v>116922</v>
      </c>
      <c r="C2821" s="235" t="s">
        <v>19677</v>
      </c>
      <c r="D2821" s="236" t="s">
        <v>15628</v>
      </c>
      <c r="E2821" s="15">
        <v>9730.7999999999993</v>
      </c>
      <c r="F2821" s="237">
        <v>42907</v>
      </c>
      <c r="G2821" s="15">
        <v>9730.7999999999993</v>
      </c>
      <c r="H2821" s="15">
        <f t="shared" si="44"/>
        <v>0</v>
      </c>
      <c r="I2821" s="236" t="s">
        <v>19682</v>
      </c>
    </row>
    <row r="2822" spans="1:9" x14ac:dyDescent="0.25">
      <c r="A2822" s="36">
        <v>42907</v>
      </c>
      <c r="B2822" s="18">
        <v>116923</v>
      </c>
      <c r="C2822" s="235" t="s">
        <v>19677</v>
      </c>
      <c r="D2822" s="236" t="s">
        <v>5880</v>
      </c>
      <c r="E2822" s="15">
        <v>15961.6</v>
      </c>
      <c r="F2822" s="237">
        <v>42907</v>
      </c>
      <c r="G2822" s="15">
        <v>15961.6</v>
      </c>
      <c r="H2822" s="15">
        <f t="shared" si="44"/>
        <v>0</v>
      </c>
      <c r="I2822" s="236" t="s">
        <v>19682</v>
      </c>
    </row>
    <row r="2823" spans="1:9" x14ac:dyDescent="0.25">
      <c r="A2823" s="242">
        <v>42907</v>
      </c>
      <c r="B2823" s="18">
        <v>116924</v>
      </c>
      <c r="C2823" s="235" t="s">
        <v>19677</v>
      </c>
      <c r="D2823" s="236" t="s">
        <v>15789</v>
      </c>
      <c r="E2823" s="15">
        <v>25934</v>
      </c>
      <c r="F2823" s="237">
        <v>42914</v>
      </c>
      <c r="G2823" s="15">
        <v>25934</v>
      </c>
      <c r="H2823" s="15">
        <f t="shared" si="44"/>
        <v>0</v>
      </c>
      <c r="I2823" s="236" t="s">
        <v>19682</v>
      </c>
    </row>
    <row r="2824" spans="1:9" x14ac:dyDescent="0.25">
      <c r="A2824" s="36">
        <v>42907</v>
      </c>
      <c r="B2824" s="18">
        <v>116925</v>
      </c>
      <c r="C2824" s="235" t="s">
        <v>19677</v>
      </c>
      <c r="D2824" s="236" t="s">
        <v>15267</v>
      </c>
      <c r="E2824" s="15">
        <v>44286.95</v>
      </c>
      <c r="F2824" s="237">
        <v>42933</v>
      </c>
      <c r="G2824" s="15">
        <v>44286.95</v>
      </c>
      <c r="H2824" s="15">
        <f t="shared" si="44"/>
        <v>0</v>
      </c>
      <c r="I2824" s="236" t="s">
        <v>19682</v>
      </c>
    </row>
    <row r="2825" spans="1:9" x14ac:dyDescent="0.25">
      <c r="A2825" s="242">
        <v>42907</v>
      </c>
      <c r="B2825" s="18">
        <v>116926</v>
      </c>
      <c r="C2825" s="235" t="s">
        <v>19677</v>
      </c>
      <c r="D2825" s="236" t="s">
        <v>5556</v>
      </c>
      <c r="E2825" s="15">
        <v>66995.25</v>
      </c>
      <c r="F2825" s="237">
        <v>42913</v>
      </c>
      <c r="G2825" s="15">
        <v>66995.25</v>
      </c>
      <c r="H2825" s="15">
        <f t="shared" si="44"/>
        <v>0</v>
      </c>
      <c r="I2825" s="236" t="s">
        <v>19682</v>
      </c>
    </row>
    <row r="2826" spans="1:9" x14ac:dyDescent="0.25">
      <c r="A2826" s="36">
        <v>42907</v>
      </c>
      <c r="B2826" s="18">
        <v>116927</v>
      </c>
      <c r="C2826" s="235" t="s">
        <v>19677</v>
      </c>
      <c r="D2826" s="236" t="s">
        <v>15920</v>
      </c>
      <c r="E2826" s="15">
        <v>30326</v>
      </c>
      <c r="F2826" s="237">
        <v>42912</v>
      </c>
      <c r="G2826" s="15">
        <v>30326</v>
      </c>
      <c r="H2826" s="15">
        <f t="shared" si="44"/>
        <v>0</v>
      </c>
      <c r="I2826" s="236" t="s">
        <v>19682</v>
      </c>
    </row>
    <row r="2827" spans="1:9" x14ac:dyDescent="0.25">
      <c r="A2827" s="242">
        <v>42907</v>
      </c>
      <c r="B2827" s="18">
        <v>116928</v>
      </c>
      <c r="C2827" s="235" t="s">
        <v>19677</v>
      </c>
      <c r="D2827" s="236" t="s">
        <v>15315</v>
      </c>
      <c r="E2827" s="15">
        <v>782</v>
      </c>
      <c r="F2827" s="237">
        <v>42908</v>
      </c>
      <c r="G2827" s="15">
        <v>782</v>
      </c>
      <c r="H2827" s="15">
        <f t="shared" si="44"/>
        <v>0</v>
      </c>
      <c r="I2827" s="236" t="s">
        <v>19682</v>
      </c>
    </row>
    <row r="2828" spans="1:9" x14ac:dyDescent="0.25">
      <c r="A2828" s="36">
        <v>42907</v>
      </c>
      <c r="B2828" s="18">
        <v>116929</v>
      </c>
      <c r="C2828" s="235" t="s">
        <v>19677</v>
      </c>
      <c r="D2828" s="236" t="s">
        <v>15435</v>
      </c>
      <c r="E2828" s="15">
        <v>8619.6</v>
      </c>
      <c r="F2828" s="237">
        <v>42907</v>
      </c>
      <c r="G2828" s="15">
        <v>8619.6</v>
      </c>
      <c r="H2828" s="15">
        <f t="shared" si="44"/>
        <v>0</v>
      </c>
      <c r="I2828" s="236" t="s">
        <v>19682</v>
      </c>
    </row>
    <row r="2829" spans="1:9" x14ac:dyDescent="0.25">
      <c r="A2829" s="242">
        <v>42907</v>
      </c>
      <c r="B2829" s="18">
        <v>116930</v>
      </c>
      <c r="C2829" s="235" t="s">
        <v>19677</v>
      </c>
      <c r="D2829" s="236" t="s">
        <v>15246</v>
      </c>
      <c r="E2829" s="15">
        <v>72087.600000000006</v>
      </c>
      <c r="F2829" s="237">
        <v>42910</v>
      </c>
      <c r="G2829" s="15">
        <v>72087.600000000006</v>
      </c>
      <c r="H2829" s="15">
        <f t="shared" si="44"/>
        <v>0</v>
      </c>
      <c r="I2829" s="236" t="s">
        <v>19682</v>
      </c>
    </row>
    <row r="2830" spans="1:9" x14ac:dyDescent="0.25">
      <c r="A2830" s="36">
        <v>42907</v>
      </c>
      <c r="B2830" s="18">
        <v>116931</v>
      </c>
      <c r="C2830" s="235" t="s">
        <v>19677</v>
      </c>
      <c r="D2830" s="236" t="s">
        <v>15365</v>
      </c>
      <c r="E2830" s="15">
        <v>240000</v>
      </c>
      <c r="F2830" s="237">
        <v>42915</v>
      </c>
      <c r="G2830" s="15">
        <v>240000</v>
      </c>
      <c r="H2830" s="15">
        <f t="shared" si="44"/>
        <v>0</v>
      </c>
      <c r="I2830" s="236" t="s">
        <v>19682</v>
      </c>
    </row>
    <row r="2831" spans="1:9" x14ac:dyDescent="0.25">
      <c r="A2831" s="242">
        <v>42907</v>
      </c>
      <c r="B2831" s="18">
        <v>116932</v>
      </c>
      <c r="C2831" s="235" t="s">
        <v>19677</v>
      </c>
      <c r="D2831" s="236" t="s">
        <v>15642</v>
      </c>
      <c r="E2831" s="15">
        <v>6022.8</v>
      </c>
      <c r="F2831" s="237">
        <v>42907</v>
      </c>
      <c r="G2831" s="15">
        <v>6022.8</v>
      </c>
      <c r="H2831" s="15">
        <f t="shared" si="44"/>
        <v>0</v>
      </c>
      <c r="I2831" s="236" t="s">
        <v>19682</v>
      </c>
    </row>
    <row r="2832" spans="1:9" x14ac:dyDescent="0.25">
      <c r="A2832" s="36">
        <v>42907</v>
      </c>
      <c r="B2832" s="18">
        <v>116933</v>
      </c>
      <c r="C2832" s="235" t="s">
        <v>19677</v>
      </c>
      <c r="D2832" s="236" t="s">
        <v>15246</v>
      </c>
      <c r="E2832" s="15">
        <v>247603.6</v>
      </c>
      <c r="F2832" s="237">
        <v>42910</v>
      </c>
      <c r="G2832" s="15">
        <v>247603.6</v>
      </c>
      <c r="H2832" s="15">
        <f t="shared" si="44"/>
        <v>0</v>
      </c>
      <c r="I2832" s="236" t="s">
        <v>19682</v>
      </c>
    </row>
    <row r="2833" spans="1:9" x14ac:dyDescent="0.25">
      <c r="A2833" s="242">
        <v>42907</v>
      </c>
      <c r="B2833" s="18">
        <v>116934</v>
      </c>
      <c r="C2833" s="235" t="s">
        <v>19677</v>
      </c>
      <c r="D2833" s="236" t="s">
        <v>15250</v>
      </c>
      <c r="E2833" s="15">
        <v>34152.5</v>
      </c>
      <c r="F2833" s="237">
        <v>42915</v>
      </c>
      <c r="G2833" s="15">
        <v>34152.5</v>
      </c>
      <c r="H2833" s="15">
        <f t="shared" si="44"/>
        <v>0</v>
      </c>
      <c r="I2833" s="236" t="s">
        <v>19682</v>
      </c>
    </row>
    <row r="2834" spans="1:9" x14ac:dyDescent="0.25">
      <c r="A2834" s="36">
        <v>42907</v>
      </c>
      <c r="B2834" s="18">
        <v>116935</v>
      </c>
      <c r="C2834" s="235" t="s">
        <v>19677</v>
      </c>
      <c r="D2834" s="236" t="s">
        <v>16023</v>
      </c>
      <c r="E2834" s="15">
        <v>3212</v>
      </c>
      <c r="F2834" s="237">
        <v>42908</v>
      </c>
      <c r="G2834" s="15">
        <v>3212</v>
      </c>
      <c r="H2834" s="15">
        <f t="shared" si="44"/>
        <v>0</v>
      </c>
      <c r="I2834" s="236" t="s">
        <v>19682</v>
      </c>
    </row>
    <row r="2835" spans="1:9" ht="72.75" x14ac:dyDescent="0.25">
      <c r="A2835" s="242">
        <v>42907</v>
      </c>
      <c r="B2835" s="18">
        <v>116936</v>
      </c>
      <c r="C2835" s="235" t="s">
        <v>19677</v>
      </c>
      <c r="D2835" s="236" t="s">
        <v>19761</v>
      </c>
      <c r="E2835" s="15">
        <v>4550</v>
      </c>
      <c r="F2835" s="267" t="s">
        <v>27697</v>
      </c>
      <c r="G2835" s="241">
        <f>500+350+500+300+300+300+300+300+300+300+300+100+200+100+400</f>
        <v>4550</v>
      </c>
      <c r="H2835" s="241">
        <f t="shared" si="44"/>
        <v>0</v>
      </c>
      <c r="I2835" s="236" t="s">
        <v>19682</v>
      </c>
    </row>
    <row r="2836" spans="1:9" x14ac:dyDescent="0.25">
      <c r="A2836" s="36">
        <v>42908</v>
      </c>
      <c r="B2836" s="18">
        <v>116937</v>
      </c>
      <c r="C2836" s="235" t="s">
        <v>19677</v>
      </c>
      <c r="D2836" s="236" t="s">
        <v>15213</v>
      </c>
      <c r="E2836" s="15">
        <v>9418.2000000000007</v>
      </c>
      <c r="F2836" s="237">
        <v>42910</v>
      </c>
      <c r="G2836" s="15">
        <v>9418.2000000000007</v>
      </c>
      <c r="H2836" s="15">
        <f t="shared" si="44"/>
        <v>0</v>
      </c>
      <c r="I2836" s="236" t="s">
        <v>19682</v>
      </c>
    </row>
    <row r="2837" spans="1:9" x14ac:dyDescent="0.25">
      <c r="A2837" s="242">
        <v>42908</v>
      </c>
      <c r="B2837" s="18">
        <v>116938</v>
      </c>
      <c r="C2837" s="235" t="s">
        <v>19677</v>
      </c>
      <c r="D2837" s="236" t="s">
        <v>15213</v>
      </c>
      <c r="E2837" s="15">
        <v>44048</v>
      </c>
      <c r="F2837" s="237" t="s">
        <v>19759</v>
      </c>
      <c r="G2837" s="241">
        <f>38000+6048</f>
        <v>44048</v>
      </c>
      <c r="H2837" s="241">
        <f t="shared" si="44"/>
        <v>0</v>
      </c>
      <c r="I2837" s="236" t="s">
        <v>19682</v>
      </c>
    </row>
    <row r="2838" spans="1:9" x14ac:dyDescent="0.25">
      <c r="A2838" s="36">
        <v>42908</v>
      </c>
      <c r="B2838" s="18">
        <v>116939</v>
      </c>
      <c r="C2838" s="235" t="s">
        <v>19677</v>
      </c>
      <c r="D2838" s="236" t="s">
        <v>15250</v>
      </c>
      <c r="E2838" s="15">
        <v>33291.300000000003</v>
      </c>
      <c r="F2838" s="237">
        <v>42915</v>
      </c>
      <c r="G2838" s="15">
        <v>33291.300000000003</v>
      </c>
      <c r="H2838" s="15">
        <f t="shared" si="44"/>
        <v>0</v>
      </c>
      <c r="I2838" s="236" t="s">
        <v>19682</v>
      </c>
    </row>
    <row r="2839" spans="1:9" x14ac:dyDescent="0.25">
      <c r="A2839" s="242">
        <v>42908</v>
      </c>
      <c r="B2839" s="18">
        <v>116940</v>
      </c>
      <c r="C2839" s="235" t="s">
        <v>19677</v>
      </c>
      <c r="D2839" s="236" t="s">
        <v>18544</v>
      </c>
      <c r="E2839" s="15">
        <v>9026.4</v>
      </c>
      <c r="F2839" s="237">
        <v>42909</v>
      </c>
      <c r="G2839" s="15">
        <v>9026.4</v>
      </c>
      <c r="H2839" s="15">
        <f t="shared" si="44"/>
        <v>0</v>
      </c>
      <c r="I2839" s="236" t="s">
        <v>19682</v>
      </c>
    </row>
    <row r="2840" spans="1:9" x14ac:dyDescent="0.25">
      <c r="A2840" s="36">
        <v>42908</v>
      </c>
      <c r="B2840" s="18">
        <v>116941</v>
      </c>
      <c r="C2840" s="235" t="s">
        <v>19677</v>
      </c>
      <c r="D2840" s="236" t="s">
        <v>15223</v>
      </c>
      <c r="E2840" s="15">
        <v>47183.9</v>
      </c>
      <c r="F2840" s="237">
        <v>42926</v>
      </c>
      <c r="G2840" s="15">
        <v>47183.9</v>
      </c>
      <c r="H2840" s="15">
        <f t="shared" si="44"/>
        <v>0</v>
      </c>
      <c r="I2840" s="236" t="s">
        <v>19682</v>
      </c>
    </row>
    <row r="2841" spans="1:9" x14ac:dyDescent="0.25">
      <c r="A2841" s="242">
        <v>42908</v>
      </c>
      <c r="B2841" s="18">
        <v>116942</v>
      </c>
      <c r="C2841" s="235" t="s">
        <v>19677</v>
      </c>
      <c r="D2841" s="236" t="s">
        <v>15330</v>
      </c>
      <c r="E2841" s="15">
        <v>5260.9</v>
      </c>
      <c r="F2841" s="237">
        <v>42908</v>
      </c>
      <c r="G2841" s="15">
        <v>5260.9</v>
      </c>
      <c r="H2841" s="15">
        <f t="shared" si="44"/>
        <v>0</v>
      </c>
      <c r="I2841" s="236" t="s">
        <v>19682</v>
      </c>
    </row>
    <row r="2842" spans="1:9" ht="15.75" x14ac:dyDescent="0.25">
      <c r="A2842" s="36">
        <v>42908</v>
      </c>
      <c r="B2842" s="18">
        <v>116943</v>
      </c>
      <c r="C2842" s="235" t="s">
        <v>19677</v>
      </c>
      <c r="D2842" s="248" t="s">
        <v>95</v>
      </c>
      <c r="E2842" s="15">
        <v>0</v>
      </c>
      <c r="F2842" s="254" t="s">
        <v>95</v>
      </c>
      <c r="G2842" s="15">
        <v>0</v>
      </c>
      <c r="H2842" s="15">
        <f t="shared" si="44"/>
        <v>0</v>
      </c>
      <c r="I2842" s="236" t="s">
        <v>19678</v>
      </c>
    </row>
    <row r="2843" spans="1:9" x14ac:dyDescent="0.25">
      <c r="A2843" s="242">
        <v>42908</v>
      </c>
      <c r="B2843" s="18">
        <v>116944</v>
      </c>
      <c r="C2843" s="235" t="s">
        <v>19677</v>
      </c>
      <c r="D2843" s="236" t="s">
        <v>17462</v>
      </c>
      <c r="E2843" s="15">
        <v>7097.1</v>
      </c>
      <c r="F2843" s="237">
        <v>42908</v>
      </c>
      <c r="G2843" s="15">
        <v>7097.1</v>
      </c>
      <c r="H2843" s="15">
        <f t="shared" si="44"/>
        <v>0</v>
      </c>
      <c r="I2843" s="236" t="s">
        <v>19682</v>
      </c>
    </row>
    <row r="2844" spans="1:9" x14ac:dyDescent="0.25">
      <c r="A2844" s="36">
        <v>42908</v>
      </c>
      <c r="B2844" s="18">
        <v>116945</v>
      </c>
      <c r="C2844" s="235" t="s">
        <v>19677</v>
      </c>
      <c r="D2844" s="236" t="s">
        <v>15258</v>
      </c>
      <c r="E2844" s="15">
        <v>11352</v>
      </c>
      <c r="F2844" s="237">
        <v>42912</v>
      </c>
      <c r="G2844" s="15">
        <v>11352</v>
      </c>
      <c r="H2844" s="15">
        <f t="shared" si="44"/>
        <v>0</v>
      </c>
      <c r="I2844" s="236" t="s">
        <v>19682</v>
      </c>
    </row>
    <row r="2845" spans="1:9" x14ac:dyDescent="0.25">
      <c r="A2845" s="242">
        <v>42908</v>
      </c>
      <c r="B2845" s="18">
        <v>116946</v>
      </c>
      <c r="C2845" s="235" t="s">
        <v>19677</v>
      </c>
      <c r="D2845" s="236" t="s">
        <v>15230</v>
      </c>
      <c r="E2845" s="15">
        <v>10395.799999999999</v>
      </c>
      <c r="F2845" s="237" t="s">
        <v>19787</v>
      </c>
      <c r="G2845" s="241">
        <f>6000+4395.8</f>
        <v>10395.799999999999</v>
      </c>
      <c r="H2845" s="241">
        <f t="shared" si="44"/>
        <v>0</v>
      </c>
      <c r="I2845" s="236" t="s">
        <v>19682</v>
      </c>
    </row>
    <row r="2846" spans="1:9" x14ac:dyDescent="0.25">
      <c r="A2846" s="36">
        <v>42908</v>
      </c>
      <c r="B2846" s="18">
        <v>116947</v>
      </c>
      <c r="C2846" s="235" t="s">
        <v>19677</v>
      </c>
      <c r="D2846" s="236" t="s">
        <v>15220</v>
      </c>
      <c r="E2846" s="15">
        <v>2350</v>
      </c>
      <c r="F2846" s="237">
        <v>42908</v>
      </c>
      <c r="G2846" s="15">
        <v>2350</v>
      </c>
      <c r="H2846" s="15">
        <f t="shared" si="44"/>
        <v>0</v>
      </c>
      <c r="I2846" s="236" t="s">
        <v>19682</v>
      </c>
    </row>
    <row r="2847" spans="1:9" x14ac:dyDescent="0.25">
      <c r="A2847" s="242">
        <v>42908</v>
      </c>
      <c r="B2847" s="18">
        <v>116948</v>
      </c>
      <c r="C2847" s="235" t="s">
        <v>19677</v>
      </c>
      <c r="D2847" s="236" t="s">
        <v>15250</v>
      </c>
      <c r="E2847" s="15">
        <v>33021.449999999997</v>
      </c>
      <c r="F2847" s="237">
        <v>42915</v>
      </c>
      <c r="G2847" s="15">
        <v>33021.449999999997</v>
      </c>
      <c r="H2847" s="15">
        <f t="shared" si="44"/>
        <v>0</v>
      </c>
      <c r="I2847" s="236" t="s">
        <v>19682</v>
      </c>
    </row>
    <row r="2848" spans="1:9" x14ac:dyDescent="0.25">
      <c r="A2848" s="36">
        <v>42908</v>
      </c>
      <c r="B2848" s="18">
        <v>116949</v>
      </c>
      <c r="C2848" s="235" t="s">
        <v>19677</v>
      </c>
      <c r="D2848" s="236" t="s">
        <v>5556</v>
      </c>
      <c r="E2848" s="15">
        <v>38805.599999999999</v>
      </c>
      <c r="F2848" s="237">
        <v>42913</v>
      </c>
      <c r="G2848" s="15">
        <v>38805.599999999999</v>
      </c>
      <c r="H2848" s="15">
        <f t="shared" si="44"/>
        <v>0</v>
      </c>
      <c r="I2848" s="236" t="s">
        <v>19682</v>
      </c>
    </row>
    <row r="2849" spans="1:9" x14ac:dyDescent="0.25">
      <c r="A2849" s="242">
        <v>42908</v>
      </c>
      <c r="B2849" s="18">
        <v>116950</v>
      </c>
      <c r="C2849" s="235" t="s">
        <v>19677</v>
      </c>
      <c r="D2849" s="236" t="s">
        <v>15240</v>
      </c>
      <c r="E2849" s="15">
        <v>28.8</v>
      </c>
      <c r="F2849" s="237">
        <v>42908</v>
      </c>
      <c r="G2849" s="15">
        <v>28.8</v>
      </c>
      <c r="H2849" s="15">
        <f t="shared" si="44"/>
        <v>0</v>
      </c>
      <c r="I2849" s="236" t="s">
        <v>19682</v>
      </c>
    </row>
    <row r="2850" spans="1:9" x14ac:dyDescent="0.25">
      <c r="A2850" s="36">
        <v>42908</v>
      </c>
      <c r="B2850" s="18">
        <v>116951</v>
      </c>
      <c r="C2850" s="235" t="s">
        <v>19677</v>
      </c>
      <c r="D2850" s="236" t="s">
        <v>15348</v>
      </c>
      <c r="E2850" s="15">
        <v>502.2</v>
      </c>
      <c r="F2850" s="237">
        <v>42909</v>
      </c>
      <c r="G2850" s="15">
        <v>502.2</v>
      </c>
      <c r="H2850" s="15">
        <f t="shared" si="44"/>
        <v>0</v>
      </c>
      <c r="I2850" s="236" t="s">
        <v>19682</v>
      </c>
    </row>
    <row r="2851" spans="1:9" x14ac:dyDescent="0.25">
      <c r="A2851" s="242">
        <v>42908</v>
      </c>
      <c r="B2851" s="18">
        <v>116952</v>
      </c>
      <c r="C2851" s="235" t="s">
        <v>19677</v>
      </c>
      <c r="D2851" s="236" t="s">
        <v>15242</v>
      </c>
      <c r="E2851" s="15">
        <v>4575.2</v>
      </c>
      <c r="F2851" s="237">
        <v>42908</v>
      </c>
      <c r="G2851" s="15">
        <v>4575.2</v>
      </c>
      <c r="H2851" s="15">
        <f t="shared" si="44"/>
        <v>0</v>
      </c>
      <c r="I2851" s="236" t="s">
        <v>19682</v>
      </c>
    </row>
    <row r="2852" spans="1:9" x14ac:dyDescent="0.25">
      <c r="A2852" s="36">
        <v>42908</v>
      </c>
      <c r="B2852" s="18">
        <v>116953</v>
      </c>
      <c r="C2852" s="235" t="s">
        <v>19677</v>
      </c>
      <c r="D2852" s="236" t="s">
        <v>15371</v>
      </c>
      <c r="E2852" s="15">
        <v>3600.5</v>
      </c>
      <c r="F2852" s="237">
        <v>42909</v>
      </c>
      <c r="G2852" s="15">
        <v>3600.5</v>
      </c>
      <c r="H2852" s="15">
        <f t="shared" si="44"/>
        <v>0</v>
      </c>
      <c r="I2852" s="236" t="s">
        <v>19682</v>
      </c>
    </row>
    <row r="2853" spans="1:9" x14ac:dyDescent="0.25">
      <c r="A2853" s="242">
        <v>42908</v>
      </c>
      <c r="B2853" s="18">
        <v>116954</v>
      </c>
      <c r="C2853" s="235" t="s">
        <v>19677</v>
      </c>
      <c r="D2853" s="236" t="s">
        <v>15244</v>
      </c>
      <c r="E2853" s="15">
        <v>9629.4</v>
      </c>
      <c r="F2853" s="237">
        <v>42909</v>
      </c>
      <c r="G2853" s="15">
        <v>9629.4</v>
      </c>
      <c r="H2853" s="15">
        <f t="shared" si="44"/>
        <v>0</v>
      </c>
      <c r="I2853" s="236" t="s">
        <v>19682</v>
      </c>
    </row>
    <row r="2854" spans="1:9" x14ac:dyDescent="0.25">
      <c r="A2854" s="36">
        <v>42908</v>
      </c>
      <c r="B2854" s="18">
        <v>116955</v>
      </c>
      <c r="C2854" s="235" t="s">
        <v>19677</v>
      </c>
      <c r="D2854" s="236" t="s">
        <v>15352</v>
      </c>
      <c r="E2854" s="15">
        <v>393.6</v>
      </c>
      <c r="F2854" s="237">
        <v>42908</v>
      </c>
      <c r="G2854" s="15">
        <v>393.6</v>
      </c>
      <c r="H2854" s="15">
        <f t="shared" si="44"/>
        <v>0</v>
      </c>
      <c r="I2854" s="236" t="s">
        <v>19682</v>
      </c>
    </row>
    <row r="2855" spans="1:9" x14ac:dyDescent="0.25">
      <c r="A2855" s="242">
        <v>42908</v>
      </c>
      <c r="B2855" s="18">
        <v>116956</v>
      </c>
      <c r="C2855" s="235" t="s">
        <v>19677</v>
      </c>
      <c r="D2855" s="236" t="s">
        <v>15263</v>
      </c>
      <c r="E2855" s="15">
        <v>3188</v>
      </c>
      <c r="F2855" s="237">
        <v>42908</v>
      </c>
      <c r="G2855" s="15">
        <v>3188</v>
      </c>
      <c r="H2855" s="15">
        <f t="shared" si="44"/>
        <v>0</v>
      </c>
      <c r="I2855" s="236" t="s">
        <v>19682</v>
      </c>
    </row>
    <row r="2856" spans="1:9" x14ac:dyDescent="0.25">
      <c r="A2856" s="36">
        <v>42908</v>
      </c>
      <c r="B2856" s="18">
        <v>116957</v>
      </c>
      <c r="C2856" s="235" t="s">
        <v>19677</v>
      </c>
      <c r="D2856" s="236" t="s">
        <v>15252</v>
      </c>
      <c r="E2856" s="15">
        <v>3773.9</v>
      </c>
      <c r="F2856" s="237">
        <v>42912</v>
      </c>
      <c r="G2856" s="15">
        <v>3773.9</v>
      </c>
      <c r="H2856" s="15">
        <f t="shared" si="44"/>
        <v>0</v>
      </c>
      <c r="I2856" s="236" t="s">
        <v>19682</v>
      </c>
    </row>
    <row r="2857" spans="1:9" x14ac:dyDescent="0.25">
      <c r="A2857" s="242">
        <v>42908</v>
      </c>
      <c r="B2857" s="18">
        <v>116958</v>
      </c>
      <c r="C2857" s="235" t="s">
        <v>19677</v>
      </c>
      <c r="D2857" s="236" t="s">
        <v>15338</v>
      </c>
      <c r="E2857" s="15">
        <v>9164</v>
      </c>
      <c r="F2857" s="237">
        <v>42914</v>
      </c>
      <c r="G2857" s="15">
        <v>9164</v>
      </c>
      <c r="H2857" s="15">
        <f t="shared" si="44"/>
        <v>0</v>
      </c>
      <c r="I2857" s="236" t="s">
        <v>19682</v>
      </c>
    </row>
    <row r="2858" spans="1:9" x14ac:dyDescent="0.25">
      <c r="A2858" s="36">
        <v>42908</v>
      </c>
      <c r="B2858" s="18">
        <v>116959</v>
      </c>
      <c r="C2858" s="235" t="s">
        <v>19677</v>
      </c>
      <c r="D2858" s="236" t="s">
        <v>15234</v>
      </c>
      <c r="E2858" s="15">
        <v>3568</v>
      </c>
      <c r="F2858" s="237" t="s">
        <v>19762</v>
      </c>
      <c r="G2858" s="241">
        <f>1300+2268</f>
        <v>3568</v>
      </c>
      <c r="H2858" s="241">
        <f t="shared" si="44"/>
        <v>0</v>
      </c>
      <c r="I2858" s="236" t="s">
        <v>19682</v>
      </c>
    </row>
    <row r="2859" spans="1:9" x14ac:dyDescent="0.25">
      <c r="A2859" s="242">
        <v>42908</v>
      </c>
      <c r="B2859" s="18">
        <v>116960</v>
      </c>
      <c r="C2859" s="235" t="s">
        <v>19677</v>
      </c>
      <c r="D2859" s="236" t="s">
        <v>15236</v>
      </c>
      <c r="E2859" s="15">
        <v>10248</v>
      </c>
      <c r="F2859" s="237">
        <v>42912</v>
      </c>
      <c r="G2859" s="15">
        <v>10248</v>
      </c>
      <c r="H2859" s="15">
        <f t="shared" si="44"/>
        <v>0</v>
      </c>
      <c r="I2859" s="236" t="s">
        <v>19682</v>
      </c>
    </row>
    <row r="2860" spans="1:9" x14ac:dyDescent="0.25">
      <c r="A2860" s="36">
        <v>42908</v>
      </c>
      <c r="B2860" s="18">
        <v>116961</v>
      </c>
      <c r="C2860" s="235" t="s">
        <v>19677</v>
      </c>
      <c r="D2860" s="236" t="s">
        <v>15480</v>
      </c>
      <c r="E2860" s="15">
        <v>4148.8</v>
      </c>
      <c r="F2860" s="237" t="s">
        <v>19763</v>
      </c>
      <c r="G2860" s="241">
        <f>2800+1348.8</f>
        <v>4148.8</v>
      </c>
      <c r="H2860" s="241">
        <f t="shared" si="44"/>
        <v>0</v>
      </c>
      <c r="I2860" s="236" t="s">
        <v>19682</v>
      </c>
    </row>
    <row r="2861" spans="1:9" x14ac:dyDescent="0.25">
      <c r="A2861" s="242">
        <v>42908</v>
      </c>
      <c r="B2861" s="18">
        <v>116962</v>
      </c>
      <c r="C2861" s="235" t="s">
        <v>19677</v>
      </c>
      <c r="D2861" s="236" t="s">
        <v>15284</v>
      </c>
      <c r="E2861" s="15">
        <v>2646</v>
      </c>
      <c r="F2861" s="237">
        <v>42908</v>
      </c>
      <c r="G2861" s="15">
        <v>2646</v>
      </c>
      <c r="H2861" s="15">
        <f t="shared" si="44"/>
        <v>0</v>
      </c>
      <c r="I2861" s="236" t="s">
        <v>19682</v>
      </c>
    </row>
    <row r="2862" spans="1:9" x14ac:dyDescent="0.25">
      <c r="A2862" s="36">
        <v>42908</v>
      </c>
      <c r="B2862" s="18">
        <v>116963</v>
      </c>
      <c r="C2862" s="235" t="s">
        <v>19677</v>
      </c>
      <c r="D2862" s="236" t="s">
        <v>15261</v>
      </c>
      <c r="E2862" s="15">
        <v>21116.799999999999</v>
      </c>
      <c r="F2862" s="237">
        <v>42908</v>
      </c>
      <c r="G2862" s="15">
        <v>21116.799999999999</v>
      </c>
      <c r="H2862" s="15">
        <f t="shared" si="44"/>
        <v>0</v>
      </c>
      <c r="I2862" s="236" t="s">
        <v>19682</v>
      </c>
    </row>
    <row r="2863" spans="1:9" x14ac:dyDescent="0.25">
      <c r="A2863" s="242">
        <v>42908</v>
      </c>
      <c r="B2863" s="18">
        <v>116964</v>
      </c>
      <c r="C2863" s="235" t="s">
        <v>19677</v>
      </c>
      <c r="D2863" s="236" t="s">
        <v>15668</v>
      </c>
      <c r="E2863" s="15">
        <v>21184</v>
      </c>
      <c r="F2863" s="237">
        <v>42912</v>
      </c>
      <c r="G2863" s="15">
        <v>21184</v>
      </c>
      <c r="H2863" s="15">
        <f t="shared" si="44"/>
        <v>0</v>
      </c>
      <c r="I2863" s="236" t="s">
        <v>19682</v>
      </c>
    </row>
    <row r="2864" spans="1:9" x14ac:dyDescent="0.25">
      <c r="A2864" s="36">
        <v>42908</v>
      </c>
      <c r="B2864" s="18">
        <v>116965</v>
      </c>
      <c r="C2864" s="235" t="s">
        <v>19677</v>
      </c>
      <c r="D2864" s="236" t="s">
        <v>15256</v>
      </c>
      <c r="E2864" s="15">
        <v>5997.7</v>
      </c>
      <c r="F2864" s="237">
        <v>42909</v>
      </c>
      <c r="G2864" s="15">
        <v>5997.7</v>
      </c>
      <c r="H2864" s="15">
        <f t="shared" si="44"/>
        <v>0</v>
      </c>
      <c r="I2864" s="236" t="s">
        <v>19682</v>
      </c>
    </row>
    <row r="2865" spans="1:9" x14ac:dyDescent="0.25">
      <c r="A2865" s="242">
        <v>42908</v>
      </c>
      <c r="B2865" s="18">
        <v>116966</v>
      </c>
      <c r="C2865" s="235" t="s">
        <v>19677</v>
      </c>
      <c r="D2865" s="236" t="s">
        <v>15238</v>
      </c>
      <c r="E2865" s="15">
        <v>4653.2</v>
      </c>
      <c r="F2865" s="237">
        <v>42912</v>
      </c>
      <c r="G2865" s="15">
        <v>4653.2</v>
      </c>
      <c r="H2865" s="15">
        <f t="shared" si="44"/>
        <v>0</v>
      </c>
      <c r="I2865" s="236" t="s">
        <v>19682</v>
      </c>
    </row>
    <row r="2866" spans="1:9" x14ac:dyDescent="0.25">
      <c r="A2866" s="36">
        <v>42908</v>
      </c>
      <c r="B2866" s="18">
        <v>116967</v>
      </c>
      <c r="C2866" s="235" t="s">
        <v>19677</v>
      </c>
      <c r="D2866" s="236" t="s">
        <v>15596</v>
      </c>
      <c r="E2866" s="15">
        <v>940</v>
      </c>
      <c r="F2866" s="237">
        <v>42908</v>
      </c>
      <c r="G2866" s="15">
        <v>940</v>
      </c>
      <c r="H2866" s="15">
        <f t="shared" si="44"/>
        <v>0</v>
      </c>
      <c r="I2866" s="236" t="s">
        <v>19682</v>
      </c>
    </row>
    <row r="2867" spans="1:9" x14ac:dyDescent="0.25">
      <c r="A2867" s="242">
        <v>42908</v>
      </c>
      <c r="B2867" s="18">
        <v>116968</v>
      </c>
      <c r="C2867" s="235" t="s">
        <v>19677</v>
      </c>
      <c r="D2867" s="236" t="s">
        <v>15655</v>
      </c>
      <c r="E2867" s="15">
        <v>2804.2</v>
      </c>
      <c r="F2867" s="237">
        <v>42908</v>
      </c>
      <c r="G2867" s="15">
        <v>2804.2</v>
      </c>
      <c r="H2867" s="15">
        <f t="shared" si="44"/>
        <v>0</v>
      </c>
      <c r="I2867" s="236" t="s">
        <v>19682</v>
      </c>
    </row>
    <row r="2868" spans="1:9" x14ac:dyDescent="0.25">
      <c r="A2868" s="36">
        <v>42908</v>
      </c>
      <c r="B2868" s="18">
        <v>116969</v>
      </c>
      <c r="C2868" s="235" t="s">
        <v>19677</v>
      </c>
      <c r="D2868" s="236" t="s">
        <v>5873</v>
      </c>
      <c r="E2868" s="15">
        <v>33180</v>
      </c>
      <c r="F2868" s="237">
        <v>42908</v>
      </c>
      <c r="G2868" s="15">
        <v>33180</v>
      </c>
      <c r="H2868" s="15">
        <f t="shared" si="44"/>
        <v>0</v>
      </c>
      <c r="I2868" s="236" t="s">
        <v>19682</v>
      </c>
    </row>
    <row r="2869" spans="1:9" x14ac:dyDescent="0.25">
      <c r="A2869" s="242">
        <v>42908</v>
      </c>
      <c r="B2869" s="18">
        <v>116970</v>
      </c>
      <c r="C2869" s="235" t="s">
        <v>19677</v>
      </c>
      <c r="D2869" s="236" t="s">
        <v>15232</v>
      </c>
      <c r="E2869" s="15">
        <v>2730.8</v>
      </c>
      <c r="F2869" s="237">
        <v>42915</v>
      </c>
      <c r="G2869" s="15">
        <v>2730.8</v>
      </c>
      <c r="H2869" s="15">
        <f t="shared" si="44"/>
        <v>0</v>
      </c>
      <c r="I2869" s="236" t="s">
        <v>19682</v>
      </c>
    </row>
    <row r="2870" spans="1:9" x14ac:dyDescent="0.25">
      <c r="A2870" s="36">
        <v>42908</v>
      </c>
      <c r="B2870" s="18">
        <v>116971</v>
      </c>
      <c r="C2870" s="235" t="s">
        <v>19677</v>
      </c>
      <c r="D2870" s="236" t="s">
        <v>5575</v>
      </c>
      <c r="E2870" s="15">
        <v>8844.4</v>
      </c>
      <c r="F2870" s="237" t="s">
        <v>19763</v>
      </c>
      <c r="G2870" s="241">
        <f>6000+2844.4</f>
        <v>8844.4</v>
      </c>
      <c r="H2870" s="241">
        <f t="shared" si="44"/>
        <v>0</v>
      </c>
      <c r="I2870" s="236" t="s">
        <v>19682</v>
      </c>
    </row>
    <row r="2871" spans="1:9" x14ac:dyDescent="0.25">
      <c r="A2871" s="242">
        <v>42908</v>
      </c>
      <c r="B2871" s="18">
        <v>116972</v>
      </c>
      <c r="C2871" s="235" t="s">
        <v>19677</v>
      </c>
      <c r="D2871" s="236" t="s">
        <v>15324</v>
      </c>
      <c r="E2871" s="15">
        <v>1780.5</v>
      </c>
      <c r="F2871" s="237">
        <v>42908</v>
      </c>
      <c r="G2871" s="15">
        <v>1780.5</v>
      </c>
      <c r="H2871" s="15">
        <f t="shared" si="44"/>
        <v>0</v>
      </c>
      <c r="I2871" s="236" t="s">
        <v>19682</v>
      </c>
    </row>
    <row r="2872" spans="1:9" x14ac:dyDescent="0.25">
      <c r="A2872" s="36">
        <v>42908</v>
      </c>
      <c r="B2872" s="18">
        <v>116973</v>
      </c>
      <c r="C2872" s="235" t="s">
        <v>19677</v>
      </c>
      <c r="D2872" s="236" t="s">
        <v>15246</v>
      </c>
      <c r="E2872" s="15">
        <v>50334.879999999997</v>
      </c>
      <c r="F2872" s="237">
        <v>42910</v>
      </c>
      <c r="G2872" s="15">
        <v>50334.879999999997</v>
      </c>
      <c r="H2872" s="15">
        <f t="shared" si="44"/>
        <v>0</v>
      </c>
      <c r="I2872" s="236" t="s">
        <v>19682</v>
      </c>
    </row>
    <row r="2873" spans="1:9" x14ac:dyDescent="0.25">
      <c r="A2873" s="242">
        <v>42908</v>
      </c>
      <c r="B2873" s="18">
        <v>116974</v>
      </c>
      <c r="C2873" s="235" t="s">
        <v>19677</v>
      </c>
      <c r="D2873" s="236" t="s">
        <v>15562</v>
      </c>
      <c r="E2873" s="15">
        <v>3228.3</v>
      </c>
      <c r="F2873" s="237">
        <v>42908</v>
      </c>
      <c r="G2873" s="15">
        <v>3228.3</v>
      </c>
      <c r="H2873" s="15">
        <f t="shared" si="44"/>
        <v>0</v>
      </c>
      <c r="I2873" s="236" t="s">
        <v>19682</v>
      </c>
    </row>
    <row r="2874" spans="1:9" x14ac:dyDescent="0.25">
      <c r="A2874" s="36">
        <v>42908</v>
      </c>
      <c r="B2874" s="18">
        <v>116975</v>
      </c>
      <c r="C2874" s="235" t="s">
        <v>19677</v>
      </c>
      <c r="D2874" s="236" t="s">
        <v>15250</v>
      </c>
      <c r="E2874" s="15">
        <v>37049.21</v>
      </c>
      <c r="F2874" s="237">
        <v>42915</v>
      </c>
      <c r="G2874" s="15">
        <v>37049.21</v>
      </c>
      <c r="H2874" s="15">
        <f t="shared" si="44"/>
        <v>0</v>
      </c>
      <c r="I2874" s="236" t="s">
        <v>19682</v>
      </c>
    </row>
    <row r="2875" spans="1:9" x14ac:dyDescent="0.25">
      <c r="A2875" s="242">
        <v>42908</v>
      </c>
      <c r="B2875" s="18">
        <v>116976</v>
      </c>
      <c r="C2875" s="235" t="s">
        <v>19677</v>
      </c>
      <c r="D2875" s="236" t="s">
        <v>15442</v>
      </c>
      <c r="E2875" s="15">
        <v>13775.3</v>
      </c>
      <c r="F2875" s="237">
        <v>42917</v>
      </c>
      <c r="G2875" s="15">
        <v>13775.3</v>
      </c>
      <c r="H2875" s="15">
        <f t="shared" si="44"/>
        <v>0</v>
      </c>
      <c r="I2875" s="236" t="s">
        <v>19682</v>
      </c>
    </row>
    <row r="2876" spans="1:9" x14ac:dyDescent="0.25">
      <c r="A2876" s="36">
        <v>42908</v>
      </c>
      <c r="B2876" s="18">
        <v>116977</v>
      </c>
      <c r="C2876" s="235" t="s">
        <v>19677</v>
      </c>
      <c r="D2876" s="236" t="s">
        <v>15278</v>
      </c>
      <c r="E2876" s="15">
        <v>1843.5</v>
      </c>
      <c r="F2876" s="237">
        <v>42908</v>
      </c>
      <c r="G2876" s="15">
        <v>1843.5</v>
      </c>
      <c r="H2876" s="15">
        <f t="shared" si="44"/>
        <v>0</v>
      </c>
      <c r="I2876" s="236" t="s">
        <v>19682</v>
      </c>
    </row>
    <row r="2877" spans="1:9" x14ac:dyDescent="0.25">
      <c r="A2877" s="242">
        <v>42908</v>
      </c>
      <c r="B2877" s="18">
        <v>116978</v>
      </c>
      <c r="C2877" s="235" t="s">
        <v>19677</v>
      </c>
      <c r="D2877" s="236" t="s">
        <v>15282</v>
      </c>
      <c r="E2877" s="15">
        <v>2326.5</v>
      </c>
      <c r="F2877" s="237">
        <v>42908</v>
      </c>
      <c r="G2877" s="15">
        <v>2326.5</v>
      </c>
      <c r="H2877" s="15">
        <f t="shared" si="44"/>
        <v>0</v>
      </c>
      <c r="I2877" s="236" t="s">
        <v>19682</v>
      </c>
    </row>
    <row r="2878" spans="1:9" x14ac:dyDescent="0.25">
      <c r="A2878" s="36">
        <v>42908</v>
      </c>
      <c r="B2878" s="18">
        <v>116979</v>
      </c>
      <c r="C2878" s="235" t="s">
        <v>19677</v>
      </c>
      <c r="D2878" s="236" t="s">
        <v>15280</v>
      </c>
      <c r="E2878" s="15">
        <v>6042</v>
      </c>
      <c r="F2878" s="237">
        <v>42908</v>
      </c>
      <c r="G2878" s="15">
        <v>6042</v>
      </c>
      <c r="H2878" s="15">
        <f t="shared" si="44"/>
        <v>0</v>
      </c>
      <c r="I2878" s="236" t="s">
        <v>19682</v>
      </c>
    </row>
    <row r="2879" spans="1:9" x14ac:dyDescent="0.25">
      <c r="A2879" s="242">
        <v>42908</v>
      </c>
      <c r="B2879" s="18">
        <v>116980</v>
      </c>
      <c r="C2879" s="235" t="s">
        <v>19677</v>
      </c>
      <c r="D2879" s="236" t="s">
        <v>15226</v>
      </c>
      <c r="E2879" s="15">
        <v>1899.5</v>
      </c>
      <c r="F2879" s="237">
        <v>42916</v>
      </c>
      <c r="G2879" s="15">
        <v>1899.5</v>
      </c>
      <c r="H2879" s="15">
        <f t="shared" si="44"/>
        <v>0</v>
      </c>
      <c r="I2879" s="236" t="s">
        <v>19682</v>
      </c>
    </row>
    <row r="2880" spans="1:9" x14ac:dyDescent="0.25">
      <c r="A2880" s="36">
        <v>42908</v>
      </c>
      <c r="B2880" s="18">
        <v>116981</v>
      </c>
      <c r="C2880" s="235" t="s">
        <v>19677</v>
      </c>
      <c r="D2880" s="236" t="s">
        <v>16171</v>
      </c>
      <c r="E2880" s="15">
        <v>1089.5999999999999</v>
      </c>
      <c r="F2880" s="237">
        <v>42908</v>
      </c>
      <c r="G2880" s="15">
        <v>1089.5999999999999</v>
      </c>
      <c r="H2880" s="15">
        <f t="shared" si="44"/>
        <v>0</v>
      </c>
      <c r="I2880" s="236" t="s">
        <v>19682</v>
      </c>
    </row>
    <row r="2881" spans="1:9" x14ac:dyDescent="0.25">
      <c r="A2881" s="242">
        <v>42908</v>
      </c>
      <c r="B2881" s="18">
        <v>116982</v>
      </c>
      <c r="C2881" s="235" t="s">
        <v>19677</v>
      </c>
      <c r="D2881" s="236" t="s">
        <v>15858</v>
      </c>
      <c r="E2881" s="15">
        <v>5448</v>
      </c>
      <c r="F2881" s="237">
        <v>42908</v>
      </c>
      <c r="G2881" s="15">
        <v>5448</v>
      </c>
      <c r="H2881" s="15">
        <f t="shared" si="44"/>
        <v>0</v>
      </c>
      <c r="I2881" s="236" t="s">
        <v>19682</v>
      </c>
    </row>
    <row r="2882" spans="1:9" ht="15.75" x14ac:dyDescent="0.25">
      <c r="A2882" s="36">
        <v>42908</v>
      </c>
      <c r="B2882" s="18">
        <v>116983</v>
      </c>
      <c r="C2882" s="235" t="s">
        <v>19677</v>
      </c>
      <c r="D2882" s="248" t="s">
        <v>95</v>
      </c>
      <c r="E2882" s="15">
        <v>0</v>
      </c>
      <c r="F2882" s="243" t="s">
        <v>95</v>
      </c>
      <c r="G2882" s="15">
        <v>0</v>
      </c>
      <c r="H2882" s="15">
        <f t="shared" ref="H2882:H2945" si="45">E2882-G2882</f>
        <v>0</v>
      </c>
      <c r="I2882" s="236" t="s">
        <v>19678</v>
      </c>
    </row>
    <row r="2883" spans="1:9" x14ac:dyDescent="0.25">
      <c r="A2883" s="242">
        <v>42908</v>
      </c>
      <c r="B2883" s="18">
        <v>116984</v>
      </c>
      <c r="C2883" s="235" t="s">
        <v>19677</v>
      </c>
      <c r="D2883" s="236" t="s">
        <v>15523</v>
      </c>
      <c r="E2883" s="15">
        <v>1645</v>
      </c>
      <c r="F2883" s="237">
        <v>42908</v>
      </c>
      <c r="G2883" s="15">
        <v>1645</v>
      </c>
      <c r="H2883" s="15">
        <f t="shared" si="45"/>
        <v>0</v>
      </c>
      <c r="I2883" s="236" t="s">
        <v>19682</v>
      </c>
    </row>
    <row r="2884" spans="1:9" x14ac:dyDescent="0.25">
      <c r="A2884" s="36">
        <v>42908</v>
      </c>
      <c r="B2884" s="18">
        <v>116985</v>
      </c>
      <c r="C2884" s="235" t="s">
        <v>19677</v>
      </c>
      <c r="D2884" s="236" t="s">
        <v>15398</v>
      </c>
      <c r="E2884" s="15">
        <v>3296.65</v>
      </c>
      <c r="F2884" s="237">
        <v>42908</v>
      </c>
      <c r="G2884" s="15">
        <v>3296.65</v>
      </c>
      <c r="H2884" s="15">
        <f t="shared" si="45"/>
        <v>0</v>
      </c>
      <c r="I2884" s="236" t="s">
        <v>19682</v>
      </c>
    </row>
    <row r="2885" spans="1:9" x14ac:dyDescent="0.25">
      <c r="A2885" s="242">
        <v>42908</v>
      </c>
      <c r="B2885" s="18">
        <v>116986</v>
      </c>
      <c r="C2885" s="235" t="s">
        <v>19677</v>
      </c>
      <c r="D2885" s="236" t="s">
        <v>16306</v>
      </c>
      <c r="E2885" s="15">
        <v>28289.1</v>
      </c>
      <c r="F2885" s="237">
        <v>42908</v>
      </c>
      <c r="G2885" s="15">
        <v>28289.1</v>
      </c>
      <c r="H2885" s="15">
        <f t="shared" si="45"/>
        <v>0</v>
      </c>
      <c r="I2885" s="236" t="s">
        <v>19682</v>
      </c>
    </row>
    <row r="2886" spans="1:9" x14ac:dyDescent="0.25">
      <c r="A2886" s="36">
        <v>42908</v>
      </c>
      <c r="B2886" s="18">
        <v>116987</v>
      </c>
      <c r="C2886" s="235" t="s">
        <v>19677</v>
      </c>
      <c r="D2886" s="236" t="s">
        <v>15890</v>
      </c>
      <c r="E2886" s="15">
        <v>13659.6</v>
      </c>
      <c r="F2886" s="237">
        <v>42916</v>
      </c>
      <c r="G2886" s="15">
        <v>13659.6</v>
      </c>
      <c r="H2886" s="15">
        <f t="shared" si="45"/>
        <v>0</v>
      </c>
      <c r="I2886" s="236" t="s">
        <v>19682</v>
      </c>
    </row>
    <row r="2887" spans="1:9" x14ac:dyDescent="0.25">
      <c r="A2887" s="242">
        <v>42908</v>
      </c>
      <c r="B2887" s="18">
        <v>116988</v>
      </c>
      <c r="C2887" s="235" t="s">
        <v>19677</v>
      </c>
      <c r="D2887" s="236" t="s">
        <v>15265</v>
      </c>
      <c r="E2887" s="15">
        <v>2542.6999999999998</v>
      </c>
      <c r="F2887" s="237">
        <v>42908</v>
      </c>
      <c r="G2887" s="15">
        <v>2542.6999999999998</v>
      </c>
      <c r="H2887" s="15">
        <f t="shared" si="45"/>
        <v>0</v>
      </c>
      <c r="I2887" s="236" t="s">
        <v>19682</v>
      </c>
    </row>
    <row r="2888" spans="1:9" x14ac:dyDescent="0.25">
      <c r="A2888" s="36">
        <v>42908</v>
      </c>
      <c r="B2888" s="18">
        <v>116989</v>
      </c>
      <c r="C2888" s="235" t="s">
        <v>19677</v>
      </c>
      <c r="D2888" s="236" t="s">
        <v>15442</v>
      </c>
      <c r="E2888" s="15">
        <v>12900</v>
      </c>
      <c r="F2888" s="237">
        <v>42917</v>
      </c>
      <c r="G2888" s="15">
        <v>12900</v>
      </c>
      <c r="H2888" s="15">
        <f t="shared" si="45"/>
        <v>0</v>
      </c>
      <c r="I2888" s="236" t="s">
        <v>19682</v>
      </c>
    </row>
    <row r="2889" spans="1:9" x14ac:dyDescent="0.25">
      <c r="A2889" s="242">
        <v>42908</v>
      </c>
      <c r="B2889" s="18">
        <v>116990</v>
      </c>
      <c r="C2889" s="235" t="s">
        <v>19677</v>
      </c>
      <c r="D2889" s="236" t="s">
        <v>15272</v>
      </c>
      <c r="E2889" s="15">
        <v>11054.8</v>
      </c>
      <c r="F2889" s="237">
        <v>42908</v>
      </c>
      <c r="G2889" s="15">
        <v>11054.8</v>
      </c>
      <c r="H2889" s="15">
        <f t="shared" si="45"/>
        <v>0</v>
      </c>
      <c r="I2889" s="236" t="s">
        <v>19682</v>
      </c>
    </row>
    <row r="2890" spans="1:9" x14ac:dyDescent="0.25">
      <c r="A2890" s="36">
        <v>42908</v>
      </c>
      <c r="B2890" s="18">
        <v>116991</v>
      </c>
      <c r="C2890" s="235" t="s">
        <v>19677</v>
      </c>
      <c r="D2890" s="236" t="s">
        <v>16484</v>
      </c>
      <c r="E2890" s="15">
        <v>823.2</v>
      </c>
      <c r="F2890" s="237">
        <v>42908</v>
      </c>
      <c r="G2890" s="15">
        <v>823.2</v>
      </c>
      <c r="H2890" s="15">
        <f t="shared" si="45"/>
        <v>0</v>
      </c>
      <c r="I2890" s="236" t="s">
        <v>19682</v>
      </c>
    </row>
    <row r="2891" spans="1:9" x14ac:dyDescent="0.25">
      <c r="A2891" s="242">
        <v>42908</v>
      </c>
      <c r="B2891" s="18">
        <v>116992</v>
      </c>
      <c r="C2891" s="235" t="s">
        <v>19677</v>
      </c>
      <c r="D2891" s="236" t="s">
        <v>15296</v>
      </c>
      <c r="E2891" s="15">
        <v>17050.099999999999</v>
      </c>
      <c r="F2891" s="237">
        <v>42922</v>
      </c>
      <c r="G2891" s="15">
        <v>17050.099999999999</v>
      </c>
      <c r="H2891" s="15">
        <f t="shared" si="45"/>
        <v>0</v>
      </c>
      <c r="I2891" s="236" t="s">
        <v>19682</v>
      </c>
    </row>
    <row r="2892" spans="1:9" x14ac:dyDescent="0.25">
      <c r="A2892" s="36">
        <v>42908</v>
      </c>
      <c r="B2892" s="18">
        <v>116993</v>
      </c>
      <c r="C2892" s="235" t="s">
        <v>19677</v>
      </c>
      <c r="D2892" s="236" t="s">
        <v>15334</v>
      </c>
      <c r="E2892" s="15">
        <v>1954</v>
      </c>
      <c r="F2892" s="237">
        <v>42908</v>
      </c>
      <c r="G2892" s="15">
        <v>1954</v>
      </c>
      <c r="H2892" s="15">
        <f t="shared" si="45"/>
        <v>0</v>
      </c>
      <c r="I2892" s="236" t="s">
        <v>19682</v>
      </c>
    </row>
    <row r="2893" spans="1:9" x14ac:dyDescent="0.25">
      <c r="A2893" s="242">
        <v>42908</v>
      </c>
      <c r="B2893" s="18">
        <v>116994</v>
      </c>
      <c r="C2893" s="235" t="s">
        <v>19677</v>
      </c>
      <c r="D2893" s="236" t="s">
        <v>15590</v>
      </c>
      <c r="E2893" s="15">
        <v>31302</v>
      </c>
      <c r="F2893" s="237">
        <v>42915</v>
      </c>
      <c r="G2893" s="15">
        <v>31302</v>
      </c>
      <c r="H2893" s="15">
        <f t="shared" si="45"/>
        <v>0</v>
      </c>
      <c r="I2893" s="236" t="s">
        <v>19682</v>
      </c>
    </row>
    <row r="2894" spans="1:9" x14ac:dyDescent="0.25">
      <c r="A2894" s="36">
        <v>42908</v>
      </c>
      <c r="B2894" s="18">
        <v>116995</v>
      </c>
      <c r="C2894" s="235" t="s">
        <v>19677</v>
      </c>
      <c r="D2894" s="236" t="s">
        <v>15326</v>
      </c>
      <c r="E2894" s="15">
        <v>156.4</v>
      </c>
      <c r="F2894" s="237">
        <v>42908</v>
      </c>
      <c r="G2894" s="15">
        <v>156.4</v>
      </c>
      <c r="H2894" s="15">
        <f t="shared" si="45"/>
        <v>0</v>
      </c>
      <c r="I2894" s="236" t="s">
        <v>19682</v>
      </c>
    </row>
    <row r="2895" spans="1:9" x14ac:dyDescent="0.25">
      <c r="A2895" s="242">
        <v>42908</v>
      </c>
      <c r="B2895" s="18">
        <v>116996</v>
      </c>
      <c r="C2895" s="235" t="s">
        <v>19677</v>
      </c>
      <c r="D2895" s="236" t="s">
        <v>15332</v>
      </c>
      <c r="E2895" s="15">
        <v>127.2</v>
      </c>
      <c r="F2895" s="237">
        <v>42908</v>
      </c>
      <c r="G2895" s="15">
        <v>127.2</v>
      </c>
      <c r="H2895" s="15">
        <f t="shared" si="45"/>
        <v>0</v>
      </c>
      <c r="I2895" s="236" t="s">
        <v>19682</v>
      </c>
    </row>
    <row r="2896" spans="1:9" x14ac:dyDescent="0.25">
      <c r="A2896" s="36">
        <v>42908</v>
      </c>
      <c r="B2896" s="18">
        <v>116997</v>
      </c>
      <c r="C2896" s="235" t="s">
        <v>19677</v>
      </c>
      <c r="D2896" s="236" t="s">
        <v>16116</v>
      </c>
      <c r="E2896" s="15">
        <v>21364.48</v>
      </c>
      <c r="F2896" s="237">
        <v>42908</v>
      </c>
      <c r="G2896" s="15">
        <v>21364.48</v>
      </c>
      <c r="H2896" s="15">
        <f t="shared" si="45"/>
        <v>0</v>
      </c>
      <c r="I2896" s="236" t="s">
        <v>19682</v>
      </c>
    </row>
    <row r="2897" spans="1:9" x14ac:dyDescent="0.25">
      <c r="A2897" s="242">
        <v>42908</v>
      </c>
      <c r="B2897" s="18">
        <v>116998</v>
      </c>
      <c r="C2897" s="235" t="s">
        <v>19677</v>
      </c>
      <c r="D2897" s="236" t="s">
        <v>15315</v>
      </c>
      <c r="E2897" s="15">
        <v>2978</v>
      </c>
      <c r="F2897" s="237">
        <v>42908</v>
      </c>
      <c r="G2897" s="15">
        <v>2978</v>
      </c>
      <c r="H2897" s="15">
        <f t="shared" si="45"/>
        <v>0</v>
      </c>
      <c r="I2897" s="236" t="s">
        <v>19682</v>
      </c>
    </row>
    <row r="2898" spans="1:9" x14ac:dyDescent="0.25">
      <c r="A2898" s="36">
        <v>42908</v>
      </c>
      <c r="B2898" s="18">
        <v>116999</v>
      </c>
      <c r="C2898" s="235" t="s">
        <v>19677</v>
      </c>
      <c r="D2898" s="236" t="s">
        <v>15336</v>
      </c>
      <c r="E2898" s="15">
        <v>7396.8</v>
      </c>
      <c r="F2898" s="237">
        <v>42908</v>
      </c>
      <c r="G2898" s="15">
        <v>7396.8</v>
      </c>
      <c r="H2898" s="15">
        <f t="shared" si="45"/>
        <v>0</v>
      </c>
      <c r="I2898" s="236" t="s">
        <v>19682</v>
      </c>
    </row>
    <row r="2899" spans="1:9" x14ac:dyDescent="0.25">
      <c r="A2899" s="242">
        <v>42908</v>
      </c>
      <c r="B2899" s="18">
        <v>117000</v>
      </c>
      <c r="C2899" s="235" t="s">
        <v>19677</v>
      </c>
      <c r="D2899" s="236" t="s">
        <v>15358</v>
      </c>
      <c r="E2899" s="15">
        <v>2093</v>
      </c>
      <c r="F2899" s="237">
        <v>42908</v>
      </c>
      <c r="G2899" s="15">
        <v>2093</v>
      </c>
      <c r="H2899" s="15">
        <f t="shared" si="45"/>
        <v>0</v>
      </c>
      <c r="I2899" s="236" t="s">
        <v>19682</v>
      </c>
    </row>
    <row r="2900" spans="1:9" ht="15.75" x14ac:dyDescent="0.25">
      <c r="A2900" s="36">
        <v>42908</v>
      </c>
      <c r="B2900" s="18">
        <v>117001</v>
      </c>
      <c r="C2900" s="235" t="s">
        <v>19677</v>
      </c>
      <c r="D2900" s="248" t="s">
        <v>95</v>
      </c>
      <c r="E2900" s="15">
        <v>0</v>
      </c>
      <c r="F2900" s="243" t="s">
        <v>95</v>
      </c>
      <c r="G2900" s="15">
        <v>0</v>
      </c>
      <c r="H2900" s="15">
        <f t="shared" si="45"/>
        <v>0</v>
      </c>
      <c r="I2900" s="236" t="s">
        <v>19678</v>
      </c>
    </row>
    <row r="2901" spans="1:9" x14ac:dyDescent="0.25">
      <c r="A2901" s="242">
        <v>42908</v>
      </c>
      <c r="B2901" s="18">
        <v>117002</v>
      </c>
      <c r="C2901" s="235" t="s">
        <v>19677</v>
      </c>
      <c r="D2901" s="236" t="s">
        <v>17800</v>
      </c>
      <c r="E2901" s="15">
        <v>3341.1</v>
      </c>
      <c r="F2901" s="237">
        <v>42909</v>
      </c>
      <c r="G2901" s="15">
        <v>3341.1</v>
      </c>
      <c r="H2901" s="15">
        <f t="shared" si="45"/>
        <v>0</v>
      </c>
      <c r="I2901" s="236" t="s">
        <v>19682</v>
      </c>
    </row>
    <row r="2902" spans="1:9" x14ac:dyDescent="0.25">
      <c r="A2902" s="36">
        <v>42908</v>
      </c>
      <c r="B2902" s="18">
        <v>117003</v>
      </c>
      <c r="C2902" s="235" t="s">
        <v>19677</v>
      </c>
      <c r="D2902" s="236" t="s">
        <v>16116</v>
      </c>
      <c r="E2902" s="15">
        <v>5078.3999999999996</v>
      </c>
      <c r="F2902" s="237">
        <v>42908</v>
      </c>
      <c r="G2902" s="15">
        <v>5078.3999999999996</v>
      </c>
      <c r="H2902" s="15">
        <f t="shared" si="45"/>
        <v>0</v>
      </c>
      <c r="I2902" s="236" t="s">
        <v>19682</v>
      </c>
    </row>
    <row r="2903" spans="1:9" x14ac:dyDescent="0.25">
      <c r="A2903" s="242">
        <v>42908</v>
      </c>
      <c r="B2903" s="18">
        <v>117004</v>
      </c>
      <c r="C2903" s="235" t="s">
        <v>19677</v>
      </c>
      <c r="D2903" s="236" t="s">
        <v>15291</v>
      </c>
      <c r="E2903" s="15">
        <v>846</v>
      </c>
      <c r="F2903" s="237">
        <v>42909</v>
      </c>
      <c r="G2903" s="15">
        <v>846</v>
      </c>
      <c r="H2903" s="15">
        <f t="shared" si="45"/>
        <v>0</v>
      </c>
      <c r="I2903" s="236" t="s">
        <v>19682</v>
      </c>
    </row>
    <row r="2904" spans="1:9" x14ac:dyDescent="0.25">
      <c r="A2904" s="36">
        <v>42908</v>
      </c>
      <c r="B2904" s="18">
        <v>117005</v>
      </c>
      <c r="C2904" s="235" t="s">
        <v>19677</v>
      </c>
      <c r="D2904" s="236" t="s">
        <v>15307</v>
      </c>
      <c r="E2904" s="15">
        <v>370</v>
      </c>
      <c r="F2904" s="237">
        <v>42909</v>
      </c>
      <c r="G2904" s="15">
        <v>370</v>
      </c>
      <c r="H2904" s="15">
        <f t="shared" si="45"/>
        <v>0</v>
      </c>
      <c r="I2904" s="236" t="s">
        <v>19682</v>
      </c>
    </row>
    <row r="2905" spans="1:9" x14ac:dyDescent="0.25">
      <c r="A2905" s="242">
        <v>42908</v>
      </c>
      <c r="B2905" s="18">
        <v>117006</v>
      </c>
      <c r="C2905" s="235" t="s">
        <v>19677</v>
      </c>
      <c r="D2905" s="236" t="s">
        <v>15315</v>
      </c>
      <c r="E2905" s="15">
        <v>4700</v>
      </c>
      <c r="F2905" s="237">
        <v>42909</v>
      </c>
      <c r="G2905" s="15">
        <v>4700</v>
      </c>
      <c r="H2905" s="15">
        <f t="shared" si="45"/>
        <v>0</v>
      </c>
      <c r="I2905" s="236" t="s">
        <v>19682</v>
      </c>
    </row>
    <row r="2906" spans="1:9" x14ac:dyDescent="0.25">
      <c r="A2906" s="36">
        <v>42908</v>
      </c>
      <c r="B2906" s="18">
        <v>117007</v>
      </c>
      <c r="C2906" s="235" t="s">
        <v>19677</v>
      </c>
      <c r="D2906" s="236" t="s">
        <v>15835</v>
      </c>
      <c r="E2906" s="15">
        <v>13370.2</v>
      </c>
      <c r="F2906" s="237">
        <v>42909</v>
      </c>
      <c r="G2906" s="15">
        <v>13370.2</v>
      </c>
      <c r="H2906" s="15">
        <f t="shared" si="45"/>
        <v>0</v>
      </c>
      <c r="I2906" s="236" t="s">
        <v>19682</v>
      </c>
    </row>
    <row r="2907" spans="1:9" x14ac:dyDescent="0.25">
      <c r="A2907" s="242">
        <v>42908</v>
      </c>
      <c r="B2907" s="18">
        <v>117008</v>
      </c>
      <c r="C2907" s="235" t="s">
        <v>19677</v>
      </c>
      <c r="D2907" s="236" t="s">
        <v>15276</v>
      </c>
      <c r="E2907" s="15">
        <v>2350</v>
      </c>
      <c r="F2907" s="237">
        <v>42909</v>
      </c>
      <c r="G2907" s="15">
        <v>2350</v>
      </c>
      <c r="H2907" s="15">
        <f t="shared" si="45"/>
        <v>0</v>
      </c>
      <c r="I2907" s="236" t="s">
        <v>19682</v>
      </c>
    </row>
    <row r="2908" spans="1:9" x14ac:dyDescent="0.25">
      <c r="A2908" s="36">
        <v>42908</v>
      </c>
      <c r="B2908" s="18">
        <v>117009</v>
      </c>
      <c r="C2908" s="235" t="s">
        <v>19677</v>
      </c>
      <c r="D2908" s="236" t="s">
        <v>16171</v>
      </c>
      <c r="E2908" s="15">
        <v>291.2</v>
      </c>
      <c r="F2908" s="237">
        <v>42908</v>
      </c>
      <c r="G2908" s="15">
        <v>291.2</v>
      </c>
      <c r="H2908" s="15">
        <f t="shared" si="45"/>
        <v>0</v>
      </c>
      <c r="I2908" s="236" t="s">
        <v>19682</v>
      </c>
    </row>
    <row r="2909" spans="1:9" x14ac:dyDescent="0.25">
      <c r="A2909" s="242">
        <v>42908</v>
      </c>
      <c r="B2909" s="18">
        <v>117010</v>
      </c>
      <c r="C2909" s="235" t="s">
        <v>19677</v>
      </c>
      <c r="D2909" s="236" t="s">
        <v>15311</v>
      </c>
      <c r="E2909" s="15">
        <v>2141.1999999999998</v>
      </c>
      <c r="F2909" s="237">
        <v>42909</v>
      </c>
      <c r="G2909" s="15">
        <v>2141.1999999999998</v>
      </c>
      <c r="H2909" s="15">
        <f t="shared" si="45"/>
        <v>0</v>
      </c>
      <c r="I2909" s="236" t="s">
        <v>19682</v>
      </c>
    </row>
    <row r="2910" spans="1:9" x14ac:dyDescent="0.25">
      <c r="A2910" s="36">
        <v>42908</v>
      </c>
      <c r="B2910" s="18">
        <v>117011</v>
      </c>
      <c r="C2910" s="235" t="s">
        <v>19677</v>
      </c>
      <c r="D2910" s="236" t="s">
        <v>15415</v>
      </c>
      <c r="E2910" s="15">
        <v>3420</v>
      </c>
      <c r="F2910" s="237">
        <v>42915</v>
      </c>
      <c r="G2910" s="15">
        <v>3420</v>
      </c>
      <c r="H2910" s="15">
        <f t="shared" si="45"/>
        <v>0</v>
      </c>
      <c r="I2910" s="236" t="s">
        <v>19682</v>
      </c>
    </row>
    <row r="2911" spans="1:9" x14ac:dyDescent="0.25">
      <c r="A2911" s="242">
        <v>42908</v>
      </c>
      <c r="B2911" s="18">
        <v>117012</v>
      </c>
      <c r="C2911" s="235" t="s">
        <v>19677</v>
      </c>
      <c r="D2911" s="236" t="s">
        <v>15415</v>
      </c>
      <c r="E2911" s="15">
        <v>965</v>
      </c>
      <c r="F2911" s="237">
        <v>42915</v>
      </c>
      <c r="G2911" s="15">
        <v>965</v>
      </c>
      <c r="H2911" s="15">
        <f t="shared" si="45"/>
        <v>0</v>
      </c>
      <c r="I2911" s="236" t="s">
        <v>19682</v>
      </c>
    </row>
    <row r="2912" spans="1:9" x14ac:dyDescent="0.25">
      <c r="A2912" s="36">
        <v>42908</v>
      </c>
      <c r="B2912" s="18">
        <v>117013</v>
      </c>
      <c r="C2912" s="235" t="s">
        <v>19677</v>
      </c>
      <c r="D2912" s="236" t="s">
        <v>15417</v>
      </c>
      <c r="E2912" s="15">
        <v>1968.8</v>
      </c>
      <c r="F2912" s="237">
        <v>42909</v>
      </c>
      <c r="G2912" s="15">
        <v>1968.8</v>
      </c>
      <c r="H2912" s="15">
        <f t="shared" si="45"/>
        <v>0</v>
      </c>
      <c r="I2912" s="236" t="s">
        <v>19682</v>
      </c>
    </row>
    <row r="2913" spans="1:9" x14ac:dyDescent="0.25">
      <c r="A2913" s="242">
        <v>42908</v>
      </c>
      <c r="B2913" s="18">
        <v>117014</v>
      </c>
      <c r="C2913" s="235" t="s">
        <v>19677</v>
      </c>
      <c r="D2913" s="236" t="s">
        <v>15526</v>
      </c>
      <c r="E2913" s="15">
        <v>3326.4</v>
      </c>
      <c r="F2913" s="237">
        <v>42908</v>
      </c>
      <c r="G2913" s="15">
        <v>3326.4</v>
      </c>
      <c r="H2913" s="15">
        <f t="shared" si="45"/>
        <v>0</v>
      </c>
      <c r="I2913" s="236" t="s">
        <v>19682</v>
      </c>
    </row>
    <row r="2914" spans="1:9" x14ac:dyDescent="0.25">
      <c r="A2914" s="36">
        <v>42908</v>
      </c>
      <c r="B2914" s="18">
        <v>117015</v>
      </c>
      <c r="C2914" s="235" t="s">
        <v>19677</v>
      </c>
      <c r="D2914" s="236" t="s">
        <v>15344</v>
      </c>
      <c r="E2914" s="15">
        <v>2275.1999999999998</v>
      </c>
      <c r="F2914" s="237">
        <v>42908</v>
      </c>
      <c r="G2914" s="15">
        <v>2275.1999999999998</v>
      </c>
      <c r="H2914" s="15">
        <f t="shared" si="45"/>
        <v>0</v>
      </c>
      <c r="I2914" s="236" t="s">
        <v>19682</v>
      </c>
    </row>
    <row r="2915" spans="1:9" x14ac:dyDescent="0.25">
      <c r="A2915" s="242">
        <v>42908</v>
      </c>
      <c r="B2915" s="18">
        <v>117016</v>
      </c>
      <c r="C2915" s="235" t="s">
        <v>19677</v>
      </c>
      <c r="D2915" s="236" t="s">
        <v>15930</v>
      </c>
      <c r="E2915" s="15">
        <v>10189.799999999999</v>
      </c>
      <c r="F2915" s="237">
        <v>42909</v>
      </c>
      <c r="G2915" s="15">
        <v>10189.799999999999</v>
      </c>
      <c r="H2915" s="15">
        <f t="shared" si="45"/>
        <v>0</v>
      </c>
      <c r="I2915" s="236" t="s">
        <v>19682</v>
      </c>
    </row>
    <row r="2916" spans="1:9" x14ac:dyDescent="0.25">
      <c r="A2916" s="36">
        <v>42908</v>
      </c>
      <c r="B2916" s="18">
        <v>117017</v>
      </c>
      <c r="C2916" s="235" t="s">
        <v>19677</v>
      </c>
      <c r="D2916" s="236" t="s">
        <v>15600</v>
      </c>
      <c r="E2916" s="15">
        <v>9460.1</v>
      </c>
      <c r="F2916" s="237">
        <v>42909</v>
      </c>
      <c r="G2916" s="15">
        <v>9460.1</v>
      </c>
      <c r="H2916" s="15">
        <f t="shared" si="45"/>
        <v>0</v>
      </c>
      <c r="I2916" s="236" t="s">
        <v>19682</v>
      </c>
    </row>
    <row r="2917" spans="1:9" x14ac:dyDescent="0.25">
      <c r="A2917" s="242">
        <v>42908</v>
      </c>
      <c r="B2917" s="18">
        <v>117018</v>
      </c>
      <c r="C2917" s="235" t="s">
        <v>19677</v>
      </c>
      <c r="D2917" s="236" t="s">
        <v>15298</v>
      </c>
      <c r="E2917" s="15">
        <v>20057.099999999999</v>
      </c>
      <c r="F2917" s="237">
        <v>42915</v>
      </c>
      <c r="G2917" s="15">
        <v>20057.099999999999</v>
      </c>
      <c r="H2917" s="15">
        <f t="shared" si="45"/>
        <v>0</v>
      </c>
      <c r="I2917" s="236" t="s">
        <v>19682</v>
      </c>
    </row>
    <row r="2918" spans="1:9" x14ac:dyDescent="0.25">
      <c r="A2918" s="36">
        <v>42908</v>
      </c>
      <c r="B2918" s="18">
        <v>117019</v>
      </c>
      <c r="C2918" s="235" t="s">
        <v>19677</v>
      </c>
      <c r="D2918" s="236" t="s">
        <v>15328</v>
      </c>
      <c r="E2918" s="15">
        <v>28295.82</v>
      </c>
      <c r="F2918" s="237">
        <v>42915</v>
      </c>
      <c r="G2918" s="15">
        <v>28295.82</v>
      </c>
      <c r="H2918" s="15">
        <f t="shared" si="45"/>
        <v>0</v>
      </c>
      <c r="I2918" s="236" t="s">
        <v>19682</v>
      </c>
    </row>
    <row r="2919" spans="1:9" x14ac:dyDescent="0.25">
      <c r="A2919" s="242">
        <v>42908</v>
      </c>
      <c r="B2919" s="18">
        <v>117020</v>
      </c>
      <c r="C2919" s="235" t="s">
        <v>19677</v>
      </c>
      <c r="D2919" s="236" t="s">
        <v>15328</v>
      </c>
      <c r="E2919" s="15">
        <v>17916.599999999999</v>
      </c>
      <c r="F2919" s="237">
        <v>42915</v>
      </c>
      <c r="G2919" s="15">
        <v>17916.599999999999</v>
      </c>
      <c r="H2919" s="15">
        <f t="shared" si="45"/>
        <v>0</v>
      </c>
      <c r="I2919" s="236" t="s">
        <v>19682</v>
      </c>
    </row>
    <row r="2920" spans="1:9" x14ac:dyDescent="0.25">
      <c r="A2920" s="36">
        <v>42908</v>
      </c>
      <c r="B2920" s="18">
        <v>117021</v>
      </c>
      <c r="C2920" s="235" t="s">
        <v>19677</v>
      </c>
      <c r="D2920" s="236" t="s">
        <v>15861</v>
      </c>
      <c r="E2920" s="15">
        <v>1340</v>
      </c>
      <c r="F2920" s="237">
        <v>42908</v>
      </c>
      <c r="G2920" s="15">
        <v>1340</v>
      </c>
      <c r="H2920" s="15">
        <f t="shared" si="45"/>
        <v>0</v>
      </c>
      <c r="I2920" s="236" t="s">
        <v>19682</v>
      </c>
    </row>
    <row r="2921" spans="1:9" x14ac:dyDescent="0.25">
      <c r="A2921" s="242">
        <v>42908</v>
      </c>
      <c r="B2921" s="18">
        <v>117022</v>
      </c>
      <c r="C2921" s="235" t="s">
        <v>19677</v>
      </c>
      <c r="D2921" s="236" t="s">
        <v>15537</v>
      </c>
      <c r="E2921" s="15">
        <v>17856</v>
      </c>
      <c r="F2921" s="237">
        <v>42915</v>
      </c>
      <c r="G2921" s="15">
        <v>17856</v>
      </c>
      <c r="H2921" s="15">
        <f t="shared" si="45"/>
        <v>0</v>
      </c>
      <c r="I2921" s="236" t="s">
        <v>19682</v>
      </c>
    </row>
    <row r="2922" spans="1:9" x14ac:dyDescent="0.25">
      <c r="A2922" s="36">
        <v>42908</v>
      </c>
      <c r="B2922" s="18">
        <v>117023</v>
      </c>
      <c r="C2922" s="235" t="s">
        <v>19677</v>
      </c>
      <c r="D2922" s="236" t="s">
        <v>15539</v>
      </c>
      <c r="E2922" s="15">
        <v>16468</v>
      </c>
      <c r="F2922" s="237">
        <v>42915</v>
      </c>
      <c r="G2922" s="15">
        <v>16468</v>
      </c>
      <c r="H2922" s="15">
        <f t="shared" si="45"/>
        <v>0</v>
      </c>
      <c r="I2922" s="236" t="s">
        <v>19682</v>
      </c>
    </row>
    <row r="2923" spans="1:9" x14ac:dyDescent="0.25">
      <c r="A2923" s="242">
        <v>42908</v>
      </c>
      <c r="B2923" s="18">
        <v>117024</v>
      </c>
      <c r="C2923" s="235" t="s">
        <v>19677</v>
      </c>
      <c r="D2923" s="236" t="s">
        <v>15833</v>
      </c>
      <c r="E2923" s="15">
        <v>18282.599999999999</v>
      </c>
      <c r="F2923" s="237" t="s">
        <v>31617</v>
      </c>
      <c r="G2923" s="14">
        <f>6000+1240.55</f>
        <v>7240.55</v>
      </c>
      <c r="H2923" s="14">
        <f t="shared" si="45"/>
        <v>11042.05</v>
      </c>
      <c r="I2923" s="236" t="s">
        <v>19682</v>
      </c>
    </row>
    <row r="2924" spans="1:9" x14ac:dyDescent="0.25">
      <c r="A2924" s="36">
        <v>42908</v>
      </c>
      <c r="B2924" s="18">
        <v>117025</v>
      </c>
      <c r="C2924" s="235" t="s">
        <v>19677</v>
      </c>
      <c r="D2924" s="236" t="s">
        <v>15315</v>
      </c>
      <c r="E2924" s="15">
        <v>3476</v>
      </c>
      <c r="F2924" s="237">
        <v>42909</v>
      </c>
      <c r="G2924" s="15">
        <v>3476</v>
      </c>
      <c r="H2924" s="15">
        <f t="shared" si="45"/>
        <v>0</v>
      </c>
      <c r="I2924" s="236" t="s">
        <v>19682</v>
      </c>
    </row>
    <row r="2925" spans="1:9" x14ac:dyDescent="0.25">
      <c r="A2925" s="242">
        <v>42908</v>
      </c>
      <c r="B2925" s="18">
        <v>117026</v>
      </c>
      <c r="C2925" s="235" t="s">
        <v>19677</v>
      </c>
      <c r="D2925" s="236" t="s">
        <v>15544</v>
      </c>
      <c r="E2925" s="15">
        <v>770</v>
      </c>
      <c r="F2925" s="237">
        <v>42916</v>
      </c>
      <c r="G2925" s="15">
        <v>770</v>
      </c>
      <c r="H2925" s="15">
        <f t="shared" si="45"/>
        <v>0</v>
      </c>
      <c r="I2925" s="236" t="s">
        <v>19682</v>
      </c>
    </row>
    <row r="2926" spans="1:9" x14ac:dyDescent="0.25">
      <c r="A2926" s="36">
        <v>42908</v>
      </c>
      <c r="B2926" s="18">
        <v>117027</v>
      </c>
      <c r="C2926" s="235" t="s">
        <v>19677</v>
      </c>
      <c r="D2926" s="236" t="s">
        <v>15544</v>
      </c>
      <c r="E2926" s="15">
        <v>370</v>
      </c>
      <c r="F2926" s="237" t="s">
        <v>19764</v>
      </c>
      <c r="G2926" s="15">
        <f>287+83</f>
        <v>370</v>
      </c>
      <c r="H2926" s="15">
        <f t="shared" si="45"/>
        <v>0</v>
      </c>
      <c r="I2926" s="236" t="s">
        <v>19682</v>
      </c>
    </row>
    <row r="2927" spans="1:9" x14ac:dyDescent="0.25">
      <c r="A2927" s="242">
        <v>42908</v>
      </c>
      <c r="B2927" s="18">
        <v>117028</v>
      </c>
      <c r="C2927" s="235" t="s">
        <v>19677</v>
      </c>
      <c r="D2927" s="236" t="s">
        <v>15555</v>
      </c>
      <c r="E2927" s="15">
        <v>3463.8</v>
      </c>
      <c r="F2927" s="237">
        <v>42915</v>
      </c>
      <c r="G2927" s="15">
        <v>3463.8</v>
      </c>
      <c r="H2927" s="15">
        <f t="shared" si="45"/>
        <v>0</v>
      </c>
      <c r="I2927" s="236" t="s">
        <v>19682</v>
      </c>
    </row>
    <row r="2928" spans="1:9" x14ac:dyDescent="0.25">
      <c r="A2928" s="36">
        <v>42908</v>
      </c>
      <c r="B2928" s="18">
        <v>117029</v>
      </c>
      <c r="C2928" s="235" t="s">
        <v>19677</v>
      </c>
      <c r="D2928" s="236" t="s">
        <v>15246</v>
      </c>
      <c r="E2928" s="15">
        <v>49121</v>
      </c>
      <c r="F2928" s="237">
        <v>42910</v>
      </c>
      <c r="G2928" s="15">
        <v>49121</v>
      </c>
      <c r="H2928" s="15">
        <f t="shared" si="45"/>
        <v>0</v>
      </c>
      <c r="I2928" s="236" t="s">
        <v>19682</v>
      </c>
    </row>
    <row r="2929" spans="1:9" x14ac:dyDescent="0.25">
      <c r="A2929" s="242">
        <v>42908</v>
      </c>
      <c r="B2929" s="18">
        <v>117030</v>
      </c>
      <c r="C2929" s="235" t="s">
        <v>19677</v>
      </c>
      <c r="D2929" s="236" t="s">
        <v>15267</v>
      </c>
      <c r="E2929" s="15">
        <v>17484</v>
      </c>
      <c r="F2929" s="237">
        <v>42908</v>
      </c>
      <c r="G2929" s="15">
        <v>17484</v>
      </c>
      <c r="H2929" s="15">
        <f t="shared" si="45"/>
        <v>0</v>
      </c>
      <c r="I2929" s="236" t="s">
        <v>19682</v>
      </c>
    </row>
    <row r="2930" spans="1:9" ht="15.75" x14ac:dyDescent="0.25">
      <c r="A2930" s="36">
        <v>42908</v>
      </c>
      <c r="B2930" s="18">
        <v>117031</v>
      </c>
      <c r="C2930" s="235" t="s">
        <v>19677</v>
      </c>
      <c r="D2930" s="248" t="s">
        <v>95</v>
      </c>
      <c r="E2930" s="15">
        <v>0</v>
      </c>
      <c r="F2930" s="243" t="s">
        <v>95</v>
      </c>
      <c r="G2930" s="15"/>
      <c r="H2930" s="15">
        <f t="shared" si="45"/>
        <v>0</v>
      </c>
      <c r="I2930" s="236" t="s">
        <v>19678</v>
      </c>
    </row>
    <row r="2931" spans="1:9" x14ac:dyDescent="0.25">
      <c r="A2931" s="242">
        <v>42908</v>
      </c>
      <c r="B2931" s="18">
        <v>117032</v>
      </c>
      <c r="C2931" s="235" t="s">
        <v>19677</v>
      </c>
      <c r="D2931" s="236" t="s">
        <v>15665</v>
      </c>
      <c r="E2931" s="15">
        <v>603.6</v>
      </c>
      <c r="F2931" s="237">
        <v>42908</v>
      </c>
      <c r="G2931" s="15">
        <v>603.6</v>
      </c>
      <c r="H2931" s="15">
        <f t="shared" si="45"/>
        <v>0</v>
      </c>
      <c r="I2931" s="236" t="s">
        <v>19682</v>
      </c>
    </row>
    <row r="2932" spans="1:9" x14ac:dyDescent="0.25">
      <c r="A2932" s="36">
        <v>42908</v>
      </c>
      <c r="B2932" s="18">
        <v>117033</v>
      </c>
      <c r="C2932" s="235" t="s">
        <v>19677</v>
      </c>
      <c r="D2932" s="236" t="s">
        <v>15409</v>
      </c>
      <c r="E2932" s="15">
        <v>2310</v>
      </c>
      <c r="F2932" s="237">
        <v>42908</v>
      </c>
      <c r="G2932" s="15">
        <v>2310</v>
      </c>
      <c r="H2932" s="15">
        <f t="shared" si="45"/>
        <v>0</v>
      </c>
      <c r="I2932" s="236" t="s">
        <v>19682</v>
      </c>
    </row>
    <row r="2933" spans="1:9" x14ac:dyDescent="0.25">
      <c r="A2933" s="242">
        <v>42908</v>
      </c>
      <c r="B2933" s="18">
        <v>117034</v>
      </c>
      <c r="C2933" s="235" t="s">
        <v>19677</v>
      </c>
      <c r="D2933" s="236" t="s">
        <v>15530</v>
      </c>
      <c r="E2933" s="15">
        <v>3491.2</v>
      </c>
      <c r="F2933" s="237">
        <v>42908</v>
      </c>
      <c r="G2933" s="15">
        <v>3491.2</v>
      </c>
      <c r="H2933" s="15">
        <f t="shared" si="45"/>
        <v>0</v>
      </c>
      <c r="I2933" s="236" t="s">
        <v>19682</v>
      </c>
    </row>
    <row r="2934" spans="1:9" x14ac:dyDescent="0.25">
      <c r="A2934" s="36">
        <v>42908</v>
      </c>
      <c r="B2934" s="18">
        <v>117035</v>
      </c>
      <c r="C2934" s="235" t="s">
        <v>19677</v>
      </c>
      <c r="D2934" s="236" t="s">
        <v>15725</v>
      </c>
      <c r="E2934" s="15">
        <v>25478.400000000001</v>
      </c>
      <c r="F2934" s="237">
        <v>42911</v>
      </c>
      <c r="G2934" s="15">
        <v>25478.400000000001</v>
      </c>
      <c r="H2934" s="15">
        <f t="shared" si="45"/>
        <v>0</v>
      </c>
      <c r="I2934" s="236" t="s">
        <v>19682</v>
      </c>
    </row>
    <row r="2935" spans="1:9" x14ac:dyDescent="0.25">
      <c r="A2935" s="242">
        <v>42908</v>
      </c>
      <c r="B2935" s="18">
        <v>117036</v>
      </c>
      <c r="C2935" s="235" t="s">
        <v>19677</v>
      </c>
      <c r="D2935" s="236" t="s">
        <v>15396</v>
      </c>
      <c r="E2935" s="15">
        <v>6675.68</v>
      </c>
      <c r="F2935" s="237">
        <v>42908</v>
      </c>
      <c r="G2935" s="15">
        <v>6675.68</v>
      </c>
      <c r="H2935" s="15">
        <f t="shared" si="45"/>
        <v>0</v>
      </c>
      <c r="I2935" s="236" t="s">
        <v>19682</v>
      </c>
    </row>
    <row r="2936" spans="1:9" x14ac:dyDescent="0.25">
      <c r="A2936" s="36">
        <v>42908</v>
      </c>
      <c r="B2936" s="18">
        <v>117037</v>
      </c>
      <c r="C2936" s="235" t="s">
        <v>19677</v>
      </c>
      <c r="D2936" s="236" t="s">
        <v>15315</v>
      </c>
      <c r="E2936" s="15">
        <v>1410</v>
      </c>
      <c r="F2936" s="237">
        <v>42908</v>
      </c>
      <c r="G2936" s="15">
        <v>1410</v>
      </c>
      <c r="H2936" s="15">
        <f t="shared" si="45"/>
        <v>0</v>
      </c>
      <c r="I2936" s="236" t="s">
        <v>19682</v>
      </c>
    </row>
    <row r="2937" spans="1:9" x14ac:dyDescent="0.25">
      <c r="A2937" s="242">
        <v>42908</v>
      </c>
      <c r="B2937" s="18">
        <v>117038</v>
      </c>
      <c r="C2937" s="235" t="s">
        <v>19677</v>
      </c>
      <c r="D2937" s="236" t="s">
        <v>18773</v>
      </c>
      <c r="E2937" s="15">
        <v>39577.199999999997</v>
      </c>
      <c r="F2937" s="237">
        <v>42908</v>
      </c>
      <c r="G2937" s="15">
        <v>39577.199999999997</v>
      </c>
      <c r="H2937" s="15">
        <f t="shared" si="45"/>
        <v>0</v>
      </c>
      <c r="I2937" s="236" t="s">
        <v>19682</v>
      </c>
    </row>
    <row r="2938" spans="1:9" x14ac:dyDescent="0.25">
      <c r="A2938" s="36">
        <v>42908</v>
      </c>
      <c r="B2938" s="18">
        <v>117039</v>
      </c>
      <c r="C2938" s="235" t="s">
        <v>19677</v>
      </c>
      <c r="D2938" s="236" t="s">
        <v>15391</v>
      </c>
      <c r="E2938" s="15">
        <v>6883.2</v>
      </c>
      <c r="F2938" s="237">
        <v>42913</v>
      </c>
      <c r="G2938" s="15">
        <v>6883.2</v>
      </c>
      <c r="H2938" s="15">
        <f t="shared" si="45"/>
        <v>0</v>
      </c>
      <c r="I2938" s="236" t="s">
        <v>19682</v>
      </c>
    </row>
    <row r="2939" spans="1:9" x14ac:dyDescent="0.25">
      <c r="A2939" s="242">
        <v>42908</v>
      </c>
      <c r="B2939" s="18">
        <v>117040</v>
      </c>
      <c r="C2939" s="235" t="s">
        <v>19677</v>
      </c>
      <c r="D2939" s="236" t="s">
        <v>15315</v>
      </c>
      <c r="E2939" s="15">
        <v>1145</v>
      </c>
      <c r="F2939" s="237">
        <v>42908</v>
      </c>
      <c r="G2939" s="15">
        <v>1145</v>
      </c>
      <c r="H2939" s="15">
        <f t="shared" si="45"/>
        <v>0</v>
      </c>
      <c r="I2939" s="236" t="s">
        <v>19682</v>
      </c>
    </row>
    <row r="2940" spans="1:9" x14ac:dyDescent="0.25">
      <c r="A2940" s="36">
        <v>42908</v>
      </c>
      <c r="B2940" s="18">
        <v>117041</v>
      </c>
      <c r="C2940" s="235" t="s">
        <v>19677</v>
      </c>
      <c r="D2940" s="236" t="s">
        <v>15387</v>
      </c>
      <c r="E2940" s="15">
        <v>509.6</v>
      </c>
      <c r="F2940" s="237">
        <v>42908</v>
      </c>
      <c r="G2940" s="15">
        <v>509.6</v>
      </c>
      <c r="H2940" s="15">
        <f t="shared" si="45"/>
        <v>0</v>
      </c>
      <c r="I2940" s="236" t="s">
        <v>19682</v>
      </c>
    </row>
    <row r="2941" spans="1:9" x14ac:dyDescent="0.25">
      <c r="A2941" s="242">
        <v>42908</v>
      </c>
      <c r="B2941" s="18">
        <v>117042</v>
      </c>
      <c r="C2941" s="235" t="s">
        <v>19677</v>
      </c>
      <c r="D2941" s="236" t="s">
        <v>15716</v>
      </c>
      <c r="E2941" s="15">
        <v>6683</v>
      </c>
      <c r="F2941" s="237">
        <v>42908</v>
      </c>
      <c r="G2941" s="15">
        <v>6683</v>
      </c>
      <c r="H2941" s="15">
        <f t="shared" si="45"/>
        <v>0</v>
      </c>
      <c r="I2941" s="236" t="s">
        <v>19682</v>
      </c>
    </row>
    <row r="2942" spans="1:9" x14ac:dyDescent="0.25">
      <c r="A2942" s="36">
        <v>42908</v>
      </c>
      <c r="B2942" s="18">
        <v>117043</v>
      </c>
      <c r="C2942" s="235" t="s">
        <v>19677</v>
      </c>
      <c r="D2942" s="236" t="s">
        <v>15716</v>
      </c>
      <c r="E2942" s="15">
        <v>835.2</v>
      </c>
      <c r="F2942" s="237">
        <v>42908</v>
      </c>
      <c r="G2942" s="15">
        <v>835.2</v>
      </c>
      <c r="H2942" s="15">
        <f t="shared" si="45"/>
        <v>0</v>
      </c>
      <c r="I2942" s="236" t="s">
        <v>19682</v>
      </c>
    </row>
    <row r="2943" spans="1:9" x14ac:dyDescent="0.25">
      <c r="A2943" s="242">
        <v>42908</v>
      </c>
      <c r="B2943" s="18">
        <v>117044</v>
      </c>
      <c r="C2943" s="235" t="s">
        <v>19677</v>
      </c>
      <c r="D2943" s="236" t="s">
        <v>15267</v>
      </c>
      <c r="E2943" s="15">
        <v>29634.85</v>
      </c>
      <c r="F2943" s="237">
        <v>42933</v>
      </c>
      <c r="G2943" s="15">
        <v>29634.85</v>
      </c>
      <c r="H2943" s="15">
        <f t="shared" si="45"/>
        <v>0</v>
      </c>
      <c r="I2943" s="236" t="s">
        <v>19682</v>
      </c>
    </row>
    <row r="2944" spans="1:9" x14ac:dyDescent="0.25">
      <c r="A2944" s="36">
        <v>42908</v>
      </c>
      <c r="B2944" s="18">
        <v>117045</v>
      </c>
      <c r="C2944" s="235" t="s">
        <v>19677</v>
      </c>
      <c r="D2944" s="236" t="s">
        <v>15294</v>
      </c>
      <c r="E2944" s="15">
        <v>525</v>
      </c>
      <c r="F2944" s="237">
        <v>42908</v>
      </c>
      <c r="G2944" s="15">
        <v>525</v>
      </c>
      <c r="H2944" s="15">
        <f t="shared" si="45"/>
        <v>0</v>
      </c>
      <c r="I2944" s="236" t="s">
        <v>19682</v>
      </c>
    </row>
    <row r="2945" spans="1:9" x14ac:dyDescent="0.25">
      <c r="A2945" s="242">
        <v>42908</v>
      </c>
      <c r="B2945" s="18">
        <v>117046</v>
      </c>
      <c r="C2945" s="235" t="s">
        <v>19677</v>
      </c>
      <c r="D2945" s="236" t="s">
        <v>5873</v>
      </c>
      <c r="E2945" s="15">
        <v>31227.35</v>
      </c>
      <c r="F2945" s="237">
        <v>42909</v>
      </c>
      <c r="G2945" s="15">
        <v>31227.35</v>
      </c>
      <c r="H2945" s="15">
        <f t="shared" si="45"/>
        <v>0</v>
      </c>
      <c r="I2945" s="236" t="s">
        <v>19682</v>
      </c>
    </row>
    <row r="2946" spans="1:9" x14ac:dyDescent="0.25">
      <c r="A2946" s="36">
        <v>42908</v>
      </c>
      <c r="B2946" s="18">
        <v>117047</v>
      </c>
      <c r="C2946" s="235" t="s">
        <v>19677</v>
      </c>
      <c r="D2946" s="236" t="s">
        <v>18076</v>
      </c>
      <c r="E2946" s="15">
        <v>2766</v>
      </c>
      <c r="F2946" s="237">
        <v>42908</v>
      </c>
      <c r="G2946" s="15">
        <v>2766</v>
      </c>
      <c r="H2946" s="15">
        <f t="shared" ref="H2946:H3009" si="46">E2946-G2946</f>
        <v>0</v>
      </c>
      <c r="I2946" s="236" t="s">
        <v>19682</v>
      </c>
    </row>
    <row r="2947" spans="1:9" x14ac:dyDescent="0.25">
      <c r="A2947" s="242">
        <v>42908</v>
      </c>
      <c r="B2947" s="18">
        <v>117048</v>
      </c>
      <c r="C2947" s="235" t="s">
        <v>19677</v>
      </c>
      <c r="D2947" s="236" t="s">
        <v>15274</v>
      </c>
      <c r="E2947" s="15">
        <v>2350</v>
      </c>
      <c r="F2947" s="237">
        <v>42909</v>
      </c>
      <c r="G2947" s="15">
        <v>2350</v>
      </c>
      <c r="H2947" s="15">
        <f t="shared" si="46"/>
        <v>0</v>
      </c>
      <c r="I2947" s="236" t="s">
        <v>19682</v>
      </c>
    </row>
    <row r="2948" spans="1:9" x14ac:dyDescent="0.25">
      <c r="A2948" s="36">
        <v>42908</v>
      </c>
      <c r="B2948" s="18">
        <v>117049</v>
      </c>
      <c r="C2948" s="235" t="s">
        <v>19677</v>
      </c>
      <c r="D2948" s="236" t="s">
        <v>15315</v>
      </c>
      <c r="E2948" s="15">
        <v>4144.2</v>
      </c>
      <c r="F2948" s="237">
        <v>42908</v>
      </c>
      <c r="G2948" s="15">
        <v>4144.2</v>
      </c>
      <c r="H2948" s="15">
        <f t="shared" si="46"/>
        <v>0</v>
      </c>
      <c r="I2948" s="236" t="s">
        <v>19682</v>
      </c>
    </row>
    <row r="2949" spans="1:9" x14ac:dyDescent="0.25">
      <c r="A2949" s="242">
        <v>42908</v>
      </c>
      <c r="B2949" s="18">
        <v>117050</v>
      </c>
      <c r="C2949" s="235" t="s">
        <v>19677</v>
      </c>
      <c r="D2949" s="236" t="s">
        <v>15378</v>
      </c>
      <c r="E2949" s="15">
        <v>365.8</v>
      </c>
      <c r="F2949" s="237">
        <v>42908</v>
      </c>
      <c r="G2949" s="15">
        <v>365.8</v>
      </c>
      <c r="H2949" s="15">
        <f t="shared" si="46"/>
        <v>0</v>
      </c>
      <c r="I2949" s="236" t="s">
        <v>19682</v>
      </c>
    </row>
    <row r="2950" spans="1:9" x14ac:dyDescent="0.25">
      <c r="A2950" s="36">
        <v>42908</v>
      </c>
      <c r="B2950" s="18">
        <v>117051</v>
      </c>
      <c r="C2950" s="235" t="s">
        <v>19677</v>
      </c>
      <c r="D2950" s="236" t="s">
        <v>15246</v>
      </c>
      <c r="E2950" s="15">
        <v>139401.46</v>
      </c>
      <c r="F2950" s="237">
        <v>42910</v>
      </c>
      <c r="G2950" s="15">
        <v>139401.46</v>
      </c>
      <c r="H2950" s="15">
        <f t="shared" si="46"/>
        <v>0</v>
      </c>
      <c r="I2950" s="236" t="s">
        <v>19682</v>
      </c>
    </row>
    <row r="2951" spans="1:9" ht="15.75" x14ac:dyDescent="0.25">
      <c r="A2951" s="242">
        <v>42908</v>
      </c>
      <c r="B2951" s="18">
        <v>117052</v>
      </c>
      <c r="C2951" s="235" t="s">
        <v>19677</v>
      </c>
      <c r="D2951" s="248" t="s">
        <v>95</v>
      </c>
      <c r="E2951" s="15">
        <v>0</v>
      </c>
      <c r="F2951" s="243" t="s">
        <v>95</v>
      </c>
      <c r="G2951" s="15">
        <v>0</v>
      </c>
      <c r="H2951" s="15">
        <f t="shared" si="46"/>
        <v>0</v>
      </c>
      <c r="I2951" s="236" t="s">
        <v>19678</v>
      </c>
    </row>
    <row r="2952" spans="1:9" x14ac:dyDescent="0.25">
      <c r="A2952" s="36">
        <v>42908</v>
      </c>
      <c r="B2952" s="18">
        <v>117053</v>
      </c>
      <c r="C2952" s="235" t="s">
        <v>19677</v>
      </c>
      <c r="D2952" s="236" t="s">
        <v>15284</v>
      </c>
      <c r="E2952" s="15">
        <v>1118.4000000000001</v>
      </c>
      <c r="F2952" s="237">
        <v>42908</v>
      </c>
      <c r="G2952" s="15">
        <v>1118.4000000000001</v>
      </c>
      <c r="H2952" s="15">
        <f t="shared" si="46"/>
        <v>0</v>
      </c>
      <c r="I2952" s="236" t="s">
        <v>19682</v>
      </c>
    </row>
    <row r="2953" spans="1:9" x14ac:dyDescent="0.25">
      <c r="A2953" s="242">
        <v>42908</v>
      </c>
      <c r="B2953" s="18">
        <v>117054</v>
      </c>
      <c r="C2953" s="235" t="s">
        <v>19677</v>
      </c>
      <c r="D2953" s="236" t="s">
        <v>15315</v>
      </c>
      <c r="E2953" s="15">
        <v>1291.4000000000001</v>
      </c>
      <c r="F2953" s="237">
        <v>42908</v>
      </c>
      <c r="G2953" s="15">
        <v>1291.4000000000001</v>
      </c>
      <c r="H2953" s="15">
        <f t="shared" si="46"/>
        <v>0</v>
      </c>
      <c r="I2953" s="236" t="s">
        <v>19682</v>
      </c>
    </row>
    <row r="2954" spans="1:9" x14ac:dyDescent="0.25">
      <c r="A2954" s="36">
        <v>42908</v>
      </c>
      <c r="B2954" s="18">
        <v>117055</v>
      </c>
      <c r="C2954" s="235" t="s">
        <v>19677</v>
      </c>
      <c r="D2954" s="236" t="s">
        <v>15920</v>
      </c>
      <c r="E2954" s="15">
        <v>5500</v>
      </c>
      <c r="F2954" s="237">
        <v>42909</v>
      </c>
      <c r="G2954" s="15">
        <v>5500</v>
      </c>
      <c r="H2954" s="15">
        <f t="shared" si="46"/>
        <v>0</v>
      </c>
      <c r="I2954" s="236" t="s">
        <v>19682</v>
      </c>
    </row>
    <row r="2955" spans="1:9" x14ac:dyDescent="0.25">
      <c r="A2955" s="242">
        <v>42908</v>
      </c>
      <c r="B2955" s="18">
        <v>117056</v>
      </c>
      <c r="C2955" s="235" t="s">
        <v>19677</v>
      </c>
      <c r="D2955" s="236" t="s">
        <v>15448</v>
      </c>
      <c r="E2955" s="15">
        <v>162477</v>
      </c>
      <c r="F2955" s="237">
        <v>42914</v>
      </c>
      <c r="G2955" s="15">
        <v>162477</v>
      </c>
      <c r="H2955" s="15">
        <f t="shared" si="46"/>
        <v>0</v>
      </c>
      <c r="I2955" s="236" t="s">
        <v>19682</v>
      </c>
    </row>
    <row r="2956" spans="1:9" x14ac:dyDescent="0.25">
      <c r="A2956" s="36">
        <v>42908</v>
      </c>
      <c r="B2956" s="18">
        <v>117057</v>
      </c>
      <c r="C2956" s="235" t="s">
        <v>19677</v>
      </c>
      <c r="D2956" s="236" t="s">
        <v>15541</v>
      </c>
      <c r="E2956" s="15">
        <v>1266.4000000000001</v>
      </c>
      <c r="F2956" s="237">
        <v>42909</v>
      </c>
      <c r="G2956" s="15">
        <v>1266.4000000000001</v>
      </c>
      <c r="H2956" s="15">
        <f t="shared" si="46"/>
        <v>0</v>
      </c>
      <c r="I2956" s="236" t="s">
        <v>19682</v>
      </c>
    </row>
    <row r="2957" spans="1:9" x14ac:dyDescent="0.25">
      <c r="A2957" s="242">
        <v>42908</v>
      </c>
      <c r="B2957" s="18">
        <v>117058</v>
      </c>
      <c r="C2957" s="235" t="s">
        <v>19677</v>
      </c>
      <c r="D2957" s="236" t="s">
        <v>15549</v>
      </c>
      <c r="E2957" s="15">
        <v>9453.7000000000007</v>
      </c>
      <c r="F2957" s="237">
        <v>42909</v>
      </c>
      <c r="G2957" s="15">
        <v>9453.7000000000007</v>
      </c>
      <c r="H2957" s="15">
        <f t="shared" si="46"/>
        <v>0</v>
      </c>
      <c r="I2957" s="236" t="s">
        <v>19682</v>
      </c>
    </row>
    <row r="2958" spans="1:9" x14ac:dyDescent="0.25">
      <c r="A2958" s="36">
        <v>42908</v>
      </c>
      <c r="B2958" s="18">
        <v>117059</v>
      </c>
      <c r="C2958" s="235" t="s">
        <v>19677</v>
      </c>
      <c r="D2958" s="236" t="s">
        <v>15444</v>
      </c>
      <c r="E2958" s="15">
        <v>2258.6</v>
      </c>
      <c r="F2958" s="237">
        <v>42909</v>
      </c>
      <c r="G2958" s="15">
        <v>2258.6</v>
      </c>
      <c r="H2958" s="15">
        <f t="shared" si="46"/>
        <v>0</v>
      </c>
      <c r="I2958" s="236" t="s">
        <v>19682</v>
      </c>
    </row>
    <row r="2959" spans="1:9" x14ac:dyDescent="0.25">
      <c r="A2959" s="242">
        <v>42908</v>
      </c>
      <c r="B2959" s="18">
        <v>117060</v>
      </c>
      <c r="C2959" s="235" t="s">
        <v>19677</v>
      </c>
      <c r="D2959" s="236" t="s">
        <v>15448</v>
      </c>
      <c r="E2959" s="15">
        <v>82775.520000000004</v>
      </c>
      <c r="F2959" s="237">
        <v>42914</v>
      </c>
      <c r="G2959" s="15">
        <v>82775.520000000004</v>
      </c>
      <c r="H2959" s="15">
        <f t="shared" si="46"/>
        <v>0</v>
      </c>
      <c r="I2959" s="236" t="s">
        <v>19682</v>
      </c>
    </row>
    <row r="2960" spans="1:9" x14ac:dyDescent="0.25">
      <c r="A2960" s="36">
        <v>42908</v>
      </c>
      <c r="B2960" s="18">
        <v>117061</v>
      </c>
      <c r="C2960" s="235" t="s">
        <v>19677</v>
      </c>
      <c r="D2960" s="236" t="s">
        <v>15465</v>
      </c>
      <c r="E2960" s="15">
        <v>1647.8</v>
      </c>
      <c r="F2960" s="237">
        <v>42910</v>
      </c>
      <c r="G2960" s="15">
        <v>1647.8</v>
      </c>
      <c r="H2960" s="15">
        <f t="shared" si="46"/>
        <v>0</v>
      </c>
      <c r="I2960" s="236" t="s">
        <v>19682</v>
      </c>
    </row>
    <row r="2961" spans="1:9" x14ac:dyDescent="0.25">
      <c r="A2961" s="242">
        <v>42908</v>
      </c>
      <c r="B2961" s="18">
        <v>117062</v>
      </c>
      <c r="C2961" s="235" t="s">
        <v>19677</v>
      </c>
      <c r="D2961" s="236" t="s">
        <v>15941</v>
      </c>
      <c r="E2961" s="15">
        <v>2789</v>
      </c>
      <c r="F2961" s="237">
        <v>42910</v>
      </c>
      <c r="G2961" s="15">
        <v>2789</v>
      </c>
      <c r="H2961" s="15">
        <f t="shared" si="46"/>
        <v>0</v>
      </c>
      <c r="I2961" s="236" t="s">
        <v>19682</v>
      </c>
    </row>
    <row r="2962" spans="1:9" x14ac:dyDescent="0.25">
      <c r="A2962" s="36">
        <v>42908</v>
      </c>
      <c r="B2962" s="18">
        <v>117063</v>
      </c>
      <c r="C2962" s="235" t="s">
        <v>19677</v>
      </c>
      <c r="D2962" s="236" t="s">
        <v>15365</v>
      </c>
      <c r="E2962" s="15">
        <v>245120</v>
      </c>
      <c r="F2962" s="237">
        <v>42915</v>
      </c>
      <c r="G2962" s="15">
        <v>245120</v>
      </c>
      <c r="H2962" s="15">
        <f t="shared" si="46"/>
        <v>0</v>
      </c>
      <c r="I2962" s="236" t="s">
        <v>19682</v>
      </c>
    </row>
    <row r="2963" spans="1:9" x14ac:dyDescent="0.25">
      <c r="A2963" s="242">
        <v>42908</v>
      </c>
      <c r="B2963" s="18">
        <v>117064</v>
      </c>
      <c r="C2963" s="235" t="s">
        <v>19677</v>
      </c>
      <c r="D2963" s="236" t="s">
        <v>15454</v>
      </c>
      <c r="E2963" s="15">
        <v>20577.8</v>
      </c>
      <c r="F2963" s="237">
        <v>42910</v>
      </c>
      <c r="G2963" s="15">
        <v>20577.8</v>
      </c>
      <c r="H2963" s="15">
        <f t="shared" si="46"/>
        <v>0</v>
      </c>
      <c r="I2963" s="236" t="s">
        <v>19682</v>
      </c>
    </row>
    <row r="2964" spans="1:9" x14ac:dyDescent="0.25">
      <c r="A2964" s="36">
        <v>42908</v>
      </c>
      <c r="B2964" s="18">
        <v>117065</v>
      </c>
      <c r="C2964" s="235" t="s">
        <v>19677</v>
      </c>
      <c r="D2964" s="236" t="s">
        <v>19380</v>
      </c>
      <c r="E2964" s="15">
        <v>10181</v>
      </c>
      <c r="F2964" s="237">
        <v>42910</v>
      </c>
      <c r="G2964" s="15">
        <v>10181</v>
      </c>
      <c r="H2964" s="15">
        <f t="shared" si="46"/>
        <v>0</v>
      </c>
      <c r="I2964" s="236" t="s">
        <v>19682</v>
      </c>
    </row>
    <row r="2965" spans="1:9" x14ac:dyDescent="0.25">
      <c r="A2965" s="242">
        <v>42908</v>
      </c>
      <c r="B2965" s="18">
        <v>117066</v>
      </c>
      <c r="C2965" s="235" t="s">
        <v>19677</v>
      </c>
      <c r="D2965" s="236" t="s">
        <v>15246</v>
      </c>
      <c r="E2965" s="15">
        <v>251101</v>
      </c>
      <c r="F2965" s="237">
        <v>42910</v>
      </c>
      <c r="G2965" s="15">
        <v>251101</v>
      </c>
      <c r="H2965" s="15">
        <f t="shared" si="46"/>
        <v>0</v>
      </c>
      <c r="I2965" s="236" t="s">
        <v>19682</v>
      </c>
    </row>
    <row r="2966" spans="1:9" x14ac:dyDescent="0.25">
      <c r="A2966" s="36">
        <v>42908</v>
      </c>
      <c r="B2966" s="18">
        <v>117067</v>
      </c>
      <c r="C2966" s="235" t="s">
        <v>19677</v>
      </c>
      <c r="D2966" s="236" t="s">
        <v>16965</v>
      </c>
      <c r="E2966" s="15">
        <v>13972.2</v>
      </c>
      <c r="F2966" s="237">
        <v>42910</v>
      </c>
      <c r="G2966" s="15">
        <v>13972.2</v>
      </c>
      <c r="H2966" s="15">
        <f t="shared" si="46"/>
        <v>0</v>
      </c>
      <c r="I2966" s="236" t="s">
        <v>19682</v>
      </c>
    </row>
    <row r="2967" spans="1:9" x14ac:dyDescent="0.25">
      <c r="A2967" s="242">
        <v>42908</v>
      </c>
      <c r="B2967" s="18">
        <v>117068</v>
      </c>
      <c r="C2967" s="235" t="s">
        <v>19677</v>
      </c>
      <c r="D2967" s="236" t="s">
        <v>15452</v>
      </c>
      <c r="E2967" s="15">
        <v>1533</v>
      </c>
      <c r="F2967" s="237">
        <v>42910</v>
      </c>
      <c r="G2967" s="15">
        <v>1533</v>
      </c>
      <c r="H2967" s="15">
        <f t="shared" si="46"/>
        <v>0</v>
      </c>
      <c r="I2967" s="236" t="s">
        <v>19682</v>
      </c>
    </row>
    <row r="2968" spans="1:9" x14ac:dyDescent="0.25">
      <c r="A2968" s="36">
        <v>42908</v>
      </c>
      <c r="B2968" s="18">
        <v>117069</v>
      </c>
      <c r="C2968" s="235" t="s">
        <v>19677</v>
      </c>
      <c r="D2968" s="236" t="s">
        <v>15450</v>
      </c>
      <c r="E2968" s="15">
        <v>2119.8000000000002</v>
      </c>
      <c r="F2968" s="237">
        <v>42910</v>
      </c>
      <c r="G2968" s="15">
        <v>2119.8000000000002</v>
      </c>
      <c r="H2968" s="15">
        <f t="shared" si="46"/>
        <v>0</v>
      </c>
      <c r="I2968" s="236" t="s">
        <v>19682</v>
      </c>
    </row>
    <row r="2969" spans="1:9" x14ac:dyDescent="0.25">
      <c r="A2969" s="242">
        <v>42908</v>
      </c>
      <c r="B2969" s="18">
        <v>117070</v>
      </c>
      <c r="C2969" s="235" t="s">
        <v>19677</v>
      </c>
      <c r="D2969" s="236" t="s">
        <v>15446</v>
      </c>
      <c r="E2969" s="15">
        <v>2957.6</v>
      </c>
      <c r="F2969" s="237">
        <v>42910</v>
      </c>
      <c r="G2969" s="15">
        <v>2957.6</v>
      </c>
      <c r="H2969" s="15">
        <f t="shared" si="46"/>
        <v>0</v>
      </c>
      <c r="I2969" s="236" t="s">
        <v>19682</v>
      </c>
    </row>
    <row r="2970" spans="1:9" x14ac:dyDescent="0.25">
      <c r="A2970" s="36">
        <v>42908</v>
      </c>
      <c r="B2970" s="18">
        <v>117071</v>
      </c>
      <c r="C2970" s="235" t="s">
        <v>19677</v>
      </c>
      <c r="D2970" s="236" t="s">
        <v>15456</v>
      </c>
      <c r="E2970" s="15">
        <v>4743.2</v>
      </c>
      <c r="F2970" s="237">
        <v>42910</v>
      </c>
      <c r="G2970" s="15">
        <v>4743.2</v>
      </c>
      <c r="H2970" s="15">
        <f t="shared" si="46"/>
        <v>0</v>
      </c>
      <c r="I2970" s="236" t="s">
        <v>19682</v>
      </c>
    </row>
    <row r="2971" spans="1:9" x14ac:dyDescent="0.25">
      <c r="A2971" s="242">
        <v>42908</v>
      </c>
      <c r="B2971" s="18">
        <v>117072</v>
      </c>
      <c r="C2971" s="235" t="s">
        <v>19677</v>
      </c>
      <c r="D2971" s="236" t="s">
        <v>15246</v>
      </c>
      <c r="E2971" s="15">
        <v>15902.8</v>
      </c>
      <c r="F2971" s="237">
        <v>42910</v>
      </c>
      <c r="G2971" s="15">
        <v>15902.8</v>
      </c>
      <c r="H2971" s="15">
        <f t="shared" si="46"/>
        <v>0</v>
      </c>
      <c r="I2971" s="236" t="s">
        <v>19682</v>
      </c>
    </row>
    <row r="2972" spans="1:9" x14ac:dyDescent="0.25">
      <c r="A2972" s="36">
        <v>42908</v>
      </c>
      <c r="B2972" s="18">
        <v>117073</v>
      </c>
      <c r="C2972" s="235" t="s">
        <v>19677</v>
      </c>
      <c r="D2972" s="236" t="s">
        <v>15246</v>
      </c>
      <c r="E2972" s="15">
        <v>14845.6</v>
      </c>
      <c r="F2972" s="237">
        <v>42910</v>
      </c>
      <c r="G2972" s="15">
        <v>14845.6</v>
      </c>
      <c r="H2972" s="15">
        <f t="shared" si="46"/>
        <v>0</v>
      </c>
      <c r="I2972" s="236" t="s">
        <v>19682</v>
      </c>
    </row>
    <row r="2973" spans="1:9" x14ac:dyDescent="0.25">
      <c r="A2973" s="242">
        <v>42908</v>
      </c>
      <c r="B2973" s="18">
        <v>117074</v>
      </c>
      <c r="C2973" s="235" t="s">
        <v>19677</v>
      </c>
      <c r="D2973" s="236" t="s">
        <v>15462</v>
      </c>
      <c r="E2973" s="15">
        <v>18576.3</v>
      </c>
      <c r="F2973" s="237">
        <v>42910</v>
      </c>
      <c r="G2973" s="15">
        <v>18576.3</v>
      </c>
      <c r="H2973" s="15">
        <f t="shared" si="46"/>
        <v>0</v>
      </c>
      <c r="I2973" s="236" t="s">
        <v>19682</v>
      </c>
    </row>
    <row r="2974" spans="1:9" x14ac:dyDescent="0.25">
      <c r="A2974" s="36">
        <v>42908</v>
      </c>
      <c r="B2974" s="18">
        <v>117075</v>
      </c>
      <c r="C2974" s="235" t="s">
        <v>19677</v>
      </c>
      <c r="D2974" s="236" t="s">
        <v>17462</v>
      </c>
      <c r="E2974" s="15">
        <v>1099.2</v>
      </c>
      <c r="F2974" s="237">
        <v>42908</v>
      </c>
      <c r="G2974" s="15">
        <v>1099.2</v>
      </c>
      <c r="H2974" s="15">
        <f t="shared" si="46"/>
        <v>0</v>
      </c>
      <c r="I2974" s="236" t="s">
        <v>19682</v>
      </c>
    </row>
    <row r="2975" spans="1:9" x14ac:dyDescent="0.25">
      <c r="A2975" s="242">
        <v>42908</v>
      </c>
      <c r="B2975" s="18">
        <v>117076</v>
      </c>
      <c r="C2975" s="235" t="s">
        <v>19677</v>
      </c>
      <c r="D2975" s="236" t="s">
        <v>15398</v>
      </c>
      <c r="E2975" s="15">
        <v>904.4</v>
      </c>
      <c r="F2975" s="237">
        <v>42908</v>
      </c>
      <c r="G2975" s="15">
        <v>904.4</v>
      </c>
      <c r="H2975" s="15">
        <f t="shared" si="46"/>
        <v>0</v>
      </c>
      <c r="I2975" s="236" t="s">
        <v>19682</v>
      </c>
    </row>
    <row r="2976" spans="1:9" x14ac:dyDescent="0.25">
      <c r="A2976" s="36">
        <v>42908</v>
      </c>
      <c r="B2976" s="18">
        <v>117077</v>
      </c>
      <c r="C2976" s="235" t="s">
        <v>19677</v>
      </c>
      <c r="D2976" s="236" t="s">
        <v>15435</v>
      </c>
      <c r="E2976" s="15">
        <v>7996.8</v>
      </c>
      <c r="F2976" s="237">
        <v>42908</v>
      </c>
      <c r="G2976" s="15">
        <v>7996.8</v>
      </c>
      <c r="H2976" s="15">
        <f t="shared" si="46"/>
        <v>0</v>
      </c>
      <c r="I2976" s="236" t="s">
        <v>19682</v>
      </c>
    </row>
    <row r="2977" spans="1:9" x14ac:dyDescent="0.25">
      <c r="A2977" s="242">
        <v>42908</v>
      </c>
      <c r="B2977" s="18">
        <v>117078</v>
      </c>
      <c r="C2977" s="235" t="s">
        <v>19677</v>
      </c>
      <c r="D2977" s="236" t="s">
        <v>5757</v>
      </c>
      <c r="E2977" s="15">
        <v>276</v>
      </c>
      <c r="F2977" s="237">
        <v>42908</v>
      </c>
      <c r="G2977" s="15">
        <v>276</v>
      </c>
      <c r="H2977" s="15">
        <f t="shared" si="46"/>
        <v>0</v>
      </c>
      <c r="I2977" s="236" t="s">
        <v>19682</v>
      </c>
    </row>
    <row r="2978" spans="1:9" x14ac:dyDescent="0.25">
      <c r="A2978" s="36">
        <v>42908</v>
      </c>
      <c r="B2978" s="18">
        <v>117079</v>
      </c>
      <c r="C2978" s="235" t="s">
        <v>19677</v>
      </c>
      <c r="D2978" s="236" t="s">
        <v>15223</v>
      </c>
      <c r="E2978" s="15">
        <v>43000</v>
      </c>
      <c r="F2978" s="266" t="s">
        <v>19801</v>
      </c>
      <c r="G2978" s="133">
        <f>42314.35+685.65</f>
        <v>43000</v>
      </c>
      <c r="H2978" s="241">
        <f t="shared" si="46"/>
        <v>0</v>
      </c>
      <c r="I2978" s="236" t="s">
        <v>19682</v>
      </c>
    </row>
    <row r="2979" spans="1:9" x14ac:dyDescent="0.25">
      <c r="A2979" s="242">
        <v>42908</v>
      </c>
      <c r="B2979" s="18">
        <v>117080</v>
      </c>
      <c r="C2979" s="235" t="s">
        <v>19677</v>
      </c>
      <c r="D2979" s="236" t="s">
        <v>15818</v>
      </c>
      <c r="E2979" s="15">
        <v>4317.6000000000004</v>
      </c>
      <c r="F2979" s="237">
        <v>42909</v>
      </c>
      <c r="G2979" s="15">
        <v>4317.6000000000004</v>
      </c>
      <c r="H2979" s="15">
        <f t="shared" si="46"/>
        <v>0</v>
      </c>
      <c r="I2979" s="236" t="s">
        <v>19682</v>
      </c>
    </row>
    <row r="2980" spans="1:9" x14ac:dyDescent="0.25">
      <c r="A2980" s="36">
        <v>42908</v>
      </c>
      <c r="B2980" s="18">
        <v>117081</v>
      </c>
      <c r="C2980" s="235" t="s">
        <v>19677</v>
      </c>
      <c r="D2980" s="236" t="s">
        <v>15642</v>
      </c>
      <c r="E2980" s="15">
        <v>6020.7</v>
      </c>
      <c r="F2980" s="237">
        <v>42908</v>
      </c>
      <c r="G2980" s="15">
        <v>6020.7</v>
      </c>
      <c r="H2980" s="15">
        <f t="shared" si="46"/>
        <v>0</v>
      </c>
      <c r="I2980" s="236" t="s">
        <v>19682</v>
      </c>
    </row>
    <row r="2981" spans="1:9" x14ac:dyDescent="0.25">
      <c r="A2981" s="242">
        <v>42908</v>
      </c>
      <c r="B2981" s="18">
        <v>117082</v>
      </c>
      <c r="C2981" s="235" t="s">
        <v>19677</v>
      </c>
      <c r="D2981" s="236" t="s">
        <v>16383</v>
      </c>
      <c r="E2981" s="15">
        <v>10382.4</v>
      </c>
      <c r="F2981" s="237">
        <v>42908</v>
      </c>
      <c r="G2981" s="15">
        <v>10382.4</v>
      </c>
      <c r="H2981" s="15">
        <f t="shared" si="46"/>
        <v>0</v>
      </c>
      <c r="I2981" s="236" t="s">
        <v>19682</v>
      </c>
    </row>
    <row r="2982" spans="1:9" x14ac:dyDescent="0.25">
      <c r="A2982" s="36">
        <v>42908</v>
      </c>
      <c r="B2982" s="18">
        <v>117083</v>
      </c>
      <c r="C2982" s="235" t="s">
        <v>19677</v>
      </c>
      <c r="D2982" s="236" t="s">
        <v>19765</v>
      </c>
      <c r="E2982" s="15">
        <v>1500</v>
      </c>
      <c r="F2982" s="237">
        <v>42912</v>
      </c>
      <c r="G2982" s="15">
        <v>1500</v>
      </c>
      <c r="H2982" s="15">
        <f t="shared" si="46"/>
        <v>0</v>
      </c>
      <c r="I2982" s="236" t="s">
        <v>19682</v>
      </c>
    </row>
    <row r="2983" spans="1:9" x14ac:dyDescent="0.25">
      <c r="A2983" s="242">
        <v>42909</v>
      </c>
      <c r="B2983" s="18">
        <v>117084</v>
      </c>
      <c r="C2983" s="235" t="s">
        <v>19677</v>
      </c>
      <c r="D2983" s="236" t="s">
        <v>15213</v>
      </c>
      <c r="E2983" s="15">
        <v>6986</v>
      </c>
      <c r="F2983" s="237">
        <v>42911</v>
      </c>
      <c r="G2983" s="15">
        <v>6986</v>
      </c>
      <c r="H2983" s="15">
        <f t="shared" si="46"/>
        <v>0</v>
      </c>
      <c r="I2983" s="236" t="s">
        <v>19682</v>
      </c>
    </row>
    <row r="2984" spans="1:9" x14ac:dyDescent="0.25">
      <c r="A2984" s="36">
        <v>42909</v>
      </c>
      <c r="B2984" s="18">
        <v>117085</v>
      </c>
      <c r="C2984" s="235" t="s">
        <v>19677</v>
      </c>
      <c r="D2984" s="236" t="s">
        <v>15216</v>
      </c>
      <c r="E2984" s="15">
        <v>5759.8</v>
      </c>
      <c r="F2984" s="237">
        <v>42910</v>
      </c>
      <c r="G2984" s="15">
        <v>5759.8</v>
      </c>
      <c r="H2984" s="15">
        <f t="shared" si="46"/>
        <v>0</v>
      </c>
      <c r="I2984" s="236" t="s">
        <v>19682</v>
      </c>
    </row>
    <row r="2985" spans="1:9" x14ac:dyDescent="0.25">
      <c r="A2985" s="242">
        <v>42909</v>
      </c>
      <c r="B2985" s="18">
        <v>117086</v>
      </c>
      <c r="C2985" s="235" t="s">
        <v>19677</v>
      </c>
      <c r="D2985" s="236" t="s">
        <v>15213</v>
      </c>
      <c r="E2985" s="15">
        <v>46461.8</v>
      </c>
      <c r="F2985" s="237">
        <v>42910</v>
      </c>
      <c r="G2985" s="15">
        <v>46461.8</v>
      </c>
      <c r="H2985" s="15">
        <f t="shared" si="46"/>
        <v>0</v>
      </c>
      <c r="I2985" s="236" t="s">
        <v>19682</v>
      </c>
    </row>
    <row r="2986" spans="1:9" x14ac:dyDescent="0.25">
      <c r="A2986" s="36">
        <v>42909</v>
      </c>
      <c r="B2986" s="18">
        <v>117087</v>
      </c>
      <c r="C2986" s="235" t="s">
        <v>19677</v>
      </c>
      <c r="D2986" s="236" t="s">
        <v>15407</v>
      </c>
      <c r="E2986" s="15">
        <v>8486.2999999999993</v>
      </c>
      <c r="F2986" s="237">
        <v>42909</v>
      </c>
      <c r="G2986" s="15">
        <v>8486.2999999999993</v>
      </c>
      <c r="H2986" s="15">
        <f t="shared" si="46"/>
        <v>0</v>
      </c>
      <c r="I2986" s="236" t="s">
        <v>19682</v>
      </c>
    </row>
    <row r="2987" spans="1:9" x14ac:dyDescent="0.25">
      <c r="A2987" s="242">
        <v>42909</v>
      </c>
      <c r="B2987" s="18">
        <v>117088</v>
      </c>
      <c r="C2987" s="235" t="s">
        <v>19677</v>
      </c>
      <c r="D2987" s="236" t="s">
        <v>15230</v>
      </c>
      <c r="E2987" s="15">
        <v>13718.6</v>
      </c>
      <c r="F2987" s="237">
        <v>42912</v>
      </c>
      <c r="G2987" s="15">
        <v>13718.6</v>
      </c>
      <c r="H2987" s="15">
        <f t="shared" si="46"/>
        <v>0</v>
      </c>
      <c r="I2987" s="236" t="s">
        <v>19682</v>
      </c>
    </row>
    <row r="2988" spans="1:9" x14ac:dyDescent="0.25">
      <c r="A2988" s="36">
        <v>42909</v>
      </c>
      <c r="B2988" s="18">
        <v>117089</v>
      </c>
      <c r="C2988" s="235" t="s">
        <v>19677</v>
      </c>
      <c r="D2988" s="236" t="s">
        <v>19549</v>
      </c>
      <c r="E2988" s="15">
        <v>15422.8</v>
      </c>
      <c r="F2988" s="237">
        <v>42910</v>
      </c>
      <c r="G2988" s="15">
        <v>15422.8</v>
      </c>
      <c r="H2988" s="15">
        <f t="shared" si="46"/>
        <v>0</v>
      </c>
      <c r="I2988" s="236" t="s">
        <v>19682</v>
      </c>
    </row>
    <row r="2989" spans="1:9" x14ac:dyDescent="0.25">
      <c r="A2989" s="242">
        <v>42909</v>
      </c>
      <c r="B2989" s="18">
        <v>117090</v>
      </c>
      <c r="C2989" s="235" t="s">
        <v>19677</v>
      </c>
      <c r="D2989" s="236" t="s">
        <v>15373</v>
      </c>
      <c r="E2989" s="15">
        <v>15663.2</v>
      </c>
      <c r="F2989" s="237">
        <v>42910</v>
      </c>
      <c r="G2989" s="15">
        <v>15663.2</v>
      </c>
      <c r="H2989" s="15">
        <f t="shared" si="46"/>
        <v>0</v>
      </c>
      <c r="I2989" s="236" t="s">
        <v>19682</v>
      </c>
    </row>
    <row r="2990" spans="1:9" x14ac:dyDescent="0.25">
      <c r="A2990" s="36">
        <v>42909</v>
      </c>
      <c r="B2990" s="18">
        <v>117091</v>
      </c>
      <c r="C2990" s="235" t="s">
        <v>19677</v>
      </c>
      <c r="D2990" s="236" t="s">
        <v>15232</v>
      </c>
      <c r="E2990" s="15">
        <v>8749.6</v>
      </c>
      <c r="F2990" s="237">
        <v>42915</v>
      </c>
      <c r="G2990" s="15">
        <v>8749.6</v>
      </c>
      <c r="H2990" s="15">
        <f t="shared" si="46"/>
        <v>0</v>
      </c>
      <c r="I2990" s="236" t="s">
        <v>19682</v>
      </c>
    </row>
    <row r="2991" spans="1:9" x14ac:dyDescent="0.25">
      <c r="A2991" s="242">
        <v>42909</v>
      </c>
      <c r="B2991" s="18">
        <v>117092</v>
      </c>
      <c r="C2991" s="235" t="s">
        <v>19677</v>
      </c>
      <c r="D2991" s="236" t="s">
        <v>15480</v>
      </c>
      <c r="E2991" s="15">
        <v>3632</v>
      </c>
      <c r="F2991" s="237">
        <v>42912</v>
      </c>
      <c r="G2991" s="15">
        <v>3632</v>
      </c>
      <c r="H2991" s="15">
        <f t="shared" si="46"/>
        <v>0</v>
      </c>
      <c r="I2991" s="236" t="s">
        <v>19682</v>
      </c>
    </row>
    <row r="2992" spans="1:9" x14ac:dyDescent="0.25">
      <c r="A2992" s="36">
        <v>42909</v>
      </c>
      <c r="B2992" s="18">
        <v>117093</v>
      </c>
      <c r="C2992" s="235" t="s">
        <v>19677</v>
      </c>
      <c r="D2992" s="236" t="s">
        <v>19549</v>
      </c>
      <c r="E2992" s="15">
        <v>492</v>
      </c>
      <c r="F2992" s="237">
        <v>42910</v>
      </c>
      <c r="G2992" s="15">
        <v>492</v>
      </c>
      <c r="H2992" s="15">
        <f t="shared" si="46"/>
        <v>0</v>
      </c>
      <c r="I2992" s="236" t="s">
        <v>19682</v>
      </c>
    </row>
    <row r="2993" spans="1:9" x14ac:dyDescent="0.25">
      <c r="A2993" s="242">
        <v>42909</v>
      </c>
      <c r="B2993" s="18">
        <v>117094</v>
      </c>
      <c r="C2993" s="235" t="s">
        <v>19677</v>
      </c>
      <c r="D2993" s="236" t="s">
        <v>15394</v>
      </c>
      <c r="E2993" s="15">
        <v>23289.200000000001</v>
      </c>
      <c r="F2993" s="237">
        <v>42913</v>
      </c>
      <c r="G2993" s="15">
        <v>23289.200000000001</v>
      </c>
      <c r="H2993" s="15">
        <f t="shared" si="46"/>
        <v>0</v>
      </c>
      <c r="I2993" s="236" t="s">
        <v>19682</v>
      </c>
    </row>
    <row r="2994" spans="1:9" x14ac:dyDescent="0.25">
      <c r="A2994" s="36">
        <v>42909</v>
      </c>
      <c r="B2994" s="18">
        <v>117095</v>
      </c>
      <c r="C2994" s="235" t="s">
        <v>19677</v>
      </c>
      <c r="D2994" s="236" t="s">
        <v>15371</v>
      </c>
      <c r="E2994" s="15">
        <v>3182.4</v>
      </c>
      <c r="F2994" s="266" t="s">
        <v>19807</v>
      </c>
      <c r="G2994" s="133">
        <f>2800+382.4</f>
        <v>3182.4</v>
      </c>
      <c r="H2994" s="241">
        <f t="shared" si="46"/>
        <v>0</v>
      </c>
      <c r="I2994" s="236" t="s">
        <v>19682</v>
      </c>
    </row>
    <row r="2995" spans="1:9" x14ac:dyDescent="0.25">
      <c r="A2995" s="242">
        <v>42909</v>
      </c>
      <c r="B2995" s="18">
        <v>117096</v>
      </c>
      <c r="C2995" s="235" t="s">
        <v>19677</v>
      </c>
      <c r="D2995" s="236" t="s">
        <v>15382</v>
      </c>
      <c r="E2995" s="15">
        <v>11798.6</v>
      </c>
      <c r="F2995" s="266">
        <v>42931</v>
      </c>
      <c r="G2995" s="35">
        <v>11798.6</v>
      </c>
      <c r="H2995" s="15">
        <f t="shared" si="46"/>
        <v>0</v>
      </c>
      <c r="I2995" s="236" t="s">
        <v>19682</v>
      </c>
    </row>
    <row r="2996" spans="1:9" x14ac:dyDescent="0.25">
      <c r="A2996" s="36">
        <v>42909</v>
      </c>
      <c r="B2996" s="18">
        <v>117097</v>
      </c>
      <c r="C2996" s="235" t="s">
        <v>19677</v>
      </c>
      <c r="D2996" s="236" t="s">
        <v>15427</v>
      </c>
      <c r="E2996" s="15">
        <v>30554.400000000001</v>
      </c>
      <c r="F2996" s="237">
        <v>42910</v>
      </c>
      <c r="G2996" s="15">
        <v>30554.400000000001</v>
      </c>
      <c r="H2996" s="15">
        <f t="shared" si="46"/>
        <v>0</v>
      </c>
      <c r="I2996" s="236" t="s">
        <v>19682</v>
      </c>
    </row>
    <row r="2997" spans="1:9" x14ac:dyDescent="0.25">
      <c r="A2997" s="242">
        <v>42909</v>
      </c>
      <c r="B2997" s="18">
        <v>117098</v>
      </c>
      <c r="C2997" s="235" t="s">
        <v>19677</v>
      </c>
      <c r="D2997" s="236" t="s">
        <v>15263</v>
      </c>
      <c r="E2997" s="15">
        <v>2911.2</v>
      </c>
      <c r="F2997" s="237">
        <v>42909</v>
      </c>
      <c r="G2997" s="15">
        <v>2911.2</v>
      </c>
      <c r="H2997" s="15">
        <f t="shared" si="46"/>
        <v>0</v>
      </c>
      <c r="I2997" s="236" t="s">
        <v>19682</v>
      </c>
    </row>
    <row r="2998" spans="1:9" x14ac:dyDescent="0.25">
      <c r="A2998" s="36">
        <v>42909</v>
      </c>
      <c r="B2998" s="18">
        <v>117099</v>
      </c>
      <c r="C2998" s="235" t="s">
        <v>19677</v>
      </c>
      <c r="D2998" s="236" t="s">
        <v>17277</v>
      </c>
      <c r="E2998" s="15">
        <v>5168</v>
      </c>
      <c r="F2998" s="237">
        <v>42909</v>
      </c>
      <c r="G2998" s="15">
        <v>5168</v>
      </c>
      <c r="H2998" s="15">
        <f t="shared" si="46"/>
        <v>0</v>
      </c>
      <c r="I2998" s="236" t="s">
        <v>19682</v>
      </c>
    </row>
    <row r="2999" spans="1:9" ht="15.75" x14ac:dyDescent="0.25">
      <c r="A2999" s="242">
        <v>42909</v>
      </c>
      <c r="B2999" s="18">
        <v>117100</v>
      </c>
      <c r="C2999" s="235" t="s">
        <v>19677</v>
      </c>
      <c r="D2999" s="248" t="s">
        <v>95</v>
      </c>
      <c r="E2999" s="15">
        <v>0</v>
      </c>
      <c r="F2999" s="243" t="s">
        <v>95</v>
      </c>
      <c r="G2999" s="15">
        <v>0</v>
      </c>
      <c r="H2999" s="15">
        <f t="shared" si="46"/>
        <v>0</v>
      </c>
      <c r="I2999" s="236" t="s">
        <v>19678</v>
      </c>
    </row>
    <row r="3000" spans="1:9" x14ac:dyDescent="0.25">
      <c r="A3000" s="36">
        <v>42909</v>
      </c>
      <c r="B3000" s="18">
        <v>117101</v>
      </c>
      <c r="C3000" s="235" t="s">
        <v>19677</v>
      </c>
      <c r="D3000" s="236" t="s">
        <v>15380</v>
      </c>
      <c r="E3000" s="15">
        <v>48776.800000000003</v>
      </c>
      <c r="F3000" s="266">
        <v>42927</v>
      </c>
      <c r="G3000" s="35">
        <v>48776.800000000003</v>
      </c>
      <c r="H3000" s="15">
        <f t="shared" si="46"/>
        <v>0</v>
      </c>
      <c r="I3000" s="236" t="s">
        <v>19682</v>
      </c>
    </row>
    <row r="3001" spans="1:9" ht="24.75" x14ac:dyDescent="0.25">
      <c r="A3001" s="242">
        <v>42909</v>
      </c>
      <c r="B3001" s="18">
        <v>117102</v>
      </c>
      <c r="C3001" s="235" t="s">
        <v>19677</v>
      </c>
      <c r="D3001" s="236" t="s">
        <v>15228</v>
      </c>
      <c r="E3001" s="15">
        <v>33576.9</v>
      </c>
      <c r="F3001" s="252" t="s">
        <v>19766</v>
      </c>
      <c r="G3001" s="241">
        <f>9000+9000+7500+4000+4076.9</f>
        <v>33576.9</v>
      </c>
      <c r="H3001" s="241">
        <f t="shared" si="46"/>
        <v>0</v>
      </c>
      <c r="I3001" s="236" t="s">
        <v>19682</v>
      </c>
    </row>
    <row r="3002" spans="1:9" x14ac:dyDescent="0.25">
      <c r="A3002" s="36">
        <v>42909</v>
      </c>
      <c r="B3002" s="18">
        <v>117103</v>
      </c>
      <c r="C3002" s="235" t="s">
        <v>19677</v>
      </c>
      <c r="D3002" s="236" t="s">
        <v>15369</v>
      </c>
      <c r="E3002" s="15">
        <v>35244.6</v>
      </c>
      <c r="F3002" s="266">
        <v>42934</v>
      </c>
      <c r="G3002" s="35">
        <v>35244.6</v>
      </c>
      <c r="H3002" s="15">
        <f t="shared" si="46"/>
        <v>0</v>
      </c>
      <c r="I3002" s="236" t="s">
        <v>19682</v>
      </c>
    </row>
    <row r="3003" spans="1:9" x14ac:dyDescent="0.25">
      <c r="A3003" s="242">
        <v>42909</v>
      </c>
      <c r="B3003" s="18">
        <v>117104</v>
      </c>
      <c r="C3003" s="235" t="s">
        <v>19677</v>
      </c>
      <c r="D3003" s="236" t="s">
        <v>15236</v>
      </c>
      <c r="E3003" s="15">
        <v>6672</v>
      </c>
      <c r="F3003" s="237">
        <v>42914</v>
      </c>
      <c r="G3003" s="15">
        <v>6672</v>
      </c>
      <c r="H3003" s="15">
        <f t="shared" si="46"/>
        <v>0</v>
      </c>
      <c r="I3003" s="236" t="s">
        <v>19682</v>
      </c>
    </row>
    <row r="3004" spans="1:9" x14ac:dyDescent="0.25">
      <c r="A3004" s="36">
        <v>42909</v>
      </c>
      <c r="B3004" s="18">
        <v>117105</v>
      </c>
      <c r="C3004" s="235" t="s">
        <v>19677</v>
      </c>
      <c r="D3004" s="236" t="s">
        <v>15389</v>
      </c>
      <c r="E3004" s="15">
        <v>18772.599999999999</v>
      </c>
      <c r="F3004" s="266">
        <v>42927</v>
      </c>
      <c r="G3004" s="35">
        <v>18772.599999999999</v>
      </c>
      <c r="H3004" s="15">
        <f t="shared" si="46"/>
        <v>0</v>
      </c>
      <c r="I3004" s="236" t="s">
        <v>19682</v>
      </c>
    </row>
    <row r="3005" spans="1:9" x14ac:dyDescent="0.25">
      <c r="A3005" s="242">
        <v>42909</v>
      </c>
      <c r="B3005" s="18">
        <v>117106</v>
      </c>
      <c r="C3005" s="235" t="s">
        <v>19677</v>
      </c>
      <c r="D3005" s="236" t="s">
        <v>15315</v>
      </c>
      <c r="E3005" s="15">
        <v>364.8</v>
      </c>
      <c r="F3005" s="237">
        <v>42910</v>
      </c>
      <c r="G3005" s="15">
        <v>364.8</v>
      </c>
      <c r="H3005" s="15">
        <f t="shared" si="46"/>
        <v>0</v>
      </c>
      <c r="I3005" s="236" t="s">
        <v>19682</v>
      </c>
    </row>
    <row r="3006" spans="1:9" x14ac:dyDescent="0.25">
      <c r="A3006" s="36">
        <v>42909</v>
      </c>
      <c r="B3006" s="18">
        <v>117107</v>
      </c>
      <c r="C3006" s="235" t="s">
        <v>19677</v>
      </c>
      <c r="D3006" s="236" t="s">
        <v>15234</v>
      </c>
      <c r="E3006" s="15">
        <v>3528</v>
      </c>
      <c r="F3006" s="237">
        <v>42912</v>
      </c>
      <c r="G3006" s="15">
        <v>3528</v>
      </c>
      <c r="H3006" s="15">
        <f t="shared" si="46"/>
        <v>0</v>
      </c>
      <c r="I3006" s="236" t="s">
        <v>19682</v>
      </c>
    </row>
    <row r="3007" spans="1:9" x14ac:dyDescent="0.25">
      <c r="A3007" s="242">
        <v>42909</v>
      </c>
      <c r="B3007" s="18">
        <v>117108</v>
      </c>
      <c r="C3007" s="235" t="s">
        <v>19677</v>
      </c>
      <c r="D3007" s="236" t="s">
        <v>15367</v>
      </c>
      <c r="E3007" s="15">
        <v>2350</v>
      </c>
      <c r="F3007" s="237">
        <v>42910</v>
      </c>
      <c r="G3007" s="15">
        <v>2350</v>
      </c>
      <c r="H3007" s="15">
        <f t="shared" si="46"/>
        <v>0</v>
      </c>
      <c r="I3007" s="236" t="s">
        <v>19682</v>
      </c>
    </row>
    <row r="3008" spans="1:9" x14ac:dyDescent="0.25">
      <c r="A3008" s="36">
        <v>42909</v>
      </c>
      <c r="B3008" s="18">
        <v>117109</v>
      </c>
      <c r="C3008" s="235" t="s">
        <v>19677</v>
      </c>
      <c r="D3008" s="236" t="s">
        <v>17462</v>
      </c>
      <c r="E3008" s="15">
        <v>7658.6</v>
      </c>
      <c r="F3008" s="237">
        <v>42909</v>
      </c>
      <c r="G3008" s="15">
        <v>7658.6</v>
      </c>
      <c r="H3008" s="15">
        <f t="shared" si="46"/>
        <v>0</v>
      </c>
      <c r="I3008" s="236" t="s">
        <v>19682</v>
      </c>
    </row>
    <row r="3009" spans="1:9" x14ac:dyDescent="0.25">
      <c r="A3009" s="242">
        <v>42909</v>
      </c>
      <c r="B3009" s="18">
        <v>117110</v>
      </c>
      <c r="C3009" s="235" t="s">
        <v>19677</v>
      </c>
      <c r="D3009" s="236" t="s">
        <v>15220</v>
      </c>
      <c r="E3009" s="15">
        <v>2585</v>
      </c>
      <c r="F3009" s="237">
        <v>42909</v>
      </c>
      <c r="G3009" s="15">
        <v>2585</v>
      </c>
      <c r="H3009" s="15">
        <f t="shared" si="46"/>
        <v>0</v>
      </c>
      <c r="I3009" s="236" t="s">
        <v>19682</v>
      </c>
    </row>
    <row r="3010" spans="1:9" x14ac:dyDescent="0.25">
      <c r="A3010" s="36">
        <v>42909</v>
      </c>
      <c r="B3010" s="18">
        <v>117111</v>
      </c>
      <c r="C3010" s="235" t="s">
        <v>19677</v>
      </c>
      <c r="D3010" s="236" t="s">
        <v>17235</v>
      </c>
      <c r="E3010" s="15">
        <v>940</v>
      </c>
      <c r="F3010" s="237">
        <v>42909</v>
      </c>
      <c r="G3010" s="15">
        <v>940</v>
      </c>
      <c r="H3010" s="15">
        <f t="shared" ref="H3010:H3073" si="47">E3010-G3010</f>
        <v>0</v>
      </c>
      <c r="I3010" s="236" t="s">
        <v>19682</v>
      </c>
    </row>
    <row r="3011" spans="1:9" x14ac:dyDescent="0.25">
      <c r="A3011" s="242">
        <v>42909</v>
      </c>
      <c r="B3011" s="18">
        <v>117112</v>
      </c>
      <c r="C3011" s="235" t="s">
        <v>19677</v>
      </c>
      <c r="D3011" s="236" t="s">
        <v>15272</v>
      </c>
      <c r="E3011" s="15">
        <v>21891.32</v>
      </c>
      <c r="F3011" s="237">
        <v>42909</v>
      </c>
      <c r="G3011" s="15">
        <v>21891.32</v>
      </c>
      <c r="H3011" s="15">
        <f t="shared" si="47"/>
        <v>0</v>
      </c>
      <c r="I3011" s="236" t="s">
        <v>19682</v>
      </c>
    </row>
    <row r="3012" spans="1:9" x14ac:dyDescent="0.25">
      <c r="A3012" s="36">
        <v>42909</v>
      </c>
      <c r="B3012" s="18">
        <v>117113</v>
      </c>
      <c r="C3012" s="235" t="s">
        <v>19677</v>
      </c>
      <c r="D3012" s="236" t="s">
        <v>15315</v>
      </c>
      <c r="E3012" s="15">
        <v>1978</v>
      </c>
      <c r="F3012" s="237">
        <v>42910</v>
      </c>
      <c r="G3012" s="15">
        <v>1978</v>
      </c>
      <c r="H3012" s="15">
        <f t="shared" si="47"/>
        <v>0</v>
      </c>
      <c r="I3012" s="236" t="s">
        <v>19682</v>
      </c>
    </row>
    <row r="3013" spans="1:9" x14ac:dyDescent="0.25">
      <c r="A3013" s="242">
        <v>42909</v>
      </c>
      <c r="B3013" s="18">
        <v>117114</v>
      </c>
      <c r="C3013" s="235" t="s">
        <v>19677</v>
      </c>
      <c r="D3013" s="236" t="s">
        <v>15590</v>
      </c>
      <c r="E3013" s="15">
        <v>31221</v>
      </c>
      <c r="F3013" s="237">
        <v>42915</v>
      </c>
      <c r="G3013" s="15">
        <v>31221</v>
      </c>
      <c r="H3013" s="15">
        <f t="shared" si="47"/>
        <v>0</v>
      </c>
      <c r="I3013" s="236" t="s">
        <v>19682</v>
      </c>
    </row>
    <row r="3014" spans="1:9" x14ac:dyDescent="0.25">
      <c r="A3014" s="36">
        <v>42909</v>
      </c>
      <c r="B3014" s="18">
        <v>117115</v>
      </c>
      <c r="C3014" s="235" t="s">
        <v>19677</v>
      </c>
      <c r="D3014" s="236" t="s">
        <v>15668</v>
      </c>
      <c r="E3014" s="15">
        <v>29328</v>
      </c>
      <c r="F3014" s="237">
        <v>42912</v>
      </c>
      <c r="G3014" s="15">
        <v>29328</v>
      </c>
      <c r="H3014" s="15">
        <f t="shared" si="47"/>
        <v>0</v>
      </c>
      <c r="I3014" s="236" t="s">
        <v>19682</v>
      </c>
    </row>
    <row r="3015" spans="1:9" x14ac:dyDescent="0.25">
      <c r="A3015" s="242">
        <v>42909</v>
      </c>
      <c r="B3015" s="18">
        <v>117116</v>
      </c>
      <c r="C3015" s="235" t="s">
        <v>19677</v>
      </c>
      <c r="D3015" s="236" t="s">
        <v>15240</v>
      </c>
      <c r="E3015" s="15">
        <v>3349</v>
      </c>
      <c r="F3015" s="237">
        <v>42910</v>
      </c>
      <c r="G3015" s="15">
        <v>3349</v>
      </c>
      <c r="H3015" s="15">
        <f t="shared" si="47"/>
        <v>0</v>
      </c>
      <c r="I3015" s="236" t="s">
        <v>19682</v>
      </c>
    </row>
    <row r="3016" spans="1:9" x14ac:dyDescent="0.25">
      <c r="A3016" s="36">
        <v>42909</v>
      </c>
      <c r="B3016" s="18">
        <v>117117</v>
      </c>
      <c r="C3016" s="235" t="s">
        <v>19677</v>
      </c>
      <c r="D3016" s="236" t="s">
        <v>15348</v>
      </c>
      <c r="E3016" s="15">
        <v>3285</v>
      </c>
      <c r="F3016" s="237">
        <v>42910</v>
      </c>
      <c r="G3016" s="15">
        <v>3285</v>
      </c>
      <c r="H3016" s="15">
        <f t="shared" si="47"/>
        <v>0</v>
      </c>
      <c r="I3016" s="236" t="s">
        <v>19682</v>
      </c>
    </row>
    <row r="3017" spans="1:9" x14ac:dyDescent="0.25">
      <c r="A3017" s="242">
        <v>42909</v>
      </c>
      <c r="B3017" s="18">
        <v>117118</v>
      </c>
      <c r="C3017" s="235" t="s">
        <v>19677</v>
      </c>
      <c r="D3017" s="236" t="s">
        <v>15242</v>
      </c>
      <c r="E3017" s="15">
        <v>9794.4</v>
      </c>
      <c r="F3017" s="237">
        <v>42909</v>
      </c>
      <c r="G3017" s="15">
        <v>9794.4</v>
      </c>
      <c r="H3017" s="15">
        <f t="shared" si="47"/>
        <v>0</v>
      </c>
      <c r="I3017" s="236" t="s">
        <v>19682</v>
      </c>
    </row>
    <row r="3018" spans="1:9" x14ac:dyDescent="0.25">
      <c r="A3018" s="36">
        <v>42909</v>
      </c>
      <c r="B3018" s="18">
        <v>117119</v>
      </c>
      <c r="C3018" s="235" t="s">
        <v>19677</v>
      </c>
      <c r="D3018" s="236" t="s">
        <v>15330</v>
      </c>
      <c r="E3018" s="15">
        <v>10318</v>
      </c>
      <c r="F3018" s="237">
        <v>42909</v>
      </c>
      <c r="G3018" s="15">
        <v>10318</v>
      </c>
      <c r="H3018" s="15">
        <f t="shared" si="47"/>
        <v>0</v>
      </c>
      <c r="I3018" s="236" t="s">
        <v>19682</v>
      </c>
    </row>
    <row r="3019" spans="1:9" x14ac:dyDescent="0.25">
      <c r="A3019" s="242">
        <v>42909</v>
      </c>
      <c r="B3019" s="18">
        <v>117120</v>
      </c>
      <c r="C3019" s="235" t="s">
        <v>19677</v>
      </c>
      <c r="D3019" s="236" t="s">
        <v>15324</v>
      </c>
      <c r="E3019" s="15">
        <v>3561</v>
      </c>
      <c r="F3019" s="237">
        <v>42909</v>
      </c>
      <c r="G3019" s="15">
        <v>3561</v>
      </c>
      <c r="H3019" s="15">
        <f t="shared" si="47"/>
        <v>0</v>
      </c>
      <c r="I3019" s="236" t="s">
        <v>19682</v>
      </c>
    </row>
    <row r="3020" spans="1:9" x14ac:dyDescent="0.25">
      <c r="A3020" s="36">
        <v>42909</v>
      </c>
      <c r="B3020" s="18">
        <v>117121</v>
      </c>
      <c r="C3020" s="235" t="s">
        <v>19677</v>
      </c>
      <c r="D3020" s="236" t="s">
        <v>15252</v>
      </c>
      <c r="E3020" s="15">
        <v>2951.3</v>
      </c>
      <c r="F3020" s="237">
        <v>42912</v>
      </c>
      <c r="G3020" s="15">
        <v>2951.3</v>
      </c>
      <c r="H3020" s="15">
        <f t="shared" si="47"/>
        <v>0</v>
      </c>
      <c r="I3020" s="236" t="s">
        <v>19682</v>
      </c>
    </row>
    <row r="3021" spans="1:9" x14ac:dyDescent="0.25">
      <c r="A3021" s="242">
        <v>42909</v>
      </c>
      <c r="B3021" s="18">
        <v>117122</v>
      </c>
      <c r="C3021" s="235" t="s">
        <v>19677</v>
      </c>
      <c r="D3021" s="236" t="s">
        <v>15244</v>
      </c>
      <c r="E3021" s="15">
        <v>9911.2999999999993</v>
      </c>
      <c r="F3021" s="237">
        <v>42913</v>
      </c>
      <c r="G3021" s="15">
        <v>9911.2999999999993</v>
      </c>
      <c r="H3021" s="15">
        <f t="shared" si="47"/>
        <v>0</v>
      </c>
      <c r="I3021" s="236" t="s">
        <v>19682</v>
      </c>
    </row>
    <row r="3022" spans="1:9" x14ac:dyDescent="0.25">
      <c r="A3022" s="36">
        <v>42909</v>
      </c>
      <c r="B3022" s="18">
        <v>117123</v>
      </c>
      <c r="C3022" s="235" t="s">
        <v>19677</v>
      </c>
      <c r="D3022" s="236" t="s">
        <v>15438</v>
      </c>
      <c r="E3022" s="15">
        <v>4030.2</v>
      </c>
      <c r="F3022" s="237">
        <v>42909</v>
      </c>
      <c r="G3022" s="15">
        <v>4030.2</v>
      </c>
      <c r="H3022" s="15">
        <f t="shared" si="47"/>
        <v>0</v>
      </c>
      <c r="I3022" s="236" t="s">
        <v>19682</v>
      </c>
    </row>
    <row r="3023" spans="1:9" x14ac:dyDescent="0.25">
      <c r="A3023" s="242">
        <v>42909</v>
      </c>
      <c r="B3023" s="18">
        <v>117124</v>
      </c>
      <c r="C3023" s="235" t="s">
        <v>19677</v>
      </c>
      <c r="D3023" s="236" t="s">
        <v>15258</v>
      </c>
      <c r="E3023" s="15">
        <v>695.1</v>
      </c>
      <c r="F3023" s="237">
        <v>42912</v>
      </c>
      <c r="G3023" s="15">
        <v>695.1</v>
      </c>
      <c r="H3023" s="15">
        <f t="shared" si="47"/>
        <v>0</v>
      </c>
      <c r="I3023" s="236" t="s">
        <v>19682</v>
      </c>
    </row>
    <row r="3024" spans="1:9" x14ac:dyDescent="0.25">
      <c r="A3024" s="36">
        <v>42909</v>
      </c>
      <c r="B3024" s="18">
        <v>117125</v>
      </c>
      <c r="C3024" s="235" t="s">
        <v>19677</v>
      </c>
      <c r="D3024" s="236" t="s">
        <v>15256</v>
      </c>
      <c r="E3024" s="15">
        <v>4936.3999999999996</v>
      </c>
      <c r="F3024" s="237">
        <v>42912</v>
      </c>
      <c r="G3024" s="15">
        <v>4936.3999999999996</v>
      </c>
      <c r="H3024" s="15">
        <f t="shared" si="47"/>
        <v>0</v>
      </c>
      <c r="I3024" s="236" t="s">
        <v>19682</v>
      </c>
    </row>
    <row r="3025" spans="1:9" x14ac:dyDescent="0.25">
      <c r="A3025" s="242">
        <v>42909</v>
      </c>
      <c r="B3025" s="18">
        <v>117126</v>
      </c>
      <c r="C3025" s="235" t="s">
        <v>19677</v>
      </c>
      <c r="D3025" s="236" t="s">
        <v>15284</v>
      </c>
      <c r="E3025" s="15">
        <v>2646.2</v>
      </c>
      <c r="F3025" s="237">
        <v>42909</v>
      </c>
      <c r="G3025" s="15">
        <v>2646.2</v>
      </c>
      <c r="H3025" s="15">
        <f t="shared" si="47"/>
        <v>0</v>
      </c>
      <c r="I3025" s="236" t="s">
        <v>19682</v>
      </c>
    </row>
    <row r="3026" spans="1:9" x14ac:dyDescent="0.25">
      <c r="A3026" s="36">
        <v>42909</v>
      </c>
      <c r="B3026" s="18">
        <v>117127</v>
      </c>
      <c r="C3026" s="235" t="s">
        <v>19677</v>
      </c>
      <c r="D3026" s="236" t="s">
        <v>15391</v>
      </c>
      <c r="E3026" s="15">
        <v>9994</v>
      </c>
      <c r="F3026" s="237">
        <v>42910</v>
      </c>
      <c r="G3026" s="15">
        <v>9994</v>
      </c>
      <c r="H3026" s="15">
        <f t="shared" si="47"/>
        <v>0</v>
      </c>
      <c r="I3026" s="236" t="s">
        <v>19682</v>
      </c>
    </row>
    <row r="3027" spans="1:9" x14ac:dyDescent="0.25">
      <c r="A3027" s="242">
        <v>42909</v>
      </c>
      <c r="B3027" s="18">
        <v>117128</v>
      </c>
      <c r="C3027" s="235" t="s">
        <v>19677</v>
      </c>
      <c r="D3027" s="236" t="s">
        <v>5575</v>
      </c>
      <c r="E3027" s="15">
        <v>3840</v>
      </c>
      <c r="F3027" s="237">
        <v>42912</v>
      </c>
      <c r="G3027" s="15">
        <v>3840</v>
      </c>
      <c r="H3027" s="15">
        <f t="shared" si="47"/>
        <v>0</v>
      </c>
      <c r="I3027" s="236" t="s">
        <v>19682</v>
      </c>
    </row>
    <row r="3028" spans="1:9" x14ac:dyDescent="0.25">
      <c r="A3028" s="36">
        <v>42909</v>
      </c>
      <c r="B3028" s="18">
        <v>117129</v>
      </c>
      <c r="C3028" s="235" t="s">
        <v>19677</v>
      </c>
      <c r="D3028" s="236" t="s">
        <v>15238</v>
      </c>
      <c r="E3028" s="15">
        <v>6141.1</v>
      </c>
      <c r="F3028" s="237">
        <v>42912</v>
      </c>
      <c r="G3028" s="15">
        <v>6141.1</v>
      </c>
      <c r="H3028" s="15">
        <f t="shared" si="47"/>
        <v>0</v>
      </c>
      <c r="I3028" s="236" t="s">
        <v>19682</v>
      </c>
    </row>
    <row r="3029" spans="1:9" x14ac:dyDescent="0.25">
      <c r="A3029" s="242">
        <v>42909</v>
      </c>
      <c r="B3029" s="18">
        <v>117130</v>
      </c>
      <c r="C3029" s="235" t="s">
        <v>19677</v>
      </c>
      <c r="D3029" s="236" t="s">
        <v>15258</v>
      </c>
      <c r="E3029" s="15">
        <v>10112</v>
      </c>
      <c r="F3029" s="237" t="s">
        <v>19763</v>
      </c>
      <c r="G3029" s="241">
        <f>4000+6112</f>
        <v>10112</v>
      </c>
      <c r="H3029" s="241">
        <f t="shared" si="47"/>
        <v>0</v>
      </c>
      <c r="I3029" s="236" t="s">
        <v>19682</v>
      </c>
    </row>
    <row r="3030" spans="1:9" x14ac:dyDescent="0.25">
      <c r="A3030" s="36">
        <v>42909</v>
      </c>
      <c r="B3030" s="18">
        <v>117131</v>
      </c>
      <c r="C3030" s="235" t="s">
        <v>19677</v>
      </c>
      <c r="D3030" s="236" t="s">
        <v>15385</v>
      </c>
      <c r="E3030" s="15">
        <v>11937.6</v>
      </c>
      <c r="F3030" s="237">
        <v>42909</v>
      </c>
      <c r="G3030" s="15">
        <v>11937.6</v>
      </c>
      <c r="H3030" s="15">
        <f t="shared" si="47"/>
        <v>0</v>
      </c>
      <c r="I3030" s="236" t="s">
        <v>19682</v>
      </c>
    </row>
    <row r="3031" spans="1:9" x14ac:dyDescent="0.25">
      <c r="A3031" s="242">
        <v>42909</v>
      </c>
      <c r="B3031" s="18">
        <v>117132</v>
      </c>
      <c r="C3031" s="235" t="s">
        <v>19677</v>
      </c>
      <c r="D3031" s="236" t="s">
        <v>15376</v>
      </c>
      <c r="E3031" s="15">
        <v>6841.6</v>
      </c>
      <c r="F3031" s="237">
        <v>42909</v>
      </c>
      <c r="G3031" s="15">
        <v>6841.6</v>
      </c>
      <c r="H3031" s="15">
        <f t="shared" si="47"/>
        <v>0</v>
      </c>
      <c r="I3031" s="236" t="s">
        <v>19682</v>
      </c>
    </row>
    <row r="3032" spans="1:9" x14ac:dyDescent="0.25">
      <c r="A3032" s="36">
        <v>42909</v>
      </c>
      <c r="B3032" s="18">
        <v>117133</v>
      </c>
      <c r="C3032" s="235" t="s">
        <v>19677</v>
      </c>
      <c r="D3032" s="236" t="s">
        <v>15376</v>
      </c>
      <c r="E3032" s="15">
        <v>13987</v>
      </c>
      <c r="F3032" s="237">
        <v>42909</v>
      </c>
      <c r="G3032" s="15">
        <v>13987</v>
      </c>
      <c r="H3032" s="15">
        <f t="shared" si="47"/>
        <v>0</v>
      </c>
      <c r="I3032" s="236" t="s">
        <v>19682</v>
      </c>
    </row>
    <row r="3033" spans="1:9" x14ac:dyDescent="0.25">
      <c r="A3033" s="242">
        <v>42909</v>
      </c>
      <c r="B3033" s="18">
        <v>117134</v>
      </c>
      <c r="C3033" s="235" t="s">
        <v>19677</v>
      </c>
      <c r="D3033" s="236" t="s">
        <v>15861</v>
      </c>
      <c r="E3033" s="15">
        <v>2514</v>
      </c>
      <c r="F3033" s="237">
        <v>42910</v>
      </c>
      <c r="G3033" s="15">
        <v>2514</v>
      </c>
      <c r="H3033" s="15">
        <f t="shared" si="47"/>
        <v>0</v>
      </c>
      <c r="I3033" s="236" t="s">
        <v>19682</v>
      </c>
    </row>
    <row r="3034" spans="1:9" x14ac:dyDescent="0.25">
      <c r="A3034" s="36">
        <v>42909</v>
      </c>
      <c r="B3034" s="18">
        <v>117135</v>
      </c>
      <c r="C3034" s="235" t="s">
        <v>19677</v>
      </c>
      <c r="D3034" s="236" t="s">
        <v>15336</v>
      </c>
      <c r="E3034" s="15">
        <v>2104</v>
      </c>
      <c r="F3034" s="237">
        <v>42910</v>
      </c>
      <c r="G3034" s="15">
        <v>2104</v>
      </c>
      <c r="H3034" s="15">
        <f t="shared" si="47"/>
        <v>0</v>
      </c>
      <c r="I3034" s="236" t="s">
        <v>19682</v>
      </c>
    </row>
    <row r="3035" spans="1:9" x14ac:dyDescent="0.25">
      <c r="A3035" s="242">
        <v>42909</v>
      </c>
      <c r="B3035" s="18">
        <v>117136</v>
      </c>
      <c r="C3035" s="235" t="s">
        <v>19677</v>
      </c>
      <c r="D3035" s="236" t="s">
        <v>15858</v>
      </c>
      <c r="E3035" s="15">
        <v>2564.1999999999998</v>
      </c>
      <c r="F3035" s="237">
        <v>42910</v>
      </c>
      <c r="G3035" s="15">
        <v>2564.1999999999998</v>
      </c>
      <c r="H3035" s="15">
        <f t="shared" si="47"/>
        <v>0</v>
      </c>
      <c r="I3035" s="236" t="s">
        <v>19682</v>
      </c>
    </row>
    <row r="3036" spans="1:9" x14ac:dyDescent="0.25">
      <c r="A3036" s="36">
        <v>42909</v>
      </c>
      <c r="B3036" s="18">
        <v>117137</v>
      </c>
      <c r="C3036" s="235" t="s">
        <v>19677</v>
      </c>
      <c r="D3036" s="236" t="s">
        <v>15358</v>
      </c>
      <c r="E3036" s="15">
        <v>2313.8000000000002</v>
      </c>
      <c r="F3036" s="237">
        <v>42910</v>
      </c>
      <c r="G3036" s="15">
        <v>2313.8000000000002</v>
      </c>
      <c r="H3036" s="15">
        <f t="shared" si="47"/>
        <v>0</v>
      </c>
      <c r="I3036" s="236" t="s">
        <v>19682</v>
      </c>
    </row>
    <row r="3037" spans="1:9" x14ac:dyDescent="0.25">
      <c r="A3037" s="242">
        <v>42909</v>
      </c>
      <c r="B3037" s="18">
        <v>117138</v>
      </c>
      <c r="C3037" s="235" t="s">
        <v>19677</v>
      </c>
      <c r="D3037" s="236" t="s">
        <v>15526</v>
      </c>
      <c r="E3037" s="15">
        <v>3686.4</v>
      </c>
      <c r="F3037" s="237">
        <v>42910</v>
      </c>
      <c r="G3037" s="15">
        <v>3686.4</v>
      </c>
      <c r="H3037" s="15">
        <f t="shared" si="47"/>
        <v>0</v>
      </c>
      <c r="I3037" s="236" t="s">
        <v>19682</v>
      </c>
    </row>
    <row r="3038" spans="1:9" x14ac:dyDescent="0.25">
      <c r="A3038" s="36">
        <v>42909</v>
      </c>
      <c r="B3038" s="18">
        <v>117139</v>
      </c>
      <c r="C3038" s="235" t="s">
        <v>19677</v>
      </c>
      <c r="D3038" s="236" t="s">
        <v>15291</v>
      </c>
      <c r="E3038" s="15">
        <v>846</v>
      </c>
      <c r="F3038" s="237">
        <v>42910</v>
      </c>
      <c r="G3038" s="15">
        <v>846</v>
      </c>
      <c r="H3038" s="15">
        <f t="shared" si="47"/>
        <v>0</v>
      </c>
      <c r="I3038" s="236" t="s">
        <v>19682</v>
      </c>
    </row>
    <row r="3039" spans="1:9" x14ac:dyDescent="0.25">
      <c r="A3039" s="242">
        <v>42909</v>
      </c>
      <c r="B3039" s="18">
        <v>117140</v>
      </c>
      <c r="C3039" s="235" t="s">
        <v>19677</v>
      </c>
      <c r="D3039" s="236" t="s">
        <v>15276</v>
      </c>
      <c r="E3039" s="15">
        <v>3760</v>
      </c>
      <c r="F3039" s="237">
        <v>42910</v>
      </c>
      <c r="G3039" s="15">
        <v>3760</v>
      </c>
      <c r="H3039" s="15">
        <f t="shared" si="47"/>
        <v>0</v>
      </c>
      <c r="I3039" s="236" t="s">
        <v>19682</v>
      </c>
    </row>
    <row r="3040" spans="1:9" x14ac:dyDescent="0.25">
      <c r="A3040" s="36">
        <v>42909</v>
      </c>
      <c r="B3040" s="18">
        <v>117141</v>
      </c>
      <c r="C3040" s="235" t="s">
        <v>19677</v>
      </c>
      <c r="D3040" s="236" t="s">
        <v>15523</v>
      </c>
      <c r="E3040" s="15">
        <v>2824.7</v>
      </c>
      <c r="F3040" s="237">
        <v>42910</v>
      </c>
      <c r="G3040" s="15">
        <v>2824.7</v>
      </c>
      <c r="H3040" s="15">
        <f t="shared" si="47"/>
        <v>0</v>
      </c>
      <c r="I3040" s="236" t="s">
        <v>19682</v>
      </c>
    </row>
    <row r="3041" spans="1:9" x14ac:dyDescent="0.25">
      <c r="A3041" s="242">
        <v>42909</v>
      </c>
      <c r="B3041" s="18">
        <v>117142</v>
      </c>
      <c r="C3041" s="235" t="s">
        <v>19677</v>
      </c>
      <c r="D3041" s="236" t="s">
        <v>15315</v>
      </c>
      <c r="E3041" s="15">
        <v>753.6</v>
      </c>
      <c r="F3041" s="237">
        <v>42909</v>
      </c>
      <c r="G3041" s="15">
        <v>753.6</v>
      </c>
      <c r="H3041" s="15">
        <f t="shared" si="47"/>
        <v>0</v>
      </c>
      <c r="I3041" s="236" t="s">
        <v>19682</v>
      </c>
    </row>
    <row r="3042" spans="1:9" x14ac:dyDescent="0.25">
      <c r="A3042" s="36">
        <v>42909</v>
      </c>
      <c r="B3042" s="18">
        <v>117143</v>
      </c>
      <c r="C3042" s="235" t="s">
        <v>19677</v>
      </c>
      <c r="D3042" s="236" t="s">
        <v>15282</v>
      </c>
      <c r="E3042" s="15">
        <v>868</v>
      </c>
      <c r="F3042" s="237">
        <v>42909</v>
      </c>
      <c r="G3042" s="15">
        <v>868</v>
      </c>
      <c r="H3042" s="15">
        <f t="shared" si="47"/>
        <v>0</v>
      </c>
      <c r="I3042" s="236" t="s">
        <v>19682</v>
      </c>
    </row>
    <row r="3043" spans="1:9" x14ac:dyDescent="0.25">
      <c r="A3043" s="242">
        <v>42909</v>
      </c>
      <c r="B3043" s="18">
        <v>117144</v>
      </c>
      <c r="C3043" s="235" t="s">
        <v>19677</v>
      </c>
      <c r="D3043" s="236" t="s">
        <v>15340</v>
      </c>
      <c r="E3043" s="15">
        <v>3722.2</v>
      </c>
      <c r="F3043" s="237">
        <v>42910</v>
      </c>
      <c r="G3043" s="15">
        <v>3722.2</v>
      </c>
      <c r="H3043" s="15">
        <f t="shared" si="47"/>
        <v>0</v>
      </c>
      <c r="I3043" s="236" t="s">
        <v>19682</v>
      </c>
    </row>
    <row r="3044" spans="1:9" x14ac:dyDescent="0.25">
      <c r="A3044" s="36">
        <v>42909</v>
      </c>
      <c r="B3044" s="18">
        <v>117145</v>
      </c>
      <c r="C3044" s="235" t="s">
        <v>19677</v>
      </c>
      <c r="D3044" s="236" t="s">
        <v>15334</v>
      </c>
      <c r="E3044" s="15">
        <v>2193.8000000000002</v>
      </c>
      <c r="F3044" s="237">
        <v>42910</v>
      </c>
      <c r="G3044" s="15">
        <v>2193.8000000000002</v>
      </c>
      <c r="H3044" s="15">
        <f t="shared" si="47"/>
        <v>0</v>
      </c>
      <c r="I3044" s="236" t="s">
        <v>19682</v>
      </c>
    </row>
    <row r="3045" spans="1:9" ht="15.75" x14ac:dyDescent="0.25">
      <c r="A3045" s="242">
        <v>42909</v>
      </c>
      <c r="B3045" s="18">
        <v>117146</v>
      </c>
      <c r="C3045" s="235" t="s">
        <v>19677</v>
      </c>
      <c r="D3045" s="248" t="s">
        <v>95</v>
      </c>
      <c r="E3045" s="15">
        <v>0</v>
      </c>
      <c r="F3045" s="243" t="s">
        <v>95</v>
      </c>
      <c r="G3045" s="15">
        <v>0</v>
      </c>
      <c r="H3045" s="15">
        <f t="shared" si="47"/>
        <v>0</v>
      </c>
      <c r="I3045" s="236" t="s">
        <v>19678</v>
      </c>
    </row>
    <row r="3046" spans="1:9" x14ac:dyDescent="0.25">
      <c r="A3046" s="36">
        <v>42909</v>
      </c>
      <c r="B3046" s="18">
        <v>117147</v>
      </c>
      <c r="C3046" s="235" t="s">
        <v>19677</v>
      </c>
      <c r="D3046" s="236" t="s">
        <v>17929</v>
      </c>
      <c r="E3046" s="15">
        <v>1190</v>
      </c>
      <c r="F3046" s="237">
        <v>42909</v>
      </c>
      <c r="G3046" s="15">
        <v>1190</v>
      </c>
      <c r="H3046" s="15">
        <f t="shared" si="47"/>
        <v>0</v>
      </c>
      <c r="I3046" s="236" t="s">
        <v>19682</v>
      </c>
    </row>
    <row r="3047" spans="1:9" x14ac:dyDescent="0.25">
      <c r="A3047" s="242">
        <v>42909</v>
      </c>
      <c r="B3047" s="18">
        <v>117148</v>
      </c>
      <c r="C3047" s="235" t="s">
        <v>19677</v>
      </c>
      <c r="D3047" s="236" t="s">
        <v>15280</v>
      </c>
      <c r="E3047" s="15">
        <v>6203.9</v>
      </c>
      <c r="F3047" s="237">
        <v>42909</v>
      </c>
      <c r="G3047" s="15">
        <v>6203.9</v>
      </c>
      <c r="H3047" s="15">
        <f t="shared" si="47"/>
        <v>0</v>
      </c>
      <c r="I3047" s="236" t="s">
        <v>19682</v>
      </c>
    </row>
    <row r="3048" spans="1:9" x14ac:dyDescent="0.25">
      <c r="A3048" s="36">
        <v>42909</v>
      </c>
      <c r="B3048" s="18">
        <v>117149</v>
      </c>
      <c r="C3048" s="235" t="s">
        <v>19677</v>
      </c>
      <c r="D3048" s="236" t="s">
        <v>15757</v>
      </c>
      <c r="E3048" s="15">
        <v>5347.2</v>
      </c>
      <c r="F3048" s="237">
        <v>42910</v>
      </c>
      <c r="G3048" s="15">
        <v>5347.2</v>
      </c>
      <c r="H3048" s="15">
        <f t="shared" si="47"/>
        <v>0</v>
      </c>
      <c r="I3048" s="236" t="s">
        <v>19682</v>
      </c>
    </row>
    <row r="3049" spans="1:9" x14ac:dyDescent="0.25">
      <c r="A3049" s="242">
        <v>42909</v>
      </c>
      <c r="B3049" s="18">
        <v>117150</v>
      </c>
      <c r="C3049" s="235" t="s">
        <v>19677</v>
      </c>
      <c r="D3049" s="236" t="s">
        <v>18544</v>
      </c>
      <c r="E3049" s="15">
        <v>6485.4</v>
      </c>
      <c r="F3049" s="237">
        <v>42910</v>
      </c>
      <c r="G3049" s="15">
        <v>6485.4</v>
      </c>
      <c r="H3049" s="15">
        <f t="shared" si="47"/>
        <v>0</v>
      </c>
      <c r="I3049" s="236" t="s">
        <v>19682</v>
      </c>
    </row>
    <row r="3050" spans="1:9" ht="15.75" x14ac:dyDescent="0.25">
      <c r="A3050" s="36">
        <v>42909</v>
      </c>
      <c r="B3050" s="18">
        <v>117151</v>
      </c>
      <c r="C3050" s="235" t="s">
        <v>19677</v>
      </c>
      <c r="D3050" s="248" t="s">
        <v>95</v>
      </c>
      <c r="E3050" s="15">
        <v>0</v>
      </c>
      <c r="F3050" s="243" t="s">
        <v>95</v>
      </c>
      <c r="G3050" s="15">
        <v>0</v>
      </c>
      <c r="H3050" s="15">
        <f t="shared" si="47"/>
        <v>0</v>
      </c>
      <c r="I3050" s="236" t="s">
        <v>19678</v>
      </c>
    </row>
    <row r="3051" spans="1:9" x14ac:dyDescent="0.25">
      <c r="A3051" s="242">
        <v>42909</v>
      </c>
      <c r="B3051" s="18">
        <v>117152</v>
      </c>
      <c r="C3051" s="235" t="s">
        <v>19677</v>
      </c>
      <c r="D3051" s="236" t="s">
        <v>15332</v>
      </c>
      <c r="E3051" s="15">
        <v>2728</v>
      </c>
      <c r="F3051" s="237">
        <v>42910</v>
      </c>
      <c r="G3051" s="15">
        <v>2728</v>
      </c>
      <c r="H3051" s="15">
        <f t="shared" si="47"/>
        <v>0</v>
      </c>
      <c r="I3051" s="236" t="s">
        <v>19682</v>
      </c>
    </row>
    <row r="3052" spans="1:9" x14ac:dyDescent="0.25">
      <c r="A3052" s="36">
        <v>42909</v>
      </c>
      <c r="B3052" s="18">
        <v>117153</v>
      </c>
      <c r="C3052" s="235" t="s">
        <v>19677</v>
      </c>
      <c r="D3052" s="236" t="s">
        <v>15326</v>
      </c>
      <c r="E3052" s="15">
        <v>4564.2</v>
      </c>
      <c r="F3052" s="237">
        <v>42909</v>
      </c>
      <c r="G3052" s="15">
        <v>4564.2</v>
      </c>
      <c r="H3052" s="15">
        <f t="shared" si="47"/>
        <v>0</v>
      </c>
      <c r="I3052" s="236" t="s">
        <v>19682</v>
      </c>
    </row>
    <row r="3053" spans="1:9" x14ac:dyDescent="0.25">
      <c r="A3053" s="242">
        <v>42909</v>
      </c>
      <c r="B3053" s="18">
        <v>117154</v>
      </c>
      <c r="C3053" s="235" t="s">
        <v>19677</v>
      </c>
      <c r="D3053" s="236" t="s">
        <v>15267</v>
      </c>
      <c r="E3053" s="15">
        <v>67025</v>
      </c>
      <c r="F3053" s="237">
        <v>42910</v>
      </c>
      <c r="G3053" s="15">
        <v>67025</v>
      </c>
      <c r="H3053" s="15">
        <f t="shared" si="47"/>
        <v>0</v>
      </c>
      <c r="I3053" s="236" t="s">
        <v>19682</v>
      </c>
    </row>
    <row r="3054" spans="1:9" x14ac:dyDescent="0.25">
      <c r="A3054" s="36">
        <v>42909</v>
      </c>
      <c r="B3054" s="18">
        <v>117155</v>
      </c>
      <c r="C3054" s="235" t="s">
        <v>19677</v>
      </c>
      <c r="D3054" s="236" t="s">
        <v>15278</v>
      </c>
      <c r="E3054" s="15">
        <v>8446.14</v>
      </c>
      <c r="F3054" s="237">
        <v>42909</v>
      </c>
      <c r="G3054" s="15">
        <v>8446.14</v>
      </c>
      <c r="H3054" s="15">
        <f t="shared" si="47"/>
        <v>0</v>
      </c>
      <c r="I3054" s="236" t="s">
        <v>19682</v>
      </c>
    </row>
    <row r="3055" spans="1:9" x14ac:dyDescent="0.25">
      <c r="A3055" s="242">
        <v>42909</v>
      </c>
      <c r="B3055" s="18">
        <v>117156</v>
      </c>
      <c r="C3055" s="235" t="s">
        <v>19677</v>
      </c>
      <c r="D3055" s="236" t="s">
        <v>15728</v>
      </c>
      <c r="E3055" s="15">
        <v>14790</v>
      </c>
      <c r="F3055" s="237">
        <v>42909</v>
      </c>
      <c r="G3055" s="15">
        <v>14790</v>
      </c>
      <c r="H3055" s="15">
        <f t="shared" si="47"/>
        <v>0</v>
      </c>
      <c r="I3055" s="236" t="s">
        <v>19682</v>
      </c>
    </row>
    <row r="3056" spans="1:9" x14ac:dyDescent="0.25">
      <c r="A3056" s="36">
        <v>42909</v>
      </c>
      <c r="B3056" s="18">
        <v>117157</v>
      </c>
      <c r="C3056" s="235" t="s">
        <v>19677</v>
      </c>
      <c r="D3056" s="236" t="s">
        <v>15530</v>
      </c>
      <c r="E3056" s="15">
        <v>3182.4</v>
      </c>
      <c r="F3056" s="237">
        <v>42909</v>
      </c>
      <c r="G3056" s="15">
        <v>3182.4</v>
      </c>
      <c r="H3056" s="15">
        <f t="shared" si="47"/>
        <v>0</v>
      </c>
      <c r="I3056" s="236" t="s">
        <v>19682</v>
      </c>
    </row>
    <row r="3057" spans="1:9" x14ac:dyDescent="0.25">
      <c r="A3057" s="242">
        <v>42909</v>
      </c>
      <c r="B3057" s="18">
        <v>117158</v>
      </c>
      <c r="C3057" s="235" t="s">
        <v>19677</v>
      </c>
      <c r="D3057" s="236" t="s">
        <v>15315</v>
      </c>
      <c r="E3057" s="15">
        <v>1927</v>
      </c>
      <c r="F3057" s="237">
        <v>42909</v>
      </c>
      <c r="G3057" s="15">
        <v>1927</v>
      </c>
      <c r="H3057" s="15">
        <f t="shared" si="47"/>
        <v>0</v>
      </c>
      <c r="I3057" s="236" t="s">
        <v>19682</v>
      </c>
    </row>
    <row r="3058" spans="1:9" x14ac:dyDescent="0.25">
      <c r="A3058" s="36">
        <v>42909</v>
      </c>
      <c r="B3058" s="18">
        <v>117159</v>
      </c>
      <c r="C3058" s="235" t="s">
        <v>19677</v>
      </c>
      <c r="D3058" s="236" t="s">
        <v>15315</v>
      </c>
      <c r="E3058" s="15">
        <v>1522.8</v>
      </c>
      <c r="F3058" s="237">
        <v>42909</v>
      </c>
      <c r="G3058" s="15">
        <v>1522.8</v>
      </c>
      <c r="H3058" s="15">
        <f t="shared" si="47"/>
        <v>0</v>
      </c>
      <c r="I3058" s="236" t="s">
        <v>19682</v>
      </c>
    </row>
    <row r="3059" spans="1:9" x14ac:dyDescent="0.25">
      <c r="A3059" s="242">
        <v>42909</v>
      </c>
      <c r="B3059" s="18">
        <v>117160</v>
      </c>
      <c r="C3059" s="235" t="s">
        <v>19677</v>
      </c>
      <c r="D3059" s="236" t="s">
        <v>15246</v>
      </c>
      <c r="E3059" s="15">
        <v>42525.5</v>
      </c>
      <c r="F3059" s="237">
        <v>42910</v>
      </c>
      <c r="G3059" s="15">
        <v>42525.5</v>
      </c>
      <c r="H3059" s="15">
        <f t="shared" si="47"/>
        <v>0</v>
      </c>
      <c r="I3059" s="236" t="s">
        <v>19682</v>
      </c>
    </row>
    <row r="3060" spans="1:9" ht="15.75" x14ac:dyDescent="0.25">
      <c r="A3060" s="36">
        <v>42909</v>
      </c>
      <c r="B3060" s="18">
        <v>117161</v>
      </c>
      <c r="C3060" s="235" t="s">
        <v>19677</v>
      </c>
      <c r="D3060" s="248" t="s">
        <v>95</v>
      </c>
      <c r="E3060" s="15">
        <v>0</v>
      </c>
      <c r="F3060" s="243" t="s">
        <v>95</v>
      </c>
      <c r="G3060" s="15">
        <v>0</v>
      </c>
      <c r="H3060" s="15">
        <f t="shared" si="47"/>
        <v>0</v>
      </c>
      <c r="I3060" s="236" t="s">
        <v>19678</v>
      </c>
    </row>
    <row r="3061" spans="1:9" x14ac:dyDescent="0.25">
      <c r="A3061" s="242">
        <v>42909</v>
      </c>
      <c r="B3061" s="18">
        <v>117162</v>
      </c>
      <c r="C3061" s="235" t="s">
        <v>19677</v>
      </c>
      <c r="D3061" s="236" t="s">
        <v>15378</v>
      </c>
      <c r="E3061" s="15">
        <v>2724.6</v>
      </c>
      <c r="F3061" s="237">
        <v>42909</v>
      </c>
      <c r="G3061" s="15">
        <v>2724.6</v>
      </c>
      <c r="H3061" s="15">
        <f t="shared" si="47"/>
        <v>0</v>
      </c>
      <c r="I3061" s="236" t="s">
        <v>19682</v>
      </c>
    </row>
    <row r="3062" spans="1:9" x14ac:dyDescent="0.25">
      <c r="A3062" s="36">
        <v>42909</v>
      </c>
      <c r="B3062" s="18">
        <v>117163</v>
      </c>
      <c r="C3062" s="235" t="s">
        <v>19677</v>
      </c>
      <c r="D3062" s="236" t="s">
        <v>16126</v>
      </c>
      <c r="E3062" s="15">
        <v>6507</v>
      </c>
      <c r="F3062" s="237">
        <v>42909</v>
      </c>
      <c r="G3062" s="15">
        <v>6507</v>
      </c>
      <c r="H3062" s="15">
        <f t="shared" si="47"/>
        <v>0</v>
      </c>
      <c r="I3062" s="236" t="s">
        <v>19682</v>
      </c>
    </row>
    <row r="3063" spans="1:9" x14ac:dyDescent="0.25">
      <c r="A3063" s="242">
        <v>42909</v>
      </c>
      <c r="B3063" s="18">
        <v>117164</v>
      </c>
      <c r="C3063" s="235" t="s">
        <v>19677</v>
      </c>
      <c r="D3063" s="236" t="s">
        <v>15223</v>
      </c>
      <c r="E3063" s="15">
        <v>44840.4</v>
      </c>
      <c r="F3063" s="266">
        <v>42929</v>
      </c>
      <c r="G3063" s="35">
        <v>44840.4</v>
      </c>
      <c r="H3063" s="15">
        <f t="shared" si="47"/>
        <v>0</v>
      </c>
      <c r="I3063" s="236" t="s">
        <v>19682</v>
      </c>
    </row>
    <row r="3064" spans="1:9" x14ac:dyDescent="0.25">
      <c r="A3064" s="36">
        <v>42909</v>
      </c>
      <c r="B3064" s="18">
        <v>117165</v>
      </c>
      <c r="C3064" s="235" t="s">
        <v>19677</v>
      </c>
      <c r="D3064" s="236" t="s">
        <v>15315</v>
      </c>
      <c r="E3064" s="15">
        <v>689.7</v>
      </c>
      <c r="F3064" s="237">
        <v>42909</v>
      </c>
      <c r="G3064" s="15">
        <v>689.7</v>
      </c>
      <c r="H3064" s="15">
        <f t="shared" si="47"/>
        <v>0</v>
      </c>
      <c r="I3064" s="236" t="s">
        <v>19682</v>
      </c>
    </row>
    <row r="3065" spans="1:9" x14ac:dyDescent="0.25">
      <c r="A3065" s="242">
        <v>42909</v>
      </c>
      <c r="B3065" s="18">
        <v>117166</v>
      </c>
      <c r="C3065" s="235" t="s">
        <v>19677</v>
      </c>
      <c r="D3065" s="236" t="s">
        <v>19767</v>
      </c>
      <c r="E3065" s="15">
        <v>17094</v>
      </c>
      <c r="F3065" s="237">
        <v>42910</v>
      </c>
      <c r="G3065" s="15">
        <v>17094</v>
      </c>
      <c r="H3065" s="15">
        <f t="shared" si="47"/>
        <v>0</v>
      </c>
      <c r="I3065" s="236" t="s">
        <v>19682</v>
      </c>
    </row>
    <row r="3066" spans="1:9" x14ac:dyDescent="0.25">
      <c r="A3066" s="36">
        <v>42909</v>
      </c>
      <c r="B3066" s="18">
        <v>117167</v>
      </c>
      <c r="C3066" s="235" t="s">
        <v>19677</v>
      </c>
      <c r="D3066" s="236" t="s">
        <v>15596</v>
      </c>
      <c r="E3066" s="15">
        <v>1410</v>
      </c>
      <c r="F3066" s="237">
        <v>42910</v>
      </c>
      <c r="G3066" s="15">
        <v>1410</v>
      </c>
      <c r="H3066" s="15">
        <f t="shared" si="47"/>
        <v>0</v>
      </c>
      <c r="I3066" s="236" t="s">
        <v>19682</v>
      </c>
    </row>
    <row r="3067" spans="1:9" x14ac:dyDescent="0.25">
      <c r="A3067" s="242">
        <v>42909</v>
      </c>
      <c r="B3067" s="18">
        <v>117168</v>
      </c>
      <c r="C3067" s="235" t="s">
        <v>19677</v>
      </c>
      <c r="D3067" s="236" t="s">
        <v>15307</v>
      </c>
      <c r="E3067" s="15">
        <v>6008.8</v>
      </c>
      <c r="F3067" s="237">
        <v>42910</v>
      </c>
      <c r="G3067" s="15">
        <v>6008.8</v>
      </c>
      <c r="H3067" s="15">
        <f t="shared" si="47"/>
        <v>0</v>
      </c>
      <c r="I3067" s="236" t="s">
        <v>19682</v>
      </c>
    </row>
    <row r="3068" spans="1:9" x14ac:dyDescent="0.25">
      <c r="A3068" s="36">
        <v>42909</v>
      </c>
      <c r="B3068" s="18">
        <v>117169</v>
      </c>
      <c r="C3068" s="235" t="s">
        <v>19677</v>
      </c>
      <c r="D3068" s="236" t="s">
        <v>17800</v>
      </c>
      <c r="E3068" s="15">
        <v>4579.5</v>
      </c>
      <c r="F3068" s="237">
        <v>42910</v>
      </c>
      <c r="G3068" s="15">
        <v>4579.5</v>
      </c>
      <c r="H3068" s="15">
        <f t="shared" si="47"/>
        <v>0</v>
      </c>
      <c r="I3068" s="236" t="s">
        <v>19682</v>
      </c>
    </row>
    <row r="3069" spans="1:9" x14ac:dyDescent="0.25">
      <c r="A3069" s="242">
        <v>42909</v>
      </c>
      <c r="B3069" s="18">
        <v>117170</v>
      </c>
      <c r="C3069" s="235" t="s">
        <v>19677</v>
      </c>
      <c r="D3069" s="236" t="s">
        <v>15541</v>
      </c>
      <c r="E3069" s="15">
        <v>1696.8</v>
      </c>
      <c r="F3069" s="237">
        <v>42909</v>
      </c>
      <c r="G3069" s="15">
        <v>1696.8</v>
      </c>
      <c r="H3069" s="15">
        <f t="shared" si="47"/>
        <v>0</v>
      </c>
      <c r="I3069" s="236" t="s">
        <v>19682</v>
      </c>
    </row>
    <row r="3070" spans="1:9" x14ac:dyDescent="0.25">
      <c r="A3070" s="36">
        <v>42909</v>
      </c>
      <c r="B3070" s="18">
        <v>117171</v>
      </c>
      <c r="C3070" s="235" t="s">
        <v>19677</v>
      </c>
      <c r="D3070" s="236" t="s">
        <v>16108</v>
      </c>
      <c r="E3070" s="15">
        <v>5713</v>
      </c>
      <c r="F3070" s="237">
        <v>42909</v>
      </c>
      <c r="G3070" s="15">
        <v>5713</v>
      </c>
      <c r="H3070" s="15">
        <f t="shared" si="47"/>
        <v>0</v>
      </c>
      <c r="I3070" s="236" t="s">
        <v>19682</v>
      </c>
    </row>
    <row r="3071" spans="1:9" x14ac:dyDescent="0.25">
      <c r="A3071" s="242">
        <v>42909</v>
      </c>
      <c r="B3071" s="18">
        <v>117172</v>
      </c>
      <c r="C3071" s="235" t="s">
        <v>19677</v>
      </c>
      <c r="D3071" s="236" t="s">
        <v>15309</v>
      </c>
      <c r="E3071" s="15">
        <v>25279.5</v>
      </c>
      <c r="F3071" s="237">
        <v>42910</v>
      </c>
      <c r="G3071" s="15">
        <v>25279.5</v>
      </c>
      <c r="H3071" s="15">
        <f t="shared" si="47"/>
        <v>0</v>
      </c>
      <c r="I3071" s="236" t="s">
        <v>19682</v>
      </c>
    </row>
    <row r="3072" spans="1:9" x14ac:dyDescent="0.25">
      <c r="A3072" s="36">
        <v>42909</v>
      </c>
      <c r="B3072" s="18">
        <v>117173</v>
      </c>
      <c r="C3072" s="235" t="s">
        <v>19677</v>
      </c>
      <c r="D3072" s="236" t="s">
        <v>15311</v>
      </c>
      <c r="E3072" s="15">
        <v>733.2</v>
      </c>
      <c r="F3072" s="237">
        <v>42910</v>
      </c>
      <c r="G3072" s="15">
        <v>733.2</v>
      </c>
      <c r="H3072" s="15">
        <f t="shared" si="47"/>
        <v>0</v>
      </c>
      <c r="I3072" s="236" t="s">
        <v>19682</v>
      </c>
    </row>
    <row r="3073" spans="1:9" x14ac:dyDescent="0.25">
      <c r="A3073" s="242">
        <v>42909</v>
      </c>
      <c r="B3073" s="18">
        <v>117174</v>
      </c>
      <c r="C3073" s="235" t="s">
        <v>19677</v>
      </c>
      <c r="D3073" s="236" t="s">
        <v>15583</v>
      </c>
      <c r="E3073" s="15">
        <v>1586.1</v>
      </c>
      <c r="F3073" s="237">
        <v>42912</v>
      </c>
      <c r="G3073" s="15">
        <v>1586.1</v>
      </c>
      <c r="H3073" s="15">
        <f t="shared" si="47"/>
        <v>0</v>
      </c>
      <c r="I3073" s="236" t="s">
        <v>19682</v>
      </c>
    </row>
    <row r="3074" spans="1:9" x14ac:dyDescent="0.25">
      <c r="A3074" s="36">
        <v>42909</v>
      </c>
      <c r="B3074" s="18">
        <v>117175</v>
      </c>
      <c r="C3074" s="235" t="s">
        <v>19677</v>
      </c>
      <c r="D3074" s="236" t="s">
        <v>19691</v>
      </c>
      <c r="E3074" s="15">
        <v>6268.52</v>
      </c>
      <c r="F3074" s="237">
        <v>42915</v>
      </c>
      <c r="G3074" s="15">
        <v>6268.52</v>
      </c>
      <c r="H3074" s="15">
        <f t="shared" ref="H3074:H3137" si="48">E3074-G3074</f>
        <v>0</v>
      </c>
      <c r="I3074" s="236" t="s">
        <v>19682</v>
      </c>
    </row>
    <row r="3075" spans="1:9" x14ac:dyDescent="0.25">
      <c r="A3075" s="242">
        <v>42909</v>
      </c>
      <c r="B3075" s="18">
        <v>117176</v>
      </c>
      <c r="C3075" s="235" t="s">
        <v>19677</v>
      </c>
      <c r="D3075" s="236" t="s">
        <v>15226</v>
      </c>
      <c r="E3075" s="15">
        <v>1979.3</v>
      </c>
      <c r="F3075" s="237">
        <v>42909</v>
      </c>
      <c r="G3075" s="15">
        <v>1979.3</v>
      </c>
      <c r="H3075" s="15">
        <f t="shared" si="48"/>
        <v>0</v>
      </c>
      <c r="I3075" s="236" t="s">
        <v>19682</v>
      </c>
    </row>
    <row r="3076" spans="1:9" x14ac:dyDescent="0.25">
      <c r="A3076" s="36">
        <v>42909</v>
      </c>
      <c r="B3076" s="18">
        <v>117177</v>
      </c>
      <c r="C3076" s="235" t="s">
        <v>19677</v>
      </c>
      <c r="D3076" s="236" t="s">
        <v>15338</v>
      </c>
      <c r="E3076" s="15">
        <v>9460</v>
      </c>
      <c r="F3076" s="237">
        <v>42914</v>
      </c>
      <c r="G3076" s="15">
        <v>9460</v>
      </c>
      <c r="H3076" s="15">
        <f t="shared" si="48"/>
        <v>0</v>
      </c>
      <c r="I3076" s="236" t="s">
        <v>19682</v>
      </c>
    </row>
    <row r="3077" spans="1:9" x14ac:dyDescent="0.25">
      <c r="A3077" s="242">
        <v>42909</v>
      </c>
      <c r="B3077" s="18">
        <v>117178</v>
      </c>
      <c r="C3077" s="235" t="s">
        <v>19677</v>
      </c>
      <c r="D3077" s="236" t="s">
        <v>15417</v>
      </c>
      <c r="E3077" s="15">
        <v>2741.6</v>
      </c>
      <c r="F3077" s="237">
        <v>42910</v>
      </c>
      <c r="G3077" s="15">
        <v>2741.6</v>
      </c>
      <c r="H3077" s="15">
        <f t="shared" si="48"/>
        <v>0</v>
      </c>
      <c r="I3077" s="236" t="s">
        <v>19682</v>
      </c>
    </row>
    <row r="3078" spans="1:9" x14ac:dyDescent="0.25">
      <c r="A3078" s="36">
        <v>42909</v>
      </c>
      <c r="B3078" s="18">
        <v>117179</v>
      </c>
      <c r="C3078" s="235" t="s">
        <v>19677</v>
      </c>
      <c r="D3078" s="236" t="s">
        <v>15301</v>
      </c>
      <c r="E3078" s="15">
        <v>3571.5</v>
      </c>
      <c r="F3078" s="237">
        <v>42910</v>
      </c>
      <c r="G3078" s="15">
        <v>3571.5</v>
      </c>
      <c r="H3078" s="15">
        <f t="shared" si="48"/>
        <v>0</v>
      </c>
      <c r="I3078" s="236" t="s">
        <v>19682</v>
      </c>
    </row>
    <row r="3079" spans="1:9" x14ac:dyDescent="0.25">
      <c r="A3079" s="242">
        <v>42909</v>
      </c>
      <c r="B3079" s="18">
        <v>117180</v>
      </c>
      <c r="C3079" s="235" t="s">
        <v>19677</v>
      </c>
      <c r="D3079" s="236" t="s">
        <v>15566</v>
      </c>
      <c r="E3079" s="15">
        <v>3323.9</v>
      </c>
      <c r="F3079" s="237">
        <v>42909</v>
      </c>
      <c r="G3079" s="15">
        <v>3323.9</v>
      </c>
      <c r="H3079" s="15">
        <f t="shared" si="48"/>
        <v>0</v>
      </c>
      <c r="I3079" s="236" t="s">
        <v>19682</v>
      </c>
    </row>
    <row r="3080" spans="1:9" x14ac:dyDescent="0.25">
      <c r="A3080" s="36">
        <v>42909</v>
      </c>
      <c r="B3080" s="18">
        <v>117181</v>
      </c>
      <c r="C3080" s="235" t="s">
        <v>19677</v>
      </c>
      <c r="D3080" s="236" t="s">
        <v>15315</v>
      </c>
      <c r="E3080" s="15">
        <v>1406.4</v>
      </c>
      <c r="F3080" s="237">
        <v>42910</v>
      </c>
      <c r="G3080" s="15">
        <v>1406.4</v>
      </c>
      <c r="H3080" s="15">
        <f t="shared" si="48"/>
        <v>0</v>
      </c>
      <c r="I3080" s="236" t="s">
        <v>19682</v>
      </c>
    </row>
    <row r="3081" spans="1:9" x14ac:dyDescent="0.25">
      <c r="A3081" s="242">
        <v>42909</v>
      </c>
      <c r="B3081" s="18">
        <v>117182</v>
      </c>
      <c r="C3081" s="235" t="s">
        <v>19677</v>
      </c>
      <c r="D3081" s="236" t="s">
        <v>15315</v>
      </c>
      <c r="E3081" s="15">
        <v>2109.6</v>
      </c>
      <c r="F3081" s="237">
        <v>42909</v>
      </c>
      <c r="G3081" s="15">
        <v>2109.6</v>
      </c>
      <c r="H3081" s="15">
        <f t="shared" si="48"/>
        <v>0</v>
      </c>
      <c r="I3081" s="236" t="s">
        <v>19682</v>
      </c>
    </row>
    <row r="3082" spans="1:9" x14ac:dyDescent="0.25">
      <c r="A3082" s="36">
        <v>42909</v>
      </c>
      <c r="B3082" s="18">
        <v>117183</v>
      </c>
      <c r="C3082" s="235" t="s">
        <v>19677</v>
      </c>
      <c r="D3082" s="236" t="s">
        <v>15539</v>
      </c>
      <c r="E3082" s="15">
        <v>19610.900000000001</v>
      </c>
      <c r="F3082" s="237">
        <v>42915</v>
      </c>
      <c r="G3082" s="15">
        <v>19610.900000000001</v>
      </c>
      <c r="H3082" s="15">
        <f t="shared" si="48"/>
        <v>0</v>
      </c>
      <c r="I3082" s="236" t="s">
        <v>19682</v>
      </c>
    </row>
    <row r="3083" spans="1:9" x14ac:dyDescent="0.25">
      <c r="A3083" s="242">
        <v>42909</v>
      </c>
      <c r="B3083" s="18">
        <v>117184</v>
      </c>
      <c r="C3083" s="235" t="s">
        <v>19677</v>
      </c>
      <c r="D3083" s="236" t="s">
        <v>15537</v>
      </c>
      <c r="E3083" s="15">
        <v>20307.3</v>
      </c>
      <c r="F3083" s="237">
        <v>42915</v>
      </c>
      <c r="G3083" s="15">
        <v>20307.3</v>
      </c>
      <c r="H3083" s="15">
        <f t="shared" si="48"/>
        <v>0</v>
      </c>
      <c r="I3083" s="236" t="s">
        <v>19682</v>
      </c>
    </row>
    <row r="3084" spans="1:9" x14ac:dyDescent="0.25">
      <c r="A3084" s="36">
        <v>42909</v>
      </c>
      <c r="B3084" s="18">
        <v>117185</v>
      </c>
      <c r="C3084" s="235" t="s">
        <v>19677</v>
      </c>
      <c r="D3084" s="236" t="s">
        <v>15559</v>
      </c>
      <c r="E3084" s="15">
        <v>16474.7</v>
      </c>
      <c r="F3084" s="237">
        <v>42915</v>
      </c>
      <c r="G3084" s="15">
        <v>16474.7</v>
      </c>
      <c r="H3084" s="15">
        <f t="shared" si="48"/>
        <v>0</v>
      </c>
      <c r="I3084" s="236" t="s">
        <v>19682</v>
      </c>
    </row>
    <row r="3085" spans="1:9" x14ac:dyDescent="0.25">
      <c r="A3085" s="242">
        <v>42909</v>
      </c>
      <c r="B3085" s="18">
        <v>117186</v>
      </c>
      <c r="C3085" s="235" t="s">
        <v>19677</v>
      </c>
      <c r="D3085" s="236" t="s">
        <v>15315</v>
      </c>
      <c r="E3085" s="15">
        <v>3028</v>
      </c>
      <c r="F3085" s="237">
        <v>42915</v>
      </c>
      <c r="G3085" s="15">
        <v>3028</v>
      </c>
      <c r="H3085" s="15">
        <f t="shared" si="48"/>
        <v>0</v>
      </c>
      <c r="I3085" s="236" t="s">
        <v>19682</v>
      </c>
    </row>
    <row r="3086" spans="1:9" x14ac:dyDescent="0.25">
      <c r="A3086" s="36">
        <v>42909</v>
      </c>
      <c r="B3086" s="18">
        <v>117187</v>
      </c>
      <c r="C3086" s="235" t="s">
        <v>19677</v>
      </c>
      <c r="D3086" s="236" t="s">
        <v>15544</v>
      </c>
      <c r="E3086" s="15">
        <v>7264</v>
      </c>
      <c r="F3086" s="237">
        <v>42915</v>
      </c>
      <c r="G3086" s="15">
        <v>7264</v>
      </c>
      <c r="H3086" s="15">
        <f t="shared" si="48"/>
        <v>0</v>
      </c>
      <c r="I3086" s="236" t="s">
        <v>19682</v>
      </c>
    </row>
    <row r="3087" spans="1:9" x14ac:dyDescent="0.25">
      <c r="A3087" s="242">
        <v>42909</v>
      </c>
      <c r="B3087" s="18">
        <v>117188</v>
      </c>
      <c r="C3087" s="235" t="s">
        <v>19677</v>
      </c>
      <c r="D3087" s="236" t="s">
        <v>16040</v>
      </c>
      <c r="E3087" s="15">
        <v>17748.599999999999</v>
      </c>
      <c r="F3087" s="237">
        <v>42915</v>
      </c>
      <c r="G3087" s="15">
        <v>17748.599999999999</v>
      </c>
      <c r="H3087" s="15">
        <f t="shared" si="48"/>
        <v>0</v>
      </c>
      <c r="I3087" s="236" t="s">
        <v>19682</v>
      </c>
    </row>
    <row r="3088" spans="1:9" x14ac:dyDescent="0.25">
      <c r="A3088" s="36">
        <v>42909</v>
      </c>
      <c r="B3088" s="18">
        <v>117189</v>
      </c>
      <c r="C3088" s="235" t="s">
        <v>19677</v>
      </c>
      <c r="D3088" s="236" t="s">
        <v>15315</v>
      </c>
      <c r="E3088" s="15">
        <v>33022.5</v>
      </c>
      <c r="F3088" s="237">
        <v>42915</v>
      </c>
      <c r="G3088" s="15">
        <v>33022.5</v>
      </c>
      <c r="H3088" s="15">
        <f t="shared" si="48"/>
        <v>0</v>
      </c>
      <c r="I3088" s="236" t="s">
        <v>19682</v>
      </c>
    </row>
    <row r="3089" spans="1:9" x14ac:dyDescent="0.25">
      <c r="A3089" s="242">
        <v>42909</v>
      </c>
      <c r="B3089" s="18">
        <v>117190</v>
      </c>
      <c r="C3089" s="235" t="s">
        <v>19677</v>
      </c>
      <c r="D3089" s="236" t="s">
        <v>15555</v>
      </c>
      <c r="E3089" s="15">
        <v>35488.44</v>
      </c>
      <c r="F3089" s="237">
        <v>42916</v>
      </c>
      <c r="G3089" s="15">
        <v>35488.44</v>
      </c>
      <c r="H3089" s="15">
        <f t="shared" si="48"/>
        <v>0</v>
      </c>
      <c r="I3089" s="236" t="s">
        <v>19682</v>
      </c>
    </row>
    <row r="3090" spans="1:9" x14ac:dyDescent="0.25">
      <c r="A3090" s="36">
        <v>42909</v>
      </c>
      <c r="B3090" s="18">
        <v>117191</v>
      </c>
      <c r="C3090" s="235" t="s">
        <v>19677</v>
      </c>
      <c r="D3090" s="236" t="s">
        <v>15246</v>
      </c>
      <c r="E3090" s="15">
        <v>7038</v>
      </c>
      <c r="F3090" s="237">
        <v>42910</v>
      </c>
      <c r="G3090" s="15">
        <v>7038</v>
      </c>
      <c r="H3090" s="15">
        <f t="shared" si="48"/>
        <v>0</v>
      </c>
      <c r="I3090" s="236" t="s">
        <v>19682</v>
      </c>
    </row>
    <row r="3091" spans="1:9" x14ac:dyDescent="0.25">
      <c r="A3091" s="242">
        <v>42909</v>
      </c>
      <c r="B3091" s="18">
        <v>117192</v>
      </c>
      <c r="C3091" s="235" t="s">
        <v>19677</v>
      </c>
      <c r="D3091" s="236" t="s">
        <v>15557</v>
      </c>
      <c r="E3091" s="15">
        <v>26839.9</v>
      </c>
      <c r="F3091" s="237">
        <v>42923</v>
      </c>
      <c r="G3091" s="15">
        <v>26839.9</v>
      </c>
      <c r="H3091" s="15">
        <f t="shared" si="48"/>
        <v>0</v>
      </c>
      <c r="I3091" s="236" t="s">
        <v>19682</v>
      </c>
    </row>
    <row r="3092" spans="1:9" x14ac:dyDescent="0.25">
      <c r="A3092" s="36">
        <v>42909</v>
      </c>
      <c r="B3092" s="18">
        <v>117193</v>
      </c>
      <c r="C3092" s="235" t="s">
        <v>19677</v>
      </c>
      <c r="D3092" s="236" t="s">
        <v>19768</v>
      </c>
      <c r="E3092" s="15">
        <v>1410</v>
      </c>
      <c r="F3092" s="237">
        <v>42909</v>
      </c>
      <c r="G3092" s="15">
        <v>1410</v>
      </c>
      <c r="H3092" s="15">
        <f t="shared" si="48"/>
        <v>0</v>
      </c>
      <c r="I3092" s="236" t="s">
        <v>19682</v>
      </c>
    </row>
    <row r="3093" spans="1:9" x14ac:dyDescent="0.25">
      <c r="A3093" s="242">
        <v>42909</v>
      </c>
      <c r="B3093" s="18">
        <v>117194</v>
      </c>
      <c r="C3093" s="235" t="s">
        <v>19677</v>
      </c>
      <c r="D3093" s="236" t="s">
        <v>16522</v>
      </c>
      <c r="E3093" s="15">
        <v>20024</v>
      </c>
      <c r="F3093" s="293">
        <v>42952</v>
      </c>
      <c r="G3093" s="107">
        <v>20024</v>
      </c>
      <c r="H3093" s="15">
        <f t="shared" si="48"/>
        <v>0</v>
      </c>
      <c r="I3093" s="236" t="s">
        <v>19682</v>
      </c>
    </row>
    <row r="3094" spans="1:9" x14ac:dyDescent="0.25">
      <c r="A3094" s="36">
        <v>42909</v>
      </c>
      <c r="B3094" s="18">
        <v>117195</v>
      </c>
      <c r="C3094" s="235" t="s">
        <v>19677</v>
      </c>
      <c r="D3094" s="236" t="s">
        <v>15396</v>
      </c>
      <c r="E3094" s="15">
        <v>6836.36</v>
      </c>
      <c r="F3094" s="237">
        <v>42909</v>
      </c>
      <c r="G3094" s="15">
        <v>6836.36</v>
      </c>
      <c r="H3094" s="15">
        <f t="shared" si="48"/>
        <v>0</v>
      </c>
      <c r="I3094" s="236" t="s">
        <v>19682</v>
      </c>
    </row>
    <row r="3095" spans="1:9" x14ac:dyDescent="0.25">
      <c r="A3095" s="242">
        <v>42909</v>
      </c>
      <c r="B3095" s="18">
        <v>117196</v>
      </c>
      <c r="C3095" s="235" t="s">
        <v>19677</v>
      </c>
      <c r="D3095" s="236" t="s">
        <v>15315</v>
      </c>
      <c r="E3095" s="15">
        <v>532.20000000000005</v>
      </c>
      <c r="F3095" s="237">
        <v>42909</v>
      </c>
      <c r="G3095" s="15">
        <v>532.20000000000005</v>
      </c>
      <c r="H3095" s="15">
        <f t="shared" si="48"/>
        <v>0</v>
      </c>
      <c r="I3095" s="236" t="s">
        <v>19682</v>
      </c>
    </row>
    <row r="3096" spans="1:9" x14ac:dyDescent="0.25">
      <c r="A3096" s="36">
        <v>42909</v>
      </c>
      <c r="B3096" s="18">
        <v>117197</v>
      </c>
      <c r="C3096" s="235" t="s">
        <v>19677</v>
      </c>
      <c r="D3096" s="236" t="s">
        <v>16048</v>
      </c>
      <c r="E3096" s="15">
        <v>6406.4</v>
      </c>
      <c r="F3096" s="237">
        <v>42909</v>
      </c>
      <c r="G3096" s="15">
        <v>6406.4</v>
      </c>
      <c r="H3096" s="15">
        <f t="shared" si="48"/>
        <v>0</v>
      </c>
      <c r="I3096" s="236" t="s">
        <v>19682</v>
      </c>
    </row>
    <row r="3097" spans="1:9" ht="15.75" x14ac:dyDescent="0.25">
      <c r="A3097" s="242">
        <v>42909</v>
      </c>
      <c r="B3097" s="18">
        <v>117198</v>
      </c>
      <c r="C3097" s="235" t="s">
        <v>19677</v>
      </c>
      <c r="D3097" s="248" t="s">
        <v>95</v>
      </c>
      <c r="E3097" s="15">
        <v>0</v>
      </c>
      <c r="F3097" s="243" t="s">
        <v>95</v>
      </c>
      <c r="G3097" s="15">
        <v>0</v>
      </c>
      <c r="H3097" s="15">
        <f t="shared" si="48"/>
        <v>0</v>
      </c>
      <c r="I3097" s="236" t="s">
        <v>19678</v>
      </c>
    </row>
    <row r="3098" spans="1:9" x14ac:dyDescent="0.25">
      <c r="A3098" s="36">
        <v>42909</v>
      </c>
      <c r="B3098" s="18">
        <v>117199</v>
      </c>
      <c r="C3098" s="235" t="s">
        <v>19677</v>
      </c>
      <c r="D3098" s="236" t="s">
        <v>15624</v>
      </c>
      <c r="E3098" s="15">
        <v>30803.35</v>
      </c>
      <c r="F3098" s="237">
        <v>42909</v>
      </c>
      <c r="G3098" s="15">
        <v>30803.35</v>
      </c>
      <c r="H3098" s="15">
        <f t="shared" si="48"/>
        <v>0</v>
      </c>
      <c r="I3098" s="236" t="s">
        <v>19682</v>
      </c>
    </row>
    <row r="3099" spans="1:9" x14ac:dyDescent="0.25">
      <c r="A3099" s="242">
        <v>42909</v>
      </c>
      <c r="B3099" s="18">
        <v>117200</v>
      </c>
      <c r="C3099" s="235" t="s">
        <v>19677</v>
      </c>
      <c r="D3099" s="236" t="s">
        <v>19769</v>
      </c>
      <c r="E3099" s="15">
        <v>32638.7</v>
      </c>
      <c r="F3099" s="237">
        <v>42909</v>
      </c>
      <c r="G3099" s="15">
        <v>32638.7</v>
      </c>
      <c r="H3099" s="15">
        <f t="shared" si="48"/>
        <v>0</v>
      </c>
      <c r="I3099" s="236" t="s">
        <v>19682</v>
      </c>
    </row>
    <row r="3100" spans="1:9" x14ac:dyDescent="0.25">
      <c r="A3100" s="36">
        <v>42909</v>
      </c>
      <c r="B3100" s="18">
        <v>117201</v>
      </c>
      <c r="C3100" s="235" t="s">
        <v>19677</v>
      </c>
      <c r="D3100" s="236" t="s">
        <v>15423</v>
      </c>
      <c r="E3100" s="15">
        <v>2514.5</v>
      </c>
      <c r="F3100" s="237">
        <v>42909</v>
      </c>
      <c r="G3100" s="15">
        <v>2514.5</v>
      </c>
      <c r="H3100" s="15">
        <f t="shared" si="48"/>
        <v>0</v>
      </c>
      <c r="I3100" s="236" t="s">
        <v>19682</v>
      </c>
    </row>
    <row r="3101" spans="1:9" x14ac:dyDescent="0.25">
      <c r="A3101" s="242">
        <v>42909</v>
      </c>
      <c r="B3101" s="18">
        <v>117202</v>
      </c>
      <c r="C3101" s="235" t="s">
        <v>19677</v>
      </c>
      <c r="D3101" s="236" t="s">
        <v>16129</v>
      </c>
      <c r="E3101" s="15">
        <v>6366</v>
      </c>
      <c r="F3101" s="237">
        <v>42916</v>
      </c>
      <c r="G3101" s="15">
        <v>6366</v>
      </c>
      <c r="H3101" s="15">
        <f t="shared" si="48"/>
        <v>0</v>
      </c>
      <c r="I3101" s="236" t="s">
        <v>19682</v>
      </c>
    </row>
    <row r="3102" spans="1:9" x14ac:dyDescent="0.25">
      <c r="A3102" s="36">
        <v>42909</v>
      </c>
      <c r="B3102" s="18">
        <v>117203</v>
      </c>
      <c r="C3102" s="235" t="s">
        <v>19677</v>
      </c>
      <c r="D3102" s="236" t="s">
        <v>15315</v>
      </c>
      <c r="E3102" s="15">
        <v>416</v>
      </c>
      <c r="F3102" s="237">
        <v>42909</v>
      </c>
      <c r="G3102" s="15">
        <v>416</v>
      </c>
      <c r="H3102" s="15">
        <f t="shared" si="48"/>
        <v>0</v>
      </c>
      <c r="I3102" s="236" t="s">
        <v>19682</v>
      </c>
    </row>
    <row r="3103" spans="1:9" x14ac:dyDescent="0.25">
      <c r="A3103" s="242">
        <v>42909</v>
      </c>
      <c r="B3103" s="18">
        <v>117204</v>
      </c>
      <c r="C3103" s="235" t="s">
        <v>19677</v>
      </c>
      <c r="D3103" s="236" t="s">
        <v>15407</v>
      </c>
      <c r="E3103" s="15">
        <v>9041.2000000000007</v>
      </c>
      <c r="F3103" s="237">
        <v>42909</v>
      </c>
      <c r="G3103" s="15">
        <v>9041.2000000000007</v>
      </c>
      <c r="H3103" s="15">
        <f t="shared" si="48"/>
        <v>0</v>
      </c>
      <c r="I3103" s="236" t="s">
        <v>19682</v>
      </c>
    </row>
    <row r="3104" spans="1:9" x14ac:dyDescent="0.25">
      <c r="A3104" s="36">
        <v>42909</v>
      </c>
      <c r="B3104" s="18">
        <v>117205</v>
      </c>
      <c r="C3104" s="235" t="s">
        <v>19677</v>
      </c>
      <c r="D3104" s="236" t="s">
        <v>15810</v>
      </c>
      <c r="E3104" s="15">
        <v>725.8</v>
      </c>
      <c r="F3104" s="237">
        <v>42909</v>
      </c>
      <c r="G3104" s="15">
        <v>725.8</v>
      </c>
      <c r="H3104" s="15">
        <f t="shared" si="48"/>
        <v>0</v>
      </c>
      <c r="I3104" s="236" t="s">
        <v>19682</v>
      </c>
    </row>
    <row r="3105" spans="1:9" x14ac:dyDescent="0.25">
      <c r="A3105" s="242">
        <v>42909</v>
      </c>
      <c r="B3105" s="18">
        <v>117206</v>
      </c>
      <c r="C3105" s="235" t="s">
        <v>19677</v>
      </c>
      <c r="D3105" s="236" t="s">
        <v>15315</v>
      </c>
      <c r="E3105" s="15">
        <v>1231.2</v>
      </c>
      <c r="F3105" s="237">
        <v>42909</v>
      </c>
      <c r="G3105" s="15">
        <v>1231.2</v>
      </c>
      <c r="H3105" s="15">
        <f t="shared" si="48"/>
        <v>0</v>
      </c>
      <c r="I3105" s="236" t="s">
        <v>19682</v>
      </c>
    </row>
    <row r="3106" spans="1:9" x14ac:dyDescent="0.25">
      <c r="A3106" s="36">
        <v>42909</v>
      </c>
      <c r="B3106" s="18">
        <v>117207</v>
      </c>
      <c r="C3106" s="235" t="s">
        <v>19677</v>
      </c>
      <c r="D3106" s="236" t="s">
        <v>15322</v>
      </c>
      <c r="E3106" s="15">
        <v>3321.6</v>
      </c>
      <c r="F3106" s="237">
        <v>42909</v>
      </c>
      <c r="G3106" s="15">
        <v>3321.6</v>
      </c>
      <c r="H3106" s="15">
        <f t="shared" si="48"/>
        <v>0</v>
      </c>
      <c r="I3106" s="236" t="s">
        <v>19682</v>
      </c>
    </row>
    <row r="3107" spans="1:9" x14ac:dyDescent="0.25">
      <c r="A3107" s="242">
        <v>42909</v>
      </c>
      <c r="B3107" s="18">
        <v>117208</v>
      </c>
      <c r="C3107" s="235" t="s">
        <v>19677</v>
      </c>
      <c r="D3107" s="236" t="s">
        <v>15284</v>
      </c>
      <c r="E3107" s="15">
        <v>1317.2</v>
      </c>
      <c r="F3107" s="237">
        <v>42909</v>
      </c>
      <c r="G3107" s="15">
        <v>1317.2</v>
      </c>
      <c r="H3107" s="15">
        <f t="shared" si="48"/>
        <v>0</v>
      </c>
      <c r="I3107" s="236" t="s">
        <v>19682</v>
      </c>
    </row>
    <row r="3108" spans="1:9" x14ac:dyDescent="0.25">
      <c r="A3108" s="36">
        <v>42909</v>
      </c>
      <c r="B3108" s="18">
        <v>117209</v>
      </c>
      <c r="C3108" s="235" t="s">
        <v>19677</v>
      </c>
      <c r="D3108" s="236" t="s">
        <v>15444</v>
      </c>
      <c r="E3108" s="15">
        <v>2528.6</v>
      </c>
      <c r="F3108" s="237">
        <v>42912</v>
      </c>
      <c r="G3108" s="15">
        <v>2528.6</v>
      </c>
      <c r="H3108" s="15">
        <f t="shared" si="48"/>
        <v>0</v>
      </c>
      <c r="I3108" s="236" t="s">
        <v>19682</v>
      </c>
    </row>
    <row r="3109" spans="1:9" x14ac:dyDescent="0.25">
      <c r="A3109" s="242">
        <v>42909</v>
      </c>
      <c r="B3109" s="18">
        <v>117210</v>
      </c>
      <c r="C3109" s="235" t="s">
        <v>19677</v>
      </c>
      <c r="D3109" s="236" t="s">
        <v>15725</v>
      </c>
      <c r="E3109" s="15">
        <v>16101.6</v>
      </c>
      <c r="F3109" s="237">
        <v>42911</v>
      </c>
      <c r="G3109" s="15">
        <v>16101.6</v>
      </c>
      <c r="H3109" s="15">
        <f t="shared" si="48"/>
        <v>0</v>
      </c>
      <c r="I3109" s="236" t="s">
        <v>19682</v>
      </c>
    </row>
    <row r="3110" spans="1:9" x14ac:dyDescent="0.25">
      <c r="A3110" s="36">
        <v>42909</v>
      </c>
      <c r="B3110" s="18">
        <v>117211</v>
      </c>
      <c r="C3110" s="235" t="s">
        <v>19677</v>
      </c>
      <c r="D3110" s="236" t="s">
        <v>15315</v>
      </c>
      <c r="E3110" s="15">
        <v>1333</v>
      </c>
      <c r="F3110" s="237">
        <v>42910</v>
      </c>
      <c r="G3110" s="15">
        <v>1333</v>
      </c>
      <c r="H3110" s="15">
        <f t="shared" si="48"/>
        <v>0</v>
      </c>
      <c r="I3110" s="236" t="s">
        <v>19682</v>
      </c>
    </row>
    <row r="3111" spans="1:9" x14ac:dyDescent="0.25">
      <c r="A3111" s="242">
        <v>42909</v>
      </c>
      <c r="B3111" s="18">
        <v>117212</v>
      </c>
      <c r="C3111" s="235" t="s">
        <v>19677</v>
      </c>
      <c r="D3111" s="236" t="s">
        <v>15936</v>
      </c>
      <c r="E3111" s="15">
        <v>13572.8</v>
      </c>
      <c r="F3111" s="237">
        <v>42909</v>
      </c>
      <c r="G3111" s="15">
        <v>13572.8</v>
      </c>
      <c r="H3111" s="15">
        <f t="shared" si="48"/>
        <v>0</v>
      </c>
      <c r="I3111" s="236" t="s">
        <v>19682</v>
      </c>
    </row>
    <row r="3112" spans="1:9" x14ac:dyDescent="0.25">
      <c r="A3112" s="36">
        <v>42909</v>
      </c>
      <c r="B3112" s="18">
        <v>117213</v>
      </c>
      <c r="C3112" s="235" t="s">
        <v>19677</v>
      </c>
      <c r="D3112" s="236" t="s">
        <v>15315</v>
      </c>
      <c r="E3112" s="15">
        <v>1081.9000000000001</v>
      </c>
      <c r="F3112" s="237">
        <v>42910</v>
      </c>
      <c r="G3112" s="15">
        <v>1081.9000000000001</v>
      </c>
      <c r="H3112" s="15">
        <f t="shared" si="48"/>
        <v>0</v>
      </c>
      <c r="I3112" s="236" t="s">
        <v>19682</v>
      </c>
    </row>
    <row r="3113" spans="1:9" x14ac:dyDescent="0.25">
      <c r="A3113" s="242">
        <v>42909</v>
      </c>
      <c r="B3113" s="18">
        <v>117214</v>
      </c>
      <c r="C3113" s="235" t="s">
        <v>19677</v>
      </c>
      <c r="D3113" s="236" t="s">
        <v>16383</v>
      </c>
      <c r="E3113" s="15">
        <v>350.2</v>
      </c>
      <c r="F3113" s="237">
        <v>42910</v>
      </c>
      <c r="G3113" s="15">
        <v>350.2</v>
      </c>
      <c r="H3113" s="15">
        <f t="shared" si="48"/>
        <v>0</v>
      </c>
      <c r="I3113" s="236" t="s">
        <v>19682</v>
      </c>
    </row>
    <row r="3114" spans="1:9" x14ac:dyDescent="0.25">
      <c r="A3114" s="36">
        <v>42909</v>
      </c>
      <c r="B3114" s="18">
        <v>117215</v>
      </c>
      <c r="C3114" s="235" t="s">
        <v>19677</v>
      </c>
      <c r="D3114" s="236" t="s">
        <v>15317</v>
      </c>
      <c r="E3114" s="15">
        <v>362.7</v>
      </c>
      <c r="F3114" s="237">
        <v>42912</v>
      </c>
      <c r="G3114" s="15">
        <v>362.7</v>
      </c>
      <c r="H3114" s="15">
        <f t="shared" si="48"/>
        <v>0</v>
      </c>
      <c r="I3114" s="236" t="s">
        <v>19682</v>
      </c>
    </row>
    <row r="3115" spans="1:9" x14ac:dyDescent="0.25">
      <c r="A3115" s="242">
        <v>42909</v>
      </c>
      <c r="B3115" s="18">
        <v>117216</v>
      </c>
      <c r="C3115" s="235" t="s">
        <v>19677</v>
      </c>
      <c r="D3115" s="236" t="s">
        <v>15315</v>
      </c>
      <c r="E3115" s="15">
        <v>689.6</v>
      </c>
      <c r="F3115" s="237">
        <v>42910</v>
      </c>
      <c r="G3115" s="15">
        <v>689.6</v>
      </c>
      <c r="H3115" s="15">
        <f t="shared" si="48"/>
        <v>0</v>
      </c>
      <c r="I3115" s="236" t="s">
        <v>19682</v>
      </c>
    </row>
    <row r="3116" spans="1:9" x14ac:dyDescent="0.25">
      <c r="A3116" s="36">
        <v>42909</v>
      </c>
      <c r="B3116" s="18">
        <v>117217</v>
      </c>
      <c r="C3116" s="235" t="s">
        <v>19677</v>
      </c>
      <c r="D3116" s="236" t="s">
        <v>15577</v>
      </c>
      <c r="E3116" s="15">
        <v>617.9</v>
      </c>
      <c r="F3116" s="237">
        <v>42909</v>
      </c>
      <c r="G3116" s="15">
        <v>617.9</v>
      </c>
      <c r="H3116" s="15">
        <f t="shared" si="48"/>
        <v>0</v>
      </c>
      <c r="I3116" s="236" t="s">
        <v>19682</v>
      </c>
    </row>
    <row r="3117" spans="1:9" x14ac:dyDescent="0.25">
      <c r="A3117" s="242">
        <v>42909</v>
      </c>
      <c r="B3117" s="18">
        <v>117218</v>
      </c>
      <c r="C3117" s="235" t="s">
        <v>19677</v>
      </c>
      <c r="D3117" s="236" t="s">
        <v>15365</v>
      </c>
      <c r="E3117" s="15">
        <v>434636</v>
      </c>
      <c r="F3117" s="237">
        <v>42915</v>
      </c>
      <c r="G3117" s="15">
        <v>434636</v>
      </c>
      <c r="H3117" s="15">
        <f t="shared" si="48"/>
        <v>0</v>
      </c>
      <c r="I3117" s="236" t="s">
        <v>19682</v>
      </c>
    </row>
    <row r="3118" spans="1:9" x14ac:dyDescent="0.25">
      <c r="A3118" s="36">
        <v>42909</v>
      </c>
      <c r="B3118" s="18">
        <v>117219</v>
      </c>
      <c r="C3118" s="235" t="s">
        <v>19677</v>
      </c>
      <c r="D3118" s="236" t="s">
        <v>15568</v>
      </c>
      <c r="E3118" s="15">
        <v>19420</v>
      </c>
      <c r="F3118" s="237">
        <v>42910</v>
      </c>
      <c r="G3118" s="15">
        <v>19420</v>
      </c>
      <c r="H3118" s="15">
        <f t="shared" si="48"/>
        <v>0</v>
      </c>
      <c r="I3118" s="236" t="s">
        <v>19682</v>
      </c>
    </row>
    <row r="3119" spans="1:9" x14ac:dyDescent="0.25">
      <c r="A3119" s="242">
        <v>42909</v>
      </c>
      <c r="B3119" s="18">
        <v>117220</v>
      </c>
      <c r="C3119" s="235" t="s">
        <v>19677</v>
      </c>
      <c r="D3119" s="236" t="s">
        <v>15361</v>
      </c>
      <c r="E3119" s="15">
        <v>7200.2</v>
      </c>
      <c r="F3119" s="237">
        <v>42911</v>
      </c>
      <c r="G3119" s="15">
        <v>7200.2</v>
      </c>
      <c r="H3119" s="15">
        <f t="shared" si="48"/>
        <v>0</v>
      </c>
      <c r="I3119" s="236" t="s">
        <v>19682</v>
      </c>
    </row>
    <row r="3120" spans="1:9" x14ac:dyDescent="0.25">
      <c r="A3120" s="36">
        <v>42909</v>
      </c>
      <c r="B3120" s="18">
        <v>117221</v>
      </c>
      <c r="C3120" s="235" t="s">
        <v>19677</v>
      </c>
      <c r="D3120" s="236" t="s">
        <v>15315</v>
      </c>
      <c r="E3120" s="15">
        <v>3812.8</v>
      </c>
      <c r="F3120" s="237">
        <v>42910</v>
      </c>
      <c r="G3120" s="15">
        <v>3812.8</v>
      </c>
      <c r="H3120" s="15">
        <f t="shared" si="48"/>
        <v>0</v>
      </c>
      <c r="I3120" s="236" t="s">
        <v>19682</v>
      </c>
    </row>
    <row r="3121" spans="1:9" x14ac:dyDescent="0.25">
      <c r="A3121" s="242">
        <v>42909</v>
      </c>
      <c r="B3121" s="18">
        <v>117222</v>
      </c>
      <c r="C3121" s="235" t="s">
        <v>19677</v>
      </c>
      <c r="D3121" s="236" t="s">
        <v>15246</v>
      </c>
      <c r="E3121" s="15">
        <v>3647</v>
      </c>
      <c r="F3121" s="237">
        <v>42910</v>
      </c>
      <c r="G3121" s="15">
        <v>3647</v>
      </c>
      <c r="H3121" s="15">
        <f t="shared" si="48"/>
        <v>0</v>
      </c>
      <c r="I3121" s="236" t="s">
        <v>19682</v>
      </c>
    </row>
    <row r="3122" spans="1:9" x14ac:dyDescent="0.25">
      <c r="A3122" s="36">
        <v>42909</v>
      </c>
      <c r="B3122" s="18">
        <v>117223</v>
      </c>
      <c r="C3122" s="235" t="s">
        <v>19677</v>
      </c>
      <c r="D3122" s="236" t="s">
        <v>15328</v>
      </c>
      <c r="E3122" s="15">
        <v>23772.98</v>
      </c>
      <c r="F3122" s="266">
        <v>42934</v>
      </c>
      <c r="G3122" s="35">
        <v>23772.98</v>
      </c>
      <c r="H3122" s="15">
        <f t="shared" si="48"/>
        <v>0</v>
      </c>
      <c r="I3122" s="236" t="s">
        <v>19682</v>
      </c>
    </row>
    <row r="3123" spans="1:9" x14ac:dyDescent="0.25">
      <c r="A3123" s="242">
        <v>42909</v>
      </c>
      <c r="B3123" s="18">
        <v>117224</v>
      </c>
      <c r="C3123" s="235" t="s">
        <v>19677</v>
      </c>
      <c r="D3123" s="236" t="s">
        <v>15328</v>
      </c>
      <c r="E3123" s="15">
        <v>67096.800000000003</v>
      </c>
      <c r="F3123" s="266" t="s">
        <v>19806</v>
      </c>
      <c r="G3123" s="133">
        <f>14519.22+52577.58</f>
        <v>67096.800000000003</v>
      </c>
      <c r="H3123" s="241">
        <f t="shared" si="48"/>
        <v>0</v>
      </c>
      <c r="I3123" s="236" t="s">
        <v>19682</v>
      </c>
    </row>
    <row r="3124" spans="1:9" x14ac:dyDescent="0.25">
      <c r="A3124" s="36">
        <v>42909</v>
      </c>
      <c r="B3124" s="18">
        <v>117225</v>
      </c>
      <c r="C3124" s="235" t="s">
        <v>19677</v>
      </c>
      <c r="D3124" s="236" t="s">
        <v>15328</v>
      </c>
      <c r="E3124" s="15">
        <v>690</v>
      </c>
      <c r="F3124" s="266">
        <v>42934</v>
      </c>
      <c r="G3124" s="35">
        <v>690</v>
      </c>
      <c r="H3124" s="15">
        <f t="shared" si="48"/>
        <v>0</v>
      </c>
      <c r="I3124" s="236" t="s">
        <v>19682</v>
      </c>
    </row>
    <row r="3125" spans="1:9" x14ac:dyDescent="0.25">
      <c r="A3125" s="242">
        <v>42909</v>
      </c>
      <c r="B3125" s="18">
        <v>117226</v>
      </c>
      <c r="C3125" s="235" t="s">
        <v>19677</v>
      </c>
      <c r="D3125" s="236" t="s">
        <v>15433</v>
      </c>
      <c r="E3125" s="15">
        <v>2877.5</v>
      </c>
      <c r="F3125" s="237">
        <v>42909</v>
      </c>
      <c r="G3125" s="15">
        <v>2877.5</v>
      </c>
      <c r="H3125" s="15">
        <f t="shared" si="48"/>
        <v>0</v>
      </c>
      <c r="I3125" s="236" t="s">
        <v>19682</v>
      </c>
    </row>
    <row r="3126" spans="1:9" x14ac:dyDescent="0.25">
      <c r="A3126" s="36">
        <v>42909</v>
      </c>
      <c r="B3126" s="18">
        <v>117227</v>
      </c>
      <c r="C3126" s="235" t="s">
        <v>19677</v>
      </c>
      <c r="D3126" s="236" t="s">
        <v>15442</v>
      </c>
      <c r="E3126" s="15">
        <v>14766.4</v>
      </c>
      <c r="F3126" s="237">
        <v>42917</v>
      </c>
      <c r="G3126" s="15">
        <v>14766.4</v>
      </c>
      <c r="H3126" s="15">
        <f t="shared" si="48"/>
        <v>0</v>
      </c>
      <c r="I3126" s="236" t="s">
        <v>19682</v>
      </c>
    </row>
    <row r="3127" spans="1:9" x14ac:dyDescent="0.25">
      <c r="A3127" s="242">
        <v>42909</v>
      </c>
      <c r="B3127" s="18">
        <v>117228</v>
      </c>
      <c r="C3127" s="235" t="s">
        <v>19677</v>
      </c>
      <c r="D3127" s="236" t="s">
        <v>19699</v>
      </c>
      <c r="E3127" s="15">
        <v>1900.4</v>
      </c>
      <c r="F3127" s="237">
        <v>42909</v>
      </c>
      <c r="G3127" s="15">
        <v>1900.4</v>
      </c>
      <c r="H3127" s="15">
        <f t="shared" si="48"/>
        <v>0</v>
      </c>
      <c r="I3127" s="236" t="s">
        <v>19682</v>
      </c>
    </row>
    <row r="3128" spans="1:9" x14ac:dyDescent="0.25">
      <c r="A3128" s="36">
        <v>42909</v>
      </c>
      <c r="B3128" s="18">
        <v>117229</v>
      </c>
      <c r="C3128" s="235" t="s">
        <v>19677</v>
      </c>
      <c r="D3128" s="236" t="s">
        <v>15246</v>
      </c>
      <c r="E3128" s="15">
        <v>332340.84000000003</v>
      </c>
      <c r="F3128" s="237" t="s">
        <v>19770</v>
      </c>
      <c r="G3128" s="15">
        <f>294554.07+37786.77</f>
        <v>332340.84000000003</v>
      </c>
      <c r="H3128" s="15">
        <f t="shared" si="48"/>
        <v>0</v>
      </c>
      <c r="I3128" s="236" t="s">
        <v>19682</v>
      </c>
    </row>
    <row r="3129" spans="1:9" x14ac:dyDescent="0.25">
      <c r="A3129" s="242">
        <v>42909</v>
      </c>
      <c r="B3129" s="18">
        <v>117230</v>
      </c>
      <c r="C3129" s="235" t="s">
        <v>19677</v>
      </c>
      <c r="D3129" s="236" t="s">
        <v>15246</v>
      </c>
      <c r="E3129" s="15">
        <v>10832.7</v>
      </c>
      <c r="F3129" s="237">
        <v>42912</v>
      </c>
      <c r="G3129" s="15">
        <v>10832.7</v>
      </c>
      <c r="H3129" s="15">
        <f t="shared" si="48"/>
        <v>0</v>
      </c>
      <c r="I3129" s="236" t="s">
        <v>19682</v>
      </c>
    </row>
    <row r="3130" spans="1:9" x14ac:dyDescent="0.25">
      <c r="A3130" s="36">
        <v>42909</v>
      </c>
      <c r="B3130" s="18">
        <v>117231</v>
      </c>
      <c r="C3130" s="235" t="s">
        <v>19677</v>
      </c>
      <c r="D3130" s="236" t="s">
        <v>15250</v>
      </c>
      <c r="E3130" s="15">
        <v>40402.980000000003</v>
      </c>
      <c r="F3130" s="237">
        <v>42915</v>
      </c>
      <c r="G3130" s="15">
        <v>40402.980000000003</v>
      </c>
      <c r="H3130" s="15">
        <f t="shared" si="48"/>
        <v>0</v>
      </c>
      <c r="I3130" s="236" t="s">
        <v>19682</v>
      </c>
    </row>
    <row r="3131" spans="1:9" x14ac:dyDescent="0.25">
      <c r="A3131" s="242">
        <v>42909</v>
      </c>
      <c r="B3131" s="18">
        <v>117232</v>
      </c>
      <c r="C3131" s="235" t="s">
        <v>19677</v>
      </c>
      <c r="D3131" s="236" t="s">
        <v>15632</v>
      </c>
      <c r="E3131" s="15">
        <v>22976.2</v>
      </c>
      <c r="F3131" s="237">
        <v>42913</v>
      </c>
      <c r="G3131" s="15">
        <v>22976.2</v>
      </c>
      <c r="H3131" s="15">
        <f t="shared" si="48"/>
        <v>0</v>
      </c>
      <c r="I3131" s="236" t="s">
        <v>19682</v>
      </c>
    </row>
    <row r="3132" spans="1:9" x14ac:dyDescent="0.25">
      <c r="A3132" s="36">
        <v>42909</v>
      </c>
      <c r="B3132" s="18">
        <v>117233</v>
      </c>
      <c r="C3132" s="235" t="s">
        <v>19677</v>
      </c>
      <c r="D3132" s="236" t="s">
        <v>16313</v>
      </c>
      <c r="E3132" s="15">
        <v>6213</v>
      </c>
      <c r="F3132" s="237">
        <v>42912</v>
      </c>
      <c r="G3132" s="15">
        <v>6213</v>
      </c>
      <c r="H3132" s="15">
        <f t="shared" si="48"/>
        <v>0</v>
      </c>
      <c r="I3132" s="236" t="s">
        <v>19682</v>
      </c>
    </row>
    <row r="3133" spans="1:9" x14ac:dyDescent="0.25">
      <c r="A3133" s="242">
        <v>42909</v>
      </c>
      <c r="B3133" s="18">
        <v>117234</v>
      </c>
      <c r="C3133" s="235" t="s">
        <v>19677</v>
      </c>
      <c r="D3133" s="236" t="s">
        <v>15250</v>
      </c>
      <c r="E3133" s="15">
        <v>31712.400000000001</v>
      </c>
      <c r="F3133" s="237">
        <v>42915</v>
      </c>
      <c r="G3133" s="15">
        <v>31712.400000000001</v>
      </c>
      <c r="H3133" s="15">
        <f t="shared" si="48"/>
        <v>0</v>
      </c>
      <c r="I3133" s="236" t="s">
        <v>19682</v>
      </c>
    </row>
    <row r="3134" spans="1:9" x14ac:dyDescent="0.25">
      <c r="A3134" s="36">
        <v>42909</v>
      </c>
      <c r="B3134" s="18">
        <v>117235</v>
      </c>
      <c r="C3134" s="235" t="s">
        <v>19677</v>
      </c>
      <c r="D3134" s="236" t="s">
        <v>15213</v>
      </c>
      <c r="E3134" s="15">
        <v>1416.8</v>
      </c>
      <c r="F3134" s="237">
        <v>42910</v>
      </c>
      <c r="G3134" s="15">
        <v>1416.8</v>
      </c>
      <c r="H3134" s="15">
        <f t="shared" si="48"/>
        <v>0</v>
      </c>
      <c r="I3134" s="236" t="s">
        <v>19682</v>
      </c>
    </row>
    <row r="3135" spans="1:9" x14ac:dyDescent="0.25">
      <c r="A3135" s="242">
        <v>42909</v>
      </c>
      <c r="B3135" s="18">
        <v>117236</v>
      </c>
      <c r="C3135" s="235" t="s">
        <v>19677</v>
      </c>
      <c r="D3135" s="236" t="s">
        <v>18076</v>
      </c>
      <c r="E3135" s="15">
        <v>6215.6</v>
      </c>
      <c r="F3135" s="237">
        <v>42909</v>
      </c>
      <c r="G3135" s="15">
        <v>6215.6</v>
      </c>
      <c r="H3135" s="15">
        <f t="shared" si="48"/>
        <v>0</v>
      </c>
      <c r="I3135" s="236" t="s">
        <v>19682</v>
      </c>
    </row>
    <row r="3136" spans="1:9" x14ac:dyDescent="0.25">
      <c r="A3136" s="36">
        <v>42909</v>
      </c>
      <c r="B3136" s="18">
        <v>117237</v>
      </c>
      <c r="C3136" s="235" t="s">
        <v>19677</v>
      </c>
      <c r="D3136" s="236" t="s">
        <v>16522</v>
      </c>
      <c r="E3136" s="15">
        <v>10048</v>
      </c>
      <c r="F3136" s="293">
        <v>42952</v>
      </c>
      <c r="G3136" s="107">
        <v>10048</v>
      </c>
      <c r="H3136" s="15">
        <f t="shared" si="48"/>
        <v>0</v>
      </c>
      <c r="I3136" s="236" t="s">
        <v>19682</v>
      </c>
    </row>
    <row r="3137" spans="1:9" x14ac:dyDescent="0.25">
      <c r="A3137" s="242">
        <v>42909</v>
      </c>
      <c r="B3137" s="18">
        <v>117238</v>
      </c>
      <c r="C3137" s="235" t="s">
        <v>19677</v>
      </c>
      <c r="D3137" s="236" t="s">
        <v>15435</v>
      </c>
      <c r="E3137" s="15">
        <v>8244</v>
      </c>
      <c r="F3137" s="237">
        <v>42909</v>
      </c>
      <c r="G3137" s="15">
        <v>8244</v>
      </c>
      <c r="H3137" s="15">
        <f t="shared" si="48"/>
        <v>0</v>
      </c>
      <c r="I3137" s="236" t="s">
        <v>19682</v>
      </c>
    </row>
    <row r="3138" spans="1:9" x14ac:dyDescent="0.25">
      <c r="A3138" s="36">
        <v>42909</v>
      </c>
      <c r="B3138" s="18">
        <v>117239</v>
      </c>
      <c r="C3138" s="235" t="s">
        <v>19677</v>
      </c>
      <c r="D3138" s="236" t="s">
        <v>15566</v>
      </c>
      <c r="E3138" s="15">
        <v>2698.4</v>
      </c>
      <c r="F3138" s="237">
        <v>42909</v>
      </c>
      <c r="G3138" s="15">
        <v>2698.4</v>
      </c>
      <c r="H3138" s="15">
        <f t="shared" ref="H3138:H3201" si="49">E3138-G3138</f>
        <v>0</v>
      </c>
      <c r="I3138" s="236" t="s">
        <v>19682</v>
      </c>
    </row>
    <row r="3139" spans="1:9" x14ac:dyDescent="0.25">
      <c r="A3139" s="242">
        <v>42909</v>
      </c>
      <c r="B3139" s="18">
        <v>117240</v>
      </c>
      <c r="C3139" s="235" t="s">
        <v>19677</v>
      </c>
      <c r="D3139" s="236" t="s">
        <v>15398</v>
      </c>
      <c r="E3139" s="15">
        <v>513</v>
      </c>
      <c r="F3139" s="237">
        <v>42909</v>
      </c>
      <c r="G3139" s="15">
        <v>513</v>
      </c>
      <c r="H3139" s="15">
        <f t="shared" si="49"/>
        <v>0</v>
      </c>
      <c r="I3139" s="236" t="s">
        <v>19682</v>
      </c>
    </row>
    <row r="3140" spans="1:9" x14ac:dyDescent="0.25">
      <c r="A3140" s="36">
        <v>42909</v>
      </c>
      <c r="B3140" s="18">
        <v>117241</v>
      </c>
      <c r="C3140" s="235" t="s">
        <v>19677</v>
      </c>
      <c r="D3140" s="236" t="s">
        <v>15566</v>
      </c>
      <c r="E3140" s="15">
        <v>659</v>
      </c>
      <c r="F3140" s="237">
        <v>42909</v>
      </c>
      <c r="G3140" s="15">
        <v>659</v>
      </c>
      <c r="H3140" s="15">
        <f t="shared" si="49"/>
        <v>0</v>
      </c>
      <c r="I3140" s="236" t="s">
        <v>19682</v>
      </c>
    </row>
    <row r="3141" spans="1:9" x14ac:dyDescent="0.25">
      <c r="A3141" s="242">
        <v>42909</v>
      </c>
      <c r="B3141" s="18">
        <v>117242</v>
      </c>
      <c r="C3141" s="235" t="s">
        <v>19677</v>
      </c>
      <c r="D3141" s="236" t="s">
        <v>15642</v>
      </c>
      <c r="E3141" s="15">
        <v>4084.5</v>
      </c>
      <c r="F3141" s="237">
        <v>42909</v>
      </c>
      <c r="G3141" s="15">
        <v>4084.5</v>
      </c>
      <c r="H3141" s="15">
        <f t="shared" si="49"/>
        <v>0</v>
      </c>
      <c r="I3141" s="236" t="s">
        <v>19682</v>
      </c>
    </row>
    <row r="3142" spans="1:9" x14ac:dyDescent="0.25">
      <c r="A3142" s="36">
        <v>42909</v>
      </c>
      <c r="B3142" s="18">
        <v>117243</v>
      </c>
      <c r="C3142" s="235" t="s">
        <v>19677</v>
      </c>
      <c r="D3142" s="236" t="s">
        <v>15246</v>
      </c>
      <c r="E3142" s="15">
        <v>28443.3</v>
      </c>
      <c r="F3142" s="237">
        <v>42912</v>
      </c>
      <c r="G3142" s="15">
        <v>28443.3</v>
      </c>
      <c r="H3142" s="15">
        <f t="shared" si="49"/>
        <v>0</v>
      </c>
      <c r="I3142" s="236" t="s">
        <v>19682</v>
      </c>
    </row>
    <row r="3143" spans="1:9" x14ac:dyDescent="0.25">
      <c r="A3143" s="242">
        <v>42909</v>
      </c>
      <c r="B3143" s="18">
        <v>117244</v>
      </c>
      <c r="C3143" s="235" t="s">
        <v>19677</v>
      </c>
      <c r="D3143" s="236" t="s">
        <v>15246</v>
      </c>
      <c r="E3143" s="15">
        <v>55285.3</v>
      </c>
      <c r="F3143" s="237">
        <v>42912</v>
      </c>
      <c r="G3143" s="15">
        <v>55285.3</v>
      </c>
      <c r="H3143" s="15">
        <f t="shared" si="49"/>
        <v>0</v>
      </c>
      <c r="I3143" s="236" t="s">
        <v>19682</v>
      </c>
    </row>
    <row r="3144" spans="1:9" x14ac:dyDescent="0.25">
      <c r="A3144" s="36">
        <v>42909</v>
      </c>
      <c r="B3144" s="18">
        <v>117245</v>
      </c>
      <c r="C3144" s="235" t="s">
        <v>19677</v>
      </c>
      <c r="D3144" s="236" t="s">
        <v>15315</v>
      </c>
      <c r="E3144" s="15">
        <v>2512.8000000000002</v>
      </c>
      <c r="F3144" s="237">
        <v>42910</v>
      </c>
      <c r="G3144" s="15">
        <v>2512.8000000000002</v>
      </c>
      <c r="H3144" s="15">
        <f t="shared" si="49"/>
        <v>0</v>
      </c>
      <c r="I3144" s="236" t="s">
        <v>19682</v>
      </c>
    </row>
    <row r="3145" spans="1:9" x14ac:dyDescent="0.25">
      <c r="A3145" s="242">
        <v>42909</v>
      </c>
      <c r="B3145" s="18">
        <v>117246</v>
      </c>
      <c r="C3145" s="235" t="s">
        <v>19677</v>
      </c>
      <c r="D3145" s="236" t="s">
        <v>15315</v>
      </c>
      <c r="E3145" s="15">
        <v>592</v>
      </c>
      <c r="F3145" s="237">
        <v>42910</v>
      </c>
      <c r="G3145" s="15">
        <v>592</v>
      </c>
      <c r="H3145" s="15">
        <f t="shared" si="49"/>
        <v>0</v>
      </c>
      <c r="I3145" s="236" t="s">
        <v>19682</v>
      </c>
    </row>
    <row r="3146" spans="1:9" x14ac:dyDescent="0.25">
      <c r="A3146" s="36">
        <v>42909</v>
      </c>
      <c r="B3146" s="18">
        <v>117247</v>
      </c>
      <c r="C3146" s="235" t="s">
        <v>19677</v>
      </c>
      <c r="D3146" s="236" t="s">
        <v>15315</v>
      </c>
      <c r="E3146" s="15">
        <v>338.4</v>
      </c>
      <c r="F3146" s="237">
        <v>42910</v>
      </c>
      <c r="G3146" s="15">
        <v>338.4</v>
      </c>
      <c r="H3146" s="15">
        <f t="shared" si="49"/>
        <v>0</v>
      </c>
      <c r="I3146" s="236" t="s">
        <v>19682</v>
      </c>
    </row>
    <row r="3147" spans="1:9" x14ac:dyDescent="0.25">
      <c r="A3147" s="242">
        <v>42909</v>
      </c>
      <c r="B3147" s="18">
        <v>117248</v>
      </c>
      <c r="C3147" s="235" t="s">
        <v>19677</v>
      </c>
      <c r="D3147" s="236" t="s">
        <v>15315</v>
      </c>
      <c r="E3147" s="15">
        <v>4047</v>
      </c>
      <c r="F3147" s="237">
        <v>42910</v>
      </c>
      <c r="G3147" s="15">
        <v>4047</v>
      </c>
      <c r="H3147" s="15">
        <f t="shared" si="49"/>
        <v>0</v>
      </c>
      <c r="I3147" s="236" t="s">
        <v>19682</v>
      </c>
    </row>
    <row r="3148" spans="1:9" x14ac:dyDescent="0.25">
      <c r="A3148" s="36">
        <v>42910</v>
      </c>
      <c r="B3148" s="18">
        <v>117249</v>
      </c>
      <c r="C3148" s="235" t="s">
        <v>19677</v>
      </c>
      <c r="D3148" s="236" t="s">
        <v>15213</v>
      </c>
      <c r="E3148" s="15">
        <v>9587.9</v>
      </c>
      <c r="F3148" s="237">
        <v>42911</v>
      </c>
      <c r="G3148" s="15">
        <v>9587.9</v>
      </c>
      <c r="H3148" s="15">
        <f t="shared" si="49"/>
        <v>0</v>
      </c>
      <c r="I3148" s="236" t="s">
        <v>19682</v>
      </c>
    </row>
    <row r="3149" spans="1:9" x14ac:dyDescent="0.25">
      <c r="A3149" s="242">
        <v>42910</v>
      </c>
      <c r="B3149" s="18">
        <v>117250</v>
      </c>
      <c r="C3149" s="235" t="s">
        <v>19677</v>
      </c>
      <c r="D3149" s="236" t="s">
        <v>15213</v>
      </c>
      <c r="E3149" s="15">
        <v>53974.400000000001</v>
      </c>
      <c r="F3149" s="237">
        <v>42911</v>
      </c>
      <c r="G3149" s="15">
        <v>53974.400000000001</v>
      </c>
      <c r="H3149" s="15">
        <f t="shared" si="49"/>
        <v>0</v>
      </c>
      <c r="I3149" s="236" t="s">
        <v>19682</v>
      </c>
    </row>
    <row r="3150" spans="1:9" ht="30" x14ac:dyDescent="0.25">
      <c r="A3150" s="36">
        <v>42910</v>
      </c>
      <c r="B3150" s="18">
        <v>117251</v>
      </c>
      <c r="C3150" s="235" t="s">
        <v>19677</v>
      </c>
      <c r="D3150" s="236" t="s">
        <v>15258</v>
      </c>
      <c r="E3150" s="15">
        <v>30831.4</v>
      </c>
      <c r="F3150" s="237" t="s">
        <v>19771</v>
      </c>
      <c r="G3150" s="241">
        <f>10000+5000+10831+5000.4</f>
        <v>30831.4</v>
      </c>
      <c r="H3150" s="241">
        <f t="shared" si="49"/>
        <v>0</v>
      </c>
      <c r="I3150" s="236" t="s">
        <v>19682</v>
      </c>
    </row>
    <row r="3151" spans="1:9" x14ac:dyDescent="0.25">
      <c r="A3151" s="242">
        <v>42910</v>
      </c>
      <c r="B3151" s="18">
        <v>117252</v>
      </c>
      <c r="C3151" s="235" t="s">
        <v>19677</v>
      </c>
      <c r="D3151" s="236" t="s">
        <v>15668</v>
      </c>
      <c r="E3151" s="15">
        <v>21996.7</v>
      </c>
      <c r="F3151" s="237">
        <v>42914</v>
      </c>
      <c r="G3151" s="15">
        <v>21996.7</v>
      </c>
      <c r="H3151" s="15">
        <f t="shared" si="49"/>
        <v>0</v>
      </c>
      <c r="I3151" s="236" t="s">
        <v>19682</v>
      </c>
    </row>
    <row r="3152" spans="1:9" x14ac:dyDescent="0.25">
      <c r="A3152" s="36">
        <v>42910</v>
      </c>
      <c r="B3152" s="18">
        <v>117253</v>
      </c>
      <c r="C3152" s="235" t="s">
        <v>19677</v>
      </c>
      <c r="D3152" s="236" t="s">
        <v>15230</v>
      </c>
      <c r="E3152" s="15">
        <v>29782.1</v>
      </c>
      <c r="F3152" s="237">
        <v>42913</v>
      </c>
      <c r="G3152" s="15">
        <v>29782.1</v>
      </c>
      <c r="H3152" s="15">
        <f t="shared" si="49"/>
        <v>0</v>
      </c>
      <c r="I3152" s="236" t="s">
        <v>19682</v>
      </c>
    </row>
    <row r="3153" spans="1:9" ht="15.75" x14ac:dyDescent="0.25">
      <c r="A3153" s="242">
        <v>42910</v>
      </c>
      <c r="B3153" s="18">
        <v>117254</v>
      </c>
      <c r="C3153" s="235" t="s">
        <v>19677</v>
      </c>
      <c r="D3153" s="248" t="s">
        <v>95</v>
      </c>
      <c r="E3153" s="15">
        <v>0</v>
      </c>
      <c r="F3153" s="243" t="s">
        <v>95</v>
      </c>
      <c r="G3153" s="15">
        <v>0</v>
      </c>
      <c r="H3153" s="15">
        <f t="shared" si="49"/>
        <v>0</v>
      </c>
      <c r="I3153" s="236" t="s">
        <v>19678</v>
      </c>
    </row>
    <row r="3154" spans="1:9" x14ac:dyDescent="0.25">
      <c r="A3154" s="36">
        <v>42910</v>
      </c>
      <c r="B3154" s="18">
        <v>117255</v>
      </c>
      <c r="C3154" s="235" t="s">
        <v>19677</v>
      </c>
      <c r="D3154" s="236" t="s">
        <v>15232</v>
      </c>
      <c r="E3154" s="15">
        <v>12906.8</v>
      </c>
      <c r="F3154" s="237">
        <v>42915</v>
      </c>
      <c r="G3154" s="15">
        <v>12906.8</v>
      </c>
      <c r="H3154" s="15">
        <f t="shared" si="49"/>
        <v>0</v>
      </c>
      <c r="I3154" s="236" t="s">
        <v>19682</v>
      </c>
    </row>
    <row r="3155" spans="1:9" x14ac:dyDescent="0.25">
      <c r="A3155" s="242">
        <v>42910</v>
      </c>
      <c r="B3155" s="18">
        <v>117256</v>
      </c>
      <c r="C3155" s="235" t="s">
        <v>19677</v>
      </c>
      <c r="D3155" s="236" t="s">
        <v>15238</v>
      </c>
      <c r="E3155" s="15">
        <v>12908.1</v>
      </c>
      <c r="F3155" s="237">
        <v>42913</v>
      </c>
      <c r="G3155" s="15">
        <v>12908.1</v>
      </c>
      <c r="H3155" s="15">
        <f t="shared" si="49"/>
        <v>0</v>
      </c>
      <c r="I3155" s="236" t="s">
        <v>19682</v>
      </c>
    </row>
    <row r="3156" spans="1:9" x14ac:dyDescent="0.25">
      <c r="A3156" s="36">
        <v>42910</v>
      </c>
      <c r="B3156" s="18">
        <v>117257</v>
      </c>
      <c r="C3156" s="235" t="s">
        <v>19677</v>
      </c>
      <c r="D3156" s="236" t="s">
        <v>15480</v>
      </c>
      <c r="E3156" s="15">
        <v>11063.6</v>
      </c>
      <c r="F3156" s="237">
        <v>42913</v>
      </c>
      <c r="G3156" s="15">
        <v>11063.6</v>
      </c>
      <c r="H3156" s="15">
        <f t="shared" si="49"/>
        <v>0</v>
      </c>
      <c r="I3156" s="236" t="s">
        <v>19682</v>
      </c>
    </row>
    <row r="3157" spans="1:9" x14ac:dyDescent="0.25">
      <c r="A3157" s="242">
        <v>42910</v>
      </c>
      <c r="B3157" s="18">
        <v>117258</v>
      </c>
      <c r="C3157" s="235" t="s">
        <v>19677</v>
      </c>
      <c r="D3157" s="236" t="s">
        <v>15234</v>
      </c>
      <c r="E3157" s="15">
        <v>6536</v>
      </c>
      <c r="F3157" s="237">
        <v>42914</v>
      </c>
      <c r="G3157" s="15">
        <v>6536</v>
      </c>
      <c r="H3157" s="15">
        <f t="shared" si="49"/>
        <v>0</v>
      </c>
      <c r="I3157" s="236" t="s">
        <v>19682</v>
      </c>
    </row>
    <row r="3158" spans="1:9" x14ac:dyDescent="0.25">
      <c r="A3158" s="36">
        <v>42910</v>
      </c>
      <c r="B3158" s="18">
        <v>117259</v>
      </c>
      <c r="C3158" s="235" t="s">
        <v>19677</v>
      </c>
      <c r="D3158" s="236" t="s">
        <v>15220</v>
      </c>
      <c r="E3158" s="15">
        <v>5170</v>
      </c>
      <c r="F3158" s="237">
        <v>42911</v>
      </c>
      <c r="G3158" s="15">
        <v>5170</v>
      </c>
      <c r="H3158" s="15">
        <f t="shared" si="49"/>
        <v>0</v>
      </c>
      <c r="I3158" s="236" t="s">
        <v>19682</v>
      </c>
    </row>
    <row r="3159" spans="1:9" x14ac:dyDescent="0.25">
      <c r="A3159" s="242">
        <v>42910</v>
      </c>
      <c r="B3159" s="18">
        <v>117260</v>
      </c>
      <c r="C3159" s="235" t="s">
        <v>19677</v>
      </c>
      <c r="D3159" s="236" t="s">
        <v>15272</v>
      </c>
      <c r="E3159" s="15">
        <v>33138.199999999997</v>
      </c>
      <c r="F3159" s="237">
        <v>42910</v>
      </c>
      <c r="G3159" s="15">
        <v>33138.199999999997</v>
      </c>
      <c r="H3159" s="15">
        <f t="shared" si="49"/>
        <v>0</v>
      </c>
      <c r="I3159" s="236" t="s">
        <v>19682</v>
      </c>
    </row>
    <row r="3160" spans="1:9" x14ac:dyDescent="0.25">
      <c r="A3160" s="36">
        <v>42910</v>
      </c>
      <c r="B3160" s="18">
        <v>117261</v>
      </c>
      <c r="C3160" s="235" t="s">
        <v>19677</v>
      </c>
      <c r="D3160" s="236" t="s">
        <v>15256</v>
      </c>
      <c r="E3160" s="15">
        <v>12497.6</v>
      </c>
      <c r="F3160" s="237" t="s">
        <v>19763</v>
      </c>
      <c r="G3160" s="241">
        <f>5600+6897.6</f>
        <v>12497.6</v>
      </c>
      <c r="H3160" s="241">
        <f t="shared" si="49"/>
        <v>0</v>
      </c>
      <c r="I3160" s="236" t="s">
        <v>19682</v>
      </c>
    </row>
    <row r="3161" spans="1:9" x14ac:dyDescent="0.25">
      <c r="A3161" s="242">
        <v>42910</v>
      </c>
      <c r="B3161" s="18">
        <v>117262</v>
      </c>
      <c r="C3161" s="235" t="s">
        <v>19677</v>
      </c>
      <c r="D3161" s="236" t="s">
        <v>17462</v>
      </c>
      <c r="E3161" s="15">
        <v>9150.9</v>
      </c>
      <c r="F3161" s="237">
        <v>42910</v>
      </c>
      <c r="G3161" s="15">
        <v>9150.9</v>
      </c>
      <c r="H3161" s="15">
        <f t="shared" si="49"/>
        <v>0</v>
      </c>
      <c r="I3161" s="236" t="s">
        <v>19682</v>
      </c>
    </row>
    <row r="3162" spans="1:9" ht="30" x14ac:dyDescent="0.25">
      <c r="A3162" s="36">
        <v>42910</v>
      </c>
      <c r="B3162" s="18">
        <v>117263</v>
      </c>
      <c r="C3162" s="235" t="s">
        <v>19677</v>
      </c>
      <c r="D3162" s="236" t="s">
        <v>5575</v>
      </c>
      <c r="E3162" s="15">
        <v>18960.599999999999</v>
      </c>
      <c r="F3162" s="237" t="s">
        <v>19788</v>
      </c>
      <c r="G3162" s="241">
        <f>9000+8000+1960.6</f>
        <v>18960.599999999999</v>
      </c>
      <c r="H3162" s="241">
        <f t="shared" si="49"/>
        <v>0</v>
      </c>
      <c r="I3162" s="236" t="s">
        <v>19682</v>
      </c>
    </row>
    <row r="3163" spans="1:9" x14ac:dyDescent="0.25">
      <c r="A3163" s="242">
        <v>42910</v>
      </c>
      <c r="B3163" s="18">
        <v>117264</v>
      </c>
      <c r="C3163" s="235" t="s">
        <v>19677</v>
      </c>
      <c r="D3163" s="236" t="s">
        <v>17235</v>
      </c>
      <c r="E3163" s="15">
        <v>1410</v>
      </c>
      <c r="F3163" s="237">
        <v>42911</v>
      </c>
      <c r="G3163" s="15">
        <v>1410</v>
      </c>
      <c r="H3163" s="15">
        <f t="shared" si="49"/>
        <v>0</v>
      </c>
      <c r="I3163" s="236" t="s">
        <v>19682</v>
      </c>
    </row>
    <row r="3164" spans="1:9" x14ac:dyDescent="0.25">
      <c r="A3164" s="36">
        <v>42910</v>
      </c>
      <c r="B3164" s="18">
        <v>117265</v>
      </c>
      <c r="C3164" s="235" t="s">
        <v>19677</v>
      </c>
      <c r="D3164" s="236" t="s">
        <v>15238</v>
      </c>
      <c r="E3164" s="15">
        <v>1503.2</v>
      </c>
      <c r="F3164" s="237">
        <v>42913</v>
      </c>
      <c r="G3164" s="15">
        <v>1503.2</v>
      </c>
      <c r="H3164" s="15">
        <f t="shared" si="49"/>
        <v>0</v>
      </c>
      <c r="I3164" s="236" t="s">
        <v>19682</v>
      </c>
    </row>
    <row r="3165" spans="1:9" x14ac:dyDescent="0.25">
      <c r="A3165" s="242">
        <v>42910</v>
      </c>
      <c r="B3165" s="18">
        <v>117266</v>
      </c>
      <c r="C3165" s="235" t="s">
        <v>19677</v>
      </c>
      <c r="D3165" s="236" t="s">
        <v>15263</v>
      </c>
      <c r="E3165" s="15">
        <v>3015.6</v>
      </c>
      <c r="F3165" s="237">
        <v>42910</v>
      </c>
      <c r="G3165" s="15">
        <v>3015.6</v>
      </c>
      <c r="H3165" s="15">
        <f t="shared" si="49"/>
        <v>0</v>
      </c>
      <c r="I3165" s="236" t="s">
        <v>19682</v>
      </c>
    </row>
    <row r="3166" spans="1:9" x14ac:dyDescent="0.25">
      <c r="A3166" s="36">
        <v>42910</v>
      </c>
      <c r="B3166" s="18">
        <v>117267</v>
      </c>
      <c r="C3166" s="235" t="s">
        <v>19677</v>
      </c>
      <c r="D3166" s="236" t="s">
        <v>15250</v>
      </c>
      <c r="E3166" s="15">
        <v>34778.199999999997</v>
      </c>
      <c r="F3166" s="237">
        <v>42915</v>
      </c>
      <c r="G3166" s="15">
        <v>34778.199999999997</v>
      </c>
      <c r="H3166" s="15">
        <f t="shared" si="49"/>
        <v>0</v>
      </c>
      <c r="I3166" s="236" t="s">
        <v>19682</v>
      </c>
    </row>
    <row r="3167" spans="1:9" x14ac:dyDescent="0.25">
      <c r="A3167" s="242">
        <v>42910</v>
      </c>
      <c r="B3167" s="18">
        <v>117268</v>
      </c>
      <c r="C3167" s="235" t="s">
        <v>19677</v>
      </c>
      <c r="D3167" s="236" t="s">
        <v>15365</v>
      </c>
      <c r="E3167" s="15">
        <v>14600</v>
      </c>
      <c r="F3167" s="237">
        <v>42915</v>
      </c>
      <c r="G3167" s="15">
        <v>14600</v>
      </c>
      <c r="H3167" s="15">
        <f t="shared" si="49"/>
        <v>0</v>
      </c>
      <c r="I3167" s="236" t="s">
        <v>19682</v>
      </c>
    </row>
    <row r="3168" spans="1:9" x14ac:dyDescent="0.25">
      <c r="A3168" s="36">
        <v>42910</v>
      </c>
      <c r="B3168" s="18">
        <v>117269</v>
      </c>
      <c r="C3168" s="235" t="s">
        <v>19677</v>
      </c>
      <c r="D3168" s="236" t="s">
        <v>5556</v>
      </c>
      <c r="E3168" s="15">
        <v>47242</v>
      </c>
      <c r="F3168" s="237">
        <v>42916</v>
      </c>
      <c r="G3168" s="15">
        <v>47242</v>
      </c>
      <c r="H3168" s="15">
        <f t="shared" si="49"/>
        <v>0</v>
      </c>
      <c r="I3168" s="236" t="s">
        <v>19682</v>
      </c>
    </row>
    <row r="3169" spans="1:9" x14ac:dyDescent="0.25">
      <c r="A3169" s="242">
        <v>42910</v>
      </c>
      <c r="B3169" s="18">
        <v>117270</v>
      </c>
      <c r="C3169" s="235" t="s">
        <v>19677</v>
      </c>
      <c r="D3169" s="236" t="s">
        <v>15530</v>
      </c>
      <c r="E3169" s="15">
        <v>5850.1</v>
      </c>
      <c r="F3169" s="237">
        <v>42910</v>
      </c>
      <c r="G3169" s="15">
        <v>5850.1</v>
      </c>
      <c r="H3169" s="15">
        <f t="shared" si="49"/>
        <v>0</v>
      </c>
      <c r="I3169" s="236" t="s">
        <v>19682</v>
      </c>
    </row>
    <row r="3170" spans="1:9" x14ac:dyDescent="0.25">
      <c r="A3170" s="36">
        <v>42910</v>
      </c>
      <c r="B3170" s="18">
        <v>117271</v>
      </c>
      <c r="C3170" s="235" t="s">
        <v>19677</v>
      </c>
      <c r="D3170" s="236" t="s">
        <v>15655</v>
      </c>
      <c r="E3170" s="15">
        <v>2785.6</v>
      </c>
      <c r="F3170" s="237">
        <v>42910</v>
      </c>
      <c r="G3170" s="15">
        <v>2785.6</v>
      </c>
      <c r="H3170" s="15">
        <f t="shared" si="49"/>
        <v>0</v>
      </c>
      <c r="I3170" s="236" t="s">
        <v>19682</v>
      </c>
    </row>
    <row r="3171" spans="1:9" x14ac:dyDescent="0.25">
      <c r="A3171" s="242">
        <v>42910</v>
      </c>
      <c r="B3171" s="18">
        <v>117272</v>
      </c>
      <c r="C3171" s="235" t="s">
        <v>19677</v>
      </c>
      <c r="D3171" s="236" t="s">
        <v>15350</v>
      </c>
      <c r="E3171" s="15">
        <v>1739</v>
      </c>
      <c r="F3171" s="237">
        <v>42910</v>
      </c>
      <c r="G3171" s="15">
        <v>1739</v>
      </c>
      <c r="H3171" s="15">
        <f t="shared" si="49"/>
        <v>0</v>
      </c>
      <c r="I3171" s="236" t="s">
        <v>19682</v>
      </c>
    </row>
    <row r="3172" spans="1:9" x14ac:dyDescent="0.25">
      <c r="A3172" s="36">
        <v>42910</v>
      </c>
      <c r="B3172" s="18">
        <v>117273</v>
      </c>
      <c r="C3172" s="235" t="s">
        <v>19677</v>
      </c>
      <c r="D3172" s="236" t="s">
        <v>15523</v>
      </c>
      <c r="E3172" s="15">
        <v>3760</v>
      </c>
      <c r="F3172" s="237">
        <v>42910</v>
      </c>
      <c r="G3172" s="15">
        <v>3760</v>
      </c>
      <c r="H3172" s="15">
        <f t="shared" si="49"/>
        <v>0</v>
      </c>
      <c r="I3172" s="236" t="s">
        <v>19682</v>
      </c>
    </row>
    <row r="3173" spans="1:9" x14ac:dyDescent="0.25">
      <c r="A3173" s="242">
        <v>42910</v>
      </c>
      <c r="B3173" s="18">
        <v>117274</v>
      </c>
      <c r="C3173" s="235" t="s">
        <v>19677</v>
      </c>
      <c r="D3173" s="236" t="s">
        <v>15858</v>
      </c>
      <c r="E3173" s="15">
        <v>3268.8</v>
      </c>
      <c r="F3173" s="237">
        <v>42910</v>
      </c>
      <c r="G3173" s="15">
        <v>3268.8</v>
      </c>
      <c r="H3173" s="15">
        <f t="shared" si="49"/>
        <v>0</v>
      </c>
      <c r="I3173" s="236" t="s">
        <v>19682</v>
      </c>
    </row>
    <row r="3174" spans="1:9" x14ac:dyDescent="0.25">
      <c r="A3174" s="36">
        <v>42910</v>
      </c>
      <c r="B3174" s="18">
        <v>117275</v>
      </c>
      <c r="C3174" s="235" t="s">
        <v>19677</v>
      </c>
      <c r="D3174" s="236" t="s">
        <v>15228</v>
      </c>
      <c r="E3174" s="15">
        <v>183</v>
      </c>
      <c r="F3174" s="237">
        <v>42910</v>
      </c>
      <c r="G3174" s="15">
        <v>183</v>
      </c>
      <c r="H3174" s="15">
        <f t="shared" si="49"/>
        <v>0</v>
      </c>
      <c r="I3174" s="236" t="s">
        <v>19682</v>
      </c>
    </row>
    <row r="3175" spans="1:9" x14ac:dyDescent="0.25">
      <c r="A3175" s="242">
        <v>42910</v>
      </c>
      <c r="B3175" s="18">
        <v>117276</v>
      </c>
      <c r="C3175" s="235" t="s">
        <v>19677</v>
      </c>
      <c r="D3175" s="236" t="s">
        <v>15240</v>
      </c>
      <c r="E3175" s="15">
        <v>3355</v>
      </c>
      <c r="F3175" s="237">
        <v>42912</v>
      </c>
      <c r="G3175" s="15">
        <v>3355</v>
      </c>
      <c r="H3175" s="15">
        <f t="shared" si="49"/>
        <v>0</v>
      </c>
      <c r="I3175" s="236" t="s">
        <v>19682</v>
      </c>
    </row>
    <row r="3176" spans="1:9" x14ac:dyDescent="0.25">
      <c r="A3176" s="36">
        <v>42910</v>
      </c>
      <c r="B3176" s="18">
        <v>117277</v>
      </c>
      <c r="C3176" s="235" t="s">
        <v>19677</v>
      </c>
      <c r="D3176" s="236" t="s">
        <v>15356</v>
      </c>
      <c r="E3176" s="15">
        <v>3135</v>
      </c>
      <c r="F3176" s="237">
        <v>42910</v>
      </c>
      <c r="G3176" s="15">
        <v>3135</v>
      </c>
      <c r="H3176" s="15">
        <f t="shared" si="49"/>
        <v>0</v>
      </c>
      <c r="I3176" s="236" t="s">
        <v>19682</v>
      </c>
    </row>
    <row r="3177" spans="1:9" x14ac:dyDescent="0.25">
      <c r="A3177" s="242">
        <v>42910</v>
      </c>
      <c r="B3177" s="18">
        <v>117278</v>
      </c>
      <c r="C3177" s="235" t="s">
        <v>19677</v>
      </c>
      <c r="D3177" s="236" t="s">
        <v>15246</v>
      </c>
      <c r="E3177" s="15">
        <v>16805</v>
      </c>
      <c r="F3177" s="237">
        <v>42914</v>
      </c>
      <c r="G3177" s="15">
        <v>16805</v>
      </c>
      <c r="H3177" s="15">
        <f t="shared" si="49"/>
        <v>0</v>
      </c>
      <c r="I3177" s="236" t="s">
        <v>19682</v>
      </c>
    </row>
    <row r="3178" spans="1:9" ht="15.75" x14ac:dyDescent="0.25">
      <c r="A3178" s="36">
        <v>42910</v>
      </c>
      <c r="B3178" s="18">
        <v>117279</v>
      </c>
      <c r="C3178" s="235" t="s">
        <v>19677</v>
      </c>
      <c r="D3178" s="248" t="s">
        <v>95</v>
      </c>
      <c r="E3178" s="15">
        <v>0</v>
      </c>
      <c r="F3178" s="243" t="s">
        <v>95</v>
      </c>
      <c r="G3178" s="15">
        <v>0</v>
      </c>
      <c r="H3178" s="15">
        <f t="shared" si="49"/>
        <v>0</v>
      </c>
      <c r="I3178" s="236" t="s">
        <v>19678</v>
      </c>
    </row>
    <row r="3179" spans="1:9" x14ac:dyDescent="0.25">
      <c r="A3179" s="242">
        <v>42910</v>
      </c>
      <c r="B3179" s="18">
        <v>117280</v>
      </c>
      <c r="C3179" s="235" t="s">
        <v>19677</v>
      </c>
      <c r="D3179" s="236" t="s">
        <v>15315</v>
      </c>
      <c r="E3179" s="15">
        <v>1376.4</v>
      </c>
      <c r="F3179" s="237">
        <v>42910</v>
      </c>
      <c r="G3179" s="15">
        <v>1376.4</v>
      </c>
      <c r="H3179" s="15">
        <f t="shared" si="49"/>
        <v>0</v>
      </c>
      <c r="I3179" s="236" t="s">
        <v>19682</v>
      </c>
    </row>
    <row r="3180" spans="1:9" x14ac:dyDescent="0.25">
      <c r="A3180" s="36">
        <v>42910</v>
      </c>
      <c r="B3180" s="18">
        <v>117281</v>
      </c>
      <c r="C3180" s="235" t="s">
        <v>19677</v>
      </c>
      <c r="D3180" s="236" t="s">
        <v>15356</v>
      </c>
      <c r="E3180" s="15">
        <v>840</v>
      </c>
      <c r="F3180" s="237">
        <v>42910</v>
      </c>
      <c r="G3180" s="15">
        <v>840</v>
      </c>
      <c r="H3180" s="15">
        <f t="shared" si="49"/>
        <v>0</v>
      </c>
      <c r="I3180" s="236" t="s">
        <v>19682</v>
      </c>
    </row>
    <row r="3181" spans="1:9" x14ac:dyDescent="0.25">
      <c r="A3181" s="242">
        <v>42910</v>
      </c>
      <c r="B3181" s="18">
        <v>117282</v>
      </c>
      <c r="C3181" s="235" t="s">
        <v>19677</v>
      </c>
      <c r="D3181" s="236" t="s">
        <v>15244</v>
      </c>
      <c r="E3181" s="15">
        <v>14708.6</v>
      </c>
      <c r="F3181" s="237">
        <v>42913</v>
      </c>
      <c r="G3181" s="15">
        <v>14708.6</v>
      </c>
      <c r="H3181" s="15">
        <f t="shared" si="49"/>
        <v>0</v>
      </c>
      <c r="I3181" s="236" t="s">
        <v>19682</v>
      </c>
    </row>
    <row r="3182" spans="1:9" x14ac:dyDescent="0.25">
      <c r="A3182" s="36">
        <v>42910</v>
      </c>
      <c r="B3182" s="18">
        <v>117283</v>
      </c>
      <c r="C3182" s="235" t="s">
        <v>19677</v>
      </c>
      <c r="D3182" s="236" t="s">
        <v>15344</v>
      </c>
      <c r="E3182" s="15">
        <v>1886.4</v>
      </c>
      <c r="F3182" s="237">
        <v>42910</v>
      </c>
      <c r="G3182" s="15">
        <v>1886.4</v>
      </c>
      <c r="H3182" s="15">
        <f t="shared" si="49"/>
        <v>0</v>
      </c>
      <c r="I3182" s="236" t="s">
        <v>19682</v>
      </c>
    </row>
    <row r="3183" spans="1:9" x14ac:dyDescent="0.25">
      <c r="A3183" s="242">
        <v>42910</v>
      </c>
      <c r="B3183" s="18">
        <v>117284</v>
      </c>
      <c r="C3183" s="235" t="s">
        <v>19677</v>
      </c>
      <c r="D3183" s="236" t="s">
        <v>15344</v>
      </c>
      <c r="E3183" s="15">
        <v>1432.6</v>
      </c>
      <c r="F3183" s="237">
        <v>42910</v>
      </c>
      <c r="G3183" s="15">
        <v>1432.6</v>
      </c>
      <c r="H3183" s="15">
        <f t="shared" si="49"/>
        <v>0</v>
      </c>
      <c r="I3183" s="236" t="s">
        <v>19682</v>
      </c>
    </row>
    <row r="3184" spans="1:9" x14ac:dyDescent="0.25">
      <c r="A3184" s="36">
        <v>42910</v>
      </c>
      <c r="B3184" s="18">
        <v>117285</v>
      </c>
      <c r="C3184" s="235" t="s">
        <v>19677</v>
      </c>
      <c r="D3184" s="236" t="s">
        <v>15252</v>
      </c>
      <c r="E3184" s="15">
        <v>13363.8</v>
      </c>
      <c r="F3184" s="237">
        <v>42912</v>
      </c>
      <c r="G3184" s="15">
        <v>13363.8</v>
      </c>
      <c r="H3184" s="15">
        <f t="shared" si="49"/>
        <v>0</v>
      </c>
      <c r="I3184" s="236" t="s">
        <v>19682</v>
      </c>
    </row>
    <row r="3185" spans="1:9" x14ac:dyDescent="0.25">
      <c r="A3185" s="242">
        <v>42910</v>
      </c>
      <c r="B3185" s="18">
        <v>117286</v>
      </c>
      <c r="C3185" s="235" t="s">
        <v>19677</v>
      </c>
      <c r="D3185" s="236" t="s">
        <v>15348</v>
      </c>
      <c r="E3185" s="15">
        <v>405</v>
      </c>
      <c r="F3185" s="237">
        <v>42910</v>
      </c>
      <c r="G3185" s="15">
        <v>405</v>
      </c>
      <c r="H3185" s="15">
        <f t="shared" si="49"/>
        <v>0</v>
      </c>
      <c r="I3185" s="236" t="s">
        <v>19682</v>
      </c>
    </row>
    <row r="3186" spans="1:9" x14ac:dyDescent="0.25">
      <c r="A3186" s="36">
        <v>42910</v>
      </c>
      <c r="B3186" s="18">
        <v>117287</v>
      </c>
      <c r="C3186" s="235" t="s">
        <v>19677</v>
      </c>
      <c r="D3186" s="236" t="s">
        <v>15342</v>
      </c>
      <c r="E3186" s="15">
        <v>1182</v>
      </c>
      <c r="F3186" s="237">
        <v>42910</v>
      </c>
      <c r="G3186" s="15">
        <v>1182</v>
      </c>
      <c r="H3186" s="15">
        <f t="shared" si="49"/>
        <v>0</v>
      </c>
      <c r="I3186" s="236" t="s">
        <v>19682</v>
      </c>
    </row>
    <row r="3187" spans="1:9" x14ac:dyDescent="0.25">
      <c r="A3187" s="242">
        <v>42910</v>
      </c>
      <c r="B3187" s="18">
        <v>117288</v>
      </c>
      <c r="C3187" s="235" t="s">
        <v>19677</v>
      </c>
      <c r="D3187" s="236" t="s">
        <v>17210</v>
      </c>
      <c r="E3187" s="15">
        <v>4137.6000000000004</v>
      </c>
      <c r="F3187" s="237">
        <v>42910</v>
      </c>
      <c r="G3187" s="15">
        <v>4137.6000000000004</v>
      </c>
      <c r="H3187" s="15">
        <f t="shared" si="49"/>
        <v>0</v>
      </c>
      <c r="I3187" s="236" t="s">
        <v>19682</v>
      </c>
    </row>
    <row r="3188" spans="1:9" x14ac:dyDescent="0.25">
      <c r="A3188" s="36">
        <v>42910</v>
      </c>
      <c r="B3188" s="18">
        <v>117289</v>
      </c>
      <c r="C3188" s="235" t="s">
        <v>19677</v>
      </c>
      <c r="D3188" s="236" t="s">
        <v>15526</v>
      </c>
      <c r="E3188" s="15">
        <v>5097.6000000000004</v>
      </c>
      <c r="F3188" s="237">
        <v>42910</v>
      </c>
      <c r="G3188" s="15">
        <v>5097.6000000000004</v>
      </c>
      <c r="H3188" s="15">
        <f t="shared" si="49"/>
        <v>0</v>
      </c>
      <c r="I3188" s="236" t="s">
        <v>19682</v>
      </c>
    </row>
    <row r="3189" spans="1:9" x14ac:dyDescent="0.25">
      <c r="A3189" s="242">
        <v>42910</v>
      </c>
      <c r="B3189" s="18">
        <v>117290</v>
      </c>
      <c r="C3189" s="235" t="s">
        <v>19677</v>
      </c>
      <c r="D3189" s="236" t="s">
        <v>15358</v>
      </c>
      <c r="E3189" s="15">
        <v>2295.4</v>
      </c>
      <c r="F3189" s="237">
        <v>42910</v>
      </c>
      <c r="G3189" s="15">
        <v>2295.4</v>
      </c>
      <c r="H3189" s="15">
        <f t="shared" si="49"/>
        <v>0</v>
      </c>
      <c r="I3189" s="236" t="s">
        <v>19682</v>
      </c>
    </row>
    <row r="3190" spans="1:9" x14ac:dyDescent="0.25">
      <c r="A3190" s="36">
        <v>42910</v>
      </c>
      <c r="B3190" s="18">
        <v>117291</v>
      </c>
      <c r="C3190" s="235" t="s">
        <v>19677</v>
      </c>
      <c r="D3190" s="236" t="s">
        <v>15242</v>
      </c>
      <c r="E3190" s="15">
        <v>7251.2</v>
      </c>
      <c r="F3190" s="237">
        <v>42910</v>
      </c>
      <c r="G3190" s="15">
        <v>7251.2</v>
      </c>
      <c r="H3190" s="15">
        <f t="shared" si="49"/>
        <v>0</v>
      </c>
      <c r="I3190" s="236" t="s">
        <v>19682</v>
      </c>
    </row>
    <row r="3191" spans="1:9" x14ac:dyDescent="0.25">
      <c r="A3191" s="242">
        <v>42910</v>
      </c>
      <c r="B3191" s="18">
        <v>117292</v>
      </c>
      <c r="C3191" s="235" t="s">
        <v>19677</v>
      </c>
      <c r="D3191" s="236" t="s">
        <v>15336</v>
      </c>
      <c r="E3191" s="15">
        <v>9393.2000000000007</v>
      </c>
      <c r="F3191" s="237">
        <v>42910</v>
      </c>
      <c r="G3191" s="15">
        <v>9393.2000000000007</v>
      </c>
      <c r="H3191" s="15">
        <f t="shared" si="49"/>
        <v>0</v>
      </c>
      <c r="I3191" s="236" t="s">
        <v>19682</v>
      </c>
    </row>
    <row r="3192" spans="1:9" x14ac:dyDescent="0.25">
      <c r="A3192" s="36">
        <v>42910</v>
      </c>
      <c r="B3192" s="18">
        <v>117293</v>
      </c>
      <c r="C3192" s="235" t="s">
        <v>19677</v>
      </c>
      <c r="D3192" s="236" t="s">
        <v>16171</v>
      </c>
      <c r="E3192" s="15">
        <v>499.2</v>
      </c>
      <c r="F3192" s="237">
        <v>42910</v>
      </c>
      <c r="G3192" s="15">
        <v>499.2</v>
      </c>
      <c r="H3192" s="15">
        <f t="shared" si="49"/>
        <v>0</v>
      </c>
      <c r="I3192" s="236" t="s">
        <v>19682</v>
      </c>
    </row>
    <row r="3193" spans="1:9" x14ac:dyDescent="0.25">
      <c r="A3193" s="242">
        <v>42910</v>
      </c>
      <c r="B3193" s="18">
        <v>117294</v>
      </c>
      <c r="C3193" s="235" t="s">
        <v>19677</v>
      </c>
      <c r="D3193" s="236" t="s">
        <v>17950</v>
      </c>
      <c r="E3193" s="15">
        <v>680</v>
      </c>
      <c r="F3193" s="237">
        <v>42910</v>
      </c>
      <c r="G3193" s="15">
        <v>680</v>
      </c>
      <c r="H3193" s="15">
        <f t="shared" si="49"/>
        <v>0</v>
      </c>
      <c r="I3193" s="236" t="s">
        <v>19682</v>
      </c>
    </row>
    <row r="3194" spans="1:9" x14ac:dyDescent="0.25">
      <c r="A3194" s="36">
        <v>42910</v>
      </c>
      <c r="B3194" s="18">
        <v>117295</v>
      </c>
      <c r="C3194" s="235" t="s">
        <v>19677</v>
      </c>
      <c r="D3194" s="236" t="s">
        <v>15861</v>
      </c>
      <c r="E3194" s="15">
        <v>1155</v>
      </c>
      <c r="F3194" s="237">
        <v>42910</v>
      </c>
      <c r="G3194" s="15">
        <v>1155</v>
      </c>
      <c r="H3194" s="15">
        <f t="shared" si="49"/>
        <v>0</v>
      </c>
      <c r="I3194" s="236" t="s">
        <v>19682</v>
      </c>
    </row>
    <row r="3195" spans="1:9" x14ac:dyDescent="0.25">
      <c r="A3195" s="242">
        <v>42910</v>
      </c>
      <c r="B3195" s="18">
        <v>117296</v>
      </c>
      <c r="C3195" s="235" t="s">
        <v>19677</v>
      </c>
      <c r="D3195" s="236" t="s">
        <v>5873</v>
      </c>
      <c r="E3195" s="15">
        <v>34184.54</v>
      </c>
      <c r="F3195" s="237">
        <v>42910</v>
      </c>
      <c r="G3195" s="15">
        <v>34184.54</v>
      </c>
      <c r="H3195" s="15">
        <f t="shared" si="49"/>
        <v>0</v>
      </c>
      <c r="I3195" s="236" t="s">
        <v>19682</v>
      </c>
    </row>
    <row r="3196" spans="1:9" x14ac:dyDescent="0.25">
      <c r="A3196" s="36">
        <v>42910</v>
      </c>
      <c r="B3196" s="18">
        <v>117297</v>
      </c>
      <c r="C3196" s="235" t="s">
        <v>19677</v>
      </c>
      <c r="D3196" s="236" t="s">
        <v>17800</v>
      </c>
      <c r="E3196" s="15">
        <v>7499.2</v>
      </c>
      <c r="F3196" s="237">
        <v>42910</v>
      </c>
      <c r="G3196" s="15">
        <v>7499.2</v>
      </c>
      <c r="H3196" s="15">
        <f t="shared" si="49"/>
        <v>0</v>
      </c>
      <c r="I3196" s="236" t="s">
        <v>19682</v>
      </c>
    </row>
    <row r="3197" spans="1:9" x14ac:dyDescent="0.25">
      <c r="A3197" s="242">
        <v>42910</v>
      </c>
      <c r="B3197" s="18">
        <v>117298</v>
      </c>
      <c r="C3197" s="235" t="s">
        <v>19677</v>
      </c>
      <c r="D3197" s="236" t="s">
        <v>15317</v>
      </c>
      <c r="E3197" s="15">
        <v>2810</v>
      </c>
      <c r="F3197" s="237">
        <v>42912</v>
      </c>
      <c r="G3197" s="15">
        <v>2810</v>
      </c>
      <c r="H3197" s="15">
        <f t="shared" si="49"/>
        <v>0</v>
      </c>
      <c r="I3197" s="236" t="s">
        <v>19682</v>
      </c>
    </row>
    <row r="3198" spans="1:9" x14ac:dyDescent="0.25">
      <c r="A3198" s="36">
        <v>42910</v>
      </c>
      <c r="B3198" s="18">
        <v>117299</v>
      </c>
      <c r="C3198" s="235" t="s">
        <v>19677</v>
      </c>
      <c r="D3198" s="236" t="s">
        <v>15523</v>
      </c>
      <c r="E3198" s="15">
        <v>44.2</v>
      </c>
      <c r="F3198" s="237">
        <v>42910</v>
      </c>
      <c r="G3198" s="15">
        <v>44.2</v>
      </c>
      <c r="H3198" s="15">
        <f t="shared" si="49"/>
        <v>0</v>
      </c>
      <c r="I3198" s="236" t="s">
        <v>19682</v>
      </c>
    </row>
    <row r="3199" spans="1:9" x14ac:dyDescent="0.25">
      <c r="A3199" s="242">
        <v>42910</v>
      </c>
      <c r="B3199" s="18">
        <v>117300</v>
      </c>
      <c r="C3199" s="235" t="s">
        <v>19677</v>
      </c>
      <c r="D3199" s="236" t="s">
        <v>15301</v>
      </c>
      <c r="E3199" s="15">
        <v>3697.5</v>
      </c>
      <c r="F3199" s="237">
        <v>42910</v>
      </c>
      <c r="G3199" s="15">
        <v>3697.5</v>
      </c>
      <c r="H3199" s="15">
        <f t="shared" si="49"/>
        <v>0</v>
      </c>
      <c r="I3199" s="236" t="s">
        <v>19682</v>
      </c>
    </row>
    <row r="3200" spans="1:9" x14ac:dyDescent="0.25">
      <c r="A3200" s="36">
        <v>42910</v>
      </c>
      <c r="B3200" s="18">
        <v>117301</v>
      </c>
      <c r="C3200" s="235" t="s">
        <v>19677</v>
      </c>
      <c r="D3200" s="236" t="s">
        <v>15303</v>
      </c>
      <c r="E3200" s="15">
        <v>735.8</v>
      </c>
      <c r="F3200" s="237">
        <v>42910</v>
      </c>
      <c r="G3200" s="15">
        <v>735.8</v>
      </c>
      <c r="H3200" s="15">
        <f t="shared" si="49"/>
        <v>0</v>
      </c>
      <c r="I3200" s="236" t="s">
        <v>19682</v>
      </c>
    </row>
    <row r="3201" spans="1:9" x14ac:dyDescent="0.25">
      <c r="A3201" s="242">
        <v>42910</v>
      </c>
      <c r="B3201" s="18">
        <v>117302</v>
      </c>
      <c r="C3201" s="235" t="s">
        <v>19677</v>
      </c>
      <c r="D3201" s="236" t="s">
        <v>16229</v>
      </c>
      <c r="E3201" s="15">
        <v>4038.4</v>
      </c>
      <c r="F3201" s="237">
        <v>42910</v>
      </c>
      <c r="G3201" s="15">
        <v>4038.4</v>
      </c>
      <c r="H3201" s="15">
        <f t="shared" si="49"/>
        <v>0</v>
      </c>
      <c r="I3201" s="236" t="s">
        <v>19682</v>
      </c>
    </row>
    <row r="3202" spans="1:9" x14ac:dyDescent="0.25">
      <c r="A3202" s="36">
        <v>42910</v>
      </c>
      <c r="B3202" s="18">
        <v>117303</v>
      </c>
      <c r="C3202" s="235" t="s">
        <v>19677</v>
      </c>
      <c r="D3202" s="236" t="s">
        <v>15415</v>
      </c>
      <c r="E3202" s="15">
        <v>916.7</v>
      </c>
      <c r="F3202" s="237">
        <v>42915</v>
      </c>
      <c r="G3202" s="15">
        <v>916.7</v>
      </c>
      <c r="H3202" s="15">
        <f t="shared" ref="H3202:H3265" si="50">E3202-G3202</f>
        <v>0</v>
      </c>
      <c r="I3202" s="236" t="s">
        <v>19682</v>
      </c>
    </row>
    <row r="3203" spans="1:9" x14ac:dyDescent="0.25">
      <c r="A3203" s="242">
        <v>42910</v>
      </c>
      <c r="B3203" s="18">
        <v>117304</v>
      </c>
      <c r="C3203" s="235" t="s">
        <v>19677</v>
      </c>
      <c r="D3203" s="236" t="s">
        <v>15291</v>
      </c>
      <c r="E3203" s="15">
        <v>470</v>
      </c>
      <c r="F3203" s="237">
        <v>42910</v>
      </c>
      <c r="G3203" s="15">
        <v>470</v>
      </c>
      <c r="H3203" s="15">
        <f t="shared" si="50"/>
        <v>0</v>
      </c>
      <c r="I3203" s="236" t="s">
        <v>19682</v>
      </c>
    </row>
    <row r="3204" spans="1:9" x14ac:dyDescent="0.25">
      <c r="A3204" s="36">
        <v>42910</v>
      </c>
      <c r="B3204" s="18">
        <v>117305</v>
      </c>
      <c r="C3204" s="235" t="s">
        <v>19677</v>
      </c>
      <c r="D3204" s="236" t="s">
        <v>15398</v>
      </c>
      <c r="E3204" s="15">
        <v>5907.55</v>
      </c>
      <c r="F3204" s="237">
        <v>42915</v>
      </c>
      <c r="G3204" s="15">
        <v>5907.55</v>
      </c>
      <c r="H3204" s="15">
        <f t="shared" si="50"/>
        <v>0</v>
      </c>
      <c r="I3204" s="236" t="s">
        <v>19682</v>
      </c>
    </row>
    <row r="3205" spans="1:9" x14ac:dyDescent="0.25">
      <c r="A3205" s="242">
        <v>42910</v>
      </c>
      <c r="B3205" s="18">
        <v>117306</v>
      </c>
      <c r="C3205" s="235" t="s">
        <v>19677</v>
      </c>
      <c r="D3205" s="236" t="s">
        <v>15398</v>
      </c>
      <c r="E3205" s="15">
        <v>185</v>
      </c>
      <c r="F3205" s="237">
        <v>42910</v>
      </c>
      <c r="G3205" s="15">
        <v>185</v>
      </c>
      <c r="H3205" s="15">
        <f t="shared" si="50"/>
        <v>0</v>
      </c>
      <c r="I3205" s="236" t="s">
        <v>19682</v>
      </c>
    </row>
    <row r="3206" spans="1:9" x14ac:dyDescent="0.25">
      <c r="A3206" s="36">
        <v>42910</v>
      </c>
      <c r="B3206" s="18">
        <v>117307</v>
      </c>
      <c r="C3206" s="235" t="s">
        <v>19677</v>
      </c>
      <c r="D3206" s="236" t="s">
        <v>15748</v>
      </c>
      <c r="E3206" s="15">
        <v>2671.9</v>
      </c>
      <c r="F3206" s="237">
        <v>42910</v>
      </c>
      <c r="G3206" s="15">
        <v>2671.9</v>
      </c>
      <c r="H3206" s="15">
        <f t="shared" si="50"/>
        <v>0</v>
      </c>
      <c r="I3206" s="236" t="s">
        <v>19682</v>
      </c>
    </row>
    <row r="3207" spans="1:9" x14ac:dyDescent="0.25">
      <c r="A3207" s="242">
        <v>42910</v>
      </c>
      <c r="B3207" s="18">
        <v>117308</v>
      </c>
      <c r="C3207" s="235" t="s">
        <v>19677</v>
      </c>
      <c r="D3207" s="236" t="s">
        <v>16023</v>
      </c>
      <c r="E3207" s="15">
        <v>2408.6</v>
      </c>
      <c r="F3207" s="237">
        <v>42910</v>
      </c>
      <c r="G3207" s="15">
        <v>2408.6</v>
      </c>
      <c r="H3207" s="15">
        <f t="shared" si="50"/>
        <v>0</v>
      </c>
      <c r="I3207" s="236" t="s">
        <v>19682</v>
      </c>
    </row>
    <row r="3208" spans="1:9" x14ac:dyDescent="0.25">
      <c r="A3208" s="36">
        <v>42910</v>
      </c>
      <c r="B3208" s="18">
        <v>117309</v>
      </c>
      <c r="C3208" s="235" t="s">
        <v>19677</v>
      </c>
      <c r="D3208" s="236" t="s">
        <v>15668</v>
      </c>
      <c r="E3208" s="15">
        <v>7264</v>
      </c>
      <c r="F3208" s="237">
        <v>42914</v>
      </c>
      <c r="G3208" s="15">
        <v>7264</v>
      </c>
      <c r="H3208" s="15">
        <f t="shared" si="50"/>
        <v>0</v>
      </c>
      <c r="I3208" s="236" t="s">
        <v>19682</v>
      </c>
    </row>
    <row r="3209" spans="1:9" x14ac:dyDescent="0.25">
      <c r="A3209" s="242">
        <v>42910</v>
      </c>
      <c r="B3209" s="18">
        <v>117310</v>
      </c>
      <c r="C3209" s="235" t="s">
        <v>19677</v>
      </c>
      <c r="D3209" s="236" t="s">
        <v>15562</v>
      </c>
      <c r="E3209" s="15">
        <v>3759.7</v>
      </c>
      <c r="F3209" s="237">
        <v>42910</v>
      </c>
      <c r="G3209" s="15">
        <v>3759.7</v>
      </c>
      <c r="H3209" s="15">
        <f t="shared" si="50"/>
        <v>0</v>
      </c>
      <c r="I3209" s="236" t="s">
        <v>19682</v>
      </c>
    </row>
    <row r="3210" spans="1:9" x14ac:dyDescent="0.25">
      <c r="A3210" s="36">
        <v>42910</v>
      </c>
      <c r="B3210" s="18">
        <v>117311</v>
      </c>
      <c r="C3210" s="235" t="s">
        <v>19677</v>
      </c>
      <c r="D3210" s="236" t="s">
        <v>15282</v>
      </c>
      <c r="E3210" s="15">
        <v>3694.7</v>
      </c>
      <c r="F3210" s="237">
        <v>42910</v>
      </c>
      <c r="G3210" s="15">
        <v>3694.7</v>
      </c>
      <c r="H3210" s="15">
        <f t="shared" si="50"/>
        <v>0</v>
      </c>
      <c r="I3210" s="236" t="s">
        <v>19682</v>
      </c>
    </row>
    <row r="3211" spans="1:9" x14ac:dyDescent="0.25">
      <c r="A3211" s="242">
        <v>42910</v>
      </c>
      <c r="B3211" s="18">
        <v>117312</v>
      </c>
      <c r="C3211" s="235" t="s">
        <v>19677</v>
      </c>
      <c r="D3211" s="236" t="s">
        <v>15309</v>
      </c>
      <c r="E3211" s="15">
        <v>7225.6</v>
      </c>
      <c r="F3211" s="237">
        <v>42910</v>
      </c>
      <c r="G3211" s="15">
        <v>7225.6</v>
      </c>
      <c r="H3211" s="15">
        <f t="shared" si="50"/>
        <v>0</v>
      </c>
      <c r="I3211" s="236" t="s">
        <v>19682</v>
      </c>
    </row>
    <row r="3212" spans="1:9" x14ac:dyDescent="0.25">
      <c r="A3212" s="36">
        <v>42910</v>
      </c>
      <c r="B3212" s="18">
        <v>117313</v>
      </c>
      <c r="C3212" s="235" t="s">
        <v>19677</v>
      </c>
      <c r="D3212" s="236" t="s">
        <v>15280</v>
      </c>
      <c r="E3212" s="15">
        <v>6618.7</v>
      </c>
      <c r="F3212" s="237">
        <v>42910</v>
      </c>
      <c r="G3212" s="15">
        <v>6618.7</v>
      </c>
      <c r="H3212" s="15">
        <f t="shared" si="50"/>
        <v>0</v>
      </c>
      <c r="I3212" s="236" t="s">
        <v>19682</v>
      </c>
    </row>
    <row r="3213" spans="1:9" x14ac:dyDescent="0.25">
      <c r="A3213" s="242">
        <v>42910</v>
      </c>
      <c r="B3213" s="18">
        <v>117314</v>
      </c>
      <c r="C3213" s="235" t="s">
        <v>19677</v>
      </c>
      <c r="D3213" s="236" t="s">
        <v>15590</v>
      </c>
      <c r="E3213" s="15">
        <v>36099</v>
      </c>
      <c r="F3213" s="237">
        <v>42915</v>
      </c>
      <c r="G3213" s="15">
        <v>36099</v>
      </c>
      <c r="H3213" s="15">
        <f t="shared" si="50"/>
        <v>0</v>
      </c>
      <c r="I3213" s="236" t="s">
        <v>19682</v>
      </c>
    </row>
    <row r="3214" spans="1:9" x14ac:dyDescent="0.25">
      <c r="A3214" s="36">
        <v>42910</v>
      </c>
      <c r="B3214" s="18">
        <v>117315</v>
      </c>
      <c r="C3214" s="235" t="s">
        <v>19677</v>
      </c>
      <c r="D3214" s="236" t="s">
        <v>15590</v>
      </c>
      <c r="E3214" s="15">
        <v>4672.8</v>
      </c>
      <c r="F3214" s="237">
        <v>42915</v>
      </c>
      <c r="G3214" s="15">
        <v>4672.8</v>
      </c>
      <c r="H3214" s="15">
        <f t="shared" si="50"/>
        <v>0</v>
      </c>
      <c r="I3214" s="236" t="s">
        <v>19682</v>
      </c>
    </row>
    <row r="3215" spans="1:9" x14ac:dyDescent="0.25">
      <c r="A3215" s="242">
        <v>42910</v>
      </c>
      <c r="B3215" s="18">
        <v>117316</v>
      </c>
      <c r="C3215" s="235" t="s">
        <v>19677</v>
      </c>
      <c r="D3215" s="236" t="s">
        <v>15261</v>
      </c>
      <c r="E3215" s="15">
        <v>25453.599999999999</v>
      </c>
      <c r="F3215" s="237">
        <v>42910</v>
      </c>
      <c r="G3215" s="15">
        <v>24453.599999999999</v>
      </c>
      <c r="H3215" s="15">
        <f t="shared" si="50"/>
        <v>1000</v>
      </c>
      <c r="I3215" s="236" t="s">
        <v>19682</v>
      </c>
    </row>
    <row r="3216" spans="1:9" x14ac:dyDescent="0.25">
      <c r="A3216" s="36">
        <v>42910</v>
      </c>
      <c r="B3216" s="18">
        <v>117317</v>
      </c>
      <c r="C3216" s="235" t="s">
        <v>19677</v>
      </c>
      <c r="D3216" s="236" t="s">
        <v>15223</v>
      </c>
      <c r="E3216" s="15">
        <v>52251.4</v>
      </c>
      <c r="F3216" s="237">
        <v>42929</v>
      </c>
      <c r="G3216" s="15">
        <v>52251.4</v>
      </c>
      <c r="H3216" s="15">
        <f t="shared" si="50"/>
        <v>0</v>
      </c>
      <c r="I3216" s="236" t="s">
        <v>19682</v>
      </c>
    </row>
    <row r="3217" spans="1:9" x14ac:dyDescent="0.25">
      <c r="A3217" s="242">
        <v>42910</v>
      </c>
      <c r="B3217" s="18">
        <v>117318</v>
      </c>
      <c r="C3217" s="235" t="s">
        <v>19677</v>
      </c>
      <c r="D3217" s="236" t="s">
        <v>15284</v>
      </c>
      <c r="E3217" s="15">
        <v>2866.4</v>
      </c>
      <c r="F3217" s="237">
        <v>42910</v>
      </c>
      <c r="G3217" s="15">
        <v>2866.4</v>
      </c>
      <c r="H3217" s="15">
        <f t="shared" si="50"/>
        <v>0</v>
      </c>
      <c r="I3217" s="236" t="s">
        <v>19682</v>
      </c>
    </row>
    <row r="3218" spans="1:9" x14ac:dyDescent="0.25">
      <c r="A3218" s="36">
        <v>42910</v>
      </c>
      <c r="B3218" s="18">
        <v>117319</v>
      </c>
      <c r="C3218" s="235" t="s">
        <v>19677</v>
      </c>
      <c r="D3218" s="236" t="s">
        <v>15884</v>
      </c>
      <c r="E3218" s="15">
        <v>5794.9</v>
      </c>
      <c r="F3218" s="237">
        <v>42910</v>
      </c>
      <c r="G3218" s="15">
        <v>5794.9</v>
      </c>
      <c r="H3218" s="15">
        <f t="shared" si="50"/>
        <v>0</v>
      </c>
      <c r="I3218" s="236" t="s">
        <v>19682</v>
      </c>
    </row>
    <row r="3219" spans="1:9" x14ac:dyDescent="0.25">
      <c r="A3219" s="242">
        <v>42910</v>
      </c>
      <c r="B3219" s="18">
        <v>117320</v>
      </c>
      <c r="C3219" s="235" t="s">
        <v>19677</v>
      </c>
      <c r="D3219" s="236" t="s">
        <v>15596</v>
      </c>
      <c r="E3219" s="15">
        <v>1410</v>
      </c>
      <c r="F3219" s="237">
        <v>42912</v>
      </c>
      <c r="G3219" s="15">
        <v>1410</v>
      </c>
      <c r="H3219" s="15">
        <f t="shared" si="50"/>
        <v>0</v>
      </c>
      <c r="I3219" s="236" t="s">
        <v>19682</v>
      </c>
    </row>
    <row r="3220" spans="1:9" x14ac:dyDescent="0.25">
      <c r="A3220" s="36">
        <v>42910</v>
      </c>
      <c r="B3220" s="18">
        <v>117321</v>
      </c>
      <c r="C3220" s="235" t="s">
        <v>19677</v>
      </c>
      <c r="D3220" s="236" t="s">
        <v>15324</v>
      </c>
      <c r="E3220" s="15">
        <v>2967.5</v>
      </c>
      <c r="F3220" s="237">
        <v>42912</v>
      </c>
      <c r="G3220" s="15">
        <v>2967.5</v>
      </c>
      <c r="H3220" s="15">
        <f t="shared" si="50"/>
        <v>0</v>
      </c>
      <c r="I3220" s="236" t="s">
        <v>19682</v>
      </c>
    </row>
    <row r="3221" spans="1:9" x14ac:dyDescent="0.25">
      <c r="A3221" s="242">
        <v>42910</v>
      </c>
      <c r="B3221" s="18">
        <v>117322</v>
      </c>
      <c r="C3221" s="235" t="s">
        <v>19677</v>
      </c>
      <c r="D3221" s="236" t="s">
        <v>15378</v>
      </c>
      <c r="E3221" s="15">
        <v>2445</v>
      </c>
      <c r="F3221" s="237">
        <v>42910</v>
      </c>
      <c r="G3221" s="15">
        <v>2445</v>
      </c>
      <c r="H3221" s="15">
        <f t="shared" si="50"/>
        <v>0</v>
      </c>
      <c r="I3221" s="236" t="s">
        <v>19682</v>
      </c>
    </row>
    <row r="3222" spans="1:9" x14ac:dyDescent="0.25">
      <c r="A3222" s="36">
        <v>42910</v>
      </c>
      <c r="B3222" s="18">
        <v>117323</v>
      </c>
      <c r="C3222" s="235" t="s">
        <v>19677</v>
      </c>
      <c r="D3222" s="236" t="s">
        <v>15274</v>
      </c>
      <c r="E3222" s="15">
        <v>2731.36</v>
      </c>
      <c r="F3222" s="237">
        <v>42912</v>
      </c>
      <c r="G3222" s="15">
        <v>2731.36</v>
      </c>
      <c r="H3222" s="15">
        <f t="shared" si="50"/>
        <v>0</v>
      </c>
      <c r="I3222" s="236" t="s">
        <v>19682</v>
      </c>
    </row>
    <row r="3223" spans="1:9" x14ac:dyDescent="0.25">
      <c r="A3223" s="242">
        <v>42910</v>
      </c>
      <c r="B3223" s="18">
        <v>117324</v>
      </c>
      <c r="C3223" s="235" t="s">
        <v>19677</v>
      </c>
      <c r="D3223" s="236" t="s">
        <v>17235</v>
      </c>
      <c r="E3223" s="15">
        <v>1654.44</v>
      </c>
      <c r="F3223" s="237">
        <v>42912</v>
      </c>
      <c r="G3223" s="15">
        <v>1654.44</v>
      </c>
      <c r="H3223" s="15">
        <f t="shared" si="50"/>
        <v>0</v>
      </c>
      <c r="I3223" s="236" t="s">
        <v>19682</v>
      </c>
    </row>
    <row r="3224" spans="1:9" x14ac:dyDescent="0.25">
      <c r="A3224" s="36">
        <v>42910</v>
      </c>
      <c r="B3224" s="18">
        <v>117325</v>
      </c>
      <c r="C3224" s="235" t="s">
        <v>19677</v>
      </c>
      <c r="D3224" s="236" t="s">
        <v>18076</v>
      </c>
      <c r="E3224" s="15">
        <v>1156.2</v>
      </c>
      <c r="F3224" s="237">
        <v>42910</v>
      </c>
      <c r="G3224" s="15">
        <v>1156.2</v>
      </c>
      <c r="H3224" s="15">
        <f t="shared" si="50"/>
        <v>0</v>
      </c>
      <c r="I3224" s="236" t="s">
        <v>19682</v>
      </c>
    </row>
    <row r="3225" spans="1:9" x14ac:dyDescent="0.25">
      <c r="A3225" s="242">
        <v>42910</v>
      </c>
      <c r="B3225" s="18">
        <v>117326</v>
      </c>
      <c r="C3225" s="235" t="s">
        <v>19677</v>
      </c>
      <c r="D3225" s="236" t="s">
        <v>15274</v>
      </c>
      <c r="E3225" s="15">
        <v>743.08</v>
      </c>
      <c r="F3225" s="237">
        <v>42912</v>
      </c>
      <c r="G3225" s="15">
        <v>743.08</v>
      </c>
      <c r="H3225" s="15">
        <f t="shared" si="50"/>
        <v>0</v>
      </c>
      <c r="I3225" s="236" t="s">
        <v>19682</v>
      </c>
    </row>
    <row r="3226" spans="1:9" x14ac:dyDescent="0.25">
      <c r="A3226" s="36">
        <v>42910</v>
      </c>
      <c r="B3226" s="18">
        <v>117327</v>
      </c>
      <c r="C3226" s="235" t="s">
        <v>19677</v>
      </c>
      <c r="D3226" s="236" t="s">
        <v>15391</v>
      </c>
      <c r="E3226" s="15">
        <v>10419.200000000001</v>
      </c>
      <c r="F3226" s="237">
        <v>42911</v>
      </c>
      <c r="G3226" s="15">
        <v>10419.200000000001</v>
      </c>
      <c r="H3226" s="15">
        <f t="shared" si="50"/>
        <v>0</v>
      </c>
      <c r="I3226" s="236" t="s">
        <v>19682</v>
      </c>
    </row>
    <row r="3227" spans="1:9" x14ac:dyDescent="0.25">
      <c r="A3227" s="242">
        <v>42910</v>
      </c>
      <c r="B3227" s="18">
        <v>117328</v>
      </c>
      <c r="C3227" s="235" t="s">
        <v>19677</v>
      </c>
      <c r="D3227" s="236" t="s">
        <v>15226</v>
      </c>
      <c r="E3227" s="15">
        <v>2195.1999999999998</v>
      </c>
      <c r="F3227" s="237">
        <v>42916</v>
      </c>
      <c r="G3227" s="15">
        <v>2195.1999999999998</v>
      </c>
      <c r="H3227" s="15">
        <f t="shared" si="50"/>
        <v>0</v>
      </c>
      <c r="I3227" s="236" t="s">
        <v>19682</v>
      </c>
    </row>
    <row r="3228" spans="1:9" x14ac:dyDescent="0.25">
      <c r="A3228" s="36">
        <v>42910</v>
      </c>
      <c r="B3228" s="18">
        <v>117329</v>
      </c>
      <c r="C3228" s="235" t="s">
        <v>19677</v>
      </c>
      <c r="D3228" s="236" t="s">
        <v>15385</v>
      </c>
      <c r="E3228" s="15">
        <v>9619.2000000000007</v>
      </c>
      <c r="F3228" s="237">
        <v>42911</v>
      </c>
      <c r="G3228" s="15">
        <v>9619.2000000000007</v>
      </c>
      <c r="H3228" s="15">
        <f t="shared" si="50"/>
        <v>0</v>
      </c>
      <c r="I3228" s="236" t="s">
        <v>19682</v>
      </c>
    </row>
    <row r="3229" spans="1:9" x14ac:dyDescent="0.25">
      <c r="A3229" s="242">
        <v>42910</v>
      </c>
      <c r="B3229" s="18">
        <v>117330</v>
      </c>
      <c r="C3229" s="235" t="s">
        <v>19677</v>
      </c>
      <c r="D3229" s="236" t="s">
        <v>15363</v>
      </c>
      <c r="E3229" s="15">
        <v>2952.9</v>
      </c>
      <c r="F3229" s="237">
        <v>42911</v>
      </c>
      <c r="G3229" s="15">
        <v>2952.9</v>
      </c>
      <c r="H3229" s="15">
        <f t="shared" si="50"/>
        <v>0</v>
      </c>
      <c r="I3229" s="236" t="s">
        <v>19682</v>
      </c>
    </row>
    <row r="3230" spans="1:9" x14ac:dyDescent="0.25">
      <c r="A3230" s="36">
        <v>42910</v>
      </c>
      <c r="B3230" s="18">
        <v>117331</v>
      </c>
      <c r="C3230" s="235" t="s">
        <v>19677</v>
      </c>
      <c r="D3230" s="236" t="s">
        <v>17708</v>
      </c>
      <c r="E3230" s="15">
        <v>9051</v>
      </c>
      <c r="F3230" s="237">
        <v>42911</v>
      </c>
      <c r="G3230" s="15">
        <v>9051</v>
      </c>
      <c r="H3230" s="15">
        <f t="shared" si="50"/>
        <v>0</v>
      </c>
      <c r="I3230" s="236" t="s">
        <v>19682</v>
      </c>
    </row>
    <row r="3231" spans="1:9" x14ac:dyDescent="0.25">
      <c r="A3231" s="242">
        <v>42910</v>
      </c>
      <c r="B3231" s="18">
        <v>117332</v>
      </c>
      <c r="C3231" s="235" t="s">
        <v>19677</v>
      </c>
      <c r="D3231" s="236" t="s">
        <v>16064</v>
      </c>
      <c r="E3231" s="15">
        <v>5364.06</v>
      </c>
      <c r="F3231" s="237">
        <v>42912</v>
      </c>
      <c r="G3231" s="15">
        <v>5364.06</v>
      </c>
      <c r="H3231" s="15">
        <f t="shared" si="50"/>
        <v>0</v>
      </c>
      <c r="I3231" s="236" t="s">
        <v>19682</v>
      </c>
    </row>
    <row r="3232" spans="1:9" x14ac:dyDescent="0.25">
      <c r="A3232" s="36">
        <v>42910</v>
      </c>
      <c r="B3232" s="18">
        <v>117333</v>
      </c>
      <c r="C3232" s="235" t="s">
        <v>19677</v>
      </c>
      <c r="D3232" s="236" t="s">
        <v>15363</v>
      </c>
      <c r="E3232" s="15">
        <v>1828.8</v>
      </c>
      <c r="F3232" s="237">
        <v>42911</v>
      </c>
      <c r="G3232" s="15">
        <v>1828.8</v>
      </c>
      <c r="H3232" s="15">
        <f t="shared" si="50"/>
        <v>0</v>
      </c>
      <c r="I3232" s="236" t="s">
        <v>19682</v>
      </c>
    </row>
    <row r="3233" spans="1:9" x14ac:dyDescent="0.25">
      <c r="A3233" s="242">
        <v>42910</v>
      </c>
      <c r="B3233" s="18">
        <v>117334</v>
      </c>
      <c r="C3233" s="235" t="s">
        <v>19677</v>
      </c>
      <c r="D3233" s="236" t="s">
        <v>15594</v>
      </c>
      <c r="E3233" s="15">
        <v>2356.8000000000002</v>
      </c>
      <c r="F3233" s="237">
        <v>42911</v>
      </c>
      <c r="G3233" s="15">
        <v>2356.8000000000002</v>
      </c>
      <c r="H3233" s="15">
        <f t="shared" si="50"/>
        <v>0</v>
      </c>
      <c r="I3233" s="236" t="s">
        <v>19682</v>
      </c>
    </row>
    <row r="3234" spans="1:9" x14ac:dyDescent="0.25">
      <c r="A3234" s="36">
        <v>42910</v>
      </c>
      <c r="B3234" s="18">
        <v>117335</v>
      </c>
      <c r="C3234" s="235" t="s">
        <v>19677</v>
      </c>
      <c r="D3234" s="236" t="s">
        <v>15276</v>
      </c>
      <c r="E3234" s="15">
        <v>4700</v>
      </c>
      <c r="F3234" s="237">
        <v>42912</v>
      </c>
      <c r="G3234" s="15">
        <v>4700</v>
      </c>
      <c r="H3234" s="15">
        <f t="shared" si="50"/>
        <v>0</v>
      </c>
      <c r="I3234" s="236" t="s">
        <v>19682</v>
      </c>
    </row>
    <row r="3235" spans="1:9" x14ac:dyDescent="0.25">
      <c r="A3235" s="242">
        <v>42910</v>
      </c>
      <c r="B3235" s="18">
        <v>117336</v>
      </c>
      <c r="C3235" s="235" t="s">
        <v>19677</v>
      </c>
      <c r="D3235" s="236" t="s">
        <v>15328</v>
      </c>
      <c r="E3235" s="15">
        <v>83003.5</v>
      </c>
      <c r="F3235" s="266">
        <v>42934</v>
      </c>
      <c r="G3235" s="35">
        <v>83003.5</v>
      </c>
      <c r="H3235" s="15">
        <f t="shared" si="50"/>
        <v>0</v>
      </c>
      <c r="I3235" s="236" t="s">
        <v>19682</v>
      </c>
    </row>
    <row r="3236" spans="1:9" x14ac:dyDescent="0.25">
      <c r="A3236" s="36">
        <v>42910</v>
      </c>
      <c r="B3236" s="18">
        <v>117337</v>
      </c>
      <c r="C3236" s="235" t="s">
        <v>19677</v>
      </c>
      <c r="D3236" s="236" t="s">
        <v>15315</v>
      </c>
      <c r="E3236" s="15">
        <v>1964.6</v>
      </c>
      <c r="F3236" s="237">
        <v>42910</v>
      </c>
      <c r="G3236" s="15">
        <v>1964.6</v>
      </c>
      <c r="H3236" s="15">
        <f t="shared" si="50"/>
        <v>0</v>
      </c>
      <c r="I3236" s="236" t="s">
        <v>19682</v>
      </c>
    </row>
    <row r="3237" spans="1:9" x14ac:dyDescent="0.25">
      <c r="A3237" s="242">
        <v>42910</v>
      </c>
      <c r="B3237" s="18">
        <v>117338</v>
      </c>
      <c r="C3237" s="235" t="s">
        <v>19677</v>
      </c>
      <c r="D3237" s="236" t="s">
        <v>15706</v>
      </c>
      <c r="E3237" s="15">
        <v>1728</v>
      </c>
      <c r="F3237" s="237">
        <v>42910</v>
      </c>
      <c r="G3237" s="15">
        <v>1728</v>
      </c>
      <c r="H3237" s="15">
        <f t="shared" si="50"/>
        <v>0</v>
      </c>
      <c r="I3237" s="236" t="s">
        <v>19682</v>
      </c>
    </row>
    <row r="3238" spans="1:9" x14ac:dyDescent="0.25">
      <c r="A3238" s="36">
        <v>42910</v>
      </c>
      <c r="B3238" s="18">
        <v>117339</v>
      </c>
      <c r="C3238" s="235" t="s">
        <v>19677</v>
      </c>
      <c r="D3238" s="236" t="s">
        <v>15706</v>
      </c>
      <c r="E3238" s="15">
        <v>147.4</v>
      </c>
      <c r="F3238" s="237">
        <v>42910</v>
      </c>
      <c r="G3238" s="15">
        <v>147.4</v>
      </c>
      <c r="H3238" s="15">
        <f t="shared" si="50"/>
        <v>0</v>
      </c>
      <c r="I3238" s="236" t="s">
        <v>19682</v>
      </c>
    </row>
    <row r="3239" spans="1:9" x14ac:dyDescent="0.25">
      <c r="A3239" s="242">
        <v>42910</v>
      </c>
      <c r="B3239" s="18">
        <v>117340</v>
      </c>
      <c r="C3239" s="235" t="s">
        <v>19677</v>
      </c>
      <c r="D3239" s="236" t="s">
        <v>15706</v>
      </c>
      <c r="E3239" s="15">
        <v>42</v>
      </c>
      <c r="F3239" s="237">
        <v>42910</v>
      </c>
      <c r="G3239" s="15">
        <v>42</v>
      </c>
      <c r="H3239" s="15">
        <f t="shared" si="50"/>
        <v>0</v>
      </c>
      <c r="I3239" s="236" t="s">
        <v>19682</v>
      </c>
    </row>
    <row r="3240" spans="1:9" x14ac:dyDescent="0.25">
      <c r="A3240" s="36">
        <v>42910</v>
      </c>
      <c r="B3240" s="18">
        <v>117341</v>
      </c>
      <c r="C3240" s="235" t="s">
        <v>19677</v>
      </c>
      <c r="D3240" s="236" t="s">
        <v>15716</v>
      </c>
      <c r="E3240" s="15">
        <v>17187.2</v>
      </c>
      <c r="F3240" s="237">
        <v>42910</v>
      </c>
      <c r="G3240" s="15">
        <v>17187.2</v>
      </c>
      <c r="H3240" s="15">
        <f t="shared" si="50"/>
        <v>0</v>
      </c>
      <c r="I3240" s="236" t="s">
        <v>19682</v>
      </c>
    </row>
    <row r="3241" spans="1:9" x14ac:dyDescent="0.25">
      <c r="A3241" s="242">
        <v>42910</v>
      </c>
      <c r="B3241" s="18">
        <v>117342</v>
      </c>
      <c r="C3241" s="235" t="s">
        <v>19677</v>
      </c>
      <c r="D3241" s="236" t="s">
        <v>19768</v>
      </c>
      <c r="E3241" s="15">
        <v>2350</v>
      </c>
      <c r="F3241" s="237">
        <v>42910</v>
      </c>
      <c r="G3241" s="15">
        <v>2350</v>
      </c>
      <c r="H3241" s="15">
        <f t="shared" si="50"/>
        <v>0</v>
      </c>
      <c r="I3241" s="236" t="s">
        <v>19682</v>
      </c>
    </row>
    <row r="3242" spans="1:9" x14ac:dyDescent="0.25">
      <c r="A3242" s="36">
        <v>42910</v>
      </c>
      <c r="B3242" s="18">
        <v>117343</v>
      </c>
      <c r="C3242" s="235" t="s">
        <v>19677</v>
      </c>
      <c r="D3242" s="236" t="s">
        <v>15725</v>
      </c>
      <c r="E3242" s="15">
        <v>30350.400000000001</v>
      </c>
      <c r="F3242" s="237">
        <v>42911</v>
      </c>
      <c r="G3242" s="15">
        <v>30350.400000000001</v>
      </c>
      <c r="H3242" s="15">
        <f t="shared" si="50"/>
        <v>0</v>
      </c>
      <c r="I3242" s="236" t="s">
        <v>19682</v>
      </c>
    </row>
    <row r="3243" spans="1:9" x14ac:dyDescent="0.25">
      <c r="A3243" s="242">
        <v>42910</v>
      </c>
      <c r="B3243" s="18">
        <v>117344</v>
      </c>
      <c r="C3243" s="235" t="s">
        <v>19677</v>
      </c>
      <c r="D3243" s="236" t="s">
        <v>15665</v>
      </c>
      <c r="E3243" s="15">
        <v>168</v>
      </c>
      <c r="F3243" s="237">
        <v>42910</v>
      </c>
      <c r="G3243" s="15">
        <v>168</v>
      </c>
      <c r="H3243" s="15">
        <f t="shared" si="50"/>
        <v>0</v>
      </c>
      <c r="I3243" s="236" t="s">
        <v>19682</v>
      </c>
    </row>
    <row r="3244" spans="1:9" x14ac:dyDescent="0.25">
      <c r="A3244" s="36">
        <v>42910</v>
      </c>
      <c r="B3244" s="18">
        <v>117345</v>
      </c>
      <c r="C3244" s="235" t="s">
        <v>19677</v>
      </c>
      <c r="D3244" s="236" t="s">
        <v>15642</v>
      </c>
      <c r="E3244" s="15">
        <v>4240.6000000000004</v>
      </c>
      <c r="F3244" s="237">
        <v>42910</v>
      </c>
      <c r="G3244" s="15">
        <v>4240.6000000000004</v>
      </c>
      <c r="H3244" s="15">
        <f t="shared" si="50"/>
        <v>0</v>
      </c>
      <c r="I3244" s="236" t="s">
        <v>19682</v>
      </c>
    </row>
    <row r="3245" spans="1:9" x14ac:dyDescent="0.25">
      <c r="A3245" s="242">
        <v>42910</v>
      </c>
      <c r="B3245" s="18">
        <v>117346</v>
      </c>
      <c r="C3245" s="235" t="s">
        <v>19677</v>
      </c>
      <c r="D3245" s="236" t="s">
        <v>15728</v>
      </c>
      <c r="E3245" s="15">
        <v>14943</v>
      </c>
      <c r="F3245" s="237">
        <v>42910</v>
      </c>
      <c r="G3245" s="15">
        <v>14943</v>
      </c>
      <c r="H3245" s="15">
        <f t="shared" si="50"/>
        <v>0</v>
      </c>
      <c r="I3245" s="236" t="s">
        <v>19682</v>
      </c>
    </row>
    <row r="3246" spans="1:9" x14ac:dyDescent="0.25">
      <c r="A3246" s="36">
        <v>42910</v>
      </c>
      <c r="B3246" s="18">
        <v>117347</v>
      </c>
      <c r="C3246" s="235" t="s">
        <v>19677</v>
      </c>
      <c r="D3246" s="236" t="s">
        <v>15566</v>
      </c>
      <c r="E3246" s="15">
        <v>3830</v>
      </c>
      <c r="F3246" s="237">
        <v>42910</v>
      </c>
      <c r="G3246" s="15">
        <v>3830</v>
      </c>
      <c r="H3246" s="15">
        <f t="shared" si="50"/>
        <v>0</v>
      </c>
      <c r="I3246" s="236" t="s">
        <v>19682</v>
      </c>
    </row>
    <row r="3247" spans="1:9" x14ac:dyDescent="0.25">
      <c r="A3247" s="242">
        <v>42910</v>
      </c>
      <c r="B3247" s="18">
        <v>117348</v>
      </c>
      <c r="C3247" s="235" t="s">
        <v>19677</v>
      </c>
      <c r="D3247" s="236" t="s">
        <v>15987</v>
      </c>
      <c r="E3247" s="15">
        <v>602.6</v>
      </c>
      <c r="F3247" s="237">
        <v>42910</v>
      </c>
      <c r="G3247" s="15">
        <v>602.6</v>
      </c>
      <c r="H3247" s="15">
        <f t="shared" si="50"/>
        <v>0</v>
      </c>
      <c r="I3247" s="236" t="s">
        <v>19682</v>
      </c>
    </row>
    <row r="3248" spans="1:9" x14ac:dyDescent="0.25">
      <c r="A3248" s="36">
        <v>42910</v>
      </c>
      <c r="B3248" s="18">
        <v>117349</v>
      </c>
      <c r="C3248" s="235" t="s">
        <v>19677</v>
      </c>
      <c r="D3248" s="236" t="s">
        <v>15537</v>
      </c>
      <c r="E3248" s="15">
        <v>23362.2</v>
      </c>
      <c r="F3248" s="237">
        <v>42915</v>
      </c>
      <c r="G3248" s="15">
        <v>23362.2</v>
      </c>
      <c r="H3248" s="15">
        <f t="shared" si="50"/>
        <v>0</v>
      </c>
      <c r="I3248" s="236" t="s">
        <v>19682</v>
      </c>
    </row>
    <row r="3249" spans="1:9" x14ac:dyDescent="0.25">
      <c r="A3249" s="242">
        <v>42910</v>
      </c>
      <c r="B3249" s="18">
        <v>117350</v>
      </c>
      <c r="C3249" s="235" t="s">
        <v>19677</v>
      </c>
      <c r="D3249" s="236" t="s">
        <v>15539</v>
      </c>
      <c r="E3249" s="15">
        <v>26561.4</v>
      </c>
      <c r="F3249" s="237">
        <v>42915</v>
      </c>
      <c r="G3249" s="15">
        <v>26561.4</v>
      </c>
      <c r="H3249" s="15">
        <f t="shared" si="50"/>
        <v>0</v>
      </c>
      <c r="I3249" s="236" t="s">
        <v>19682</v>
      </c>
    </row>
    <row r="3250" spans="1:9" x14ac:dyDescent="0.25">
      <c r="A3250" s="36">
        <v>42910</v>
      </c>
      <c r="B3250" s="18">
        <v>117351</v>
      </c>
      <c r="C3250" s="235" t="s">
        <v>19677</v>
      </c>
      <c r="D3250" s="236" t="s">
        <v>15544</v>
      </c>
      <c r="E3250" s="15">
        <v>3220</v>
      </c>
      <c r="F3250" s="237">
        <v>42915</v>
      </c>
      <c r="G3250" s="15">
        <v>3220</v>
      </c>
      <c r="H3250" s="15">
        <f t="shared" si="50"/>
        <v>0</v>
      </c>
      <c r="I3250" s="236" t="s">
        <v>19682</v>
      </c>
    </row>
    <row r="3251" spans="1:9" x14ac:dyDescent="0.25">
      <c r="A3251" s="242">
        <v>42910</v>
      </c>
      <c r="B3251" s="18">
        <v>117352</v>
      </c>
      <c r="C3251" s="235" t="s">
        <v>19677</v>
      </c>
      <c r="D3251" s="236" t="s">
        <v>16040</v>
      </c>
      <c r="E3251" s="15">
        <v>15872.1</v>
      </c>
      <c r="F3251" s="237">
        <v>42915</v>
      </c>
      <c r="G3251" s="15">
        <v>15872.1</v>
      </c>
      <c r="H3251" s="15">
        <f t="shared" si="50"/>
        <v>0</v>
      </c>
      <c r="I3251" s="236" t="s">
        <v>19682</v>
      </c>
    </row>
    <row r="3252" spans="1:9" x14ac:dyDescent="0.25">
      <c r="A3252" s="36">
        <v>42910</v>
      </c>
      <c r="B3252" s="18">
        <v>117353</v>
      </c>
      <c r="C3252" s="235" t="s">
        <v>19677</v>
      </c>
      <c r="D3252" s="236" t="s">
        <v>15256</v>
      </c>
      <c r="E3252" s="15">
        <v>1625.4</v>
      </c>
      <c r="F3252" s="237">
        <v>42912</v>
      </c>
      <c r="G3252" s="15">
        <v>1625.4</v>
      </c>
      <c r="H3252" s="15">
        <f t="shared" si="50"/>
        <v>0</v>
      </c>
      <c r="I3252" s="236" t="s">
        <v>19682</v>
      </c>
    </row>
    <row r="3253" spans="1:9" x14ac:dyDescent="0.25">
      <c r="A3253" s="242">
        <v>42910</v>
      </c>
      <c r="B3253" s="18">
        <v>117354</v>
      </c>
      <c r="C3253" s="235" t="s">
        <v>19677</v>
      </c>
      <c r="D3253" s="236" t="s">
        <v>16958</v>
      </c>
      <c r="E3253" s="15">
        <v>2670</v>
      </c>
      <c r="F3253" s="237">
        <v>42912</v>
      </c>
      <c r="G3253" s="15">
        <v>2670</v>
      </c>
      <c r="H3253" s="15">
        <f t="shared" si="50"/>
        <v>0</v>
      </c>
      <c r="I3253" s="236" t="s">
        <v>19682</v>
      </c>
    </row>
    <row r="3254" spans="1:9" x14ac:dyDescent="0.25">
      <c r="A3254" s="36">
        <v>42910</v>
      </c>
      <c r="B3254" s="18">
        <v>117355</v>
      </c>
      <c r="C3254" s="235" t="s">
        <v>19677</v>
      </c>
      <c r="D3254" s="236" t="s">
        <v>15265</v>
      </c>
      <c r="E3254" s="15">
        <v>2829.4</v>
      </c>
      <c r="F3254" s="237">
        <v>42913</v>
      </c>
      <c r="G3254" s="15">
        <v>2829.4</v>
      </c>
      <c r="H3254" s="15">
        <f t="shared" si="50"/>
        <v>0</v>
      </c>
      <c r="I3254" s="236" t="s">
        <v>19682</v>
      </c>
    </row>
    <row r="3255" spans="1:9" x14ac:dyDescent="0.25">
      <c r="A3255" s="242">
        <v>42910</v>
      </c>
      <c r="B3255" s="18">
        <v>117356</v>
      </c>
      <c r="C3255" s="235" t="s">
        <v>19677</v>
      </c>
      <c r="D3255" s="236" t="s">
        <v>15256</v>
      </c>
      <c r="E3255" s="15">
        <v>276</v>
      </c>
      <c r="F3255" s="237">
        <v>42912</v>
      </c>
      <c r="G3255" s="15">
        <v>276</v>
      </c>
      <c r="H3255" s="15">
        <f t="shared" si="50"/>
        <v>0</v>
      </c>
      <c r="I3255" s="236" t="s">
        <v>19682</v>
      </c>
    </row>
    <row r="3256" spans="1:9" x14ac:dyDescent="0.25">
      <c r="A3256" s="36">
        <v>42910</v>
      </c>
      <c r="B3256" s="18">
        <v>117357</v>
      </c>
      <c r="C3256" s="235" t="s">
        <v>19677</v>
      </c>
      <c r="D3256" s="236" t="s">
        <v>15396</v>
      </c>
      <c r="E3256" s="15">
        <v>8378.56</v>
      </c>
      <c r="F3256" s="237">
        <v>42910</v>
      </c>
      <c r="G3256" s="15">
        <v>8378.56</v>
      </c>
      <c r="H3256" s="15">
        <f t="shared" si="50"/>
        <v>0</v>
      </c>
      <c r="I3256" s="236" t="s">
        <v>19682</v>
      </c>
    </row>
    <row r="3257" spans="1:9" x14ac:dyDescent="0.25">
      <c r="A3257" s="242">
        <v>42910</v>
      </c>
      <c r="B3257" s="18">
        <v>117358</v>
      </c>
      <c r="C3257" s="235" t="s">
        <v>19677</v>
      </c>
      <c r="D3257" s="236" t="s">
        <v>15624</v>
      </c>
      <c r="E3257" s="15">
        <v>35204.400000000001</v>
      </c>
      <c r="F3257" s="237">
        <v>42912</v>
      </c>
      <c r="G3257" s="15">
        <v>35204.400000000001</v>
      </c>
      <c r="H3257" s="15">
        <f t="shared" si="50"/>
        <v>0</v>
      </c>
      <c r="I3257" s="236" t="s">
        <v>19682</v>
      </c>
    </row>
    <row r="3258" spans="1:9" x14ac:dyDescent="0.25">
      <c r="A3258" s="36">
        <v>42910</v>
      </c>
      <c r="B3258" s="18">
        <v>117359</v>
      </c>
      <c r="C3258" s="235" t="s">
        <v>19677</v>
      </c>
      <c r="D3258" s="236" t="s">
        <v>15624</v>
      </c>
      <c r="E3258" s="15">
        <v>1801.8</v>
      </c>
      <c r="F3258" s="237">
        <v>42910</v>
      </c>
      <c r="G3258" s="15">
        <v>1801.8</v>
      </c>
      <c r="H3258" s="15">
        <f t="shared" si="50"/>
        <v>0</v>
      </c>
      <c r="I3258" s="236" t="s">
        <v>19682</v>
      </c>
    </row>
    <row r="3259" spans="1:9" x14ac:dyDescent="0.25">
      <c r="A3259" s="242">
        <v>42910</v>
      </c>
      <c r="B3259" s="18">
        <v>117360</v>
      </c>
      <c r="C3259" s="235" t="s">
        <v>19677</v>
      </c>
      <c r="D3259" s="236" t="s">
        <v>15296</v>
      </c>
      <c r="E3259" s="15">
        <v>24199.8</v>
      </c>
      <c r="F3259" s="237">
        <v>42922</v>
      </c>
      <c r="G3259" s="15">
        <v>24199.8</v>
      </c>
      <c r="H3259" s="15">
        <f t="shared" si="50"/>
        <v>0</v>
      </c>
      <c r="I3259" s="236" t="s">
        <v>19682</v>
      </c>
    </row>
    <row r="3260" spans="1:9" ht="15.75" x14ac:dyDescent="0.25">
      <c r="A3260" s="36">
        <v>42910</v>
      </c>
      <c r="B3260" s="18">
        <v>117361</v>
      </c>
      <c r="C3260" s="235" t="s">
        <v>19677</v>
      </c>
      <c r="D3260" s="248" t="s">
        <v>95</v>
      </c>
      <c r="E3260" s="15">
        <v>0</v>
      </c>
      <c r="F3260" s="243" t="s">
        <v>95</v>
      </c>
      <c r="G3260" s="15">
        <v>0</v>
      </c>
      <c r="H3260" s="15">
        <f t="shared" si="50"/>
        <v>0</v>
      </c>
      <c r="I3260" s="236" t="s">
        <v>19678</v>
      </c>
    </row>
    <row r="3261" spans="1:9" x14ac:dyDescent="0.25">
      <c r="A3261" s="242">
        <v>42910</v>
      </c>
      <c r="B3261" s="18">
        <v>117362</v>
      </c>
      <c r="C3261" s="235" t="s">
        <v>19677</v>
      </c>
      <c r="D3261" s="236" t="s">
        <v>15315</v>
      </c>
      <c r="E3261" s="15">
        <v>1104</v>
      </c>
      <c r="F3261" s="237">
        <v>42910</v>
      </c>
      <c r="G3261" s="15">
        <v>1104</v>
      </c>
      <c r="H3261" s="15">
        <f t="shared" si="50"/>
        <v>0</v>
      </c>
      <c r="I3261" s="236" t="s">
        <v>19682</v>
      </c>
    </row>
    <row r="3262" spans="1:9" x14ac:dyDescent="0.25">
      <c r="A3262" s="36">
        <v>42910</v>
      </c>
      <c r="B3262" s="18">
        <v>117363</v>
      </c>
      <c r="C3262" s="235" t="s">
        <v>19677</v>
      </c>
      <c r="D3262" s="236" t="s">
        <v>15789</v>
      </c>
      <c r="E3262" s="15">
        <v>17780</v>
      </c>
      <c r="F3262" s="237">
        <v>42917</v>
      </c>
      <c r="G3262" s="15">
        <v>17780</v>
      </c>
      <c r="H3262" s="15">
        <f t="shared" si="50"/>
        <v>0</v>
      </c>
      <c r="I3262" s="236" t="s">
        <v>19682</v>
      </c>
    </row>
    <row r="3263" spans="1:9" x14ac:dyDescent="0.25">
      <c r="A3263" s="242">
        <v>42910</v>
      </c>
      <c r="B3263" s="18">
        <v>117364</v>
      </c>
      <c r="C3263" s="235" t="s">
        <v>19677</v>
      </c>
      <c r="D3263" s="236" t="s">
        <v>15920</v>
      </c>
      <c r="E3263" s="15">
        <v>24100</v>
      </c>
      <c r="F3263" s="237">
        <v>42919</v>
      </c>
      <c r="G3263" s="15">
        <v>24100</v>
      </c>
      <c r="H3263" s="15">
        <f t="shared" si="50"/>
        <v>0</v>
      </c>
      <c r="I3263" s="236" t="s">
        <v>19682</v>
      </c>
    </row>
    <row r="3264" spans="1:9" x14ac:dyDescent="0.25">
      <c r="A3264" s="36">
        <v>42910</v>
      </c>
      <c r="B3264" s="18">
        <v>117365</v>
      </c>
      <c r="C3264" s="235" t="s">
        <v>19677</v>
      </c>
      <c r="D3264" s="236" t="s">
        <v>15378</v>
      </c>
      <c r="E3264" s="15">
        <v>409.1</v>
      </c>
      <c r="F3264" s="237">
        <v>42910</v>
      </c>
      <c r="G3264" s="15">
        <v>409.1</v>
      </c>
      <c r="H3264" s="15">
        <f t="shared" si="50"/>
        <v>0</v>
      </c>
      <c r="I3264" s="236" t="s">
        <v>19682</v>
      </c>
    </row>
    <row r="3265" spans="1:9" x14ac:dyDescent="0.25">
      <c r="A3265" s="242">
        <v>42910</v>
      </c>
      <c r="B3265" s="18">
        <v>117366</v>
      </c>
      <c r="C3265" s="235" t="s">
        <v>19677</v>
      </c>
      <c r="D3265" s="236" t="s">
        <v>15267</v>
      </c>
      <c r="E3265" s="15">
        <v>92857.5</v>
      </c>
      <c r="F3265" s="237">
        <v>42910</v>
      </c>
      <c r="G3265" s="15">
        <v>92857.5</v>
      </c>
      <c r="H3265" s="15">
        <f t="shared" si="50"/>
        <v>0</v>
      </c>
      <c r="I3265" s="236" t="s">
        <v>19682</v>
      </c>
    </row>
    <row r="3266" spans="1:9" x14ac:dyDescent="0.25">
      <c r="A3266" s="36">
        <v>42910</v>
      </c>
      <c r="B3266" s="18">
        <v>117367</v>
      </c>
      <c r="C3266" s="235" t="s">
        <v>19677</v>
      </c>
      <c r="D3266" s="236" t="s">
        <v>19756</v>
      </c>
      <c r="E3266" s="15">
        <v>3260.3</v>
      </c>
      <c r="F3266" s="237">
        <v>42910</v>
      </c>
      <c r="G3266" s="15">
        <v>3260.3</v>
      </c>
      <c r="H3266" s="15">
        <f t="shared" ref="H3266:H3329" si="51">E3266-G3266</f>
        <v>0</v>
      </c>
      <c r="I3266" s="236" t="s">
        <v>19682</v>
      </c>
    </row>
    <row r="3267" spans="1:9" x14ac:dyDescent="0.25">
      <c r="A3267" s="242">
        <v>42910</v>
      </c>
      <c r="B3267" s="18">
        <v>117368</v>
      </c>
      <c r="C3267" s="235" t="s">
        <v>19677</v>
      </c>
      <c r="D3267" s="236" t="s">
        <v>16297</v>
      </c>
      <c r="E3267" s="15">
        <v>20702.400000000001</v>
      </c>
      <c r="F3267" s="237">
        <v>42911</v>
      </c>
      <c r="G3267" s="15">
        <v>20702.400000000001</v>
      </c>
      <c r="H3267" s="15">
        <f t="shared" si="51"/>
        <v>0</v>
      </c>
      <c r="I3267" s="236" t="s">
        <v>19682</v>
      </c>
    </row>
    <row r="3268" spans="1:9" x14ac:dyDescent="0.25">
      <c r="A3268" s="36">
        <v>42910</v>
      </c>
      <c r="B3268" s="18">
        <v>117369</v>
      </c>
      <c r="C3268" s="235" t="s">
        <v>19677</v>
      </c>
      <c r="D3268" s="236" t="s">
        <v>15628</v>
      </c>
      <c r="E3268" s="15">
        <v>5320.4</v>
      </c>
      <c r="F3268" s="237">
        <v>42910</v>
      </c>
      <c r="G3268" s="15">
        <v>5320.4</v>
      </c>
      <c r="H3268" s="15">
        <f t="shared" si="51"/>
        <v>0</v>
      </c>
      <c r="I3268" s="236" t="s">
        <v>19682</v>
      </c>
    </row>
    <row r="3269" spans="1:9" x14ac:dyDescent="0.25">
      <c r="A3269" s="242">
        <v>42910</v>
      </c>
      <c r="B3269" s="18">
        <v>117370</v>
      </c>
      <c r="C3269" s="235" t="s">
        <v>19677</v>
      </c>
      <c r="D3269" s="236" t="s">
        <v>15600</v>
      </c>
      <c r="E3269" s="15">
        <v>8651</v>
      </c>
      <c r="F3269" s="237">
        <v>42915</v>
      </c>
      <c r="G3269" s="15">
        <v>8651</v>
      </c>
      <c r="H3269" s="15">
        <f t="shared" si="51"/>
        <v>0</v>
      </c>
      <c r="I3269" s="236" t="s">
        <v>19682</v>
      </c>
    </row>
    <row r="3270" spans="1:9" x14ac:dyDescent="0.25">
      <c r="A3270" s="36">
        <v>42910</v>
      </c>
      <c r="B3270" s="18">
        <v>117371</v>
      </c>
      <c r="C3270" s="235" t="s">
        <v>19677</v>
      </c>
      <c r="D3270" s="236" t="s">
        <v>15417</v>
      </c>
      <c r="E3270" s="15">
        <v>5170</v>
      </c>
      <c r="F3270" s="237">
        <v>42912</v>
      </c>
      <c r="G3270" s="15">
        <v>5170</v>
      </c>
      <c r="H3270" s="15">
        <f t="shared" si="51"/>
        <v>0</v>
      </c>
      <c r="I3270" s="236" t="s">
        <v>19682</v>
      </c>
    </row>
    <row r="3271" spans="1:9" x14ac:dyDescent="0.25">
      <c r="A3271" s="242">
        <v>42910</v>
      </c>
      <c r="B3271" s="18">
        <v>117372</v>
      </c>
      <c r="C3271" s="235" t="s">
        <v>19677</v>
      </c>
      <c r="D3271" s="236" t="s">
        <v>15442</v>
      </c>
      <c r="E3271" s="15">
        <v>17441.599999999999</v>
      </c>
      <c r="F3271" s="237">
        <v>42917</v>
      </c>
      <c r="G3271" s="15">
        <v>17441.599999999999</v>
      </c>
      <c r="H3271" s="15">
        <f t="shared" si="51"/>
        <v>0</v>
      </c>
      <c r="I3271" s="236" t="s">
        <v>19682</v>
      </c>
    </row>
    <row r="3272" spans="1:9" x14ac:dyDescent="0.25">
      <c r="A3272" s="36">
        <v>42910</v>
      </c>
      <c r="B3272" s="18">
        <v>117373</v>
      </c>
      <c r="C3272" s="235" t="s">
        <v>19677</v>
      </c>
      <c r="D3272" s="236" t="s">
        <v>15541</v>
      </c>
      <c r="E3272" s="15">
        <v>2360.1999999999998</v>
      </c>
      <c r="F3272" s="237">
        <v>42910</v>
      </c>
      <c r="G3272" s="15">
        <v>2360.1999999999998</v>
      </c>
      <c r="H3272" s="15">
        <f t="shared" si="51"/>
        <v>0</v>
      </c>
      <c r="I3272" s="236" t="s">
        <v>19682</v>
      </c>
    </row>
    <row r="3273" spans="1:9" x14ac:dyDescent="0.25">
      <c r="A3273" s="242">
        <v>42910</v>
      </c>
      <c r="B3273" s="18">
        <v>117374</v>
      </c>
      <c r="C3273" s="235" t="s">
        <v>19677</v>
      </c>
      <c r="D3273" s="236" t="s">
        <v>15246</v>
      </c>
      <c r="E3273" s="15">
        <v>305511.8</v>
      </c>
      <c r="F3273" s="237">
        <v>42912</v>
      </c>
      <c r="G3273" s="15">
        <v>305511.8</v>
      </c>
      <c r="H3273" s="15">
        <f t="shared" si="51"/>
        <v>0</v>
      </c>
      <c r="I3273" s="236" t="s">
        <v>19682</v>
      </c>
    </row>
    <row r="3274" spans="1:9" x14ac:dyDescent="0.25">
      <c r="A3274" s="36">
        <v>42910</v>
      </c>
      <c r="B3274" s="18">
        <v>117375</v>
      </c>
      <c r="C3274" s="235" t="s">
        <v>19677</v>
      </c>
      <c r="D3274" s="236" t="s">
        <v>15246</v>
      </c>
      <c r="E3274" s="15">
        <v>105718.66</v>
      </c>
      <c r="F3274" s="237" t="s">
        <v>19762</v>
      </c>
      <c r="G3274" s="241">
        <f>58849.08+46869.58</f>
        <v>105718.66</v>
      </c>
      <c r="H3274" s="241">
        <f t="shared" si="51"/>
        <v>0</v>
      </c>
      <c r="I3274" s="236" t="s">
        <v>19682</v>
      </c>
    </row>
    <row r="3275" spans="1:9" x14ac:dyDescent="0.25">
      <c r="A3275" s="242">
        <v>42910</v>
      </c>
      <c r="B3275" s="18">
        <v>117376</v>
      </c>
      <c r="C3275" s="235" t="s">
        <v>19677</v>
      </c>
      <c r="D3275" s="236" t="s">
        <v>15322</v>
      </c>
      <c r="E3275" s="15">
        <v>3604.8</v>
      </c>
      <c r="F3275" s="237">
        <v>42910</v>
      </c>
      <c r="G3275" s="15">
        <v>3604.8</v>
      </c>
      <c r="H3275" s="15">
        <f t="shared" si="51"/>
        <v>0</v>
      </c>
      <c r="I3275" s="236" t="s">
        <v>19682</v>
      </c>
    </row>
    <row r="3276" spans="1:9" x14ac:dyDescent="0.25">
      <c r="A3276" s="36">
        <v>42910</v>
      </c>
      <c r="B3276" s="18">
        <v>117377</v>
      </c>
      <c r="C3276" s="235" t="s">
        <v>19677</v>
      </c>
      <c r="D3276" s="236" t="s">
        <v>15246</v>
      </c>
      <c r="E3276" s="15">
        <v>53035.7</v>
      </c>
      <c r="F3276" s="237">
        <v>42914</v>
      </c>
      <c r="G3276" s="15">
        <v>53035.7</v>
      </c>
      <c r="H3276" s="15">
        <f t="shared" si="51"/>
        <v>0</v>
      </c>
      <c r="I3276" s="236" t="s">
        <v>19682</v>
      </c>
    </row>
    <row r="3277" spans="1:9" x14ac:dyDescent="0.25">
      <c r="A3277" s="242">
        <v>42910</v>
      </c>
      <c r="B3277" s="18">
        <v>117378</v>
      </c>
      <c r="C3277" s="235" t="s">
        <v>19677</v>
      </c>
      <c r="D3277" s="236" t="s">
        <v>15365</v>
      </c>
      <c r="E3277" s="15">
        <v>430731</v>
      </c>
      <c r="F3277" s="237">
        <v>42924</v>
      </c>
      <c r="G3277" s="15">
        <v>430731</v>
      </c>
      <c r="H3277" s="15">
        <f t="shared" si="51"/>
        <v>0</v>
      </c>
      <c r="I3277" s="236" t="s">
        <v>19682</v>
      </c>
    </row>
    <row r="3278" spans="1:9" x14ac:dyDescent="0.25">
      <c r="A3278" s="36">
        <v>42910</v>
      </c>
      <c r="B3278" s="18">
        <v>117379</v>
      </c>
      <c r="C3278" s="235" t="s">
        <v>19677</v>
      </c>
      <c r="D3278" s="236" t="s">
        <v>15213</v>
      </c>
      <c r="E3278" s="15">
        <v>3293.6</v>
      </c>
      <c r="F3278" s="237">
        <v>42912</v>
      </c>
      <c r="G3278" s="15">
        <v>3293.6</v>
      </c>
      <c r="H3278" s="15">
        <f t="shared" si="51"/>
        <v>0</v>
      </c>
      <c r="I3278" s="236" t="s">
        <v>19682</v>
      </c>
    </row>
    <row r="3279" spans="1:9" x14ac:dyDescent="0.25">
      <c r="A3279" s="242">
        <v>42910</v>
      </c>
      <c r="B3279" s="18">
        <v>117380</v>
      </c>
      <c r="C3279" s="235" t="s">
        <v>19677</v>
      </c>
      <c r="D3279" s="236" t="s">
        <v>15642</v>
      </c>
      <c r="E3279" s="15">
        <v>10931.2</v>
      </c>
      <c r="F3279" s="237">
        <v>42910</v>
      </c>
      <c r="G3279" s="15">
        <v>10931.2</v>
      </c>
      <c r="H3279" s="15">
        <f t="shared" si="51"/>
        <v>0</v>
      </c>
      <c r="I3279" s="236" t="s">
        <v>19682</v>
      </c>
    </row>
    <row r="3280" spans="1:9" x14ac:dyDescent="0.25">
      <c r="A3280" s="36">
        <v>42910</v>
      </c>
      <c r="B3280" s="18">
        <v>117381</v>
      </c>
      <c r="C3280" s="235" t="s">
        <v>19677</v>
      </c>
      <c r="D3280" s="236" t="s">
        <v>15246</v>
      </c>
      <c r="E3280" s="15">
        <v>2200</v>
      </c>
      <c r="F3280" s="237">
        <v>42914</v>
      </c>
      <c r="G3280" s="15">
        <v>2200</v>
      </c>
      <c r="H3280" s="15">
        <f t="shared" si="51"/>
        <v>0</v>
      </c>
      <c r="I3280" s="236" t="s">
        <v>19682</v>
      </c>
    </row>
    <row r="3281" spans="1:9" x14ac:dyDescent="0.25">
      <c r="A3281" s="242">
        <v>42910</v>
      </c>
      <c r="B3281" s="18">
        <v>117382</v>
      </c>
      <c r="C3281" s="235" t="s">
        <v>19677</v>
      </c>
      <c r="D3281" s="236" t="s">
        <v>15530</v>
      </c>
      <c r="E3281" s="15">
        <v>2976</v>
      </c>
      <c r="F3281" s="237" t="s">
        <v>19770</v>
      </c>
      <c r="G3281" s="241">
        <f>2950+26</f>
        <v>2976</v>
      </c>
      <c r="H3281" s="241">
        <f t="shared" si="51"/>
        <v>0</v>
      </c>
      <c r="I3281" s="236" t="s">
        <v>19682</v>
      </c>
    </row>
    <row r="3282" spans="1:9" x14ac:dyDescent="0.25">
      <c r="A3282" s="36">
        <v>42910</v>
      </c>
      <c r="B3282" s="18">
        <v>117383</v>
      </c>
      <c r="C3282" s="235" t="s">
        <v>19677</v>
      </c>
      <c r="D3282" s="236" t="s">
        <v>15681</v>
      </c>
      <c r="E3282" s="15">
        <v>2988.4</v>
      </c>
      <c r="F3282" s="237">
        <v>42910</v>
      </c>
      <c r="G3282" s="15">
        <v>2988.4</v>
      </c>
      <c r="H3282" s="15">
        <f t="shared" si="51"/>
        <v>0</v>
      </c>
      <c r="I3282" s="236" t="s">
        <v>19682</v>
      </c>
    </row>
    <row r="3283" spans="1:9" x14ac:dyDescent="0.25">
      <c r="A3283" s="242">
        <v>42910</v>
      </c>
      <c r="B3283" s="18">
        <v>117384</v>
      </c>
      <c r="C3283" s="235" t="s">
        <v>19677</v>
      </c>
      <c r="D3283" s="236" t="s">
        <v>15250</v>
      </c>
      <c r="E3283" s="15">
        <v>2220</v>
      </c>
      <c r="F3283" s="237">
        <v>42915</v>
      </c>
      <c r="G3283" s="15">
        <v>2220</v>
      </c>
      <c r="H3283" s="15">
        <f t="shared" si="51"/>
        <v>0</v>
      </c>
      <c r="I3283" s="236" t="s">
        <v>19682</v>
      </c>
    </row>
    <row r="3284" spans="1:9" x14ac:dyDescent="0.25">
      <c r="A3284" s="36">
        <v>42911</v>
      </c>
      <c r="B3284" s="18">
        <v>117385</v>
      </c>
      <c r="C3284" s="235" t="s">
        <v>19677</v>
      </c>
      <c r="D3284" s="236" t="s">
        <v>15213</v>
      </c>
      <c r="E3284" s="15">
        <v>9907.7999999999993</v>
      </c>
      <c r="F3284" s="237">
        <v>42912</v>
      </c>
      <c r="G3284" s="15">
        <v>9907.7999999999993</v>
      </c>
      <c r="H3284" s="15">
        <f t="shared" si="51"/>
        <v>0</v>
      </c>
      <c r="I3284" s="236" t="s">
        <v>19682</v>
      </c>
    </row>
    <row r="3285" spans="1:9" x14ac:dyDescent="0.25">
      <c r="A3285" s="242">
        <v>42911</v>
      </c>
      <c r="B3285" s="18">
        <v>117386</v>
      </c>
      <c r="C3285" s="235" t="s">
        <v>19677</v>
      </c>
      <c r="D3285" s="236" t="s">
        <v>15213</v>
      </c>
      <c r="E3285" s="15">
        <v>46017.3</v>
      </c>
      <c r="F3285" s="237">
        <v>42912</v>
      </c>
      <c r="G3285" s="15">
        <v>46017.3</v>
      </c>
      <c r="H3285" s="15">
        <f t="shared" si="51"/>
        <v>0</v>
      </c>
      <c r="I3285" s="236" t="s">
        <v>19682</v>
      </c>
    </row>
    <row r="3286" spans="1:9" x14ac:dyDescent="0.25">
      <c r="A3286" s="36">
        <v>42911</v>
      </c>
      <c r="B3286" s="18">
        <v>117387</v>
      </c>
      <c r="C3286" s="235" t="s">
        <v>19677</v>
      </c>
      <c r="D3286" s="236" t="s">
        <v>5873</v>
      </c>
      <c r="E3286" s="15">
        <v>33959.300000000003</v>
      </c>
      <c r="F3286" s="237">
        <v>42911</v>
      </c>
      <c r="G3286" s="15">
        <v>33959.300000000003</v>
      </c>
      <c r="H3286" s="15">
        <f t="shared" si="51"/>
        <v>0</v>
      </c>
      <c r="I3286" s="236" t="s">
        <v>19682</v>
      </c>
    </row>
    <row r="3287" spans="1:9" x14ac:dyDescent="0.25">
      <c r="A3287" s="242">
        <v>42911</v>
      </c>
      <c r="B3287" s="18">
        <v>117388</v>
      </c>
      <c r="C3287" s="235" t="s">
        <v>19677</v>
      </c>
      <c r="D3287" s="236" t="s">
        <v>15242</v>
      </c>
      <c r="E3287" s="15">
        <v>4391.2</v>
      </c>
      <c r="F3287" s="237">
        <v>42912</v>
      </c>
      <c r="G3287" s="15">
        <v>4391.2</v>
      </c>
      <c r="H3287" s="15">
        <f t="shared" si="51"/>
        <v>0</v>
      </c>
      <c r="I3287" s="236" t="s">
        <v>19682</v>
      </c>
    </row>
    <row r="3288" spans="1:9" x14ac:dyDescent="0.25">
      <c r="A3288" s="36">
        <v>42911</v>
      </c>
      <c r="B3288" s="18">
        <v>117389</v>
      </c>
      <c r="C3288" s="235" t="s">
        <v>19677</v>
      </c>
      <c r="D3288" s="236" t="s">
        <v>15315</v>
      </c>
      <c r="E3288" s="15">
        <v>1183.9000000000001</v>
      </c>
      <c r="F3288" s="237">
        <v>42911</v>
      </c>
      <c r="G3288" s="15">
        <v>1183.9000000000001</v>
      </c>
      <c r="H3288" s="15">
        <f t="shared" si="51"/>
        <v>0</v>
      </c>
      <c r="I3288" s="236" t="s">
        <v>19682</v>
      </c>
    </row>
    <row r="3289" spans="1:9" x14ac:dyDescent="0.25">
      <c r="A3289" s="242">
        <v>42911</v>
      </c>
      <c r="B3289" s="18">
        <v>117390</v>
      </c>
      <c r="C3289" s="235" t="s">
        <v>19677</v>
      </c>
      <c r="D3289" s="236" t="s">
        <v>17462</v>
      </c>
      <c r="E3289" s="15">
        <v>10521.3</v>
      </c>
      <c r="F3289" s="237">
        <v>42911</v>
      </c>
      <c r="G3289" s="15">
        <v>10521.3</v>
      </c>
      <c r="H3289" s="15">
        <f t="shared" si="51"/>
        <v>0</v>
      </c>
      <c r="I3289" s="236" t="s">
        <v>19682</v>
      </c>
    </row>
    <row r="3290" spans="1:9" x14ac:dyDescent="0.25">
      <c r="A3290" s="36">
        <v>42911</v>
      </c>
      <c r="B3290" s="18">
        <v>117391</v>
      </c>
      <c r="C3290" s="235" t="s">
        <v>19677</v>
      </c>
      <c r="D3290" s="236" t="s">
        <v>15668</v>
      </c>
      <c r="E3290" s="15">
        <v>18114.7</v>
      </c>
      <c r="F3290" s="237">
        <v>42914</v>
      </c>
      <c r="G3290" s="15">
        <v>18114.7</v>
      </c>
      <c r="H3290" s="15">
        <f t="shared" si="51"/>
        <v>0</v>
      </c>
      <c r="I3290" s="236" t="s">
        <v>19682</v>
      </c>
    </row>
    <row r="3291" spans="1:9" ht="15.75" x14ac:dyDescent="0.25">
      <c r="A3291" s="242">
        <v>42911</v>
      </c>
      <c r="B3291" s="18">
        <v>117392</v>
      </c>
      <c r="C3291" s="235" t="s">
        <v>19677</v>
      </c>
      <c r="D3291" s="248" t="s">
        <v>95</v>
      </c>
      <c r="E3291" s="15">
        <v>0</v>
      </c>
      <c r="F3291" s="243" t="s">
        <v>95</v>
      </c>
      <c r="G3291" s="15">
        <v>0</v>
      </c>
      <c r="H3291" s="15">
        <f t="shared" si="51"/>
        <v>0</v>
      </c>
      <c r="I3291" s="236" t="s">
        <v>19678</v>
      </c>
    </row>
    <row r="3292" spans="1:9" x14ac:dyDescent="0.25">
      <c r="A3292" s="36">
        <v>42911</v>
      </c>
      <c r="B3292" s="18">
        <v>117393</v>
      </c>
      <c r="C3292" s="235" t="s">
        <v>19677</v>
      </c>
      <c r="D3292" s="236" t="s">
        <v>15272</v>
      </c>
      <c r="E3292" s="15">
        <v>21716</v>
      </c>
      <c r="F3292" s="237">
        <v>42911</v>
      </c>
      <c r="G3292" s="15">
        <v>21716</v>
      </c>
      <c r="H3292" s="15">
        <f t="shared" si="51"/>
        <v>0</v>
      </c>
      <c r="I3292" s="236" t="s">
        <v>19682</v>
      </c>
    </row>
    <row r="3293" spans="1:9" x14ac:dyDescent="0.25">
      <c r="A3293" s="242">
        <v>42911</v>
      </c>
      <c r="B3293" s="18">
        <v>117394</v>
      </c>
      <c r="C3293" s="235" t="s">
        <v>19677</v>
      </c>
      <c r="D3293" s="236" t="s">
        <v>15223</v>
      </c>
      <c r="E3293" s="15">
        <v>45693</v>
      </c>
      <c r="F3293" s="237">
        <v>42929</v>
      </c>
      <c r="G3293" s="15">
        <v>45693</v>
      </c>
      <c r="H3293" s="15">
        <f t="shared" si="51"/>
        <v>0</v>
      </c>
      <c r="I3293" s="236" t="s">
        <v>19682</v>
      </c>
    </row>
    <row r="3294" spans="1:9" x14ac:dyDescent="0.25">
      <c r="A3294" s="36">
        <v>42911</v>
      </c>
      <c r="B3294" s="18">
        <v>117395</v>
      </c>
      <c r="C3294" s="235" t="s">
        <v>19677</v>
      </c>
      <c r="D3294" s="236" t="s">
        <v>15248</v>
      </c>
      <c r="E3294" s="15">
        <v>3268.8</v>
      </c>
      <c r="F3294" s="237">
        <v>42912</v>
      </c>
      <c r="G3294" s="15">
        <v>3268.8</v>
      </c>
      <c r="H3294" s="15">
        <f t="shared" si="51"/>
        <v>0</v>
      </c>
      <c r="I3294" s="236" t="s">
        <v>19682</v>
      </c>
    </row>
    <row r="3295" spans="1:9" x14ac:dyDescent="0.25">
      <c r="A3295" s="242">
        <v>42911</v>
      </c>
      <c r="B3295" s="18">
        <v>117396</v>
      </c>
      <c r="C3295" s="235" t="s">
        <v>19677</v>
      </c>
      <c r="D3295" s="236" t="s">
        <v>15263</v>
      </c>
      <c r="E3295" s="15">
        <v>3823.2</v>
      </c>
      <c r="F3295" s="237">
        <v>42911</v>
      </c>
      <c r="G3295" s="15">
        <v>3823.2</v>
      </c>
      <c r="H3295" s="15">
        <f t="shared" si="51"/>
        <v>0</v>
      </c>
      <c r="I3295" s="236" t="s">
        <v>19682</v>
      </c>
    </row>
    <row r="3296" spans="1:9" x14ac:dyDescent="0.25">
      <c r="A3296" s="36">
        <v>42911</v>
      </c>
      <c r="B3296" s="18">
        <v>117397</v>
      </c>
      <c r="C3296" s="235" t="s">
        <v>19677</v>
      </c>
      <c r="D3296" s="236" t="s">
        <v>15487</v>
      </c>
      <c r="E3296" s="15">
        <v>7473.7</v>
      </c>
      <c r="F3296" s="237">
        <v>42911</v>
      </c>
      <c r="G3296" s="15">
        <v>7473.7</v>
      </c>
      <c r="H3296" s="15">
        <f t="shared" si="51"/>
        <v>0</v>
      </c>
      <c r="I3296" s="236" t="s">
        <v>19682</v>
      </c>
    </row>
    <row r="3297" spans="1:9" x14ac:dyDescent="0.25">
      <c r="A3297" s="242">
        <v>42911</v>
      </c>
      <c r="B3297" s="18">
        <v>117398</v>
      </c>
      <c r="C3297" s="235" t="s">
        <v>19677</v>
      </c>
      <c r="D3297" s="236" t="s">
        <v>15289</v>
      </c>
      <c r="E3297" s="15">
        <v>658.8</v>
      </c>
      <c r="F3297" s="237">
        <v>42911</v>
      </c>
      <c r="G3297" s="15">
        <v>658.8</v>
      </c>
      <c r="H3297" s="15">
        <f t="shared" si="51"/>
        <v>0</v>
      </c>
      <c r="I3297" s="236" t="s">
        <v>19682</v>
      </c>
    </row>
    <row r="3298" spans="1:9" x14ac:dyDescent="0.25">
      <c r="A3298" s="36">
        <v>42911</v>
      </c>
      <c r="B3298" s="18">
        <v>117399</v>
      </c>
      <c r="C3298" s="235" t="s">
        <v>19677</v>
      </c>
      <c r="D3298" s="236" t="s">
        <v>15220</v>
      </c>
      <c r="E3298" s="15">
        <v>4935</v>
      </c>
      <c r="F3298" s="237">
        <v>42911</v>
      </c>
      <c r="G3298" s="15">
        <v>4935</v>
      </c>
      <c r="H3298" s="15">
        <f t="shared" si="51"/>
        <v>0</v>
      </c>
      <c r="I3298" s="236" t="s">
        <v>19682</v>
      </c>
    </row>
    <row r="3299" spans="1:9" x14ac:dyDescent="0.25">
      <c r="A3299" s="242">
        <v>42911</v>
      </c>
      <c r="B3299" s="18">
        <v>117400</v>
      </c>
      <c r="C3299" s="235" t="s">
        <v>19677</v>
      </c>
      <c r="D3299" s="236" t="s">
        <v>15315</v>
      </c>
      <c r="E3299" s="15">
        <v>3570.1</v>
      </c>
      <c r="F3299" s="237">
        <v>42911</v>
      </c>
      <c r="G3299" s="15">
        <v>3570.1</v>
      </c>
      <c r="H3299" s="15">
        <f t="shared" si="51"/>
        <v>0</v>
      </c>
      <c r="I3299" s="236" t="s">
        <v>19682</v>
      </c>
    </row>
    <row r="3300" spans="1:9" x14ac:dyDescent="0.25">
      <c r="A3300" s="36">
        <v>42911</v>
      </c>
      <c r="B3300" s="18">
        <v>117401</v>
      </c>
      <c r="C3300" s="235" t="s">
        <v>19677</v>
      </c>
      <c r="D3300" s="236" t="s">
        <v>15315</v>
      </c>
      <c r="E3300" s="15">
        <v>3743.8</v>
      </c>
      <c r="F3300" s="237">
        <v>42911</v>
      </c>
      <c r="G3300" s="15">
        <v>3743.8</v>
      </c>
      <c r="H3300" s="15">
        <f t="shared" si="51"/>
        <v>0</v>
      </c>
      <c r="I3300" s="236" t="s">
        <v>19682</v>
      </c>
    </row>
    <row r="3301" spans="1:9" x14ac:dyDescent="0.25">
      <c r="A3301" s="242">
        <v>42911</v>
      </c>
      <c r="B3301" s="18">
        <v>117402</v>
      </c>
      <c r="C3301" s="235" t="s">
        <v>19677</v>
      </c>
      <c r="D3301" s="236" t="s">
        <v>15278</v>
      </c>
      <c r="E3301" s="15">
        <v>451.2</v>
      </c>
      <c r="F3301" s="237">
        <v>42911</v>
      </c>
      <c r="G3301" s="15">
        <v>451.2</v>
      </c>
      <c r="H3301" s="15">
        <f t="shared" si="51"/>
        <v>0</v>
      </c>
      <c r="I3301" s="236" t="s">
        <v>19682</v>
      </c>
    </row>
    <row r="3302" spans="1:9" x14ac:dyDescent="0.25">
      <c r="A3302" s="36">
        <v>42911</v>
      </c>
      <c r="B3302" s="18">
        <v>117403</v>
      </c>
      <c r="C3302" s="235" t="s">
        <v>19677</v>
      </c>
      <c r="D3302" s="236" t="s">
        <v>15315</v>
      </c>
      <c r="E3302" s="15">
        <v>2006.2</v>
      </c>
      <c r="F3302" s="237">
        <v>42911</v>
      </c>
      <c r="G3302" s="15">
        <v>2006.2</v>
      </c>
      <c r="H3302" s="15">
        <f t="shared" si="51"/>
        <v>0</v>
      </c>
      <c r="I3302" s="236" t="s">
        <v>19682</v>
      </c>
    </row>
    <row r="3303" spans="1:9" x14ac:dyDescent="0.25">
      <c r="A3303" s="242">
        <v>42911</v>
      </c>
      <c r="B3303" s="18">
        <v>117404</v>
      </c>
      <c r="C3303" s="235" t="s">
        <v>19677</v>
      </c>
      <c r="D3303" s="236" t="s">
        <v>15378</v>
      </c>
      <c r="E3303" s="15">
        <v>4528.3</v>
      </c>
      <c r="F3303" s="237">
        <v>42911</v>
      </c>
      <c r="G3303" s="15">
        <v>4528.3</v>
      </c>
      <c r="H3303" s="15">
        <f t="shared" si="51"/>
        <v>0</v>
      </c>
      <c r="I3303" s="236" t="s">
        <v>19682</v>
      </c>
    </row>
    <row r="3304" spans="1:9" x14ac:dyDescent="0.25">
      <c r="A3304" s="36">
        <v>42911</v>
      </c>
      <c r="B3304" s="18">
        <v>117405</v>
      </c>
      <c r="C3304" s="235" t="s">
        <v>19677</v>
      </c>
      <c r="D3304" s="236" t="s">
        <v>15282</v>
      </c>
      <c r="E3304" s="15">
        <v>2866.8</v>
      </c>
      <c r="F3304" s="237">
        <v>42911</v>
      </c>
      <c r="G3304" s="15">
        <v>2866.8</v>
      </c>
      <c r="H3304" s="15">
        <f t="shared" si="51"/>
        <v>0</v>
      </c>
      <c r="I3304" s="236" t="s">
        <v>19682</v>
      </c>
    </row>
    <row r="3305" spans="1:9" x14ac:dyDescent="0.25">
      <c r="A3305" s="242">
        <v>42911</v>
      </c>
      <c r="B3305" s="18">
        <v>117406</v>
      </c>
      <c r="C3305" s="235" t="s">
        <v>19677</v>
      </c>
      <c r="D3305" s="236" t="s">
        <v>15326</v>
      </c>
      <c r="E3305" s="15">
        <v>582.4</v>
      </c>
      <c r="F3305" s="237">
        <v>42911</v>
      </c>
      <c r="G3305" s="15">
        <v>582.4</v>
      </c>
      <c r="H3305" s="15">
        <f t="shared" si="51"/>
        <v>0</v>
      </c>
      <c r="I3305" s="236" t="s">
        <v>19682</v>
      </c>
    </row>
    <row r="3306" spans="1:9" x14ac:dyDescent="0.25">
      <c r="A3306" s="36">
        <v>42911</v>
      </c>
      <c r="B3306" s="18">
        <v>117407</v>
      </c>
      <c r="C3306" s="235" t="s">
        <v>19677</v>
      </c>
      <c r="D3306" s="236" t="s">
        <v>15280</v>
      </c>
      <c r="E3306" s="15">
        <v>7031.8</v>
      </c>
      <c r="F3306" s="237">
        <v>42911</v>
      </c>
      <c r="G3306" s="15">
        <v>7031.8</v>
      </c>
      <c r="H3306" s="15">
        <f t="shared" si="51"/>
        <v>0</v>
      </c>
      <c r="I3306" s="236" t="s">
        <v>19682</v>
      </c>
    </row>
    <row r="3307" spans="1:9" x14ac:dyDescent="0.25">
      <c r="A3307" s="242">
        <v>42911</v>
      </c>
      <c r="B3307" s="18">
        <v>117408</v>
      </c>
      <c r="C3307" s="235" t="s">
        <v>19677</v>
      </c>
      <c r="D3307" s="236" t="s">
        <v>16023</v>
      </c>
      <c r="E3307" s="15">
        <v>710</v>
      </c>
      <c r="F3307" s="237">
        <v>42911</v>
      </c>
      <c r="G3307" s="15">
        <v>710</v>
      </c>
      <c r="H3307" s="15">
        <f t="shared" si="51"/>
        <v>0</v>
      </c>
      <c r="I3307" s="236" t="s">
        <v>19682</v>
      </c>
    </row>
    <row r="3308" spans="1:9" x14ac:dyDescent="0.25">
      <c r="A3308" s="36">
        <v>42911</v>
      </c>
      <c r="B3308" s="18">
        <v>117409</v>
      </c>
      <c r="C3308" s="235" t="s">
        <v>19677</v>
      </c>
      <c r="D3308" s="236" t="s">
        <v>15385</v>
      </c>
      <c r="E3308" s="15">
        <v>9696</v>
      </c>
      <c r="F3308" s="237">
        <v>42912</v>
      </c>
      <c r="G3308" s="15">
        <v>9696</v>
      </c>
      <c r="H3308" s="15">
        <f t="shared" si="51"/>
        <v>0</v>
      </c>
      <c r="I3308" s="236" t="s">
        <v>19682</v>
      </c>
    </row>
    <row r="3309" spans="1:9" x14ac:dyDescent="0.25">
      <c r="A3309" s="242">
        <v>42911</v>
      </c>
      <c r="B3309" s="18">
        <v>117410</v>
      </c>
      <c r="C3309" s="235" t="s">
        <v>19677</v>
      </c>
      <c r="D3309" s="236" t="s">
        <v>15284</v>
      </c>
      <c r="E3309" s="15">
        <v>2592</v>
      </c>
      <c r="F3309" s="237">
        <v>42911</v>
      </c>
      <c r="G3309" s="15">
        <v>2592</v>
      </c>
      <c r="H3309" s="15">
        <f t="shared" si="51"/>
        <v>0</v>
      </c>
      <c r="I3309" s="236" t="s">
        <v>19682</v>
      </c>
    </row>
    <row r="3310" spans="1:9" x14ac:dyDescent="0.25">
      <c r="A3310" s="36">
        <v>42911</v>
      </c>
      <c r="B3310" s="18">
        <v>117411</v>
      </c>
      <c r="C3310" s="235" t="s">
        <v>19677</v>
      </c>
      <c r="D3310" s="236" t="s">
        <v>15246</v>
      </c>
      <c r="E3310" s="15">
        <v>2844.4</v>
      </c>
      <c r="F3310" s="237">
        <v>42914</v>
      </c>
      <c r="G3310" s="15">
        <v>2844.4</v>
      </c>
      <c r="H3310" s="15">
        <f t="shared" si="51"/>
        <v>0</v>
      </c>
      <c r="I3310" s="236" t="s">
        <v>19682</v>
      </c>
    </row>
    <row r="3311" spans="1:9" x14ac:dyDescent="0.25">
      <c r="A3311" s="242">
        <v>42911</v>
      </c>
      <c r="B3311" s="18">
        <v>117412</v>
      </c>
      <c r="C3311" s="235" t="s">
        <v>19677</v>
      </c>
      <c r="D3311" s="236" t="s">
        <v>16249</v>
      </c>
      <c r="E3311" s="15">
        <v>1830.6</v>
      </c>
      <c r="F3311" s="237">
        <v>42911</v>
      </c>
      <c r="G3311" s="15">
        <v>1830.6</v>
      </c>
      <c r="H3311" s="15">
        <f t="shared" si="51"/>
        <v>0</v>
      </c>
      <c r="I3311" s="236" t="s">
        <v>19682</v>
      </c>
    </row>
    <row r="3312" spans="1:9" x14ac:dyDescent="0.25">
      <c r="A3312" s="36">
        <v>42911</v>
      </c>
      <c r="B3312" s="18">
        <v>117413</v>
      </c>
      <c r="C3312" s="235" t="s">
        <v>19677</v>
      </c>
      <c r="D3312" s="236" t="s">
        <v>15324</v>
      </c>
      <c r="E3312" s="15">
        <v>1780.5</v>
      </c>
      <c r="F3312" s="237">
        <v>42912</v>
      </c>
      <c r="G3312" s="15">
        <v>1780.5</v>
      </c>
      <c r="H3312" s="15">
        <f t="shared" si="51"/>
        <v>0</v>
      </c>
      <c r="I3312" s="236" t="s">
        <v>19682</v>
      </c>
    </row>
    <row r="3313" spans="1:9" x14ac:dyDescent="0.25">
      <c r="A3313" s="242">
        <v>42911</v>
      </c>
      <c r="B3313" s="18">
        <v>117414</v>
      </c>
      <c r="C3313" s="235" t="s">
        <v>19677</v>
      </c>
      <c r="D3313" s="236" t="s">
        <v>15274</v>
      </c>
      <c r="E3313" s="15">
        <v>1175</v>
      </c>
      <c r="F3313" s="237">
        <v>42912</v>
      </c>
      <c r="G3313" s="15">
        <v>1175</v>
      </c>
      <c r="H3313" s="15">
        <f t="shared" si="51"/>
        <v>0</v>
      </c>
      <c r="I3313" s="236" t="s">
        <v>19682</v>
      </c>
    </row>
    <row r="3314" spans="1:9" x14ac:dyDescent="0.25">
      <c r="A3314" s="36">
        <v>42911</v>
      </c>
      <c r="B3314" s="18">
        <v>117415</v>
      </c>
      <c r="C3314" s="235" t="s">
        <v>19677</v>
      </c>
      <c r="D3314" s="236" t="s">
        <v>15334</v>
      </c>
      <c r="E3314" s="15">
        <v>1082</v>
      </c>
      <c r="F3314" s="237">
        <v>42912</v>
      </c>
      <c r="G3314" s="15">
        <v>1082</v>
      </c>
      <c r="H3314" s="15">
        <f t="shared" si="51"/>
        <v>0</v>
      </c>
      <c r="I3314" s="236" t="s">
        <v>19682</v>
      </c>
    </row>
    <row r="3315" spans="1:9" x14ac:dyDescent="0.25">
      <c r="A3315" s="242">
        <v>42911</v>
      </c>
      <c r="B3315" s="18">
        <v>117416</v>
      </c>
      <c r="C3315" s="235" t="s">
        <v>19677</v>
      </c>
      <c r="D3315" s="236" t="s">
        <v>15350</v>
      </c>
      <c r="E3315" s="15">
        <v>1504</v>
      </c>
      <c r="F3315" s="237">
        <v>42912</v>
      </c>
      <c r="G3315" s="15">
        <v>1504</v>
      </c>
      <c r="H3315" s="15">
        <f t="shared" si="51"/>
        <v>0</v>
      </c>
      <c r="I3315" s="236" t="s">
        <v>19682</v>
      </c>
    </row>
    <row r="3316" spans="1:9" x14ac:dyDescent="0.25">
      <c r="A3316" s="36">
        <v>42911</v>
      </c>
      <c r="B3316" s="18">
        <v>117417</v>
      </c>
      <c r="C3316" s="235" t="s">
        <v>19677</v>
      </c>
      <c r="D3316" s="236" t="s">
        <v>15523</v>
      </c>
      <c r="E3316" s="15">
        <v>3760</v>
      </c>
      <c r="F3316" s="237">
        <v>42912</v>
      </c>
      <c r="G3316" s="15">
        <v>3760</v>
      </c>
      <c r="H3316" s="15">
        <f t="shared" si="51"/>
        <v>0</v>
      </c>
      <c r="I3316" s="236" t="s">
        <v>19682</v>
      </c>
    </row>
    <row r="3317" spans="1:9" x14ac:dyDescent="0.25">
      <c r="A3317" s="242">
        <v>42911</v>
      </c>
      <c r="B3317" s="18">
        <v>117418</v>
      </c>
      <c r="C3317" s="235" t="s">
        <v>19677</v>
      </c>
      <c r="D3317" s="236" t="s">
        <v>15858</v>
      </c>
      <c r="E3317" s="15">
        <v>385</v>
      </c>
      <c r="F3317" s="237">
        <v>42912</v>
      </c>
      <c r="G3317" s="15">
        <v>385</v>
      </c>
      <c r="H3317" s="15">
        <f t="shared" si="51"/>
        <v>0</v>
      </c>
      <c r="I3317" s="236" t="s">
        <v>19682</v>
      </c>
    </row>
    <row r="3318" spans="1:9" x14ac:dyDescent="0.25">
      <c r="A3318" s="36">
        <v>42911</v>
      </c>
      <c r="B3318" s="18">
        <v>117419</v>
      </c>
      <c r="C3318" s="235" t="s">
        <v>19677</v>
      </c>
      <c r="D3318" s="236" t="s">
        <v>15340</v>
      </c>
      <c r="E3318" s="15">
        <v>12236.5</v>
      </c>
      <c r="F3318" s="237">
        <v>42912</v>
      </c>
      <c r="G3318" s="15">
        <v>12236.5</v>
      </c>
      <c r="H3318" s="15">
        <f t="shared" si="51"/>
        <v>0</v>
      </c>
      <c r="I3318" s="236" t="s">
        <v>19682</v>
      </c>
    </row>
    <row r="3319" spans="1:9" x14ac:dyDescent="0.25">
      <c r="A3319" s="242">
        <v>42911</v>
      </c>
      <c r="B3319" s="18">
        <v>117420</v>
      </c>
      <c r="C3319" s="235" t="s">
        <v>19677</v>
      </c>
      <c r="D3319" s="236" t="s">
        <v>15234</v>
      </c>
      <c r="E3319" s="15">
        <v>3616</v>
      </c>
      <c r="F3319" s="237">
        <v>42912</v>
      </c>
      <c r="G3319" s="15">
        <v>3616</v>
      </c>
      <c r="H3319" s="15">
        <f t="shared" si="51"/>
        <v>0</v>
      </c>
      <c r="I3319" s="236" t="s">
        <v>19682</v>
      </c>
    </row>
    <row r="3320" spans="1:9" x14ac:dyDescent="0.25">
      <c r="A3320" s="36">
        <v>42911</v>
      </c>
      <c r="B3320" s="18">
        <v>117421</v>
      </c>
      <c r="C3320" s="235" t="s">
        <v>19677</v>
      </c>
      <c r="D3320" s="236" t="s">
        <v>15311</v>
      </c>
      <c r="E3320" s="15">
        <v>2162.4</v>
      </c>
      <c r="F3320" s="237">
        <v>42912</v>
      </c>
      <c r="G3320" s="15">
        <v>2162.4</v>
      </c>
      <c r="H3320" s="15">
        <f t="shared" si="51"/>
        <v>0</v>
      </c>
      <c r="I3320" s="236" t="s">
        <v>19682</v>
      </c>
    </row>
    <row r="3321" spans="1:9" x14ac:dyDescent="0.25">
      <c r="A3321" s="242">
        <v>42911</v>
      </c>
      <c r="B3321" s="18">
        <v>117422</v>
      </c>
      <c r="C3321" s="235" t="s">
        <v>19677</v>
      </c>
      <c r="D3321" s="236" t="s">
        <v>15706</v>
      </c>
      <c r="E3321" s="15">
        <v>1908</v>
      </c>
      <c r="F3321" s="237">
        <v>42911</v>
      </c>
      <c r="G3321" s="15">
        <v>1908</v>
      </c>
      <c r="H3321" s="15">
        <f t="shared" si="51"/>
        <v>0</v>
      </c>
      <c r="I3321" s="236" t="s">
        <v>19682</v>
      </c>
    </row>
    <row r="3322" spans="1:9" x14ac:dyDescent="0.25">
      <c r="A3322" s="36">
        <v>42911</v>
      </c>
      <c r="B3322" s="18">
        <v>117423</v>
      </c>
      <c r="C3322" s="235" t="s">
        <v>19677</v>
      </c>
      <c r="D3322" s="236" t="s">
        <v>15344</v>
      </c>
      <c r="E3322" s="15">
        <v>2174.4</v>
      </c>
      <c r="F3322" s="237">
        <v>42912</v>
      </c>
      <c r="G3322" s="15">
        <v>2174.4</v>
      </c>
      <c r="H3322" s="15">
        <f t="shared" si="51"/>
        <v>0</v>
      </c>
      <c r="I3322" s="236" t="s">
        <v>19682</v>
      </c>
    </row>
    <row r="3323" spans="1:9" x14ac:dyDescent="0.25">
      <c r="A3323" s="242">
        <v>42911</v>
      </c>
      <c r="B3323" s="18">
        <v>117424</v>
      </c>
      <c r="C3323" s="235" t="s">
        <v>19677</v>
      </c>
      <c r="D3323" s="236" t="s">
        <v>15332</v>
      </c>
      <c r="E3323" s="15">
        <v>4416.6000000000004</v>
      </c>
      <c r="F3323" s="237">
        <v>42912</v>
      </c>
      <c r="G3323" s="15">
        <v>4416.6000000000004</v>
      </c>
      <c r="H3323" s="15">
        <f t="shared" si="51"/>
        <v>0</v>
      </c>
      <c r="I3323" s="236" t="s">
        <v>19682</v>
      </c>
    </row>
    <row r="3324" spans="1:9" x14ac:dyDescent="0.25">
      <c r="A3324" s="36">
        <v>42911</v>
      </c>
      <c r="B3324" s="18">
        <v>117425</v>
      </c>
      <c r="C3324" s="235" t="s">
        <v>19677</v>
      </c>
      <c r="D3324" s="236" t="s">
        <v>15526</v>
      </c>
      <c r="E3324" s="15">
        <v>3628.8</v>
      </c>
      <c r="F3324" s="237">
        <v>42912</v>
      </c>
      <c r="G3324" s="15">
        <v>3628.8</v>
      </c>
      <c r="H3324" s="15">
        <f t="shared" si="51"/>
        <v>0</v>
      </c>
      <c r="I3324" s="236" t="s">
        <v>19682</v>
      </c>
    </row>
    <row r="3325" spans="1:9" x14ac:dyDescent="0.25">
      <c r="A3325" s="242">
        <v>42911</v>
      </c>
      <c r="B3325" s="18">
        <v>117426</v>
      </c>
      <c r="C3325" s="235" t="s">
        <v>19677</v>
      </c>
      <c r="D3325" s="236" t="s">
        <v>15336</v>
      </c>
      <c r="E3325" s="15">
        <v>2304.6</v>
      </c>
      <c r="F3325" s="237">
        <v>42912</v>
      </c>
      <c r="G3325" s="15">
        <v>2304.6</v>
      </c>
      <c r="H3325" s="15">
        <f t="shared" si="51"/>
        <v>0</v>
      </c>
      <c r="I3325" s="236" t="s">
        <v>19682</v>
      </c>
    </row>
    <row r="3326" spans="1:9" x14ac:dyDescent="0.25">
      <c r="A3326" s="36">
        <v>42911</v>
      </c>
      <c r="B3326" s="18">
        <v>117427</v>
      </c>
      <c r="C3326" s="235" t="s">
        <v>19677</v>
      </c>
      <c r="D3326" s="236" t="s">
        <v>15315</v>
      </c>
      <c r="E3326" s="15">
        <v>898.2</v>
      </c>
      <c r="F3326" s="237">
        <v>42911</v>
      </c>
      <c r="G3326" s="15">
        <v>898.2</v>
      </c>
      <c r="H3326" s="15">
        <f t="shared" si="51"/>
        <v>0</v>
      </c>
      <c r="I3326" s="236" t="s">
        <v>19682</v>
      </c>
    </row>
    <row r="3327" spans="1:9" x14ac:dyDescent="0.25">
      <c r="A3327" s="242">
        <v>42911</v>
      </c>
      <c r="B3327" s="18">
        <v>117428</v>
      </c>
      <c r="C3327" s="235" t="s">
        <v>19677</v>
      </c>
      <c r="D3327" s="236" t="s">
        <v>15252</v>
      </c>
      <c r="E3327" s="15">
        <v>5206.2</v>
      </c>
      <c r="F3327" s="237">
        <v>42919</v>
      </c>
      <c r="G3327" s="15">
        <v>5206.2</v>
      </c>
      <c r="H3327" s="15">
        <f t="shared" si="51"/>
        <v>0</v>
      </c>
      <c r="I3327" s="236" t="s">
        <v>19682</v>
      </c>
    </row>
    <row r="3328" spans="1:9" x14ac:dyDescent="0.25">
      <c r="A3328" s="36">
        <v>42911</v>
      </c>
      <c r="B3328" s="18">
        <v>117429</v>
      </c>
      <c r="C3328" s="235" t="s">
        <v>19677</v>
      </c>
      <c r="D3328" s="236" t="s">
        <v>15745</v>
      </c>
      <c r="E3328" s="15">
        <v>1844.44</v>
      </c>
      <c r="F3328" s="237">
        <v>42912</v>
      </c>
      <c r="G3328" s="15">
        <v>1844.44</v>
      </c>
      <c r="H3328" s="15">
        <f t="shared" si="51"/>
        <v>0</v>
      </c>
      <c r="I3328" s="236" t="s">
        <v>19682</v>
      </c>
    </row>
    <row r="3329" spans="1:9" x14ac:dyDescent="0.25">
      <c r="A3329" s="242">
        <v>42911</v>
      </c>
      <c r="B3329" s="18">
        <v>117430</v>
      </c>
      <c r="C3329" s="235" t="s">
        <v>19677</v>
      </c>
      <c r="D3329" s="236" t="s">
        <v>15311</v>
      </c>
      <c r="E3329" s="15">
        <v>145.19999999999999</v>
      </c>
      <c r="F3329" s="237">
        <v>42912</v>
      </c>
      <c r="G3329" s="15">
        <v>145.19999999999999</v>
      </c>
      <c r="H3329" s="15">
        <f t="shared" si="51"/>
        <v>0</v>
      </c>
      <c r="I3329" s="236" t="s">
        <v>19682</v>
      </c>
    </row>
    <row r="3330" spans="1:9" x14ac:dyDescent="0.25">
      <c r="A3330" s="36">
        <v>42911</v>
      </c>
      <c r="B3330" s="18">
        <v>117431</v>
      </c>
      <c r="C3330" s="235" t="s">
        <v>19677</v>
      </c>
      <c r="D3330" s="236" t="s">
        <v>15244</v>
      </c>
      <c r="E3330" s="15">
        <v>15973.8</v>
      </c>
      <c r="F3330" s="237">
        <v>42913</v>
      </c>
      <c r="G3330" s="15">
        <v>15973.8</v>
      </c>
      <c r="H3330" s="15">
        <f t="shared" ref="H3330:H3393" si="52">E3330-G3330</f>
        <v>0</v>
      </c>
      <c r="I3330" s="236" t="s">
        <v>19682</v>
      </c>
    </row>
    <row r="3331" spans="1:9" x14ac:dyDescent="0.25">
      <c r="A3331" s="242">
        <v>42911</v>
      </c>
      <c r="B3331" s="18">
        <v>117432</v>
      </c>
      <c r="C3331" s="235" t="s">
        <v>19677</v>
      </c>
      <c r="D3331" s="236" t="s">
        <v>15305</v>
      </c>
      <c r="E3331" s="15">
        <v>1029.8</v>
      </c>
      <c r="F3331" s="237">
        <v>42912</v>
      </c>
      <c r="G3331" s="15">
        <v>1029.8</v>
      </c>
      <c r="H3331" s="15">
        <f t="shared" si="52"/>
        <v>0</v>
      </c>
      <c r="I3331" s="236" t="s">
        <v>19682</v>
      </c>
    </row>
    <row r="3332" spans="1:9" x14ac:dyDescent="0.25">
      <c r="A3332" s="36">
        <v>42911</v>
      </c>
      <c r="B3332" s="18">
        <v>117433</v>
      </c>
      <c r="C3332" s="235" t="s">
        <v>19677</v>
      </c>
      <c r="D3332" s="236" t="s">
        <v>15258</v>
      </c>
      <c r="E3332" s="15">
        <v>369.6</v>
      </c>
      <c r="F3332" s="237">
        <v>42912</v>
      </c>
      <c r="G3332" s="15">
        <v>369.6</v>
      </c>
      <c r="H3332" s="15">
        <f t="shared" si="52"/>
        <v>0</v>
      </c>
      <c r="I3332" s="236" t="s">
        <v>19682</v>
      </c>
    </row>
    <row r="3333" spans="1:9" x14ac:dyDescent="0.25">
      <c r="A3333" s="242">
        <v>42911</v>
      </c>
      <c r="B3333" s="18">
        <v>117434</v>
      </c>
      <c r="C3333" s="235" t="s">
        <v>19677</v>
      </c>
      <c r="D3333" s="236" t="s">
        <v>15541</v>
      </c>
      <c r="E3333" s="15">
        <v>2065.4</v>
      </c>
      <c r="F3333" s="237">
        <v>42911</v>
      </c>
      <c r="G3333" s="15">
        <v>2065.4</v>
      </c>
      <c r="H3333" s="15">
        <f t="shared" si="52"/>
        <v>0</v>
      </c>
      <c r="I3333" s="236" t="s">
        <v>19682</v>
      </c>
    </row>
    <row r="3334" spans="1:9" x14ac:dyDescent="0.25">
      <c r="A3334" s="36">
        <v>42911</v>
      </c>
      <c r="B3334" s="18">
        <v>117435</v>
      </c>
      <c r="C3334" s="235" t="s">
        <v>19677</v>
      </c>
      <c r="D3334" s="236" t="s">
        <v>15254</v>
      </c>
      <c r="E3334" s="15">
        <v>9424.4</v>
      </c>
      <c r="F3334" s="237">
        <v>42913</v>
      </c>
      <c r="G3334" s="15">
        <v>9424.4</v>
      </c>
      <c r="H3334" s="15">
        <f t="shared" si="52"/>
        <v>0</v>
      </c>
      <c r="I3334" s="236" t="s">
        <v>19682</v>
      </c>
    </row>
    <row r="3335" spans="1:9" x14ac:dyDescent="0.25">
      <c r="A3335" s="242">
        <v>42911</v>
      </c>
      <c r="B3335" s="18">
        <v>117436</v>
      </c>
      <c r="C3335" s="235" t="s">
        <v>19677</v>
      </c>
      <c r="D3335" s="236" t="s">
        <v>15309</v>
      </c>
      <c r="E3335" s="15">
        <v>13097</v>
      </c>
      <c r="F3335" s="237">
        <v>42912</v>
      </c>
      <c r="G3335" s="15">
        <v>13097</v>
      </c>
      <c r="H3335" s="15">
        <f t="shared" si="52"/>
        <v>0</v>
      </c>
      <c r="I3335" s="236" t="s">
        <v>19682</v>
      </c>
    </row>
    <row r="3336" spans="1:9" x14ac:dyDescent="0.25">
      <c r="A3336" s="36">
        <v>42911</v>
      </c>
      <c r="B3336" s="18">
        <v>117437</v>
      </c>
      <c r="C3336" s="235" t="s">
        <v>19677</v>
      </c>
      <c r="D3336" s="236" t="s">
        <v>15725</v>
      </c>
      <c r="E3336" s="15">
        <v>6072.4</v>
      </c>
      <c r="F3336" s="237">
        <v>42919</v>
      </c>
      <c r="G3336" s="15">
        <v>6072.4</v>
      </c>
      <c r="H3336" s="15">
        <f t="shared" si="52"/>
        <v>0</v>
      </c>
      <c r="I3336" s="236" t="s">
        <v>19682</v>
      </c>
    </row>
    <row r="3337" spans="1:9" x14ac:dyDescent="0.25">
      <c r="A3337" s="242">
        <v>42911</v>
      </c>
      <c r="B3337" s="18">
        <v>117438</v>
      </c>
      <c r="C3337" s="235" t="s">
        <v>19677</v>
      </c>
      <c r="D3337" s="236" t="s">
        <v>15315</v>
      </c>
      <c r="E3337" s="15">
        <v>17.86</v>
      </c>
      <c r="F3337" s="237">
        <v>42912</v>
      </c>
      <c r="G3337" s="15">
        <v>17.86</v>
      </c>
      <c r="H3337" s="15">
        <f t="shared" si="52"/>
        <v>0</v>
      </c>
      <c r="I3337" s="236" t="s">
        <v>19682</v>
      </c>
    </row>
    <row r="3338" spans="1:9" x14ac:dyDescent="0.25">
      <c r="A3338" s="36">
        <v>42911</v>
      </c>
      <c r="B3338" s="18">
        <v>117439</v>
      </c>
      <c r="C3338" s="235" t="s">
        <v>19677</v>
      </c>
      <c r="D3338" s="236" t="s">
        <v>19768</v>
      </c>
      <c r="E3338" s="15">
        <v>1410</v>
      </c>
      <c r="F3338" s="237">
        <v>42911</v>
      </c>
      <c r="G3338" s="15">
        <v>1410</v>
      </c>
      <c r="H3338" s="15">
        <f t="shared" si="52"/>
        <v>0</v>
      </c>
      <c r="I3338" s="236" t="s">
        <v>19682</v>
      </c>
    </row>
    <row r="3339" spans="1:9" x14ac:dyDescent="0.25">
      <c r="A3339" s="242">
        <v>42911</v>
      </c>
      <c r="B3339" s="18">
        <v>117440</v>
      </c>
      <c r="C3339" s="235" t="s">
        <v>19677</v>
      </c>
      <c r="D3339" s="236" t="s">
        <v>15391</v>
      </c>
      <c r="E3339" s="15">
        <v>10345.200000000001</v>
      </c>
      <c r="F3339" s="237">
        <v>42912</v>
      </c>
      <c r="G3339" s="15">
        <v>10345.200000000001</v>
      </c>
      <c r="H3339" s="15">
        <f t="shared" si="52"/>
        <v>0</v>
      </c>
      <c r="I3339" s="236" t="s">
        <v>19682</v>
      </c>
    </row>
    <row r="3340" spans="1:9" x14ac:dyDescent="0.25">
      <c r="A3340" s="36">
        <v>42911</v>
      </c>
      <c r="B3340" s="18">
        <v>117441</v>
      </c>
      <c r="C3340" s="235" t="s">
        <v>19677</v>
      </c>
      <c r="D3340" s="236" t="s">
        <v>15284</v>
      </c>
      <c r="E3340" s="15">
        <v>353.4</v>
      </c>
      <c r="F3340" s="237">
        <v>42911</v>
      </c>
      <c r="G3340" s="15">
        <v>353.4</v>
      </c>
      <c r="H3340" s="15">
        <f t="shared" si="52"/>
        <v>0</v>
      </c>
      <c r="I3340" s="236" t="s">
        <v>19682</v>
      </c>
    </row>
    <row r="3341" spans="1:9" x14ac:dyDescent="0.25">
      <c r="A3341" s="242">
        <v>42911</v>
      </c>
      <c r="B3341" s="18">
        <v>117442</v>
      </c>
      <c r="C3341" s="235" t="s">
        <v>19677</v>
      </c>
      <c r="D3341" s="236" t="s">
        <v>15246</v>
      </c>
      <c r="E3341" s="15">
        <v>32638.7</v>
      </c>
      <c r="F3341" s="237">
        <v>42914</v>
      </c>
      <c r="G3341" s="15">
        <v>32638.7</v>
      </c>
      <c r="H3341" s="15">
        <f t="shared" si="52"/>
        <v>0</v>
      </c>
      <c r="I3341" s="236" t="s">
        <v>19682</v>
      </c>
    </row>
    <row r="3342" spans="1:9" x14ac:dyDescent="0.25">
      <c r="A3342" s="36">
        <v>42911</v>
      </c>
      <c r="B3342" s="18">
        <v>117443</v>
      </c>
      <c r="C3342" s="235" t="s">
        <v>19677</v>
      </c>
      <c r="D3342" s="236" t="s">
        <v>15315</v>
      </c>
      <c r="E3342" s="15">
        <v>4600</v>
      </c>
      <c r="F3342" s="237">
        <v>42911</v>
      </c>
      <c r="G3342" s="15">
        <v>4600</v>
      </c>
      <c r="H3342" s="15">
        <f t="shared" si="52"/>
        <v>0</v>
      </c>
      <c r="I3342" s="236" t="s">
        <v>19682</v>
      </c>
    </row>
    <row r="3343" spans="1:9" x14ac:dyDescent="0.25">
      <c r="A3343" s="242">
        <v>42911</v>
      </c>
      <c r="B3343" s="18">
        <v>117444</v>
      </c>
      <c r="C3343" s="235" t="s">
        <v>19677</v>
      </c>
      <c r="D3343" s="236" t="s">
        <v>18082</v>
      </c>
      <c r="E3343" s="15">
        <v>31836.6</v>
      </c>
      <c r="F3343" s="237">
        <v>42911</v>
      </c>
      <c r="G3343" s="15">
        <v>31836.6</v>
      </c>
      <c r="H3343" s="15">
        <f t="shared" si="52"/>
        <v>0</v>
      </c>
      <c r="I3343" s="236" t="s">
        <v>19682</v>
      </c>
    </row>
    <row r="3344" spans="1:9" x14ac:dyDescent="0.25">
      <c r="A3344" s="36">
        <v>42911</v>
      </c>
      <c r="B3344" s="18">
        <v>117445</v>
      </c>
      <c r="C3344" s="235" t="s">
        <v>19677</v>
      </c>
      <c r="D3344" s="236" t="s">
        <v>15315</v>
      </c>
      <c r="E3344" s="15">
        <v>72.8</v>
      </c>
      <c r="F3344" s="237">
        <v>42913</v>
      </c>
      <c r="G3344" s="15">
        <v>72.8</v>
      </c>
      <c r="H3344" s="15">
        <f t="shared" si="52"/>
        <v>0</v>
      </c>
      <c r="I3344" s="236" t="s">
        <v>19682</v>
      </c>
    </row>
    <row r="3345" spans="1:9" x14ac:dyDescent="0.25">
      <c r="A3345" s="242">
        <v>42911</v>
      </c>
      <c r="B3345" s="18">
        <v>117446</v>
      </c>
      <c r="C3345" s="235" t="s">
        <v>19677</v>
      </c>
      <c r="D3345" s="236" t="s">
        <v>15378</v>
      </c>
      <c r="E3345" s="15">
        <v>452.8</v>
      </c>
      <c r="F3345" s="237">
        <v>42911</v>
      </c>
      <c r="G3345" s="15">
        <v>452.8</v>
      </c>
      <c r="H3345" s="15">
        <f t="shared" si="52"/>
        <v>0</v>
      </c>
      <c r="I3345" s="236" t="s">
        <v>19682</v>
      </c>
    </row>
    <row r="3346" spans="1:9" x14ac:dyDescent="0.25">
      <c r="A3346" s="36">
        <v>42911</v>
      </c>
      <c r="B3346" s="18">
        <v>117447</v>
      </c>
      <c r="C3346" s="235" t="s">
        <v>19677</v>
      </c>
      <c r="D3346" s="236" t="s">
        <v>15250</v>
      </c>
      <c r="E3346" s="15">
        <v>17767.2</v>
      </c>
      <c r="F3346" s="237">
        <v>42915</v>
      </c>
      <c r="G3346" s="15">
        <v>17767.2</v>
      </c>
      <c r="H3346" s="15">
        <f t="shared" si="52"/>
        <v>0</v>
      </c>
      <c r="I3346" s="236" t="s">
        <v>19682</v>
      </c>
    </row>
    <row r="3347" spans="1:9" x14ac:dyDescent="0.25">
      <c r="A3347" s="242">
        <v>42911</v>
      </c>
      <c r="B3347" s="18">
        <v>117448</v>
      </c>
      <c r="C3347" s="235" t="s">
        <v>19677</v>
      </c>
      <c r="D3347" s="236" t="s">
        <v>15322</v>
      </c>
      <c r="E3347" s="15">
        <v>984</v>
      </c>
      <c r="F3347" s="237">
        <v>42911</v>
      </c>
      <c r="G3347" s="15">
        <v>984</v>
      </c>
      <c r="H3347" s="15">
        <f t="shared" si="52"/>
        <v>0</v>
      </c>
      <c r="I3347" s="236" t="s">
        <v>19682</v>
      </c>
    </row>
    <row r="3348" spans="1:9" x14ac:dyDescent="0.25">
      <c r="A3348" s="36">
        <v>42911</v>
      </c>
      <c r="B3348" s="18">
        <v>117449</v>
      </c>
      <c r="C3348" s="235" t="s">
        <v>19677</v>
      </c>
      <c r="D3348" s="236" t="s">
        <v>15328</v>
      </c>
      <c r="E3348" s="15">
        <v>52491</v>
      </c>
      <c r="F3348" s="266">
        <v>42934</v>
      </c>
      <c r="G3348" s="35">
        <v>52491</v>
      </c>
      <c r="H3348" s="15">
        <f t="shared" si="52"/>
        <v>0</v>
      </c>
      <c r="I3348" s="236" t="s">
        <v>19682</v>
      </c>
    </row>
    <row r="3349" spans="1:9" x14ac:dyDescent="0.25">
      <c r="A3349" s="242">
        <v>42911</v>
      </c>
      <c r="B3349" s="18">
        <v>117450</v>
      </c>
      <c r="C3349" s="235" t="s">
        <v>19677</v>
      </c>
      <c r="D3349" s="236" t="s">
        <v>15315</v>
      </c>
      <c r="E3349" s="15">
        <v>826.2</v>
      </c>
      <c r="F3349" s="237">
        <v>42911</v>
      </c>
      <c r="G3349" s="15">
        <v>826.2</v>
      </c>
      <c r="H3349" s="15">
        <f t="shared" si="52"/>
        <v>0</v>
      </c>
      <c r="I3349" s="236" t="s">
        <v>19682</v>
      </c>
    </row>
    <row r="3350" spans="1:9" x14ac:dyDescent="0.25">
      <c r="A3350" s="36">
        <v>42911</v>
      </c>
      <c r="B3350" s="18">
        <v>117451</v>
      </c>
      <c r="C3350" s="235" t="s">
        <v>19677</v>
      </c>
      <c r="D3350" s="236" t="s">
        <v>15435</v>
      </c>
      <c r="E3350" s="15">
        <v>8604</v>
      </c>
      <c r="F3350" s="237">
        <v>42911</v>
      </c>
      <c r="G3350" s="15">
        <v>8604</v>
      </c>
      <c r="H3350" s="15">
        <f t="shared" si="52"/>
        <v>0</v>
      </c>
      <c r="I3350" s="236" t="s">
        <v>19682</v>
      </c>
    </row>
    <row r="3351" spans="1:9" x14ac:dyDescent="0.25">
      <c r="A3351" s="242">
        <v>42911</v>
      </c>
      <c r="B3351" s="18">
        <v>117452</v>
      </c>
      <c r="C3351" s="235" t="s">
        <v>19677</v>
      </c>
      <c r="D3351" s="236" t="s">
        <v>19742</v>
      </c>
      <c r="E3351" s="15">
        <v>45164</v>
      </c>
      <c r="F3351" s="237">
        <v>42911</v>
      </c>
      <c r="G3351" s="15">
        <v>45164</v>
      </c>
      <c r="H3351" s="15">
        <f t="shared" si="52"/>
        <v>0</v>
      </c>
      <c r="I3351" s="236" t="s">
        <v>19682</v>
      </c>
    </row>
    <row r="3352" spans="1:9" x14ac:dyDescent="0.25">
      <c r="A3352" s="36">
        <v>42911</v>
      </c>
      <c r="B3352" s="18">
        <v>117453</v>
      </c>
      <c r="C3352" s="235" t="s">
        <v>19677</v>
      </c>
      <c r="D3352" s="236" t="s">
        <v>15246</v>
      </c>
      <c r="E3352" s="15">
        <v>309937</v>
      </c>
      <c r="F3352" s="237">
        <v>42914</v>
      </c>
      <c r="G3352" s="15">
        <v>309937</v>
      </c>
      <c r="H3352" s="15">
        <f t="shared" si="52"/>
        <v>0</v>
      </c>
      <c r="I3352" s="236" t="s">
        <v>19682</v>
      </c>
    </row>
    <row r="3353" spans="1:9" x14ac:dyDescent="0.25">
      <c r="A3353" s="242">
        <v>42911</v>
      </c>
      <c r="B3353" s="18">
        <v>117454</v>
      </c>
      <c r="C3353" s="235" t="s">
        <v>19677</v>
      </c>
      <c r="D3353" s="236" t="s">
        <v>15246</v>
      </c>
      <c r="E3353" s="15">
        <v>17760.8</v>
      </c>
      <c r="F3353" s="237">
        <v>42914</v>
      </c>
      <c r="G3353" s="15">
        <v>17760.8</v>
      </c>
      <c r="H3353" s="15">
        <f t="shared" si="52"/>
        <v>0</v>
      </c>
      <c r="I3353" s="236" t="s">
        <v>19682</v>
      </c>
    </row>
    <row r="3354" spans="1:9" x14ac:dyDescent="0.25">
      <c r="A3354" s="36">
        <v>42911</v>
      </c>
      <c r="B3354" s="18">
        <v>117455</v>
      </c>
      <c r="C3354" s="235" t="s">
        <v>19677</v>
      </c>
      <c r="D3354" s="236" t="s">
        <v>15246</v>
      </c>
      <c r="E3354" s="15">
        <v>7138.8</v>
      </c>
      <c r="F3354" s="237">
        <v>42914</v>
      </c>
      <c r="G3354" s="15">
        <v>7138.8</v>
      </c>
      <c r="H3354" s="15">
        <f t="shared" si="52"/>
        <v>0</v>
      </c>
      <c r="I3354" s="236" t="s">
        <v>19682</v>
      </c>
    </row>
    <row r="3355" spans="1:9" ht="15.75" x14ac:dyDescent="0.25">
      <c r="A3355" s="242">
        <v>42912</v>
      </c>
      <c r="B3355" s="18">
        <v>117456</v>
      </c>
      <c r="C3355" s="235" t="s">
        <v>19677</v>
      </c>
      <c r="D3355" s="248" t="s">
        <v>95</v>
      </c>
      <c r="E3355" s="15">
        <v>0</v>
      </c>
      <c r="F3355" s="243" t="s">
        <v>95</v>
      </c>
      <c r="G3355" s="15">
        <v>0</v>
      </c>
      <c r="H3355" s="15">
        <f t="shared" si="52"/>
        <v>0</v>
      </c>
      <c r="I3355" s="236" t="s">
        <v>19678</v>
      </c>
    </row>
    <row r="3356" spans="1:9" x14ac:dyDescent="0.25">
      <c r="A3356" s="36">
        <v>42912</v>
      </c>
      <c r="B3356" s="18">
        <v>117457</v>
      </c>
      <c r="C3356" s="235" t="s">
        <v>19677</v>
      </c>
      <c r="D3356" s="236" t="s">
        <v>15213</v>
      </c>
      <c r="E3356" s="15">
        <v>32456.799999999999</v>
      </c>
      <c r="F3356" s="237">
        <v>42913</v>
      </c>
      <c r="G3356" s="15">
        <v>32456.799999999999</v>
      </c>
      <c r="H3356" s="15">
        <f t="shared" si="52"/>
        <v>0</v>
      </c>
      <c r="I3356" s="236" t="s">
        <v>19682</v>
      </c>
    </row>
    <row r="3357" spans="1:9" x14ac:dyDescent="0.25">
      <c r="A3357" s="242">
        <v>42912</v>
      </c>
      <c r="B3357" s="18">
        <v>117458</v>
      </c>
      <c r="C3357" s="235" t="s">
        <v>19677</v>
      </c>
      <c r="D3357" s="236" t="s">
        <v>15644</v>
      </c>
      <c r="E3357" s="15">
        <v>3473.1</v>
      </c>
      <c r="F3357" s="237">
        <v>42912</v>
      </c>
      <c r="G3357" s="15">
        <v>3473.1</v>
      </c>
      <c r="H3357" s="15">
        <f t="shared" si="52"/>
        <v>0</v>
      </c>
      <c r="I3357" s="236" t="s">
        <v>19682</v>
      </c>
    </row>
    <row r="3358" spans="1:9" x14ac:dyDescent="0.25">
      <c r="A3358" s="36">
        <v>42912</v>
      </c>
      <c r="B3358" s="18">
        <v>117459</v>
      </c>
      <c r="C3358" s="235" t="s">
        <v>19677</v>
      </c>
      <c r="D3358" s="236" t="s">
        <v>15407</v>
      </c>
      <c r="E3358" s="15">
        <v>2438</v>
      </c>
      <c r="F3358" s="237">
        <v>42912</v>
      </c>
      <c r="G3358" s="15">
        <v>2438</v>
      </c>
      <c r="H3358" s="15">
        <f t="shared" si="52"/>
        <v>0</v>
      </c>
      <c r="I3358" s="236" t="s">
        <v>19682</v>
      </c>
    </row>
    <row r="3359" spans="1:9" x14ac:dyDescent="0.25">
      <c r="A3359" s="242">
        <v>42912</v>
      </c>
      <c r="B3359" s="18">
        <v>117460</v>
      </c>
      <c r="C3359" s="235" t="s">
        <v>19677</v>
      </c>
      <c r="D3359" s="236" t="s">
        <v>15427</v>
      </c>
      <c r="E3359" s="15">
        <v>47552.4</v>
      </c>
      <c r="F3359" s="237">
        <v>42912</v>
      </c>
      <c r="G3359" s="15">
        <v>47552.4</v>
      </c>
      <c r="H3359" s="15">
        <f t="shared" si="52"/>
        <v>0</v>
      </c>
      <c r="I3359" s="236" t="s">
        <v>19682</v>
      </c>
    </row>
    <row r="3360" spans="1:9" ht="15.75" x14ac:dyDescent="0.25">
      <c r="A3360" s="36">
        <v>42912</v>
      </c>
      <c r="B3360" s="18">
        <v>117461</v>
      </c>
      <c r="C3360" s="235" t="s">
        <v>19677</v>
      </c>
      <c r="D3360" s="255" t="s">
        <v>95</v>
      </c>
      <c r="E3360" s="15">
        <v>0</v>
      </c>
      <c r="F3360" s="243" t="s">
        <v>95</v>
      </c>
      <c r="G3360" s="15">
        <v>0</v>
      </c>
      <c r="H3360" s="15">
        <f t="shared" si="52"/>
        <v>0</v>
      </c>
      <c r="I3360" s="236" t="s">
        <v>19678</v>
      </c>
    </row>
    <row r="3361" spans="1:9" x14ac:dyDescent="0.25">
      <c r="A3361" s="242">
        <v>42912</v>
      </c>
      <c r="B3361" s="18">
        <v>117462</v>
      </c>
      <c r="C3361" s="235" t="s">
        <v>19677</v>
      </c>
      <c r="D3361" s="236" t="s">
        <v>15382</v>
      </c>
      <c r="E3361" s="15">
        <v>12195</v>
      </c>
      <c r="F3361" s="266">
        <v>42927</v>
      </c>
      <c r="G3361" s="35">
        <v>12195</v>
      </c>
      <c r="H3361" s="15">
        <f t="shared" si="52"/>
        <v>0</v>
      </c>
      <c r="I3361" s="236" t="s">
        <v>19682</v>
      </c>
    </row>
    <row r="3362" spans="1:9" x14ac:dyDescent="0.25">
      <c r="A3362" s="36">
        <v>42912</v>
      </c>
      <c r="B3362" s="18">
        <v>117463</v>
      </c>
      <c r="C3362" s="235" t="s">
        <v>19677</v>
      </c>
      <c r="D3362" s="236" t="s">
        <v>15389</v>
      </c>
      <c r="E3362" s="15">
        <v>18180</v>
      </c>
      <c r="F3362" s="266">
        <v>42927</v>
      </c>
      <c r="G3362" s="35">
        <v>18180</v>
      </c>
      <c r="H3362" s="15">
        <f t="shared" si="52"/>
        <v>0</v>
      </c>
      <c r="I3362" s="236" t="s">
        <v>19682</v>
      </c>
    </row>
    <row r="3363" spans="1:9" x14ac:dyDescent="0.25">
      <c r="A3363" s="242">
        <v>42912</v>
      </c>
      <c r="B3363" s="18">
        <v>117464</v>
      </c>
      <c r="C3363" s="235" t="s">
        <v>19677</v>
      </c>
      <c r="D3363" s="236" t="s">
        <v>15369</v>
      </c>
      <c r="E3363" s="15">
        <v>25015.3</v>
      </c>
      <c r="F3363" s="266">
        <v>42927</v>
      </c>
      <c r="G3363" s="35">
        <v>25015.3</v>
      </c>
      <c r="H3363" s="15">
        <f t="shared" si="52"/>
        <v>0</v>
      </c>
      <c r="I3363" s="236" t="s">
        <v>19682</v>
      </c>
    </row>
    <row r="3364" spans="1:9" ht="15.75" x14ac:dyDescent="0.25">
      <c r="A3364" s="36">
        <v>42912</v>
      </c>
      <c r="B3364" s="18">
        <v>117465</v>
      </c>
      <c r="C3364" s="235" t="s">
        <v>19677</v>
      </c>
      <c r="D3364" s="255" t="s">
        <v>95</v>
      </c>
      <c r="E3364" s="15">
        <v>0</v>
      </c>
      <c r="F3364" s="243" t="s">
        <v>95</v>
      </c>
      <c r="G3364" s="15">
        <v>0</v>
      </c>
      <c r="H3364" s="15">
        <f t="shared" si="52"/>
        <v>0</v>
      </c>
      <c r="I3364" s="236" t="s">
        <v>19678</v>
      </c>
    </row>
    <row r="3365" spans="1:9" x14ac:dyDescent="0.25">
      <c r="A3365" s="242">
        <v>42912</v>
      </c>
      <c r="B3365" s="18">
        <v>117466</v>
      </c>
      <c r="C3365" s="235" t="s">
        <v>19677</v>
      </c>
      <c r="D3365" s="236" t="s">
        <v>15380</v>
      </c>
      <c r="E3365" s="15">
        <v>40054</v>
      </c>
      <c r="F3365" s="266">
        <v>42927</v>
      </c>
      <c r="G3365" s="35">
        <v>40054</v>
      </c>
      <c r="H3365" s="15">
        <f t="shared" si="52"/>
        <v>0</v>
      </c>
      <c r="I3365" s="236" t="s">
        <v>19682</v>
      </c>
    </row>
    <row r="3366" spans="1:9" x14ac:dyDescent="0.25">
      <c r="A3366" s="36">
        <v>42912</v>
      </c>
      <c r="B3366" s="18">
        <v>117467</v>
      </c>
      <c r="C3366" s="235" t="s">
        <v>19677</v>
      </c>
      <c r="D3366" s="236" t="s">
        <v>15263</v>
      </c>
      <c r="E3366" s="15">
        <v>3128.6</v>
      </c>
      <c r="F3366" s="237">
        <v>42912</v>
      </c>
      <c r="G3366" s="15">
        <v>3128.6</v>
      </c>
      <c r="H3366" s="15">
        <f t="shared" si="52"/>
        <v>0</v>
      </c>
      <c r="I3366" s="236" t="s">
        <v>19682</v>
      </c>
    </row>
    <row r="3367" spans="1:9" x14ac:dyDescent="0.25">
      <c r="A3367" s="242">
        <v>42912</v>
      </c>
      <c r="B3367" s="18">
        <v>117468</v>
      </c>
      <c r="C3367" s="235" t="s">
        <v>19677</v>
      </c>
      <c r="D3367" s="236" t="s">
        <v>15373</v>
      </c>
      <c r="E3367" s="15">
        <v>11766.8</v>
      </c>
      <c r="F3367" s="237">
        <v>42913</v>
      </c>
      <c r="G3367" s="15">
        <v>11766.8</v>
      </c>
      <c r="H3367" s="15">
        <f t="shared" si="52"/>
        <v>0</v>
      </c>
      <c r="I3367" s="236" t="s">
        <v>19682</v>
      </c>
    </row>
    <row r="3368" spans="1:9" x14ac:dyDescent="0.25">
      <c r="A3368" s="36">
        <v>42912</v>
      </c>
      <c r="B3368" s="18">
        <v>117469</v>
      </c>
      <c r="C3368" s="235" t="s">
        <v>19677</v>
      </c>
      <c r="D3368" s="236" t="s">
        <v>15394</v>
      </c>
      <c r="E3368" s="15">
        <v>17873</v>
      </c>
      <c r="F3368" s="237">
        <v>42917</v>
      </c>
      <c r="G3368" s="15">
        <v>17873</v>
      </c>
      <c r="H3368" s="15">
        <f t="shared" si="52"/>
        <v>0</v>
      </c>
      <c r="I3368" s="236" t="s">
        <v>19682</v>
      </c>
    </row>
    <row r="3369" spans="1:9" x14ac:dyDescent="0.25">
      <c r="A3369" s="242">
        <v>42912</v>
      </c>
      <c r="B3369" s="18">
        <v>117470</v>
      </c>
      <c r="C3369" s="235" t="s">
        <v>19677</v>
      </c>
      <c r="D3369" s="236" t="s">
        <v>19549</v>
      </c>
      <c r="E3369" s="15">
        <v>12423.2</v>
      </c>
      <c r="F3369" s="237">
        <v>42913</v>
      </c>
      <c r="G3369" s="15">
        <v>12423.2</v>
      </c>
      <c r="H3369" s="15">
        <f t="shared" si="52"/>
        <v>0</v>
      </c>
      <c r="I3369" s="236" t="s">
        <v>19682</v>
      </c>
    </row>
    <row r="3370" spans="1:9" x14ac:dyDescent="0.25">
      <c r="A3370" s="36">
        <v>42912</v>
      </c>
      <c r="B3370" s="18">
        <v>117471</v>
      </c>
      <c r="C3370" s="235" t="s">
        <v>19677</v>
      </c>
      <c r="D3370" s="236" t="s">
        <v>15272</v>
      </c>
      <c r="E3370" s="15">
        <v>21840.5</v>
      </c>
      <c r="F3370" s="237">
        <v>42912</v>
      </c>
      <c r="G3370" s="15">
        <v>21840.5</v>
      </c>
      <c r="H3370" s="15">
        <f t="shared" si="52"/>
        <v>0</v>
      </c>
      <c r="I3370" s="236" t="s">
        <v>19682</v>
      </c>
    </row>
    <row r="3371" spans="1:9" ht="15.75" x14ac:dyDescent="0.25">
      <c r="A3371" s="242">
        <v>42912</v>
      </c>
      <c r="B3371" s="18">
        <v>117472</v>
      </c>
      <c r="C3371" s="235" t="s">
        <v>19677</v>
      </c>
      <c r="D3371" s="248" t="s">
        <v>95</v>
      </c>
      <c r="E3371" s="15">
        <v>0</v>
      </c>
      <c r="F3371" s="243" t="s">
        <v>95</v>
      </c>
      <c r="G3371" s="15">
        <v>0</v>
      </c>
      <c r="H3371" s="15">
        <f t="shared" si="52"/>
        <v>0</v>
      </c>
      <c r="I3371" s="236" t="s">
        <v>19678</v>
      </c>
    </row>
    <row r="3372" spans="1:9" ht="15.75" x14ac:dyDescent="0.25">
      <c r="A3372" s="36">
        <v>42912</v>
      </c>
      <c r="B3372" s="18">
        <v>117473</v>
      </c>
      <c r="C3372" s="235" t="s">
        <v>19677</v>
      </c>
      <c r="D3372" s="248" t="s">
        <v>95</v>
      </c>
      <c r="E3372" s="15">
        <v>0</v>
      </c>
      <c r="F3372" s="243" t="s">
        <v>95</v>
      </c>
      <c r="G3372" s="15">
        <v>0</v>
      </c>
      <c r="H3372" s="15">
        <f t="shared" si="52"/>
        <v>0</v>
      </c>
      <c r="I3372" s="236" t="s">
        <v>19678</v>
      </c>
    </row>
    <row r="3373" spans="1:9" x14ac:dyDescent="0.25">
      <c r="A3373" s="242">
        <v>42912</v>
      </c>
      <c r="B3373" s="18">
        <v>117474</v>
      </c>
      <c r="C3373" s="235" t="s">
        <v>19677</v>
      </c>
      <c r="D3373" s="236" t="s">
        <v>15220</v>
      </c>
      <c r="E3373" s="15">
        <v>2450</v>
      </c>
      <c r="F3373" s="237">
        <v>42912</v>
      </c>
      <c r="G3373" s="15">
        <v>2450</v>
      </c>
      <c r="H3373" s="15">
        <f t="shared" si="52"/>
        <v>0</v>
      </c>
      <c r="I3373" s="236" t="s">
        <v>19682</v>
      </c>
    </row>
    <row r="3374" spans="1:9" x14ac:dyDescent="0.25">
      <c r="A3374" s="36">
        <v>42912</v>
      </c>
      <c r="B3374" s="18">
        <v>117475</v>
      </c>
      <c r="C3374" s="235" t="s">
        <v>19677</v>
      </c>
      <c r="D3374" s="236" t="s">
        <v>17235</v>
      </c>
      <c r="E3374" s="15">
        <v>980</v>
      </c>
      <c r="F3374" s="237">
        <v>42912</v>
      </c>
      <c r="G3374" s="15">
        <v>980</v>
      </c>
      <c r="H3374" s="15">
        <f t="shared" si="52"/>
        <v>0</v>
      </c>
      <c r="I3374" s="236" t="s">
        <v>19682</v>
      </c>
    </row>
    <row r="3375" spans="1:9" x14ac:dyDescent="0.25">
      <c r="A3375" s="242">
        <v>42912</v>
      </c>
      <c r="B3375" s="18">
        <v>117476</v>
      </c>
      <c r="C3375" s="235" t="s">
        <v>19677</v>
      </c>
      <c r="D3375" s="236" t="s">
        <v>17462</v>
      </c>
      <c r="E3375" s="15">
        <v>6303.6</v>
      </c>
      <c r="F3375" s="237">
        <v>42912</v>
      </c>
      <c r="G3375" s="15">
        <v>6303.6</v>
      </c>
      <c r="H3375" s="15">
        <f t="shared" si="52"/>
        <v>0</v>
      </c>
      <c r="I3375" s="236" t="s">
        <v>19682</v>
      </c>
    </row>
    <row r="3376" spans="1:9" x14ac:dyDescent="0.25">
      <c r="A3376" s="36">
        <v>42912</v>
      </c>
      <c r="B3376" s="18">
        <v>117477</v>
      </c>
      <c r="C3376" s="235" t="s">
        <v>19677</v>
      </c>
      <c r="D3376" s="236" t="s">
        <v>15250</v>
      </c>
      <c r="E3376" s="15">
        <v>30876.12</v>
      </c>
      <c r="F3376" s="237">
        <v>42915</v>
      </c>
      <c r="G3376" s="15">
        <v>30876.12</v>
      </c>
      <c r="H3376" s="15">
        <f t="shared" si="52"/>
        <v>0</v>
      </c>
      <c r="I3376" s="236" t="s">
        <v>19682</v>
      </c>
    </row>
    <row r="3377" spans="1:9" x14ac:dyDescent="0.25">
      <c r="A3377" s="242">
        <v>42912</v>
      </c>
      <c r="B3377" s="18">
        <v>117478</v>
      </c>
      <c r="C3377" s="235" t="s">
        <v>19677</v>
      </c>
      <c r="D3377" s="236" t="s">
        <v>15223</v>
      </c>
      <c r="E3377" s="15">
        <v>45666</v>
      </c>
      <c r="F3377" s="266">
        <v>42929</v>
      </c>
      <c r="G3377" s="35">
        <v>45666</v>
      </c>
      <c r="H3377" s="15">
        <f t="shared" si="52"/>
        <v>0</v>
      </c>
      <c r="I3377" s="236" t="s">
        <v>19682</v>
      </c>
    </row>
    <row r="3378" spans="1:9" x14ac:dyDescent="0.25">
      <c r="A3378" s="36">
        <v>42912</v>
      </c>
      <c r="B3378" s="18">
        <v>117479</v>
      </c>
      <c r="C3378" s="235" t="s">
        <v>19677</v>
      </c>
      <c r="D3378" s="236" t="s">
        <v>15232</v>
      </c>
      <c r="E3378" s="15">
        <v>6273</v>
      </c>
      <c r="F3378" s="237">
        <v>42915</v>
      </c>
      <c r="G3378" s="15">
        <v>6273</v>
      </c>
      <c r="H3378" s="15">
        <f t="shared" si="52"/>
        <v>0</v>
      </c>
      <c r="I3378" s="236" t="s">
        <v>19682</v>
      </c>
    </row>
    <row r="3379" spans="1:9" x14ac:dyDescent="0.25">
      <c r="A3379" s="242">
        <v>42912</v>
      </c>
      <c r="B3379" s="18">
        <v>117480</v>
      </c>
      <c r="C3379" s="235" t="s">
        <v>19677</v>
      </c>
      <c r="D3379" s="236" t="s">
        <v>15234</v>
      </c>
      <c r="E3379" s="15">
        <v>3392</v>
      </c>
      <c r="F3379" s="237">
        <v>42914</v>
      </c>
      <c r="G3379" s="15">
        <v>3392</v>
      </c>
      <c r="H3379" s="15">
        <f t="shared" si="52"/>
        <v>0</v>
      </c>
      <c r="I3379" s="236" t="s">
        <v>19682</v>
      </c>
    </row>
    <row r="3380" spans="1:9" x14ac:dyDescent="0.25">
      <c r="A3380" s="36">
        <v>42912</v>
      </c>
      <c r="B3380" s="18">
        <v>117481</v>
      </c>
      <c r="C3380" s="235" t="s">
        <v>19677</v>
      </c>
      <c r="D3380" s="236" t="s">
        <v>15258</v>
      </c>
      <c r="E3380" s="15">
        <v>14320</v>
      </c>
      <c r="F3380" s="237">
        <v>42914</v>
      </c>
      <c r="G3380" s="15">
        <v>14320</v>
      </c>
      <c r="H3380" s="15">
        <f t="shared" si="52"/>
        <v>0</v>
      </c>
      <c r="I3380" s="236" t="s">
        <v>19682</v>
      </c>
    </row>
    <row r="3381" spans="1:9" x14ac:dyDescent="0.25">
      <c r="A3381" s="242">
        <v>42912</v>
      </c>
      <c r="B3381" s="18">
        <v>117482</v>
      </c>
      <c r="C3381" s="235" t="s">
        <v>19677</v>
      </c>
      <c r="D3381" s="236" t="s">
        <v>15315</v>
      </c>
      <c r="E3381" s="15">
        <v>6371.4</v>
      </c>
      <c r="F3381" s="237" t="s">
        <v>19772</v>
      </c>
      <c r="G3381" s="241">
        <f>3000+3371.4</f>
        <v>6371.4</v>
      </c>
      <c r="H3381" s="241">
        <f t="shared" si="52"/>
        <v>0</v>
      </c>
      <c r="I3381" s="236" t="s">
        <v>19682</v>
      </c>
    </row>
    <row r="3382" spans="1:9" x14ac:dyDescent="0.25">
      <c r="A3382" s="36">
        <v>42912</v>
      </c>
      <c r="B3382" s="18">
        <v>117483</v>
      </c>
      <c r="C3382" s="235" t="s">
        <v>19677</v>
      </c>
      <c r="D3382" s="236" t="s">
        <v>17462</v>
      </c>
      <c r="E3382" s="15">
        <v>872.1</v>
      </c>
      <c r="F3382" s="237">
        <v>42912</v>
      </c>
      <c r="G3382" s="15">
        <v>872.1</v>
      </c>
      <c r="H3382" s="15">
        <f t="shared" si="52"/>
        <v>0</v>
      </c>
      <c r="I3382" s="236" t="s">
        <v>19682</v>
      </c>
    </row>
    <row r="3383" spans="1:9" x14ac:dyDescent="0.25">
      <c r="A3383" s="242">
        <v>42912</v>
      </c>
      <c r="B3383" s="18">
        <v>117484</v>
      </c>
      <c r="C3383" s="235" t="s">
        <v>19677</v>
      </c>
      <c r="D3383" s="236" t="s">
        <v>15284</v>
      </c>
      <c r="E3383" s="15">
        <v>1912.5</v>
      </c>
      <c r="F3383" s="237">
        <v>42912</v>
      </c>
      <c r="G3383" s="15">
        <v>1912.5</v>
      </c>
      <c r="H3383" s="15">
        <f t="shared" si="52"/>
        <v>0</v>
      </c>
      <c r="I3383" s="236" t="s">
        <v>19682</v>
      </c>
    </row>
    <row r="3384" spans="1:9" x14ac:dyDescent="0.25">
      <c r="A3384" s="36">
        <v>42912</v>
      </c>
      <c r="B3384" s="18">
        <v>117485</v>
      </c>
      <c r="C3384" s="235" t="s">
        <v>19677</v>
      </c>
      <c r="D3384" s="236" t="s">
        <v>15254</v>
      </c>
      <c r="E3384" s="15">
        <v>3845.4</v>
      </c>
      <c r="F3384" s="237">
        <v>42913</v>
      </c>
      <c r="G3384" s="15">
        <v>3845.4</v>
      </c>
      <c r="H3384" s="15">
        <f t="shared" si="52"/>
        <v>0</v>
      </c>
      <c r="I3384" s="236" t="s">
        <v>19682</v>
      </c>
    </row>
    <row r="3385" spans="1:9" x14ac:dyDescent="0.25">
      <c r="A3385" s="242">
        <v>42912</v>
      </c>
      <c r="B3385" s="18">
        <v>117486</v>
      </c>
      <c r="C3385" s="235" t="s">
        <v>19677</v>
      </c>
      <c r="D3385" s="236" t="s">
        <v>15240</v>
      </c>
      <c r="E3385" s="15">
        <v>3630.8</v>
      </c>
      <c r="F3385" s="237">
        <v>42914</v>
      </c>
      <c r="G3385" s="15">
        <v>3630.8</v>
      </c>
      <c r="H3385" s="15">
        <f t="shared" si="52"/>
        <v>0</v>
      </c>
      <c r="I3385" s="236" t="s">
        <v>19682</v>
      </c>
    </row>
    <row r="3386" spans="1:9" x14ac:dyDescent="0.25">
      <c r="A3386" s="36">
        <v>42912</v>
      </c>
      <c r="B3386" s="18">
        <v>117487</v>
      </c>
      <c r="C3386" s="235" t="s">
        <v>19677</v>
      </c>
      <c r="D3386" s="236" t="s">
        <v>15348</v>
      </c>
      <c r="E3386" s="15">
        <v>3792.08</v>
      </c>
      <c r="F3386" s="237">
        <v>42913</v>
      </c>
      <c r="G3386" s="15">
        <v>3792.08</v>
      </c>
      <c r="H3386" s="15">
        <f t="shared" si="52"/>
        <v>0</v>
      </c>
      <c r="I3386" s="236" t="s">
        <v>19682</v>
      </c>
    </row>
    <row r="3387" spans="1:9" x14ac:dyDescent="0.25">
      <c r="A3387" s="242">
        <v>42912</v>
      </c>
      <c r="B3387" s="18">
        <v>117488</v>
      </c>
      <c r="C3387" s="235" t="s">
        <v>19677</v>
      </c>
      <c r="D3387" s="236" t="s">
        <v>15252</v>
      </c>
      <c r="E3387" s="15">
        <v>9478.4</v>
      </c>
      <c r="F3387" s="237">
        <v>42919</v>
      </c>
      <c r="G3387" s="15">
        <v>9478.4</v>
      </c>
      <c r="H3387" s="15">
        <f t="shared" si="52"/>
        <v>0</v>
      </c>
      <c r="I3387" s="236" t="s">
        <v>19682</v>
      </c>
    </row>
    <row r="3388" spans="1:9" x14ac:dyDescent="0.25">
      <c r="A3388" s="36">
        <v>42912</v>
      </c>
      <c r="B3388" s="18">
        <v>117489</v>
      </c>
      <c r="C3388" s="235" t="s">
        <v>19677</v>
      </c>
      <c r="D3388" s="236" t="s">
        <v>15549</v>
      </c>
      <c r="E3388" s="15">
        <v>11597.1</v>
      </c>
      <c r="F3388" s="237">
        <v>42913</v>
      </c>
      <c r="G3388" s="15">
        <v>11597.1</v>
      </c>
      <c r="H3388" s="15">
        <f t="shared" si="52"/>
        <v>0</v>
      </c>
      <c r="I3388" s="236" t="s">
        <v>19682</v>
      </c>
    </row>
    <row r="3389" spans="1:9" x14ac:dyDescent="0.25">
      <c r="A3389" s="242">
        <v>42912</v>
      </c>
      <c r="B3389" s="18">
        <v>117490</v>
      </c>
      <c r="C3389" s="235" t="s">
        <v>19677</v>
      </c>
      <c r="D3389" s="236" t="s">
        <v>15244</v>
      </c>
      <c r="E3389" s="15">
        <v>14065</v>
      </c>
      <c r="F3389" s="237">
        <v>42919</v>
      </c>
      <c r="G3389" s="15">
        <v>14065</v>
      </c>
      <c r="H3389" s="15">
        <f t="shared" si="52"/>
        <v>0</v>
      </c>
      <c r="I3389" s="236" t="s">
        <v>19682</v>
      </c>
    </row>
    <row r="3390" spans="1:9" x14ac:dyDescent="0.25">
      <c r="A3390" s="36">
        <v>42912</v>
      </c>
      <c r="B3390" s="18">
        <v>117491</v>
      </c>
      <c r="C3390" s="235" t="s">
        <v>19677</v>
      </c>
      <c r="D3390" s="236" t="s">
        <v>15365</v>
      </c>
      <c r="E3390" s="15">
        <v>11274</v>
      </c>
      <c r="F3390" s="237">
        <v>42915</v>
      </c>
      <c r="G3390" s="15">
        <v>11274</v>
      </c>
      <c r="H3390" s="15">
        <f t="shared" si="52"/>
        <v>0</v>
      </c>
      <c r="I3390" s="236" t="s">
        <v>19682</v>
      </c>
    </row>
    <row r="3391" spans="1:9" x14ac:dyDescent="0.25">
      <c r="A3391" s="242">
        <v>42912</v>
      </c>
      <c r="B3391" s="18">
        <v>117492</v>
      </c>
      <c r="C3391" s="235" t="s">
        <v>19677</v>
      </c>
      <c r="D3391" s="236" t="s">
        <v>15242</v>
      </c>
      <c r="E3391" s="15">
        <v>4842</v>
      </c>
      <c r="F3391" s="237">
        <v>42912</v>
      </c>
      <c r="G3391" s="15">
        <v>4842</v>
      </c>
      <c r="H3391" s="15">
        <f t="shared" si="52"/>
        <v>0</v>
      </c>
      <c r="I3391" s="236" t="s">
        <v>19682</v>
      </c>
    </row>
    <row r="3392" spans="1:9" x14ac:dyDescent="0.25">
      <c r="A3392" s="36">
        <v>42912</v>
      </c>
      <c r="B3392" s="18">
        <v>117493</v>
      </c>
      <c r="C3392" s="235" t="s">
        <v>19677</v>
      </c>
      <c r="D3392" s="236" t="s">
        <v>15238</v>
      </c>
      <c r="E3392" s="15">
        <v>4587.8999999999996</v>
      </c>
      <c r="F3392" s="237">
        <v>42914</v>
      </c>
      <c r="G3392" s="15">
        <v>4587.8999999999996</v>
      </c>
      <c r="H3392" s="15">
        <f t="shared" si="52"/>
        <v>0</v>
      </c>
      <c r="I3392" s="236" t="s">
        <v>19682</v>
      </c>
    </row>
    <row r="3393" spans="1:9" x14ac:dyDescent="0.25">
      <c r="A3393" s="242">
        <v>42912</v>
      </c>
      <c r="B3393" s="18">
        <v>117494</v>
      </c>
      <c r="C3393" s="235" t="s">
        <v>19677</v>
      </c>
      <c r="D3393" s="236" t="s">
        <v>15256</v>
      </c>
      <c r="E3393" s="15">
        <v>4869.8</v>
      </c>
      <c r="F3393" s="237">
        <v>42913</v>
      </c>
      <c r="G3393" s="15">
        <v>4869.8</v>
      </c>
      <c r="H3393" s="15">
        <f t="shared" si="52"/>
        <v>0</v>
      </c>
      <c r="I3393" s="236" t="s">
        <v>19682</v>
      </c>
    </row>
    <row r="3394" spans="1:9" x14ac:dyDescent="0.25">
      <c r="A3394" s="36">
        <v>42912</v>
      </c>
      <c r="B3394" s="18">
        <v>117495</v>
      </c>
      <c r="C3394" s="235" t="s">
        <v>19677</v>
      </c>
      <c r="D3394" s="236" t="s">
        <v>15261</v>
      </c>
      <c r="E3394" s="15">
        <v>28745.5</v>
      </c>
      <c r="F3394" s="237">
        <v>42912</v>
      </c>
      <c r="G3394" s="15">
        <v>28745.5</v>
      </c>
      <c r="H3394" s="15">
        <f t="shared" ref="H3394:H3457" si="53">E3394-G3394</f>
        <v>0</v>
      </c>
      <c r="I3394" s="236" t="s">
        <v>19682</v>
      </c>
    </row>
    <row r="3395" spans="1:9" x14ac:dyDescent="0.25">
      <c r="A3395" s="242">
        <v>42912</v>
      </c>
      <c r="B3395" s="18">
        <v>117496</v>
      </c>
      <c r="C3395" s="235" t="s">
        <v>19677</v>
      </c>
      <c r="D3395" s="236" t="s">
        <v>16484</v>
      </c>
      <c r="E3395" s="15">
        <v>780.8</v>
      </c>
      <c r="F3395" s="237">
        <v>42912</v>
      </c>
      <c r="G3395" s="15">
        <v>780.8</v>
      </c>
      <c r="H3395" s="15">
        <f t="shared" si="53"/>
        <v>0</v>
      </c>
      <c r="I3395" s="236" t="s">
        <v>19682</v>
      </c>
    </row>
    <row r="3396" spans="1:9" x14ac:dyDescent="0.25">
      <c r="A3396" s="36">
        <v>42912</v>
      </c>
      <c r="B3396" s="18">
        <v>117497</v>
      </c>
      <c r="C3396" s="235" t="s">
        <v>19677</v>
      </c>
      <c r="D3396" s="236" t="s">
        <v>15350</v>
      </c>
      <c r="E3396" s="15">
        <v>739.9</v>
      </c>
      <c r="F3396" s="237">
        <v>42912</v>
      </c>
      <c r="G3396" s="15">
        <v>739.9</v>
      </c>
      <c r="H3396" s="15">
        <f t="shared" si="53"/>
        <v>0</v>
      </c>
      <c r="I3396" s="236" t="s">
        <v>19682</v>
      </c>
    </row>
    <row r="3397" spans="1:9" x14ac:dyDescent="0.25">
      <c r="A3397" s="242">
        <v>42912</v>
      </c>
      <c r="B3397" s="18">
        <v>117498</v>
      </c>
      <c r="C3397" s="235" t="s">
        <v>19677</v>
      </c>
      <c r="D3397" s="236" t="s">
        <v>15523</v>
      </c>
      <c r="E3397" s="15">
        <v>1470</v>
      </c>
      <c r="F3397" s="237">
        <v>42912</v>
      </c>
      <c r="G3397" s="15">
        <v>1470</v>
      </c>
      <c r="H3397" s="15">
        <f t="shared" si="53"/>
        <v>0</v>
      </c>
      <c r="I3397" s="236" t="s">
        <v>19682</v>
      </c>
    </row>
    <row r="3398" spans="1:9" x14ac:dyDescent="0.25">
      <c r="A3398" s="36">
        <v>42912</v>
      </c>
      <c r="B3398" s="18">
        <v>117499</v>
      </c>
      <c r="C3398" s="235" t="s">
        <v>19677</v>
      </c>
      <c r="D3398" s="236" t="s">
        <v>15334</v>
      </c>
      <c r="E3398" s="15">
        <v>1470</v>
      </c>
      <c r="F3398" s="237">
        <v>42912</v>
      </c>
      <c r="G3398" s="15">
        <v>1470</v>
      </c>
      <c r="H3398" s="15">
        <f t="shared" si="53"/>
        <v>0</v>
      </c>
      <c r="I3398" s="236" t="s">
        <v>19682</v>
      </c>
    </row>
    <row r="3399" spans="1:9" x14ac:dyDescent="0.25">
      <c r="A3399" s="242">
        <v>42912</v>
      </c>
      <c r="B3399" s="18">
        <v>117500</v>
      </c>
      <c r="C3399" s="235" t="s">
        <v>19677</v>
      </c>
      <c r="D3399" s="236" t="s">
        <v>15334</v>
      </c>
      <c r="E3399" s="15">
        <v>134.4</v>
      </c>
      <c r="F3399" s="237">
        <v>42912</v>
      </c>
      <c r="G3399" s="15">
        <v>134.4</v>
      </c>
      <c r="H3399" s="15">
        <f t="shared" si="53"/>
        <v>0</v>
      </c>
      <c r="I3399" s="236" t="s">
        <v>19682</v>
      </c>
    </row>
    <row r="3400" spans="1:9" x14ac:dyDescent="0.25">
      <c r="A3400" s="36">
        <v>42912</v>
      </c>
      <c r="B3400" s="18">
        <v>117501</v>
      </c>
      <c r="C3400" s="235" t="s">
        <v>19677</v>
      </c>
      <c r="D3400" s="236" t="s">
        <v>15742</v>
      </c>
      <c r="E3400" s="15">
        <v>2832.6</v>
      </c>
      <c r="F3400" s="237">
        <v>42912</v>
      </c>
      <c r="G3400" s="15">
        <v>2832.6</v>
      </c>
      <c r="H3400" s="15">
        <f t="shared" si="53"/>
        <v>0</v>
      </c>
      <c r="I3400" s="236" t="s">
        <v>19682</v>
      </c>
    </row>
    <row r="3401" spans="1:9" x14ac:dyDescent="0.25">
      <c r="A3401" s="242">
        <v>42912</v>
      </c>
      <c r="B3401" s="18">
        <v>117502</v>
      </c>
      <c r="C3401" s="235" t="s">
        <v>19677</v>
      </c>
      <c r="D3401" s="236" t="s">
        <v>5575</v>
      </c>
      <c r="E3401" s="15">
        <v>4393</v>
      </c>
      <c r="F3401" s="237">
        <v>42914</v>
      </c>
      <c r="G3401" s="15">
        <v>4393</v>
      </c>
      <c r="H3401" s="15">
        <f t="shared" si="53"/>
        <v>0</v>
      </c>
      <c r="I3401" s="236" t="s">
        <v>19682</v>
      </c>
    </row>
    <row r="3402" spans="1:9" x14ac:dyDescent="0.25">
      <c r="A3402" s="36">
        <v>42912</v>
      </c>
      <c r="B3402" s="18">
        <v>117503</v>
      </c>
      <c r="C3402" s="235" t="s">
        <v>19677</v>
      </c>
      <c r="D3402" s="236" t="s">
        <v>15236</v>
      </c>
      <c r="E3402" s="15">
        <v>3224</v>
      </c>
      <c r="F3402" s="237">
        <v>42913</v>
      </c>
      <c r="G3402" s="15">
        <v>3224</v>
      </c>
      <c r="H3402" s="15">
        <f t="shared" si="53"/>
        <v>0</v>
      </c>
      <c r="I3402" s="236" t="s">
        <v>19682</v>
      </c>
    </row>
    <row r="3403" spans="1:9" x14ac:dyDescent="0.25">
      <c r="A3403" s="242">
        <v>42912</v>
      </c>
      <c r="B3403" s="18">
        <v>117504</v>
      </c>
      <c r="C3403" s="235" t="s">
        <v>19677</v>
      </c>
      <c r="D3403" s="236" t="s">
        <v>15230</v>
      </c>
      <c r="E3403" s="15">
        <v>10350.799999999999</v>
      </c>
      <c r="F3403" s="237">
        <v>42915</v>
      </c>
      <c r="G3403" s="15">
        <v>10350.799999999999</v>
      </c>
      <c r="H3403" s="15">
        <f t="shared" si="53"/>
        <v>0</v>
      </c>
      <c r="I3403" s="236" t="s">
        <v>19682</v>
      </c>
    </row>
    <row r="3404" spans="1:9" x14ac:dyDescent="0.25">
      <c r="A3404" s="36">
        <v>42912</v>
      </c>
      <c r="B3404" s="18">
        <v>117505</v>
      </c>
      <c r="C3404" s="235" t="s">
        <v>19677</v>
      </c>
      <c r="D3404" s="236" t="s">
        <v>15361</v>
      </c>
      <c r="E3404" s="15">
        <v>11751.6</v>
      </c>
      <c r="F3404" s="237">
        <v>42912</v>
      </c>
      <c r="G3404" s="15">
        <v>11751.6</v>
      </c>
      <c r="H3404" s="15">
        <f t="shared" si="53"/>
        <v>0</v>
      </c>
      <c r="I3404" s="236" t="s">
        <v>19682</v>
      </c>
    </row>
    <row r="3405" spans="1:9" x14ac:dyDescent="0.25">
      <c r="A3405" s="242">
        <v>42912</v>
      </c>
      <c r="B3405" s="18">
        <v>117506</v>
      </c>
      <c r="C3405" s="235" t="s">
        <v>19677</v>
      </c>
      <c r="D3405" s="236" t="s">
        <v>15668</v>
      </c>
      <c r="E3405" s="15">
        <v>20594.2</v>
      </c>
      <c r="F3405" s="237">
        <v>42914</v>
      </c>
      <c r="G3405" s="15">
        <v>20594.2</v>
      </c>
      <c r="H3405" s="15">
        <f t="shared" si="53"/>
        <v>0</v>
      </c>
      <c r="I3405" s="236" t="s">
        <v>19682</v>
      </c>
    </row>
    <row r="3406" spans="1:9" x14ac:dyDescent="0.25">
      <c r="A3406" s="36">
        <v>42912</v>
      </c>
      <c r="B3406" s="18">
        <v>117507</v>
      </c>
      <c r="C3406" s="235" t="s">
        <v>19677</v>
      </c>
      <c r="D3406" s="236" t="s">
        <v>15480</v>
      </c>
      <c r="E3406" s="15">
        <v>4266.8</v>
      </c>
      <c r="F3406" s="237">
        <v>42915</v>
      </c>
      <c r="G3406" s="15">
        <v>4266.8</v>
      </c>
      <c r="H3406" s="15">
        <f t="shared" si="53"/>
        <v>0</v>
      </c>
      <c r="I3406" s="236" t="s">
        <v>19682</v>
      </c>
    </row>
    <row r="3407" spans="1:9" x14ac:dyDescent="0.25">
      <c r="A3407" s="242">
        <v>42912</v>
      </c>
      <c r="B3407" s="18">
        <v>117508</v>
      </c>
      <c r="C3407" s="235" t="s">
        <v>19677</v>
      </c>
      <c r="D3407" s="236" t="s">
        <v>18544</v>
      </c>
      <c r="E3407" s="15">
        <v>9016.2000000000007</v>
      </c>
      <c r="F3407" s="237">
        <v>42912</v>
      </c>
      <c r="G3407" s="15">
        <v>9016.2000000000007</v>
      </c>
      <c r="H3407" s="15">
        <f t="shared" si="53"/>
        <v>0</v>
      </c>
      <c r="I3407" s="236" t="s">
        <v>19682</v>
      </c>
    </row>
    <row r="3408" spans="1:9" x14ac:dyDescent="0.25">
      <c r="A3408" s="36">
        <v>42912</v>
      </c>
      <c r="B3408" s="18">
        <v>117509</v>
      </c>
      <c r="C3408" s="235" t="s">
        <v>19677</v>
      </c>
      <c r="D3408" s="236" t="s">
        <v>15361</v>
      </c>
      <c r="E3408" s="15">
        <v>3149.6</v>
      </c>
      <c r="F3408" s="237">
        <v>42912</v>
      </c>
      <c r="G3408" s="15">
        <v>3149.6</v>
      </c>
      <c r="H3408" s="15">
        <f t="shared" si="53"/>
        <v>0</v>
      </c>
      <c r="I3408" s="236" t="s">
        <v>19682</v>
      </c>
    </row>
    <row r="3409" spans="1:9" x14ac:dyDescent="0.25">
      <c r="A3409" s="242">
        <v>42912</v>
      </c>
      <c r="B3409" s="18">
        <v>117510</v>
      </c>
      <c r="C3409" s="235" t="s">
        <v>19677</v>
      </c>
      <c r="D3409" s="236" t="s">
        <v>15590</v>
      </c>
      <c r="E3409" s="15">
        <v>15308.8</v>
      </c>
      <c r="F3409" s="237">
        <v>42915</v>
      </c>
      <c r="G3409" s="15">
        <v>15308.8</v>
      </c>
      <c r="H3409" s="15">
        <f t="shared" si="53"/>
        <v>0</v>
      </c>
      <c r="I3409" s="236" t="s">
        <v>19682</v>
      </c>
    </row>
    <row r="3410" spans="1:9" x14ac:dyDescent="0.25">
      <c r="A3410" s="36">
        <v>42912</v>
      </c>
      <c r="B3410" s="18">
        <v>117511</v>
      </c>
      <c r="C3410" s="235" t="s">
        <v>19677</v>
      </c>
      <c r="D3410" s="236" t="s">
        <v>15226</v>
      </c>
      <c r="E3410" s="15">
        <v>1560</v>
      </c>
      <c r="F3410" s="237">
        <v>42916</v>
      </c>
      <c r="G3410" s="15">
        <v>1560</v>
      </c>
      <c r="H3410" s="15">
        <f t="shared" si="53"/>
        <v>0</v>
      </c>
      <c r="I3410" s="236" t="s">
        <v>19682</v>
      </c>
    </row>
    <row r="3411" spans="1:9" x14ac:dyDescent="0.25">
      <c r="A3411" s="242">
        <v>42912</v>
      </c>
      <c r="B3411" s="18">
        <v>117512</v>
      </c>
      <c r="C3411" s="235" t="s">
        <v>19677</v>
      </c>
      <c r="D3411" s="236" t="s">
        <v>15358</v>
      </c>
      <c r="E3411" s="15">
        <v>1180.8</v>
      </c>
      <c r="F3411" s="237">
        <v>42912</v>
      </c>
      <c r="G3411" s="15">
        <v>1180.8</v>
      </c>
      <c r="H3411" s="15">
        <f t="shared" si="53"/>
        <v>0</v>
      </c>
      <c r="I3411" s="236" t="s">
        <v>19682</v>
      </c>
    </row>
    <row r="3412" spans="1:9" x14ac:dyDescent="0.25">
      <c r="A3412" s="36">
        <v>42912</v>
      </c>
      <c r="B3412" s="18">
        <v>117513</v>
      </c>
      <c r="C3412" s="235" t="s">
        <v>19677</v>
      </c>
      <c r="D3412" s="236" t="s">
        <v>15340</v>
      </c>
      <c r="E3412" s="15">
        <v>3253.8</v>
      </c>
      <c r="F3412" s="237">
        <v>42912</v>
      </c>
      <c r="G3412" s="15">
        <v>3253.8</v>
      </c>
      <c r="H3412" s="15">
        <f t="shared" si="53"/>
        <v>0</v>
      </c>
      <c r="I3412" s="236" t="s">
        <v>19682</v>
      </c>
    </row>
    <row r="3413" spans="1:9" x14ac:dyDescent="0.25">
      <c r="A3413" s="242">
        <v>42912</v>
      </c>
      <c r="B3413" s="18">
        <v>117514</v>
      </c>
      <c r="C3413" s="235" t="s">
        <v>19677</v>
      </c>
      <c r="D3413" s="236" t="s">
        <v>15378</v>
      </c>
      <c r="E3413" s="15">
        <v>7020.4</v>
      </c>
      <c r="F3413" s="237">
        <v>42919</v>
      </c>
      <c r="G3413" s="15">
        <v>7020.4</v>
      </c>
      <c r="H3413" s="15">
        <f t="shared" si="53"/>
        <v>0</v>
      </c>
      <c r="I3413" s="236" t="s">
        <v>19682</v>
      </c>
    </row>
    <row r="3414" spans="1:9" x14ac:dyDescent="0.25">
      <c r="A3414" s="36">
        <v>42912</v>
      </c>
      <c r="B3414" s="18">
        <v>117515</v>
      </c>
      <c r="C3414" s="235" t="s">
        <v>19677</v>
      </c>
      <c r="D3414" s="236" t="s">
        <v>15336</v>
      </c>
      <c r="E3414" s="15">
        <v>5145.6000000000004</v>
      </c>
      <c r="F3414" s="237">
        <v>42912</v>
      </c>
      <c r="G3414" s="15">
        <v>5145.6000000000004</v>
      </c>
      <c r="H3414" s="15">
        <f t="shared" si="53"/>
        <v>0</v>
      </c>
      <c r="I3414" s="236" t="s">
        <v>19682</v>
      </c>
    </row>
    <row r="3415" spans="1:9" x14ac:dyDescent="0.25">
      <c r="A3415" s="242">
        <v>42912</v>
      </c>
      <c r="B3415" s="18">
        <v>117516</v>
      </c>
      <c r="C3415" s="235" t="s">
        <v>19677</v>
      </c>
      <c r="D3415" s="236" t="s">
        <v>15376</v>
      </c>
      <c r="E3415" s="15">
        <v>13563</v>
      </c>
      <c r="F3415" s="237">
        <v>42912</v>
      </c>
      <c r="G3415" s="15">
        <v>13563</v>
      </c>
      <c r="H3415" s="15">
        <f t="shared" si="53"/>
        <v>0</v>
      </c>
      <c r="I3415" s="236" t="s">
        <v>19682</v>
      </c>
    </row>
    <row r="3416" spans="1:9" x14ac:dyDescent="0.25">
      <c r="A3416" s="36">
        <v>42912</v>
      </c>
      <c r="B3416" s="18">
        <v>117517</v>
      </c>
      <c r="C3416" s="235" t="s">
        <v>19677</v>
      </c>
      <c r="D3416" s="236" t="s">
        <v>15354</v>
      </c>
      <c r="E3416" s="15">
        <v>3998.6</v>
      </c>
      <c r="F3416" s="237">
        <v>42912</v>
      </c>
      <c r="G3416" s="15">
        <v>3998.6</v>
      </c>
      <c r="H3416" s="15">
        <f t="shared" si="53"/>
        <v>0</v>
      </c>
      <c r="I3416" s="236" t="s">
        <v>19682</v>
      </c>
    </row>
    <row r="3417" spans="1:9" x14ac:dyDescent="0.25">
      <c r="A3417" s="242">
        <v>42912</v>
      </c>
      <c r="B3417" s="18">
        <v>117518</v>
      </c>
      <c r="C3417" s="235" t="s">
        <v>19677</v>
      </c>
      <c r="D3417" s="236" t="s">
        <v>16732</v>
      </c>
      <c r="E3417" s="15">
        <v>32151.279999999999</v>
      </c>
      <c r="F3417" s="237">
        <v>42912</v>
      </c>
      <c r="G3417" s="15">
        <v>32151.279999999999</v>
      </c>
      <c r="H3417" s="15">
        <f t="shared" si="53"/>
        <v>0</v>
      </c>
      <c r="I3417" s="236" t="s">
        <v>19682</v>
      </c>
    </row>
    <row r="3418" spans="1:9" x14ac:dyDescent="0.25">
      <c r="A3418" s="36">
        <v>42912</v>
      </c>
      <c r="B3418" s="18">
        <v>117519</v>
      </c>
      <c r="C3418" s="235" t="s">
        <v>19677</v>
      </c>
      <c r="D3418" s="236" t="s">
        <v>19754</v>
      </c>
      <c r="E3418" s="15">
        <v>17548</v>
      </c>
      <c r="F3418" s="237">
        <v>42914</v>
      </c>
      <c r="G3418" s="15">
        <v>17548</v>
      </c>
      <c r="H3418" s="15">
        <f t="shared" si="53"/>
        <v>0</v>
      </c>
      <c r="I3418" s="236" t="s">
        <v>19682</v>
      </c>
    </row>
    <row r="3419" spans="1:9" x14ac:dyDescent="0.25">
      <c r="A3419" s="242">
        <v>42912</v>
      </c>
      <c r="B3419" s="18">
        <v>117520</v>
      </c>
      <c r="C3419" s="235" t="s">
        <v>19677</v>
      </c>
      <c r="D3419" s="236" t="s">
        <v>15376</v>
      </c>
      <c r="E3419" s="15">
        <v>5883</v>
      </c>
      <c r="F3419" s="237">
        <v>42912</v>
      </c>
      <c r="G3419" s="15">
        <v>5883</v>
      </c>
      <c r="H3419" s="15">
        <f t="shared" si="53"/>
        <v>0</v>
      </c>
      <c r="I3419" s="236" t="s">
        <v>19682</v>
      </c>
    </row>
    <row r="3420" spans="1:9" x14ac:dyDescent="0.25">
      <c r="A3420" s="36">
        <v>42912</v>
      </c>
      <c r="B3420" s="18">
        <v>117521</v>
      </c>
      <c r="C3420" s="235" t="s">
        <v>19677</v>
      </c>
      <c r="D3420" s="236" t="s">
        <v>15280</v>
      </c>
      <c r="E3420" s="15">
        <v>4977.1000000000004</v>
      </c>
      <c r="F3420" s="237">
        <v>42912</v>
      </c>
      <c r="G3420" s="15">
        <v>4977.1000000000004</v>
      </c>
      <c r="H3420" s="15">
        <f t="shared" si="53"/>
        <v>0</v>
      </c>
      <c r="I3420" s="236" t="s">
        <v>19682</v>
      </c>
    </row>
    <row r="3421" spans="1:9" x14ac:dyDescent="0.25">
      <c r="A3421" s="242">
        <v>42912</v>
      </c>
      <c r="B3421" s="18">
        <v>117522</v>
      </c>
      <c r="C3421" s="235" t="s">
        <v>19677</v>
      </c>
      <c r="D3421" s="236" t="s">
        <v>15282</v>
      </c>
      <c r="E3421" s="15">
        <v>3170.4</v>
      </c>
      <c r="F3421" s="237">
        <v>42912</v>
      </c>
      <c r="G3421" s="15">
        <v>3170.4</v>
      </c>
      <c r="H3421" s="15">
        <f t="shared" si="53"/>
        <v>0</v>
      </c>
      <c r="I3421" s="236" t="s">
        <v>19682</v>
      </c>
    </row>
    <row r="3422" spans="1:9" x14ac:dyDescent="0.25">
      <c r="A3422" s="36">
        <v>42912</v>
      </c>
      <c r="B3422" s="18">
        <v>117523</v>
      </c>
      <c r="C3422" s="235" t="s">
        <v>19677</v>
      </c>
      <c r="D3422" s="236" t="s">
        <v>15391</v>
      </c>
      <c r="E3422" s="15">
        <v>6386.2</v>
      </c>
      <c r="F3422" s="237">
        <v>42913</v>
      </c>
      <c r="G3422" s="15">
        <v>6386.2</v>
      </c>
      <c r="H3422" s="15">
        <f t="shared" si="53"/>
        <v>0</v>
      </c>
      <c r="I3422" s="236" t="s">
        <v>19682</v>
      </c>
    </row>
    <row r="3423" spans="1:9" x14ac:dyDescent="0.25">
      <c r="A3423" s="242">
        <v>42912</v>
      </c>
      <c r="B3423" s="18">
        <v>117524</v>
      </c>
      <c r="C3423" s="235" t="s">
        <v>19677</v>
      </c>
      <c r="D3423" s="236" t="s">
        <v>15363</v>
      </c>
      <c r="E3423" s="15">
        <v>8772</v>
      </c>
      <c r="F3423" s="237">
        <v>42912</v>
      </c>
      <c r="G3423" s="15">
        <v>8772</v>
      </c>
      <c r="H3423" s="15">
        <f t="shared" si="53"/>
        <v>0</v>
      </c>
      <c r="I3423" s="236" t="s">
        <v>19682</v>
      </c>
    </row>
    <row r="3424" spans="1:9" x14ac:dyDescent="0.25">
      <c r="A3424" s="36">
        <v>42912</v>
      </c>
      <c r="B3424" s="18">
        <v>117525</v>
      </c>
      <c r="C3424" s="235" t="s">
        <v>19677</v>
      </c>
      <c r="D3424" s="236" t="s">
        <v>5880</v>
      </c>
      <c r="E3424" s="15">
        <v>42353.599999999999</v>
      </c>
      <c r="F3424" s="237">
        <v>42914</v>
      </c>
      <c r="G3424" s="15">
        <v>42353.599999999999</v>
      </c>
      <c r="H3424" s="15">
        <f t="shared" si="53"/>
        <v>0</v>
      </c>
      <c r="I3424" s="236" t="s">
        <v>19682</v>
      </c>
    </row>
    <row r="3425" spans="1:9" x14ac:dyDescent="0.25">
      <c r="A3425" s="242">
        <v>42912</v>
      </c>
      <c r="B3425" s="18">
        <v>117526</v>
      </c>
      <c r="C3425" s="235" t="s">
        <v>19677</v>
      </c>
      <c r="D3425" s="236" t="s">
        <v>15246</v>
      </c>
      <c r="E3425" s="15">
        <v>4075.6</v>
      </c>
      <c r="F3425" s="237">
        <v>42914</v>
      </c>
      <c r="G3425" s="15">
        <v>4075.6</v>
      </c>
      <c r="H3425" s="15">
        <f t="shared" si="53"/>
        <v>0</v>
      </c>
      <c r="I3425" s="236" t="s">
        <v>19682</v>
      </c>
    </row>
    <row r="3426" spans="1:9" x14ac:dyDescent="0.25">
      <c r="A3426" s="36">
        <v>42912</v>
      </c>
      <c r="B3426" s="18">
        <v>117527</v>
      </c>
      <c r="C3426" s="235" t="s">
        <v>19677</v>
      </c>
      <c r="D3426" s="236" t="s">
        <v>18082</v>
      </c>
      <c r="E3426" s="15">
        <v>32594.400000000001</v>
      </c>
      <c r="F3426" s="237">
        <v>42912</v>
      </c>
      <c r="G3426" s="15">
        <v>32594.400000000001</v>
      </c>
      <c r="H3426" s="15">
        <f t="shared" si="53"/>
        <v>0</v>
      </c>
      <c r="I3426" s="236" t="s">
        <v>19682</v>
      </c>
    </row>
    <row r="3427" spans="1:9" x14ac:dyDescent="0.25">
      <c r="A3427" s="242">
        <v>42912</v>
      </c>
      <c r="B3427" s="18">
        <v>117528</v>
      </c>
      <c r="C3427" s="235" t="s">
        <v>19677</v>
      </c>
      <c r="D3427" s="236" t="s">
        <v>15530</v>
      </c>
      <c r="E3427" s="15">
        <v>1463.7</v>
      </c>
      <c r="F3427" s="237">
        <v>42912</v>
      </c>
      <c r="G3427" s="15">
        <v>1463.7</v>
      </c>
      <c r="H3427" s="15">
        <f t="shared" si="53"/>
        <v>0</v>
      </c>
      <c r="I3427" s="236" t="s">
        <v>19682</v>
      </c>
    </row>
    <row r="3428" spans="1:9" x14ac:dyDescent="0.25">
      <c r="A3428" s="36">
        <v>42912</v>
      </c>
      <c r="B3428" s="18">
        <v>117529</v>
      </c>
      <c r="C3428" s="235" t="s">
        <v>19677</v>
      </c>
      <c r="D3428" s="236" t="s">
        <v>15324</v>
      </c>
      <c r="E3428" s="15">
        <v>1744</v>
      </c>
      <c r="F3428" s="237">
        <v>42912</v>
      </c>
      <c r="G3428" s="15">
        <v>1744</v>
      </c>
      <c r="H3428" s="15">
        <f t="shared" si="53"/>
        <v>0</v>
      </c>
      <c r="I3428" s="236" t="s">
        <v>19682</v>
      </c>
    </row>
    <row r="3429" spans="1:9" x14ac:dyDescent="0.25">
      <c r="A3429" s="242">
        <v>42912</v>
      </c>
      <c r="B3429" s="18">
        <v>117530</v>
      </c>
      <c r="C3429" s="235" t="s">
        <v>19677</v>
      </c>
      <c r="D3429" s="236" t="s">
        <v>15291</v>
      </c>
      <c r="E3429" s="15">
        <v>686</v>
      </c>
      <c r="F3429" s="237">
        <v>42912</v>
      </c>
      <c r="G3429" s="15">
        <v>686</v>
      </c>
      <c r="H3429" s="15">
        <f t="shared" si="53"/>
        <v>0</v>
      </c>
      <c r="I3429" s="236" t="s">
        <v>19682</v>
      </c>
    </row>
    <row r="3430" spans="1:9" x14ac:dyDescent="0.25">
      <c r="A3430" s="36">
        <v>42912</v>
      </c>
      <c r="B3430" s="18">
        <v>117531</v>
      </c>
      <c r="C3430" s="235" t="s">
        <v>19677</v>
      </c>
      <c r="D3430" s="236" t="s">
        <v>15309</v>
      </c>
      <c r="E3430" s="15">
        <v>14376</v>
      </c>
      <c r="F3430" s="237">
        <v>42912</v>
      </c>
      <c r="G3430" s="15">
        <v>14376</v>
      </c>
      <c r="H3430" s="15">
        <f t="shared" si="53"/>
        <v>0</v>
      </c>
      <c r="I3430" s="236" t="s">
        <v>19682</v>
      </c>
    </row>
    <row r="3431" spans="1:9" x14ac:dyDescent="0.25">
      <c r="A3431" s="242">
        <v>42912</v>
      </c>
      <c r="B3431" s="18">
        <v>117532</v>
      </c>
      <c r="C3431" s="235" t="s">
        <v>19677</v>
      </c>
      <c r="D3431" s="236" t="s">
        <v>15303</v>
      </c>
      <c r="E3431" s="15">
        <v>3237.9</v>
      </c>
      <c r="F3431" s="237">
        <v>42912</v>
      </c>
      <c r="G3431" s="15">
        <v>3237.9</v>
      </c>
      <c r="H3431" s="15">
        <f t="shared" si="53"/>
        <v>0</v>
      </c>
      <c r="I3431" s="236" t="s">
        <v>19682</v>
      </c>
    </row>
    <row r="3432" spans="1:9" x14ac:dyDescent="0.25">
      <c r="A3432" s="36">
        <v>42912</v>
      </c>
      <c r="B3432" s="18">
        <v>117533</v>
      </c>
      <c r="C3432" s="235" t="s">
        <v>19677</v>
      </c>
      <c r="D3432" s="236" t="s">
        <v>15562</v>
      </c>
      <c r="E3432" s="15">
        <v>3687.3</v>
      </c>
      <c r="F3432" s="237">
        <v>42912</v>
      </c>
      <c r="G3432" s="15">
        <v>3687.3</v>
      </c>
      <c r="H3432" s="15">
        <f t="shared" si="53"/>
        <v>0</v>
      </c>
      <c r="I3432" s="236" t="s">
        <v>19682</v>
      </c>
    </row>
    <row r="3433" spans="1:9" x14ac:dyDescent="0.25">
      <c r="A3433" s="242">
        <v>42912</v>
      </c>
      <c r="B3433" s="18">
        <v>117534</v>
      </c>
      <c r="C3433" s="235" t="s">
        <v>19677</v>
      </c>
      <c r="D3433" s="236" t="s">
        <v>16286</v>
      </c>
      <c r="E3433" s="15">
        <v>3907.2</v>
      </c>
      <c r="F3433" s="237">
        <v>42912</v>
      </c>
      <c r="G3433" s="15">
        <v>3907.2</v>
      </c>
      <c r="H3433" s="15">
        <f t="shared" si="53"/>
        <v>0</v>
      </c>
      <c r="I3433" s="236" t="s">
        <v>19682</v>
      </c>
    </row>
    <row r="3434" spans="1:9" x14ac:dyDescent="0.25">
      <c r="A3434" s="36">
        <v>42912</v>
      </c>
      <c r="B3434" s="18">
        <v>117535</v>
      </c>
      <c r="C3434" s="235" t="s">
        <v>19677</v>
      </c>
      <c r="D3434" s="236" t="s">
        <v>15920</v>
      </c>
      <c r="E3434" s="15">
        <v>11789.4</v>
      </c>
      <c r="F3434" s="237">
        <v>42912</v>
      </c>
      <c r="G3434" s="15">
        <v>11789.4</v>
      </c>
      <c r="H3434" s="15">
        <f t="shared" si="53"/>
        <v>0</v>
      </c>
      <c r="I3434" s="236" t="s">
        <v>19682</v>
      </c>
    </row>
    <row r="3435" spans="1:9" x14ac:dyDescent="0.25">
      <c r="A3435" s="242">
        <v>42912</v>
      </c>
      <c r="B3435" s="18">
        <v>117536</v>
      </c>
      <c r="C3435" s="235" t="s">
        <v>19677</v>
      </c>
      <c r="D3435" s="236" t="s">
        <v>15305</v>
      </c>
      <c r="E3435" s="15">
        <v>1124.8</v>
      </c>
      <c r="F3435" s="237">
        <v>42912</v>
      </c>
      <c r="G3435" s="15">
        <v>1124.8</v>
      </c>
      <c r="H3435" s="15">
        <f t="shared" si="53"/>
        <v>0</v>
      </c>
      <c r="I3435" s="236" t="s">
        <v>19682</v>
      </c>
    </row>
    <row r="3436" spans="1:9" x14ac:dyDescent="0.25">
      <c r="A3436" s="36">
        <v>42912</v>
      </c>
      <c r="B3436" s="18">
        <v>117537</v>
      </c>
      <c r="C3436" s="235" t="s">
        <v>19677</v>
      </c>
      <c r="D3436" s="236" t="s">
        <v>15326</v>
      </c>
      <c r="E3436" s="15">
        <v>2773.4</v>
      </c>
      <c r="F3436" s="237">
        <v>42912</v>
      </c>
      <c r="G3436" s="15">
        <v>2773.4</v>
      </c>
      <c r="H3436" s="15">
        <f t="shared" si="53"/>
        <v>0</v>
      </c>
      <c r="I3436" s="236" t="s">
        <v>19682</v>
      </c>
    </row>
    <row r="3437" spans="1:9" x14ac:dyDescent="0.25">
      <c r="A3437" s="242">
        <v>42912</v>
      </c>
      <c r="B3437" s="18">
        <v>117538</v>
      </c>
      <c r="C3437" s="235" t="s">
        <v>19677</v>
      </c>
      <c r="D3437" s="236" t="s">
        <v>15342</v>
      </c>
      <c r="E3437" s="15">
        <v>610.4</v>
      </c>
      <c r="F3437" s="237">
        <v>42912</v>
      </c>
      <c r="G3437" s="15">
        <v>610.4</v>
      </c>
      <c r="H3437" s="15">
        <f t="shared" si="53"/>
        <v>0</v>
      </c>
      <c r="I3437" s="236" t="s">
        <v>19682</v>
      </c>
    </row>
    <row r="3438" spans="1:9" x14ac:dyDescent="0.25">
      <c r="A3438" s="36">
        <v>42912</v>
      </c>
      <c r="B3438" s="18">
        <v>117539</v>
      </c>
      <c r="C3438" s="235" t="s">
        <v>19677</v>
      </c>
      <c r="D3438" s="236" t="s">
        <v>15286</v>
      </c>
      <c r="E3438" s="15">
        <v>6374.4</v>
      </c>
      <c r="F3438" s="237">
        <v>42912</v>
      </c>
      <c r="G3438" s="15">
        <v>6374.4</v>
      </c>
      <c r="H3438" s="15">
        <f t="shared" si="53"/>
        <v>0</v>
      </c>
      <c r="I3438" s="236" t="s">
        <v>19682</v>
      </c>
    </row>
    <row r="3439" spans="1:9" x14ac:dyDescent="0.25">
      <c r="A3439" s="242">
        <v>42912</v>
      </c>
      <c r="B3439" s="18">
        <v>117540</v>
      </c>
      <c r="C3439" s="235" t="s">
        <v>19677</v>
      </c>
      <c r="D3439" s="236" t="s">
        <v>15317</v>
      </c>
      <c r="E3439" s="15">
        <v>471.9</v>
      </c>
      <c r="F3439" s="237">
        <v>42912</v>
      </c>
      <c r="G3439" s="15">
        <v>471.9</v>
      </c>
      <c r="H3439" s="15">
        <f t="shared" si="53"/>
        <v>0</v>
      </c>
      <c r="I3439" s="236" t="s">
        <v>19682</v>
      </c>
    </row>
    <row r="3440" spans="1:9" x14ac:dyDescent="0.25">
      <c r="A3440" s="36">
        <v>42912</v>
      </c>
      <c r="B3440" s="18">
        <v>117541</v>
      </c>
      <c r="C3440" s="235" t="s">
        <v>19677</v>
      </c>
      <c r="D3440" s="236" t="s">
        <v>15352</v>
      </c>
      <c r="E3440" s="15">
        <v>262.39999999999998</v>
      </c>
      <c r="F3440" s="237">
        <v>42912</v>
      </c>
      <c r="G3440" s="15">
        <v>262.39999999999998</v>
      </c>
      <c r="H3440" s="15">
        <f t="shared" si="53"/>
        <v>0</v>
      </c>
      <c r="I3440" s="236" t="s">
        <v>19682</v>
      </c>
    </row>
    <row r="3441" spans="1:9" x14ac:dyDescent="0.25">
      <c r="A3441" s="242">
        <v>42912</v>
      </c>
      <c r="B3441" s="18">
        <v>117542</v>
      </c>
      <c r="C3441" s="235" t="s">
        <v>19677</v>
      </c>
      <c r="D3441" s="236" t="s">
        <v>15415</v>
      </c>
      <c r="E3441" s="15">
        <v>4006.1</v>
      </c>
      <c r="F3441" s="237">
        <v>42918</v>
      </c>
      <c r="G3441" s="15">
        <v>4006.1</v>
      </c>
      <c r="H3441" s="15">
        <f t="shared" si="53"/>
        <v>0</v>
      </c>
      <c r="I3441" s="236" t="s">
        <v>19682</v>
      </c>
    </row>
    <row r="3442" spans="1:9" ht="15.75" x14ac:dyDescent="0.25">
      <c r="A3442" s="36">
        <v>42912</v>
      </c>
      <c r="B3442" s="18">
        <v>117543</v>
      </c>
      <c r="C3442" s="235" t="s">
        <v>19677</v>
      </c>
      <c r="D3442" s="248" t="s">
        <v>95</v>
      </c>
      <c r="E3442" s="15">
        <v>0</v>
      </c>
      <c r="F3442" s="254" t="s">
        <v>95</v>
      </c>
      <c r="G3442" s="15">
        <v>0</v>
      </c>
      <c r="H3442" s="15">
        <f t="shared" si="53"/>
        <v>0</v>
      </c>
      <c r="I3442" s="236" t="s">
        <v>19678</v>
      </c>
    </row>
    <row r="3443" spans="1:9" x14ac:dyDescent="0.25">
      <c r="A3443" s="242">
        <v>42912</v>
      </c>
      <c r="B3443" s="18">
        <v>117544</v>
      </c>
      <c r="C3443" s="235" t="s">
        <v>19677</v>
      </c>
      <c r="D3443" s="236" t="s">
        <v>15311</v>
      </c>
      <c r="E3443" s="15">
        <v>1877</v>
      </c>
      <c r="F3443" s="237">
        <v>42912</v>
      </c>
      <c r="G3443" s="15">
        <v>1877</v>
      </c>
      <c r="H3443" s="15">
        <f t="shared" si="53"/>
        <v>0</v>
      </c>
      <c r="I3443" s="236" t="s">
        <v>19682</v>
      </c>
    </row>
    <row r="3444" spans="1:9" x14ac:dyDescent="0.25">
      <c r="A3444" s="36">
        <v>42912</v>
      </c>
      <c r="B3444" s="18">
        <v>117545</v>
      </c>
      <c r="C3444" s="235" t="s">
        <v>19677</v>
      </c>
      <c r="D3444" s="236" t="s">
        <v>15284</v>
      </c>
      <c r="E3444" s="15">
        <v>363.2</v>
      </c>
      <c r="F3444" s="237">
        <v>42912</v>
      </c>
      <c r="G3444" s="15">
        <v>363.2</v>
      </c>
      <c r="H3444" s="15">
        <f t="shared" si="53"/>
        <v>0</v>
      </c>
      <c r="I3444" s="236" t="s">
        <v>19682</v>
      </c>
    </row>
    <row r="3445" spans="1:9" x14ac:dyDescent="0.25">
      <c r="A3445" s="242">
        <v>42912</v>
      </c>
      <c r="B3445" s="18">
        <v>117546</v>
      </c>
      <c r="C3445" s="235" t="s">
        <v>19677</v>
      </c>
      <c r="D3445" s="236" t="s">
        <v>15396</v>
      </c>
      <c r="E3445" s="15">
        <v>7451.6</v>
      </c>
      <c r="F3445" s="237">
        <v>42912</v>
      </c>
      <c r="G3445" s="15">
        <v>7451.6</v>
      </c>
      <c r="H3445" s="15">
        <f t="shared" si="53"/>
        <v>0</v>
      </c>
      <c r="I3445" s="236" t="s">
        <v>19682</v>
      </c>
    </row>
    <row r="3446" spans="1:9" x14ac:dyDescent="0.25">
      <c r="A3446" s="36">
        <v>42912</v>
      </c>
      <c r="B3446" s="18">
        <v>117547</v>
      </c>
      <c r="C3446" s="235" t="s">
        <v>19677</v>
      </c>
      <c r="D3446" s="236" t="s">
        <v>15442</v>
      </c>
      <c r="E3446" s="15">
        <v>15030</v>
      </c>
      <c r="F3446" s="237">
        <v>42917</v>
      </c>
      <c r="G3446" s="15">
        <v>15030</v>
      </c>
      <c r="H3446" s="15">
        <f t="shared" si="53"/>
        <v>0</v>
      </c>
      <c r="I3446" s="236" t="s">
        <v>19682</v>
      </c>
    </row>
    <row r="3447" spans="1:9" x14ac:dyDescent="0.25">
      <c r="A3447" s="242">
        <v>42912</v>
      </c>
      <c r="B3447" s="18">
        <v>117548</v>
      </c>
      <c r="C3447" s="235" t="s">
        <v>19677</v>
      </c>
      <c r="D3447" s="236" t="s">
        <v>15544</v>
      </c>
      <c r="E3447" s="15">
        <v>3204</v>
      </c>
      <c r="F3447" s="237">
        <v>42915</v>
      </c>
      <c r="G3447" s="15">
        <v>3204</v>
      </c>
      <c r="H3447" s="15">
        <f t="shared" si="53"/>
        <v>0</v>
      </c>
      <c r="I3447" s="236" t="s">
        <v>19682</v>
      </c>
    </row>
    <row r="3448" spans="1:9" ht="15.75" x14ac:dyDescent="0.25">
      <c r="A3448" s="36">
        <v>42912</v>
      </c>
      <c r="B3448" s="18">
        <v>117549</v>
      </c>
      <c r="C3448" s="235" t="s">
        <v>19677</v>
      </c>
      <c r="D3448" s="248" t="s">
        <v>95</v>
      </c>
      <c r="E3448" s="15">
        <v>0</v>
      </c>
      <c r="F3448" s="243" t="s">
        <v>95</v>
      </c>
      <c r="G3448" s="15">
        <v>0</v>
      </c>
      <c r="H3448" s="15">
        <f t="shared" si="53"/>
        <v>0</v>
      </c>
      <c r="I3448" s="236" t="s">
        <v>19678</v>
      </c>
    </row>
    <row r="3449" spans="1:9" x14ac:dyDescent="0.25">
      <c r="A3449" s="242">
        <v>42912</v>
      </c>
      <c r="B3449" s="18">
        <v>117550</v>
      </c>
      <c r="C3449" s="235" t="s">
        <v>19677</v>
      </c>
      <c r="D3449" s="236" t="s">
        <v>15315</v>
      </c>
      <c r="E3449" s="15">
        <v>4107</v>
      </c>
      <c r="F3449" s="237">
        <v>42915</v>
      </c>
      <c r="G3449" s="15">
        <v>4107</v>
      </c>
      <c r="H3449" s="15">
        <f t="shared" si="53"/>
        <v>0</v>
      </c>
      <c r="I3449" s="236" t="s">
        <v>19682</v>
      </c>
    </row>
    <row r="3450" spans="1:9" x14ac:dyDescent="0.25">
      <c r="A3450" s="36">
        <v>42912</v>
      </c>
      <c r="B3450" s="18">
        <v>117551</v>
      </c>
      <c r="C3450" s="235" t="s">
        <v>19677</v>
      </c>
      <c r="D3450" s="236" t="s">
        <v>15555</v>
      </c>
      <c r="E3450" s="15">
        <v>1435.2</v>
      </c>
      <c r="F3450" s="237">
        <v>42915</v>
      </c>
      <c r="G3450" s="15">
        <v>1435.2</v>
      </c>
      <c r="H3450" s="15">
        <f t="shared" si="53"/>
        <v>0</v>
      </c>
      <c r="I3450" s="236" t="s">
        <v>19682</v>
      </c>
    </row>
    <row r="3451" spans="1:9" x14ac:dyDescent="0.25">
      <c r="A3451" s="242">
        <v>42912</v>
      </c>
      <c r="B3451" s="18">
        <v>117552</v>
      </c>
      <c r="C3451" s="235" t="s">
        <v>19677</v>
      </c>
      <c r="D3451" s="236" t="s">
        <v>15537</v>
      </c>
      <c r="E3451" s="15">
        <v>15816</v>
      </c>
      <c r="F3451" s="237">
        <v>42916</v>
      </c>
      <c r="G3451" s="15">
        <v>15816</v>
      </c>
      <c r="H3451" s="15">
        <f t="shared" si="53"/>
        <v>0</v>
      </c>
      <c r="I3451" s="236" t="s">
        <v>19682</v>
      </c>
    </row>
    <row r="3452" spans="1:9" x14ac:dyDescent="0.25">
      <c r="A3452" s="36">
        <v>42912</v>
      </c>
      <c r="B3452" s="18">
        <v>117553</v>
      </c>
      <c r="C3452" s="235" t="s">
        <v>19677</v>
      </c>
      <c r="D3452" s="236" t="s">
        <v>15539</v>
      </c>
      <c r="E3452" s="15">
        <v>16400</v>
      </c>
      <c r="F3452" s="237">
        <v>42916</v>
      </c>
      <c r="G3452" s="15">
        <v>16400</v>
      </c>
      <c r="H3452" s="15">
        <f t="shared" si="53"/>
        <v>0</v>
      </c>
      <c r="I3452" s="236" t="s">
        <v>19682</v>
      </c>
    </row>
    <row r="3453" spans="1:9" x14ac:dyDescent="0.25">
      <c r="A3453" s="242">
        <v>42912</v>
      </c>
      <c r="B3453" s="18">
        <v>117554</v>
      </c>
      <c r="C3453" s="235" t="s">
        <v>19677</v>
      </c>
      <c r="D3453" s="236" t="s">
        <v>15559</v>
      </c>
      <c r="E3453" s="15">
        <v>11517.9</v>
      </c>
      <c r="F3453" s="237">
        <v>42916</v>
      </c>
      <c r="G3453" s="15">
        <v>11517.9</v>
      </c>
      <c r="H3453" s="15">
        <f t="shared" si="53"/>
        <v>0</v>
      </c>
      <c r="I3453" s="236" t="s">
        <v>19682</v>
      </c>
    </row>
    <row r="3454" spans="1:9" x14ac:dyDescent="0.25">
      <c r="A3454" s="36">
        <v>42912</v>
      </c>
      <c r="B3454" s="18">
        <v>117555</v>
      </c>
      <c r="C3454" s="235" t="s">
        <v>19677</v>
      </c>
      <c r="D3454" s="236" t="s">
        <v>18076</v>
      </c>
      <c r="E3454" s="15">
        <v>3391.5</v>
      </c>
      <c r="F3454" s="237">
        <v>42912</v>
      </c>
      <c r="G3454" s="15">
        <v>3391.5</v>
      </c>
      <c r="H3454" s="15">
        <f t="shared" si="53"/>
        <v>0</v>
      </c>
      <c r="I3454" s="236" t="s">
        <v>19682</v>
      </c>
    </row>
    <row r="3455" spans="1:9" x14ac:dyDescent="0.25">
      <c r="A3455" s="242">
        <v>42912</v>
      </c>
      <c r="B3455" s="18">
        <v>117556</v>
      </c>
      <c r="C3455" s="235" t="s">
        <v>19677</v>
      </c>
      <c r="D3455" s="236" t="s">
        <v>19768</v>
      </c>
      <c r="E3455" s="15">
        <v>1470</v>
      </c>
      <c r="F3455" s="237">
        <v>42912</v>
      </c>
      <c r="G3455" s="15">
        <v>1470</v>
      </c>
      <c r="H3455" s="15">
        <f t="shared" si="53"/>
        <v>0</v>
      </c>
      <c r="I3455" s="236" t="s">
        <v>19682</v>
      </c>
    </row>
    <row r="3456" spans="1:9" x14ac:dyDescent="0.25">
      <c r="A3456" s="36">
        <v>42912</v>
      </c>
      <c r="B3456" s="18">
        <v>117557</v>
      </c>
      <c r="C3456" s="235" t="s">
        <v>19677</v>
      </c>
      <c r="D3456" s="236" t="s">
        <v>15912</v>
      </c>
      <c r="E3456" s="15">
        <v>1122</v>
      </c>
      <c r="F3456" s="237">
        <v>42912</v>
      </c>
      <c r="G3456" s="15">
        <v>1122</v>
      </c>
      <c r="H3456" s="15">
        <f t="shared" si="53"/>
        <v>0</v>
      </c>
      <c r="I3456" s="236" t="s">
        <v>19682</v>
      </c>
    </row>
    <row r="3457" spans="1:10" x14ac:dyDescent="0.25">
      <c r="A3457" s="242">
        <v>42912</v>
      </c>
      <c r="B3457" s="18">
        <v>117558</v>
      </c>
      <c r="C3457" s="235" t="s">
        <v>19677</v>
      </c>
      <c r="D3457" s="236" t="s">
        <v>17722</v>
      </c>
      <c r="E3457" s="15">
        <v>3009</v>
      </c>
      <c r="F3457" s="237">
        <v>42912</v>
      </c>
      <c r="G3457" s="15">
        <v>3009</v>
      </c>
      <c r="H3457" s="15">
        <f t="shared" si="53"/>
        <v>0</v>
      </c>
      <c r="I3457" s="236" t="s">
        <v>19682</v>
      </c>
    </row>
    <row r="3458" spans="1:10" x14ac:dyDescent="0.25">
      <c r="A3458" s="36">
        <v>42912</v>
      </c>
      <c r="B3458" s="18">
        <v>117559</v>
      </c>
      <c r="C3458" s="235" t="s">
        <v>19677</v>
      </c>
      <c r="D3458" s="236" t="s">
        <v>15315</v>
      </c>
      <c r="E3458" s="15">
        <v>9188.4</v>
      </c>
      <c r="F3458" s="237">
        <v>42912</v>
      </c>
      <c r="G3458" s="15">
        <v>9188.4</v>
      </c>
      <c r="H3458" s="15">
        <f t="shared" ref="H3458:H3521" si="54">E3458-G3458</f>
        <v>0</v>
      </c>
      <c r="I3458" s="236" t="s">
        <v>19682</v>
      </c>
    </row>
    <row r="3459" spans="1:10" x14ac:dyDescent="0.25">
      <c r="A3459" s="242">
        <v>42912</v>
      </c>
      <c r="B3459" s="18">
        <v>117560</v>
      </c>
      <c r="C3459" s="235" t="s">
        <v>19677</v>
      </c>
      <c r="D3459" s="236" t="s">
        <v>15315</v>
      </c>
      <c r="E3459" s="15">
        <v>1362.4</v>
      </c>
      <c r="F3459" s="237">
        <v>42912</v>
      </c>
      <c r="G3459" s="15">
        <v>1362.4</v>
      </c>
      <c r="H3459" s="15">
        <f t="shared" si="54"/>
        <v>0</v>
      </c>
      <c r="I3459" s="236" t="s">
        <v>19682</v>
      </c>
    </row>
    <row r="3460" spans="1:10" x14ac:dyDescent="0.25">
      <c r="A3460" s="36">
        <v>42912</v>
      </c>
      <c r="B3460" s="18">
        <v>117561</v>
      </c>
      <c r="C3460" s="235" t="s">
        <v>19677</v>
      </c>
      <c r="D3460" s="236" t="s">
        <v>15315</v>
      </c>
      <c r="E3460" s="15">
        <v>413.4</v>
      </c>
      <c r="F3460" s="237">
        <v>42912</v>
      </c>
      <c r="G3460" s="15">
        <v>413.4</v>
      </c>
      <c r="H3460" s="15">
        <f t="shared" si="54"/>
        <v>0</v>
      </c>
      <c r="I3460" s="236" t="s">
        <v>19682</v>
      </c>
    </row>
    <row r="3461" spans="1:10" ht="15.75" x14ac:dyDescent="0.25">
      <c r="A3461" s="242">
        <v>42912</v>
      </c>
      <c r="B3461" s="18">
        <v>117562</v>
      </c>
      <c r="C3461" s="235" t="s">
        <v>19677</v>
      </c>
      <c r="D3461" s="248" t="s">
        <v>95</v>
      </c>
      <c r="E3461" s="15">
        <v>0</v>
      </c>
      <c r="F3461" s="243" t="s">
        <v>95</v>
      </c>
      <c r="G3461" s="15"/>
      <c r="H3461" s="15">
        <f t="shared" si="54"/>
        <v>0</v>
      </c>
      <c r="I3461" s="236" t="s">
        <v>19678</v>
      </c>
      <c r="J3461" s="2" t="s">
        <v>19722</v>
      </c>
    </row>
    <row r="3462" spans="1:10" ht="15.75" x14ac:dyDescent="0.25">
      <c r="A3462" s="36">
        <v>42912</v>
      </c>
      <c r="B3462" s="18">
        <v>117563</v>
      </c>
      <c r="C3462" s="235" t="s">
        <v>19677</v>
      </c>
      <c r="D3462" s="248" t="s">
        <v>95</v>
      </c>
      <c r="E3462" s="15">
        <v>0</v>
      </c>
      <c r="F3462" s="243" t="s">
        <v>95</v>
      </c>
      <c r="G3462" s="15"/>
      <c r="H3462" s="15">
        <f t="shared" si="54"/>
        <v>0</v>
      </c>
      <c r="I3462" s="236" t="s">
        <v>19678</v>
      </c>
    </row>
    <row r="3463" spans="1:10" x14ac:dyDescent="0.25">
      <c r="A3463" s="242">
        <v>42912</v>
      </c>
      <c r="B3463" s="18">
        <v>117564</v>
      </c>
      <c r="C3463" s="235" t="s">
        <v>19677</v>
      </c>
      <c r="D3463" s="236" t="s">
        <v>15213</v>
      </c>
      <c r="E3463" s="15">
        <v>10205</v>
      </c>
      <c r="F3463" s="237">
        <v>42914</v>
      </c>
      <c r="G3463" s="15">
        <v>10205</v>
      </c>
      <c r="H3463" s="15">
        <f t="shared" si="54"/>
        <v>0</v>
      </c>
      <c r="I3463" s="236" t="s">
        <v>19682</v>
      </c>
    </row>
    <row r="3464" spans="1:10" x14ac:dyDescent="0.25">
      <c r="A3464" s="36">
        <v>42912</v>
      </c>
      <c r="B3464" s="18">
        <v>117565</v>
      </c>
      <c r="C3464" s="235" t="s">
        <v>19677</v>
      </c>
      <c r="D3464" s="236" t="s">
        <v>15213</v>
      </c>
      <c r="E3464" s="15">
        <v>9084.6</v>
      </c>
      <c r="F3464" s="237">
        <v>42913</v>
      </c>
      <c r="G3464" s="15">
        <v>9084.6</v>
      </c>
      <c r="H3464" s="15">
        <f t="shared" si="54"/>
        <v>0</v>
      </c>
      <c r="I3464" s="236" t="s">
        <v>19682</v>
      </c>
    </row>
    <row r="3465" spans="1:10" ht="15.75" x14ac:dyDescent="0.25">
      <c r="A3465" s="242">
        <v>42912</v>
      </c>
      <c r="B3465" s="18">
        <v>117566</v>
      </c>
      <c r="C3465" s="235" t="s">
        <v>19677</v>
      </c>
      <c r="D3465" s="236" t="s">
        <v>95</v>
      </c>
      <c r="E3465" s="15">
        <v>0</v>
      </c>
      <c r="F3465" s="243" t="s">
        <v>95</v>
      </c>
      <c r="G3465" s="15"/>
      <c r="H3465" s="15">
        <f t="shared" si="54"/>
        <v>0</v>
      </c>
      <c r="I3465" s="236" t="s">
        <v>19678</v>
      </c>
    </row>
    <row r="3466" spans="1:10" x14ac:dyDescent="0.25">
      <c r="A3466" s="36">
        <v>42912</v>
      </c>
      <c r="B3466" s="18">
        <v>117567</v>
      </c>
      <c r="C3466" s="235" t="s">
        <v>19677</v>
      </c>
      <c r="D3466" s="236" t="s">
        <v>15298</v>
      </c>
      <c r="E3466" s="15">
        <v>20852.7</v>
      </c>
      <c r="F3466" s="237">
        <v>42919</v>
      </c>
      <c r="G3466" s="15">
        <v>20852.7</v>
      </c>
      <c r="H3466" s="15">
        <f t="shared" si="54"/>
        <v>0</v>
      </c>
      <c r="I3466" s="236" t="s">
        <v>19682</v>
      </c>
    </row>
    <row r="3467" spans="1:10" x14ac:dyDescent="0.25">
      <c r="A3467" s="242">
        <v>42912</v>
      </c>
      <c r="B3467" s="18">
        <v>117568</v>
      </c>
      <c r="C3467" s="235" t="s">
        <v>19677</v>
      </c>
      <c r="D3467" s="236" t="s">
        <v>19699</v>
      </c>
      <c r="E3467" s="15">
        <v>3096</v>
      </c>
      <c r="F3467" s="237">
        <v>42912</v>
      </c>
      <c r="G3467" s="15">
        <v>3096</v>
      </c>
      <c r="H3467" s="15">
        <f t="shared" si="54"/>
        <v>0</v>
      </c>
      <c r="I3467" s="236" t="s">
        <v>19682</v>
      </c>
    </row>
    <row r="3468" spans="1:10" x14ac:dyDescent="0.25">
      <c r="A3468" s="36">
        <v>42912</v>
      </c>
      <c r="B3468" s="18">
        <v>117569</v>
      </c>
      <c r="C3468" s="235" t="s">
        <v>19677</v>
      </c>
      <c r="D3468" s="236" t="s">
        <v>15267</v>
      </c>
      <c r="E3468" s="15">
        <v>25154.400000000001</v>
      </c>
      <c r="F3468" s="237">
        <v>42933</v>
      </c>
      <c r="G3468" s="15">
        <v>25154.400000000001</v>
      </c>
      <c r="H3468" s="15">
        <f t="shared" si="54"/>
        <v>0</v>
      </c>
      <c r="I3468" s="236" t="s">
        <v>19682</v>
      </c>
    </row>
    <row r="3469" spans="1:10" x14ac:dyDescent="0.25">
      <c r="A3469" s="242">
        <v>42912</v>
      </c>
      <c r="B3469" s="18">
        <v>117570</v>
      </c>
      <c r="C3469" s="235" t="s">
        <v>19677</v>
      </c>
      <c r="D3469" s="236" t="s">
        <v>15433</v>
      </c>
      <c r="E3469" s="15">
        <v>1465.6</v>
      </c>
      <c r="F3469" s="237"/>
      <c r="G3469" s="15"/>
      <c r="H3469" s="15">
        <f t="shared" si="54"/>
        <v>1465.6</v>
      </c>
      <c r="I3469" s="236" t="s">
        <v>19682</v>
      </c>
    </row>
    <row r="3470" spans="1:10" x14ac:dyDescent="0.25">
      <c r="A3470" s="36">
        <v>42912</v>
      </c>
      <c r="B3470" s="18">
        <v>117571</v>
      </c>
      <c r="C3470" s="235" t="s">
        <v>19677</v>
      </c>
      <c r="D3470" s="236" t="s">
        <v>15423</v>
      </c>
      <c r="E3470" s="15">
        <v>5762.2</v>
      </c>
      <c r="F3470" s="237">
        <v>42912</v>
      </c>
      <c r="G3470" s="15">
        <v>5762.2</v>
      </c>
      <c r="H3470" s="15">
        <f t="shared" si="54"/>
        <v>0</v>
      </c>
      <c r="I3470" s="236" t="s">
        <v>19682</v>
      </c>
    </row>
    <row r="3471" spans="1:10" x14ac:dyDescent="0.25">
      <c r="A3471" s="242">
        <v>42912</v>
      </c>
      <c r="B3471" s="18">
        <v>117572</v>
      </c>
      <c r="C3471" s="235" t="s">
        <v>19677</v>
      </c>
      <c r="D3471" s="236" t="s">
        <v>15223</v>
      </c>
      <c r="E3471" s="15">
        <v>24939</v>
      </c>
      <c r="F3471" s="237">
        <v>42929</v>
      </c>
      <c r="G3471" s="15">
        <f>10863.55+14075.45</f>
        <v>24939</v>
      </c>
      <c r="H3471" s="15">
        <f t="shared" si="54"/>
        <v>0</v>
      </c>
      <c r="I3471" s="236" t="s">
        <v>19682</v>
      </c>
    </row>
    <row r="3472" spans="1:10" x14ac:dyDescent="0.25">
      <c r="A3472" s="36">
        <v>42912</v>
      </c>
      <c r="B3472" s="18">
        <v>117573</v>
      </c>
      <c r="C3472" s="235" t="s">
        <v>19677</v>
      </c>
      <c r="D3472" s="236" t="s">
        <v>15246</v>
      </c>
      <c r="E3472" s="15">
        <v>100501.18</v>
      </c>
      <c r="F3472" s="237">
        <v>42914</v>
      </c>
      <c r="G3472" s="15">
        <v>100501.18</v>
      </c>
      <c r="H3472" s="15">
        <f t="shared" si="54"/>
        <v>0</v>
      </c>
      <c r="I3472" s="236" t="s">
        <v>19682</v>
      </c>
    </row>
    <row r="3473" spans="1:9" x14ac:dyDescent="0.25">
      <c r="A3473" s="242">
        <v>42912</v>
      </c>
      <c r="B3473" s="18">
        <v>117574</v>
      </c>
      <c r="C3473" s="235" t="s">
        <v>19677</v>
      </c>
      <c r="D3473" s="236" t="s">
        <v>15246</v>
      </c>
      <c r="E3473" s="15">
        <v>1348.2</v>
      </c>
      <c r="F3473" s="237">
        <v>42914</v>
      </c>
      <c r="G3473" s="15">
        <v>1348.2</v>
      </c>
      <c r="H3473" s="15">
        <f t="shared" si="54"/>
        <v>0</v>
      </c>
      <c r="I3473" s="236" t="s">
        <v>19682</v>
      </c>
    </row>
    <row r="3474" spans="1:9" x14ac:dyDescent="0.25">
      <c r="A3474" s="36">
        <v>42912</v>
      </c>
      <c r="B3474" s="18">
        <v>117575</v>
      </c>
      <c r="C3474" s="235" t="s">
        <v>19677</v>
      </c>
      <c r="D3474" s="236" t="s">
        <v>15250</v>
      </c>
      <c r="E3474" s="15">
        <v>34184.160000000003</v>
      </c>
      <c r="F3474" s="237">
        <v>42915</v>
      </c>
      <c r="G3474" s="15">
        <v>34184.160000000003</v>
      </c>
      <c r="H3474" s="15">
        <f t="shared" si="54"/>
        <v>0</v>
      </c>
      <c r="I3474" s="236" t="s">
        <v>19682</v>
      </c>
    </row>
    <row r="3475" spans="1:9" x14ac:dyDescent="0.25">
      <c r="A3475" s="242">
        <v>42912</v>
      </c>
      <c r="B3475" s="18">
        <v>117576</v>
      </c>
      <c r="C3475" s="235" t="s">
        <v>19677</v>
      </c>
      <c r="D3475" s="236" t="s">
        <v>15782</v>
      </c>
      <c r="E3475" s="15">
        <v>1123.3</v>
      </c>
      <c r="F3475" s="237">
        <v>42913</v>
      </c>
      <c r="G3475" s="15">
        <v>1123.3</v>
      </c>
      <c r="H3475" s="15">
        <f t="shared" si="54"/>
        <v>0</v>
      </c>
      <c r="I3475" s="236" t="s">
        <v>19682</v>
      </c>
    </row>
    <row r="3476" spans="1:9" x14ac:dyDescent="0.25">
      <c r="A3476" s="36">
        <v>42912</v>
      </c>
      <c r="B3476" s="18">
        <v>117577</v>
      </c>
      <c r="C3476" s="235" t="s">
        <v>19677</v>
      </c>
      <c r="D3476" s="236" t="s">
        <v>16288</v>
      </c>
      <c r="E3476" s="15">
        <v>1241.2</v>
      </c>
      <c r="F3476" s="237">
        <v>42913</v>
      </c>
      <c r="G3476" s="15">
        <v>1241.2</v>
      </c>
      <c r="H3476" s="15">
        <f t="shared" si="54"/>
        <v>0</v>
      </c>
      <c r="I3476" s="236" t="s">
        <v>19682</v>
      </c>
    </row>
    <row r="3477" spans="1:9" x14ac:dyDescent="0.25">
      <c r="A3477" s="242">
        <v>42912</v>
      </c>
      <c r="B3477" s="18">
        <v>117578</v>
      </c>
      <c r="C3477" s="235" t="s">
        <v>19677</v>
      </c>
      <c r="D3477" s="236" t="s">
        <v>17462</v>
      </c>
      <c r="E3477" s="15">
        <v>1203.2</v>
      </c>
      <c r="F3477" s="237">
        <v>42912</v>
      </c>
      <c r="G3477" s="15">
        <v>1203.2</v>
      </c>
      <c r="H3477" s="15">
        <f t="shared" si="54"/>
        <v>0</v>
      </c>
      <c r="I3477" s="236" t="s">
        <v>19682</v>
      </c>
    </row>
    <row r="3478" spans="1:9" x14ac:dyDescent="0.25">
      <c r="A3478" s="36">
        <v>42912</v>
      </c>
      <c r="B3478" s="18">
        <v>117579</v>
      </c>
      <c r="C3478" s="235" t="s">
        <v>19677</v>
      </c>
      <c r="D3478" s="236" t="s">
        <v>17430</v>
      </c>
      <c r="E3478" s="15">
        <v>4436.7</v>
      </c>
      <c r="F3478" s="237">
        <v>42912</v>
      </c>
      <c r="G3478" s="15">
        <v>4436.7</v>
      </c>
      <c r="H3478" s="15">
        <f t="shared" si="54"/>
        <v>0</v>
      </c>
      <c r="I3478" s="236" t="s">
        <v>19682</v>
      </c>
    </row>
    <row r="3479" spans="1:9" x14ac:dyDescent="0.25">
      <c r="A3479" s="242">
        <v>42912</v>
      </c>
      <c r="B3479" s="18">
        <v>117580</v>
      </c>
      <c r="C3479" s="235" t="s">
        <v>19677</v>
      </c>
      <c r="D3479" s="236" t="s">
        <v>16383</v>
      </c>
      <c r="E3479" s="15">
        <v>10176.4</v>
      </c>
      <c r="F3479" s="237">
        <v>42912</v>
      </c>
      <c r="G3479" s="15">
        <v>10176.4</v>
      </c>
      <c r="H3479" s="15">
        <f t="shared" si="54"/>
        <v>0</v>
      </c>
      <c r="I3479" s="236" t="s">
        <v>19682</v>
      </c>
    </row>
    <row r="3480" spans="1:9" x14ac:dyDescent="0.25">
      <c r="A3480" s="36">
        <v>42912</v>
      </c>
      <c r="B3480" s="18">
        <v>117581</v>
      </c>
      <c r="C3480" s="235" t="s">
        <v>19677</v>
      </c>
      <c r="D3480" s="236" t="s">
        <v>19773</v>
      </c>
      <c r="E3480" s="15">
        <v>28496.959999999999</v>
      </c>
      <c r="F3480" s="266">
        <v>42927</v>
      </c>
      <c r="G3480" s="35">
        <v>28496.959999999999</v>
      </c>
      <c r="H3480" s="15">
        <f t="shared" si="54"/>
        <v>0</v>
      </c>
      <c r="I3480" s="236" t="s">
        <v>19682</v>
      </c>
    </row>
    <row r="3481" spans="1:9" x14ac:dyDescent="0.25">
      <c r="A3481" s="242">
        <v>42912</v>
      </c>
      <c r="B3481" s="18">
        <v>117582</v>
      </c>
      <c r="C3481" s="235" t="s">
        <v>19677</v>
      </c>
      <c r="D3481" s="236" t="s">
        <v>19758</v>
      </c>
      <c r="E3481" s="15">
        <v>25881</v>
      </c>
      <c r="F3481" s="237">
        <v>42912</v>
      </c>
      <c r="G3481" s="15">
        <v>25881</v>
      </c>
      <c r="H3481" s="15">
        <f t="shared" si="54"/>
        <v>0</v>
      </c>
      <c r="I3481" s="236" t="s">
        <v>19682</v>
      </c>
    </row>
    <row r="3482" spans="1:9" x14ac:dyDescent="0.25">
      <c r="A3482" s="36">
        <v>42912</v>
      </c>
      <c r="B3482" s="18">
        <v>117583</v>
      </c>
      <c r="C3482" s="235" t="s">
        <v>19677</v>
      </c>
      <c r="D3482" s="236" t="s">
        <v>15284</v>
      </c>
      <c r="E3482" s="15">
        <v>708.9</v>
      </c>
      <c r="F3482" s="237">
        <v>42912</v>
      </c>
      <c r="G3482" s="15">
        <v>708.9</v>
      </c>
      <c r="H3482" s="15">
        <f t="shared" si="54"/>
        <v>0</v>
      </c>
      <c r="I3482" s="236" t="s">
        <v>19682</v>
      </c>
    </row>
    <row r="3483" spans="1:9" x14ac:dyDescent="0.25">
      <c r="A3483" s="242">
        <v>42912</v>
      </c>
      <c r="B3483" s="18">
        <v>117584</v>
      </c>
      <c r="C3483" s="235" t="s">
        <v>19677</v>
      </c>
      <c r="D3483" s="236" t="s">
        <v>19313</v>
      </c>
      <c r="E3483" s="15">
        <v>2258.6</v>
      </c>
      <c r="F3483" s="237">
        <v>42912</v>
      </c>
      <c r="G3483" s="15">
        <v>2258.6</v>
      </c>
      <c r="H3483" s="15">
        <f t="shared" si="54"/>
        <v>0</v>
      </c>
      <c r="I3483" s="236" t="s">
        <v>19682</v>
      </c>
    </row>
    <row r="3484" spans="1:9" x14ac:dyDescent="0.25">
      <c r="A3484" s="36">
        <v>42912</v>
      </c>
      <c r="B3484" s="18">
        <v>117585</v>
      </c>
      <c r="C3484" s="235" t="s">
        <v>19677</v>
      </c>
      <c r="D3484" s="236" t="s">
        <v>15387</v>
      </c>
      <c r="E3484" s="15">
        <v>1387.2</v>
      </c>
      <c r="F3484" s="237">
        <v>42913</v>
      </c>
      <c r="G3484" s="15">
        <v>1387.2</v>
      </c>
      <c r="H3484" s="15">
        <f t="shared" si="54"/>
        <v>0</v>
      </c>
      <c r="I3484" s="236" t="s">
        <v>19682</v>
      </c>
    </row>
    <row r="3485" spans="1:9" x14ac:dyDescent="0.25">
      <c r="A3485" s="242">
        <v>42912</v>
      </c>
      <c r="B3485" s="18">
        <v>117586</v>
      </c>
      <c r="C3485" s="235" t="s">
        <v>19677</v>
      </c>
      <c r="D3485" s="236" t="s">
        <v>15642</v>
      </c>
      <c r="E3485" s="15">
        <v>3688.3</v>
      </c>
      <c r="F3485" s="237">
        <v>42912</v>
      </c>
      <c r="G3485" s="15">
        <v>3688.3</v>
      </c>
      <c r="H3485" s="15">
        <f t="shared" si="54"/>
        <v>0</v>
      </c>
      <c r="I3485" s="236" t="s">
        <v>19682</v>
      </c>
    </row>
    <row r="3486" spans="1:9" x14ac:dyDescent="0.25">
      <c r="A3486" s="36">
        <v>42912</v>
      </c>
      <c r="B3486" s="18">
        <v>117587</v>
      </c>
      <c r="C3486" s="235" t="s">
        <v>19677</v>
      </c>
      <c r="D3486" s="236" t="s">
        <v>15452</v>
      </c>
      <c r="E3486" s="15">
        <v>10920</v>
      </c>
      <c r="F3486" s="237">
        <v>42914</v>
      </c>
      <c r="G3486" s="15">
        <v>10920</v>
      </c>
      <c r="H3486" s="15">
        <f t="shared" si="54"/>
        <v>0</v>
      </c>
      <c r="I3486" s="236" t="s">
        <v>19682</v>
      </c>
    </row>
    <row r="3487" spans="1:9" x14ac:dyDescent="0.25">
      <c r="A3487" s="242">
        <v>42912</v>
      </c>
      <c r="B3487" s="18">
        <v>117588</v>
      </c>
      <c r="C3487" s="235" t="s">
        <v>19677</v>
      </c>
      <c r="D3487" s="236" t="s">
        <v>15446</v>
      </c>
      <c r="E3487" s="15">
        <v>1767</v>
      </c>
      <c r="F3487" s="237">
        <v>42914</v>
      </c>
      <c r="G3487" s="15">
        <v>1767</v>
      </c>
      <c r="H3487" s="15">
        <f t="shared" si="54"/>
        <v>0</v>
      </c>
      <c r="I3487" s="236" t="s">
        <v>19682</v>
      </c>
    </row>
    <row r="3488" spans="1:9" x14ac:dyDescent="0.25">
      <c r="A3488" s="36">
        <v>42912</v>
      </c>
      <c r="B3488" s="18">
        <v>117589</v>
      </c>
      <c r="C3488" s="235" t="s">
        <v>19677</v>
      </c>
      <c r="D3488" s="236" t="s">
        <v>15454</v>
      </c>
      <c r="E3488" s="15">
        <v>5447.3</v>
      </c>
      <c r="F3488" s="237">
        <v>42914</v>
      </c>
      <c r="G3488" s="15">
        <v>5447.3</v>
      </c>
      <c r="H3488" s="15">
        <f t="shared" si="54"/>
        <v>0</v>
      </c>
      <c r="I3488" s="236" t="s">
        <v>19682</v>
      </c>
    </row>
    <row r="3489" spans="1:9" x14ac:dyDescent="0.25">
      <c r="A3489" s="242">
        <v>42912</v>
      </c>
      <c r="B3489" s="18">
        <v>117590</v>
      </c>
      <c r="C3489" s="235" t="s">
        <v>19677</v>
      </c>
      <c r="D3489" s="236" t="s">
        <v>15961</v>
      </c>
      <c r="E3489" s="15">
        <v>2012.4</v>
      </c>
      <c r="F3489" s="237">
        <v>42914</v>
      </c>
      <c r="G3489" s="15">
        <v>2012.4</v>
      </c>
      <c r="H3489" s="15">
        <f t="shared" si="54"/>
        <v>0</v>
      </c>
      <c r="I3489" s="236" t="s">
        <v>19682</v>
      </c>
    </row>
    <row r="3490" spans="1:9" x14ac:dyDescent="0.25">
      <c r="A3490" s="36">
        <v>42912</v>
      </c>
      <c r="B3490" s="18">
        <v>117591</v>
      </c>
      <c r="C3490" s="235" t="s">
        <v>19677</v>
      </c>
      <c r="D3490" s="236" t="s">
        <v>15465</v>
      </c>
      <c r="E3490" s="15">
        <v>1147.5</v>
      </c>
      <c r="F3490" s="237">
        <v>42914</v>
      </c>
      <c r="G3490" s="15">
        <v>1147.5</v>
      </c>
      <c r="H3490" s="15">
        <f t="shared" si="54"/>
        <v>0</v>
      </c>
      <c r="I3490" s="236" t="s">
        <v>19682</v>
      </c>
    </row>
    <row r="3491" spans="1:9" x14ac:dyDescent="0.25">
      <c r="A3491" s="242">
        <v>42912</v>
      </c>
      <c r="B3491" s="18">
        <v>117592</v>
      </c>
      <c r="C3491" s="235" t="s">
        <v>19677</v>
      </c>
      <c r="D3491" s="236" t="s">
        <v>15462</v>
      </c>
      <c r="E3491" s="15">
        <v>21047.5</v>
      </c>
      <c r="F3491" s="237">
        <v>42914</v>
      </c>
      <c r="G3491" s="15">
        <v>21047.5</v>
      </c>
      <c r="H3491" s="15">
        <f t="shared" si="54"/>
        <v>0</v>
      </c>
      <c r="I3491" s="236" t="s">
        <v>19682</v>
      </c>
    </row>
    <row r="3492" spans="1:9" x14ac:dyDescent="0.25">
      <c r="A3492" s="36">
        <v>42912</v>
      </c>
      <c r="B3492" s="18">
        <v>117593</v>
      </c>
      <c r="C3492" s="235" t="s">
        <v>19677</v>
      </c>
      <c r="D3492" s="236" t="s">
        <v>15452</v>
      </c>
      <c r="E3492" s="15">
        <v>1852.8</v>
      </c>
      <c r="F3492" s="237">
        <v>42914</v>
      </c>
      <c r="G3492" s="15">
        <v>1852.8</v>
      </c>
      <c r="H3492" s="15">
        <f t="shared" si="54"/>
        <v>0</v>
      </c>
      <c r="I3492" s="236" t="s">
        <v>19682</v>
      </c>
    </row>
    <row r="3493" spans="1:9" x14ac:dyDescent="0.25">
      <c r="A3493" s="242">
        <v>42912</v>
      </c>
      <c r="B3493" s="18">
        <v>117594</v>
      </c>
      <c r="C3493" s="235" t="s">
        <v>19677</v>
      </c>
      <c r="D3493" s="236" t="s">
        <v>5880</v>
      </c>
      <c r="E3493" s="15">
        <v>58729.599999999999</v>
      </c>
      <c r="F3493" s="237">
        <v>42914</v>
      </c>
      <c r="G3493" s="15">
        <v>58729.599999999999</v>
      </c>
      <c r="H3493" s="15">
        <f t="shared" si="54"/>
        <v>0</v>
      </c>
      <c r="I3493" s="236" t="s">
        <v>19682</v>
      </c>
    </row>
    <row r="3494" spans="1:9" x14ac:dyDescent="0.25">
      <c r="A3494" s="36">
        <v>42912</v>
      </c>
      <c r="B3494" s="18">
        <v>117595</v>
      </c>
      <c r="C3494" s="235" t="s">
        <v>19677</v>
      </c>
      <c r="D3494" s="236" t="s">
        <v>19774</v>
      </c>
      <c r="E3494" s="15">
        <v>3469.7</v>
      </c>
      <c r="F3494" s="266">
        <v>42930</v>
      </c>
      <c r="G3494" s="35">
        <v>3469.7</v>
      </c>
      <c r="H3494" s="15">
        <f t="shared" si="54"/>
        <v>0</v>
      </c>
      <c r="I3494" s="236" t="s">
        <v>19682</v>
      </c>
    </row>
    <row r="3495" spans="1:9" x14ac:dyDescent="0.25">
      <c r="A3495" s="242">
        <v>42912</v>
      </c>
      <c r="B3495" s="18">
        <v>117596</v>
      </c>
      <c r="C3495" s="235" t="s">
        <v>19677</v>
      </c>
      <c r="D3495" s="236" t="s">
        <v>17708</v>
      </c>
      <c r="E3495" s="15">
        <v>2745.6</v>
      </c>
      <c r="F3495" s="237">
        <v>42913</v>
      </c>
      <c r="G3495" s="15">
        <v>2745.6</v>
      </c>
      <c r="H3495" s="15">
        <f t="shared" si="54"/>
        <v>0</v>
      </c>
      <c r="I3495" s="236" t="s">
        <v>19682</v>
      </c>
    </row>
    <row r="3496" spans="1:9" x14ac:dyDescent="0.25">
      <c r="A3496" s="36">
        <v>42912</v>
      </c>
      <c r="B3496" s="18">
        <v>117597</v>
      </c>
      <c r="C3496" s="235" t="s">
        <v>19677</v>
      </c>
      <c r="D3496" s="236" t="s">
        <v>15448</v>
      </c>
      <c r="E3496" s="15">
        <v>93832.82</v>
      </c>
      <c r="F3496" s="237">
        <v>42917</v>
      </c>
      <c r="G3496" s="15">
        <v>93832.82</v>
      </c>
      <c r="H3496" s="15">
        <f t="shared" si="54"/>
        <v>0</v>
      </c>
      <c r="I3496" s="236" t="s">
        <v>19682</v>
      </c>
    </row>
    <row r="3497" spans="1:9" x14ac:dyDescent="0.25">
      <c r="A3497" s="242">
        <v>42912</v>
      </c>
      <c r="B3497" s="18">
        <v>117598</v>
      </c>
      <c r="C3497" s="235" t="s">
        <v>19677</v>
      </c>
      <c r="D3497" s="236" t="s">
        <v>15568</v>
      </c>
      <c r="E3497" s="15">
        <v>15896.6</v>
      </c>
      <c r="F3497" s="237">
        <v>42913</v>
      </c>
      <c r="G3497" s="15">
        <v>15896.6</v>
      </c>
      <c r="H3497" s="15">
        <f t="shared" si="54"/>
        <v>0</v>
      </c>
      <c r="I3497" s="236" t="s">
        <v>19682</v>
      </c>
    </row>
    <row r="3498" spans="1:9" x14ac:dyDescent="0.25">
      <c r="A3498" s="36">
        <v>42912</v>
      </c>
      <c r="B3498" s="18">
        <v>117599</v>
      </c>
      <c r="C3498" s="235" t="s">
        <v>19677</v>
      </c>
      <c r="D3498" s="236" t="s">
        <v>19765</v>
      </c>
      <c r="E3498" s="15">
        <v>4000</v>
      </c>
      <c r="F3498" s="237">
        <v>42915</v>
      </c>
      <c r="G3498" s="15">
        <v>4000</v>
      </c>
      <c r="H3498" s="15">
        <f t="shared" si="54"/>
        <v>0</v>
      </c>
      <c r="I3498" s="236" t="s">
        <v>19682</v>
      </c>
    </row>
    <row r="3499" spans="1:9" x14ac:dyDescent="0.25">
      <c r="A3499" s="242">
        <v>42912</v>
      </c>
      <c r="B3499" s="18">
        <v>117600</v>
      </c>
      <c r="C3499" s="235" t="s">
        <v>19677</v>
      </c>
      <c r="D3499" s="236" t="s">
        <v>19697</v>
      </c>
      <c r="E3499" s="15">
        <v>955.7</v>
      </c>
      <c r="F3499" s="237">
        <v>42913</v>
      </c>
      <c r="G3499" s="15">
        <v>955.7</v>
      </c>
      <c r="H3499" s="15">
        <f t="shared" si="54"/>
        <v>0</v>
      </c>
      <c r="I3499" s="236" t="s">
        <v>19682</v>
      </c>
    </row>
    <row r="3500" spans="1:9" x14ac:dyDescent="0.25">
      <c r="A3500" s="36">
        <v>42912</v>
      </c>
      <c r="B3500" s="18">
        <v>117601</v>
      </c>
      <c r="C3500" s="235" t="s">
        <v>19677</v>
      </c>
      <c r="D3500" s="236" t="s">
        <v>15448</v>
      </c>
      <c r="E3500" s="15">
        <v>360</v>
      </c>
      <c r="F3500" s="237">
        <v>42914</v>
      </c>
      <c r="G3500" s="15">
        <v>360</v>
      </c>
      <c r="H3500" s="15">
        <f t="shared" si="54"/>
        <v>0</v>
      </c>
      <c r="I3500" s="236" t="s">
        <v>19682</v>
      </c>
    </row>
    <row r="3501" spans="1:9" x14ac:dyDescent="0.25">
      <c r="A3501" s="242">
        <v>42912</v>
      </c>
      <c r="B3501" s="18">
        <v>117602</v>
      </c>
      <c r="C3501" s="235" t="s">
        <v>19677</v>
      </c>
      <c r="D3501" s="236" t="s">
        <v>15444</v>
      </c>
      <c r="E3501" s="15">
        <v>2400</v>
      </c>
      <c r="F3501" s="237">
        <v>42914</v>
      </c>
      <c r="G3501" s="15">
        <v>2400</v>
      </c>
      <c r="H3501" s="15">
        <f t="shared" si="54"/>
        <v>0</v>
      </c>
      <c r="I3501" s="236" t="s">
        <v>19682</v>
      </c>
    </row>
    <row r="3502" spans="1:9" x14ac:dyDescent="0.25">
      <c r="A3502" s="36">
        <v>42912</v>
      </c>
      <c r="B3502" s="18">
        <v>117603</v>
      </c>
      <c r="C3502" s="235" t="s">
        <v>19677</v>
      </c>
      <c r="D3502" s="236" t="s">
        <v>19680</v>
      </c>
      <c r="E3502" s="15">
        <v>120</v>
      </c>
      <c r="F3502" s="237">
        <v>42912</v>
      </c>
      <c r="G3502" s="15">
        <v>120</v>
      </c>
      <c r="H3502" s="15">
        <f t="shared" si="54"/>
        <v>0</v>
      </c>
      <c r="I3502" s="236" t="s">
        <v>19682</v>
      </c>
    </row>
    <row r="3503" spans="1:9" x14ac:dyDescent="0.25">
      <c r="A3503" s="242">
        <v>42912</v>
      </c>
      <c r="B3503" s="18">
        <v>117604</v>
      </c>
      <c r="C3503" s="235" t="s">
        <v>19677</v>
      </c>
      <c r="D3503" s="236" t="s">
        <v>15246</v>
      </c>
      <c r="E3503" s="15">
        <v>50115.199999999997</v>
      </c>
      <c r="F3503" s="237">
        <v>42916</v>
      </c>
      <c r="G3503" s="15">
        <v>50115.199999999997</v>
      </c>
      <c r="H3503" s="15">
        <f t="shared" si="54"/>
        <v>0</v>
      </c>
      <c r="I3503" s="236" t="s">
        <v>19682</v>
      </c>
    </row>
    <row r="3504" spans="1:9" x14ac:dyDescent="0.25">
      <c r="A3504" s="36">
        <v>42913</v>
      </c>
      <c r="B3504" s="18">
        <v>117605</v>
      </c>
      <c r="C3504" s="235" t="s">
        <v>19677</v>
      </c>
      <c r="D3504" s="236" t="s">
        <v>15213</v>
      </c>
      <c r="E3504" s="15">
        <v>9949.1</v>
      </c>
      <c r="F3504" s="237">
        <v>42915</v>
      </c>
      <c r="G3504" s="15">
        <v>9949.1</v>
      </c>
      <c r="H3504" s="15">
        <f t="shared" si="54"/>
        <v>0</v>
      </c>
      <c r="I3504" s="236" t="s">
        <v>19682</v>
      </c>
    </row>
    <row r="3505" spans="1:9" x14ac:dyDescent="0.25">
      <c r="A3505" s="242">
        <v>42913</v>
      </c>
      <c r="B3505" s="18">
        <v>117606</v>
      </c>
      <c r="C3505" s="235" t="s">
        <v>19677</v>
      </c>
      <c r="D3505" s="236" t="s">
        <v>15213</v>
      </c>
      <c r="E3505" s="15">
        <v>29192.6</v>
      </c>
      <c r="F3505" s="237">
        <v>42915</v>
      </c>
      <c r="G3505" s="15">
        <v>29192.6</v>
      </c>
      <c r="H3505" s="15">
        <f t="shared" si="54"/>
        <v>0</v>
      </c>
      <c r="I3505" s="236" t="s">
        <v>19682</v>
      </c>
    </row>
    <row r="3506" spans="1:9" x14ac:dyDescent="0.25">
      <c r="A3506" s="36">
        <v>42913</v>
      </c>
      <c r="B3506" s="18">
        <v>117607</v>
      </c>
      <c r="C3506" s="235" t="s">
        <v>19677</v>
      </c>
      <c r="D3506" s="236" t="s">
        <v>15213</v>
      </c>
      <c r="E3506" s="15">
        <v>747.6</v>
      </c>
      <c r="F3506" s="237">
        <v>42915</v>
      </c>
      <c r="G3506" s="15">
        <v>747.6</v>
      </c>
      <c r="H3506" s="15">
        <f t="shared" si="54"/>
        <v>0</v>
      </c>
      <c r="I3506" s="236" t="s">
        <v>19682</v>
      </c>
    </row>
    <row r="3507" spans="1:9" x14ac:dyDescent="0.25">
      <c r="A3507" s="242">
        <v>42913</v>
      </c>
      <c r="B3507" s="18">
        <v>117608</v>
      </c>
      <c r="C3507" s="235" t="s">
        <v>19677</v>
      </c>
      <c r="D3507" s="236" t="s">
        <v>15448</v>
      </c>
      <c r="E3507" s="15">
        <v>60270</v>
      </c>
      <c r="F3507" s="237">
        <v>42917</v>
      </c>
      <c r="G3507" s="15">
        <v>60270</v>
      </c>
      <c r="H3507" s="15">
        <f t="shared" si="54"/>
        <v>0</v>
      </c>
      <c r="I3507" s="236" t="s">
        <v>19682</v>
      </c>
    </row>
    <row r="3508" spans="1:9" x14ac:dyDescent="0.25">
      <c r="A3508" s="36">
        <v>42913</v>
      </c>
      <c r="B3508" s="18">
        <v>117609</v>
      </c>
      <c r="C3508" s="235" t="s">
        <v>19677</v>
      </c>
      <c r="D3508" s="236" t="s">
        <v>15315</v>
      </c>
      <c r="E3508" s="15">
        <v>1726</v>
      </c>
      <c r="F3508" s="237">
        <v>42913</v>
      </c>
      <c r="G3508" s="15">
        <v>1726</v>
      </c>
      <c r="H3508" s="15">
        <f t="shared" si="54"/>
        <v>0</v>
      </c>
      <c r="I3508" s="236" t="s">
        <v>19682</v>
      </c>
    </row>
    <row r="3509" spans="1:9" x14ac:dyDescent="0.25">
      <c r="A3509" s="242">
        <v>42913</v>
      </c>
      <c r="B3509" s="18">
        <v>117610</v>
      </c>
      <c r="C3509" s="235" t="s">
        <v>19677</v>
      </c>
      <c r="D3509" s="236" t="s">
        <v>15272</v>
      </c>
      <c r="E3509" s="15">
        <v>16233.5</v>
      </c>
      <c r="F3509" s="237">
        <v>42913</v>
      </c>
      <c r="G3509" s="15">
        <v>16233.5</v>
      </c>
      <c r="H3509" s="15">
        <f t="shared" si="54"/>
        <v>0</v>
      </c>
      <c r="I3509" s="236" t="s">
        <v>19682</v>
      </c>
    </row>
    <row r="3510" spans="1:9" x14ac:dyDescent="0.25">
      <c r="A3510" s="36">
        <v>42913</v>
      </c>
      <c r="B3510" s="18">
        <v>117611</v>
      </c>
      <c r="C3510" s="235" t="s">
        <v>19677</v>
      </c>
      <c r="D3510" s="236" t="s">
        <v>15213</v>
      </c>
      <c r="E3510" s="15">
        <v>2720</v>
      </c>
      <c r="F3510" s="237">
        <v>42915</v>
      </c>
      <c r="G3510" s="15">
        <v>2720</v>
      </c>
      <c r="H3510" s="15">
        <f t="shared" si="54"/>
        <v>0</v>
      </c>
      <c r="I3510" s="236" t="s">
        <v>19682</v>
      </c>
    </row>
    <row r="3511" spans="1:9" x14ac:dyDescent="0.25">
      <c r="A3511" s="242">
        <v>42913</v>
      </c>
      <c r="B3511" s="18">
        <v>117612</v>
      </c>
      <c r="C3511" s="235" t="s">
        <v>19677</v>
      </c>
      <c r="D3511" s="236" t="s">
        <v>15252</v>
      </c>
      <c r="E3511" s="15">
        <v>317.39999999999998</v>
      </c>
      <c r="F3511" s="237">
        <v>42913</v>
      </c>
      <c r="G3511" s="15">
        <v>317.39999999999998</v>
      </c>
      <c r="H3511" s="15">
        <f t="shared" si="54"/>
        <v>0</v>
      </c>
      <c r="I3511" s="236" t="s">
        <v>19682</v>
      </c>
    </row>
    <row r="3512" spans="1:9" x14ac:dyDescent="0.25">
      <c r="A3512" s="36">
        <v>42913</v>
      </c>
      <c r="B3512" s="18">
        <v>117613</v>
      </c>
      <c r="C3512" s="235" t="s">
        <v>19677</v>
      </c>
      <c r="D3512" s="236" t="s">
        <v>15348</v>
      </c>
      <c r="E3512" s="15">
        <v>418.2</v>
      </c>
      <c r="F3512" s="237">
        <v>42914</v>
      </c>
      <c r="G3512" s="15">
        <v>418.2</v>
      </c>
      <c r="H3512" s="15">
        <f t="shared" si="54"/>
        <v>0</v>
      </c>
      <c r="I3512" s="236" t="s">
        <v>19682</v>
      </c>
    </row>
    <row r="3513" spans="1:9" x14ac:dyDescent="0.25">
      <c r="A3513" s="242">
        <v>42913</v>
      </c>
      <c r="B3513" s="18">
        <v>117614</v>
      </c>
      <c r="C3513" s="235" t="s">
        <v>19677</v>
      </c>
      <c r="D3513" s="236" t="s">
        <v>15244</v>
      </c>
      <c r="E3513" s="15">
        <v>6696</v>
      </c>
      <c r="F3513" s="237">
        <v>42913</v>
      </c>
      <c r="G3513" s="15">
        <v>6696</v>
      </c>
      <c r="H3513" s="15">
        <f t="shared" si="54"/>
        <v>0</v>
      </c>
      <c r="I3513" s="236" t="s">
        <v>19682</v>
      </c>
    </row>
    <row r="3514" spans="1:9" x14ac:dyDescent="0.25">
      <c r="A3514" s="36">
        <v>42913</v>
      </c>
      <c r="B3514" s="18">
        <v>117615</v>
      </c>
      <c r="C3514" s="235" t="s">
        <v>19677</v>
      </c>
      <c r="D3514" s="236" t="s">
        <v>15240</v>
      </c>
      <c r="E3514" s="15">
        <v>3410</v>
      </c>
      <c r="F3514" s="237">
        <v>42914</v>
      </c>
      <c r="G3514" s="15">
        <v>3410</v>
      </c>
      <c r="H3514" s="15">
        <f t="shared" si="54"/>
        <v>0</v>
      </c>
      <c r="I3514" s="236" t="s">
        <v>19682</v>
      </c>
    </row>
    <row r="3515" spans="1:9" x14ac:dyDescent="0.25">
      <c r="A3515" s="242">
        <v>42913</v>
      </c>
      <c r="B3515" s="18">
        <v>117616</v>
      </c>
      <c r="C3515" s="235" t="s">
        <v>19677</v>
      </c>
      <c r="D3515" s="236" t="s">
        <v>15263</v>
      </c>
      <c r="E3515" s="15">
        <v>2523</v>
      </c>
      <c r="F3515" s="237">
        <v>42913</v>
      </c>
      <c r="G3515" s="15">
        <v>2523</v>
      </c>
      <c r="H3515" s="15">
        <f t="shared" si="54"/>
        <v>0</v>
      </c>
      <c r="I3515" s="236" t="s">
        <v>19682</v>
      </c>
    </row>
    <row r="3516" spans="1:9" x14ac:dyDescent="0.25">
      <c r="A3516" s="36">
        <v>42913</v>
      </c>
      <c r="B3516" s="18">
        <v>117617</v>
      </c>
      <c r="C3516" s="235" t="s">
        <v>19677</v>
      </c>
      <c r="D3516" s="236" t="s">
        <v>15223</v>
      </c>
      <c r="E3516" s="15">
        <v>52704</v>
      </c>
      <c r="F3516" s="266" t="s">
        <v>19805</v>
      </c>
      <c r="G3516" s="133">
        <f>35370.55+17333.45</f>
        <v>52704</v>
      </c>
      <c r="H3516" s="241">
        <f t="shared" si="54"/>
        <v>0</v>
      </c>
      <c r="I3516" s="236" t="s">
        <v>19682</v>
      </c>
    </row>
    <row r="3517" spans="1:9" x14ac:dyDescent="0.25">
      <c r="A3517" s="242">
        <v>42913</v>
      </c>
      <c r="B3517" s="18">
        <v>117618</v>
      </c>
      <c r="C3517" s="235" t="s">
        <v>19677</v>
      </c>
      <c r="D3517" s="236" t="s">
        <v>15250</v>
      </c>
      <c r="E3517" s="15">
        <v>39432.199999999997</v>
      </c>
      <c r="F3517" s="237" t="s">
        <v>19804</v>
      </c>
      <c r="G3517" s="241">
        <f>12089.19+27343.01</f>
        <v>39432.199999999997</v>
      </c>
      <c r="H3517" s="241">
        <f t="shared" si="54"/>
        <v>0</v>
      </c>
      <c r="I3517" s="236" t="s">
        <v>19682</v>
      </c>
    </row>
    <row r="3518" spans="1:9" x14ac:dyDescent="0.25">
      <c r="A3518" s="36">
        <v>42913</v>
      </c>
      <c r="B3518" s="18">
        <v>117619</v>
      </c>
      <c r="C3518" s="235" t="s">
        <v>19677</v>
      </c>
      <c r="D3518" s="236" t="s">
        <v>17462</v>
      </c>
      <c r="E3518" s="15">
        <v>4950.3999999999996</v>
      </c>
      <c r="F3518" s="237">
        <v>42913</v>
      </c>
      <c r="G3518" s="15">
        <v>4950.3999999999996</v>
      </c>
      <c r="H3518" s="15">
        <f t="shared" si="54"/>
        <v>0</v>
      </c>
      <c r="I3518" s="236" t="s">
        <v>19682</v>
      </c>
    </row>
    <row r="3519" spans="1:9" x14ac:dyDescent="0.25">
      <c r="A3519" s="242">
        <v>42913</v>
      </c>
      <c r="B3519" s="18">
        <v>117620</v>
      </c>
      <c r="C3519" s="235" t="s">
        <v>19677</v>
      </c>
      <c r="D3519" s="236" t="s">
        <v>15480</v>
      </c>
      <c r="E3519" s="15">
        <v>3892.4</v>
      </c>
      <c r="F3519" s="237">
        <v>42917</v>
      </c>
      <c r="G3519" s="15">
        <v>3892.4</v>
      </c>
      <c r="H3519" s="15">
        <f t="shared" si="54"/>
        <v>0</v>
      </c>
      <c r="I3519" s="236" t="s">
        <v>19682</v>
      </c>
    </row>
    <row r="3520" spans="1:9" x14ac:dyDescent="0.25">
      <c r="A3520" s="36">
        <v>42913</v>
      </c>
      <c r="B3520" s="18">
        <v>117621</v>
      </c>
      <c r="C3520" s="235" t="s">
        <v>19677</v>
      </c>
      <c r="D3520" s="236" t="s">
        <v>5575</v>
      </c>
      <c r="E3520" s="15">
        <v>3556.4</v>
      </c>
      <c r="F3520" s="237">
        <v>42914</v>
      </c>
      <c r="G3520" s="15">
        <v>3556.4</v>
      </c>
      <c r="H3520" s="15">
        <f t="shared" si="54"/>
        <v>0</v>
      </c>
      <c r="I3520" s="236" t="s">
        <v>19682</v>
      </c>
    </row>
    <row r="3521" spans="1:9" x14ac:dyDescent="0.25">
      <c r="A3521" s="242">
        <v>42913</v>
      </c>
      <c r="B3521" s="18">
        <v>117622</v>
      </c>
      <c r="C3521" s="235" t="s">
        <v>19677</v>
      </c>
      <c r="D3521" s="236" t="s">
        <v>15236</v>
      </c>
      <c r="E3521" s="15">
        <v>3496</v>
      </c>
      <c r="F3521" s="237">
        <v>42916</v>
      </c>
      <c r="G3521" s="15">
        <v>3496</v>
      </c>
      <c r="H3521" s="15">
        <f t="shared" si="54"/>
        <v>0</v>
      </c>
      <c r="I3521" s="236" t="s">
        <v>19682</v>
      </c>
    </row>
    <row r="3522" spans="1:9" x14ac:dyDescent="0.25">
      <c r="A3522" s="36">
        <v>42913</v>
      </c>
      <c r="B3522" s="18">
        <v>117623</v>
      </c>
      <c r="C3522" s="235" t="s">
        <v>19677</v>
      </c>
      <c r="D3522" s="236" t="s">
        <v>15284</v>
      </c>
      <c r="E3522" s="15">
        <v>4776.3</v>
      </c>
      <c r="F3522" s="237">
        <v>42913</v>
      </c>
      <c r="G3522" s="15">
        <v>4776.3</v>
      </c>
      <c r="H3522" s="15">
        <f t="shared" ref="H3522:H3585" si="55">E3522-G3522</f>
        <v>0</v>
      </c>
      <c r="I3522" s="236" t="s">
        <v>19682</v>
      </c>
    </row>
    <row r="3523" spans="1:9" ht="30" x14ac:dyDescent="0.25">
      <c r="A3523" s="242">
        <v>42913</v>
      </c>
      <c r="B3523" s="18">
        <v>117624</v>
      </c>
      <c r="C3523" s="235" t="s">
        <v>19677</v>
      </c>
      <c r="D3523" s="236" t="s">
        <v>15668</v>
      </c>
      <c r="E3523" s="15">
        <v>18262.3</v>
      </c>
      <c r="F3523" s="266" t="s">
        <v>19803</v>
      </c>
      <c r="G3523" s="133">
        <f>10000+7873.8+388.5</f>
        <v>18262.3</v>
      </c>
      <c r="H3523" s="133">
        <f t="shared" si="55"/>
        <v>0</v>
      </c>
      <c r="I3523" s="236" t="s">
        <v>19682</v>
      </c>
    </row>
    <row r="3524" spans="1:9" x14ac:dyDescent="0.25">
      <c r="A3524" s="36">
        <v>42913</v>
      </c>
      <c r="B3524" s="18">
        <v>117625</v>
      </c>
      <c r="C3524" s="235" t="s">
        <v>19677</v>
      </c>
      <c r="D3524" s="236" t="s">
        <v>15258</v>
      </c>
      <c r="E3524" s="15">
        <v>14144</v>
      </c>
      <c r="F3524" s="237" t="s">
        <v>19789</v>
      </c>
      <c r="G3524" s="241">
        <f>7000+7144</f>
        <v>14144</v>
      </c>
      <c r="H3524" s="241">
        <f t="shared" si="55"/>
        <v>0</v>
      </c>
      <c r="I3524" s="236" t="s">
        <v>19682</v>
      </c>
    </row>
    <row r="3525" spans="1:9" x14ac:dyDescent="0.25">
      <c r="A3525" s="242">
        <v>42913</v>
      </c>
      <c r="B3525" s="18">
        <v>117626</v>
      </c>
      <c r="C3525" s="235" t="s">
        <v>19677</v>
      </c>
      <c r="D3525" s="236" t="s">
        <v>15234</v>
      </c>
      <c r="E3525" s="15">
        <v>3312</v>
      </c>
      <c r="F3525" s="237">
        <v>42916</v>
      </c>
      <c r="G3525" s="15">
        <v>3312</v>
      </c>
      <c r="H3525" s="15">
        <f t="shared" si="55"/>
        <v>0</v>
      </c>
      <c r="I3525" s="236" t="s">
        <v>19682</v>
      </c>
    </row>
    <row r="3526" spans="1:9" x14ac:dyDescent="0.25">
      <c r="A3526" s="36">
        <v>42913</v>
      </c>
      <c r="B3526" s="18">
        <v>117627</v>
      </c>
      <c r="C3526" s="235" t="s">
        <v>19677</v>
      </c>
      <c r="D3526" s="236" t="s">
        <v>15230</v>
      </c>
      <c r="E3526" s="15">
        <v>8692</v>
      </c>
      <c r="F3526" s="237">
        <v>42915</v>
      </c>
      <c r="G3526" s="15">
        <v>8692</v>
      </c>
      <c r="H3526" s="15">
        <f t="shared" si="55"/>
        <v>0</v>
      </c>
      <c r="I3526" s="236" t="s">
        <v>19682</v>
      </c>
    </row>
    <row r="3527" spans="1:9" x14ac:dyDescent="0.25">
      <c r="A3527" s="242">
        <v>42913</v>
      </c>
      <c r="B3527" s="18">
        <v>117628</v>
      </c>
      <c r="C3527" s="235" t="s">
        <v>19677</v>
      </c>
      <c r="D3527" s="236" t="s">
        <v>15232</v>
      </c>
      <c r="E3527" s="15">
        <v>6059.8</v>
      </c>
      <c r="F3527" s="237">
        <v>42915</v>
      </c>
      <c r="G3527" s="15">
        <v>6059.8</v>
      </c>
      <c r="H3527" s="15">
        <f t="shared" si="55"/>
        <v>0</v>
      </c>
      <c r="I3527" s="236" t="s">
        <v>19682</v>
      </c>
    </row>
    <row r="3528" spans="1:9" x14ac:dyDescent="0.25">
      <c r="A3528" s="36">
        <v>42913</v>
      </c>
      <c r="B3528" s="18">
        <v>117629</v>
      </c>
      <c r="C3528" s="235" t="s">
        <v>19677</v>
      </c>
      <c r="D3528" s="236" t="s">
        <v>15238</v>
      </c>
      <c r="E3528" s="15">
        <v>1686</v>
      </c>
      <c r="F3528" s="237">
        <v>42915</v>
      </c>
      <c r="G3528" s="15">
        <v>1686</v>
      </c>
      <c r="H3528" s="15">
        <f t="shared" si="55"/>
        <v>0</v>
      </c>
      <c r="I3528" s="236" t="s">
        <v>19682</v>
      </c>
    </row>
    <row r="3529" spans="1:9" x14ac:dyDescent="0.25">
      <c r="A3529" s="242">
        <v>42913</v>
      </c>
      <c r="B3529" s="18">
        <v>117630</v>
      </c>
      <c r="C3529" s="235" t="s">
        <v>19677</v>
      </c>
      <c r="D3529" s="236" t="s">
        <v>15356</v>
      </c>
      <c r="E3529" s="15">
        <v>1106.7</v>
      </c>
      <c r="F3529" s="237">
        <v>42913</v>
      </c>
      <c r="G3529" s="15">
        <v>1106.7</v>
      </c>
      <c r="H3529" s="15">
        <f t="shared" si="55"/>
        <v>0</v>
      </c>
      <c r="I3529" s="236" t="s">
        <v>19682</v>
      </c>
    </row>
    <row r="3530" spans="1:9" x14ac:dyDescent="0.25">
      <c r="A3530" s="36">
        <v>42913</v>
      </c>
      <c r="B3530" s="18">
        <v>117631</v>
      </c>
      <c r="C3530" s="235" t="s">
        <v>19677</v>
      </c>
      <c r="D3530" s="236" t="s">
        <v>15742</v>
      </c>
      <c r="E3530" s="15">
        <v>2005</v>
      </c>
      <c r="F3530" s="237">
        <v>42913</v>
      </c>
      <c r="G3530" s="15">
        <v>2005</v>
      </c>
      <c r="H3530" s="15">
        <f t="shared" si="55"/>
        <v>0</v>
      </c>
      <c r="I3530" s="236" t="s">
        <v>19682</v>
      </c>
    </row>
    <row r="3531" spans="1:9" x14ac:dyDescent="0.25">
      <c r="A3531" s="242">
        <v>42913</v>
      </c>
      <c r="B3531" s="18">
        <v>117632</v>
      </c>
      <c r="C3531" s="235" t="s">
        <v>19677</v>
      </c>
      <c r="D3531" s="236" t="s">
        <v>15523</v>
      </c>
      <c r="E3531" s="15">
        <v>984.9</v>
      </c>
      <c r="F3531" s="237">
        <v>42913</v>
      </c>
      <c r="G3531" s="15">
        <v>984.9</v>
      </c>
      <c r="H3531" s="15">
        <f t="shared" si="55"/>
        <v>0</v>
      </c>
      <c r="I3531" s="236" t="s">
        <v>19682</v>
      </c>
    </row>
    <row r="3532" spans="1:9" x14ac:dyDescent="0.25">
      <c r="A3532" s="36">
        <v>42913</v>
      </c>
      <c r="B3532" s="18">
        <v>117633</v>
      </c>
      <c r="C3532" s="235" t="s">
        <v>19677</v>
      </c>
      <c r="D3532" s="236" t="s">
        <v>15350</v>
      </c>
      <c r="E3532" s="15">
        <v>735</v>
      </c>
      <c r="F3532" s="237">
        <v>42913</v>
      </c>
      <c r="G3532" s="15">
        <v>735</v>
      </c>
      <c r="H3532" s="15">
        <f t="shared" si="55"/>
        <v>0</v>
      </c>
      <c r="I3532" s="236" t="s">
        <v>19682</v>
      </c>
    </row>
    <row r="3533" spans="1:9" x14ac:dyDescent="0.25">
      <c r="A3533" s="242">
        <v>42913</v>
      </c>
      <c r="B3533" s="18">
        <v>117634</v>
      </c>
      <c r="C3533" s="235" t="s">
        <v>19677</v>
      </c>
      <c r="D3533" s="236" t="s">
        <v>15256</v>
      </c>
      <c r="E3533" s="15">
        <v>2474.8000000000002</v>
      </c>
      <c r="F3533" s="237">
        <v>42915</v>
      </c>
      <c r="G3533" s="15">
        <v>2474.8000000000002</v>
      </c>
      <c r="H3533" s="15">
        <f t="shared" si="55"/>
        <v>0</v>
      </c>
      <c r="I3533" s="236" t="s">
        <v>19682</v>
      </c>
    </row>
    <row r="3534" spans="1:9" x14ac:dyDescent="0.25">
      <c r="A3534" s="36">
        <v>42913</v>
      </c>
      <c r="B3534" s="18">
        <v>117635</v>
      </c>
      <c r="C3534" s="235" t="s">
        <v>19677</v>
      </c>
      <c r="D3534" s="236" t="s">
        <v>15336</v>
      </c>
      <c r="E3534" s="15">
        <v>1836</v>
      </c>
      <c r="F3534" s="237">
        <v>42913</v>
      </c>
      <c r="G3534" s="15">
        <v>1836</v>
      </c>
      <c r="H3534" s="15">
        <f t="shared" si="55"/>
        <v>0</v>
      </c>
      <c r="I3534" s="236" t="s">
        <v>19682</v>
      </c>
    </row>
    <row r="3535" spans="1:9" x14ac:dyDescent="0.25">
      <c r="A3535" s="242">
        <v>42913</v>
      </c>
      <c r="B3535" s="18">
        <v>117636</v>
      </c>
      <c r="C3535" s="235" t="s">
        <v>19677</v>
      </c>
      <c r="D3535" s="236" t="s">
        <v>15226</v>
      </c>
      <c r="E3535" s="15">
        <v>1835</v>
      </c>
      <c r="F3535" s="237">
        <v>42916</v>
      </c>
      <c r="G3535" s="15">
        <v>1835</v>
      </c>
      <c r="H3535" s="15">
        <f t="shared" si="55"/>
        <v>0</v>
      </c>
      <c r="I3535" s="236" t="s">
        <v>19682</v>
      </c>
    </row>
    <row r="3536" spans="1:9" x14ac:dyDescent="0.25">
      <c r="A3536" s="36">
        <v>42913</v>
      </c>
      <c r="B3536" s="18">
        <v>117637</v>
      </c>
      <c r="C3536" s="235" t="s">
        <v>19677</v>
      </c>
      <c r="D3536" s="236" t="s">
        <v>15526</v>
      </c>
      <c r="E3536" s="15">
        <v>2289.9</v>
      </c>
      <c r="F3536" s="237">
        <v>42913</v>
      </c>
      <c r="G3536" s="15">
        <v>2289.9</v>
      </c>
      <c r="H3536" s="15">
        <f t="shared" si="55"/>
        <v>0</v>
      </c>
      <c r="I3536" s="236" t="s">
        <v>19682</v>
      </c>
    </row>
    <row r="3537" spans="1:9" x14ac:dyDescent="0.25">
      <c r="A3537" s="242">
        <v>42913</v>
      </c>
      <c r="B3537" s="18">
        <v>117638</v>
      </c>
      <c r="C3537" s="235" t="s">
        <v>19677</v>
      </c>
      <c r="D3537" s="236" t="s">
        <v>17210</v>
      </c>
      <c r="E3537" s="15">
        <v>4549.2</v>
      </c>
      <c r="F3537" s="237">
        <v>42913</v>
      </c>
      <c r="G3537" s="15">
        <v>4549.2</v>
      </c>
      <c r="H3537" s="15">
        <f t="shared" si="55"/>
        <v>0</v>
      </c>
      <c r="I3537" s="236" t="s">
        <v>19682</v>
      </c>
    </row>
    <row r="3538" spans="1:9" x14ac:dyDescent="0.25">
      <c r="A3538" s="36">
        <v>42913</v>
      </c>
      <c r="B3538" s="18">
        <v>117639</v>
      </c>
      <c r="C3538" s="235" t="s">
        <v>19677</v>
      </c>
      <c r="D3538" s="236" t="s">
        <v>15526</v>
      </c>
      <c r="E3538" s="15">
        <v>3029.4</v>
      </c>
      <c r="F3538" s="237">
        <v>42913</v>
      </c>
      <c r="G3538" s="15">
        <v>3029.4</v>
      </c>
      <c r="H3538" s="15">
        <f t="shared" si="55"/>
        <v>0</v>
      </c>
      <c r="I3538" s="236" t="s">
        <v>19682</v>
      </c>
    </row>
    <row r="3539" spans="1:9" x14ac:dyDescent="0.25">
      <c r="A3539" s="242">
        <v>42913</v>
      </c>
      <c r="B3539" s="18">
        <v>117640</v>
      </c>
      <c r="C3539" s="235" t="s">
        <v>19677</v>
      </c>
      <c r="D3539" s="236" t="s">
        <v>18544</v>
      </c>
      <c r="E3539" s="15">
        <v>6413.4</v>
      </c>
      <c r="F3539" s="237">
        <v>42913</v>
      </c>
      <c r="G3539" s="15">
        <v>6413.4</v>
      </c>
      <c r="H3539" s="15">
        <f t="shared" si="55"/>
        <v>0</v>
      </c>
      <c r="I3539" s="236" t="s">
        <v>19682</v>
      </c>
    </row>
    <row r="3540" spans="1:9" x14ac:dyDescent="0.25">
      <c r="A3540" s="36">
        <v>42913</v>
      </c>
      <c r="B3540" s="18">
        <v>117641</v>
      </c>
      <c r="C3540" s="235" t="s">
        <v>19677</v>
      </c>
      <c r="D3540" s="236" t="s">
        <v>15391</v>
      </c>
      <c r="E3540" s="15">
        <v>8325</v>
      </c>
      <c r="F3540" s="237">
        <v>42915</v>
      </c>
      <c r="G3540" s="15">
        <v>8325</v>
      </c>
      <c r="H3540" s="15">
        <f t="shared" si="55"/>
        <v>0</v>
      </c>
      <c r="I3540" s="236" t="s">
        <v>19682</v>
      </c>
    </row>
    <row r="3541" spans="1:9" x14ac:dyDescent="0.25">
      <c r="A3541" s="242">
        <v>42913</v>
      </c>
      <c r="B3541" s="18">
        <v>117642</v>
      </c>
      <c r="C3541" s="235" t="s">
        <v>19677</v>
      </c>
      <c r="D3541" s="236" t="s">
        <v>15361</v>
      </c>
      <c r="E3541" s="15">
        <v>5513</v>
      </c>
      <c r="F3541" s="237">
        <v>42913</v>
      </c>
      <c r="G3541" s="15">
        <v>5513</v>
      </c>
      <c r="H3541" s="15">
        <f t="shared" si="55"/>
        <v>0</v>
      </c>
      <c r="I3541" s="236" t="s">
        <v>19682</v>
      </c>
    </row>
    <row r="3542" spans="1:9" x14ac:dyDescent="0.25">
      <c r="A3542" s="36">
        <v>42913</v>
      </c>
      <c r="B3542" s="18">
        <v>117643</v>
      </c>
      <c r="C3542" s="235" t="s">
        <v>19677</v>
      </c>
      <c r="D3542" s="236" t="s">
        <v>15315</v>
      </c>
      <c r="E3542" s="15">
        <v>1484.8</v>
      </c>
      <c r="F3542" s="237">
        <v>42913</v>
      </c>
      <c r="G3542" s="15">
        <v>1484.8</v>
      </c>
      <c r="H3542" s="15">
        <f t="shared" si="55"/>
        <v>0</v>
      </c>
      <c r="I3542" s="236" t="s">
        <v>19682</v>
      </c>
    </row>
    <row r="3543" spans="1:9" x14ac:dyDescent="0.25">
      <c r="A3543" s="242">
        <v>42913</v>
      </c>
      <c r="B3543" s="18">
        <v>117644</v>
      </c>
      <c r="C3543" s="235" t="s">
        <v>19677</v>
      </c>
      <c r="D3543" s="236" t="s">
        <v>15265</v>
      </c>
      <c r="E3543" s="15">
        <v>2528.4</v>
      </c>
      <c r="F3543" s="237">
        <v>42916</v>
      </c>
      <c r="G3543" s="15">
        <v>2528.4</v>
      </c>
      <c r="H3543" s="15">
        <f t="shared" si="55"/>
        <v>0</v>
      </c>
      <c r="I3543" s="236" t="s">
        <v>19682</v>
      </c>
    </row>
    <row r="3544" spans="1:9" x14ac:dyDescent="0.25">
      <c r="A3544" s="36">
        <v>42913</v>
      </c>
      <c r="B3544" s="18">
        <v>117645</v>
      </c>
      <c r="C3544" s="235" t="s">
        <v>19677</v>
      </c>
      <c r="D3544" s="236" t="s">
        <v>17235</v>
      </c>
      <c r="E3544" s="15">
        <v>735</v>
      </c>
      <c r="F3544" s="237">
        <v>42913</v>
      </c>
      <c r="G3544" s="15">
        <v>735</v>
      </c>
      <c r="H3544" s="15">
        <f t="shared" si="55"/>
        <v>0</v>
      </c>
      <c r="I3544" s="236" t="s">
        <v>19682</v>
      </c>
    </row>
    <row r="3545" spans="1:9" x14ac:dyDescent="0.25">
      <c r="A3545" s="242">
        <v>42913</v>
      </c>
      <c r="B3545" s="18">
        <v>117646</v>
      </c>
      <c r="C3545" s="235" t="s">
        <v>19677</v>
      </c>
      <c r="D3545" s="236" t="s">
        <v>15594</v>
      </c>
      <c r="E3545" s="15">
        <v>2241.6</v>
      </c>
      <c r="F3545" s="237">
        <v>42913</v>
      </c>
      <c r="G3545" s="15">
        <v>2241.6</v>
      </c>
      <c r="H3545" s="15">
        <f t="shared" si="55"/>
        <v>0</v>
      </c>
      <c r="I3545" s="236" t="s">
        <v>19682</v>
      </c>
    </row>
    <row r="3546" spans="1:9" x14ac:dyDescent="0.25">
      <c r="A3546" s="36">
        <v>42913</v>
      </c>
      <c r="B3546" s="18">
        <v>117647</v>
      </c>
      <c r="C3546" s="235" t="s">
        <v>19677</v>
      </c>
      <c r="D3546" s="236" t="s">
        <v>15220</v>
      </c>
      <c r="E3546" s="15">
        <v>2695</v>
      </c>
      <c r="F3546" s="237">
        <v>42913</v>
      </c>
      <c r="G3546" s="15">
        <v>2695</v>
      </c>
      <c r="H3546" s="15">
        <f t="shared" si="55"/>
        <v>0</v>
      </c>
      <c r="I3546" s="236" t="s">
        <v>19682</v>
      </c>
    </row>
    <row r="3547" spans="1:9" x14ac:dyDescent="0.25">
      <c r="A3547" s="242">
        <v>42913</v>
      </c>
      <c r="B3547" s="18">
        <v>117648</v>
      </c>
      <c r="C3547" s="235" t="s">
        <v>19677</v>
      </c>
      <c r="D3547" s="236" t="s">
        <v>15324</v>
      </c>
      <c r="E3547" s="15">
        <v>1794.9</v>
      </c>
      <c r="F3547" s="237">
        <v>42913</v>
      </c>
      <c r="G3547" s="15">
        <v>1794.9</v>
      </c>
      <c r="H3547" s="15">
        <f t="shared" si="55"/>
        <v>0</v>
      </c>
      <c r="I3547" s="236" t="s">
        <v>19682</v>
      </c>
    </row>
    <row r="3548" spans="1:9" x14ac:dyDescent="0.25">
      <c r="A3548" s="36">
        <v>42913</v>
      </c>
      <c r="B3548" s="18">
        <v>117649</v>
      </c>
      <c r="C3548" s="235" t="s">
        <v>19677</v>
      </c>
      <c r="D3548" s="236" t="s">
        <v>15421</v>
      </c>
      <c r="E3548" s="15">
        <v>710</v>
      </c>
      <c r="F3548" s="237">
        <v>42913</v>
      </c>
      <c r="G3548" s="15">
        <v>710</v>
      </c>
      <c r="H3548" s="15">
        <f t="shared" si="55"/>
        <v>0</v>
      </c>
      <c r="I3548" s="236" t="s">
        <v>19682</v>
      </c>
    </row>
    <row r="3549" spans="1:9" x14ac:dyDescent="0.25">
      <c r="A3549" s="242">
        <v>42913</v>
      </c>
      <c r="B3549" s="18">
        <v>117650</v>
      </c>
      <c r="C3549" s="235" t="s">
        <v>19677</v>
      </c>
      <c r="D3549" s="236" t="s">
        <v>15298</v>
      </c>
      <c r="E3549" s="15">
        <v>3852</v>
      </c>
      <c r="F3549" s="237">
        <v>42913</v>
      </c>
      <c r="G3549" s="15">
        <v>3852</v>
      </c>
      <c r="H3549" s="15">
        <f t="shared" si="55"/>
        <v>0</v>
      </c>
      <c r="I3549" s="236" t="s">
        <v>19682</v>
      </c>
    </row>
    <row r="3550" spans="1:9" x14ac:dyDescent="0.25">
      <c r="A3550" s="36">
        <v>42913</v>
      </c>
      <c r="B3550" s="18">
        <v>117651</v>
      </c>
      <c r="C3550" s="235" t="s">
        <v>19677</v>
      </c>
      <c r="D3550" s="236" t="s">
        <v>15890</v>
      </c>
      <c r="E3550" s="15">
        <v>7050</v>
      </c>
      <c r="F3550" s="237">
        <v>42916</v>
      </c>
      <c r="G3550" s="15">
        <v>7050</v>
      </c>
      <c r="H3550" s="15">
        <f t="shared" si="55"/>
        <v>0</v>
      </c>
      <c r="I3550" s="236" t="s">
        <v>19682</v>
      </c>
    </row>
    <row r="3551" spans="1:9" x14ac:dyDescent="0.25">
      <c r="A3551" s="242">
        <v>42913</v>
      </c>
      <c r="B3551" s="18">
        <v>117652</v>
      </c>
      <c r="C3551" s="235" t="s">
        <v>19677</v>
      </c>
      <c r="D3551" s="236" t="s">
        <v>15289</v>
      </c>
      <c r="E3551" s="15">
        <v>970.2</v>
      </c>
      <c r="F3551" s="237">
        <v>42913</v>
      </c>
      <c r="G3551" s="15">
        <v>970.2</v>
      </c>
      <c r="H3551" s="15">
        <f t="shared" si="55"/>
        <v>0</v>
      </c>
      <c r="I3551" s="236" t="s">
        <v>19682</v>
      </c>
    </row>
    <row r="3552" spans="1:9" x14ac:dyDescent="0.25">
      <c r="A3552" s="36">
        <v>42913</v>
      </c>
      <c r="B3552" s="18">
        <v>117653</v>
      </c>
      <c r="C3552" s="235" t="s">
        <v>19677</v>
      </c>
      <c r="D3552" s="236" t="s">
        <v>15920</v>
      </c>
      <c r="E3552" s="15">
        <v>31515</v>
      </c>
      <c r="F3552" s="237">
        <v>42919</v>
      </c>
      <c r="G3552" s="15">
        <v>31515</v>
      </c>
      <c r="H3552" s="15">
        <f t="shared" si="55"/>
        <v>0</v>
      </c>
      <c r="I3552" s="236" t="s">
        <v>19682</v>
      </c>
    </row>
    <row r="3553" spans="1:9" x14ac:dyDescent="0.25">
      <c r="A3553" s="242">
        <v>42913</v>
      </c>
      <c r="B3553" s="18">
        <v>117654</v>
      </c>
      <c r="C3553" s="235" t="s">
        <v>19677</v>
      </c>
      <c r="D3553" s="236" t="s">
        <v>19775</v>
      </c>
      <c r="E3553" s="15">
        <v>3992</v>
      </c>
      <c r="F3553" s="237">
        <v>42913</v>
      </c>
      <c r="G3553" s="15">
        <v>3992</v>
      </c>
      <c r="H3553" s="15">
        <f t="shared" si="55"/>
        <v>0</v>
      </c>
      <c r="I3553" s="236" t="s">
        <v>19682</v>
      </c>
    </row>
    <row r="3554" spans="1:9" x14ac:dyDescent="0.25">
      <c r="A3554" s="36">
        <v>42913</v>
      </c>
      <c r="B3554" s="18">
        <v>117655</v>
      </c>
      <c r="C3554" s="235" t="s">
        <v>19677</v>
      </c>
      <c r="D3554" s="236" t="s">
        <v>15246</v>
      </c>
      <c r="E3554" s="15">
        <v>1707.3</v>
      </c>
      <c r="F3554" s="237">
        <v>42914</v>
      </c>
      <c r="G3554" s="15">
        <v>1707.3</v>
      </c>
      <c r="H3554" s="15">
        <f t="shared" si="55"/>
        <v>0</v>
      </c>
      <c r="I3554" s="236" t="s">
        <v>19682</v>
      </c>
    </row>
    <row r="3555" spans="1:9" x14ac:dyDescent="0.25">
      <c r="A3555" s="242">
        <v>42913</v>
      </c>
      <c r="B3555" s="18">
        <v>117656</v>
      </c>
      <c r="C3555" s="235" t="s">
        <v>19677</v>
      </c>
      <c r="D3555" s="236" t="s">
        <v>16116</v>
      </c>
      <c r="E3555" s="15">
        <v>27210.639999999999</v>
      </c>
      <c r="F3555" s="237">
        <v>42913</v>
      </c>
      <c r="G3555" s="15">
        <v>27210.639999999999</v>
      </c>
      <c r="H3555" s="15">
        <f t="shared" si="55"/>
        <v>0</v>
      </c>
      <c r="I3555" s="236" t="s">
        <v>19682</v>
      </c>
    </row>
    <row r="3556" spans="1:9" x14ac:dyDescent="0.25">
      <c r="A3556" s="36">
        <v>42913</v>
      </c>
      <c r="B3556" s="18">
        <v>117657</v>
      </c>
      <c r="C3556" s="235" t="s">
        <v>19677</v>
      </c>
      <c r="D3556" s="236" t="s">
        <v>15378</v>
      </c>
      <c r="E3556" s="15">
        <v>312.8</v>
      </c>
      <c r="F3556" s="237">
        <v>42913</v>
      </c>
      <c r="G3556" s="15">
        <v>312.8</v>
      </c>
      <c r="H3556" s="15">
        <f t="shared" si="55"/>
        <v>0</v>
      </c>
      <c r="I3556" s="236" t="s">
        <v>19682</v>
      </c>
    </row>
    <row r="3557" spans="1:9" x14ac:dyDescent="0.25">
      <c r="A3557" s="242">
        <v>42913</v>
      </c>
      <c r="B3557" s="18">
        <v>117658</v>
      </c>
      <c r="C3557" s="235" t="s">
        <v>19677</v>
      </c>
      <c r="D3557" s="236" t="s">
        <v>15307</v>
      </c>
      <c r="E3557" s="15">
        <v>4149.6000000000004</v>
      </c>
      <c r="F3557" s="237">
        <v>42913</v>
      </c>
      <c r="G3557" s="15">
        <v>4149.6000000000004</v>
      </c>
      <c r="H3557" s="15">
        <f t="shared" si="55"/>
        <v>0</v>
      </c>
      <c r="I3557" s="236" t="s">
        <v>19682</v>
      </c>
    </row>
    <row r="3558" spans="1:9" x14ac:dyDescent="0.25">
      <c r="A3558" s="36">
        <v>42913</v>
      </c>
      <c r="B3558" s="18">
        <v>117659</v>
      </c>
      <c r="C3558" s="235" t="s">
        <v>19677</v>
      </c>
      <c r="D3558" s="236" t="s">
        <v>15274</v>
      </c>
      <c r="E3558" s="15">
        <v>2450</v>
      </c>
      <c r="F3558" s="237">
        <v>42913</v>
      </c>
      <c r="G3558" s="15">
        <v>2450</v>
      </c>
      <c r="H3558" s="15">
        <f t="shared" si="55"/>
        <v>0</v>
      </c>
      <c r="I3558" s="236" t="s">
        <v>19682</v>
      </c>
    </row>
    <row r="3559" spans="1:9" x14ac:dyDescent="0.25">
      <c r="A3559" s="242">
        <v>42913</v>
      </c>
      <c r="B3559" s="18">
        <v>117660</v>
      </c>
      <c r="C3559" s="235" t="s">
        <v>19677</v>
      </c>
      <c r="D3559" s="236" t="s">
        <v>15291</v>
      </c>
      <c r="E3559" s="15">
        <v>686</v>
      </c>
      <c r="F3559" s="237">
        <v>42913</v>
      </c>
      <c r="G3559" s="15">
        <v>686</v>
      </c>
      <c r="H3559" s="15">
        <f t="shared" si="55"/>
        <v>0</v>
      </c>
      <c r="I3559" s="236" t="s">
        <v>19682</v>
      </c>
    </row>
    <row r="3560" spans="1:9" x14ac:dyDescent="0.25">
      <c r="A3560" s="36">
        <v>42913</v>
      </c>
      <c r="B3560" s="18">
        <v>117661</v>
      </c>
      <c r="C3560" s="235" t="s">
        <v>19677</v>
      </c>
      <c r="D3560" s="236" t="s">
        <v>15415</v>
      </c>
      <c r="E3560" s="15">
        <v>3090</v>
      </c>
      <c r="F3560" s="237">
        <v>42918</v>
      </c>
      <c r="G3560" s="15">
        <v>3090</v>
      </c>
      <c r="H3560" s="15">
        <f t="shared" si="55"/>
        <v>0</v>
      </c>
      <c r="I3560" s="236" t="s">
        <v>19682</v>
      </c>
    </row>
    <row r="3561" spans="1:9" x14ac:dyDescent="0.25">
      <c r="A3561" s="242">
        <v>42913</v>
      </c>
      <c r="B3561" s="18">
        <v>117662</v>
      </c>
      <c r="C3561" s="235" t="s">
        <v>19677</v>
      </c>
      <c r="D3561" s="236" t="s">
        <v>15274</v>
      </c>
      <c r="E3561" s="15">
        <v>1238.68</v>
      </c>
      <c r="F3561" s="237">
        <v>42913</v>
      </c>
      <c r="G3561" s="15">
        <v>1238.68</v>
      </c>
      <c r="H3561" s="15">
        <f t="shared" si="55"/>
        <v>0</v>
      </c>
      <c r="I3561" s="236" t="s">
        <v>19682</v>
      </c>
    </row>
    <row r="3562" spans="1:9" x14ac:dyDescent="0.25">
      <c r="A3562" s="36">
        <v>42913</v>
      </c>
      <c r="B3562" s="18">
        <v>117663</v>
      </c>
      <c r="C3562" s="235" t="s">
        <v>19677</v>
      </c>
      <c r="D3562" s="236" t="s">
        <v>15317</v>
      </c>
      <c r="E3562" s="15">
        <v>836.4</v>
      </c>
      <c r="F3562" s="237">
        <v>42915</v>
      </c>
      <c r="G3562" s="15">
        <v>836.4</v>
      </c>
      <c r="H3562" s="15">
        <f t="shared" si="55"/>
        <v>0</v>
      </c>
      <c r="I3562" s="236" t="s">
        <v>19682</v>
      </c>
    </row>
    <row r="3563" spans="1:9" x14ac:dyDescent="0.25">
      <c r="A3563" s="242">
        <v>42913</v>
      </c>
      <c r="B3563" s="18">
        <v>117664</v>
      </c>
      <c r="C3563" s="235" t="s">
        <v>19677</v>
      </c>
      <c r="D3563" s="236" t="s">
        <v>16108</v>
      </c>
      <c r="E3563" s="15">
        <v>3027.7</v>
      </c>
      <c r="F3563" s="237">
        <v>42913</v>
      </c>
      <c r="G3563" s="15">
        <v>3027.7</v>
      </c>
      <c r="H3563" s="15">
        <f t="shared" si="55"/>
        <v>0</v>
      </c>
      <c r="I3563" s="236" t="s">
        <v>19682</v>
      </c>
    </row>
    <row r="3564" spans="1:9" x14ac:dyDescent="0.25">
      <c r="A3564" s="36">
        <v>42913</v>
      </c>
      <c r="B3564" s="18">
        <v>117665</v>
      </c>
      <c r="C3564" s="235" t="s">
        <v>19677</v>
      </c>
      <c r="D3564" s="236" t="s">
        <v>15624</v>
      </c>
      <c r="E3564" s="15">
        <v>32244.84</v>
      </c>
      <c r="F3564" s="237">
        <v>42914</v>
      </c>
      <c r="G3564" s="15">
        <v>32244.84</v>
      </c>
      <c r="H3564" s="15">
        <f t="shared" si="55"/>
        <v>0</v>
      </c>
      <c r="I3564" s="236" t="s">
        <v>19682</v>
      </c>
    </row>
    <row r="3565" spans="1:9" x14ac:dyDescent="0.25">
      <c r="A3565" s="242">
        <v>42913</v>
      </c>
      <c r="B3565" s="18">
        <v>117666</v>
      </c>
      <c r="C3565" s="235" t="s">
        <v>19677</v>
      </c>
      <c r="D3565" s="236" t="s">
        <v>15315</v>
      </c>
      <c r="E3565" s="15">
        <v>801.6</v>
      </c>
      <c r="F3565" s="237">
        <v>42913</v>
      </c>
      <c r="G3565" s="15">
        <v>801.6</v>
      </c>
      <c r="H3565" s="15">
        <f t="shared" si="55"/>
        <v>0</v>
      </c>
      <c r="I3565" s="236" t="s">
        <v>19682</v>
      </c>
    </row>
    <row r="3566" spans="1:9" x14ac:dyDescent="0.25">
      <c r="A3566" s="36">
        <v>42913</v>
      </c>
      <c r="B3566" s="18">
        <v>117667</v>
      </c>
      <c r="C3566" s="235" t="s">
        <v>19677</v>
      </c>
      <c r="D3566" s="236" t="s">
        <v>15617</v>
      </c>
      <c r="E3566" s="15">
        <v>34074.6</v>
      </c>
      <c r="F3566" s="237">
        <v>42913</v>
      </c>
      <c r="G3566" s="15">
        <v>34074.6</v>
      </c>
      <c r="H3566" s="15">
        <f t="shared" si="55"/>
        <v>0</v>
      </c>
      <c r="I3566" s="236" t="s">
        <v>19682</v>
      </c>
    </row>
    <row r="3567" spans="1:9" x14ac:dyDescent="0.25">
      <c r="A3567" s="242">
        <v>42913</v>
      </c>
      <c r="B3567" s="18">
        <v>117668</v>
      </c>
      <c r="C3567" s="235" t="s">
        <v>19677</v>
      </c>
      <c r="D3567" s="236" t="s">
        <v>15301</v>
      </c>
      <c r="E3567" s="15">
        <v>3396.6</v>
      </c>
      <c r="F3567" s="237">
        <v>42913</v>
      </c>
      <c r="G3567" s="15">
        <v>3396.6</v>
      </c>
      <c r="H3567" s="15">
        <f t="shared" si="55"/>
        <v>0</v>
      </c>
      <c r="I3567" s="236" t="s">
        <v>19682</v>
      </c>
    </row>
    <row r="3568" spans="1:9" x14ac:dyDescent="0.25">
      <c r="A3568" s="36">
        <v>42913</v>
      </c>
      <c r="B3568" s="18">
        <v>117669</v>
      </c>
      <c r="C3568" s="235" t="s">
        <v>19677</v>
      </c>
      <c r="D3568" s="236" t="s">
        <v>15537</v>
      </c>
      <c r="E3568" s="15">
        <v>15172</v>
      </c>
      <c r="F3568" s="266">
        <v>42921</v>
      </c>
      <c r="G3568" s="35">
        <v>15172</v>
      </c>
      <c r="H3568" s="15">
        <f t="shared" si="55"/>
        <v>0</v>
      </c>
      <c r="I3568" s="236" t="s">
        <v>19682</v>
      </c>
    </row>
    <row r="3569" spans="1:9" x14ac:dyDescent="0.25">
      <c r="A3569" s="242">
        <v>42913</v>
      </c>
      <c r="B3569" s="18">
        <v>117670</v>
      </c>
      <c r="C3569" s="235" t="s">
        <v>19677</v>
      </c>
      <c r="D3569" s="236" t="s">
        <v>15539</v>
      </c>
      <c r="E3569" s="15">
        <v>15988</v>
      </c>
      <c r="F3569" s="266">
        <v>42921</v>
      </c>
      <c r="G3569" s="35">
        <v>15988</v>
      </c>
      <c r="H3569" s="15">
        <f t="shared" si="55"/>
        <v>0</v>
      </c>
      <c r="I3569" s="236" t="s">
        <v>19682</v>
      </c>
    </row>
    <row r="3570" spans="1:9" x14ac:dyDescent="0.25">
      <c r="A3570" s="36">
        <v>42913</v>
      </c>
      <c r="B3570" s="18">
        <v>117671</v>
      </c>
      <c r="C3570" s="235" t="s">
        <v>19677</v>
      </c>
      <c r="D3570" s="236" t="s">
        <v>15833</v>
      </c>
      <c r="E3570" s="15">
        <v>6380</v>
      </c>
      <c r="F3570" s="237">
        <v>42915</v>
      </c>
      <c r="G3570" s="15">
        <v>6380</v>
      </c>
      <c r="H3570" s="15">
        <f t="shared" si="55"/>
        <v>0</v>
      </c>
      <c r="I3570" s="236" t="s">
        <v>19682</v>
      </c>
    </row>
    <row r="3571" spans="1:9" x14ac:dyDescent="0.25">
      <c r="A3571" s="242">
        <v>42913</v>
      </c>
      <c r="B3571" s="18">
        <v>117672</v>
      </c>
      <c r="C3571" s="235" t="s">
        <v>19677</v>
      </c>
      <c r="D3571" s="236" t="s">
        <v>15544</v>
      </c>
      <c r="E3571" s="15">
        <v>3664</v>
      </c>
      <c r="F3571" s="237">
        <v>42923</v>
      </c>
      <c r="G3571" s="15">
        <v>3664</v>
      </c>
      <c r="H3571" s="15">
        <f t="shared" si="55"/>
        <v>0</v>
      </c>
      <c r="I3571" s="236" t="s">
        <v>19682</v>
      </c>
    </row>
    <row r="3572" spans="1:9" x14ac:dyDescent="0.25">
      <c r="A3572" s="36">
        <v>42913</v>
      </c>
      <c r="B3572" s="18">
        <v>117673</v>
      </c>
      <c r="C3572" s="235" t="s">
        <v>19677</v>
      </c>
      <c r="D3572" s="236" t="s">
        <v>15315</v>
      </c>
      <c r="E3572" s="15">
        <v>3751.5</v>
      </c>
      <c r="F3572" s="237">
        <v>42916</v>
      </c>
      <c r="G3572" s="15">
        <v>3751.5</v>
      </c>
      <c r="H3572" s="15">
        <f t="shared" si="55"/>
        <v>0</v>
      </c>
      <c r="I3572" s="236" t="s">
        <v>19682</v>
      </c>
    </row>
    <row r="3573" spans="1:9" x14ac:dyDescent="0.25">
      <c r="A3573" s="242">
        <v>42913</v>
      </c>
      <c r="B3573" s="18">
        <v>117674</v>
      </c>
      <c r="C3573" s="235" t="s">
        <v>19677</v>
      </c>
      <c r="D3573" s="236" t="s">
        <v>15699</v>
      </c>
      <c r="E3573" s="15">
        <v>11903.7</v>
      </c>
      <c r="F3573" s="237">
        <v>42928</v>
      </c>
      <c r="G3573" s="15">
        <v>11903.7</v>
      </c>
      <c r="H3573" s="15">
        <f t="shared" si="55"/>
        <v>0</v>
      </c>
      <c r="I3573" s="236" t="s">
        <v>19682</v>
      </c>
    </row>
    <row r="3574" spans="1:9" x14ac:dyDescent="0.25">
      <c r="A3574" s="36">
        <v>42913</v>
      </c>
      <c r="B3574" s="18">
        <v>117675</v>
      </c>
      <c r="C3574" s="235" t="s">
        <v>19677</v>
      </c>
      <c r="D3574" s="236" t="s">
        <v>15716</v>
      </c>
      <c r="E3574" s="15">
        <v>6111</v>
      </c>
      <c r="F3574" s="237">
        <v>42913</v>
      </c>
      <c r="G3574" s="15">
        <v>6111</v>
      </c>
      <c r="H3574" s="15">
        <f t="shared" si="55"/>
        <v>0</v>
      </c>
      <c r="I3574" s="236" t="s">
        <v>19682</v>
      </c>
    </row>
    <row r="3575" spans="1:9" x14ac:dyDescent="0.25">
      <c r="A3575" s="242">
        <v>42913</v>
      </c>
      <c r="B3575" s="18">
        <v>117676</v>
      </c>
      <c r="C3575" s="235" t="s">
        <v>19677</v>
      </c>
      <c r="D3575" s="236" t="s">
        <v>15315</v>
      </c>
      <c r="E3575" s="15">
        <v>3183.5</v>
      </c>
      <c r="F3575" s="237">
        <v>42915</v>
      </c>
      <c r="G3575" s="15">
        <v>3183.5</v>
      </c>
      <c r="H3575" s="15">
        <f t="shared" si="55"/>
        <v>0</v>
      </c>
      <c r="I3575" s="236" t="s">
        <v>19682</v>
      </c>
    </row>
    <row r="3576" spans="1:9" x14ac:dyDescent="0.25">
      <c r="A3576" s="36">
        <v>42913</v>
      </c>
      <c r="B3576" s="18">
        <v>117677</v>
      </c>
      <c r="C3576" s="235" t="s">
        <v>19677</v>
      </c>
      <c r="D3576" s="236" t="s">
        <v>19768</v>
      </c>
      <c r="E3576" s="15">
        <v>1470</v>
      </c>
      <c r="F3576" s="237">
        <v>42913</v>
      </c>
      <c r="G3576" s="15">
        <v>1470</v>
      </c>
      <c r="H3576" s="15">
        <f t="shared" si="55"/>
        <v>0</v>
      </c>
      <c r="I3576" s="236" t="s">
        <v>19682</v>
      </c>
    </row>
    <row r="3577" spans="1:9" x14ac:dyDescent="0.25">
      <c r="A3577" s="242">
        <v>42913</v>
      </c>
      <c r="B3577" s="18">
        <v>117678</v>
      </c>
      <c r="C3577" s="235" t="s">
        <v>19677</v>
      </c>
      <c r="D3577" s="236" t="s">
        <v>15628</v>
      </c>
      <c r="E3577" s="15">
        <v>13499</v>
      </c>
      <c r="F3577" s="266">
        <v>42921</v>
      </c>
      <c r="G3577" s="35">
        <v>13499</v>
      </c>
      <c r="H3577" s="15">
        <f t="shared" si="55"/>
        <v>0</v>
      </c>
      <c r="I3577" s="236" t="s">
        <v>19682</v>
      </c>
    </row>
    <row r="3578" spans="1:9" x14ac:dyDescent="0.25">
      <c r="A3578" s="36">
        <v>42913</v>
      </c>
      <c r="B3578" s="18">
        <v>117679</v>
      </c>
      <c r="C3578" s="235" t="s">
        <v>19677</v>
      </c>
      <c r="D3578" s="236" t="s">
        <v>15566</v>
      </c>
      <c r="E3578" s="15">
        <v>3074.5</v>
      </c>
      <c r="F3578" s="237">
        <v>42913</v>
      </c>
      <c r="G3578" s="15">
        <v>3074.5</v>
      </c>
      <c r="H3578" s="15">
        <f t="shared" si="55"/>
        <v>0</v>
      </c>
      <c r="I3578" s="236" t="s">
        <v>19682</v>
      </c>
    </row>
    <row r="3579" spans="1:9" x14ac:dyDescent="0.25">
      <c r="A3579" s="242">
        <v>42913</v>
      </c>
      <c r="B3579" s="18">
        <v>117680</v>
      </c>
      <c r="C3579" s="235" t="s">
        <v>19677</v>
      </c>
      <c r="D3579" s="236" t="s">
        <v>15282</v>
      </c>
      <c r="E3579" s="15">
        <v>2330</v>
      </c>
      <c r="F3579" s="237">
        <v>42913</v>
      </c>
      <c r="G3579" s="15">
        <v>2330</v>
      </c>
      <c r="H3579" s="15">
        <f t="shared" si="55"/>
        <v>0</v>
      </c>
      <c r="I3579" s="236" t="s">
        <v>19682</v>
      </c>
    </row>
    <row r="3580" spans="1:9" x14ac:dyDescent="0.25">
      <c r="A3580" s="36">
        <v>42913</v>
      </c>
      <c r="B3580" s="18">
        <v>117681</v>
      </c>
      <c r="C3580" s="235" t="s">
        <v>19677</v>
      </c>
      <c r="D3580" s="236" t="s">
        <v>15398</v>
      </c>
      <c r="E3580" s="15">
        <v>3300.4</v>
      </c>
      <c r="F3580" s="237">
        <v>42913</v>
      </c>
      <c r="G3580" s="15">
        <v>3300.4</v>
      </c>
      <c r="H3580" s="15">
        <f t="shared" si="55"/>
        <v>0</v>
      </c>
      <c r="I3580" s="236" t="s">
        <v>19682</v>
      </c>
    </row>
    <row r="3581" spans="1:9" x14ac:dyDescent="0.25">
      <c r="A3581" s="242">
        <v>42913</v>
      </c>
      <c r="B3581" s="18">
        <v>117682</v>
      </c>
      <c r="C3581" s="235" t="s">
        <v>19677</v>
      </c>
      <c r="D3581" s="236" t="s">
        <v>17462</v>
      </c>
      <c r="E3581" s="15">
        <v>1665.4</v>
      </c>
      <c r="F3581" s="237">
        <v>42913</v>
      </c>
      <c r="G3581" s="15">
        <v>1665.4</v>
      </c>
      <c r="H3581" s="15">
        <f t="shared" si="55"/>
        <v>0</v>
      </c>
      <c r="I3581" s="236" t="s">
        <v>19682</v>
      </c>
    </row>
    <row r="3582" spans="1:9" x14ac:dyDescent="0.25">
      <c r="A3582" s="36">
        <v>42913</v>
      </c>
      <c r="B3582" s="18">
        <v>117683</v>
      </c>
      <c r="C3582" s="235" t="s">
        <v>19677</v>
      </c>
      <c r="D3582" s="236" t="s">
        <v>15655</v>
      </c>
      <c r="E3582" s="15">
        <v>11205.6</v>
      </c>
      <c r="F3582" s="237">
        <v>42913</v>
      </c>
      <c r="G3582" s="15">
        <v>11205.6</v>
      </c>
      <c r="H3582" s="15">
        <f t="shared" si="55"/>
        <v>0</v>
      </c>
      <c r="I3582" s="236" t="s">
        <v>19682</v>
      </c>
    </row>
    <row r="3583" spans="1:9" x14ac:dyDescent="0.25">
      <c r="A3583" s="242">
        <v>42913</v>
      </c>
      <c r="B3583" s="18">
        <v>117684</v>
      </c>
      <c r="C3583" s="235" t="s">
        <v>19677</v>
      </c>
      <c r="D3583" s="236" t="s">
        <v>15665</v>
      </c>
      <c r="E3583" s="15">
        <v>928.2</v>
      </c>
      <c r="F3583" s="237">
        <v>42913</v>
      </c>
      <c r="G3583" s="15">
        <v>928.2</v>
      </c>
      <c r="H3583" s="15">
        <f t="shared" si="55"/>
        <v>0</v>
      </c>
      <c r="I3583" s="236" t="s">
        <v>19682</v>
      </c>
    </row>
    <row r="3584" spans="1:9" x14ac:dyDescent="0.25">
      <c r="A3584" s="36">
        <v>42913</v>
      </c>
      <c r="B3584" s="18">
        <v>117685</v>
      </c>
      <c r="C3584" s="235" t="s">
        <v>19677</v>
      </c>
      <c r="D3584" s="236" t="s">
        <v>15267</v>
      </c>
      <c r="E3584" s="15">
        <v>32202</v>
      </c>
      <c r="F3584" s="237">
        <v>42913</v>
      </c>
      <c r="G3584" s="15">
        <v>32202</v>
      </c>
      <c r="H3584" s="15">
        <f t="shared" si="55"/>
        <v>0</v>
      </c>
      <c r="I3584" s="236" t="s">
        <v>19682</v>
      </c>
    </row>
    <row r="3585" spans="1:9" x14ac:dyDescent="0.25">
      <c r="A3585" s="242">
        <v>42913</v>
      </c>
      <c r="B3585" s="18">
        <v>117686</v>
      </c>
      <c r="C3585" s="235" t="s">
        <v>19677</v>
      </c>
      <c r="D3585" s="236" t="s">
        <v>15296</v>
      </c>
      <c r="E3585" s="15">
        <v>58563.360000000001</v>
      </c>
      <c r="F3585" s="237">
        <v>42922</v>
      </c>
      <c r="G3585" s="15">
        <v>58563.360000000001</v>
      </c>
      <c r="H3585" s="15">
        <f t="shared" si="55"/>
        <v>0</v>
      </c>
      <c r="I3585" s="236" t="s">
        <v>19682</v>
      </c>
    </row>
    <row r="3586" spans="1:9" x14ac:dyDescent="0.25">
      <c r="A3586" s="36">
        <v>42913</v>
      </c>
      <c r="B3586" s="18">
        <v>117687</v>
      </c>
      <c r="C3586" s="235" t="s">
        <v>19677</v>
      </c>
      <c r="D3586" s="236" t="s">
        <v>15294</v>
      </c>
      <c r="E3586" s="15">
        <v>525</v>
      </c>
      <c r="F3586" s="237">
        <v>42913</v>
      </c>
      <c r="G3586" s="15">
        <v>525</v>
      </c>
      <c r="H3586" s="15">
        <f t="shared" ref="H3586:H3649" si="56">E3586-G3586</f>
        <v>0</v>
      </c>
      <c r="I3586" s="236" t="s">
        <v>19682</v>
      </c>
    </row>
    <row r="3587" spans="1:9" x14ac:dyDescent="0.25">
      <c r="A3587" s="242">
        <v>42913</v>
      </c>
      <c r="B3587" s="18">
        <v>117688</v>
      </c>
      <c r="C3587" s="235" t="s">
        <v>19677</v>
      </c>
      <c r="D3587" s="236" t="s">
        <v>15553</v>
      </c>
      <c r="E3587" s="15">
        <v>8454.58</v>
      </c>
      <c r="F3587" s="237">
        <v>42914</v>
      </c>
      <c r="G3587" s="15">
        <v>8454.58</v>
      </c>
      <c r="H3587" s="15">
        <f t="shared" si="56"/>
        <v>0</v>
      </c>
      <c r="I3587" s="236" t="s">
        <v>19682</v>
      </c>
    </row>
    <row r="3588" spans="1:9" x14ac:dyDescent="0.25">
      <c r="A3588" s="36">
        <v>42913</v>
      </c>
      <c r="B3588" s="18">
        <v>117689</v>
      </c>
      <c r="C3588" s="235" t="s">
        <v>19677</v>
      </c>
      <c r="D3588" s="236" t="s">
        <v>15276</v>
      </c>
      <c r="E3588" s="15">
        <v>2450</v>
      </c>
      <c r="F3588" s="237">
        <v>42914</v>
      </c>
      <c r="G3588" s="15">
        <v>2450</v>
      </c>
      <c r="H3588" s="15">
        <f t="shared" si="56"/>
        <v>0</v>
      </c>
      <c r="I3588" s="236" t="s">
        <v>19682</v>
      </c>
    </row>
    <row r="3589" spans="1:9" x14ac:dyDescent="0.25">
      <c r="A3589" s="242">
        <v>42913</v>
      </c>
      <c r="B3589" s="18">
        <v>117690</v>
      </c>
      <c r="C3589" s="235" t="s">
        <v>19677</v>
      </c>
      <c r="D3589" s="236" t="s">
        <v>15417</v>
      </c>
      <c r="E3589" s="15">
        <v>2088</v>
      </c>
      <c r="F3589" s="237">
        <v>42914</v>
      </c>
      <c r="G3589" s="15">
        <v>2088</v>
      </c>
      <c r="H3589" s="15">
        <f t="shared" si="56"/>
        <v>0</v>
      </c>
      <c r="I3589" s="236" t="s">
        <v>19682</v>
      </c>
    </row>
    <row r="3590" spans="1:9" x14ac:dyDescent="0.25">
      <c r="A3590" s="36">
        <v>42913</v>
      </c>
      <c r="B3590" s="18">
        <v>117691</v>
      </c>
      <c r="C3590" s="235" t="s">
        <v>19677</v>
      </c>
      <c r="D3590" s="236" t="s">
        <v>15433</v>
      </c>
      <c r="E3590" s="15">
        <v>1038</v>
      </c>
      <c r="F3590" s="237">
        <v>42913</v>
      </c>
      <c r="G3590" s="15">
        <v>1038</v>
      </c>
      <c r="H3590" s="15">
        <f t="shared" si="56"/>
        <v>0</v>
      </c>
      <c r="I3590" s="236" t="s">
        <v>19682</v>
      </c>
    </row>
    <row r="3591" spans="1:9" x14ac:dyDescent="0.25">
      <c r="A3591" s="242">
        <v>42913</v>
      </c>
      <c r="B3591" s="18">
        <v>117692</v>
      </c>
      <c r="C3591" s="235" t="s">
        <v>19677</v>
      </c>
      <c r="D3591" s="236" t="s">
        <v>18076</v>
      </c>
      <c r="E3591" s="15">
        <v>6750.2</v>
      </c>
      <c r="F3591" s="237">
        <v>42913</v>
      </c>
      <c r="G3591" s="15">
        <v>6750.2</v>
      </c>
      <c r="H3591" s="15">
        <f t="shared" si="56"/>
        <v>0</v>
      </c>
      <c r="I3591" s="236" t="s">
        <v>19682</v>
      </c>
    </row>
    <row r="3592" spans="1:9" x14ac:dyDescent="0.25">
      <c r="A3592" s="36">
        <v>42913</v>
      </c>
      <c r="B3592" s="18">
        <v>117693</v>
      </c>
      <c r="C3592" s="235" t="s">
        <v>19677</v>
      </c>
      <c r="D3592" s="236" t="s">
        <v>15987</v>
      </c>
      <c r="E3592" s="15">
        <v>389.5</v>
      </c>
      <c r="F3592" s="237">
        <v>42913</v>
      </c>
      <c r="G3592" s="15">
        <v>389.5</v>
      </c>
      <c r="H3592" s="15">
        <f t="shared" si="56"/>
        <v>0</v>
      </c>
      <c r="I3592" s="236" t="s">
        <v>19682</v>
      </c>
    </row>
    <row r="3593" spans="1:9" x14ac:dyDescent="0.25">
      <c r="A3593" s="242">
        <v>42913</v>
      </c>
      <c r="B3593" s="18">
        <v>117694</v>
      </c>
      <c r="C3593" s="235" t="s">
        <v>19677</v>
      </c>
      <c r="D3593" s="236" t="s">
        <v>15338</v>
      </c>
      <c r="E3593" s="15">
        <v>3567.2</v>
      </c>
      <c r="F3593" s="237">
        <v>42915</v>
      </c>
      <c r="G3593" s="15">
        <v>3567.2</v>
      </c>
      <c r="H3593" s="15">
        <f t="shared" si="56"/>
        <v>0</v>
      </c>
      <c r="I3593" s="236" t="s">
        <v>19682</v>
      </c>
    </row>
    <row r="3594" spans="1:9" x14ac:dyDescent="0.25">
      <c r="A3594" s="36">
        <v>42913</v>
      </c>
      <c r="B3594" s="18">
        <v>117695</v>
      </c>
      <c r="C3594" s="235" t="s">
        <v>19677</v>
      </c>
      <c r="D3594" s="236" t="s">
        <v>19776</v>
      </c>
      <c r="E3594" s="15">
        <v>13800</v>
      </c>
      <c r="F3594" s="237">
        <v>42913</v>
      </c>
      <c r="G3594" s="15">
        <v>13800</v>
      </c>
      <c r="H3594" s="15">
        <f t="shared" si="56"/>
        <v>0</v>
      </c>
      <c r="I3594" s="236" t="s">
        <v>19682</v>
      </c>
    </row>
    <row r="3595" spans="1:9" x14ac:dyDescent="0.25">
      <c r="A3595" s="242">
        <v>42913</v>
      </c>
      <c r="B3595" s="18">
        <v>117696</v>
      </c>
      <c r="C3595" s="235" t="s">
        <v>19677</v>
      </c>
      <c r="D3595" s="236" t="s">
        <v>15614</v>
      </c>
      <c r="E3595" s="15">
        <v>6772</v>
      </c>
      <c r="F3595" s="237">
        <v>42916</v>
      </c>
      <c r="G3595" s="15">
        <v>6772</v>
      </c>
      <c r="H3595" s="15">
        <f t="shared" si="56"/>
        <v>0</v>
      </c>
      <c r="I3595" s="236" t="s">
        <v>19682</v>
      </c>
    </row>
    <row r="3596" spans="1:9" x14ac:dyDescent="0.25">
      <c r="A3596" s="36">
        <v>42913</v>
      </c>
      <c r="B3596" s="18">
        <v>117697</v>
      </c>
      <c r="C3596" s="235" t="s">
        <v>19677</v>
      </c>
      <c r="D3596" s="236" t="s">
        <v>15246</v>
      </c>
      <c r="E3596" s="15">
        <v>1910.4</v>
      </c>
      <c r="F3596" s="237">
        <v>42914</v>
      </c>
      <c r="G3596" s="15">
        <v>1910.4</v>
      </c>
      <c r="H3596" s="15">
        <f t="shared" si="56"/>
        <v>0</v>
      </c>
      <c r="I3596" s="236" t="s">
        <v>19682</v>
      </c>
    </row>
    <row r="3597" spans="1:9" x14ac:dyDescent="0.25">
      <c r="A3597" s="242">
        <v>42913</v>
      </c>
      <c r="B3597" s="18">
        <v>117698</v>
      </c>
      <c r="C3597" s="235" t="s">
        <v>19677</v>
      </c>
      <c r="D3597" s="236" t="s">
        <v>15365</v>
      </c>
      <c r="E3597" s="15">
        <v>453530</v>
      </c>
      <c r="F3597" s="266">
        <v>42924</v>
      </c>
      <c r="G3597" s="35">
        <v>453530</v>
      </c>
      <c r="H3597" s="15">
        <f t="shared" si="56"/>
        <v>0</v>
      </c>
      <c r="I3597" s="236" t="s">
        <v>19682</v>
      </c>
    </row>
    <row r="3598" spans="1:9" x14ac:dyDescent="0.25">
      <c r="A3598" s="36">
        <v>42913</v>
      </c>
      <c r="B3598" s="18">
        <v>117699</v>
      </c>
      <c r="C3598" s="235" t="s">
        <v>19677</v>
      </c>
      <c r="D3598" s="236" t="s">
        <v>15246</v>
      </c>
      <c r="E3598" s="15">
        <v>1971.2</v>
      </c>
      <c r="F3598" s="237">
        <v>42914</v>
      </c>
      <c r="G3598" s="15">
        <v>1971.2</v>
      </c>
      <c r="H3598" s="15">
        <f t="shared" si="56"/>
        <v>0</v>
      </c>
      <c r="I3598" s="236" t="s">
        <v>19682</v>
      </c>
    </row>
    <row r="3599" spans="1:9" x14ac:dyDescent="0.25">
      <c r="A3599" s="242">
        <v>42913</v>
      </c>
      <c r="B3599" s="18">
        <v>117700</v>
      </c>
      <c r="C3599" s="235" t="s">
        <v>19677</v>
      </c>
      <c r="D3599" s="236" t="s">
        <v>15284</v>
      </c>
      <c r="E3599" s="15">
        <v>248.4</v>
      </c>
      <c r="F3599" s="237">
        <v>42913</v>
      </c>
      <c r="G3599" s="15">
        <v>248.4</v>
      </c>
      <c r="H3599" s="15">
        <f t="shared" si="56"/>
        <v>0</v>
      </c>
      <c r="I3599" s="236" t="s">
        <v>19682</v>
      </c>
    </row>
    <row r="3600" spans="1:9" x14ac:dyDescent="0.25">
      <c r="A3600" s="36">
        <v>42913</v>
      </c>
      <c r="B3600" s="18">
        <v>117701</v>
      </c>
      <c r="C3600" s="235" t="s">
        <v>19677</v>
      </c>
      <c r="D3600" s="236" t="s">
        <v>15378</v>
      </c>
      <c r="E3600" s="15">
        <v>511.4</v>
      </c>
      <c r="F3600" s="237">
        <v>42913</v>
      </c>
      <c r="G3600" s="15">
        <v>511.4</v>
      </c>
      <c r="H3600" s="15">
        <f t="shared" si="56"/>
        <v>0</v>
      </c>
      <c r="I3600" s="236" t="s">
        <v>19682</v>
      </c>
    </row>
    <row r="3601" spans="1:9" x14ac:dyDescent="0.25">
      <c r="A3601" s="242">
        <v>42913</v>
      </c>
      <c r="B3601" s="18">
        <v>117702</v>
      </c>
      <c r="C3601" s="235" t="s">
        <v>19677</v>
      </c>
      <c r="D3601" s="236" t="s">
        <v>15315</v>
      </c>
      <c r="E3601" s="15">
        <v>177.6</v>
      </c>
      <c r="F3601" s="237">
        <v>42913</v>
      </c>
      <c r="G3601" s="15">
        <v>177.6</v>
      </c>
      <c r="H3601" s="15">
        <f t="shared" si="56"/>
        <v>0</v>
      </c>
      <c r="I3601" s="236" t="s">
        <v>19682</v>
      </c>
    </row>
    <row r="3602" spans="1:9" x14ac:dyDescent="0.25">
      <c r="A3602" s="36">
        <v>42913</v>
      </c>
      <c r="B3602" s="18">
        <v>117703</v>
      </c>
      <c r="C3602" s="235" t="s">
        <v>19677</v>
      </c>
      <c r="D3602" s="236" t="s">
        <v>17462</v>
      </c>
      <c r="E3602" s="15">
        <v>512</v>
      </c>
      <c r="F3602" s="237">
        <v>42913</v>
      </c>
      <c r="G3602" s="15">
        <v>512</v>
      </c>
      <c r="H3602" s="15">
        <f t="shared" si="56"/>
        <v>0</v>
      </c>
      <c r="I3602" s="236" t="s">
        <v>19682</v>
      </c>
    </row>
    <row r="3603" spans="1:9" x14ac:dyDescent="0.25">
      <c r="A3603" s="242">
        <v>42913</v>
      </c>
      <c r="B3603" s="18">
        <v>117704</v>
      </c>
      <c r="C3603" s="235" t="s">
        <v>19677</v>
      </c>
      <c r="D3603" s="236" t="s">
        <v>5880</v>
      </c>
      <c r="E3603" s="15">
        <v>49328</v>
      </c>
      <c r="F3603" s="237">
        <v>42914</v>
      </c>
      <c r="G3603" s="15">
        <v>49328</v>
      </c>
      <c r="H3603" s="15">
        <f t="shared" si="56"/>
        <v>0</v>
      </c>
      <c r="I3603" s="236" t="s">
        <v>19682</v>
      </c>
    </row>
    <row r="3604" spans="1:9" ht="15.75" x14ac:dyDescent="0.25">
      <c r="A3604" s="36">
        <v>42913</v>
      </c>
      <c r="B3604" s="18">
        <v>117705</v>
      </c>
      <c r="C3604" s="235" t="s">
        <v>19677</v>
      </c>
      <c r="D3604" s="248" t="s">
        <v>95</v>
      </c>
      <c r="E3604" s="15">
        <v>0</v>
      </c>
      <c r="F3604" s="243" t="s">
        <v>95</v>
      </c>
      <c r="G3604" s="15">
        <v>0</v>
      </c>
      <c r="H3604" s="15">
        <f t="shared" si="56"/>
        <v>0</v>
      </c>
      <c r="I3604" s="236" t="s">
        <v>19678</v>
      </c>
    </row>
    <row r="3605" spans="1:9" x14ac:dyDescent="0.25">
      <c r="A3605" s="242">
        <v>42913</v>
      </c>
      <c r="B3605" s="18">
        <v>117706</v>
      </c>
      <c r="C3605" s="235" t="s">
        <v>19677</v>
      </c>
      <c r="D3605" s="236" t="s">
        <v>15246</v>
      </c>
      <c r="E3605" s="15">
        <v>223306.48</v>
      </c>
      <c r="F3605" s="237" t="s">
        <v>19777</v>
      </c>
      <c r="G3605" s="241">
        <f>45619.23+177687.25</f>
        <v>223306.48</v>
      </c>
      <c r="H3605" s="241">
        <f t="shared" si="56"/>
        <v>0</v>
      </c>
      <c r="I3605" s="236" t="s">
        <v>19682</v>
      </c>
    </row>
    <row r="3606" spans="1:9" x14ac:dyDescent="0.25">
      <c r="A3606" s="36">
        <v>42913</v>
      </c>
      <c r="B3606" s="18">
        <v>117707</v>
      </c>
      <c r="C3606" s="235" t="s">
        <v>19677</v>
      </c>
      <c r="D3606" s="236" t="s">
        <v>15444</v>
      </c>
      <c r="E3606" s="15">
        <v>2498.4</v>
      </c>
      <c r="F3606" s="237">
        <v>42914</v>
      </c>
      <c r="G3606" s="15">
        <v>2498.4</v>
      </c>
      <c r="H3606" s="15">
        <f t="shared" si="56"/>
        <v>0</v>
      </c>
      <c r="I3606" s="236" t="s">
        <v>19682</v>
      </c>
    </row>
    <row r="3607" spans="1:9" x14ac:dyDescent="0.25">
      <c r="A3607" s="242">
        <v>42913</v>
      </c>
      <c r="B3607" s="18">
        <v>117708</v>
      </c>
      <c r="C3607" s="235" t="s">
        <v>19677</v>
      </c>
      <c r="D3607" s="236" t="s">
        <v>19758</v>
      </c>
      <c r="E3607" s="15">
        <v>19410</v>
      </c>
      <c r="F3607" s="237">
        <v>42913</v>
      </c>
      <c r="G3607" s="15">
        <v>19410</v>
      </c>
      <c r="H3607" s="15">
        <f t="shared" si="56"/>
        <v>0</v>
      </c>
      <c r="I3607" s="236" t="s">
        <v>19682</v>
      </c>
    </row>
    <row r="3608" spans="1:9" x14ac:dyDescent="0.25">
      <c r="A3608" s="36">
        <v>42913</v>
      </c>
      <c r="B3608" s="18">
        <v>117709</v>
      </c>
      <c r="C3608" s="235" t="s">
        <v>19677</v>
      </c>
      <c r="D3608" s="236" t="s">
        <v>15246</v>
      </c>
      <c r="E3608" s="15">
        <v>111426.22</v>
      </c>
      <c r="F3608" s="237">
        <v>42916</v>
      </c>
      <c r="G3608" s="15">
        <v>111426.22</v>
      </c>
      <c r="H3608" s="15">
        <f t="shared" si="56"/>
        <v>0</v>
      </c>
      <c r="I3608" s="236" t="s">
        <v>19682</v>
      </c>
    </row>
    <row r="3609" spans="1:9" x14ac:dyDescent="0.25">
      <c r="A3609" s="242">
        <v>42913</v>
      </c>
      <c r="B3609" s="18">
        <v>117710</v>
      </c>
      <c r="C3609" s="235" t="s">
        <v>19677</v>
      </c>
      <c r="D3609" s="236" t="s">
        <v>15246</v>
      </c>
      <c r="E3609" s="15">
        <v>39593.4</v>
      </c>
      <c r="F3609" s="237">
        <v>42916</v>
      </c>
      <c r="G3609" s="15">
        <v>39593.4</v>
      </c>
      <c r="H3609" s="15">
        <f t="shared" si="56"/>
        <v>0</v>
      </c>
      <c r="I3609" s="236" t="s">
        <v>19682</v>
      </c>
    </row>
    <row r="3610" spans="1:9" x14ac:dyDescent="0.25">
      <c r="A3610" s="36">
        <v>42913</v>
      </c>
      <c r="B3610" s="18">
        <v>117711</v>
      </c>
      <c r="C3610" s="235" t="s">
        <v>19677</v>
      </c>
      <c r="D3610" s="236" t="s">
        <v>15581</v>
      </c>
      <c r="E3610" s="15">
        <v>8736.7999999999993</v>
      </c>
      <c r="F3610" s="237">
        <v>42916</v>
      </c>
      <c r="G3610" s="15">
        <v>8736.7999999999993</v>
      </c>
      <c r="H3610" s="15">
        <f t="shared" si="56"/>
        <v>0</v>
      </c>
      <c r="I3610" s="236" t="s">
        <v>19682</v>
      </c>
    </row>
    <row r="3611" spans="1:9" x14ac:dyDescent="0.25">
      <c r="A3611" s="242">
        <v>42913</v>
      </c>
      <c r="B3611" s="18">
        <v>117712</v>
      </c>
      <c r="C3611" s="235" t="s">
        <v>19677</v>
      </c>
      <c r="D3611" s="236" t="s">
        <v>15236</v>
      </c>
      <c r="E3611" s="15">
        <v>3088</v>
      </c>
      <c r="F3611" s="237">
        <v>42915</v>
      </c>
      <c r="G3611" s="15">
        <v>3088</v>
      </c>
      <c r="H3611" s="15">
        <f t="shared" si="56"/>
        <v>0</v>
      </c>
      <c r="I3611" s="236" t="s">
        <v>19682</v>
      </c>
    </row>
    <row r="3612" spans="1:9" x14ac:dyDescent="0.25">
      <c r="A3612" s="36">
        <v>42913</v>
      </c>
      <c r="B3612" s="18">
        <v>117713</v>
      </c>
      <c r="C3612" s="235" t="s">
        <v>19677</v>
      </c>
      <c r="D3612" s="236" t="s">
        <v>15435</v>
      </c>
      <c r="E3612" s="15">
        <v>7560</v>
      </c>
      <c r="F3612" s="237">
        <v>42913</v>
      </c>
      <c r="G3612" s="15">
        <v>7560</v>
      </c>
      <c r="H3612" s="15">
        <f t="shared" si="56"/>
        <v>0</v>
      </c>
      <c r="I3612" s="236" t="s">
        <v>19682</v>
      </c>
    </row>
    <row r="3613" spans="1:9" x14ac:dyDescent="0.25">
      <c r="A3613" s="242">
        <v>42913</v>
      </c>
      <c r="B3613" s="18">
        <v>117714</v>
      </c>
      <c r="C3613" s="235" t="s">
        <v>19677</v>
      </c>
      <c r="D3613" s="236" t="s">
        <v>18544</v>
      </c>
      <c r="E3613" s="15">
        <v>240</v>
      </c>
      <c r="F3613" s="237">
        <v>42913</v>
      </c>
      <c r="G3613" s="15">
        <v>240</v>
      </c>
      <c r="H3613" s="15">
        <f t="shared" si="56"/>
        <v>0</v>
      </c>
      <c r="I3613" s="236" t="s">
        <v>19682</v>
      </c>
    </row>
    <row r="3614" spans="1:9" x14ac:dyDescent="0.25">
      <c r="A3614" s="36">
        <v>42913</v>
      </c>
      <c r="B3614" s="18">
        <v>117715</v>
      </c>
      <c r="C3614" s="235" t="s">
        <v>19677</v>
      </c>
      <c r="D3614" s="236" t="s">
        <v>15365</v>
      </c>
      <c r="E3614" s="15">
        <v>265095</v>
      </c>
      <c r="F3614" s="237">
        <v>42915</v>
      </c>
      <c r="G3614" s="15">
        <v>265095</v>
      </c>
      <c r="H3614" s="15">
        <f t="shared" si="56"/>
        <v>0</v>
      </c>
      <c r="I3614" s="236" t="s">
        <v>19682</v>
      </c>
    </row>
    <row r="3615" spans="1:9" x14ac:dyDescent="0.25">
      <c r="A3615" s="242">
        <v>42913</v>
      </c>
      <c r="B3615" s="18">
        <v>117716</v>
      </c>
      <c r="C3615" s="235" t="s">
        <v>19677</v>
      </c>
      <c r="D3615" s="236" t="s">
        <v>15642</v>
      </c>
      <c r="E3615" s="15">
        <v>2045.4</v>
      </c>
      <c r="F3615" s="237">
        <v>42913</v>
      </c>
      <c r="G3615" s="15">
        <v>2045.4</v>
      </c>
      <c r="H3615" s="15">
        <f t="shared" si="56"/>
        <v>0</v>
      </c>
      <c r="I3615" s="236" t="s">
        <v>19682</v>
      </c>
    </row>
    <row r="3616" spans="1:9" x14ac:dyDescent="0.25">
      <c r="A3616" s="36">
        <v>42913</v>
      </c>
      <c r="B3616" s="18">
        <v>117717</v>
      </c>
      <c r="C3616" s="235" t="s">
        <v>19677</v>
      </c>
      <c r="D3616" s="236" t="s">
        <v>15541</v>
      </c>
      <c r="E3616" s="15">
        <v>585.6</v>
      </c>
      <c r="F3616" s="237">
        <v>42914</v>
      </c>
      <c r="G3616" s="15">
        <v>585.6</v>
      </c>
      <c r="H3616" s="15">
        <f t="shared" si="56"/>
        <v>0</v>
      </c>
      <c r="I3616" s="236" t="s">
        <v>19682</v>
      </c>
    </row>
    <row r="3617" spans="1:9" x14ac:dyDescent="0.25">
      <c r="A3617" s="242">
        <v>42913</v>
      </c>
      <c r="B3617" s="18">
        <v>117718</v>
      </c>
      <c r="C3617" s="235" t="s">
        <v>19677</v>
      </c>
      <c r="D3617" s="236" t="s">
        <v>15246</v>
      </c>
      <c r="E3617" s="15">
        <v>168501.24</v>
      </c>
      <c r="F3617" s="237">
        <v>42916</v>
      </c>
      <c r="G3617" s="15">
        <v>168501.24</v>
      </c>
      <c r="H3617" s="15">
        <f t="shared" si="56"/>
        <v>0</v>
      </c>
      <c r="I3617" s="236" t="s">
        <v>19682</v>
      </c>
    </row>
    <row r="3618" spans="1:9" x14ac:dyDescent="0.25">
      <c r="A3618" s="36">
        <v>42914</v>
      </c>
      <c r="B3618" s="18">
        <v>117719</v>
      </c>
      <c r="C3618" s="235" t="s">
        <v>19677</v>
      </c>
      <c r="D3618" s="236" t="s">
        <v>15213</v>
      </c>
      <c r="E3618" s="15">
        <v>6411.2</v>
      </c>
      <c r="F3618" s="237">
        <v>42916</v>
      </c>
      <c r="G3618" s="15">
        <v>6411.2</v>
      </c>
      <c r="H3618" s="15">
        <f t="shared" si="56"/>
        <v>0</v>
      </c>
      <c r="I3618" s="236" t="s">
        <v>19682</v>
      </c>
    </row>
    <row r="3619" spans="1:9" x14ac:dyDescent="0.25">
      <c r="A3619" s="242">
        <v>42914</v>
      </c>
      <c r="B3619" s="18">
        <v>117720</v>
      </c>
      <c r="C3619" s="235" t="s">
        <v>19677</v>
      </c>
      <c r="D3619" s="236" t="s">
        <v>15213</v>
      </c>
      <c r="E3619" s="15">
        <v>279.3</v>
      </c>
      <c r="F3619" s="237">
        <v>42914</v>
      </c>
      <c r="G3619" s="15">
        <v>279.3</v>
      </c>
      <c r="H3619" s="15">
        <f t="shared" si="56"/>
        <v>0</v>
      </c>
      <c r="I3619" s="236" t="s">
        <v>19682</v>
      </c>
    </row>
    <row r="3620" spans="1:9" x14ac:dyDescent="0.25">
      <c r="A3620" s="36">
        <v>42914</v>
      </c>
      <c r="B3620" s="18">
        <v>117721</v>
      </c>
      <c r="C3620" s="235" t="s">
        <v>19677</v>
      </c>
      <c r="D3620" s="236" t="s">
        <v>15553</v>
      </c>
      <c r="E3620" s="15">
        <v>33883.199999999997</v>
      </c>
      <c r="F3620" s="237">
        <v>42915</v>
      </c>
      <c r="G3620" s="15">
        <v>33883.199999999997</v>
      </c>
      <c r="H3620" s="15">
        <f t="shared" si="56"/>
        <v>0</v>
      </c>
      <c r="I3620" s="236" t="s">
        <v>19682</v>
      </c>
    </row>
    <row r="3621" spans="1:9" ht="15.75" x14ac:dyDescent="0.25">
      <c r="A3621" s="242">
        <v>42914</v>
      </c>
      <c r="B3621" s="18">
        <v>117722</v>
      </c>
      <c r="C3621" s="235" t="s">
        <v>19677</v>
      </c>
      <c r="D3621" s="248" t="s">
        <v>95</v>
      </c>
      <c r="E3621" s="15">
        <v>0</v>
      </c>
      <c r="F3621" s="243" t="s">
        <v>95</v>
      </c>
      <c r="G3621" s="15">
        <v>0</v>
      </c>
      <c r="H3621" s="15">
        <f t="shared" si="56"/>
        <v>0</v>
      </c>
      <c r="I3621" s="236" t="s">
        <v>19678</v>
      </c>
    </row>
    <row r="3622" spans="1:9" x14ac:dyDescent="0.25">
      <c r="A3622" s="36">
        <v>42914</v>
      </c>
      <c r="B3622" s="18">
        <v>117723</v>
      </c>
      <c r="C3622" s="235" t="s">
        <v>19677</v>
      </c>
      <c r="D3622" s="236" t="s">
        <v>15213</v>
      </c>
      <c r="E3622" s="15">
        <v>30725.5</v>
      </c>
      <c r="F3622" s="237">
        <v>42915</v>
      </c>
      <c r="G3622" s="15">
        <v>30725.5</v>
      </c>
      <c r="H3622" s="15">
        <f t="shared" si="56"/>
        <v>0</v>
      </c>
      <c r="I3622" s="236" t="s">
        <v>19682</v>
      </c>
    </row>
    <row r="3623" spans="1:9" x14ac:dyDescent="0.25">
      <c r="A3623" s="242">
        <v>42914</v>
      </c>
      <c r="B3623" s="18">
        <v>117724</v>
      </c>
      <c r="C3623" s="235" t="s">
        <v>19677</v>
      </c>
      <c r="D3623" s="236" t="s">
        <v>18544</v>
      </c>
      <c r="E3623" s="15">
        <v>12690.2</v>
      </c>
      <c r="F3623" s="237">
        <v>42915</v>
      </c>
      <c r="G3623" s="15">
        <v>12690.2</v>
      </c>
      <c r="H3623" s="15">
        <f t="shared" si="56"/>
        <v>0</v>
      </c>
      <c r="I3623" s="236" t="s">
        <v>19682</v>
      </c>
    </row>
    <row r="3624" spans="1:9" x14ac:dyDescent="0.25">
      <c r="A3624" s="36">
        <v>42914</v>
      </c>
      <c r="B3624" s="18">
        <v>117725</v>
      </c>
      <c r="C3624" s="235" t="s">
        <v>19677</v>
      </c>
      <c r="D3624" s="236" t="s">
        <v>15340</v>
      </c>
      <c r="E3624" s="15">
        <v>11678.1</v>
      </c>
      <c r="F3624" s="237">
        <v>42915</v>
      </c>
      <c r="G3624" s="15">
        <v>11678.1</v>
      </c>
      <c r="H3624" s="15">
        <f t="shared" si="56"/>
        <v>0</v>
      </c>
      <c r="I3624" s="236" t="s">
        <v>19682</v>
      </c>
    </row>
    <row r="3625" spans="1:9" x14ac:dyDescent="0.25">
      <c r="A3625" s="242">
        <v>42914</v>
      </c>
      <c r="B3625" s="18">
        <v>117726</v>
      </c>
      <c r="C3625" s="235" t="s">
        <v>19677</v>
      </c>
      <c r="D3625" s="236" t="s">
        <v>15332</v>
      </c>
      <c r="E3625" s="15">
        <v>115.2</v>
      </c>
      <c r="F3625" s="237">
        <v>42915</v>
      </c>
      <c r="G3625" s="15">
        <v>115.2</v>
      </c>
      <c r="H3625" s="15">
        <f t="shared" si="56"/>
        <v>0</v>
      </c>
      <c r="I3625" s="236" t="s">
        <v>19682</v>
      </c>
    </row>
    <row r="3626" spans="1:9" x14ac:dyDescent="0.25">
      <c r="A3626" s="36">
        <v>42914</v>
      </c>
      <c r="B3626" s="18">
        <v>117727</v>
      </c>
      <c r="C3626" s="235" t="s">
        <v>19677</v>
      </c>
      <c r="D3626" s="236" t="s">
        <v>17235</v>
      </c>
      <c r="E3626" s="15">
        <v>980</v>
      </c>
      <c r="F3626" s="237">
        <v>42914</v>
      </c>
      <c r="G3626" s="15">
        <v>980</v>
      </c>
      <c r="H3626" s="15">
        <f t="shared" si="56"/>
        <v>0</v>
      </c>
      <c r="I3626" s="236" t="s">
        <v>19682</v>
      </c>
    </row>
    <row r="3627" spans="1:9" x14ac:dyDescent="0.25">
      <c r="A3627" s="242">
        <v>42914</v>
      </c>
      <c r="B3627" s="18">
        <v>117728</v>
      </c>
      <c r="C3627" s="235" t="s">
        <v>19677</v>
      </c>
      <c r="D3627" s="236" t="s">
        <v>15348</v>
      </c>
      <c r="E3627" s="15">
        <v>3485</v>
      </c>
      <c r="F3627" s="237">
        <v>42919</v>
      </c>
      <c r="G3627" s="15">
        <v>3485</v>
      </c>
      <c r="H3627" s="15">
        <f t="shared" si="56"/>
        <v>0</v>
      </c>
      <c r="I3627" s="236" t="s">
        <v>19682</v>
      </c>
    </row>
    <row r="3628" spans="1:9" x14ac:dyDescent="0.25">
      <c r="A3628" s="36">
        <v>42914</v>
      </c>
      <c r="B3628" s="18">
        <v>117729</v>
      </c>
      <c r="C3628" s="235" t="s">
        <v>19677</v>
      </c>
      <c r="D3628" s="236" t="s">
        <v>15328</v>
      </c>
      <c r="E3628" s="15">
        <v>91267.56</v>
      </c>
      <c r="F3628" s="266">
        <v>42934</v>
      </c>
      <c r="G3628" s="35">
        <v>91267.56</v>
      </c>
      <c r="H3628" s="15">
        <f t="shared" si="56"/>
        <v>0</v>
      </c>
      <c r="I3628" s="236" t="s">
        <v>19682</v>
      </c>
    </row>
    <row r="3629" spans="1:9" x14ac:dyDescent="0.25">
      <c r="A3629" s="242">
        <v>42914</v>
      </c>
      <c r="B3629" s="18">
        <v>117730</v>
      </c>
      <c r="C3629" s="235" t="s">
        <v>19677</v>
      </c>
      <c r="D3629" s="236" t="s">
        <v>15230</v>
      </c>
      <c r="E3629" s="15">
        <v>9864.6</v>
      </c>
      <c r="F3629" s="237">
        <v>42917</v>
      </c>
      <c r="G3629" s="15">
        <v>9864.6</v>
      </c>
      <c r="H3629" s="15">
        <f t="shared" si="56"/>
        <v>0</v>
      </c>
      <c r="I3629" s="236" t="s">
        <v>19682</v>
      </c>
    </row>
    <row r="3630" spans="1:9" x14ac:dyDescent="0.25">
      <c r="A3630" s="36">
        <v>42914</v>
      </c>
      <c r="B3630" s="18">
        <v>117731</v>
      </c>
      <c r="C3630" s="235" t="s">
        <v>19677</v>
      </c>
      <c r="D3630" s="236" t="s">
        <v>15232</v>
      </c>
      <c r="E3630" s="15">
        <v>6691.2</v>
      </c>
      <c r="F3630" s="237">
        <v>42922</v>
      </c>
      <c r="G3630" s="15">
        <v>6691.2</v>
      </c>
      <c r="H3630" s="15">
        <f t="shared" si="56"/>
        <v>0</v>
      </c>
      <c r="I3630" s="236" t="s">
        <v>19682</v>
      </c>
    </row>
    <row r="3631" spans="1:9" x14ac:dyDescent="0.25">
      <c r="A3631" s="242">
        <v>42914</v>
      </c>
      <c r="B3631" s="18">
        <v>117732</v>
      </c>
      <c r="C3631" s="235" t="s">
        <v>19677</v>
      </c>
      <c r="D3631" s="236" t="s">
        <v>15258</v>
      </c>
      <c r="E3631" s="15">
        <v>15320</v>
      </c>
      <c r="F3631" s="237">
        <v>42917</v>
      </c>
      <c r="G3631" s="15">
        <v>15320</v>
      </c>
      <c r="H3631" s="15">
        <f t="shared" si="56"/>
        <v>0</v>
      </c>
      <c r="I3631" s="236" t="s">
        <v>19682</v>
      </c>
    </row>
    <row r="3632" spans="1:9" x14ac:dyDescent="0.25">
      <c r="A3632" s="36">
        <v>42914</v>
      </c>
      <c r="B3632" s="18">
        <v>117733</v>
      </c>
      <c r="C3632" s="235" t="s">
        <v>19677</v>
      </c>
      <c r="D3632" s="236" t="s">
        <v>15668</v>
      </c>
      <c r="E3632" s="15">
        <v>22312</v>
      </c>
      <c r="F3632" s="237" t="s">
        <v>19778</v>
      </c>
      <c r="G3632" s="241">
        <f>20000+2312</f>
        <v>22312</v>
      </c>
      <c r="H3632" s="241">
        <f t="shared" si="56"/>
        <v>0</v>
      </c>
      <c r="I3632" s="236" t="s">
        <v>19682</v>
      </c>
    </row>
    <row r="3633" spans="1:9" x14ac:dyDescent="0.25">
      <c r="A3633" s="242">
        <v>42914</v>
      </c>
      <c r="B3633" s="18">
        <v>117734</v>
      </c>
      <c r="C3633" s="235" t="s">
        <v>19677</v>
      </c>
      <c r="D3633" s="236" t="s">
        <v>15252</v>
      </c>
      <c r="E3633" s="15">
        <v>3970.2</v>
      </c>
      <c r="F3633" s="237">
        <v>42919</v>
      </c>
      <c r="G3633" s="15">
        <v>3970.2</v>
      </c>
      <c r="H3633" s="15">
        <f t="shared" si="56"/>
        <v>0</v>
      </c>
      <c r="I3633" s="236" t="s">
        <v>19682</v>
      </c>
    </row>
    <row r="3634" spans="1:9" x14ac:dyDescent="0.25">
      <c r="A3634" s="36">
        <v>42914</v>
      </c>
      <c r="B3634" s="18">
        <v>117735</v>
      </c>
      <c r="C3634" s="235" t="s">
        <v>19677</v>
      </c>
      <c r="D3634" s="236" t="s">
        <v>15272</v>
      </c>
      <c r="E3634" s="15">
        <v>18647.3</v>
      </c>
      <c r="F3634" s="237">
        <v>42914</v>
      </c>
      <c r="G3634" s="15">
        <v>18647.3</v>
      </c>
      <c r="H3634" s="15">
        <f t="shared" si="56"/>
        <v>0</v>
      </c>
      <c r="I3634" s="236" t="s">
        <v>19682</v>
      </c>
    </row>
    <row r="3635" spans="1:9" x14ac:dyDescent="0.25">
      <c r="A3635" s="242">
        <v>42914</v>
      </c>
      <c r="B3635" s="18">
        <v>117736</v>
      </c>
      <c r="C3635" s="235" t="s">
        <v>19677</v>
      </c>
      <c r="D3635" s="236" t="s">
        <v>15244</v>
      </c>
      <c r="E3635" s="15">
        <v>8221.7000000000007</v>
      </c>
      <c r="F3635" s="237">
        <v>42919</v>
      </c>
      <c r="G3635" s="15">
        <v>8221.7000000000007</v>
      </c>
      <c r="H3635" s="15">
        <f t="shared" si="56"/>
        <v>0</v>
      </c>
      <c r="I3635" s="236" t="s">
        <v>19682</v>
      </c>
    </row>
    <row r="3636" spans="1:9" x14ac:dyDescent="0.25">
      <c r="A3636" s="36">
        <v>42914</v>
      </c>
      <c r="B3636" s="18">
        <v>117737</v>
      </c>
      <c r="C3636" s="235" t="s">
        <v>19677</v>
      </c>
      <c r="D3636" s="236" t="s">
        <v>15338</v>
      </c>
      <c r="E3636" s="15">
        <v>4924.3</v>
      </c>
      <c r="F3636" s="237">
        <v>42917</v>
      </c>
      <c r="G3636" s="15">
        <v>4924.3</v>
      </c>
      <c r="H3636" s="15">
        <f t="shared" si="56"/>
        <v>0</v>
      </c>
      <c r="I3636" s="236" t="s">
        <v>19682</v>
      </c>
    </row>
    <row r="3637" spans="1:9" x14ac:dyDescent="0.25">
      <c r="A3637" s="242">
        <v>42914</v>
      </c>
      <c r="B3637" s="18">
        <v>117738</v>
      </c>
      <c r="C3637" s="235" t="s">
        <v>19677</v>
      </c>
      <c r="D3637" s="236" t="s">
        <v>15240</v>
      </c>
      <c r="E3637" s="15">
        <v>795.6</v>
      </c>
      <c r="F3637" s="237">
        <v>42919</v>
      </c>
      <c r="G3637" s="15">
        <v>795.6</v>
      </c>
      <c r="H3637" s="15">
        <f t="shared" si="56"/>
        <v>0</v>
      </c>
      <c r="I3637" s="236" t="s">
        <v>19682</v>
      </c>
    </row>
    <row r="3638" spans="1:9" x14ac:dyDescent="0.25">
      <c r="A3638" s="36">
        <v>42914</v>
      </c>
      <c r="B3638" s="18">
        <v>117739</v>
      </c>
      <c r="C3638" s="235" t="s">
        <v>19677</v>
      </c>
      <c r="D3638" s="236" t="s">
        <v>15242</v>
      </c>
      <c r="E3638" s="15">
        <v>4455</v>
      </c>
      <c r="F3638" s="237">
        <v>42919</v>
      </c>
      <c r="G3638" s="15">
        <v>4455</v>
      </c>
      <c r="H3638" s="15">
        <f t="shared" si="56"/>
        <v>0</v>
      </c>
      <c r="I3638" s="236" t="s">
        <v>19682</v>
      </c>
    </row>
    <row r="3639" spans="1:9" ht="15.75" x14ac:dyDescent="0.25">
      <c r="A3639" s="242">
        <v>42914</v>
      </c>
      <c r="B3639" s="18">
        <v>117740</v>
      </c>
      <c r="C3639" s="235" t="s">
        <v>19677</v>
      </c>
      <c r="D3639" s="248" t="s">
        <v>95</v>
      </c>
      <c r="E3639" s="15">
        <v>0</v>
      </c>
      <c r="F3639" s="243" t="s">
        <v>95</v>
      </c>
      <c r="G3639" s="15">
        <v>0</v>
      </c>
      <c r="H3639" s="15">
        <f t="shared" si="56"/>
        <v>0</v>
      </c>
      <c r="I3639" s="236" t="s">
        <v>19678</v>
      </c>
    </row>
    <row r="3640" spans="1:9" x14ac:dyDescent="0.25">
      <c r="A3640" s="36">
        <v>42914</v>
      </c>
      <c r="B3640" s="18">
        <v>117741</v>
      </c>
      <c r="C3640" s="235" t="s">
        <v>19677</v>
      </c>
      <c r="D3640" s="236" t="s">
        <v>15263</v>
      </c>
      <c r="E3640" s="15">
        <v>1146</v>
      </c>
      <c r="F3640" s="237">
        <v>42914</v>
      </c>
      <c r="G3640" s="15">
        <v>1146</v>
      </c>
      <c r="H3640" s="15">
        <f t="shared" si="56"/>
        <v>0</v>
      </c>
      <c r="I3640" s="236" t="s">
        <v>19682</v>
      </c>
    </row>
    <row r="3641" spans="1:9" x14ac:dyDescent="0.25">
      <c r="A3641" s="242">
        <v>42914</v>
      </c>
      <c r="B3641" s="18">
        <v>117742</v>
      </c>
      <c r="C3641" s="235" t="s">
        <v>19677</v>
      </c>
      <c r="D3641" s="236" t="s">
        <v>15324</v>
      </c>
      <c r="E3641" s="15">
        <v>1775.1</v>
      </c>
      <c r="F3641" s="237">
        <v>42914</v>
      </c>
      <c r="G3641" s="15">
        <v>1775.1</v>
      </c>
      <c r="H3641" s="15">
        <f t="shared" si="56"/>
        <v>0</v>
      </c>
      <c r="I3641" s="236" t="s">
        <v>19682</v>
      </c>
    </row>
    <row r="3642" spans="1:9" x14ac:dyDescent="0.25">
      <c r="A3642" s="36">
        <v>42914</v>
      </c>
      <c r="B3642" s="18">
        <v>117743</v>
      </c>
      <c r="C3642" s="235" t="s">
        <v>19677</v>
      </c>
      <c r="D3642" s="236" t="s">
        <v>15220</v>
      </c>
      <c r="E3642" s="15">
        <v>2450</v>
      </c>
      <c r="F3642" s="237">
        <v>42914</v>
      </c>
      <c r="G3642" s="15">
        <v>2450</v>
      </c>
      <c r="H3642" s="15">
        <f t="shared" si="56"/>
        <v>0</v>
      </c>
      <c r="I3642" s="236" t="s">
        <v>19682</v>
      </c>
    </row>
    <row r="3643" spans="1:9" x14ac:dyDescent="0.25">
      <c r="A3643" s="242">
        <v>42914</v>
      </c>
      <c r="B3643" s="18">
        <v>117744</v>
      </c>
      <c r="C3643" s="235" t="s">
        <v>19677</v>
      </c>
      <c r="D3643" s="236" t="s">
        <v>15365</v>
      </c>
      <c r="E3643" s="15">
        <v>12675.3</v>
      </c>
      <c r="F3643" s="237">
        <v>42915</v>
      </c>
      <c r="G3643" s="15">
        <v>12675.3</v>
      </c>
      <c r="H3643" s="15">
        <f t="shared" si="56"/>
        <v>0</v>
      </c>
      <c r="I3643" s="236" t="s">
        <v>19682</v>
      </c>
    </row>
    <row r="3644" spans="1:9" x14ac:dyDescent="0.25">
      <c r="A3644" s="36">
        <v>42914</v>
      </c>
      <c r="B3644" s="18">
        <v>117745</v>
      </c>
      <c r="C3644" s="235" t="s">
        <v>19677</v>
      </c>
      <c r="D3644" s="236" t="s">
        <v>5575</v>
      </c>
      <c r="E3644" s="15">
        <v>3568</v>
      </c>
      <c r="F3644" s="237">
        <v>42917</v>
      </c>
      <c r="G3644" s="15">
        <v>3568</v>
      </c>
      <c r="H3644" s="15">
        <f t="shared" si="56"/>
        <v>0</v>
      </c>
      <c r="I3644" s="236" t="s">
        <v>19682</v>
      </c>
    </row>
    <row r="3645" spans="1:9" x14ac:dyDescent="0.25">
      <c r="A3645" s="242">
        <v>42914</v>
      </c>
      <c r="B3645" s="18">
        <v>117746</v>
      </c>
      <c r="C3645" s="235" t="s">
        <v>19677</v>
      </c>
      <c r="D3645" s="236" t="s">
        <v>15234</v>
      </c>
      <c r="E3645" s="15">
        <v>3688</v>
      </c>
      <c r="F3645" s="237">
        <v>42917</v>
      </c>
      <c r="G3645" s="15">
        <v>3688</v>
      </c>
      <c r="H3645" s="15">
        <f t="shared" si="56"/>
        <v>0</v>
      </c>
      <c r="I3645" s="236" t="s">
        <v>19682</v>
      </c>
    </row>
    <row r="3646" spans="1:9" x14ac:dyDescent="0.25">
      <c r="A3646" s="36">
        <v>42914</v>
      </c>
      <c r="B3646" s="18">
        <v>117747</v>
      </c>
      <c r="C3646" s="235" t="s">
        <v>19677</v>
      </c>
      <c r="D3646" s="236" t="s">
        <v>15256</v>
      </c>
      <c r="E3646" s="15">
        <v>810.6</v>
      </c>
      <c r="F3646" s="237">
        <v>42915</v>
      </c>
      <c r="G3646" s="15">
        <v>810.6</v>
      </c>
      <c r="H3646" s="15">
        <f t="shared" si="56"/>
        <v>0</v>
      </c>
      <c r="I3646" s="236" t="s">
        <v>19682</v>
      </c>
    </row>
    <row r="3647" spans="1:9" x14ac:dyDescent="0.25">
      <c r="A3647" s="242">
        <v>42914</v>
      </c>
      <c r="B3647" s="18">
        <v>117748</v>
      </c>
      <c r="C3647" s="235" t="s">
        <v>19677</v>
      </c>
      <c r="D3647" s="236" t="s">
        <v>15258</v>
      </c>
      <c r="E3647" s="15">
        <v>291.89999999999998</v>
      </c>
      <c r="F3647" s="237">
        <v>42915</v>
      </c>
      <c r="G3647" s="15">
        <v>291.89999999999998</v>
      </c>
      <c r="H3647" s="15">
        <f t="shared" si="56"/>
        <v>0</v>
      </c>
      <c r="I3647" s="236" t="s">
        <v>19682</v>
      </c>
    </row>
    <row r="3648" spans="1:9" x14ac:dyDescent="0.25">
      <c r="A3648" s="36">
        <v>42914</v>
      </c>
      <c r="B3648" s="18">
        <v>117749</v>
      </c>
      <c r="C3648" s="235" t="s">
        <v>19677</v>
      </c>
      <c r="D3648" s="236" t="s">
        <v>17462</v>
      </c>
      <c r="E3648" s="15">
        <v>6548.4</v>
      </c>
      <c r="F3648" s="237">
        <v>42914</v>
      </c>
      <c r="G3648" s="15">
        <v>6548.4</v>
      </c>
      <c r="H3648" s="15">
        <f t="shared" si="56"/>
        <v>0</v>
      </c>
      <c r="I3648" s="236" t="s">
        <v>19682</v>
      </c>
    </row>
    <row r="3649" spans="1:9" x14ac:dyDescent="0.25">
      <c r="A3649" s="242">
        <v>42914</v>
      </c>
      <c r="B3649" s="18">
        <v>117750</v>
      </c>
      <c r="C3649" s="235" t="s">
        <v>19677</v>
      </c>
      <c r="D3649" s="236" t="s">
        <v>15284</v>
      </c>
      <c r="E3649" s="15">
        <v>2327.6</v>
      </c>
      <c r="F3649" s="237">
        <v>42914</v>
      </c>
      <c r="G3649" s="15">
        <v>2327.6</v>
      </c>
      <c r="H3649" s="15">
        <f t="shared" si="56"/>
        <v>0</v>
      </c>
      <c r="I3649" s="236" t="s">
        <v>19682</v>
      </c>
    </row>
    <row r="3650" spans="1:9" x14ac:dyDescent="0.25">
      <c r="A3650" s="36">
        <v>42914</v>
      </c>
      <c r="B3650" s="18">
        <v>117751</v>
      </c>
      <c r="C3650" s="235" t="s">
        <v>19677</v>
      </c>
      <c r="D3650" s="236" t="s">
        <v>16129</v>
      </c>
      <c r="E3650" s="15">
        <v>387.4</v>
      </c>
      <c r="F3650" s="237">
        <v>42914</v>
      </c>
      <c r="G3650" s="15">
        <v>387.4</v>
      </c>
      <c r="H3650" s="15">
        <f t="shared" ref="H3650:H3713" si="57">E3650-G3650</f>
        <v>0</v>
      </c>
      <c r="I3650" s="236" t="s">
        <v>19682</v>
      </c>
    </row>
    <row r="3651" spans="1:9" x14ac:dyDescent="0.25">
      <c r="A3651" s="242">
        <v>42914</v>
      </c>
      <c r="B3651" s="18">
        <v>117752</v>
      </c>
      <c r="C3651" s="235" t="s">
        <v>19677</v>
      </c>
      <c r="D3651" s="236" t="s">
        <v>15250</v>
      </c>
      <c r="E3651" s="15">
        <v>40971.08</v>
      </c>
      <c r="F3651" s="266">
        <v>42931</v>
      </c>
      <c r="G3651" s="35">
        <v>40971.08</v>
      </c>
      <c r="H3651" s="15">
        <f t="shared" si="57"/>
        <v>0</v>
      </c>
      <c r="I3651" s="236" t="s">
        <v>19682</v>
      </c>
    </row>
    <row r="3652" spans="1:9" x14ac:dyDescent="0.25">
      <c r="A3652" s="36">
        <v>42914</v>
      </c>
      <c r="B3652" s="18">
        <v>117753</v>
      </c>
      <c r="C3652" s="235" t="s">
        <v>19677</v>
      </c>
      <c r="D3652" s="236" t="s">
        <v>15404</v>
      </c>
      <c r="E3652" s="15">
        <v>11588</v>
      </c>
      <c r="F3652" s="237">
        <v>42914</v>
      </c>
      <c r="G3652" s="15">
        <v>11588</v>
      </c>
      <c r="H3652" s="15">
        <f t="shared" si="57"/>
        <v>0</v>
      </c>
      <c r="I3652" s="236" t="s">
        <v>19682</v>
      </c>
    </row>
    <row r="3653" spans="1:9" x14ac:dyDescent="0.25">
      <c r="A3653" s="242">
        <v>42914</v>
      </c>
      <c r="B3653" s="18">
        <v>117754</v>
      </c>
      <c r="C3653" s="235" t="s">
        <v>19677</v>
      </c>
      <c r="D3653" s="236" t="s">
        <v>15261</v>
      </c>
      <c r="E3653" s="15">
        <v>29144.9</v>
      </c>
      <c r="F3653" s="237">
        <v>42914</v>
      </c>
      <c r="G3653" s="15">
        <v>29144.9</v>
      </c>
      <c r="H3653" s="15">
        <f t="shared" si="57"/>
        <v>0</v>
      </c>
      <c r="I3653" s="236" t="s">
        <v>19682</v>
      </c>
    </row>
    <row r="3654" spans="1:9" x14ac:dyDescent="0.25">
      <c r="A3654" s="36">
        <v>42914</v>
      </c>
      <c r="B3654" s="18">
        <v>117755</v>
      </c>
      <c r="C3654" s="235" t="s">
        <v>19677</v>
      </c>
      <c r="D3654" s="236" t="s">
        <v>15248</v>
      </c>
      <c r="E3654" s="15">
        <v>34874.400000000001</v>
      </c>
      <c r="F3654" s="237">
        <v>42914</v>
      </c>
      <c r="G3654" s="15">
        <v>34874.400000000001</v>
      </c>
      <c r="H3654" s="15">
        <f t="shared" si="57"/>
        <v>0</v>
      </c>
      <c r="I3654" s="236" t="s">
        <v>19682</v>
      </c>
    </row>
    <row r="3655" spans="1:9" x14ac:dyDescent="0.25">
      <c r="A3655" s="242">
        <v>42914</v>
      </c>
      <c r="B3655" s="18">
        <v>117756</v>
      </c>
      <c r="C3655" s="235" t="s">
        <v>19677</v>
      </c>
      <c r="D3655" s="236" t="s">
        <v>15407</v>
      </c>
      <c r="E3655" s="15">
        <v>2272.4</v>
      </c>
      <c r="F3655" s="237">
        <v>42914</v>
      </c>
      <c r="G3655" s="15">
        <v>2272.4</v>
      </c>
      <c r="H3655" s="15">
        <f t="shared" si="57"/>
        <v>0</v>
      </c>
      <c r="I3655" s="236" t="s">
        <v>19682</v>
      </c>
    </row>
    <row r="3656" spans="1:9" x14ac:dyDescent="0.25">
      <c r="A3656" s="36">
        <v>42914</v>
      </c>
      <c r="B3656" s="18">
        <v>117757</v>
      </c>
      <c r="C3656" s="235" t="s">
        <v>19677</v>
      </c>
      <c r="D3656" s="236" t="s">
        <v>19549</v>
      </c>
      <c r="E3656" s="15">
        <v>13259.8</v>
      </c>
      <c r="F3656" s="237">
        <v>42915</v>
      </c>
      <c r="G3656" s="15">
        <v>13259.8</v>
      </c>
      <c r="H3656" s="15">
        <f t="shared" si="57"/>
        <v>0</v>
      </c>
      <c r="I3656" s="236" t="s">
        <v>19682</v>
      </c>
    </row>
    <row r="3657" spans="1:9" x14ac:dyDescent="0.25">
      <c r="A3657" s="242">
        <v>42914</v>
      </c>
      <c r="B3657" s="18">
        <v>117758</v>
      </c>
      <c r="C3657" s="235" t="s">
        <v>19677</v>
      </c>
      <c r="D3657" s="236" t="s">
        <v>15246</v>
      </c>
      <c r="E3657" s="15">
        <v>636</v>
      </c>
      <c r="F3657" s="237">
        <v>42916</v>
      </c>
      <c r="G3657" s="15">
        <v>636</v>
      </c>
      <c r="H3657" s="15">
        <f t="shared" si="57"/>
        <v>0</v>
      </c>
      <c r="I3657" s="236" t="s">
        <v>19682</v>
      </c>
    </row>
    <row r="3658" spans="1:9" x14ac:dyDescent="0.25">
      <c r="A3658" s="36">
        <v>42914</v>
      </c>
      <c r="B3658" s="18">
        <v>117759</v>
      </c>
      <c r="C3658" s="235" t="s">
        <v>19677</v>
      </c>
      <c r="D3658" s="236" t="s">
        <v>15394</v>
      </c>
      <c r="E3658" s="15">
        <v>15701.2</v>
      </c>
      <c r="F3658" s="237">
        <v>42915</v>
      </c>
      <c r="G3658" s="15">
        <v>15701.2</v>
      </c>
      <c r="H3658" s="15">
        <f t="shared" si="57"/>
        <v>0</v>
      </c>
      <c r="I3658" s="236" t="s">
        <v>19682</v>
      </c>
    </row>
    <row r="3659" spans="1:9" x14ac:dyDescent="0.25">
      <c r="A3659" s="242">
        <v>42914</v>
      </c>
      <c r="B3659" s="18">
        <v>117760</v>
      </c>
      <c r="C3659" s="235" t="s">
        <v>19677</v>
      </c>
      <c r="D3659" s="236" t="s">
        <v>15530</v>
      </c>
      <c r="E3659" s="15">
        <v>1570.4</v>
      </c>
      <c r="F3659" s="237">
        <v>42914</v>
      </c>
      <c r="G3659" s="15">
        <v>1570.4</v>
      </c>
      <c r="H3659" s="15">
        <f t="shared" si="57"/>
        <v>0</v>
      </c>
      <c r="I3659" s="236" t="s">
        <v>19682</v>
      </c>
    </row>
    <row r="3660" spans="1:9" x14ac:dyDescent="0.25">
      <c r="A3660" s="36">
        <v>42914</v>
      </c>
      <c r="B3660" s="18">
        <v>117761</v>
      </c>
      <c r="C3660" s="235" t="s">
        <v>19677</v>
      </c>
      <c r="D3660" s="236" t="s">
        <v>15223</v>
      </c>
      <c r="E3660" s="15">
        <v>48564</v>
      </c>
      <c r="F3660" s="266">
        <v>42933</v>
      </c>
      <c r="G3660" s="35">
        <v>48564</v>
      </c>
      <c r="H3660" s="15">
        <f t="shared" si="57"/>
        <v>0</v>
      </c>
      <c r="I3660" s="236" t="s">
        <v>19682</v>
      </c>
    </row>
    <row r="3661" spans="1:9" x14ac:dyDescent="0.25">
      <c r="A3661" s="242">
        <v>42914</v>
      </c>
      <c r="B3661" s="18">
        <v>117762</v>
      </c>
      <c r="C3661" s="235" t="s">
        <v>19677</v>
      </c>
      <c r="D3661" s="236" t="s">
        <v>15280</v>
      </c>
      <c r="E3661" s="15">
        <v>11026.6</v>
      </c>
      <c r="F3661" s="237">
        <v>42914</v>
      </c>
      <c r="G3661" s="15">
        <v>11026.6</v>
      </c>
      <c r="H3661" s="15">
        <f t="shared" si="57"/>
        <v>0</v>
      </c>
      <c r="I3661" s="236" t="s">
        <v>19682</v>
      </c>
    </row>
    <row r="3662" spans="1:9" x14ac:dyDescent="0.25">
      <c r="A3662" s="36">
        <v>42914</v>
      </c>
      <c r="B3662" s="18">
        <v>117763</v>
      </c>
      <c r="C3662" s="235" t="s">
        <v>19677</v>
      </c>
      <c r="D3662" s="236" t="s">
        <v>15382</v>
      </c>
      <c r="E3662" s="15">
        <v>8390</v>
      </c>
      <c r="F3662" s="266">
        <v>42927</v>
      </c>
      <c r="G3662" s="35">
        <v>8390</v>
      </c>
      <c r="H3662" s="15">
        <f t="shared" si="57"/>
        <v>0</v>
      </c>
      <c r="I3662" s="236" t="s">
        <v>19682</v>
      </c>
    </row>
    <row r="3663" spans="1:9" x14ac:dyDescent="0.25">
      <c r="A3663" s="242">
        <v>42914</v>
      </c>
      <c r="B3663" s="18">
        <v>117764</v>
      </c>
      <c r="C3663" s="235" t="s">
        <v>19677</v>
      </c>
      <c r="D3663" s="236" t="s">
        <v>19779</v>
      </c>
      <c r="E3663" s="15">
        <v>34000</v>
      </c>
      <c r="F3663" s="237">
        <v>42915</v>
      </c>
      <c r="G3663" s="15">
        <v>34000</v>
      </c>
      <c r="H3663" s="15">
        <f t="shared" si="57"/>
        <v>0</v>
      </c>
      <c r="I3663" s="236" t="s">
        <v>19682</v>
      </c>
    </row>
    <row r="3664" spans="1:9" x14ac:dyDescent="0.25">
      <c r="A3664" s="36">
        <v>42914</v>
      </c>
      <c r="B3664" s="18">
        <v>117765</v>
      </c>
      <c r="C3664" s="235" t="s">
        <v>19677</v>
      </c>
      <c r="D3664" s="236" t="s">
        <v>15326</v>
      </c>
      <c r="E3664" s="15">
        <v>2617.6</v>
      </c>
      <c r="F3664" s="237">
        <v>42914</v>
      </c>
      <c r="G3664" s="15">
        <v>2617.6</v>
      </c>
      <c r="H3664" s="15">
        <f t="shared" si="57"/>
        <v>0</v>
      </c>
      <c r="I3664" s="236" t="s">
        <v>19682</v>
      </c>
    </row>
    <row r="3665" spans="1:9" x14ac:dyDescent="0.25">
      <c r="A3665" s="242">
        <v>42914</v>
      </c>
      <c r="B3665" s="18">
        <v>117766</v>
      </c>
      <c r="C3665" s="235" t="s">
        <v>19677</v>
      </c>
      <c r="D3665" s="236" t="s">
        <v>15562</v>
      </c>
      <c r="E3665" s="15">
        <v>3636.7</v>
      </c>
      <c r="F3665" s="237">
        <v>42914</v>
      </c>
      <c r="G3665" s="15">
        <v>3636.7</v>
      </c>
      <c r="H3665" s="15">
        <f t="shared" si="57"/>
        <v>0</v>
      </c>
      <c r="I3665" s="236" t="s">
        <v>19682</v>
      </c>
    </row>
    <row r="3666" spans="1:9" x14ac:dyDescent="0.25">
      <c r="A3666" s="36">
        <v>42914</v>
      </c>
      <c r="B3666" s="18">
        <v>117767</v>
      </c>
      <c r="C3666" s="235" t="s">
        <v>19677</v>
      </c>
      <c r="D3666" s="236" t="s">
        <v>15389</v>
      </c>
      <c r="E3666" s="15">
        <v>15735</v>
      </c>
      <c r="F3666" s="266">
        <v>42927</v>
      </c>
      <c r="G3666" s="35">
        <v>15735</v>
      </c>
      <c r="H3666" s="15">
        <f t="shared" si="57"/>
        <v>0</v>
      </c>
      <c r="I3666" s="236" t="s">
        <v>19682</v>
      </c>
    </row>
    <row r="3667" spans="1:9" x14ac:dyDescent="0.25">
      <c r="A3667" s="242">
        <v>42914</v>
      </c>
      <c r="B3667" s="18">
        <v>117768</v>
      </c>
      <c r="C3667" s="235" t="s">
        <v>19677</v>
      </c>
      <c r="D3667" s="236" t="s">
        <v>15278</v>
      </c>
      <c r="E3667" s="15">
        <v>5530.8</v>
      </c>
      <c r="F3667" s="237">
        <v>42914</v>
      </c>
      <c r="G3667" s="15">
        <v>5530.8</v>
      </c>
      <c r="H3667" s="15">
        <f t="shared" si="57"/>
        <v>0</v>
      </c>
      <c r="I3667" s="236" t="s">
        <v>19682</v>
      </c>
    </row>
    <row r="3668" spans="1:9" x14ac:dyDescent="0.25">
      <c r="A3668" s="36">
        <v>42914</v>
      </c>
      <c r="B3668" s="18">
        <v>117769</v>
      </c>
      <c r="C3668" s="235" t="s">
        <v>19677</v>
      </c>
      <c r="D3668" s="236" t="s">
        <v>15378</v>
      </c>
      <c r="E3668" s="15">
        <v>1095.5999999999999</v>
      </c>
      <c r="F3668" s="237">
        <v>42914</v>
      </c>
      <c r="G3668" s="15">
        <v>1095.5999999999999</v>
      </c>
      <c r="H3668" s="15">
        <f t="shared" si="57"/>
        <v>0</v>
      </c>
      <c r="I3668" s="236" t="s">
        <v>19682</v>
      </c>
    </row>
    <row r="3669" spans="1:9" x14ac:dyDescent="0.25">
      <c r="A3669" s="242">
        <v>42914</v>
      </c>
      <c r="B3669" s="18">
        <v>117770</v>
      </c>
      <c r="C3669" s="235" t="s">
        <v>19677</v>
      </c>
      <c r="D3669" s="236" t="s">
        <v>15256</v>
      </c>
      <c r="E3669" s="15">
        <v>5529.3</v>
      </c>
      <c r="F3669" s="237" t="s">
        <v>19778</v>
      </c>
      <c r="G3669" s="241">
        <f>3400+2129.3</f>
        <v>5529.3</v>
      </c>
      <c r="H3669" s="241">
        <f t="shared" si="57"/>
        <v>0</v>
      </c>
      <c r="I3669" s="236" t="s">
        <v>19682</v>
      </c>
    </row>
    <row r="3670" spans="1:9" x14ac:dyDescent="0.25">
      <c r="A3670" s="36">
        <v>42914</v>
      </c>
      <c r="B3670" s="18">
        <v>117771</v>
      </c>
      <c r="C3670" s="235" t="s">
        <v>19677</v>
      </c>
      <c r="D3670" s="236" t="s">
        <v>15317</v>
      </c>
      <c r="E3670" s="15">
        <v>3435</v>
      </c>
      <c r="F3670" s="266">
        <v>42920</v>
      </c>
      <c r="G3670" s="35">
        <v>3435</v>
      </c>
      <c r="H3670" s="15">
        <f t="shared" si="57"/>
        <v>0</v>
      </c>
      <c r="I3670" s="236" t="s">
        <v>19682</v>
      </c>
    </row>
    <row r="3671" spans="1:9" x14ac:dyDescent="0.25">
      <c r="A3671" s="242">
        <v>42914</v>
      </c>
      <c r="B3671" s="18">
        <v>117772</v>
      </c>
      <c r="C3671" s="235" t="s">
        <v>19677</v>
      </c>
      <c r="D3671" s="236" t="s">
        <v>15291</v>
      </c>
      <c r="E3671" s="15">
        <v>1225</v>
      </c>
      <c r="F3671" s="237">
        <v>42915</v>
      </c>
      <c r="G3671" s="15">
        <v>1225</v>
      </c>
      <c r="H3671" s="15">
        <f t="shared" si="57"/>
        <v>0</v>
      </c>
      <c r="I3671" s="236" t="s">
        <v>19682</v>
      </c>
    </row>
    <row r="3672" spans="1:9" x14ac:dyDescent="0.25">
      <c r="A3672" s="36">
        <v>42914</v>
      </c>
      <c r="B3672" s="18">
        <v>117773</v>
      </c>
      <c r="C3672" s="235" t="s">
        <v>19677</v>
      </c>
      <c r="D3672" s="236" t="s">
        <v>15415</v>
      </c>
      <c r="E3672" s="15">
        <v>795.6</v>
      </c>
      <c r="F3672" s="266">
        <v>42922</v>
      </c>
      <c r="G3672" s="35">
        <v>795.6</v>
      </c>
      <c r="H3672" s="15">
        <f t="shared" si="57"/>
        <v>0</v>
      </c>
      <c r="I3672" s="236" t="s">
        <v>19682</v>
      </c>
    </row>
    <row r="3673" spans="1:9" x14ac:dyDescent="0.25">
      <c r="A3673" s="242">
        <v>42914</v>
      </c>
      <c r="B3673" s="18">
        <v>117774</v>
      </c>
      <c r="C3673" s="235" t="s">
        <v>19677</v>
      </c>
      <c r="D3673" s="236" t="s">
        <v>15748</v>
      </c>
      <c r="E3673" s="15">
        <v>1089.3</v>
      </c>
      <c r="F3673" s="266">
        <v>42921</v>
      </c>
      <c r="G3673" s="35">
        <v>1089.3</v>
      </c>
      <c r="H3673" s="15">
        <f t="shared" si="57"/>
        <v>0</v>
      </c>
      <c r="I3673" s="236" t="s">
        <v>19682</v>
      </c>
    </row>
    <row r="3674" spans="1:9" x14ac:dyDescent="0.25">
      <c r="A3674" s="36">
        <v>42914</v>
      </c>
      <c r="B3674" s="18">
        <v>117775</v>
      </c>
      <c r="C3674" s="235" t="s">
        <v>19677</v>
      </c>
      <c r="D3674" s="236" t="s">
        <v>15274</v>
      </c>
      <c r="E3674" s="15">
        <v>1030</v>
      </c>
      <c r="F3674" s="237">
        <v>42915</v>
      </c>
      <c r="G3674" s="15">
        <v>1030</v>
      </c>
      <c r="H3674" s="15">
        <f t="shared" si="57"/>
        <v>0</v>
      </c>
      <c r="I3674" s="236" t="s">
        <v>19682</v>
      </c>
    </row>
    <row r="3675" spans="1:9" x14ac:dyDescent="0.25">
      <c r="A3675" s="242">
        <v>42914</v>
      </c>
      <c r="B3675" s="18">
        <v>117776</v>
      </c>
      <c r="C3675" s="235" t="s">
        <v>19677</v>
      </c>
      <c r="D3675" s="236" t="s">
        <v>16064</v>
      </c>
      <c r="E3675" s="15">
        <v>330</v>
      </c>
      <c r="F3675" s="237">
        <v>42915</v>
      </c>
      <c r="G3675" s="15">
        <v>330</v>
      </c>
      <c r="H3675" s="15">
        <f t="shared" si="57"/>
        <v>0</v>
      </c>
      <c r="I3675" s="236" t="s">
        <v>19682</v>
      </c>
    </row>
    <row r="3676" spans="1:9" x14ac:dyDescent="0.25">
      <c r="A3676" s="36">
        <v>42914</v>
      </c>
      <c r="B3676" s="18">
        <v>117777</v>
      </c>
      <c r="C3676" s="235" t="s">
        <v>19677</v>
      </c>
      <c r="D3676" s="236" t="s">
        <v>15309</v>
      </c>
      <c r="E3676" s="15">
        <v>3800</v>
      </c>
      <c r="F3676" s="237">
        <v>42915</v>
      </c>
      <c r="G3676" s="15">
        <v>3800</v>
      </c>
      <c r="H3676" s="15">
        <f t="shared" si="57"/>
        <v>0</v>
      </c>
      <c r="I3676" s="236" t="s">
        <v>19682</v>
      </c>
    </row>
    <row r="3677" spans="1:9" x14ac:dyDescent="0.25">
      <c r="A3677" s="242">
        <v>42914</v>
      </c>
      <c r="B3677" s="18">
        <v>117778</v>
      </c>
      <c r="C3677" s="235" t="s">
        <v>19677</v>
      </c>
      <c r="D3677" s="236" t="s">
        <v>15745</v>
      </c>
      <c r="E3677" s="15">
        <v>2900.16</v>
      </c>
      <c r="F3677" s="237">
        <v>42915</v>
      </c>
      <c r="G3677" s="15">
        <v>2900.16</v>
      </c>
      <c r="H3677" s="15">
        <f t="shared" si="57"/>
        <v>0</v>
      </c>
      <c r="I3677" s="236" t="s">
        <v>19682</v>
      </c>
    </row>
    <row r="3678" spans="1:9" x14ac:dyDescent="0.25">
      <c r="A3678" s="36">
        <v>42914</v>
      </c>
      <c r="B3678" s="18">
        <v>117779</v>
      </c>
      <c r="C3678" s="235" t="s">
        <v>19677</v>
      </c>
      <c r="D3678" s="236" t="s">
        <v>17235</v>
      </c>
      <c r="E3678" s="15">
        <v>787.2</v>
      </c>
      <c r="F3678" s="237">
        <v>42915</v>
      </c>
      <c r="G3678" s="15">
        <v>787.2</v>
      </c>
      <c r="H3678" s="15">
        <f t="shared" si="57"/>
        <v>0</v>
      </c>
      <c r="I3678" s="236" t="s">
        <v>19682</v>
      </c>
    </row>
    <row r="3679" spans="1:9" x14ac:dyDescent="0.25">
      <c r="A3679" s="242">
        <v>42914</v>
      </c>
      <c r="B3679" s="18">
        <v>117780</v>
      </c>
      <c r="C3679" s="235" t="s">
        <v>19677</v>
      </c>
      <c r="D3679" s="236" t="s">
        <v>17462</v>
      </c>
      <c r="E3679" s="15">
        <v>426.8</v>
      </c>
      <c r="F3679" s="237">
        <v>42914</v>
      </c>
      <c r="G3679" s="15">
        <v>426.8</v>
      </c>
      <c r="H3679" s="15">
        <f t="shared" si="57"/>
        <v>0</v>
      </c>
      <c r="I3679" s="236" t="s">
        <v>19682</v>
      </c>
    </row>
    <row r="3680" spans="1:9" x14ac:dyDescent="0.25">
      <c r="A3680" s="36">
        <v>42914</v>
      </c>
      <c r="B3680" s="18">
        <v>117781</v>
      </c>
      <c r="C3680" s="235" t="s">
        <v>19677</v>
      </c>
      <c r="D3680" s="236" t="s">
        <v>15276</v>
      </c>
      <c r="E3680" s="15">
        <v>2450</v>
      </c>
      <c r="F3680" s="237">
        <v>42915</v>
      </c>
      <c r="G3680" s="15">
        <v>2450</v>
      </c>
      <c r="H3680" s="15">
        <f t="shared" si="57"/>
        <v>0</v>
      </c>
      <c r="I3680" s="236" t="s">
        <v>19682</v>
      </c>
    </row>
    <row r="3681" spans="1:9" x14ac:dyDescent="0.25">
      <c r="A3681" s="242">
        <v>42914</v>
      </c>
      <c r="B3681" s="18">
        <v>117782</v>
      </c>
      <c r="C3681" s="235" t="s">
        <v>19677</v>
      </c>
      <c r="D3681" s="236" t="s">
        <v>15322</v>
      </c>
      <c r="E3681" s="15">
        <v>1209.4000000000001</v>
      </c>
      <c r="F3681" s="237">
        <v>42914</v>
      </c>
      <c r="G3681" s="15">
        <v>1209.4000000000001</v>
      </c>
      <c r="H3681" s="15">
        <f t="shared" si="57"/>
        <v>0</v>
      </c>
      <c r="I3681" s="236" t="s">
        <v>19682</v>
      </c>
    </row>
    <row r="3682" spans="1:9" x14ac:dyDescent="0.25">
      <c r="A3682" s="36">
        <v>42914</v>
      </c>
      <c r="B3682" s="18">
        <v>117783</v>
      </c>
      <c r="C3682" s="235" t="s">
        <v>19677</v>
      </c>
      <c r="D3682" s="236" t="s">
        <v>15759</v>
      </c>
      <c r="E3682" s="15">
        <v>3209.7</v>
      </c>
      <c r="F3682" s="237">
        <v>42915</v>
      </c>
      <c r="G3682" s="15">
        <v>3209.7</v>
      </c>
      <c r="H3682" s="15">
        <f t="shared" si="57"/>
        <v>0</v>
      </c>
      <c r="I3682" s="236" t="s">
        <v>19682</v>
      </c>
    </row>
    <row r="3683" spans="1:9" x14ac:dyDescent="0.25">
      <c r="A3683" s="242">
        <v>42914</v>
      </c>
      <c r="B3683" s="18">
        <v>117784</v>
      </c>
      <c r="C3683" s="235" t="s">
        <v>19677</v>
      </c>
      <c r="D3683" s="236" t="s">
        <v>15568</v>
      </c>
      <c r="E3683" s="15">
        <v>13126.84</v>
      </c>
      <c r="F3683" s="237">
        <v>42914</v>
      </c>
      <c r="G3683" s="15">
        <v>13126.84</v>
      </c>
      <c r="H3683" s="15">
        <f t="shared" si="57"/>
        <v>0</v>
      </c>
      <c r="I3683" s="236" t="s">
        <v>19682</v>
      </c>
    </row>
    <row r="3684" spans="1:9" x14ac:dyDescent="0.25">
      <c r="A3684" s="36">
        <v>42914</v>
      </c>
      <c r="B3684" s="18">
        <v>117785</v>
      </c>
      <c r="C3684" s="235" t="s">
        <v>19677</v>
      </c>
      <c r="D3684" s="236" t="s">
        <v>15315</v>
      </c>
      <c r="E3684" s="15">
        <v>2340</v>
      </c>
      <c r="F3684" s="237">
        <v>42914</v>
      </c>
      <c r="G3684" s="15">
        <v>2340</v>
      </c>
      <c r="H3684" s="15">
        <f t="shared" si="57"/>
        <v>0</v>
      </c>
      <c r="I3684" s="236" t="s">
        <v>19682</v>
      </c>
    </row>
    <row r="3685" spans="1:9" x14ac:dyDescent="0.25">
      <c r="A3685" s="242">
        <v>42914</v>
      </c>
      <c r="B3685" s="18">
        <v>117786</v>
      </c>
      <c r="C3685" s="235" t="s">
        <v>19677</v>
      </c>
      <c r="D3685" s="236" t="s">
        <v>15391</v>
      </c>
      <c r="E3685" s="15">
        <v>7881</v>
      </c>
      <c r="F3685" s="237">
        <v>42914</v>
      </c>
      <c r="G3685" s="15">
        <v>7881</v>
      </c>
      <c r="H3685" s="15">
        <f t="shared" si="57"/>
        <v>0</v>
      </c>
      <c r="I3685" s="236" t="s">
        <v>19682</v>
      </c>
    </row>
    <row r="3686" spans="1:9" x14ac:dyDescent="0.25">
      <c r="A3686" s="36">
        <v>42914</v>
      </c>
      <c r="B3686" s="18">
        <v>117787</v>
      </c>
      <c r="C3686" s="235" t="s">
        <v>19677</v>
      </c>
      <c r="D3686" s="236" t="s">
        <v>17057</v>
      </c>
      <c r="E3686" s="15">
        <v>881.6</v>
      </c>
      <c r="F3686" s="237">
        <v>42914</v>
      </c>
      <c r="G3686" s="15">
        <v>881.6</v>
      </c>
      <c r="H3686" s="15">
        <f t="shared" si="57"/>
        <v>0</v>
      </c>
      <c r="I3686" s="236" t="s">
        <v>19682</v>
      </c>
    </row>
    <row r="3687" spans="1:9" x14ac:dyDescent="0.25">
      <c r="A3687" s="242">
        <v>42914</v>
      </c>
      <c r="B3687" s="18">
        <v>117788</v>
      </c>
      <c r="C3687" s="235" t="s">
        <v>19677</v>
      </c>
      <c r="D3687" s="236" t="s">
        <v>16383</v>
      </c>
      <c r="E3687" s="15">
        <v>352.8</v>
      </c>
      <c r="F3687" s="237">
        <v>42914</v>
      </c>
      <c r="G3687" s="15">
        <v>352.8</v>
      </c>
      <c r="H3687" s="15">
        <f t="shared" si="57"/>
        <v>0</v>
      </c>
      <c r="I3687" s="236" t="s">
        <v>19682</v>
      </c>
    </row>
    <row r="3688" spans="1:9" x14ac:dyDescent="0.25">
      <c r="A3688" s="36">
        <v>42914</v>
      </c>
      <c r="B3688" s="18">
        <v>117789</v>
      </c>
      <c r="C3688" s="235" t="s">
        <v>19677</v>
      </c>
      <c r="D3688" s="236" t="s">
        <v>15590</v>
      </c>
      <c r="E3688" s="15">
        <v>29950.2</v>
      </c>
      <c r="F3688" s="237">
        <v>42915</v>
      </c>
      <c r="G3688" s="15">
        <v>29950.2</v>
      </c>
      <c r="H3688" s="15">
        <f t="shared" si="57"/>
        <v>0</v>
      </c>
      <c r="I3688" s="236" t="s">
        <v>19682</v>
      </c>
    </row>
    <row r="3689" spans="1:9" x14ac:dyDescent="0.25">
      <c r="A3689" s="242">
        <v>42914</v>
      </c>
      <c r="B3689" s="18">
        <v>117790</v>
      </c>
      <c r="C3689" s="235" t="s">
        <v>19677</v>
      </c>
      <c r="D3689" s="236" t="s">
        <v>15786</v>
      </c>
      <c r="E3689" s="15">
        <v>1690</v>
      </c>
      <c r="F3689" s="237">
        <v>42914</v>
      </c>
      <c r="G3689" s="15">
        <v>1690</v>
      </c>
      <c r="H3689" s="15">
        <f t="shared" si="57"/>
        <v>0</v>
      </c>
      <c r="I3689" s="236" t="s">
        <v>19682</v>
      </c>
    </row>
    <row r="3690" spans="1:9" ht="15.75" x14ac:dyDescent="0.25">
      <c r="A3690" s="36">
        <v>42914</v>
      </c>
      <c r="B3690" s="18">
        <v>117791</v>
      </c>
      <c r="C3690" s="235" t="s">
        <v>19677</v>
      </c>
      <c r="D3690" s="248" t="s">
        <v>95</v>
      </c>
      <c r="E3690" s="15">
        <v>0</v>
      </c>
      <c r="F3690" s="243" t="s">
        <v>95</v>
      </c>
      <c r="G3690" s="15">
        <v>0</v>
      </c>
      <c r="H3690" s="15">
        <f t="shared" si="57"/>
        <v>0</v>
      </c>
      <c r="I3690" s="236" t="s">
        <v>19678</v>
      </c>
    </row>
    <row r="3691" spans="1:9" x14ac:dyDescent="0.25">
      <c r="A3691" s="242">
        <v>42914</v>
      </c>
      <c r="B3691" s="18">
        <v>117792</v>
      </c>
      <c r="C3691" s="235" t="s">
        <v>19677</v>
      </c>
      <c r="D3691" s="236" t="s">
        <v>15246</v>
      </c>
      <c r="E3691" s="15">
        <v>7841.6</v>
      </c>
      <c r="F3691" s="237">
        <v>42916</v>
      </c>
      <c r="G3691" s="15">
        <v>7841.6</v>
      </c>
      <c r="H3691" s="15">
        <f t="shared" si="57"/>
        <v>0</v>
      </c>
      <c r="I3691" s="236" t="s">
        <v>19682</v>
      </c>
    </row>
    <row r="3692" spans="1:9" x14ac:dyDescent="0.25">
      <c r="A3692" s="36">
        <v>42914</v>
      </c>
      <c r="B3692" s="18">
        <v>117793</v>
      </c>
      <c r="C3692" s="235" t="s">
        <v>19677</v>
      </c>
      <c r="D3692" s="236" t="s">
        <v>19768</v>
      </c>
      <c r="E3692" s="15">
        <v>1470</v>
      </c>
      <c r="F3692" s="237">
        <v>42914</v>
      </c>
      <c r="G3692" s="15">
        <v>1470</v>
      </c>
      <c r="H3692" s="15">
        <f t="shared" si="57"/>
        <v>0</v>
      </c>
      <c r="I3692" s="236" t="s">
        <v>19682</v>
      </c>
    </row>
    <row r="3693" spans="1:9" ht="15.75" x14ac:dyDescent="0.25">
      <c r="A3693" s="242">
        <v>42914</v>
      </c>
      <c r="B3693" s="18">
        <v>117794</v>
      </c>
      <c r="C3693" s="235" t="s">
        <v>19677</v>
      </c>
      <c r="D3693" s="248" t="s">
        <v>95</v>
      </c>
      <c r="E3693" s="15">
        <v>0</v>
      </c>
      <c r="F3693" s="243" t="s">
        <v>95</v>
      </c>
      <c r="G3693" s="15">
        <v>0</v>
      </c>
      <c r="H3693" s="15">
        <f t="shared" si="57"/>
        <v>0</v>
      </c>
      <c r="I3693" s="236" t="s">
        <v>19678</v>
      </c>
    </row>
    <row r="3694" spans="1:9" ht="15.75" x14ac:dyDescent="0.25">
      <c r="A3694" s="36">
        <v>42914</v>
      </c>
      <c r="B3694" s="18">
        <v>117795</v>
      </c>
      <c r="C3694" s="235" t="s">
        <v>19677</v>
      </c>
      <c r="D3694" s="248" t="s">
        <v>95</v>
      </c>
      <c r="E3694" s="15">
        <v>0</v>
      </c>
      <c r="F3694" s="243" t="s">
        <v>95</v>
      </c>
      <c r="G3694" s="15">
        <v>0</v>
      </c>
      <c r="H3694" s="15">
        <f t="shared" si="57"/>
        <v>0</v>
      </c>
      <c r="I3694" s="236" t="s">
        <v>19678</v>
      </c>
    </row>
    <row r="3695" spans="1:9" x14ac:dyDescent="0.25">
      <c r="A3695" s="242">
        <v>42914</v>
      </c>
      <c r="B3695" s="18">
        <v>117796</v>
      </c>
      <c r="C3695" s="235" t="s">
        <v>19677</v>
      </c>
      <c r="D3695" s="236" t="s">
        <v>15725</v>
      </c>
      <c r="E3695" s="15">
        <v>16497.599999999999</v>
      </c>
      <c r="F3695" s="237">
        <v>42919</v>
      </c>
      <c r="G3695" s="15">
        <v>16497.599999999999</v>
      </c>
      <c r="H3695" s="15">
        <f t="shared" si="57"/>
        <v>0</v>
      </c>
      <c r="I3695" s="236" t="s">
        <v>19682</v>
      </c>
    </row>
    <row r="3696" spans="1:9" x14ac:dyDescent="0.25">
      <c r="A3696" s="36">
        <v>42914</v>
      </c>
      <c r="B3696" s="18">
        <v>117797</v>
      </c>
      <c r="C3696" s="235" t="s">
        <v>19677</v>
      </c>
      <c r="D3696" s="236" t="s">
        <v>15367</v>
      </c>
      <c r="E3696" s="15">
        <v>6600</v>
      </c>
      <c r="F3696" s="237">
        <v>42915</v>
      </c>
      <c r="G3696" s="15">
        <v>6600</v>
      </c>
      <c r="H3696" s="15">
        <f t="shared" si="57"/>
        <v>0</v>
      </c>
      <c r="I3696" s="236" t="s">
        <v>19682</v>
      </c>
    </row>
    <row r="3697" spans="1:9" x14ac:dyDescent="0.25">
      <c r="A3697" s="242">
        <v>42914</v>
      </c>
      <c r="B3697" s="18">
        <v>117798</v>
      </c>
      <c r="C3697" s="235" t="s">
        <v>19677</v>
      </c>
      <c r="D3697" s="236" t="s">
        <v>15555</v>
      </c>
      <c r="E3697" s="15">
        <v>3842.4</v>
      </c>
      <c r="F3697" s="237">
        <v>42915</v>
      </c>
      <c r="G3697" s="15">
        <v>3842.4</v>
      </c>
      <c r="H3697" s="15">
        <f t="shared" si="57"/>
        <v>0</v>
      </c>
      <c r="I3697" s="236" t="s">
        <v>19682</v>
      </c>
    </row>
    <row r="3698" spans="1:9" x14ac:dyDescent="0.25">
      <c r="A3698" s="36">
        <v>42914</v>
      </c>
      <c r="B3698" s="18">
        <v>117799</v>
      </c>
      <c r="C3698" s="235" t="s">
        <v>19677</v>
      </c>
      <c r="D3698" s="236" t="s">
        <v>15537</v>
      </c>
      <c r="E3698" s="15">
        <v>17192</v>
      </c>
      <c r="F3698" s="266">
        <v>42921</v>
      </c>
      <c r="G3698" s="35">
        <v>17192</v>
      </c>
      <c r="H3698" s="15">
        <f t="shared" si="57"/>
        <v>0</v>
      </c>
      <c r="I3698" s="236" t="s">
        <v>19682</v>
      </c>
    </row>
    <row r="3699" spans="1:9" x14ac:dyDescent="0.25">
      <c r="A3699" s="242">
        <v>42914</v>
      </c>
      <c r="B3699" s="18">
        <v>117800</v>
      </c>
      <c r="C3699" s="235" t="s">
        <v>19677</v>
      </c>
      <c r="D3699" s="236" t="s">
        <v>15544</v>
      </c>
      <c r="E3699" s="15">
        <v>4981.1000000000004</v>
      </c>
      <c r="F3699" s="237">
        <v>42915</v>
      </c>
      <c r="G3699" s="15">
        <v>4981.1000000000004</v>
      </c>
      <c r="H3699" s="15">
        <f t="shared" si="57"/>
        <v>0</v>
      </c>
      <c r="I3699" s="236" t="s">
        <v>19682</v>
      </c>
    </row>
    <row r="3700" spans="1:9" x14ac:dyDescent="0.25">
      <c r="A3700" s="36">
        <v>42914</v>
      </c>
      <c r="B3700" s="18">
        <v>117801</v>
      </c>
      <c r="C3700" s="235" t="s">
        <v>19677</v>
      </c>
      <c r="D3700" s="236" t="s">
        <v>15555</v>
      </c>
      <c r="E3700" s="15">
        <v>611.5</v>
      </c>
      <c r="F3700" s="237">
        <v>42915</v>
      </c>
      <c r="G3700" s="15">
        <v>611.5</v>
      </c>
      <c r="H3700" s="15">
        <f t="shared" si="57"/>
        <v>0</v>
      </c>
      <c r="I3700" s="236" t="s">
        <v>19682</v>
      </c>
    </row>
    <row r="3701" spans="1:9" x14ac:dyDescent="0.25">
      <c r="A3701" s="242">
        <v>42914</v>
      </c>
      <c r="B3701" s="18">
        <v>117802</v>
      </c>
      <c r="C3701" s="235" t="s">
        <v>19677</v>
      </c>
      <c r="D3701" s="236" t="s">
        <v>15246</v>
      </c>
      <c r="E3701" s="15">
        <v>2722</v>
      </c>
      <c r="F3701" s="237">
        <v>42916</v>
      </c>
      <c r="G3701" s="15">
        <v>2722</v>
      </c>
      <c r="H3701" s="15">
        <f t="shared" si="57"/>
        <v>0</v>
      </c>
      <c r="I3701" s="236" t="s">
        <v>19682</v>
      </c>
    </row>
    <row r="3702" spans="1:9" x14ac:dyDescent="0.25">
      <c r="A3702" s="36">
        <v>42914</v>
      </c>
      <c r="B3702" s="18">
        <v>117803</v>
      </c>
      <c r="C3702" s="235" t="s">
        <v>19677</v>
      </c>
      <c r="D3702" s="236" t="s">
        <v>15246</v>
      </c>
      <c r="E3702" s="15">
        <v>1878.8</v>
      </c>
      <c r="F3702" s="237">
        <v>42916</v>
      </c>
      <c r="G3702" s="15">
        <v>1878.8</v>
      </c>
      <c r="H3702" s="15">
        <f t="shared" si="57"/>
        <v>0</v>
      </c>
      <c r="I3702" s="236" t="s">
        <v>19682</v>
      </c>
    </row>
    <row r="3703" spans="1:9" x14ac:dyDescent="0.25">
      <c r="A3703" s="242">
        <v>42914</v>
      </c>
      <c r="B3703" s="18">
        <v>117804</v>
      </c>
      <c r="C3703" s="235" t="s">
        <v>19677</v>
      </c>
      <c r="D3703" s="236" t="s">
        <v>15523</v>
      </c>
      <c r="E3703" s="15">
        <v>1960</v>
      </c>
      <c r="F3703" s="237">
        <v>42915</v>
      </c>
      <c r="G3703" s="15">
        <v>1960</v>
      </c>
      <c r="H3703" s="15">
        <f t="shared" si="57"/>
        <v>0</v>
      </c>
      <c r="I3703" s="236" t="s">
        <v>19682</v>
      </c>
    </row>
    <row r="3704" spans="1:9" x14ac:dyDescent="0.25">
      <c r="A3704" s="36">
        <v>42914</v>
      </c>
      <c r="B3704" s="18">
        <v>117805</v>
      </c>
      <c r="C3704" s="235" t="s">
        <v>19677</v>
      </c>
      <c r="D3704" s="236" t="s">
        <v>15282</v>
      </c>
      <c r="E3704" s="15">
        <v>3747.6</v>
      </c>
      <c r="F3704" s="237">
        <v>42914</v>
      </c>
      <c r="G3704" s="15">
        <v>3747.6</v>
      </c>
      <c r="H3704" s="15">
        <f t="shared" si="57"/>
        <v>0</v>
      </c>
      <c r="I3704" s="236" t="s">
        <v>19682</v>
      </c>
    </row>
    <row r="3705" spans="1:9" x14ac:dyDescent="0.25">
      <c r="A3705" s="242">
        <v>42914</v>
      </c>
      <c r="B3705" s="18">
        <v>117806</v>
      </c>
      <c r="C3705" s="235" t="s">
        <v>19677</v>
      </c>
      <c r="D3705" s="236" t="s">
        <v>15380</v>
      </c>
      <c r="E3705" s="15">
        <v>37956.400000000001</v>
      </c>
      <c r="F3705" s="266">
        <v>42927</v>
      </c>
      <c r="G3705" s="35">
        <v>37956.400000000001</v>
      </c>
      <c r="H3705" s="15">
        <f t="shared" si="57"/>
        <v>0</v>
      </c>
      <c r="I3705" s="236" t="s">
        <v>19682</v>
      </c>
    </row>
    <row r="3706" spans="1:9" x14ac:dyDescent="0.25">
      <c r="A3706" s="36">
        <v>42914</v>
      </c>
      <c r="B3706" s="18">
        <v>117807</v>
      </c>
      <c r="C3706" s="235" t="s">
        <v>19677</v>
      </c>
      <c r="D3706" s="236" t="s">
        <v>15858</v>
      </c>
      <c r="E3706" s="15">
        <v>5584.2</v>
      </c>
      <c r="F3706" s="237">
        <v>42915</v>
      </c>
      <c r="G3706" s="15">
        <v>5584.2</v>
      </c>
      <c r="H3706" s="15">
        <f t="shared" si="57"/>
        <v>0</v>
      </c>
      <c r="I3706" s="236" t="s">
        <v>19682</v>
      </c>
    </row>
    <row r="3707" spans="1:9" x14ac:dyDescent="0.25">
      <c r="A3707" s="242">
        <v>42914</v>
      </c>
      <c r="B3707" s="18">
        <v>117808</v>
      </c>
      <c r="C3707" s="235" t="s">
        <v>19677</v>
      </c>
      <c r="D3707" s="236" t="s">
        <v>16171</v>
      </c>
      <c r="E3707" s="15">
        <v>1116.8399999999999</v>
      </c>
      <c r="F3707" s="237">
        <v>42915</v>
      </c>
      <c r="G3707" s="15">
        <v>1116.8399999999999</v>
      </c>
      <c r="H3707" s="15">
        <f t="shared" si="57"/>
        <v>0</v>
      </c>
      <c r="I3707" s="236" t="s">
        <v>19682</v>
      </c>
    </row>
    <row r="3708" spans="1:9" x14ac:dyDescent="0.25">
      <c r="A3708" s="36">
        <v>42914</v>
      </c>
      <c r="B3708" s="18">
        <v>117809</v>
      </c>
      <c r="C3708" s="235" t="s">
        <v>19677</v>
      </c>
      <c r="D3708" s="236" t="s">
        <v>15336</v>
      </c>
      <c r="E3708" s="15">
        <v>5361.6</v>
      </c>
      <c r="F3708" s="237">
        <v>42915</v>
      </c>
      <c r="G3708" s="15">
        <v>5361.6</v>
      </c>
      <c r="H3708" s="15">
        <f t="shared" si="57"/>
        <v>0</v>
      </c>
      <c r="I3708" s="236" t="s">
        <v>19682</v>
      </c>
    </row>
    <row r="3709" spans="1:9" x14ac:dyDescent="0.25">
      <c r="A3709" s="242">
        <v>42914</v>
      </c>
      <c r="B3709" s="18">
        <v>117810</v>
      </c>
      <c r="C3709" s="235" t="s">
        <v>19677</v>
      </c>
      <c r="D3709" s="236" t="s">
        <v>15369</v>
      </c>
      <c r="E3709" s="15">
        <v>28135</v>
      </c>
      <c r="F3709" s="266">
        <v>42927</v>
      </c>
      <c r="G3709" s="35">
        <v>28135</v>
      </c>
      <c r="H3709" s="15">
        <f t="shared" si="57"/>
        <v>0</v>
      </c>
      <c r="I3709" s="236" t="s">
        <v>19682</v>
      </c>
    </row>
    <row r="3710" spans="1:9" ht="15.75" x14ac:dyDescent="0.25">
      <c r="A3710" s="36">
        <v>42914</v>
      </c>
      <c r="B3710" s="18">
        <v>117811</v>
      </c>
      <c r="C3710" s="235" t="s">
        <v>19677</v>
      </c>
      <c r="D3710" s="248" t="s">
        <v>95</v>
      </c>
      <c r="E3710" s="15">
        <v>0</v>
      </c>
      <c r="F3710" s="243" t="s">
        <v>95</v>
      </c>
      <c r="G3710" s="15">
        <v>0</v>
      </c>
      <c r="H3710" s="15">
        <f t="shared" si="57"/>
        <v>0</v>
      </c>
      <c r="I3710" s="236" t="s">
        <v>19678</v>
      </c>
    </row>
    <row r="3711" spans="1:9" x14ac:dyDescent="0.25">
      <c r="A3711" s="242">
        <v>42914</v>
      </c>
      <c r="B3711" s="18">
        <v>117812</v>
      </c>
      <c r="C3711" s="235" t="s">
        <v>19677</v>
      </c>
      <c r="D3711" s="236" t="s">
        <v>15358</v>
      </c>
      <c r="E3711" s="15">
        <v>1238.4000000000001</v>
      </c>
      <c r="F3711" s="237">
        <v>42915</v>
      </c>
      <c r="G3711" s="15">
        <v>1238.4000000000001</v>
      </c>
      <c r="H3711" s="15">
        <f t="shared" si="57"/>
        <v>0</v>
      </c>
      <c r="I3711" s="236" t="s">
        <v>19682</v>
      </c>
    </row>
    <row r="3712" spans="1:9" x14ac:dyDescent="0.25">
      <c r="A3712" s="36">
        <v>42914</v>
      </c>
      <c r="B3712" s="18">
        <v>117813</v>
      </c>
      <c r="C3712" s="235" t="s">
        <v>19677</v>
      </c>
      <c r="D3712" s="236" t="s">
        <v>15315</v>
      </c>
      <c r="E3712" s="15">
        <v>475</v>
      </c>
      <c r="F3712" s="237">
        <v>42915</v>
      </c>
      <c r="G3712" s="15">
        <v>475</v>
      </c>
      <c r="H3712" s="15">
        <f t="shared" si="57"/>
        <v>0</v>
      </c>
      <c r="I3712" s="236" t="s">
        <v>19682</v>
      </c>
    </row>
    <row r="3713" spans="1:9" x14ac:dyDescent="0.25">
      <c r="A3713" s="242">
        <v>42914</v>
      </c>
      <c r="B3713" s="18">
        <v>117814</v>
      </c>
      <c r="C3713" s="235" t="s">
        <v>19677</v>
      </c>
      <c r="D3713" s="236" t="s">
        <v>15884</v>
      </c>
      <c r="E3713" s="15">
        <v>2186.4</v>
      </c>
      <c r="F3713" s="237">
        <v>42914</v>
      </c>
      <c r="G3713" s="15">
        <v>2186.4</v>
      </c>
      <c r="H3713" s="15">
        <f t="shared" si="57"/>
        <v>0</v>
      </c>
      <c r="I3713" s="236" t="s">
        <v>19682</v>
      </c>
    </row>
    <row r="3714" spans="1:9" x14ac:dyDescent="0.25">
      <c r="A3714" s="36">
        <v>42914</v>
      </c>
      <c r="B3714" s="18">
        <v>117815</v>
      </c>
      <c r="C3714" s="235" t="s">
        <v>19677</v>
      </c>
      <c r="D3714" s="236" t="s">
        <v>15742</v>
      </c>
      <c r="E3714" s="15">
        <v>1640</v>
      </c>
      <c r="F3714" s="237">
        <v>42915</v>
      </c>
      <c r="G3714" s="15">
        <v>1640</v>
      </c>
      <c r="H3714" s="15">
        <f t="shared" ref="H3714:H3777" si="58">E3714-G3714</f>
        <v>0</v>
      </c>
      <c r="I3714" s="236" t="s">
        <v>19682</v>
      </c>
    </row>
    <row r="3715" spans="1:9" x14ac:dyDescent="0.25">
      <c r="A3715" s="242">
        <v>42914</v>
      </c>
      <c r="B3715" s="18">
        <v>117816</v>
      </c>
      <c r="C3715" s="235" t="s">
        <v>19677</v>
      </c>
      <c r="D3715" s="236" t="s">
        <v>17210</v>
      </c>
      <c r="E3715" s="15">
        <v>3417</v>
      </c>
      <c r="F3715" s="237">
        <v>42915</v>
      </c>
      <c r="G3715" s="15">
        <v>3417</v>
      </c>
      <c r="H3715" s="15">
        <f t="shared" si="58"/>
        <v>0</v>
      </c>
      <c r="I3715" s="236" t="s">
        <v>19682</v>
      </c>
    </row>
    <row r="3716" spans="1:9" x14ac:dyDescent="0.25">
      <c r="A3716" s="36">
        <v>42914</v>
      </c>
      <c r="B3716" s="18">
        <v>117817</v>
      </c>
      <c r="C3716" s="235" t="s">
        <v>19677</v>
      </c>
      <c r="D3716" s="236" t="s">
        <v>15732</v>
      </c>
      <c r="E3716" s="15">
        <v>2652</v>
      </c>
      <c r="F3716" s="237">
        <v>42915</v>
      </c>
      <c r="G3716" s="15">
        <v>2652</v>
      </c>
      <c r="H3716" s="15">
        <f t="shared" si="58"/>
        <v>0</v>
      </c>
      <c r="I3716" s="236" t="s">
        <v>19682</v>
      </c>
    </row>
    <row r="3717" spans="1:9" x14ac:dyDescent="0.25">
      <c r="A3717" s="242">
        <v>42914</v>
      </c>
      <c r="B3717" s="18">
        <v>117818</v>
      </c>
      <c r="C3717" s="235" t="s">
        <v>19677</v>
      </c>
      <c r="D3717" s="236" t="s">
        <v>15334</v>
      </c>
      <c r="E3717" s="15">
        <v>2128</v>
      </c>
      <c r="F3717" s="237">
        <v>42915</v>
      </c>
      <c r="G3717" s="15">
        <v>2128</v>
      </c>
      <c r="H3717" s="15">
        <f t="shared" si="58"/>
        <v>0</v>
      </c>
      <c r="I3717" s="236" t="s">
        <v>19682</v>
      </c>
    </row>
    <row r="3718" spans="1:9" x14ac:dyDescent="0.25">
      <c r="A3718" s="36">
        <v>42914</v>
      </c>
      <c r="B3718" s="18">
        <v>117819</v>
      </c>
      <c r="C3718" s="235" t="s">
        <v>19677</v>
      </c>
      <c r="D3718" s="236" t="s">
        <v>15344</v>
      </c>
      <c r="E3718" s="15">
        <v>1666.6</v>
      </c>
      <c r="F3718" s="237">
        <v>42915</v>
      </c>
      <c r="G3718" s="15">
        <v>1666.6</v>
      </c>
      <c r="H3718" s="15">
        <f t="shared" si="58"/>
        <v>0</v>
      </c>
      <c r="I3718" s="236" t="s">
        <v>19682</v>
      </c>
    </row>
    <row r="3719" spans="1:9" x14ac:dyDescent="0.25">
      <c r="A3719" s="242">
        <v>42914</v>
      </c>
      <c r="B3719" s="18">
        <v>117820</v>
      </c>
      <c r="C3719" s="235" t="s">
        <v>19677</v>
      </c>
      <c r="D3719" s="236" t="s">
        <v>15716</v>
      </c>
      <c r="E3719" s="15">
        <v>9991.7000000000007</v>
      </c>
      <c r="F3719" s="237">
        <v>42914</v>
      </c>
      <c r="G3719" s="15">
        <v>9991.7000000000007</v>
      </c>
      <c r="H3719" s="15">
        <f t="shared" si="58"/>
        <v>0</v>
      </c>
      <c r="I3719" s="236" t="s">
        <v>19682</v>
      </c>
    </row>
    <row r="3720" spans="1:9" x14ac:dyDescent="0.25">
      <c r="A3720" s="36">
        <v>42914</v>
      </c>
      <c r="B3720" s="18">
        <v>117821</v>
      </c>
      <c r="C3720" s="235" t="s">
        <v>19677</v>
      </c>
      <c r="D3720" s="236" t="s">
        <v>15344</v>
      </c>
      <c r="E3720" s="15">
        <v>1805.4</v>
      </c>
      <c r="F3720" s="237">
        <v>42915</v>
      </c>
      <c r="G3720" s="15">
        <v>1805.4</v>
      </c>
      <c r="H3720" s="15">
        <f t="shared" si="58"/>
        <v>0</v>
      </c>
      <c r="I3720" s="236" t="s">
        <v>19682</v>
      </c>
    </row>
    <row r="3721" spans="1:9" x14ac:dyDescent="0.25">
      <c r="A3721" s="242">
        <v>42914</v>
      </c>
      <c r="B3721" s="18">
        <v>117822</v>
      </c>
      <c r="C3721" s="235" t="s">
        <v>19677</v>
      </c>
      <c r="D3721" s="236" t="s">
        <v>15267</v>
      </c>
      <c r="E3721" s="15">
        <v>4772.3999999999996</v>
      </c>
      <c r="F3721" s="237">
        <v>42933</v>
      </c>
      <c r="G3721" s="15">
        <v>4772.3999999999996</v>
      </c>
      <c r="H3721" s="15">
        <f t="shared" si="58"/>
        <v>0</v>
      </c>
      <c r="I3721" s="236" t="s">
        <v>19682</v>
      </c>
    </row>
    <row r="3722" spans="1:9" x14ac:dyDescent="0.25">
      <c r="A3722" s="36">
        <v>42914</v>
      </c>
      <c r="B3722" s="18">
        <v>117823</v>
      </c>
      <c r="C3722" s="235" t="s">
        <v>19677</v>
      </c>
      <c r="D3722" s="236" t="s">
        <v>15315</v>
      </c>
      <c r="E3722" s="15">
        <v>873.6</v>
      </c>
      <c r="F3722" s="237">
        <v>42915</v>
      </c>
      <c r="G3722" s="15">
        <v>873.6</v>
      </c>
      <c r="H3722" s="15">
        <f t="shared" si="58"/>
        <v>0</v>
      </c>
      <c r="I3722" s="236" t="s">
        <v>19682</v>
      </c>
    </row>
    <row r="3723" spans="1:9" x14ac:dyDescent="0.25">
      <c r="A3723" s="242">
        <v>42914</v>
      </c>
      <c r="B3723" s="18">
        <v>117824</v>
      </c>
      <c r="C3723" s="235" t="s">
        <v>19677</v>
      </c>
      <c r="D3723" s="236" t="s">
        <v>15728</v>
      </c>
      <c r="E3723" s="15">
        <v>11709.6</v>
      </c>
      <c r="F3723" s="237">
        <v>42914</v>
      </c>
      <c r="G3723" s="15">
        <v>11709.6</v>
      </c>
      <c r="H3723" s="15">
        <f t="shared" si="58"/>
        <v>0</v>
      </c>
      <c r="I3723" s="236" t="s">
        <v>19682</v>
      </c>
    </row>
    <row r="3724" spans="1:9" ht="15.75" x14ac:dyDescent="0.25">
      <c r="A3724" s="36">
        <v>42914</v>
      </c>
      <c r="B3724" s="18">
        <v>117825</v>
      </c>
      <c r="C3724" s="235" t="s">
        <v>19677</v>
      </c>
      <c r="D3724" s="248" t="s">
        <v>95</v>
      </c>
      <c r="E3724" s="15">
        <v>0</v>
      </c>
      <c r="F3724" s="243" t="s">
        <v>95</v>
      </c>
      <c r="G3724" s="15">
        <v>0</v>
      </c>
      <c r="H3724" s="15">
        <f t="shared" si="58"/>
        <v>0</v>
      </c>
      <c r="I3724" s="236" t="s">
        <v>19678</v>
      </c>
    </row>
    <row r="3725" spans="1:9" x14ac:dyDescent="0.25">
      <c r="A3725" s="242">
        <v>42914</v>
      </c>
      <c r="B3725" s="18">
        <v>117826</v>
      </c>
      <c r="C3725" s="235" t="s">
        <v>19677</v>
      </c>
      <c r="D3725" s="236" t="s">
        <v>15213</v>
      </c>
      <c r="E3725" s="15">
        <v>140.69999999999999</v>
      </c>
      <c r="F3725" s="237">
        <v>42914</v>
      </c>
      <c r="G3725" s="15">
        <v>140.69999999999999</v>
      </c>
      <c r="H3725" s="15">
        <f t="shared" si="58"/>
        <v>0</v>
      </c>
      <c r="I3725" s="236" t="s">
        <v>19682</v>
      </c>
    </row>
    <row r="3726" spans="1:9" x14ac:dyDescent="0.25">
      <c r="A3726" s="36">
        <v>42914</v>
      </c>
      <c r="B3726" s="18">
        <v>117827</v>
      </c>
      <c r="C3726" s="235" t="s">
        <v>19677</v>
      </c>
      <c r="D3726" s="236" t="s">
        <v>15213</v>
      </c>
      <c r="E3726" s="15">
        <v>2976.6</v>
      </c>
      <c r="F3726" s="237">
        <v>42915</v>
      </c>
      <c r="G3726" s="15">
        <v>2976.6</v>
      </c>
      <c r="H3726" s="15">
        <f t="shared" si="58"/>
        <v>0</v>
      </c>
      <c r="I3726" s="236" t="s">
        <v>19682</v>
      </c>
    </row>
    <row r="3727" spans="1:9" x14ac:dyDescent="0.25">
      <c r="A3727" s="242">
        <v>42914</v>
      </c>
      <c r="B3727" s="18">
        <v>117828</v>
      </c>
      <c r="C3727" s="235" t="s">
        <v>19677</v>
      </c>
      <c r="D3727" s="236" t="s">
        <v>15328</v>
      </c>
      <c r="E3727" s="15">
        <v>3753.94</v>
      </c>
      <c r="F3727" s="266">
        <v>42934</v>
      </c>
      <c r="G3727" s="35">
        <v>3753.94</v>
      </c>
      <c r="H3727" s="15">
        <f t="shared" si="58"/>
        <v>0</v>
      </c>
      <c r="I3727" s="236" t="s">
        <v>19682</v>
      </c>
    </row>
    <row r="3728" spans="1:9" x14ac:dyDescent="0.25">
      <c r="A3728" s="36">
        <v>42914</v>
      </c>
      <c r="B3728" s="18">
        <v>117829</v>
      </c>
      <c r="C3728" s="235" t="s">
        <v>19677</v>
      </c>
      <c r="D3728" s="236" t="s">
        <v>15328</v>
      </c>
      <c r="E3728" s="15">
        <v>1495.2</v>
      </c>
      <c r="F3728" s="266">
        <v>42934</v>
      </c>
      <c r="G3728" s="35">
        <v>1495.2</v>
      </c>
      <c r="H3728" s="15">
        <f t="shared" si="58"/>
        <v>0</v>
      </c>
      <c r="I3728" s="236" t="s">
        <v>19682</v>
      </c>
    </row>
    <row r="3729" spans="1:9" x14ac:dyDescent="0.25">
      <c r="A3729" s="242">
        <v>42914</v>
      </c>
      <c r="B3729" s="18">
        <v>117830</v>
      </c>
      <c r="C3729" s="235" t="s">
        <v>19677</v>
      </c>
      <c r="D3729" s="236" t="s">
        <v>15530</v>
      </c>
      <c r="E3729" s="15">
        <v>3376.2</v>
      </c>
      <c r="F3729" s="237">
        <v>42914</v>
      </c>
      <c r="G3729" s="15">
        <v>3376.2</v>
      </c>
      <c r="H3729" s="15">
        <f t="shared" si="58"/>
        <v>0</v>
      </c>
      <c r="I3729" s="236" t="s">
        <v>19682</v>
      </c>
    </row>
    <row r="3730" spans="1:9" x14ac:dyDescent="0.25">
      <c r="A3730" s="36">
        <v>42914</v>
      </c>
      <c r="B3730" s="18">
        <v>117831</v>
      </c>
      <c r="C3730" s="235" t="s">
        <v>19677</v>
      </c>
      <c r="D3730" s="236" t="s">
        <v>15566</v>
      </c>
      <c r="E3730" s="15">
        <v>414.2</v>
      </c>
      <c r="F3730" s="237">
        <v>42914</v>
      </c>
      <c r="G3730" s="15">
        <v>414.2</v>
      </c>
      <c r="H3730" s="15">
        <f t="shared" si="58"/>
        <v>0</v>
      </c>
      <c r="I3730" s="236" t="s">
        <v>19682</v>
      </c>
    </row>
    <row r="3731" spans="1:9" x14ac:dyDescent="0.25">
      <c r="A3731" s="242">
        <v>42914</v>
      </c>
      <c r="B3731" s="18">
        <v>117832</v>
      </c>
      <c r="C3731" s="235" t="s">
        <v>19677</v>
      </c>
      <c r="D3731" s="236" t="s">
        <v>15423</v>
      </c>
      <c r="E3731" s="15">
        <v>2856</v>
      </c>
      <c r="F3731" s="237">
        <v>42914</v>
      </c>
      <c r="G3731" s="15">
        <v>2856</v>
      </c>
      <c r="H3731" s="15">
        <f t="shared" si="58"/>
        <v>0</v>
      </c>
      <c r="I3731" s="236" t="s">
        <v>19682</v>
      </c>
    </row>
    <row r="3732" spans="1:9" x14ac:dyDescent="0.25">
      <c r="A3732" s="36">
        <v>42914</v>
      </c>
      <c r="B3732" s="18">
        <v>117833</v>
      </c>
      <c r="C3732" s="235" t="s">
        <v>19677</v>
      </c>
      <c r="D3732" s="236" t="s">
        <v>15423</v>
      </c>
      <c r="E3732" s="15">
        <v>546</v>
      </c>
      <c r="F3732" s="237">
        <v>42914</v>
      </c>
      <c r="G3732" s="15">
        <v>546</v>
      </c>
      <c r="H3732" s="15">
        <f t="shared" si="58"/>
        <v>0</v>
      </c>
      <c r="I3732" s="236" t="s">
        <v>19682</v>
      </c>
    </row>
    <row r="3733" spans="1:9" x14ac:dyDescent="0.25">
      <c r="A3733" s="242">
        <v>42914</v>
      </c>
      <c r="B3733" s="18">
        <v>117834</v>
      </c>
      <c r="C3733" s="235" t="s">
        <v>19677</v>
      </c>
      <c r="D3733" s="236" t="s">
        <v>15442</v>
      </c>
      <c r="E3733" s="15">
        <v>11772</v>
      </c>
      <c r="F3733" s="237">
        <v>42917</v>
      </c>
      <c r="G3733" s="15">
        <v>11772</v>
      </c>
      <c r="H3733" s="15">
        <f t="shared" si="58"/>
        <v>0</v>
      </c>
      <c r="I3733" s="236" t="s">
        <v>19682</v>
      </c>
    </row>
    <row r="3734" spans="1:9" ht="15.75" x14ac:dyDescent="0.25">
      <c r="A3734" s="36">
        <v>42914</v>
      </c>
      <c r="B3734" s="18">
        <v>117835</v>
      </c>
      <c r="C3734" s="235" t="s">
        <v>19677</v>
      </c>
      <c r="D3734" s="248" t="s">
        <v>95</v>
      </c>
      <c r="E3734" s="15">
        <v>0</v>
      </c>
      <c r="F3734" s="243" t="s">
        <v>95</v>
      </c>
      <c r="G3734" s="15">
        <v>0</v>
      </c>
      <c r="H3734" s="15">
        <f t="shared" si="58"/>
        <v>0</v>
      </c>
      <c r="I3734" s="236" t="s">
        <v>19678</v>
      </c>
    </row>
    <row r="3735" spans="1:9" x14ac:dyDescent="0.25">
      <c r="A3735" s="242">
        <v>42914</v>
      </c>
      <c r="B3735" s="18">
        <v>117836</v>
      </c>
      <c r="C3735" s="235" t="s">
        <v>19677</v>
      </c>
      <c r="D3735" s="236" t="s">
        <v>15409</v>
      </c>
      <c r="E3735" s="15">
        <v>14990.8</v>
      </c>
      <c r="F3735" s="237">
        <v>42914</v>
      </c>
      <c r="G3735" s="15">
        <v>14990.8</v>
      </c>
      <c r="H3735" s="15">
        <f t="shared" si="58"/>
        <v>0</v>
      </c>
      <c r="I3735" s="236" t="s">
        <v>19682</v>
      </c>
    </row>
    <row r="3736" spans="1:9" x14ac:dyDescent="0.25">
      <c r="A3736" s="36">
        <v>42914</v>
      </c>
      <c r="B3736" s="18">
        <v>117837</v>
      </c>
      <c r="C3736" s="235" t="s">
        <v>19677</v>
      </c>
      <c r="D3736" s="236" t="s">
        <v>15407</v>
      </c>
      <c r="E3736" s="15">
        <v>5227.2</v>
      </c>
      <c r="F3736" s="237">
        <v>42914</v>
      </c>
      <c r="G3736" s="15">
        <v>5227.2</v>
      </c>
      <c r="H3736" s="15">
        <f t="shared" si="58"/>
        <v>0</v>
      </c>
      <c r="I3736" s="236" t="s">
        <v>19682</v>
      </c>
    </row>
    <row r="3737" spans="1:9" ht="15.75" x14ac:dyDescent="0.25">
      <c r="A3737" s="242">
        <v>42914</v>
      </c>
      <c r="B3737" s="18">
        <v>117838</v>
      </c>
      <c r="C3737" s="235" t="s">
        <v>19677</v>
      </c>
      <c r="D3737" s="248" t="s">
        <v>95</v>
      </c>
      <c r="E3737" s="15">
        <v>0</v>
      </c>
      <c r="F3737" s="243" t="s">
        <v>95</v>
      </c>
      <c r="G3737" s="15">
        <v>0</v>
      </c>
      <c r="H3737" s="15">
        <f t="shared" si="58"/>
        <v>0</v>
      </c>
      <c r="I3737" s="236" t="s">
        <v>19678</v>
      </c>
    </row>
    <row r="3738" spans="1:9" x14ac:dyDescent="0.25">
      <c r="A3738" s="36">
        <v>42914</v>
      </c>
      <c r="B3738" s="18">
        <v>117839</v>
      </c>
      <c r="C3738" s="235" t="s">
        <v>19677</v>
      </c>
      <c r="D3738" s="236" t="s">
        <v>15413</v>
      </c>
      <c r="E3738" s="15">
        <v>2016</v>
      </c>
      <c r="F3738" s="237">
        <v>42914</v>
      </c>
      <c r="G3738" s="15">
        <v>2016</v>
      </c>
      <c r="H3738" s="15">
        <f t="shared" si="58"/>
        <v>0</v>
      </c>
      <c r="I3738" s="236" t="s">
        <v>19682</v>
      </c>
    </row>
    <row r="3739" spans="1:9" x14ac:dyDescent="0.25">
      <c r="A3739" s="242">
        <v>42914</v>
      </c>
      <c r="B3739" s="18">
        <v>117840</v>
      </c>
      <c r="C3739" s="235" t="s">
        <v>19677</v>
      </c>
      <c r="D3739" s="236" t="s">
        <v>15396</v>
      </c>
      <c r="E3739" s="15">
        <v>3529.4</v>
      </c>
      <c r="F3739" s="237">
        <v>42914</v>
      </c>
      <c r="G3739" s="15">
        <v>3529.4</v>
      </c>
      <c r="H3739" s="15">
        <f t="shared" si="58"/>
        <v>0</v>
      </c>
      <c r="I3739" s="236" t="s">
        <v>19682</v>
      </c>
    </row>
    <row r="3740" spans="1:9" x14ac:dyDescent="0.25">
      <c r="A3740" s="36">
        <v>42914</v>
      </c>
      <c r="B3740" s="18">
        <v>117841</v>
      </c>
      <c r="C3740" s="235" t="s">
        <v>19677</v>
      </c>
      <c r="D3740" s="236" t="s">
        <v>15284</v>
      </c>
      <c r="E3740" s="15">
        <v>724.2</v>
      </c>
      <c r="F3740" s="237">
        <v>42914</v>
      </c>
      <c r="G3740" s="15">
        <v>724.2</v>
      </c>
      <c r="H3740" s="15">
        <f t="shared" si="58"/>
        <v>0</v>
      </c>
      <c r="I3740" s="236" t="s">
        <v>19682</v>
      </c>
    </row>
    <row r="3741" spans="1:9" x14ac:dyDescent="0.25">
      <c r="A3741" s="242">
        <v>42914</v>
      </c>
      <c r="B3741" s="18">
        <v>117842</v>
      </c>
      <c r="C3741" s="235" t="s">
        <v>19677</v>
      </c>
      <c r="D3741" s="236" t="s">
        <v>15365</v>
      </c>
      <c r="E3741" s="15">
        <v>3326.4</v>
      </c>
      <c r="F3741" s="237">
        <v>42916</v>
      </c>
      <c r="G3741" s="15">
        <v>3326.4</v>
      </c>
      <c r="H3741" s="15">
        <f t="shared" si="58"/>
        <v>0</v>
      </c>
      <c r="I3741" s="236" t="s">
        <v>19682</v>
      </c>
    </row>
    <row r="3742" spans="1:9" x14ac:dyDescent="0.25">
      <c r="A3742" s="36">
        <v>42914</v>
      </c>
      <c r="B3742" s="18">
        <v>117843</v>
      </c>
      <c r="C3742" s="235" t="s">
        <v>19677</v>
      </c>
      <c r="D3742" s="236" t="s">
        <v>15246</v>
      </c>
      <c r="E3742" s="15">
        <v>109113.54</v>
      </c>
      <c r="F3742" s="237" t="s">
        <v>19789</v>
      </c>
      <c r="G3742" s="241">
        <f>4644.65+104468.89</f>
        <v>109113.54</v>
      </c>
      <c r="H3742" s="241">
        <f t="shared" si="58"/>
        <v>0</v>
      </c>
      <c r="I3742" s="236" t="s">
        <v>19682</v>
      </c>
    </row>
    <row r="3743" spans="1:9" x14ac:dyDescent="0.25">
      <c r="A3743" s="242">
        <v>42914</v>
      </c>
      <c r="B3743" s="18">
        <v>117844</v>
      </c>
      <c r="C3743" s="235" t="s">
        <v>19677</v>
      </c>
      <c r="D3743" s="236" t="s">
        <v>15444</v>
      </c>
      <c r="E3743" s="15">
        <v>2429.6</v>
      </c>
      <c r="F3743" s="237">
        <v>42915</v>
      </c>
      <c r="G3743" s="15">
        <v>2429.6</v>
      </c>
      <c r="H3743" s="15">
        <f t="shared" si="58"/>
        <v>0</v>
      </c>
      <c r="I3743" s="236" t="s">
        <v>19682</v>
      </c>
    </row>
    <row r="3744" spans="1:9" x14ac:dyDescent="0.25">
      <c r="A3744" s="36">
        <v>42914</v>
      </c>
      <c r="B3744" s="18">
        <v>117845</v>
      </c>
      <c r="C3744" s="235" t="s">
        <v>19677</v>
      </c>
      <c r="D3744" s="236" t="s">
        <v>15541</v>
      </c>
      <c r="E3744" s="15">
        <v>1290.8</v>
      </c>
      <c r="F3744" s="237">
        <v>42917</v>
      </c>
      <c r="G3744" s="15">
        <v>1290.8</v>
      </c>
      <c r="H3744" s="15">
        <f t="shared" si="58"/>
        <v>0</v>
      </c>
      <c r="I3744" s="236" t="s">
        <v>19682</v>
      </c>
    </row>
    <row r="3745" spans="1:9" x14ac:dyDescent="0.25">
      <c r="A3745" s="242">
        <v>42914</v>
      </c>
      <c r="B3745" s="18">
        <v>117846</v>
      </c>
      <c r="C3745" s="235" t="s">
        <v>19677</v>
      </c>
      <c r="D3745" s="236" t="s">
        <v>15600</v>
      </c>
      <c r="E3745" s="15">
        <v>7881.3</v>
      </c>
      <c r="F3745" s="237">
        <v>42915</v>
      </c>
      <c r="G3745" s="15">
        <v>7881.3</v>
      </c>
      <c r="H3745" s="15">
        <f t="shared" si="58"/>
        <v>0</v>
      </c>
      <c r="I3745" s="236" t="s">
        <v>19682</v>
      </c>
    </row>
    <row r="3746" spans="1:9" x14ac:dyDescent="0.25">
      <c r="A3746" s="36">
        <v>42914</v>
      </c>
      <c r="B3746" s="18">
        <v>117847</v>
      </c>
      <c r="C3746" s="235" t="s">
        <v>19677</v>
      </c>
      <c r="D3746" s="236" t="s">
        <v>15417</v>
      </c>
      <c r="E3746" s="15">
        <v>2030.4</v>
      </c>
      <c r="F3746" s="237">
        <v>42915</v>
      </c>
      <c r="G3746" s="15">
        <v>2030.4</v>
      </c>
      <c r="H3746" s="15">
        <f t="shared" si="58"/>
        <v>0</v>
      </c>
      <c r="I3746" s="236" t="s">
        <v>19682</v>
      </c>
    </row>
    <row r="3747" spans="1:9" x14ac:dyDescent="0.25">
      <c r="A3747" s="242">
        <v>42914</v>
      </c>
      <c r="B3747" s="18">
        <v>117848</v>
      </c>
      <c r="C3747" s="235" t="s">
        <v>19677</v>
      </c>
      <c r="D3747" s="236" t="s">
        <v>15309</v>
      </c>
      <c r="E3747" s="15">
        <v>766.5</v>
      </c>
      <c r="F3747" s="237">
        <v>42915</v>
      </c>
      <c r="G3747" s="15">
        <v>766.5</v>
      </c>
      <c r="H3747" s="15">
        <f t="shared" si="58"/>
        <v>0</v>
      </c>
      <c r="I3747" s="236" t="s">
        <v>19682</v>
      </c>
    </row>
    <row r="3748" spans="1:9" x14ac:dyDescent="0.25">
      <c r="A3748" s="36">
        <v>42914</v>
      </c>
      <c r="B3748" s="18">
        <v>117849</v>
      </c>
      <c r="C3748" s="235" t="s">
        <v>19677</v>
      </c>
      <c r="D3748" s="236" t="s">
        <v>15435</v>
      </c>
      <c r="E3748" s="15">
        <v>5925.6</v>
      </c>
      <c r="F3748" s="237">
        <v>42914</v>
      </c>
      <c r="G3748" s="15">
        <v>5925.6</v>
      </c>
      <c r="H3748" s="15">
        <f t="shared" si="58"/>
        <v>0</v>
      </c>
      <c r="I3748" s="236" t="s">
        <v>19682</v>
      </c>
    </row>
    <row r="3749" spans="1:9" x14ac:dyDescent="0.25">
      <c r="A3749" s="242">
        <v>42914</v>
      </c>
      <c r="B3749" s="18">
        <v>117850</v>
      </c>
      <c r="C3749" s="235" t="s">
        <v>19677</v>
      </c>
      <c r="D3749" s="236" t="s">
        <v>15789</v>
      </c>
      <c r="E3749" s="15">
        <v>39386.400000000001</v>
      </c>
      <c r="F3749" s="266">
        <v>42920</v>
      </c>
      <c r="G3749" s="35">
        <v>39386.400000000001</v>
      </c>
      <c r="H3749" s="15">
        <f t="shared" si="58"/>
        <v>0</v>
      </c>
      <c r="I3749" s="236" t="s">
        <v>19682</v>
      </c>
    </row>
    <row r="3750" spans="1:9" x14ac:dyDescent="0.25">
      <c r="A3750" s="36">
        <v>42914</v>
      </c>
      <c r="B3750" s="18">
        <v>117851</v>
      </c>
      <c r="C3750" s="235" t="s">
        <v>19677</v>
      </c>
      <c r="D3750" s="236" t="s">
        <v>15936</v>
      </c>
      <c r="E3750" s="15">
        <v>14732.2</v>
      </c>
      <c r="F3750" s="237">
        <v>42914</v>
      </c>
      <c r="G3750" s="15">
        <v>14732.2</v>
      </c>
      <c r="H3750" s="15">
        <f t="shared" si="58"/>
        <v>0</v>
      </c>
      <c r="I3750" s="236" t="s">
        <v>19682</v>
      </c>
    </row>
    <row r="3751" spans="1:9" x14ac:dyDescent="0.25">
      <c r="A3751" s="242">
        <v>42914</v>
      </c>
      <c r="B3751" s="18">
        <v>117852</v>
      </c>
      <c r="C3751" s="235" t="s">
        <v>19677</v>
      </c>
      <c r="D3751" s="236" t="s">
        <v>15365</v>
      </c>
      <c r="E3751" s="15">
        <v>251790</v>
      </c>
      <c r="F3751" s="237">
        <v>42916</v>
      </c>
      <c r="G3751" s="15">
        <v>251790</v>
      </c>
      <c r="H3751" s="15">
        <f t="shared" si="58"/>
        <v>0</v>
      </c>
      <c r="I3751" s="236" t="s">
        <v>19682</v>
      </c>
    </row>
    <row r="3752" spans="1:9" x14ac:dyDescent="0.25">
      <c r="A3752" s="36">
        <v>42914</v>
      </c>
      <c r="B3752" s="18">
        <v>117853</v>
      </c>
      <c r="C3752" s="235" t="s">
        <v>19677</v>
      </c>
      <c r="D3752" s="236" t="s">
        <v>17462</v>
      </c>
      <c r="E3752" s="15">
        <v>1414.4</v>
      </c>
      <c r="F3752" s="237">
        <v>42914</v>
      </c>
      <c r="G3752" s="15">
        <v>1414.4</v>
      </c>
      <c r="H3752" s="15">
        <f t="shared" si="58"/>
        <v>0</v>
      </c>
      <c r="I3752" s="236" t="s">
        <v>19682</v>
      </c>
    </row>
    <row r="3753" spans="1:9" x14ac:dyDescent="0.25">
      <c r="A3753" s="242">
        <v>42914</v>
      </c>
      <c r="B3753" s="18">
        <v>117854</v>
      </c>
      <c r="C3753" s="235" t="s">
        <v>19677</v>
      </c>
      <c r="D3753" s="236" t="s">
        <v>15642</v>
      </c>
      <c r="E3753" s="15">
        <v>5565</v>
      </c>
      <c r="F3753" s="237">
        <v>42914</v>
      </c>
      <c r="G3753" s="15">
        <v>5565</v>
      </c>
      <c r="H3753" s="15">
        <f t="shared" si="58"/>
        <v>0</v>
      </c>
      <c r="I3753" s="236" t="s">
        <v>19682</v>
      </c>
    </row>
    <row r="3754" spans="1:9" x14ac:dyDescent="0.25">
      <c r="A3754" s="36">
        <v>42914</v>
      </c>
      <c r="B3754" s="18">
        <v>117855</v>
      </c>
      <c r="C3754" s="235" t="s">
        <v>19677</v>
      </c>
      <c r="D3754" s="236" t="s">
        <v>15642</v>
      </c>
      <c r="E3754" s="15">
        <v>190</v>
      </c>
      <c r="F3754" s="237">
        <v>42914</v>
      </c>
      <c r="G3754" s="15">
        <v>190</v>
      </c>
      <c r="H3754" s="15">
        <f t="shared" si="58"/>
        <v>0</v>
      </c>
      <c r="I3754" s="236" t="s">
        <v>19682</v>
      </c>
    </row>
    <row r="3755" spans="1:9" x14ac:dyDescent="0.25">
      <c r="A3755" s="242">
        <v>42914</v>
      </c>
      <c r="B3755" s="18">
        <v>117856</v>
      </c>
      <c r="C3755" s="235" t="s">
        <v>19677</v>
      </c>
      <c r="D3755" s="236" t="s">
        <v>15246</v>
      </c>
      <c r="E3755" s="15">
        <v>353031.7</v>
      </c>
      <c r="F3755" s="266">
        <v>42924</v>
      </c>
      <c r="G3755" s="35">
        <v>353031.7</v>
      </c>
      <c r="H3755" s="15">
        <f t="shared" si="58"/>
        <v>0</v>
      </c>
      <c r="I3755" s="236" t="s">
        <v>19682</v>
      </c>
    </row>
    <row r="3756" spans="1:9" x14ac:dyDescent="0.25">
      <c r="A3756" s="36">
        <v>42914</v>
      </c>
      <c r="B3756" s="18">
        <v>117857</v>
      </c>
      <c r="C3756" s="235" t="s">
        <v>19677</v>
      </c>
      <c r="D3756" s="236" t="s">
        <v>15284</v>
      </c>
      <c r="E3756" s="15">
        <v>663</v>
      </c>
      <c r="F3756" s="237">
        <v>42914</v>
      </c>
      <c r="G3756" s="15">
        <v>663</v>
      </c>
      <c r="H3756" s="15">
        <f t="shared" si="58"/>
        <v>0</v>
      </c>
      <c r="I3756" s="236" t="s">
        <v>19682</v>
      </c>
    </row>
    <row r="3757" spans="1:9" x14ac:dyDescent="0.25">
      <c r="A3757" s="242">
        <v>42915</v>
      </c>
      <c r="B3757" s="18">
        <v>117858</v>
      </c>
      <c r="C3757" s="235" t="s">
        <v>19677</v>
      </c>
      <c r="D3757" s="236" t="s">
        <v>15213</v>
      </c>
      <c r="E3757" s="15">
        <v>6807.5</v>
      </c>
      <c r="F3757" s="237">
        <v>42917</v>
      </c>
      <c r="G3757" s="15">
        <v>6807.5</v>
      </c>
      <c r="H3757" s="15">
        <f t="shared" si="58"/>
        <v>0</v>
      </c>
      <c r="I3757" s="236" t="s">
        <v>19682</v>
      </c>
    </row>
    <row r="3758" spans="1:9" x14ac:dyDescent="0.25">
      <c r="A3758" s="36">
        <v>42915</v>
      </c>
      <c r="B3758" s="18">
        <v>117859</v>
      </c>
      <c r="C3758" s="235" t="s">
        <v>19677</v>
      </c>
      <c r="D3758" s="236" t="s">
        <v>15213</v>
      </c>
      <c r="E3758" s="15">
        <v>123.9</v>
      </c>
      <c r="F3758" s="237">
        <v>42915</v>
      </c>
      <c r="G3758" s="15">
        <v>123.9</v>
      </c>
      <c r="H3758" s="15">
        <f t="shared" si="58"/>
        <v>0</v>
      </c>
      <c r="I3758" s="236" t="s">
        <v>19682</v>
      </c>
    </row>
    <row r="3759" spans="1:9" x14ac:dyDescent="0.25">
      <c r="A3759" s="242">
        <v>42915</v>
      </c>
      <c r="B3759" s="18">
        <v>117860</v>
      </c>
      <c r="C3759" s="235" t="s">
        <v>19677</v>
      </c>
      <c r="D3759" s="236" t="s">
        <v>15213</v>
      </c>
      <c r="E3759" s="15">
        <v>41001.599999999999</v>
      </c>
      <c r="F3759" s="237">
        <v>42917</v>
      </c>
      <c r="G3759" s="15">
        <v>41001.599999999999</v>
      </c>
      <c r="H3759" s="15">
        <f t="shared" si="58"/>
        <v>0</v>
      </c>
      <c r="I3759" s="236" t="s">
        <v>19682</v>
      </c>
    </row>
    <row r="3760" spans="1:9" x14ac:dyDescent="0.25">
      <c r="A3760" s="36">
        <v>42915</v>
      </c>
      <c r="B3760" s="18">
        <v>117861</v>
      </c>
      <c r="C3760" s="235" t="s">
        <v>19677</v>
      </c>
      <c r="D3760" s="236" t="s">
        <v>15230</v>
      </c>
      <c r="E3760" s="15">
        <v>10651.8</v>
      </c>
      <c r="F3760" s="237">
        <v>42917</v>
      </c>
      <c r="G3760" s="15">
        <v>10651.8</v>
      </c>
      <c r="H3760" s="15">
        <f t="shared" si="58"/>
        <v>0</v>
      </c>
      <c r="I3760" s="236" t="s">
        <v>19682</v>
      </c>
    </row>
    <row r="3761" spans="1:9" x14ac:dyDescent="0.25">
      <c r="A3761" s="242">
        <v>42915</v>
      </c>
      <c r="B3761" s="18">
        <v>117862</v>
      </c>
      <c r="C3761" s="235" t="s">
        <v>19677</v>
      </c>
      <c r="D3761" s="236" t="s">
        <v>17277</v>
      </c>
      <c r="E3761" s="15">
        <v>320</v>
      </c>
      <c r="F3761" s="237">
        <v>42915</v>
      </c>
      <c r="G3761" s="15">
        <v>320</v>
      </c>
      <c r="H3761" s="15">
        <f t="shared" si="58"/>
        <v>0</v>
      </c>
      <c r="I3761" s="236" t="s">
        <v>19682</v>
      </c>
    </row>
    <row r="3762" spans="1:9" x14ac:dyDescent="0.25">
      <c r="A3762" s="36">
        <v>42915</v>
      </c>
      <c r="B3762" s="18">
        <v>117863</v>
      </c>
      <c r="C3762" s="235" t="s">
        <v>19677</v>
      </c>
      <c r="D3762" s="236" t="s">
        <v>15234</v>
      </c>
      <c r="E3762" s="15">
        <v>3763.8</v>
      </c>
      <c r="F3762" s="237">
        <v>42919</v>
      </c>
      <c r="G3762" s="15">
        <v>3763.8</v>
      </c>
      <c r="H3762" s="15">
        <f t="shared" si="58"/>
        <v>0</v>
      </c>
      <c r="I3762" s="236" t="s">
        <v>19682</v>
      </c>
    </row>
    <row r="3763" spans="1:9" x14ac:dyDescent="0.25">
      <c r="A3763" s="242">
        <v>42915</v>
      </c>
      <c r="B3763" s="18">
        <v>117864</v>
      </c>
      <c r="C3763" s="235" t="s">
        <v>19677</v>
      </c>
      <c r="D3763" s="236" t="s">
        <v>15240</v>
      </c>
      <c r="E3763" s="15">
        <v>3506.4</v>
      </c>
      <c r="F3763" s="237">
        <v>42919</v>
      </c>
      <c r="G3763" s="15">
        <v>3506.4</v>
      </c>
      <c r="H3763" s="15">
        <f t="shared" si="58"/>
        <v>0</v>
      </c>
      <c r="I3763" s="236" t="s">
        <v>19682</v>
      </c>
    </row>
    <row r="3764" spans="1:9" x14ac:dyDescent="0.25">
      <c r="A3764" s="36">
        <v>42915</v>
      </c>
      <c r="B3764" s="18">
        <v>117865</v>
      </c>
      <c r="C3764" s="235" t="s">
        <v>19677</v>
      </c>
      <c r="D3764" s="236" t="s">
        <v>15348</v>
      </c>
      <c r="E3764" s="15">
        <v>460.2</v>
      </c>
      <c r="F3764" s="237">
        <v>42915</v>
      </c>
      <c r="G3764" s="15">
        <v>460.2</v>
      </c>
      <c r="H3764" s="15">
        <f t="shared" si="58"/>
        <v>0</v>
      </c>
      <c r="I3764" s="236" t="s">
        <v>19682</v>
      </c>
    </row>
    <row r="3765" spans="1:9" x14ac:dyDescent="0.25">
      <c r="A3765" s="242">
        <v>42915</v>
      </c>
      <c r="B3765" s="18">
        <v>117866</v>
      </c>
      <c r="C3765" s="235" t="s">
        <v>19677</v>
      </c>
      <c r="D3765" s="236" t="s">
        <v>15232</v>
      </c>
      <c r="E3765" s="15">
        <v>3647.2</v>
      </c>
      <c r="F3765" s="237">
        <v>42922</v>
      </c>
      <c r="G3765" s="15">
        <v>3647.2</v>
      </c>
      <c r="H3765" s="15">
        <f t="shared" si="58"/>
        <v>0</v>
      </c>
      <c r="I3765" s="236" t="s">
        <v>19682</v>
      </c>
    </row>
    <row r="3766" spans="1:9" x14ac:dyDescent="0.25">
      <c r="A3766" s="36">
        <v>42915</v>
      </c>
      <c r="B3766" s="18">
        <v>117867</v>
      </c>
      <c r="C3766" s="235" t="s">
        <v>19677</v>
      </c>
      <c r="D3766" s="236" t="s">
        <v>18544</v>
      </c>
      <c r="E3766" s="15">
        <v>11264.6</v>
      </c>
      <c r="F3766" s="237">
        <v>42915</v>
      </c>
      <c r="G3766" s="15">
        <v>11264.6</v>
      </c>
      <c r="H3766" s="15">
        <f t="shared" si="58"/>
        <v>0</v>
      </c>
      <c r="I3766" s="236" t="s">
        <v>19682</v>
      </c>
    </row>
    <row r="3767" spans="1:9" x14ac:dyDescent="0.25">
      <c r="A3767" s="242">
        <v>42915</v>
      </c>
      <c r="B3767" s="18">
        <v>117868</v>
      </c>
      <c r="C3767" s="235" t="s">
        <v>19677</v>
      </c>
      <c r="D3767" s="236" t="s">
        <v>15226</v>
      </c>
      <c r="E3767" s="15">
        <v>1580</v>
      </c>
      <c r="F3767" s="237">
        <v>42916</v>
      </c>
      <c r="G3767" s="15">
        <v>1580</v>
      </c>
      <c r="H3767" s="15">
        <f t="shared" si="58"/>
        <v>0</v>
      </c>
      <c r="I3767" s="236" t="s">
        <v>19682</v>
      </c>
    </row>
    <row r="3768" spans="1:9" x14ac:dyDescent="0.25">
      <c r="A3768" s="36">
        <v>42915</v>
      </c>
      <c r="B3768" s="18">
        <v>117869</v>
      </c>
      <c r="C3768" s="235" t="s">
        <v>19677</v>
      </c>
      <c r="D3768" s="236" t="s">
        <v>19780</v>
      </c>
      <c r="E3768" s="15">
        <v>7978.6</v>
      </c>
      <c r="F3768" s="237" t="s">
        <v>19791</v>
      </c>
      <c r="G3768" s="241">
        <f>5000+2978.6</f>
        <v>7978.6</v>
      </c>
      <c r="H3768" s="241">
        <f t="shared" si="58"/>
        <v>0</v>
      </c>
      <c r="I3768" s="236" t="s">
        <v>19682</v>
      </c>
    </row>
    <row r="3769" spans="1:9" x14ac:dyDescent="0.25">
      <c r="A3769" s="242">
        <v>42915</v>
      </c>
      <c r="B3769" s="18">
        <v>117870</v>
      </c>
      <c r="C3769" s="235" t="s">
        <v>19677</v>
      </c>
      <c r="D3769" s="236" t="s">
        <v>15242</v>
      </c>
      <c r="E3769" s="15">
        <v>14184</v>
      </c>
      <c r="F3769" s="237">
        <v>42915</v>
      </c>
      <c r="G3769" s="15">
        <v>14184</v>
      </c>
      <c r="H3769" s="15">
        <f t="shared" si="58"/>
        <v>0</v>
      </c>
      <c r="I3769" s="236" t="s">
        <v>19682</v>
      </c>
    </row>
    <row r="3770" spans="1:9" x14ac:dyDescent="0.25">
      <c r="A3770" s="36">
        <v>42915</v>
      </c>
      <c r="B3770" s="18">
        <v>117871</v>
      </c>
      <c r="C3770" s="235" t="s">
        <v>19677</v>
      </c>
      <c r="D3770" s="236" t="s">
        <v>15668</v>
      </c>
      <c r="E3770" s="15">
        <v>22197.4</v>
      </c>
      <c r="F3770" s="237">
        <v>42916</v>
      </c>
      <c r="G3770" s="15">
        <v>22197.4</v>
      </c>
      <c r="H3770" s="15">
        <f t="shared" si="58"/>
        <v>0</v>
      </c>
      <c r="I3770" s="236" t="s">
        <v>19682</v>
      </c>
    </row>
    <row r="3771" spans="1:9" x14ac:dyDescent="0.25">
      <c r="A3771" s="242">
        <v>42915</v>
      </c>
      <c r="B3771" s="18">
        <v>117872</v>
      </c>
      <c r="C3771" s="235" t="s">
        <v>19677</v>
      </c>
      <c r="D3771" s="236" t="s">
        <v>15858</v>
      </c>
      <c r="E3771" s="15">
        <v>2618.6799999999998</v>
      </c>
      <c r="F3771" s="237">
        <v>42915</v>
      </c>
      <c r="G3771" s="15">
        <v>2618.6799999999998</v>
      </c>
      <c r="H3771" s="15">
        <f t="shared" si="58"/>
        <v>0</v>
      </c>
      <c r="I3771" s="236" t="s">
        <v>19682</v>
      </c>
    </row>
    <row r="3772" spans="1:9" x14ac:dyDescent="0.25">
      <c r="A3772" s="36">
        <v>42915</v>
      </c>
      <c r="B3772" s="18">
        <v>117873</v>
      </c>
      <c r="C3772" s="235" t="s">
        <v>19677</v>
      </c>
      <c r="D3772" s="236" t="s">
        <v>15334</v>
      </c>
      <c r="E3772" s="15">
        <v>1785</v>
      </c>
      <c r="F3772" s="237">
        <v>42915</v>
      </c>
      <c r="G3772" s="15">
        <v>1785</v>
      </c>
      <c r="H3772" s="15">
        <f t="shared" si="58"/>
        <v>0</v>
      </c>
      <c r="I3772" s="236" t="s">
        <v>19682</v>
      </c>
    </row>
    <row r="3773" spans="1:9" x14ac:dyDescent="0.25">
      <c r="A3773" s="242">
        <v>42915</v>
      </c>
      <c r="B3773" s="18">
        <v>117874</v>
      </c>
      <c r="C3773" s="235" t="s">
        <v>19677</v>
      </c>
      <c r="D3773" s="236" t="s">
        <v>15523</v>
      </c>
      <c r="E3773" s="15">
        <v>1715</v>
      </c>
      <c r="F3773" s="237">
        <v>42915</v>
      </c>
      <c r="G3773" s="15">
        <v>1715</v>
      </c>
      <c r="H3773" s="15">
        <f t="shared" si="58"/>
        <v>0</v>
      </c>
      <c r="I3773" s="236" t="s">
        <v>19682</v>
      </c>
    </row>
    <row r="3774" spans="1:9" x14ac:dyDescent="0.25">
      <c r="A3774" s="36">
        <v>42915</v>
      </c>
      <c r="B3774" s="18">
        <v>117875</v>
      </c>
      <c r="C3774" s="235" t="s">
        <v>19677</v>
      </c>
      <c r="D3774" s="236" t="s">
        <v>15352</v>
      </c>
      <c r="E3774" s="15">
        <v>587.79999999999995</v>
      </c>
      <c r="F3774" s="237">
        <v>42915</v>
      </c>
      <c r="G3774" s="15">
        <v>587.79999999999995</v>
      </c>
      <c r="H3774" s="15">
        <f t="shared" si="58"/>
        <v>0</v>
      </c>
      <c r="I3774" s="236" t="s">
        <v>19682</v>
      </c>
    </row>
    <row r="3775" spans="1:9" x14ac:dyDescent="0.25">
      <c r="A3775" s="242">
        <v>42915</v>
      </c>
      <c r="B3775" s="18">
        <v>117876</v>
      </c>
      <c r="C3775" s="235" t="s">
        <v>19677</v>
      </c>
      <c r="D3775" s="236" t="s">
        <v>15223</v>
      </c>
      <c r="E3775" s="15">
        <v>51768</v>
      </c>
      <c r="F3775" s="237">
        <v>42933</v>
      </c>
      <c r="G3775" s="15">
        <v>51768</v>
      </c>
      <c r="H3775" s="15">
        <f t="shared" si="58"/>
        <v>0</v>
      </c>
      <c r="I3775" s="236" t="s">
        <v>19682</v>
      </c>
    </row>
    <row r="3776" spans="1:9" x14ac:dyDescent="0.25">
      <c r="A3776" s="36">
        <v>42915</v>
      </c>
      <c r="B3776" s="18">
        <v>117877</v>
      </c>
      <c r="C3776" s="235" t="s">
        <v>19677</v>
      </c>
      <c r="D3776" s="236" t="s">
        <v>15324</v>
      </c>
      <c r="E3776" s="15">
        <v>1801.5</v>
      </c>
      <c r="F3776" s="237">
        <v>42915</v>
      </c>
      <c r="G3776" s="15">
        <v>1801.5</v>
      </c>
      <c r="H3776" s="15">
        <f t="shared" si="58"/>
        <v>0</v>
      </c>
      <c r="I3776" s="236" t="s">
        <v>19682</v>
      </c>
    </row>
    <row r="3777" spans="1:9" x14ac:dyDescent="0.25">
      <c r="A3777" s="242">
        <v>42915</v>
      </c>
      <c r="B3777" s="18">
        <v>117878</v>
      </c>
      <c r="C3777" s="235" t="s">
        <v>19677</v>
      </c>
      <c r="D3777" s="236" t="s">
        <v>15248</v>
      </c>
      <c r="E3777" s="15">
        <v>14712.6</v>
      </c>
      <c r="F3777" s="266">
        <v>42917</v>
      </c>
      <c r="G3777" s="35">
        <v>14712.6</v>
      </c>
      <c r="H3777" s="15">
        <f t="shared" si="58"/>
        <v>0</v>
      </c>
      <c r="I3777" s="236" t="s">
        <v>19682</v>
      </c>
    </row>
    <row r="3778" spans="1:9" x14ac:dyDescent="0.25">
      <c r="A3778" s="36">
        <v>42915</v>
      </c>
      <c r="B3778" s="18">
        <v>117879</v>
      </c>
      <c r="C3778" s="235" t="s">
        <v>19677</v>
      </c>
      <c r="D3778" s="236" t="s">
        <v>15250</v>
      </c>
      <c r="E3778" s="15">
        <v>98686.66</v>
      </c>
      <c r="F3778" s="266">
        <v>42931</v>
      </c>
      <c r="G3778" s="35">
        <v>98686.66</v>
      </c>
      <c r="H3778" s="15">
        <f t="shared" ref="H3778:H3841" si="59">E3778-G3778</f>
        <v>0</v>
      </c>
      <c r="I3778" s="236" t="s">
        <v>19682</v>
      </c>
    </row>
    <row r="3779" spans="1:9" x14ac:dyDescent="0.25">
      <c r="A3779" s="242">
        <v>42915</v>
      </c>
      <c r="B3779" s="18">
        <v>117880</v>
      </c>
      <c r="C3779" s="235" t="s">
        <v>19677</v>
      </c>
      <c r="D3779" s="236" t="s">
        <v>15256</v>
      </c>
      <c r="E3779" s="15">
        <v>3698</v>
      </c>
      <c r="F3779" s="266">
        <v>42917</v>
      </c>
      <c r="G3779" s="35">
        <v>3698</v>
      </c>
      <c r="H3779" s="15">
        <f t="shared" si="59"/>
        <v>0</v>
      </c>
      <c r="I3779" s="236" t="s">
        <v>19682</v>
      </c>
    </row>
    <row r="3780" spans="1:9" x14ac:dyDescent="0.25">
      <c r="A3780" s="36">
        <v>42915</v>
      </c>
      <c r="B3780" s="18">
        <v>117881</v>
      </c>
      <c r="C3780" s="235" t="s">
        <v>19677</v>
      </c>
      <c r="D3780" s="236" t="s">
        <v>19461</v>
      </c>
      <c r="E3780" s="15">
        <v>3495</v>
      </c>
      <c r="F3780" s="237">
        <v>42915</v>
      </c>
      <c r="G3780" s="15">
        <v>3495</v>
      </c>
      <c r="H3780" s="15">
        <f t="shared" si="59"/>
        <v>0</v>
      </c>
      <c r="I3780" s="236" t="s">
        <v>19682</v>
      </c>
    </row>
    <row r="3781" spans="1:9" x14ac:dyDescent="0.25">
      <c r="A3781" s="242">
        <v>42915</v>
      </c>
      <c r="B3781" s="18">
        <v>117882</v>
      </c>
      <c r="C3781" s="235" t="s">
        <v>19677</v>
      </c>
      <c r="D3781" s="236" t="s">
        <v>17462</v>
      </c>
      <c r="E3781" s="15">
        <v>6326.6</v>
      </c>
      <c r="F3781" s="237">
        <v>42915</v>
      </c>
      <c r="G3781" s="15">
        <v>6326.6</v>
      </c>
      <c r="H3781" s="15">
        <f t="shared" si="59"/>
        <v>0</v>
      </c>
      <c r="I3781" s="236" t="s">
        <v>19682</v>
      </c>
    </row>
    <row r="3782" spans="1:9" x14ac:dyDescent="0.25">
      <c r="A3782" s="36">
        <v>42915</v>
      </c>
      <c r="B3782" s="18">
        <v>117883</v>
      </c>
      <c r="C3782" s="235" t="s">
        <v>19677</v>
      </c>
      <c r="D3782" s="236" t="s">
        <v>5556</v>
      </c>
      <c r="E3782" s="15">
        <v>49156.800000000003</v>
      </c>
      <c r="F3782" s="237">
        <v>42916</v>
      </c>
      <c r="G3782" s="15">
        <v>49156.800000000003</v>
      </c>
      <c r="H3782" s="15">
        <f t="shared" si="59"/>
        <v>0</v>
      </c>
      <c r="I3782" s="236" t="s">
        <v>19682</v>
      </c>
    </row>
    <row r="3783" spans="1:9" x14ac:dyDescent="0.25">
      <c r="A3783" s="242">
        <v>42915</v>
      </c>
      <c r="B3783" s="18">
        <v>117884</v>
      </c>
      <c r="C3783" s="235" t="s">
        <v>19677</v>
      </c>
      <c r="D3783" s="236" t="s">
        <v>15220</v>
      </c>
      <c r="E3783" s="15">
        <v>2695</v>
      </c>
      <c r="F3783" s="237">
        <v>42915</v>
      </c>
      <c r="G3783" s="15">
        <v>2695</v>
      </c>
      <c r="H3783" s="15">
        <f t="shared" si="59"/>
        <v>0</v>
      </c>
      <c r="I3783" s="236" t="s">
        <v>19682</v>
      </c>
    </row>
    <row r="3784" spans="1:9" x14ac:dyDescent="0.25">
      <c r="A3784" s="36">
        <v>42915</v>
      </c>
      <c r="B3784" s="18">
        <v>117885</v>
      </c>
      <c r="C3784" s="235" t="s">
        <v>19677</v>
      </c>
      <c r="D3784" s="236" t="s">
        <v>15338</v>
      </c>
      <c r="E3784" s="15">
        <v>8858.7000000000007</v>
      </c>
      <c r="F3784" s="266">
        <v>42920</v>
      </c>
      <c r="G3784" s="35">
        <v>8858.7000000000007</v>
      </c>
      <c r="H3784" s="15">
        <f t="shared" si="59"/>
        <v>0</v>
      </c>
      <c r="I3784" s="236" t="s">
        <v>19682</v>
      </c>
    </row>
    <row r="3785" spans="1:9" x14ac:dyDescent="0.25">
      <c r="A3785" s="242">
        <v>42915</v>
      </c>
      <c r="B3785" s="18">
        <v>117886</v>
      </c>
      <c r="C3785" s="235" t="s">
        <v>19677</v>
      </c>
      <c r="D3785" s="236" t="s">
        <v>15315</v>
      </c>
      <c r="E3785" s="15">
        <v>3483.2</v>
      </c>
      <c r="F3785" s="237">
        <v>42915</v>
      </c>
      <c r="G3785" s="15">
        <v>3483.2</v>
      </c>
      <c r="H3785" s="15">
        <f t="shared" si="59"/>
        <v>0</v>
      </c>
      <c r="I3785" s="236" t="s">
        <v>19682</v>
      </c>
    </row>
    <row r="3786" spans="1:9" x14ac:dyDescent="0.25">
      <c r="A3786" s="36">
        <v>42915</v>
      </c>
      <c r="B3786" s="18">
        <v>117887</v>
      </c>
      <c r="C3786" s="235" t="s">
        <v>19677</v>
      </c>
      <c r="D3786" s="236" t="s">
        <v>15272</v>
      </c>
      <c r="E3786" s="15">
        <v>7615.3</v>
      </c>
      <c r="F3786" s="237">
        <v>42915</v>
      </c>
      <c r="G3786" s="15">
        <v>7615.3</v>
      </c>
      <c r="H3786" s="15">
        <f t="shared" si="59"/>
        <v>0</v>
      </c>
      <c r="I3786" s="236" t="s">
        <v>19682</v>
      </c>
    </row>
    <row r="3787" spans="1:9" ht="15.75" x14ac:dyDescent="0.25">
      <c r="A3787" s="242">
        <v>42915</v>
      </c>
      <c r="B3787" s="18">
        <v>117888</v>
      </c>
      <c r="C3787" s="235" t="s">
        <v>19677</v>
      </c>
      <c r="D3787" s="248" t="s">
        <v>95</v>
      </c>
      <c r="E3787" s="15">
        <v>0</v>
      </c>
      <c r="F3787" s="243" t="s">
        <v>95</v>
      </c>
      <c r="G3787" s="15">
        <v>0</v>
      </c>
      <c r="H3787" s="15">
        <f t="shared" si="59"/>
        <v>0</v>
      </c>
      <c r="I3787" s="236" t="s">
        <v>19678</v>
      </c>
    </row>
    <row r="3788" spans="1:9" x14ac:dyDescent="0.25">
      <c r="A3788" s="36">
        <v>42915</v>
      </c>
      <c r="B3788" s="18">
        <v>117889</v>
      </c>
      <c r="C3788" s="235" t="s">
        <v>19677</v>
      </c>
      <c r="D3788" s="236" t="s">
        <v>15284</v>
      </c>
      <c r="E3788" s="15">
        <v>2666.2</v>
      </c>
      <c r="F3788" s="237">
        <v>42915</v>
      </c>
      <c r="G3788" s="15">
        <v>2666.2</v>
      </c>
      <c r="H3788" s="15">
        <f t="shared" si="59"/>
        <v>0</v>
      </c>
      <c r="I3788" s="236" t="s">
        <v>19682</v>
      </c>
    </row>
    <row r="3789" spans="1:9" x14ac:dyDescent="0.25">
      <c r="A3789" s="242">
        <v>42915</v>
      </c>
      <c r="B3789" s="18">
        <v>117890</v>
      </c>
      <c r="C3789" s="235" t="s">
        <v>19677</v>
      </c>
      <c r="D3789" s="236" t="s">
        <v>15263</v>
      </c>
      <c r="E3789" s="15">
        <v>3698.9</v>
      </c>
      <c r="F3789" s="237">
        <v>42915</v>
      </c>
      <c r="G3789" s="15">
        <v>3698.9</v>
      </c>
      <c r="H3789" s="15">
        <f t="shared" si="59"/>
        <v>0</v>
      </c>
      <c r="I3789" s="236" t="s">
        <v>19682</v>
      </c>
    </row>
    <row r="3790" spans="1:9" x14ac:dyDescent="0.25">
      <c r="A3790" s="36">
        <v>42915</v>
      </c>
      <c r="B3790" s="18">
        <v>117891</v>
      </c>
      <c r="C3790" s="235" t="s">
        <v>19677</v>
      </c>
      <c r="D3790" s="236" t="s">
        <v>15480</v>
      </c>
      <c r="E3790" s="15">
        <v>11292.6</v>
      </c>
      <c r="F3790" s="266" t="s">
        <v>19799</v>
      </c>
      <c r="G3790" s="133">
        <f>4300+6992.6</f>
        <v>11292.6</v>
      </c>
      <c r="H3790" s="241">
        <f t="shared" si="59"/>
        <v>0</v>
      </c>
      <c r="I3790" s="236" t="s">
        <v>19682</v>
      </c>
    </row>
    <row r="3791" spans="1:9" x14ac:dyDescent="0.25">
      <c r="A3791" s="242">
        <v>42915</v>
      </c>
      <c r="B3791" s="18">
        <v>117892</v>
      </c>
      <c r="C3791" s="235" t="s">
        <v>19677</v>
      </c>
      <c r="D3791" s="236" t="s">
        <v>16484</v>
      </c>
      <c r="E3791" s="15">
        <v>1464.9</v>
      </c>
      <c r="F3791" s="237">
        <v>42915</v>
      </c>
      <c r="G3791" s="15">
        <v>1464.9</v>
      </c>
      <c r="H3791" s="15">
        <f t="shared" si="59"/>
        <v>0</v>
      </c>
      <c r="I3791" s="236" t="s">
        <v>19682</v>
      </c>
    </row>
    <row r="3792" spans="1:9" x14ac:dyDescent="0.25">
      <c r="A3792" s="36">
        <v>42915</v>
      </c>
      <c r="B3792" s="18">
        <v>117893</v>
      </c>
      <c r="C3792" s="235" t="s">
        <v>19677</v>
      </c>
      <c r="D3792" s="236" t="s">
        <v>15258</v>
      </c>
      <c r="E3792" s="15">
        <v>11507.9</v>
      </c>
      <c r="F3792" s="237" t="s">
        <v>19792</v>
      </c>
      <c r="G3792" s="241">
        <f>5000+6507.9</f>
        <v>11507.9</v>
      </c>
      <c r="H3792" s="241">
        <f t="shared" si="59"/>
        <v>0</v>
      </c>
      <c r="I3792" s="236" t="s">
        <v>19682</v>
      </c>
    </row>
    <row r="3793" spans="1:9" x14ac:dyDescent="0.25">
      <c r="A3793" s="242">
        <v>42915</v>
      </c>
      <c r="B3793" s="18">
        <v>117894</v>
      </c>
      <c r="C3793" s="235" t="s">
        <v>19677</v>
      </c>
      <c r="D3793" s="236" t="s">
        <v>15236</v>
      </c>
      <c r="E3793" s="15">
        <v>4208.2</v>
      </c>
      <c r="F3793" s="237">
        <v>42917</v>
      </c>
      <c r="G3793" s="15">
        <v>4208.2</v>
      </c>
      <c r="H3793" s="15">
        <f t="shared" si="59"/>
        <v>0</v>
      </c>
      <c r="I3793" s="236" t="s">
        <v>19682</v>
      </c>
    </row>
    <row r="3794" spans="1:9" x14ac:dyDescent="0.25">
      <c r="A3794" s="36">
        <v>42915</v>
      </c>
      <c r="B3794" s="18">
        <v>117895</v>
      </c>
      <c r="C3794" s="235" t="s">
        <v>19677</v>
      </c>
      <c r="D3794" s="236" t="s">
        <v>15238</v>
      </c>
      <c r="E3794" s="15">
        <v>7595.8</v>
      </c>
      <c r="F3794" s="237">
        <v>42917</v>
      </c>
      <c r="G3794" s="15">
        <v>7595.8</v>
      </c>
      <c r="H3794" s="15">
        <f t="shared" si="59"/>
        <v>0</v>
      </c>
      <c r="I3794" s="236" t="s">
        <v>19682</v>
      </c>
    </row>
    <row r="3795" spans="1:9" x14ac:dyDescent="0.25">
      <c r="A3795" s="242">
        <v>42915</v>
      </c>
      <c r="B3795" s="18">
        <v>117896</v>
      </c>
      <c r="C3795" s="235" t="s">
        <v>19677</v>
      </c>
      <c r="D3795" s="236" t="s">
        <v>15438</v>
      </c>
      <c r="E3795" s="15">
        <v>2236.4</v>
      </c>
      <c r="F3795" s="237">
        <v>42915</v>
      </c>
      <c r="G3795" s="15">
        <v>2236.4</v>
      </c>
      <c r="H3795" s="15">
        <f t="shared" si="59"/>
        <v>0</v>
      </c>
      <c r="I3795" s="236" t="s">
        <v>19682</v>
      </c>
    </row>
    <row r="3796" spans="1:9" x14ac:dyDescent="0.25">
      <c r="A3796" s="36">
        <v>42915</v>
      </c>
      <c r="B3796" s="18">
        <v>117897</v>
      </c>
      <c r="C3796" s="235" t="s">
        <v>19677</v>
      </c>
      <c r="D3796" s="236" t="s">
        <v>15330</v>
      </c>
      <c r="E3796" s="15">
        <v>3384.3</v>
      </c>
      <c r="F3796" s="237">
        <v>42915</v>
      </c>
      <c r="G3796" s="15">
        <v>3384.3</v>
      </c>
      <c r="H3796" s="15">
        <f t="shared" si="59"/>
        <v>0</v>
      </c>
      <c r="I3796" s="236" t="s">
        <v>19682</v>
      </c>
    </row>
    <row r="3797" spans="1:9" x14ac:dyDescent="0.25">
      <c r="A3797" s="242">
        <v>42915</v>
      </c>
      <c r="B3797" s="18">
        <v>117898</v>
      </c>
      <c r="C3797" s="235" t="s">
        <v>19677</v>
      </c>
      <c r="D3797" s="236" t="s">
        <v>15890</v>
      </c>
      <c r="E3797" s="15">
        <v>8957.2000000000007</v>
      </c>
      <c r="F3797" s="237">
        <v>42941</v>
      </c>
      <c r="G3797" s="15">
        <v>8957.2000000000007</v>
      </c>
      <c r="H3797" s="15">
        <f t="shared" si="59"/>
        <v>0</v>
      </c>
      <c r="I3797" s="236" t="s">
        <v>19682</v>
      </c>
    </row>
    <row r="3798" spans="1:9" ht="30" x14ac:dyDescent="0.25">
      <c r="A3798" s="36">
        <v>42915</v>
      </c>
      <c r="B3798" s="18">
        <v>117899</v>
      </c>
      <c r="C3798" s="235" t="s">
        <v>19677</v>
      </c>
      <c r="D3798" s="236" t="s">
        <v>15228</v>
      </c>
      <c r="E3798" s="15">
        <v>33703.56</v>
      </c>
      <c r="F3798" s="237" t="s">
        <v>19790</v>
      </c>
      <c r="G3798" s="241">
        <f>8000+9000+9000+7703.56</f>
        <v>33703.56</v>
      </c>
      <c r="H3798" s="241">
        <f t="shared" si="59"/>
        <v>0</v>
      </c>
      <c r="I3798" s="236" t="s">
        <v>19682</v>
      </c>
    </row>
    <row r="3799" spans="1:9" x14ac:dyDescent="0.25">
      <c r="A3799" s="242">
        <v>42915</v>
      </c>
      <c r="B3799" s="18">
        <v>117900</v>
      </c>
      <c r="C3799" s="235" t="s">
        <v>19677</v>
      </c>
      <c r="D3799" s="236" t="s">
        <v>15407</v>
      </c>
      <c r="E3799" s="15">
        <v>10801.6</v>
      </c>
      <c r="F3799" s="237">
        <v>42915</v>
      </c>
      <c r="G3799" s="15">
        <v>10801.6</v>
      </c>
      <c r="H3799" s="15">
        <f t="shared" si="59"/>
        <v>0</v>
      </c>
      <c r="I3799" s="236" t="s">
        <v>19682</v>
      </c>
    </row>
    <row r="3800" spans="1:9" x14ac:dyDescent="0.25">
      <c r="A3800" s="36">
        <v>42915</v>
      </c>
      <c r="B3800" s="18">
        <v>117901</v>
      </c>
      <c r="C3800" s="235" t="s">
        <v>19677</v>
      </c>
      <c r="D3800" s="236" t="s">
        <v>15861</v>
      </c>
      <c r="E3800" s="15">
        <v>1807.1</v>
      </c>
      <c r="F3800" s="237">
        <v>42915</v>
      </c>
      <c r="G3800" s="15">
        <v>1807.1</v>
      </c>
      <c r="H3800" s="15">
        <f t="shared" si="59"/>
        <v>0</v>
      </c>
      <c r="I3800" s="236" t="s">
        <v>19682</v>
      </c>
    </row>
    <row r="3801" spans="1:9" x14ac:dyDescent="0.25">
      <c r="A3801" s="242">
        <v>42915</v>
      </c>
      <c r="B3801" s="18">
        <v>117902</v>
      </c>
      <c r="C3801" s="235" t="s">
        <v>19677</v>
      </c>
      <c r="D3801" s="236" t="s">
        <v>15340</v>
      </c>
      <c r="E3801" s="15">
        <v>500.4</v>
      </c>
      <c r="F3801" s="237">
        <v>42915</v>
      </c>
      <c r="G3801" s="15">
        <v>500.4</v>
      </c>
      <c r="H3801" s="15">
        <f t="shared" si="59"/>
        <v>0</v>
      </c>
      <c r="I3801" s="236" t="s">
        <v>19682</v>
      </c>
    </row>
    <row r="3802" spans="1:9" x14ac:dyDescent="0.25">
      <c r="A3802" s="36">
        <v>42915</v>
      </c>
      <c r="B3802" s="18">
        <v>117903</v>
      </c>
      <c r="C3802" s="235" t="s">
        <v>19677</v>
      </c>
      <c r="D3802" s="236" t="s">
        <v>15858</v>
      </c>
      <c r="E3802" s="15">
        <v>504</v>
      </c>
      <c r="F3802" s="237">
        <v>42915</v>
      </c>
      <c r="G3802" s="15">
        <v>504</v>
      </c>
      <c r="H3802" s="15">
        <f t="shared" si="59"/>
        <v>0</v>
      </c>
      <c r="I3802" s="236" t="s">
        <v>19682</v>
      </c>
    </row>
    <row r="3803" spans="1:9" x14ac:dyDescent="0.25">
      <c r="A3803" s="242">
        <v>42915</v>
      </c>
      <c r="B3803" s="18">
        <v>117904</v>
      </c>
      <c r="C3803" s="235" t="s">
        <v>19677</v>
      </c>
      <c r="D3803" s="236" t="s">
        <v>15336</v>
      </c>
      <c r="E3803" s="15">
        <v>1636.8</v>
      </c>
      <c r="F3803" s="237">
        <v>42915</v>
      </c>
      <c r="G3803" s="15">
        <v>1636.8</v>
      </c>
      <c r="H3803" s="15">
        <f t="shared" si="59"/>
        <v>0</v>
      </c>
      <c r="I3803" s="236" t="s">
        <v>19682</v>
      </c>
    </row>
    <row r="3804" spans="1:9" x14ac:dyDescent="0.25">
      <c r="A3804" s="36">
        <v>42915</v>
      </c>
      <c r="B3804" s="18">
        <v>117905</v>
      </c>
      <c r="C3804" s="235" t="s">
        <v>19677</v>
      </c>
      <c r="D3804" s="236" t="s">
        <v>15344</v>
      </c>
      <c r="E3804" s="15">
        <v>2437.8000000000002</v>
      </c>
      <c r="F3804" s="237">
        <v>42915</v>
      </c>
      <c r="G3804" s="15">
        <v>2437.8000000000002</v>
      </c>
      <c r="H3804" s="15">
        <f t="shared" si="59"/>
        <v>0</v>
      </c>
      <c r="I3804" s="236" t="s">
        <v>19682</v>
      </c>
    </row>
    <row r="3805" spans="1:9" x14ac:dyDescent="0.25">
      <c r="A3805" s="242">
        <v>42915</v>
      </c>
      <c r="B3805" s="18">
        <v>117906</v>
      </c>
      <c r="C3805" s="235" t="s">
        <v>19677</v>
      </c>
      <c r="D3805" s="236" t="s">
        <v>15356</v>
      </c>
      <c r="E3805" s="15">
        <v>504.9</v>
      </c>
      <c r="F3805" s="237">
        <v>42915</v>
      </c>
      <c r="G3805" s="15">
        <v>504.9</v>
      </c>
      <c r="H3805" s="15">
        <f t="shared" si="59"/>
        <v>0</v>
      </c>
      <c r="I3805" s="236" t="s">
        <v>19682</v>
      </c>
    </row>
    <row r="3806" spans="1:9" x14ac:dyDescent="0.25">
      <c r="A3806" s="36">
        <v>42915</v>
      </c>
      <c r="B3806" s="18">
        <v>117907</v>
      </c>
      <c r="C3806" s="235" t="s">
        <v>19677</v>
      </c>
      <c r="D3806" s="236" t="s">
        <v>15526</v>
      </c>
      <c r="E3806" s="15">
        <v>4406.3999999999996</v>
      </c>
      <c r="F3806" s="237">
        <v>42915</v>
      </c>
      <c r="G3806" s="15">
        <v>4406.3999999999996</v>
      </c>
      <c r="H3806" s="15">
        <f t="shared" si="59"/>
        <v>0</v>
      </c>
      <c r="I3806" s="236" t="s">
        <v>19682</v>
      </c>
    </row>
    <row r="3807" spans="1:9" x14ac:dyDescent="0.25">
      <c r="A3807" s="242">
        <v>42915</v>
      </c>
      <c r="B3807" s="18">
        <v>117908</v>
      </c>
      <c r="C3807" s="235" t="s">
        <v>19677</v>
      </c>
      <c r="D3807" s="236" t="s">
        <v>15274</v>
      </c>
      <c r="E3807" s="15">
        <v>7350</v>
      </c>
      <c r="F3807" s="237">
        <v>42915</v>
      </c>
      <c r="G3807" s="15">
        <v>7350</v>
      </c>
      <c r="H3807" s="15">
        <f t="shared" si="59"/>
        <v>0</v>
      </c>
      <c r="I3807" s="236" t="s">
        <v>19682</v>
      </c>
    </row>
    <row r="3808" spans="1:9" x14ac:dyDescent="0.25">
      <c r="A3808" s="36">
        <v>42915</v>
      </c>
      <c r="B3808" s="18">
        <v>117909</v>
      </c>
      <c r="C3808" s="235" t="s">
        <v>19677</v>
      </c>
      <c r="D3808" s="236" t="s">
        <v>15274</v>
      </c>
      <c r="E3808" s="15">
        <v>735</v>
      </c>
      <c r="F3808" s="237">
        <v>42915</v>
      </c>
      <c r="G3808" s="15">
        <v>735</v>
      </c>
      <c r="H3808" s="15">
        <f t="shared" si="59"/>
        <v>0</v>
      </c>
      <c r="I3808" s="236" t="s">
        <v>19682</v>
      </c>
    </row>
    <row r="3809" spans="1:9" x14ac:dyDescent="0.25">
      <c r="A3809" s="242">
        <v>42915</v>
      </c>
      <c r="B3809" s="18">
        <v>117910</v>
      </c>
      <c r="C3809" s="235" t="s">
        <v>19677</v>
      </c>
      <c r="D3809" s="236" t="s">
        <v>15278</v>
      </c>
      <c r="E3809" s="15">
        <v>4349.3999999999996</v>
      </c>
      <c r="F3809" s="237">
        <v>42915</v>
      </c>
      <c r="G3809" s="15">
        <v>4349.3999999999996</v>
      </c>
      <c r="H3809" s="15">
        <f t="shared" si="59"/>
        <v>0</v>
      </c>
      <c r="I3809" s="236" t="s">
        <v>19682</v>
      </c>
    </row>
    <row r="3810" spans="1:9" x14ac:dyDescent="0.25">
      <c r="A3810" s="36">
        <v>42915</v>
      </c>
      <c r="B3810" s="18">
        <v>117911</v>
      </c>
      <c r="C3810" s="235" t="s">
        <v>19677</v>
      </c>
      <c r="D3810" s="236" t="s">
        <v>15280</v>
      </c>
      <c r="E3810" s="15">
        <v>6358.4</v>
      </c>
      <c r="F3810" s="237">
        <v>42915</v>
      </c>
      <c r="G3810" s="15">
        <v>6358.4</v>
      </c>
      <c r="H3810" s="15">
        <f t="shared" si="59"/>
        <v>0</v>
      </c>
      <c r="I3810" s="236" t="s">
        <v>19682</v>
      </c>
    </row>
    <row r="3811" spans="1:9" x14ac:dyDescent="0.25">
      <c r="A3811" s="242">
        <v>42915</v>
      </c>
      <c r="B3811" s="18">
        <v>117912</v>
      </c>
      <c r="C3811" s="235" t="s">
        <v>19677</v>
      </c>
      <c r="D3811" s="236" t="s">
        <v>15526</v>
      </c>
      <c r="E3811" s="15">
        <v>488.4</v>
      </c>
      <c r="F3811" s="237">
        <v>42915</v>
      </c>
      <c r="G3811" s="15">
        <v>488.4</v>
      </c>
      <c r="H3811" s="15">
        <f t="shared" si="59"/>
        <v>0</v>
      </c>
      <c r="I3811" s="236" t="s">
        <v>19682</v>
      </c>
    </row>
    <row r="3812" spans="1:9" x14ac:dyDescent="0.25">
      <c r="A3812" s="36">
        <v>42915</v>
      </c>
      <c r="B3812" s="18">
        <v>117913</v>
      </c>
      <c r="C3812" s="235" t="s">
        <v>19677</v>
      </c>
      <c r="D3812" s="236" t="s">
        <v>15289</v>
      </c>
      <c r="E3812" s="15">
        <v>726.6</v>
      </c>
      <c r="F3812" s="237">
        <v>42915</v>
      </c>
      <c r="G3812" s="15">
        <v>726.6</v>
      </c>
      <c r="H3812" s="15">
        <f t="shared" si="59"/>
        <v>0</v>
      </c>
      <c r="I3812" s="236" t="s">
        <v>19682</v>
      </c>
    </row>
    <row r="3813" spans="1:9" x14ac:dyDescent="0.25">
      <c r="A3813" s="242">
        <v>42915</v>
      </c>
      <c r="B3813" s="18">
        <v>117914</v>
      </c>
      <c r="C3813" s="235" t="s">
        <v>19677</v>
      </c>
      <c r="D3813" s="236" t="s">
        <v>17057</v>
      </c>
      <c r="E3813" s="15">
        <v>862.6</v>
      </c>
      <c r="F3813" s="237">
        <v>42915</v>
      </c>
      <c r="G3813" s="15">
        <v>862.6</v>
      </c>
      <c r="H3813" s="15">
        <f t="shared" si="59"/>
        <v>0</v>
      </c>
      <c r="I3813" s="236" t="s">
        <v>19682</v>
      </c>
    </row>
    <row r="3814" spans="1:9" x14ac:dyDescent="0.25">
      <c r="A3814" s="36">
        <v>42915</v>
      </c>
      <c r="B3814" s="18">
        <v>117915</v>
      </c>
      <c r="C3814" s="235" t="s">
        <v>19677</v>
      </c>
      <c r="D3814" s="236" t="s">
        <v>15861</v>
      </c>
      <c r="E3814" s="15">
        <v>1105</v>
      </c>
      <c r="F3814" s="237">
        <v>42915</v>
      </c>
      <c r="G3814" s="15">
        <v>1105</v>
      </c>
      <c r="H3814" s="15">
        <f t="shared" si="59"/>
        <v>0</v>
      </c>
      <c r="I3814" s="236" t="s">
        <v>19682</v>
      </c>
    </row>
    <row r="3815" spans="1:9" x14ac:dyDescent="0.25">
      <c r="A3815" s="242">
        <v>42915</v>
      </c>
      <c r="B3815" s="18">
        <v>117916</v>
      </c>
      <c r="C3815" s="235" t="s">
        <v>19677</v>
      </c>
      <c r="D3815" s="236" t="s">
        <v>15342</v>
      </c>
      <c r="E3815" s="15">
        <v>1215.8</v>
      </c>
      <c r="F3815" s="237">
        <v>42915</v>
      </c>
      <c r="G3815" s="15">
        <v>1215.8</v>
      </c>
      <c r="H3815" s="15">
        <f t="shared" si="59"/>
        <v>0</v>
      </c>
      <c r="I3815" s="236" t="s">
        <v>19682</v>
      </c>
    </row>
    <row r="3816" spans="1:9" x14ac:dyDescent="0.25">
      <c r="A3816" s="36">
        <v>42915</v>
      </c>
      <c r="B3816" s="18">
        <v>117917</v>
      </c>
      <c r="C3816" s="235" t="s">
        <v>19677</v>
      </c>
      <c r="D3816" s="236" t="s">
        <v>15315</v>
      </c>
      <c r="E3816" s="15">
        <v>275.60000000000002</v>
      </c>
      <c r="F3816" s="237">
        <v>42915</v>
      </c>
      <c r="G3816" s="15">
        <v>275.60000000000002</v>
      </c>
      <c r="H3816" s="15">
        <f t="shared" si="59"/>
        <v>0</v>
      </c>
      <c r="I3816" s="236" t="s">
        <v>19682</v>
      </c>
    </row>
    <row r="3817" spans="1:9" x14ac:dyDescent="0.25">
      <c r="A3817" s="242">
        <v>42915</v>
      </c>
      <c r="B3817" s="18">
        <v>117918</v>
      </c>
      <c r="C3817" s="235" t="s">
        <v>19677</v>
      </c>
      <c r="D3817" s="236" t="s">
        <v>15596</v>
      </c>
      <c r="E3817" s="15">
        <v>980</v>
      </c>
      <c r="F3817" s="237">
        <v>42915</v>
      </c>
      <c r="G3817" s="15">
        <v>980</v>
      </c>
      <c r="H3817" s="15">
        <f t="shared" si="59"/>
        <v>0</v>
      </c>
      <c r="I3817" s="236" t="s">
        <v>19682</v>
      </c>
    </row>
    <row r="3818" spans="1:9" x14ac:dyDescent="0.25">
      <c r="A3818" s="36">
        <v>42915</v>
      </c>
      <c r="B3818" s="18">
        <v>117919</v>
      </c>
      <c r="C3818" s="235" t="s">
        <v>19677</v>
      </c>
      <c r="D3818" s="236" t="s">
        <v>15276</v>
      </c>
      <c r="E3818" s="15">
        <v>2450</v>
      </c>
      <c r="F3818" s="237">
        <v>42915</v>
      </c>
      <c r="G3818" s="15">
        <v>2450</v>
      </c>
      <c r="H3818" s="15">
        <f t="shared" si="59"/>
        <v>0</v>
      </c>
      <c r="I3818" s="236" t="s">
        <v>19682</v>
      </c>
    </row>
    <row r="3819" spans="1:9" x14ac:dyDescent="0.25">
      <c r="A3819" s="242">
        <v>42915</v>
      </c>
      <c r="B3819" s="18">
        <v>117920</v>
      </c>
      <c r="C3819" s="235" t="s">
        <v>19677</v>
      </c>
      <c r="D3819" s="236" t="s">
        <v>15530</v>
      </c>
      <c r="E3819" s="15">
        <v>2723.4</v>
      </c>
      <c r="F3819" s="237">
        <v>42915</v>
      </c>
      <c r="G3819" s="15">
        <v>2723.4</v>
      </c>
      <c r="H3819" s="15">
        <f t="shared" si="59"/>
        <v>0</v>
      </c>
      <c r="I3819" s="236" t="s">
        <v>19682</v>
      </c>
    </row>
    <row r="3820" spans="1:9" x14ac:dyDescent="0.25">
      <c r="A3820" s="36">
        <v>42915</v>
      </c>
      <c r="B3820" s="18">
        <v>117921</v>
      </c>
      <c r="C3820" s="235" t="s">
        <v>19677</v>
      </c>
      <c r="D3820" s="236" t="s">
        <v>15291</v>
      </c>
      <c r="E3820" s="15">
        <v>980</v>
      </c>
      <c r="F3820" s="237">
        <v>42915</v>
      </c>
      <c r="G3820" s="15">
        <v>980</v>
      </c>
      <c r="H3820" s="15">
        <f t="shared" si="59"/>
        <v>0</v>
      </c>
      <c r="I3820" s="236" t="s">
        <v>19682</v>
      </c>
    </row>
    <row r="3821" spans="1:9" x14ac:dyDescent="0.25">
      <c r="A3821" s="242">
        <v>42915</v>
      </c>
      <c r="B3821" s="18">
        <v>117922</v>
      </c>
      <c r="C3821" s="235" t="s">
        <v>19677</v>
      </c>
      <c r="D3821" s="236" t="s">
        <v>15252</v>
      </c>
      <c r="E3821" s="15">
        <v>2724</v>
      </c>
      <c r="F3821" s="237">
        <v>42915</v>
      </c>
      <c r="G3821" s="15">
        <v>2724</v>
      </c>
      <c r="H3821" s="15">
        <f t="shared" si="59"/>
        <v>0</v>
      </c>
      <c r="I3821" s="236" t="s">
        <v>19682</v>
      </c>
    </row>
    <row r="3822" spans="1:9" x14ac:dyDescent="0.25">
      <c r="A3822" s="36">
        <v>42915</v>
      </c>
      <c r="B3822" s="18">
        <v>117923</v>
      </c>
      <c r="C3822" s="235" t="s">
        <v>19677</v>
      </c>
      <c r="D3822" s="236" t="s">
        <v>15244</v>
      </c>
      <c r="E3822" s="15">
        <v>7183.2</v>
      </c>
      <c r="F3822" s="237">
        <v>42915</v>
      </c>
      <c r="G3822" s="15">
        <v>7183.2</v>
      </c>
      <c r="H3822" s="15">
        <f t="shared" si="59"/>
        <v>0</v>
      </c>
      <c r="I3822" s="236" t="s">
        <v>19682</v>
      </c>
    </row>
    <row r="3823" spans="1:9" x14ac:dyDescent="0.25">
      <c r="A3823" s="242">
        <v>42915</v>
      </c>
      <c r="B3823" s="18">
        <v>117924</v>
      </c>
      <c r="C3823" s="235" t="s">
        <v>19677</v>
      </c>
      <c r="D3823" s="236" t="s">
        <v>15748</v>
      </c>
      <c r="E3823" s="15">
        <v>1714.2</v>
      </c>
      <c r="F3823" s="237">
        <v>42915</v>
      </c>
      <c r="G3823" s="15">
        <v>1714.2</v>
      </c>
      <c r="H3823" s="15">
        <f t="shared" si="59"/>
        <v>0</v>
      </c>
      <c r="I3823" s="236" t="s">
        <v>19682</v>
      </c>
    </row>
    <row r="3824" spans="1:9" x14ac:dyDescent="0.25">
      <c r="A3824" s="36">
        <v>42915</v>
      </c>
      <c r="B3824" s="18">
        <v>117925</v>
      </c>
      <c r="C3824" s="235" t="s">
        <v>19677</v>
      </c>
      <c r="D3824" s="236" t="s">
        <v>15442</v>
      </c>
      <c r="E3824" s="15">
        <v>22996.7</v>
      </c>
      <c r="F3824" s="266">
        <v>42917</v>
      </c>
      <c r="G3824" s="35">
        <v>22996.7</v>
      </c>
      <c r="H3824" s="15">
        <f t="shared" si="59"/>
        <v>0</v>
      </c>
      <c r="I3824" s="236" t="s">
        <v>19682</v>
      </c>
    </row>
    <row r="3825" spans="1:9" x14ac:dyDescent="0.25">
      <c r="A3825" s="242">
        <v>42915</v>
      </c>
      <c r="B3825" s="18">
        <v>117926</v>
      </c>
      <c r="C3825" s="235" t="s">
        <v>19677</v>
      </c>
      <c r="D3825" s="236" t="s">
        <v>15398</v>
      </c>
      <c r="E3825" s="15">
        <v>9791.7999999999993</v>
      </c>
      <c r="F3825" s="266">
        <v>42931</v>
      </c>
      <c r="G3825" s="35">
        <v>9791.7999999999993</v>
      </c>
      <c r="H3825" s="15">
        <f t="shared" si="59"/>
        <v>0</v>
      </c>
      <c r="I3825" s="236" t="s">
        <v>19682</v>
      </c>
    </row>
    <row r="3826" spans="1:9" x14ac:dyDescent="0.25">
      <c r="A3826" s="36">
        <v>42915</v>
      </c>
      <c r="B3826" s="18">
        <v>117927</v>
      </c>
      <c r="C3826" s="235" t="s">
        <v>19677</v>
      </c>
      <c r="D3826" s="236" t="s">
        <v>15725</v>
      </c>
      <c r="E3826" s="15">
        <v>25548</v>
      </c>
      <c r="F3826" s="266">
        <v>42919</v>
      </c>
      <c r="G3826" s="35">
        <v>25548</v>
      </c>
      <c r="H3826" s="15">
        <f t="shared" si="59"/>
        <v>0</v>
      </c>
      <c r="I3826" s="236" t="s">
        <v>19682</v>
      </c>
    </row>
    <row r="3827" spans="1:9" x14ac:dyDescent="0.25">
      <c r="A3827" s="242">
        <v>42915</v>
      </c>
      <c r="B3827" s="18">
        <v>117928</v>
      </c>
      <c r="C3827" s="235" t="s">
        <v>19677</v>
      </c>
      <c r="D3827" s="236" t="s">
        <v>15541</v>
      </c>
      <c r="E3827" s="15">
        <v>897.2</v>
      </c>
      <c r="F3827" s="237">
        <v>42915</v>
      </c>
      <c r="G3827" s="15">
        <v>897.2</v>
      </c>
      <c r="H3827" s="15">
        <f t="shared" si="59"/>
        <v>0</v>
      </c>
      <c r="I3827" s="236" t="s">
        <v>19682</v>
      </c>
    </row>
    <row r="3828" spans="1:9" x14ac:dyDescent="0.25">
      <c r="A3828" s="36">
        <v>42915</v>
      </c>
      <c r="B3828" s="18">
        <v>117929</v>
      </c>
      <c r="C3828" s="235" t="s">
        <v>19677</v>
      </c>
      <c r="D3828" s="236" t="s">
        <v>15590</v>
      </c>
      <c r="E3828" s="15">
        <v>28363.599999999999</v>
      </c>
      <c r="F3828" s="237">
        <v>42915</v>
      </c>
      <c r="G3828" s="15">
        <v>28363.599999999999</v>
      </c>
      <c r="H3828" s="15">
        <f t="shared" si="59"/>
        <v>0</v>
      </c>
      <c r="I3828" s="236" t="s">
        <v>19682</v>
      </c>
    </row>
    <row r="3829" spans="1:9" x14ac:dyDescent="0.25">
      <c r="A3829" s="242">
        <v>42915</v>
      </c>
      <c r="B3829" s="18">
        <v>117930</v>
      </c>
      <c r="C3829" s="235" t="s">
        <v>19677</v>
      </c>
      <c r="D3829" s="236" t="s">
        <v>15378</v>
      </c>
      <c r="E3829" s="15">
        <v>1992.6</v>
      </c>
      <c r="F3829" s="237">
        <v>42915</v>
      </c>
      <c r="G3829" s="15">
        <v>1992.6</v>
      </c>
      <c r="H3829" s="15">
        <f t="shared" si="59"/>
        <v>0</v>
      </c>
      <c r="I3829" s="236" t="s">
        <v>19682</v>
      </c>
    </row>
    <row r="3830" spans="1:9" x14ac:dyDescent="0.25">
      <c r="A3830" s="36">
        <v>42915</v>
      </c>
      <c r="B3830" s="18">
        <v>117931</v>
      </c>
      <c r="C3830" s="235" t="s">
        <v>19677</v>
      </c>
      <c r="D3830" s="236" t="s">
        <v>17862</v>
      </c>
      <c r="E3830" s="15">
        <v>3451.2</v>
      </c>
      <c r="F3830" s="237">
        <v>42928</v>
      </c>
      <c r="G3830" s="15">
        <v>3451.2</v>
      </c>
      <c r="H3830" s="15">
        <f t="shared" si="59"/>
        <v>0</v>
      </c>
      <c r="I3830" s="236" t="s">
        <v>19682</v>
      </c>
    </row>
    <row r="3831" spans="1:9" ht="15.75" x14ac:dyDescent="0.25">
      <c r="A3831" s="242">
        <v>42915</v>
      </c>
      <c r="B3831" s="18">
        <v>117932</v>
      </c>
      <c r="C3831" s="235" t="s">
        <v>19677</v>
      </c>
      <c r="D3831" s="248" t="s">
        <v>95</v>
      </c>
      <c r="E3831" s="15">
        <v>0</v>
      </c>
      <c r="F3831" s="243" t="s">
        <v>95</v>
      </c>
      <c r="G3831" s="15">
        <v>0</v>
      </c>
      <c r="H3831" s="15">
        <f t="shared" si="59"/>
        <v>0</v>
      </c>
      <c r="I3831" s="236" t="s">
        <v>19678</v>
      </c>
    </row>
    <row r="3832" spans="1:9" x14ac:dyDescent="0.25">
      <c r="A3832" s="36">
        <v>42915</v>
      </c>
      <c r="B3832" s="18">
        <v>117933</v>
      </c>
      <c r="C3832" s="235" t="s">
        <v>19677</v>
      </c>
      <c r="D3832" s="236" t="s">
        <v>15254</v>
      </c>
      <c r="E3832" s="15">
        <v>17182</v>
      </c>
      <c r="F3832" s="237">
        <v>42915</v>
      </c>
      <c r="G3832" s="15">
        <v>17182</v>
      </c>
      <c r="H3832" s="15">
        <f t="shared" si="59"/>
        <v>0</v>
      </c>
      <c r="I3832" s="236" t="s">
        <v>19682</v>
      </c>
    </row>
    <row r="3833" spans="1:9" x14ac:dyDescent="0.25">
      <c r="A3833" s="242">
        <v>42915</v>
      </c>
      <c r="B3833" s="18">
        <v>117934</v>
      </c>
      <c r="C3833" s="235" t="s">
        <v>19677</v>
      </c>
      <c r="D3833" s="236" t="s">
        <v>15759</v>
      </c>
      <c r="E3833" s="15">
        <v>1144.08</v>
      </c>
      <c r="F3833" s="237">
        <v>42915</v>
      </c>
      <c r="G3833" s="15">
        <v>1144.08</v>
      </c>
      <c r="H3833" s="15">
        <f t="shared" si="59"/>
        <v>0</v>
      </c>
      <c r="I3833" s="236" t="s">
        <v>19682</v>
      </c>
    </row>
    <row r="3834" spans="1:9" x14ac:dyDescent="0.25">
      <c r="A3834" s="36">
        <v>42915</v>
      </c>
      <c r="B3834" s="18">
        <v>117935</v>
      </c>
      <c r="C3834" s="235" t="s">
        <v>19677</v>
      </c>
      <c r="D3834" s="236" t="s">
        <v>15315</v>
      </c>
      <c r="E3834" s="15">
        <v>2834.8</v>
      </c>
      <c r="F3834" s="237">
        <v>42915</v>
      </c>
      <c r="G3834" s="15">
        <v>2834.8</v>
      </c>
      <c r="H3834" s="15">
        <f t="shared" si="59"/>
        <v>0</v>
      </c>
      <c r="I3834" s="236" t="s">
        <v>19682</v>
      </c>
    </row>
    <row r="3835" spans="1:9" x14ac:dyDescent="0.25">
      <c r="A3835" s="242">
        <v>42915</v>
      </c>
      <c r="B3835" s="18">
        <v>117936</v>
      </c>
      <c r="C3835" s="235" t="s">
        <v>19677</v>
      </c>
      <c r="D3835" s="236" t="s">
        <v>15315</v>
      </c>
      <c r="E3835" s="15">
        <v>820</v>
      </c>
      <c r="F3835" s="237">
        <v>42915</v>
      </c>
      <c r="G3835" s="15">
        <v>820</v>
      </c>
      <c r="H3835" s="15">
        <f t="shared" si="59"/>
        <v>0</v>
      </c>
      <c r="I3835" s="236" t="s">
        <v>19682</v>
      </c>
    </row>
    <row r="3836" spans="1:9" x14ac:dyDescent="0.25">
      <c r="A3836" s="36">
        <v>42915</v>
      </c>
      <c r="B3836" s="18">
        <v>117937</v>
      </c>
      <c r="C3836" s="235" t="s">
        <v>19677</v>
      </c>
      <c r="D3836" s="236" t="s">
        <v>15361</v>
      </c>
      <c r="E3836" s="15">
        <v>5809</v>
      </c>
      <c r="F3836" s="237">
        <v>42915</v>
      </c>
      <c r="G3836" s="15">
        <v>5809</v>
      </c>
      <c r="H3836" s="15">
        <f t="shared" si="59"/>
        <v>0</v>
      </c>
      <c r="I3836" s="236" t="s">
        <v>19682</v>
      </c>
    </row>
    <row r="3837" spans="1:9" x14ac:dyDescent="0.25">
      <c r="A3837" s="242">
        <v>42915</v>
      </c>
      <c r="B3837" s="18">
        <v>117938</v>
      </c>
      <c r="C3837" s="235" t="s">
        <v>19677</v>
      </c>
      <c r="D3837" s="236" t="s">
        <v>15391</v>
      </c>
      <c r="E3837" s="15">
        <v>6697</v>
      </c>
      <c r="F3837" s="237">
        <v>42919</v>
      </c>
      <c r="G3837" s="15">
        <v>6697</v>
      </c>
      <c r="H3837" s="15">
        <f t="shared" si="59"/>
        <v>0</v>
      </c>
      <c r="I3837" s="236" t="s">
        <v>19682</v>
      </c>
    </row>
    <row r="3838" spans="1:9" x14ac:dyDescent="0.25">
      <c r="A3838" s="36">
        <v>42915</v>
      </c>
      <c r="B3838" s="18">
        <v>117939</v>
      </c>
      <c r="C3838" s="235" t="s">
        <v>19677</v>
      </c>
      <c r="D3838" s="236" t="s">
        <v>15555</v>
      </c>
      <c r="E3838" s="15">
        <v>34835.9</v>
      </c>
      <c r="F3838" s="266">
        <v>42921</v>
      </c>
      <c r="G3838" s="35">
        <v>34835.9</v>
      </c>
      <c r="H3838" s="15">
        <f t="shared" si="59"/>
        <v>0</v>
      </c>
      <c r="I3838" s="236" t="s">
        <v>19682</v>
      </c>
    </row>
    <row r="3839" spans="1:9" x14ac:dyDescent="0.25">
      <c r="A3839" s="242">
        <v>42915</v>
      </c>
      <c r="B3839" s="18">
        <v>117940</v>
      </c>
      <c r="C3839" s="235" t="s">
        <v>19677</v>
      </c>
      <c r="D3839" s="236" t="s">
        <v>15590</v>
      </c>
      <c r="E3839" s="15">
        <v>9959</v>
      </c>
      <c r="F3839" s="237">
        <v>42915</v>
      </c>
      <c r="G3839" s="15">
        <v>9959</v>
      </c>
      <c r="H3839" s="15">
        <f t="shared" si="59"/>
        <v>0</v>
      </c>
      <c r="I3839" s="236" t="s">
        <v>19682</v>
      </c>
    </row>
    <row r="3840" spans="1:9" x14ac:dyDescent="0.25">
      <c r="A3840" s="36">
        <v>42915</v>
      </c>
      <c r="B3840" s="18">
        <v>117941</v>
      </c>
      <c r="C3840" s="235" t="s">
        <v>19677</v>
      </c>
      <c r="D3840" s="236" t="s">
        <v>15363</v>
      </c>
      <c r="E3840" s="15">
        <v>5242.8</v>
      </c>
      <c r="F3840" s="237">
        <v>42915</v>
      </c>
      <c r="G3840" s="15">
        <v>5242.8</v>
      </c>
      <c r="H3840" s="15">
        <f t="shared" si="59"/>
        <v>0</v>
      </c>
      <c r="I3840" s="236" t="s">
        <v>19682</v>
      </c>
    </row>
    <row r="3841" spans="1:9" x14ac:dyDescent="0.25">
      <c r="A3841" s="242">
        <v>42915</v>
      </c>
      <c r="B3841" s="18">
        <v>117942</v>
      </c>
      <c r="C3841" s="235" t="s">
        <v>19677</v>
      </c>
      <c r="D3841" s="236" t="s">
        <v>15539</v>
      </c>
      <c r="E3841" s="15">
        <v>18209.5</v>
      </c>
      <c r="F3841" s="266">
        <v>42921</v>
      </c>
      <c r="G3841" s="35">
        <v>18209.5</v>
      </c>
      <c r="H3841" s="15">
        <f t="shared" si="59"/>
        <v>0</v>
      </c>
      <c r="I3841" s="236" t="s">
        <v>19682</v>
      </c>
    </row>
    <row r="3842" spans="1:9" x14ac:dyDescent="0.25">
      <c r="A3842" s="36">
        <v>42915</v>
      </c>
      <c r="B3842" s="18">
        <v>117943</v>
      </c>
      <c r="C3842" s="235" t="s">
        <v>19677</v>
      </c>
      <c r="D3842" s="236" t="s">
        <v>15417</v>
      </c>
      <c r="E3842" s="15">
        <v>2438.4</v>
      </c>
      <c r="F3842" s="237">
        <v>42915</v>
      </c>
      <c r="G3842" s="15">
        <v>2438.4</v>
      </c>
      <c r="H3842" s="15">
        <f t="shared" ref="H3842:H3905" si="60">E3842-G3842</f>
        <v>0</v>
      </c>
      <c r="I3842" s="236" t="s">
        <v>19682</v>
      </c>
    </row>
    <row r="3843" spans="1:9" x14ac:dyDescent="0.25">
      <c r="A3843" s="242">
        <v>42915</v>
      </c>
      <c r="B3843" s="18">
        <v>117944</v>
      </c>
      <c r="C3843" s="235" t="s">
        <v>19677</v>
      </c>
      <c r="D3843" s="236" t="s">
        <v>15307</v>
      </c>
      <c r="E3843" s="15">
        <v>4271.2</v>
      </c>
      <c r="F3843" s="237">
        <v>42915</v>
      </c>
      <c r="G3843" s="15">
        <v>4271.2</v>
      </c>
      <c r="H3843" s="15">
        <f t="shared" si="60"/>
        <v>0</v>
      </c>
      <c r="I3843" s="236" t="s">
        <v>19682</v>
      </c>
    </row>
    <row r="3844" spans="1:9" x14ac:dyDescent="0.25">
      <c r="A3844" s="36">
        <v>42915</v>
      </c>
      <c r="B3844" s="18">
        <v>117945</v>
      </c>
      <c r="C3844" s="235" t="s">
        <v>19677</v>
      </c>
      <c r="D3844" s="236" t="s">
        <v>15912</v>
      </c>
      <c r="E3844" s="15">
        <v>2003.2</v>
      </c>
      <c r="F3844" s="237">
        <v>42915</v>
      </c>
      <c r="G3844" s="15">
        <v>2003.2</v>
      </c>
      <c r="H3844" s="15">
        <f t="shared" si="60"/>
        <v>0</v>
      </c>
      <c r="I3844" s="236" t="s">
        <v>19682</v>
      </c>
    </row>
    <row r="3845" spans="1:9" x14ac:dyDescent="0.25">
      <c r="A3845" s="242">
        <v>42915</v>
      </c>
      <c r="B3845" s="18">
        <v>117946</v>
      </c>
      <c r="C3845" s="235" t="s">
        <v>19677</v>
      </c>
      <c r="D3845" s="236" t="s">
        <v>15284</v>
      </c>
      <c r="E3845" s="15">
        <v>1419.9</v>
      </c>
      <c r="F3845" s="237">
        <v>42915</v>
      </c>
      <c r="G3845" s="15">
        <v>1419.9</v>
      </c>
      <c r="H3845" s="15">
        <f t="shared" si="60"/>
        <v>0</v>
      </c>
      <c r="I3845" s="236" t="s">
        <v>19682</v>
      </c>
    </row>
    <row r="3846" spans="1:9" x14ac:dyDescent="0.25">
      <c r="A3846" s="36">
        <v>42915</v>
      </c>
      <c r="B3846" s="18">
        <v>117947</v>
      </c>
      <c r="C3846" s="235" t="s">
        <v>19677</v>
      </c>
      <c r="D3846" s="236" t="s">
        <v>15835</v>
      </c>
      <c r="E3846" s="15">
        <v>12509.9</v>
      </c>
      <c r="F3846" s="237">
        <v>42915</v>
      </c>
      <c r="G3846" s="15">
        <v>12509.9</v>
      </c>
      <c r="H3846" s="15">
        <f t="shared" si="60"/>
        <v>0</v>
      </c>
      <c r="I3846" s="236" t="s">
        <v>19682</v>
      </c>
    </row>
    <row r="3847" spans="1:9" x14ac:dyDescent="0.25">
      <c r="A3847" s="242">
        <v>42915</v>
      </c>
      <c r="B3847" s="18">
        <v>117948</v>
      </c>
      <c r="C3847" s="235" t="s">
        <v>19677</v>
      </c>
      <c r="D3847" s="236" t="s">
        <v>15566</v>
      </c>
      <c r="E3847" s="15">
        <v>3709.2</v>
      </c>
      <c r="F3847" s="237">
        <v>42915</v>
      </c>
      <c r="G3847" s="15">
        <v>3709.2</v>
      </c>
      <c r="H3847" s="15">
        <f t="shared" si="60"/>
        <v>0</v>
      </c>
      <c r="I3847" s="236" t="s">
        <v>19682</v>
      </c>
    </row>
    <row r="3848" spans="1:9" x14ac:dyDescent="0.25">
      <c r="A3848" s="36">
        <v>42915</v>
      </c>
      <c r="B3848" s="18">
        <v>117949</v>
      </c>
      <c r="C3848" s="235" t="s">
        <v>19677</v>
      </c>
      <c r="D3848" s="236" t="s">
        <v>15510</v>
      </c>
      <c r="E3848" s="15">
        <v>4450.34</v>
      </c>
      <c r="F3848" s="237">
        <v>42915</v>
      </c>
      <c r="G3848" s="15">
        <v>4450.34</v>
      </c>
      <c r="H3848" s="15">
        <f t="shared" si="60"/>
        <v>0</v>
      </c>
      <c r="I3848" s="236" t="s">
        <v>19682</v>
      </c>
    </row>
    <row r="3849" spans="1:9" x14ac:dyDescent="0.25">
      <c r="A3849" s="242">
        <v>42915</v>
      </c>
      <c r="B3849" s="18">
        <v>117950</v>
      </c>
      <c r="C3849" s="235" t="s">
        <v>19677</v>
      </c>
      <c r="D3849" s="236" t="s">
        <v>15987</v>
      </c>
      <c r="E3849" s="15">
        <v>847.7</v>
      </c>
      <c r="F3849" s="237">
        <v>42915</v>
      </c>
      <c r="G3849" s="15">
        <v>847.7</v>
      </c>
      <c r="H3849" s="15">
        <f t="shared" si="60"/>
        <v>0</v>
      </c>
      <c r="I3849" s="236" t="s">
        <v>19682</v>
      </c>
    </row>
    <row r="3850" spans="1:9" x14ac:dyDescent="0.25">
      <c r="A3850" s="36">
        <v>42915</v>
      </c>
      <c r="B3850" s="18">
        <v>117951</v>
      </c>
      <c r="C3850" s="235" t="s">
        <v>19677</v>
      </c>
      <c r="D3850" s="236" t="s">
        <v>15583</v>
      </c>
      <c r="E3850" s="15">
        <v>1453.5</v>
      </c>
      <c r="F3850" s="237">
        <v>42920</v>
      </c>
      <c r="G3850" s="15">
        <v>1453.5</v>
      </c>
      <c r="H3850" s="15">
        <f t="shared" si="60"/>
        <v>0</v>
      </c>
      <c r="I3850" s="236" t="s">
        <v>19682</v>
      </c>
    </row>
    <row r="3851" spans="1:9" x14ac:dyDescent="0.25">
      <c r="A3851" s="242">
        <v>42915</v>
      </c>
      <c r="B3851" s="18">
        <v>117952</v>
      </c>
      <c r="C3851" s="235" t="s">
        <v>19677</v>
      </c>
      <c r="D3851" s="236" t="s">
        <v>15309</v>
      </c>
      <c r="E3851" s="15">
        <v>4966</v>
      </c>
      <c r="F3851" s="237">
        <v>42915</v>
      </c>
      <c r="G3851" s="15">
        <v>4966</v>
      </c>
      <c r="H3851" s="15">
        <f t="shared" si="60"/>
        <v>0</v>
      </c>
      <c r="I3851" s="236" t="s">
        <v>19682</v>
      </c>
    </row>
    <row r="3852" spans="1:9" x14ac:dyDescent="0.25">
      <c r="A3852" s="36">
        <v>42915</v>
      </c>
      <c r="B3852" s="18">
        <v>117953</v>
      </c>
      <c r="C3852" s="235" t="s">
        <v>19677</v>
      </c>
      <c r="D3852" s="236" t="s">
        <v>15537</v>
      </c>
      <c r="E3852" s="15">
        <v>20951.099999999999</v>
      </c>
      <c r="F3852" s="266">
        <v>42921</v>
      </c>
      <c r="G3852" s="35">
        <v>20951.099999999999</v>
      </c>
      <c r="H3852" s="15">
        <f t="shared" si="60"/>
        <v>0</v>
      </c>
      <c r="I3852" s="236" t="s">
        <v>19682</v>
      </c>
    </row>
    <row r="3853" spans="1:9" x14ac:dyDescent="0.25">
      <c r="A3853" s="242">
        <v>42915</v>
      </c>
      <c r="B3853" s="18">
        <v>117954</v>
      </c>
      <c r="C3853" s="235" t="s">
        <v>19677</v>
      </c>
      <c r="D3853" s="236" t="s">
        <v>15315</v>
      </c>
      <c r="E3853" s="15">
        <v>2187.1999999999998</v>
      </c>
      <c r="F3853" s="266">
        <v>42921</v>
      </c>
      <c r="G3853" s="35">
        <v>2187.1999999999998</v>
      </c>
      <c r="H3853" s="15">
        <f t="shared" si="60"/>
        <v>0</v>
      </c>
      <c r="I3853" s="236" t="s">
        <v>19682</v>
      </c>
    </row>
    <row r="3854" spans="1:9" x14ac:dyDescent="0.25">
      <c r="A3854" s="36">
        <v>42915</v>
      </c>
      <c r="B3854" s="18">
        <v>117955</v>
      </c>
      <c r="C3854" s="235" t="s">
        <v>19677</v>
      </c>
      <c r="D3854" s="236" t="s">
        <v>15396</v>
      </c>
      <c r="E3854" s="15">
        <v>1986.4</v>
      </c>
      <c r="F3854" s="237">
        <v>42915</v>
      </c>
      <c r="G3854" s="15">
        <v>1986.4</v>
      </c>
      <c r="H3854" s="15">
        <f t="shared" si="60"/>
        <v>0</v>
      </c>
      <c r="I3854" s="236" t="s">
        <v>19682</v>
      </c>
    </row>
    <row r="3855" spans="1:9" x14ac:dyDescent="0.25">
      <c r="A3855" s="242">
        <v>42915</v>
      </c>
      <c r="B3855" s="18">
        <v>117956</v>
      </c>
      <c r="C3855" s="235" t="s">
        <v>19677</v>
      </c>
      <c r="D3855" s="236" t="s">
        <v>15665</v>
      </c>
      <c r="E3855" s="15">
        <v>816</v>
      </c>
      <c r="F3855" s="237">
        <v>42915</v>
      </c>
      <c r="G3855" s="15">
        <v>816</v>
      </c>
      <c r="H3855" s="15">
        <f t="shared" si="60"/>
        <v>0</v>
      </c>
      <c r="I3855" s="236" t="s">
        <v>19682</v>
      </c>
    </row>
    <row r="3856" spans="1:9" x14ac:dyDescent="0.25">
      <c r="A3856" s="36">
        <v>42915</v>
      </c>
      <c r="B3856" s="18">
        <v>117957</v>
      </c>
      <c r="C3856" s="235" t="s">
        <v>19677</v>
      </c>
      <c r="D3856" s="236" t="s">
        <v>15282</v>
      </c>
      <c r="E3856" s="15">
        <v>2546</v>
      </c>
      <c r="F3856" s="237">
        <v>42915</v>
      </c>
      <c r="G3856" s="15">
        <v>2546</v>
      </c>
      <c r="H3856" s="15">
        <f t="shared" si="60"/>
        <v>0</v>
      </c>
      <c r="I3856" s="236" t="s">
        <v>19682</v>
      </c>
    </row>
    <row r="3857" spans="1:9" x14ac:dyDescent="0.25">
      <c r="A3857" s="242">
        <v>42915</v>
      </c>
      <c r="B3857" s="18">
        <v>117958</v>
      </c>
      <c r="C3857" s="235" t="s">
        <v>19677</v>
      </c>
      <c r="D3857" s="236" t="s">
        <v>15433</v>
      </c>
      <c r="E3857" s="15">
        <v>1878.6</v>
      </c>
      <c r="F3857" s="237">
        <v>42915</v>
      </c>
      <c r="G3857" s="15">
        <v>1878.6</v>
      </c>
      <c r="H3857" s="15">
        <f t="shared" si="60"/>
        <v>0</v>
      </c>
      <c r="I3857" s="236" t="s">
        <v>19682</v>
      </c>
    </row>
    <row r="3858" spans="1:9" x14ac:dyDescent="0.25">
      <c r="A3858" s="36">
        <v>42915</v>
      </c>
      <c r="B3858" s="18">
        <v>117959</v>
      </c>
      <c r="C3858" s="235" t="s">
        <v>19677</v>
      </c>
      <c r="D3858" s="236" t="s">
        <v>15655</v>
      </c>
      <c r="E3858" s="15">
        <v>22204</v>
      </c>
      <c r="F3858" s="266">
        <v>42933</v>
      </c>
      <c r="G3858" s="35">
        <v>22204</v>
      </c>
      <c r="H3858" s="15">
        <f t="shared" si="60"/>
        <v>0</v>
      </c>
      <c r="I3858" s="236" t="s">
        <v>19682</v>
      </c>
    </row>
    <row r="3859" spans="1:9" x14ac:dyDescent="0.25">
      <c r="A3859" s="242">
        <v>42915</v>
      </c>
      <c r="B3859" s="18">
        <v>117960</v>
      </c>
      <c r="C3859" s="235" t="s">
        <v>19677</v>
      </c>
      <c r="D3859" s="236" t="s">
        <v>15213</v>
      </c>
      <c r="E3859" s="15">
        <v>7009.8</v>
      </c>
      <c r="F3859" s="237">
        <v>42917</v>
      </c>
      <c r="G3859" s="15">
        <v>7009.8</v>
      </c>
      <c r="H3859" s="15">
        <f t="shared" si="60"/>
        <v>0</v>
      </c>
      <c r="I3859" s="236" t="s">
        <v>19682</v>
      </c>
    </row>
    <row r="3860" spans="1:9" x14ac:dyDescent="0.25">
      <c r="A3860" s="36">
        <v>42915</v>
      </c>
      <c r="B3860" s="18">
        <v>117961</v>
      </c>
      <c r="C3860" s="235" t="s">
        <v>19677</v>
      </c>
      <c r="D3860" s="236" t="s">
        <v>15246</v>
      </c>
      <c r="E3860" s="15">
        <v>78534.600000000006</v>
      </c>
      <c r="F3860" s="237">
        <v>42917</v>
      </c>
      <c r="G3860" s="15">
        <v>78534.600000000006</v>
      </c>
      <c r="H3860" s="15">
        <f t="shared" si="60"/>
        <v>0</v>
      </c>
      <c r="I3860" s="236" t="s">
        <v>19682</v>
      </c>
    </row>
    <row r="3861" spans="1:9" x14ac:dyDescent="0.25">
      <c r="A3861" s="242">
        <v>42915</v>
      </c>
      <c r="B3861" s="18">
        <v>117962</v>
      </c>
      <c r="C3861" s="235" t="s">
        <v>19677</v>
      </c>
      <c r="D3861" s="236" t="s">
        <v>19768</v>
      </c>
      <c r="E3861" s="15">
        <v>1470</v>
      </c>
      <c r="F3861" s="237">
        <v>42915</v>
      </c>
      <c r="G3861" s="15">
        <v>1470</v>
      </c>
      <c r="H3861" s="15">
        <f t="shared" si="60"/>
        <v>0</v>
      </c>
      <c r="I3861" s="236" t="s">
        <v>19682</v>
      </c>
    </row>
    <row r="3862" spans="1:9" x14ac:dyDescent="0.25">
      <c r="A3862" s="36">
        <v>42915</v>
      </c>
      <c r="B3862" s="18">
        <v>117963</v>
      </c>
      <c r="C3862" s="235" t="s">
        <v>19677</v>
      </c>
      <c r="D3862" s="236" t="s">
        <v>15628</v>
      </c>
      <c r="E3862" s="15">
        <v>8992.4</v>
      </c>
      <c r="F3862" s="237">
        <v>42915</v>
      </c>
      <c r="G3862" s="15">
        <v>8992.4</v>
      </c>
      <c r="H3862" s="15">
        <f t="shared" si="60"/>
        <v>0</v>
      </c>
      <c r="I3862" s="236" t="s">
        <v>19682</v>
      </c>
    </row>
    <row r="3863" spans="1:9" x14ac:dyDescent="0.25">
      <c r="A3863" s="242">
        <v>42915</v>
      </c>
      <c r="B3863" s="18">
        <v>117964</v>
      </c>
      <c r="C3863" s="235" t="s">
        <v>19677</v>
      </c>
      <c r="D3863" s="236" t="s">
        <v>15267</v>
      </c>
      <c r="E3863" s="15">
        <v>42020.6</v>
      </c>
      <c r="F3863" s="237">
        <v>42915</v>
      </c>
      <c r="G3863" s="15">
        <v>42020.6</v>
      </c>
      <c r="H3863" s="15">
        <f t="shared" si="60"/>
        <v>0</v>
      </c>
      <c r="I3863" s="236" t="s">
        <v>19682</v>
      </c>
    </row>
    <row r="3864" spans="1:9" x14ac:dyDescent="0.25">
      <c r="A3864" s="36">
        <v>42915</v>
      </c>
      <c r="B3864" s="18">
        <v>117965</v>
      </c>
      <c r="C3864" s="235" t="s">
        <v>19677</v>
      </c>
      <c r="D3864" s="236" t="s">
        <v>17722</v>
      </c>
      <c r="E3864" s="15">
        <v>2143.1999999999998</v>
      </c>
      <c r="F3864" s="237">
        <v>42915</v>
      </c>
      <c r="G3864" s="15">
        <v>2143.1999999999998</v>
      </c>
      <c r="H3864" s="15">
        <f t="shared" si="60"/>
        <v>0</v>
      </c>
      <c r="I3864" s="236" t="s">
        <v>19682</v>
      </c>
    </row>
    <row r="3865" spans="1:9" x14ac:dyDescent="0.25">
      <c r="A3865" s="242">
        <v>42915</v>
      </c>
      <c r="B3865" s="18">
        <v>117966</v>
      </c>
      <c r="C3865" s="235" t="s">
        <v>19677</v>
      </c>
      <c r="D3865" s="236" t="s">
        <v>18773</v>
      </c>
      <c r="E3865" s="15">
        <v>29214</v>
      </c>
      <c r="F3865" s="237">
        <v>42915</v>
      </c>
      <c r="G3865" s="15">
        <v>29214</v>
      </c>
      <c r="H3865" s="15">
        <f t="shared" si="60"/>
        <v>0</v>
      </c>
      <c r="I3865" s="236" t="s">
        <v>19682</v>
      </c>
    </row>
    <row r="3866" spans="1:9" x14ac:dyDescent="0.25">
      <c r="A3866" s="36">
        <v>42915</v>
      </c>
      <c r="B3866" s="18">
        <v>117967</v>
      </c>
      <c r="C3866" s="235" t="s">
        <v>19677</v>
      </c>
      <c r="D3866" s="236" t="s">
        <v>15315</v>
      </c>
      <c r="E3866" s="15">
        <v>760.5</v>
      </c>
      <c r="F3866" s="266">
        <v>42984</v>
      </c>
      <c r="G3866" s="35">
        <v>760.5</v>
      </c>
      <c r="H3866" s="15">
        <f t="shared" si="60"/>
        <v>0</v>
      </c>
      <c r="I3866" s="236" t="s">
        <v>19682</v>
      </c>
    </row>
    <row r="3867" spans="1:9" x14ac:dyDescent="0.25">
      <c r="A3867" s="242">
        <v>42915</v>
      </c>
      <c r="B3867" s="18">
        <v>117968</v>
      </c>
      <c r="C3867" s="235" t="s">
        <v>19677</v>
      </c>
      <c r="D3867" s="236" t="s">
        <v>15284</v>
      </c>
      <c r="E3867" s="15">
        <v>136.4</v>
      </c>
      <c r="F3867" s="237">
        <v>42915</v>
      </c>
      <c r="G3867" s="15">
        <v>136.4</v>
      </c>
      <c r="H3867" s="15">
        <f t="shared" si="60"/>
        <v>0</v>
      </c>
      <c r="I3867" s="236" t="s">
        <v>19682</v>
      </c>
    </row>
    <row r="3868" spans="1:9" x14ac:dyDescent="0.25">
      <c r="A3868" s="36">
        <v>42915</v>
      </c>
      <c r="B3868" s="18">
        <v>117969</v>
      </c>
      <c r="C3868" s="235" t="s">
        <v>19677</v>
      </c>
      <c r="D3868" s="236" t="s">
        <v>17462</v>
      </c>
      <c r="E3868" s="15">
        <v>4056</v>
      </c>
      <c r="F3868" s="237">
        <v>42915</v>
      </c>
      <c r="G3868" s="15">
        <v>4056</v>
      </c>
      <c r="H3868" s="15">
        <f t="shared" si="60"/>
        <v>0</v>
      </c>
      <c r="I3868" s="236" t="s">
        <v>19682</v>
      </c>
    </row>
    <row r="3869" spans="1:9" ht="15.75" x14ac:dyDescent="0.25">
      <c r="A3869" s="242">
        <v>42915</v>
      </c>
      <c r="B3869" s="18">
        <v>117970</v>
      </c>
      <c r="C3869" s="235" t="s">
        <v>19677</v>
      </c>
      <c r="D3869" s="248" t="s">
        <v>95</v>
      </c>
      <c r="E3869" s="15">
        <v>0</v>
      </c>
      <c r="F3869" s="243" t="s">
        <v>95</v>
      </c>
      <c r="G3869" s="15">
        <v>0</v>
      </c>
      <c r="H3869" s="15">
        <f t="shared" si="60"/>
        <v>0</v>
      </c>
      <c r="I3869" s="236" t="s">
        <v>19678</v>
      </c>
    </row>
    <row r="3870" spans="1:9" x14ac:dyDescent="0.25">
      <c r="A3870" s="36">
        <v>42915</v>
      </c>
      <c r="B3870" s="18">
        <v>117971</v>
      </c>
      <c r="C3870" s="235" t="s">
        <v>19677</v>
      </c>
      <c r="D3870" s="236" t="s">
        <v>15298</v>
      </c>
      <c r="E3870" s="15">
        <v>16703.900000000001</v>
      </c>
      <c r="F3870" s="237">
        <v>42922</v>
      </c>
      <c r="G3870" s="15">
        <v>16703.900000000001</v>
      </c>
      <c r="H3870" s="15">
        <f t="shared" si="60"/>
        <v>0</v>
      </c>
      <c r="I3870" s="236" t="s">
        <v>19682</v>
      </c>
    </row>
    <row r="3871" spans="1:9" x14ac:dyDescent="0.25">
      <c r="A3871" s="242">
        <v>42915</v>
      </c>
      <c r="B3871" s="18">
        <v>117972</v>
      </c>
      <c r="C3871" s="235" t="s">
        <v>19677</v>
      </c>
      <c r="D3871" s="236" t="s">
        <v>15298</v>
      </c>
      <c r="E3871" s="15">
        <v>272</v>
      </c>
      <c r="F3871" s="237">
        <v>42915</v>
      </c>
      <c r="G3871" s="15">
        <v>272</v>
      </c>
      <c r="H3871" s="15">
        <f t="shared" si="60"/>
        <v>0</v>
      </c>
      <c r="I3871" s="236" t="s">
        <v>19682</v>
      </c>
    </row>
    <row r="3872" spans="1:9" x14ac:dyDescent="0.25">
      <c r="A3872" s="36">
        <v>42915</v>
      </c>
      <c r="B3872" s="18">
        <v>117973</v>
      </c>
      <c r="C3872" s="235" t="s">
        <v>19677</v>
      </c>
      <c r="D3872" s="236" t="s">
        <v>15624</v>
      </c>
      <c r="E3872" s="15">
        <v>34030.080000000002</v>
      </c>
      <c r="F3872" s="266">
        <v>42920</v>
      </c>
      <c r="G3872" s="35">
        <v>34030.080000000002</v>
      </c>
      <c r="H3872" s="15">
        <f t="shared" si="60"/>
        <v>0</v>
      </c>
      <c r="I3872" s="236" t="s">
        <v>19682</v>
      </c>
    </row>
    <row r="3873" spans="1:9" x14ac:dyDescent="0.25">
      <c r="A3873" s="242">
        <v>42915</v>
      </c>
      <c r="B3873" s="18">
        <v>117974</v>
      </c>
      <c r="C3873" s="235" t="s">
        <v>19677</v>
      </c>
      <c r="D3873" s="236" t="s">
        <v>15315</v>
      </c>
      <c r="E3873" s="15">
        <v>4789.2</v>
      </c>
      <c r="F3873" s="237">
        <v>42915</v>
      </c>
      <c r="G3873" s="15">
        <v>4789.2</v>
      </c>
      <c r="H3873" s="15">
        <f t="shared" si="60"/>
        <v>0</v>
      </c>
      <c r="I3873" s="236" t="s">
        <v>19682</v>
      </c>
    </row>
    <row r="3874" spans="1:9" x14ac:dyDescent="0.25">
      <c r="A3874" s="36">
        <v>42915</v>
      </c>
      <c r="B3874" s="18">
        <v>117975</v>
      </c>
      <c r="C3874" s="235" t="s">
        <v>19677</v>
      </c>
      <c r="D3874" s="236" t="s">
        <v>15568</v>
      </c>
      <c r="E3874" s="15">
        <v>6589</v>
      </c>
      <c r="F3874" s="237">
        <v>42915</v>
      </c>
      <c r="G3874" s="15">
        <v>6589</v>
      </c>
      <c r="H3874" s="15">
        <f t="shared" si="60"/>
        <v>0</v>
      </c>
      <c r="I3874" s="236" t="s">
        <v>19682</v>
      </c>
    </row>
    <row r="3875" spans="1:9" x14ac:dyDescent="0.25">
      <c r="A3875" s="242">
        <v>42915</v>
      </c>
      <c r="B3875" s="18">
        <v>117976</v>
      </c>
      <c r="C3875" s="235" t="s">
        <v>19677</v>
      </c>
      <c r="D3875" s="236" t="s">
        <v>15444</v>
      </c>
      <c r="E3875" s="15">
        <v>3371.6</v>
      </c>
      <c r="F3875" s="237">
        <v>42916</v>
      </c>
      <c r="G3875" s="15">
        <v>3371.6</v>
      </c>
      <c r="H3875" s="15">
        <f t="shared" si="60"/>
        <v>0</v>
      </c>
      <c r="I3875" s="236" t="s">
        <v>19682</v>
      </c>
    </row>
    <row r="3876" spans="1:9" x14ac:dyDescent="0.25">
      <c r="A3876" s="36">
        <v>42915</v>
      </c>
      <c r="B3876" s="18">
        <v>117977</v>
      </c>
      <c r="C3876" s="235" t="s">
        <v>19677</v>
      </c>
      <c r="D3876" s="236" t="s">
        <v>15728</v>
      </c>
      <c r="E3876" s="15">
        <v>17544</v>
      </c>
      <c r="F3876" s="237">
        <v>42915</v>
      </c>
      <c r="G3876" s="15">
        <v>17544</v>
      </c>
      <c r="H3876" s="15">
        <f t="shared" si="60"/>
        <v>0</v>
      </c>
      <c r="I3876" s="236" t="s">
        <v>19682</v>
      </c>
    </row>
    <row r="3877" spans="1:9" x14ac:dyDescent="0.25">
      <c r="A3877" s="242">
        <v>42915</v>
      </c>
      <c r="B3877" s="18">
        <v>117978</v>
      </c>
      <c r="C3877" s="235" t="s">
        <v>19677</v>
      </c>
      <c r="D3877" s="236" t="s">
        <v>15365</v>
      </c>
      <c r="E3877" s="15">
        <v>235846</v>
      </c>
      <c r="F3877" s="237">
        <v>42916</v>
      </c>
      <c r="G3877" s="15">
        <v>235846</v>
      </c>
      <c r="H3877" s="15">
        <f t="shared" si="60"/>
        <v>0</v>
      </c>
      <c r="I3877" s="236" t="s">
        <v>19682</v>
      </c>
    </row>
    <row r="3878" spans="1:9" x14ac:dyDescent="0.25">
      <c r="A3878" s="36">
        <v>42915</v>
      </c>
      <c r="B3878" s="18">
        <v>117979</v>
      </c>
      <c r="C3878" s="235" t="s">
        <v>19677</v>
      </c>
      <c r="D3878" s="236" t="s">
        <v>15226</v>
      </c>
      <c r="E3878" s="15">
        <v>1242.5999999999999</v>
      </c>
      <c r="F3878" s="237">
        <v>42917</v>
      </c>
      <c r="G3878" s="15">
        <v>1242.5999999999999</v>
      </c>
      <c r="H3878" s="15">
        <f t="shared" si="60"/>
        <v>0</v>
      </c>
      <c r="I3878" s="236" t="s">
        <v>19682</v>
      </c>
    </row>
    <row r="3879" spans="1:9" x14ac:dyDescent="0.25">
      <c r="A3879" s="242">
        <v>42915</v>
      </c>
      <c r="B3879" s="18">
        <v>117980</v>
      </c>
      <c r="C3879" s="235" t="s">
        <v>19677</v>
      </c>
      <c r="D3879" s="236" t="s">
        <v>15856</v>
      </c>
      <c r="E3879" s="15">
        <v>6787.5</v>
      </c>
      <c r="F3879" s="237">
        <v>42928</v>
      </c>
      <c r="G3879" s="15">
        <v>6787.5</v>
      </c>
      <c r="H3879" s="15">
        <f t="shared" si="60"/>
        <v>0</v>
      </c>
      <c r="I3879" s="236" t="s">
        <v>19682</v>
      </c>
    </row>
    <row r="3880" spans="1:9" x14ac:dyDescent="0.25">
      <c r="A3880" s="36">
        <v>42915</v>
      </c>
      <c r="B3880" s="18">
        <v>117981</v>
      </c>
      <c r="C3880" s="235" t="s">
        <v>19677</v>
      </c>
      <c r="D3880" s="236" t="s">
        <v>15407</v>
      </c>
      <c r="E3880" s="15">
        <v>13251.7</v>
      </c>
      <c r="F3880" s="237">
        <v>42915</v>
      </c>
      <c r="G3880" s="15">
        <v>13251.7</v>
      </c>
      <c r="H3880" s="15">
        <f t="shared" si="60"/>
        <v>0</v>
      </c>
      <c r="I3880" s="236" t="s">
        <v>19682</v>
      </c>
    </row>
    <row r="3881" spans="1:9" x14ac:dyDescent="0.25">
      <c r="A3881" s="242">
        <v>42915</v>
      </c>
      <c r="B3881" s="18">
        <v>117982</v>
      </c>
      <c r="C3881" s="235" t="s">
        <v>19677</v>
      </c>
      <c r="D3881" s="236" t="s">
        <v>15246</v>
      </c>
      <c r="E3881" s="15">
        <v>19522.3</v>
      </c>
      <c r="F3881" s="237">
        <v>42917</v>
      </c>
      <c r="G3881" s="15">
        <v>19522.3</v>
      </c>
      <c r="H3881" s="15">
        <f t="shared" si="60"/>
        <v>0</v>
      </c>
      <c r="I3881" s="236" t="s">
        <v>19682</v>
      </c>
    </row>
    <row r="3882" spans="1:9" x14ac:dyDescent="0.25">
      <c r="A3882" s="36">
        <v>42915</v>
      </c>
      <c r="B3882" s="18">
        <v>117983</v>
      </c>
      <c r="C3882" s="235" t="s">
        <v>19677</v>
      </c>
      <c r="D3882" s="236" t="s">
        <v>15246</v>
      </c>
      <c r="E3882" s="15">
        <v>220441.32</v>
      </c>
      <c r="F3882" s="237">
        <v>42917</v>
      </c>
      <c r="G3882" s="15">
        <v>220441.32</v>
      </c>
      <c r="H3882" s="15">
        <f t="shared" si="60"/>
        <v>0</v>
      </c>
      <c r="I3882" s="236" t="s">
        <v>19682</v>
      </c>
    </row>
    <row r="3883" spans="1:9" x14ac:dyDescent="0.25">
      <c r="A3883" s="242">
        <v>42915</v>
      </c>
      <c r="B3883" s="18">
        <v>117984</v>
      </c>
      <c r="C3883" s="235" t="s">
        <v>19677</v>
      </c>
      <c r="D3883" s="236" t="s">
        <v>19680</v>
      </c>
      <c r="E3883" s="15">
        <v>104</v>
      </c>
      <c r="F3883" s="237">
        <v>42915</v>
      </c>
      <c r="G3883" s="15">
        <v>104</v>
      </c>
      <c r="H3883" s="15">
        <f t="shared" si="60"/>
        <v>0</v>
      </c>
      <c r="I3883" s="236" t="s">
        <v>19682</v>
      </c>
    </row>
    <row r="3884" spans="1:9" x14ac:dyDescent="0.25">
      <c r="A3884" s="36">
        <v>42915</v>
      </c>
      <c r="B3884" s="18">
        <v>117985</v>
      </c>
      <c r="C3884" s="235" t="s">
        <v>19677</v>
      </c>
      <c r="D3884" s="236" t="s">
        <v>15284</v>
      </c>
      <c r="E3884" s="15">
        <v>136.4</v>
      </c>
      <c r="F3884" s="237">
        <v>42915</v>
      </c>
      <c r="G3884" s="15">
        <v>136.4</v>
      </c>
      <c r="H3884" s="15">
        <f t="shared" si="60"/>
        <v>0</v>
      </c>
      <c r="I3884" s="236" t="s">
        <v>19682</v>
      </c>
    </row>
    <row r="3885" spans="1:9" x14ac:dyDescent="0.25">
      <c r="A3885" s="242">
        <v>42915</v>
      </c>
      <c r="B3885" s="18">
        <v>117986</v>
      </c>
      <c r="C3885" s="235" t="s">
        <v>19677</v>
      </c>
      <c r="D3885" s="236" t="s">
        <v>15246</v>
      </c>
      <c r="E3885" s="15">
        <v>108903.16</v>
      </c>
      <c r="F3885" s="237">
        <v>42917</v>
      </c>
      <c r="G3885" s="15">
        <v>108903.16</v>
      </c>
      <c r="H3885" s="15">
        <f t="shared" si="60"/>
        <v>0</v>
      </c>
      <c r="I3885" s="236" t="s">
        <v>19682</v>
      </c>
    </row>
    <row r="3886" spans="1:9" ht="15.75" x14ac:dyDescent="0.25">
      <c r="A3886" s="36">
        <v>42915</v>
      </c>
      <c r="B3886" s="18">
        <v>117987</v>
      </c>
      <c r="C3886" s="235" t="s">
        <v>19677</v>
      </c>
      <c r="D3886" s="248" t="s">
        <v>95</v>
      </c>
      <c r="E3886" s="15">
        <v>0</v>
      </c>
      <c r="F3886" s="243" t="s">
        <v>95</v>
      </c>
      <c r="G3886" s="15">
        <v>0</v>
      </c>
      <c r="H3886" s="15">
        <f t="shared" si="60"/>
        <v>0</v>
      </c>
      <c r="I3886" s="236" t="s">
        <v>19678</v>
      </c>
    </row>
    <row r="3887" spans="1:9" x14ac:dyDescent="0.25">
      <c r="A3887" s="242">
        <v>42915</v>
      </c>
      <c r="B3887" s="18">
        <v>117988</v>
      </c>
      <c r="C3887" s="235" t="s">
        <v>19677</v>
      </c>
      <c r="D3887" s="236" t="s">
        <v>15250</v>
      </c>
      <c r="E3887" s="15">
        <v>515</v>
      </c>
      <c r="F3887" s="266">
        <v>42931</v>
      </c>
      <c r="G3887" s="35">
        <v>515</v>
      </c>
      <c r="H3887" s="15">
        <f t="shared" si="60"/>
        <v>0</v>
      </c>
      <c r="I3887" s="236" t="s">
        <v>19682</v>
      </c>
    </row>
    <row r="3888" spans="1:9" x14ac:dyDescent="0.25">
      <c r="A3888" s="36">
        <v>42915</v>
      </c>
      <c r="B3888" s="18">
        <v>117989</v>
      </c>
      <c r="C3888" s="235" t="s">
        <v>19677</v>
      </c>
      <c r="D3888" s="236" t="s">
        <v>19765</v>
      </c>
      <c r="E3888" s="15">
        <v>1500</v>
      </c>
      <c r="F3888" s="237">
        <v>42916</v>
      </c>
      <c r="G3888" s="15">
        <v>1500</v>
      </c>
      <c r="H3888" s="15">
        <f t="shared" si="60"/>
        <v>0</v>
      </c>
      <c r="I3888" s="236" t="s">
        <v>19682</v>
      </c>
    </row>
    <row r="3889" spans="1:9" x14ac:dyDescent="0.25">
      <c r="A3889" s="242">
        <v>42915</v>
      </c>
      <c r="B3889" s="18">
        <v>117990</v>
      </c>
      <c r="C3889" s="235" t="s">
        <v>19677</v>
      </c>
      <c r="D3889" s="236" t="s">
        <v>15941</v>
      </c>
      <c r="E3889" s="15">
        <v>2276.4</v>
      </c>
      <c r="F3889" s="266">
        <v>42917</v>
      </c>
      <c r="G3889" s="35">
        <v>2276.4</v>
      </c>
      <c r="H3889" s="15">
        <f t="shared" si="60"/>
        <v>0</v>
      </c>
      <c r="I3889" s="236" t="s">
        <v>19682</v>
      </c>
    </row>
    <row r="3890" spans="1:9" x14ac:dyDescent="0.25">
      <c r="A3890" s="36">
        <v>42915</v>
      </c>
      <c r="B3890" s="18">
        <v>117991</v>
      </c>
      <c r="C3890" s="235" t="s">
        <v>19677</v>
      </c>
      <c r="D3890" s="236" t="s">
        <v>15450</v>
      </c>
      <c r="E3890" s="15">
        <v>2285.8000000000002</v>
      </c>
      <c r="F3890" s="266">
        <v>42917</v>
      </c>
      <c r="G3890" s="35">
        <v>2285.8000000000002</v>
      </c>
      <c r="H3890" s="15">
        <f t="shared" si="60"/>
        <v>0</v>
      </c>
      <c r="I3890" s="236" t="s">
        <v>19682</v>
      </c>
    </row>
    <row r="3891" spans="1:9" x14ac:dyDescent="0.25">
      <c r="A3891" s="242">
        <v>42915</v>
      </c>
      <c r="B3891" s="18">
        <v>117992</v>
      </c>
      <c r="C3891" s="235" t="s">
        <v>19677</v>
      </c>
      <c r="D3891" s="236" t="s">
        <v>15465</v>
      </c>
      <c r="E3891" s="15">
        <v>800</v>
      </c>
      <c r="F3891" s="266">
        <v>42917</v>
      </c>
      <c r="G3891" s="35">
        <v>800</v>
      </c>
      <c r="H3891" s="15">
        <f t="shared" si="60"/>
        <v>0</v>
      </c>
      <c r="I3891" s="236" t="s">
        <v>19682</v>
      </c>
    </row>
    <row r="3892" spans="1:9" x14ac:dyDescent="0.25">
      <c r="A3892" s="36">
        <v>42915</v>
      </c>
      <c r="B3892" s="18">
        <v>117993</v>
      </c>
      <c r="C3892" s="235" t="s">
        <v>19677</v>
      </c>
      <c r="D3892" s="236" t="s">
        <v>15458</v>
      </c>
      <c r="E3892" s="15">
        <v>1877.2</v>
      </c>
      <c r="F3892" s="266">
        <v>42917</v>
      </c>
      <c r="G3892" s="35">
        <v>1877.2</v>
      </c>
      <c r="H3892" s="15">
        <f t="shared" si="60"/>
        <v>0</v>
      </c>
      <c r="I3892" s="236" t="s">
        <v>19682</v>
      </c>
    </row>
    <row r="3893" spans="1:9" x14ac:dyDescent="0.25">
      <c r="A3893" s="242">
        <v>42915</v>
      </c>
      <c r="B3893" s="18">
        <v>117994</v>
      </c>
      <c r="C3893" s="235" t="s">
        <v>19677</v>
      </c>
      <c r="D3893" s="236" t="s">
        <v>15446</v>
      </c>
      <c r="E3893" s="15">
        <v>3326.4</v>
      </c>
      <c r="F3893" s="266">
        <v>42917</v>
      </c>
      <c r="G3893" s="35">
        <v>3326.4</v>
      </c>
      <c r="H3893" s="15">
        <f t="shared" si="60"/>
        <v>0</v>
      </c>
      <c r="I3893" s="236" t="s">
        <v>19682</v>
      </c>
    </row>
    <row r="3894" spans="1:9" x14ac:dyDescent="0.25">
      <c r="A3894" s="36">
        <v>42915</v>
      </c>
      <c r="B3894" s="18">
        <v>117995</v>
      </c>
      <c r="C3894" s="235" t="s">
        <v>19677</v>
      </c>
      <c r="D3894" s="236" t="s">
        <v>15462</v>
      </c>
      <c r="E3894" s="15">
        <v>21841</v>
      </c>
      <c r="F3894" s="266">
        <v>42917</v>
      </c>
      <c r="G3894" s="35">
        <v>21841</v>
      </c>
      <c r="H3894" s="15">
        <f t="shared" si="60"/>
        <v>0</v>
      </c>
      <c r="I3894" s="236" t="s">
        <v>19682</v>
      </c>
    </row>
    <row r="3895" spans="1:9" x14ac:dyDescent="0.25">
      <c r="A3895" s="242">
        <v>42915</v>
      </c>
      <c r="B3895" s="18">
        <v>117996</v>
      </c>
      <c r="C3895" s="235" t="s">
        <v>19677</v>
      </c>
      <c r="D3895" s="236" t="s">
        <v>15454</v>
      </c>
      <c r="E3895" s="15">
        <v>5851.2</v>
      </c>
      <c r="F3895" s="266">
        <v>42917</v>
      </c>
      <c r="G3895" s="35">
        <v>5851.2</v>
      </c>
      <c r="H3895" s="15">
        <f t="shared" si="60"/>
        <v>0</v>
      </c>
      <c r="I3895" s="236" t="s">
        <v>19682</v>
      </c>
    </row>
    <row r="3896" spans="1:9" x14ac:dyDescent="0.25">
      <c r="A3896" s="36">
        <v>42915</v>
      </c>
      <c r="B3896" s="18">
        <v>117997</v>
      </c>
      <c r="C3896" s="235" t="s">
        <v>19677</v>
      </c>
      <c r="D3896" s="236" t="s">
        <v>19781</v>
      </c>
      <c r="E3896" s="15">
        <v>11212.2</v>
      </c>
      <c r="F3896" s="266">
        <v>42917</v>
      </c>
      <c r="G3896" s="35">
        <v>11212.2</v>
      </c>
      <c r="H3896" s="15">
        <f t="shared" si="60"/>
        <v>0</v>
      </c>
      <c r="I3896" s="236" t="s">
        <v>19682</v>
      </c>
    </row>
    <row r="3897" spans="1:9" x14ac:dyDescent="0.25">
      <c r="A3897" s="242">
        <v>42915</v>
      </c>
      <c r="B3897" s="18">
        <v>117998</v>
      </c>
      <c r="C3897" s="235" t="s">
        <v>19677</v>
      </c>
      <c r="D3897" s="236" t="s">
        <v>15448</v>
      </c>
      <c r="E3897" s="15">
        <v>231004.33</v>
      </c>
      <c r="F3897" s="266">
        <v>42924</v>
      </c>
      <c r="G3897" s="35">
        <v>231004.33</v>
      </c>
      <c r="H3897" s="15">
        <f t="shared" si="60"/>
        <v>0</v>
      </c>
      <c r="I3897" s="236" t="s">
        <v>19682</v>
      </c>
    </row>
    <row r="3898" spans="1:9" x14ac:dyDescent="0.25">
      <c r="A3898" s="36">
        <v>42915</v>
      </c>
      <c r="B3898" s="18">
        <v>117999</v>
      </c>
      <c r="C3898" s="235" t="s">
        <v>19677</v>
      </c>
      <c r="D3898" s="236" t="s">
        <v>15376</v>
      </c>
      <c r="E3898" s="15">
        <v>14926.2</v>
      </c>
      <c r="F3898" s="237">
        <v>42916</v>
      </c>
      <c r="G3898" s="15">
        <v>14926.2</v>
      </c>
      <c r="H3898" s="15">
        <f t="shared" si="60"/>
        <v>0</v>
      </c>
      <c r="I3898" s="236" t="s">
        <v>19682</v>
      </c>
    </row>
    <row r="3899" spans="1:9" x14ac:dyDescent="0.25">
      <c r="A3899" s="242">
        <v>42915</v>
      </c>
      <c r="B3899" s="18">
        <v>118000</v>
      </c>
      <c r="C3899" s="235" t="s">
        <v>19677</v>
      </c>
      <c r="D3899" s="236" t="s">
        <v>15376</v>
      </c>
      <c r="E3899" s="15">
        <v>7427.4</v>
      </c>
      <c r="F3899" s="237">
        <v>42916</v>
      </c>
      <c r="G3899" s="15">
        <v>7427.4</v>
      </c>
      <c r="H3899" s="15">
        <f t="shared" si="60"/>
        <v>0</v>
      </c>
      <c r="I3899" s="236" t="s">
        <v>19682</v>
      </c>
    </row>
    <row r="3900" spans="1:9" x14ac:dyDescent="0.25">
      <c r="A3900" s="36">
        <v>42916</v>
      </c>
      <c r="B3900" s="18">
        <v>118001</v>
      </c>
      <c r="C3900" s="235" t="s">
        <v>19677</v>
      </c>
      <c r="D3900" s="236" t="s">
        <v>15213</v>
      </c>
      <c r="E3900" s="15">
        <v>11425.2</v>
      </c>
      <c r="F3900" s="237">
        <v>42918</v>
      </c>
      <c r="G3900" s="15">
        <v>11425.2</v>
      </c>
      <c r="H3900" s="15">
        <f t="shared" si="60"/>
        <v>0</v>
      </c>
      <c r="I3900" s="236" t="s">
        <v>19682</v>
      </c>
    </row>
    <row r="3901" spans="1:9" x14ac:dyDescent="0.25">
      <c r="A3901" s="242">
        <v>42916</v>
      </c>
      <c r="B3901" s="18">
        <v>118002</v>
      </c>
      <c r="C3901" s="235" t="s">
        <v>19677</v>
      </c>
      <c r="D3901" s="236" t="s">
        <v>15213</v>
      </c>
      <c r="E3901" s="15">
        <v>1342.6</v>
      </c>
      <c r="F3901" s="237">
        <v>42916</v>
      </c>
      <c r="G3901" s="15">
        <v>1342.6</v>
      </c>
      <c r="H3901" s="15">
        <f t="shared" si="60"/>
        <v>0</v>
      </c>
      <c r="I3901" s="236" t="s">
        <v>19682</v>
      </c>
    </row>
    <row r="3902" spans="1:9" ht="15.75" x14ac:dyDescent="0.25">
      <c r="A3902" s="36">
        <v>42916</v>
      </c>
      <c r="B3902" s="18">
        <v>118003</v>
      </c>
      <c r="C3902" s="235" t="s">
        <v>19677</v>
      </c>
      <c r="D3902" s="248" t="s">
        <v>95</v>
      </c>
      <c r="E3902" s="15">
        <v>0</v>
      </c>
      <c r="F3902" s="243" t="s">
        <v>95</v>
      </c>
      <c r="G3902" s="15">
        <v>0</v>
      </c>
      <c r="H3902" s="15">
        <f t="shared" si="60"/>
        <v>0</v>
      </c>
      <c r="I3902" s="236" t="s">
        <v>19678</v>
      </c>
    </row>
    <row r="3903" spans="1:9" x14ac:dyDescent="0.25">
      <c r="A3903" s="242">
        <v>42916</v>
      </c>
      <c r="B3903" s="18">
        <v>118004</v>
      </c>
      <c r="C3903" s="235" t="s">
        <v>19677</v>
      </c>
      <c r="D3903" s="236" t="s">
        <v>15213</v>
      </c>
      <c r="E3903" s="15">
        <v>58030.5</v>
      </c>
      <c r="F3903" s="237" t="s">
        <v>19792</v>
      </c>
      <c r="G3903" s="241">
        <f>53000+5030.5</f>
        <v>58030.5</v>
      </c>
      <c r="H3903" s="241">
        <f t="shared" si="60"/>
        <v>0</v>
      </c>
      <c r="I3903" s="236" t="s">
        <v>19682</v>
      </c>
    </row>
    <row r="3904" spans="1:9" x14ac:dyDescent="0.25">
      <c r="A3904" s="36">
        <v>42916</v>
      </c>
      <c r="B3904" s="18">
        <v>118005</v>
      </c>
      <c r="C3904" s="235" t="s">
        <v>19677</v>
      </c>
      <c r="D3904" s="236" t="s">
        <v>15216</v>
      </c>
      <c r="E3904" s="15">
        <v>6408</v>
      </c>
      <c r="F3904" s="237">
        <v>42916</v>
      </c>
      <c r="G3904" s="15">
        <v>6408</v>
      </c>
      <c r="H3904" s="15">
        <f t="shared" si="60"/>
        <v>0</v>
      </c>
      <c r="I3904" s="236" t="s">
        <v>19682</v>
      </c>
    </row>
    <row r="3905" spans="1:9" x14ac:dyDescent="0.25">
      <c r="A3905" s="242">
        <v>42916</v>
      </c>
      <c r="B3905" s="18">
        <v>118006</v>
      </c>
      <c r="C3905" s="235" t="s">
        <v>19677</v>
      </c>
      <c r="D3905" s="236" t="s">
        <v>15450</v>
      </c>
      <c r="E3905" s="15">
        <v>1350.4</v>
      </c>
      <c r="F3905" s="237">
        <v>42917</v>
      </c>
      <c r="G3905" s="15">
        <v>1350.4</v>
      </c>
      <c r="H3905" s="15">
        <f t="shared" si="60"/>
        <v>0</v>
      </c>
      <c r="I3905" s="236" t="s">
        <v>19682</v>
      </c>
    </row>
    <row r="3906" spans="1:9" ht="15.75" x14ac:dyDescent="0.25">
      <c r="A3906" s="36">
        <v>42916</v>
      </c>
      <c r="B3906" s="18">
        <v>118007</v>
      </c>
      <c r="C3906" s="235" t="s">
        <v>19677</v>
      </c>
      <c r="D3906" s="248" t="s">
        <v>95</v>
      </c>
      <c r="E3906" s="15">
        <v>0</v>
      </c>
      <c r="F3906" s="243" t="s">
        <v>95</v>
      </c>
      <c r="G3906" s="15">
        <v>0</v>
      </c>
      <c r="H3906" s="15">
        <f t="shared" ref="H3906:H3969" si="61">E3906-G3906</f>
        <v>0</v>
      </c>
      <c r="I3906" s="236" t="s">
        <v>19678</v>
      </c>
    </row>
    <row r="3907" spans="1:9" x14ac:dyDescent="0.25">
      <c r="A3907" s="242">
        <v>42916</v>
      </c>
      <c r="B3907" s="18">
        <v>118008</v>
      </c>
      <c r="C3907" s="235" t="s">
        <v>19677</v>
      </c>
      <c r="D3907" s="236" t="s">
        <v>15230</v>
      </c>
      <c r="E3907" s="15">
        <v>19434</v>
      </c>
      <c r="F3907" s="266">
        <v>42920</v>
      </c>
      <c r="G3907" s="35">
        <v>19434</v>
      </c>
      <c r="H3907" s="15">
        <f t="shared" si="61"/>
        <v>0</v>
      </c>
      <c r="I3907" s="236" t="s">
        <v>19682</v>
      </c>
    </row>
    <row r="3908" spans="1:9" x14ac:dyDescent="0.25">
      <c r="A3908" s="36">
        <v>42916</v>
      </c>
      <c r="B3908" s="18">
        <v>118009</v>
      </c>
      <c r="C3908" s="235" t="s">
        <v>19677</v>
      </c>
      <c r="D3908" s="236" t="s">
        <v>15272</v>
      </c>
      <c r="E3908" s="15">
        <v>24056.3</v>
      </c>
      <c r="F3908" s="237">
        <v>42916</v>
      </c>
      <c r="G3908" s="15">
        <v>24056.3</v>
      </c>
      <c r="H3908" s="15">
        <f t="shared" si="61"/>
        <v>0</v>
      </c>
      <c r="I3908" s="236" t="s">
        <v>19682</v>
      </c>
    </row>
    <row r="3909" spans="1:9" x14ac:dyDescent="0.25">
      <c r="A3909" s="242">
        <v>42916</v>
      </c>
      <c r="B3909" s="18">
        <v>118010</v>
      </c>
      <c r="C3909" s="235" t="s">
        <v>19677</v>
      </c>
      <c r="D3909" s="236" t="s">
        <v>15242</v>
      </c>
      <c r="E3909" s="15">
        <v>19647</v>
      </c>
      <c r="F3909" s="237">
        <v>42916</v>
      </c>
      <c r="G3909" s="15">
        <v>19647</v>
      </c>
      <c r="H3909" s="15">
        <f t="shared" si="61"/>
        <v>0</v>
      </c>
      <c r="I3909" s="236" t="s">
        <v>19682</v>
      </c>
    </row>
    <row r="3910" spans="1:9" x14ac:dyDescent="0.25">
      <c r="A3910" s="36">
        <v>42916</v>
      </c>
      <c r="B3910" s="18">
        <v>118011</v>
      </c>
      <c r="C3910" s="235" t="s">
        <v>19677</v>
      </c>
      <c r="D3910" s="236" t="s">
        <v>15232</v>
      </c>
      <c r="E3910" s="15">
        <v>8019.6</v>
      </c>
      <c r="F3910" s="237">
        <v>42922</v>
      </c>
      <c r="G3910" s="15">
        <v>8019.6</v>
      </c>
      <c r="H3910" s="15">
        <f t="shared" si="61"/>
        <v>0</v>
      </c>
      <c r="I3910" s="236" t="s">
        <v>19682</v>
      </c>
    </row>
    <row r="3911" spans="1:9" x14ac:dyDescent="0.25">
      <c r="A3911" s="242">
        <v>42916</v>
      </c>
      <c r="B3911" s="18">
        <v>118012</v>
      </c>
      <c r="C3911" s="235" t="s">
        <v>19677</v>
      </c>
      <c r="D3911" s="236" t="s">
        <v>15369</v>
      </c>
      <c r="E3911" s="15">
        <v>37392.1</v>
      </c>
      <c r="F3911" s="266">
        <v>42934</v>
      </c>
      <c r="G3911" s="35">
        <v>37392.1</v>
      </c>
      <c r="H3911" s="15">
        <f t="shared" si="61"/>
        <v>0</v>
      </c>
      <c r="I3911" s="236" t="s">
        <v>19682</v>
      </c>
    </row>
    <row r="3912" spans="1:9" x14ac:dyDescent="0.25">
      <c r="A3912" s="36">
        <v>42916</v>
      </c>
      <c r="B3912" s="18">
        <v>118013</v>
      </c>
      <c r="C3912" s="235" t="s">
        <v>19677</v>
      </c>
      <c r="D3912" s="236" t="s">
        <v>15369</v>
      </c>
      <c r="E3912" s="15">
        <v>1540</v>
      </c>
      <c r="F3912" s="266">
        <v>42934</v>
      </c>
      <c r="G3912" s="35">
        <v>1540</v>
      </c>
      <c r="H3912" s="15">
        <f t="shared" si="61"/>
        <v>0</v>
      </c>
      <c r="I3912" s="236" t="s">
        <v>19682</v>
      </c>
    </row>
    <row r="3913" spans="1:9" x14ac:dyDescent="0.25">
      <c r="A3913" s="242">
        <v>42916</v>
      </c>
      <c r="B3913" s="18">
        <v>118014</v>
      </c>
      <c r="C3913" s="235" t="s">
        <v>19677</v>
      </c>
      <c r="D3913" s="236" t="s">
        <v>15382</v>
      </c>
      <c r="E3913" s="15">
        <v>13037.6</v>
      </c>
      <c r="F3913" s="266">
        <v>42927</v>
      </c>
      <c r="G3913" s="35">
        <v>13037.6</v>
      </c>
      <c r="H3913" s="15">
        <f t="shared" si="61"/>
        <v>0</v>
      </c>
      <c r="I3913" s="236" t="s">
        <v>19682</v>
      </c>
    </row>
    <row r="3914" spans="1:9" x14ac:dyDescent="0.25">
      <c r="A3914" s="36">
        <v>42916</v>
      </c>
      <c r="B3914" s="18">
        <v>118015</v>
      </c>
      <c r="C3914" s="235" t="s">
        <v>19677</v>
      </c>
      <c r="D3914" s="236" t="s">
        <v>15380</v>
      </c>
      <c r="E3914" s="15">
        <v>54369.4</v>
      </c>
      <c r="F3914" s="266">
        <v>42927</v>
      </c>
      <c r="G3914" s="35">
        <v>54369.4</v>
      </c>
      <c r="H3914" s="15">
        <f t="shared" si="61"/>
        <v>0</v>
      </c>
      <c r="I3914" s="236" t="s">
        <v>19682</v>
      </c>
    </row>
    <row r="3915" spans="1:9" x14ac:dyDescent="0.25">
      <c r="A3915" s="242">
        <v>42916</v>
      </c>
      <c r="B3915" s="18">
        <v>118016</v>
      </c>
      <c r="C3915" s="235" t="s">
        <v>19677</v>
      </c>
      <c r="D3915" s="236" t="s">
        <v>15480</v>
      </c>
      <c r="E3915" s="15">
        <v>4083.6</v>
      </c>
      <c r="F3915" s="237">
        <v>42917</v>
      </c>
      <c r="G3915" s="15">
        <v>4083.6</v>
      </c>
      <c r="H3915" s="15">
        <f t="shared" si="61"/>
        <v>0</v>
      </c>
      <c r="I3915" s="236" t="s">
        <v>19682</v>
      </c>
    </row>
    <row r="3916" spans="1:9" x14ac:dyDescent="0.25">
      <c r="A3916" s="36">
        <v>42916</v>
      </c>
      <c r="B3916" s="18">
        <v>118017</v>
      </c>
      <c r="C3916" s="235" t="s">
        <v>19677</v>
      </c>
      <c r="D3916" s="236" t="s">
        <v>15389</v>
      </c>
      <c r="E3916" s="15">
        <v>21895.9</v>
      </c>
      <c r="F3916" s="266">
        <v>42927</v>
      </c>
      <c r="G3916" s="35">
        <v>21895.9</v>
      </c>
      <c r="H3916" s="15">
        <f t="shared" si="61"/>
        <v>0</v>
      </c>
      <c r="I3916" s="236" t="s">
        <v>19682</v>
      </c>
    </row>
    <row r="3917" spans="1:9" ht="15.75" x14ac:dyDescent="0.25">
      <c r="A3917" s="242">
        <v>42916</v>
      </c>
      <c r="B3917" s="18">
        <v>118018</v>
      </c>
      <c r="C3917" s="235" t="s">
        <v>19677</v>
      </c>
      <c r="D3917" s="248" t="s">
        <v>95</v>
      </c>
      <c r="E3917" s="15">
        <v>0</v>
      </c>
      <c r="F3917" s="243" t="s">
        <v>95</v>
      </c>
      <c r="G3917" s="15">
        <v>0</v>
      </c>
      <c r="H3917" s="15">
        <f t="shared" si="61"/>
        <v>0</v>
      </c>
      <c r="I3917" s="236" t="s">
        <v>19678</v>
      </c>
    </row>
    <row r="3918" spans="1:9" x14ac:dyDescent="0.25">
      <c r="A3918" s="36">
        <v>42916</v>
      </c>
      <c r="B3918" s="18">
        <v>118019</v>
      </c>
      <c r="C3918" s="235" t="s">
        <v>19677</v>
      </c>
      <c r="D3918" s="236" t="s">
        <v>15234</v>
      </c>
      <c r="E3918" s="15">
        <v>3714.6</v>
      </c>
      <c r="F3918" s="266">
        <v>42920</v>
      </c>
      <c r="G3918" s="35">
        <v>3714.6</v>
      </c>
      <c r="H3918" s="15">
        <f t="shared" si="61"/>
        <v>0</v>
      </c>
      <c r="I3918" s="236" t="s">
        <v>19682</v>
      </c>
    </row>
    <row r="3919" spans="1:9" x14ac:dyDescent="0.25">
      <c r="A3919" s="242">
        <v>42916</v>
      </c>
      <c r="B3919" s="18">
        <v>118020</v>
      </c>
      <c r="C3919" s="235" t="s">
        <v>19677</v>
      </c>
      <c r="D3919" s="236" t="s">
        <v>15373</v>
      </c>
      <c r="E3919" s="15">
        <v>13767.2</v>
      </c>
      <c r="F3919" s="237">
        <v>42917</v>
      </c>
      <c r="G3919" s="15">
        <v>13767.2</v>
      </c>
      <c r="H3919" s="15">
        <f t="shared" si="61"/>
        <v>0</v>
      </c>
      <c r="I3919" s="236" t="s">
        <v>19682</v>
      </c>
    </row>
    <row r="3920" spans="1:9" x14ac:dyDescent="0.25">
      <c r="A3920" s="36">
        <v>42916</v>
      </c>
      <c r="B3920" s="18">
        <v>118021</v>
      </c>
      <c r="C3920" s="235" t="s">
        <v>19677</v>
      </c>
      <c r="D3920" s="236" t="s">
        <v>15394</v>
      </c>
      <c r="E3920" s="15">
        <v>20267.599999999999</v>
      </c>
      <c r="F3920" s="237">
        <v>42919</v>
      </c>
      <c r="G3920" s="15">
        <v>20267.599999999999</v>
      </c>
      <c r="H3920" s="15">
        <f t="shared" si="61"/>
        <v>0</v>
      </c>
      <c r="I3920" s="236" t="s">
        <v>19682</v>
      </c>
    </row>
    <row r="3921" spans="1:9" x14ac:dyDescent="0.25">
      <c r="A3921" s="242">
        <v>42916</v>
      </c>
      <c r="B3921" s="18">
        <v>118022</v>
      </c>
      <c r="C3921" s="235" t="s">
        <v>19677</v>
      </c>
      <c r="D3921" s="236" t="s">
        <v>19549</v>
      </c>
      <c r="E3921" s="15">
        <v>16582.099999999999</v>
      </c>
      <c r="F3921" s="237">
        <v>42917</v>
      </c>
      <c r="G3921" s="15">
        <v>16582.099999999999</v>
      </c>
      <c r="H3921" s="15">
        <f t="shared" si="61"/>
        <v>0</v>
      </c>
      <c r="I3921" s="236" t="s">
        <v>19682</v>
      </c>
    </row>
    <row r="3922" spans="1:9" x14ac:dyDescent="0.25">
      <c r="A3922" s="36">
        <v>42916</v>
      </c>
      <c r="B3922" s="18">
        <v>118023</v>
      </c>
      <c r="C3922" s="235" t="s">
        <v>19677</v>
      </c>
      <c r="D3922" s="236" t="s">
        <v>15220</v>
      </c>
      <c r="E3922" s="15">
        <v>2940</v>
      </c>
      <c r="F3922" s="237">
        <v>42917</v>
      </c>
      <c r="G3922" s="15">
        <v>2940</v>
      </c>
      <c r="H3922" s="15">
        <f t="shared" si="61"/>
        <v>0</v>
      </c>
      <c r="I3922" s="236" t="s">
        <v>19682</v>
      </c>
    </row>
    <row r="3923" spans="1:9" x14ac:dyDescent="0.25">
      <c r="A3923" s="242">
        <v>42916</v>
      </c>
      <c r="B3923" s="18">
        <v>118024</v>
      </c>
      <c r="C3923" s="235" t="s">
        <v>19677</v>
      </c>
      <c r="D3923" s="236" t="s">
        <v>19302</v>
      </c>
      <c r="E3923" s="15">
        <v>1225</v>
      </c>
      <c r="F3923" s="237">
        <v>42917</v>
      </c>
      <c r="G3923" s="15">
        <v>1225</v>
      </c>
      <c r="H3923" s="15">
        <f t="shared" si="61"/>
        <v>0</v>
      </c>
      <c r="I3923" s="236" t="s">
        <v>19682</v>
      </c>
    </row>
    <row r="3924" spans="1:9" x14ac:dyDescent="0.25">
      <c r="A3924" s="36">
        <v>42916</v>
      </c>
      <c r="B3924" s="18">
        <v>118025</v>
      </c>
      <c r="C3924" s="235" t="s">
        <v>19677</v>
      </c>
      <c r="D3924" s="236" t="s">
        <v>17277</v>
      </c>
      <c r="E3924" s="15">
        <v>2941.2</v>
      </c>
      <c r="F3924" s="237">
        <v>42916</v>
      </c>
      <c r="G3924" s="15">
        <v>2941.2</v>
      </c>
      <c r="H3924" s="15">
        <f t="shared" si="61"/>
        <v>0</v>
      </c>
      <c r="I3924" s="236" t="s">
        <v>19682</v>
      </c>
    </row>
    <row r="3925" spans="1:9" x14ac:dyDescent="0.25">
      <c r="A3925" s="242">
        <v>42916</v>
      </c>
      <c r="B3925" s="18">
        <v>118026</v>
      </c>
      <c r="C3925" s="235" t="s">
        <v>19677</v>
      </c>
      <c r="D3925" s="236" t="s">
        <v>15315</v>
      </c>
      <c r="E3925" s="15">
        <v>1640</v>
      </c>
      <c r="F3925" s="237">
        <v>42916</v>
      </c>
      <c r="G3925" s="15">
        <v>1640</v>
      </c>
      <c r="H3925" s="15">
        <f t="shared" si="61"/>
        <v>0</v>
      </c>
      <c r="I3925" s="236" t="s">
        <v>19682</v>
      </c>
    </row>
    <row r="3926" spans="1:9" x14ac:dyDescent="0.25">
      <c r="A3926" s="36">
        <v>42916</v>
      </c>
      <c r="B3926" s="18">
        <v>118027</v>
      </c>
      <c r="C3926" s="235" t="s">
        <v>19677</v>
      </c>
      <c r="D3926" s="236" t="s">
        <v>15315</v>
      </c>
      <c r="E3926" s="15">
        <v>3275</v>
      </c>
      <c r="F3926" s="237">
        <v>42916</v>
      </c>
      <c r="G3926" s="15">
        <v>3275</v>
      </c>
      <c r="H3926" s="15">
        <f t="shared" si="61"/>
        <v>0</v>
      </c>
      <c r="I3926" s="236" t="s">
        <v>19682</v>
      </c>
    </row>
    <row r="3927" spans="1:9" x14ac:dyDescent="0.25">
      <c r="A3927" s="242">
        <v>42916</v>
      </c>
      <c r="B3927" s="18">
        <v>118028</v>
      </c>
      <c r="C3927" s="235" t="s">
        <v>19677</v>
      </c>
      <c r="D3927" s="236" t="s">
        <v>5575</v>
      </c>
      <c r="E3927" s="15">
        <v>9031.7999999999993</v>
      </c>
      <c r="F3927" s="237">
        <v>42919</v>
      </c>
      <c r="G3927" s="15">
        <v>9031.7999999999993</v>
      </c>
      <c r="H3927" s="15">
        <f t="shared" si="61"/>
        <v>0</v>
      </c>
      <c r="I3927" s="236" t="s">
        <v>19682</v>
      </c>
    </row>
    <row r="3928" spans="1:9" x14ac:dyDescent="0.25">
      <c r="A3928" s="36">
        <v>42916</v>
      </c>
      <c r="B3928" s="18">
        <v>118029</v>
      </c>
      <c r="C3928" s="235" t="s">
        <v>19677</v>
      </c>
      <c r="D3928" s="236" t="s">
        <v>17462</v>
      </c>
      <c r="E3928" s="15">
        <v>6017.8</v>
      </c>
      <c r="F3928" s="237">
        <v>42916</v>
      </c>
      <c r="G3928" s="15">
        <v>6017.8</v>
      </c>
      <c r="H3928" s="15">
        <f t="shared" si="61"/>
        <v>0</v>
      </c>
      <c r="I3928" s="236" t="s">
        <v>19682</v>
      </c>
    </row>
    <row r="3929" spans="1:9" x14ac:dyDescent="0.25">
      <c r="A3929" s="242">
        <v>42916</v>
      </c>
      <c r="B3929" s="18">
        <v>118030</v>
      </c>
      <c r="C3929" s="235" t="s">
        <v>19677</v>
      </c>
      <c r="D3929" s="236" t="s">
        <v>15238</v>
      </c>
      <c r="E3929" s="15">
        <v>7778</v>
      </c>
      <c r="F3929" s="237">
        <v>42919</v>
      </c>
      <c r="G3929" s="15">
        <v>7778</v>
      </c>
      <c r="H3929" s="15">
        <f t="shared" si="61"/>
        <v>0</v>
      </c>
      <c r="I3929" s="236" t="s">
        <v>19682</v>
      </c>
    </row>
    <row r="3930" spans="1:9" x14ac:dyDescent="0.25">
      <c r="A3930" s="36">
        <v>42916</v>
      </c>
      <c r="B3930" s="18">
        <v>118031</v>
      </c>
      <c r="C3930" s="235" t="s">
        <v>19677</v>
      </c>
      <c r="D3930" s="236" t="s">
        <v>15236</v>
      </c>
      <c r="E3930" s="15">
        <v>4367.3</v>
      </c>
      <c r="F3930" s="237">
        <v>42919</v>
      </c>
      <c r="G3930" s="15">
        <v>4367.3</v>
      </c>
      <c r="H3930" s="15">
        <f t="shared" si="61"/>
        <v>0</v>
      </c>
      <c r="I3930" s="236" t="s">
        <v>19682</v>
      </c>
    </row>
    <row r="3931" spans="1:9" x14ac:dyDescent="0.25">
      <c r="A3931" s="242">
        <v>42916</v>
      </c>
      <c r="B3931" s="18">
        <v>118032</v>
      </c>
      <c r="C3931" s="235" t="s">
        <v>19677</v>
      </c>
      <c r="D3931" s="236" t="s">
        <v>15668</v>
      </c>
      <c r="E3931" s="15">
        <v>13561.3</v>
      </c>
      <c r="F3931" s="237">
        <v>42919</v>
      </c>
      <c r="G3931" s="15">
        <v>13561.3</v>
      </c>
      <c r="H3931" s="15">
        <f t="shared" si="61"/>
        <v>0</v>
      </c>
      <c r="I3931" s="236" t="s">
        <v>19682</v>
      </c>
    </row>
    <row r="3932" spans="1:9" x14ac:dyDescent="0.25">
      <c r="A3932" s="36">
        <v>42916</v>
      </c>
      <c r="B3932" s="18">
        <v>118033</v>
      </c>
      <c r="C3932" s="235" t="s">
        <v>19677</v>
      </c>
      <c r="D3932" s="236" t="s">
        <v>15256</v>
      </c>
      <c r="E3932" s="15">
        <v>5657.6</v>
      </c>
      <c r="F3932" s="237">
        <v>42917</v>
      </c>
      <c r="G3932" s="15">
        <v>5657.6</v>
      </c>
      <c r="H3932" s="15">
        <f t="shared" si="61"/>
        <v>0</v>
      </c>
      <c r="I3932" s="236" t="s">
        <v>19682</v>
      </c>
    </row>
    <row r="3933" spans="1:9" x14ac:dyDescent="0.25">
      <c r="A3933" s="242">
        <v>42916</v>
      </c>
      <c r="B3933" s="18">
        <v>118034</v>
      </c>
      <c r="C3933" s="235" t="s">
        <v>19677</v>
      </c>
      <c r="D3933" s="236" t="s">
        <v>15258</v>
      </c>
      <c r="E3933" s="15">
        <v>16881.8</v>
      </c>
      <c r="F3933" s="266" t="s">
        <v>19795</v>
      </c>
      <c r="G3933" s="133">
        <f>8882+7999.8</f>
        <v>16881.8</v>
      </c>
      <c r="H3933" s="241">
        <f t="shared" si="61"/>
        <v>0</v>
      </c>
      <c r="I3933" s="236" t="s">
        <v>19682</v>
      </c>
    </row>
    <row r="3934" spans="1:9" x14ac:dyDescent="0.25">
      <c r="A3934" s="36">
        <v>42916</v>
      </c>
      <c r="B3934" s="18">
        <v>118035</v>
      </c>
      <c r="C3934" s="235" t="s">
        <v>19677</v>
      </c>
      <c r="D3934" s="236" t="s">
        <v>15248</v>
      </c>
      <c r="E3934" s="15">
        <v>31561.599999999999</v>
      </c>
      <c r="F3934" s="237">
        <v>42916</v>
      </c>
      <c r="G3934" s="15">
        <v>31561.599999999999</v>
      </c>
      <c r="H3934" s="15">
        <f t="shared" si="61"/>
        <v>0</v>
      </c>
      <c r="I3934" s="236" t="s">
        <v>19682</v>
      </c>
    </row>
    <row r="3935" spans="1:9" x14ac:dyDescent="0.25">
      <c r="A3935" s="242">
        <v>42916</v>
      </c>
      <c r="B3935" s="18">
        <v>118036</v>
      </c>
      <c r="C3935" s="235" t="s">
        <v>19677</v>
      </c>
      <c r="D3935" s="236" t="s">
        <v>15226</v>
      </c>
      <c r="E3935" s="15">
        <v>2403.1999999999998</v>
      </c>
      <c r="F3935" s="237">
        <v>42916</v>
      </c>
      <c r="G3935" s="15">
        <v>2403.1999999999998</v>
      </c>
      <c r="H3935" s="15">
        <f t="shared" si="61"/>
        <v>0</v>
      </c>
      <c r="I3935" s="236" t="s">
        <v>19682</v>
      </c>
    </row>
    <row r="3936" spans="1:9" x14ac:dyDescent="0.25">
      <c r="A3936" s="36">
        <v>42916</v>
      </c>
      <c r="B3936" s="18">
        <v>118037</v>
      </c>
      <c r="C3936" s="235" t="s">
        <v>19677</v>
      </c>
      <c r="D3936" s="236" t="s">
        <v>15284</v>
      </c>
      <c r="E3936" s="15">
        <v>2737.6</v>
      </c>
      <c r="F3936" s="237">
        <v>42916</v>
      </c>
      <c r="G3936" s="15">
        <v>2737.6</v>
      </c>
      <c r="H3936" s="15">
        <f t="shared" si="61"/>
        <v>0</v>
      </c>
      <c r="I3936" s="236" t="s">
        <v>19682</v>
      </c>
    </row>
    <row r="3937" spans="1:9" x14ac:dyDescent="0.25">
      <c r="A3937" s="242">
        <v>42916</v>
      </c>
      <c r="B3937" s="18">
        <v>118038</v>
      </c>
      <c r="C3937" s="235" t="s">
        <v>19677</v>
      </c>
      <c r="D3937" s="236" t="s">
        <v>15223</v>
      </c>
      <c r="E3937" s="15">
        <v>46575</v>
      </c>
      <c r="F3937" s="237">
        <v>42933</v>
      </c>
      <c r="G3937" s="15">
        <v>46575</v>
      </c>
      <c r="H3937" s="15">
        <f t="shared" si="61"/>
        <v>0</v>
      </c>
      <c r="I3937" s="236" t="s">
        <v>19682</v>
      </c>
    </row>
    <row r="3938" spans="1:9" x14ac:dyDescent="0.25">
      <c r="A3938" s="36">
        <v>42916</v>
      </c>
      <c r="B3938" s="18">
        <v>118039</v>
      </c>
      <c r="C3938" s="235" t="s">
        <v>19677</v>
      </c>
      <c r="D3938" s="236" t="s">
        <v>15378</v>
      </c>
      <c r="E3938" s="15">
        <v>863.4</v>
      </c>
      <c r="F3938" s="237">
        <v>42916</v>
      </c>
      <c r="G3938" s="15">
        <v>863.4</v>
      </c>
      <c r="H3938" s="15">
        <f t="shared" si="61"/>
        <v>0</v>
      </c>
      <c r="I3938" s="236" t="s">
        <v>19682</v>
      </c>
    </row>
    <row r="3939" spans="1:9" x14ac:dyDescent="0.25">
      <c r="A3939" s="242">
        <v>42916</v>
      </c>
      <c r="B3939" s="18">
        <v>118040</v>
      </c>
      <c r="C3939" s="235" t="s">
        <v>19677</v>
      </c>
      <c r="D3939" s="236" t="s">
        <v>15378</v>
      </c>
      <c r="E3939" s="15">
        <v>91</v>
      </c>
      <c r="F3939" s="237">
        <v>42916</v>
      </c>
      <c r="G3939" s="15">
        <v>91</v>
      </c>
      <c r="H3939" s="15">
        <f t="shared" si="61"/>
        <v>0</v>
      </c>
      <c r="I3939" s="236" t="s">
        <v>19682</v>
      </c>
    </row>
    <row r="3940" spans="1:9" x14ac:dyDescent="0.25">
      <c r="A3940" s="36">
        <v>42916</v>
      </c>
      <c r="B3940" s="18">
        <v>118041</v>
      </c>
      <c r="C3940" s="235" t="s">
        <v>19677</v>
      </c>
      <c r="D3940" s="236" t="s">
        <v>15387</v>
      </c>
      <c r="E3940" s="15">
        <v>853.46</v>
      </c>
      <c r="F3940" s="237">
        <v>42917</v>
      </c>
      <c r="G3940" s="15">
        <v>853.46</v>
      </c>
      <c r="H3940" s="15">
        <f t="shared" si="61"/>
        <v>0</v>
      </c>
      <c r="I3940" s="236" t="s">
        <v>19682</v>
      </c>
    </row>
    <row r="3941" spans="1:9" x14ac:dyDescent="0.25">
      <c r="A3941" s="242">
        <v>42916</v>
      </c>
      <c r="B3941" s="18">
        <v>118042</v>
      </c>
      <c r="C3941" s="235" t="s">
        <v>19677</v>
      </c>
      <c r="D3941" s="236" t="s">
        <v>15246</v>
      </c>
      <c r="E3941" s="15">
        <v>1428</v>
      </c>
      <c r="F3941" s="266">
        <v>42921</v>
      </c>
      <c r="G3941" s="35">
        <v>1428</v>
      </c>
      <c r="H3941" s="15">
        <f t="shared" si="61"/>
        <v>0</v>
      </c>
      <c r="I3941" s="236" t="s">
        <v>19682</v>
      </c>
    </row>
    <row r="3942" spans="1:9" x14ac:dyDescent="0.25">
      <c r="A3942" s="36">
        <v>42916</v>
      </c>
      <c r="B3942" s="18">
        <v>118043</v>
      </c>
      <c r="C3942" s="235" t="s">
        <v>19677</v>
      </c>
      <c r="D3942" s="236" t="s">
        <v>16383</v>
      </c>
      <c r="E3942" s="15">
        <v>9925.6</v>
      </c>
      <c r="F3942" s="237">
        <v>42916</v>
      </c>
      <c r="G3942" s="15">
        <v>9925.6</v>
      </c>
      <c r="H3942" s="15">
        <f t="shared" si="61"/>
        <v>0</v>
      </c>
      <c r="I3942" s="236" t="s">
        <v>19682</v>
      </c>
    </row>
    <row r="3943" spans="1:9" x14ac:dyDescent="0.25">
      <c r="A3943" s="242">
        <v>42916</v>
      </c>
      <c r="B3943" s="18">
        <v>118044</v>
      </c>
      <c r="C3943" s="235" t="s">
        <v>19677</v>
      </c>
      <c r="D3943" s="236" t="s">
        <v>15577</v>
      </c>
      <c r="E3943" s="15">
        <v>1159.2</v>
      </c>
      <c r="F3943" s="237">
        <v>42916</v>
      </c>
      <c r="G3943" s="15">
        <v>1159.2</v>
      </c>
      <c r="H3943" s="15">
        <f t="shared" si="61"/>
        <v>0</v>
      </c>
      <c r="I3943" s="236" t="s">
        <v>19682</v>
      </c>
    </row>
    <row r="3944" spans="1:9" x14ac:dyDescent="0.25">
      <c r="A3944" s="36">
        <v>42916</v>
      </c>
      <c r="B3944" s="18">
        <v>118045</v>
      </c>
      <c r="C3944" s="235" t="s">
        <v>19677</v>
      </c>
      <c r="D3944" s="236" t="s">
        <v>15324</v>
      </c>
      <c r="E3944" s="15">
        <v>4203.5</v>
      </c>
      <c r="F3944" s="237">
        <v>42917</v>
      </c>
      <c r="G3944" s="15">
        <v>4203.5</v>
      </c>
      <c r="H3944" s="15">
        <f t="shared" si="61"/>
        <v>0</v>
      </c>
      <c r="I3944" s="236" t="s">
        <v>19682</v>
      </c>
    </row>
    <row r="3945" spans="1:9" x14ac:dyDescent="0.25">
      <c r="A3945" s="242">
        <v>42916</v>
      </c>
      <c r="B3945" s="18">
        <v>118046</v>
      </c>
      <c r="C3945" s="235" t="s">
        <v>19677</v>
      </c>
      <c r="D3945" s="236" t="s">
        <v>15274</v>
      </c>
      <c r="E3945" s="15">
        <v>1225</v>
      </c>
      <c r="F3945" s="237">
        <v>42917</v>
      </c>
      <c r="G3945" s="15">
        <v>1225</v>
      </c>
      <c r="H3945" s="15">
        <f t="shared" si="61"/>
        <v>0</v>
      </c>
      <c r="I3945" s="236" t="s">
        <v>19682</v>
      </c>
    </row>
    <row r="3946" spans="1:9" x14ac:dyDescent="0.25">
      <c r="A3946" s="36">
        <v>42916</v>
      </c>
      <c r="B3946" s="18">
        <v>118047</v>
      </c>
      <c r="C3946" s="235" t="s">
        <v>19677</v>
      </c>
      <c r="D3946" s="236" t="s">
        <v>15596</v>
      </c>
      <c r="E3946" s="15">
        <v>1960</v>
      </c>
      <c r="F3946" s="237">
        <v>42917</v>
      </c>
      <c r="G3946" s="15">
        <v>1960</v>
      </c>
      <c r="H3946" s="15">
        <f t="shared" si="61"/>
        <v>0</v>
      </c>
      <c r="I3946" s="236" t="s">
        <v>19682</v>
      </c>
    </row>
    <row r="3947" spans="1:9" x14ac:dyDescent="0.25">
      <c r="A3947" s="242">
        <v>42916</v>
      </c>
      <c r="B3947" s="18">
        <v>118048</v>
      </c>
      <c r="C3947" s="235" t="s">
        <v>19677</v>
      </c>
      <c r="D3947" s="236" t="s">
        <v>15289</v>
      </c>
      <c r="E3947" s="15">
        <v>708.4</v>
      </c>
      <c r="F3947" s="237">
        <v>42916</v>
      </c>
      <c r="G3947" s="15">
        <v>708.4</v>
      </c>
      <c r="H3947" s="15">
        <f t="shared" si="61"/>
        <v>0</v>
      </c>
      <c r="I3947" s="236" t="s">
        <v>19682</v>
      </c>
    </row>
    <row r="3948" spans="1:9" x14ac:dyDescent="0.25">
      <c r="A3948" s="36">
        <v>42916</v>
      </c>
      <c r="B3948" s="18">
        <v>118049</v>
      </c>
      <c r="C3948" s="235" t="s">
        <v>19677</v>
      </c>
      <c r="D3948" s="236" t="s">
        <v>15291</v>
      </c>
      <c r="E3948" s="15">
        <v>1078</v>
      </c>
      <c r="F3948" s="237">
        <v>42917</v>
      </c>
      <c r="G3948" s="15">
        <v>1078</v>
      </c>
      <c r="H3948" s="15">
        <f t="shared" si="61"/>
        <v>0</v>
      </c>
      <c r="I3948" s="236" t="s">
        <v>19682</v>
      </c>
    </row>
    <row r="3949" spans="1:9" x14ac:dyDescent="0.25">
      <c r="A3949" s="242">
        <v>42916</v>
      </c>
      <c r="B3949" s="18">
        <v>118050</v>
      </c>
      <c r="C3949" s="235" t="s">
        <v>19677</v>
      </c>
      <c r="D3949" s="236" t="s">
        <v>15280</v>
      </c>
      <c r="E3949" s="15">
        <v>6934.6</v>
      </c>
      <c r="F3949" s="237">
        <v>42916</v>
      </c>
      <c r="G3949" s="15">
        <v>6934.6</v>
      </c>
      <c r="H3949" s="15">
        <f t="shared" si="61"/>
        <v>0</v>
      </c>
      <c r="I3949" s="236" t="s">
        <v>19682</v>
      </c>
    </row>
    <row r="3950" spans="1:9" x14ac:dyDescent="0.25">
      <c r="A3950" s="36">
        <v>42916</v>
      </c>
      <c r="B3950" s="18">
        <v>118051</v>
      </c>
      <c r="C3950" s="235" t="s">
        <v>19677</v>
      </c>
      <c r="D3950" s="236" t="s">
        <v>15240</v>
      </c>
      <c r="E3950" s="15">
        <v>3213</v>
      </c>
      <c r="F3950" s="237">
        <v>42919</v>
      </c>
      <c r="G3950" s="15">
        <v>3213</v>
      </c>
      <c r="H3950" s="15">
        <f t="shared" si="61"/>
        <v>0</v>
      </c>
      <c r="I3950" s="236" t="s">
        <v>19682</v>
      </c>
    </row>
    <row r="3951" spans="1:9" x14ac:dyDescent="0.25">
      <c r="A3951" s="242">
        <v>42916</v>
      </c>
      <c r="B3951" s="18">
        <v>118052</v>
      </c>
      <c r="C3951" s="235" t="s">
        <v>19677</v>
      </c>
      <c r="D3951" s="236" t="s">
        <v>15240</v>
      </c>
      <c r="E3951" s="15">
        <v>3223.2</v>
      </c>
      <c r="F3951" s="237">
        <v>42919</v>
      </c>
      <c r="G3951" s="15">
        <v>3223.2</v>
      </c>
      <c r="H3951" s="15">
        <f t="shared" si="61"/>
        <v>0</v>
      </c>
      <c r="I3951" s="236" t="s">
        <v>19682</v>
      </c>
    </row>
    <row r="3952" spans="1:9" x14ac:dyDescent="0.25">
      <c r="A3952" s="36">
        <v>42916</v>
      </c>
      <c r="B3952" s="18">
        <v>118053</v>
      </c>
      <c r="C3952" s="235" t="s">
        <v>19677</v>
      </c>
      <c r="D3952" s="236" t="s">
        <v>15278</v>
      </c>
      <c r="E3952" s="15">
        <v>4418</v>
      </c>
      <c r="F3952" s="237">
        <v>42916</v>
      </c>
      <c r="G3952" s="15">
        <v>4418</v>
      </c>
      <c r="H3952" s="15">
        <f t="shared" si="61"/>
        <v>0</v>
      </c>
      <c r="I3952" s="236" t="s">
        <v>19682</v>
      </c>
    </row>
    <row r="3953" spans="1:9" x14ac:dyDescent="0.25">
      <c r="A3953" s="242">
        <v>42916</v>
      </c>
      <c r="B3953" s="18">
        <v>118054</v>
      </c>
      <c r="C3953" s="235" t="s">
        <v>19677</v>
      </c>
      <c r="D3953" s="236" t="s">
        <v>15263</v>
      </c>
      <c r="E3953" s="15">
        <v>4363.8</v>
      </c>
      <c r="F3953" s="237">
        <v>42916</v>
      </c>
      <c r="G3953" s="15">
        <v>4363.8</v>
      </c>
      <c r="H3953" s="15">
        <f t="shared" si="61"/>
        <v>0</v>
      </c>
      <c r="I3953" s="236" t="s">
        <v>19682</v>
      </c>
    </row>
    <row r="3954" spans="1:9" x14ac:dyDescent="0.25">
      <c r="A3954" s="36">
        <v>42916</v>
      </c>
      <c r="B3954" s="18">
        <v>118055</v>
      </c>
      <c r="C3954" s="235" t="s">
        <v>19677</v>
      </c>
      <c r="D3954" s="236" t="s">
        <v>15358</v>
      </c>
      <c r="E3954" s="15">
        <v>2428.8000000000002</v>
      </c>
      <c r="F3954" s="237">
        <v>42916</v>
      </c>
      <c r="G3954" s="15">
        <v>2428.8000000000002</v>
      </c>
      <c r="H3954" s="15">
        <f t="shared" si="61"/>
        <v>0</v>
      </c>
      <c r="I3954" s="236" t="s">
        <v>19682</v>
      </c>
    </row>
    <row r="3955" spans="1:9" x14ac:dyDescent="0.25">
      <c r="A3955" s="242">
        <v>42916</v>
      </c>
      <c r="B3955" s="18">
        <v>118056</v>
      </c>
      <c r="C3955" s="235" t="s">
        <v>19677</v>
      </c>
      <c r="D3955" s="236" t="s">
        <v>15358</v>
      </c>
      <c r="E3955" s="15">
        <v>3288</v>
      </c>
      <c r="F3955" s="237">
        <v>42916</v>
      </c>
      <c r="G3955" s="15">
        <v>3288</v>
      </c>
      <c r="H3955" s="15">
        <f t="shared" si="61"/>
        <v>0</v>
      </c>
      <c r="I3955" s="236" t="s">
        <v>19682</v>
      </c>
    </row>
    <row r="3956" spans="1:9" x14ac:dyDescent="0.25">
      <c r="A3956" s="36">
        <v>42916</v>
      </c>
      <c r="B3956" s="18">
        <v>118057</v>
      </c>
      <c r="C3956" s="235" t="s">
        <v>19677</v>
      </c>
      <c r="D3956" s="236" t="s">
        <v>15336</v>
      </c>
      <c r="E3956" s="15">
        <v>6916.8</v>
      </c>
      <c r="F3956" s="237">
        <v>42916</v>
      </c>
      <c r="G3956" s="15">
        <v>6916.8</v>
      </c>
      <c r="H3956" s="15">
        <f t="shared" si="61"/>
        <v>0</v>
      </c>
      <c r="I3956" s="236" t="s">
        <v>19682</v>
      </c>
    </row>
    <row r="3957" spans="1:9" x14ac:dyDescent="0.25">
      <c r="A3957" s="242">
        <v>42916</v>
      </c>
      <c r="B3957" s="18">
        <v>118058</v>
      </c>
      <c r="C3957" s="235" t="s">
        <v>19677</v>
      </c>
      <c r="D3957" s="236" t="s">
        <v>17057</v>
      </c>
      <c r="E3957" s="15">
        <v>2507.1999999999998</v>
      </c>
      <c r="F3957" s="237">
        <v>42916</v>
      </c>
      <c r="G3957" s="15">
        <v>2507.1999999999998</v>
      </c>
      <c r="H3957" s="15">
        <f t="shared" si="61"/>
        <v>0</v>
      </c>
      <c r="I3957" s="236" t="s">
        <v>19682</v>
      </c>
    </row>
    <row r="3958" spans="1:9" x14ac:dyDescent="0.25">
      <c r="A3958" s="36">
        <v>42916</v>
      </c>
      <c r="B3958" s="18">
        <v>118059</v>
      </c>
      <c r="C3958" s="235" t="s">
        <v>19677</v>
      </c>
      <c r="D3958" s="236" t="s">
        <v>15858</v>
      </c>
      <c r="E3958" s="15">
        <v>2233.6799999999998</v>
      </c>
      <c r="F3958" s="237">
        <v>42917</v>
      </c>
      <c r="G3958" s="15">
        <v>2233.6799999999998</v>
      </c>
      <c r="H3958" s="15">
        <f t="shared" si="61"/>
        <v>0</v>
      </c>
      <c r="I3958" s="236" t="s">
        <v>19682</v>
      </c>
    </row>
    <row r="3959" spans="1:9" x14ac:dyDescent="0.25">
      <c r="A3959" s="242">
        <v>42916</v>
      </c>
      <c r="B3959" s="18">
        <v>118060</v>
      </c>
      <c r="C3959" s="235" t="s">
        <v>19677</v>
      </c>
      <c r="D3959" s="236" t="s">
        <v>15539</v>
      </c>
      <c r="E3959" s="15">
        <v>18901</v>
      </c>
      <c r="F3959" s="266">
        <v>42921</v>
      </c>
      <c r="G3959" s="35">
        <v>18901</v>
      </c>
      <c r="H3959" s="15">
        <f t="shared" si="61"/>
        <v>0</v>
      </c>
      <c r="I3959" s="236" t="s">
        <v>19682</v>
      </c>
    </row>
    <row r="3960" spans="1:9" x14ac:dyDescent="0.25">
      <c r="A3960" s="36">
        <v>42916</v>
      </c>
      <c r="B3960" s="18">
        <v>118061</v>
      </c>
      <c r="C3960" s="235" t="s">
        <v>19677</v>
      </c>
      <c r="D3960" s="236" t="s">
        <v>15415</v>
      </c>
      <c r="E3960" s="15">
        <v>3325.2</v>
      </c>
      <c r="F3960" s="237">
        <v>42918</v>
      </c>
      <c r="G3960" s="15">
        <v>3325.2</v>
      </c>
      <c r="H3960" s="15">
        <f t="shared" si="61"/>
        <v>0</v>
      </c>
      <c r="I3960" s="236" t="s">
        <v>19682</v>
      </c>
    </row>
    <row r="3961" spans="1:9" x14ac:dyDescent="0.25">
      <c r="A3961" s="242">
        <v>42916</v>
      </c>
      <c r="B3961" s="18">
        <v>118062</v>
      </c>
      <c r="C3961" s="235" t="s">
        <v>19677</v>
      </c>
      <c r="D3961" s="236" t="s">
        <v>15301</v>
      </c>
      <c r="E3961" s="15">
        <v>4551.1000000000004</v>
      </c>
      <c r="F3961" s="237">
        <v>42917</v>
      </c>
      <c r="G3961" s="15">
        <v>4551.1000000000004</v>
      </c>
      <c r="H3961" s="15">
        <f t="shared" si="61"/>
        <v>0</v>
      </c>
      <c r="I3961" s="236" t="s">
        <v>19682</v>
      </c>
    </row>
    <row r="3962" spans="1:9" x14ac:dyDescent="0.25">
      <c r="A3962" s="36">
        <v>42916</v>
      </c>
      <c r="B3962" s="18">
        <v>118063</v>
      </c>
      <c r="C3962" s="235" t="s">
        <v>19677</v>
      </c>
      <c r="D3962" s="236" t="s">
        <v>15309</v>
      </c>
      <c r="E3962" s="15">
        <v>15789.1</v>
      </c>
      <c r="F3962" s="237">
        <v>42917</v>
      </c>
      <c r="G3962" s="15">
        <v>15789.1</v>
      </c>
      <c r="H3962" s="15">
        <f t="shared" si="61"/>
        <v>0</v>
      </c>
      <c r="I3962" s="236" t="s">
        <v>19682</v>
      </c>
    </row>
    <row r="3963" spans="1:9" x14ac:dyDescent="0.25">
      <c r="A3963" s="242">
        <v>42916</v>
      </c>
      <c r="B3963" s="18">
        <v>118064</v>
      </c>
      <c r="C3963" s="235" t="s">
        <v>19677</v>
      </c>
      <c r="D3963" s="236" t="s">
        <v>15415</v>
      </c>
      <c r="E3963" s="15">
        <v>1582.8</v>
      </c>
      <c r="F3963" s="266">
        <v>42922</v>
      </c>
      <c r="G3963" s="35">
        <v>1582.8</v>
      </c>
      <c r="H3963" s="15">
        <f t="shared" si="61"/>
        <v>0</v>
      </c>
      <c r="I3963" s="236" t="s">
        <v>19682</v>
      </c>
    </row>
    <row r="3964" spans="1:9" x14ac:dyDescent="0.25">
      <c r="A3964" s="36">
        <v>42916</v>
      </c>
      <c r="B3964" s="18">
        <v>118065</v>
      </c>
      <c r="C3964" s="235" t="s">
        <v>19677</v>
      </c>
      <c r="D3964" s="236" t="s">
        <v>15317</v>
      </c>
      <c r="E3964" s="15">
        <v>2655.9</v>
      </c>
      <c r="F3964" s="237">
        <v>42917</v>
      </c>
      <c r="G3964" s="15">
        <v>2655.9</v>
      </c>
      <c r="H3964" s="15">
        <f t="shared" si="61"/>
        <v>0</v>
      </c>
      <c r="I3964" s="236" t="s">
        <v>19682</v>
      </c>
    </row>
    <row r="3965" spans="1:9" x14ac:dyDescent="0.25">
      <c r="A3965" s="242">
        <v>42916</v>
      </c>
      <c r="B3965" s="18">
        <v>118066</v>
      </c>
      <c r="C3965" s="235" t="s">
        <v>19677</v>
      </c>
      <c r="D3965" s="236" t="s">
        <v>15307</v>
      </c>
      <c r="E3965" s="15">
        <v>1713.2</v>
      </c>
      <c r="F3965" s="237">
        <v>42917</v>
      </c>
      <c r="G3965" s="15">
        <v>1713.2</v>
      </c>
      <c r="H3965" s="15">
        <f t="shared" si="61"/>
        <v>0</v>
      </c>
      <c r="I3965" s="236" t="s">
        <v>19682</v>
      </c>
    </row>
    <row r="3966" spans="1:9" x14ac:dyDescent="0.25">
      <c r="A3966" s="36">
        <v>42916</v>
      </c>
      <c r="B3966" s="18">
        <v>118067</v>
      </c>
      <c r="C3966" s="235" t="s">
        <v>19677</v>
      </c>
      <c r="D3966" s="236" t="s">
        <v>15311</v>
      </c>
      <c r="E3966" s="15">
        <v>3269.6</v>
      </c>
      <c r="F3966" s="237">
        <v>42917</v>
      </c>
      <c r="G3966" s="15">
        <v>3269.6</v>
      </c>
      <c r="H3966" s="15">
        <f t="shared" si="61"/>
        <v>0</v>
      </c>
      <c r="I3966" s="236" t="s">
        <v>19682</v>
      </c>
    </row>
    <row r="3967" spans="1:9" x14ac:dyDescent="0.25">
      <c r="A3967" s="242">
        <v>42916</v>
      </c>
      <c r="B3967" s="18">
        <v>118068</v>
      </c>
      <c r="C3967" s="235" t="s">
        <v>19677</v>
      </c>
      <c r="D3967" s="236" t="s">
        <v>15315</v>
      </c>
      <c r="E3967" s="15">
        <v>13226.7</v>
      </c>
      <c r="F3967" s="266">
        <v>42923</v>
      </c>
      <c r="G3967" s="35">
        <v>13226.7</v>
      </c>
      <c r="H3967" s="15">
        <f t="shared" si="61"/>
        <v>0</v>
      </c>
      <c r="I3967" s="236" t="s">
        <v>19682</v>
      </c>
    </row>
    <row r="3968" spans="1:9" x14ac:dyDescent="0.25">
      <c r="A3968" s="36">
        <v>42916</v>
      </c>
      <c r="B3968" s="18">
        <v>118069</v>
      </c>
      <c r="C3968" s="235" t="s">
        <v>19677</v>
      </c>
      <c r="D3968" s="236" t="s">
        <v>15557</v>
      </c>
      <c r="E3968" s="15">
        <v>29003.4</v>
      </c>
      <c r="F3968" s="266" t="s">
        <v>19810</v>
      </c>
      <c r="G3968" s="133">
        <f>28893+110.4</f>
        <v>29003.4</v>
      </c>
      <c r="H3968" s="241">
        <f t="shared" si="61"/>
        <v>0</v>
      </c>
      <c r="I3968" s="236" t="s">
        <v>19682</v>
      </c>
    </row>
    <row r="3969" spans="1:9" x14ac:dyDescent="0.25">
      <c r="A3969" s="242">
        <v>42916</v>
      </c>
      <c r="B3969" s="18">
        <v>118070</v>
      </c>
      <c r="C3969" s="235" t="s">
        <v>19677</v>
      </c>
      <c r="D3969" s="236" t="s">
        <v>15544</v>
      </c>
      <c r="E3969" s="15">
        <v>3257.6</v>
      </c>
      <c r="F3969" s="266">
        <v>42921</v>
      </c>
      <c r="G3969" s="35">
        <v>3257.6</v>
      </c>
      <c r="H3969" s="15">
        <f t="shared" si="61"/>
        <v>0</v>
      </c>
      <c r="I3969" s="236" t="s">
        <v>19682</v>
      </c>
    </row>
    <row r="3970" spans="1:9" x14ac:dyDescent="0.25">
      <c r="A3970" s="36">
        <v>42916</v>
      </c>
      <c r="B3970" s="18">
        <v>118071</v>
      </c>
      <c r="C3970" s="235" t="s">
        <v>19677</v>
      </c>
      <c r="D3970" s="236" t="s">
        <v>15315</v>
      </c>
      <c r="E3970" s="15">
        <v>32479.200000000001</v>
      </c>
      <c r="F3970" s="266">
        <v>42921</v>
      </c>
      <c r="G3970" s="35">
        <v>32479.200000000001</v>
      </c>
      <c r="H3970" s="15">
        <f t="shared" ref="H3970:H4033" si="62">E3970-G3970</f>
        <v>0</v>
      </c>
      <c r="I3970" s="236" t="s">
        <v>19682</v>
      </c>
    </row>
    <row r="3971" spans="1:9" x14ac:dyDescent="0.25">
      <c r="A3971" s="242">
        <v>42916</v>
      </c>
      <c r="B3971" s="18">
        <v>118072</v>
      </c>
      <c r="C3971" s="235" t="s">
        <v>19677</v>
      </c>
      <c r="D3971" s="236" t="s">
        <v>16040</v>
      </c>
      <c r="E3971" s="15">
        <v>10692</v>
      </c>
      <c r="F3971" s="266">
        <v>42923</v>
      </c>
      <c r="G3971" s="35">
        <v>10692</v>
      </c>
      <c r="H3971" s="15">
        <f t="shared" si="62"/>
        <v>0</v>
      </c>
      <c r="I3971" s="236" t="s">
        <v>19682</v>
      </c>
    </row>
    <row r="3972" spans="1:9" x14ac:dyDescent="0.25">
      <c r="A3972" s="36">
        <v>42916</v>
      </c>
      <c r="B3972" s="18">
        <v>118073</v>
      </c>
      <c r="C3972" s="235" t="s">
        <v>19677</v>
      </c>
      <c r="D3972" s="236" t="s">
        <v>15417</v>
      </c>
      <c r="E3972" s="15">
        <v>3158.4</v>
      </c>
      <c r="F3972" s="237">
        <v>42917</v>
      </c>
      <c r="G3972" s="15">
        <v>3158.4</v>
      </c>
      <c r="H3972" s="15">
        <f t="shared" si="62"/>
        <v>0</v>
      </c>
      <c r="I3972" s="236" t="s">
        <v>19682</v>
      </c>
    </row>
    <row r="3973" spans="1:9" x14ac:dyDescent="0.25">
      <c r="A3973" s="242">
        <v>42916</v>
      </c>
      <c r="B3973" s="18">
        <v>118074</v>
      </c>
      <c r="C3973" s="235" t="s">
        <v>19677</v>
      </c>
      <c r="D3973" s="236" t="s">
        <v>15276</v>
      </c>
      <c r="E3973" s="15">
        <v>3920</v>
      </c>
      <c r="F3973" s="237">
        <v>42917</v>
      </c>
      <c r="G3973" s="15">
        <v>3920</v>
      </c>
      <c r="H3973" s="15">
        <f t="shared" si="62"/>
        <v>0</v>
      </c>
      <c r="I3973" s="236" t="s">
        <v>19682</v>
      </c>
    </row>
    <row r="3974" spans="1:9" x14ac:dyDescent="0.25">
      <c r="A3974" s="36">
        <v>42916</v>
      </c>
      <c r="B3974" s="18">
        <v>118075</v>
      </c>
      <c r="C3974" s="235" t="s">
        <v>19677</v>
      </c>
      <c r="D3974" s="236" t="s">
        <v>15782</v>
      </c>
      <c r="E3974" s="15">
        <v>1546.3</v>
      </c>
      <c r="F3974" s="237">
        <v>42917</v>
      </c>
      <c r="G3974" s="15">
        <v>1546.3</v>
      </c>
      <c r="H3974" s="15">
        <f t="shared" si="62"/>
        <v>0</v>
      </c>
      <c r="I3974" s="236" t="s">
        <v>19682</v>
      </c>
    </row>
    <row r="3975" spans="1:9" x14ac:dyDescent="0.25">
      <c r="A3975" s="242">
        <v>42916</v>
      </c>
      <c r="B3975" s="18">
        <v>118076</v>
      </c>
      <c r="C3975" s="235" t="s">
        <v>19677</v>
      </c>
      <c r="D3975" s="236" t="s">
        <v>15334</v>
      </c>
      <c r="E3975" s="15">
        <v>2080</v>
      </c>
      <c r="F3975" s="237">
        <v>42917</v>
      </c>
      <c r="G3975" s="15">
        <v>2080</v>
      </c>
      <c r="H3975" s="15">
        <f t="shared" si="62"/>
        <v>0</v>
      </c>
      <c r="I3975" s="236" t="s">
        <v>19682</v>
      </c>
    </row>
    <row r="3976" spans="1:9" x14ac:dyDescent="0.25">
      <c r="A3976" s="36">
        <v>42916</v>
      </c>
      <c r="B3976" s="18">
        <v>118077</v>
      </c>
      <c r="C3976" s="235" t="s">
        <v>19677</v>
      </c>
      <c r="D3976" s="236" t="s">
        <v>17708</v>
      </c>
      <c r="E3976" s="15">
        <v>7494.44</v>
      </c>
      <c r="F3976" s="266">
        <v>42921</v>
      </c>
      <c r="G3976" s="35">
        <v>7494.44</v>
      </c>
      <c r="H3976" s="15">
        <f t="shared" si="62"/>
        <v>0</v>
      </c>
      <c r="I3976" s="236" t="s">
        <v>19682</v>
      </c>
    </row>
    <row r="3977" spans="1:9" x14ac:dyDescent="0.25">
      <c r="A3977" s="242">
        <v>42916</v>
      </c>
      <c r="B3977" s="18">
        <v>118078</v>
      </c>
      <c r="C3977" s="235" t="s">
        <v>19677</v>
      </c>
      <c r="D3977" s="236" t="s">
        <v>15350</v>
      </c>
      <c r="E3977" s="15">
        <v>1715</v>
      </c>
      <c r="F3977" s="237">
        <v>42917</v>
      </c>
      <c r="G3977" s="15">
        <v>1715</v>
      </c>
      <c r="H3977" s="15">
        <f t="shared" si="62"/>
        <v>0</v>
      </c>
      <c r="I3977" s="236" t="s">
        <v>19682</v>
      </c>
    </row>
    <row r="3978" spans="1:9" x14ac:dyDescent="0.25">
      <c r="A3978" s="36">
        <v>42916</v>
      </c>
      <c r="B3978" s="18">
        <v>118079</v>
      </c>
      <c r="C3978" s="235" t="s">
        <v>19677</v>
      </c>
      <c r="D3978" s="236" t="s">
        <v>15523</v>
      </c>
      <c r="E3978" s="15">
        <v>2940</v>
      </c>
      <c r="F3978" s="237">
        <v>42917</v>
      </c>
      <c r="G3978" s="15">
        <v>2940</v>
      </c>
      <c r="H3978" s="15">
        <f t="shared" si="62"/>
        <v>0</v>
      </c>
      <c r="I3978" s="236" t="s">
        <v>19682</v>
      </c>
    </row>
    <row r="3979" spans="1:9" x14ac:dyDescent="0.25">
      <c r="A3979" s="242">
        <v>42916</v>
      </c>
      <c r="B3979" s="18">
        <v>118080</v>
      </c>
      <c r="C3979" s="235" t="s">
        <v>19677</v>
      </c>
      <c r="D3979" s="236" t="s">
        <v>15378</v>
      </c>
      <c r="E3979" s="15">
        <v>205.2</v>
      </c>
      <c r="F3979" s="237">
        <v>42916</v>
      </c>
      <c r="G3979" s="15">
        <v>205.2</v>
      </c>
      <c r="H3979" s="15">
        <f t="shared" si="62"/>
        <v>0</v>
      </c>
      <c r="I3979" s="236" t="s">
        <v>19682</v>
      </c>
    </row>
    <row r="3980" spans="1:9" x14ac:dyDescent="0.25">
      <c r="A3980" s="36">
        <v>42916</v>
      </c>
      <c r="B3980" s="18">
        <v>118081</v>
      </c>
      <c r="C3980" s="235" t="s">
        <v>19677</v>
      </c>
      <c r="D3980" s="236" t="s">
        <v>18544</v>
      </c>
      <c r="E3980" s="15">
        <v>5760.6</v>
      </c>
      <c r="F3980" s="237">
        <v>42917</v>
      </c>
      <c r="G3980" s="15">
        <v>5760.6</v>
      </c>
      <c r="H3980" s="15">
        <f t="shared" si="62"/>
        <v>0</v>
      </c>
      <c r="I3980" s="236" t="s">
        <v>19682</v>
      </c>
    </row>
    <row r="3981" spans="1:9" x14ac:dyDescent="0.25">
      <c r="A3981" s="242">
        <v>42916</v>
      </c>
      <c r="B3981" s="18">
        <v>118082</v>
      </c>
      <c r="C3981" s="235" t="s">
        <v>19677</v>
      </c>
      <c r="D3981" s="236" t="s">
        <v>15861</v>
      </c>
      <c r="E3981" s="15">
        <v>2715.8</v>
      </c>
      <c r="F3981" s="237">
        <v>42917</v>
      </c>
      <c r="G3981" s="15">
        <v>2715.8</v>
      </c>
      <c r="H3981" s="15">
        <f t="shared" si="62"/>
        <v>0</v>
      </c>
      <c r="I3981" s="236" t="s">
        <v>19682</v>
      </c>
    </row>
    <row r="3982" spans="1:9" x14ac:dyDescent="0.25">
      <c r="A3982" s="36">
        <v>42916</v>
      </c>
      <c r="B3982" s="18">
        <v>118083</v>
      </c>
      <c r="C3982" s="235" t="s">
        <v>19677</v>
      </c>
      <c r="D3982" s="236" t="s">
        <v>15354</v>
      </c>
      <c r="E3982" s="15">
        <v>3511.2</v>
      </c>
      <c r="F3982" s="237">
        <v>42917</v>
      </c>
      <c r="G3982" s="15">
        <v>3511.2</v>
      </c>
      <c r="H3982" s="15">
        <f t="shared" si="62"/>
        <v>0</v>
      </c>
      <c r="I3982" s="236" t="s">
        <v>19682</v>
      </c>
    </row>
    <row r="3983" spans="1:9" x14ac:dyDescent="0.25">
      <c r="A3983" s="242">
        <v>42916</v>
      </c>
      <c r="B3983" s="18">
        <v>118084</v>
      </c>
      <c r="C3983" s="235" t="s">
        <v>19677</v>
      </c>
      <c r="D3983" s="236" t="s">
        <v>15326</v>
      </c>
      <c r="E3983" s="15">
        <v>739.6</v>
      </c>
      <c r="F3983" s="237">
        <v>42916</v>
      </c>
      <c r="G3983" s="15">
        <v>739.6</v>
      </c>
      <c r="H3983" s="15">
        <f t="shared" si="62"/>
        <v>0</v>
      </c>
      <c r="I3983" s="236" t="s">
        <v>19682</v>
      </c>
    </row>
    <row r="3984" spans="1:9" x14ac:dyDescent="0.25">
      <c r="A3984" s="36">
        <v>42916</v>
      </c>
      <c r="B3984" s="18">
        <v>118085</v>
      </c>
      <c r="C3984" s="235" t="s">
        <v>19677</v>
      </c>
      <c r="D3984" s="236" t="s">
        <v>15934</v>
      </c>
      <c r="E3984" s="15">
        <v>1004</v>
      </c>
      <c r="F3984" s="266">
        <v>42917</v>
      </c>
      <c r="G3984" s="35">
        <v>1004</v>
      </c>
      <c r="H3984" s="15">
        <f t="shared" si="62"/>
        <v>0</v>
      </c>
      <c r="I3984" s="236" t="s">
        <v>19682</v>
      </c>
    </row>
    <row r="3985" spans="1:9" x14ac:dyDescent="0.25">
      <c r="A3985" s="242">
        <v>42916</v>
      </c>
      <c r="B3985" s="18">
        <v>118086</v>
      </c>
      <c r="C3985" s="235" t="s">
        <v>19677</v>
      </c>
      <c r="D3985" s="236" t="s">
        <v>15344</v>
      </c>
      <c r="E3985" s="15">
        <v>2182.8000000000002</v>
      </c>
      <c r="F3985" s="266">
        <v>42917</v>
      </c>
      <c r="G3985" s="35">
        <v>2182.8000000000002</v>
      </c>
      <c r="H3985" s="15">
        <f t="shared" si="62"/>
        <v>0</v>
      </c>
      <c r="I3985" s="236" t="s">
        <v>19682</v>
      </c>
    </row>
    <row r="3986" spans="1:9" x14ac:dyDescent="0.25">
      <c r="A3986" s="36">
        <v>42916</v>
      </c>
      <c r="B3986" s="18">
        <v>118087</v>
      </c>
      <c r="C3986" s="235" t="s">
        <v>19677</v>
      </c>
      <c r="D3986" s="236" t="s">
        <v>15537</v>
      </c>
      <c r="E3986" s="15">
        <v>29062.6</v>
      </c>
      <c r="F3986" s="266">
        <v>42921</v>
      </c>
      <c r="G3986" s="35">
        <v>29062.6</v>
      </c>
      <c r="H3986" s="15">
        <f t="shared" si="62"/>
        <v>0</v>
      </c>
      <c r="I3986" s="236" t="s">
        <v>19682</v>
      </c>
    </row>
    <row r="3987" spans="1:9" x14ac:dyDescent="0.25">
      <c r="A3987" s="242">
        <v>42916</v>
      </c>
      <c r="B3987" s="18">
        <v>118088</v>
      </c>
      <c r="C3987" s="235" t="s">
        <v>19677</v>
      </c>
      <c r="D3987" s="236" t="s">
        <v>15526</v>
      </c>
      <c r="E3987" s="15">
        <v>4233</v>
      </c>
      <c r="F3987" s="266">
        <v>42917</v>
      </c>
      <c r="G3987" s="35">
        <v>4233</v>
      </c>
      <c r="H3987" s="15">
        <f t="shared" si="62"/>
        <v>0</v>
      </c>
      <c r="I3987" s="236" t="s">
        <v>19682</v>
      </c>
    </row>
    <row r="3988" spans="1:9" x14ac:dyDescent="0.25">
      <c r="A3988" s="36">
        <v>42916</v>
      </c>
      <c r="B3988" s="18">
        <v>118089</v>
      </c>
      <c r="C3988" s="235" t="s">
        <v>19677</v>
      </c>
      <c r="D3988" s="236" t="s">
        <v>17210</v>
      </c>
      <c r="E3988" s="15">
        <v>3315</v>
      </c>
      <c r="F3988" s="266">
        <v>42917</v>
      </c>
      <c r="G3988" s="35">
        <v>3315</v>
      </c>
      <c r="H3988" s="15">
        <f t="shared" si="62"/>
        <v>0</v>
      </c>
      <c r="I3988" s="236" t="s">
        <v>19682</v>
      </c>
    </row>
    <row r="3989" spans="1:9" x14ac:dyDescent="0.25">
      <c r="A3989" s="242">
        <v>42916</v>
      </c>
      <c r="B3989" s="18">
        <v>118090</v>
      </c>
      <c r="C3989" s="235" t="s">
        <v>19677</v>
      </c>
      <c r="D3989" s="236" t="s">
        <v>15244</v>
      </c>
      <c r="E3989" s="15">
        <v>7078.1</v>
      </c>
      <c r="F3989" s="266">
        <v>42917</v>
      </c>
      <c r="G3989" s="35">
        <v>7078.1</v>
      </c>
      <c r="H3989" s="15">
        <f t="shared" si="62"/>
        <v>0</v>
      </c>
      <c r="I3989" s="236" t="s">
        <v>19682</v>
      </c>
    </row>
    <row r="3990" spans="1:9" x14ac:dyDescent="0.25">
      <c r="A3990" s="36">
        <v>42916</v>
      </c>
      <c r="B3990" s="18">
        <v>118091</v>
      </c>
      <c r="C3990" s="235" t="s">
        <v>19677</v>
      </c>
      <c r="D3990" s="236" t="s">
        <v>15252</v>
      </c>
      <c r="E3990" s="15">
        <v>5674.7</v>
      </c>
      <c r="F3990" s="266">
        <v>42919</v>
      </c>
      <c r="G3990" s="35">
        <v>5674.7</v>
      </c>
      <c r="H3990" s="15">
        <f t="shared" si="62"/>
        <v>0</v>
      </c>
      <c r="I3990" s="236" t="s">
        <v>19682</v>
      </c>
    </row>
    <row r="3991" spans="1:9" x14ac:dyDescent="0.25">
      <c r="A3991" s="242">
        <v>42916</v>
      </c>
      <c r="B3991" s="18">
        <v>118092</v>
      </c>
      <c r="C3991" s="235" t="s">
        <v>19677</v>
      </c>
      <c r="D3991" s="236" t="s">
        <v>15244</v>
      </c>
      <c r="E3991" s="15">
        <v>593.4</v>
      </c>
      <c r="F3991" s="266">
        <v>42917</v>
      </c>
      <c r="G3991" s="35">
        <v>593.4</v>
      </c>
      <c r="H3991" s="15">
        <f t="shared" si="62"/>
        <v>0</v>
      </c>
      <c r="I3991" s="236" t="s">
        <v>19682</v>
      </c>
    </row>
    <row r="3992" spans="1:9" x14ac:dyDescent="0.25">
      <c r="A3992" s="36">
        <v>42916</v>
      </c>
      <c r="B3992" s="18">
        <v>118093</v>
      </c>
      <c r="C3992" s="235" t="s">
        <v>19677</v>
      </c>
      <c r="D3992" s="236" t="s">
        <v>15338</v>
      </c>
      <c r="E3992" s="15">
        <v>8501.9</v>
      </c>
      <c r="F3992" s="266">
        <v>42920</v>
      </c>
      <c r="G3992" s="35">
        <v>8501.9</v>
      </c>
      <c r="H3992" s="15">
        <f t="shared" si="62"/>
        <v>0</v>
      </c>
      <c r="I3992" s="236" t="s">
        <v>19682</v>
      </c>
    </row>
    <row r="3993" spans="1:9" x14ac:dyDescent="0.25">
      <c r="A3993" s="242">
        <v>42916</v>
      </c>
      <c r="B3993" s="18">
        <v>118094</v>
      </c>
      <c r="C3993" s="235" t="s">
        <v>19677</v>
      </c>
      <c r="D3993" s="236" t="s">
        <v>16732</v>
      </c>
      <c r="E3993" s="15">
        <v>32626.799999999999</v>
      </c>
      <c r="F3993" s="237">
        <v>42916</v>
      </c>
      <c r="G3993" s="15">
        <v>32626.799999999999</v>
      </c>
      <c r="H3993" s="15">
        <f t="shared" si="62"/>
        <v>0</v>
      </c>
      <c r="I3993" s="236" t="s">
        <v>19682</v>
      </c>
    </row>
    <row r="3994" spans="1:9" ht="15.75" x14ac:dyDescent="0.25">
      <c r="A3994" s="36">
        <v>42916</v>
      </c>
      <c r="B3994" s="18">
        <v>118095</v>
      </c>
      <c r="C3994" s="235" t="s">
        <v>19677</v>
      </c>
      <c r="D3994" s="248" t="s">
        <v>95</v>
      </c>
      <c r="E3994" s="15">
        <v>0</v>
      </c>
      <c r="F3994" s="243" t="s">
        <v>95</v>
      </c>
      <c r="G3994" s="15">
        <v>0</v>
      </c>
      <c r="H3994" s="15">
        <f t="shared" si="62"/>
        <v>0</v>
      </c>
      <c r="I3994" s="236" t="s">
        <v>19678</v>
      </c>
    </row>
    <row r="3995" spans="1:9" x14ac:dyDescent="0.25">
      <c r="A3995" s="242">
        <v>42916</v>
      </c>
      <c r="B3995" s="18">
        <v>118096</v>
      </c>
      <c r="C3995" s="235" t="s">
        <v>19677</v>
      </c>
      <c r="D3995" s="236" t="s">
        <v>15315</v>
      </c>
      <c r="E3995" s="15">
        <v>3826.2</v>
      </c>
      <c r="F3995" s="237">
        <v>42916</v>
      </c>
      <c r="G3995" s="15">
        <v>3826.2</v>
      </c>
      <c r="H3995" s="15">
        <f t="shared" si="62"/>
        <v>0</v>
      </c>
      <c r="I3995" s="236" t="s">
        <v>19682</v>
      </c>
    </row>
    <row r="3996" spans="1:9" x14ac:dyDescent="0.25">
      <c r="A3996" s="36">
        <v>42916</v>
      </c>
      <c r="B3996" s="18">
        <v>118097</v>
      </c>
      <c r="C3996" s="235" t="s">
        <v>19677</v>
      </c>
      <c r="D3996" s="236" t="s">
        <v>15590</v>
      </c>
      <c r="E3996" s="15">
        <v>38746.800000000003</v>
      </c>
      <c r="F3996" s="266">
        <v>42928</v>
      </c>
      <c r="G3996" s="35">
        <v>38746.800000000003</v>
      </c>
      <c r="H3996" s="15">
        <f t="shared" si="62"/>
        <v>0</v>
      </c>
      <c r="I3996" s="236" t="s">
        <v>19682</v>
      </c>
    </row>
    <row r="3997" spans="1:9" x14ac:dyDescent="0.25">
      <c r="A3997" s="242">
        <v>42916</v>
      </c>
      <c r="B3997" s="18">
        <v>118098</v>
      </c>
      <c r="C3997" s="235" t="s">
        <v>19677</v>
      </c>
      <c r="D3997" s="236" t="s">
        <v>5873</v>
      </c>
      <c r="E3997" s="15">
        <v>32986.800000000003</v>
      </c>
      <c r="F3997" s="237">
        <v>42916</v>
      </c>
      <c r="G3997" s="15">
        <v>32986.800000000003</v>
      </c>
      <c r="H3997" s="15">
        <f t="shared" si="62"/>
        <v>0</v>
      </c>
      <c r="I3997" s="236" t="s">
        <v>19682</v>
      </c>
    </row>
    <row r="3998" spans="1:9" x14ac:dyDescent="0.25">
      <c r="A3998" s="36">
        <v>42916</v>
      </c>
      <c r="B3998" s="18">
        <v>118099</v>
      </c>
      <c r="C3998" s="235" t="s">
        <v>19677</v>
      </c>
      <c r="D3998" s="236" t="s">
        <v>15810</v>
      </c>
      <c r="E3998" s="15">
        <v>788.6</v>
      </c>
      <c r="F3998" s="237">
        <v>42916</v>
      </c>
      <c r="G3998" s="15">
        <v>788.6</v>
      </c>
      <c r="H3998" s="15">
        <f t="shared" si="62"/>
        <v>0</v>
      </c>
      <c r="I3998" s="236" t="s">
        <v>19682</v>
      </c>
    </row>
    <row r="3999" spans="1:9" x14ac:dyDescent="0.25">
      <c r="A3999" s="242">
        <v>42916</v>
      </c>
      <c r="B3999" s="18">
        <v>118100</v>
      </c>
      <c r="C3999" s="235" t="s">
        <v>19677</v>
      </c>
      <c r="D3999" s="236" t="s">
        <v>18076</v>
      </c>
      <c r="E3999" s="15">
        <v>1560.6</v>
      </c>
      <c r="F3999" s="237">
        <v>42916</v>
      </c>
      <c r="G3999" s="15">
        <v>1560.6</v>
      </c>
      <c r="H3999" s="15">
        <f t="shared" si="62"/>
        <v>0</v>
      </c>
      <c r="I3999" s="236" t="s">
        <v>19682</v>
      </c>
    </row>
    <row r="4000" spans="1:9" x14ac:dyDescent="0.25">
      <c r="A4000" s="36">
        <v>42916</v>
      </c>
      <c r="B4000" s="18">
        <v>118101</v>
      </c>
      <c r="C4000" s="235" t="s">
        <v>19677</v>
      </c>
      <c r="D4000" s="236" t="s">
        <v>15398</v>
      </c>
      <c r="E4000" s="15">
        <v>3336.25</v>
      </c>
      <c r="F4000" s="237">
        <v>42916</v>
      </c>
      <c r="G4000" s="15">
        <v>3336.25</v>
      </c>
      <c r="H4000" s="15">
        <f t="shared" si="62"/>
        <v>0</v>
      </c>
      <c r="I4000" s="236" t="s">
        <v>19682</v>
      </c>
    </row>
    <row r="4001" spans="1:9" x14ac:dyDescent="0.25">
      <c r="A4001" s="242">
        <v>42916</v>
      </c>
      <c r="B4001" s="18">
        <v>118102</v>
      </c>
      <c r="C4001" s="235" t="s">
        <v>19677</v>
      </c>
      <c r="D4001" s="236" t="s">
        <v>15396</v>
      </c>
      <c r="E4001" s="15">
        <v>10010.74</v>
      </c>
      <c r="F4001" s="237">
        <v>42916</v>
      </c>
      <c r="G4001" s="15">
        <v>10010.74</v>
      </c>
      <c r="H4001" s="15">
        <f t="shared" si="62"/>
        <v>0</v>
      </c>
      <c r="I4001" s="236" t="s">
        <v>19682</v>
      </c>
    </row>
    <row r="4002" spans="1:9" x14ac:dyDescent="0.25">
      <c r="A4002" s="36">
        <v>42916</v>
      </c>
      <c r="B4002" s="18">
        <v>118103</v>
      </c>
      <c r="C4002" s="235" t="s">
        <v>19677</v>
      </c>
      <c r="D4002" s="236" t="s">
        <v>15282</v>
      </c>
      <c r="E4002" s="15">
        <v>2910.4</v>
      </c>
      <c r="F4002" s="237">
        <v>42916</v>
      </c>
      <c r="G4002" s="15">
        <v>2910.4</v>
      </c>
      <c r="H4002" s="15">
        <f t="shared" si="62"/>
        <v>0</v>
      </c>
      <c r="I4002" s="236" t="s">
        <v>19682</v>
      </c>
    </row>
    <row r="4003" spans="1:9" x14ac:dyDescent="0.25">
      <c r="A4003" s="242">
        <v>42916</v>
      </c>
      <c r="B4003" s="18">
        <v>118104</v>
      </c>
      <c r="C4003" s="235" t="s">
        <v>19677</v>
      </c>
      <c r="D4003" s="236" t="s">
        <v>15246</v>
      </c>
      <c r="E4003" s="15">
        <v>11622</v>
      </c>
      <c r="F4003" s="237">
        <v>42917</v>
      </c>
      <c r="G4003" s="15">
        <v>11622</v>
      </c>
      <c r="H4003" s="15">
        <f t="shared" si="62"/>
        <v>0</v>
      </c>
      <c r="I4003" s="236" t="s">
        <v>19682</v>
      </c>
    </row>
    <row r="4004" spans="1:9" x14ac:dyDescent="0.25">
      <c r="A4004" s="36">
        <v>42916</v>
      </c>
      <c r="B4004" s="18">
        <v>118105</v>
      </c>
      <c r="C4004" s="235" t="s">
        <v>19677</v>
      </c>
      <c r="D4004" s="236" t="s">
        <v>16108</v>
      </c>
      <c r="E4004" s="15">
        <v>5315.6</v>
      </c>
      <c r="F4004" s="237">
        <v>42916</v>
      </c>
      <c r="G4004" s="15">
        <v>5315.6</v>
      </c>
      <c r="H4004" s="15">
        <f t="shared" si="62"/>
        <v>0</v>
      </c>
      <c r="I4004" s="236" t="s">
        <v>19682</v>
      </c>
    </row>
    <row r="4005" spans="1:9" x14ac:dyDescent="0.25">
      <c r="A4005" s="242">
        <v>42916</v>
      </c>
      <c r="B4005" s="18">
        <v>118106</v>
      </c>
      <c r="C4005" s="235" t="s">
        <v>19677</v>
      </c>
      <c r="D4005" s="236" t="s">
        <v>16108</v>
      </c>
      <c r="E4005" s="15">
        <v>25.2</v>
      </c>
      <c r="F4005" s="237">
        <v>42916</v>
      </c>
      <c r="G4005" s="15">
        <v>25.2</v>
      </c>
      <c r="H4005" s="15">
        <f t="shared" si="62"/>
        <v>0</v>
      </c>
      <c r="I4005" s="236" t="s">
        <v>19682</v>
      </c>
    </row>
    <row r="4006" spans="1:9" x14ac:dyDescent="0.25">
      <c r="A4006" s="36">
        <v>42916</v>
      </c>
      <c r="B4006" s="18">
        <v>118107</v>
      </c>
      <c r="C4006" s="235" t="s">
        <v>19677</v>
      </c>
      <c r="D4006" s="236" t="s">
        <v>15298</v>
      </c>
      <c r="E4006" s="15">
        <v>970.2</v>
      </c>
      <c r="F4006" s="237">
        <v>42916</v>
      </c>
      <c r="G4006" s="15">
        <v>970.2</v>
      </c>
      <c r="H4006" s="15">
        <f t="shared" si="62"/>
        <v>0</v>
      </c>
      <c r="I4006" s="236" t="s">
        <v>19682</v>
      </c>
    </row>
    <row r="4007" spans="1:9" x14ac:dyDescent="0.25">
      <c r="A4007" s="242">
        <v>42916</v>
      </c>
      <c r="B4007" s="18">
        <v>118108</v>
      </c>
      <c r="C4007" s="235" t="s">
        <v>19677</v>
      </c>
      <c r="D4007" s="236" t="s">
        <v>15315</v>
      </c>
      <c r="E4007" s="15">
        <v>1581.9</v>
      </c>
      <c r="F4007" s="237">
        <v>42916</v>
      </c>
      <c r="G4007" s="15">
        <v>1581.9</v>
      </c>
      <c r="H4007" s="15">
        <f t="shared" si="62"/>
        <v>0</v>
      </c>
      <c r="I4007" s="236" t="s">
        <v>19682</v>
      </c>
    </row>
    <row r="4008" spans="1:9" x14ac:dyDescent="0.25">
      <c r="A4008" s="36">
        <v>42916</v>
      </c>
      <c r="B4008" s="18">
        <v>118109</v>
      </c>
      <c r="C4008" s="235" t="s">
        <v>19677</v>
      </c>
      <c r="D4008" s="236" t="s">
        <v>17722</v>
      </c>
      <c r="E4008" s="15">
        <v>3686</v>
      </c>
      <c r="F4008" s="237">
        <v>42916</v>
      </c>
      <c r="G4008" s="15">
        <v>3686</v>
      </c>
      <c r="H4008" s="15">
        <f t="shared" si="62"/>
        <v>0</v>
      </c>
      <c r="I4008" s="236" t="s">
        <v>19682</v>
      </c>
    </row>
    <row r="4009" spans="1:9" x14ac:dyDescent="0.25">
      <c r="A4009" s="242">
        <v>42916</v>
      </c>
      <c r="B4009" s="18">
        <v>118110</v>
      </c>
      <c r="C4009" s="235" t="s">
        <v>19677</v>
      </c>
      <c r="D4009" s="236" t="s">
        <v>15884</v>
      </c>
      <c r="E4009" s="15">
        <v>2547.1999999999998</v>
      </c>
      <c r="F4009" s="237">
        <v>42916</v>
      </c>
      <c r="G4009" s="15">
        <v>2547.1999999999998</v>
      </c>
      <c r="H4009" s="15">
        <f t="shared" si="62"/>
        <v>0</v>
      </c>
      <c r="I4009" s="236" t="s">
        <v>19682</v>
      </c>
    </row>
    <row r="4010" spans="1:9" x14ac:dyDescent="0.25">
      <c r="A4010" s="36">
        <v>42916</v>
      </c>
      <c r="B4010" s="18">
        <v>118111</v>
      </c>
      <c r="C4010" s="235" t="s">
        <v>19677</v>
      </c>
      <c r="D4010" s="236" t="s">
        <v>19768</v>
      </c>
      <c r="E4010" s="15">
        <v>1470</v>
      </c>
      <c r="F4010" s="237">
        <v>42916</v>
      </c>
      <c r="G4010" s="15">
        <v>1470</v>
      </c>
      <c r="H4010" s="15">
        <f t="shared" si="62"/>
        <v>0</v>
      </c>
      <c r="I4010" s="236" t="s">
        <v>19682</v>
      </c>
    </row>
    <row r="4011" spans="1:9" x14ac:dyDescent="0.25">
      <c r="A4011" s="242">
        <v>42916</v>
      </c>
      <c r="B4011" s="18">
        <v>118112</v>
      </c>
      <c r="C4011" s="235" t="s">
        <v>19677</v>
      </c>
      <c r="D4011" s="236" t="s">
        <v>15987</v>
      </c>
      <c r="E4011" s="15">
        <v>4335</v>
      </c>
      <c r="F4011" s="237">
        <v>42916</v>
      </c>
      <c r="G4011" s="15">
        <v>4335</v>
      </c>
      <c r="H4011" s="15">
        <f t="shared" si="62"/>
        <v>0</v>
      </c>
      <c r="I4011" s="236" t="s">
        <v>19682</v>
      </c>
    </row>
    <row r="4012" spans="1:9" x14ac:dyDescent="0.25">
      <c r="A4012" s="36">
        <v>42916</v>
      </c>
      <c r="B4012" s="18">
        <v>118113</v>
      </c>
      <c r="C4012" s="235" t="s">
        <v>19677</v>
      </c>
      <c r="D4012" s="236" t="s">
        <v>16048</v>
      </c>
      <c r="E4012" s="15">
        <v>4742.6000000000004</v>
      </c>
      <c r="F4012" s="237">
        <v>42916</v>
      </c>
      <c r="G4012" s="15">
        <v>4742.6000000000004</v>
      </c>
      <c r="H4012" s="15">
        <f t="shared" si="62"/>
        <v>0</v>
      </c>
      <c r="I4012" s="236" t="s">
        <v>19682</v>
      </c>
    </row>
    <row r="4013" spans="1:9" x14ac:dyDescent="0.25">
      <c r="A4013" s="242">
        <v>42916</v>
      </c>
      <c r="B4013" s="18">
        <v>118114</v>
      </c>
      <c r="C4013" s="235" t="s">
        <v>19677</v>
      </c>
      <c r="D4013" s="236" t="s">
        <v>15884</v>
      </c>
      <c r="E4013" s="15">
        <v>421.8</v>
      </c>
      <c r="F4013" s="237">
        <v>42916</v>
      </c>
      <c r="G4013" s="15">
        <v>421.8</v>
      </c>
      <c r="H4013" s="15">
        <f t="shared" si="62"/>
        <v>0</v>
      </c>
      <c r="I4013" s="236" t="s">
        <v>19682</v>
      </c>
    </row>
    <row r="4014" spans="1:9" x14ac:dyDescent="0.25">
      <c r="A4014" s="36">
        <v>42916</v>
      </c>
      <c r="B4014" s="18">
        <v>118115</v>
      </c>
      <c r="C4014" s="235" t="s">
        <v>19677</v>
      </c>
      <c r="D4014" s="236" t="s">
        <v>15246</v>
      </c>
      <c r="E4014" s="15">
        <v>29494</v>
      </c>
      <c r="F4014" s="237">
        <v>42917</v>
      </c>
      <c r="G4014" s="15">
        <v>29494</v>
      </c>
      <c r="H4014" s="15">
        <f t="shared" si="62"/>
        <v>0</v>
      </c>
      <c r="I4014" s="236" t="s">
        <v>19682</v>
      </c>
    </row>
    <row r="4015" spans="1:9" x14ac:dyDescent="0.25">
      <c r="A4015" s="242">
        <v>42916</v>
      </c>
      <c r="B4015" s="18">
        <v>118116</v>
      </c>
      <c r="C4015" s="235" t="s">
        <v>19677</v>
      </c>
      <c r="D4015" s="236" t="s">
        <v>15250</v>
      </c>
      <c r="E4015" s="15">
        <v>1585.2</v>
      </c>
      <c r="F4015" s="266">
        <v>42931</v>
      </c>
      <c r="G4015" s="35">
        <v>1585.2</v>
      </c>
      <c r="H4015" s="15">
        <f t="shared" si="62"/>
        <v>0</v>
      </c>
      <c r="I4015" s="236" t="s">
        <v>19682</v>
      </c>
    </row>
    <row r="4016" spans="1:9" x14ac:dyDescent="0.25">
      <c r="A4016" s="36">
        <v>42916</v>
      </c>
      <c r="B4016" s="18">
        <v>118117</v>
      </c>
      <c r="C4016" s="235" t="s">
        <v>19677</v>
      </c>
      <c r="D4016" s="236" t="s">
        <v>15246</v>
      </c>
      <c r="E4016" s="15">
        <v>114243.5</v>
      </c>
      <c r="F4016" s="266" t="s">
        <v>19797</v>
      </c>
      <c r="G4016" s="133">
        <f>79830.05+34413.45</f>
        <v>114243.5</v>
      </c>
      <c r="H4016" s="241">
        <f t="shared" si="62"/>
        <v>0</v>
      </c>
      <c r="I4016" s="236" t="s">
        <v>19682</v>
      </c>
    </row>
    <row r="4017" spans="1:9" x14ac:dyDescent="0.25">
      <c r="A4017" s="242">
        <v>42916</v>
      </c>
      <c r="B4017" s="18">
        <v>118118</v>
      </c>
      <c r="C4017" s="235" t="s">
        <v>19677</v>
      </c>
      <c r="D4017" s="236" t="s">
        <v>15267</v>
      </c>
      <c r="E4017" s="15">
        <v>39619.599999999999</v>
      </c>
      <c r="F4017" s="237">
        <v>42916</v>
      </c>
      <c r="G4017" s="15">
        <v>39619.599999999999</v>
      </c>
      <c r="H4017" s="15">
        <f t="shared" si="62"/>
        <v>0</v>
      </c>
      <c r="I4017" s="236" t="s">
        <v>19682</v>
      </c>
    </row>
    <row r="4018" spans="1:9" x14ac:dyDescent="0.25">
      <c r="A4018" s="36">
        <v>42916</v>
      </c>
      <c r="B4018" s="18">
        <v>118119</v>
      </c>
      <c r="C4018" s="235" t="s">
        <v>19677</v>
      </c>
      <c r="D4018" s="236" t="s">
        <v>16126</v>
      </c>
      <c r="E4018" s="15">
        <v>5492.2</v>
      </c>
      <c r="F4018" s="237">
        <v>42916</v>
      </c>
      <c r="G4018" s="15">
        <v>5492.2</v>
      </c>
      <c r="H4018" s="15">
        <f t="shared" si="62"/>
        <v>0</v>
      </c>
      <c r="I4018" s="236" t="s">
        <v>19682</v>
      </c>
    </row>
    <row r="4019" spans="1:9" x14ac:dyDescent="0.25">
      <c r="A4019" s="242">
        <v>42916</v>
      </c>
      <c r="B4019" s="18">
        <v>118120</v>
      </c>
      <c r="C4019" s="235" t="s">
        <v>19677</v>
      </c>
      <c r="D4019" s="236" t="s">
        <v>15322</v>
      </c>
      <c r="E4019" s="15">
        <v>2750.4</v>
      </c>
      <c r="F4019" s="237">
        <v>42916</v>
      </c>
      <c r="G4019" s="15">
        <v>2750.4</v>
      </c>
      <c r="H4019" s="15">
        <f t="shared" si="62"/>
        <v>0</v>
      </c>
      <c r="I4019" s="236" t="s">
        <v>19682</v>
      </c>
    </row>
    <row r="4020" spans="1:9" x14ac:dyDescent="0.25">
      <c r="A4020" s="36">
        <v>42916</v>
      </c>
      <c r="B4020" s="18">
        <v>118121</v>
      </c>
      <c r="C4020" s="235" t="s">
        <v>19677</v>
      </c>
      <c r="D4020" s="236" t="s">
        <v>19776</v>
      </c>
      <c r="E4020" s="15">
        <v>16166.4</v>
      </c>
      <c r="F4020" s="237">
        <v>42918</v>
      </c>
      <c r="G4020" s="15">
        <v>16166.4</v>
      </c>
      <c r="H4020" s="15">
        <f t="shared" si="62"/>
        <v>0</v>
      </c>
      <c r="I4020" s="236" t="s">
        <v>19682</v>
      </c>
    </row>
    <row r="4021" spans="1:9" x14ac:dyDescent="0.25">
      <c r="A4021" s="242">
        <v>42916</v>
      </c>
      <c r="B4021" s="18">
        <v>118122</v>
      </c>
      <c r="C4021" s="235" t="s">
        <v>19677</v>
      </c>
      <c r="D4021" s="236" t="s">
        <v>19776</v>
      </c>
      <c r="E4021" s="15">
        <v>3276.6</v>
      </c>
      <c r="F4021" s="237">
        <v>42917</v>
      </c>
      <c r="G4021" s="15">
        <v>3276.6</v>
      </c>
      <c r="H4021" s="15">
        <f t="shared" si="62"/>
        <v>0</v>
      </c>
      <c r="I4021" s="236" t="s">
        <v>19682</v>
      </c>
    </row>
    <row r="4022" spans="1:9" x14ac:dyDescent="0.25">
      <c r="A4022" s="36">
        <v>42916</v>
      </c>
      <c r="B4022" s="18">
        <v>118123</v>
      </c>
      <c r="C4022" s="235" t="s">
        <v>19677</v>
      </c>
      <c r="D4022" s="236" t="s">
        <v>15725</v>
      </c>
      <c r="E4022" s="15">
        <v>25917.599999999999</v>
      </c>
      <c r="F4022" s="237">
        <v>42919</v>
      </c>
      <c r="G4022" s="15">
        <v>25917.599999999999</v>
      </c>
      <c r="H4022" s="15">
        <f t="shared" si="62"/>
        <v>0</v>
      </c>
      <c r="I4022" s="236" t="s">
        <v>19682</v>
      </c>
    </row>
    <row r="4023" spans="1:9" x14ac:dyDescent="0.25">
      <c r="A4023" s="242">
        <v>42916</v>
      </c>
      <c r="B4023" s="18">
        <v>118124</v>
      </c>
      <c r="C4023" s="235" t="s">
        <v>19677</v>
      </c>
      <c r="D4023" s="236" t="s">
        <v>15363</v>
      </c>
      <c r="E4023" s="15">
        <v>1080</v>
      </c>
      <c r="F4023" s="237">
        <v>42917</v>
      </c>
      <c r="G4023" s="15">
        <v>1080</v>
      </c>
      <c r="H4023" s="15">
        <f t="shared" si="62"/>
        <v>0</v>
      </c>
      <c r="I4023" s="236" t="s">
        <v>19682</v>
      </c>
    </row>
    <row r="4024" spans="1:9" x14ac:dyDescent="0.25">
      <c r="A4024" s="36">
        <v>42916</v>
      </c>
      <c r="B4024" s="18">
        <v>118125</v>
      </c>
      <c r="C4024" s="235" t="s">
        <v>19677</v>
      </c>
      <c r="D4024" s="236" t="s">
        <v>15568</v>
      </c>
      <c r="E4024" s="15">
        <v>11110.2</v>
      </c>
      <c r="F4024" s="237">
        <v>42917</v>
      </c>
      <c r="G4024" s="15">
        <v>11110.2</v>
      </c>
      <c r="H4024" s="15">
        <f t="shared" si="62"/>
        <v>0</v>
      </c>
      <c r="I4024" s="236" t="s">
        <v>19682</v>
      </c>
    </row>
    <row r="4025" spans="1:9" x14ac:dyDescent="0.25">
      <c r="A4025" s="242">
        <v>42916</v>
      </c>
      <c r="B4025" s="18">
        <v>118126</v>
      </c>
      <c r="C4025" s="235" t="s">
        <v>19677</v>
      </c>
      <c r="D4025" s="236" t="s">
        <v>15662</v>
      </c>
      <c r="E4025" s="15">
        <v>3778.92</v>
      </c>
      <c r="F4025" s="237">
        <v>42916</v>
      </c>
      <c r="G4025" s="15">
        <v>3778.92</v>
      </c>
      <c r="H4025" s="15">
        <f t="shared" si="62"/>
        <v>0</v>
      </c>
      <c r="I4025" s="236" t="s">
        <v>19682</v>
      </c>
    </row>
    <row r="4026" spans="1:9" x14ac:dyDescent="0.25">
      <c r="A4026" s="36">
        <v>42916</v>
      </c>
      <c r="B4026" s="18">
        <v>118127</v>
      </c>
      <c r="C4026" s="235" t="s">
        <v>19677</v>
      </c>
      <c r="D4026" s="236" t="s">
        <v>15284</v>
      </c>
      <c r="E4026" s="15">
        <v>443.7</v>
      </c>
      <c r="F4026" s="237">
        <v>42916</v>
      </c>
      <c r="G4026" s="15">
        <v>443.7</v>
      </c>
      <c r="H4026" s="15">
        <f t="shared" si="62"/>
        <v>0</v>
      </c>
      <c r="I4026" s="236" t="s">
        <v>19682</v>
      </c>
    </row>
    <row r="4027" spans="1:9" x14ac:dyDescent="0.25">
      <c r="A4027" s="242">
        <v>42916</v>
      </c>
      <c r="B4027" s="18">
        <v>118128</v>
      </c>
      <c r="C4027" s="235" t="s">
        <v>19677</v>
      </c>
      <c r="D4027" s="236" t="s">
        <v>15391</v>
      </c>
      <c r="E4027" s="15">
        <v>9523.7999999999993</v>
      </c>
      <c r="F4027" s="237">
        <v>42919</v>
      </c>
      <c r="G4027" s="15">
        <v>9523.7999999999993</v>
      </c>
      <c r="H4027" s="15">
        <f t="shared" si="62"/>
        <v>0</v>
      </c>
      <c r="I4027" s="236" t="s">
        <v>19682</v>
      </c>
    </row>
    <row r="4028" spans="1:9" x14ac:dyDescent="0.25">
      <c r="A4028" s="36">
        <v>42916</v>
      </c>
      <c r="B4028" s="18">
        <v>118129</v>
      </c>
      <c r="C4028" s="235" t="s">
        <v>19677</v>
      </c>
      <c r="D4028" s="236" t="s">
        <v>15594</v>
      </c>
      <c r="E4028" s="15">
        <v>1620.3</v>
      </c>
      <c r="F4028" s="237">
        <v>42917</v>
      </c>
      <c r="G4028" s="15">
        <v>1620.3</v>
      </c>
      <c r="H4028" s="15">
        <f t="shared" si="62"/>
        <v>0</v>
      </c>
      <c r="I4028" s="236" t="s">
        <v>19682</v>
      </c>
    </row>
    <row r="4029" spans="1:9" x14ac:dyDescent="0.25">
      <c r="A4029" s="242">
        <v>42916</v>
      </c>
      <c r="B4029" s="18">
        <v>118130</v>
      </c>
      <c r="C4029" s="235" t="s">
        <v>19677</v>
      </c>
      <c r="D4029" s="236" t="s">
        <v>15315</v>
      </c>
      <c r="E4029" s="15">
        <v>1348</v>
      </c>
      <c r="F4029" s="237">
        <v>42917</v>
      </c>
      <c r="G4029" s="15">
        <v>1348</v>
      </c>
      <c r="H4029" s="15">
        <f t="shared" si="62"/>
        <v>0</v>
      </c>
      <c r="I4029" s="236" t="s">
        <v>19682</v>
      </c>
    </row>
    <row r="4030" spans="1:9" ht="15.75" x14ac:dyDescent="0.25">
      <c r="A4030" s="36">
        <v>42916</v>
      </c>
      <c r="B4030" s="18">
        <v>118131</v>
      </c>
      <c r="C4030" s="235" t="s">
        <v>19677</v>
      </c>
      <c r="D4030" s="248" t="s">
        <v>95</v>
      </c>
      <c r="E4030" s="15">
        <v>0</v>
      </c>
      <c r="F4030" s="243" t="s">
        <v>95</v>
      </c>
      <c r="G4030" s="15">
        <v>0</v>
      </c>
      <c r="H4030" s="15">
        <f t="shared" si="62"/>
        <v>0</v>
      </c>
      <c r="I4030" s="236" t="s">
        <v>19678</v>
      </c>
    </row>
    <row r="4031" spans="1:9" x14ac:dyDescent="0.25">
      <c r="A4031" s="242">
        <v>42916</v>
      </c>
      <c r="B4031" s="18">
        <v>118132</v>
      </c>
      <c r="C4031" s="235" t="s">
        <v>19677</v>
      </c>
      <c r="D4031" s="236" t="s">
        <v>15265</v>
      </c>
      <c r="E4031" s="15">
        <v>3567.2</v>
      </c>
      <c r="F4031" s="237">
        <v>42917</v>
      </c>
      <c r="G4031" s="15">
        <v>3567.2</v>
      </c>
      <c r="H4031" s="15">
        <f t="shared" si="62"/>
        <v>0</v>
      </c>
      <c r="I4031" s="236" t="s">
        <v>19682</v>
      </c>
    </row>
    <row r="4032" spans="1:9" x14ac:dyDescent="0.25">
      <c r="A4032" s="36">
        <v>42916</v>
      </c>
      <c r="B4032" s="18">
        <v>118133</v>
      </c>
      <c r="C4032" s="235" t="s">
        <v>19677</v>
      </c>
      <c r="D4032" s="236" t="s">
        <v>15890</v>
      </c>
      <c r="E4032" s="15">
        <v>11388.8</v>
      </c>
      <c r="F4032" s="266">
        <v>42927</v>
      </c>
      <c r="G4032" s="35">
        <v>11388.8</v>
      </c>
      <c r="H4032" s="15">
        <f t="shared" si="62"/>
        <v>0</v>
      </c>
      <c r="I4032" s="236" t="s">
        <v>19682</v>
      </c>
    </row>
    <row r="4033" spans="1:9" x14ac:dyDescent="0.25">
      <c r="A4033" s="242">
        <v>42916</v>
      </c>
      <c r="B4033" s="18">
        <v>118134</v>
      </c>
      <c r="C4033" s="235" t="s">
        <v>19677</v>
      </c>
      <c r="D4033" s="236" t="s">
        <v>15920</v>
      </c>
      <c r="E4033" s="15">
        <v>13477.8</v>
      </c>
      <c r="F4033" s="266">
        <v>42935</v>
      </c>
      <c r="G4033" s="35">
        <v>13477.8</v>
      </c>
      <c r="H4033" s="15">
        <f t="shared" si="62"/>
        <v>0</v>
      </c>
      <c r="I4033" s="236" t="s">
        <v>19682</v>
      </c>
    </row>
    <row r="4034" spans="1:9" x14ac:dyDescent="0.25">
      <c r="A4034" s="36">
        <v>42916</v>
      </c>
      <c r="B4034" s="18">
        <v>118135</v>
      </c>
      <c r="C4034" s="235" t="s">
        <v>19677</v>
      </c>
      <c r="D4034" s="236" t="s">
        <v>16129</v>
      </c>
      <c r="E4034" s="15">
        <v>5170</v>
      </c>
      <c r="F4034" s="237">
        <v>42923</v>
      </c>
      <c r="G4034" s="15">
        <v>5170</v>
      </c>
      <c r="H4034" s="15">
        <f t="shared" ref="H4034:H4054" si="63">E4034-G4034</f>
        <v>0</v>
      </c>
      <c r="I4034" s="236" t="s">
        <v>19682</v>
      </c>
    </row>
    <row r="4035" spans="1:9" x14ac:dyDescent="0.25">
      <c r="A4035" s="242">
        <v>42916</v>
      </c>
      <c r="B4035" s="18">
        <v>118136</v>
      </c>
      <c r="C4035" s="235" t="s">
        <v>19677</v>
      </c>
      <c r="D4035" s="236" t="s">
        <v>15433</v>
      </c>
      <c r="E4035" s="15">
        <v>1938.9</v>
      </c>
      <c r="F4035" s="237">
        <v>42916</v>
      </c>
      <c r="G4035" s="15">
        <v>1938.9</v>
      </c>
      <c r="H4035" s="15">
        <f t="shared" si="63"/>
        <v>0</v>
      </c>
      <c r="I4035" s="236" t="s">
        <v>19682</v>
      </c>
    </row>
    <row r="4036" spans="1:9" x14ac:dyDescent="0.25">
      <c r="A4036" s="36">
        <v>42916</v>
      </c>
      <c r="B4036" s="18">
        <v>118137</v>
      </c>
      <c r="C4036" s="235" t="s">
        <v>19677</v>
      </c>
      <c r="D4036" s="236" t="s">
        <v>15442</v>
      </c>
      <c r="E4036" s="15">
        <v>16335</v>
      </c>
      <c r="F4036" s="266">
        <v>42935</v>
      </c>
      <c r="G4036" s="35">
        <v>16335</v>
      </c>
      <c r="H4036" s="15">
        <f t="shared" si="63"/>
        <v>0</v>
      </c>
      <c r="I4036" s="236" t="s">
        <v>19682</v>
      </c>
    </row>
    <row r="4037" spans="1:9" x14ac:dyDescent="0.25">
      <c r="A4037" s="242">
        <v>42916</v>
      </c>
      <c r="B4037" s="18">
        <v>118138</v>
      </c>
      <c r="C4037" s="235" t="s">
        <v>19677</v>
      </c>
      <c r="D4037" s="236" t="s">
        <v>15284</v>
      </c>
      <c r="E4037" s="15">
        <v>460.8</v>
      </c>
      <c r="F4037" s="237">
        <v>42916</v>
      </c>
      <c r="G4037" s="15">
        <v>460.8</v>
      </c>
      <c r="H4037" s="15">
        <f t="shared" si="63"/>
        <v>0</v>
      </c>
      <c r="I4037" s="236" t="s">
        <v>19682</v>
      </c>
    </row>
    <row r="4038" spans="1:9" x14ac:dyDescent="0.25">
      <c r="A4038" s="36">
        <v>42916</v>
      </c>
      <c r="B4038" s="18">
        <v>118139</v>
      </c>
      <c r="C4038" s="235" t="s">
        <v>19677</v>
      </c>
      <c r="D4038" s="236" t="s">
        <v>16463</v>
      </c>
      <c r="E4038" s="15">
        <v>13747.2</v>
      </c>
      <c r="F4038" s="237">
        <v>42917</v>
      </c>
      <c r="G4038" s="15">
        <v>13747.2</v>
      </c>
      <c r="H4038" s="15">
        <f t="shared" si="63"/>
        <v>0</v>
      </c>
      <c r="I4038" s="236" t="s">
        <v>19682</v>
      </c>
    </row>
    <row r="4039" spans="1:9" x14ac:dyDescent="0.25">
      <c r="A4039" s="242">
        <v>42916</v>
      </c>
      <c r="B4039" s="18">
        <v>118140</v>
      </c>
      <c r="C4039" s="235" t="s">
        <v>19677</v>
      </c>
      <c r="D4039" s="236" t="s">
        <v>15444</v>
      </c>
      <c r="E4039" s="15">
        <v>3451</v>
      </c>
      <c r="F4039" s="237">
        <v>42917</v>
      </c>
      <c r="G4039" s="15">
        <v>3451</v>
      </c>
      <c r="H4039" s="15">
        <f t="shared" si="63"/>
        <v>0</v>
      </c>
      <c r="I4039" s="236" t="s">
        <v>19682</v>
      </c>
    </row>
    <row r="4040" spans="1:9" x14ac:dyDescent="0.25">
      <c r="A4040" s="36">
        <v>42916</v>
      </c>
      <c r="B4040" s="18">
        <v>118141</v>
      </c>
      <c r="C4040" s="235" t="s">
        <v>19677</v>
      </c>
      <c r="D4040" s="236" t="s">
        <v>15315</v>
      </c>
      <c r="E4040" s="15">
        <v>768</v>
      </c>
      <c r="F4040" s="237">
        <v>42917</v>
      </c>
      <c r="G4040" s="15">
        <v>768</v>
      </c>
      <c r="H4040" s="15">
        <f t="shared" si="63"/>
        <v>0</v>
      </c>
      <c r="I4040" s="236" t="s">
        <v>19682</v>
      </c>
    </row>
    <row r="4041" spans="1:9" x14ac:dyDescent="0.25">
      <c r="A4041" s="242">
        <v>42916</v>
      </c>
      <c r="B4041" s="18">
        <v>118142</v>
      </c>
      <c r="C4041" s="235" t="s">
        <v>19677</v>
      </c>
      <c r="D4041" s="236" t="s">
        <v>19699</v>
      </c>
      <c r="E4041" s="15">
        <v>1614</v>
      </c>
      <c r="F4041" s="237">
        <v>42916</v>
      </c>
      <c r="G4041" s="15">
        <v>1614</v>
      </c>
      <c r="H4041" s="15">
        <f t="shared" si="63"/>
        <v>0</v>
      </c>
      <c r="I4041" s="236" t="s">
        <v>19682</v>
      </c>
    </row>
    <row r="4042" spans="1:9" ht="15.75" x14ac:dyDescent="0.25">
      <c r="A4042" s="36">
        <v>42916</v>
      </c>
      <c r="B4042" s="18">
        <v>118143</v>
      </c>
      <c r="C4042" s="235" t="s">
        <v>19677</v>
      </c>
      <c r="D4042" s="248" t="s">
        <v>95</v>
      </c>
      <c r="E4042" s="15">
        <v>0</v>
      </c>
      <c r="F4042" s="243" t="s">
        <v>95</v>
      </c>
      <c r="G4042" s="15">
        <v>0</v>
      </c>
      <c r="H4042" s="15">
        <f t="shared" si="63"/>
        <v>0</v>
      </c>
      <c r="I4042" s="236" t="s">
        <v>19678</v>
      </c>
    </row>
    <row r="4043" spans="1:9" x14ac:dyDescent="0.25">
      <c r="A4043" s="242">
        <v>42916</v>
      </c>
      <c r="B4043" s="18">
        <v>118144</v>
      </c>
      <c r="C4043" s="235" t="s">
        <v>19677</v>
      </c>
      <c r="D4043" s="236" t="s">
        <v>15328</v>
      </c>
      <c r="E4043" s="15">
        <v>59685.9</v>
      </c>
      <c r="F4043" s="266">
        <v>42934</v>
      </c>
      <c r="G4043" s="35">
        <v>59685.9</v>
      </c>
      <c r="H4043" s="15">
        <f t="shared" si="63"/>
        <v>0</v>
      </c>
      <c r="I4043" s="236" t="s">
        <v>19682</v>
      </c>
    </row>
    <row r="4044" spans="1:9" x14ac:dyDescent="0.25">
      <c r="A4044" s="36">
        <v>42916</v>
      </c>
      <c r="B4044" s="18">
        <v>118145</v>
      </c>
      <c r="C4044" s="235" t="s">
        <v>19677</v>
      </c>
      <c r="D4044" s="236" t="s">
        <v>15423</v>
      </c>
      <c r="E4044" s="15">
        <v>2468.4</v>
      </c>
      <c r="F4044" s="237">
        <v>42916</v>
      </c>
      <c r="G4044" s="15">
        <v>2468.4</v>
      </c>
      <c r="H4044" s="15">
        <f t="shared" si="63"/>
        <v>0</v>
      </c>
      <c r="I4044" s="236" t="s">
        <v>19682</v>
      </c>
    </row>
    <row r="4045" spans="1:9" x14ac:dyDescent="0.25">
      <c r="A4045" s="242">
        <v>42916</v>
      </c>
      <c r="B4045" s="18">
        <v>118146</v>
      </c>
      <c r="C4045" s="235" t="s">
        <v>19677</v>
      </c>
      <c r="D4045" s="236" t="s">
        <v>19779</v>
      </c>
      <c r="E4045" s="15">
        <v>8544.2000000000007</v>
      </c>
      <c r="F4045" s="237">
        <v>42917</v>
      </c>
      <c r="G4045" s="15">
        <v>8544.2000000000007</v>
      </c>
      <c r="H4045" s="15">
        <f t="shared" si="63"/>
        <v>0</v>
      </c>
      <c r="I4045" s="236" t="s">
        <v>19682</v>
      </c>
    </row>
    <row r="4046" spans="1:9" x14ac:dyDescent="0.25">
      <c r="A4046" s="36">
        <v>42916</v>
      </c>
      <c r="B4046" s="18">
        <v>118147</v>
      </c>
      <c r="C4046" s="235" t="s">
        <v>19677</v>
      </c>
      <c r="D4046" s="236" t="s">
        <v>15541</v>
      </c>
      <c r="E4046" s="15">
        <v>2539</v>
      </c>
      <c r="F4046" s="237">
        <v>42917</v>
      </c>
      <c r="G4046" s="15">
        <v>2539</v>
      </c>
      <c r="H4046" s="15">
        <f t="shared" si="63"/>
        <v>0</v>
      </c>
      <c r="I4046" s="236" t="s">
        <v>19682</v>
      </c>
    </row>
    <row r="4047" spans="1:9" x14ac:dyDescent="0.25">
      <c r="A4047" s="242">
        <v>42916</v>
      </c>
      <c r="B4047" s="18">
        <v>118148</v>
      </c>
      <c r="C4047" s="235" t="s">
        <v>19677</v>
      </c>
      <c r="D4047" s="236" t="s">
        <v>15315</v>
      </c>
      <c r="E4047" s="15">
        <v>428.4</v>
      </c>
      <c r="F4047" s="237">
        <v>42916</v>
      </c>
      <c r="G4047" s="15">
        <v>428.4</v>
      </c>
      <c r="H4047" s="15">
        <f t="shared" si="63"/>
        <v>0</v>
      </c>
      <c r="I4047" s="236" t="s">
        <v>19682</v>
      </c>
    </row>
    <row r="4048" spans="1:9" x14ac:dyDescent="0.25">
      <c r="A4048" s="36">
        <v>42916</v>
      </c>
      <c r="B4048" s="18">
        <v>118149</v>
      </c>
      <c r="C4048" s="235" t="s">
        <v>19677</v>
      </c>
      <c r="D4048" s="236" t="s">
        <v>15435</v>
      </c>
      <c r="E4048" s="15">
        <v>8643.6</v>
      </c>
      <c r="F4048" s="237">
        <v>42916</v>
      </c>
      <c r="G4048" s="15">
        <v>8643.6</v>
      </c>
      <c r="H4048" s="15">
        <f t="shared" si="63"/>
        <v>0</v>
      </c>
      <c r="I4048" s="236" t="s">
        <v>19682</v>
      </c>
    </row>
    <row r="4049" spans="1:9" x14ac:dyDescent="0.25">
      <c r="A4049" s="242">
        <v>42916</v>
      </c>
      <c r="B4049" s="18">
        <v>118150</v>
      </c>
      <c r="C4049" s="235" t="s">
        <v>19677</v>
      </c>
      <c r="D4049" s="236" t="s">
        <v>15380</v>
      </c>
      <c r="E4049" s="15">
        <v>3500</v>
      </c>
      <c r="F4049" s="266">
        <v>42930</v>
      </c>
      <c r="G4049" s="35">
        <v>3500</v>
      </c>
      <c r="H4049" s="15">
        <f t="shared" si="63"/>
        <v>0</v>
      </c>
      <c r="I4049" s="236" t="s">
        <v>19682</v>
      </c>
    </row>
    <row r="4050" spans="1:9" x14ac:dyDescent="0.25">
      <c r="A4050" s="36">
        <v>42916</v>
      </c>
      <c r="B4050" s="18">
        <v>118151</v>
      </c>
      <c r="C4050" s="235" t="s">
        <v>19677</v>
      </c>
      <c r="D4050" s="236" t="s">
        <v>15407</v>
      </c>
      <c r="E4050" s="15">
        <v>5963.4</v>
      </c>
      <c r="F4050" s="237">
        <v>42916</v>
      </c>
      <c r="G4050" s="15">
        <v>5963.4</v>
      </c>
      <c r="H4050" s="15">
        <f t="shared" si="63"/>
        <v>0</v>
      </c>
      <c r="I4050" s="236" t="s">
        <v>19682</v>
      </c>
    </row>
    <row r="4051" spans="1:9" x14ac:dyDescent="0.25">
      <c r="A4051" s="242">
        <v>42916</v>
      </c>
      <c r="B4051" s="18">
        <v>118152</v>
      </c>
      <c r="C4051" s="235" t="s">
        <v>19677</v>
      </c>
      <c r="D4051" s="236" t="s">
        <v>15644</v>
      </c>
      <c r="E4051" s="15">
        <v>3473.1</v>
      </c>
      <c r="F4051" s="237">
        <v>42917</v>
      </c>
      <c r="G4051" s="15">
        <v>3473.1</v>
      </c>
      <c r="H4051" s="15">
        <f t="shared" si="63"/>
        <v>0</v>
      </c>
      <c r="I4051" s="236" t="s">
        <v>19682</v>
      </c>
    </row>
    <row r="4052" spans="1:9" x14ac:dyDescent="0.25">
      <c r="A4052" s="36">
        <v>42916</v>
      </c>
      <c r="B4052" s="18">
        <v>118153</v>
      </c>
      <c r="C4052" s="235" t="s">
        <v>19677</v>
      </c>
      <c r="D4052" s="236" t="s">
        <v>15250</v>
      </c>
      <c r="E4052" s="15">
        <v>44907</v>
      </c>
      <c r="F4052" s="266">
        <v>42931</v>
      </c>
      <c r="G4052" s="35">
        <v>44907</v>
      </c>
      <c r="H4052" s="15">
        <f t="shared" si="63"/>
        <v>0</v>
      </c>
      <c r="I4052" s="236" t="s">
        <v>19682</v>
      </c>
    </row>
    <row r="4053" spans="1:9" x14ac:dyDescent="0.25">
      <c r="A4053" s="242">
        <v>42916</v>
      </c>
      <c r="B4053" s="18">
        <v>118154</v>
      </c>
      <c r="C4053" s="235" t="s">
        <v>19677</v>
      </c>
      <c r="D4053" s="236" t="s">
        <v>15590</v>
      </c>
      <c r="E4053" s="15">
        <v>4963.3999999999996</v>
      </c>
      <c r="F4053" s="266">
        <v>42928</v>
      </c>
      <c r="G4053" s="35">
        <v>4963.3999999999996</v>
      </c>
      <c r="H4053" s="15">
        <f t="shared" si="63"/>
        <v>0</v>
      </c>
      <c r="I4053" s="236" t="s">
        <v>19682</v>
      </c>
    </row>
    <row r="4054" spans="1:9" ht="15.75" thickBot="1" x14ac:dyDescent="0.3">
      <c r="A4054" s="36">
        <v>42916</v>
      </c>
      <c r="B4054" s="18">
        <v>118155</v>
      </c>
      <c r="C4054" s="235" t="s">
        <v>19677</v>
      </c>
      <c r="D4054" s="236" t="s">
        <v>15590</v>
      </c>
      <c r="E4054" s="15">
        <v>3247.2</v>
      </c>
      <c r="F4054" s="266">
        <v>42928</v>
      </c>
      <c r="G4054" s="35">
        <v>3247.2</v>
      </c>
      <c r="H4054" s="15">
        <f t="shared" si="63"/>
        <v>0</v>
      </c>
      <c r="I4054" s="236" t="s">
        <v>19682</v>
      </c>
    </row>
    <row r="4055" spans="1:9" ht="35.25" customHeight="1" thickBot="1" x14ac:dyDescent="0.4">
      <c r="D4055" s="256" t="s">
        <v>19782</v>
      </c>
      <c r="E4055" s="257">
        <f>SUM(E2:E4054)</f>
        <v>53815354.470000088</v>
      </c>
      <c r="F4055" s="258"/>
      <c r="G4055" s="259">
        <f>SUM(G2:G4054)</f>
        <v>53793140.680000082</v>
      </c>
      <c r="H4055" s="260">
        <f>SUM(H2:H4054)</f>
        <v>22213.789999999997</v>
      </c>
    </row>
    <row r="4058" spans="1:9" x14ac:dyDescent="0.25">
      <c r="G4058" s="2" t="s">
        <v>19783</v>
      </c>
    </row>
  </sheetData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C93C8-21E3-4BF2-B02A-BCB652D2B48D}">
  <sheetPr>
    <tabColor rgb="FFFF99FF"/>
  </sheetPr>
  <dimension ref="A1:I3824"/>
  <sheetViews>
    <sheetView topLeftCell="A1218" zoomScaleNormal="100" workbookViewId="0">
      <pane xSplit="3" topLeftCell="E1" activePane="topRight" state="frozen"/>
      <selection pane="topRight" activeCell="F1222" sqref="F1222"/>
    </sheetView>
  </sheetViews>
  <sheetFormatPr baseColWidth="10" defaultRowHeight="15" x14ac:dyDescent="0.25"/>
  <cols>
    <col min="1" max="1" width="13" style="16" customWidth="1"/>
    <col min="2" max="2" width="13" style="18" bestFit="1" customWidth="1"/>
    <col min="3" max="3" width="16.7109375" hidden="1" customWidth="1"/>
    <col min="4" max="4" width="45.7109375" style="2" bestFit="1" customWidth="1"/>
    <col min="5" max="5" width="21" style="15" bestFit="1" customWidth="1"/>
    <col min="6" max="6" width="13.7109375" style="274" customWidth="1"/>
    <col min="7" max="7" width="21" style="15" bestFit="1" customWidth="1"/>
    <col min="8" max="8" width="17.5703125" style="15" customWidth="1"/>
    <col min="9" max="9" width="11.7109375" bestFit="1" customWidth="1"/>
  </cols>
  <sheetData>
    <row r="1" spans="1:9" ht="32.25" customHeight="1" x14ac:dyDescent="0.3">
      <c r="A1" s="269" t="s">
        <v>19811</v>
      </c>
      <c r="B1" s="270" t="s">
        <v>19812</v>
      </c>
      <c r="C1" s="271" t="s">
        <v>19813</v>
      </c>
      <c r="D1" s="270" t="s">
        <v>19671</v>
      </c>
      <c r="E1" s="272" t="s">
        <v>19672</v>
      </c>
      <c r="F1" s="269" t="s">
        <v>19814</v>
      </c>
      <c r="G1" s="272" t="s">
        <v>19815</v>
      </c>
      <c r="H1" s="272" t="s">
        <v>19816</v>
      </c>
      <c r="I1" s="271" t="s">
        <v>19675</v>
      </c>
    </row>
    <row r="2" spans="1:9" ht="32.25" customHeight="1" x14ac:dyDescent="0.25">
      <c r="A2" s="16">
        <v>42917</v>
      </c>
      <c r="B2" s="273" t="s">
        <v>19817</v>
      </c>
      <c r="C2">
        <v>118156</v>
      </c>
      <c r="D2" s="236" t="s">
        <v>15213</v>
      </c>
      <c r="E2" s="15">
        <v>11185.6</v>
      </c>
      <c r="F2" s="274">
        <v>42919</v>
      </c>
      <c r="G2" s="15">
        <v>11185.6</v>
      </c>
      <c r="H2" s="15">
        <f>Tabla1[[#This Row],[Importe]]-Tabla1[[#This Row],[Pagado]]</f>
        <v>0</v>
      </c>
      <c r="I2" s="275" t="s">
        <v>15214</v>
      </c>
    </row>
    <row r="3" spans="1:9" ht="32.25" customHeight="1" x14ac:dyDescent="0.25">
      <c r="A3" s="16">
        <v>42917</v>
      </c>
      <c r="B3" s="273" t="s">
        <v>19818</v>
      </c>
      <c r="C3">
        <v>118157</v>
      </c>
      <c r="D3" s="236" t="s">
        <v>15213</v>
      </c>
      <c r="E3" s="15">
        <v>42385.8</v>
      </c>
      <c r="F3" s="274">
        <v>42919</v>
      </c>
      <c r="G3" s="15">
        <v>42385.8</v>
      </c>
      <c r="H3" s="15">
        <f>Tabla1[[#This Row],[Importe]]-Tabla1[[#This Row],[Pagado]]</f>
        <v>0</v>
      </c>
      <c r="I3" s="275" t="s">
        <v>15214</v>
      </c>
    </row>
    <row r="4" spans="1:9" x14ac:dyDescent="0.25">
      <c r="A4" s="16">
        <v>42917</v>
      </c>
      <c r="B4" s="273" t="s">
        <v>19819</v>
      </c>
      <c r="C4">
        <v>118158</v>
      </c>
      <c r="D4" s="236" t="s">
        <v>15272</v>
      </c>
      <c r="E4" s="15">
        <v>45604.2</v>
      </c>
      <c r="F4" s="274">
        <v>42917</v>
      </c>
      <c r="G4" s="15">
        <v>45604.2</v>
      </c>
      <c r="H4" s="15">
        <f>Tabla1[[#This Row],[Importe]]-Tabla1[[#This Row],[Pagado]]</f>
        <v>0</v>
      </c>
      <c r="I4" s="275" t="s">
        <v>15214</v>
      </c>
    </row>
    <row r="5" spans="1:9" x14ac:dyDescent="0.25">
      <c r="A5" s="16">
        <v>42917</v>
      </c>
      <c r="B5" s="273" t="s">
        <v>19820</v>
      </c>
      <c r="C5">
        <v>118159</v>
      </c>
      <c r="D5" s="236" t="s">
        <v>15230</v>
      </c>
      <c r="E5" s="15">
        <v>28060.400000000001</v>
      </c>
      <c r="F5" s="274">
        <v>42920</v>
      </c>
      <c r="G5" s="15">
        <v>28060.400000000001</v>
      </c>
      <c r="H5" s="15">
        <f>Tabla1[[#This Row],[Importe]]-Tabla1[[#This Row],[Pagado]]</f>
        <v>0</v>
      </c>
      <c r="I5" s="275" t="s">
        <v>15214</v>
      </c>
    </row>
    <row r="6" spans="1:9" x14ac:dyDescent="0.25">
      <c r="A6" s="16">
        <v>42917</v>
      </c>
      <c r="B6" s="273" t="s">
        <v>19821</v>
      </c>
      <c r="C6">
        <v>118160</v>
      </c>
      <c r="D6" s="236" t="s">
        <v>15334</v>
      </c>
      <c r="E6" s="15">
        <v>2080</v>
      </c>
      <c r="F6" s="274">
        <v>42917</v>
      </c>
      <c r="G6" s="15">
        <v>2080</v>
      </c>
      <c r="H6" s="15">
        <f>Tabla1[[#This Row],[Importe]]-Tabla1[[#This Row],[Pagado]]</f>
        <v>0</v>
      </c>
      <c r="I6" s="275" t="s">
        <v>15214</v>
      </c>
    </row>
    <row r="7" spans="1:9" x14ac:dyDescent="0.25">
      <c r="A7" s="16">
        <v>42917</v>
      </c>
      <c r="B7" s="273" t="s">
        <v>19822</v>
      </c>
      <c r="C7">
        <v>118161</v>
      </c>
      <c r="D7" s="236" t="s">
        <v>15232</v>
      </c>
      <c r="E7" s="15">
        <v>12275.4</v>
      </c>
      <c r="F7" s="274">
        <v>42922</v>
      </c>
      <c r="G7" s="15">
        <v>12275.4</v>
      </c>
      <c r="H7" s="15">
        <f>Tabla1[[#This Row],[Importe]]-Tabla1[[#This Row],[Pagado]]</f>
        <v>0</v>
      </c>
      <c r="I7" s="275" t="s">
        <v>15214</v>
      </c>
    </row>
    <row r="8" spans="1:9" x14ac:dyDescent="0.25">
      <c r="A8" s="16">
        <v>42917</v>
      </c>
      <c r="B8" s="273" t="s">
        <v>19823</v>
      </c>
      <c r="C8">
        <v>118162</v>
      </c>
      <c r="D8" s="236" t="s">
        <v>15242</v>
      </c>
      <c r="E8" s="15">
        <v>19692</v>
      </c>
      <c r="F8" s="274">
        <v>42917</v>
      </c>
      <c r="G8" s="15">
        <v>19692</v>
      </c>
      <c r="H8" s="15">
        <f>Tabla1[[#This Row],[Importe]]-Tabla1[[#This Row],[Pagado]]</f>
        <v>0</v>
      </c>
      <c r="I8" s="275" t="s">
        <v>15214</v>
      </c>
    </row>
    <row r="9" spans="1:9" ht="30" x14ac:dyDescent="0.25">
      <c r="A9" s="16">
        <v>42917</v>
      </c>
      <c r="B9" s="273" t="s">
        <v>19824</v>
      </c>
      <c r="C9">
        <v>118163</v>
      </c>
      <c r="D9" s="236" t="s">
        <v>15258</v>
      </c>
      <c r="E9" s="15">
        <v>28556.6</v>
      </c>
      <c r="F9" s="274" t="s">
        <v>19825</v>
      </c>
      <c r="G9" s="241">
        <f>5000+23556.6</f>
        <v>28556.6</v>
      </c>
      <c r="H9" s="241">
        <f>Tabla1[[#This Row],[Importe]]-Tabla1[[#This Row],[Pagado]]</f>
        <v>0</v>
      </c>
      <c r="I9" s="275" t="s">
        <v>15214</v>
      </c>
    </row>
    <row r="10" spans="1:9" x14ac:dyDescent="0.25">
      <c r="A10" s="16">
        <v>42917</v>
      </c>
      <c r="B10" s="273" t="s">
        <v>19826</v>
      </c>
      <c r="C10">
        <v>118164</v>
      </c>
      <c r="D10" s="236" t="s">
        <v>15220</v>
      </c>
      <c r="E10" s="15">
        <v>5635</v>
      </c>
      <c r="F10" s="274">
        <v>42917</v>
      </c>
      <c r="G10" s="15">
        <v>5635</v>
      </c>
      <c r="H10" s="15">
        <f>Tabla1[[#This Row],[Importe]]-Tabla1[[#This Row],[Pagado]]</f>
        <v>0</v>
      </c>
      <c r="I10" s="275" t="s">
        <v>15214</v>
      </c>
    </row>
    <row r="11" spans="1:9" x14ac:dyDescent="0.25">
      <c r="A11" s="16">
        <v>42917</v>
      </c>
      <c r="B11" s="273" t="s">
        <v>19827</v>
      </c>
      <c r="C11">
        <v>118165</v>
      </c>
      <c r="D11" s="236" t="s">
        <v>17462</v>
      </c>
      <c r="E11" s="15">
        <v>10929.3</v>
      </c>
      <c r="F11" s="274">
        <v>42917</v>
      </c>
      <c r="G11" s="15">
        <v>10929.3</v>
      </c>
      <c r="H11" s="15">
        <f>Tabla1[[#This Row],[Importe]]-Tabla1[[#This Row],[Pagado]]</f>
        <v>0</v>
      </c>
      <c r="I11" s="275" t="s">
        <v>15214</v>
      </c>
    </row>
    <row r="12" spans="1:9" x14ac:dyDescent="0.25">
      <c r="A12" s="16">
        <v>42917</v>
      </c>
      <c r="B12" s="273" t="s">
        <v>19828</v>
      </c>
      <c r="C12">
        <v>118166</v>
      </c>
      <c r="D12" s="236" t="s">
        <v>15480</v>
      </c>
      <c r="E12" s="15">
        <v>12299.8</v>
      </c>
      <c r="F12" s="274">
        <v>42920</v>
      </c>
      <c r="G12" s="15">
        <v>12299.8</v>
      </c>
      <c r="H12" s="15">
        <f>Tabla1[[#This Row],[Importe]]-Tabla1[[#This Row],[Pagado]]</f>
        <v>0</v>
      </c>
      <c r="I12" s="275" t="s">
        <v>15214</v>
      </c>
    </row>
    <row r="13" spans="1:9" x14ac:dyDescent="0.25">
      <c r="A13" s="16">
        <v>42917</v>
      </c>
      <c r="B13" s="273" t="s">
        <v>19829</v>
      </c>
      <c r="C13">
        <v>118167</v>
      </c>
      <c r="D13" s="236" t="s">
        <v>15256</v>
      </c>
      <c r="E13" s="15">
        <v>10649.8</v>
      </c>
      <c r="F13" s="274">
        <v>42920</v>
      </c>
      <c r="G13" s="15">
        <v>10649.8</v>
      </c>
      <c r="H13" s="15">
        <f>Tabla1[[#This Row],[Importe]]-Tabla1[[#This Row],[Pagado]]</f>
        <v>0</v>
      </c>
      <c r="I13" s="275" t="s">
        <v>15214</v>
      </c>
    </row>
    <row r="14" spans="1:9" x14ac:dyDescent="0.25">
      <c r="A14" s="16">
        <v>42917</v>
      </c>
      <c r="B14" s="273" t="s">
        <v>19830</v>
      </c>
      <c r="C14">
        <v>118168</v>
      </c>
      <c r="D14" s="236" t="s">
        <v>15250</v>
      </c>
      <c r="E14" s="15">
        <v>98958.42</v>
      </c>
      <c r="F14" s="274">
        <v>42931</v>
      </c>
      <c r="G14" s="15">
        <v>98958.42</v>
      </c>
      <c r="H14" s="15">
        <f>Tabla1[[#This Row],[Importe]]-Tabla1[[#This Row],[Pagado]]</f>
        <v>0</v>
      </c>
      <c r="I14" s="275" t="s">
        <v>15214</v>
      </c>
    </row>
    <row r="15" spans="1:9" x14ac:dyDescent="0.25">
      <c r="A15" s="16">
        <v>42917</v>
      </c>
      <c r="B15" s="273" t="s">
        <v>19831</v>
      </c>
      <c r="C15">
        <v>118169</v>
      </c>
      <c r="D15" s="236" t="s">
        <v>5873</v>
      </c>
      <c r="E15" s="15">
        <v>33090.21</v>
      </c>
      <c r="F15" s="274">
        <v>42917</v>
      </c>
      <c r="G15" s="15">
        <v>33090.21</v>
      </c>
      <c r="H15" s="15">
        <f>Tabla1[[#This Row],[Importe]]-Tabla1[[#This Row],[Pagado]]</f>
        <v>0</v>
      </c>
      <c r="I15" s="275" t="s">
        <v>15214</v>
      </c>
    </row>
    <row r="16" spans="1:9" ht="15.75" x14ac:dyDescent="0.25">
      <c r="A16" s="16">
        <v>42917</v>
      </c>
      <c r="B16" s="273" t="s">
        <v>19832</v>
      </c>
      <c r="C16">
        <v>118170</v>
      </c>
      <c r="D16" s="248" t="s">
        <v>95</v>
      </c>
      <c r="E16" s="15">
        <v>0</v>
      </c>
      <c r="G16" s="15">
        <v>0</v>
      </c>
      <c r="H16" s="15">
        <f>Tabla1[[#This Row],[Importe]]-Tabla1[[#This Row],[Pagado]]</f>
        <v>0</v>
      </c>
      <c r="I16" s="275" t="s">
        <v>95</v>
      </c>
    </row>
    <row r="17" spans="1:9" x14ac:dyDescent="0.25">
      <c r="A17" s="16">
        <v>42917</v>
      </c>
      <c r="B17" s="273" t="s">
        <v>19833</v>
      </c>
      <c r="C17">
        <v>118171</v>
      </c>
      <c r="D17" s="236" t="s">
        <v>15248</v>
      </c>
      <c r="E17" s="15">
        <v>21480.58</v>
      </c>
      <c r="F17" s="274">
        <v>42917</v>
      </c>
      <c r="G17" s="15">
        <v>21480.58</v>
      </c>
      <c r="H17" s="15">
        <f>Tabla1[[#This Row],[Importe]]-Tabla1[[#This Row],[Pagado]]</f>
        <v>0</v>
      </c>
      <c r="I17" s="275" t="s">
        <v>15214</v>
      </c>
    </row>
    <row r="18" spans="1:9" ht="30" x14ac:dyDescent="0.25">
      <c r="A18" s="16">
        <v>42917</v>
      </c>
      <c r="B18" s="273" t="s">
        <v>19834</v>
      </c>
      <c r="C18">
        <v>118172</v>
      </c>
      <c r="D18" s="236" t="s">
        <v>19780</v>
      </c>
      <c r="E18" s="15">
        <v>10979.8</v>
      </c>
      <c r="F18" s="276" t="s">
        <v>19835</v>
      </c>
      <c r="G18" s="15">
        <f>2978.61+8001.19</f>
        <v>10979.8</v>
      </c>
      <c r="H18" s="15">
        <f>Tabla1[[#This Row],[Importe]]-Tabla1[[#This Row],[Pagado]]</f>
        <v>0</v>
      </c>
      <c r="I18" s="275" t="s">
        <v>15214</v>
      </c>
    </row>
    <row r="19" spans="1:9" x14ac:dyDescent="0.25">
      <c r="A19" s="16">
        <v>42917</v>
      </c>
      <c r="B19" s="273" t="s">
        <v>19836</v>
      </c>
      <c r="C19">
        <v>118173</v>
      </c>
      <c r="D19" s="236" t="s">
        <v>15442</v>
      </c>
      <c r="E19" s="15">
        <v>1561.6</v>
      </c>
      <c r="F19" s="274">
        <v>42917</v>
      </c>
      <c r="G19" s="15">
        <v>1561.6</v>
      </c>
      <c r="H19" s="15">
        <f>Tabla1[[#This Row],[Importe]]-Tabla1[[#This Row],[Pagado]]</f>
        <v>0</v>
      </c>
      <c r="I19" s="275" t="s">
        <v>15214</v>
      </c>
    </row>
    <row r="20" spans="1:9" x14ac:dyDescent="0.25">
      <c r="A20" s="16">
        <v>42917</v>
      </c>
      <c r="B20" s="273" t="s">
        <v>19837</v>
      </c>
      <c r="C20">
        <v>118174</v>
      </c>
      <c r="D20" s="236" t="s">
        <v>15668</v>
      </c>
      <c r="E20" s="15">
        <v>25746.3</v>
      </c>
      <c r="F20" s="274">
        <v>42919</v>
      </c>
      <c r="G20" s="15">
        <v>25746.3</v>
      </c>
      <c r="H20" s="15">
        <f>Tabla1[[#This Row],[Importe]]-Tabla1[[#This Row],[Pagado]]</f>
        <v>0</v>
      </c>
      <c r="I20" s="275" t="s">
        <v>15214</v>
      </c>
    </row>
    <row r="21" spans="1:9" ht="30" x14ac:dyDescent="0.25">
      <c r="A21" s="16">
        <v>42917</v>
      </c>
      <c r="B21" s="273" t="s">
        <v>19838</v>
      </c>
      <c r="C21">
        <v>118175</v>
      </c>
      <c r="D21" s="236" t="s">
        <v>15223</v>
      </c>
      <c r="E21" s="15">
        <v>54171</v>
      </c>
      <c r="F21" s="274" t="s">
        <v>19839</v>
      </c>
      <c r="G21" s="241">
        <f>37499.95+16671.05</f>
        <v>54171</v>
      </c>
      <c r="H21" s="241">
        <f>Tabla1[[#This Row],[Importe]]-Tabla1[[#This Row],[Pagado]]</f>
        <v>0</v>
      </c>
      <c r="I21" s="275" t="s">
        <v>15214</v>
      </c>
    </row>
    <row r="22" spans="1:9" x14ac:dyDescent="0.25">
      <c r="A22" s="16">
        <v>42917</v>
      </c>
      <c r="B22" s="273" t="s">
        <v>19840</v>
      </c>
      <c r="C22">
        <v>118176</v>
      </c>
      <c r="D22" s="236" t="s">
        <v>17235</v>
      </c>
      <c r="E22" s="15">
        <v>1225</v>
      </c>
      <c r="F22" s="274">
        <v>42917</v>
      </c>
      <c r="G22" s="15">
        <v>1225</v>
      </c>
      <c r="H22" s="15">
        <f>Tabla1[[#This Row],[Importe]]-Tabla1[[#This Row],[Pagado]]</f>
        <v>0</v>
      </c>
      <c r="I22" s="275" t="s">
        <v>15214</v>
      </c>
    </row>
    <row r="23" spans="1:9" x14ac:dyDescent="0.25">
      <c r="A23" s="16">
        <v>42917</v>
      </c>
      <c r="B23" s="273" t="s">
        <v>19841</v>
      </c>
      <c r="C23">
        <v>118177</v>
      </c>
      <c r="D23" s="236" t="s">
        <v>15234</v>
      </c>
      <c r="E23" s="15">
        <v>6822.4</v>
      </c>
      <c r="F23" s="274">
        <v>42920</v>
      </c>
      <c r="G23" s="15">
        <v>6822.4</v>
      </c>
      <c r="H23" s="15">
        <f>Tabla1[[#This Row],[Importe]]-Tabla1[[#This Row],[Pagado]]</f>
        <v>0</v>
      </c>
      <c r="I23" s="275" t="s">
        <v>15214</v>
      </c>
    </row>
    <row r="24" spans="1:9" x14ac:dyDescent="0.25">
      <c r="A24" s="16">
        <v>42917</v>
      </c>
      <c r="B24" s="273" t="s">
        <v>19842</v>
      </c>
      <c r="C24">
        <v>118178</v>
      </c>
      <c r="D24" s="236" t="s">
        <v>17929</v>
      </c>
      <c r="E24" s="15">
        <v>1300</v>
      </c>
      <c r="F24" s="274">
        <v>42917</v>
      </c>
      <c r="G24" s="15">
        <v>1300</v>
      </c>
      <c r="H24" s="15">
        <f>Tabla1[[#This Row],[Importe]]-Tabla1[[#This Row],[Pagado]]</f>
        <v>0</v>
      </c>
      <c r="I24" s="275" t="s">
        <v>15214</v>
      </c>
    </row>
    <row r="25" spans="1:9" x14ac:dyDescent="0.25">
      <c r="A25" s="16">
        <v>42917</v>
      </c>
      <c r="B25" s="273" t="s">
        <v>19843</v>
      </c>
      <c r="C25">
        <v>118179</v>
      </c>
      <c r="D25" s="236" t="s">
        <v>15284</v>
      </c>
      <c r="E25" s="15">
        <v>2729.7</v>
      </c>
      <c r="F25" s="274">
        <v>42917</v>
      </c>
      <c r="G25" s="241">
        <v>2729.7</v>
      </c>
      <c r="H25" s="241">
        <f>Tabla1[[#This Row],[Importe]]-Tabla1[[#This Row],[Pagado]]</f>
        <v>0</v>
      </c>
      <c r="I25" s="275" t="s">
        <v>15214</v>
      </c>
    </row>
    <row r="26" spans="1:9" ht="30" x14ac:dyDescent="0.25">
      <c r="A26" s="16">
        <v>42917</v>
      </c>
      <c r="B26" s="273" t="s">
        <v>19844</v>
      </c>
      <c r="C26">
        <v>118180</v>
      </c>
      <c r="D26" s="236" t="s">
        <v>15236</v>
      </c>
      <c r="E26" s="15">
        <v>9626.7999999999993</v>
      </c>
      <c r="F26" s="274" t="s">
        <v>19825</v>
      </c>
      <c r="G26" s="241">
        <f>8650+976.8</f>
        <v>9626.7999999999993</v>
      </c>
      <c r="H26" s="241">
        <f>Tabla1[[#This Row],[Importe]]-Tabla1[[#This Row],[Pagado]]</f>
        <v>0</v>
      </c>
      <c r="I26" s="275" t="s">
        <v>15214</v>
      </c>
    </row>
    <row r="27" spans="1:9" ht="15.75" x14ac:dyDescent="0.25">
      <c r="A27" s="16">
        <v>42917</v>
      </c>
      <c r="B27" s="273" t="s">
        <v>19845</v>
      </c>
      <c r="C27">
        <v>118181</v>
      </c>
      <c r="D27" s="248" t="s">
        <v>95</v>
      </c>
      <c r="E27" s="15">
        <v>0</v>
      </c>
      <c r="F27" s="274" t="s">
        <v>19846</v>
      </c>
      <c r="G27" s="15">
        <v>0</v>
      </c>
      <c r="H27" s="15">
        <f>Tabla1[[#This Row],[Importe]]-Tabla1[[#This Row],[Pagado]]</f>
        <v>0</v>
      </c>
      <c r="I27" s="275" t="s">
        <v>95</v>
      </c>
    </row>
    <row r="28" spans="1:9" x14ac:dyDescent="0.25">
      <c r="A28" s="16">
        <v>42917</v>
      </c>
      <c r="B28" s="273" t="s">
        <v>19847</v>
      </c>
      <c r="C28">
        <v>118182</v>
      </c>
      <c r="D28" s="236" t="s">
        <v>19302</v>
      </c>
      <c r="E28" s="15">
        <v>6186.4</v>
      </c>
      <c r="F28" s="274">
        <v>42917</v>
      </c>
      <c r="G28" s="15">
        <v>6186.4</v>
      </c>
      <c r="H28" s="15">
        <f>Tabla1[[#This Row],[Importe]]-Tabla1[[#This Row],[Pagado]]</f>
        <v>0</v>
      </c>
      <c r="I28" s="275" t="s">
        <v>15214</v>
      </c>
    </row>
    <row r="29" spans="1:9" ht="30" x14ac:dyDescent="0.25">
      <c r="A29" s="16">
        <v>42917</v>
      </c>
      <c r="B29" s="273" t="s">
        <v>19848</v>
      </c>
      <c r="C29">
        <v>118183</v>
      </c>
      <c r="D29" s="236" t="s">
        <v>5575</v>
      </c>
      <c r="E29" s="15">
        <v>11218.87</v>
      </c>
      <c r="F29" s="274" t="s">
        <v>19825</v>
      </c>
      <c r="G29" s="241">
        <f>8000+3218.87</f>
        <v>11218.869999999999</v>
      </c>
      <c r="H29" s="241">
        <f>Tabla1[[#This Row],[Importe]]-Tabla1[[#This Row],[Pagado]]</f>
        <v>0</v>
      </c>
      <c r="I29" s="275" t="s">
        <v>15214</v>
      </c>
    </row>
    <row r="30" spans="1:9" x14ac:dyDescent="0.25">
      <c r="A30" s="16">
        <v>42917</v>
      </c>
      <c r="B30" s="273" t="s">
        <v>19849</v>
      </c>
      <c r="C30">
        <v>118184</v>
      </c>
      <c r="D30" s="236" t="s">
        <v>15226</v>
      </c>
      <c r="E30" s="15">
        <v>1855</v>
      </c>
      <c r="F30" s="274">
        <v>42919</v>
      </c>
      <c r="G30" s="15">
        <v>1855</v>
      </c>
      <c r="H30" s="15">
        <f>Tabla1[[#This Row],[Importe]]-Tabla1[[#This Row],[Pagado]]</f>
        <v>0</v>
      </c>
      <c r="I30" s="275" t="s">
        <v>15214</v>
      </c>
    </row>
    <row r="31" spans="1:9" x14ac:dyDescent="0.25">
      <c r="A31" s="16">
        <v>42917</v>
      </c>
      <c r="B31" s="273" t="s">
        <v>19850</v>
      </c>
      <c r="C31">
        <v>118185</v>
      </c>
      <c r="D31" s="236" t="s">
        <v>15238</v>
      </c>
      <c r="E31" s="15">
        <v>13246.6</v>
      </c>
      <c r="F31" s="274">
        <v>42920</v>
      </c>
      <c r="G31" s="15">
        <v>13246.6</v>
      </c>
      <c r="H31" s="15">
        <f>Tabla1[[#This Row],[Importe]]-Tabla1[[#This Row],[Pagado]]</f>
        <v>0</v>
      </c>
      <c r="I31" s="275" t="s">
        <v>15214</v>
      </c>
    </row>
    <row r="32" spans="1:9" x14ac:dyDescent="0.25">
      <c r="A32" s="16">
        <v>42917</v>
      </c>
      <c r="B32" s="273" t="s">
        <v>19851</v>
      </c>
      <c r="C32">
        <v>118186</v>
      </c>
      <c r="D32" s="236" t="s">
        <v>16023</v>
      </c>
      <c r="E32" s="15">
        <v>2842.8</v>
      </c>
      <c r="F32" s="274">
        <v>42917</v>
      </c>
      <c r="G32" s="15">
        <v>2842.8</v>
      </c>
      <c r="H32" s="15">
        <f>Tabla1[[#This Row],[Importe]]-Tabla1[[#This Row],[Pagado]]</f>
        <v>0</v>
      </c>
      <c r="I32" s="275" t="s">
        <v>15214</v>
      </c>
    </row>
    <row r="33" spans="1:9" x14ac:dyDescent="0.25">
      <c r="A33" s="16">
        <v>42917</v>
      </c>
      <c r="B33" s="273" t="s">
        <v>19852</v>
      </c>
      <c r="C33">
        <v>118187</v>
      </c>
      <c r="D33" s="236" t="s">
        <v>15294</v>
      </c>
      <c r="E33" s="15">
        <v>3819.8</v>
      </c>
      <c r="F33" s="274">
        <v>42917</v>
      </c>
      <c r="G33" s="15">
        <v>3819.8</v>
      </c>
      <c r="H33" s="15">
        <f>Tabla1[[#This Row],[Importe]]-Tabla1[[#This Row],[Pagado]]</f>
        <v>0</v>
      </c>
      <c r="I33" s="275" t="s">
        <v>15214</v>
      </c>
    </row>
    <row r="34" spans="1:9" x14ac:dyDescent="0.25">
      <c r="A34" s="16">
        <v>42917</v>
      </c>
      <c r="B34" s="273" t="s">
        <v>19853</v>
      </c>
      <c r="C34">
        <v>118188</v>
      </c>
      <c r="D34" s="236" t="s">
        <v>15537</v>
      </c>
      <c r="E34" s="15">
        <v>17043.7</v>
      </c>
      <c r="F34" s="274">
        <v>42921</v>
      </c>
      <c r="G34" s="15">
        <v>17043.7</v>
      </c>
      <c r="H34" s="15">
        <f>Tabla1[[#This Row],[Importe]]-Tabla1[[#This Row],[Pagado]]</f>
        <v>0</v>
      </c>
      <c r="I34" s="275" t="s">
        <v>15214</v>
      </c>
    </row>
    <row r="35" spans="1:9" x14ac:dyDescent="0.25">
      <c r="A35" s="16">
        <v>42917</v>
      </c>
      <c r="B35" s="273" t="s">
        <v>19854</v>
      </c>
      <c r="C35">
        <v>118189</v>
      </c>
      <c r="D35" s="236" t="s">
        <v>17277</v>
      </c>
      <c r="E35" s="15">
        <v>1891.5</v>
      </c>
      <c r="F35" s="274">
        <v>42917</v>
      </c>
      <c r="G35" s="15">
        <v>1891.5</v>
      </c>
      <c r="H35" s="15">
        <f>Tabla1[[#This Row],[Importe]]-Tabla1[[#This Row],[Pagado]]</f>
        <v>0</v>
      </c>
      <c r="I35" s="275" t="s">
        <v>15214</v>
      </c>
    </row>
    <row r="36" spans="1:9" x14ac:dyDescent="0.25">
      <c r="A36" s="16">
        <v>42917</v>
      </c>
      <c r="B36" s="273" t="s">
        <v>19855</v>
      </c>
      <c r="C36">
        <v>118190</v>
      </c>
      <c r="D36" s="236" t="s">
        <v>15267</v>
      </c>
      <c r="E36" s="15">
        <v>32571.360000000001</v>
      </c>
      <c r="F36" s="274">
        <v>42917</v>
      </c>
      <c r="G36" s="15">
        <v>32571.360000000001</v>
      </c>
      <c r="H36" s="15">
        <f>Tabla1[[#This Row],[Importe]]-Tabla1[[#This Row],[Pagado]]</f>
        <v>0</v>
      </c>
      <c r="I36" s="275" t="s">
        <v>15214</v>
      </c>
    </row>
    <row r="37" spans="1:9" x14ac:dyDescent="0.25">
      <c r="A37" s="16">
        <v>42917</v>
      </c>
      <c r="B37" s="273" t="s">
        <v>19856</v>
      </c>
      <c r="C37">
        <v>118191</v>
      </c>
      <c r="D37" s="236" t="s">
        <v>15315</v>
      </c>
      <c r="E37" s="15">
        <v>15416</v>
      </c>
      <c r="F37" s="274">
        <v>42921</v>
      </c>
      <c r="G37" s="15">
        <v>15416</v>
      </c>
      <c r="H37" s="15">
        <f>Tabla1[[#This Row],[Importe]]-Tabla1[[#This Row],[Pagado]]</f>
        <v>0</v>
      </c>
      <c r="I37" s="275" t="s">
        <v>15214</v>
      </c>
    </row>
    <row r="38" spans="1:9" x14ac:dyDescent="0.25">
      <c r="A38" s="16">
        <v>42917</v>
      </c>
      <c r="B38" s="273" t="s">
        <v>19857</v>
      </c>
      <c r="C38">
        <v>118192</v>
      </c>
      <c r="D38" s="236" t="s">
        <v>15315</v>
      </c>
      <c r="E38" s="15">
        <v>9011.7999999999993</v>
      </c>
      <c r="F38" s="274">
        <v>42923</v>
      </c>
      <c r="G38" s="15">
        <v>9011.7999999999993</v>
      </c>
      <c r="H38" s="15">
        <f>Tabla1[[#This Row],[Importe]]-Tabla1[[#This Row],[Pagado]]</f>
        <v>0</v>
      </c>
      <c r="I38" s="275" t="s">
        <v>15214</v>
      </c>
    </row>
    <row r="39" spans="1:9" x14ac:dyDescent="0.25">
      <c r="A39" s="16">
        <v>42917</v>
      </c>
      <c r="B39" s="273" t="s">
        <v>19858</v>
      </c>
      <c r="C39">
        <v>118193</v>
      </c>
      <c r="D39" s="236" t="s">
        <v>15289</v>
      </c>
      <c r="E39" s="15">
        <v>832.8</v>
      </c>
      <c r="F39" s="274">
        <v>42917</v>
      </c>
      <c r="G39" s="15">
        <v>832.8</v>
      </c>
      <c r="H39" s="15">
        <f>Tabla1[[#This Row],[Importe]]-Tabla1[[#This Row],[Pagado]]</f>
        <v>0</v>
      </c>
      <c r="I39" s="275" t="s">
        <v>15214</v>
      </c>
    </row>
    <row r="40" spans="1:9" x14ac:dyDescent="0.25">
      <c r="A40" s="16">
        <v>42917</v>
      </c>
      <c r="B40" s="273" t="s">
        <v>19859</v>
      </c>
      <c r="C40">
        <v>118194</v>
      </c>
      <c r="D40" s="236" t="s">
        <v>15514</v>
      </c>
      <c r="E40" s="15">
        <v>84</v>
      </c>
      <c r="F40" s="274">
        <v>42917</v>
      </c>
      <c r="G40" s="15">
        <v>84</v>
      </c>
      <c r="H40" s="15">
        <f>Tabla1[[#This Row],[Importe]]-Tabla1[[#This Row],[Pagado]]</f>
        <v>0</v>
      </c>
      <c r="I40" s="275" t="s">
        <v>15214</v>
      </c>
    </row>
    <row r="41" spans="1:9" x14ac:dyDescent="0.25">
      <c r="A41" s="16">
        <v>42917</v>
      </c>
      <c r="B41" s="273" t="s">
        <v>19860</v>
      </c>
      <c r="C41">
        <v>118195</v>
      </c>
      <c r="D41" s="236" t="s">
        <v>15539</v>
      </c>
      <c r="E41" s="15">
        <v>17035.5</v>
      </c>
      <c r="F41" s="274">
        <v>42921</v>
      </c>
      <c r="G41" s="15">
        <v>17035.5</v>
      </c>
      <c r="H41" s="15">
        <f>Tabla1[[#This Row],[Importe]]-Tabla1[[#This Row],[Pagado]]</f>
        <v>0</v>
      </c>
      <c r="I41" s="275" t="s">
        <v>15214</v>
      </c>
    </row>
    <row r="42" spans="1:9" x14ac:dyDescent="0.25">
      <c r="A42" s="16">
        <v>42917</v>
      </c>
      <c r="B42" s="273" t="s">
        <v>19861</v>
      </c>
      <c r="C42">
        <v>118196</v>
      </c>
      <c r="D42" s="236" t="s">
        <v>15280</v>
      </c>
      <c r="E42" s="15">
        <v>4866.8</v>
      </c>
      <c r="F42" s="274">
        <v>42917</v>
      </c>
      <c r="G42" s="15">
        <v>4866.8</v>
      </c>
      <c r="H42" s="15">
        <f>Tabla1[[#This Row],[Importe]]-Tabla1[[#This Row],[Pagado]]</f>
        <v>0</v>
      </c>
      <c r="I42" s="275" t="s">
        <v>15214</v>
      </c>
    </row>
    <row r="43" spans="1:9" x14ac:dyDescent="0.25">
      <c r="A43" s="16">
        <v>42917</v>
      </c>
      <c r="B43" s="273" t="s">
        <v>19862</v>
      </c>
      <c r="C43">
        <v>118197</v>
      </c>
      <c r="D43" s="236" t="s">
        <v>15263</v>
      </c>
      <c r="E43" s="15">
        <v>1900.5</v>
      </c>
      <c r="F43" s="274">
        <v>42917</v>
      </c>
      <c r="G43" s="15">
        <v>1900.5</v>
      </c>
      <c r="H43" s="15">
        <f>Tabla1[[#This Row],[Importe]]-Tabla1[[#This Row],[Pagado]]</f>
        <v>0</v>
      </c>
      <c r="I43" s="275" t="s">
        <v>15214</v>
      </c>
    </row>
    <row r="44" spans="1:9" x14ac:dyDescent="0.25">
      <c r="A44" s="16">
        <v>42917</v>
      </c>
      <c r="B44" s="273" t="s">
        <v>19863</v>
      </c>
      <c r="C44">
        <v>118198</v>
      </c>
      <c r="D44" s="236" t="s">
        <v>15278</v>
      </c>
      <c r="E44" s="15">
        <v>5222</v>
      </c>
      <c r="F44" s="274">
        <v>42917</v>
      </c>
      <c r="G44" s="15">
        <v>5222</v>
      </c>
      <c r="H44" s="15">
        <f>Tabla1[[#This Row],[Importe]]-Tabla1[[#This Row],[Pagado]]</f>
        <v>0</v>
      </c>
      <c r="I44" s="275" t="s">
        <v>15214</v>
      </c>
    </row>
    <row r="45" spans="1:9" x14ac:dyDescent="0.25">
      <c r="A45" s="16">
        <v>42917</v>
      </c>
      <c r="B45" s="273" t="s">
        <v>19864</v>
      </c>
      <c r="C45">
        <v>118199</v>
      </c>
      <c r="D45" s="236" t="s">
        <v>15526</v>
      </c>
      <c r="E45" s="15">
        <v>4202.3999999999996</v>
      </c>
      <c r="F45" s="274">
        <v>42917</v>
      </c>
      <c r="G45" s="15">
        <v>4202.3999999999996</v>
      </c>
      <c r="H45" s="15">
        <f>Tabla1[[#This Row],[Importe]]-Tabla1[[#This Row],[Pagado]]</f>
        <v>0</v>
      </c>
      <c r="I45" s="275" t="s">
        <v>15214</v>
      </c>
    </row>
    <row r="46" spans="1:9" x14ac:dyDescent="0.25">
      <c r="A46" s="16">
        <v>42917</v>
      </c>
      <c r="B46" s="273" t="s">
        <v>19865</v>
      </c>
      <c r="C46">
        <v>118200</v>
      </c>
      <c r="D46" s="236" t="s">
        <v>19776</v>
      </c>
      <c r="E46" s="15">
        <v>2771.6</v>
      </c>
      <c r="F46" s="274">
        <v>42917</v>
      </c>
      <c r="G46" s="15">
        <v>2771.6</v>
      </c>
      <c r="H46" s="15">
        <f>Tabla1[[#This Row],[Importe]]-Tabla1[[#This Row],[Pagado]]</f>
        <v>0</v>
      </c>
      <c r="I46" s="275" t="s">
        <v>15214</v>
      </c>
    </row>
    <row r="47" spans="1:9" x14ac:dyDescent="0.25">
      <c r="A47" s="16">
        <v>42917</v>
      </c>
      <c r="B47" s="273" t="s">
        <v>19866</v>
      </c>
      <c r="C47">
        <v>118201</v>
      </c>
      <c r="D47" s="236" t="s">
        <v>17210</v>
      </c>
      <c r="E47" s="15">
        <v>4268.7</v>
      </c>
      <c r="F47" s="274">
        <v>42917</v>
      </c>
      <c r="G47" s="15">
        <v>4268.7</v>
      </c>
      <c r="H47" s="15">
        <f>Tabla1[[#This Row],[Importe]]-Tabla1[[#This Row],[Pagado]]</f>
        <v>0</v>
      </c>
      <c r="I47" s="275" t="s">
        <v>15214</v>
      </c>
    </row>
    <row r="48" spans="1:9" ht="15.75" x14ac:dyDescent="0.25">
      <c r="A48" s="16">
        <v>42917</v>
      </c>
      <c r="B48" s="273" t="s">
        <v>19867</v>
      </c>
      <c r="C48">
        <v>118202</v>
      </c>
      <c r="D48" s="248" t="s">
        <v>95</v>
      </c>
      <c r="E48" s="15">
        <v>0</v>
      </c>
      <c r="F48" s="274" t="s">
        <v>19846</v>
      </c>
      <c r="G48" s="15">
        <v>0</v>
      </c>
      <c r="H48" s="15">
        <f>Tabla1[[#This Row],[Importe]]-Tabla1[[#This Row],[Pagado]]</f>
        <v>0</v>
      </c>
      <c r="I48" s="275" t="s">
        <v>95</v>
      </c>
    </row>
    <row r="49" spans="1:9" x14ac:dyDescent="0.25">
      <c r="A49" s="16">
        <v>42917</v>
      </c>
      <c r="B49" s="273" t="s">
        <v>19868</v>
      </c>
      <c r="C49">
        <v>118203</v>
      </c>
      <c r="D49" s="236" t="s">
        <v>16040</v>
      </c>
      <c r="E49" s="15">
        <v>10581.8</v>
      </c>
      <c r="F49" s="274">
        <v>42923</v>
      </c>
      <c r="G49" s="15">
        <v>10581.8</v>
      </c>
      <c r="H49" s="15">
        <f>Tabla1[[#This Row],[Importe]]-Tabla1[[#This Row],[Pagado]]</f>
        <v>0</v>
      </c>
      <c r="I49" s="275" t="s">
        <v>15214</v>
      </c>
    </row>
    <row r="50" spans="1:9" x14ac:dyDescent="0.25">
      <c r="A50" s="16">
        <v>42917</v>
      </c>
      <c r="B50" s="273" t="s">
        <v>19869</v>
      </c>
      <c r="C50">
        <v>118204</v>
      </c>
      <c r="D50" s="236" t="s">
        <v>15378</v>
      </c>
      <c r="E50" s="15">
        <v>2419.4</v>
      </c>
      <c r="F50" s="274">
        <v>42917</v>
      </c>
      <c r="G50" s="15">
        <v>2419.4</v>
      </c>
      <c r="H50" s="15">
        <f>Tabla1[[#This Row],[Importe]]-Tabla1[[#This Row],[Pagado]]</f>
        <v>0</v>
      </c>
      <c r="I50" s="275" t="s">
        <v>15214</v>
      </c>
    </row>
    <row r="51" spans="1:9" x14ac:dyDescent="0.25">
      <c r="A51" s="16">
        <v>42917</v>
      </c>
      <c r="B51" s="273" t="s">
        <v>19870</v>
      </c>
      <c r="C51">
        <v>118205</v>
      </c>
      <c r="D51" s="236" t="s">
        <v>15342</v>
      </c>
      <c r="E51" s="15">
        <v>952.2</v>
      </c>
      <c r="F51" s="274">
        <v>42917</v>
      </c>
      <c r="G51" s="15">
        <v>952.2</v>
      </c>
      <c r="H51" s="15">
        <f>Tabla1[[#This Row],[Importe]]-Tabla1[[#This Row],[Pagado]]</f>
        <v>0</v>
      </c>
      <c r="I51" s="275" t="s">
        <v>15214</v>
      </c>
    </row>
    <row r="52" spans="1:9" x14ac:dyDescent="0.25">
      <c r="A52" s="16">
        <v>42917</v>
      </c>
      <c r="B52" s="273" t="s">
        <v>19871</v>
      </c>
      <c r="C52">
        <v>118206</v>
      </c>
      <c r="D52" s="236" t="s">
        <v>15555</v>
      </c>
      <c r="E52" s="15">
        <v>3706.2</v>
      </c>
      <c r="F52" s="274">
        <v>42921</v>
      </c>
      <c r="G52" s="15">
        <v>3706.2</v>
      </c>
      <c r="H52" s="15">
        <f>Tabla1[[#This Row],[Importe]]-Tabla1[[#This Row],[Pagado]]</f>
        <v>0</v>
      </c>
      <c r="I52" s="275" t="s">
        <v>15214</v>
      </c>
    </row>
    <row r="53" spans="1:9" x14ac:dyDescent="0.25">
      <c r="A53" s="16">
        <v>42917</v>
      </c>
      <c r="B53" s="273" t="s">
        <v>19872</v>
      </c>
      <c r="C53">
        <v>118207</v>
      </c>
      <c r="D53" s="236" t="s">
        <v>15530</v>
      </c>
      <c r="E53" s="15">
        <v>1775</v>
      </c>
      <c r="F53" s="274">
        <v>42917</v>
      </c>
      <c r="G53" s="15">
        <v>1775</v>
      </c>
      <c r="H53" s="15">
        <f>Tabla1[[#This Row],[Importe]]-Tabla1[[#This Row],[Pagado]]</f>
        <v>0</v>
      </c>
      <c r="I53" s="275" t="s">
        <v>15214</v>
      </c>
    </row>
    <row r="54" spans="1:9" x14ac:dyDescent="0.25">
      <c r="A54" s="16">
        <v>42917</v>
      </c>
      <c r="B54" s="273" t="s">
        <v>19873</v>
      </c>
      <c r="C54">
        <v>118208</v>
      </c>
      <c r="D54" s="236" t="s">
        <v>17057</v>
      </c>
      <c r="E54" s="15">
        <v>1365</v>
      </c>
      <c r="F54" s="274">
        <v>42917</v>
      </c>
      <c r="G54" s="15">
        <v>1365</v>
      </c>
      <c r="H54" s="15">
        <f>Tabla1[[#This Row],[Importe]]-Tabla1[[#This Row],[Pagado]]</f>
        <v>0</v>
      </c>
      <c r="I54" s="275" t="s">
        <v>15214</v>
      </c>
    </row>
    <row r="55" spans="1:9" x14ac:dyDescent="0.25">
      <c r="A55" s="16">
        <v>42917</v>
      </c>
      <c r="B55" s="273" t="s">
        <v>19874</v>
      </c>
      <c r="C55">
        <v>118209</v>
      </c>
      <c r="D55" s="236" t="s">
        <v>15748</v>
      </c>
      <c r="E55" s="15">
        <v>1320.6</v>
      </c>
      <c r="F55" s="274">
        <v>42917</v>
      </c>
      <c r="G55" s="15">
        <v>1320.6</v>
      </c>
      <c r="H55" s="15">
        <f>Tabla1[[#This Row],[Importe]]-Tabla1[[#This Row],[Pagado]]</f>
        <v>0</v>
      </c>
      <c r="I55" s="275" t="s">
        <v>15214</v>
      </c>
    </row>
    <row r="56" spans="1:9" x14ac:dyDescent="0.25">
      <c r="A56" s="16">
        <v>42917</v>
      </c>
      <c r="B56" s="273" t="s">
        <v>19875</v>
      </c>
      <c r="C56">
        <v>118210</v>
      </c>
      <c r="D56" s="236" t="s">
        <v>16171</v>
      </c>
      <c r="E56" s="15">
        <v>567</v>
      </c>
      <c r="F56" s="274">
        <v>42917</v>
      </c>
      <c r="G56" s="15">
        <v>567</v>
      </c>
      <c r="H56" s="15">
        <f>Tabla1[[#This Row],[Importe]]-Tabla1[[#This Row],[Pagado]]</f>
        <v>0</v>
      </c>
      <c r="I56" s="275" t="s">
        <v>15214</v>
      </c>
    </row>
    <row r="57" spans="1:9" x14ac:dyDescent="0.25">
      <c r="A57" s="16">
        <v>42917</v>
      </c>
      <c r="B57" s="273" t="s">
        <v>19876</v>
      </c>
      <c r="C57">
        <v>118211</v>
      </c>
      <c r="D57" s="236" t="s">
        <v>15861</v>
      </c>
      <c r="E57" s="15">
        <v>3898.5</v>
      </c>
      <c r="F57" s="274">
        <v>42917</v>
      </c>
      <c r="G57" s="15">
        <v>3898.5</v>
      </c>
      <c r="H57" s="15">
        <f>Tabla1[[#This Row],[Importe]]-Tabla1[[#This Row],[Pagado]]</f>
        <v>0</v>
      </c>
      <c r="I57" s="275" t="s">
        <v>15214</v>
      </c>
    </row>
    <row r="58" spans="1:9" x14ac:dyDescent="0.25">
      <c r="A58" s="16">
        <v>42917</v>
      </c>
      <c r="B58" s="273" t="s">
        <v>19877</v>
      </c>
      <c r="C58">
        <v>118212</v>
      </c>
      <c r="D58" s="236" t="s">
        <v>15523</v>
      </c>
      <c r="E58" s="15">
        <v>5390</v>
      </c>
      <c r="F58" s="274">
        <v>42917</v>
      </c>
      <c r="G58" s="15">
        <v>5390</v>
      </c>
      <c r="H58" s="15">
        <f>Tabla1[[#This Row],[Importe]]-Tabla1[[#This Row],[Pagado]]</f>
        <v>0</v>
      </c>
      <c r="I58" s="275" t="s">
        <v>15214</v>
      </c>
    </row>
    <row r="59" spans="1:9" x14ac:dyDescent="0.25">
      <c r="A59" s="16">
        <v>42917</v>
      </c>
      <c r="B59" s="273" t="s">
        <v>19878</v>
      </c>
      <c r="C59">
        <v>118213</v>
      </c>
      <c r="D59" s="236" t="s">
        <v>15350</v>
      </c>
      <c r="E59" s="15">
        <v>1813</v>
      </c>
      <c r="F59" s="274">
        <v>42917</v>
      </c>
      <c r="G59" s="15">
        <v>1813</v>
      </c>
      <c r="H59" s="15">
        <f>Tabla1[[#This Row],[Importe]]-Tabla1[[#This Row],[Pagado]]</f>
        <v>0</v>
      </c>
      <c r="I59" s="275" t="s">
        <v>15214</v>
      </c>
    </row>
    <row r="60" spans="1:9" x14ac:dyDescent="0.25">
      <c r="A60" s="16">
        <v>42917</v>
      </c>
      <c r="B60" s="273" t="s">
        <v>19879</v>
      </c>
      <c r="C60">
        <v>118214</v>
      </c>
      <c r="D60" s="236" t="s">
        <v>15358</v>
      </c>
      <c r="E60" s="15">
        <v>2644.8</v>
      </c>
      <c r="F60" s="274">
        <v>42917</v>
      </c>
      <c r="G60" s="15">
        <v>2644.8</v>
      </c>
      <c r="H60" s="15">
        <f>Tabla1[[#This Row],[Importe]]-Tabla1[[#This Row],[Pagado]]</f>
        <v>0</v>
      </c>
      <c r="I60" s="275" t="s">
        <v>15214</v>
      </c>
    </row>
    <row r="61" spans="1:9" x14ac:dyDescent="0.25">
      <c r="A61" s="16">
        <v>42917</v>
      </c>
      <c r="B61" s="273" t="s">
        <v>19880</v>
      </c>
      <c r="C61">
        <v>118215</v>
      </c>
      <c r="D61" s="236" t="s">
        <v>15530</v>
      </c>
      <c r="E61" s="15">
        <v>387.6</v>
      </c>
      <c r="F61" s="274">
        <v>42917</v>
      </c>
      <c r="G61" s="15">
        <v>387.6</v>
      </c>
      <c r="H61" s="15">
        <f>Tabla1[[#This Row],[Importe]]-Tabla1[[#This Row],[Pagado]]</f>
        <v>0</v>
      </c>
      <c r="I61" s="275" t="s">
        <v>15214</v>
      </c>
    </row>
    <row r="62" spans="1:9" x14ac:dyDescent="0.25">
      <c r="A62" s="16">
        <v>42917</v>
      </c>
      <c r="B62" s="273" t="s">
        <v>19881</v>
      </c>
      <c r="C62">
        <v>118216</v>
      </c>
      <c r="D62" s="236" t="s">
        <v>15315</v>
      </c>
      <c r="E62" s="15">
        <v>2480</v>
      </c>
      <c r="F62" s="274">
        <v>42917</v>
      </c>
      <c r="G62" s="15">
        <v>2480</v>
      </c>
      <c r="H62" s="15">
        <f>Tabla1[[#This Row],[Importe]]-Tabla1[[#This Row],[Pagado]]</f>
        <v>0</v>
      </c>
      <c r="I62" s="275" t="s">
        <v>15214</v>
      </c>
    </row>
    <row r="63" spans="1:9" x14ac:dyDescent="0.25">
      <c r="A63" s="16">
        <v>42917</v>
      </c>
      <c r="B63" s="273" t="s">
        <v>19882</v>
      </c>
      <c r="C63">
        <v>118217</v>
      </c>
      <c r="D63" s="236" t="s">
        <v>15358</v>
      </c>
      <c r="E63" s="15">
        <v>4075.2</v>
      </c>
      <c r="F63" s="274">
        <v>42917</v>
      </c>
      <c r="G63" s="15">
        <v>4075.2</v>
      </c>
      <c r="H63" s="15">
        <f>Tabla1[[#This Row],[Importe]]-Tabla1[[#This Row],[Pagado]]</f>
        <v>0</v>
      </c>
      <c r="I63" s="275" t="s">
        <v>15214</v>
      </c>
    </row>
    <row r="64" spans="1:9" x14ac:dyDescent="0.25">
      <c r="A64" s="16">
        <v>42917</v>
      </c>
      <c r="B64" s="273" t="s">
        <v>19883</v>
      </c>
      <c r="C64">
        <v>118218</v>
      </c>
      <c r="D64" s="236" t="s">
        <v>15378</v>
      </c>
      <c r="E64" s="15">
        <v>527.79999999999995</v>
      </c>
      <c r="F64" s="274">
        <v>42917</v>
      </c>
      <c r="G64" s="15">
        <v>527.79999999999995</v>
      </c>
      <c r="H64" s="15">
        <f>Tabla1[[#This Row],[Importe]]-Tabla1[[#This Row],[Pagado]]</f>
        <v>0</v>
      </c>
      <c r="I64" s="275" t="s">
        <v>15214</v>
      </c>
    </row>
    <row r="65" spans="1:9" x14ac:dyDescent="0.25">
      <c r="A65" s="16">
        <v>42917</v>
      </c>
      <c r="B65" s="273" t="s">
        <v>19884</v>
      </c>
      <c r="C65">
        <v>118219</v>
      </c>
      <c r="D65" s="236" t="s">
        <v>15544</v>
      </c>
      <c r="E65" s="15">
        <v>1593.6</v>
      </c>
      <c r="F65" s="274">
        <v>42921</v>
      </c>
      <c r="G65" s="15">
        <v>1593.6</v>
      </c>
      <c r="H65" s="15">
        <f>Tabla1[[#This Row],[Importe]]-Tabla1[[#This Row],[Pagado]]</f>
        <v>0</v>
      </c>
      <c r="I65" s="275" t="s">
        <v>15214</v>
      </c>
    </row>
    <row r="66" spans="1:9" x14ac:dyDescent="0.25">
      <c r="A66" s="16">
        <v>42917</v>
      </c>
      <c r="B66" s="273" t="s">
        <v>19885</v>
      </c>
      <c r="C66">
        <v>118220</v>
      </c>
      <c r="D66" s="236" t="s">
        <v>15699</v>
      </c>
      <c r="E66" s="15">
        <v>5184.3999999999996</v>
      </c>
      <c r="F66" s="274">
        <v>42935</v>
      </c>
      <c r="G66" s="15">
        <v>5184.3999999999996</v>
      </c>
      <c r="H66" s="15">
        <f>Tabla1[[#This Row],[Importe]]-Tabla1[[#This Row],[Pagado]]</f>
        <v>0</v>
      </c>
      <c r="I66" s="275" t="s">
        <v>15214</v>
      </c>
    </row>
    <row r="67" spans="1:9" x14ac:dyDescent="0.25">
      <c r="A67" s="16">
        <v>42917</v>
      </c>
      <c r="B67" s="273" t="s">
        <v>19886</v>
      </c>
      <c r="C67">
        <v>118221</v>
      </c>
      <c r="D67" s="236" t="s">
        <v>15315</v>
      </c>
      <c r="E67" s="15">
        <v>5535.2</v>
      </c>
      <c r="F67" s="274">
        <v>42917</v>
      </c>
      <c r="G67" s="15">
        <v>5535.2</v>
      </c>
      <c r="H67" s="15">
        <f>Tabla1[[#This Row],[Importe]]-Tabla1[[#This Row],[Pagado]]</f>
        <v>0</v>
      </c>
      <c r="I67" s="275" t="s">
        <v>15214</v>
      </c>
    </row>
    <row r="68" spans="1:9" x14ac:dyDescent="0.25">
      <c r="A68" s="16">
        <v>42917</v>
      </c>
      <c r="B68" s="273" t="s">
        <v>19887</v>
      </c>
      <c r="C68">
        <v>118222</v>
      </c>
      <c r="D68" s="236" t="s">
        <v>15246</v>
      </c>
      <c r="E68" s="15">
        <v>5329.8</v>
      </c>
      <c r="F68" s="274">
        <v>42921</v>
      </c>
      <c r="G68" s="15">
        <v>5329.8</v>
      </c>
      <c r="H68" s="15">
        <f>Tabla1[[#This Row],[Importe]]-Tabla1[[#This Row],[Pagado]]</f>
        <v>0</v>
      </c>
      <c r="I68" s="275" t="s">
        <v>15214</v>
      </c>
    </row>
    <row r="69" spans="1:9" x14ac:dyDescent="0.25">
      <c r="A69" s="16">
        <v>42917</v>
      </c>
      <c r="B69" s="273" t="s">
        <v>19888</v>
      </c>
      <c r="C69">
        <v>118223</v>
      </c>
      <c r="D69" s="236" t="s">
        <v>15336</v>
      </c>
      <c r="E69" s="15">
        <v>10982.4</v>
      </c>
      <c r="F69" s="274">
        <v>42917</v>
      </c>
      <c r="G69" s="15">
        <v>10982.4</v>
      </c>
      <c r="H69" s="15">
        <f>Tabla1[[#This Row],[Importe]]-Tabla1[[#This Row],[Pagado]]</f>
        <v>0</v>
      </c>
      <c r="I69" s="275" t="s">
        <v>15214</v>
      </c>
    </row>
    <row r="70" spans="1:9" x14ac:dyDescent="0.25">
      <c r="A70" s="16">
        <v>42917</v>
      </c>
      <c r="B70" s="273" t="s">
        <v>19889</v>
      </c>
      <c r="C70">
        <v>118224</v>
      </c>
      <c r="D70" s="236" t="s">
        <v>15326</v>
      </c>
      <c r="E70" s="15">
        <v>4320</v>
      </c>
      <c r="F70" s="274">
        <v>42917</v>
      </c>
      <c r="G70" s="15">
        <v>4320</v>
      </c>
      <c r="H70" s="15">
        <f>Tabla1[[#This Row],[Importe]]-Tabla1[[#This Row],[Pagado]]</f>
        <v>0</v>
      </c>
      <c r="I70" s="275" t="s">
        <v>15214</v>
      </c>
    </row>
    <row r="71" spans="1:9" x14ac:dyDescent="0.25">
      <c r="A71" s="16">
        <v>42917</v>
      </c>
      <c r="B71" s="273" t="s">
        <v>19890</v>
      </c>
      <c r="C71">
        <v>118225</v>
      </c>
      <c r="D71" s="236" t="s">
        <v>15562</v>
      </c>
      <c r="E71" s="15">
        <v>3622</v>
      </c>
      <c r="F71" s="274">
        <v>42917</v>
      </c>
      <c r="G71" s="15">
        <v>3622</v>
      </c>
      <c r="H71" s="15">
        <f>Tabla1[[#This Row],[Importe]]-Tabla1[[#This Row],[Pagado]]</f>
        <v>0</v>
      </c>
      <c r="I71" s="275" t="s">
        <v>15214</v>
      </c>
    </row>
    <row r="72" spans="1:9" x14ac:dyDescent="0.25">
      <c r="A72" s="16">
        <v>42917</v>
      </c>
      <c r="B72" s="273" t="s">
        <v>19891</v>
      </c>
      <c r="C72">
        <v>118226</v>
      </c>
      <c r="D72" s="236" t="s">
        <v>15398</v>
      </c>
      <c r="E72" s="15">
        <v>2879.75</v>
      </c>
      <c r="F72" s="274">
        <v>42917</v>
      </c>
      <c r="G72" s="15">
        <v>2879.75</v>
      </c>
      <c r="H72" s="15">
        <f>Tabla1[[#This Row],[Importe]]-Tabla1[[#This Row],[Pagado]]</f>
        <v>0</v>
      </c>
      <c r="I72" s="275" t="s">
        <v>15214</v>
      </c>
    </row>
    <row r="73" spans="1:9" x14ac:dyDescent="0.25">
      <c r="A73" s="16">
        <v>42917</v>
      </c>
      <c r="B73" s="273" t="s">
        <v>19892</v>
      </c>
      <c r="C73">
        <v>118227</v>
      </c>
      <c r="D73" s="236" t="s">
        <v>15356</v>
      </c>
      <c r="E73" s="15">
        <v>3248.7</v>
      </c>
      <c r="F73" s="274">
        <v>42917</v>
      </c>
      <c r="G73" s="15">
        <v>3248.7</v>
      </c>
      <c r="H73" s="15">
        <f>Tabla1[[#This Row],[Importe]]-Tabla1[[#This Row],[Pagado]]</f>
        <v>0</v>
      </c>
      <c r="I73" s="275" t="s">
        <v>15214</v>
      </c>
    </row>
    <row r="74" spans="1:9" x14ac:dyDescent="0.25">
      <c r="A74" s="16">
        <v>42917</v>
      </c>
      <c r="B74" s="273" t="s">
        <v>19893</v>
      </c>
      <c r="C74">
        <v>118228</v>
      </c>
      <c r="D74" s="236" t="s">
        <v>17950</v>
      </c>
      <c r="E74" s="15">
        <v>4477.2</v>
      </c>
      <c r="F74" s="274">
        <v>42917</v>
      </c>
      <c r="G74" s="15">
        <v>4477.2</v>
      </c>
      <c r="H74" s="15">
        <f>Tabla1[[#This Row],[Importe]]-Tabla1[[#This Row],[Pagado]]</f>
        <v>0</v>
      </c>
      <c r="I74" s="275" t="s">
        <v>15214</v>
      </c>
    </row>
    <row r="75" spans="1:9" x14ac:dyDescent="0.25">
      <c r="A75" s="16">
        <v>42917</v>
      </c>
      <c r="B75" s="273" t="s">
        <v>19894</v>
      </c>
      <c r="C75">
        <v>118229</v>
      </c>
      <c r="D75" s="236" t="s">
        <v>15348</v>
      </c>
      <c r="E75" s="15">
        <v>3269.1</v>
      </c>
      <c r="F75" s="274">
        <v>42919</v>
      </c>
      <c r="G75" s="15">
        <v>3269.1</v>
      </c>
      <c r="H75" s="15">
        <f>Tabla1[[#This Row],[Importe]]-Tabla1[[#This Row],[Pagado]]</f>
        <v>0</v>
      </c>
      <c r="I75" s="275" t="s">
        <v>15214</v>
      </c>
    </row>
    <row r="76" spans="1:9" x14ac:dyDescent="0.25">
      <c r="A76" s="16">
        <v>42917</v>
      </c>
      <c r="B76" s="273" t="s">
        <v>19895</v>
      </c>
      <c r="C76">
        <v>118230</v>
      </c>
      <c r="D76" s="236" t="s">
        <v>15315</v>
      </c>
      <c r="E76" s="15">
        <v>2058</v>
      </c>
      <c r="F76" s="274">
        <v>42919</v>
      </c>
      <c r="G76" s="15">
        <v>2058</v>
      </c>
      <c r="H76" s="15">
        <f>Tabla1[[#This Row],[Importe]]-Tabla1[[#This Row],[Pagado]]</f>
        <v>0</v>
      </c>
      <c r="I76" s="275" t="s">
        <v>15214</v>
      </c>
    </row>
    <row r="77" spans="1:9" x14ac:dyDescent="0.25">
      <c r="A77" s="16">
        <v>42917</v>
      </c>
      <c r="B77" s="273" t="s">
        <v>19896</v>
      </c>
      <c r="C77">
        <v>118231</v>
      </c>
      <c r="D77" s="236" t="s">
        <v>15742</v>
      </c>
      <c r="E77" s="15">
        <v>2125</v>
      </c>
      <c r="F77" s="274">
        <v>42917</v>
      </c>
      <c r="G77" s="15">
        <v>2125</v>
      </c>
      <c r="H77" s="15">
        <f>Tabla1[[#This Row],[Importe]]-Tabla1[[#This Row],[Pagado]]</f>
        <v>0</v>
      </c>
      <c r="I77" s="275" t="s">
        <v>15214</v>
      </c>
    </row>
    <row r="78" spans="1:9" x14ac:dyDescent="0.25">
      <c r="A78" s="16">
        <v>42917</v>
      </c>
      <c r="B78" s="273" t="s">
        <v>19897</v>
      </c>
      <c r="C78">
        <v>118232</v>
      </c>
      <c r="D78" s="236" t="s">
        <v>15315</v>
      </c>
      <c r="E78" s="15">
        <v>6607.8</v>
      </c>
      <c r="F78" s="274">
        <v>42921</v>
      </c>
      <c r="G78" s="15">
        <v>6607.8</v>
      </c>
      <c r="H78" s="15">
        <f>Tabla1[[#This Row],[Importe]]-Tabla1[[#This Row],[Pagado]]</f>
        <v>0</v>
      </c>
      <c r="I78" s="275" t="s">
        <v>15214</v>
      </c>
    </row>
    <row r="79" spans="1:9" x14ac:dyDescent="0.25">
      <c r="A79" s="16">
        <v>42917</v>
      </c>
      <c r="B79" s="273" t="s">
        <v>19898</v>
      </c>
      <c r="C79">
        <v>118233</v>
      </c>
      <c r="D79" s="236" t="s">
        <v>15240</v>
      </c>
      <c r="E79" s="15">
        <v>450</v>
      </c>
      <c r="F79" s="274">
        <v>42917</v>
      </c>
      <c r="G79" s="15">
        <v>450</v>
      </c>
      <c r="H79" s="15">
        <f>Tabla1[[#This Row],[Importe]]-Tabla1[[#This Row],[Pagado]]</f>
        <v>0</v>
      </c>
      <c r="I79" s="275" t="s">
        <v>15214</v>
      </c>
    </row>
    <row r="80" spans="1:9" x14ac:dyDescent="0.25">
      <c r="A80" s="16">
        <v>42917</v>
      </c>
      <c r="B80" s="273" t="s">
        <v>19899</v>
      </c>
      <c r="C80">
        <v>118234</v>
      </c>
      <c r="D80" s="236" t="s">
        <v>15248</v>
      </c>
      <c r="E80" s="15">
        <v>6837</v>
      </c>
      <c r="F80" s="274">
        <v>42919</v>
      </c>
      <c r="G80" s="15">
        <v>6837</v>
      </c>
      <c r="H80" s="15">
        <f>Tabla1[[#This Row],[Importe]]-Tabla1[[#This Row],[Pagado]]</f>
        <v>0</v>
      </c>
      <c r="I80" s="275" t="s">
        <v>15214</v>
      </c>
    </row>
    <row r="81" spans="1:9" x14ac:dyDescent="0.25">
      <c r="A81" s="16">
        <v>42917</v>
      </c>
      <c r="B81" s="273" t="s">
        <v>19900</v>
      </c>
      <c r="C81">
        <v>118235</v>
      </c>
      <c r="D81" s="236" t="s">
        <v>15261</v>
      </c>
      <c r="E81" s="15">
        <v>28586.2</v>
      </c>
      <c r="F81" s="274">
        <v>42917</v>
      </c>
      <c r="G81" s="15">
        <v>28586.2</v>
      </c>
      <c r="H81" s="15">
        <f>Tabla1[[#This Row],[Importe]]-Tabla1[[#This Row],[Pagado]]</f>
        <v>0</v>
      </c>
      <c r="I81" s="275" t="s">
        <v>15214</v>
      </c>
    </row>
    <row r="82" spans="1:9" x14ac:dyDescent="0.25">
      <c r="A82" s="16">
        <v>42917</v>
      </c>
      <c r="B82" s="273" t="s">
        <v>19901</v>
      </c>
      <c r="C82">
        <v>118236</v>
      </c>
      <c r="D82" s="236" t="s">
        <v>15549</v>
      </c>
      <c r="E82" s="15">
        <v>10239.9</v>
      </c>
      <c r="F82" s="274">
        <v>42917</v>
      </c>
      <c r="G82" s="15">
        <v>10239.9</v>
      </c>
      <c r="H82" s="15">
        <f>Tabla1[[#This Row],[Importe]]-Tabla1[[#This Row],[Pagado]]</f>
        <v>0</v>
      </c>
      <c r="I82" s="275" t="s">
        <v>15214</v>
      </c>
    </row>
    <row r="83" spans="1:9" x14ac:dyDescent="0.25">
      <c r="A83" s="16">
        <v>42917</v>
      </c>
      <c r="B83" s="273" t="s">
        <v>19902</v>
      </c>
      <c r="C83">
        <v>118237</v>
      </c>
      <c r="D83" s="236" t="s">
        <v>15549</v>
      </c>
      <c r="E83" s="15">
        <v>777.6</v>
      </c>
      <c r="F83" s="274">
        <v>42917</v>
      </c>
      <c r="G83" s="15">
        <v>777.6</v>
      </c>
      <c r="H83" s="15">
        <f>Tabla1[[#This Row],[Importe]]-Tabla1[[#This Row],[Pagado]]</f>
        <v>0</v>
      </c>
      <c r="I83" s="275" t="s">
        <v>15214</v>
      </c>
    </row>
    <row r="84" spans="1:9" x14ac:dyDescent="0.25">
      <c r="A84" s="16">
        <v>42917</v>
      </c>
      <c r="B84" s="273" t="s">
        <v>19903</v>
      </c>
      <c r="C84">
        <v>118238</v>
      </c>
      <c r="D84" s="236" t="s">
        <v>15541</v>
      </c>
      <c r="E84" s="15">
        <v>2730.8</v>
      </c>
      <c r="F84" s="274">
        <v>42917</v>
      </c>
      <c r="G84" s="15">
        <v>2730.8</v>
      </c>
      <c r="H84" s="15">
        <f>Tabla1[[#This Row],[Importe]]-Tabla1[[#This Row],[Pagado]]</f>
        <v>0</v>
      </c>
      <c r="I84" s="275" t="s">
        <v>15214</v>
      </c>
    </row>
    <row r="85" spans="1:9" x14ac:dyDescent="0.25">
      <c r="A85" s="16">
        <v>42917</v>
      </c>
      <c r="B85" s="273" t="s">
        <v>19904</v>
      </c>
      <c r="C85">
        <v>118239</v>
      </c>
      <c r="D85" s="236" t="s">
        <v>15252</v>
      </c>
      <c r="E85" s="15">
        <v>8817.5</v>
      </c>
      <c r="F85" s="274">
        <v>42919</v>
      </c>
      <c r="G85" s="15">
        <v>8817.5</v>
      </c>
      <c r="H85" s="15">
        <f>Tabla1[[#This Row],[Importe]]-Tabla1[[#This Row],[Pagado]]</f>
        <v>0</v>
      </c>
      <c r="I85" s="275" t="s">
        <v>15214</v>
      </c>
    </row>
    <row r="86" spans="1:9" x14ac:dyDescent="0.25">
      <c r="A86" s="16">
        <v>42917</v>
      </c>
      <c r="B86" s="273" t="s">
        <v>19905</v>
      </c>
      <c r="C86">
        <v>118240</v>
      </c>
      <c r="D86" s="236" t="s">
        <v>15365</v>
      </c>
      <c r="E86" s="15">
        <v>7519.6</v>
      </c>
      <c r="F86" s="274">
        <v>42924</v>
      </c>
      <c r="G86" s="15">
        <v>7519.6</v>
      </c>
      <c r="H86" s="15">
        <f>Tabla1[[#This Row],[Importe]]-Tabla1[[#This Row],[Pagado]]</f>
        <v>0</v>
      </c>
      <c r="I86" s="275" t="s">
        <v>15214</v>
      </c>
    </row>
    <row r="87" spans="1:9" x14ac:dyDescent="0.25">
      <c r="A87" s="16">
        <v>42917</v>
      </c>
      <c r="B87" s="273" t="s">
        <v>19906</v>
      </c>
      <c r="C87">
        <v>118241</v>
      </c>
      <c r="D87" s="236" t="s">
        <v>15244</v>
      </c>
      <c r="E87" s="15">
        <v>18490.5</v>
      </c>
      <c r="F87" s="274" t="s">
        <v>19907</v>
      </c>
      <c r="G87" s="15">
        <v>18490.5</v>
      </c>
      <c r="H87" s="15">
        <f>Tabla1[[#This Row],[Importe]]-Tabla1[[#This Row],[Pagado]]</f>
        <v>0</v>
      </c>
      <c r="I87" s="275" t="s">
        <v>15214</v>
      </c>
    </row>
    <row r="88" spans="1:9" x14ac:dyDescent="0.25">
      <c r="A88" s="16">
        <v>42917</v>
      </c>
      <c r="B88" s="273" t="s">
        <v>19908</v>
      </c>
      <c r="C88">
        <v>118242</v>
      </c>
      <c r="D88" s="236" t="s">
        <v>15324</v>
      </c>
      <c r="E88" s="15">
        <v>2402</v>
      </c>
      <c r="F88" s="274">
        <v>42917</v>
      </c>
      <c r="G88" s="15">
        <v>2402</v>
      </c>
      <c r="H88" s="15">
        <f>Tabla1[[#This Row],[Importe]]-Tabla1[[#This Row],[Pagado]]</f>
        <v>0</v>
      </c>
      <c r="I88" s="275" t="s">
        <v>15214</v>
      </c>
    </row>
    <row r="89" spans="1:9" x14ac:dyDescent="0.25">
      <c r="A89" s="16">
        <v>42917</v>
      </c>
      <c r="B89" s="273" t="s">
        <v>19909</v>
      </c>
      <c r="C89">
        <v>118243</v>
      </c>
      <c r="D89" s="236" t="s">
        <v>15265</v>
      </c>
      <c r="E89" s="15">
        <v>2494.1</v>
      </c>
      <c r="F89" s="274">
        <v>42918</v>
      </c>
      <c r="G89" s="15">
        <v>2494.1</v>
      </c>
      <c r="H89" s="15">
        <f>Tabla1[[#This Row],[Importe]]-Tabla1[[#This Row],[Pagado]]</f>
        <v>0</v>
      </c>
      <c r="I89" s="275" t="s">
        <v>15214</v>
      </c>
    </row>
    <row r="90" spans="1:9" x14ac:dyDescent="0.25">
      <c r="A90" s="16">
        <v>42917</v>
      </c>
      <c r="B90" s="273" t="s">
        <v>19910</v>
      </c>
      <c r="C90">
        <v>118244</v>
      </c>
      <c r="D90" s="236" t="s">
        <v>15596</v>
      </c>
      <c r="E90" s="15">
        <v>1470</v>
      </c>
      <c r="F90" s="274">
        <v>42917</v>
      </c>
      <c r="G90" s="15">
        <v>1470</v>
      </c>
      <c r="H90" s="15">
        <f>Tabla1[[#This Row],[Importe]]-Tabla1[[#This Row],[Pagado]]</f>
        <v>0</v>
      </c>
      <c r="I90" s="275" t="s">
        <v>15214</v>
      </c>
    </row>
    <row r="91" spans="1:9" x14ac:dyDescent="0.25">
      <c r="A91" s="16">
        <v>42917</v>
      </c>
      <c r="B91" s="273" t="s">
        <v>19911</v>
      </c>
      <c r="C91">
        <v>118245</v>
      </c>
      <c r="D91" s="236" t="s">
        <v>15274</v>
      </c>
      <c r="E91" s="15">
        <v>1225</v>
      </c>
      <c r="F91" s="274">
        <v>42917</v>
      </c>
      <c r="G91" s="15">
        <v>1225</v>
      </c>
      <c r="H91" s="15">
        <f>Tabla1[[#This Row],[Importe]]-Tabla1[[#This Row],[Pagado]]</f>
        <v>0</v>
      </c>
      <c r="I91" s="275" t="s">
        <v>15214</v>
      </c>
    </row>
    <row r="92" spans="1:9" x14ac:dyDescent="0.25">
      <c r="A92" s="16">
        <v>42917</v>
      </c>
      <c r="B92" s="273" t="s">
        <v>19912</v>
      </c>
      <c r="C92">
        <v>118246</v>
      </c>
      <c r="D92" s="236" t="s">
        <v>15624</v>
      </c>
      <c r="E92" s="15">
        <v>33560.11</v>
      </c>
      <c r="F92" s="274">
        <v>42920</v>
      </c>
      <c r="G92" s="15">
        <v>33560.11</v>
      </c>
      <c r="H92" s="15">
        <f>Tabla1[[#This Row],[Importe]]-Tabla1[[#This Row],[Pagado]]</f>
        <v>0</v>
      </c>
      <c r="I92" s="275" t="s">
        <v>15214</v>
      </c>
    </row>
    <row r="93" spans="1:9" x14ac:dyDescent="0.25">
      <c r="A93" s="16">
        <v>42917</v>
      </c>
      <c r="B93" s="273" t="s">
        <v>19913</v>
      </c>
      <c r="C93">
        <v>118247</v>
      </c>
      <c r="D93" s="236" t="s">
        <v>15267</v>
      </c>
      <c r="E93" s="15">
        <v>32457.24</v>
      </c>
      <c r="F93" s="274">
        <v>42917</v>
      </c>
      <c r="G93" s="15">
        <v>32457.24</v>
      </c>
      <c r="H93" s="15">
        <f>Tabla1[[#This Row],[Importe]]-Tabla1[[#This Row],[Pagado]]</f>
        <v>0</v>
      </c>
      <c r="I93" s="275" t="s">
        <v>15214</v>
      </c>
    </row>
    <row r="94" spans="1:9" x14ac:dyDescent="0.25">
      <c r="A94" s="16">
        <v>42917</v>
      </c>
      <c r="B94" s="273" t="s">
        <v>19914</v>
      </c>
      <c r="C94">
        <v>118248</v>
      </c>
      <c r="D94" s="236" t="s">
        <v>15315</v>
      </c>
      <c r="E94" s="15">
        <v>2822.8</v>
      </c>
      <c r="F94" s="274">
        <v>42917</v>
      </c>
      <c r="G94" s="15">
        <v>2822.8</v>
      </c>
      <c r="H94" s="15">
        <f>Tabla1[[#This Row],[Importe]]-Tabla1[[#This Row],[Pagado]]</f>
        <v>0</v>
      </c>
      <c r="I94" s="275" t="s">
        <v>15214</v>
      </c>
    </row>
    <row r="95" spans="1:9" x14ac:dyDescent="0.25">
      <c r="A95" s="16">
        <v>42917</v>
      </c>
      <c r="B95" s="273" t="s">
        <v>19915</v>
      </c>
      <c r="C95">
        <v>118249</v>
      </c>
      <c r="D95" s="236" t="s">
        <v>15315</v>
      </c>
      <c r="E95" s="15">
        <v>16128</v>
      </c>
      <c r="F95" s="274">
        <v>42917</v>
      </c>
      <c r="G95" s="15">
        <v>16128</v>
      </c>
      <c r="H95" s="15">
        <f>Tabla1[[#This Row],[Importe]]-Tabla1[[#This Row],[Pagado]]</f>
        <v>0</v>
      </c>
      <c r="I95" s="275" t="s">
        <v>15214</v>
      </c>
    </row>
    <row r="96" spans="1:9" x14ac:dyDescent="0.25">
      <c r="A96" s="16">
        <v>42917</v>
      </c>
      <c r="B96" s="273" t="s">
        <v>19916</v>
      </c>
      <c r="C96">
        <v>118250</v>
      </c>
      <c r="D96" s="236" t="s">
        <v>15590</v>
      </c>
      <c r="E96" s="15">
        <v>45251.8</v>
      </c>
      <c r="F96" s="274">
        <v>42928</v>
      </c>
      <c r="G96" s="15">
        <v>45251.8</v>
      </c>
      <c r="H96" s="15">
        <f>Tabla1[[#This Row],[Importe]]-Tabla1[[#This Row],[Pagado]]</f>
        <v>0</v>
      </c>
      <c r="I96" s="275" t="s">
        <v>15214</v>
      </c>
    </row>
    <row r="97" spans="1:9" x14ac:dyDescent="0.25">
      <c r="A97" s="16">
        <v>42917</v>
      </c>
      <c r="B97" s="273" t="s">
        <v>19917</v>
      </c>
      <c r="C97">
        <v>118251</v>
      </c>
      <c r="D97" s="236" t="s">
        <v>15391</v>
      </c>
      <c r="E97" s="15">
        <v>15169.6</v>
      </c>
      <c r="F97" s="274">
        <v>42919</v>
      </c>
      <c r="G97" s="15">
        <v>15169.6</v>
      </c>
      <c r="H97" s="15">
        <f>Tabla1[[#This Row],[Importe]]-Tabla1[[#This Row],[Pagado]]</f>
        <v>0</v>
      </c>
      <c r="I97" s="275" t="s">
        <v>15214</v>
      </c>
    </row>
    <row r="98" spans="1:9" x14ac:dyDescent="0.25">
      <c r="A98" s="16">
        <v>42917</v>
      </c>
      <c r="B98" s="273" t="s">
        <v>19918</v>
      </c>
      <c r="C98">
        <v>118252</v>
      </c>
      <c r="D98" s="236" t="s">
        <v>15566</v>
      </c>
      <c r="E98" s="15">
        <v>3929.4</v>
      </c>
      <c r="F98" s="274">
        <v>42917</v>
      </c>
      <c r="G98" s="15">
        <v>3929.4</v>
      </c>
      <c r="H98" s="15">
        <f>Tabla1[[#This Row],[Importe]]-Tabla1[[#This Row],[Pagado]]</f>
        <v>0</v>
      </c>
      <c r="I98" s="275" t="s">
        <v>15214</v>
      </c>
    </row>
    <row r="99" spans="1:9" x14ac:dyDescent="0.25">
      <c r="A99" s="16">
        <v>42917</v>
      </c>
      <c r="B99" s="273" t="s">
        <v>19919</v>
      </c>
      <c r="C99">
        <v>118253</v>
      </c>
      <c r="D99" s="236" t="s">
        <v>15250</v>
      </c>
      <c r="E99" s="15">
        <v>3856.04</v>
      </c>
      <c r="F99" s="274">
        <v>42931</v>
      </c>
      <c r="G99" s="15">
        <v>3856.04</v>
      </c>
      <c r="H99" s="15">
        <f>Tabla1[[#This Row],[Importe]]-Tabla1[[#This Row],[Pagado]]</f>
        <v>0</v>
      </c>
      <c r="I99" s="275" t="s">
        <v>15214</v>
      </c>
    </row>
    <row r="100" spans="1:9" x14ac:dyDescent="0.25">
      <c r="A100" s="16">
        <v>42917</v>
      </c>
      <c r="B100" s="273" t="s">
        <v>19920</v>
      </c>
      <c r="C100">
        <v>118254</v>
      </c>
      <c r="D100" s="236" t="s">
        <v>15250</v>
      </c>
      <c r="E100" s="15">
        <v>555</v>
      </c>
      <c r="F100" s="274">
        <v>42931</v>
      </c>
      <c r="G100" s="15">
        <v>555</v>
      </c>
      <c r="H100" s="15">
        <f>Tabla1[[#This Row],[Importe]]-Tabla1[[#This Row],[Pagado]]</f>
        <v>0</v>
      </c>
      <c r="I100" s="275" t="s">
        <v>15214</v>
      </c>
    </row>
    <row r="101" spans="1:9" x14ac:dyDescent="0.25">
      <c r="A101" s="16">
        <v>42917</v>
      </c>
      <c r="B101" s="273" t="s">
        <v>19921</v>
      </c>
      <c r="C101">
        <v>118255</v>
      </c>
      <c r="D101" s="236" t="s">
        <v>16383</v>
      </c>
      <c r="E101" s="15">
        <v>172.8</v>
      </c>
      <c r="F101" s="274">
        <v>42919</v>
      </c>
      <c r="G101" s="15">
        <v>172.8</v>
      </c>
      <c r="H101" s="15">
        <f>Tabla1[[#This Row],[Importe]]-Tabla1[[#This Row],[Pagado]]</f>
        <v>0</v>
      </c>
      <c r="I101" s="275" t="s">
        <v>15214</v>
      </c>
    </row>
    <row r="102" spans="1:9" x14ac:dyDescent="0.25">
      <c r="A102" s="16">
        <v>42917</v>
      </c>
      <c r="B102" s="273" t="s">
        <v>19922</v>
      </c>
      <c r="C102">
        <v>118256</v>
      </c>
      <c r="D102" s="236" t="s">
        <v>15250</v>
      </c>
      <c r="E102" s="15">
        <v>780</v>
      </c>
      <c r="F102" s="274">
        <v>42931</v>
      </c>
      <c r="G102" s="15">
        <v>780</v>
      </c>
      <c r="H102" s="15">
        <f>Tabla1[[#This Row],[Importe]]-Tabla1[[#This Row],[Pagado]]</f>
        <v>0</v>
      </c>
      <c r="I102" s="275" t="s">
        <v>15214</v>
      </c>
    </row>
    <row r="103" spans="1:9" x14ac:dyDescent="0.25">
      <c r="A103" s="16">
        <v>42917</v>
      </c>
      <c r="B103" s="273" t="s">
        <v>19923</v>
      </c>
      <c r="C103">
        <v>118257</v>
      </c>
      <c r="D103" s="236" t="s">
        <v>17708</v>
      </c>
      <c r="E103" s="15">
        <v>3489.6</v>
      </c>
      <c r="F103" s="274">
        <v>42919</v>
      </c>
      <c r="G103" s="15">
        <v>3489.6</v>
      </c>
      <c r="H103" s="15">
        <f>Tabla1[[#This Row],[Importe]]-Tabla1[[#This Row],[Pagado]]</f>
        <v>0</v>
      </c>
      <c r="I103" s="275" t="s">
        <v>15214</v>
      </c>
    </row>
    <row r="104" spans="1:9" x14ac:dyDescent="0.25">
      <c r="A104" s="16">
        <v>42917</v>
      </c>
      <c r="B104" s="273" t="s">
        <v>19924</v>
      </c>
      <c r="C104">
        <v>118258</v>
      </c>
      <c r="D104" s="236" t="s">
        <v>15254</v>
      </c>
      <c r="E104" s="15">
        <v>9959.4</v>
      </c>
      <c r="F104" s="274">
        <v>42919</v>
      </c>
      <c r="G104" s="15">
        <v>9959.4</v>
      </c>
      <c r="H104" s="15">
        <f>Tabla1[[#This Row],[Importe]]-Tabla1[[#This Row],[Pagado]]</f>
        <v>0</v>
      </c>
      <c r="I104" s="275" t="s">
        <v>15214</v>
      </c>
    </row>
    <row r="105" spans="1:9" x14ac:dyDescent="0.25">
      <c r="A105" s="16">
        <v>42917</v>
      </c>
      <c r="B105" s="273" t="s">
        <v>19925</v>
      </c>
      <c r="C105">
        <v>118259</v>
      </c>
      <c r="D105" s="236" t="s">
        <v>15363</v>
      </c>
      <c r="E105" s="15">
        <v>5095.5</v>
      </c>
      <c r="F105" s="274">
        <v>42919</v>
      </c>
      <c r="G105" s="15">
        <v>5095.5</v>
      </c>
      <c r="H105" s="15">
        <f>Tabla1[[#This Row],[Importe]]-Tabla1[[#This Row],[Pagado]]</f>
        <v>0</v>
      </c>
      <c r="I105" s="275" t="s">
        <v>15214</v>
      </c>
    </row>
    <row r="106" spans="1:9" x14ac:dyDescent="0.25">
      <c r="A106" s="16">
        <v>42917</v>
      </c>
      <c r="B106" s="273" t="s">
        <v>19926</v>
      </c>
      <c r="C106">
        <v>118260</v>
      </c>
      <c r="D106" s="236" t="s">
        <v>15315</v>
      </c>
      <c r="E106" s="15">
        <v>1863.2</v>
      </c>
      <c r="F106" s="274">
        <v>42919</v>
      </c>
      <c r="G106" s="15">
        <v>1863.2</v>
      </c>
      <c r="H106" s="15">
        <f>Tabla1[[#This Row],[Importe]]-Tabla1[[#This Row],[Pagado]]</f>
        <v>0</v>
      </c>
      <c r="I106" s="275" t="s">
        <v>15214</v>
      </c>
    </row>
    <row r="107" spans="1:9" x14ac:dyDescent="0.25">
      <c r="A107" s="16">
        <v>42917</v>
      </c>
      <c r="B107" s="273" t="s">
        <v>19927</v>
      </c>
      <c r="C107">
        <v>118261</v>
      </c>
      <c r="D107" s="236" t="s">
        <v>15282</v>
      </c>
      <c r="E107" s="15">
        <v>3344.2</v>
      </c>
      <c r="F107" s="274">
        <v>42917</v>
      </c>
      <c r="G107" s="15">
        <v>3344.2</v>
      </c>
      <c r="H107" s="15">
        <f>Tabla1[[#This Row],[Importe]]-Tabla1[[#This Row],[Pagado]]</f>
        <v>0</v>
      </c>
      <c r="I107" s="275" t="s">
        <v>15214</v>
      </c>
    </row>
    <row r="108" spans="1:9" x14ac:dyDescent="0.25">
      <c r="A108" s="16">
        <v>42917</v>
      </c>
      <c r="B108" s="273" t="s">
        <v>19928</v>
      </c>
      <c r="C108">
        <v>118262</v>
      </c>
      <c r="D108" s="236" t="s">
        <v>19768</v>
      </c>
      <c r="E108" s="15">
        <v>2450</v>
      </c>
      <c r="F108" s="274">
        <v>42917</v>
      </c>
      <c r="G108" s="15">
        <v>2450</v>
      </c>
      <c r="H108" s="15">
        <f>Tabla1[[#This Row],[Importe]]-Tabla1[[#This Row],[Pagado]]</f>
        <v>0</v>
      </c>
      <c r="I108" s="275" t="s">
        <v>15214</v>
      </c>
    </row>
    <row r="109" spans="1:9" x14ac:dyDescent="0.25">
      <c r="A109" s="16">
        <v>42917</v>
      </c>
      <c r="B109" s="273" t="s">
        <v>19929</v>
      </c>
      <c r="C109">
        <v>118263</v>
      </c>
      <c r="D109" s="236" t="s">
        <v>15396</v>
      </c>
      <c r="E109" s="15">
        <v>7101.1</v>
      </c>
      <c r="F109" s="274">
        <v>42917</v>
      </c>
      <c r="G109" s="15">
        <v>7101.1</v>
      </c>
      <c r="H109" s="15">
        <f>Tabla1[[#This Row],[Importe]]-Tabla1[[#This Row],[Pagado]]</f>
        <v>0</v>
      </c>
      <c r="I109" s="275" t="s">
        <v>15214</v>
      </c>
    </row>
    <row r="110" spans="1:9" x14ac:dyDescent="0.25">
      <c r="A110" s="16">
        <v>42917</v>
      </c>
      <c r="B110" s="273" t="s">
        <v>19930</v>
      </c>
      <c r="C110">
        <v>118264</v>
      </c>
      <c r="D110" s="236" t="s">
        <v>15642</v>
      </c>
      <c r="E110" s="15">
        <v>1946.1</v>
      </c>
      <c r="F110" s="274">
        <v>42917</v>
      </c>
      <c r="G110" s="15">
        <v>1946.1</v>
      </c>
      <c r="H110" s="15">
        <f>Tabla1[[#This Row],[Importe]]-Tabla1[[#This Row],[Pagado]]</f>
        <v>0</v>
      </c>
      <c r="I110" s="275" t="s">
        <v>15214</v>
      </c>
    </row>
    <row r="111" spans="1:9" x14ac:dyDescent="0.25">
      <c r="A111" s="16">
        <v>42917</v>
      </c>
      <c r="B111" s="273" t="s">
        <v>19931</v>
      </c>
      <c r="C111">
        <v>118265</v>
      </c>
      <c r="D111" s="236" t="s">
        <v>18076</v>
      </c>
      <c r="E111" s="15">
        <v>4564.5</v>
      </c>
      <c r="F111" s="274">
        <v>42917</v>
      </c>
      <c r="G111" s="15">
        <v>4564.5</v>
      </c>
      <c r="H111" s="15">
        <f>Tabla1[[#This Row],[Importe]]-Tabla1[[#This Row],[Pagado]]</f>
        <v>0</v>
      </c>
      <c r="I111" s="275" t="s">
        <v>15214</v>
      </c>
    </row>
    <row r="112" spans="1:9" x14ac:dyDescent="0.25">
      <c r="A112" s="16">
        <v>42917</v>
      </c>
      <c r="B112" s="273" t="s">
        <v>19932</v>
      </c>
      <c r="C112">
        <v>118266</v>
      </c>
      <c r="D112" s="236" t="s">
        <v>19933</v>
      </c>
      <c r="E112" s="15">
        <v>2690.4</v>
      </c>
      <c r="F112" s="274">
        <v>42917</v>
      </c>
      <c r="G112" s="15">
        <v>2690.4</v>
      </c>
      <c r="H112" s="15">
        <f>Tabla1[[#This Row],[Importe]]-Tabla1[[#This Row],[Pagado]]</f>
        <v>0</v>
      </c>
      <c r="I112" s="275" t="s">
        <v>15214</v>
      </c>
    </row>
    <row r="113" spans="1:9" x14ac:dyDescent="0.25">
      <c r="A113" s="16">
        <v>42917</v>
      </c>
      <c r="B113" s="273" t="s">
        <v>19934</v>
      </c>
      <c r="C113">
        <v>118267</v>
      </c>
      <c r="D113" s="236" t="s">
        <v>15328</v>
      </c>
      <c r="E113" s="15">
        <v>108452.5</v>
      </c>
      <c r="F113" s="274">
        <v>42934</v>
      </c>
      <c r="G113" s="15">
        <v>108452.5</v>
      </c>
      <c r="H113" s="15">
        <f>Tabla1[[#This Row],[Importe]]-Tabla1[[#This Row],[Pagado]]</f>
        <v>0</v>
      </c>
      <c r="I113" s="275" t="s">
        <v>15214</v>
      </c>
    </row>
    <row r="114" spans="1:9" x14ac:dyDescent="0.25">
      <c r="A114" s="16">
        <v>42917</v>
      </c>
      <c r="B114" s="273" t="s">
        <v>19935</v>
      </c>
      <c r="C114">
        <v>118268</v>
      </c>
      <c r="D114" s="236" t="s">
        <v>15276</v>
      </c>
      <c r="E114" s="15">
        <v>5880</v>
      </c>
      <c r="F114" s="274">
        <v>42917</v>
      </c>
      <c r="G114" s="15">
        <v>5880</v>
      </c>
      <c r="H114" s="15">
        <f>Tabla1[[#This Row],[Importe]]-Tabla1[[#This Row],[Pagado]]</f>
        <v>0</v>
      </c>
      <c r="I114" s="275" t="s">
        <v>15214</v>
      </c>
    </row>
    <row r="115" spans="1:9" x14ac:dyDescent="0.25">
      <c r="A115" s="16">
        <v>42917</v>
      </c>
      <c r="B115" s="273" t="s">
        <v>19936</v>
      </c>
      <c r="C115">
        <v>118269</v>
      </c>
      <c r="D115" s="236" t="s">
        <v>15291</v>
      </c>
      <c r="E115" s="15">
        <v>980</v>
      </c>
      <c r="F115" s="274">
        <v>42918</v>
      </c>
      <c r="G115" s="15">
        <v>980</v>
      </c>
      <c r="H115" s="15">
        <f>Tabla1[[#This Row],[Importe]]-Tabla1[[#This Row],[Pagado]]</f>
        <v>0</v>
      </c>
      <c r="I115" s="275" t="s">
        <v>15214</v>
      </c>
    </row>
    <row r="116" spans="1:9" x14ac:dyDescent="0.25">
      <c r="A116" s="16">
        <v>42917</v>
      </c>
      <c r="B116" s="273" t="s">
        <v>19937</v>
      </c>
      <c r="C116">
        <v>118270</v>
      </c>
      <c r="D116" s="236" t="s">
        <v>17235</v>
      </c>
      <c r="E116" s="15">
        <v>1144.08</v>
      </c>
      <c r="F116" s="274">
        <v>42918</v>
      </c>
      <c r="G116" s="15">
        <v>1144.08</v>
      </c>
      <c r="H116" s="15">
        <f>Tabla1[[#This Row],[Importe]]-Tabla1[[#This Row],[Pagado]]</f>
        <v>0</v>
      </c>
      <c r="I116" s="275" t="s">
        <v>15214</v>
      </c>
    </row>
    <row r="117" spans="1:9" x14ac:dyDescent="0.25">
      <c r="A117" s="16">
        <v>42917</v>
      </c>
      <c r="B117" s="273" t="s">
        <v>19938</v>
      </c>
      <c r="C117">
        <v>118271</v>
      </c>
      <c r="D117" s="236" t="s">
        <v>15417</v>
      </c>
      <c r="E117" s="15">
        <v>3633.6</v>
      </c>
      <c r="F117" s="274">
        <v>42918</v>
      </c>
      <c r="G117" s="15">
        <v>3633.6</v>
      </c>
      <c r="H117" s="15">
        <f>Tabla1[[#This Row],[Importe]]-Tabla1[[#This Row],[Pagado]]</f>
        <v>0</v>
      </c>
      <c r="I117" s="275" t="s">
        <v>15214</v>
      </c>
    </row>
    <row r="118" spans="1:9" x14ac:dyDescent="0.25">
      <c r="A118" s="16">
        <v>42917</v>
      </c>
      <c r="B118" s="273" t="s">
        <v>19939</v>
      </c>
      <c r="C118">
        <v>118272</v>
      </c>
      <c r="D118" s="236" t="s">
        <v>15378</v>
      </c>
      <c r="E118" s="15">
        <v>40</v>
      </c>
      <c r="F118" s="274">
        <v>42917</v>
      </c>
      <c r="G118" s="15">
        <v>40</v>
      </c>
      <c r="H118" s="15">
        <f>Tabla1[[#This Row],[Importe]]-Tabla1[[#This Row],[Pagado]]</f>
        <v>0</v>
      </c>
      <c r="I118" s="275" t="s">
        <v>15214</v>
      </c>
    </row>
    <row r="119" spans="1:9" x14ac:dyDescent="0.25">
      <c r="A119" s="16">
        <v>42917</v>
      </c>
      <c r="B119" s="273" t="s">
        <v>19940</v>
      </c>
      <c r="C119">
        <v>118273</v>
      </c>
      <c r="D119" s="236" t="s">
        <v>16277</v>
      </c>
      <c r="E119" s="15">
        <v>592.5</v>
      </c>
      <c r="F119" s="274">
        <v>42918</v>
      </c>
      <c r="G119" s="15">
        <v>592.5</v>
      </c>
      <c r="H119" s="15">
        <f>Tabla1[[#This Row],[Importe]]-Tabla1[[#This Row],[Pagado]]</f>
        <v>0</v>
      </c>
      <c r="I119" s="275" t="s">
        <v>15214</v>
      </c>
    </row>
    <row r="120" spans="1:9" x14ac:dyDescent="0.25">
      <c r="A120" s="16">
        <v>42917</v>
      </c>
      <c r="B120" s="273" t="s">
        <v>19941</v>
      </c>
      <c r="C120">
        <v>118274</v>
      </c>
      <c r="D120" s="236" t="s">
        <v>15305</v>
      </c>
      <c r="E120" s="15">
        <v>959.4</v>
      </c>
      <c r="F120" s="274">
        <v>42918</v>
      </c>
      <c r="G120" s="15">
        <v>959.4</v>
      </c>
      <c r="H120" s="15">
        <f>Tabla1[[#This Row],[Importe]]-Tabla1[[#This Row],[Pagado]]</f>
        <v>0</v>
      </c>
      <c r="I120" s="275" t="s">
        <v>15214</v>
      </c>
    </row>
    <row r="121" spans="1:9" x14ac:dyDescent="0.25">
      <c r="A121" s="16">
        <v>42917</v>
      </c>
      <c r="B121" s="273" t="s">
        <v>19942</v>
      </c>
      <c r="C121">
        <v>118275</v>
      </c>
      <c r="D121" s="236" t="s">
        <v>15307</v>
      </c>
      <c r="E121" s="15">
        <v>3370.6</v>
      </c>
      <c r="F121" s="274">
        <v>42918</v>
      </c>
      <c r="G121" s="15">
        <v>3370.6</v>
      </c>
      <c r="H121" s="15">
        <f>Tabla1[[#This Row],[Importe]]-Tabla1[[#This Row],[Pagado]]</f>
        <v>0</v>
      </c>
      <c r="I121" s="275" t="s">
        <v>15214</v>
      </c>
    </row>
    <row r="122" spans="1:9" x14ac:dyDescent="0.25">
      <c r="A122" s="16">
        <v>42917</v>
      </c>
      <c r="B122" s="273" t="s">
        <v>19943</v>
      </c>
      <c r="C122">
        <v>118276</v>
      </c>
      <c r="D122" s="236" t="s">
        <v>15309</v>
      </c>
      <c r="E122" s="15">
        <v>7513</v>
      </c>
      <c r="F122" s="274">
        <v>42920</v>
      </c>
      <c r="G122" s="15">
        <v>7513</v>
      </c>
      <c r="H122" s="15">
        <f>Tabla1[[#This Row],[Importe]]-Tabla1[[#This Row],[Pagado]]</f>
        <v>0</v>
      </c>
      <c r="I122" s="275" t="s">
        <v>15214</v>
      </c>
    </row>
    <row r="123" spans="1:9" x14ac:dyDescent="0.25">
      <c r="A123" s="16">
        <v>42917</v>
      </c>
      <c r="B123" s="273" t="s">
        <v>19944</v>
      </c>
      <c r="C123">
        <v>118277</v>
      </c>
      <c r="D123" s="236" t="s">
        <v>15315</v>
      </c>
      <c r="E123" s="15">
        <v>388.8</v>
      </c>
      <c r="F123" s="274">
        <v>42918</v>
      </c>
      <c r="G123" s="15">
        <v>388.8</v>
      </c>
      <c r="H123" s="15">
        <f>Tabla1[[#This Row],[Importe]]-Tabla1[[#This Row],[Pagado]]</f>
        <v>0</v>
      </c>
      <c r="I123" s="275" t="s">
        <v>15214</v>
      </c>
    </row>
    <row r="124" spans="1:9" x14ac:dyDescent="0.25">
      <c r="A124" s="16">
        <v>42917</v>
      </c>
      <c r="B124" s="273" t="s">
        <v>19945</v>
      </c>
      <c r="C124">
        <v>118278</v>
      </c>
      <c r="D124" s="236" t="s">
        <v>15716</v>
      </c>
      <c r="E124" s="15">
        <v>10468.4</v>
      </c>
      <c r="F124" s="274">
        <v>42917</v>
      </c>
      <c r="G124" s="15">
        <v>10468.4</v>
      </c>
      <c r="H124" s="15">
        <f>Tabla1[[#This Row],[Importe]]-Tabla1[[#This Row],[Pagado]]</f>
        <v>0</v>
      </c>
      <c r="I124" s="275" t="s">
        <v>15214</v>
      </c>
    </row>
    <row r="125" spans="1:9" x14ac:dyDescent="0.25">
      <c r="A125" s="16">
        <v>42917</v>
      </c>
      <c r="B125" s="273" t="s">
        <v>19946</v>
      </c>
      <c r="C125">
        <v>118279</v>
      </c>
      <c r="D125" s="236" t="s">
        <v>15328</v>
      </c>
      <c r="E125" s="15">
        <v>27251.72</v>
      </c>
      <c r="F125" s="274">
        <v>42934</v>
      </c>
      <c r="G125" s="15">
        <v>27251.72</v>
      </c>
      <c r="H125" s="15">
        <f>Tabla1[[#This Row],[Importe]]-Tabla1[[#This Row],[Pagado]]</f>
        <v>0</v>
      </c>
      <c r="I125" s="275" t="s">
        <v>15214</v>
      </c>
    </row>
    <row r="126" spans="1:9" x14ac:dyDescent="0.25">
      <c r="A126" s="16">
        <v>42917</v>
      </c>
      <c r="B126" s="273" t="s">
        <v>19947</v>
      </c>
      <c r="C126">
        <v>118280</v>
      </c>
      <c r="D126" s="236" t="s">
        <v>15213</v>
      </c>
      <c r="E126" s="15">
        <v>9561.2000000000007</v>
      </c>
      <c r="F126" s="274">
        <v>42919</v>
      </c>
      <c r="G126" s="15">
        <v>9561.2000000000007</v>
      </c>
      <c r="H126" s="15">
        <f>Tabla1[[#This Row],[Importe]]-Tabla1[[#This Row],[Pagado]]</f>
        <v>0</v>
      </c>
      <c r="I126" s="275" t="s">
        <v>15214</v>
      </c>
    </row>
    <row r="127" spans="1:9" ht="15.75" x14ac:dyDescent="0.25">
      <c r="A127" s="16">
        <v>42917</v>
      </c>
      <c r="B127" s="273" t="s">
        <v>19948</v>
      </c>
      <c r="C127">
        <v>118281</v>
      </c>
      <c r="D127" s="248" t="s">
        <v>95</v>
      </c>
      <c r="E127" s="15">
        <v>0</v>
      </c>
      <c r="F127" s="277" t="s">
        <v>95</v>
      </c>
      <c r="G127" s="15">
        <v>0</v>
      </c>
      <c r="H127" s="15">
        <f>Tabla1[[#This Row],[Importe]]-Tabla1[[#This Row],[Pagado]]</f>
        <v>0</v>
      </c>
      <c r="I127" s="275" t="s">
        <v>95</v>
      </c>
    </row>
    <row r="128" spans="1:9" x14ac:dyDescent="0.25">
      <c r="A128" s="16">
        <v>42917</v>
      </c>
      <c r="B128" s="273" t="s">
        <v>19949</v>
      </c>
      <c r="C128">
        <v>118282</v>
      </c>
      <c r="D128" s="236" t="s">
        <v>15315</v>
      </c>
      <c r="E128" s="15">
        <v>640</v>
      </c>
      <c r="F128" s="274">
        <v>42917</v>
      </c>
      <c r="G128" s="15">
        <v>640</v>
      </c>
      <c r="H128" s="15">
        <f>Tabla1[[#This Row],[Importe]]-Tabla1[[#This Row],[Pagado]]</f>
        <v>0</v>
      </c>
      <c r="I128" s="275" t="s">
        <v>15214</v>
      </c>
    </row>
    <row r="129" spans="1:9" ht="15.75" x14ac:dyDescent="0.25">
      <c r="A129" s="16">
        <v>42917</v>
      </c>
      <c r="B129" s="273" t="s">
        <v>19950</v>
      </c>
      <c r="C129">
        <v>118283</v>
      </c>
      <c r="D129" s="248" t="s">
        <v>95</v>
      </c>
      <c r="E129" s="15">
        <v>0</v>
      </c>
      <c r="F129" s="277" t="s">
        <v>95</v>
      </c>
      <c r="G129" s="15">
        <v>0</v>
      </c>
      <c r="H129" s="15">
        <f>Tabla1[[#This Row],[Importe]]-Tabla1[[#This Row],[Pagado]]</f>
        <v>0</v>
      </c>
      <c r="I129" s="275" t="s">
        <v>95</v>
      </c>
    </row>
    <row r="130" spans="1:9" x14ac:dyDescent="0.25">
      <c r="A130" s="16">
        <v>42917</v>
      </c>
      <c r="B130" s="273" t="s">
        <v>19951</v>
      </c>
      <c r="C130">
        <v>118284</v>
      </c>
      <c r="D130" s="236" t="s">
        <v>15789</v>
      </c>
      <c r="E130" s="15">
        <v>23107.200000000001</v>
      </c>
      <c r="F130" s="274">
        <v>42924</v>
      </c>
      <c r="G130" s="15">
        <v>23107.200000000001</v>
      </c>
      <c r="H130" s="15">
        <f>Tabla1[[#This Row],[Importe]]-Tabla1[[#This Row],[Pagado]]</f>
        <v>0</v>
      </c>
      <c r="I130" s="275" t="s">
        <v>15214</v>
      </c>
    </row>
    <row r="131" spans="1:9" x14ac:dyDescent="0.25">
      <c r="A131" s="16">
        <v>42917</v>
      </c>
      <c r="B131" s="273" t="s">
        <v>19952</v>
      </c>
      <c r="C131">
        <v>118285</v>
      </c>
      <c r="D131" s="236" t="s">
        <v>15423</v>
      </c>
      <c r="E131" s="15">
        <v>1734.6</v>
      </c>
      <c r="F131" s="274">
        <v>42917</v>
      </c>
      <c r="G131" s="15">
        <v>1734.6</v>
      </c>
      <c r="H131" s="15">
        <f>Tabla1[[#This Row],[Importe]]-Tabla1[[#This Row],[Pagado]]</f>
        <v>0</v>
      </c>
      <c r="I131" s="275" t="s">
        <v>15214</v>
      </c>
    </row>
    <row r="132" spans="1:9" x14ac:dyDescent="0.25">
      <c r="A132" s="16">
        <v>42917</v>
      </c>
      <c r="B132" s="273" t="s">
        <v>19953</v>
      </c>
      <c r="C132">
        <v>118286</v>
      </c>
      <c r="D132" s="236" t="s">
        <v>15223</v>
      </c>
      <c r="E132" s="15">
        <v>65070</v>
      </c>
      <c r="F132" s="274" t="s">
        <v>19954</v>
      </c>
      <c r="G132" s="15">
        <v>65070</v>
      </c>
      <c r="H132" s="15">
        <f>Tabla1[[#This Row],[Importe]]-Tabla1[[#This Row],[Pagado]]</f>
        <v>0</v>
      </c>
      <c r="I132" s="275" t="s">
        <v>15214</v>
      </c>
    </row>
    <row r="133" spans="1:9" x14ac:dyDescent="0.25">
      <c r="A133" s="16">
        <v>42917</v>
      </c>
      <c r="B133" s="273" t="s">
        <v>19955</v>
      </c>
      <c r="C133">
        <v>118287</v>
      </c>
      <c r="D133" s="236" t="s">
        <v>15681</v>
      </c>
      <c r="E133" s="15">
        <v>3674.8</v>
      </c>
      <c r="F133" s="274">
        <v>42917</v>
      </c>
      <c r="G133" s="15">
        <v>3674.8</v>
      </c>
      <c r="H133" s="15">
        <f>Tabla1[[#This Row],[Importe]]-Tabla1[[#This Row],[Pagado]]</f>
        <v>0</v>
      </c>
      <c r="I133" s="275" t="s">
        <v>15214</v>
      </c>
    </row>
    <row r="134" spans="1:9" x14ac:dyDescent="0.25">
      <c r="A134" s="16">
        <v>42917</v>
      </c>
      <c r="B134" s="273" t="s">
        <v>19956</v>
      </c>
      <c r="C134">
        <v>118288</v>
      </c>
      <c r="D134" s="236" t="s">
        <v>5873</v>
      </c>
      <c r="E134" s="15">
        <v>66163.77</v>
      </c>
      <c r="F134" s="274">
        <v>42919</v>
      </c>
      <c r="G134" s="15">
        <v>66163.77</v>
      </c>
      <c r="H134" s="15">
        <f>Tabla1[[#This Row],[Importe]]-Tabla1[[#This Row],[Pagado]]</f>
        <v>0</v>
      </c>
      <c r="I134" s="275" t="s">
        <v>15214</v>
      </c>
    </row>
    <row r="135" spans="1:9" x14ac:dyDescent="0.25">
      <c r="A135" s="16">
        <v>42917</v>
      </c>
      <c r="B135" s="273" t="s">
        <v>19957</v>
      </c>
      <c r="C135">
        <v>118289</v>
      </c>
      <c r="D135" s="236" t="s">
        <v>15246</v>
      </c>
      <c r="E135" s="15">
        <v>342738.23</v>
      </c>
      <c r="F135" s="274">
        <v>42921</v>
      </c>
      <c r="G135" s="15">
        <v>342738.23</v>
      </c>
      <c r="H135" s="15">
        <f>Tabla1[[#This Row],[Importe]]-Tabla1[[#This Row],[Pagado]]</f>
        <v>0</v>
      </c>
      <c r="I135" s="275" t="s">
        <v>15214</v>
      </c>
    </row>
    <row r="136" spans="1:9" ht="31.5" x14ac:dyDescent="0.25">
      <c r="A136" s="16">
        <v>42917</v>
      </c>
      <c r="B136" s="273" t="s">
        <v>19958</v>
      </c>
      <c r="C136">
        <v>118290</v>
      </c>
      <c r="D136" s="236" t="s">
        <v>19959</v>
      </c>
      <c r="E136" s="15">
        <v>0</v>
      </c>
      <c r="F136" s="277" t="s">
        <v>19960</v>
      </c>
      <c r="G136" s="15">
        <v>0</v>
      </c>
      <c r="H136" s="15">
        <f>Tabla1[[#This Row],[Importe]]-Tabla1[[#This Row],[Pagado]]</f>
        <v>0</v>
      </c>
      <c r="I136" s="275" t="s">
        <v>95</v>
      </c>
    </row>
    <row r="137" spans="1:9" x14ac:dyDescent="0.25">
      <c r="A137" s="16">
        <v>42917</v>
      </c>
      <c r="B137" s="273" t="s">
        <v>19961</v>
      </c>
      <c r="C137">
        <v>118291</v>
      </c>
      <c r="D137" s="236" t="s">
        <v>15668</v>
      </c>
      <c r="E137" s="15">
        <v>4575.6000000000004</v>
      </c>
      <c r="F137" s="274">
        <v>42919</v>
      </c>
      <c r="G137" s="15">
        <v>4575.6000000000004</v>
      </c>
      <c r="H137" s="15">
        <f>Tabla1[[#This Row],[Importe]]-Tabla1[[#This Row],[Pagado]]</f>
        <v>0</v>
      </c>
      <c r="I137" s="275" t="s">
        <v>15214</v>
      </c>
    </row>
    <row r="138" spans="1:9" x14ac:dyDescent="0.25">
      <c r="A138" s="16">
        <v>42917</v>
      </c>
      <c r="B138" s="273" t="s">
        <v>19962</v>
      </c>
      <c r="C138">
        <v>118292</v>
      </c>
      <c r="D138" s="236" t="s">
        <v>15315</v>
      </c>
      <c r="E138" s="15">
        <v>2320</v>
      </c>
      <c r="F138" s="274">
        <v>42917</v>
      </c>
      <c r="G138" s="15">
        <v>2320</v>
      </c>
      <c r="H138" s="15">
        <f>Tabla1[[#This Row],[Importe]]-Tabla1[[#This Row],[Pagado]]</f>
        <v>0</v>
      </c>
      <c r="I138" s="275" t="s">
        <v>15214</v>
      </c>
    </row>
    <row r="139" spans="1:9" x14ac:dyDescent="0.25">
      <c r="A139" s="16">
        <v>42917</v>
      </c>
      <c r="B139" s="273" t="s">
        <v>19963</v>
      </c>
      <c r="C139">
        <v>118293</v>
      </c>
      <c r="D139" s="236" t="s">
        <v>19964</v>
      </c>
      <c r="E139" s="15">
        <v>185</v>
      </c>
      <c r="F139" s="274">
        <v>42917</v>
      </c>
      <c r="G139" s="15">
        <v>185</v>
      </c>
      <c r="H139" s="15">
        <f>Tabla1[[#This Row],[Importe]]-Tabla1[[#This Row],[Pagado]]</f>
        <v>0</v>
      </c>
      <c r="I139" s="275" t="s">
        <v>15214</v>
      </c>
    </row>
    <row r="140" spans="1:9" x14ac:dyDescent="0.25">
      <c r="A140" s="16">
        <v>42917</v>
      </c>
      <c r="B140" s="273" t="s">
        <v>19965</v>
      </c>
      <c r="C140">
        <v>118294</v>
      </c>
      <c r="D140" s="236" t="s">
        <v>15284</v>
      </c>
      <c r="E140" s="15">
        <v>1137.3</v>
      </c>
      <c r="F140" s="274">
        <v>42917</v>
      </c>
      <c r="G140" s="15">
        <v>1137.3</v>
      </c>
      <c r="H140" s="15">
        <f>Tabla1[[#This Row],[Importe]]-Tabla1[[#This Row],[Pagado]]</f>
        <v>0</v>
      </c>
      <c r="I140" s="275" t="s">
        <v>15214</v>
      </c>
    </row>
    <row r="141" spans="1:9" x14ac:dyDescent="0.25">
      <c r="A141" s="16">
        <v>42917</v>
      </c>
      <c r="B141" s="273" t="s">
        <v>19966</v>
      </c>
      <c r="C141">
        <v>118295</v>
      </c>
      <c r="D141" s="236" t="s">
        <v>15322</v>
      </c>
      <c r="E141" s="15">
        <v>4704</v>
      </c>
      <c r="F141" s="274">
        <v>42919</v>
      </c>
      <c r="G141" s="15">
        <v>4704</v>
      </c>
      <c r="H141" s="15">
        <f>Tabla1[[#This Row],[Importe]]-Tabla1[[#This Row],[Pagado]]</f>
        <v>0</v>
      </c>
      <c r="I141" s="275" t="s">
        <v>15214</v>
      </c>
    </row>
    <row r="142" spans="1:9" x14ac:dyDescent="0.25">
      <c r="A142" s="16">
        <v>42917</v>
      </c>
      <c r="B142" s="273" t="s">
        <v>19967</v>
      </c>
      <c r="C142">
        <v>118296</v>
      </c>
      <c r="D142" s="236" t="s">
        <v>15725</v>
      </c>
      <c r="E142" s="15">
        <v>28960.799999999999</v>
      </c>
      <c r="F142" s="274">
        <v>42919</v>
      </c>
      <c r="G142" s="15">
        <v>28960.799999999999</v>
      </c>
      <c r="H142" s="15">
        <f>Tabla1[[#This Row],[Importe]]-Tabla1[[#This Row],[Pagado]]</f>
        <v>0</v>
      </c>
      <c r="I142" s="275" t="s">
        <v>15214</v>
      </c>
    </row>
    <row r="143" spans="1:9" x14ac:dyDescent="0.25">
      <c r="A143" s="16">
        <v>42917</v>
      </c>
      <c r="B143" s="273" t="s">
        <v>19968</v>
      </c>
      <c r="C143">
        <v>118297</v>
      </c>
      <c r="D143" s="236" t="s">
        <v>15590</v>
      </c>
      <c r="E143" s="15">
        <v>42761.599999999999</v>
      </c>
      <c r="F143" s="274">
        <v>42928</v>
      </c>
      <c r="G143" s="15">
        <v>42761.599999999999</v>
      </c>
      <c r="H143" s="15">
        <f>Tabla1[[#This Row],[Importe]]-Tabla1[[#This Row],[Pagado]]</f>
        <v>0</v>
      </c>
      <c r="I143" s="275" t="s">
        <v>15214</v>
      </c>
    </row>
    <row r="144" spans="1:9" ht="15.75" x14ac:dyDescent="0.25">
      <c r="A144" s="16">
        <v>42917</v>
      </c>
      <c r="B144" s="273" t="s">
        <v>19969</v>
      </c>
      <c r="C144">
        <v>118298</v>
      </c>
      <c r="D144" s="248" t="s">
        <v>95</v>
      </c>
      <c r="E144" s="15">
        <v>0</v>
      </c>
      <c r="F144" s="277" t="s">
        <v>95</v>
      </c>
      <c r="G144" s="15">
        <v>0</v>
      </c>
      <c r="H144" s="15">
        <f>Tabla1[[#This Row],[Importe]]-Tabla1[[#This Row],[Pagado]]</f>
        <v>0</v>
      </c>
      <c r="I144" s="275" t="s">
        <v>95</v>
      </c>
    </row>
    <row r="145" spans="1:9" x14ac:dyDescent="0.25">
      <c r="A145" s="16">
        <v>42917</v>
      </c>
      <c r="B145" s="273" t="s">
        <v>19970</v>
      </c>
      <c r="C145">
        <v>118299</v>
      </c>
      <c r="D145" s="236" t="s">
        <v>15442</v>
      </c>
      <c r="E145" s="15">
        <v>14544</v>
      </c>
      <c r="F145" s="274">
        <v>42927</v>
      </c>
      <c r="G145" s="15">
        <v>14544</v>
      </c>
      <c r="H145" s="15">
        <f>Tabla1[[#This Row],[Importe]]-Tabla1[[#This Row],[Pagado]]</f>
        <v>0</v>
      </c>
      <c r="I145" s="275" t="s">
        <v>15214</v>
      </c>
    </row>
    <row r="146" spans="1:9" x14ac:dyDescent="0.25">
      <c r="A146" s="16">
        <v>42917</v>
      </c>
      <c r="B146" s="273" t="s">
        <v>19971</v>
      </c>
      <c r="C146">
        <v>118300</v>
      </c>
      <c r="D146" s="236" t="s">
        <v>16064</v>
      </c>
      <c r="E146" s="15">
        <v>4749.8999999999996</v>
      </c>
      <c r="F146" s="274">
        <v>42919</v>
      </c>
      <c r="G146" s="15">
        <v>4749.8999999999996</v>
      </c>
      <c r="H146" s="15">
        <f>Tabla1[[#This Row],[Importe]]-Tabla1[[#This Row],[Pagado]]</f>
        <v>0</v>
      </c>
      <c r="I146" s="275" t="s">
        <v>15214</v>
      </c>
    </row>
    <row r="147" spans="1:9" x14ac:dyDescent="0.25">
      <c r="A147" s="16">
        <v>42917</v>
      </c>
      <c r="B147" s="273" t="s">
        <v>19972</v>
      </c>
      <c r="C147">
        <v>118301</v>
      </c>
      <c r="D147" s="236" t="s">
        <v>15642</v>
      </c>
      <c r="E147" s="15">
        <v>9515.1</v>
      </c>
      <c r="F147" s="274">
        <v>42917</v>
      </c>
      <c r="G147" s="15">
        <v>9515.1</v>
      </c>
      <c r="H147" s="15">
        <f>Tabla1[[#This Row],[Importe]]-Tabla1[[#This Row],[Pagado]]</f>
        <v>0</v>
      </c>
      <c r="I147" s="275" t="s">
        <v>15214</v>
      </c>
    </row>
    <row r="148" spans="1:9" x14ac:dyDescent="0.25">
      <c r="A148" s="16">
        <v>42917</v>
      </c>
      <c r="B148" s="273" t="s">
        <v>19973</v>
      </c>
      <c r="C148">
        <v>118302</v>
      </c>
      <c r="D148" s="236" t="s">
        <v>15642</v>
      </c>
      <c r="E148" s="15">
        <v>1850.1</v>
      </c>
      <c r="F148" s="274">
        <v>42917</v>
      </c>
      <c r="G148" s="15">
        <v>1850.1</v>
      </c>
      <c r="H148" s="15">
        <f>Tabla1[[#This Row],[Importe]]-Tabla1[[#This Row],[Pagado]]</f>
        <v>0</v>
      </c>
      <c r="I148" s="275" t="s">
        <v>15214</v>
      </c>
    </row>
    <row r="149" spans="1:9" x14ac:dyDescent="0.25">
      <c r="A149" s="16">
        <v>42917</v>
      </c>
      <c r="B149" s="273" t="s">
        <v>19974</v>
      </c>
      <c r="C149">
        <v>118303</v>
      </c>
      <c r="D149" s="236" t="s">
        <v>15328</v>
      </c>
      <c r="E149" s="15">
        <v>22881.599999999999</v>
      </c>
      <c r="F149" s="274">
        <v>42934</v>
      </c>
      <c r="G149" s="15">
        <v>22881.599999999999</v>
      </c>
      <c r="H149" s="15">
        <f>Tabla1[[#This Row],[Importe]]-Tabla1[[#This Row],[Pagado]]</f>
        <v>0</v>
      </c>
      <c r="I149" s="275" t="s">
        <v>15214</v>
      </c>
    </row>
    <row r="150" spans="1:9" x14ac:dyDescent="0.25">
      <c r="A150" s="16">
        <v>42917</v>
      </c>
      <c r="B150" s="273" t="s">
        <v>19975</v>
      </c>
      <c r="C150">
        <v>118304</v>
      </c>
      <c r="D150" s="236" t="s">
        <v>15365</v>
      </c>
      <c r="E150" s="15">
        <v>469648</v>
      </c>
      <c r="F150" s="274">
        <v>42924</v>
      </c>
      <c r="G150" s="15">
        <v>469648</v>
      </c>
      <c r="H150" s="15">
        <f>Tabla1[[#This Row],[Importe]]-Tabla1[[#This Row],[Pagado]]</f>
        <v>0</v>
      </c>
      <c r="I150" s="275" t="s">
        <v>15214</v>
      </c>
    </row>
    <row r="151" spans="1:9" x14ac:dyDescent="0.25">
      <c r="A151" s="16">
        <v>42917</v>
      </c>
      <c r="B151" s="273" t="s">
        <v>19976</v>
      </c>
      <c r="C151">
        <v>118305</v>
      </c>
      <c r="D151" s="236" t="s">
        <v>15858</v>
      </c>
      <c r="E151" s="15">
        <v>385</v>
      </c>
      <c r="F151" s="274">
        <v>42919</v>
      </c>
      <c r="G151" s="15">
        <v>385</v>
      </c>
      <c r="H151" s="15">
        <f>Tabla1[[#This Row],[Importe]]-Tabla1[[#This Row],[Pagado]]</f>
        <v>0</v>
      </c>
      <c r="I151" s="275" t="s">
        <v>15214</v>
      </c>
    </row>
    <row r="152" spans="1:9" x14ac:dyDescent="0.25">
      <c r="A152" s="16">
        <v>42917</v>
      </c>
      <c r="B152" s="273" t="s">
        <v>19977</v>
      </c>
      <c r="C152">
        <v>118306</v>
      </c>
      <c r="D152" s="236" t="s">
        <v>15344</v>
      </c>
      <c r="E152" s="15">
        <v>2264.4</v>
      </c>
      <c r="F152" s="274">
        <v>42919</v>
      </c>
      <c r="G152" s="15">
        <v>2264.4</v>
      </c>
      <c r="H152" s="15">
        <f>Tabla1[[#This Row],[Importe]]-Tabla1[[#This Row],[Pagado]]</f>
        <v>0</v>
      </c>
      <c r="I152" s="275" t="s">
        <v>15214</v>
      </c>
    </row>
    <row r="153" spans="1:9" x14ac:dyDescent="0.25">
      <c r="A153" s="16">
        <v>42917</v>
      </c>
      <c r="B153" s="273" t="s">
        <v>19978</v>
      </c>
      <c r="C153">
        <v>118307</v>
      </c>
      <c r="D153" s="236" t="s">
        <v>15344</v>
      </c>
      <c r="E153" s="15">
        <v>2069.6</v>
      </c>
      <c r="F153" s="274">
        <v>42919</v>
      </c>
      <c r="G153" s="15">
        <v>2069.6</v>
      </c>
      <c r="H153" s="15">
        <f>Tabla1[[#This Row],[Importe]]-Tabla1[[#This Row],[Pagado]]</f>
        <v>0</v>
      </c>
      <c r="I153" s="275" t="s">
        <v>15214</v>
      </c>
    </row>
    <row r="154" spans="1:9" x14ac:dyDescent="0.25">
      <c r="A154" s="16">
        <v>42917</v>
      </c>
      <c r="B154" s="273" t="s">
        <v>19979</v>
      </c>
      <c r="C154">
        <v>118308</v>
      </c>
      <c r="D154" s="236" t="s">
        <v>15526</v>
      </c>
      <c r="E154" s="15">
        <v>6074.1</v>
      </c>
      <c r="F154" s="274">
        <v>42919</v>
      </c>
      <c r="G154" s="15">
        <v>6074.1</v>
      </c>
      <c r="H154" s="15">
        <f>Tabla1[[#This Row],[Importe]]-Tabla1[[#This Row],[Pagado]]</f>
        <v>0</v>
      </c>
      <c r="I154" s="275" t="s">
        <v>15214</v>
      </c>
    </row>
    <row r="155" spans="1:9" x14ac:dyDescent="0.25">
      <c r="A155" s="16">
        <v>42917</v>
      </c>
      <c r="B155" s="273" t="s">
        <v>19980</v>
      </c>
      <c r="C155">
        <v>118309</v>
      </c>
      <c r="D155" s="236" t="s">
        <v>15226</v>
      </c>
      <c r="E155" s="15">
        <v>1420</v>
      </c>
      <c r="F155" s="274">
        <v>42919</v>
      </c>
      <c r="G155" s="15">
        <v>1420</v>
      </c>
      <c r="H155" s="15">
        <f>Tabla1[[#This Row],[Importe]]-Tabla1[[#This Row],[Pagado]]</f>
        <v>0</v>
      </c>
      <c r="I155" s="275" t="s">
        <v>15214</v>
      </c>
    </row>
    <row r="156" spans="1:9" x14ac:dyDescent="0.25">
      <c r="A156" s="16">
        <v>42917</v>
      </c>
      <c r="B156" s="273" t="s">
        <v>19981</v>
      </c>
      <c r="C156">
        <v>118310</v>
      </c>
      <c r="D156" s="236" t="s">
        <v>15220</v>
      </c>
      <c r="E156" s="15">
        <v>5390</v>
      </c>
      <c r="F156" s="274">
        <v>42918</v>
      </c>
      <c r="G156" s="15">
        <v>5390</v>
      </c>
      <c r="H156" s="15">
        <f>Tabla1[[#This Row],[Importe]]-Tabla1[[#This Row],[Pagado]]</f>
        <v>0</v>
      </c>
      <c r="I156" s="275" t="s">
        <v>15214</v>
      </c>
    </row>
    <row r="157" spans="1:9" x14ac:dyDescent="0.25">
      <c r="A157" s="16">
        <v>42917</v>
      </c>
      <c r="B157" s="273" t="s">
        <v>19982</v>
      </c>
      <c r="C157">
        <v>118311</v>
      </c>
      <c r="D157" s="236" t="s">
        <v>15789</v>
      </c>
      <c r="E157" s="15">
        <v>231.2</v>
      </c>
      <c r="F157" s="274">
        <v>42924</v>
      </c>
      <c r="G157" s="15">
        <v>231.2</v>
      </c>
      <c r="H157" s="15">
        <f>Tabla1[[#This Row],[Importe]]-Tabla1[[#This Row],[Pagado]]</f>
        <v>0</v>
      </c>
      <c r="I157" s="275" t="s">
        <v>15214</v>
      </c>
    </row>
    <row r="158" spans="1:9" x14ac:dyDescent="0.25">
      <c r="A158" s="16">
        <v>42917</v>
      </c>
      <c r="B158" s="273" t="s">
        <v>19983</v>
      </c>
      <c r="C158">
        <v>118312</v>
      </c>
      <c r="D158" s="236" t="s">
        <v>15246</v>
      </c>
      <c r="E158" s="15">
        <v>167123.31</v>
      </c>
      <c r="F158" s="274">
        <v>42921</v>
      </c>
      <c r="G158" s="15">
        <v>167123.31</v>
      </c>
      <c r="H158" s="15">
        <f>Tabla1[[#This Row],[Importe]]-Tabla1[[#This Row],[Pagado]]</f>
        <v>0</v>
      </c>
      <c r="I158" s="275" t="s">
        <v>15214</v>
      </c>
    </row>
    <row r="159" spans="1:9" x14ac:dyDescent="0.25">
      <c r="A159" s="16">
        <v>42917</v>
      </c>
      <c r="B159" s="273" t="s">
        <v>19984</v>
      </c>
      <c r="C159">
        <v>118313</v>
      </c>
      <c r="D159" s="236" t="s">
        <v>15246</v>
      </c>
      <c r="E159" s="15">
        <v>99621.8</v>
      </c>
      <c r="F159" s="274">
        <v>42921</v>
      </c>
      <c r="G159" s="15">
        <v>99621.8</v>
      </c>
      <c r="H159" s="15">
        <f>Tabla1[[#This Row],[Importe]]-Tabla1[[#This Row],[Pagado]]</f>
        <v>0</v>
      </c>
      <c r="I159" s="275" t="s">
        <v>15214</v>
      </c>
    </row>
    <row r="160" spans="1:9" x14ac:dyDescent="0.25">
      <c r="A160" s="16">
        <v>42918</v>
      </c>
      <c r="B160" s="273" t="s">
        <v>19985</v>
      </c>
      <c r="C160">
        <v>118314</v>
      </c>
      <c r="D160" s="236" t="s">
        <v>15213</v>
      </c>
      <c r="E160" s="15">
        <v>39030.400000000001</v>
      </c>
      <c r="F160" s="274">
        <v>42919</v>
      </c>
      <c r="G160" s="15">
        <v>39030.400000000001</v>
      </c>
      <c r="H160" s="15">
        <f>Tabla1[[#This Row],[Importe]]-Tabla1[[#This Row],[Pagado]]</f>
        <v>0</v>
      </c>
      <c r="I160" s="275" t="s">
        <v>15214</v>
      </c>
    </row>
    <row r="161" spans="1:9" x14ac:dyDescent="0.25">
      <c r="A161" s="16">
        <v>42918</v>
      </c>
      <c r="B161" s="273" t="s">
        <v>19986</v>
      </c>
      <c r="C161">
        <v>118315</v>
      </c>
      <c r="D161" s="236" t="s">
        <v>15242</v>
      </c>
      <c r="E161" s="15">
        <v>9639</v>
      </c>
      <c r="F161" s="274">
        <v>42918</v>
      </c>
      <c r="G161" s="15">
        <v>9639</v>
      </c>
      <c r="H161" s="15">
        <f>Tabla1[[#This Row],[Importe]]-Tabla1[[#This Row],[Pagado]]</f>
        <v>0</v>
      </c>
      <c r="I161" s="275" t="s">
        <v>15214</v>
      </c>
    </row>
    <row r="162" spans="1:9" x14ac:dyDescent="0.25">
      <c r="A162" s="16">
        <v>42918</v>
      </c>
      <c r="B162" s="273" t="s">
        <v>19987</v>
      </c>
      <c r="C162">
        <v>118316</v>
      </c>
      <c r="D162" s="236" t="s">
        <v>15213</v>
      </c>
      <c r="E162" s="15">
        <v>6926.2</v>
      </c>
      <c r="F162" s="274">
        <v>42920</v>
      </c>
      <c r="G162" s="15">
        <v>6926.2</v>
      </c>
      <c r="H162" s="15">
        <f>Tabla1[[#This Row],[Importe]]-Tabla1[[#This Row],[Pagado]]</f>
        <v>0</v>
      </c>
      <c r="I162" s="275" t="s">
        <v>15214</v>
      </c>
    </row>
    <row r="163" spans="1:9" x14ac:dyDescent="0.25">
      <c r="A163" s="16">
        <v>42918</v>
      </c>
      <c r="B163" s="273" t="s">
        <v>19988</v>
      </c>
      <c r="C163">
        <v>118317</v>
      </c>
      <c r="D163" s="236" t="s">
        <v>19780</v>
      </c>
      <c r="E163" s="15">
        <v>6892.1</v>
      </c>
      <c r="F163" s="274">
        <v>42920</v>
      </c>
      <c r="G163" s="15">
        <v>6892.1</v>
      </c>
      <c r="H163" s="15">
        <f>Tabla1[[#This Row],[Importe]]-Tabla1[[#This Row],[Pagado]]</f>
        <v>0</v>
      </c>
      <c r="I163" s="275" t="s">
        <v>15214</v>
      </c>
    </row>
    <row r="164" spans="1:9" x14ac:dyDescent="0.25">
      <c r="A164" s="16">
        <v>42918</v>
      </c>
      <c r="B164" s="273" t="s">
        <v>19989</v>
      </c>
      <c r="C164">
        <v>118318</v>
      </c>
      <c r="D164" s="236" t="s">
        <v>15213</v>
      </c>
      <c r="E164" s="15">
        <v>1503.48</v>
      </c>
      <c r="F164" s="274">
        <v>42919</v>
      </c>
      <c r="G164" s="15">
        <v>1503.48</v>
      </c>
      <c r="H164" s="15">
        <f>Tabla1[[#This Row],[Importe]]-Tabla1[[#This Row],[Pagado]]</f>
        <v>0</v>
      </c>
      <c r="I164" s="275" t="s">
        <v>15214</v>
      </c>
    </row>
    <row r="165" spans="1:9" x14ac:dyDescent="0.25">
      <c r="A165" s="16">
        <v>42918</v>
      </c>
      <c r="B165" s="273" t="s">
        <v>19990</v>
      </c>
      <c r="C165">
        <v>118319</v>
      </c>
      <c r="D165" s="236" t="s">
        <v>15668</v>
      </c>
      <c r="E165" s="15">
        <v>25661.9</v>
      </c>
      <c r="F165" s="274">
        <v>42921</v>
      </c>
      <c r="G165" s="15">
        <v>25661.9</v>
      </c>
      <c r="H165" s="15">
        <f>Tabla1[[#This Row],[Importe]]-Tabla1[[#This Row],[Pagado]]</f>
        <v>0</v>
      </c>
      <c r="I165" s="275" t="s">
        <v>15214</v>
      </c>
    </row>
    <row r="166" spans="1:9" x14ac:dyDescent="0.25">
      <c r="A166" s="16">
        <v>42918</v>
      </c>
      <c r="B166" s="273" t="s">
        <v>19991</v>
      </c>
      <c r="C166">
        <v>118320</v>
      </c>
      <c r="D166" s="236" t="s">
        <v>15236</v>
      </c>
      <c r="E166" s="15">
        <v>3239</v>
      </c>
      <c r="F166" s="274">
        <v>42921</v>
      </c>
      <c r="G166" s="15">
        <v>3239</v>
      </c>
      <c r="H166" s="15">
        <f>Tabla1[[#This Row],[Importe]]-Tabla1[[#This Row],[Pagado]]</f>
        <v>0</v>
      </c>
      <c r="I166" s="275" t="s">
        <v>15214</v>
      </c>
    </row>
    <row r="167" spans="1:9" x14ac:dyDescent="0.25">
      <c r="A167" s="16">
        <v>42918</v>
      </c>
      <c r="B167" s="273" t="s">
        <v>19992</v>
      </c>
      <c r="C167">
        <v>118321</v>
      </c>
      <c r="D167" s="236" t="s">
        <v>15228</v>
      </c>
      <c r="E167" s="15">
        <v>2682.8</v>
      </c>
      <c r="F167" s="274">
        <v>42918</v>
      </c>
      <c r="G167" s="15">
        <v>2682.8</v>
      </c>
      <c r="H167" s="15">
        <f>Tabla1[[#This Row],[Importe]]-Tabla1[[#This Row],[Pagado]]</f>
        <v>0</v>
      </c>
      <c r="I167" s="275" t="s">
        <v>15214</v>
      </c>
    </row>
    <row r="168" spans="1:9" x14ac:dyDescent="0.25">
      <c r="A168" s="16">
        <v>42918</v>
      </c>
      <c r="B168" s="273" t="s">
        <v>19993</v>
      </c>
      <c r="C168">
        <v>118322</v>
      </c>
      <c r="D168" s="236" t="s">
        <v>15324</v>
      </c>
      <c r="E168" s="15">
        <v>1801.5</v>
      </c>
      <c r="F168" s="274">
        <v>42918</v>
      </c>
      <c r="G168" s="15">
        <v>1801.5</v>
      </c>
      <c r="H168" s="15">
        <f>Tabla1[[#This Row],[Importe]]-Tabla1[[#This Row],[Pagado]]</f>
        <v>0</v>
      </c>
      <c r="I168" s="275" t="s">
        <v>15214</v>
      </c>
    </row>
    <row r="169" spans="1:9" x14ac:dyDescent="0.25">
      <c r="A169" s="16">
        <v>42918</v>
      </c>
      <c r="B169" s="273" t="s">
        <v>19994</v>
      </c>
      <c r="C169">
        <v>118323</v>
      </c>
      <c r="D169" s="236" t="s">
        <v>15272</v>
      </c>
      <c r="E169" s="15">
        <v>33227.599999999999</v>
      </c>
      <c r="F169" s="274">
        <v>42918</v>
      </c>
      <c r="G169" s="15">
        <v>33227.599999999999</v>
      </c>
      <c r="H169" s="15">
        <f>Tabla1[[#This Row],[Importe]]-Tabla1[[#This Row],[Pagado]]</f>
        <v>0</v>
      </c>
      <c r="I169" s="275" t="s">
        <v>15214</v>
      </c>
    </row>
    <row r="170" spans="1:9" x14ac:dyDescent="0.25">
      <c r="A170" s="16">
        <v>42918</v>
      </c>
      <c r="B170" s="273" t="s">
        <v>19995</v>
      </c>
      <c r="C170">
        <v>118324</v>
      </c>
      <c r="D170" s="236" t="s">
        <v>17462</v>
      </c>
      <c r="E170" s="15">
        <v>10202.9</v>
      </c>
      <c r="F170" s="274">
        <v>42918</v>
      </c>
      <c r="G170" s="15">
        <v>10202.9</v>
      </c>
      <c r="H170" s="15">
        <f>Tabla1[[#This Row],[Importe]]-Tabla1[[#This Row],[Pagado]]</f>
        <v>0</v>
      </c>
      <c r="I170" s="275" t="s">
        <v>15214</v>
      </c>
    </row>
    <row r="171" spans="1:9" x14ac:dyDescent="0.25">
      <c r="A171" s="16">
        <v>42918</v>
      </c>
      <c r="B171" s="273" t="s">
        <v>19996</v>
      </c>
      <c r="C171">
        <v>118325</v>
      </c>
      <c r="D171" s="236" t="s">
        <v>15289</v>
      </c>
      <c r="E171" s="15">
        <v>1339.2</v>
      </c>
      <c r="F171" s="274">
        <v>42918</v>
      </c>
      <c r="G171" s="15">
        <v>1339.2</v>
      </c>
      <c r="H171" s="15">
        <f>Tabla1[[#This Row],[Importe]]-Tabla1[[#This Row],[Pagado]]</f>
        <v>0</v>
      </c>
      <c r="I171" s="275" t="s">
        <v>15214</v>
      </c>
    </row>
    <row r="172" spans="1:9" x14ac:dyDescent="0.25">
      <c r="A172" s="16">
        <v>42918</v>
      </c>
      <c r="B172" s="273" t="s">
        <v>19997</v>
      </c>
      <c r="C172">
        <v>118326</v>
      </c>
      <c r="D172" s="236" t="s">
        <v>17277</v>
      </c>
      <c r="E172" s="15">
        <v>3549</v>
      </c>
      <c r="F172" s="274">
        <v>42918</v>
      </c>
      <c r="G172" s="15">
        <v>3549</v>
      </c>
      <c r="H172" s="15">
        <f>Tabla1[[#This Row],[Importe]]-Tabla1[[#This Row],[Pagado]]</f>
        <v>0</v>
      </c>
      <c r="I172" s="275" t="s">
        <v>15214</v>
      </c>
    </row>
    <row r="173" spans="1:9" x14ac:dyDescent="0.25">
      <c r="A173" s="16">
        <v>42918</v>
      </c>
      <c r="B173" s="273" t="s">
        <v>19998</v>
      </c>
      <c r="C173">
        <v>118327</v>
      </c>
      <c r="D173" s="236" t="s">
        <v>15487</v>
      </c>
      <c r="E173" s="15">
        <v>6778.7</v>
      </c>
      <c r="F173" s="274">
        <v>42918</v>
      </c>
      <c r="G173" s="15">
        <v>6778.7</v>
      </c>
      <c r="H173" s="15">
        <f>Tabla1[[#This Row],[Importe]]-Tabla1[[#This Row],[Pagado]]</f>
        <v>0</v>
      </c>
      <c r="I173" s="275" t="s">
        <v>15214</v>
      </c>
    </row>
    <row r="174" spans="1:9" x14ac:dyDescent="0.25">
      <c r="A174" s="16">
        <v>42918</v>
      </c>
      <c r="B174" s="273" t="s">
        <v>19999</v>
      </c>
      <c r="C174">
        <v>118328</v>
      </c>
      <c r="D174" s="236" t="s">
        <v>15242</v>
      </c>
      <c r="E174" s="15">
        <v>4743</v>
      </c>
      <c r="F174" s="274">
        <v>42918</v>
      </c>
      <c r="G174" s="15">
        <v>4743</v>
      </c>
      <c r="H174" s="15">
        <f>Tabla1[[#This Row],[Importe]]-Tabla1[[#This Row],[Pagado]]</f>
        <v>0</v>
      </c>
      <c r="I174" s="275" t="s">
        <v>15214</v>
      </c>
    </row>
    <row r="175" spans="1:9" x14ac:dyDescent="0.25">
      <c r="A175" s="16">
        <v>42918</v>
      </c>
      <c r="B175" s="273" t="s">
        <v>20000</v>
      </c>
      <c r="C175">
        <v>118329</v>
      </c>
      <c r="D175" s="236" t="s">
        <v>15263</v>
      </c>
      <c r="E175" s="15">
        <v>1695.2</v>
      </c>
      <c r="F175" s="274">
        <v>42918</v>
      </c>
      <c r="G175" s="15">
        <v>1695.2</v>
      </c>
      <c r="H175" s="15">
        <f>Tabla1[[#This Row],[Importe]]-Tabla1[[#This Row],[Pagado]]</f>
        <v>0</v>
      </c>
      <c r="I175" s="275" t="s">
        <v>15214</v>
      </c>
    </row>
    <row r="176" spans="1:9" x14ac:dyDescent="0.25">
      <c r="A176" s="16">
        <v>42918</v>
      </c>
      <c r="B176" s="273" t="s">
        <v>20001</v>
      </c>
      <c r="C176">
        <v>118330</v>
      </c>
      <c r="D176" s="236" t="s">
        <v>15246</v>
      </c>
      <c r="E176" s="15">
        <v>23057.68</v>
      </c>
      <c r="F176" s="274">
        <v>42921</v>
      </c>
      <c r="G176" s="15">
        <v>23057.68</v>
      </c>
      <c r="H176" s="15">
        <f>Tabla1[[#This Row],[Importe]]-Tabla1[[#This Row],[Pagado]]</f>
        <v>0</v>
      </c>
      <c r="I176" s="275" t="s">
        <v>15214</v>
      </c>
    </row>
    <row r="177" spans="1:9" x14ac:dyDescent="0.25">
      <c r="A177" s="16">
        <v>42918</v>
      </c>
      <c r="B177" s="273" t="s">
        <v>20002</v>
      </c>
      <c r="C177">
        <v>118331</v>
      </c>
      <c r="D177" s="236" t="s">
        <v>15523</v>
      </c>
      <c r="E177" s="15">
        <v>3920</v>
      </c>
      <c r="F177" s="274">
        <v>42919</v>
      </c>
      <c r="G177" s="15">
        <v>3920</v>
      </c>
      <c r="H177" s="15">
        <f>Tabla1[[#This Row],[Importe]]-Tabla1[[#This Row],[Pagado]]</f>
        <v>0</v>
      </c>
      <c r="I177" s="275" t="s">
        <v>15214</v>
      </c>
    </row>
    <row r="178" spans="1:9" x14ac:dyDescent="0.25">
      <c r="A178" s="16">
        <v>42918</v>
      </c>
      <c r="B178" s="273" t="s">
        <v>20003</v>
      </c>
      <c r="C178">
        <v>118332</v>
      </c>
      <c r="D178" s="236" t="s">
        <v>15350</v>
      </c>
      <c r="E178" s="15">
        <v>1813</v>
      </c>
      <c r="F178" s="274">
        <v>42919</v>
      </c>
      <c r="G178" s="15">
        <v>1813</v>
      </c>
      <c r="H178" s="15">
        <f>Tabla1[[#This Row],[Importe]]-Tabla1[[#This Row],[Pagado]]</f>
        <v>0</v>
      </c>
      <c r="I178" s="275" t="s">
        <v>15214</v>
      </c>
    </row>
    <row r="179" spans="1:9" x14ac:dyDescent="0.25">
      <c r="A179" s="16">
        <v>42918</v>
      </c>
      <c r="B179" s="273" t="s">
        <v>20004</v>
      </c>
      <c r="C179">
        <v>118333</v>
      </c>
      <c r="D179" s="236" t="s">
        <v>15728</v>
      </c>
      <c r="E179" s="15">
        <v>17200.599999999999</v>
      </c>
      <c r="F179" s="274">
        <v>42918</v>
      </c>
      <c r="G179" s="15">
        <v>17200.599999999999</v>
      </c>
      <c r="H179" s="15">
        <f>Tabla1[[#This Row],[Importe]]-Tabla1[[#This Row],[Pagado]]</f>
        <v>0</v>
      </c>
      <c r="I179" s="275" t="s">
        <v>15214</v>
      </c>
    </row>
    <row r="180" spans="1:9" x14ac:dyDescent="0.25">
      <c r="A180" s="16">
        <v>42918</v>
      </c>
      <c r="B180" s="273" t="s">
        <v>20005</v>
      </c>
      <c r="C180">
        <v>118334</v>
      </c>
      <c r="D180" s="236" t="s">
        <v>15280</v>
      </c>
      <c r="E180" s="15">
        <v>7656</v>
      </c>
      <c r="F180" s="274">
        <v>42918</v>
      </c>
      <c r="G180" s="15">
        <v>7656</v>
      </c>
      <c r="H180" s="15">
        <f>Tabla1[[#This Row],[Importe]]-Tabla1[[#This Row],[Pagado]]</f>
        <v>0</v>
      </c>
      <c r="I180" s="275" t="s">
        <v>15214</v>
      </c>
    </row>
    <row r="181" spans="1:9" x14ac:dyDescent="0.25">
      <c r="A181" s="16">
        <v>42918</v>
      </c>
      <c r="B181" s="273" t="s">
        <v>20006</v>
      </c>
      <c r="C181">
        <v>118335</v>
      </c>
      <c r="D181" s="236" t="s">
        <v>15530</v>
      </c>
      <c r="E181" s="15">
        <v>3380</v>
      </c>
      <c r="F181" s="274">
        <v>42918</v>
      </c>
      <c r="G181" s="15">
        <v>3380</v>
      </c>
      <c r="H181" s="15">
        <f>Tabla1[[#This Row],[Importe]]-Tabla1[[#This Row],[Pagado]]</f>
        <v>0</v>
      </c>
      <c r="I181" s="275" t="s">
        <v>15214</v>
      </c>
    </row>
    <row r="182" spans="1:9" x14ac:dyDescent="0.25">
      <c r="A182" s="16">
        <v>42918</v>
      </c>
      <c r="B182" s="273" t="s">
        <v>20007</v>
      </c>
      <c r="C182">
        <v>118336</v>
      </c>
      <c r="D182" s="236" t="s">
        <v>16023</v>
      </c>
      <c r="E182" s="15">
        <v>1159.5999999999999</v>
      </c>
      <c r="F182" s="274">
        <v>42918</v>
      </c>
      <c r="G182" s="15">
        <v>1159.5999999999999</v>
      </c>
      <c r="H182" s="15">
        <f>Tabla1[[#This Row],[Importe]]-Tabla1[[#This Row],[Pagado]]</f>
        <v>0</v>
      </c>
      <c r="I182" s="275" t="s">
        <v>15214</v>
      </c>
    </row>
    <row r="183" spans="1:9" x14ac:dyDescent="0.25">
      <c r="A183" s="16">
        <v>42918</v>
      </c>
      <c r="B183" s="273" t="s">
        <v>20008</v>
      </c>
      <c r="C183">
        <v>118337</v>
      </c>
      <c r="D183" s="236" t="s">
        <v>16306</v>
      </c>
      <c r="E183" s="15">
        <v>30911.200000000001</v>
      </c>
      <c r="F183" s="274">
        <v>42919</v>
      </c>
      <c r="G183" s="15">
        <v>30911.200000000001</v>
      </c>
      <c r="H183" s="15">
        <f>Tabla1[[#This Row],[Importe]]-Tabla1[[#This Row],[Pagado]]</f>
        <v>0</v>
      </c>
      <c r="I183" s="275" t="s">
        <v>15214</v>
      </c>
    </row>
    <row r="184" spans="1:9" ht="30" x14ac:dyDescent="0.25">
      <c r="A184" s="16">
        <v>42918</v>
      </c>
      <c r="B184" s="273" t="s">
        <v>20009</v>
      </c>
      <c r="C184">
        <v>118338</v>
      </c>
      <c r="D184" s="236" t="s">
        <v>15510</v>
      </c>
      <c r="E184" s="15">
        <v>12446.3</v>
      </c>
      <c r="F184" s="274" t="s">
        <v>20010</v>
      </c>
      <c r="G184" s="241">
        <f>5000+7446.3</f>
        <v>12446.3</v>
      </c>
      <c r="H184" s="241">
        <f>Tabla1[[#This Row],[Importe]]-Tabla1[[#This Row],[Pagado]]</f>
        <v>0</v>
      </c>
      <c r="I184" s="275" t="s">
        <v>15214</v>
      </c>
    </row>
    <row r="185" spans="1:9" x14ac:dyDescent="0.25">
      <c r="A185" s="16">
        <v>42918</v>
      </c>
      <c r="B185" s="273" t="s">
        <v>20011</v>
      </c>
      <c r="C185">
        <v>118339</v>
      </c>
      <c r="D185" s="236" t="s">
        <v>15315</v>
      </c>
      <c r="E185" s="15">
        <v>4567.6000000000004</v>
      </c>
      <c r="F185" s="274">
        <v>42918</v>
      </c>
      <c r="G185" s="15">
        <v>4567.6000000000004</v>
      </c>
      <c r="H185" s="15">
        <f>Tabla1[[#This Row],[Importe]]-Tabla1[[#This Row],[Pagado]]</f>
        <v>0</v>
      </c>
      <c r="I185" s="275" t="s">
        <v>15214</v>
      </c>
    </row>
    <row r="186" spans="1:9" x14ac:dyDescent="0.25">
      <c r="A186" s="16">
        <v>42918</v>
      </c>
      <c r="B186" s="273" t="s">
        <v>20012</v>
      </c>
      <c r="C186">
        <v>118340</v>
      </c>
      <c r="D186" s="236" t="s">
        <v>19768</v>
      </c>
      <c r="E186" s="15">
        <v>2450</v>
      </c>
      <c r="F186" s="274">
        <v>42918</v>
      </c>
      <c r="G186" s="15">
        <v>2450</v>
      </c>
      <c r="H186" s="15">
        <f>Tabla1[[#This Row],[Importe]]-Tabla1[[#This Row],[Pagado]]</f>
        <v>0</v>
      </c>
      <c r="I186" s="275" t="s">
        <v>15214</v>
      </c>
    </row>
    <row r="187" spans="1:9" x14ac:dyDescent="0.25">
      <c r="A187" s="16">
        <v>42918</v>
      </c>
      <c r="B187" s="273" t="s">
        <v>20013</v>
      </c>
      <c r="C187">
        <v>118341</v>
      </c>
      <c r="D187" s="236" t="s">
        <v>15248</v>
      </c>
      <c r="E187" s="15">
        <v>35617.24</v>
      </c>
      <c r="F187" s="274">
        <v>42919</v>
      </c>
      <c r="G187" s="241">
        <f>30000+5617.24</f>
        <v>35617.24</v>
      </c>
      <c r="H187" s="241">
        <f>Tabla1[[#This Row],[Importe]]-Tabla1[[#This Row],[Pagado]]</f>
        <v>0</v>
      </c>
      <c r="I187" s="275" t="s">
        <v>15214</v>
      </c>
    </row>
    <row r="188" spans="1:9" x14ac:dyDescent="0.25">
      <c r="A188" s="16">
        <v>42918</v>
      </c>
      <c r="B188" s="273" t="s">
        <v>20014</v>
      </c>
      <c r="C188">
        <v>118342</v>
      </c>
      <c r="D188" s="236" t="s">
        <v>15725</v>
      </c>
      <c r="E188" s="15">
        <v>5377.1</v>
      </c>
      <c r="F188" s="274">
        <v>42924</v>
      </c>
      <c r="G188" s="15">
        <v>5377.1</v>
      </c>
      <c r="H188" s="15">
        <f>Tabla1[[#This Row],[Importe]]-Tabla1[[#This Row],[Pagado]]</f>
        <v>0</v>
      </c>
      <c r="I188" s="275" t="s">
        <v>15214</v>
      </c>
    </row>
    <row r="189" spans="1:9" x14ac:dyDescent="0.25">
      <c r="A189" s="16">
        <v>42918</v>
      </c>
      <c r="B189" s="273" t="s">
        <v>20015</v>
      </c>
      <c r="C189">
        <v>118343</v>
      </c>
      <c r="D189" s="236" t="s">
        <v>15590</v>
      </c>
      <c r="E189" s="15">
        <v>14499.5</v>
      </c>
      <c r="F189" s="274">
        <v>42928</v>
      </c>
      <c r="G189" s="15">
        <v>14499.5</v>
      </c>
      <c r="H189" s="15">
        <f>Tabla1[[#This Row],[Importe]]-Tabla1[[#This Row],[Pagado]]</f>
        <v>0</v>
      </c>
      <c r="I189" s="275" t="s">
        <v>15214</v>
      </c>
    </row>
    <row r="190" spans="1:9" x14ac:dyDescent="0.25">
      <c r="A190" s="16">
        <v>42918</v>
      </c>
      <c r="B190" s="273" t="s">
        <v>20016</v>
      </c>
      <c r="C190">
        <v>118344</v>
      </c>
      <c r="D190" s="236" t="s">
        <v>15810</v>
      </c>
      <c r="E190" s="15">
        <v>405.6</v>
      </c>
      <c r="F190" s="274">
        <v>42918</v>
      </c>
      <c r="G190" s="15">
        <v>405.6</v>
      </c>
      <c r="H190" s="15">
        <f>Tabla1[[#This Row],[Importe]]-Tabla1[[#This Row],[Pagado]]</f>
        <v>0</v>
      </c>
      <c r="I190" s="275" t="s">
        <v>15214</v>
      </c>
    </row>
    <row r="191" spans="1:9" x14ac:dyDescent="0.25">
      <c r="A191" s="16">
        <v>42918</v>
      </c>
      <c r="B191" s="273" t="s">
        <v>20017</v>
      </c>
      <c r="C191">
        <v>118345</v>
      </c>
      <c r="D191" s="236" t="s">
        <v>15391</v>
      </c>
      <c r="E191" s="15">
        <v>10085.200000000001</v>
      </c>
      <c r="F191" s="274">
        <v>42920</v>
      </c>
      <c r="G191" s="15">
        <v>10085.200000000001</v>
      </c>
      <c r="H191" s="15">
        <f>Tabla1[[#This Row],[Importe]]-Tabla1[[#This Row],[Pagado]]</f>
        <v>0</v>
      </c>
      <c r="I191" s="275" t="s">
        <v>15214</v>
      </c>
    </row>
    <row r="192" spans="1:9" x14ac:dyDescent="0.25">
      <c r="A192" s="16">
        <v>42918</v>
      </c>
      <c r="B192" s="273" t="s">
        <v>20018</v>
      </c>
      <c r="C192">
        <v>118346</v>
      </c>
      <c r="D192" s="236" t="s">
        <v>19302</v>
      </c>
      <c r="E192" s="15">
        <v>1225</v>
      </c>
      <c r="F192" s="274">
        <v>42918</v>
      </c>
      <c r="G192" s="15">
        <v>1225</v>
      </c>
      <c r="H192" s="15">
        <f>Tabla1[[#This Row],[Importe]]-Tabla1[[#This Row],[Pagado]]</f>
        <v>0</v>
      </c>
      <c r="I192" s="275" t="s">
        <v>15214</v>
      </c>
    </row>
    <row r="193" spans="1:9" x14ac:dyDescent="0.25">
      <c r="A193" s="16">
        <v>42918</v>
      </c>
      <c r="B193" s="273" t="s">
        <v>20019</v>
      </c>
      <c r="C193">
        <v>118347</v>
      </c>
      <c r="D193" s="236" t="s">
        <v>15315</v>
      </c>
      <c r="E193" s="15">
        <v>592</v>
      </c>
      <c r="F193" s="274">
        <v>42918</v>
      </c>
      <c r="G193" s="15">
        <v>592</v>
      </c>
      <c r="H193" s="15">
        <f>Tabla1[[#This Row],[Importe]]-Tabla1[[#This Row],[Pagado]]</f>
        <v>0</v>
      </c>
      <c r="I193" s="275" t="s">
        <v>15214</v>
      </c>
    </row>
    <row r="194" spans="1:9" x14ac:dyDescent="0.25">
      <c r="A194" s="16">
        <v>42918</v>
      </c>
      <c r="B194" s="273" t="s">
        <v>20020</v>
      </c>
      <c r="C194">
        <v>118348</v>
      </c>
      <c r="D194" s="236" t="s">
        <v>15340</v>
      </c>
      <c r="E194" s="15">
        <v>12369.1</v>
      </c>
      <c r="F194" s="274">
        <v>42919</v>
      </c>
      <c r="G194" s="15">
        <v>12369.1</v>
      </c>
      <c r="H194" s="15">
        <f>Tabla1[[#This Row],[Importe]]-Tabla1[[#This Row],[Pagado]]</f>
        <v>0</v>
      </c>
      <c r="I194" s="275" t="s">
        <v>15214</v>
      </c>
    </row>
    <row r="195" spans="1:9" x14ac:dyDescent="0.25">
      <c r="A195" s="16">
        <v>42918</v>
      </c>
      <c r="B195" s="273" t="s">
        <v>20021</v>
      </c>
      <c r="C195">
        <v>118349</v>
      </c>
      <c r="D195" s="236" t="s">
        <v>15252</v>
      </c>
      <c r="E195" s="15">
        <v>7302.1</v>
      </c>
      <c r="F195" s="274">
        <v>42922</v>
      </c>
      <c r="G195" s="15">
        <v>7302.1</v>
      </c>
      <c r="H195" s="15">
        <f>Tabla1[[#This Row],[Importe]]-Tabla1[[#This Row],[Pagado]]</f>
        <v>0</v>
      </c>
      <c r="I195" s="275" t="s">
        <v>15214</v>
      </c>
    </row>
    <row r="196" spans="1:9" ht="15.75" x14ac:dyDescent="0.25">
      <c r="A196" s="16">
        <v>42918</v>
      </c>
      <c r="B196" s="273" t="s">
        <v>20022</v>
      </c>
      <c r="C196">
        <v>118350</v>
      </c>
      <c r="D196" s="248" t="s">
        <v>95</v>
      </c>
      <c r="E196" s="15">
        <v>0</v>
      </c>
      <c r="F196" s="277" t="s">
        <v>95</v>
      </c>
      <c r="G196" s="15">
        <v>0</v>
      </c>
      <c r="H196" s="15">
        <f>Tabla1[[#This Row],[Importe]]-Tabla1[[#This Row],[Pagado]]</f>
        <v>0</v>
      </c>
      <c r="I196" s="275" t="s">
        <v>95</v>
      </c>
    </row>
    <row r="197" spans="1:9" x14ac:dyDescent="0.25">
      <c r="A197" s="16">
        <v>42918</v>
      </c>
      <c r="B197" s="273" t="s">
        <v>20023</v>
      </c>
      <c r="C197">
        <v>118351</v>
      </c>
      <c r="D197" s="236" t="s">
        <v>15336</v>
      </c>
      <c r="E197" s="15">
        <v>1734</v>
      </c>
      <c r="F197" s="274">
        <v>42919</v>
      </c>
      <c r="G197" s="15">
        <v>1734</v>
      </c>
      <c r="H197" s="15">
        <f>Tabla1[[#This Row],[Importe]]-Tabla1[[#This Row],[Pagado]]</f>
        <v>0</v>
      </c>
      <c r="I197" s="275" t="s">
        <v>15214</v>
      </c>
    </row>
    <row r="198" spans="1:9" x14ac:dyDescent="0.25">
      <c r="A198" s="16">
        <v>42918</v>
      </c>
      <c r="B198" s="273" t="s">
        <v>20024</v>
      </c>
      <c r="C198">
        <v>118352</v>
      </c>
      <c r="D198" s="236" t="s">
        <v>15298</v>
      </c>
      <c r="E198" s="15">
        <v>478.4</v>
      </c>
      <c r="F198" s="274">
        <v>42918</v>
      </c>
      <c r="G198" s="15">
        <v>478.4</v>
      </c>
      <c r="H198" s="15">
        <f>Tabla1[[#This Row],[Importe]]-Tabla1[[#This Row],[Pagado]]</f>
        <v>0</v>
      </c>
      <c r="I198" s="275" t="s">
        <v>15214</v>
      </c>
    </row>
    <row r="199" spans="1:9" x14ac:dyDescent="0.25">
      <c r="A199" s="16">
        <v>42918</v>
      </c>
      <c r="B199" s="273" t="s">
        <v>20025</v>
      </c>
      <c r="C199">
        <v>118353</v>
      </c>
      <c r="D199" s="236" t="s">
        <v>15358</v>
      </c>
      <c r="E199" s="15">
        <v>2140.8000000000002</v>
      </c>
      <c r="F199" s="274">
        <v>42919</v>
      </c>
      <c r="G199" s="15">
        <v>2140.8000000000002</v>
      </c>
      <c r="H199" s="15">
        <f>Tabla1[[#This Row],[Importe]]-Tabla1[[#This Row],[Pagado]]</f>
        <v>0</v>
      </c>
      <c r="I199" s="275" t="s">
        <v>15214</v>
      </c>
    </row>
    <row r="200" spans="1:9" x14ac:dyDescent="0.25">
      <c r="A200" s="16">
        <v>42918</v>
      </c>
      <c r="B200" s="273" t="s">
        <v>20026</v>
      </c>
      <c r="C200">
        <v>118354</v>
      </c>
      <c r="D200" s="236" t="s">
        <v>15358</v>
      </c>
      <c r="E200" s="15">
        <v>2217.6</v>
      </c>
      <c r="F200" s="274">
        <v>42919</v>
      </c>
      <c r="G200" s="15">
        <v>2217.6</v>
      </c>
      <c r="H200" s="15">
        <f>Tabla1[[#This Row],[Importe]]-Tabla1[[#This Row],[Pagado]]</f>
        <v>0</v>
      </c>
      <c r="I200" s="275" t="s">
        <v>15214</v>
      </c>
    </row>
    <row r="201" spans="1:9" x14ac:dyDescent="0.25">
      <c r="A201" s="16">
        <v>42918</v>
      </c>
      <c r="B201" s="273" t="s">
        <v>20027</v>
      </c>
      <c r="C201">
        <v>118355</v>
      </c>
      <c r="D201" s="236" t="s">
        <v>15326</v>
      </c>
      <c r="E201" s="15">
        <v>1639</v>
      </c>
      <c r="F201" s="274">
        <v>42918</v>
      </c>
      <c r="G201" s="15">
        <v>1639</v>
      </c>
      <c r="H201" s="15">
        <f>Tabla1[[#This Row],[Importe]]-Tabla1[[#This Row],[Pagado]]</f>
        <v>0</v>
      </c>
      <c r="I201" s="275" t="s">
        <v>15214</v>
      </c>
    </row>
    <row r="202" spans="1:9" x14ac:dyDescent="0.25">
      <c r="A202" s="16">
        <v>42918</v>
      </c>
      <c r="B202" s="273" t="s">
        <v>20028</v>
      </c>
      <c r="C202">
        <v>118356</v>
      </c>
      <c r="D202" s="236" t="s">
        <v>15541</v>
      </c>
      <c r="E202" s="15">
        <v>2278.4</v>
      </c>
      <c r="F202" s="274">
        <v>42919</v>
      </c>
      <c r="G202" s="15">
        <v>2278.4</v>
      </c>
      <c r="H202" s="15">
        <f>Tabla1[[#This Row],[Importe]]-Tabla1[[#This Row],[Pagado]]</f>
        <v>0</v>
      </c>
      <c r="I202" s="275" t="s">
        <v>15214</v>
      </c>
    </row>
    <row r="203" spans="1:9" x14ac:dyDescent="0.25">
      <c r="A203" s="16">
        <v>42918</v>
      </c>
      <c r="B203" s="273" t="s">
        <v>20029</v>
      </c>
      <c r="C203">
        <v>118357</v>
      </c>
      <c r="D203" s="236" t="s">
        <v>15244</v>
      </c>
      <c r="E203" s="15">
        <v>14546.8</v>
      </c>
      <c r="F203" s="274">
        <v>42934</v>
      </c>
      <c r="G203" s="15">
        <v>14546.8</v>
      </c>
      <c r="H203" s="15">
        <f>Tabla1[[#This Row],[Importe]]-Tabla1[[#This Row],[Pagado]]</f>
        <v>0</v>
      </c>
      <c r="I203" s="275" t="s">
        <v>15214</v>
      </c>
    </row>
    <row r="204" spans="1:9" x14ac:dyDescent="0.25">
      <c r="A204" s="16">
        <v>42918</v>
      </c>
      <c r="B204" s="273" t="s">
        <v>20030</v>
      </c>
      <c r="C204">
        <v>118358</v>
      </c>
      <c r="D204" s="236" t="s">
        <v>15254</v>
      </c>
      <c r="E204" s="15">
        <v>18125.400000000001</v>
      </c>
      <c r="F204" s="274">
        <v>42919</v>
      </c>
      <c r="G204" s="15">
        <v>18125.400000000001</v>
      </c>
      <c r="H204" s="15">
        <f>Tabla1[[#This Row],[Importe]]-Tabla1[[#This Row],[Pagado]]</f>
        <v>0</v>
      </c>
      <c r="I204" s="275" t="s">
        <v>15214</v>
      </c>
    </row>
    <row r="205" spans="1:9" x14ac:dyDescent="0.25">
      <c r="A205" s="16">
        <v>42918</v>
      </c>
      <c r="B205" s="273" t="s">
        <v>20031</v>
      </c>
      <c r="C205">
        <v>118359</v>
      </c>
      <c r="D205" s="236" t="s">
        <v>15745</v>
      </c>
      <c r="E205" s="15">
        <v>1608.08</v>
      </c>
      <c r="F205" s="274">
        <v>42918</v>
      </c>
      <c r="G205" s="15">
        <v>1608.08</v>
      </c>
      <c r="H205" s="15">
        <f>Tabla1[[#This Row],[Importe]]-Tabla1[[#This Row],[Pagado]]</f>
        <v>0</v>
      </c>
      <c r="I205" s="275" t="s">
        <v>15214</v>
      </c>
    </row>
    <row r="206" spans="1:9" x14ac:dyDescent="0.25">
      <c r="A206" s="16">
        <v>42918</v>
      </c>
      <c r="B206" s="273" t="s">
        <v>20032</v>
      </c>
      <c r="C206">
        <v>118360</v>
      </c>
      <c r="D206" s="236" t="s">
        <v>15291</v>
      </c>
      <c r="E206" s="15">
        <v>1234.8</v>
      </c>
      <c r="F206" s="274">
        <v>42918</v>
      </c>
      <c r="G206" s="15">
        <v>1234.8</v>
      </c>
      <c r="H206" s="15">
        <f>Tabla1[[#This Row],[Importe]]-Tabla1[[#This Row],[Pagado]]</f>
        <v>0</v>
      </c>
      <c r="I206" s="275" t="s">
        <v>15214</v>
      </c>
    </row>
    <row r="207" spans="1:9" x14ac:dyDescent="0.25">
      <c r="A207" s="16">
        <v>42918</v>
      </c>
      <c r="B207" s="273" t="s">
        <v>20033</v>
      </c>
      <c r="C207">
        <v>118361</v>
      </c>
      <c r="D207" s="236" t="s">
        <v>15294</v>
      </c>
      <c r="E207" s="15">
        <v>370</v>
      </c>
      <c r="F207" s="274">
        <v>42918</v>
      </c>
      <c r="G207" s="15">
        <v>370</v>
      </c>
      <c r="H207" s="15">
        <f>Tabla1[[#This Row],[Importe]]-Tabla1[[#This Row],[Pagado]]</f>
        <v>0</v>
      </c>
      <c r="I207" s="275" t="s">
        <v>15214</v>
      </c>
    </row>
    <row r="208" spans="1:9" x14ac:dyDescent="0.25">
      <c r="A208" s="16">
        <v>42918</v>
      </c>
      <c r="B208" s="273" t="s">
        <v>20034</v>
      </c>
      <c r="C208">
        <v>118362</v>
      </c>
      <c r="D208" s="236" t="s">
        <v>15265</v>
      </c>
      <c r="E208" s="15">
        <v>2312.4</v>
      </c>
      <c r="F208" s="274">
        <v>42921</v>
      </c>
      <c r="G208" s="15">
        <v>2312.4</v>
      </c>
      <c r="H208" s="15">
        <f>Tabla1[[#This Row],[Importe]]-Tabla1[[#This Row],[Pagado]]</f>
        <v>0</v>
      </c>
      <c r="I208" s="275" t="s">
        <v>15214</v>
      </c>
    </row>
    <row r="209" spans="1:9" x14ac:dyDescent="0.25">
      <c r="A209" s="16">
        <v>42918</v>
      </c>
      <c r="B209" s="273" t="s">
        <v>20035</v>
      </c>
      <c r="C209">
        <v>118363</v>
      </c>
      <c r="D209" s="236" t="s">
        <v>15311</v>
      </c>
      <c r="E209" s="15">
        <v>1547.8</v>
      </c>
      <c r="F209" s="274">
        <v>42918</v>
      </c>
      <c r="G209" s="15">
        <v>1547.8</v>
      </c>
      <c r="H209" s="15">
        <f>Tabla1[[#This Row],[Importe]]-Tabla1[[#This Row],[Pagado]]</f>
        <v>0</v>
      </c>
      <c r="I209" s="275" t="s">
        <v>15214</v>
      </c>
    </row>
    <row r="210" spans="1:9" x14ac:dyDescent="0.25">
      <c r="A210" s="16">
        <v>42918</v>
      </c>
      <c r="B210" s="273" t="s">
        <v>20036</v>
      </c>
      <c r="C210">
        <v>118364</v>
      </c>
      <c r="D210" s="236" t="s">
        <v>15378</v>
      </c>
      <c r="E210" s="15">
        <v>4736.6000000000004</v>
      </c>
      <c r="F210" s="274">
        <v>42918</v>
      </c>
      <c r="G210" s="15">
        <v>4736.6000000000004</v>
      </c>
      <c r="H210" s="15">
        <f>Tabla1[[#This Row],[Importe]]-Tabla1[[#This Row],[Pagado]]</f>
        <v>0</v>
      </c>
      <c r="I210" s="275" t="s">
        <v>15214</v>
      </c>
    </row>
    <row r="211" spans="1:9" x14ac:dyDescent="0.25">
      <c r="A211" s="16">
        <v>42918</v>
      </c>
      <c r="B211" s="273" t="s">
        <v>20037</v>
      </c>
      <c r="C211">
        <v>118365</v>
      </c>
      <c r="D211" s="236" t="s">
        <v>15223</v>
      </c>
      <c r="E211" s="15">
        <v>38178</v>
      </c>
      <c r="F211" s="274">
        <v>42939</v>
      </c>
      <c r="G211" s="15">
        <v>38178</v>
      </c>
      <c r="H211" s="15">
        <f>Tabla1[[#This Row],[Importe]]-Tabla1[[#This Row],[Pagado]]</f>
        <v>0</v>
      </c>
      <c r="I211" s="275" t="s">
        <v>15214</v>
      </c>
    </row>
    <row r="212" spans="1:9" x14ac:dyDescent="0.25">
      <c r="A212" s="16">
        <v>42918</v>
      </c>
      <c r="B212" s="273" t="s">
        <v>20038</v>
      </c>
      <c r="C212">
        <v>118366</v>
      </c>
      <c r="D212" s="236" t="s">
        <v>16126</v>
      </c>
      <c r="E212" s="15">
        <v>768.3</v>
      </c>
      <c r="F212" s="274">
        <v>42918</v>
      </c>
      <c r="G212" s="15">
        <v>768.3</v>
      </c>
      <c r="H212" s="15">
        <f>Tabla1[[#This Row],[Importe]]-Tabla1[[#This Row],[Pagado]]</f>
        <v>0</v>
      </c>
      <c r="I212" s="275" t="s">
        <v>15214</v>
      </c>
    </row>
    <row r="213" spans="1:9" x14ac:dyDescent="0.25">
      <c r="A213" s="16">
        <v>42918</v>
      </c>
      <c r="B213" s="273" t="s">
        <v>20039</v>
      </c>
      <c r="C213">
        <v>118367</v>
      </c>
      <c r="D213" s="236" t="s">
        <v>15566</v>
      </c>
      <c r="E213" s="15">
        <v>1466.4</v>
      </c>
      <c r="F213" s="274">
        <v>42918</v>
      </c>
      <c r="G213" s="15">
        <v>1466.4</v>
      </c>
      <c r="H213" s="15">
        <f>Tabla1[[#This Row],[Importe]]-Tabla1[[#This Row],[Pagado]]</f>
        <v>0</v>
      </c>
      <c r="I213" s="275" t="s">
        <v>15214</v>
      </c>
    </row>
    <row r="214" spans="1:9" x14ac:dyDescent="0.25">
      <c r="A214" s="16">
        <v>42918</v>
      </c>
      <c r="B214" s="273" t="s">
        <v>20040</v>
      </c>
      <c r="C214">
        <v>118368</v>
      </c>
      <c r="D214" s="236" t="s">
        <v>15282</v>
      </c>
      <c r="E214" s="15">
        <v>2355</v>
      </c>
      <c r="F214" s="274">
        <v>42918</v>
      </c>
      <c r="G214" s="15">
        <v>2355</v>
      </c>
      <c r="H214" s="15">
        <f>Tabla1[[#This Row],[Importe]]-Tabla1[[#This Row],[Pagado]]</f>
        <v>0</v>
      </c>
      <c r="I214" s="275" t="s">
        <v>15214</v>
      </c>
    </row>
    <row r="215" spans="1:9" x14ac:dyDescent="0.25">
      <c r="A215" s="16">
        <v>42918</v>
      </c>
      <c r="B215" s="273" t="s">
        <v>20041</v>
      </c>
      <c r="C215">
        <v>118369</v>
      </c>
      <c r="D215" s="236" t="s">
        <v>19756</v>
      </c>
      <c r="E215" s="15">
        <v>2583</v>
      </c>
      <c r="F215" s="274">
        <v>42918</v>
      </c>
      <c r="G215" s="15">
        <v>2583</v>
      </c>
      <c r="H215" s="15">
        <f>Tabla1[[#This Row],[Importe]]-Tabla1[[#This Row],[Pagado]]</f>
        <v>0</v>
      </c>
      <c r="I215" s="275" t="s">
        <v>15214</v>
      </c>
    </row>
    <row r="216" spans="1:9" x14ac:dyDescent="0.25">
      <c r="A216" s="16">
        <v>42918</v>
      </c>
      <c r="B216" s="273" t="s">
        <v>20042</v>
      </c>
      <c r="C216">
        <v>118370</v>
      </c>
      <c r="D216" s="236" t="s">
        <v>15592</v>
      </c>
      <c r="E216" s="15">
        <v>22105.200000000001</v>
      </c>
      <c r="F216" s="274">
        <v>42919</v>
      </c>
      <c r="G216" s="15">
        <v>22105.200000000001</v>
      </c>
      <c r="H216" s="15">
        <f>Tabla1[[#This Row],[Importe]]-Tabla1[[#This Row],[Pagado]]</f>
        <v>0</v>
      </c>
      <c r="I216" s="275" t="s">
        <v>15214</v>
      </c>
    </row>
    <row r="217" spans="1:9" x14ac:dyDescent="0.25">
      <c r="A217" s="16">
        <v>42918</v>
      </c>
      <c r="B217" s="273" t="s">
        <v>20043</v>
      </c>
      <c r="C217">
        <v>118371</v>
      </c>
      <c r="D217" s="236" t="s">
        <v>15246</v>
      </c>
      <c r="E217" s="15">
        <v>12680.2</v>
      </c>
      <c r="F217" s="274">
        <v>42921</v>
      </c>
      <c r="G217" s="15">
        <v>12680.2</v>
      </c>
      <c r="H217" s="15">
        <f>Tabla1[[#This Row],[Importe]]-Tabla1[[#This Row],[Pagado]]</f>
        <v>0</v>
      </c>
      <c r="I217" s="275" t="s">
        <v>15214</v>
      </c>
    </row>
    <row r="218" spans="1:9" x14ac:dyDescent="0.25">
      <c r="A218" s="16">
        <v>42918</v>
      </c>
      <c r="B218" s="273" t="s">
        <v>20044</v>
      </c>
      <c r="C218">
        <v>118372</v>
      </c>
      <c r="D218" s="236" t="s">
        <v>15284</v>
      </c>
      <c r="E218" s="15">
        <v>1646.6</v>
      </c>
      <c r="F218" s="274">
        <v>42918</v>
      </c>
      <c r="G218" s="15">
        <v>1646.6</v>
      </c>
      <c r="H218" s="15">
        <f>Tabla1[[#This Row],[Importe]]-Tabla1[[#This Row],[Pagado]]</f>
        <v>0</v>
      </c>
      <c r="I218" s="275" t="s">
        <v>15214</v>
      </c>
    </row>
    <row r="219" spans="1:9" x14ac:dyDescent="0.25">
      <c r="A219" s="16">
        <v>42918</v>
      </c>
      <c r="B219" s="273" t="s">
        <v>20045</v>
      </c>
      <c r="C219">
        <v>118373</v>
      </c>
      <c r="D219" s="236" t="s">
        <v>15421</v>
      </c>
      <c r="E219" s="15">
        <v>2364</v>
      </c>
      <c r="F219" s="274">
        <v>42918</v>
      </c>
      <c r="G219" s="15">
        <v>2364</v>
      </c>
      <c r="H219" s="15">
        <f>Tabla1[[#This Row],[Importe]]-Tabla1[[#This Row],[Pagado]]</f>
        <v>0</v>
      </c>
      <c r="I219" s="275" t="s">
        <v>15214</v>
      </c>
    </row>
    <row r="220" spans="1:9" x14ac:dyDescent="0.25">
      <c r="A220" s="16">
        <v>42918</v>
      </c>
      <c r="B220" s="273" t="s">
        <v>20046</v>
      </c>
      <c r="C220">
        <v>118374</v>
      </c>
      <c r="D220" s="236" t="s">
        <v>19699</v>
      </c>
      <c r="E220" s="15">
        <v>1470</v>
      </c>
      <c r="F220" s="274">
        <v>42918</v>
      </c>
      <c r="G220" s="15">
        <v>1470</v>
      </c>
      <c r="H220" s="15">
        <f>Tabla1[[#This Row],[Importe]]-Tabla1[[#This Row],[Pagado]]</f>
        <v>0</v>
      </c>
      <c r="I220" s="275" t="s">
        <v>15214</v>
      </c>
    </row>
    <row r="221" spans="1:9" x14ac:dyDescent="0.25">
      <c r="A221" s="16">
        <v>42918</v>
      </c>
      <c r="B221" s="273" t="s">
        <v>20047</v>
      </c>
      <c r="C221">
        <v>118375</v>
      </c>
      <c r="D221" s="236" t="s">
        <v>19699</v>
      </c>
      <c r="E221" s="15">
        <v>1749.3</v>
      </c>
      <c r="F221" s="274">
        <v>42918</v>
      </c>
      <c r="G221" s="15">
        <v>1749.3</v>
      </c>
      <c r="H221" s="15">
        <f>Tabla1[[#This Row],[Importe]]-Tabla1[[#This Row],[Pagado]]</f>
        <v>0</v>
      </c>
      <c r="I221" s="275" t="s">
        <v>15214</v>
      </c>
    </row>
    <row r="222" spans="1:9" x14ac:dyDescent="0.25">
      <c r="A222" s="16">
        <v>42918</v>
      </c>
      <c r="B222" s="273" t="s">
        <v>20048</v>
      </c>
      <c r="C222">
        <v>118376</v>
      </c>
      <c r="D222" s="236" t="s">
        <v>19776</v>
      </c>
      <c r="E222" s="15">
        <v>28713.599999999999</v>
      </c>
      <c r="F222" s="274">
        <v>42918</v>
      </c>
      <c r="G222" s="15">
        <v>28713.599999999999</v>
      </c>
      <c r="H222" s="15">
        <f>Tabla1[[#This Row],[Importe]]-Tabla1[[#This Row],[Pagado]]</f>
        <v>0</v>
      </c>
      <c r="I222" s="275" t="s">
        <v>15214</v>
      </c>
    </row>
    <row r="223" spans="1:9" x14ac:dyDescent="0.25">
      <c r="A223" s="16">
        <v>42918</v>
      </c>
      <c r="B223" s="273" t="s">
        <v>20049</v>
      </c>
      <c r="C223">
        <v>118377</v>
      </c>
      <c r="D223" s="236" t="s">
        <v>17462</v>
      </c>
      <c r="E223" s="15">
        <v>2692.4</v>
      </c>
      <c r="F223" s="274">
        <v>42918</v>
      </c>
      <c r="G223" s="15">
        <v>2692.4</v>
      </c>
      <c r="H223" s="15">
        <f>Tabla1[[#This Row],[Importe]]-Tabla1[[#This Row],[Pagado]]</f>
        <v>0</v>
      </c>
      <c r="I223" s="275" t="s">
        <v>15214</v>
      </c>
    </row>
    <row r="224" spans="1:9" x14ac:dyDescent="0.25">
      <c r="A224" s="16">
        <v>42918</v>
      </c>
      <c r="B224" s="273" t="s">
        <v>20050</v>
      </c>
      <c r="C224">
        <v>118378</v>
      </c>
      <c r="D224" s="236" t="s">
        <v>15213</v>
      </c>
      <c r="E224" s="15">
        <v>5860.4</v>
      </c>
      <c r="F224" s="274" t="s">
        <v>19907</v>
      </c>
      <c r="G224" s="15">
        <v>5860.4</v>
      </c>
      <c r="H224" s="15">
        <f>Tabla1[[#This Row],[Importe]]-Tabla1[[#This Row],[Pagado]]</f>
        <v>0</v>
      </c>
      <c r="I224" s="275" t="s">
        <v>15214</v>
      </c>
    </row>
    <row r="225" spans="1:9" x14ac:dyDescent="0.25">
      <c r="A225" s="16">
        <v>42918</v>
      </c>
      <c r="B225" s="273" t="s">
        <v>20051</v>
      </c>
      <c r="C225">
        <v>118379</v>
      </c>
      <c r="D225" s="236" t="s">
        <v>15810</v>
      </c>
      <c r="E225" s="15">
        <v>421.2</v>
      </c>
      <c r="F225" s="274">
        <v>42918</v>
      </c>
      <c r="G225" s="15">
        <v>421.2</v>
      </c>
      <c r="H225" s="15">
        <f>Tabla1[[#This Row],[Importe]]-Tabla1[[#This Row],[Pagado]]</f>
        <v>0</v>
      </c>
      <c r="I225" s="275" t="s">
        <v>15214</v>
      </c>
    </row>
    <row r="226" spans="1:9" x14ac:dyDescent="0.25">
      <c r="A226" s="16">
        <v>42918</v>
      </c>
      <c r="B226" s="273" t="s">
        <v>20052</v>
      </c>
      <c r="C226">
        <v>118380</v>
      </c>
      <c r="D226" s="236" t="s">
        <v>15315</v>
      </c>
      <c r="E226" s="15">
        <v>1017.6</v>
      </c>
      <c r="F226" s="274">
        <v>42918</v>
      </c>
      <c r="G226" s="15">
        <v>1017.6</v>
      </c>
      <c r="H226" s="15">
        <f>Tabla1[[#This Row],[Importe]]-Tabla1[[#This Row],[Pagado]]</f>
        <v>0</v>
      </c>
      <c r="I226" s="275" t="s">
        <v>15214</v>
      </c>
    </row>
    <row r="227" spans="1:9" x14ac:dyDescent="0.25">
      <c r="A227" s="16">
        <v>42918</v>
      </c>
      <c r="B227" s="273" t="s">
        <v>20053</v>
      </c>
      <c r="C227">
        <v>118381</v>
      </c>
      <c r="D227" s="236" t="s">
        <v>15435</v>
      </c>
      <c r="E227" s="15">
        <v>7571.8</v>
      </c>
      <c r="F227" s="274">
        <v>42918</v>
      </c>
      <c r="G227" s="15">
        <v>7571.8</v>
      </c>
      <c r="H227" s="15">
        <f>Tabla1[[#This Row],[Importe]]-Tabla1[[#This Row],[Pagado]]</f>
        <v>0</v>
      </c>
      <c r="I227" s="275" t="s">
        <v>15214</v>
      </c>
    </row>
    <row r="228" spans="1:9" ht="15.75" x14ac:dyDescent="0.25">
      <c r="A228" s="16">
        <v>42919</v>
      </c>
      <c r="B228" s="273" t="s">
        <v>20054</v>
      </c>
      <c r="C228">
        <v>118382</v>
      </c>
      <c r="D228" s="248" t="s">
        <v>95</v>
      </c>
      <c r="E228" s="15">
        <v>0</v>
      </c>
      <c r="F228" s="277" t="s">
        <v>95</v>
      </c>
      <c r="G228" s="15">
        <v>0</v>
      </c>
      <c r="H228" s="15">
        <f>Tabla1[[#This Row],[Importe]]-Tabla1[[#This Row],[Pagado]]</f>
        <v>0</v>
      </c>
      <c r="I228" s="275" t="s">
        <v>95</v>
      </c>
    </row>
    <row r="229" spans="1:9" x14ac:dyDescent="0.25">
      <c r="A229" s="16">
        <v>42919</v>
      </c>
      <c r="B229" s="273" t="s">
        <v>20055</v>
      </c>
      <c r="C229">
        <v>118383</v>
      </c>
      <c r="D229" s="236" t="s">
        <v>15213</v>
      </c>
      <c r="E229" s="15">
        <v>38162.5</v>
      </c>
      <c r="F229" s="274">
        <v>42920</v>
      </c>
      <c r="G229" s="15">
        <v>38162.5</v>
      </c>
      <c r="H229" s="15">
        <f>Tabla1[[#This Row],[Importe]]-Tabla1[[#This Row],[Pagado]]</f>
        <v>0</v>
      </c>
      <c r="I229" s="275" t="s">
        <v>15214</v>
      </c>
    </row>
    <row r="230" spans="1:9" x14ac:dyDescent="0.25">
      <c r="A230" s="16">
        <v>42919</v>
      </c>
      <c r="B230" s="273" t="s">
        <v>20056</v>
      </c>
      <c r="C230">
        <v>118384</v>
      </c>
      <c r="D230" s="236" t="s">
        <v>15213</v>
      </c>
      <c r="E230" s="15">
        <v>5779.2</v>
      </c>
      <c r="F230" s="274">
        <v>42921</v>
      </c>
      <c r="G230" s="15">
        <v>5779.2</v>
      </c>
      <c r="H230" s="15">
        <f>Tabla1[[#This Row],[Importe]]-Tabla1[[#This Row],[Pagado]]</f>
        <v>0</v>
      </c>
      <c r="I230" s="275" t="s">
        <v>15214</v>
      </c>
    </row>
    <row r="231" spans="1:9" x14ac:dyDescent="0.25">
      <c r="A231" s="16">
        <v>42919</v>
      </c>
      <c r="B231" s="273" t="s">
        <v>20057</v>
      </c>
      <c r="C231">
        <v>118385</v>
      </c>
      <c r="D231" s="236" t="s">
        <v>19302</v>
      </c>
      <c r="E231" s="15">
        <v>1225</v>
      </c>
      <c r="F231" s="274">
        <v>42919</v>
      </c>
      <c r="G231" s="15">
        <v>1225</v>
      </c>
      <c r="H231" s="15">
        <f>Tabla1[[#This Row],[Importe]]-Tabla1[[#This Row],[Pagado]]</f>
        <v>0</v>
      </c>
      <c r="I231" s="275" t="s">
        <v>15214</v>
      </c>
    </row>
    <row r="232" spans="1:9" x14ac:dyDescent="0.25">
      <c r="A232" s="16">
        <v>42919</v>
      </c>
      <c r="B232" s="273" t="s">
        <v>20058</v>
      </c>
      <c r="C232">
        <v>118386</v>
      </c>
      <c r="D232" s="236" t="s">
        <v>15220</v>
      </c>
      <c r="E232" s="15">
        <v>1225</v>
      </c>
      <c r="F232" s="274">
        <v>42919</v>
      </c>
      <c r="G232" s="15">
        <v>1225</v>
      </c>
      <c r="H232" s="15">
        <f>Tabla1[[#This Row],[Importe]]-Tabla1[[#This Row],[Pagado]]</f>
        <v>0</v>
      </c>
      <c r="I232" s="275" t="s">
        <v>15214</v>
      </c>
    </row>
    <row r="233" spans="1:9" x14ac:dyDescent="0.25">
      <c r="A233" s="16">
        <v>42919</v>
      </c>
      <c r="B233" s="273" t="s">
        <v>20059</v>
      </c>
      <c r="C233">
        <v>118387</v>
      </c>
      <c r="D233" s="236" t="s">
        <v>15250</v>
      </c>
      <c r="E233" s="15">
        <v>32859.699999999997</v>
      </c>
      <c r="F233" s="274">
        <v>42931</v>
      </c>
      <c r="G233" s="15">
        <v>32859.699999999997</v>
      </c>
      <c r="H233" s="15">
        <f>Tabla1[[#This Row],[Importe]]-Tabla1[[#This Row],[Pagado]]</f>
        <v>0</v>
      </c>
      <c r="I233" s="275" t="s">
        <v>15214</v>
      </c>
    </row>
    <row r="234" spans="1:9" x14ac:dyDescent="0.25">
      <c r="A234" s="16">
        <v>42919</v>
      </c>
      <c r="B234" s="273" t="s">
        <v>20060</v>
      </c>
      <c r="C234">
        <v>118388</v>
      </c>
      <c r="D234" s="236" t="s">
        <v>15407</v>
      </c>
      <c r="E234" s="15">
        <v>6725.4</v>
      </c>
      <c r="F234" s="274">
        <v>42919</v>
      </c>
      <c r="G234" s="15">
        <v>6725.4</v>
      </c>
      <c r="H234" s="15">
        <f>Tabla1[[#This Row],[Importe]]-Tabla1[[#This Row],[Pagado]]</f>
        <v>0</v>
      </c>
      <c r="I234" s="275" t="s">
        <v>15214</v>
      </c>
    </row>
    <row r="235" spans="1:9" x14ac:dyDescent="0.25">
      <c r="A235" s="16">
        <v>42919</v>
      </c>
      <c r="B235" s="273" t="s">
        <v>20061</v>
      </c>
      <c r="C235">
        <v>118389</v>
      </c>
      <c r="D235" s="236" t="s">
        <v>15250</v>
      </c>
      <c r="E235" s="15">
        <v>2809.48</v>
      </c>
      <c r="F235" s="274">
        <v>42931</v>
      </c>
      <c r="G235" s="15">
        <v>2809.48</v>
      </c>
      <c r="H235" s="15">
        <f>Tabla1[[#This Row],[Importe]]-Tabla1[[#This Row],[Pagado]]</f>
        <v>0</v>
      </c>
      <c r="I235" s="275" t="s">
        <v>15214</v>
      </c>
    </row>
    <row r="236" spans="1:9" x14ac:dyDescent="0.25">
      <c r="A236" s="16">
        <v>42919</v>
      </c>
      <c r="B236" s="273" t="s">
        <v>20062</v>
      </c>
      <c r="C236">
        <v>118390</v>
      </c>
      <c r="D236" s="236" t="s">
        <v>15230</v>
      </c>
      <c r="E236" s="15">
        <v>10416</v>
      </c>
      <c r="F236" s="274">
        <v>42920</v>
      </c>
      <c r="G236" s="15">
        <v>10416</v>
      </c>
      <c r="H236" s="15">
        <f>Tabla1[[#This Row],[Importe]]-Tabla1[[#This Row],[Pagado]]</f>
        <v>0</v>
      </c>
      <c r="I236" s="275" t="s">
        <v>15214</v>
      </c>
    </row>
    <row r="237" spans="1:9" x14ac:dyDescent="0.25">
      <c r="A237" s="16">
        <v>42919</v>
      </c>
      <c r="B237" s="273" t="s">
        <v>20063</v>
      </c>
      <c r="C237">
        <v>118391</v>
      </c>
      <c r="D237" s="236" t="s">
        <v>15380</v>
      </c>
      <c r="E237" s="15">
        <v>46875.6</v>
      </c>
      <c r="F237" s="274">
        <v>42931</v>
      </c>
      <c r="G237" s="15">
        <v>46875.6</v>
      </c>
      <c r="H237" s="15">
        <f>Tabla1[[#This Row],[Importe]]-Tabla1[[#This Row],[Pagado]]</f>
        <v>0</v>
      </c>
      <c r="I237" s="275" t="s">
        <v>15214</v>
      </c>
    </row>
    <row r="238" spans="1:9" x14ac:dyDescent="0.25">
      <c r="A238" s="16">
        <v>42919</v>
      </c>
      <c r="B238" s="273" t="s">
        <v>20064</v>
      </c>
      <c r="C238">
        <v>118392</v>
      </c>
      <c r="D238" s="236" t="s">
        <v>15232</v>
      </c>
      <c r="E238" s="15">
        <v>7688.4</v>
      </c>
      <c r="F238" s="274">
        <v>42922</v>
      </c>
      <c r="G238" s="15">
        <v>7688.4</v>
      </c>
      <c r="H238" s="15">
        <f>Tabla1[[#This Row],[Importe]]-Tabla1[[#This Row],[Pagado]]</f>
        <v>0</v>
      </c>
      <c r="I238" s="275" t="s">
        <v>15214</v>
      </c>
    </row>
    <row r="239" spans="1:9" x14ac:dyDescent="0.25">
      <c r="A239" s="16">
        <v>42919</v>
      </c>
      <c r="B239" s="273" t="s">
        <v>20065</v>
      </c>
      <c r="C239">
        <v>118393</v>
      </c>
      <c r="D239" s="236" t="s">
        <v>15234</v>
      </c>
      <c r="E239" s="15">
        <v>3259.2</v>
      </c>
      <c r="F239" s="274">
        <v>42922</v>
      </c>
      <c r="G239" s="15">
        <v>3259.2</v>
      </c>
      <c r="H239" s="15">
        <f>Tabla1[[#This Row],[Importe]]-Tabla1[[#This Row],[Pagado]]</f>
        <v>0</v>
      </c>
      <c r="I239" s="275" t="s">
        <v>15214</v>
      </c>
    </row>
    <row r="240" spans="1:9" x14ac:dyDescent="0.25">
      <c r="A240" s="16">
        <v>42919</v>
      </c>
      <c r="B240" s="273" t="s">
        <v>20066</v>
      </c>
      <c r="C240">
        <v>118394</v>
      </c>
      <c r="D240" s="236" t="s">
        <v>15226</v>
      </c>
      <c r="E240" s="15">
        <v>1805</v>
      </c>
      <c r="F240" s="274">
        <v>42922</v>
      </c>
      <c r="G240" s="15">
        <v>1805</v>
      </c>
      <c r="H240" s="15">
        <f>Tabla1[[#This Row],[Importe]]-Tabla1[[#This Row],[Pagado]]</f>
        <v>0</v>
      </c>
      <c r="I240" s="275" t="s">
        <v>15214</v>
      </c>
    </row>
    <row r="241" spans="1:9" x14ac:dyDescent="0.25">
      <c r="A241" s="16">
        <v>42919</v>
      </c>
      <c r="B241" s="273" t="s">
        <v>20067</v>
      </c>
      <c r="C241">
        <v>118395</v>
      </c>
      <c r="D241" s="236" t="s">
        <v>15369</v>
      </c>
      <c r="E241" s="15">
        <v>26662.1</v>
      </c>
      <c r="F241" s="274">
        <v>42941</v>
      </c>
      <c r="G241" s="15">
        <v>26662.1</v>
      </c>
      <c r="H241" s="15">
        <f>Tabla1[[#This Row],[Importe]]-Tabla1[[#This Row],[Pagado]]</f>
        <v>0</v>
      </c>
      <c r="I241" s="275" t="s">
        <v>15214</v>
      </c>
    </row>
    <row r="242" spans="1:9" x14ac:dyDescent="0.25">
      <c r="A242" s="16">
        <v>42919</v>
      </c>
      <c r="B242" s="273" t="s">
        <v>20068</v>
      </c>
      <c r="C242">
        <v>118396</v>
      </c>
      <c r="D242" s="236" t="s">
        <v>15394</v>
      </c>
      <c r="E242" s="15">
        <v>19186.599999999999</v>
      </c>
      <c r="F242" s="274">
        <v>42921</v>
      </c>
      <c r="G242" s="15">
        <v>19186.599999999999</v>
      </c>
      <c r="H242" s="15">
        <f>Tabla1[[#This Row],[Importe]]-Tabla1[[#This Row],[Pagado]]</f>
        <v>0</v>
      </c>
      <c r="I242" s="275" t="s">
        <v>15214</v>
      </c>
    </row>
    <row r="243" spans="1:9" x14ac:dyDescent="0.25">
      <c r="A243" s="16">
        <v>42919</v>
      </c>
      <c r="B243" s="273" t="s">
        <v>20069</v>
      </c>
      <c r="C243">
        <v>118397</v>
      </c>
      <c r="D243" s="236" t="s">
        <v>15373</v>
      </c>
      <c r="E243" s="15">
        <v>17455.2</v>
      </c>
      <c r="F243" s="274">
        <v>42919</v>
      </c>
      <c r="G243" s="15">
        <v>17455.2</v>
      </c>
      <c r="H243" s="15">
        <f>Tabla1[[#This Row],[Importe]]-Tabla1[[#This Row],[Pagado]]</f>
        <v>0</v>
      </c>
      <c r="I243" s="275" t="s">
        <v>15214</v>
      </c>
    </row>
    <row r="244" spans="1:9" ht="30" x14ac:dyDescent="0.25">
      <c r="A244" s="16">
        <v>42919</v>
      </c>
      <c r="B244" s="273" t="s">
        <v>20070</v>
      </c>
      <c r="C244">
        <v>118398</v>
      </c>
      <c r="D244" s="236" t="s">
        <v>15258</v>
      </c>
      <c r="E244" s="15">
        <v>12432</v>
      </c>
      <c r="F244" s="274" t="s">
        <v>20071</v>
      </c>
      <c r="G244" s="241">
        <f>5000+7432</f>
        <v>12432</v>
      </c>
      <c r="H244" s="241">
        <f>Tabla1[[#This Row],[Importe]]-Tabla1[[#This Row],[Pagado]]</f>
        <v>0</v>
      </c>
      <c r="I244" s="275" t="s">
        <v>15214</v>
      </c>
    </row>
    <row r="245" spans="1:9" x14ac:dyDescent="0.25">
      <c r="A245" s="16">
        <v>42919</v>
      </c>
      <c r="B245" s="273" t="s">
        <v>20072</v>
      </c>
      <c r="C245">
        <v>118399</v>
      </c>
      <c r="D245" s="236" t="s">
        <v>15228</v>
      </c>
      <c r="E245" s="15">
        <v>6794.4</v>
      </c>
      <c r="F245" s="274">
        <v>42919</v>
      </c>
      <c r="G245" s="241">
        <v>6794.4</v>
      </c>
      <c r="H245" s="241">
        <f>Tabla1[[#This Row],[Importe]]-Tabla1[[#This Row],[Pagado]]</f>
        <v>0</v>
      </c>
      <c r="I245" s="275" t="s">
        <v>15214</v>
      </c>
    </row>
    <row r="246" spans="1:9" x14ac:dyDescent="0.25">
      <c r="A246" s="16">
        <v>42919</v>
      </c>
      <c r="B246" s="273" t="s">
        <v>20073</v>
      </c>
      <c r="C246">
        <v>118400</v>
      </c>
      <c r="D246" s="236" t="s">
        <v>15272</v>
      </c>
      <c r="E246" s="15">
        <v>20588.7</v>
      </c>
      <c r="F246" s="274">
        <v>42919</v>
      </c>
      <c r="G246" s="15">
        <v>20588.7</v>
      </c>
      <c r="H246" s="15">
        <f>Tabla1[[#This Row],[Importe]]-Tabla1[[#This Row],[Pagado]]</f>
        <v>0</v>
      </c>
      <c r="I246" s="275" t="s">
        <v>15214</v>
      </c>
    </row>
    <row r="247" spans="1:9" x14ac:dyDescent="0.25">
      <c r="A247" s="16">
        <v>42919</v>
      </c>
      <c r="B247" s="273" t="s">
        <v>20074</v>
      </c>
      <c r="C247">
        <v>118401</v>
      </c>
      <c r="D247" s="236" t="s">
        <v>19549</v>
      </c>
      <c r="E247" s="15">
        <v>12794.4</v>
      </c>
      <c r="F247" s="274">
        <v>42919</v>
      </c>
      <c r="G247" s="15">
        <v>12794.4</v>
      </c>
      <c r="H247" s="15">
        <f>Tabla1[[#This Row],[Importe]]-Tabla1[[#This Row],[Pagado]]</f>
        <v>0</v>
      </c>
      <c r="I247" s="275" t="s">
        <v>15214</v>
      </c>
    </row>
    <row r="248" spans="1:9" x14ac:dyDescent="0.25">
      <c r="A248" s="16">
        <v>42919</v>
      </c>
      <c r="B248" s="273" t="s">
        <v>20075</v>
      </c>
      <c r="C248">
        <v>118402</v>
      </c>
      <c r="D248" s="236" t="s">
        <v>15668</v>
      </c>
      <c r="E248" s="15">
        <v>23721.599999999999</v>
      </c>
      <c r="F248" s="274">
        <v>42921</v>
      </c>
      <c r="G248" s="15">
        <v>23721.599999999999</v>
      </c>
      <c r="H248" s="15">
        <f>Tabla1[[#This Row],[Importe]]-Tabla1[[#This Row],[Pagado]]</f>
        <v>0</v>
      </c>
      <c r="I248" s="275" t="s">
        <v>15214</v>
      </c>
    </row>
    <row r="249" spans="1:9" x14ac:dyDescent="0.25">
      <c r="A249" s="16">
        <v>42919</v>
      </c>
      <c r="B249" s="273" t="s">
        <v>20076</v>
      </c>
      <c r="C249">
        <v>118403</v>
      </c>
      <c r="D249" s="236" t="s">
        <v>15382</v>
      </c>
      <c r="E249" s="15">
        <v>8464</v>
      </c>
      <c r="F249" s="274">
        <v>42940</v>
      </c>
      <c r="G249" s="15">
        <v>8464</v>
      </c>
      <c r="H249" s="15">
        <f>Tabla1[[#This Row],[Importe]]-Tabla1[[#This Row],[Pagado]]</f>
        <v>0</v>
      </c>
      <c r="I249" s="275" t="s">
        <v>15214</v>
      </c>
    </row>
    <row r="250" spans="1:9" x14ac:dyDescent="0.25">
      <c r="A250" s="16">
        <v>42919</v>
      </c>
      <c r="B250" s="273" t="s">
        <v>20077</v>
      </c>
      <c r="C250">
        <v>118404</v>
      </c>
      <c r="D250" s="236" t="s">
        <v>15389</v>
      </c>
      <c r="E250" s="15">
        <v>18454.2</v>
      </c>
      <c r="F250" s="274">
        <v>42940</v>
      </c>
      <c r="G250" s="15">
        <v>18454.2</v>
      </c>
      <c r="H250" s="15">
        <f>Tabla1[[#This Row],[Importe]]-Tabla1[[#This Row],[Pagado]]</f>
        <v>0</v>
      </c>
      <c r="I250" s="275" t="s">
        <v>15214</v>
      </c>
    </row>
    <row r="251" spans="1:9" x14ac:dyDescent="0.25">
      <c r="A251" s="16">
        <v>42919</v>
      </c>
      <c r="B251" s="273" t="s">
        <v>20078</v>
      </c>
      <c r="C251">
        <v>118405</v>
      </c>
      <c r="D251" s="236" t="s">
        <v>15328</v>
      </c>
      <c r="E251" s="15">
        <v>5411.7</v>
      </c>
      <c r="F251" s="274">
        <v>42934</v>
      </c>
      <c r="G251" s="15">
        <v>5411.7</v>
      </c>
      <c r="H251" s="15">
        <f>Tabla1[[#This Row],[Importe]]-Tabla1[[#This Row],[Pagado]]</f>
        <v>0</v>
      </c>
      <c r="I251" s="275" t="s">
        <v>15214</v>
      </c>
    </row>
    <row r="252" spans="1:9" x14ac:dyDescent="0.25">
      <c r="A252" s="16">
        <v>42919</v>
      </c>
      <c r="B252" s="273" t="s">
        <v>20079</v>
      </c>
      <c r="C252">
        <v>118406</v>
      </c>
      <c r="D252" s="236" t="s">
        <v>15330</v>
      </c>
      <c r="E252" s="15">
        <v>8652.4</v>
      </c>
      <c r="F252" s="274">
        <v>42919</v>
      </c>
      <c r="G252" s="15">
        <v>8652.4</v>
      </c>
      <c r="H252" s="15">
        <f>Tabla1[[#This Row],[Importe]]-Tabla1[[#This Row],[Pagado]]</f>
        <v>0</v>
      </c>
      <c r="I252" s="275" t="s">
        <v>15214</v>
      </c>
    </row>
    <row r="253" spans="1:9" x14ac:dyDescent="0.25">
      <c r="A253" s="16">
        <v>42919</v>
      </c>
      <c r="B253" s="273" t="s">
        <v>20080</v>
      </c>
      <c r="C253">
        <v>118407</v>
      </c>
      <c r="D253" s="236" t="s">
        <v>15330</v>
      </c>
      <c r="E253" s="15">
        <v>151.19999999999999</v>
      </c>
      <c r="F253" s="274">
        <v>42919</v>
      </c>
      <c r="G253" s="15">
        <v>151.19999999999999</v>
      </c>
      <c r="H253" s="15">
        <f>Tabla1[[#This Row],[Importe]]-Tabla1[[#This Row],[Pagado]]</f>
        <v>0</v>
      </c>
      <c r="I253" s="275" t="s">
        <v>15214</v>
      </c>
    </row>
    <row r="254" spans="1:9" x14ac:dyDescent="0.25">
      <c r="A254" s="16">
        <v>42919</v>
      </c>
      <c r="B254" s="273" t="s">
        <v>20081</v>
      </c>
      <c r="C254">
        <v>118408</v>
      </c>
      <c r="D254" s="236" t="s">
        <v>15223</v>
      </c>
      <c r="E254" s="15">
        <v>46606.5</v>
      </c>
      <c r="F254" s="274">
        <v>42939</v>
      </c>
      <c r="G254" s="15">
        <v>46606.5</v>
      </c>
      <c r="H254" s="15">
        <f>Tabla1[[#This Row],[Importe]]-Tabla1[[#This Row],[Pagado]]</f>
        <v>0</v>
      </c>
      <c r="I254" s="275" t="s">
        <v>15214</v>
      </c>
    </row>
    <row r="255" spans="1:9" ht="15.75" x14ac:dyDescent="0.25">
      <c r="A255" s="16">
        <v>42919</v>
      </c>
      <c r="B255" s="273" t="s">
        <v>20082</v>
      </c>
      <c r="C255">
        <v>118409</v>
      </c>
      <c r="D255" s="248" t="s">
        <v>95</v>
      </c>
      <c r="E255" s="15">
        <v>0</v>
      </c>
      <c r="F255" s="277" t="s">
        <v>95</v>
      </c>
      <c r="G255" s="15">
        <v>0</v>
      </c>
      <c r="H255" s="15">
        <f>Tabla1[[#This Row],[Importe]]-Tabla1[[#This Row],[Pagado]]</f>
        <v>0</v>
      </c>
      <c r="I255" s="275" t="s">
        <v>95</v>
      </c>
    </row>
    <row r="256" spans="1:9" x14ac:dyDescent="0.25">
      <c r="A256" s="16">
        <v>42919</v>
      </c>
      <c r="B256" s="273" t="s">
        <v>20083</v>
      </c>
      <c r="C256">
        <v>118410</v>
      </c>
      <c r="D256" s="236" t="s">
        <v>15324</v>
      </c>
      <c r="E256" s="15">
        <v>1801.5</v>
      </c>
      <c r="F256" s="274">
        <v>42919</v>
      </c>
      <c r="G256" s="15">
        <v>1801.5</v>
      </c>
      <c r="H256" s="15">
        <f>Tabla1[[#This Row],[Importe]]-Tabla1[[#This Row],[Pagado]]</f>
        <v>0</v>
      </c>
      <c r="I256" s="275" t="s">
        <v>15214</v>
      </c>
    </row>
    <row r="257" spans="1:9" x14ac:dyDescent="0.25">
      <c r="A257" s="16">
        <v>42919</v>
      </c>
      <c r="B257" s="273" t="s">
        <v>20084</v>
      </c>
      <c r="C257">
        <v>118411</v>
      </c>
      <c r="D257" s="236" t="s">
        <v>5873</v>
      </c>
      <c r="E257" s="15">
        <v>36001</v>
      </c>
      <c r="F257" s="274" t="s">
        <v>20085</v>
      </c>
      <c r="G257" s="15">
        <v>36001</v>
      </c>
      <c r="H257" s="15">
        <f>Tabla1[[#This Row],[Importe]]-Tabla1[[#This Row],[Pagado]]</f>
        <v>0</v>
      </c>
      <c r="I257" s="275" t="s">
        <v>15214</v>
      </c>
    </row>
    <row r="258" spans="1:9" x14ac:dyDescent="0.25">
      <c r="A258" s="16">
        <v>42919</v>
      </c>
      <c r="B258" s="273" t="s">
        <v>20086</v>
      </c>
      <c r="C258">
        <v>118412</v>
      </c>
      <c r="D258" s="236" t="s">
        <v>15238</v>
      </c>
      <c r="E258" s="15">
        <v>6734.8</v>
      </c>
      <c r="F258" s="274">
        <v>42921</v>
      </c>
      <c r="G258" s="15">
        <v>6734.8</v>
      </c>
      <c r="H258" s="15">
        <f>Tabla1[[#This Row],[Importe]]-Tabla1[[#This Row],[Pagado]]</f>
        <v>0</v>
      </c>
      <c r="I258" s="275" t="s">
        <v>15214</v>
      </c>
    </row>
    <row r="259" spans="1:9" x14ac:dyDescent="0.25">
      <c r="A259" s="16">
        <v>42919</v>
      </c>
      <c r="B259" s="273" t="s">
        <v>20087</v>
      </c>
      <c r="C259">
        <v>118413</v>
      </c>
      <c r="D259" s="236" t="s">
        <v>15256</v>
      </c>
      <c r="E259" s="15">
        <v>8795.6</v>
      </c>
      <c r="F259" s="274">
        <v>42920</v>
      </c>
      <c r="G259" s="15">
        <v>8795.6</v>
      </c>
      <c r="H259" s="15">
        <f>Tabla1[[#This Row],[Importe]]-Tabla1[[#This Row],[Pagado]]</f>
        <v>0</v>
      </c>
      <c r="I259" s="275" t="s">
        <v>15214</v>
      </c>
    </row>
    <row r="260" spans="1:9" x14ac:dyDescent="0.25">
      <c r="A260" s="16">
        <v>42919</v>
      </c>
      <c r="B260" s="273" t="s">
        <v>20088</v>
      </c>
      <c r="C260">
        <v>118414</v>
      </c>
      <c r="D260" s="236" t="s">
        <v>19776</v>
      </c>
      <c r="E260" s="15">
        <v>1510</v>
      </c>
      <c r="F260" s="274">
        <v>42919</v>
      </c>
      <c r="G260" s="15">
        <v>1510</v>
      </c>
      <c r="H260" s="15">
        <f>Tabla1[[#This Row],[Importe]]-Tabla1[[#This Row],[Pagado]]</f>
        <v>0</v>
      </c>
      <c r="I260" s="275" t="s">
        <v>15214</v>
      </c>
    </row>
    <row r="261" spans="1:9" ht="30" x14ac:dyDescent="0.25">
      <c r="A261" s="16">
        <v>42919</v>
      </c>
      <c r="B261" s="273" t="s">
        <v>20089</v>
      </c>
      <c r="C261">
        <v>118415</v>
      </c>
      <c r="D261" s="236" t="s">
        <v>5575</v>
      </c>
      <c r="E261" s="15">
        <v>7778.4</v>
      </c>
      <c r="F261" s="274" t="s">
        <v>20090</v>
      </c>
      <c r="G261" s="241">
        <f>2500+4500+778.4</f>
        <v>7778.4</v>
      </c>
      <c r="H261" s="241">
        <f>Tabla1[[#This Row],[Importe]]-Tabla1[[#This Row],[Pagado]]</f>
        <v>0</v>
      </c>
      <c r="I261" s="275" t="s">
        <v>15214</v>
      </c>
    </row>
    <row r="262" spans="1:9" x14ac:dyDescent="0.25">
      <c r="A262" s="16">
        <v>42919</v>
      </c>
      <c r="B262" s="273" t="s">
        <v>20091</v>
      </c>
      <c r="C262">
        <v>118416</v>
      </c>
      <c r="D262" s="236" t="s">
        <v>19780</v>
      </c>
      <c r="E262" s="15">
        <v>6988.8</v>
      </c>
      <c r="F262" s="274">
        <v>42922</v>
      </c>
      <c r="G262" s="15">
        <v>6988.8</v>
      </c>
      <c r="H262" s="15">
        <f>Tabla1[[#This Row],[Importe]]-Tabla1[[#This Row],[Pagado]]</f>
        <v>0</v>
      </c>
      <c r="I262" s="275" t="s">
        <v>15214</v>
      </c>
    </row>
    <row r="263" spans="1:9" ht="15.75" x14ac:dyDescent="0.25">
      <c r="A263" s="16">
        <v>42919</v>
      </c>
      <c r="B263" s="273" t="s">
        <v>20092</v>
      </c>
      <c r="C263">
        <v>118417</v>
      </c>
      <c r="D263" s="248" t="s">
        <v>95</v>
      </c>
      <c r="E263" s="15">
        <v>0</v>
      </c>
      <c r="F263" s="274" t="s">
        <v>19846</v>
      </c>
      <c r="G263" s="15">
        <v>0</v>
      </c>
      <c r="H263" s="15">
        <f>Tabla1[[#This Row],[Importe]]-Tabla1[[#This Row],[Pagado]]</f>
        <v>0</v>
      </c>
      <c r="I263" s="275" t="s">
        <v>95</v>
      </c>
    </row>
    <row r="264" spans="1:9" x14ac:dyDescent="0.25">
      <c r="A264" s="16">
        <v>42919</v>
      </c>
      <c r="B264" s="273" t="s">
        <v>20093</v>
      </c>
      <c r="C264">
        <v>118418</v>
      </c>
      <c r="D264" s="236" t="s">
        <v>15284</v>
      </c>
      <c r="E264" s="15">
        <v>2475.1</v>
      </c>
      <c r="F264" s="274">
        <v>42919</v>
      </c>
      <c r="G264" s="15">
        <v>2475.1</v>
      </c>
      <c r="H264" s="15">
        <f>Tabla1[[#This Row],[Importe]]-Tabla1[[#This Row],[Pagado]]</f>
        <v>0</v>
      </c>
      <c r="I264" s="275" t="s">
        <v>15214</v>
      </c>
    </row>
    <row r="265" spans="1:9" x14ac:dyDescent="0.25">
      <c r="A265" s="16">
        <v>42919</v>
      </c>
      <c r="B265" s="273" t="s">
        <v>20094</v>
      </c>
      <c r="C265">
        <v>118419</v>
      </c>
      <c r="D265" s="236" t="s">
        <v>15480</v>
      </c>
      <c r="E265" s="15">
        <v>3754.8</v>
      </c>
      <c r="F265" s="274">
        <v>42920</v>
      </c>
      <c r="G265" s="15">
        <v>3754.8</v>
      </c>
      <c r="H265" s="15">
        <f>Tabla1[[#This Row],[Importe]]-Tabla1[[#This Row],[Pagado]]</f>
        <v>0</v>
      </c>
      <c r="I265" s="275" t="s">
        <v>15214</v>
      </c>
    </row>
    <row r="266" spans="1:9" x14ac:dyDescent="0.25">
      <c r="A266" s="16">
        <v>42919</v>
      </c>
      <c r="B266" s="273" t="s">
        <v>20095</v>
      </c>
      <c r="C266">
        <v>118420</v>
      </c>
      <c r="D266" s="236" t="s">
        <v>15326</v>
      </c>
      <c r="E266" s="15">
        <v>3927</v>
      </c>
      <c r="F266" s="274">
        <v>42919</v>
      </c>
      <c r="G266" s="15">
        <v>3927</v>
      </c>
      <c r="H266" s="15">
        <f>Tabla1[[#This Row],[Importe]]-Tabla1[[#This Row],[Pagado]]</f>
        <v>0</v>
      </c>
      <c r="I266" s="275" t="s">
        <v>15214</v>
      </c>
    </row>
    <row r="267" spans="1:9" x14ac:dyDescent="0.25">
      <c r="A267" s="16">
        <v>42919</v>
      </c>
      <c r="B267" s="273" t="s">
        <v>20096</v>
      </c>
      <c r="C267">
        <v>118421</v>
      </c>
      <c r="D267" s="236" t="s">
        <v>15427</v>
      </c>
      <c r="E267" s="15">
        <v>50014.3</v>
      </c>
      <c r="F267" s="274">
        <v>42919</v>
      </c>
      <c r="G267" s="15">
        <v>50014.3</v>
      </c>
      <c r="H267" s="15">
        <f>Tabla1[[#This Row],[Importe]]-Tabla1[[#This Row],[Pagado]]</f>
        <v>0</v>
      </c>
      <c r="I267" s="275" t="s">
        <v>15214</v>
      </c>
    </row>
    <row r="268" spans="1:9" x14ac:dyDescent="0.25">
      <c r="A268" s="16">
        <v>42919</v>
      </c>
      <c r="B268" s="273" t="s">
        <v>20097</v>
      </c>
      <c r="C268">
        <v>118422</v>
      </c>
      <c r="D268" s="236" t="s">
        <v>15263</v>
      </c>
      <c r="E268" s="15">
        <v>5413.2</v>
      </c>
      <c r="F268" s="274">
        <v>42919</v>
      </c>
      <c r="G268" s="15">
        <v>5413.2</v>
      </c>
      <c r="H268" s="15">
        <f>Tabla1[[#This Row],[Importe]]-Tabla1[[#This Row],[Pagado]]</f>
        <v>0</v>
      </c>
      <c r="I268" s="275" t="s">
        <v>15214</v>
      </c>
    </row>
    <row r="269" spans="1:9" x14ac:dyDescent="0.25">
      <c r="A269" s="16">
        <v>42919</v>
      </c>
      <c r="B269" s="273" t="s">
        <v>20098</v>
      </c>
      <c r="C269">
        <v>118423</v>
      </c>
      <c r="D269" s="236" t="s">
        <v>15326</v>
      </c>
      <c r="E269" s="15">
        <v>2734.4</v>
      </c>
      <c r="F269" s="274">
        <v>42919</v>
      </c>
      <c r="G269" s="15">
        <v>2734.4</v>
      </c>
      <c r="H269" s="15">
        <f>Tabla1[[#This Row],[Importe]]-Tabla1[[#This Row],[Pagado]]</f>
        <v>0</v>
      </c>
      <c r="I269" s="275" t="s">
        <v>15214</v>
      </c>
    </row>
    <row r="270" spans="1:9" x14ac:dyDescent="0.25">
      <c r="A270" s="16">
        <v>42919</v>
      </c>
      <c r="B270" s="273" t="s">
        <v>20099</v>
      </c>
      <c r="C270">
        <v>118424</v>
      </c>
      <c r="D270" s="236" t="s">
        <v>15240</v>
      </c>
      <c r="E270" s="15">
        <v>3958.5</v>
      </c>
      <c r="F270" s="274">
        <v>42924</v>
      </c>
      <c r="G270" s="15">
        <v>3958.5</v>
      </c>
      <c r="H270" s="15">
        <f>Tabla1[[#This Row],[Importe]]-Tabla1[[#This Row],[Pagado]]</f>
        <v>0</v>
      </c>
      <c r="I270" s="275" t="s">
        <v>15214</v>
      </c>
    </row>
    <row r="271" spans="1:9" x14ac:dyDescent="0.25">
      <c r="A271" s="16">
        <v>42919</v>
      </c>
      <c r="B271" s="273" t="s">
        <v>20100</v>
      </c>
      <c r="C271">
        <v>118425</v>
      </c>
      <c r="D271" s="236" t="s">
        <v>17462</v>
      </c>
      <c r="E271" s="15">
        <v>7043.6</v>
      </c>
      <c r="F271" s="274">
        <v>42919</v>
      </c>
      <c r="G271" s="15">
        <v>7043.6</v>
      </c>
      <c r="H271" s="15">
        <f>Tabla1[[#This Row],[Importe]]-Tabla1[[#This Row],[Pagado]]</f>
        <v>0</v>
      </c>
      <c r="I271" s="275" t="s">
        <v>15214</v>
      </c>
    </row>
    <row r="272" spans="1:9" x14ac:dyDescent="0.25">
      <c r="A272" s="16">
        <v>42919</v>
      </c>
      <c r="B272" s="273" t="s">
        <v>20101</v>
      </c>
      <c r="C272">
        <v>118426</v>
      </c>
      <c r="D272" s="236" t="s">
        <v>15315</v>
      </c>
      <c r="E272" s="15">
        <v>1750.2</v>
      </c>
      <c r="F272" s="274">
        <v>42919</v>
      </c>
      <c r="G272" s="15">
        <v>1750.2</v>
      </c>
      <c r="H272" s="15">
        <f>Tabla1[[#This Row],[Importe]]-Tabla1[[#This Row],[Pagado]]</f>
        <v>0</v>
      </c>
      <c r="I272" s="275" t="s">
        <v>15214</v>
      </c>
    </row>
    <row r="273" spans="1:9" x14ac:dyDescent="0.25">
      <c r="A273" s="16">
        <v>42919</v>
      </c>
      <c r="B273" s="273" t="s">
        <v>20102</v>
      </c>
      <c r="C273">
        <v>118427</v>
      </c>
      <c r="D273" s="236" t="s">
        <v>15252</v>
      </c>
      <c r="E273" s="15">
        <v>5031.3999999999996</v>
      </c>
      <c r="F273" s="274">
        <v>42922</v>
      </c>
      <c r="G273" s="15">
        <v>5031.3999999999996</v>
      </c>
      <c r="H273" s="15">
        <f>Tabla1[[#This Row],[Importe]]-Tabla1[[#This Row],[Pagado]]</f>
        <v>0</v>
      </c>
      <c r="I273" s="275" t="s">
        <v>15214</v>
      </c>
    </row>
    <row r="274" spans="1:9" x14ac:dyDescent="0.25">
      <c r="A274" s="16">
        <v>42919</v>
      </c>
      <c r="B274" s="273" t="s">
        <v>20103</v>
      </c>
      <c r="C274">
        <v>118428</v>
      </c>
      <c r="D274" s="236" t="s">
        <v>15242</v>
      </c>
      <c r="E274" s="15">
        <v>5049</v>
      </c>
      <c r="F274" s="274">
        <v>42919</v>
      </c>
      <c r="G274" s="15">
        <v>5049</v>
      </c>
      <c r="H274" s="15">
        <f>Tabla1[[#This Row],[Importe]]-Tabla1[[#This Row],[Pagado]]</f>
        <v>0</v>
      </c>
      <c r="I274" s="275" t="s">
        <v>15214</v>
      </c>
    </row>
    <row r="275" spans="1:9" x14ac:dyDescent="0.25">
      <c r="A275" s="16">
        <v>42919</v>
      </c>
      <c r="B275" s="273" t="s">
        <v>20104</v>
      </c>
      <c r="C275">
        <v>118429</v>
      </c>
      <c r="D275" s="236" t="s">
        <v>15338</v>
      </c>
      <c r="E275" s="15">
        <v>9974.4</v>
      </c>
      <c r="F275" s="274">
        <v>42921</v>
      </c>
      <c r="G275" s="15">
        <v>9974.4</v>
      </c>
      <c r="H275" s="15">
        <f>Tabla1[[#This Row],[Importe]]-Tabla1[[#This Row],[Pagado]]</f>
        <v>0</v>
      </c>
      <c r="I275" s="275" t="s">
        <v>15214</v>
      </c>
    </row>
    <row r="276" spans="1:9" x14ac:dyDescent="0.25">
      <c r="A276" s="16">
        <v>42919</v>
      </c>
      <c r="B276" s="273" t="s">
        <v>20105</v>
      </c>
      <c r="C276">
        <v>118430</v>
      </c>
      <c r="D276" s="236" t="s">
        <v>15244</v>
      </c>
      <c r="E276" s="15">
        <v>18422.099999999999</v>
      </c>
      <c r="F276" s="274">
        <v>42919</v>
      </c>
      <c r="G276" s="15">
        <v>18422.099999999999</v>
      </c>
      <c r="H276" s="15">
        <f>Tabla1[[#This Row],[Importe]]-Tabla1[[#This Row],[Pagado]]</f>
        <v>0</v>
      </c>
      <c r="I276" s="275" t="s">
        <v>15214</v>
      </c>
    </row>
    <row r="277" spans="1:9" x14ac:dyDescent="0.25">
      <c r="A277" s="16">
        <v>42919</v>
      </c>
      <c r="B277" s="273" t="s">
        <v>20106</v>
      </c>
      <c r="C277">
        <v>118431</v>
      </c>
      <c r="D277" s="236" t="s">
        <v>15742</v>
      </c>
      <c r="E277" s="15">
        <v>2959.7</v>
      </c>
      <c r="F277" s="274">
        <v>42919</v>
      </c>
      <c r="G277" s="15">
        <v>2959.7</v>
      </c>
      <c r="H277" s="15">
        <f>Tabla1[[#This Row],[Importe]]-Tabla1[[#This Row],[Pagado]]</f>
        <v>0</v>
      </c>
      <c r="I277" s="275" t="s">
        <v>15214</v>
      </c>
    </row>
    <row r="278" spans="1:9" x14ac:dyDescent="0.25">
      <c r="A278" s="16">
        <v>42919</v>
      </c>
      <c r="B278" s="273" t="s">
        <v>20107</v>
      </c>
      <c r="C278">
        <v>118432</v>
      </c>
      <c r="D278" s="236" t="s">
        <v>16484</v>
      </c>
      <c r="E278" s="15">
        <v>1119.8</v>
      </c>
      <c r="F278" s="274">
        <v>42919</v>
      </c>
      <c r="G278" s="15">
        <v>1119.8</v>
      </c>
      <c r="H278" s="15">
        <f>Tabla1[[#This Row],[Importe]]-Tabla1[[#This Row],[Pagado]]</f>
        <v>0</v>
      </c>
      <c r="I278" s="275" t="s">
        <v>15214</v>
      </c>
    </row>
    <row r="279" spans="1:9" x14ac:dyDescent="0.25">
      <c r="A279" s="16">
        <v>42919</v>
      </c>
      <c r="B279" s="273" t="s">
        <v>20108</v>
      </c>
      <c r="C279">
        <v>118433</v>
      </c>
      <c r="D279" s="236" t="s">
        <v>15336</v>
      </c>
      <c r="E279" s="15">
        <v>4435.2</v>
      </c>
      <c r="F279" s="274">
        <v>42919</v>
      </c>
      <c r="G279" s="15">
        <v>4435.2</v>
      </c>
      <c r="H279" s="15">
        <f>Tabla1[[#This Row],[Importe]]-Tabla1[[#This Row],[Pagado]]</f>
        <v>0</v>
      </c>
      <c r="I279" s="275" t="s">
        <v>15214</v>
      </c>
    </row>
    <row r="280" spans="1:9" x14ac:dyDescent="0.25">
      <c r="A280" s="16">
        <v>42919</v>
      </c>
      <c r="B280" s="273" t="s">
        <v>20109</v>
      </c>
      <c r="C280">
        <v>118434</v>
      </c>
      <c r="D280" s="236" t="s">
        <v>15523</v>
      </c>
      <c r="E280" s="15">
        <v>1960</v>
      </c>
      <c r="F280" s="274">
        <v>42919</v>
      </c>
      <c r="G280" s="15">
        <v>1960</v>
      </c>
      <c r="H280" s="15">
        <f>Tabla1[[#This Row],[Importe]]-Tabla1[[#This Row],[Pagado]]</f>
        <v>0</v>
      </c>
      <c r="I280" s="275" t="s">
        <v>15214</v>
      </c>
    </row>
    <row r="281" spans="1:9" x14ac:dyDescent="0.25">
      <c r="A281" s="16">
        <v>42919</v>
      </c>
      <c r="B281" s="273" t="s">
        <v>20110</v>
      </c>
      <c r="C281">
        <v>118435</v>
      </c>
      <c r="D281" s="236" t="s">
        <v>15261</v>
      </c>
      <c r="E281" s="15">
        <v>24294.1</v>
      </c>
      <c r="F281" s="274">
        <v>42919</v>
      </c>
      <c r="G281" s="15">
        <v>24294.1</v>
      </c>
      <c r="H281" s="15">
        <f>Tabla1[[#This Row],[Importe]]-Tabla1[[#This Row],[Pagado]]</f>
        <v>0</v>
      </c>
      <c r="I281" s="275" t="s">
        <v>15214</v>
      </c>
    </row>
    <row r="282" spans="1:9" x14ac:dyDescent="0.25">
      <c r="A282" s="16">
        <v>42919</v>
      </c>
      <c r="B282" s="273" t="s">
        <v>20111</v>
      </c>
      <c r="C282">
        <v>118436</v>
      </c>
      <c r="D282" s="236" t="s">
        <v>15344</v>
      </c>
      <c r="E282" s="15">
        <v>1943.1</v>
      </c>
      <c r="F282" s="274">
        <v>42919</v>
      </c>
      <c r="G282" s="15">
        <v>1943.1</v>
      </c>
      <c r="H282" s="15">
        <f>Tabla1[[#This Row],[Importe]]-Tabla1[[#This Row],[Pagado]]</f>
        <v>0</v>
      </c>
      <c r="I282" s="275" t="s">
        <v>15214</v>
      </c>
    </row>
    <row r="283" spans="1:9" x14ac:dyDescent="0.25">
      <c r="A283" s="16">
        <v>42919</v>
      </c>
      <c r="B283" s="273" t="s">
        <v>20112</v>
      </c>
      <c r="C283">
        <v>118437</v>
      </c>
      <c r="D283" s="236" t="s">
        <v>15350</v>
      </c>
      <c r="E283" s="15">
        <v>735</v>
      </c>
      <c r="F283" s="274">
        <v>42919</v>
      </c>
      <c r="G283" s="15">
        <v>735</v>
      </c>
      <c r="H283" s="15">
        <f>Tabla1[[#This Row],[Importe]]-Tabla1[[#This Row],[Pagado]]</f>
        <v>0</v>
      </c>
      <c r="I283" s="275" t="s">
        <v>15214</v>
      </c>
    </row>
    <row r="284" spans="1:9" x14ac:dyDescent="0.25">
      <c r="A284" s="16">
        <v>42919</v>
      </c>
      <c r="B284" s="273" t="s">
        <v>20113</v>
      </c>
      <c r="C284">
        <v>118438</v>
      </c>
      <c r="D284" s="236" t="s">
        <v>15340</v>
      </c>
      <c r="E284" s="15">
        <v>3805.4</v>
      </c>
      <c r="F284" s="274">
        <v>42919</v>
      </c>
      <c r="G284" s="15">
        <v>3805.4</v>
      </c>
      <c r="H284" s="15">
        <f>Tabla1[[#This Row],[Importe]]-Tabla1[[#This Row],[Pagado]]</f>
        <v>0</v>
      </c>
      <c r="I284" s="275" t="s">
        <v>15214</v>
      </c>
    </row>
    <row r="285" spans="1:9" x14ac:dyDescent="0.25">
      <c r="A285" s="16">
        <v>42919</v>
      </c>
      <c r="B285" s="273" t="s">
        <v>20114</v>
      </c>
      <c r="C285">
        <v>118439</v>
      </c>
      <c r="D285" s="236" t="s">
        <v>15289</v>
      </c>
      <c r="E285" s="15">
        <v>604.79999999999995</v>
      </c>
      <c r="F285" s="274">
        <v>42919</v>
      </c>
      <c r="G285" s="15">
        <v>604.79999999999995</v>
      </c>
      <c r="H285" s="15">
        <f>Tabla1[[#This Row],[Importe]]-Tabla1[[#This Row],[Pagado]]</f>
        <v>0</v>
      </c>
      <c r="I285" s="275" t="s">
        <v>15214</v>
      </c>
    </row>
    <row r="286" spans="1:9" x14ac:dyDescent="0.25">
      <c r="A286" s="16">
        <v>42919</v>
      </c>
      <c r="B286" s="273" t="s">
        <v>20115</v>
      </c>
      <c r="C286">
        <v>118440</v>
      </c>
      <c r="D286" s="236" t="s">
        <v>15278</v>
      </c>
      <c r="E286" s="15">
        <v>5698.7</v>
      </c>
      <c r="F286" s="274">
        <v>42919</v>
      </c>
      <c r="G286" s="15">
        <v>5698.7</v>
      </c>
      <c r="H286" s="15">
        <f>Tabla1[[#This Row],[Importe]]-Tabla1[[#This Row],[Pagado]]</f>
        <v>0</v>
      </c>
      <c r="I286" s="275" t="s">
        <v>15214</v>
      </c>
    </row>
    <row r="287" spans="1:9" x14ac:dyDescent="0.25">
      <c r="A287" s="16">
        <v>42919</v>
      </c>
      <c r="B287" s="273" t="s">
        <v>20116</v>
      </c>
      <c r="C287">
        <v>118441</v>
      </c>
      <c r="D287" s="236" t="s">
        <v>15248</v>
      </c>
      <c r="E287" s="15">
        <v>20272.099999999999</v>
      </c>
      <c r="F287" s="274">
        <v>42919</v>
      </c>
      <c r="G287" s="15">
        <v>20272.099999999999</v>
      </c>
      <c r="H287" s="15">
        <f>Tabla1[[#This Row],[Importe]]-Tabla1[[#This Row],[Pagado]]</f>
        <v>0</v>
      </c>
      <c r="I287" s="275" t="s">
        <v>15214</v>
      </c>
    </row>
    <row r="288" spans="1:9" x14ac:dyDescent="0.25">
      <c r="A288" s="16">
        <v>42919</v>
      </c>
      <c r="B288" s="273" t="s">
        <v>20117</v>
      </c>
      <c r="C288">
        <v>118442</v>
      </c>
      <c r="D288" s="236" t="s">
        <v>15334</v>
      </c>
      <c r="E288" s="15">
        <v>1883</v>
      </c>
      <c r="F288" s="274">
        <v>42919</v>
      </c>
      <c r="G288" s="15">
        <v>1883</v>
      </c>
      <c r="H288" s="15">
        <f>Tabla1[[#This Row],[Importe]]-Tabla1[[#This Row],[Pagado]]</f>
        <v>0</v>
      </c>
      <c r="I288" s="275" t="s">
        <v>15214</v>
      </c>
    </row>
    <row r="289" spans="1:9" x14ac:dyDescent="0.25">
      <c r="A289" s="16">
        <v>42919</v>
      </c>
      <c r="B289" s="273" t="s">
        <v>20118</v>
      </c>
      <c r="C289">
        <v>118443</v>
      </c>
      <c r="D289" s="236" t="s">
        <v>15280</v>
      </c>
      <c r="E289" s="15">
        <v>4563.2</v>
      </c>
      <c r="F289" s="274">
        <v>42919</v>
      </c>
      <c r="G289" s="15">
        <v>4563.2</v>
      </c>
      <c r="H289" s="15">
        <f>Tabla1[[#This Row],[Importe]]-Tabla1[[#This Row],[Pagado]]</f>
        <v>0</v>
      </c>
      <c r="I289" s="275" t="s">
        <v>15214</v>
      </c>
    </row>
    <row r="290" spans="1:9" x14ac:dyDescent="0.25">
      <c r="A290" s="16">
        <v>42919</v>
      </c>
      <c r="B290" s="273" t="s">
        <v>20119</v>
      </c>
      <c r="C290">
        <v>118444</v>
      </c>
      <c r="D290" s="236" t="s">
        <v>15596</v>
      </c>
      <c r="E290" s="15">
        <v>980</v>
      </c>
      <c r="F290" s="274">
        <v>42920</v>
      </c>
      <c r="G290" s="15">
        <v>980</v>
      </c>
      <c r="H290" s="15">
        <f>Tabla1[[#This Row],[Importe]]-Tabla1[[#This Row],[Pagado]]</f>
        <v>0</v>
      </c>
      <c r="I290" s="275" t="s">
        <v>15214</v>
      </c>
    </row>
    <row r="291" spans="1:9" x14ac:dyDescent="0.25">
      <c r="A291" s="16">
        <v>42919</v>
      </c>
      <c r="B291" s="273" t="s">
        <v>20120</v>
      </c>
      <c r="C291">
        <v>118445</v>
      </c>
      <c r="D291" s="236" t="s">
        <v>15748</v>
      </c>
      <c r="E291" s="15">
        <v>1847.3</v>
      </c>
      <c r="F291" s="274">
        <v>42919</v>
      </c>
      <c r="G291" s="15">
        <v>1847.3</v>
      </c>
      <c r="H291" s="15">
        <f>Tabla1[[#This Row],[Importe]]-Tabla1[[#This Row],[Pagado]]</f>
        <v>0</v>
      </c>
      <c r="I291" s="275" t="s">
        <v>15214</v>
      </c>
    </row>
    <row r="292" spans="1:9" x14ac:dyDescent="0.25">
      <c r="A292" s="16">
        <v>42919</v>
      </c>
      <c r="B292" s="273" t="s">
        <v>20121</v>
      </c>
      <c r="C292">
        <v>118446</v>
      </c>
      <c r="D292" s="236" t="s">
        <v>18544</v>
      </c>
      <c r="E292" s="15">
        <v>9455</v>
      </c>
      <c r="F292" s="274">
        <v>42919</v>
      </c>
      <c r="G292" s="15">
        <v>9455</v>
      </c>
      <c r="H292" s="15">
        <f>Tabla1[[#This Row],[Importe]]-Tabla1[[#This Row],[Pagado]]</f>
        <v>0</v>
      </c>
      <c r="I292" s="275" t="s">
        <v>15214</v>
      </c>
    </row>
    <row r="293" spans="1:9" x14ac:dyDescent="0.25">
      <c r="A293" s="16">
        <v>42919</v>
      </c>
      <c r="B293" s="273" t="s">
        <v>20122</v>
      </c>
      <c r="C293">
        <v>118447</v>
      </c>
      <c r="D293" s="236" t="s">
        <v>15332</v>
      </c>
      <c r="E293" s="15">
        <v>1625</v>
      </c>
      <c r="F293" s="274">
        <v>42919</v>
      </c>
      <c r="G293" s="15">
        <v>1625</v>
      </c>
      <c r="H293" s="15">
        <f>Tabla1[[#This Row],[Importe]]-Tabla1[[#This Row],[Pagado]]</f>
        <v>0</v>
      </c>
      <c r="I293" s="275" t="s">
        <v>15214</v>
      </c>
    </row>
    <row r="294" spans="1:9" x14ac:dyDescent="0.25">
      <c r="A294" s="16">
        <v>42919</v>
      </c>
      <c r="B294" s="273" t="s">
        <v>20123</v>
      </c>
      <c r="C294">
        <v>118448</v>
      </c>
      <c r="D294" s="236" t="s">
        <v>15555</v>
      </c>
      <c r="E294" s="15">
        <v>34106.300000000003</v>
      </c>
      <c r="F294" s="274">
        <v>42928</v>
      </c>
      <c r="G294" s="15">
        <v>34106.300000000003</v>
      </c>
      <c r="H294" s="15">
        <f>Tabla1[[#This Row],[Importe]]-Tabla1[[#This Row],[Pagado]]</f>
        <v>0</v>
      </c>
      <c r="I294" s="275" t="s">
        <v>15214</v>
      </c>
    </row>
    <row r="295" spans="1:9" x14ac:dyDescent="0.25">
      <c r="A295" s="16">
        <v>42919</v>
      </c>
      <c r="B295" s="273" t="s">
        <v>20124</v>
      </c>
      <c r="C295">
        <v>118449</v>
      </c>
      <c r="D295" s="236" t="s">
        <v>15544</v>
      </c>
      <c r="E295" s="15">
        <v>3670.8</v>
      </c>
      <c r="F295" s="274">
        <v>42923</v>
      </c>
      <c r="G295" s="15">
        <v>3670.8</v>
      </c>
      <c r="H295" s="15">
        <f>Tabla1[[#This Row],[Importe]]-Tabla1[[#This Row],[Pagado]]</f>
        <v>0</v>
      </c>
      <c r="I295" s="275" t="s">
        <v>15214</v>
      </c>
    </row>
    <row r="296" spans="1:9" x14ac:dyDescent="0.25">
      <c r="A296" s="16">
        <v>42919</v>
      </c>
      <c r="B296" s="273" t="s">
        <v>20125</v>
      </c>
      <c r="C296">
        <v>118450</v>
      </c>
      <c r="D296" s="236" t="s">
        <v>15303</v>
      </c>
      <c r="E296" s="15">
        <v>4306.5</v>
      </c>
      <c r="F296" s="274">
        <v>42920</v>
      </c>
      <c r="G296" s="15">
        <v>4306.5</v>
      </c>
      <c r="H296" s="15">
        <f>Tabla1[[#This Row],[Importe]]-Tabla1[[#This Row],[Pagado]]</f>
        <v>0</v>
      </c>
      <c r="I296" s="275" t="s">
        <v>15214</v>
      </c>
    </row>
    <row r="297" spans="1:9" x14ac:dyDescent="0.25">
      <c r="A297" s="16">
        <v>42919</v>
      </c>
      <c r="B297" s="273" t="s">
        <v>20126</v>
      </c>
      <c r="C297">
        <v>118451</v>
      </c>
      <c r="D297" s="236" t="s">
        <v>15415</v>
      </c>
      <c r="E297" s="15">
        <v>3510</v>
      </c>
      <c r="F297" s="274">
        <v>42924</v>
      </c>
      <c r="G297" s="15">
        <v>3510</v>
      </c>
      <c r="H297" s="15">
        <f>Tabla1[[#This Row],[Importe]]-Tabla1[[#This Row],[Pagado]]</f>
        <v>0</v>
      </c>
      <c r="I297" s="275" t="s">
        <v>15214</v>
      </c>
    </row>
    <row r="298" spans="1:9" x14ac:dyDescent="0.25">
      <c r="A298" s="16">
        <v>42919</v>
      </c>
      <c r="B298" s="273" t="s">
        <v>20127</v>
      </c>
      <c r="C298">
        <v>118452</v>
      </c>
      <c r="D298" s="236" t="s">
        <v>15309</v>
      </c>
      <c r="E298" s="15">
        <v>10785.6</v>
      </c>
      <c r="F298" s="274">
        <v>42920</v>
      </c>
      <c r="G298" s="15">
        <v>10785.6</v>
      </c>
      <c r="H298" s="15">
        <f>Tabla1[[#This Row],[Importe]]-Tabla1[[#This Row],[Pagado]]</f>
        <v>0</v>
      </c>
      <c r="I298" s="275" t="s">
        <v>15214</v>
      </c>
    </row>
    <row r="299" spans="1:9" x14ac:dyDescent="0.25">
      <c r="A299" s="16">
        <v>42919</v>
      </c>
      <c r="B299" s="273" t="s">
        <v>20128</v>
      </c>
      <c r="C299">
        <v>118453</v>
      </c>
      <c r="D299" s="236" t="s">
        <v>15378</v>
      </c>
      <c r="E299" s="15">
        <v>7207.6</v>
      </c>
      <c r="F299" s="274">
        <v>42926</v>
      </c>
      <c r="G299" s="15">
        <v>7207.6</v>
      </c>
      <c r="H299" s="15">
        <f>Tabla1[[#This Row],[Importe]]-Tabla1[[#This Row],[Pagado]]</f>
        <v>0</v>
      </c>
      <c r="I299" s="275" t="s">
        <v>15214</v>
      </c>
    </row>
    <row r="300" spans="1:9" x14ac:dyDescent="0.25">
      <c r="A300" s="16">
        <v>42919</v>
      </c>
      <c r="B300" s="273" t="s">
        <v>20129</v>
      </c>
      <c r="C300">
        <v>118454</v>
      </c>
      <c r="D300" s="236" t="s">
        <v>15537</v>
      </c>
      <c r="E300" s="15">
        <v>15520.2</v>
      </c>
      <c r="F300" s="274">
        <v>42923</v>
      </c>
      <c r="G300" s="15">
        <v>15520.2</v>
      </c>
      <c r="H300" s="15">
        <f>Tabla1[[#This Row],[Importe]]-Tabla1[[#This Row],[Pagado]]</f>
        <v>0</v>
      </c>
      <c r="I300" s="275" t="s">
        <v>15214</v>
      </c>
    </row>
    <row r="301" spans="1:9" x14ac:dyDescent="0.25">
      <c r="A301" s="16">
        <v>42919</v>
      </c>
      <c r="B301" s="273" t="s">
        <v>20130</v>
      </c>
      <c r="C301">
        <v>118455</v>
      </c>
      <c r="D301" s="236" t="s">
        <v>15246</v>
      </c>
      <c r="E301" s="15">
        <v>342557.1</v>
      </c>
      <c r="F301" s="274">
        <v>42921</v>
      </c>
      <c r="G301" s="15">
        <v>342557.1</v>
      </c>
      <c r="H301" s="15">
        <f>Tabla1[[#This Row],[Importe]]-Tabla1[[#This Row],[Pagado]]</f>
        <v>0</v>
      </c>
      <c r="I301" s="275" t="s">
        <v>15214</v>
      </c>
    </row>
    <row r="302" spans="1:9" ht="15.75" x14ac:dyDescent="0.25">
      <c r="A302" s="16">
        <v>42919</v>
      </c>
      <c r="B302" s="273" t="s">
        <v>20131</v>
      </c>
      <c r="C302">
        <v>118456</v>
      </c>
      <c r="D302" s="248" t="s">
        <v>95</v>
      </c>
      <c r="E302" s="15">
        <v>0</v>
      </c>
      <c r="F302" s="274" t="s">
        <v>19846</v>
      </c>
      <c r="G302" s="15">
        <v>0</v>
      </c>
      <c r="H302" s="15">
        <f>Tabla1[[#This Row],[Importe]]-Tabla1[[#This Row],[Pagado]]</f>
        <v>0</v>
      </c>
      <c r="I302" s="275" t="s">
        <v>95</v>
      </c>
    </row>
    <row r="303" spans="1:9" x14ac:dyDescent="0.25">
      <c r="A303" s="16">
        <v>42919</v>
      </c>
      <c r="B303" s="273" t="s">
        <v>20132</v>
      </c>
      <c r="C303">
        <v>118457</v>
      </c>
      <c r="D303" s="236" t="s">
        <v>15530</v>
      </c>
      <c r="E303" s="15">
        <v>3052.8</v>
      </c>
      <c r="F303" s="274">
        <v>42919</v>
      </c>
      <c r="G303" s="15">
        <v>3052.8</v>
      </c>
      <c r="H303" s="15">
        <f>Tabla1[[#This Row],[Importe]]-Tabla1[[#This Row],[Pagado]]</f>
        <v>0</v>
      </c>
      <c r="I303" s="275" t="s">
        <v>15214</v>
      </c>
    </row>
    <row r="304" spans="1:9" x14ac:dyDescent="0.25">
      <c r="A304" s="16">
        <v>42919</v>
      </c>
      <c r="B304" s="273" t="s">
        <v>20133</v>
      </c>
      <c r="C304">
        <v>118458</v>
      </c>
      <c r="D304" s="236" t="s">
        <v>15311</v>
      </c>
      <c r="E304" s="15">
        <v>3824</v>
      </c>
      <c r="F304" s="274">
        <v>42920</v>
      </c>
      <c r="G304" s="15">
        <v>3824</v>
      </c>
      <c r="H304" s="15">
        <f>Tabla1[[#This Row],[Importe]]-Tabla1[[#This Row],[Pagado]]</f>
        <v>0</v>
      </c>
      <c r="I304" s="275" t="s">
        <v>15214</v>
      </c>
    </row>
    <row r="305" spans="1:9" x14ac:dyDescent="0.25">
      <c r="A305" s="16">
        <v>42919</v>
      </c>
      <c r="B305" s="273" t="s">
        <v>20134</v>
      </c>
      <c r="C305">
        <v>118459</v>
      </c>
      <c r="D305" s="236" t="s">
        <v>15317</v>
      </c>
      <c r="E305" s="15">
        <v>3772.6</v>
      </c>
      <c r="F305" s="274">
        <v>42922</v>
      </c>
      <c r="G305" s="15">
        <v>3772.6</v>
      </c>
      <c r="H305" s="15">
        <f>Tabla1[[#This Row],[Importe]]-Tabla1[[#This Row],[Pagado]]</f>
        <v>0</v>
      </c>
      <c r="I305" s="275" t="s">
        <v>15214</v>
      </c>
    </row>
    <row r="306" spans="1:9" x14ac:dyDescent="0.25">
      <c r="A306" s="16">
        <v>42919</v>
      </c>
      <c r="B306" s="273" t="s">
        <v>20135</v>
      </c>
      <c r="C306">
        <v>118460</v>
      </c>
      <c r="D306" s="236" t="s">
        <v>15307</v>
      </c>
      <c r="E306" s="15">
        <v>1306.5</v>
      </c>
      <c r="F306" s="274">
        <v>42920</v>
      </c>
      <c r="G306" s="15">
        <v>1306.5</v>
      </c>
      <c r="H306" s="15">
        <f>Tabla1[[#This Row],[Importe]]-Tabla1[[#This Row],[Pagado]]</f>
        <v>0</v>
      </c>
      <c r="I306" s="275" t="s">
        <v>15214</v>
      </c>
    </row>
    <row r="307" spans="1:9" x14ac:dyDescent="0.25">
      <c r="A307" s="16">
        <v>42919</v>
      </c>
      <c r="B307" s="273" t="s">
        <v>20136</v>
      </c>
      <c r="C307">
        <v>118461</v>
      </c>
      <c r="D307" s="236" t="s">
        <v>17057</v>
      </c>
      <c r="E307" s="15">
        <v>1025.8</v>
      </c>
      <c r="F307" s="274">
        <v>42919</v>
      </c>
      <c r="G307" s="15">
        <v>1025.8</v>
      </c>
      <c r="H307" s="15">
        <f>Tabla1[[#This Row],[Importe]]-Tabla1[[#This Row],[Pagado]]</f>
        <v>0</v>
      </c>
      <c r="I307" s="275" t="s">
        <v>15214</v>
      </c>
    </row>
    <row r="308" spans="1:9" x14ac:dyDescent="0.25">
      <c r="A308" s="16">
        <v>42919</v>
      </c>
      <c r="B308" s="273" t="s">
        <v>20137</v>
      </c>
      <c r="C308">
        <v>118462</v>
      </c>
      <c r="D308" s="236" t="s">
        <v>15315</v>
      </c>
      <c r="E308" s="15">
        <v>947.2</v>
      </c>
      <c r="F308" s="274">
        <v>42921</v>
      </c>
      <c r="G308" s="15">
        <v>947.2</v>
      </c>
      <c r="H308" s="15">
        <f>Tabla1[[#This Row],[Importe]]-Tabla1[[#This Row],[Pagado]]</f>
        <v>0</v>
      </c>
      <c r="I308" s="275" t="s">
        <v>15214</v>
      </c>
    </row>
    <row r="309" spans="1:9" x14ac:dyDescent="0.25">
      <c r="A309" s="16">
        <v>42919</v>
      </c>
      <c r="B309" s="273" t="s">
        <v>20138</v>
      </c>
      <c r="C309">
        <v>118463</v>
      </c>
      <c r="D309" s="236" t="s">
        <v>15624</v>
      </c>
      <c r="E309" s="15">
        <v>31938.400000000001</v>
      </c>
      <c r="F309" s="274">
        <v>42920</v>
      </c>
      <c r="G309" s="15">
        <v>31938.400000000001</v>
      </c>
      <c r="H309" s="15">
        <f>Tabla1[[#This Row],[Importe]]-Tabla1[[#This Row],[Pagado]]</f>
        <v>0</v>
      </c>
      <c r="I309" s="275" t="s">
        <v>15214</v>
      </c>
    </row>
    <row r="310" spans="1:9" x14ac:dyDescent="0.25">
      <c r="A310" s="16">
        <v>42919</v>
      </c>
      <c r="B310" s="273" t="s">
        <v>20139</v>
      </c>
      <c r="C310">
        <v>118464</v>
      </c>
      <c r="D310" s="236" t="s">
        <v>15782</v>
      </c>
      <c r="E310" s="15">
        <v>1480.5</v>
      </c>
      <c r="F310" s="274">
        <v>42921</v>
      </c>
      <c r="G310" s="15">
        <v>1480.5</v>
      </c>
      <c r="H310" s="15">
        <f>Tabla1[[#This Row],[Importe]]-Tabla1[[#This Row],[Pagado]]</f>
        <v>0</v>
      </c>
      <c r="I310" s="275" t="s">
        <v>15214</v>
      </c>
    </row>
    <row r="311" spans="1:9" x14ac:dyDescent="0.25">
      <c r="A311" s="16">
        <v>42919</v>
      </c>
      <c r="B311" s="273" t="s">
        <v>20140</v>
      </c>
      <c r="C311">
        <v>118465</v>
      </c>
      <c r="D311" s="236" t="s">
        <v>15539</v>
      </c>
      <c r="E311" s="15">
        <v>13196.4</v>
      </c>
      <c r="F311" s="274">
        <v>42921</v>
      </c>
      <c r="G311" s="15">
        <v>13196.4</v>
      </c>
      <c r="H311" s="15">
        <f>Tabla1[[#This Row],[Importe]]-Tabla1[[#This Row],[Pagado]]</f>
        <v>0</v>
      </c>
      <c r="I311" s="275" t="s">
        <v>15214</v>
      </c>
    </row>
    <row r="312" spans="1:9" x14ac:dyDescent="0.25">
      <c r="A312" s="16">
        <v>42919</v>
      </c>
      <c r="B312" s="273" t="s">
        <v>20141</v>
      </c>
      <c r="C312">
        <v>118466</v>
      </c>
      <c r="D312" s="236" t="s">
        <v>15315</v>
      </c>
      <c r="E312" s="15">
        <v>4069.8</v>
      </c>
      <c r="F312" s="274">
        <v>42921</v>
      </c>
      <c r="G312" s="15">
        <v>4069.8</v>
      </c>
      <c r="H312" s="15">
        <f>Tabla1[[#This Row],[Importe]]-Tabla1[[#This Row],[Pagado]]</f>
        <v>0</v>
      </c>
      <c r="I312" s="275" t="s">
        <v>15214</v>
      </c>
    </row>
    <row r="313" spans="1:9" x14ac:dyDescent="0.25">
      <c r="A313" s="16">
        <v>42919</v>
      </c>
      <c r="B313" s="273" t="s">
        <v>20142</v>
      </c>
      <c r="C313">
        <v>118467</v>
      </c>
      <c r="D313" s="236" t="s">
        <v>16040</v>
      </c>
      <c r="E313" s="15">
        <v>4210.8</v>
      </c>
      <c r="F313" s="274">
        <v>42923</v>
      </c>
      <c r="G313" s="15">
        <v>4210.8</v>
      </c>
      <c r="H313" s="15">
        <f>Tabla1[[#This Row],[Importe]]-Tabla1[[#This Row],[Pagado]]</f>
        <v>0</v>
      </c>
      <c r="I313" s="275" t="s">
        <v>15214</v>
      </c>
    </row>
    <row r="314" spans="1:9" ht="30" x14ac:dyDescent="0.25">
      <c r="A314" s="16">
        <v>42919</v>
      </c>
      <c r="B314" s="273" t="s">
        <v>20143</v>
      </c>
      <c r="C314">
        <v>118468</v>
      </c>
      <c r="D314" s="236" t="s">
        <v>15559</v>
      </c>
      <c r="E314" s="15">
        <v>5338.2</v>
      </c>
      <c r="F314" s="274" t="s">
        <v>20144</v>
      </c>
      <c r="G314" s="241">
        <f>4197.7+1140.5</f>
        <v>5338.2</v>
      </c>
      <c r="H314" s="241">
        <f>Tabla1[[#This Row],[Importe]]-Tabla1[[#This Row],[Pagado]]</f>
        <v>0</v>
      </c>
      <c r="I314" s="275" t="s">
        <v>15214</v>
      </c>
    </row>
    <row r="315" spans="1:9" x14ac:dyDescent="0.25">
      <c r="A315" s="16">
        <v>42919</v>
      </c>
      <c r="B315" s="273" t="s">
        <v>20145</v>
      </c>
      <c r="C315">
        <v>118469</v>
      </c>
      <c r="D315" s="236" t="s">
        <v>17722</v>
      </c>
      <c r="E315" s="15">
        <v>3084.6</v>
      </c>
      <c r="F315" s="274">
        <v>42919</v>
      </c>
      <c r="G315" s="15">
        <v>3084.6</v>
      </c>
      <c r="H315" s="15">
        <f>Tabla1[[#This Row],[Importe]]-Tabla1[[#This Row],[Pagado]]</f>
        <v>0</v>
      </c>
      <c r="I315" s="275" t="s">
        <v>15214</v>
      </c>
    </row>
    <row r="316" spans="1:9" x14ac:dyDescent="0.25">
      <c r="A316" s="16">
        <v>42919</v>
      </c>
      <c r="B316" s="273" t="s">
        <v>20146</v>
      </c>
      <c r="C316">
        <v>118470</v>
      </c>
      <c r="D316" s="236" t="s">
        <v>15286</v>
      </c>
      <c r="E316" s="15">
        <v>6350.4</v>
      </c>
      <c r="F316" s="274">
        <v>42920</v>
      </c>
      <c r="G316" s="15">
        <v>6350.4</v>
      </c>
      <c r="H316" s="15">
        <f>Tabla1[[#This Row],[Importe]]-Tabla1[[#This Row],[Pagado]]</f>
        <v>0</v>
      </c>
      <c r="I316" s="275" t="s">
        <v>15214</v>
      </c>
    </row>
    <row r="317" spans="1:9" x14ac:dyDescent="0.25">
      <c r="A317" s="16">
        <v>42919</v>
      </c>
      <c r="B317" s="273" t="s">
        <v>20147</v>
      </c>
      <c r="C317">
        <v>118471</v>
      </c>
      <c r="D317" s="236" t="s">
        <v>15562</v>
      </c>
      <c r="E317" s="15">
        <v>2784</v>
      </c>
      <c r="F317" s="274">
        <v>42919</v>
      </c>
      <c r="G317" s="15">
        <v>2784</v>
      </c>
      <c r="H317" s="15">
        <f>Tabla1[[#This Row],[Importe]]-Tabla1[[#This Row],[Pagado]]</f>
        <v>0</v>
      </c>
      <c r="I317" s="275" t="s">
        <v>15214</v>
      </c>
    </row>
    <row r="318" spans="1:9" x14ac:dyDescent="0.25">
      <c r="A318" s="16">
        <v>42919</v>
      </c>
      <c r="B318" s="273" t="s">
        <v>20148</v>
      </c>
      <c r="C318">
        <v>118472</v>
      </c>
      <c r="D318" s="236" t="s">
        <v>15298</v>
      </c>
      <c r="E318" s="15">
        <v>25719.16</v>
      </c>
      <c r="F318" s="274">
        <v>42926</v>
      </c>
      <c r="G318" s="15">
        <v>25719.16</v>
      </c>
      <c r="H318" s="15">
        <f>Tabla1[[#This Row],[Importe]]-Tabla1[[#This Row],[Pagado]]</f>
        <v>0</v>
      </c>
      <c r="I318" s="275" t="s">
        <v>15214</v>
      </c>
    </row>
    <row r="319" spans="1:9" x14ac:dyDescent="0.25">
      <c r="A319" s="16">
        <v>42919</v>
      </c>
      <c r="B319" s="273" t="s">
        <v>20149</v>
      </c>
      <c r="C319">
        <v>118473</v>
      </c>
      <c r="D319" s="236" t="s">
        <v>15728</v>
      </c>
      <c r="E319" s="15">
        <v>8408.2000000000007</v>
      </c>
      <c r="F319" s="274">
        <v>42919</v>
      </c>
      <c r="G319" s="15">
        <v>8408.2000000000007</v>
      </c>
      <c r="H319" s="15">
        <f>Tabla1[[#This Row],[Importe]]-Tabla1[[#This Row],[Pagado]]</f>
        <v>0</v>
      </c>
      <c r="I319" s="275" t="s">
        <v>15214</v>
      </c>
    </row>
    <row r="320" spans="1:9" x14ac:dyDescent="0.25">
      <c r="A320" s="16">
        <v>42919</v>
      </c>
      <c r="B320" s="273" t="s">
        <v>20150</v>
      </c>
      <c r="C320">
        <v>118474</v>
      </c>
      <c r="D320" s="236" t="s">
        <v>15396</v>
      </c>
      <c r="E320" s="15">
        <v>4683.8</v>
      </c>
      <c r="F320" s="274">
        <v>42919</v>
      </c>
      <c r="G320" s="15">
        <v>4683.8</v>
      </c>
      <c r="H320" s="15">
        <f>Tabla1[[#This Row],[Importe]]-Tabla1[[#This Row],[Pagado]]</f>
        <v>0</v>
      </c>
      <c r="I320" s="275" t="s">
        <v>15214</v>
      </c>
    </row>
    <row r="321" spans="1:9" x14ac:dyDescent="0.25">
      <c r="A321" s="16">
        <v>42919</v>
      </c>
      <c r="B321" s="273" t="s">
        <v>20151</v>
      </c>
      <c r="C321">
        <v>118475</v>
      </c>
      <c r="D321" s="236" t="s">
        <v>15387</v>
      </c>
      <c r="E321" s="15">
        <v>1675.12</v>
      </c>
      <c r="F321" s="274">
        <v>42919</v>
      </c>
      <c r="G321" s="15">
        <v>1675.12</v>
      </c>
      <c r="H321" s="15">
        <f>Tabla1[[#This Row],[Importe]]-Tabla1[[#This Row],[Pagado]]</f>
        <v>0</v>
      </c>
      <c r="I321" s="275" t="s">
        <v>15214</v>
      </c>
    </row>
    <row r="322" spans="1:9" x14ac:dyDescent="0.25">
      <c r="A322" s="16">
        <v>42919</v>
      </c>
      <c r="B322" s="273" t="s">
        <v>20152</v>
      </c>
      <c r="C322">
        <v>118476</v>
      </c>
      <c r="D322" s="236" t="s">
        <v>15391</v>
      </c>
      <c r="E322" s="15">
        <v>7341.6</v>
      </c>
      <c r="F322" s="274">
        <v>42919</v>
      </c>
      <c r="G322" s="15">
        <v>7341.6</v>
      </c>
      <c r="H322" s="15">
        <f>Tabla1[[#This Row],[Importe]]-Tabla1[[#This Row],[Pagado]]</f>
        <v>0</v>
      </c>
      <c r="I322" s="275" t="s">
        <v>15214</v>
      </c>
    </row>
    <row r="323" spans="1:9" x14ac:dyDescent="0.25">
      <c r="A323" s="16">
        <v>42919</v>
      </c>
      <c r="B323" s="273" t="s">
        <v>20153</v>
      </c>
      <c r="C323">
        <v>118477</v>
      </c>
      <c r="D323" s="236" t="s">
        <v>15856</v>
      </c>
      <c r="E323" s="15">
        <v>1693.2</v>
      </c>
      <c r="F323" s="274">
        <v>42919</v>
      </c>
      <c r="G323" s="15">
        <v>1693.2</v>
      </c>
      <c r="H323" s="15">
        <f>Tabla1[[#This Row],[Importe]]-Tabla1[[#This Row],[Pagado]]</f>
        <v>0</v>
      </c>
      <c r="I323" s="275" t="s">
        <v>15214</v>
      </c>
    </row>
    <row r="324" spans="1:9" x14ac:dyDescent="0.25">
      <c r="A324" s="16">
        <v>42919</v>
      </c>
      <c r="B324" s="273" t="s">
        <v>20154</v>
      </c>
      <c r="C324">
        <v>118478</v>
      </c>
      <c r="D324" s="236" t="s">
        <v>15590</v>
      </c>
      <c r="E324" s="15">
        <v>25041.599999999999</v>
      </c>
      <c r="F324" s="274">
        <v>42928</v>
      </c>
      <c r="G324" s="15">
        <v>25041.599999999999</v>
      </c>
      <c r="H324" s="15">
        <f>Tabla1[[#This Row],[Importe]]-Tabla1[[#This Row],[Pagado]]</f>
        <v>0</v>
      </c>
      <c r="I324" s="275" t="s">
        <v>15214</v>
      </c>
    </row>
    <row r="325" spans="1:9" x14ac:dyDescent="0.25">
      <c r="A325" s="16">
        <v>42919</v>
      </c>
      <c r="B325" s="273" t="s">
        <v>20155</v>
      </c>
      <c r="C325">
        <v>118479</v>
      </c>
      <c r="D325" s="236" t="s">
        <v>16286</v>
      </c>
      <c r="E325" s="15">
        <v>2851.2</v>
      </c>
      <c r="F325" s="274">
        <v>42919</v>
      </c>
      <c r="G325" s="15">
        <v>2851.2</v>
      </c>
      <c r="H325" s="15">
        <f>Tabla1[[#This Row],[Importe]]-Tabla1[[#This Row],[Pagado]]</f>
        <v>0</v>
      </c>
      <c r="I325" s="275" t="s">
        <v>15214</v>
      </c>
    </row>
    <row r="326" spans="1:9" x14ac:dyDescent="0.25">
      <c r="A326" s="16">
        <v>42919</v>
      </c>
      <c r="B326" s="273" t="s">
        <v>20156</v>
      </c>
      <c r="C326">
        <v>118480</v>
      </c>
      <c r="D326" s="236" t="s">
        <v>15213</v>
      </c>
      <c r="E326" s="15">
        <v>18068.599999999999</v>
      </c>
      <c r="F326" s="274">
        <v>42920</v>
      </c>
      <c r="G326" s="15">
        <v>18068.599999999999</v>
      </c>
      <c r="H326" s="15">
        <f>Tabla1[[#This Row],[Importe]]-Tabla1[[#This Row],[Pagado]]</f>
        <v>0</v>
      </c>
      <c r="I326" s="275" t="s">
        <v>15214</v>
      </c>
    </row>
    <row r="327" spans="1:9" x14ac:dyDescent="0.25">
      <c r="A327" s="16">
        <v>42919</v>
      </c>
      <c r="B327" s="273" t="s">
        <v>20157</v>
      </c>
      <c r="C327">
        <v>118481</v>
      </c>
      <c r="D327" s="236" t="s">
        <v>15315</v>
      </c>
      <c r="E327" s="15">
        <v>3415.8</v>
      </c>
      <c r="F327" s="274">
        <v>42919</v>
      </c>
      <c r="G327" s="15">
        <v>3415.8</v>
      </c>
      <c r="H327" s="15">
        <f>Tabla1[[#This Row],[Importe]]-Tabla1[[#This Row],[Pagado]]</f>
        <v>0</v>
      </c>
      <c r="I327" s="275" t="s">
        <v>15214</v>
      </c>
    </row>
    <row r="328" spans="1:9" x14ac:dyDescent="0.25">
      <c r="A328" s="16">
        <v>42919</v>
      </c>
      <c r="B328" s="273" t="s">
        <v>20158</v>
      </c>
      <c r="C328">
        <v>118482</v>
      </c>
      <c r="D328" s="236" t="s">
        <v>15398</v>
      </c>
      <c r="E328" s="15">
        <v>3646.65</v>
      </c>
      <c r="F328" s="274">
        <v>42919</v>
      </c>
      <c r="G328" s="15">
        <v>3646.65</v>
      </c>
      <c r="H328" s="15">
        <f>Tabla1[[#This Row],[Importe]]-Tabla1[[#This Row],[Pagado]]</f>
        <v>0</v>
      </c>
      <c r="I328" s="275" t="s">
        <v>15214</v>
      </c>
    </row>
    <row r="329" spans="1:9" x14ac:dyDescent="0.25">
      <c r="A329" s="16">
        <v>42919</v>
      </c>
      <c r="B329" s="273" t="s">
        <v>20159</v>
      </c>
      <c r="C329">
        <v>118483</v>
      </c>
      <c r="D329" s="236" t="s">
        <v>19768</v>
      </c>
      <c r="E329" s="15">
        <v>1470</v>
      </c>
      <c r="F329" s="274">
        <v>42919</v>
      </c>
      <c r="G329" s="15">
        <v>1470</v>
      </c>
      <c r="H329" s="15">
        <f>Tabla1[[#This Row],[Importe]]-Tabla1[[#This Row],[Pagado]]</f>
        <v>0</v>
      </c>
      <c r="I329" s="275" t="s">
        <v>15214</v>
      </c>
    </row>
    <row r="330" spans="1:9" x14ac:dyDescent="0.25">
      <c r="A330" s="16">
        <v>42919</v>
      </c>
      <c r="B330" s="273" t="s">
        <v>20160</v>
      </c>
      <c r="C330">
        <v>118484</v>
      </c>
      <c r="D330" s="236" t="s">
        <v>15282</v>
      </c>
      <c r="E330" s="15">
        <v>3742.6</v>
      </c>
      <c r="F330" s="274">
        <v>42919</v>
      </c>
      <c r="G330" s="15">
        <v>3742.6</v>
      </c>
      <c r="H330" s="15">
        <f>Tabla1[[#This Row],[Importe]]-Tabla1[[#This Row],[Pagado]]</f>
        <v>0</v>
      </c>
      <c r="I330" s="275" t="s">
        <v>15214</v>
      </c>
    </row>
    <row r="331" spans="1:9" x14ac:dyDescent="0.25">
      <c r="A331" s="16">
        <v>42919</v>
      </c>
      <c r="B331" s="273" t="s">
        <v>20161</v>
      </c>
      <c r="C331">
        <v>118485</v>
      </c>
      <c r="D331" s="236" t="s">
        <v>15566</v>
      </c>
      <c r="E331" s="15">
        <v>3271.5</v>
      </c>
      <c r="F331" s="274">
        <v>42919</v>
      </c>
      <c r="G331" s="15">
        <v>3271.5</v>
      </c>
      <c r="H331" s="15">
        <f>Tabla1[[#This Row],[Importe]]-Tabla1[[#This Row],[Pagado]]</f>
        <v>0</v>
      </c>
      <c r="I331" s="275" t="s">
        <v>15214</v>
      </c>
    </row>
    <row r="332" spans="1:9" x14ac:dyDescent="0.25">
      <c r="A332" s="16">
        <v>42919</v>
      </c>
      <c r="B332" s="273" t="s">
        <v>20162</v>
      </c>
      <c r="C332">
        <v>118486</v>
      </c>
      <c r="D332" s="236" t="s">
        <v>5873</v>
      </c>
      <c r="E332" s="15">
        <v>34421.1</v>
      </c>
      <c r="F332" s="274">
        <v>42919</v>
      </c>
      <c r="G332" s="15">
        <v>34421.1</v>
      </c>
      <c r="H332" s="15">
        <f>Tabla1[[#This Row],[Importe]]-Tabla1[[#This Row],[Pagado]]</f>
        <v>0</v>
      </c>
      <c r="I332" s="275" t="s">
        <v>15214</v>
      </c>
    </row>
    <row r="333" spans="1:9" x14ac:dyDescent="0.25">
      <c r="A333" s="16">
        <v>42919</v>
      </c>
      <c r="B333" s="273" t="s">
        <v>20163</v>
      </c>
      <c r="C333">
        <v>118487</v>
      </c>
      <c r="D333" s="236" t="s">
        <v>15433</v>
      </c>
      <c r="E333" s="15">
        <v>1116.8</v>
      </c>
      <c r="F333" s="274">
        <v>39266</v>
      </c>
      <c r="G333" s="15">
        <v>1116.8</v>
      </c>
      <c r="H333" s="15">
        <f>Tabla1[[#This Row],[Importe]]-Tabla1[[#This Row],[Pagado]]</f>
        <v>0</v>
      </c>
      <c r="I333" s="275" t="s">
        <v>15214</v>
      </c>
    </row>
    <row r="334" spans="1:9" x14ac:dyDescent="0.25">
      <c r="A334" s="16">
        <v>42919</v>
      </c>
      <c r="B334" s="273" t="s">
        <v>20164</v>
      </c>
      <c r="C334">
        <v>118488</v>
      </c>
      <c r="D334" s="236" t="s">
        <v>15665</v>
      </c>
      <c r="E334" s="15">
        <v>581.20000000000005</v>
      </c>
      <c r="F334" s="274">
        <v>42919</v>
      </c>
      <c r="G334" s="15">
        <v>581.20000000000005</v>
      </c>
      <c r="H334" s="15">
        <f>Tabla1[[#This Row],[Importe]]-Tabla1[[#This Row],[Pagado]]</f>
        <v>0</v>
      </c>
      <c r="I334" s="275" t="s">
        <v>15214</v>
      </c>
    </row>
    <row r="335" spans="1:9" x14ac:dyDescent="0.25">
      <c r="A335" s="16">
        <v>42919</v>
      </c>
      <c r="B335" s="273" t="s">
        <v>20165</v>
      </c>
      <c r="C335">
        <v>118489</v>
      </c>
      <c r="D335" s="236" t="s">
        <v>15419</v>
      </c>
      <c r="E335" s="15">
        <v>53357.4</v>
      </c>
      <c r="F335" s="274">
        <v>42928</v>
      </c>
      <c r="G335" s="15">
        <v>53357.4</v>
      </c>
      <c r="H335" s="15">
        <f>Tabla1[[#This Row],[Importe]]-Tabla1[[#This Row],[Pagado]]</f>
        <v>0</v>
      </c>
      <c r="I335" s="275" t="s">
        <v>15214</v>
      </c>
    </row>
    <row r="336" spans="1:9" x14ac:dyDescent="0.25">
      <c r="A336" s="16">
        <v>42919</v>
      </c>
      <c r="B336" s="273" t="s">
        <v>20166</v>
      </c>
      <c r="C336">
        <v>118490</v>
      </c>
      <c r="D336" s="236" t="s">
        <v>15655</v>
      </c>
      <c r="E336" s="15">
        <v>21910.799999999999</v>
      </c>
      <c r="F336" s="274">
        <v>42919</v>
      </c>
      <c r="G336" s="15">
        <v>21910.799999999999</v>
      </c>
      <c r="H336" s="15">
        <f>Tabla1[[#This Row],[Importe]]-Tabla1[[#This Row],[Pagado]]</f>
        <v>0</v>
      </c>
      <c r="I336" s="275" t="s">
        <v>15214</v>
      </c>
    </row>
    <row r="337" spans="1:9" x14ac:dyDescent="0.25">
      <c r="A337" s="16">
        <v>42919</v>
      </c>
      <c r="B337" s="273" t="s">
        <v>20167</v>
      </c>
      <c r="C337">
        <v>118491</v>
      </c>
      <c r="D337" s="236" t="s">
        <v>18076</v>
      </c>
      <c r="E337" s="15">
        <v>4386</v>
      </c>
      <c r="F337" s="274">
        <v>42919</v>
      </c>
      <c r="G337" s="15">
        <v>4386</v>
      </c>
      <c r="H337" s="15">
        <f>Tabla1[[#This Row],[Importe]]-Tabla1[[#This Row],[Pagado]]</f>
        <v>0</v>
      </c>
      <c r="I337" s="275" t="s">
        <v>15214</v>
      </c>
    </row>
    <row r="338" spans="1:9" x14ac:dyDescent="0.25">
      <c r="A338" s="16">
        <v>42919</v>
      </c>
      <c r="B338" s="273" t="s">
        <v>20168</v>
      </c>
      <c r="C338">
        <v>118492</v>
      </c>
      <c r="D338" s="236" t="s">
        <v>15322</v>
      </c>
      <c r="E338" s="15">
        <v>761.6</v>
      </c>
      <c r="F338" s="274">
        <v>42919</v>
      </c>
      <c r="G338" s="15">
        <v>761.6</v>
      </c>
      <c r="H338" s="15">
        <f>Tabla1[[#This Row],[Importe]]-Tabla1[[#This Row],[Pagado]]</f>
        <v>0</v>
      </c>
      <c r="I338" s="275" t="s">
        <v>15214</v>
      </c>
    </row>
    <row r="339" spans="1:9" ht="15.75" x14ac:dyDescent="0.25">
      <c r="A339" s="16">
        <v>42919</v>
      </c>
      <c r="B339" s="273" t="s">
        <v>20169</v>
      </c>
      <c r="C339">
        <v>118493</v>
      </c>
      <c r="D339" s="248" t="s">
        <v>95</v>
      </c>
      <c r="E339" s="15">
        <v>0</v>
      </c>
      <c r="F339" s="274" t="s">
        <v>19846</v>
      </c>
      <c r="G339" s="15">
        <v>0</v>
      </c>
      <c r="H339" s="15">
        <f>Tabla1[[#This Row],[Importe]]-Tabla1[[#This Row],[Pagado]]</f>
        <v>0</v>
      </c>
      <c r="I339" s="275" t="s">
        <v>95</v>
      </c>
    </row>
    <row r="340" spans="1:9" ht="15.75" x14ac:dyDescent="0.25">
      <c r="A340" s="16">
        <v>42919</v>
      </c>
      <c r="B340" s="273" t="s">
        <v>20170</v>
      </c>
      <c r="C340">
        <v>118494</v>
      </c>
      <c r="D340" s="248" t="s">
        <v>95</v>
      </c>
      <c r="E340" s="15">
        <v>0</v>
      </c>
      <c r="F340" s="274" t="s">
        <v>19846</v>
      </c>
      <c r="G340" s="15">
        <v>0</v>
      </c>
      <c r="H340" s="15">
        <f>Tabla1[[#This Row],[Importe]]-Tabla1[[#This Row],[Pagado]]</f>
        <v>0</v>
      </c>
      <c r="I340" s="275" t="s">
        <v>95</v>
      </c>
    </row>
    <row r="341" spans="1:9" x14ac:dyDescent="0.25">
      <c r="A341" s="16">
        <v>42919</v>
      </c>
      <c r="B341" s="273" t="s">
        <v>20171</v>
      </c>
      <c r="C341">
        <v>118495</v>
      </c>
      <c r="D341" s="236" t="s">
        <v>15315</v>
      </c>
      <c r="E341" s="15">
        <v>12182.16</v>
      </c>
      <c r="F341" s="274">
        <v>42919</v>
      </c>
      <c r="G341" s="15">
        <v>12182.16</v>
      </c>
      <c r="H341" s="15">
        <f>Tabla1[[#This Row],[Importe]]-Tabla1[[#This Row],[Pagado]]</f>
        <v>0</v>
      </c>
      <c r="I341" s="275" t="s">
        <v>15214</v>
      </c>
    </row>
    <row r="342" spans="1:9" x14ac:dyDescent="0.25">
      <c r="A342" s="16">
        <v>42919</v>
      </c>
      <c r="B342" s="273" t="s">
        <v>20172</v>
      </c>
      <c r="C342">
        <v>118496</v>
      </c>
      <c r="D342" s="236" t="s">
        <v>17462</v>
      </c>
      <c r="E342" s="15">
        <v>2962.7</v>
      </c>
      <c r="F342" s="274">
        <v>42919</v>
      </c>
      <c r="G342" s="15">
        <v>2962.7</v>
      </c>
      <c r="H342" s="15">
        <f>Tabla1[[#This Row],[Importe]]-Tabla1[[#This Row],[Pagado]]</f>
        <v>0</v>
      </c>
      <c r="I342" s="275" t="s">
        <v>15214</v>
      </c>
    </row>
    <row r="343" spans="1:9" x14ac:dyDescent="0.25">
      <c r="A343" s="16">
        <v>42919</v>
      </c>
      <c r="B343" s="273" t="s">
        <v>20173</v>
      </c>
      <c r="C343">
        <v>118497</v>
      </c>
      <c r="D343" s="236" t="s">
        <v>15423</v>
      </c>
      <c r="E343" s="15">
        <v>2508</v>
      </c>
      <c r="F343" s="274">
        <v>42919</v>
      </c>
      <c r="G343" s="15">
        <v>2508</v>
      </c>
      <c r="H343" s="15">
        <f>Tabla1[[#This Row],[Importe]]-Tabla1[[#This Row],[Pagado]]</f>
        <v>0</v>
      </c>
      <c r="I343" s="275" t="s">
        <v>15214</v>
      </c>
    </row>
    <row r="344" spans="1:9" x14ac:dyDescent="0.25">
      <c r="A344" s="16">
        <v>42919</v>
      </c>
      <c r="B344" s="273" t="s">
        <v>20174</v>
      </c>
      <c r="C344">
        <v>118498</v>
      </c>
      <c r="D344" s="236" t="s">
        <v>15246</v>
      </c>
      <c r="E344" s="15">
        <v>58210.400000000001</v>
      </c>
      <c r="F344" s="274">
        <v>42921</v>
      </c>
      <c r="G344" s="15">
        <v>58210.400000000001</v>
      </c>
      <c r="H344" s="15">
        <f>Tabla1[[#This Row],[Importe]]-Tabla1[[#This Row],[Pagado]]</f>
        <v>0</v>
      </c>
      <c r="I344" s="275" t="s">
        <v>15214</v>
      </c>
    </row>
    <row r="345" spans="1:9" x14ac:dyDescent="0.25">
      <c r="A345" s="16">
        <v>42919</v>
      </c>
      <c r="B345" s="273" t="s">
        <v>20175</v>
      </c>
      <c r="C345">
        <v>118499</v>
      </c>
      <c r="D345" s="236" t="s">
        <v>15628</v>
      </c>
      <c r="E345" s="15">
        <v>4072.6</v>
      </c>
      <c r="F345" s="274">
        <v>42919</v>
      </c>
      <c r="G345" s="15">
        <v>4072.6</v>
      </c>
      <c r="H345" s="15">
        <f>Tabla1[[#This Row],[Importe]]-Tabla1[[#This Row],[Pagado]]</f>
        <v>0</v>
      </c>
      <c r="I345" s="275" t="s">
        <v>15214</v>
      </c>
    </row>
    <row r="346" spans="1:9" x14ac:dyDescent="0.25">
      <c r="A346" s="16">
        <v>42919</v>
      </c>
      <c r="B346" s="273" t="s">
        <v>20176</v>
      </c>
      <c r="C346">
        <v>118500</v>
      </c>
      <c r="D346" s="236" t="s">
        <v>15354</v>
      </c>
      <c r="E346" s="15">
        <v>2800</v>
      </c>
      <c r="F346" s="274">
        <v>42920</v>
      </c>
      <c r="G346" s="15">
        <v>2800</v>
      </c>
      <c r="H346" s="15">
        <f>Tabla1[[#This Row],[Importe]]-Tabla1[[#This Row],[Pagado]]</f>
        <v>0</v>
      </c>
      <c r="I346" s="275" t="s">
        <v>15214</v>
      </c>
    </row>
    <row r="347" spans="1:9" x14ac:dyDescent="0.25">
      <c r="A347" s="16">
        <v>42919</v>
      </c>
      <c r="B347" s="273" t="s">
        <v>20177</v>
      </c>
      <c r="C347">
        <v>118501</v>
      </c>
      <c r="D347" s="236" t="s">
        <v>15246</v>
      </c>
      <c r="E347" s="15">
        <v>96005.9</v>
      </c>
      <c r="F347" s="274">
        <v>42921</v>
      </c>
      <c r="G347" s="15">
        <v>96005.9</v>
      </c>
      <c r="H347" s="15">
        <f>Tabla1[[#This Row],[Importe]]-Tabla1[[#This Row],[Pagado]]</f>
        <v>0</v>
      </c>
      <c r="I347" s="275" t="s">
        <v>15214</v>
      </c>
    </row>
    <row r="348" spans="1:9" x14ac:dyDescent="0.25">
      <c r="A348" s="16">
        <v>42919</v>
      </c>
      <c r="B348" s="273" t="s">
        <v>20178</v>
      </c>
      <c r="C348">
        <v>118502</v>
      </c>
      <c r="D348" s="236" t="s">
        <v>15912</v>
      </c>
      <c r="E348" s="15">
        <v>1536</v>
      </c>
      <c r="F348" s="274">
        <v>42920</v>
      </c>
      <c r="G348" s="15">
        <v>1536</v>
      </c>
      <c r="H348" s="15">
        <f>Tabla1[[#This Row],[Importe]]-Tabla1[[#This Row],[Pagado]]</f>
        <v>0</v>
      </c>
      <c r="I348" s="275" t="s">
        <v>15214</v>
      </c>
    </row>
    <row r="349" spans="1:9" x14ac:dyDescent="0.25">
      <c r="A349" s="16">
        <v>42919</v>
      </c>
      <c r="B349" s="273" t="s">
        <v>20179</v>
      </c>
      <c r="C349">
        <v>118503</v>
      </c>
      <c r="D349" s="236" t="s">
        <v>15284</v>
      </c>
      <c r="E349" s="15">
        <v>1218.9000000000001</v>
      </c>
      <c r="F349" s="274">
        <v>42919</v>
      </c>
      <c r="G349" s="15">
        <v>1218.9000000000001</v>
      </c>
      <c r="H349" s="15">
        <f>Tabla1[[#This Row],[Importe]]-Tabla1[[#This Row],[Pagado]]</f>
        <v>0</v>
      </c>
      <c r="I349" s="275" t="s">
        <v>15214</v>
      </c>
    </row>
    <row r="350" spans="1:9" x14ac:dyDescent="0.25">
      <c r="A350" s="16">
        <v>42919</v>
      </c>
      <c r="B350" s="273" t="s">
        <v>20180</v>
      </c>
      <c r="C350">
        <v>118504</v>
      </c>
      <c r="D350" s="236" t="s">
        <v>15442</v>
      </c>
      <c r="E350" s="15">
        <v>14701.5</v>
      </c>
      <c r="F350" s="274">
        <v>42927</v>
      </c>
      <c r="G350" s="15">
        <v>14701.5</v>
      </c>
      <c r="H350" s="15">
        <f>Tabla1[[#This Row],[Importe]]-Tabla1[[#This Row],[Pagado]]</f>
        <v>0</v>
      </c>
      <c r="I350" s="275" t="s">
        <v>15214</v>
      </c>
    </row>
    <row r="351" spans="1:9" x14ac:dyDescent="0.25">
      <c r="A351" s="16">
        <v>42919</v>
      </c>
      <c r="B351" s="273" t="s">
        <v>20181</v>
      </c>
      <c r="C351">
        <v>118505</v>
      </c>
      <c r="D351" s="236" t="s">
        <v>15263</v>
      </c>
      <c r="E351" s="15">
        <v>663.4</v>
      </c>
      <c r="F351" s="274">
        <v>42919</v>
      </c>
      <c r="G351" s="15">
        <v>663.4</v>
      </c>
      <c r="H351" s="15">
        <f>Tabla1[[#This Row],[Importe]]-Tabla1[[#This Row],[Pagado]]</f>
        <v>0</v>
      </c>
      <c r="I351" s="275" t="s">
        <v>15214</v>
      </c>
    </row>
    <row r="352" spans="1:9" x14ac:dyDescent="0.25">
      <c r="A352" s="16">
        <v>42919</v>
      </c>
      <c r="B352" s="273" t="s">
        <v>20182</v>
      </c>
      <c r="C352">
        <v>118506</v>
      </c>
      <c r="D352" s="236" t="s">
        <v>15553</v>
      </c>
      <c r="E352" s="15">
        <v>5313</v>
      </c>
      <c r="F352" s="274">
        <v>42920</v>
      </c>
      <c r="G352" s="15">
        <v>5313</v>
      </c>
      <c r="H352" s="15">
        <f>Tabla1[[#This Row],[Importe]]-Tabla1[[#This Row],[Pagado]]</f>
        <v>0</v>
      </c>
      <c r="I352" s="275" t="s">
        <v>15214</v>
      </c>
    </row>
    <row r="353" spans="1:9" x14ac:dyDescent="0.25">
      <c r="A353" s="16">
        <v>42919</v>
      </c>
      <c r="B353" s="273" t="s">
        <v>20183</v>
      </c>
      <c r="C353">
        <v>118507</v>
      </c>
      <c r="D353" s="236" t="s">
        <v>19742</v>
      </c>
      <c r="E353" s="15">
        <v>3500</v>
      </c>
      <c r="F353" s="274">
        <v>42930</v>
      </c>
      <c r="G353" s="15">
        <v>3500</v>
      </c>
      <c r="H353" s="15">
        <f>Tabla1[[#This Row],[Importe]]-Tabla1[[#This Row],[Pagado]]</f>
        <v>0</v>
      </c>
      <c r="I353" s="275" t="s">
        <v>15214</v>
      </c>
    </row>
    <row r="354" spans="1:9" x14ac:dyDescent="0.25">
      <c r="A354" s="16">
        <v>42919</v>
      </c>
      <c r="B354" s="273" t="s">
        <v>20184</v>
      </c>
      <c r="C354">
        <v>118508</v>
      </c>
      <c r="D354" s="236" t="s">
        <v>19742</v>
      </c>
      <c r="E354" s="15">
        <v>1500</v>
      </c>
      <c r="F354" s="274">
        <v>42930</v>
      </c>
      <c r="G354" s="15">
        <v>1500</v>
      </c>
      <c r="H354" s="15">
        <f>Tabla1[[#This Row],[Importe]]-Tabla1[[#This Row],[Pagado]]</f>
        <v>0</v>
      </c>
      <c r="I354" s="275" t="s">
        <v>15214</v>
      </c>
    </row>
    <row r="355" spans="1:9" x14ac:dyDescent="0.25">
      <c r="A355" s="16">
        <v>42919</v>
      </c>
      <c r="B355" s="273" t="s">
        <v>20185</v>
      </c>
      <c r="C355">
        <v>118509</v>
      </c>
      <c r="D355" s="236" t="s">
        <v>19765</v>
      </c>
      <c r="E355" s="15">
        <v>3500</v>
      </c>
      <c r="F355" s="274">
        <v>42930</v>
      </c>
      <c r="G355" s="15">
        <v>3500</v>
      </c>
      <c r="H355" s="15">
        <f>Tabla1[[#This Row],[Importe]]-Tabla1[[#This Row],[Pagado]]</f>
        <v>0</v>
      </c>
      <c r="I355" s="275" t="s">
        <v>15214</v>
      </c>
    </row>
    <row r="356" spans="1:9" x14ac:dyDescent="0.25">
      <c r="A356" s="16">
        <v>42919</v>
      </c>
      <c r="B356" s="273" t="s">
        <v>20186</v>
      </c>
      <c r="C356">
        <v>118510</v>
      </c>
      <c r="D356" s="236" t="s">
        <v>15444</v>
      </c>
      <c r="E356" s="15">
        <v>1967.4</v>
      </c>
      <c r="F356" s="274">
        <v>42920</v>
      </c>
      <c r="G356" s="15">
        <v>1967.4</v>
      </c>
      <c r="H356" s="15">
        <f>Tabla1[[#This Row],[Importe]]-Tabla1[[#This Row],[Pagado]]</f>
        <v>0</v>
      </c>
      <c r="I356" s="275" t="s">
        <v>15214</v>
      </c>
    </row>
    <row r="357" spans="1:9" x14ac:dyDescent="0.25">
      <c r="A357" s="16">
        <v>42919</v>
      </c>
      <c r="B357" s="273" t="s">
        <v>20187</v>
      </c>
      <c r="C357">
        <v>118511</v>
      </c>
      <c r="D357" s="236" t="s">
        <v>15328</v>
      </c>
      <c r="E357" s="15">
        <v>72415.56</v>
      </c>
      <c r="F357" s="274">
        <v>42934</v>
      </c>
      <c r="G357" s="15">
        <v>72415.56</v>
      </c>
      <c r="H357" s="15">
        <f>Tabla1[[#This Row],[Importe]]-Tabla1[[#This Row],[Pagado]]</f>
        <v>0</v>
      </c>
      <c r="I357" s="275" t="s">
        <v>15214</v>
      </c>
    </row>
    <row r="358" spans="1:9" x14ac:dyDescent="0.25">
      <c r="A358" s="16">
        <v>42919</v>
      </c>
      <c r="B358" s="273" t="s">
        <v>20188</v>
      </c>
      <c r="C358">
        <v>118512</v>
      </c>
      <c r="D358" s="236" t="s">
        <v>16313</v>
      </c>
      <c r="E358" s="15">
        <v>5897.6</v>
      </c>
      <c r="F358" s="274">
        <v>42920</v>
      </c>
      <c r="G358" s="15">
        <v>5897.6</v>
      </c>
      <c r="H358" s="15">
        <f>Tabla1[[#This Row],[Importe]]-Tabla1[[#This Row],[Pagado]]</f>
        <v>0</v>
      </c>
      <c r="I358" s="275" t="s">
        <v>15214</v>
      </c>
    </row>
    <row r="359" spans="1:9" x14ac:dyDescent="0.25">
      <c r="A359" s="16">
        <v>42919</v>
      </c>
      <c r="B359" s="273" t="s">
        <v>20189</v>
      </c>
      <c r="C359">
        <v>118513</v>
      </c>
      <c r="D359" s="236" t="s">
        <v>5883</v>
      </c>
      <c r="E359" s="15">
        <v>28431.599999999999</v>
      </c>
      <c r="F359" s="274">
        <v>42934</v>
      </c>
      <c r="G359" s="15">
        <v>28431.599999999999</v>
      </c>
      <c r="H359" s="15">
        <f>Tabla1[[#This Row],[Importe]]-Tabla1[[#This Row],[Pagado]]</f>
        <v>0</v>
      </c>
      <c r="I359" s="275" t="s">
        <v>15214</v>
      </c>
    </row>
    <row r="360" spans="1:9" x14ac:dyDescent="0.25">
      <c r="A360" s="16">
        <v>42919</v>
      </c>
      <c r="B360" s="273" t="s">
        <v>20190</v>
      </c>
      <c r="C360">
        <v>118514</v>
      </c>
      <c r="D360" s="236" t="s">
        <v>16383</v>
      </c>
      <c r="E360" s="15">
        <v>10756.2</v>
      </c>
      <c r="F360" s="274">
        <v>42919</v>
      </c>
      <c r="G360" s="15">
        <v>10756.2</v>
      </c>
      <c r="H360" s="15">
        <f>Tabla1[[#This Row],[Importe]]-Tabla1[[#This Row],[Pagado]]</f>
        <v>0</v>
      </c>
      <c r="I360" s="275" t="s">
        <v>15214</v>
      </c>
    </row>
    <row r="361" spans="1:9" x14ac:dyDescent="0.25">
      <c r="A361" s="16">
        <v>42919</v>
      </c>
      <c r="B361" s="273" t="s">
        <v>20191</v>
      </c>
      <c r="C361">
        <v>118515</v>
      </c>
      <c r="D361" s="236" t="s">
        <v>15315</v>
      </c>
      <c r="E361" s="15">
        <v>2728.5</v>
      </c>
      <c r="F361" s="274">
        <v>42919</v>
      </c>
      <c r="G361" s="15">
        <v>2728.5</v>
      </c>
      <c r="H361" s="15">
        <f>Tabla1[[#This Row],[Importe]]-Tabla1[[#This Row],[Pagado]]</f>
        <v>0</v>
      </c>
      <c r="I361" s="275" t="s">
        <v>15214</v>
      </c>
    </row>
    <row r="362" spans="1:9" x14ac:dyDescent="0.25">
      <c r="A362" s="16">
        <v>42919</v>
      </c>
      <c r="B362" s="273" t="s">
        <v>20192</v>
      </c>
      <c r="C362">
        <v>118516</v>
      </c>
      <c r="D362" s="236" t="s">
        <v>15365</v>
      </c>
      <c r="E362" s="15">
        <v>468048</v>
      </c>
      <c r="F362" s="274">
        <v>42930</v>
      </c>
      <c r="G362" s="15">
        <v>468048</v>
      </c>
      <c r="H362" s="15">
        <f>Tabla1[[#This Row],[Importe]]-Tabla1[[#This Row],[Pagado]]</f>
        <v>0</v>
      </c>
      <c r="I362" s="275" t="s">
        <v>15214</v>
      </c>
    </row>
    <row r="363" spans="1:9" x14ac:dyDescent="0.25">
      <c r="A363" s="16">
        <v>42919</v>
      </c>
      <c r="B363" s="273" t="s">
        <v>20193</v>
      </c>
      <c r="C363">
        <v>118517</v>
      </c>
      <c r="D363" s="236" t="s">
        <v>19754</v>
      </c>
      <c r="E363" s="15">
        <v>19836.599999999999</v>
      </c>
      <c r="F363" s="274">
        <v>42920</v>
      </c>
      <c r="G363" s="15">
        <v>19836.599999999999</v>
      </c>
      <c r="H363" s="15">
        <f>Tabla1[[#This Row],[Importe]]-Tabla1[[#This Row],[Pagado]]</f>
        <v>0</v>
      </c>
      <c r="I363" s="275" t="s">
        <v>15214</v>
      </c>
    </row>
    <row r="364" spans="1:9" x14ac:dyDescent="0.25">
      <c r="A364" s="16">
        <v>42919</v>
      </c>
      <c r="B364" s="273" t="s">
        <v>20194</v>
      </c>
      <c r="C364">
        <v>118518</v>
      </c>
      <c r="D364" s="236" t="s">
        <v>15446</v>
      </c>
      <c r="E364" s="15">
        <v>2435</v>
      </c>
      <c r="F364" s="274">
        <v>42921</v>
      </c>
      <c r="G364" s="15">
        <v>2435</v>
      </c>
      <c r="H364" s="15">
        <f>Tabla1[[#This Row],[Importe]]-Tabla1[[#This Row],[Pagado]]</f>
        <v>0</v>
      </c>
      <c r="I364" s="275" t="s">
        <v>15214</v>
      </c>
    </row>
    <row r="365" spans="1:9" x14ac:dyDescent="0.25">
      <c r="A365" s="16">
        <v>42919</v>
      </c>
      <c r="B365" s="273" t="s">
        <v>20195</v>
      </c>
      <c r="C365">
        <v>118519</v>
      </c>
      <c r="D365" s="236" t="s">
        <v>15450</v>
      </c>
      <c r="E365" s="15">
        <v>1139.2</v>
      </c>
      <c r="F365" s="274">
        <v>42921</v>
      </c>
      <c r="G365" s="15">
        <v>1139.2</v>
      </c>
      <c r="H365" s="15">
        <f>Tabla1[[#This Row],[Importe]]-Tabla1[[#This Row],[Pagado]]</f>
        <v>0</v>
      </c>
      <c r="I365" s="275" t="s">
        <v>15214</v>
      </c>
    </row>
    <row r="366" spans="1:9" x14ac:dyDescent="0.25">
      <c r="A366" s="16">
        <v>42919</v>
      </c>
      <c r="B366" s="273" t="s">
        <v>20196</v>
      </c>
      <c r="C366">
        <v>118520</v>
      </c>
      <c r="D366" s="236" t="s">
        <v>15452</v>
      </c>
      <c r="E366" s="15">
        <v>8288.7999999999993</v>
      </c>
      <c r="F366" s="274">
        <v>42921</v>
      </c>
      <c r="G366" s="15">
        <v>8288.7999999999993</v>
      </c>
      <c r="H366" s="15">
        <f>Tabla1[[#This Row],[Importe]]-Tabla1[[#This Row],[Pagado]]</f>
        <v>0</v>
      </c>
      <c r="I366" s="275" t="s">
        <v>15214</v>
      </c>
    </row>
    <row r="367" spans="1:9" x14ac:dyDescent="0.25">
      <c r="A367" s="16">
        <v>42919</v>
      </c>
      <c r="B367" s="273" t="s">
        <v>20197</v>
      </c>
      <c r="C367">
        <v>118521</v>
      </c>
      <c r="D367" s="236" t="s">
        <v>15462</v>
      </c>
      <c r="E367" s="15">
        <v>17192.8</v>
      </c>
      <c r="F367" s="274">
        <v>42921</v>
      </c>
      <c r="G367" s="15">
        <v>17192.8</v>
      </c>
      <c r="H367" s="15">
        <f>Tabla1[[#This Row],[Importe]]-Tabla1[[#This Row],[Pagado]]</f>
        <v>0</v>
      </c>
      <c r="I367" s="275" t="s">
        <v>15214</v>
      </c>
    </row>
    <row r="368" spans="1:9" x14ac:dyDescent="0.25">
      <c r="A368" s="16">
        <v>42919</v>
      </c>
      <c r="B368" s="273" t="s">
        <v>20198</v>
      </c>
      <c r="C368">
        <v>118522</v>
      </c>
      <c r="D368" s="236" t="s">
        <v>15320</v>
      </c>
      <c r="E368" s="15">
        <v>2326.5</v>
      </c>
      <c r="F368" s="274">
        <v>42920</v>
      </c>
      <c r="G368" s="15">
        <v>2326.5</v>
      </c>
      <c r="H368" s="15">
        <f>Tabla1[[#This Row],[Importe]]-Tabla1[[#This Row],[Pagado]]</f>
        <v>0</v>
      </c>
      <c r="I368" s="275" t="s">
        <v>15214</v>
      </c>
    </row>
    <row r="369" spans="1:9" x14ac:dyDescent="0.25">
      <c r="A369" s="16">
        <v>42919</v>
      </c>
      <c r="B369" s="273" t="s">
        <v>20199</v>
      </c>
      <c r="C369">
        <v>118523</v>
      </c>
      <c r="D369" s="236" t="s">
        <v>15448</v>
      </c>
      <c r="E369" s="15">
        <v>159958.6</v>
      </c>
      <c r="F369" s="274">
        <v>42924</v>
      </c>
      <c r="G369" s="15">
        <v>159958.6</v>
      </c>
      <c r="H369" s="15">
        <f>Tabla1[[#This Row],[Importe]]-Tabla1[[#This Row],[Pagado]]</f>
        <v>0</v>
      </c>
      <c r="I369" s="275" t="s">
        <v>15214</v>
      </c>
    </row>
    <row r="370" spans="1:9" x14ac:dyDescent="0.25">
      <c r="A370" s="16">
        <v>42919</v>
      </c>
      <c r="B370" s="273" t="s">
        <v>20200</v>
      </c>
      <c r="C370">
        <v>118524</v>
      </c>
      <c r="D370" s="236" t="s">
        <v>15454</v>
      </c>
      <c r="E370" s="15">
        <v>4278</v>
      </c>
      <c r="F370" s="274">
        <v>42921</v>
      </c>
      <c r="G370" s="15">
        <v>4278</v>
      </c>
      <c r="H370" s="15">
        <f>Tabla1[[#This Row],[Importe]]-Tabla1[[#This Row],[Pagado]]</f>
        <v>0</v>
      </c>
      <c r="I370" s="275" t="s">
        <v>15214</v>
      </c>
    </row>
    <row r="371" spans="1:9" x14ac:dyDescent="0.25">
      <c r="A371" s="16">
        <v>42919</v>
      </c>
      <c r="B371" s="273" t="s">
        <v>20201</v>
      </c>
      <c r="C371">
        <v>118525</v>
      </c>
      <c r="D371" s="236" t="s">
        <v>15417</v>
      </c>
      <c r="E371" s="15">
        <v>2419.1999999999998</v>
      </c>
      <c r="F371" s="274">
        <v>42921</v>
      </c>
      <c r="G371" s="15">
        <v>2419.1999999999998</v>
      </c>
      <c r="H371" s="15">
        <f>Tabla1[[#This Row],[Importe]]-Tabla1[[#This Row],[Pagado]]</f>
        <v>0</v>
      </c>
      <c r="I371" s="275" t="s">
        <v>15214</v>
      </c>
    </row>
    <row r="372" spans="1:9" x14ac:dyDescent="0.25">
      <c r="A372" s="16">
        <v>42919</v>
      </c>
      <c r="B372" s="273" t="s">
        <v>20202</v>
      </c>
      <c r="C372">
        <v>118526</v>
      </c>
      <c r="D372" s="236" t="s">
        <v>15226</v>
      </c>
      <c r="E372" s="15">
        <v>1160</v>
      </c>
      <c r="F372" s="274">
        <v>42922</v>
      </c>
      <c r="G372" s="15">
        <v>1160</v>
      </c>
      <c r="H372" s="15">
        <f>Tabla1[[#This Row],[Importe]]-Tabla1[[#This Row],[Pagado]]</f>
        <v>0</v>
      </c>
      <c r="I372" s="275" t="s">
        <v>15214</v>
      </c>
    </row>
    <row r="373" spans="1:9" x14ac:dyDescent="0.25">
      <c r="A373" s="16">
        <v>42919</v>
      </c>
      <c r="B373" s="273" t="s">
        <v>20203</v>
      </c>
      <c r="C373">
        <v>118527</v>
      </c>
      <c r="D373" s="236" t="s">
        <v>15617</v>
      </c>
      <c r="E373" s="15">
        <v>31830.400000000001</v>
      </c>
      <c r="F373" s="274">
        <v>42921</v>
      </c>
      <c r="G373" s="15">
        <v>31830.400000000001</v>
      </c>
      <c r="H373" s="15">
        <f>Tabla1[[#This Row],[Importe]]-Tabla1[[#This Row],[Pagado]]</f>
        <v>0</v>
      </c>
      <c r="I373" s="275" t="s">
        <v>15214</v>
      </c>
    </row>
    <row r="374" spans="1:9" x14ac:dyDescent="0.25">
      <c r="A374" s="16">
        <v>42919</v>
      </c>
      <c r="B374" s="273" t="s">
        <v>20204</v>
      </c>
      <c r="C374">
        <v>118528</v>
      </c>
      <c r="D374" s="236" t="s">
        <v>15435</v>
      </c>
      <c r="E374" s="15">
        <v>7192.8</v>
      </c>
      <c r="F374" s="274">
        <v>42919</v>
      </c>
      <c r="G374" s="15">
        <v>7192.8</v>
      </c>
      <c r="H374" s="15">
        <f>Tabla1[[#This Row],[Importe]]-Tabla1[[#This Row],[Pagado]]</f>
        <v>0</v>
      </c>
      <c r="I374" s="275" t="s">
        <v>15214</v>
      </c>
    </row>
    <row r="375" spans="1:9" x14ac:dyDescent="0.25">
      <c r="A375" s="16">
        <v>42919</v>
      </c>
      <c r="B375" s="273" t="s">
        <v>20205</v>
      </c>
      <c r="C375">
        <v>118529</v>
      </c>
      <c r="D375" s="236" t="s">
        <v>5880</v>
      </c>
      <c r="E375" s="15">
        <v>37607.4</v>
      </c>
      <c r="F375" s="274">
        <v>42920</v>
      </c>
      <c r="G375" s="15">
        <v>37607.4</v>
      </c>
      <c r="H375" s="15">
        <f>Tabla1[[#This Row],[Importe]]-Tabla1[[#This Row],[Pagado]]</f>
        <v>0</v>
      </c>
      <c r="I375" s="275" t="s">
        <v>15214</v>
      </c>
    </row>
    <row r="376" spans="1:9" x14ac:dyDescent="0.25">
      <c r="A376" s="16">
        <v>42919</v>
      </c>
      <c r="B376" s="273" t="s">
        <v>20206</v>
      </c>
      <c r="C376">
        <v>118530</v>
      </c>
      <c r="D376" s="236" t="s">
        <v>15818</v>
      </c>
      <c r="E376" s="15">
        <v>3763.2</v>
      </c>
      <c r="F376" s="274">
        <v>42921</v>
      </c>
      <c r="G376" s="15">
        <v>3763.2</v>
      </c>
      <c r="H376" s="15">
        <f>Tabla1[[#This Row],[Importe]]-Tabla1[[#This Row],[Pagado]]</f>
        <v>0</v>
      </c>
      <c r="I376" s="275" t="s">
        <v>15214</v>
      </c>
    </row>
    <row r="377" spans="1:9" x14ac:dyDescent="0.25">
      <c r="A377" s="16">
        <v>42919</v>
      </c>
      <c r="B377" s="273" t="s">
        <v>20207</v>
      </c>
      <c r="C377">
        <v>118531</v>
      </c>
      <c r="D377" s="236" t="s">
        <v>15267</v>
      </c>
      <c r="E377" s="15">
        <v>3910.2</v>
      </c>
      <c r="F377" s="274">
        <v>42921</v>
      </c>
      <c r="G377" s="15">
        <v>3910.2</v>
      </c>
      <c r="H377" s="15">
        <f>Tabla1[[#This Row],[Importe]]-Tabla1[[#This Row],[Pagado]]</f>
        <v>0</v>
      </c>
      <c r="I377" s="275" t="s">
        <v>15214</v>
      </c>
    </row>
    <row r="378" spans="1:9" x14ac:dyDescent="0.25">
      <c r="A378" s="16">
        <v>42919</v>
      </c>
      <c r="B378" s="273" t="s">
        <v>20208</v>
      </c>
      <c r="C378">
        <v>118532</v>
      </c>
      <c r="D378" s="236" t="s">
        <v>15315</v>
      </c>
      <c r="E378" s="15">
        <v>614</v>
      </c>
      <c r="F378" s="279">
        <v>42983</v>
      </c>
      <c r="G378" s="35">
        <v>614</v>
      </c>
      <c r="H378" s="15">
        <f>Tabla1[[#This Row],[Importe]]-Tabla1[[#This Row],[Pagado]]</f>
        <v>0</v>
      </c>
      <c r="I378" s="275" t="s">
        <v>15214</v>
      </c>
    </row>
    <row r="379" spans="1:9" x14ac:dyDescent="0.25">
      <c r="A379" s="16">
        <v>42920</v>
      </c>
      <c r="B379" s="273" t="s">
        <v>20209</v>
      </c>
      <c r="C379">
        <v>118533</v>
      </c>
      <c r="D379" s="236" t="s">
        <v>15213</v>
      </c>
      <c r="E379" s="15">
        <v>7553.7</v>
      </c>
      <c r="F379" s="274">
        <v>42921</v>
      </c>
      <c r="G379" s="15">
        <v>7553.7</v>
      </c>
      <c r="H379" s="15">
        <f>Tabla1[[#This Row],[Importe]]-Tabla1[[#This Row],[Pagado]]</f>
        <v>0</v>
      </c>
      <c r="I379" s="275" t="s">
        <v>15214</v>
      </c>
    </row>
    <row r="380" spans="1:9" x14ac:dyDescent="0.25">
      <c r="A380" s="16">
        <v>42920</v>
      </c>
      <c r="B380" s="273" t="s">
        <v>20210</v>
      </c>
      <c r="C380">
        <v>118534</v>
      </c>
      <c r="D380" s="236" t="s">
        <v>15213</v>
      </c>
      <c r="E380" s="15">
        <v>37661.4</v>
      </c>
      <c r="F380" s="274">
        <v>42921</v>
      </c>
      <c r="G380" s="15">
        <v>37661.4</v>
      </c>
      <c r="H380" s="15">
        <f>Tabla1[[#This Row],[Importe]]-Tabla1[[#This Row],[Pagado]]</f>
        <v>0</v>
      </c>
      <c r="I380" s="275" t="s">
        <v>15214</v>
      </c>
    </row>
    <row r="381" spans="1:9" x14ac:dyDescent="0.25">
      <c r="A381" s="16">
        <v>42920</v>
      </c>
      <c r="B381" s="273" t="s">
        <v>20211</v>
      </c>
      <c r="C381">
        <v>118535</v>
      </c>
      <c r="D381" s="236" t="s">
        <v>15213</v>
      </c>
      <c r="E381" s="15">
        <v>818.4</v>
      </c>
      <c r="F381" s="274">
        <v>42921</v>
      </c>
      <c r="G381" s="15">
        <v>818.4</v>
      </c>
      <c r="H381" s="15">
        <f>Tabla1[[#This Row],[Importe]]-Tabla1[[#This Row],[Pagado]]</f>
        <v>0</v>
      </c>
      <c r="I381" s="275" t="s">
        <v>15214</v>
      </c>
    </row>
    <row r="382" spans="1:9" ht="15.75" x14ac:dyDescent="0.25">
      <c r="A382" s="16">
        <v>42920</v>
      </c>
      <c r="B382" s="273" t="s">
        <v>20212</v>
      </c>
      <c r="C382">
        <v>118536</v>
      </c>
      <c r="D382" s="248" t="s">
        <v>95</v>
      </c>
      <c r="E382" s="15">
        <v>0</v>
      </c>
      <c r="F382" s="274" t="s">
        <v>19846</v>
      </c>
      <c r="G382" s="15">
        <v>0</v>
      </c>
      <c r="H382" s="15">
        <f>Tabla1[[#This Row],[Importe]]-Tabla1[[#This Row],[Pagado]]</f>
        <v>0</v>
      </c>
      <c r="I382" s="275" t="s">
        <v>95</v>
      </c>
    </row>
    <row r="383" spans="1:9" x14ac:dyDescent="0.25">
      <c r="A383" s="16">
        <v>42920</v>
      </c>
      <c r="B383" s="273" t="s">
        <v>20213</v>
      </c>
      <c r="C383">
        <v>118537</v>
      </c>
      <c r="D383" s="236" t="s">
        <v>15448</v>
      </c>
      <c r="E383" s="15">
        <v>38816.1</v>
      </c>
      <c r="F383" s="274">
        <v>42924</v>
      </c>
      <c r="G383" s="15">
        <v>38816.1</v>
      </c>
      <c r="H383" s="15">
        <f>Tabla1[[#This Row],[Importe]]-Tabla1[[#This Row],[Pagado]]</f>
        <v>0</v>
      </c>
      <c r="I383" s="275" t="s">
        <v>15214</v>
      </c>
    </row>
    <row r="384" spans="1:9" x14ac:dyDescent="0.25">
      <c r="A384" s="16">
        <v>42920</v>
      </c>
      <c r="B384" s="273" t="s">
        <v>20214</v>
      </c>
      <c r="C384">
        <v>118538</v>
      </c>
      <c r="D384" s="236" t="s">
        <v>15644</v>
      </c>
      <c r="E384" s="15">
        <v>3661.8</v>
      </c>
      <c r="F384" s="274">
        <v>42920</v>
      </c>
      <c r="G384" s="15">
        <v>3661.8</v>
      </c>
      <c r="H384" s="15">
        <f>Tabla1[[#This Row],[Importe]]-Tabla1[[#This Row],[Pagado]]</f>
        <v>0</v>
      </c>
      <c r="I384" s="275" t="s">
        <v>15214</v>
      </c>
    </row>
    <row r="385" spans="1:9" x14ac:dyDescent="0.25">
      <c r="A385" s="16">
        <v>42920</v>
      </c>
      <c r="B385" s="273" t="s">
        <v>20215</v>
      </c>
      <c r="C385">
        <v>118539</v>
      </c>
      <c r="D385" s="236" t="s">
        <v>19302</v>
      </c>
      <c r="E385" s="15">
        <v>1000</v>
      </c>
      <c r="F385" s="274">
        <v>42920</v>
      </c>
      <c r="G385" s="15">
        <v>1000</v>
      </c>
      <c r="H385" s="15">
        <f>Tabla1[[#This Row],[Importe]]-Tabla1[[#This Row],[Pagado]]</f>
        <v>0</v>
      </c>
      <c r="I385" s="275" t="s">
        <v>15214</v>
      </c>
    </row>
    <row r="386" spans="1:9" x14ac:dyDescent="0.25">
      <c r="A386" s="16">
        <v>42920</v>
      </c>
      <c r="B386" s="273" t="s">
        <v>20216</v>
      </c>
      <c r="C386">
        <v>118540</v>
      </c>
      <c r="D386" s="236" t="s">
        <v>15220</v>
      </c>
      <c r="E386" s="15">
        <v>2500</v>
      </c>
      <c r="F386" s="274">
        <v>42920</v>
      </c>
      <c r="G386" s="15">
        <v>2500</v>
      </c>
      <c r="H386" s="15">
        <f>Tabla1[[#This Row],[Importe]]-Tabla1[[#This Row],[Pagado]]</f>
        <v>0</v>
      </c>
      <c r="I386" s="275" t="s">
        <v>15214</v>
      </c>
    </row>
    <row r="387" spans="1:9" x14ac:dyDescent="0.25">
      <c r="A387" s="16">
        <v>42920</v>
      </c>
      <c r="B387" s="273" t="s">
        <v>20217</v>
      </c>
      <c r="C387">
        <v>118541</v>
      </c>
      <c r="D387" s="236" t="s">
        <v>15324</v>
      </c>
      <c r="E387" s="15">
        <v>2416</v>
      </c>
      <c r="F387" s="274">
        <v>42920</v>
      </c>
      <c r="G387" s="15">
        <v>2416</v>
      </c>
      <c r="H387" s="15">
        <f>Tabla1[[#This Row],[Importe]]-Tabla1[[#This Row],[Pagado]]</f>
        <v>0</v>
      </c>
      <c r="I387" s="275" t="s">
        <v>15214</v>
      </c>
    </row>
    <row r="388" spans="1:9" x14ac:dyDescent="0.25">
      <c r="A388" s="16">
        <v>42920</v>
      </c>
      <c r="B388" s="273" t="s">
        <v>20218</v>
      </c>
      <c r="C388">
        <v>118542</v>
      </c>
      <c r="D388" s="236" t="s">
        <v>15272</v>
      </c>
      <c r="E388" s="15">
        <v>18745.900000000001</v>
      </c>
      <c r="F388" s="274">
        <v>42920</v>
      </c>
      <c r="G388" s="15">
        <v>18745.900000000001</v>
      </c>
      <c r="H388" s="15">
        <f>Tabla1[[#This Row],[Importe]]-Tabla1[[#This Row],[Pagado]]</f>
        <v>0</v>
      </c>
      <c r="I388" s="275" t="s">
        <v>15214</v>
      </c>
    </row>
    <row r="389" spans="1:9" x14ac:dyDescent="0.25">
      <c r="A389" s="16">
        <v>42920</v>
      </c>
      <c r="B389" s="273" t="s">
        <v>20219</v>
      </c>
      <c r="C389">
        <v>118543</v>
      </c>
      <c r="D389" s="236" t="s">
        <v>18544</v>
      </c>
      <c r="E389" s="15">
        <v>6975.4</v>
      </c>
      <c r="F389" s="274">
        <v>42920</v>
      </c>
      <c r="G389" s="15">
        <v>6975.4</v>
      </c>
      <c r="H389" s="15">
        <f>Tabla1[[#This Row],[Importe]]-Tabla1[[#This Row],[Pagado]]</f>
        <v>0</v>
      </c>
      <c r="I389" s="275" t="s">
        <v>15214</v>
      </c>
    </row>
    <row r="390" spans="1:9" x14ac:dyDescent="0.25">
      <c r="A390" s="16">
        <v>42920</v>
      </c>
      <c r="B390" s="273" t="s">
        <v>20220</v>
      </c>
      <c r="C390">
        <v>118544</v>
      </c>
      <c r="D390" s="236" t="s">
        <v>15240</v>
      </c>
      <c r="E390" s="15">
        <v>3577.6</v>
      </c>
      <c r="F390" s="274">
        <v>42924</v>
      </c>
      <c r="G390" s="15">
        <v>3577.6</v>
      </c>
      <c r="H390" s="15">
        <f>Tabla1[[#This Row],[Importe]]-Tabla1[[#This Row],[Pagado]]</f>
        <v>0</v>
      </c>
      <c r="I390" s="275" t="s">
        <v>15214</v>
      </c>
    </row>
    <row r="391" spans="1:9" x14ac:dyDescent="0.25">
      <c r="A391" s="16">
        <v>42920</v>
      </c>
      <c r="B391" s="273" t="s">
        <v>20221</v>
      </c>
      <c r="C391">
        <v>118545</v>
      </c>
      <c r="D391" s="236" t="s">
        <v>15404</v>
      </c>
      <c r="E391" s="15">
        <v>15596</v>
      </c>
      <c r="F391" s="274">
        <v>42920</v>
      </c>
      <c r="G391" s="15">
        <v>15596</v>
      </c>
      <c r="H391" s="15">
        <f>Tabla1[[#This Row],[Importe]]-Tabla1[[#This Row],[Pagado]]</f>
        <v>0</v>
      </c>
      <c r="I391" s="275" t="s">
        <v>15214</v>
      </c>
    </row>
    <row r="392" spans="1:9" x14ac:dyDescent="0.25">
      <c r="A392" s="16">
        <v>42920</v>
      </c>
      <c r="B392" s="273" t="s">
        <v>20222</v>
      </c>
      <c r="C392">
        <v>118546</v>
      </c>
      <c r="D392" s="236" t="s">
        <v>15236</v>
      </c>
      <c r="E392" s="15">
        <v>3452.4</v>
      </c>
      <c r="F392" s="274">
        <v>42922</v>
      </c>
      <c r="G392" s="15">
        <v>3452.4</v>
      </c>
      <c r="H392" s="15">
        <f>Tabla1[[#This Row],[Importe]]-Tabla1[[#This Row],[Pagado]]</f>
        <v>0</v>
      </c>
      <c r="I392" s="275" t="s">
        <v>15214</v>
      </c>
    </row>
    <row r="393" spans="1:9" x14ac:dyDescent="0.25">
      <c r="A393" s="16">
        <v>42920</v>
      </c>
      <c r="B393" s="273" t="s">
        <v>20223</v>
      </c>
      <c r="C393">
        <v>118547</v>
      </c>
      <c r="D393" s="236" t="s">
        <v>15258</v>
      </c>
      <c r="E393" s="15">
        <v>10819.2</v>
      </c>
      <c r="F393" s="274">
        <v>42924</v>
      </c>
      <c r="G393" s="15">
        <v>10819.2</v>
      </c>
      <c r="H393" s="15">
        <f>Tabla1[[#This Row],[Importe]]-Tabla1[[#This Row],[Pagado]]</f>
        <v>0</v>
      </c>
      <c r="I393" s="275" t="s">
        <v>15214</v>
      </c>
    </row>
    <row r="394" spans="1:9" x14ac:dyDescent="0.25">
      <c r="A394" s="16">
        <v>42920</v>
      </c>
      <c r="B394" s="273" t="s">
        <v>20224</v>
      </c>
      <c r="C394">
        <v>118548</v>
      </c>
      <c r="D394" s="236" t="s">
        <v>15232</v>
      </c>
      <c r="E394" s="15">
        <v>6661.2</v>
      </c>
      <c r="F394" s="274">
        <v>42929</v>
      </c>
      <c r="G394" s="15">
        <v>6661.2</v>
      </c>
      <c r="H394" s="15">
        <f>Tabla1[[#This Row],[Importe]]-Tabla1[[#This Row],[Pagado]]</f>
        <v>0</v>
      </c>
      <c r="I394" s="275" t="s">
        <v>15214</v>
      </c>
    </row>
    <row r="395" spans="1:9" x14ac:dyDescent="0.25">
      <c r="A395" s="16">
        <v>42920</v>
      </c>
      <c r="B395" s="273" t="s">
        <v>20225</v>
      </c>
      <c r="C395">
        <v>118549</v>
      </c>
      <c r="D395" s="236" t="s">
        <v>15263</v>
      </c>
      <c r="E395" s="15">
        <v>3367.2</v>
      </c>
      <c r="F395" s="274">
        <v>42920</v>
      </c>
      <c r="G395" s="15">
        <v>3367.2</v>
      </c>
      <c r="H395" s="15">
        <f>Tabla1[[#This Row],[Importe]]-Tabla1[[#This Row],[Pagado]]</f>
        <v>0</v>
      </c>
      <c r="I395" s="275" t="s">
        <v>15214</v>
      </c>
    </row>
    <row r="396" spans="1:9" x14ac:dyDescent="0.25">
      <c r="A396" s="16">
        <v>42920</v>
      </c>
      <c r="B396" s="273" t="s">
        <v>20226</v>
      </c>
      <c r="C396">
        <v>118550</v>
      </c>
      <c r="D396" s="236" t="s">
        <v>15348</v>
      </c>
      <c r="E396" s="15">
        <v>438.6</v>
      </c>
      <c r="F396" s="274">
        <v>42920</v>
      </c>
      <c r="G396" s="15">
        <v>438.6</v>
      </c>
      <c r="H396" s="15">
        <f>Tabla1[[#This Row],[Importe]]-Tabla1[[#This Row],[Pagado]]</f>
        <v>0</v>
      </c>
      <c r="I396" s="275" t="s">
        <v>15214</v>
      </c>
    </row>
    <row r="397" spans="1:9" x14ac:dyDescent="0.25">
      <c r="A397" s="16">
        <v>42920</v>
      </c>
      <c r="B397" s="273" t="s">
        <v>20227</v>
      </c>
      <c r="C397">
        <v>118551</v>
      </c>
      <c r="D397" s="236" t="s">
        <v>15348</v>
      </c>
      <c r="E397" s="15">
        <v>129.6</v>
      </c>
      <c r="F397" s="274">
        <v>42920</v>
      </c>
      <c r="G397" s="15">
        <v>129.6</v>
      </c>
      <c r="H397" s="15">
        <f>Tabla1[[#This Row],[Importe]]-Tabla1[[#This Row],[Pagado]]</f>
        <v>0</v>
      </c>
      <c r="I397" s="275" t="s">
        <v>15214</v>
      </c>
    </row>
    <row r="398" spans="1:9" x14ac:dyDescent="0.25">
      <c r="A398" s="16">
        <v>42920</v>
      </c>
      <c r="B398" s="273" t="s">
        <v>20228</v>
      </c>
      <c r="C398">
        <v>118552</v>
      </c>
      <c r="D398" s="236" t="s">
        <v>15228</v>
      </c>
      <c r="E398" s="15">
        <v>4810.8</v>
      </c>
      <c r="F398" s="274">
        <v>42920</v>
      </c>
      <c r="G398" s="15">
        <v>4810.8</v>
      </c>
      <c r="H398" s="15">
        <f>Tabla1[[#This Row],[Importe]]-Tabla1[[#This Row],[Pagado]]</f>
        <v>0</v>
      </c>
      <c r="I398" s="275" t="s">
        <v>15214</v>
      </c>
    </row>
    <row r="399" spans="1:9" x14ac:dyDescent="0.25">
      <c r="A399" s="16">
        <v>42920</v>
      </c>
      <c r="B399" s="273" t="s">
        <v>20229</v>
      </c>
      <c r="C399">
        <v>118553</v>
      </c>
      <c r="D399" s="236" t="s">
        <v>5880</v>
      </c>
      <c r="E399" s="15">
        <v>34530.400000000001</v>
      </c>
      <c r="F399" s="274">
        <v>42920</v>
      </c>
      <c r="G399" s="15">
        <v>34530.400000000001</v>
      </c>
      <c r="H399" s="15">
        <f>Tabla1[[#This Row],[Importe]]-Tabla1[[#This Row],[Pagado]]</f>
        <v>0</v>
      </c>
      <c r="I399" s="275" t="s">
        <v>15214</v>
      </c>
    </row>
    <row r="400" spans="1:9" x14ac:dyDescent="0.25">
      <c r="A400" s="16">
        <v>42920</v>
      </c>
      <c r="B400" s="273" t="s">
        <v>20230</v>
      </c>
      <c r="C400">
        <v>118554</v>
      </c>
      <c r="D400" s="236" t="s">
        <v>15442</v>
      </c>
      <c r="E400" s="15">
        <v>10131.299999999999</v>
      </c>
      <c r="F400" s="274">
        <v>42927</v>
      </c>
      <c r="G400" s="15">
        <v>10131.299999999999</v>
      </c>
      <c r="H400" s="15">
        <f>Tabla1[[#This Row],[Importe]]-Tabla1[[#This Row],[Pagado]]</f>
        <v>0</v>
      </c>
      <c r="I400" s="275" t="s">
        <v>15214</v>
      </c>
    </row>
    <row r="401" spans="1:9" x14ac:dyDescent="0.25">
      <c r="A401" s="16">
        <v>42920</v>
      </c>
      <c r="B401" s="273" t="s">
        <v>20231</v>
      </c>
      <c r="C401">
        <v>118555</v>
      </c>
      <c r="D401" s="236" t="s">
        <v>15234</v>
      </c>
      <c r="E401" s="15">
        <v>4048.8</v>
      </c>
      <c r="F401" s="274">
        <v>42924</v>
      </c>
      <c r="G401" s="15">
        <v>4048.8</v>
      </c>
      <c r="H401" s="15">
        <f>Tabla1[[#This Row],[Importe]]-Tabla1[[#This Row],[Pagado]]</f>
        <v>0</v>
      </c>
      <c r="I401" s="275" t="s">
        <v>15214</v>
      </c>
    </row>
    <row r="402" spans="1:9" x14ac:dyDescent="0.25">
      <c r="A402" s="16">
        <v>42920</v>
      </c>
      <c r="B402" s="273" t="s">
        <v>20232</v>
      </c>
      <c r="C402">
        <v>118556</v>
      </c>
      <c r="D402" s="236" t="s">
        <v>17462</v>
      </c>
      <c r="E402" s="15">
        <v>6923.6</v>
      </c>
      <c r="F402" s="274">
        <v>42920</v>
      </c>
      <c r="G402" s="15">
        <v>6923.6</v>
      </c>
      <c r="H402" s="15">
        <f>Tabla1[[#This Row],[Importe]]-Tabla1[[#This Row],[Pagado]]</f>
        <v>0</v>
      </c>
      <c r="I402" s="275" t="s">
        <v>15214</v>
      </c>
    </row>
    <row r="403" spans="1:9" x14ac:dyDescent="0.25">
      <c r="A403" s="16">
        <v>42920</v>
      </c>
      <c r="B403" s="273" t="s">
        <v>20233</v>
      </c>
      <c r="C403">
        <v>118557</v>
      </c>
      <c r="D403" s="236" t="s">
        <v>15480</v>
      </c>
      <c r="E403" s="15">
        <v>4276.2</v>
      </c>
      <c r="F403" s="274">
        <v>42921</v>
      </c>
      <c r="G403" s="15">
        <v>4276.2</v>
      </c>
      <c r="H403" s="15">
        <f>Tabla1[[#This Row],[Importe]]-Tabla1[[#This Row],[Pagado]]</f>
        <v>0</v>
      </c>
      <c r="I403" s="275" t="s">
        <v>15214</v>
      </c>
    </row>
    <row r="404" spans="1:9" x14ac:dyDescent="0.25">
      <c r="A404" s="16">
        <v>42920</v>
      </c>
      <c r="B404" s="273" t="s">
        <v>20234</v>
      </c>
      <c r="C404">
        <v>118558</v>
      </c>
      <c r="D404" s="236" t="s">
        <v>15668</v>
      </c>
      <c r="E404" s="15">
        <v>23343.599999999999</v>
      </c>
      <c r="F404" s="274">
        <v>42921</v>
      </c>
      <c r="G404" s="15">
        <v>23343.599999999999</v>
      </c>
      <c r="H404" s="15">
        <f>Tabla1[[#This Row],[Importe]]-Tabla1[[#This Row],[Pagado]]</f>
        <v>0</v>
      </c>
      <c r="I404" s="275" t="s">
        <v>15214</v>
      </c>
    </row>
    <row r="405" spans="1:9" ht="30" x14ac:dyDescent="0.25">
      <c r="A405" s="16">
        <v>42920</v>
      </c>
      <c r="B405" s="273" t="s">
        <v>20235</v>
      </c>
      <c r="C405">
        <v>118559</v>
      </c>
      <c r="D405" s="236" t="s">
        <v>5575</v>
      </c>
      <c r="E405" s="15">
        <v>4537.6000000000004</v>
      </c>
      <c r="F405" s="274" t="s">
        <v>20236</v>
      </c>
      <c r="G405" s="241">
        <f>1500+3037.6</f>
        <v>4537.6000000000004</v>
      </c>
      <c r="H405" s="241">
        <f>Tabla1[[#This Row],[Importe]]-Tabla1[[#This Row],[Pagado]]</f>
        <v>0</v>
      </c>
      <c r="I405" s="275" t="s">
        <v>15214</v>
      </c>
    </row>
    <row r="406" spans="1:9" ht="30" x14ac:dyDescent="0.25">
      <c r="A406" s="16">
        <v>42920</v>
      </c>
      <c r="B406" s="273" t="s">
        <v>20237</v>
      </c>
      <c r="C406">
        <v>118560</v>
      </c>
      <c r="D406" s="236" t="s">
        <v>15256</v>
      </c>
      <c r="E406" s="15">
        <v>6560</v>
      </c>
      <c r="F406" s="274" t="s">
        <v>20071</v>
      </c>
      <c r="G406" s="241">
        <f>4200+2360</f>
        <v>6560</v>
      </c>
      <c r="H406" s="241">
        <f>Tabla1[[#This Row],[Importe]]-Tabla1[[#This Row],[Pagado]]</f>
        <v>0</v>
      </c>
      <c r="I406" s="275" t="s">
        <v>15214</v>
      </c>
    </row>
    <row r="407" spans="1:9" x14ac:dyDescent="0.25">
      <c r="A407" s="16">
        <v>42920</v>
      </c>
      <c r="B407" s="273" t="s">
        <v>20238</v>
      </c>
      <c r="C407">
        <v>118561</v>
      </c>
      <c r="D407" s="236" t="s">
        <v>15252</v>
      </c>
      <c r="E407" s="15">
        <v>4052.2</v>
      </c>
      <c r="F407" s="274">
        <v>42924</v>
      </c>
      <c r="G407" s="15">
        <v>4052.2</v>
      </c>
      <c r="H407" s="15">
        <f>Tabla1[[#This Row],[Importe]]-Tabla1[[#This Row],[Pagado]]</f>
        <v>0</v>
      </c>
      <c r="I407" s="275" t="s">
        <v>15214</v>
      </c>
    </row>
    <row r="408" spans="1:9" x14ac:dyDescent="0.25">
      <c r="A408" s="16">
        <v>42920</v>
      </c>
      <c r="B408" s="273" t="s">
        <v>20239</v>
      </c>
      <c r="C408">
        <v>118562</v>
      </c>
      <c r="D408" s="236" t="s">
        <v>15230</v>
      </c>
      <c r="E408" s="15">
        <v>10374</v>
      </c>
      <c r="F408" s="274">
        <v>42922</v>
      </c>
      <c r="G408" s="15">
        <v>10374</v>
      </c>
      <c r="H408" s="15">
        <f>Tabla1[[#This Row],[Importe]]-Tabla1[[#This Row],[Pagado]]</f>
        <v>0</v>
      </c>
      <c r="I408" s="275" t="s">
        <v>15214</v>
      </c>
    </row>
    <row r="409" spans="1:9" ht="45" x14ac:dyDescent="0.25">
      <c r="A409" s="16">
        <v>42920</v>
      </c>
      <c r="B409" s="273" t="s">
        <v>20240</v>
      </c>
      <c r="C409">
        <v>118563</v>
      </c>
      <c r="D409" s="236" t="s">
        <v>15223</v>
      </c>
      <c r="E409" s="15">
        <v>53271</v>
      </c>
      <c r="F409" s="274" t="s">
        <v>23771</v>
      </c>
      <c r="G409" s="241">
        <f>31457.95+13572+8241.05</f>
        <v>53271</v>
      </c>
      <c r="H409" s="241">
        <f>Tabla1[[#This Row],[Importe]]-Tabla1[[#This Row],[Pagado]]</f>
        <v>0</v>
      </c>
      <c r="I409" s="275" t="s">
        <v>15214</v>
      </c>
    </row>
    <row r="410" spans="1:9" x14ac:dyDescent="0.25">
      <c r="A410" s="16">
        <v>42920</v>
      </c>
      <c r="B410" s="273" t="s">
        <v>20241</v>
      </c>
      <c r="C410">
        <v>118564</v>
      </c>
      <c r="D410" s="236" t="s">
        <v>15338</v>
      </c>
      <c r="E410" s="15">
        <v>10246.700000000001</v>
      </c>
      <c r="F410" s="274">
        <v>42922</v>
      </c>
      <c r="G410" s="15">
        <v>10246.700000000001</v>
      </c>
      <c r="H410" s="15">
        <f>Tabla1[[#This Row],[Importe]]-Tabla1[[#This Row],[Pagado]]</f>
        <v>0</v>
      </c>
      <c r="I410" s="275" t="s">
        <v>15214</v>
      </c>
    </row>
    <row r="411" spans="1:9" x14ac:dyDescent="0.25">
      <c r="A411" s="16">
        <v>42920</v>
      </c>
      <c r="B411" s="273" t="s">
        <v>20242</v>
      </c>
      <c r="C411">
        <v>118565</v>
      </c>
      <c r="D411" s="236" t="s">
        <v>15315</v>
      </c>
      <c r="E411" s="15">
        <v>843.6</v>
      </c>
      <c r="F411" s="274">
        <v>42920</v>
      </c>
      <c r="G411" s="15">
        <v>843.6</v>
      </c>
      <c r="H411" s="15">
        <f>Tabla1[[#This Row],[Importe]]-Tabla1[[#This Row],[Pagado]]</f>
        <v>0</v>
      </c>
      <c r="I411" s="275" t="s">
        <v>15214</v>
      </c>
    </row>
    <row r="412" spans="1:9" x14ac:dyDescent="0.25">
      <c r="A412" s="16">
        <v>42920</v>
      </c>
      <c r="B412" s="273" t="s">
        <v>20243</v>
      </c>
      <c r="C412">
        <v>118566</v>
      </c>
      <c r="D412" s="236" t="s">
        <v>19461</v>
      </c>
      <c r="E412" s="15">
        <v>1779.9</v>
      </c>
      <c r="F412" s="274">
        <v>42920</v>
      </c>
      <c r="G412" s="15">
        <v>1779.9</v>
      </c>
      <c r="H412" s="15">
        <f>Tabla1[[#This Row],[Importe]]-Tabla1[[#This Row],[Pagado]]</f>
        <v>0</v>
      </c>
      <c r="I412" s="275" t="s">
        <v>15214</v>
      </c>
    </row>
    <row r="413" spans="1:9" x14ac:dyDescent="0.25">
      <c r="A413" s="16">
        <v>42920</v>
      </c>
      <c r="B413" s="273" t="s">
        <v>20244</v>
      </c>
      <c r="C413">
        <v>118567</v>
      </c>
      <c r="D413" s="236" t="s">
        <v>15244</v>
      </c>
      <c r="E413" s="15">
        <v>2541.6</v>
      </c>
      <c r="F413" s="274">
        <v>42920</v>
      </c>
      <c r="G413" s="15">
        <v>2541.6</v>
      </c>
      <c r="H413" s="15">
        <f>Tabla1[[#This Row],[Importe]]-Tabla1[[#This Row],[Pagado]]</f>
        <v>0</v>
      </c>
      <c r="I413" s="275" t="s">
        <v>15214</v>
      </c>
    </row>
    <row r="414" spans="1:9" x14ac:dyDescent="0.25">
      <c r="A414" s="16">
        <v>42920</v>
      </c>
      <c r="B414" s="273" t="s">
        <v>20245</v>
      </c>
      <c r="C414">
        <v>118568</v>
      </c>
      <c r="D414" s="236" t="s">
        <v>15315</v>
      </c>
      <c r="E414" s="15">
        <v>2890.7</v>
      </c>
      <c r="F414" s="274">
        <v>42920</v>
      </c>
      <c r="G414" s="15">
        <v>2890.7</v>
      </c>
      <c r="H414" s="15">
        <f>Tabla1[[#This Row],[Importe]]-Tabla1[[#This Row],[Pagado]]</f>
        <v>0</v>
      </c>
      <c r="I414" s="275" t="s">
        <v>15214</v>
      </c>
    </row>
    <row r="415" spans="1:9" x14ac:dyDescent="0.25">
      <c r="A415" s="16">
        <v>42920</v>
      </c>
      <c r="B415" s="273" t="s">
        <v>20246</v>
      </c>
      <c r="C415">
        <v>118569</v>
      </c>
      <c r="D415" s="236" t="s">
        <v>15284</v>
      </c>
      <c r="E415" s="15">
        <v>2014</v>
      </c>
      <c r="F415" s="274">
        <v>42920</v>
      </c>
      <c r="G415" s="15">
        <v>2014</v>
      </c>
      <c r="H415" s="15">
        <f>Tabla1[[#This Row],[Importe]]-Tabla1[[#This Row],[Pagado]]</f>
        <v>0</v>
      </c>
      <c r="I415" s="275" t="s">
        <v>15214</v>
      </c>
    </row>
    <row r="416" spans="1:9" x14ac:dyDescent="0.25">
      <c r="A416" s="16">
        <v>42920</v>
      </c>
      <c r="B416" s="273" t="s">
        <v>20247</v>
      </c>
      <c r="C416">
        <v>118570</v>
      </c>
      <c r="D416" s="236" t="s">
        <v>15315</v>
      </c>
      <c r="E416" s="15">
        <v>2136.9</v>
      </c>
      <c r="F416" s="274">
        <v>42920</v>
      </c>
      <c r="G416" s="15">
        <v>2136.9</v>
      </c>
      <c r="H416" s="15">
        <f>Tabla1[[#This Row],[Importe]]-Tabla1[[#This Row],[Pagado]]</f>
        <v>0</v>
      </c>
      <c r="I416" s="275" t="s">
        <v>15214</v>
      </c>
    </row>
    <row r="417" spans="1:9" x14ac:dyDescent="0.25">
      <c r="A417" s="16">
        <v>42920</v>
      </c>
      <c r="B417" s="273" t="s">
        <v>20248</v>
      </c>
      <c r="C417">
        <v>118571</v>
      </c>
      <c r="D417" s="236" t="s">
        <v>15242</v>
      </c>
      <c r="E417" s="15">
        <v>8433</v>
      </c>
      <c r="F417" s="274">
        <v>42920</v>
      </c>
      <c r="G417" s="15">
        <v>8433</v>
      </c>
      <c r="H417" s="15">
        <f>Tabla1[[#This Row],[Importe]]-Tabla1[[#This Row],[Pagado]]</f>
        <v>0</v>
      </c>
      <c r="I417" s="275" t="s">
        <v>15214</v>
      </c>
    </row>
    <row r="418" spans="1:9" x14ac:dyDescent="0.25">
      <c r="A418" s="16">
        <v>42920</v>
      </c>
      <c r="B418" s="273" t="s">
        <v>20249</v>
      </c>
      <c r="C418">
        <v>118572</v>
      </c>
      <c r="D418" s="236" t="s">
        <v>15858</v>
      </c>
      <c r="E418" s="15">
        <v>2233.6799999999998</v>
      </c>
      <c r="F418" s="274">
        <v>42920</v>
      </c>
      <c r="G418" s="15">
        <v>2233.6799999999998</v>
      </c>
      <c r="H418" s="15">
        <f>Tabla1[[#This Row],[Importe]]-Tabla1[[#This Row],[Pagado]]</f>
        <v>0</v>
      </c>
      <c r="I418" s="275" t="s">
        <v>15214</v>
      </c>
    </row>
    <row r="419" spans="1:9" x14ac:dyDescent="0.25">
      <c r="A419" s="16">
        <v>42920</v>
      </c>
      <c r="B419" s="273" t="s">
        <v>20250</v>
      </c>
      <c r="C419">
        <v>118573</v>
      </c>
      <c r="D419" s="236" t="s">
        <v>15358</v>
      </c>
      <c r="E419" s="15">
        <v>980</v>
      </c>
      <c r="F419" s="274">
        <v>42920</v>
      </c>
      <c r="G419" s="15">
        <v>980</v>
      </c>
      <c r="H419" s="15">
        <f>Tabla1[[#This Row],[Importe]]-Tabla1[[#This Row],[Pagado]]</f>
        <v>0</v>
      </c>
      <c r="I419" s="275" t="s">
        <v>15214</v>
      </c>
    </row>
    <row r="420" spans="1:9" ht="15.75" x14ac:dyDescent="0.25">
      <c r="A420" s="16">
        <v>42920</v>
      </c>
      <c r="B420" s="273" t="s">
        <v>20251</v>
      </c>
      <c r="C420">
        <v>118574</v>
      </c>
      <c r="D420" s="248" t="s">
        <v>95</v>
      </c>
      <c r="E420" s="15">
        <v>0</v>
      </c>
      <c r="F420" s="274" t="s">
        <v>19846</v>
      </c>
      <c r="G420" s="15">
        <v>0</v>
      </c>
      <c r="H420" s="15">
        <f>Tabla1[[#This Row],[Importe]]-Tabla1[[#This Row],[Pagado]]</f>
        <v>0</v>
      </c>
      <c r="I420" s="275" t="s">
        <v>95</v>
      </c>
    </row>
    <row r="421" spans="1:9" x14ac:dyDescent="0.25">
      <c r="A421" s="16">
        <v>42920</v>
      </c>
      <c r="B421" s="273" t="s">
        <v>20252</v>
      </c>
      <c r="C421">
        <v>118575</v>
      </c>
      <c r="D421" s="236" t="s">
        <v>15742</v>
      </c>
      <c r="E421" s="15">
        <v>1902.3</v>
      </c>
      <c r="F421" s="274">
        <v>42920</v>
      </c>
      <c r="G421" s="15">
        <v>1902.3</v>
      </c>
      <c r="H421" s="15">
        <f>Tabla1[[#This Row],[Importe]]-Tabla1[[#This Row],[Pagado]]</f>
        <v>0</v>
      </c>
      <c r="I421" s="275" t="s">
        <v>15214</v>
      </c>
    </row>
    <row r="422" spans="1:9" x14ac:dyDescent="0.25">
      <c r="A422" s="16">
        <v>42920</v>
      </c>
      <c r="B422" s="273" t="s">
        <v>20253</v>
      </c>
      <c r="C422">
        <v>118576</v>
      </c>
      <c r="D422" s="236" t="s">
        <v>15226</v>
      </c>
      <c r="E422" s="15">
        <v>1912.5</v>
      </c>
      <c r="F422" s="274">
        <v>42922</v>
      </c>
      <c r="G422" s="15">
        <v>1912.5</v>
      </c>
      <c r="H422" s="15">
        <f>Tabla1[[#This Row],[Importe]]-Tabla1[[#This Row],[Pagado]]</f>
        <v>0</v>
      </c>
      <c r="I422" s="275" t="s">
        <v>15214</v>
      </c>
    </row>
    <row r="423" spans="1:9" x14ac:dyDescent="0.25">
      <c r="A423" s="16">
        <v>42920</v>
      </c>
      <c r="B423" s="273" t="s">
        <v>20254</v>
      </c>
      <c r="C423">
        <v>118577</v>
      </c>
      <c r="D423" s="236" t="s">
        <v>17430</v>
      </c>
      <c r="E423" s="15">
        <v>1942.2</v>
      </c>
      <c r="F423" s="274">
        <v>42920</v>
      </c>
      <c r="G423" s="15">
        <v>1942.2</v>
      </c>
      <c r="H423" s="15">
        <f>Tabla1[[#This Row],[Importe]]-Tabla1[[#This Row],[Pagado]]</f>
        <v>0</v>
      </c>
      <c r="I423" s="275" t="s">
        <v>15214</v>
      </c>
    </row>
    <row r="424" spans="1:9" x14ac:dyDescent="0.25">
      <c r="A424" s="16">
        <v>42920</v>
      </c>
      <c r="B424" s="273" t="s">
        <v>20255</v>
      </c>
      <c r="C424">
        <v>118578</v>
      </c>
      <c r="D424" s="236" t="s">
        <v>15334</v>
      </c>
      <c r="E424" s="15">
        <v>1370</v>
      </c>
      <c r="F424" s="274">
        <v>42920</v>
      </c>
      <c r="G424" s="15">
        <v>1370</v>
      </c>
      <c r="H424" s="15">
        <f>Tabla1[[#This Row],[Importe]]-Tabla1[[#This Row],[Pagado]]</f>
        <v>0</v>
      </c>
      <c r="I424" s="275" t="s">
        <v>15214</v>
      </c>
    </row>
    <row r="425" spans="1:9" x14ac:dyDescent="0.25">
      <c r="A425" s="16">
        <v>42920</v>
      </c>
      <c r="B425" s="273" t="s">
        <v>20256</v>
      </c>
      <c r="C425">
        <v>118579</v>
      </c>
      <c r="D425" s="236" t="s">
        <v>15350</v>
      </c>
      <c r="E425" s="15">
        <v>1000</v>
      </c>
      <c r="F425" s="274">
        <v>42920</v>
      </c>
      <c r="G425" s="15">
        <v>1000</v>
      </c>
      <c r="H425" s="15">
        <f>Tabla1[[#This Row],[Importe]]-Tabla1[[#This Row],[Pagado]]</f>
        <v>0</v>
      </c>
      <c r="I425" s="275" t="s">
        <v>15214</v>
      </c>
    </row>
    <row r="426" spans="1:9" x14ac:dyDescent="0.25">
      <c r="A426" s="16">
        <v>42920</v>
      </c>
      <c r="B426" s="273" t="s">
        <v>20257</v>
      </c>
      <c r="C426">
        <v>118580</v>
      </c>
      <c r="D426" s="236" t="s">
        <v>15332</v>
      </c>
      <c r="E426" s="15">
        <v>136.80000000000001</v>
      </c>
      <c r="F426" s="274">
        <v>42920</v>
      </c>
      <c r="G426" s="15">
        <v>136.80000000000001</v>
      </c>
      <c r="H426" s="15">
        <f>Tabla1[[#This Row],[Importe]]-Tabla1[[#This Row],[Pagado]]</f>
        <v>0</v>
      </c>
      <c r="I426" s="275" t="s">
        <v>15214</v>
      </c>
    </row>
    <row r="427" spans="1:9" x14ac:dyDescent="0.25">
      <c r="A427" s="16">
        <v>42920</v>
      </c>
      <c r="B427" s="273" t="s">
        <v>20258</v>
      </c>
      <c r="C427">
        <v>118581</v>
      </c>
      <c r="D427" s="236" t="s">
        <v>15344</v>
      </c>
      <c r="E427" s="15">
        <v>2386.8000000000002</v>
      </c>
      <c r="F427" s="274">
        <v>42920</v>
      </c>
      <c r="G427" s="15">
        <v>2386.8000000000002</v>
      </c>
      <c r="H427" s="15">
        <f>Tabla1[[#This Row],[Importe]]-Tabla1[[#This Row],[Pagado]]</f>
        <v>0</v>
      </c>
      <c r="I427" s="275" t="s">
        <v>15214</v>
      </c>
    </row>
    <row r="428" spans="1:9" x14ac:dyDescent="0.25">
      <c r="A428" s="16">
        <v>42920</v>
      </c>
      <c r="B428" s="273" t="s">
        <v>20259</v>
      </c>
      <c r="C428">
        <v>118582</v>
      </c>
      <c r="D428" s="236" t="s">
        <v>15358</v>
      </c>
      <c r="E428" s="15">
        <v>1935.5</v>
      </c>
      <c r="F428" s="274">
        <v>42920</v>
      </c>
      <c r="G428" s="15">
        <v>1935.5</v>
      </c>
      <c r="H428" s="15">
        <f>Tabla1[[#This Row],[Importe]]-Tabla1[[#This Row],[Pagado]]</f>
        <v>0</v>
      </c>
      <c r="I428" s="275" t="s">
        <v>15214</v>
      </c>
    </row>
    <row r="429" spans="1:9" x14ac:dyDescent="0.25">
      <c r="A429" s="16">
        <v>42920</v>
      </c>
      <c r="B429" s="273" t="s">
        <v>20260</v>
      </c>
      <c r="C429">
        <v>118583</v>
      </c>
      <c r="D429" s="236" t="s">
        <v>15526</v>
      </c>
      <c r="E429" s="15">
        <v>4758</v>
      </c>
      <c r="F429" s="274">
        <v>42920</v>
      </c>
      <c r="G429" s="15">
        <v>4758</v>
      </c>
      <c r="H429" s="15">
        <f>Tabla1[[#This Row],[Importe]]-Tabla1[[#This Row],[Pagado]]</f>
        <v>0</v>
      </c>
      <c r="I429" s="275" t="s">
        <v>15214</v>
      </c>
    </row>
    <row r="430" spans="1:9" x14ac:dyDescent="0.25">
      <c r="A430" s="16">
        <v>42920</v>
      </c>
      <c r="B430" s="273" t="s">
        <v>20261</v>
      </c>
      <c r="C430">
        <v>118584</v>
      </c>
      <c r="D430" s="236" t="s">
        <v>15280</v>
      </c>
      <c r="E430" s="15">
        <v>6002.5</v>
      </c>
      <c r="F430" s="274">
        <v>42920</v>
      </c>
      <c r="G430" s="15">
        <v>6002.5</v>
      </c>
      <c r="H430" s="15">
        <f>Tabla1[[#This Row],[Importe]]-Tabla1[[#This Row],[Pagado]]</f>
        <v>0</v>
      </c>
      <c r="I430" s="275" t="s">
        <v>15214</v>
      </c>
    </row>
    <row r="431" spans="1:9" x14ac:dyDescent="0.25">
      <c r="A431" s="16">
        <v>42920</v>
      </c>
      <c r="B431" s="273" t="s">
        <v>20262</v>
      </c>
      <c r="C431">
        <v>118585</v>
      </c>
      <c r="D431" s="236" t="s">
        <v>15289</v>
      </c>
      <c r="E431" s="15">
        <v>948.4</v>
      </c>
      <c r="F431" s="274">
        <v>42920</v>
      </c>
      <c r="G431" s="15">
        <v>948.4</v>
      </c>
      <c r="H431" s="15">
        <f>Tabla1[[#This Row],[Importe]]-Tabla1[[#This Row],[Pagado]]</f>
        <v>0</v>
      </c>
      <c r="I431" s="275" t="s">
        <v>15214</v>
      </c>
    </row>
    <row r="432" spans="1:9" x14ac:dyDescent="0.25">
      <c r="A432" s="16">
        <v>42920</v>
      </c>
      <c r="B432" s="273" t="s">
        <v>20263</v>
      </c>
      <c r="C432">
        <v>118586</v>
      </c>
      <c r="D432" s="236" t="s">
        <v>15530</v>
      </c>
      <c r="E432" s="15">
        <v>2021.6</v>
      </c>
      <c r="F432" s="274">
        <v>42920</v>
      </c>
      <c r="G432" s="15">
        <v>2021.6</v>
      </c>
      <c r="H432" s="15">
        <f>Tabla1[[#This Row],[Importe]]-Tabla1[[#This Row],[Pagado]]</f>
        <v>0</v>
      </c>
      <c r="I432" s="275" t="s">
        <v>15214</v>
      </c>
    </row>
    <row r="433" spans="1:9" x14ac:dyDescent="0.25">
      <c r="A433" s="16">
        <v>42920</v>
      </c>
      <c r="B433" s="273" t="s">
        <v>20264</v>
      </c>
      <c r="C433">
        <v>118587</v>
      </c>
      <c r="D433" s="236" t="s">
        <v>15378</v>
      </c>
      <c r="E433" s="15">
        <v>1255</v>
      </c>
      <c r="F433" s="274">
        <v>42920</v>
      </c>
      <c r="G433" s="15">
        <v>1255</v>
      </c>
      <c r="H433" s="15">
        <f>Tabla1[[#This Row],[Importe]]-Tabla1[[#This Row],[Pagado]]</f>
        <v>0</v>
      </c>
      <c r="I433" s="275" t="s">
        <v>15214</v>
      </c>
    </row>
    <row r="434" spans="1:9" x14ac:dyDescent="0.25">
      <c r="A434" s="16">
        <v>42920</v>
      </c>
      <c r="B434" s="273" t="s">
        <v>20265</v>
      </c>
      <c r="C434">
        <v>118588</v>
      </c>
      <c r="D434" s="236" t="s">
        <v>15298</v>
      </c>
      <c r="E434" s="15">
        <v>1440</v>
      </c>
      <c r="F434" s="274">
        <v>42920</v>
      </c>
      <c r="G434" s="15">
        <v>1440</v>
      </c>
      <c r="H434" s="15">
        <f>Tabla1[[#This Row],[Importe]]-Tabla1[[#This Row],[Pagado]]</f>
        <v>0</v>
      </c>
      <c r="I434" s="275" t="s">
        <v>15214</v>
      </c>
    </row>
    <row r="435" spans="1:9" x14ac:dyDescent="0.25">
      <c r="A435" s="16">
        <v>42920</v>
      </c>
      <c r="B435" s="273" t="s">
        <v>20266</v>
      </c>
      <c r="C435">
        <v>118589</v>
      </c>
      <c r="D435" s="236" t="s">
        <v>15242</v>
      </c>
      <c r="E435" s="15">
        <v>8514</v>
      </c>
      <c r="F435" s="274">
        <v>42920</v>
      </c>
      <c r="G435" s="15">
        <v>8514</v>
      </c>
      <c r="H435" s="15">
        <f>Tabla1[[#This Row],[Importe]]-Tabla1[[#This Row],[Pagado]]</f>
        <v>0</v>
      </c>
      <c r="I435" s="275" t="s">
        <v>15214</v>
      </c>
    </row>
    <row r="436" spans="1:9" x14ac:dyDescent="0.25">
      <c r="A436" s="16">
        <v>42920</v>
      </c>
      <c r="B436" s="273" t="s">
        <v>20267</v>
      </c>
      <c r="C436">
        <v>118590</v>
      </c>
      <c r="D436" s="236" t="s">
        <v>15315</v>
      </c>
      <c r="E436" s="15">
        <v>104.4</v>
      </c>
      <c r="F436" s="274">
        <v>42920</v>
      </c>
      <c r="G436" s="15">
        <v>104.4</v>
      </c>
      <c r="H436" s="15">
        <f>Tabla1[[#This Row],[Importe]]-Tabla1[[#This Row],[Pagado]]</f>
        <v>0</v>
      </c>
      <c r="I436" s="275" t="s">
        <v>15214</v>
      </c>
    </row>
    <row r="437" spans="1:9" x14ac:dyDescent="0.25">
      <c r="A437" s="16">
        <v>42920</v>
      </c>
      <c r="B437" s="273" t="s">
        <v>20268</v>
      </c>
      <c r="C437">
        <v>118591</v>
      </c>
      <c r="D437" s="236" t="s">
        <v>15376</v>
      </c>
      <c r="E437" s="15">
        <v>10739.2</v>
      </c>
      <c r="F437" s="274">
        <v>42920</v>
      </c>
      <c r="G437" s="15">
        <v>10739.2</v>
      </c>
      <c r="H437" s="15">
        <f>Tabla1[[#This Row],[Importe]]-Tabla1[[#This Row],[Pagado]]</f>
        <v>0</v>
      </c>
      <c r="I437" s="275" t="s">
        <v>15214</v>
      </c>
    </row>
    <row r="438" spans="1:9" x14ac:dyDescent="0.25">
      <c r="A438" s="16">
        <v>42920</v>
      </c>
      <c r="B438" s="273" t="s">
        <v>20269</v>
      </c>
      <c r="C438">
        <v>118592</v>
      </c>
      <c r="D438" s="236" t="s">
        <v>15363</v>
      </c>
      <c r="E438" s="15">
        <v>1476</v>
      </c>
      <c r="F438" s="274">
        <v>42920</v>
      </c>
      <c r="G438" s="15">
        <v>1476</v>
      </c>
      <c r="H438" s="15">
        <f>Tabla1[[#This Row],[Importe]]-Tabla1[[#This Row],[Pagado]]</f>
        <v>0</v>
      </c>
      <c r="I438" s="275" t="s">
        <v>15214</v>
      </c>
    </row>
    <row r="439" spans="1:9" x14ac:dyDescent="0.25">
      <c r="A439" s="16">
        <v>42920</v>
      </c>
      <c r="B439" s="273" t="s">
        <v>20270</v>
      </c>
      <c r="C439">
        <v>118593</v>
      </c>
      <c r="D439" s="236" t="s">
        <v>15376</v>
      </c>
      <c r="E439" s="15">
        <v>6323.2</v>
      </c>
      <c r="F439" s="274">
        <v>42920</v>
      </c>
      <c r="G439" s="15">
        <v>6323.2</v>
      </c>
      <c r="H439" s="15">
        <f>Tabla1[[#This Row],[Importe]]-Tabla1[[#This Row],[Pagado]]</f>
        <v>0</v>
      </c>
      <c r="I439" s="275" t="s">
        <v>15214</v>
      </c>
    </row>
    <row r="440" spans="1:9" x14ac:dyDescent="0.25">
      <c r="A440" s="16">
        <v>42920</v>
      </c>
      <c r="B440" s="273" t="s">
        <v>20271</v>
      </c>
      <c r="C440">
        <v>118594</v>
      </c>
      <c r="D440" s="236" t="s">
        <v>15568</v>
      </c>
      <c r="E440" s="15">
        <v>13465.2</v>
      </c>
      <c r="F440" s="274">
        <v>42920</v>
      </c>
      <c r="G440" s="15">
        <v>13465.2</v>
      </c>
      <c r="H440" s="15">
        <f>Tabla1[[#This Row],[Importe]]-Tabla1[[#This Row],[Pagado]]</f>
        <v>0</v>
      </c>
      <c r="I440" s="275" t="s">
        <v>15214</v>
      </c>
    </row>
    <row r="441" spans="1:9" x14ac:dyDescent="0.25">
      <c r="A441" s="16">
        <v>42920</v>
      </c>
      <c r="B441" s="273" t="s">
        <v>20272</v>
      </c>
      <c r="C441">
        <v>118595</v>
      </c>
      <c r="D441" s="236" t="s">
        <v>15391</v>
      </c>
      <c r="E441" s="15">
        <v>9705.2000000000007</v>
      </c>
      <c r="F441" s="274">
        <v>42928</v>
      </c>
      <c r="G441" s="15">
        <v>9705.2000000000007</v>
      </c>
      <c r="H441" s="15">
        <f>Tabla1[[#This Row],[Importe]]-Tabla1[[#This Row],[Pagado]]</f>
        <v>0</v>
      </c>
      <c r="I441" s="275" t="s">
        <v>15214</v>
      </c>
    </row>
    <row r="442" spans="1:9" x14ac:dyDescent="0.25">
      <c r="A442" s="16">
        <v>42920</v>
      </c>
      <c r="B442" s="273" t="s">
        <v>20273</v>
      </c>
      <c r="C442">
        <v>118596</v>
      </c>
      <c r="D442" s="236" t="s">
        <v>15315</v>
      </c>
      <c r="E442" s="15">
        <v>2336.1</v>
      </c>
      <c r="F442" s="274">
        <v>42920</v>
      </c>
      <c r="G442" s="15">
        <v>2336.1</v>
      </c>
      <c r="H442" s="15">
        <f>Tabla1[[#This Row],[Importe]]-Tabla1[[#This Row],[Pagado]]</f>
        <v>0</v>
      </c>
      <c r="I442" s="275" t="s">
        <v>15214</v>
      </c>
    </row>
    <row r="443" spans="1:9" x14ac:dyDescent="0.25">
      <c r="A443" s="16">
        <v>42920</v>
      </c>
      <c r="B443" s="273" t="s">
        <v>20274</v>
      </c>
      <c r="C443">
        <v>118597</v>
      </c>
      <c r="D443" s="236" t="s">
        <v>15748</v>
      </c>
      <c r="E443" s="15">
        <v>1302.2</v>
      </c>
      <c r="F443" s="274">
        <v>42920</v>
      </c>
      <c r="G443" s="15">
        <v>1302.2</v>
      </c>
      <c r="H443" s="15">
        <f>Tabla1[[#This Row],[Importe]]-Tabla1[[#This Row],[Pagado]]</f>
        <v>0</v>
      </c>
      <c r="I443" s="275" t="s">
        <v>15214</v>
      </c>
    </row>
    <row r="444" spans="1:9" x14ac:dyDescent="0.25">
      <c r="A444" s="16">
        <v>42920</v>
      </c>
      <c r="B444" s="273" t="s">
        <v>20275</v>
      </c>
      <c r="C444">
        <v>118598</v>
      </c>
      <c r="D444" s="236" t="s">
        <v>15415</v>
      </c>
      <c r="E444" s="15">
        <v>790</v>
      </c>
      <c r="F444" s="274">
        <v>42926</v>
      </c>
      <c r="G444" s="15">
        <v>790</v>
      </c>
      <c r="H444" s="15">
        <f>Tabla1[[#This Row],[Importe]]-Tabla1[[#This Row],[Pagado]]</f>
        <v>0</v>
      </c>
      <c r="I444" s="275" t="s">
        <v>15214</v>
      </c>
    </row>
    <row r="445" spans="1:9" x14ac:dyDescent="0.25">
      <c r="A445" s="16">
        <v>42920</v>
      </c>
      <c r="B445" s="273" t="s">
        <v>20276</v>
      </c>
      <c r="C445">
        <v>118599</v>
      </c>
      <c r="D445" s="236" t="s">
        <v>15594</v>
      </c>
      <c r="E445" s="15">
        <v>2258.4</v>
      </c>
      <c r="F445" s="274">
        <v>42920</v>
      </c>
      <c r="G445" s="15">
        <v>2258.4</v>
      </c>
      <c r="H445" s="15">
        <f>Tabla1[[#This Row],[Importe]]-Tabla1[[#This Row],[Pagado]]</f>
        <v>0</v>
      </c>
      <c r="I445" s="275" t="s">
        <v>15214</v>
      </c>
    </row>
    <row r="446" spans="1:9" x14ac:dyDescent="0.25">
      <c r="A446" s="16">
        <v>42920</v>
      </c>
      <c r="B446" s="273" t="s">
        <v>20277</v>
      </c>
      <c r="C446">
        <v>118600</v>
      </c>
      <c r="D446" s="236" t="s">
        <v>15294</v>
      </c>
      <c r="E446" s="15">
        <v>370</v>
      </c>
      <c r="F446" s="274">
        <v>42920</v>
      </c>
      <c r="G446" s="15">
        <v>370</v>
      </c>
      <c r="H446" s="15">
        <f>Tabla1[[#This Row],[Importe]]-Tabla1[[#This Row],[Pagado]]</f>
        <v>0</v>
      </c>
      <c r="I446" s="275" t="s">
        <v>15214</v>
      </c>
    </row>
    <row r="447" spans="1:9" x14ac:dyDescent="0.25">
      <c r="A447" s="16">
        <v>42920</v>
      </c>
      <c r="B447" s="273" t="s">
        <v>20278</v>
      </c>
      <c r="C447">
        <v>118601</v>
      </c>
      <c r="D447" s="236" t="s">
        <v>15309</v>
      </c>
      <c r="E447" s="15">
        <v>1786.4</v>
      </c>
      <c r="F447" s="274">
        <v>42920</v>
      </c>
      <c r="G447" s="15">
        <v>1786.4</v>
      </c>
      <c r="H447" s="15">
        <f>Tabla1[[#This Row],[Importe]]-Tabla1[[#This Row],[Pagado]]</f>
        <v>0</v>
      </c>
      <c r="I447" s="275" t="s">
        <v>15214</v>
      </c>
    </row>
    <row r="448" spans="1:9" x14ac:dyDescent="0.25">
      <c r="A448" s="16">
        <v>42920</v>
      </c>
      <c r="B448" s="273" t="s">
        <v>20279</v>
      </c>
      <c r="C448">
        <v>118602</v>
      </c>
      <c r="D448" s="236" t="s">
        <v>15301</v>
      </c>
      <c r="E448" s="15">
        <v>3841</v>
      </c>
      <c r="F448" s="274">
        <v>42920</v>
      </c>
      <c r="G448" s="15">
        <v>3841</v>
      </c>
      <c r="H448" s="15">
        <f>Tabla1[[#This Row],[Importe]]-Tabla1[[#This Row],[Pagado]]</f>
        <v>0</v>
      </c>
      <c r="I448" s="275" t="s">
        <v>15214</v>
      </c>
    </row>
    <row r="449" spans="1:9" x14ac:dyDescent="0.25">
      <c r="A449" s="16">
        <v>42920</v>
      </c>
      <c r="B449" s="273" t="s">
        <v>20280</v>
      </c>
      <c r="C449">
        <v>118603</v>
      </c>
      <c r="D449" s="236" t="s">
        <v>15307</v>
      </c>
      <c r="E449" s="15">
        <v>4426.5</v>
      </c>
      <c r="F449" s="274">
        <v>42920</v>
      </c>
      <c r="G449" s="15">
        <v>4426.5</v>
      </c>
      <c r="H449" s="15">
        <f>Tabla1[[#This Row],[Importe]]-Tabla1[[#This Row],[Pagado]]</f>
        <v>0</v>
      </c>
      <c r="I449" s="275" t="s">
        <v>15214</v>
      </c>
    </row>
    <row r="450" spans="1:9" x14ac:dyDescent="0.25">
      <c r="A450" s="16">
        <v>42920</v>
      </c>
      <c r="B450" s="273" t="s">
        <v>20281</v>
      </c>
      <c r="C450">
        <v>118604</v>
      </c>
      <c r="D450" s="236" t="s">
        <v>15307</v>
      </c>
      <c r="E450" s="15">
        <v>185</v>
      </c>
      <c r="F450" s="274">
        <v>42920</v>
      </c>
      <c r="G450" s="15">
        <v>185</v>
      </c>
      <c r="H450" s="15">
        <f>Tabla1[[#This Row],[Importe]]-Tabla1[[#This Row],[Pagado]]</f>
        <v>0</v>
      </c>
      <c r="I450" s="275" t="s">
        <v>15214</v>
      </c>
    </row>
    <row r="451" spans="1:9" x14ac:dyDescent="0.25">
      <c r="A451" s="16">
        <v>42920</v>
      </c>
      <c r="B451" s="273" t="s">
        <v>20282</v>
      </c>
      <c r="C451">
        <v>118605</v>
      </c>
      <c r="D451" s="236" t="s">
        <v>15296</v>
      </c>
      <c r="E451" s="15">
        <v>17617.2</v>
      </c>
      <c r="F451" s="274">
        <v>42927</v>
      </c>
      <c r="G451" s="15">
        <v>17617.2</v>
      </c>
      <c r="H451" s="15">
        <f>Tabla1[[#This Row],[Importe]]-Tabla1[[#This Row],[Pagado]]</f>
        <v>0</v>
      </c>
      <c r="I451" s="275" t="s">
        <v>15214</v>
      </c>
    </row>
    <row r="452" spans="1:9" x14ac:dyDescent="0.25">
      <c r="A452" s="16">
        <v>42920</v>
      </c>
      <c r="B452" s="273" t="s">
        <v>20283</v>
      </c>
      <c r="C452">
        <v>118606</v>
      </c>
      <c r="D452" s="236" t="s">
        <v>19758</v>
      </c>
      <c r="E452" s="15">
        <v>31477.4</v>
      </c>
      <c r="F452" s="274">
        <v>42920</v>
      </c>
      <c r="G452" s="15">
        <v>31477.4</v>
      </c>
      <c r="H452" s="15">
        <f>Tabla1[[#This Row],[Importe]]-Tabla1[[#This Row],[Pagado]]</f>
        <v>0</v>
      </c>
      <c r="I452" s="275" t="s">
        <v>15214</v>
      </c>
    </row>
    <row r="453" spans="1:9" x14ac:dyDescent="0.25">
      <c r="A453" s="16">
        <v>42920</v>
      </c>
      <c r="B453" s="273" t="s">
        <v>20284</v>
      </c>
      <c r="C453">
        <v>118607</v>
      </c>
      <c r="D453" s="236" t="s">
        <v>15396</v>
      </c>
      <c r="E453" s="15">
        <v>7973.4</v>
      </c>
      <c r="F453" s="274">
        <v>42920</v>
      </c>
      <c r="G453" s="15">
        <v>7973.4</v>
      </c>
      <c r="H453" s="15">
        <f>Tabla1[[#This Row],[Importe]]-Tabla1[[#This Row],[Pagado]]</f>
        <v>0</v>
      </c>
      <c r="I453" s="275" t="s">
        <v>15214</v>
      </c>
    </row>
    <row r="454" spans="1:9" x14ac:dyDescent="0.25">
      <c r="A454" s="16">
        <v>42920</v>
      </c>
      <c r="B454" s="273" t="s">
        <v>20285</v>
      </c>
      <c r="C454">
        <v>118608</v>
      </c>
      <c r="D454" s="236" t="s">
        <v>19699</v>
      </c>
      <c r="E454" s="15">
        <v>156</v>
      </c>
      <c r="F454" s="274">
        <v>42920</v>
      </c>
      <c r="G454" s="15">
        <v>156</v>
      </c>
      <c r="H454" s="15">
        <f>Tabla1[[#This Row],[Importe]]-Tabla1[[#This Row],[Pagado]]</f>
        <v>0</v>
      </c>
      <c r="I454" s="275" t="s">
        <v>15214</v>
      </c>
    </row>
    <row r="455" spans="1:9" x14ac:dyDescent="0.25">
      <c r="A455" s="16">
        <v>42920</v>
      </c>
      <c r="B455" s="273" t="s">
        <v>20286</v>
      </c>
      <c r="C455">
        <v>118609</v>
      </c>
      <c r="D455" s="236" t="s">
        <v>19699</v>
      </c>
      <c r="E455" s="15">
        <v>1500</v>
      </c>
      <c r="F455" s="274">
        <v>42920</v>
      </c>
      <c r="G455" s="15">
        <v>1500</v>
      </c>
      <c r="H455" s="15">
        <f>Tabla1[[#This Row],[Importe]]-Tabla1[[#This Row],[Pagado]]</f>
        <v>0</v>
      </c>
      <c r="I455" s="275" t="s">
        <v>15214</v>
      </c>
    </row>
    <row r="456" spans="1:9" x14ac:dyDescent="0.25">
      <c r="A456" s="16">
        <v>42920</v>
      </c>
      <c r="B456" s="273" t="s">
        <v>20287</v>
      </c>
      <c r="C456">
        <v>118610</v>
      </c>
      <c r="D456" s="236" t="s">
        <v>15537</v>
      </c>
      <c r="E456" s="15">
        <v>13956.6</v>
      </c>
      <c r="F456" s="274">
        <v>42923</v>
      </c>
      <c r="G456" s="15">
        <v>13956.6</v>
      </c>
      <c r="H456" s="15">
        <f>Tabla1[[#This Row],[Importe]]-Tabla1[[#This Row],[Pagado]]</f>
        <v>0</v>
      </c>
      <c r="I456" s="275" t="s">
        <v>15214</v>
      </c>
    </row>
    <row r="457" spans="1:9" x14ac:dyDescent="0.25">
      <c r="A457" s="16">
        <v>42920</v>
      </c>
      <c r="B457" s="273" t="s">
        <v>20288</v>
      </c>
      <c r="C457">
        <v>118611</v>
      </c>
      <c r="D457" s="236" t="s">
        <v>15539</v>
      </c>
      <c r="E457" s="15">
        <v>14435.4</v>
      </c>
      <c r="F457" s="274">
        <v>42923</v>
      </c>
      <c r="G457" s="15">
        <v>14435.4</v>
      </c>
      <c r="H457" s="15">
        <f>Tabla1[[#This Row],[Importe]]-Tabla1[[#This Row],[Pagado]]</f>
        <v>0</v>
      </c>
      <c r="I457" s="275" t="s">
        <v>15214</v>
      </c>
    </row>
    <row r="458" spans="1:9" x14ac:dyDescent="0.25">
      <c r="A458" s="16">
        <v>42920</v>
      </c>
      <c r="B458" s="273" t="s">
        <v>20289</v>
      </c>
      <c r="C458">
        <v>118612</v>
      </c>
      <c r="D458" s="236" t="s">
        <v>15559</v>
      </c>
      <c r="E458" s="15">
        <v>7257.6</v>
      </c>
      <c r="F458" s="274">
        <v>42923</v>
      </c>
      <c r="G458" s="15">
        <v>7257.6</v>
      </c>
      <c r="H458" s="15">
        <f>Tabla1[[#This Row],[Importe]]-Tabla1[[#This Row],[Pagado]]</f>
        <v>0</v>
      </c>
      <c r="I458" s="275" t="s">
        <v>15214</v>
      </c>
    </row>
    <row r="459" spans="1:9" x14ac:dyDescent="0.25">
      <c r="A459" s="16">
        <v>42920</v>
      </c>
      <c r="B459" s="273" t="s">
        <v>20290</v>
      </c>
      <c r="C459">
        <v>118613</v>
      </c>
      <c r="D459" s="236" t="s">
        <v>15315</v>
      </c>
      <c r="E459" s="15">
        <v>780</v>
      </c>
      <c r="F459" s="274">
        <v>42935</v>
      </c>
      <c r="G459" s="15">
        <v>780</v>
      </c>
      <c r="H459" s="15">
        <f>Tabla1[[#This Row],[Importe]]-Tabla1[[#This Row],[Pagado]]</f>
        <v>0</v>
      </c>
      <c r="I459" s="275" t="s">
        <v>15214</v>
      </c>
    </row>
    <row r="460" spans="1:9" x14ac:dyDescent="0.25">
      <c r="A460" s="16">
        <v>42920</v>
      </c>
      <c r="B460" s="273" t="s">
        <v>20291</v>
      </c>
      <c r="C460">
        <v>118614</v>
      </c>
      <c r="D460" s="236" t="s">
        <v>15322</v>
      </c>
      <c r="E460" s="15">
        <v>725.4</v>
      </c>
      <c r="F460" s="274">
        <v>42920</v>
      </c>
      <c r="G460" s="15">
        <v>725.4</v>
      </c>
      <c r="H460" s="15">
        <f>Tabla1[[#This Row],[Importe]]-Tabla1[[#This Row],[Pagado]]</f>
        <v>0</v>
      </c>
      <c r="I460" s="275" t="s">
        <v>15214</v>
      </c>
    </row>
    <row r="461" spans="1:9" x14ac:dyDescent="0.25">
      <c r="A461" s="16">
        <v>42920</v>
      </c>
      <c r="B461" s="273" t="s">
        <v>20292</v>
      </c>
      <c r="C461">
        <v>118615</v>
      </c>
      <c r="D461" s="236" t="s">
        <v>15555</v>
      </c>
      <c r="E461" s="15">
        <v>3970.8</v>
      </c>
      <c r="F461" s="274">
        <v>42928</v>
      </c>
      <c r="G461" s="15">
        <v>3970.8</v>
      </c>
      <c r="H461" s="15">
        <f>Tabla1[[#This Row],[Importe]]-Tabla1[[#This Row],[Pagado]]</f>
        <v>0</v>
      </c>
      <c r="I461" s="275" t="s">
        <v>15214</v>
      </c>
    </row>
    <row r="462" spans="1:9" x14ac:dyDescent="0.25">
      <c r="A462" s="16">
        <v>42920</v>
      </c>
      <c r="B462" s="273" t="s">
        <v>20293</v>
      </c>
      <c r="C462">
        <v>118616</v>
      </c>
      <c r="D462" s="236" t="s">
        <v>15315</v>
      </c>
      <c r="E462" s="15">
        <v>3223.2</v>
      </c>
      <c r="F462" s="274">
        <v>42923</v>
      </c>
      <c r="G462" s="15">
        <v>3223.2</v>
      </c>
      <c r="H462" s="15">
        <f>Tabla1[[#This Row],[Importe]]-Tabla1[[#This Row],[Pagado]]</f>
        <v>0</v>
      </c>
      <c r="I462" s="275" t="s">
        <v>15214</v>
      </c>
    </row>
    <row r="463" spans="1:9" x14ac:dyDescent="0.25">
      <c r="A463" s="16">
        <v>42920</v>
      </c>
      <c r="B463" s="273" t="s">
        <v>20294</v>
      </c>
      <c r="C463">
        <v>118617</v>
      </c>
      <c r="D463" s="236" t="s">
        <v>15315</v>
      </c>
      <c r="E463" s="15">
        <v>377.5</v>
      </c>
      <c r="F463" s="274">
        <v>42920</v>
      </c>
      <c r="G463" s="15">
        <v>377.5</v>
      </c>
      <c r="H463" s="15">
        <f>Tabla1[[#This Row],[Importe]]-Tabla1[[#This Row],[Pagado]]</f>
        <v>0</v>
      </c>
      <c r="I463" s="275" t="s">
        <v>15214</v>
      </c>
    </row>
    <row r="464" spans="1:9" x14ac:dyDescent="0.25">
      <c r="A464" s="16">
        <v>42920</v>
      </c>
      <c r="B464" s="273" t="s">
        <v>20295</v>
      </c>
      <c r="C464">
        <v>118618</v>
      </c>
      <c r="D464" s="236" t="s">
        <v>15282</v>
      </c>
      <c r="E464" s="15">
        <v>4136.3</v>
      </c>
      <c r="F464" s="274">
        <v>42920</v>
      </c>
      <c r="G464" s="15">
        <v>4136.3</v>
      </c>
      <c r="H464" s="15">
        <f>Tabla1[[#This Row],[Importe]]-Tabla1[[#This Row],[Pagado]]</f>
        <v>0</v>
      </c>
      <c r="I464" s="275" t="s">
        <v>15214</v>
      </c>
    </row>
    <row r="465" spans="1:9" x14ac:dyDescent="0.25">
      <c r="A465" s="16">
        <v>42920</v>
      </c>
      <c r="B465" s="273" t="s">
        <v>20296</v>
      </c>
      <c r="C465">
        <v>118619</v>
      </c>
      <c r="D465" s="236" t="s">
        <v>15409</v>
      </c>
      <c r="E465" s="15">
        <v>11000</v>
      </c>
      <c r="F465" s="274">
        <v>42920</v>
      </c>
      <c r="G465" s="15">
        <v>11000</v>
      </c>
      <c r="H465" s="15">
        <f>Tabla1[[#This Row],[Importe]]-Tabla1[[#This Row],[Pagado]]</f>
        <v>0</v>
      </c>
      <c r="I465" s="275" t="s">
        <v>15214</v>
      </c>
    </row>
    <row r="466" spans="1:9" x14ac:dyDescent="0.25">
      <c r="A466" s="16">
        <v>42920</v>
      </c>
      <c r="B466" s="273" t="s">
        <v>20297</v>
      </c>
      <c r="C466">
        <v>118620</v>
      </c>
      <c r="D466" s="236" t="s">
        <v>19768</v>
      </c>
      <c r="E466" s="15">
        <v>1500</v>
      </c>
      <c r="F466" s="274">
        <v>42920</v>
      </c>
      <c r="G466" s="15">
        <v>1500</v>
      </c>
      <c r="H466" s="15">
        <f>Tabla1[[#This Row],[Importe]]-Tabla1[[#This Row],[Pagado]]</f>
        <v>0</v>
      </c>
      <c r="I466" s="275" t="s">
        <v>15214</v>
      </c>
    </row>
    <row r="467" spans="1:9" ht="30" x14ac:dyDescent="0.25">
      <c r="A467" s="16">
        <v>42920</v>
      </c>
      <c r="B467" s="273" t="s">
        <v>20298</v>
      </c>
      <c r="C467">
        <v>118621</v>
      </c>
      <c r="D467" s="236" t="s">
        <v>15246</v>
      </c>
      <c r="E467" s="15">
        <v>3865</v>
      </c>
      <c r="F467" s="274" t="s">
        <v>20299</v>
      </c>
      <c r="G467" s="241">
        <f>328.85+3536.15</f>
        <v>3865</v>
      </c>
      <c r="H467" s="241">
        <f>Tabla1[[#This Row],[Importe]]-Tabla1[[#This Row],[Pagado]]</f>
        <v>0</v>
      </c>
      <c r="I467" s="275" t="s">
        <v>15214</v>
      </c>
    </row>
    <row r="468" spans="1:9" x14ac:dyDescent="0.25">
      <c r="A468" s="16">
        <v>42920</v>
      </c>
      <c r="B468" s="273" t="s">
        <v>20300</v>
      </c>
      <c r="C468">
        <v>118622</v>
      </c>
      <c r="D468" s="236" t="s">
        <v>15284</v>
      </c>
      <c r="E468" s="15">
        <v>1424.8</v>
      </c>
      <c r="F468" s="274">
        <v>42920</v>
      </c>
      <c r="G468" s="15">
        <v>1424.8</v>
      </c>
      <c r="H468" s="15">
        <f>Tabla1[[#This Row],[Importe]]-Tabla1[[#This Row],[Pagado]]</f>
        <v>0</v>
      </c>
      <c r="I468" s="275" t="s">
        <v>15214</v>
      </c>
    </row>
    <row r="469" spans="1:9" ht="15.75" x14ac:dyDescent="0.25">
      <c r="A469" s="16">
        <v>42920</v>
      </c>
      <c r="B469" s="273" t="s">
        <v>20301</v>
      </c>
      <c r="C469">
        <v>118623</v>
      </c>
      <c r="D469" s="248" t="s">
        <v>95</v>
      </c>
      <c r="E469" s="15">
        <v>0</v>
      </c>
      <c r="F469" s="274" t="s">
        <v>19846</v>
      </c>
      <c r="G469" s="15">
        <v>0</v>
      </c>
      <c r="H469" s="15">
        <f>Tabla1[[#This Row],[Importe]]-Tabla1[[#This Row],[Pagado]]</f>
        <v>0</v>
      </c>
      <c r="I469" s="275" t="s">
        <v>95</v>
      </c>
    </row>
    <row r="470" spans="1:9" x14ac:dyDescent="0.25">
      <c r="A470" s="16">
        <v>42920</v>
      </c>
      <c r="B470" s="273" t="s">
        <v>20302</v>
      </c>
      <c r="C470">
        <v>118624</v>
      </c>
      <c r="D470" s="236" t="s">
        <v>15213</v>
      </c>
      <c r="E470" s="15">
        <v>5630.3</v>
      </c>
      <c r="F470" s="274">
        <v>42921</v>
      </c>
      <c r="G470" s="15">
        <v>5630.3</v>
      </c>
      <c r="H470" s="15">
        <f>Tabla1[[#This Row],[Importe]]-Tabla1[[#This Row],[Pagado]]</f>
        <v>0</v>
      </c>
      <c r="I470" s="275" t="s">
        <v>15214</v>
      </c>
    </row>
    <row r="471" spans="1:9" x14ac:dyDescent="0.25">
      <c r="A471" s="16">
        <v>42920</v>
      </c>
      <c r="B471" s="273" t="s">
        <v>20303</v>
      </c>
      <c r="C471">
        <v>118625</v>
      </c>
      <c r="D471" s="236" t="s">
        <v>15276</v>
      </c>
      <c r="E471" s="15">
        <v>2500</v>
      </c>
      <c r="F471" s="274">
        <v>42921</v>
      </c>
      <c r="G471" s="15">
        <v>2500</v>
      </c>
      <c r="H471" s="15">
        <f>Tabla1[[#This Row],[Importe]]-Tabla1[[#This Row],[Pagado]]</f>
        <v>0</v>
      </c>
      <c r="I471" s="275" t="s">
        <v>15214</v>
      </c>
    </row>
    <row r="472" spans="1:9" x14ac:dyDescent="0.25">
      <c r="A472" s="16">
        <v>42920</v>
      </c>
      <c r="B472" s="273" t="s">
        <v>20304</v>
      </c>
      <c r="C472">
        <v>118626</v>
      </c>
      <c r="D472" s="236" t="s">
        <v>15600</v>
      </c>
      <c r="E472" s="15">
        <v>5717.6</v>
      </c>
      <c r="F472" s="274">
        <v>42921</v>
      </c>
      <c r="G472" s="15">
        <v>5717.6</v>
      </c>
      <c r="H472" s="15">
        <f>Tabla1[[#This Row],[Importe]]-Tabla1[[#This Row],[Pagado]]</f>
        <v>0</v>
      </c>
      <c r="I472" s="275" t="s">
        <v>15214</v>
      </c>
    </row>
    <row r="473" spans="1:9" x14ac:dyDescent="0.25">
      <c r="A473" s="16">
        <v>42920</v>
      </c>
      <c r="B473" s="273" t="s">
        <v>20305</v>
      </c>
      <c r="C473">
        <v>118627</v>
      </c>
      <c r="D473" s="236" t="s">
        <v>15442</v>
      </c>
      <c r="E473" s="15">
        <v>5568</v>
      </c>
      <c r="F473" s="274">
        <v>42927</v>
      </c>
      <c r="G473" s="15">
        <v>5568</v>
      </c>
      <c r="H473" s="15">
        <f>Tabla1[[#This Row],[Importe]]-Tabla1[[#This Row],[Pagado]]</f>
        <v>0</v>
      </c>
      <c r="I473" s="275" t="s">
        <v>15214</v>
      </c>
    </row>
    <row r="474" spans="1:9" x14ac:dyDescent="0.25">
      <c r="A474" s="16">
        <v>42920</v>
      </c>
      <c r="B474" s="273" t="s">
        <v>20306</v>
      </c>
      <c r="C474">
        <v>118628</v>
      </c>
      <c r="D474" s="236" t="s">
        <v>15378</v>
      </c>
      <c r="E474" s="15">
        <v>575.70000000000005</v>
      </c>
      <c r="F474" s="274">
        <v>42920</v>
      </c>
      <c r="G474" s="15">
        <v>575.70000000000005</v>
      </c>
      <c r="H474" s="15">
        <f>Tabla1[[#This Row],[Importe]]-Tabla1[[#This Row],[Pagado]]</f>
        <v>0</v>
      </c>
      <c r="I474" s="275" t="s">
        <v>15214</v>
      </c>
    </row>
    <row r="475" spans="1:9" x14ac:dyDescent="0.25">
      <c r="A475" s="16">
        <v>42920</v>
      </c>
      <c r="B475" s="273" t="s">
        <v>20307</v>
      </c>
      <c r="C475">
        <v>118629</v>
      </c>
      <c r="D475" s="236" t="s">
        <v>15244</v>
      </c>
      <c r="E475" s="15">
        <v>7088.4</v>
      </c>
      <c r="F475" s="274">
        <v>42920</v>
      </c>
      <c r="G475" s="15">
        <v>7088.4</v>
      </c>
      <c r="H475" s="15">
        <f>Tabla1[[#This Row],[Importe]]-Tabla1[[#This Row],[Pagado]]</f>
        <v>0</v>
      </c>
      <c r="I475" s="275" t="s">
        <v>15214</v>
      </c>
    </row>
    <row r="476" spans="1:9" x14ac:dyDescent="0.25">
      <c r="A476" s="16">
        <v>42920</v>
      </c>
      <c r="B476" s="273" t="s">
        <v>20308</v>
      </c>
      <c r="C476">
        <v>118630</v>
      </c>
      <c r="D476" s="236" t="s">
        <v>15614</v>
      </c>
      <c r="E476" s="15">
        <v>6189.7</v>
      </c>
      <c r="F476" s="274">
        <v>42923</v>
      </c>
      <c r="G476" s="15">
        <v>6189.7</v>
      </c>
      <c r="H476" s="15">
        <f>Tabla1[[#This Row],[Importe]]-Tabla1[[#This Row],[Pagado]]</f>
        <v>0</v>
      </c>
      <c r="I476" s="275" t="s">
        <v>15214</v>
      </c>
    </row>
    <row r="477" spans="1:9" x14ac:dyDescent="0.25">
      <c r="A477" s="16">
        <v>42920</v>
      </c>
      <c r="B477" s="273" t="s">
        <v>20309</v>
      </c>
      <c r="C477">
        <v>118631</v>
      </c>
      <c r="D477" s="236" t="s">
        <v>15920</v>
      </c>
      <c r="E477" s="15">
        <v>10584</v>
      </c>
      <c r="F477" s="274">
        <v>42935</v>
      </c>
      <c r="G477" s="15">
        <v>10584</v>
      </c>
      <c r="H477" s="15">
        <f>Tabla1[[#This Row],[Importe]]-Tabla1[[#This Row],[Pagado]]</f>
        <v>0</v>
      </c>
      <c r="I477" s="275" t="s">
        <v>15214</v>
      </c>
    </row>
    <row r="478" spans="1:9" x14ac:dyDescent="0.25">
      <c r="A478" s="16">
        <v>42920</v>
      </c>
      <c r="B478" s="273" t="s">
        <v>20310</v>
      </c>
      <c r="C478">
        <v>118632</v>
      </c>
      <c r="D478" s="236" t="s">
        <v>15246</v>
      </c>
      <c r="E478" s="15">
        <v>122042.32</v>
      </c>
      <c r="F478" s="274">
        <v>42924</v>
      </c>
      <c r="G478" s="15">
        <v>122042.32</v>
      </c>
      <c r="H478" s="15">
        <f>Tabla1[[#This Row],[Importe]]-Tabla1[[#This Row],[Pagado]]</f>
        <v>0</v>
      </c>
      <c r="I478" s="275" t="s">
        <v>15214</v>
      </c>
    </row>
    <row r="479" spans="1:9" x14ac:dyDescent="0.25">
      <c r="A479" s="16">
        <v>42920</v>
      </c>
      <c r="B479" s="273" t="s">
        <v>20311</v>
      </c>
      <c r="C479">
        <v>118633</v>
      </c>
      <c r="D479" s="236" t="s">
        <v>15267</v>
      </c>
      <c r="E479" s="15">
        <v>22891.200000000001</v>
      </c>
      <c r="F479" s="274">
        <v>42933</v>
      </c>
      <c r="G479" s="15">
        <v>22891.200000000001</v>
      </c>
      <c r="H479" s="15">
        <f>Tabla1[[#This Row],[Importe]]-Tabla1[[#This Row],[Pagado]]</f>
        <v>0</v>
      </c>
      <c r="I479" s="275" t="s">
        <v>15214</v>
      </c>
    </row>
    <row r="480" spans="1:9" x14ac:dyDescent="0.25">
      <c r="A480" s="16">
        <v>42920</v>
      </c>
      <c r="B480" s="273" t="s">
        <v>20312</v>
      </c>
      <c r="C480">
        <v>118634</v>
      </c>
      <c r="D480" s="236" t="s">
        <v>15890</v>
      </c>
      <c r="E480" s="15">
        <v>9565.2000000000007</v>
      </c>
      <c r="F480" s="274">
        <v>42927</v>
      </c>
      <c r="G480" s="15">
        <v>9565.2000000000007</v>
      </c>
      <c r="H480" s="15">
        <f>Tabla1[[#This Row],[Importe]]-Tabla1[[#This Row],[Pagado]]</f>
        <v>0</v>
      </c>
      <c r="I480" s="275" t="s">
        <v>15214</v>
      </c>
    </row>
    <row r="481" spans="1:9" ht="60" x14ac:dyDescent="0.25">
      <c r="A481" s="16">
        <v>42920</v>
      </c>
      <c r="B481" s="273" t="s">
        <v>20313</v>
      </c>
      <c r="C481">
        <v>118635</v>
      </c>
      <c r="D481" s="236" t="s">
        <v>15987</v>
      </c>
      <c r="E481" s="15">
        <v>10006.700000000001</v>
      </c>
      <c r="F481" s="274" t="s">
        <v>31628</v>
      </c>
      <c r="G481" s="241">
        <f>1500+1000+1000+6506.7</f>
        <v>10006.700000000001</v>
      </c>
      <c r="H481" s="241">
        <f>Tabla1[[#This Row],[Importe]]-Tabla1[[#This Row],[Pagado]]</f>
        <v>0</v>
      </c>
      <c r="I481" s="275" t="s">
        <v>15214</v>
      </c>
    </row>
    <row r="482" spans="1:9" x14ac:dyDescent="0.25">
      <c r="A482" s="16">
        <v>42920</v>
      </c>
      <c r="B482" s="273" t="s">
        <v>20314</v>
      </c>
      <c r="C482">
        <v>118636</v>
      </c>
      <c r="D482" s="236" t="s">
        <v>15315</v>
      </c>
      <c r="E482" s="15">
        <v>125.4</v>
      </c>
      <c r="F482" s="274">
        <v>42920</v>
      </c>
      <c r="G482" s="15">
        <v>125.4</v>
      </c>
      <c r="H482" s="15">
        <f>Tabla1[[#This Row],[Importe]]-Tabla1[[#This Row],[Pagado]]</f>
        <v>0</v>
      </c>
      <c r="I482" s="275" t="s">
        <v>15214</v>
      </c>
    </row>
    <row r="483" spans="1:9" x14ac:dyDescent="0.25">
      <c r="A483" s="16">
        <v>42920</v>
      </c>
      <c r="B483" s="273" t="s">
        <v>20315</v>
      </c>
      <c r="C483">
        <v>118637</v>
      </c>
      <c r="D483" s="236" t="s">
        <v>15632</v>
      </c>
      <c r="E483" s="15">
        <v>23125.599999999999</v>
      </c>
      <c r="F483" s="274">
        <v>42930</v>
      </c>
      <c r="G483" s="15">
        <v>23125.599999999999</v>
      </c>
      <c r="H483" s="15">
        <f>Tabla1[[#This Row],[Importe]]-Tabla1[[#This Row],[Pagado]]</f>
        <v>0</v>
      </c>
      <c r="I483" s="275" t="s">
        <v>15214</v>
      </c>
    </row>
    <row r="484" spans="1:9" x14ac:dyDescent="0.25">
      <c r="A484" s="16">
        <v>42920</v>
      </c>
      <c r="B484" s="273" t="s">
        <v>20316</v>
      </c>
      <c r="C484">
        <v>118638</v>
      </c>
      <c r="D484" s="236" t="s">
        <v>16522</v>
      </c>
      <c r="E484" s="15">
        <v>14052.6</v>
      </c>
      <c r="F484" s="274">
        <v>42952</v>
      </c>
      <c r="G484" s="15">
        <v>14052.6</v>
      </c>
      <c r="H484" s="15">
        <f>Tabla1[[#This Row],[Importe]]-Tabla1[[#This Row],[Pagado]]</f>
        <v>0</v>
      </c>
      <c r="I484" s="275" t="s">
        <v>15214</v>
      </c>
    </row>
    <row r="485" spans="1:9" x14ac:dyDescent="0.25">
      <c r="A485" s="16">
        <v>42920</v>
      </c>
      <c r="B485" s="273" t="s">
        <v>20317</v>
      </c>
      <c r="C485">
        <v>118639</v>
      </c>
      <c r="D485" s="236" t="s">
        <v>19776</v>
      </c>
      <c r="E485" s="15">
        <v>31200</v>
      </c>
      <c r="F485" s="274">
        <v>42920</v>
      </c>
      <c r="G485" s="15">
        <v>31200</v>
      </c>
      <c r="H485" s="15">
        <f>Tabla1[[#This Row],[Importe]]-Tabla1[[#This Row],[Pagado]]</f>
        <v>0</v>
      </c>
      <c r="I485" s="275" t="s">
        <v>15214</v>
      </c>
    </row>
    <row r="486" spans="1:9" x14ac:dyDescent="0.25">
      <c r="A486" s="16">
        <v>42920</v>
      </c>
      <c r="B486" s="273" t="s">
        <v>20318</v>
      </c>
      <c r="C486">
        <v>118640</v>
      </c>
      <c r="D486" s="236" t="s">
        <v>15315</v>
      </c>
      <c r="E486" s="15">
        <v>1078</v>
      </c>
      <c r="F486" s="274">
        <v>42920</v>
      </c>
      <c r="G486" s="15">
        <v>1078</v>
      </c>
      <c r="H486" s="15">
        <f>Tabla1[[#This Row],[Importe]]-Tabla1[[#This Row],[Pagado]]</f>
        <v>0</v>
      </c>
      <c r="I486" s="275" t="s">
        <v>15214</v>
      </c>
    </row>
    <row r="487" spans="1:9" x14ac:dyDescent="0.25">
      <c r="A487" s="16">
        <v>42920</v>
      </c>
      <c r="B487" s="273" t="s">
        <v>20319</v>
      </c>
      <c r="C487">
        <v>118641</v>
      </c>
      <c r="D487" s="236" t="s">
        <v>15284</v>
      </c>
      <c r="E487" s="15">
        <v>384</v>
      </c>
      <c r="F487" s="274">
        <v>42920</v>
      </c>
      <c r="G487" s="15">
        <v>384</v>
      </c>
      <c r="H487" s="15">
        <f>Tabla1[[#This Row],[Importe]]-Tabla1[[#This Row],[Pagado]]</f>
        <v>0</v>
      </c>
      <c r="I487" s="275" t="s">
        <v>15214</v>
      </c>
    </row>
    <row r="488" spans="1:9" x14ac:dyDescent="0.25">
      <c r="A488" s="16">
        <v>42920</v>
      </c>
      <c r="B488" s="273" t="s">
        <v>20320</v>
      </c>
      <c r="C488">
        <v>118642</v>
      </c>
      <c r="D488" s="236" t="s">
        <v>15444</v>
      </c>
      <c r="E488" s="15">
        <v>1747.8</v>
      </c>
      <c r="F488" s="274">
        <v>42921</v>
      </c>
      <c r="G488" s="15">
        <v>1747.8</v>
      </c>
      <c r="H488" s="15">
        <f>Tabla1[[#This Row],[Importe]]-Tabla1[[#This Row],[Pagado]]</f>
        <v>0</v>
      </c>
      <c r="I488" s="275" t="s">
        <v>15214</v>
      </c>
    </row>
    <row r="489" spans="1:9" x14ac:dyDescent="0.25">
      <c r="A489" s="16">
        <v>42920</v>
      </c>
      <c r="B489" s="273" t="s">
        <v>20321</v>
      </c>
      <c r="C489">
        <v>118643</v>
      </c>
      <c r="D489" s="236" t="s">
        <v>15365</v>
      </c>
      <c r="E489" s="15">
        <v>8600</v>
      </c>
      <c r="F489" s="274">
        <v>42924</v>
      </c>
      <c r="G489" s="15">
        <v>8600</v>
      </c>
      <c r="H489" s="15">
        <f>Tabla1[[#This Row],[Importe]]-Tabla1[[#This Row],[Pagado]]</f>
        <v>0</v>
      </c>
      <c r="I489" s="275" t="s">
        <v>15214</v>
      </c>
    </row>
    <row r="490" spans="1:9" x14ac:dyDescent="0.25">
      <c r="A490" s="16">
        <v>42920</v>
      </c>
      <c r="B490" s="273" t="s">
        <v>20322</v>
      </c>
      <c r="C490">
        <v>118644</v>
      </c>
      <c r="D490" s="236" t="s">
        <v>15789</v>
      </c>
      <c r="E490" s="15">
        <v>25357</v>
      </c>
      <c r="F490" s="274">
        <v>42927</v>
      </c>
      <c r="G490" s="15">
        <v>25357</v>
      </c>
      <c r="H490" s="15">
        <f>Tabla1[[#This Row],[Importe]]-Tabla1[[#This Row],[Pagado]]</f>
        <v>0</v>
      </c>
      <c r="I490" s="275" t="s">
        <v>15214</v>
      </c>
    </row>
    <row r="491" spans="1:9" x14ac:dyDescent="0.25">
      <c r="A491" s="16">
        <v>42920</v>
      </c>
      <c r="B491" s="273" t="s">
        <v>20323</v>
      </c>
      <c r="C491">
        <v>118645</v>
      </c>
      <c r="D491" s="236" t="s">
        <v>15246</v>
      </c>
      <c r="E491" s="15">
        <v>21925.3</v>
      </c>
      <c r="F491" s="274">
        <v>42924</v>
      </c>
      <c r="G491" s="15">
        <v>21925.3</v>
      </c>
      <c r="H491" s="15">
        <f>Tabla1[[#This Row],[Importe]]-Tabla1[[#This Row],[Pagado]]</f>
        <v>0</v>
      </c>
      <c r="I491" s="275" t="s">
        <v>15214</v>
      </c>
    </row>
    <row r="492" spans="1:9" x14ac:dyDescent="0.25">
      <c r="A492" s="16">
        <v>42920</v>
      </c>
      <c r="B492" s="273" t="s">
        <v>20324</v>
      </c>
      <c r="C492">
        <v>118646</v>
      </c>
      <c r="D492" s="236" t="s">
        <v>15284</v>
      </c>
      <c r="E492" s="15">
        <v>1315.4</v>
      </c>
      <c r="F492" s="274">
        <v>42920</v>
      </c>
      <c r="G492" s="15">
        <v>1315.4</v>
      </c>
      <c r="H492" s="15">
        <f>Tabla1[[#This Row],[Importe]]-Tabla1[[#This Row],[Pagado]]</f>
        <v>0</v>
      </c>
      <c r="I492" s="275" t="s">
        <v>15214</v>
      </c>
    </row>
    <row r="493" spans="1:9" x14ac:dyDescent="0.25">
      <c r="A493" s="16">
        <v>42920</v>
      </c>
      <c r="B493" s="273" t="s">
        <v>20325</v>
      </c>
      <c r="C493">
        <v>118647</v>
      </c>
      <c r="D493" s="236" t="s">
        <v>15435</v>
      </c>
      <c r="E493" s="15">
        <v>8204.4</v>
      </c>
      <c r="F493" s="274">
        <v>42920</v>
      </c>
      <c r="G493" s="15">
        <v>8204.4</v>
      </c>
      <c r="H493" s="15">
        <f>Tabla1[[#This Row],[Importe]]-Tabla1[[#This Row],[Pagado]]</f>
        <v>0</v>
      </c>
      <c r="I493" s="275" t="s">
        <v>15214</v>
      </c>
    </row>
    <row r="494" spans="1:9" x14ac:dyDescent="0.25">
      <c r="A494" s="16">
        <v>42920</v>
      </c>
      <c r="B494" s="273" t="s">
        <v>20326</v>
      </c>
      <c r="C494">
        <v>118648</v>
      </c>
      <c r="D494" s="236" t="s">
        <v>15435</v>
      </c>
      <c r="E494" s="15">
        <v>185</v>
      </c>
      <c r="F494" s="274">
        <v>42920</v>
      </c>
      <c r="G494" s="15">
        <v>185</v>
      </c>
      <c r="H494" s="15">
        <f>Tabla1[[#This Row],[Importe]]-Tabla1[[#This Row],[Pagado]]</f>
        <v>0</v>
      </c>
      <c r="I494" s="275" t="s">
        <v>15214</v>
      </c>
    </row>
    <row r="495" spans="1:9" x14ac:dyDescent="0.25">
      <c r="A495" s="16">
        <v>42920</v>
      </c>
      <c r="B495" s="273" t="s">
        <v>20327</v>
      </c>
      <c r="C495">
        <v>118649</v>
      </c>
      <c r="D495" s="236" t="s">
        <v>16116</v>
      </c>
      <c r="E495" s="15">
        <v>26058.36</v>
      </c>
      <c r="F495" s="274">
        <v>42920</v>
      </c>
      <c r="G495" s="15">
        <v>26058.36</v>
      </c>
      <c r="H495" s="15">
        <f>Tabla1[[#This Row],[Importe]]-Tabla1[[#This Row],[Pagado]]</f>
        <v>0</v>
      </c>
      <c r="I495" s="275" t="s">
        <v>15214</v>
      </c>
    </row>
    <row r="496" spans="1:9" x14ac:dyDescent="0.25">
      <c r="A496" s="16">
        <v>42920</v>
      </c>
      <c r="B496" s="273" t="s">
        <v>20328</v>
      </c>
      <c r="C496">
        <v>118650</v>
      </c>
      <c r="D496" s="236" t="s">
        <v>15365</v>
      </c>
      <c r="E496" s="15">
        <v>299376</v>
      </c>
      <c r="F496" s="274">
        <v>42930</v>
      </c>
      <c r="G496" s="15">
        <v>299376</v>
      </c>
      <c r="H496" s="15">
        <f>Tabla1[[#This Row],[Importe]]-Tabla1[[#This Row],[Pagado]]</f>
        <v>0</v>
      </c>
      <c r="I496" s="275" t="s">
        <v>15214</v>
      </c>
    </row>
    <row r="497" spans="1:9" x14ac:dyDescent="0.25">
      <c r="A497" s="16">
        <v>42920</v>
      </c>
      <c r="B497" s="273" t="s">
        <v>20329</v>
      </c>
      <c r="C497">
        <v>118651</v>
      </c>
      <c r="D497" s="236" t="s">
        <v>16116</v>
      </c>
      <c r="E497" s="15">
        <v>481.9</v>
      </c>
      <c r="F497" s="274">
        <v>42920</v>
      </c>
      <c r="G497" s="15">
        <v>481.9</v>
      </c>
      <c r="H497" s="15">
        <f>Tabla1[[#This Row],[Importe]]-Tabla1[[#This Row],[Pagado]]</f>
        <v>0</v>
      </c>
      <c r="I497" s="275" t="s">
        <v>15214</v>
      </c>
    </row>
    <row r="498" spans="1:9" ht="15.75" x14ac:dyDescent="0.25">
      <c r="A498" s="16">
        <v>42920</v>
      </c>
      <c r="B498" s="273" t="s">
        <v>20330</v>
      </c>
      <c r="C498">
        <v>118652</v>
      </c>
      <c r="D498" s="248" t="s">
        <v>95</v>
      </c>
      <c r="E498" s="15">
        <v>0</v>
      </c>
      <c r="F498" s="277" t="s">
        <v>95</v>
      </c>
      <c r="G498" s="15">
        <v>0</v>
      </c>
      <c r="H498" s="15">
        <f>Tabla1[[#This Row],[Importe]]-Tabla1[[#This Row],[Pagado]]</f>
        <v>0</v>
      </c>
      <c r="I498" s="275" t="s">
        <v>95</v>
      </c>
    </row>
    <row r="499" spans="1:9" x14ac:dyDescent="0.25">
      <c r="A499" s="16">
        <v>42920</v>
      </c>
      <c r="B499" s="273" t="s">
        <v>20331</v>
      </c>
      <c r="C499">
        <v>118653</v>
      </c>
      <c r="D499" s="236" t="s">
        <v>15267</v>
      </c>
      <c r="E499" s="15">
        <v>61381.52</v>
      </c>
      <c r="F499" s="274">
        <v>42933</v>
      </c>
      <c r="G499" s="15">
        <v>61381.52</v>
      </c>
      <c r="H499" s="15">
        <f>Tabla1[[#This Row],[Importe]]-Tabla1[[#This Row],[Pagado]]</f>
        <v>0</v>
      </c>
      <c r="I499" s="275" t="s">
        <v>15214</v>
      </c>
    </row>
    <row r="500" spans="1:9" x14ac:dyDescent="0.25">
      <c r="A500" s="16">
        <v>42920</v>
      </c>
      <c r="B500" s="273" t="s">
        <v>20332</v>
      </c>
      <c r="C500">
        <v>118654</v>
      </c>
      <c r="D500" s="236" t="s">
        <v>19680</v>
      </c>
      <c r="E500" s="15">
        <v>432.5</v>
      </c>
      <c r="F500" s="274">
        <v>42920</v>
      </c>
      <c r="G500" s="15">
        <v>432.5</v>
      </c>
      <c r="H500" s="15">
        <f>Tabla1[[#This Row],[Importe]]-Tabla1[[#This Row],[Pagado]]</f>
        <v>0</v>
      </c>
      <c r="I500" s="275" t="s">
        <v>15214</v>
      </c>
    </row>
    <row r="501" spans="1:9" x14ac:dyDescent="0.25">
      <c r="A501" s="16">
        <v>42921</v>
      </c>
      <c r="B501" s="273" t="s">
        <v>20333</v>
      </c>
      <c r="C501">
        <v>118655</v>
      </c>
      <c r="D501" s="236" t="s">
        <v>15213</v>
      </c>
      <c r="E501" s="15">
        <v>7115.4</v>
      </c>
      <c r="F501" s="274">
        <v>42922</v>
      </c>
      <c r="G501" s="15">
        <v>7115.4</v>
      </c>
      <c r="H501" s="15">
        <f>Tabla1[[#This Row],[Importe]]-Tabla1[[#This Row],[Pagado]]</f>
        <v>0</v>
      </c>
      <c r="I501" s="275" t="s">
        <v>15214</v>
      </c>
    </row>
    <row r="502" spans="1:9" x14ac:dyDescent="0.25">
      <c r="A502" s="16">
        <v>42921</v>
      </c>
      <c r="B502" s="273" t="s">
        <v>20334</v>
      </c>
      <c r="C502">
        <v>118656</v>
      </c>
      <c r="D502" s="236" t="s">
        <v>15213</v>
      </c>
      <c r="E502" s="15">
        <v>48469.599999999999</v>
      </c>
      <c r="F502" s="274">
        <v>42922</v>
      </c>
      <c r="G502" s="15">
        <v>48469.599999999999</v>
      </c>
      <c r="H502" s="15">
        <f>Tabla1[[#This Row],[Importe]]-Tabla1[[#This Row],[Pagado]]</f>
        <v>0</v>
      </c>
      <c r="I502" s="275" t="s">
        <v>15214</v>
      </c>
    </row>
    <row r="503" spans="1:9" x14ac:dyDescent="0.25">
      <c r="A503" s="16">
        <v>42921</v>
      </c>
      <c r="B503" s="273" t="s">
        <v>20335</v>
      </c>
      <c r="C503">
        <v>118657</v>
      </c>
      <c r="D503" s="236" t="s">
        <v>15272</v>
      </c>
      <c r="E503" s="15">
        <v>16970.400000000001</v>
      </c>
      <c r="F503" s="274">
        <v>42921</v>
      </c>
      <c r="G503" s="15">
        <v>16970.400000000001</v>
      </c>
      <c r="H503" s="15">
        <f>Tabla1[[#This Row],[Importe]]-Tabla1[[#This Row],[Pagado]]</f>
        <v>0</v>
      </c>
      <c r="I503" s="275" t="s">
        <v>15214</v>
      </c>
    </row>
    <row r="504" spans="1:9" x14ac:dyDescent="0.25">
      <c r="A504" s="16">
        <v>42921</v>
      </c>
      <c r="B504" s="273" t="s">
        <v>20336</v>
      </c>
      <c r="C504">
        <v>118658</v>
      </c>
      <c r="D504" s="236" t="s">
        <v>15272</v>
      </c>
      <c r="E504" s="15">
        <v>906.5</v>
      </c>
      <c r="F504" s="274">
        <v>42921</v>
      </c>
      <c r="G504" s="15">
        <v>906.5</v>
      </c>
      <c r="H504" s="15">
        <f>Tabla1[[#This Row],[Importe]]-Tabla1[[#This Row],[Pagado]]</f>
        <v>0</v>
      </c>
      <c r="I504" s="275" t="s">
        <v>15214</v>
      </c>
    </row>
    <row r="505" spans="1:9" x14ac:dyDescent="0.25">
      <c r="A505" s="16">
        <v>42921</v>
      </c>
      <c r="B505" s="273" t="s">
        <v>20337</v>
      </c>
      <c r="C505">
        <v>118659</v>
      </c>
      <c r="D505" s="236" t="s">
        <v>15250</v>
      </c>
      <c r="E505" s="15">
        <v>38024.699999999997</v>
      </c>
      <c r="F505" s="274">
        <v>42931</v>
      </c>
      <c r="G505" s="15">
        <v>38024.699999999997</v>
      </c>
      <c r="H505" s="15">
        <f>Tabla1[[#This Row],[Importe]]-Tabla1[[#This Row],[Pagado]]</f>
        <v>0</v>
      </c>
      <c r="I505" s="275" t="s">
        <v>15214</v>
      </c>
    </row>
    <row r="506" spans="1:9" ht="30" x14ac:dyDescent="0.25">
      <c r="A506" s="16">
        <v>42921</v>
      </c>
      <c r="B506" s="273" t="s">
        <v>20338</v>
      </c>
      <c r="C506">
        <v>118660</v>
      </c>
      <c r="D506" s="236" t="s">
        <v>15394</v>
      </c>
      <c r="E506" s="15">
        <v>24343.200000000001</v>
      </c>
      <c r="F506" s="274" t="s">
        <v>20339</v>
      </c>
      <c r="G506" s="241">
        <f>21000+3343.2</f>
        <v>24343.200000000001</v>
      </c>
      <c r="H506" s="241">
        <f>Tabla1[[#This Row],[Importe]]-Tabla1[[#This Row],[Pagado]]</f>
        <v>0</v>
      </c>
      <c r="I506" s="275" t="s">
        <v>15214</v>
      </c>
    </row>
    <row r="507" spans="1:9" x14ac:dyDescent="0.25">
      <c r="A507" s="16">
        <v>42921</v>
      </c>
      <c r="B507" s="273" t="s">
        <v>20340</v>
      </c>
      <c r="C507">
        <v>118661</v>
      </c>
      <c r="D507" s="236" t="s">
        <v>15230</v>
      </c>
      <c r="E507" s="15">
        <v>10165.200000000001</v>
      </c>
      <c r="F507" s="274">
        <v>42922</v>
      </c>
      <c r="G507" s="15">
        <v>10165.200000000001</v>
      </c>
      <c r="H507" s="15">
        <f>Tabla1[[#This Row],[Importe]]-Tabla1[[#This Row],[Pagado]]</f>
        <v>0</v>
      </c>
      <c r="I507" s="275" t="s">
        <v>15214</v>
      </c>
    </row>
    <row r="508" spans="1:9" x14ac:dyDescent="0.25">
      <c r="A508" s="16">
        <v>42921</v>
      </c>
      <c r="B508" s="273" t="s">
        <v>20341</v>
      </c>
      <c r="C508">
        <v>118662</v>
      </c>
      <c r="D508" s="236" t="s">
        <v>15232</v>
      </c>
      <c r="E508" s="15">
        <v>6372.6</v>
      </c>
      <c r="F508" s="274">
        <v>42929</v>
      </c>
      <c r="G508" s="15">
        <v>6372.6</v>
      </c>
      <c r="H508" s="15">
        <f>Tabla1[[#This Row],[Importe]]-Tabla1[[#This Row],[Pagado]]</f>
        <v>0</v>
      </c>
      <c r="I508" s="275" t="s">
        <v>15214</v>
      </c>
    </row>
    <row r="509" spans="1:9" x14ac:dyDescent="0.25">
      <c r="A509" s="16">
        <v>42921</v>
      </c>
      <c r="B509" s="273" t="s">
        <v>20342</v>
      </c>
      <c r="C509">
        <v>118663</v>
      </c>
      <c r="D509" s="236" t="s">
        <v>15373</v>
      </c>
      <c r="E509" s="15">
        <v>10070</v>
      </c>
      <c r="F509" s="274">
        <v>42921</v>
      </c>
      <c r="G509" s="15">
        <v>10070</v>
      </c>
      <c r="H509" s="15">
        <f>Tabla1[[#This Row],[Importe]]-Tabla1[[#This Row],[Pagado]]</f>
        <v>0</v>
      </c>
      <c r="I509" s="275" t="s">
        <v>15214</v>
      </c>
    </row>
    <row r="510" spans="1:9" x14ac:dyDescent="0.25">
      <c r="A510" s="16">
        <v>42921</v>
      </c>
      <c r="B510" s="273" t="s">
        <v>20343</v>
      </c>
      <c r="C510">
        <v>118664</v>
      </c>
      <c r="D510" s="236" t="s">
        <v>19549</v>
      </c>
      <c r="E510" s="15">
        <v>14257.1</v>
      </c>
      <c r="F510" s="274">
        <v>42921</v>
      </c>
      <c r="G510" s="15">
        <v>14257.1</v>
      </c>
      <c r="H510" s="15">
        <f>Tabla1[[#This Row],[Importe]]-Tabla1[[#This Row],[Pagado]]</f>
        <v>0</v>
      </c>
      <c r="I510" s="275" t="s">
        <v>15214</v>
      </c>
    </row>
    <row r="511" spans="1:9" x14ac:dyDescent="0.25">
      <c r="A511" s="16">
        <v>42921</v>
      </c>
      <c r="B511" s="273" t="s">
        <v>20344</v>
      </c>
      <c r="C511">
        <v>118665</v>
      </c>
      <c r="D511" s="236" t="s">
        <v>15668</v>
      </c>
      <c r="E511" s="15">
        <v>19328.400000000001</v>
      </c>
      <c r="F511" s="274">
        <v>42922</v>
      </c>
      <c r="G511" s="15">
        <v>19328.400000000001</v>
      </c>
      <c r="H511" s="15">
        <f>Tabla1[[#This Row],[Importe]]-Tabla1[[#This Row],[Pagado]]</f>
        <v>0</v>
      </c>
      <c r="I511" s="275" t="s">
        <v>15214</v>
      </c>
    </row>
    <row r="512" spans="1:9" x14ac:dyDescent="0.25">
      <c r="A512" s="16">
        <v>42921</v>
      </c>
      <c r="B512" s="273" t="s">
        <v>20345</v>
      </c>
      <c r="C512">
        <v>118666</v>
      </c>
      <c r="D512" s="236" t="s">
        <v>15380</v>
      </c>
      <c r="E512" s="15">
        <v>41333.4</v>
      </c>
      <c r="F512" s="274">
        <v>42931</v>
      </c>
      <c r="G512" s="15">
        <v>41333.4</v>
      </c>
      <c r="H512" s="15">
        <f>Tabla1[[#This Row],[Importe]]-Tabla1[[#This Row],[Pagado]]</f>
        <v>0</v>
      </c>
      <c r="I512" s="275" t="s">
        <v>15214</v>
      </c>
    </row>
    <row r="513" spans="1:9" x14ac:dyDescent="0.25">
      <c r="A513" s="16">
        <v>42921</v>
      </c>
      <c r="B513" s="273" t="s">
        <v>20346</v>
      </c>
      <c r="C513">
        <v>118667</v>
      </c>
      <c r="D513" s="236" t="s">
        <v>15389</v>
      </c>
      <c r="E513" s="15">
        <v>14687.3</v>
      </c>
      <c r="F513" s="274">
        <v>42940</v>
      </c>
      <c r="G513" s="15">
        <v>14687.3</v>
      </c>
      <c r="H513" s="15">
        <f>Tabla1[[#This Row],[Importe]]-Tabla1[[#This Row],[Pagado]]</f>
        <v>0</v>
      </c>
      <c r="I513" s="275" t="s">
        <v>15214</v>
      </c>
    </row>
    <row r="514" spans="1:9" x14ac:dyDescent="0.25">
      <c r="A514" s="16">
        <v>42921</v>
      </c>
      <c r="B514" s="273" t="s">
        <v>20347</v>
      </c>
      <c r="C514">
        <v>118668</v>
      </c>
      <c r="D514" s="236" t="s">
        <v>15382</v>
      </c>
      <c r="E514" s="15">
        <v>10321.4</v>
      </c>
      <c r="F514" s="274">
        <v>42940</v>
      </c>
      <c r="G514" s="15">
        <v>10321.4</v>
      </c>
      <c r="H514" s="15">
        <f>Tabla1[[#This Row],[Importe]]-Tabla1[[#This Row],[Pagado]]</f>
        <v>0</v>
      </c>
      <c r="I514" s="275" t="s">
        <v>15214</v>
      </c>
    </row>
    <row r="515" spans="1:9" x14ac:dyDescent="0.25">
      <c r="A515" s="16">
        <v>42921</v>
      </c>
      <c r="B515" s="273" t="s">
        <v>20348</v>
      </c>
      <c r="C515">
        <v>118669</v>
      </c>
      <c r="D515" s="236" t="s">
        <v>15234</v>
      </c>
      <c r="E515" s="15">
        <v>3460.8</v>
      </c>
      <c r="F515" s="274">
        <v>42924</v>
      </c>
      <c r="G515" s="15">
        <v>3460.8</v>
      </c>
      <c r="H515" s="15">
        <f>Tabla1[[#This Row],[Importe]]-Tabla1[[#This Row],[Pagado]]</f>
        <v>0</v>
      </c>
      <c r="I515" s="275" t="s">
        <v>15214</v>
      </c>
    </row>
    <row r="516" spans="1:9" x14ac:dyDescent="0.25">
      <c r="A516" s="16">
        <v>42921</v>
      </c>
      <c r="B516" s="273" t="s">
        <v>20349</v>
      </c>
      <c r="C516">
        <v>118670</v>
      </c>
      <c r="D516" s="236" t="s">
        <v>15228</v>
      </c>
      <c r="E516" s="15">
        <v>6118</v>
      </c>
      <c r="F516" s="274">
        <v>42921</v>
      </c>
      <c r="G516" s="15">
        <v>6118</v>
      </c>
      <c r="H516" s="15">
        <f>Tabla1[[#This Row],[Importe]]-Tabla1[[#This Row],[Pagado]]</f>
        <v>0</v>
      </c>
      <c r="I516" s="275" t="s">
        <v>15214</v>
      </c>
    </row>
    <row r="517" spans="1:9" x14ac:dyDescent="0.25">
      <c r="A517" s="16">
        <v>42921</v>
      </c>
      <c r="B517" s="273" t="s">
        <v>20350</v>
      </c>
      <c r="C517">
        <v>118671</v>
      </c>
      <c r="D517" s="236" t="s">
        <v>15263</v>
      </c>
      <c r="E517" s="15">
        <v>3577</v>
      </c>
      <c r="F517" s="274">
        <v>42921</v>
      </c>
      <c r="G517" s="15">
        <v>3577</v>
      </c>
      <c r="H517" s="15">
        <f>Tabla1[[#This Row],[Importe]]-Tabla1[[#This Row],[Pagado]]</f>
        <v>0</v>
      </c>
      <c r="I517" s="275" t="s">
        <v>15214</v>
      </c>
    </row>
    <row r="518" spans="1:9" x14ac:dyDescent="0.25">
      <c r="A518" s="16">
        <v>42921</v>
      </c>
      <c r="B518" s="273" t="s">
        <v>20351</v>
      </c>
      <c r="C518">
        <v>118672</v>
      </c>
      <c r="D518" s="236" t="s">
        <v>15681</v>
      </c>
      <c r="E518" s="15">
        <v>2200</v>
      </c>
      <c r="F518" s="274">
        <v>42921</v>
      </c>
      <c r="G518" s="15">
        <v>2200</v>
      </c>
      <c r="H518" s="15">
        <f>Tabla1[[#This Row],[Importe]]-Tabla1[[#This Row],[Pagado]]</f>
        <v>0</v>
      </c>
      <c r="I518" s="275" t="s">
        <v>15214</v>
      </c>
    </row>
    <row r="519" spans="1:9" x14ac:dyDescent="0.25">
      <c r="A519" s="16">
        <v>42921</v>
      </c>
      <c r="B519" s="273" t="s">
        <v>20352</v>
      </c>
      <c r="C519">
        <v>118673</v>
      </c>
      <c r="D519" s="236" t="s">
        <v>15236</v>
      </c>
      <c r="E519" s="15">
        <v>3838.8</v>
      </c>
      <c r="F519" s="274">
        <v>42924</v>
      </c>
      <c r="G519" s="15">
        <v>3838.8</v>
      </c>
      <c r="H519" s="15">
        <f>Tabla1[[#This Row],[Importe]]-Tabla1[[#This Row],[Pagado]]</f>
        <v>0</v>
      </c>
      <c r="I519" s="275" t="s">
        <v>15214</v>
      </c>
    </row>
    <row r="520" spans="1:9" x14ac:dyDescent="0.25">
      <c r="A520" s="16">
        <v>42921</v>
      </c>
      <c r="B520" s="273" t="s">
        <v>20353</v>
      </c>
      <c r="C520">
        <v>118674</v>
      </c>
      <c r="D520" s="236" t="s">
        <v>15373</v>
      </c>
      <c r="E520" s="15">
        <v>5345</v>
      </c>
      <c r="F520" s="274">
        <v>42921</v>
      </c>
      <c r="G520" s="15">
        <v>5345</v>
      </c>
      <c r="H520" s="15">
        <f>Tabla1[[#This Row],[Importe]]-Tabla1[[#This Row],[Pagado]]</f>
        <v>0</v>
      </c>
      <c r="I520" s="275" t="s">
        <v>15214</v>
      </c>
    </row>
    <row r="521" spans="1:9" x14ac:dyDescent="0.25">
      <c r="A521" s="16">
        <v>42921</v>
      </c>
      <c r="B521" s="273" t="s">
        <v>20354</v>
      </c>
      <c r="C521">
        <v>118675</v>
      </c>
      <c r="D521" s="236" t="s">
        <v>15369</v>
      </c>
      <c r="E521" s="15">
        <v>29584.400000000001</v>
      </c>
      <c r="F521" s="274">
        <v>42941</v>
      </c>
      <c r="G521" s="15">
        <v>29584.400000000001</v>
      </c>
      <c r="H521" s="15">
        <f>Tabla1[[#This Row],[Importe]]-Tabla1[[#This Row],[Pagado]]</f>
        <v>0</v>
      </c>
      <c r="I521" s="275" t="s">
        <v>15214</v>
      </c>
    </row>
    <row r="522" spans="1:9" x14ac:dyDescent="0.25">
      <c r="A522" s="16">
        <v>42921</v>
      </c>
      <c r="B522" s="273" t="s">
        <v>20355</v>
      </c>
      <c r="C522">
        <v>118676</v>
      </c>
      <c r="D522" s="236" t="s">
        <v>15220</v>
      </c>
      <c r="E522" s="15">
        <v>2500</v>
      </c>
      <c r="F522" s="274">
        <v>42921</v>
      </c>
      <c r="G522" s="15">
        <v>2500</v>
      </c>
      <c r="H522" s="15">
        <f>Tabla1[[#This Row],[Importe]]-Tabla1[[#This Row],[Pagado]]</f>
        <v>0</v>
      </c>
      <c r="I522" s="275" t="s">
        <v>15214</v>
      </c>
    </row>
    <row r="523" spans="1:9" x14ac:dyDescent="0.25">
      <c r="A523" s="16">
        <v>42921</v>
      </c>
      <c r="B523" s="273" t="s">
        <v>20356</v>
      </c>
      <c r="C523">
        <v>118677</v>
      </c>
      <c r="D523" s="236" t="s">
        <v>15256</v>
      </c>
      <c r="E523" s="15">
        <v>5961</v>
      </c>
      <c r="F523" s="274">
        <v>42924</v>
      </c>
      <c r="G523" s="15">
        <v>5961</v>
      </c>
      <c r="H523" s="15">
        <f>Tabla1[[#This Row],[Importe]]-Tabla1[[#This Row],[Pagado]]</f>
        <v>0</v>
      </c>
      <c r="I523" s="275" t="s">
        <v>15214</v>
      </c>
    </row>
    <row r="524" spans="1:9" x14ac:dyDescent="0.25">
      <c r="A524" s="16">
        <v>42921</v>
      </c>
      <c r="B524" s="273" t="s">
        <v>20357</v>
      </c>
      <c r="C524">
        <v>118678</v>
      </c>
      <c r="D524" s="236" t="s">
        <v>19302</v>
      </c>
      <c r="E524" s="15">
        <v>1000</v>
      </c>
      <c r="F524" s="274">
        <v>42921</v>
      </c>
      <c r="G524" s="15">
        <v>1000</v>
      </c>
      <c r="H524" s="15">
        <f>Tabla1[[#This Row],[Importe]]-Tabla1[[#This Row],[Pagado]]</f>
        <v>0</v>
      </c>
      <c r="I524" s="275" t="s">
        <v>15214</v>
      </c>
    </row>
    <row r="525" spans="1:9" x14ac:dyDescent="0.25">
      <c r="A525" s="16">
        <v>42921</v>
      </c>
      <c r="B525" s="273" t="s">
        <v>20358</v>
      </c>
      <c r="C525">
        <v>118679</v>
      </c>
      <c r="D525" s="236" t="s">
        <v>17462</v>
      </c>
      <c r="E525" s="15">
        <v>6365.3</v>
      </c>
      <c r="F525" s="274">
        <v>42921</v>
      </c>
      <c r="G525" s="15">
        <v>6365.3</v>
      </c>
      <c r="H525" s="15">
        <f>Tabla1[[#This Row],[Importe]]-Tabla1[[#This Row],[Pagado]]</f>
        <v>0</v>
      </c>
      <c r="I525" s="275" t="s">
        <v>15214</v>
      </c>
    </row>
    <row r="526" spans="1:9" x14ac:dyDescent="0.25">
      <c r="A526" s="16">
        <v>42921</v>
      </c>
      <c r="B526" s="273" t="s">
        <v>20359</v>
      </c>
      <c r="C526">
        <v>118680</v>
      </c>
      <c r="D526" s="236" t="s">
        <v>5575</v>
      </c>
      <c r="E526" s="15">
        <v>4605.2</v>
      </c>
      <c r="F526" s="274">
        <v>42924</v>
      </c>
      <c r="G526" s="15">
        <v>4605.2</v>
      </c>
      <c r="H526" s="15">
        <f>Tabla1[[#This Row],[Importe]]-Tabla1[[#This Row],[Pagado]]</f>
        <v>0</v>
      </c>
      <c r="I526" s="275" t="s">
        <v>15214</v>
      </c>
    </row>
    <row r="527" spans="1:9" x14ac:dyDescent="0.25">
      <c r="A527" s="16">
        <v>42921</v>
      </c>
      <c r="B527" s="273" t="s">
        <v>20360</v>
      </c>
      <c r="C527">
        <v>118681</v>
      </c>
      <c r="D527" s="236" t="s">
        <v>15480</v>
      </c>
      <c r="E527" s="15">
        <v>4305.6000000000004</v>
      </c>
      <c r="F527" s="274">
        <v>42926</v>
      </c>
      <c r="G527" s="15">
        <v>4305.6000000000004</v>
      </c>
      <c r="H527" s="15">
        <f>Tabla1[[#This Row],[Importe]]-Tabla1[[#This Row],[Pagado]]</f>
        <v>0</v>
      </c>
      <c r="I527" s="275" t="s">
        <v>15214</v>
      </c>
    </row>
    <row r="528" spans="1:9" ht="30" x14ac:dyDescent="0.25">
      <c r="A528" s="16">
        <v>42921</v>
      </c>
      <c r="B528" s="273" t="s">
        <v>20361</v>
      </c>
      <c r="C528">
        <v>118682</v>
      </c>
      <c r="D528" s="236" t="s">
        <v>15258</v>
      </c>
      <c r="E528" s="15">
        <v>11079.6</v>
      </c>
      <c r="F528" s="274" t="s">
        <v>20362</v>
      </c>
      <c r="G528" s="241">
        <f>5000+6079.6</f>
        <v>11079.6</v>
      </c>
      <c r="H528" s="241">
        <f>Tabla1[[#This Row],[Importe]]-Tabla1[[#This Row],[Pagado]]</f>
        <v>0</v>
      </c>
      <c r="I528" s="275" t="s">
        <v>15214</v>
      </c>
    </row>
    <row r="529" spans="1:9" x14ac:dyDescent="0.25">
      <c r="A529" s="16">
        <v>42921</v>
      </c>
      <c r="B529" s="273" t="s">
        <v>20363</v>
      </c>
      <c r="C529">
        <v>118683</v>
      </c>
      <c r="D529" s="236" t="s">
        <v>15238</v>
      </c>
      <c r="E529" s="15">
        <v>4929.2</v>
      </c>
      <c r="F529" s="274">
        <v>42924</v>
      </c>
      <c r="G529" s="15">
        <v>4929.2</v>
      </c>
      <c r="H529" s="15">
        <f>Tabla1[[#This Row],[Importe]]-Tabla1[[#This Row],[Pagado]]</f>
        <v>0</v>
      </c>
      <c r="I529" s="275" t="s">
        <v>15214</v>
      </c>
    </row>
    <row r="530" spans="1:9" x14ac:dyDescent="0.25">
      <c r="A530" s="16">
        <v>42921</v>
      </c>
      <c r="B530" s="273" t="s">
        <v>20364</v>
      </c>
      <c r="C530">
        <v>118684</v>
      </c>
      <c r="D530" s="236" t="s">
        <v>15350</v>
      </c>
      <c r="E530" s="15">
        <v>500</v>
      </c>
      <c r="F530" s="274">
        <v>42921</v>
      </c>
      <c r="G530" s="15">
        <v>500</v>
      </c>
      <c r="H530" s="15">
        <f>Tabla1[[#This Row],[Importe]]-Tabla1[[#This Row],[Pagado]]</f>
        <v>0</v>
      </c>
      <c r="I530" s="275" t="s">
        <v>15214</v>
      </c>
    </row>
    <row r="531" spans="1:9" x14ac:dyDescent="0.25">
      <c r="A531" s="16">
        <v>42921</v>
      </c>
      <c r="B531" s="273" t="s">
        <v>20365</v>
      </c>
      <c r="C531">
        <v>118685</v>
      </c>
      <c r="D531" s="236" t="s">
        <v>15523</v>
      </c>
      <c r="E531" s="15">
        <v>1500</v>
      </c>
      <c r="F531" s="274">
        <v>42921</v>
      </c>
      <c r="G531" s="15">
        <v>1500</v>
      </c>
      <c r="H531" s="15">
        <f>Tabla1[[#This Row],[Importe]]-Tabla1[[#This Row],[Pagado]]</f>
        <v>0</v>
      </c>
      <c r="I531" s="275" t="s">
        <v>15214</v>
      </c>
    </row>
    <row r="532" spans="1:9" x14ac:dyDescent="0.25">
      <c r="A532" s="16">
        <v>42921</v>
      </c>
      <c r="B532" s="273" t="s">
        <v>20366</v>
      </c>
      <c r="C532">
        <v>118686</v>
      </c>
      <c r="D532" s="236" t="s">
        <v>15246</v>
      </c>
      <c r="E532" s="15">
        <v>38303.800000000003</v>
      </c>
      <c r="F532" s="274">
        <v>42924</v>
      </c>
      <c r="G532" s="15">
        <v>38303.800000000003</v>
      </c>
      <c r="H532" s="15">
        <f>Tabla1[[#This Row],[Importe]]-Tabla1[[#This Row],[Pagado]]</f>
        <v>0</v>
      </c>
      <c r="I532" s="275" t="s">
        <v>15214</v>
      </c>
    </row>
    <row r="533" spans="1:9" x14ac:dyDescent="0.25">
      <c r="A533" s="16">
        <v>42921</v>
      </c>
      <c r="B533" s="273" t="s">
        <v>20367</v>
      </c>
      <c r="C533">
        <v>118687</v>
      </c>
      <c r="D533" s="236" t="s">
        <v>15324</v>
      </c>
      <c r="E533" s="15">
        <v>2416</v>
      </c>
      <c r="F533" s="274">
        <v>42921</v>
      </c>
      <c r="G533" s="15">
        <v>2416</v>
      </c>
      <c r="H533" s="15">
        <f>Tabla1[[#This Row],[Importe]]-Tabla1[[#This Row],[Pagado]]</f>
        <v>0</v>
      </c>
      <c r="I533" s="275" t="s">
        <v>15214</v>
      </c>
    </row>
    <row r="534" spans="1:9" x14ac:dyDescent="0.25">
      <c r="A534" s="16">
        <v>42921</v>
      </c>
      <c r="B534" s="273" t="s">
        <v>20368</v>
      </c>
      <c r="C534">
        <v>118688</v>
      </c>
      <c r="D534" s="236" t="s">
        <v>15240</v>
      </c>
      <c r="E534" s="15">
        <v>3293</v>
      </c>
      <c r="F534" s="274">
        <v>42924</v>
      </c>
      <c r="G534" s="15">
        <v>3293</v>
      </c>
      <c r="H534" s="15">
        <f>Tabla1[[#This Row],[Importe]]-Tabla1[[#This Row],[Pagado]]</f>
        <v>0</v>
      </c>
      <c r="I534" s="275" t="s">
        <v>15214</v>
      </c>
    </row>
    <row r="535" spans="1:9" x14ac:dyDescent="0.25">
      <c r="A535" s="16">
        <v>42921</v>
      </c>
      <c r="B535" s="273" t="s">
        <v>20369</v>
      </c>
      <c r="C535">
        <v>118689</v>
      </c>
      <c r="D535" s="236" t="s">
        <v>15348</v>
      </c>
      <c r="E535" s="15">
        <v>3707.6</v>
      </c>
      <c r="F535" s="274">
        <v>42921</v>
      </c>
      <c r="G535" s="15">
        <v>3707.6</v>
      </c>
      <c r="H535" s="15">
        <f>Tabla1[[#This Row],[Importe]]-Tabla1[[#This Row],[Pagado]]</f>
        <v>0</v>
      </c>
      <c r="I535" s="275" t="s">
        <v>15214</v>
      </c>
    </row>
    <row r="536" spans="1:9" x14ac:dyDescent="0.25">
      <c r="A536" s="16">
        <v>42921</v>
      </c>
      <c r="B536" s="273" t="s">
        <v>20370</v>
      </c>
      <c r="C536">
        <v>118690</v>
      </c>
      <c r="D536" s="236" t="s">
        <v>15242</v>
      </c>
      <c r="E536" s="15">
        <v>15111</v>
      </c>
      <c r="F536" s="274">
        <v>42921</v>
      </c>
      <c r="G536" s="15">
        <v>15111</v>
      </c>
      <c r="H536" s="15">
        <f>Tabla1[[#This Row],[Importe]]-Tabla1[[#This Row],[Pagado]]</f>
        <v>0</v>
      </c>
      <c r="I536" s="275" t="s">
        <v>15214</v>
      </c>
    </row>
    <row r="537" spans="1:9" x14ac:dyDescent="0.25">
      <c r="A537" s="16">
        <v>42921</v>
      </c>
      <c r="B537" s="273" t="s">
        <v>20371</v>
      </c>
      <c r="C537">
        <v>118691</v>
      </c>
      <c r="D537" s="236" t="s">
        <v>15244</v>
      </c>
      <c r="E537" s="15">
        <v>7360.4</v>
      </c>
      <c r="F537" s="274">
        <v>42922</v>
      </c>
      <c r="G537" s="15">
        <v>7360.4</v>
      </c>
      <c r="H537" s="15">
        <f>Tabla1[[#This Row],[Importe]]-Tabla1[[#This Row],[Pagado]]</f>
        <v>0</v>
      </c>
      <c r="I537" s="275" t="s">
        <v>15214</v>
      </c>
    </row>
    <row r="538" spans="1:9" x14ac:dyDescent="0.25">
      <c r="A538" s="16">
        <v>42921</v>
      </c>
      <c r="B538" s="273" t="s">
        <v>20372</v>
      </c>
      <c r="C538">
        <v>118692</v>
      </c>
      <c r="D538" s="236" t="s">
        <v>15541</v>
      </c>
      <c r="E538" s="15">
        <v>974.6</v>
      </c>
      <c r="F538" s="274">
        <v>42921</v>
      </c>
      <c r="G538" s="15">
        <v>974.6</v>
      </c>
      <c r="H538" s="15">
        <f>Tabla1[[#This Row],[Importe]]-Tabla1[[#This Row],[Pagado]]</f>
        <v>0</v>
      </c>
      <c r="I538" s="275" t="s">
        <v>15214</v>
      </c>
    </row>
    <row r="539" spans="1:9" x14ac:dyDescent="0.25">
      <c r="A539" s="16">
        <v>42921</v>
      </c>
      <c r="B539" s="273" t="s">
        <v>20373</v>
      </c>
      <c r="C539">
        <v>118693</v>
      </c>
      <c r="D539" s="236" t="s">
        <v>15252</v>
      </c>
      <c r="E539" s="15">
        <v>4754.3999999999996</v>
      </c>
      <c r="F539" s="274">
        <v>42926</v>
      </c>
      <c r="G539" s="15">
        <v>4754.3999999999996</v>
      </c>
      <c r="H539" s="15">
        <f>Tabla1[[#This Row],[Importe]]-Tabla1[[#This Row],[Pagado]]</f>
        <v>0</v>
      </c>
      <c r="I539" s="275" t="s">
        <v>15214</v>
      </c>
    </row>
    <row r="540" spans="1:9" x14ac:dyDescent="0.25">
      <c r="A540" s="16">
        <v>42921</v>
      </c>
      <c r="B540" s="273" t="s">
        <v>20374</v>
      </c>
      <c r="C540">
        <v>118694</v>
      </c>
      <c r="D540" s="236" t="s">
        <v>15252</v>
      </c>
      <c r="E540" s="15">
        <v>331.2</v>
      </c>
      <c r="F540" s="274">
        <v>42922</v>
      </c>
      <c r="G540" s="15">
        <v>331.2</v>
      </c>
      <c r="H540" s="15">
        <f>Tabla1[[#This Row],[Importe]]-Tabla1[[#This Row],[Pagado]]</f>
        <v>0</v>
      </c>
      <c r="I540" s="275" t="s">
        <v>15214</v>
      </c>
    </row>
    <row r="541" spans="1:9" x14ac:dyDescent="0.25">
      <c r="A541" s="16">
        <v>42921</v>
      </c>
      <c r="B541" s="273" t="s">
        <v>20375</v>
      </c>
      <c r="C541">
        <v>118695</v>
      </c>
      <c r="D541" s="236" t="s">
        <v>15549</v>
      </c>
      <c r="E541" s="15">
        <v>5278</v>
      </c>
      <c r="F541" s="274">
        <v>42921</v>
      </c>
      <c r="G541" s="15">
        <v>5278</v>
      </c>
      <c r="H541" s="15">
        <f>Tabla1[[#This Row],[Importe]]-Tabla1[[#This Row],[Pagado]]</f>
        <v>0</v>
      </c>
      <c r="I541" s="275" t="s">
        <v>15214</v>
      </c>
    </row>
    <row r="542" spans="1:9" x14ac:dyDescent="0.25">
      <c r="A542" s="16">
        <v>42921</v>
      </c>
      <c r="B542" s="273" t="s">
        <v>20376</v>
      </c>
      <c r="C542">
        <v>118696</v>
      </c>
      <c r="D542" s="236" t="s">
        <v>15250</v>
      </c>
      <c r="E542" s="15">
        <v>36358.54</v>
      </c>
      <c r="F542" s="274">
        <v>42931</v>
      </c>
      <c r="G542" s="15">
        <v>36358.54</v>
      </c>
      <c r="H542" s="15">
        <f>Tabla1[[#This Row],[Importe]]-Tabla1[[#This Row],[Pagado]]</f>
        <v>0</v>
      </c>
      <c r="I542" s="275" t="s">
        <v>15214</v>
      </c>
    </row>
    <row r="543" spans="1:9" x14ac:dyDescent="0.25">
      <c r="A543" s="16">
        <v>42921</v>
      </c>
      <c r="B543" s="273" t="s">
        <v>20377</v>
      </c>
      <c r="C543">
        <v>118697</v>
      </c>
      <c r="D543" s="236" t="s">
        <v>15438</v>
      </c>
      <c r="E543" s="15">
        <v>868.8</v>
      </c>
      <c r="F543" s="274">
        <v>42921</v>
      </c>
      <c r="G543" s="15">
        <v>868.8</v>
      </c>
      <c r="H543" s="15">
        <f>Tabla1[[#This Row],[Importe]]-Tabla1[[#This Row],[Pagado]]</f>
        <v>0</v>
      </c>
      <c r="I543" s="275" t="s">
        <v>15214</v>
      </c>
    </row>
    <row r="544" spans="1:9" x14ac:dyDescent="0.25">
      <c r="A544" s="16">
        <v>42921</v>
      </c>
      <c r="B544" s="273" t="s">
        <v>20378</v>
      </c>
      <c r="C544">
        <v>118698</v>
      </c>
      <c r="D544" s="236" t="s">
        <v>15246</v>
      </c>
      <c r="E544" s="15">
        <v>6766.2</v>
      </c>
      <c r="F544" s="274">
        <v>42924</v>
      </c>
      <c r="G544" s="15">
        <v>6766.2</v>
      </c>
      <c r="H544" s="15">
        <f>Tabla1[[#This Row],[Importe]]-Tabla1[[#This Row],[Pagado]]</f>
        <v>0</v>
      </c>
      <c r="I544" s="275" t="s">
        <v>15214</v>
      </c>
    </row>
    <row r="545" spans="1:9" x14ac:dyDescent="0.25">
      <c r="A545" s="16">
        <v>42921</v>
      </c>
      <c r="B545" s="273" t="s">
        <v>20379</v>
      </c>
      <c r="C545">
        <v>118699</v>
      </c>
      <c r="D545" s="236" t="s">
        <v>17277</v>
      </c>
      <c r="E545" s="15">
        <v>2659.8</v>
      </c>
      <c r="F545" s="274">
        <v>42921</v>
      </c>
      <c r="G545" s="15">
        <v>2659.8</v>
      </c>
      <c r="H545" s="15">
        <f>Tabla1[[#This Row],[Importe]]-Tabla1[[#This Row],[Pagado]]</f>
        <v>0</v>
      </c>
      <c r="I545" s="275" t="s">
        <v>15214</v>
      </c>
    </row>
    <row r="546" spans="1:9" x14ac:dyDescent="0.25">
      <c r="A546" s="16">
        <v>42921</v>
      </c>
      <c r="B546" s="273" t="s">
        <v>20380</v>
      </c>
      <c r="C546">
        <v>118700</v>
      </c>
      <c r="D546" s="236" t="s">
        <v>15246</v>
      </c>
      <c r="E546" s="15">
        <v>202511.5</v>
      </c>
      <c r="F546" s="274">
        <v>42924</v>
      </c>
      <c r="G546" s="15">
        <v>202511.5</v>
      </c>
      <c r="H546" s="15">
        <f>Tabla1[[#This Row],[Importe]]-Tabla1[[#This Row],[Pagado]]</f>
        <v>0</v>
      </c>
      <c r="I546" s="275" t="s">
        <v>15214</v>
      </c>
    </row>
    <row r="547" spans="1:9" ht="30" x14ac:dyDescent="0.25">
      <c r="A547" s="16">
        <v>42921</v>
      </c>
      <c r="B547" s="273" t="s">
        <v>20381</v>
      </c>
      <c r="C547">
        <v>118701</v>
      </c>
      <c r="D547" s="236" t="s">
        <v>15223</v>
      </c>
      <c r="E547" s="15">
        <v>54059.199999999997</v>
      </c>
      <c r="F547" s="274" t="s">
        <v>23772</v>
      </c>
      <c r="G547" s="241">
        <f>24536.5+29522.7</f>
        <v>54059.199999999997</v>
      </c>
      <c r="H547" s="241">
        <f>Tabla1[[#This Row],[Importe]]-Tabla1[[#This Row],[Pagado]]</f>
        <v>0</v>
      </c>
      <c r="I547" s="275" t="s">
        <v>15214</v>
      </c>
    </row>
    <row r="548" spans="1:9" x14ac:dyDescent="0.25">
      <c r="A548" s="16">
        <v>42921</v>
      </c>
      <c r="B548" s="273" t="s">
        <v>20382</v>
      </c>
      <c r="C548">
        <v>118702</v>
      </c>
      <c r="D548" s="236" t="s">
        <v>15278</v>
      </c>
      <c r="E548" s="15">
        <v>6938.5</v>
      </c>
      <c r="F548" s="274">
        <v>42921</v>
      </c>
      <c r="G548" s="15">
        <v>6938.5</v>
      </c>
      <c r="H548" s="15">
        <f>Tabla1[[#This Row],[Importe]]-Tabla1[[#This Row],[Pagado]]</f>
        <v>0</v>
      </c>
      <c r="I548" s="275" t="s">
        <v>15214</v>
      </c>
    </row>
    <row r="549" spans="1:9" x14ac:dyDescent="0.25">
      <c r="A549" s="16">
        <v>42921</v>
      </c>
      <c r="B549" s="273" t="s">
        <v>20383</v>
      </c>
      <c r="C549">
        <v>118703</v>
      </c>
      <c r="D549" s="236" t="s">
        <v>15334</v>
      </c>
      <c r="E549" s="15">
        <v>2370</v>
      </c>
      <c r="F549" s="274">
        <v>42921</v>
      </c>
      <c r="G549" s="15">
        <v>2370</v>
      </c>
      <c r="H549" s="15">
        <f>Tabla1[[#This Row],[Importe]]-Tabla1[[#This Row],[Pagado]]</f>
        <v>0</v>
      </c>
      <c r="I549" s="275" t="s">
        <v>15214</v>
      </c>
    </row>
    <row r="550" spans="1:9" x14ac:dyDescent="0.25">
      <c r="A550" s="16">
        <v>42921</v>
      </c>
      <c r="B550" s="273" t="s">
        <v>20384</v>
      </c>
      <c r="C550">
        <v>118704</v>
      </c>
      <c r="D550" s="236" t="s">
        <v>15858</v>
      </c>
      <c r="E550" s="15">
        <v>2618.6799999999998</v>
      </c>
      <c r="F550" s="274">
        <v>42921</v>
      </c>
      <c r="G550" s="15">
        <v>2618.6799999999998</v>
      </c>
      <c r="H550" s="15">
        <f>Tabla1[[#This Row],[Importe]]-Tabla1[[#This Row],[Pagado]]</f>
        <v>0</v>
      </c>
      <c r="I550" s="275" t="s">
        <v>15214</v>
      </c>
    </row>
    <row r="551" spans="1:9" x14ac:dyDescent="0.25">
      <c r="A551" s="16">
        <v>42921</v>
      </c>
      <c r="B551" s="273" t="s">
        <v>20385</v>
      </c>
      <c r="C551">
        <v>118705</v>
      </c>
      <c r="D551" s="236" t="s">
        <v>15280</v>
      </c>
      <c r="E551" s="15">
        <v>5565.8</v>
      </c>
      <c r="F551" s="274">
        <v>42921</v>
      </c>
      <c r="G551" s="15">
        <v>5565.8</v>
      </c>
      <c r="H551" s="15">
        <f>Tabla1[[#This Row],[Importe]]-Tabla1[[#This Row],[Pagado]]</f>
        <v>0</v>
      </c>
      <c r="I551" s="275" t="s">
        <v>15214</v>
      </c>
    </row>
    <row r="552" spans="1:9" x14ac:dyDescent="0.25">
      <c r="A552" s="16">
        <v>42921</v>
      </c>
      <c r="B552" s="273" t="s">
        <v>20386</v>
      </c>
      <c r="C552">
        <v>118706</v>
      </c>
      <c r="D552" s="236" t="s">
        <v>15274</v>
      </c>
      <c r="E552" s="15">
        <v>1050</v>
      </c>
      <c r="F552" s="274">
        <v>42922</v>
      </c>
      <c r="G552" s="15">
        <v>1050</v>
      </c>
      <c r="H552" s="15">
        <f>Tabla1[[#This Row],[Importe]]-Tabla1[[#This Row],[Pagado]]</f>
        <v>0</v>
      </c>
      <c r="I552" s="275" t="s">
        <v>15214</v>
      </c>
    </row>
    <row r="553" spans="1:9" x14ac:dyDescent="0.25">
      <c r="A553" s="16">
        <v>42921</v>
      </c>
      <c r="B553" s="273" t="s">
        <v>20387</v>
      </c>
      <c r="C553">
        <v>118707</v>
      </c>
      <c r="D553" s="236" t="s">
        <v>15315</v>
      </c>
      <c r="E553" s="15">
        <v>1841.7</v>
      </c>
      <c r="F553" s="274">
        <v>42921</v>
      </c>
      <c r="G553" s="15">
        <v>1841.7</v>
      </c>
      <c r="H553" s="15">
        <f>Tabla1[[#This Row],[Importe]]-Tabla1[[#This Row],[Pagado]]</f>
        <v>0</v>
      </c>
      <c r="I553" s="275" t="s">
        <v>15214</v>
      </c>
    </row>
    <row r="554" spans="1:9" x14ac:dyDescent="0.25">
      <c r="A554" s="16">
        <v>42921</v>
      </c>
      <c r="B554" s="273" t="s">
        <v>20388</v>
      </c>
      <c r="C554">
        <v>118708</v>
      </c>
      <c r="D554" s="236" t="s">
        <v>15336</v>
      </c>
      <c r="E554" s="15">
        <v>6012.3</v>
      </c>
      <c r="F554" s="274">
        <v>42921</v>
      </c>
      <c r="G554" s="15">
        <v>6012.3</v>
      </c>
      <c r="H554" s="15">
        <f>Tabla1[[#This Row],[Importe]]-Tabla1[[#This Row],[Pagado]]</f>
        <v>0</v>
      </c>
      <c r="I554" s="275" t="s">
        <v>15214</v>
      </c>
    </row>
    <row r="555" spans="1:9" x14ac:dyDescent="0.25">
      <c r="A555" s="16">
        <v>42921</v>
      </c>
      <c r="B555" s="273" t="s">
        <v>20389</v>
      </c>
      <c r="C555">
        <v>118709</v>
      </c>
      <c r="D555" s="236" t="s">
        <v>15358</v>
      </c>
      <c r="E555" s="15">
        <v>759.5</v>
      </c>
      <c r="F555" s="274">
        <v>42921</v>
      </c>
      <c r="G555" s="15">
        <v>759.5</v>
      </c>
      <c r="H555" s="15">
        <f>Tabla1[[#This Row],[Importe]]-Tabla1[[#This Row],[Pagado]]</f>
        <v>0</v>
      </c>
      <c r="I555" s="275" t="s">
        <v>15214</v>
      </c>
    </row>
    <row r="556" spans="1:9" x14ac:dyDescent="0.25">
      <c r="A556" s="16">
        <v>42921</v>
      </c>
      <c r="B556" s="273" t="s">
        <v>20390</v>
      </c>
      <c r="C556">
        <v>118710</v>
      </c>
      <c r="D556" s="236" t="s">
        <v>15356</v>
      </c>
      <c r="E556" s="15">
        <v>851.7</v>
      </c>
      <c r="F556" s="274">
        <v>42921</v>
      </c>
      <c r="G556" s="15">
        <v>851.7</v>
      </c>
      <c r="H556" s="15">
        <f>Tabla1[[#This Row],[Importe]]-Tabla1[[#This Row],[Pagado]]</f>
        <v>0</v>
      </c>
      <c r="I556" s="275" t="s">
        <v>15214</v>
      </c>
    </row>
    <row r="557" spans="1:9" x14ac:dyDescent="0.25">
      <c r="A557" s="16">
        <v>42921</v>
      </c>
      <c r="B557" s="273" t="s">
        <v>20391</v>
      </c>
      <c r="C557">
        <v>118711</v>
      </c>
      <c r="D557" s="236" t="s">
        <v>15248</v>
      </c>
      <c r="E557" s="15">
        <v>9477.2000000000007</v>
      </c>
      <c r="F557" s="274">
        <v>42921</v>
      </c>
      <c r="G557" s="15">
        <v>9477.2000000000007</v>
      </c>
      <c r="H557" s="15">
        <f>Tabla1[[#This Row],[Importe]]-Tabla1[[#This Row],[Pagado]]</f>
        <v>0</v>
      </c>
      <c r="I557" s="275" t="s">
        <v>15214</v>
      </c>
    </row>
    <row r="558" spans="1:9" x14ac:dyDescent="0.25">
      <c r="A558" s="16">
        <v>42921</v>
      </c>
      <c r="B558" s="273" t="s">
        <v>20392</v>
      </c>
      <c r="C558">
        <v>118712</v>
      </c>
      <c r="D558" s="236" t="s">
        <v>15358</v>
      </c>
      <c r="E558" s="15">
        <v>2043.3</v>
      </c>
      <c r="F558" s="274">
        <v>42921</v>
      </c>
      <c r="G558" s="15">
        <v>2043.3</v>
      </c>
      <c r="H558" s="15">
        <f>Tabla1[[#This Row],[Importe]]-Tabla1[[#This Row],[Pagado]]</f>
        <v>0</v>
      </c>
      <c r="I558" s="275" t="s">
        <v>15214</v>
      </c>
    </row>
    <row r="559" spans="1:9" x14ac:dyDescent="0.25">
      <c r="A559" s="16">
        <v>42921</v>
      </c>
      <c r="B559" s="273" t="s">
        <v>20393</v>
      </c>
      <c r="C559">
        <v>118713</v>
      </c>
      <c r="D559" s="236" t="s">
        <v>15530</v>
      </c>
      <c r="E559" s="15">
        <v>3500.4</v>
      </c>
      <c r="F559" s="274">
        <v>42921</v>
      </c>
      <c r="G559" s="15">
        <v>3500.4</v>
      </c>
      <c r="H559" s="15">
        <f>Tabla1[[#This Row],[Importe]]-Tabla1[[#This Row],[Pagado]]</f>
        <v>0</v>
      </c>
      <c r="I559" s="275" t="s">
        <v>15214</v>
      </c>
    </row>
    <row r="560" spans="1:9" x14ac:dyDescent="0.25">
      <c r="A560" s="16">
        <v>42921</v>
      </c>
      <c r="B560" s="273" t="s">
        <v>20394</v>
      </c>
      <c r="C560">
        <v>118714</v>
      </c>
      <c r="D560" s="236" t="s">
        <v>15340</v>
      </c>
      <c r="E560" s="15">
        <v>7155</v>
      </c>
      <c r="F560" s="274">
        <v>42921</v>
      </c>
      <c r="G560" s="15">
        <v>7155</v>
      </c>
      <c r="H560" s="15">
        <f>Tabla1[[#This Row],[Importe]]-Tabla1[[#This Row],[Pagado]]</f>
        <v>0</v>
      </c>
      <c r="I560" s="275" t="s">
        <v>15214</v>
      </c>
    </row>
    <row r="561" spans="1:9" x14ac:dyDescent="0.25">
      <c r="A561" s="16">
        <v>42921</v>
      </c>
      <c r="B561" s="273" t="s">
        <v>20395</v>
      </c>
      <c r="C561">
        <v>118715</v>
      </c>
      <c r="D561" s="236" t="s">
        <v>15261</v>
      </c>
      <c r="E561" s="15">
        <v>17664.7</v>
      </c>
      <c r="F561" s="274">
        <v>42921</v>
      </c>
      <c r="G561" s="15">
        <v>17664.7</v>
      </c>
      <c r="H561" s="15">
        <f>Tabla1[[#This Row],[Importe]]-Tabla1[[#This Row],[Pagado]]</f>
        <v>0</v>
      </c>
      <c r="I561" s="275" t="s">
        <v>15214</v>
      </c>
    </row>
    <row r="562" spans="1:9" x14ac:dyDescent="0.25">
      <c r="A562" s="16">
        <v>42921</v>
      </c>
      <c r="B562" s="273" t="s">
        <v>20396</v>
      </c>
      <c r="C562">
        <v>118716</v>
      </c>
      <c r="D562" s="236" t="s">
        <v>15378</v>
      </c>
      <c r="E562" s="15">
        <v>1136.4000000000001</v>
      </c>
      <c r="F562" s="274">
        <v>42921</v>
      </c>
      <c r="G562" s="15">
        <v>1136.4000000000001</v>
      </c>
      <c r="H562" s="15">
        <f>Tabla1[[#This Row],[Importe]]-Tabla1[[#This Row],[Pagado]]</f>
        <v>0</v>
      </c>
      <c r="I562" s="275" t="s">
        <v>15214</v>
      </c>
    </row>
    <row r="563" spans="1:9" x14ac:dyDescent="0.25">
      <c r="A563" s="16">
        <v>42921</v>
      </c>
      <c r="B563" s="273" t="s">
        <v>20397</v>
      </c>
      <c r="C563">
        <v>118717</v>
      </c>
      <c r="D563" s="236" t="s">
        <v>15526</v>
      </c>
      <c r="E563" s="15">
        <v>3744</v>
      </c>
      <c r="F563" s="274">
        <v>42921</v>
      </c>
      <c r="G563" s="15">
        <v>3744</v>
      </c>
      <c r="H563" s="15">
        <f>Tabla1[[#This Row],[Importe]]-Tabla1[[#This Row],[Pagado]]</f>
        <v>0</v>
      </c>
      <c r="I563" s="275" t="s">
        <v>15214</v>
      </c>
    </row>
    <row r="564" spans="1:9" x14ac:dyDescent="0.25">
      <c r="A564" s="16">
        <v>42921</v>
      </c>
      <c r="B564" s="273" t="s">
        <v>20398</v>
      </c>
      <c r="C564">
        <v>118718</v>
      </c>
      <c r="D564" s="236" t="s">
        <v>15332</v>
      </c>
      <c r="E564" s="15">
        <v>3916.8</v>
      </c>
      <c r="F564" s="274">
        <v>42921</v>
      </c>
      <c r="G564" s="15">
        <v>3916.8</v>
      </c>
      <c r="H564" s="15">
        <f>Tabla1[[#This Row],[Importe]]-Tabla1[[#This Row],[Pagado]]</f>
        <v>0</v>
      </c>
      <c r="I564" s="275" t="s">
        <v>15214</v>
      </c>
    </row>
    <row r="565" spans="1:9" x14ac:dyDescent="0.25">
      <c r="A565" s="16">
        <v>42921</v>
      </c>
      <c r="B565" s="273" t="s">
        <v>20399</v>
      </c>
      <c r="C565">
        <v>118719</v>
      </c>
      <c r="D565" s="236" t="s">
        <v>18544</v>
      </c>
      <c r="E565" s="15">
        <v>8240.6</v>
      </c>
      <c r="F565" s="274">
        <v>42921</v>
      </c>
      <c r="G565" s="15">
        <v>8240.6</v>
      </c>
      <c r="H565" s="15">
        <f>Tabla1[[#This Row],[Importe]]-Tabla1[[#This Row],[Pagado]]</f>
        <v>0</v>
      </c>
      <c r="I565" s="275" t="s">
        <v>15214</v>
      </c>
    </row>
    <row r="566" spans="1:9" x14ac:dyDescent="0.25">
      <c r="A566" s="16">
        <v>42921</v>
      </c>
      <c r="B566" s="273" t="s">
        <v>20400</v>
      </c>
      <c r="C566">
        <v>118720</v>
      </c>
      <c r="D566" s="236" t="s">
        <v>15417</v>
      </c>
      <c r="E566" s="15">
        <v>2116.8000000000002</v>
      </c>
      <c r="F566" s="274">
        <v>42922</v>
      </c>
      <c r="G566" s="15">
        <v>2116.8000000000002</v>
      </c>
      <c r="H566" s="15">
        <f>Tabla1[[#This Row],[Importe]]-Tabla1[[#This Row],[Pagado]]</f>
        <v>0</v>
      </c>
      <c r="I566" s="275" t="s">
        <v>15214</v>
      </c>
    </row>
    <row r="567" spans="1:9" x14ac:dyDescent="0.25">
      <c r="A567" s="16">
        <v>42921</v>
      </c>
      <c r="B567" s="273" t="s">
        <v>20401</v>
      </c>
      <c r="C567">
        <v>118721</v>
      </c>
      <c r="D567" s="236" t="s">
        <v>15291</v>
      </c>
      <c r="E567" s="15">
        <v>900</v>
      </c>
      <c r="F567" s="274">
        <v>42922</v>
      </c>
      <c r="G567" s="15">
        <v>900</v>
      </c>
      <c r="H567" s="15">
        <f>Tabla1[[#This Row],[Importe]]-Tabla1[[#This Row],[Pagado]]</f>
        <v>0</v>
      </c>
      <c r="I567" s="275" t="s">
        <v>15214</v>
      </c>
    </row>
    <row r="568" spans="1:9" x14ac:dyDescent="0.25">
      <c r="A568" s="16">
        <v>42921</v>
      </c>
      <c r="B568" s="273" t="s">
        <v>20402</v>
      </c>
      <c r="C568">
        <v>118722</v>
      </c>
      <c r="D568" s="236" t="s">
        <v>15307</v>
      </c>
      <c r="E568" s="15">
        <v>2655.9</v>
      </c>
      <c r="F568" s="274">
        <v>42922</v>
      </c>
      <c r="G568" s="15">
        <v>2655.9</v>
      </c>
      <c r="H568" s="15">
        <f>Tabla1[[#This Row],[Importe]]-Tabla1[[#This Row],[Pagado]]</f>
        <v>0</v>
      </c>
      <c r="I568" s="275" t="s">
        <v>15214</v>
      </c>
    </row>
    <row r="569" spans="1:9" x14ac:dyDescent="0.25">
      <c r="A569" s="16">
        <v>42921</v>
      </c>
      <c r="B569" s="273" t="s">
        <v>20403</v>
      </c>
      <c r="C569">
        <v>118723</v>
      </c>
      <c r="D569" s="236" t="s">
        <v>15328</v>
      </c>
      <c r="E569" s="15">
        <v>29902.7</v>
      </c>
      <c r="F569" s="274">
        <v>42934</v>
      </c>
      <c r="G569" s="15">
        <v>29902.7</v>
      </c>
      <c r="H569" s="15">
        <f>Tabla1[[#This Row],[Importe]]-Tabla1[[#This Row],[Pagado]]</f>
        <v>0</v>
      </c>
      <c r="I569" s="275" t="s">
        <v>15214</v>
      </c>
    </row>
    <row r="570" spans="1:9" x14ac:dyDescent="0.25">
      <c r="A570" s="16">
        <v>42921</v>
      </c>
      <c r="B570" s="273" t="s">
        <v>20404</v>
      </c>
      <c r="C570">
        <v>118724</v>
      </c>
      <c r="D570" s="236" t="s">
        <v>15745</v>
      </c>
      <c r="E570" s="15">
        <v>1563.68</v>
      </c>
      <c r="F570" s="274">
        <v>42922</v>
      </c>
      <c r="G570" s="15">
        <v>1563.68</v>
      </c>
      <c r="H570" s="15">
        <f>Tabla1[[#This Row],[Importe]]-Tabla1[[#This Row],[Pagado]]</f>
        <v>0</v>
      </c>
      <c r="I570" s="275" t="s">
        <v>15214</v>
      </c>
    </row>
    <row r="571" spans="1:9" x14ac:dyDescent="0.25">
      <c r="A571" s="16">
        <v>42921</v>
      </c>
      <c r="B571" s="273" t="s">
        <v>20405</v>
      </c>
      <c r="C571">
        <v>118725</v>
      </c>
      <c r="D571" s="236" t="s">
        <v>15342</v>
      </c>
      <c r="E571" s="15">
        <v>694.4</v>
      </c>
      <c r="F571" s="274">
        <v>42921</v>
      </c>
      <c r="G571" s="15">
        <v>694.4</v>
      </c>
      <c r="H571" s="15">
        <f>Tabla1[[#This Row],[Importe]]-Tabla1[[#This Row],[Pagado]]</f>
        <v>0</v>
      </c>
      <c r="I571" s="275" t="s">
        <v>15214</v>
      </c>
    </row>
    <row r="572" spans="1:9" x14ac:dyDescent="0.25">
      <c r="A572" s="16">
        <v>42921</v>
      </c>
      <c r="B572" s="273" t="s">
        <v>20406</v>
      </c>
      <c r="C572">
        <v>118726</v>
      </c>
      <c r="D572" s="236" t="s">
        <v>15309</v>
      </c>
      <c r="E572" s="15">
        <v>1848.8</v>
      </c>
      <c r="F572" s="274">
        <v>42922</v>
      </c>
      <c r="G572" s="15">
        <v>1848.8</v>
      </c>
      <c r="H572" s="15">
        <f>Tabla1[[#This Row],[Importe]]-Tabla1[[#This Row],[Pagado]]</f>
        <v>0</v>
      </c>
      <c r="I572" s="275" t="s">
        <v>15214</v>
      </c>
    </row>
    <row r="573" spans="1:9" x14ac:dyDescent="0.25">
      <c r="A573" s="16">
        <v>42921</v>
      </c>
      <c r="B573" s="273" t="s">
        <v>20407</v>
      </c>
      <c r="C573">
        <v>118727</v>
      </c>
      <c r="D573" s="236" t="s">
        <v>15590</v>
      </c>
      <c r="E573" s="15">
        <v>37094.400000000001</v>
      </c>
      <c r="F573" s="274">
        <v>42928</v>
      </c>
      <c r="G573" s="15">
        <v>37094.400000000001</v>
      </c>
      <c r="H573" s="15">
        <f>Tabla1[[#This Row],[Importe]]-Tabla1[[#This Row],[Pagado]]</f>
        <v>0</v>
      </c>
      <c r="I573" s="275" t="s">
        <v>15214</v>
      </c>
    </row>
    <row r="574" spans="1:9" x14ac:dyDescent="0.25">
      <c r="A574" s="16">
        <v>42921</v>
      </c>
      <c r="B574" s="273" t="s">
        <v>20408</v>
      </c>
      <c r="C574">
        <v>118728</v>
      </c>
      <c r="D574" s="236" t="s">
        <v>17235</v>
      </c>
      <c r="E574" s="15">
        <v>2043.6</v>
      </c>
      <c r="F574" s="274">
        <v>42922</v>
      </c>
      <c r="G574" s="15">
        <v>2043.6</v>
      </c>
      <c r="H574" s="15">
        <f>Tabla1[[#This Row],[Importe]]-Tabla1[[#This Row],[Pagado]]</f>
        <v>0</v>
      </c>
      <c r="I574" s="275" t="s">
        <v>15214</v>
      </c>
    </row>
    <row r="575" spans="1:9" x14ac:dyDescent="0.25">
      <c r="A575" s="16">
        <v>42921</v>
      </c>
      <c r="B575" s="273" t="s">
        <v>20409</v>
      </c>
      <c r="C575">
        <v>118729</v>
      </c>
      <c r="D575" s="236" t="s">
        <v>15581</v>
      </c>
      <c r="E575" s="15">
        <v>11547</v>
      </c>
      <c r="F575" s="274">
        <v>42923</v>
      </c>
      <c r="G575" s="15">
        <v>11547</v>
      </c>
      <c r="H575" s="15">
        <f>Tabla1[[#This Row],[Importe]]-Tabla1[[#This Row],[Pagado]]</f>
        <v>0</v>
      </c>
      <c r="I575" s="275" t="s">
        <v>15214</v>
      </c>
    </row>
    <row r="576" spans="1:9" x14ac:dyDescent="0.25">
      <c r="A576" s="16">
        <v>42921</v>
      </c>
      <c r="B576" s="273" t="s">
        <v>20410</v>
      </c>
      <c r="C576">
        <v>118730</v>
      </c>
      <c r="D576" s="236" t="s">
        <v>15716</v>
      </c>
      <c r="E576" s="15">
        <v>6186.6</v>
      </c>
      <c r="F576" s="274">
        <v>42921</v>
      </c>
      <c r="G576" s="15">
        <v>6186.6</v>
      </c>
      <c r="H576" s="15">
        <f>Tabla1[[#This Row],[Importe]]-Tabla1[[#This Row],[Pagado]]</f>
        <v>0</v>
      </c>
      <c r="I576" s="275" t="s">
        <v>15214</v>
      </c>
    </row>
    <row r="577" spans="1:9" x14ac:dyDescent="0.25">
      <c r="A577" s="16">
        <v>42921</v>
      </c>
      <c r="B577" s="273" t="s">
        <v>20411</v>
      </c>
      <c r="C577">
        <v>118731</v>
      </c>
      <c r="D577" s="236" t="s">
        <v>15562</v>
      </c>
      <c r="E577" s="15">
        <v>3882.9</v>
      </c>
      <c r="F577" s="274">
        <v>42921</v>
      </c>
      <c r="G577" s="15">
        <v>3882.9</v>
      </c>
      <c r="H577" s="15">
        <f>Tabla1[[#This Row],[Importe]]-Tabla1[[#This Row],[Pagado]]</f>
        <v>0</v>
      </c>
      <c r="I577" s="275" t="s">
        <v>15214</v>
      </c>
    </row>
    <row r="578" spans="1:9" x14ac:dyDescent="0.25">
      <c r="A578" s="16">
        <v>42921</v>
      </c>
      <c r="B578" s="273" t="s">
        <v>20412</v>
      </c>
      <c r="C578">
        <v>118732</v>
      </c>
      <c r="D578" s="236" t="s">
        <v>17722</v>
      </c>
      <c r="E578" s="15">
        <v>3169.4</v>
      </c>
      <c r="F578" s="274">
        <v>42921</v>
      </c>
      <c r="G578" s="15">
        <v>3169.4</v>
      </c>
      <c r="H578" s="15">
        <f>Tabla1[[#This Row],[Importe]]-Tabla1[[#This Row],[Pagado]]</f>
        <v>0</v>
      </c>
      <c r="I578" s="275" t="s">
        <v>15214</v>
      </c>
    </row>
    <row r="579" spans="1:9" x14ac:dyDescent="0.25">
      <c r="A579" s="16">
        <v>42921</v>
      </c>
      <c r="B579" s="273" t="s">
        <v>20413</v>
      </c>
      <c r="C579">
        <v>118733</v>
      </c>
      <c r="D579" s="236" t="s">
        <v>15315</v>
      </c>
      <c r="E579" s="15">
        <v>2514.3000000000002</v>
      </c>
      <c r="F579" s="274">
        <v>42921</v>
      </c>
      <c r="G579" s="15">
        <v>2514.3000000000002</v>
      </c>
      <c r="H579" s="15">
        <f>Tabla1[[#This Row],[Importe]]-Tabla1[[#This Row],[Pagado]]</f>
        <v>0</v>
      </c>
      <c r="I579" s="275" t="s">
        <v>15214</v>
      </c>
    </row>
    <row r="580" spans="1:9" x14ac:dyDescent="0.25">
      <c r="A580" s="16">
        <v>42921</v>
      </c>
      <c r="B580" s="273" t="s">
        <v>20414</v>
      </c>
      <c r="C580">
        <v>118734</v>
      </c>
      <c r="D580" s="236" t="s">
        <v>15590</v>
      </c>
      <c r="E580" s="15">
        <v>4978</v>
      </c>
      <c r="F580" s="274">
        <v>42928</v>
      </c>
      <c r="G580" s="15">
        <v>4978</v>
      </c>
      <c r="H580" s="15">
        <f>Tabla1[[#This Row],[Importe]]-Tabla1[[#This Row],[Pagado]]</f>
        <v>0</v>
      </c>
      <c r="I580" s="275" t="s">
        <v>15214</v>
      </c>
    </row>
    <row r="581" spans="1:9" x14ac:dyDescent="0.25">
      <c r="A581" s="16">
        <v>42921</v>
      </c>
      <c r="B581" s="273" t="s">
        <v>20415</v>
      </c>
      <c r="C581">
        <v>118735</v>
      </c>
      <c r="D581" s="236" t="s">
        <v>15315</v>
      </c>
      <c r="E581" s="15">
        <v>1611.6</v>
      </c>
      <c r="F581" s="274">
        <v>42922</v>
      </c>
      <c r="G581" s="15">
        <v>1611.6</v>
      </c>
      <c r="H581" s="15">
        <f>Tabla1[[#This Row],[Importe]]-Tabla1[[#This Row],[Pagado]]</f>
        <v>0</v>
      </c>
      <c r="I581" s="275" t="s">
        <v>15214</v>
      </c>
    </row>
    <row r="582" spans="1:9" x14ac:dyDescent="0.25">
      <c r="A582" s="16">
        <v>42921</v>
      </c>
      <c r="B582" s="273" t="s">
        <v>20416</v>
      </c>
      <c r="C582">
        <v>118736</v>
      </c>
      <c r="D582" s="236" t="s">
        <v>15539</v>
      </c>
      <c r="E582" s="15">
        <v>16766.400000000001</v>
      </c>
      <c r="F582" s="274">
        <v>42928</v>
      </c>
      <c r="G582" s="15">
        <v>16766.400000000001</v>
      </c>
      <c r="H582" s="15">
        <f>Tabla1[[#This Row],[Importe]]-Tabla1[[#This Row],[Pagado]]</f>
        <v>0</v>
      </c>
      <c r="I582" s="275" t="s">
        <v>15214</v>
      </c>
    </row>
    <row r="583" spans="1:9" x14ac:dyDescent="0.25">
      <c r="A583" s="16">
        <v>42921</v>
      </c>
      <c r="B583" s="273" t="s">
        <v>20417</v>
      </c>
      <c r="C583">
        <v>118737</v>
      </c>
      <c r="D583" s="236" t="s">
        <v>15415</v>
      </c>
      <c r="E583" s="15">
        <v>3541.2</v>
      </c>
      <c r="F583" s="274">
        <v>42924</v>
      </c>
      <c r="G583" s="15">
        <v>3541.2</v>
      </c>
      <c r="H583" s="15">
        <f>Tabla1[[#This Row],[Importe]]-Tabla1[[#This Row],[Pagado]]</f>
        <v>0</v>
      </c>
      <c r="I583" s="275" t="s">
        <v>15214</v>
      </c>
    </row>
    <row r="584" spans="1:9" x14ac:dyDescent="0.25">
      <c r="A584" s="16">
        <v>42921</v>
      </c>
      <c r="B584" s="273" t="s">
        <v>20418</v>
      </c>
      <c r="C584">
        <v>118738</v>
      </c>
      <c r="D584" s="236" t="s">
        <v>15748</v>
      </c>
      <c r="E584" s="15">
        <v>5857.66</v>
      </c>
      <c r="F584" s="274">
        <v>42923</v>
      </c>
      <c r="G584" s="15">
        <v>5857.66</v>
      </c>
      <c r="H584" s="15">
        <f>Tabla1[[#This Row],[Importe]]-Tabla1[[#This Row],[Pagado]]</f>
        <v>0</v>
      </c>
      <c r="I584" s="275" t="s">
        <v>15214</v>
      </c>
    </row>
    <row r="585" spans="1:9" x14ac:dyDescent="0.25">
      <c r="A585" s="16">
        <v>42921</v>
      </c>
      <c r="B585" s="273" t="s">
        <v>20419</v>
      </c>
      <c r="C585">
        <v>118739</v>
      </c>
      <c r="D585" s="236" t="s">
        <v>15537</v>
      </c>
      <c r="E585" s="15">
        <v>23018</v>
      </c>
      <c r="F585" s="274">
        <v>42923</v>
      </c>
      <c r="G585" s="15">
        <v>23018</v>
      </c>
      <c r="H585" s="15">
        <f>Tabla1[[#This Row],[Importe]]-Tabla1[[#This Row],[Pagado]]</f>
        <v>0</v>
      </c>
      <c r="I585" s="275" t="s">
        <v>15214</v>
      </c>
    </row>
    <row r="586" spans="1:9" x14ac:dyDescent="0.25">
      <c r="A586" s="16">
        <v>42921</v>
      </c>
      <c r="B586" s="273" t="s">
        <v>20420</v>
      </c>
      <c r="C586">
        <v>118740</v>
      </c>
      <c r="D586" s="236" t="s">
        <v>15725</v>
      </c>
      <c r="E586" s="15">
        <v>23800.799999999999</v>
      </c>
      <c r="F586" s="274">
        <v>42924</v>
      </c>
      <c r="G586" s="15">
        <v>23800.799999999999</v>
      </c>
      <c r="H586" s="15">
        <f>Tabla1[[#This Row],[Importe]]-Tabla1[[#This Row],[Pagado]]</f>
        <v>0</v>
      </c>
      <c r="I586" s="275" t="s">
        <v>15214</v>
      </c>
    </row>
    <row r="587" spans="1:9" x14ac:dyDescent="0.25">
      <c r="A587" s="16">
        <v>42921</v>
      </c>
      <c r="B587" s="273" t="s">
        <v>20421</v>
      </c>
      <c r="C587">
        <v>118741</v>
      </c>
      <c r="D587" s="236" t="s">
        <v>15246</v>
      </c>
      <c r="E587" s="15">
        <v>5220.6000000000004</v>
      </c>
      <c r="F587" s="274">
        <v>42924</v>
      </c>
      <c r="G587" s="15">
        <v>5220.6000000000004</v>
      </c>
      <c r="H587" s="15">
        <f>Tabla1[[#This Row],[Importe]]-Tabla1[[#This Row],[Pagado]]</f>
        <v>0</v>
      </c>
      <c r="I587" s="275" t="s">
        <v>15214</v>
      </c>
    </row>
    <row r="588" spans="1:9" x14ac:dyDescent="0.25">
      <c r="A588" s="16">
        <v>42921</v>
      </c>
      <c r="B588" s="273" t="s">
        <v>20422</v>
      </c>
      <c r="C588">
        <v>118742</v>
      </c>
      <c r="D588" s="236" t="s">
        <v>15315</v>
      </c>
      <c r="E588" s="15">
        <v>4397.2</v>
      </c>
      <c r="F588" s="274">
        <v>42923</v>
      </c>
      <c r="G588" s="15">
        <v>4397.2</v>
      </c>
      <c r="H588" s="15">
        <f>Tabla1[[#This Row],[Importe]]-Tabla1[[#This Row],[Pagado]]</f>
        <v>0</v>
      </c>
      <c r="I588" s="275" t="s">
        <v>15214</v>
      </c>
    </row>
    <row r="589" spans="1:9" x14ac:dyDescent="0.25">
      <c r="A589" s="16">
        <v>42921</v>
      </c>
      <c r="B589" s="273" t="s">
        <v>20423</v>
      </c>
      <c r="C589">
        <v>118743</v>
      </c>
      <c r="D589" s="236" t="s">
        <v>15315</v>
      </c>
      <c r="E589" s="15">
        <v>4192.5</v>
      </c>
      <c r="F589" s="274">
        <v>42935</v>
      </c>
      <c r="G589" s="15">
        <v>4192.5</v>
      </c>
      <c r="H589" s="15">
        <f>Tabla1[[#This Row],[Importe]]-Tabla1[[#This Row],[Pagado]]</f>
        <v>0</v>
      </c>
      <c r="I589" s="275" t="s">
        <v>15214</v>
      </c>
    </row>
    <row r="590" spans="1:9" x14ac:dyDescent="0.25">
      <c r="A590" s="16">
        <v>42921</v>
      </c>
      <c r="B590" s="273" t="s">
        <v>20424</v>
      </c>
      <c r="C590">
        <v>118744</v>
      </c>
      <c r="D590" s="236" t="s">
        <v>15315</v>
      </c>
      <c r="E590" s="15">
        <v>1514.4</v>
      </c>
      <c r="F590" s="274">
        <v>42938</v>
      </c>
      <c r="G590" s="15">
        <v>1514.4</v>
      </c>
      <c r="H590" s="15">
        <f>Tabla1[[#This Row],[Importe]]-Tabla1[[#This Row],[Pagado]]</f>
        <v>0</v>
      </c>
      <c r="I590" s="275" t="s">
        <v>15214</v>
      </c>
    </row>
    <row r="591" spans="1:9" x14ac:dyDescent="0.25">
      <c r="A591" s="16">
        <v>42921</v>
      </c>
      <c r="B591" s="273" t="s">
        <v>20425</v>
      </c>
      <c r="C591">
        <v>118745</v>
      </c>
      <c r="D591" s="236" t="s">
        <v>15284</v>
      </c>
      <c r="E591" s="15">
        <v>1650.2</v>
      </c>
      <c r="F591" s="274">
        <v>42921</v>
      </c>
      <c r="G591" s="15">
        <v>1650.2</v>
      </c>
      <c r="H591" s="15">
        <f>Tabla1[[#This Row],[Importe]]-Tabla1[[#This Row],[Pagado]]</f>
        <v>0</v>
      </c>
      <c r="I591" s="275" t="s">
        <v>15214</v>
      </c>
    </row>
    <row r="592" spans="1:9" x14ac:dyDescent="0.25">
      <c r="A592" s="16">
        <v>42921</v>
      </c>
      <c r="B592" s="273" t="s">
        <v>20426</v>
      </c>
      <c r="C592">
        <v>118746</v>
      </c>
      <c r="D592" s="236" t="s">
        <v>15284</v>
      </c>
      <c r="E592" s="15">
        <v>374.4</v>
      </c>
      <c r="F592" s="274">
        <v>42921</v>
      </c>
      <c r="G592" s="15">
        <v>374.4</v>
      </c>
      <c r="H592" s="15">
        <f>Tabla1[[#This Row],[Importe]]-Tabla1[[#This Row],[Pagado]]</f>
        <v>0</v>
      </c>
      <c r="I592" s="275" t="s">
        <v>15214</v>
      </c>
    </row>
    <row r="593" spans="1:9" x14ac:dyDescent="0.25">
      <c r="A593" s="16">
        <v>42921</v>
      </c>
      <c r="B593" s="273" t="s">
        <v>20427</v>
      </c>
      <c r="C593">
        <v>118747</v>
      </c>
      <c r="D593" s="236" t="s">
        <v>15624</v>
      </c>
      <c r="E593" s="15">
        <v>33777.82</v>
      </c>
      <c r="F593" s="274">
        <v>42922</v>
      </c>
      <c r="G593" s="15">
        <v>33777.82</v>
      </c>
      <c r="H593" s="15">
        <f>Tabla1[[#This Row],[Importe]]-Tabla1[[#This Row],[Pagado]]</f>
        <v>0</v>
      </c>
      <c r="I593" s="275" t="s">
        <v>15214</v>
      </c>
    </row>
    <row r="594" spans="1:9" x14ac:dyDescent="0.25">
      <c r="A594" s="16">
        <v>42921</v>
      </c>
      <c r="B594" s="273" t="s">
        <v>20428</v>
      </c>
      <c r="C594">
        <v>118748</v>
      </c>
      <c r="D594" s="236" t="s">
        <v>15282</v>
      </c>
      <c r="E594" s="15">
        <v>2514.3000000000002</v>
      </c>
      <c r="F594" s="274">
        <v>42921</v>
      </c>
      <c r="G594" s="15">
        <v>2514.3000000000002</v>
      </c>
      <c r="H594" s="15">
        <f>Tabla1[[#This Row],[Importe]]-Tabla1[[#This Row],[Pagado]]</f>
        <v>0</v>
      </c>
      <c r="I594" s="275" t="s">
        <v>15214</v>
      </c>
    </row>
    <row r="595" spans="1:9" x14ac:dyDescent="0.25">
      <c r="A595" s="16">
        <v>42921</v>
      </c>
      <c r="B595" s="273" t="s">
        <v>20429</v>
      </c>
      <c r="C595">
        <v>118749</v>
      </c>
      <c r="D595" s="236" t="s">
        <v>15296</v>
      </c>
      <c r="E595" s="15">
        <v>11988.6</v>
      </c>
      <c r="F595" s="274">
        <v>42927</v>
      </c>
      <c r="G595" s="15">
        <v>11988.6</v>
      </c>
      <c r="H595" s="15">
        <f>Tabla1[[#This Row],[Importe]]-Tabla1[[#This Row],[Pagado]]</f>
        <v>0</v>
      </c>
      <c r="I595" s="275" t="s">
        <v>15214</v>
      </c>
    </row>
    <row r="596" spans="1:9" x14ac:dyDescent="0.25">
      <c r="A596" s="16">
        <v>42921</v>
      </c>
      <c r="B596" s="273" t="s">
        <v>20430</v>
      </c>
      <c r="C596">
        <v>118750</v>
      </c>
      <c r="D596" s="236" t="s">
        <v>15338</v>
      </c>
      <c r="E596" s="15">
        <v>9603</v>
      </c>
      <c r="F596" s="274">
        <v>42923</v>
      </c>
      <c r="G596" s="15">
        <v>9603</v>
      </c>
      <c r="H596" s="15">
        <f>Tabla1[[#This Row],[Importe]]-Tabla1[[#This Row],[Pagado]]</f>
        <v>0</v>
      </c>
      <c r="I596" s="275" t="s">
        <v>15214</v>
      </c>
    </row>
    <row r="597" spans="1:9" x14ac:dyDescent="0.25">
      <c r="A597" s="16">
        <v>42921</v>
      </c>
      <c r="B597" s="273" t="s">
        <v>20431</v>
      </c>
      <c r="C597">
        <v>118751</v>
      </c>
      <c r="D597" s="236" t="s">
        <v>15226</v>
      </c>
      <c r="E597" s="15">
        <v>2182.3200000000002</v>
      </c>
      <c r="F597" s="274">
        <v>42924</v>
      </c>
      <c r="G597" s="15">
        <v>2182.3200000000002</v>
      </c>
      <c r="H597" s="15">
        <f>Tabla1[[#This Row],[Importe]]-Tabla1[[#This Row],[Pagado]]</f>
        <v>0</v>
      </c>
      <c r="I597" s="275" t="s">
        <v>15214</v>
      </c>
    </row>
    <row r="598" spans="1:9" x14ac:dyDescent="0.25">
      <c r="A598" s="16">
        <v>42921</v>
      </c>
      <c r="B598" s="273" t="s">
        <v>20432</v>
      </c>
      <c r="C598">
        <v>118752</v>
      </c>
      <c r="D598" s="236" t="s">
        <v>15265</v>
      </c>
      <c r="E598" s="15">
        <v>3213.5</v>
      </c>
      <c r="F598" s="274">
        <v>42923</v>
      </c>
      <c r="G598" s="15">
        <v>3213.5</v>
      </c>
      <c r="H598" s="15">
        <f>Tabla1[[#This Row],[Importe]]-Tabla1[[#This Row],[Pagado]]</f>
        <v>0</v>
      </c>
      <c r="I598" s="275" t="s">
        <v>15214</v>
      </c>
    </row>
    <row r="599" spans="1:9" x14ac:dyDescent="0.25">
      <c r="A599" s="16">
        <v>42921</v>
      </c>
      <c r="B599" s="273" t="s">
        <v>20433</v>
      </c>
      <c r="C599">
        <v>118753</v>
      </c>
      <c r="D599" s="236" t="s">
        <v>19768</v>
      </c>
      <c r="E599" s="15">
        <v>1500</v>
      </c>
      <c r="F599" s="274">
        <v>42921</v>
      </c>
      <c r="G599" s="15">
        <v>1500</v>
      </c>
      <c r="H599" s="15">
        <f>Tabla1[[#This Row],[Importe]]-Tabla1[[#This Row],[Pagado]]</f>
        <v>0</v>
      </c>
      <c r="I599" s="275" t="s">
        <v>15214</v>
      </c>
    </row>
    <row r="600" spans="1:9" x14ac:dyDescent="0.25">
      <c r="A600" s="16">
        <v>42921</v>
      </c>
      <c r="B600" s="273" t="s">
        <v>20434</v>
      </c>
      <c r="C600">
        <v>118754</v>
      </c>
      <c r="D600" s="236" t="s">
        <v>15442</v>
      </c>
      <c r="E600" s="15">
        <v>13671.2</v>
      </c>
      <c r="F600" s="274" t="s">
        <v>20435</v>
      </c>
      <c r="G600" s="15">
        <v>13671.2</v>
      </c>
      <c r="H600" s="15">
        <f>Tabla1[[#This Row],[Importe]]-Tabla1[[#This Row],[Pagado]]</f>
        <v>0</v>
      </c>
      <c r="I600" s="275" t="s">
        <v>15214</v>
      </c>
    </row>
    <row r="601" spans="1:9" x14ac:dyDescent="0.25">
      <c r="A601" s="16">
        <v>42921</v>
      </c>
      <c r="B601" s="273" t="s">
        <v>20436</v>
      </c>
      <c r="C601">
        <v>118755</v>
      </c>
      <c r="D601" s="236" t="s">
        <v>15263</v>
      </c>
      <c r="E601" s="15">
        <v>153.6</v>
      </c>
      <c r="F601" s="274">
        <v>42921</v>
      </c>
      <c r="G601" s="15">
        <v>153.6</v>
      </c>
      <c r="H601" s="15">
        <f>Tabla1[[#This Row],[Importe]]-Tabla1[[#This Row],[Pagado]]</f>
        <v>0</v>
      </c>
      <c r="I601" s="275" t="s">
        <v>15214</v>
      </c>
    </row>
    <row r="602" spans="1:9" x14ac:dyDescent="0.25">
      <c r="A602" s="16">
        <v>42921</v>
      </c>
      <c r="B602" s="273" t="s">
        <v>20437</v>
      </c>
      <c r="C602">
        <v>118756</v>
      </c>
      <c r="D602" s="236" t="s">
        <v>15665</v>
      </c>
      <c r="E602" s="15">
        <v>963.2</v>
      </c>
      <c r="F602" s="274">
        <v>42921</v>
      </c>
      <c r="G602" s="15">
        <v>963.2</v>
      </c>
      <c r="H602" s="15">
        <f>Tabla1[[#This Row],[Importe]]-Tabla1[[#This Row],[Pagado]]</f>
        <v>0</v>
      </c>
      <c r="I602" s="275" t="s">
        <v>15214</v>
      </c>
    </row>
    <row r="603" spans="1:9" x14ac:dyDescent="0.25">
      <c r="A603" s="16">
        <v>42921</v>
      </c>
      <c r="B603" s="273" t="s">
        <v>20438</v>
      </c>
      <c r="C603">
        <v>118757</v>
      </c>
      <c r="D603" s="236" t="s">
        <v>15419</v>
      </c>
      <c r="E603" s="15">
        <v>11711</v>
      </c>
      <c r="F603" s="274">
        <v>42931</v>
      </c>
      <c r="G603" s="15">
        <v>11711</v>
      </c>
      <c r="H603" s="15">
        <f>Tabla1[[#This Row],[Importe]]-Tabla1[[#This Row],[Pagado]]</f>
        <v>0</v>
      </c>
      <c r="I603" s="275" t="s">
        <v>15214</v>
      </c>
    </row>
    <row r="604" spans="1:9" x14ac:dyDescent="0.25">
      <c r="A604" s="16">
        <v>42921</v>
      </c>
      <c r="B604" s="273" t="s">
        <v>20439</v>
      </c>
      <c r="C604">
        <v>118758</v>
      </c>
      <c r="D604" s="236" t="s">
        <v>15868</v>
      </c>
      <c r="E604" s="15">
        <v>10254.4</v>
      </c>
      <c r="F604" s="274">
        <v>42921</v>
      </c>
      <c r="G604" s="15">
        <v>10254.4</v>
      </c>
      <c r="H604" s="15">
        <f>Tabla1[[#This Row],[Importe]]-Tabla1[[#This Row],[Pagado]]</f>
        <v>0</v>
      </c>
      <c r="I604" s="275" t="s">
        <v>15214</v>
      </c>
    </row>
    <row r="605" spans="1:9" x14ac:dyDescent="0.25">
      <c r="A605" s="16">
        <v>42921</v>
      </c>
      <c r="B605" s="273" t="s">
        <v>20440</v>
      </c>
      <c r="C605">
        <v>118759</v>
      </c>
      <c r="D605" s="236" t="s">
        <v>15361</v>
      </c>
      <c r="E605" s="15">
        <v>10106.799999999999</v>
      </c>
      <c r="F605" s="274">
        <v>42921</v>
      </c>
      <c r="G605" s="15">
        <v>10106.799999999999</v>
      </c>
      <c r="H605" s="15">
        <f>Tabla1[[#This Row],[Importe]]-Tabla1[[#This Row],[Pagado]]</f>
        <v>0</v>
      </c>
      <c r="I605" s="275" t="s">
        <v>15214</v>
      </c>
    </row>
    <row r="606" spans="1:9" x14ac:dyDescent="0.25">
      <c r="A606" s="16">
        <v>42921</v>
      </c>
      <c r="B606" s="273" t="s">
        <v>20441</v>
      </c>
      <c r="C606">
        <v>118760</v>
      </c>
      <c r="D606" s="236" t="s">
        <v>15246</v>
      </c>
      <c r="E606" s="15">
        <v>109621.32</v>
      </c>
      <c r="F606" s="274">
        <v>42924</v>
      </c>
      <c r="G606" s="15">
        <v>109621.32</v>
      </c>
      <c r="H606" s="15">
        <f>Tabla1[[#This Row],[Importe]]-Tabla1[[#This Row],[Pagado]]</f>
        <v>0</v>
      </c>
      <c r="I606" s="275" t="s">
        <v>15214</v>
      </c>
    </row>
    <row r="607" spans="1:9" x14ac:dyDescent="0.25">
      <c r="A607" s="16">
        <v>42921</v>
      </c>
      <c r="B607" s="273" t="s">
        <v>20442</v>
      </c>
      <c r="C607">
        <v>118761</v>
      </c>
      <c r="D607" s="236" t="s">
        <v>15423</v>
      </c>
      <c r="E607" s="15">
        <v>3422.1</v>
      </c>
      <c r="F607" s="274">
        <v>42921</v>
      </c>
      <c r="G607" s="15">
        <v>3422.1</v>
      </c>
      <c r="H607" s="15">
        <f>Tabla1[[#This Row],[Importe]]-Tabla1[[#This Row],[Pagado]]</f>
        <v>0</v>
      </c>
      <c r="I607" s="275" t="s">
        <v>15214</v>
      </c>
    </row>
    <row r="608" spans="1:9" x14ac:dyDescent="0.25">
      <c r="A608" s="16">
        <v>42921</v>
      </c>
      <c r="B608" s="273" t="s">
        <v>20443</v>
      </c>
      <c r="C608">
        <v>118762</v>
      </c>
      <c r="D608" s="236" t="s">
        <v>15628</v>
      </c>
      <c r="E608" s="15">
        <v>1313.2</v>
      </c>
      <c r="F608" s="274">
        <v>42921</v>
      </c>
      <c r="G608" s="15">
        <v>1313.2</v>
      </c>
      <c r="H608" s="15">
        <f>Tabla1[[#This Row],[Importe]]-Tabla1[[#This Row],[Pagado]]</f>
        <v>0</v>
      </c>
      <c r="I608" s="275" t="s">
        <v>15214</v>
      </c>
    </row>
    <row r="609" spans="1:9" x14ac:dyDescent="0.25">
      <c r="A609" s="16">
        <v>42921</v>
      </c>
      <c r="B609" s="273" t="s">
        <v>20444</v>
      </c>
      <c r="C609">
        <v>118763</v>
      </c>
      <c r="D609" s="236" t="s">
        <v>15628</v>
      </c>
      <c r="E609" s="15">
        <v>15360.8</v>
      </c>
      <c r="F609" s="274">
        <v>42926</v>
      </c>
      <c r="G609" s="15">
        <v>15360.8</v>
      </c>
      <c r="H609" s="15">
        <f>Tabla1[[#This Row],[Importe]]-Tabla1[[#This Row],[Pagado]]</f>
        <v>0</v>
      </c>
      <c r="I609" s="275" t="s">
        <v>15214</v>
      </c>
    </row>
    <row r="610" spans="1:9" x14ac:dyDescent="0.25">
      <c r="A610" s="16">
        <v>42921</v>
      </c>
      <c r="B610" s="273" t="s">
        <v>20445</v>
      </c>
      <c r="C610">
        <v>118764</v>
      </c>
      <c r="D610" s="236" t="s">
        <v>15246</v>
      </c>
      <c r="E610" s="15">
        <v>239362.23</v>
      </c>
      <c r="F610" s="274">
        <v>42924</v>
      </c>
      <c r="G610" s="15">
        <v>239362.23</v>
      </c>
      <c r="H610" s="15">
        <f>Tabla1[[#This Row],[Importe]]-Tabla1[[#This Row],[Pagado]]</f>
        <v>0</v>
      </c>
      <c r="I610" s="275" t="s">
        <v>15214</v>
      </c>
    </row>
    <row r="611" spans="1:9" x14ac:dyDescent="0.25">
      <c r="A611" s="16">
        <v>42921</v>
      </c>
      <c r="B611" s="273" t="s">
        <v>20446</v>
      </c>
      <c r="C611">
        <v>118765</v>
      </c>
      <c r="D611" s="236" t="s">
        <v>15322</v>
      </c>
      <c r="E611" s="15">
        <v>429</v>
      </c>
      <c r="F611" s="274">
        <v>42921</v>
      </c>
      <c r="G611" s="15">
        <v>429</v>
      </c>
      <c r="H611" s="15">
        <f>Tabla1[[#This Row],[Importe]]-Tabla1[[#This Row],[Pagado]]</f>
        <v>0</v>
      </c>
      <c r="I611" s="275" t="s">
        <v>15214</v>
      </c>
    </row>
    <row r="612" spans="1:9" x14ac:dyDescent="0.25">
      <c r="A612" s="16">
        <v>42921</v>
      </c>
      <c r="B612" s="273" t="s">
        <v>20447</v>
      </c>
      <c r="C612">
        <v>118766</v>
      </c>
      <c r="D612" s="236" t="s">
        <v>15284</v>
      </c>
      <c r="E612" s="15">
        <v>1175.2</v>
      </c>
      <c r="F612" s="274">
        <v>42921</v>
      </c>
      <c r="G612" s="15">
        <v>1175.2</v>
      </c>
      <c r="H612" s="15">
        <f>Tabla1[[#This Row],[Importe]]-Tabla1[[#This Row],[Pagado]]</f>
        <v>0</v>
      </c>
      <c r="I612" s="275" t="s">
        <v>15214</v>
      </c>
    </row>
    <row r="613" spans="1:9" x14ac:dyDescent="0.25">
      <c r="A613" s="16">
        <v>42921</v>
      </c>
      <c r="B613" s="273" t="s">
        <v>20448</v>
      </c>
      <c r="C613">
        <v>118767</v>
      </c>
      <c r="D613" s="236" t="s">
        <v>15246</v>
      </c>
      <c r="E613" s="15">
        <v>50773.7</v>
      </c>
      <c r="F613" s="274">
        <v>42924</v>
      </c>
      <c r="G613" s="15">
        <v>50773.7</v>
      </c>
      <c r="H613" s="15">
        <f>Tabla1[[#This Row],[Importe]]-Tabla1[[#This Row],[Pagado]]</f>
        <v>0</v>
      </c>
      <c r="I613" s="275" t="s">
        <v>15214</v>
      </c>
    </row>
    <row r="614" spans="1:9" x14ac:dyDescent="0.25">
      <c r="A614" s="16">
        <v>42921</v>
      </c>
      <c r="B614" s="273" t="s">
        <v>20449</v>
      </c>
      <c r="C614">
        <v>118768</v>
      </c>
      <c r="D614" s="236" t="s">
        <v>15549</v>
      </c>
      <c r="E614" s="15">
        <v>5239.8</v>
      </c>
      <c r="F614" s="274">
        <v>42921</v>
      </c>
      <c r="G614" s="15">
        <v>5239.8</v>
      </c>
      <c r="H614" s="15">
        <f>Tabla1[[#This Row],[Importe]]-Tabla1[[#This Row],[Pagado]]</f>
        <v>0</v>
      </c>
      <c r="I614" s="275" t="s">
        <v>15214</v>
      </c>
    </row>
    <row r="615" spans="1:9" ht="15.75" x14ac:dyDescent="0.25">
      <c r="A615" s="16">
        <v>42921</v>
      </c>
      <c r="B615" s="273" t="s">
        <v>20450</v>
      </c>
      <c r="C615">
        <v>118769</v>
      </c>
      <c r="D615" s="248" t="s">
        <v>95</v>
      </c>
      <c r="E615" s="15">
        <v>0</v>
      </c>
      <c r="F615" s="277" t="s">
        <v>95</v>
      </c>
      <c r="G615" s="15">
        <v>0</v>
      </c>
      <c r="H615" s="15">
        <f>Tabla1[[#This Row],[Importe]]-Tabla1[[#This Row],[Pagado]]</f>
        <v>0</v>
      </c>
      <c r="I615" s="275" t="s">
        <v>95</v>
      </c>
    </row>
    <row r="616" spans="1:9" x14ac:dyDescent="0.25">
      <c r="A616" s="16">
        <v>42921</v>
      </c>
      <c r="B616" s="273" t="s">
        <v>20451</v>
      </c>
      <c r="C616">
        <v>118770</v>
      </c>
      <c r="D616" s="236" t="s">
        <v>15920</v>
      </c>
      <c r="E616" s="15">
        <v>25578.7</v>
      </c>
      <c r="F616" s="274">
        <v>42935</v>
      </c>
      <c r="G616" s="15">
        <v>25578.7</v>
      </c>
      <c r="H616" s="15">
        <f>Tabla1[[#This Row],[Importe]]-Tabla1[[#This Row],[Pagado]]</f>
        <v>0</v>
      </c>
      <c r="I616" s="275" t="s">
        <v>15214</v>
      </c>
    </row>
    <row r="617" spans="1:9" x14ac:dyDescent="0.25">
      <c r="A617" s="16">
        <v>42921</v>
      </c>
      <c r="B617" s="273" t="s">
        <v>20452</v>
      </c>
      <c r="C617">
        <v>118771</v>
      </c>
      <c r="D617" s="236" t="s">
        <v>15444</v>
      </c>
      <c r="E617" s="15">
        <v>1932</v>
      </c>
      <c r="F617" s="274">
        <v>42922</v>
      </c>
      <c r="G617" s="15">
        <v>1932</v>
      </c>
      <c r="H617" s="15">
        <f>Tabla1[[#This Row],[Importe]]-Tabla1[[#This Row],[Pagado]]</f>
        <v>0</v>
      </c>
      <c r="I617" s="275" t="s">
        <v>15214</v>
      </c>
    </row>
    <row r="618" spans="1:9" x14ac:dyDescent="0.25">
      <c r="A618" s="16">
        <v>42921</v>
      </c>
      <c r="B618" s="273" t="s">
        <v>20453</v>
      </c>
      <c r="C618">
        <v>118772</v>
      </c>
      <c r="D618" s="236" t="s">
        <v>15789</v>
      </c>
      <c r="E618" s="15">
        <v>4234</v>
      </c>
      <c r="F618" s="274">
        <v>42921</v>
      </c>
      <c r="G618" s="15">
        <v>4234</v>
      </c>
      <c r="H618" s="15">
        <f>Tabla1[[#This Row],[Importe]]-Tabla1[[#This Row],[Pagado]]</f>
        <v>0</v>
      </c>
      <c r="I618" s="275" t="s">
        <v>15214</v>
      </c>
    </row>
    <row r="619" spans="1:9" x14ac:dyDescent="0.25">
      <c r="A619" s="16">
        <v>42921</v>
      </c>
      <c r="B619" s="273" t="s">
        <v>20454</v>
      </c>
      <c r="C619">
        <v>118773</v>
      </c>
      <c r="D619" s="236" t="s">
        <v>15315</v>
      </c>
      <c r="E619" s="15">
        <v>548.79999999999995</v>
      </c>
      <c r="F619" s="274">
        <v>42921</v>
      </c>
      <c r="G619" s="15">
        <v>548.79999999999995</v>
      </c>
      <c r="H619" s="15">
        <f>Tabla1[[#This Row],[Importe]]-Tabla1[[#This Row],[Pagado]]</f>
        <v>0</v>
      </c>
      <c r="I619" s="275" t="s">
        <v>15214</v>
      </c>
    </row>
    <row r="620" spans="1:9" x14ac:dyDescent="0.25">
      <c r="A620" s="16">
        <v>42921</v>
      </c>
      <c r="B620" s="273" t="s">
        <v>20455</v>
      </c>
      <c r="C620">
        <v>118774</v>
      </c>
      <c r="D620" s="236" t="s">
        <v>15246</v>
      </c>
      <c r="E620" s="15">
        <v>16450.2</v>
      </c>
      <c r="F620" s="274">
        <v>42924</v>
      </c>
      <c r="G620" s="15">
        <v>16450.2</v>
      </c>
      <c r="H620" s="15">
        <f>Tabla1[[#This Row],[Importe]]-Tabla1[[#This Row],[Pagado]]</f>
        <v>0</v>
      </c>
      <c r="I620" s="275" t="s">
        <v>15214</v>
      </c>
    </row>
    <row r="621" spans="1:9" x14ac:dyDescent="0.25">
      <c r="A621" s="16">
        <v>42921</v>
      </c>
      <c r="B621" s="273" t="s">
        <v>20456</v>
      </c>
      <c r="C621">
        <v>118775</v>
      </c>
      <c r="D621" s="236" t="s">
        <v>18082</v>
      </c>
      <c r="E621" s="15">
        <v>34731.24</v>
      </c>
      <c r="F621" s="274">
        <v>42921</v>
      </c>
      <c r="G621" s="15">
        <v>34731.24</v>
      </c>
      <c r="H621" s="15">
        <f>Tabla1[[#This Row],[Importe]]-Tabla1[[#This Row],[Pagado]]</f>
        <v>0</v>
      </c>
      <c r="I621" s="275" t="s">
        <v>15214</v>
      </c>
    </row>
    <row r="622" spans="1:9" x14ac:dyDescent="0.25">
      <c r="A622" s="16">
        <v>42921</v>
      </c>
      <c r="B622" s="273" t="s">
        <v>20457</v>
      </c>
      <c r="C622">
        <v>118776</v>
      </c>
      <c r="D622" s="236" t="s">
        <v>15365</v>
      </c>
      <c r="E622" s="15">
        <v>248750</v>
      </c>
      <c r="F622" s="274">
        <v>42930</v>
      </c>
      <c r="G622" s="15">
        <v>248750</v>
      </c>
      <c r="H622" s="15">
        <f>Tabla1[[#This Row],[Importe]]-Tabla1[[#This Row],[Pagado]]</f>
        <v>0</v>
      </c>
      <c r="I622" s="275" t="s">
        <v>15214</v>
      </c>
    </row>
    <row r="623" spans="1:9" x14ac:dyDescent="0.25">
      <c r="A623" s="16">
        <v>42921</v>
      </c>
      <c r="B623" s="273" t="s">
        <v>20458</v>
      </c>
      <c r="C623">
        <v>118777</v>
      </c>
      <c r="D623" s="236" t="s">
        <v>15354</v>
      </c>
      <c r="E623" s="15">
        <v>6133.6</v>
      </c>
      <c r="F623" s="274">
        <v>42921</v>
      </c>
      <c r="G623" s="15">
        <v>6133.6</v>
      </c>
      <c r="H623" s="15">
        <f>Tabla1[[#This Row],[Importe]]-Tabla1[[#This Row],[Pagado]]</f>
        <v>0</v>
      </c>
      <c r="I623" s="275" t="s">
        <v>15214</v>
      </c>
    </row>
    <row r="624" spans="1:9" x14ac:dyDescent="0.25">
      <c r="A624" s="16">
        <v>42921</v>
      </c>
      <c r="B624" s="273" t="s">
        <v>20459</v>
      </c>
      <c r="C624">
        <v>118778</v>
      </c>
      <c r="D624" s="236" t="s">
        <v>15435</v>
      </c>
      <c r="E624" s="15">
        <v>7736.4</v>
      </c>
      <c r="F624" s="274">
        <v>42921</v>
      </c>
      <c r="G624" s="15">
        <v>7736.4</v>
      </c>
      <c r="H624" s="15">
        <f>Tabla1[[#This Row],[Importe]]-Tabla1[[#This Row],[Pagado]]</f>
        <v>0</v>
      </c>
      <c r="I624" s="275" t="s">
        <v>15214</v>
      </c>
    </row>
    <row r="625" spans="1:9" x14ac:dyDescent="0.25">
      <c r="A625" s="16">
        <v>42921</v>
      </c>
      <c r="B625" s="273" t="s">
        <v>20460</v>
      </c>
      <c r="C625">
        <v>118779</v>
      </c>
      <c r="D625" s="236" t="s">
        <v>15642</v>
      </c>
      <c r="E625" s="15">
        <v>5686.9</v>
      </c>
      <c r="F625" s="274">
        <v>42921</v>
      </c>
      <c r="G625" s="15">
        <v>5686.9</v>
      </c>
      <c r="H625" s="15">
        <f>Tabla1[[#This Row],[Importe]]-Tabla1[[#This Row],[Pagado]]</f>
        <v>0</v>
      </c>
      <c r="I625" s="275" t="s">
        <v>15214</v>
      </c>
    </row>
    <row r="626" spans="1:9" x14ac:dyDescent="0.25">
      <c r="A626" s="16">
        <v>42921</v>
      </c>
      <c r="B626" s="273" t="s">
        <v>20461</v>
      </c>
      <c r="C626">
        <v>118780</v>
      </c>
      <c r="D626" s="236" t="s">
        <v>19680</v>
      </c>
      <c r="E626" s="15">
        <v>76</v>
      </c>
      <c r="F626" s="274">
        <v>42921</v>
      </c>
      <c r="G626" s="15">
        <v>76</v>
      </c>
      <c r="H626" s="15">
        <f>Tabla1[[#This Row],[Importe]]-Tabla1[[#This Row],[Pagado]]</f>
        <v>0</v>
      </c>
      <c r="I626" s="275" t="s">
        <v>15214</v>
      </c>
    </row>
    <row r="627" spans="1:9" x14ac:dyDescent="0.25">
      <c r="A627" s="16">
        <v>42921</v>
      </c>
      <c r="B627" s="273" t="s">
        <v>20462</v>
      </c>
      <c r="C627">
        <v>118781</v>
      </c>
      <c r="D627" s="236" t="s">
        <v>5757</v>
      </c>
      <c r="E627" s="15">
        <v>897</v>
      </c>
      <c r="F627" s="274">
        <v>42921</v>
      </c>
      <c r="G627" s="15">
        <v>897</v>
      </c>
      <c r="H627" s="15">
        <f>Tabla1[[#This Row],[Importe]]-Tabla1[[#This Row],[Pagado]]</f>
        <v>0</v>
      </c>
      <c r="I627" s="275" t="s">
        <v>15214</v>
      </c>
    </row>
    <row r="628" spans="1:9" x14ac:dyDescent="0.25">
      <c r="A628" s="16">
        <v>42922</v>
      </c>
      <c r="B628" s="273" t="s">
        <v>20463</v>
      </c>
      <c r="C628">
        <v>118782</v>
      </c>
      <c r="D628" s="236" t="s">
        <v>15213</v>
      </c>
      <c r="E628" s="15">
        <v>7426.8</v>
      </c>
      <c r="F628" s="274">
        <v>42924</v>
      </c>
      <c r="G628" s="15">
        <v>7426.8</v>
      </c>
      <c r="H628" s="15">
        <f>Tabla1[[#This Row],[Importe]]-Tabla1[[#This Row],[Pagado]]</f>
        <v>0</v>
      </c>
      <c r="I628" s="275" t="s">
        <v>15214</v>
      </c>
    </row>
    <row r="629" spans="1:9" x14ac:dyDescent="0.25">
      <c r="A629" s="16">
        <v>42922</v>
      </c>
      <c r="B629" s="273" t="s">
        <v>20464</v>
      </c>
      <c r="C629">
        <v>118783</v>
      </c>
      <c r="D629" s="236" t="s">
        <v>15213</v>
      </c>
      <c r="E629" s="15">
        <v>43632.4</v>
      </c>
      <c r="F629" s="274">
        <v>42923</v>
      </c>
      <c r="G629" s="15">
        <v>43632.4</v>
      </c>
      <c r="H629" s="15">
        <f>Tabla1[[#This Row],[Importe]]-Tabla1[[#This Row],[Pagado]]</f>
        <v>0</v>
      </c>
      <c r="I629" s="275" t="s">
        <v>15214</v>
      </c>
    </row>
    <row r="630" spans="1:9" ht="15.75" x14ac:dyDescent="0.25">
      <c r="A630" s="16">
        <v>42922</v>
      </c>
      <c r="B630" s="273" t="s">
        <v>20465</v>
      </c>
      <c r="C630">
        <v>118784</v>
      </c>
      <c r="D630" s="248" t="s">
        <v>95</v>
      </c>
      <c r="E630" s="15">
        <v>0</v>
      </c>
      <c r="F630" s="277" t="s">
        <v>95</v>
      </c>
      <c r="G630" s="15">
        <v>0</v>
      </c>
      <c r="H630" s="15">
        <f>Tabla1[[#This Row],[Importe]]-Tabla1[[#This Row],[Pagado]]</f>
        <v>0</v>
      </c>
      <c r="I630" s="275" t="s">
        <v>95</v>
      </c>
    </row>
    <row r="631" spans="1:9" x14ac:dyDescent="0.25">
      <c r="A631" s="16">
        <v>42922</v>
      </c>
      <c r="B631" s="273" t="s">
        <v>20466</v>
      </c>
      <c r="C631">
        <v>118785</v>
      </c>
      <c r="D631" s="236" t="s">
        <v>15213</v>
      </c>
      <c r="E631" s="15">
        <v>1914.3</v>
      </c>
      <c r="F631" s="274">
        <v>42923</v>
      </c>
      <c r="G631" s="15">
        <v>1914.3</v>
      </c>
      <c r="H631" s="15">
        <f>Tabla1[[#This Row],[Importe]]-Tabla1[[#This Row],[Pagado]]</f>
        <v>0</v>
      </c>
      <c r="I631" s="275" t="s">
        <v>15214</v>
      </c>
    </row>
    <row r="632" spans="1:9" x14ac:dyDescent="0.25">
      <c r="A632" s="16">
        <v>42922</v>
      </c>
      <c r="B632" s="273" t="s">
        <v>20467</v>
      </c>
      <c r="C632">
        <v>118786</v>
      </c>
      <c r="D632" s="236" t="s">
        <v>18544</v>
      </c>
      <c r="E632" s="15">
        <v>10580</v>
      </c>
      <c r="F632" s="274">
        <v>42922</v>
      </c>
      <c r="G632" s="15">
        <v>10580</v>
      </c>
      <c r="H632" s="15">
        <f>Tabla1[[#This Row],[Importe]]-Tabla1[[#This Row],[Pagado]]</f>
        <v>0</v>
      </c>
      <c r="I632" s="275" t="s">
        <v>15214</v>
      </c>
    </row>
    <row r="633" spans="1:9" x14ac:dyDescent="0.25">
      <c r="A633" s="16">
        <v>42922</v>
      </c>
      <c r="B633" s="273" t="s">
        <v>20468</v>
      </c>
      <c r="C633">
        <v>118787</v>
      </c>
      <c r="D633" s="236" t="s">
        <v>15328</v>
      </c>
      <c r="E633" s="15">
        <v>39294.97</v>
      </c>
      <c r="F633" s="274">
        <v>42934</v>
      </c>
      <c r="G633" s="15">
        <v>39294.97</v>
      </c>
      <c r="H633" s="15">
        <f>Tabla1[[#This Row],[Importe]]-Tabla1[[#This Row],[Pagado]]</f>
        <v>0</v>
      </c>
      <c r="I633" s="275" t="s">
        <v>15214</v>
      </c>
    </row>
    <row r="634" spans="1:9" x14ac:dyDescent="0.25">
      <c r="A634" s="16">
        <v>42922</v>
      </c>
      <c r="B634" s="273" t="s">
        <v>20469</v>
      </c>
      <c r="C634">
        <v>118788</v>
      </c>
      <c r="D634" s="236" t="s">
        <v>15330</v>
      </c>
      <c r="E634" s="15">
        <v>3525.6</v>
      </c>
      <c r="F634" s="274">
        <v>42922</v>
      </c>
      <c r="G634" s="15">
        <v>3525.6</v>
      </c>
      <c r="H634" s="15">
        <f>Tabla1[[#This Row],[Importe]]-Tabla1[[#This Row],[Pagado]]</f>
        <v>0</v>
      </c>
      <c r="I634" s="275" t="s">
        <v>15214</v>
      </c>
    </row>
    <row r="635" spans="1:9" x14ac:dyDescent="0.25">
      <c r="A635" s="16">
        <v>42922</v>
      </c>
      <c r="B635" s="273" t="s">
        <v>20470</v>
      </c>
      <c r="C635">
        <v>118789</v>
      </c>
      <c r="D635" s="236" t="s">
        <v>15230</v>
      </c>
      <c r="E635" s="15">
        <v>10285.5</v>
      </c>
      <c r="F635" s="274">
        <v>42924</v>
      </c>
      <c r="G635" s="15">
        <v>10285.5</v>
      </c>
      <c r="H635" s="15">
        <f>Tabla1[[#This Row],[Importe]]-Tabla1[[#This Row],[Pagado]]</f>
        <v>0</v>
      </c>
      <c r="I635" s="275" t="s">
        <v>15214</v>
      </c>
    </row>
    <row r="636" spans="1:9" x14ac:dyDescent="0.25">
      <c r="A636" s="16">
        <v>42922</v>
      </c>
      <c r="B636" s="273" t="s">
        <v>20471</v>
      </c>
      <c r="C636">
        <v>118790</v>
      </c>
      <c r="D636" s="236" t="s">
        <v>15226</v>
      </c>
      <c r="E636" s="15">
        <v>1565.7</v>
      </c>
      <c r="F636" s="274">
        <v>42926</v>
      </c>
      <c r="G636" s="15">
        <v>1565.7</v>
      </c>
      <c r="H636" s="15">
        <f>Tabla1[[#This Row],[Importe]]-Tabla1[[#This Row],[Pagado]]</f>
        <v>0</v>
      </c>
      <c r="I636" s="275" t="s">
        <v>15214</v>
      </c>
    </row>
    <row r="637" spans="1:9" x14ac:dyDescent="0.25">
      <c r="A637" s="16">
        <v>42922</v>
      </c>
      <c r="B637" s="273" t="s">
        <v>20472</v>
      </c>
      <c r="C637">
        <v>118791</v>
      </c>
      <c r="D637" s="236" t="s">
        <v>15220</v>
      </c>
      <c r="E637" s="15">
        <v>2750</v>
      </c>
      <c r="F637" s="274">
        <v>42922</v>
      </c>
      <c r="G637" s="15">
        <v>2750</v>
      </c>
      <c r="H637" s="15">
        <f>Tabla1[[#This Row],[Importe]]-Tabla1[[#This Row],[Pagado]]</f>
        <v>0</v>
      </c>
      <c r="I637" s="275" t="s">
        <v>15214</v>
      </c>
    </row>
    <row r="638" spans="1:9" x14ac:dyDescent="0.25">
      <c r="A638" s="16">
        <v>42922</v>
      </c>
      <c r="B638" s="273" t="s">
        <v>20473</v>
      </c>
      <c r="C638">
        <v>118792</v>
      </c>
      <c r="D638" s="236" t="s">
        <v>5575</v>
      </c>
      <c r="E638" s="15">
        <v>3595.2</v>
      </c>
      <c r="F638" s="274">
        <v>42926</v>
      </c>
      <c r="G638" s="15">
        <v>3595.2</v>
      </c>
      <c r="H638" s="15">
        <f>Tabla1[[#This Row],[Importe]]-Tabla1[[#This Row],[Pagado]]</f>
        <v>0</v>
      </c>
      <c r="I638" s="275" t="s">
        <v>15214</v>
      </c>
    </row>
    <row r="639" spans="1:9" x14ac:dyDescent="0.25">
      <c r="A639" s="16">
        <v>42922</v>
      </c>
      <c r="B639" s="273" t="s">
        <v>20474</v>
      </c>
      <c r="C639">
        <v>118793</v>
      </c>
      <c r="D639" s="236" t="s">
        <v>15332</v>
      </c>
      <c r="E639" s="15">
        <v>3707.6</v>
      </c>
      <c r="F639" s="274">
        <v>42922</v>
      </c>
      <c r="G639" s="15">
        <v>3707.6</v>
      </c>
      <c r="H639" s="15">
        <f>Tabla1[[#This Row],[Importe]]-Tabla1[[#This Row],[Pagado]]</f>
        <v>0</v>
      </c>
      <c r="I639" s="275" t="s">
        <v>15214</v>
      </c>
    </row>
    <row r="640" spans="1:9" x14ac:dyDescent="0.25">
      <c r="A640" s="16">
        <v>42922</v>
      </c>
      <c r="B640" s="273" t="s">
        <v>20475</v>
      </c>
      <c r="C640">
        <v>118794</v>
      </c>
      <c r="D640" s="236" t="s">
        <v>15232</v>
      </c>
      <c r="E640" s="15">
        <v>7585.2</v>
      </c>
      <c r="F640" s="274">
        <v>42929</v>
      </c>
      <c r="G640" s="15">
        <v>7585.2</v>
      </c>
      <c r="H640" s="15">
        <f>Tabla1[[#This Row],[Importe]]-Tabla1[[#This Row],[Pagado]]</f>
        <v>0</v>
      </c>
      <c r="I640" s="275" t="s">
        <v>15214</v>
      </c>
    </row>
    <row r="641" spans="1:9" x14ac:dyDescent="0.25">
      <c r="A641" s="16">
        <v>42922</v>
      </c>
      <c r="B641" s="273" t="s">
        <v>20476</v>
      </c>
      <c r="C641">
        <v>118795</v>
      </c>
      <c r="D641" s="236" t="s">
        <v>15236</v>
      </c>
      <c r="E641" s="15">
        <v>3553.2</v>
      </c>
      <c r="F641" s="274">
        <v>42924</v>
      </c>
      <c r="G641" s="15">
        <v>3553.2</v>
      </c>
      <c r="H641" s="15">
        <f>Tabla1[[#This Row],[Importe]]-Tabla1[[#This Row],[Pagado]]</f>
        <v>0</v>
      </c>
      <c r="I641" s="275" t="s">
        <v>15214</v>
      </c>
    </row>
    <row r="642" spans="1:9" x14ac:dyDescent="0.25">
      <c r="A642" s="16">
        <v>42922</v>
      </c>
      <c r="B642" s="273" t="s">
        <v>20477</v>
      </c>
      <c r="C642">
        <v>118796</v>
      </c>
      <c r="D642" s="236" t="s">
        <v>15668</v>
      </c>
      <c r="E642" s="15">
        <v>15128.4</v>
      </c>
      <c r="F642" s="274">
        <v>42926</v>
      </c>
      <c r="G642" s="15">
        <v>15128.4</v>
      </c>
      <c r="H642" s="15">
        <f>Tabla1[[#This Row],[Importe]]-Tabla1[[#This Row],[Pagado]]</f>
        <v>0</v>
      </c>
      <c r="I642" s="275" t="s">
        <v>15214</v>
      </c>
    </row>
    <row r="643" spans="1:9" x14ac:dyDescent="0.25">
      <c r="A643" s="16">
        <v>42922</v>
      </c>
      <c r="B643" s="273" t="s">
        <v>20478</v>
      </c>
      <c r="C643">
        <v>118797</v>
      </c>
      <c r="D643" s="236" t="s">
        <v>15324</v>
      </c>
      <c r="E643" s="15">
        <v>1820</v>
      </c>
      <c r="F643" s="274">
        <v>42922</v>
      </c>
      <c r="G643" s="15">
        <v>1820</v>
      </c>
      <c r="H643" s="15">
        <f>Tabla1[[#This Row],[Importe]]-Tabla1[[#This Row],[Pagado]]</f>
        <v>0</v>
      </c>
      <c r="I643" s="275" t="s">
        <v>15214</v>
      </c>
    </row>
    <row r="644" spans="1:9" x14ac:dyDescent="0.25">
      <c r="A644" s="16">
        <v>42922</v>
      </c>
      <c r="B644" s="273" t="s">
        <v>20479</v>
      </c>
      <c r="C644">
        <v>118798</v>
      </c>
      <c r="D644" s="236" t="s">
        <v>15234</v>
      </c>
      <c r="E644" s="15">
        <v>3998.4</v>
      </c>
      <c r="F644" s="274">
        <v>42927</v>
      </c>
      <c r="G644" s="15">
        <v>3998.4</v>
      </c>
      <c r="H644" s="15">
        <f>Tabla1[[#This Row],[Importe]]-Tabla1[[#This Row],[Pagado]]</f>
        <v>0</v>
      </c>
      <c r="I644" s="275" t="s">
        <v>15214</v>
      </c>
    </row>
    <row r="645" spans="1:9" ht="30" x14ac:dyDescent="0.25">
      <c r="A645" s="16">
        <v>42922</v>
      </c>
      <c r="B645" s="273" t="s">
        <v>20480</v>
      </c>
      <c r="C645">
        <v>118799</v>
      </c>
      <c r="D645" s="236" t="s">
        <v>15258</v>
      </c>
      <c r="E645" s="15">
        <v>11424</v>
      </c>
      <c r="F645" s="274" t="s">
        <v>20481</v>
      </c>
      <c r="G645" s="241">
        <f>3424+8000</f>
        <v>11424</v>
      </c>
      <c r="H645" s="241">
        <f>Tabla1[[#This Row],[Importe]]-Tabla1[[#This Row],[Pagado]]</f>
        <v>0</v>
      </c>
      <c r="I645" s="275" t="s">
        <v>15214</v>
      </c>
    </row>
    <row r="646" spans="1:9" x14ac:dyDescent="0.25">
      <c r="A646" s="16">
        <v>42922</v>
      </c>
      <c r="B646" s="273" t="s">
        <v>20482</v>
      </c>
      <c r="C646">
        <v>118800</v>
      </c>
      <c r="D646" s="236" t="s">
        <v>15242</v>
      </c>
      <c r="E646" s="15">
        <v>25530.400000000001</v>
      </c>
      <c r="F646" s="274">
        <v>42922</v>
      </c>
      <c r="G646" s="15">
        <v>25530.400000000001</v>
      </c>
      <c r="H646" s="15">
        <f>Tabla1[[#This Row],[Importe]]-Tabla1[[#This Row],[Pagado]]</f>
        <v>0</v>
      </c>
      <c r="I646" s="275" t="s">
        <v>15214</v>
      </c>
    </row>
    <row r="647" spans="1:9" ht="30" x14ac:dyDescent="0.25">
      <c r="A647" s="16">
        <v>42922</v>
      </c>
      <c r="B647" s="273" t="s">
        <v>20483</v>
      </c>
      <c r="C647">
        <v>118801</v>
      </c>
      <c r="D647" s="236" t="s">
        <v>15248</v>
      </c>
      <c r="E647" s="15">
        <v>36525.9</v>
      </c>
      <c r="F647" s="274" t="s">
        <v>20362</v>
      </c>
      <c r="G647" s="241">
        <f>31000+5525.9</f>
        <v>36525.9</v>
      </c>
      <c r="H647" s="241">
        <f>Tabla1[[#This Row],[Importe]]-Tabla1[[#This Row],[Pagado]]</f>
        <v>0</v>
      </c>
      <c r="I647" s="275" t="s">
        <v>15214</v>
      </c>
    </row>
    <row r="648" spans="1:9" x14ac:dyDescent="0.25">
      <c r="A648" s="16">
        <v>42922</v>
      </c>
      <c r="B648" s="273" t="s">
        <v>20484</v>
      </c>
      <c r="C648">
        <v>118802</v>
      </c>
      <c r="D648" s="236" t="s">
        <v>15250</v>
      </c>
      <c r="E648" s="15">
        <v>118780.6</v>
      </c>
      <c r="F648" s="274">
        <v>42931</v>
      </c>
      <c r="G648" s="15">
        <v>118780.6</v>
      </c>
      <c r="H648" s="15">
        <f>Tabla1[[#This Row],[Importe]]-Tabla1[[#This Row],[Pagado]]</f>
        <v>0</v>
      </c>
      <c r="I648" s="275" t="s">
        <v>15214</v>
      </c>
    </row>
    <row r="649" spans="1:9" x14ac:dyDescent="0.25">
      <c r="A649" s="16">
        <v>42922</v>
      </c>
      <c r="B649" s="273" t="s">
        <v>20485</v>
      </c>
      <c r="C649">
        <v>118803</v>
      </c>
      <c r="D649" s="236" t="s">
        <v>15315</v>
      </c>
      <c r="E649" s="15">
        <v>3365.6</v>
      </c>
      <c r="F649" s="274">
        <v>42922</v>
      </c>
      <c r="G649" s="15">
        <v>3365.6</v>
      </c>
      <c r="H649" s="15">
        <f>Tabla1[[#This Row],[Importe]]-Tabla1[[#This Row],[Pagado]]</f>
        <v>0</v>
      </c>
      <c r="I649" s="275" t="s">
        <v>15214</v>
      </c>
    </row>
    <row r="650" spans="1:9" x14ac:dyDescent="0.25">
      <c r="A650" s="16">
        <v>42922</v>
      </c>
      <c r="B650" s="273" t="s">
        <v>20486</v>
      </c>
      <c r="C650">
        <v>118804</v>
      </c>
      <c r="D650" s="236" t="s">
        <v>17462</v>
      </c>
      <c r="E650" s="15">
        <v>6709.8</v>
      </c>
      <c r="F650" s="274">
        <v>42922</v>
      </c>
      <c r="G650" s="15">
        <v>6709.8</v>
      </c>
      <c r="H650" s="15">
        <f>Tabla1[[#This Row],[Importe]]-Tabla1[[#This Row],[Pagado]]</f>
        <v>0</v>
      </c>
      <c r="I650" s="275" t="s">
        <v>15214</v>
      </c>
    </row>
    <row r="651" spans="1:9" ht="30" x14ac:dyDescent="0.25">
      <c r="A651" s="16">
        <v>42922</v>
      </c>
      <c r="B651" s="273" t="s">
        <v>20487</v>
      </c>
      <c r="C651">
        <v>118805</v>
      </c>
      <c r="D651" s="236" t="s">
        <v>15256</v>
      </c>
      <c r="E651" s="15">
        <v>10120.4</v>
      </c>
      <c r="F651" s="274" t="s">
        <v>20488</v>
      </c>
      <c r="G651" s="241">
        <f>2800+7320.4</f>
        <v>10120.4</v>
      </c>
      <c r="H651" s="241">
        <f>Tabla1[[#This Row],[Importe]]-Tabla1[[#This Row],[Pagado]]</f>
        <v>0</v>
      </c>
      <c r="I651" s="275" t="s">
        <v>15214</v>
      </c>
    </row>
    <row r="652" spans="1:9" x14ac:dyDescent="0.25">
      <c r="A652" s="16">
        <v>42922</v>
      </c>
      <c r="B652" s="273" t="s">
        <v>20489</v>
      </c>
      <c r="C652">
        <v>118806</v>
      </c>
      <c r="D652" s="236" t="s">
        <v>15272</v>
      </c>
      <c r="E652" s="15">
        <v>17281.400000000001</v>
      </c>
      <c r="F652" s="274">
        <v>42922</v>
      </c>
      <c r="G652" s="15">
        <v>17281.400000000001</v>
      </c>
      <c r="H652" s="15">
        <f>Tabla1[[#This Row],[Importe]]-Tabla1[[#This Row],[Pagado]]</f>
        <v>0</v>
      </c>
      <c r="I652" s="275" t="s">
        <v>15214</v>
      </c>
    </row>
    <row r="653" spans="1:9" x14ac:dyDescent="0.25">
      <c r="A653" s="16">
        <v>42922</v>
      </c>
      <c r="B653" s="273" t="s">
        <v>20490</v>
      </c>
      <c r="C653">
        <v>118807</v>
      </c>
      <c r="D653" s="236" t="s">
        <v>15238</v>
      </c>
      <c r="E653" s="15">
        <v>2464.8000000000002</v>
      </c>
      <c r="F653" s="274">
        <v>42924</v>
      </c>
      <c r="G653" s="15">
        <v>2464.8000000000002</v>
      </c>
      <c r="H653" s="15">
        <f>Tabla1[[#This Row],[Importe]]-Tabla1[[#This Row],[Pagado]]</f>
        <v>0</v>
      </c>
      <c r="I653" s="275" t="s">
        <v>15214</v>
      </c>
    </row>
    <row r="654" spans="1:9" x14ac:dyDescent="0.25">
      <c r="A654" s="16">
        <v>42922</v>
      </c>
      <c r="B654" s="273" t="s">
        <v>20491</v>
      </c>
      <c r="C654">
        <v>118808</v>
      </c>
      <c r="D654" s="236" t="s">
        <v>15338</v>
      </c>
      <c r="E654" s="15">
        <v>10055.9</v>
      </c>
      <c r="F654" s="274">
        <v>42926</v>
      </c>
      <c r="G654" s="15">
        <v>10055.9</v>
      </c>
      <c r="H654" s="15">
        <f>Tabla1[[#This Row],[Importe]]-Tabla1[[#This Row],[Pagado]]</f>
        <v>0</v>
      </c>
      <c r="I654" s="275" t="s">
        <v>15214</v>
      </c>
    </row>
    <row r="655" spans="1:9" x14ac:dyDescent="0.25">
      <c r="A655" s="16">
        <v>42922</v>
      </c>
      <c r="B655" s="273" t="s">
        <v>20492</v>
      </c>
      <c r="C655">
        <v>118809</v>
      </c>
      <c r="D655" s="236" t="s">
        <v>15858</v>
      </c>
      <c r="E655" s="15">
        <v>3735.52</v>
      </c>
      <c r="F655" s="274">
        <v>42922</v>
      </c>
      <c r="G655" s="15">
        <v>3735.52</v>
      </c>
      <c r="H655" s="15">
        <f>Tabla1[[#This Row],[Importe]]-Tabla1[[#This Row],[Pagado]]</f>
        <v>0</v>
      </c>
      <c r="I655" s="275" t="s">
        <v>15214</v>
      </c>
    </row>
    <row r="656" spans="1:9" x14ac:dyDescent="0.25">
      <c r="A656" s="16">
        <v>42922</v>
      </c>
      <c r="B656" s="273" t="s">
        <v>20493</v>
      </c>
      <c r="C656">
        <v>118810</v>
      </c>
      <c r="D656" s="236" t="s">
        <v>16171</v>
      </c>
      <c r="E656" s="15">
        <v>1116.8399999999999</v>
      </c>
      <c r="F656" s="274">
        <v>42922</v>
      </c>
      <c r="G656" s="15">
        <v>1116.8399999999999</v>
      </c>
      <c r="H656" s="15">
        <f>Tabla1[[#This Row],[Importe]]-Tabla1[[#This Row],[Pagado]]</f>
        <v>0</v>
      </c>
      <c r="I656" s="275" t="s">
        <v>15214</v>
      </c>
    </row>
    <row r="657" spans="1:9" x14ac:dyDescent="0.25">
      <c r="A657" s="16">
        <v>42922</v>
      </c>
      <c r="B657" s="273" t="s">
        <v>20494</v>
      </c>
      <c r="C657">
        <v>118811</v>
      </c>
      <c r="D657" s="236" t="s">
        <v>15263</v>
      </c>
      <c r="E657" s="15">
        <v>3727.72</v>
      </c>
      <c r="F657" s="274">
        <v>42922</v>
      </c>
      <c r="G657" s="15">
        <v>3727.72</v>
      </c>
      <c r="H657" s="15">
        <f>Tabla1[[#This Row],[Importe]]-Tabla1[[#This Row],[Pagado]]</f>
        <v>0</v>
      </c>
      <c r="I657" s="275" t="s">
        <v>15214</v>
      </c>
    </row>
    <row r="658" spans="1:9" x14ac:dyDescent="0.25">
      <c r="A658" s="16">
        <v>42922</v>
      </c>
      <c r="B658" s="273" t="s">
        <v>20495</v>
      </c>
      <c r="C658">
        <v>118812</v>
      </c>
      <c r="D658" s="236" t="s">
        <v>15334</v>
      </c>
      <c r="E658" s="15">
        <v>1798</v>
      </c>
      <c r="F658" s="274">
        <v>42922</v>
      </c>
      <c r="G658" s="15">
        <v>1798</v>
      </c>
      <c r="H658" s="15">
        <f>Tabla1[[#This Row],[Importe]]-Tabla1[[#This Row],[Pagado]]</f>
        <v>0</v>
      </c>
      <c r="I658" s="275" t="s">
        <v>15214</v>
      </c>
    </row>
    <row r="659" spans="1:9" x14ac:dyDescent="0.25">
      <c r="A659" s="16">
        <v>42922</v>
      </c>
      <c r="B659" s="273" t="s">
        <v>20496</v>
      </c>
      <c r="C659">
        <v>118813</v>
      </c>
      <c r="D659" s="236" t="s">
        <v>15523</v>
      </c>
      <c r="E659" s="15">
        <v>2000</v>
      </c>
      <c r="F659" s="274">
        <v>42922</v>
      </c>
      <c r="G659" s="15">
        <v>2000</v>
      </c>
      <c r="H659" s="15">
        <f>Tabla1[[#This Row],[Importe]]-Tabla1[[#This Row],[Pagado]]</f>
        <v>0</v>
      </c>
      <c r="I659" s="275" t="s">
        <v>15214</v>
      </c>
    </row>
    <row r="660" spans="1:9" x14ac:dyDescent="0.25">
      <c r="A660" s="16">
        <v>42922</v>
      </c>
      <c r="B660" s="273" t="s">
        <v>20497</v>
      </c>
      <c r="C660">
        <v>118814</v>
      </c>
      <c r="D660" s="236" t="s">
        <v>15274</v>
      </c>
      <c r="E660" s="15">
        <v>821.78</v>
      </c>
      <c r="F660" s="274">
        <v>42922</v>
      </c>
      <c r="G660" s="15">
        <v>821.78</v>
      </c>
      <c r="H660" s="15">
        <f>Tabla1[[#This Row],[Importe]]-Tabla1[[#This Row],[Pagado]]</f>
        <v>0</v>
      </c>
      <c r="I660" s="275" t="s">
        <v>15214</v>
      </c>
    </row>
    <row r="661" spans="1:9" x14ac:dyDescent="0.25">
      <c r="A661" s="16">
        <v>42922</v>
      </c>
      <c r="B661" s="273" t="s">
        <v>20498</v>
      </c>
      <c r="C661">
        <v>118815</v>
      </c>
      <c r="D661" s="236" t="s">
        <v>15328</v>
      </c>
      <c r="E661" s="15">
        <v>74.52</v>
      </c>
      <c r="F661" s="274">
        <v>42934</v>
      </c>
      <c r="G661" s="15">
        <v>74.52</v>
      </c>
      <c r="H661" s="15">
        <f>Tabla1[[#This Row],[Importe]]-Tabla1[[#This Row],[Pagado]]</f>
        <v>0</v>
      </c>
      <c r="I661" s="275" t="s">
        <v>15214</v>
      </c>
    </row>
    <row r="662" spans="1:9" x14ac:dyDescent="0.25">
      <c r="A662" s="16">
        <v>42922</v>
      </c>
      <c r="B662" s="273" t="s">
        <v>20499</v>
      </c>
      <c r="C662">
        <v>118816</v>
      </c>
      <c r="D662" s="236" t="s">
        <v>15326</v>
      </c>
      <c r="E662" s="15">
        <v>2505.6</v>
      </c>
      <c r="F662" s="274">
        <v>42922</v>
      </c>
      <c r="G662" s="15">
        <v>2505.6</v>
      </c>
      <c r="H662" s="15">
        <f>Tabla1[[#This Row],[Importe]]-Tabla1[[#This Row],[Pagado]]</f>
        <v>0</v>
      </c>
      <c r="I662" s="275" t="s">
        <v>15214</v>
      </c>
    </row>
    <row r="663" spans="1:9" x14ac:dyDescent="0.25">
      <c r="A663" s="16">
        <v>42922</v>
      </c>
      <c r="B663" s="273" t="s">
        <v>20500</v>
      </c>
      <c r="C663">
        <v>118817</v>
      </c>
      <c r="D663" s="236" t="s">
        <v>15223</v>
      </c>
      <c r="E663" s="15">
        <v>56262.6</v>
      </c>
      <c r="F663" s="274">
        <v>42960</v>
      </c>
      <c r="G663" s="15">
        <v>56262.6</v>
      </c>
      <c r="H663" s="15">
        <f>Tabla1[[#This Row],[Importe]]-Tabla1[[#This Row],[Pagado]]</f>
        <v>0</v>
      </c>
      <c r="I663" s="275" t="s">
        <v>15214</v>
      </c>
    </row>
    <row r="664" spans="1:9" x14ac:dyDescent="0.25">
      <c r="A664" s="16">
        <v>42922</v>
      </c>
      <c r="B664" s="273" t="s">
        <v>20501</v>
      </c>
      <c r="C664">
        <v>118818</v>
      </c>
      <c r="D664" s="236" t="s">
        <v>15861</v>
      </c>
      <c r="E664" s="15">
        <v>2158.5</v>
      </c>
      <c r="F664" s="274">
        <v>42922</v>
      </c>
      <c r="G664" s="15">
        <v>2158.5</v>
      </c>
      <c r="H664" s="15">
        <f>Tabla1[[#This Row],[Importe]]-Tabla1[[#This Row],[Pagado]]</f>
        <v>0</v>
      </c>
      <c r="I664" s="275" t="s">
        <v>15214</v>
      </c>
    </row>
    <row r="665" spans="1:9" x14ac:dyDescent="0.25">
      <c r="A665" s="16">
        <v>42922</v>
      </c>
      <c r="B665" s="273" t="s">
        <v>20502</v>
      </c>
      <c r="C665">
        <v>118819</v>
      </c>
      <c r="D665" s="236" t="s">
        <v>17210</v>
      </c>
      <c r="E665" s="15">
        <v>4346</v>
      </c>
      <c r="F665" s="274">
        <v>42922</v>
      </c>
      <c r="G665" s="15">
        <v>4346</v>
      </c>
      <c r="H665" s="15">
        <f>Tabla1[[#This Row],[Importe]]-Tabla1[[#This Row],[Pagado]]</f>
        <v>0</v>
      </c>
      <c r="I665" s="275" t="s">
        <v>15214</v>
      </c>
    </row>
    <row r="666" spans="1:9" x14ac:dyDescent="0.25">
      <c r="A666" s="16">
        <v>42922</v>
      </c>
      <c r="B666" s="273" t="s">
        <v>20503</v>
      </c>
      <c r="C666">
        <v>118820</v>
      </c>
      <c r="D666" s="236" t="s">
        <v>15284</v>
      </c>
      <c r="E666" s="15">
        <v>2437.1</v>
      </c>
      <c r="F666" s="274">
        <v>42922</v>
      </c>
      <c r="G666" s="15">
        <v>2437.1</v>
      </c>
      <c r="H666" s="15">
        <f>Tabla1[[#This Row],[Importe]]-Tabla1[[#This Row],[Pagado]]</f>
        <v>0</v>
      </c>
      <c r="I666" s="275" t="s">
        <v>15214</v>
      </c>
    </row>
    <row r="667" spans="1:9" x14ac:dyDescent="0.25">
      <c r="A667" s="16">
        <v>42922</v>
      </c>
      <c r="B667" s="273" t="s">
        <v>20504</v>
      </c>
      <c r="C667">
        <v>118821</v>
      </c>
      <c r="D667" s="236" t="s">
        <v>15526</v>
      </c>
      <c r="E667" s="15">
        <v>2697.7</v>
      </c>
      <c r="F667" s="274">
        <v>42922</v>
      </c>
      <c r="G667" s="15">
        <v>2697.7</v>
      </c>
      <c r="H667" s="15">
        <f>Tabla1[[#This Row],[Importe]]-Tabla1[[#This Row],[Pagado]]</f>
        <v>0</v>
      </c>
      <c r="I667" s="275" t="s">
        <v>15214</v>
      </c>
    </row>
    <row r="668" spans="1:9" x14ac:dyDescent="0.25">
      <c r="A668" s="16">
        <v>42922</v>
      </c>
      <c r="B668" s="273" t="s">
        <v>20505</v>
      </c>
      <c r="C668">
        <v>118822</v>
      </c>
      <c r="D668" s="236" t="s">
        <v>15246</v>
      </c>
      <c r="E668" s="15">
        <v>47174.28</v>
      </c>
      <c r="F668" s="274">
        <v>42924</v>
      </c>
      <c r="G668" s="15">
        <v>47174.28</v>
      </c>
      <c r="H668" s="15">
        <f>Tabla1[[#This Row],[Importe]]-Tabla1[[#This Row],[Pagado]]</f>
        <v>0</v>
      </c>
      <c r="I668" s="275" t="s">
        <v>15214</v>
      </c>
    </row>
    <row r="669" spans="1:9" x14ac:dyDescent="0.25">
      <c r="A669" s="16">
        <v>42922</v>
      </c>
      <c r="B669" s="273" t="s">
        <v>20506</v>
      </c>
      <c r="C669">
        <v>118823</v>
      </c>
      <c r="D669" s="236" t="s">
        <v>15344</v>
      </c>
      <c r="E669" s="15">
        <v>1742</v>
      </c>
      <c r="F669" s="274">
        <v>42922</v>
      </c>
      <c r="G669" s="15">
        <v>1742</v>
      </c>
      <c r="H669" s="15">
        <f>Tabla1[[#This Row],[Importe]]-Tabla1[[#This Row],[Pagado]]</f>
        <v>0</v>
      </c>
      <c r="I669" s="275" t="s">
        <v>15214</v>
      </c>
    </row>
    <row r="670" spans="1:9" x14ac:dyDescent="0.25">
      <c r="A670" s="16">
        <v>42922</v>
      </c>
      <c r="B670" s="273" t="s">
        <v>20507</v>
      </c>
      <c r="C670">
        <v>118824</v>
      </c>
      <c r="D670" s="236" t="s">
        <v>15246</v>
      </c>
      <c r="E670" s="15">
        <v>2000</v>
      </c>
      <c r="F670" s="274">
        <v>42924</v>
      </c>
      <c r="G670" s="15">
        <v>2000</v>
      </c>
      <c r="H670" s="15">
        <f>Tabla1[[#This Row],[Importe]]-Tabla1[[#This Row],[Pagado]]</f>
        <v>0</v>
      </c>
      <c r="I670" s="275" t="s">
        <v>15214</v>
      </c>
    </row>
    <row r="671" spans="1:9" x14ac:dyDescent="0.25">
      <c r="A671" s="16">
        <v>42922</v>
      </c>
      <c r="B671" s="273" t="s">
        <v>20508</v>
      </c>
      <c r="C671">
        <v>118825</v>
      </c>
      <c r="D671" s="236" t="s">
        <v>15344</v>
      </c>
      <c r="E671" s="15">
        <v>2310.8000000000002</v>
      </c>
      <c r="F671" s="274">
        <v>42922</v>
      </c>
      <c r="G671" s="15">
        <v>2310.8000000000002</v>
      </c>
      <c r="H671" s="15">
        <f>Tabla1[[#This Row],[Importe]]-Tabla1[[#This Row],[Pagado]]</f>
        <v>0</v>
      </c>
      <c r="I671" s="275" t="s">
        <v>15214</v>
      </c>
    </row>
    <row r="672" spans="1:9" x14ac:dyDescent="0.25">
      <c r="A672" s="16">
        <v>42922</v>
      </c>
      <c r="B672" s="273" t="s">
        <v>20509</v>
      </c>
      <c r="C672">
        <v>118826</v>
      </c>
      <c r="D672" s="236" t="s">
        <v>15358</v>
      </c>
      <c r="E672" s="15">
        <v>2605</v>
      </c>
      <c r="F672" s="274">
        <v>42922</v>
      </c>
      <c r="G672" s="15">
        <v>2605</v>
      </c>
      <c r="H672" s="15">
        <f>Tabla1[[#This Row],[Importe]]-Tabla1[[#This Row],[Pagado]]</f>
        <v>0</v>
      </c>
      <c r="I672" s="275" t="s">
        <v>15214</v>
      </c>
    </row>
    <row r="673" spans="1:9" x14ac:dyDescent="0.25">
      <c r="A673" s="16">
        <v>42922</v>
      </c>
      <c r="B673" s="273" t="s">
        <v>20510</v>
      </c>
      <c r="C673">
        <v>118827</v>
      </c>
      <c r="D673" s="236" t="s">
        <v>16484</v>
      </c>
      <c r="E673" s="15">
        <v>619.20000000000005</v>
      </c>
      <c r="F673" s="274">
        <v>42922</v>
      </c>
      <c r="G673" s="15">
        <v>619.20000000000005</v>
      </c>
      <c r="H673" s="15">
        <f>Tabla1[[#This Row],[Importe]]-Tabla1[[#This Row],[Pagado]]</f>
        <v>0</v>
      </c>
      <c r="I673" s="275" t="s">
        <v>15214</v>
      </c>
    </row>
    <row r="674" spans="1:9" x14ac:dyDescent="0.25">
      <c r="A674" s="16">
        <v>42922</v>
      </c>
      <c r="B674" s="273" t="s">
        <v>20511</v>
      </c>
      <c r="C674">
        <v>118828</v>
      </c>
      <c r="D674" s="236" t="s">
        <v>15358</v>
      </c>
      <c r="E674" s="15">
        <v>1140</v>
      </c>
      <c r="F674" s="274">
        <v>42922</v>
      </c>
      <c r="G674" s="15">
        <v>1140</v>
      </c>
      <c r="H674" s="15">
        <f>Tabla1[[#This Row],[Importe]]-Tabla1[[#This Row],[Pagado]]</f>
        <v>0</v>
      </c>
      <c r="I674" s="275" t="s">
        <v>15214</v>
      </c>
    </row>
    <row r="675" spans="1:9" x14ac:dyDescent="0.25">
      <c r="A675" s="16">
        <v>42922</v>
      </c>
      <c r="B675" s="273" t="s">
        <v>20512</v>
      </c>
      <c r="C675">
        <v>118829</v>
      </c>
      <c r="D675" s="236" t="s">
        <v>15407</v>
      </c>
      <c r="E675" s="15">
        <v>23919.3</v>
      </c>
      <c r="F675" s="274">
        <v>42922</v>
      </c>
      <c r="G675" s="15">
        <v>23919.3</v>
      </c>
      <c r="H675" s="15">
        <f>Tabla1[[#This Row],[Importe]]-Tabla1[[#This Row],[Pagado]]</f>
        <v>0</v>
      </c>
      <c r="I675" s="275" t="s">
        <v>15214</v>
      </c>
    </row>
    <row r="676" spans="1:9" x14ac:dyDescent="0.25">
      <c r="A676" s="16">
        <v>42922</v>
      </c>
      <c r="B676" s="273" t="s">
        <v>20513</v>
      </c>
      <c r="C676">
        <v>118830</v>
      </c>
      <c r="D676" s="236" t="s">
        <v>15407</v>
      </c>
      <c r="E676" s="15">
        <v>1727.5</v>
      </c>
      <c r="F676" s="274">
        <v>42922</v>
      </c>
      <c r="G676" s="15">
        <v>1727.5</v>
      </c>
      <c r="H676" s="15">
        <f>Tabla1[[#This Row],[Importe]]-Tabla1[[#This Row],[Pagado]]</f>
        <v>0</v>
      </c>
      <c r="I676" s="275" t="s">
        <v>15214</v>
      </c>
    </row>
    <row r="677" spans="1:9" x14ac:dyDescent="0.25">
      <c r="A677" s="16">
        <v>42922</v>
      </c>
      <c r="B677" s="273" t="s">
        <v>20514</v>
      </c>
      <c r="C677">
        <v>118831</v>
      </c>
      <c r="D677" s="236" t="s">
        <v>16383</v>
      </c>
      <c r="E677" s="15">
        <v>9999.9</v>
      </c>
      <c r="F677" s="274">
        <v>42922</v>
      </c>
      <c r="G677" s="15">
        <v>9999.9</v>
      </c>
      <c r="H677" s="15">
        <f>Tabla1[[#This Row],[Importe]]-Tabla1[[#This Row],[Pagado]]</f>
        <v>0</v>
      </c>
      <c r="I677" s="275" t="s">
        <v>15214</v>
      </c>
    </row>
    <row r="678" spans="1:9" x14ac:dyDescent="0.25">
      <c r="A678" s="16">
        <v>42922</v>
      </c>
      <c r="B678" s="273" t="s">
        <v>20515</v>
      </c>
      <c r="C678">
        <v>118832</v>
      </c>
      <c r="D678" s="236" t="s">
        <v>15280</v>
      </c>
      <c r="E678" s="15">
        <v>7018.3</v>
      </c>
      <c r="F678" s="274">
        <v>42922</v>
      </c>
      <c r="G678" s="15">
        <v>7018.3</v>
      </c>
      <c r="H678" s="15">
        <f>Tabla1[[#This Row],[Importe]]-Tabla1[[#This Row],[Pagado]]</f>
        <v>0</v>
      </c>
      <c r="I678" s="275" t="s">
        <v>15214</v>
      </c>
    </row>
    <row r="679" spans="1:9" x14ac:dyDescent="0.25">
      <c r="A679" s="16">
        <v>42922</v>
      </c>
      <c r="B679" s="273" t="s">
        <v>20516</v>
      </c>
      <c r="C679">
        <v>118833</v>
      </c>
      <c r="D679" s="236" t="s">
        <v>18082</v>
      </c>
      <c r="E679" s="15">
        <v>74121.06</v>
      </c>
      <c r="F679" s="274">
        <v>42922</v>
      </c>
      <c r="G679" s="15">
        <v>74121.06</v>
      </c>
      <c r="H679" s="15">
        <f>Tabla1[[#This Row],[Importe]]-Tabla1[[#This Row],[Pagado]]</f>
        <v>0</v>
      </c>
      <c r="I679" s="275" t="s">
        <v>15214</v>
      </c>
    </row>
    <row r="680" spans="1:9" x14ac:dyDescent="0.25">
      <c r="A680" s="16">
        <v>42922</v>
      </c>
      <c r="B680" s="273" t="s">
        <v>20517</v>
      </c>
      <c r="C680">
        <v>118834</v>
      </c>
      <c r="D680" s="236" t="s">
        <v>15442</v>
      </c>
      <c r="E680" s="15">
        <v>14476</v>
      </c>
      <c r="F680" s="274">
        <v>42927</v>
      </c>
      <c r="G680" s="15">
        <v>14476</v>
      </c>
      <c r="H680" s="15">
        <f>Tabla1[[#This Row],[Importe]]-Tabla1[[#This Row],[Pagado]]</f>
        <v>0</v>
      </c>
      <c r="I680" s="275" t="s">
        <v>15214</v>
      </c>
    </row>
    <row r="681" spans="1:9" x14ac:dyDescent="0.25">
      <c r="A681" s="16">
        <v>42922</v>
      </c>
      <c r="B681" s="273" t="s">
        <v>20518</v>
      </c>
      <c r="C681">
        <v>118835</v>
      </c>
      <c r="D681" s="236" t="s">
        <v>15835</v>
      </c>
      <c r="E681" s="15">
        <v>15280.8</v>
      </c>
      <c r="F681" s="274">
        <v>42922</v>
      </c>
      <c r="G681" s="15">
        <v>15280.8</v>
      </c>
      <c r="H681" s="15">
        <f>Tabla1[[#This Row],[Importe]]-Tabla1[[#This Row],[Pagado]]</f>
        <v>0</v>
      </c>
      <c r="I681" s="275" t="s">
        <v>15214</v>
      </c>
    </row>
    <row r="682" spans="1:9" x14ac:dyDescent="0.25">
      <c r="A682" s="16">
        <v>42922</v>
      </c>
      <c r="B682" s="273" t="s">
        <v>20519</v>
      </c>
      <c r="C682">
        <v>118836</v>
      </c>
      <c r="D682" s="236" t="s">
        <v>15291</v>
      </c>
      <c r="E682" s="15">
        <v>650</v>
      </c>
      <c r="F682" s="274">
        <v>42922</v>
      </c>
      <c r="G682" s="15">
        <v>650</v>
      </c>
      <c r="H682" s="15">
        <f>Tabla1[[#This Row],[Importe]]-Tabla1[[#This Row],[Pagado]]</f>
        <v>0</v>
      </c>
      <c r="I682" s="275" t="s">
        <v>15214</v>
      </c>
    </row>
    <row r="683" spans="1:9" x14ac:dyDescent="0.25">
      <c r="A683" s="16">
        <v>42922</v>
      </c>
      <c r="B683" s="273" t="s">
        <v>20520</v>
      </c>
      <c r="C683">
        <v>118837</v>
      </c>
      <c r="D683" s="236" t="s">
        <v>15583</v>
      </c>
      <c r="E683" s="15">
        <v>1680.1</v>
      </c>
      <c r="F683" s="274">
        <v>42924</v>
      </c>
      <c r="G683" s="15">
        <v>1680.1</v>
      </c>
      <c r="H683" s="15">
        <f>Tabla1[[#This Row],[Importe]]-Tabla1[[#This Row],[Pagado]]</f>
        <v>0</v>
      </c>
      <c r="I683" s="275" t="s">
        <v>15214</v>
      </c>
    </row>
    <row r="684" spans="1:9" x14ac:dyDescent="0.25">
      <c r="A684" s="16">
        <v>42922</v>
      </c>
      <c r="B684" s="273" t="s">
        <v>20521</v>
      </c>
      <c r="C684">
        <v>118838</v>
      </c>
      <c r="D684" s="236" t="s">
        <v>15592</v>
      </c>
      <c r="E684" s="15">
        <v>4142.8999999999996</v>
      </c>
      <c r="F684" s="274">
        <v>42922</v>
      </c>
      <c r="G684" s="15">
        <v>4142.8999999999996</v>
      </c>
      <c r="H684" s="15">
        <f>Tabla1[[#This Row],[Importe]]-Tabla1[[#This Row],[Pagado]]</f>
        <v>0</v>
      </c>
      <c r="I684" s="275" t="s">
        <v>15214</v>
      </c>
    </row>
    <row r="685" spans="1:9" x14ac:dyDescent="0.25">
      <c r="A685" s="16">
        <v>42922</v>
      </c>
      <c r="B685" s="273" t="s">
        <v>20522</v>
      </c>
      <c r="C685">
        <v>118839</v>
      </c>
      <c r="D685" s="236" t="s">
        <v>15568</v>
      </c>
      <c r="E685" s="15">
        <v>4152</v>
      </c>
      <c r="F685" s="274">
        <v>42922</v>
      </c>
      <c r="G685" s="15">
        <v>4152</v>
      </c>
      <c r="H685" s="15">
        <f>Tabla1[[#This Row],[Importe]]-Tabla1[[#This Row],[Pagado]]</f>
        <v>0</v>
      </c>
      <c r="I685" s="275" t="s">
        <v>15214</v>
      </c>
    </row>
    <row r="686" spans="1:9" x14ac:dyDescent="0.25">
      <c r="A686" s="16">
        <v>42922</v>
      </c>
      <c r="B686" s="273" t="s">
        <v>20523</v>
      </c>
      <c r="C686">
        <v>118840</v>
      </c>
      <c r="D686" s="236" t="s">
        <v>15317</v>
      </c>
      <c r="E686" s="15">
        <v>3381.6</v>
      </c>
      <c r="F686" s="274">
        <v>42926</v>
      </c>
      <c r="G686" s="15">
        <v>3381.6</v>
      </c>
      <c r="H686" s="15">
        <f>Tabla1[[#This Row],[Importe]]-Tabla1[[#This Row],[Pagado]]</f>
        <v>0</v>
      </c>
      <c r="I686" s="275" t="s">
        <v>15214</v>
      </c>
    </row>
    <row r="687" spans="1:9" x14ac:dyDescent="0.25">
      <c r="A687" s="16">
        <v>42922</v>
      </c>
      <c r="B687" s="273" t="s">
        <v>20524</v>
      </c>
      <c r="C687">
        <v>118841</v>
      </c>
      <c r="D687" s="236" t="s">
        <v>15541</v>
      </c>
      <c r="E687" s="15">
        <v>957.8</v>
      </c>
      <c r="F687" s="274">
        <v>42922</v>
      </c>
      <c r="G687" s="15">
        <v>957.8</v>
      </c>
      <c r="H687" s="15">
        <f>Tabla1[[#This Row],[Importe]]-Tabla1[[#This Row],[Pagado]]</f>
        <v>0</v>
      </c>
      <c r="I687" s="275" t="s">
        <v>15214</v>
      </c>
    </row>
    <row r="688" spans="1:9" x14ac:dyDescent="0.25">
      <c r="A688" s="16">
        <v>42922</v>
      </c>
      <c r="B688" s="273" t="s">
        <v>20525</v>
      </c>
      <c r="C688">
        <v>118842</v>
      </c>
      <c r="D688" s="236" t="s">
        <v>15309</v>
      </c>
      <c r="E688" s="15">
        <v>15674.4</v>
      </c>
      <c r="F688" s="274">
        <v>42922</v>
      </c>
      <c r="G688" s="15">
        <v>15674.4</v>
      </c>
      <c r="H688" s="15">
        <f>Tabla1[[#This Row],[Importe]]-Tabla1[[#This Row],[Pagado]]</f>
        <v>0</v>
      </c>
      <c r="I688" s="275" t="s">
        <v>15214</v>
      </c>
    </row>
    <row r="689" spans="1:9" x14ac:dyDescent="0.25">
      <c r="A689" s="16">
        <v>42922</v>
      </c>
      <c r="B689" s="273" t="s">
        <v>20526</v>
      </c>
      <c r="C689">
        <v>118843</v>
      </c>
      <c r="D689" s="236" t="s">
        <v>15252</v>
      </c>
      <c r="E689" s="15">
        <v>258.3</v>
      </c>
      <c r="F689" s="274">
        <v>42922</v>
      </c>
      <c r="G689" s="15">
        <v>258.3</v>
      </c>
      <c r="H689" s="15">
        <f>Tabla1[[#This Row],[Importe]]-Tabla1[[#This Row],[Pagado]]</f>
        <v>0</v>
      </c>
      <c r="I689" s="275" t="s">
        <v>15214</v>
      </c>
    </row>
    <row r="690" spans="1:9" x14ac:dyDescent="0.25">
      <c r="A690" s="16">
        <v>42922</v>
      </c>
      <c r="B690" s="273" t="s">
        <v>20527</v>
      </c>
      <c r="C690">
        <v>118844</v>
      </c>
      <c r="D690" s="236" t="s">
        <v>15244</v>
      </c>
      <c r="E690" s="15">
        <v>9399.6</v>
      </c>
      <c r="F690" s="274">
        <v>42922</v>
      </c>
      <c r="G690" s="15">
        <v>9399.6</v>
      </c>
      <c r="H690" s="15">
        <f>Tabla1[[#This Row],[Importe]]-Tabla1[[#This Row],[Pagado]]</f>
        <v>0</v>
      </c>
      <c r="I690" s="275" t="s">
        <v>15214</v>
      </c>
    </row>
    <row r="691" spans="1:9" x14ac:dyDescent="0.25">
      <c r="A691" s="16">
        <v>42922</v>
      </c>
      <c r="B691" s="273" t="s">
        <v>20528</v>
      </c>
      <c r="C691">
        <v>118845</v>
      </c>
      <c r="D691" s="236" t="s">
        <v>15590</v>
      </c>
      <c r="E691" s="15">
        <v>36403.199999999997</v>
      </c>
      <c r="F691" s="274">
        <v>42928</v>
      </c>
      <c r="G691" s="15">
        <v>36403.199999999997</v>
      </c>
      <c r="H691" s="15">
        <f>Tabla1[[#This Row],[Importe]]-Tabla1[[#This Row],[Pagado]]</f>
        <v>0</v>
      </c>
      <c r="I691" s="275" t="s">
        <v>15214</v>
      </c>
    </row>
    <row r="692" spans="1:9" x14ac:dyDescent="0.25">
      <c r="A692" s="16">
        <v>42922</v>
      </c>
      <c r="B692" s="273" t="s">
        <v>20529</v>
      </c>
      <c r="C692">
        <v>118846</v>
      </c>
      <c r="D692" s="236" t="s">
        <v>15305</v>
      </c>
      <c r="E692" s="15">
        <v>1898</v>
      </c>
      <c r="F692" s="274">
        <v>42922</v>
      </c>
      <c r="G692" s="15">
        <v>1898</v>
      </c>
      <c r="H692" s="15">
        <f>Tabla1[[#This Row],[Importe]]-Tabla1[[#This Row],[Pagado]]</f>
        <v>0</v>
      </c>
      <c r="I692" s="275" t="s">
        <v>15214</v>
      </c>
    </row>
    <row r="693" spans="1:9" x14ac:dyDescent="0.25">
      <c r="A693" s="16">
        <v>42922</v>
      </c>
      <c r="B693" s="273" t="s">
        <v>20530</v>
      </c>
      <c r="C693">
        <v>118847</v>
      </c>
      <c r="D693" s="236" t="s">
        <v>15311</v>
      </c>
      <c r="E693" s="15">
        <v>2931.2</v>
      </c>
      <c r="F693" s="274">
        <v>42922</v>
      </c>
      <c r="G693" s="15">
        <v>2931.2</v>
      </c>
      <c r="H693" s="15">
        <f>Tabla1[[#This Row],[Importe]]-Tabla1[[#This Row],[Pagado]]</f>
        <v>0</v>
      </c>
      <c r="I693" s="275" t="s">
        <v>15214</v>
      </c>
    </row>
    <row r="694" spans="1:9" x14ac:dyDescent="0.25">
      <c r="A694" s="16">
        <v>42922</v>
      </c>
      <c r="B694" s="273" t="s">
        <v>20531</v>
      </c>
      <c r="C694">
        <v>118848</v>
      </c>
      <c r="D694" s="236" t="s">
        <v>5556</v>
      </c>
      <c r="E694" s="15">
        <v>51999.6</v>
      </c>
      <c r="F694" s="274">
        <v>42923</v>
      </c>
      <c r="G694" s="15">
        <v>51999.6</v>
      </c>
      <c r="H694" s="15">
        <f>Tabla1[[#This Row],[Importe]]-Tabla1[[#This Row],[Pagado]]</f>
        <v>0</v>
      </c>
      <c r="I694" s="275" t="s">
        <v>15214</v>
      </c>
    </row>
    <row r="695" spans="1:9" x14ac:dyDescent="0.25">
      <c r="A695" s="16">
        <v>42922</v>
      </c>
      <c r="B695" s="273" t="s">
        <v>20532</v>
      </c>
      <c r="C695">
        <v>118849</v>
      </c>
      <c r="D695" s="236" t="s">
        <v>15544</v>
      </c>
      <c r="E695" s="15">
        <v>10983</v>
      </c>
      <c r="F695" s="274">
        <v>42923</v>
      </c>
      <c r="G695" s="15">
        <v>10983</v>
      </c>
      <c r="H695" s="15">
        <f>Tabla1[[#This Row],[Importe]]-Tabla1[[#This Row],[Pagado]]</f>
        <v>0</v>
      </c>
      <c r="I695" s="275" t="s">
        <v>15214</v>
      </c>
    </row>
    <row r="696" spans="1:9" ht="45" x14ac:dyDescent="0.25">
      <c r="A696" s="16">
        <v>42922</v>
      </c>
      <c r="B696" s="273" t="s">
        <v>20533</v>
      </c>
      <c r="C696">
        <v>118850</v>
      </c>
      <c r="D696" s="236" t="s">
        <v>15228</v>
      </c>
      <c r="E696" s="15">
        <v>38033.58</v>
      </c>
      <c r="F696" s="274" t="s">
        <v>20534</v>
      </c>
      <c r="G696" s="241">
        <f>6500+11000+9000+11533.58</f>
        <v>38033.58</v>
      </c>
      <c r="H696" s="241">
        <f>Tabla1[[#This Row],[Importe]]-Tabla1[[#This Row],[Pagado]]</f>
        <v>0</v>
      </c>
      <c r="I696" s="275" t="s">
        <v>15214</v>
      </c>
    </row>
    <row r="697" spans="1:9" x14ac:dyDescent="0.25">
      <c r="A697" s="16">
        <v>42922</v>
      </c>
      <c r="B697" s="273" t="s">
        <v>20535</v>
      </c>
      <c r="C697">
        <v>118851</v>
      </c>
      <c r="D697" s="236" t="s">
        <v>15537</v>
      </c>
      <c r="E697" s="15">
        <v>23381.4</v>
      </c>
      <c r="F697" s="274">
        <v>42928</v>
      </c>
      <c r="G697" s="15">
        <v>23381.4</v>
      </c>
      <c r="H697" s="15">
        <f>Tabla1[[#This Row],[Importe]]-Tabla1[[#This Row],[Pagado]]</f>
        <v>0</v>
      </c>
      <c r="I697" s="275" t="s">
        <v>15214</v>
      </c>
    </row>
    <row r="698" spans="1:9" x14ac:dyDescent="0.25">
      <c r="A698" s="16">
        <v>42922</v>
      </c>
      <c r="B698" s="273" t="s">
        <v>20536</v>
      </c>
      <c r="C698">
        <v>118852</v>
      </c>
      <c r="D698" s="236" t="s">
        <v>16383</v>
      </c>
      <c r="E698" s="15">
        <v>274.7</v>
      </c>
      <c r="F698" s="274">
        <v>42922</v>
      </c>
      <c r="G698" s="15">
        <v>274.7</v>
      </c>
      <c r="H698" s="15">
        <f>Tabla1[[#This Row],[Importe]]-Tabla1[[#This Row],[Pagado]]</f>
        <v>0</v>
      </c>
      <c r="I698" s="275" t="s">
        <v>15214</v>
      </c>
    </row>
    <row r="699" spans="1:9" x14ac:dyDescent="0.25">
      <c r="A699" s="16">
        <v>42922</v>
      </c>
      <c r="B699" s="273" t="s">
        <v>20537</v>
      </c>
      <c r="C699">
        <v>118853</v>
      </c>
      <c r="D699" s="236" t="s">
        <v>15378</v>
      </c>
      <c r="E699" s="15">
        <v>552.79999999999995</v>
      </c>
      <c r="F699" s="274">
        <v>42922</v>
      </c>
      <c r="G699" s="15">
        <v>552.79999999999995</v>
      </c>
      <c r="H699" s="15">
        <f>Tabla1[[#This Row],[Importe]]-Tabla1[[#This Row],[Pagado]]</f>
        <v>0</v>
      </c>
      <c r="I699" s="275" t="s">
        <v>15214</v>
      </c>
    </row>
    <row r="700" spans="1:9" x14ac:dyDescent="0.25">
      <c r="A700" s="16">
        <v>42922</v>
      </c>
      <c r="B700" s="273" t="s">
        <v>20538</v>
      </c>
      <c r="C700">
        <v>118854</v>
      </c>
      <c r="D700" s="236" t="s">
        <v>15352</v>
      </c>
      <c r="E700" s="15">
        <v>648.4</v>
      </c>
      <c r="F700" s="274">
        <v>42922</v>
      </c>
      <c r="G700" s="15">
        <v>648.4</v>
      </c>
      <c r="H700" s="15">
        <f>Tabla1[[#This Row],[Importe]]-Tabla1[[#This Row],[Pagado]]</f>
        <v>0</v>
      </c>
      <c r="I700" s="275" t="s">
        <v>15214</v>
      </c>
    </row>
    <row r="701" spans="1:9" x14ac:dyDescent="0.25">
      <c r="A701" s="16">
        <v>42922</v>
      </c>
      <c r="B701" s="273" t="s">
        <v>20539</v>
      </c>
      <c r="C701">
        <v>118855</v>
      </c>
      <c r="D701" s="236" t="s">
        <v>15315</v>
      </c>
      <c r="E701" s="15">
        <v>3970.8</v>
      </c>
      <c r="F701" s="274">
        <v>42935</v>
      </c>
      <c r="G701" s="15">
        <v>3970.8</v>
      </c>
      <c r="H701" s="15">
        <f>Tabla1[[#This Row],[Importe]]-Tabla1[[#This Row],[Pagado]]</f>
        <v>0</v>
      </c>
      <c r="I701" s="275" t="s">
        <v>15214</v>
      </c>
    </row>
    <row r="702" spans="1:9" x14ac:dyDescent="0.25">
      <c r="A702" s="16">
        <v>42922</v>
      </c>
      <c r="B702" s="273" t="s">
        <v>20540</v>
      </c>
      <c r="C702">
        <v>118856</v>
      </c>
      <c r="D702" s="236" t="s">
        <v>15555</v>
      </c>
      <c r="E702" s="15">
        <v>1692</v>
      </c>
      <c r="F702" s="274">
        <v>42930</v>
      </c>
      <c r="G702" s="15">
        <v>1692</v>
      </c>
      <c r="H702" s="15">
        <f>Tabla1[[#This Row],[Importe]]-Tabla1[[#This Row],[Pagado]]</f>
        <v>0</v>
      </c>
      <c r="I702" s="275" t="s">
        <v>15214</v>
      </c>
    </row>
    <row r="703" spans="1:9" x14ac:dyDescent="0.25">
      <c r="A703" s="16">
        <v>42922</v>
      </c>
      <c r="B703" s="273" t="s">
        <v>20541</v>
      </c>
      <c r="C703">
        <v>118857</v>
      </c>
      <c r="D703" s="236" t="s">
        <v>15725</v>
      </c>
      <c r="E703" s="15">
        <v>33105.599999999999</v>
      </c>
      <c r="F703" s="274">
        <v>42924</v>
      </c>
      <c r="G703" s="15">
        <v>33105.599999999999</v>
      </c>
      <c r="H703" s="15">
        <f>Tabla1[[#This Row],[Importe]]-Tabla1[[#This Row],[Pagado]]</f>
        <v>0</v>
      </c>
      <c r="I703" s="275" t="s">
        <v>15214</v>
      </c>
    </row>
    <row r="704" spans="1:9" x14ac:dyDescent="0.25">
      <c r="A704" s="16">
        <v>42922</v>
      </c>
      <c r="B704" s="273" t="s">
        <v>20542</v>
      </c>
      <c r="C704">
        <v>118858</v>
      </c>
      <c r="D704" s="236" t="s">
        <v>16040</v>
      </c>
      <c r="E704" s="15">
        <v>4203.6000000000004</v>
      </c>
      <c r="F704" s="274">
        <v>42928</v>
      </c>
      <c r="G704" s="15">
        <v>4203.6000000000004</v>
      </c>
      <c r="H704" s="15">
        <f>Tabla1[[#This Row],[Importe]]-Tabla1[[#This Row],[Pagado]]</f>
        <v>0</v>
      </c>
      <c r="I704" s="275" t="s">
        <v>15214</v>
      </c>
    </row>
    <row r="705" spans="1:9" x14ac:dyDescent="0.25">
      <c r="A705" s="16">
        <v>42922</v>
      </c>
      <c r="B705" s="273" t="s">
        <v>20543</v>
      </c>
      <c r="C705">
        <v>118859</v>
      </c>
      <c r="D705" s="236" t="s">
        <v>15315</v>
      </c>
      <c r="E705" s="15">
        <v>7383.6</v>
      </c>
      <c r="F705" s="274">
        <v>42928</v>
      </c>
      <c r="G705" s="15">
        <v>7383.6</v>
      </c>
      <c r="H705" s="15">
        <f>Tabla1[[#This Row],[Importe]]-Tabla1[[#This Row],[Pagado]]</f>
        <v>0</v>
      </c>
      <c r="I705" s="275" t="s">
        <v>15214</v>
      </c>
    </row>
    <row r="706" spans="1:9" x14ac:dyDescent="0.25">
      <c r="A706" s="16">
        <v>42922</v>
      </c>
      <c r="B706" s="273" t="s">
        <v>20544</v>
      </c>
      <c r="C706">
        <v>118860</v>
      </c>
      <c r="D706" s="236" t="s">
        <v>15539</v>
      </c>
      <c r="E706" s="15">
        <v>20361.599999999999</v>
      </c>
      <c r="F706" s="274">
        <v>42928</v>
      </c>
      <c r="G706" s="15">
        <v>20361.599999999999</v>
      </c>
      <c r="H706" s="15">
        <f>Tabla1[[#This Row],[Importe]]-Tabla1[[#This Row],[Pagado]]</f>
        <v>0</v>
      </c>
      <c r="I706" s="275" t="s">
        <v>15214</v>
      </c>
    </row>
    <row r="707" spans="1:9" x14ac:dyDescent="0.25">
      <c r="A707" s="16">
        <v>42922</v>
      </c>
      <c r="B707" s="273" t="s">
        <v>20545</v>
      </c>
      <c r="C707">
        <v>118861</v>
      </c>
      <c r="D707" s="236" t="s">
        <v>15398</v>
      </c>
      <c r="E707" s="15">
        <v>2915.4</v>
      </c>
      <c r="F707" s="274">
        <v>42922</v>
      </c>
      <c r="G707" s="15">
        <v>2915.4</v>
      </c>
      <c r="H707" s="15">
        <f>Tabla1[[#This Row],[Importe]]-Tabla1[[#This Row],[Pagado]]</f>
        <v>0</v>
      </c>
      <c r="I707" s="275" t="s">
        <v>15214</v>
      </c>
    </row>
    <row r="708" spans="1:9" x14ac:dyDescent="0.25">
      <c r="A708" s="16">
        <v>42922</v>
      </c>
      <c r="B708" s="273" t="s">
        <v>20546</v>
      </c>
      <c r="C708">
        <v>118862</v>
      </c>
      <c r="D708" s="236" t="s">
        <v>15566</v>
      </c>
      <c r="E708" s="15">
        <v>3924</v>
      </c>
      <c r="F708" s="274">
        <v>42922</v>
      </c>
      <c r="G708" s="15">
        <v>3924</v>
      </c>
      <c r="H708" s="15">
        <f>Tabla1[[#This Row],[Importe]]-Tabla1[[#This Row],[Pagado]]</f>
        <v>0</v>
      </c>
      <c r="I708" s="275" t="s">
        <v>15214</v>
      </c>
    </row>
    <row r="709" spans="1:9" x14ac:dyDescent="0.25">
      <c r="A709" s="16">
        <v>42922</v>
      </c>
      <c r="B709" s="273" t="s">
        <v>20547</v>
      </c>
      <c r="C709">
        <v>118863</v>
      </c>
      <c r="D709" s="236" t="s">
        <v>15296</v>
      </c>
      <c r="E709" s="15">
        <v>10011.700000000001</v>
      </c>
      <c r="F709" s="274">
        <v>42927</v>
      </c>
      <c r="G709" s="15">
        <v>10011.700000000001</v>
      </c>
      <c r="H709" s="15">
        <f>Tabla1[[#This Row],[Importe]]-Tabla1[[#This Row],[Pagado]]</f>
        <v>0</v>
      </c>
      <c r="I709" s="275" t="s">
        <v>15214</v>
      </c>
    </row>
    <row r="710" spans="1:9" x14ac:dyDescent="0.25">
      <c r="A710" s="16">
        <v>42922</v>
      </c>
      <c r="B710" s="273" t="s">
        <v>20548</v>
      </c>
      <c r="C710">
        <v>118864</v>
      </c>
      <c r="D710" s="236" t="s">
        <v>15298</v>
      </c>
      <c r="E710" s="15">
        <v>17816.900000000001</v>
      </c>
      <c r="F710" s="274">
        <v>42929</v>
      </c>
      <c r="G710" s="15">
        <v>17816.900000000001</v>
      </c>
      <c r="H710" s="15">
        <f>Tabla1[[#This Row],[Importe]]-Tabla1[[#This Row],[Pagado]]</f>
        <v>0</v>
      </c>
      <c r="I710" s="275" t="s">
        <v>15214</v>
      </c>
    </row>
    <row r="711" spans="1:9" x14ac:dyDescent="0.25">
      <c r="A711" s="16">
        <v>42922</v>
      </c>
      <c r="B711" s="273" t="s">
        <v>20549</v>
      </c>
      <c r="C711">
        <v>118865</v>
      </c>
      <c r="D711" s="236" t="s">
        <v>18773</v>
      </c>
      <c r="E711" s="15">
        <v>35248.42</v>
      </c>
      <c r="F711" s="274">
        <v>42922</v>
      </c>
      <c r="G711" s="15">
        <v>35248.42</v>
      </c>
      <c r="H711" s="15">
        <f>Tabla1[[#This Row],[Importe]]-Tabla1[[#This Row],[Pagado]]</f>
        <v>0</v>
      </c>
      <c r="I711" s="275" t="s">
        <v>15214</v>
      </c>
    </row>
    <row r="712" spans="1:9" x14ac:dyDescent="0.25">
      <c r="A712" s="16">
        <v>42922</v>
      </c>
      <c r="B712" s="273" t="s">
        <v>20550</v>
      </c>
      <c r="C712">
        <v>118866</v>
      </c>
      <c r="D712" s="236" t="s">
        <v>15282</v>
      </c>
      <c r="E712" s="15">
        <v>2667.6</v>
      </c>
      <c r="F712" s="274">
        <v>42922</v>
      </c>
      <c r="G712" s="15">
        <v>2667.6</v>
      </c>
      <c r="H712" s="15">
        <f>Tabla1[[#This Row],[Importe]]-Tabla1[[#This Row],[Pagado]]</f>
        <v>0</v>
      </c>
      <c r="I712" s="275" t="s">
        <v>15214</v>
      </c>
    </row>
    <row r="713" spans="1:9" x14ac:dyDescent="0.25">
      <c r="A713" s="16">
        <v>42922</v>
      </c>
      <c r="B713" s="273" t="s">
        <v>20551</v>
      </c>
      <c r="C713">
        <v>118867</v>
      </c>
      <c r="D713" s="236" t="s">
        <v>15282</v>
      </c>
      <c r="E713" s="15">
        <v>732.6</v>
      </c>
      <c r="F713" s="274">
        <v>42922</v>
      </c>
      <c r="G713" s="15">
        <v>732.6</v>
      </c>
      <c r="H713" s="15">
        <f>Tabla1[[#This Row],[Importe]]-Tabla1[[#This Row],[Pagado]]</f>
        <v>0</v>
      </c>
      <c r="I713" s="275" t="s">
        <v>15214</v>
      </c>
    </row>
    <row r="714" spans="1:9" x14ac:dyDescent="0.25">
      <c r="A714" s="16">
        <v>42922</v>
      </c>
      <c r="B714" s="273" t="s">
        <v>20552</v>
      </c>
      <c r="C714">
        <v>118868</v>
      </c>
      <c r="D714" s="236" t="s">
        <v>15282</v>
      </c>
      <c r="E714" s="15">
        <v>160</v>
      </c>
      <c r="F714" s="274">
        <v>42922</v>
      </c>
      <c r="G714" s="15">
        <v>160</v>
      </c>
      <c r="H714" s="15">
        <f>Tabla1[[#This Row],[Importe]]-Tabla1[[#This Row],[Pagado]]</f>
        <v>0</v>
      </c>
      <c r="I714" s="275" t="s">
        <v>15214</v>
      </c>
    </row>
    <row r="715" spans="1:9" x14ac:dyDescent="0.25">
      <c r="A715" s="16">
        <v>42922</v>
      </c>
      <c r="B715" s="273" t="s">
        <v>20553</v>
      </c>
      <c r="C715">
        <v>118869</v>
      </c>
      <c r="D715" s="236" t="s">
        <v>19768</v>
      </c>
      <c r="E715" s="15">
        <v>1530</v>
      </c>
      <c r="F715" s="274">
        <v>42922</v>
      </c>
      <c r="G715" s="15">
        <v>1530</v>
      </c>
      <c r="H715" s="15">
        <f>Tabla1[[#This Row],[Importe]]-Tabla1[[#This Row],[Pagado]]</f>
        <v>0</v>
      </c>
      <c r="I715" s="275" t="s">
        <v>15214</v>
      </c>
    </row>
    <row r="716" spans="1:9" x14ac:dyDescent="0.25">
      <c r="A716" s="16">
        <v>42922</v>
      </c>
      <c r="B716" s="273" t="s">
        <v>20554</v>
      </c>
      <c r="C716">
        <v>118870</v>
      </c>
      <c r="D716" s="236" t="s">
        <v>15276</v>
      </c>
      <c r="E716" s="15">
        <v>5100</v>
      </c>
      <c r="F716" s="274">
        <v>42923</v>
      </c>
      <c r="G716" s="15">
        <v>5100</v>
      </c>
      <c r="H716" s="15">
        <f>Tabla1[[#This Row],[Importe]]-Tabla1[[#This Row],[Pagado]]</f>
        <v>0</v>
      </c>
      <c r="I716" s="275" t="s">
        <v>15214</v>
      </c>
    </row>
    <row r="717" spans="1:9" x14ac:dyDescent="0.25">
      <c r="A717" s="16">
        <v>42922</v>
      </c>
      <c r="B717" s="273" t="s">
        <v>20555</v>
      </c>
      <c r="C717">
        <v>118871</v>
      </c>
      <c r="D717" s="236" t="s">
        <v>15267</v>
      </c>
      <c r="E717" s="15">
        <v>39577.480000000003</v>
      </c>
      <c r="F717" s="274">
        <v>42933</v>
      </c>
      <c r="G717" s="15">
        <v>39577.480000000003</v>
      </c>
      <c r="H717" s="15">
        <f>Tabla1[[#This Row],[Importe]]-Tabla1[[#This Row],[Pagado]]</f>
        <v>0</v>
      </c>
      <c r="I717" s="275" t="s">
        <v>15214</v>
      </c>
    </row>
    <row r="718" spans="1:9" x14ac:dyDescent="0.25">
      <c r="A718" s="16">
        <v>42922</v>
      </c>
      <c r="B718" s="273" t="s">
        <v>20556</v>
      </c>
      <c r="C718">
        <v>118872</v>
      </c>
      <c r="D718" s="236" t="s">
        <v>15423</v>
      </c>
      <c r="E718" s="15">
        <v>3094</v>
      </c>
      <c r="F718" s="274">
        <v>42922</v>
      </c>
      <c r="G718" s="15">
        <v>3094</v>
      </c>
      <c r="H718" s="15">
        <f>Tabla1[[#This Row],[Importe]]-Tabla1[[#This Row],[Pagado]]</f>
        <v>0</v>
      </c>
      <c r="I718" s="275" t="s">
        <v>15214</v>
      </c>
    </row>
    <row r="719" spans="1:9" x14ac:dyDescent="0.25">
      <c r="A719" s="16">
        <v>42922</v>
      </c>
      <c r="B719" s="273" t="s">
        <v>20557</v>
      </c>
      <c r="C719">
        <v>118873</v>
      </c>
      <c r="D719" s="236" t="s">
        <v>18773</v>
      </c>
      <c r="E719" s="15">
        <v>3611</v>
      </c>
      <c r="F719" s="274">
        <v>42922</v>
      </c>
      <c r="G719" s="15">
        <v>3611</v>
      </c>
      <c r="H719" s="15">
        <f>Tabla1[[#This Row],[Importe]]-Tabla1[[#This Row],[Pagado]]</f>
        <v>0</v>
      </c>
      <c r="I719" s="275" t="s">
        <v>15214</v>
      </c>
    </row>
    <row r="720" spans="1:9" x14ac:dyDescent="0.25">
      <c r="A720" s="16">
        <v>42922</v>
      </c>
      <c r="B720" s="273" t="s">
        <v>20558</v>
      </c>
      <c r="C720">
        <v>118874</v>
      </c>
      <c r="D720" s="236" t="s">
        <v>15759</v>
      </c>
      <c r="E720" s="15">
        <v>4776.58</v>
      </c>
      <c r="F720" s="274">
        <v>42923</v>
      </c>
      <c r="G720" s="15">
        <v>4776.58</v>
      </c>
      <c r="H720" s="15">
        <f>Tabla1[[#This Row],[Importe]]-Tabla1[[#This Row],[Pagado]]</f>
        <v>0</v>
      </c>
      <c r="I720" s="275" t="s">
        <v>15214</v>
      </c>
    </row>
    <row r="721" spans="1:9" x14ac:dyDescent="0.25">
      <c r="A721" s="16">
        <v>42922</v>
      </c>
      <c r="B721" s="273" t="s">
        <v>20559</v>
      </c>
      <c r="C721">
        <v>118875</v>
      </c>
      <c r="D721" s="236" t="s">
        <v>15417</v>
      </c>
      <c r="E721" s="15">
        <v>2270</v>
      </c>
      <c r="F721" s="274">
        <v>42923</v>
      </c>
      <c r="G721" s="15">
        <v>2270</v>
      </c>
      <c r="H721" s="15">
        <f>Tabla1[[#This Row],[Importe]]-Tabla1[[#This Row],[Pagado]]</f>
        <v>0</v>
      </c>
      <c r="I721" s="275" t="s">
        <v>15214</v>
      </c>
    </row>
    <row r="722" spans="1:9" x14ac:dyDescent="0.25">
      <c r="A722" s="16">
        <v>42922</v>
      </c>
      <c r="B722" s="273" t="s">
        <v>20560</v>
      </c>
      <c r="C722">
        <v>118876</v>
      </c>
      <c r="D722" s="236" t="s">
        <v>15315</v>
      </c>
      <c r="E722" s="15">
        <v>360</v>
      </c>
      <c r="F722" s="274">
        <v>42923</v>
      </c>
      <c r="G722" s="15">
        <v>360</v>
      </c>
      <c r="H722" s="15">
        <f>Tabla1[[#This Row],[Importe]]-Tabla1[[#This Row],[Pagado]]</f>
        <v>0</v>
      </c>
      <c r="I722" s="275" t="s">
        <v>15214</v>
      </c>
    </row>
    <row r="723" spans="1:9" x14ac:dyDescent="0.25">
      <c r="A723" s="16">
        <v>42922</v>
      </c>
      <c r="B723" s="273" t="s">
        <v>20561</v>
      </c>
      <c r="C723">
        <v>118877</v>
      </c>
      <c r="D723" s="236" t="s">
        <v>17458</v>
      </c>
      <c r="E723" s="15">
        <v>1219</v>
      </c>
      <c r="F723" s="274">
        <v>42924</v>
      </c>
      <c r="G723" s="15">
        <v>1219</v>
      </c>
      <c r="H723" s="15">
        <f>Tabla1[[#This Row],[Importe]]-Tabla1[[#This Row],[Pagado]]</f>
        <v>0</v>
      </c>
      <c r="I723" s="275" t="s">
        <v>15214</v>
      </c>
    </row>
    <row r="724" spans="1:9" x14ac:dyDescent="0.25">
      <c r="A724" s="16">
        <v>42922</v>
      </c>
      <c r="B724" s="273" t="s">
        <v>20562</v>
      </c>
      <c r="C724">
        <v>118878</v>
      </c>
      <c r="D724" s="236" t="s">
        <v>15396</v>
      </c>
      <c r="E724" s="15">
        <v>6640.52</v>
      </c>
      <c r="F724" s="274">
        <v>42922</v>
      </c>
      <c r="G724" s="15">
        <v>6640.52</v>
      </c>
      <c r="H724" s="15">
        <f>Tabla1[[#This Row],[Importe]]-Tabla1[[#This Row],[Pagado]]</f>
        <v>0</v>
      </c>
      <c r="I724" s="275" t="s">
        <v>15214</v>
      </c>
    </row>
    <row r="725" spans="1:9" x14ac:dyDescent="0.25">
      <c r="A725" s="16">
        <v>42922</v>
      </c>
      <c r="B725" s="273" t="s">
        <v>20563</v>
      </c>
      <c r="C725">
        <v>118879</v>
      </c>
      <c r="D725" s="236" t="s">
        <v>15444</v>
      </c>
      <c r="E725" s="15">
        <v>2419.8000000000002</v>
      </c>
      <c r="F725" s="274">
        <v>42923</v>
      </c>
      <c r="G725" s="15">
        <v>2419.8000000000002</v>
      </c>
      <c r="H725" s="15">
        <f>Tabla1[[#This Row],[Importe]]-Tabla1[[#This Row],[Pagado]]</f>
        <v>0</v>
      </c>
      <c r="I725" s="275" t="s">
        <v>15214</v>
      </c>
    </row>
    <row r="726" spans="1:9" x14ac:dyDescent="0.25">
      <c r="A726" s="16">
        <v>42922</v>
      </c>
      <c r="B726" s="273" t="s">
        <v>20564</v>
      </c>
      <c r="C726">
        <v>118880</v>
      </c>
      <c r="D726" s="236" t="s">
        <v>15246</v>
      </c>
      <c r="E726" s="15">
        <v>339486.83</v>
      </c>
      <c r="F726" s="274">
        <v>42924</v>
      </c>
      <c r="G726" s="15">
        <v>339486.83</v>
      </c>
      <c r="H726" s="15">
        <f>Tabla1[[#This Row],[Importe]]-Tabla1[[#This Row],[Pagado]]</f>
        <v>0</v>
      </c>
      <c r="I726" s="275" t="s">
        <v>15214</v>
      </c>
    </row>
    <row r="727" spans="1:9" x14ac:dyDescent="0.25">
      <c r="A727" s="16">
        <v>42922</v>
      </c>
      <c r="B727" s="273" t="s">
        <v>20565</v>
      </c>
      <c r="C727">
        <v>118881</v>
      </c>
      <c r="D727" s="236" t="s">
        <v>17862</v>
      </c>
      <c r="E727" s="15">
        <v>502.5</v>
      </c>
      <c r="F727" s="274">
        <v>42922</v>
      </c>
      <c r="G727" s="15">
        <v>502.5</v>
      </c>
      <c r="H727" s="15">
        <f>Tabla1[[#This Row],[Importe]]-Tabla1[[#This Row],[Pagado]]</f>
        <v>0</v>
      </c>
      <c r="I727" s="275" t="s">
        <v>15214</v>
      </c>
    </row>
    <row r="728" spans="1:9" x14ac:dyDescent="0.25">
      <c r="A728" s="16">
        <v>42922</v>
      </c>
      <c r="B728" s="273" t="s">
        <v>20566</v>
      </c>
      <c r="C728">
        <v>118882</v>
      </c>
      <c r="D728" s="236" t="s">
        <v>15706</v>
      </c>
      <c r="E728" s="15">
        <v>1535.8</v>
      </c>
      <c r="F728" s="274">
        <v>42922</v>
      </c>
      <c r="G728" s="15">
        <v>1535.8</v>
      </c>
      <c r="H728" s="15">
        <f>Tabla1[[#This Row],[Importe]]-Tabla1[[#This Row],[Pagado]]</f>
        <v>0</v>
      </c>
      <c r="I728" s="275" t="s">
        <v>15214</v>
      </c>
    </row>
    <row r="729" spans="1:9" x14ac:dyDescent="0.25">
      <c r="A729" s="16">
        <v>42922</v>
      </c>
      <c r="B729" s="273" t="s">
        <v>20567</v>
      </c>
      <c r="C729">
        <v>118883</v>
      </c>
      <c r="D729" s="236" t="s">
        <v>19756</v>
      </c>
      <c r="E729" s="15">
        <v>1872</v>
      </c>
      <c r="F729" s="274">
        <v>42922</v>
      </c>
      <c r="G729" s="15">
        <v>1872</v>
      </c>
      <c r="H729" s="15">
        <f>Tabla1[[#This Row],[Importe]]-Tabla1[[#This Row],[Pagado]]</f>
        <v>0</v>
      </c>
      <c r="I729" s="275" t="s">
        <v>15214</v>
      </c>
    </row>
    <row r="730" spans="1:9" x14ac:dyDescent="0.25">
      <c r="A730" s="16">
        <v>42922</v>
      </c>
      <c r="B730" s="273" t="s">
        <v>20568</v>
      </c>
      <c r="C730">
        <v>118884</v>
      </c>
      <c r="D730" s="236" t="s">
        <v>15818</v>
      </c>
      <c r="E730" s="15">
        <v>1810.4</v>
      </c>
      <c r="F730" s="274">
        <v>42922</v>
      </c>
      <c r="G730" s="15">
        <v>1810.4</v>
      </c>
      <c r="H730" s="15">
        <f>Tabla1[[#This Row],[Importe]]-Tabla1[[#This Row],[Pagado]]</f>
        <v>0</v>
      </c>
      <c r="I730" s="275" t="s">
        <v>15214</v>
      </c>
    </row>
    <row r="731" spans="1:9" x14ac:dyDescent="0.25">
      <c r="A731" s="16">
        <v>42922</v>
      </c>
      <c r="B731" s="273" t="s">
        <v>20569</v>
      </c>
      <c r="C731">
        <v>118885</v>
      </c>
      <c r="D731" s="236" t="s">
        <v>15728</v>
      </c>
      <c r="E731" s="15">
        <v>10400.6</v>
      </c>
      <c r="F731" s="274">
        <v>42922</v>
      </c>
      <c r="G731" s="15">
        <v>10400.6</v>
      </c>
      <c r="H731" s="15">
        <f>Tabla1[[#This Row],[Importe]]-Tabla1[[#This Row],[Pagado]]</f>
        <v>0</v>
      </c>
      <c r="I731" s="275" t="s">
        <v>15214</v>
      </c>
    </row>
    <row r="732" spans="1:9" x14ac:dyDescent="0.25">
      <c r="A732" s="16">
        <v>42922</v>
      </c>
      <c r="B732" s="273" t="s">
        <v>20570</v>
      </c>
      <c r="C732">
        <v>118886</v>
      </c>
      <c r="D732" s="236" t="s">
        <v>15284</v>
      </c>
      <c r="E732" s="15">
        <v>1701.3</v>
      </c>
      <c r="F732" s="274">
        <v>42922</v>
      </c>
      <c r="G732" s="15">
        <v>1701.3</v>
      </c>
      <c r="H732" s="15">
        <f>Tabla1[[#This Row],[Importe]]-Tabla1[[#This Row],[Pagado]]</f>
        <v>0</v>
      </c>
      <c r="I732" s="275" t="s">
        <v>15214</v>
      </c>
    </row>
    <row r="733" spans="1:9" ht="15.75" x14ac:dyDescent="0.25">
      <c r="A733" s="16">
        <v>42922</v>
      </c>
      <c r="B733" s="273" t="s">
        <v>20571</v>
      </c>
      <c r="C733">
        <v>118887</v>
      </c>
      <c r="D733" s="278" t="s">
        <v>95</v>
      </c>
      <c r="E733" s="15">
        <v>0</v>
      </c>
      <c r="F733" s="277" t="s">
        <v>95</v>
      </c>
      <c r="G733" s="15">
        <v>0</v>
      </c>
      <c r="H733" s="15">
        <f>Tabla1[[#This Row],[Importe]]-Tabla1[[#This Row],[Pagado]]</f>
        <v>0</v>
      </c>
      <c r="I733" s="275" t="s">
        <v>95</v>
      </c>
    </row>
    <row r="734" spans="1:9" x14ac:dyDescent="0.25">
      <c r="A734" s="16">
        <v>42922</v>
      </c>
      <c r="B734" s="273" t="s">
        <v>20572</v>
      </c>
      <c r="C734">
        <v>118888</v>
      </c>
      <c r="D734" s="236" t="s">
        <v>15728</v>
      </c>
      <c r="E734" s="15">
        <v>674.9</v>
      </c>
      <c r="F734" s="274">
        <v>42922</v>
      </c>
      <c r="G734" s="15">
        <v>674.9</v>
      </c>
      <c r="H734" s="15">
        <f>Tabla1[[#This Row],[Importe]]-Tabla1[[#This Row],[Pagado]]</f>
        <v>0</v>
      </c>
      <c r="I734" s="275" t="s">
        <v>15214</v>
      </c>
    </row>
    <row r="735" spans="1:9" ht="30" x14ac:dyDescent="0.25">
      <c r="A735" s="16">
        <v>42922</v>
      </c>
      <c r="B735" s="273" t="s">
        <v>20573</v>
      </c>
      <c r="C735">
        <v>118889</v>
      </c>
      <c r="D735" s="236" t="s">
        <v>15246</v>
      </c>
      <c r="E735" s="15">
        <v>142238.82</v>
      </c>
      <c r="F735" s="274" t="s">
        <v>20574</v>
      </c>
      <c r="G735" s="241">
        <f>95563.95+46674.87</f>
        <v>142238.82</v>
      </c>
      <c r="H735" s="241">
        <f>Tabla1[[#This Row],[Importe]]-Tabla1[[#This Row],[Pagado]]</f>
        <v>0</v>
      </c>
      <c r="I735" s="275" t="s">
        <v>15214</v>
      </c>
    </row>
    <row r="736" spans="1:9" x14ac:dyDescent="0.25">
      <c r="A736" s="16">
        <v>42922</v>
      </c>
      <c r="B736" s="273" t="s">
        <v>20575</v>
      </c>
      <c r="C736">
        <v>118890</v>
      </c>
      <c r="D736" s="236" t="s">
        <v>15716</v>
      </c>
      <c r="E736" s="15">
        <v>3624.9</v>
      </c>
      <c r="F736" s="274">
        <v>42922</v>
      </c>
      <c r="G736" s="15">
        <v>3624.9</v>
      </c>
      <c r="H736" s="15">
        <f>Tabla1[[#This Row],[Importe]]-Tabla1[[#This Row],[Pagado]]</f>
        <v>0</v>
      </c>
      <c r="I736" s="275" t="s">
        <v>15214</v>
      </c>
    </row>
    <row r="737" spans="1:9" x14ac:dyDescent="0.25">
      <c r="A737" s="16">
        <v>42922</v>
      </c>
      <c r="B737" s="273" t="s">
        <v>20576</v>
      </c>
      <c r="C737">
        <v>118891</v>
      </c>
      <c r="D737" s="236" t="s">
        <v>15223</v>
      </c>
      <c r="E737" s="15">
        <v>688</v>
      </c>
      <c r="F737" s="274">
        <v>42960</v>
      </c>
      <c r="G737" s="15">
        <v>688</v>
      </c>
      <c r="H737" s="15">
        <f>Tabla1[[#This Row],[Importe]]-Tabla1[[#This Row],[Pagado]]</f>
        <v>0</v>
      </c>
      <c r="I737" s="275" t="s">
        <v>15214</v>
      </c>
    </row>
    <row r="738" spans="1:9" x14ac:dyDescent="0.25">
      <c r="A738" s="16">
        <v>42922</v>
      </c>
      <c r="B738" s="273" t="s">
        <v>20577</v>
      </c>
      <c r="C738">
        <v>118892</v>
      </c>
      <c r="D738" s="236" t="s">
        <v>15246</v>
      </c>
      <c r="E738" s="15">
        <v>101888.8</v>
      </c>
      <c r="F738" s="274">
        <v>42928</v>
      </c>
      <c r="G738" s="15">
        <v>101888.8</v>
      </c>
      <c r="H738" s="15">
        <f>Tabla1[[#This Row],[Importe]]-Tabla1[[#This Row],[Pagado]]</f>
        <v>0</v>
      </c>
      <c r="I738" s="275" t="s">
        <v>15214</v>
      </c>
    </row>
    <row r="739" spans="1:9" x14ac:dyDescent="0.25">
      <c r="A739" s="16">
        <v>42922</v>
      </c>
      <c r="B739" s="273" t="s">
        <v>20578</v>
      </c>
      <c r="C739">
        <v>118893</v>
      </c>
      <c r="D739" s="236" t="s">
        <v>15246</v>
      </c>
      <c r="E739" s="15">
        <v>168</v>
      </c>
      <c r="F739" s="274">
        <v>42928</v>
      </c>
      <c r="G739" s="15">
        <v>168</v>
      </c>
      <c r="H739" s="15">
        <f>Tabla1[[#This Row],[Importe]]-Tabla1[[#This Row],[Pagado]]</f>
        <v>0</v>
      </c>
      <c r="I739" s="275" t="s">
        <v>15214</v>
      </c>
    </row>
    <row r="740" spans="1:9" x14ac:dyDescent="0.25">
      <c r="A740" s="16">
        <v>42922</v>
      </c>
      <c r="B740" s="273" t="s">
        <v>20579</v>
      </c>
      <c r="C740">
        <v>118894</v>
      </c>
      <c r="D740" s="236" t="s">
        <v>15315</v>
      </c>
      <c r="E740" s="15">
        <v>1020</v>
      </c>
      <c r="F740" s="274">
        <v>42922</v>
      </c>
      <c r="G740" s="15">
        <v>1020</v>
      </c>
      <c r="H740" s="15">
        <f>Tabla1[[#This Row],[Importe]]-Tabla1[[#This Row],[Pagado]]</f>
        <v>0</v>
      </c>
      <c r="I740" s="275" t="s">
        <v>15214</v>
      </c>
    </row>
    <row r="741" spans="1:9" x14ac:dyDescent="0.25">
      <c r="A741" s="16">
        <v>42922</v>
      </c>
      <c r="B741" s="273" t="s">
        <v>20580</v>
      </c>
      <c r="C741">
        <v>118895</v>
      </c>
      <c r="D741" s="236" t="s">
        <v>16965</v>
      </c>
      <c r="E741" s="15">
        <v>6682.2</v>
      </c>
      <c r="F741" s="274">
        <v>42924</v>
      </c>
      <c r="G741" s="15">
        <v>6682.2</v>
      </c>
      <c r="H741" s="15">
        <f>Tabla1[[#This Row],[Importe]]-Tabla1[[#This Row],[Pagado]]</f>
        <v>0</v>
      </c>
      <c r="I741" s="275" t="s">
        <v>15214</v>
      </c>
    </row>
    <row r="742" spans="1:9" x14ac:dyDescent="0.25">
      <c r="A742" s="16">
        <v>42922</v>
      </c>
      <c r="B742" s="273" t="s">
        <v>20581</v>
      </c>
      <c r="C742">
        <v>118896</v>
      </c>
      <c r="D742" s="236" t="s">
        <v>15480</v>
      </c>
      <c r="E742" s="15">
        <v>481.2</v>
      </c>
      <c r="F742" s="274">
        <v>42924</v>
      </c>
      <c r="G742" s="15">
        <v>481.2</v>
      </c>
      <c r="H742" s="15">
        <f>Tabla1[[#This Row],[Importe]]-Tabla1[[#This Row],[Pagado]]</f>
        <v>0</v>
      </c>
      <c r="I742" s="275" t="s">
        <v>15214</v>
      </c>
    </row>
    <row r="743" spans="1:9" x14ac:dyDescent="0.25">
      <c r="A743" s="16">
        <v>42922</v>
      </c>
      <c r="B743" s="273" t="s">
        <v>20582</v>
      </c>
      <c r="C743">
        <v>118897</v>
      </c>
      <c r="D743" s="236" t="s">
        <v>19704</v>
      </c>
      <c r="E743" s="15">
        <v>475</v>
      </c>
      <c r="F743" s="274">
        <v>42922</v>
      </c>
      <c r="G743" s="15">
        <v>475</v>
      </c>
      <c r="H743" s="15">
        <f>Tabla1[[#This Row],[Importe]]-Tabla1[[#This Row],[Pagado]]</f>
        <v>0</v>
      </c>
      <c r="I743" s="275" t="s">
        <v>15214</v>
      </c>
    </row>
    <row r="744" spans="1:9" ht="15.75" x14ac:dyDescent="0.25">
      <c r="A744" s="16">
        <v>42922</v>
      </c>
      <c r="B744" s="273" t="s">
        <v>20583</v>
      </c>
      <c r="C744">
        <v>118898</v>
      </c>
      <c r="D744" s="248" t="s">
        <v>95</v>
      </c>
      <c r="E744" s="15">
        <v>0</v>
      </c>
      <c r="F744" s="277" t="s">
        <v>95</v>
      </c>
      <c r="G744" s="15">
        <v>0</v>
      </c>
      <c r="H744" s="15">
        <f>Tabla1[[#This Row],[Importe]]-Tabla1[[#This Row],[Pagado]]</f>
        <v>0</v>
      </c>
      <c r="I744" s="275" t="s">
        <v>95</v>
      </c>
    </row>
    <row r="745" spans="1:9" x14ac:dyDescent="0.25">
      <c r="A745" s="16">
        <v>42922</v>
      </c>
      <c r="B745" s="273" t="s">
        <v>20584</v>
      </c>
      <c r="C745">
        <v>118899</v>
      </c>
      <c r="D745" s="236" t="s">
        <v>15454</v>
      </c>
      <c r="E745" s="15">
        <v>15243.8</v>
      </c>
      <c r="F745" s="274">
        <v>42924</v>
      </c>
      <c r="G745" s="15">
        <v>15243.8</v>
      </c>
      <c r="H745" s="15">
        <f>Tabla1[[#This Row],[Importe]]-Tabla1[[#This Row],[Pagado]]</f>
        <v>0</v>
      </c>
      <c r="I745" s="275" t="s">
        <v>15214</v>
      </c>
    </row>
    <row r="746" spans="1:9" x14ac:dyDescent="0.25">
      <c r="A746" s="16">
        <v>42922</v>
      </c>
      <c r="B746" s="273" t="s">
        <v>20585</v>
      </c>
      <c r="C746">
        <v>118900</v>
      </c>
      <c r="D746" s="236" t="s">
        <v>15448</v>
      </c>
      <c r="E746" s="15">
        <v>130643.44</v>
      </c>
      <c r="F746" s="274">
        <v>42924</v>
      </c>
      <c r="G746" s="15">
        <v>130643.44</v>
      </c>
      <c r="H746" s="15">
        <f>Tabla1[[#This Row],[Importe]]-Tabla1[[#This Row],[Pagado]]</f>
        <v>0</v>
      </c>
      <c r="I746" s="275" t="s">
        <v>15214</v>
      </c>
    </row>
    <row r="747" spans="1:9" x14ac:dyDescent="0.25">
      <c r="A747" s="16">
        <v>42922</v>
      </c>
      <c r="B747" s="273" t="s">
        <v>20586</v>
      </c>
      <c r="C747">
        <v>118901</v>
      </c>
      <c r="D747" s="236" t="s">
        <v>15446</v>
      </c>
      <c r="E747" s="15">
        <v>2017</v>
      </c>
      <c r="F747" s="274">
        <v>42924</v>
      </c>
      <c r="G747" s="15">
        <v>2017</v>
      </c>
      <c r="H747" s="15">
        <f>Tabla1[[#This Row],[Importe]]-Tabla1[[#This Row],[Pagado]]</f>
        <v>0</v>
      </c>
      <c r="I747" s="275" t="s">
        <v>15214</v>
      </c>
    </row>
    <row r="748" spans="1:9" x14ac:dyDescent="0.25">
      <c r="A748" s="16">
        <v>42922</v>
      </c>
      <c r="B748" s="273" t="s">
        <v>20587</v>
      </c>
      <c r="C748">
        <v>118902</v>
      </c>
      <c r="D748" s="236" t="s">
        <v>15450</v>
      </c>
      <c r="E748" s="15">
        <v>2476</v>
      </c>
      <c r="F748" s="274">
        <v>42924</v>
      </c>
      <c r="G748" s="15">
        <v>2476</v>
      </c>
      <c r="H748" s="15">
        <f>Tabla1[[#This Row],[Importe]]-Tabla1[[#This Row],[Pagado]]</f>
        <v>0</v>
      </c>
      <c r="I748" s="275" t="s">
        <v>15214</v>
      </c>
    </row>
    <row r="749" spans="1:9" x14ac:dyDescent="0.25">
      <c r="A749" s="16">
        <v>42922</v>
      </c>
      <c r="B749" s="273" t="s">
        <v>20588</v>
      </c>
      <c r="C749">
        <v>118903</v>
      </c>
      <c r="D749" s="236" t="s">
        <v>15465</v>
      </c>
      <c r="E749" s="15">
        <v>2370.1999999999998</v>
      </c>
      <c r="F749" s="274">
        <v>42924</v>
      </c>
      <c r="G749" s="15">
        <v>2370.1999999999998</v>
      </c>
      <c r="H749" s="15">
        <f>Tabla1[[#This Row],[Importe]]-Tabla1[[#This Row],[Pagado]]</f>
        <v>0</v>
      </c>
      <c r="I749" s="275" t="s">
        <v>15214</v>
      </c>
    </row>
    <row r="750" spans="1:9" x14ac:dyDescent="0.25">
      <c r="A750" s="16">
        <v>42922</v>
      </c>
      <c r="B750" s="273" t="s">
        <v>20589</v>
      </c>
      <c r="C750">
        <v>118904</v>
      </c>
      <c r="D750" s="236" t="s">
        <v>15315</v>
      </c>
      <c r="E750" s="15">
        <v>7528.1</v>
      </c>
      <c r="F750" s="274">
        <v>42922</v>
      </c>
      <c r="G750" s="15">
        <v>7528.1</v>
      </c>
      <c r="H750" s="15">
        <f>Tabla1[[#This Row],[Importe]]-Tabla1[[#This Row],[Pagado]]</f>
        <v>0</v>
      </c>
      <c r="I750" s="275" t="s">
        <v>15214</v>
      </c>
    </row>
    <row r="751" spans="1:9" x14ac:dyDescent="0.25">
      <c r="A751" s="16">
        <v>42922</v>
      </c>
      <c r="B751" s="273" t="s">
        <v>20590</v>
      </c>
      <c r="C751">
        <v>118905</v>
      </c>
      <c r="D751" s="236" t="s">
        <v>15452</v>
      </c>
      <c r="E751" s="15">
        <v>6469.7</v>
      </c>
      <c r="F751" s="274">
        <v>42924</v>
      </c>
      <c r="G751" s="15">
        <v>6469.7</v>
      </c>
      <c r="H751" s="15">
        <f>Tabla1[[#This Row],[Importe]]-Tabla1[[#This Row],[Pagado]]</f>
        <v>0</v>
      </c>
      <c r="I751" s="275" t="s">
        <v>15214</v>
      </c>
    </row>
    <row r="752" spans="1:9" x14ac:dyDescent="0.25">
      <c r="A752" s="16">
        <v>42922</v>
      </c>
      <c r="B752" s="273" t="s">
        <v>20591</v>
      </c>
      <c r="C752">
        <v>118906</v>
      </c>
      <c r="D752" s="236" t="s">
        <v>15941</v>
      </c>
      <c r="E752" s="15">
        <v>1987.2</v>
      </c>
      <c r="F752" s="274">
        <v>42924</v>
      </c>
      <c r="G752" s="15">
        <v>1987.2</v>
      </c>
      <c r="H752" s="15">
        <f>Tabla1[[#This Row],[Importe]]-Tabla1[[#This Row],[Pagado]]</f>
        <v>0</v>
      </c>
      <c r="I752" s="275" t="s">
        <v>15214</v>
      </c>
    </row>
    <row r="753" spans="1:9" x14ac:dyDescent="0.25">
      <c r="A753" s="16">
        <v>42922</v>
      </c>
      <c r="B753" s="273" t="s">
        <v>20592</v>
      </c>
      <c r="C753">
        <v>118907</v>
      </c>
      <c r="D753" s="236" t="s">
        <v>15462</v>
      </c>
      <c r="E753" s="15">
        <v>22376.5</v>
      </c>
      <c r="F753" s="274">
        <v>42924</v>
      </c>
      <c r="G753" s="15">
        <v>22376.5</v>
      </c>
      <c r="H753" s="15">
        <f>Tabla1[[#This Row],[Importe]]-Tabla1[[#This Row],[Pagado]]</f>
        <v>0</v>
      </c>
      <c r="I753" s="275" t="s">
        <v>15214</v>
      </c>
    </row>
    <row r="754" spans="1:9" x14ac:dyDescent="0.25">
      <c r="A754" s="16">
        <v>42922</v>
      </c>
      <c r="B754" s="273" t="s">
        <v>20593</v>
      </c>
      <c r="C754">
        <v>118908</v>
      </c>
      <c r="D754" s="236" t="s">
        <v>15365</v>
      </c>
      <c r="E754" s="15">
        <v>247954</v>
      </c>
      <c r="F754" s="274">
        <v>42930</v>
      </c>
      <c r="G754" s="15">
        <v>247954</v>
      </c>
      <c r="H754" s="15">
        <f>Tabla1[[#This Row],[Importe]]-Tabla1[[#This Row],[Pagado]]</f>
        <v>0</v>
      </c>
      <c r="I754" s="275" t="s">
        <v>15214</v>
      </c>
    </row>
    <row r="755" spans="1:9" x14ac:dyDescent="0.25">
      <c r="A755" s="16">
        <v>42922</v>
      </c>
      <c r="B755" s="273" t="s">
        <v>20594</v>
      </c>
      <c r="C755">
        <v>118909</v>
      </c>
      <c r="D755" s="236" t="s">
        <v>19765</v>
      </c>
      <c r="E755" s="15">
        <v>1500</v>
      </c>
      <c r="F755" s="274">
        <v>42930</v>
      </c>
      <c r="G755" s="15">
        <v>1500</v>
      </c>
      <c r="H755" s="15">
        <f>Tabla1[[#This Row],[Importe]]-Tabla1[[#This Row],[Pagado]]</f>
        <v>0</v>
      </c>
      <c r="I755" s="275" t="s">
        <v>15214</v>
      </c>
    </row>
    <row r="756" spans="1:9" x14ac:dyDescent="0.25">
      <c r="A756" s="16">
        <v>42922</v>
      </c>
      <c r="B756" s="273" t="s">
        <v>20595</v>
      </c>
      <c r="C756">
        <v>118910</v>
      </c>
      <c r="D756" s="236" t="s">
        <v>15396</v>
      </c>
      <c r="E756" s="15">
        <v>3655</v>
      </c>
      <c r="F756" s="274">
        <v>42922</v>
      </c>
      <c r="G756" s="15">
        <v>3655</v>
      </c>
      <c r="H756" s="15">
        <f>Tabla1[[#This Row],[Importe]]-Tabla1[[#This Row],[Pagado]]</f>
        <v>0</v>
      </c>
      <c r="I756" s="275" t="s">
        <v>15214</v>
      </c>
    </row>
    <row r="757" spans="1:9" x14ac:dyDescent="0.25">
      <c r="A757" s="16">
        <v>42922</v>
      </c>
      <c r="B757" s="273" t="s">
        <v>20596</v>
      </c>
      <c r="C757">
        <v>118911</v>
      </c>
      <c r="D757" s="236" t="s">
        <v>15433</v>
      </c>
      <c r="E757" s="15">
        <v>1507.2</v>
      </c>
      <c r="F757" s="274">
        <v>42922</v>
      </c>
      <c r="G757" s="15">
        <v>1507.2</v>
      </c>
      <c r="H757" s="15">
        <f>Tabla1[[#This Row],[Importe]]-Tabla1[[#This Row],[Pagado]]</f>
        <v>0</v>
      </c>
      <c r="I757" s="275" t="s">
        <v>15214</v>
      </c>
    </row>
    <row r="758" spans="1:9" x14ac:dyDescent="0.25">
      <c r="A758" s="16">
        <v>42922</v>
      </c>
      <c r="B758" s="273" t="s">
        <v>20597</v>
      </c>
      <c r="C758">
        <v>118912</v>
      </c>
      <c r="D758" s="236" t="s">
        <v>15435</v>
      </c>
      <c r="E758" s="15">
        <v>7243.2</v>
      </c>
      <c r="F758" s="274">
        <v>42922</v>
      </c>
      <c r="G758" s="15">
        <v>7243.2</v>
      </c>
      <c r="H758" s="15">
        <f>Tabla1[[#This Row],[Importe]]-Tabla1[[#This Row],[Pagado]]</f>
        <v>0</v>
      </c>
      <c r="I758" s="275" t="s">
        <v>15214</v>
      </c>
    </row>
    <row r="759" spans="1:9" x14ac:dyDescent="0.25">
      <c r="A759" s="16">
        <v>42922</v>
      </c>
      <c r="B759" s="273" t="s">
        <v>20598</v>
      </c>
      <c r="C759">
        <v>118913</v>
      </c>
      <c r="D759" s="236" t="s">
        <v>15315</v>
      </c>
      <c r="E759" s="15">
        <v>198</v>
      </c>
      <c r="F759" s="274">
        <v>42923</v>
      </c>
      <c r="G759" s="15">
        <v>198</v>
      </c>
      <c r="H759" s="15">
        <f>Tabla1[[#This Row],[Importe]]-Tabla1[[#This Row],[Pagado]]</f>
        <v>0</v>
      </c>
      <c r="I759" s="275" t="s">
        <v>15214</v>
      </c>
    </row>
    <row r="760" spans="1:9" x14ac:dyDescent="0.25">
      <c r="A760" s="16">
        <v>42922</v>
      </c>
      <c r="B760" s="273" t="s">
        <v>20599</v>
      </c>
      <c r="C760">
        <v>118914</v>
      </c>
      <c r="D760" s="236" t="s">
        <v>15213</v>
      </c>
      <c r="E760" s="15">
        <v>362.1</v>
      </c>
      <c r="F760" s="274">
        <v>42923</v>
      </c>
      <c r="G760" s="15">
        <v>362.1</v>
      </c>
      <c r="H760" s="15">
        <f>Tabla1[[#This Row],[Importe]]-Tabla1[[#This Row],[Pagado]]</f>
        <v>0</v>
      </c>
      <c r="I760" s="275" t="s">
        <v>15214</v>
      </c>
    </row>
    <row r="761" spans="1:9" x14ac:dyDescent="0.25">
      <c r="A761" s="16">
        <v>42923</v>
      </c>
      <c r="B761" s="273" t="s">
        <v>20600</v>
      </c>
      <c r="C761">
        <v>118915</v>
      </c>
      <c r="D761" s="236" t="s">
        <v>15213</v>
      </c>
      <c r="E761" s="15">
        <v>9911.7999999999993</v>
      </c>
      <c r="F761" s="274">
        <v>42925</v>
      </c>
      <c r="G761" s="15">
        <v>9911.7999999999993</v>
      </c>
      <c r="H761" s="15">
        <f>Tabla1[[#This Row],[Importe]]-Tabla1[[#This Row],[Pagado]]</f>
        <v>0</v>
      </c>
      <c r="I761" s="275" t="s">
        <v>15214</v>
      </c>
    </row>
    <row r="762" spans="1:9" ht="30" x14ac:dyDescent="0.25">
      <c r="A762" s="16">
        <v>42923</v>
      </c>
      <c r="B762" s="273" t="s">
        <v>20601</v>
      </c>
      <c r="C762">
        <v>118916</v>
      </c>
      <c r="D762" s="236" t="s">
        <v>15213</v>
      </c>
      <c r="E762" s="15">
        <v>58463.199999999997</v>
      </c>
      <c r="F762" s="274" t="s">
        <v>20236</v>
      </c>
      <c r="G762" s="241">
        <f>40000+18463.2</f>
        <v>58463.199999999997</v>
      </c>
      <c r="H762" s="241">
        <f>Tabla1[[#This Row],[Importe]]-Tabla1[[#This Row],[Pagado]]</f>
        <v>0</v>
      </c>
      <c r="I762" s="275" t="s">
        <v>15214</v>
      </c>
    </row>
    <row r="763" spans="1:9" x14ac:dyDescent="0.25">
      <c r="A763" s="16">
        <v>42923</v>
      </c>
      <c r="B763" s="273" t="s">
        <v>20602</v>
      </c>
      <c r="C763">
        <v>118917</v>
      </c>
      <c r="D763" s="236" t="s">
        <v>15216</v>
      </c>
      <c r="E763" s="15">
        <v>6430.1</v>
      </c>
      <c r="F763" s="274">
        <v>42923</v>
      </c>
      <c r="G763" s="15">
        <v>6430.1</v>
      </c>
      <c r="H763" s="15">
        <f>Tabla1[[#This Row],[Importe]]-Tabla1[[#This Row],[Pagado]]</f>
        <v>0</v>
      </c>
      <c r="I763" s="275" t="s">
        <v>15214</v>
      </c>
    </row>
    <row r="764" spans="1:9" x14ac:dyDescent="0.25">
      <c r="A764" s="16">
        <v>42923</v>
      </c>
      <c r="B764" s="273" t="s">
        <v>20603</v>
      </c>
      <c r="C764">
        <v>118918</v>
      </c>
      <c r="D764" s="236" t="s">
        <v>15216</v>
      </c>
      <c r="E764" s="15">
        <v>780</v>
      </c>
      <c r="F764" s="274">
        <v>42923</v>
      </c>
      <c r="G764" s="15">
        <v>780</v>
      </c>
      <c r="H764" s="15">
        <f>Tabla1[[#This Row],[Importe]]-Tabla1[[#This Row],[Pagado]]</f>
        <v>0</v>
      </c>
      <c r="I764" s="275" t="s">
        <v>15214</v>
      </c>
    </row>
    <row r="765" spans="1:9" x14ac:dyDescent="0.25">
      <c r="A765" s="16">
        <v>42923</v>
      </c>
      <c r="B765" s="273" t="s">
        <v>20604</v>
      </c>
      <c r="C765">
        <v>118919</v>
      </c>
      <c r="D765" s="236" t="s">
        <v>15230</v>
      </c>
      <c r="E765" s="15">
        <v>19479</v>
      </c>
      <c r="F765" s="274">
        <v>42927</v>
      </c>
      <c r="G765" s="15">
        <v>19479</v>
      </c>
      <c r="H765" s="15">
        <f>Tabla1[[#This Row],[Importe]]-Tabla1[[#This Row],[Pagado]]</f>
        <v>0</v>
      </c>
      <c r="I765" s="275" t="s">
        <v>15214</v>
      </c>
    </row>
    <row r="766" spans="1:9" x14ac:dyDescent="0.25">
      <c r="A766" s="16">
        <v>42923</v>
      </c>
      <c r="B766" s="273" t="s">
        <v>20605</v>
      </c>
      <c r="C766">
        <v>118920</v>
      </c>
      <c r="D766" s="236" t="s">
        <v>15232</v>
      </c>
      <c r="E766" s="15">
        <v>6192</v>
      </c>
      <c r="F766" s="274">
        <v>42929</v>
      </c>
      <c r="G766" s="15">
        <v>6192</v>
      </c>
      <c r="H766" s="15">
        <f>Tabla1[[#This Row],[Importe]]-Tabla1[[#This Row],[Pagado]]</f>
        <v>0</v>
      </c>
      <c r="I766" s="275" t="s">
        <v>15214</v>
      </c>
    </row>
    <row r="767" spans="1:9" x14ac:dyDescent="0.25">
      <c r="A767" s="16">
        <v>42923</v>
      </c>
      <c r="B767" s="273" t="s">
        <v>20606</v>
      </c>
      <c r="C767">
        <v>118921</v>
      </c>
      <c r="D767" s="236" t="s">
        <v>15315</v>
      </c>
      <c r="E767" s="15">
        <v>1829.1</v>
      </c>
      <c r="F767" s="274">
        <v>42923</v>
      </c>
      <c r="G767" s="15">
        <v>1829.1</v>
      </c>
      <c r="H767" s="15">
        <f>Tabla1[[#This Row],[Importe]]-Tabla1[[#This Row],[Pagado]]</f>
        <v>0</v>
      </c>
      <c r="I767" s="275" t="s">
        <v>15214</v>
      </c>
    </row>
    <row r="768" spans="1:9" x14ac:dyDescent="0.25">
      <c r="A768" s="16">
        <v>42923</v>
      </c>
      <c r="B768" s="273" t="s">
        <v>20607</v>
      </c>
      <c r="C768">
        <v>118922</v>
      </c>
      <c r="D768" s="236" t="s">
        <v>15315</v>
      </c>
      <c r="E768" s="15">
        <v>1290.2</v>
      </c>
      <c r="F768" s="274">
        <v>42923</v>
      </c>
      <c r="G768" s="15">
        <v>1290.2</v>
      </c>
      <c r="H768" s="15">
        <f>Tabla1[[#This Row],[Importe]]-Tabla1[[#This Row],[Pagado]]</f>
        <v>0</v>
      </c>
      <c r="I768" s="275" t="s">
        <v>15214</v>
      </c>
    </row>
    <row r="769" spans="1:9" x14ac:dyDescent="0.25">
      <c r="A769" s="16">
        <v>42923</v>
      </c>
      <c r="B769" s="273" t="s">
        <v>20608</v>
      </c>
      <c r="C769">
        <v>118923</v>
      </c>
      <c r="D769" s="236" t="s">
        <v>18544</v>
      </c>
      <c r="E769" s="15">
        <v>3908.6</v>
      </c>
      <c r="F769" s="274">
        <v>42923</v>
      </c>
      <c r="G769" s="15">
        <v>3908.6</v>
      </c>
      <c r="H769" s="15">
        <f>Tabla1[[#This Row],[Importe]]-Tabla1[[#This Row],[Pagado]]</f>
        <v>0</v>
      </c>
      <c r="I769" s="275" t="s">
        <v>15214</v>
      </c>
    </row>
    <row r="770" spans="1:9" x14ac:dyDescent="0.25">
      <c r="A770" s="16">
        <v>42923</v>
      </c>
      <c r="B770" s="273" t="s">
        <v>20609</v>
      </c>
      <c r="C770">
        <v>118924</v>
      </c>
      <c r="D770" s="236" t="s">
        <v>15332</v>
      </c>
      <c r="E770" s="15">
        <v>3098.4</v>
      </c>
      <c r="F770" s="274">
        <v>42923</v>
      </c>
      <c r="G770" s="15">
        <v>3098.4</v>
      </c>
      <c r="H770" s="15">
        <f>Tabla1[[#This Row],[Importe]]-Tabla1[[#This Row],[Pagado]]</f>
        <v>0</v>
      </c>
      <c r="I770" s="275" t="s">
        <v>15214</v>
      </c>
    </row>
    <row r="771" spans="1:9" ht="30" x14ac:dyDescent="0.25">
      <c r="A771" s="16">
        <v>42923</v>
      </c>
      <c r="B771" s="273" t="s">
        <v>20610</v>
      </c>
      <c r="C771">
        <v>118925</v>
      </c>
      <c r="D771" s="236" t="s">
        <v>15394</v>
      </c>
      <c r="E771" s="15">
        <v>27292.1</v>
      </c>
      <c r="F771" s="274" t="s">
        <v>20611</v>
      </c>
      <c r="G771" s="241">
        <f>17663.19+9628.91</f>
        <v>27292.1</v>
      </c>
      <c r="H771" s="241">
        <f>Tabla1[[#This Row],[Importe]]-Tabla1[[#This Row],[Pagado]]</f>
        <v>0</v>
      </c>
      <c r="I771" s="275" t="s">
        <v>15214</v>
      </c>
    </row>
    <row r="772" spans="1:9" x14ac:dyDescent="0.25">
      <c r="A772" s="16">
        <v>42923</v>
      </c>
      <c r="B772" s="273" t="s">
        <v>20612</v>
      </c>
      <c r="C772">
        <v>118926</v>
      </c>
      <c r="D772" s="236" t="s">
        <v>15367</v>
      </c>
      <c r="E772" s="15">
        <v>6600</v>
      </c>
      <c r="F772" s="274">
        <v>42924</v>
      </c>
      <c r="G772" s="15">
        <v>6600</v>
      </c>
      <c r="H772" s="15">
        <f>Tabla1[[#This Row],[Importe]]-Tabla1[[#This Row],[Pagado]]</f>
        <v>0</v>
      </c>
      <c r="I772" s="275" t="s">
        <v>15214</v>
      </c>
    </row>
    <row r="773" spans="1:9" x14ac:dyDescent="0.25">
      <c r="A773" s="16">
        <v>42923</v>
      </c>
      <c r="B773" s="273" t="s">
        <v>20613</v>
      </c>
      <c r="C773">
        <v>118927</v>
      </c>
      <c r="D773" s="236" t="s">
        <v>15382</v>
      </c>
      <c r="E773" s="15">
        <v>13660.4</v>
      </c>
      <c r="F773" s="274">
        <v>42940</v>
      </c>
      <c r="G773" s="15">
        <v>13660.4</v>
      </c>
      <c r="H773" s="15">
        <f>Tabla1[[#This Row],[Importe]]-Tabla1[[#This Row],[Pagado]]</f>
        <v>0</v>
      </c>
      <c r="I773" s="275" t="s">
        <v>15214</v>
      </c>
    </row>
    <row r="774" spans="1:9" x14ac:dyDescent="0.25">
      <c r="A774" s="16">
        <v>42923</v>
      </c>
      <c r="B774" s="273" t="s">
        <v>20614</v>
      </c>
      <c r="C774">
        <v>118928</v>
      </c>
      <c r="D774" s="236" t="s">
        <v>15369</v>
      </c>
      <c r="E774" s="15">
        <v>21917.8</v>
      </c>
      <c r="F774" s="274">
        <v>42945</v>
      </c>
      <c r="G774" s="15">
        <v>21917.8</v>
      </c>
      <c r="H774" s="15">
        <f>Tabla1[[#This Row],[Importe]]-Tabla1[[#This Row],[Pagado]]</f>
        <v>0</v>
      </c>
      <c r="I774" s="275" t="s">
        <v>15214</v>
      </c>
    </row>
    <row r="775" spans="1:9" x14ac:dyDescent="0.25">
      <c r="A775" s="16">
        <v>42923</v>
      </c>
      <c r="B775" s="273" t="s">
        <v>20615</v>
      </c>
      <c r="C775">
        <v>118929</v>
      </c>
      <c r="D775" s="236" t="s">
        <v>15389</v>
      </c>
      <c r="E775" s="15">
        <v>20022.8</v>
      </c>
      <c r="F775" s="274">
        <v>42940</v>
      </c>
      <c r="G775" s="15">
        <v>20022.8</v>
      </c>
      <c r="H775" s="15">
        <f>Tabla1[[#This Row],[Importe]]-Tabla1[[#This Row],[Pagado]]</f>
        <v>0</v>
      </c>
      <c r="I775" s="275" t="s">
        <v>15214</v>
      </c>
    </row>
    <row r="776" spans="1:9" x14ac:dyDescent="0.25">
      <c r="A776" s="16">
        <v>42923</v>
      </c>
      <c r="B776" s="273" t="s">
        <v>20616</v>
      </c>
      <c r="C776">
        <v>118930</v>
      </c>
      <c r="D776" s="236" t="s">
        <v>15380</v>
      </c>
      <c r="E776" s="15">
        <v>50805.8</v>
      </c>
      <c r="F776" s="274">
        <v>42931</v>
      </c>
      <c r="G776" s="15">
        <v>50805.8</v>
      </c>
      <c r="H776" s="15">
        <f>Tabla1[[#This Row],[Importe]]-Tabla1[[#This Row],[Pagado]]</f>
        <v>0</v>
      </c>
      <c r="I776" s="275" t="s">
        <v>15214</v>
      </c>
    </row>
    <row r="777" spans="1:9" x14ac:dyDescent="0.25">
      <c r="A777" s="16">
        <v>42923</v>
      </c>
      <c r="B777" s="273" t="s">
        <v>20617</v>
      </c>
      <c r="C777">
        <v>118931</v>
      </c>
      <c r="D777" s="236" t="s">
        <v>15263</v>
      </c>
      <c r="E777" s="15">
        <v>3364.2</v>
      </c>
      <c r="F777" s="274">
        <v>42923</v>
      </c>
      <c r="G777" s="15">
        <v>3364.2</v>
      </c>
      <c r="H777" s="15">
        <f>Tabla1[[#This Row],[Importe]]-Tabla1[[#This Row],[Pagado]]</f>
        <v>0</v>
      </c>
      <c r="I777" s="275" t="s">
        <v>15214</v>
      </c>
    </row>
    <row r="778" spans="1:9" x14ac:dyDescent="0.25">
      <c r="A778" s="16">
        <v>42923</v>
      </c>
      <c r="B778" s="273" t="s">
        <v>20618</v>
      </c>
      <c r="C778">
        <v>118932</v>
      </c>
      <c r="D778" s="236" t="s">
        <v>15681</v>
      </c>
      <c r="E778" s="15">
        <v>2332</v>
      </c>
      <c r="F778" s="274">
        <v>42923</v>
      </c>
      <c r="G778" s="15">
        <v>2332</v>
      </c>
      <c r="H778" s="15">
        <f>Tabla1[[#This Row],[Importe]]-Tabla1[[#This Row],[Pagado]]</f>
        <v>0</v>
      </c>
      <c r="I778" s="275" t="s">
        <v>15214</v>
      </c>
    </row>
    <row r="779" spans="1:9" x14ac:dyDescent="0.25">
      <c r="A779" s="16">
        <v>42923</v>
      </c>
      <c r="B779" s="273" t="s">
        <v>20619</v>
      </c>
      <c r="C779">
        <v>118933</v>
      </c>
      <c r="D779" s="236" t="s">
        <v>15373</v>
      </c>
      <c r="E779" s="15">
        <v>16952.400000000001</v>
      </c>
      <c r="F779" s="274">
        <v>42924</v>
      </c>
      <c r="G779" s="15">
        <v>16952.400000000001</v>
      </c>
      <c r="H779" s="15">
        <f>Tabla1[[#This Row],[Importe]]-Tabla1[[#This Row],[Pagado]]</f>
        <v>0</v>
      </c>
      <c r="I779" s="275" t="s">
        <v>15214</v>
      </c>
    </row>
    <row r="780" spans="1:9" x14ac:dyDescent="0.25">
      <c r="A780" s="16">
        <v>42923</v>
      </c>
      <c r="B780" s="273" t="s">
        <v>20620</v>
      </c>
      <c r="C780">
        <v>118934</v>
      </c>
      <c r="D780" s="236" t="s">
        <v>16023</v>
      </c>
      <c r="E780" s="15">
        <v>2191.6</v>
      </c>
      <c r="F780" s="274">
        <v>42923</v>
      </c>
      <c r="G780" s="15">
        <v>2191.6</v>
      </c>
      <c r="H780" s="15">
        <f>Tabla1[[#This Row],[Importe]]-Tabla1[[#This Row],[Pagado]]</f>
        <v>0</v>
      </c>
      <c r="I780" s="275" t="s">
        <v>15214</v>
      </c>
    </row>
    <row r="781" spans="1:9" x14ac:dyDescent="0.25">
      <c r="A781" s="16">
        <v>42923</v>
      </c>
      <c r="B781" s="273" t="s">
        <v>20621</v>
      </c>
      <c r="C781">
        <v>118935</v>
      </c>
      <c r="D781" s="236" t="s">
        <v>19549</v>
      </c>
      <c r="E781" s="15">
        <v>16999.099999999999</v>
      </c>
      <c r="F781" s="274">
        <v>42924</v>
      </c>
      <c r="G781" s="15">
        <v>16999.099999999999</v>
      </c>
      <c r="H781" s="15">
        <f>Tabla1[[#This Row],[Importe]]-Tabla1[[#This Row],[Pagado]]</f>
        <v>0</v>
      </c>
      <c r="I781" s="275" t="s">
        <v>15214</v>
      </c>
    </row>
    <row r="782" spans="1:9" x14ac:dyDescent="0.25">
      <c r="A782" s="16">
        <v>42923</v>
      </c>
      <c r="B782" s="273" t="s">
        <v>20622</v>
      </c>
      <c r="C782">
        <v>118936</v>
      </c>
      <c r="D782" s="236" t="s">
        <v>19302</v>
      </c>
      <c r="E782" s="15">
        <v>1275</v>
      </c>
      <c r="F782" s="274">
        <v>42923</v>
      </c>
      <c r="G782" s="15">
        <v>1275</v>
      </c>
      <c r="H782" s="15">
        <f>Tabla1[[#This Row],[Importe]]-Tabla1[[#This Row],[Pagado]]</f>
        <v>0</v>
      </c>
      <c r="I782" s="275" t="s">
        <v>15214</v>
      </c>
    </row>
    <row r="783" spans="1:9" x14ac:dyDescent="0.25">
      <c r="A783" s="16">
        <v>42923</v>
      </c>
      <c r="B783" s="273" t="s">
        <v>20623</v>
      </c>
      <c r="C783">
        <v>118937</v>
      </c>
      <c r="D783" s="236" t="s">
        <v>15220</v>
      </c>
      <c r="E783" s="15">
        <v>3060</v>
      </c>
      <c r="F783" s="274">
        <v>42923</v>
      </c>
      <c r="G783" s="15">
        <v>3060</v>
      </c>
      <c r="H783" s="15">
        <f>Tabla1[[#This Row],[Importe]]-Tabla1[[#This Row],[Pagado]]</f>
        <v>0</v>
      </c>
      <c r="I783" s="275" t="s">
        <v>15214</v>
      </c>
    </row>
    <row r="784" spans="1:9" x14ac:dyDescent="0.25">
      <c r="A784" s="16">
        <v>42923</v>
      </c>
      <c r="B784" s="273" t="s">
        <v>20624</v>
      </c>
      <c r="C784">
        <v>118938</v>
      </c>
      <c r="D784" s="236" t="s">
        <v>15328</v>
      </c>
      <c r="E784" s="15">
        <v>40936.699999999997</v>
      </c>
      <c r="F784" s="274">
        <v>42934</v>
      </c>
      <c r="G784" s="15">
        <v>40936.699999999997</v>
      </c>
      <c r="H784" s="15">
        <f>Tabla1[[#This Row],[Importe]]-Tabla1[[#This Row],[Pagado]]</f>
        <v>0</v>
      </c>
      <c r="I784" s="275" t="s">
        <v>15214</v>
      </c>
    </row>
    <row r="785" spans="1:9" x14ac:dyDescent="0.25">
      <c r="A785" s="16">
        <v>42923</v>
      </c>
      <c r="B785" s="273" t="s">
        <v>20625</v>
      </c>
      <c r="C785">
        <v>118939</v>
      </c>
      <c r="D785" s="236" t="s">
        <v>15272</v>
      </c>
      <c r="E785" s="15">
        <v>21493.599999999999</v>
      </c>
      <c r="F785" s="274">
        <v>42923</v>
      </c>
      <c r="G785" s="15">
        <v>21493.599999999999</v>
      </c>
      <c r="H785" s="15">
        <f>Tabla1[[#This Row],[Importe]]-Tabla1[[#This Row],[Pagado]]</f>
        <v>0</v>
      </c>
      <c r="I785" s="275" t="s">
        <v>15214</v>
      </c>
    </row>
    <row r="786" spans="1:9" x14ac:dyDescent="0.25">
      <c r="A786" s="16">
        <v>42923</v>
      </c>
      <c r="B786" s="273" t="s">
        <v>20626</v>
      </c>
      <c r="C786">
        <v>118940</v>
      </c>
      <c r="D786" s="236" t="s">
        <v>15328</v>
      </c>
      <c r="E786" s="15">
        <v>43377.26</v>
      </c>
      <c r="F786" s="274">
        <v>42934</v>
      </c>
      <c r="G786" s="15">
        <v>43377.26</v>
      </c>
      <c r="H786" s="15">
        <f>Tabla1[[#This Row],[Importe]]-Tabla1[[#This Row],[Pagado]]</f>
        <v>0</v>
      </c>
      <c r="I786" s="275" t="s">
        <v>15214</v>
      </c>
    </row>
    <row r="787" spans="1:9" x14ac:dyDescent="0.25">
      <c r="A787" s="16">
        <v>42923</v>
      </c>
      <c r="B787" s="273" t="s">
        <v>20627</v>
      </c>
      <c r="C787">
        <v>118941</v>
      </c>
      <c r="D787" s="236" t="s">
        <v>15541</v>
      </c>
      <c r="E787" s="15">
        <v>2534.4</v>
      </c>
      <c r="F787" s="274">
        <v>42924</v>
      </c>
      <c r="G787" s="15">
        <v>2534.4</v>
      </c>
      <c r="H787" s="15">
        <f>Tabla1[[#This Row],[Importe]]-Tabla1[[#This Row],[Pagado]]</f>
        <v>0</v>
      </c>
      <c r="I787" s="275" t="s">
        <v>15214</v>
      </c>
    </row>
    <row r="788" spans="1:9" x14ac:dyDescent="0.25">
      <c r="A788" s="16">
        <v>42923</v>
      </c>
      <c r="B788" s="273" t="s">
        <v>20628</v>
      </c>
      <c r="C788">
        <v>118942</v>
      </c>
      <c r="D788" s="236" t="s">
        <v>15242</v>
      </c>
      <c r="E788" s="15">
        <v>29497.200000000001</v>
      </c>
      <c r="F788" s="274">
        <v>42924</v>
      </c>
      <c r="G788" s="15">
        <v>29497.200000000001</v>
      </c>
      <c r="H788" s="15">
        <f>Tabla1[[#This Row],[Importe]]-Tabla1[[#This Row],[Pagado]]</f>
        <v>0</v>
      </c>
      <c r="I788" s="275" t="s">
        <v>15214</v>
      </c>
    </row>
    <row r="789" spans="1:9" x14ac:dyDescent="0.25">
      <c r="A789" s="16">
        <v>42923</v>
      </c>
      <c r="B789" s="273" t="s">
        <v>20629</v>
      </c>
      <c r="C789">
        <v>118943</v>
      </c>
      <c r="D789" s="236" t="s">
        <v>15315</v>
      </c>
      <c r="E789" s="15">
        <v>1575.6</v>
      </c>
      <c r="F789" s="274">
        <v>42923</v>
      </c>
      <c r="G789" s="15">
        <v>1575.6</v>
      </c>
      <c r="H789" s="15">
        <f>Tabla1[[#This Row],[Importe]]-Tabla1[[#This Row],[Pagado]]</f>
        <v>0</v>
      </c>
      <c r="I789" s="275" t="s">
        <v>15214</v>
      </c>
    </row>
    <row r="790" spans="1:9" x14ac:dyDescent="0.25">
      <c r="A790" s="16">
        <v>42923</v>
      </c>
      <c r="B790" s="273" t="s">
        <v>20630</v>
      </c>
      <c r="C790">
        <v>118944</v>
      </c>
      <c r="D790" s="236" t="s">
        <v>15348</v>
      </c>
      <c r="E790" s="15">
        <v>4446.8</v>
      </c>
      <c r="F790" s="274">
        <v>42924</v>
      </c>
      <c r="G790" s="15">
        <v>4446.8</v>
      </c>
      <c r="H790" s="15">
        <f>Tabla1[[#This Row],[Importe]]-Tabla1[[#This Row],[Pagado]]</f>
        <v>0</v>
      </c>
      <c r="I790" s="275" t="s">
        <v>15214</v>
      </c>
    </row>
    <row r="791" spans="1:9" x14ac:dyDescent="0.25">
      <c r="A791" s="16">
        <v>42923</v>
      </c>
      <c r="B791" s="273" t="s">
        <v>20631</v>
      </c>
      <c r="C791">
        <v>118945</v>
      </c>
      <c r="D791" s="236" t="s">
        <v>15315</v>
      </c>
      <c r="E791" s="15">
        <v>3447.6</v>
      </c>
      <c r="F791" s="274">
        <v>42923</v>
      </c>
      <c r="G791" s="15">
        <v>3447.6</v>
      </c>
      <c r="H791" s="15">
        <f>Tabla1[[#This Row],[Importe]]-Tabla1[[#This Row],[Pagado]]</f>
        <v>0</v>
      </c>
      <c r="I791" s="275" t="s">
        <v>15214</v>
      </c>
    </row>
    <row r="792" spans="1:9" x14ac:dyDescent="0.25">
      <c r="A792" s="16">
        <v>42923</v>
      </c>
      <c r="B792" s="273" t="s">
        <v>20632</v>
      </c>
      <c r="C792">
        <v>118946</v>
      </c>
      <c r="D792" s="236" t="s">
        <v>15240</v>
      </c>
      <c r="E792" s="15">
        <v>3536</v>
      </c>
      <c r="F792" s="274">
        <v>42924</v>
      </c>
      <c r="G792" s="15">
        <v>3536</v>
      </c>
      <c r="H792" s="15">
        <f>Tabla1[[#This Row],[Importe]]-Tabla1[[#This Row],[Pagado]]</f>
        <v>0</v>
      </c>
      <c r="I792" s="275" t="s">
        <v>15214</v>
      </c>
    </row>
    <row r="793" spans="1:9" ht="15.75" x14ac:dyDescent="0.25">
      <c r="A793" s="16">
        <v>42923</v>
      </c>
      <c r="B793" s="273" t="s">
        <v>20633</v>
      </c>
      <c r="C793">
        <v>118947</v>
      </c>
      <c r="D793" s="248" t="s">
        <v>95</v>
      </c>
      <c r="E793" s="15">
        <v>0</v>
      </c>
      <c r="F793" s="277" t="s">
        <v>95</v>
      </c>
      <c r="G793" s="15">
        <v>0</v>
      </c>
      <c r="H793" s="15">
        <f>Tabla1[[#This Row],[Importe]]-Tabla1[[#This Row],[Pagado]]</f>
        <v>0</v>
      </c>
      <c r="I793" s="275" t="s">
        <v>95</v>
      </c>
    </row>
    <row r="794" spans="1:9" x14ac:dyDescent="0.25">
      <c r="A794" s="16">
        <v>42923</v>
      </c>
      <c r="B794" s="273" t="s">
        <v>20634</v>
      </c>
      <c r="C794">
        <v>118948</v>
      </c>
      <c r="D794" s="236" t="s">
        <v>15244</v>
      </c>
      <c r="E794" s="15">
        <v>14036.8</v>
      </c>
      <c r="F794" s="274">
        <v>42934</v>
      </c>
      <c r="G794" s="15">
        <v>14036.8</v>
      </c>
      <c r="H794" s="15">
        <f>Tabla1[[#This Row],[Importe]]-Tabla1[[#This Row],[Pagado]]</f>
        <v>0</v>
      </c>
      <c r="I794" s="275" t="s">
        <v>15214</v>
      </c>
    </row>
    <row r="795" spans="1:9" x14ac:dyDescent="0.25">
      <c r="A795" s="16">
        <v>42923</v>
      </c>
      <c r="B795" s="273" t="s">
        <v>20635</v>
      </c>
      <c r="C795">
        <v>118949</v>
      </c>
      <c r="D795" s="236" t="s">
        <v>15252</v>
      </c>
      <c r="E795" s="15">
        <v>10683.1</v>
      </c>
      <c r="F795" s="274">
        <v>42926</v>
      </c>
      <c r="G795" s="15">
        <v>10683.1</v>
      </c>
      <c r="H795" s="15">
        <f>Tabla1[[#This Row],[Importe]]-Tabla1[[#This Row],[Pagado]]</f>
        <v>0</v>
      </c>
      <c r="I795" s="275" t="s">
        <v>15214</v>
      </c>
    </row>
    <row r="796" spans="1:9" x14ac:dyDescent="0.25">
      <c r="A796" s="16">
        <v>42923</v>
      </c>
      <c r="B796" s="273" t="s">
        <v>20636</v>
      </c>
      <c r="C796">
        <v>118950</v>
      </c>
      <c r="D796" s="236" t="s">
        <v>15328</v>
      </c>
      <c r="E796" s="15">
        <v>320</v>
      </c>
      <c r="F796" s="274">
        <v>42934</v>
      </c>
      <c r="G796" s="15">
        <v>320</v>
      </c>
      <c r="H796" s="15">
        <f>Tabla1[[#This Row],[Importe]]-Tabla1[[#This Row],[Pagado]]</f>
        <v>0</v>
      </c>
      <c r="I796" s="275" t="s">
        <v>15214</v>
      </c>
    </row>
    <row r="797" spans="1:9" ht="15.75" x14ac:dyDescent="0.25">
      <c r="A797" s="16">
        <v>42923</v>
      </c>
      <c r="B797" s="273" t="s">
        <v>20637</v>
      </c>
      <c r="C797">
        <v>118951</v>
      </c>
      <c r="D797" s="248" t="s">
        <v>95</v>
      </c>
      <c r="E797" s="15">
        <v>0</v>
      </c>
      <c r="F797" s="277" t="s">
        <v>95</v>
      </c>
      <c r="G797" s="15">
        <v>0</v>
      </c>
      <c r="H797" s="15">
        <f>Tabla1[[#This Row],[Importe]]-Tabla1[[#This Row],[Pagado]]</f>
        <v>0</v>
      </c>
      <c r="I797" s="275" t="s">
        <v>95</v>
      </c>
    </row>
    <row r="798" spans="1:9" x14ac:dyDescent="0.25">
      <c r="A798" s="16">
        <v>42923</v>
      </c>
      <c r="B798" s="273" t="s">
        <v>20638</v>
      </c>
      <c r="C798">
        <v>118952</v>
      </c>
      <c r="D798" s="236" t="s">
        <v>15427</v>
      </c>
      <c r="E798" s="15">
        <v>26423.1</v>
      </c>
      <c r="F798" s="274">
        <v>42923</v>
      </c>
      <c r="G798" s="15">
        <v>26423.1</v>
      </c>
      <c r="H798" s="15">
        <f>Tabla1[[#This Row],[Importe]]-Tabla1[[#This Row],[Pagado]]</f>
        <v>0</v>
      </c>
      <c r="I798" s="275" t="s">
        <v>15214</v>
      </c>
    </row>
    <row r="799" spans="1:9" ht="15.75" x14ac:dyDescent="0.25">
      <c r="A799" s="16">
        <v>42923</v>
      </c>
      <c r="B799" s="273" t="s">
        <v>20639</v>
      </c>
      <c r="C799">
        <v>118953</v>
      </c>
      <c r="D799" s="248" t="s">
        <v>95</v>
      </c>
      <c r="E799" s="15">
        <v>0</v>
      </c>
      <c r="F799" s="277" t="s">
        <v>95</v>
      </c>
      <c r="G799" s="15">
        <v>0</v>
      </c>
      <c r="H799" s="15">
        <f>Tabla1[[#This Row],[Importe]]-Tabla1[[#This Row],[Pagado]]</f>
        <v>0</v>
      </c>
      <c r="I799" s="275" t="s">
        <v>95</v>
      </c>
    </row>
    <row r="800" spans="1:9" x14ac:dyDescent="0.25">
      <c r="A800" s="16">
        <v>42923</v>
      </c>
      <c r="B800" s="273" t="s">
        <v>20640</v>
      </c>
      <c r="C800">
        <v>118954</v>
      </c>
      <c r="D800" s="236" t="s">
        <v>5575</v>
      </c>
      <c r="E800" s="15">
        <v>4071</v>
      </c>
      <c r="F800" s="274">
        <v>42924</v>
      </c>
      <c r="G800" s="15">
        <v>4071</v>
      </c>
      <c r="H800" s="15">
        <f>Tabla1[[#This Row],[Importe]]-Tabla1[[#This Row],[Pagado]]</f>
        <v>0</v>
      </c>
      <c r="I800" s="275" t="s">
        <v>15214</v>
      </c>
    </row>
    <row r="801" spans="1:9" x14ac:dyDescent="0.25">
      <c r="A801" s="16">
        <v>42923</v>
      </c>
      <c r="B801" s="273" t="s">
        <v>20641</v>
      </c>
      <c r="C801">
        <v>118955</v>
      </c>
      <c r="D801" s="236" t="s">
        <v>15326</v>
      </c>
      <c r="E801" s="15">
        <v>11746</v>
      </c>
      <c r="F801" s="274">
        <v>42923</v>
      </c>
      <c r="G801" s="15">
        <v>11746</v>
      </c>
      <c r="H801" s="15">
        <f>Tabla1[[#This Row],[Importe]]-Tabla1[[#This Row],[Pagado]]</f>
        <v>0</v>
      </c>
      <c r="I801" s="275" t="s">
        <v>15214</v>
      </c>
    </row>
    <row r="802" spans="1:9" x14ac:dyDescent="0.25">
      <c r="A802" s="16">
        <v>42923</v>
      </c>
      <c r="B802" s="273" t="s">
        <v>20642</v>
      </c>
      <c r="C802">
        <v>118956</v>
      </c>
      <c r="D802" s="236" t="s">
        <v>15226</v>
      </c>
      <c r="E802" s="15">
        <v>2293.1999999999998</v>
      </c>
      <c r="F802" s="274">
        <v>42926</v>
      </c>
      <c r="G802" s="15">
        <v>2293.1999999999998</v>
      </c>
      <c r="H802" s="15">
        <f>Tabla1[[#This Row],[Importe]]-Tabla1[[#This Row],[Pagado]]</f>
        <v>0</v>
      </c>
      <c r="I802" s="275" t="s">
        <v>15214</v>
      </c>
    </row>
    <row r="803" spans="1:9" ht="30" x14ac:dyDescent="0.25">
      <c r="A803" s="16">
        <v>42923</v>
      </c>
      <c r="B803" s="273" t="s">
        <v>20643</v>
      </c>
      <c r="C803">
        <v>118957</v>
      </c>
      <c r="D803" s="236" t="s">
        <v>15480</v>
      </c>
      <c r="E803" s="15">
        <v>7281.6</v>
      </c>
      <c r="F803" s="274" t="s">
        <v>20644</v>
      </c>
      <c r="G803" s="241">
        <f>5400+1881.6</f>
        <v>7281.6</v>
      </c>
      <c r="H803" s="241">
        <f>Tabla1[[#This Row],[Importe]]-Tabla1[[#This Row],[Pagado]]</f>
        <v>0</v>
      </c>
      <c r="I803" s="275" t="s">
        <v>15214</v>
      </c>
    </row>
    <row r="804" spans="1:9" ht="30" x14ac:dyDescent="0.25">
      <c r="A804" s="16">
        <v>42923</v>
      </c>
      <c r="B804" s="273" t="s">
        <v>20645</v>
      </c>
      <c r="C804">
        <v>118958</v>
      </c>
      <c r="D804" s="236" t="s">
        <v>15258</v>
      </c>
      <c r="E804" s="15">
        <v>12385.8</v>
      </c>
      <c r="F804" s="274" t="s">
        <v>20644</v>
      </c>
      <c r="G804" s="241">
        <f>3400+8985.8</f>
        <v>12385.8</v>
      </c>
      <c r="H804" s="241">
        <f>Tabla1[[#This Row],[Importe]]-Tabla1[[#This Row],[Pagado]]</f>
        <v>0</v>
      </c>
      <c r="I804" s="275" t="s">
        <v>15214</v>
      </c>
    </row>
    <row r="805" spans="1:9" x14ac:dyDescent="0.25">
      <c r="A805" s="16">
        <v>42923</v>
      </c>
      <c r="B805" s="273" t="s">
        <v>20646</v>
      </c>
      <c r="C805">
        <v>118959</v>
      </c>
      <c r="D805" s="236" t="s">
        <v>15238</v>
      </c>
      <c r="E805" s="15">
        <v>13035.8</v>
      </c>
      <c r="F805" s="274">
        <v>42926</v>
      </c>
      <c r="G805" s="15">
        <v>13035.8</v>
      </c>
      <c r="H805" s="15">
        <f>Tabla1[[#This Row],[Importe]]-Tabla1[[#This Row],[Pagado]]</f>
        <v>0</v>
      </c>
      <c r="I805" s="275" t="s">
        <v>15214</v>
      </c>
    </row>
    <row r="806" spans="1:9" x14ac:dyDescent="0.25">
      <c r="A806" s="16">
        <v>42923</v>
      </c>
      <c r="B806" s="273" t="s">
        <v>20647</v>
      </c>
      <c r="C806">
        <v>118960</v>
      </c>
      <c r="D806" s="236" t="s">
        <v>15668</v>
      </c>
      <c r="E806" s="15">
        <v>16892.400000000001</v>
      </c>
      <c r="F806" s="274">
        <v>42926</v>
      </c>
      <c r="G806" s="15">
        <v>16892.400000000001</v>
      </c>
      <c r="H806" s="15">
        <f>Tabla1[[#This Row],[Importe]]-Tabla1[[#This Row],[Pagado]]</f>
        <v>0</v>
      </c>
      <c r="I806" s="275" t="s">
        <v>15214</v>
      </c>
    </row>
    <row r="807" spans="1:9" x14ac:dyDescent="0.25">
      <c r="A807" s="16">
        <v>42923</v>
      </c>
      <c r="B807" s="273" t="s">
        <v>20648</v>
      </c>
      <c r="C807">
        <v>118961</v>
      </c>
      <c r="D807" s="236" t="s">
        <v>15236</v>
      </c>
      <c r="E807" s="15">
        <v>7990.4</v>
      </c>
      <c r="F807" s="274">
        <v>42926</v>
      </c>
      <c r="G807" s="15">
        <v>7990.4</v>
      </c>
      <c r="H807" s="15">
        <f>Tabla1[[#This Row],[Importe]]-Tabla1[[#This Row],[Pagado]]</f>
        <v>0</v>
      </c>
      <c r="I807" s="275" t="s">
        <v>15214</v>
      </c>
    </row>
    <row r="808" spans="1:9" x14ac:dyDescent="0.25">
      <c r="A808" s="16">
        <v>42923</v>
      </c>
      <c r="B808" s="273" t="s">
        <v>20649</v>
      </c>
      <c r="C808">
        <v>118962</v>
      </c>
      <c r="D808" s="236" t="s">
        <v>15387</v>
      </c>
      <c r="E808" s="15">
        <v>1315.8</v>
      </c>
      <c r="F808" s="274">
        <v>42923</v>
      </c>
      <c r="G808" s="15">
        <v>1315.8</v>
      </c>
      <c r="H808" s="15">
        <f>Tabla1[[#This Row],[Importe]]-Tabla1[[#This Row],[Pagado]]</f>
        <v>0</v>
      </c>
      <c r="I808" s="275" t="s">
        <v>15214</v>
      </c>
    </row>
    <row r="809" spans="1:9" x14ac:dyDescent="0.25">
      <c r="A809" s="16">
        <v>42923</v>
      </c>
      <c r="B809" s="273" t="s">
        <v>20650</v>
      </c>
      <c r="C809">
        <v>118963</v>
      </c>
      <c r="D809" s="236" t="s">
        <v>15278</v>
      </c>
      <c r="E809" s="15">
        <v>9747.4</v>
      </c>
      <c r="F809" s="274">
        <v>42923</v>
      </c>
      <c r="G809" s="15">
        <v>9747.4</v>
      </c>
      <c r="H809" s="15">
        <f>Tabla1[[#This Row],[Importe]]-Tabla1[[#This Row],[Pagado]]</f>
        <v>0</v>
      </c>
      <c r="I809" s="275" t="s">
        <v>15214</v>
      </c>
    </row>
    <row r="810" spans="1:9" x14ac:dyDescent="0.25">
      <c r="A810" s="16">
        <v>42923</v>
      </c>
      <c r="B810" s="273" t="s">
        <v>20651</v>
      </c>
      <c r="C810">
        <v>118964</v>
      </c>
      <c r="D810" s="236" t="s">
        <v>5556</v>
      </c>
      <c r="E810" s="15">
        <v>36459.9</v>
      </c>
      <c r="F810" s="274">
        <v>42923</v>
      </c>
      <c r="G810" s="15">
        <v>36459.9</v>
      </c>
      <c r="H810" s="15">
        <f>Tabla1[[#This Row],[Importe]]-Tabla1[[#This Row],[Pagado]]</f>
        <v>0</v>
      </c>
      <c r="I810" s="275" t="s">
        <v>15214</v>
      </c>
    </row>
    <row r="811" spans="1:9" ht="15.75" x14ac:dyDescent="0.25">
      <c r="A811" s="16">
        <v>42923</v>
      </c>
      <c r="B811" s="273" t="s">
        <v>20652</v>
      </c>
      <c r="C811">
        <v>118965</v>
      </c>
      <c r="D811" s="248" t="s">
        <v>95</v>
      </c>
      <c r="E811" s="15">
        <v>0</v>
      </c>
      <c r="F811" s="277" t="s">
        <v>95</v>
      </c>
      <c r="G811" s="15">
        <v>0</v>
      </c>
      <c r="H811" s="15">
        <f>Tabla1[[#This Row],[Importe]]-Tabla1[[#This Row],[Pagado]]</f>
        <v>0</v>
      </c>
      <c r="I811" s="275" t="s">
        <v>95</v>
      </c>
    </row>
    <row r="812" spans="1:9" x14ac:dyDescent="0.25">
      <c r="A812" s="16">
        <v>42923</v>
      </c>
      <c r="B812" s="273" t="s">
        <v>20653</v>
      </c>
      <c r="C812">
        <v>118966</v>
      </c>
      <c r="D812" s="236" t="s">
        <v>15376</v>
      </c>
      <c r="E812" s="15">
        <v>21604</v>
      </c>
      <c r="F812" s="274">
        <v>42923</v>
      </c>
      <c r="G812" s="15">
        <v>21604</v>
      </c>
      <c r="H812" s="15">
        <f>Tabla1[[#This Row],[Importe]]-Tabla1[[#This Row],[Pagado]]</f>
        <v>0</v>
      </c>
      <c r="I812" s="275" t="s">
        <v>15214</v>
      </c>
    </row>
    <row r="813" spans="1:9" x14ac:dyDescent="0.25">
      <c r="A813" s="16">
        <v>42923</v>
      </c>
      <c r="B813" s="273" t="s">
        <v>20654</v>
      </c>
      <c r="C813">
        <v>118967</v>
      </c>
      <c r="D813" s="236" t="s">
        <v>15284</v>
      </c>
      <c r="E813" s="15">
        <v>1169.5</v>
      </c>
      <c r="F813" s="274">
        <v>42923</v>
      </c>
      <c r="G813" s="15">
        <v>1169.5</v>
      </c>
      <c r="H813" s="15">
        <f>Tabla1[[#This Row],[Importe]]-Tabla1[[#This Row],[Pagado]]</f>
        <v>0</v>
      </c>
      <c r="I813" s="275" t="s">
        <v>15214</v>
      </c>
    </row>
    <row r="814" spans="1:9" x14ac:dyDescent="0.25">
      <c r="A814" s="16">
        <v>42923</v>
      </c>
      <c r="B814" s="273" t="s">
        <v>20655</v>
      </c>
      <c r="C814">
        <v>118968</v>
      </c>
      <c r="D814" s="236" t="s">
        <v>15415</v>
      </c>
      <c r="E814" s="15">
        <v>3510</v>
      </c>
      <c r="F814" s="274">
        <v>42928</v>
      </c>
      <c r="G814" s="15">
        <v>3510</v>
      </c>
      <c r="H814" s="15">
        <f>Tabla1[[#This Row],[Importe]]-Tabla1[[#This Row],[Pagado]]</f>
        <v>0</v>
      </c>
      <c r="I814" s="275" t="s">
        <v>15214</v>
      </c>
    </row>
    <row r="815" spans="1:9" x14ac:dyDescent="0.25">
      <c r="A815" s="16">
        <v>42923</v>
      </c>
      <c r="B815" s="273" t="s">
        <v>20656</v>
      </c>
      <c r="C815">
        <v>118969</v>
      </c>
      <c r="D815" s="236" t="s">
        <v>15324</v>
      </c>
      <c r="E815" s="15">
        <v>4252.5</v>
      </c>
      <c r="F815" s="274">
        <v>42923</v>
      </c>
      <c r="G815" s="15">
        <v>4252.5</v>
      </c>
      <c r="H815" s="15">
        <f>Tabla1[[#This Row],[Importe]]-Tabla1[[#This Row],[Pagado]]</f>
        <v>0</v>
      </c>
      <c r="I815" s="275" t="s">
        <v>15214</v>
      </c>
    </row>
    <row r="816" spans="1:9" x14ac:dyDescent="0.25">
      <c r="A816" s="16">
        <v>42923</v>
      </c>
      <c r="B816" s="273" t="s">
        <v>20657</v>
      </c>
      <c r="C816">
        <v>118970</v>
      </c>
      <c r="D816" s="236" t="s">
        <v>15338</v>
      </c>
      <c r="E816" s="15">
        <v>10510.4</v>
      </c>
      <c r="F816" s="274">
        <v>42927</v>
      </c>
      <c r="G816" s="15">
        <v>10510.4</v>
      </c>
      <c r="H816" s="15">
        <f>Tabla1[[#This Row],[Importe]]-Tabla1[[#This Row],[Pagado]]</f>
        <v>0</v>
      </c>
      <c r="I816" s="275" t="s">
        <v>15214</v>
      </c>
    </row>
    <row r="817" spans="1:9" x14ac:dyDescent="0.25">
      <c r="A817" s="16">
        <v>42923</v>
      </c>
      <c r="B817" s="273" t="s">
        <v>20658</v>
      </c>
      <c r="C817">
        <v>118971</v>
      </c>
      <c r="D817" s="236" t="s">
        <v>15274</v>
      </c>
      <c r="E817" s="15">
        <v>2550</v>
      </c>
      <c r="F817" s="274">
        <v>42923</v>
      </c>
      <c r="G817" s="15">
        <v>2550</v>
      </c>
      <c r="H817" s="15">
        <f>Tabla1[[#This Row],[Importe]]-Tabla1[[#This Row],[Pagado]]</f>
        <v>0</v>
      </c>
      <c r="I817" s="275" t="s">
        <v>15214</v>
      </c>
    </row>
    <row r="818" spans="1:9" x14ac:dyDescent="0.25">
      <c r="A818" s="16">
        <v>42923</v>
      </c>
      <c r="B818" s="273" t="s">
        <v>20659</v>
      </c>
      <c r="C818">
        <v>118972</v>
      </c>
      <c r="D818" s="236" t="s">
        <v>15274</v>
      </c>
      <c r="E818" s="15">
        <v>765</v>
      </c>
      <c r="F818" s="274">
        <v>42923</v>
      </c>
      <c r="G818" s="15">
        <v>765</v>
      </c>
      <c r="H818" s="15">
        <f>Tabla1[[#This Row],[Importe]]-Tabla1[[#This Row],[Pagado]]</f>
        <v>0</v>
      </c>
      <c r="I818" s="275" t="s">
        <v>15214</v>
      </c>
    </row>
    <row r="819" spans="1:9" x14ac:dyDescent="0.25">
      <c r="A819" s="16">
        <v>42923</v>
      </c>
      <c r="B819" s="273" t="s">
        <v>20660</v>
      </c>
      <c r="C819">
        <v>118973</v>
      </c>
      <c r="D819" s="236" t="s">
        <v>15596</v>
      </c>
      <c r="E819" s="15">
        <v>2040</v>
      </c>
      <c r="F819" s="274">
        <v>42923</v>
      </c>
      <c r="G819" s="15">
        <v>2040</v>
      </c>
      <c r="H819" s="15">
        <f>Tabla1[[#This Row],[Importe]]-Tabla1[[#This Row],[Pagado]]</f>
        <v>0</v>
      </c>
      <c r="I819" s="275" t="s">
        <v>15214</v>
      </c>
    </row>
    <row r="820" spans="1:9" ht="15.75" x14ac:dyDescent="0.25">
      <c r="A820" s="16">
        <v>42923</v>
      </c>
      <c r="B820" s="273" t="s">
        <v>20661</v>
      </c>
      <c r="C820">
        <v>118974</v>
      </c>
      <c r="D820" s="248" t="s">
        <v>95</v>
      </c>
      <c r="E820" s="15">
        <v>0</v>
      </c>
      <c r="F820" s="277" t="s">
        <v>95</v>
      </c>
      <c r="G820" s="15">
        <v>0</v>
      </c>
      <c r="H820" s="15">
        <f>Tabla1[[#This Row],[Importe]]-Tabla1[[#This Row],[Pagado]]</f>
        <v>0</v>
      </c>
      <c r="I820" s="275" t="s">
        <v>95</v>
      </c>
    </row>
    <row r="821" spans="1:9" x14ac:dyDescent="0.25">
      <c r="A821" s="16">
        <v>42923</v>
      </c>
      <c r="B821" s="273" t="s">
        <v>20662</v>
      </c>
      <c r="C821">
        <v>118975</v>
      </c>
      <c r="D821" s="236" t="s">
        <v>15523</v>
      </c>
      <c r="E821" s="15">
        <v>2550</v>
      </c>
      <c r="F821" s="274">
        <v>42923</v>
      </c>
      <c r="G821" s="15">
        <v>2550</v>
      </c>
      <c r="H821" s="15">
        <f>Tabla1[[#This Row],[Importe]]-Tabla1[[#This Row],[Pagado]]</f>
        <v>0</v>
      </c>
      <c r="I821" s="275" t="s">
        <v>15214</v>
      </c>
    </row>
    <row r="822" spans="1:9" x14ac:dyDescent="0.25">
      <c r="A822" s="16">
        <v>42923</v>
      </c>
      <c r="B822" s="273" t="s">
        <v>20663</v>
      </c>
      <c r="C822">
        <v>118976</v>
      </c>
      <c r="D822" s="236" t="s">
        <v>15334</v>
      </c>
      <c r="E822" s="15">
        <v>2718</v>
      </c>
      <c r="F822" s="274">
        <v>42923</v>
      </c>
      <c r="G822" s="15">
        <v>2718</v>
      </c>
      <c r="H822" s="15">
        <f>Tabla1[[#This Row],[Importe]]-Tabla1[[#This Row],[Pagado]]</f>
        <v>0</v>
      </c>
      <c r="I822" s="275" t="s">
        <v>15214</v>
      </c>
    </row>
    <row r="823" spans="1:9" x14ac:dyDescent="0.25">
      <c r="A823" s="16">
        <v>42923</v>
      </c>
      <c r="B823" s="273" t="s">
        <v>20664</v>
      </c>
      <c r="C823">
        <v>118977</v>
      </c>
      <c r="D823" s="236" t="s">
        <v>15577</v>
      </c>
      <c r="E823" s="15">
        <v>602.4</v>
      </c>
      <c r="F823" s="274">
        <v>42923</v>
      </c>
      <c r="G823" s="15">
        <v>602.4</v>
      </c>
      <c r="H823" s="15">
        <f>Tabla1[[#This Row],[Importe]]-Tabla1[[#This Row],[Pagado]]</f>
        <v>0</v>
      </c>
      <c r="I823" s="275" t="s">
        <v>15214</v>
      </c>
    </row>
    <row r="824" spans="1:9" x14ac:dyDescent="0.25">
      <c r="A824" s="16">
        <v>42923</v>
      </c>
      <c r="B824" s="273" t="s">
        <v>20665</v>
      </c>
      <c r="C824">
        <v>118978</v>
      </c>
      <c r="D824" s="236" t="s">
        <v>15336</v>
      </c>
      <c r="E824" s="15">
        <v>1674.84</v>
      </c>
      <c r="F824" s="274">
        <v>42923</v>
      </c>
      <c r="G824" s="15">
        <v>1674.84</v>
      </c>
      <c r="H824" s="15">
        <f>Tabla1[[#This Row],[Importe]]-Tabla1[[#This Row],[Pagado]]</f>
        <v>0</v>
      </c>
      <c r="I824" s="275" t="s">
        <v>15214</v>
      </c>
    </row>
    <row r="825" spans="1:9" ht="15.75" x14ac:dyDescent="0.25">
      <c r="A825" s="16">
        <v>42923</v>
      </c>
      <c r="B825" s="273" t="s">
        <v>20666</v>
      </c>
      <c r="C825">
        <v>118979</v>
      </c>
      <c r="D825" s="248" t="s">
        <v>95</v>
      </c>
      <c r="E825" s="15">
        <v>0</v>
      </c>
      <c r="F825" s="277" t="s">
        <v>95</v>
      </c>
      <c r="G825" s="15">
        <v>0</v>
      </c>
      <c r="H825" s="15">
        <f>Tabla1[[#This Row],[Importe]]-Tabla1[[#This Row],[Pagado]]</f>
        <v>0</v>
      </c>
      <c r="I825" s="275" t="s">
        <v>95</v>
      </c>
    </row>
    <row r="826" spans="1:9" x14ac:dyDescent="0.25">
      <c r="A826" s="16">
        <v>42923</v>
      </c>
      <c r="B826" s="273" t="s">
        <v>20667</v>
      </c>
      <c r="C826">
        <v>118980</v>
      </c>
      <c r="D826" s="236" t="s">
        <v>15858</v>
      </c>
      <c r="E826" s="15">
        <v>2233.6799999999998</v>
      </c>
      <c r="F826" s="274">
        <v>42923</v>
      </c>
      <c r="G826" s="15">
        <v>2233.6799999999998</v>
      </c>
      <c r="H826" s="15">
        <f>Tabla1[[#This Row],[Importe]]-Tabla1[[#This Row],[Pagado]]</f>
        <v>0</v>
      </c>
      <c r="I826" s="275" t="s">
        <v>15214</v>
      </c>
    </row>
    <row r="827" spans="1:9" x14ac:dyDescent="0.25">
      <c r="A827" s="16">
        <v>42923</v>
      </c>
      <c r="B827" s="273" t="s">
        <v>20668</v>
      </c>
      <c r="C827">
        <v>118981</v>
      </c>
      <c r="D827" s="236" t="s">
        <v>15340</v>
      </c>
      <c r="E827" s="15">
        <v>2997</v>
      </c>
      <c r="F827" s="274">
        <v>42923</v>
      </c>
      <c r="G827" s="15">
        <v>2997</v>
      </c>
      <c r="H827" s="15">
        <f>Tabla1[[#This Row],[Importe]]-Tabla1[[#This Row],[Pagado]]</f>
        <v>0</v>
      </c>
      <c r="I827" s="275" t="s">
        <v>15214</v>
      </c>
    </row>
    <row r="828" spans="1:9" x14ac:dyDescent="0.25">
      <c r="A828" s="16">
        <v>42923</v>
      </c>
      <c r="B828" s="273" t="s">
        <v>20669</v>
      </c>
      <c r="C828">
        <v>118982</v>
      </c>
      <c r="D828" s="236" t="s">
        <v>15344</v>
      </c>
      <c r="E828" s="15">
        <v>2443.3000000000002</v>
      </c>
      <c r="F828" s="274">
        <v>42923</v>
      </c>
      <c r="G828" s="15">
        <v>2443.3000000000002</v>
      </c>
      <c r="H828" s="15">
        <f>Tabla1[[#This Row],[Importe]]-Tabla1[[#This Row],[Pagado]]</f>
        <v>0</v>
      </c>
      <c r="I828" s="275" t="s">
        <v>15214</v>
      </c>
    </row>
    <row r="829" spans="1:9" x14ac:dyDescent="0.25">
      <c r="A829" s="16">
        <v>42923</v>
      </c>
      <c r="B829" s="273" t="s">
        <v>20670</v>
      </c>
      <c r="C829">
        <v>118983</v>
      </c>
      <c r="D829" s="236" t="s">
        <v>15526</v>
      </c>
      <c r="E829" s="15">
        <v>4059.8</v>
      </c>
      <c r="F829" s="274">
        <v>42923</v>
      </c>
      <c r="G829" s="15">
        <v>4059.8</v>
      </c>
      <c r="H829" s="15">
        <f>Tabla1[[#This Row],[Importe]]-Tabla1[[#This Row],[Pagado]]</f>
        <v>0</v>
      </c>
      <c r="I829" s="275" t="s">
        <v>15214</v>
      </c>
    </row>
    <row r="830" spans="1:9" x14ac:dyDescent="0.25">
      <c r="A830" s="16">
        <v>42923</v>
      </c>
      <c r="B830" s="273" t="s">
        <v>20671</v>
      </c>
      <c r="C830">
        <v>118984</v>
      </c>
      <c r="D830" s="236" t="s">
        <v>15526</v>
      </c>
      <c r="E830" s="15">
        <v>4436.1000000000004</v>
      </c>
      <c r="F830" s="274">
        <v>42923</v>
      </c>
      <c r="G830" s="15">
        <v>4436.1000000000004</v>
      </c>
      <c r="H830" s="15">
        <f>Tabla1[[#This Row],[Importe]]-Tabla1[[#This Row],[Pagado]]</f>
        <v>0</v>
      </c>
      <c r="I830" s="275" t="s">
        <v>15214</v>
      </c>
    </row>
    <row r="831" spans="1:9" x14ac:dyDescent="0.25">
      <c r="A831" s="16">
        <v>42923</v>
      </c>
      <c r="B831" s="273" t="s">
        <v>20672</v>
      </c>
      <c r="C831">
        <v>118985</v>
      </c>
      <c r="D831" s="236" t="s">
        <v>15526</v>
      </c>
      <c r="E831" s="15">
        <v>1263.3</v>
      </c>
      <c r="F831" s="274">
        <v>42923</v>
      </c>
      <c r="G831" s="15">
        <v>1263.3</v>
      </c>
      <c r="H831" s="15">
        <f>Tabla1[[#This Row],[Importe]]-Tabla1[[#This Row],[Pagado]]</f>
        <v>0</v>
      </c>
      <c r="I831" s="275" t="s">
        <v>15214</v>
      </c>
    </row>
    <row r="832" spans="1:9" x14ac:dyDescent="0.25">
      <c r="A832" s="16">
        <v>42923</v>
      </c>
      <c r="B832" s="273" t="s">
        <v>20673</v>
      </c>
      <c r="C832">
        <v>118986</v>
      </c>
      <c r="D832" s="236" t="s">
        <v>15396</v>
      </c>
      <c r="E832" s="15">
        <v>6136.6</v>
      </c>
      <c r="F832" s="274">
        <v>42923</v>
      </c>
      <c r="G832" s="15">
        <v>6136.6</v>
      </c>
      <c r="H832" s="15">
        <f>Tabla1[[#This Row],[Importe]]-Tabla1[[#This Row],[Pagado]]</f>
        <v>0</v>
      </c>
      <c r="I832" s="275" t="s">
        <v>15214</v>
      </c>
    </row>
    <row r="833" spans="1:9" x14ac:dyDescent="0.25">
      <c r="A833" s="16">
        <v>42923</v>
      </c>
      <c r="B833" s="273" t="s">
        <v>20674</v>
      </c>
      <c r="C833">
        <v>118987</v>
      </c>
      <c r="D833" s="236" t="s">
        <v>15280</v>
      </c>
      <c r="E833" s="15">
        <v>8095.6</v>
      </c>
      <c r="F833" s="274">
        <v>42923</v>
      </c>
      <c r="G833" s="15">
        <v>8095.6</v>
      </c>
      <c r="H833" s="15">
        <f>Tabla1[[#This Row],[Importe]]-Tabla1[[#This Row],[Pagado]]</f>
        <v>0</v>
      </c>
      <c r="I833" s="275" t="s">
        <v>15214</v>
      </c>
    </row>
    <row r="834" spans="1:9" x14ac:dyDescent="0.25">
      <c r="A834" s="16">
        <v>42923</v>
      </c>
      <c r="B834" s="273" t="s">
        <v>20675</v>
      </c>
      <c r="C834">
        <v>118988</v>
      </c>
      <c r="D834" s="236" t="s">
        <v>15350</v>
      </c>
      <c r="E834" s="15">
        <v>1785</v>
      </c>
      <c r="F834" s="274">
        <v>42923</v>
      </c>
      <c r="G834" s="15">
        <v>1785</v>
      </c>
      <c r="H834" s="15">
        <f>Tabla1[[#This Row],[Importe]]-Tabla1[[#This Row],[Pagado]]</f>
        <v>0</v>
      </c>
      <c r="I834" s="275" t="s">
        <v>15214</v>
      </c>
    </row>
    <row r="835" spans="1:9" x14ac:dyDescent="0.25">
      <c r="A835" s="16">
        <v>42923</v>
      </c>
      <c r="B835" s="273" t="s">
        <v>20676</v>
      </c>
      <c r="C835">
        <v>118989</v>
      </c>
      <c r="D835" s="236" t="s">
        <v>15358</v>
      </c>
      <c r="E835" s="15">
        <v>1685</v>
      </c>
      <c r="F835" s="274">
        <v>42923</v>
      </c>
      <c r="G835" s="15">
        <v>1685</v>
      </c>
      <c r="H835" s="15">
        <f>Tabla1[[#This Row],[Importe]]-Tabla1[[#This Row],[Pagado]]</f>
        <v>0</v>
      </c>
      <c r="I835" s="275" t="s">
        <v>15214</v>
      </c>
    </row>
    <row r="836" spans="1:9" x14ac:dyDescent="0.25">
      <c r="A836" s="16">
        <v>42923</v>
      </c>
      <c r="B836" s="273" t="s">
        <v>20677</v>
      </c>
      <c r="C836">
        <v>118990</v>
      </c>
      <c r="D836" s="236" t="s">
        <v>15378</v>
      </c>
      <c r="E836" s="15">
        <v>878.2</v>
      </c>
      <c r="F836" s="274">
        <v>42923</v>
      </c>
      <c r="G836" s="15">
        <v>878.2</v>
      </c>
      <c r="H836" s="15">
        <f>Tabla1[[#This Row],[Importe]]-Tabla1[[#This Row],[Pagado]]</f>
        <v>0</v>
      </c>
      <c r="I836" s="275" t="s">
        <v>15214</v>
      </c>
    </row>
    <row r="837" spans="1:9" x14ac:dyDescent="0.25">
      <c r="A837" s="16">
        <v>42923</v>
      </c>
      <c r="B837" s="273" t="s">
        <v>20678</v>
      </c>
      <c r="C837">
        <v>118991</v>
      </c>
      <c r="D837" s="236" t="s">
        <v>15358</v>
      </c>
      <c r="E837" s="15">
        <v>2735</v>
      </c>
      <c r="F837" s="274">
        <v>42923</v>
      </c>
      <c r="G837" s="15">
        <v>2735</v>
      </c>
      <c r="H837" s="15">
        <f>Tabla1[[#This Row],[Importe]]-Tabla1[[#This Row],[Pagado]]</f>
        <v>0</v>
      </c>
      <c r="I837" s="275" t="s">
        <v>15214</v>
      </c>
    </row>
    <row r="838" spans="1:9" x14ac:dyDescent="0.25">
      <c r="A838" s="16">
        <v>42923</v>
      </c>
      <c r="B838" s="273" t="s">
        <v>20679</v>
      </c>
      <c r="C838">
        <v>118992</v>
      </c>
      <c r="D838" s="236" t="s">
        <v>15336</v>
      </c>
      <c r="E838" s="15">
        <v>6795</v>
      </c>
      <c r="F838" s="274">
        <v>42923</v>
      </c>
      <c r="G838" s="15">
        <v>6795</v>
      </c>
      <c r="H838" s="15">
        <f>Tabla1[[#This Row],[Importe]]-Tabla1[[#This Row],[Pagado]]</f>
        <v>0</v>
      </c>
      <c r="I838" s="275" t="s">
        <v>15214</v>
      </c>
    </row>
    <row r="839" spans="1:9" x14ac:dyDescent="0.25">
      <c r="A839" s="16">
        <v>42923</v>
      </c>
      <c r="B839" s="273" t="s">
        <v>20680</v>
      </c>
      <c r="C839">
        <v>118993</v>
      </c>
      <c r="D839" s="236" t="s">
        <v>15342</v>
      </c>
      <c r="E839" s="15">
        <v>638.4</v>
      </c>
      <c r="F839" s="274">
        <v>42923</v>
      </c>
      <c r="G839" s="15">
        <v>638.4</v>
      </c>
      <c r="H839" s="15">
        <f>Tabla1[[#This Row],[Importe]]-Tabla1[[#This Row],[Pagado]]</f>
        <v>0</v>
      </c>
      <c r="I839" s="275" t="s">
        <v>15214</v>
      </c>
    </row>
    <row r="840" spans="1:9" x14ac:dyDescent="0.25">
      <c r="A840" s="16">
        <v>42923</v>
      </c>
      <c r="B840" s="273" t="s">
        <v>20681</v>
      </c>
      <c r="C840">
        <v>118994</v>
      </c>
      <c r="D840" s="236" t="s">
        <v>15757</v>
      </c>
      <c r="E840" s="15">
        <v>4814.3999999999996</v>
      </c>
      <c r="F840" s="274">
        <v>42923</v>
      </c>
      <c r="G840" s="15">
        <v>4814.3999999999996</v>
      </c>
      <c r="H840" s="15">
        <f>Tabla1[[#This Row],[Importe]]-Tabla1[[#This Row],[Pagado]]</f>
        <v>0</v>
      </c>
      <c r="I840" s="275" t="s">
        <v>15214</v>
      </c>
    </row>
    <row r="841" spans="1:9" x14ac:dyDescent="0.25">
      <c r="A841" s="16">
        <v>42923</v>
      </c>
      <c r="B841" s="273" t="s">
        <v>20682</v>
      </c>
      <c r="C841">
        <v>118995</v>
      </c>
      <c r="D841" s="236" t="s">
        <v>15530</v>
      </c>
      <c r="E841" s="15">
        <v>1398.8</v>
      </c>
      <c r="F841" s="274">
        <v>42923</v>
      </c>
      <c r="G841" s="15">
        <v>1398.8</v>
      </c>
      <c r="H841" s="15">
        <f>Tabla1[[#This Row],[Importe]]-Tabla1[[#This Row],[Pagado]]</f>
        <v>0</v>
      </c>
      <c r="I841" s="275" t="s">
        <v>15214</v>
      </c>
    </row>
    <row r="842" spans="1:9" x14ac:dyDescent="0.25">
      <c r="A842" s="16">
        <v>42923</v>
      </c>
      <c r="B842" s="273" t="s">
        <v>20683</v>
      </c>
      <c r="C842">
        <v>118996</v>
      </c>
      <c r="D842" s="236" t="s">
        <v>15861</v>
      </c>
      <c r="E842" s="15">
        <v>3120.2</v>
      </c>
      <c r="F842" s="274">
        <v>42923</v>
      </c>
      <c r="G842" s="15">
        <v>3120.2</v>
      </c>
      <c r="H842" s="15">
        <f>Tabla1[[#This Row],[Importe]]-Tabla1[[#This Row],[Pagado]]</f>
        <v>0</v>
      </c>
      <c r="I842" s="275" t="s">
        <v>15214</v>
      </c>
    </row>
    <row r="843" spans="1:9" x14ac:dyDescent="0.25">
      <c r="A843" s="16">
        <v>42923</v>
      </c>
      <c r="B843" s="273" t="s">
        <v>20684</v>
      </c>
      <c r="C843">
        <v>118997</v>
      </c>
      <c r="D843" s="236" t="s">
        <v>15912</v>
      </c>
      <c r="E843" s="15">
        <v>2717.2</v>
      </c>
      <c r="F843" s="274">
        <v>42923</v>
      </c>
      <c r="G843" s="15">
        <v>2717.2</v>
      </c>
      <c r="H843" s="15">
        <f>Tabla1[[#This Row],[Importe]]-Tabla1[[#This Row],[Pagado]]</f>
        <v>0</v>
      </c>
      <c r="I843" s="275" t="s">
        <v>15214</v>
      </c>
    </row>
    <row r="844" spans="1:9" ht="15.75" x14ac:dyDescent="0.25">
      <c r="A844" s="16">
        <v>42923</v>
      </c>
      <c r="B844" s="273" t="s">
        <v>20685</v>
      </c>
      <c r="C844">
        <v>118998</v>
      </c>
      <c r="D844" s="248" t="s">
        <v>95</v>
      </c>
      <c r="E844" s="15">
        <v>0</v>
      </c>
      <c r="F844" s="277" t="s">
        <v>95</v>
      </c>
      <c r="G844" s="15">
        <v>0</v>
      </c>
      <c r="H844" s="15">
        <f>Tabla1[[#This Row],[Importe]]-Tabla1[[#This Row],[Pagado]]</f>
        <v>0</v>
      </c>
      <c r="I844" s="275" t="s">
        <v>95</v>
      </c>
    </row>
    <row r="845" spans="1:9" x14ac:dyDescent="0.25">
      <c r="A845" s="16">
        <v>42923</v>
      </c>
      <c r="B845" s="273" t="s">
        <v>20686</v>
      </c>
      <c r="C845">
        <v>118999</v>
      </c>
      <c r="D845" s="236" t="s">
        <v>15875</v>
      </c>
      <c r="E845" s="15">
        <v>3491.6</v>
      </c>
      <c r="F845" s="274">
        <v>42923</v>
      </c>
      <c r="G845" s="15">
        <v>3491.6</v>
      </c>
      <c r="H845" s="15">
        <f>Tabla1[[#This Row],[Importe]]-Tabla1[[#This Row],[Pagado]]</f>
        <v>0</v>
      </c>
      <c r="I845" s="275" t="s">
        <v>15214</v>
      </c>
    </row>
    <row r="846" spans="1:9" x14ac:dyDescent="0.25">
      <c r="A846" s="16">
        <v>42923</v>
      </c>
      <c r="B846" s="273" t="s">
        <v>20687</v>
      </c>
      <c r="C846">
        <v>119000</v>
      </c>
      <c r="D846" s="236" t="s">
        <v>17722</v>
      </c>
      <c r="E846" s="15">
        <v>3227.7</v>
      </c>
      <c r="F846" s="274">
        <v>42923</v>
      </c>
      <c r="G846" s="15">
        <v>3227.7</v>
      </c>
      <c r="H846" s="15">
        <f>Tabla1[[#This Row],[Importe]]-Tabla1[[#This Row],[Pagado]]</f>
        <v>0</v>
      </c>
      <c r="I846" s="275" t="s">
        <v>15214</v>
      </c>
    </row>
    <row r="847" spans="1:9" x14ac:dyDescent="0.25">
      <c r="A847" s="16">
        <v>42923</v>
      </c>
      <c r="B847" s="273" t="s">
        <v>20688</v>
      </c>
      <c r="C847">
        <v>119001</v>
      </c>
      <c r="D847" s="236" t="s">
        <v>15223</v>
      </c>
      <c r="E847" s="15">
        <v>48137.4</v>
      </c>
      <c r="F847" s="274">
        <v>42960</v>
      </c>
      <c r="G847" s="15">
        <v>48137.4</v>
      </c>
      <c r="H847" s="15">
        <f>Tabla1[[#This Row],[Importe]]-Tabla1[[#This Row],[Pagado]]</f>
        <v>0</v>
      </c>
      <c r="I847" s="275" t="s">
        <v>15214</v>
      </c>
    </row>
    <row r="848" spans="1:9" x14ac:dyDescent="0.25">
      <c r="A848" s="16">
        <v>42923</v>
      </c>
      <c r="B848" s="273" t="s">
        <v>20689</v>
      </c>
      <c r="C848">
        <v>119002</v>
      </c>
      <c r="D848" s="236" t="s">
        <v>15261</v>
      </c>
      <c r="E848" s="15">
        <v>28575.7</v>
      </c>
      <c r="F848" s="274">
        <v>42923</v>
      </c>
      <c r="G848" s="15">
        <v>28575.7</v>
      </c>
      <c r="H848" s="15">
        <f>Tabla1[[#This Row],[Importe]]-Tabla1[[#This Row],[Pagado]]</f>
        <v>0</v>
      </c>
      <c r="I848" s="275" t="s">
        <v>15214</v>
      </c>
    </row>
    <row r="849" spans="1:9" x14ac:dyDescent="0.25">
      <c r="A849" s="16">
        <v>42923</v>
      </c>
      <c r="B849" s="273" t="s">
        <v>20690</v>
      </c>
      <c r="C849">
        <v>119003</v>
      </c>
      <c r="D849" s="236" t="s">
        <v>17057</v>
      </c>
      <c r="E849" s="15">
        <v>649.20000000000005</v>
      </c>
      <c r="F849" s="274">
        <v>42923</v>
      </c>
      <c r="G849" s="15">
        <v>649.20000000000005</v>
      </c>
      <c r="H849" s="15">
        <f>Tabla1[[#This Row],[Importe]]-Tabla1[[#This Row],[Pagado]]</f>
        <v>0</v>
      </c>
      <c r="I849" s="275" t="s">
        <v>15214</v>
      </c>
    </row>
    <row r="850" spans="1:9" x14ac:dyDescent="0.25">
      <c r="A850" s="16">
        <v>42923</v>
      </c>
      <c r="B850" s="273" t="s">
        <v>20691</v>
      </c>
      <c r="C850">
        <v>119004</v>
      </c>
      <c r="D850" s="236" t="s">
        <v>15555</v>
      </c>
      <c r="E850" s="15">
        <v>41700.699999999997</v>
      </c>
      <c r="F850" s="274">
        <v>42928</v>
      </c>
      <c r="G850" s="15">
        <v>41700.699999999997</v>
      </c>
      <c r="H850" s="15">
        <f>Tabla1[[#This Row],[Importe]]-Tabla1[[#This Row],[Pagado]]</f>
        <v>0</v>
      </c>
      <c r="I850" s="275" t="s">
        <v>15214</v>
      </c>
    </row>
    <row r="851" spans="1:9" x14ac:dyDescent="0.25">
      <c r="A851" s="16">
        <v>42923</v>
      </c>
      <c r="B851" s="273" t="s">
        <v>20692</v>
      </c>
      <c r="C851">
        <v>119005</v>
      </c>
      <c r="D851" s="236" t="s">
        <v>16126</v>
      </c>
      <c r="E851" s="15">
        <v>5900.1</v>
      </c>
      <c r="F851" s="274">
        <v>42923</v>
      </c>
      <c r="G851" s="15">
        <v>5900.1</v>
      </c>
      <c r="H851" s="15">
        <f>Tabla1[[#This Row],[Importe]]-Tabla1[[#This Row],[Pagado]]</f>
        <v>0</v>
      </c>
      <c r="I851" s="275" t="s">
        <v>15214</v>
      </c>
    </row>
    <row r="852" spans="1:9" x14ac:dyDescent="0.25">
      <c r="A852" s="16">
        <v>42923</v>
      </c>
      <c r="B852" s="273" t="s">
        <v>20693</v>
      </c>
      <c r="C852">
        <v>119006</v>
      </c>
      <c r="D852" s="236" t="s">
        <v>15272</v>
      </c>
      <c r="E852" s="15">
        <v>40</v>
      </c>
      <c r="F852" s="274">
        <v>42923</v>
      </c>
      <c r="G852" s="15">
        <v>40</v>
      </c>
      <c r="H852" s="15">
        <f>Tabla1[[#This Row],[Importe]]-Tabla1[[#This Row],[Pagado]]</f>
        <v>0</v>
      </c>
      <c r="I852" s="275" t="s">
        <v>15214</v>
      </c>
    </row>
    <row r="853" spans="1:9" x14ac:dyDescent="0.25">
      <c r="A853" s="16">
        <v>42923</v>
      </c>
      <c r="B853" s="273" t="s">
        <v>20694</v>
      </c>
      <c r="C853">
        <v>119007</v>
      </c>
      <c r="D853" s="236" t="s">
        <v>16108</v>
      </c>
      <c r="E853" s="15">
        <v>4908.3999999999996</v>
      </c>
      <c r="F853" s="274">
        <v>42923</v>
      </c>
      <c r="G853" s="15">
        <v>4908.3999999999996</v>
      </c>
      <c r="H853" s="15">
        <f>Tabla1[[#This Row],[Importe]]-Tabla1[[#This Row],[Pagado]]</f>
        <v>0</v>
      </c>
      <c r="I853" s="275" t="s">
        <v>15214</v>
      </c>
    </row>
    <row r="854" spans="1:9" x14ac:dyDescent="0.25">
      <c r="A854" s="16">
        <v>42923</v>
      </c>
      <c r="B854" s="273" t="s">
        <v>20695</v>
      </c>
      <c r="C854">
        <v>119008</v>
      </c>
      <c r="D854" s="236" t="s">
        <v>15539</v>
      </c>
      <c r="E854" s="15">
        <v>16170</v>
      </c>
      <c r="F854" s="274">
        <v>42928</v>
      </c>
      <c r="G854" s="15">
        <v>16170</v>
      </c>
      <c r="H854" s="15">
        <f>Tabla1[[#This Row],[Importe]]-Tabla1[[#This Row],[Pagado]]</f>
        <v>0</v>
      </c>
      <c r="I854" s="275" t="s">
        <v>15214</v>
      </c>
    </row>
    <row r="855" spans="1:9" x14ac:dyDescent="0.25">
      <c r="A855" s="16">
        <v>42923</v>
      </c>
      <c r="B855" s="273" t="s">
        <v>20696</v>
      </c>
      <c r="C855">
        <v>119009</v>
      </c>
      <c r="D855" s="236" t="s">
        <v>16040</v>
      </c>
      <c r="E855" s="15">
        <v>6582.6</v>
      </c>
      <c r="F855" s="274">
        <v>42930</v>
      </c>
      <c r="G855" s="15">
        <v>6582.6</v>
      </c>
      <c r="H855" s="15">
        <f>Tabla1[[#This Row],[Importe]]-Tabla1[[#This Row],[Pagado]]</f>
        <v>0</v>
      </c>
      <c r="I855" s="275" t="s">
        <v>15214</v>
      </c>
    </row>
    <row r="856" spans="1:9" x14ac:dyDescent="0.25">
      <c r="A856" s="16">
        <v>42923</v>
      </c>
      <c r="B856" s="273" t="s">
        <v>20697</v>
      </c>
      <c r="C856">
        <v>119010</v>
      </c>
      <c r="D856" s="236" t="s">
        <v>15315</v>
      </c>
      <c r="E856" s="15">
        <v>19294</v>
      </c>
      <c r="F856" s="274">
        <v>42928</v>
      </c>
      <c r="G856" s="15">
        <v>19294</v>
      </c>
      <c r="H856" s="15">
        <f>Tabla1[[#This Row],[Importe]]-Tabla1[[#This Row],[Pagado]]</f>
        <v>0</v>
      </c>
      <c r="I856" s="275" t="s">
        <v>15214</v>
      </c>
    </row>
    <row r="857" spans="1:9" x14ac:dyDescent="0.25">
      <c r="A857" s="16">
        <v>42923</v>
      </c>
      <c r="B857" s="273" t="s">
        <v>20698</v>
      </c>
      <c r="C857">
        <v>119011</v>
      </c>
      <c r="D857" s="236" t="s">
        <v>15559</v>
      </c>
      <c r="E857" s="15">
        <v>1632</v>
      </c>
      <c r="F857" s="274">
        <v>42928</v>
      </c>
      <c r="G857" s="15">
        <v>1632</v>
      </c>
      <c r="H857" s="15">
        <f>Tabla1[[#This Row],[Importe]]-Tabla1[[#This Row],[Pagado]]</f>
        <v>0</v>
      </c>
      <c r="I857" s="275" t="s">
        <v>15214</v>
      </c>
    </row>
    <row r="858" spans="1:9" x14ac:dyDescent="0.25">
      <c r="A858" s="16">
        <v>42923</v>
      </c>
      <c r="B858" s="273" t="s">
        <v>20699</v>
      </c>
      <c r="C858">
        <v>119012</v>
      </c>
      <c r="D858" s="236" t="s">
        <v>16139</v>
      </c>
      <c r="E858" s="15">
        <v>3185.2</v>
      </c>
      <c r="F858" s="274">
        <v>42928</v>
      </c>
      <c r="G858" s="15">
        <v>3185.2</v>
      </c>
      <c r="H858" s="15">
        <f>Tabla1[[#This Row],[Importe]]-Tabla1[[#This Row],[Pagado]]</f>
        <v>0</v>
      </c>
      <c r="I858" s="275" t="s">
        <v>15214</v>
      </c>
    </row>
    <row r="859" spans="1:9" x14ac:dyDescent="0.25">
      <c r="A859" s="16">
        <v>42923</v>
      </c>
      <c r="B859" s="273" t="s">
        <v>20700</v>
      </c>
      <c r="C859">
        <v>119013</v>
      </c>
      <c r="D859" s="236" t="s">
        <v>15315</v>
      </c>
      <c r="E859" s="15">
        <v>8104.2</v>
      </c>
      <c r="F859" s="274">
        <v>42928</v>
      </c>
      <c r="G859" s="15">
        <v>8104.2</v>
      </c>
      <c r="H859" s="15">
        <f>Tabla1[[#This Row],[Importe]]-Tabla1[[#This Row],[Pagado]]</f>
        <v>0</v>
      </c>
      <c r="I859" s="275" t="s">
        <v>15214</v>
      </c>
    </row>
    <row r="860" spans="1:9" x14ac:dyDescent="0.25">
      <c r="A860" s="16">
        <v>42923</v>
      </c>
      <c r="B860" s="273" t="s">
        <v>20701</v>
      </c>
      <c r="C860">
        <v>119014</v>
      </c>
      <c r="D860" s="236" t="s">
        <v>15537</v>
      </c>
      <c r="E860" s="15">
        <v>23266.2</v>
      </c>
      <c r="F860" s="274">
        <v>42928</v>
      </c>
      <c r="G860" s="15">
        <v>23266.2</v>
      </c>
      <c r="H860" s="15">
        <f>Tabla1[[#This Row],[Importe]]-Tabla1[[#This Row],[Pagado]]</f>
        <v>0</v>
      </c>
      <c r="I860" s="275" t="s">
        <v>15214</v>
      </c>
    </row>
    <row r="861" spans="1:9" x14ac:dyDescent="0.25">
      <c r="A861" s="16">
        <v>42923</v>
      </c>
      <c r="B861" s="273" t="s">
        <v>20702</v>
      </c>
      <c r="C861">
        <v>119015</v>
      </c>
      <c r="D861" s="236" t="s">
        <v>15284</v>
      </c>
      <c r="E861" s="15">
        <v>1556.9</v>
      </c>
      <c r="F861" s="274">
        <v>42923</v>
      </c>
      <c r="G861" s="15">
        <v>1556.9</v>
      </c>
      <c r="H861" s="15">
        <f>Tabla1[[#This Row],[Importe]]-Tabla1[[#This Row],[Pagado]]</f>
        <v>0</v>
      </c>
      <c r="I861" s="275" t="s">
        <v>15214</v>
      </c>
    </row>
    <row r="862" spans="1:9" x14ac:dyDescent="0.25">
      <c r="A862" s="16">
        <v>42923</v>
      </c>
      <c r="B862" s="273" t="s">
        <v>20703</v>
      </c>
      <c r="C862">
        <v>119016</v>
      </c>
      <c r="D862" s="236" t="s">
        <v>15398</v>
      </c>
      <c r="E862" s="15">
        <v>400.4</v>
      </c>
      <c r="F862" s="274">
        <v>42923</v>
      </c>
      <c r="G862" s="15">
        <v>400.4</v>
      </c>
      <c r="H862" s="15">
        <f>Tabla1[[#This Row],[Importe]]-Tabla1[[#This Row],[Pagado]]</f>
        <v>0</v>
      </c>
      <c r="I862" s="275" t="s">
        <v>15214</v>
      </c>
    </row>
    <row r="863" spans="1:9" x14ac:dyDescent="0.25">
      <c r="A863" s="16">
        <v>42923</v>
      </c>
      <c r="B863" s="273" t="s">
        <v>20704</v>
      </c>
      <c r="C863">
        <v>119017</v>
      </c>
      <c r="D863" s="236" t="s">
        <v>15398</v>
      </c>
      <c r="E863" s="15">
        <v>3682</v>
      </c>
      <c r="F863" s="274">
        <v>42923</v>
      </c>
      <c r="G863" s="15">
        <v>3682</v>
      </c>
      <c r="H863" s="15">
        <f>Tabla1[[#This Row],[Importe]]-Tabla1[[#This Row],[Pagado]]</f>
        <v>0</v>
      </c>
      <c r="I863" s="275" t="s">
        <v>15214</v>
      </c>
    </row>
    <row r="864" spans="1:9" x14ac:dyDescent="0.25">
      <c r="A864" s="16">
        <v>42923</v>
      </c>
      <c r="B864" s="273" t="s">
        <v>20705</v>
      </c>
      <c r="C864">
        <v>119018</v>
      </c>
      <c r="D864" s="236" t="s">
        <v>15315</v>
      </c>
      <c r="E864" s="15">
        <v>2778.3</v>
      </c>
      <c r="F864" s="274">
        <v>42928</v>
      </c>
      <c r="G864" s="15">
        <v>2778.3</v>
      </c>
      <c r="H864" s="15">
        <f>Tabla1[[#This Row],[Importe]]-Tabla1[[#This Row],[Pagado]]</f>
        <v>0</v>
      </c>
      <c r="I864" s="275" t="s">
        <v>15214</v>
      </c>
    </row>
    <row r="865" spans="1:9" x14ac:dyDescent="0.25">
      <c r="A865" s="16">
        <v>42923</v>
      </c>
      <c r="B865" s="273" t="s">
        <v>20706</v>
      </c>
      <c r="C865">
        <v>119019</v>
      </c>
      <c r="D865" s="236" t="s">
        <v>19768</v>
      </c>
      <c r="E865" s="15">
        <v>1530</v>
      </c>
      <c r="F865" s="274">
        <v>42923</v>
      </c>
      <c r="G865" s="15">
        <v>1530</v>
      </c>
      <c r="H865" s="15">
        <f>Tabla1[[#This Row],[Importe]]-Tabla1[[#This Row],[Pagado]]</f>
        <v>0</v>
      </c>
      <c r="I865" s="275" t="s">
        <v>15214</v>
      </c>
    </row>
    <row r="866" spans="1:9" x14ac:dyDescent="0.25">
      <c r="A866" s="16">
        <v>42923</v>
      </c>
      <c r="B866" s="273" t="s">
        <v>20707</v>
      </c>
      <c r="C866">
        <v>119020</v>
      </c>
      <c r="D866" s="236" t="s">
        <v>16048</v>
      </c>
      <c r="E866" s="15">
        <v>1189.3</v>
      </c>
      <c r="F866" s="274">
        <v>42923</v>
      </c>
      <c r="G866" s="15">
        <v>1189.3</v>
      </c>
      <c r="H866" s="15">
        <f>Tabla1[[#This Row],[Importe]]-Tabla1[[#This Row],[Pagado]]</f>
        <v>0</v>
      </c>
      <c r="I866" s="275" t="s">
        <v>15214</v>
      </c>
    </row>
    <row r="867" spans="1:9" ht="30" x14ac:dyDescent="0.25">
      <c r="A867" s="16">
        <v>42923</v>
      </c>
      <c r="B867" s="273" t="s">
        <v>20708</v>
      </c>
      <c r="C867">
        <v>119021</v>
      </c>
      <c r="D867" s="236" t="s">
        <v>15557</v>
      </c>
      <c r="E867" s="15">
        <v>26817</v>
      </c>
      <c r="F867" s="274" t="s">
        <v>20709</v>
      </c>
      <c r="G867" s="241">
        <f>15000+11817</f>
        <v>26817</v>
      </c>
      <c r="H867" s="241">
        <f>Tabla1[[#This Row],[Importe]]-Tabla1[[#This Row],[Pagado]]</f>
        <v>0</v>
      </c>
      <c r="I867" s="275" t="s">
        <v>15214</v>
      </c>
    </row>
    <row r="868" spans="1:9" x14ac:dyDescent="0.25">
      <c r="A868" s="16">
        <v>42923</v>
      </c>
      <c r="B868" s="273" t="s">
        <v>20710</v>
      </c>
      <c r="C868">
        <v>119022</v>
      </c>
      <c r="D868" s="236" t="s">
        <v>15699</v>
      </c>
      <c r="E868" s="15">
        <v>7363.4</v>
      </c>
      <c r="F868" s="274">
        <v>42935</v>
      </c>
      <c r="G868" s="15">
        <v>7363.4</v>
      </c>
      <c r="H868" s="15">
        <f>Tabla1[[#This Row],[Importe]]-Tabla1[[#This Row],[Pagado]]</f>
        <v>0</v>
      </c>
      <c r="I868" s="275" t="s">
        <v>15214</v>
      </c>
    </row>
    <row r="869" spans="1:9" x14ac:dyDescent="0.25">
      <c r="A869" s="16">
        <v>42923</v>
      </c>
      <c r="B869" s="273" t="s">
        <v>20711</v>
      </c>
      <c r="C869">
        <v>119023</v>
      </c>
      <c r="D869" s="236" t="s">
        <v>15590</v>
      </c>
      <c r="E869" s="15">
        <v>52604.800000000003</v>
      </c>
      <c r="F869" s="274">
        <v>42928</v>
      </c>
      <c r="G869" s="15">
        <v>52604.800000000003</v>
      </c>
      <c r="H869" s="15">
        <f>Tabla1[[#This Row],[Importe]]-Tabla1[[#This Row],[Pagado]]</f>
        <v>0</v>
      </c>
      <c r="I869" s="275" t="s">
        <v>15214</v>
      </c>
    </row>
    <row r="870" spans="1:9" x14ac:dyDescent="0.25">
      <c r="A870" s="16">
        <v>42923</v>
      </c>
      <c r="B870" s="273" t="s">
        <v>20712</v>
      </c>
      <c r="C870">
        <v>119024</v>
      </c>
      <c r="D870" s="236" t="s">
        <v>15665</v>
      </c>
      <c r="E870" s="15">
        <v>382.8</v>
      </c>
      <c r="F870" s="274">
        <v>42923</v>
      </c>
      <c r="G870" s="15">
        <v>382.8</v>
      </c>
      <c r="H870" s="15">
        <f>Tabla1[[#This Row],[Importe]]-Tabla1[[#This Row],[Pagado]]</f>
        <v>0</v>
      </c>
      <c r="I870" s="275" t="s">
        <v>15214</v>
      </c>
    </row>
    <row r="871" spans="1:9" x14ac:dyDescent="0.25">
      <c r="A871" s="16">
        <v>42923</v>
      </c>
      <c r="B871" s="273" t="s">
        <v>20713</v>
      </c>
      <c r="C871">
        <v>119025</v>
      </c>
      <c r="D871" s="236" t="s">
        <v>15296</v>
      </c>
      <c r="E871" s="15">
        <v>21851.9</v>
      </c>
      <c r="F871" s="274">
        <v>42936</v>
      </c>
      <c r="G871" s="15">
        <v>21851.9</v>
      </c>
      <c r="H871" s="15">
        <f>Tabla1[[#This Row],[Importe]]-Tabla1[[#This Row],[Pagado]]</f>
        <v>0</v>
      </c>
      <c r="I871" s="275" t="s">
        <v>15214</v>
      </c>
    </row>
    <row r="872" spans="1:9" x14ac:dyDescent="0.25">
      <c r="A872" s="16">
        <v>42923</v>
      </c>
      <c r="B872" s="273" t="s">
        <v>20714</v>
      </c>
      <c r="C872">
        <v>119026</v>
      </c>
      <c r="D872" s="236" t="s">
        <v>15282</v>
      </c>
      <c r="E872" s="15">
        <v>2246.4</v>
      </c>
      <c r="F872" s="274">
        <v>42923</v>
      </c>
      <c r="G872" s="15">
        <v>2246.4</v>
      </c>
      <c r="H872" s="15">
        <f>Tabla1[[#This Row],[Importe]]-Tabla1[[#This Row],[Pagado]]</f>
        <v>0</v>
      </c>
      <c r="I872" s="275" t="s">
        <v>15214</v>
      </c>
    </row>
    <row r="873" spans="1:9" x14ac:dyDescent="0.25">
      <c r="A873" s="16">
        <v>42923</v>
      </c>
      <c r="B873" s="273" t="s">
        <v>20715</v>
      </c>
      <c r="C873">
        <v>119027</v>
      </c>
      <c r="D873" s="236" t="s">
        <v>15282</v>
      </c>
      <c r="E873" s="15">
        <v>1162.8</v>
      </c>
      <c r="F873" s="274">
        <v>42923</v>
      </c>
      <c r="G873" s="15">
        <v>1162.8</v>
      </c>
      <c r="H873" s="15">
        <f>Tabla1[[#This Row],[Importe]]-Tabla1[[#This Row],[Pagado]]</f>
        <v>0</v>
      </c>
      <c r="I873" s="275" t="s">
        <v>15214</v>
      </c>
    </row>
    <row r="874" spans="1:9" ht="15.75" x14ac:dyDescent="0.25">
      <c r="A874" s="16">
        <v>42923</v>
      </c>
      <c r="B874" s="273" t="s">
        <v>20716</v>
      </c>
      <c r="C874">
        <v>119028</v>
      </c>
      <c r="D874" s="248" t="s">
        <v>95</v>
      </c>
      <c r="E874" s="15">
        <v>0</v>
      </c>
      <c r="F874" s="277" t="s">
        <v>95</v>
      </c>
      <c r="G874" s="15">
        <v>0</v>
      </c>
      <c r="H874" s="15">
        <f>Tabla1[[#This Row],[Importe]]-Tabla1[[#This Row],[Pagado]]</f>
        <v>0</v>
      </c>
      <c r="I874" s="275" t="s">
        <v>95</v>
      </c>
    </row>
    <row r="875" spans="1:9" x14ac:dyDescent="0.25">
      <c r="A875" s="16">
        <v>42923</v>
      </c>
      <c r="B875" s="273" t="s">
        <v>20717</v>
      </c>
      <c r="C875">
        <v>119029</v>
      </c>
      <c r="D875" s="236" t="s">
        <v>15371</v>
      </c>
      <c r="E875" s="15">
        <v>2080</v>
      </c>
      <c r="F875" s="274">
        <v>42923</v>
      </c>
      <c r="G875" s="15">
        <v>2080</v>
      </c>
      <c r="H875" s="15">
        <f>Tabla1[[#This Row],[Importe]]-Tabla1[[#This Row],[Pagado]]</f>
        <v>0</v>
      </c>
      <c r="I875" s="275" t="s">
        <v>15214</v>
      </c>
    </row>
    <row r="876" spans="1:9" x14ac:dyDescent="0.25">
      <c r="A876" s="16">
        <v>42923</v>
      </c>
      <c r="B876" s="273" t="s">
        <v>20718</v>
      </c>
      <c r="C876">
        <v>119030</v>
      </c>
      <c r="D876" s="236" t="s">
        <v>15282</v>
      </c>
      <c r="E876" s="15">
        <v>99</v>
      </c>
      <c r="F876" s="274">
        <v>42923</v>
      </c>
      <c r="G876" s="15">
        <v>99</v>
      </c>
      <c r="H876" s="15">
        <f>Tabla1[[#This Row],[Importe]]-Tabla1[[#This Row],[Pagado]]</f>
        <v>0</v>
      </c>
      <c r="I876" s="275" t="s">
        <v>15214</v>
      </c>
    </row>
    <row r="877" spans="1:9" x14ac:dyDescent="0.25">
      <c r="A877" s="16">
        <v>42923</v>
      </c>
      <c r="B877" s="273" t="s">
        <v>20719</v>
      </c>
      <c r="C877">
        <v>119031</v>
      </c>
      <c r="D877" s="236" t="s">
        <v>16306</v>
      </c>
      <c r="E877" s="15">
        <v>28000</v>
      </c>
      <c r="F877" s="274">
        <v>42924</v>
      </c>
      <c r="G877" s="15">
        <v>28000</v>
      </c>
      <c r="H877" s="15">
        <f>Tabla1[[#This Row],[Importe]]-Tabla1[[#This Row],[Pagado]]</f>
        <v>0</v>
      </c>
      <c r="I877" s="275" t="s">
        <v>15214</v>
      </c>
    </row>
    <row r="878" spans="1:9" x14ac:dyDescent="0.25">
      <c r="A878" s="16">
        <v>42923</v>
      </c>
      <c r="B878" s="273" t="s">
        <v>20720</v>
      </c>
      <c r="C878">
        <v>119032</v>
      </c>
      <c r="D878" s="236" t="s">
        <v>15265</v>
      </c>
      <c r="E878" s="15">
        <v>3552.5</v>
      </c>
      <c r="F878" s="274">
        <v>42924</v>
      </c>
      <c r="G878" s="15">
        <v>3552.5</v>
      </c>
      <c r="H878" s="15">
        <f>Tabla1[[#This Row],[Importe]]-Tabla1[[#This Row],[Pagado]]</f>
        <v>0</v>
      </c>
      <c r="I878" s="275" t="s">
        <v>15214</v>
      </c>
    </row>
    <row r="879" spans="1:9" x14ac:dyDescent="0.25">
      <c r="A879" s="16">
        <v>42923</v>
      </c>
      <c r="B879" s="273" t="s">
        <v>20721</v>
      </c>
      <c r="C879">
        <v>119033</v>
      </c>
      <c r="D879" s="236" t="s">
        <v>15246</v>
      </c>
      <c r="E879" s="15">
        <v>28867.599999999999</v>
      </c>
      <c r="F879" s="274">
        <v>42928</v>
      </c>
      <c r="G879" s="15">
        <v>28867.599999999999</v>
      </c>
      <c r="H879" s="15">
        <f>Tabla1[[#This Row],[Importe]]-Tabla1[[#This Row],[Pagado]]</f>
        <v>0</v>
      </c>
      <c r="I879" s="275" t="s">
        <v>15214</v>
      </c>
    </row>
    <row r="880" spans="1:9" x14ac:dyDescent="0.25">
      <c r="A880" s="16">
        <v>42923</v>
      </c>
      <c r="B880" s="273" t="s">
        <v>20722</v>
      </c>
      <c r="C880">
        <v>119034</v>
      </c>
      <c r="D880" s="236" t="s">
        <v>17862</v>
      </c>
      <c r="E880" s="15">
        <v>2100</v>
      </c>
      <c r="F880" s="274">
        <v>42923</v>
      </c>
      <c r="G880" s="15">
        <v>2100</v>
      </c>
      <c r="H880" s="15">
        <f>Tabla1[[#This Row],[Importe]]-Tabla1[[#This Row],[Pagado]]</f>
        <v>0</v>
      </c>
      <c r="I880" s="275" t="s">
        <v>15214</v>
      </c>
    </row>
    <row r="881" spans="1:9" x14ac:dyDescent="0.25">
      <c r="A881" s="16">
        <v>42923</v>
      </c>
      <c r="B881" s="273" t="s">
        <v>20723</v>
      </c>
      <c r="C881">
        <v>119035</v>
      </c>
      <c r="D881" s="236" t="s">
        <v>15315</v>
      </c>
      <c r="E881" s="15">
        <v>625</v>
      </c>
      <c r="F881" s="274">
        <v>42923</v>
      </c>
      <c r="G881" s="15">
        <v>625</v>
      </c>
      <c r="H881" s="15">
        <f>Tabla1[[#This Row],[Importe]]-Tabla1[[#This Row],[Pagado]]</f>
        <v>0</v>
      </c>
      <c r="I881" s="275" t="s">
        <v>15214</v>
      </c>
    </row>
    <row r="882" spans="1:9" x14ac:dyDescent="0.25">
      <c r="A882" s="16">
        <v>42923</v>
      </c>
      <c r="B882" s="273" t="s">
        <v>20724</v>
      </c>
      <c r="C882">
        <v>119036</v>
      </c>
      <c r="D882" s="236" t="s">
        <v>15294</v>
      </c>
      <c r="E882" s="15">
        <v>370</v>
      </c>
      <c r="F882" s="274">
        <v>42923</v>
      </c>
      <c r="G882" s="15">
        <v>370</v>
      </c>
      <c r="H882" s="15">
        <f>Tabla1[[#This Row],[Importe]]-Tabla1[[#This Row],[Pagado]]</f>
        <v>0</v>
      </c>
      <c r="I882" s="275" t="s">
        <v>15214</v>
      </c>
    </row>
    <row r="883" spans="1:9" x14ac:dyDescent="0.25">
      <c r="A883" s="16">
        <v>42923</v>
      </c>
      <c r="B883" s="273" t="s">
        <v>20725</v>
      </c>
      <c r="C883">
        <v>119037</v>
      </c>
      <c r="D883" s="236" t="s">
        <v>15291</v>
      </c>
      <c r="E883" s="15">
        <v>1020</v>
      </c>
      <c r="F883" s="274">
        <v>42924</v>
      </c>
      <c r="G883" s="15">
        <v>1020</v>
      </c>
      <c r="H883" s="15">
        <f>Tabla1[[#This Row],[Importe]]-Tabla1[[#This Row],[Pagado]]</f>
        <v>0</v>
      </c>
      <c r="I883" s="275" t="s">
        <v>15214</v>
      </c>
    </row>
    <row r="884" spans="1:9" x14ac:dyDescent="0.25">
      <c r="A884" s="16">
        <v>42923</v>
      </c>
      <c r="B884" s="273" t="s">
        <v>20726</v>
      </c>
      <c r="C884">
        <v>119038</v>
      </c>
      <c r="D884" s="236" t="s">
        <v>15305</v>
      </c>
      <c r="E884" s="15">
        <v>967.6</v>
      </c>
      <c r="F884" s="274">
        <v>42924</v>
      </c>
      <c r="G884" s="15">
        <v>967.6</v>
      </c>
      <c r="H884" s="15">
        <f>Tabla1[[#This Row],[Importe]]-Tabla1[[#This Row],[Pagado]]</f>
        <v>0</v>
      </c>
      <c r="I884" s="275" t="s">
        <v>15214</v>
      </c>
    </row>
    <row r="885" spans="1:9" x14ac:dyDescent="0.25">
      <c r="A885" s="16">
        <v>42923</v>
      </c>
      <c r="B885" s="273" t="s">
        <v>20727</v>
      </c>
      <c r="C885">
        <v>119039</v>
      </c>
      <c r="D885" s="236" t="s">
        <v>15890</v>
      </c>
      <c r="E885" s="15">
        <v>15642.1</v>
      </c>
      <c r="F885" s="274">
        <v>42927</v>
      </c>
      <c r="G885" s="15">
        <v>15642.1</v>
      </c>
      <c r="H885" s="15">
        <f>Tabla1[[#This Row],[Importe]]-Tabla1[[#This Row],[Pagado]]</f>
        <v>0</v>
      </c>
      <c r="I885" s="275" t="s">
        <v>15214</v>
      </c>
    </row>
    <row r="886" spans="1:9" x14ac:dyDescent="0.25">
      <c r="A886" s="16">
        <v>42923</v>
      </c>
      <c r="B886" s="273" t="s">
        <v>20728</v>
      </c>
      <c r="C886">
        <v>119040</v>
      </c>
      <c r="D886" s="236" t="s">
        <v>15311</v>
      </c>
      <c r="E886" s="15">
        <v>1184</v>
      </c>
      <c r="F886" s="274">
        <v>42924</v>
      </c>
      <c r="G886" s="15">
        <v>1184</v>
      </c>
      <c r="H886" s="15">
        <f>Tabla1[[#This Row],[Importe]]-Tabla1[[#This Row],[Pagado]]</f>
        <v>0</v>
      </c>
      <c r="I886" s="275" t="s">
        <v>15214</v>
      </c>
    </row>
    <row r="887" spans="1:9" x14ac:dyDescent="0.25">
      <c r="A887" s="16">
        <v>42923</v>
      </c>
      <c r="B887" s="273" t="s">
        <v>20729</v>
      </c>
      <c r="C887">
        <v>119041</v>
      </c>
      <c r="D887" s="236" t="s">
        <v>15307</v>
      </c>
      <c r="E887" s="15">
        <v>4247.1000000000004</v>
      </c>
      <c r="F887" s="274">
        <v>42924</v>
      </c>
      <c r="G887" s="15">
        <v>4247.1000000000004</v>
      </c>
      <c r="H887" s="15">
        <f>Tabla1[[#This Row],[Importe]]-Tabla1[[#This Row],[Pagado]]</f>
        <v>0</v>
      </c>
      <c r="I887" s="275" t="s">
        <v>15214</v>
      </c>
    </row>
    <row r="888" spans="1:9" x14ac:dyDescent="0.25">
      <c r="A888" s="16">
        <v>42923</v>
      </c>
      <c r="B888" s="273" t="s">
        <v>20730</v>
      </c>
      <c r="C888">
        <v>119042</v>
      </c>
      <c r="D888" s="236" t="s">
        <v>17462</v>
      </c>
      <c r="E888" s="15">
        <v>4525.2</v>
      </c>
      <c r="F888" s="274">
        <v>42923</v>
      </c>
      <c r="G888" s="15">
        <v>4525.2</v>
      </c>
      <c r="H888" s="15">
        <f>Tabla1[[#This Row],[Importe]]-Tabla1[[#This Row],[Pagado]]</f>
        <v>0</v>
      </c>
      <c r="I888" s="275" t="s">
        <v>15214</v>
      </c>
    </row>
    <row r="889" spans="1:9" x14ac:dyDescent="0.25">
      <c r="A889" s="16">
        <v>42923</v>
      </c>
      <c r="B889" s="273" t="s">
        <v>20731</v>
      </c>
      <c r="C889">
        <v>119043</v>
      </c>
      <c r="D889" s="236" t="s">
        <v>15706</v>
      </c>
      <c r="E889" s="15">
        <v>2195.1</v>
      </c>
      <c r="F889" s="274">
        <v>42923</v>
      </c>
      <c r="G889" s="15">
        <v>2195.1</v>
      </c>
      <c r="H889" s="15">
        <f>Tabla1[[#This Row],[Importe]]-Tabla1[[#This Row],[Pagado]]</f>
        <v>0</v>
      </c>
      <c r="I889" s="275" t="s">
        <v>15214</v>
      </c>
    </row>
    <row r="890" spans="1:9" x14ac:dyDescent="0.25">
      <c r="A890" s="16">
        <v>42923</v>
      </c>
      <c r="B890" s="273" t="s">
        <v>20732</v>
      </c>
      <c r="C890">
        <v>119044</v>
      </c>
      <c r="D890" s="236" t="s">
        <v>15322</v>
      </c>
      <c r="E890" s="15">
        <v>2517.6</v>
      </c>
      <c r="F890" s="274">
        <v>42923</v>
      </c>
      <c r="G890" s="15">
        <v>2517.6</v>
      </c>
      <c r="H890" s="15">
        <f>Tabla1[[#This Row],[Importe]]-Tabla1[[#This Row],[Pagado]]</f>
        <v>0</v>
      </c>
      <c r="I890" s="275" t="s">
        <v>15214</v>
      </c>
    </row>
    <row r="891" spans="1:9" x14ac:dyDescent="0.25">
      <c r="A891" s="16">
        <v>42923</v>
      </c>
      <c r="B891" s="273" t="s">
        <v>20733</v>
      </c>
      <c r="C891">
        <v>119045</v>
      </c>
      <c r="D891" s="236" t="s">
        <v>15748</v>
      </c>
      <c r="E891" s="15">
        <v>3143.8</v>
      </c>
      <c r="F891" s="274">
        <v>42929</v>
      </c>
      <c r="G891" s="15">
        <v>3143.8</v>
      </c>
      <c r="H891" s="15">
        <f>Tabla1[[#This Row],[Importe]]-Tabla1[[#This Row],[Pagado]]</f>
        <v>0</v>
      </c>
      <c r="I891" s="275" t="s">
        <v>15214</v>
      </c>
    </row>
    <row r="892" spans="1:9" x14ac:dyDescent="0.25">
      <c r="A892" s="16">
        <v>42923</v>
      </c>
      <c r="B892" s="273" t="s">
        <v>20734</v>
      </c>
      <c r="C892">
        <v>119046</v>
      </c>
      <c r="D892" s="236" t="s">
        <v>15309</v>
      </c>
      <c r="E892" s="15">
        <v>20011.2</v>
      </c>
      <c r="F892" s="274">
        <v>42924</v>
      </c>
      <c r="G892" s="15">
        <v>20011.2</v>
      </c>
      <c r="H892" s="15">
        <f>Tabla1[[#This Row],[Importe]]-Tabla1[[#This Row],[Pagado]]</f>
        <v>0</v>
      </c>
      <c r="I892" s="275" t="s">
        <v>15214</v>
      </c>
    </row>
    <row r="893" spans="1:9" x14ac:dyDescent="0.25">
      <c r="A893" s="16">
        <v>42923</v>
      </c>
      <c r="B893" s="273" t="s">
        <v>20735</v>
      </c>
      <c r="C893">
        <v>119047</v>
      </c>
      <c r="D893" s="236" t="s">
        <v>15276</v>
      </c>
      <c r="E893" s="15">
        <v>4080</v>
      </c>
      <c r="F893" s="274">
        <v>42924</v>
      </c>
      <c r="G893" s="15">
        <v>4080</v>
      </c>
      <c r="H893" s="15">
        <f>Tabla1[[#This Row],[Importe]]-Tabla1[[#This Row],[Pagado]]</f>
        <v>0</v>
      </c>
      <c r="I893" s="275" t="s">
        <v>15214</v>
      </c>
    </row>
    <row r="894" spans="1:9" x14ac:dyDescent="0.25">
      <c r="A894" s="16">
        <v>42923</v>
      </c>
      <c r="B894" s="273" t="s">
        <v>20736</v>
      </c>
      <c r="C894">
        <v>119048</v>
      </c>
      <c r="D894" s="236" t="s">
        <v>15315</v>
      </c>
      <c r="E894" s="15">
        <v>4418.8</v>
      </c>
      <c r="F894" s="274">
        <v>42924</v>
      </c>
      <c r="G894" s="15">
        <v>4418.8</v>
      </c>
      <c r="H894" s="15">
        <f>Tabla1[[#This Row],[Importe]]-Tabla1[[#This Row],[Pagado]]</f>
        <v>0</v>
      </c>
      <c r="I894" s="275" t="s">
        <v>15214</v>
      </c>
    </row>
    <row r="895" spans="1:9" x14ac:dyDescent="0.25">
      <c r="A895" s="16">
        <v>42923</v>
      </c>
      <c r="B895" s="273" t="s">
        <v>20737</v>
      </c>
      <c r="C895">
        <v>119049</v>
      </c>
      <c r="D895" s="236" t="s">
        <v>15284</v>
      </c>
      <c r="E895" s="15">
        <v>798.7</v>
      </c>
      <c r="F895" s="274">
        <v>42923</v>
      </c>
      <c r="G895" s="15">
        <v>798.7</v>
      </c>
      <c r="H895" s="15">
        <f>Tabla1[[#This Row],[Importe]]-Tabla1[[#This Row],[Pagado]]</f>
        <v>0</v>
      </c>
      <c r="I895" s="275" t="s">
        <v>15214</v>
      </c>
    </row>
    <row r="896" spans="1:9" x14ac:dyDescent="0.25">
      <c r="A896" s="16">
        <v>42923</v>
      </c>
      <c r="B896" s="273" t="s">
        <v>20738</v>
      </c>
      <c r="C896">
        <v>119050</v>
      </c>
      <c r="D896" s="236" t="s">
        <v>15256</v>
      </c>
      <c r="E896" s="15">
        <v>3813.6</v>
      </c>
      <c r="F896" s="274">
        <v>42924</v>
      </c>
      <c r="G896" s="15">
        <v>3813.6</v>
      </c>
      <c r="H896" s="15">
        <f>Tabla1[[#This Row],[Importe]]-Tabla1[[#This Row],[Pagado]]</f>
        <v>0</v>
      </c>
      <c r="I896" s="275" t="s">
        <v>15214</v>
      </c>
    </row>
    <row r="897" spans="1:9" x14ac:dyDescent="0.25">
      <c r="A897" s="16">
        <v>42923</v>
      </c>
      <c r="B897" s="273" t="s">
        <v>20739</v>
      </c>
      <c r="C897">
        <v>119051</v>
      </c>
      <c r="D897" s="236" t="s">
        <v>16288</v>
      </c>
      <c r="E897" s="15">
        <v>1171.5999999999999</v>
      </c>
      <c r="F897" s="274">
        <v>42927</v>
      </c>
      <c r="G897" s="15">
        <v>1171.5999999999999</v>
      </c>
      <c r="H897" s="15">
        <f>Tabla1[[#This Row],[Importe]]-Tabla1[[#This Row],[Pagado]]</f>
        <v>0</v>
      </c>
      <c r="I897" s="275" t="s">
        <v>15214</v>
      </c>
    </row>
    <row r="898" spans="1:9" x14ac:dyDescent="0.25">
      <c r="A898" s="16">
        <v>42923</v>
      </c>
      <c r="B898" s="273" t="s">
        <v>20740</v>
      </c>
      <c r="C898">
        <v>119052</v>
      </c>
      <c r="D898" s="236" t="s">
        <v>15256</v>
      </c>
      <c r="E898" s="15">
        <v>158.4</v>
      </c>
      <c r="F898" s="274">
        <v>42924</v>
      </c>
      <c r="G898" s="15">
        <v>158.4</v>
      </c>
      <c r="H898" s="15">
        <f>Tabla1[[#This Row],[Importe]]-Tabla1[[#This Row],[Pagado]]</f>
        <v>0</v>
      </c>
      <c r="I898" s="275" t="s">
        <v>15214</v>
      </c>
    </row>
    <row r="899" spans="1:9" x14ac:dyDescent="0.25">
      <c r="A899" s="16">
        <v>42923</v>
      </c>
      <c r="B899" s="273" t="s">
        <v>20741</v>
      </c>
      <c r="C899">
        <v>119053</v>
      </c>
      <c r="D899" s="236" t="s">
        <v>15668</v>
      </c>
      <c r="E899" s="15">
        <v>693</v>
      </c>
      <c r="F899" s="274">
        <v>42926</v>
      </c>
      <c r="G899" s="15">
        <v>693</v>
      </c>
      <c r="H899" s="15">
        <f>Tabla1[[#This Row],[Importe]]-Tabla1[[#This Row],[Pagado]]</f>
        <v>0</v>
      </c>
      <c r="I899" s="275" t="s">
        <v>15214</v>
      </c>
    </row>
    <row r="900" spans="1:9" x14ac:dyDescent="0.25">
      <c r="A900" s="16">
        <v>42923</v>
      </c>
      <c r="B900" s="273" t="s">
        <v>20742</v>
      </c>
      <c r="C900">
        <v>119054</v>
      </c>
      <c r="D900" s="236" t="s">
        <v>15256</v>
      </c>
      <c r="E900" s="15">
        <v>4653</v>
      </c>
      <c r="F900" s="274">
        <v>42924</v>
      </c>
      <c r="G900" s="15">
        <v>4653</v>
      </c>
      <c r="H900" s="15">
        <f>Tabla1[[#This Row],[Importe]]-Tabla1[[#This Row],[Pagado]]</f>
        <v>0</v>
      </c>
      <c r="I900" s="275" t="s">
        <v>15214</v>
      </c>
    </row>
    <row r="901" spans="1:9" x14ac:dyDescent="0.25">
      <c r="A901" s="16">
        <v>42923</v>
      </c>
      <c r="B901" s="273" t="s">
        <v>20743</v>
      </c>
      <c r="C901">
        <v>119055</v>
      </c>
      <c r="D901" s="236" t="s">
        <v>15920</v>
      </c>
      <c r="E901" s="15">
        <v>12909.6</v>
      </c>
      <c r="F901" s="274">
        <v>42924</v>
      </c>
      <c r="G901" s="15">
        <v>12909.6</v>
      </c>
      <c r="H901" s="15">
        <f>Tabla1[[#This Row],[Importe]]-Tabla1[[#This Row],[Pagado]]</f>
        <v>0</v>
      </c>
      <c r="I901" s="275" t="s">
        <v>15214</v>
      </c>
    </row>
    <row r="902" spans="1:9" x14ac:dyDescent="0.25">
      <c r="A902" s="16">
        <v>42923</v>
      </c>
      <c r="B902" s="273" t="s">
        <v>20744</v>
      </c>
      <c r="C902">
        <v>119056</v>
      </c>
      <c r="D902" s="236" t="s">
        <v>15600</v>
      </c>
      <c r="E902" s="15">
        <v>5884</v>
      </c>
      <c r="F902" s="274">
        <v>42924</v>
      </c>
      <c r="G902" s="15">
        <v>5884</v>
      </c>
      <c r="H902" s="15">
        <f>Tabla1[[#This Row],[Importe]]-Tabla1[[#This Row],[Pagado]]</f>
        <v>0</v>
      </c>
      <c r="I902" s="275" t="s">
        <v>15214</v>
      </c>
    </row>
    <row r="903" spans="1:9" x14ac:dyDescent="0.25">
      <c r="A903" s="16">
        <v>42923</v>
      </c>
      <c r="B903" s="273" t="s">
        <v>20745</v>
      </c>
      <c r="C903">
        <v>119057</v>
      </c>
      <c r="D903" s="236" t="s">
        <v>15263</v>
      </c>
      <c r="E903" s="15">
        <v>306.8</v>
      </c>
      <c r="F903" s="274">
        <v>42923</v>
      </c>
      <c r="G903" s="15">
        <v>306.8</v>
      </c>
      <c r="H903" s="15">
        <f>Tabla1[[#This Row],[Importe]]-Tabla1[[#This Row],[Pagado]]</f>
        <v>0</v>
      </c>
      <c r="I903" s="275" t="s">
        <v>15214</v>
      </c>
    </row>
    <row r="904" spans="1:9" x14ac:dyDescent="0.25">
      <c r="A904" s="16">
        <v>42923</v>
      </c>
      <c r="B904" s="273" t="s">
        <v>20746</v>
      </c>
      <c r="C904">
        <v>119058</v>
      </c>
      <c r="D904" s="236" t="s">
        <v>15417</v>
      </c>
      <c r="E904" s="15">
        <v>2030</v>
      </c>
      <c r="F904" s="274">
        <v>42924</v>
      </c>
      <c r="G904" s="15">
        <v>2030</v>
      </c>
      <c r="H904" s="15">
        <f>Tabla1[[#This Row],[Importe]]-Tabla1[[#This Row],[Pagado]]</f>
        <v>0</v>
      </c>
      <c r="I904" s="275" t="s">
        <v>15214</v>
      </c>
    </row>
    <row r="905" spans="1:9" x14ac:dyDescent="0.25">
      <c r="A905" s="16">
        <v>42923</v>
      </c>
      <c r="B905" s="273" t="s">
        <v>20747</v>
      </c>
      <c r="C905">
        <v>119059</v>
      </c>
      <c r="D905" s="236" t="s">
        <v>15782</v>
      </c>
      <c r="E905" s="15">
        <v>2450</v>
      </c>
      <c r="F905" s="274">
        <v>42924</v>
      </c>
      <c r="G905" s="15">
        <v>2450</v>
      </c>
      <c r="H905" s="15">
        <f>Tabla1[[#This Row],[Importe]]-Tabla1[[#This Row],[Pagado]]</f>
        <v>0</v>
      </c>
      <c r="I905" s="275" t="s">
        <v>15214</v>
      </c>
    </row>
    <row r="906" spans="1:9" x14ac:dyDescent="0.25">
      <c r="A906" s="16">
        <v>42923</v>
      </c>
      <c r="B906" s="273" t="s">
        <v>20748</v>
      </c>
      <c r="C906">
        <v>119060</v>
      </c>
      <c r="D906" s="236" t="s">
        <v>15298</v>
      </c>
      <c r="E906" s="15">
        <v>1632</v>
      </c>
      <c r="F906" s="274">
        <v>42923</v>
      </c>
      <c r="G906" s="15">
        <v>1632</v>
      </c>
      <c r="H906" s="15">
        <f>Tabla1[[#This Row],[Importe]]-Tabla1[[#This Row],[Pagado]]</f>
        <v>0</v>
      </c>
      <c r="I906" s="275" t="s">
        <v>15214</v>
      </c>
    </row>
    <row r="907" spans="1:9" ht="15.75" x14ac:dyDescent="0.25">
      <c r="A907" s="16">
        <v>42923</v>
      </c>
      <c r="B907" s="273" t="s">
        <v>20749</v>
      </c>
      <c r="C907">
        <v>119061</v>
      </c>
      <c r="D907" s="248" t="s">
        <v>95</v>
      </c>
      <c r="E907" s="15">
        <v>0</v>
      </c>
      <c r="F907" s="277" t="s">
        <v>95</v>
      </c>
      <c r="G907" s="15">
        <v>0</v>
      </c>
      <c r="H907" s="15">
        <f>Tabla1[[#This Row],[Importe]]-Tabla1[[#This Row],[Pagado]]</f>
        <v>0</v>
      </c>
      <c r="I907" s="275" t="s">
        <v>95</v>
      </c>
    </row>
    <row r="908" spans="1:9" x14ac:dyDescent="0.25">
      <c r="A908" s="16">
        <v>42923</v>
      </c>
      <c r="B908" s="273" t="s">
        <v>20750</v>
      </c>
      <c r="C908">
        <v>119062</v>
      </c>
      <c r="D908" s="236" t="s">
        <v>16129</v>
      </c>
      <c r="E908" s="15">
        <v>5323.2</v>
      </c>
      <c r="F908" s="274">
        <v>42937</v>
      </c>
      <c r="G908" s="15">
        <v>5323.2</v>
      </c>
      <c r="H908" s="15">
        <f>Tabla1[[#This Row],[Importe]]-Tabla1[[#This Row],[Pagado]]</f>
        <v>0</v>
      </c>
      <c r="I908" s="275" t="s">
        <v>15214</v>
      </c>
    </row>
    <row r="909" spans="1:9" x14ac:dyDescent="0.25">
      <c r="A909" s="16">
        <v>42923</v>
      </c>
      <c r="B909" s="273" t="s">
        <v>20751</v>
      </c>
      <c r="C909">
        <v>119063</v>
      </c>
      <c r="D909" s="236" t="s">
        <v>15246</v>
      </c>
      <c r="E909" s="15">
        <v>186770.12</v>
      </c>
      <c r="F909" s="274">
        <v>42928</v>
      </c>
      <c r="G909" s="15">
        <v>186770.12</v>
      </c>
      <c r="H909" s="15">
        <f>Tabla1[[#This Row],[Importe]]-Tabla1[[#This Row],[Pagado]]</f>
        <v>0</v>
      </c>
      <c r="I909" s="275" t="s">
        <v>15214</v>
      </c>
    </row>
    <row r="910" spans="1:9" x14ac:dyDescent="0.25">
      <c r="A910" s="16">
        <v>42923</v>
      </c>
      <c r="B910" s="273" t="s">
        <v>20752</v>
      </c>
      <c r="C910">
        <v>119064</v>
      </c>
      <c r="D910" s="236" t="s">
        <v>15716</v>
      </c>
      <c r="E910" s="15">
        <v>5946.9</v>
      </c>
      <c r="F910" s="274">
        <v>42923</v>
      </c>
      <c r="G910" s="15">
        <v>5946.9</v>
      </c>
      <c r="H910" s="15">
        <f>Tabla1[[#This Row],[Importe]]-Tabla1[[#This Row],[Pagado]]</f>
        <v>0</v>
      </c>
      <c r="I910" s="275" t="s">
        <v>15214</v>
      </c>
    </row>
    <row r="911" spans="1:9" x14ac:dyDescent="0.25">
      <c r="A911" s="16">
        <v>42923</v>
      </c>
      <c r="B911" s="273" t="s">
        <v>20753</v>
      </c>
      <c r="C911">
        <v>119065</v>
      </c>
      <c r="D911" s="236" t="s">
        <v>19776</v>
      </c>
      <c r="E911" s="15">
        <v>16080</v>
      </c>
      <c r="F911" s="274">
        <v>42925</v>
      </c>
      <c r="G911" s="15">
        <v>16080</v>
      </c>
      <c r="H911" s="15">
        <f>Tabla1[[#This Row],[Importe]]-Tabla1[[#This Row],[Pagado]]</f>
        <v>0</v>
      </c>
      <c r="I911" s="275" t="s">
        <v>15214</v>
      </c>
    </row>
    <row r="912" spans="1:9" x14ac:dyDescent="0.25">
      <c r="A912" s="16">
        <v>42923</v>
      </c>
      <c r="B912" s="273" t="s">
        <v>20754</v>
      </c>
      <c r="C912">
        <v>119066</v>
      </c>
      <c r="D912" s="236" t="s">
        <v>15568</v>
      </c>
      <c r="E912" s="15">
        <v>19664.8</v>
      </c>
      <c r="F912" s="274">
        <v>42924</v>
      </c>
      <c r="G912" s="15">
        <v>19664.8</v>
      </c>
      <c r="H912" s="15">
        <f>Tabla1[[#This Row],[Importe]]-Tabla1[[#This Row],[Pagado]]</f>
        <v>0</v>
      </c>
      <c r="I912" s="275" t="s">
        <v>15214</v>
      </c>
    </row>
    <row r="913" spans="1:9" x14ac:dyDescent="0.25">
      <c r="A913" s="16">
        <v>42923</v>
      </c>
      <c r="B913" s="273" t="s">
        <v>20755</v>
      </c>
      <c r="C913">
        <v>119067</v>
      </c>
      <c r="D913" s="236" t="s">
        <v>15433</v>
      </c>
      <c r="E913" s="15">
        <v>2148.5</v>
      </c>
      <c r="F913" s="274">
        <v>42923</v>
      </c>
      <c r="G913" s="15">
        <v>2148.5</v>
      </c>
      <c r="H913" s="15">
        <f>Tabla1[[#This Row],[Importe]]-Tabla1[[#This Row],[Pagado]]</f>
        <v>0</v>
      </c>
      <c r="I913" s="275" t="s">
        <v>15214</v>
      </c>
    </row>
    <row r="914" spans="1:9" x14ac:dyDescent="0.25">
      <c r="A914" s="16">
        <v>42923</v>
      </c>
      <c r="B914" s="273" t="s">
        <v>20756</v>
      </c>
      <c r="C914">
        <v>119068</v>
      </c>
      <c r="D914" s="236" t="s">
        <v>15594</v>
      </c>
      <c r="E914" s="15">
        <v>1934.4</v>
      </c>
      <c r="F914" s="274">
        <v>42924</v>
      </c>
      <c r="G914" s="15">
        <v>1934.4</v>
      </c>
      <c r="H914" s="15">
        <f>Tabla1[[#This Row],[Importe]]-Tabla1[[#This Row],[Pagado]]</f>
        <v>0</v>
      </c>
      <c r="I914" s="275" t="s">
        <v>15214</v>
      </c>
    </row>
    <row r="915" spans="1:9" x14ac:dyDescent="0.25">
      <c r="A915" s="16">
        <v>42923</v>
      </c>
      <c r="B915" s="273" t="s">
        <v>20757</v>
      </c>
      <c r="C915">
        <v>119069</v>
      </c>
      <c r="D915" s="236" t="s">
        <v>15725</v>
      </c>
      <c r="E915" s="15">
        <v>19063.2</v>
      </c>
      <c r="F915" s="274">
        <v>42924</v>
      </c>
      <c r="G915" s="15">
        <v>19063.2</v>
      </c>
      <c r="H915" s="15">
        <f>Tabla1[[#This Row],[Importe]]-Tabla1[[#This Row],[Pagado]]</f>
        <v>0</v>
      </c>
      <c r="I915" s="275" t="s">
        <v>15214</v>
      </c>
    </row>
    <row r="916" spans="1:9" x14ac:dyDescent="0.25">
      <c r="A916" s="16">
        <v>42923</v>
      </c>
      <c r="B916" s="273" t="s">
        <v>20758</v>
      </c>
      <c r="C916">
        <v>119070</v>
      </c>
      <c r="D916" s="236" t="s">
        <v>15284</v>
      </c>
      <c r="E916" s="15">
        <v>872.7</v>
      </c>
      <c r="F916" s="274">
        <v>42923</v>
      </c>
      <c r="G916" s="15">
        <v>872.7</v>
      </c>
      <c r="H916" s="15">
        <f>Tabla1[[#This Row],[Importe]]-Tabla1[[#This Row],[Pagado]]</f>
        <v>0</v>
      </c>
      <c r="I916" s="275" t="s">
        <v>15214</v>
      </c>
    </row>
    <row r="917" spans="1:9" x14ac:dyDescent="0.25">
      <c r="A917" s="16">
        <v>42923</v>
      </c>
      <c r="B917" s="273" t="s">
        <v>20759</v>
      </c>
      <c r="C917">
        <v>119071</v>
      </c>
      <c r="D917" s="236" t="s">
        <v>15624</v>
      </c>
      <c r="E917" s="15">
        <v>35911.199999999997</v>
      </c>
      <c r="F917" s="274">
        <v>42925</v>
      </c>
      <c r="G917" s="15">
        <v>35911.199999999997</v>
      </c>
      <c r="H917" s="15">
        <f>Tabla1[[#This Row],[Importe]]-Tabla1[[#This Row],[Pagado]]</f>
        <v>0</v>
      </c>
      <c r="I917" s="275" t="s">
        <v>15214</v>
      </c>
    </row>
    <row r="918" spans="1:9" x14ac:dyDescent="0.25">
      <c r="A918" s="16">
        <v>42923</v>
      </c>
      <c r="B918" s="273" t="s">
        <v>20760</v>
      </c>
      <c r="C918">
        <v>119072</v>
      </c>
      <c r="D918" s="236" t="s">
        <v>16522</v>
      </c>
      <c r="E918" s="15">
        <v>10963.2</v>
      </c>
      <c r="F918" s="292">
        <v>43006</v>
      </c>
      <c r="G918" s="107">
        <v>10963.2</v>
      </c>
      <c r="H918" s="15">
        <f>Tabla1[[#This Row],[Importe]]-Tabla1[[#This Row],[Pagado]]</f>
        <v>0</v>
      </c>
      <c r="I918" s="275" t="s">
        <v>15214</v>
      </c>
    </row>
    <row r="919" spans="1:9" x14ac:dyDescent="0.25">
      <c r="A919" s="16">
        <v>42923</v>
      </c>
      <c r="B919" s="273" t="s">
        <v>20761</v>
      </c>
      <c r="C919">
        <v>119073</v>
      </c>
      <c r="D919" s="236" t="s">
        <v>19765</v>
      </c>
      <c r="E919" s="15">
        <v>3500</v>
      </c>
      <c r="F919" s="274" t="s">
        <v>20762</v>
      </c>
      <c r="G919" s="15">
        <v>3500</v>
      </c>
      <c r="H919" s="15">
        <f>Tabla1[[#This Row],[Importe]]-Tabla1[[#This Row],[Pagado]]</f>
        <v>0</v>
      </c>
      <c r="I919" s="275" t="s">
        <v>15214</v>
      </c>
    </row>
    <row r="920" spans="1:9" ht="30" x14ac:dyDescent="0.25">
      <c r="A920" s="16">
        <v>42923</v>
      </c>
      <c r="B920" s="273" t="s">
        <v>20763</v>
      </c>
      <c r="C920">
        <v>119074</v>
      </c>
      <c r="D920" s="236" t="s">
        <v>15246</v>
      </c>
      <c r="E920" s="15">
        <v>295402.57</v>
      </c>
      <c r="F920" s="274" t="s">
        <v>21237</v>
      </c>
      <c r="G920" s="241">
        <f>180835.61+114566.96</f>
        <v>295402.57</v>
      </c>
      <c r="H920" s="241">
        <f>Tabla1[[#This Row],[Importe]]-Tabla1[[#This Row],[Pagado]]</f>
        <v>0</v>
      </c>
      <c r="I920" s="275" t="s">
        <v>15214</v>
      </c>
    </row>
    <row r="921" spans="1:9" x14ac:dyDescent="0.25">
      <c r="A921" s="16">
        <v>42923</v>
      </c>
      <c r="B921" s="273" t="s">
        <v>20764</v>
      </c>
      <c r="C921">
        <v>119075</v>
      </c>
      <c r="D921" s="236" t="s">
        <v>15444</v>
      </c>
      <c r="E921" s="15">
        <v>5148.3999999999996</v>
      </c>
      <c r="F921" s="274">
        <v>42926</v>
      </c>
      <c r="G921" s="15">
        <v>5148.3999999999996</v>
      </c>
      <c r="H921" s="15">
        <f>Tabla1[[#This Row],[Importe]]-Tabla1[[#This Row],[Pagado]]</f>
        <v>0</v>
      </c>
      <c r="I921" s="275" t="s">
        <v>15214</v>
      </c>
    </row>
    <row r="922" spans="1:9" x14ac:dyDescent="0.25">
      <c r="A922" s="16">
        <v>42923</v>
      </c>
      <c r="B922" s="273" t="s">
        <v>20765</v>
      </c>
      <c r="C922">
        <v>119076</v>
      </c>
      <c r="D922" s="236" t="s">
        <v>15590</v>
      </c>
      <c r="E922" s="15">
        <v>3328.3</v>
      </c>
      <c r="F922" s="274">
        <v>42928</v>
      </c>
      <c r="G922" s="15">
        <v>3328.3</v>
      </c>
      <c r="H922" s="15">
        <f>Tabla1[[#This Row],[Importe]]-Tabla1[[#This Row],[Pagado]]</f>
        <v>0</v>
      </c>
      <c r="I922" s="275" t="s">
        <v>15214</v>
      </c>
    </row>
    <row r="923" spans="1:9" x14ac:dyDescent="0.25">
      <c r="A923" s="16">
        <v>42923</v>
      </c>
      <c r="B923" s="273" t="s">
        <v>20766</v>
      </c>
      <c r="C923">
        <v>119077</v>
      </c>
      <c r="D923" s="236" t="s">
        <v>15250</v>
      </c>
      <c r="E923" s="15">
        <v>79201.2</v>
      </c>
      <c r="F923" s="274">
        <v>42931</v>
      </c>
      <c r="G923" s="15">
        <v>79201.2</v>
      </c>
      <c r="H923" s="15">
        <f>Tabla1[[#This Row],[Importe]]-Tabla1[[#This Row],[Pagado]]</f>
        <v>0</v>
      </c>
      <c r="I923" s="275" t="s">
        <v>15214</v>
      </c>
    </row>
    <row r="924" spans="1:9" x14ac:dyDescent="0.25">
      <c r="A924" s="16">
        <v>42923</v>
      </c>
      <c r="B924" s="273" t="s">
        <v>20767</v>
      </c>
      <c r="C924">
        <v>119078</v>
      </c>
      <c r="D924" s="236" t="s">
        <v>15246</v>
      </c>
      <c r="E924" s="15">
        <v>24664.2</v>
      </c>
      <c r="F924" s="274">
        <v>42933</v>
      </c>
      <c r="G924" s="15">
        <v>24664.2</v>
      </c>
      <c r="H924" s="15">
        <f>Tabla1[[#This Row],[Importe]]-Tabla1[[#This Row],[Pagado]]</f>
        <v>0</v>
      </c>
      <c r="I924" s="275" t="s">
        <v>15214</v>
      </c>
    </row>
    <row r="925" spans="1:9" x14ac:dyDescent="0.25">
      <c r="A925" s="16">
        <v>42923</v>
      </c>
      <c r="B925" s="273" t="s">
        <v>20768</v>
      </c>
      <c r="C925">
        <v>119079</v>
      </c>
      <c r="D925" s="236" t="s">
        <v>15435</v>
      </c>
      <c r="E925" s="15">
        <v>7588.8</v>
      </c>
      <c r="F925" s="274">
        <v>42923</v>
      </c>
      <c r="G925" s="15">
        <v>7588.8</v>
      </c>
      <c r="H925" s="15">
        <f>Tabla1[[#This Row],[Importe]]-Tabla1[[#This Row],[Pagado]]</f>
        <v>0</v>
      </c>
      <c r="I925" s="275" t="s">
        <v>15214</v>
      </c>
    </row>
    <row r="926" spans="1:9" ht="15.75" x14ac:dyDescent="0.25">
      <c r="A926" s="16">
        <v>42923</v>
      </c>
      <c r="B926" s="273" t="s">
        <v>20769</v>
      </c>
      <c r="C926">
        <v>119080</v>
      </c>
      <c r="D926" s="248" t="s">
        <v>95</v>
      </c>
      <c r="E926" s="15">
        <v>0</v>
      </c>
      <c r="F926" s="277" t="s">
        <v>95</v>
      </c>
      <c r="G926" s="15">
        <v>0</v>
      </c>
      <c r="H926" s="15">
        <f>Tabla1[[#This Row],[Importe]]-Tabla1[[#This Row],[Pagado]]</f>
        <v>0</v>
      </c>
      <c r="I926" s="275" t="s">
        <v>95</v>
      </c>
    </row>
    <row r="927" spans="1:9" x14ac:dyDescent="0.25">
      <c r="A927" s="16">
        <v>42923</v>
      </c>
      <c r="B927" s="273" t="s">
        <v>20770</v>
      </c>
      <c r="C927">
        <v>119081</v>
      </c>
      <c r="D927" s="236" t="s">
        <v>19776</v>
      </c>
      <c r="E927" s="15">
        <v>2906.8</v>
      </c>
      <c r="F927" s="274">
        <v>42924</v>
      </c>
      <c r="G927" s="15">
        <v>2906.8</v>
      </c>
      <c r="H927" s="15">
        <f>Tabla1[[#This Row],[Importe]]-Tabla1[[#This Row],[Pagado]]</f>
        <v>0</v>
      </c>
      <c r="I927" s="275" t="s">
        <v>15214</v>
      </c>
    </row>
    <row r="928" spans="1:9" x14ac:dyDescent="0.25">
      <c r="A928" s="16">
        <v>42923</v>
      </c>
      <c r="B928" s="273" t="s">
        <v>20771</v>
      </c>
      <c r="C928">
        <v>119082</v>
      </c>
      <c r="D928" s="236" t="s">
        <v>15328</v>
      </c>
      <c r="E928" s="15">
        <v>4033.4</v>
      </c>
      <c r="F928" s="274">
        <v>42934</v>
      </c>
      <c r="G928" s="15">
        <v>4033.4</v>
      </c>
      <c r="H928" s="15">
        <f>Tabla1[[#This Row],[Importe]]-Tabla1[[#This Row],[Pagado]]</f>
        <v>0</v>
      </c>
      <c r="I928" s="275" t="s">
        <v>15214</v>
      </c>
    </row>
    <row r="929" spans="1:9" x14ac:dyDescent="0.25">
      <c r="A929" s="16">
        <v>42923</v>
      </c>
      <c r="B929" s="273" t="s">
        <v>20772</v>
      </c>
      <c r="C929">
        <v>119083</v>
      </c>
      <c r="D929" s="236" t="s">
        <v>15385</v>
      </c>
      <c r="E929" s="15">
        <v>1006.6</v>
      </c>
      <c r="F929" s="274">
        <v>42924</v>
      </c>
      <c r="G929" s="15">
        <v>1006.6</v>
      </c>
      <c r="H929" s="15">
        <f>Tabla1[[#This Row],[Importe]]-Tabla1[[#This Row],[Pagado]]</f>
        <v>0</v>
      </c>
      <c r="I929" s="275" t="s">
        <v>15214</v>
      </c>
    </row>
    <row r="930" spans="1:9" x14ac:dyDescent="0.25">
      <c r="A930" s="16">
        <v>42923</v>
      </c>
      <c r="B930" s="273" t="s">
        <v>20773</v>
      </c>
      <c r="C930">
        <v>119084</v>
      </c>
      <c r="D930" s="236" t="s">
        <v>15246</v>
      </c>
      <c r="E930" s="15">
        <v>45284</v>
      </c>
      <c r="F930" s="274">
        <v>42933</v>
      </c>
      <c r="G930" s="15">
        <v>45284</v>
      </c>
      <c r="H930" s="15">
        <f>Tabla1[[#This Row],[Importe]]-Tabla1[[#This Row],[Pagado]]</f>
        <v>0</v>
      </c>
      <c r="I930" s="275" t="s">
        <v>15214</v>
      </c>
    </row>
    <row r="931" spans="1:9" x14ac:dyDescent="0.25">
      <c r="A931" s="16">
        <v>42923</v>
      </c>
      <c r="B931" s="273" t="s">
        <v>20774</v>
      </c>
      <c r="C931">
        <v>119085</v>
      </c>
      <c r="D931" s="236" t="s">
        <v>15818</v>
      </c>
      <c r="E931" s="15">
        <v>1772.4</v>
      </c>
      <c r="F931" s="274">
        <v>42924</v>
      </c>
      <c r="G931" s="15">
        <v>1772.4</v>
      </c>
      <c r="H931" s="15">
        <f>Tabla1[[#This Row],[Importe]]-Tabla1[[#This Row],[Pagado]]</f>
        <v>0</v>
      </c>
      <c r="I931" s="275" t="s">
        <v>15214</v>
      </c>
    </row>
    <row r="932" spans="1:9" x14ac:dyDescent="0.25">
      <c r="A932" s="16">
        <v>42923</v>
      </c>
      <c r="B932" s="273" t="s">
        <v>20775</v>
      </c>
      <c r="C932">
        <v>119086</v>
      </c>
      <c r="D932" s="236" t="s">
        <v>15385</v>
      </c>
      <c r="E932" s="15">
        <v>318.2</v>
      </c>
      <c r="F932" s="274">
        <v>42924</v>
      </c>
      <c r="G932" s="15">
        <v>318.2</v>
      </c>
      <c r="H932" s="15">
        <f>Tabla1[[#This Row],[Importe]]-Tabla1[[#This Row],[Pagado]]</f>
        <v>0</v>
      </c>
      <c r="I932" s="275" t="s">
        <v>15214</v>
      </c>
    </row>
    <row r="933" spans="1:9" x14ac:dyDescent="0.25">
      <c r="A933" s="16">
        <v>42924</v>
      </c>
      <c r="B933" s="273" t="s">
        <v>20776</v>
      </c>
      <c r="C933">
        <v>119087</v>
      </c>
      <c r="D933" s="236" t="s">
        <v>15213</v>
      </c>
      <c r="E933" s="15">
        <v>7439</v>
      </c>
      <c r="F933" s="274">
        <v>42927</v>
      </c>
      <c r="G933" s="15">
        <v>7439</v>
      </c>
      <c r="H933" s="15">
        <f>Tabla1[[#This Row],[Importe]]-Tabla1[[#This Row],[Pagado]]</f>
        <v>0</v>
      </c>
      <c r="I933" s="275" t="s">
        <v>15214</v>
      </c>
    </row>
    <row r="934" spans="1:9" ht="30" x14ac:dyDescent="0.25">
      <c r="A934" s="16">
        <v>42924</v>
      </c>
      <c r="B934" s="273" t="s">
        <v>20777</v>
      </c>
      <c r="C934">
        <v>119088</v>
      </c>
      <c r="D934" s="236" t="s">
        <v>15213</v>
      </c>
      <c r="E934" s="15">
        <v>34263.599999999999</v>
      </c>
      <c r="F934" s="274" t="s">
        <v>20644</v>
      </c>
      <c r="G934" s="241">
        <f>24263.6+10000</f>
        <v>34263.599999999999</v>
      </c>
      <c r="H934" s="241">
        <f>Tabla1[[#This Row],[Importe]]-Tabla1[[#This Row],[Pagado]]</f>
        <v>0</v>
      </c>
      <c r="I934" s="275" t="s">
        <v>15214</v>
      </c>
    </row>
    <row r="935" spans="1:9" x14ac:dyDescent="0.25">
      <c r="A935" s="16">
        <v>42924</v>
      </c>
      <c r="B935" s="273" t="s">
        <v>20778</v>
      </c>
      <c r="C935">
        <v>119089</v>
      </c>
      <c r="D935" s="236" t="s">
        <v>15220</v>
      </c>
      <c r="E935" s="15">
        <v>5865</v>
      </c>
      <c r="F935" s="274">
        <v>42924</v>
      </c>
      <c r="G935" s="15">
        <v>5865</v>
      </c>
      <c r="H935" s="15">
        <f>Tabla1[[#This Row],[Importe]]-Tabla1[[#This Row],[Pagado]]</f>
        <v>0</v>
      </c>
      <c r="I935" s="275" t="s">
        <v>15214</v>
      </c>
    </row>
    <row r="936" spans="1:9" ht="30" x14ac:dyDescent="0.25">
      <c r="A936" s="16">
        <v>42924</v>
      </c>
      <c r="B936" s="273" t="s">
        <v>20779</v>
      </c>
      <c r="C936">
        <v>119090</v>
      </c>
      <c r="D936" s="236" t="s">
        <v>15230</v>
      </c>
      <c r="E936" s="15">
        <v>34443</v>
      </c>
      <c r="F936" s="274" t="s">
        <v>20780</v>
      </c>
      <c r="G936" s="241">
        <f>24000+10443</f>
        <v>34443</v>
      </c>
      <c r="H936" s="241">
        <f>Tabla1[[#This Row],[Importe]]-Tabla1[[#This Row],[Pagado]]</f>
        <v>0</v>
      </c>
      <c r="I936" s="275" t="s">
        <v>15214</v>
      </c>
    </row>
    <row r="937" spans="1:9" x14ac:dyDescent="0.25">
      <c r="A937" s="16">
        <v>42924</v>
      </c>
      <c r="B937" s="273" t="s">
        <v>20781</v>
      </c>
      <c r="C937">
        <v>119091</v>
      </c>
      <c r="D937" s="236" t="s">
        <v>15238</v>
      </c>
      <c r="E937" s="15">
        <v>11942.6</v>
      </c>
      <c r="F937" s="274">
        <v>42927</v>
      </c>
      <c r="G937" s="15">
        <v>11942.6</v>
      </c>
      <c r="H937" s="15">
        <f>Tabla1[[#This Row],[Importe]]-Tabla1[[#This Row],[Pagado]]</f>
        <v>0</v>
      </c>
      <c r="I937" s="275" t="s">
        <v>15214</v>
      </c>
    </row>
    <row r="938" spans="1:9" x14ac:dyDescent="0.25">
      <c r="A938" s="16">
        <v>42924</v>
      </c>
      <c r="B938" s="273" t="s">
        <v>20782</v>
      </c>
      <c r="C938">
        <v>119092</v>
      </c>
      <c r="D938" s="236" t="s">
        <v>15232</v>
      </c>
      <c r="E938" s="15">
        <v>17208.599999999999</v>
      </c>
      <c r="F938" s="274">
        <v>42929</v>
      </c>
      <c r="G938" s="15">
        <v>17208.599999999999</v>
      </c>
      <c r="H938" s="15">
        <f>Tabla1[[#This Row],[Importe]]-Tabla1[[#This Row],[Pagado]]</f>
        <v>0</v>
      </c>
      <c r="I938" s="275" t="s">
        <v>15214</v>
      </c>
    </row>
    <row r="939" spans="1:9" x14ac:dyDescent="0.25">
      <c r="A939" s="16">
        <v>42924</v>
      </c>
      <c r="B939" s="273" t="s">
        <v>20783</v>
      </c>
      <c r="C939">
        <v>119093</v>
      </c>
      <c r="D939" s="236" t="s">
        <v>15256</v>
      </c>
      <c r="E939" s="15">
        <v>11674</v>
      </c>
      <c r="F939" s="274">
        <v>42927</v>
      </c>
      <c r="G939" s="15">
        <v>11674</v>
      </c>
      <c r="H939" s="15">
        <f>Tabla1[[#This Row],[Importe]]-Tabla1[[#This Row],[Pagado]]</f>
        <v>0</v>
      </c>
      <c r="I939" s="275" t="s">
        <v>15214</v>
      </c>
    </row>
    <row r="940" spans="1:9" x14ac:dyDescent="0.25">
      <c r="A940" s="16">
        <v>42924</v>
      </c>
      <c r="B940" s="273" t="s">
        <v>20784</v>
      </c>
      <c r="C940">
        <v>119094</v>
      </c>
      <c r="D940" s="236" t="s">
        <v>15242</v>
      </c>
      <c r="E940" s="15">
        <v>35381.599999999999</v>
      </c>
      <c r="F940" s="274">
        <v>42924</v>
      </c>
      <c r="G940" s="15">
        <v>35381.599999999999</v>
      </c>
      <c r="H940" s="15">
        <f>Tabla1[[#This Row],[Importe]]-Tabla1[[#This Row],[Pagado]]</f>
        <v>0</v>
      </c>
      <c r="I940" s="275" t="s">
        <v>15214</v>
      </c>
    </row>
    <row r="941" spans="1:9" x14ac:dyDescent="0.25">
      <c r="A941" s="16">
        <v>42924</v>
      </c>
      <c r="B941" s="273" t="s">
        <v>20785</v>
      </c>
      <c r="C941">
        <v>119095</v>
      </c>
      <c r="D941" s="236" t="s">
        <v>15248</v>
      </c>
      <c r="E941" s="15">
        <v>32248.240000000002</v>
      </c>
      <c r="F941" s="274">
        <v>42924</v>
      </c>
      <c r="G941" s="15">
        <v>32248.240000000002</v>
      </c>
      <c r="H941" s="15">
        <f>Tabla1[[#This Row],[Importe]]-Tabla1[[#This Row],[Pagado]]</f>
        <v>0</v>
      </c>
      <c r="I941" s="275" t="s">
        <v>15214</v>
      </c>
    </row>
    <row r="942" spans="1:9" x14ac:dyDescent="0.25">
      <c r="A942" s="16">
        <v>42924</v>
      </c>
      <c r="B942" s="273" t="s">
        <v>20786</v>
      </c>
      <c r="C942">
        <v>119096</v>
      </c>
      <c r="D942" s="236" t="s">
        <v>15681</v>
      </c>
      <c r="E942" s="15">
        <v>2169.1999999999998</v>
      </c>
      <c r="F942" s="274">
        <v>42924</v>
      </c>
      <c r="G942" s="15">
        <v>2169.1999999999998</v>
      </c>
      <c r="H942" s="15">
        <f>Tabla1[[#This Row],[Importe]]-Tabla1[[#This Row],[Pagado]]</f>
        <v>0</v>
      </c>
      <c r="I942" s="275" t="s">
        <v>15214</v>
      </c>
    </row>
    <row r="943" spans="1:9" x14ac:dyDescent="0.25">
      <c r="A943" s="16">
        <v>42924</v>
      </c>
      <c r="B943" s="273" t="s">
        <v>20787</v>
      </c>
      <c r="C943">
        <v>119097</v>
      </c>
      <c r="D943" s="236" t="s">
        <v>15407</v>
      </c>
      <c r="E943" s="15">
        <v>24702</v>
      </c>
      <c r="F943" s="274">
        <v>42924</v>
      </c>
      <c r="G943" s="15">
        <v>24702</v>
      </c>
      <c r="H943" s="15">
        <f>Tabla1[[#This Row],[Importe]]-Tabla1[[#This Row],[Pagado]]</f>
        <v>0</v>
      </c>
      <c r="I943" s="275" t="s">
        <v>15214</v>
      </c>
    </row>
    <row r="944" spans="1:9" x14ac:dyDescent="0.25">
      <c r="A944" s="16">
        <v>42924</v>
      </c>
      <c r="B944" s="273" t="s">
        <v>20788</v>
      </c>
      <c r="C944">
        <v>119098</v>
      </c>
      <c r="D944" s="236" t="s">
        <v>15596</v>
      </c>
      <c r="E944" s="15">
        <v>1275</v>
      </c>
      <c r="F944" s="274">
        <v>42924</v>
      </c>
      <c r="G944" s="15">
        <v>1275</v>
      </c>
      <c r="H944" s="15">
        <f>Tabla1[[#This Row],[Importe]]-Tabla1[[#This Row],[Pagado]]</f>
        <v>0</v>
      </c>
      <c r="I944" s="275" t="s">
        <v>15214</v>
      </c>
    </row>
    <row r="945" spans="1:9" x14ac:dyDescent="0.25">
      <c r="A945" s="16">
        <v>42924</v>
      </c>
      <c r="B945" s="273" t="s">
        <v>20789</v>
      </c>
      <c r="C945">
        <v>119099</v>
      </c>
      <c r="D945" s="236" t="s">
        <v>19302</v>
      </c>
      <c r="E945" s="15">
        <v>1020</v>
      </c>
      <c r="F945" s="274">
        <v>42924</v>
      </c>
      <c r="G945" s="15">
        <v>1020</v>
      </c>
      <c r="H945" s="15">
        <f>Tabla1[[#This Row],[Importe]]-Tabla1[[#This Row],[Pagado]]</f>
        <v>0</v>
      </c>
      <c r="I945" s="275" t="s">
        <v>15214</v>
      </c>
    </row>
    <row r="946" spans="1:9" x14ac:dyDescent="0.25">
      <c r="A946" s="16">
        <v>42924</v>
      </c>
      <c r="B946" s="273" t="s">
        <v>20790</v>
      </c>
      <c r="C946">
        <v>119100</v>
      </c>
      <c r="D946" s="236" t="s">
        <v>15324</v>
      </c>
      <c r="E946" s="15">
        <v>2430</v>
      </c>
      <c r="F946" s="274">
        <v>42924</v>
      </c>
      <c r="G946" s="15">
        <v>2430</v>
      </c>
      <c r="H946" s="15">
        <f>Tabla1[[#This Row],[Importe]]-Tabla1[[#This Row],[Pagado]]</f>
        <v>0</v>
      </c>
      <c r="I946" s="275" t="s">
        <v>15214</v>
      </c>
    </row>
    <row r="947" spans="1:9" ht="30" x14ac:dyDescent="0.25">
      <c r="A947" s="16">
        <v>42924</v>
      </c>
      <c r="B947" s="273" t="s">
        <v>20791</v>
      </c>
      <c r="C947">
        <v>119101</v>
      </c>
      <c r="D947" s="236" t="s">
        <v>15480</v>
      </c>
      <c r="E947" s="15">
        <v>11230.8</v>
      </c>
      <c r="F947" s="274" t="s">
        <v>20611</v>
      </c>
      <c r="G947" s="241">
        <f>6000+5230.8</f>
        <v>11230.8</v>
      </c>
      <c r="H947" s="241">
        <f>Tabla1[[#This Row],[Importe]]-Tabla1[[#This Row],[Pagado]]</f>
        <v>0</v>
      </c>
      <c r="I947" s="275" t="s">
        <v>15214</v>
      </c>
    </row>
    <row r="948" spans="1:9" x14ac:dyDescent="0.25">
      <c r="A948" s="16">
        <v>42924</v>
      </c>
      <c r="B948" s="273" t="s">
        <v>20792</v>
      </c>
      <c r="C948">
        <v>119102</v>
      </c>
      <c r="D948" s="236" t="s">
        <v>15668</v>
      </c>
      <c r="E948" s="15">
        <v>27560.400000000001</v>
      </c>
      <c r="F948" s="274">
        <v>42926</v>
      </c>
      <c r="G948" s="15">
        <v>27560.400000000001</v>
      </c>
      <c r="H948" s="15">
        <f>Tabla1[[#This Row],[Importe]]-Tabla1[[#This Row],[Pagado]]</f>
        <v>0</v>
      </c>
      <c r="I948" s="275" t="s">
        <v>15214</v>
      </c>
    </row>
    <row r="949" spans="1:9" x14ac:dyDescent="0.25">
      <c r="A949" s="16">
        <v>42924</v>
      </c>
      <c r="B949" s="273" t="s">
        <v>20793</v>
      </c>
      <c r="C949">
        <v>119103</v>
      </c>
      <c r="D949" s="236" t="s">
        <v>15272</v>
      </c>
      <c r="E949" s="15">
        <v>37524.800000000003</v>
      </c>
      <c r="F949" s="274">
        <v>42924</v>
      </c>
      <c r="G949" s="15">
        <v>37524.800000000003</v>
      </c>
      <c r="H949" s="15">
        <f>Tabla1[[#This Row],[Importe]]-Tabla1[[#This Row],[Pagado]]</f>
        <v>0</v>
      </c>
      <c r="I949" s="275" t="s">
        <v>15214</v>
      </c>
    </row>
    <row r="950" spans="1:9" x14ac:dyDescent="0.25">
      <c r="A950" s="16">
        <v>42924</v>
      </c>
      <c r="B950" s="273" t="s">
        <v>20794</v>
      </c>
      <c r="C950">
        <v>119104</v>
      </c>
      <c r="D950" s="236" t="s">
        <v>15272</v>
      </c>
      <c r="E950" s="15">
        <v>2201.3000000000002</v>
      </c>
      <c r="F950" s="274">
        <v>42924</v>
      </c>
      <c r="G950" s="15">
        <v>2201.3000000000002</v>
      </c>
      <c r="H950" s="15">
        <f>Tabla1[[#This Row],[Importe]]-Tabla1[[#This Row],[Pagado]]</f>
        <v>0</v>
      </c>
      <c r="I950" s="275" t="s">
        <v>15214</v>
      </c>
    </row>
    <row r="951" spans="1:9" x14ac:dyDescent="0.25">
      <c r="A951" s="16">
        <v>42924</v>
      </c>
      <c r="B951" s="273" t="s">
        <v>20795</v>
      </c>
      <c r="C951">
        <v>119105</v>
      </c>
      <c r="D951" s="236" t="s">
        <v>15223</v>
      </c>
      <c r="E951" s="15">
        <v>52437.9</v>
      </c>
      <c r="F951" s="274">
        <v>42960</v>
      </c>
      <c r="G951" s="15">
        <v>52437.9</v>
      </c>
      <c r="H951" s="15">
        <f>Tabla1[[#This Row],[Importe]]-Tabla1[[#This Row],[Pagado]]</f>
        <v>0</v>
      </c>
      <c r="I951" s="275" t="s">
        <v>15214</v>
      </c>
    </row>
    <row r="952" spans="1:9" ht="30" x14ac:dyDescent="0.25">
      <c r="A952" s="16">
        <v>42924</v>
      </c>
      <c r="B952" s="273" t="s">
        <v>20796</v>
      </c>
      <c r="C952">
        <v>119106</v>
      </c>
      <c r="D952" s="236" t="s">
        <v>15258</v>
      </c>
      <c r="E952" s="15">
        <v>27306.3</v>
      </c>
      <c r="F952" s="274" t="s">
        <v>20780</v>
      </c>
      <c r="G952" s="241">
        <f>13000+14306.3</f>
        <v>27306.3</v>
      </c>
      <c r="H952" s="241">
        <f>Tabla1[[#This Row],[Importe]]-Tabla1[[#This Row],[Pagado]]</f>
        <v>0</v>
      </c>
      <c r="I952" s="275" t="s">
        <v>15214</v>
      </c>
    </row>
    <row r="953" spans="1:9" x14ac:dyDescent="0.25">
      <c r="A953" s="16">
        <v>42924</v>
      </c>
      <c r="B953" s="273" t="s">
        <v>20797</v>
      </c>
      <c r="C953">
        <v>119107</v>
      </c>
      <c r="D953" s="236" t="s">
        <v>15315</v>
      </c>
      <c r="E953" s="15">
        <v>3945.6</v>
      </c>
      <c r="F953" s="274">
        <v>42924</v>
      </c>
      <c r="G953" s="15">
        <v>3945.6</v>
      </c>
      <c r="H953" s="15">
        <f>Tabla1[[#This Row],[Importe]]-Tabla1[[#This Row],[Pagado]]</f>
        <v>0</v>
      </c>
      <c r="I953" s="275" t="s">
        <v>15214</v>
      </c>
    </row>
    <row r="954" spans="1:9" x14ac:dyDescent="0.25">
      <c r="A954" s="16">
        <v>42924</v>
      </c>
      <c r="B954" s="273" t="s">
        <v>20798</v>
      </c>
      <c r="C954">
        <v>119108</v>
      </c>
      <c r="D954" s="236" t="s">
        <v>16116</v>
      </c>
      <c r="E954" s="15">
        <v>18374.400000000001</v>
      </c>
      <c r="F954" s="274">
        <v>42924</v>
      </c>
      <c r="G954" s="15">
        <v>18374.400000000001</v>
      </c>
      <c r="H954" s="15">
        <f>Tabla1[[#This Row],[Importe]]-Tabla1[[#This Row],[Pagado]]</f>
        <v>0</v>
      </c>
      <c r="I954" s="275" t="s">
        <v>15214</v>
      </c>
    </row>
    <row r="955" spans="1:9" x14ac:dyDescent="0.25">
      <c r="A955" s="16">
        <v>42924</v>
      </c>
      <c r="B955" s="273" t="s">
        <v>20799</v>
      </c>
      <c r="C955">
        <v>119109</v>
      </c>
      <c r="D955" s="236" t="s">
        <v>15315</v>
      </c>
      <c r="E955" s="15">
        <v>712.4</v>
      </c>
      <c r="F955" s="274">
        <v>42924</v>
      </c>
      <c r="G955" s="15">
        <v>712.4</v>
      </c>
      <c r="H955" s="15">
        <f>Tabla1[[#This Row],[Importe]]-Tabla1[[#This Row],[Pagado]]</f>
        <v>0</v>
      </c>
      <c r="I955" s="275" t="s">
        <v>15214</v>
      </c>
    </row>
    <row r="956" spans="1:9" x14ac:dyDescent="0.25">
      <c r="A956" s="16">
        <v>42924</v>
      </c>
      <c r="B956" s="273" t="s">
        <v>20800</v>
      </c>
      <c r="C956">
        <v>119110</v>
      </c>
      <c r="D956" s="236" t="s">
        <v>15315</v>
      </c>
      <c r="E956" s="15">
        <v>1086.5</v>
      </c>
      <c r="F956" s="274">
        <v>42924</v>
      </c>
      <c r="G956" s="15">
        <v>1086.5</v>
      </c>
      <c r="H956" s="15">
        <f>Tabla1[[#This Row],[Importe]]-Tabla1[[#This Row],[Pagado]]</f>
        <v>0</v>
      </c>
      <c r="I956" s="275" t="s">
        <v>15214</v>
      </c>
    </row>
    <row r="957" spans="1:9" x14ac:dyDescent="0.25">
      <c r="A957" s="16">
        <v>42924</v>
      </c>
      <c r="B957" s="273" t="s">
        <v>20801</v>
      </c>
      <c r="C957">
        <v>119111</v>
      </c>
      <c r="D957" s="236" t="s">
        <v>15258</v>
      </c>
      <c r="E957" s="15">
        <v>3313.8</v>
      </c>
      <c r="F957" s="274">
        <v>42926</v>
      </c>
      <c r="G957" s="15">
        <v>3313.8</v>
      </c>
      <c r="H957" s="15">
        <f>Tabla1[[#This Row],[Importe]]-Tabla1[[#This Row],[Pagado]]</f>
        <v>0</v>
      </c>
      <c r="I957" s="275" t="s">
        <v>15214</v>
      </c>
    </row>
    <row r="958" spans="1:9" x14ac:dyDescent="0.25">
      <c r="A958" s="16">
        <v>42924</v>
      </c>
      <c r="B958" s="273" t="s">
        <v>20802</v>
      </c>
      <c r="C958">
        <v>119112</v>
      </c>
      <c r="D958" s="236" t="s">
        <v>16116</v>
      </c>
      <c r="E958" s="15">
        <v>395</v>
      </c>
      <c r="F958" s="274">
        <v>42924</v>
      </c>
      <c r="G958" s="15">
        <v>395</v>
      </c>
      <c r="H958" s="15">
        <f>Tabla1[[#This Row],[Importe]]-Tabla1[[#This Row],[Pagado]]</f>
        <v>0</v>
      </c>
      <c r="I958" s="275" t="s">
        <v>15214</v>
      </c>
    </row>
    <row r="959" spans="1:9" x14ac:dyDescent="0.25">
      <c r="A959" s="16">
        <v>42924</v>
      </c>
      <c r="B959" s="273" t="s">
        <v>20803</v>
      </c>
      <c r="C959">
        <v>119113</v>
      </c>
      <c r="D959" s="236" t="s">
        <v>15655</v>
      </c>
      <c r="E959" s="15">
        <v>34239.599999999999</v>
      </c>
      <c r="F959" s="274">
        <v>42924</v>
      </c>
      <c r="G959" s="15">
        <v>34239.599999999999</v>
      </c>
      <c r="H959" s="15">
        <f>Tabla1[[#This Row],[Importe]]-Tabla1[[#This Row],[Pagado]]</f>
        <v>0</v>
      </c>
      <c r="I959" s="275" t="s">
        <v>15214</v>
      </c>
    </row>
    <row r="960" spans="1:9" x14ac:dyDescent="0.25">
      <c r="A960" s="16">
        <v>42924</v>
      </c>
      <c r="B960" s="273" t="s">
        <v>20804</v>
      </c>
      <c r="C960">
        <v>119114</v>
      </c>
      <c r="D960" s="236" t="s">
        <v>15236</v>
      </c>
      <c r="E960" s="15">
        <v>6518.4</v>
      </c>
      <c r="F960" s="274">
        <v>42927</v>
      </c>
      <c r="G960" s="15">
        <v>6518.4</v>
      </c>
      <c r="H960" s="15">
        <f>Tabla1[[#This Row],[Importe]]-Tabla1[[#This Row],[Pagado]]</f>
        <v>0</v>
      </c>
      <c r="I960" s="275" t="s">
        <v>15214</v>
      </c>
    </row>
    <row r="961" spans="1:9" x14ac:dyDescent="0.25">
      <c r="A961" s="16">
        <v>42924</v>
      </c>
      <c r="B961" s="273" t="s">
        <v>20805</v>
      </c>
      <c r="C961">
        <v>119115</v>
      </c>
      <c r="D961" s="236" t="s">
        <v>15510</v>
      </c>
      <c r="E961" s="15">
        <v>1227.5</v>
      </c>
      <c r="F961" s="274">
        <v>42924</v>
      </c>
      <c r="G961" s="15">
        <v>1227.5</v>
      </c>
      <c r="H961" s="15">
        <f>Tabla1[[#This Row],[Importe]]-Tabla1[[#This Row],[Pagado]]</f>
        <v>0</v>
      </c>
      <c r="I961" s="275" t="s">
        <v>15214</v>
      </c>
    </row>
    <row r="962" spans="1:9" x14ac:dyDescent="0.25">
      <c r="A962" s="16">
        <v>42924</v>
      </c>
      <c r="B962" s="273" t="s">
        <v>20806</v>
      </c>
      <c r="C962">
        <v>119116</v>
      </c>
      <c r="D962" s="236" t="s">
        <v>19776</v>
      </c>
      <c r="E962" s="15">
        <v>7500</v>
      </c>
      <c r="F962" s="274">
        <v>42924</v>
      </c>
      <c r="G962" s="15">
        <v>7500</v>
      </c>
      <c r="H962" s="15">
        <f>Tabla1[[#This Row],[Importe]]-Tabla1[[#This Row],[Pagado]]</f>
        <v>0</v>
      </c>
      <c r="I962" s="275" t="s">
        <v>15214</v>
      </c>
    </row>
    <row r="963" spans="1:9" ht="30" x14ac:dyDescent="0.25">
      <c r="A963" s="16">
        <v>42924</v>
      </c>
      <c r="B963" s="273" t="s">
        <v>20807</v>
      </c>
      <c r="C963">
        <v>119117</v>
      </c>
      <c r="D963" s="236" t="s">
        <v>15234</v>
      </c>
      <c r="E963" s="15">
        <v>9416.4</v>
      </c>
      <c r="F963" s="274" t="s">
        <v>20808</v>
      </c>
      <c r="G963" s="241">
        <f>4000+5416.4</f>
        <v>9416.4</v>
      </c>
      <c r="H963" s="241">
        <f>Tabla1[[#This Row],[Importe]]-Tabla1[[#This Row],[Pagado]]</f>
        <v>0</v>
      </c>
      <c r="I963" s="275" t="s">
        <v>15214</v>
      </c>
    </row>
    <row r="964" spans="1:9" ht="30" x14ac:dyDescent="0.25">
      <c r="A964" s="16">
        <v>42924</v>
      </c>
      <c r="B964" s="273" t="s">
        <v>20809</v>
      </c>
      <c r="C964">
        <v>119118</v>
      </c>
      <c r="D964" s="236" t="s">
        <v>5575</v>
      </c>
      <c r="E964" s="15">
        <v>14682.4</v>
      </c>
      <c r="F964" s="274" t="s">
        <v>20780</v>
      </c>
      <c r="G964" s="241">
        <f>11000+3682.4</f>
        <v>14682.4</v>
      </c>
      <c r="H964" s="241">
        <f>Tabla1[[#This Row],[Importe]]-Tabla1[[#This Row],[Pagado]]</f>
        <v>0</v>
      </c>
      <c r="I964" s="275" t="s">
        <v>15214</v>
      </c>
    </row>
    <row r="965" spans="1:9" x14ac:dyDescent="0.25">
      <c r="A965" s="16">
        <v>42924</v>
      </c>
      <c r="B965" s="273" t="s">
        <v>20810</v>
      </c>
      <c r="C965">
        <v>119119</v>
      </c>
      <c r="D965" s="236" t="s">
        <v>15238</v>
      </c>
      <c r="E965" s="15">
        <v>1808</v>
      </c>
      <c r="F965" s="274">
        <v>42927</v>
      </c>
      <c r="G965" s="15">
        <v>1808</v>
      </c>
      <c r="H965" s="15">
        <f>Tabla1[[#This Row],[Importe]]-Tabla1[[#This Row],[Pagado]]</f>
        <v>0</v>
      </c>
      <c r="I965" s="275" t="s">
        <v>15214</v>
      </c>
    </row>
    <row r="966" spans="1:9" x14ac:dyDescent="0.25">
      <c r="A966" s="16">
        <v>42924</v>
      </c>
      <c r="B966" s="273" t="s">
        <v>20811</v>
      </c>
      <c r="C966">
        <v>119120</v>
      </c>
      <c r="D966" s="236" t="s">
        <v>15284</v>
      </c>
      <c r="E966" s="15">
        <v>2617.36</v>
      </c>
      <c r="F966" s="274">
        <v>42924</v>
      </c>
      <c r="G966" s="15">
        <v>2617.36</v>
      </c>
      <c r="H966" s="15">
        <f>Tabla1[[#This Row],[Importe]]-Tabla1[[#This Row],[Pagado]]</f>
        <v>0</v>
      </c>
      <c r="I966" s="275" t="s">
        <v>15214</v>
      </c>
    </row>
    <row r="967" spans="1:9" x14ac:dyDescent="0.25">
      <c r="A967" s="16">
        <v>42924</v>
      </c>
      <c r="B967" s="273" t="s">
        <v>20812</v>
      </c>
      <c r="C967">
        <v>119121</v>
      </c>
      <c r="D967" s="236" t="s">
        <v>15315</v>
      </c>
      <c r="E967" s="15">
        <v>4056</v>
      </c>
      <c r="F967" s="274">
        <v>42924</v>
      </c>
      <c r="G967" s="15">
        <v>4056</v>
      </c>
      <c r="H967" s="15">
        <f>Tabla1[[#This Row],[Importe]]-Tabla1[[#This Row],[Pagado]]</f>
        <v>0</v>
      </c>
      <c r="I967" s="275" t="s">
        <v>15214</v>
      </c>
    </row>
    <row r="968" spans="1:9" x14ac:dyDescent="0.25">
      <c r="A968" s="16">
        <v>42924</v>
      </c>
      <c r="B968" s="273" t="s">
        <v>20813</v>
      </c>
      <c r="C968">
        <v>119122</v>
      </c>
      <c r="D968" s="236" t="s">
        <v>15246</v>
      </c>
      <c r="E968" s="15">
        <v>62238.1</v>
      </c>
      <c r="F968" s="274">
        <v>42933</v>
      </c>
      <c r="G968" s="15">
        <v>62238.1</v>
      </c>
      <c r="H968" s="15">
        <f>Tabla1[[#This Row],[Importe]]-Tabla1[[#This Row],[Pagado]]</f>
        <v>0</v>
      </c>
      <c r="I968" s="275" t="s">
        <v>15214</v>
      </c>
    </row>
    <row r="969" spans="1:9" x14ac:dyDescent="0.25">
      <c r="A969" s="16">
        <v>42924</v>
      </c>
      <c r="B969" s="273" t="s">
        <v>20814</v>
      </c>
      <c r="C969">
        <v>119123</v>
      </c>
      <c r="D969" s="236" t="s">
        <v>17277</v>
      </c>
      <c r="E969" s="15">
        <v>2312.4</v>
      </c>
      <c r="F969" s="274">
        <v>42924</v>
      </c>
      <c r="G969" s="15">
        <v>2312.4</v>
      </c>
      <c r="H969" s="15">
        <f>Tabla1[[#This Row],[Importe]]-Tabla1[[#This Row],[Pagado]]</f>
        <v>0</v>
      </c>
      <c r="I969" s="275" t="s">
        <v>15214</v>
      </c>
    </row>
    <row r="970" spans="1:9" x14ac:dyDescent="0.25">
      <c r="A970" s="16">
        <v>42924</v>
      </c>
      <c r="B970" s="273" t="s">
        <v>20815</v>
      </c>
      <c r="C970">
        <v>119124</v>
      </c>
      <c r="D970" s="236" t="s">
        <v>16023</v>
      </c>
      <c r="E970" s="15">
        <v>506.1</v>
      </c>
      <c r="F970" s="274">
        <v>42924</v>
      </c>
      <c r="G970" s="15">
        <v>506.1</v>
      </c>
      <c r="H970" s="15">
        <f>Tabla1[[#This Row],[Importe]]-Tabla1[[#This Row],[Pagado]]</f>
        <v>0</v>
      </c>
      <c r="I970" s="275" t="s">
        <v>15214</v>
      </c>
    </row>
    <row r="971" spans="1:9" x14ac:dyDescent="0.25">
      <c r="A971" s="16">
        <v>42924</v>
      </c>
      <c r="B971" s="273" t="s">
        <v>20816</v>
      </c>
      <c r="C971">
        <v>119125</v>
      </c>
      <c r="D971" s="236" t="s">
        <v>15263</v>
      </c>
      <c r="E971" s="15">
        <v>3481.3</v>
      </c>
      <c r="F971" s="274">
        <v>42924</v>
      </c>
      <c r="G971" s="15">
        <v>3481.3</v>
      </c>
      <c r="H971" s="15">
        <f>Tabla1[[#This Row],[Importe]]-Tabla1[[#This Row],[Pagado]]</f>
        <v>0</v>
      </c>
      <c r="I971" s="275" t="s">
        <v>15214</v>
      </c>
    </row>
    <row r="972" spans="1:9" x14ac:dyDescent="0.25">
      <c r="A972" s="16">
        <v>42924</v>
      </c>
      <c r="B972" s="273" t="s">
        <v>20817</v>
      </c>
      <c r="C972">
        <v>119126</v>
      </c>
      <c r="D972" s="236" t="s">
        <v>15378</v>
      </c>
      <c r="E972" s="15">
        <v>2906.3</v>
      </c>
      <c r="F972" s="274">
        <v>42924</v>
      </c>
      <c r="G972" s="15">
        <v>2906.3</v>
      </c>
      <c r="H972" s="15">
        <f>Tabla1[[#This Row],[Importe]]-Tabla1[[#This Row],[Pagado]]</f>
        <v>0</v>
      </c>
      <c r="I972" s="275" t="s">
        <v>15214</v>
      </c>
    </row>
    <row r="973" spans="1:9" x14ac:dyDescent="0.25">
      <c r="A973" s="16">
        <v>42924</v>
      </c>
      <c r="B973" s="273" t="s">
        <v>20818</v>
      </c>
      <c r="C973">
        <v>119127</v>
      </c>
      <c r="D973" s="236" t="s">
        <v>15530</v>
      </c>
      <c r="E973" s="15">
        <v>3963.6</v>
      </c>
      <c r="F973" s="274">
        <v>42924</v>
      </c>
      <c r="G973" s="15">
        <v>3963.6</v>
      </c>
      <c r="H973" s="15">
        <f>Tabla1[[#This Row],[Importe]]-Tabla1[[#This Row],[Pagado]]</f>
        <v>0</v>
      </c>
      <c r="I973" s="275" t="s">
        <v>15214</v>
      </c>
    </row>
    <row r="974" spans="1:9" x14ac:dyDescent="0.25">
      <c r="A974" s="16">
        <v>42924</v>
      </c>
      <c r="B974" s="273" t="s">
        <v>20819</v>
      </c>
      <c r="C974">
        <v>119128</v>
      </c>
      <c r="D974" s="236" t="s">
        <v>15350</v>
      </c>
      <c r="E974" s="15">
        <v>1887</v>
      </c>
      <c r="F974" s="274">
        <v>42924</v>
      </c>
      <c r="G974" s="15">
        <v>1887</v>
      </c>
      <c r="H974" s="15">
        <f>Tabla1[[#This Row],[Importe]]-Tabla1[[#This Row],[Pagado]]</f>
        <v>0</v>
      </c>
      <c r="I974" s="275" t="s">
        <v>15214</v>
      </c>
    </row>
    <row r="975" spans="1:9" x14ac:dyDescent="0.25">
      <c r="A975" s="16">
        <v>42924</v>
      </c>
      <c r="B975" s="273" t="s">
        <v>20820</v>
      </c>
      <c r="C975">
        <v>119129</v>
      </c>
      <c r="D975" s="236" t="s">
        <v>15523</v>
      </c>
      <c r="E975" s="15">
        <v>4590</v>
      </c>
      <c r="F975" s="274">
        <v>42926</v>
      </c>
      <c r="G975" s="15">
        <v>4590</v>
      </c>
      <c r="H975" s="15">
        <f>Tabla1[[#This Row],[Importe]]-Tabla1[[#This Row],[Pagado]]</f>
        <v>0</v>
      </c>
      <c r="I975" s="275" t="s">
        <v>15214</v>
      </c>
    </row>
    <row r="976" spans="1:9" x14ac:dyDescent="0.25">
      <c r="A976" s="16">
        <v>42924</v>
      </c>
      <c r="B976" s="273" t="s">
        <v>20821</v>
      </c>
      <c r="C976">
        <v>119130</v>
      </c>
      <c r="D976" s="236" t="s">
        <v>15858</v>
      </c>
      <c r="E976" s="15">
        <v>4852.3599999999997</v>
      </c>
      <c r="F976" s="274">
        <v>42924</v>
      </c>
      <c r="G976" s="15">
        <v>4852.3599999999997</v>
      </c>
      <c r="H976" s="15">
        <f>Tabla1[[#This Row],[Importe]]-Tabla1[[#This Row],[Pagado]]</f>
        <v>0</v>
      </c>
      <c r="I976" s="275" t="s">
        <v>15214</v>
      </c>
    </row>
    <row r="977" spans="1:9" x14ac:dyDescent="0.25">
      <c r="A977" s="16">
        <v>42924</v>
      </c>
      <c r="B977" s="273" t="s">
        <v>20822</v>
      </c>
      <c r="C977">
        <v>119131</v>
      </c>
      <c r="D977" s="236" t="s">
        <v>15282</v>
      </c>
      <c r="E977" s="15">
        <v>3361.4</v>
      </c>
      <c r="F977" s="274">
        <v>42924</v>
      </c>
      <c r="G977" s="15">
        <v>3361.4</v>
      </c>
      <c r="H977" s="15">
        <f>Tabla1[[#This Row],[Importe]]-Tabla1[[#This Row],[Pagado]]</f>
        <v>0</v>
      </c>
      <c r="I977" s="275" t="s">
        <v>15214</v>
      </c>
    </row>
    <row r="978" spans="1:9" x14ac:dyDescent="0.25">
      <c r="A978" s="16">
        <v>42924</v>
      </c>
      <c r="B978" s="273" t="s">
        <v>20823</v>
      </c>
      <c r="C978">
        <v>119132</v>
      </c>
      <c r="D978" s="236" t="s">
        <v>15213</v>
      </c>
      <c r="E978" s="15">
        <v>433.4</v>
      </c>
      <c r="F978" s="274">
        <v>42926</v>
      </c>
      <c r="G978" s="15">
        <v>433.4</v>
      </c>
      <c r="H978" s="15">
        <f>Tabla1[[#This Row],[Importe]]-Tabla1[[#This Row],[Pagado]]</f>
        <v>0</v>
      </c>
      <c r="I978" s="275" t="s">
        <v>15214</v>
      </c>
    </row>
    <row r="979" spans="1:9" x14ac:dyDescent="0.25">
      <c r="A979" s="16">
        <v>42924</v>
      </c>
      <c r="B979" s="273" t="s">
        <v>20824</v>
      </c>
      <c r="C979">
        <v>119133</v>
      </c>
      <c r="D979" s="236" t="s">
        <v>15280</v>
      </c>
      <c r="E979" s="15">
        <v>11886.6</v>
      </c>
      <c r="F979" s="274">
        <v>42924</v>
      </c>
      <c r="G979" s="15">
        <v>11886.6</v>
      </c>
      <c r="H979" s="15">
        <f>Tabla1[[#This Row],[Importe]]-Tabla1[[#This Row],[Pagado]]</f>
        <v>0</v>
      </c>
      <c r="I979" s="275" t="s">
        <v>15214</v>
      </c>
    </row>
    <row r="980" spans="1:9" x14ac:dyDescent="0.25">
      <c r="A980" s="16">
        <v>42924</v>
      </c>
      <c r="B980" s="273" t="s">
        <v>20825</v>
      </c>
      <c r="C980">
        <v>119134</v>
      </c>
      <c r="D980" s="236" t="s">
        <v>15396</v>
      </c>
      <c r="E980" s="15">
        <v>10455.16</v>
      </c>
      <c r="F980" s="274">
        <v>42924</v>
      </c>
      <c r="G980" s="15">
        <v>10455.16</v>
      </c>
      <c r="H980" s="15">
        <f>Tabla1[[#This Row],[Importe]]-Tabla1[[#This Row],[Pagado]]</f>
        <v>0</v>
      </c>
      <c r="I980" s="275" t="s">
        <v>15214</v>
      </c>
    </row>
    <row r="981" spans="1:9" ht="15.75" x14ac:dyDescent="0.25">
      <c r="A981" s="16">
        <v>42924</v>
      </c>
      <c r="B981" s="273" t="s">
        <v>20826</v>
      </c>
      <c r="C981">
        <v>119135</v>
      </c>
      <c r="D981" s="248" t="s">
        <v>95</v>
      </c>
      <c r="E981" s="15">
        <v>0</v>
      </c>
      <c r="F981" s="277" t="s">
        <v>95</v>
      </c>
      <c r="G981" s="15">
        <v>0</v>
      </c>
      <c r="H981" s="15">
        <f>Tabla1[[#This Row],[Importe]]-Tabla1[[#This Row],[Pagado]]</f>
        <v>0</v>
      </c>
      <c r="I981" s="275" t="s">
        <v>95</v>
      </c>
    </row>
    <row r="982" spans="1:9" x14ac:dyDescent="0.25">
      <c r="A982" s="16">
        <v>42924</v>
      </c>
      <c r="B982" s="273" t="s">
        <v>20827</v>
      </c>
      <c r="C982">
        <v>119136</v>
      </c>
      <c r="D982" s="236" t="s">
        <v>17430</v>
      </c>
      <c r="E982" s="15">
        <v>40</v>
      </c>
      <c r="F982" s="274">
        <v>42924</v>
      </c>
      <c r="G982" s="15">
        <v>40</v>
      </c>
      <c r="H982" s="15">
        <f>Tabla1[[#This Row],[Importe]]-Tabla1[[#This Row],[Pagado]]</f>
        <v>0</v>
      </c>
      <c r="I982" s="275" t="s">
        <v>15214</v>
      </c>
    </row>
    <row r="983" spans="1:9" x14ac:dyDescent="0.25">
      <c r="A983" s="16">
        <v>42924</v>
      </c>
      <c r="B983" s="273" t="s">
        <v>20828</v>
      </c>
      <c r="C983">
        <v>119137</v>
      </c>
      <c r="D983" s="236" t="s">
        <v>15326</v>
      </c>
      <c r="E983" s="15">
        <v>4523.8999999999996</v>
      </c>
      <c r="F983" s="274">
        <v>42924</v>
      </c>
      <c r="G983" s="15">
        <v>4523.8999999999996</v>
      </c>
      <c r="H983" s="15">
        <f>Tabla1[[#This Row],[Importe]]-Tabla1[[#This Row],[Pagado]]</f>
        <v>0</v>
      </c>
      <c r="I983" s="275" t="s">
        <v>15214</v>
      </c>
    </row>
    <row r="984" spans="1:9" x14ac:dyDescent="0.25">
      <c r="A984" s="16">
        <v>42924</v>
      </c>
      <c r="B984" s="273" t="s">
        <v>20829</v>
      </c>
      <c r="C984">
        <v>119138</v>
      </c>
      <c r="D984" s="236" t="s">
        <v>15226</v>
      </c>
      <c r="E984" s="15">
        <v>2325.1999999999998</v>
      </c>
      <c r="F984" s="274">
        <v>42928</v>
      </c>
      <c r="G984" s="15">
        <v>2325.1999999999998</v>
      </c>
      <c r="H984" s="15">
        <f>Tabla1[[#This Row],[Importe]]-Tabla1[[#This Row],[Pagado]]</f>
        <v>0</v>
      </c>
      <c r="I984" s="275" t="s">
        <v>15214</v>
      </c>
    </row>
    <row r="985" spans="1:9" x14ac:dyDescent="0.25">
      <c r="A985" s="16">
        <v>42924</v>
      </c>
      <c r="B985" s="273" t="s">
        <v>20830</v>
      </c>
      <c r="C985">
        <v>119139</v>
      </c>
      <c r="D985" s="236" t="s">
        <v>15555</v>
      </c>
      <c r="E985" s="15">
        <v>5109.6000000000004</v>
      </c>
      <c r="F985" s="274">
        <v>42930</v>
      </c>
      <c r="G985" s="15">
        <v>5109.6000000000004</v>
      </c>
      <c r="H985" s="15">
        <f>Tabla1[[#This Row],[Importe]]-Tabla1[[#This Row],[Pagado]]</f>
        <v>0</v>
      </c>
      <c r="I985" s="275" t="s">
        <v>15214</v>
      </c>
    </row>
    <row r="986" spans="1:9" x14ac:dyDescent="0.25">
      <c r="A986" s="16">
        <v>42924</v>
      </c>
      <c r="B986" s="273" t="s">
        <v>20831</v>
      </c>
      <c r="C986">
        <v>119140</v>
      </c>
      <c r="D986" s="236" t="s">
        <v>15315</v>
      </c>
      <c r="E986" s="15">
        <v>9112.4</v>
      </c>
      <c r="F986" s="274">
        <v>42928</v>
      </c>
      <c r="G986" s="15">
        <v>9112.4</v>
      </c>
      <c r="H986" s="15">
        <f>Tabla1[[#This Row],[Importe]]-Tabla1[[#This Row],[Pagado]]</f>
        <v>0</v>
      </c>
      <c r="I986" s="275" t="s">
        <v>15214</v>
      </c>
    </row>
    <row r="987" spans="1:9" x14ac:dyDescent="0.25">
      <c r="A987" s="16">
        <v>42924</v>
      </c>
      <c r="B987" s="273" t="s">
        <v>20832</v>
      </c>
      <c r="C987">
        <v>119141</v>
      </c>
      <c r="D987" s="236" t="s">
        <v>16040</v>
      </c>
      <c r="E987" s="15">
        <v>9585.6</v>
      </c>
      <c r="F987" s="274">
        <v>42930</v>
      </c>
      <c r="G987" s="15">
        <v>9585.6</v>
      </c>
      <c r="H987" s="15">
        <f>Tabla1[[#This Row],[Importe]]-Tabla1[[#This Row],[Pagado]]</f>
        <v>0</v>
      </c>
      <c r="I987" s="275" t="s">
        <v>15214</v>
      </c>
    </row>
    <row r="988" spans="1:9" x14ac:dyDescent="0.25">
      <c r="A988" s="16">
        <v>42924</v>
      </c>
      <c r="B988" s="273" t="s">
        <v>20833</v>
      </c>
      <c r="C988">
        <v>119142</v>
      </c>
      <c r="D988" s="236" t="s">
        <v>15315</v>
      </c>
      <c r="E988" s="15">
        <v>38427.15</v>
      </c>
      <c r="F988" s="274">
        <v>42928</v>
      </c>
      <c r="G988" s="15">
        <v>38427.15</v>
      </c>
      <c r="H988" s="15">
        <f>Tabla1[[#This Row],[Importe]]-Tabla1[[#This Row],[Pagado]]</f>
        <v>0</v>
      </c>
      <c r="I988" s="275" t="s">
        <v>15214</v>
      </c>
    </row>
    <row r="989" spans="1:9" x14ac:dyDescent="0.25">
      <c r="A989" s="16">
        <v>42924</v>
      </c>
      <c r="B989" s="273" t="s">
        <v>20834</v>
      </c>
      <c r="C989">
        <v>119143</v>
      </c>
      <c r="D989" s="236" t="s">
        <v>15539</v>
      </c>
      <c r="E989" s="15">
        <v>17739.599999999999</v>
      </c>
      <c r="F989" s="274">
        <v>42928</v>
      </c>
      <c r="G989" s="15">
        <v>17739.599999999999</v>
      </c>
      <c r="H989" s="15">
        <f>Tabla1[[#This Row],[Importe]]-Tabla1[[#This Row],[Pagado]]</f>
        <v>0</v>
      </c>
      <c r="I989" s="275" t="s">
        <v>15214</v>
      </c>
    </row>
    <row r="990" spans="1:9" x14ac:dyDescent="0.25">
      <c r="A990" s="16">
        <v>42924</v>
      </c>
      <c r="B990" s="273" t="s">
        <v>20835</v>
      </c>
      <c r="C990">
        <v>119144</v>
      </c>
      <c r="D990" s="236" t="s">
        <v>17708</v>
      </c>
      <c r="E990" s="15">
        <v>10904.8</v>
      </c>
      <c r="F990" s="274">
        <v>42928</v>
      </c>
      <c r="G990" s="15">
        <v>10904.8</v>
      </c>
      <c r="H990" s="15">
        <f>Tabla1[[#This Row],[Importe]]-Tabla1[[#This Row],[Pagado]]</f>
        <v>0</v>
      </c>
      <c r="I990" s="275" t="s">
        <v>15214</v>
      </c>
    </row>
    <row r="991" spans="1:9" x14ac:dyDescent="0.25">
      <c r="A991" s="16">
        <v>42924</v>
      </c>
      <c r="B991" s="273" t="s">
        <v>20836</v>
      </c>
      <c r="C991">
        <v>119145</v>
      </c>
      <c r="D991" s="236" t="s">
        <v>15246</v>
      </c>
      <c r="E991" s="15">
        <v>1056</v>
      </c>
      <c r="F991" s="274">
        <v>42933</v>
      </c>
      <c r="G991" s="15">
        <v>1056</v>
      </c>
      <c r="H991" s="15">
        <f>Tabla1[[#This Row],[Importe]]-Tabla1[[#This Row],[Pagado]]</f>
        <v>0</v>
      </c>
      <c r="I991" s="275" t="s">
        <v>15214</v>
      </c>
    </row>
    <row r="992" spans="1:9" x14ac:dyDescent="0.25">
      <c r="A992" s="16">
        <v>42924</v>
      </c>
      <c r="B992" s="273" t="s">
        <v>20837</v>
      </c>
      <c r="C992">
        <v>119146</v>
      </c>
      <c r="D992" s="236" t="s">
        <v>15254</v>
      </c>
      <c r="E992" s="15">
        <v>9385</v>
      </c>
      <c r="F992" s="274">
        <v>42934</v>
      </c>
      <c r="G992" s="15">
        <v>9385</v>
      </c>
      <c r="H992" s="15">
        <f>Tabla1[[#This Row],[Importe]]-Tabla1[[#This Row],[Pagado]]</f>
        <v>0</v>
      </c>
      <c r="I992" s="275" t="s">
        <v>15214</v>
      </c>
    </row>
    <row r="993" spans="1:9" x14ac:dyDescent="0.25">
      <c r="A993" s="16">
        <v>42924</v>
      </c>
      <c r="B993" s="273" t="s">
        <v>20838</v>
      </c>
      <c r="C993">
        <v>119147</v>
      </c>
      <c r="D993" s="236" t="s">
        <v>15541</v>
      </c>
      <c r="E993" s="15">
        <v>3292.28</v>
      </c>
      <c r="F993" s="274">
        <v>42924</v>
      </c>
      <c r="G993" s="15">
        <v>3292.28</v>
      </c>
      <c r="H993" s="15">
        <f>Tabla1[[#This Row],[Importe]]-Tabla1[[#This Row],[Pagado]]</f>
        <v>0</v>
      </c>
      <c r="I993" s="275" t="s">
        <v>15214</v>
      </c>
    </row>
    <row r="994" spans="1:9" x14ac:dyDescent="0.25">
      <c r="A994" s="16">
        <v>42924</v>
      </c>
      <c r="B994" s="273" t="s">
        <v>20839</v>
      </c>
      <c r="C994">
        <v>119148</v>
      </c>
      <c r="D994" s="236" t="s">
        <v>15252</v>
      </c>
      <c r="E994" s="15">
        <v>8996.2999999999993</v>
      </c>
      <c r="F994" s="274">
        <v>42928</v>
      </c>
      <c r="G994" s="15">
        <v>8996.2999999999993</v>
      </c>
      <c r="H994" s="15">
        <f>Tabla1[[#This Row],[Importe]]-Tabla1[[#This Row],[Pagado]]</f>
        <v>0</v>
      </c>
      <c r="I994" s="275" t="s">
        <v>15214</v>
      </c>
    </row>
    <row r="995" spans="1:9" x14ac:dyDescent="0.25">
      <c r="A995" s="16">
        <v>42924</v>
      </c>
      <c r="B995" s="273" t="s">
        <v>20840</v>
      </c>
      <c r="C995">
        <v>119149</v>
      </c>
      <c r="D995" s="236" t="s">
        <v>15244</v>
      </c>
      <c r="E995" s="15">
        <v>12780.4</v>
      </c>
      <c r="F995" s="274">
        <v>42934</v>
      </c>
      <c r="G995" s="15">
        <v>12780.4</v>
      </c>
      <c r="H995" s="15">
        <f>Tabla1[[#This Row],[Importe]]-Tabla1[[#This Row],[Pagado]]</f>
        <v>0</v>
      </c>
      <c r="I995" s="275" t="s">
        <v>15214</v>
      </c>
    </row>
    <row r="996" spans="1:9" x14ac:dyDescent="0.25">
      <c r="A996" s="16">
        <v>42924</v>
      </c>
      <c r="B996" s="273" t="s">
        <v>20841</v>
      </c>
      <c r="C996">
        <v>119150</v>
      </c>
      <c r="D996" s="236" t="s">
        <v>15549</v>
      </c>
      <c r="E996" s="15">
        <v>4690.3999999999996</v>
      </c>
      <c r="F996" s="274">
        <v>42924</v>
      </c>
      <c r="G996" s="15">
        <v>4690.3999999999996</v>
      </c>
      <c r="H996" s="15">
        <f>Tabla1[[#This Row],[Importe]]-Tabla1[[#This Row],[Pagado]]</f>
        <v>0</v>
      </c>
      <c r="I996" s="275" t="s">
        <v>15214</v>
      </c>
    </row>
    <row r="997" spans="1:9" x14ac:dyDescent="0.25">
      <c r="A997" s="16">
        <v>42924</v>
      </c>
      <c r="B997" s="273" t="s">
        <v>20842</v>
      </c>
      <c r="C997">
        <v>119151</v>
      </c>
      <c r="D997" s="236" t="s">
        <v>15884</v>
      </c>
      <c r="E997" s="15">
        <v>4350</v>
      </c>
      <c r="F997" s="274">
        <v>42924</v>
      </c>
      <c r="G997" s="15">
        <v>4350</v>
      </c>
      <c r="H997" s="15">
        <f>Tabla1[[#This Row],[Importe]]-Tabla1[[#This Row],[Pagado]]</f>
        <v>0</v>
      </c>
      <c r="I997" s="275" t="s">
        <v>15214</v>
      </c>
    </row>
    <row r="998" spans="1:9" x14ac:dyDescent="0.25">
      <c r="A998" s="16">
        <v>42924</v>
      </c>
      <c r="B998" s="273" t="s">
        <v>20843</v>
      </c>
      <c r="C998">
        <v>119152</v>
      </c>
      <c r="D998" s="236" t="s">
        <v>15537</v>
      </c>
      <c r="E998" s="15">
        <v>22289.200000000001</v>
      </c>
      <c r="F998" s="274">
        <v>42928</v>
      </c>
      <c r="G998" s="15">
        <v>22289.200000000001</v>
      </c>
      <c r="H998" s="15">
        <f>Tabla1[[#This Row],[Importe]]-Tabla1[[#This Row],[Pagado]]</f>
        <v>0</v>
      </c>
      <c r="I998" s="275" t="s">
        <v>15214</v>
      </c>
    </row>
    <row r="999" spans="1:9" x14ac:dyDescent="0.25">
      <c r="A999" s="16">
        <v>42924</v>
      </c>
      <c r="B999" s="273" t="s">
        <v>20844</v>
      </c>
      <c r="C999">
        <v>119153</v>
      </c>
      <c r="D999" s="236" t="s">
        <v>15315</v>
      </c>
      <c r="E999" s="15">
        <v>6964</v>
      </c>
      <c r="F999" s="274">
        <v>42928</v>
      </c>
      <c r="G999" s="15">
        <v>6964</v>
      </c>
      <c r="H999" s="15">
        <f>Tabla1[[#This Row],[Importe]]-Tabla1[[#This Row],[Pagado]]</f>
        <v>0</v>
      </c>
      <c r="I999" s="275" t="s">
        <v>15214</v>
      </c>
    </row>
    <row r="1000" spans="1:9" x14ac:dyDescent="0.25">
      <c r="A1000" s="16">
        <v>42924</v>
      </c>
      <c r="B1000" s="273" t="s">
        <v>20845</v>
      </c>
      <c r="C1000">
        <v>119154</v>
      </c>
      <c r="D1000" s="236" t="s">
        <v>15559</v>
      </c>
      <c r="E1000" s="15">
        <v>1257.2</v>
      </c>
      <c r="F1000" s="274">
        <v>42928</v>
      </c>
      <c r="G1000" s="15">
        <v>1257.2</v>
      </c>
      <c r="H1000" s="15">
        <f>Tabla1[[#This Row],[Importe]]-Tabla1[[#This Row],[Pagado]]</f>
        <v>0</v>
      </c>
      <c r="I1000" s="275" t="s">
        <v>15214</v>
      </c>
    </row>
    <row r="1001" spans="1:9" x14ac:dyDescent="0.25">
      <c r="A1001" s="16">
        <v>42924</v>
      </c>
      <c r="B1001" s="273" t="s">
        <v>20846</v>
      </c>
      <c r="C1001">
        <v>119155</v>
      </c>
      <c r="D1001" s="236" t="s">
        <v>15544</v>
      </c>
      <c r="E1001" s="15">
        <v>2997.8</v>
      </c>
      <c r="F1001" s="274">
        <v>42928</v>
      </c>
      <c r="G1001" s="15">
        <v>2997.8</v>
      </c>
      <c r="H1001" s="15">
        <f>Tabla1[[#This Row],[Importe]]-Tabla1[[#This Row],[Pagado]]</f>
        <v>0</v>
      </c>
      <c r="I1001" s="275" t="s">
        <v>15214</v>
      </c>
    </row>
    <row r="1002" spans="1:9" x14ac:dyDescent="0.25">
      <c r="A1002" s="16">
        <v>42924</v>
      </c>
      <c r="B1002" s="273" t="s">
        <v>20847</v>
      </c>
      <c r="C1002">
        <v>119156</v>
      </c>
      <c r="D1002" s="236" t="s">
        <v>15315</v>
      </c>
      <c r="E1002" s="15">
        <v>2475.1999999999998</v>
      </c>
      <c r="F1002" s="274">
        <v>42924</v>
      </c>
      <c r="G1002" s="15">
        <v>2475.1999999999998</v>
      </c>
      <c r="H1002" s="15">
        <f>Tabla1[[#This Row],[Importe]]-Tabla1[[#This Row],[Pagado]]</f>
        <v>0</v>
      </c>
      <c r="I1002" s="275" t="s">
        <v>15214</v>
      </c>
    </row>
    <row r="1003" spans="1:9" x14ac:dyDescent="0.25">
      <c r="A1003" s="16">
        <v>42924</v>
      </c>
      <c r="B1003" s="273" t="s">
        <v>20848</v>
      </c>
      <c r="C1003">
        <v>119157</v>
      </c>
      <c r="D1003" s="236" t="s">
        <v>15398</v>
      </c>
      <c r="E1003" s="15">
        <v>3305.25</v>
      </c>
      <c r="F1003" s="274">
        <v>42924</v>
      </c>
      <c r="G1003" s="15">
        <v>3305.25</v>
      </c>
      <c r="H1003" s="15">
        <f>Tabla1[[#This Row],[Importe]]-Tabla1[[#This Row],[Pagado]]</f>
        <v>0</v>
      </c>
      <c r="I1003" s="275" t="s">
        <v>15214</v>
      </c>
    </row>
    <row r="1004" spans="1:9" x14ac:dyDescent="0.25">
      <c r="A1004" s="16">
        <v>42924</v>
      </c>
      <c r="B1004" s="273" t="s">
        <v>20849</v>
      </c>
      <c r="C1004">
        <v>119158</v>
      </c>
      <c r="D1004" s="236" t="s">
        <v>15274</v>
      </c>
      <c r="E1004" s="15">
        <v>2550</v>
      </c>
      <c r="F1004" s="274">
        <v>42924</v>
      </c>
      <c r="G1004" s="15">
        <v>2550</v>
      </c>
      <c r="H1004" s="15">
        <f>Tabla1[[#This Row],[Importe]]-Tabla1[[#This Row],[Pagado]]</f>
        <v>0</v>
      </c>
      <c r="I1004" s="275" t="s">
        <v>15214</v>
      </c>
    </row>
    <row r="1005" spans="1:9" x14ac:dyDescent="0.25">
      <c r="A1005" s="16">
        <v>42924</v>
      </c>
      <c r="B1005" s="273" t="s">
        <v>20850</v>
      </c>
      <c r="C1005">
        <v>119159</v>
      </c>
      <c r="D1005" s="236" t="s">
        <v>15274</v>
      </c>
      <c r="E1005" s="15">
        <v>1191.4000000000001</v>
      </c>
      <c r="F1005" s="274">
        <v>42924</v>
      </c>
      <c r="G1005" s="15">
        <v>1191.4000000000001</v>
      </c>
      <c r="H1005" s="15">
        <f>Tabla1[[#This Row],[Importe]]-Tabla1[[#This Row],[Pagado]]</f>
        <v>0</v>
      </c>
      <c r="I1005" s="275" t="s">
        <v>15214</v>
      </c>
    </row>
    <row r="1006" spans="1:9" x14ac:dyDescent="0.25">
      <c r="A1006" s="16">
        <v>42924</v>
      </c>
      <c r="B1006" s="273" t="s">
        <v>20851</v>
      </c>
      <c r="C1006">
        <v>119160</v>
      </c>
      <c r="D1006" s="236" t="s">
        <v>15334</v>
      </c>
      <c r="E1006" s="15">
        <v>2160</v>
      </c>
      <c r="F1006" s="274">
        <v>42926</v>
      </c>
      <c r="G1006" s="15">
        <v>2160</v>
      </c>
      <c r="H1006" s="15">
        <f>Tabla1[[#This Row],[Importe]]-Tabla1[[#This Row],[Pagado]]</f>
        <v>0</v>
      </c>
      <c r="I1006" s="275" t="s">
        <v>15214</v>
      </c>
    </row>
    <row r="1007" spans="1:9" x14ac:dyDescent="0.25">
      <c r="A1007" s="16">
        <v>42924</v>
      </c>
      <c r="B1007" s="273" t="s">
        <v>20852</v>
      </c>
      <c r="C1007">
        <v>119161</v>
      </c>
      <c r="D1007" s="236" t="s">
        <v>15334</v>
      </c>
      <c r="E1007" s="15">
        <v>1323</v>
      </c>
      <c r="F1007" s="274">
        <v>42926</v>
      </c>
      <c r="G1007" s="15">
        <v>1323</v>
      </c>
      <c r="H1007" s="15">
        <f>Tabla1[[#This Row],[Importe]]-Tabla1[[#This Row],[Pagado]]</f>
        <v>0</v>
      </c>
      <c r="I1007" s="275" t="s">
        <v>15214</v>
      </c>
    </row>
    <row r="1008" spans="1:9" x14ac:dyDescent="0.25">
      <c r="A1008" s="16">
        <v>42924</v>
      </c>
      <c r="B1008" s="273" t="s">
        <v>20853</v>
      </c>
      <c r="C1008">
        <v>119162</v>
      </c>
      <c r="D1008" s="236" t="s">
        <v>15566</v>
      </c>
      <c r="E1008" s="15">
        <v>3469.5</v>
      </c>
      <c r="F1008" s="274">
        <v>42924</v>
      </c>
      <c r="G1008" s="15">
        <v>3469.5</v>
      </c>
      <c r="H1008" s="15">
        <f>Tabla1[[#This Row],[Importe]]-Tabla1[[#This Row],[Pagado]]</f>
        <v>0</v>
      </c>
      <c r="I1008" s="275" t="s">
        <v>15214</v>
      </c>
    </row>
    <row r="1009" spans="1:9" x14ac:dyDescent="0.25">
      <c r="A1009" s="16">
        <v>42924</v>
      </c>
      <c r="B1009" s="273" t="s">
        <v>20854</v>
      </c>
      <c r="C1009">
        <v>119163</v>
      </c>
      <c r="D1009" s="236" t="s">
        <v>15748</v>
      </c>
      <c r="E1009" s="15">
        <v>2196.84</v>
      </c>
      <c r="F1009" s="274">
        <v>42926</v>
      </c>
      <c r="G1009" s="15">
        <v>2196.84</v>
      </c>
      <c r="H1009" s="15">
        <f>Tabla1[[#This Row],[Importe]]-Tabla1[[#This Row],[Pagado]]</f>
        <v>0</v>
      </c>
      <c r="I1009" s="275" t="s">
        <v>15214</v>
      </c>
    </row>
    <row r="1010" spans="1:9" x14ac:dyDescent="0.25">
      <c r="A1010" s="16">
        <v>42924</v>
      </c>
      <c r="B1010" s="273" t="s">
        <v>20855</v>
      </c>
      <c r="C1010">
        <v>119164</v>
      </c>
      <c r="D1010" s="236" t="s">
        <v>15566</v>
      </c>
      <c r="E1010" s="15">
        <v>360.8</v>
      </c>
      <c r="F1010" s="274">
        <v>42924</v>
      </c>
      <c r="G1010" s="15">
        <v>360.8</v>
      </c>
      <c r="H1010" s="15">
        <f>Tabla1[[#This Row],[Importe]]-Tabla1[[#This Row],[Pagado]]</f>
        <v>0</v>
      </c>
      <c r="I1010" s="275" t="s">
        <v>15214</v>
      </c>
    </row>
    <row r="1011" spans="1:9" x14ac:dyDescent="0.25">
      <c r="A1011" s="16">
        <v>42924</v>
      </c>
      <c r="B1011" s="273" t="s">
        <v>20856</v>
      </c>
      <c r="C1011">
        <v>119165</v>
      </c>
      <c r="D1011" s="236" t="s">
        <v>15342</v>
      </c>
      <c r="E1011" s="15">
        <v>1562.4</v>
      </c>
      <c r="F1011" s="274">
        <v>42926</v>
      </c>
      <c r="G1011" s="15">
        <v>1562.4</v>
      </c>
      <c r="H1011" s="15">
        <f>Tabla1[[#This Row],[Importe]]-Tabla1[[#This Row],[Pagado]]</f>
        <v>0</v>
      </c>
      <c r="I1011" s="275" t="s">
        <v>15214</v>
      </c>
    </row>
    <row r="1012" spans="1:9" x14ac:dyDescent="0.25">
      <c r="A1012" s="16">
        <v>42924</v>
      </c>
      <c r="B1012" s="273" t="s">
        <v>20857</v>
      </c>
      <c r="C1012">
        <v>119166</v>
      </c>
      <c r="D1012" s="236" t="s">
        <v>15328</v>
      </c>
      <c r="E1012" s="15">
        <v>122376.02</v>
      </c>
      <c r="F1012" s="274">
        <v>42934</v>
      </c>
      <c r="G1012" s="15">
        <v>122376.02</v>
      </c>
      <c r="H1012" s="15">
        <f>Tabla1[[#This Row],[Importe]]-Tabla1[[#This Row],[Pagado]]</f>
        <v>0</v>
      </c>
      <c r="I1012" s="275" t="s">
        <v>15214</v>
      </c>
    </row>
    <row r="1013" spans="1:9" x14ac:dyDescent="0.25">
      <c r="A1013" s="16">
        <v>42924</v>
      </c>
      <c r="B1013" s="273" t="s">
        <v>20858</v>
      </c>
      <c r="C1013">
        <v>119167</v>
      </c>
      <c r="D1013" s="236" t="s">
        <v>18076</v>
      </c>
      <c r="E1013" s="15">
        <v>10972.8</v>
      </c>
      <c r="F1013" s="274">
        <v>42924</v>
      </c>
      <c r="G1013" s="15">
        <v>10972.8</v>
      </c>
      <c r="H1013" s="15">
        <f>Tabla1[[#This Row],[Importe]]-Tabla1[[#This Row],[Pagado]]</f>
        <v>0</v>
      </c>
      <c r="I1013" s="275" t="s">
        <v>15214</v>
      </c>
    </row>
    <row r="1014" spans="1:9" x14ac:dyDescent="0.25">
      <c r="A1014" s="16">
        <v>42924</v>
      </c>
      <c r="B1014" s="273" t="s">
        <v>20859</v>
      </c>
      <c r="C1014">
        <v>119168</v>
      </c>
      <c r="D1014" s="236" t="s">
        <v>15987</v>
      </c>
      <c r="E1014" s="15">
        <v>683.4</v>
      </c>
      <c r="F1014" s="274">
        <v>42924</v>
      </c>
      <c r="G1014" s="15">
        <v>683.4</v>
      </c>
      <c r="H1014" s="15">
        <f>Tabla1[[#This Row],[Importe]]-Tabla1[[#This Row],[Pagado]]</f>
        <v>0</v>
      </c>
      <c r="I1014" s="275" t="s">
        <v>15214</v>
      </c>
    </row>
    <row r="1015" spans="1:9" x14ac:dyDescent="0.25">
      <c r="A1015" s="16">
        <v>42924</v>
      </c>
      <c r="B1015" s="273" t="s">
        <v>20860</v>
      </c>
      <c r="C1015">
        <v>119169</v>
      </c>
      <c r="D1015" s="236" t="s">
        <v>15590</v>
      </c>
      <c r="E1015" s="15">
        <v>57643.6</v>
      </c>
      <c r="F1015" s="274">
        <v>42928</v>
      </c>
      <c r="G1015" s="15">
        <v>57643.6</v>
      </c>
      <c r="H1015" s="15">
        <f>Tabla1[[#This Row],[Importe]]-Tabla1[[#This Row],[Pagado]]</f>
        <v>0</v>
      </c>
      <c r="I1015" s="275" t="s">
        <v>15214</v>
      </c>
    </row>
    <row r="1016" spans="1:9" x14ac:dyDescent="0.25">
      <c r="A1016" s="16">
        <v>42924</v>
      </c>
      <c r="B1016" s="273" t="s">
        <v>20861</v>
      </c>
      <c r="C1016">
        <v>119170</v>
      </c>
      <c r="D1016" s="236" t="s">
        <v>15291</v>
      </c>
      <c r="E1016" s="15">
        <v>1020</v>
      </c>
      <c r="F1016" s="274">
        <v>42924</v>
      </c>
      <c r="G1016" s="15">
        <v>1020</v>
      </c>
      <c r="H1016" s="15">
        <f>Tabla1[[#This Row],[Importe]]-Tabla1[[#This Row],[Pagado]]</f>
        <v>0</v>
      </c>
      <c r="I1016" s="275" t="s">
        <v>15214</v>
      </c>
    </row>
    <row r="1017" spans="1:9" x14ac:dyDescent="0.25">
      <c r="A1017" s="16">
        <v>42924</v>
      </c>
      <c r="B1017" s="273" t="s">
        <v>20862</v>
      </c>
      <c r="C1017">
        <v>119171</v>
      </c>
      <c r="D1017" s="236" t="s">
        <v>17235</v>
      </c>
      <c r="E1017" s="15">
        <v>2473.16</v>
      </c>
      <c r="F1017" s="274">
        <v>42924</v>
      </c>
      <c r="G1017" s="15">
        <v>2473.16</v>
      </c>
      <c r="H1017" s="15">
        <f>Tabla1[[#This Row],[Importe]]-Tabla1[[#This Row],[Pagado]]</f>
        <v>0</v>
      </c>
      <c r="I1017" s="275" t="s">
        <v>15214</v>
      </c>
    </row>
    <row r="1018" spans="1:9" x14ac:dyDescent="0.25">
      <c r="A1018" s="16">
        <v>42924</v>
      </c>
      <c r="B1018" s="273" t="s">
        <v>20863</v>
      </c>
      <c r="C1018">
        <v>119172</v>
      </c>
      <c r="D1018" s="236" t="s">
        <v>15315</v>
      </c>
      <c r="E1018" s="15">
        <v>16076</v>
      </c>
      <c r="F1018" s="274">
        <v>42924</v>
      </c>
      <c r="G1018" s="15">
        <v>16076</v>
      </c>
      <c r="H1018" s="15">
        <f>Tabla1[[#This Row],[Importe]]-Tabla1[[#This Row],[Pagado]]</f>
        <v>0</v>
      </c>
      <c r="I1018" s="275" t="s">
        <v>15214</v>
      </c>
    </row>
    <row r="1019" spans="1:9" x14ac:dyDescent="0.25">
      <c r="A1019" s="16">
        <v>42924</v>
      </c>
      <c r="B1019" s="273" t="s">
        <v>20864</v>
      </c>
      <c r="C1019">
        <v>119173</v>
      </c>
      <c r="D1019" s="236" t="s">
        <v>15356</v>
      </c>
      <c r="E1019" s="15">
        <v>365.7</v>
      </c>
      <c r="F1019" s="274">
        <v>42926</v>
      </c>
      <c r="G1019" s="15">
        <v>365.7</v>
      </c>
      <c r="H1019" s="15">
        <f>Tabla1[[#This Row],[Importe]]-Tabla1[[#This Row],[Pagado]]</f>
        <v>0</v>
      </c>
      <c r="I1019" s="275" t="s">
        <v>15214</v>
      </c>
    </row>
    <row r="1020" spans="1:9" x14ac:dyDescent="0.25">
      <c r="A1020" s="16">
        <v>42924</v>
      </c>
      <c r="B1020" s="273" t="s">
        <v>20865</v>
      </c>
      <c r="C1020">
        <v>119174</v>
      </c>
      <c r="D1020" s="236" t="s">
        <v>15725</v>
      </c>
      <c r="E1020" s="15">
        <v>28149.599999999999</v>
      </c>
      <c r="F1020" s="274">
        <v>42924</v>
      </c>
      <c r="G1020" s="15">
        <v>28149.599999999999</v>
      </c>
      <c r="H1020" s="15">
        <f>Tabla1[[#This Row],[Importe]]-Tabla1[[#This Row],[Pagado]]</f>
        <v>0</v>
      </c>
      <c r="I1020" s="275" t="s">
        <v>15214</v>
      </c>
    </row>
    <row r="1021" spans="1:9" x14ac:dyDescent="0.25">
      <c r="A1021" s="16">
        <v>42924</v>
      </c>
      <c r="B1021" s="273" t="s">
        <v>20866</v>
      </c>
      <c r="C1021">
        <v>119175</v>
      </c>
      <c r="D1021" s="236" t="s">
        <v>15240</v>
      </c>
      <c r="E1021" s="15">
        <v>1919.9</v>
      </c>
      <c r="F1021" s="274">
        <v>42933</v>
      </c>
      <c r="G1021" s="15">
        <v>1919.9</v>
      </c>
      <c r="H1021" s="15">
        <f>Tabla1[[#This Row],[Importe]]-Tabla1[[#This Row],[Pagado]]</f>
        <v>0</v>
      </c>
      <c r="I1021" s="275" t="s">
        <v>15214</v>
      </c>
    </row>
    <row r="1022" spans="1:9" x14ac:dyDescent="0.25">
      <c r="A1022" s="16">
        <v>42924</v>
      </c>
      <c r="B1022" s="273" t="s">
        <v>20867</v>
      </c>
      <c r="C1022">
        <v>119176</v>
      </c>
      <c r="D1022" s="236" t="s">
        <v>15861</v>
      </c>
      <c r="E1022" s="15">
        <v>770</v>
      </c>
      <c r="F1022" s="274">
        <v>42926</v>
      </c>
      <c r="G1022" s="15">
        <v>770</v>
      </c>
      <c r="H1022" s="15">
        <f>Tabla1[[#This Row],[Importe]]-Tabla1[[#This Row],[Pagado]]</f>
        <v>0</v>
      </c>
      <c r="I1022" s="275" t="s">
        <v>15214</v>
      </c>
    </row>
    <row r="1023" spans="1:9" x14ac:dyDescent="0.25">
      <c r="A1023" s="16">
        <v>42924</v>
      </c>
      <c r="B1023" s="273" t="s">
        <v>20868</v>
      </c>
      <c r="C1023">
        <v>119177</v>
      </c>
      <c r="D1023" s="236" t="s">
        <v>15742</v>
      </c>
      <c r="E1023" s="15">
        <v>2844.8</v>
      </c>
      <c r="F1023" s="274">
        <v>42926</v>
      </c>
      <c r="G1023" s="15">
        <v>2844.8</v>
      </c>
      <c r="H1023" s="15">
        <f>Tabla1[[#This Row],[Importe]]-Tabla1[[#This Row],[Pagado]]</f>
        <v>0</v>
      </c>
      <c r="I1023" s="275" t="s">
        <v>15214</v>
      </c>
    </row>
    <row r="1024" spans="1:9" x14ac:dyDescent="0.25">
      <c r="A1024" s="16">
        <v>42924</v>
      </c>
      <c r="B1024" s="273" t="s">
        <v>20869</v>
      </c>
      <c r="C1024">
        <v>119178</v>
      </c>
      <c r="D1024" s="236" t="s">
        <v>15303</v>
      </c>
      <c r="E1024" s="15">
        <v>3181.5</v>
      </c>
      <c r="F1024" s="274">
        <v>42924</v>
      </c>
      <c r="G1024" s="15">
        <v>3181.5</v>
      </c>
      <c r="H1024" s="15">
        <f>Tabla1[[#This Row],[Importe]]-Tabla1[[#This Row],[Pagado]]</f>
        <v>0</v>
      </c>
      <c r="I1024" s="275" t="s">
        <v>15214</v>
      </c>
    </row>
    <row r="1025" spans="1:9" x14ac:dyDescent="0.25">
      <c r="A1025" s="16">
        <v>42924</v>
      </c>
      <c r="B1025" s="273" t="s">
        <v>20870</v>
      </c>
      <c r="C1025">
        <v>119179</v>
      </c>
      <c r="D1025" s="236" t="s">
        <v>15526</v>
      </c>
      <c r="E1025" s="15">
        <v>4054.5</v>
      </c>
      <c r="F1025" s="274">
        <v>42926</v>
      </c>
      <c r="G1025" s="15">
        <v>4054.5</v>
      </c>
      <c r="H1025" s="15">
        <f>Tabla1[[#This Row],[Importe]]-Tabla1[[#This Row],[Pagado]]</f>
        <v>0</v>
      </c>
      <c r="I1025" s="275" t="s">
        <v>15214</v>
      </c>
    </row>
    <row r="1026" spans="1:9" x14ac:dyDescent="0.25">
      <c r="A1026" s="16">
        <v>42924</v>
      </c>
      <c r="B1026" s="273" t="s">
        <v>20871</v>
      </c>
      <c r="C1026">
        <v>119180</v>
      </c>
      <c r="D1026" s="236" t="s">
        <v>15309</v>
      </c>
      <c r="E1026" s="15">
        <v>6014.4</v>
      </c>
      <c r="F1026" s="274">
        <v>42926</v>
      </c>
      <c r="G1026" s="15">
        <v>6014.4</v>
      </c>
      <c r="H1026" s="15">
        <f>Tabla1[[#This Row],[Importe]]-Tabla1[[#This Row],[Pagado]]</f>
        <v>0</v>
      </c>
      <c r="I1026" s="275" t="s">
        <v>15214</v>
      </c>
    </row>
    <row r="1027" spans="1:9" ht="30" x14ac:dyDescent="0.25">
      <c r="A1027" s="16">
        <v>42924</v>
      </c>
      <c r="B1027" s="273" t="s">
        <v>20872</v>
      </c>
      <c r="C1027">
        <v>119181</v>
      </c>
      <c r="D1027" s="236" t="s">
        <v>15265</v>
      </c>
      <c r="E1027" s="15">
        <v>4949</v>
      </c>
      <c r="F1027" s="274" t="s">
        <v>20236</v>
      </c>
      <c r="G1027" s="241">
        <f>2500+2449</f>
        <v>4949</v>
      </c>
      <c r="H1027" s="241">
        <f>Tabla1[[#This Row],[Importe]]-Tabla1[[#This Row],[Pagado]]</f>
        <v>0</v>
      </c>
      <c r="I1027" s="275" t="s">
        <v>15214</v>
      </c>
    </row>
    <row r="1028" spans="1:9" x14ac:dyDescent="0.25">
      <c r="A1028" s="16">
        <v>42924</v>
      </c>
      <c r="B1028" s="273" t="s">
        <v>20873</v>
      </c>
      <c r="C1028">
        <v>119182</v>
      </c>
      <c r="D1028" s="236" t="s">
        <v>15332</v>
      </c>
      <c r="E1028" s="15">
        <v>4944.3999999999996</v>
      </c>
      <c r="F1028" s="274">
        <v>42926</v>
      </c>
      <c r="G1028" s="15">
        <v>4944.3999999999996</v>
      </c>
      <c r="H1028" s="15">
        <f>Tabla1[[#This Row],[Importe]]-Tabla1[[#This Row],[Pagado]]</f>
        <v>0</v>
      </c>
      <c r="I1028" s="275" t="s">
        <v>15214</v>
      </c>
    </row>
    <row r="1029" spans="1:9" x14ac:dyDescent="0.25">
      <c r="A1029" s="16">
        <v>42924</v>
      </c>
      <c r="B1029" s="273" t="s">
        <v>20874</v>
      </c>
      <c r="C1029">
        <v>119183</v>
      </c>
      <c r="D1029" s="236" t="s">
        <v>15307</v>
      </c>
      <c r="E1029" s="15">
        <v>1135.7</v>
      </c>
      <c r="F1029" s="274">
        <v>42924</v>
      </c>
      <c r="G1029" s="15">
        <v>1135.7</v>
      </c>
      <c r="H1029" s="15">
        <f>Tabla1[[#This Row],[Importe]]-Tabla1[[#This Row],[Pagado]]</f>
        <v>0</v>
      </c>
      <c r="I1029" s="275" t="s">
        <v>15214</v>
      </c>
    </row>
    <row r="1030" spans="1:9" x14ac:dyDescent="0.25">
      <c r="A1030" s="16">
        <v>42924</v>
      </c>
      <c r="B1030" s="273" t="s">
        <v>20875</v>
      </c>
      <c r="C1030">
        <v>119184</v>
      </c>
      <c r="D1030" s="236" t="s">
        <v>15311</v>
      </c>
      <c r="E1030" s="15">
        <v>3362.6</v>
      </c>
      <c r="F1030" s="274">
        <v>42924</v>
      </c>
      <c r="G1030" s="15">
        <v>3362.6</v>
      </c>
      <c r="H1030" s="15">
        <f>Tabla1[[#This Row],[Importe]]-Tabla1[[#This Row],[Pagado]]</f>
        <v>0</v>
      </c>
      <c r="I1030" s="275" t="s">
        <v>15214</v>
      </c>
    </row>
    <row r="1031" spans="1:9" x14ac:dyDescent="0.25">
      <c r="A1031" s="16">
        <v>42924</v>
      </c>
      <c r="B1031" s="273" t="s">
        <v>20876</v>
      </c>
      <c r="C1031">
        <v>119185</v>
      </c>
      <c r="D1031" s="236" t="s">
        <v>15315</v>
      </c>
      <c r="E1031" s="15">
        <v>420</v>
      </c>
      <c r="F1031" s="274">
        <v>42924</v>
      </c>
      <c r="G1031" s="15">
        <v>420</v>
      </c>
      <c r="H1031" s="15">
        <f>Tabla1[[#This Row],[Importe]]-Tabla1[[#This Row],[Pagado]]</f>
        <v>0</v>
      </c>
      <c r="I1031" s="275" t="s">
        <v>15214</v>
      </c>
    </row>
    <row r="1032" spans="1:9" x14ac:dyDescent="0.25">
      <c r="A1032" s="16">
        <v>42924</v>
      </c>
      <c r="B1032" s="273" t="s">
        <v>20877</v>
      </c>
      <c r="C1032">
        <v>119186</v>
      </c>
      <c r="D1032" s="236" t="s">
        <v>15358</v>
      </c>
      <c r="E1032" s="15">
        <v>1300</v>
      </c>
      <c r="F1032" s="274">
        <v>42926</v>
      </c>
      <c r="G1032" s="15">
        <v>1300</v>
      </c>
      <c r="H1032" s="15">
        <f>Tabla1[[#This Row],[Importe]]-Tabla1[[#This Row],[Pagado]]</f>
        <v>0</v>
      </c>
      <c r="I1032" s="275" t="s">
        <v>15214</v>
      </c>
    </row>
    <row r="1033" spans="1:9" x14ac:dyDescent="0.25">
      <c r="A1033" s="16">
        <v>42924</v>
      </c>
      <c r="B1033" s="273" t="s">
        <v>20878</v>
      </c>
      <c r="C1033">
        <v>119187</v>
      </c>
      <c r="D1033" s="236" t="s">
        <v>15358</v>
      </c>
      <c r="E1033" s="15">
        <v>4125</v>
      </c>
      <c r="F1033" s="274">
        <v>42926</v>
      </c>
      <c r="G1033" s="15">
        <v>4125</v>
      </c>
      <c r="H1033" s="15">
        <f>Tabla1[[#This Row],[Importe]]-Tabla1[[#This Row],[Pagado]]</f>
        <v>0</v>
      </c>
      <c r="I1033" s="275" t="s">
        <v>15214</v>
      </c>
    </row>
    <row r="1034" spans="1:9" x14ac:dyDescent="0.25">
      <c r="A1034" s="16">
        <v>42924</v>
      </c>
      <c r="B1034" s="273" t="s">
        <v>20879</v>
      </c>
      <c r="C1034">
        <v>119188</v>
      </c>
      <c r="D1034" s="236" t="s">
        <v>15539</v>
      </c>
      <c r="E1034" s="15">
        <v>130.19999999999999</v>
      </c>
      <c r="F1034" s="274">
        <v>42924</v>
      </c>
      <c r="G1034" s="15">
        <v>130.19999999999999</v>
      </c>
      <c r="H1034" s="15">
        <f>Tabla1[[#This Row],[Importe]]-Tabla1[[#This Row],[Pagado]]</f>
        <v>0</v>
      </c>
      <c r="I1034" s="275" t="s">
        <v>15214</v>
      </c>
    </row>
    <row r="1035" spans="1:9" x14ac:dyDescent="0.25">
      <c r="A1035" s="16">
        <v>42924</v>
      </c>
      <c r="B1035" s="273" t="s">
        <v>20880</v>
      </c>
      <c r="C1035">
        <v>119189</v>
      </c>
      <c r="D1035" s="236" t="s">
        <v>15317</v>
      </c>
      <c r="E1035" s="15">
        <v>1310.4000000000001</v>
      </c>
      <c r="F1035" s="274">
        <v>42926</v>
      </c>
      <c r="G1035" s="15">
        <v>1310.4000000000001</v>
      </c>
      <c r="H1035" s="15">
        <f>Tabla1[[#This Row],[Importe]]-Tabla1[[#This Row],[Pagado]]</f>
        <v>0</v>
      </c>
      <c r="I1035" s="275" t="s">
        <v>15214</v>
      </c>
    </row>
    <row r="1036" spans="1:9" x14ac:dyDescent="0.25">
      <c r="A1036" s="16">
        <v>42924</v>
      </c>
      <c r="B1036" s="273" t="s">
        <v>20881</v>
      </c>
      <c r="C1036">
        <v>119190</v>
      </c>
      <c r="D1036" s="236" t="s">
        <v>19768</v>
      </c>
      <c r="E1036" s="15">
        <v>2550</v>
      </c>
      <c r="F1036" s="274">
        <v>42924</v>
      </c>
      <c r="G1036" s="15">
        <v>2550</v>
      </c>
      <c r="H1036" s="15">
        <f>Tabla1[[#This Row],[Importe]]-Tabla1[[#This Row],[Pagado]]</f>
        <v>0</v>
      </c>
      <c r="I1036" s="275" t="s">
        <v>15214</v>
      </c>
    </row>
    <row r="1037" spans="1:9" x14ac:dyDescent="0.25">
      <c r="A1037" s="16">
        <v>42924</v>
      </c>
      <c r="B1037" s="273" t="s">
        <v>20882</v>
      </c>
      <c r="C1037">
        <v>119191</v>
      </c>
      <c r="D1037" s="236" t="s">
        <v>15336</v>
      </c>
      <c r="E1037" s="15">
        <v>10040</v>
      </c>
      <c r="F1037" s="274">
        <v>42926</v>
      </c>
      <c r="G1037" s="15">
        <v>10040</v>
      </c>
      <c r="H1037" s="15">
        <f>Tabla1[[#This Row],[Importe]]-Tabla1[[#This Row],[Pagado]]</f>
        <v>0</v>
      </c>
      <c r="I1037" s="275" t="s">
        <v>15214</v>
      </c>
    </row>
    <row r="1038" spans="1:9" x14ac:dyDescent="0.25">
      <c r="A1038" s="16">
        <v>42924</v>
      </c>
      <c r="B1038" s="273" t="s">
        <v>20883</v>
      </c>
      <c r="C1038">
        <v>119192</v>
      </c>
      <c r="D1038" s="236" t="s">
        <v>15526</v>
      </c>
      <c r="E1038" s="15">
        <v>1350.8</v>
      </c>
      <c r="F1038" s="274">
        <v>42926</v>
      </c>
      <c r="G1038" s="15">
        <v>1350.8</v>
      </c>
      <c r="H1038" s="15">
        <f>Tabla1[[#This Row],[Importe]]-Tabla1[[#This Row],[Pagado]]</f>
        <v>0</v>
      </c>
      <c r="I1038" s="275" t="s">
        <v>15214</v>
      </c>
    </row>
    <row r="1039" spans="1:9" x14ac:dyDescent="0.25">
      <c r="A1039" s="16">
        <v>42924</v>
      </c>
      <c r="B1039" s="273" t="s">
        <v>20884</v>
      </c>
      <c r="C1039">
        <v>119193</v>
      </c>
      <c r="D1039" s="236" t="s">
        <v>15276</v>
      </c>
      <c r="E1039" s="15">
        <v>5100</v>
      </c>
      <c r="F1039" s="274">
        <v>42924</v>
      </c>
      <c r="G1039" s="15">
        <v>5100</v>
      </c>
      <c r="H1039" s="15">
        <f>Tabla1[[#This Row],[Importe]]-Tabla1[[#This Row],[Pagado]]</f>
        <v>0</v>
      </c>
      <c r="I1039" s="275" t="s">
        <v>15214</v>
      </c>
    </row>
    <row r="1040" spans="1:9" x14ac:dyDescent="0.25">
      <c r="A1040" s="16">
        <v>42924</v>
      </c>
      <c r="B1040" s="273" t="s">
        <v>20885</v>
      </c>
      <c r="C1040">
        <v>119194</v>
      </c>
      <c r="D1040" s="236" t="s">
        <v>17458</v>
      </c>
      <c r="E1040" s="15">
        <v>720.8</v>
      </c>
      <c r="F1040" s="274">
        <v>42924</v>
      </c>
      <c r="G1040" s="15">
        <v>720.8</v>
      </c>
      <c r="H1040" s="15">
        <f>Tabla1[[#This Row],[Importe]]-Tabla1[[#This Row],[Pagado]]</f>
        <v>0</v>
      </c>
      <c r="I1040" s="275" t="s">
        <v>15214</v>
      </c>
    </row>
    <row r="1041" spans="1:9" x14ac:dyDescent="0.25">
      <c r="A1041" s="16">
        <v>42924</v>
      </c>
      <c r="B1041" s="273" t="s">
        <v>20886</v>
      </c>
      <c r="C1041">
        <v>119195</v>
      </c>
      <c r="D1041" s="236" t="s">
        <v>15417</v>
      </c>
      <c r="E1041" s="15">
        <v>4000</v>
      </c>
      <c r="F1041" s="274">
        <v>42924</v>
      </c>
      <c r="G1041" s="15">
        <v>4000</v>
      </c>
      <c r="H1041" s="15">
        <f>Tabla1[[#This Row],[Importe]]-Tabla1[[#This Row],[Pagado]]</f>
        <v>0</v>
      </c>
      <c r="I1041" s="275" t="s">
        <v>15214</v>
      </c>
    </row>
    <row r="1042" spans="1:9" x14ac:dyDescent="0.25">
      <c r="A1042" s="16">
        <v>42924</v>
      </c>
      <c r="B1042" s="273" t="s">
        <v>20887</v>
      </c>
      <c r="C1042">
        <v>119196</v>
      </c>
      <c r="D1042" s="236" t="s">
        <v>15363</v>
      </c>
      <c r="E1042" s="15">
        <v>3049.3</v>
      </c>
      <c r="F1042" s="274">
        <v>42924</v>
      </c>
      <c r="G1042" s="15">
        <v>3049.3</v>
      </c>
      <c r="H1042" s="15">
        <f>Tabla1[[#This Row],[Importe]]-Tabla1[[#This Row],[Pagado]]</f>
        <v>0</v>
      </c>
      <c r="I1042" s="275" t="s">
        <v>15214</v>
      </c>
    </row>
    <row r="1043" spans="1:9" x14ac:dyDescent="0.25">
      <c r="A1043" s="16">
        <v>42924</v>
      </c>
      <c r="B1043" s="273" t="s">
        <v>20888</v>
      </c>
      <c r="C1043">
        <v>119197</v>
      </c>
      <c r="D1043" s="236" t="s">
        <v>15284</v>
      </c>
      <c r="E1043" s="15">
        <v>662.5</v>
      </c>
      <c r="F1043" s="274">
        <v>42924</v>
      </c>
      <c r="G1043" s="15">
        <v>662.5</v>
      </c>
      <c r="H1043" s="15">
        <f>Tabla1[[#This Row],[Importe]]-Tabla1[[#This Row],[Pagado]]</f>
        <v>0</v>
      </c>
      <c r="I1043" s="275" t="s">
        <v>15214</v>
      </c>
    </row>
    <row r="1044" spans="1:9" x14ac:dyDescent="0.25">
      <c r="A1044" s="16">
        <v>42924</v>
      </c>
      <c r="B1044" s="273" t="s">
        <v>20889</v>
      </c>
      <c r="C1044">
        <v>119198</v>
      </c>
      <c r="D1044" s="236" t="s">
        <v>15361</v>
      </c>
      <c r="E1044" s="15">
        <v>10477.4</v>
      </c>
      <c r="F1044" s="274">
        <v>42924</v>
      </c>
      <c r="G1044" s="15">
        <v>10477.4</v>
      </c>
      <c r="H1044" s="15">
        <f>Tabla1[[#This Row],[Importe]]-Tabla1[[#This Row],[Pagado]]</f>
        <v>0</v>
      </c>
      <c r="I1044" s="275" t="s">
        <v>15214</v>
      </c>
    </row>
    <row r="1045" spans="1:9" x14ac:dyDescent="0.25">
      <c r="A1045" s="16">
        <v>42924</v>
      </c>
      <c r="B1045" s="273" t="s">
        <v>20890</v>
      </c>
      <c r="C1045">
        <v>119199</v>
      </c>
      <c r="D1045" s="236" t="s">
        <v>15298</v>
      </c>
      <c r="E1045" s="15">
        <v>596.29999999999995</v>
      </c>
      <c r="F1045" s="274">
        <v>42924</v>
      </c>
      <c r="G1045" s="15">
        <v>596.29999999999995</v>
      </c>
      <c r="H1045" s="15">
        <f>Tabla1[[#This Row],[Importe]]-Tabla1[[#This Row],[Pagado]]</f>
        <v>0</v>
      </c>
      <c r="I1045" s="275" t="s">
        <v>15214</v>
      </c>
    </row>
    <row r="1046" spans="1:9" x14ac:dyDescent="0.25">
      <c r="A1046" s="16">
        <v>42924</v>
      </c>
      <c r="B1046" s="273" t="s">
        <v>20891</v>
      </c>
      <c r="C1046">
        <v>119200</v>
      </c>
      <c r="D1046" s="236" t="s">
        <v>15223</v>
      </c>
      <c r="E1046" s="15">
        <v>24543.4</v>
      </c>
      <c r="F1046" s="274">
        <v>42960</v>
      </c>
      <c r="G1046" s="15">
        <v>24543.4</v>
      </c>
      <c r="H1046" s="15">
        <f>Tabla1[[#This Row],[Importe]]-Tabla1[[#This Row],[Pagado]]</f>
        <v>0</v>
      </c>
      <c r="I1046" s="275" t="s">
        <v>15214</v>
      </c>
    </row>
    <row r="1047" spans="1:9" ht="15.75" x14ac:dyDescent="0.25">
      <c r="A1047" s="16">
        <v>42924</v>
      </c>
      <c r="B1047" s="273" t="s">
        <v>20892</v>
      </c>
      <c r="C1047">
        <v>119201</v>
      </c>
      <c r="D1047" s="248" t="s">
        <v>95</v>
      </c>
      <c r="E1047" s="15">
        <v>0</v>
      </c>
      <c r="F1047" s="277" t="s">
        <v>95</v>
      </c>
      <c r="G1047" s="15">
        <v>0</v>
      </c>
      <c r="H1047" s="15">
        <f>Tabla1[[#This Row],[Importe]]-Tabla1[[#This Row],[Pagado]]</f>
        <v>0</v>
      </c>
      <c r="I1047" s="275" t="s">
        <v>95</v>
      </c>
    </row>
    <row r="1048" spans="1:9" x14ac:dyDescent="0.25">
      <c r="A1048" s="16">
        <v>42924</v>
      </c>
      <c r="B1048" s="273" t="s">
        <v>20893</v>
      </c>
      <c r="C1048">
        <v>119202</v>
      </c>
      <c r="D1048" s="236" t="s">
        <v>15716</v>
      </c>
      <c r="E1048" s="15">
        <v>12345.3</v>
      </c>
      <c r="F1048" s="274">
        <v>42924</v>
      </c>
      <c r="G1048" s="15">
        <v>12345.3</v>
      </c>
      <c r="H1048" s="15">
        <f>Tabla1[[#This Row],[Importe]]-Tabla1[[#This Row],[Pagado]]</f>
        <v>0</v>
      </c>
      <c r="I1048" s="275" t="s">
        <v>15214</v>
      </c>
    </row>
    <row r="1049" spans="1:9" x14ac:dyDescent="0.25">
      <c r="A1049" s="16">
        <v>42924</v>
      </c>
      <c r="B1049" s="273" t="s">
        <v>20894</v>
      </c>
      <c r="C1049">
        <v>119203</v>
      </c>
      <c r="D1049" s="236" t="s">
        <v>15442</v>
      </c>
      <c r="E1049" s="15">
        <v>15577.8</v>
      </c>
      <c r="F1049" s="274">
        <v>42927</v>
      </c>
      <c r="G1049" s="15">
        <v>15577.8</v>
      </c>
      <c r="H1049" s="15">
        <f>Tabla1[[#This Row],[Importe]]-Tabla1[[#This Row],[Pagado]]</f>
        <v>0</v>
      </c>
      <c r="I1049" s="275" t="s">
        <v>15214</v>
      </c>
    </row>
    <row r="1050" spans="1:9" x14ac:dyDescent="0.25">
      <c r="A1050" s="16">
        <v>42924</v>
      </c>
      <c r="B1050" s="273" t="s">
        <v>20895</v>
      </c>
      <c r="C1050">
        <v>119204</v>
      </c>
      <c r="D1050" s="236" t="s">
        <v>15716</v>
      </c>
      <c r="E1050" s="15">
        <v>617.4</v>
      </c>
      <c r="F1050" s="274">
        <v>42924</v>
      </c>
      <c r="G1050" s="15">
        <v>617.4</v>
      </c>
      <c r="H1050" s="15">
        <f>Tabla1[[#This Row],[Importe]]-Tabla1[[#This Row],[Pagado]]</f>
        <v>0</v>
      </c>
      <c r="I1050" s="275" t="s">
        <v>15214</v>
      </c>
    </row>
    <row r="1051" spans="1:9" x14ac:dyDescent="0.25">
      <c r="A1051" s="16">
        <v>42924</v>
      </c>
      <c r="B1051" s="273" t="s">
        <v>20896</v>
      </c>
      <c r="C1051">
        <v>119205</v>
      </c>
      <c r="D1051" s="236" t="s">
        <v>15789</v>
      </c>
      <c r="E1051" s="15">
        <v>27077.599999999999</v>
      </c>
      <c r="F1051" s="274">
        <v>42935</v>
      </c>
      <c r="G1051" s="15">
        <v>27077.599999999999</v>
      </c>
      <c r="H1051" s="15">
        <f>Tabla1[[#This Row],[Importe]]-Tabla1[[#This Row],[Pagado]]</f>
        <v>0</v>
      </c>
      <c r="I1051" s="275" t="s">
        <v>15214</v>
      </c>
    </row>
    <row r="1052" spans="1:9" x14ac:dyDescent="0.25">
      <c r="A1052" s="16">
        <v>42924</v>
      </c>
      <c r="B1052" s="273" t="s">
        <v>20897</v>
      </c>
      <c r="C1052">
        <v>119206</v>
      </c>
      <c r="D1052" s="236" t="s">
        <v>15413</v>
      </c>
      <c r="E1052" s="15">
        <v>128.1</v>
      </c>
      <c r="F1052" s="274">
        <v>42924</v>
      </c>
      <c r="G1052" s="15">
        <v>128.1</v>
      </c>
      <c r="H1052" s="15">
        <f>Tabla1[[#This Row],[Importe]]-Tabla1[[#This Row],[Pagado]]</f>
        <v>0</v>
      </c>
      <c r="I1052" s="275" t="s">
        <v>15214</v>
      </c>
    </row>
    <row r="1053" spans="1:9" x14ac:dyDescent="0.25">
      <c r="A1053" s="16">
        <v>42924</v>
      </c>
      <c r="B1053" s="273" t="s">
        <v>20898</v>
      </c>
      <c r="C1053">
        <v>119207</v>
      </c>
      <c r="D1053" s="236" t="s">
        <v>15920</v>
      </c>
      <c r="E1053" s="15">
        <v>2433.1999999999998</v>
      </c>
      <c r="F1053" s="274">
        <v>42935</v>
      </c>
      <c r="G1053" s="15">
        <v>2433.1999999999998</v>
      </c>
      <c r="H1053" s="15">
        <f>Tabla1[[#This Row],[Importe]]-Tabla1[[#This Row],[Pagado]]</f>
        <v>0</v>
      </c>
      <c r="I1053" s="275" t="s">
        <v>15214</v>
      </c>
    </row>
    <row r="1054" spans="1:9" x14ac:dyDescent="0.25">
      <c r="A1054" s="16">
        <v>42924</v>
      </c>
      <c r="B1054" s="273" t="s">
        <v>20899</v>
      </c>
      <c r="C1054">
        <v>119208</v>
      </c>
      <c r="D1054" s="236" t="s">
        <v>15365</v>
      </c>
      <c r="E1054" s="15">
        <v>506572</v>
      </c>
      <c r="F1054" s="274">
        <v>42930</v>
      </c>
      <c r="G1054" s="15">
        <v>506572</v>
      </c>
      <c r="H1054" s="15">
        <f>Tabla1[[#This Row],[Importe]]-Tabla1[[#This Row],[Pagado]]</f>
        <v>0</v>
      </c>
      <c r="I1054" s="275" t="s">
        <v>15214</v>
      </c>
    </row>
    <row r="1055" spans="1:9" x14ac:dyDescent="0.25">
      <c r="A1055" s="16">
        <v>42924</v>
      </c>
      <c r="B1055" s="273" t="s">
        <v>20900</v>
      </c>
      <c r="C1055">
        <v>119209</v>
      </c>
      <c r="D1055" s="236" t="s">
        <v>15936</v>
      </c>
      <c r="E1055" s="15">
        <v>27048.6</v>
      </c>
      <c r="F1055" s="274">
        <v>42924</v>
      </c>
      <c r="G1055" s="15">
        <v>27048.6</v>
      </c>
      <c r="H1055" s="15">
        <f>Tabla1[[#This Row],[Importe]]-Tabla1[[#This Row],[Pagado]]</f>
        <v>0</v>
      </c>
      <c r="I1055" s="275" t="s">
        <v>15214</v>
      </c>
    </row>
    <row r="1056" spans="1:9" x14ac:dyDescent="0.25">
      <c r="A1056" s="16">
        <v>42924</v>
      </c>
      <c r="B1056" s="273" t="s">
        <v>20901</v>
      </c>
      <c r="C1056">
        <v>119210</v>
      </c>
      <c r="D1056" s="236" t="s">
        <v>15246</v>
      </c>
      <c r="E1056" s="15">
        <v>158198.20000000001</v>
      </c>
      <c r="F1056" s="274">
        <v>42933</v>
      </c>
      <c r="G1056" s="15">
        <v>158198.20000000001</v>
      </c>
      <c r="H1056" s="15">
        <f>Tabla1[[#This Row],[Importe]]-Tabla1[[#This Row],[Pagado]]</f>
        <v>0</v>
      </c>
      <c r="I1056" s="275" t="s">
        <v>15214</v>
      </c>
    </row>
    <row r="1057" spans="1:9" x14ac:dyDescent="0.25">
      <c r="A1057" s="16">
        <v>42924</v>
      </c>
      <c r="B1057" s="273" t="s">
        <v>20902</v>
      </c>
      <c r="C1057">
        <v>119211</v>
      </c>
      <c r="D1057" s="236" t="s">
        <v>15246</v>
      </c>
      <c r="E1057" s="15">
        <v>144326.79999999999</v>
      </c>
      <c r="F1057" s="274">
        <v>42933</v>
      </c>
      <c r="G1057" s="15">
        <v>144326.79999999999</v>
      </c>
      <c r="H1057" s="15">
        <f>Tabla1[[#This Row],[Importe]]-Tabla1[[#This Row],[Pagado]]</f>
        <v>0</v>
      </c>
      <c r="I1057" s="275" t="s">
        <v>15214</v>
      </c>
    </row>
    <row r="1058" spans="1:9" x14ac:dyDescent="0.25">
      <c r="A1058" s="16">
        <v>42924</v>
      </c>
      <c r="B1058" s="273" t="s">
        <v>20903</v>
      </c>
      <c r="C1058">
        <v>119212</v>
      </c>
      <c r="D1058" s="236" t="s">
        <v>15423</v>
      </c>
      <c r="E1058" s="15">
        <v>620</v>
      </c>
      <c r="F1058" s="274">
        <v>42924</v>
      </c>
      <c r="G1058" s="15">
        <v>620</v>
      </c>
      <c r="H1058" s="15">
        <f>Tabla1[[#This Row],[Importe]]-Tabla1[[#This Row],[Pagado]]</f>
        <v>0</v>
      </c>
      <c r="I1058" s="275" t="s">
        <v>15214</v>
      </c>
    </row>
    <row r="1059" spans="1:9" x14ac:dyDescent="0.25">
      <c r="A1059" s="16">
        <v>42924</v>
      </c>
      <c r="B1059" s="273" t="s">
        <v>20904</v>
      </c>
      <c r="C1059">
        <v>119213</v>
      </c>
      <c r="D1059" s="236" t="s">
        <v>15246</v>
      </c>
      <c r="E1059" s="15">
        <v>58011.7</v>
      </c>
      <c r="F1059" s="274">
        <v>42933</v>
      </c>
      <c r="G1059" s="15">
        <v>58011.7</v>
      </c>
      <c r="H1059" s="15">
        <f>Tabla1[[#This Row],[Importe]]-Tabla1[[#This Row],[Pagado]]</f>
        <v>0</v>
      </c>
      <c r="I1059" s="275" t="s">
        <v>15214</v>
      </c>
    </row>
    <row r="1060" spans="1:9" x14ac:dyDescent="0.25">
      <c r="A1060" s="16">
        <v>42924</v>
      </c>
      <c r="B1060" s="273" t="s">
        <v>20905</v>
      </c>
      <c r="C1060">
        <v>119214</v>
      </c>
      <c r="D1060" s="236" t="s">
        <v>15644</v>
      </c>
      <c r="E1060" s="15">
        <v>3137.6</v>
      </c>
      <c r="F1060" s="274">
        <v>42925</v>
      </c>
      <c r="G1060" s="15">
        <v>3137.6</v>
      </c>
      <c r="H1060" s="15">
        <f>Tabla1[[#This Row],[Importe]]-Tabla1[[#This Row],[Pagado]]</f>
        <v>0</v>
      </c>
      <c r="I1060" s="275" t="s">
        <v>15214</v>
      </c>
    </row>
    <row r="1061" spans="1:9" x14ac:dyDescent="0.25">
      <c r="A1061" s="16">
        <v>42924</v>
      </c>
      <c r="B1061" s="273" t="s">
        <v>20906</v>
      </c>
      <c r="C1061">
        <v>119215</v>
      </c>
      <c r="D1061" s="236" t="s">
        <v>15365</v>
      </c>
      <c r="E1061" s="15">
        <v>446641</v>
      </c>
      <c r="F1061" s="274">
        <v>42931</v>
      </c>
      <c r="G1061" s="15">
        <v>446641</v>
      </c>
      <c r="H1061" s="15">
        <f>Tabla1[[#This Row],[Importe]]-Tabla1[[#This Row],[Pagado]]</f>
        <v>0</v>
      </c>
      <c r="I1061" s="275" t="s">
        <v>15214</v>
      </c>
    </row>
    <row r="1062" spans="1:9" x14ac:dyDescent="0.25">
      <c r="A1062" s="16">
        <v>42924</v>
      </c>
      <c r="B1062" s="273" t="s">
        <v>20907</v>
      </c>
      <c r="C1062">
        <v>119216</v>
      </c>
      <c r="D1062" s="236" t="s">
        <v>15642</v>
      </c>
      <c r="E1062" s="15">
        <v>1092</v>
      </c>
      <c r="F1062" s="274">
        <v>42924</v>
      </c>
      <c r="G1062" s="15">
        <v>1092</v>
      </c>
      <c r="H1062" s="15">
        <f>Tabla1[[#This Row],[Importe]]-Tabla1[[#This Row],[Pagado]]</f>
        <v>0</v>
      </c>
      <c r="I1062" s="275" t="s">
        <v>15214</v>
      </c>
    </row>
    <row r="1063" spans="1:9" x14ac:dyDescent="0.25">
      <c r="A1063" s="16">
        <v>42924</v>
      </c>
      <c r="B1063" s="273" t="s">
        <v>20908</v>
      </c>
      <c r="C1063">
        <v>119217</v>
      </c>
      <c r="D1063" s="236" t="s">
        <v>15322</v>
      </c>
      <c r="E1063" s="15">
        <v>4843.2</v>
      </c>
      <c r="F1063" s="274">
        <v>42930</v>
      </c>
      <c r="G1063" s="15">
        <v>4843.2</v>
      </c>
      <c r="H1063" s="15">
        <f>Tabla1[[#This Row],[Importe]]-Tabla1[[#This Row],[Pagado]]</f>
        <v>0</v>
      </c>
      <c r="I1063" s="275" t="s">
        <v>15214</v>
      </c>
    </row>
    <row r="1064" spans="1:9" x14ac:dyDescent="0.25">
      <c r="A1064" s="16">
        <v>42924</v>
      </c>
      <c r="B1064" s="273" t="s">
        <v>20909</v>
      </c>
      <c r="C1064">
        <v>119218</v>
      </c>
      <c r="D1064" s="236" t="s">
        <v>15315</v>
      </c>
      <c r="E1064" s="15">
        <v>490</v>
      </c>
      <c r="F1064" s="274">
        <v>42924</v>
      </c>
      <c r="G1064" s="15">
        <v>490</v>
      </c>
      <c r="H1064" s="15">
        <f>Tabla1[[#This Row],[Importe]]-Tabla1[[#This Row],[Pagado]]</f>
        <v>0</v>
      </c>
      <c r="I1064" s="275" t="s">
        <v>15214</v>
      </c>
    </row>
    <row r="1065" spans="1:9" x14ac:dyDescent="0.25">
      <c r="A1065" s="16">
        <v>42924</v>
      </c>
      <c r="B1065" s="273" t="s">
        <v>20910</v>
      </c>
      <c r="C1065">
        <v>119219</v>
      </c>
      <c r="D1065" s="236" t="s">
        <v>15267</v>
      </c>
      <c r="E1065" s="15">
        <v>29746.080000000002</v>
      </c>
      <c r="F1065" s="274">
        <v>42926</v>
      </c>
      <c r="G1065" s="15">
        <v>29746.080000000002</v>
      </c>
      <c r="H1065" s="15">
        <f>Tabla1[[#This Row],[Importe]]-Tabla1[[#This Row],[Pagado]]</f>
        <v>0</v>
      </c>
      <c r="I1065" s="275" t="s">
        <v>15214</v>
      </c>
    </row>
    <row r="1066" spans="1:9" x14ac:dyDescent="0.25">
      <c r="A1066" s="16">
        <v>42924</v>
      </c>
      <c r="B1066" s="273" t="s">
        <v>20911</v>
      </c>
      <c r="C1066">
        <v>119220</v>
      </c>
      <c r="D1066" s="236" t="s">
        <v>15681</v>
      </c>
      <c r="E1066" s="15">
        <v>2376.8000000000002</v>
      </c>
      <c r="F1066" s="274">
        <v>42924</v>
      </c>
      <c r="G1066" s="15">
        <v>2376.8000000000002</v>
      </c>
      <c r="H1066" s="15">
        <f>Tabla1[[#This Row],[Importe]]-Tabla1[[#This Row],[Pagado]]</f>
        <v>0</v>
      </c>
      <c r="I1066" s="275" t="s">
        <v>15214</v>
      </c>
    </row>
    <row r="1067" spans="1:9" x14ac:dyDescent="0.25">
      <c r="A1067" s="16">
        <v>42924</v>
      </c>
      <c r="B1067" s="273" t="s">
        <v>20912</v>
      </c>
      <c r="C1067">
        <v>119221</v>
      </c>
      <c r="D1067" s="236" t="s">
        <v>16126</v>
      </c>
      <c r="E1067" s="15">
        <v>411.6</v>
      </c>
      <c r="F1067" s="274">
        <v>42924</v>
      </c>
      <c r="G1067" s="15">
        <v>411.6</v>
      </c>
      <c r="H1067" s="15">
        <f>Tabla1[[#This Row],[Importe]]-Tabla1[[#This Row],[Pagado]]</f>
        <v>0</v>
      </c>
      <c r="I1067" s="275" t="s">
        <v>15214</v>
      </c>
    </row>
    <row r="1068" spans="1:9" x14ac:dyDescent="0.25">
      <c r="A1068" s="16">
        <v>42924</v>
      </c>
      <c r="B1068" s="273" t="s">
        <v>20913</v>
      </c>
      <c r="C1068">
        <v>119222</v>
      </c>
      <c r="D1068" s="236" t="s">
        <v>15810</v>
      </c>
      <c r="E1068" s="15">
        <v>436.8</v>
      </c>
      <c r="F1068" s="274">
        <v>42924</v>
      </c>
      <c r="G1068" s="15">
        <v>436.8</v>
      </c>
      <c r="H1068" s="15">
        <f>Tabla1[[#This Row],[Importe]]-Tabla1[[#This Row],[Pagado]]</f>
        <v>0</v>
      </c>
      <c r="I1068" s="275" t="s">
        <v>15214</v>
      </c>
    </row>
    <row r="1069" spans="1:9" x14ac:dyDescent="0.25">
      <c r="A1069" s="16">
        <v>42924</v>
      </c>
      <c r="B1069" s="273" t="s">
        <v>20914</v>
      </c>
      <c r="C1069">
        <v>119223</v>
      </c>
      <c r="D1069" s="236" t="s">
        <v>15246</v>
      </c>
      <c r="E1069" s="15">
        <v>31565</v>
      </c>
      <c r="F1069" s="274">
        <v>42933</v>
      </c>
      <c r="G1069" s="15">
        <v>31565</v>
      </c>
      <c r="H1069" s="15">
        <f>Tabla1[[#This Row],[Importe]]-Tabla1[[#This Row],[Pagado]]</f>
        <v>0</v>
      </c>
      <c r="I1069" s="275" t="s">
        <v>15214</v>
      </c>
    </row>
    <row r="1070" spans="1:9" x14ac:dyDescent="0.25">
      <c r="A1070" s="16">
        <v>42925</v>
      </c>
      <c r="B1070" s="273" t="s">
        <v>20915</v>
      </c>
      <c r="C1070">
        <v>119224</v>
      </c>
      <c r="D1070" s="236" t="s">
        <v>15258</v>
      </c>
      <c r="E1070" s="15">
        <v>4250.3999999999996</v>
      </c>
      <c r="F1070" s="274">
        <v>42925</v>
      </c>
      <c r="G1070" s="15">
        <v>4250.3999999999996</v>
      </c>
      <c r="H1070" s="15">
        <f>Tabla1[[#This Row],[Importe]]-Tabla1[[#This Row],[Pagado]]</f>
        <v>0</v>
      </c>
      <c r="I1070" s="275" t="s">
        <v>15214</v>
      </c>
    </row>
    <row r="1071" spans="1:9" x14ac:dyDescent="0.25">
      <c r="A1071" s="16">
        <v>42925</v>
      </c>
      <c r="B1071" s="273" t="s">
        <v>20916</v>
      </c>
      <c r="C1071">
        <v>119225</v>
      </c>
      <c r="D1071" s="236" t="s">
        <v>15213</v>
      </c>
      <c r="E1071" s="15">
        <v>6063</v>
      </c>
      <c r="F1071" s="274">
        <v>42927</v>
      </c>
      <c r="G1071" s="15">
        <v>6063</v>
      </c>
      <c r="H1071" s="15">
        <f>Tabla1[[#This Row],[Importe]]-Tabla1[[#This Row],[Pagado]]</f>
        <v>0</v>
      </c>
      <c r="I1071" s="275" t="s">
        <v>15214</v>
      </c>
    </row>
    <row r="1072" spans="1:9" x14ac:dyDescent="0.25">
      <c r="A1072" s="16">
        <v>42925</v>
      </c>
      <c r="B1072" s="273" t="s">
        <v>20917</v>
      </c>
      <c r="C1072">
        <v>119226</v>
      </c>
      <c r="D1072" s="236" t="s">
        <v>15213</v>
      </c>
      <c r="E1072" s="15">
        <v>1092.3</v>
      </c>
      <c r="F1072" s="274">
        <v>42925</v>
      </c>
      <c r="G1072" s="15">
        <v>1092.3</v>
      </c>
      <c r="H1072" s="15">
        <f>Tabla1[[#This Row],[Importe]]-Tabla1[[#This Row],[Pagado]]</f>
        <v>0</v>
      </c>
      <c r="I1072" s="275" t="s">
        <v>15214</v>
      </c>
    </row>
    <row r="1073" spans="1:9" x14ac:dyDescent="0.25">
      <c r="A1073" s="16">
        <v>42925</v>
      </c>
      <c r="B1073" s="273" t="s">
        <v>20918</v>
      </c>
      <c r="C1073">
        <v>119227</v>
      </c>
      <c r="D1073" s="236" t="s">
        <v>15668</v>
      </c>
      <c r="E1073" s="15">
        <v>29811.599999999999</v>
      </c>
      <c r="F1073" s="274">
        <v>42928</v>
      </c>
      <c r="G1073" s="15">
        <v>29811.599999999999</v>
      </c>
      <c r="H1073" s="15">
        <f>Tabla1[[#This Row],[Importe]]-Tabla1[[#This Row],[Pagado]]</f>
        <v>0</v>
      </c>
      <c r="I1073" s="275" t="s">
        <v>15214</v>
      </c>
    </row>
    <row r="1074" spans="1:9" x14ac:dyDescent="0.25">
      <c r="A1074" s="16">
        <v>42925</v>
      </c>
      <c r="B1074" s="273" t="s">
        <v>20919</v>
      </c>
      <c r="C1074">
        <v>119228</v>
      </c>
      <c r="D1074" s="236" t="s">
        <v>15213</v>
      </c>
      <c r="E1074" s="15">
        <v>35004</v>
      </c>
      <c r="F1074" s="274">
        <v>42926</v>
      </c>
      <c r="G1074" s="15">
        <v>35004</v>
      </c>
      <c r="H1074" s="15">
        <f>Tabla1[[#This Row],[Importe]]-Tabla1[[#This Row],[Pagado]]</f>
        <v>0</v>
      </c>
      <c r="I1074" s="275" t="s">
        <v>15214</v>
      </c>
    </row>
    <row r="1075" spans="1:9" x14ac:dyDescent="0.25">
      <c r="A1075" s="16">
        <v>42925</v>
      </c>
      <c r="B1075" s="273" t="s">
        <v>20920</v>
      </c>
      <c r="C1075">
        <v>119229</v>
      </c>
      <c r="D1075" s="236" t="s">
        <v>15272</v>
      </c>
      <c r="E1075" s="15">
        <v>25773.9</v>
      </c>
      <c r="F1075" s="274">
        <v>42925</v>
      </c>
      <c r="G1075" s="15">
        <v>25773.9</v>
      </c>
      <c r="H1075" s="15">
        <f>Tabla1[[#This Row],[Importe]]-Tabla1[[#This Row],[Pagado]]</f>
        <v>0</v>
      </c>
      <c r="I1075" s="275" t="s">
        <v>15214</v>
      </c>
    </row>
    <row r="1076" spans="1:9" x14ac:dyDescent="0.25">
      <c r="A1076" s="16">
        <v>42925</v>
      </c>
      <c r="B1076" s="273" t="s">
        <v>20921</v>
      </c>
      <c r="C1076">
        <v>119230</v>
      </c>
      <c r="D1076" s="236" t="s">
        <v>15228</v>
      </c>
      <c r="E1076" s="15">
        <v>148.19999999999999</v>
      </c>
      <c r="F1076" s="274">
        <v>42926</v>
      </c>
      <c r="G1076" s="15">
        <v>148.19999999999999</v>
      </c>
      <c r="H1076" s="15">
        <f>Tabla1[[#This Row],[Importe]]-Tabla1[[#This Row],[Pagado]]</f>
        <v>0</v>
      </c>
      <c r="I1076" s="275" t="s">
        <v>15214</v>
      </c>
    </row>
    <row r="1077" spans="1:9" x14ac:dyDescent="0.25">
      <c r="A1077" s="16">
        <v>42925</v>
      </c>
      <c r="B1077" s="273" t="s">
        <v>20922</v>
      </c>
      <c r="C1077">
        <v>119231</v>
      </c>
      <c r="D1077" s="236" t="s">
        <v>16958</v>
      </c>
      <c r="E1077" s="15">
        <v>1370</v>
      </c>
      <c r="F1077" s="274">
        <v>42925</v>
      </c>
      <c r="G1077" s="15">
        <v>1370</v>
      </c>
      <c r="H1077" s="15">
        <f>Tabla1[[#This Row],[Importe]]-Tabla1[[#This Row],[Pagado]]</f>
        <v>0</v>
      </c>
      <c r="I1077" s="275" t="s">
        <v>15214</v>
      </c>
    </row>
    <row r="1078" spans="1:9" x14ac:dyDescent="0.25">
      <c r="A1078" s="16">
        <v>42925</v>
      </c>
      <c r="B1078" s="273" t="s">
        <v>20923</v>
      </c>
      <c r="C1078">
        <v>119232</v>
      </c>
      <c r="D1078" s="236" t="s">
        <v>15407</v>
      </c>
      <c r="E1078" s="15">
        <v>1087.0999999999999</v>
      </c>
      <c r="F1078" s="274">
        <v>42925</v>
      </c>
      <c r="G1078" s="15">
        <v>1087.0999999999999</v>
      </c>
      <c r="H1078" s="15">
        <f>Tabla1[[#This Row],[Importe]]-Tabla1[[#This Row],[Pagado]]</f>
        <v>0</v>
      </c>
      <c r="I1078" s="275" t="s">
        <v>15214</v>
      </c>
    </row>
    <row r="1079" spans="1:9" x14ac:dyDescent="0.25">
      <c r="A1079" s="16">
        <v>42925</v>
      </c>
      <c r="B1079" s="273" t="s">
        <v>20924</v>
      </c>
      <c r="C1079">
        <v>119233</v>
      </c>
      <c r="D1079" s="236" t="s">
        <v>15407</v>
      </c>
      <c r="E1079" s="15">
        <v>3502.2</v>
      </c>
      <c r="F1079" s="274">
        <v>42925</v>
      </c>
      <c r="G1079" s="15">
        <v>3502.2</v>
      </c>
      <c r="H1079" s="15">
        <f>Tabla1[[#This Row],[Importe]]-Tabla1[[#This Row],[Pagado]]</f>
        <v>0</v>
      </c>
      <c r="I1079" s="275" t="s">
        <v>15214</v>
      </c>
    </row>
    <row r="1080" spans="1:9" x14ac:dyDescent="0.25">
      <c r="A1080" s="16">
        <v>42925</v>
      </c>
      <c r="B1080" s="273" t="s">
        <v>20925</v>
      </c>
      <c r="C1080">
        <v>119234</v>
      </c>
      <c r="D1080" s="236" t="s">
        <v>15242</v>
      </c>
      <c r="E1080" s="15">
        <v>19497.099999999999</v>
      </c>
      <c r="F1080" s="274">
        <v>42925</v>
      </c>
      <c r="G1080" s="15">
        <v>19497.099999999999</v>
      </c>
      <c r="H1080" s="15">
        <f>Tabla1[[#This Row],[Importe]]-Tabla1[[#This Row],[Pagado]]</f>
        <v>0</v>
      </c>
      <c r="I1080" s="275" t="s">
        <v>15214</v>
      </c>
    </row>
    <row r="1081" spans="1:9" x14ac:dyDescent="0.25">
      <c r="A1081" s="16">
        <v>42925</v>
      </c>
      <c r="B1081" s="273" t="s">
        <v>20926</v>
      </c>
      <c r="C1081">
        <v>119235</v>
      </c>
      <c r="D1081" s="236" t="s">
        <v>17235</v>
      </c>
      <c r="E1081" s="15">
        <v>1060</v>
      </c>
      <c r="F1081" s="274">
        <v>42925</v>
      </c>
      <c r="G1081" s="15">
        <v>1060</v>
      </c>
      <c r="H1081" s="15">
        <f>Tabla1[[#This Row],[Importe]]-Tabla1[[#This Row],[Pagado]]</f>
        <v>0</v>
      </c>
      <c r="I1081" s="275" t="s">
        <v>15214</v>
      </c>
    </row>
    <row r="1082" spans="1:9" x14ac:dyDescent="0.25">
      <c r="A1082" s="16">
        <v>42925</v>
      </c>
      <c r="B1082" s="273" t="s">
        <v>20927</v>
      </c>
      <c r="C1082">
        <v>119236</v>
      </c>
      <c r="D1082" s="236" t="s">
        <v>15220</v>
      </c>
      <c r="E1082" s="15">
        <v>5830</v>
      </c>
      <c r="F1082" s="274">
        <v>42925</v>
      </c>
      <c r="G1082" s="15">
        <v>5830</v>
      </c>
      <c r="H1082" s="15">
        <f>Tabla1[[#This Row],[Importe]]-Tabla1[[#This Row],[Pagado]]</f>
        <v>0</v>
      </c>
      <c r="I1082" s="275" t="s">
        <v>15214</v>
      </c>
    </row>
    <row r="1083" spans="1:9" x14ac:dyDescent="0.25">
      <c r="A1083" s="16">
        <v>42925</v>
      </c>
      <c r="B1083" s="273" t="s">
        <v>20928</v>
      </c>
      <c r="C1083">
        <v>119237</v>
      </c>
      <c r="D1083" s="236" t="s">
        <v>15267</v>
      </c>
      <c r="E1083" s="15">
        <v>29746.080000000002</v>
      </c>
      <c r="F1083" s="274">
        <v>42933</v>
      </c>
      <c r="G1083" s="15">
        <v>29746.080000000002</v>
      </c>
      <c r="H1083" s="15">
        <f>Tabla1[[#This Row],[Importe]]-Tabla1[[#This Row],[Pagado]]</f>
        <v>0</v>
      </c>
      <c r="I1083" s="275" t="s">
        <v>15214</v>
      </c>
    </row>
    <row r="1084" spans="1:9" x14ac:dyDescent="0.25">
      <c r="A1084" s="16">
        <v>42925</v>
      </c>
      <c r="B1084" s="273" t="s">
        <v>20929</v>
      </c>
      <c r="C1084">
        <v>119238</v>
      </c>
      <c r="D1084" s="236" t="s">
        <v>15261</v>
      </c>
      <c r="E1084" s="15">
        <v>23475.4</v>
      </c>
      <c r="F1084" s="274">
        <v>42925</v>
      </c>
      <c r="G1084" s="15">
        <v>23475.4</v>
      </c>
      <c r="H1084" s="15">
        <f>Tabla1[[#This Row],[Importe]]-Tabla1[[#This Row],[Pagado]]</f>
        <v>0</v>
      </c>
      <c r="I1084" s="275" t="s">
        <v>15214</v>
      </c>
    </row>
    <row r="1085" spans="1:9" ht="30" x14ac:dyDescent="0.25">
      <c r="A1085" s="16">
        <v>42925</v>
      </c>
      <c r="B1085" s="273" t="s">
        <v>20930</v>
      </c>
      <c r="C1085">
        <v>119239</v>
      </c>
      <c r="D1085" s="236" t="s">
        <v>15248</v>
      </c>
      <c r="E1085" s="15">
        <v>43955.92</v>
      </c>
      <c r="F1085" s="274" t="s">
        <v>20931</v>
      </c>
      <c r="G1085" s="241">
        <f>40000+3955.92</f>
        <v>43955.92</v>
      </c>
      <c r="H1085" s="241">
        <f>Tabla1[[#This Row],[Importe]]-Tabla1[[#This Row],[Pagado]]</f>
        <v>0</v>
      </c>
      <c r="I1085" s="275" t="s">
        <v>15214</v>
      </c>
    </row>
    <row r="1086" spans="1:9" x14ac:dyDescent="0.25">
      <c r="A1086" s="16">
        <v>42925</v>
      </c>
      <c r="B1086" s="273" t="s">
        <v>20932</v>
      </c>
      <c r="C1086">
        <v>119240</v>
      </c>
      <c r="D1086" s="236" t="s">
        <v>15263</v>
      </c>
      <c r="E1086" s="15">
        <v>2929.7</v>
      </c>
      <c r="F1086" s="274">
        <v>42925</v>
      </c>
      <c r="G1086" s="15">
        <v>2929.7</v>
      </c>
      <c r="H1086" s="15">
        <f>Tabla1[[#This Row],[Importe]]-Tabla1[[#This Row],[Pagado]]</f>
        <v>0</v>
      </c>
      <c r="I1086" s="275" t="s">
        <v>15214</v>
      </c>
    </row>
    <row r="1087" spans="1:9" x14ac:dyDescent="0.25">
      <c r="A1087" s="16">
        <v>42925</v>
      </c>
      <c r="B1087" s="273" t="s">
        <v>20933</v>
      </c>
      <c r="C1087">
        <v>119241</v>
      </c>
      <c r="D1087" s="236" t="s">
        <v>15334</v>
      </c>
      <c r="E1087" s="15">
        <v>3613</v>
      </c>
      <c r="F1087" s="274">
        <v>42926</v>
      </c>
      <c r="G1087" s="15">
        <v>3613</v>
      </c>
      <c r="H1087" s="15">
        <f>Tabla1[[#This Row],[Importe]]-Tabla1[[#This Row],[Pagado]]</f>
        <v>0</v>
      </c>
      <c r="I1087" s="275" t="s">
        <v>15214</v>
      </c>
    </row>
    <row r="1088" spans="1:9" x14ac:dyDescent="0.25">
      <c r="A1088" s="16">
        <v>42925</v>
      </c>
      <c r="B1088" s="273" t="s">
        <v>20934</v>
      </c>
      <c r="C1088">
        <v>119242</v>
      </c>
      <c r="D1088" s="236" t="s">
        <v>15523</v>
      </c>
      <c r="E1088" s="15">
        <v>5830</v>
      </c>
      <c r="F1088" s="274">
        <v>42926</v>
      </c>
      <c r="G1088" s="15">
        <v>5830</v>
      </c>
      <c r="H1088" s="15">
        <f>Tabla1[[#This Row],[Importe]]-Tabla1[[#This Row],[Pagado]]</f>
        <v>0</v>
      </c>
      <c r="I1088" s="275" t="s">
        <v>15214</v>
      </c>
    </row>
    <row r="1089" spans="1:9" x14ac:dyDescent="0.25">
      <c r="A1089" s="16">
        <v>42925</v>
      </c>
      <c r="B1089" s="273" t="s">
        <v>20935</v>
      </c>
      <c r="C1089">
        <v>119243</v>
      </c>
      <c r="D1089" s="236" t="s">
        <v>15278</v>
      </c>
      <c r="E1089" s="15">
        <v>4903.9399999999996</v>
      </c>
      <c r="F1089" s="274">
        <v>42925</v>
      </c>
      <c r="G1089" s="15">
        <v>4903.9399999999996</v>
      </c>
      <c r="H1089" s="15">
        <f>Tabla1[[#This Row],[Importe]]-Tabla1[[#This Row],[Pagado]]</f>
        <v>0</v>
      </c>
      <c r="I1089" s="275" t="s">
        <v>15214</v>
      </c>
    </row>
    <row r="1090" spans="1:9" x14ac:dyDescent="0.25">
      <c r="A1090" s="16">
        <v>42925</v>
      </c>
      <c r="B1090" s="273" t="s">
        <v>20936</v>
      </c>
      <c r="C1090">
        <v>119244</v>
      </c>
      <c r="D1090" s="236" t="s">
        <v>15284</v>
      </c>
      <c r="E1090" s="15">
        <v>2140.9</v>
      </c>
      <c r="F1090" s="274">
        <v>42925</v>
      </c>
      <c r="G1090" s="15">
        <v>2140.9</v>
      </c>
      <c r="H1090" s="15">
        <f>Tabla1[[#This Row],[Importe]]-Tabla1[[#This Row],[Pagado]]</f>
        <v>0</v>
      </c>
      <c r="I1090" s="275" t="s">
        <v>15214</v>
      </c>
    </row>
    <row r="1091" spans="1:9" x14ac:dyDescent="0.25">
      <c r="A1091" s="16">
        <v>42925</v>
      </c>
      <c r="B1091" s="273" t="s">
        <v>20937</v>
      </c>
      <c r="C1091">
        <v>119245</v>
      </c>
      <c r="D1091" s="236" t="s">
        <v>15642</v>
      </c>
      <c r="E1091" s="15">
        <v>2144.1</v>
      </c>
      <c r="F1091" s="274">
        <v>42925</v>
      </c>
      <c r="G1091" s="15">
        <v>2144.1</v>
      </c>
      <c r="H1091" s="15">
        <f>Tabla1[[#This Row],[Importe]]-Tabla1[[#This Row],[Pagado]]</f>
        <v>0</v>
      </c>
      <c r="I1091" s="275" t="s">
        <v>15214</v>
      </c>
    </row>
    <row r="1092" spans="1:9" x14ac:dyDescent="0.25">
      <c r="A1092" s="16">
        <v>42925</v>
      </c>
      <c r="B1092" s="273" t="s">
        <v>20938</v>
      </c>
      <c r="C1092">
        <v>119246</v>
      </c>
      <c r="D1092" s="236" t="s">
        <v>15642</v>
      </c>
      <c r="E1092" s="15">
        <v>2427.6</v>
      </c>
      <c r="F1092" s="274">
        <v>42925</v>
      </c>
      <c r="G1092" s="15">
        <v>2427.6</v>
      </c>
      <c r="H1092" s="15">
        <f>Tabla1[[#This Row],[Importe]]-Tabla1[[#This Row],[Pagado]]</f>
        <v>0</v>
      </c>
      <c r="I1092" s="275" t="s">
        <v>15214</v>
      </c>
    </row>
    <row r="1093" spans="1:9" x14ac:dyDescent="0.25">
      <c r="A1093" s="16">
        <v>42925</v>
      </c>
      <c r="B1093" s="273" t="s">
        <v>20939</v>
      </c>
      <c r="C1093">
        <v>119247</v>
      </c>
      <c r="D1093" s="236" t="s">
        <v>15282</v>
      </c>
      <c r="E1093" s="15">
        <v>2860</v>
      </c>
      <c r="F1093" s="274">
        <v>42925</v>
      </c>
      <c r="G1093" s="15">
        <v>2860</v>
      </c>
      <c r="H1093" s="15">
        <f>Tabla1[[#This Row],[Importe]]-Tabla1[[#This Row],[Pagado]]</f>
        <v>0</v>
      </c>
      <c r="I1093" s="275" t="s">
        <v>15214</v>
      </c>
    </row>
    <row r="1094" spans="1:9" x14ac:dyDescent="0.25">
      <c r="A1094" s="16">
        <v>42925</v>
      </c>
      <c r="B1094" s="273" t="s">
        <v>20940</v>
      </c>
      <c r="C1094">
        <v>119248</v>
      </c>
      <c r="D1094" s="236" t="s">
        <v>15254</v>
      </c>
      <c r="E1094" s="15">
        <v>702</v>
      </c>
      <c r="F1094" s="274">
        <v>42934</v>
      </c>
      <c r="G1094" s="15">
        <v>702</v>
      </c>
      <c r="H1094" s="15">
        <f>Tabla1[[#This Row],[Importe]]-Tabla1[[#This Row],[Pagado]]</f>
        <v>0</v>
      </c>
      <c r="I1094" s="275" t="s">
        <v>15214</v>
      </c>
    </row>
    <row r="1095" spans="1:9" x14ac:dyDescent="0.25">
      <c r="A1095" s="16">
        <v>42925</v>
      </c>
      <c r="B1095" s="273" t="s">
        <v>20941</v>
      </c>
      <c r="C1095">
        <v>119249</v>
      </c>
      <c r="D1095" s="236" t="s">
        <v>16023</v>
      </c>
      <c r="E1095" s="15">
        <v>640</v>
      </c>
      <c r="F1095" s="274">
        <v>42925</v>
      </c>
      <c r="G1095" s="15">
        <v>640</v>
      </c>
      <c r="H1095" s="15">
        <f>Tabla1[[#This Row],[Importe]]-Tabla1[[#This Row],[Pagado]]</f>
        <v>0</v>
      </c>
      <c r="I1095" s="275" t="s">
        <v>15214</v>
      </c>
    </row>
    <row r="1096" spans="1:9" x14ac:dyDescent="0.25">
      <c r="A1096" s="16">
        <v>42925</v>
      </c>
      <c r="B1096" s="273" t="s">
        <v>20942</v>
      </c>
      <c r="C1096">
        <v>119250</v>
      </c>
      <c r="D1096" s="236" t="s">
        <v>15252</v>
      </c>
      <c r="E1096" s="15">
        <v>4120.2</v>
      </c>
      <c r="F1096" s="274">
        <v>42926</v>
      </c>
      <c r="G1096" s="15">
        <v>4120.2</v>
      </c>
      <c r="H1096" s="15">
        <f>Tabla1[[#This Row],[Importe]]-Tabla1[[#This Row],[Pagado]]</f>
        <v>0</v>
      </c>
      <c r="I1096" s="275" t="s">
        <v>15214</v>
      </c>
    </row>
    <row r="1097" spans="1:9" x14ac:dyDescent="0.25">
      <c r="A1097" s="16">
        <v>42925</v>
      </c>
      <c r="B1097" s="273" t="s">
        <v>20943</v>
      </c>
      <c r="C1097">
        <v>119251</v>
      </c>
      <c r="D1097" s="236" t="s">
        <v>15378</v>
      </c>
      <c r="E1097" s="15">
        <v>4632</v>
      </c>
      <c r="F1097" s="274">
        <v>42925</v>
      </c>
      <c r="G1097" s="15">
        <v>4632</v>
      </c>
      <c r="H1097" s="15">
        <f>Tabla1[[#This Row],[Importe]]-Tabla1[[#This Row],[Pagado]]</f>
        <v>0</v>
      </c>
      <c r="I1097" s="275" t="s">
        <v>15214</v>
      </c>
    </row>
    <row r="1098" spans="1:9" x14ac:dyDescent="0.25">
      <c r="A1098" s="16">
        <v>42925</v>
      </c>
      <c r="B1098" s="273" t="s">
        <v>20944</v>
      </c>
      <c r="C1098">
        <v>119252</v>
      </c>
      <c r="D1098" s="236" t="s">
        <v>15541</v>
      </c>
      <c r="E1098" s="15">
        <v>2018.8</v>
      </c>
      <c r="F1098" s="274">
        <v>42926</v>
      </c>
      <c r="G1098" s="15">
        <v>2018.8</v>
      </c>
      <c r="H1098" s="15">
        <f>Tabla1[[#This Row],[Importe]]-Tabla1[[#This Row],[Pagado]]</f>
        <v>0</v>
      </c>
      <c r="I1098" s="275" t="s">
        <v>15214</v>
      </c>
    </row>
    <row r="1099" spans="1:9" x14ac:dyDescent="0.25">
      <c r="A1099" s="16">
        <v>42925</v>
      </c>
      <c r="B1099" s="273" t="s">
        <v>20945</v>
      </c>
      <c r="C1099">
        <v>119253</v>
      </c>
      <c r="D1099" s="236" t="s">
        <v>15244</v>
      </c>
      <c r="E1099" s="15">
        <v>17335</v>
      </c>
      <c r="F1099" s="274">
        <v>42934</v>
      </c>
      <c r="G1099" s="15">
        <v>17335</v>
      </c>
      <c r="H1099" s="15">
        <f>Tabla1[[#This Row],[Importe]]-Tabla1[[#This Row],[Pagado]]</f>
        <v>0</v>
      </c>
      <c r="I1099" s="275" t="s">
        <v>15214</v>
      </c>
    </row>
    <row r="1100" spans="1:9" x14ac:dyDescent="0.25">
      <c r="A1100" s="16">
        <v>42925</v>
      </c>
      <c r="B1100" s="273" t="s">
        <v>20946</v>
      </c>
      <c r="C1100">
        <v>119254</v>
      </c>
      <c r="D1100" s="236" t="s">
        <v>15324</v>
      </c>
      <c r="E1100" s="15">
        <v>1229</v>
      </c>
      <c r="F1100" s="274">
        <v>42926</v>
      </c>
      <c r="G1100" s="15">
        <v>1229</v>
      </c>
      <c r="H1100" s="15">
        <f>Tabla1[[#This Row],[Importe]]-Tabla1[[#This Row],[Pagado]]</f>
        <v>0</v>
      </c>
      <c r="I1100" s="275" t="s">
        <v>15214</v>
      </c>
    </row>
    <row r="1101" spans="1:9" x14ac:dyDescent="0.25">
      <c r="A1101" s="16">
        <v>42925</v>
      </c>
      <c r="B1101" s="273" t="s">
        <v>20947</v>
      </c>
      <c r="C1101">
        <v>119255</v>
      </c>
      <c r="D1101" s="236" t="s">
        <v>15530</v>
      </c>
      <c r="E1101" s="15">
        <v>6152.8</v>
      </c>
      <c r="F1101" s="274">
        <v>42925</v>
      </c>
      <c r="G1101" s="15">
        <v>6152.8</v>
      </c>
      <c r="H1101" s="15">
        <f>Tabla1[[#This Row],[Importe]]-Tabla1[[#This Row],[Pagado]]</f>
        <v>0</v>
      </c>
      <c r="I1101" s="275" t="s">
        <v>15214</v>
      </c>
    </row>
    <row r="1102" spans="1:9" x14ac:dyDescent="0.25">
      <c r="A1102" s="16">
        <v>42925</v>
      </c>
      <c r="B1102" s="273" t="s">
        <v>20948</v>
      </c>
      <c r="C1102">
        <v>119256</v>
      </c>
      <c r="D1102" s="236" t="s">
        <v>15280</v>
      </c>
      <c r="E1102" s="15">
        <v>5125</v>
      </c>
      <c r="F1102" s="274">
        <v>42925</v>
      </c>
      <c r="G1102" s="15">
        <v>5125</v>
      </c>
      <c r="H1102" s="15">
        <f>Tabla1[[#This Row],[Importe]]-Tabla1[[#This Row],[Pagado]]</f>
        <v>0</v>
      </c>
      <c r="I1102" s="275" t="s">
        <v>15214</v>
      </c>
    </row>
    <row r="1103" spans="1:9" x14ac:dyDescent="0.25">
      <c r="A1103" s="16">
        <v>42925</v>
      </c>
      <c r="B1103" s="273" t="s">
        <v>20949</v>
      </c>
      <c r="C1103">
        <v>119257</v>
      </c>
      <c r="D1103" s="236" t="s">
        <v>15223</v>
      </c>
      <c r="E1103" s="15">
        <v>45736.17</v>
      </c>
      <c r="F1103" s="274">
        <v>42960</v>
      </c>
      <c r="G1103" s="15">
        <v>45736.17</v>
      </c>
      <c r="H1103" s="15">
        <f>Tabla1[[#This Row],[Importe]]-Tabla1[[#This Row],[Pagado]]</f>
        <v>0</v>
      </c>
      <c r="I1103" s="275" t="s">
        <v>15214</v>
      </c>
    </row>
    <row r="1104" spans="1:9" x14ac:dyDescent="0.25">
      <c r="A1104" s="16">
        <v>42925</v>
      </c>
      <c r="B1104" s="273" t="s">
        <v>20950</v>
      </c>
      <c r="C1104">
        <v>119258</v>
      </c>
      <c r="D1104" s="236" t="s">
        <v>15398</v>
      </c>
      <c r="E1104" s="15">
        <v>4088.75</v>
      </c>
      <c r="F1104" s="274">
        <v>42925</v>
      </c>
      <c r="G1104" s="15">
        <v>4088.75</v>
      </c>
      <c r="H1104" s="15">
        <f>Tabla1[[#This Row],[Importe]]-Tabla1[[#This Row],[Pagado]]</f>
        <v>0</v>
      </c>
      <c r="I1104" s="275" t="s">
        <v>15214</v>
      </c>
    </row>
    <row r="1105" spans="1:9" x14ac:dyDescent="0.25">
      <c r="A1105" s="16">
        <v>42925</v>
      </c>
      <c r="B1105" s="273" t="s">
        <v>20951</v>
      </c>
      <c r="C1105">
        <v>119259</v>
      </c>
      <c r="D1105" s="236" t="s">
        <v>15223</v>
      </c>
      <c r="E1105" s="15">
        <v>17701.2</v>
      </c>
      <c r="F1105" s="274">
        <v>42960</v>
      </c>
      <c r="G1105" s="15">
        <v>17701.2</v>
      </c>
      <c r="H1105" s="15">
        <f>Tabla1[[#This Row],[Importe]]-Tabla1[[#This Row],[Pagado]]</f>
        <v>0</v>
      </c>
      <c r="I1105" s="275" t="s">
        <v>15214</v>
      </c>
    </row>
    <row r="1106" spans="1:9" x14ac:dyDescent="0.25">
      <c r="A1106" s="16">
        <v>42925</v>
      </c>
      <c r="B1106" s="273" t="s">
        <v>20952</v>
      </c>
      <c r="C1106">
        <v>119260</v>
      </c>
      <c r="D1106" s="236" t="s">
        <v>15562</v>
      </c>
      <c r="E1106" s="15">
        <v>3354</v>
      </c>
      <c r="F1106" s="274">
        <v>42925</v>
      </c>
      <c r="G1106" s="15">
        <v>3354</v>
      </c>
      <c r="H1106" s="15">
        <f>Tabla1[[#This Row],[Importe]]-Tabla1[[#This Row],[Pagado]]</f>
        <v>0</v>
      </c>
      <c r="I1106" s="275" t="s">
        <v>15214</v>
      </c>
    </row>
    <row r="1107" spans="1:9" x14ac:dyDescent="0.25">
      <c r="A1107" s="16">
        <v>42925</v>
      </c>
      <c r="B1107" s="273" t="s">
        <v>20953</v>
      </c>
      <c r="C1107">
        <v>119261</v>
      </c>
      <c r="D1107" s="236" t="s">
        <v>15358</v>
      </c>
      <c r="E1107" s="15">
        <v>2101.1999999999998</v>
      </c>
      <c r="F1107" s="274">
        <v>42926</v>
      </c>
      <c r="G1107" s="15">
        <v>2101.1999999999998</v>
      </c>
      <c r="H1107" s="15">
        <f>Tabla1[[#This Row],[Importe]]-Tabla1[[#This Row],[Pagado]]</f>
        <v>0</v>
      </c>
      <c r="I1107" s="275" t="s">
        <v>15214</v>
      </c>
    </row>
    <row r="1108" spans="1:9" x14ac:dyDescent="0.25">
      <c r="A1108" s="16">
        <v>42925</v>
      </c>
      <c r="B1108" s="273" t="s">
        <v>20954</v>
      </c>
      <c r="C1108">
        <v>119262</v>
      </c>
      <c r="D1108" s="236" t="s">
        <v>15358</v>
      </c>
      <c r="E1108" s="15">
        <v>1560.6</v>
      </c>
      <c r="F1108" s="274">
        <v>42926</v>
      </c>
      <c r="G1108" s="15">
        <v>1560.6</v>
      </c>
      <c r="H1108" s="15">
        <f>Tabla1[[#This Row],[Importe]]-Tabla1[[#This Row],[Pagado]]</f>
        <v>0</v>
      </c>
      <c r="I1108" s="275" t="s">
        <v>15214</v>
      </c>
    </row>
    <row r="1109" spans="1:9" x14ac:dyDescent="0.25">
      <c r="A1109" s="16">
        <v>42925</v>
      </c>
      <c r="B1109" s="273" t="s">
        <v>20955</v>
      </c>
      <c r="C1109">
        <v>119263</v>
      </c>
      <c r="D1109" s="236" t="s">
        <v>15336</v>
      </c>
      <c r="E1109" s="15">
        <v>1305.5999999999999</v>
      </c>
      <c r="F1109" s="274">
        <v>42926</v>
      </c>
      <c r="G1109" s="15">
        <v>1305.5999999999999</v>
      </c>
      <c r="H1109" s="15">
        <f>Tabla1[[#This Row],[Importe]]-Tabla1[[#This Row],[Pagado]]</f>
        <v>0</v>
      </c>
      <c r="I1109" s="275" t="s">
        <v>15214</v>
      </c>
    </row>
    <row r="1110" spans="1:9" x14ac:dyDescent="0.25">
      <c r="A1110" s="16">
        <v>42925</v>
      </c>
      <c r="B1110" s="273" t="s">
        <v>20956</v>
      </c>
      <c r="C1110">
        <v>119264</v>
      </c>
      <c r="D1110" s="236" t="s">
        <v>15246</v>
      </c>
      <c r="E1110" s="15">
        <v>160765.72</v>
      </c>
      <c r="F1110" s="274">
        <v>42933</v>
      </c>
      <c r="G1110" s="15">
        <v>160765.72</v>
      </c>
      <c r="H1110" s="15">
        <f>Tabla1[[#This Row],[Importe]]-Tabla1[[#This Row],[Pagado]]</f>
        <v>0</v>
      </c>
      <c r="I1110" s="275" t="s">
        <v>15214</v>
      </c>
    </row>
    <row r="1111" spans="1:9" x14ac:dyDescent="0.25">
      <c r="A1111" s="16">
        <v>42925</v>
      </c>
      <c r="B1111" s="273" t="s">
        <v>20957</v>
      </c>
      <c r="C1111">
        <v>119265</v>
      </c>
      <c r="D1111" s="236" t="s">
        <v>15577</v>
      </c>
      <c r="E1111" s="15">
        <v>825.8</v>
      </c>
      <c r="F1111" s="274" t="s">
        <v>20958</v>
      </c>
      <c r="G1111" s="15">
        <v>825.8</v>
      </c>
      <c r="H1111" s="15">
        <f>Tabla1[[#This Row],[Importe]]-Tabla1[[#This Row],[Pagado]]</f>
        <v>0</v>
      </c>
      <c r="I1111" s="275" t="s">
        <v>15214</v>
      </c>
    </row>
    <row r="1112" spans="1:9" x14ac:dyDescent="0.25">
      <c r="A1112" s="16">
        <v>42925</v>
      </c>
      <c r="B1112" s="273" t="s">
        <v>20959</v>
      </c>
      <c r="C1112">
        <v>119266</v>
      </c>
      <c r="D1112" s="236" t="s">
        <v>15332</v>
      </c>
      <c r="E1112" s="15">
        <v>3727.4</v>
      </c>
      <c r="F1112" s="274">
        <v>42926</v>
      </c>
      <c r="G1112" s="15">
        <v>3727.4</v>
      </c>
      <c r="H1112" s="15">
        <f>Tabla1[[#This Row],[Importe]]-Tabla1[[#This Row],[Pagado]]</f>
        <v>0</v>
      </c>
      <c r="I1112" s="275" t="s">
        <v>15214</v>
      </c>
    </row>
    <row r="1113" spans="1:9" x14ac:dyDescent="0.25">
      <c r="A1113" s="16">
        <v>42925</v>
      </c>
      <c r="B1113" s="273" t="s">
        <v>20960</v>
      </c>
      <c r="C1113">
        <v>119267</v>
      </c>
      <c r="D1113" s="236" t="s">
        <v>15291</v>
      </c>
      <c r="E1113" s="15">
        <v>1325</v>
      </c>
      <c r="F1113" s="274">
        <v>42926</v>
      </c>
      <c r="G1113" s="15">
        <v>1325</v>
      </c>
      <c r="H1113" s="15">
        <f>Tabla1[[#This Row],[Importe]]-Tabla1[[#This Row],[Pagado]]</f>
        <v>0</v>
      </c>
      <c r="I1113" s="275" t="s">
        <v>15214</v>
      </c>
    </row>
    <row r="1114" spans="1:9" x14ac:dyDescent="0.25">
      <c r="A1114" s="16">
        <v>42925</v>
      </c>
      <c r="B1114" s="273" t="s">
        <v>20961</v>
      </c>
      <c r="C1114">
        <v>119268</v>
      </c>
      <c r="D1114" s="236" t="s">
        <v>15340</v>
      </c>
      <c r="E1114" s="15">
        <v>6222</v>
      </c>
      <c r="F1114" s="274">
        <v>42926</v>
      </c>
      <c r="G1114" s="15">
        <v>6222</v>
      </c>
      <c r="H1114" s="15">
        <f>Tabla1[[#This Row],[Importe]]-Tabla1[[#This Row],[Pagado]]</f>
        <v>0</v>
      </c>
      <c r="I1114" s="275" t="s">
        <v>15214</v>
      </c>
    </row>
    <row r="1115" spans="1:9" x14ac:dyDescent="0.25">
      <c r="A1115" s="16">
        <v>42925</v>
      </c>
      <c r="B1115" s="273" t="s">
        <v>20962</v>
      </c>
      <c r="C1115">
        <v>119269</v>
      </c>
      <c r="D1115" s="236" t="s">
        <v>15328</v>
      </c>
      <c r="E1115" s="15">
        <v>6259.6</v>
      </c>
      <c r="F1115" s="274">
        <v>42934</v>
      </c>
      <c r="G1115" s="15">
        <v>6259.6</v>
      </c>
      <c r="H1115" s="15">
        <f>Tabla1[[#This Row],[Importe]]-Tabla1[[#This Row],[Pagado]]</f>
        <v>0</v>
      </c>
      <c r="I1115" s="275" t="s">
        <v>15214</v>
      </c>
    </row>
    <row r="1116" spans="1:9" x14ac:dyDescent="0.25">
      <c r="A1116" s="16">
        <v>42925</v>
      </c>
      <c r="B1116" s="273" t="s">
        <v>20963</v>
      </c>
      <c r="C1116">
        <v>119270</v>
      </c>
      <c r="D1116" s="236" t="s">
        <v>15745</v>
      </c>
      <c r="E1116" s="15">
        <v>1760.08</v>
      </c>
      <c r="F1116" s="274">
        <v>42926</v>
      </c>
      <c r="G1116" s="15">
        <v>1760.08</v>
      </c>
      <c r="H1116" s="15">
        <f>Tabla1[[#This Row],[Importe]]-Tabla1[[#This Row],[Pagado]]</f>
        <v>0</v>
      </c>
      <c r="I1116" s="275" t="s">
        <v>15214</v>
      </c>
    </row>
    <row r="1117" spans="1:9" x14ac:dyDescent="0.25">
      <c r="A1117" s="16">
        <v>42925</v>
      </c>
      <c r="B1117" s="273" t="s">
        <v>20964</v>
      </c>
      <c r="C1117">
        <v>119271</v>
      </c>
      <c r="D1117" s="236" t="s">
        <v>19768</v>
      </c>
      <c r="E1117" s="15">
        <v>2650</v>
      </c>
      <c r="F1117" s="274" t="s">
        <v>20958</v>
      </c>
      <c r="G1117" s="15">
        <v>2650</v>
      </c>
      <c r="H1117" s="15">
        <f>Tabla1[[#This Row],[Importe]]-Tabla1[[#This Row],[Pagado]]</f>
        <v>0</v>
      </c>
      <c r="I1117" s="275" t="s">
        <v>15214</v>
      </c>
    </row>
    <row r="1118" spans="1:9" x14ac:dyDescent="0.25">
      <c r="A1118" s="16">
        <v>42925</v>
      </c>
      <c r="B1118" s="273" t="s">
        <v>20965</v>
      </c>
      <c r="C1118">
        <v>119272</v>
      </c>
      <c r="D1118" s="236" t="s">
        <v>15987</v>
      </c>
      <c r="E1118" s="15">
        <v>700</v>
      </c>
      <c r="F1118" s="274" t="s">
        <v>20958</v>
      </c>
      <c r="G1118" s="15">
        <v>700</v>
      </c>
      <c r="H1118" s="15">
        <f>Tabla1[[#This Row],[Importe]]-Tabla1[[#This Row],[Pagado]]</f>
        <v>0</v>
      </c>
      <c r="I1118" s="275" t="s">
        <v>15214</v>
      </c>
    </row>
    <row r="1119" spans="1:9" ht="30" x14ac:dyDescent="0.25">
      <c r="A1119" s="16">
        <v>42925</v>
      </c>
      <c r="B1119" s="273" t="s">
        <v>20966</v>
      </c>
      <c r="C1119">
        <v>119273</v>
      </c>
      <c r="D1119" s="236" t="s">
        <v>19776</v>
      </c>
      <c r="E1119" s="15">
        <v>17850</v>
      </c>
      <c r="F1119" s="274" t="s">
        <v>20967</v>
      </c>
      <c r="G1119" s="241">
        <f>15000+2850</f>
        <v>17850</v>
      </c>
      <c r="H1119" s="241">
        <f>Tabla1[[#This Row],[Importe]]-Tabla1[[#This Row],[Pagado]]</f>
        <v>0</v>
      </c>
      <c r="I1119" s="275" t="s">
        <v>15214</v>
      </c>
    </row>
    <row r="1120" spans="1:9" x14ac:dyDescent="0.25">
      <c r="A1120" s="16">
        <v>42925</v>
      </c>
      <c r="B1120" s="273" t="s">
        <v>20968</v>
      </c>
      <c r="C1120">
        <v>119274</v>
      </c>
      <c r="D1120" s="236" t="s">
        <v>19756</v>
      </c>
      <c r="E1120" s="15">
        <v>3733.2</v>
      </c>
      <c r="F1120" s="274">
        <v>42925</v>
      </c>
      <c r="G1120" s="15">
        <v>3733.2</v>
      </c>
      <c r="H1120" s="15">
        <f>Tabla1[[#This Row],[Importe]]-Tabla1[[#This Row],[Pagado]]</f>
        <v>0</v>
      </c>
      <c r="I1120" s="275" t="s">
        <v>15214</v>
      </c>
    </row>
    <row r="1121" spans="1:9" x14ac:dyDescent="0.25">
      <c r="A1121" s="16">
        <v>42925</v>
      </c>
      <c r="B1121" s="273" t="s">
        <v>20969</v>
      </c>
      <c r="C1121">
        <v>119275</v>
      </c>
      <c r="D1121" s="236" t="s">
        <v>15284</v>
      </c>
      <c r="E1121" s="15">
        <v>853.3</v>
      </c>
      <c r="F1121" s="274">
        <v>42925</v>
      </c>
      <c r="G1121" s="15">
        <v>853.3</v>
      </c>
      <c r="H1121" s="15">
        <f>Tabla1[[#This Row],[Importe]]-Tabla1[[#This Row],[Pagado]]</f>
        <v>0</v>
      </c>
      <c r="I1121" s="275" t="s">
        <v>15214</v>
      </c>
    </row>
    <row r="1122" spans="1:9" x14ac:dyDescent="0.25">
      <c r="A1122" s="16">
        <v>42925</v>
      </c>
      <c r="B1122" s="273" t="s">
        <v>20970</v>
      </c>
      <c r="C1122">
        <v>119276</v>
      </c>
      <c r="D1122" s="236" t="s">
        <v>15284</v>
      </c>
      <c r="E1122" s="15">
        <v>439.9</v>
      </c>
      <c r="F1122" s="274">
        <v>42925</v>
      </c>
      <c r="G1122" s="15">
        <v>439.9</v>
      </c>
      <c r="H1122" s="15">
        <f>Tabla1[[#This Row],[Importe]]-Tabla1[[#This Row],[Pagado]]</f>
        <v>0</v>
      </c>
      <c r="I1122" s="275" t="s">
        <v>15214</v>
      </c>
    </row>
    <row r="1123" spans="1:9" x14ac:dyDescent="0.25">
      <c r="A1123" s="16">
        <v>42925</v>
      </c>
      <c r="B1123" s="273" t="s">
        <v>20971</v>
      </c>
      <c r="C1123">
        <v>119277</v>
      </c>
      <c r="D1123" s="236" t="s">
        <v>15267</v>
      </c>
      <c r="E1123" s="15">
        <v>17397</v>
      </c>
      <c r="F1123" s="274">
        <v>42925</v>
      </c>
      <c r="G1123" s="15">
        <v>17397</v>
      </c>
      <c r="H1123" s="15">
        <f>Tabla1[[#This Row],[Importe]]-Tabla1[[#This Row],[Pagado]]</f>
        <v>0</v>
      </c>
      <c r="I1123" s="275" t="s">
        <v>15214</v>
      </c>
    </row>
    <row r="1124" spans="1:9" x14ac:dyDescent="0.25">
      <c r="A1124" s="16">
        <v>42925</v>
      </c>
      <c r="B1124" s="273" t="s">
        <v>20972</v>
      </c>
      <c r="C1124">
        <v>119278</v>
      </c>
      <c r="D1124" s="236" t="s">
        <v>15725</v>
      </c>
      <c r="E1124" s="15">
        <v>5742</v>
      </c>
      <c r="F1124" s="274">
        <v>42933</v>
      </c>
      <c r="G1124" s="15">
        <v>5742</v>
      </c>
      <c r="H1124" s="15">
        <f>Tabla1[[#This Row],[Importe]]-Tabla1[[#This Row],[Pagado]]</f>
        <v>0</v>
      </c>
      <c r="I1124" s="275" t="s">
        <v>15214</v>
      </c>
    </row>
    <row r="1125" spans="1:9" x14ac:dyDescent="0.25">
      <c r="A1125" s="16">
        <v>42925</v>
      </c>
      <c r="B1125" s="273" t="s">
        <v>20973</v>
      </c>
      <c r="C1125">
        <v>119279</v>
      </c>
      <c r="D1125" s="236" t="s">
        <v>15442</v>
      </c>
      <c r="E1125" s="15">
        <v>14617</v>
      </c>
      <c r="F1125" s="274">
        <v>42927</v>
      </c>
      <c r="G1125" s="15">
        <v>14617</v>
      </c>
      <c r="H1125" s="15">
        <f>Tabla1[[#This Row],[Importe]]-Tabla1[[#This Row],[Pagado]]</f>
        <v>0</v>
      </c>
      <c r="I1125" s="275" t="s">
        <v>15214</v>
      </c>
    </row>
    <row r="1126" spans="1:9" x14ac:dyDescent="0.25">
      <c r="A1126" s="16">
        <v>42925</v>
      </c>
      <c r="B1126" s="273" t="s">
        <v>20974</v>
      </c>
      <c r="C1126">
        <v>119280</v>
      </c>
      <c r="D1126" s="236" t="s">
        <v>15315</v>
      </c>
      <c r="E1126" s="15">
        <v>484</v>
      </c>
      <c r="F1126" s="274">
        <v>42925</v>
      </c>
      <c r="G1126" s="15">
        <v>484</v>
      </c>
      <c r="H1126" s="15">
        <f>Tabla1[[#This Row],[Importe]]-Tabla1[[#This Row],[Pagado]]</f>
        <v>0</v>
      </c>
      <c r="I1126" s="275" t="s">
        <v>15214</v>
      </c>
    </row>
    <row r="1127" spans="1:9" x14ac:dyDescent="0.25">
      <c r="A1127" s="16">
        <v>42925</v>
      </c>
      <c r="B1127" s="273" t="s">
        <v>20975</v>
      </c>
      <c r="C1127">
        <v>119281</v>
      </c>
      <c r="D1127" s="236" t="s">
        <v>15315</v>
      </c>
      <c r="E1127" s="15">
        <v>1295.4000000000001</v>
      </c>
      <c r="F1127" s="274">
        <v>42925</v>
      </c>
      <c r="G1127" s="15">
        <v>1295.4000000000001</v>
      </c>
      <c r="H1127" s="15">
        <f>Tabla1[[#This Row],[Importe]]-Tabla1[[#This Row],[Pagado]]</f>
        <v>0</v>
      </c>
      <c r="I1127" s="275" t="s">
        <v>15214</v>
      </c>
    </row>
    <row r="1128" spans="1:9" x14ac:dyDescent="0.25">
      <c r="A1128" s="16">
        <v>42925</v>
      </c>
      <c r="B1128" s="273" t="s">
        <v>20976</v>
      </c>
      <c r="C1128">
        <v>119282</v>
      </c>
      <c r="D1128" s="236" t="s">
        <v>15378</v>
      </c>
      <c r="E1128" s="15">
        <v>337.5</v>
      </c>
      <c r="F1128" s="274">
        <v>42925</v>
      </c>
      <c r="G1128" s="15">
        <v>337.5</v>
      </c>
      <c r="H1128" s="15">
        <f>Tabla1[[#This Row],[Importe]]-Tabla1[[#This Row],[Pagado]]</f>
        <v>0</v>
      </c>
      <c r="I1128" s="275" t="s">
        <v>15214</v>
      </c>
    </row>
    <row r="1129" spans="1:9" x14ac:dyDescent="0.25">
      <c r="A1129" s="16">
        <v>42925</v>
      </c>
      <c r="B1129" s="273" t="s">
        <v>20977</v>
      </c>
      <c r="C1129">
        <v>119283</v>
      </c>
      <c r="D1129" s="236" t="s">
        <v>15265</v>
      </c>
      <c r="E1129" s="15">
        <v>2616.6</v>
      </c>
      <c r="F1129" s="274">
        <v>42928</v>
      </c>
      <c r="G1129" s="15">
        <v>2616.6</v>
      </c>
      <c r="H1129" s="15">
        <f>Tabla1[[#This Row],[Importe]]-Tabla1[[#This Row],[Pagado]]</f>
        <v>0</v>
      </c>
      <c r="I1129" s="275" t="s">
        <v>15214</v>
      </c>
    </row>
    <row r="1130" spans="1:9" x14ac:dyDescent="0.25">
      <c r="A1130" s="16">
        <v>42925</v>
      </c>
      <c r="B1130" s="273" t="s">
        <v>20978</v>
      </c>
      <c r="C1130">
        <v>119284</v>
      </c>
      <c r="D1130" s="236" t="s">
        <v>16126</v>
      </c>
      <c r="E1130" s="15">
        <v>1197</v>
      </c>
      <c r="F1130" s="274">
        <v>42925</v>
      </c>
      <c r="G1130" s="15">
        <v>1197</v>
      </c>
      <c r="H1130" s="15">
        <f>Tabla1[[#This Row],[Importe]]-Tabla1[[#This Row],[Pagado]]</f>
        <v>0</v>
      </c>
      <c r="I1130" s="275" t="s">
        <v>15214</v>
      </c>
    </row>
    <row r="1131" spans="1:9" x14ac:dyDescent="0.25">
      <c r="A1131" s="16">
        <v>42925</v>
      </c>
      <c r="B1131" s="273" t="s">
        <v>20979</v>
      </c>
      <c r="C1131">
        <v>119285</v>
      </c>
      <c r="D1131" s="236" t="s">
        <v>15810</v>
      </c>
      <c r="E1131" s="15">
        <v>428.4</v>
      </c>
      <c r="F1131" s="274">
        <v>42925</v>
      </c>
      <c r="G1131" s="15">
        <v>428.4</v>
      </c>
      <c r="H1131" s="15">
        <f>Tabla1[[#This Row],[Importe]]-Tabla1[[#This Row],[Pagado]]</f>
        <v>0</v>
      </c>
      <c r="I1131" s="275" t="s">
        <v>15214</v>
      </c>
    </row>
    <row r="1132" spans="1:9" x14ac:dyDescent="0.25">
      <c r="A1132" s="16">
        <v>42925</v>
      </c>
      <c r="B1132" s="273" t="s">
        <v>20980</v>
      </c>
      <c r="C1132">
        <v>119286</v>
      </c>
      <c r="D1132" s="236" t="s">
        <v>19933</v>
      </c>
      <c r="E1132" s="15">
        <v>1775.5</v>
      </c>
      <c r="F1132" s="274">
        <v>42925</v>
      </c>
      <c r="G1132" s="15">
        <v>1775.5</v>
      </c>
      <c r="H1132" s="15">
        <f>Tabla1[[#This Row],[Importe]]-Tabla1[[#This Row],[Pagado]]</f>
        <v>0</v>
      </c>
      <c r="I1132" s="275" t="s">
        <v>15214</v>
      </c>
    </row>
    <row r="1133" spans="1:9" x14ac:dyDescent="0.25">
      <c r="A1133" s="16">
        <v>42925</v>
      </c>
      <c r="B1133" s="273" t="s">
        <v>20981</v>
      </c>
      <c r="C1133">
        <v>119287</v>
      </c>
      <c r="D1133" s="236" t="s">
        <v>15322</v>
      </c>
      <c r="E1133" s="15">
        <v>1669.2</v>
      </c>
      <c r="F1133" s="274">
        <v>42925</v>
      </c>
      <c r="G1133" s="15">
        <v>1669.2</v>
      </c>
      <c r="H1133" s="15">
        <f>Tabla1[[#This Row],[Importe]]-Tabla1[[#This Row],[Pagado]]</f>
        <v>0</v>
      </c>
      <c r="I1133" s="275" t="s">
        <v>15214</v>
      </c>
    </row>
    <row r="1134" spans="1:9" x14ac:dyDescent="0.25">
      <c r="A1134" s="16">
        <v>42926</v>
      </c>
      <c r="B1134" s="273" t="s">
        <v>20982</v>
      </c>
      <c r="C1134">
        <v>119288</v>
      </c>
      <c r="D1134" s="236" t="s">
        <v>15213</v>
      </c>
      <c r="E1134" s="15">
        <v>6798.3</v>
      </c>
      <c r="F1134" s="274">
        <v>42927</v>
      </c>
      <c r="G1134" s="15">
        <v>6798.3</v>
      </c>
      <c r="H1134" s="15">
        <f>Tabla1[[#This Row],[Importe]]-Tabla1[[#This Row],[Pagado]]</f>
        <v>0</v>
      </c>
      <c r="I1134" s="275" t="s">
        <v>15214</v>
      </c>
    </row>
    <row r="1135" spans="1:9" x14ac:dyDescent="0.25">
      <c r="A1135" s="16">
        <v>42926</v>
      </c>
      <c r="B1135" s="273" t="s">
        <v>20983</v>
      </c>
      <c r="C1135">
        <v>119289</v>
      </c>
      <c r="D1135" s="236" t="s">
        <v>15213</v>
      </c>
      <c r="E1135" s="15">
        <v>453.6</v>
      </c>
      <c r="F1135" s="274">
        <v>42926</v>
      </c>
      <c r="G1135" s="15">
        <v>453.6</v>
      </c>
      <c r="H1135" s="15">
        <f>Tabla1[[#This Row],[Importe]]-Tabla1[[#This Row],[Pagado]]</f>
        <v>0</v>
      </c>
      <c r="I1135" s="275" t="s">
        <v>15214</v>
      </c>
    </row>
    <row r="1136" spans="1:9" x14ac:dyDescent="0.25">
      <c r="A1136" s="16">
        <v>42926</v>
      </c>
      <c r="B1136" s="273" t="s">
        <v>20984</v>
      </c>
      <c r="C1136">
        <v>119290</v>
      </c>
      <c r="D1136" s="236" t="s">
        <v>15213</v>
      </c>
      <c r="E1136" s="15">
        <v>34329.1</v>
      </c>
      <c r="F1136" s="274">
        <v>42927</v>
      </c>
      <c r="G1136" s="15">
        <v>34329.1</v>
      </c>
      <c r="H1136" s="15">
        <f>Tabla1[[#This Row],[Importe]]-Tabla1[[#This Row],[Pagado]]</f>
        <v>0</v>
      </c>
      <c r="I1136" s="275" t="s">
        <v>15214</v>
      </c>
    </row>
    <row r="1137" spans="1:9" x14ac:dyDescent="0.25">
      <c r="A1137" s="16">
        <v>42926</v>
      </c>
      <c r="B1137" s="273" t="s">
        <v>20985</v>
      </c>
      <c r="C1137">
        <v>119291</v>
      </c>
      <c r="D1137" s="236" t="s">
        <v>15315</v>
      </c>
      <c r="E1137" s="15">
        <v>551.79999999999995</v>
      </c>
      <c r="F1137" s="274">
        <v>42926</v>
      </c>
      <c r="G1137" s="15">
        <v>551.79999999999995</v>
      </c>
      <c r="H1137" s="15">
        <f>Tabla1[[#This Row],[Importe]]-Tabla1[[#This Row],[Pagado]]</f>
        <v>0</v>
      </c>
      <c r="I1137" s="275" t="s">
        <v>15214</v>
      </c>
    </row>
    <row r="1138" spans="1:9" x14ac:dyDescent="0.25">
      <c r="A1138" s="16">
        <v>42926</v>
      </c>
      <c r="B1138" s="273" t="s">
        <v>20986</v>
      </c>
      <c r="C1138">
        <v>119292</v>
      </c>
      <c r="D1138" s="236" t="s">
        <v>15330</v>
      </c>
      <c r="E1138" s="15">
        <v>7455.1</v>
      </c>
      <c r="F1138" s="274">
        <v>42926</v>
      </c>
      <c r="G1138" s="15">
        <v>7455.1</v>
      </c>
      <c r="H1138" s="15">
        <f>Tabla1[[#This Row],[Importe]]-Tabla1[[#This Row],[Pagado]]</f>
        <v>0</v>
      </c>
      <c r="I1138" s="275" t="s">
        <v>15214</v>
      </c>
    </row>
    <row r="1139" spans="1:9" x14ac:dyDescent="0.25">
      <c r="A1139" s="16">
        <v>42926</v>
      </c>
      <c r="B1139" s="273" t="s">
        <v>20987</v>
      </c>
      <c r="C1139">
        <v>119293</v>
      </c>
      <c r="D1139" s="236" t="s">
        <v>15728</v>
      </c>
      <c r="E1139" s="15">
        <v>11548.8</v>
      </c>
      <c r="F1139" s="274">
        <v>42926</v>
      </c>
      <c r="G1139" s="15">
        <v>11548.8</v>
      </c>
      <c r="H1139" s="15">
        <f>Tabla1[[#This Row],[Importe]]-Tabla1[[#This Row],[Pagado]]</f>
        <v>0</v>
      </c>
      <c r="I1139" s="275" t="s">
        <v>15214</v>
      </c>
    </row>
    <row r="1140" spans="1:9" x14ac:dyDescent="0.25">
      <c r="A1140" s="16">
        <v>42926</v>
      </c>
      <c r="B1140" s="273" t="s">
        <v>20988</v>
      </c>
      <c r="C1140">
        <v>119294</v>
      </c>
      <c r="D1140" s="236" t="s">
        <v>15230</v>
      </c>
      <c r="E1140" s="15">
        <v>9657.7999999999993</v>
      </c>
      <c r="F1140" s="274">
        <v>42928</v>
      </c>
      <c r="G1140" s="15">
        <v>9657.7999999999993</v>
      </c>
      <c r="H1140" s="15">
        <f>Tabla1[[#This Row],[Importe]]-Tabla1[[#This Row],[Pagado]]</f>
        <v>0</v>
      </c>
      <c r="I1140" s="275" t="s">
        <v>15214</v>
      </c>
    </row>
    <row r="1141" spans="1:9" x14ac:dyDescent="0.25">
      <c r="A1141" s="16">
        <v>42926</v>
      </c>
      <c r="B1141" s="273" t="s">
        <v>20989</v>
      </c>
      <c r="C1141">
        <v>119295</v>
      </c>
      <c r="D1141" s="236" t="s">
        <v>15232</v>
      </c>
      <c r="E1141" s="15">
        <v>6991.8</v>
      </c>
      <c r="F1141" s="274">
        <v>42929</v>
      </c>
      <c r="G1141" s="15">
        <v>6991.8</v>
      </c>
      <c r="H1141" s="15">
        <f>Tabla1[[#This Row],[Importe]]-Tabla1[[#This Row],[Pagado]]</f>
        <v>0</v>
      </c>
      <c r="I1141" s="275" t="s">
        <v>15214</v>
      </c>
    </row>
    <row r="1142" spans="1:9" ht="30" x14ac:dyDescent="0.25">
      <c r="A1142" s="16">
        <v>42926</v>
      </c>
      <c r="B1142" s="273" t="s">
        <v>20990</v>
      </c>
      <c r="C1142">
        <v>119296</v>
      </c>
      <c r="D1142" s="236" t="s">
        <v>15258</v>
      </c>
      <c r="E1142" s="15">
        <v>14935.2</v>
      </c>
      <c r="F1142" s="274" t="s">
        <v>20991</v>
      </c>
      <c r="G1142" s="241">
        <f>3000+11935.2</f>
        <v>14935.2</v>
      </c>
      <c r="H1142" s="241">
        <f>Tabla1[[#This Row],[Importe]]-Tabla1[[#This Row],[Pagado]]</f>
        <v>0</v>
      </c>
      <c r="I1142" s="275" t="s">
        <v>15214</v>
      </c>
    </row>
    <row r="1143" spans="1:9" x14ac:dyDescent="0.25">
      <c r="A1143" s="16">
        <v>42926</v>
      </c>
      <c r="B1143" s="273" t="s">
        <v>20992</v>
      </c>
      <c r="C1143">
        <v>119297</v>
      </c>
      <c r="D1143" s="236" t="s">
        <v>15234</v>
      </c>
      <c r="E1143" s="15">
        <v>3637.2</v>
      </c>
      <c r="F1143" s="274">
        <v>42928</v>
      </c>
      <c r="G1143" s="15">
        <v>3637.2</v>
      </c>
      <c r="H1143" s="15">
        <f>Tabla1[[#This Row],[Importe]]-Tabla1[[#This Row],[Pagado]]</f>
        <v>0</v>
      </c>
      <c r="I1143" s="275" t="s">
        <v>15214</v>
      </c>
    </row>
    <row r="1144" spans="1:9" x14ac:dyDescent="0.25">
      <c r="A1144" s="16">
        <v>42926</v>
      </c>
      <c r="B1144" s="273" t="s">
        <v>20993</v>
      </c>
      <c r="C1144">
        <v>119298</v>
      </c>
      <c r="D1144" s="236" t="s">
        <v>15223</v>
      </c>
      <c r="E1144" s="15">
        <v>51940</v>
      </c>
      <c r="F1144" s="274">
        <v>42960</v>
      </c>
      <c r="G1144" s="15">
        <v>51940</v>
      </c>
      <c r="H1144" s="15">
        <f>Tabla1[[#This Row],[Importe]]-Tabla1[[#This Row],[Pagado]]</f>
        <v>0</v>
      </c>
      <c r="I1144" s="275" t="s">
        <v>15214</v>
      </c>
    </row>
    <row r="1145" spans="1:9" x14ac:dyDescent="0.25">
      <c r="A1145" s="16">
        <v>42926</v>
      </c>
      <c r="B1145" s="273" t="s">
        <v>20994</v>
      </c>
      <c r="C1145">
        <v>119299</v>
      </c>
      <c r="D1145" s="236" t="s">
        <v>15272</v>
      </c>
      <c r="E1145" s="15">
        <v>21088.1</v>
      </c>
      <c r="F1145" s="274">
        <v>42926</v>
      </c>
      <c r="G1145" s="15">
        <v>21088.1</v>
      </c>
      <c r="H1145" s="15">
        <f>Tabla1[[#This Row],[Importe]]-Tabla1[[#This Row],[Pagado]]</f>
        <v>0</v>
      </c>
      <c r="I1145" s="275" t="s">
        <v>15214</v>
      </c>
    </row>
    <row r="1146" spans="1:9" x14ac:dyDescent="0.25">
      <c r="A1146" s="16">
        <v>42926</v>
      </c>
      <c r="B1146" s="273" t="s">
        <v>20995</v>
      </c>
      <c r="C1146">
        <v>119300</v>
      </c>
      <c r="D1146" s="236" t="s">
        <v>19776</v>
      </c>
      <c r="E1146" s="15">
        <v>984</v>
      </c>
      <c r="F1146" s="274">
        <v>42926</v>
      </c>
      <c r="G1146" s="15">
        <v>984</v>
      </c>
      <c r="H1146" s="15">
        <f>Tabla1[[#This Row],[Importe]]-Tabla1[[#This Row],[Pagado]]</f>
        <v>0</v>
      </c>
      <c r="I1146" s="275" t="s">
        <v>15214</v>
      </c>
    </row>
    <row r="1147" spans="1:9" x14ac:dyDescent="0.25">
      <c r="A1147" s="16">
        <v>42926</v>
      </c>
      <c r="B1147" s="273" t="s">
        <v>20996</v>
      </c>
      <c r="C1147">
        <v>119301</v>
      </c>
      <c r="D1147" s="236" t="s">
        <v>15226</v>
      </c>
      <c r="E1147" s="15">
        <v>2428.4</v>
      </c>
      <c r="F1147" s="274">
        <v>42929</v>
      </c>
      <c r="G1147" s="15">
        <v>2428.4</v>
      </c>
      <c r="H1147" s="15">
        <f>Tabla1[[#This Row],[Importe]]-Tabla1[[#This Row],[Pagado]]</f>
        <v>0</v>
      </c>
      <c r="I1147" s="275" t="s">
        <v>15214</v>
      </c>
    </row>
    <row r="1148" spans="1:9" x14ac:dyDescent="0.25">
      <c r="A1148" s="16">
        <v>42926</v>
      </c>
      <c r="B1148" s="273" t="s">
        <v>20997</v>
      </c>
      <c r="C1148">
        <v>119302</v>
      </c>
      <c r="D1148" s="236" t="s">
        <v>15480</v>
      </c>
      <c r="E1148" s="15">
        <v>4234.8</v>
      </c>
      <c r="F1148" s="274">
        <v>42928</v>
      </c>
      <c r="G1148" s="15">
        <v>4234.8</v>
      </c>
      <c r="H1148" s="15">
        <f>Tabla1[[#This Row],[Importe]]-Tabla1[[#This Row],[Pagado]]</f>
        <v>0</v>
      </c>
      <c r="I1148" s="275" t="s">
        <v>15214</v>
      </c>
    </row>
    <row r="1149" spans="1:9" x14ac:dyDescent="0.25">
      <c r="A1149" s="16">
        <v>42926</v>
      </c>
      <c r="B1149" s="273" t="s">
        <v>20998</v>
      </c>
      <c r="C1149">
        <v>119303</v>
      </c>
      <c r="D1149" s="236" t="s">
        <v>15324</v>
      </c>
      <c r="E1149" s="15">
        <v>1843.5</v>
      </c>
      <c r="F1149" s="274">
        <v>42926</v>
      </c>
      <c r="G1149" s="15">
        <v>1843.5</v>
      </c>
      <c r="H1149" s="15">
        <f>Tabla1[[#This Row],[Importe]]-Tabla1[[#This Row],[Pagado]]</f>
        <v>0</v>
      </c>
      <c r="I1149" s="275" t="s">
        <v>15214</v>
      </c>
    </row>
    <row r="1150" spans="1:9" x14ac:dyDescent="0.25">
      <c r="A1150" s="16">
        <v>42926</v>
      </c>
      <c r="B1150" s="273" t="s">
        <v>20999</v>
      </c>
      <c r="C1150">
        <v>119304</v>
      </c>
      <c r="D1150" s="236" t="s">
        <v>15668</v>
      </c>
      <c r="E1150" s="15">
        <v>26905.200000000001</v>
      </c>
      <c r="F1150" s="274">
        <v>42928</v>
      </c>
      <c r="G1150" s="15">
        <v>26905.200000000001</v>
      </c>
      <c r="H1150" s="15">
        <f>Tabla1[[#This Row],[Importe]]-Tabla1[[#This Row],[Pagado]]</f>
        <v>0</v>
      </c>
      <c r="I1150" s="275" t="s">
        <v>15214</v>
      </c>
    </row>
    <row r="1151" spans="1:9" x14ac:dyDescent="0.25">
      <c r="A1151" s="16">
        <v>42926</v>
      </c>
      <c r="B1151" s="273" t="s">
        <v>21000</v>
      </c>
      <c r="C1151">
        <v>119305</v>
      </c>
      <c r="D1151" s="236" t="s">
        <v>15371</v>
      </c>
      <c r="E1151" s="15">
        <v>3847.8</v>
      </c>
      <c r="F1151" s="274">
        <v>42927</v>
      </c>
      <c r="G1151" s="15">
        <v>3847.8</v>
      </c>
      <c r="H1151" s="15">
        <f>Tabla1[[#This Row],[Importe]]-Tabla1[[#This Row],[Pagado]]</f>
        <v>0</v>
      </c>
      <c r="I1151" s="275" t="s">
        <v>15214</v>
      </c>
    </row>
    <row r="1152" spans="1:9" x14ac:dyDescent="0.25">
      <c r="A1152" s="16">
        <v>42926</v>
      </c>
      <c r="B1152" s="273" t="s">
        <v>21001</v>
      </c>
      <c r="C1152">
        <v>119306</v>
      </c>
      <c r="D1152" s="236" t="s">
        <v>15655</v>
      </c>
      <c r="E1152" s="15">
        <v>8899.7999999999993</v>
      </c>
      <c r="F1152" s="274">
        <v>42926</v>
      </c>
      <c r="G1152" s="15">
        <v>8899.7999999999993</v>
      </c>
      <c r="H1152" s="15">
        <f>Tabla1[[#This Row],[Importe]]-Tabla1[[#This Row],[Pagado]]</f>
        <v>0</v>
      </c>
      <c r="I1152" s="275" t="s">
        <v>15214</v>
      </c>
    </row>
    <row r="1153" spans="1:9" ht="30" x14ac:dyDescent="0.25">
      <c r="A1153" s="16">
        <v>42926</v>
      </c>
      <c r="B1153" s="273" t="s">
        <v>21002</v>
      </c>
      <c r="C1153">
        <v>119307</v>
      </c>
      <c r="D1153" s="236" t="s">
        <v>5575</v>
      </c>
      <c r="E1153" s="15">
        <v>4813.3999999999996</v>
      </c>
      <c r="F1153" s="274" t="s">
        <v>20991</v>
      </c>
      <c r="G1153" s="241">
        <f>3000+1813.4</f>
        <v>4813.3999999999996</v>
      </c>
      <c r="H1153" s="241">
        <f>Tabla1[[#This Row],[Importe]]-Tabla1[[#This Row],[Pagado]]</f>
        <v>0</v>
      </c>
      <c r="I1153" s="275" t="s">
        <v>15214</v>
      </c>
    </row>
    <row r="1154" spans="1:9" x14ac:dyDescent="0.25">
      <c r="A1154" s="16">
        <v>42926</v>
      </c>
      <c r="B1154" s="273" t="s">
        <v>21003</v>
      </c>
      <c r="C1154">
        <v>119308</v>
      </c>
      <c r="D1154" s="236" t="s">
        <v>15220</v>
      </c>
      <c r="E1154" s="15">
        <v>2650</v>
      </c>
      <c r="F1154" s="274">
        <v>42926</v>
      </c>
      <c r="G1154" s="15">
        <v>2650</v>
      </c>
      <c r="H1154" s="15">
        <f>Tabla1[[#This Row],[Importe]]-Tabla1[[#This Row],[Pagado]]</f>
        <v>0</v>
      </c>
      <c r="I1154" s="275" t="s">
        <v>15214</v>
      </c>
    </row>
    <row r="1155" spans="1:9" x14ac:dyDescent="0.25">
      <c r="A1155" s="16">
        <v>42926</v>
      </c>
      <c r="B1155" s="273" t="s">
        <v>21004</v>
      </c>
      <c r="C1155">
        <v>119309</v>
      </c>
      <c r="D1155" s="236" t="s">
        <v>17235</v>
      </c>
      <c r="E1155" s="15">
        <v>1060</v>
      </c>
      <c r="F1155" s="274">
        <v>42926</v>
      </c>
      <c r="G1155" s="15">
        <v>1060</v>
      </c>
      <c r="H1155" s="15">
        <f>Tabla1[[#This Row],[Importe]]-Tabla1[[#This Row],[Pagado]]</f>
        <v>0</v>
      </c>
      <c r="I1155" s="275" t="s">
        <v>15214</v>
      </c>
    </row>
    <row r="1156" spans="1:9" x14ac:dyDescent="0.25">
      <c r="A1156" s="16">
        <v>42926</v>
      </c>
      <c r="B1156" s="273" t="s">
        <v>21005</v>
      </c>
      <c r="C1156">
        <v>119310</v>
      </c>
      <c r="D1156" s="236" t="s">
        <v>15263</v>
      </c>
      <c r="E1156" s="15">
        <v>4638.3999999999996</v>
      </c>
      <c r="F1156" s="274">
        <v>42926</v>
      </c>
      <c r="G1156" s="15">
        <v>4638.3999999999996</v>
      </c>
      <c r="H1156" s="15">
        <f>Tabla1[[#This Row],[Importe]]-Tabla1[[#This Row],[Pagado]]</f>
        <v>0</v>
      </c>
      <c r="I1156" s="275" t="s">
        <v>15214</v>
      </c>
    </row>
    <row r="1157" spans="1:9" x14ac:dyDescent="0.25">
      <c r="A1157" s="16">
        <v>42926</v>
      </c>
      <c r="B1157" s="273" t="s">
        <v>21006</v>
      </c>
      <c r="C1157">
        <v>119311</v>
      </c>
      <c r="D1157" s="236" t="s">
        <v>19780</v>
      </c>
      <c r="E1157" s="15">
        <v>10928.4</v>
      </c>
      <c r="F1157" s="274">
        <v>42929</v>
      </c>
      <c r="G1157" s="15">
        <v>10928.4</v>
      </c>
      <c r="H1157" s="15">
        <f>Tabla1[[#This Row],[Importe]]-Tabla1[[#This Row],[Pagado]]</f>
        <v>0</v>
      </c>
      <c r="I1157" s="275" t="s">
        <v>15214</v>
      </c>
    </row>
    <row r="1158" spans="1:9" x14ac:dyDescent="0.25">
      <c r="A1158" s="16">
        <v>42926</v>
      </c>
      <c r="B1158" s="273" t="s">
        <v>21007</v>
      </c>
      <c r="C1158">
        <v>119312</v>
      </c>
      <c r="D1158" s="236" t="s">
        <v>15284</v>
      </c>
      <c r="E1158" s="15">
        <v>1940.1</v>
      </c>
      <c r="F1158" s="274">
        <v>42926</v>
      </c>
      <c r="G1158" s="15">
        <v>1940.1</v>
      </c>
      <c r="H1158" s="15">
        <f>Tabla1[[#This Row],[Importe]]-Tabla1[[#This Row],[Pagado]]</f>
        <v>0</v>
      </c>
      <c r="I1158" s="275" t="s">
        <v>15214</v>
      </c>
    </row>
    <row r="1159" spans="1:9" ht="15.75" x14ac:dyDescent="0.25">
      <c r="A1159" s="16">
        <v>42926</v>
      </c>
      <c r="B1159" s="273" t="s">
        <v>21008</v>
      </c>
      <c r="C1159">
        <v>119313</v>
      </c>
      <c r="D1159" s="248" t="s">
        <v>95</v>
      </c>
      <c r="E1159" s="15">
        <v>0</v>
      </c>
      <c r="F1159" s="277" t="s">
        <v>95</v>
      </c>
      <c r="G1159" s="15">
        <v>0</v>
      </c>
      <c r="H1159" s="15">
        <f>Tabla1[[#This Row],[Importe]]-Tabla1[[#This Row],[Pagado]]</f>
        <v>0</v>
      </c>
      <c r="I1159" s="275" t="s">
        <v>95</v>
      </c>
    </row>
    <row r="1160" spans="1:9" ht="30" x14ac:dyDescent="0.25">
      <c r="A1160" s="16">
        <v>42926</v>
      </c>
      <c r="B1160" s="273" t="s">
        <v>21009</v>
      </c>
      <c r="C1160">
        <v>119314</v>
      </c>
      <c r="D1160" s="236" t="s">
        <v>15394</v>
      </c>
      <c r="E1160" s="15">
        <v>13689.6</v>
      </c>
      <c r="F1160" s="279" t="s">
        <v>21010</v>
      </c>
      <c r="G1160" s="133">
        <f>8689.6+5000</f>
        <v>13689.6</v>
      </c>
      <c r="H1160" s="241">
        <f>Tabla1[[#This Row],[Importe]]-Tabla1[[#This Row],[Pagado]]</f>
        <v>0</v>
      </c>
      <c r="I1160" s="275" t="s">
        <v>15214</v>
      </c>
    </row>
    <row r="1161" spans="1:9" x14ac:dyDescent="0.25">
      <c r="A1161" s="16">
        <v>42926</v>
      </c>
      <c r="B1161" s="273" t="s">
        <v>21011</v>
      </c>
      <c r="C1161">
        <v>119315</v>
      </c>
      <c r="D1161" s="236" t="s">
        <v>15369</v>
      </c>
      <c r="E1161" s="15">
        <v>22478.1</v>
      </c>
      <c r="F1161" s="274">
        <v>42945</v>
      </c>
      <c r="G1161" s="15">
        <v>22478.1</v>
      </c>
      <c r="H1161" s="15">
        <f>Tabla1[[#This Row],[Importe]]-Tabla1[[#This Row],[Pagado]]</f>
        <v>0</v>
      </c>
      <c r="I1161" s="275" t="s">
        <v>15214</v>
      </c>
    </row>
    <row r="1162" spans="1:9" x14ac:dyDescent="0.25">
      <c r="A1162" s="16">
        <v>42926</v>
      </c>
      <c r="B1162" s="273" t="s">
        <v>21012</v>
      </c>
      <c r="C1162">
        <v>119316</v>
      </c>
      <c r="D1162" s="236" t="s">
        <v>15380</v>
      </c>
      <c r="E1162" s="15">
        <v>42026.400000000001</v>
      </c>
      <c r="F1162" s="274">
        <v>42945</v>
      </c>
      <c r="G1162" s="15">
        <v>42026.400000000001</v>
      </c>
      <c r="H1162" s="15">
        <f>Tabla1[[#This Row],[Importe]]-Tabla1[[#This Row],[Pagado]]</f>
        <v>0</v>
      </c>
      <c r="I1162" s="275" t="s">
        <v>15214</v>
      </c>
    </row>
    <row r="1163" spans="1:9" x14ac:dyDescent="0.25">
      <c r="A1163" s="16">
        <v>42926</v>
      </c>
      <c r="B1163" s="273" t="s">
        <v>21013</v>
      </c>
      <c r="C1163">
        <v>119317</v>
      </c>
      <c r="D1163" s="236" t="s">
        <v>15389</v>
      </c>
      <c r="E1163" s="15">
        <v>17592.7</v>
      </c>
      <c r="F1163" s="274">
        <v>42940</v>
      </c>
      <c r="G1163" s="15">
        <v>17592.7</v>
      </c>
      <c r="H1163" s="15">
        <f>Tabla1[[#This Row],[Importe]]-Tabla1[[#This Row],[Pagado]]</f>
        <v>0</v>
      </c>
      <c r="I1163" s="275" t="s">
        <v>15214</v>
      </c>
    </row>
    <row r="1164" spans="1:9" x14ac:dyDescent="0.25">
      <c r="A1164" s="16">
        <v>42926</v>
      </c>
      <c r="B1164" s="273" t="s">
        <v>21014</v>
      </c>
      <c r="C1164">
        <v>119318</v>
      </c>
      <c r="D1164" s="236" t="s">
        <v>15382</v>
      </c>
      <c r="E1164" s="15">
        <v>10517.2</v>
      </c>
      <c r="F1164" s="274">
        <v>42940</v>
      </c>
      <c r="G1164" s="15">
        <v>10517.2</v>
      </c>
      <c r="H1164" s="15">
        <f>Tabla1[[#This Row],[Importe]]-Tabla1[[#This Row],[Pagado]]</f>
        <v>0</v>
      </c>
      <c r="I1164" s="275" t="s">
        <v>15214</v>
      </c>
    </row>
    <row r="1165" spans="1:9" x14ac:dyDescent="0.25">
      <c r="A1165" s="16">
        <v>42926</v>
      </c>
      <c r="B1165" s="273" t="s">
        <v>21015</v>
      </c>
      <c r="C1165">
        <v>119319</v>
      </c>
      <c r="D1165" s="236" t="s">
        <v>15549</v>
      </c>
      <c r="E1165" s="15">
        <v>9673.7999999999993</v>
      </c>
      <c r="F1165" s="274">
        <v>42927</v>
      </c>
      <c r="G1165" s="15">
        <v>9673.7999999999993</v>
      </c>
      <c r="H1165" s="15">
        <f>Tabla1[[#This Row],[Importe]]-Tabla1[[#This Row],[Pagado]]</f>
        <v>0</v>
      </c>
      <c r="I1165" s="275" t="s">
        <v>15214</v>
      </c>
    </row>
    <row r="1166" spans="1:9" x14ac:dyDescent="0.25">
      <c r="A1166" s="16">
        <v>42926</v>
      </c>
      <c r="B1166" s="273" t="s">
        <v>21016</v>
      </c>
      <c r="C1166">
        <v>119320</v>
      </c>
      <c r="D1166" s="236" t="s">
        <v>15252</v>
      </c>
      <c r="E1166" s="15">
        <v>8481.2000000000007</v>
      </c>
      <c r="F1166" s="274">
        <v>42934</v>
      </c>
      <c r="G1166" s="15">
        <v>8481.2000000000007</v>
      </c>
      <c r="H1166" s="15">
        <f>Tabla1[[#This Row],[Importe]]-Tabla1[[#This Row],[Pagado]]</f>
        <v>0</v>
      </c>
      <c r="I1166" s="275" t="s">
        <v>15214</v>
      </c>
    </row>
    <row r="1167" spans="1:9" x14ac:dyDescent="0.25">
      <c r="A1167" s="16">
        <v>42926</v>
      </c>
      <c r="B1167" s="273" t="s">
        <v>21017</v>
      </c>
      <c r="C1167">
        <v>119321</v>
      </c>
      <c r="D1167" s="236" t="s">
        <v>15244</v>
      </c>
      <c r="E1167" s="15">
        <v>18035.2</v>
      </c>
      <c r="F1167" s="274">
        <v>42933</v>
      </c>
      <c r="G1167" s="15">
        <v>18035.2</v>
      </c>
      <c r="H1167" s="15">
        <f>Tabla1[[#This Row],[Importe]]-Tabla1[[#This Row],[Pagado]]</f>
        <v>0</v>
      </c>
      <c r="I1167" s="275" t="s">
        <v>15214</v>
      </c>
    </row>
    <row r="1168" spans="1:9" x14ac:dyDescent="0.25">
      <c r="A1168" s="16">
        <v>42926</v>
      </c>
      <c r="B1168" s="273" t="s">
        <v>21018</v>
      </c>
      <c r="C1168">
        <v>119322</v>
      </c>
      <c r="D1168" s="236" t="s">
        <v>16484</v>
      </c>
      <c r="E1168" s="15">
        <v>1442.1</v>
      </c>
      <c r="F1168" s="274">
        <v>42926</v>
      </c>
      <c r="G1168" s="15">
        <v>1442.1</v>
      </c>
      <c r="H1168" s="15">
        <f>Tabla1[[#This Row],[Importe]]-Tabla1[[#This Row],[Pagado]]</f>
        <v>0</v>
      </c>
      <c r="I1168" s="275" t="s">
        <v>15214</v>
      </c>
    </row>
    <row r="1169" spans="1:9" x14ac:dyDescent="0.25">
      <c r="A1169" s="16">
        <v>42926</v>
      </c>
      <c r="B1169" s="273" t="s">
        <v>21019</v>
      </c>
      <c r="C1169">
        <v>119323</v>
      </c>
      <c r="D1169" s="236" t="s">
        <v>15242</v>
      </c>
      <c r="E1169" s="15">
        <v>10243.200000000001</v>
      </c>
      <c r="F1169" s="274">
        <v>42926</v>
      </c>
      <c r="G1169" s="15">
        <v>10243.200000000001</v>
      </c>
      <c r="H1169" s="15">
        <f>Tabla1[[#This Row],[Importe]]-Tabla1[[#This Row],[Pagado]]</f>
        <v>0</v>
      </c>
      <c r="I1169" s="275" t="s">
        <v>15214</v>
      </c>
    </row>
    <row r="1170" spans="1:9" x14ac:dyDescent="0.25">
      <c r="A1170" s="16">
        <v>42926</v>
      </c>
      <c r="B1170" s="273" t="s">
        <v>21020</v>
      </c>
      <c r="C1170">
        <v>119324</v>
      </c>
      <c r="D1170" s="236" t="s">
        <v>15348</v>
      </c>
      <c r="E1170" s="15">
        <v>4332.3999999999996</v>
      </c>
      <c r="F1170" s="274">
        <v>42927</v>
      </c>
      <c r="G1170" s="15">
        <v>4332.3999999999996</v>
      </c>
      <c r="H1170" s="15">
        <f>Tabla1[[#This Row],[Importe]]-Tabla1[[#This Row],[Pagado]]</f>
        <v>0</v>
      </c>
      <c r="I1170" s="275" t="s">
        <v>15214</v>
      </c>
    </row>
    <row r="1171" spans="1:9" x14ac:dyDescent="0.25">
      <c r="A1171" s="16">
        <v>42926</v>
      </c>
      <c r="B1171" s="273" t="s">
        <v>21021</v>
      </c>
      <c r="C1171">
        <v>119325</v>
      </c>
      <c r="D1171" s="236" t="s">
        <v>15240</v>
      </c>
      <c r="E1171" s="15">
        <v>3229.2</v>
      </c>
      <c r="F1171" s="274">
        <v>42928</v>
      </c>
      <c r="G1171" s="15">
        <v>3229.2</v>
      </c>
      <c r="H1171" s="15">
        <f>Tabla1[[#This Row],[Importe]]-Tabla1[[#This Row],[Pagado]]</f>
        <v>0</v>
      </c>
      <c r="I1171" s="275" t="s">
        <v>15214</v>
      </c>
    </row>
    <row r="1172" spans="1:9" x14ac:dyDescent="0.25">
      <c r="A1172" s="16">
        <v>42926</v>
      </c>
      <c r="B1172" s="273" t="s">
        <v>21022</v>
      </c>
      <c r="C1172">
        <v>119326</v>
      </c>
      <c r="D1172" s="236" t="s">
        <v>15326</v>
      </c>
      <c r="E1172" s="15">
        <v>2923.2</v>
      </c>
      <c r="F1172" s="274">
        <v>42926</v>
      </c>
      <c r="G1172" s="15">
        <v>2923.2</v>
      </c>
      <c r="H1172" s="15">
        <f>Tabla1[[#This Row],[Importe]]-Tabla1[[#This Row],[Pagado]]</f>
        <v>0</v>
      </c>
      <c r="I1172" s="275" t="s">
        <v>15214</v>
      </c>
    </row>
    <row r="1173" spans="1:9" x14ac:dyDescent="0.25">
      <c r="A1173" s="16">
        <v>42926</v>
      </c>
      <c r="B1173" s="273" t="s">
        <v>21023</v>
      </c>
      <c r="C1173">
        <v>119327</v>
      </c>
      <c r="D1173" s="236" t="s">
        <v>18544</v>
      </c>
      <c r="E1173" s="15">
        <v>7585.2</v>
      </c>
      <c r="F1173" s="274">
        <v>42926</v>
      </c>
      <c r="G1173" s="15">
        <v>7585.2</v>
      </c>
      <c r="H1173" s="15">
        <f>Tabla1[[#This Row],[Importe]]-Tabla1[[#This Row],[Pagado]]</f>
        <v>0</v>
      </c>
      <c r="I1173" s="275" t="s">
        <v>15214</v>
      </c>
    </row>
    <row r="1174" spans="1:9" x14ac:dyDescent="0.25">
      <c r="A1174" s="16">
        <v>42926</v>
      </c>
      <c r="B1174" s="273" t="s">
        <v>21024</v>
      </c>
      <c r="C1174">
        <v>119328</v>
      </c>
      <c r="D1174" s="236" t="s">
        <v>19549</v>
      </c>
      <c r="E1174" s="15">
        <v>15313.7</v>
      </c>
      <c r="F1174" s="274">
        <v>42927</v>
      </c>
      <c r="G1174" s="15">
        <v>15313.7</v>
      </c>
      <c r="H1174" s="15">
        <f>Tabla1[[#This Row],[Importe]]-Tabla1[[#This Row],[Pagado]]</f>
        <v>0</v>
      </c>
      <c r="I1174" s="275" t="s">
        <v>15214</v>
      </c>
    </row>
    <row r="1175" spans="1:9" x14ac:dyDescent="0.25">
      <c r="A1175" s="16">
        <v>42926</v>
      </c>
      <c r="B1175" s="273" t="s">
        <v>21025</v>
      </c>
      <c r="C1175">
        <v>119329</v>
      </c>
      <c r="D1175" s="236" t="s">
        <v>15577</v>
      </c>
      <c r="E1175" s="15">
        <v>815</v>
      </c>
      <c r="F1175" s="274">
        <v>42926</v>
      </c>
      <c r="G1175" s="15">
        <v>815</v>
      </c>
      <c r="H1175" s="15">
        <f>Tabla1[[#This Row],[Importe]]-Tabla1[[#This Row],[Pagado]]</f>
        <v>0</v>
      </c>
      <c r="I1175" s="275" t="s">
        <v>15214</v>
      </c>
    </row>
    <row r="1176" spans="1:9" x14ac:dyDescent="0.25">
      <c r="A1176" s="16">
        <v>42926</v>
      </c>
      <c r="B1176" s="273" t="s">
        <v>21026</v>
      </c>
      <c r="C1176">
        <v>119330</v>
      </c>
      <c r="D1176" s="236" t="s">
        <v>16383</v>
      </c>
      <c r="E1176" s="15">
        <v>9718.7999999999993</v>
      </c>
      <c r="F1176" s="274">
        <v>42926</v>
      </c>
      <c r="G1176" s="15">
        <v>9718.7999999999993</v>
      </c>
      <c r="H1176" s="15">
        <f>Tabla1[[#This Row],[Importe]]-Tabla1[[#This Row],[Pagado]]</f>
        <v>0</v>
      </c>
      <c r="I1176" s="275" t="s">
        <v>15214</v>
      </c>
    </row>
    <row r="1177" spans="1:9" x14ac:dyDescent="0.25">
      <c r="A1177" s="16">
        <v>42926</v>
      </c>
      <c r="B1177" s="273" t="s">
        <v>21027</v>
      </c>
      <c r="C1177">
        <v>119331</v>
      </c>
      <c r="D1177" s="236" t="s">
        <v>15523</v>
      </c>
      <c r="E1177" s="15">
        <v>3710</v>
      </c>
      <c r="F1177" s="274">
        <v>42926</v>
      </c>
      <c r="G1177" s="15">
        <v>3710</v>
      </c>
      <c r="H1177" s="15">
        <f>Tabla1[[#This Row],[Importe]]-Tabla1[[#This Row],[Pagado]]</f>
        <v>0</v>
      </c>
      <c r="I1177" s="275" t="s">
        <v>15214</v>
      </c>
    </row>
    <row r="1178" spans="1:9" x14ac:dyDescent="0.25">
      <c r="A1178" s="16">
        <v>42926</v>
      </c>
      <c r="B1178" s="273" t="s">
        <v>21028</v>
      </c>
      <c r="C1178">
        <v>119332</v>
      </c>
      <c r="D1178" s="236" t="s">
        <v>18076</v>
      </c>
      <c r="E1178" s="15">
        <v>2921</v>
      </c>
      <c r="F1178" s="274">
        <v>42926</v>
      </c>
      <c r="G1178" s="15">
        <v>2921</v>
      </c>
      <c r="H1178" s="15">
        <f>Tabla1[[#This Row],[Importe]]-Tabla1[[#This Row],[Pagado]]</f>
        <v>0</v>
      </c>
      <c r="I1178" s="275" t="s">
        <v>15214</v>
      </c>
    </row>
    <row r="1179" spans="1:9" x14ac:dyDescent="0.25">
      <c r="A1179" s="16">
        <v>42926</v>
      </c>
      <c r="B1179" s="273" t="s">
        <v>21029</v>
      </c>
      <c r="C1179">
        <v>119333</v>
      </c>
      <c r="D1179" s="236" t="s">
        <v>15334</v>
      </c>
      <c r="E1179" s="15">
        <v>795</v>
      </c>
      <c r="F1179" s="274">
        <v>42926</v>
      </c>
      <c r="G1179" s="15">
        <v>795</v>
      </c>
      <c r="H1179" s="15">
        <f>Tabla1[[#This Row],[Importe]]-Tabla1[[#This Row],[Pagado]]</f>
        <v>0</v>
      </c>
      <c r="I1179" s="275" t="s">
        <v>15214</v>
      </c>
    </row>
    <row r="1180" spans="1:9" x14ac:dyDescent="0.25">
      <c r="A1180" s="16">
        <v>42926</v>
      </c>
      <c r="B1180" s="273" t="s">
        <v>21030</v>
      </c>
      <c r="C1180">
        <v>119334</v>
      </c>
      <c r="D1180" s="236" t="s">
        <v>15334</v>
      </c>
      <c r="E1180" s="15">
        <v>1021</v>
      </c>
      <c r="F1180" s="274">
        <v>42926</v>
      </c>
      <c r="G1180" s="15">
        <v>1021</v>
      </c>
      <c r="H1180" s="15">
        <f>Tabla1[[#This Row],[Importe]]-Tabla1[[#This Row],[Pagado]]</f>
        <v>0</v>
      </c>
      <c r="I1180" s="275" t="s">
        <v>15214</v>
      </c>
    </row>
    <row r="1181" spans="1:9" x14ac:dyDescent="0.25">
      <c r="A1181" s="16">
        <v>42926</v>
      </c>
      <c r="B1181" s="273" t="s">
        <v>21031</v>
      </c>
      <c r="C1181">
        <v>119335</v>
      </c>
      <c r="D1181" s="236" t="s">
        <v>15332</v>
      </c>
      <c r="E1181" s="15">
        <v>1722.6</v>
      </c>
      <c r="F1181" s="274">
        <v>42926</v>
      </c>
      <c r="G1181" s="15">
        <v>1722.6</v>
      </c>
      <c r="H1181" s="15">
        <f>Tabla1[[#This Row],[Importe]]-Tabla1[[#This Row],[Pagado]]</f>
        <v>0</v>
      </c>
      <c r="I1181" s="275" t="s">
        <v>15214</v>
      </c>
    </row>
    <row r="1182" spans="1:9" x14ac:dyDescent="0.25">
      <c r="A1182" s="16">
        <v>42926</v>
      </c>
      <c r="B1182" s="273" t="s">
        <v>21032</v>
      </c>
      <c r="C1182">
        <v>119336</v>
      </c>
      <c r="D1182" s="236" t="s">
        <v>15344</v>
      </c>
      <c r="E1182" s="15">
        <v>1739.4</v>
      </c>
      <c r="F1182" s="274">
        <v>42926</v>
      </c>
      <c r="G1182" s="15">
        <v>1739.4</v>
      </c>
      <c r="H1182" s="15">
        <f>Tabla1[[#This Row],[Importe]]-Tabla1[[#This Row],[Pagado]]</f>
        <v>0</v>
      </c>
      <c r="I1182" s="275" t="s">
        <v>15214</v>
      </c>
    </row>
    <row r="1183" spans="1:9" x14ac:dyDescent="0.25">
      <c r="A1183" s="16">
        <v>42926</v>
      </c>
      <c r="B1183" s="273" t="s">
        <v>21033</v>
      </c>
      <c r="C1183">
        <v>119337</v>
      </c>
      <c r="D1183" s="236" t="s">
        <v>15590</v>
      </c>
      <c r="E1183" s="15">
        <v>26121.9</v>
      </c>
      <c r="F1183" s="274">
        <v>42928</v>
      </c>
      <c r="G1183" s="15">
        <f>2661.8+23460.1</f>
        <v>26121.899999999998</v>
      </c>
      <c r="H1183" s="15">
        <f>Tabla1[[#This Row],[Importe]]-Tabla1[[#This Row],[Pagado]]</f>
        <v>0</v>
      </c>
      <c r="I1183" s="275" t="s">
        <v>15214</v>
      </c>
    </row>
    <row r="1184" spans="1:9" x14ac:dyDescent="0.25">
      <c r="A1184" s="16">
        <v>42926</v>
      </c>
      <c r="B1184" s="273" t="s">
        <v>21034</v>
      </c>
      <c r="C1184">
        <v>119338</v>
      </c>
      <c r="D1184" s="236" t="s">
        <v>15530</v>
      </c>
      <c r="E1184" s="15">
        <v>4193.7</v>
      </c>
      <c r="F1184" s="274">
        <v>42926</v>
      </c>
      <c r="G1184" s="15">
        <v>4193.7</v>
      </c>
      <c r="H1184" s="15">
        <f>Tabla1[[#This Row],[Importe]]-Tabla1[[#This Row],[Pagado]]</f>
        <v>0</v>
      </c>
      <c r="I1184" s="275" t="s">
        <v>15214</v>
      </c>
    </row>
    <row r="1185" spans="1:9" x14ac:dyDescent="0.25">
      <c r="A1185" s="16">
        <v>42926</v>
      </c>
      <c r="B1185" s="273" t="s">
        <v>21035</v>
      </c>
      <c r="C1185">
        <v>119339</v>
      </c>
      <c r="D1185" s="236" t="s">
        <v>15280</v>
      </c>
      <c r="E1185" s="15">
        <v>5631.4</v>
      </c>
      <c r="F1185" s="274">
        <v>42926</v>
      </c>
      <c r="G1185" s="15">
        <v>5631.4</v>
      </c>
      <c r="H1185" s="15">
        <f>Tabla1[[#This Row],[Importe]]-Tabla1[[#This Row],[Pagado]]</f>
        <v>0</v>
      </c>
      <c r="I1185" s="275" t="s">
        <v>15214</v>
      </c>
    </row>
    <row r="1186" spans="1:9" x14ac:dyDescent="0.25">
      <c r="A1186" s="16">
        <v>42926</v>
      </c>
      <c r="B1186" s="273" t="s">
        <v>21036</v>
      </c>
      <c r="C1186">
        <v>119340</v>
      </c>
      <c r="D1186" s="236" t="s">
        <v>15376</v>
      </c>
      <c r="E1186" s="15">
        <v>16153.4</v>
      </c>
      <c r="F1186" s="274">
        <v>42926</v>
      </c>
      <c r="G1186" s="15">
        <v>16153.4</v>
      </c>
      <c r="H1186" s="15">
        <f>Tabla1[[#This Row],[Importe]]-Tabla1[[#This Row],[Pagado]]</f>
        <v>0</v>
      </c>
      <c r="I1186" s="275" t="s">
        <v>15214</v>
      </c>
    </row>
    <row r="1187" spans="1:9" x14ac:dyDescent="0.25">
      <c r="A1187" s="16">
        <v>42926</v>
      </c>
      <c r="B1187" s="273" t="s">
        <v>21037</v>
      </c>
      <c r="C1187">
        <v>119341</v>
      </c>
      <c r="D1187" s="236" t="s">
        <v>17950</v>
      </c>
      <c r="E1187" s="15">
        <v>2874.6</v>
      </c>
      <c r="F1187" s="274">
        <v>42926</v>
      </c>
      <c r="G1187" s="15">
        <v>2874.6</v>
      </c>
      <c r="H1187" s="15">
        <f>Tabla1[[#This Row],[Importe]]-Tabla1[[#This Row],[Pagado]]</f>
        <v>0</v>
      </c>
      <c r="I1187" s="275" t="s">
        <v>15214</v>
      </c>
    </row>
    <row r="1188" spans="1:9" x14ac:dyDescent="0.25">
      <c r="A1188" s="16">
        <v>42926</v>
      </c>
      <c r="B1188" s="273" t="s">
        <v>21038</v>
      </c>
      <c r="C1188">
        <v>119342</v>
      </c>
      <c r="D1188" s="236" t="s">
        <v>15344</v>
      </c>
      <c r="E1188" s="15">
        <v>2585</v>
      </c>
      <c r="F1188" s="274">
        <v>42926</v>
      </c>
      <c r="G1188" s="15">
        <v>2585</v>
      </c>
      <c r="H1188" s="15">
        <f>Tabla1[[#This Row],[Importe]]-Tabla1[[#This Row],[Pagado]]</f>
        <v>0</v>
      </c>
      <c r="I1188" s="275" t="s">
        <v>15214</v>
      </c>
    </row>
    <row r="1189" spans="1:9" x14ac:dyDescent="0.25">
      <c r="A1189" s="16">
        <v>42926</v>
      </c>
      <c r="B1189" s="273" t="s">
        <v>21039</v>
      </c>
      <c r="C1189">
        <v>119343</v>
      </c>
      <c r="D1189" s="236" t="s">
        <v>15376</v>
      </c>
      <c r="E1189" s="15">
        <v>7252.8</v>
      </c>
      <c r="F1189" s="274">
        <v>42926</v>
      </c>
      <c r="G1189" s="15">
        <v>7252.8</v>
      </c>
      <c r="H1189" s="15">
        <f>Tabla1[[#This Row],[Importe]]-Tabla1[[#This Row],[Pagado]]</f>
        <v>0</v>
      </c>
      <c r="I1189" s="275" t="s">
        <v>15214</v>
      </c>
    </row>
    <row r="1190" spans="1:9" x14ac:dyDescent="0.25">
      <c r="A1190" s="16">
        <v>42926</v>
      </c>
      <c r="B1190" s="273" t="s">
        <v>21040</v>
      </c>
      <c r="C1190">
        <v>119344</v>
      </c>
      <c r="D1190" s="236" t="s">
        <v>15581</v>
      </c>
      <c r="E1190" s="15">
        <v>1873.2</v>
      </c>
      <c r="F1190" s="274">
        <v>42934</v>
      </c>
      <c r="G1190" s="15">
        <v>1873.2</v>
      </c>
      <c r="H1190" s="15">
        <f>Tabla1[[#This Row],[Importe]]-Tabla1[[#This Row],[Pagado]]</f>
        <v>0</v>
      </c>
      <c r="I1190" s="275" t="s">
        <v>15214</v>
      </c>
    </row>
    <row r="1191" spans="1:9" x14ac:dyDescent="0.25">
      <c r="A1191" s="16">
        <v>42926</v>
      </c>
      <c r="B1191" s="273" t="s">
        <v>21041</v>
      </c>
      <c r="C1191">
        <v>119345</v>
      </c>
      <c r="D1191" s="236" t="s">
        <v>15742</v>
      </c>
      <c r="E1191" s="15">
        <v>1960.2</v>
      </c>
      <c r="F1191" s="274">
        <v>42926</v>
      </c>
      <c r="G1191" s="15">
        <v>1960.2</v>
      </c>
      <c r="H1191" s="15">
        <f>Tabla1[[#This Row],[Importe]]-Tabla1[[#This Row],[Pagado]]</f>
        <v>0</v>
      </c>
      <c r="I1191" s="275" t="s">
        <v>15214</v>
      </c>
    </row>
    <row r="1192" spans="1:9" x14ac:dyDescent="0.25">
      <c r="A1192" s="16">
        <v>42926</v>
      </c>
      <c r="B1192" s="273" t="s">
        <v>21042</v>
      </c>
      <c r="C1192">
        <v>119346</v>
      </c>
      <c r="D1192" s="236" t="s">
        <v>15391</v>
      </c>
      <c r="E1192" s="15">
        <v>8954.4</v>
      </c>
      <c r="F1192" s="274">
        <v>42928</v>
      </c>
      <c r="G1192" s="15">
        <v>8954.4</v>
      </c>
      <c r="H1192" s="15">
        <f>Tabla1[[#This Row],[Importe]]-Tabla1[[#This Row],[Pagado]]</f>
        <v>0</v>
      </c>
      <c r="I1192" s="275" t="s">
        <v>15214</v>
      </c>
    </row>
    <row r="1193" spans="1:9" x14ac:dyDescent="0.25">
      <c r="A1193" s="16">
        <v>42926</v>
      </c>
      <c r="B1193" s="273" t="s">
        <v>21043</v>
      </c>
      <c r="C1193">
        <v>119347</v>
      </c>
      <c r="D1193" s="236" t="s">
        <v>15742</v>
      </c>
      <c r="E1193" s="15">
        <v>972.8</v>
      </c>
      <c r="F1193" s="274">
        <v>42926</v>
      </c>
      <c r="G1193" s="15">
        <v>972.8</v>
      </c>
      <c r="H1193" s="15">
        <f>Tabla1[[#This Row],[Importe]]-Tabla1[[#This Row],[Pagado]]</f>
        <v>0</v>
      </c>
      <c r="I1193" s="275" t="s">
        <v>15214</v>
      </c>
    </row>
    <row r="1194" spans="1:9" x14ac:dyDescent="0.25">
      <c r="A1194" s="16">
        <v>42926</v>
      </c>
      <c r="B1194" s="273" t="s">
        <v>21044</v>
      </c>
      <c r="C1194">
        <v>119348</v>
      </c>
      <c r="D1194" s="236" t="s">
        <v>15354</v>
      </c>
      <c r="E1194" s="15">
        <v>2787.4</v>
      </c>
      <c r="F1194" s="274">
        <v>42926</v>
      </c>
      <c r="G1194" s="15">
        <v>2787.4</v>
      </c>
      <c r="H1194" s="15">
        <f>Tabla1[[#This Row],[Importe]]-Tabla1[[#This Row],[Pagado]]</f>
        <v>0</v>
      </c>
      <c r="I1194" s="275" t="s">
        <v>15214</v>
      </c>
    </row>
    <row r="1195" spans="1:9" x14ac:dyDescent="0.25">
      <c r="A1195" s="16">
        <v>42926</v>
      </c>
      <c r="B1195" s="273" t="s">
        <v>21045</v>
      </c>
      <c r="C1195">
        <v>119349</v>
      </c>
      <c r="D1195" s="236" t="s">
        <v>15336</v>
      </c>
      <c r="E1195" s="15">
        <v>6760</v>
      </c>
      <c r="F1195" s="274">
        <v>42926</v>
      </c>
      <c r="G1195" s="15">
        <v>6760</v>
      </c>
      <c r="H1195" s="15">
        <f>Tabla1[[#This Row],[Importe]]-Tabla1[[#This Row],[Pagado]]</f>
        <v>0</v>
      </c>
      <c r="I1195" s="275" t="s">
        <v>15214</v>
      </c>
    </row>
    <row r="1196" spans="1:9" x14ac:dyDescent="0.25">
      <c r="A1196" s="16">
        <v>42926</v>
      </c>
      <c r="B1196" s="273" t="s">
        <v>21046</v>
      </c>
      <c r="C1196">
        <v>119350</v>
      </c>
      <c r="D1196" s="236" t="s">
        <v>15361</v>
      </c>
      <c r="E1196" s="15">
        <v>12192</v>
      </c>
      <c r="F1196" s="274">
        <v>42926</v>
      </c>
      <c r="G1196" s="15">
        <v>12192</v>
      </c>
      <c r="H1196" s="15">
        <f>Tabla1[[#This Row],[Importe]]-Tabla1[[#This Row],[Pagado]]</f>
        <v>0</v>
      </c>
      <c r="I1196" s="275" t="s">
        <v>15214</v>
      </c>
    </row>
    <row r="1197" spans="1:9" x14ac:dyDescent="0.25">
      <c r="A1197" s="16">
        <v>42926</v>
      </c>
      <c r="B1197" s="273" t="s">
        <v>21047</v>
      </c>
      <c r="C1197">
        <v>119351</v>
      </c>
      <c r="D1197" s="236" t="s">
        <v>15332</v>
      </c>
      <c r="E1197" s="15">
        <v>145.6</v>
      </c>
      <c r="F1197" s="274">
        <v>42926</v>
      </c>
      <c r="G1197" s="15">
        <v>145.6</v>
      </c>
      <c r="H1197" s="15">
        <f>Tabla1[[#This Row],[Importe]]-Tabla1[[#This Row],[Pagado]]</f>
        <v>0</v>
      </c>
      <c r="I1197" s="275" t="s">
        <v>15214</v>
      </c>
    </row>
    <row r="1198" spans="1:9" x14ac:dyDescent="0.25">
      <c r="A1198" s="16">
        <v>42926</v>
      </c>
      <c r="B1198" s="273" t="s">
        <v>21048</v>
      </c>
      <c r="C1198">
        <v>119352</v>
      </c>
      <c r="D1198" s="236" t="s">
        <v>15356</v>
      </c>
      <c r="E1198" s="15">
        <v>3213.6</v>
      </c>
      <c r="F1198" s="274">
        <v>42926</v>
      </c>
      <c r="G1198" s="15">
        <v>3213.6</v>
      </c>
      <c r="H1198" s="15">
        <f>Tabla1[[#This Row],[Importe]]-Tabla1[[#This Row],[Pagado]]</f>
        <v>0</v>
      </c>
      <c r="I1198" s="275" t="s">
        <v>15214</v>
      </c>
    </row>
    <row r="1199" spans="1:9" x14ac:dyDescent="0.25">
      <c r="A1199" s="16">
        <v>42926</v>
      </c>
      <c r="B1199" s="273" t="s">
        <v>21049</v>
      </c>
      <c r="C1199">
        <v>119353</v>
      </c>
      <c r="D1199" s="236" t="s">
        <v>15340</v>
      </c>
      <c r="E1199" s="15">
        <v>3074</v>
      </c>
      <c r="F1199" s="274">
        <v>42926</v>
      </c>
      <c r="G1199" s="15">
        <v>3074</v>
      </c>
      <c r="H1199" s="15">
        <f>Tabla1[[#This Row],[Importe]]-Tabla1[[#This Row],[Pagado]]</f>
        <v>0</v>
      </c>
      <c r="I1199" s="275" t="s">
        <v>15214</v>
      </c>
    </row>
    <row r="1200" spans="1:9" x14ac:dyDescent="0.25">
      <c r="A1200" s="16">
        <v>42926</v>
      </c>
      <c r="B1200" s="273" t="s">
        <v>21050</v>
      </c>
      <c r="C1200">
        <v>119354</v>
      </c>
      <c r="D1200" s="236" t="s">
        <v>15363</v>
      </c>
      <c r="E1200" s="15">
        <v>2883.2</v>
      </c>
      <c r="F1200" s="274">
        <v>42926</v>
      </c>
      <c r="G1200" s="15">
        <v>2883.2</v>
      </c>
      <c r="H1200" s="15">
        <f>Tabla1[[#This Row],[Importe]]-Tabla1[[#This Row],[Pagado]]</f>
        <v>0</v>
      </c>
      <c r="I1200" s="275" t="s">
        <v>15214</v>
      </c>
    </row>
    <row r="1201" spans="1:9" x14ac:dyDescent="0.25">
      <c r="A1201" s="16">
        <v>42926</v>
      </c>
      <c r="B1201" s="273" t="s">
        <v>21051</v>
      </c>
      <c r="C1201">
        <v>119355</v>
      </c>
      <c r="D1201" s="236" t="s">
        <v>15338</v>
      </c>
      <c r="E1201" s="15">
        <v>11043.6</v>
      </c>
      <c r="F1201" s="274">
        <v>42928</v>
      </c>
      <c r="G1201" s="15">
        <v>11043.6</v>
      </c>
      <c r="H1201" s="15">
        <f>Tabla1[[#This Row],[Importe]]-Tabla1[[#This Row],[Pagado]]</f>
        <v>0</v>
      </c>
      <c r="I1201" s="275" t="s">
        <v>15214</v>
      </c>
    </row>
    <row r="1202" spans="1:9" x14ac:dyDescent="0.25">
      <c r="A1202" s="16">
        <v>42926</v>
      </c>
      <c r="B1202" s="273" t="s">
        <v>21052</v>
      </c>
      <c r="C1202">
        <v>119356</v>
      </c>
      <c r="D1202" s="236" t="s">
        <v>15706</v>
      </c>
      <c r="E1202" s="15">
        <v>604.79999999999995</v>
      </c>
      <c r="F1202" s="274">
        <v>42926</v>
      </c>
      <c r="G1202" s="15">
        <v>604.79999999999995</v>
      </c>
      <c r="H1202" s="15">
        <f>Tabla1[[#This Row],[Importe]]-Tabla1[[#This Row],[Pagado]]</f>
        <v>0</v>
      </c>
      <c r="I1202" s="275" t="s">
        <v>15214</v>
      </c>
    </row>
    <row r="1203" spans="1:9" x14ac:dyDescent="0.25">
      <c r="A1203" s="16">
        <v>42926</v>
      </c>
      <c r="B1203" s="273" t="s">
        <v>21053</v>
      </c>
      <c r="C1203">
        <v>119357</v>
      </c>
      <c r="D1203" s="236" t="s">
        <v>15596</v>
      </c>
      <c r="E1203" s="15">
        <v>1325</v>
      </c>
      <c r="F1203" s="274">
        <v>42926</v>
      </c>
      <c r="G1203" s="15">
        <v>1325</v>
      </c>
      <c r="H1203" s="15">
        <f>Tabla1[[#This Row],[Importe]]-Tabla1[[#This Row],[Pagado]]</f>
        <v>0</v>
      </c>
      <c r="I1203" s="275" t="s">
        <v>15214</v>
      </c>
    </row>
    <row r="1204" spans="1:9" x14ac:dyDescent="0.25">
      <c r="A1204" s="16">
        <v>42926</v>
      </c>
      <c r="B1204" s="273" t="s">
        <v>21054</v>
      </c>
      <c r="C1204">
        <v>119358</v>
      </c>
      <c r="D1204" s="236" t="s">
        <v>15274</v>
      </c>
      <c r="E1204" s="15">
        <v>2650</v>
      </c>
      <c r="F1204" s="274">
        <v>42926</v>
      </c>
      <c r="G1204" s="15">
        <v>2650</v>
      </c>
      <c r="H1204" s="15">
        <f>Tabla1[[#This Row],[Importe]]-Tabla1[[#This Row],[Pagado]]</f>
        <v>0</v>
      </c>
      <c r="I1204" s="275" t="s">
        <v>15214</v>
      </c>
    </row>
    <row r="1205" spans="1:9" x14ac:dyDescent="0.25">
      <c r="A1205" s="16">
        <v>42926</v>
      </c>
      <c r="B1205" s="273" t="s">
        <v>21055</v>
      </c>
      <c r="C1205">
        <v>119359</v>
      </c>
      <c r="D1205" s="236" t="s">
        <v>15537</v>
      </c>
      <c r="E1205" s="15">
        <v>19532.8</v>
      </c>
      <c r="F1205" s="274">
        <v>42930</v>
      </c>
      <c r="G1205" s="15">
        <v>19532.8</v>
      </c>
      <c r="H1205" s="15">
        <f>Tabla1[[#This Row],[Importe]]-Tabla1[[#This Row],[Pagado]]</f>
        <v>0</v>
      </c>
      <c r="I1205" s="275" t="s">
        <v>15214</v>
      </c>
    </row>
    <row r="1206" spans="1:9" x14ac:dyDescent="0.25">
      <c r="A1206" s="16">
        <v>42926</v>
      </c>
      <c r="B1206" s="273" t="s">
        <v>21056</v>
      </c>
      <c r="C1206">
        <v>119360</v>
      </c>
      <c r="D1206" s="236" t="s">
        <v>15566</v>
      </c>
      <c r="E1206" s="15">
        <v>3830</v>
      </c>
      <c r="F1206" s="274">
        <v>42926</v>
      </c>
      <c r="G1206" s="15">
        <v>3830</v>
      </c>
      <c r="H1206" s="15">
        <f>Tabla1[[#This Row],[Importe]]-Tabla1[[#This Row],[Pagado]]</f>
        <v>0</v>
      </c>
      <c r="I1206" s="275" t="s">
        <v>15214</v>
      </c>
    </row>
    <row r="1207" spans="1:9" x14ac:dyDescent="0.25">
      <c r="A1207" s="16">
        <v>42926</v>
      </c>
      <c r="B1207" s="273" t="s">
        <v>21057</v>
      </c>
      <c r="C1207">
        <v>119361</v>
      </c>
      <c r="D1207" s="236" t="s">
        <v>5880</v>
      </c>
      <c r="E1207" s="15">
        <v>56499.199999999997</v>
      </c>
      <c r="F1207" s="274">
        <v>42929</v>
      </c>
      <c r="G1207" s="15">
        <v>56499.199999999997</v>
      </c>
      <c r="H1207" s="15">
        <f>Tabla1[[#This Row],[Importe]]-Tabla1[[#This Row],[Pagado]]</f>
        <v>0</v>
      </c>
      <c r="I1207" s="275" t="s">
        <v>15214</v>
      </c>
    </row>
    <row r="1208" spans="1:9" x14ac:dyDescent="0.25">
      <c r="A1208" s="16">
        <v>42926</v>
      </c>
      <c r="B1208" s="273" t="s">
        <v>21058</v>
      </c>
      <c r="C1208">
        <v>119362</v>
      </c>
      <c r="D1208" s="236" t="s">
        <v>15378</v>
      </c>
      <c r="E1208" s="15">
        <v>7896.4</v>
      </c>
      <c r="F1208" s="274">
        <v>42933</v>
      </c>
      <c r="G1208" s="15">
        <v>7896.4</v>
      </c>
      <c r="H1208" s="15">
        <f>Tabla1[[#This Row],[Importe]]-Tabla1[[#This Row],[Pagado]]</f>
        <v>0</v>
      </c>
      <c r="I1208" s="275" t="s">
        <v>15214</v>
      </c>
    </row>
    <row r="1209" spans="1:9" x14ac:dyDescent="0.25">
      <c r="A1209" s="16">
        <v>42926</v>
      </c>
      <c r="B1209" s="273" t="s">
        <v>21059</v>
      </c>
      <c r="C1209">
        <v>119363</v>
      </c>
      <c r="D1209" s="236" t="s">
        <v>15307</v>
      </c>
      <c r="E1209" s="15">
        <v>1880.2</v>
      </c>
      <c r="F1209" s="274">
        <v>42926</v>
      </c>
      <c r="G1209" s="15">
        <v>1880.2</v>
      </c>
      <c r="H1209" s="15">
        <f>Tabla1[[#This Row],[Importe]]-Tabla1[[#This Row],[Pagado]]</f>
        <v>0</v>
      </c>
      <c r="I1209" s="275" t="s">
        <v>15214</v>
      </c>
    </row>
    <row r="1210" spans="1:9" x14ac:dyDescent="0.25">
      <c r="A1210" s="16">
        <v>42926</v>
      </c>
      <c r="B1210" s="273" t="s">
        <v>21060</v>
      </c>
      <c r="C1210">
        <v>119364</v>
      </c>
      <c r="D1210" s="236" t="s">
        <v>15291</v>
      </c>
      <c r="E1210" s="15">
        <v>1060</v>
      </c>
      <c r="F1210" s="274">
        <v>42926</v>
      </c>
      <c r="G1210" s="15">
        <v>1060</v>
      </c>
      <c r="H1210" s="15">
        <f>Tabla1[[#This Row],[Importe]]-Tabla1[[#This Row],[Pagado]]</f>
        <v>0</v>
      </c>
      <c r="I1210" s="275" t="s">
        <v>15214</v>
      </c>
    </row>
    <row r="1211" spans="1:9" x14ac:dyDescent="0.25">
      <c r="A1211" s="16">
        <v>42926</v>
      </c>
      <c r="B1211" s="273" t="s">
        <v>21061</v>
      </c>
      <c r="C1211">
        <v>119365</v>
      </c>
      <c r="D1211" s="236" t="s">
        <v>15415</v>
      </c>
      <c r="E1211" s="15">
        <v>902</v>
      </c>
      <c r="F1211" s="274">
        <v>42931</v>
      </c>
      <c r="G1211" s="15">
        <v>902</v>
      </c>
      <c r="H1211" s="15">
        <f>Tabla1[[#This Row],[Importe]]-Tabla1[[#This Row],[Pagado]]</f>
        <v>0</v>
      </c>
      <c r="I1211" s="275" t="s">
        <v>15214</v>
      </c>
    </row>
    <row r="1212" spans="1:9" x14ac:dyDescent="0.25">
      <c r="A1212" s="16">
        <v>42926</v>
      </c>
      <c r="B1212" s="273" t="s">
        <v>21062</v>
      </c>
      <c r="C1212">
        <v>119366</v>
      </c>
      <c r="D1212" s="236" t="s">
        <v>15309</v>
      </c>
      <c r="E1212" s="15">
        <v>10258.5</v>
      </c>
      <c r="F1212" s="274">
        <v>42926</v>
      </c>
      <c r="G1212" s="15">
        <v>10258.5</v>
      </c>
      <c r="H1212" s="15">
        <f>Tabla1[[#This Row],[Importe]]-Tabla1[[#This Row],[Pagado]]</f>
        <v>0</v>
      </c>
      <c r="I1212" s="275" t="s">
        <v>15214</v>
      </c>
    </row>
    <row r="1213" spans="1:9" ht="15.75" x14ac:dyDescent="0.25">
      <c r="A1213" s="16">
        <v>42926</v>
      </c>
      <c r="B1213" s="273" t="s">
        <v>21063</v>
      </c>
      <c r="C1213">
        <v>119367</v>
      </c>
      <c r="D1213" s="248" t="s">
        <v>95</v>
      </c>
      <c r="E1213" s="15">
        <v>0</v>
      </c>
      <c r="F1213" s="277" t="s">
        <v>95</v>
      </c>
      <c r="G1213" s="15">
        <v>0</v>
      </c>
      <c r="H1213" s="15">
        <f>Tabla1[[#This Row],[Importe]]-Tabla1[[#This Row],[Pagado]]</f>
        <v>0</v>
      </c>
      <c r="I1213" s="275" t="s">
        <v>95</v>
      </c>
    </row>
    <row r="1214" spans="1:9" x14ac:dyDescent="0.25">
      <c r="A1214" s="16">
        <v>42926</v>
      </c>
      <c r="B1214" s="273" t="s">
        <v>21064</v>
      </c>
      <c r="C1214">
        <v>119368</v>
      </c>
      <c r="D1214" s="236" t="s">
        <v>15539</v>
      </c>
      <c r="E1214" s="15">
        <v>12520.2</v>
      </c>
      <c r="F1214" s="274">
        <v>42930</v>
      </c>
      <c r="G1214" s="15">
        <v>12520.2</v>
      </c>
      <c r="H1214" s="15">
        <f>Tabla1[[#This Row],[Importe]]-Tabla1[[#This Row],[Pagado]]</f>
        <v>0</v>
      </c>
      <c r="I1214" s="275" t="s">
        <v>15214</v>
      </c>
    </row>
    <row r="1215" spans="1:9" x14ac:dyDescent="0.25">
      <c r="A1215" s="16">
        <v>42926</v>
      </c>
      <c r="B1215" s="273" t="s">
        <v>21065</v>
      </c>
      <c r="C1215">
        <v>119369</v>
      </c>
      <c r="D1215" s="236" t="s">
        <v>15315</v>
      </c>
      <c r="E1215" s="15">
        <v>6133.6</v>
      </c>
      <c r="F1215" s="274">
        <v>42928</v>
      </c>
      <c r="G1215" s="15">
        <v>6133.6</v>
      </c>
      <c r="H1215" s="15">
        <f>Tabla1[[#This Row],[Importe]]-Tabla1[[#This Row],[Pagado]]</f>
        <v>0</v>
      </c>
      <c r="I1215" s="275" t="s">
        <v>15214</v>
      </c>
    </row>
    <row r="1216" spans="1:9" x14ac:dyDescent="0.25">
      <c r="A1216" s="16">
        <v>42926</v>
      </c>
      <c r="B1216" s="273" t="s">
        <v>21066</v>
      </c>
      <c r="C1216">
        <v>119370</v>
      </c>
      <c r="D1216" s="236" t="s">
        <v>16040</v>
      </c>
      <c r="E1216" s="15">
        <v>7078</v>
      </c>
      <c r="F1216" s="274">
        <v>42930</v>
      </c>
      <c r="G1216" s="15">
        <v>7078</v>
      </c>
      <c r="H1216" s="15">
        <f>Tabla1[[#This Row],[Importe]]-Tabla1[[#This Row],[Pagado]]</f>
        <v>0</v>
      </c>
      <c r="I1216" s="275" t="s">
        <v>15214</v>
      </c>
    </row>
    <row r="1217" spans="1:9" x14ac:dyDescent="0.25">
      <c r="A1217" s="16">
        <v>42926</v>
      </c>
      <c r="B1217" s="273" t="s">
        <v>21067</v>
      </c>
      <c r="C1217">
        <v>119371</v>
      </c>
      <c r="D1217" s="236" t="s">
        <v>15544</v>
      </c>
      <c r="E1217" s="15">
        <v>3263.4</v>
      </c>
      <c r="F1217" s="274">
        <v>42930</v>
      </c>
      <c r="G1217" s="15">
        <v>3263.4</v>
      </c>
      <c r="H1217" s="15">
        <f>Tabla1[[#This Row],[Importe]]-Tabla1[[#This Row],[Pagado]]</f>
        <v>0</v>
      </c>
      <c r="I1217" s="275" t="s">
        <v>15214</v>
      </c>
    </row>
    <row r="1218" spans="1:9" x14ac:dyDescent="0.25">
      <c r="A1218" s="16">
        <v>42926</v>
      </c>
      <c r="B1218" s="273" t="s">
        <v>21068</v>
      </c>
      <c r="C1218">
        <v>119372</v>
      </c>
      <c r="D1218" s="236" t="s">
        <v>15315</v>
      </c>
      <c r="E1218" s="15">
        <v>3583</v>
      </c>
      <c r="F1218" s="274">
        <v>42928</v>
      </c>
      <c r="G1218" s="15">
        <v>3583</v>
      </c>
      <c r="H1218" s="15">
        <f>Tabla1[[#This Row],[Importe]]-Tabla1[[#This Row],[Pagado]]</f>
        <v>0</v>
      </c>
      <c r="I1218" s="275" t="s">
        <v>15214</v>
      </c>
    </row>
    <row r="1219" spans="1:9" x14ac:dyDescent="0.25">
      <c r="A1219" s="16">
        <v>42926</v>
      </c>
      <c r="B1219" s="273" t="s">
        <v>21069</v>
      </c>
      <c r="C1219">
        <v>119373</v>
      </c>
      <c r="D1219" s="236" t="s">
        <v>15315</v>
      </c>
      <c r="E1219" s="15">
        <v>3183</v>
      </c>
      <c r="F1219" s="274">
        <v>42928</v>
      </c>
      <c r="G1219" s="15">
        <v>3183</v>
      </c>
      <c r="H1219" s="15">
        <f>Tabla1[[#This Row],[Importe]]-Tabla1[[#This Row],[Pagado]]</f>
        <v>0</v>
      </c>
      <c r="I1219" s="275" t="s">
        <v>15214</v>
      </c>
    </row>
    <row r="1220" spans="1:9" x14ac:dyDescent="0.25">
      <c r="A1220" s="16">
        <v>42926</v>
      </c>
      <c r="B1220" s="273" t="s">
        <v>21070</v>
      </c>
      <c r="C1220">
        <v>119374</v>
      </c>
      <c r="D1220" s="236" t="s">
        <v>15555</v>
      </c>
      <c r="E1220" s="15">
        <v>1946.7</v>
      </c>
      <c r="F1220" s="274">
        <v>42930</v>
      </c>
      <c r="G1220" s="15">
        <v>1946.7</v>
      </c>
      <c r="H1220" s="15">
        <f>Tabla1[[#This Row],[Importe]]-Tabla1[[#This Row],[Pagado]]</f>
        <v>0</v>
      </c>
      <c r="I1220" s="275" t="s">
        <v>15214</v>
      </c>
    </row>
    <row r="1221" spans="1:9" x14ac:dyDescent="0.25">
      <c r="A1221" s="16">
        <v>42926</v>
      </c>
      <c r="B1221" s="273" t="s">
        <v>21071</v>
      </c>
      <c r="C1221">
        <v>119375</v>
      </c>
      <c r="D1221" s="236" t="s">
        <v>15699</v>
      </c>
      <c r="E1221" s="15">
        <v>3515.4</v>
      </c>
      <c r="F1221" s="274">
        <v>42938</v>
      </c>
      <c r="G1221" s="15">
        <v>3515.4</v>
      </c>
      <c r="H1221" s="15">
        <f>Tabla1[[#This Row],[Importe]]-Tabla1[[#This Row],[Pagado]]</f>
        <v>0</v>
      </c>
      <c r="I1221" s="275" t="s">
        <v>15214</v>
      </c>
    </row>
    <row r="1222" spans="1:9" x14ac:dyDescent="0.25">
      <c r="A1222" s="16">
        <v>42926</v>
      </c>
      <c r="B1222" s="273" t="s">
        <v>21072</v>
      </c>
      <c r="C1222">
        <v>119376</v>
      </c>
      <c r="D1222" s="236" t="s">
        <v>15583</v>
      </c>
      <c r="E1222" s="15">
        <v>1664.2</v>
      </c>
      <c r="F1222" s="274">
        <v>42934</v>
      </c>
      <c r="G1222" s="15">
        <v>1664.2</v>
      </c>
      <c r="H1222" s="15">
        <f>Tabla1[[#This Row],[Importe]]-Tabla1[[#This Row],[Pagado]]</f>
        <v>0</v>
      </c>
      <c r="I1222" s="275" t="s">
        <v>15214</v>
      </c>
    </row>
    <row r="1223" spans="1:9" x14ac:dyDescent="0.25">
      <c r="A1223" s="16">
        <v>42926</v>
      </c>
      <c r="B1223" s="273" t="s">
        <v>21073</v>
      </c>
      <c r="C1223">
        <v>119377</v>
      </c>
      <c r="D1223" s="236" t="s">
        <v>15301</v>
      </c>
      <c r="E1223" s="15">
        <v>4171.1000000000004</v>
      </c>
      <c r="F1223" s="274">
        <v>42926</v>
      </c>
      <c r="G1223" s="15">
        <v>4171.1000000000004</v>
      </c>
      <c r="H1223" s="15">
        <f>Tabla1[[#This Row],[Importe]]-Tabla1[[#This Row],[Pagado]]</f>
        <v>0</v>
      </c>
      <c r="I1223" s="275" t="s">
        <v>15214</v>
      </c>
    </row>
    <row r="1224" spans="1:9" x14ac:dyDescent="0.25">
      <c r="A1224" s="16">
        <v>42926</v>
      </c>
      <c r="B1224" s="273" t="s">
        <v>21074</v>
      </c>
      <c r="C1224">
        <v>119378</v>
      </c>
      <c r="D1224" s="236" t="s">
        <v>15317</v>
      </c>
      <c r="E1224" s="15">
        <v>1793.2</v>
      </c>
      <c r="F1224" s="274">
        <v>42928</v>
      </c>
      <c r="G1224" s="15">
        <v>1793.2</v>
      </c>
      <c r="H1224" s="15">
        <f>Tabla1[[#This Row],[Importe]]-Tabla1[[#This Row],[Pagado]]</f>
        <v>0</v>
      </c>
      <c r="I1224" s="275" t="s">
        <v>15214</v>
      </c>
    </row>
    <row r="1225" spans="1:9" x14ac:dyDescent="0.25">
      <c r="A1225" s="16">
        <v>42926</v>
      </c>
      <c r="B1225" s="273" t="s">
        <v>21075</v>
      </c>
      <c r="C1225">
        <v>119379</v>
      </c>
      <c r="D1225" s="236" t="s">
        <v>15415</v>
      </c>
      <c r="E1225" s="15">
        <v>3877.2</v>
      </c>
      <c r="F1225" s="274">
        <v>42928</v>
      </c>
      <c r="G1225" s="15">
        <v>3877.2</v>
      </c>
      <c r="H1225" s="15">
        <f>Tabla1[[#This Row],[Importe]]-Tabla1[[#This Row],[Pagado]]</f>
        <v>0</v>
      </c>
      <c r="I1225" s="275" t="s">
        <v>15214</v>
      </c>
    </row>
    <row r="1226" spans="1:9" ht="15.75" x14ac:dyDescent="0.25">
      <c r="A1226" s="16">
        <v>42926</v>
      </c>
      <c r="B1226" s="273" t="s">
        <v>21076</v>
      </c>
      <c r="C1226">
        <v>119380</v>
      </c>
      <c r="D1226" s="248" t="s">
        <v>95</v>
      </c>
      <c r="E1226" s="15">
        <v>0</v>
      </c>
      <c r="F1226" s="277" t="s">
        <v>95</v>
      </c>
      <c r="G1226" s="15">
        <v>0</v>
      </c>
      <c r="H1226" s="15">
        <f>Tabla1[[#This Row],[Importe]]-Tabla1[[#This Row],[Pagado]]</f>
        <v>0</v>
      </c>
      <c r="I1226" s="275" t="s">
        <v>95</v>
      </c>
    </row>
    <row r="1227" spans="1:9" x14ac:dyDescent="0.25">
      <c r="A1227" s="16">
        <v>42926</v>
      </c>
      <c r="B1227" s="273" t="s">
        <v>21077</v>
      </c>
      <c r="C1227">
        <v>119381</v>
      </c>
      <c r="D1227" s="236" t="s">
        <v>15298</v>
      </c>
      <c r="E1227" s="15">
        <v>26537.45</v>
      </c>
      <c r="F1227" s="274">
        <v>42957</v>
      </c>
      <c r="G1227" s="15">
        <v>26537.45</v>
      </c>
      <c r="H1227" s="15">
        <f>Tabla1[[#This Row],[Importe]]-Tabla1[[#This Row],[Pagado]]</f>
        <v>0</v>
      </c>
      <c r="I1227" s="275" t="s">
        <v>15214</v>
      </c>
    </row>
    <row r="1228" spans="1:9" x14ac:dyDescent="0.25">
      <c r="A1228" s="16">
        <v>42926</v>
      </c>
      <c r="B1228" s="273" t="s">
        <v>21078</v>
      </c>
      <c r="C1228">
        <v>119382</v>
      </c>
      <c r="D1228" s="236" t="s">
        <v>15409</v>
      </c>
      <c r="E1228" s="15">
        <v>14410</v>
      </c>
      <c r="F1228" s="274">
        <v>42926</v>
      </c>
      <c r="G1228" s="15">
        <v>14410</v>
      </c>
      <c r="H1228" s="15">
        <f>Tabla1[[#This Row],[Importe]]-Tabla1[[#This Row],[Pagado]]</f>
        <v>0</v>
      </c>
      <c r="I1228" s="275" t="s">
        <v>15214</v>
      </c>
    </row>
    <row r="1229" spans="1:9" x14ac:dyDescent="0.25">
      <c r="A1229" s="16">
        <v>42926</v>
      </c>
      <c r="B1229" s="273" t="s">
        <v>21079</v>
      </c>
      <c r="C1229">
        <v>119383</v>
      </c>
      <c r="D1229" s="236" t="s">
        <v>15421</v>
      </c>
      <c r="E1229" s="15">
        <v>2651</v>
      </c>
      <c r="F1229" s="274">
        <v>42926</v>
      </c>
      <c r="G1229" s="15">
        <v>2651</v>
      </c>
      <c r="H1229" s="15">
        <f>Tabla1[[#This Row],[Importe]]-Tabla1[[#This Row],[Pagado]]</f>
        <v>0</v>
      </c>
      <c r="I1229" s="275" t="s">
        <v>15214</v>
      </c>
    </row>
    <row r="1230" spans="1:9" x14ac:dyDescent="0.25">
      <c r="A1230" s="16">
        <v>42926</v>
      </c>
      <c r="B1230" s="273" t="s">
        <v>21080</v>
      </c>
      <c r="C1230">
        <v>119384</v>
      </c>
      <c r="D1230" s="236" t="s">
        <v>15282</v>
      </c>
      <c r="E1230" s="15">
        <v>3727.2</v>
      </c>
      <c r="F1230" s="274">
        <v>42926</v>
      </c>
      <c r="G1230" s="15">
        <v>3727.2</v>
      </c>
      <c r="H1230" s="15">
        <f>Tabla1[[#This Row],[Importe]]-Tabla1[[#This Row],[Pagado]]</f>
        <v>0</v>
      </c>
      <c r="I1230" s="275" t="s">
        <v>15214</v>
      </c>
    </row>
    <row r="1231" spans="1:9" x14ac:dyDescent="0.25">
      <c r="A1231" s="16">
        <v>42926</v>
      </c>
      <c r="B1231" s="273" t="s">
        <v>21081</v>
      </c>
      <c r="C1231">
        <v>119385</v>
      </c>
      <c r="D1231" s="236" t="s">
        <v>19768</v>
      </c>
      <c r="E1231" s="15">
        <v>2120</v>
      </c>
      <c r="F1231" s="274">
        <v>42926</v>
      </c>
      <c r="G1231" s="15">
        <v>2120</v>
      </c>
      <c r="H1231" s="15">
        <f>Tabla1[[#This Row],[Importe]]-Tabla1[[#This Row],[Pagado]]</f>
        <v>0</v>
      </c>
      <c r="I1231" s="275" t="s">
        <v>15214</v>
      </c>
    </row>
    <row r="1232" spans="1:9" x14ac:dyDescent="0.25">
      <c r="A1232" s="16">
        <v>42926</v>
      </c>
      <c r="B1232" s="273" t="s">
        <v>21082</v>
      </c>
      <c r="C1232">
        <v>119386</v>
      </c>
      <c r="D1232" s="236" t="s">
        <v>15665</v>
      </c>
      <c r="E1232" s="15">
        <v>1001.6</v>
      </c>
      <c r="F1232" s="274">
        <v>42926</v>
      </c>
      <c r="G1232" s="15">
        <v>1001.6</v>
      </c>
      <c r="H1232" s="15">
        <f>Tabla1[[#This Row],[Importe]]-Tabla1[[#This Row],[Pagado]]</f>
        <v>0</v>
      </c>
      <c r="I1232" s="275" t="s">
        <v>15214</v>
      </c>
    </row>
    <row r="1233" spans="1:9" ht="30" x14ac:dyDescent="0.25">
      <c r="A1233" s="16">
        <v>42926</v>
      </c>
      <c r="B1233" s="273" t="s">
        <v>21083</v>
      </c>
      <c r="C1233">
        <v>119387</v>
      </c>
      <c r="D1233" s="236" t="s">
        <v>15328</v>
      </c>
      <c r="E1233" s="15">
        <v>93712</v>
      </c>
      <c r="F1233" s="274" t="s">
        <v>21084</v>
      </c>
      <c r="G1233" s="241">
        <f>57246.19+36465.81</f>
        <v>93712</v>
      </c>
      <c r="H1233" s="241">
        <f>Tabla1[[#This Row],[Importe]]-Tabla1[[#This Row],[Pagado]]</f>
        <v>0</v>
      </c>
      <c r="I1233" s="275" t="s">
        <v>15214</v>
      </c>
    </row>
    <row r="1234" spans="1:9" x14ac:dyDescent="0.25">
      <c r="A1234" s="16">
        <v>42926</v>
      </c>
      <c r="B1234" s="273" t="s">
        <v>21085</v>
      </c>
      <c r="C1234">
        <v>119388</v>
      </c>
      <c r="D1234" s="236" t="s">
        <v>15238</v>
      </c>
      <c r="E1234" s="15">
        <v>3014.78</v>
      </c>
      <c r="F1234" s="274">
        <v>42929</v>
      </c>
      <c r="G1234" s="15">
        <v>3014.78</v>
      </c>
      <c r="H1234" s="15">
        <f>Tabla1[[#This Row],[Importe]]-Tabla1[[#This Row],[Pagado]]</f>
        <v>0</v>
      </c>
      <c r="I1234" s="275" t="s">
        <v>15214</v>
      </c>
    </row>
    <row r="1235" spans="1:9" ht="15.75" x14ac:dyDescent="0.25">
      <c r="A1235" s="16">
        <v>42926</v>
      </c>
      <c r="B1235" s="273" t="s">
        <v>21086</v>
      </c>
      <c r="C1235">
        <v>119389</v>
      </c>
      <c r="D1235" s="248" t="s">
        <v>95</v>
      </c>
      <c r="E1235" s="15">
        <v>0</v>
      </c>
      <c r="F1235" s="277" t="s">
        <v>95</v>
      </c>
      <c r="G1235" s="15">
        <v>0</v>
      </c>
      <c r="H1235" s="15">
        <f>Tabla1[[#This Row],[Importe]]-Tabla1[[#This Row],[Pagado]]</f>
        <v>0</v>
      </c>
      <c r="I1235" s="275" t="s">
        <v>95</v>
      </c>
    </row>
    <row r="1236" spans="1:9" x14ac:dyDescent="0.25">
      <c r="A1236" s="16">
        <v>42926</v>
      </c>
      <c r="B1236" s="273" t="s">
        <v>21087</v>
      </c>
      <c r="C1236">
        <v>119390</v>
      </c>
      <c r="D1236" s="236" t="s">
        <v>21088</v>
      </c>
      <c r="E1236" s="15">
        <v>5761.5</v>
      </c>
      <c r="F1236" s="274">
        <v>42926</v>
      </c>
      <c r="G1236" s="15">
        <v>5761.5</v>
      </c>
      <c r="H1236" s="15">
        <f>Tabla1[[#This Row],[Importe]]-Tabla1[[#This Row],[Pagado]]</f>
        <v>0</v>
      </c>
      <c r="I1236" s="275" t="s">
        <v>15214</v>
      </c>
    </row>
    <row r="1237" spans="1:9" ht="15.75" x14ac:dyDescent="0.25">
      <c r="A1237" s="16">
        <v>42926</v>
      </c>
      <c r="B1237" s="273" t="s">
        <v>21089</v>
      </c>
      <c r="C1237">
        <v>119391</v>
      </c>
      <c r="D1237" s="248" t="s">
        <v>95</v>
      </c>
      <c r="E1237" s="15">
        <v>0</v>
      </c>
      <c r="F1237" s="277" t="s">
        <v>95</v>
      </c>
      <c r="G1237" s="15">
        <v>0</v>
      </c>
      <c r="H1237" s="15">
        <f>Tabla1[[#This Row],[Importe]]-Tabla1[[#This Row],[Pagado]]</f>
        <v>0</v>
      </c>
      <c r="I1237" s="275" t="s">
        <v>95</v>
      </c>
    </row>
    <row r="1238" spans="1:9" x14ac:dyDescent="0.25">
      <c r="A1238" s="16">
        <v>42926</v>
      </c>
      <c r="B1238" s="273" t="s">
        <v>21090</v>
      </c>
      <c r="C1238">
        <v>119392</v>
      </c>
      <c r="D1238" s="236" t="s">
        <v>15213</v>
      </c>
      <c r="E1238" s="15">
        <v>11262</v>
      </c>
      <c r="F1238" s="274">
        <v>42927</v>
      </c>
      <c r="G1238" s="15">
        <v>11262</v>
      </c>
      <c r="H1238" s="15">
        <f>Tabla1[[#This Row],[Importe]]-Tabla1[[#This Row],[Pagado]]</f>
        <v>0</v>
      </c>
      <c r="I1238" s="275" t="s">
        <v>15214</v>
      </c>
    </row>
    <row r="1239" spans="1:9" x14ac:dyDescent="0.25">
      <c r="A1239" s="16">
        <v>42926</v>
      </c>
      <c r="B1239" s="273" t="s">
        <v>21091</v>
      </c>
      <c r="C1239">
        <v>119393</v>
      </c>
      <c r="D1239" s="236" t="s">
        <v>15562</v>
      </c>
      <c r="E1239" s="15">
        <v>726</v>
      </c>
      <c r="F1239" s="274">
        <v>42926</v>
      </c>
      <c r="G1239" s="15">
        <v>726</v>
      </c>
      <c r="H1239" s="15">
        <f>Tabla1[[#This Row],[Importe]]-Tabla1[[#This Row],[Pagado]]</f>
        <v>0</v>
      </c>
      <c r="I1239" s="275" t="s">
        <v>15214</v>
      </c>
    </row>
    <row r="1240" spans="1:9" x14ac:dyDescent="0.25">
      <c r="A1240" s="16">
        <v>42926</v>
      </c>
      <c r="B1240" s="273" t="s">
        <v>21092</v>
      </c>
      <c r="C1240">
        <v>119394</v>
      </c>
      <c r="D1240" s="236" t="s">
        <v>15276</v>
      </c>
      <c r="E1240" s="15">
        <v>2650</v>
      </c>
      <c r="F1240" s="274">
        <v>42928</v>
      </c>
      <c r="G1240" s="15">
        <v>2650</v>
      </c>
      <c r="H1240" s="15">
        <f>Tabla1[[#This Row],[Importe]]-Tabla1[[#This Row],[Pagado]]</f>
        <v>0</v>
      </c>
      <c r="I1240" s="275" t="s">
        <v>15214</v>
      </c>
    </row>
    <row r="1241" spans="1:9" x14ac:dyDescent="0.25">
      <c r="A1241" s="16">
        <v>42926</v>
      </c>
      <c r="B1241" s="273" t="s">
        <v>21093</v>
      </c>
      <c r="C1241">
        <v>119395</v>
      </c>
      <c r="D1241" s="236" t="s">
        <v>15396</v>
      </c>
      <c r="E1241" s="15">
        <v>8706.76</v>
      </c>
      <c r="F1241" s="274">
        <v>42926</v>
      </c>
      <c r="G1241" s="15">
        <v>8706.76</v>
      </c>
      <c r="H1241" s="15">
        <f>Tabla1[[#This Row],[Importe]]-Tabla1[[#This Row],[Pagado]]</f>
        <v>0</v>
      </c>
      <c r="I1241" s="275" t="s">
        <v>15214</v>
      </c>
    </row>
    <row r="1242" spans="1:9" x14ac:dyDescent="0.25">
      <c r="A1242" s="16">
        <v>42926</v>
      </c>
      <c r="B1242" s="273" t="s">
        <v>21094</v>
      </c>
      <c r="C1242">
        <v>119396</v>
      </c>
      <c r="D1242" s="236" t="s">
        <v>15417</v>
      </c>
      <c r="E1242" s="15">
        <v>2735.2</v>
      </c>
      <c r="F1242" s="274">
        <v>42928</v>
      </c>
      <c r="G1242" s="15">
        <v>2735.2</v>
      </c>
      <c r="H1242" s="15">
        <f>Tabla1[[#This Row],[Importe]]-Tabla1[[#This Row],[Pagado]]</f>
        <v>0</v>
      </c>
      <c r="I1242" s="275" t="s">
        <v>15214</v>
      </c>
    </row>
    <row r="1243" spans="1:9" x14ac:dyDescent="0.25">
      <c r="A1243" s="16">
        <v>42926</v>
      </c>
      <c r="B1243" s="273" t="s">
        <v>21095</v>
      </c>
      <c r="C1243">
        <v>119397</v>
      </c>
      <c r="D1243" s="236" t="s">
        <v>15782</v>
      </c>
      <c r="E1243" s="15">
        <v>1652.4</v>
      </c>
      <c r="F1243" s="274">
        <v>42928</v>
      </c>
      <c r="G1243" s="15">
        <v>1652.4</v>
      </c>
      <c r="H1243" s="15">
        <f>Tabla1[[#This Row],[Importe]]-Tabla1[[#This Row],[Pagado]]</f>
        <v>0</v>
      </c>
      <c r="I1243" s="275" t="s">
        <v>15214</v>
      </c>
    </row>
    <row r="1244" spans="1:9" ht="15.75" x14ac:dyDescent="0.25">
      <c r="A1244" s="16">
        <v>42926</v>
      </c>
      <c r="B1244" s="273" t="s">
        <v>21096</v>
      </c>
      <c r="C1244">
        <v>119398</v>
      </c>
      <c r="D1244" s="248" t="s">
        <v>95</v>
      </c>
      <c r="E1244" s="15">
        <v>0</v>
      </c>
      <c r="F1244" s="277" t="s">
        <v>95</v>
      </c>
      <c r="G1244" s="15">
        <v>0</v>
      </c>
      <c r="H1244" s="15">
        <f>Tabla1[[#This Row],[Importe]]-Tabla1[[#This Row],[Pagado]]</f>
        <v>0</v>
      </c>
      <c r="I1244" s="275" t="s">
        <v>95</v>
      </c>
    </row>
    <row r="1245" spans="1:9" x14ac:dyDescent="0.25">
      <c r="A1245" s="16">
        <v>42926</v>
      </c>
      <c r="B1245" s="273" t="s">
        <v>21097</v>
      </c>
      <c r="C1245">
        <v>119399</v>
      </c>
      <c r="D1245" s="236" t="s">
        <v>15920</v>
      </c>
      <c r="E1245" s="15">
        <v>7349.4</v>
      </c>
      <c r="F1245" s="274">
        <v>42935</v>
      </c>
      <c r="G1245" s="15">
        <v>7349.4</v>
      </c>
      <c r="H1245" s="15">
        <f>Tabla1[[#This Row],[Importe]]-Tabla1[[#This Row],[Pagado]]</f>
        <v>0</v>
      </c>
      <c r="I1245" s="275" t="s">
        <v>15214</v>
      </c>
    </row>
    <row r="1246" spans="1:9" x14ac:dyDescent="0.25">
      <c r="A1246" s="16">
        <v>42926</v>
      </c>
      <c r="B1246" s="273" t="s">
        <v>21098</v>
      </c>
      <c r="C1246">
        <v>119400</v>
      </c>
      <c r="D1246" s="236" t="s">
        <v>17722</v>
      </c>
      <c r="E1246" s="15">
        <v>3477.6</v>
      </c>
      <c r="F1246" s="274">
        <v>42926</v>
      </c>
      <c r="G1246" s="15">
        <v>3477.6</v>
      </c>
      <c r="H1246" s="15">
        <f>Tabla1[[#This Row],[Importe]]-Tabla1[[#This Row],[Pagado]]</f>
        <v>0</v>
      </c>
      <c r="I1246" s="275" t="s">
        <v>15214</v>
      </c>
    </row>
    <row r="1247" spans="1:9" x14ac:dyDescent="0.25">
      <c r="A1247" s="16">
        <v>42926</v>
      </c>
      <c r="B1247" s="273" t="s">
        <v>21099</v>
      </c>
      <c r="C1247">
        <v>119401</v>
      </c>
      <c r="D1247" s="236" t="s">
        <v>15286</v>
      </c>
      <c r="E1247" s="15">
        <v>7519.2</v>
      </c>
      <c r="F1247" s="274">
        <v>42928</v>
      </c>
      <c r="G1247" s="15">
        <v>7519.2</v>
      </c>
      <c r="H1247" s="15">
        <f>Tabla1[[#This Row],[Importe]]-Tabla1[[#This Row],[Pagado]]</f>
        <v>0</v>
      </c>
      <c r="I1247" s="275" t="s">
        <v>15214</v>
      </c>
    </row>
    <row r="1248" spans="1:9" x14ac:dyDescent="0.25">
      <c r="A1248" s="16">
        <v>42926</v>
      </c>
      <c r="B1248" s="273" t="s">
        <v>21100</v>
      </c>
      <c r="C1248">
        <v>119402</v>
      </c>
      <c r="D1248" s="236" t="s">
        <v>15246</v>
      </c>
      <c r="E1248" s="15">
        <v>3360</v>
      </c>
      <c r="F1248" s="274">
        <v>42933</v>
      </c>
      <c r="G1248" s="15">
        <v>3360</v>
      </c>
      <c r="H1248" s="15">
        <f>Tabla1[[#This Row],[Importe]]-Tabla1[[#This Row],[Pagado]]</f>
        <v>0</v>
      </c>
      <c r="I1248" s="275" t="s">
        <v>15214</v>
      </c>
    </row>
    <row r="1249" spans="1:9" x14ac:dyDescent="0.25">
      <c r="A1249" s="16">
        <v>42926</v>
      </c>
      <c r="B1249" s="273" t="s">
        <v>21101</v>
      </c>
      <c r="C1249">
        <v>119403</v>
      </c>
      <c r="D1249" s="236" t="s">
        <v>15228</v>
      </c>
      <c r="E1249" s="15">
        <v>8382.4</v>
      </c>
      <c r="F1249" s="274">
        <v>42926</v>
      </c>
      <c r="G1249" s="15">
        <v>8382.4</v>
      </c>
      <c r="H1249" s="15">
        <f>Tabla1[[#This Row],[Importe]]-Tabla1[[#This Row],[Pagado]]</f>
        <v>0</v>
      </c>
      <c r="I1249" s="275" t="s">
        <v>15214</v>
      </c>
    </row>
    <row r="1250" spans="1:9" x14ac:dyDescent="0.25">
      <c r="A1250" s="16">
        <v>42926</v>
      </c>
      <c r="B1250" s="273" t="s">
        <v>21102</v>
      </c>
      <c r="C1250">
        <v>119404</v>
      </c>
      <c r="D1250" s="236" t="s">
        <v>15226</v>
      </c>
      <c r="E1250" s="15">
        <v>1069.2</v>
      </c>
      <c r="F1250" s="274">
        <v>42929</v>
      </c>
      <c r="G1250" s="15">
        <v>1069.2</v>
      </c>
      <c r="H1250" s="15">
        <f>Tabla1[[#This Row],[Importe]]-Tabla1[[#This Row],[Pagado]]</f>
        <v>0</v>
      </c>
      <c r="I1250" s="275" t="s">
        <v>15214</v>
      </c>
    </row>
    <row r="1251" spans="1:9" x14ac:dyDescent="0.25">
      <c r="A1251" s="16">
        <v>42926</v>
      </c>
      <c r="B1251" s="273" t="s">
        <v>21103</v>
      </c>
      <c r="C1251">
        <v>119405</v>
      </c>
      <c r="D1251" s="236" t="s">
        <v>15315</v>
      </c>
      <c r="E1251" s="15">
        <v>125.4</v>
      </c>
      <c r="F1251" s="274">
        <v>42926</v>
      </c>
      <c r="G1251" s="15">
        <v>125.4</v>
      </c>
      <c r="H1251" s="15">
        <f>Tabla1[[#This Row],[Importe]]-Tabla1[[#This Row],[Pagado]]</f>
        <v>0</v>
      </c>
      <c r="I1251" s="275" t="s">
        <v>15214</v>
      </c>
    </row>
    <row r="1252" spans="1:9" x14ac:dyDescent="0.25">
      <c r="A1252" s="16">
        <v>42926</v>
      </c>
      <c r="B1252" s="273" t="s">
        <v>21104</v>
      </c>
      <c r="C1252">
        <v>119406</v>
      </c>
      <c r="D1252" s="236" t="s">
        <v>16297</v>
      </c>
      <c r="E1252" s="15">
        <v>6931.2</v>
      </c>
      <c r="F1252" s="274">
        <v>42926</v>
      </c>
      <c r="G1252" s="15">
        <v>6931.2</v>
      </c>
      <c r="H1252" s="15">
        <f>Tabla1[[#This Row],[Importe]]-Tabla1[[#This Row],[Pagado]]</f>
        <v>0</v>
      </c>
      <c r="I1252" s="275" t="s">
        <v>15214</v>
      </c>
    </row>
    <row r="1253" spans="1:9" x14ac:dyDescent="0.25">
      <c r="A1253" s="16">
        <v>42926</v>
      </c>
      <c r="B1253" s="273" t="s">
        <v>21105</v>
      </c>
      <c r="C1253">
        <v>119407</v>
      </c>
      <c r="D1253" s="236" t="s">
        <v>15423</v>
      </c>
      <c r="E1253" s="15">
        <v>5514.6</v>
      </c>
      <c r="F1253" s="274">
        <v>42926</v>
      </c>
      <c r="G1253" s="15">
        <v>5514.6</v>
      </c>
      <c r="H1253" s="15">
        <f>Tabla1[[#This Row],[Importe]]-Tabla1[[#This Row],[Pagado]]</f>
        <v>0</v>
      </c>
      <c r="I1253" s="275" t="s">
        <v>15214</v>
      </c>
    </row>
    <row r="1254" spans="1:9" x14ac:dyDescent="0.25">
      <c r="A1254" s="16">
        <v>42926</v>
      </c>
      <c r="B1254" s="273" t="s">
        <v>21106</v>
      </c>
      <c r="C1254">
        <v>119408</v>
      </c>
      <c r="D1254" s="236" t="s">
        <v>15284</v>
      </c>
      <c r="E1254" s="15">
        <v>939.4</v>
      </c>
      <c r="F1254" s="274">
        <v>42926</v>
      </c>
      <c r="G1254" s="15">
        <v>939.4</v>
      </c>
      <c r="H1254" s="15">
        <f>Tabla1[[#This Row],[Importe]]-Tabla1[[#This Row],[Pagado]]</f>
        <v>0</v>
      </c>
      <c r="I1254" s="275" t="s">
        <v>15214</v>
      </c>
    </row>
    <row r="1255" spans="1:9" x14ac:dyDescent="0.25">
      <c r="A1255" s="16">
        <v>42926</v>
      </c>
      <c r="B1255" s="273" t="s">
        <v>21107</v>
      </c>
      <c r="C1255">
        <v>119409</v>
      </c>
      <c r="D1255" s="236" t="s">
        <v>15294</v>
      </c>
      <c r="E1255" s="15">
        <v>390</v>
      </c>
      <c r="F1255" s="274">
        <v>42926</v>
      </c>
      <c r="G1255" s="15">
        <v>390</v>
      </c>
      <c r="H1255" s="15">
        <f>Tabla1[[#This Row],[Importe]]-Tabla1[[#This Row],[Pagado]]</f>
        <v>0</v>
      </c>
      <c r="I1255" s="275" t="s">
        <v>15214</v>
      </c>
    </row>
    <row r="1256" spans="1:9" x14ac:dyDescent="0.25">
      <c r="A1256" s="16">
        <v>42926</v>
      </c>
      <c r="B1256" s="273" t="s">
        <v>21108</v>
      </c>
      <c r="C1256">
        <v>119410</v>
      </c>
      <c r="D1256" s="236" t="s">
        <v>5883</v>
      </c>
      <c r="E1256" s="15">
        <v>11501.08</v>
      </c>
      <c r="F1256" s="274">
        <v>42934</v>
      </c>
      <c r="G1256" s="15">
        <v>11501.08</v>
      </c>
      <c r="H1256" s="15">
        <f>Tabla1[[#This Row],[Importe]]-Tabla1[[#This Row],[Pagado]]</f>
        <v>0</v>
      </c>
      <c r="I1256" s="275" t="s">
        <v>15214</v>
      </c>
    </row>
    <row r="1257" spans="1:9" x14ac:dyDescent="0.25">
      <c r="A1257" s="16">
        <v>42926</v>
      </c>
      <c r="B1257" s="273" t="s">
        <v>21109</v>
      </c>
      <c r="C1257">
        <v>119411</v>
      </c>
      <c r="D1257" s="236" t="s">
        <v>15444</v>
      </c>
      <c r="E1257" s="15">
        <v>1938.6</v>
      </c>
      <c r="F1257" s="274">
        <v>42927</v>
      </c>
      <c r="G1257" s="15">
        <v>1938.6</v>
      </c>
      <c r="H1257" s="15">
        <f>Tabla1[[#This Row],[Importe]]-Tabla1[[#This Row],[Pagado]]</f>
        <v>0</v>
      </c>
      <c r="I1257" s="275" t="s">
        <v>15214</v>
      </c>
    </row>
    <row r="1258" spans="1:9" x14ac:dyDescent="0.25">
      <c r="A1258" s="16">
        <v>42926</v>
      </c>
      <c r="B1258" s="273" t="s">
        <v>21110</v>
      </c>
      <c r="C1258">
        <v>119412</v>
      </c>
      <c r="D1258" s="236" t="s">
        <v>15258</v>
      </c>
      <c r="E1258" s="15">
        <v>499.8</v>
      </c>
      <c r="F1258" s="274">
        <v>42927</v>
      </c>
      <c r="G1258" s="15">
        <v>499.8</v>
      </c>
      <c r="H1258" s="15">
        <f>Tabla1[[#This Row],[Importe]]-Tabla1[[#This Row],[Pagado]]</f>
        <v>0</v>
      </c>
      <c r="I1258" s="275" t="s">
        <v>15214</v>
      </c>
    </row>
    <row r="1259" spans="1:9" x14ac:dyDescent="0.25">
      <c r="A1259" s="16">
        <v>42926</v>
      </c>
      <c r="B1259" s="273" t="s">
        <v>21111</v>
      </c>
      <c r="C1259">
        <v>119413</v>
      </c>
      <c r="D1259" s="236" t="s">
        <v>19964</v>
      </c>
      <c r="E1259" s="15">
        <v>195</v>
      </c>
      <c r="F1259" s="274">
        <v>42926</v>
      </c>
      <c r="G1259" s="15">
        <v>195</v>
      </c>
      <c r="H1259" s="15">
        <f>Tabla1[[#This Row],[Importe]]-Tabla1[[#This Row],[Pagado]]</f>
        <v>0</v>
      </c>
      <c r="I1259" s="275" t="s">
        <v>15214</v>
      </c>
    </row>
    <row r="1260" spans="1:9" x14ac:dyDescent="0.25">
      <c r="A1260" s="16">
        <v>42926</v>
      </c>
      <c r="B1260" s="273" t="s">
        <v>21112</v>
      </c>
      <c r="C1260">
        <v>119414</v>
      </c>
      <c r="D1260" s="236" t="s">
        <v>19699</v>
      </c>
      <c r="E1260" s="15">
        <v>1786</v>
      </c>
      <c r="F1260" s="274">
        <v>42926</v>
      </c>
      <c r="G1260" s="15">
        <v>1786</v>
      </c>
      <c r="H1260" s="15">
        <f>Tabla1[[#This Row],[Importe]]-Tabla1[[#This Row],[Pagado]]</f>
        <v>0</v>
      </c>
      <c r="I1260" s="275" t="s">
        <v>15214</v>
      </c>
    </row>
    <row r="1261" spans="1:9" x14ac:dyDescent="0.25">
      <c r="A1261" s="16">
        <v>42926</v>
      </c>
      <c r="B1261" s="273" t="s">
        <v>21113</v>
      </c>
      <c r="C1261">
        <v>119415</v>
      </c>
      <c r="D1261" s="236" t="s">
        <v>15315</v>
      </c>
      <c r="E1261" s="15">
        <v>1590</v>
      </c>
      <c r="F1261" s="274">
        <v>42926</v>
      </c>
      <c r="G1261" s="15">
        <v>1590</v>
      </c>
      <c r="H1261" s="15">
        <f>Tabla1[[#This Row],[Importe]]-Tabla1[[#This Row],[Pagado]]</f>
        <v>0</v>
      </c>
      <c r="I1261" s="275" t="s">
        <v>15214</v>
      </c>
    </row>
    <row r="1262" spans="1:9" x14ac:dyDescent="0.25">
      <c r="A1262" s="16">
        <v>42926</v>
      </c>
      <c r="B1262" s="273" t="s">
        <v>21114</v>
      </c>
      <c r="C1262">
        <v>119416</v>
      </c>
      <c r="D1262" s="236" t="s">
        <v>15628</v>
      </c>
      <c r="E1262" s="15">
        <v>11608.6</v>
      </c>
      <c r="F1262" s="274">
        <v>42933</v>
      </c>
      <c r="G1262" s="15">
        <v>11608.6</v>
      </c>
      <c r="H1262" s="15">
        <f>Tabla1[[#This Row],[Importe]]-Tabla1[[#This Row],[Pagado]]</f>
        <v>0</v>
      </c>
      <c r="I1262" s="275" t="s">
        <v>15214</v>
      </c>
    </row>
    <row r="1263" spans="1:9" ht="15.75" x14ac:dyDescent="0.25">
      <c r="A1263" s="16">
        <v>42926</v>
      </c>
      <c r="B1263" s="273" t="s">
        <v>21115</v>
      </c>
      <c r="C1263">
        <v>119417</v>
      </c>
      <c r="D1263" s="248" t="s">
        <v>95</v>
      </c>
      <c r="E1263" s="15">
        <v>0</v>
      </c>
      <c r="F1263" s="277" t="s">
        <v>95</v>
      </c>
      <c r="G1263" s="15">
        <v>0</v>
      </c>
      <c r="H1263" s="15">
        <f>Tabla1[[#This Row],[Importe]]-Tabla1[[#This Row],[Pagado]]</f>
        <v>0</v>
      </c>
      <c r="I1263" s="275" t="s">
        <v>95</v>
      </c>
    </row>
    <row r="1264" spans="1:9" x14ac:dyDescent="0.25">
      <c r="A1264" s="16">
        <v>42926</v>
      </c>
      <c r="B1264" s="273" t="s">
        <v>21116</v>
      </c>
      <c r="C1264">
        <v>119418</v>
      </c>
      <c r="D1264" s="236" t="s">
        <v>15315</v>
      </c>
      <c r="E1264" s="15">
        <v>447.2</v>
      </c>
      <c r="F1264" s="274">
        <v>42926</v>
      </c>
      <c r="G1264" s="15">
        <v>447.2</v>
      </c>
      <c r="H1264" s="15">
        <f>Tabla1[[#This Row],[Importe]]-Tabla1[[#This Row],[Pagado]]</f>
        <v>0</v>
      </c>
      <c r="I1264" s="275" t="s">
        <v>15214</v>
      </c>
    </row>
    <row r="1265" spans="1:9" x14ac:dyDescent="0.25">
      <c r="A1265" s="16">
        <v>42926</v>
      </c>
      <c r="B1265" s="273" t="s">
        <v>21117</v>
      </c>
      <c r="C1265">
        <v>119419</v>
      </c>
      <c r="D1265" s="236" t="s">
        <v>15568</v>
      </c>
      <c r="E1265" s="15">
        <v>15240.4</v>
      </c>
      <c r="F1265" s="274">
        <v>42927</v>
      </c>
      <c r="G1265" s="15">
        <v>15240.4</v>
      </c>
      <c r="H1265" s="15">
        <f>Tabla1[[#This Row],[Importe]]-Tabla1[[#This Row],[Pagado]]</f>
        <v>0</v>
      </c>
      <c r="I1265" s="275" t="s">
        <v>15214</v>
      </c>
    </row>
    <row r="1266" spans="1:9" ht="30" x14ac:dyDescent="0.25">
      <c r="A1266" s="16">
        <v>42926</v>
      </c>
      <c r="B1266" s="273" t="s">
        <v>21118</v>
      </c>
      <c r="C1266">
        <v>119420</v>
      </c>
      <c r="D1266" s="236" t="s">
        <v>15250</v>
      </c>
      <c r="E1266" s="15">
        <v>40174.26</v>
      </c>
      <c r="F1266" s="274" t="s">
        <v>21119</v>
      </c>
      <c r="G1266" s="241">
        <f>10060.37+30113.89</f>
        <v>40174.26</v>
      </c>
      <c r="H1266" s="241">
        <f>Tabla1[[#This Row],[Importe]]-Tabla1[[#This Row],[Pagado]]</f>
        <v>0</v>
      </c>
      <c r="I1266" s="275" t="s">
        <v>15214</v>
      </c>
    </row>
    <row r="1267" spans="1:9" x14ac:dyDescent="0.25">
      <c r="A1267" s="16">
        <v>42926</v>
      </c>
      <c r="B1267" s="273" t="s">
        <v>21120</v>
      </c>
      <c r="C1267">
        <v>119421</v>
      </c>
      <c r="D1267" s="236" t="s">
        <v>15272</v>
      </c>
      <c r="E1267" s="15">
        <v>1152</v>
      </c>
      <c r="F1267" s="274">
        <v>42926</v>
      </c>
      <c r="G1267" s="15">
        <v>1152</v>
      </c>
      <c r="H1267" s="15">
        <f>Tabla1[[#This Row],[Importe]]-Tabla1[[#This Row],[Pagado]]</f>
        <v>0</v>
      </c>
      <c r="I1267" s="275" t="s">
        <v>15214</v>
      </c>
    </row>
    <row r="1268" spans="1:9" ht="15.75" x14ac:dyDescent="0.25">
      <c r="A1268" s="16">
        <v>42926</v>
      </c>
      <c r="B1268" s="273" t="s">
        <v>21121</v>
      </c>
      <c r="C1268">
        <v>119422</v>
      </c>
      <c r="D1268" s="248" t="s">
        <v>95</v>
      </c>
      <c r="E1268" s="15">
        <v>0</v>
      </c>
      <c r="F1268" s="277" t="s">
        <v>95</v>
      </c>
      <c r="G1268" s="15">
        <v>0</v>
      </c>
      <c r="H1268" s="15">
        <f>Tabla1[[#This Row],[Importe]]-Tabla1[[#This Row],[Pagado]]</f>
        <v>0</v>
      </c>
      <c r="I1268" s="275" t="s">
        <v>95</v>
      </c>
    </row>
    <row r="1269" spans="1:9" x14ac:dyDescent="0.25">
      <c r="A1269" s="16">
        <v>42926</v>
      </c>
      <c r="B1269" s="273" t="s">
        <v>21122</v>
      </c>
      <c r="C1269">
        <v>119423</v>
      </c>
      <c r="D1269" s="236" t="s">
        <v>15328</v>
      </c>
      <c r="E1269" s="15">
        <v>2599.6</v>
      </c>
      <c r="F1269" s="274">
        <v>42934</v>
      </c>
      <c r="G1269" s="15">
        <v>2599.6</v>
      </c>
      <c r="H1269" s="15">
        <f>Tabla1[[#This Row],[Importe]]-Tabla1[[#This Row],[Pagado]]</f>
        <v>0</v>
      </c>
      <c r="I1269" s="275" t="s">
        <v>15214</v>
      </c>
    </row>
    <row r="1270" spans="1:9" x14ac:dyDescent="0.25">
      <c r="A1270" s="16">
        <v>42926</v>
      </c>
      <c r="B1270" s="273" t="s">
        <v>21123</v>
      </c>
      <c r="C1270">
        <v>119424</v>
      </c>
      <c r="D1270" s="236" t="s">
        <v>15267</v>
      </c>
      <c r="E1270" s="15">
        <v>73942.679999999993</v>
      </c>
      <c r="F1270" s="274">
        <v>42933</v>
      </c>
      <c r="G1270" s="15">
        <v>73942.679999999993</v>
      </c>
      <c r="H1270" s="15">
        <f>Tabla1[[#This Row],[Importe]]-Tabla1[[#This Row],[Pagado]]</f>
        <v>0</v>
      </c>
      <c r="I1270" s="275" t="s">
        <v>15214</v>
      </c>
    </row>
    <row r="1271" spans="1:9" x14ac:dyDescent="0.25">
      <c r="A1271" s="16">
        <v>42926</v>
      </c>
      <c r="B1271" s="273" t="s">
        <v>21124</v>
      </c>
      <c r="C1271">
        <v>119425</v>
      </c>
      <c r="D1271" s="236" t="s">
        <v>15246</v>
      </c>
      <c r="E1271" s="15">
        <v>70724.399999999994</v>
      </c>
      <c r="F1271" s="274">
        <v>42933</v>
      </c>
      <c r="G1271" s="15">
        <v>70724.399999999994</v>
      </c>
      <c r="H1271" s="15">
        <f>Tabla1[[#This Row],[Importe]]-Tabla1[[#This Row],[Pagado]]</f>
        <v>0</v>
      </c>
      <c r="I1271" s="275" t="s">
        <v>15214</v>
      </c>
    </row>
    <row r="1272" spans="1:9" x14ac:dyDescent="0.25">
      <c r="A1272" s="16">
        <v>42926</v>
      </c>
      <c r="B1272" s="273" t="s">
        <v>21125</v>
      </c>
      <c r="C1272">
        <v>119426</v>
      </c>
      <c r="D1272" s="236" t="s">
        <v>15246</v>
      </c>
      <c r="E1272" s="15">
        <v>209367.28</v>
      </c>
      <c r="F1272" s="274">
        <v>42933</v>
      </c>
      <c r="G1272" s="15">
        <v>209367.28</v>
      </c>
      <c r="H1272" s="15">
        <f>Tabla1[[#This Row],[Importe]]-Tabla1[[#This Row],[Pagado]]</f>
        <v>0</v>
      </c>
      <c r="I1272" s="275" t="s">
        <v>15214</v>
      </c>
    </row>
    <row r="1273" spans="1:9" x14ac:dyDescent="0.25">
      <c r="A1273" s="16">
        <v>42926</v>
      </c>
      <c r="B1273" s="273" t="s">
        <v>21126</v>
      </c>
      <c r="C1273">
        <v>119427</v>
      </c>
      <c r="D1273" s="236" t="s">
        <v>15442</v>
      </c>
      <c r="E1273" s="15">
        <v>17729.900000000001</v>
      </c>
      <c r="F1273" s="274">
        <v>42927</v>
      </c>
      <c r="G1273" s="15">
        <v>17729.900000000001</v>
      </c>
      <c r="H1273" s="15">
        <f>Tabla1[[#This Row],[Importe]]-Tabla1[[#This Row],[Pagado]]</f>
        <v>0</v>
      </c>
      <c r="I1273" s="275" t="s">
        <v>15214</v>
      </c>
    </row>
    <row r="1274" spans="1:9" x14ac:dyDescent="0.25">
      <c r="A1274" s="16">
        <v>42926</v>
      </c>
      <c r="B1274" s="273" t="s">
        <v>21127</v>
      </c>
      <c r="C1274">
        <v>119428</v>
      </c>
      <c r="D1274" s="236" t="s">
        <v>15433</v>
      </c>
      <c r="E1274" s="15">
        <v>1024.7</v>
      </c>
      <c r="F1274" s="274">
        <v>42926</v>
      </c>
      <c r="G1274" s="15">
        <v>1024.7</v>
      </c>
      <c r="H1274" s="15">
        <f>Tabla1[[#This Row],[Importe]]-Tabla1[[#This Row],[Pagado]]</f>
        <v>0</v>
      </c>
      <c r="I1274" s="275" t="s">
        <v>15214</v>
      </c>
    </row>
    <row r="1275" spans="1:9" x14ac:dyDescent="0.25">
      <c r="A1275" s="16">
        <v>42926</v>
      </c>
      <c r="B1275" s="273" t="s">
        <v>21128</v>
      </c>
      <c r="C1275">
        <v>119429</v>
      </c>
      <c r="D1275" s="236" t="s">
        <v>19765</v>
      </c>
      <c r="E1275" s="15">
        <v>3500</v>
      </c>
      <c r="F1275" s="274">
        <v>42930</v>
      </c>
      <c r="G1275" s="15">
        <v>3500</v>
      </c>
      <c r="H1275" s="15">
        <f>Tabla1[[#This Row],[Importe]]-Tabla1[[#This Row],[Pagado]]</f>
        <v>0</v>
      </c>
      <c r="I1275" s="275" t="s">
        <v>15214</v>
      </c>
    </row>
    <row r="1276" spans="1:9" x14ac:dyDescent="0.25">
      <c r="A1276" s="16">
        <v>42926</v>
      </c>
      <c r="B1276" s="273" t="s">
        <v>21129</v>
      </c>
      <c r="C1276">
        <v>119430</v>
      </c>
      <c r="D1276" s="236" t="s">
        <v>19742</v>
      </c>
      <c r="E1276" s="15">
        <v>3500</v>
      </c>
      <c r="F1276" s="274">
        <v>42930</v>
      </c>
      <c r="G1276" s="15">
        <v>3500</v>
      </c>
      <c r="H1276" s="15">
        <f>Tabla1[[#This Row],[Importe]]-Tabla1[[#This Row],[Pagado]]</f>
        <v>0</v>
      </c>
      <c r="I1276" s="275" t="s">
        <v>15214</v>
      </c>
    </row>
    <row r="1277" spans="1:9" x14ac:dyDescent="0.25">
      <c r="A1277" s="16">
        <v>42926</v>
      </c>
      <c r="B1277" s="273" t="s">
        <v>21130</v>
      </c>
      <c r="C1277">
        <v>119431</v>
      </c>
      <c r="D1277" s="236" t="s">
        <v>15435</v>
      </c>
      <c r="E1277" s="15">
        <v>7376.4</v>
      </c>
      <c r="F1277" s="274">
        <v>42926</v>
      </c>
      <c r="G1277" s="15">
        <v>7376.4</v>
      </c>
      <c r="H1277" s="15">
        <f>Tabla1[[#This Row],[Importe]]-Tabla1[[#This Row],[Pagado]]</f>
        <v>0</v>
      </c>
      <c r="I1277" s="275" t="s">
        <v>15214</v>
      </c>
    </row>
    <row r="1278" spans="1:9" x14ac:dyDescent="0.25">
      <c r="A1278" s="16">
        <v>42926</v>
      </c>
      <c r="B1278" s="273" t="s">
        <v>21131</v>
      </c>
      <c r="C1278">
        <v>119432</v>
      </c>
      <c r="D1278" s="236" t="s">
        <v>19742</v>
      </c>
      <c r="E1278" s="15">
        <v>1500</v>
      </c>
      <c r="F1278" s="274">
        <v>42930</v>
      </c>
      <c r="G1278" s="15">
        <v>1500</v>
      </c>
      <c r="H1278" s="15">
        <f>Tabla1[[#This Row],[Importe]]-Tabla1[[#This Row],[Pagado]]</f>
        <v>0</v>
      </c>
      <c r="I1278" s="275" t="s">
        <v>15214</v>
      </c>
    </row>
    <row r="1279" spans="1:9" ht="15.75" x14ac:dyDescent="0.25">
      <c r="A1279" s="16">
        <v>42927</v>
      </c>
      <c r="B1279" s="273" t="s">
        <v>21132</v>
      </c>
      <c r="C1279">
        <v>119433</v>
      </c>
      <c r="D1279" s="248" t="s">
        <v>95</v>
      </c>
      <c r="E1279" s="15">
        <v>0</v>
      </c>
      <c r="F1279" s="277" t="s">
        <v>95</v>
      </c>
      <c r="G1279" s="15">
        <v>0</v>
      </c>
      <c r="H1279" s="15">
        <f>Tabla1[[#This Row],[Importe]]-Tabla1[[#This Row],[Pagado]]</f>
        <v>0</v>
      </c>
      <c r="I1279" s="275" t="s">
        <v>95</v>
      </c>
    </row>
    <row r="1280" spans="1:9" x14ac:dyDescent="0.25">
      <c r="A1280" s="16">
        <v>42927</v>
      </c>
      <c r="B1280" s="273" t="s">
        <v>21133</v>
      </c>
      <c r="C1280">
        <v>119434</v>
      </c>
      <c r="D1280" s="236" t="s">
        <v>15213</v>
      </c>
      <c r="E1280" s="15">
        <v>6864</v>
      </c>
      <c r="F1280" s="274">
        <v>42928</v>
      </c>
      <c r="G1280" s="15">
        <v>6864</v>
      </c>
      <c r="H1280" s="15">
        <f>Tabla1[[#This Row],[Importe]]-Tabla1[[#This Row],[Pagado]]</f>
        <v>0</v>
      </c>
      <c r="I1280" s="275" t="s">
        <v>15214</v>
      </c>
    </row>
    <row r="1281" spans="1:9" x14ac:dyDescent="0.25">
      <c r="A1281" s="16">
        <v>42927</v>
      </c>
      <c r="B1281" s="273" t="s">
        <v>21134</v>
      </c>
      <c r="C1281">
        <v>119435</v>
      </c>
      <c r="D1281" s="236" t="s">
        <v>15213</v>
      </c>
      <c r="E1281" s="15">
        <v>41021.199999999997</v>
      </c>
      <c r="F1281" s="274">
        <v>42928</v>
      </c>
      <c r="G1281" s="15">
        <v>41021.199999999997</v>
      </c>
      <c r="H1281" s="15">
        <f>Tabla1[[#This Row],[Importe]]-Tabla1[[#This Row],[Pagado]]</f>
        <v>0</v>
      </c>
      <c r="I1281" s="275" t="s">
        <v>15214</v>
      </c>
    </row>
    <row r="1282" spans="1:9" x14ac:dyDescent="0.25">
      <c r="A1282" s="16">
        <v>42927</v>
      </c>
      <c r="B1282" s="273" t="s">
        <v>21135</v>
      </c>
      <c r="C1282">
        <v>119436</v>
      </c>
      <c r="D1282" s="236" t="s">
        <v>15232</v>
      </c>
      <c r="E1282" s="15">
        <v>7101.6</v>
      </c>
      <c r="F1282" s="274">
        <v>42936</v>
      </c>
      <c r="G1282" s="15">
        <v>7101.6</v>
      </c>
      <c r="H1282" s="15">
        <f>Tabla1[[#This Row],[Importe]]-Tabla1[[#This Row],[Pagado]]</f>
        <v>0</v>
      </c>
      <c r="I1282" s="275" t="s">
        <v>15214</v>
      </c>
    </row>
    <row r="1283" spans="1:9" x14ac:dyDescent="0.25">
      <c r="A1283" s="16">
        <v>42927</v>
      </c>
      <c r="B1283" s="273" t="s">
        <v>21136</v>
      </c>
      <c r="C1283">
        <v>119437</v>
      </c>
      <c r="D1283" s="236" t="s">
        <v>15230</v>
      </c>
      <c r="E1283" s="15">
        <v>11075.6</v>
      </c>
      <c r="F1283" s="274">
        <v>42929</v>
      </c>
      <c r="G1283" s="15">
        <v>11075.6</v>
      </c>
      <c r="H1283" s="15">
        <f>Tabla1[[#This Row],[Importe]]-Tabla1[[#This Row],[Pagado]]</f>
        <v>0</v>
      </c>
      <c r="I1283" s="275" t="s">
        <v>15214</v>
      </c>
    </row>
    <row r="1284" spans="1:9" x14ac:dyDescent="0.25">
      <c r="A1284" s="16">
        <v>42927</v>
      </c>
      <c r="B1284" s="273" t="s">
        <v>21137</v>
      </c>
      <c r="C1284">
        <v>119438</v>
      </c>
      <c r="D1284" s="236" t="s">
        <v>15655</v>
      </c>
      <c r="E1284" s="15">
        <v>15417.3</v>
      </c>
      <c r="F1284" s="274">
        <v>42927</v>
      </c>
      <c r="G1284" s="15">
        <v>15417.3</v>
      </c>
      <c r="H1284" s="15">
        <f>Tabla1[[#This Row],[Importe]]-Tabla1[[#This Row],[Pagado]]</f>
        <v>0</v>
      </c>
      <c r="I1284" s="275" t="s">
        <v>15214</v>
      </c>
    </row>
    <row r="1285" spans="1:9" x14ac:dyDescent="0.25">
      <c r="A1285" s="16">
        <v>42927</v>
      </c>
      <c r="B1285" s="273" t="s">
        <v>21138</v>
      </c>
      <c r="C1285">
        <v>119439</v>
      </c>
      <c r="D1285" s="236" t="s">
        <v>15272</v>
      </c>
      <c r="E1285" s="15">
        <v>17217.2</v>
      </c>
      <c r="F1285" s="274">
        <v>42927</v>
      </c>
      <c r="G1285" s="15">
        <v>17217.2</v>
      </c>
      <c r="H1285" s="15">
        <f>Tabla1[[#This Row],[Importe]]-Tabla1[[#This Row],[Pagado]]</f>
        <v>0</v>
      </c>
      <c r="I1285" s="275" t="s">
        <v>15214</v>
      </c>
    </row>
    <row r="1286" spans="1:9" x14ac:dyDescent="0.25">
      <c r="A1286" s="16">
        <v>42927</v>
      </c>
      <c r="B1286" s="273" t="s">
        <v>21139</v>
      </c>
      <c r="C1286">
        <v>119440</v>
      </c>
      <c r="D1286" s="236" t="s">
        <v>15234</v>
      </c>
      <c r="E1286" s="15">
        <v>4102.2</v>
      </c>
      <c r="F1286" s="274">
        <v>42929</v>
      </c>
      <c r="G1286" s="15">
        <v>4102.2</v>
      </c>
      <c r="H1286" s="15">
        <f>Tabla1[[#This Row],[Importe]]-Tabla1[[#This Row],[Pagado]]</f>
        <v>0</v>
      </c>
      <c r="I1286" s="275" t="s">
        <v>15214</v>
      </c>
    </row>
    <row r="1287" spans="1:9" x14ac:dyDescent="0.25">
      <c r="A1287" s="16">
        <v>42927</v>
      </c>
      <c r="B1287" s="273" t="s">
        <v>21140</v>
      </c>
      <c r="C1287">
        <v>119441</v>
      </c>
      <c r="D1287" s="236" t="s">
        <v>19313</v>
      </c>
      <c r="E1287" s="15">
        <v>1151.4000000000001</v>
      </c>
      <c r="F1287" s="274">
        <v>42927</v>
      </c>
      <c r="G1287" s="15">
        <v>1151.4000000000001</v>
      </c>
      <c r="H1287" s="15">
        <f>Tabla1[[#This Row],[Importe]]-Tabla1[[#This Row],[Pagado]]</f>
        <v>0</v>
      </c>
      <c r="I1287" s="275" t="s">
        <v>15214</v>
      </c>
    </row>
    <row r="1288" spans="1:9" x14ac:dyDescent="0.25">
      <c r="A1288" s="16">
        <v>42927</v>
      </c>
      <c r="B1288" s="273" t="s">
        <v>21141</v>
      </c>
      <c r="C1288">
        <v>119442</v>
      </c>
      <c r="D1288" s="236" t="s">
        <v>15404</v>
      </c>
      <c r="E1288" s="15">
        <v>13068</v>
      </c>
      <c r="F1288" s="274">
        <v>42927</v>
      </c>
      <c r="G1288" s="15">
        <v>13068</v>
      </c>
      <c r="H1288" s="15">
        <f>Tabla1[[#This Row],[Importe]]-Tabla1[[#This Row],[Pagado]]</f>
        <v>0</v>
      </c>
      <c r="I1288" s="275" t="s">
        <v>15214</v>
      </c>
    </row>
    <row r="1289" spans="1:9" x14ac:dyDescent="0.25">
      <c r="A1289" s="16">
        <v>42927</v>
      </c>
      <c r="B1289" s="273" t="s">
        <v>21142</v>
      </c>
      <c r="C1289">
        <v>119443</v>
      </c>
      <c r="D1289" s="236" t="s">
        <v>15338</v>
      </c>
      <c r="E1289" s="15">
        <v>8694.4</v>
      </c>
      <c r="F1289" s="274">
        <v>42930</v>
      </c>
      <c r="G1289" s="15">
        <v>8694.4</v>
      </c>
      <c r="H1289" s="15">
        <f>Tabla1[[#This Row],[Importe]]-Tabla1[[#This Row],[Pagado]]</f>
        <v>0</v>
      </c>
      <c r="I1289" s="275" t="s">
        <v>15214</v>
      </c>
    </row>
    <row r="1290" spans="1:9" x14ac:dyDescent="0.25">
      <c r="A1290" s="16">
        <v>42927</v>
      </c>
      <c r="B1290" s="273" t="s">
        <v>21143</v>
      </c>
      <c r="C1290">
        <v>119444</v>
      </c>
      <c r="D1290" s="236" t="s">
        <v>15236</v>
      </c>
      <c r="E1290" s="15">
        <v>3792.6</v>
      </c>
      <c r="F1290" s="274">
        <v>42929</v>
      </c>
      <c r="G1290" s="15">
        <v>3792.6</v>
      </c>
      <c r="H1290" s="15">
        <f>Tabla1[[#This Row],[Importe]]-Tabla1[[#This Row],[Pagado]]</f>
        <v>0</v>
      </c>
      <c r="I1290" s="275" t="s">
        <v>15214</v>
      </c>
    </row>
    <row r="1291" spans="1:9" x14ac:dyDescent="0.25">
      <c r="A1291" s="16">
        <v>42927</v>
      </c>
      <c r="B1291" s="273" t="s">
        <v>21144</v>
      </c>
      <c r="C1291">
        <v>119445</v>
      </c>
      <c r="D1291" s="236" t="s">
        <v>15371</v>
      </c>
      <c r="E1291" s="15">
        <v>3797.8</v>
      </c>
      <c r="F1291" s="274">
        <v>42928</v>
      </c>
      <c r="G1291" s="15">
        <v>3797.8</v>
      </c>
      <c r="H1291" s="15">
        <f>Tabla1[[#This Row],[Importe]]-Tabla1[[#This Row],[Pagado]]</f>
        <v>0</v>
      </c>
      <c r="I1291" s="275" t="s">
        <v>15214</v>
      </c>
    </row>
    <row r="1292" spans="1:9" x14ac:dyDescent="0.25">
      <c r="A1292" s="16">
        <v>42927</v>
      </c>
      <c r="B1292" s="273" t="s">
        <v>21145</v>
      </c>
      <c r="C1292">
        <v>119446</v>
      </c>
      <c r="D1292" s="236" t="s">
        <v>15220</v>
      </c>
      <c r="E1292" s="15">
        <v>3710</v>
      </c>
      <c r="F1292" s="274">
        <v>42927</v>
      </c>
      <c r="G1292" s="15">
        <v>3710</v>
      </c>
      <c r="H1292" s="15">
        <f>Tabla1[[#This Row],[Importe]]-Tabla1[[#This Row],[Pagado]]</f>
        <v>0</v>
      </c>
      <c r="I1292" s="275" t="s">
        <v>15214</v>
      </c>
    </row>
    <row r="1293" spans="1:9" x14ac:dyDescent="0.25">
      <c r="A1293" s="16">
        <v>42927</v>
      </c>
      <c r="B1293" s="273" t="s">
        <v>21146</v>
      </c>
      <c r="C1293">
        <v>119447</v>
      </c>
      <c r="D1293" s="236" t="s">
        <v>15263</v>
      </c>
      <c r="E1293" s="15">
        <v>3078.1</v>
      </c>
      <c r="F1293" s="274">
        <v>42927</v>
      </c>
      <c r="G1293" s="15">
        <v>3078.1</v>
      </c>
      <c r="H1293" s="15">
        <f>Tabla1[[#This Row],[Importe]]-Tabla1[[#This Row],[Pagado]]</f>
        <v>0</v>
      </c>
      <c r="I1293" s="275" t="s">
        <v>15214</v>
      </c>
    </row>
    <row r="1294" spans="1:9" x14ac:dyDescent="0.25">
      <c r="A1294" s="16">
        <v>42927</v>
      </c>
      <c r="B1294" s="273" t="s">
        <v>21147</v>
      </c>
      <c r="C1294">
        <v>119448</v>
      </c>
      <c r="D1294" s="236" t="s">
        <v>19754</v>
      </c>
      <c r="E1294" s="15">
        <v>21806.400000000001</v>
      </c>
      <c r="F1294" s="274">
        <v>42927</v>
      </c>
      <c r="G1294" s="15">
        <v>21806.400000000001</v>
      </c>
      <c r="H1294" s="15">
        <f>Tabla1[[#This Row],[Importe]]-Tabla1[[#This Row],[Pagado]]</f>
        <v>0</v>
      </c>
      <c r="I1294" s="275" t="s">
        <v>15214</v>
      </c>
    </row>
    <row r="1295" spans="1:9" ht="15.75" x14ac:dyDescent="0.25">
      <c r="A1295" s="16">
        <v>42927</v>
      </c>
      <c r="B1295" s="273" t="s">
        <v>21148</v>
      </c>
      <c r="C1295">
        <v>119449</v>
      </c>
      <c r="D1295" s="248" t="s">
        <v>95</v>
      </c>
      <c r="E1295" s="15">
        <v>0</v>
      </c>
      <c r="F1295" s="277" t="s">
        <v>95</v>
      </c>
      <c r="G1295" s="15">
        <v>0</v>
      </c>
      <c r="H1295" s="15">
        <f>Tabla1[[#This Row],[Importe]]-Tabla1[[#This Row],[Pagado]]</f>
        <v>0</v>
      </c>
      <c r="I1295" s="275" t="s">
        <v>95</v>
      </c>
    </row>
    <row r="1296" spans="1:9" x14ac:dyDescent="0.25">
      <c r="A1296" s="16">
        <v>42927</v>
      </c>
      <c r="B1296" s="273" t="s">
        <v>21149</v>
      </c>
      <c r="C1296">
        <v>119450</v>
      </c>
      <c r="D1296" s="236" t="s">
        <v>17235</v>
      </c>
      <c r="E1296" s="15">
        <v>1060</v>
      </c>
      <c r="F1296" s="274">
        <v>42927</v>
      </c>
      <c r="G1296" s="15">
        <v>1060</v>
      </c>
      <c r="H1296" s="15">
        <f>Tabla1[[#This Row],[Importe]]-Tabla1[[#This Row],[Pagado]]</f>
        <v>0</v>
      </c>
      <c r="I1296" s="275" t="s">
        <v>15214</v>
      </c>
    </row>
    <row r="1297" spans="1:9" x14ac:dyDescent="0.25">
      <c r="A1297" s="16">
        <v>42927</v>
      </c>
      <c r="B1297" s="273" t="s">
        <v>21150</v>
      </c>
      <c r="C1297">
        <v>119451</v>
      </c>
      <c r="D1297" s="236" t="s">
        <v>17462</v>
      </c>
      <c r="E1297" s="15">
        <v>5589</v>
      </c>
      <c r="F1297" s="274">
        <v>42927</v>
      </c>
      <c r="G1297" s="15">
        <v>5589</v>
      </c>
      <c r="H1297" s="15">
        <f>Tabla1[[#This Row],[Importe]]-Tabla1[[#This Row],[Pagado]]</f>
        <v>0</v>
      </c>
      <c r="I1297" s="275" t="s">
        <v>15214</v>
      </c>
    </row>
    <row r="1298" spans="1:9" x14ac:dyDescent="0.25">
      <c r="A1298" s="16">
        <v>42927</v>
      </c>
      <c r="B1298" s="273" t="s">
        <v>21151</v>
      </c>
      <c r="C1298">
        <v>119452</v>
      </c>
      <c r="D1298" s="236" t="s">
        <v>15223</v>
      </c>
      <c r="E1298" s="15">
        <v>51616.6</v>
      </c>
      <c r="F1298" s="274">
        <v>42960</v>
      </c>
      <c r="G1298" s="15">
        <v>51616.6</v>
      </c>
      <c r="H1298" s="15">
        <f>Tabla1[[#This Row],[Importe]]-Tabla1[[#This Row],[Pagado]]</f>
        <v>0</v>
      </c>
      <c r="I1298" s="275" t="s">
        <v>15214</v>
      </c>
    </row>
    <row r="1299" spans="1:9" x14ac:dyDescent="0.25">
      <c r="A1299" s="16">
        <v>42927</v>
      </c>
      <c r="B1299" s="273" t="s">
        <v>21152</v>
      </c>
      <c r="C1299">
        <v>119453</v>
      </c>
      <c r="D1299" s="236" t="s">
        <v>15284</v>
      </c>
      <c r="E1299" s="15">
        <v>2150.4</v>
      </c>
      <c r="F1299" s="274">
        <v>42927</v>
      </c>
      <c r="G1299" s="15">
        <v>2150.4</v>
      </c>
      <c r="H1299" s="15">
        <f>Tabla1[[#This Row],[Importe]]-Tabla1[[#This Row],[Pagado]]</f>
        <v>0</v>
      </c>
      <c r="I1299" s="275" t="s">
        <v>15214</v>
      </c>
    </row>
    <row r="1300" spans="1:9" x14ac:dyDescent="0.25">
      <c r="A1300" s="16">
        <v>42927</v>
      </c>
      <c r="B1300" s="273" t="s">
        <v>21153</v>
      </c>
      <c r="C1300">
        <v>119454</v>
      </c>
      <c r="D1300" s="236" t="s">
        <v>5575</v>
      </c>
      <c r="E1300" s="15">
        <v>4269.6000000000004</v>
      </c>
      <c r="F1300" s="274">
        <v>42929</v>
      </c>
      <c r="G1300" s="15">
        <v>4269.6000000000004</v>
      </c>
      <c r="H1300" s="15">
        <f>Tabla1[[#This Row],[Importe]]-Tabla1[[#This Row],[Pagado]]</f>
        <v>0</v>
      </c>
      <c r="I1300" s="275" t="s">
        <v>15214</v>
      </c>
    </row>
    <row r="1301" spans="1:9" x14ac:dyDescent="0.25">
      <c r="A1301" s="16">
        <v>42927</v>
      </c>
      <c r="B1301" s="273" t="s">
        <v>21154</v>
      </c>
      <c r="C1301">
        <v>119455</v>
      </c>
      <c r="D1301" s="236" t="s">
        <v>15348</v>
      </c>
      <c r="E1301" s="15">
        <v>104.4</v>
      </c>
      <c r="F1301" s="274">
        <v>42927</v>
      </c>
      <c r="G1301" s="15">
        <v>104.4</v>
      </c>
      <c r="H1301" s="15">
        <f>Tabla1[[#This Row],[Importe]]-Tabla1[[#This Row],[Pagado]]</f>
        <v>0</v>
      </c>
      <c r="I1301" s="275" t="s">
        <v>15214</v>
      </c>
    </row>
    <row r="1302" spans="1:9" x14ac:dyDescent="0.25">
      <c r="A1302" s="16">
        <v>42927</v>
      </c>
      <c r="B1302" s="273" t="s">
        <v>21155</v>
      </c>
      <c r="C1302">
        <v>119456</v>
      </c>
      <c r="D1302" s="236" t="s">
        <v>15240</v>
      </c>
      <c r="E1302" s="15">
        <v>3370.8</v>
      </c>
      <c r="F1302" s="274">
        <v>42928</v>
      </c>
      <c r="G1302" s="15">
        <v>3370.8</v>
      </c>
      <c r="H1302" s="15">
        <f>Tabla1[[#This Row],[Importe]]-Tabla1[[#This Row],[Pagado]]</f>
        <v>0</v>
      </c>
      <c r="I1302" s="275" t="s">
        <v>15214</v>
      </c>
    </row>
    <row r="1303" spans="1:9" x14ac:dyDescent="0.25">
      <c r="A1303" s="16">
        <v>42927</v>
      </c>
      <c r="B1303" s="273" t="s">
        <v>21156</v>
      </c>
      <c r="C1303">
        <v>119457</v>
      </c>
      <c r="D1303" s="236" t="s">
        <v>15356</v>
      </c>
      <c r="E1303" s="15">
        <v>1518.4</v>
      </c>
      <c r="F1303" s="274">
        <v>42927</v>
      </c>
      <c r="G1303" s="15">
        <v>1518.4</v>
      </c>
      <c r="H1303" s="15">
        <f>Tabla1[[#This Row],[Importe]]-Tabla1[[#This Row],[Pagado]]</f>
        <v>0</v>
      </c>
      <c r="I1303" s="275" t="s">
        <v>15214</v>
      </c>
    </row>
    <row r="1304" spans="1:9" x14ac:dyDescent="0.25">
      <c r="A1304" s="16">
        <v>42927</v>
      </c>
      <c r="B1304" s="273" t="s">
        <v>21157</v>
      </c>
      <c r="C1304">
        <v>119458</v>
      </c>
      <c r="D1304" s="236" t="s">
        <v>15252</v>
      </c>
      <c r="E1304" s="15">
        <v>611.1</v>
      </c>
      <c r="F1304" s="274">
        <v>42934</v>
      </c>
      <c r="G1304" s="15">
        <v>611.1</v>
      </c>
      <c r="H1304" s="15">
        <f>Tabla1[[#This Row],[Importe]]-Tabla1[[#This Row],[Pagado]]</f>
        <v>0</v>
      </c>
      <c r="I1304" s="275" t="s">
        <v>15214</v>
      </c>
    </row>
    <row r="1305" spans="1:9" x14ac:dyDescent="0.25">
      <c r="A1305" s="16">
        <v>42927</v>
      </c>
      <c r="B1305" s="273" t="s">
        <v>21158</v>
      </c>
      <c r="C1305">
        <v>119459</v>
      </c>
      <c r="D1305" s="236" t="s">
        <v>15244</v>
      </c>
      <c r="E1305" s="15">
        <v>8373.4</v>
      </c>
      <c r="F1305" s="274">
        <v>42934</v>
      </c>
      <c r="G1305" s="15">
        <v>8373.4</v>
      </c>
      <c r="H1305" s="15">
        <f>Tabla1[[#This Row],[Importe]]-Tabla1[[#This Row],[Pagado]]</f>
        <v>0</v>
      </c>
      <c r="I1305" s="275" t="s">
        <v>15214</v>
      </c>
    </row>
    <row r="1306" spans="1:9" x14ac:dyDescent="0.25">
      <c r="A1306" s="16">
        <v>42927</v>
      </c>
      <c r="B1306" s="273" t="s">
        <v>21159</v>
      </c>
      <c r="C1306">
        <v>119460</v>
      </c>
      <c r="D1306" s="236" t="s">
        <v>15242</v>
      </c>
      <c r="E1306" s="15">
        <v>5145</v>
      </c>
      <c r="F1306" s="274">
        <v>42927</v>
      </c>
      <c r="G1306" s="15">
        <v>5145</v>
      </c>
      <c r="H1306" s="15">
        <f>Tabla1[[#This Row],[Importe]]-Tabla1[[#This Row],[Pagado]]</f>
        <v>0</v>
      </c>
      <c r="I1306" s="275" t="s">
        <v>15214</v>
      </c>
    </row>
    <row r="1307" spans="1:9" x14ac:dyDescent="0.25">
      <c r="A1307" s="16">
        <v>42927</v>
      </c>
      <c r="B1307" s="273" t="s">
        <v>21160</v>
      </c>
      <c r="C1307">
        <v>119461</v>
      </c>
      <c r="D1307" s="236" t="s">
        <v>15858</v>
      </c>
      <c r="E1307" s="15">
        <v>3513.96</v>
      </c>
      <c r="F1307" s="274">
        <v>42927</v>
      </c>
      <c r="G1307" s="15">
        <v>3513.96</v>
      </c>
      <c r="H1307" s="15">
        <f>Tabla1[[#This Row],[Importe]]-Tabla1[[#This Row],[Pagado]]</f>
        <v>0</v>
      </c>
      <c r="I1307" s="275" t="s">
        <v>15214</v>
      </c>
    </row>
    <row r="1308" spans="1:9" x14ac:dyDescent="0.25">
      <c r="A1308" s="16">
        <v>42927</v>
      </c>
      <c r="B1308" s="273" t="s">
        <v>21161</v>
      </c>
      <c r="C1308">
        <v>119462</v>
      </c>
      <c r="D1308" s="236" t="s">
        <v>16171</v>
      </c>
      <c r="E1308" s="15">
        <v>1171.32</v>
      </c>
      <c r="F1308" s="274">
        <v>42927</v>
      </c>
      <c r="G1308" s="15">
        <v>1171.32</v>
      </c>
      <c r="H1308" s="15">
        <f>Tabla1[[#This Row],[Importe]]-Tabla1[[#This Row],[Pagado]]</f>
        <v>0</v>
      </c>
      <c r="I1308" s="275" t="s">
        <v>15214</v>
      </c>
    </row>
    <row r="1309" spans="1:9" ht="30" x14ac:dyDescent="0.25">
      <c r="A1309" s="16">
        <v>42927</v>
      </c>
      <c r="B1309" s="273" t="s">
        <v>21162</v>
      </c>
      <c r="C1309">
        <v>119463</v>
      </c>
      <c r="D1309" s="236" t="s">
        <v>15258</v>
      </c>
      <c r="E1309" s="15">
        <v>15993.4</v>
      </c>
      <c r="F1309" s="279" t="s">
        <v>21163</v>
      </c>
      <c r="G1309" s="133">
        <f>4000+11993.4</f>
        <v>15993.4</v>
      </c>
      <c r="H1309" s="241">
        <f>Tabla1[[#This Row],[Importe]]-Tabla1[[#This Row],[Pagado]]</f>
        <v>0</v>
      </c>
      <c r="I1309" s="275" t="s">
        <v>15214</v>
      </c>
    </row>
    <row r="1310" spans="1:9" x14ac:dyDescent="0.25">
      <c r="A1310" s="16">
        <v>42927</v>
      </c>
      <c r="B1310" s="273" t="s">
        <v>21164</v>
      </c>
      <c r="C1310">
        <v>119464</v>
      </c>
      <c r="D1310" s="236" t="s">
        <v>15541</v>
      </c>
      <c r="E1310" s="15">
        <v>604.79999999999995</v>
      </c>
      <c r="F1310" s="274">
        <v>42927</v>
      </c>
      <c r="G1310" s="15">
        <v>604.79999999999995</v>
      </c>
      <c r="H1310" s="15">
        <f>Tabla1[[#This Row],[Importe]]-Tabla1[[#This Row],[Pagado]]</f>
        <v>0</v>
      </c>
      <c r="I1310" s="275" t="s">
        <v>15214</v>
      </c>
    </row>
    <row r="1311" spans="1:9" x14ac:dyDescent="0.25">
      <c r="A1311" s="16">
        <v>42927</v>
      </c>
      <c r="B1311" s="273" t="s">
        <v>21165</v>
      </c>
      <c r="C1311">
        <v>119465</v>
      </c>
      <c r="D1311" s="236" t="s">
        <v>15668</v>
      </c>
      <c r="E1311" s="15">
        <v>20579</v>
      </c>
      <c r="F1311" s="274">
        <v>42928</v>
      </c>
      <c r="G1311" s="15">
        <v>20579</v>
      </c>
      <c r="H1311" s="15">
        <f>Tabla1[[#This Row],[Importe]]-Tabla1[[#This Row],[Pagado]]</f>
        <v>0</v>
      </c>
      <c r="I1311" s="275" t="s">
        <v>15214</v>
      </c>
    </row>
    <row r="1312" spans="1:9" x14ac:dyDescent="0.25">
      <c r="A1312" s="16">
        <v>42927</v>
      </c>
      <c r="B1312" s="273" t="s">
        <v>21166</v>
      </c>
      <c r="C1312">
        <v>119466</v>
      </c>
      <c r="D1312" s="236" t="s">
        <v>15336</v>
      </c>
      <c r="E1312" s="15">
        <v>1570.8</v>
      </c>
      <c r="F1312" s="274">
        <v>42927</v>
      </c>
      <c r="G1312" s="15">
        <v>1570.8</v>
      </c>
      <c r="H1312" s="15">
        <f>Tabla1[[#This Row],[Importe]]-Tabla1[[#This Row],[Pagado]]</f>
        <v>0</v>
      </c>
      <c r="I1312" s="275" t="s">
        <v>15214</v>
      </c>
    </row>
    <row r="1313" spans="1:9" x14ac:dyDescent="0.25">
      <c r="A1313" s="16">
        <v>42927</v>
      </c>
      <c r="B1313" s="273" t="s">
        <v>21167</v>
      </c>
      <c r="C1313">
        <v>119467</v>
      </c>
      <c r="D1313" s="236" t="s">
        <v>15350</v>
      </c>
      <c r="E1313" s="15">
        <v>795</v>
      </c>
      <c r="F1313" s="274">
        <v>42927</v>
      </c>
      <c r="G1313" s="15">
        <v>795</v>
      </c>
      <c r="H1313" s="15">
        <f>Tabla1[[#This Row],[Importe]]-Tabla1[[#This Row],[Pagado]]</f>
        <v>0</v>
      </c>
      <c r="I1313" s="275" t="s">
        <v>15214</v>
      </c>
    </row>
    <row r="1314" spans="1:9" x14ac:dyDescent="0.25">
      <c r="A1314" s="16">
        <v>42927</v>
      </c>
      <c r="B1314" s="273" t="s">
        <v>21168</v>
      </c>
      <c r="C1314">
        <v>119468</v>
      </c>
      <c r="D1314" s="236" t="s">
        <v>15344</v>
      </c>
      <c r="E1314" s="15">
        <v>2382.6</v>
      </c>
      <c r="F1314" s="274">
        <v>42927</v>
      </c>
      <c r="G1314" s="15">
        <v>2382.6</v>
      </c>
      <c r="H1314" s="15">
        <f>Tabla1[[#This Row],[Importe]]-Tabla1[[#This Row],[Pagado]]</f>
        <v>0</v>
      </c>
      <c r="I1314" s="275" t="s">
        <v>15214</v>
      </c>
    </row>
    <row r="1315" spans="1:9" x14ac:dyDescent="0.25">
      <c r="A1315" s="16">
        <v>42927</v>
      </c>
      <c r="B1315" s="273" t="s">
        <v>21169</v>
      </c>
      <c r="C1315">
        <v>119469</v>
      </c>
      <c r="D1315" s="236" t="s">
        <v>15358</v>
      </c>
      <c r="E1315" s="15">
        <v>1884.6</v>
      </c>
      <c r="F1315" s="274">
        <v>42927</v>
      </c>
      <c r="G1315" s="15">
        <v>1884.6</v>
      </c>
      <c r="H1315" s="15">
        <f>Tabla1[[#This Row],[Importe]]-Tabla1[[#This Row],[Pagado]]</f>
        <v>0</v>
      </c>
      <c r="I1315" s="275" t="s">
        <v>15214</v>
      </c>
    </row>
    <row r="1316" spans="1:9" ht="15.75" x14ac:dyDescent="0.25">
      <c r="A1316" s="16">
        <v>42927</v>
      </c>
      <c r="B1316" s="273" t="s">
        <v>21170</v>
      </c>
      <c r="C1316">
        <v>119470</v>
      </c>
      <c r="D1316" s="248" t="s">
        <v>95</v>
      </c>
      <c r="E1316" s="15">
        <v>0</v>
      </c>
      <c r="F1316" s="277" t="s">
        <v>95</v>
      </c>
      <c r="G1316" s="15">
        <v>0</v>
      </c>
      <c r="H1316" s="15">
        <f>Tabla1[[#This Row],[Importe]]-Tabla1[[#This Row],[Pagado]]</f>
        <v>0</v>
      </c>
      <c r="I1316" s="275" t="s">
        <v>95</v>
      </c>
    </row>
    <row r="1317" spans="1:9" x14ac:dyDescent="0.25">
      <c r="A1317" s="16">
        <v>42927</v>
      </c>
      <c r="B1317" s="273" t="s">
        <v>21171</v>
      </c>
      <c r="C1317">
        <v>119471</v>
      </c>
      <c r="D1317" s="236" t="s">
        <v>15334</v>
      </c>
      <c r="E1317" s="15">
        <v>1180</v>
      </c>
      <c r="F1317" s="274">
        <v>42927</v>
      </c>
      <c r="G1317" s="15">
        <v>1180</v>
      </c>
      <c r="H1317" s="15">
        <f>Tabla1[[#This Row],[Importe]]-Tabla1[[#This Row],[Pagado]]</f>
        <v>0</v>
      </c>
      <c r="I1317" s="275" t="s">
        <v>15214</v>
      </c>
    </row>
    <row r="1318" spans="1:9" x14ac:dyDescent="0.25">
      <c r="A1318" s="16">
        <v>42927</v>
      </c>
      <c r="B1318" s="273" t="s">
        <v>21172</v>
      </c>
      <c r="C1318">
        <v>119472</v>
      </c>
      <c r="D1318" s="236" t="s">
        <v>15438</v>
      </c>
      <c r="E1318" s="15">
        <v>1784.4</v>
      </c>
      <c r="F1318" s="274">
        <v>42927</v>
      </c>
      <c r="G1318" s="15">
        <v>1784.4</v>
      </c>
      <c r="H1318" s="15">
        <f>Tabla1[[#This Row],[Importe]]-Tabla1[[#This Row],[Pagado]]</f>
        <v>0</v>
      </c>
      <c r="I1318" s="275" t="s">
        <v>15214</v>
      </c>
    </row>
    <row r="1319" spans="1:9" x14ac:dyDescent="0.25">
      <c r="A1319" s="16">
        <v>42927</v>
      </c>
      <c r="B1319" s="273" t="s">
        <v>21173</v>
      </c>
      <c r="C1319">
        <v>119473</v>
      </c>
      <c r="D1319" s="236" t="s">
        <v>15358</v>
      </c>
      <c r="E1319" s="15">
        <v>1085.4000000000001</v>
      </c>
      <c r="F1319" s="274">
        <v>42927</v>
      </c>
      <c r="G1319" s="15">
        <v>1085.4000000000001</v>
      </c>
      <c r="H1319" s="15">
        <f>Tabla1[[#This Row],[Importe]]-Tabla1[[#This Row],[Pagado]]</f>
        <v>0</v>
      </c>
      <c r="I1319" s="275" t="s">
        <v>15214</v>
      </c>
    </row>
    <row r="1320" spans="1:9" x14ac:dyDescent="0.25">
      <c r="A1320" s="16">
        <v>42927</v>
      </c>
      <c r="B1320" s="273" t="s">
        <v>21174</v>
      </c>
      <c r="C1320">
        <v>119474</v>
      </c>
      <c r="D1320" s="236" t="s">
        <v>15742</v>
      </c>
      <c r="E1320" s="15">
        <v>1719.2</v>
      </c>
      <c r="F1320" s="274">
        <v>42927</v>
      </c>
      <c r="G1320" s="15">
        <v>1719.2</v>
      </c>
      <c r="H1320" s="15">
        <f>Tabla1[[#This Row],[Importe]]-Tabla1[[#This Row],[Pagado]]</f>
        <v>0</v>
      </c>
      <c r="I1320" s="275" t="s">
        <v>15214</v>
      </c>
    </row>
    <row r="1321" spans="1:9" x14ac:dyDescent="0.25">
      <c r="A1321" s="16">
        <v>42927</v>
      </c>
      <c r="B1321" s="273" t="s">
        <v>21175</v>
      </c>
      <c r="C1321">
        <v>119475</v>
      </c>
      <c r="D1321" s="236" t="s">
        <v>15238</v>
      </c>
      <c r="E1321" s="15">
        <v>6233.8</v>
      </c>
      <c r="F1321" s="274">
        <v>42929</v>
      </c>
      <c r="G1321" s="15">
        <v>6233.8</v>
      </c>
      <c r="H1321" s="15">
        <f>Tabla1[[#This Row],[Importe]]-Tabla1[[#This Row],[Pagado]]</f>
        <v>0</v>
      </c>
      <c r="I1321" s="275" t="s">
        <v>15214</v>
      </c>
    </row>
    <row r="1322" spans="1:9" ht="30" x14ac:dyDescent="0.25">
      <c r="A1322" s="16">
        <v>42927</v>
      </c>
      <c r="B1322" s="273" t="s">
        <v>21176</v>
      </c>
      <c r="C1322">
        <v>119476</v>
      </c>
      <c r="D1322" s="236" t="s">
        <v>15256</v>
      </c>
      <c r="E1322" s="15">
        <v>7347.6</v>
      </c>
      <c r="F1322" s="274" t="s">
        <v>21177</v>
      </c>
      <c r="G1322" s="241">
        <f>5900+1447.6</f>
        <v>7347.6</v>
      </c>
      <c r="H1322" s="241">
        <f>Tabla1[[#This Row],[Importe]]-Tabla1[[#This Row],[Pagado]]</f>
        <v>0</v>
      </c>
      <c r="I1322" s="275" t="s">
        <v>15214</v>
      </c>
    </row>
    <row r="1323" spans="1:9" x14ac:dyDescent="0.25">
      <c r="A1323" s="16">
        <v>42927</v>
      </c>
      <c r="B1323" s="273" t="s">
        <v>21178</v>
      </c>
      <c r="C1323">
        <v>119477</v>
      </c>
      <c r="D1323" s="236" t="s">
        <v>15861</v>
      </c>
      <c r="E1323" s="15">
        <v>1366.2</v>
      </c>
      <c r="F1323" s="274">
        <v>42927</v>
      </c>
      <c r="G1323" s="15">
        <v>1366.2</v>
      </c>
      <c r="H1323" s="15">
        <f>Tabla1[[#This Row],[Importe]]-Tabla1[[#This Row],[Pagado]]</f>
        <v>0</v>
      </c>
      <c r="I1323" s="275" t="s">
        <v>15214</v>
      </c>
    </row>
    <row r="1324" spans="1:9" x14ac:dyDescent="0.25">
      <c r="A1324" s="16">
        <v>42927</v>
      </c>
      <c r="B1324" s="273" t="s">
        <v>21179</v>
      </c>
      <c r="C1324">
        <v>119478</v>
      </c>
      <c r="D1324" s="236" t="s">
        <v>15261</v>
      </c>
      <c r="E1324" s="15">
        <v>18623.22</v>
      </c>
      <c r="F1324" s="274">
        <v>42927</v>
      </c>
      <c r="G1324" s="15">
        <v>18623.22</v>
      </c>
      <c r="H1324" s="15">
        <f>Tabla1[[#This Row],[Importe]]-Tabla1[[#This Row],[Pagado]]</f>
        <v>0</v>
      </c>
      <c r="I1324" s="275" t="s">
        <v>15214</v>
      </c>
    </row>
    <row r="1325" spans="1:9" x14ac:dyDescent="0.25">
      <c r="A1325" s="16">
        <v>42927</v>
      </c>
      <c r="B1325" s="273" t="s">
        <v>21180</v>
      </c>
      <c r="C1325">
        <v>119479</v>
      </c>
      <c r="D1325" s="236" t="s">
        <v>18544</v>
      </c>
      <c r="E1325" s="15">
        <v>5458.8</v>
      </c>
      <c r="F1325" s="274">
        <v>42927</v>
      </c>
      <c r="G1325" s="15">
        <v>5458.8</v>
      </c>
      <c r="H1325" s="15">
        <f>Tabla1[[#This Row],[Importe]]-Tabla1[[#This Row],[Pagado]]</f>
        <v>0</v>
      </c>
      <c r="I1325" s="275" t="s">
        <v>15214</v>
      </c>
    </row>
    <row r="1326" spans="1:9" x14ac:dyDescent="0.25">
      <c r="A1326" s="16">
        <v>42927</v>
      </c>
      <c r="B1326" s="273" t="s">
        <v>21181</v>
      </c>
      <c r="C1326">
        <v>119480</v>
      </c>
      <c r="D1326" s="236" t="s">
        <v>15248</v>
      </c>
      <c r="E1326" s="15">
        <v>37260.800000000003</v>
      </c>
      <c r="F1326" s="274">
        <v>42927</v>
      </c>
      <c r="G1326" s="15">
        <v>37260.800000000003</v>
      </c>
      <c r="H1326" s="15">
        <f>Tabla1[[#This Row],[Importe]]-Tabla1[[#This Row],[Pagado]]</f>
        <v>0</v>
      </c>
      <c r="I1326" s="275" t="s">
        <v>15214</v>
      </c>
    </row>
    <row r="1327" spans="1:9" x14ac:dyDescent="0.25">
      <c r="A1327" s="16">
        <v>42927</v>
      </c>
      <c r="B1327" s="273" t="s">
        <v>21182</v>
      </c>
      <c r="C1327">
        <v>119481</v>
      </c>
      <c r="D1327" s="236" t="s">
        <v>15324</v>
      </c>
      <c r="E1327" s="15">
        <v>2562</v>
      </c>
      <c r="F1327" s="274">
        <v>42927</v>
      </c>
      <c r="G1327" s="15">
        <v>2562</v>
      </c>
      <c r="H1327" s="15">
        <f>Tabla1[[#This Row],[Importe]]-Tabla1[[#This Row],[Pagado]]</f>
        <v>0</v>
      </c>
      <c r="I1327" s="275" t="s">
        <v>15214</v>
      </c>
    </row>
    <row r="1328" spans="1:9" x14ac:dyDescent="0.25">
      <c r="A1328" s="16">
        <v>42927</v>
      </c>
      <c r="B1328" s="273" t="s">
        <v>21183</v>
      </c>
      <c r="C1328">
        <v>119482</v>
      </c>
      <c r="D1328" s="236" t="s">
        <v>15315</v>
      </c>
      <c r="E1328" s="15">
        <v>219</v>
      </c>
      <c r="F1328" s="274">
        <v>42927</v>
      </c>
      <c r="G1328" s="15">
        <v>219</v>
      </c>
      <c r="H1328" s="15">
        <f>Tabla1[[#This Row],[Importe]]-Tabla1[[#This Row],[Pagado]]</f>
        <v>0</v>
      </c>
      <c r="I1328" s="275" t="s">
        <v>15214</v>
      </c>
    </row>
    <row r="1329" spans="1:9" x14ac:dyDescent="0.25">
      <c r="A1329" s="16">
        <v>42927</v>
      </c>
      <c r="B1329" s="273" t="s">
        <v>21184</v>
      </c>
      <c r="C1329">
        <v>119483</v>
      </c>
      <c r="D1329" s="236" t="s">
        <v>15280</v>
      </c>
      <c r="E1329" s="15">
        <v>5077.8</v>
      </c>
      <c r="F1329" s="274">
        <v>42927</v>
      </c>
      <c r="G1329" s="15">
        <v>5077.8</v>
      </c>
      <c r="H1329" s="15">
        <f>Tabla1[[#This Row],[Importe]]-Tabla1[[#This Row],[Pagado]]</f>
        <v>0</v>
      </c>
      <c r="I1329" s="275" t="s">
        <v>15214</v>
      </c>
    </row>
    <row r="1330" spans="1:9" x14ac:dyDescent="0.25">
      <c r="A1330" s="16">
        <v>42927</v>
      </c>
      <c r="B1330" s="273" t="s">
        <v>21185</v>
      </c>
      <c r="C1330">
        <v>119484</v>
      </c>
      <c r="D1330" s="236" t="s">
        <v>15530</v>
      </c>
      <c r="E1330" s="15">
        <v>408.5</v>
      </c>
      <c r="F1330" s="274">
        <v>42927</v>
      </c>
      <c r="G1330" s="15">
        <v>408.5</v>
      </c>
      <c r="H1330" s="15">
        <f>Tabla1[[#This Row],[Importe]]-Tabla1[[#This Row],[Pagado]]</f>
        <v>0</v>
      </c>
      <c r="I1330" s="275" t="s">
        <v>15214</v>
      </c>
    </row>
    <row r="1331" spans="1:9" x14ac:dyDescent="0.25">
      <c r="A1331" s="16">
        <v>42927</v>
      </c>
      <c r="B1331" s="273" t="s">
        <v>21186</v>
      </c>
      <c r="C1331">
        <v>119485</v>
      </c>
      <c r="D1331" s="236" t="s">
        <v>21088</v>
      </c>
      <c r="E1331" s="15">
        <v>4091.7</v>
      </c>
      <c r="F1331" s="274">
        <v>42927</v>
      </c>
      <c r="G1331" s="15">
        <v>4091.7</v>
      </c>
      <c r="H1331" s="15">
        <f>Tabla1[[#This Row],[Importe]]-Tabla1[[#This Row],[Pagado]]</f>
        <v>0</v>
      </c>
      <c r="I1331" s="275" t="s">
        <v>15214</v>
      </c>
    </row>
    <row r="1332" spans="1:9" x14ac:dyDescent="0.25">
      <c r="A1332" s="16">
        <v>42927</v>
      </c>
      <c r="B1332" s="273" t="s">
        <v>21187</v>
      </c>
      <c r="C1332">
        <v>119486</v>
      </c>
      <c r="D1332" s="236" t="s">
        <v>15391</v>
      </c>
      <c r="E1332" s="15">
        <v>9389</v>
      </c>
      <c r="F1332" s="274">
        <v>42929</v>
      </c>
      <c r="G1332" s="15">
        <v>9389</v>
      </c>
      <c r="H1332" s="15">
        <f>Tabla1[[#This Row],[Importe]]-Tabla1[[#This Row],[Pagado]]</f>
        <v>0</v>
      </c>
      <c r="I1332" s="275" t="s">
        <v>15214</v>
      </c>
    </row>
    <row r="1333" spans="1:9" x14ac:dyDescent="0.25">
      <c r="A1333" s="16">
        <v>42927</v>
      </c>
      <c r="B1333" s="273" t="s">
        <v>21188</v>
      </c>
      <c r="C1333">
        <v>119487</v>
      </c>
      <c r="D1333" s="236" t="s">
        <v>19697</v>
      </c>
      <c r="E1333" s="15">
        <v>1074</v>
      </c>
      <c r="F1333" s="274">
        <v>42927</v>
      </c>
      <c r="G1333" s="15">
        <v>1074</v>
      </c>
      <c r="H1333" s="15">
        <f>Tabla1[[#This Row],[Importe]]-Tabla1[[#This Row],[Pagado]]</f>
        <v>0</v>
      </c>
      <c r="I1333" s="275" t="s">
        <v>15214</v>
      </c>
    </row>
    <row r="1334" spans="1:9" x14ac:dyDescent="0.25">
      <c r="A1334" s="16">
        <v>42927</v>
      </c>
      <c r="B1334" s="273" t="s">
        <v>21189</v>
      </c>
      <c r="C1334">
        <v>119488</v>
      </c>
      <c r="D1334" s="236" t="s">
        <v>15361</v>
      </c>
      <c r="E1334" s="15">
        <v>9428</v>
      </c>
      <c r="F1334" s="274">
        <v>42927</v>
      </c>
      <c r="G1334" s="15">
        <v>9428</v>
      </c>
      <c r="H1334" s="15">
        <f>Tabla1[[#This Row],[Importe]]-Tabla1[[#This Row],[Pagado]]</f>
        <v>0</v>
      </c>
      <c r="I1334" s="275" t="s">
        <v>15214</v>
      </c>
    </row>
    <row r="1335" spans="1:9" x14ac:dyDescent="0.25">
      <c r="A1335" s="16">
        <v>42927</v>
      </c>
      <c r="B1335" s="273" t="s">
        <v>21190</v>
      </c>
      <c r="C1335">
        <v>119489</v>
      </c>
      <c r="D1335" s="236" t="s">
        <v>15378</v>
      </c>
      <c r="E1335" s="15">
        <v>664.6</v>
      </c>
      <c r="F1335" s="274">
        <v>42927</v>
      </c>
      <c r="G1335" s="15">
        <v>664.6</v>
      </c>
      <c r="H1335" s="15">
        <f>Tabla1[[#This Row],[Importe]]-Tabla1[[#This Row],[Pagado]]</f>
        <v>0</v>
      </c>
      <c r="I1335" s="275" t="s">
        <v>15214</v>
      </c>
    </row>
    <row r="1336" spans="1:9" x14ac:dyDescent="0.25">
      <c r="A1336" s="16">
        <v>42927</v>
      </c>
      <c r="B1336" s="273" t="s">
        <v>21191</v>
      </c>
      <c r="C1336">
        <v>119490</v>
      </c>
      <c r="D1336" s="236" t="s">
        <v>15315</v>
      </c>
      <c r="E1336" s="15">
        <v>1203.8</v>
      </c>
      <c r="F1336" s="274">
        <v>42927</v>
      </c>
      <c r="G1336" s="15">
        <v>1203.8</v>
      </c>
      <c r="H1336" s="15">
        <f>Tabla1[[#This Row],[Importe]]-Tabla1[[#This Row],[Pagado]]</f>
        <v>0</v>
      </c>
      <c r="I1336" s="275" t="s">
        <v>15214</v>
      </c>
    </row>
    <row r="1337" spans="1:9" x14ac:dyDescent="0.25">
      <c r="A1337" s="16">
        <v>42927</v>
      </c>
      <c r="B1337" s="273" t="s">
        <v>21192</v>
      </c>
      <c r="C1337">
        <v>119491</v>
      </c>
      <c r="D1337" s="236" t="s">
        <v>15594</v>
      </c>
      <c r="E1337" s="15">
        <v>2085.1999999999998</v>
      </c>
      <c r="F1337" s="274">
        <v>42936</v>
      </c>
      <c r="G1337" s="15">
        <v>2085.1999999999998</v>
      </c>
      <c r="H1337" s="15">
        <f>Tabla1[[#This Row],[Importe]]-Tabla1[[#This Row],[Pagado]]</f>
        <v>0</v>
      </c>
      <c r="I1337" s="275" t="s">
        <v>15214</v>
      </c>
    </row>
    <row r="1338" spans="1:9" x14ac:dyDescent="0.25">
      <c r="A1338" s="16">
        <v>42927</v>
      </c>
      <c r="B1338" s="273" t="s">
        <v>21193</v>
      </c>
      <c r="C1338">
        <v>119492</v>
      </c>
      <c r="D1338" s="236" t="s">
        <v>15696</v>
      </c>
      <c r="E1338" s="15">
        <v>6862.8</v>
      </c>
      <c r="F1338" s="274">
        <v>42927</v>
      </c>
      <c r="G1338" s="15">
        <v>6862.8</v>
      </c>
      <c r="H1338" s="15">
        <f>Tabla1[[#This Row],[Importe]]-Tabla1[[#This Row],[Pagado]]</f>
        <v>0</v>
      </c>
      <c r="I1338" s="275" t="s">
        <v>15214</v>
      </c>
    </row>
    <row r="1339" spans="1:9" x14ac:dyDescent="0.25">
      <c r="A1339" s="16">
        <v>42927</v>
      </c>
      <c r="B1339" s="273" t="s">
        <v>21194</v>
      </c>
      <c r="C1339">
        <v>119493</v>
      </c>
      <c r="D1339" s="236" t="s">
        <v>15581</v>
      </c>
      <c r="E1339" s="15">
        <v>7779.1</v>
      </c>
      <c r="F1339" s="274">
        <v>42933</v>
      </c>
      <c r="G1339" s="15">
        <v>7779.1</v>
      </c>
      <c r="H1339" s="15">
        <f>Tabla1[[#This Row],[Importe]]-Tabla1[[#This Row],[Pagado]]</f>
        <v>0</v>
      </c>
      <c r="I1339" s="275" t="s">
        <v>15214</v>
      </c>
    </row>
    <row r="1340" spans="1:9" x14ac:dyDescent="0.25">
      <c r="A1340" s="16">
        <v>42927</v>
      </c>
      <c r="B1340" s="273" t="s">
        <v>21195</v>
      </c>
      <c r="C1340">
        <v>119494</v>
      </c>
      <c r="D1340" s="236" t="s">
        <v>19768</v>
      </c>
      <c r="E1340" s="15">
        <v>1650</v>
      </c>
      <c r="F1340" s="274">
        <v>42927</v>
      </c>
      <c r="G1340" s="15">
        <v>1650</v>
      </c>
      <c r="H1340" s="15">
        <f>Tabla1[[#This Row],[Importe]]-Tabla1[[#This Row],[Pagado]]</f>
        <v>0</v>
      </c>
      <c r="I1340" s="275" t="s">
        <v>15214</v>
      </c>
    </row>
    <row r="1341" spans="1:9" x14ac:dyDescent="0.25">
      <c r="A1341" s="16">
        <v>42927</v>
      </c>
      <c r="B1341" s="273" t="s">
        <v>21196</v>
      </c>
      <c r="C1341">
        <v>119495</v>
      </c>
      <c r="D1341" s="236" t="s">
        <v>15226</v>
      </c>
      <c r="E1341" s="15">
        <v>2036</v>
      </c>
      <c r="F1341" s="274">
        <v>42928</v>
      </c>
      <c r="G1341" s="15">
        <v>2036</v>
      </c>
      <c r="H1341" s="15">
        <f>Tabla1[[#This Row],[Importe]]-Tabla1[[#This Row],[Pagado]]</f>
        <v>0</v>
      </c>
      <c r="I1341" s="275" t="s">
        <v>15214</v>
      </c>
    </row>
    <row r="1342" spans="1:9" x14ac:dyDescent="0.25">
      <c r="A1342" s="16">
        <v>42927</v>
      </c>
      <c r="B1342" s="273" t="s">
        <v>21197</v>
      </c>
      <c r="C1342">
        <v>119496</v>
      </c>
      <c r="D1342" s="236" t="s">
        <v>15385</v>
      </c>
      <c r="E1342" s="15">
        <v>800.8</v>
      </c>
      <c r="F1342" s="274">
        <v>42927</v>
      </c>
      <c r="G1342" s="15">
        <v>800.8</v>
      </c>
      <c r="H1342" s="15">
        <f>Tabla1[[#This Row],[Importe]]-Tabla1[[#This Row],[Pagado]]</f>
        <v>0</v>
      </c>
      <c r="I1342" s="275" t="s">
        <v>15214</v>
      </c>
    </row>
    <row r="1343" spans="1:9" x14ac:dyDescent="0.25">
      <c r="A1343" s="16">
        <v>42927</v>
      </c>
      <c r="B1343" s="273" t="s">
        <v>21198</v>
      </c>
      <c r="C1343">
        <v>119497</v>
      </c>
      <c r="D1343" s="236" t="s">
        <v>15315</v>
      </c>
      <c r="E1343" s="15">
        <v>2665.6</v>
      </c>
      <c r="F1343" s="274">
        <v>42927</v>
      </c>
      <c r="G1343" s="15">
        <v>2665.6</v>
      </c>
      <c r="H1343" s="15">
        <f>Tabla1[[#This Row],[Importe]]-Tabla1[[#This Row],[Pagado]]</f>
        <v>0</v>
      </c>
      <c r="I1343" s="275" t="s">
        <v>15214</v>
      </c>
    </row>
    <row r="1344" spans="1:9" x14ac:dyDescent="0.25">
      <c r="A1344" s="16">
        <v>42927</v>
      </c>
      <c r="B1344" s="273" t="s">
        <v>21199</v>
      </c>
      <c r="C1344">
        <v>119498</v>
      </c>
      <c r="D1344" s="236" t="s">
        <v>15577</v>
      </c>
      <c r="E1344" s="15">
        <v>448.8</v>
      </c>
      <c r="F1344" s="274">
        <v>42927</v>
      </c>
      <c r="G1344" s="15">
        <v>448.8</v>
      </c>
      <c r="H1344" s="15">
        <f>Tabla1[[#This Row],[Importe]]-Tabla1[[#This Row],[Pagado]]</f>
        <v>0</v>
      </c>
      <c r="I1344" s="275" t="s">
        <v>15214</v>
      </c>
    </row>
    <row r="1345" spans="1:9" x14ac:dyDescent="0.25">
      <c r="A1345" s="16">
        <v>42927</v>
      </c>
      <c r="B1345" s="273" t="s">
        <v>21200</v>
      </c>
      <c r="C1345">
        <v>119499</v>
      </c>
      <c r="D1345" s="236" t="s">
        <v>15590</v>
      </c>
      <c r="E1345" s="15">
        <v>22141</v>
      </c>
      <c r="F1345" s="274">
        <v>42928</v>
      </c>
      <c r="G1345" s="15">
        <v>22141</v>
      </c>
      <c r="H1345" s="15">
        <f>Tabla1[[#This Row],[Importe]]-Tabla1[[#This Row],[Pagado]]</f>
        <v>0</v>
      </c>
      <c r="I1345" s="275" t="s">
        <v>15214</v>
      </c>
    </row>
    <row r="1346" spans="1:9" x14ac:dyDescent="0.25">
      <c r="A1346" s="16">
        <v>42927</v>
      </c>
      <c r="B1346" s="273" t="s">
        <v>21201</v>
      </c>
      <c r="C1346">
        <v>119500</v>
      </c>
      <c r="D1346" s="236" t="s">
        <v>15296</v>
      </c>
      <c r="E1346" s="15">
        <v>38320</v>
      </c>
      <c r="F1346" s="274">
        <v>42936</v>
      </c>
      <c r="G1346" s="15">
        <v>38320</v>
      </c>
      <c r="H1346" s="15">
        <f>Tabla1[[#This Row],[Importe]]-Tabla1[[#This Row],[Pagado]]</f>
        <v>0</v>
      </c>
      <c r="I1346" s="275" t="s">
        <v>15214</v>
      </c>
    </row>
    <row r="1347" spans="1:9" x14ac:dyDescent="0.25">
      <c r="A1347" s="16">
        <v>42927</v>
      </c>
      <c r="B1347" s="273" t="s">
        <v>21202</v>
      </c>
      <c r="C1347">
        <v>119501</v>
      </c>
      <c r="D1347" s="236" t="s">
        <v>15539</v>
      </c>
      <c r="E1347" s="15">
        <v>18502.900000000001</v>
      </c>
      <c r="F1347" s="274">
        <v>42930</v>
      </c>
      <c r="G1347" s="15">
        <v>18502.900000000001</v>
      </c>
      <c r="H1347" s="15">
        <f>Tabla1[[#This Row],[Importe]]-Tabla1[[#This Row],[Pagado]]</f>
        <v>0</v>
      </c>
      <c r="I1347" s="275" t="s">
        <v>15214</v>
      </c>
    </row>
    <row r="1348" spans="1:9" x14ac:dyDescent="0.25">
      <c r="A1348" s="16">
        <v>42927</v>
      </c>
      <c r="B1348" s="273" t="s">
        <v>21203</v>
      </c>
      <c r="C1348">
        <v>119502</v>
      </c>
      <c r="D1348" s="236" t="s">
        <v>15559</v>
      </c>
      <c r="E1348" s="15">
        <v>12297.9</v>
      </c>
      <c r="F1348" s="274">
        <v>42928</v>
      </c>
      <c r="G1348" s="15">
        <v>12297.9</v>
      </c>
      <c r="H1348" s="15">
        <f>Tabla1[[#This Row],[Importe]]-Tabla1[[#This Row],[Pagado]]</f>
        <v>0</v>
      </c>
      <c r="I1348" s="275" t="s">
        <v>15214</v>
      </c>
    </row>
    <row r="1349" spans="1:9" x14ac:dyDescent="0.25">
      <c r="A1349" s="16">
        <v>42927</v>
      </c>
      <c r="B1349" s="273" t="s">
        <v>21204</v>
      </c>
      <c r="C1349">
        <v>119503</v>
      </c>
      <c r="D1349" s="236" t="s">
        <v>15398</v>
      </c>
      <c r="E1349" s="15">
        <v>3830.35</v>
      </c>
      <c r="F1349" s="274">
        <v>42927</v>
      </c>
      <c r="G1349" s="15">
        <v>3830.35</v>
      </c>
      <c r="H1349" s="15">
        <f>Tabla1[[#This Row],[Importe]]-Tabla1[[#This Row],[Pagado]]</f>
        <v>0</v>
      </c>
      <c r="I1349" s="275" t="s">
        <v>15214</v>
      </c>
    </row>
    <row r="1350" spans="1:9" x14ac:dyDescent="0.25">
      <c r="A1350" s="16">
        <v>42927</v>
      </c>
      <c r="B1350" s="273" t="s">
        <v>21205</v>
      </c>
      <c r="C1350">
        <v>119504</v>
      </c>
      <c r="D1350" s="236" t="s">
        <v>15315</v>
      </c>
      <c r="E1350" s="15">
        <v>10922</v>
      </c>
      <c r="F1350" s="274">
        <v>42928</v>
      </c>
      <c r="G1350" s="15">
        <v>10922</v>
      </c>
      <c r="H1350" s="15">
        <f>Tabla1[[#This Row],[Importe]]-Tabla1[[#This Row],[Pagado]]</f>
        <v>0</v>
      </c>
      <c r="I1350" s="275" t="s">
        <v>15214</v>
      </c>
    </row>
    <row r="1351" spans="1:9" x14ac:dyDescent="0.25">
      <c r="A1351" s="16">
        <v>42927</v>
      </c>
      <c r="B1351" s="273" t="s">
        <v>21206</v>
      </c>
      <c r="C1351">
        <v>119505</v>
      </c>
      <c r="D1351" s="236" t="s">
        <v>15537</v>
      </c>
      <c r="E1351" s="15">
        <v>19577.5</v>
      </c>
      <c r="F1351" s="274">
        <v>42930</v>
      </c>
      <c r="G1351" s="15">
        <v>19577.5</v>
      </c>
      <c r="H1351" s="15">
        <f>Tabla1[[#This Row],[Importe]]-Tabla1[[#This Row],[Pagado]]</f>
        <v>0</v>
      </c>
      <c r="I1351" s="275" t="s">
        <v>15214</v>
      </c>
    </row>
    <row r="1352" spans="1:9" x14ac:dyDescent="0.25">
      <c r="A1352" s="16">
        <v>42927</v>
      </c>
      <c r="B1352" s="273" t="s">
        <v>21207</v>
      </c>
      <c r="C1352">
        <v>119506</v>
      </c>
      <c r="D1352" s="236" t="s">
        <v>15315</v>
      </c>
      <c r="E1352" s="15">
        <v>2967</v>
      </c>
      <c r="F1352" s="274">
        <v>42935</v>
      </c>
      <c r="G1352" s="15">
        <v>2967</v>
      </c>
      <c r="H1352" s="15">
        <f>Tabla1[[#This Row],[Importe]]-Tabla1[[#This Row],[Pagado]]</f>
        <v>0</v>
      </c>
      <c r="I1352" s="275" t="s">
        <v>15214</v>
      </c>
    </row>
    <row r="1353" spans="1:9" x14ac:dyDescent="0.25">
      <c r="A1353" s="16">
        <v>42927</v>
      </c>
      <c r="B1353" s="273" t="s">
        <v>21208</v>
      </c>
      <c r="C1353">
        <v>119507</v>
      </c>
      <c r="D1353" s="236" t="s">
        <v>16040</v>
      </c>
      <c r="E1353" s="15">
        <v>4870.3</v>
      </c>
      <c r="F1353" s="274">
        <v>42930</v>
      </c>
      <c r="G1353" s="15">
        <v>4870.3</v>
      </c>
      <c r="H1353" s="15">
        <f>Tabla1[[#This Row],[Importe]]-Tabla1[[#This Row],[Pagado]]</f>
        <v>0</v>
      </c>
      <c r="I1353" s="275" t="s">
        <v>15214</v>
      </c>
    </row>
    <row r="1354" spans="1:9" x14ac:dyDescent="0.25">
      <c r="A1354" s="16">
        <v>42927</v>
      </c>
      <c r="B1354" s="273" t="s">
        <v>21209</v>
      </c>
      <c r="C1354">
        <v>119508</v>
      </c>
      <c r="D1354" s="236" t="s">
        <v>15544</v>
      </c>
      <c r="E1354" s="15">
        <v>3256.6</v>
      </c>
      <c r="F1354" s="274">
        <v>42930</v>
      </c>
      <c r="G1354" s="15">
        <v>3256.6</v>
      </c>
      <c r="H1354" s="15">
        <f>Tabla1[[#This Row],[Importe]]-Tabla1[[#This Row],[Pagado]]</f>
        <v>0</v>
      </c>
      <c r="I1354" s="275" t="s">
        <v>15214</v>
      </c>
    </row>
    <row r="1355" spans="1:9" ht="30" x14ac:dyDescent="0.25">
      <c r="A1355" s="16">
        <v>42927</v>
      </c>
      <c r="B1355" s="273" t="s">
        <v>21210</v>
      </c>
      <c r="C1355">
        <v>119509</v>
      </c>
      <c r="D1355" s="236" t="s">
        <v>15315</v>
      </c>
      <c r="E1355" s="15">
        <v>2015.4</v>
      </c>
      <c r="F1355" s="274" t="s">
        <v>20709</v>
      </c>
      <c r="G1355" s="241">
        <f>1740.4+275</f>
        <v>2015.4</v>
      </c>
      <c r="H1355" s="241">
        <f>Tabla1[[#This Row],[Importe]]-Tabla1[[#This Row],[Pagado]]</f>
        <v>0</v>
      </c>
      <c r="I1355" s="275" t="s">
        <v>15214</v>
      </c>
    </row>
    <row r="1356" spans="1:9" x14ac:dyDescent="0.25">
      <c r="A1356" s="16">
        <v>42927</v>
      </c>
      <c r="B1356" s="273" t="s">
        <v>21211</v>
      </c>
      <c r="C1356">
        <v>119510</v>
      </c>
      <c r="D1356" s="236" t="s">
        <v>16139</v>
      </c>
      <c r="E1356" s="15">
        <v>2543</v>
      </c>
      <c r="F1356" s="274">
        <v>42930</v>
      </c>
      <c r="G1356" s="15">
        <v>2543</v>
      </c>
      <c r="H1356" s="15">
        <f>Tabla1[[#This Row],[Importe]]-Tabla1[[#This Row],[Pagado]]</f>
        <v>0</v>
      </c>
      <c r="I1356" s="275" t="s">
        <v>15214</v>
      </c>
    </row>
    <row r="1357" spans="1:9" x14ac:dyDescent="0.25">
      <c r="A1357" s="16">
        <v>42927</v>
      </c>
      <c r="B1357" s="273" t="s">
        <v>21212</v>
      </c>
      <c r="C1357">
        <v>119511</v>
      </c>
      <c r="D1357" s="236" t="s">
        <v>15315</v>
      </c>
      <c r="E1357" s="15">
        <v>648</v>
      </c>
      <c r="F1357" s="274">
        <v>42930</v>
      </c>
      <c r="G1357" s="15">
        <v>648</v>
      </c>
      <c r="H1357" s="15">
        <f>Tabla1[[#This Row],[Importe]]-Tabla1[[#This Row],[Pagado]]</f>
        <v>0</v>
      </c>
      <c r="I1357" s="275" t="s">
        <v>15214</v>
      </c>
    </row>
    <row r="1358" spans="1:9" x14ac:dyDescent="0.25">
      <c r="A1358" s="16">
        <v>42927</v>
      </c>
      <c r="B1358" s="273" t="s">
        <v>21213</v>
      </c>
      <c r="C1358">
        <v>119512</v>
      </c>
      <c r="D1358" s="236" t="s">
        <v>15296</v>
      </c>
      <c r="E1358" s="15">
        <v>36704</v>
      </c>
      <c r="F1358" s="274">
        <v>42936</v>
      </c>
      <c r="G1358" s="15">
        <v>36704</v>
      </c>
      <c r="H1358" s="15">
        <f>Tabla1[[#This Row],[Importe]]-Tabla1[[#This Row],[Pagado]]</f>
        <v>0</v>
      </c>
      <c r="I1358" s="275" t="s">
        <v>15214</v>
      </c>
    </row>
    <row r="1359" spans="1:9" x14ac:dyDescent="0.25">
      <c r="A1359" s="16">
        <v>42927</v>
      </c>
      <c r="B1359" s="273" t="s">
        <v>21214</v>
      </c>
      <c r="C1359">
        <v>119513</v>
      </c>
      <c r="D1359" s="236" t="s">
        <v>15566</v>
      </c>
      <c r="E1359" s="15">
        <v>379.2</v>
      </c>
      <c r="F1359" s="274">
        <v>42927</v>
      </c>
      <c r="G1359" s="15">
        <v>379.2</v>
      </c>
      <c r="H1359" s="15">
        <f>Tabla1[[#This Row],[Importe]]-Tabla1[[#This Row],[Pagado]]</f>
        <v>0</v>
      </c>
      <c r="I1359" s="275" t="s">
        <v>15214</v>
      </c>
    </row>
    <row r="1360" spans="1:9" x14ac:dyDescent="0.25">
      <c r="A1360" s="16">
        <v>42927</v>
      </c>
      <c r="B1360" s="273" t="s">
        <v>21215</v>
      </c>
      <c r="C1360">
        <v>119514</v>
      </c>
      <c r="D1360" s="236" t="s">
        <v>15282</v>
      </c>
      <c r="E1360" s="15">
        <v>3297.6</v>
      </c>
      <c r="F1360" s="274">
        <v>42927</v>
      </c>
      <c r="G1360" s="15">
        <v>3297.6</v>
      </c>
      <c r="H1360" s="15">
        <f>Tabla1[[#This Row],[Importe]]-Tabla1[[#This Row],[Pagado]]</f>
        <v>0</v>
      </c>
      <c r="I1360" s="275" t="s">
        <v>15214</v>
      </c>
    </row>
    <row r="1361" spans="1:9" x14ac:dyDescent="0.25">
      <c r="A1361" s="16">
        <v>42927</v>
      </c>
      <c r="B1361" s="273" t="s">
        <v>21216</v>
      </c>
      <c r="C1361">
        <v>119515</v>
      </c>
      <c r="D1361" s="236" t="s">
        <v>15309</v>
      </c>
      <c r="E1361" s="15">
        <v>6648.6</v>
      </c>
      <c r="F1361" s="274">
        <v>42927</v>
      </c>
      <c r="G1361" s="15">
        <v>6648.6</v>
      </c>
      <c r="H1361" s="15">
        <f>Tabla1[[#This Row],[Importe]]-Tabla1[[#This Row],[Pagado]]</f>
        <v>0</v>
      </c>
      <c r="I1361" s="275" t="s">
        <v>15214</v>
      </c>
    </row>
    <row r="1362" spans="1:9" x14ac:dyDescent="0.25">
      <c r="A1362" s="16">
        <v>42927</v>
      </c>
      <c r="B1362" s="273" t="s">
        <v>21217</v>
      </c>
      <c r="C1362">
        <v>119516</v>
      </c>
      <c r="D1362" s="236" t="s">
        <v>15276</v>
      </c>
      <c r="E1362" s="15">
        <v>2750</v>
      </c>
      <c r="F1362" s="274">
        <v>42927</v>
      </c>
      <c r="G1362" s="15">
        <v>2750</v>
      </c>
      <c r="H1362" s="15">
        <f>Tabla1[[#This Row],[Importe]]-Tabla1[[#This Row],[Pagado]]</f>
        <v>0</v>
      </c>
      <c r="I1362" s="275" t="s">
        <v>15214</v>
      </c>
    </row>
    <row r="1363" spans="1:9" x14ac:dyDescent="0.25">
      <c r="A1363" s="16">
        <v>42927</v>
      </c>
      <c r="B1363" s="273" t="s">
        <v>21218</v>
      </c>
      <c r="C1363">
        <v>119517</v>
      </c>
      <c r="D1363" s="236" t="s">
        <v>15291</v>
      </c>
      <c r="E1363" s="15">
        <v>715</v>
      </c>
      <c r="F1363" s="274">
        <v>42927</v>
      </c>
      <c r="G1363" s="15">
        <v>715</v>
      </c>
      <c r="H1363" s="15">
        <f>Tabla1[[#This Row],[Importe]]-Tabla1[[#This Row],[Pagado]]</f>
        <v>0</v>
      </c>
      <c r="I1363" s="275" t="s">
        <v>15214</v>
      </c>
    </row>
    <row r="1364" spans="1:9" x14ac:dyDescent="0.25">
      <c r="A1364" s="16">
        <v>42927</v>
      </c>
      <c r="B1364" s="273" t="s">
        <v>21219</v>
      </c>
      <c r="C1364">
        <v>119518</v>
      </c>
      <c r="D1364" s="236" t="s">
        <v>15417</v>
      </c>
      <c r="E1364" s="15">
        <v>2187</v>
      </c>
      <c r="F1364" s="274">
        <v>42927</v>
      </c>
      <c r="G1364" s="15">
        <v>2187</v>
      </c>
      <c r="H1364" s="15">
        <f>Tabla1[[#This Row],[Importe]]-Tabla1[[#This Row],[Pagado]]</f>
        <v>0</v>
      </c>
      <c r="I1364" s="275" t="s">
        <v>15214</v>
      </c>
    </row>
    <row r="1365" spans="1:9" x14ac:dyDescent="0.25">
      <c r="A1365" s="16">
        <v>42927</v>
      </c>
      <c r="B1365" s="273" t="s">
        <v>21220</v>
      </c>
      <c r="C1365">
        <v>119519</v>
      </c>
      <c r="D1365" s="236" t="s">
        <v>15307</v>
      </c>
      <c r="E1365" s="15">
        <v>1918.4</v>
      </c>
      <c r="F1365" s="274">
        <v>42927</v>
      </c>
      <c r="G1365" s="15">
        <v>1918.4</v>
      </c>
      <c r="H1365" s="15">
        <f>Tabla1[[#This Row],[Importe]]-Tabla1[[#This Row],[Pagado]]</f>
        <v>0</v>
      </c>
      <c r="I1365" s="275" t="s">
        <v>15214</v>
      </c>
    </row>
    <row r="1366" spans="1:9" x14ac:dyDescent="0.25">
      <c r="A1366" s="16">
        <v>42927</v>
      </c>
      <c r="B1366" s="273" t="s">
        <v>21221</v>
      </c>
      <c r="C1366">
        <v>119520</v>
      </c>
      <c r="D1366" s="236" t="s">
        <v>18076</v>
      </c>
      <c r="E1366" s="15">
        <v>6624.3</v>
      </c>
      <c r="F1366" s="274">
        <v>42927</v>
      </c>
      <c r="G1366" s="15">
        <v>6624.3</v>
      </c>
      <c r="H1366" s="15">
        <f>Tabla1[[#This Row],[Importe]]-Tabla1[[#This Row],[Pagado]]</f>
        <v>0</v>
      </c>
      <c r="I1366" s="275" t="s">
        <v>15214</v>
      </c>
    </row>
    <row r="1367" spans="1:9" x14ac:dyDescent="0.25">
      <c r="A1367" s="16">
        <v>42927</v>
      </c>
      <c r="B1367" s="273" t="s">
        <v>21222</v>
      </c>
      <c r="C1367">
        <v>119521</v>
      </c>
      <c r="D1367" s="236" t="s">
        <v>15396</v>
      </c>
      <c r="E1367" s="15">
        <v>5469.8</v>
      </c>
      <c r="F1367" s="274">
        <v>42927</v>
      </c>
      <c r="G1367" s="15">
        <v>5469.8</v>
      </c>
      <c r="H1367" s="15">
        <f>Tabla1[[#This Row],[Importe]]-Tabla1[[#This Row],[Pagado]]</f>
        <v>0</v>
      </c>
      <c r="I1367" s="275" t="s">
        <v>15214</v>
      </c>
    </row>
    <row r="1368" spans="1:9" x14ac:dyDescent="0.25">
      <c r="A1368" s="16">
        <v>42927</v>
      </c>
      <c r="B1368" s="273" t="s">
        <v>21223</v>
      </c>
      <c r="C1368">
        <v>119522</v>
      </c>
      <c r="D1368" s="236" t="s">
        <v>19776</v>
      </c>
      <c r="E1368" s="15">
        <v>40500</v>
      </c>
      <c r="F1368" s="274">
        <v>42927</v>
      </c>
      <c r="G1368" s="15">
        <v>40500</v>
      </c>
      <c r="H1368" s="15">
        <f>Tabla1[[#This Row],[Importe]]-Tabla1[[#This Row],[Pagado]]</f>
        <v>0</v>
      </c>
      <c r="I1368" s="275" t="s">
        <v>15214</v>
      </c>
    </row>
    <row r="1369" spans="1:9" x14ac:dyDescent="0.25">
      <c r="A1369" s="16">
        <v>42927</v>
      </c>
      <c r="B1369" s="273" t="s">
        <v>21224</v>
      </c>
      <c r="C1369">
        <v>119523</v>
      </c>
      <c r="D1369" s="236" t="s">
        <v>15614</v>
      </c>
      <c r="E1369" s="15">
        <v>5843.3</v>
      </c>
      <c r="F1369" s="274">
        <v>42933</v>
      </c>
      <c r="G1369" s="15">
        <v>5843.3</v>
      </c>
      <c r="H1369" s="15">
        <f>Tabla1[[#This Row],[Importe]]-Tabla1[[#This Row],[Pagado]]</f>
        <v>0</v>
      </c>
      <c r="I1369" s="275" t="s">
        <v>15214</v>
      </c>
    </row>
    <row r="1370" spans="1:9" x14ac:dyDescent="0.25">
      <c r="A1370" s="16">
        <v>42927</v>
      </c>
      <c r="B1370" s="273" t="s">
        <v>21225</v>
      </c>
      <c r="C1370">
        <v>119524</v>
      </c>
      <c r="D1370" s="236" t="s">
        <v>15309</v>
      </c>
      <c r="E1370" s="15">
        <v>5033</v>
      </c>
      <c r="F1370" s="274">
        <v>42927</v>
      </c>
      <c r="G1370" s="15">
        <v>5033</v>
      </c>
      <c r="H1370" s="15">
        <f>Tabla1[[#This Row],[Importe]]-Tabla1[[#This Row],[Pagado]]</f>
        <v>0</v>
      </c>
      <c r="I1370" s="275" t="s">
        <v>15214</v>
      </c>
    </row>
    <row r="1371" spans="1:9" x14ac:dyDescent="0.25">
      <c r="A1371" s="16">
        <v>42927</v>
      </c>
      <c r="B1371" s="273" t="s">
        <v>21226</v>
      </c>
      <c r="C1371">
        <v>119525</v>
      </c>
      <c r="D1371" s="236" t="s">
        <v>16306</v>
      </c>
      <c r="E1371" s="15">
        <v>28855.8</v>
      </c>
      <c r="F1371" s="274">
        <v>42928</v>
      </c>
      <c r="G1371" s="15">
        <v>28855.8</v>
      </c>
      <c r="H1371" s="15">
        <f>Tabla1[[#This Row],[Importe]]-Tabla1[[#This Row],[Pagado]]</f>
        <v>0</v>
      </c>
      <c r="I1371" s="275" t="s">
        <v>15214</v>
      </c>
    </row>
    <row r="1372" spans="1:9" x14ac:dyDescent="0.25">
      <c r="A1372" s="16">
        <v>42927</v>
      </c>
      <c r="B1372" s="273" t="s">
        <v>21227</v>
      </c>
      <c r="C1372">
        <v>119526</v>
      </c>
      <c r="D1372" s="236" t="s">
        <v>15553</v>
      </c>
      <c r="E1372" s="15">
        <v>5607</v>
      </c>
      <c r="F1372" s="274">
        <v>42928</v>
      </c>
      <c r="G1372" s="15">
        <v>5607</v>
      </c>
      <c r="H1372" s="15">
        <f>Tabla1[[#This Row],[Importe]]-Tabla1[[#This Row],[Pagado]]</f>
        <v>0</v>
      </c>
      <c r="I1372" s="275" t="s">
        <v>15214</v>
      </c>
    </row>
    <row r="1373" spans="1:9" x14ac:dyDescent="0.25">
      <c r="A1373" s="16">
        <v>42927</v>
      </c>
      <c r="B1373" s="273" t="s">
        <v>21228</v>
      </c>
      <c r="C1373">
        <v>119527</v>
      </c>
      <c r="D1373" s="236" t="s">
        <v>15332</v>
      </c>
      <c r="E1373" s="15">
        <v>1696.8</v>
      </c>
      <c r="F1373" s="274">
        <v>42928</v>
      </c>
      <c r="G1373" s="15">
        <v>1696.8</v>
      </c>
      <c r="H1373" s="15">
        <f>Tabla1[[#This Row],[Importe]]-Tabla1[[#This Row],[Pagado]]</f>
        <v>0</v>
      </c>
      <c r="I1373" s="275" t="s">
        <v>15214</v>
      </c>
    </row>
    <row r="1374" spans="1:9" x14ac:dyDescent="0.25">
      <c r="A1374" s="16">
        <v>42927</v>
      </c>
      <c r="B1374" s="273" t="s">
        <v>21229</v>
      </c>
      <c r="C1374">
        <v>119528</v>
      </c>
      <c r="D1374" s="236" t="s">
        <v>15581</v>
      </c>
      <c r="E1374" s="15">
        <v>10017.299999999999</v>
      </c>
      <c r="F1374" s="274">
        <v>42933</v>
      </c>
      <c r="G1374" s="15">
        <v>10017.299999999999</v>
      </c>
      <c r="H1374" s="15">
        <f>Tabla1[[#This Row],[Importe]]-Tabla1[[#This Row],[Pagado]]</f>
        <v>0</v>
      </c>
      <c r="I1374" s="275" t="s">
        <v>15214</v>
      </c>
    </row>
    <row r="1375" spans="1:9" x14ac:dyDescent="0.25">
      <c r="A1375" s="16">
        <v>42927</v>
      </c>
      <c r="B1375" s="273" t="s">
        <v>21230</v>
      </c>
      <c r="C1375">
        <v>119529</v>
      </c>
      <c r="D1375" s="236" t="s">
        <v>15642</v>
      </c>
      <c r="E1375" s="15">
        <v>3960.6</v>
      </c>
      <c r="F1375" s="274">
        <v>42927</v>
      </c>
      <c r="G1375" s="15">
        <v>3960.6</v>
      </c>
      <c r="H1375" s="15">
        <f>Tabla1[[#This Row],[Importe]]-Tabla1[[#This Row],[Pagado]]</f>
        <v>0</v>
      </c>
      <c r="I1375" s="275" t="s">
        <v>15214</v>
      </c>
    </row>
    <row r="1376" spans="1:9" x14ac:dyDescent="0.25">
      <c r="A1376" s="16">
        <v>42927</v>
      </c>
      <c r="B1376" s="273" t="s">
        <v>21231</v>
      </c>
      <c r="C1376">
        <v>119530</v>
      </c>
      <c r="D1376" s="236" t="s">
        <v>15624</v>
      </c>
      <c r="E1376" s="15">
        <v>39239.870000000003</v>
      </c>
      <c r="F1376" s="274">
        <v>42928</v>
      </c>
      <c r="G1376" s="15">
        <v>39239.870000000003</v>
      </c>
      <c r="H1376" s="15">
        <f>Tabla1[[#This Row],[Importe]]-Tabla1[[#This Row],[Pagado]]</f>
        <v>0</v>
      </c>
      <c r="I1376" s="275" t="s">
        <v>15214</v>
      </c>
    </row>
    <row r="1377" spans="1:9" x14ac:dyDescent="0.25">
      <c r="A1377" s="16">
        <v>42927</v>
      </c>
      <c r="B1377" s="273" t="s">
        <v>21232</v>
      </c>
      <c r="C1377">
        <v>119531</v>
      </c>
      <c r="D1377" s="236" t="s">
        <v>15442</v>
      </c>
      <c r="E1377" s="15">
        <v>15825.3</v>
      </c>
      <c r="F1377" s="274">
        <v>42940</v>
      </c>
      <c r="G1377" s="15">
        <v>15825.3</v>
      </c>
      <c r="H1377" s="15">
        <f>Tabla1[[#This Row],[Importe]]-Tabla1[[#This Row],[Pagado]]</f>
        <v>0</v>
      </c>
      <c r="I1377" s="275" t="s">
        <v>15214</v>
      </c>
    </row>
    <row r="1378" spans="1:9" x14ac:dyDescent="0.25">
      <c r="A1378" s="16">
        <v>42927</v>
      </c>
      <c r="B1378" s="273" t="s">
        <v>21233</v>
      </c>
      <c r="C1378">
        <v>119532</v>
      </c>
      <c r="D1378" s="236" t="s">
        <v>15442</v>
      </c>
      <c r="E1378" s="15">
        <v>2304</v>
      </c>
      <c r="F1378" s="274">
        <v>42940</v>
      </c>
      <c r="G1378" s="15">
        <v>2304</v>
      </c>
      <c r="H1378" s="15">
        <f>Tabla1[[#This Row],[Importe]]-Tabla1[[#This Row],[Pagado]]</f>
        <v>0</v>
      </c>
      <c r="I1378" s="275" t="s">
        <v>15214</v>
      </c>
    </row>
    <row r="1379" spans="1:9" x14ac:dyDescent="0.25">
      <c r="A1379" s="16">
        <v>42927</v>
      </c>
      <c r="B1379" s="273" t="s">
        <v>21234</v>
      </c>
      <c r="C1379">
        <v>119533</v>
      </c>
      <c r="D1379" s="236" t="s">
        <v>15284</v>
      </c>
      <c r="E1379" s="15">
        <v>1749.3</v>
      </c>
      <c r="F1379" s="274">
        <v>42927</v>
      </c>
      <c r="G1379" s="15">
        <v>1749.3</v>
      </c>
      <c r="H1379" s="15">
        <f>Tabla1[[#This Row],[Importe]]-Tabla1[[#This Row],[Pagado]]</f>
        <v>0</v>
      </c>
      <c r="I1379" s="275" t="s">
        <v>15214</v>
      </c>
    </row>
    <row r="1380" spans="1:9" x14ac:dyDescent="0.25">
      <c r="A1380" s="16">
        <v>42927</v>
      </c>
      <c r="B1380" s="273" t="s">
        <v>21235</v>
      </c>
      <c r="C1380">
        <v>119534</v>
      </c>
      <c r="D1380" s="236" t="s">
        <v>15265</v>
      </c>
      <c r="E1380" s="15">
        <v>3259.2</v>
      </c>
      <c r="F1380" s="274">
        <v>42929</v>
      </c>
      <c r="G1380" s="15">
        <v>3259.2</v>
      </c>
      <c r="H1380" s="15">
        <f>Tabla1[[#This Row],[Importe]]-Tabla1[[#This Row],[Pagado]]</f>
        <v>0</v>
      </c>
      <c r="I1380" s="275" t="s">
        <v>15214</v>
      </c>
    </row>
    <row r="1381" spans="1:9" ht="30" x14ac:dyDescent="0.25">
      <c r="A1381" s="16">
        <v>42927</v>
      </c>
      <c r="B1381" s="273" t="s">
        <v>21236</v>
      </c>
      <c r="C1381">
        <v>119535</v>
      </c>
      <c r="D1381" s="236" t="s">
        <v>15267</v>
      </c>
      <c r="E1381" s="15">
        <v>26616.94</v>
      </c>
      <c r="F1381" s="274" t="s">
        <v>21237</v>
      </c>
      <c r="G1381" s="241">
        <f>871.68+25745.26</f>
        <v>26616.94</v>
      </c>
      <c r="H1381" s="241">
        <f>Tabla1[[#This Row],[Importe]]-Tabla1[[#This Row],[Pagado]]</f>
        <v>0</v>
      </c>
      <c r="I1381" s="275" t="s">
        <v>15214</v>
      </c>
    </row>
    <row r="1382" spans="1:9" x14ac:dyDescent="0.25">
      <c r="A1382" s="16">
        <v>42927</v>
      </c>
      <c r="B1382" s="273" t="s">
        <v>21238</v>
      </c>
      <c r="C1382">
        <v>119536</v>
      </c>
      <c r="D1382" s="236" t="s">
        <v>15890</v>
      </c>
      <c r="E1382" s="15">
        <v>10118.4</v>
      </c>
      <c r="F1382" s="274">
        <v>42934</v>
      </c>
      <c r="G1382" s="15">
        <v>10118.4</v>
      </c>
      <c r="H1382" s="15">
        <f>Tabla1[[#This Row],[Importe]]-Tabla1[[#This Row],[Pagado]]</f>
        <v>0</v>
      </c>
      <c r="I1382" s="275" t="s">
        <v>15214</v>
      </c>
    </row>
    <row r="1383" spans="1:9" x14ac:dyDescent="0.25">
      <c r="A1383" s="16">
        <v>42927</v>
      </c>
      <c r="B1383" s="273" t="s">
        <v>21239</v>
      </c>
      <c r="C1383">
        <v>119537</v>
      </c>
      <c r="D1383" s="236" t="s">
        <v>15644</v>
      </c>
      <c r="E1383" s="15">
        <v>3317.4</v>
      </c>
      <c r="F1383" s="274">
        <v>42928</v>
      </c>
      <c r="G1383" s="15">
        <v>3317.4</v>
      </c>
      <c r="H1383" s="15">
        <f>Tabla1[[#This Row],[Importe]]-Tabla1[[#This Row],[Pagado]]</f>
        <v>0</v>
      </c>
      <c r="I1383" s="275" t="s">
        <v>15214</v>
      </c>
    </row>
    <row r="1384" spans="1:9" ht="15.75" x14ac:dyDescent="0.25">
      <c r="A1384" s="16">
        <v>42927</v>
      </c>
      <c r="B1384" s="273" t="s">
        <v>21240</v>
      </c>
      <c r="C1384">
        <v>119538</v>
      </c>
      <c r="D1384" s="248" t="s">
        <v>95</v>
      </c>
      <c r="E1384" s="15">
        <v>0</v>
      </c>
      <c r="F1384" s="277" t="s">
        <v>95</v>
      </c>
      <c r="G1384" s="15">
        <v>0</v>
      </c>
      <c r="H1384" s="15">
        <f>Tabla1[[#This Row],[Importe]]-Tabla1[[#This Row],[Pagado]]</f>
        <v>0</v>
      </c>
      <c r="I1384" s="275" t="s">
        <v>95</v>
      </c>
    </row>
    <row r="1385" spans="1:9" ht="15.75" x14ac:dyDescent="0.25">
      <c r="A1385" s="16">
        <v>42927</v>
      </c>
      <c r="B1385" s="273" t="s">
        <v>21241</v>
      </c>
      <c r="C1385">
        <v>119539</v>
      </c>
      <c r="D1385" s="248" t="s">
        <v>95</v>
      </c>
      <c r="E1385" s="15">
        <v>0</v>
      </c>
      <c r="F1385" s="277" t="s">
        <v>95</v>
      </c>
      <c r="G1385" s="15">
        <v>0</v>
      </c>
      <c r="H1385" s="15">
        <f>Tabla1[[#This Row],[Importe]]-Tabla1[[#This Row],[Pagado]]</f>
        <v>0</v>
      </c>
      <c r="I1385" s="275" t="s">
        <v>95</v>
      </c>
    </row>
    <row r="1386" spans="1:9" x14ac:dyDescent="0.25">
      <c r="A1386" s="16">
        <v>42927</v>
      </c>
      <c r="B1386" s="273" t="s">
        <v>21242</v>
      </c>
      <c r="C1386">
        <v>119540</v>
      </c>
      <c r="D1386" s="236" t="s">
        <v>15365</v>
      </c>
      <c r="E1386" s="15">
        <v>270945</v>
      </c>
      <c r="F1386" s="274">
        <v>42933</v>
      </c>
      <c r="G1386" s="15">
        <v>270945</v>
      </c>
      <c r="H1386" s="15">
        <f>Tabla1[[#This Row],[Importe]]-Tabla1[[#This Row],[Pagado]]</f>
        <v>0</v>
      </c>
      <c r="I1386" s="275" t="s">
        <v>15214</v>
      </c>
    </row>
    <row r="1387" spans="1:9" x14ac:dyDescent="0.25">
      <c r="A1387" s="16">
        <v>42927</v>
      </c>
      <c r="B1387" s="273" t="s">
        <v>21243</v>
      </c>
      <c r="C1387">
        <v>119541</v>
      </c>
      <c r="D1387" s="236" t="s">
        <v>15365</v>
      </c>
      <c r="E1387" s="15">
        <v>299088</v>
      </c>
      <c r="F1387" s="274">
        <v>42931</v>
      </c>
      <c r="G1387" s="15">
        <v>299088</v>
      </c>
      <c r="H1387" s="15">
        <f>Tabla1[[#This Row],[Importe]]-Tabla1[[#This Row],[Pagado]]</f>
        <v>0</v>
      </c>
      <c r="I1387" s="275" t="s">
        <v>15214</v>
      </c>
    </row>
    <row r="1388" spans="1:9" x14ac:dyDescent="0.25">
      <c r="A1388" s="16">
        <v>42927</v>
      </c>
      <c r="B1388" s="273" t="s">
        <v>21244</v>
      </c>
      <c r="C1388">
        <v>119542</v>
      </c>
      <c r="D1388" s="236" t="s">
        <v>15728</v>
      </c>
      <c r="E1388" s="15">
        <v>11584.8</v>
      </c>
      <c r="F1388" s="274">
        <v>42927</v>
      </c>
      <c r="G1388" s="15">
        <v>11584.8</v>
      </c>
      <c r="H1388" s="15">
        <f>Tabla1[[#This Row],[Importe]]-Tabla1[[#This Row],[Pagado]]</f>
        <v>0</v>
      </c>
      <c r="I1388" s="275" t="s">
        <v>15214</v>
      </c>
    </row>
    <row r="1389" spans="1:9" x14ac:dyDescent="0.25">
      <c r="A1389" s="16">
        <v>42927</v>
      </c>
      <c r="B1389" s="273" t="s">
        <v>21245</v>
      </c>
      <c r="C1389">
        <v>119543</v>
      </c>
      <c r="D1389" s="236" t="s">
        <v>15668</v>
      </c>
      <c r="E1389" s="15">
        <v>1260</v>
      </c>
      <c r="F1389" s="274">
        <v>42928</v>
      </c>
      <c r="G1389" s="15">
        <v>1260</v>
      </c>
      <c r="H1389" s="15">
        <f>Tabla1[[#This Row],[Importe]]-Tabla1[[#This Row],[Pagado]]</f>
        <v>0</v>
      </c>
      <c r="I1389" s="275" t="s">
        <v>15214</v>
      </c>
    </row>
    <row r="1390" spans="1:9" x14ac:dyDescent="0.25">
      <c r="A1390" s="16">
        <v>42927</v>
      </c>
      <c r="B1390" s="273" t="s">
        <v>21246</v>
      </c>
      <c r="C1390">
        <v>119544</v>
      </c>
      <c r="D1390" s="236" t="s">
        <v>15315</v>
      </c>
      <c r="E1390" s="15">
        <v>752.5</v>
      </c>
      <c r="F1390" s="274">
        <v>42927</v>
      </c>
      <c r="G1390" s="15">
        <v>752.5</v>
      </c>
      <c r="H1390" s="15">
        <f>Tabla1[[#This Row],[Importe]]-Tabla1[[#This Row],[Pagado]]</f>
        <v>0</v>
      </c>
      <c r="I1390" s="275" t="s">
        <v>15214</v>
      </c>
    </row>
    <row r="1391" spans="1:9" x14ac:dyDescent="0.25">
      <c r="A1391" s="16">
        <v>42927</v>
      </c>
      <c r="B1391" s="273" t="s">
        <v>21247</v>
      </c>
      <c r="C1391">
        <v>119545</v>
      </c>
      <c r="D1391" s="236" t="s">
        <v>15789</v>
      </c>
      <c r="E1391" s="15">
        <v>17518.8</v>
      </c>
      <c r="F1391" s="274">
        <v>42935</v>
      </c>
      <c r="G1391" s="15">
        <v>17518.8</v>
      </c>
      <c r="H1391" s="15">
        <f>Tabla1[[#This Row],[Importe]]-Tabla1[[#This Row],[Pagado]]</f>
        <v>0</v>
      </c>
      <c r="I1391" s="275" t="s">
        <v>15214</v>
      </c>
    </row>
    <row r="1392" spans="1:9" x14ac:dyDescent="0.25">
      <c r="A1392" s="16">
        <v>42927</v>
      </c>
      <c r="B1392" s="273" t="s">
        <v>21248</v>
      </c>
      <c r="C1392">
        <v>119546</v>
      </c>
      <c r="D1392" s="236" t="s">
        <v>15315</v>
      </c>
      <c r="E1392" s="15">
        <v>2023.92</v>
      </c>
      <c r="F1392" s="274">
        <v>42927</v>
      </c>
      <c r="G1392" s="15">
        <v>2023.92</v>
      </c>
      <c r="H1392" s="15">
        <f>Tabla1[[#This Row],[Importe]]-Tabla1[[#This Row],[Pagado]]</f>
        <v>0</v>
      </c>
      <c r="I1392" s="275" t="s">
        <v>15214</v>
      </c>
    </row>
    <row r="1393" spans="1:9" x14ac:dyDescent="0.25">
      <c r="A1393" s="16">
        <v>42927</v>
      </c>
      <c r="B1393" s="273" t="s">
        <v>21249</v>
      </c>
      <c r="C1393">
        <v>119547</v>
      </c>
      <c r="D1393" s="236" t="s">
        <v>15444</v>
      </c>
      <c r="E1393" s="15">
        <v>3114.8</v>
      </c>
      <c r="F1393" s="274">
        <v>42927</v>
      </c>
      <c r="G1393" s="15">
        <v>3114.8</v>
      </c>
      <c r="H1393" s="15">
        <f>Tabla1[[#This Row],[Importe]]-Tabla1[[#This Row],[Pagado]]</f>
        <v>0</v>
      </c>
      <c r="I1393" s="275" t="s">
        <v>15214</v>
      </c>
    </row>
    <row r="1394" spans="1:9" x14ac:dyDescent="0.25">
      <c r="A1394" s="16">
        <v>42927</v>
      </c>
      <c r="B1394" s="273" t="s">
        <v>21250</v>
      </c>
      <c r="C1394">
        <v>119548</v>
      </c>
      <c r="D1394" s="236" t="s">
        <v>15246</v>
      </c>
      <c r="E1394" s="15">
        <v>35385.300000000003</v>
      </c>
      <c r="F1394" s="274">
        <v>42942</v>
      </c>
      <c r="G1394" s="15">
        <v>35385.300000000003</v>
      </c>
      <c r="H1394" s="15">
        <f>Tabla1[[#This Row],[Importe]]-Tabla1[[#This Row],[Pagado]]</f>
        <v>0</v>
      </c>
      <c r="I1394" s="275" t="s">
        <v>15214</v>
      </c>
    </row>
    <row r="1395" spans="1:9" x14ac:dyDescent="0.25">
      <c r="A1395" s="16">
        <v>42927</v>
      </c>
      <c r="B1395" s="273" t="s">
        <v>21251</v>
      </c>
      <c r="C1395">
        <v>119549</v>
      </c>
      <c r="D1395" s="236" t="s">
        <v>15311</v>
      </c>
      <c r="E1395" s="15">
        <v>1923.2</v>
      </c>
      <c r="F1395" s="274">
        <v>42928</v>
      </c>
      <c r="G1395" s="15">
        <v>1923.2</v>
      </c>
      <c r="H1395" s="15">
        <f>Tabla1[[#This Row],[Importe]]-Tabla1[[#This Row],[Pagado]]</f>
        <v>0</v>
      </c>
      <c r="I1395" s="275" t="s">
        <v>15214</v>
      </c>
    </row>
    <row r="1396" spans="1:9" x14ac:dyDescent="0.25">
      <c r="A1396" s="16">
        <v>42927</v>
      </c>
      <c r="B1396" s="273" t="s">
        <v>21252</v>
      </c>
      <c r="C1396">
        <v>119550</v>
      </c>
      <c r="D1396" s="236" t="s">
        <v>15419</v>
      </c>
      <c r="E1396" s="15">
        <v>43576</v>
      </c>
      <c r="F1396" s="274">
        <v>42933</v>
      </c>
      <c r="G1396" s="15">
        <v>43576</v>
      </c>
      <c r="H1396" s="15">
        <f>Tabla1[[#This Row],[Importe]]-Tabla1[[#This Row],[Pagado]]</f>
        <v>0</v>
      </c>
      <c r="I1396" s="275" t="s">
        <v>15214</v>
      </c>
    </row>
    <row r="1397" spans="1:9" x14ac:dyDescent="0.25">
      <c r="A1397" s="16">
        <v>42927</v>
      </c>
      <c r="B1397" s="273" t="s">
        <v>21253</v>
      </c>
      <c r="C1397">
        <v>119551</v>
      </c>
      <c r="D1397" s="236" t="s">
        <v>15223</v>
      </c>
      <c r="E1397" s="15">
        <v>15766.4</v>
      </c>
      <c r="F1397" s="274">
        <v>42960</v>
      </c>
      <c r="G1397" s="15">
        <v>15766.4</v>
      </c>
      <c r="H1397" s="15">
        <f>Tabla1[[#This Row],[Importe]]-Tabla1[[#This Row],[Pagado]]</f>
        <v>0</v>
      </c>
      <c r="I1397" s="275" t="s">
        <v>15214</v>
      </c>
    </row>
    <row r="1398" spans="1:9" x14ac:dyDescent="0.25">
      <c r="A1398" s="16">
        <v>42928</v>
      </c>
      <c r="B1398" s="273" t="s">
        <v>21254</v>
      </c>
      <c r="C1398">
        <v>119552</v>
      </c>
      <c r="D1398" s="236" t="s">
        <v>15213</v>
      </c>
      <c r="E1398" s="15">
        <v>7642.8</v>
      </c>
      <c r="F1398" s="274">
        <v>42928</v>
      </c>
      <c r="G1398" s="15">
        <v>7642.8</v>
      </c>
      <c r="H1398" s="15">
        <f>Tabla1[[#This Row],[Importe]]-Tabla1[[#This Row],[Pagado]]</f>
        <v>0</v>
      </c>
      <c r="I1398" s="275" t="s">
        <v>15214</v>
      </c>
    </row>
    <row r="1399" spans="1:9" ht="15.75" x14ac:dyDescent="0.25">
      <c r="A1399" s="16">
        <v>42928</v>
      </c>
      <c r="B1399" s="273" t="s">
        <v>21255</v>
      </c>
      <c r="C1399">
        <v>119553</v>
      </c>
      <c r="D1399" s="248" t="s">
        <v>95</v>
      </c>
      <c r="E1399" s="15">
        <v>0</v>
      </c>
      <c r="F1399" s="280" t="s">
        <v>95</v>
      </c>
      <c r="G1399" s="15">
        <v>0</v>
      </c>
      <c r="H1399" s="15">
        <f>Tabla1[[#This Row],[Importe]]-Tabla1[[#This Row],[Pagado]]</f>
        <v>0</v>
      </c>
      <c r="I1399" s="275" t="s">
        <v>95</v>
      </c>
    </row>
    <row r="1400" spans="1:9" ht="15.75" x14ac:dyDescent="0.25">
      <c r="A1400" s="16">
        <v>42928</v>
      </c>
      <c r="B1400" s="273" t="s">
        <v>21256</v>
      </c>
      <c r="C1400">
        <v>119554</v>
      </c>
      <c r="D1400" s="248" t="s">
        <v>95</v>
      </c>
      <c r="E1400" s="15">
        <v>0</v>
      </c>
      <c r="F1400" s="280" t="s">
        <v>95</v>
      </c>
      <c r="G1400" s="15">
        <v>0</v>
      </c>
      <c r="H1400" s="15">
        <f>Tabla1[[#This Row],[Importe]]-Tabla1[[#This Row],[Pagado]]</f>
        <v>0</v>
      </c>
      <c r="I1400" s="275" t="s">
        <v>95</v>
      </c>
    </row>
    <row r="1401" spans="1:9" x14ac:dyDescent="0.25">
      <c r="A1401" s="16">
        <v>42928</v>
      </c>
      <c r="B1401" s="273" t="s">
        <v>21257</v>
      </c>
      <c r="C1401">
        <v>119555</v>
      </c>
      <c r="D1401" s="236" t="s">
        <v>15213</v>
      </c>
      <c r="E1401" s="15">
        <v>49419.199999999997</v>
      </c>
      <c r="F1401" s="274">
        <v>42929</v>
      </c>
      <c r="G1401" s="15">
        <v>49419.199999999997</v>
      </c>
      <c r="H1401" s="15">
        <f>Tabla1[[#This Row],[Importe]]-Tabla1[[#This Row],[Pagado]]</f>
        <v>0</v>
      </c>
      <c r="I1401" s="275" t="s">
        <v>15214</v>
      </c>
    </row>
    <row r="1402" spans="1:9" x14ac:dyDescent="0.25">
      <c r="A1402" s="16">
        <v>42928</v>
      </c>
      <c r="B1402" s="273" t="s">
        <v>21258</v>
      </c>
      <c r="C1402">
        <v>119556</v>
      </c>
      <c r="D1402" s="236" t="s">
        <v>17235</v>
      </c>
      <c r="E1402" s="15">
        <v>1100</v>
      </c>
      <c r="F1402" s="274">
        <v>42928</v>
      </c>
      <c r="G1402" s="15">
        <v>1100</v>
      </c>
      <c r="H1402" s="15">
        <f>Tabla1[[#This Row],[Importe]]-Tabla1[[#This Row],[Pagado]]</f>
        <v>0</v>
      </c>
      <c r="I1402" s="275" t="s">
        <v>15214</v>
      </c>
    </row>
    <row r="1403" spans="1:9" x14ac:dyDescent="0.25">
      <c r="A1403" s="16">
        <v>42928</v>
      </c>
      <c r="B1403" s="273" t="s">
        <v>21259</v>
      </c>
      <c r="C1403">
        <v>119557</v>
      </c>
      <c r="D1403" s="236" t="s">
        <v>15220</v>
      </c>
      <c r="E1403" s="15">
        <v>2200</v>
      </c>
      <c r="F1403" s="274">
        <v>42928</v>
      </c>
      <c r="G1403" s="15">
        <v>2200</v>
      </c>
      <c r="H1403" s="15">
        <f>Tabla1[[#This Row],[Importe]]-Tabla1[[#This Row],[Pagado]]</f>
        <v>0</v>
      </c>
      <c r="I1403" s="275" t="s">
        <v>15214</v>
      </c>
    </row>
    <row r="1404" spans="1:9" x14ac:dyDescent="0.25">
      <c r="A1404" s="16">
        <v>42928</v>
      </c>
      <c r="B1404" s="273" t="s">
        <v>21260</v>
      </c>
      <c r="C1404">
        <v>119558</v>
      </c>
      <c r="D1404" s="236" t="s">
        <v>15246</v>
      </c>
      <c r="E1404" s="15">
        <v>167192.04999999999</v>
      </c>
      <c r="F1404" s="274">
        <v>42933</v>
      </c>
      <c r="G1404" s="15">
        <v>167192.04999999999</v>
      </c>
      <c r="H1404" s="15">
        <f>Tabla1[[#This Row],[Importe]]-Tabla1[[#This Row],[Pagado]]</f>
        <v>0</v>
      </c>
      <c r="I1404" s="275" t="s">
        <v>15214</v>
      </c>
    </row>
    <row r="1405" spans="1:9" x14ac:dyDescent="0.25">
      <c r="A1405" s="16">
        <v>42928</v>
      </c>
      <c r="B1405" s="273" t="s">
        <v>21261</v>
      </c>
      <c r="C1405">
        <v>119559</v>
      </c>
      <c r="D1405" s="236" t="s">
        <v>15250</v>
      </c>
      <c r="E1405" s="15">
        <v>47574.52</v>
      </c>
      <c r="F1405" s="274">
        <v>42939</v>
      </c>
      <c r="G1405" s="15">
        <v>47574.52</v>
      </c>
      <c r="H1405" s="15">
        <f>Tabla1[[#This Row],[Importe]]-Tabla1[[#This Row],[Pagado]]</f>
        <v>0</v>
      </c>
      <c r="I1405" s="275" t="s">
        <v>15214</v>
      </c>
    </row>
    <row r="1406" spans="1:9" ht="15.75" x14ac:dyDescent="0.25">
      <c r="A1406" s="16">
        <v>42928</v>
      </c>
      <c r="B1406" s="273" t="s">
        <v>21262</v>
      </c>
      <c r="C1406">
        <v>119560</v>
      </c>
      <c r="D1406" s="248" t="s">
        <v>95</v>
      </c>
      <c r="E1406" s="15">
        <v>0</v>
      </c>
      <c r="F1406" s="280" t="s">
        <v>95</v>
      </c>
      <c r="G1406" s="15">
        <v>0</v>
      </c>
      <c r="H1406" s="15">
        <f>Tabla1[[#This Row],[Importe]]-Tabla1[[#This Row],[Pagado]]</f>
        <v>0</v>
      </c>
      <c r="I1406" s="275" t="s">
        <v>95</v>
      </c>
    </row>
    <row r="1407" spans="1:9" ht="15.75" x14ac:dyDescent="0.25">
      <c r="A1407" s="16">
        <v>42928</v>
      </c>
      <c r="B1407" s="273" t="s">
        <v>21263</v>
      </c>
      <c r="C1407">
        <v>119561</v>
      </c>
      <c r="D1407" s="248" t="s">
        <v>95</v>
      </c>
      <c r="E1407" s="15">
        <v>0</v>
      </c>
      <c r="F1407" s="280" t="s">
        <v>95</v>
      </c>
      <c r="G1407" s="15">
        <v>0</v>
      </c>
      <c r="H1407" s="15">
        <f>Tabla1[[#This Row],[Importe]]-Tabla1[[#This Row],[Pagado]]</f>
        <v>0</v>
      </c>
      <c r="I1407" s="275" t="s">
        <v>95</v>
      </c>
    </row>
    <row r="1408" spans="1:9" x14ac:dyDescent="0.25">
      <c r="A1408" s="16">
        <v>42928</v>
      </c>
      <c r="B1408" s="273" t="s">
        <v>21264</v>
      </c>
      <c r="C1408">
        <v>119562</v>
      </c>
      <c r="D1408" s="236" t="s">
        <v>15352</v>
      </c>
      <c r="E1408" s="15">
        <v>319.2</v>
      </c>
      <c r="F1408" s="274">
        <v>42928</v>
      </c>
      <c r="G1408" s="15">
        <v>319.2</v>
      </c>
      <c r="H1408" s="15">
        <f>Tabla1[[#This Row],[Importe]]-Tabla1[[#This Row],[Pagado]]</f>
        <v>0</v>
      </c>
      <c r="I1408" s="275" t="s">
        <v>15214</v>
      </c>
    </row>
    <row r="1409" spans="1:9" x14ac:dyDescent="0.25">
      <c r="A1409" s="16">
        <v>42928</v>
      </c>
      <c r="B1409" s="273" t="s">
        <v>21265</v>
      </c>
      <c r="C1409">
        <v>119563</v>
      </c>
      <c r="D1409" s="236" t="s">
        <v>15274</v>
      </c>
      <c r="E1409" s="15">
        <v>3062</v>
      </c>
      <c r="F1409" s="274">
        <v>42928</v>
      </c>
      <c r="G1409" s="15">
        <v>3062</v>
      </c>
      <c r="H1409" s="15">
        <f>Tabla1[[#This Row],[Importe]]-Tabla1[[#This Row],[Pagado]]</f>
        <v>0</v>
      </c>
      <c r="I1409" s="275" t="s">
        <v>15214</v>
      </c>
    </row>
    <row r="1410" spans="1:9" x14ac:dyDescent="0.25">
      <c r="A1410" s="16">
        <v>42928</v>
      </c>
      <c r="B1410" s="273" t="s">
        <v>21266</v>
      </c>
      <c r="C1410">
        <v>119564</v>
      </c>
      <c r="D1410" s="236" t="s">
        <v>15274</v>
      </c>
      <c r="E1410" s="15">
        <v>880</v>
      </c>
      <c r="F1410" s="274">
        <v>42928</v>
      </c>
      <c r="G1410" s="15">
        <v>880</v>
      </c>
      <c r="H1410" s="15">
        <f>Tabla1[[#This Row],[Importe]]-Tabla1[[#This Row],[Pagado]]</f>
        <v>0</v>
      </c>
      <c r="I1410" s="275" t="s">
        <v>15214</v>
      </c>
    </row>
    <row r="1411" spans="1:9" x14ac:dyDescent="0.25">
      <c r="A1411" s="16">
        <v>42928</v>
      </c>
      <c r="B1411" s="273" t="s">
        <v>21267</v>
      </c>
      <c r="C1411">
        <v>119565</v>
      </c>
      <c r="D1411" s="236" t="s">
        <v>15596</v>
      </c>
      <c r="E1411" s="15">
        <v>1375</v>
      </c>
      <c r="F1411" s="274">
        <v>42928</v>
      </c>
      <c r="G1411" s="15">
        <v>1375</v>
      </c>
      <c r="H1411" s="15">
        <f>Tabla1[[#This Row],[Importe]]-Tabla1[[#This Row],[Pagado]]</f>
        <v>0</v>
      </c>
      <c r="I1411" s="275" t="s">
        <v>15214</v>
      </c>
    </row>
    <row r="1412" spans="1:9" x14ac:dyDescent="0.25">
      <c r="A1412" s="16">
        <v>42928</v>
      </c>
      <c r="B1412" s="273" t="s">
        <v>21268</v>
      </c>
      <c r="C1412">
        <v>119566</v>
      </c>
      <c r="D1412" s="236" t="s">
        <v>15250</v>
      </c>
      <c r="E1412" s="15">
        <v>38868</v>
      </c>
      <c r="F1412" s="274">
        <v>42939</v>
      </c>
      <c r="G1412" s="15">
        <v>38868</v>
      </c>
      <c r="H1412" s="15">
        <f>Tabla1[[#This Row],[Importe]]-Tabla1[[#This Row],[Pagado]]</f>
        <v>0</v>
      </c>
      <c r="I1412" s="275" t="s">
        <v>15214</v>
      </c>
    </row>
    <row r="1413" spans="1:9" x14ac:dyDescent="0.25">
      <c r="A1413" s="16">
        <v>42928</v>
      </c>
      <c r="B1413" s="273" t="s">
        <v>21269</v>
      </c>
      <c r="C1413">
        <v>119567</v>
      </c>
      <c r="D1413" s="236" t="s">
        <v>15348</v>
      </c>
      <c r="E1413" s="15">
        <v>3932.6</v>
      </c>
      <c r="F1413" s="274">
        <v>42933</v>
      </c>
      <c r="G1413" s="15">
        <v>3932.6</v>
      </c>
      <c r="H1413" s="15">
        <f>Tabla1[[#This Row],[Importe]]-Tabla1[[#This Row],[Pagado]]</f>
        <v>0</v>
      </c>
      <c r="I1413" s="275" t="s">
        <v>15214</v>
      </c>
    </row>
    <row r="1414" spans="1:9" x14ac:dyDescent="0.25">
      <c r="A1414" s="16">
        <v>42928</v>
      </c>
      <c r="B1414" s="273" t="s">
        <v>21270</v>
      </c>
      <c r="C1414">
        <v>119568</v>
      </c>
      <c r="D1414" s="236" t="s">
        <v>15240</v>
      </c>
      <c r="E1414" s="15">
        <v>3720.6</v>
      </c>
      <c r="F1414" s="274">
        <v>42933</v>
      </c>
      <c r="G1414" s="15">
        <v>3720.6</v>
      </c>
      <c r="H1414" s="15">
        <f>Tabla1[[#This Row],[Importe]]-Tabla1[[#This Row],[Pagado]]</f>
        <v>0</v>
      </c>
      <c r="I1414" s="275" t="s">
        <v>15214</v>
      </c>
    </row>
    <row r="1415" spans="1:9" ht="30" x14ac:dyDescent="0.25">
      <c r="A1415" s="16">
        <v>42928</v>
      </c>
      <c r="B1415" s="273" t="s">
        <v>21271</v>
      </c>
      <c r="C1415">
        <v>119569</v>
      </c>
      <c r="D1415" s="236" t="s">
        <v>15228</v>
      </c>
      <c r="E1415" s="15">
        <v>39239.870000000003</v>
      </c>
      <c r="F1415" s="274" t="s">
        <v>20991</v>
      </c>
      <c r="G1415" s="241">
        <f>7000+32239.87</f>
        <v>39239.869999999995</v>
      </c>
      <c r="H1415" s="241">
        <f>Tabla1[[#This Row],[Importe]]-Tabla1[[#This Row],[Pagado]]</f>
        <v>0</v>
      </c>
      <c r="I1415" s="275" t="s">
        <v>15214</v>
      </c>
    </row>
    <row r="1416" spans="1:9" x14ac:dyDescent="0.25">
      <c r="A1416" s="16">
        <v>42928</v>
      </c>
      <c r="B1416" s="273" t="s">
        <v>21272</v>
      </c>
      <c r="C1416">
        <v>119570</v>
      </c>
      <c r="D1416" s="236" t="s">
        <v>15338</v>
      </c>
      <c r="E1416" s="15">
        <v>9048.6</v>
      </c>
      <c r="F1416" s="274">
        <v>42930</v>
      </c>
      <c r="G1416" s="15">
        <v>9048.6</v>
      </c>
      <c r="H1416" s="15">
        <f>Tabla1[[#This Row],[Importe]]-Tabla1[[#This Row],[Pagado]]</f>
        <v>0</v>
      </c>
      <c r="I1416" s="275" t="s">
        <v>15214</v>
      </c>
    </row>
    <row r="1417" spans="1:9" x14ac:dyDescent="0.25">
      <c r="A1417" s="16">
        <v>42928</v>
      </c>
      <c r="B1417" s="273" t="s">
        <v>21273</v>
      </c>
      <c r="C1417">
        <v>119571</v>
      </c>
      <c r="D1417" s="236" t="s">
        <v>15371</v>
      </c>
      <c r="E1417" s="15">
        <v>4302.3</v>
      </c>
      <c r="F1417" s="274">
        <v>42929</v>
      </c>
      <c r="G1417" s="15">
        <v>4302.3</v>
      </c>
      <c r="H1417" s="15">
        <f>Tabla1[[#This Row],[Importe]]-Tabla1[[#This Row],[Pagado]]</f>
        <v>0</v>
      </c>
      <c r="I1417" s="275" t="s">
        <v>15214</v>
      </c>
    </row>
    <row r="1418" spans="1:9" x14ac:dyDescent="0.25">
      <c r="A1418" s="16">
        <v>42928</v>
      </c>
      <c r="B1418" s="273" t="s">
        <v>21274</v>
      </c>
      <c r="C1418">
        <v>119572</v>
      </c>
      <c r="D1418" s="236" t="s">
        <v>15234</v>
      </c>
      <c r="E1418" s="15">
        <v>4343</v>
      </c>
      <c r="F1418" s="274">
        <v>42933</v>
      </c>
      <c r="G1418" s="15">
        <v>4343</v>
      </c>
      <c r="H1418" s="15">
        <f>Tabla1[[#This Row],[Importe]]-Tabla1[[#This Row],[Pagado]]</f>
        <v>0</v>
      </c>
      <c r="I1418" s="275" t="s">
        <v>15214</v>
      </c>
    </row>
    <row r="1419" spans="1:9" x14ac:dyDescent="0.25">
      <c r="A1419" s="16">
        <v>42928</v>
      </c>
      <c r="B1419" s="273" t="s">
        <v>21275</v>
      </c>
      <c r="C1419">
        <v>119573</v>
      </c>
      <c r="D1419" s="236" t="s">
        <v>15258</v>
      </c>
      <c r="E1419" s="15">
        <v>13855.1</v>
      </c>
      <c r="F1419" s="274">
        <v>42933</v>
      </c>
      <c r="G1419" s="15">
        <v>13855.1</v>
      </c>
      <c r="H1419" s="15">
        <f>Tabla1[[#This Row],[Importe]]-Tabla1[[#This Row],[Pagado]]</f>
        <v>0</v>
      </c>
      <c r="I1419" s="275" t="s">
        <v>15214</v>
      </c>
    </row>
    <row r="1420" spans="1:9" x14ac:dyDescent="0.25">
      <c r="A1420" s="16">
        <v>42928</v>
      </c>
      <c r="B1420" s="273" t="s">
        <v>21276</v>
      </c>
      <c r="C1420">
        <v>119574</v>
      </c>
      <c r="D1420" s="236" t="s">
        <v>15236</v>
      </c>
      <c r="E1420" s="15">
        <v>7912</v>
      </c>
      <c r="F1420" s="274">
        <v>42930</v>
      </c>
      <c r="G1420" s="15">
        <v>7912</v>
      </c>
      <c r="H1420" s="15">
        <f>Tabla1[[#This Row],[Importe]]-Tabla1[[#This Row],[Pagado]]</f>
        <v>0</v>
      </c>
      <c r="I1420" s="275" t="s">
        <v>15214</v>
      </c>
    </row>
    <row r="1421" spans="1:9" x14ac:dyDescent="0.25">
      <c r="A1421" s="16">
        <v>42928</v>
      </c>
      <c r="B1421" s="273" t="s">
        <v>21277</v>
      </c>
      <c r="C1421">
        <v>119575</v>
      </c>
      <c r="D1421" s="236" t="s">
        <v>15480</v>
      </c>
      <c r="E1421" s="15">
        <v>109.2</v>
      </c>
      <c r="F1421" s="274">
        <v>42929</v>
      </c>
      <c r="G1421" s="15">
        <v>109.2</v>
      </c>
      <c r="H1421" s="15">
        <f>Tabla1[[#This Row],[Importe]]-Tabla1[[#This Row],[Pagado]]</f>
        <v>0</v>
      </c>
      <c r="I1421" s="275" t="s">
        <v>15214</v>
      </c>
    </row>
    <row r="1422" spans="1:9" x14ac:dyDescent="0.25">
      <c r="A1422" s="16">
        <v>42928</v>
      </c>
      <c r="B1422" s="273" t="s">
        <v>21278</v>
      </c>
      <c r="C1422">
        <v>119576</v>
      </c>
      <c r="D1422" s="236" t="s">
        <v>15232</v>
      </c>
      <c r="E1422" s="15">
        <v>7805.6</v>
      </c>
      <c r="F1422" s="274">
        <v>42936</v>
      </c>
      <c r="G1422" s="15">
        <v>7805.6</v>
      </c>
      <c r="H1422" s="15">
        <f>Tabla1[[#This Row],[Importe]]-Tabla1[[#This Row],[Pagado]]</f>
        <v>0</v>
      </c>
      <c r="I1422" s="275" t="s">
        <v>15214</v>
      </c>
    </row>
    <row r="1423" spans="1:9" x14ac:dyDescent="0.25">
      <c r="A1423" s="16">
        <v>42928</v>
      </c>
      <c r="B1423" s="273" t="s">
        <v>21279</v>
      </c>
      <c r="C1423">
        <v>119577</v>
      </c>
      <c r="D1423" s="236" t="s">
        <v>15230</v>
      </c>
      <c r="E1423" s="15">
        <v>11475.2</v>
      </c>
      <c r="F1423" s="274">
        <v>42930</v>
      </c>
      <c r="G1423" s="15">
        <v>11475.2</v>
      </c>
      <c r="H1423" s="15">
        <f>Tabla1[[#This Row],[Importe]]-Tabla1[[#This Row],[Pagado]]</f>
        <v>0</v>
      </c>
      <c r="I1423" s="275" t="s">
        <v>15214</v>
      </c>
    </row>
    <row r="1424" spans="1:9" x14ac:dyDescent="0.25">
      <c r="A1424" s="16">
        <v>42928</v>
      </c>
      <c r="B1424" s="273" t="s">
        <v>21280</v>
      </c>
      <c r="C1424">
        <v>119578</v>
      </c>
      <c r="D1424" s="236" t="s">
        <v>15256</v>
      </c>
      <c r="E1424" s="15">
        <v>6125.2</v>
      </c>
      <c r="F1424" s="274">
        <v>42930</v>
      </c>
      <c r="G1424" s="15">
        <v>6125.2</v>
      </c>
      <c r="H1424" s="15">
        <f>Tabla1[[#This Row],[Importe]]-Tabla1[[#This Row],[Pagado]]</f>
        <v>0</v>
      </c>
      <c r="I1424" s="275" t="s">
        <v>15214</v>
      </c>
    </row>
    <row r="1425" spans="1:9" x14ac:dyDescent="0.25">
      <c r="A1425" s="16">
        <v>42928</v>
      </c>
      <c r="B1425" s="273" t="s">
        <v>21281</v>
      </c>
      <c r="C1425">
        <v>119579</v>
      </c>
      <c r="D1425" s="236" t="s">
        <v>5575</v>
      </c>
      <c r="E1425" s="15">
        <v>4300</v>
      </c>
      <c r="F1425" s="274">
        <v>42930</v>
      </c>
      <c r="G1425" s="15">
        <v>4300</v>
      </c>
      <c r="H1425" s="15">
        <f>Tabla1[[#This Row],[Importe]]-Tabla1[[#This Row],[Pagado]]</f>
        <v>0</v>
      </c>
      <c r="I1425" s="275" t="s">
        <v>15214</v>
      </c>
    </row>
    <row r="1426" spans="1:9" x14ac:dyDescent="0.25">
      <c r="A1426" s="16">
        <v>42928</v>
      </c>
      <c r="B1426" s="273" t="s">
        <v>21282</v>
      </c>
      <c r="C1426">
        <v>119580</v>
      </c>
      <c r="D1426" s="236" t="s">
        <v>15668</v>
      </c>
      <c r="E1426" s="15">
        <v>20699.5</v>
      </c>
      <c r="F1426" s="274">
        <v>42933</v>
      </c>
      <c r="G1426" s="15">
        <v>20699.5</v>
      </c>
      <c r="H1426" s="15">
        <f>Tabla1[[#This Row],[Importe]]-Tabla1[[#This Row],[Pagado]]</f>
        <v>0</v>
      </c>
      <c r="I1426" s="275" t="s">
        <v>15214</v>
      </c>
    </row>
    <row r="1427" spans="1:9" x14ac:dyDescent="0.25">
      <c r="A1427" s="16">
        <v>42928</v>
      </c>
      <c r="B1427" s="273" t="s">
        <v>21283</v>
      </c>
      <c r="C1427">
        <v>119581</v>
      </c>
      <c r="D1427" s="236" t="s">
        <v>15238</v>
      </c>
      <c r="E1427" s="15">
        <v>6707.5</v>
      </c>
      <c r="F1427" s="274">
        <v>42930</v>
      </c>
      <c r="G1427" s="15">
        <v>6707.5</v>
      </c>
      <c r="H1427" s="15">
        <f>Tabla1[[#This Row],[Importe]]-Tabla1[[#This Row],[Pagado]]</f>
        <v>0</v>
      </c>
      <c r="I1427" s="275" t="s">
        <v>15214</v>
      </c>
    </row>
    <row r="1428" spans="1:9" x14ac:dyDescent="0.25">
      <c r="A1428" s="16">
        <v>42928</v>
      </c>
      <c r="B1428" s="273" t="s">
        <v>21284</v>
      </c>
      <c r="C1428">
        <v>119582</v>
      </c>
      <c r="D1428" s="236" t="s">
        <v>15226</v>
      </c>
      <c r="E1428" s="15">
        <v>3251.5</v>
      </c>
      <c r="F1428" s="274">
        <v>42933</v>
      </c>
      <c r="G1428" s="15">
        <v>3251.5</v>
      </c>
      <c r="H1428" s="15">
        <f>Tabla1[[#This Row],[Importe]]-Tabla1[[#This Row],[Pagado]]</f>
        <v>0</v>
      </c>
      <c r="I1428" s="275" t="s">
        <v>15214</v>
      </c>
    </row>
    <row r="1429" spans="1:9" x14ac:dyDescent="0.25">
      <c r="A1429" s="16">
        <v>42928</v>
      </c>
      <c r="B1429" s="273" t="s">
        <v>21285</v>
      </c>
      <c r="C1429">
        <v>119583</v>
      </c>
      <c r="D1429" s="236" t="s">
        <v>15263</v>
      </c>
      <c r="E1429" s="15">
        <v>2894.9</v>
      </c>
      <c r="F1429" s="274">
        <v>42928</v>
      </c>
      <c r="G1429" s="15">
        <v>2894.9</v>
      </c>
      <c r="H1429" s="15">
        <f>Tabla1[[#This Row],[Importe]]-Tabla1[[#This Row],[Pagado]]</f>
        <v>0</v>
      </c>
      <c r="I1429" s="275" t="s">
        <v>15214</v>
      </c>
    </row>
    <row r="1430" spans="1:9" x14ac:dyDescent="0.25">
      <c r="A1430" s="16">
        <v>42928</v>
      </c>
      <c r="B1430" s="273" t="s">
        <v>21286</v>
      </c>
      <c r="C1430">
        <v>119584</v>
      </c>
      <c r="D1430" s="236" t="s">
        <v>15317</v>
      </c>
      <c r="E1430" s="15">
        <v>3831.9</v>
      </c>
      <c r="F1430" s="274">
        <v>42931</v>
      </c>
      <c r="G1430" s="15">
        <v>3831.9</v>
      </c>
      <c r="H1430" s="15">
        <f>Tabla1[[#This Row],[Importe]]-Tabla1[[#This Row],[Pagado]]</f>
        <v>0</v>
      </c>
      <c r="I1430" s="275" t="s">
        <v>15214</v>
      </c>
    </row>
    <row r="1431" spans="1:9" x14ac:dyDescent="0.25">
      <c r="A1431" s="16">
        <v>42928</v>
      </c>
      <c r="B1431" s="273" t="s">
        <v>21287</v>
      </c>
      <c r="C1431">
        <v>119585</v>
      </c>
      <c r="D1431" s="236" t="s">
        <v>15415</v>
      </c>
      <c r="E1431" s="15">
        <v>929.6</v>
      </c>
      <c r="F1431" s="274">
        <v>42930</v>
      </c>
      <c r="G1431" s="15">
        <v>929.6</v>
      </c>
      <c r="H1431" s="15">
        <f>Tabla1[[#This Row],[Importe]]-Tabla1[[#This Row],[Pagado]]</f>
        <v>0</v>
      </c>
      <c r="I1431" s="275" t="s">
        <v>15214</v>
      </c>
    </row>
    <row r="1432" spans="1:9" x14ac:dyDescent="0.25">
      <c r="A1432" s="16">
        <v>42928</v>
      </c>
      <c r="B1432" s="273" t="s">
        <v>21288</v>
      </c>
      <c r="C1432">
        <v>119586</v>
      </c>
      <c r="D1432" s="236" t="s">
        <v>15252</v>
      </c>
      <c r="E1432" s="15">
        <v>6401</v>
      </c>
      <c r="F1432" s="274">
        <v>42928</v>
      </c>
      <c r="G1432" s="15">
        <v>6401</v>
      </c>
      <c r="H1432" s="15">
        <f>Tabla1[[#This Row],[Importe]]-Tabla1[[#This Row],[Pagado]]</f>
        <v>0</v>
      </c>
      <c r="I1432" s="275" t="s">
        <v>15214</v>
      </c>
    </row>
    <row r="1433" spans="1:9" x14ac:dyDescent="0.25">
      <c r="A1433" s="16">
        <v>42928</v>
      </c>
      <c r="B1433" s="273" t="s">
        <v>21289</v>
      </c>
      <c r="C1433">
        <v>119587</v>
      </c>
      <c r="D1433" s="236" t="s">
        <v>15244</v>
      </c>
      <c r="E1433" s="15">
        <v>15675</v>
      </c>
      <c r="F1433" s="274">
        <v>42933</v>
      </c>
      <c r="G1433" s="15">
        <v>15675</v>
      </c>
      <c r="H1433" s="15">
        <f>Tabla1[[#This Row],[Importe]]-Tabla1[[#This Row],[Pagado]]</f>
        <v>0</v>
      </c>
      <c r="I1433" s="275" t="s">
        <v>15214</v>
      </c>
    </row>
    <row r="1434" spans="1:9" x14ac:dyDescent="0.25">
      <c r="A1434" s="16">
        <v>42928</v>
      </c>
      <c r="B1434" s="273" t="s">
        <v>21290</v>
      </c>
      <c r="C1434">
        <v>119588</v>
      </c>
      <c r="D1434" s="236" t="s">
        <v>15242</v>
      </c>
      <c r="E1434" s="15">
        <v>5255</v>
      </c>
      <c r="F1434" s="274">
        <v>42928</v>
      </c>
      <c r="G1434" s="15">
        <v>5255</v>
      </c>
      <c r="H1434" s="15">
        <f>Tabla1[[#This Row],[Importe]]-Tabla1[[#This Row],[Pagado]]</f>
        <v>0</v>
      </c>
      <c r="I1434" s="275" t="s">
        <v>15214</v>
      </c>
    </row>
    <row r="1435" spans="1:9" x14ac:dyDescent="0.25">
      <c r="A1435" s="16">
        <v>42928</v>
      </c>
      <c r="B1435" s="273" t="s">
        <v>21291</v>
      </c>
      <c r="C1435">
        <v>119589</v>
      </c>
      <c r="D1435" s="236" t="s">
        <v>15326</v>
      </c>
      <c r="E1435" s="15">
        <v>2183.6</v>
      </c>
      <c r="F1435" s="274">
        <v>42928</v>
      </c>
      <c r="G1435" s="15">
        <v>2183.6</v>
      </c>
      <c r="H1435" s="15">
        <f>Tabla1[[#This Row],[Importe]]-Tabla1[[#This Row],[Pagado]]</f>
        <v>0</v>
      </c>
      <c r="I1435" s="275" t="s">
        <v>15214</v>
      </c>
    </row>
    <row r="1436" spans="1:9" x14ac:dyDescent="0.25">
      <c r="A1436" s="16">
        <v>42928</v>
      </c>
      <c r="B1436" s="273" t="s">
        <v>21292</v>
      </c>
      <c r="C1436">
        <v>119590</v>
      </c>
      <c r="D1436" s="236" t="s">
        <v>15655</v>
      </c>
      <c r="E1436" s="15">
        <v>12682.2</v>
      </c>
      <c r="F1436" s="274">
        <v>42928</v>
      </c>
      <c r="G1436" s="15">
        <v>12682.2</v>
      </c>
      <c r="H1436" s="15">
        <f>Tabla1[[#This Row],[Importe]]-Tabla1[[#This Row],[Pagado]]</f>
        <v>0</v>
      </c>
      <c r="I1436" s="275" t="s">
        <v>15214</v>
      </c>
    </row>
    <row r="1437" spans="1:9" x14ac:dyDescent="0.25">
      <c r="A1437" s="16">
        <v>42928</v>
      </c>
      <c r="B1437" s="273" t="s">
        <v>21293</v>
      </c>
      <c r="C1437">
        <v>119591</v>
      </c>
      <c r="D1437" s="236" t="s">
        <v>17929</v>
      </c>
      <c r="E1437" s="15">
        <v>1749.6</v>
      </c>
      <c r="F1437" s="274">
        <v>42928</v>
      </c>
      <c r="G1437" s="15">
        <v>1749.6</v>
      </c>
      <c r="H1437" s="15">
        <f>Tabla1[[#This Row],[Importe]]-Tabla1[[#This Row],[Pagado]]</f>
        <v>0</v>
      </c>
      <c r="I1437" s="275" t="s">
        <v>15214</v>
      </c>
    </row>
    <row r="1438" spans="1:9" x14ac:dyDescent="0.25">
      <c r="A1438" s="16">
        <v>42928</v>
      </c>
      <c r="B1438" s="273" t="s">
        <v>21294</v>
      </c>
      <c r="C1438">
        <v>119592</v>
      </c>
      <c r="D1438" s="236" t="s">
        <v>15438</v>
      </c>
      <c r="E1438" s="15">
        <v>1419</v>
      </c>
      <c r="F1438" s="274">
        <v>42928</v>
      </c>
      <c r="G1438" s="15">
        <v>1419</v>
      </c>
      <c r="H1438" s="15">
        <f>Tabla1[[#This Row],[Importe]]-Tabla1[[#This Row],[Pagado]]</f>
        <v>0</v>
      </c>
      <c r="I1438" s="275" t="s">
        <v>15214</v>
      </c>
    </row>
    <row r="1439" spans="1:9" x14ac:dyDescent="0.25">
      <c r="A1439" s="16">
        <v>42928</v>
      </c>
      <c r="B1439" s="273" t="s">
        <v>21295</v>
      </c>
      <c r="C1439">
        <v>119593</v>
      </c>
      <c r="D1439" s="236" t="s">
        <v>18082</v>
      </c>
      <c r="E1439" s="15">
        <v>38884.81</v>
      </c>
      <c r="F1439" s="274">
        <v>42928</v>
      </c>
      <c r="G1439" s="15">
        <v>38884.81</v>
      </c>
      <c r="H1439" s="15">
        <f>Tabla1[[#This Row],[Importe]]-Tabla1[[#This Row],[Pagado]]</f>
        <v>0</v>
      </c>
      <c r="I1439" s="275" t="s">
        <v>15214</v>
      </c>
    </row>
    <row r="1440" spans="1:9" x14ac:dyDescent="0.25">
      <c r="A1440" s="16">
        <v>42928</v>
      </c>
      <c r="B1440" s="273" t="s">
        <v>21296</v>
      </c>
      <c r="C1440">
        <v>119594</v>
      </c>
      <c r="D1440" s="236" t="s">
        <v>15378</v>
      </c>
      <c r="E1440" s="15">
        <v>4318.3999999999996</v>
      </c>
      <c r="F1440" s="274">
        <v>42928</v>
      </c>
      <c r="G1440" s="15">
        <v>4318.3999999999996</v>
      </c>
      <c r="H1440" s="15">
        <f>Tabla1[[#This Row],[Importe]]-Tabla1[[#This Row],[Pagado]]</f>
        <v>0</v>
      </c>
      <c r="I1440" s="275" t="s">
        <v>15214</v>
      </c>
    </row>
    <row r="1441" spans="1:9" x14ac:dyDescent="0.25">
      <c r="A1441" s="16">
        <v>42928</v>
      </c>
      <c r="B1441" s="273" t="s">
        <v>21297</v>
      </c>
      <c r="C1441">
        <v>119595</v>
      </c>
      <c r="D1441" s="236" t="s">
        <v>15438</v>
      </c>
      <c r="E1441" s="15">
        <v>1738.8</v>
      </c>
      <c r="F1441" s="274">
        <v>42928</v>
      </c>
      <c r="G1441" s="15">
        <v>1738.8</v>
      </c>
      <c r="H1441" s="15">
        <f>Tabla1[[#This Row],[Importe]]-Tabla1[[#This Row],[Pagado]]</f>
        <v>0</v>
      </c>
      <c r="I1441" s="275" t="s">
        <v>15214</v>
      </c>
    </row>
    <row r="1442" spans="1:9" x14ac:dyDescent="0.25">
      <c r="A1442" s="16">
        <v>42928</v>
      </c>
      <c r="B1442" s="273" t="s">
        <v>21298</v>
      </c>
      <c r="C1442">
        <v>119596</v>
      </c>
      <c r="D1442" s="236" t="s">
        <v>15280</v>
      </c>
      <c r="E1442" s="15">
        <v>8334.6</v>
      </c>
      <c r="F1442" s="274">
        <v>42928</v>
      </c>
      <c r="G1442" s="15">
        <v>8334.6</v>
      </c>
      <c r="H1442" s="15">
        <f>Tabla1[[#This Row],[Importe]]-Tabla1[[#This Row],[Pagado]]</f>
        <v>0</v>
      </c>
      <c r="I1442" s="275" t="s">
        <v>15214</v>
      </c>
    </row>
    <row r="1443" spans="1:9" ht="15.75" x14ac:dyDescent="0.25">
      <c r="A1443" s="16">
        <v>42928</v>
      </c>
      <c r="B1443" s="273" t="s">
        <v>21299</v>
      </c>
      <c r="C1443">
        <v>119597</v>
      </c>
      <c r="D1443" s="248" t="s">
        <v>95</v>
      </c>
      <c r="E1443" s="15">
        <v>0</v>
      </c>
      <c r="F1443" s="280" t="s">
        <v>95</v>
      </c>
      <c r="G1443" s="15">
        <v>0</v>
      </c>
      <c r="H1443" s="15">
        <f>Tabla1[[#This Row],[Importe]]-Tabla1[[#This Row],[Pagado]]</f>
        <v>0</v>
      </c>
      <c r="I1443" s="275" t="s">
        <v>95</v>
      </c>
    </row>
    <row r="1444" spans="1:9" x14ac:dyDescent="0.25">
      <c r="A1444" s="16">
        <v>42928</v>
      </c>
      <c r="B1444" s="273" t="s">
        <v>21300</v>
      </c>
      <c r="C1444">
        <v>119598</v>
      </c>
      <c r="D1444" s="236" t="s">
        <v>15380</v>
      </c>
      <c r="E1444" s="15">
        <v>48661.1</v>
      </c>
      <c r="F1444" s="274">
        <v>42945</v>
      </c>
      <c r="G1444" s="15">
        <v>48661.1</v>
      </c>
      <c r="H1444" s="15">
        <f>Tabla1[[#This Row],[Importe]]-Tabla1[[#This Row],[Pagado]]</f>
        <v>0</v>
      </c>
      <c r="I1444" s="275" t="s">
        <v>15214</v>
      </c>
    </row>
    <row r="1445" spans="1:9" x14ac:dyDescent="0.25">
      <c r="A1445" s="16">
        <v>42928</v>
      </c>
      <c r="B1445" s="273" t="s">
        <v>21301</v>
      </c>
      <c r="C1445">
        <v>119599</v>
      </c>
      <c r="D1445" s="236" t="s">
        <v>19549</v>
      </c>
      <c r="E1445" s="15">
        <v>15365</v>
      </c>
      <c r="F1445" s="274">
        <v>42929</v>
      </c>
      <c r="G1445" s="15">
        <v>15365</v>
      </c>
      <c r="H1445" s="15">
        <f>Tabla1[[#This Row],[Importe]]-Tabla1[[#This Row],[Pagado]]</f>
        <v>0</v>
      </c>
      <c r="I1445" s="275" t="s">
        <v>15214</v>
      </c>
    </row>
    <row r="1446" spans="1:9" ht="15.75" x14ac:dyDescent="0.25">
      <c r="A1446" s="16">
        <v>42928</v>
      </c>
      <c r="B1446" s="273" t="s">
        <v>21302</v>
      </c>
      <c r="C1446">
        <v>119600</v>
      </c>
      <c r="D1446" s="248" t="s">
        <v>95</v>
      </c>
      <c r="E1446" s="15">
        <v>0</v>
      </c>
      <c r="F1446" s="280" t="s">
        <v>95</v>
      </c>
      <c r="G1446" s="15">
        <v>0</v>
      </c>
      <c r="H1446" s="15">
        <f>Tabla1[[#This Row],[Importe]]-Tabla1[[#This Row],[Pagado]]</f>
        <v>0</v>
      </c>
      <c r="I1446" s="275" t="s">
        <v>95</v>
      </c>
    </row>
    <row r="1447" spans="1:9" x14ac:dyDescent="0.25">
      <c r="A1447" s="16">
        <v>42928</v>
      </c>
      <c r="B1447" s="273" t="s">
        <v>21303</v>
      </c>
      <c r="C1447">
        <v>119601</v>
      </c>
      <c r="D1447" s="236" t="s">
        <v>15389</v>
      </c>
      <c r="E1447" s="15">
        <v>13632</v>
      </c>
      <c r="F1447" s="274">
        <v>42940</v>
      </c>
      <c r="G1447" s="15">
        <v>13632</v>
      </c>
      <c r="H1447" s="15">
        <f>Tabla1[[#This Row],[Importe]]-Tabla1[[#This Row],[Pagado]]</f>
        <v>0</v>
      </c>
      <c r="I1447" s="275" t="s">
        <v>15214</v>
      </c>
    </row>
    <row r="1448" spans="1:9" ht="30" x14ac:dyDescent="0.25">
      <c r="A1448" s="16">
        <v>42928</v>
      </c>
      <c r="B1448" s="273" t="s">
        <v>21304</v>
      </c>
      <c r="C1448">
        <v>119602</v>
      </c>
      <c r="D1448" s="236" t="s">
        <v>15394</v>
      </c>
      <c r="E1448" s="15">
        <v>14092.8</v>
      </c>
      <c r="F1448" s="274" t="s">
        <v>21305</v>
      </c>
      <c r="G1448" s="241">
        <f>7092.8+7000</f>
        <v>14092.8</v>
      </c>
      <c r="H1448" s="241">
        <f>Tabla1[[#This Row],[Importe]]-Tabla1[[#This Row],[Pagado]]</f>
        <v>0</v>
      </c>
      <c r="I1448" s="275" t="s">
        <v>15214</v>
      </c>
    </row>
    <row r="1449" spans="1:9" x14ac:dyDescent="0.25">
      <c r="A1449" s="16">
        <v>42928</v>
      </c>
      <c r="B1449" s="273" t="s">
        <v>21306</v>
      </c>
      <c r="C1449">
        <v>119603</v>
      </c>
      <c r="D1449" s="236" t="s">
        <v>15373</v>
      </c>
      <c r="E1449" s="15">
        <v>9720</v>
      </c>
      <c r="F1449" s="274">
        <v>42929</v>
      </c>
      <c r="G1449" s="15">
        <v>9720</v>
      </c>
      <c r="H1449" s="15">
        <f>Tabla1[[#This Row],[Importe]]-Tabla1[[#This Row],[Pagado]]</f>
        <v>0</v>
      </c>
      <c r="I1449" s="275" t="s">
        <v>15214</v>
      </c>
    </row>
    <row r="1450" spans="1:9" ht="15.75" x14ac:dyDescent="0.25">
      <c r="A1450" s="16">
        <v>42928</v>
      </c>
      <c r="B1450" s="273" t="s">
        <v>21307</v>
      </c>
      <c r="C1450">
        <v>119604</v>
      </c>
      <c r="D1450" s="248" t="s">
        <v>95</v>
      </c>
      <c r="E1450" s="15">
        <v>0</v>
      </c>
      <c r="F1450" s="280" t="s">
        <v>95</v>
      </c>
      <c r="G1450" s="15">
        <v>0</v>
      </c>
      <c r="H1450" s="15">
        <f>Tabla1[[#This Row],[Importe]]-Tabla1[[#This Row],[Pagado]]</f>
        <v>0</v>
      </c>
      <c r="I1450" s="275" t="s">
        <v>95</v>
      </c>
    </row>
    <row r="1451" spans="1:9" x14ac:dyDescent="0.25">
      <c r="A1451" s="16">
        <v>42928</v>
      </c>
      <c r="B1451" s="273" t="s">
        <v>21308</v>
      </c>
      <c r="C1451">
        <v>119605</v>
      </c>
      <c r="D1451" s="236" t="s">
        <v>15382</v>
      </c>
      <c r="E1451" s="15">
        <v>10730.4</v>
      </c>
      <c r="F1451" s="274">
        <v>42940</v>
      </c>
      <c r="G1451" s="15">
        <v>10730.4</v>
      </c>
      <c r="H1451" s="15">
        <f>Tabla1[[#This Row],[Importe]]-Tabla1[[#This Row],[Pagado]]</f>
        <v>0</v>
      </c>
      <c r="I1451" s="275" t="s">
        <v>15214</v>
      </c>
    </row>
    <row r="1452" spans="1:9" x14ac:dyDescent="0.25">
      <c r="A1452" s="16">
        <v>42928</v>
      </c>
      <c r="B1452" s="273" t="s">
        <v>21309</v>
      </c>
      <c r="C1452">
        <v>119606</v>
      </c>
      <c r="D1452" s="236" t="s">
        <v>15526</v>
      </c>
      <c r="E1452" s="15">
        <v>5836.8</v>
      </c>
      <c r="F1452" s="274">
        <v>42928</v>
      </c>
      <c r="G1452" s="15">
        <v>5836.8</v>
      </c>
      <c r="H1452" s="15">
        <f>Tabla1[[#This Row],[Importe]]-Tabla1[[#This Row],[Pagado]]</f>
        <v>0</v>
      </c>
      <c r="I1452" s="275" t="s">
        <v>15214</v>
      </c>
    </row>
    <row r="1453" spans="1:9" x14ac:dyDescent="0.25">
      <c r="A1453" s="16">
        <v>42928</v>
      </c>
      <c r="B1453" s="273" t="s">
        <v>21310</v>
      </c>
      <c r="C1453">
        <v>119607</v>
      </c>
      <c r="D1453" s="236" t="s">
        <v>15278</v>
      </c>
      <c r="E1453" s="15">
        <v>7491</v>
      </c>
      <c r="F1453" s="274">
        <v>42928</v>
      </c>
      <c r="G1453" s="15">
        <v>7491</v>
      </c>
      <c r="H1453" s="15">
        <f>Tabla1[[#This Row],[Importe]]-Tabla1[[#This Row],[Pagado]]</f>
        <v>0</v>
      </c>
      <c r="I1453" s="275" t="s">
        <v>15214</v>
      </c>
    </row>
    <row r="1454" spans="1:9" x14ac:dyDescent="0.25">
      <c r="A1454" s="16">
        <v>42928</v>
      </c>
      <c r="B1454" s="273" t="s">
        <v>21311</v>
      </c>
      <c r="C1454">
        <v>119608</v>
      </c>
      <c r="D1454" s="236" t="s">
        <v>15858</v>
      </c>
      <c r="E1454" s="15">
        <v>385</v>
      </c>
      <c r="F1454" s="274">
        <v>42928</v>
      </c>
      <c r="G1454" s="15">
        <v>385</v>
      </c>
      <c r="H1454" s="15">
        <f>Tabla1[[#This Row],[Importe]]-Tabla1[[#This Row],[Pagado]]</f>
        <v>0</v>
      </c>
      <c r="I1454" s="275" t="s">
        <v>15214</v>
      </c>
    </row>
    <row r="1455" spans="1:9" x14ac:dyDescent="0.25">
      <c r="A1455" s="16">
        <v>42928</v>
      </c>
      <c r="B1455" s="273" t="s">
        <v>21312</v>
      </c>
      <c r="C1455">
        <v>119609</v>
      </c>
      <c r="D1455" s="236" t="s">
        <v>15523</v>
      </c>
      <c r="E1455" s="15">
        <v>1655.5</v>
      </c>
      <c r="F1455" s="274">
        <v>42928</v>
      </c>
      <c r="G1455" s="15">
        <v>1655.5</v>
      </c>
      <c r="H1455" s="15">
        <f>Tabla1[[#This Row],[Importe]]-Tabla1[[#This Row],[Pagado]]</f>
        <v>0</v>
      </c>
      <c r="I1455" s="275" t="s">
        <v>15214</v>
      </c>
    </row>
    <row r="1456" spans="1:9" x14ac:dyDescent="0.25">
      <c r="A1456" s="16">
        <v>42928</v>
      </c>
      <c r="B1456" s="273" t="s">
        <v>21313</v>
      </c>
      <c r="C1456">
        <v>119610</v>
      </c>
      <c r="D1456" s="236" t="s">
        <v>15742</v>
      </c>
      <c r="E1456" s="15">
        <v>1988</v>
      </c>
      <c r="F1456" s="274">
        <v>42928</v>
      </c>
      <c r="G1456" s="15">
        <v>1988</v>
      </c>
      <c r="H1456" s="15">
        <f>Tabla1[[#This Row],[Importe]]-Tabla1[[#This Row],[Pagado]]</f>
        <v>0</v>
      </c>
      <c r="I1456" s="275" t="s">
        <v>15214</v>
      </c>
    </row>
    <row r="1457" spans="1:9" x14ac:dyDescent="0.25">
      <c r="A1457" s="16">
        <v>42928</v>
      </c>
      <c r="B1457" s="273" t="s">
        <v>21314</v>
      </c>
      <c r="C1457">
        <v>119611</v>
      </c>
      <c r="D1457" s="236" t="s">
        <v>15358</v>
      </c>
      <c r="E1457" s="15">
        <v>1398.6</v>
      </c>
      <c r="F1457" s="274">
        <v>42928</v>
      </c>
      <c r="G1457" s="15">
        <v>1398.6</v>
      </c>
      <c r="H1457" s="15">
        <f>Tabla1[[#This Row],[Importe]]-Tabla1[[#This Row],[Pagado]]</f>
        <v>0</v>
      </c>
      <c r="I1457" s="275" t="s">
        <v>15214</v>
      </c>
    </row>
    <row r="1458" spans="1:9" x14ac:dyDescent="0.25">
      <c r="A1458" s="16">
        <v>42928</v>
      </c>
      <c r="B1458" s="273" t="s">
        <v>21315</v>
      </c>
      <c r="C1458">
        <v>119612</v>
      </c>
      <c r="D1458" s="236" t="s">
        <v>15358</v>
      </c>
      <c r="E1458" s="15">
        <v>2311.1999999999998</v>
      </c>
      <c r="F1458" s="274">
        <v>42928</v>
      </c>
      <c r="G1458" s="15">
        <v>2311.1999999999998</v>
      </c>
      <c r="H1458" s="15">
        <f>Tabla1[[#This Row],[Importe]]-Tabla1[[#This Row],[Pagado]]</f>
        <v>0</v>
      </c>
      <c r="I1458" s="275" t="s">
        <v>15214</v>
      </c>
    </row>
    <row r="1459" spans="1:9" x14ac:dyDescent="0.25">
      <c r="A1459" s="16">
        <v>42928</v>
      </c>
      <c r="B1459" s="273" t="s">
        <v>21316</v>
      </c>
      <c r="C1459">
        <v>119613</v>
      </c>
      <c r="D1459" s="236" t="s">
        <v>15332</v>
      </c>
      <c r="E1459" s="15">
        <v>1915.2</v>
      </c>
      <c r="F1459" s="274">
        <v>42928</v>
      </c>
      <c r="G1459" s="15">
        <v>1915.2</v>
      </c>
      <c r="H1459" s="15">
        <f>Tabla1[[#This Row],[Importe]]-Tabla1[[#This Row],[Pagado]]</f>
        <v>0</v>
      </c>
      <c r="I1459" s="275" t="s">
        <v>15214</v>
      </c>
    </row>
    <row r="1460" spans="1:9" x14ac:dyDescent="0.25">
      <c r="A1460" s="16">
        <v>42928</v>
      </c>
      <c r="B1460" s="273" t="s">
        <v>21317</v>
      </c>
      <c r="C1460">
        <v>119614</v>
      </c>
      <c r="D1460" s="236" t="s">
        <v>17277</v>
      </c>
      <c r="E1460" s="15">
        <v>3513.1</v>
      </c>
      <c r="F1460" s="274">
        <v>42928</v>
      </c>
      <c r="G1460" s="15">
        <v>3513.1</v>
      </c>
      <c r="H1460" s="15">
        <f>Tabla1[[#This Row],[Importe]]-Tabla1[[#This Row],[Pagado]]</f>
        <v>0</v>
      </c>
      <c r="I1460" s="275" t="s">
        <v>15214</v>
      </c>
    </row>
    <row r="1461" spans="1:9" x14ac:dyDescent="0.25">
      <c r="A1461" s="16">
        <v>42928</v>
      </c>
      <c r="B1461" s="273" t="s">
        <v>21318</v>
      </c>
      <c r="C1461">
        <v>119615</v>
      </c>
      <c r="D1461" s="236" t="s">
        <v>15336</v>
      </c>
      <c r="E1461" s="15">
        <v>7500.6</v>
      </c>
      <c r="F1461" s="274">
        <v>42928</v>
      </c>
      <c r="G1461" s="15">
        <v>7500.6</v>
      </c>
      <c r="H1461" s="15">
        <f>Tabla1[[#This Row],[Importe]]-Tabla1[[#This Row],[Pagado]]</f>
        <v>0</v>
      </c>
      <c r="I1461" s="275" t="s">
        <v>15214</v>
      </c>
    </row>
    <row r="1462" spans="1:9" x14ac:dyDescent="0.25">
      <c r="A1462" s="16">
        <v>42928</v>
      </c>
      <c r="B1462" s="273" t="s">
        <v>21319</v>
      </c>
      <c r="C1462">
        <v>119616</v>
      </c>
      <c r="D1462" s="236" t="s">
        <v>15284</v>
      </c>
      <c r="E1462" s="15">
        <v>817.8</v>
      </c>
      <c r="F1462" s="274">
        <v>42928</v>
      </c>
      <c r="G1462" s="15">
        <v>817.8</v>
      </c>
      <c r="H1462" s="15">
        <f>Tabla1[[#This Row],[Importe]]-Tabla1[[#This Row],[Pagado]]</f>
        <v>0</v>
      </c>
      <c r="I1462" s="275" t="s">
        <v>15214</v>
      </c>
    </row>
    <row r="1463" spans="1:9" x14ac:dyDescent="0.25">
      <c r="A1463" s="16">
        <v>42928</v>
      </c>
      <c r="B1463" s="273" t="s">
        <v>21320</v>
      </c>
      <c r="C1463">
        <v>119617</v>
      </c>
      <c r="D1463" s="236" t="s">
        <v>15732</v>
      </c>
      <c r="E1463" s="15">
        <v>1966.5</v>
      </c>
      <c r="F1463" s="274">
        <v>42928</v>
      </c>
      <c r="G1463" s="15">
        <v>1966.5</v>
      </c>
      <c r="H1463" s="15">
        <f>Tabla1[[#This Row],[Importe]]-Tabla1[[#This Row],[Pagado]]</f>
        <v>0</v>
      </c>
      <c r="I1463" s="275" t="s">
        <v>15214</v>
      </c>
    </row>
    <row r="1464" spans="1:9" x14ac:dyDescent="0.25">
      <c r="A1464" s="16">
        <v>42928</v>
      </c>
      <c r="B1464" s="273" t="s">
        <v>21321</v>
      </c>
      <c r="C1464">
        <v>119618</v>
      </c>
      <c r="D1464" s="236" t="s">
        <v>15315</v>
      </c>
      <c r="E1464" s="15">
        <v>866.4</v>
      </c>
      <c r="F1464" s="274">
        <v>42928</v>
      </c>
      <c r="G1464" s="15">
        <v>866.4</v>
      </c>
      <c r="H1464" s="15">
        <f>Tabla1[[#This Row],[Importe]]-Tabla1[[#This Row],[Pagado]]</f>
        <v>0</v>
      </c>
      <c r="I1464" s="275" t="s">
        <v>15214</v>
      </c>
    </row>
    <row r="1465" spans="1:9" x14ac:dyDescent="0.25">
      <c r="A1465" s="16">
        <v>42928</v>
      </c>
      <c r="B1465" s="273" t="s">
        <v>21322</v>
      </c>
      <c r="C1465">
        <v>119619</v>
      </c>
      <c r="D1465" s="236" t="s">
        <v>15555</v>
      </c>
      <c r="E1465" s="15">
        <v>45832.78</v>
      </c>
      <c r="F1465" s="274">
        <v>42935</v>
      </c>
      <c r="G1465" s="15">
        <v>45832.78</v>
      </c>
      <c r="H1465" s="15">
        <f>Tabla1[[#This Row],[Importe]]-Tabla1[[#This Row],[Pagado]]</f>
        <v>0</v>
      </c>
      <c r="I1465" s="275" t="s">
        <v>15214</v>
      </c>
    </row>
    <row r="1466" spans="1:9" x14ac:dyDescent="0.25">
      <c r="A1466" s="16">
        <v>42928</v>
      </c>
      <c r="B1466" s="273" t="s">
        <v>21323</v>
      </c>
      <c r="C1466">
        <v>119620</v>
      </c>
      <c r="D1466" s="236" t="s">
        <v>18544</v>
      </c>
      <c r="E1466" s="15">
        <v>8026</v>
      </c>
      <c r="F1466" s="274">
        <v>42928</v>
      </c>
      <c r="G1466" s="15">
        <v>8026</v>
      </c>
      <c r="H1466" s="15">
        <f>Tabla1[[#This Row],[Importe]]-Tabla1[[#This Row],[Pagado]]</f>
        <v>0</v>
      </c>
      <c r="I1466" s="275" t="s">
        <v>15214</v>
      </c>
    </row>
    <row r="1467" spans="1:9" x14ac:dyDescent="0.25">
      <c r="A1467" s="16">
        <v>42928</v>
      </c>
      <c r="B1467" s="273" t="s">
        <v>21324</v>
      </c>
      <c r="C1467">
        <v>119621</v>
      </c>
      <c r="D1467" s="236" t="s">
        <v>15340</v>
      </c>
      <c r="E1467" s="15">
        <v>6760.8</v>
      </c>
      <c r="F1467" s="274">
        <v>42928</v>
      </c>
      <c r="G1467" s="15">
        <v>6760.8</v>
      </c>
      <c r="H1467" s="15">
        <f>Tabla1[[#This Row],[Importe]]-Tabla1[[#This Row],[Pagado]]</f>
        <v>0</v>
      </c>
      <c r="I1467" s="275" t="s">
        <v>15214</v>
      </c>
    </row>
    <row r="1468" spans="1:9" x14ac:dyDescent="0.25">
      <c r="A1468" s="16">
        <v>42928</v>
      </c>
      <c r="B1468" s="273" t="s">
        <v>21325</v>
      </c>
      <c r="C1468">
        <v>119622</v>
      </c>
      <c r="D1468" s="236" t="s">
        <v>15544</v>
      </c>
      <c r="E1468" s="15">
        <v>2643.2</v>
      </c>
      <c r="F1468" s="274">
        <v>42930</v>
      </c>
      <c r="G1468" s="15">
        <v>2643.2</v>
      </c>
      <c r="H1468" s="15">
        <f>Tabla1[[#This Row],[Importe]]-Tabla1[[#This Row],[Pagado]]</f>
        <v>0</v>
      </c>
      <c r="I1468" s="275" t="s">
        <v>15214</v>
      </c>
    </row>
    <row r="1469" spans="1:9" x14ac:dyDescent="0.25">
      <c r="A1469" s="16">
        <v>42928</v>
      </c>
      <c r="B1469" s="273" t="s">
        <v>21326</v>
      </c>
      <c r="C1469">
        <v>119623</v>
      </c>
      <c r="D1469" s="236" t="s">
        <v>16139</v>
      </c>
      <c r="E1469" s="15">
        <v>2203.1999999999998</v>
      </c>
      <c r="F1469" s="274">
        <v>42930</v>
      </c>
      <c r="G1469" s="15">
        <v>2203.1999999999998</v>
      </c>
      <c r="H1469" s="15">
        <f>Tabla1[[#This Row],[Importe]]-Tabla1[[#This Row],[Pagado]]</f>
        <v>0</v>
      </c>
      <c r="I1469" s="275" t="s">
        <v>15214</v>
      </c>
    </row>
    <row r="1470" spans="1:9" x14ac:dyDescent="0.25">
      <c r="A1470" s="16">
        <v>42928</v>
      </c>
      <c r="B1470" s="273" t="s">
        <v>21327</v>
      </c>
      <c r="C1470">
        <v>119624</v>
      </c>
      <c r="D1470" s="236" t="s">
        <v>15539</v>
      </c>
      <c r="E1470" s="15">
        <v>21762.3</v>
      </c>
      <c r="F1470" s="274">
        <v>42935</v>
      </c>
      <c r="G1470" s="15">
        <v>21762.3</v>
      </c>
      <c r="H1470" s="15">
        <f>Tabla1[[#This Row],[Importe]]-Tabla1[[#This Row],[Pagado]]</f>
        <v>0</v>
      </c>
      <c r="I1470" s="275" t="s">
        <v>15214</v>
      </c>
    </row>
    <row r="1471" spans="1:9" x14ac:dyDescent="0.25">
      <c r="A1471" s="16">
        <v>42928</v>
      </c>
      <c r="B1471" s="273" t="s">
        <v>21328</v>
      </c>
      <c r="C1471">
        <v>119625</v>
      </c>
      <c r="D1471" s="236" t="s">
        <v>15537</v>
      </c>
      <c r="E1471" s="15">
        <v>22894.9</v>
      </c>
      <c r="F1471" s="274">
        <v>42935</v>
      </c>
      <c r="G1471" s="15">
        <v>22894.9</v>
      </c>
      <c r="H1471" s="15">
        <f>Tabla1[[#This Row],[Importe]]-Tabla1[[#This Row],[Pagado]]</f>
        <v>0</v>
      </c>
      <c r="I1471" s="275" t="s">
        <v>15214</v>
      </c>
    </row>
    <row r="1472" spans="1:9" x14ac:dyDescent="0.25">
      <c r="A1472" s="16">
        <v>42928</v>
      </c>
      <c r="B1472" s="273" t="s">
        <v>21329</v>
      </c>
      <c r="C1472">
        <v>119626</v>
      </c>
      <c r="D1472" s="236" t="s">
        <v>15642</v>
      </c>
      <c r="E1472" s="15">
        <v>396</v>
      </c>
      <c r="F1472" s="274">
        <v>42928</v>
      </c>
      <c r="G1472" s="15">
        <v>396</v>
      </c>
      <c r="H1472" s="15">
        <f>Tabla1[[#This Row],[Importe]]-Tabla1[[#This Row],[Pagado]]</f>
        <v>0</v>
      </c>
      <c r="I1472" s="275" t="s">
        <v>15214</v>
      </c>
    </row>
    <row r="1473" spans="1:9" x14ac:dyDescent="0.25">
      <c r="A1473" s="16">
        <v>42928</v>
      </c>
      <c r="B1473" s="273" t="s">
        <v>21330</v>
      </c>
      <c r="C1473">
        <v>119627</v>
      </c>
      <c r="D1473" s="236" t="s">
        <v>15789</v>
      </c>
      <c r="E1473" s="15">
        <v>4636.8</v>
      </c>
      <c r="F1473" s="274">
        <v>42928</v>
      </c>
      <c r="G1473" s="15">
        <v>4636.8</v>
      </c>
      <c r="H1473" s="15">
        <f>Tabla1[[#This Row],[Importe]]-Tabla1[[#This Row],[Pagado]]</f>
        <v>0</v>
      </c>
      <c r="I1473" s="275" t="s">
        <v>15214</v>
      </c>
    </row>
    <row r="1474" spans="1:9" x14ac:dyDescent="0.25">
      <c r="A1474" s="16">
        <v>42928</v>
      </c>
      <c r="B1474" s="273" t="s">
        <v>21331</v>
      </c>
      <c r="C1474">
        <v>119628</v>
      </c>
      <c r="D1474" s="236" t="s">
        <v>15315</v>
      </c>
      <c r="E1474" s="15">
        <v>1188.2</v>
      </c>
      <c r="F1474" s="274">
        <v>42930</v>
      </c>
      <c r="G1474" s="15">
        <v>1188.2</v>
      </c>
      <c r="H1474" s="15">
        <f>Tabla1[[#This Row],[Importe]]-Tabla1[[#This Row],[Pagado]]</f>
        <v>0</v>
      </c>
      <c r="I1474" s="275" t="s">
        <v>15214</v>
      </c>
    </row>
    <row r="1475" spans="1:9" x14ac:dyDescent="0.25">
      <c r="A1475" s="16">
        <v>42928</v>
      </c>
      <c r="B1475" s="273" t="s">
        <v>21332</v>
      </c>
      <c r="C1475">
        <v>119629</v>
      </c>
      <c r="D1475" s="236" t="s">
        <v>15537</v>
      </c>
      <c r="E1475" s="15">
        <v>2736</v>
      </c>
      <c r="F1475" s="274">
        <v>42935</v>
      </c>
      <c r="G1475" s="15">
        <v>2736</v>
      </c>
      <c r="H1475" s="15">
        <f>Tabla1[[#This Row],[Importe]]-Tabla1[[#This Row],[Pagado]]</f>
        <v>0</v>
      </c>
      <c r="I1475" s="275" t="s">
        <v>15214</v>
      </c>
    </row>
    <row r="1476" spans="1:9" x14ac:dyDescent="0.25">
      <c r="A1476" s="16">
        <v>42928</v>
      </c>
      <c r="B1476" s="273" t="s">
        <v>21333</v>
      </c>
      <c r="C1476">
        <v>119630</v>
      </c>
      <c r="D1476" s="236" t="s">
        <v>15315</v>
      </c>
      <c r="E1476" s="15">
        <v>671</v>
      </c>
      <c r="F1476" s="274">
        <v>42938</v>
      </c>
      <c r="G1476" s="15">
        <v>671</v>
      </c>
      <c r="H1476" s="15">
        <f>Tabla1[[#This Row],[Importe]]-Tabla1[[#This Row],[Pagado]]</f>
        <v>0</v>
      </c>
      <c r="I1476" s="275" t="s">
        <v>15214</v>
      </c>
    </row>
    <row r="1477" spans="1:9" x14ac:dyDescent="0.25">
      <c r="A1477" s="16">
        <v>42928</v>
      </c>
      <c r="B1477" s="273" t="s">
        <v>21334</v>
      </c>
      <c r="C1477">
        <v>119631</v>
      </c>
      <c r="D1477" s="236" t="s">
        <v>15391</v>
      </c>
      <c r="E1477" s="15">
        <v>7694.4</v>
      </c>
      <c r="F1477" s="274">
        <v>42929</v>
      </c>
      <c r="G1477" s="15">
        <v>7694.4</v>
      </c>
      <c r="H1477" s="15">
        <f>Tabla1[[#This Row],[Importe]]-Tabla1[[#This Row],[Pagado]]</f>
        <v>0</v>
      </c>
      <c r="I1477" s="275" t="s">
        <v>15214</v>
      </c>
    </row>
    <row r="1478" spans="1:9" x14ac:dyDescent="0.25">
      <c r="A1478" s="16">
        <v>42928</v>
      </c>
      <c r="B1478" s="273" t="s">
        <v>21335</v>
      </c>
      <c r="C1478">
        <v>119632</v>
      </c>
      <c r="D1478" s="236" t="s">
        <v>15568</v>
      </c>
      <c r="E1478" s="15">
        <v>770</v>
      </c>
      <c r="F1478" s="274">
        <v>42928</v>
      </c>
      <c r="G1478" s="15">
        <v>770</v>
      </c>
      <c r="H1478" s="15">
        <f>Tabla1[[#This Row],[Importe]]-Tabla1[[#This Row],[Pagado]]</f>
        <v>0</v>
      </c>
      <c r="I1478" s="275" t="s">
        <v>15214</v>
      </c>
    </row>
    <row r="1479" spans="1:9" x14ac:dyDescent="0.25">
      <c r="A1479" s="16">
        <v>42928</v>
      </c>
      <c r="B1479" s="273" t="s">
        <v>21336</v>
      </c>
      <c r="C1479">
        <v>119633</v>
      </c>
      <c r="D1479" s="236" t="s">
        <v>15590</v>
      </c>
      <c r="E1479" s="15">
        <v>32742</v>
      </c>
      <c r="F1479" s="274">
        <v>42928</v>
      </c>
      <c r="G1479" s="15">
        <v>32742</v>
      </c>
      <c r="H1479" s="15">
        <f>Tabla1[[#This Row],[Importe]]-Tabla1[[#This Row],[Pagado]]</f>
        <v>0</v>
      </c>
      <c r="I1479" s="275" t="s">
        <v>15214</v>
      </c>
    </row>
    <row r="1480" spans="1:9" x14ac:dyDescent="0.25">
      <c r="A1480" s="16">
        <v>42928</v>
      </c>
      <c r="B1480" s="273" t="s">
        <v>21337</v>
      </c>
      <c r="C1480">
        <v>119634</v>
      </c>
      <c r="D1480" s="236" t="s">
        <v>19773</v>
      </c>
      <c r="E1480" s="15">
        <v>5586.54</v>
      </c>
      <c r="F1480" s="274">
        <v>42933</v>
      </c>
      <c r="G1480" s="15">
        <v>5586.54</v>
      </c>
      <c r="H1480" s="15">
        <f>Tabla1[[#This Row],[Importe]]-Tabla1[[#This Row],[Pagado]]</f>
        <v>0</v>
      </c>
      <c r="I1480" s="275" t="s">
        <v>15214</v>
      </c>
    </row>
    <row r="1481" spans="1:9" x14ac:dyDescent="0.25">
      <c r="A1481" s="16">
        <v>42928</v>
      </c>
      <c r="B1481" s="273" t="s">
        <v>21338</v>
      </c>
      <c r="C1481">
        <v>119635</v>
      </c>
      <c r="D1481" s="236" t="s">
        <v>15324</v>
      </c>
      <c r="E1481" s="15">
        <v>2590</v>
      </c>
      <c r="F1481" s="274">
        <v>42929</v>
      </c>
      <c r="G1481" s="15">
        <v>2590</v>
      </c>
      <c r="H1481" s="15">
        <f>Tabla1[[#This Row],[Importe]]-Tabla1[[#This Row],[Pagado]]</f>
        <v>0</v>
      </c>
      <c r="I1481" s="275" t="s">
        <v>15214</v>
      </c>
    </row>
    <row r="1482" spans="1:9" ht="30" x14ac:dyDescent="0.25">
      <c r="A1482" s="16">
        <v>42928</v>
      </c>
      <c r="B1482" s="273" t="s">
        <v>21339</v>
      </c>
      <c r="C1482">
        <v>119636</v>
      </c>
      <c r="D1482" s="236" t="s">
        <v>15248</v>
      </c>
      <c r="E1482" s="15">
        <v>19086.72</v>
      </c>
      <c r="F1482" s="274" t="s">
        <v>20991</v>
      </c>
      <c r="G1482" s="241">
        <f>10000+9086.72</f>
        <v>19086.72</v>
      </c>
      <c r="H1482" s="241">
        <f>Tabla1[[#This Row],[Importe]]-Tabla1[[#This Row],[Pagado]]</f>
        <v>0</v>
      </c>
      <c r="I1482" s="275" t="s">
        <v>15214</v>
      </c>
    </row>
    <row r="1483" spans="1:9" x14ac:dyDescent="0.25">
      <c r="A1483" s="16">
        <v>42928</v>
      </c>
      <c r="B1483" s="273" t="s">
        <v>21340</v>
      </c>
      <c r="C1483">
        <v>119637</v>
      </c>
      <c r="D1483" s="236" t="s">
        <v>17862</v>
      </c>
      <c r="E1483" s="15">
        <v>4035.2</v>
      </c>
      <c r="F1483" s="274">
        <v>42934</v>
      </c>
      <c r="G1483" s="15">
        <v>4035.2</v>
      </c>
      <c r="H1483" s="15">
        <f>Tabla1[[#This Row],[Importe]]-Tabla1[[#This Row],[Pagado]]</f>
        <v>0</v>
      </c>
      <c r="I1483" s="275" t="s">
        <v>15214</v>
      </c>
    </row>
    <row r="1484" spans="1:9" x14ac:dyDescent="0.25">
      <c r="A1484" s="16">
        <v>42928</v>
      </c>
      <c r="B1484" s="273" t="s">
        <v>21341</v>
      </c>
      <c r="C1484">
        <v>119638</v>
      </c>
      <c r="D1484" s="236" t="s">
        <v>15361</v>
      </c>
      <c r="E1484" s="15">
        <v>8719.7999999999993</v>
      </c>
      <c r="F1484" s="274">
        <v>42928</v>
      </c>
      <c r="G1484" s="15">
        <v>8719.7999999999993</v>
      </c>
      <c r="H1484" s="15">
        <f>Tabla1[[#This Row],[Importe]]-Tabla1[[#This Row],[Pagado]]</f>
        <v>0</v>
      </c>
      <c r="I1484" s="275" t="s">
        <v>15214</v>
      </c>
    </row>
    <row r="1485" spans="1:9" x14ac:dyDescent="0.25">
      <c r="A1485" s="16">
        <v>42928</v>
      </c>
      <c r="B1485" s="273" t="s">
        <v>21342</v>
      </c>
      <c r="C1485">
        <v>119639</v>
      </c>
      <c r="D1485" s="236" t="s">
        <v>15387</v>
      </c>
      <c r="E1485" s="15">
        <v>537.4</v>
      </c>
      <c r="F1485" s="274">
        <v>42928</v>
      </c>
      <c r="G1485" s="15">
        <v>537.4</v>
      </c>
      <c r="H1485" s="15">
        <f>Tabla1[[#This Row],[Importe]]-Tabla1[[#This Row],[Pagado]]</f>
        <v>0</v>
      </c>
      <c r="I1485" s="275" t="s">
        <v>15214</v>
      </c>
    </row>
    <row r="1486" spans="1:9" x14ac:dyDescent="0.25">
      <c r="A1486" s="16">
        <v>42928</v>
      </c>
      <c r="B1486" s="273" t="s">
        <v>21343</v>
      </c>
      <c r="C1486">
        <v>119640</v>
      </c>
      <c r="D1486" s="236" t="s">
        <v>15328</v>
      </c>
      <c r="E1486" s="15">
        <v>79806.39</v>
      </c>
      <c r="F1486" s="274">
        <v>42939</v>
      </c>
      <c r="G1486" s="15">
        <v>79806.39</v>
      </c>
      <c r="H1486" s="15">
        <f>Tabla1[[#This Row],[Importe]]-Tabla1[[#This Row],[Pagado]]</f>
        <v>0</v>
      </c>
      <c r="I1486" s="275" t="s">
        <v>15214</v>
      </c>
    </row>
    <row r="1487" spans="1:9" x14ac:dyDescent="0.25">
      <c r="A1487" s="16">
        <v>42928</v>
      </c>
      <c r="B1487" s="273" t="s">
        <v>21344</v>
      </c>
      <c r="C1487">
        <v>119641</v>
      </c>
      <c r="D1487" s="236" t="s">
        <v>15328</v>
      </c>
      <c r="E1487" s="15">
        <v>7928.6</v>
      </c>
      <c r="F1487" s="274">
        <v>42939</v>
      </c>
      <c r="G1487" s="15">
        <v>7928.6</v>
      </c>
      <c r="H1487" s="15">
        <f>Tabla1[[#This Row],[Importe]]-Tabla1[[#This Row],[Pagado]]</f>
        <v>0</v>
      </c>
      <c r="I1487" s="275" t="s">
        <v>15214</v>
      </c>
    </row>
    <row r="1488" spans="1:9" x14ac:dyDescent="0.25">
      <c r="A1488" s="16">
        <v>42928</v>
      </c>
      <c r="B1488" s="273" t="s">
        <v>21345</v>
      </c>
      <c r="C1488">
        <v>119642</v>
      </c>
      <c r="D1488" s="236" t="s">
        <v>15725</v>
      </c>
      <c r="E1488" s="15">
        <v>25002.400000000001</v>
      </c>
      <c r="F1488" s="274">
        <v>42933</v>
      </c>
      <c r="G1488" s="15">
        <v>25002.400000000001</v>
      </c>
      <c r="H1488" s="15">
        <f>Tabla1[[#This Row],[Importe]]-Tabla1[[#This Row],[Pagado]]</f>
        <v>0</v>
      </c>
      <c r="I1488" s="275" t="s">
        <v>15214</v>
      </c>
    </row>
    <row r="1489" spans="1:9" ht="15.75" x14ac:dyDescent="0.25">
      <c r="A1489" s="16">
        <v>42928</v>
      </c>
      <c r="B1489" s="273" t="s">
        <v>21346</v>
      </c>
      <c r="C1489">
        <v>119643</v>
      </c>
      <c r="D1489" s="248" t="s">
        <v>95</v>
      </c>
      <c r="E1489" s="15">
        <v>0</v>
      </c>
      <c r="F1489" s="277" t="s">
        <v>95</v>
      </c>
      <c r="G1489" s="15">
        <v>0</v>
      </c>
      <c r="H1489" s="15">
        <f>Tabla1[[#This Row],[Importe]]-Tabla1[[#This Row],[Pagado]]</f>
        <v>0</v>
      </c>
      <c r="I1489" s="275" t="s">
        <v>95</v>
      </c>
    </row>
    <row r="1490" spans="1:9" x14ac:dyDescent="0.25">
      <c r="A1490" s="16">
        <v>42928</v>
      </c>
      <c r="B1490" s="273" t="s">
        <v>21347</v>
      </c>
      <c r="C1490">
        <v>119644</v>
      </c>
      <c r="D1490" s="236" t="s">
        <v>19768</v>
      </c>
      <c r="E1490" s="15">
        <v>2200</v>
      </c>
      <c r="F1490" s="274">
        <v>42928</v>
      </c>
      <c r="G1490" s="15">
        <v>2200</v>
      </c>
      <c r="H1490" s="15">
        <f>Tabla1[[#This Row],[Importe]]-Tabla1[[#This Row],[Pagado]]</f>
        <v>0</v>
      </c>
      <c r="I1490" s="275" t="s">
        <v>15214</v>
      </c>
    </row>
    <row r="1491" spans="1:9" x14ac:dyDescent="0.25">
      <c r="A1491" s="16">
        <v>42928</v>
      </c>
      <c r="B1491" s="273" t="s">
        <v>21348</v>
      </c>
      <c r="C1491">
        <v>119645</v>
      </c>
      <c r="D1491" s="236" t="s">
        <v>15298</v>
      </c>
      <c r="E1491" s="15">
        <v>158.4</v>
      </c>
      <c r="F1491" s="274">
        <v>42928</v>
      </c>
      <c r="G1491" s="15">
        <v>158.4</v>
      </c>
      <c r="H1491" s="15">
        <f>Tabla1[[#This Row],[Importe]]-Tabla1[[#This Row],[Pagado]]</f>
        <v>0</v>
      </c>
      <c r="I1491" s="275" t="s">
        <v>15214</v>
      </c>
    </row>
    <row r="1492" spans="1:9" x14ac:dyDescent="0.25">
      <c r="A1492" s="16">
        <v>42928</v>
      </c>
      <c r="B1492" s="273" t="s">
        <v>21349</v>
      </c>
      <c r="C1492">
        <v>119646</v>
      </c>
      <c r="D1492" s="236" t="s">
        <v>15298</v>
      </c>
      <c r="E1492" s="15">
        <v>1730.2</v>
      </c>
      <c r="F1492" s="274">
        <v>42928</v>
      </c>
      <c r="G1492" s="15">
        <v>1730.2</v>
      </c>
      <c r="H1492" s="15">
        <f>Tabla1[[#This Row],[Importe]]-Tabla1[[#This Row],[Pagado]]</f>
        <v>0</v>
      </c>
      <c r="I1492" s="275" t="s">
        <v>15214</v>
      </c>
    </row>
    <row r="1493" spans="1:9" x14ac:dyDescent="0.25">
      <c r="A1493" s="16">
        <v>42928</v>
      </c>
      <c r="B1493" s="273" t="s">
        <v>21350</v>
      </c>
      <c r="C1493">
        <v>119647</v>
      </c>
      <c r="D1493" s="236" t="s">
        <v>15282</v>
      </c>
      <c r="E1493" s="15">
        <v>3857.3</v>
      </c>
      <c r="F1493" s="274">
        <v>42928</v>
      </c>
      <c r="G1493" s="15">
        <v>3857.3</v>
      </c>
      <c r="H1493" s="15">
        <f>Tabla1[[#This Row],[Importe]]-Tabla1[[#This Row],[Pagado]]</f>
        <v>0</v>
      </c>
      <c r="I1493" s="275" t="s">
        <v>15214</v>
      </c>
    </row>
    <row r="1494" spans="1:9" ht="15.75" x14ac:dyDescent="0.25">
      <c r="A1494" s="16">
        <v>42928</v>
      </c>
      <c r="B1494" s="273" t="s">
        <v>21351</v>
      </c>
      <c r="C1494">
        <v>119648</v>
      </c>
      <c r="D1494" s="248" t="s">
        <v>95</v>
      </c>
      <c r="E1494" s="15">
        <v>0</v>
      </c>
      <c r="F1494" s="277" t="s">
        <v>95</v>
      </c>
      <c r="G1494" s="15">
        <v>0</v>
      </c>
      <c r="H1494" s="15">
        <f>Tabla1[[#This Row],[Importe]]-Tabla1[[#This Row],[Pagado]]</f>
        <v>0</v>
      </c>
      <c r="I1494" s="275" t="s">
        <v>95</v>
      </c>
    </row>
    <row r="1495" spans="1:9" x14ac:dyDescent="0.25">
      <c r="A1495" s="16">
        <v>42928</v>
      </c>
      <c r="B1495" s="273" t="s">
        <v>21352</v>
      </c>
      <c r="C1495">
        <v>119649</v>
      </c>
      <c r="D1495" s="236" t="s">
        <v>15223</v>
      </c>
      <c r="E1495" s="15">
        <v>58053.7</v>
      </c>
      <c r="F1495" s="274">
        <v>42960</v>
      </c>
      <c r="G1495" s="15">
        <v>58053.7</v>
      </c>
      <c r="H1495" s="15">
        <f>Tabla1[[#This Row],[Importe]]-Tabla1[[#This Row],[Pagado]]</f>
        <v>0</v>
      </c>
      <c r="I1495" s="275" t="s">
        <v>15214</v>
      </c>
    </row>
    <row r="1496" spans="1:9" x14ac:dyDescent="0.25">
      <c r="A1496" s="16">
        <v>42928</v>
      </c>
      <c r="B1496" s="273" t="s">
        <v>21353</v>
      </c>
      <c r="C1496">
        <v>119650</v>
      </c>
      <c r="D1496" s="236" t="s">
        <v>15291</v>
      </c>
      <c r="E1496" s="15">
        <v>534.6</v>
      </c>
      <c r="F1496" s="274">
        <v>42928</v>
      </c>
      <c r="G1496" s="15">
        <v>534.6</v>
      </c>
      <c r="H1496" s="15">
        <f>Tabla1[[#This Row],[Importe]]-Tabla1[[#This Row],[Pagado]]</f>
        <v>0</v>
      </c>
      <c r="I1496" s="275" t="s">
        <v>15214</v>
      </c>
    </row>
    <row r="1497" spans="1:9" x14ac:dyDescent="0.25">
      <c r="A1497" s="16">
        <v>42928</v>
      </c>
      <c r="B1497" s="273" t="s">
        <v>21354</v>
      </c>
      <c r="C1497">
        <v>119651</v>
      </c>
      <c r="D1497" s="236" t="s">
        <v>15562</v>
      </c>
      <c r="E1497" s="15">
        <v>4306.8</v>
      </c>
      <c r="F1497" s="274">
        <v>42928</v>
      </c>
      <c r="G1497" s="15">
        <v>4306.8</v>
      </c>
      <c r="H1497" s="15">
        <f>Tabla1[[#This Row],[Importe]]-Tabla1[[#This Row],[Pagado]]</f>
        <v>0</v>
      </c>
      <c r="I1497" s="275" t="s">
        <v>15214</v>
      </c>
    </row>
    <row r="1498" spans="1:9" x14ac:dyDescent="0.25">
      <c r="A1498" s="16">
        <v>42928</v>
      </c>
      <c r="B1498" s="273" t="s">
        <v>21355</v>
      </c>
      <c r="C1498">
        <v>119652</v>
      </c>
      <c r="D1498" s="236" t="s">
        <v>15307</v>
      </c>
      <c r="E1498" s="15">
        <v>1926.4</v>
      </c>
      <c r="F1498" s="274">
        <v>42928</v>
      </c>
      <c r="G1498" s="15">
        <v>1926.4</v>
      </c>
      <c r="H1498" s="15">
        <f>Tabla1[[#This Row],[Importe]]-Tabla1[[#This Row],[Pagado]]</f>
        <v>0</v>
      </c>
      <c r="I1498" s="275" t="s">
        <v>15214</v>
      </c>
    </row>
    <row r="1499" spans="1:9" x14ac:dyDescent="0.25">
      <c r="A1499" s="16">
        <v>42928</v>
      </c>
      <c r="B1499" s="273" t="s">
        <v>21356</v>
      </c>
      <c r="C1499">
        <v>119653</v>
      </c>
      <c r="D1499" s="236" t="s">
        <v>15276</v>
      </c>
      <c r="E1499" s="15">
        <v>2750</v>
      </c>
      <c r="F1499" s="274">
        <v>42928</v>
      </c>
      <c r="G1499" s="15">
        <v>2750</v>
      </c>
      <c r="H1499" s="15">
        <f>Tabla1[[#This Row],[Importe]]-Tabla1[[#This Row],[Pagado]]</f>
        <v>0</v>
      </c>
      <c r="I1499" s="275" t="s">
        <v>15214</v>
      </c>
    </row>
    <row r="1500" spans="1:9" x14ac:dyDescent="0.25">
      <c r="A1500" s="16">
        <v>42928</v>
      </c>
      <c r="B1500" s="273" t="s">
        <v>21357</v>
      </c>
      <c r="C1500">
        <v>119654</v>
      </c>
      <c r="D1500" s="236" t="s">
        <v>15417</v>
      </c>
      <c r="E1500" s="15">
        <v>2257.1999999999998</v>
      </c>
      <c r="F1500" s="274">
        <v>42928</v>
      </c>
      <c r="G1500" s="15">
        <v>2257.1999999999998</v>
      </c>
      <c r="H1500" s="15">
        <f>Tabla1[[#This Row],[Importe]]-Tabla1[[#This Row],[Pagado]]</f>
        <v>0</v>
      </c>
      <c r="I1500" s="275" t="s">
        <v>15214</v>
      </c>
    </row>
    <row r="1501" spans="1:9" x14ac:dyDescent="0.25">
      <c r="A1501" s="16">
        <v>42928</v>
      </c>
      <c r="B1501" s="273" t="s">
        <v>21358</v>
      </c>
      <c r="C1501">
        <v>119655</v>
      </c>
      <c r="D1501" s="236" t="s">
        <v>15745</v>
      </c>
      <c r="E1501" s="15">
        <v>1702.96</v>
      </c>
      <c r="F1501" s="274">
        <v>42928</v>
      </c>
      <c r="G1501" s="15">
        <v>1702.96</v>
      </c>
      <c r="H1501" s="15">
        <f>Tabla1[[#This Row],[Importe]]-Tabla1[[#This Row],[Pagado]]</f>
        <v>0</v>
      </c>
      <c r="I1501" s="275" t="s">
        <v>15214</v>
      </c>
    </row>
    <row r="1502" spans="1:9" x14ac:dyDescent="0.25">
      <c r="A1502" s="16">
        <v>42928</v>
      </c>
      <c r="B1502" s="273" t="s">
        <v>21359</v>
      </c>
      <c r="C1502">
        <v>119656</v>
      </c>
      <c r="D1502" s="236" t="s">
        <v>15759</v>
      </c>
      <c r="E1502" s="15">
        <v>3469.56</v>
      </c>
      <c r="F1502" s="274">
        <v>42928</v>
      </c>
      <c r="G1502" s="15">
        <v>3469.56</v>
      </c>
      <c r="H1502" s="15">
        <f>Tabla1[[#This Row],[Importe]]-Tabla1[[#This Row],[Pagado]]</f>
        <v>0</v>
      </c>
      <c r="I1502" s="275" t="s">
        <v>15214</v>
      </c>
    </row>
    <row r="1503" spans="1:9" x14ac:dyDescent="0.25">
      <c r="A1503" s="16">
        <v>42928</v>
      </c>
      <c r="B1503" s="273" t="s">
        <v>21360</v>
      </c>
      <c r="C1503">
        <v>119657</v>
      </c>
      <c r="D1503" s="236" t="s">
        <v>15748</v>
      </c>
      <c r="E1503" s="15">
        <v>3002.52</v>
      </c>
      <c r="F1503" s="274">
        <v>42934</v>
      </c>
      <c r="G1503" s="15">
        <v>3002.52</v>
      </c>
      <c r="H1503" s="15">
        <f>Tabla1[[#This Row],[Importe]]-Tabla1[[#This Row],[Pagado]]</f>
        <v>0</v>
      </c>
      <c r="I1503" s="275" t="s">
        <v>15214</v>
      </c>
    </row>
    <row r="1504" spans="1:9" x14ac:dyDescent="0.25">
      <c r="A1504" s="16">
        <v>42928</v>
      </c>
      <c r="B1504" s="273" t="s">
        <v>21361</v>
      </c>
      <c r="C1504">
        <v>119658</v>
      </c>
      <c r="D1504" s="236" t="s">
        <v>17235</v>
      </c>
      <c r="E1504" s="15">
        <v>1326</v>
      </c>
      <c r="F1504" s="274">
        <v>42928</v>
      </c>
      <c r="G1504" s="15">
        <v>1326</v>
      </c>
      <c r="H1504" s="15">
        <f>Tabla1[[#This Row],[Importe]]-Tabla1[[#This Row],[Pagado]]</f>
        <v>0</v>
      </c>
      <c r="I1504" s="275" t="s">
        <v>15214</v>
      </c>
    </row>
    <row r="1505" spans="1:9" x14ac:dyDescent="0.25">
      <c r="A1505" s="16">
        <v>42928</v>
      </c>
      <c r="B1505" s="273" t="s">
        <v>21362</v>
      </c>
      <c r="C1505">
        <v>119659</v>
      </c>
      <c r="D1505" s="236" t="s">
        <v>15884</v>
      </c>
      <c r="E1505" s="15">
        <v>3495.3</v>
      </c>
      <c r="F1505" s="274">
        <v>42928</v>
      </c>
      <c r="G1505" s="15">
        <v>3495.3</v>
      </c>
      <c r="H1505" s="15">
        <f>Tabla1[[#This Row],[Importe]]-Tabla1[[#This Row],[Pagado]]</f>
        <v>0</v>
      </c>
      <c r="I1505" s="275" t="s">
        <v>15214</v>
      </c>
    </row>
    <row r="1506" spans="1:9" x14ac:dyDescent="0.25">
      <c r="A1506" s="16">
        <v>42928</v>
      </c>
      <c r="B1506" s="273" t="s">
        <v>21363</v>
      </c>
      <c r="C1506">
        <v>119660</v>
      </c>
      <c r="D1506" s="236" t="s">
        <v>18076</v>
      </c>
      <c r="E1506" s="15">
        <v>1430.7</v>
      </c>
      <c r="F1506" s="274">
        <v>42928</v>
      </c>
      <c r="G1506" s="15">
        <v>1430.7</v>
      </c>
      <c r="H1506" s="15">
        <f>Tabla1[[#This Row],[Importe]]-Tabla1[[#This Row],[Pagado]]</f>
        <v>0</v>
      </c>
      <c r="I1506" s="275" t="s">
        <v>15214</v>
      </c>
    </row>
    <row r="1507" spans="1:9" x14ac:dyDescent="0.25">
      <c r="A1507" s="16">
        <v>42928</v>
      </c>
      <c r="B1507" s="273" t="s">
        <v>21364</v>
      </c>
      <c r="C1507">
        <v>119661</v>
      </c>
      <c r="D1507" s="236" t="s">
        <v>15246</v>
      </c>
      <c r="E1507" s="15">
        <v>166637.59</v>
      </c>
      <c r="F1507" s="274">
        <v>42933</v>
      </c>
      <c r="G1507" s="15">
        <v>166637.59</v>
      </c>
      <c r="H1507" s="15">
        <f>Tabla1[[#This Row],[Importe]]-Tabla1[[#This Row],[Pagado]]</f>
        <v>0</v>
      </c>
      <c r="I1507" s="275" t="s">
        <v>15214</v>
      </c>
    </row>
    <row r="1508" spans="1:9" x14ac:dyDescent="0.25">
      <c r="A1508" s="16">
        <v>42928</v>
      </c>
      <c r="B1508" s="273" t="s">
        <v>21365</v>
      </c>
      <c r="C1508">
        <v>119662</v>
      </c>
      <c r="D1508" s="236" t="s">
        <v>15246</v>
      </c>
      <c r="E1508" s="15">
        <v>254394.54</v>
      </c>
      <c r="F1508" s="274">
        <v>42933</v>
      </c>
      <c r="G1508" s="15">
        <v>254394.54</v>
      </c>
      <c r="H1508" s="15">
        <f>Tabla1[[#This Row],[Importe]]-Tabla1[[#This Row],[Pagado]]</f>
        <v>0</v>
      </c>
      <c r="I1508" s="275" t="s">
        <v>15214</v>
      </c>
    </row>
    <row r="1509" spans="1:9" x14ac:dyDescent="0.25">
      <c r="A1509" s="16">
        <v>42928</v>
      </c>
      <c r="B1509" s="273" t="s">
        <v>21366</v>
      </c>
      <c r="C1509">
        <v>119663</v>
      </c>
      <c r="D1509" s="236" t="s">
        <v>15315</v>
      </c>
      <c r="E1509" s="15">
        <v>39054.14</v>
      </c>
      <c r="F1509" s="274">
        <v>42928</v>
      </c>
      <c r="G1509" s="15">
        <v>39054.14</v>
      </c>
      <c r="H1509" s="15">
        <f>Tabla1[[#This Row],[Importe]]-Tabla1[[#This Row],[Pagado]]</f>
        <v>0</v>
      </c>
      <c r="I1509" s="275" t="s">
        <v>15214</v>
      </c>
    </row>
    <row r="1510" spans="1:9" x14ac:dyDescent="0.25">
      <c r="A1510" s="16">
        <v>42928</v>
      </c>
      <c r="B1510" s="273" t="s">
        <v>21367</v>
      </c>
      <c r="C1510">
        <v>119664</v>
      </c>
      <c r="D1510" s="236" t="s">
        <v>15315</v>
      </c>
      <c r="E1510" s="15">
        <v>702</v>
      </c>
      <c r="F1510" s="274">
        <v>42928</v>
      </c>
      <c r="G1510" s="15">
        <v>702</v>
      </c>
      <c r="H1510" s="15">
        <f>Tabla1[[#This Row],[Importe]]-Tabla1[[#This Row],[Pagado]]</f>
        <v>0</v>
      </c>
      <c r="I1510" s="275" t="s">
        <v>15214</v>
      </c>
    </row>
    <row r="1511" spans="1:9" x14ac:dyDescent="0.25">
      <c r="A1511" s="16">
        <v>42928</v>
      </c>
      <c r="B1511" s="273" t="s">
        <v>21368</v>
      </c>
      <c r="C1511">
        <v>119665</v>
      </c>
      <c r="D1511" s="236" t="s">
        <v>15226</v>
      </c>
      <c r="E1511" s="15">
        <v>1089</v>
      </c>
      <c r="F1511" s="274">
        <v>42933</v>
      </c>
      <c r="G1511" s="15">
        <v>1089</v>
      </c>
      <c r="H1511" s="15">
        <f>Tabla1[[#This Row],[Importe]]-Tabla1[[#This Row],[Pagado]]</f>
        <v>0</v>
      </c>
      <c r="I1511" s="275" t="s">
        <v>15214</v>
      </c>
    </row>
    <row r="1512" spans="1:9" x14ac:dyDescent="0.25">
      <c r="A1512" s="16">
        <v>42928</v>
      </c>
      <c r="B1512" s="273" t="s">
        <v>21369</v>
      </c>
      <c r="C1512">
        <v>119666</v>
      </c>
      <c r="D1512" s="236" t="s">
        <v>15396</v>
      </c>
      <c r="E1512" s="15">
        <v>6414.6</v>
      </c>
      <c r="F1512" s="274">
        <v>42928</v>
      </c>
      <c r="G1512" s="15">
        <v>6414.6</v>
      </c>
      <c r="H1512" s="15">
        <f>Tabla1[[#This Row],[Importe]]-Tabla1[[#This Row],[Pagado]]</f>
        <v>0</v>
      </c>
      <c r="I1512" s="275" t="s">
        <v>15214</v>
      </c>
    </row>
    <row r="1513" spans="1:9" x14ac:dyDescent="0.25">
      <c r="A1513" s="16">
        <v>42928</v>
      </c>
      <c r="B1513" s="273" t="s">
        <v>21370</v>
      </c>
      <c r="C1513">
        <v>119667</v>
      </c>
      <c r="D1513" s="236" t="s">
        <v>15246</v>
      </c>
      <c r="E1513" s="15">
        <v>94056.5</v>
      </c>
      <c r="F1513" s="274">
        <v>42933</v>
      </c>
      <c r="G1513" s="15">
        <v>94056.5</v>
      </c>
      <c r="H1513" s="15">
        <f>Tabla1[[#This Row],[Importe]]-Tabla1[[#This Row],[Pagado]]</f>
        <v>0</v>
      </c>
      <c r="I1513" s="275" t="s">
        <v>15214</v>
      </c>
    </row>
    <row r="1514" spans="1:9" x14ac:dyDescent="0.25">
      <c r="A1514" s="16">
        <v>42928</v>
      </c>
      <c r="B1514" s="273" t="s">
        <v>21371</v>
      </c>
      <c r="C1514">
        <v>119668</v>
      </c>
      <c r="D1514" s="236" t="s">
        <v>15549</v>
      </c>
      <c r="E1514" s="15">
        <v>5596.5</v>
      </c>
      <c r="F1514" s="274">
        <v>42928</v>
      </c>
      <c r="G1514" s="15">
        <v>5596.5</v>
      </c>
      <c r="H1514" s="15">
        <f>Tabla1[[#This Row],[Importe]]-Tabla1[[#This Row],[Pagado]]</f>
        <v>0</v>
      </c>
      <c r="I1514" s="275" t="s">
        <v>15214</v>
      </c>
    </row>
    <row r="1515" spans="1:9" x14ac:dyDescent="0.25">
      <c r="A1515" s="16">
        <v>42928</v>
      </c>
      <c r="B1515" s="273" t="s">
        <v>21372</v>
      </c>
      <c r="C1515">
        <v>119669</v>
      </c>
      <c r="D1515" s="236" t="s">
        <v>15254</v>
      </c>
      <c r="E1515" s="15">
        <v>20919</v>
      </c>
      <c r="F1515" s="274">
        <v>42929</v>
      </c>
      <c r="G1515" s="15">
        <v>20919</v>
      </c>
      <c r="H1515" s="15">
        <f>Tabla1[[#This Row],[Importe]]-Tabla1[[#This Row],[Pagado]]</f>
        <v>0</v>
      </c>
      <c r="I1515" s="275" t="s">
        <v>15214</v>
      </c>
    </row>
    <row r="1516" spans="1:9" x14ac:dyDescent="0.25">
      <c r="A1516" s="16">
        <v>42928</v>
      </c>
      <c r="B1516" s="273" t="s">
        <v>21373</v>
      </c>
      <c r="C1516">
        <v>119670</v>
      </c>
      <c r="D1516" s="236" t="s">
        <v>15419</v>
      </c>
      <c r="E1516" s="15">
        <v>10682</v>
      </c>
      <c r="F1516" s="274">
        <v>42944</v>
      </c>
      <c r="G1516" s="15">
        <v>10682</v>
      </c>
      <c r="H1516" s="15">
        <f>Tabla1[[#This Row],[Importe]]-Tabla1[[#This Row],[Pagado]]</f>
        <v>0</v>
      </c>
      <c r="I1516" s="275" t="s">
        <v>15214</v>
      </c>
    </row>
    <row r="1517" spans="1:9" x14ac:dyDescent="0.25">
      <c r="A1517" s="16">
        <v>42928</v>
      </c>
      <c r="B1517" s="273" t="s">
        <v>21374</v>
      </c>
      <c r="C1517">
        <v>119671</v>
      </c>
      <c r="D1517" s="236" t="s">
        <v>15265</v>
      </c>
      <c r="E1517" s="15">
        <v>4323.2</v>
      </c>
      <c r="F1517" s="274">
        <v>42930</v>
      </c>
      <c r="G1517" s="15">
        <v>4323.2</v>
      </c>
      <c r="H1517" s="15">
        <f>Tabla1[[#This Row],[Importe]]-Tabla1[[#This Row],[Pagado]]</f>
        <v>0</v>
      </c>
      <c r="I1517" s="275" t="s">
        <v>15214</v>
      </c>
    </row>
    <row r="1518" spans="1:9" x14ac:dyDescent="0.25">
      <c r="A1518" s="16">
        <v>42928</v>
      </c>
      <c r="B1518" s="273" t="s">
        <v>21375</v>
      </c>
      <c r="C1518">
        <v>119672</v>
      </c>
      <c r="D1518" s="236" t="s">
        <v>15328</v>
      </c>
      <c r="E1518" s="15">
        <v>110920.65</v>
      </c>
      <c r="F1518" s="274">
        <v>42939</v>
      </c>
      <c r="G1518" s="15">
        <v>110920.65</v>
      </c>
      <c r="H1518" s="15">
        <f>Tabla1[[#This Row],[Importe]]-Tabla1[[#This Row],[Pagado]]</f>
        <v>0</v>
      </c>
      <c r="I1518" s="275" t="s">
        <v>15214</v>
      </c>
    </row>
    <row r="1519" spans="1:9" x14ac:dyDescent="0.25">
      <c r="A1519" s="16">
        <v>42928</v>
      </c>
      <c r="B1519" s="273" t="s">
        <v>21376</v>
      </c>
      <c r="C1519">
        <v>119673</v>
      </c>
      <c r="D1519" s="236" t="s">
        <v>15742</v>
      </c>
      <c r="E1519" s="15">
        <v>8166.2</v>
      </c>
      <c r="F1519" s="274">
        <v>42928</v>
      </c>
      <c r="G1519" s="15">
        <v>8166.2</v>
      </c>
      <c r="H1519" s="15">
        <f>Tabla1[[#This Row],[Importe]]-Tabla1[[#This Row],[Pagado]]</f>
        <v>0</v>
      </c>
      <c r="I1519" s="275" t="s">
        <v>15214</v>
      </c>
    </row>
    <row r="1520" spans="1:9" x14ac:dyDescent="0.25">
      <c r="A1520" s="16">
        <v>42928</v>
      </c>
      <c r="B1520" s="273" t="s">
        <v>21377</v>
      </c>
      <c r="C1520">
        <v>119674</v>
      </c>
      <c r="D1520" s="236" t="s">
        <v>15444</v>
      </c>
      <c r="E1520" s="15">
        <v>2403.4</v>
      </c>
      <c r="F1520" s="274">
        <v>42928</v>
      </c>
      <c r="G1520" s="15">
        <v>2403.4</v>
      </c>
      <c r="H1520" s="15">
        <f>Tabla1[[#This Row],[Importe]]-Tabla1[[#This Row],[Pagado]]</f>
        <v>0</v>
      </c>
      <c r="I1520" s="275" t="s">
        <v>15214</v>
      </c>
    </row>
    <row r="1521" spans="1:9" x14ac:dyDescent="0.25">
      <c r="A1521" s="16">
        <v>42928</v>
      </c>
      <c r="B1521" s="273" t="s">
        <v>21378</v>
      </c>
      <c r="C1521">
        <v>119675</v>
      </c>
      <c r="D1521" s="236" t="s">
        <v>15315</v>
      </c>
      <c r="E1521" s="15">
        <v>2718.9</v>
      </c>
      <c r="F1521" s="274">
        <v>42928</v>
      </c>
      <c r="G1521" s="15">
        <v>2718.9</v>
      </c>
      <c r="H1521" s="15">
        <f>Tabla1[[#This Row],[Importe]]-Tabla1[[#This Row],[Pagado]]</f>
        <v>0</v>
      </c>
      <c r="I1521" s="275" t="s">
        <v>15214</v>
      </c>
    </row>
    <row r="1522" spans="1:9" x14ac:dyDescent="0.25">
      <c r="A1522" s="16">
        <v>42928</v>
      </c>
      <c r="B1522" s="273" t="s">
        <v>21379</v>
      </c>
      <c r="C1522">
        <v>119676</v>
      </c>
      <c r="D1522" s="236" t="s">
        <v>15590</v>
      </c>
      <c r="E1522" s="15">
        <v>200.2</v>
      </c>
      <c r="F1522" s="274">
        <v>42928</v>
      </c>
      <c r="G1522" s="15">
        <v>200.2</v>
      </c>
      <c r="H1522" s="15">
        <f>Tabla1[[#This Row],[Importe]]-Tabla1[[#This Row],[Pagado]]</f>
        <v>0</v>
      </c>
      <c r="I1522" s="275" t="s">
        <v>15214</v>
      </c>
    </row>
    <row r="1523" spans="1:9" x14ac:dyDescent="0.25">
      <c r="A1523" s="16">
        <v>42928</v>
      </c>
      <c r="B1523" s="273" t="s">
        <v>21380</v>
      </c>
      <c r="C1523">
        <v>119677</v>
      </c>
      <c r="D1523" s="236" t="s">
        <v>15267</v>
      </c>
      <c r="E1523" s="15">
        <v>4053.6</v>
      </c>
      <c r="F1523" s="274">
        <v>42928</v>
      </c>
      <c r="G1523" s="15">
        <v>4053.6</v>
      </c>
      <c r="H1523" s="15">
        <f>Tabla1[[#This Row],[Importe]]-Tabla1[[#This Row],[Pagado]]</f>
        <v>0</v>
      </c>
      <c r="I1523" s="275" t="s">
        <v>15214</v>
      </c>
    </row>
    <row r="1524" spans="1:9" x14ac:dyDescent="0.25">
      <c r="A1524" s="16">
        <v>42928</v>
      </c>
      <c r="B1524" s="273" t="s">
        <v>21381</v>
      </c>
      <c r="C1524">
        <v>119678</v>
      </c>
      <c r="D1524" s="236" t="s">
        <v>5757</v>
      </c>
      <c r="E1524" s="15">
        <v>1662</v>
      </c>
      <c r="F1524" s="274">
        <v>42928</v>
      </c>
      <c r="G1524" s="15">
        <v>1662</v>
      </c>
      <c r="H1524" s="15">
        <f>Tabla1[[#This Row],[Importe]]-Tabla1[[#This Row],[Pagado]]</f>
        <v>0</v>
      </c>
      <c r="I1524" s="275" t="s">
        <v>15214</v>
      </c>
    </row>
    <row r="1525" spans="1:9" x14ac:dyDescent="0.25">
      <c r="A1525" s="16">
        <v>42928</v>
      </c>
      <c r="B1525" s="273" t="s">
        <v>21382</v>
      </c>
      <c r="C1525">
        <v>119679</v>
      </c>
      <c r="D1525" s="236" t="s">
        <v>19680</v>
      </c>
      <c r="E1525" s="15">
        <v>364</v>
      </c>
      <c r="F1525" s="274">
        <v>42928</v>
      </c>
      <c r="G1525" s="15">
        <v>364</v>
      </c>
      <c r="H1525" s="15">
        <f>Tabla1[[#This Row],[Importe]]-Tabla1[[#This Row],[Pagado]]</f>
        <v>0</v>
      </c>
      <c r="I1525" s="275" t="s">
        <v>15214</v>
      </c>
    </row>
    <row r="1526" spans="1:9" x14ac:dyDescent="0.25">
      <c r="A1526" s="16">
        <v>42928</v>
      </c>
      <c r="B1526" s="273" t="s">
        <v>21383</v>
      </c>
      <c r="C1526">
        <v>119680</v>
      </c>
      <c r="D1526" s="236" t="s">
        <v>15365</v>
      </c>
      <c r="E1526" s="15">
        <v>295938</v>
      </c>
      <c r="F1526" s="274">
        <v>42936</v>
      </c>
      <c r="G1526" s="15">
        <v>295938</v>
      </c>
      <c r="H1526" s="15">
        <f>Tabla1[[#This Row],[Importe]]-Tabla1[[#This Row],[Pagado]]</f>
        <v>0</v>
      </c>
      <c r="I1526" s="275" t="s">
        <v>15214</v>
      </c>
    </row>
    <row r="1527" spans="1:9" x14ac:dyDescent="0.25">
      <c r="A1527" s="16">
        <v>42928</v>
      </c>
      <c r="B1527" s="273" t="s">
        <v>21384</v>
      </c>
      <c r="C1527">
        <v>119681</v>
      </c>
      <c r="D1527" s="236" t="s">
        <v>16116</v>
      </c>
      <c r="E1527" s="15">
        <v>26973.66</v>
      </c>
      <c r="F1527" s="274">
        <v>42928</v>
      </c>
      <c r="G1527" s="15">
        <v>26973.66</v>
      </c>
      <c r="H1527" s="15">
        <f>Tabla1[[#This Row],[Importe]]-Tabla1[[#This Row],[Pagado]]</f>
        <v>0</v>
      </c>
      <c r="I1527" s="275" t="s">
        <v>15214</v>
      </c>
    </row>
    <row r="1528" spans="1:9" x14ac:dyDescent="0.25">
      <c r="A1528" s="16">
        <v>42929</v>
      </c>
      <c r="B1528" s="273" t="s">
        <v>21385</v>
      </c>
      <c r="C1528">
        <v>119682</v>
      </c>
      <c r="D1528" s="236" t="s">
        <v>21386</v>
      </c>
      <c r="E1528" s="15">
        <v>11459.1</v>
      </c>
      <c r="F1528" s="274">
        <v>42929</v>
      </c>
      <c r="G1528" s="15">
        <v>11459.1</v>
      </c>
      <c r="H1528" s="15">
        <f>Tabla1[[#This Row],[Importe]]-Tabla1[[#This Row],[Pagado]]</f>
        <v>0</v>
      </c>
      <c r="I1528" s="275" t="s">
        <v>15214</v>
      </c>
    </row>
    <row r="1529" spans="1:9" x14ac:dyDescent="0.25">
      <c r="A1529" s="16">
        <v>42929</v>
      </c>
      <c r="B1529" s="273" t="s">
        <v>21387</v>
      </c>
      <c r="C1529">
        <v>119683</v>
      </c>
      <c r="D1529" s="236" t="s">
        <v>15213</v>
      </c>
      <c r="E1529" s="15">
        <v>36411.199999999997</v>
      </c>
      <c r="F1529" s="274">
        <v>42930</v>
      </c>
      <c r="G1529" s="15">
        <v>36411.199999999997</v>
      </c>
      <c r="H1529" s="15">
        <f>Tabla1[[#This Row],[Importe]]-Tabla1[[#This Row],[Pagado]]</f>
        <v>0</v>
      </c>
      <c r="I1529" s="275" t="s">
        <v>15214</v>
      </c>
    </row>
    <row r="1530" spans="1:9" x14ac:dyDescent="0.25">
      <c r="A1530" s="16">
        <v>42929</v>
      </c>
      <c r="B1530" s="273" t="s">
        <v>21388</v>
      </c>
      <c r="C1530">
        <v>119684</v>
      </c>
      <c r="D1530" s="236" t="s">
        <v>15315</v>
      </c>
      <c r="E1530" s="15">
        <v>1118.7</v>
      </c>
      <c r="F1530" s="274">
        <v>42929</v>
      </c>
      <c r="G1530" s="15">
        <v>1118.7</v>
      </c>
      <c r="H1530" s="15">
        <f>Tabla1[[#This Row],[Importe]]-Tabla1[[#This Row],[Pagado]]</f>
        <v>0</v>
      </c>
      <c r="I1530" s="275" t="s">
        <v>15214</v>
      </c>
    </row>
    <row r="1531" spans="1:9" x14ac:dyDescent="0.25">
      <c r="A1531" s="16">
        <v>42929</v>
      </c>
      <c r="B1531" s="273" t="s">
        <v>21389</v>
      </c>
      <c r="C1531">
        <v>119685</v>
      </c>
      <c r="D1531" s="236" t="s">
        <v>15230</v>
      </c>
      <c r="E1531" s="15">
        <v>13534.4</v>
      </c>
      <c r="F1531" s="274">
        <v>42933</v>
      </c>
      <c r="G1531" s="15">
        <v>13534.4</v>
      </c>
      <c r="H1531" s="15">
        <f>Tabla1[[#This Row],[Importe]]-Tabla1[[#This Row],[Pagado]]</f>
        <v>0</v>
      </c>
      <c r="I1531" s="275" t="s">
        <v>15214</v>
      </c>
    </row>
    <row r="1532" spans="1:9" x14ac:dyDescent="0.25">
      <c r="A1532" s="16">
        <v>42929</v>
      </c>
      <c r="B1532" s="273" t="s">
        <v>21390</v>
      </c>
      <c r="C1532">
        <v>119686</v>
      </c>
      <c r="D1532" s="236" t="s">
        <v>15220</v>
      </c>
      <c r="E1532" s="15">
        <v>3300</v>
      </c>
      <c r="F1532" s="274">
        <v>42929</v>
      </c>
      <c r="G1532" s="15">
        <v>3300</v>
      </c>
      <c r="H1532" s="15">
        <f>Tabla1[[#This Row],[Importe]]-Tabla1[[#This Row],[Pagado]]</f>
        <v>0</v>
      </c>
      <c r="I1532" s="275" t="s">
        <v>15214</v>
      </c>
    </row>
    <row r="1533" spans="1:9" ht="15.75" x14ac:dyDescent="0.25">
      <c r="A1533" s="16">
        <v>42929</v>
      </c>
      <c r="B1533" s="273" t="s">
        <v>21391</v>
      </c>
      <c r="C1533">
        <v>119687</v>
      </c>
      <c r="D1533" s="248" t="s">
        <v>95</v>
      </c>
      <c r="E1533" s="15">
        <v>0</v>
      </c>
      <c r="F1533" s="277" t="s">
        <v>95</v>
      </c>
      <c r="G1533" s="15">
        <v>0</v>
      </c>
      <c r="H1533" s="15">
        <f>Tabla1[[#This Row],[Importe]]-Tabla1[[#This Row],[Pagado]]</f>
        <v>0</v>
      </c>
      <c r="I1533" s="275" t="s">
        <v>95</v>
      </c>
    </row>
    <row r="1534" spans="1:9" x14ac:dyDescent="0.25">
      <c r="A1534" s="16">
        <v>42929</v>
      </c>
      <c r="B1534" s="273" t="s">
        <v>21392</v>
      </c>
      <c r="C1534">
        <v>119688</v>
      </c>
      <c r="D1534" s="236" t="s">
        <v>15338</v>
      </c>
      <c r="E1534" s="15">
        <v>12243</v>
      </c>
      <c r="F1534" s="274">
        <v>42931</v>
      </c>
      <c r="G1534" s="15">
        <v>12243</v>
      </c>
      <c r="H1534" s="15">
        <f>Tabla1[[#This Row],[Importe]]-Tabla1[[#This Row],[Pagado]]</f>
        <v>0</v>
      </c>
      <c r="I1534" s="275" t="s">
        <v>15214</v>
      </c>
    </row>
    <row r="1535" spans="1:9" ht="30" x14ac:dyDescent="0.25">
      <c r="A1535" s="16">
        <v>42929</v>
      </c>
      <c r="B1535" s="273" t="s">
        <v>21393</v>
      </c>
      <c r="C1535">
        <v>119689</v>
      </c>
      <c r="D1535" s="236" t="s">
        <v>15258</v>
      </c>
      <c r="E1535" s="15">
        <v>11128.4</v>
      </c>
      <c r="F1535" s="274" t="s">
        <v>21394</v>
      </c>
      <c r="G1535" s="241">
        <f>3000+8128.4</f>
        <v>11128.4</v>
      </c>
      <c r="H1535" s="241">
        <f>Tabla1[[#This Row],[Importe]]-Tabla1[[#This Row],[Pagado]]</f>
        <v>0</v>
      </c>
      <c r="I1535" s="275" t="s">
        <v>15214</v>
      </c>
    </row>
    <row r="1536" spans="1:9" x14ac:dyDescent="0.25">
      <c r="A1536" s="16">
        <v>42929</v>
      </c>
      <c r="B1536" s="273" t="s">
        <v>21395</v>
      </c>
      <c r="C1536">
        <v>119690</v>
      </c>
      <c r="D1536" s="236" t="s">
        <v>15234</v>
      </c>
      <c r="E1536" s="15">
        <v>3511.2</v>
      </c>
      <c r="F1536" s="274">
        <v>42934</v>
      </c>
      <c r="G1536" s="15">
        <v>3511.2</v>
      </c>
      <c r="H1536" s="15">
        <f>Tabla1[[#This Row],[Importe]]-Tabla1[[#This Row],[Pagado]]</f>
        <v>0</v>
      </c>
      <c r="I1536" s="275" t="s">
        <v>15214</v>
      </c>
    </row>
    <row r="1537" spans="1:9" x14ac:dyDescent="0.25">
      <c r="A1537" s="16">
        <v>42929</v>
      </c>
      <c r="B1537" s="273" t="s">
        <v>21396</v>
      </c>
      <c r="C1537">
        <v>119691</v>
      </c>
      <c r="D1537" s="236" t="s">
        <v>15480</v>
      </c>
      <c r="E1537" s="15">
        <v>4506.6000000000004</v>
      </c>
      <c r="F1537" s="274">
        <v>42933</v>
      </c>
      <c r="G1537" s="15">
        <v>4506.6000000000004</v>
      </c>
      <c r="H1537" s="15">
        <f>Tabla1[[#This Row],[Importe]]-Tabla1[[#This Row],[Pagado]]</f>
        <v>0</v>
      </c>
      <c r="I1537" s="275" t="s">
        <v>15214</v>
      </c>
    </row>
    <row r="1538" spans="1:9" x14ac:dyDescent="0.25">
      <c r="A1538" s="16">
        <v>42929</v>
      </c>
      <c r="B1538" s="273" t="s">
        <v>21397</v>
      </c>
      <c r="C1538">
        <v>119692</v>
      </c>
      <c r="D1538" s="236" t="s">
        <v>15274</v>
      </c>
      <c r="E1538" s="15">
        <v>825</v>
      </c>
      <c r="F1538" s="274">
        <v>42929</v>
      </c>
      <c r="G1538" s="15">
        <v>825</v>
      </c>
      <c r="H1538" s="15">
        <f>Tabla1[[#This Row],[Importe]]-Tabla1[[#This Row],[Pagado]]</f>
        <v>0</v>
      </c>
      <c r="I1538" s="275" t="s">
        <v>15214</v>
      </c>
    </row>
    <row r="1539" spans="1:9" x14ac:dyDescent="0.25">
      <c r="A1539" s="16">
        <v>42929</v>
      </c>
      <c r="B1539" s="273" t="s">
        <v>21398</v>
      </c>
      <c r="C1539">
        <v>119693</v>
      </c>
      <c r="D1539" s="236" t="s">
        <v>5575</v>
      </c>
      <c r="E1539" s="15">
        <v>8562.7999999999993</v>
      </c>
      <c r="F1539" s="274">
        <v>42933</v>
      </c>
      <c r="G1539" s="15">
        <v>8562.7999999999993</v>
      </c>
      <c r="H1539" s="15">
        <f>Tabla1[[#This Row],[Importe]]-Tabla1[[#This Row],[Pagado]]</f>
        <v>0</v>
      </c>
      <c r="I1539" s="275" t="s">
        <v>15214</v>
      </c>
    </row>
    <row r="1540" spans="1:9" x14ac:dyDescent="0.25">
      <c r="A1540" s="16">
        <v>42929</v>
      </c>
      <c r="B1540" s="273" t="s">
        <v>21399</v>
      </c>
      <c r="C1540">
        <v>119694</v>
      </c>
      <c r="D1540" s="236" t="s">
        <v>15242</v>
      </c>
      <c r="E1540" s="15">
        <v>10820</v>
      </c>
      <c r="F1540" s="274">
        <v>42929</v>
      </c>
      <c r="G1540" s="15">
        <v>10820</v>
      </c>
      <c r="H1540" s="15">
        <f>Tabla1[[#This Row],[Importe]]-Tabla1[[#This Row],[Pagado]]</f>
        <v>0</v>
      </c>
      <c r="I1540" s="275" t="s">
        <v>15214</v>
      </c>
    </row>
    <row r="1541" spans="1:9" x14ac:dyDescent="0.25">
      <c r="A1541" s="16">
        <v>42929</v>
      </c>
      <c r="B1541" s="273" t="s">
        <v>21400</v>
      </c>
      <c r="C1541">
        <v>119695</v>
      </c>
      <c r="D1541" s="236" t="s">
        <v>19768</v>
      </c>
      <c r="E1541" s="15">
        <v>2200</v>
      </c>
      <c r="F1541" s="274">
        <v>42929</v>
      </c>
      <c r="G1541" s="15">
        <v>2200</v>
      </c>
      <c r="H1541" s="15">
        <f>Tabla1[[#This Row],[Importe]]-Tabla1[[#This Row],[Pagado]]</f>
        <v>0</v>
      </c>
      <c r="I1541" s="275" t="s">
        <v>15214</v>
      </c>
    </row>
    <row r="1542" spans="1:9" x14ac:dyDescent="0.25">
      <c r="A1542" s="16">
        <v>42929</v>
      </c>
      <c r="B1542" s="273" t="s">
        <v>21401</v>
      </c>
      <c r="C1542">
        <v>119696</v>
      </c>
      <c r="D1542" s="236" t="s">
        <v>15236</v>
      </c>
      <c r="E1542" s="15">
        <v>4439.3999999999996</v>
      </c>
      <c r="F1542" s="274">
        <v>42933</v>
      </c>
      <c r="G1542" s="15">
        <v>4439.3999999999996</v>
      </c>
      <c r="H1542" s="15">
        <f>Tabla1[[#This Row],[Importe]]-Tabla1[[#This Row],[Pagado]]</f>
        <v>0</v>
      </c>
      <c r="I1542" s="275" t="s">
        <v>15214</v>
      </c>
    </row>
    <row r="1543" spans="1:9" x14ac:dyDescent="0.25">
      <c r="A1543" s="16">
        <v>42929</v>
      </c>
      <c r="B1543" s="273" t="s">
        <v>21402</v>
      </c>
      <c r="C1543">
        <v>119697</v>
      </c>
      <c r="D1543" s="236" t="s">
        <v>15415</v>
      </c>
      <c r="E1543" s="15">
        <v>3604</v>
      </c>
      <c r="F1543" s="274">
        <v>42931</v>
      </c>
      <c r="G1543" s="15">
        <v>3604</v>
      </c>
      <c r="H1543" s="15">
        <f>Tabla1[[#This Row],[Importe]]-Tabla1[[#This Row],[Pagado]]</f>
        <v>0</v>
      </c>
      <c r="I1543" s="275" t="s">
        <v>15214</v>
      </c>
    </row>
    <row r="1544" spans="1:9" x14ac:dyDescent="0.25">
      <c r="A1544" s="16">
        <v>42929</v>
      </c>
      <c r="B1544" s="273" t="s">
        <v>21403</v>
      </c>
      <c r="C1544">
        <v>119698</v>
      </c>
      <c r="D1544" s="236" t="s">
        <v>15317</v>
      </c>
      <c r="E1544" s="15">
        <v>975</v>
      </c>
      <c r="F1544" s="274">
        <v>42929</v>
      </c>
      <c r="G1544" s="15">
        <v>975</v>
      </c>
      <c r="H1544" s="15">
        <f>Tabla1[[#This Row],[Importe]]-Tabla1[[#This Row],[Pagado]]</f>
        <v>0</v>
      </c>
      <c r="I1544" s="275" t="s">
        <v>15214</v>
      </c>
    </row>
    <row r="1545" spans="1:9" x14ac:dyDescent="0.25">
      <c r="A1545" s="16">
        <v>42929</v>
      </c>
      <c r="B1545" s="273" t="s">
        <v>21404</v>
      </c>
      <c r="C1545">
        <v>119699</v>
      </c>
      <c r="D1545" s="236" t="s">
        <v>15442</v>
      </c>
      <c r="E1545" s="15">
        <v>7488</v>
      </c>
      <c r="F1545" s="274">
        <v>42940</v>
      </c>
      <c r="G1545" s="15">
        <v>7488</v>
      </c>
      <c r="H1545" s="15">
        <f>Tabla1[[#This Row],[Importe]]-Tabla1[[#This Row],[Pagado]]</f>
        <v>0</v>
      </c>
      <c r="I1545" s="275" t="s">
        <v>15214</v>
      </c>
    </row>
    <row r="1546" spans="1:9" x14ac:dyDescent="0.25">
      <c r="A1546" s="16">
        <v>42929</v>
      </c>
      <c r="B1546" s="273" t="s">
        <v>21405</v>
      </c>
      <c r="C1546">
        <v>119700</v>
      </c>
      <c r="D1546" s="236" t="s">
        <v>15324</v>
      </c>
      <c r="E1546" s="15">
        <v>2590</v>
      </c>
      <c r="F1546" s="274">
        <v>42929</v>
      </c>
      <c r="G1546" s="15">
        <v>2590</v>
      </c>
      <c r="H1546" s="15">
        <f>Tabla1[[#This Row],[Importe]]-Tabla1[[#This Row],[Pagado]]</f>
        <v>0</v>
      </c>
      <c r="I1546" s="275" t="s">
        <v>15214</v>
      </c>
    </row>
    <row r="1547" spans="1:9" x14ac:dyDescent="0.25">
      <c r="A1547" s="16">
        <v>42929</v>
      </c>
      <c r="B1547" s="273" t="s">
        <v>21406</v>
      </c>
      <c r="C1547">
        <v>119701</v>
      </c>
      <c r="D1547" s="236" t="s">
        <v>16463</v>
      </c>
      <c r="E1547" s="15">
        <v>19463.599999999999</v>
      </c>
      <c r="F1547" s="274">
        <v>42929</v>
      </c>
      <c r="G1547" s="15">
        <v>19463.599999999999</v>
      </c>
      <c r="H1547" s="15">
        <f>Tabla1[[#This Row],[Importe]]-Tabla1[[#This Row],[Pagado]]</f>
        <v>0</v>
      </c>
      <c r="I1547" s="275" t="s">
        <v>15214</v>
      </c>
    </row>
    <row r="1548" spans="1:9" x14ac:dyDescent="0.25">
      <c r="A1548" s="16">
        <v>42929</v>
      </c>
      <c r="B1548" s="273" t="s">
        <v>21407</v>
      </c>
      <c r="C1548">
        <v>119702</v>
      </c>
      <c r="D1548" s="236" t="s">
        <v>15371</v>
      </c>
      <c r="E1548" s="15">
        <v>4953.5</v>
      </c>
      <c r="F1548" s="274">
        <v>42930</v>
      </c>
      <c r="G1548" s="15">
        <v>4953.5</v>
      </c>
      <c r="H1548" s="15">
        <f>Tabla1[[#This Row],[Importe]]-Tabla1[[#This Row],[Pagado]]</f>
        <v>0</v>
      </c>
      <c r="I1548" s="275" t="s">
        <v>15214</v>
      </c>
    </row>
    <row r="1549" spans="1:9" x14ac:dyDescent="0.25">
      <c r="A1549" s="16">
        <v>42929</v>
      </c>
      <c r="B1549" s="273" t="s">
        <v>21408</v>
      </c>
      <c r="C1549">
        <v>119703</v>
      </c>
      <c r="D1549" s="236" t="s">
        <v>15238</v>
      </c>
      <c r="E1549" s="15">
        <v>3511.2</v>
      </c>
      <c r="F1549" s="274">
        <v>42933</v>
      </c>
      <c r="G1549" s="15">
        <v>3511.2</v>
      </c>
      <c r="H1549" s="15">
        <f>Tabla1[[#This Row],[Importe]]-Tabla1[[#This Row],[Pagado]]</f>
        <v>0</v>
      </c>
      <c r="I1549" s="275" t="s">
        <v>15214</v>
      </c>
    </row>
    <row r="1550" spans="1:9" x14ac:dyDescent="0.25">
      <c r="A1550" s="16">
        <v>42929</v>
      </c>
      <c r="B1550" s="273" t="s">
        <v>21409</v>
      </c>
      <c r="C1550">
        <v>119704</v>
      </c>
      <c r="D1550" s="236" t="s">
        <v>15250</v>
      </c>
      <c r="E1550" s="15">
        <v>85357.32</v>
      </c>
      <c r="F1550" s="274">
        <v>42939</v>
      </c>
      <c r="G1550" s="15">
        <v>85357.32</v>
      </c>
      <c r="H1550" s="15">
        <f>Tabla1[[#This Row],[Importe]]-Tabla1[[#This Row],[Pagado]]</f>
        <v>0</v>
      </c>
      <c r="I1550" s="275" t="s">
        <v>15214</v>
      </c>
    </row>
    <row r="1551" spans="1:9" x14ac:dyDescent="0.25">
      <c r="A1551" s="16">
        <v>42929</v>
      </c>
      <c r="B1551" s="273" t="s">
        <v>21410</v>
      </c>
      <c r="C1551">
        <v>119705</v>
      </c>
      <c r="D1551" s="236" t="s">
        <v>15668</v>
      </c>
      <c r="E1551" s="15">
        <v>22149.3</v>
      </c>
      <c r="F1551" s="274">
        <v>42933</v>
      </c>
      <c r="G1551" s="15">
        <v>22149.3</v>
      </c>
      <c r="H1551" s="15">
        <f>Tabla1[[#This Row],[Importe]]-Tabla1[[#This Row],[Pagado]]</f>
        <v>0</v>
      </c>
      <c r="I1551" s="275" t="s">
        <v>15214</v>
      </c>
    </row>
    <row r="1552" spans="1:9" x14ac:dyDescent="0.25">
      <c r="A1552" s="16">
        <v>42929</v>
      </c>
      <c r="B1552" s="273" t="s">
        <v>21411</v>
      </c>
      <c r="C1552">
        <v>119706</v>
      </c>
      <c r="D1552" s="236" t="s">
        <v>15246</v>
      </c>
      <c r="E1552" s="15">
        <v>148697.16</v>
      </c>
      <c r="F1552" s="274">
        <v>42933</v>
      </c>
      <c r="G1552" s="15">
        <v>148697.16</v>
      </c>
      <c r="H1552" s="15">
        <f>Tabla1[[#This Row],[Importe]]-Tabla1[[#This Row],[Pagado]]</f>
        <v>0</v>
      </c>
      <c r="I1552" s="275" t="s">
        <v>15214</v>
      </c>
    </row>
    <row r="1553" spans="1:9" x14ac:dyDescent="0.25">
      <c r="A1553" s="16">
        <v>42929</v>
      </c>
      <c r="B1553" s="273" t="s">
        <v>21412</v>
      </c>
      <c r="C1553">
        <v>119707</v>
      </c>
      <c r="D1553" s="236" t="s">
        <v>15256</v>
      </c>
      <c r="E1553" s="15">
        <v>3403.8</v>
      </c>
      <c r="F1553" s="274">
        <v>42930</v>
      </c>
      <c r="G1553" s="15">
        <v>3403.8</v>
      </c>
      <c r="H1553" s="15">
        <f>Tabla1[[#This Row],[Importe]]-Tabla1[[#This Row],[Pagado]]</f>
        <v>0</v>
      </c>
      <c r="I1553" s="275" t="s">
        <v>15214</v>
      </c>
    </row>
    <row r="1554" spans="1:9" x14ac:dyDescent="0.25">
      <c r="A1554" s="16">
        <v>42929</v>
      </c>
      <c r="B1554" s="273" t="s">
        <v>21413</v>
      </c>
      <c r="C1554">
        <v>119708</v>
      </c>
      <c r="D1554" s="236" t="s">
        <v>15728</v>
      </c>
      <c r="E1554" s="15">
        <v>11883.6</v>
      </c>
      <c r="F1554" s="274">
        <v>42929</v>
      </c>
      <c r="G1554" s="15">
        <v>11883.6</v>
      </c>
      <c r="H1554" s="15">
        <f>Tabla1[[#This Row],[Importe]]-Tabla1[[#This Row],[Pagado]]</f>
        <v>0</v>
      </c>
      <c r="I1554" s="275" t="s">
        <v>15214</v>
      </c>
    </row>
    <row r="1555" spans="1:9" x14ac:dyDescent="0.25">
      <c r="A1555" s="16">
        <v>42929</v>
      </c>
      <c r="B1555" s="273" t="s">
        <v>21414</v>
      </c>
      <c r="C1555">
        <v>119709</v>
      </c>
      <c r="D1555" s="236" t="s">
        <v>15668</v>
      </c>
      <c r="E1555" s="15">
        <v>401.1</v>
      </c>
      <c r="F1555" s="274">
        <v>42933</v>
      </c>
      <c r="G1555" s="15">
        <v>401.1</v>
      </c>
      <c r="H1555" s="15">
        <f>Tabla1[[#This Row],[Importe]]-Tabla1[[#This Row],[Pagado]]</f>
        <v>0</v>
      </c>
      <c r="I1555" s="275" t="s">
        <v>15214</v>
      </c>
    </row>
    <row r="1556" spans="1:9" x14ac:dyDescent="0.25">
      <c r="A1556" s="16">
        <v>42929</v>
      </c>
      <c r="B1556" s="273" t="s">
        <v>21415</v>
      </c>
      <c r="C1556">
        <v>119710</v>
      </c>
      <c r="D1556" s="236" t="s">
        <v>15232</v>
      </c>
      <c r="E1556" s="15">
        <v>6962.9</v>
      </c>
      <c r="F1556" s="274">
        <v>42936</v>
      </c>
      <c r="G1556" s="15">
        <v>6962.9</v>
      </c>
      <c r="H1556" s="15">
        <f>Tabla1[[#This Row],[Importe]]-Tabla1[[#This Row],[Pagado]]</f>
        <v>0</v>
      </c>
      <c r="I1556" s="275" t="s">
        <v>15214</v>
      </c>
    </row>
    <row r="1557" spans="1:9" x14ac:dyDescent="0.25">
      <c r="A1557" s="16">
        <v>42929</v>
      </c>
      <c r="B1557" s="273" t="s">
        <v>21416</v>
      </c>
      <c r="C1557">
        <v>119711</v>
      </c>
      <c r="D1557" s="236" t="s">
        <v>15284</v>
      </c>
      <c r="E1557" s="15">
        <v>1937.4</v>
      </c>
      <c r="F1557" s="274">
        <v>42929</v>
      </c>
      <c r="G1557" s="15">
        <v>1937.4</v>
      </c>
      <c r="H1557" s="15">
        <f>Tabla1[[#This Row],[Importe]]-Tabla1[[#This Row],[Pagado]]</f>
        <v>0</v>
      </c>
      <c r="I1557" s="275" t="s">
        <v>15214</v>
      </c>
    </row>
    <row r="1558" spans="1:9" x14ac:dyDescent="0.25">
      <c r="A1558" s="16">
        <v>42929</v>
      </c>
      <c r="B1558" s="273" t="s">
        <v>21417</v>
      </c>
      <c r="C1558">
        <v>119712</v>
      </c>
      <c r="D1558" s="236" t="s">
        <v>15263</v>
      </c>
      <c r="E1558" s="15">
        <v>1608.7</v>
      </c>
      <c r="F1558" s="274">
        <v>42929</v>
      </c>
      <c r="G1558" s="15">
        <v>1608.7</v>
      </c>
      <c r="H1558" s="15">
        <f>Tabla1[[#This Row],[Importe]]-Tabla1[[#This Row],[Pagado]]</f>
        <v>0</v>
      </c>
      <c r="I1558" s="275" t="s">
        <v>15214</v>
      </c>
    </row>
    <row r="1559" spans="1:9" x14ac:dyDescent="0.25">
      <c r="A1559" s="16">
        <v>42929</v>
      </c>
      <c r="B1559" s="273" t="s">
        <v>21418</v>
      </c>
      <c r="C1559">
        <v>119713</v>
      </c>
      <c r="D1559" s="236" t="s">
        <v>15248</v>
      </c>
      <c r="E1559" s="15">
        <v>13500.72</v>
      </c>
      <c r="F1559" s="274">
        <v>42929</v>
      </c>
      <c r="G1559" s="15">
        <v>13500.72</v>
      </c>
      <c r="H1559" s="15">
        <f>Tabla1[[#This Row],[Importe]]-Tabla1[[#This Row],[Pagado]]</f>
        <v>0</v>
      </c>
      <c r="I1559" s="275" t="s">
        <v>15214</v>
      </c>
    </row>
    <row r="1560" spans="1:9" x14ac:dyDescent="0.25">
      <c r="A1560" s="16">
        <v>42929</v>
      </c>
      <c r="B1560" s="273" t="s">
        <v>21419</v>
      </c>
      <c r="C1560">
        <v>119714</v>
      </c>
      <c r="D1560" s="236" t="s">
        <v>15248</v>
      </c>
      <c r="E1560" s="15">
        <v>1171.32</v>
      </c>
      <c r="F1560" s="274">
        <v>42929</v>
      </c>
      <c r="G1560" s="15">
        <v>1171.32</v>
      </c>
      <c r="H1560" s="15">
        <f>Tabla1[[#This Row],[Importe]]-Tabla1[[#This Row],[Pagado]]</f>
        <v>0</v>
      </c>
      <c r="I1560" s="275" t="s">
        <v>15214</v>
      </c>
    </row>
    <row r="1561" spans="1:9" x14ac:dyDescent="0.25">
      <c r="A1561" s="16">
        <v>42929</v>
      </c>
      <c r="B1561" s="273" t="s">
        <v>21420</v>
      </c>
      <c r="C1561">
        <v>119715</v>
      </c>
      <c r="D1561" s="236" t="s">
        <v>17929</v>
      </c>
      <c r="E1561" s="15">
        <v>1841.4</v>
      </c>
      <c r="F1561" s="274">
        <v>42929</v>
      </c>
      <c r="G1561" s="15">
        <v>1841.4</v>
      </c>
      <c r="H1561" s="15">
        <f>Tabla1[[#This Row],[Importe]]-Tabla1[[#This Row],[Pagado]]</f>
        <v>0</v>
      </c>
      <c r="I1561" s="275" t="s">
        <v>15214</v>
      </c>
    </row>
    <row r="1562" spans="1:9" x14ac:dyDescent="0.25">
      <c r="A1562" s="16">
        <v>42929</v>
      </c>
      <c r="B1562" s="273" t="s">
        <v>21421</v>
      </c>
      <c r="C1562">
        <v>119716</v>
      </c>
      <c r="D1562" s="236" t="s">
        <v>15315</v>
      </c>
      <c r="E1562" s="15">
        <v>972</v>
      </c>
      <c r="F1562" s="274">
        <v>42929</v>
      </c>
      <c r="G1562" s="15">
        <v>972</v>
      </c>
      <c r="H1562" s="15">
        <f>Tabla1[[#This Row],[Importe]]-Tabla1[[#This Row],[Pagado]]</f>
        <v>0</v>
      </c>
      <c r="I1562" s="275" t="s">
        <v>15214</v>
      </c>
    </row>
    <row r="1563" spans="1:9" x14ac:dyDescent="0.25">
      <c r="A1563" s="16">
        <v>42929</v>
      </c>
      <c r="B1563" s="273" t="s">
        <v>21422</v>
      </c>
      <c r="C1563">
        <v>119717</v>
      </c>
      <c r="D1563" s="236" t="s">
        <v>15328</v>
      </c>
      <c r="E1563" s="15">
        <v>13194</v>
      </c>
      <c r="F1563" s="274">
        <v>42939</v>
      </c>
      <c r="G1563" s="15">
        <v>13194</v>
      </c>
      <c r="H1563" s="15">
        <f>Tabla1[[#This Row],[Importe]]-Tabla1[[#This Row],[Pagado]]</f>
        <v>0</v>
      </c>
      <c r="I1563" s="275" t="s">
        <v>15214</v>
      </c>
    </row>
    <row r="1564" spans="1:9" x14ac:dyDescent="0.25">
      <c r="A1564" s="16">
        <v>42929</v>
      </c>
      <c r="B1564" s="273" t="s">
        <v>21423</v>
      </c>
      <c r="C1564">
        <v>119718</v>
      </c>
      <c r="D1564" s="236" t="s">
        <v>15858</v>
      </c>
      <c r="E1564" s="15">
        <v>5856.6</v>
      </c>
      <c r="F1564" s="274">
        <v>42929</v>
      </c>
      <c r="G1564" s="15">
        <v>5856.6</v>
      </c>
      <c r="H1564" s="15">
        <f>Tabla1[[#This Row],[Importe]]-Tabla1[[#This Row],[Pagado]]</f>
        <v>0</v>
      </c>
      <c r="I1564" s="275" t="s">
        <v>15214</v>
      </c>
    </row>
    <row r="1565" spans="1:9" x14ac:dyDescent="0.25">
      <c r="A1565" s="16">
        <v>42929</v>
      </c>
      <c r="B1565" s="273" t="s">
        <v>21424</v>
      </c>
      <c r="C1565">
        <v>119719</v>
      </c>
      <c r="D1565" s="236" t="s">
        <v>15861</v>
      </c>
      <c r="E1565" s="15">
        <v>2719.3</v>
      </c>
      <c r="F1565" s="274">
        <v>42929</v>
      </c>
      <c r="G1565" s="15">
        <v>2719.3</v>
      </c>
      <c r="H1565" s="15">
        <f>Tabla1[[#This Row],[Importe]]-Tabla1[[#This Row],[Pagado]]</f>
        <v>0</v>
      </c>
      <c r="I1565" s="275" t="s">
        <v>15214</v>
      </c>
    </row>
    <row r="1566" spans="1:9" x14ac:dyDescent="0.25">
      <c r="A1566" s="16">
        <v>42929</v>
      </c>
      <c r="B1566" s="273" t="s">
        <v>21425</v>
      </c>
      <c r="C1566">
        <v>119720</v>
      </c>
      <c r="D1566" s="236" t="s">
        <v>15523</v>
      </c>
      <c r="E1566" s="15">
        <v>2475</v>
      </c>
      <c r="F1566" s="274">
        <v>42929</v>
      </c>
      <c r="G1566" s="15">
        <v>2475</v>
      </c>
      <c r="H1566" s="15">
        <f>Tabla1[[#This Row],[Importe]]-Tabla1[[#This Row],[Pagado]]</f>
        <v>0</v>
      </c>
      <c r="I1566" s="275" t="s">
        <v>15214</v>
      </c>
    </row>
    <row r="1567" spans="1:9" x14ac:dyDescent="0.25">
      <c r="A1567" s="16">
        <v>42929</v>
      </c>
      <c r="B1567" s="273" t="s">
        <v>21426</v>
      </c>
      <c r="C1567">
        <v>119721</v>
      </c>
      <c r="D1567" s="236" t="s">
        <v>15344</v>
      </c>
      <c r="E1567" s="15">
        <v>1611</v>
      </c>
      <c r="F1567" s="274">
        <v>42929</v>
      </c>
      <c r="G1567" s="15">
        <v>1611</v>
      </c>
      <c r="H1567" s="15">
        <f>Tabla1[[#This Row],[Importe]]-Tabla1[[#This Row],[Pagado]]</f>
        <v>0</v>
      </c>
      <c r="I1567" s="275" t="s">
        <v>15214</v>
      </c>
    </row>
    <row r="1568" spans="1:9" x14ac:dyDescent="0.25">
      <c r="A1568" s="16">
        <v>42929</v>
      </c>
      <c r="B1568" s="273" t="s">
        <v>21427</v>
      </c>
      <c r="C1568">
        <v>119722</v>
      </c>
      <c r="D1568" s="236" t="s">
        <v>16484</v>
      </c>
      <c r="E1568" s="15">
        <v>1350.9</v>
      </c>
      <c r="F1568" s="274">
        <v>42929</v>
      </c>
      <c r="G1568" s="15">
        <v>1350.9</v>
      </c>
      <c r="H1568" s="15">
        <f>Tabla1[[#This Row],[Importe]]-Tabla1[[#This Row],[Pagado]]</f>
        <v>0</v>
      </c>
      <c r="I1568" s="275" t="s">
        <v>15214</v>
      </c>
    </row>
    <row r="1569" spans="1:9" x14ac:dyDescent="0.25">
      <c r="A1569" s="16">
        <v>42929</v>
      </c>
      <c r="B1569" s="273" t="s">
        <v>21428</v>
      </c>
      <c r="C1569">
        <v>119723</v>
      </c>
      <c r="D1569" s="236" t="s">
        <v>16383</v>
      </c>
      <c r="E1569" s="15">
        <v>10775.8</v>
      </c>
      <c r="F1569" s="274">
        <v>42929</v>
      </c>
      <c r="G1569" s="15">
        <v>10775.8</v>
      </c>
      <c r="H1569" s="15">
        <f>Tabla1[[#This Row],[Importe]]-Tabla1[[#This Row],[Pagado]]</f>
        <v>0</v>
      </c>
      <c r="I1569" s="275" t="s">
        <v>15214</v>
      </c>
    </row>
    <row r="1570" spans="1:9" x14ac:dyDescent="0.25">
      <c r="A1570" s="16">
        <v>42929</v>
      </c>
      <c r="B1570" s="273" t="s">
        <v>21429</v>
      </c>
      <c r="C1570">
        <v>119724</v>
      </c>
      <c r="D1570" s="236" t="s">
        <v>15344</v>
      </c>
      <c r="E1570" s="15">
        <v>2650.5</v>
      </c>
      <c r="F1570" s="274">
        <v>42929</v>
      </c>
      <c r="G1570" s="15">
        <v>2650.5</v>
      </c>
      <c r="H1570" s="15">
        <f>Tabla1[[#This Row],[Importe]]-Tabla1[[#This Row],[Pagado]]</f>
        <v>0</v>
      </c>
      <c r="I1570" s="275" t="s">
        <v>15214</v>
      </c>
    </row>
    <row r="1571" spans="1:9" x14ac:dyDescent="0.25">
      <c r="A1571" s="16">
        <v>42929</v>
      </c>
      <c r="B1571" s="273" t="s">
        <v>21430</v>
      </c>
      <c r="C1571">
        <v>119725</v>
      </c>
      <c r="D1571" s="236" t="s">
        <v>15309</v>
      </c>
      <c r="E1571" s="15">
        <v>3747.1</v>
      </c>
      <c r="F1571" s="274">
        <v>42929</v>
      </c>
      <c r="G1571" s="15">
        <v>3747.1</v>
      </c>
      <c r="H1571" s="15">
        <f>Tabla1[[#This Row],[Importe]]-Tabla1[[#This Row],[Pagado]]</f>
        <v>0</v>
      </c>
      <c r="I1571" s="275" t="s">
        <v>15214</v>
      </c>
    </row>
    <row r="1572" spans="1:9" x14ac:dyDescent="0.25">
      <c r="A1572" s="16">
        <v>42929</v>
      </c>
      <c r="B1572" s="273" t="s">
        <v>21431</v>
      </c>
      <c r="C1572">
        <v>119726</v>
      </c>
      <c r="D1572" s="236" t="s">
        <v>15315</v>
      </c>
      <c r="E1572" s="15">
        <v>394.4</v>
      </c>
      <c r="F1572" s="274">
        <v>42929</v>
      </c>
      <c r="G1572" s="15">
        <v>394.4</v>
      </c>
      <c r="H1572" s="15">
        <f>Tabla1[[#This Row],[Importe]]-Tabla1[[#This Row],[Pagado]]</f>
        <v>0</v>
      </c>
      <c r="I1572" s="275" t="s">
        <v>15214</v>
      </c>
    </row>
    <row r="1573" spans="1:9" x14ac:dyDescent="0.25">
      <c r="A1573" s="16">
        <v>42929</v>
      </c>
      <c r="B1573" s="273" t="s">
        <v>21432</v>
      </c>
      <c r="C1573">
        <v>119727</v>
      </c>
      <c r="D1573" s="236" t="s">
        <v>17210</v>
      </c>
      <c r="E1573" s="15">
        <v>6076.2</v>
      </c>
      <c r="F1573" s="274">
        <v>42929</v>
      </c>
      <c r="G1573" s="15">
        <v>6076.2</v>
      </c>
      <c r="H1573" s="15">
        <f>Tabla1[[#This Row],[Importe]]-Tabla1[[#This Row],[Pagado]]</f>
        <v>0</v>
      </c>
      <c r="I1573" s="275" t="s">
        <v>15214</v>
      </c>
    </row>
    <row r="1574" spans="1:9" x14ac:dyDescent="0.25">
      <c r="A1574" s="16">
        <v>42929</v>
      </c>
      <c r="B1574" s="273" t="s">
        <v>21433</v>
      </c>
      <c r="C1574">
        <v>119728</v>
      </c>
      <c r="D1574" s="236" t="s">
        <v>15332</v>
      </c>
      <c r="E1574" s="15">
        <v>3998.4</v>
      </c>
      <c r="F1574" s="274">
        <v>42929</v>
      </c>
      <c r="G1574" s="15">
        <v>3998.4</v>
      </c>
      <c r="H1574" s="15">
        <f>Tabla1[[#This Row],[Importe]]-Tabla1[[#This Row],[Pagado]]</f>
        <v>0</v>
      </c>
      <c r="I1574" s="275" t="s">
        <v>15214</v>
      </c>
    </row>
    <row r="1575" spans="1:9" x14ac:dyDescent="0.25">
      <c r="A1575" s="16">
        <v>42929</v>
      </c>
      <c r="B1575" s="273" t="s">
        <v>21434</v>
      </c>
      <c r="C1575">
        <v>119729</v>
      </c>
      <c r="D1575" s="236" t="s">
        <v>15668</v>
      </c>
      <c r="E1575" s="15">
        <v>9525.6</v>
      </c>
      <c r="F1575" s="274">
        <v>42933</v>
      </c>
      <c r="G1575" s="15">
        <v>9525.6</v>
      </c>
      <c r="H1575" s="15">
        <f>Tabla1[[#This Row],[Importe]]-Tabla1[[#This Row],[Pagado]]</f>
        <v>0</v>
      </c>
      <c r="I1575" s="275" t="s">
        <v>15214</v>
      </c>
    </row>
    <row r="1576" spans="1:9" ht="15.75" x14ac:dyDescent="0.25">
      <c r="A1576" s="16">
        <v>42929</v>
      </c>
      <c r="B1576" s="273" t="s">
        <v>21435</v>
      </c>
      <c r="C1576">
        <v>119730</v>
      </c>
      <c r="D1576" s="248" t="s">
        <v>95</v>
      </c>
      <c r="E1576" s="15">
        <v>0</v>
      </c>
      <c r="F1576" s="277" t="s">
        <v>95</v>
      </c>
      <c r="G1576" s="15">
        <v>0</v>
      </c>
      <c r="H1576" s="15">
        <f>Tabla1[[#This Row],[Importe]]-Tabla1[[#This Row],[Pagado]]</f>
        <v>0</v>
      </c>
      <c r="I1576" s="275" t="s">
        <v>95</v>
      </c>
    </row>
    <row r="1577" spans="1:9" x14ac:dyDescent="0.25">
      <c r="A1577" s="16">
        <v>42929</v>
      </c>
      <c r="B1577" s="273" t="s">
        <v>21436</v>
      </c>
      <c r="C1577">
        <v>119731</v>
      </c>
      <c r="D1577" s="236" t="s">
        <v>15530</v>
      </c>
      <c r="E1577" s="15">
        <v>1157.0999999999999</v>
      </c>
      <c r="F1577" s="274">
        <v>42929</v>
      </c>
      <c r="G1577" s="15">
        <v>1157.0999999999999</v>
      </c>
      <c r="H1577" s="15">
        <f>Tabla1[[#This Row],[Importe]]-Tabla1[[#This Row],[Pagado]]</f>
        <v>0</v>
      </c>
      <c r="I1577" s="275" t="s">
        <v>15214</v>
      </c>
    </row>
    <row r="1578" spans="1:9" x14ac:dyDescent="0.25">
      <c r="A1578" s="16">
        <v>42929</v>
      </c>
      <c r="B1578" s="273" t="s">
        <v>21437</v>
      </c>
      <c r="C1578">
        <v>119732</v>
      </c>
      <c r="D1578" s="236" t="s">
        <v>15391</v>
      </c>
      <c r="E1578" s="15">
        <v>9584.4</v>
      </c>
      <c r="F1578" s="274">
        <v>42933</v>
      </c>
      <c r="G1578" s="15">
        <v>9584.4</v>
      </c>
      <c r="H1578" s="15">
        <f>Tabla1[[#This Row],[Importe]]-Tabla1[[#This Row],[Pagado]]</f>
        <v>0</v>
      </c>
      <c r="I1578" s="275" t="s">
        <v>15214</v>
      </c>
    </row>
    <row r="1579" spans="1:9" x14ac:dyDescent="0.25">
      <c r="A1579" s="16">
        <v>42929</v>
      </c>
      <c r="B1579" s="273" t="s">
        <v>21438</v>
      </c>
      <c r="C1579">
        <v>119733</v>
      </c>
      <c r="D1579" s="236" t="s">
        <v>15278</v>
      </c>
      <c r="E1579" s="15">
        <v>4156</v>
      </c>
      <c r="F1579" s="274">
        <v>42929</v>
      </c>
      <c r="G1579" s="15">
        <v>4156</v>
      </c>
      <c r="H1579" s="15">
        <f>Tabla1[[#This Row],[Importe]]-Tabla1[[#This Row],[Pagado]]</f>
        <v>0</v>
      </c>
      <c r="I1579" s="275" t="s">
        <v>15214</v>
      </c>
    </row>
    <row r="1580" spans="1:9" x14ac:dyDescent="0.25">
      <c r="A1580" s="16">
        <v>42929</v>
      </c>
      <c r="B1580" s="273" t="s">
        <v>21439</v>
      </c>
      <c r="C1580">
        <v>119734</v>
      </c>
      <c r="D1580" s="236" t="s">
        <v>18544</v>
      </c>
      <c r="E1580" s="15">
        <v>7795</v>
      </c>
      <c r="F1580" s="274">
        <v>42929</v>
      </c>
      <c r="G1580" s="15">
        <v>7795</v>
      </c>
      <c r="H1580" s="15">
        <f>Tabla1[[#This Row],[Importe]]-Tabla1[[#This Row],[Pagado]]</f>
        <v>0</v>
      </c>
      <c r="I1580" s="275" t="s">
        <v>15214</v>
      </c>
    </row>
    <row r="1581" spans="1:9" x14ac:dyDescent="0.25">
      <c r="A1581" s="16">
        <v>42929</v>
      </c>
      <c r="B1581" s="273" t="s">
        <v>21440</v>
      </c>
      <c r="C1581">
        <v>119735</v>
      </c>
      <c r="D1581" s="236" t="s">
        <v>21441</v>
      </c>
      <c r="E1581" s="15">
        <v>1168.7</v>
      </c>
      <c r="F1581" s="274">
        <v>42929</v>
      </c>
      <c r="G1581" s="15">
        <v>1168.7</v>
      </c>
      <c r="H1581" s="15">
        <f>Tabla1[[#This Row],[Importe]]-Tabla1[[#This Row],[Pagado]]</f>
        <v>0</v>
      </c>
      <c r="I1581" s="275" t="s">
        <v>15214</v>
      </c>
    </row>
    <row r="1582" spans="1:9" x14ac:dyDescent="0.25">
      <c r="A1582" s="16">
        <v>42929</v>
      </c>
      <c r="B1582" s="273" t="s">
        <v>21442</v>
      </c>
      <c r="C1582">
        <v>119736</v>
      </c>
      <c r="D1582" s="236" t="s">
        <v>16139</v>
      </c>
      <c r="E1582" s="15">
        <v>10260</v>
      </c>
      <c r="F1582" s="274">
        <v>42929</v>
      </c>
      <c r="G1582" s="15">
        <v>10260</v>
      </c>
      <c r="H1582" s="15">
        <f>Tabla1[[#This Row],[Importe]]-Tabla1[[#This Row],[Pagado]]</f>
        <v>0</v>
      </c>
      <c r="I1582" s="275" t="s">
        <v>15214</v>
      </c>
    </row>
    <row r="1583" spans="1:9" x14ac:dyDescent="0.25">
      <c r="A1583" s="16">
        <v>42929</v>
      </c>
      <c r="B1583" s="273" t="s">
        <v>21443</v>
      </c>
      <c r="C1583">
        <v>119737</v>
      </c>
      <c r="D1583" s="236" t="s">
        <v>15568</v>
      </c>
      <c r="E1583" s="15">
        <v>7189.6</v>
      </c>
      <c r="F1583" s="274">
        <v>42931</v>
      </c>
      <c r="G1583" s="15">
        <v>7189.6</v>
      </c>
      <c r="H1583" s="15">
        <f>Tabla1[[#This Row],[Importe]]-Tabla1[[#This Row],[Pagado]]</f>
        <v>0</v>
      </c>
      <c r="I1583" s="275" t="s">
        <v>15214</v>
      </c>
    </row>
    <row r="1584" spans="1:9" x14ac:dyDescent="0.25">
      <c r="A1584" s="16">
        <v>42929</v>
      </c>
      <c r="B1584" s="273" t="s">
        <v>21444</v>
      </c>
      <c r="C1584">
        <v>119738</v>
      </c>
      <c r="D1584" s="236" t="s">
        <v>21445</v>
      </c>
      <c r="E1584" s="15">
        <v>2246.5</v>
      </c>
      <c r="F1584" s="274">
        <v>42929</v>
      </c>
      <c r="G1584" s="15">
        <v>2246.5</v>
      </c>
      <c r="H1584" s="15">
        <f>Tabla1[[#This Row],[Importe]]-Tabla1[[#This Row],[Pagado]]</f>
        <v>0</v>
      </c>
      <c r="I1584" s="275" t="s">
        <v>15214</v>
      </c>
    </row>
    <row r="1585" spans="1:9" x14ac:dyDescent="0.25">
      <c r="A1585" s="16">
        <v>42929</v>
      </c>
      <c r="B1585" s="273" t="s">
        <v>21446</v>
      </c>
      <c r="C1585">
        <v>119739</v>
      </c>
      <c r="D1585" s="236" t="s">
        <v>15223</v>
      </c>
      <c r="E1585" s="15">
        <v>60548.800000000003</v>
      </c>
      <c r="F1585" s="274">
        <v>42960</v>
      </c>
      <c r="G1585" s="15">
        <v>60548.800000000003</v>
      </c>
      <c r="H1585" s="15">
        <f>Tabla1[[#This Row],[Importe]]-Tabla1[[#This Row],[Pagado]]</f>
        <v>0</v>
      </c>
      <c r="I1585" s="275" t="s">
        <v>15214</v>
      </c>
    </row>
    <row r="1586" spans="1:9" x14ac:dyDescent="0.25">
      <c r="A1586" s="16">
        <v>42929</v>
      </c>
      <c r="B1586" s="273" t="s">
        <v>21447</v>
      </c>
      <c r="C1586">
        <v>119740</v>
      </c>
      <c r="D1586" s="236" t="s">
        <v>15868</v>
      </c>
      <c r="E1586" s="15">
        <v>10023.299999999999</v>
      </c>
      <c r="F1586" s="274">
        <v>42929</v>
      </c>
      <c r="G1586" s="15">
        <v>10023.299999999999</v>
      </c>
      <c r="H1586" s="15">
        <f>Tabla1[[#This Row],[Importe]]-Tabla1[[#This Row],[Pagado]]</f>
        <v>0</v>
      </c>
      <c r="I1586" s="275" t="s">
        <v>15214</v>
      </c>
    </row>
    <row r="1587" spans="1:9" x14ac:dyDescent="0.25">
      <c r="A1587" s="16">
        <v>42929</v>
      </c>
      <c r="B1587" s="273" t="s">
        <v>21448</v>
      </c>
      <c r="C1587">
        <v>119741</v>
      </c>
      <c r="D1587" s="236" t="s">
        <v>15378</v>
      </c>
      <c r="E1587" s="15">
        <v>195</v>
      </c>
      <c r="F1587" s="274">
        <v>42929</v>
      </c>
      <c r="G1587" s="15">
        <v>195</v>
      </c>
      <c r="H1587" s="15">
        <f>Tabla1[[#This Row],[Importe]]-Tabla1[[#This Row],[Pagado]]</f>
        <v>0</v>
      </c>
      <c r="I1587" s="275" t="s">
        <v>15214</v>
      </c>
    </row>
    <row r="1588" spans="1:9" x14ac:dyDescent="0.25">
      <c r="A1588" s="16">
        <v>42929</v>
      </c>
      <c r="B1588" s="273" t="s">
        <v>21449</v>
      </c>
      <c r="C1588">
        <v>119742</v>
      </c>
      <c r="D1588" s="236" t="s">
        <v>16064</v>
      </c>
      <c r="E1588" s="15">
        <v>4403</v>
      </c>
      <c r="F1588" s="274">
        <v>42929</v>
      </c>
      <c r="G1588" s="15">
        <v>4403</v>
      </c>
      <c r="H1588" s="15">
        <f>Tabla1[[#This Row],[Importe]]-Tabla1[[#This Row],[Pagado]]</f>
        <v>0</v>
      </c>
      <c r="I1588" s="275" t="s">
        <v>15214</v>
      </c>
    </row>
    <row r="1589" spans="1:9" x14ac:dyDescent="0.25">
      <c r="A1589" s="16">
        <v>42929</v>
      </c>
      <c r="B1589" s="273" t="s">
        <v>21450</v>
      </c>
      <c r="C1589">
        <v>119743</v>
      </c>
      <c r="D1589" s="236" t="s">
        <v>15725</v>
      </c>
      <c r="E1589" s="15">
        <v>36294.6</v>
      </c>
      <c r="F1589" s="274">
        <v>42933</v>
      </c>
      <c r="G1589" s="15">
        <v>36294.6</v>
      </c>
      <c r="H1589" s="15">
        <f>Tabla1[[#This Row],[Importe]]-Tabla1[[#This Row],[Pagado]]</f>
        <v>0</v>
      </c>
      <c r="I1589" s="275" t="s">
        <v>15214</v>
      </c>
    </row>
    <row r="1590" spans="1:9" x14ac:dyDescent="0.25">
      <c r="A1590" s="16">
        <v>42929</v>
      </c>
      <c r="B1590" s="273" t="s">
        <v>21451</v>
      </c>
      <c r="C1590">
        <v>119744</v>
      </c>
      <c r="D1590" s="236" t="s">
        <v>15301</v>
      </c>
      <c r="E1590" s="15">
        <v>3893.4</v>
      </c>
      <c r="F1590" s="274">
        <v>42929</v>
      </c>
      <c r="G1590" s="15">
        <v>3893.4</v>
      </c>
      <c r="H1590" s="15">
        <f>Tabla1[[#This Row],[Importe]]-Tabla1[[#This Row],[Pagado]]</f>
        <v>0</v>
      </c>
      <c r="I1590" s="275" t="s">
        <v>15214</v>
      </c>
    </row>
    <row r="1591" spans="1:9" x14ac:dyDescent="0.25">
      <c r="A1591" s="16">
        <v>42929</v>
      </c>
      <c r="B1591" s="273" t="s">
        <v>21452</v>
      </c>
      <c r="C1591">
        <v>119745</v>
      </c>
      <c r="D1591" s="236" t="s">
        <v>15291</v>
      </c>
      <c r="E1591" s="15">
        <v>550</v>
      </c>
      <c r="F1591" s="274">
        <v>42929</v>
      </c>
      <c r="G1591" s="15">
        <v>550</v>
      </c>
      <c r="H1591" s="15">
        <f>Tabla1[[#This Row],[Importe]]-Tabla1[[#This Row],[Pagado]]</f>
        <v>0</v>
      </c>
      <c r="I1591" s="275" t="s">
        <v>15214</v>
      </c>
    </row>
    <row r="1592" spans="1:9" x14ac:dyDescent="0.25">
      <c r="A1592" s="16">
        <v>42929</v>
      </c>
      <c r="B1592" s="273" t="s">
        <v>21453</v>
      </c>
      <c r="C1592">
        <v>119746</v>
      </c>
      <c r="D1592" s="236" t="s">
        <v>16217</v>
      </c>
      <c r="E1592" s="15">
        <v>1943.6</v>
      </c>
      <c r="F1592" s="274">
        <v>42929</v>
      </c>
      <c r="G1592" s="15">
        <v>1943.6</v>
      </c>
      <c r="H1592" s="15">
        <f>Tabla1[[#This Row],[Importe]]-Tabla1[[#This Row],[Pagado]]</f>
        <v>0</v>
      </c>
      <c r="I1592" s="275" t="s">
        <v>15214</v>
      </c>
    </row>
    <row r="1593" spans="1:9" x14ac:dyDescent="0.25">
      <c r="A1593" s="16">
        <v>42929</v>
      </c>
      <c r="B1593" s="273" t="s">
        <v>21454</v>
      </c>
      <c r="C1593">
        <v>119747</v>
      </c>
      <c r="D1593" s="236" t="s">
        <v>16217</v>
      </c>
      <c r="E1593" s="15">
        <v>540</v>
      </c>
      <c r="F1593" s="274">
        <v>42929</v>
      </c>
      <c r="G1593" s="15">
        <v>540</v>
      </c>
      <c r="H1593" s="15">
        <f>Tabla1[[#This Row],[Importe]]-Tabla1[[#This Row],[Pagado]]</f>
        <v>0</v>
      </c>
      <c r="I1593" s="275" t="s">
        <v>15214</v>
      </c>
    </row>
    <row r="1594" spans="1:9" x14ac:dyDescent="0.25">
      <c r="A1594" s="16">
        <v>42929</v>
      </c>
      <c r="B1594" s="273" t="s">
        <v>21455</v>
      </c>
      <c r="C1594">
        <v>119748</v>
      </c>
      <c r="D1594" s="236" t="s">
        <v>15309</v>
      </c>
      <c r="E1594" s="15">
        <v>18446.400000000001</v>
      </c>
      <c r="F1594" s="274">
        <v>42929</v>
      </c>
      <c r="G1594" s="15">
        <v>18446.400000000001</v>
      </c>
      <c r="H1594" s="15">
        <f>Tabla1[[#This Row],[Importe]]-Tabla1[[#This Row],[Pagado]]</f>
        <v>0</v>
      </c>
      <c r="I1594" s="275" t="s">
        <v>15214</v>
      </c>
    </row>
    <row r="1595" spans="1:9" x14ac:dyDescent="0.25">
      <c r="A1595" s="16">
        <v>42929</v>
      </c>
      <c r="B1595" s="273" t="s">
        <v>21456</v>
      </c>
      <c r="C1595">
        <v>119749</v>
      </c>
      <c r="D1595" s="236" t="s">
        <v>15307</v>
      </c>
      <c r="E1595" s="15">
        <v>3637</v>
      </c>
      <c r="F1595" s="274">
        <v>42929</v>
      </c>
      <c r="G1595" s="15">
        <v>3637</v>
      </c>
      <c r="H1595" s="15">
        <f>Tabla1[[#This Row],[Importe]]-Tabla1[[#This Row],[Pagado]]</f>
        <v>0</v>
      </c>
      <c r="I1595" s="275" t="s">
        <v>15214</v>
      </c>
    </row>
    <row r="1596" spans="1:9" x14ac:dyDescent="0.25">
      <c r="A1596" s="16">
        <v>42929</v>
      </c>
      <c r="B1596" s="273" t="s">
        <v>21457</v>
      </c>
      <c r="C1596">
        <v>119750</v>
      </c>
      <c r="D1596" s="236" t="s">
        <v>15541</v>
      </c>
      <c r="E1596" s="15">
        <v>1620</v>
      </c>
      <c r="F1596" s="274">
        <v>42929</v>
      </c>
      <c r="G1596" s="15">
        <v>1620</v>
      </c>
      <c r="H1596" s="15">
        <f>Tabla1[[#This Row],[Importe]]-Tabla1[[#This Row],[Pagado]]</f>
        <v>0</v>
      </c>
      <c r="I1596" s="275" t="s">
        <v>15214</v>
      </c>
    </row>
    <row r="1597" spans="1:9" x14ac:dyDescent="0.25">
      <c r="A1597" s="16">
        <v>42929</v>
      </c>
      <c r="B1597" s="273" t="s">
        <v>21458</v>
      </c>
      <c r="C1597">
        <v>119751</v>
      </c>
      <c r="D1597" s="236" t="s">
        <v>15252</v>
      </c>
      <c r="E1597" s="15">
        <v>3769.4</v>
      </c>
      <c r="F1597" s="274">
        <v>42934</v>
      </c>
      <c r="G1597" s="15">
        <v>3769.4</v>
      </c>
      <c r="H1597" s="15">
        <f>Tabla1[[#This Row],[Importe]]-Tabla1[[#This Row],[Pagado]]</f>
        <v>0</v>
      </c>
      <c r="I1597" s="275" t="s">
        <v>15214</v>
      </c>
    </row>
    <row r="1598" spans="1:9" x14ac:dyDescent="0.25">
      <c r="A1598" s="16">
        <v>42929</v>
      </c>
      <c r="B1598" s="273" t="s">
        <v>21459</v>
      </c>
      <c r="C1598">
        <v>119752</v>
      </c>
      <c r="D1598" s="236" t="s">
        <v>15244</v>
      </c>
      <c r="E1598" s="15">
        <v>10681.4</v>
      </c>
      <c r="F1598" s="274">
        <v>42933</v>
      </c>
      <c r="G1598" s="15">
        <v>10681.4</v>
      </c>
      <c r="H1598" s="15">
        <f>Tabla1[[#This Row],[Importe]]-Tabla1[[#This Row],[Pagado]]</f>
        <v>0</v>
      </c>
      <c r="I1598" s="275" t="s">
        <v>15214</v>
      </c>
    </row>
    <row r="1599" spans="1:9" x14ac:dyDescent="0.25">
      <c r="A1599" s="16">
        <v>42929</v>
      </c>
      <c r="B1599" s="273" t="s">
        <v>21460</v>
      </c>
      <c r="C1599">
        <v>119753</v>
      </c>
      <c r="D1599" s="236" t="s">
        <v>15378</v>
      </c>
      <c r="E1599" s="15">
        <v>1985.7</v>
      </c>
      <c r="F1599" s="274">
        <v>42929</v>
      </c>
      <c r="G1599" s="15">
        <v>1985.7</v>
      </c>
      <c r="H1599" s="15">
        <f>Tabla1[[#This Row],[Importe]]-Tabla1[[#This Row],[Pagado]]</f>
        <v>0</v>
      </c>
      <c r="I1599" s="275" t="s">
        <v>15214</v>
      </c>
    </row>
    <row r="1600" spans="1:9" x14ac:dyDescent="0.25">
      <c r="A1600" s="16">
        <v>42929</v>
      </c>
      <c r="B1600" s="273" t="s">
        <v>21461</v>
      </c>
      <c r="C1600">
        <v>119754</v>
      </c>
      <c r="D1600" s="236" t="s">
        <v>15628</v>
      </c>
      <c r="E1600" s="15">
        <v>569.1</v>
      </c>
      <c r="F1600" s="274">
        <v>42929</v>
      </c>
      <c r="G1600" s="15">
        <v>569.1</v>
      </c>
      <c r="H1600" s="15">
        <f>Tabla1[[#This Row],[Importe]]-Tabla1[[#This Row],[Pagado]]</f>
        <v>0</v>
      </c>
      <c r="I1600" s="275" t="s">
        <v>15214</v>
      </c>
    </row>
    <row r="1601" spans="1:9" x14ac:dyDescent="0.25">
      <c r="A1601" s="16">
        <v>42929</v>
      </c>
      <c r="B1601" s="273" t="s">
        <v>21462</v>
      </c>
      <c r="C1601">
        <v>119755</v>
      </c>
      <c r="D1601" s="236" t="s">
        <v>15617</v>
      </c>
      <c r="E1601" s="15">
        <v>13651</v>
      </c>
      <c r="F1601" s="274">
        <v>42929</v>
      </c>
      <c r="G1601" s="15">
        <v>13651</v>
      </c>
      <c r="H1601" s="15">
        <f>Tabla1[[#This Row],[Importe]]-Tabla1[[#This Row],[Pagado]]</f>
        <v>0</v>
      </c>
      <c r="I1601" s="275" t="s">
        <v>15214</v>
      </c>
    </row>
    <row r="1602" spans="1:9" ht="15.75" x14ac:dyDescent="0.25">
      <c r="A1602" s="16">
        <v>42929</v>
      </c>
      <c r="B1602" s="273" t="s">
        <v>21463</v>
      </c>
      <c r="C1602">
        <v>119756</v>
      </c>
      <c r="D1602" s="248" t="s">
        <v>95</v>
      </c>
      <c r="E1602" s="15">
        <v>0</v>
      </c>
      <c r="F1602" s="277" t="s">
        <v>95</v>
      </c>
      <c r="G1602" s="15">
        <v>0</v>
      </c>
      <c r="H1602" s="15">
        <f>Tabla1[[#This Row],[Importe]]-Tabla1[[#This Row],[Pagado]]</f>
        <v>0</v>
      </c>
      <c r="I1602" s="275" t="s">
        <v>95</v>
      </c>
    </row>
    <row r="1603" spans="1:9" x14ac:dyDescent="0.25">
      <c r="A1603" s="16">
        <v>42929</v>
      </c>
      <c r="B1603" s="273" t="s">
        <v>21464</v>
      </c>
      <c r="C1603">
        <v>119757</v>
      </c>
      <c r="D1603" s="236" t="s">
        <v>15890</v>
      </c>
      <c r="E1603" s="15">
        <v>11758</v>
      </c>
      <c r="F1603" s="274">
        <v>42934</v>
      </c>
      <c r="G1603" s="15">
        <v>11758</v>
      </c>
      <c r="H1603" s="15">
        <f>Tabla1[[#This Row],[Importe]]-Tabla1[[#This Row],[Pagado]]</f>
        <v>0</v>
      </c>
      <c r="I1603" s="275" t="s">
        <v>15214</v>
      </c>
    </row>
    <row r="1604" spans="1:9" x14ac:dyDescent="0.25">
      <c r="A1604" s="16">
        <v>42929</v>
      </c>
      <c r="B1604" s="273" t="s">
        <v>21465</v>
      </c>
      <c r="C1604">
        <v>119758</v>
      </c>
      <c r="D1604" s="236" t="s">
        <v>15577</v>
      </c>
      <c r="E1604" s="15">
        <v>291.2</v>
      </c>
      <c r="F1604" s="274">
        <v>42929</v>
      </c>
      <c r="G1604" s="15">
        <v>291.2</v>
      </c>
      <c r="H1604" s="15">
        <f>Tabla1[[#This Row],[Importe]]-Tabla1[[#This Row],[Pagado]]</f>
        <v>0</v>
      </c>
      <c r="I1604" s="275" t="s">
        <v>15214</v>
      </c>
    </row>
    <row r="1605" spans="1:9" ht="15.75" x14ac:dyDescent="0.25">
      <c r="A1605" s="16">
        <v>42929</v>
      </c>
      <c r="B1605" s="273" t="s">
        <v>21466</v>
      </c>
      <c r="C1605">
        <v>119759</v>
      </c>
      <c r="D1605" s="248" t="s">
        <v>95</v>
      </c>
      <c r="E1605" s="15">
        <v>0</v>
      </c>
      <c r="F1605" s="277" t="s">
        <v>95</v>
      </c>
      <c r="G1605" s="15">
        <v>0</v>
      </c>
      <c r="H1605" s="15">
        <f>Tabla1[[#This Row],[Importe]]-Tabla1[[#This Row],[Pagado]]</f>
        <v>0</v>
      </c>
      <c r="I1605" s="275" t="s">
        <v>95</v>
      </c>
    </row>
    <row r="1606" spans="1:9" x14ac:dyDescent="0.25">
      <c r="A1606" s="16">
        <v>42929</v>
      </c>
      <c r="B1606" s="273" t="s">
        <v>21467</v>
      </c>
      <c r="C1606">
        <v>119760</v>
      </c>
      <c r="D1606" s="236" t="s">
        <v>15398</v>
      </c>
      <c r="E1606" s="15">
        <v>3574.35</v>
      </c>
      <c r="F1606" s="274">
        <v>42929</v>
      </c>
      <c r="G1606" s="15">
        <v>3574.35</v>
      </c>
      <c r="H1606" s="15">
        <f>Tabla1[[#This Row],[Importe]]-Tabla1[[#This Row],[Pagado]]</f>
        <v>0</v>
      </c>
      <c r="I1606" s="275" t="s">
        <v>15214</v>
      </c>
    </row>
    <row r="1607" spans="1:9" x14ac:dyDescent="0.25">
      <c r="A1607" s="16">
        <v>42929</v>
      </c>
      <c r="B1607" s="273" t="s">
        <v>21468</v>
      </c>
      <c r="C1607">
        <v>119761</v>
      </c>
      <c r="D1607" s="236" t="s">
        <v>15246</v>
      </c>
      <c r="E1607" s="15">
        <v>248988.28</v>
      </c>
      <c r="F1607" s="274">
        <v>42933</v>
      </c>
      <c r="G1607" s="15">
        <v>248988.28</v>
      </c>
      <c r="H1607" s="15">
        <f>Tabla1[[#This Row],[Importe]]-Tabla1[[#This Row],[Pagado]]</f>
        <v>0</v>
      </c>
      <c r="I1607" s="275" t="s">
        <v>15214</v>
      </c>
    </row>
    <row r="1608" spans="1:9" x14ac:dyDescent="0.25">
      <c r="A1608" s="16">
        <v>42929</v>
      </c>
      <c r="B1608" s="273" t="s">
        <v>21469</v>
      </c>
      <c r="C1608">
        <v>119762</v>
      </c>
      <c r="D1608" s="236" t="s">
        <v>15246</v>
      </c>
      <c r="E1608" s="15">
        <v>20756.400000000001</v>
      </c>
      <c r="F1608" s="274">
        <v>42933</v>
      </c>
      <c r="G1608" s="15">
        <v>20756.400000000001</v>
      </c>
      <c r="H1608" s="15">
        <f>Tabla1[[#This Row],[Importe]]-Tabla1[[#This Row],[Pagado]]</f>
        <v>0</v>
      </c>
      <c r="I1608" s="275" t="s">
        <v>15214</v>
      </c>
    </row>
    <row r="1609" spans="1:9" x14ac:dyDescent="0.25">
      <c r="A1609" s="16">
        <v>42929</v>
      </c>
      <c r="B1609" s="273" t="s">
        <v>21470</v>
      </c>
      <c r="C1609">
        <v>119763</v>
      </c>
      <c r="D1609" s="236" t="s">
        <v>15665</v>
      </c>
      <c r="E1609" s="15">
        <v>531.70000000000005</v>
      </c>
      <c r="F1609" s="274">
        <v>42929</v>
      </c>
      <c r="G1609" s="15">
        <v>531.70000000000005</v>
      </c>
      <c r="H1609" s="15">
        <f>Tabla1[[#This Row],[Importe]]-Tabla1[[#This Row],[Pagado]]</f>
        <v>0</v>
      </c>
      <c r="I1609" s="275" t="s">
        <v>15214</v>
      </c>
    </row>
    <row r="1610" spans="1:9" x14ac:dyDescent="0.25">
      <c r="A1610" s="16">
        <v>42929</v>
      </c>
      <c r="B1610" s="273" t="s">
        <v>21471</v>
      </c>
      <c r="C1610">
        <v>119764</v>
      </c>
      <c r="D1610" s="236" t="s">
        <v>15396</v>
      </c>
      <c r="E1610" s="15">
        <v>4459.3999999999996</v>
      </c>
      <c r="F1610" s="274">
        <v>42929</v>
      </c>
      <c r="G1610" s="15">
        <v>4459.3999999999996</v>
      </c>
      <c r="H1610" s="15">
        <f>Tabla1[[#This Row],[Importe]]-Tabla1[[#This Row],[Pagado]]</f>
        <v>0</v>
      </c>
      <c r="I1610" s="275" t="s">
        <v>15214</v>
      </c>
    </row>
    <row r="1611" spans="1:9" x14ac:dyDescent="0.25">
      <c r="A1611" s="16">
        <v>42929</v>
      </c>
      <c r="B1611" s="273" t="s">
        <v>21472</v>
      </c>
      <c r="C1611">
        <v>119765</v>
      </c>
      <c r="D1611" s="236" t="s">
        <v>15655</v>
      </c>
      <c r="E1611" s="15">
        <v>11400</v>
      </c>
      <c r="F1611" s="274">
        <v>42929</v>
      </c>
      <c r="G1611" s="15">
        <v>11400</v>
      </c>
      <c r="H1611" s="15">
        <f>Tabla1[[#This Row],[Importe]]-Tabla1[[#This Row],[Pagado]]</f>
        <v>0</v>
      </c>
      <c r="I1611" s="275" t="s">
        <v>15214</v>
      </c>
    </row>
    <row r="1612" spans="1:9" x14ac:dyDescent="0.25">
      <c r="A1612" s="16">
        <v>42929</v>
      </c>
      <c r="B1612" s="273" t="s">
        <v>21473</v>
      </c>
      <c r="C1612">
        <v>119766</v>
      </c>
      <c r="D1612" s="236" t="s">
        <v>15365</v>
      </c>
      <c r="E1612" s="15">
        <v>9328.7999999999993</v>
      </c>
      <c r="F1612" s="274">
        <v>42931</v>
      </c>
      <c r="G1612" s="15">
        <v>9328.7999999999993</v>
      </c>
      <c r="H1612" s="15">
        <f>Tabla1[[#This Row],[Importe]]-Tabla1[[#This Row],[Pagado]]</f>
        <v>0</v>
      </c>
      <c r="I1612" s="275" t="s">
        <v>15214</v>
      </c>
    </row>
    <row r="1613" spans="1:9" x14ac:dyDescent="0.25">
      <c r="A1613" s="16">
        <v>42929</v>
      </c>
      <c r="B1613" s="273" t="s">
        <v>21474</v>
      </c>
      <c r="C1613">
        <v>119767</v>
      </c>
      <c r="D1613" s="236" t="s">
        <v>15716</v>
      </c>
      <c r="E1613" s="15">
        <v>8044</v>
      </c>
      <c r="F1613" s="274">
        <v>42929</v>
      </c>
      <c r="G1613" s="15">
        <v>8044</v>
      </c>
      <c r="H1613" s="15">
        <f>Tabla1[[#This Row],[Importe]]-Tabla1[[#This Row],[Pagado]]</f>
        <v>0</v>
      </c>
      <c r="I1613" s="275" t="s">
        <v>15214</v>
      </c>
    </row>
    <row r="1614" spans="1:9" x14ac:dyDescent="0.25">
      <c r="A1614" s="16">
        <v>42929</v>
      </c>
      <c r="B1614" s="273" t="s">
        <v>21475</v>
      </c>
      <c r="C1614">
        <v>119768</v>
      </c>
      <c r="D1614" s="236" t="s">
        <v>15537</v>
      </c>
      <c r="E1614" s="15">
        <v>22132.2</v>
      </c>
      <c r="F1614" s="274">
        <v>42935</v>
      </c>
      <c r="G1614" s="15">
        <v>22132.2</v>
      </c>
      <c r="H1614" s="15">
        <f>Tabla1[[#This Row],[Importe]]-Tabla1[[#This Row],[Pagado]]</f>
        <v>0</v>
      </c>
      <c r="I1614" s="275" t="s">
        <v>15214</v>
      </c>
    </row>
    <row r="1615" spans="1:9" x14ac:dyDescent="0.25">
      <c r="A1615" s="16">
        <v>42929</v>
      </c>
      <c r="B1615" s="273" t="s">
        <v>21476</v>
      </c>
      <c r="C1615">
        <v>119769</v>
      </c>
      <c r="D1615" s="236" t="s">
        <v>15539</v>
      </c>
      <c r="E1615" s="15">
        <v>22232.1</v>
      </c>
      <c r="F1615" s="274">
        <v>42935</v>
      </c>
      <c r="G1615" s="15">
        <v>22232.1</v>
      </c>
      <c r="H1615" s="15">
        <f>Tabla1[[#This Row],[Importe]]-Tabla1[[#This Row],[Pagado]]</f>
        <v>0</v>
      </c>
      <c r="I1615" s="275" t="s">
        <v>15214</v>
      </c>
    </row>
    <row r="1616" spans="1:9" x14ac:dyDescent="0.25">
      <c r="A1616" s="16">
        <v>42929</v>
      </c>
      <c r="B1616" s="273" t="s">
        <v>21477</v>
      </c>
      <c r="C1616">
        <v>119770</v>
      </c>
      <c r="D1616" s="236" t="s">
        <v>15315</v>
      </c>
      <c r="E1616" s="15">
        <v>10913.4</v>
      </c>
      <c r="F1616" s="274">
        <v>42935</v>
      </c>
      <c r="G1616" s="15">
        <v>10913.4</v>
      </c>
      <c r="H1616" s="15">
        <f>Tabla1[[#This Row],[Importe]]-Tabla1[[#This Row],[Pagado]]</f>
        <v>0</v>
      </c>
      <c r="I1616" s="275" t="s">
        <v>15214</v>
      </c>
    </row>
    <row r="1617" spans="1:9" x14ac:dyDescent="0.25">
      <c r="A1617" s="16">
        <v>42929</v>
      </c>
      <c r="B1617" s="273" t="s">
        <v>21478</v>
      </c>
      <c r="C1617">
        <v>119771</v>
      </c>
      <c r="D1617" s="236" t="s">
        <v>15544</v>
      </c>
      <c r="E1617" s="15">
        <v>3280.9</v>
      </c>
      <c r="F1617" s="274">
        <v>42930</v>
      </c>
      <c r="G1617" s="15">
        <v>3280.9</v>
      </c>
      <c r="H1617" s="15">
        <f>Tabla1[[#This Row],[Importe]]-Tabla1[[#This Row],[Pagado]]</f>
        <v>0</v>
      </c>
      <c r="I1617" s="275" t="s">
        <v>15214</v>
      </c>
    </row>
    <row r="1618" spans="1:9" x14ac:dyDescent="0.25">
      <c r="A1618" s="16">
        <v>42929</v>
      </c>
      <c r="B1618" s="273" t="s">
        <v>21479</v>
      </c>
      <c r="C1618">
        <v>119772</v>
      </c>
      <c r="D1618" s="236" t="s">
        <v>16040</v>
      </c>
      <c r="E1618" s="15">
        <v>4842.6000000000004</v>
      </c>
      <c r="F1618" s="274">
        <v>42938</v>
      </c>
      <c r="G1618" s="15">
        <v>4842.6000000000004</v>
      </c>
      <c r="H1618" s="15">
        <f>Tabla1[[#This Row],[Importe]]-Tabla1[[#This Row],[Pagado]]</f>
        <v>0</v>
      </c>
      <c r="I1618" s="275" t="s">
        <v>15214</v>
      </c>
    </row>
    <row r="1619" spans="1:9" x14ac:dyDescent="0.25">
      <c r="A1619" s="16">
        <v>42929</v>
      </c>
      <c r="B1619" s="273" t="s">
        <v>21480</v>
      </c>
      <c r="C1619">
        <v>119773</v>
      </c>
      <c r="D1619" s="236" t="s">
        <v>15315</v>
      </c>
      <c r="E1619" s="15">
        <v>3506.4</v>
      </c>
      <c r="F1619" s="274">
        <v>42930</v>
      </c>
      <c r="G1619" s="15">
        <v>3506.4</v>
      </c>
      <c r="H1619" s="15">
        <f>Tabla1[[#This Row],[Importe]]-Tabla1[[#This Row],[Pagado]]</f>
        <v>0</v>
      </c>
      <c r="I1619" s="275" t="s">
        <v>15214</v>
      </c>
    </row>
    <row r="1620" spans="1:9" x14ac:dyDescent="0.25">
      <c r="A1620" s="16">
        <v>42929</v>
      </c>
      <c r="B1620" s="273" t="s">
        <v>21481</v>
      </c>
      <c r="C1620">
        <v>119774</v>
      </c>
      <c r="D1620" s="236" t="s">
        <v>15699</v>
      </c>
      <c r="E1620" s="15">
        <v>11001</v>
      </c>
      <c r="F1620" s="292">
        <v>42950</v>
      </c>
      <c r="G1620" s="15">
        <v>11001</v>
      </c>
      <c r="H1620" s="15">
        <f>Tabla1[[#This Row],[Importe]]-Tabla1[[#This Row],[Pagado]]</f>
        <v>0</v>
      </c>
      <c r="I1620" s="275" t="s">
        <v>15214</v>
      </c>
    </row>
    <row r="1621" spans="1:9" x14ac:dyDescent="0.25">
      <c r="A1621" s="16">
        <v>42929</v>
      </c>
      <c r="B1621" s="273" t="s">
        <v>21482</v>
      </c>
      <c r="C1621">
        <v>119775</v>
      </c>
      <c r="D1621" s="236" t="s">
        <v>15213</v>
      </c>
      <c r="E1621" s="15">
        <v>6864</v>
      </c>
      <c r="F1621" s="274">
        <v>42930</v>
      </c>
      <c r="G1621" s="15">
        <v>6864</v>
      </c>
      <c r="H1621" s="15">
        <f>Tabla1[[#This Row],[Importe]]-Tabla1[[#This Row],[Pagado]]</f>
        <v>0</v>
      </c>
      <c r="I1621" s="275" t="s">
        <v>15214</v>
      </c>
    </row>
    <row r="1622" spans="1:9" x14ac:dyDescent="0.25">
      <c r="A1622" s="16">
        <v>42929</v>
      </c>
      <c r="B1622" s="273" t="s">
        <v>21483</v>
      </c>
      <c r="C1622">
        <v>119776</v>
      </c>
      <c r="D1622" s="236" t="s">
        <v>15246</v>
      </c>
      <c r="E1622" s="15">
        <v>44172.2</v>
      </c>
      <c r="F1622" s="274">
        <v>42933</v>
      </c>
      <c r="G1622" s="15">
        <v>44172.2</v>
      </c>
      <c r="H1622" s="15">
        <f>Tabla1[[#This Row],[Importe]]-Tabla1[[#This Row],[Pagado]]</f>
        <v>0</v>
      </c>
      <c r="I1622" s="275" t="s">
        <v>15214</v>
      </c>
    </row>
    <row r="1623" spans="1:9" x14ac:dyDescent="0.25">
      <c r="A1623" s="16">
        <v>42929</v>
      </c>
      <c r="B1623" s="273" t="s">
        <v>21484</v>
      </c>
      <c r="C1623">
        <v>119777</v>
      </c>
      <c r="D1623" s="236" t="s">
        <v>15282</v>
      </c>
      <c r="E1623" s="15">
        <v>3982.6</v>
      </c>
      <c r="F1623" s="274">
        <v>42929</v>
      </c>
      <c r="G1623" s="15">
        <v>3982.6</v>
      </c>
      <c r="H1623" s="15">
        <f>Tabla1[[#This Row],[Importe]]-Tabla1[[#This Row],[Pagado]]</f>
        <v>0</v>
      </c>
      <c r="I1623" s="275" t="s">
        <v>15214</v>
      </c>
    </row>
    <row r="1624" spans="1:9" x14ac:dyDescent="0.25">
      <c r="A1624" s="16">
        <v>42929</v>
      </c>
      <c r="B1624" s="273" t="s">
        <v>21485</v>
      </c>
      <c r="C1624">
        <v>119778</v>
      </c>
      <c r="D1624" s="236" t="s">
        <v>15267</v>
      </c>
      <c r="E1624" s="15">
        <v>5622.6</v>
      </c>
      <c r="F1624" s="274">
        <v>42929</v>
      </c>
      <c r="G1624" s="15">
        <v>5622.6</v>
      </c>
      <c r="H1624" s="15">
        <f>Tabla1[[#This Row],[Importe]]-Tabla1[[#This Row],[Pagado]]</f>
        <v>0</v>
      </c>
      <c r="I1624" s="275" t="s">
        <v>15214</v>
      </c>
    </row>
    <row r="1625" spans="1:9" x14ac:dyDescent="0.25">
      <c r="A1625" s="16">
        <v>42929</v>
      </c>
      <c r="B1625" s="273" t="s">
        <v>21486</v>
      </c>
      <c r="C1625">
        <v>119779</v>
      </c>
      <c r="D1625" s="236" t="s">
        <v>15246</v>
      </c>
      <c r="E1625" s="15">
        <v>7408.7</v>
      </c>
      <c r="F1625" s="274">
        <v>42933</v>
      </c>
      <c r="G1625" s="15">
        <v>7408.7</v>
      </c>
      <c r="H1625" s="15">
        <f>Tabla1[[#This Row],[Importe]]-Tabla1[[#This Row],[Pagado]]</f>
        <v>0</v>
      </c>
      <c r="I1625" s="275" t="s">
        <v>15214</v>
      </c>
    </row>
    <row r="1626" spans="1:9" x14ac:dyDescent="0.25">
      <c r="A1626" s="16">
        <v>42929</v>
      </c>
      <c r="B1626" s="273" t="s">
        <v>21487</v>
      </c>
      <c r="C1626">
        <v>119780</v>
      </c>
      <c r="D1626" s="236" t="s">
        <v>15298</v>
      </c>
      <c r="E1626" s="15">
        <v>18069.5</v>
      </c>
      <c r="F1626" s="274">
        <v>42933</v>
      </c>
      <c r="G1626" s="15">
        <v>18069.5</v>
      </c>
      <c r="H1626" s="15">
        <f>Tabla1[[#This Row],[Importe]]-Tabla1[[#This Row],[Pagado]]</f>
        <v>0</v>
      </c>
      <c r="I1626" s="275" t="s">
        <v>15214</v>
      </c>
    </row>
    <row r="1627" spans="1:9" x14ac:dyDescent="0.25">
      <c r="A1627" s="16">
        <v>42929</v>
      </c>
      <c r="B1627" s="273" t="s">
        <v>21488</v>
      </c>
      <c r="C1627">
        <v>119781</v>
      </c>
      <c r="D1627" s="236" t="s">
        <v>15590</v>
      </c>
      <c r="E1627" s="15">
        <v>4162.8</v>
      </c>
      <c r="F1627" s="274">
        <v>42947</v>
      </c>
      <c r="G1627" s="15">
        <v>4162.8</v>
      </c>
      <c r="H1627" s="15">
        <f>Tabla1[[#This Row],[Importe]]-Tabla1[[#This Row],[Pagado]]</f>
        <v>0</v>
      </c>
      <c r="I1627" s="275" t="s">
        <v>15214</v>
      </c>
    </row>
    <row r="1628" spans="1:9" x14ac:dyDescent="0.25">
      <c r="A1628" s="16">
        <v>42929</v>
      </c>
      <c r="B1628" s="273" t="s">
        <v>21489</v>
      </c>
      <c r="C1628">
        <v>119782</v>
      </c>
      <c r="D1628" s="236" t="s">
        <v>15276</v>
      </c>
      <c r="E1628" s="15">
        <v>2750</v>
      </c>
      <c r="F1628" s="274">
        <v>42929</v>
      </c>
      <c r="G1628" s="15">
        <v>2750</v>
      </c>
      <c r="H1628" s="15">
        <f>Tabla1[[#This Row],[Importe]]-Tabla1[[#This Row],[Pagado]]</f>
        <v>0</v>
      </c>
      <c r="I1628" s="275" t="s">
        <v>15214</v>
      </c>
    </row>
    <row r="1629" spans="1:9" x14ac:dyDescent="0.25">
      <c r="A1629" s="16">
        <v>42929</v>
      </c>
      <c r="B1629" s="273" t="s">
        <v>21490</v>
      </c>
      <c r="C1629">
        <v>119783</v>
      </c>
      <c r="D1629" s="236" t="s">
        <v>15600</v>
      </c>
      <c r="E1629" s="15">
        <v>3719.4</v>
      </c>
      <c r="F1629" s="274">
        <v>42929</v>
      </c>
      <c r="G1629" s="15">
        <v>3719.4</v>
      </c>
      <c r="H1629" s="15">
        <f>Tabla1[[#This Row],[Importe]]-Tabla1[[#This Row],[Pagado]]</f>
        <v>0</v>
      </c>
      <c r="I1629" s="275" t="s">
        <v>15214</v>
      </c>
    </row>
    <row r="1630" spans="1:9" x14ac:dyDescent="0.25">
      <c r="A1630" s="16">
        <v>42929</v>
      </c>
      <c r="B1630" s="273" t="s">
        <v>21491</v>
      </c>
      <c r="C1630">
        <v>119784</v>
      </c>
      <c r="D1630" s="236" t="s">
        <v>15223</v>
      </c>
      <c r="E1630" s="15">
        <v>10628.8</v>
      </c>
      <c r="F1630" s="274">
        <v>42960</v>
      </c>
      <c r="G1630" s="15">
        <v>10628.8</v>
      </c>
      <c r="H1630" s="15">
        <f>Tabla1[[#This Row],[Importe]]-Tabla1[[#This Row],[Pagado]]</f>
        <v>0</v>
      </c>
      <c r="I1630" s="275" t="s">
        <v>15214</v>
      </c>
    </row>
    <row r="1631" spans="1:9" x14ac:dyDescent="0.25">
      <c r="A1631" s="16">
        <v>42929</v>
      </c>
      <c r="B1631" s="273" t="s">
        <v>21492</v>
      </c>
      <c r="C1631">
        <v>119785</v>
      </c>
      <c r="D1631" s="236" t="s">
        <v>15315</v>
      </c>
      <c r="E1631" s="15">
        <v>3722.9</v>
      </c>
      <c r="F1631" s="274">
        <v>42929</v>
      </c>
      <c r="G1631" s="15">
        <v>3722.9</v>
      </c>
      <c r="H1631" s="15">
        <f>Tabla1[[#This Row],[Importe]]-Tabla1[[#This Row],[Pagado]]</f>
        <v>0</v>
      </c>
      <c r="I1631" s="275" t="s">
        <v>15214</v>
      </c>
    </row>
    <row r="1632" spans="1:9" x14ac:dyDescent="0.25">
      <c r="A1632" s="16">
        <v>42929</v>
      </c>
      <c r="B1632" s="273" t="s">
        <v>21493</v>
      </c>
      <c r="C1632">
        <v>119786</v>
      </c>
      <c r="D1632" s="236" t="s">
        <v>15246</v>
      </c>
      <c r="E1632" s="15">
        <v>25930.799999999999</v>
      </c>
      <c r="F1632" s="274">
        <v>42933</v>
      </c>
      <c r="G1632" s="15">
        <v>25930.799999999999</v>
      </c>
      <c r="H1632" s="15">
        <f>Tabla1[[#This Row],[Importe]]-Tabla1[[#This Row],[Pagado]]</f>
        <v>0</v>
      </c>
      <c r="I1632" s="275" t="s">
        <v>15214</v>
      </c>
    </row>
    <row r="1633" spans="1:9" x14ac:dyDescent="0.25">
      <c r="A1633" s="16">
        <v>42929</v>
      </c>
      <c r="B1633" s="273" t="s">
        <v>21494</v>
      </c>
      <c r="C1633">
        <v>119787</v>
      </c>
      <c r="D1633" s="236" t="s">
        <v>15930</v>
      </c>
      <c r="E1633" s="15">
        <v>4297.2</v>
      </c>
      <c r="F1633" s="274">
        <v>42929</v>
      </c>
      <c r="G1633" s="15">
        <v>4297.2</v>
      </c>
      <c r="H1633" s="15">
        <f>Tabla1[[#This Row],[Importe]]-Tabla1[[#This Row],[Pagado]]</f>
        <v>0</v>
      </c>
      <c r="I1633" s="275" t="s">
        <v>15214</v>
      </c>
    </row>
    <row r="1634" spans="1:9" x14ac:dyDescent="0.25">
      <c r="A1634" s="16">
        <v>42929</v>
      </c>
      <c r="B1634" s="273" t="s">
        <v>21495</v>
      </c>
      <c r="C1634">
        <v>119788</v>
      </c>
      <c r="D1634" s="236" t="s">
        <v>15442</v>
      </c>
      <c r="E1634" s="15">
        <v>20873.2</v>
      </c>
      <c r="F1634" s="274">
        <v>42940</v>
      </c>
      <c r="G1634" s="15">
        <v>20873.2</v>
      </c>
      <c r="H1634" s="15">
        <f>Tabla1[[#This Row],[Importe]]-Tabla1[[#This Row],[Pagado]]</f>
        <v>0</v>
      </c>
      <c r="I1634" s="275" t="s">
        <v>15214</v>
      </c>
    </row>
    <row r="1635" spans="1:9" x14ac:dyDescent="0.25">
      <c r="A1635" s="16">
        <v>42929</v>
      </c>
      <c r="B1635" s="273" t="s">
        <v>21496</v>
      </c>
      <c r="C1635">
        <v>119789</v>
      </c>
      <c r="D1635" s="236" t="s">
        <v>19773</v>
      </c>
      <c r="E1635" s="15">
        <v>12436.86</v>
      </c>
      <c r="F1635" s="274">
        <v>42933</v>
      </c>
      <c r="G1635" s="15">
        <v>12436.86</v>
      </c>
      <c r="H1635" s="15">
        <f>Tabla1[[#This Row],[Importe]]-Tabla1[[#This Row],[Pagado]]</f>
        <v>0</v>
      </c>
      <c r="I1635" s="275" t="s">
        <v>15214</v>
      </c>
    </row>
    <row r="1636" spans="1:9" x14ac:dyDescent="0.25">
      <c r="A1636" s="16">
        <v>42929</v>
      </c>
      <c r="B1636" s="273" t="s">
        <v>21497</v>
      </c>
      <c r="C1636">
        <v>119790</v>
      </c>
      <c r="D1636" s="236" t="s">
        <v>18773</v>
      </c>
      <c r="E1636" s="15">
        <v>33588.6</v>
      </c>
      <c r="F1636" s="274">
        <v>42929</v>
      </c>
      <c r="G1636" s="15">
        <v>33588.6</v>
      </c>
      <c r="H1636" s="15">
        <f>Tabla1[[#This Row],[Importe]]-Tabla1[[#This Row],[Pagado]]</f>
        <v>0</v>
      </c>
      <c r="I1636" s="275" t="s">
        <v>15214</v>
      </c>
    </row>
    <row r="1637" spans="1:9" x14ac:dyDescent="0.25">
      <c r="A1637" s="16">
        <v>42929</v>
      </c>
      <c r="B1637" s="273" t="s">
        <v>21498</v>
      </c>
      <c r="C1637">
        <v>119791</v>
      </c>
      <c r="D1637" s="236" t="s">
        <v>15246</v>
      </c>
      <c r="E1637" s="15">
        <v>72742.7</v>
      </c>
      <c r="F1637" s="274">
        <v>42933</v>
      </c>
      <c r="G1637" s="15">
        <v>72742.7</v>
      </c>
      <c r="H1637" s="15">
        <f>Tabla1[[#This Row],[Importe]]-Tabla1[[#This Row],[Pagado]]</f>
        <v>0</v>
      </c>
      <c r="I1637" s="275" t="s">
        <v>15214</v>
      </c>
    </row>
    <row r="1638" spans="1:9" x14ac:dyDescent="0.25">
      <c r="A1638" s="16">
        <v>42929</v>
      </c>
      <c r="B1638" s="273" t="s">
        <v>21499</v>
      </c>
      <c r="C1638">
        <v>119792</v>
      </c>
      <c r="D1638" s="236" t="s">
        <v>15246</v>
      </c>
      <c r="E1638" s="15">
        <v>306184.31</v>
      </c>
      <c r="F1638" s="274">
        <v>42933</v>
      </c>
      <c r="G1638" s="15">
        <v>306184.31</v>
      </c>
      <c r="H1638" s="15">
        <f>Tabla1[[#This Row],[Importe]]-Tabla1[[#This Row],[Pagado]]</f>
        <v>0</v>
      </c>
      <c r="I1638" s="275" t="s">
        <v>15214</v>
      </c>
    </row>
    <row r="1639" spans="1:9" x14ac:dyDescent="0.25">
      <c r="A1639" s="16">
        <v>42929</v>
      </c>
      <c r="B1639" s="273" t="s">
        <v>21500</v>
      </c>
      <c r="C1639">
        <v>119793</v>
      </c>
      <c r="D1639" s="236" t="s">
        <v>15423</v>
      </c>
      <c r="E1639" s="15">
        <v>3064.2</v>
      </c>
      <c r="F1639" s="274">
        <v>42929</v>
      </c>
      <c r="G1639" s="15">
        <v>3064.2</v>
      </c>
      <c r="H1639" s="15">
        <f>Tabla1[[#This Row],[Importe]]-Tabla1[[#This Row],[Pagado]]</f>
        <v>0</v>
      </c>
      <c r="I1639" s="275" t="s">
        <v>15214</v>
      </c>
    </row>
    <row r="1640" spans="1:9" x14ac:dyDescent="0.25">
      <c r="A1640" s="16">
        <v>42929</v>
      </c>
      <c r="B1640" s="273" t="s">
        <v>21501</v>
      </c>
      <c r="C1640">
        <v>119794</v>
      </c>
      <c r="D1640" s="236" t="s">
        <v>15665</v>
      </c>
      <c r="E1640" s="15">
        <v>191.7</v>
      </c>
      <c r="F1640" s="274">
        <v>42929</v>
      </c>
      <c r="G1640" s="15">
        <v>191.7</v>
      </c>
      <c r="H1640" s="15">
        <f>Tabla1[[#This Row],[Importe]]-Tabla1[[#This Row],[Pagado]]</f>
        <v>0</v>
      </c>
      <c r="I1640" s="275" t="s">
        <v>15214</v>
      </c>
    </row>
    <row r="1641" spans="1:9" x14ac:dyDescent="0.25">
      <c r="A1641" s="16">
        <v>42929</v>
      </c>
      <c r="B1641" s="273" t="s">
        <v>21502</v>
      </c>
      <c r="C1641">
        <v>119795</v>
      </c>
      <c r="D1641" s="236" t="s">
        <v>16313</v>
      </c>
      <c r="E1641" s="15">
        <v>9905.2000000000007</v>
      </c>
      <c r="F1641" s="274">
        <v>42929</v>
      </c>
      <c r="G1641" s="15">
        <v>9905.2000000000007</v>
      </c>
      <c r="H1641" s="15">
        <f>Tabla1[[#This Row],[Importe]]-Tabla1[[#This Row],[Pagado]]</f>
        <v>0</v>
      </c>
      <c r="I1641" s="275" t="s">
        <v>15214</v>
      </c>
    </row>
    <row r="1642" spans="1:9" x14ac:dyDescent="0.25">
      <c r="A1642" s="16">
        <v>42929</v>
      </c>
      <c r="B1642" s="273" t="s">
        <v>21503</v>
      </c>
      <c r="C1642">
        <v>119796</v>
      </c>
      <c r="D1642" s="236" t="s">
        <v>15284</v>
      </c>
      <c r="E1642" s="15">
        <v>798</v>
      </c>
      <c r="F1642" s="274">
        <v>42929</v>
      </c>
      <c r="G1642" s="15">
        <v>798</v>
      </c>
      <c r="H1642" s="15">
        <f>Tabla1[[#This Row],[Importe]]-Tabla1[[#This Row],[Pagado]]</f>
        <v>0</v>
      </c>
      <c r="I1642" s="275" t="s">
        <v>15214</v>
      </c>
    </row>
    <row r="1643" spans="1:9" x14ac:dyDescent="0.25">
      <c r="A1643" s="16">
        <v>42929</v>
      </c>
      <c r="B1643" s="273" t="s">
        <v>21504</v>
      </c>
      <c r="C1643">
        <v>119797</v>
      </c>
      <c r="D1643" s="236" t="s">
        <v>15228</v>
      </c>
      <c r="E1643" s="15">
        <v>550</v>
      </c>
      <c r="F1643" s="274">
        <v>42929</v>
      </c>
      <c r="G1643" s="15">
        <v>550</v>
      </c>
      <c r="H1643" s="15">
        <f>Tabla1[[#This Row],[Importe]]-Tabla1[[#This Row],[Pagado]]</f>
        <v>0</v>
      </c>
      <c r="I1643" s="275" t="s">
        <v>15214</v>
      </c>
    </row>
    <row r="1644" spans="1:9" x14ac:dyDescent="0.25">
      <c r="A1644" s="16">
        <v>42929</v>
      </c>
      <c r="B1644" s="273" t="s">
        <v>21505</v>
      </c>
      <c r="C1644">
        <v>119798</v>
      </c>
      <c r="D1644" s="236" t="s">
        <v>18076</v>
      </c>
      <c r="E1644" s="15">
        <v>894.9</v>
      </c>
      <c r="F1644" s="274">
        <v>42929</v>
      </c>
      <c r="G1644" s="15">
        <v>894.9</v>
      </c>
      <c r="H1644" s="15">
        <f>Tabla1[[#This Row],[Importe]]-Tabla1[[#This Row],[Pagado]]</f>
        <v>0</v>
      </c>
      <c r="I1644" s="275" t="s">
        <v>15214</v>
      </c>
    </row>
    <row r="1645" spans="1:9" x14ac:dyDescent="0.25">
      <c r="A1645" s="16">
        <v>42929</v>
      </c>
      <c r="B1645" s="273" t="s">
        <v>21506</v>
      </c>
      <c r="C1645">
        <v>119799</v>
      </c>
      <c r="D1645" s="236" t="s">
        <v>15258</v>
      </c>
      <c r="E1645" s="15">
        <v>501.9</v>
      </c>
      <c r="F1645" s="274">
        <v>42930</v>
      </c>
      <c r="G1645" s="15">
        <v>501.9</v>
      </c>
      <c r="H1645" s="15">
        <f>Tabla1[[#This Row],[Importe]]-Tabla1[[#This Row],[Pagado]]</f>
        <v>0</v>
      </c>
      <c r="I1645" s="275" t="s">
        <v>15214</v>
      </c>
    </row>
    <row r="1646" spans="1:9" x14ac:dyDescent="0.25">
      <c r="A1646" s="16">
        <v>42929</v>
      </c>
      <c r="B1646" s="273" t="s">
        <v>21507</v>
      </c>
      <c r="C1646">
        <v>119800</v>
      </c>
      <c r="D1646" s="236" t="s">
        <v>15480</v>
      </c>
      <c r="E1646" s="15">
        <v>590.1</v>
      </c>
      <c r="F1646" s="274">
        <v>42930</v>
      </c>
      <c r="G1646" s="15">
        <v>590.1</v>
      </c>
      <c r="H1646" s="15">
        <f>Tabla1[[#This Row],[Importe]]-Tabla1[[#This Row],[Pagado]]</f>
        <v>0</v>
      </c>
      <c r="I1646" s="275" t="s">
        <v>15214</v>
      </c>
    </row>
    <row r="1647" spans="1:9" ht="30" x14ac:dyDescent="0.25">
      <c r="A1647" s="16">
        <v>42929</v>
      </c>
      <c r="B1647" s="273" t="s">
        <v>21508</v>
      </c>
      <c r="C1647">
        <v>119801</v>
      </c>
      <c r="D1647" s="236" t="s">
        <v>15256</v>
      </c>
      <c r="E1647" s="15">
        <v>8680</v>
      </c>
      <c r="F1647" s="274" t="s">
        <v>21394</v>
      </c>
      <c r="G1647" s="241">
        <f>5900+2780</f>
        <v>8680</v>
      </c>
      <c r="H1647" s="241">
        <f>Tabla1[[#This Row],[Importe]]-Tabla1[[#This Row],[Pagado]]</f>
        <v>0</v>
      </c>
      <c r="I1647" s="275" t="s">
        <v>15214</v>
      </c>
    </row>
    <row r="1648" spans="1:9" x14ac:dyDescent="0.25">
      <c r="A1648" s="16">
        <v>42929</v>
      </c>
      <c r="B1648" s="273" t="s">
        <v>21509</v>
      </c>
      <c r="C1648">
        <v>119802</v>
      </c>
      <c r="D1648" s="236" t="s">
        <v>15480</v>
      </c>
      <c r="E1648" s="15">
        <v>284.39999999999998</v>
      </c>
      <c r="F1648" s="274">
        <v>42930</v>
      </c>
      <c r="G1648" s="15">
        <v>284.39999999999998</v>
      </c>
      <c r="H1648" s="15">
        <f>Tabla1[[#This Row],[Importe]]-Tabla1[[#This Row],[Pagado]]</f>
        <v>0</v>
      </c>
      <c r="I1648" s="275" t="s">
        <v>15214</v>
      </c>
    </row>
    <row r="1649" spans="1:9" x14ac:dyDescent="0.25">
      <c r="A1649" s="16">
        <v>42929</v>
      </c>
      <c r="B1649" s="273" t="s">
        <v>21510</v>
      </c>
      <c r="C1649">
        <v>119803</v>
      </c>
      <c r="D1649" s="236" t="s">
        <v>15226</v>
      </c>
      <c r="E1649" s="15">
        <v>2996</v>
      </c>
      <c r="F1649" s="274">
        <v>42933</v>
      </c>
      <c r="G1649" s="15">
        <v>2996</v>
      </c>
      <c r="H1649" s="15">
        <f>Tabla1[[#This Row],[Importe]]-Tabla1[[#This Row],[Pagado]]</f>
        <v>0</v>
      </c>
      <c r="I1649" s="275" t="s">
        <v>15214</v>
      </c>
    </row>
    <row r="1650" spans="1:9" x14ac:dyDescent="0.25">
      <c r="A1650" s="16">
        <v>42929</v>
      </c>
      <c r="B1650" s="273" t="s">
        <v>21511</v>
      </c>
      <c r="C1650">
        <v>119804</v>
      </c>
      <c r="D1650" s="236" t="s">
        <v>15365</v>
      </c>
      <c r="E1650" s="15">
        <v>241164</v>
      </c>
      <c r="F1650" s="274">
        <v>42931</v>
      </c>
      <c r="G1650" s="15">
        <v>241164</v>
      </c>
      <c r="H1650" s="15">
        <f>Tabla1[[#This Row],[Importe]]-Tabla1[[#This Row],[Pagado]]</f>
        <v>0</v>
      </c>
      <c r="I1650" s="275" t="s">
        <v>15214</v>
      </c>
    </row>
    <row r="1651" spans="1:9" ht="15.75" x14ac:dyDescent="0.25">
      <c r="A1651" s="16">
        <v>42929</v>
      </c>
      <c r="B1651" s="273" t="s">
        <v>21512</v>
      </c>
      <c r="C1651">
        <v>119805</v>
      </c>
      <c r="D1651" s="248" t="s">
        <v>95</v>
      </c>
      <c r="E1651" s="15">
        <v>0</v>
      </c>
      <c r="F1651" s="277" t="s">
        <v>95</v>
      </c>
      <c r="G1651" s="15">
        <v>0</v>
      </c>
      <c r="H1651" s="15">
        <f>Tabla1[[#This Row],[Importe]]-Tabla1[[#This Row],[Pagado]]</f>
        <v>0</v>
      </c>
      <c r="I1651" s="275" t="s">
        <v>95</v>
      </c>
    </row>
    <row r="1652" spans="1:9" x14ac:dyDescent="0.25">
      <c r="A1652" s="16">
        <v>42929</v>
      </c>
      <c r="B1652" s="273" t="s">
        <v>21513</v>
      </c>
      <c r="C1652">
        <v>119806</v>
      </c>
      <c r="D1652" s="236" t="s">
        <v>15315</v>
      </c>
      <c r="E1652" s="15">
        <v>527.79999999999995</v>
      </c>
      <c r="F1652" s="274">
        <v>42929</v>
      </c>
      <c r="G1652" s="15">
        <v>527.79999999999995</v>
      </c>
      <c r="H1652" s="15">
        <f>Tabla1[[#This Row],[Importe]]-Tabla1[[#This Row],[Pagado]]</f>
        <v>0</v>
      </c>
      <c r="I1652" s="275" t="s">
        <v>15214</v>
      </c>
    </row>
    <row r="1653" spans="1:9" x14ac:dyDescent="0.25">
      <c r="A1653" s="16">
        <v>42929</v>
      </c>
      <c r="B1653" s="273" t="s">
        <v>21514</v>
      </c>
      <c r="C1653">
        <v>119807</v>
      </c>
      <c r="D1653" s="236" t="s">
        <v>18076</v>
      </c>
      <c r="E1653" s="15">
        <v>969</v>
      </c>
      <c r="F1653" s="274">
        <v>42929</v>
      </c>
      <c r="G1653" s="15">
        <v>969</v>
      </c>
      <c r="H1653" s="15">
        <f>Tabla1[[#This Row],[Importe]]-Tabla1[[#This Row],[Pagado]]</f>
        <v>0</v>
      </c>
      <c r="I1653" s="275" t="s">
        <v>15214</v>
      </c>
    </row>
    <row r="1654" spans="1:9" x14ac:dyDescent="0.25">
      <c r="A1654" s="16">
        <v>42929</v>
      </c>
      <c r="B1654" s="273" t="s">
        <v>21515</v>
      </c>
      <c r="C1654">
        <v>119808</v>
      </c>
      <c r="D1654" s="236" t="s">
        <v>19933</v>
      </c>
      <c r="E1654" s="15">
        <v>872.1</v>
      </c>
      <c r="F1654" s="274">
        <v>42929</v>
      </c>
      <c r="G1654" s="15">
        <v>872.1</v>
      </c>
      <c r="H1654" s="15">
        <f>Tabla1[[#This Row],[Importe]]-Tabla1[[#This Row],[Pagado]]</f>
        <v>0</v>
      </c>
      <c r="I1654" s="275" t="s">
        <v>15214</v>
      </c>
    </row>
    <row r="1655" spans="1:9" x14ac:dyDescent="0.25">
      <c r="A1655" s="16">
        <v>42929</v>
      </c>
      <c r="B1655" s="273" t="s">
        <v>21516</v>
      </c>
      <c r="C1655">
        <v>119809</v>
      </c>
      <c r="D1655" s="236" t="s">
        <v>15365</v>
      </c>
      <c r="E1655" s="15">
        <v>34479.300000000003</v>
      </c>
      <c r="F1655" s="274">
        <v>42933</v>
      </c>
      <c r="G1655" s="15">
        <v>34479.300000000003</v>
      </c>
      <c r="H1655" s="15">
        <f>Tabla1[[#This Row],[Importe]]-Tabla1[[#This Row],[Pagado]]</f>
        <v>0</v>
      </c>
      <c r="I1655" s="275" t="s">
        <v>15214</v>
      </c>
    </row>
    <row r="1656" spans="1:9" x14ac:dyDescent="0.25">
      <c r="A1656" s="16">
        <v>42929</v>
      </c>
      <c r="B1656" s="273" t="s">
        <v>21517</v>
      </c>
      <c r="C1656">
        <v>119810</v>
      </c>
      <c r="D1656" s="236" t="s">
        <v>15246</v>
      </c>
      <c r="E1656" s="15">
        <v>2635.3</v>
      </c>
      <c r="F1656" s="274">
        <v>42933</v>
      </c>
      <c r="G1656" s="15">
        <v>2635.3</v>
      </c>
      <c r="H1656" s="15">
        <f>Tabla1[[#This Row],[Importe]]-Tabla1[[#This Row],[Pagado]]</f>
        <v>0</v>
      </c>
      <c r="I1656" s="275" t="s">
        <v>15214</v>
      </c>
    </row>
    <row r="1657" spans="1:9" x14ac:dyDescent="0.25">
      <c r="A1657" s="16">
        <v>42929</v>
      </c>
      <c r="B1657" s="273" t="s">
        <v>21518</v>
      </c>
      <c r="C1657">
        <v>119811</v>
      </c>
      <c r="D1657" s="236" t="s">
        <v>15655</v>
      </c>
      <c r="E1657" s="15">
        <v>35990.800000000003</v>
      </c>
      <c r="F1657" s="279">
        <v>42990</v>
      </c>
      <c r="G1657" s="35">
        <v>35990.800000000003</v>
      </c>
      <c r="H1657" s="15">
        <f>Tabla1[[#This Row],[Importe]]-Tabla1[[#This Row],[Pagado]]</f>
        <v>0</v>
      </c>
      <c r="I1657" s="275" t="s">
        <v>15214</v>
      </c>
    </row>
    <row r="1658" spans="1:9" x14ac:dyDescent="0.25">
      <c r="A1658" s="16">
        <v>42929</v>
      </c>
      <c r="B1658" s="273" t="s">
        <v>21519</v>
      </c>
      <c r="C1658">
        <v>119812</v>
      </c>
      <c r="D1658" s="236" t="s">
        <v>15284</v>
      </c>
      <c r="E1658" s="15">
        <v>1376.4</v>
      </c>
      <c r="F1658" s="274">
        <v>42929</v>
      </c>
      <c r="G1658" s="15">
        <v>1376.4</v>
      </c>
      <c r="H1658" s="15">
        <f>Tabla1[[#This Row],[Importe]]-Tabla1[[#This Row],[Pagado]]</f>
        <v>0</v>
      </c>
      <c r="I1658" s="275" t="s">
        <v>15214</v>
      </c>
    </row>
    <row r="1659" spans="1:9" x14ac:dyDescent="0.25">
      <c r="A1659" s="16">
        <v>42929</v>
      </c>
      <c r="B1659" s="273" t="s">
        <v>21520</v>
      </c>
      <c r="C1659">
        <v>119813</v>
      </c>
      <c r="D1659" s="236" t="s">
        <v>15435</v>
      </c>
      <c r="E1659" s="15">
        <v>8089.2</v>
      </c>
      <c r="F1659" s="274">
        <v>42929</v>
      </c>
      <c r="G1659" s="15">
        <v>8089.2</v>
      </c>
      <c r="H1659" s="15">
        <f>Tabla1[[#This Row],[Importe]]-Tabla1[[#This Row],[Pagado]]</f>
        <v>0</v>
      </c>
      <c r="I1659" s="275" t="s">
        <v>15214</v>
      </c>
    </row>
    <row r="1660" spans="1:9" x14ac:dyDescent="0.25">
      <c r="A1660" s="16">
        <v>42929</v>
      </c>
      <c r="B1660" s="273" t="s">
        <v>21521</v>
      </c>
      <c r="C1660">
        <v>119814</v>
      </c>
      <c r="D1660" s="236" t="s">
        <v>15376</v>
      </c>
      <c r="E1660" s="15">
        <v>27623.8</v>
      </c>
      <c r="F1660" s="274">
        <v>42930</v>
      </c>
      <c r="G1660" s="15">
        <v>27623.8</v>
      </c>
      <c r="H1660" s="15">
        <f>Tabla1[[#This Row],[Importe]]-Tabla1[[#This Row],[Pagado]]</f>
        <v>0</v>
      </c>
      <c r="I1660" s="275" t="s">
        <v>15214</v>
      </c>
    </row>
    <row r="1661" spans="1:9" x14ac:dyDescent="0.25">
      <c r="A1661" s="16">
        <v>42929</v>
      </c>
      <c r="B1661" s="273" t="s">
        <v>21522</v>
      </c>
      <c r="C1661">
        <v>119815</v>
      </c>
      <c r="D1661" s="236" t="s">
        <v>15315</v>
      </c>
      <c r="E1661" s="15">
        <v>84</v>
      </c>
      <c r="F1661" s="274">
        <v>42929</v>
      </c>
      <c r="G1661" s="15">
        <v>84</v>
      </c>
      <c r="H1661" s="15">
        <f>Tabla1[[#This Row],[Importe]]-Tabla1[[#This Row],[Pagado]]</f>
        <v>0</v>
      </c>
      <c r="I1661" s="275" t="s">
        <v>15214</v>
      </c>
    </row>
    <row r="1662" spans="1:9" x14ac:dyDescent="0.25">
      <c r="A1662" s="16">
        <v>42930</v>
      </c>
      <c r="B1662" s="273" t="s">
        <v>21523</v>
      </c>
      <c r="C1662">
        <v>119816</v>
      </c>
      <c r="D1662" s="236" t="s">
        <v>19302</v>
      </c>
      <c r="E1662" s="15">
        <v>1100</v>
      </c>
      <c r="F1662" s="274">
        <v>42930</v>
      </c>
      <c r="G1662" s="15">
        <v>1100</v>
      </c>
      <c r="H1662" s="15">
        <f>Tabla1[[#This Row],[Importe]]-Tabla1[[#This Row],[Pagado]]</f>
        <v>0</v>
      </c>
      <c r="I1662" s="275" t="s">
        <v>15214</v>
      </c>
    </row>
    <row r="1663" spans="1:9" x14ac:dyDescent="0.25">
      <c r="A1663" s="16">
        <v>42930</v>
      </c>
      <c r="B1663" s="273" t="s">
        <v>21524</v>
      </c>
      <c r="C1663">
        <v>119817</v>
      </c>
      <c r="D1663" s="236" t="s">
        <v>15216</v>
      </c>
      <c r="E1663" s="15">
        <v>4680</v>
      </c>
      <c r="F1663" s="274">
        <v>42930</v>
      </c>
      <c r="G1663" s="15">
        <v>4680</v>
      </c>
      <c r="H1663" s="15">
        <f>Tabla1[[#This Row],[Importe]]-Tabla1[[#This Row],[Pagado]]</f>
        <v>0</v>
      </c>
      <c r="I1663" s="275" t="s">
        <v>15214</v>
      </c>
    </row>
    <row r="1664" spans="1:9" x14ac:dyDescent="0.25">
      <c r="A1664" s="16">
        <v>42930</v>
      </c>
      <c r="B1664" s="273" t="s">
        <v>21525</v>
      </c>
      <c r="C1664">
        <v>119818</v>
      </c>
      <c r="D1664" s="236" t="s">
        <v>21386</v>
      </c>
      <c r="E1664" s="15">
        <v>10418.1</v>
      </c>
      <c r="F1664" s="274">
        <v>42931</v>
      </c>
      <c r="G1664" s="15">
        <v>10418.1</v>
      </c>
      <c r="H1664" s="15">
        <f>Tabla1[[#This Row],[Importe]]-Tabla1[[#This Row],[Pagado]]</f>
        <v>0</v>
      </c>
      <c r="I1664" s="275" t="s">
        <v>15214</v>
      </c>
    </row>
    <row r="1665" spans="1:9" x14ac:dyDescent="0.25">
      <c r="A1665" s="16">
        <v>42930</v>
      </c>
      <c r="B1665" s="273" t="s">
        <v>21526</v>
      </c>
      <c r="C1665">
        <v>119819</v>
      </c>
      <c r="D1665" s="236" t="s">
        <v>15407</v>
      </c>
      <c r="E1665" s="15">
        <v>4889.8999999999996</v>
      </c>
      <c r="F1665" s="274">
        <v>42930</v>
      </c>
      <c r="G1665" s="15">
        <v>4889.8999999999996</v>
      </c>
      <c r="H1665" s="15">
        <f>Tabla1[[#This Row],[Importe]]-Tabla1[[#This Row],[Pagado]]</f>
        <v>0</v>
      </c>
      <c r="I1665" s="275" t="s">
        <v>15214</v>
      </c>
    </row>
    <row r="1666" spans="1:9" x14ac:dyDescent="0.25">
      <c r="A1666" s="16">
        <v>42930</v>
      </c>
      <c r="B1666" s="273" t="s">
        <v>21527</v>
      </c>
      <c r="C1666">
        <v>119820</v>
      </c>
      <c r="D1666" s="236" t="s">
        <v>15216</v>
      </c>
      <c r="E1666" s="15">
        <v>714</v>
      </c>
      <c r="F1666" s="274">
        <v>42930</v>
      </c>
      <c r="G1666" s="15">
        <v>714</v>
      </c>
      <c r="H1666" s="15">
        <f>Tabla1[[#This Row],[Importe]]-Tabla1[[#This Row],[Pagado]]</f>
        <v>0</v>
      </c>
      <c r="I1666" s="275" t="s">
        <v>15214</v>
      </c>
    </row>
    <row r="1667" spans="1:9" x14ac:dyDescent="0.25">
      <c r="A1667" s="16">
        <v>42930</v>
      </c>
      <c r="B1667" s="273" t="s">
        <v>21528</v>
      </c>
      <c r="C1667">
        <v>119821</v>
      </c>
      <c r="D1667" s="236" t="s">
        <v>15213</v>
      </c>
      <c r="E1667" s="15">
        <v>55177.599999999999</v>
      </c>
      <c r="F1667" s="274">
        <v>42931</v>
      </c>
      <c r="G1667" s="15">
        <v>55177.599999999999</v>
      </c>
      <c r="H1667" s="15">
        <f>Tabla1[[#This Row],[Importe]]-Tabla1[[#This Row],[Pagado]]</f>
        <v>0</v>
      </c>
      <c r="I1667" s="275" t="s">
        <v>15214</v>
      </c>
    </row>
    <row r="1668" spans="1:9" x14ac:dyDescent="0.25">
      <c r="A1668" s="16">
        <v>42930</v>
      </c>
      <c r="B1668" s="273" t="s">
        <v>21529</v>
      </c>
      <c r="C1668">
        <v>119822</v>
      </c>
      <c r="D1668" s="236" t="s">
        <v>15220</v>
      </c>
      <c r="E1668" s="15">
        <v>3850</v>
      </c>
      <c r="F1668" s="274">
        <v>42930</v>
      </c>
      <c r="G1668" s="15">
        <v>3850</v>
      </c>
      <c r="H1668" s="15">
        <f>Tabla1[[#This Row],[Importe]]-Tabla1[[#This Row],[Pagado]]</f>
        <v>0</v>
      </c>
      <c r="I1668" s="275" t="s">
        <v>15214</v>
      </c>
    </row>
    <row r="1669" spans="1:9" x14ac:dyDescent="0.25">
      <c r="A1669" s="16">
        <v>42930</v>
      </c>
      <c r="B1669" s="273" t="s">
        <v>21530</v>
      </c>
      <c r="C1669">
        <v>119823</v>
      </c>
      <c r="D1669" s="236" t="s">
        <v>16108</v>
      </c>
      <c r="E1669" s="15">
        <v>10886.6</v>
      </c>
      <c r="F1669" s="274">
        <v>42930</v>
      </c>
      <c r="G1669" s="15">
        <v>10886.6</v>
      </c>
      <c r="H1669" s="15">
        <f>Tabla1[[#This Row],[Importe]]-Tabla1[[#This Row],[Pagado]]</f>
        <v>0</v>
      </c>
      <c r="I1669" s="275" t="s">
        <v>15214</v>
      </c>
    </row>
    <row r="1670" spans="1:9" x14ac:dyDescent="0.25">
      <c r="A1670" s="16">
        <v>42930</v>
      </c>
      <c r="B1670" s="273" t="s">
        <v>21531</v>
      </c>
      <c r="C1670">
        <v>119824</v>
      </c>
      <c r="D1670" s="236" t="s">
        <v>15274</v>
      </c>
      <c r="E1670" s="15">
        <v>1375</v>
      </c>
      <c r="F1670" s="274">
        <v>42930</v>
      </c>
      <c r="G1670" s="15">
        <v>1375</v>
      </c>
      <c r="H1670" s="15">
        <f>Tabla1[[#This Row],[Importe]]-Tabla1[[#This Row],[Pagado]]</f>
        <v>0</v>
      </c>
      <c r="I1670" s="275" t="s">
        <v>15214</v>
      </c>
    </row>
    <row r="1671" spans="1:9" x14ac:dyDescent="0.25">
      <c r="A1671" s="16">
        <v>42930</v>
      </c>
      <c r="B1671" s="273" t="s">
        <v>21532</v>
      </c>
      <c r="C1671">
        <v>119825</v>
      </c>
      <c r="D1671" s="236" t="s">
        <v>15274</v>
      </c>
      <c r="E1671" s="15">
        <v>2750</v>
      </c>
      <c r="F1671" s="274">
        <v>42930</v>
      </c>
      <c r="G1671" s="15">
        <v>2750</v>
      </c>
      <c r="H1671" s="15">
        <f>Tabla1[[#This Row],[Importe]]-Tabla1[[#This Row],[Pagado]]</f>
        <v>0</v>
      </c>
      <c r="I1671" s="275" t="s">
        <v>15214</v>
      </c>
    </row>
    <row r="1672" spans="1:9" x14ac:dyDescent="0.25">
      <c r="A1672" s="16">
        <v>42930</v>
      </c>
      <c r="B1672" s="273" t="s">
        <v>21533</v>
      </c>
      <c r="C1672">
        <v>119826</v>
      </c>
      <c r="D1672" s="236" t="s">
        <v>15596</v>
      </c>
      <c r="E1672" s="15">
        <v>1925</v>
      </c>
      <c r="F1672" s="274">
        <v>42930</v>
      </c>
      <c r="G1672" s="15">
        <v>1925</v>
      </c>
      <c r="H1672" s="15">
        <f>Tabla1[[#This Row],[Importe]]-Tabla1[[#This Row],[Pagado]]</f>
        <v>0</v>
      </c>
      <c r="I1672" s="275" t="s">
        <v>15214</v>
      </c>
    </row>
    <row r="1673" spans="1:9" ht="30" x14ac:dyDescent="0.25">
      <c r="A1673" s="16">
        <v>42930</v>
      </c>
      <c r="B1673" s="273" t="s">
        <v>21534</v>
      </c>
      <c r="C1673">
        <v>119827</v>
      </c>
      <c r="D1673" s="236" t="s">
        <v>15230</v>
      </c>
      <c r="E1673" s="15">
        <v>16913.599999999999</v>
      </c>
      <c r="F1673" s="274" t="s">
        <v>21535</v>
      </c>
      <c r="G1673" s="241">
        <f>12600+4313.6</f>
        <v>16913.599999999999</v>
      </c>
      <c r="H1673" s="241">
        <f>Tabla1[[#This Row],[Importe]]-Tabla1[[#This Row],[Pagado]]</f>
        <v>0</v>
      </c>
      <c r="I1673" s="275" t="s">
        <v>15214</v>
      </c>
    </row>
    <row r="1674" spans="1:9" x14ac:dyDescent="0.25">
      <c r="A1674" s="16">
        <v>42930</v>
      </c>
      <c r="B1674" s="273" t="s">
        <v>21536</v>
      </c>
      <c r="C1674">
        <v>119828</v>
      </c>
      <c r="D1674" s="236" t="s">
        <v>15681</v>
      </c>
      <c r="E1674" s="15">
        <v>2414.4</v>
      </c>
      <c r="F1674" s="274">
        <v>42930</v>
      </c>
      <c r="G1674" s="15">
        <v>2414.4</v>
      </c>
      <c r="H1674" s="15">
        <f>Tabla1[[#This Row],[Importe]]-Tabla1[[#This Row],[Pagado]]</f>
        <v>0</v>
      </c>
      <c r="I1674" s="275" t="s">
        <v>15214</v>
      </c>
    </row>
    <row r="1675" spans="1:9" x14ac:dyDescent="0.25">
      <c r="A1675" s="16">
        <v>42930</v>
      </c>
      <c r="B1675" s="273" t="s">
        <v>21537</v>
      </c>
      <c r="C1675">
        <v>119829</v>
      </c>
      <c r="D1675" s="236" t="s">
        <v>15348</v>
      </c>
      <c r="E1675" s="15">
        <v>3381.4</v>
      </c>
      <c r="F1675" s="274">
        <v>42933</v>
      </c>
      <c r="G1675" s="15">
        <v>3381.4</v>
      </c>
      <c r="H1675" s="15">
        <f>Tabla1[[#This Row],[Importe]]-Tabla1[[#This Row],[Pagado]]</f>
        <v>0</v>
      </c>
      <c r="I1675" s="275" t="s">
        <v>15214</v>
      </c>
    </row>
    <row r="1676" spans="1:9" x14ac:dyDescent="0.25">
      <c r="A1676" s="16">
        <v>42930</v>
      </c>
      <c r="B1676" s="273" t="s">
        <v>21538</v>
      </c>
      <c r="C1676">
        <v>119830</v>
      </c>
      <c r="D1676" s="236" t="s">
        <v>15240</v>
      </c>
      <c r="E1676" s="15">
        <v>3127</v>
      </c>
      <c r="F1676" s="274">
        <v>42933</v>
      </c>
      <c r="G1676" s="15">
        <v>3127</v>
      </c>
      <c r="H1676" s="15">
        <f>Tabla1[[#This Row],[Importe]]-Tabla1[[#This Row],[Pagado]]</f>
        <v>0</v>
      </c>
      <c r="I1676" s="275" t="s">
        <v>15214</v>
      </c>
    </row>
    <row r="1677" spans="1:9" x14ac:dyDescent="0.25">
      <c r="A1677" s="16">
        <v>42930</v>
      </c>
      <c r="B1677" s="273" t="s">
        <v>21539</v>
      </c>
      <c r="C1677">
        <v>119831</v>
      </c>
      <c r="D1677" s="236" t="s">
        <v>15330</v>
      </c>
      <c r="E1677" s="15">
        <v>5278.9</v>
      </c>
      <c r="F1677" s="274">
        <v>42930</v>
      </c>
      <c r="G1677" s="15">
        <v>5278.9</v>
      </c>
      <c r="H1677" s="15">
        <f>Tabla1[[#This Row],[Importe]]-Tabla1[[#This Row],[Pagado]]</f>
        <v>0</v>
      </c>
      <c r="I1677" s="275" t="s">
        <v>15214</v>
      </c>
    </row>
    <row r="1678" spans="1:9" ht="30" x14ac:dyDescent="0.25">
      <c r="A1678" s="16">
        <v>42930</v>
      </c>
      <c r="B1678" s="273" t="s">
        <v>21540</v>
      </c>
      <c r="C1678">
        <v>119832</v>
      </c>
      <c r="D1678" s="236" t="s">
        <v>15248</v>
      </c>
      <c r="E1678" s="15">
        <v>29704.639999999999</v>
      </c>
      <c r="F1678" s="274" t="s">
        <v>21541</v>
      </c>
      <c r="G1678" s="241">
        <f>20000+9704.64</f>
        <v>29704.639999999999</v>
      </c>
      <c r="H1678" s="241">
        <f>Tabla1[[#This Row],[Importe]]-Tabla1[[#This Row],[Pagado]]</f>
        <v>0</v>
      </c>
      <c r="I1678" s="275" t="s">
        <v>15214</v>
      </c>
    </row>
    <row r="1679" spans="1:9" x14ac:dyDescent="0.25">
      <c r="A1679" s="16">
        <v>42930</v>
      </c>
      <c r="B1679" s="273" t="s">
        <v>21542</v>
      </c>
      <c r="C1679">
        <v>119833</v>
      </c>
      <c r="D1679" s="236" t="s">
        <v>15261</v>
      </c>
      <c r="E1679" s="15">
        <v>21838.7</v>
      </c>
      <c r="F1679" s="274">
        <v>42930</v>
      </c>
      <c r="G1679" s="15">
        <v>21838.7</v>
      </c>
      <c r="H1679" s="15">
        <f>Tabla1[[#This Row],[Importe]]-Tabla1[[#This Row],[Pagado]]</f>
        <v>0</v>
      </c>
      <c r="I1679" s="275" t="s">
        <v>15214</v>
      </c>
    </row>
    <row r="1680" spans="1:9" x14ac:dyDescent="0.25">
      <c r="A1680" s="16">
        <v>42930</v>
      </c>
      <c r="B1680" s="273" t="s">
        <v>21543</v>
      </c>
      <c r="C1680">
        <v>119834</v>
      </c>
      <c r="D1680" s="236" t="s">
        <v>15244</v>
      </c>
      <c r="E1680" s="15">
        <v>17574.599999999999</v>
      </c>
      <c r="F1680" s="274">
        <v>42930</v>
      </c>
      <c r="G1680" s="15">
        <v>17574.599999999999</v>
      </c>
      <c r="H1680" s="15">
        <f>Tabla1[[#This Row],[Importe]]-Tabla1[[#This Row],[Pagado]]</f>
        <v>0</v>
      </c>
      <c r="I1680" s="275" t="s">
        <v>15214</v>
      </c>
    </row>
    <row r="1681" spans="1:9" x14ac:dyDescent="0.25">
      <c r="A1681" s="16">
        <v>42930</v>
      </c>
      <c r="B1681" s="273" t="s">
        <v>21544</v>
      </c>
      <c r="C1681">
        <v>119835</v>
      </c>
      <c r="D1681" s="236" t="s">
        <v>15315</v>
      </c>
      <c r="E1681" s="15">
        <v>2481</v>
      </c>
      <c r="F1681" s="274">
        <v>42930</v>
      </c>
      <c r="G1681" s="15">
        <v>2481</v>
      </c>
      <c r="H1681" s="15">
        <f>Tabla1[[#This Row],[Importe]]-Tabla1[[#This Row],[Pagado]]</f>
        <v>0</v>
      </c>
      <c r="I1681" s="275" t="s">
        <v>15214</v>
      </c>
    </row>
    <row r="1682" spans="1:9" x14ac:dyDescent="0.25">
      <c r="A1682" s="16">
        <v>42930</v>
      </c>
      <c r="B1682" s="273" t="s">
        <v>21545</v>
      </c>
      <c r="C1682">
        <v>119836</v>
      </c>
      <c r="D1682" s="236" t="s">
        <v>15252</v>
      </c>
      <c r="E1682" s="15">
        <v>11063.6</v>
      </c>
      <c r="F1682" s="274">
        <v>42934</v>
      </c>
      <c r="G1682" s="15">
        <v>11063.6</v>
      </c>
      <c r="H1682" s="15">
        <f>Tabla1[[#This Row],[Importe]]-Tabla1[[#This Row],[Pagado]]</f>
        <v>0</v>
      </c>
      <c r="I1682" s="275" t="s">
        <v>15214</v>
      </c>
    </row>
    <row r="1683" spans="1:9" x14ac:dyDescent="0.25">
      <c r="A1683" s="16">
        <v>42930</v>
      </c>
      <c r="B1683" s="273" t="s">
        <v>21546</v>
      </c>
      <c r="C1683">
        <v>119837</v>
      </c>
      <c r="D1683" s="236" t="s">
        <v>15254</v>
      </c>
      <c r="E1683" s="15">
        <v>5323.2</v>
      </c>
      <c r="F1683" s="274">
        <v>42933</v>
      </c>
      <c r="G1683" s="15">
        <v>5323.2</v>
      </c>
      <c r="H1683" s="15">
        <f>Tabla1[[#This Row],[Importe]]-Tabla1[[#This Row],[Pagado]]</f>
        <v>0</v>
      </c>
      <c r="I1683" s="275" t="s">
        <v>15214</v>
      </c>
    </row>
    <row r="1684" spans="1:9" x14ac:dyDescent="0.25">
      <c r="A1684" s="16">
        <v>42930</v>
      </c>
      <c r="B1684" s="273" t="s">
        <v>21547</v>
      </c>
      <c r="C1684">
        <v>119838</v>
      </c>
      <c r="D1684" s="236" t="s">
        <v>15272</v>
      </c>
      <c r="E1684" s="15">
        <v>22420.5</v>
      </c>
      <c r="F1684" s="274">
        <v>42930</v>
      </c>
      <c r="G1684" s="15">
        <v>22420.5</v>
      </c>
      <c r="H1684" s="15">
        <f>Tabla1[[#This Row],[Importe]]-Tabla1[[#This Row],[Pagado]]</f>
        <v>0</v>
      </c>
      <c r="I1684" s="275" t="s">
        <v>15214</v>
      </c>
    </row>
    <row r="1685" spans="1:9" x14ac:dyDescent="0.25">
      <c r="A1685" s="16">
        <v>42930</v>
      </c>
      <c r="B1685" s="273" t="s">
        <v>21548</v>
      </c>
      <c r="C1685">
        <v>119839</v>
      </c>
      <c r="D1685" s="236" t="s">
        <v>15332</v>
      </c>
      <c r="E1685" s="15">
        <v>4608.8</v>
      </c>
      <c r="F1685" s="274">
        <v>42930</v>
      </c>
      <c r="G1685" s="15">
        <v>4608.8</v>
      </c>
      <c r="H1685" s="15">
        <f>Tabla1[[#This Row],[Importe]]-Tabla1[[#This Row],[Pagado]]</f>
        <v>0</v>
      </c>
      <c r="I1685" s="275" t="s">
        <v>15214</v>
      </c>
    </row>
    <row r="1686" spans="1:9" x14ac:dyDescent="0.25">
      <c r="A1686" s="16">
        <v>42930</v>
      </c>
      <c r="B1686" s="273" t="s">
        <v>21549</v>
      </c>
      <c r="C1686">
        <v>119840</v>
      </c>
      <c r="D1686" s="236" t="s">
        <v>15226</v>
      </c>
      <c r="E1686" s="15">
        <v>1646.4</v>
      </c>
      <c r="F1686" s="274">
        <v>42933</v>
      </c>
      <c r="G1686" s="15">
        <v>1646.4</v>
      </c>
      <c r="H1686" s="15">
        <f>Tabla1[[#This Row],[Importe]]-Tabla1[[#This Row],[Pagado]]</f>
        <v>0</v>
      </c>
      <c r="I1686" s="275" t="s">
        <v>15214</v>
      </c>
    </row>
    <row r="1687" spans="1:9" x14ac:dyDescent="0.25">
      <c r="A1687" s="16">
        <v>42930</v>
      </c>
      <c r="B1687" s="273" t="s">
        <v>21550</v>
      </c>
      <c r="C1687">
        <v>119841</v>
      </c>
      <c r="D1687" s="236" t="s">
        <v>15387</v>
      </c>
      <c r="E1687" s="15">
        <v>1789.4</v>
      </c>
      <c r="F1687" s="274">
        <v>42931</v>
      </c>
      <c r="G1687" s="15">
        <v>1789.4</v>
      </c>
      <c r="H1687" s="15">
        <f>Tabla1[[#This Row],[Importe]]-Tabla1[[#This Row],[Pagado]]</f>
        <v>0</v>
      </c>
      <c r="I1687" s="275" t="s">
        <v>15214</v>
      </c>
    </row>
    <row r="1688" spans="1:9" x14ac:dyDescent="0.25">
      <c r="A1688" s="16">
        <v>42930</v>
      </c>
      <c r="B1688" s="273" t="s">
        <v>21551</v>
      </c>
      <c r="C1688">
        <v>119842</v>
      </c>
      <c r="D1688" s="236" t="s">
        <v>15242</v>
      </c>
      <c r="E1688" s="15">
        <v>17520</v>
      </c>
      <c r="F1688" s="274">
        <v>42930</v>
      </c>
      <c r="G1688" s="15">
        <v>17520</v>
      </c>
      <c r="H1688" s="15">
        <f>Tabla1[[#This Row],[Importe]]-Tabla1[[#This Row],[Pagado]]</f>
        <v>0</v>
      </c>
      <c r="I1688" s="275" t="s">
        <v>15214</v>
      </c>
    </row>
    <row r="1689" spans="1:9" x14ac:dyDescent="0.25">
      <c r="A1689" s="16">
        <v>42930</v>
      </c>
      <c r="B1689" s="273" t="s">
        <v>21552</v>
      </c>
      <c r="C1689">
        <v>119843</v>
      </c>
      <c r="D1689" s="236" t="s">
        <v>15252</v>
      </c>
      <c r="E1689" s="15">
        <v>532.79999999999995</v>
      </c>
      <c r="F1689" s="274">
        <v>42934</v>
      </c>
      <c r="G1689" s="15">
        <v>532.79999999999995</v>
      </c>
      <c r="H1689" s="15">
        <f>Tabla1[[#This Row],[Importe]]-Tabla1[[#This Row],[Pagado]]</f>
        <v>0</v>
      </c>
      <c r="I1689" s="275" t="s">
        <v>15214</v>
      </c>
    </row>
    <row r="1690" spans="1:9" x14ac:dyDescent="0.25">
      <c r="A1690" s="16">
        <v>42930</v>
      </c>
      <c r="B1690" s="273" t="s">
        <v>21553</v>
      </c>
      <c r="C1690">
        <v>119844</v>
      </c>
      <c r="D1690" s="236" t="s">
        <v>15238</v>
      </c>
      <c r="E1690" s="15">
        <v>14096.4</v>
      </c>
      <c r="F1690" s="274">
        <v>42933</v>
      </c>
      <c r="G1690" s="15">
        <v>14096.4</v>
      </c>
      <c r="H1690" s="15">
        <f>Tabla1[[#This Row],[Importe]]-Tabla1[[#This Row],[Pagado]]</f>
        <v>0</v>
      </c>
      <c r="I1690" s="275" t="s">
        <v>15214</v>
      </c>
    </row>
    <row r="1691" spans="1:9" x14ac:dyDescent="0.25">
      <c r="A1691" s="16">
        <v>42930</v>
      </c>
      <c r="B1691" s="273" t="s">
        <v>21554</v>
      </c>
      <c r="C1691">
        <v>119845</v>
      </c>
      <c r="D1691" s="236" t="s">
        <v>16023</v>
      </c>
      <c r="E1691" s="15">
        <v>2778.9</v>
      </c>
      <c r="F1691" s="274">
        <v>42930</v>
      </c>
      <c r="G1691" s="15">
        <v>2778.9</v>
      </c>
      <c r="H1691" s="15">
        <f>Tabla1[[#This Row],[Importe]]-Tabla1[[#This Row],[Pagado]]</f>
        <v>0</v>
      </c>
      <c r="I1691" s="275" t="s">
        <v>15214</v>
      </c>
    </row>
    <row r="1692" spans="1:9" x14ac:dyDescent="0.25">
      <c r="A1692" s="16">
        <v>42930</v>
      </c>
      <c r="B1692" s="273" t="s">
        <v>21555</v>
      </c>
      <c r="C1692">
        <v>119846</v>
      </c>
      <c r="D1692" s="236" t="s">
        <v>15728</v>
      </c>
      <c r="E1692" s="15">
        <v>9462.6</v>
      </c>
      <c r="F1692" s="274">
        <v>42930</v>
      </c>
      <c r="G1692" s="15">
        <v>9462.6</v>
      </c>
      <c r="H1692" s="15">
        <f>Tabla1[[#This Row],[Importe]]-Tabla1[[#This Row],[Pagado]]</f>
        <v>0</v>
      </c>
      <c r="I1692" s="275" t="s">
        <v>15214</v>
      </c>
    </row>
    <row r="1693" spans="1:9" x14ac:dyDescent="0.25">
      <c r="A1693" s="16">
        <v>42930</v>
      </c>
      <c r="B1693" s="273" t="s">
        <v>21556</v>
      </c>
      <c r="C1693">
        <v>119847</v>
      </c>
      <c r="D1693" s="236" t="s">
        <v>15263</v>
      </c>
      <c r="E1693" s="15">
        <v>2713.6</v>
      </c>
      <c r="F1693" s="274">
        <v>42930</v>
      </c>
      <c r="G1693" s="15">
        <v>2713.6</v>
      </c>
      <c r="H1693" s="15">
        <f>Tabla1[[#This Row],[Importe]]-Tabla1[[#This Row],[Pagado]]</f>
        <v>0</v>
      </c>
      <c r="I1693" s="275" t="s">
        <v>15214</v>
      </c>
    </row>
    <row r="1694" spans="1:9" ht="30" x14ac:dyDescent="0.25">
      <c r="A1694" s="16">
        <v>42930</v>
      </c>
      <c r="B1694" s="273" t="s">
        <v>21557</v>
      </c>
      <c r="C1694">
        <v>119848</v>
      </c>
      <c r="D1694" s="236" t="s">
        <v>15373</v>
      </c>
      <c r="E1694" s="15">
        <v>23523</v>
      </c>
      <c r="F1694" s="274" t="s">
        <v>21305</v>
      </c>
      <c r="G1694" s="281">
        <f>15800+7723</f>
        <v>23523</v>
      </c>
      <c r="H1694" s="281">
        <f>Tabla1[[#This Row],[Importe]]-Tabla1[[#This Row],[Pagado]]</f>
        <v>0</v>
      </c>
      <c r="I1694" s="275" t="s">
        <v>15214</v>
      </c>
    </row>
    <row r="1695" spans="1:9" ht="30" x14ac:dyDescent="0.25">
      <c r="A1695" s="16">
        <v>42930</v>
      </c>
      <c r="B1695" s="273" t="s">
        <v>21558</v>
      </c>
      <c r="C1695">
        <v>119849</v>
      </c>
      <c r="D1695" s="236" t="s">
        <v>15394</v>
      </c>
      <c r="E1695" s="15">
        <v>14717.8</v>
      </c>
      <c r="F1695" s="274" t="s">
        <v>21559</v>
      </c>
      <c r="G1695" s="241">
        <f>8717.8+6000</f>
        <v>14717.8</v>
      </c>
      <c r="H1695" s="241">
        <f>Tabla1[[#This Row],[Importe]]-Tabla1[[#This Row],[Pagado]]</f>
        <v>0</v>
      </c>
      <c r="I1695" s="275" t="s">
        <v>15214</v>
      </c>
    </row>
    <row r="1696" spans="1:9" x14ac:dyDescent="0.25">
      <c r="A1696" s="16">
        <v>42930</v>
      </c>
      <c r="B1696" s="273" t="s">
        <v>21560</v>
      </c>
      <c r="C1696">
        <v>119850</v>
      </c>
      <c r="D1696" s="236" t="s">
        <v>15541</v>
      </c>
      <c r="E1696" s="15">
        <v>3458</v>
      </c>
      <c r="F1696" s="274">
        <v>42930</v>
      </c>
      <c r="G1696" s="15">
        <v>3458</v>
      </c>
      <c r="H1696" s="15">
        <f>Tabla1[[#This Row],[Importe]]-Tabla1[[#This Row],[Pagado]]</f>
        <v>0</v>
      </c>
      <c r="I1696" s="275" t="s">
        <v>15214</v>
      </c>
    </row>
    <row r="1697" spans="1:9" x14ac:dyDescent="0.25">
      <c r="A1697" s="16">
        <v>42930</v>
      </c>
      <c r="B1697" s="273" t="s">
        <v>21561</v>
      </c>
      <c r="C1697">
        <v>119851</v>
      </c>
      <c r="D1697" s="236" t="s">
        <v>15326</v>
      </c>
      <c r="E1697" s="15">
        <v>5278.7</v>
      </c>
      <c r="F1697" s="274">
        <v>42930</v>
      </c>
      <c r="G1697" s="15">
        <v>5278.7</v>
      </c>
      <c r="H1697" s="15">
        <f>Tabla1[[#This Row],[Importe]]-Tabla1[[#This Row],[Pagado]]</f>
        <v>0</v>
      </c>
      <c r="I1697" s="275" t="s">
        <v>15214</v>
      </c>
    </row>
    <row r="1698" spans="1:9" x14ac:dyDescent="0.25">
      <c r="A1698" s="16">
        <v>42930</v>
      </c>
      <c r="B1698" s="273" t="s">
        <v>21562</v>
      </c>
      <c r="C1698">
        <v>119852</v>
      </c>
      <c r="D1698" s="236" t="s">
        <v>15668</v>
      </c>
      <c r="E1698" s="15">
        <v>7834.6</v>
      </c>
      <c r="F1698" s="274">
        <v>42933</v>
      </c>
      <c r="G1698" s="15">
        <v>7834.6</v>
      </c>
      <c r="H1698" s="15">
        <f>Tabla1[[#This Row],[Importe]]-Tabla1[[#This Row],[Pagado]]</f>
        <v>0</v>
      </c>
      <c r="I1698" s="275" t="s">
        <v>15214</v>
      </c>
    </row>
    <row r="1699" spans="1:9" x14ac:dyDescent="0.25">
      <c r="A1699" s="16">
        <v>42930</v>
      </c>
      <c r="B1699" s="273" t="s">
        <v>21563</v>
      </c>
      <c r="C1699">
        <v>119853</v>
      </c>
      <c r="D1699" s="236" t="s">
        <v>15480</v>
      </c>
      <c r="E1699" s="15">
        <v>4491.3999999999996</v>
      </c>
      <c r="F1699" s="274">
        <v>42933</v>
      </c>
      <c r="G1699" s="15">
        <v>4491.3999999999996</v>
      </c>
      <c r="H1699" s="15">
        <f>Tabla1[[#This Row],[Importe]]-Tabla1[[#This Row],[Pagado]]</f>
        <v>0</v>
      </c>
      <c r="I1699" s="275" t="s">
        <v>15214</v>
      </c>
    </row>
    <row r="1700" spans="1:9" x14ac:dyDescent="0.25">
      <c r="A1700" s="16">
        <v>42930</v>
      </c>
      <c r="B1700" s="273" t="s">
        <v>21564</v>
      </c>
      <c r="C1700">
        <v>119854</v>
      </c>
      <c r="D1700" s="236" t="s">
        <v>15232</v>
      </c>
      <c r="E1700" s="15">
        <v>10730.2</v>
      </c>
      <c r="F1700" s="274">
        <v>42936</v>
      </c>
      <c r="G1700" s="15">
        <v>10730.2</v>
      </c>
      <c r="H1700" s="15">
        <f>Tabla1[[#This Row],[Importe]]-Tabla1[[#This Row],[Pagado]]</f>
        <v>0</v>
      </c>
      <c r="I1700" s="275" t="s">
        <v>15214</v>
      </c>
    </row>
    <row r="1701" spans="1:9" x14ac:dyDescent="0.25">
      <c r="A1701" s="16">
        <v>42930</v>
      </c>
      <c r="B1701" s="273" t="s">
        <v>21565</v>
      </c>
      <c r="C1701">
        <v>119855</v>
      </c>
      <c r="D1701" s="236" t="s">
        <v>5575</v>
      </c>
      <c r="E1701" s="15">
        <v>5695.3</v>
      </c>
      <c r="F1701" s="274">
        <v>42933</v>
      </c>
      <c r="G1701" s="15">
        <v>5695.3</v>
      </c>
      <c r="H1701" s="15">
        <f>Tabla1[[#This Row],[Importe]]-Tabla1[[#This Row],[Pagado]]</f>
        <v>0</v>
      </c>
      <c r="I1701" s="275" t="s">
        <v>15214</v>
      </c>
    </row>
    <row r="1702" spans="1:9" x14ac:dyDescent="0.25">
      <c r="A1702" s="16">
        <v>42930</v>
      </c>
      <c r="B1702" s="273" t="s">
        <v>21566</v>
      </c>
      <c r="C1702">
        <v>119856</v>
      </c>
      <c r="D1702" s="236" t="s">
        <v>19549</v>
      </c>
      <c r="E1702" s="15">
        <v>14527</v>
      </c>
      <c r="F1702" s="274">
        <v>42931</v>
      </c>
      <c r="G1702" s="15">
        <v>14527</v>
      </c>
      <c r="H1702" s="15">
        <f>Tabla1[[#This Row],[Importe]]-Tabla1[[#This Row],[Pagado]]</f>
        <v>0</v>
      </c>
      <c r="I1702" s="275" t="s">
        <v>15214</v>
      </c>
    </row>
    <row r="1703" spans="1:9" x14ac:dyDescent="0.25">
      <c r="A1703" s="16">
        <v>42930</v>
      </c>
      <c r="B1703" s="273" t="s">
        <v>21567</v>
      </c>
      <c r="C1703">
        <v>119857</v>
      </c>
      <c r="D1703" s="236" t="s">
        <v>15256</v>
      </c>
      <c r="E1703" s="15">
        <v>7799.4</v>
      </c>
      <c r="F1703" s="274">
        <v>42934</v>
      </c>
      <c r="G1703" s="15">
        <v>7799.4</v>
      </c>
      <c r="H1703" s="15">
        <f>Tabla1[[#This Row],[Importe]]-Tabla1[[#This Row],[Pagado]]</f>
        <v>0</v>
      </c>
      <c r="I1703" s="275" t="s">
        <v>15214</v>
      </c>
    </row>
    <row r="1704" spans="1:9" x14ac:dyDescent="0.25">
      <c r="A1704" s="16">
        <v>42930</v>
      </c>
      <c r="B1704" s="273" t="s">
        <v>21568</v>
      </c>
      <c r="C1704">
        <v>119858</v>
      </c>
      <c r="D1704" s="236" t="s">
        <v>15258</v>
      </c>
      <c r="E1704" s="15">
        <v>11436.7</v>
      </c>
      <c r="F1704" s="274">
        <v>42933</v>
      </c>
      <c r="G1704" s="15">
        <v>11436.7</v>
      </c>
      <c r="H1704" s="15">
        <f>Tabla1[[#This Row],[Importe]]-Tabla1[[#This Row],[Pagado]]</f>
        <v>0</v>
      </c>
      <c r="I1704" s="275" t="s">
        <v>15214</v>
      </c>
    </row>
    <row r="1705" spans="1:9" x14ac:dyDescent="0.25">
      <c r="A1705" s="16">
        <v>42930</v>
      </c>
      <c r="B1705" s="273" t="s">
        <v>21569</v>
      </c>
      <c r="C1705">
        <v>119859</v>
      </c>
      <c r="D1705" s="236" t="s">
        <v>15234</v>
      </c>
      <c r="E1705" s="15">
        <v>3577.6</v>
      </c>
      <c r="F1705" s="274">
        <v>42934</v>
      </c>
      <c r="G1705" s="15">
        <v>3577.6</v>
      </c>
      <c r="H1705" s="15">
        <f>Tabla1[[#This Row],[Importe]]-Tabla1[[#This Row],[Pagado]]</f>
        <v>0</v>
      </c>
      <c r="I1705" s="275" t="s">
        <v>15214</v>
      </c>
    </row>
    <row r="1706" spans="1:9" x14ac:dyDescent="0.25">
      <c r="A1706" s="16">
        <v>42930</v>
      </c>
      <c r="B1706" s="273" t="s">
        <v>21570</v>
      </c>
      <c r="C1706">
        <v>119860</v>
      </c>
      <c r="D1706" s="236" t="s">
        <v>15380</v>
      </c>
      <c r="E1706" s="15">
        <v>47994.400000000001</v>
      </c>
      <c r="F1706" s="274">
        <v>42945</v>
      </c>
      <c r="G1706" s="15">
        <v>47994.400000000001</v>
      </c>
      <c r="H1706" s="15">
        <f>Tabla1[[#This Row],[Importe]]-Tabla1[[#This Row],[Pagado]]</f>
        <v>0</v>
      </c>
      <c r="I1706" s="275" t="s">
        <v>15214</v>
      </c>
    </row>
    <row r="1707" spans="1:9" x14ac:dyDescent="0.25">
      <c r="A1707" s="16">
        <v>42930</v>
      </c>
      <c r="B1707" s="273" t="s">
        <v>21571</v>
      </c>
      <c r="C1707">
        <v>119861</v>
      </c>
      <c r="D1707" s="236" t="s">
        <v>15223</v>
      </c>
      <c r="E1707" s="15">
        <v>52982.8</v>
      </c>
      <c r="F1707" s="274">
        <v>42960</v>
      </c>
      <c r="G1707" s="15">
        <v>52982.8</v>
      </c>
      <c r="H1707" s="15">
        <f>Tabla1[[#This Row],[Importe]]-Tabla1[[#This Row],[Pagado]]</f>
        <v>0</v>
      </c>
      <c r="I1707" s="275" t="s">
        <v>15214</v>
      </c>
    </row>
    <row r="1708" spans="1:9" x14ac:dyDescent="0.25">
      <c r="A1708" s="16">
        <v>42930</v>
      </c>
      <c r="B1708" s="273" t="s">
        <v>21572</v>
      </c>
      <c r="C1708">
        <v>119862</v>
      </c>
      <c r="D1708" s="236" t="s">
        <v>15338</v>
      </c>
      <c r="E1708" s="15">
        <v>11008.8</v>
      </c>
      <c r="F1708" s="274">
        <v>42934</v>
      </c>
      <c r="G1708" s="15">
        <v>11008.8</v>
      </c>
      <c r="H1708" s="15">
        <f>Tabla1[[#This Row],[Importe]]-Tabla1[[#This Row],[Pagado]]</f>
        <v>0</v>
      </c>
      <c r="I1708" s="275" t="s">
        <v>15214</v>
      </c>
    </row>
    <row r="1709" spans="1:9" ht="15.75" x14ac:dyDescent="0.25">
      <c r="A1709" s="16">
        <v>42930</v>
      </c>
      <c r="B1709" s="273" t="s">
        <v>21573</v>
      </c>
      <c r="C1709">
        <v>119863</v>
      </c>
      <c r="D1709" s="248" t="s">
        <v>95</v>
      </c>
      <c r="E1709" s="15">
        <v>0</v>
      </c>
      <c r="F1709" s="277" t="s">
        <v>95</v>
      </c>
      <c r="G1709" s="15">
        <v>0</v>
      </c>
      <c r="H1709" s="15">
        <f>Tabla1[[#This Row],[Importe]]-Tabla1[[#This Row],[Pagado]]</f>
        <v>0</v>
      </c>
      <c r="I1709" s="275" t="s">
        <v>95</v>
      </c>
    </row>
    <row r="1710" spans="1:9" x14ac:dyDescent="0.25">
      <c r="A1710" s="16">
        <v>42930</v>
      </c>
      <c r="B1710" s="273" t="s">
        <v>21574</v>
      </c>
      <c r="C1710">
        <v>119864</v>
      </c>
      <c r="D1710" s="236" t="s">
        <v>15382</v>
      </c>
      <c r="E1710" s="15">
        <v>14106.1</v>
      </c>
      <c r="F1710" s="274">
        <v>42940</v>
      </c>
      <c r="G1710" s="15">
        <v>14106.1</v>
      </c>
      <c r="H1710" s="15">
        <f>Tabla1[[#This Row],[Importe]]-Tabla1[[#This Row],[Pagado]]</f>
        <v>0</v>
      </c>
      <c r="I1710" s="275" t="s">
        <v>15214</v>
      </c>
    </row>
    <row r="1711" spans="1:9" x14ac:dyDescent="0.25">
      <c r="A1711" s="16">
        <v>42930</v>
      </c>
      <c r="B1711" s="273" t="s">
        <v>21575</v>
      </c>
      <c r="C1711">
        <v>119865</v>
      </c>
      <c r="D1711" s="236" t="s">
        <v>16126</v>
      </c>
      <c r="E1711" s="15">
        <v>6083.5</v>
      </c>
      <c r="F1711" s="274">
        <v>42930</v>
      </c>
      <c r="G1711" s="15">
        <v>6083.5</v>
      </c>
      <c r="H1711" s="15">
        <f>Tabla1[[#This Row],[Importe]]-Tabla1[[#This Row],[Pagado]]</f>
        <v>0</v>
      </c>
      <c r="I1711" s="275" t="s">
        <v>15214</v>
      </c>
    </row>
    <row r="1712" spans="1:9" x14ac:dyDescent="0.25">
      <c r="A1712" s="16">
        <v>42930</v>
      </c>
      <c r="B1712" s="273" t="s">
        <v>21576</v>
      </c>
      <c r="C1712">
        <v>119866</v>
      </c>
      <c r="D1712" s="236" t="s">
        <v>15389</v>
      </c>
      <c r="E1712" s="15">
        <v>25447.4</v>
      </c>
      <c r="F1712" s="274">
        <v>42940</v>
      </c>
      <c r="G1712" s="15">
        <v>25447.4</v>
      </c>
      <c r="H1712" s="15">
        <f>Tabla1[[#This Row],[Importe]]-Tabla1[[#This Row],[Pagado]]</f>
        <v>0</v>
      </c>
      <c r="I1712" s="275" t="s">
        <v>15214</v>
      </c>
    </row>
    <row r="1713" spans="1:9" x14ac:dyDescent="0.25">
      <c r="A1713" s="16">
        <v>42930</v>
      </c>
      <c r="B1713" s="273" t="s">
        <v>21577</v>
      </c>
      <c r="C1713">
        <v>119867</v>
      </c>
      <c r="D1713" s="236" t="s">
        <v>15369</v>
      </c>
      <c r="E1713" s="15">
        <v>6605</v>
      </c>
      <c r="F1713" s="274">
        <v>42945</v>
      </c>
      <c r="G1713" s="15">
        <v>6605</v>
      </c>
      <c r="H1713" s="15">
        <f>Tabla1[[#This Row],[Importe]]-Tabla1[[#This Row],[Pagado]]</f>
        <v>0</v>
      </c>
      <c r="I1713" s="275" t="s">
        <v>15214</v>
      </c>
    </row>
    <row r="1714" spans="1:9" x14ac:dyDescent="0.25">
      <c r="A1714" s="16">
        <v>42930</v>
      </c>
      <c r="B1714" s="273" t="s">
        <v>21578</v>
      </c>
      <c r="C1714">
        <v>119868</v>
      </c>
      <c r="D1714" s="236" t="s">
        <v>15278</v>
      </c>
      <c r="E1714" s="15">
        <v>9524.52</v>
      </c>
      <c r="F1714" s="274">
        <v>42930</v>
      </c>
      <c r="G1714" s="15">
        <v>9524.52</v>
      </c>
      <c r="H1714" s="15">
        <f>Tabla1[[#This Row],[Importe]]-Tabla1[[#This Row],[Pagado]]</f>
        <v>0</v>
      </c>
      <c r="I1714" s="275" t="s">
        <v>15214</v>
      </c>
    </row>
    <row r="1715" spans="1:9" x14ac:dyDescent="0.25">
      <c r="A1715" s="16">
        <v>42930</v>
      </c>
      <c r="B1715" s="273" t="s">
        <v>21579</v>
      </c>
      <c r="C1715">
        <v>119869</v>
      </c>
      <c r="D1715" s="236" t="s">
        <v>15315</v>
      </c>
      <c r="E1715" s="15">
        <v>4860.8</v>
      </c>
      <c r="F1715" s="274">
        <v>42930</v>
      </c>
      <c r="G1715" s="15">
        <v>4860.8</v>
      </c>
      <c r="H1715" s="15">
        <f>Tabla1[[#This Row],[Importe]]-Tabla1[[#This Row],[Pagado]]</f>
        <v>0</v>
      </c>
      <c r="I1715" s="275" t="s">
        <v>15214</v>
      </c>
    </row>
    <row r="1716" spans="1:9" x14ac:dyDescent="0.25">
      <c r="A1716" s="16">
        <v>42930</v>
      </c>
      <c r="B1716" s="273" t="s">
        <v>21580</v>
      </c>
      <c r="C1716">
        <v>119870</v>
      </c>
      <c r="D1716" s="236" t="s">
        <v>15352</v>
      </c>
      <c r="E1716" s="15">
        <v>649.5</v>
      </c>
      <c r="F1716" s="274">
        <v>42930</v>
      </c>
      <c r="G1716" s="15">
        <v>649.5</v>
      </c>
      <c r="H1716" s="15">
        <f>Tabla1[[#This Row],[Importe]]-Tabla1[[#This Row],[Pagado]]</f>
        <v>0</v>
      </c>
      <c r="I1716" s="275" t="s">
        <v>15214</v>
      </c>
    </row>
    <row r="1717" spans="1:9" x14ac:dyDescent="0.25">
      <c r="A1717" s="16">
        <v>42930</v>
      </c>
      <c r="B1717" s="273" t="s">
        <v>21581</v>
      </c>
      <c r="C1717">
        <v>119871</v>
      </c>
      <c r="D1717" s="236" t="s">
        <v>15280</v>
      </c>
      <c r="E1717" s="15">
        <v>6988.8</v>
      </c>
      <c r="F1717" s="274">
        <v>42930</v>
      </c>
      <c r="G1717" s="15">
        <v>6988.8</v>
      </c>
      <c r="H1717" s="15">
        <f>Tabla1[[#This Row],[Importe]]-Tabla1[[#This Row],[Pagado]]</f>
        <v>0</v>
      </c>
      <c r="I1717" s="275" t="s">
        <v>15214</v>
      </c>
    </row>
    <row r="1718" spans="1:9" x14ac:dyDescent="0.25">
      <c r="A1718" s="16">
        <v>42930</v>
      </c>
      <c r="B1718" s="273" t="s">
        <v>21582</v>
      </c>
      <c r="C1718">
        <v>119872</v>
      </c>
      <c r="D1718" s="236" t="s">
        <v>17277</v>
      </c>
      <c r="E1718" s="15">
        <v>2253.1999999999998</v>
      </c>
      <c r="F1718" s="274">
        <v>42930</v>
      </c>
      <c r="G1718" s="15">
        <v>2253.1999999999998</v>
      </c>
      <c r="H1718" s="15">
        <f>Tabla1[[#This Row],[Importe]]-Tabla1[[#This Row],[Pagado]]</f>
        <v>0</v>
      </c>
      <c r="I1718" s="275" t="s">
        <v>15214</v>
      </c>
    </row>
    <row r="1719" spans="1:9" x14ac:dyDescent="0.25">
      <c r="A1719" s="16">
        <v>42930</v>
      </c>
      <c r="B1719" s="273" t="s">
        <v>21583</v>
      </c>
      <c r="C1719">
        <v>119873</v>
      </c>
      <c r="D1719" s="236" t="s">
        <v>15284</v>
      </c>
      <c r="E1719" s="15">
        <v>1299.5999999999999</v>
      </c>
      <c r="F1719" s="274">
        <v>42930</v>
      </c>
      <c r="G1719" s="15">
        <v>1299.5999999999999</v>
      </c>
      <c r="H1719" s="15">
        <f>Tabla1[[#This Row],[Importe]]-Tabla1[[#This Row],[Pagado]]</f>
        <v>0</v>
      </c>
      <c r="I1719" s="275" t="s">
        <v>15214</v>
      </c>
    </row>
    <row r="1720" spans="1:9" x14ac:dyDescent="0.25">
      <c r="A1720" s="16">
        <v>42930</v>
      </c>
      <c r="B1720" s="273" t="s">
        <v>21584</v>
      </c>
      <c r="C1720">
        <v>119874</v>
      </c>
      <c r="D1720" s="236" t="s">
        <v>19769</v>
      </c>
      <c r="E1720" s="15">
        <v>37621.599999999999</v>
      </c>
      <c r="F1720" s="274">
        <v>42930</v>
      </c>
      <c r="G1720" s="15">
        <v>37621.599999999999</v>
      </c>
      <c r="H1720" s="15">
        <f>Tabla1[[#This Row],[Importe]]-Tabla1[[#This Row],[Pagado]]</f>
        <v>0</v>
      </c>
      <c r="I1720" s="275" t="s">
        <v>15214</v>
      </c>
    </row>
    <row r="1721" spans="1:9" x14ac:dyDescent="0.25">
      <c r="A1721" s="16">
        <v>42930</v>
      </c>
      <c r="B1721" s="273" t="s">
        <v>21585</v>
      </c>
      <c r="C1721">
        <v>119875</v>
      </c>
      <c r="D1721" s="236" t="s">
        <v>15315</v>
      </c>
      <c r="E1721" s="15">
        <v>3226.2</v>
      </c>
      <c r="F1721" s="274">
        <v>42930</v>
      </c>
      <c r="G1721" s="15">
        <v>3226.2</v>
      </c>
      <c r="H1721" s="15">
        <f>Tabla1[[#This Row],[Importe]]-Tabla1[[#This Row],[Pagado]]</f>
        <v>0</v>
      </c>
      <c r="I1721" s="275" t="s">
        <v>15214</v>
      </c>
    </row>
    <row r="1722" spans="1:9" x14ac:dyDescent="0.25">
      <c r="A1722" s="16">
        <v>42930</v>
      </c>
      <c r="B1722" s="273" t="s">
        <v>21586</v>
      </c>
      <c r="C1722">
        <v>119876</v>
      </c>
      <c r="D1722" s="236" t="s">
        <v>15367</v>
      </c>
      <c r="E1722" s="15">
        <v>10000</v>
      </c>
      <c r="F1722" s="274">
        <v>42931</v>
      </c>
      <c r="G1722" s="15">
        <f>3400+6600</f>
        <v>10000</v>
      </c>
      <c r="H1722" s="15">
        <f>Tabla1[[#This Row],[Importe]]-Tabla1[[#This Row],[Pagado]]</f>
        <v>0</v>
      </c>
      <c r="I1722" s="275" t="s">
        <v>15214</v>
      </c>
    </row>
    <row r="1723" spans="1:9" x14ac:dyDescent="0.25">
      <c r="A1723" s="16">
        <v>42930</v>
      </c>
      <c r="B1723" s="273" t="s">
        <v>21587</v>
      </c>
      <c r="C1723">
        <v>119877</v>
      </c>
      <c r="D1723" s="236" t="s">
        <v>15371</v>
      </c>
      <c r="E1723" s="15">
        <v>3435</v>
      </c>
      <c r="F1723" s="274">
        <v>42931</v>
      </c>
      <c r="G1723" s="15">
        <v>3435</v>
      </c>
      <c r="H1723" s="15">
        <f>Tabla1[[#This Row],[Importe]]-Tabla1[[#This Row],[Pagado]]</f>
        <v>0</v>
      </c>
      <c r="I1723" s="275" t="s">
        <v>15214</v>
      </c>
    </row>
    <row r="1724" spans="1:9" ht="15.75" x14ac:dyDescent="0.25">
      <c r="A1724" s="16">
        <v>42930</v>
      </c>
      <c r="B1724" s="273" t="s">
        <v>21588</v>
      </c>
      <c r="C1724">
        <v>119878</v>
      </c>
      <c r="D1724" s="248" t="s">
        <v>95</v>
      </c>
      <c r="E1724" s="15">
        <v>0</v>
      </c>
      <c r="F1724" s="277" t="s">
        <v>95</v>
      </c>
      <c r="G1724" s="15">
        <v>0</v>
      </c>
      <c r="H1724" s="15">
        <f>Tabla1[[#This Row],[Importe]]-Tabla1[[#This Row],[Pagado]]</f>
        <v>0</v>
      </c>
      <c r="I1724" s="275" t="s">
        <v>95</v>
      </c>
    </row>
    <row r="1725" spans="1:9" x14ac:dyDescent="0.25">
      <c r="A1725" s="16">
        <v>42930</v>
      </c>
      <c r="B1725" s="273" t="s">
        <v>21589</v>
      </c>
      <c r="C1725">
        <v>119879</v>
      </c>
      <c r="D1725" s="236" t="s">
        <v>15246</v>
      </c>
      <c r="E1725" s="15">
        <v>4998</v>
      </c>
      <c r="F1725" s="274">
        <v>42933</v>
      </c>
      <c r="G1725" s="15">
        <v>4998</v>
      </c>
      <c r="H1725" s="15">
        <f>Tabla1[[#This Row],[Importe]]-Tabla1[[#This Row],[Pagado]]</f>
        <v>0</v>
      </c>
      <c r="I1725" s="275" t="s">
        <v>15214</v>
      </c>
    </row>
    <row r="1726" spans="1:9" x14ac:dyDescent="0.25">
      <c r="A1726" s="16">
        <v>42930</v>
      </c>
      <c r="B1726" s="273" t="s">
        <v>21590</v>
      </c>
      <c r="C1726">
        <v>119880</v>
      </c>
      <c r="D1726" s="236" t="s">
        <v>15378</v>
      </c>
      <c r="E1726" s="15">
        <v>1927.48</v>
      </c>
      <c r="F1726" s="274">
        <v>42930</v>
      </c>
      <c r="G1726" s="15">
        <v>1927.48</v>
      </c>
      <c r="H1726" s="15">
        <f>Tabla1[[#This Row],[Importe]]-Tabla1[[#This Row],[Pagado]]</f>
        <v>0</v>
      </c>
      <c r="I1726" s="275" t="s">
        <v>15214</v>
      </c>
    </row>
    <row r="1727" spans="1:9" x14ac:dyDescent="0.25">
      <c r="A1727" s="16">
        <v>42930</v>
      </c>
      <c r="B1727" s="273" t="s">
        <v>21591</v>
      </c>
      <c r="C1727">
        <v>119881</v>
      </c>
      <c r="D1727" s="236" t="s">
        <v>15539</v>
      </c>
      <c r="E1727" s="15">
        <v>17673</v>
      </c>
      <c r="F1727" s="274">
        <v>42935</v>
      </c>
      <c r="G1727" s="15">
        <v>17673</v>
      </c>
      <c r="H1727" s="15">
        <f>Tabla1[[#This Row],[Importe]]-Tabla1[[#This Row],[Pagado]]</f>
        <v>0</v>
      </c>
      <c r="I1727" s="275" t="s">
        <v>15214</v>
      </c>
    </row>
    <row r="1728" spans="1:9" x14ac:dyDescent="0.25">
      <c r="A1728" s="16">
        <v>42930</v>
      </c>
      <c r="B1728" s="273" t="s">
        <v>21592</v>
      </c>
      <c r="C1728">
        <v>119882</v>
      </c>
      <c r="D1728" s="236" t="s">
        <v>15559</v>
      </c>
      <c r="E1728" s="15">
        <v>14951.1</v>
      </c>
      <c r="F1728" s="274">
        <v>42935</v>
      </c>
      <c r="G1728" s="15">
        <v>14951.1</v>
      </c>
      <c r="H1728" s="15">
        <f>Tabla1[[#This Row],[Importe]]-Tabla1[[#This Row],[Pagado]]</f>
        <v>0</v>
      </c>
      <c r="I1728" s="275" t="s">
        <v>15214</v>
      </c>
    </row>
    <row r="1729" spans="1:9" x14ac:dyDescent="0.25">
      <c r="A1729" s="16">
        <v>42930</v>
      </c>
      <c r="B1729" s="273" t="s">
        <v>21593</v>
      </c>
      <c r="C1729">
        <v>119883</v>
      </c>
      <c r="D1729" s="236" t="s">
        <v>15544</v>
      </c>
      <c r="E1729" s="15">
        <v>3414.2</v>
      </c>
      <c r="F1729" s="274">
        <v>42935</v>
      </c>
      <c r="G1729" s="15">
        <v>3414.2</v>
      </c>
      <c r="H1729" s="15">
        <f>Tabla1[[#This Row],[Importe]]-Tabla1[[#This Row],[Pagado]]</f>
        <v>0</v>
      </c>
      <c r="I1729" s="275" t="s">
        <v>15214</v>
      </c>
    </row>
    <row r="1730" spans="1:9" x14ac:dyDescent="0.25">
      <c r="A1730" s="16">
        <v>42930</v>
      </c>
      <c r="B1730" s="273" t="s">
        <v>21594</v>
      </c>
      <c r="C1730">
        <v>119884</v>
      </c>
      <c r="D1730" s="236" t="s">
        <v>15246</v>
      </c>
      <c r="E1730" s="15">
        <v>14278.8</v>
      </c>
      <c r="F1730" s="274">
        <v>42933</v>
      </c>
      <c r="G1730" s="15">
        <v>14278.8</v>
      </c>
      <c r="H1730" s="15">
        <f>Tabla1[[#This Row],[Importe]]-Tabla1[[#This Row],[Pagado]]</f>
        <v>0</v>
      </c>
      <c r="I1730" s="275" t="s">
        <v>15214</v>
      </c>
    </row>
    <row r="1731" spans="1:9" x14ac:dyDescent="0.25">
      <c r="A1731" s="16">
        <v>42930</v>
      </c>
      <c r="B1731" s="273" t="s">
        <v>21595</v>
      </c>
      <c r="C1731">
        <v>119885</v>
      </c>
      <c r="D1731" s="236" t="s">
        <v>15391</v>
      </c>
      <c r="E1731" s="15">
        <v>12532.8</v>
      </c>
      <c r="F1731" s="274">
        <v>42933</v>
      </c>
      <c r="G1731" s="15">
        <v>12532.8</v>
      </c>
      <c r="H1731" s="15">
        <f>Tabla1[[#This Row],[Importe]]-Tabla1[[#This Row],[Pagado]]</f>
        <v>0</v>
      </c>
      <c r="I1731" s="275" t="s">
        <v>15214</v>
      </c>
    </row>
    <row r="1732" spans="1:9" x14ac:dyDescent="0.25">
      <c r="A1732" s="16">
        <v>42930</v>
      </c>
      <c r="B1732" s="273" t="s">
        <v>21596</v>
      </c>
      <c r="C1732">
        <v>119886</v>
      </c>
      <c r="D1732" s="236" t="s">
        <v>15324</v>
      </c>
      <c r="E1732" s="15">
        <v>3300</v>
      </c>
      <c r="F1732" s="274">
        <v>42930</v>
      </c>
      <c r="G1732" s="15">
        <v>3300</v>
      </c>
      <c r="H1732" s="15">
        <f>Tabla1[[#This Row],[Importe]]-Tabla1[[#This Row],[Pagado]]</f>
        <v>0</v>
      </c>
      <c r="I1732" s="275" t="s">
        <v>15214</v>
      </c>
    </row>
    <row r="1733" spans="1:9" x14ac:dyDescent="0.25">
      <c r="A1733" s="16">
        <v>42930</v>
      </c>
      <c r="B1733" s="273" t="s">
        <v>21597</v>
      </c>
      <c r="C1733">
        <v>119887</v>
      </c>
      <c r="D1733" s="236" t="s">
        <v>15315</v>
      </c>
      <c r="E1733" s="15">
        <v>38458</v>
      </c>
      <c r="F1733" s="274">
        <v>42935</v>
      </c>
      <c r="G1733" s="15">
        <v>38458</v>
      </c>
      <c r="H1733" s="15">
        <f>Tabla1[[#This Row],[Importe]]-Tabla1[[#This Row],[Pagado]]</f>
        <v>0</v>
      </c>
      <c r="I1733" s="275" t="s">
        <v>15214</v>
      </c>
    </row>
    <row r="1734" spans="1:9" x14ac:dyDescent="0.25">
      <c r="A1734" s="16">
        <v>42930</v>
      </c>
      <c r="B1734" s="273" t="s">
        <v>21598</v>
      </c>
      <c r="C1734">
        <v>119888</v>
      </c>
      <c r="D1734" s="236" t="s">
        <v>15725</v>
      </c>
      <c r="E1734" s="15">
        <v>28221</v>
      </c>
      <c r="F1734" s="274">
        <v>42933</v>
      </c>
      <c r="G1734" s="15">
        <v>28221</v>
      </c>
      <c r="H1734" s="15">
        <f>Tabla1[[#This Row],[Importe]]-Tabla1[[#This Row],[Pagado]]</f>
        <v>0</v>
      </c>
      <c r="I1734" s="275" t="s">
        <v>15214</v>
      </c>
    </row>
    <row r="1735" spans="1:9" ht="15.75" x14ac:dyDescent="0.25">
      <c r="A1735" s="16">
        <v>42930</v>
      </c>
      <c r="B1735" s="273" t="s">
        <v>21599</v>
      </c>
      <c r="C1735">
        <v>119889</v>
      </c>
      <c r="D1735" s="248" t="s">
        <v>95</v>
      </c>
      <c r="E1735" s="15">
        <v>0</v>
      </c>
      <c r="F1735" s="277" t="s">
        <v>95</v>
      </c>
      <c r="G1735" s="15">
        <v>0</v>
      </c>
      <c r="H1735" s="15">
        <f>Tabla1[[#This Row],[Importe]]-Tabla1[[#This Row],[Pagado]]</f>
        <v>0</v>
      </c>
      <c r="I1735" s="275" t="s">
        <v>95</v>
      </c>
    </row>
    <row r="1736" spans="1:9" x14ac:dyDescent="0.25">
      <c r="A1736" s="16">
        <v>42930</v>
      </c>
      <c r="B1736" s="273" t="s">
        <v>21600</v>
      </c>
      <c r="C1736">
        <v>119890</v>
      </c>
      <c r="D1736" s="236" t="s">
        <v>15315</v>
      </c>
      <c r="E1736" s="15">
        <v>2906.4</v>
      </c>
      <c r="F1736" s="274">
        <v>42930</v>
      </c>
      <c r="G1736" s="15">
        <v>2906.4</v>
      </c>
      <c r="H1736" s="15">
        <f>Tabla1[[#This Row],[Importe]]-Tabla1[[#This Row],[Pagado]]</f>
        <v>0</v>
      </c>
      <c r="I1736" s="275" t="s">
        <v>15214</v>
      </c>
    </row>
    <row r="1737" spans="1:9" x14ac:dyDescent="0.25">
      <c r="A1737" s="16">
        <v>42930</v>
      </c>
      <c r="B1737" s="273" t="s">
        <v>21601</v>
      </c>
      <c r="C1737">
        <v>119891</v>
      </c>
      <c r="D1737" s="236" t="s">
        <v>15315</v>
      </c>
      <c r="E1737" s="15">
        <v>3045.6</v>
      </c>
      <c r="F1737" s="274">
        <v>42930</v>
      </c>
      <c r="G1737" s="15">
        <v>3045.6</v>
      </c>
      <c r="H1737" s="15">
        <f>Tabla1[[#This Row],[Importe]]-Tabla1[[#This Row],[Pagado]]</f>
        <v>0</v>
      </c>
      <c r="I1737" s="275" t="s">
        <v>15214</v>
      </c>
    </row>
    <row r="1738" spans="1:9" x14ac:dyDescent="0.25">
      <c r="A1738" s="16">
        <v>42930</v>
      </c>
      <c r="B1738" s="273" t="s">
        <v>21602</v>
      </c>
      <c r="C1738">
        <v>119892</v>
      </c>
      <c r="D1738" s="236" t="s">
        <v>15315</v>
      </c>
      <c r="E1738" s="15">
        <v>243.2</v>
      </c>
      <c r="F1738" s="274">
        <v>42930</v>
      </c>
      <c r="G1738" s="15">
        <v>243.2</v>
      </c>
      <c r="H1738" s="15">
        <f>Tabla1[[#This Row],[Importe]]-Tabla1[[#This Row],[Pagado]]</f>
        <v>0</v>
      </c>
      <c r="I1738" s="275" t="s">
        <v>15214</v>
      </c>
    </row>
    <row r="1739" spans="1:9" x14ac:dyDescent="0.25">
      <c r="A1739" s="16">
        <v>42930</v>
      </c>
      <c r="B1739" s="273" t="s">
        <v>21603</v>
      </c>
      <c r="C1739">
        <v>119893</v>
      </c>
      <c r="D1739" s="236" t="s">
        <v>17462</v>
      </c>
      <c r="E1739" s="15">
        <v>3423.6</v>
      </c>
      <c r="F1739" s="274">
        <v>42930</v>
      </c>
      <c r="G1739" s="15">
        <v>3423.6</v>
      </c>
      <c r="H1739" s="15">
        <f>Tabla1[[#This Row],[Importe]]-Tabla1[[#This Row],[Pagado]]</f>
        <v>0</v>
      </c>
      <c r="I1739" s="275" t="s">
        <v>15214</v>
      </c>
    </row>
    <row r="1740" spans="1:9" x14ac:dyDescent="0.25">
      <c r="A1740" s="16">
        <v>42930</v>
      </c>
      <c r="B1740" s="273" t="s">
        <v>21604</v>
      </c>
      <c r="C1740">
        <v>119894</v>
      </c>
      <c r="D1740" s="236" t="s">
        <v>15590</v>
      </c>
      <c r="E1740" s="15">
        <v>36734.71</v>
      </c>
      <c r="F1740" s="274">
        <v>42947</v>
      </c>
      <c r="G1740" s="15">
        <v>36734.71</v>
      </c>
      <c r="H1740" s="15">
        <f>Tabla1[[#This Row],[Importe]]-Tabla1[[#This Row],[Pagado]]</f>
        <v>0</v>
      </c>
      <c r="I1740" s="275" t="s">
        <v>15214</v>
      </c>
    </row>
    <row r="1741" spans="1:9" x14ac:dyDescent="0.25">
      <c r="A1741" s="16">
        <v>42930</v>
      </c>
      <c r="B1741" s="273" t="s">
        <v>21605</v>
      </c>
      <c r="C1741">
        <v>119895</v>
      </c>
      <c r="D1741" s="236" t="s">
        <v>15628</v>
      </c>
      <c r="E1741" s="15">
        <v>9827</v>
      </c>
      <c r="F1741" s="274">
        <v>42930</v>
      </c>
      <c r="G1741" s="15">
        <v>9827</v>
      </c>
      <c r="H1741" s="15">
        <f>Tabla1[[#This Row],[Importe]]-Tabla1[[#This Row],[Pagado]]</f>
        <v>0</v>
      </c>
      <c r="I1741" s="275" t="s">
        <v>15214</v>
      </c>
    </row>
    <row r="1742" spans="1:9" x14ac:dyDescent="0.25">
      <c r="A1742" s="16">
        <v>42930</v>
      </c>
      <c r="B1742" s="273" t="s">
        <v>21606</v>
      </c>
      <c r="C1742">
        <v>119896</v>
      </c>
      <c r="D1742" s="236" t="s">
        <v>15594</v>
      </c>
      <c r="E1742" s="15">
        <v>2699.2</v>
      </c>
      <c r="F1742" s="274">
        <v>42931</v>
      </c>
      <c r="G1742" s="15">
        <v>2699.2</v>
      </c>
      <c r="H1742" s="15">
        <f>Tabla1[[#This Row],[Importe]]-Tabla1[[#This Row],[Pagado]]</f>
        <v>0</v>
      </c>
      <c r="I1742" s="275" t="s">
        <v>15214</v>
      </c>
    </row>
    <row r="1743" spans="1:9" x14ac:dyDescent="0.25">
      <c r="A1743" s="16">
        <v>42930</v>
      </c>
      <c r="B1743" s="273" t="s">
        <v>21607</v>
      </c>
      <c r="C1743">
        <v>119897</v>
      </c>
      <c r="D1743" s="236" t="s">
        <v>15568</v>
      </c>
      <c r="E1743" s="15">
        <v>17507.3</v>
      </c>
      <c r="F1743" s="274">
        <v>42931</v>
      </c>
      <c r="G1743" s="15">
        <v>17507.3</v>
      </c>
      <c r="H1743" s="15">
        <f>Tabla1[[#This Row],[Importe]]-Tabla1[[#This Row],[Pagado]]</f>
        <v>0</v>
      </c>
      <c r="I1743" s="275" t="s">
        <v>15214</v>
      </c>
    </row>
    <row r="1744" spans="1:9" x14ac:dyDescent="0.25">
      <c r="A1744" s="16">
        <v>42930</v>
      </c>
      <c r="B1744" s="273" t="s">
        <v>21608</v>
      </c>
      <c r="C1744">
        <v>119898</v>
      </c>
      <c r="D1744" s="236" t="s">
        <v>15555</v>
      </c>
      <c r="E1744" s="15">
        <v>1299.5999999999999</v>
      </c>
      <c r="F1744" s="274">
        <v>42935</v>
      </c>
      <c r="G1744" s="15">
        <v>1299.5999999999999</v>
      </c>
      <c r="H1744" s="15">
        <f>Tabla1[[#This Row],[Importe]]-Tabla1[[#This Row],[Pagado]]</f>
        <v>0</v>
      </c>
      <c r="I1744" s="275" t="s">
        <v>15214</v>
      </c>
    </row>
    <row r="1745" spans="1:9" x14ac:dyDescent="0.25">
      <c r="A1745" s="16">
        <v>42930</v>
      </c>
      <c r="B1745" s="273" t="s">
        <v>21609</v>
      </c>
      <c r="C1745">
        <v>119899</v>
      </c>
      <c r="D1745" s="236" t="s">
        <v>15632</v>
      </c>
      <c r="E1745" s="15">
        <v>24576.2</v>
      </c>
      <c r="F1745" s="274">
        <v>42937</v>
      </c>
      <c r="G1745" s="15">
        <v>24576.2</v>
      </c>
      <c r="H1745" s="15">
        <f>Tabla1[[#This Row],[Importe]]-Tabla1[[#This Row],[Pagado]]</f>
        <v>0</v>
      </c>
      <c r="I1745" s="275" t="s">
        <v>15214</v>
      </c>
    </row>
    <row r="1746" spans="1:9" x14ac:dyDescent="0.25">
      <c r="A1746" s="16">
        <v>42930</v>
      </c>
      <c r="B1746" s="273" t="s">
        <v>21610</v>
      </c>
      <c r="C1746">
        <v>119900</v>
      </c>
      <c r="D1746" s="236" t="s">
        <v>15537</v>
      </c>
      <c r="E1746" s="15">
        <v>20278</v>
      </c>
      <c r="F1746" s="274">
        <v>42935</v>
      </c>
      <c r="G1746" s="15">
        <v>20278</v>
      </c>
      <c r="H1746" s="15">
        <f>Tabla1[[#This Row],[Importe]]-Tabla1[[#This Row],[Pagado]]</f>
        <v>0</v>
      </c>
      <c r="I1746" s="275" t="s">
        <v>15214</v>
      </c>
    </row>
    <row r="1747" spans="1:9" x14ac:dyDescent="0.25">
      <c r="A1747" s="16">
        <v>42930</v>
      </c>
      <c r="B1747" s="273" t="s">
        <v>21611</v>
      </c>
      <c r="C1747">
        <v>119901</v>
      </c>
      <c r="D1747" s="236" t="s">
        <v>15315</v>
      </c>
      <c r="E1747" s="15">
        <v>3268.2</v>
      </c>
      <c r="F1747" s="274">
        <v>42935</v>
      </c>
      <c r="G1747" s="15">
        <v>3268.2</v>
      </c>
      <c r="H1747" s="15">
        <f>Tabla1[[#This Row],[Importe]]-Tabla1[[#This Row],[Pagado]]</f>
        <v>0</v>
      </c>
      <c r="I1747" s="275" t="s">
        <v>15214</v>
      </c>
    </row>
    <row r="1748" spans="1:9" x14ac:dyDescent="0.25">
      <c r="A1748" s="16">
        <v>42930</v>
      </c>
      <c r="B1748" s="273" t="s">
        <v>21612</v>
      </c>
      <c r="C1748">
        <v>119902</v>
      </c>
      <c r="D1748" s="236" t="s">
        <v>15315</v>
      </c>
      <c r="E1748" s="15">
        <v>10745.6</v>
      </c>
      <c r="F1748" s="274">
        <v>42935</v>
      </c>
      <c r="G1748" s="15">
        <v>10745.6</v>
      </c>
      <c r="H1748" s="15">
        <f>Tabla1[[#This Row],[Importe]]-Tabla1[[#This Row],[Pagado]]</f>
        <v>0</v>
      </c>
      <c r="I1748" s="275" t="s">
        <v>15214</v>
      </c>
    </row>
    <row r="1749" spans="1:9" x14ac:dyDescent="0.25">
      <c r="A1749" s="16">
        <v>42930</v>
      </c>
      <c r="B1749" s="273" t="s">
        <v>21613</v>
      </c>
      <c r="C1749">
        <v>119903</v>
      </c>
      <c r="D1749" s="236" t="s">
        <v>15315</v>
      </c>
      <c r="E1749" s="15">
        <v>4115.3999999999996</v>
      </c>
      <c r="F1749" s="274">
        <v>42935</v>
      </c>
      <c r="G1749" s="15">
        <v>4115.3999999999996</v>
      </c>
      <c r="H1749" s="15">
        <f>Tabla1[[#This Row],[Importe]]-Tabla1[[#This Row],[Pagado]]</f>
        <v>0</v>
      </c>
      <c r="I1749" s="275" t="s">
        <v>15214</v>
      </c>
    </row>
    <row r="1750" spans="1:9" x14ac:dyDescent="0.25">
      <c r="A1750" s="16">
        <v>42930</v>
      </c>
      <c r="B1750" s="273" t="s">
        <v>21614</v>
      </c>
      <c r="C1750">
        <v>119904</v>
      </c>
      <c r="D1750" s="236" t="s">
        <v>15557</v>
      </c>
      <c r="E1750" s="15">
        <v>24562.7</v>
      </c>
      <c r="F1750" s="274">
        <v>42950</v>
      </c>
      <c r="G1750" s="15">
        <v>24562.7</v>
      </c>
      <c r="H1750" s="15">
        <f>Tabla1[[#This Row],[Importe]]-Tabla1[[#This Row],[Pagado]]</f>
        <v>0</v>
      </c>
      <c r="I1750" s="275" t="s">
        <v>15214</v>
      </c>
    </row>
    <row r="1751" spans="1:9" x14ac:dyDescent="0.25">
      <c r="A1751" s="16">
        <v>42930</v>
      </c>
      <c r="B1751" s="273" t="s">
        <v>21615</v>
      </c>
      <c r="C1751">
        <v>119905</v>
      </c>
      <c r="D1751" s="236" t="s">
        <v>15265</v>
      </c>
      <c r="E1751" s="15">
        <v>2816.8</v>
      </c>
      <c r="F1751" s="274">
        <v>42932</v>
      </c>
      <c r="G1751" s="15">
        <v>2816.8</v>
      </c>
      <c r="H1751" s="15">
        <f>Tabla1[[#This Row],[Importe]]-Tabla1[[#This Row],[Pagado]]</f>
        <v>0</v>
      </c>
      <c r="I1751" s="275" t="s">
        <v>15214</v>
      </c>
    </row>
    <row r="1752" spans="1:9" x14ac:dyDescent="0.25">
      <c r="A1752" s="16">
        <v>42930</v>
      </c>
      <c r="B1752" s="273" t="s">
        <v>21616</v>
      </c>
      <c r="C1752">
        <v>119906</v>
      </c>
      <c r="D1752" s="236" t="s">
        <v>15398</v>
      </c>
      <c r="E1752" s="15">
        <v>3832.4</v>
      </c>
      <c r="F1752" s="274">
        <v>42930</v>
      </c>
      <c r="G1752" s="15">
        <v>3832.4</v>
      </c>
      <c r="H1752" s="15">
        <f>Tabla1[[#This Row],[Importe]]-Tabla1[[#This Row],[Pagado]]</f>
        <v>0</v>
      </c>
      <c r="I1752" s="275" t="s">
        <v>15214</v>
      </c>
    </row>
    <row r="1753" spans="1:9" x14ac:dyDescent="0.25">
      <c r="A1753" s="16">
        <v>42930</v>
      </c>
      <c r="B1753" s="273" t="s">
        <v>21617</v>
      </c>
      <c r="C1753">
        <v>119907</v>
      </c>
      <c r="D1753" s="236" t="s">
        <v>15858</v>
      </c>
      <c r="E1753" s="15">
        <v>2727.64</v>
      </c>
      <c r="F1753" s="274">
        <v>42930</v>
      </c>
      <c r="G1753" s="15">
        <v>2727.64</v>
      </c>
      <c r="H1753" s="15">
        <f>Tabla1[[#This Row],[Importe]]-Tabla1[[#This Row],[Pagado]]</f>
        <v>0</v>
      </c>
      <c r="I1753" s="275" t="s">
        <v>15214</v>
      </c>
    </row>
    <row r="1754" spans="1:9" x14ac:dyDescent="0.25">
      <c r="A1754" s="16">
        <v>42930</v>
      </c>
      <c r="B1754" s="273" t="s">
        <v>21618</v>
      </c>
      <c r="C1754">
        <v>119908</v>
      </c>
      <c r="D1754" s="236" t="s">
        <v>15334</v>
      </c>
      <c r="E1754" s="15">
        <v>1770</v>
      </c>
      <c r="F1754" s="274">
        <v>42930</v>
      </c>
      <c r="G1754" s="15">
        <v>1770</v>
      </c>
      <c r="H1754" s="15">
        <f>Tabla1[[#This Row],[Importe]]-Tabla1[[#This Row],[Pagado]]</f>
        <v>0</v>
      </c>
      <c r="I1754" s="275" t="s">
        <v>15214</v>
      </c>
    </row>
    <row r="1755" spans="1:9" x14ac:dyDescent="0.25">
      <c r="A1755" s="16">
        <v>42930</v>
      </c>
      <c r="B1755" s="273" t="s">
        <v>21619</v>
      </c>
      <c r="C1755">
        <v>119909</v>
      </c>
      <c r="D1755" s="236" t="s">
        <v>15810</v>
      </c>
      <c r="E1755" s="15">
        <v>708.3</v>
      </c>
      <c r="F1755" s="274">
        <v>42930</v>
      </c>
      <c r="G1755" s="15">
        <v>708.3</v>
      </c>
      <c r="H1755" s="15">
        <f>Tabla1[[#This Row],[Importe]]-Tabla1[[#This Row],[Pagado]]</f>
        <v>0</v>
      </c>
      <c r="I1755" s="275" t="s">
        <v>15214</v>
      </c>
    </row>
    <row r="1756" spans="1:9" x14ac:dyDescent="0.25">
      <c r="A1756" s="16">
        <v>42930</v>
      </c>
      <c r="B1756" s="273" t="s">
        <v>21620</v>
      </c>
      <c r="C1756">
        <v>119910</v>
      </c>
      <c r="D1756" s="236" t="s">
        <v>15523</v>
      </c>
      <c r="E1756" s="15">
        <v>3300</v>
      </c>
      <c r="F1756" s="274">
        <v>42930</v>
      </c>
      <c r="G1756" s="15">
        <v>3300</v>
      </c>
      <c r="H1756" s="15">
        <f>Tabla1[[#This Row],[Importe]]-Tabla1[[#This Row],[Pagado]]</f>
        <v>0</v>
      </c>
      <c r="I1756" s="275" t="s">
        <v>15214</v>
      </c>
    </row>
    <row r="1757" spans="1:9" x14ac:dyDescent="0.25">
      <c r="A1757" s="16">
        <v>42930</v>
      </c>
      <c r="B1757" s="273" t="s">
        <v>21621</v>
      </c>
      <c r="C1757">
        <v>119911</v>
      </c>
      <c r="D1757" s="236" t="s">
        <v>15276</v>
      </c>
      <c r="E1757" s="15">
        <v>5500</v>
      </c>
      <c r="F1757" s="274">
        <v>42930</v>
      </c>
      <c r="G1757" s="15">
        <v>5500</v>
      </c>
      <c r="H1757" s="15">
        <f>Tabla1[[#This Row],[Importe]]-Tabla1[[#This Row],[Pagado]]</f>
        <v>0</v>
      </c>
      <c r="I1757" s="275" t="s">
        <v>15214</v>
      </c>
    </row>
    <row r="1758" spans="1:9" x14ac:dyDescent="0.25">
      <c r="A1758" s="16">
        <v>42930</v>
      </c>
      <c r="B1758" s="273" t="s">
        <v>21622</v>
      </c>
      <c r="C1758">
        <v>119912</v>
      </c>
      <c r="D1758" s="236" t="s">
        <v>17708</v>
      </c>
      <c r="E1758" s="15">
        <v>11078.2</v>
      </c>
      <c r="F1758" s="274">
        <v>42944</v>
      </c>
      <c r="G1758" s="15">
        <v>11078.2</v>
      </c>
      <c r="H1758" s="15">
        <f>Tabla1[[#This Row],[Importe]]-Tabla1[[#This Row],[Pagado]]</f>
        <v>0</v>
      </c>
      <c r="I1758" s="275" t="s">
        <v>15214</v>
      </c>
    </row>
    <row r="1759" spans="1:9" x14ac:dyDescent="0.25">
      <c r="A1759" s="16">
        <v>42930</v>
      </c>
      <c r="B1759" s="273" t="s">
        <v>21623</v>
      </c>
      <c r="C1759">
        <v>119913</v>
      </c>
      <c r="D1759" s="236" t="s">
        <v>15920</v>
      </c>
      <c r="E1759" s="15">
        <v>7349.4</v>
      </c>
      <c r="F1759" s="274">
        <v>42935</v>
      </c>
      <c r="G1759" s="15">
        <v>7349.4</v>
      </c>
      <c r="H1759" s="15">
        <f>Tabla1[[#This Row],[Importe]]-Tabla1[[#This Row],[Pagado]]</f>
        <v>0</v>
      </c>
      <c r="I1759" s="275" t="s">
        <v>15214</v>
      </c>
    </row>
    <row r="1760" spans="1:9" x14ac:dyDescent="0.25">
      <c r="A1760" s="16">
        <v>42930</v>
      </c>
      <c r="B1760" s="273" t="s">
        <v>21624</v>
      </c>
      <c r="C1760">
        <v>119914</v>
      </c>
      <c r="D1760" s="236" t="s">
        <v>15291</v>
      </c>
      <c r="E1760" s="15">
        <v>715</v>
      </c>
      <c r="F1760" s="274">
        <v>42930</v>
      </c>
      <c r="G1760" s="15">
        <v>715</v>
      </c>
      <c r="H1760" s="15">
        <f>Tabla1[[#This Row],[Importe]]-Tabla1[[#This Row],[Pagado]]</f>
        <v>0</v>
      </c>
      <c r="I1760" s="275" t="s">
        <v>15214</v>
      </c>
    </row>
    <row r="1761" spans="1:9" x14ac:dyDescent="0.25">
      <c r="A1761" s="16">
        <v>42930</v>
      </c>
      <c r="B1761" s="273" t="s">
        <v>21625</v>
      </c>
      <c r="C1761">
        <v>119915</v>
      </c>
      <c r="D1761" s="236" t="s">
        <v>15350</v>
      </c>
      <c r="E1761" s="15">
        <v>2035</v>
      </c>
      <c r="F1761" s="274">
        <v>42930</v>
      </c>
      <c r="G1761" s="15">
        <v>2035</v>
      </c>
      <c r="H1761" s="15">
        <f>Tabla1[[#This Row],[Importe]]-Tabla1[[#This Row],[Pagado]]</f>
        <v>0</v>
      </c>
      <c r="I1761" s="275" t="s">
        <v>15214</v>
      </c>
    </row>
    <row r="1762" spans="1:9" x14ac:dyDescent="0.25">
      <c r="A1762" s="16">
        <v>42930</v>
      </c>
      <c r="B1762" s="273" t="s">
        <v>21626</v>
      </c>
      <c r="C1762">
        <v>119916</v>
      </c>
      <c r="D1762" s="236" t="s">
        <v>15309</v>
      </c>
      <c r="E1762" s="15">
        <v>10715.6</v>
      </c>
      <c r="F1762" s="274">
        <v>42930</v>
      </c>
      <c r="G1762" s="15">
        <v>10715.6</v>
      </c>
      <c r="H1762" s="15">
        <f>Tabla1[[#This Row],[Importe]]-Tabla1[[#This Row],[Pagado]]</f>
        <v>0</v>
      </c>
      <c r="I1762" s="275" t="s">
        <v>15214</v>
      </c>
    </row>
    <row r="1763" spans="1:9" x14ac:dyDescent="0.25">
      <c r="A1763" s="16">
        <v>42930</v>
      </c>
      <c r="B1763" s="273" t="s">
        <v>21627</v>
      </c>
      <c r="C1763">
        <v>119917</v>
      </c>
      <c r="D1763" s="236" t="s">
        <v>15303</v>
      </c>
      <c r="E1763" s="15">
        <v>3367.2</v>
      </c>
      <c r="F1763" s="274">
        <v>42930</v>
      </c>
      <c r="G1763" s="15">
        <v>3367.2</v>
      </c>
      <c r="H1763" s="15">
        <f>Tabla1[[#This Row],[Importe]]-Tabla1[[#This Row],[Pagado]]</f>
        <v>0</v>
      </c>
      <c r="I1763" s="275" t="s">
        <v>15214</v>
      </c>
    </row>
    <row r="1764" spans="1:9" x14ac:dyDescent="0.25">
      <c r="A1764" s="16">
        <v>42930</v>
      </c>
      <c r="B1764" s="273" t="s">
        <v>21628</v>
      </c>
      <c r="C1764">
        <v>119918</v>
      </c>
      <c r="D1764" s="236" t="s">
        <v>15305</v>
      </c>
      <c r="E1764" s="15">
        <v>1513.6</v>
      </c>
      <c r="F1764" s="274">
        <v>42930</v>
      </c>
      <c r="G1764" s="15">
        <v>1513.6</v>
      </c>
      <c r="H1764" s="15">
        <f>Tabla1[[#This Row],[Importe]]-Tabla1[[#This Row],[Pagado]]</f>
        <v>0</v>
      </c>
      <c r="I1764" s="275" t="s">
        <v>15214</v>
      </c>
    </row>
    <row r="1765" spans="1:9" x14ac:dyDescent="0.25">
      <c r="A1765" s="16">
        <v>42930</v>
      </c>
      <c r="B1765" s="273" t="s">
        <v>21629</v>
      </c>
      <c r="C1765">
        <v>119919</v>
      </c>
      <c r="D1765" s="236" t="s">
        <v>15307</v>
      </c>
      <c r="E1765" s="15">
        <v>1663.8</v>
      </c>
      <c r="F1765" s="274">
        <v>42930</v>
      </c>
      <c r="G1765" s="15">
        <v>1663.8</v>
      </c>
      <c r="H1765" s="15">
        <f>Tabla1[[#This Row],[Importe]]-Tabla1[[#This Row],[Pagado]]</f>
        <v>0</v>
      </c>
      <c r="I1765" s="275" t="s">
        <v>15214</v>
      </c>
    </row>
    <row r="1766" spans="1:9" x14ac:dyDescent="0.25">
      <c r="A1766" s="16">
        <v>42930</v>
      </c>
      <c r="B1766" s="273" t="s">
        <v>21630</v>
      </c>
      <c r="C1766">
        <v>119920</v>
      </c>
      <c r="D1766" s="236" t="s">
        <v>15566</v>
      </c>
      <c r="E1766" s="15">
        <v>3896.2</v>
      </c>
      <c r="F1766" s="274">
        <v>42930</v>
      </c>
      <c r="G1766" s="15">
        <v>3896.2</v>
      </c>
      <c r="H1766" s="15">
        <f>Tabla1[[#This Row],[Importe]]-Tabla1[[#This Row],[Pagado]]</f>
        <v>0</v>
      </c>
      <c r="I1766" s="275" t="s">
        <v>15214</v>
      </c>
    </row>
    <row r="1767" spans="1:9" x14ac:dyDescent="0.25">
      <c r="A1767" s="16">
        <v>42930</v>
      </c>
      <c r="B1767" s="273" t="s">
        <v>21631</v>
      </c>
      <c r="C1767">
        <v>119921</v>
      </c>
      <c r="D1767" s="236" t="s">
        <v>15282</v>
      </c>
      <c r="E1767" s="15">
        <v>1691.2</v>
      </c>
      <c r="F1767" s="274">
        <v>42930</v>
      </c>
      <c r="G1767" s="15">
        <v>1691.2</v>
      </c>
      <c r="H1767" s="15">
        <f>Tabla1[[#This Row],[Importe]]-Tabla1[[#This Row],[Pagado]]</f>
        <v>0</v>
      </c>
      <c r="I1767" s="275" t="s">
        <v>15214</v>
      </c>
    </row>
    <row r="1768" spans="1:9" x14ac:dyDescent="0.25">
      <c r="A1768" s="16">
        <v>42930</v>
      </c>
      <c r="B1768" s="273" t="s">
        <v>21632</v>
      </c>
      <c r="C1768">
        <v>119922</v>
      </c>
      <c r="D1768" s="236" t="s">
        <v>15782</v>
      </c>
      <c r="E1768" s="15">
        <v>2316.1</v>
      </c>
      <c r="F1768" s="274">
        <v>42930</v>
      </c>
      <c r="G1768" s="15">
        <v>2316.1</v>
      </c>
      <c r="H1768" s="15">
        <f>Tabla1[[#This Row],[Importe]]-Tabla1[[#This Row],[Pagado]]</f>
        <v>0</v>
      </c>
      <c r="I1768" s="275" t="s">
        <v>15214</v>
      </c>
    </row>
    <row r="1769" spans="1:9" x14ac:dyDescent="0.25">
      <c r="A1769" s="16">
        <v>42930</v>
      </c>
      <c r="B1769" s="273" t="s">
        <v>21633</v>
      </c>
      <c r="C1769">
        <v>119923</v>
      </c>
      <c r="D1769" s="236" t="s">
        <v>15417</v>
      </c>
      <c r="E1769" s="15">
        <v>4314.6000000000004</v>
      </c>
      <c r="F1769" s="274">
        <v>42930</v>
      </c>
      <c r="G1769" s="15">
        <v>4314.6000000000004</v>
      </c>
      <c r="H1769" s="15">
        <f>Tabla1[[#This Row],[Importe]]-Tabla1[[#This Row],[Pagado]]</f>
        <v>0</v>
      </c>
      <c r="I1769" s="275" t="s">
        <v>15214</v>
      </c>
    </row>
    <row r="1770" spans="1:9" x14ac:dyDescent="0.25">
      <c r="A1770" s="16">
        <v>42930</v>
      </c>
      <c r="B1770" s="273" t="s">
        <v>21634</v>
      </c>
      <c r="C1770">
        <v>119924</v>
      </c>
      <c r="D1770" s="236" t="s">
        <v>15415</v>
      </c>
      <c r="E1770" s="15">
        <v>387.6</v>
      </c>
      <c r="F1770" s="274">
        <v>42931</v>
      </c>
      <c r="G1770" s="15">
        <v>387.6</v>
      </c>
      <c r="H1770" s="15">
        <f>Tabla1[[#This Row],[Importe]]-Tabla1[[#This Row],[Pagado]]</f>
        <v>0</v>
      </c>
      <c r="I1770" s="275" t="s">
        <v>15214</v>
      </c>
    </row>
    <row r="1771" spans="1:9" x14ac:dyDescent="0.25">
      <c r="A1771" s="16">
        <v>42930</v>
      </c>
      <c r="B1771" s="273" t="s">
        <v>21635</v>
      </c>
      <c r="C1771">
        <v>119925</v>
      </c>
      <c r="D1771" s="236" t="s">
        <v>15246</v>
      </c>
      <c r="E1771" s="15">
        <v>4748.8</v>
      </c>
      <c r="F1771" s="274">
        <v>42933</v>
      </c>
      <c r="G1771" s="15">
        <v>4748.8</v>
      </c>
      <c r="H1771" s="15">
        <f>Tabla1[[#This Row],[Importe]]-Tabla1[[#This Row],[Pagado]]</f>
        <v>0</v>
      </c>
      <c r="I1771" s="275" t="s">
        <v>15214</v>
      </c>
    </row>
    <row r="1772" spans="1:9" x14ac:dyDescent="0.25">
      <c r="A1772" s="16">
        <v>42930</v>
      </c>
      <c r="B1772" s="273" t="s">
        <v>21636</v>
      </c>
      <c r="C1772">
        <v>119926</v>
      </c>
      <c r="D1772" s="236" t="s">
        <v>15291</v>
      </c>
      <c r="E1772" s="15">
        <v>660</v>
      </c>
      <c r="F1772" s="274">
        <v>42930</v>
      </c>
      <c r="G1772" s="15">
        <v>660</v>
      </c>
      <c r="H1772" s="15">
        <f>Tabla1[[#This Row],[Importe]]-Tabla1[[#This Row],[Pagado]]</f>
        <v>0</v>
      </c>
      <c r="I1772" s="275" t="s">
        <v>15214</v>
      </c>
    </row>
    <row r="1773" spans="1:9" x14ac:dyDescent="0.25">
      <c r="A1773" s="16">
        <v>42930</v>
      </c>
      <c r="B1773" s="273" t="s">
        <v>21637</v>
      </c>
      <c r="C1773">
        <v>119927</v>
      </c>
      <c r="D1773" s="236" t="s">
        <v>15861</v>
      </c>
      <c r="E1773" s="15">
        <v>2625.6</v>
      </c>
      <c r="F1773" s="274">
        <v>42930</v>
      </c>
      <c r="G1773" s="15">
        <v>2625.6</v>
      </c>
      <c r="H1773" s="15">
        <f>Tabla1[[#This Row],[Importe]]-Tabla1[[#This Row],[Pagado]]</f>
        <v>0</v>
      </c>
      <c r="I1773" s="275" t="s">
        <v>15214</v>
      </c>
    </row>
    <row r="1774" spans="1:9" x14ac:dyDescent="0.25">
      <c r="A1774" s="16">
        <v>42930</v>
      </c>
      <c r="B1774" s="273" t="s">
        <v>21638</v>
      </c>
      <c r="C1774">
        <v>119928</v>
      </c>
      <c r="D1774" s="236" t="s">
        <v>15396</v>
      </c>
      <c r="E1774" s="15">
        <v>9847.7999999999993</v>
      </c>
      <c r="F1774" s="274">
        <v>42930</v>
      </c>
      <c r="G1774" s="15">
        <v>9847.7999999999993</v>
      </c>
      <c r="H1774" s="15">
        <f>Tabla1[[#This Row],[Importe]]-Tabla1[[#This Row],[Pagado]]</f>
        <v>0</v>
      </c>
      <c r="I1774" s="275" t="s">
        <v>15214</v>
      </c>
    </row>
    <row r="1775" spans="1:9" x14ac:dyDescent="0.25">
      <c r="A1775" s="16">
        <v>42930</v>
      </c>
      <c r="B1775" s="273" t="s">
        <v>21639</v>
      </c>
      <c r="C1775">
        <v>119929</v>
      </c>
      <c r="D1775" s="236" t="s">
        <v>15577</v>
      </c>
      <c r="E1775" s="15">
        <v>754</v>
      </c>
      <c r="F1775" s="274">
        <v>42930</v>
      </c>
      <c r="G1775" s="15">
        <v>754</v>
      </c>
      <c r="H1775" s="15">
        <f>Tabla1[[#This Row],[Importe]]-Tabla1[[#This Row],[Pagado]]</f>
        <v>0</v>
      </c>
      <c r="I1775" s="275" t="s">
        <v>15214</v>
      </c>
    </row>
    <row r="1776" spans="1:9" x14ac:dyDescent="0.25">
      <c r="A1776" s="16">
        <v>42930</v>
      </c>
      <c r="B1776" s="273" t="s">
        <v>21640</v>
      </c>
      <c r="C1776">
        <v>119930</v>
      </c>
      <c r="D1776" s="236" t="s">
        <v>15748</v>
      </c>
      <c r="E1776" s="15">
        <v>1437.3</v>
      </c>
      <c r="F1776" s="274">
        <v>42930</v>
      </c>
      <c r="G1776" s="15">
        <v>1437.3</v>
      </c>
      <c r="H1776" s="15">
        <f>Tabla1[[#This Row],[Importe]]-Tabla1[[#This Row],[Pagado]]</f>
        <v>0</v>
      </c>
      <c r="I1776" s="275" t="s">
        <v>15214</v>
      </c>
    </row>
    <row r="1777" spans="1:9" x14ac:dyDescent="0.25">
      <c r="A1777" s="16">
        <v>42930</v>
      </c>
      <c r="B1777" s="273" t="s">
        <v>21641</v>
      </c>
      <c r="C1777">
        <v>119931</v>
      </c>
      <c r="D1777" s="236" t="s">
        <v>15526</v>
      </c>
      <c r="E1777" s="15">
        <v>4064.1</v>
      </c>
      <c r="F1777" s="274">
        <v>42930</v>
      </c>
      <c r="G1777" s="15">
        <v>4064.1</v>
      </c>
      <c r="H1777" s="15">
        <f>Tabla1[[#This Row],[Importe]]-Tabla1[[#This Row],[Pagado]]</f>
        <v>0</v>
      </c>
      <c r="I1777" s="275" t="s">
        <v>15214</v>
      </c>
    </row>
    <row r="1778" spans="1:9" x14ac:dyDescent="0.25">
      <c r="A1778" s="16">
        <v>42930</v>
      </c>
      <c r="B1778" s="273" t="s">
        <v>21642</v>
      </c>
      <c r="C1778">
        <v>119932</v>
      </c>
      <c r="D1778" s="236" t="s">
        <v>15213</v>
      </c>
      <c r="E1778" s="15">
        <v>1204.8</v>
      </c>
      <c r="F1778" s="274">
        <v>42933</v>
      </c>
      <c r="G1778" s="15">
        <v>1204.8</v>
      </c>
      <c r="H1778" s="15">
        <f>Tabla1[[#This Row],[Importe]]-Tabla1[[#This Row],[Pagado]]</f>
        <v>0</v>
      </c>
      <c r="I1778" s="275" t="s">
        <v>15214</v>
      </c>
    </row>
    <row r="1779" spans="1:9" x14ac:dyDescent="0.25">
      <c r="A1779" s="16">
        <v>42930</v>
      </c>
      <c r="B1779" s="273" t="s">
        <v>21643</v>
      </c>
      <c r="C1779">
        <v>119933</v>
      </c>
      <c r="D1779" s="236" t="s">
        <v>15358</v>
      </c>
      <c r="E1779" s="15">
        <v>4768.2</v>
      </c>
      <c r="F1779" s="274">
        <v>42930</v>
      </c>
      <c r="G1779" s="15">
        <v>4768.2</v>
      </c>
      <c r="H1779" s="15">
        <f>Tabla1[[#This Row],[Importe]]-Tabla1[[#This Row],[Pagado]]</f>
        <v>0</v>
      </c>
      <c r="I1779" s="275" t="s">
        <v>15214</v>
      </c>
    </row>
    <row r="1780" spans="1:9" ht="15.75" x14ac:dyDescent="0.25">
      <c r="A1780" s="16">
        <v>42930</v>
      </c>
      <c r="B1780" s="273" t="s">
        <v>21644</v>
      </c>
      <c r="C1780">
        <v>119934</v>
      </c>
      <c r="D1780" s="248" t="s">
        <v>95</v>
      </c>
      <c r="E1780" s="15">
        <v>0</v>
      </c>
      <c r="F1780" s="277" t="s">
        <v>95</v>
      </c>
      <c r="G1780" s="15">
        <v>0</v>
      </c>
      <c r="H1780" s="15">
        <f>Tabla1[[#This Row],[Importe]]-Tabla1[[#This Row],[Pagado]]</f>
        <v>0</v>
      </c>
      <c r="I1780" s="275" t="s">
        <v>95</v>
      </c>
    </row>
    <row r="1781" spans="1:9" x14ac:dyDescent="0.25">
      <c r="A1781" s="16">
        <v>42930</v>
      </c>
      <c r="B1781" s="273" t="s">
        <v>21645</v>
      </c>
      <c r="C1781">
        <v>119935</v>
      </c>
      <c r="D1781" s="236" t="s">
        <v>15213</v>
      </c>
      <c r="E1781" s="15">
        <v>3247.2</v>
      </c>
      <c r="F1781" s="274">
        <v>42933</v>
      </c>
      <c r="G1781" s="15">
        <v>3247.2</v>
      </c>
      <c r="H1781" s="15">
        <f>Tabla1[[#This Row],[Importe]]-Tabla1[[#This Row],[Pagado]]</f>
        <v>0</v>
      </c>
      <c r="I1781" s="275" t="s">
        <v>15214</v>
      </c>
    </row>
    <row r="1782" spans="1:9" x14ac:dyDescent="0.25">
      <c r="A1782" s="16">
        <v>42930</v>
      </c>
      <c r="B1782" s="273" t="s">
        <v>21646</v>
      </c>
      <c r="C1782">
        <v>119936</v>
      </c>
      <c r="D1782" s="236" t="s">
        <v>15336</v>
      </c>
      <c r="E1782" s="15">
        <v>7241.4</v>
      </c>
      <c r="F1782" s="274">
        <v>42930</v>
      </c>
      <c r="G1782" s="15">
        <v>7241.4</v>
      </c>
      <c r="H1782" s="15">
        <f>Tabla1[[#This Row],[Importe]]-Tabla1[[#This Row],[Pagado]]</f>
        <v>0</v>
      </c>
      <c r="I1782" s="275" t="s">
        <v>15214</v>
      </c>
    </row>
    <row r="1783" spans="1:9" ht="15.75" x14ac:dyDescent="0.25">
      <c r="A1783" s="16">
        <v>42930</v>
      </c>
      <c r="B1783" s="273" t="s">
        <v>21647</v>
      </c>
      <c r="C1783">
        <v>119937</v>
      </c>
      <c r="D1783" s="248" t="s">
        <v>95</v>
      </c>
      <c r="E1783" s="15">
        <v>0</v>
      </c>
      <c r="F1783" s="277" t="s">
        <v>95</v>
      </c>
      <c r="G1783" s="15">
        <v>0</v>
      </c>
      <c r="H1783" s="15">
        <f>Tabla1[[#This Row],[Importe]]-Tabla1[[#This Row],[Pagado]]</f>
        <v>0</v>
      </c>
      <c r="I1783" s="275" t="s">
        <v>95</v>
      </c>
    </row>
    <row r="1784" spans="1:9" x14ac:dyDescent="0.25">
      <c r="A1784" s="16">
        <v>42930</v>
      </c>
      <c r="B1784" s="273" t="s">
        <v>21648</v>
      </c>
      <c r="C1784">
        <v>119938</v>
      </c>
      <c r="D1784" s="236" t="s">
        <v>15665</v>
      </c>
      <c r="E1784" s="15">
        <v>599.1</v>
      </c>
      <c r="F1784" s="274">
        <v>42930</v>
      </c>
      <c r="G1784" s="15">
        <v>599.1</v>
      </c>
      <c r="H1784" s="15">
        <f>Tabla1[[#This Row],[Importe]]-Tabla1[[#This Row],[Pagado]]</f>
        <v>0</v>
      </c>
      <c r="I1784" s="275" t="s">
        <v>15214</v>
      </c>
    </row>
    <row r="1785" spans="1:9" x14ac:dyDescent="0.25">
      <c r="A1785" s="16">
        <v>42930</v>
      </c>
      <c r="B1785" s="273" t="s">
        <v>21649</v>
      </c>
      <c r="C1785">
        <v>119939</v>
      </c>
      <c r="D1785" s="236" t="s">
        <v>15328</v>
      </c>
      <c r="E1785" s="15">
        <v>43005.599999999999</v>
      </c>
      <c r="F1785" s="274">
        <v>42939</v>
      </c>
      <c r="G1785" s="15">
        <v>43005.599999999999</v>
      </c>
      <c r="H1785" s="15">
        <f>Tabla1[[#This Row],[Importe]]-Tabla1[[#This Row],[Pagado]]</f>
        <v>0</v>
      </c>
      <c r="I1785" s="275" t="s">
        <v>15214</v>
      </c>
    </row>
    <row r="1786" spans="1:9" x14ac:dyDescent="0.25">
      <c r="A1786" s="16">
        <v>42930</v>
      </c>
      <c r="B1786" s="273" t="s">
        <v>21650</v>
      </c>
      <c r="C1786">
        <v>119940</v>
      </c>
      <c r="D1786" s="236" t="s">
        <v>15624</v>
      </c>
      <c r="E1786" s="15">
        <v>36611.769999999997</v>
      </c>
      <c r="F1786" s="274">
        <v>42931</v>
      </c>
      <c r="G1786" s="15">
        <v>36611.769999999997</v>
      </c>
      <c r="H1786" s="15">
        <f>Tabla1[[#This Row],[Importe]]-Tabla1[[#This Row],[Pagado]]</f>
        <v>0</v>
      </c>
      <c r="I1786" s="275" t="s">
        <v>15214</v>
      </c>
    </row>
    <row r="1787" spans="1:9" x14ac:dyDescent="0.25">
      <c r="A1787" s="16">
        <v>42930</v>
      </c>
      <c r="B1787" s="273" t="s">
        <v>21651</v>
      </c>
      <c r="C1787">
        <v>119941</v>
      </c>
      <c r="D1787" s="236" t="s">
        <v>15315</v>
      </c>
      <c r="E1787" s="15">
        <v>700</v>
      </c>
      <c r="F1787" s="274">
        <v>42938</v>
      </c>
      <c r="G1787" s="15">
        <v>700</v>
      </c>
      <c r="H1787" s="15">
        <f>Tabla1[[#This Row],[Importe]]-Tabla1[[#This Row],[Pagado]]</f>
        <v>0</v>
      </c>
      <c r="I1787" s="275" t="s">
        <v>15214</v>
      </c>
    </row>
    <row r="1788" spans="1:9" x14ac:dyDescent="0.25">
      <c r="A1788" s="16">
        <v>42930</v>
      </c>
      <c r="B1788" s="273" t="s">
        <v>21652</v>
      </c>
      <c r="C1788">
        <v>119942</v>
      </c>
      <c r="D1788" s="236" t="s">
        <v>15987</v>
      </c>
      <c r="E1788" s="15">
        <v>3894</v>
      </c>
      <c r="F1788" s="274">
        <v>42930</v>
      </c>
      <c r="G1788" s="15">
        <v>3894</v>
      </c>
      <c r="H1788" s="15">
        <f>Tabla1[[#This Row],[Importe]]-Tabla1[[#This Row],[Pagado]]</f>
        <v>0</v>
      </c>
      <c r="I1788" s="275" t="s">
        <v>15214</v>
      </c>
    </row>
    <row r="1789" spans="1:9" x14ac:dyDescent="0.25">
      <c r="A1789" s="16">
        <v>42930</v>
      </c>
      <c r="B1789" s="273" t="s">
        <v>21653</v>
      </c>
      <c r="C1789">
        <v>119943</v>
      </c>
      <c r="D1789" s="236" t="s">
        <v>19768</v>
      </c>
      <c r="E1789" s="15">
        <v>1650</v>
      </c>
      <c r="F1789" s="274">
        <v>42930</v>
      </c>
      <c r="G1789" s="15">
        <v>1650</v>
      </c>
      <c r="H1789" s="15">
        <f>Tabla1[[#This Row],[Importe]]-Tabla1[[#This Row],[Pagado]]</f>
        <v>0</v>
      </c>
      <c r="I1789" s="275" t="s">
        <v>15214</v>
      </c>
    </row>
    <row r="1790" spans="1:9" x14ac:dyDescent="0.25">
      <c r="A1790" s="16">
        <v>42930</v>
      </c>
      <c r="B1790" s="273" t="s">
        <v>21654</v>
      </c>
      <c r="C1790">
        <v>119944</v>
      </c>
      <c r="D1790" s="236" t="s">
        <v>16048</v>
      </c>
      <c r="E1790" s="15">
        <v>1362.2</v>
      </c>
      <c r="F1790" s="274">
        <v>42930</v>
      </c>
      <c r="G1790" s="15">
        <v>1362.2</v>
      </c>
      <c r="H1790" s="15">
        <f>Tabla1[[#This Row],[Importe]]-Tabla1[[#This Row],[Pagado]]</f>
        <v>0</v>
      </c>
      <c r="I1790" s="275" t="s">
        <v>15214</v>
      </c>
    </row>
    <row r="1791" spans="1:9" x14ac:dyDescent="0.25">
      <c r="A1791" s="16">
        <v>42930</v>
      </c>
      <c r="B1791" s="273" t="s">
        <v>21655</v>
      </c>
      <c r="C1791">
        <v>119945</v>
      </c>
      <c r="D1791" s="236" t="s">
        <v>15284</v>
      </c>
      <c r="E1791" s="15">
        <v>692.6</v>
      </c>
      <c r="F1791" s="274">
        <v>42930</v>
      </c>
      <c r="G1791" s="15">
        <v>692.6</v>
      </c>
      <c r="H1791" s="15">
        <f>Tabla1[[#This Row],[Importe]]-Tabla1[[#This Row],[Pagado]]</f>
        <v>0</v>
      </c>
      <c r="I1791" s="275" t="s">
        <v>15214</v>
      </c>
    </row>
    <row r="1792" spans="1:9" x14ac:dyDescent="0.25">
      <c r="A1792" s="16">
        <v>42930</v>
      </c>
      <c r="B1792" s="273" t="s">
        <v>21656</v>
      </c>
      <c r="C1792">
        <v>119946</v>
      </c>
      <c r="D1792" s="236" t="s">
        <v>15818</v>
      </c>
      <c r="E1792" s="15">
        <v>4947.6000000000004</v>
      </c>
      <c r="F1792" s="274">
        <v>42930</v>
      </c>
      <c r="G1792" s="15">
        <v>4947.6000000000004</v>
      </c>
      <c r="H1792" s="15">
        <f>Tabla1[[#This Row],[Importe]]-Tabla1[[#This Row],[Pagado]]</f>
        <v>0</v>
      </c>
      <c r="I1792" s="275" t="s">
        <v>15214</v>
      </c>
    </row>
    <row r="1793" spans="1:9" x14ac:dyDescent="0.25">
      <c r="A1793" s="16">
        <v>42930</v>
      </c>
      <c r="B1793" s="273" t="s">
        <v>21657</v>
      </c>
      <c r="C1793">
        <v>119947</v>
      </c>
      <c r="D1793" s="236" t="s">
        <v>15716</v>
      </c>
      <c r="E1793" s="15">
        <v>6644</v>
      </c>
      <c r="F1793" s="274">
        <v>42930</v>
      </c>
      <c r="G1793" s="15">
        <v>6644</v>
      </c>
      <c r="H1793" s="15">
        <f>Tabla1[[#This Row],[Importe]]-Tabla1[[#This Row],[Pagado]]</f>
        <v>0</v>
      </c>
      <c r="I1793" s="275" t="s">
        <v>15214</v>
      </c>
    </row>
    <row r="1794" spans="1:9" x14ac:dyDescent="0.25">
      <c r="A1794" s="16">
        <v>42930</v>
      </c>
      <c r="B1794" s="273" t="s">
        <v>21658</v>
      </c>
      <c r="C1794">
        <v>119948</v>
      </c>
      <c r="D1794" s="236" t="s">
        <v>15322</v>
      </c>
      <c r="E1794" s="15">
        <v>3541.2</v>
      </c>
      <c r="F1794" s="274">
        <v>42930</v>
      </c>
      <c r="G1794" s="15">
        <v>3541.2</v>
      </c>
      <c r="H1794" s="15">
        <f>Tabla1[[#This Row],[Importe]]-Tabla1[[#This Row],[Pagado]]</f>
        <v>0</v>
      </c>
      <c r="I1794" s="275" t="s">
        <v>15214</v>
      </c>
    </row>
    <row r="1795" spans="1:9" x14ac:dyDescent="0.25">
      <c r="A1795" s="16">
        <v>42930</v>
      </c>
      <c r="B1795" s="273" t="s">
        <v>21659</v>
      </c>
      <c r="C1795">
        <v>119949</v>
      </c>
      <c r="D1795" s="236" t="s">
        <v>19933</v>
      </c>
      <c r="E1795" s="15">
        <v>2076.4</v>
      </c>
      <c r="F1795" s="274">
        <v>42930</v>
      </c>
      <c r="G1795" s="15">
        <v>2076.4</v>
      </c>
      <c r="H1795" s="15">
        <f>Tabla1[[#This Row],[Importe]]-Tabla1[[#This Row],[Pagado]]</f>
        <v>0</v>
      </c>
      <c r="I1795" s="275" t="s">
        <v>15214</v>
      </c>
    </row>
    <row r="1796" spans="1:9" x14ac:dyDescent="0.25">
      <c r="A1796" s="16">
        <v>42930</v>
      </c>
      <c r="B1796" s="273" t="s">
        <v>21660</v>
      </c>
      <c r="C1796">
        <v>119950</v>
      </c>
      <c r="D1796" s="236" t="s">
        <v>15263</v>
      </c>
      <c r="E1796" s="15">
        <v>399</v>
      </c>
      <c r="F1796" s="274">
        <v>42930</v>
      </c>
      <c r="G1796" s="15">
        <v>399</v>
      </c>
      <c r="H1796" s="15">
        <f>Tabla1[[#This Row],[Importe]]-Tabla1[[#This Row],[Pagado]]</f>
        <v>0</v>
      </c>
      <c r="I1796" s="275" t="s">
        <v>15214</v>
      </c>
    </row>
    <row r="1797" spans="1:9" x14ac:dyDescent="0.25">
      <c r="A1797" s="16">
        <v>42930</v>
      </c>
      <c r="B1797" s="273" t="s">
        <v>21661</v>
      </c>
      <c r="C1797">
        <v>119951</v>
      </c>
      <c r="D1797" s="236" t="s">
        <v>15263</v>
      </c>
      <c r="E1797" s="15">
        <v>194.4</v>
      </c>
      <c r="F1797" s="274">
        <v>42930</v>
      </c>
      <c r="G1797" s="15">
        <v>194.4</v>
      </c>
      <c r="H1797" s="15">
        <f>Tabla1[[#This Row],[Importe]]-Tabla1[[#This Row],[Pagado]]</f>
        <v>0</v>
      </c>
      <c r="I1797" s="275" t="s">
        <v>15214</v>
      </c>
    </row>
    <row r="1798" spans="1:9" x14ac:dyDescent="0.25">
      <c r="A1798" s="16">
        <v>42930</v>
      </c>
      <c r="B1798" s="273" t="s">
        <v>21662</v>
      </c>
      <c r="C1798">
        <v>119952</v>
      </c>
      <c r="D1798" s="236" t="s">
        <v>16129</v>
      </c>
      <c r="E1798" s="15">
        <v>3931.2</v>
      </c>
      <c r="F1798" s="274">
        <v>42930</v>
      </c>
      <c r="G1798" s="15">
        <v>3931.2</v>
      </c>
      <c r="H1798" s="15">
        <f>Tabla1[[#This Row],[Importe]]-Tabla1[[#This Row],[Pagado]]</f>
        <v>0</v>
      </c>
      <c r="I1798" s="275" t="s">
        <v>15214</v>
      </c>
    </row>
    <row r="1799" spans="1:9" x14ac:dyDescent="0.25">
      <c r="A1799" s="16">
        <v>42930</v>
      </c>
      <c r="B1799" s="273" t="s">
        <v>21663</v>
      </c>
      <c r="C1799">
        <v>119953</v>
      </c>
      <c r="D1799" s="236" t="s">
        <v>15407</v>
      </c>
      <c r="E1799" s="15">
        <v>4217.1000000000004</v>
      </c>
      <c r="F1799" s="274">
        <v>42930</v>
      </c>
      <c r="G1799" s="15">
        <v>4217.1000000000004</v>
      </c>
      <c r="H1799" s="15">
        <f>Tabla1[[#This Row],[Importe]]-Tabla1[[#This Row],[Pagado]]</f>
        <v>0</v>
      </c>
      <c r="I1799" s="275" t="s">
        <v>15214</v>
      </c>
    </row>
    <row r="1800" spans="1:9" x14ac:dyDescent="0.25">
      <c r="A1800" s="16">
        <v>42930</v>
      </c>
      <c r="B1800" s="273" t="s">
        <v>21664</v>
      </c>
      <c r="C1800">
        <v>119954</v>
      </c>
      <c r="D1800" s="236" t="s">
        <v>15315</v>
      </c>
      <c r="E1800" s="15">
        <v>2200</v>
      </c>
      <c r="F1800" s="274">
        <v>42930</v>
      </c>
      <c r="G1800" s="15">
        <v>2200</v>
      </c>
      <c r="H1800" s="15">
        <f>Tabla1[[#This Row],[Importe]]-Tabla1[[#This Row],[Pagado]]</f>
        <v>0</v>
      </c>
      <c r="I1800" s="275" t="s">
        <v>15214</v>
      </c>
    </row>
    <row r="1801" spans="1:9" x14ac:dyDescent="0.25">
      <c r="A1801" s="16">
        <v>42930</v>
      </c>
      <c r="B1801" s="273" t="s">
        <v>21665</v>
      </c>
      <c r="C1801">
        <v>119955</v>
      </c>
      <c r="D1801" s="236" t="s">
        <v>15636</v>
      </c>
      <c r="E1801" s="15">
        <v>8820</v>
      </c>
      <c r="F1801" s="274">
        <v>42931</v>
      </c>
      <c r="G1801" s="15">
        <v>8820</v>
      </c>
      <c r="H1801" s="15">
        <f>Tabla1[[#This Row],[Importe]]-Tabla1[[#This Row],[Pagado]]</f>
        <v>0</v>
      </c>
      <c r="I1801" s="275" t="s">
        <v>15214</v>
      </c>
    </row>
    <row r="1802" spans="1:9" x14ac:dyDescent="0.25">
      <c r="A1802" s="16">
        <v>42930</v>
      </c>
      <c r="B1802" s="273" t="s">
        <v>21666</v>
      </c>
      <c r="C1802">
        <v>119956</v>
      </c>
      <c r="D1802" s="236" t="s">
        <v>15404</v>
      </c>
      <c r="E1802" s="15">
        <v>21005.599999999999</v>
      </c>
      <c r="F1802" s="274">
        <v>42931</v>
      </c>
      <c r="G1802" s="15">
        <v>21005.599999999999</v>
      </c>
      <c r="H1802" s="15">
        <f>Tabla1[[#This Row],[Importe]]-Tabla1[[#This Row],[Pagado]]</f>
        <v>0</v>
      </c>
      <c r="I1802" s="275" t="s">
        <v>15214</v>
      </c>
    </row>
    <row r="1803" spans="1:9" x14ac:dyDescent="0.25">
      <c r="A1803" s="16">
        <v>42930</v>
      </c>
      <c r="B1803" s="273" t="s">
        <v>21667</v>
      </c>
      <c r="C1803">
        <v>119957</v>
      </c>
      <c r="D1803" s="236" t="s">
        <v>15315</v>
      </c>
      <c r="E1803" s="15">
        <v>507.6</v>
      </c>
      <c r="F1803" s="274">
        <v>42930</v>
      </c>
      <c r="G1803" s="15">
        <v>507.6</v>
      </c>
      <c r="H1803" s="15">
        <f>Tabla1[[#This Row],[Importe]]-Tabla1[[#This Row],[Pagado]]</f>
        <v>0</v>
      </c>
      <c r="I1803" s="275" t="s">
        <v>15214</v>
      </c>
    </row>
    <row r="1804" spans="1:9" x14ac:dyDescent="0.25">
      <c r="A1804" s="16">
        <v>42930</v>
      </c>
      <c r="B1804" s="273" t="s">
        <v>21668</v>
      </c>
      <c r="C1804">
        <v>119958</v>
      </c>
      <c r="D1804" s="236" t="s">
        <v>15226</v>
      </c>
      <c r="E1804" s="15">
        <v>3374.4</v>
      </c>
      <c r="F1804" s="274">
        <v>42933</v>
      </c>
      <c r="G1804" s="15">
        <v>3374.4</v>
      </c>
      <c r="H1804" s="15">
        <f>Tabla1[[#This Row],[Importe]]-Tabla1[[#This Row],[Pagado]]</f>
        <v>0</v>
      </c>
      <c r="I1804" s="275" t="s">
        <v>15214</v>
      </c>
    </row>
    <row r="1805" spans="1:9" ht="15.75" x14ac:dyDescent="0.25">
      <c r="A1805" s="16">
        <v>42930</v>
      </c>
      <c r="B1805" s="273" t="s">
        <v>21669</v>
      </c>
      <c r="C1805">
        <v>119959</v>
      </c>
      <c r="D1805" s="248" t="s">
        <v>95</v>
      </c>
      <c r="E1805" s="15">
        <v>0</v>
      </c>
      <c r="F1805" s="277" t="s">
        <v>95</v>
      </c>
      <c r="G1805" s="15">
        <v>0</v>
      </c>
      <c r="H1805" s="15">
        <f>Tabla1[[#This Row],[Importe]]-Tabla1[[#This Row],[Pagado]]</f>
        <v>0</v>
      </c>
      <c r="I1805" s="275" t="s">
        <v>95</v>
      </c>
    </row>
    <row r="1806" spans="1:9" x14ac:dyDescent="0.25">
      <c r="A1806" s="16">
        <v>42930</v>
      </c>
      <c r="B1806" s="273" t="s">
        <v>21670</v>
      </c>
      <c r="C1806">
        <v>119960</v>
      </c>
      <c r="D1806" s="236" t="s">
        <v>15267</v>
      </c>
      <c r="E1806" s="15">
        <v>9344.7999999999993</v>
      </c>
      <c r="F1806" s="274">
        <v>42930</v>
      </c>
      <c r="G1806" s="15">
        <v>9344.7999999999993</v>
      </c>
      <c r="H1806" s="15">
        <f>Tabla1[[#This Row],[Importe]]-Tabla1[[#This Row],[Pagado]]</f>
        <v>0</v>
      </c>
      <c r="I1806" s="275" t="s">
        <v>15214</v>
      </c>
    </row>
    <row r="1807" spans="1:9" x14ac:dyDescent="0.25">
      <c r="A1807" s="16">
        <v>42930</v>
      </c>
      <c r="B1807" s="273" t="s">
        <v>21671</v>
      </c>
      <c r="C1807">
        <v>119961</v>
      </c>
      <c r="D1807" s="236" t="s">
        <v>15246</v>
      </c>
      <c r="E1807" s="15">
        <v>299130.84999999998</v>
      </c>
      <c r="F1807" s="274">
        <v>42933</v>
      </c>
      <c r="G1807" s="15">
        <v>299130.84999999998</v>
      </c>
      <c r="H1807" s="15">
        <f>Tabla1[[#This Row],[Importe]]-Tabla1[[#This Row],[Pagado]]</f>
        <v>0</v>
      </c>
      <c r="I1807" s="275" t="s">
        <v>15214</v>
      </c>
    </row>
    <row r="1808" spans="1:9" x14ac:dyDescent="0.25">
      <c r="A1808" s="16">
        <v>42930</v>
      </c>
      <c r="B1808" s="273" t="s">
        <v>21672</v>
      </c>
      <c r="C1808">
        <v>119962</v>
      </c>
      <c r="D1808" s="236" t="s">
        <v>15423</v>
      </c>
      <c r="E1808" s="15">
        <v>2112.6</v>
      </c>
      <c r="F1808" s="274">
        <v>42930</v>
      </c>
      <c r="G1808" s="15">
        <v>2112.6</v>
      </c>
      <c r="H1808" s="15">
        <f>Tabla1[[#This Row],[Importe]]-Tabla1[[#This Row],[Pagado]]</f>
        <v>0</v>
      </c>
      <c r="I1808" s="275" t="s">
        <v>15214</v>
      </c>
    </row>
    <row r="1809" spans="1:9" x14ac:dyDescent="0.25">
      <c r="A1809" s="16">
        <v>42930</v>
      </c>
      <c r="B1809" s="273" t="s">
        <v>21673</v>
      </c>
      <c r="C1809">
        <v>119963</v>
      </c>
      <c r="D1809" s="236" t="s">
        <v>17722</v>
      </c>
      <c r="E1809" s="15">
        <v>3121.2</v>
      </c>
      <c r="F1809" s="274">
        <v>42930</v>
      </c>
      <c r="G1809" s="15">
        <v>3121.2</v>
      </c>
      <c r="H1809" s="15">
        <f>Tabla1[[#This Row],[Importe]]-Tabla1[[#This Row],[Pagado]]</f>
        <v>0</v>
      </c>
      <c r="I1809" s="275" t="s">
        <v>15214</v>
      </c>
    </row>
    <row r="1810" spans="1:9" x14ac:dyDescent="0.25">
      <c r="A1810" s="16">
        <v>42930</v>
      </c>
      <c r="B1810" s="273" t="s">
        <v>21674</v>
      </c>
      <c r="C1810">
        <v>119964</v>
      </c>
      <c r="D1810" s="236" t="s">
        <v>15365</v>
      </c>
      <c r="E1810" s="15">
        <v>21376.9</v>
      </c>
      <c r="F1810" s="274">
        <v>42931</v>
      </c>
      <c r="G1810" s="15">
        <v>21376.9</v>
      </c>
      <c r="H1810" s="15">
        <f>Tabla1[[#This Row],[Importe]]-Tabla1[[#This Row],[Pagado]]</f>
        <v>0</v>
      </c>
      <c r="I1810" s="275" t="s">
        <v>15214</v>
      </c>
    </row>
    <row r="1811" spans="1:9" ht="15.75" x14ac:dyDescent="0.25">
      <c r="A1811" s="16">
        <v>42930</v>
      </c>
      <c r="B1811" s="273" t="s">
        <v>21675</v>
      </c>
      <c r="C1811">
        <v>119965</v>
      </c>
      <c r="D1811" s="248" t="s">
        <v>95</v>
      </c>
      <c r="E1811" s="15">
        <v>0</v>
      </c>
      <c r="F1811" s="277" t="s">
        <v>95</v>
      </c>
      <c r="G1811" s="15">
        <v>0</v>
      </c>
      <c r="H1811" s="15">
        <f>Tabla1[[#This Row],[Importe]]-Tabla1[[#This Row],[Pagado]]</f>
        <v>0</v>
      </c>
      <c r="I1811" s="275" t="s">
        <v>95</v>
      </c>
    </row>
    <row r="1812" spans="1:9" x14ac:dyDescent="0.25">
      <c r="A1812" s="16">
        <v>42930</v>
      </c>
      <c r="B1812" s="273" t="s">
        <v>21676</v>
      </c>
      <c r="C1812">
        <v>119966</v>
      </c>
      <c r="D1812" s="236" t="s">
        <v>15442</v>
      </c>
      <c r="E1812" s="15">
        <v>2817.6</v>
      </c>
      <c r="F1812" s="274">
        <v>42930</v>
      </c>
      <c r="G1812" s="15">
        <v>2817.6</v>
      </c>
      <c r="H1812" s="15">
        <f>Tabla1[[#This Row],[Importe]]-Tabla1[[#This Row],[Pagado]]</f>
        <v>0</v>
      </c>
      <c r="I1812" s="275" t="s">
        <v>15214</v>
      </c>
    </row>
    <row r="1813" spans="1:9" x14ac:dyDescent="0.25">
      <c r="A1813" s="16">
        <v>42930</v>
      </c>
      <c r="B1813" s="273" t="s">
        <v>21677</v>
      </c>
      <c r="C1813">
        <v>119967</v>
      </c>
      <c r="D1813" s="236" t="s">
        <v>15433</v>
      </c>
      <c r="E1813" s="15">
        <v>2696.5</v>
      </c>
      <c r="F1813" s="274">
        <v>42930</v>
      </c>
      <c r="G1813" s="15">
        <v>2696.5</v>
      </c>
      <c r="H1813" s="15">
        <f>Tabla1[[#This Row],[Importe]]-Tabla1[[#This Row],[Pagado]]</f>
        <v>0</v>
      </c>
      <c r="I1813" s="275" t="s">
        <v>15214</v>
      </c>
    </row>
    <row r="1814" spans="1:9" x14ac:dyDescent="0.25">
      <c r="A1814" s="16">
        <v>42930</v>
      </c>
      <c r="B1814" s="273" t="s">
        <v>21678</v>
      </c>
      <c r="C1814">
        <v>119968</v>
      </c>
      <c r="D1814" s="236" t="s">
        <v>15246</v>
      </c>
      <c r="E1814" s="15">
        <v>86117.4</v>
      </c>
      <c r="F1814" s="274">
        <v>42933</v>
      </c>
      <c r="G1814" s="15">
        <v>86117.4</v>
      </c>
      <c r="H1814" s="15">
        <f>Tabla1[[#This Row],[Importe]]-Tabla1[[#This Row],[Pagado]]</f>
        <v>0</v>
      </c>
      <c r="I1814" s="275" t="s">
        <v>15214</v>
      </c>
    </row>
    <row r="1815" spans="1:9" x14ac:dyDescent="0.25">
      <c r="A1815" s="16">
        <v>42930</v>
      </c>
      <c r="B1815" s="273" t="s">
        <v>21679</v>
      </c>
      <c r="C1815">
        <v>119969</v>
      </c>
      <c r="D1815" s="236" t="s">
        <v>19699</v>
      </c>
      <c r="E1815" s="15">
        <v>1806</v>
      </c>
      <c r="F1815" s="274">
        <v>42930</v>
      </c>
      <c r="G1815" s="15">
        <v>1806</v>
      </c>
      <c r="H1815" s="15">
        <f>Tabla1[[#This Row],[Importe]]-Tabla1[[#This Row],[Pagado]]</f>
        <v>0</v>
      </c>
      <c r="I1815" s="275" t="s">
        <v>15214</v>
      </c>
    </row>
    <row r="1816" spans="1:9" x14ac:dyDescent="0.25">
      <c r="A1816" s="16">
        <v>42930</v>
      </c>
      <c r="B1816" s="273" t="s">
        <v>21680</v>
      </c>
      <c r="C1816">
        <v>119970</v>
      </c>
      <c r="D1816" s="236" t="s">
        <v>19699</v>
      </c>
      <c r="E1816" s="15">
        <v>1650</v>
      </c>
      <c r="F1816" s="274">
        <v>42930</v>
      </c>
      <c r="G1816" s="15">
        <v>1650</v>
      </c>
      <c r="H1816" s="15">
        <f>Tabla1[[#This Row],[Importe]]-Tabla1[[#This Row],[Pagado]]</f>
        <v>0</v>
      </c>
      <c r="I1816" s="275" t="s">
        <v>15214</v>
      </c>
    </row>
    <row r="1817" spans="1:9" x14ac:dyDescent="0.25">
      <c r="A1817" s="16">
        <v>42930</v>
      </c>
      <c r="B1817" s="273" t="s">
        <v>21681</v>
      </c>
      <c r="C1817">
        <v>119971</v>
      </c>
      <c r="D1817" s="236" t="s">
        <v>15315</v>
      </c>
      <c r="E1817" s="15">
        <v>973.8</v>
      </c>
      <c r="F1817" s="274">
        <v>42930</v>
      </c>
      <c r="G1817" s="15">
        <v>973.8</v>
      </c>
      <c r="H1817" s="15">
        <f>Tabla1[[#This Row],[Importe]]-Tabla1[[#This Row],[Pagado]]</f>
        <v>0</v>
      </c>
      <c r="I1817" s="275" t="s">
        <v>15214</v>
      </c>
    </row>
    <row r="1818" spans="1:9" x14ac:dyDescent="0.25">
      <c r="A1818" s="16">
        <v>42930</v>
      </c>
      <c r="B1818" s="273" t="s">
        <v>21682</v>
      </c>
      <c r="C1818">
        <v>119972</v>
      </c>
      <c r="D1818" s="236" t="s">
        <v>15435</v>
      </c>
      <c r="E1818" s="15">
        <v>7308</v>
      </c>
      <c r="F1818" s="274">
        <v>42930</v>
      </c>
      <c r="G1818" s="15">
        <v>7308</v>
      </c>
      <c r="H1818" s="15">
        <f>Tabla1[[#This Row],[Importe]]-Tabla1[[#This Row],[Pagado]]</f>
        <v>0</v>
      </c>
      <c r="I1818" s="275" t="s">
        <v>15214</v>
      </c>
    </row>
    <row r="1819" spans="1:9" x14ac:dyDescent="0.25">
      <c r="A1819" s="16">
        <v>42930</v>
      </c>
      <c r="B1819" s="273" t="s">
        <v>21683</v>
      </c>
      <c r="C1819">
        <v>119973</v>
      </c>
      <c r="D1819" s="236" t="s">
        <v>19933</v>
      </c>
      <c r="E1819" s="15">
        <v>382.8</v>
      </c>
      <c r="F1819" s="274">
        <v>42930</v>
      </c>
      <c r="G1819" s="15">
        <v>382.8</v>
      </c>
      <c r="H1819" s="15">
        <f>Tabla1[[#This Row],[Importe]]-Tabla1[[#This Row],[Pagado]]</f>
        <v>0</v>
      </c>
      <c r="I1819" s="275" t="s">
        <v>15214</v>
      </c>
    </row>
    <row r="1820" spans="1:9" x14ac:dyDescent="0.25">
      <c r="A1820" s="16">
        <v>42930</v>
      </c>
      <c r="B1820" s="273" t="s">
        <v>21684</v>
      </c>
      <c r="C1820">
        <v>119974</v>
      </c>
      <c r="D1820" s="236" t="s">
        <v>15448</v>
      </c>
      <c r="E1820" s="15">
        <v>9796.7999999999993</v>
      </c>
      <c r="F1820" s="274">
        <v>42960</v>
      </c>
      <c r="G1820" s="15">
        <v>9796.7999999999993</v>
      </c>
      <c r="H1820" s="15">
        <f>Tabla1[[#This Row],[Importe]]-Tabla1[[#This Row],[Pagado]]</f>
        <v>0</v>
      </c>
      <c r="I1820" s="275" t="s">
        <v>15214</v>
      </c>
    </row>
    <row r="1821" spans="1:9" x14ac:dyDescent="0.25">
      <c r="A1821" s="16">
        <v>42930</v>
      </c>
      <c r="B1821" s="273" t="s">
        <v>21685</v>
      </c>
      <c r="C1821">
        <v>119975</v>
      </c>
      <c r="D1821" s="236" t="s">
        <v>19765</v>
      </c>
      <c r="E1821" s="15">
        <v>3500</v>
      </c>
      <c r="F1821" s="274">
        <v>42931</v>
      </c>
      <c r="G1821" s="15">
        <v>3500</v>
      </c>
      <c r="H1821" s="15">
        <f>Tabla1[[#This Row],[Importe]]-Tabla1[[#This Row],[Pagado]]</f>
        <v>0</v>
      </c>
      <c r="I1821" s="275" t="s">
        <v>15214</v>
      </c>
    </row>
    <row r="1822" spans="1:9" x14ac:dyDescent="0.25">
      <c r="A1822" s="16">
        <v>42930</v>
      </c>
      <c r="B1822" s="273" t="s">
        <v>21686</v>
      </c>
      <c r="C1822">
        <v>119976</v>
      </c>
      <c r="D1822" s="236" t="s">
        <v>15642</v>
      </c>
      <c r="E1822" s="15">
        <v>7492.8</v>
      </c>
      <c r="F1822" s="274">
        <v>42930</v>
      </c>
      <c r="G1822" s="15">
        <v>7492.8</v>
      </c>
      <c r="H1822" s="15">
        <f>Tabla1[[#This Row],[Importe]]-Tabla1[[#This Row],[Pagado]]</f>
        <v>0</v>
      </c>
      <c r="I1822" s="275" t="s">
        <v>15214</v>
      </c>
    </row>
    <row r="1823" spans="1:9" x14ac:dyDescent="0.25">
      <c r="A1823" s="16">
        <v>42930</v>
      </c>
      <c r="B1823" s="273" t="s">
        <v>21687</v>
      </c>
      <c r="C1823">
        <v>119977</v>
      </c>
      <c r="D1823" s="236" t="s">
        <v>15365</v>
      </c>
      <c r="E1823" s="15">
        <v>470960</v>
      </c>
      <c r="F1823" s="274">
        <v>42936</v>
      </c>
      <c r="G1823" s="15">
        <v>470960</v>
      </c>
      <c r="H1823" s="15">
        <f>Tabla1[[#This Row],[Importe]]-Tabla1[[#This Row],[Pagado]]</f>
        <v>0</v>
      </c>
      <c r="I1823" s="275" t="s">
        <v>15214</v>
      </c>
    </row>
    <row r="1824" spans="1:9" ht="15.75" x14ac:dyDescent="0.25">
      <c r="A1824" s="16">
        <v>42930</v>
      </c>
      <c r="B1824" s="273" t="s">
        <v>21688</v>
      </c>
      <c r="C1824">
        <v>119978</v>
      </c>
      <c r="D1824" s="248" t="s">
        <v>95</v>
      </c>
      <c r="E1824" s="15">
        <v>0</v>
      </c>
      <c r="F1824" s="277" t="s">
        <v>95</v>
      </c>
      <c r="G1824" s="15">
        <v>0</v>
      </c>
      <c r="H1824" s="15">
        <f>Tabla1[[#This Row],[Importe]]-Tabla1[[#This Row],[Pagado]]</f>
        <v>0</v>
      </c>
      <c r="I1824" s="275" t="s">
        <v>95</v>
      </c>
    </row>
    <row r="1825" spans="1:9" x14ac:dyDescent="0.25">
      <c r="A1825" s="16">
        <v>42930</v>
      </c>
      <c r="B1825" s="273" t="s">
        <v>21689</v>
      </c>
      <c r="C1825">
        <v>119979</v>
      </c>
      <c r="D1825" s="236" t="s">
        <v>15644</v>
      </c>
      <c r="E1825" s="15">
        <v>4303.6000000000004</v>
      </c>
      <c r="F1825" s="274">
        <v>42933</v>
      </c>
      <c r="G1825" s="15">
        <v>4303.6000000000004</v>
      </c>
      <c r="H1825" s="15">
        <f>Tabla1[[#This Row],[Importe]]-Tabla1[[#This Row],[Pagado]]</f>
        <v>0</v>
      </c>
      <c r="I1825" s="275" t="s">
        <v>15214</v>
      </c>
    </row>
    <row r="1826" spans="1:9" x14ac:dyDescent="0.25">
      <c r="A1826" s="16">
        <v>42930</v>
      </c>
      <c r="B1826" s="273" t="s">
        <v>21690</v>
      </c>
      <c r="C1826">
        <v>119980</v>
      </c>
      <c r="D1826" s="236" t="s">
        <v>15246</v>
      </c>
      <c r="E1826" s="15">
        <v>78765.600000000006</v>
      </c>
      <c r="F1826" s="274">
        <v>42933</v>
      </c>
      <c r="G1826" s="15">
        <v>78765.600000000006</v>
      </c>
      <c r="H1826" s="15">
        <f>Tabla1[[#This Row],[Importe]]-Tabla1[[#This Row],[Pagado]]</f>
        <v>0</v>
      </c>
      <c r="I1826" s="275" t="s">
        <v>15214</v>
      </c>
    </row>
    <row r="1827" spans="1:9" x14ac:dyDescent="0.25">
      <c r="A1827" s="16">
        <v>42930</v>
      </c>
      <c r="B1827" s="273" t="s">
        <v>21691</v>
      </c>
      <c r="C1827">
        <v>119981</v>
      </c>
      <c r="D1827" s="236" t="s">
        <v>15315</v>
      </c>
      <c r="E1827" s="15">
        <v>2479.1999999999998</v>
      </c>
      <c r="F1827" s="274">
        <v>42933</v>
      </c>
      <c r="G1827" s="15">
        <v>2479.1999999999998</v>
      </c>
      <c r="H1827" s="15">
        <f>Tabla1[[#This Row],[Importe]]-Tabla1[[#This Row],[Pagado]]</f>
        <v>0</v>
      </c>
      <c r="I1827" s="275" t="s">
        <v>15214</v>
      </c>
    </row>
    <row r="1828" spans="1:9" x14ac:dyDescent="0.25">
      <c r="A1828" s="16">
        <v>42930</v>
      </c>
      <c r="B1828" s="273" t="s">
        <v>21692</v>
      </c>
      <c r="C1828">
        <v>119982</v>
      </c>
      <c r="D1828" s="236" t="s">
        <v>15315</v>
      </c>
      <c r="E1828" s="15">
        <v>267.8</v>
      </c>
      <c r="F1828" s="274">
        <v>42933</v>
      </c>
      <c r="G1828" s="15">
        <v>267.8</v>
      </c>
      <c r="H1828" s="15">
        <f>Tabla1[[#This Row],[Importe]]-Tabla1[[#This Row],[Pagado]]</f>
        <v>0</v>
      </c>
      <c r="I1828" s="275" t="s">
        <v>15214</v>
      </c>
    </row>
    <row r="1829" spans="1:9" x14ac:dyDescent="0.25">
      <c r="A1829" s="16">
        <v>42930</v>
      </c>
      <c r="B1829" s="273" t="s">
        <v>21693</v>
      </c>
      <c r="C1829">
        <v>119983</v>
      </c>
      <c r="D1829" s="236" t="s">
        <v>15250</v>
      </c>
      <c r="E1829" s="15">
        <v>84655.72</v>
      </c>
      <c r="F1829" s="274">
        <v>42939</v>
      </c>
      <c r="G1829" s="15">
        <v>84655.72</v>
      </c>
      <c r="H1829" s="15">
        <f>Tabla1[[#This Row],[Importe]]-Tabla1[[#This Row],[Pagado]]</f>
        <v>0</v>
      </c>
      <c r="I1829" s="275" t="s">
        <v>15214</v>
      </c>
    </row>
    <row r="1830" spans="1:9" x14ac:dyDescent="0.25">
      <c r="A1830" s="16">
        <v>42930</v>
      </c>
      <c r="B1830" s="273" t="s">
        <v>21694</v>
      </c>
      <c r="C1830">
        <v>119984</v>
      </c>
      <c r="D1830" s="236" t="s">
        <v>15642</v>
      </c>
      <c r="E1830" s="15">
        <v>1165.5</v>
      </c>
      <c r="F1830" s="274">
        <v>42930</v>
      </c>
      <c r="G1830" s="15">
        <v>1165.5</v>
      </c>
      <c r="H1830" s="15">
        <f>Tabla1[[#This Row],[Importe]]-Tabla1[[#This Row],[Pagado]]</f>
        <v>0</v>
      </c>
      <c r="I1830" s="275" t="s">
        <v>15214</v>
      </c>
    </row>
    <row r="1831" spans="1:9" x14ac:dyDescent="0.25">
      <c r="A1831" s="16">
        <v>42931</v>
      </c>
      <c r="B1831" s="273" t="s">
        <v>21695</v>
      </c>
      <c r="C1831">
        <v>119985</v>
      </c>
      <c r="D1831" s="236" t="s">
        <v>21386</v>
      </c>
      <c r="E1831" s="15">
        <v>11796.4</v>
      </c>
      <c r="F1831" s="274">
        <v>42932</v>
      </c>
      <c r="G1831" s="15">
        <v>11796.4</v>
      </c>
      <c r="H1831" s="15">
        <f>Tabla1[[#This Row],[Importe]]-Tabla1[[#This Row],[Pagado]]</f>
        <v>0</v>
      </c>
      <c r="I1831" s="275" t="s">
        <v>15214</v>
      </c>
    </row>
    <row r="1832" spans="1:9" x14ac:dyDescent="0.25">
      <c r="A1832" s="16">
        <v>42931</v>
      </c>
      <c r="B1832" s="273" t="s">
        <v>21696</v>
      </c>
      <c r="C1832">
        <v>119986</v>
      </c>
      <c r="D1832" s="236" t="s">
        <v>15213</v>
      </c>
      <c r="E1832" s="15">
        <v>44333.5</v>
      </c>
      <c r="F1832" s="274">
        <v>42933</v>
      </c>
      <c r="G1832" s="15">
        <v>44333.5</v>
      </c>
      <c r="H1832" s="15">
        <f>Tabla1[[#This Row],[Importe]]-Tabla1[[#This Row],[Pagado]]</f>
        <v>0</v>
      </c>
      <c r="I1832" s="275" t="s">
        <v>15214</v>
      </c>
    </row>
    <row r="1833" spans="1:9" x14ac:dyDescent="0.25">
      <c r="A1833" s="16">
        <v>42931</v>
      </c>
      <c r="B1833" s="273" t="s">
        <v>21697</v>
      </c>
      <c r="C1833">
        <v>119987</v>
      </c>
      <c r="D1833" s="236" t="s">
        <v>15242</v>
      </c>
      <c r="E1833" s="15">
        <v>18570</v>
      </c>
      <c r="F1833" s="274">
        <v>42931</v>
      </c>
      <c r="G1833" s="15">
        <v>18570</v>
      </c>
      <c r="H1833" s="15">
        <f>Tabla1[[#This Row],[Importe]]-Tabla1[[#This Row],[Pagado]]</f>
        <v>0</v>
      </c>
      <c r="I1833" s="275" t="s">
        <v>15214</v>
      </c>
    </row>
    <row r="1834" spans="1:9" x14ac:dyDescent="0.25">
      <c r="A1834" s="16">
        <v>42931</v>
      </c>
      <c r="B1834" s="273" t="s">
        <v>21698</v>
      </c>
      <c r="C1834">
        <v>119988</v>
      </c>
      <c r="D1834" s="236" t="s">
        <v>15324</v>
      </c>
      <c r="E1834" s="15">
        <v>3885</v>
      </c>
      <c r="F1834" s="274">
        <v>42931</v>
      </c>
      <c r="G1834" s="15">
        <v>3885</v>
      </c>
      <c r="H1834" s="15">
        <f>Tabla1[[#This Row],[Importe]]-Tabla1[[#This Row],[Pagado]]</f>
        <v>0</v>
      </c>
      <c r="I1834" s="275" t="s">
        <v>15214</v>
      </c>
    </row>
    <row r="1835" spans="1:9" x14ac:dyDescent="0.25">
      <c r="A1835" s="16">
        <v>42931</v>
      </c>
      <c r="B1835" s="273" t="s">
        <v>21699</v>
      </c>
      <c r="C1835">
        <v>119989</v>
      </c>
      <c r="D1835" s="236" t="s">
        <v>15407</v>
      </c>
      <c r="E1835" s="15">
        <v>9613.9</v>
      </c>
      <c r="F1835" s="274">
        <v>42931</v>
      </c>
      <c r="G1835" s="15">
        <v>9613.9</v>
      </c>
      <c r="H1835" s="15">
        <f>Tabla1[[#This Row],[Importe]]-Tabla1[[#This Row],[Pagado]]</f>
        <v>0</v>
      </c>
      <c r="I1835" s="275" t="s">
        <v>15214</v>
      </c>
    </row>
    <row r="1836" spans="1:9" x14ac:dyDescent="0.25">
      <c r="A1836" s="16">
        <v>42931</v>
      </c>
      <c r="B1836" s="273" t="s">
        <v>21700</v>
      </c>
      <c r="C1836">
        <v>119990</v>
      </c>
      <c r="D1836" s="236" t="s">
        <v>15272</v>
      </c>
      <c r="E1836" s="15">
        <v>34246.5</v>
      </c>
      <c r="F1836" s="274">
        <v>42931</v>
      </c>
      <c r="G1836" s="15">
        <v>34246.5</v>
      </c>
      <c r="H1836" s="15">
        <f>Tabla1[[#This Row],[Importe]]-Tabla1[[#This Row],[Pagado]]</f>
        <v>0</v>
      </c>
      <c r="I1836" s="275" t="s">
        <v>15214</v>
      </c>
    </row>
    <row r="1837" spans="1:9" x14ac:dyDescent="0.25">
      <c r="A1837" s="16">
        <v>42931</v>
      </c>
      <c r="B1837" s="273" t="s">
        <v>21701</v>
      </c>
      <c r="C1837">
        <v>119991</v>
      </c>
      <c r="D1837" s="236" t="s">
        <v>17462</v>
      </c>
      <c r="E1837" s="15">
        <v>4277.2</v>
      </c>
      <c r="F1837" s="274">
        <v>42931</v>
      </c>
      <c r="G1837" s="15">
        <v>4277.2</v>
      </c>
      <c r="H1837" s="15">
        <f>Tabla1[[#This Row],[Importe]]-Tabla1[[#This Row],[Pagado]]</f>
        <v>0</v>
      </c>
      <c r="I1837" s="275" t="s">
        <v>15214</v>
      </c>
    </row>
    <row r="1838" spans="1:9" x14ac:dyDescent="0.25">
      <c r="A1838" s="16">
        <v>42931</v>
      </c>
      <c r="B1838" s="273" t="s">
        <v>21702</v>
      </c>
      <c r="C1838">
        <v>119992</v>
      </c>
      <c r="D1838" s="236" t="s">
        <v>15228</v>
      </c>
      <c r="E1838" s="15">
        <v>1667.4</v>
      </c>
      <c r="F1838" s="274">
        <v>42931</v>
      </c>
      <c r="G1838" s="15">
        <v>1667.4</v>
      </c>
      <c r="H1838" s="15">
        <f>Tabla1[[#This Row],[Importe]]-Tabla1[[#This Row],[Pagado]]</f>
        <v>0</v>
      </c>
      <c r="I1838" s="275" t="s">
        <v>15214</v>
      </c>
    </row>
    <row r="1839" spans="1:9" x14ac:dyDescent="0.25">
      <c r="A1839" s="16">
        <v>42931</v>
      </c>
      <c r="B1839" s="273" t="s">
        <v>21703</v>
      </c>
      <c r="C1839">
        <v>119993</v>
      </c>
      <c r="D1839" s="236" t="s">
        <v>15668</v>
      </c>
      <c r="E1839" s="15">
        <v>18563.099999999999</v>
      </c>
      <c r="F1839" s="274">
        <v>42935</v>
      </c>
      <c r="G1839" s="15">
        <v>18563.099999999999</v>
      </c>
      <c r="H1839" s="15">
        <f>Tabla1[[#This Row],[Importe]]-Tabla1[[#This Row],[Pagado]]</f>
        <v>0</v>
      </c>
      <c r="I1839" s="275" t="s">
        <v>15214</v>
      </c>
    </row>
    <row r="1840" spans="1:9" ht="30" x14ac:dyDescent="0.25">
      <c r="A1840" s="16">
        <v>42931</v>
      </c>
      <c r="B1840" s="273" t="s">
        <v>21704</v>
      </c>
      <c r="C1840">
        <v>119994</v>
      </c>
      <c r="D1840" s="236" t="s">
        <v>15234</v>
      </c>
      <c r="E1840" s="15">
        <v>7641.1</v>
      </c>
      <c r="F1840" s="274" t="s">
        <v>21705</v>
      </c>
      <c r="G1840" s="241">
        <f>4500+3141.1</f>
        <v>7641.1</v>
      </c>
      <c r="H1840" s="241">
        <f>Tabla1[[#This Row],[Importe]]-Tabla1[[#This Row],[Pagado]]</f>
        <v>0</v>
      </c>
      <c r="I1840" s="275" t="s">
        <v>15214</v>
      </c>
    </row>
    <row r="1841" spans="1:9" ht="30" x14ac:dyDescent="0.25">
      <c r="A1841" s="16">
        <v>42931</v>
      </c>
      <c r="B1841" s="273" t="s">
        <v>21706</v>
      </c>
      <c r="C1841">
        <v>119995</v>
      </c>
      <c r="D1841" s="236" t="s">
        <v>15230</v>
      </c>
      <c r="E1841" s="15">
        <v>35598.300000000003</v>
      </c>
      <c r="F1841" s="274" t="s">
        <v>21559</v>
      </c>
      <c r="G1841" s="241">
        <f>32700+2898.3</f>
        <v>35598.300000000003</v>
      </c>
      <c r="H1841" s="241">
        <f>Tabla1[[#This Row],[Importe]]-Tabla1[[#This Row],[Pagado]]</f>
        <v>0</v>
      </c>
      <c r="I1841" s="275" t="s">
        <v>15214</v>
      </c>
    </row>
    <row r="1842" spans="1:9" x14ac:dyDescent="0.25">
      <c r="A1842" s="16">
        <v>42931</v>
      </c>
      <c r="B1842" s="273" t="s">
        <v>21707</v>
      </c>
      <c r="C1842">
        <v>119996</v>
      </c>
      <c r="D1842" s="236" t="s">
        <v>15232</v>
      </c>
      <c r="E1842" s="15">
        <v>19408.400000000001</v>
      </c>
      <c r="F1842" s="274">
        <v>42936</v>
      </c>
      <c r="G1842" s="15">
        <v>19408.400000000001</v>
      </c>
      <c r="H1842" s="15">
        <f>Tabla1[[#This Row],[Importe]]-Tabla1[[#This Row],[Pagado]]</f>
        <v>0</v>
      </c>
      <c r="I1842" s="275" t="s">
        <v>15214</v>
      </c>
    </row>
    <row r="1843" spans="1:9" x14ac:dyDescent="0.25">
      <c r="A1843" s="16">
        <v>42931</v>
      </c>
      <c r="B1843" s="273" t="s">
        <v>21708</v>
      </c>
      <c r="C1843">
        <v>119997</v>
      </c>
      <c r="D1843" s="236" t="s">
        <v>15256</v>
      </c>
      <c r="E1843" s="15">
        <v>7157.7</v>
      </c>
      <c r="F1843" s="274">
        <v>42934</v>
      </c>
      <c r="G1843" s="15">
        <v>7157.7</v>
      </c>
      <c r="H1843" s="15">
        <f>Tabla1[[#This Row],[Importe]]-Tabla1[[#This Row],[Pagado]]</f>
        <v>0</v>
      </c>
      <c r="I1843" s="275" t="s">
        <v>15214</v>
      </c>
    </row>
    <row r="1844" spans="1:9" ht="45" x14ac:dyDescent="0.25">
      <c r="A1844" s="16">
        <v>42931</v>
      </c>
      <c r="B1844" s="273" t="s">
        <v>21709</v>
      </c>
      <c r="C1844">
        <v>119998</v>
      </c>
      <c r="D1844" s="236" t="s">
        <v>15480</v>
      </c>
      <c r="E1844" s="15">
        <v>18010.5</v>
      </c>
      <c r="F1844" s="274" t="s">
        <v>21710</v>
      </c>
      <c r="G1844" s="241">
        <f>10000+4610+3400.5</f>
        <v>18010.5</v>
      </c>
      <c r="H1844" s="241">
        <f>Tabla1[[#This Row],[Importe]]-Tabla1[[#This Row],[Pagado]]</f>
        <v>0</v>
      </c>
      <c r="I1844" s="275" t="s">
        <v>15214</v>
      </c>
    </row>
    <row r="1845" spans="1:9" ht="30" x14ac:dyDescent="0.25">
      <c r="A1845" s="16">
        <v>42931</v>
      </c>
      <c r="B1845" s="273" t="s">
        <v>21711</v>
      </c>
      <c r="C1845">
        <v>119999</v>
      </c>
      <c r="D1845" s="236" t="s">
        <v>15258</v>
      </c>
      <c r="E1845" s="15">
        <v>31882.7</v>
      </c>
      <c r="F1845" s="274" t="s">
        <v>21712</v>
      </c>
      <c r="G1845" s="241">
        <f>17000+14882.7</f>
        <v>31882.7</v>
      </c>
      <c r="H1845" s="241">
        <f>Tabla1[[#This Row],[Importe]]-Tabla1[[#This Row],[Pagado]]</f>
        <v>0</v>
      </c>
      <c r="I1845" s="275" t="s">
        <v>15214</v>
      </c>
    </row>
    <row r="1846" spans="1:9" x14ac:dyDescent="0.25">
      <c r="A1846" s="16">
        <v>42931</v>
      </c>
      <c r="B1846" s="273" t="s">
        <v>21713</v>
      </c>
      <c r="C1846">
        <v>120000</v>
      </c>
      <c r="D1846" s="236" t="s">
        <v>15238</v>
      </c>
      <c r="E1846" s="15">
        <v>12950</v>
      </c>
      <c r="F1846" s="274">
        <v>42934</v>
      </c>
      <c r="G1846" s="15">
        <v>12950</v>
      </c>
      <c r="H1846" s="15">
        <f>Tabla1[[#This Row],[Importe]]-Tabla1[[#This Row],[Pagado]]</f>
        <v>0</v>
      </c>
      <c r="I1846" s="275" t="s">
        <v>15214</v>
      </c>
    </row>
    <row r="1847" spans="1:9" x14ac:dyDescent="0.25">
      <c r="A1847" s="16">
        <v>42931</v>
      </c>
      <c r="B1847" s="273" t="s">
        <v>21714</v>
      </c>
      <c r="C1847">
        <v>120001</v>
      </c>
      <c r="D1847" s="236" t="s">
        <v>15236</v>
      </c>
      <c r="E1847" s="15">
        <v>11403.6</v>
      </c>
      <c r="F1847" s="274">
        <v>42934</v>
      </c>
      <c r="G1847" s="15">
        <v>11403.6</v>
      </c>
      <c r="H1847" s="15">
        <f>Tabla1[[#This Row],[Importe]]-Tabla1[[#This Row],[Pagado]]</f>
        <v>0</v>
      </c>
      <c r="I1847" s="275" t="s">
        <v>15214</v>
      </c>
    </row>
    <row r="1848" spans="1:9" ht="30" x14ac:dyDescent="0.25">
      <c r="A1848" s="16">
        <v>42931</v>
      </c>
      <c r="B1848" s="273" t="s">
        <v>21715</v>
      </c>
      <c r="C1848">
        <v>120002</v>
      </c>
      <c r="D1848" s="236" t="s">
        <v>5575</v>
      </c>
      <c r="E1848" s="15">
        <v>16415.900000000001</v>
      </c>
      <c r="F1848" s="274" t="s">
        <v>21716</v>
      </c>
      <c r="G1848" s="241">
        <f>10000+6415.9</f>
        <v>16415.900000000001</v>
      </c>
      <c r="H1848" s="241">
        <f>Tabla1[[#This Row],[Importe]]-Tabla1[[#This Row],[Pagado]]</f>
        <v>0</v>
      </c>
      <c r="I1848" s="275" t="s">
        <v>15214</v>
      </c>
    </row>
    <row r="1849" spans="1:9" x14ac:dyDescent="0.25">
      <c r="A1849" s="16">
        <v>42931</v>
      </c>
      <c r="B1849" s="273" t="s">
        <v>21717</v>
      </c>
      <c r="C1849">
        <v>120003</v>
      </c>
      <c r="D1849" s="236" t="s">
        <v>15858</v>
      </c>
      <c r="E1849" s="15">
        <v>2727.64</v>
      </c>
      <c r="F1849" s="274">
        <v>42932</v>
      </c>
      <c r="G1849" s="15">
        <v>2727.64</v>
      </c>
      <c r="H1849" s="15">
        <f>Tabla1[[#This Row],[Importe]]-Tabla1[[#This Row],[Pagado]]</f>
        <v>0</v>
      </c>
      <c r="I1849" s="275" t="s">
        <v>15214</v>
      </c>
    </row>
    <row r="1850" spans="1:9" x14ac:dyDescent="0.25">
      <c r="A1850" s="16">
        <v>42931</v>
      </c>
      <c r="B1850" s="273" t="s">
        <v>21718</v>
      </c>
      <c r="C1850">
        <v>120004</v>
      </c>
      <c r="D1850" s="236" t="s">
        <v>15415</v>
      </c>
      <c r="E1850" s="15">
        <v>3741.8</v>
      </c>
      <c r="F1850" s="274">
        <v>42934</v>
      </c>
      <c r="G1850" s="15">
        <v>3741.8</v>
      </c>
      <c r="H1850" s="15">
        <f>Tabla1[[#This Row],[Importe]]-Tabla1[[#This Row],[Pagado]]</f>
        <v>0</v>
      </c>
      <c r="I1850" s="275" t="s">
        <v>15214</v>
      </c>
    </row>
    <row r="1851" spans="1:9" x14ac:dyDescent="0.25">
      <c r="A1851" s="16">
        <v>42931</v>
      </c>
      <c r="B1851" s="273" t="s">
        <v>21719</v>
      </c>
      <c r="C1851">
        <v>120005</v>
      </c>
      <c r="D1851" s="236" t="s">
        <v>15220</v>
      </c>
      <c r="E1851" s="15">
        <v>6325</v>
      </c>
      <c r="F1851" s="274">
        <v>42931</v>
      </c>
      <c r="G1851" s="15">
        <v>6325</v>
      </c>
      <c r="H1851" s="15">
        <f>Tabla1[[#This Row],[Importe]]-Tabla1[[#This Row],[Pagado]]</f>
        <v>0</v>
      </c>
      <c r="I1851" s="275" t="s">
        <v>15214</v>
      </c>
    </row>
    <row r="1852" spans="1:9" x14ac:dyDescent="0.25">
      <c r="A1852" s="16">
        <v>42931</v>
      </c>
      <c r="B1852" s="273" t="s">
        <v>21720</v>
      </c>
      <c r="C1852">
        <v>120006</v>
      </c>
      <c r="D1852" s="236" t="s">
        <v>15317</v>
      </c>
      <c r="E1852" s="15">
        <v>1717.2</v>
      </c>
      <c r="F1852" s="274">
        <v>42934</v>
      </c>
      <c r="G1852" s="15">
        <v>1717.2</v>
      </c>
      <c r="H1852" s="15">
        <f>Tabla1[[#This Row],[Importe]]-Tabla1[[#This Row],[Pagado]]</f>
        <v>0</v>
      </c>
      <c r="I1852" s="275" t="s">
        <v>15214</v>
      </c>
    </row>
    <row r="1853" spans="1:9" x14ac:dyDescent="0.25">
      <c r="A1853" s="16">
        <v>42931</v>
      </c>
      <c r="B1853" s="273" t="s">
        <v>21721</v>
      </c>
      <c r="C1853">
        <v>120007</v>
      </c>
      <c r="D1853" s="236" t="s">
        <v>17235</v>
      </c>
      <c r="E1853" s="15">
        <v>1375</v>
      </c>
      <c r="F1853" s="274">
        <v>42931</v>
      </c>
      <c r="G1853" s="15">
        <v>1375</v>
      </c>
      <c r="H1853" s="15">
        <f>Tabla1[[#This Row],[Importe]]-Tabla1[[#This Row],[Pagado]]</f>
        <v>0</v>
      </c>
      <c r="I1853" s="275" t="s">
        <v>15214</v>
      </c>
    </row>
    <row r="1854" spans="1:9" x14ac:dyDescent="0.25">
      <c r="A1854" s="16">
        <v>42931</v>
      </c>
      <c r="B1854" s="273" t="s">
        <v>21722</v>
      </c>
      <c r="C1854">
        <v>120008</v>
      </c>
      <c r="D1854" s="236" t="s">
        <v>15223</v>
      </c>
      <c r="E1854" s="15">
        <v>54158</v>
      </c>
      <c r="F1854" s="274">
        <v>42960</v>
      </c>
      <c r="G1854" s="15">
        <v>54158</v>
      </c>
      <c r="H1854" s="15">
        <f>Tabla1[[#This Row],[Importe]]-Tabla1[[#This Row],[Pagado]]</f>
        <v>0</v>
      </c>
      <c r="I1854" s="275" t="s">
        <v>15214</v>
      </c>
    </row>
    <row r="1855" spans="1:9" x14ac:dyDescent="0.25">
      <c r="A1855" s="16">
        <v>42931</v>
      </c>
      <c r="B1855" s="273" t="s">
        <v>21723</v>
      </c>
      <c r="C1855">
        <v>120009</v>
      </c>
      <c r="D1855" s="236" t="s">
        <v>15438</v>
      </c>
      <c r="E1855" s="15">
        <v>1783.1</v>
      </c>
      <c r="F1855" s="274">
        <v>42931</v>
      </c>
      <c r="G1855" s="15">
        <v>1783.1</v>
      </c>
      <c r="H1855" s="15">
        <f>Tabla1[[#This Row],[Importe]]-Tabla1[[#This Row],[Pagado]]</f>
        <v>0</v>
      </c>
      <c r="I1855" s="275" t="s">
        <v>15214</v>
      </c>
    </row>
    <row r="1856" spans="1:9" x14ac:dyDescent="0.25">
      <c r="A1856" s="16">
        <v>42931</v>
      </c>
      <c r="B1856" s="273" t="s">
        <v>21724</v>
      </c>
      <c r="C1856">
        <v>120010</v>
      </c>
      <c r="D1856" s="236" t="s">
        <v>15378</v>
      </c>
      <c r="E1856" s="15">
        <v>2625</v>
      </c>
      <c r="F1856" s="274">
        <v>42931</v>
      </c>
      <c r="G1856" s="15">
        <v>2625</v>
      </c>
      <c r="H1856" s="15">
        <f>Tabla1[[#This Row],[Importe]]-Tabla1[[#This Row],[Pagado]]</f>
        <v>0</v>
      </c>
      <c r="I1856" s="275" t="s">
        <v>15214</v>
      </c>
    </row>
    <row r="1857" spans="1:9" x14ac:dyDescent="0.25">
      <c r="A1857" s="16">
        <v>42931</v>
      </c>
      <c r="B1857" s="273" t="s">
        <v>21725</v>
      </c>
      <c r="C1857">
        <v>120011</v>
      </c>
      <c r="D1857" s="236" t="s">
        <v>15748</v>
      </c>
      <c r="E1857" s="15">
        <v>4697.76</v>
      </c>
      <c r="F1857" s="274">
        <v>42934</v>
      </c>
      <c r="G1857" s="15">
        <v>4697.76</v>
      </c>
      <c r="H1857" s="15">
        <f>Tabla1[[#This Row],[Importe]]-Tabla1[[#This Row],[Pagado]]</f>
        <v>0</v>
      </c>
      <c r="I1857" s="275" t="s">
        <v>15214</v>
      </c>
    </row>
    <row r="1858" spans="1:9" x14ac:dyDescent="0.25">
      <c r="A1858" s="16">
        <v>42931</v>
      </c>
      <c r="B1858" s="273" t="s">
        <v>21726</v>
      </c>
      <c r="C1858">
        <v>120012</v>
      </c>
      <c r="D1858" s="236" t="s">
        <v>15307</v>
      </c>
      <c r="E1858" s="15">
        <v>1423.3</v>
      </c>
      <c r="F1858" s="274">
        <v>42931</v>
      </c>
      <c r="G1858" s="15">
        <v>1423.3</v>
      </c>
      <c r="H1858" s="15">
        <f>Tabla1[[#This Row],[Importe]]-Tabla1[[#This Row],[Pagado]]</f>
        <v>0</v>
      </c>
      <c r="I1858" s="275" t="s">
        <v>15214</v>
      </c>
    </row>
    <row r="1859" spans="1:9" x14ac:dyDescent="0.25">
      <c r="A1859" s="16">
        <v>42931</v>
      </c>
      <c r="B1859" s="273" t="s">
        <v>21727</v>
      </c>
      <c r="C1859">
        <v>120013</v>
      </c>
      <c r="D1859" s="236" t="s">
        <v>15291</v>
      </c>
      <c r="E1859" s="15">
        <v>1100</v>
      </c>
      <c r="F1859" s="274">
        <v>42931</v>
      </c>
      <c r="G1859" s="15">
        <v>1100</v>
      </c>
      <c r="H1859" s="15">
        <f>Tabla1[[#This Row],[Importe]]-Tabla1[[#This Row],[Pagado]]</f>
        <v>0</v>
      </c>
      <c r="I1859" s="275" t="s">
        <v>15214</v>
      </c>
    </row>
    <row r="1860" spans="1:9" x14ac:dyDescent="0.25">
      <c r="A1860" s="16">
        <v>42931</v>
      </c>
      <c r="B1860" s="273" t="s">
        <v>21728</v>
      </c>
      <c r="C1860">
        <v>120014</v>
      </c>
      <c r="D1860" s="236" t="s">
        <v>15301</v>
      </c>
      <c r="E1860" s="15">
        <v>3410.3</v>
      </c>
      <c r="F1860" s="274">
        <v>42931</v>
      </c>
      <c r="G1860" s="15">
        <v>3410.3</v>
      </c>
      <c r="H1860" s="15">
        <f>Tabla1[[#This Row],[Importe]]-Tabla1[[#This Row],[Pagado]]</f>
        <v>0</v>
      </c>
      <c r="I1860" s="275" t="s">
        <v>15214</v>
      </c>
    </row>
    <row r="1861" spans="1:9" x14ac:dyDescent="0.25">
      <c r="A1861" s="16">
        <v>42931</v>
      </c>
      <c r="B1861" s="273" t="s">
        <v>21729</v>
      </c>
      <c r="C1861">
        <v>120015</v>
      </c>
      <c r="D1861" s="236" t="s">
        <v>15415</v>
      </c>
      <c r="E1861" s="15">
        <v>1380.2</v>
      </c>
      <c r="F1861" s="274">
        <v>42938</v>
      </c>
      <c r="G1861" s="15">
        <v>1380.2</v>
      </c>
      <c r="H1861" s="15">
        <f>Tabla1[[#This Row],[Importe]]-Tabla1[[#This Row],[Pagado]]</f>
        <v>0</v>
      </c>
      <c r="I1861" s="275" t="s">
        <v>15214</v>
      </c>
    </row>
    <row r="1862" spans="1:9" x14ac:dyDescent="0.25">
      <c r="A1862" s="16">
        <v>42931</v>
      </c>
      <c r="B1862" s="273" t="s">
        <v>21730</v>
      </c>
      <c r="C1862">
        <v>120016</v>
      </c>
      <c r="D1862" s="236" t="s">
        <v>15309</v>
      </c>
      <c r="E1862" s="15">
        <v>2207.8000000000002</v>
      </c>
      <c r="F1862" s="274">
        <v>42931</v>
      </c>
      <c r="G1862" s="15">
        <v>2207.8000000000002</v>
      </c>
      <c r="H1862" s="15">
        <f>Tabla1[[#This Row],[Importe]]-Tabla1[[#This Row],[Pagado]]</f>
        <v>0</v>
      </c>
      <c r="I1862" s="275" t="s">
        <v>15214</v>
      </c>
    </row>
    <row r="1863" spans="1:9" x14ac:dyDescent="0.25">
      <c r="A1863" s="16">
        <v>42931</v>
      </c>
      <c r="B1863" s="273" t="s">
        <v>21731</v>
      </c>
      <c r="C1863">
        <v>120017</v>
      </c>
      <c r="D1863" s="236" t="s">
        <v>15311</v>
      </c>
      <c r="E1863" s="15">
        <v>3796.14</v>
      </c>
      <c r="F1863" s="274">
        <v>42931</v>
      </c>
      <c r="G1863" s="15">
        <v>3796.14</v>
      </c>
      <c r="H1863" s="15">
        <f>Tabla1[[#This Row],[Importe]]-Tabla1[[#This Row],[Pagado]]</f>
        <v>0</v>
      </c>
      <c r="I1863" s="275" t="s">
        <v>15214</v>
      </c>
    </row>
    <row r="1864" spans="1:9" x14ac:dyDescent="0.25">
      <c r="A1864" s="16">
        <v>42931</v>
      </c>
      <c r="B1864" s="273" t="s">
        <v>21732</v>
      </c>
      <c r="C1864">
        <v>120018</v>
      </c>
      <c r="D1864" s="236" t="s">
        <v>15263</v>
      </c>
      <c r="E1864" s="15">
        <v>2902.3</v>
      </c>
      <c r="F1864" s="274">
        <v>42931</v>
      </c>
      <c r="G1864" s="15">
        <v>2902.3</v>
      </c>
      <c r="H1864" s="15">
        <f>Tabla1[[#This Row],[Importe]]-Tabla1[[#This Row],[Pagado]]</f>
        <v>0</v>
      </c>
      <c r="I1864" s="275" t="s">
        <v>15214</v>
      </c>
    </row>
    <row r="1865" spans="1:9" x14ac:dyDescent="0.25">
      <c r="A1865" s="16">
        <v>42931</v>
      </c>
      <c r="B1865" s="273" t="s">
        <v>21733</v>
      </c>
      <c r="C1865">
        <v>120019</v>
      </c>
      <c r="D1865" s="236" t="s">
        <v>15284</v>
      </c>
      <c r="E1865" s="15">
        <v>3251.1</v>
      </c>
      <c r="F1865" s="274">
        <v>42931</v>
      </c>
      <c r="G1865" s="15">
        <v>3251.1</v>
      </c>
      <c r="H1865" s="15">
        <f>Tabla1[[#This Row],[Importe]]-Tabla1[[#This Row],[Pagado]]</f>
        <v>0</v>
      </c>
      <c r="I1865" s="275" t="s">
        <v>15214</v>
      </c>
    </row>
    <row r="1866" spans="1:9" x14ac:dyDescent="0.25">
      <c r="A1866" s="16">
        <v>42931</v>
      </c>
      <c r="B1866" s="273" t="s">
        <v>21734</v>
      </c>
      <c r="C1866">
        <v>120020</v>
      </c>
      <c r="D1866" s="236" t="s">
        <v>15371</v>
      </c>
      <c r="E1866" s="15">
        <v>2305.8000000000002</v>
      </c>
      <c r="F1866" s="274">
        <v>42932</v>
      </c>
      <c r="G1866" s="15">
        <v>2305.8000000000002</v>
      </c>
      <c r="H1866" s="15">
        <f>Tabla1[[#This Row],[Importe]]-Tabla1[[#This Row],[Pagado]]</f>
        <v>0</v>
      </c>
      <c r="I1866" s="275" t="s">
        <v>15214</v>
      </c>
    </row>
    <row r="1867" spans="1:9" x14ac:dyDescent="0.25">
      <c r="A1867" s="16">
        <v>42931</v>
      </c>
      <c r="B1867" s="273" t="s">
        <v>21735</v>
      </c>
      <c r="C1867">
        <v>120021</v>
      </c>
      <c r="D1867" s="236" t="s">
        <v>15248</v>
      </c>
      <c r="E1867" s="15">
        <v>32051.84</v>
      </c>
      <c r="F1867" s="274">
        <v>42931</v>
      </c>
      <c r="G1867" s="15">
        <v>32051.84</v>
      </c>
      <c r="H1867" s="15">
        <f>Tabla1[[#This Row],[Importe]]-Tabla1[[#This Row],[Pagado]]</f>
        <v>0</v>
      </c>
      <c r="I1867" s="275" t="s">
        <v>15214</v>
      </c>
    </row>
    <row r="1868" spans="1:9" x14ac:dyDescent="0.25">
      <c r="A1868" s="16">
        <v>42931</v>
      </c>
      <c r="B1868" s="273" t="s">
        <v>21736</v>
      </c>
      <c r="C1868">
        <v>120022</v>
      </c>
      <c r="D1868" s="236" t="s">
        <v>15562</v>
      </c>
      <c r="E1868" s="15">
        <v>4224</v>
      </c>
      <c r="F1868" s="274">
        <v>42931</v>
      </c>
      <c r="G1868" s="15">
        <v>4224</v>
      </c>
      <c r="H1868" s="15">
        <f>Tabla1[[#This Row],[Importe]]-Tabla1[[#This Row],[Pagado]]</f>
        <v>0</v>
      </c>
      <c r="I1868" s="275" t="s">
        <v>15214</v>
      </c>
    </row>
    <row r="1869" spans="1:9" x14ac:dyDescent="0.25">
      <c r="A1869" s="16">
        <v>42931</v>
      </c>
      <c r="B1869" s="273" t="s">
        <v>21737</v>
      </c>
      <c r="C1869">
        <v>120023</v>
      </c>
      <c r="D1869" s="236" t="s">
        <v>15553</v>
      </c>
      <c r="E1869" s="15">
        <v>770</v>
      </c>
      <c r="F1869" s="274">
        <v>42932</v>
      </c>
      <c r="G1869" s="15">
        <v>770</v>
      </c>
      <c r="H1869" s="15">
        <f>Tabla1[[#This Row],[Importe]]-Tabla1[[#This Row],[Pagado]]</f>
        <v>0</v>
      </c>
      <c r="I1869" s="275" t="s">
        <v>15214</v>
      </c>
    </row>
    <row r="1870" spans="1:9" x14ac:dyDescent="0.25">
      <c r="A1870" s="16">
        <v>42931</v>
      </c>
      <c r="B1870" s="273" t="s">
        <v>21738</v>
      </c>
      <c r="C1870">
        <v>120024</v>
      </c>
      <c r="D1870" s="236" t="s">
        <v>15442</v>
      </c>
      <c r="E1870" s="15">
        <v>6960.4</v>
      </c>
      <c r="F1870" s="274">
        <v>42931</v>
      </c>
      <c r="G1870" s="15">
        <v>6960.4</v>
      </c>
      <c r="H1870" s="15">
        <f>Tabla1[[#This Row],[Importe]]-Tabla1[[#This Row],[Pagado]]</f>
        <v>0</v>
      </c>
      <c r="I1870" s="275" t="s">
        <v>15214</v>
      </c>
    </row>
    <row r="1871" spans="1:9" x14ac:dyDescent="0.25">
      <c r="A1871" s="16">
        <v>42931</v>
      </c>
      <c r="B1871" s="273" t="s">
        <v>21739</v>
      </c>
      <c r="C1871">
        <v>120025</v>
      </c>
      <c r="D1871" s="236" t="s">
        <v>15246</v>
      </c>
      <c r="E1871" s="15">
        <v>7192.8</v>
      </c>
      <c r="F1871" s="274">
        <v>42933</v>
      </c>
      <c r="G1871" s="15">
        <v>7192.8</v>
      </c>
      <c r="H1871" s="15">
        <f>Tabla1[[#This Row],[Importe]]-Tabla1[[#This Row],[Pagado]]</f>
        <v>0</v>
      </c>
      <c r="I1871" s="275" t="s">
        <v>15214</v>
      </c>
    </row>
    <row r="1872" spans="1:9" x14ac:dyDescent="0.25">
      <c r="A1872" s="16">
        <v>42931</v>
      </c>
      <c r="B1872" s="273" t="s">
        <v>21740</v>
      </c>
      <c r="C1872">
        <v>120026</v>
      </c>
      <c r="D1872" s="236" t="s">
        <v>15334</v>
      </c>
      <c r="E1872" s="15">
        <v>2750</v>
      </c>
      <c r="F1872" s="274">
        <v>42932</v>
      </c>
      <c r="G1872" s="15">
        <v>2750</v>
      </c>
      <c r="H1872" s="15">
        <f>Tabla1[[#This Row],[Importe]]-Tabla1[[#This Row],[Pagado]]</f>
        <v>0</v>
      </c>
      <c r="I1872" s="275" t="s">
        <v>15214</v>
      </c>
    </row>
    <row r="1873" spans="1:9" x14ac:dyDescent="0.25">
      <c r="A1873" s="16">
        <v>42931</v>
      </c>
      <c r="B1873" s="273" t="s">
        <v>21741</v>
      </c>
      <c r="C1873">
        <v>120027</v>
      </c>
      <c r="D1873" s="236" t="s">
        <v>16108</v>
      </c>
      <c r="E1873" s="15">
        <v>3850.5</v>
      </c>
      <c r="F1873" s="274">
        <v>42931</v>
      </c>
      <c r="G1873" s="15">
        <v>3850.5</v>
      </c>
      <c r="H1873" s="15">
        <f>Tabla1[[#This Row],[Importe]]-Tabla1[[#This Row],[Pagado]]</f>
        <v>0</v>
      </c>
      <c r="I1873" s="275" t="s">
        <v>15214</v>
      </c>
    </row>
    <row r="1874" spans="1:9" x14ac:dyDescent="0.25">
      <c r="A1874" s="16">
        <v>42931</v>
      </c>
      <c r="B1874" s="273" t="s">
        <v>21742</v>
      </c>
      <c r="C1874">
        <v>120028</v>
      </c>
      <c r="D1874" s="236" t="s">
        <v>19776</v>
      </c>
      <c r="E1874" s="15">
        <v>11304.98</v>
      </c>
      <c r="F1874" s="274">
        <v>42931</v>
      </c>
      <c r="G1874" s="15">
        <v>11304.98</v>
      </c>
      <c r="H1874" s="15">
        <f>Tabla1[[#This Row],[Importe]]-Tabla1[[#This Row],[Pagado]]</f>
        <v>0</v>
      </c>
      <c r="I1874" s="275" t="s">
        <v>15214</v>
      </c>
    </row>
    <row r="1875" spans="1:9" x14ac:dyDescent="0.25">
      <c r="A1875" s="16">
        <v>42931</v>
      </c>
      <c r="B1875" s="273" t="s">
        <v>21743</v>
      </c>
      <c r="C1875">
        <v>120029</v>
      </c>
      <c r="D1875" s="236" t="s">
        <v>15526</v>
      </c>
      <c r="E1875" s="15">
        <v>4674</v>
      </c>
      <c r="F1875" s="274">
        <v>42933</v>
      </c>
      <c r="G1875" s="15">
        <v>4674</v>
      </c>
      <c r="H1875" s="15">
        <f>Tabla1[[#This Row],[Importe]]-Tabla1[[#This Row],[Pagado]]</f>
        <v>0</v>
      </c>
      <c r="I1875" s="275" t="s">
        <v>15214</v>
      </c>
    </row>
    <row r="1876" spans="1:9" x14ac:dyDescent="0.25">
      <c r="A1876" s="16">
        <v>42931</v>
      </c>
      <c r="B1876" s="273" t="s">
        <v>21744</v>
      </c>
      <c r="C1876">
        <v>120030</v>
      </c>
      <c r="D1876" s="236" t="s">
        <v>15523</v>
      </c>
      <c r="E1876" s="15">
        <v>6600</v>
      </c>
      <c r="F1876" s="274">
        <v>42932</v>
      </c>
      <c r="G1876" s="15">
        <v>6600</v>
      </c>
      <c r="H1876" s="15">
        <f>Tabla1[[#This Row],[Importe]]-Tabla1[[#This Row],[Pagado]]</f>
        <v>0</v>
      </c>
      <c r="I1876" s="275" t="s">
        <v>15214</v>
      </c>
    </row>
    <row r="1877" spans="1:9" x14ac:dyDescent="0.25">
      <c r="A1877" s="16">
        <v>42931</v>
      </c>
      <c r="B1877" s="273" t="s">
        <v>21745</v>
      </c>
      <c r="C1877">
        <v>120031</v>
      </c>
      <c r="D1877" s="236" t="s">
        <v>15358</v>
      </c>
      <c r="E1877" s="15">
        <v>3180.6</v>
      </c>
      <c r="F1877" s="274">
        <v>42932</v>
      </c>
      <c r="G1877" s="15">
        <v>3180.6</v>
      </c>
      <c r="H1877" s="15">
        <f>Tabla1[[#This Row],[Importe]]-Tabla1[[#This Row],[Pagado]]</f>
        <v>0</v>
      </c>
      <c r="I1877" s="275" t="s">
        <v>15214</v>
      </c>
    </row>
    <row r="1878" spans="1:9" x14ac:dyDescent="0.25">
      <c r="A1878" s="16">
        <v>42931</v>
      </c>
      <c r="B1878" s="273" t="s">
        <v>21746</v>
      </c>
      <c r="C1878">
        <v>120032</v>
      </c>
      <c r="D1878" s="236" t="s">
        <v>17722</v>
      </c>
      <c r="E1878" s="15">
        <v>2037.2</v>
      </c>
      <c r="F1878" s="274">
        <v>42931</v>
      </c>
      <c r="G1878" s="15">
        <v>2037.2</v>
      </c>
      <c r="H1878" s="15">
        <f>Tabla1[[#This Row],[Importe]]-Tabla1[[#This Row],[Pagado]]</f>
        <v>0</v>
      </c>
      <c r="I1878" s="275" t="s">
        <v>15214</v>
      </c>
    </row>
    <row r="1879" spans="1:9" x14ac:dyDescent="0.25">
      <c r="A1879" s="16">
        <v>42931</v>
      </c>
      <c r="B1879" s="273" t="s">
        <v>21747</v>
      </c>
      <c r="C1879">
        <v>120033</v>
      </c>
      <c r="D1879" s="236" t="s">
        <v>15278</v>
      </c>
      <c r="E1879" s="15">
        <v>4325.5</v>
      </c>
      <c r="F1879" s="274">
        <v>42931</v>
      </c>
      <c r="G1879" s="15">
        <v>4325.5</v>
      </c>
      <c r="H1879" s="15">
        <f>Tabla1[[#This Row],[Importe]]-Tabla1[[#This Row],[Pagado]]</f>
        <v>0</v>
      </c>
      <c r="I1879" s="275" t="s">
        <v>15214</v>
      </c>
    </row>
    <row r="1880" spans="1:9" x14ac:dyDescent="0.25">
      <c r="A1880" s="16">
        <v>42931</v>
      </c>
      <c r="B1880" s="273" t="s">
        <v>21748</v>
      </c>
      <c r="C1880">
        <v>120034</v>
      </c>
      <c r="D1880" s="236" t="s">
        <v>15336</v>
      </c>
      <c r="E1880" s="15">
        <v>12540.96</v>
      </c>
      <c r="F1880" s="274">
        <v>42932</v>
      </c>
      <c r="G1880" s="15">
        <v>12540.96</v>
      </c>
      <c r="H1880" s="15">
        <f>Tabla1[[#This Row],[Importe]]-Tabla1[[#This Row],[Pagado]]</f>
        <v>0</v>
      </c>
      <c r="I1880" s="275" t="s">
        <v>15214</v>
      </c>
    </row>
    <row r="1881" spans="1:9" x14ac:dyDescent="0.25">
      <c r="A1881" s="16">
        <v>42931</v>
      </c>
      <c r="B1881" s="273" t="s">
        <v>21749</v>
      </c>
      <c r="C1881">
        <v>120035</v>
      </c>
      <c r="D1881" s="236" t="s">
        <v>15398</v>
      </c>
      <c r="E1881" s="15">
        <v>13405.8</v>
      </c>
      <c r="F1881" s="274">
        <v>42951</v>
      </c>
      <c r="G1881" s="15">
        <v>13405.8</v>
      </c>
      <c r="H1881" s="15">
        <f>Tabla1[[#This Row],[Importe]]-Tabla1[[#This Row],[Pagado]]</f>
        <v>0</v>
      </c>
      <c r="I1881" s="275" t="s">
        <v>15214</v>
      </c>
    </row>
    <row r="1882" spans="1:9" x14ac:dyDescent="0.25">
      <c r="A1882" s="16">
        <v>42931</v>
      </c>
      <c r="B1882" s="273" t="s">
        <v>21750</v>
      </c>
      <c r="C1882">
        <v>120036</v>
      </c>
      <c r="D1882" s="236" t="s">
        <v>15354</v>
      </c>
      <c r="E1882" s="15">
        <v>3034.2</v>
      </c>
      <c r="F1882" s="274">
        <v>42932</v>
      </c>
      <c r="G1882" s="15">
        <v>3034.2</v>
      </c>
      <c r="H1882" s="15">
        <f>Tabla1[[#This Row],[Importe]]-Tabla1[[#This Row],[Pagado]]</f>
        <v>0</v>
      </c>
      <c r="I1882" s="275" t="s">
        <v>15214</v>
      </c>
    </row>
    <row r="1883" spans="1:9" x14ac:dyDescent="0.25">
      <c r="A1883" s="16">
        <v>42931</v>
      </c>
      <c r="B1883" s="273" t="s">
        <v>21751</v>
      </c>
      <c r="C1883">
        <v>120037</v>
      </c>
      <c r="D1883" s="236" t="s">
        <v>15757</v>
      </c>
      <c r="E1883" s="15">
        <v>4910.3999999999996</v>
      </c>
      <c r="F1883" s="274">
        <v>42932</v>
      </c>
      <c r="G1883" s="15">
        <v>4910.3999999999996</v>
      </c>
      <c r="H1883" s="15">
        <f>Tabla1[[#This Row],[Importe]]-Tabla1[[#This Row],[Pagado]]</f>
        <v>0</v>
      </c>
      <c r="I1883" s="275" t="s">
        <v>15214</v>
      </c>
    </row>
    <row r="1884" spans="1:9" x14ac:dyDescent="0.25">
      <c r="A1884" s="16">
        <v>42931</v>
      </c>
      <c r="B1884" s="273" t="s">
        <v>21752</v>
      </c>
      <c r="C1884">
        <v>120038</v>
      </c>
      <c r="D1884" s="236" t="s">
        <v>15903</v>
      </c>
      <c r="E1884" s="15">
        <v>37796.550000000003</v>
      </c>
      <c r="F1884" s="274">
        <v>42931</v>
      </c>
      <c r="G1884" s="15">
        <v>37796.550000000003</v>
      </c>
      <c r="H1884" s="15">
        <f>Tabla1[[#This Row],[Importe]]-Tabla1[[#This Row],[Pagado]]</f>
        <v>0</v>
      </c>
      <c r="I1884" s="275" t="s">
        <v>15214</v>
      </c>
    </row>
    <row r="1885" spans="1:9" x14ac:dyDescent="0.25">
      <c r="A1885" s="16">
        <v>42931</v>
      </c>
      <c r="B1885" s="273" t="s">
        <v>21753</v>
      </c>
      <c r="C1885">
        <v>120039</v>
      </c>
      <c r="D1885" s="236" t="s">
        <v>15549</v>
      </c>
      <c r="E1885" s="15">
        <v>9788.2999999999993</v>
      </c>
      <c r="F1885" s="274">
        <v>42933</v>
      </c>
      <c r="G1885" s="15">
        <v>9788.2999999999993</v>
      </c>
      <c r="H1885" s="15">
        <f>Tabla1[[#This Row],[Importe]]-Tabla1[[#This Row],[Pagado]]</f>
        <v>0</v>
      </c>
      <c r="I1885" s="275" t="s">
        <v>15214</v>
      </c>
    </row>
    <row r="1886" spans="1:9" ht="15.75" x14ac:dyDescent="0.25">
      <c r="A1886" s="16">
        <v>42931</v>
      </c>
      <c r="B1886" s="273" t="s">
        <v>21754</v>
      </c>
      <c r="C1886">
        <v>120040</v>
      </c>
      <c r="D1886" s="248" t="s">
        <v>95</v>
      </c>
      <c r="E1886" s="15">
        <v>0</v>
      </c>
      <c r="F1886" s="277" t="s">
        <v>95</v>
      </c>
      <c r="G1886" s="15">
        <v>0</v>
      </c>
      <c r="H1886" s="15">
        <f>Tabla1[[#This Row],[Importe]]-Tabla1[[#This Row],[Pagado]]</f>
        <v>0</v>
      </c>
      <c r="I1886" s="275" t="s">
        <v>95</v>
      </c>
    </row>
    <row r="1887" spans="1:9" x14ac:dyDescent="0.25">
      <c r="A1887" s="16">
        <v>42931</v>
      </c>
      <c r="B1887" s="273" t="s">
        <v>21755</v>
      </c>
      <c r="C1887">
        <v>120041</v>
      </c>
      <c r="D1887" s="236" t="s">
        <v>15356</v>
      </c>
      <c r="E1887" s="15">
        <v>1420.2</v>
      </c>
      <c r="F1887" s="274">
        <v>42932</v>
      </c>
      <c r="G1887" s="15">
        <v>1420.2</v>
      </c>
      <c r="H1887" s="15">
        <f>Tabla1[[#This Row],[Importe]]-Tabla1[[#This Row],[Pagado]]</f>
        <v>0</v>
      </c>
      <c r="I1887" s="275" t="s">
        <v>15214</v>
      </c>
    </row>
    <row r="1888" spans="1:9" x14ac:dyDescent="0.25">
      <c r="A1888" s="16">
        <v>42931</v>
      </c>
      <c r="B1888" s="273" t="s">
        <v>21756</v>
      </c>
      <c r="C1888">
        <v>120042</v>
      </c>
      <c r="D1888" s="236" t="s">
        <v>15541</v>
      </c>
      <c r="E1888" s="15">
        <v>3622</v>
      </c>
      <c r="F1888" s="274">
        <v>42934</v>
      </c>
      <c r="G1888" s="15">
        <v>3622</v>
      </c>
      <c r="H1888" s="15">
        <f>Tabla1[[#This Row],[Importe]]-Tabla1[[#This Row],[Pagado]]</f>
        <v>0</v>
      </c>
      <c r="I1888" s="275" t="s">
        <v>15214</v>
      </c>
    </row>
    <row r="1889" spans="1:9" ht="30" x14ac:dyDescent="0.25">
      <c r="A1889" s="16">
        <v>42931</v>
      </c>
      <c r="B1889" s="273" t="s">
        <v>21757</v>
      </c>
      <c r="C1889">
        <v>120043</v>
      </c>
      <c r="D1889" s="236" t="s">
        <v>15716</v>
      </c>
      <c r="E1889" s="15">
        <v>13582.8</v>
      </c>
      <c r="F1889" s="274" t="s">
        <v>21305</v>
      </c>
      <c r="G1889" s="241">
        <f>13480+102.8</f>
        <v>13582.8</v>
      </c>
      <c r="H1889" s="241">
        <f>Tabla1[[#This Row],[Importe]]-Tabla1[[#This Row],[Pagado]]</f>
        <v>0</v>
      </c>
      <c r="I1889" s="275" t="s">
        <v>15214</v>
      </c>
    </row>
    <row r="1890" spans="1:9" x14ac:dyDescent="0.25">
      <c r="A1890" s="16">
        <v>42931</v>
      </c>
      <c r="B1890" s="273" t="s">
        <v>21758</v>
      </c>
      <c r="C1890">
        <v>120044</v>
      </c>
      <c r="D1890" s="236" t="s">
        <v>15246</v>
      </c>
      <c r="E1890" s="15">
        <v>2652</v>
      </c>
      <c r="F1890" s="274">
        <v>42933</v>
      </c>
      <c r="G1890" s="15">
        <v>2652</v>
      </c>
      <c r="H1890" s="15">
        <f>Tabla1[[#This Row],[Importe]]-Tabla1[[#This Row],[Pagado]]</f>
        <v>0</v>
      </c>
      <c r="I1890" s="275" t="s">
        <v>15214</v>
      </c>
    </row>
    <row r="1891" spans="1:9" x14ac:dyDescent="0.25">
      <c r="A1891" s="16">
        <v>42931</v>
      </c>
      <c r="B1891" s="273" t="s">
        <v>21759</v>
      </c>
      <c r="C1891">
        <v>120045</v>
      </c>
      <c r="D1891" s="236" t="s">
        <v>15252</v>
      </c>
      <c r="E1891" s="15">
        <v>9674.7000000000007</v>
      </c>
      <c r="F1891" s="274">
        <v>42934</v>
      </c>
      <c r="G1891" s="15">
        <v>9674.7000000000007</v>
      </c>
      <c r="H1891" s="15">
        <f>Tabla1[[#This Row],[Importe]]-Tabla1[[#This Row],[Pagado]]</f>
        <v>0</v>
      </c>
      <c r="I1891" s="275" t="s">
        <v>15214</v>
      </c>
    </row>
    <row r="1892" spans="1:9" x14ac:dyDescent="0.25">
      <c r="A1892" s="16">
        <v>42931</v>
      </c>
      <c r="B1892" s="273" t="s">
        <v>21760</v>
      </c>
      <c r="C1892">
        <v>120046</v>
      </c>
      <c r="D1892" s="236" t="s">
        <v>15332</v>
      </c>
      <c r="E1892" s="15">
        <v>5012</v>
      </c>
      <c r="F1892" s="274">
        <v>42932</v>
      </c>
      <c r="G1892" s="15">
        <v>5012</v>
      </c>
      <c r="H1892" s="15">
        <f>Tabla1[[#This Row],[Importe]]-Tabla1[[#This Row],[Pagado]]</f>
        <v>0</v>
      </c>
      <c r="I1892" s="275" t="s">
        <v>15214</v>
      </c>
    </row>
    <row r="1893" spans="1:9" x14ac:dyDescent="0.25">
      <c r="A1893" s="16">
        <v>42931</v>
      </c>
      <c r="B1893" s="273" t="s">
        <v>21761</v>
      </c>
      <c r="C1893">
        <v>120047</v>
      </c>
      <c r="D1893" s="236" t="s">
        <v>15510</v>
      </c>
      <c r="E1893" s="15">
        <v>420</v>
      </c>
      <c r="F1893" s="274">
        <v>42931</v>
      </c>
      <c r="G1893" s="15">
        <v>420</v>
      </c>
      <c r="H1893" s="15">
        <f>Tabla1[[#This Row],[Importe]]-Tabla1[[#This Row],[Pagado]]</f>
        <v>0</v>
      </c>
      <c r="I1893" s="275" t="s">
        <v>15214</v>
      </c>
    </row>
    <row r="1894" spans="1:9" ht="15.75" x14ac:dyDescent="0.25">
      <c r="A1894" s="16">
        <v>42931</v>
      </c>
      <c r="B1894" s="273" t="s">
        <v>21762</v>
      </c>
      <c r="C1894">
        <v>120048</v>
      </c>
      <c r="D1894" s="248" t="s">
        <v>95</v>
      </c>
      <c r="E1894" s="15">
        <v>0</v>
      </c>
      <c r="F1894" s="277" t="s">
        <v>95</v>
      </c>
      <c r="G1894" s="15">
        <v>0</v>
      </c>
      <c r="H1894" s="15">
        <f>Tabla1[[#This Row],[Importe]]-Tabla1[[#This Row],[Pagado]]</f>
        <v>0</v>
      </c>
      <c r="I1894" s="275" t="s">
        <v>95</v>
      </c>
    </row>
    <row r="1895" spans="1:9" x14ac:dyDescent="0.25">
      <c r="A1895" s="16">
        <v>42931</v>
      </c>
      <c r="B1895" s="273" t="s">
        <v>21763</v>
      </c>
      <c r="C1895">
        <v>120049</v>
      </c>
      <c r="D1895" s="236" t="s">
        <v>15342</v>
      </c>
      <c r="E1895" s="15">
        <v>1602</v>
      </c>
      <c r="F1895" s="274">
        <v>42932</v>
      </c>
      <c r="G1895" s="15">
        <v>1602</v>
      </c>
      <c r="H1895" s="15">
        <f>Tabla1[[#This Row],[Importe]]-Tabla1[[#This Row],[Pagado]]</f>
        <v>0</v>
      </c>
      <c r="I1895" s="275" t="s">
        <v>15214</v>
      </c>
    </row>
    <row r="1896" spans="1:9" x14ac:dyDescent="0.25">
      <c r="A1896" s="16">
        <v>42931</v>
      </c>
      <c r="B1896" s="273" t="s">
        <v>21764</v>
      </c>
      <c r="C1896">
        <v>120050</v>
      </c>
      <c r="D1896" s="236" t="s">
        <v>15742</v>
      </c>
      <c r="E1896" s="15">
        <v>2380</v>
      </c>
      <c r="F1896" s="274">
        <v>42932</v>
      </c>
      <c r="G1896" s="15">
        <v>2380</v>
      </c>
      <c r="H1896" s="15">
        <f>Tabla1[[#This Row],[Importe]]-Tabla1[[#This Row],[Pagado]]</f>
        <v>0</v>
      </c>
      <c r="I1896" s="275" t="s">
        <v>15214</v>
      </c>
    </row>
    <row r="1897" spans="1:9" ht="15.75" x14ac:dyDescent="0.25">
      <c r="A1897" s="16">
        <v>42931</v>
      </c>
      <c r="B1897" s="273" t="s">
        <v>21765</v>
      </c>
      <c r="C1897">
        <v>120051</v>
      </c>
      <c r="D1897" s="248" t="s">
        <v>95</v>
      </c>
      <c r="E1897" s="15">
        <v>0</v>
      </c>
      <c r="F1897" s="277" t="s">
        <v>95</v>
      </c>
      <c r="G1897" s="15">
        <v>0</v>
      </c>
      <c r="H1897" s="15">
        <f>Tabla1[[#This Row],[Importe]]-Tabla1[[#This Row],[Pagado]]</f>
        <v>0</v>
      </c>
      <c r="I1897" s="275" t="s">
        <v>95</v>
      </c>
    </row>
    <row r="1898" spans="1:9" x14ac:dyDescent="0.25">
      <c r="A1898" s="16">
        <v>42931</v>
      </c>
      <c r="B1898" s="273" t="s">
        <v>21766</v>
      </c>
      <c r="C1898">
        <v>120052</v>
      </c>
      <c r="D1898" s="236" t="s">
        <v>15510</v>
      </c>
      <c r="E1898" s="15">
        <v>11601.4</v>
      </c>
      <c r="F1898" s="274">
        <v>42931</v>
      </c>
      <c r="G1898" s="15">
        <f>1500+10101.4</f>
        <v>11601.4</v>
      </c>
      <c r="H1898" s="15">
        <f>Tabla1[[#This Row],[Importe]]-Tabla1[[#This Row],[Pagado]]</f>
        <v>0</v>
      </c>
      <c r="I1898" s="275" t="s">
        <v>15214</v>
      </c>
    </row>
    <row r="1899" spans="1:9" x14ac:dyDescent="0.25">
      <c r="A1899" s="16">
        <v>42931</v>
      </c>
      <c r="B1899" s="273" t="s">
        <v>21767</v>
      </c>
      <c r="C1899">
        <v>120053</v>
      </c>
      <c r="D1899" s="236" t="s">
        <v>15396</v>
      </c>
      <c r="E1899" s="15">
        <v>6354.6</v>
      </c>
      <c r="F1899" s="274">
        <v>42931</v>
      </c>
      <c r="G1899" s="15">
        <v>6354.6</v>
      </c>
      <c r="H1899" s="15">
        <f>Tabla1[[#This Row],[Importe]]-Tabla1[[#This Row],[Pagado]]</f>
        <v>0</v>
      </c>
      <c r="I1899" s="275" t="s">
        <v>15214</v>
      </c>
    </row>
    <row r="1900" spans="1:9" x14ac:dyDescent="0.25">
      <c r="A1900" s="16">
        <v>42931</v>
      </c>
      <c r="B1900" s="273" t="s">
        <v>21768</v>
      </c>
      <c r="C1900">
        <v>120054</v>
      </c>
      <c r="D1900" s="236" t="s">
        <v>15244</v>
      </c>
      <c r="E1900" s="15">
        <v>18808.2</v>
      </c>
      <c r="F1900" s="274">
        <v>42941</v>
      </c>
      <c r="G1900" s="15">
        <v>18808.2</v>
      </c>
      <c r="H1900" s="15">
        <f>Tabla1[[#This Row],[Importe]]-Tabla1[[#This Row],[Pagado]]</f>
        <v>0</v>
      </c>
      <c r="I1900" s="275" t="s">
        <v>15214</v>
      </c>
    </row>
    <row r="1901" spans="1:9" x14ac:dyDescent="0.25">
      <c r="A1901" s="16">
        <v>42931</v>
      </c>
      <c r="B1901" s="273" t="s">
        <v>21769</v>
      </c>
      <c r="C1901">
        <v>120055</v>
      </c>
      <c r="D1901" s="236" t="s">
        <v>15315</v>
      </c>
      <c r="E1901" s="15">
        <v>2152.6</v>
      </c>
      <c r="F1901" s="274">
        <v>42931</v>
      </c>
      <c r="G1901" s="15">
        <v>2152.6</v>
      </c>
      <c r="H1901" s="15">
        <f>Tabla1[[#This Row],[Importe]]-Tabla1[[#This Row],[Pagado]]</f>
        <v>0</v>
      </c>
      <c r="I1901" s="275" t="s">
        <v>15214</v>
      </c>
    </row>
    <row r="1902" spans="1:9" x14ac:dyDescent="0.25">
      <c r="A1902" s="16">
        <v>42931</v>
      </c>
      <c r="B1902" s="273" t="s">
        <v>21770</v>
      </c>
      <c r="C1902">
        <v>120056</v>
      </c>
      <c r="D1902" s="236" t="s">
        <v>15912</v>
      </c>
      <c r="E1902" s="15">
        <v>2103.3000000000002</v>
      </c>
      <c r="F1902" s="274">
        <v>42932</v>
      </c>
      <c r="G1902" s="15">
        <v>2103.3000000000002</v>
      </c>
      <c r="H1902" s="15">
        <f>Tabla1[[#This Row],[Importe]]-Tabla1[[#This Row],[Pagado]]</f>
        <v>0</v>
      </c>
      <c r="I1902" s="275" t="s">
        <v>15214</v>
      </c>
    </row>
    <row r="1903" spans="1:9" x14ac:dyDescent="0.25">
      <c r="A1903" s="16">
        <v>42931</v>
      </c>
      <c r="B1903" s="273" t="s">
        <v>21771</v>
      </c>
      <c r="C1903">
        <v>120057</v>
      </c>
      <c r="D1903" s="236" t="s">
        <v>15725</v>
      </c>
      <c r="E1903" s="15">
        <v>32032.400000000001</v>
      </c>
      <c r="F1903" s="274">
        <v>42933</v>
      </c>
      <c r="G1903" s="15">
        <v>32032.400000000001</v>
      </c>
      <c r="H1903" s="15">
        <f>Tabla1[[#This Row],[Importe]]-Tabla1[[#This Row],[Pagado]]</f>
        <v>0</v>
      </c>
      <c r="I1903" s="275" t="s">
        <v>15214</v>
      </c>
    </row>
    <row r="1904" spans="1:9" ht="15.75" x14ac:dyDescent="0.25">
      <c r="A1904" s="16">
        <v>42931</v>
      </c>
      <c r="B1904" s="273" t="s">
        <v>21772</v>
      </c>
      <c r="C1904">
        <v>120058</v>
      </c>
      <c r="D1904" s="248" t="s">
        <v>95</v>
      </c>
      <c r="E1904" s="15">
        <v>0</v>
      </c>
      <c r="F1904" s="277" t="s">
        <v>95</v>
      </c>
      <c r="G1904" s="15">
        <v>0</v>
      </c>
      <c r="H1904" s="15">
        <f>Tabla1[[#This Row],[Importe]]-Tabla1[[#This Row],[Pagado]]</f>
        <v>0</v>
      </c>
      <c r="I1904" s="275" t="s">
        <v>95</v>
      </c>
    </row>
    <row r="1905" spans="1:9" ht="15.75" x14ac:dyDescent="0.25">
      <c r="A1905" s="16">
        <v>42931</v>
      </c>
      <c r="B1905" s="273" t="s">
        <v>21773</v>
      </c>
      <c r="C1905">
        <v>120059</v>
      </c>
      <c r="D1905" s="248" t="s">
        <v>95</v>
      </c>
      <c r="E1905" s="15">
        <v>0</v>
      </c>
      <c r="F1905" s="277" t="s">
        <v>95</v>
      </c>
      <c r="G1905" s="15">
        <v>0</v>
      </c>
      <c r="H1905" s="15">
        <f>Tabla1[[#This Row],[Importe]]-Tabla1[[#This Row],[Pagado]]</f>
        <v>0</v>
      </c>
      <c r="I1905" s="275" t="s">
        <v>95</v>
      </c>
    </row>
    <row r="1906" spans="1:9" x14ac:dyDescent="0.25">
      <c r="A1906" s="16">
        <v>42931</v>
      </c>
      <c r="B1906" s="273" t="s">
        <v>21774</v>
      </c>
      <c r="C1906">
        <v>120060</v>
      </c>
      <c r="D1906" s="236" t="s">
        <v>19768</v>
      </c>
      <c r="E1906" s="15">
        <v>3300</v>
      </c>
      <c r="F1906" s="274">
        <v>42931</v>
      </c>
      <c r="G1906" s="15">
        <v>3300</v>
      </c>
      <c r="H1906" s="15">
        <f>Tabla1[[#This Row],[Importe]]-Tabla1[[#This Row],[Pagado]]</f>
        <v>0</v>
      </c>
      <c r="I1906" s="275" t="s">
        <v>15214</v>
      </c>
    </row>
    <row r="1907" spans="1:9" x14ac:dyDescent="0.25">
      <c r="A1907" s="16">
        <v>42931</v>
      </c>
      <c r="B1907" s="273" t="s">
        <v>21775</v>
      </c>
      <c r="C1907">
        <v>120061</v>
      </c>
      <c r="D1907" s="236" t="s">
        <v>16383</v>
      </c>
      <c r="E1907" s="15">
        <v>9855.6</v>
      </c>
      <c r="F1907" s="274">
        <v>42931</v>
      </c>
      <c r="G1907" s="15">
        <v>9855.6</v>
      </c>
      <c r="H1907" s="15">
        <f>Tabla1[[#This Row],[Importe]]-Tabla1[[#This Row],[Pagado]]</f>
        <v>0</v>
      </c>
      <c r="I1907" s="275" t="s">
        <v>15214</v>
      </c>
    </row>
    <row r="1908" spans="1:9" x14ac:dyDescent="0.25">
      <c r="A1908" s="16">
        <v>42931</v>
      </c>
      <c r="B1908" s="273" t="s">
        <v>21776</v>
      </c>
      <c r="C1908">
        <v>120062</v>
      </c>
      <c r="D1908" s="236" t="s">
        <v>15890</v>
      </c>
      <c r="E1908" s="15">
        <v>9346</v>
      </c>
      <c r="F1908" s="274">
        <v>42934</v>
      </c>
      <c r="G1908" s="15">
        <v>9346</v>
      </c>
      <c r="H1908" s="15">
        <f>Tabla1[[#This Row],[Importe]]-Tabla1[[#This Row],[Pagado]]</f>
        <v>0</v>
      </c>
      <c r="I1908" s="275" t="s">
        <v>15214</v>
      </c>
    </row>
    <row r="1909" spans="1:9" x14ac:dyDescent="0.25">
      <c r="A1909" s="16">
        <v>42931</v>
      </c>
      <c r="B1909" s="273" t="s">
        <v>21777</v>
      </c>
      <c r="C1909">
        <v>120063</v>
      </c>
      <c r="D1909" s="236" t="s">
        <v>15566</v>
      </c>
      <c r="E1909" s="15">
        <v>3997.4</v>
      </c>
      <c r="F1909" s="274">
        <v>42931</v>
      </c>
      <c r="G1909" s="15">
        <v>3997.4</v>
      </c>
      <c r="H1909" s="15">
        <f>Tabla1[[#This Row],[Importe]]-Tabla1[[#This Row],[Pagado]]</f>
        <v>0</v>
      </c>
      <c r="I1909" s="275" t="s">
        <v>15214</v>
      </c>
    </row>
    <row r="1910" spans="1:9" x14ac:dyDescent="0.25">
      <c r="A1910" s="16">
        <v>42931</v>
      </c>
      <c r="B1910" s="273" t="s">
        <v>21778</v>
      </c>
      <c r="C1910">
        <v>120064</v>
      </c>
      <c r="D1910" s="236" t="s">
        <v>15596</v>
      </c>
      <c r="E1910" s="15">
        <v>1375</v>
      </c>
      <c r="F1910" s="274">
        <v>42931</v>
      </c>
      <c r="G1910" s="15">
        <v>1375</v>
      </c>
      <c r="H1910" s="15">
        <f>Tabla1[[#This Row],[Importe]]-Tabla1[[#This Row],[Pagado]]</f>
        <v>0</v>
      </c>
      <c r="I1910" s="275" t="s">
        <v>15214</v>
      </c>
    </row>
    <row r="1911" spans="1:9" x14ac:dyDescent="0.25">
      <c r="A1911" s="16">
        <v>42931</v>
      </c>
      <c r="B1911" s="273" t="s">
        <v>21779</v>
      </c>
      <c r="C1911">
        <v>120065</v>
      </c>
      <c r="D1911" s="236" t="s">
        <v>15338</v>
      </c>
      <c r="E1911" s="15">
        <v>8875.9</v>
      </c>
      <c r="F1911" s="274">
        <v>42935</v>
      </c>
      <c r="G1911" s="15">
        <v>8875.9</v>
      </c>
      <c r="H1911" s="15">
        <f>Tabla1[[#This Row],[Importe]]-Tabla1[[#This Row],[Pagado]]</f>
        <v>0</v>
      </c>
      <c r="I1911" s="275" t="s">
        <v>15214</v>
      </c>
    </row>
    <row r="1912" spans="1:9" x14ac:dyDescent="0.25">
      <c r="A1912" s="16">
        <v>42931</v>
      </c>
      <c r="B1912" s="273" t="s">
        <v>21780</v>
      </c>
      <c r="C1912">
        <v>120066</v>
      </c>
      <c r="D1912" s="236" t="s">
        <v>15391</v>
      </c>
      <c r="E1912" s="15">
        <v>15262.8</v>
      </c>
      <c r="F1912" s="274">
        <v>42933</v>
      </c>
      <c r="G1912" s="15">
        <v>15262.8</v>
      </c>
      <c r="H1912" s="15">
        <f>Tabla1[[#This Row],[Importe]]-Tabla1[[#This Row],[Pagado]]</f>
        <v>0</v>
      </c>
      <c r="I1912" s="275" t="s">
        <v>15214</v>
      </c>
    </row>
    <row r="1913" spans="1:9" x14ac:dyDescent="0.25">
      <c r="A1913" s="16">
        <v>42931</v>
      </c>
      <c r="B1913" s="273" t="s">
        <v>21781</v>
      </c>
      <c r="C1913">
        <v>120067</v>
      </c>
      <c r="D1913" s="236" t="s">
        <v>15274</v>
      </c>
      <c r="E1913" s="15">
        <v>1808</v>
      </c>
      <c r="F1913" s="274">
        <v>42931</v>
      </c>
      <c r="G1913" s="15">
        <v>1808</v>
      </c>
      <c r="H1913" s="15">
        <f>Tabla1[[#This Row],[Importe]]-Tabla1[[#This Row],[Pagado]]</f>
        <v>0</v>
      </c>
      <c r="I1913" s="275" t="s">
        <v>15214</v>
      </c>
    </row>
    <row r="1914" spans="1:9" x14ac:dyDescent="0.25">
      <c r="A1914" s="16">
        <v>42931</v>
      </c>
      <c r="B1914" s="273" t="s">
        <v>21782</v>
      </c>
      <c r="C1914">
        <v>120068</v>
      </c>
      <c r="D1914" s="236" t="s">
        <v>15581</v>
      </c>
      <c r="E1914" s="15">
        <v>9528.2999999999993</v>
      </c>
      <c r="F1914" s="274">
        <v>42934</v>
      </c>
      <c r="G1914" s="15">
        <v>9528.2999999999993</v>
      </c>
      <c r="H1914" s="15">
        <f>Tabla1[[#This Row],[Importe]]-Tabla1[[#This Row],[Pagado]]</f>
        <v>0</v>
      </c>
      <c r="I1914" s="275" t="s">
        <v>15214</v>
      </c>
    </row>
    <row r="1915" spans="1:9" x14ac:dyDescent="0.25">
      <c r="A1915" s="16">
        <v>42931</v>
      </c>
      <c r="B1915" s="273" t="s">
        <v>21783</v>
      </c>
      <c r="C1915">
        <v>120069</v>
      </c>
      <c r="D1915" s="236" t="s">
        <v>15856</v>
      </c>
      <c r="E1915" s="15">
        <v>1352.9</v>
      </c>
      <c r="F1915" s="274">
        <v>42931</v>
      </c>
      <c r="G1915" s="15">
        <v>1352.9</v>
      </c>
      <c r="H1915" s="15">
        <f>Tabla1[[#This Row],[Importe]]-Tabla1[[#This Row],[Pagado]]</f>
        <v>0</v>
      </c>
      <c r="I1915" s="275" t="s">
        <v>15214</v>
      </c>
    </row>
    <row r="1916" spans="1:9" x14ac:dyDescent="0.25">
      <c r="A1916" s="16">
        <v>42931</v>
      </c>
      <c r="B1916" s="273" t="s">
        <v>21784</v>
      </c>
      <c r="C1916">
        <v>120070</v>
      </c>
      <c r="D1916" s="236" t="s">
        <v>15363</v>
      </c>
      <c r="E1916" s="15">
        <v>2564.3000000000002</v>
      </c>
      <c r="F1916" s="274">
        <v>42931</v>
      </c>
      <c r="G1916" s="15">
        <v>2564.3000000000002</v>
      </c>
      <c r="H1916" s="15">
        <f>Tabla1[[#This Row],[Importe]]-Tabla1[[#This Row],[Pagado]]</f>
        <v>0</v>
      </c>
      <c r="I1916" s="275" t="s">
        <v>15214</v>
      </c>
    </row>
    <row r="1917" spans="1:9" x14ac:dyDescent="0.25">
      <c r="A1917" s="16">
        <v>42931</v>
      </c>
      <c r="B1917" s="273" t="s">
        <v>21785</v>
      </c>
      <c r="C1917">
        <v>120071</v>
      </c>
      <c r="D1917" s="236" t="s">
        <v>15361</v>
      </c>
      <c r="E1917" s="15">
        <v>5497.8</v>
      </c>
      <c r="F1917" s="274">
        <v>42931</v>
      </c>
      <c r="G1917" s="15">
        <v>5497.8</v>
      </c>
      <c r="H1917" s="15">
        <f>Tabla1[[#This Row],[Importe]]-Tabla1[[#This Row],[Pagado]]</f>
        <v>0</v>
      </c>
      <c r="I1917" s="275" t="s">
        <v>15214</v>
      </c>
    </row>
    <row r="1918" spans="1:9" x14ac:dyDescent="0.25">
      <c r="A1918" s="16">
        <v>42931</v>
      </c>
      <c r="B1918" s="273" t="s">
        <v>21786</v>
      </c>
      <c r="C1918">
        <v>120072</v>
      </c>
      <c r="D1918" s="236" t="s">
        <v>15282</v>
      </c>
      <c r="E1918" s="15">
        <v>3877.7</v>
      </c>
      <c r="F1918" s="274">
        <v>42931</v>
      </c>
      <c r="G1918" s="15">
        <v>3877.7</v>
      </c>
      <c r="H1918" s="15">
        <f>Tabla1[[#This Row],[Importe]]-Tabla1[[#This Row],[Pagado]]</f>
        <v>0</v>
      </c>
      <c r="I1918" s="275" t="s">
        <v>15214</v>
      </c>
    </row>
    <row r="1919" spans="1:9" ht="15.75" x14ac:dyDescent="0.25">
      <c r="A1919" s="16">
        <v>42931</v>
      </c>
      <c r="B1919" s="273" t="s">
        <v>21787</v>
      </c>
      <c r="C1919">
        <v>120073</v>
      </c>
      <c r="D1919" s="248" t="s">
        <v>95</v>
      </c>
      <c r="E1919" s="15">
        <v>0</v>
      </c>
      <c r="F1919" s="277" t="s">
        <v>95</v>
      </c>
      <c r="G1919" s="15">
        <v>0</v>
      </c>
      <c r="H1919" s="15">
        <f>Tabla1[[#This Row],[Importe]]-Tabla1[[#This Row],[Pagado]]</f>
        <v>0</v>
      </c>
      <c r="I1919" s="275" t="s">
        <v>95</v>
      </c>
    </row>
    <row r="1920" spans="1:9" x14ac:dyDescent="0.25">
      <c r="A1920" s="16">
        <v>42931</v>
      </c>
      <c r="B1920" s="273" t="s">
        <v>21788</v>
      </c>
      <c r="C1920">
        <v>120074</v>
      </c>
      <c r="D1920" s="236" t="s">
        <v>15298</v>
      </c>
      <c r="E1920" s="15">
        <v>182</v>
      </c>
      <c r="F1920" s="274">
        <v>42931</v>
      </c>
      <c r="G1920" s="15">
        <v>182</v>
      </c>
      <c r="H1920" s="15">
        <f>Tabla1[[#This Row],[Importe]]-Tabla1[[#This Row],[Pagado]]</f>
        <v>0</v>
      </c>
      <c r="I1920" s="275" t="s">
        <v>15214</v>
      </c>
    </row>
    <row r="1921" spans="1:9" ht="15.75" x14ac:dyDescent="0.25">
      <c r="A1921" s="16">
        <v>42931</v>
      </c>
      <c r="B1921" s="273" t="s">
        <v>21789</v>
      </c>
      <c r="C1921">
        <v>120075</v>
      </c>
      <c r="D1921" s="248" t="s">
        <v>95</v>
      </c>
      <c r="E1921" s="15">
        <v>0</v>
      </c>
      <c r="F1921" s="277" t="s">
        <v>95</v>
      </c>
      <c r="G1921" s="15">
        <v>0</v>
      </c>
      <c r="H1921" s="15">
        <f>Tabla1[[#This Row],[Importe]]-Tabla1[[#This Row],[Pagado]]</f>
        <v>0</v>
      </c>
      <c r="I1921" s="275" t="s">
        <v>95</v>
      </c>
    </row>
    <row r="1922" spans="1:9" x14ac:dyDescent="0.25">
      <c r="A1922" s="16">
        <v>42931</v>
      </c>
      <c r="B1922" s="273" t="s">
        <v>21790</v>
      </c>
      <c r="C1922">
        <v>120076</v>
      </c>
      <c r="D1922" s="236" t="s">
        <v>15246</v>
      </c>
      <c r="E1922" s="15">
        <v>119804</v>
      </c>
      <c r="F1922" s="274">
        <v>42933</v>
      </c>
      <c r="G1922" s="15">
        <v>119804</v>
      </c>
      <c r="H1922" s="15">
        <f>Tabla1[[#This Row],[Importe]]-Tabla1[[#This Row],[Pagado]]</f>
        <v>0</v>
      </c>
      <c r="I1922" s="275" t="s">
        <v>15214</v>
      </c>
    </row>
    <row r="1923" spans="1:9" x14ac:dyDescent="0.25">
      <c r="A1923" s="16">
        <v>42931</v>
      </c>
      <c r="B1923" s="273" t="s">
        <v>21791</v>
      </c>
      <c r="C1923">
        <v>120077</v>
      </c>
      <c r="D1923" s="236" t="s">
        <v>15298</v>
      </c>
      <c r="E1923" s="15">
        <v>491.4</v>
      </c>
      <c r="F1923" s="274">
        <v>42931</v>
      </c>
      <c r="G1923" s="15">
        <v>491.4</v>
      </c>
      <c r="H1923" s="15">
        <f>Tabla1[[#This Row],[Importe]]-Tabla1[[#This Row],[Pagado]]</f>
        <v>0</v>
      </c>
      <c r="I1923" s="275" t="s">
        <v>15214</v>
      </c>
    </row>
    <row r="1924" spans="1:9" x14ac:dyDescent="0.25">
      <c r="A1924" s="16">
        <v>42931</v>
      </c>
      <c r="B1924" s="273" t="s">
        <v>21792</v>
      </c>
      <c r="C1924">
        <v>120078</v>
      </c>
      <c r="D1924" s="236" t="s">
        <v>15246</v>
      </c>
      <c r="E1924" s="15">
        <v>398361.67</v>
      </c>
      <c r="F1924" s="274">
        <v>42933</v>
      </c>
      <c r="G1924" s="15">
        <v>398361.67</v>
      </c>
      <c r="H1924" s="15">
        <f>Tabla1[[#This Row],[Importe]]-Tabla1[[#This Row],[Pagado]]</f>
        <v>0</v>
      </c>
      <c r="I1924" s="275" t="s">
        <v>15214</v>
      </c>
    </row>
    <row r="1925" spans="1:9" x14ac:dyDescent="0.25">
      <c r="A1925" s="16">
        <v>42931</v>
      </c>
      <c r="B1925" s="273" t="s">
        <v>21793</v>
      </c>
      <c r="C1925">
        <v>120079</v>
      </c>
      <c r="D1925" s="236" t="s">
        <v>15365</v>
      </c>
      <c r="E1925" s="15">
        <v>25322</v>
      </c>
      <c r="F1925" s="274">
        <v>42936</v>
      </c>
      <c r="G1925" s="15">
        <v>25322</v>
      </c>
      <c r="H1925" s="15">
        <f>Tabla1[[#This Row],[Importe]]-Tabla1[[#This Row],[Pagado]]</f>
        <v>0</v>
      </c>
      <c r="I1925" s="275" t="s">
        <v>15214</v>
      </c>
    </row>
    <row r="1926" spans="1:9" x14ac:dyDescent="0.25">
      <c r="A1926" s="16">
        <v>42931</v>
      </c>
      <c r="B1926" s="273" t="s">
        <v>21794</v>
      </c>
      <c r="C1926">
        <v>120080</v>
      </c>
      <c r="D1926" s="236" t="s">
        <v>15555</v>
      </c>
      <c r="E1926" s="15">
        <v>38500.400000000001</v>
      </c>
      <c r="F1926" s="274">
        <v>42938</v>
      </c>
      <c r="G1926" s="15">
        <v>38500.400000000001</v>
      </c>
      <c r="H1926" s="15">
        <f>Tabla1[[#This Row],[Importe]]-Tabla1[[#This Row],[Pagado]]</f>
        <v>0</v>
      </c>
      <c r="I1926" s="275" t="s">
        <v>15214</v>
      </c>
    </row>
    <row r="1927" spans="1:9" x14ac:dyDescent="0.25">
      <c r="A1927" s="16">
        <v>42931</v>
      </c>
      <c r="B1927" s="273" t="s">
        <v>21795</v>
      </c>
      <c r="C1927">
        <v>120081</v>
      </c>
      <c r="D1927" s="236" t="s">
        <v>15537</v>
      </c>
      <c r="E1927" s="15">
        <v>31574.2</v>
      </c>
      <c r="F1927" s="274">
        <v>42935</v>
      </c>
      <c r="G1927" s="15">
        <v>31574.2</v>
      </c>
      <c r="H1927" s="15">
        <f>Tabla1[[#This Row],[Importe]]-Tabla1[[#This Row],[Pagado]]</f>
        <v>0</v>
      </c>
      <c r="I1927" s="275" t="s">
        <v>15214</v>
      </c>
    </row>
    <row r="1928" spans="1:9" x14ac:dyDescent="0.25">
      <c r="A1928" s="16">
        <v>42931</v>
      </c>
      <c r="B1928" s="273" t="s">
        <v>21796</v>
      </c>
      <c r="C1928">
        <v>120082</v>
      </c>
      <c r="D1928" s="236" t="s">
        <v>15555</v>
      </c>
      <c r="E1928" s="15">
        <v>834.6</v>
      </c>
      <c r="F1928" s="274">
        <v>42935</v>
      </c>
      <c r="G1928" s="15">
        <v>834.6</v>
      </c>
      <c r="H1928" s="15">
        <f>Tabla1[[#This Row],[Importe]]-Tabla1[[#This Row],[Pagado]]</f>
        <v>0</v>
      </c>
      <c r="I1928" s="275" t="s">
        <v>15214</v>
      </c>
    </row>
    <row r="1929" spans="1:9" x14ac:dyDescent="0.25">
      <c r="A1929" s="16">
        <v>42931</v>
      </c>
      <c r="B1929" s="273" t="s">
        <v>21797</v>
      </c>
      <c r="C1929">
        <v>120083</v>
      </c>
      <c r="D1929" s="236" t="s">
        <v>15315</v>
      </c>
      <c r="E1929" s="15">
        <v>12968.2</v>
      </c>
      <c r="F1929" s="274">
        <v>42935</v>
      </c>
      <c r="G1929" s="15">
        <v>12968.2</v>
      </c>
      <c r="H1929" s="15">
        <f>Tabla1[[#This Row],[Importe]]-Tabla1[[#This Row],[Pagado]]</f>
        <v>0</v>
      </c>
      <c r="I1929" s="275" t="s">
        <v>15214</v>
      </c>
    </row>
    <row r="1930" spans="1:9" x14ac:dyDescent="0.25">
      <c r="A1930" s="16">
        <v>42931</v>
      </c>
      <c r="B1930" s="273" t="s">
        <v>21798</v>
      </c>
      <c r="C1930">
        <v>120084</v>
      </c>
      <c r="D1930" s="236" t="s">
        <v>16040</v>
      </c>
      <c r="E1930" s="15">
        <v>9749.6</v>
      </c>
      <c r="F1930" s="274">
        <v>42938</v>
      </c>
      <c r="G1930" s="15">
        <v>9749.6</v>
      </c>
      <c r="H1930" s="15">
        <f>Tabla1[[#This Row],[Importe]]-Tabla1[[#This Row],[Pagado]]</f>
        <v>0</v>
      </c>
      <c r="I1930" s="275" t="s">
        <v>15214</v>
      </c>
    </row>
    <row r="1931" spans="1:9" x14ac:dyDescent="0.25">
      <c r="A1931" s="16">
        <v>42931</v>
      </c>
      <c r="B1931" s="273" t="s">
        <v>21799</v>
      </c>
      <c r="C1931">
        <v>120085</v>
      </c>
      <c r="D1931" s="236" t="s">
        <v>15315</v>
      </c>
      <c r="E1931" s="15">
        <v>3927.6</v>
      </c>
      <c r="F1931" s="274">
        <v>42935</v>
      </c>
      <c r="G1931" s="15">
        <v>3927.6</v>
      </c>
      <c r="H1931" s="15">
        <f>Tabla1[[#This Row],[Importe]]-Tabla1[[#This Row],[Pagado]]</f>
        <v>0</v>
      </c>
      <c r="I1931" s="275" t="s">
        <v>15214</v>
      </c>
    </row>
    <row r="1932" spans="1:9" x14ac:dyDescent="0.25">
      <c r="A1932" s="16">
        <v>42931</v>
      </c>
      <c r="B1932" s="273" t="s">
        <v>21800</v>
      </c>
      <c r="C1932">
        <v>120086</v>
      </c>
      <c r="D1932" s="236" t="s">
        <v>15699</v>
      </c>
      <c r="E1932" s="15">
        <v>3586.6</v>
      </c>
      <c r="F1932" s="274">
        <v>42944</v>
      </c>
      <c r="G1932" s="15">
        <v>3586.6</v>
      </c>
      <c r="H1932" s="15">
        <f>Tabla1[[#This Row],[Importe]]-Tabla1[[#This Row],[Pagado]]</f>
        <v>0</v>
      </c>
      <c r="I1932" s="275" t="s">
        <v>15214</v>
      </c>
    </row>
    <row r="1933" spans="1:9" x14ac:dyDescent="0.25">
      <c r="A1933" s="16">
        <v>42931</v>
      </c>
      <c r="B1933" s="273" t="s">
        <v>21801</v>
      </c>
      <c r="C1933">
        <v>120087</v>
      </c>
      <c r="D1933" s="236" t="s">
        <v>15315</v>
      </c>
      <c r="E1933" s="15">
        <v>3461.5</v>
      </c>
      <c r="F1933" s="274">
        <v>42935</v>
      </c>
      <c r="G1933" s="15">
        <v>3461.5</v>
      </c>
      <c r="H1933" s="15">
        <f>Tabla1[[#This Row],[Importe]]-Tabla1[[#This Row],[Pagado]]</f>
        <v>0</v>
      </c>
      <c r="I1933" s="275" t="s">
        <v>15214</v>
      </c>
    </row>
    <row r="1934" spans="1:9" x14ac:dyDescent="0.25">
      <c r="A1934" s="16">
        <v>42931</v>
      </c>
      <c r="B1934" s="273" t="s">
        <v>21802</v>
      </c>
      <c r="C1934">
        <v>120088</v>
      </c>
      <c r="D1934" s="236" t="s">
        <v>15544</v>
      </c>
      <c r="E1934" s="15">
        <v>2651</v>
      </c>
      <c r="F1934" s="274">
        <v>42935</v>
      </c>
      <c r="G1934" s="15">
        <v>2651</v>
      </c>
      <c r="H1934" s="15">
        <f>Tabla1[[#This Row],[Importe]]-Tabla1[[#This Row],[Pagado]]</f>
        <v>0</v>
      </c>
      <c r="I1934" s="275" t="s">
        <v>15214</v>
      </c>
    </row>
    <row r="1935" spans="1:9" x14ac:dyDescent="0.25">
      <c r="A1935" s="16">
        <v>42931</v>
      </c>
      <c r="B1935" s="273" t="s">
        <v>21803</v>
      </c>
      <c r="C1935">
        <v>120089</v>
      </c>
      <c r="D1935" s="236" t="s">
        <v>17708</v>
      </c>
      <c r="E1935" s="15">
        <v>5367.3</v>
      </c>
      <c r="F1935" s="274">
        <v>42942</v>
      </c>
      <c r="G1935" s="15">
        <v>5367.3</v>
      </c>
      <c r="H1935" s="15">
        <f>Tabla1[[#This Row],[Importe]]-Tabla1[[#This Row],[Pagado]]</f>
        <v>0</v>
      </c>
      <c r="I1935" s="275" t="s">
        <v>15214</v>
      </c>
    </row>
    <row r="1936" spans="1:9" x14ac:dyDescent="0.25">
      <c r="A1936" s="16">
        <v>42931</v>
      </c>
      <c r="B1936" s="273" t="s">
        <v>21804</v>
      </c>
      <c r="C1936">
        <v>120090</v>
      </c>
      <c r="D1936" s="236" t="s">
        <v>15228</v>
      </c>
      <c r="E1936" s="15">
        <v>2650</v>
      </c>
      <c r="F1936" s="274">
        <v>42931</v>
      </c>
      <c r="G1936" s="15">
        <v>2650</v>
      </c>
      <c r="H1936" s="15">
        <f>Tabla1[[#This Row],[Importe]]-Tabla1[[#This Row],[Pagado]]</f>
        <v>0</v>
      </c>
      <c r="I1936" s="275" t="s">
        <v>15214</v>
      </c>
    </row>
    <row r="1937" spans="1:9" x14ac:dyDescent="0.25">
      <c r="A1937" s="16">
        <v>42931</v>
      </c>
      <c r="B1937" s="273" t="s">
        <v>21805</v>
      </c>
      <c r="C1937">
        <v>120091</v>
      </c>
      <c r="D1937" s="236" t="s">
        <v>15378</v>
      </c>
      <c r="E1937" s="15">
        <v>379.2</v>
      </c>
      <c r="F1937" s="274">
        <v>42931</v>
      </c>
      <c r="G1937" s="15">
        <v>379.2</v>
      </c>
      <c r="H1937" s="15">
        <f>Tabla1[[#This Row],[Importe]]-Tabla1[[#This Row],[Pagado]]</f>
        <v>0</v>
      </c>
      <c r="I1937" s="275" t="s">
        <v>15214</v>
      </c>
    </row>
    <row r="1938" spans="1:9" ht="15.75" x14ac:dyDescent="0.25">
      <c r="A1938" s="16">
        <v>42931</v>
      </c>
      <c r="B1938" s="273" t="s">
        <v>21806</v>
      </c>
      <c r="C1938">
        <v>120092</v>
      </c>
      <c r="D1938" s="248" t="s">
        <v>95</v>
      </c>
      <c r="E1938" s="15">
        <v>0</v>
      </c>
      <c r="F1938" s="277" t="s">
        <v>95</v>
      </c>
      <c r="G1938" s="15">
        <v>0</v>
      </c>
      <c r="H1938" s="15">
        <f>Tabla1[[#This Row],[Importe]]-Tabla1[[#This Row],[Pagado]]</f>
        <v>0</v>
      </c>
      <c r="I1938" s="275" t="s">
        <v>95</v>
      </c>
    </row>
    <row r="1939" spans="1:9" x14ac:dyDescent="0.25">
      <c r="A1939" s="16">
        <v>42931</v>
      </c>
      <c r="B1939" s="273" t="s">
        <v>21807</v>
      </c>
      <c r="C1939">
        <v>120093</v>
      </c>
      <c r="D1939" s="236" t="s">
        <v>15884</v>
      </c>
      <c r="E1939" s="15">
        <v>6805.2</v>
      </c>
      <c r="F1939" s="274">
        <v>42931</v>
      </c>
      <c r="G1939" s="15">
        <v>6805.2</v>
      </c>
      <c r="H1939" s="15">
        <f>Tabla1[[#This Row],[Importe]]-Tabla1[[#This Row],[Pagado]]</f>
        <v>0</v>
      </c>
      <c r="I1939" s="275" t="s">
        <v>15214</v>
      </c>
    </row>
    <row r="1940" spans="1:9" x14ac:dyDescent="0.25">
      <c r="A1940" s="16">
        <v>42931</v>
      </c>
      <c r="B1940" s="273" t="s">
        <v>21808</v>
      </c>
      <c r="C1940">
        <v>120094</v>
      </c>
      <c r="D1940" s="236" t="s">
        <v>15276</v>
      </c>
      <c r="E1940" s="15">
        <v>6600</v>
      </c>
      <c r="F1940" s="274">
        <v>42932</v>
      </c>
      <c r="G1940" s="15">
        <v>6600</v>
      </c>
      <c r="H1940" s="15">
        <f>Tabla1[[#This Row],[Importe]]-Tabla1[[#This Row],[Pagado]]</f>
        <v>0</v>
      </c>
      <c r="I1940" s="275" t="s">
        <v>15214</v>
      </c>
    </row>
    <row r="1941" spans="1:9" x14ac:dyDescent="0.25">
      <c r="A1941" s="16">
        <v>42931</v>
      </c>
      <c r="B1941" s="273" t="s">
        <v>21809</v>
      </c>
      <c r="C1941">
        <v>120095</v>
      </c>
      <c r="D1941" s="236" t="s">
        <v>19933</v>
      </c>
      <c r="E1941" s="15">
        <v>3137.8</v>
      </c>
      <c r="F1941" s="274">
        <v>42931</v>
      </c>
      <c r="G1941" s="15">
        <v>3137.8</v>
      </c>
      <c r="H1941" s="15">
        <f>Tabla1[[#This Row],[Importe]]-Tabla1[[#This Row],[Pagado]]</f>
        <v>0</v>
      </c>
      <c r="I1941" s="275" t="s">
        <v>15214</v>
      </c>
    </row>
    <row r="1942" spans="1:9" x14ac:dyDescent="0.25">
      <c r="A1942" s="16">
        <v>42931</v>
      </c>
      <c r="B1942" s="273" t="s">
        <v>21810</v>
      </c>
      <c r="C1942">
        <v>120096</v>
      </c>
      <c r="D1942" s="236" t="s">
        <v>16277</v>
      </c>
      <c r="E1942" s="15">
        <v>520</v>
      </c>
      <c r="F1942" s="274">
        <v>42932</v>
      </c>
      <c r="G1942" s="15">
        <v>520</v>
      </c>
      <c r="H1942" s="15">
        <f>Tabla1[[#This Row],[Importe]]-Tabla1[[#This Row],[Pagado]]</f>
        <v>0</v>
      </c>
      <c r="I1942" s="275" t="s">
        <v>15214</v>
      </c>
    </row>
    <row r="1943" spans="1:9" x14ac:dyDescent="0.25">
      <c r="A1943" s="16">
        <v>42931</v>
      </c>
      <c r="B1943" s="273" t="s">
        <v>21811</v>
      </c>
      <c r="C1943">
        <v>120097</v>
      </c>
      <c r="D1943" s="236" t="s">
        <v>15263</v>
      </c>
      <c r="E1943" s="15">
        <v>474.6</v>
      </c>
      <c r="F1943" s="274">
        <v>42931</v>
      </c>
      <c r="G1943" s="15">
        <v>474.6</v>
      </c>
      <c r="H1943" s="15">
        <f>Tabla1[[#This Row],[Importe]]-Tabla1[[#This Row],[Pagado]]</f>
        <v>0</v>
      </c>
      <c r="I1943" s="275" t="s">
        <v>15214</v>
      </c>
    </row>
    <row r="1944" spans="1:9" x14ac:dyDescent="0.25">
      <c r="A1944" s="16">
        <v>42931</v>
      </c>
      <c r="B1944" s="273" t="s">
        <v>21812</v>
      </c>
      <c r="C1944">
        <v>120098</v>
      </c>
      <c r="D1944" s="236" t="s">
        <v>15417</v>
      </c>
      <c r="E1944" s="15">
        <v>5443.2</v>
      </c>
      <c r="F1944" s="274">
        <v>42932</v>
      </c>
      <c r="G1944" s="15">
        <v>5443.2</v>
      </c>
      <c r="H1944" s="15">
        <f>Tabla1[[#This Row],[Importe]]-Tabla1[[#This Row],[Pagado]]</f>
        <v>0</v>
      </c>
      <c r="I1944" s="275" t="s">
        <v>15214</v>
      </c>
    </row>
    <row r="1945" spans="1:9" x14ac:dyDescent="0.25">
      <c r="A1945" s="16">
        <v>42931</v>
      </c>
      <c r="B1945" s="273" t="s">
        <v>21813</v>
      </c>
      <c r="C1945">
        <v>120099</v>
      </c>
      <c r="D1945" s="236" t="s">
        <v>17722</v>
      </c>
      <c r="E1945" s="15">
        <v>1479.2</v>
      </c>
      <c r="F1945" s="274">
        <v>42931</v>
      </c>
      <c r="G1945" s="15">
        <v>1479.2</v>
      </c>
      <c r="H1945" s="15">
        <f>Tabla1[[#This Row],[Importe]]-Tabla1[[#This Row],[Pagado]]</f>
        <v>0</v>
      </c>
      <c r="I1945" s="275" t="s">
        <v>15214</v>
      </c>
    </row>
    <row r="1946" spans="1:9" x14ac:dyDescent="0.25">
      <c r="A1946" s="16">
        <v>42931</v>
      </c>
      <c r="B1946" s="273" t="s">
        <v>21814</v>
      </c>
      <c r="C1946">
        <v>120100</v>
      </c>
      <c r="D1946" s="236" t="s">
        <v>5556</v>
      </c>
      <c r="E1946" s="15">
        <v>36526.9</v>
      </c>
      <c r="F1946" s="274">
        <v>42935</v>
      </c>
      <c r="G1946" s="15">
        <v>36526.9</v>
      </c>
      <c r="H1946" s="15">
        <f>Tabla1[[#This Row],[Importe]]-Tabla1[[#This Row],[Pagado]]</f>
        <v>0</v>
      </c>
      <c r="I1946" s="275" t="s">
        <v>15214</v>
      </c>
    </row>
    <row r="1947" spans="1:9" x14ac:dyDescent="0.25">
      <c r="A1947" s="16">
        <v>42931</v>
      </c>
      <c r="B1947" s="273" t="s">
        <v>21815</v>
      </c>
      <c r="C1947">
        <v>120101</v>
      </c>
      <c r="D1947" s="236" t="s">
        <v>16288</v>
      </c>
      <c r="E1947" s="15">
        <v>1177.4000000000001</v>
      </c>
      <c r="F1947" s="274">
        <v>42932</v>
      </c>
      <c r="G1947" s="15">
        <v>1177.4000000000001</v>
      </c>
      <c r="H1947" s="15">
        <f>Tabla1[[#This Row],[Importe]]-Tabla1[[#This Row],[Pagado]]</f>
        <v>0</v>
      </c>
      <c r="I1947" s="275" t="s">
        <v>15214</v>
      </c>
    </row>
    <row r="1948" spans="1:9" x14ac:dyDescent="0.25">
      <c r="A1948" s="16">
        <v>42931</v>
      </c>
      <c r="B1948" s="273" t="s">
        <v>21816</v>
      </c>
      <c r="C1948">
        <v>120102</v>
      </c>
      <c r="D1948" s="236" t="s">
        <v>15444</v>
      </c>
      <c r="E1948" s="15">
        <v>2425.4</v>
      </c>
      <c r="F1948" s="274">
        <v>42932</v>
      </c>
      <c r="G1948" s="15">
        <v>2425.4</v>
      </c>
      <c r="H1948" s="15">
        <f>Tabla1[[#This Row],[Importe]]-Tabla1[[#This Row],[Pagado]]</f>
        <v>0</v>
      </c>
      <c r="I1948" s="275" t="s">
        <v>15214</v>
      </c>
    </row>
    <row r="1949" spans="1:9" ht="15.75" x14ac:dyDescent="0.25">
      <c r="A1949" s="16">
        <v>42931</v>
      </c>
      <c r="B1949" s="273" t="s">
        <v>21817</v>
      </c>
      <c r="C1949">
        <v>120103</v>
      </c>
      <c r="D1949" s="248" t="s">
        <v>95</v>
      </c>
      <c r="E1949" s="15">
        <v>0</v>
      </c>
      <c r="F1949" s="277" t="s">
        <v>95</v>
      </c>
      <c r="G1949" s="15">
        <v>0</v>
      </c>
      <c r="H1949" s="15">
        <f>Tabla1[[#This Row],[Importe]]-Tabla1[[#This Row],[Pagado]]</f>
        <v>0</v>
      </c>
      <c r="I1949" s="275" t="s">
        <v>95</v>
      </c>
    </row>
    <row r="1950" spans="1:9" x14ac:dyDescent="0.25">
      <c r="A1950" s="16">
        <v>42931</v>
      </c>
      <c r="B1950" s="273" t="s">
        <v>21818</v>
      </c>
      <c r="C1950">
        <v>120104</v>
      </c>
      <c r="D1950" s="236" t="s">
        <v>15315</v>
      </c>
      <c r="E1950" s="15">
        <v>525.29999999999995</v>
      </c>
      <c r="F1950" s="274">
        <v>42931</v>
      </c>
      <c r="G1950" s="15">
        <v>525.29999999999995</v>
      </c>
      <c r="H1950" s="15">
        <f>Tabla1[[#This Row],[Importe]]-Tabla1[[#This Row],[Pagado]]</f>
        <v>0</v>
      </c>
      <c r="I1950" s="275" t="s">
        <v>15214</v>
      </c>
    </row>
    <row r="1951" spans="1:9" x14ac:dyDescent="0.25">
      <c r="A1951" s="16">
        <v>42931</v>
      </c>
      <c r="B1951" s="273" t="s">
        <v>21819</v>
      </c>
      <c r="C1951">
        <v>120105</v>
      </c>
      <c r="D1951" s="236" t="s">
        <v>15728</v>
      </c>
      <c r="E1951" s="15">
        <v>17499.599999999999</v>
      </c>
      <c r="F1951" s="274">
        <v>42931</v>
      </c>
      <c r="G1951" s="15">
        <v>17499.599999999999</v>
      </c>
      <c r="H1951" s="15">
        <f>Tabla1[[#This Row],[Importe]]-Tabla1[[#This Row],[Pagado]]</f>
        <v>0</v>
      </c>
      <c r="I1951" s="275" t="s">
        <v>15214</v>
      </c>
    </row>
    <row r="1952" spans="1:9" x14ac:dyDescent="0.25">
      <c r="A1952" s="16">
        <v>42931</v>
      </c>
      <c r="B1952" s="273" t="s">
        <v>21820</v>
      </c>
      <c r="C1952">
        <v>120106</v>
      </c>
      <c r="D1952" s="236" t="s">
        <v>15789</v>
      </c>
      <c r="E1952" s="15">
        <v>28238.2</v>
      </c>
      <c r="F1952" s="274">
        <v>42938</v>
      </c>
      <c r="G1952" s="15">
        <v>28238.2</v>
      </c>
      <c r="H1952" s="15">
        <f>Tabla1[[#This Row],[Importe]]-Tabla1[[#This Row],[Pagado]]</f>
        <v>0</v>
      </c>
      <c r="I1952" s="275" t="s">
        <v>15214</v>
      </c>
    </row>
    <row r="1953" spans="1:9" x14ac:dyDescent="0.25">
      <c r="A1953" s="16">
        <v>42931</v>
      </c>
      <c r="B1953" s="273" t="s">
        <v>21821</v>
      </c>
      <c r="C1953">
        <v>120107</v>
      </c>
      <c r="D1953" s="236" t="s">
        <v>15810</v>
      </c>
      <c r="E1953" s="15">
        <v>520.29999999999995</v>
      </c>
      <c r="F1953" s="274">
        <v>42931</v>
      </c>
      <c r="G1953" s="15">
        <v>520.29999999999995</v>
      </c>
      <c r="H1953" s="15">
        <f>Tabla1[[#This Row],[Importe]]-Tabla1[[#This Row],[Pagado]]</f>
        <v>0</v>
      </c>
      <c r="I1953" s="275" t="s">
        <v>15214</v>
      </c>
    </row>
    <row r="1954" spans="1:9" x14ac:dyDescent="0.25">
      <c r="A1954" s="16">
        <v>42931</v>
      </c>
      <c r="B1954" s="273" t="s">
        <v>21822</v>
      </c>
      <c r="C1954">
        <v>120108</v>
      </c>
      <c r="D1954" s="236" t="s">
        <v>15510</v>
      </c>
      <c r="E1954" s="15">
        <v>1202.5</v>
      </c>
      <c r="F1954" s="274">
        <v>42931</v>
      </c>
      <c r="G1954" s="15">
        <v>1202.5</v>
      </c>
      <c r="H1954" s="15">
        <f>Tabla1[[#This Row],[Importe]]-Tabla1[[#This Row],[Pagado]]</f>
        <v>0</v>
      </c>
      <c r="I1954" s="275" t="s">
        <v>15214</v>
      </c>
    </row>
    <row r="1955" spans="1:9" x14ac:dyDescent="0.25">
      <c r="A1955" s="16">
        <v>42931</v>
      </c>
      <c r="B1955" s="273" t="s">
        <v>21823</v>
      </c>
      <c r="C1955">
        <v>120109</v>
      </c>
      <c r="D1955" s="236" t="s">
        <v>15328</v>
      </c>
      <c r="E1955" s="15">
        <v>114683.38</v>
      </c>
      <c r="F1955" s="274">
        <v>42939</v>
      </c>
      <c r="G1955" s="15">
        <v>114683.38</v>
      </c>
      <c r="H1955" s="15">
        <f>Tabla1[[#This Row],[Importe]]-Tabla1[[#This Row],[Pagado]]</f>
        <v>0</v>
      </c>
      <c r="I1955" s="275" t="s">
        <v>15214</v>
      </c>
    </row>
    <row r="1956" spans="1:9" ht="30" x14ac:dyDescent="0.25">
      <c r="A1956" s="16">
        <v>42931</v>
      </c>
      <c r="B1956" s="273" t="s">
        <v>21824</v>
      </c>
      <c r="C1956">
        <v>120110</v>
      </c>
      <c r="D1956" s="236" t="s">
        <v>15246</v>
      </c>
      <c r="E1956" s="15">
        <v>190014.8</v>
      </c>
      <c r="F1956" s="274" t="s">
        <v>21825</v>
      </c>
      <c r="G1956" s="241">
        <f>41299.05+148715.75</f>
        <v>190014.8</v>
      </c>
      <c r="H1956" s="241">
        <f>Tabla1[[#This Row],[Importe]]-Tabla1[[#This Row],[Pagado]]</f>
        <v>0</v>
      </c>
      <c r="I1956" s="275" t="s">
        <v>15214</v>
      </c>
    </row>
    <row r="1957" spans="1:9" x14ac:dyDescent="0.25">
      <c r="A1957" s="16">
        <v>42931</v>
      </c>
      <c r="B1957" s="273" t="s">
        <v>21826</v>
      </c>
      <c r="C1957">
        <v>120111</v>
      </c>
      <c r="D1957" s="236" t="s">
        <v>15566</v>
      </c>
      <c r="E1957" s="15">
        <v>1734.3</v>
      </c>
      <c r="F1957" s="274">
        <v>42931</v>
      </c>
      <c r="G1957" s="15">
        <v>1734.3</v>
      </c>
      <c r="H1957" s="15">
        <f>Tabla1[[#This Row],[Importe]]-Tabla1[[#This Row],[Pagado]]</f>
        <v>0</v>
      </c>
      <c r="I1957" s="275" t="s">
        <v>15214</v>
      </c>
    </row>
    <row r="1958" spans="1:9" x14ac:dyDescent="0.25">
      <c r="A1958" s="16">
        <v>42931</v>
      </c>
      <c r="B1958" s="273" t="s">
        <v>21827</v>
      </c>
      <c r="C1958">
        <v>120112</v>
      </c>
      <c r="D1958" s="236" t="s">
        <v>17595</v>
      </c>
      <c r="E1958" s="15">
        <v>7152</v>
      </c>
      <c r="F1958" s="274">
        <v>42931</v>
      </c>
      <c r="G1958" s="15">
        <v>7152</v>
      </c>
      <c r="H1958" s="15">
        <f>Tabla1[[#This Row],[Importe]]-Tabla1[[#This Row],[Pagado]]</f>
        <v>0</v>
      </c>
      <c r="I1958" s="275" t="s">
        <v>15214</v>
      </c>
    </row>
    <row r="1959" spans="1:9" x14ac:dyDescent="0.25">
      <c r="A1959" s="16">
        <v>42931</v>
      </c>
      <c r="B1959" s="273" t="s">
        <v>21828</v>
      </c>
      <c r="C1959">
        <v>120113</v>
      </c>
      <c r="D1959" s="236" t="s">
        <v>15407</v>
      </c>
      <c r="E1959" s="15">
        <v>6218.8</v>
      </c>
      <c r="F1959" s="274">
        <v>42931</v>
      </c>
      <c r="G1959" s="15">
        <v>6218.8</v>
      </c>
      <c r="H1959" s="15">
        <f>Tabla1[[#This Row],[Importe]]-Tabla1[[#This Row],[Pagado]]</f>
        <v>0</v>
      </c>
      <c r="I1959" s="275" t="s">
        <v>15214</v>
      </c>
    </row>
    <row r="1960" spans="1:9" x14ac:dyDescent="0.25">
      <c r="A1960" s="16">
        <v>42931</v>
      </c>
      <c r="B1960" s="273" t="s">
        <v>21829</v>
      </c>
      <c r="C1960">
        <v>120114</v>
      </c>
      <c r="D1960" s="236" t="s">
        <v>15238</v>
      </c>
      <c r="E1960" s="15">
        <v>3221.4</v>
      </c>
      <c r="F1960" s="274">
        <v>42934</v>
      </c>
      <c r="G1960" s="15">
        <v>3221.4</v>
      </c>
      <c r="H1960" s="15">
        <f>Tabla1[[#This Row],[Importe]]-Tabla1[[#This Row],[Pagado]]</f>
        <v>0</v>
      </c>
      <c r="I1960" s="275" t="s">
        <v>15214</v>
      </c>
    </row>
    <row r="1961" spans="1:9" x14ac:dyDescent="0.25">
      <c r="A1961" s="16">
        <v>42931</v>
      </c>
      <c r="B1961" s="273" t="s">
        <v>21830</v>
      </c>
      <c r="C1961">
        <v>120115</v>
      </c>
      <c r="D1961" s="236" t="s">
        <v>15322</v>
      </c>
      <c r="E1961" s="15">
        <v>5031</v>
      </c>
      <c r="F1961" s="274">
        <v>42934</v>
      </c>
      <c r="G1961" s="15">
        <v>5031</v>
      </c>
      <c r="H1961" s="15">
        <f>Tabla1[[#This Row],[Importe]]-Tabla1[[#This Row],[Pagado]]</f>
        <v>0</v>
      </c>
      <c r="I1961" s="275" t="s">
        <v>15214</v>
      </c>
    </row>
    <row r="1962" spans="1:9" x14ac:dyDescent="0.25">
      <c r="A1962" s="16">
        <v>42931</v>
      </c>
      <c r="B1962" s="273" t="s">
        <v>21831</v>
      </c>
      <c r="C1962">
        <v>120116</v>
      </c>
      <c r="D1962" s="236" t="s">
        <v>15365</v>
      </c>
      <c r="E1962" s="15">
        <v>446050</v>
      </c>
      <c r="F1962" s="274">
        <v>42936</v>
      </c>
      <c r="G1962" s="15">
        <v>446050</v>
      </c>
      <c r="H1962" s="15">
        <f>Tabla1[[#This Row],[Importe]]-Tabla1[[#This Row],[Pagado]]</f>
        <v>0</v>
      </c>
      <c r="I1962" s="275" t="s">
        <v>15214</v>
      </c>
    </row>
    <row r="1963" spans="1:9" x14ac:dyDescent="0.25">
      <c r="A1963" s="16">
        <v>42931</v>
      </c>
      <c r="B1963" s="273" t="s">
        <v>21832</v>
      </c>
      <c r="C1963">
        <v>120117</v>
      </c>
      <c r="D1963" s="236" t="s">
        <v>15681</v>
      </c>
      <c r="E1963" s="15">
        <v>3400</v>
      </c>
      <c r="F1963" s="274">
        <v>42932</v>
      </c>
      <c r="G1963" s="15">
        <v>3400</v>
      </c>
      <c r="H1963" s="15">
        <f>Tabla1[[#This Row],[Importe]]-Tabla1[[#This Row],[Pagado]]</f>
        <v>0</v>
      </c>
      <c r="I1963" s="275" t="s">
        <v>15214</v>
      </c>
    </row>
    <row r="1964" spans="1:9" x14ac:dyDescent="0.25">
      <c r="A1964" s="16">
        <v>42931</v>
      </c>
      <c r="B1964" s="273" t="s">
        <v>21833</v>
      </c>
      <c r="C1964">
        <v>120118</v>
      </c>
      <c r="D1964" s="236" t="s">
        <v>15642</v>
      </c>
      <c r="E1964" s="15">
        <v>8580.6</v>
      </c>
      <c r="F1964" s="274">
        <v>42932</v>
      </c>
      <c r="G1964" s="15">
        <v>8580.6</v>
      </c>
      <c r="H1964" s="15">
        <f>Tabla1[[#This Row],[Importe]]-Tabla1[[#This Row],[Pagado]]</f>
        <v>0</v>
      </c>
      <c r="I1964" s="275" t="s">
        <v>15214</v>
      </c>
    </row>
    <row r="1965" spans="1:9" x14ac:dyDescent="0.25">
      <c r="A1965" s="16">
        <v>42931</v>
      </c>
      <c r="B1965" s="273" t="s">
        <v>21834</v>
      </c>
      <c r="C1965">
        <v>120119</v>
      </c>
      <c r="D1965" s="236" t="s">
        <v>15246</v>
      </c>
      <c r="E1965" s="15">
        <v>86710.24</v>
      </c>
      <c r="F1965" s="274">
        <v>42936</v>
      </c>
      <c r="G1965" s="15">
        <v>86710.24</v>
      </c>
      <c r="H1965" s="15">
        <f>Tabla1[[#This Row],[Importe]]-Tabla1[[#This Row],[Pagado]]</f>
        <v>0</v>
      </c>
      <c r="I1965" s="275" t="s">
        <v>15214</v>
      </c>
    </row>
    <row r="1966" spans="1:9" x14ac:dyDescent="0.25">
      <c r="A1966" s="16">
        <v>42931</v>
      </c>
      <c r="B1966" s="273" t="s">
        <v>21835</v>
      </c>
      <c r="C1966">
        <v>120120</v>
      </c>
      <c r="D1966" s="236" t="s">
        <v>15642</v>
      </c>
      <c r="E1966" s="15">
        <v>2547.3000000000002</v>
      </c>
      <c r="F1966" s="274">
        <v>42932</v>
      </c>
      <c r="G1966" s="15">
        <v>2547.3000000000002</v>
      </c>
      <c r="H1966" s="15">
        <f>Tabla1[[#This Row],[Importe]]-Tabla1[[#This Row],[Pagado]]</f>
        <v>0</v>
      </c>
      <c r="I1966" s="275" t="s">
        <v>15214</v>
      </c>
    </row>
    <row r="1967" spans="1:9" x14ac:dyDescent="0.25">
      <c r="A1967" s="16">
        <v>42931</v>
      </c>
      <c r="B1967" s="273" t="s">
        <v>21836</v>
      </c>
      <c r="C1967">
        <v>120121</v>
      </c>
      <c r="D1967" s="236" t="s">
        <v>15376</v>
      </c>
      <c r="E1967" s="15">
        <v>8250</v>
      </c>
      <c r="F1967" s="274">
        <v>42932</v>
      </c>
      <c r="G1967" s="15">
        <v>8250</v>
      </c>
      <c r="H1967" s="15">
        <f>Tabla1[[#This Row],[Importe]]-Tabla1[[#This Row],[Pagado]]</f>
        <v>0</v>
      </c>
      <c r="I1967" s="275" t="s">
        <v>15214</v>
      </c>
    </row>
    <row r="1968" spans="1:9" x14ac:dyDescent="0.25">
      <c r="A1968" s="16">
        <v>42931</v>
      </c>
      <c r="B1968" s="273" t="s">
        <v>21837</v>
      </c>
      <c r="C1968">
        <v>120122</v>
      </c>
      <c r="D1968" s="236" t="s">
        <v>15240</v>
      </c>
      <c r="E1968" s="15">
        <v>407.55</v>
      </c>
      <c r="F1968" s="274">
        <v>42934</v>
      </c>
      <c r="G1968" s="15">
        <v>407.55</v>
      </c>
      <c r="H1968" s="15">
        <f>Tabla1[[#This Row],[Importe]]-Tabla1[[#This Row],[Pagado]]</f>
        <v>0</v>
      </c>
      <c r="I1968" s="275" t="s">
        <v>15214</v>
      </c>
    </row>
    <row r="1969" spans="1:9" x14ac:dyDescent="0.25">
      <c r="A1969" s="16">
        <v>42932</v>
      </c>
      <c r="B1969" s="273" t="s">
        <v>21838</v>
      </c>
      <c r="C1969">
        <v>120123</v>
      </c>
      <c r="D1969" s="236" t="s">
        <v>19758</v>
      </c>
      <c r="E1969" s="15">
        <v>6780</v>
      </c>
      <c r="F1969" s="274">
        <v>42932</v>
      </c>
      <c r="G1969" s="15">
        <v>6780</v>
      </c>
      <c r="H1969" s="15">
        <f>Tabla1[[#This Row],[Importe]]-Tabla1[[#This Row],[Pagado]]</f>
        <v>0</v>
      </c>
      <c r="I1969" s="275" t="s">
        <v>15214</v>
      </c>
    </row>
    <row r="1970" spans="1:9" x14ac:dyDescent="0.25">
      <c r="A1970" s="16">
        <v>42932</v>
      </c>
      <c r="B1970" s="273" t="s">
        <v>21839</v>
      </c>
      <c r="C1970">
        <v>120124</v>
      </c>
      <c r="D1970" s="236" t="s">
        <v>21386</v>
      </c>
      <c r="E1970" s="15">
        <v>8277.5</v>
      </c>
      <c r="F1970" s="274">
        <v>42932</v>
      </c>
      <c r="G1970" s="15">
        <v>8277.5</v>
      </c>
      <c r="H1970" s="15">
        <f>Tabla1[[#This Row],[Importe]]-Tabla1[[#This Row],[Pagado]]</f>
        <v>0</v>
      </c>
      <c r="I1970" s="275" t="s">
        <v>15214</v>
      </c>
    </row>
    <row r="1971" spans="1:9" ht="15.75" x14ac:dyDescent="0.25">
      <c r="A1971" s="16">
        <v>42932</v>
      </c>
      <c r="B1971" s="273" t="s">
        <v>21840</v>
      </c>
      <c r="C1971">
        <v>120125</v>
      </c>
      <c r="D1971" s="248" t="s">
        <v>95</v>
      </c>
      <c r="E1971" s="15">
        <v>0</v>
      </c>
      <c r="F1971" s="277" t="s">
        <v>95</v>
      </c>
      <c r="G1971" s="15">
        <v>0</v>
      </c>
      <c r="H1971" s="15">
        <f>Tabla1[[#This Row],[Importe]]-Tabla1[[#This Row],[Pagado]]</f>
        <v>0</v>
      </c>
      <c r="I1971" s="282" t="s">
        <v>21841</v>
      </c>
    </row>
    <row r="1972" spans="1:9" x14ac:dyDescent="0.25">
      <c r="A1972" s="16">
        <v>42932</v>
      </c>
      <c r="B1972" s="273" t="s">
        <v>21842</v>
      </c>
      <c r="C1972">
        <v>120126</v>
      </c>
      <c r="D1972" s="236" t="s">
        <v>15272</v>
      </c>
      <c r="E1972" s="15">
        <v>28679</v>
      </c>
      <c r="F1972" s="274">
        <v>42932</v>
      </c>
      <c r="G1972" s="15">
        <v>28679</v>
      </c>
      <c r="H1972" s="15">
        <f>Tabla1[[#This Row],[Importe]]-Tabla1[[#This Row],[Pagado]]</f>
        <v>0</v>
      </c>
      <c r="I1972" s="275" t="s">
        <v>15214</v>
      </c>
    </row>
    <row r="1973" spans="1:9" x14ac:dyDescent="0.25">
      <c r="A1973" s="16">
        <v>42932</v>
      </c>
      <c r="B1973" s="273" t="s">
        <v>21843</v>
      </c>
      <c r="C1973">
        <v>120127</v>
      </c>
      <c r="D1973" s="236" t="s">
        <v>15242</v>
      </c>
      <c r="E1973" s="15">
        <v>10920</v>
      </c>
      <c r="F1973" s="274">
        <v>42932</v>
      </c>
      <c r="G1973" s="15">
        <v>10920</v>
      </c>
      <c r="H1973" s="15">
        <f>Tabla1[[#This Row],[Importe]]-Tabla1[[#This Row],[Pagado]]</f>
        <v>0</v>
      </c>
      <c r="I1973" s="275" t="s">
        <v>15214</v>
      </c>
    </row>
    <row r="1974" spans="1:9" x14ac:dyDescent="0.25">
      <c r="A1974" s="16">
        <v>42932</v>
      </c>
      <c r="B1974" s="273" t="s">
        <v>21844</v>
      </c>
      <c r="C1974">
        <v>120128</v>
      </c>
      <c r="D1974" s="236" t="s">
        <v>15668</v>
      </c>
      <c r="E1974" s="15">
        <v>7099.3</v>
      </c>
      <c r="F1974" s="274">
        <v>42935</v>
      </c>
      <c r="G1974" s="15">
        <v>7099.3</v>
      </c>
      <c r="H1974" s="15">
        <f>Tabla1[[#This Row],[Importe]]-Tabla1[[#This Row],[Pagado]]</f>
        <v>0</v>
      </c>
      <c r="I1974" s="275" t="s">
        <v>15214</v>
      </c>
    </row>
    <row r="1975" spans="1:9" x14ac:dyDescent="0.25">
      <c r="A1975" s="16">
        <v>42932</v>
      </c>
      <c r="B1975" s="273" t="s">
        <v>21845</v>
      </c>
      <c r="C1975">
        <v>120129</v>
      </c>
      <c r="D1975" s="236" t="s">
        <v>16129</v>
      </c>
      <c r="E1975" s="15">
        <v>1006.2</v>
      </c>
      <c r="F1975" s="274">
        <v>42932</v>
      </c>
      <c r="G1975" s="15">
        <v>1006.2</v>
      </c>
      <c r="H1975" s="15">
        <f>Tabla1[[#This Row],[Importe]]-Tabla1[[#This Row],[Pagado]]</f>
        <v>0</v>
      </c>
      <c r="I1975" s="275" t="s">
        <v>15214</v>
      </c>
    </row>
    <row r="1976" spans="1:9" x14ac:dyDescent="0.25">
      <c r="A1976" s="16">
        <v>42932</v>
      </c>
      <c r="B1976" s="273" t="s">
        <v>21846</v>
      </c>
      <c r="C1976">
        <v>120130</v>
      </c>
      <c r="D1976" s="236" t="s">
        <v>19302</v>
      </c>
      <c r="E1976" s="15">
        <v>1375</v>
      </c>
      <c r="F1976" s="274">
        <v>42932</v>
      </c>
      <c r="G1976" s="15">
        <v>1375</v>
      </c>
      <c r="H1976" s="15">
        <f>Tabla1[[#This Row],[Importe]]-Tabla1[[#This Row],[Pagado]]</f>
        <v>0</v>
      </c>
      <c r="I1976" s="275" t="s">
        <v>15214</v>
      </c>
    </row>
    <row r="1977" spans="1:9" x14ac:dyDescent="0.25">
      <c r="A1977" s="16">
        <v>42932</v>
      </c>
      <c r="B1977" s="273" t="s">
        <v>21847</v>
      </c>
      <c r="C1977">
        <v>120131</v>
      </c>
      <c r="D1977" s="236" t="s">
        <v>15220</v>
      </c>
      <c r="E1977" s="15">
        <v>6050</v>
      </c>
      <c r="F1977" s="274">
        <v>42933</v>
      </c>
      <c r="G1977" s="15">
        <v>6050</v>
      </c>
      <c r="H1977" s="15">
        <f>Tabla1[[#This Row],[Importe]]-Tabla1[[#This Row],[Pagado]]</f>
        <v>0</v>
      </c>
      <c r="I1977" s="275" t="s">
        <v>15214</v>
      </c>
    </row>
    <row r="1978" spans="1:9" x14ac:dyDescent="0.25">
      <c r="A1978" s="16">
        <v>42932</v>
      </c>
      <c r="B1978" s="273" t="s">
        <v>21848</v>
      </c>
      <c r="C1978">
        <v>120132</v>
      </c>
      <c r="D1978" s="236" t="s">
        <v>15324</v>
      </c>
      <c r="E1978" s="15">
        <v>647.5</v>
      </c>
      <c r="F1978" s="274">
        <v>42932</v>
      </c>
      <c r="G1978" s="15">
        <v>647.5</v>
      </c>
      <c r="H1978" s="15">
        <f>Tabla1[[#This Row],[Importe]]-Tabla1[[#This Row],[Pagado]]</f>
        <v>0</v>
      </c>
      <c r="I1978" s="275" t="s">
        <v>15214</v>
      </c>
    </row>
    <row r="1979" spans="1:9" x14ac:dyDescent="0.25">
      <c r="A1979" s="16">
        <v>42932</v>
      </c>
      <c r="B1979" s="273" t="s">
        <v>21849</v>
      </c>
      <c r="C1979">
        <v>120133</v>
      </c>
      <c r="D1979" s="236" t="s">
        <v>17462</v>
      </c>
      <c r="E1979" s="15">
        <v>1778.4</v>
      </c>
      <c r="F1979" s="274">
        <v>42932</v>
      </c>
      <c r="G1979" s="15">
        <v>1778.4</v>
      </c>
      <c r="H1979" s="15">
        <f>Tabla1[[#This Row],[Importe]]-Tabla1[[#This Row],[Pagado]]</f>
        <v>0</v>
      </c>
      <c r="I1979" s="275" t="s">
        <v>15214</v>
      </c>
    </row>
    <row r="1980" spans="1:9" x14ac:dyDescent="0.25">
      <c r="A1980" s="16">
        <v>42932</v>
      </c>
      <c r="B1980" s="273" t="s">
        <v>21850</v>
      </c>
      <c r="C1980">
        <v>120134</v>
      </c>
      <c r="D1980" s="236" t="s">
        <v>15407</v>
      </c>
      <c r="E1980" s="15">
        <v>7885.7</v>
      </c>
      <c r="F1980" s="274">
        <v>42932</v>
      </c>
      <c r="G1980" s="15">
        <v>7885.7</v>
      </c>
      <c r="H1980" s="15">
        <f>Tabla1[[#This Row],[Importe]]-Tabla1[[#This Row],[Pagado]]</f>
        <v>0</v>
      </c>
      <c r="I1980" s="275" t="s">
        <v>15214</v>
      </c>
    </row>
    <row r="1981" spans="1:9" x14ac:dyDescent="0.25">
      <c r="A1981" s="16">
        <v>42932</v>
      </c>
      <c r="B1981" s="273" t="s">
        <v>21851</v>
      </c>
      <c r="C1981">
        <v>120135</v>
      </c>
      <c r="D1981" s="236" t="s">
        <v>15577</v>
      </c>
      <c r="E1981" s="15">
        <v>1046.5</v>
      </c>
      <c r="F1981" s="274">
        <v>42932</v>
      </c>
      <c r="G1981" s="15">
        <v>1046.5</v>
      </c>
      <c r="H1981" s="15">
        <f>Tabla1[[#This Row],[Importe]]-Tabla1[[#This Row],[Pagado]]</f>
        <v>0</v>
      </c>
      <c r="I1981" s="275" t="s">
        <v>15214</v>
      </c>
    </row>
    <row r="1982" spans="1:9" x14ac:dyDescent="0.25">
      <c r="A1982" s="16">
        <v>42932</v>
      </c>
      <c r="B1982" s="273" t="s">
        <v>21852</v>
      </c>
      <c r="C1982">
        <v>120136</v>
      </c>
      <c r="D1982" s="236" t="s">
        <v>15289</v>
      </c>
      <c r="E1982" s="15">
        <v>515.20000000000005</v>
      </c>
      <c r="F1982" s="274">
        <v>42932</v>
      </c>
      <c r="G1982" s="15">
        <v>515.20000000000005</v>
      </c>
      <c r="H1982" s="15">
        <f>Tabla1[[#This Row],[Importe]]-Tabla1[[#This Row],[Pagado]]</f>
        <v>0</v>
      </c>
      <c r="I1982" s="275" t="s">
        <v>15214</v>
      </c>
    </row>
    <row r="1983" spans="1:9" x14ac:dyDescent="0.25">
      <c r="A1983" s="16">
        <v>42932</v>
      </c>
      <c r="B1983" s="273" t="s">
        <v>21853</v>
      </c>
      <c r="C1983">
        <v>120137</v>
      </c>
      <c r="D1983" s="236" t="s">
        <v>15248</v>
      </c>
      <c r="E1983" s="15">
        <v>19453.12</v>
      </c>
      <c r="F1983" s="274">
        <v>42932</v>
      </c>
      <c r="G1983" s="15">
        <v>19453.12</v>
      </c>
      <c r="H1983" s="15">
        <f>Tabla1[[#This Row],[Importe]]-Tabla1[[#This Row],[Pagado]]</f>
        <v>0</v>
      </c>
      <c r="I1983" s="275" t="s">
        <v>15214</v>
      </c>
    </row>
    <row r="1984" spans="1:9" x14ac:dyDescent="0.25">
      <c r="A1984" s="16">
        <v>42932</v>
      </c>
      <c r="B1984" s="273" t="s">
        <v>21854</v>
      </c>
      <c r="C1984">
        <v>120138</v>
      </c>
      <c r="D1984" s="236" t="s">
        <v>16023</v>
      </c>
      <c r="E1984" s="15">
        <v>1563.5</v>
      </c>
      <c r="F1984" s="274">
        <v>42932</v>
      </c>
      <c r="G1984" s="15">
        <v>1563.5</v>
      </c>
      <c r="H1984" s="15">
        <f>Tabla1[[#This Row],[Importe]]-Tabla1[[#This Row],[Pagado]]</f>
        <v>0</v>
      </c>
      <c r="I1984" s="275" t="s">
        <v>15214</v>
      </c>
    </row>
    <row r="1985" spans="1:9" x14ac:dyDescent="0.25">
      <c r="A1985" s="16">
        <v>42932</v>
      </c>
      <c r="B1985" s="273" t="s">
        <v>21855</v>
      </c>
      <c r="C1985">
        <v>120139</v>
      </c>
      <c r="D1985" s="236" t="s">
        <v>15223</v>
      </c>
      <c r="E1985" s="15">
        <v>55166.8</v>
      </c>
      <c r="F1985" s="274">
        <v>42960</v>
      </c>
      <c r="G1985" s="15">
        <v>55166.8</v>
      </c>
      <c r="H1985" s="15">
        <f>Tabla1[[#This Row],[Importe]]-Tabla1[[#This Row],[Pagado]]</f>
        <v>0</v>
      </c>
      <c r="I1985" s="275" t="s">
        <v>15214</v>
      </c>
    </row>
    <row r="1986" spans="1:9" x14ac:dyDescent="0.25">
      <c r="A1986" s="16">
        <v>42932</v>
      </c>
      <c r="B1986" s="273" t="s">
        <v>21856</v>
      </c>
      <c r="C1986">
        <v>120140</v>
      </c>
      <c r="D1986" s="236" t="s">
        <v>15378</v>
      </c>
      <c r="E1986" s="15">
        <v>4045.6</v>
      </c>
      <c r="F1986" s="274">
        <v>42932</v>
      </c>
      <c r="G1986" s="15">
        <v>4045.6</v>
      </c>
      <c r="H1986" s="15">
        <f>Tabla1[[#This Row],[Importe]]-Tabla1[[#This Row],[Pagado]]</f>
        <v>0</v>
      </c>
      <c r="I1986" s="275" t="s">
        <v>15214</v>
      </c>
    </row>
    <row r="1987" spans="1:9" x14ac:dyDescent="0.25">
      <c r="A1987" s="16">
        <v>42932</v>
      </c>
      <c r="B1987" s="273" t="s">
        <v>21857</v>
      </c>
      <c r="C1987">
        <v>120141</v>
      </c>
      <c r="D1987" s="236" t="s">
        <v>15378</v>
      </c>
      <c r="E1987" s="15">
        <v>175.7</v>
      </c>
      <c r="F1987" s="274">
        <v>42932</v>
      </c>
      <c r="G1987" s="15">
        <v>175.7</v>
      </c>
      <c r="H1987" s="15">
        <f>Tabla1[[#This Row],[Importe]]-Tabla1[[#This Row],[Pagado]]</f>
        <v>0</v>
      </c>
      <c r="I1987" s="275" t="s">
        <v>15214</v>
      </c>
    </row>
    <row r="1988" spans="1:9" x14ac:dyDescent="0.25">
      <c r="A1988" s="16">
        <v>42932</v>
      </c>
      <c r="B1988" s="273" t="s">
        <v>21858</v>
      </c>
      <c r="C1988">
        <v>120142</v>
      </c>
      <c r="D1988" s="236" t="s">
        <v>15282</v>
      </c>
      <c r="E1988" s="15">
        <v>3058.3</v>
      </c>
      <c r="F1988" s="274">
        <v>42932</v>
      </c>
      <c r="G1988" s="15">
        <v>3058.3</v>
      </c>
      <c r="H1988" s="15">
        <f>Tabla1[[#This Row],[Importe]]-Tabla1[[#This Row],[Pagado]]</f>
        <v>0</v>
      </c>
      <c r="I1988" s="275" t="s">
        <v>15214</v>
      </c>
    </row>
    <row r="1989" spans="1:9" x14ac:dyDescent="0.25">
      <c r="A1989" s="16">
        <v>42932</v>
      </c>
      <c r="B1989" s="273" t="s">
        <v>21859</v>
      </c>
      <c r="C1989">
        <v>120143</v>
      </c>
      <c r="D1989" s="236" t="s">
        <v>15442</v>
      </c>
      <c r="E1989" s="15">
        <v>4620</v>
      </c>
      <c r="F1989" s="274">
        <v>42940</v>
      </c>
      <c r="G1989" s="15">
        <v>4620</v>
      </c>
      <c r="H1989" s="15">
        <f>Tabla1[[#This Row],[Importe]]-Tabla1[[#This Row],[Pagado]]</f>
        <v>0</v>
      </c>
      <c r="I1989" s="275" t="s">
        <v>15214</v>
      </c>
    </row>
    <row r="1990" spans="1:9" x14ac:dyDescent="0.25">
      <c r="A1990" s="16">
        <v>42932</v>
      </c>
      <c r="B1990" s="273" t="s">
        <v>21860</v>
      </c>
      <c r="C1990">
        <v>120144</v>
      </c>
      <c r="D1990" s="236" t="s">
        <v>15371</v>
      </c>
      <c r="E1990" s="15">
        <v>4231.8</v>
      </c>
      <c r="F1990" s="274">
        <v>42933</v>
      </c>
      <c r="G1990" s="15">
        <v>4231.8</v>
      </c>
      <c r="H1990" s="15">
        <f>Tabla1[[#This Row],[Importe]]-Tabla1[[#This Row],[Pagado]]</f>
        <v>0</v>
      </c>
      <c r="I1990" s="275" t="s">
        <v>15214</v>
      </c>
    </row>
    <row r="1991" spans="1:9" x14ac:dyDescent="0.25">
      <c r="A1991" s="16">
        <v>42932</v>
      </c>
      <c r="B1991" s="273" t="s">
        <v>21861</v>
      </c>
      <c r="C1991">
        <v>120145</v>
      </c>
      <c r="D1991" s="236" t="s">
        <v>15263</v>
      </c>
      <c r="E1991" s="15">
        <v>2612.6</v>
      </c>
      <c r="F1991" s="274">
        <v>42932</v>
      </c>
      <c r="G1991" s="15">
        <v>2612.6</v>
      </c>
      <c r="H1991" s="15">
        <f>Tabla1[[#This Row],[Importe]]-Tabla1[[#This Row],[Pagado]]</f>
        <v>0</v>
      </c>
      <c r="I1991" s="275" t="s">
        <v>15214</v>
      </c>
    </row>
    <row r="1992" spans="1:9" x14ac:dyDescent="0.25">
      <c r="A1992" s="16">
        <v>42932</v>
      </c>
      <c r="B1992" s="273" t="s">
        <v>21862</v>
      </c>
      <c r="C1992">
        <v>120146</v>
      </c>
      <c r="D1992" s="236" t="s">
        <v>15291</v>
      </c>
      <c r="E1992" s="15">
        <v>825</v>
      </c>
      <c r="F1992" s="274">
        <v>42932</v>
      </c>
      <c r="G1992" s="15">
        <v>825</v>
      </c>
      <c r="H1992" s="15">
        <f>Tabla1[[#This Row],[Importe]]-Tabla1[[#This Row],[Pagado]]</f>
        <v>0</v>
      </c>
      <c r="I1992" s="275" t="s">
        <v>15214</v>
      </c>
    </row>
    <row r="1993" spans="1:9" x14ac:dyDescent="0.25">
      <c r="A1993" s="16">
        <v>42932</v>
      </c>
      <c r="B1993" s="273" t="s">
        <v>21863</v>
      </c>
      <c r="C1993">
        <v>120147</v>
      </c>
      <c r="D1993" s="236" t="s">
        <v>15745</v>
      </c>
      <c r="E1993" s="15">
        <v>3005.12</v>
      </c>
      <c r="F1993" s="274">
        <v>42932</v>
      </c>
      <c r="G1993" s="15">
        <v>3005.12</v>
      </c>
      <c r="H1993" s="15">
        <f>Tabla1[[#This Row],[Importe]]-Tabla1[[#This Row],[Pagado]]</f>
        <v>0</v>
      </c>
      <c r="I1993" s="275" t="s">
        <v>15214</v>
      </c>
    </row>
    <row r="1994" spans="1:9" x14ac:dyDescent="0.25">
      <c r="A1994" s="16">
        <v>42932</v>
      </c>
      <c r="B1994" s="273" t="s">
        <v>21864</v>
      </c>
      <c r="C1994">
        <v>120148</v>
      </c>
      <c r="D1994" s="236" t="s">
        <v>15274</v>
      </c>
      <c r="E1994" s="15">
        <v>2750</v>
      </c>
      <c r="F1994" s="274">
        <v>42932</v>
      </c>
      <c r="G1994" s="15">
        <v>2750</v>
      </c>
      <c r="H1994" s="15">
        <f>Tabla1[[#This Row],[Importe]]-Tabla1[[#This Row],[Pagado]]</f>
        <v>0</v>
      </c>
      <c r="I1994" s="275" t="s">
        <v>15214</v>
      </c>
    </row>
    <row r="1995" spans="1:9" x14ac:dyDescent="0.25">
      <c r="A1995" s="16">
        <v>42932</v>
      </c>
      <c r="B1995" s="273" t="s">
        <v>21865</v>
      </c>
      <c r="C1995">
        <v>120149</v>
      </c>
      <c r="D1995" s="236" t="s">
        <v>15265</v>
      </c>
      <c r="E1995" s="15">
        <v>2506.9</v>
      </c>
      <c r="F1995" s="274">
        <v>42938</v>
      </c>
      <c r="G1995" s="15">
        <v>2506.9</v>
      </c>
      <c r="H1995" s="15">
        <f>Tabla1[[#This Row],[Importe]]-Tabla1[[#This Row],[Pagado]]</f>
        <v>0</v>
      </c>
      <c r="I1995" s="275" t="s">
        <v>15214</v>
      </c>
    </row>
    <row r="1996" spans="1:9" x14ac:dyDescent="0.25">
      <c r="A1996" s="16">
        <v>42932</v>
      </c>
      <c r="B1996" s="273" t="s">
        <v>21866</v>
      </c>
      <c r="C1996">
        <v>120150</v>
      </c>
      <c r="D1996" s="236" t="s">
        <v>15530</v>
      </c>
      <c r="E1996" s="15">
        <v>1758.5</v>
      </c>
      <c r="F1996" s="274">
        <v>42932</v>
      </c>
      <c r="G1996" s="15">
        <v>1758.5</v>
      </c>
      <c r="H1996" s="15">
        <f>Tabla1[[#This Row],[Importe]]-Tabla1[[#This Row],[Pagado]]</f>
        <v>0</v>
      </c>
      <c r="I1996" s="275" t="s">
        <v>15214</v>
      </c>
    </row>
    <row r="1997" spans="1:9" x14ac:dyDescent="0.25">
      <c r="A1997" s="16">
        <v>42932</v>
      </c>
      <c r="B1997" s="273" t="s">
        <v>21867</v>
      </c>
      <c r="C1997">
        <v>120151</v>
      </c>
      <c r="D1997" s="236" t="s">
        <v>15523</v>
      </c>
      <c r="E1997" s="15">
        <v>4400</v>
      </c>
      <c r="F1997" s="274">
        <v>42933</v>
      </c>
      <c r="G1997" s="15">
        <v>4400</v>
      </c>
      <c r="H1997" s="15">
        <f>Tabla1[[#This Row],[Importe]]-Tabla1[[#This Row],[Pagado]]</f>
        <v>0</v>
      </c>
      <c r="I1997" s="275" t="s">
        <v>15214</v>
      </c>
    </row>
    <row r="1998" spans="1:9" x14ac:dyDescent="0.25">
      <c r="A1998" s="16">
        <v>42932</v>
      </c>
      <c r="B1998" s="273" t="s">
        <v>21868</v>
      </c>
      <c r="C1998">
        <v>120152</v>
      </c>
      <c r="D1998" s="236" t="s">
        <v>15553</v>
      </c>
      <c r="E1998" s="15">
        <v>6293</v>
      </c>
      <c r="F1998" s="274">
        <v>42933</v>
      </c>
      <c r="G1998" s="15">
        <v>6293</v>
      </c>
      <c r="H1998" s="15">
        <f>Tabla1[[#This Row],[Importe]]-Tabla1[[#This Row],[Pagado]]</f>
        <v>0</v>
      </c>
      <c r="I1998" s="275" t="s">
        <v>15214</v>
      </c>
    </row>
    <row r="1999" spans="1:9" x14ac:dyDescent="0.25">
      <c r="A1999" s="16">
        <v>42932</v>
      </c>
      <c r="B1999" s="273" t="s">
        <v>21869</v>
      </c>
      <c r="C1999">
        <v>120153</v>
      </c>
      <c r="D1999" s="236" t="s">
        <v>15334</v>
      </c>
      <c r="E1999" s="15">
        <v>1770</v>
      </c>
      <c r="F1999" s="274">
        <v>42933</v>
      </c>
      <c r="G1999" s="15">
        <v>1770</v>
      </c>
      <c r="H1999" s="15">
        <f>Tabla1[[#This Row],[Importe]]-Tabla1[[#This Row],[Pagado]]</f>
        <v>0</v>
      </c>
      <c r="I1999" s="275" t="s">
        <v>15214</v>
      </c>
    </row>
    <row r="2000" spans="1:9" x14ac:dyDescent="0.25">
      <c r="A2000" s="16">
        <v>42932</v>
      </c>
      <c r="B2000" s="273" t="s">
        <v>21870</v>
      </c>
      <c r="C2000">
        <v>120154</v>
      </c>
      <c r="D2000" s="236" t="s">
        <v>15526</v>
      </c>
      <c r="E2000" s="15">
        <v>4434.6000000000004</v>
      </c>
      <c r="F2000" s="274">
        <v>42933</v>
      </c>
      <c r="G2000" s="15">
        <v>4434.6000000000004</v>
      </c>
      <c r="H2000" s="15">
        <f>Tabla1[[#This Row],[Importe]]-Tabla1[[#This Row],[Pagado]]</f>
        <v>0</v>
      </c>
      <c r="I2000" s="275" t="s">
        <v>15214</v>
      </c>
    </row>
    <row r="2001" spans="1:9" x14ac:dyDescent="0.25">
      <c r="A2001" s="16">
        <v>42932</v>
      </c>
      <c r="B2001" s="273" t="s">
        <v>21871</v>
      </c>
      <c r="C2001">
        <v>120155</v>
      </c>
      <c r="D2001" s="236" t="s">
        <v>15365</v>
      </c>
      <c r="E2001" s="15">
        <v>21914.400000000001</v>
      </c>
      <c r="F2001" s="274">
        <v>42936</v>
      </c>
      <c r="G2001" s="15">
        <v>21914.400000000001</v>
      </c>
      <c r="H2001" s="15">
        <f>Tabla1[[#This Row],[Importe]]-Tabla1[[#This Row],[Pagado]]</f>
        <v>0</v>
      </c>
      <c r="I2001" s="275" t="s">
        <v>15214</v>
      </c>
    </row>
    <row r="2002" spans="1:9" x14ac:dyDescent="0.25">
      <c r="A2002" s="16">
        <v>42932</v>
      </c>
      <c r="B2002" s="273" t="s">
        <v>21872</v>
      </c>
      <c r="C2002">
        <v>120156</v>
      </c>
      <c r="D2002" s="236" t="s">
        <v>15340</v>
      </c>
      <c r="E2002" s="15">
        <v>7171.2</v>
      </c>
      <c r="F2002" s="274">
        <v>42933</v>
      </c>
      <c r="G2002" s="15">
        <v>7171.2</v>
      </c>
      <c r="H2002" s="15">
        <f>Tabla1[[#This Row],[Importe]]-Tabla1[[#This Row],[Pagado]]</f>
        <v>0</v>
      </c>
      <c r="I2002" s="275" t="s">
        <v>15214</v>
      </c>
    </row>
    <row r="2003" spans="1:9" x14ac:dyDescent="0.25">
      <c r="A2003" s="16">
        <v>42932</v>
      </c>
      <c r="B2003" s="273" t="s">
        <v>21873</v>
      </c>
      <c r="C2003">
        <v>120157</v>
      </c>
      <c r="D2003" s="236" t="s">
        <v>15344</v>
      </c>
      <c r="E2003" s="15">
        <v>2673.3</v>
      </c>
      <c r="F2003" s="274">
        <v>42933</v>
      </c>
      <c r="G2003" s="15">
        <v>2673.3</v>
      </c>
      <c r="H2003" s="15">
        <f>Tabla1[[#This Row],[Importe]]-Tabla1[[#This Row],[Pagado]]</f>
        <v>0</v>
      </c>
      <c r="I2003" s="275" t="s">
        <v>15214</v>
      </c>
    </row>
    <row r="2004" spans="1:9" x14ac:dyDescent="0.25">
      <c r="A2004" s="16">
        <v>42932</v>
      </c>
      <c r="B2004" s="273" t="s">
        <v>21874</v>
      </c>
      <c r="C2004">
        <v>120158</v>
      </c>
      <c r="D2004" s="236" t="s">
        <v>15358</v>
      </c>
      <c r="E2004" s="15">
        <v>2570.4</v>
      </c>
      <c r="F2004" s="274">
        <v>42933</v>
      </c>
      <c r="G2004" s="15">
        <v>2570.4</v>
      </c>
      <c r="H2004" s="15">
        <f>Tabla1[[#This Row],[Importe]]-Tabla1[[#This Row],[Pagado]]</f>
        <v>0</v>
      </c>
      <c r="I2004" s="275" t="s">
        <v>15214</v>
      </c>
    </row>
    <row r="2005" spans="1:9" x14ac:dyDescent="0.25">
      <c r="A2005" s="16">
        <v>42932</v>
      </c>
      <c r="B2005" s="273" t="s">
        <v>21875</v>
      </c>
      <c r="C2005">
        <v>120159</v>
      </c>
      <c r="D2005" s="236" t="s">
        <v>15332</v>
      </c>
      <c r="E2005" s="15">
        <v>4537.2</v>
      </c>
      <c r="F2005" s="274">
        <v>42933</v>
      </c>
      <c r="G2005" s="15">
        <v>4537.2</v>
      </c>
      <c r="H2005" s="15">
        <f>Tabla1[[#This Row],[Importe]]-Tabla1[[#This Row],[Pagado]]</f>
        <v>0</v>
      </c>
      <c r="I2005" s="275" t="s">
        <v>15214</v>
      </c>
    </row>
    <row r="2006" spans="1:9" x14ac:dyDescent="0.25">
      <c r="A2006" s="16">
        <v>42932</v>
      </c>
      <c r="B2006" s="273" t="s">
        <v>21876</v>
      </c>
      <c r="C2006">
        <v>120160</v>
      </c>
      <c r="D2006" s="236" t="s">
        <v>15252</v>
      </c>
      <c r="E2006" s="15">
        <v>4007.6</v>
      </c>
      <c r="F2006" s="274">
        <v>42938</v>
      </c>
      <c r="G2006" s="15">
        <v>4007.6</v>
      </c>
      <c r="H2006" s="15">
        <f>Tabla1[[#This Row],[Importe]]-Tabla1[[#This Row],[Pagado]]</f>
        <v>0</v>
      </c>
      <c r="I2006" s="275" t="s">
        <v>15214</v>
      </c>
    </row>
    <row r="2007" spans="1:9" x14ac:dyDescent="0.25">
      <c r="A2007" s="16">
        <v>42932</v>
      </c>
      <c r="B2007" s="273" t="s">
        <v>21877</v>
      </c>
      <c r="C2007">
        <v>120161</v>
      </c>
      <c r="D2007" s="236" t="s">
        <v>15328</v>
      </c>
      <c r="E2007" s="15">
        <v>4065.6</v>
      </c>
      <c r="F2007" s="274">
        <v>42939</v>
      </c>
      <c r="G2007" s="15">
        <v>4065.6</v>
      </c>
      <c r="H2007" s="15">
        <f>Tabla1[[#This Row],[Importe]]-Tabla1[[#This Row],[Pagado]]</f>
        <v>0</v>
      </c>
      <c r="I2007" s="275" t="s">
        <v>15214</v>
      </c>
    </row>
    <row r="2008" spans="1:9" x14ac:dyDescent="0.25">
      <c r="A2008" s="16">
        <v>42932</v>
      </c>
      <c r="B2008" s="273" t="s">
        <v>21878</v>
      </c>
      <c r="C2008">
        <v>120162</v>
      </c>
      <c r="D2008" s="236" t="s">
        <v>15244</v>
      </c>
      <c r="E2008" s="15">
        <v>18194.599999999999</v>
      </c>
      <c r="F2008" s="274">
        <v>42934</v>
      </c>
      <c r="G2008" s="15">
        <v>18194.599999999999</v>
      </c>
      <c r="H2008" s="15">
        <f>Tabla1[[#This Row],[Importe]]-Tabla1[[#This Row],[Pagado]]</f>
        <v>0</v>
      </c>
      <c r="I2008" s="275" t="s">
        <v>15214</v>
      </c>
    </row>
    <row r="2009" spans="1:9" x14ac:dyDescent="0.25">
      <c r="A2009" s="16">
        <v>42932</v>
      </c>
      <c r="B2009" s="273" t="s">
        <v>21879</v>
      </c>
      <c r="C2009">
        <v>120163</v>
      </c>
      <c r="D2009" s="236" t="s">
        <v>15398</v>
      </c>
      <c r="E2009" s="15">
        <v>526.79999999999995</v>
      </c>
      <c r="F2009" s="274">
        <v>42932</v>
      </c>
      <c r="G2009" s="15">
        <v>526.79999999999995</v>
      </c>
      <c r="H2009" s="15">
        <f>Tabla1[[#This Row],[Importe]]-Tabla1[[#This Row],[Pagado]]</f>
        <v>0</v>
      </c>
      <c r="I2009" s="275" t="s">
        <v>15214</v>
      </c>
    </row>
    <row r="2010" spans="1:9" x14ac:dyDescent="0.25">
      <c r="A2010" s="16">
        <v>42932</v>
      </c>
      <c r="B2010" s="273" t="s">
        <v>21880</v>
      </c>
      <c r="C2010">
        <v>120164</v>
      </c>
      <c r="D2010" s="236" t="s">
        <v>15284</v>
      </c>
      <c r="E2010" s="15">
        <v>1350.9</v>
      </c>
      <c r="F2010" s="274">
        <v>42932</v>
      </c>
      <c r="G2010" s="15">
        <v>1350.9</v>
      </c>
      <c r="H2010" s="15">
        <f>Tabla1[[#This Row],[Importe]]-Tabla1[[#This Row],[Pagado]]</f>
        <v>0</v>
      </c>
      <c r="I2010" s="275" t="s">
        <v>15214</v>
      </c>
    </row>
    <row r="2011" spans="1:9" x14ac:dyDescent="0.25">
      <c r="A2011" s="16">
        <v>42932</v>
      </c>
      <c r="B2011" s="273" t="s">
        <v>21881</v>
      </c>
      <c r="C2011">
        <v>120165</v>
      </c>
      <c r="D2011" s="236" t="s">
        <v>15254</v>
      </c>
      <c r="E2011" s="15">
        <v>6132</v>
      </c>
      <c r="F2011" s="274">
        <v>42933</v>
      </c>
      <c r="G2011" s="15">
        <v>6132</v>
      </c>
      <c r="H2011" s="15">
        <f>Tabla1[[#This Row],[Importe]]-Tabla1[[#This Row],[Pagado]]</f>
        <v>0</v>
      </c>
      <c r="I2011" s="275" t="s">
        <v>15214</v>
      </c>
    </row>
    <row r="2012" spans="1:9" x14ac:dyDescent="0.25">
      <c r="A2012" s="16">
        <v>42932</v>
      </c>
      <c r="B2012" s="273" t="s">
        <v>21882</v>
      </c>
      <c r="C2012">
        <v>120166</v>
      </c>
      <c r="D2012" s="236" t="s">
        <v>15810</v>
      </c>
      <c r="E2012" s="15">
        <v>547.70000000000005</v>
      </c>
      <c r="F2012" s="274">
        <v>42932</v>
      </c>
      <c r="G2012" s="15">
        <v>547.70000000000005</v>
      </c>
      <c r="H2012" s="15">
        <f>Tabla1[[#This Row],[Importe]]-Tabla1[[#This Row],[Pagado]]</f>
        <v>0</v>
      </c>
      <c r="I2012" s="275" t="s">
        <v>15214</v>
      </c>
    </row>
    <row r="2013" spans="1:9" x14ac:dyDescent="0.25">
      <c r="A2013" s="16">
        <v>42932</v>
      </c>
      <c r="B2013" s="273" t="s">
        <v>21883</v>
      </c>
      <c r="C2013">
        <v>120167</v>
      </c>
      <c r="D2013" s="236" t="s">
        <v>15510</v>
      </c>
      <c r="E2013" s="15">
        <v>27570.400000000001</v>
      </c>
      <c r="F2013" s="274">
        <v>42932</v>
      </c>
      <c r="G2013" s="15">
        <v>27570.400000000001</v>
      </c>
      <c r="H2013" s="15">
        <f>Tabla1[[#This Row],[Importe]]-Tabla1[[#This Row],[Pagado]]</f>
        <v>0</v>
      </c>
      <c r="I2013" s="275" t="s">
        <v>15214</v>
      </c>
    </row>
    <row r="2014" spans="1:9" x14ac:dyDescent="0.25">
      <c r="A2014" s="16">
        <v>42932</v>
      </c>
      <c r="B2014" s="273" t="s">
        <v>21884</v>
      </c>
      <c r="C2014">
        <v>120168</v>
      </c>
      <c r="D2014" s="236" t="s">
        <v>15326</v>
      </c>
      <c r="E2014" s="15">
        <v>2794.8</v>
      </c>
      <c r="F2014" s="274">
        <v>42932</v>
      </c>
      <c r="G2014" s="15">
        <v>2794.8</v>
      </c>
      <c r="H2014" s="15">
        <f>Tabla1[[#This Row],[Importe]]-Tabla1[[#This Row],[Pagado]]</f>
        <v>0</v>
      </c>
      <c r="I2014" s="275" t="s">
        <v>15214</v>
      </c>
    </row>
    <row r="2015" spans="1:9" x14ac:dyDescent="0.25">
      <c r="A2015" s="16">
        <v>42932</v>
      </c>
      <c r="B2015" s="273" t="s">
        <v>21885</v>
      </c>
      <c r="C2015">
        <v>120169</v>
      </c>
      <c r="D2015" s="236" t="s">
        <v>15530</v>
      </c>
      <c r="E2015" s="15">
        <v>1795.5</v>
      </c>
      <c r="F2015" s="274">
        <v>42932</v>
      </c>
      <c r="G2015" s="15">
        <v>1795.5</v>
      </c>
      <c r="H2015" s="15">
        <f>Tabla1[[#This Row],[Importe]]-Tabla1[[#This Row],[Pagado]]</f>
        <v>0</v>
      </c>
      <c r="I2015" s="275" t="s">
        <v>15214</v>
      </c>
    </row>
    <row r="2016" spans="1:9" x14ac:dyDescent="0.25">
      <c r="A2016" s="16">
        <v>42932</v>
      </c>
      <c r="B2016" s="273" t="s">
        <v>21886</v>
      </c>
      <c r="C2016">
        <v>120170</v>
      </c>
      <c r="D2016" s="236" t="s">
        <v>15624</v>
      </c>
      <c r="E2016" s="15">
        <v>42243</v>
      </c>
      <c r="F2016" s="274">
        <v>42934</v>
      </c>
      <c r="G2016" s="15">
        <v>42243</v>
      </c>
      <c r="H2016" s="15">
        <f>Tabla1[[#This Row],[Importe]]-Tabla1[[#This Row],[Pagado]]</f>
        <v>0</v>
      </c>
      <c r="I2016" s="275" t="s">
        <v>15214</v>
      </c>
    </row>
    <row r="2017" spans="1:9" x14ac:dyDescent="0.25">
      <c r="A2017" s="16">
        <v>42932</v>
      </c>
      <c r="B2017" s="273" t="s">
        <v>21887</v>
      </c>
      <c r="C2017">
        <v>120171</v>
      </c>
      <c r="D2017" s="236" t="s">
        <v>19313</v>
      </c>
      <c r="E2017" s="15">
        <v>1282.5</v>
      </c>
      <c r="F2017" s="274">
        <v>42932</v>
      </c>
      <c r="G2017" s="15">
        <v>1282.5</v>
      </c>
      <c r="H2017" s="15">
        <f>Tabla1[[#This Row],[Importe]]-Tabla1[[#This Row],[Pagado]]</f>
        <v>0</v>
      </c>
      <c r="I2017" s="275" t="s">
        <v>15214</v>
      </c>
    </row>
    <row r="2018" spans="1:9" x14ac:dyDescent="0.25">
      <c r="A2018" s="16">
        <v>42932</v>
      </c>
      <c r="B2018" s="273" t="s">
        <v>21888</v>
      </c>
      <c r="C2018">
        <v>120172</v>
      </c>
      <c r="D2018" s="236" t="s">
        <v>19768</v>
      </c>
      <c r="E2018" s="15">
        <v>2750</v>
      </c>
      <c r="F2018" s="274">
        <v>42932</v>
      </c>
      <c r="G2018" s="15">
        <v>2750</v>
      </c>
      <c r="H2018" s="15">
        <f>Tabla1[[#This Row],[Importe]]-Tabla1[[#This Row],[Pagado]]</f>
        <v>0</v>
      </c>
      <c r="I2018" s="275" t="s">
        <v>15214</v>
      </c>
    </row>
    <row r="2019" spans="1:9" x14ac:dyDescent="0.25">
      <c r="A2019" s="16">
        <v>42932</v>
      </c>
      <c r="B2019" s="273" t="s">
        <v>21889</v>
      </c>
      <c r="C2019">
        <v>120173</v>
      </c>
      <c r="D2019" s="236" t="s">
        <v>15725</v>
      </c>
      <c r="E2019" s="15">
        <v>5400</v>
      </c>
      <c r="F2019" s="274">
        <v>42940</v>
      </c>
      <c r="G2019" s="15">
        <v>5400</v>
      </c>
      <c r="H2019" s="15">
        <f>Tabla1[[#This Row],[Importe]]-Tabla1[[#This Row],[Pagado]]</f>
        <v>0</v>
      </c>
      <c r="I2019" s="275" t="s">
        <v>15214</v>
      </c>
    </row>
    <row r="2020" spans="1:9" x14ac:dyDescent="0.25">
      <c r="A2020" s="16">
        <v>42932</v>
      </c>
      <c r="B2020" s="273" t="s">
        <v>21890</v>
      </c>
      <c r="C2020">
        <v>120174</v>
      </c>
      <c r="D2020" s="236" t="s">
        <v>15391</v>
      </c>
      <c r="E2020" s="15">
        <v>13776</v>
      </c>
      <c r="F2020" s="274">
        <v>42936</v>
      </c>
      <c r="G2020" s="15">
        <v>13776</v>
      </c>
      <c r="H2020" s="15">
        <f>Tabla1[[#This Row],[Importe]]-Tabla1[[#This Row],[Pagado]]</f>
        <v>0</v>
      </c>
      <c r="I2020" s="275" t="s">
        <v>15214</v>
      </c>
    </row>
    <row r="2021" spans="1:9" x14ac:dyDescent="0.25">
      <c r="A2021" s="16">
        <v>42932</v>
      </c>
      <c r="B2021" s="273" t="s">
        <v>21891</v>
      </c>
      <c r="C2021">
        <v>120175</v>
      </c>
      <c r="D2021" s="236" t="s">
        <v>19776</v>
      </c>
      <c r="E2021" s="15">
        <v>6880</v>
      </c>
      <c r="F2021" s="274">
        <v>42932</v>
      </c>
      <c r="G2021" s="15">
        <v>6880</v>
      </c>
      <c r="H2021" s="15">
        <f>Tabla1[[#This Row],[Importe]]-Tabla1[[#This Row],[Pagado]]</f>
        <v>0</v>
      </c>
      <c r="I2021" s="275" t="s">
        <v>15214</v>
      </c>
    </row>
    <row r="2022" spans="1:9" x14ac:dyDescent="0.25">
      <c r="A2022" s="16">
        <v>42932</v>
      </c>
      <c r="B2022" s="273" t="s">
        <v>21892</v>
      </c>
      <c r="C2022">
        <v>120176</v>
      </c>
      <c r="D2022" s="236" t="s">
        <v>15315</v>
      </c>
      <c r="E2022" s="15">
        <v>36.6</v>
      </c>
      <c r="F2022" s="274">
        <v>42933</v>
      </c>
      <c r="G2022" s="15">
        <v>36.6</v>
      </c>
      <c r="H2022" s="15">
        <f>Tabla1[[#This Row],[Importe]]-Tabla1[[#This Row],[Pagado]]</f>
        <v>0</v>
      </c>
      <c r="I2022" s="275" t="s">
        <v>15214</v>
      </c>
    </row>
    <row r="2023" spans="1:9" ht="30" x14ac:dyDescent="0.25">
      <c r="A2023" s="16">
        <v>42932</v>
      </c>
      <c r="B2023" s="273" t="s">
        <v>21893</v>
      </c>
      <c r="C2023">
        <v>120177</v>
      </c>
      <c r="D2023" s="236" t="s">
        <v>16126</v>
      </c>
      <c r="E2023" s="15">
        <v>1199.7</v>
      </c>
      <c r="F2023" s="274" t="s">
        <v>21894</v>
      </c>
      <c r="G2023" s="241">
        <f>1000+199.7</f>
        <v>1199.7</v>
      </c>
      <c r="H2023" s="241">
        <f>Tabla1[[#This Row],[Importe]]-Tabla1[[#This Row],[Pagado]]</f>
        <v>0</v>
      </c>
      <c r="I2023" s="275" t="s">
        <v>15214</v>
      </c>
    </row>
    <row r="2024" spans="1:9" x14ac:dyDescent="0.25">
      <c r="A2024" s="16">
        <v>42932</v>
      </c>
      <c r="B2024" s="273" t="s">
        <v>21895</v>
      </c>
      <c r="C2024">
        <v>120178</v>
      </c>
      <c r="D2024" s="236" t="s">
        <v>15228</v>
      </c>
      <c r="E2024" s="15">
        <v>6434.2</v>
      </c>
      <c r="F2024" s="274">
        <v>42932</v>
      </c>
      <c r="G2024" s="15">
        <v>6434.2</v>
      </c>
      <c r="H2024" s="15">
        <f>Tabla1[[#This Row],[Importe]]-Tabla1[[#This Row],[Pagado]]</f>
        <v>0</v>
      </c>
      <c r="I2024" s="275" t="s">
        <v>15214</v>
      </c>
    </row>
    <row r="2025" spans="1:9" x14ac:dyDescent="0.25">
      <c r="A2025" s="16">
        <v>42932</v>
      </c>
      <c r="B2025" s="273" t="s">
        <v>21896</v>
      </c>
      <c r="C2025">
        <v>120179</v>
      </c>
      <c r="D2025" s="236" t="s">
        <v>15315</v>
      </c>
      <c r="E2025" s="15">
        <v>3461.4</v>
      </c>
      <c r="F2025" s="274">
        <v>42932</v>
      </c>
      <c r="G2025" s="15">
        <v>3461.4</v>
      </c>
      <c r="H2025" s="15">
        <f>Tabla1[[#This Row],[Importe]]-Tabla1[[#This Row],[Pagado]]</f>
        <v>0</v>
      </c>
      <c r="I2025" s="275" t="s">
        <v>15214</v>
      </c>
    </row>
    <row r="2026" spans="1:9" x14ac:dyDescent="0.25">
      <c r="A2026" s="16">
        <v>42932</v>
      </c>
      <c r="B2026" s="273" t="s">
        <v>21897</v>
      </c>
      <c r="C2026">
        <v>120180</v>
      </c>
      <c r="D2026" s="236" t="s">
        <v>15378</v>
      </c>
      <c r="E2026" s="15">
        <v>894.9</v>
      </c>
      <c r="F2026" s="274">
        <v>42932</v>
      </c>
      <c r="G2026" s="15">
        <v>894.9</v>
      </c>
      <c r="H2026" s="15">
        <f>Tabla1[[#This Row],[Importe]]-Tabla1[[#This Row],[Pagado]]</f>
        <v>0</v>
      </c>
      <c r="I2026" s="275" t="s">
        <v>15214</v>
      </c>
    </row>
    <row r="2027" spans="1:9" x14ac:dyDescent="0.25">
      <c r="A2027" s="16">
        <v>42932</v>
      </c>
      <c r="B2027" s="273" t="s">
        <v>21898</v>
      </c>
      <c r="C2027">
        <v>120181</v>
      </c>
      <c r="D2027" s="236" t="s">
        <v>19756</v>
      </c>
      <c r="E2027" s="15">
        <v>2195.1999999999998</v>
      </c>
      <c r="F2027" s="274">
        <v>42932</v>
      </c>
      <c r="G2027" s="15">
        <v>2195.1999999999998</v>
      </c>
      <c r="H2027" s="15">
        <f>Tabla1[[#This Row],[Importe]]-Tabla1[[#This Row],[Pagado]]</f>
        <v>0</v>
      </c>
      <c r="I2027" s="275" t="s">
        <v>15214</v>
      </c>
    </row>
    <row r="2028" spans="1:9" x14ac:dyDescent="0.25">
      <c r="A2028" s="16">
        <v>42932</v>
      </c>
      <c r="B2028" s="273" t="s">
        <v>21899</v>
      </c>
      <c r="C2028">
        <v>120182</v>
      </c>
      <c r="D2028" s="236" t="s">
        <v>15263</v>
      </c>
      <c r="E2028" s="15">
        <v>2836</v>
      </c>
      <c r="F2028" s="274">
        <v>42932</v>
      </c>
      <c r="G2028" s="15">
        <v>2836</v>
      </c>
      <c r="H2028" s="15">
        <f>Tabla1[[#This Row],[Importe]]-Tabla1[[#This Row],[Pagado]]</f>
        <v>0</v>
      </c>
      <c r="I2028" s="275" t="s">
        <v>15214</v>
      </c>
    </row>
    <row r="2029" spans="1:9" x14ac:dyDescent="0.25">
      <c r="A2029" s="16">
        <v>42932</v>
      </c>
      <c r="B2029" s="273" t="s">
        <v>21900</v>
      </c>
      <c r="C2029">
        <v>120183</v>
      </c>
      <c r="D2029" s="236" t="s">
        <v>15289</v>
      </c>
      <c r="E2029" s="15">
        <v>538.79999999999995</v>
      </c>
      <c r="F2029" s="274">
        <v>42932</v>
      </c>
      <c r="G2029" s="15">
        <v>538.79999999999995</v>
      </c>
      <c r="H2029" s="15">
        <f>Tabla1[[#This Row],[Importe]]-Tabla1[[#This Row],[Pagado]]</f>
        <v>0</v>
      </c>
      <c r="I2029" s="275" t="s">
        <v>15214</v>
      </c>
    </row>
    <row r="2030" spans="1:9" x14ac:dyDescent="0.25">
      <c r="A2030" s="16">
        <v>42932</v>
      </c>
      <c r="B2030" s="273" t="s">
        <v>21901</v>
      </c>
      <c r="C2030">
        <v>120184</v>
      </c>
      <c r="D2030" s="236" t="s">
        <v>17462</v>
      </c>
      <c r="E2030" s="15">
        <v>2137.5</v>
      </c>
      <c r="F2030" s="274">
        <v>42932</v>
      </c>
      <c r="G2030" s="15">
        <v>2137.5</v>
      </c>
      <c r="H2030" s="15">
        <f>Tabla1[[#This Row],[Importe]]-Tabla1[[#This Row],[Pagado]]</f>
        <v>0</v>
      </c>
      <c r="I2030" s="275" t="s">
        <v>15214</v>
      </c>
    </row>
    <row r="2031" spans="1:9" x14ac:dyDescent="0.25">
      <c r="A2031" s="16">
        <v>42932</v>
      </c>
      <c r="B2031" s="273" t="s">
        <v>21902</v>
      </c>
      <c r="C2031">
        <v>120185</v>
      </c>
      <c r="D2031" s="236" t="s">
        <v>15444</v>
      </c>
      <c r="E2031" s="15">
        <v>1450</v>
      </c>
      <c r="F2031" s="274">
        <v>42933</v>
      </c>
      <c r="G2031" s="15">
        <v>1450</v>
      </c>
      <c r="H2031" s="15">
        <f>Tabla1[[#This Row],[Importe]]-Tabla1[[#This Row],[Pagado]]</f>
        <v>0</v>
      </c>
      <c r="I2031" s="275" t="s">
        <v>15214</v>
      </c>
    </row>
    <row r="2032" spans="1:9" x14ac:dyDescent="0.25">
      <c r="A2032" s="16">
        <v>42932</v>
      </c>
      <c r="B2032" s="273" t="s">
        <v>21903</v>
      </c>
      <c r="C2032">
        <v>120186</v>
      </c>
      <c r="D2032" s="236" t="s">
        <v>19776</v>
      </c>
      <c r="E2032" s="15">
        <v>32400</v>
      </c>
      <c r="F2032" s="274">
        <v>42932</v>
      </c>
      <c r="G2032" s="15">
        <v>32400</v>
      </c>
      <c r="H2032" s="15">
        <f>Tabla1[[#This Row],[Importe]]-Tabla1[[#This Row],[Pagado]]</f>
        <v>0</v>
      </c>
      <c r="I2032" s="275" t="s">
        <v>15214</v>
      </c>
    </row>
    <row r="2033" spans="1:9" x14ac:dyDescent="0.25">
      <c r="A2033" s="16">
        <v>42932</v>
      </c>
      <c r="B2033" s="273" t="s">
        <v>21904</v>
      </c>
      <c r="C2033">
        <v>120187</v>
      </c>
      <c r="D2033" s="236" t="s">
        <v>15541</v>
      </c>
      <c r="E2033" s="15">
        <v>1663.2</v>
      </c>
      <c r="F2033" s="274">
        <v>42933</v>
      </c>
      <c r="G2033" s="15">
        <v>1663.2</v>
      </c>
      <c r="H2033" s="15">
        <f>Tabla1[[#This Row],[Importe]]-Tabla1[[#This Row],[Pagado]]</f>
        <v>0</v>
      </c>
      <c r="I2033" s="275" t="s">
        <v>15214</v>
      </c>
    </row>
    <row r="2034" spans="1:9" x14ac:dyDescent="0.25">
      <c r="A2034" s="16">
        <v>42932</v>
      </c>
      <c r="B2034" s="273" t="s">
        <v>21905</v>
      </c>
      <c r="C2034">
        <v>120188</v>
      </c>
      <c r="D2034" s="236" t="s">
        <v>19776</v>
      </c>
      <c r="E2034" s="15">
        <v>1397.4</v>
      </c>
      <c r="F2034" s="274">
        <v>42932</v>
      </c>
      <c r="G2034" s="15">
        <v>1397.4</v>
      </c>
      <c r="H2034" s="15">
        <f>Tabla1[[#This Row],[Importe]]-Tabla1[[#This Row],[Pagado]]</f>
        <v>0</v>
      </c>
      <c r="I2034" s="275" t="s">
        <v>15214</v>
      </c>
    </row>
    <row r="2035" spans="1:9" x14ac:dyDescent="0.25">
      <c r="A2035" s="16">
        <v>42932</v>
      </c>
      <c r="B2035" s="273" t="s">
        <v>21906</v>
      </c>
      <c r="C2035">
        <v>120189</v>
      </c>
      <c r="D2035" s="236" t="s">
        <v>15315</v>
      </c>
      <c r="E2035" s="15">
        <v>3877.2</v>
      </c>
      <c r="F2035" s="274">
        <v>42932</v>
      </c>
      <c r="G2035" s="15">
        <v>3877.2</v>
      </c>
      <c r="H2035" s="15">
        <f>Tabla1[[#This Row],[Importe]]-Tabla1[[#This Row],[Pagado]]</f>
        <v>0</v>
      </c>
      <c r="I2035" s="275" t="s">
        <v>15214</v>
      </c>
    </row>
    <row r="2036" spans="1:9" x14ac:dyDescent="0.25">
      <c r="A2036" s="16">
        <v>42932</v>
      </c>
      <c r="B2036" s="273" t="s">
        <v>21907</v>
      </c>
      <c r="C2036">
        <v>120190</v>
      </c>
      <c r="D2036" s="236" t="s">
        <v>15435</v>
      </c>
      <c r="E2036" s="15">
        <v>7354.8</v>
      </c>
      <c r="F2036" s="274">
        <v>42932</v>
      </c>
      <c r="G2036" s="15">
        <v>7354.8</v>
      </c>
      <c r="H2036" s="15">
        <f>Tabla1[[#This Row],[Importe]]-Tabla1[[#This Row],[Pagado]]</f>
        <v>0</v>
      </c>
      <c r="I2036" s="275" t="s">
        <v>15214</v>
      </c>
    </row>
    <row r="2037" spans="1:9" x14ac:dyDescent="0.25">
      <c r="A2037" s="16">
        <v>42932</v>
      </c>
      <c r="B2037" s="273" t="s">
        <v>21908</v>
      </c>
      <c r="C2037">
        <v>120191</v>
      </c>
      <c r="D2037" s="236" t="s">
        <v>15284</v>
      </c>
      <c r="E2037" s="15">
        <v>410.4</v>
      </c>
      <c r="F2037" s="274">
        <v>42932</v>
      </c>
      <c r="G2037" s="15">
        <v>410.4</v>
      </c>
      <c r="H2037" s="15">
        <f>Tabla1[[#This Row],[Importe]]-Tabla1[[#This Row],[Pagado]]</f>
        <v>0</v>
      </c>
      <c r="I2037" s="275" t="s">
        <v>15214</v>
      </c>
    </row>
    <row r="2038" spans="1:9" x14ac:dyDescent="0.25">
      <c r="A2038" s="16">
        <v>42932</v>
      </c>
      <c r="B2038" s="273" t="s">
        <v>21909</v>
      </c>
      <c r="C2038">
        <v>120192</v>
      </c>
      <c r="D2038" s="236" t="s">
        <v>15250</v>
      </c>
      <c r="E2038" s="15">
        <v>38957.26</v>
      </c>
      <c r="F2038" s="274">
        <v>42939</v>
      </c>
      <c r="G2038" s="15">
        <v>38957.26</v>
      </c>
      <c r="H2038" s="15">
        <f>Tabla1[[#This Row],[Importe]]-Tabla1[[#This Row],[Pagado]]</f>
        <v>0</v>
      </c>
      <c r="I2038" s="275" t="s">
        <v>15214</v>
      </c>
    </row>
    <row r="2039" spans="1:9" x14ac:dyDescent="0.25">
      <c r="A2039" s="16">
        <v>42932</v>
      </c>
      <c r="B2039" s="273" t="s">
        <v>21910</v>
      </c>
      <c r="C2039">
        <v>120193</v>
      </c>
      <c r="D2039" s="236" t="s">
        <v>15250</v>
      </c>
      <c r="E2039" s="15">
        <v>904.8</v>
      </c>
      <c r="F2039" s="274">
        <v>42939</v>
      </c>
      <c r="G2039" s="15">
        <v>904.8</v>
      </c>
      <c r="H2039" s="15">
        <f>Tabla1[[#This Row],[Importe]]-Tabla1[[#This Row],[Pagado]]</f>
        <v>0</v>
      </c>
      <c r="I2039" s="275" t="s">
        <v>15214</v>
      </c>
    </row>
    <row r="2040" spans="1:9" x14ac:dyDescent="0.25">
      <c r="A2040" s="16">
        <v>42932</v>
      </c>
      <c r="B2040" s="273" t="s">
        <v>21911</v>
      </c>
      <c r="C2040">
        <v>120194</v>
      </c>
      <c r="D2040" s="236" t="s">
        <v>15642</v>
      </c>
      <c r="E2040" s="15">
        <v>5438.5</v>
      </c>
      <c r="F2040" s="274">
        <v>42933</v>
      </c>
      <c r="G2040" s="15">
        <v>5438.5</v>
      </c>
      <c r="H2040" s="15">
        <f>Tabla1[[#This Row],[Importe]]-Tabla1[[#This Row],[Pagado]]</f>
        <v>0</v>
      </c>
      <c r="I2040" s="275" t="s">
        <v>15214</v>
      </c>
    </row>
    <row r="2041" spans="1:9" x14ac:dyDescent="0.25">
      <c r="A2041" s="16">
        <v>42933</v>
      </c>
      <c r="B2041" s="273" t="s">
        <v>21912</v>
      </c>
      <c r="C2041">
        <v>120195</v>
      </c>
      <c r="D2041" s="236" t="s">
        <v>15213</v>
      </c>
      <c r="E2041" s="15">
        <v>37779.599999999999</v>
      </c>
      <c r="F2041" s="274">
        <v>42933</v>
      </c>
      <c r="G2041" s="15">
        <v>37779.599999999999</v>
      </c>
      <c r="H2041" s="15">
        <f>Tabla1[[#This Row],[Importe]]-Tabla1[[#This Row],[Pagado]]</f>
        <v>0</v>
      </c>
      <c r="I2041" s="275" t="s">
        <v>15214</v>
      </c>
    </row>
    <row r="2042" spans="1:9" x14ac:dyDescent="0.25">
      <c r="A2042" s="16">
        <v>42933</v>
      </c>
      <c r="B2042" s="273" t="s">
        <v>21913</v>
      </c>
      <c r="C2042">
        <v>120196</v>
      </c>
      <c r="D2042" s="236" t="s">
        <v>21386</v>
      </c>
      <c r="E2042" s="15">
        <v>7086.8</v>
      </c>
      <c r="F2042" s="274">
        <v>42933</v>
      </c>
      <c r="G2042" s="15">
        <v>7086.8</v>
      </c>
      <c r="H2042" s="15">
        <f>Tabla1[[#This Row],[Importe]]-Tabla1[[#This Row],[Pagado]]</f>
        <v>0</v>
      </c>
      <c r="I2042" s="275" t="s">
        <v>15214</v>
      </c>
    </row>
    <row r="2043" spans="1:9" x14ac:dyDescent="0.25">
      <c r="A2043" s="16">
        <v>42933</v>
      </c>
      <c r="B2043" s="273" t="s">
        <v>21914</v>
      </c>
      <c r="C2043">
        <v>120197</v>
      </c>
      <c r="D2043" s="236" t="s">
        <v>15213</v>
      </c>
      <c r="E2043" s="15">
        <v>38910.699999999997</v>
      </c>
      <c r="F2043" s="274">
        <v>42935</v>
      </c>
      <c r="G2043" s="15">
        <v>38910.699999999997</v>
      </c>
      <c r="H2043" s="15">
        <f>Tabla1[[#This Row],[Importe]]-Tabla1[[#This Row],[Pagado]]</f>
        <v>0</v>
      </c>
      <c r="I2043" s="275" t="s">
        <v>15214</v>
      </c>
    </row>
    <row r="2044" spans="1:9" x14ac:dyDescent="0.25">
      <c r="A2044" s="16">
        <v>42933</v>
      </c>
      <c r="B2044" s="273" t="s">
        <v>21915</v>
      </c>
      <c r="C2044">
        <v>120198</v>
      </c>
      <c r="D2044" s="236" t="s">
        <v>15407</v>
      </c>
      <c r="E2044" s="15">
        <v>621.6</v>
      </c>
      <c r="F2044" s="274">
        <v>42933</v>
      </c>
      <c r="G2044" s="15">
        <v>621.6</v>
      </c>
      <c r="H2044" s="15">
        <f>Tabla1[[#This Row],[Importe]]-Tabla1[[#This Row],[Pagado]]</f>
        <v>0</v>
      </c>
      <c r="I2044" s="275" t="s">
        <v>15214</v>
      </c>
    </row>
    <row r="2045" spans="1:9" x14ac:dyDescent="0.25">
      <c r="A2045" s="16">
        <v>42933</v>
      </c>
      <c r="B2045" s="273" t="s">
        <v>21916</v>
      </c>
      <c r="C2045">
        <v>120199</v>
      </c>
      <c r="D2045" s="236" t="s">
        <v>15220</v>
      </c>
      <c r="E2045" s="15">
        <v>2750</v>
      </c>
      <c r="F2045" s="274">
        <v>42933</v>
      </c>
      <c r="G2045" s="15">
        <v>2750</v>
      </c>
      <c r="H2045" s="15">
        <f>Tabla1[[#This Row],[Importe]]-Tabla1[[#This Row],[Pagado]]</f>
        <v>0</v>
      </c>
      <c r="I2045" s="275" t="s">
        <v>15214</v>
      </c>
    </row>
    <row r="2046" spans="1:9" x14ac:dyDescent="0.25">
      <c r="A2046" s="16">
        <v>42933</v>
      </c>
      <c r="B2046" s="273" t="s">
        <v>21917</v>
      </c>
      <c r="C2046">
        <v>120200</v>
      </c>
      <c r="D2046" s="236" t="s">
        <v>19302</v>
      </c>
      <c r="E2046" s="15">
        <v>1100</v>
      </c>
      <c r="F2046" s="274">
        <v>42933</v>
      </c>
      <c r="G2046" s="15">
        <v>1100</v>
      </c>
      <c r="H2046" s="15">
        <f>Tabla1[[#This Row],[Importe]]-Tabla1[[#This Row],[Pagado]]</f>
        <v>0</v>
      </c>
      <c r="I2046" s="275" t="s">
        <v>15214</v>
      </c>
    </row>
    <row r="2047" spans="1:9" x14ac:dyDescent="0.25">
      <c r="A2047" s="16">
        <v>42933</v>
      </c>
      <c r="B2047" s="273" t="s">
        <v>21918</v>
      </c>
      <c r="C2047">
        <v>120201</v>
      </c>
      <c r="D2047" s="236" t="s">
        <v>15230</v>
      </c>
      <c r="E2047" s="15">
        <v>9204.7999999999993</v>
      </c>
      <c r="F2047" s="274">
        <v>42936</v>
      </c>
      <c r="G2047" s="15">
        <v>9204.7999999999993</v>
      </c>
      <c r="H2047" s="15">
        <f>Tabla1[[#This Row],[Importe]]-Tabla1[[#This Row],[Pagado]]</f>
        <v>0</v>
      </c>
      <c r="I2047" s="275" t="s">
        <v>15214</v>
      </c>
    </row>
    <row r="2048" spans="1:9" ht="30" x14ac:dyDescent="0.25">
      <c r="A2048" s="16">
        <v>42933</v>
      </c>
      <c r="B2048" s="273" t="s">
        <v>21919</v>
      </c>
      <c r="C2048">
        <v>120202</v>
      </c>
      <c r="D2048" s="236" t="s">
        <v>15258</v>
      </c>
      <c r="E2048" s="15">
        <v>13536.4</v>
      </c>
      <c r="F2048" s="274" t="s">
        <v>21920</v>
      </c>
      <c r="G2048" s="241">
        <f>4000+9536.4</f>
        <v>13536.4</v>
      </c>
      <c r="H2048" s="241">
        <f>Tabla1[[#This Row],[Importe]]-Tabla1[[#This Row],[Pagado]]</f>
        <v>0</v>
      </c>
      <c r="I2048" s="275" t="s">
        <v>15214</v>
      </c>
    </row>
    <row r="2049" spans="1:9" x14ac:dyDescent="0.25">
      <c r="A2049" s="16">
        <v>42933</v>
      </c>
      <c r="B2049" s="273" t="s">
        <v>21921</v>
      </c>
      <c r="C2049">
        <v>120203</v>
      </c>
      <c r="D2049" s="236" t="s">
        <v>15226</v>
      </c>
      <c r="E2049" s="15">
        <v>2419.1999999999998</v>
      </c>
      <c r="F2049" s="274">
        <v>42940</v>
      </c>
      <c r="G2049" s="15">
        <v>2419.1999999999998</v>
      </c>
      <c r="H2049" s="15">
        <f>Tabla1[[#This Row],[Importe]]-Tabla1[[#This Row],[Pagado]]</f>
        <v>0</v>
      </c>
      <c r="I2049" s="275" t="s">
        <v>15214</v>
      </c>
    </row>
    <row r="2050" spans="1:9" x14ac:dyDescent="0.25">
      <c r="A2050" s="16">
        <v>42933</v>
      </c>
      <c r="B2050" s="273" t="s">
        <v>21922</v>
      </c>
      <c r="C2050">
        <v>120204</v>
      </c>
      <c r="D2050" s="236" t="s">
        <v>15232</v>
      </c>
      <c r="E2050" s="15">
        <v>6239.2</v>
      </c>
      <c r="F2050" s="274">
        <v>42936</v>
      </c>
      <c r="G2050" s="15">
        <v>6239.2</v>
      </c>
      <c r="H2050" s="15">
        <f>Tabla1[[#This Row],[Importe]]-Tabla1[[#This Row],[Pagado]]</f>
        <v>0</v>
      </c>
      <c r="I2050" s="275" t="s">
        <v>15214</v>
      </c>
    </row>
    <row r="2051" spans="1:9" x14ac:dyDescent="0.25">
      <c r="A2051" s="16">
        <v>42933</v>
      </c>
      <c r="B2051" s="273" t="s">
        <v>21923</v>
      </c>
      <c r="C2051">
        <v>120205</v>
      </c>
      <c r="D2051" s="236" t="s">
        <v>15236</v>
      </c>
      <c r="E2051" s="15">
        <v>3470.1</v>
      </c>
      <c r="F2051" s="274">
        <v>42935</v>
      </c>
      <c r="G2051" s="15">
        <v>3470.1</v>
      </c>
      <c r="H2051" s="15">
        <f>Tabla1[[#This Row],[Importe]]-Tabla1[[#This Row],[Pagado]]</f>
        <v>0</v>
      </c>
      <c r="I2051" s="275" t="s">
        <v>15214</v>
      </c>
    </row>
    <row r="2052" spans="1:9" x14ac:dyDescent="0.25">
      <c r="A2052" s="16">
        <v>42933</v>
      </c>
      <c r="B2052" s="273" t="s">
        <v>21924</v>
      </c>
      <c r="C2052">
        <v>120206</v>
      </c>
      <c r="D2052" s="236" t="s">
        <v>15228</v>
      </c>
      <c r="E2052" s="15">
        <v>8442</v>
      </c>
      <c r="F2052" s="274">
        <v>42933</v>
      </c>
      <c r="G2052" s="15">
        <v>8442</v>
      </c>
      <c r="H2052" s="15">
        <f>Tabla1[[#This Row],[Importe]]-Tabla1[[#This Row],[Pagado]]</f>
        <v>0</v>
      </c>
      <c r="I2052" s="275" t="s">
        <v>15214</v>
      </c>
    </row>
    <row r="2053" spans="1:9" x14ac:dyDescent="0.25">
      <c r="A2053" s="16">
        <v>42933</v>
      </c>
      <c r="B2053" s="273" t="s">
        <v>21925</v>
      </c>
      <c r="C2053">
        <v>120207</v>
      </c>
      <c r="D2053" s="236" t="s">
        <v>15234</v>
      </c>
      <c r="E2053" s="15">
        <v>3293.8</v>
      </c>
      <c r="F2053" s="274">
        <v>42937</v>
      </c>
      <c r="G2053" s="15">
        <v>3293.8</v>
      </c>
      <c r="H2053" s="15">
        <f>Tabla1[[#This Row],[Importe]]-Tabla1[[#This Row],[Pagado]]</f>
        <v>0</v>
      </c>
      <c r="I2053" s="275" t="s">
        <v>15214</v>
      </c>
    </row>
    <row r="2054" spans="1:9" x14ac:dyDescent="0.25">
      <c r="A2054" s="16">
        <v>42933</v>
      </c>
      <c r="B2054" s="273" t="s">
        <v>21926</v>
      </c>
      <c r="C2054">
        <v>120208</v>
      </c>
      <c r="D2054" s="236" t="s">
        <v>15332</v>
      </c>
      <c r="E2054" s="15">
        <v>4713.3999999999996</v>
      </c>
      <c r="F2054" s="274">
        <v>42933</v>
      </c>
      <c r="G2054" s="15">
        <v>4713.3999999999996</v>
      </c>
      <c r="H2054" s="15">
        <f>Tabla1[[#This Row],[Importe]]-Tabla1[[#This Row],[Pagado]]</f>
        <v>0</v>
      </c>
      <c r="I2054" s="275" t="s">
        <v>15214</v>
      </c>
    </row>
    <row r="2055" spans="1:9" x14ac:dyDescent="0.25">
      <c r="A2055" s="16">
        <v>42933</v>
      </c>
      <c r="B2055" s="273" t="s">
        <v>21927</v>
      </c>
      <c r="C2055">
        <v>120209</v>
      </c>
      <c r="D2055" s="236" t="s">
        <v>18544</v>
      </c>
      <c r="E2055" s="15">
        <v>7907.4</v>
      </c>
      <c r="F2055" s="274">
        <v>42933</v>
      </c>
      <c r="G2055" s="15">
        <v>7907.4</v>
      </c>
      <c r="H2055" s="15">
        <f>Tabla1[[#This Row],[Importe]]-Tabla1[[#This Row],[Pagado]]</f>
        <v>0</v>
      </c>
      <c r="I2055" s="275" t="s">
        <v>15214</v>
      </c>
    </row>
    <row r="2056" spans="1:9" x14ac:dyDescent="0.25">
      <c r="A2056" s="16">
        <v>42933</v>
      </c>
      <c r="B2056" s="273" t="s">
        <v>21928</v>
      </c>
      <c r="C2056">
        <v>120210</v>
      </c>
      <c r="D2056" s="236" t="s">
        <v>19313</v>
      </c>
      <c r="E2056" s="15">
        <v>1786.2</v>
      </c>
      <c r="F2056" s="274">
        <v>42933</v>
      </c>
      <c r="G2056" s="15">
        <v>1786.2</v>
      </c>
      <c r="H2056" s="15">
        <f>Tabla1[[#This Row],[Importe]]-Tabla1[[#This Row],[Pagado]]</f>
        <v>0</v>
      </c>
      <c r="I2056" s="275" t="s">
        <v>15214</v>
      </c>
    </row>
    <row r="2057" spans="1:9" x14ac:dyDescent="0.25">
      <c r="A2057" s="16">
        <v>42933</v>
      </c>
      <c r="B2057" s="273" t="s">
        <v>21929</v>
      </c>
      <c r="C2057">
        <v>120211</v>
      </c>
      <c r="D2057" s="236" t="s">
        <v>15340</v>
      </c>
      <c r="E2057" s="15">
        <v>3882.6</v>
      </c>
      <c r="F2057" s="274">
        <v>42933</v>
      </c>
      <c r="G2057" s="15">
        <v>3882.6</v>
      </c>
      <c r="H2057" s="15">
        <f>Tabla1[[#This Row],[Importe]]-Tabla1[[#This Row],[Pagado]]</f>
        <v>0</v>
      </c>
      <c r="I2057" s="275" t="s">
        <v>15214</v>
      </c>
    </row>
    <row r="2058" spans="1:9" ht="15.75" x14ac:dyDescent="0.25">
      <c r="A2058" s="16">
        <v>42933</v>
      </c>
      <c r="B2058" s="273" t="s">
        <v>21930</v>
      </c>
      <c r="C2058">
        <v>120212</v>
      </c>
      <c r="D2058" s="248" t="s">
        <v>95</v>
      </c>
      <c r="E2058" s="15">
        <v>0</v>
      </c>
      <c r="F2058" s="277" t="s">
        <v>95</v>
      </c>
      <c r="G2058" s="15">
        <v>0</v>
      </c>
      <c r="H2058" s="15">
        <f>Tabla1[[#This Row],[Importe]]-Tabla1[[#This Row],[Pagado]]</f>
        <v>0</v>
      </c>
      <c r="I2058" s="275" t="s">
        <v>95</v>
      </c>
    </row>
    <row r="2059" spans="1:9" x14ac:dyDescent="0.25">
      <c r="A2059" s="16">
        <v>42933</v>
      </c>
      <c r="B2059" s="273" t="s">
        <v>21931</v>
      </c>
      <c r="C2059">
        <v>120213</v>
      </c>
      <c r="D2059" s="236" t="s">
        <v>15394</v>
      </c>
      <c r="E2059" s="15">
        <v>10100.6</v>
      </c>
      <c r="F2059" s="274">
        <v>42936</v>
      </c>
      <c r="G2059" s="15">
        <v>10100.6</v>
      </c>
      <c r="H2059" s="15">
        <f>Tabla1[[#This Row],[Importe]]-Tabla1[[#This Row],[Pagado]]</f>
        <v>0</v>
      </c>
      <c r="I2059" s="275" t="s">
        <v>15214</v>
      </c>
    </row>
    <row r="2060" spans="1:9" x14ac:dyDescent="0.25">
      <c r="A2060" s="16">
        <v>42933</v>
      </c>
      <c r="B2060" s="273" t="s">
        <v>21932</v>
      </c>
      <c r="C2060">
        <v>120214</v>
      </c>
      <c r="D2060" s="236" t="s">
        <v>15272</v>
      </c>
      <c r="E2060" s="15">
        <v>17155.900000000001</v>
      </c>
      <c r="F2060" s="274">
        <v>42933</v>
      </c>
      <c r="G2060" s="15">
        <v>17155.900000000001</v>
      </c>
      <c r="H2060" s="15">
        <f>Tabla1[[#This Row],[Importe]]-Tabla1[[#This Row],[Pagado]]</f>
        <v>0</v>
      </c>
      <c r="I2060" s="275" t="s">
        <v>15214</v>
      </c>
    </row>
    <row r="2061" spans="1:9" x14ac:dyDescent="0.25">
      <c r="A2061" s="16">
        <v>42933</v>
      </c>
      <c r="B2061" s="273" t="s">
        <v>21933</v>
      </c>
      <c r="C2061">
        <v>120215</v>
      </c>
      <c r="D2061" s="236" t="s">
        <v>15330</v>
      </c>
      <c r="E2061" s="15">
        <v>4633.8</v>
      </c>
      <c r="F2061" s="274">
        <v>42933</v>
      </c>
      <c r="G2061" s="15">
        <v>4633.8</v>
      </c>
      <c r="H2061" s="15">
        <f>Tabla1[[#This Row],[Importe]]-Tabla1[[#This Row],[Pagado]]</f>
        <v>0</v>
      </c>
      <c r="I2061" s="275" t="s">
        <v>15214</v>
      </c>
    </row>
    <row r="2062" spans="1:9" x14ac:dyDescent="0.25">
      <c r="A2062" s="16">
        <v>42933</v>
      </c>
      <c r="B2062" s="273" t="s">
        <v>21934</v>
      </c>
      <c r="C2062">
        <v>120216</v>
      </c>
      <c r="D2062" s="236" t="s">
        <v>19549</v>
      </c>
      <c r="E2062" s="15">
        <v>14747.3</v>
      </c>
      <c r="F2062" s="274">
        <v>42934</v>
      </c>
      <c r="G2062" s="15">
        <v>14747.3</v>
      </c>
      <c r="H2062" s="15">
        <f>Tabla1[[#This Row],[Importe]]-Tabla1[[#This Row],[Pagado]]</f>
        <v>0</v>
      </c>
      <c r="I2062" s="275" t="s">
        <v>15214</v>
      </c>
    </row>
    <row r="2063" spans="1:9" x14ac:dyDescent="0.25">
      <c r="A2063" s="16">
        <v>42933</v>
      </c>
      <c r="B2063" s="273" t="s">
        <v>21935</v>
      </c>
      <c r="C2063">
        <v>120217</v>
      </c>
      <c r="D2063" s="236" t="s">
        <v>15371</v>
      </c>
      <c r="E2063" s="15">
        <v>6723</v>
      </c>
      <c r="F2063" s="274">
        <v>42935</v>
      </c>
      <c r="G2063" s="15">
        <v>6723</v>
      </c>
      <c r="H2063" s="15">
        <f>Tabla1[[#This Row],[Importe]]-Tabla1[[#This Row],[Pagado]]</f>
        <v>0</v>
      </c>
      <c r="I2063" s="275" t="s">
        <v>15214</v>
      </c>
    </row>
    <row r="2064" spans="1:9" x14ac:dyDescent="0.25">
      <c r="A2064" s="16">
        <v>42933</v>
      </c>
      <c r="B2064" s="273" t="s">
        <v>21936</v>
      </c>
      <c r="C2064">
        <v>120218</v>
      </c>
      <c r="D2064" s="236" t="s">
        <v>19549</v>
      </c>
      <c r="E2064" s="15">
        <v>265</v>
      </c>
      <c r="F2064" s="274">
        <v>42936</v>
      </c>
      <c r="G2064" s="15">
        <v>265</v>
      </c>
      <c r="H2064" s="15">
        <f>Tabla1[[#This Row],[Importe]]-Tabla1[[#This Row],[Pagado]]</f>
        <v>0</v>
      </c>
      <c r="I2064" s="275" t="s">
        <v>15214</v>
      </c>
    </row>
    <row r="2065" spans="1:9" x14ac:dyDescent="0.25">
      <c r="A2065" s="16">
        <v>42933</v>
      </c>
      <c r="B2065" s="273" t="s">
        <v>21937</v>
      </c>
      <c r="C2065">
        <v>120219</v>
      </c>
      <c r="D2065" s="236" t="s">
        <v>15324</v>
      </c>
      <c r="E2065" s="15">
        <v>2590</v>
      </c>
      <c r="F2065" s="274">
        <v>42934</v>
      </c>
      <c r="G2065" s="15">
        <v>2590</v>
      </c>
      <c r="H2065" s="15">
        <f>Tabla1[[#This Row],[Importe]]-Tabla1[[#This Row],[Pagado]]</f>
        <v>0</v>
      </c>
      <c r="I2065" s="275" t="s">
        <v>15214</v>
      </c>
    </row>
    <row r="2066" spans="1:9" x14ac:dyDescent="0.25">
      <c r="A2066" s="16">
        <v>42933</v>
      </c>
      <c r="B2066" s="273" t="s">
        <v>21938</v>
      </c>
      <c r="C2066">
        <v>120220</v>
      </c>
      <c r="D2066" s="236" t="s">
        <v>15240</v>
      </c>
      <c r="E2066" s="15">
        <v>3800.3</v>
      </c>
      <c r="F2066" s="274">
        <v>42938</v>
      </c>
      <c r="G2066" s="15">
        <v>3800.3</v>
      </c>
      <c r="H2066" s="15">
        <f>Tabla1[[#This Row],[Importe]]-Tabla1[[#This Row],[Pagado]]</f>
        <v>0</v>
      </c>
      <c r="I2066" s="275" t="s">
        <v>15214</v>
      </c>
    </row>
    <row r="2067" spans="1:9" x14ac:dyDescent="0.25">
      <c r="A2067" s="16">
        <v>42933</v>
      </c>
      <c r="B2067" s="273" t="s">
        <v>21939</v>
      </c>
      <c r="C2067">
        <v>120221</v>
      </c>
      <c r="D2067" s="236" t="s">
        <v>15348</v>
      </c>
      <c r="E2067" s="15">
        <v>193.8</v>
      </c>
      <c r="F2067" s="274">
        <v>42933</v>
      </c>
      <c r="G2067" s="15">
        <v>193.8</v>
      </c>
      <c r="H2067" s="15">
        <f>Tabla1[[#This Row],[Importe]]-Tabla1[[#This Row],[Pagado]]</f>
        <v>0</v>
      </c>
      <c r="I2067" s="275" t="s">
        <v>15214</v>
      </c>
    </row>
    <row r="2068" spans="1:9" x14ac:dyDescent="0.25">
      <c r="A2068" s="16">
        <v>42933</v>
      </c>
      <c r="B2068" s="273" t="s">
        <v>21940</v>
      </c>
      <c r="C2068">
        <v>120222</v>
      </c>
      <c r="D2068" s="236" t="s">
        <v>15252</v>
      </c>
      <c r="E2068" s="15">
        <v>5112.8</v>
      </c>
      <c r="F2068" s="274">
        <v>42938</v>
      </c>
      <c r="G2068" s="15">
        <v>5112.8</v>
      </c>
      <c r="H2068" s="15">
        <f>Tabla1[[#This Row],[Importe]]-Tabla1[[#This Row],[Pagado]]</f>
        <v>0</v>
      </c>
      <c r="I2068" s="275" t="s">
        <v>15214</v>
      </c>
    </row>
    <row r="2069" spans="1:9" x14ac:dyDescent="0.25">
      <c r="A2069" s="16">
        <v>42933</v>
      </c>
      <c r="B2069" s="273" t="s">
        <v>21941</v>
      </c>
      <c r="C2069">
        <v>120223</v>
      </c>
      <c r="D2069" s="236" t="s">
        <v>15238</v>
      </c>
      <c r="E2069" s="15">
        <v>8062.5</v>
      </c>
      <c r="F2069" s="274">
        <v>42935</v>
      </c>
      <c r="G2069" s="15">
        <v>8062.5</v>
      </c>
      <c r="H2069" s="15">
        <f>Tabla1[[#This Row],[Importe]]-Tabla1[[#This Row],[Pagado]]</f>
        <v>0</v>
      </c>
      <c r="I2069" s="275" t="s">
        <v>15214</v>
      </c>
    </row>
    <row r="2070" spans="1:9" x14ac:dyDescent="0.25">
      <c r="A2070" s="16">
        <v>42933</v>
      </c>
      <c r="B2070" s="273" t="s">
        <v>21942</v>
      </c>
      <c r="C2070">
        <v>120224</v>
      </c>
      <c r="D2070" s="236" t="s">
        <v>15244</v>
      </c>
      <c r="E2070" s="15">
        <v>10981.6</v>
      </c>
      <c r="F2070" s="274">
        <v>42933</v>
      </c>
      <c r="G2070" s="15">
        <v>10981.6</v>
      </c>
      <c r="H2070" s="15">
        <f>Tabla1[[#This Row],[Importe]]-Tabla1[[#This Row],[Pagado]]</f>
        <v>0</v>
      </c>
      <c r="I2070" s="275" t="s">
        <v>15214</v>
      </c>
    </row>
    <row r="2071" spans="1:9" x14ac:dyDescent="0.25">
      <c r="A2071" s="16">
        <v>42933</v>
      </c>
      <c r="B2071" s="273" t="s">
        <v>21943</v>
      </c>
      <c r="C2071">
        <v>120225</v>
      </c>
      <c r="D2071" s="236" t="s">
        <v>15668</v>
      </c>
      <c r="E2071" s="15">
        <v>3354</v>
      </c>
      <c r="F2071" s="274">
        <v>42935</v>
      </c>
      <c r="G2071" s="15">
        <v>3354</v>
      </c>
      <c r="H2071" s="15">
        <f>Tabla1[[#This Row],[Importe]]-Tabla1[[#This Row],[Pagado]]</f>
        <v>0</v>
      </c>
      <c r="I2071" s="275" t="s">
        <v>15214</v>
      </c>
    </row>
    <row r="2072" spans="1:9" ht="30" x14ac:dyDescent="0.25">
      <c r="A2072" s="16">
        <v>42933</v>
      </c>
      <c r="B2072" s="273" t="s">
        <v>21944</v>
      </c>
      <c r="C2072">
        <v>120226</v>
      </c>
      <c r="D2072" s="236" t="s">
        <v>15373</v>
      </c>
      <c r="E2072" s="15">
        <v>12274.5</v>
      </c>
      <c r="F2072" s="274" t="s">
        <v>21945</v>
      </c>
      <c r="G2072" s="241">
        <f>5000+7274.5</f>
        <v>12274.5</v>
      </c>
      <c r="H2072" s="241">
        <f>Tabla1[[#This Row],[Importe]]-Tabla1[[#This Row],[Pagado]]</f>
        <v>0</v>
      </c>
      <c r="I2072" s="275" t="s">
        <v>15214</v>
      </c>
    </row>
    <row r="2073" spans="1:9" x14ac:dyDescent="0.25">
      <c r="A2073" s="16">
        <v>42933</v>
      </c>
      <c r="B2073" s="273" t="s">
        <v>21946</v>
      </c>
      <c r="C2073">
        <v>120227</v>
      </c>
      <c r="D2073" s="236" t="s">
        <v>15256</v>
      </c>
      <c r="E2073" s="15">
        <v>7077.3</v>
      </c>
      <c r="F2073" s="274">
        <v>42935</v>
      </c>
      <c r="G2073" s="15">
        <v>7077.3</v>
      </c>
      <c r="H2073" s="15">
        <f>Tabla1[[#This Row],[Importe]]-Tabla1[[#This Row],[Pagado]]</f>
        <v>0</v>
      </c>
      <c r="I2073" s="275" t="s">
        <v>15214</v>
      </c>
    </row>
    <row r="2074" spans="1:9" ht="15.75" x14ac:dyDescent="0.25">
      <c r="A2074" s="16">
        <v>42933</v>
      </c>
      <c r="B2074" s="273" t="s">
        <v>21947</v>
      </c>
      <c r="C2074">
        <v>120228</v>
      </c>
      <c r="D2074" s="248" t="s">
        <v>95</v>
      </c>
      <c r="E2074" s="15">
        <v>0</v>
      </c>
      <c r="F2074" s="277" t="s">
        <v>95</v>
      </c>
      <c r="G2074" s="15">
        <v>0</v>
      </c>
      <c r="H2074" s="15">
        <f>Tabla1[[#This Row],[Importe]]-Tabla1[[#This Row],[Pagado]]</f>
        <v>0</v>
      </c>
      <c r="I2074" s="275" t="s">
        <v>95</v>
      </c>
    </row>
    <row r="2075" spans="1:9" x14ac:dyDescent="0.25">
      <c r="A2075" s="16">
        <v>42933</v>
      </c>
      <c r="B2075" s="273" t="s">
        <v>21948</v>
      </c>
      <c r="C2075">
        <v>120229</v>
      </c>
      <c r="D2075" s="236" t="s">
        <v>15263</v>
      </c>
      <c r="E2075" s="15">
        <v>4238.1000000000004</v>
      </c>
      <c r="F2075" s="274">
        <v>42933</v>
      </c>
      <c r="G2075" s="15">
        <v>4238.1000000000004</v>
      </c>
      <c r="H2075" s="15">
        <f>Tabla1[[#This Row],[Importe]]-Tabla1[[#This Row],[Pagado]]</f>
        <v>0</v>
      </c>
      <c r="I2075" s="275" t="s">
        <v>15214</v>
      </c>
    </row>
    <row r="2076" spans="1:9" x14ac:dyDescent="0.25">
      <c r="A2076" s="16">
        <v>42933</v>
      </c>
      <c r="B2076" s="273" t="s">
        <v>21949</v>
      </c>
      <c r="C2076">
        <v>120230</v>
      </c>
      <c r="D2076" s="236" t="s">
        <v>15223</v>
      </c>
      <c r="E2076" s="15">
        <v>52369.2</v>
      </c>
      <c r="F2076" s="274">
        <v>42960</v>
      </c>
      <c r="G2076" s="15">
        <v>52369.2</v>
      </c>
      <c r="H2076" s="15">
        <f>Tabla1[[#This Row],[Importe]]-Tabla1[[#This Row],[Pagado]]</f>
        <v>0</v>
      </c>
      <c r="I2076" s="275" t="s">
        <v>15214</v>
      </c>
    </row>
    <row r="2077" spans="1:9" x14ac:dyDescent="0.25">
      <c r="A2077" s="16">
        <v>42933</v>
      </c>
      <c r="B2077" s="273" t="s">
        <v>21950</v>
      </c>
      <c r="C2077">
        <v>120231</v>
      </c>
      <c r="D2077" s="236" t="s">
        <v>15338</v>
      </c>
      <c r="E2077" s="15">
        <v>10125</v>
      </c>
      <c r="F2077" s="274">
        <v>42936</v>
      </c>
      <c r="G2077" s="15">
        <v>10125</v>
      </c>
      <c r="H2077" s="15">
        <f>Tabla1[[#This Row],[Importe]]-Tabla1[[#This Row],[Pagado]]</f>
        <v>0</v>
      </c>
      <c r="I2077" s="275" t="s">
        <v>15214</v>
      </c>
    </row>
    <row r="2078" spans="1:9" x14ac:dyDescent="0.25">
      <c r="A2078" s="16">
        <v>42933</v>
      </c>
      <c r="B2078" s="273" t="s">
        <v>21951</v>
      </c>
      <c r="C2078">
        <v>120232</v>
      </c>
      <c r="D2078" s="236" t="s">
        <v>15280</v>
      </c>
      <c r="E2078" s="15">
        <v>5598.9</v>
      </c>
      <c r="F2078" s="274">
        <v>42933</v>
      </c>
      <c r="G2078" s="15">
        <v>5598.9</v>
      </c>
      <c r="H2078" s="15">
        <f>Tabla1[[#This Row],[Importe]]-Tabla1[[#This Row],[Pagado]]</f>
        <v>0</v>
      </c>
      <c r="I2078" s="275" t="s">
        <v>15214</v>
      </c>
    </row>
    <row r="2079" spans="1:9" x14ac:dyDescent="0.25">
      <c r="A2079" s="16">
        <v>42933</v>
      </c>
      <c r="B2079" s="273" t="s">
        <v>21952</v>
      </c>
      <c r="C2079">
        <v>120233</v>
      </c>
      <c r="D2079" s="236" t="s">
        <v>15330</v>
      </c>
      <c r="E2079" s="15">
        <v>6865.1</v>
      </c>
      <c r="F2079" s="274">
        <v>42933</v>
      </c>
      <c r="G2079" s="15">
        <v>6865.1</v>
      </c>
      <c r="H2079" s="15">
        <f>Tabla1[[#This Row],[Importe]]-Tabla1[[#This Row],[Pagado]]</f>
        <v>0</v>
      </c>
      <c r="I2079" s="275" t="s">
        <v>15214</v>
      </c>
    </row>
    <row r="2080" spans="1:9" x14ac:dyDescent="0.25">
      <c r="A2080" s="16">
        <v>42933</v>
      </c>
      <c r="B2080" s="273" t="s">
        <v>21953</v>
      </c>
      <c r="C2080">
        <v>120234</v>
      </c>
      <c r="D2080" s="236" t="s">
        <v>15369</v>
      </c>
      <c r="E2080" s="15">
        <v>25484</v>
      </c>
      <c r="F2080" s="274">
        <v>42953</v>
      </c>
      <c r="G2080" s="15">
        <v>25484</v>
      </c>
      <c r="H2080" s="15">
        <f>Tabla1[[#This Row],[Importe]]-Tabla1[[#This Row],[Pagado]]</f>
        <v>0</v>
      </c>
      <c r="I2080" s="275" t="s">
        <v>15214</v>
      </c>
    </row>
    <row r="2081" spans="1:9" x14ac:dyDescent="0.25">
      <c r="A2081" s="16">
        <v>42933</v>
      </c>
      <c r="B2081" s="273" t="s">
        <v>21954</v>
      </c>
      <c r="C2081">
        <v>120235</v>
      </c>
      <c r="D2081" s="236" t="s">
        <v>15261</v>
      </c>
      <c r="E2081" s="15">
        <v>15151.4</v>
      </c>
      <c r="F2081" s="274">
        <v>42933</v>
      </c>
      <c r="G2081" s="15">
        <v>15151.4</v>
      </c>
      <c r="H2081" s="15">
        <f>Tabla1[[#This Row],[Importe]]-Tabla1[[#This Row],[Pagado]]</f>
        <v>0</v>
      </c>
      <c r="I2081" s="275" t="s">
        <v>15214</v>
      </c>
    </row>
    <row r="2082" spans="1:9" ht="15.75" x14ac:dyDescent="0.25">
      <c r="A2082" s="16">
        <v>42933</v>
      </c>
      <c r="B2082" s="273" t="s">
        <v>21955</v>
      </c>
      <c r="C2082">
        <v>120236</v>
      </c>
      <c r="D2082" s="248" t="s">
        <v>95</v>
      </c>
      <c r="E2082" s="15">
        <v>0</v>
      </c>
      <c r="F2082" s="277" t="s">
        <v>95</v>
      </c>
      <c r="G2082" s="15">
        <v>0</v>
      </c>
      <c r="H2082" s="15">
        <f>Tabla1[[#This Row],[Importe]]-Tabla1[[#This Row],[Pagado]]</f>
        <v>0</v>
      </c>
      <c r="I2082" s="275" t="s">
        <v>95</v>
      </c>
    </row>
    <row r="2083" spans="1:9" x14ac:dyDescent="0.25">
      <c r="A2083" s="16">
        <v>42933</v>
      </c>
      <c r="B2083" s="273" t="s">
        <v>21956</v>
      </c>
      <c r="C2083">
        <v>120237</v>
      </c>
      <c r="D2083" s="236" t="s">
        <v>15380</v>
      </c>
      <c r="E2083" s="15">
        <v>50977.9</v>
      </c>
      <c r="F2083" s="274">
        <v>42953</v>
      </c>
      <c r="G2083" s="15">
        <v>50977.9</v>
      </c>
      <c r="H2083" s="15">
        <f>Tabla1[[#This Row],[Importe]]-Tabla1[[#This Row],[Pagado]]</f>
        <v>0</v>
      </c>
      <c r="I2083" s="275" t="s">
        <v>15214</v>
      </c>
    </row>
    <row r="2084" spans="1:9" x14ac:dyDescent="0.25">
      <c r="A2084" s="16">
        <v>42933</v>
      </c>
      <c r="B2084" s="273" t="s">
        <v>21957</v>
      </c>
      <c r="C2084">
        <v>120238</v>
      </c>
      <c r="D2084" s="236" t="s">
        <v>15326</v>
      </c>
      <c r="E2084" s="15">
        <v>495.9</v>
      </c>
      <c r="F2084" s="274">
        <v>42933</v>
      </c>
      <c r="G2084" s="15">
        <v>495.9</v>
      </c>
      <c r="H2084" s="15">
        <f>Tabla1[[#This Row],[Importe]]-Tabla1[[#This Row],[Pagado]]</f>
        <v>0</v>
      </c>
      <c r="I2084" s="275" t="s">
        <v>15214</v>
      </c>
    </row>
    <row r="2085" spans="1:9" x14ac:dyDescent="0.25">
      <c r="A2085" s="16">
        <v>42933</v>
      </c>
      <c r="B2085" s="273" t="s">
        <v>21958</v>
      </c>
      <c r="C2085">
        <v>120239</v>
      </c>
      <c r="D2085" s="236" t="s">
        <v>16484</v>
      </c>
      <c r="E2085" s="15">
        <v>1732.8</v>
      </c>
      <c r="F2085" s="274">
        <v>42933</v>
      </c>
      <c r="G2085" s="15">
        <v>1732.8</v>
      </c>
      <c r="H2085" s="15">
        <f>Tabla1[[#This Row],[Importe]]-Tabla1[[#This Row],[Pagado]]</f>
        <v>0</v>
      </c>
      <c r="I2085" s="275" t="s">
        <v>15214</v>
      </c>
    </row>
    <row r="2086" spans="1:9" x14ac:dyDescent="0.25">
      <c r="A2086" s="16">
        <v>42933</v>
      </c>
      <c r="B2086" s="273" t="s">
        <v>21959</v>
      </c>
      <c r="C2086">
        <v>120240</v>
      </c>
      <c r="D2086" s="236" t="s">
        <v>15382</v>
      </c>
      <c r="E2086" s="15">
        <v>9930.2999999999993</v>
      </c>
      <c r="F2086" s="292">
        <v>42948</v>
      </c>
      <c r="G2086" s="15">
        <v>9930.2999999999993</v>
      </c>
      <c r="H2086" s="15">
        <f>Tabla1[[#This Row],[Importe]]-Tabla1[[#This Row],[Pagado]]</f>
        <v>0</v>
      </c>
      <c r="I2086" s="275" t="s">
        <v>15214</v>
      </c>
    </row>
    <row r="2087" spans="1:9" x14ac:dyDescent="0.25">
      <c r="A2087" s="16">
        <v>42933</v>
      </c>
      <c r="B2087" s="273" t="s">
        <v>21960</v>
      </c>
      <c r="C2087">
        <v>120241</v>
      </c>
      <c r="D2087" s="236" t="s">
        <v>15248</v>
      </c>
      <c r="E2087" s="15">
        <v>42531.22</v>
      </c>
      <c r="F2087" s="274">
        <v>42933</v>
      </c>
      <c r="G2087" s="15">
        <v>42531.22</v>
      </c>
      <c r="H2087" s="15">
        <f>Tabla1[[#This Row],[Importe]]-Tabla1[[#This Row],[Pagado]]</f>
        <v>0</v>
      </c>
      <c r="I2087" s="275" t="s">
        <v>15214</v>
      </c>
    </row>
    <row r="2088" spans="1:9" x14ac:dyDescent="0.25">
      <c r="A2088" s="16">
        <v>42933</v>
      </c>
      <c r="B2088" s="273" t="s">
        <v>21961</v>
      </c>
      <c r="C2088">
        <v>120242</v>
      </c>
      <c r="D2088" s="236" t="s">
        <v>15438</v>
      </c>
      <c r="E2088" s="15">
        <v>818</v>
      </c>
      <c r="F2088" s="274">
        <v>42933</v>
      </c>
      <c r="G2088" s="15">
        <v>818</v>
      </c>
      <c r="H2088" s="15">
        <f>Tabla1[[#This Row],[Importe]]-Tabla1[[#This Row],[Pagado]]</f>
        <v>0</v>
      </c>
      <c r="I2088" s="275" t="s">
        <v>15214</v>
      </c>
    </row>
    <row r="2089" spans="1:9" ht="15.75" x14ac:dyDescent="0.25">
      <c r="A2089" s="16">
        <v>42933</v>
      </c>
      <c r="B2089" s="273" t="s">
        <v>21962</v>
      </c>
      <c r="C2089">
        <v>120243</v>
      </c>
      <c r="D2089" s="248" t="s">
        <v>95</v>
      </c>
      <c r="E2089" s="15">
        <v>0</v>
      </c>
      <c r="F2089" s="277" t="s">
        <v>95</v>
      </c>
      <c r="G2089" s="15">
        <v>0</v>
      </c>
      <c r="H2089" s="15">
        <f>Tabla1[[#This Row],[Importe]]-Tabla1[[#This Row],[Pagado]]</f>
        <v>0</v>
      </c>
      <c r="I2089" s="275" t="s">
        <v>95</v>
      </c>
    </row>
    <row r="2090" spans="1:9" x14ac:dyDescent="0.25">
      <c r="A2090" s="16">
        <v>42933</v>
      </c>
      <c r="B2090" s="273" t="s">
        <v>21963</v>
      </c>
      <c r="C2090">
        <v>120244</v>
      </c>
      <c r="D2090" s="236" t="s">
        <v>15389</v>
      </c>
      <c r="E2090" s="15">
        <v>15492.5</v>
      </c>
      <c r="F2090" s="292">
        <v>42948</v>
      </c>
      <c r="G2090" s="15">
        <v>15492.5</v>
      </c>
      <c r="H2090" s="15">
        <f>Tabla1[[#This Row],[Importe]]-Tabla1[[#This Row],[Pagado]]</f>
        <v>0</v>
      </c>
      <c r="I2090" s="275" t="s">
        <v>15214</v>
      </c>
    </row>
    <row r="2091" spans="1:9" x14ac:dyDescent="0.25">
      <c r="A2091" s="16">
        <v>42933</v>
      </c>
      <c r="B2091" s="273" t="s">
        <v>21964</v>
      </c>
      <c r="C2091">
        <v>120245</v>
      </c>
      <c r="D2091" s="236" t="s">
        <v>15250</v>
      </c>
      <c r="E2091" s="15">
        <v>40388.400000000001</v>
      </c>
      <c r="F2091" s="274">
        <v>42939</v>
      </c>
      <c r="G2091" s="15">
        <v>40388.400000000001</v>
      </c>
      <c r="H2091" s="15">
        <f>Tabla1[[#This Row],[Importe]]-Tabla1[[#This Row],[Pagado]]</f>
        <v>0</v>
      </c>
      <c r="I2091" s="275" t="s">
        <v>15214</v>
      </c>
    </row>
    <row r="2092" spans="1:9" ht="30" x14ac:dyDescent="0.25">
      <c r="A2092" s="16">
        <v>42933</v>
      </c>
      <c r="B2092" s="273" t="s">
        <v>21965</v>
      </c>
      <c r="C2092">
        <v>120246</v>
      </c>
      <c r="D2092" s="236" t="s">
        <v>16139</v>
      </c>
      <c r="E2092" s="15">
        <v>2902.2</v>
      </c>
      <c r="F2092" s="274" t="s">
        <v>21966</v>
      </c>
      <c r="G2092" s="241">
        <f>1502.2+1400</f>
        <v>2902.2</v>
      </c>
      <c r="H2092" s="241">
        <f>Tabla1[[#This Row],[Importe]]-Tabla1[[#This Row],[Pagado]]</f>
        <v>0</v>
      </c>
      <c r="I2092" s="275" t="s">
        <v>15214</v>
      </c>
    </row>
    <row r="2093" spans="1:9" x14ac:dyDescent="0.25">
      <c r="A2093" s="16">
        <v>42933</v>
      </c>
      <c r="B2093" s="273" t="s">
        <v>21967</v>
      </c>
      <c r="C2093">
        <v>120247</v>
      </c>
      <c r="D2093" s="236" t="s">
        <v>15562</v>
      </c>
      <c r="E2093" s="15">
        <v>3412.8</v>
      </c>
      <c r="F2093" s="274">
        <v>42933</v>
      </c>
      <c r="G2093" s="15">
        <v>3412.8</v>
      </c>
      <c r="H2093" s="15">
        <f>Tabla1[[#This Row],[Importe]]-Tabla1[[#This Row],[Pagado]]</f>
        <v>0</v>
      </c>
      <c r="I2093" s="275" t="s">
        <v>15214</v>
      </c>
    </row>
    <row r="2094" spans="1:9" x14ac:dyDescent="0.25">
      <c r="A2094" s="16">
        <v>42933</v>
      </c>
      <c r="B2094" s="273" t="s">
        <v>21968</v>
      </c>
      <c r="C2094">
        <v>120248</v>
      </c>
      <c r="D2094" s="236" t="s">
        <v>15376</v>
      </c>
      <c r="E2094" s="15">
        <v>14174.5</v>
      </c>
      <c r="F2094" s="274">
        <v>42933</v>
      </c>
      <c r="G2094" s="15">
        <v>14174.5</v>
      </c>
      <c r="H2094" s="15">
        <f>Tabla1[[#This Row],[Importe]]-Tabla1[[#This Row],[Pagado]]</f>
        <v>0</v>
      </c>
      <c r="I2094" s="275" t="s">
        <v>15214</v>
      </c>
    </row>
    <row r="2095" spans="1:9" x14ac:dyDescent="0.25">
      <c r="A2095" s="16">
        <v>42933</v>
      </c>
      <c r="B2095" s="273" t="s">
        <v>21969</v>
      </c>
      <c r="C2095">
        <v>120249</v>
      </c>
      <c r="D2095" s="236" t="s">
        <v>15376</v>
      </c>
      <c r="E2095" s="15">
        <v>10064</v>
      </c>
      <c r="F2095" s="274">
        <v>42933</v>
      </c>
      <c r="G2095" s="15">
        <v>10064</v>
      </c>
      <c r="H2095" s="15">
        <f>Tabla1[[#This Row],[Importe]]-Tabla1[[#This Row],[Pagado]]</f>
        <v>0</v>
      </c>
      <c r="I2095" s="275" t="s">
        <v>15214</v>
      </c>
    </row>
    <row r="2096" spans="1:9" x14ac:dyDescent="0.25">
      <c r="A2096" s="16">
        <v>42933</v>
      </c>
      <c r="B2096" s="273" t="s">
        <v>21970</v>
      </c>
      <c r="C2096">
        <v>120250</v>
      </c>
      <c r="D2096" s="236" t="s">
        <v>15391</v>
      </c>
      <c r="E2096" s="15">
        <v>8811.6</v>
      </c>
      <c r="F2096" s="274">
        <v>42934</v>
      </c>
      <c r="G2096" s="15">
        <v>8811.6</v>
      </c>
      <c r="H2096" s="15">
        <f>Tabla1[[#This Row],[Importe]]-Tabla1[[#This Row],[Pagado]]</f>
        <v>0</v>
      </c>
      <c r="I2096" s="275" t="s">
        <v>15214</v>
      </c>
    </row>
    <row r="2097" spans="1:9" x14ac:dyDescent="0.25">
      <c r="A2097" s="16">
        <v>42933</v>
      </c>
      <c r="B2097" s="273" t="s">
        <v>21971</v>
      </c>
      <c r="C2097">
        <v>120251</v>
      </c>
      <c r="D2097" s="236" t="s">
        <v>15315</v>
      </c>
      <c r="E2097" s="15">
        <v>6896.4</v>
      </c>
      <c r="F2097" s="274">
        <v>42933</v>
      </c>
      <c r="G2097" s="15">
        <v>6896.4</v>
      </c>
      <c r="H2097" s="15">
        <f>Tabla1[[#This Row],[Importe]]-Tabla1[[#This Row],[Pagado]]</f>
        <v>0</v>
      </c>
      <c r="I2097" s="275" t="s">
        <v>15214</v>
      </c>
    </row>
    <row r="2098" spans="1:9" x14ac:dyDescent="0.25">
      <c r="A2098" s="16">
        <v>42933</v>
      </c>
      <c r="B2098" s="273" t="s">
        <v>21972</v>
      </c>
      <c r="C2098">
        <v>120252</v>
      </c>
      <c r="D2098" s="236" t="s">
        <v>15378</v>
      </c>
      <c r="E2098" s="15">
        <v>9841.7999999999993</v>
      </c>
      <c r="F2098" s="274">
        <v>42940</v>
      </c>
      <c r="G2098" s="15">
        <v>9841.7999999999993</v>
      </c>
      <c r="H2098" s="15">
        <f>Tabla1[[#This Row],[Importe]]-Tabla1[[#This Row],[Pagado]]</f>
        <v>0</v>
      </c>
      <c r="I2098" s="275" t="s">
        <v>15214</v>
      </c>
    </row>
    <row r="2099" spans="1:9" x14ac:dyDescent="0.25">
      <c r="A2099" s="16">
        <v>42933</v>
      </c>
      <c r="B2099" s="273" t="s">
        <v>21973</v>
      </c>
      <c r="C2099">
        <v>120253</v>
      </c>
      <c r="D2099" s="236" t="s">
        <v>15530</v>
      </c>
      <c r="E2099" s="15">
        <v>4258.8</v>
      </c>
      <c r="F2099" s="274">
        <v>42933</v>
      </c>
      <c r="G2099" s="15">
        <v>4258.8</v>
      </c>
      <c r="H2099" s="15">
        <f>Tabla1[[#This Row],[Importe]]-Tabla1[[#This Row],[Pagado]]</f>
        <v>0</v>
      </c>
      <c r="I2099" s="275" t="s">
        <v>15214</v>
      </c>
    </row>
    <row r="2100" spans="1:9" x14ac:dyDescent="0.25">
      <c r="A2100" s="16">
        <v>42933</v>
      </c>
      <c r="B2100" s="273" t="s">
        <v>21974</v>
      </c>
      <c r="C2100">
        <v>120254</v>
      </c>
      <c r="D2100" s="236" t="s">
        <v>15628</v>
      </c>
      <c r="E2100" s="15">
        <v>8368.1200000000008</v>
      </c>
      <c r="F2100" s="274">
        <v>42943</v>
      </c>
      <c r="G2100" s="15">
        <v>8368.1200000000008</v>
      </c>
      <c r="H2100" s="15">
        <f>Tabla1[[#This Row],[Importe]]-Tabla1[[#This Row],[Pagado]]</f>
        <v>0</v>
      </c>
      <c r="I2100" s="275" t="s">
        <v>15214</v>
      </c>
    </row>
    <row r="2101" spans="1:9" x14ac:dyDescent="0.25">
      <c r="A2101" s="16">
        <v>42933</v>
      </c>
      <c r="B2101" s="273" t="s">
        <v>21975</v>
      </c>
      <c r="C2101">
        <v>120255</v>
      </c>
      <c r="D2101" s="236" t="s">
        <v>15246</v>
      </c>
      <c r="E2101" s="15">
        <v>5471.2</v>
      </c>
      <c r="F2101" s="274">
        <v>42936</v>
      </c>
      <c r="G2101" s="15">
        <v>5471.2</v>
      </c>
      <c r="H2101" s="15">
        <f>Tabla1[[#This Row],[Importe]]-Tabla1[[#This Row],[Pagado]]</f>
        <v>0</v>
      </c>
      <c r="I2101" s="275" t="s">
        <v>15214</v>
      </c>
    </row>
    <row r="2102" spans="1:9" ht="30" x14ac:dyDescent="0.25">
      <c r="A2102" s="16">
        <v>42933</v>
      </c>
      <c r="B2102" s="273" t="s">
        <v>21976</v>
      </c>
      <c r="C2102">
        <v>120256</v>
      </c>
      <c r="D2102" s="236" t="s">
        <v>15328</v>
      </c>
      <c r="E2102" s="15">
        <v>44509.919999999998</v>
      </c>
      <c r="F2102" s="274" t="s">
        <v>21977</v>
      </c>
      <c r="G2102" s="241">
        <f>39137.47+5372.45</f>
        <v>44509.919999999998</v>
      </c>
      <c r="H2102" s="241">
        <f>Tabla1[[#This Row],[Importe]]-Tabla1[[#This Row],[Pagado]]</f>
        <v>0</v>
      </c>
      <c r="I2102" s="275" t="s">
        <v>15214</v>
      </c>
    </row>
    <row r="2103" spans="1:9" x14ac:dyDescent="0.25">
      <c r="A2103" s="16">
        <v>42933</v>
      </c>
      <c r="B2103" s="273" t="s">
        <v>21978</v>
      </c>
      <c r="C2103">
        <v>120257</v>
      </c>
      <c r="D2103" s="236" t="s">
        <v>15328</v>
      </c>
      <c r="E2103" s="15">
        <v>63820.76</v>
      </c>
      <c r="F2103" s="274">
        <v>42945</v>
      </c>
      <c r="G2103" s="15">
        <v>63820.76</v>
      </c>
      <c r="H2103" s="15">
        <f>Tabla1[[#This Row],[Importe]]-Tabla1[[#This Row],[Pagado]]</f>
        <v>0</v>
      </c>
      <c r="I2103" s="275" t="s">
        <v>15214</v>
      </c>
    </row>
    <row r="2104" spans="1:9" x14ac:dyDescent="0.25">
      <c r="A2104" s="16">
        <v>42933</v>
      </c>
      <c r="B2104" s="273" t="s">
        <v>21979</v>
      </c>
      <c r="C2104">
        <v>120258</v>
      </c>
      <c r="D2104" s="236" t="s">
        <v>15537</v>
      </c>
      <c r="E2104" s="15">
        <v>15530.7</v>
      </c>
      <c r="F2104" s="274">
        <v>42938</v>
      </c>
      <c r="G2104" s="15">
        <v>15530.7</v>
      </c>
      <c r="H2104" s="15">
        <f>Tabla1[[#This Row],[Importe]]-Tabla1[[#This Row],[Pagado]]</f>
        <v>0</v>
      </c>
      <c r="I2104" s="275" t="s">
        <v>15214</v>
      </c>
    </row>
    <row r="2105" spans="1:9" x14ac:dyDescent="0.25">
      <c r="A2105" s="16">
        <v>42933</v>
      </c>
      <c r="B2105" s="273" t="s">
        <v>21980</v>
      </c>
      <c r="C2105">
        <v>120259</v>
      </c>
      <c r="D2105" s="236" t="s">
        <v>15539</v>
      </c>
      <c r="E2105" s="15">
        <v>9326.7000000000007</v>
      </c>
      <c r="F2105" s="274">
        <v>42935</v>
      </c>
      <c r="G2105" s="15">
        <v>9326.7000000000007</v>
      </c>
      <c r="H2105" s="15">
        <f>Tabla1[[#This Row],[Importe]]-Tabla1[[#This Row],[Pagado]]</f>
        <v>0</v>
      </c>
      <c r="I2105" s="275" t="s">
        <v>15214</v>
      </c>
    </row>
    <row r="2106" spans="1:9" x14ac:dyDescent="0.25">
      <c r="A2106" s="16">
        <v>42933</v>
      </c>
      <c r="B2106" s="273" t="s">
        <v>21981</v>
      </c>
      <c r="C2106">
        <v>120260</v>
      </c>
      <c r="D2106" s="236" t="s">
        <v>15315</v>
      </c>
      <c r="E2106" s="15">
        <v>8499.4</v>
      </c>
      <c r="F2106" s="274">
        <v>42935</v>
      </c>
      <c r="G2106" s="15">
        <v>8499.4</v>
      </c>
      <c r="H2106" s="15">
        <f>Tabla1[[#This Row],[Importe]]-Tabla1[[#This Row],[Pagado]]</f>
        <v>0</v>
      </c>
      <c r="I2106" s="275" t="s">
        <v>15214</v>
      </c>
    </row>
    <row r="2107" spans="1:9" x14ac:dyDescent="0.25">
      <c r="A2107" s="16">
        <v>42933</v>
      </c>
      <c r="B2107" s="273" t="s">
        <v>21982</v>
      </c>
      <c r="C2107">
        <v>120261</v>
      </c>
      <c r="D2107" s="236" t="s">
        <v>15315</v>
      </c>
      <c r="E2107" s="15">
        <v>3341.1</v>
      </c>
      <c r="F2107" s="274">
        <v>42944</v>
      </c>
      <c r="G2107" s="15">
        <v>3341.1</v>
      </c>
      <c r="H2107" s="15">
        <f>Tabla1[[#This Row],[Importe]]-Tabla1[[#This Row],[Pagado]]</f>
        <v>0</v>
      </c>
      <c r="I2107" s="275" t="s">
        <v>15214</v>
      </c>
    </row>
    <row r="2108" spans="1:9" x14ac:dyDescent="0.25">
      <c r="A2108" s="16">
        <v>42933</v>
      </c>
      <c r="B2108" s="273" t="s">
        <v>21983</v>
      </c>
      <c r="C2108">
        <v>120262</v>
      </c>
      <c r="D2108" s="236" t="s">
        <v>15544</v>
      </c>
      <c r="E2108" s="15">
        <v>2733.9</v>
      </c>
      <c r="F2108" s="274">
        <v>42935</v>
      </c>
      <c r="G2108" s="15">
        <v>2733.9</v>
      </c>
      <c r="H2108" s="15">
        <f>Tabla1[[#This Row],[Importe]]-Tabla1[[#This Row],[Pagado]]</f>
        <v>0</v>
      </c>
      <c r="I2108" s="275" t="s">
        <v>15214</v>
      </c>
    </row>
    <row r="2109" spans="1:9" ht="30" x14ac:dyDescent="0.25">
      <c r="A2109" s="16">
        <v>42933</v>
      </c>
      <c r="B2109" s="273" t="s">
        <v>21984</v>
      </c>
      <c r="C2109">
        <v>120263</v>
      </c>
      <c r="D2109" s="236" t="s">
        <v>15315</v>
      </c>
      <c r="E2109" s="15">
        <v>9808.2999999999993</v>
      </c>
      <c r="F2109" s="274" t="s">
        <v>21985</v>
      </c>
      <c r="G2109" s="241">
        <f>8304.72+1503.58</f>
        <v>9808.2999999999993</v>
      </c>
      <c r="H2109" s="241">
        <f>Tabla1[[#This Row],[Importe]]-Tabla1[[#This Row],[Pagado]]</f>
        <v>0</v>
      </c>
      <c r="I2109" s="275" t="s">
        <v>15214</v>
      </c>
    </row>
    <row r="2110" spans="1:9" x14ac:dyDescent="0.25">
      <c r="A2110" s="16">
        <v>42933</v>
      </c>
      <c r="B2110" s="273" t="s">
        <v>21986</v>
      </c>
      <c r="C2110">
        <v>120264</v>
      </c>
      <c r="D2110" s="236" t="s">
        <v>15555</v>
      </c>
      <c r="E2110" s="15">
        <v>2359</v>
      </c>
      <c r="F2110" s="274">
        <v>42935</v>
      </c>
      <c r="G2110" s="15">
        <v>2359</v>
      </c>
      <c r="H2110" s="15">
        <f>Tabla1[[#This Row],[Importe]]-Tabla1[[#This Row],[Pagado]]</f>
        <v>0</v>
      </c>
      <c r="I2110" s="275" t="s">
        <v>15214</v>
      </c>
    </row>
    <row r="2111" spans="1:9" x14ac:dyDescent="0.25">
      <c r="A2111" s="16">
        <v>42933</v>
      </c>
      <c r="B2111" s="273" t="s">
        <v>21987</v>
      </c>
      <c r="C2111">
        <v>120265</v>
      </c>
      <c r="D2111" s="236" t="s">
        <v>15559</v>
      </c>
      <c r="E2111" s="15">
        <v>8399.2000000000007</v>
      </c>
      <c r="F2111" s="274">
        <v>42942</v>
      </c>
      <c r="G2111" s="15">
        <v>8399.2000000000007</v>
      </c>
      <c r="H2111" s="15">
        <f>Tabla1[[#This Row],[Importe]]-Tabla1[[#This Row],[Pagado]]</f>
        <v>0</v>
      </c>
      <c r="I2111" s="275" t="s">
        <v>15214</v>
      </c>
    </row>
    <row r="2112" spans="1:9" x14ac:dyDescent="0.25">
      <c r="A2112" s="16">
        <v>42933</v>
      </c>
      <c r="B2112" s="273" t="s">
        <v>21988</v>
      </c>
      <c r="C2112">
        <v>120266</v>
      </c>
      <c r="D2112" s="236" t="s">
        <v>15544</v>
      </c>
      <c r="E2112" s="15">
        <v>467.4</v>
      </c>
      <c r="F2112" s="274">
        <v>42935</v>
      </c>
      <c r="G2112" s="15">
        <v>467.4</v>
      </c>
      <c r="H2112" s="15">
        <f>Tabla1[[#This Row],[Importe]]-Tabla1[[#This Row],[Pagado]]</f>
        <v>0</v>
      </c>
      <c r="I2112" s="275" t="s">
        <v>15214</v>
      </c>
    </row>
    <row r="2113" spans="1:9" ht="15.75" x14ac:dyDescent="0.25">
      <c r="A2113" s="16">
        <v>42933</v>
      </c>
      <c r="B2113" s="273" t="s">
        <v>21989</v>
      </c>
      <c r="C2113">
        <v>120267</v>
      </c>
      <c r="D2113" s="248" t="s">
        <v>95</v>
      </c>
      <c r="E2113" s="15">
        <v>0</v>
      </c>
      <c r="F2113" s="277" t="s">
        <v>95</v>
      </c>
      <c r="G2113" s="15">
        <v>0</v>
      </c>
      <c r="H2113" s="15">
        <f>Tabla1[[#This Row],[Importe]]-Tabla1[[#This Row],[Pagado]]</f>
        <v>0</v>
      </c>
      <c r="I2113" s="275" t="s">
        <v>95</v>
      </c>
    </row>
    <row r="2114" spans="1:9" x14ac:dyDescent="0.25">
      <c r="A2114" s="16">
        <v>42933</v>
      </c>
      <c r="B2114" s="273" t="s">
        <v>21990</v>
      </c>
      <c r="C2114">
        <v>120268</v>
      </c>
      <c r="D2114" s="236" t="s">
        <v>15396</v>
      </c>
      <c r="E2114" s="15">
        <v>5218.8</v>
      </c>
      <c r="F2114" s="274">
        <v>42933</v>
      </c>
      <c r="G2114" s="15">
        <v>5218.8</v>
      </c>
      <c r="H2114" s="15">
        <f>Tabla1[[#This Row],[Importe]]-Tabla1[[#This Row],[Pagado]]</f>
        <v>0</v>
      </c>
      <c r="I2114" s="275" t="s">
        <v>15214</v>
      </c>
    </row>
    <row r="2115" spans="1:9" x14ac:dyDescent="0.25">
      <c r="A2115" s="16">
        <v>42933</v>
      </c>
      <c r="B2115" s="273" t="s">
        <v>21991</v>
      </c>
      <c r="C2115">
        <v>120269</v>
      </c>
      <c r="D2115" s="236" t="s">
        <v>15417</v>
      </c>
      <c r="E2115" s="15">
        <v>2667.6</v>
      </c>
      <c r="F2115" s="274">
        <v>42934</v>
      </c>
      <c r="G2115" s="15">
        <v>2667.6</v>
      </c>
      <c r="H2115" s="15">
        <f>Tabla1[[#This Row],[Importe]]-Tabla1[[#This Row],[Pagado]]</f>
        <v>0</v>
      </c>
      <c r="I2115" s="275" t="s">
        <v>15214</v>
      </c>
    </row>
    <row r="2116" spans="1:9" x14ac:dyDescent="0.25">
      <c r="A2116" s="16">
        <v>42933</v>
      </c>
      <c r="B2116" s="273" t="s">
        <v>21992</v>
      </c>
      <c r="C2116">
        <v>120270</v>
      </c>
      <c r="D2116" s="236" t="s">
        <v>15596</v>
      </c>
      <c r="E2116" s="15">
        <v>1375</v>
      </c>
      <c r="F2116" s="274">
        <v>42934</v>
      </c>
      <c r="G2116" s="15">
        <v>1375</v>
      </c>
      <c r="H2116" s="15">
        <f>Tabla1[[#This Row],[Importe]]-Tabla1[[#This Row],[Pagado]]</f>
        <v>0</v>
      </c>
      <c r="I2116" s="275" t="s">
        <v>15214</v>
      </c>
    </row>
    <row r="2117" spans="1:9" x14ac:dyDescent="0.25">
      <c r="A2117" s="16">
        <v>42933</v>
      </c>
      <c r="B2117" s="273" t="s">
        <v>21993</v>
      </c>
      <c r="C2117">
        <v>120271</v>
      </c>
      <c r="D2117" s="236" t="s">
        <v>15334</v>
      </c>
      <c r="E2117" s="15">
        <v>1543</v>
      </c>
      <c r="F2117" s="274">
        <v>42933</v>
      </c>
      <c r="G2117" s="15">
        <v>1543</v>
      </c>
      <c r="H2117" s="15">
        <f>Tabla1[[#This Row],[Importe]]-Tabla1[[#This Row],[Pagado]]</f>
        <v>0</v>
      </c>
      <c r="I2117" s="275" t="s">
        <v>15214</v>
      </c>
    </row>
    <row r="2118" spans="1:9" x14ac:dyDescent="0.25">
      <c r="A2118" s="16">
        <v>42933</v>
      </c>
      <c r="B2118" s="273" t="s">
        <v>21994</v>
      </c>
      <c r="C2118">
        <v>120272</v>
      </c>
      <c r="D2118" s="236" t="s">
        <v>15350</v>
      </c>
      <c r="E2118" s="15">
        <v>2750</v>
      </c>
      <c r="F2118" s="274">
        <v>42933</v>
      </c>
      <c r="G2118" s="15">
        <v>2750</v>
      </c>
      <c r="H2118" s="15">
        <f>Tabla1[[#This Row],[Importe]]-Tabla1[[#This Row],[Pagado]]</f>
        <v>0</v>
      </c>
      <c r="I2118" s="275" t="s">
        <v>15214</v>
      </c>
    </row>
    <row r="2119" spans="1:9" x14ac:dyDescent="0.25">
      <c r="A2119" s="16">
        <v>42933</v>
      </c>
      <c r="B2119" s="273" t="s">
        <v>21995</v>
      </c>
      <c r="C2119">
        <v>120273</v>
      </c>
      <c r="D2119" s="236" t="s">
        <v>15298</v>
      </c>
      <c r="E2119" s="15">
        <v>17269.5</v>
      </c>
      <c r="F2119" s="274">
        <v>42943</v>
      </c>
      <c r="G2119" s="15">
        <v>17269.5</v>
      </c>
      <c r="H2119" s="15">
        <f>Tabla1[[#This Row],[Importe]]-Tabla1[[#This Row],[Pagado]]</f>
        <v>0</v>
      </c>
      <c r="I2119" s="275" t="s">
        <v>15214</v>
      </c>
    </row>
    <row r="2120" spans="1:9" x14ac:dyDescent="0.25">
      <c r="A2120" s="16">
        <v>42933</v>
      </c>
      <c r="B2120" s="273" t="s">
        <v>21996</v>
      </c>
      <c r="C2120">
        <v>120274</v>
      </c>
      <c r="D2120" s="236" t="s">
        <v>15284</v>
      </c>
      <c r="E2120" s="15">
        <v>729.6</v>
      </c>
      <c r="F2120" s="274">
        <v>42933</v>
      </c>
      <c r="G2120" s="15">
        <v>729.6</v>
      </c>
      <c r="H2120" s="15">
        <f>Tabla1[[#This Row],[Importe]]-Tabla1[[#This Row],[Pagado]]</f>
        <v>0</v>
      </c>
      <c r="I2120" s="275" t="s">
        <v>15214</v>
      </c>
    </row>
    <row r="2121" spans="1:9" x14ac:dyDescent="0.25">
      <c r="A2121" s="16">
        <v>42933</v>
      </c>
      <c r="B2121" s="273" t="s">
        <v>21997</v>
      </c>
      <c r="C2121">
        <v>120275</v>
      </c>
      <c r="D2121" s="236" t="s">
        <v>15276</v>
      </c>
      <c r="E2121" s="15">
        <v>2755.5</v>
      </c>
      <c r="F2121" s="274">
        <v>42934</v>
      </c>
      <c r="G2121" s="15">
        <v>2755.5</v>
      </c>
      <c r="H2121" s="15">
        <f>Tabla1[[#This Row],[Importe]]-Tabla1[[#This Row],[Pagado]]</f>
        <v>0</v>
      </c>
      <c r="I2121" s="275" t="s">
        <v>15214</v>
      </c>
    </row>
    <row r="2122" spans="1:9" x14ac:dyDescent="0.25">
      <c r="A2122" s="16">
        <v>42933</v>
      </c>
      <c r="B2122" s="273" t="s">
        <v>21998</v>
      </c>
      <c r="C2122">
        <v>120276</v>
      </c>
      <c r="D2122" s="236" t="s">
        <v>15782</v>
      </c>
      <c r="E2122" s="15">
        <v>1510.5</v>
      </c>
      <c r="F2122" s="274">
        <v>42934</v>
      </c>
      <c r="G2122" s="15">
        <v>1510.5</v>
      </c>
      <c r="H2122" s="15">
        <f>Tabla1[[#This Row],[Importe]]-Tabla1[[#This Row],[Pagado]]</f>
        <v>0</v>
      </c>
      <c r="I2122" s="275" t="s">
        <v>15214</v>
      </c>
    </row>
    <row r="2123" spans="1:9" x14ac:dyDescent="0.25">
      <c r="A2123" s="16">
        <v>42933</v>
      </c>
      <c r="B2123" s="273" t="s">
        <v>21999</v>
      </c>
      <c r="C2123">
        <v>120277</v>
      </c>
      <c r="D2123" s="236" t="s">
        <v>15286</v>
      </c>
      <c r="E2123" s="15">
        <v>4391.3999999999996</v>
      </c>
      <c r="F2123" s="274">
        <v>42934</v>
      </c>
      <c r="G2123" s="15">
        <v>4391.3999999999996</v>
      </c>
      <c r="H2123" s="15">
        <f>Tabla1[[#This Row],[Importe]]-Tabla1[[#This Row],[Pagado]]</f>
        <v>0</v>
      </c>
      <c r="I2123" s="275" t="s">
        <v>15214</v>
      </c>
    </row>
    <row r="2124" spans="1:9" x14ac:dyDescent="0.25">
      <c r="A2124" s="16">
        <v>42933</v>
      </c>
      <c r="B2124" s="273" t="s">
        <v>22000</v>
      </c>
      <c r="C2124">
        <v>120278</v>
      </c>
      <c r="D2124" s="236" t="s">
        <v>15291</v>
      </c>
      <c r="E2124" s="15">
        <v>1155</v>
      </c>
      <c r="F2124" s="274">
        <v>42934</v>
      </c>
      <c r="G2124" s="15">
        <v>1155</v>
      </c>
      <c r="H2124" s="15">
        <f>Tabla1[[#This Row],[Importe]]-Tabla1[[#This Row],[Pagado]]</f>
        <v>0</v>
      </c>
      <c r="I2124" s="275" t="s">
        <v>15214</v>
      </c>
    </row>
    <row r="2125" spans="1:9" x14ac:dyDescent="0.25">
      <c r="A2125" s="16">
        <v>42933</v>
      </c>
      <c r="B2125" s="273" t="s">
        <v>22001</v>
      </c>
      <c r="C2125">
        <v>120279</v>
      </c>
      <c r="D2125" s="236" t="s">
        <v>15309</v>
      </c>
      <c r="E2125" s="15">
        <v>10998.8</v>
      </c>
      <c r="F2125" s="274">
        <v>42934</v>
      </c>
      <c r="G2125" s="15">
        <v>10998.8</v>
      </c>
      <c r="H2125" s="15">
        <f>Tabla1[[#This Row],[Importe]]-Tabla1[[#This Row],[Pagado]]</f>
        <v>0</v>
      </c>
      <c r="I2125" s="275" t="s">
        <v>15214</v>
      </c>
    </row>
    <row r="2126" spans="1:9" x14ac:dyDescent="0.25">
      <c r="A2126" s="16">
        <v>42933</v>
      </c>
      <c r="B2126" s="273" t="s">
        <v>22002</v>
      </c>
      <c r="C2126">
        <v>120280</v>
      </c>
      <c r="D2126" s="236" t="s">
        <v>15274</v>
      </c>
      <c r="E2126" s="15">
        <v>1165</v>
      </c>
      <c r="F2126" s="274">
        <v>42934</v>
      </c>
      <c r="G2126" s="15">
        <v>1165</v>
      </c>
      <c r="H2126" s="15">
        <f>Tabla1[[#This Row],[Importe]]-Tabla1[[#This Row],[Pagado]]</f>
        <v>0</v>
      </c>
      <c r="I2126" s="275" t="s">
        <v>15214</v>
      </c>
    </row>
    <row r="2127" spans="1:9" x14ac:dyDescent="0.25">
      <c r="A2127" s="16">
        <v>42933</v>
      </c>
      <c r="B2127" s="273" t="s">
        <v>22003</v>
      </c>
      <c r="C2127">
        <v>120281</v>
      </c>
      <c r="D2127" s="236" t="s">
        <v>15583</v>
      </c>
      <c r="E2127" s="15">
        <v>1441.8</v>
      </c>
      <c r="F2127" s="274">
        <v>42941</v>
      </c>
      <c r="G2127" s="15">
        <v>1441.8</v>
      </c>
      <c r="H2127" s="15">
        <f>Tabla1[[#This Row],[Importe]]-Tabla1[[#This Row],[Pagado]]</f>
        <v>0</v>
      </c>
      <c r="I2127" s="275" t="s">
        <v>15214</v>
      </c>
    </row>
    <row r="2128" spans="1:9" x14ac:dyDescent="0.25">
      <c r="A2128" s="16">
        <v>42933</v>
      </c>
      <c r="B2128" s="273" t="s">
        <v>22004</v>
      </c>
      <c r="C2128">
        <v>120282</v>
      </c>
      <c r="D2128" s="236" t="s">
        <v>15934</v>
      </c>
      <c r="E2128" s="15">
        <v>780</v>
      </c>
      <c r="F2128" s="274">
        <v>42934</v>
      </c>
      <c r="G2128" s="15">
        <v>780</v>
      </c>
      <c r="H2128" s="15">
        <f>Tabla1[[#This Row],[Importe]]-Tabla1[[#This Row],[Pagado]]</f>
        <v>0</v>
      </c>
      <c r="I2128" s="275" t="s">
        <v>15214</v>
      </c>
    </row>
    <row r="2129" spans="1:9" x14ac:dyDescent="0.25">
      <c r="A2129" s="16">
        <v>42933</v>
      </c>
      <c r="B2129" s="273" t="s">
        <v>22005</v>
      </c>
      <c r="C2129">
        <v>120283</v>
      </c>
      <c r="D2129" s="236" t="s">
        <v>15566</v>
      </c>
      <c r="E2129" s="15">
        <v>3689.4</v>
      </c>
      <c r="F2129" s="274">
        <v>42933</v>
      </c>
      <c r="G2129" s="15">
        <v>3689.4</v>
      </c>
      <c r="H2129" s="15">
        <f>Tabla1[[#This Row],[Importe]]-Tabla1[[#This Row],[Pagado]]</f>
        <v>0</v>
      </c>
      <c r="I2129" s="275" t="s">
        <v>15214</v>
      </c>
    </row>
    <row r="2130" spans="1:9" x14ac:dyDescent="0.25">
      <c r="A2130" s="16">
        <v>42933</v>
      </c>
      <c r="B2130" s="273" t="s">
        <v>22006</v>
      </c>
      <c r="C2130">
        <v>120284</v>
      </c>
      <c r="D2130" s="236" t="s">
        <v>15246</v>
      </c>
      <c r="E2130" s="15">
        <v>1400</v>
      </c>
      <c r="F2130" s="274">
        <v>42936</v>
      </c>
      <c r="G2130" s="15">
        <v>1400</v>
      </c>
      <c r="H2130" s="15">
        <f>Tabla1[[#This Row],[Importe]]-Tabla1[[#This Row],[Pagado]]</f>
        <v>0</v>
      </c>
      <c r="I2130" s="275" t="s">
        <v>15214</v>
      </c>
    </row>
    <row r="2131" spans="1:9" x14ac:dyDescent="0.25">
      <c r="A2131" s="16">
        <v>42933</v>
      </c>
      <c r="B2131" s="273" t="s">
        <v>22007</v>
      </c>
      <c r="C2131">
        <v>120285</v>
      </c>
      <c r="D2131" s="236" t="s">
        <v>15267</v>
      </c>
      <c r="E2131" s="15">
        <v>4804.8</v>
      </c>
      <c r="F2131" s="274">
        <v>42933</v>
      </c>
      <c r="G2131" s="15">
        <v>4804.8</v>
      </c>
      <c r="H2131" s="15">
        <f>Tabla1[[#This Row],[Importe]]-Tabla1[[#This Row],[Pagado]]</f>
        <v>0</v>
      </c>
      <c r="I2131" s="275" t="s">
        <v>15214</v>
      </c>
    </row>
    <row r="2132" spans="1:9" x14ac:dyDescent="0.25">
      <c r="A2132" s="16">
        <v>42933</v>
      </c>
      <c r="B2132" s="273" t="s">
        <v>22008</v>
      </c>
      <c r="C2132">
        <v>120286</v>
      </c>
      <c r="D2132" s="236" t="s">
        <v>15526</v>
      </c>
      <c r="E2132" s="15">
        <v>4326.3</v>
      </c>
      <c r="F2132" s="274">
        <v>42933</v>
      </c>
      <c r="G2132" s="15">
        <v>4326.3</v>
      </c>
      <c r="H2132" s="15">
        <f>Tabla1[[#This Row],[Importe]]-Tabla1[[#This Row],[Pagado]]</f>
        <v>0</v>
      </c>
      <c r="I2132" s="275" t="s">
        <v>15214</v>
      </c>
    </row>
    <row r="2133" spans="1:9" x14ac:dyDescent="0.25">
      <c r="A2133" s="16">
        <v>42933</v>
      </c>
      <c r="B2133" s="273" t="s">
        <v>22009</v>
      </c>
      <c r="C2133">
        <v>120287</v>
      </c>
      <c r="D2133" s="236" t="s">
        <v>15526</v>
      </c>
      <c r="E2133" s="15">
        <v>2720</v>
      </c>
      <c r="F2133" s="274">
        <v>42933</v>
      </c>
      <c r="G2133" s="15">
        <v>2720</v>
      </c>
      <c r="H2133" s="15">
        <f>Tabla1[[#This Row],[Importe]]-Tabla1[[#This Row],[Pagado]]</f>
        <v>0</v>
      </c>
      <c r="I2133" s="275" t="s">
        <v>15214</v>
      </c>
    </row>
    <row r="2134" spans="1:9" x14ac:dyDescent="0.25">
      <c r="A2134" s="16">
        <v>42933</v>
      </c>
      <c r="B2134" s="273" t="s">
        <v>22010</v>
      </c>
      <c r="C2134">
        <v>120288</v>
      </c>
      <c r="D2134" s="236" t="s">
        <v>15523</v>
      </c>
      <c r="E2134" s="15">
        <v>1661</v>
      </c>
      <c r="F2134" s="274">
        <v>42933</v>
      </c>
      <c r="G2134" s="15">
        <v>1661</v>
      </c>
      <c r="H2134" s="15">
        <f>Tabla1[[#This Row],[Importe]]-Tabla1[[#This Row],[Pagado]]</f>
        <v>0</v>
      </c>
      <c r="I2134" s="275" t="s">
        <v>15214</v>
      </c>
    </row>
    <row r="2135" spans="1:9" x14ac:dyDescent="0.25">
      <c r="A2135" s="16">
        <v>42933</v>
      </c>
      <c r="B2135" s="273" t="s">
        <v>22011</v>
      </c>
      <c r="C2135">
        <v>120289</v>
      </c>
      <c r="D2135" s="236" t="s">
        <v>15442</v>
      </c>
      <c r="E2135" s="15">
        <v>3042</v>
      </c>
      <c r="F2135" s="274">
        <v>42933</v>
      </c>
      <c r="G2135" s="15">
        <v>3042</v>
      </c>
      <c r="H2135" s="15">
        <f>Tabla1[[#This Row],[Importe]]-Tabla1[[#This Row],[Pagado]]</f>
        <v>0</v>
      </c>
      <c r="I2135" s="275" t="s">
        <v>15214</v>
      </c>
    </row>
    <row r="2136" spans="1:9" x14ac:dyDescent="0.25">
      <c r="A2136" s="16">
        <v>42933</v>
      </c>
      <c r="B2136" s="273" t="s">
        <v>22012</v>
      </c>
      <c r="C2136">
        <v>120290</v>
      </c>
      <c r="D2136" s="236" t="s">
        <v>15748</v>
      </c>
      <c r="E2136" s="15">
        <v>1681.8</v>
      </c>
      <c r="F2136" s="274">
        <v>42933</v>
      </c>
      <c r="G2136" s="15">
        <v>1681.8</v>
      </c>
      <c r="H2136" s="15">
        <f>Tabla1[[#This Row],[Importe]]-Tabla1[[#This Row],[Pagado]]</f>
        <v>0</v>
      </c>
      <c r="I2136" s="275" t="s">
        <v>15214</v>
      </c>
    </row>
    <row r="2137" spans="1:9" x14ac:dyDescent="0.25">
      <c r="A2137" s="16">
        <v>42933</v>
      </c>
      <c r="B2137" s="273" t="s">
        <v>22013</v>
      </c>
      <c r="C2137">
        <v>120291</v>
      </c>
      <c r="D2137" s="236" t="s">
        <v>15358</v>
      </c>
      <c r="E2137" s="15">
        <v>1938.6</v>
      </c>
      <c r="F2137" s="274">
        <v>42933</v>
      </c>
      <c r="G2137" s="15">
        <v>1938.6</v>
      </c>
      <c r="H2137" s="15">
        <f>Tabla1[[#This Row],[Importe]]-Tabla1[[#This Row],[Pagado]]</f>
        <v>0</v>
      </c>
      <c r="I2137" s="275" t="s">
        <v>15214</v>
      </c>
    </row>
    <row r="2138" spans="1:9" x14ac:dyDescent="0.25">
      <c r="A2138" s="16">
        <v>42933</v>
      </c>
      <c r="B2138" s="273" t="s">
        <v>22014</v>
      </c>
      <c r="C2138">
        <v>120292</v>
      </c>
      <c r="D2138" s="236" t="s">
        <v>15336</v>
      </c>
      <c r="E2138" s="15">
        <v>6350.4</v>
      </c>
      <c r="F2138" s="274">
        <v>42933</v>
      </c>
      <c r="G2138" s="15">
        <v>6350.4</v>
      </c>
      <c r="H2138" s="15">
        <f>Tabla1[[#This Row],[Importe]]-Tabla1[[#This Row],[Pagado]]</f>
        <v>0</v>
      </c>
      <c r="I2138" s="275" t="s">
        <v>15214</v>
      </c>
    </row>
    <row r="2139" spans="1:9" x14ac:dyDescent="0.25">
      <c r="A2139" s="16">
        <v>42933</v>
      </c>
      <c r="B2139" s="273" t="s">
        <v>22015</v>
      </c>
      <c r="C2139">
        <v>120293</v>
      </c>
      <c r="D2139" s="236" t="s">
        <v>15213</v>
      </c>
      <c r="E2139" s="15">
        <v>3176.8</v>
      </c>
      <c r="F2139" s="274">
        <v>42935</v>
      </c>
      <c r="G2139" s="15">
        <v>3176.8</v>
      </c>
      <c r="H2139" s="15">
        <f>Tabla1[[#This Row],[Importe]]-Tabla1[[#This Row],[Pagado]]</f>
        <v>0</v>
      </c>
      <c r="I2139" s="275" t="s">
        <v>15214</v>
      </c>
    </row>
    <row r="2140" spans="1:9" x14ac:dyDescent="0.25">
      <c r="A2140" s="16">
        <v>42933</v>
      </c>
      <c r="B2140" s="273" t="s">
        <v>22016</v>
      </c>
      <c r="C2140">
        <v>120294</v>
      </c>
      <c r="D2140" s="236" t="s">
        <v>15742</v>
      </c>
      <c r="E2140" s="15">
        <v>3107.2</v>
      </c>
      <c r="F2140" s="274">
        <v>42933</v>
      </c>
      <c r="G2140" s="15">
        <v>3107.2</v>
      </c>
      <c r="H2140" s="15">
        <f>Tabla1[[#This Row],[Importe]]-Tabla1[[#This Row],[Pagado]]</f>
        <v>0</v>
      </c>
      <c r="I2140" s="275" t="s">
        <v>15214</v>
      </c>
    </row>
    <row r="2141" spans="1:9" x14ac:dyDescent="0.25">
      <c r="A2141" s="16">
        <v>42933</v>
      </c>
      <c r="B2141" s="273" t="s">
        <v>22017</v>
      </c>
      <c r="C2141">
        <v>120295</v>
      </c>
      <c r="D2141" s="236" t="s">
        <v>15356</v>
      </c>
      <c r="E2141" s="15">
        <v>639.20000000000005</v>
      </c>
      <c r="F2141" s="274">
        <v>42933</v>
      </c>
      <c r="G2141" s="15">
        <v>639.20000000000005</v>
      </c>
      <c r="H2141" s="15">
        <f>Tabla1[[#This Row],[Importe]]-Tabla1[[#This Row],[Pagado]]</f>
        <v>0</v>
      </c>
      <c r="I2141" s="275" t="s">
        <v>15214</v>
      </c>
    </row>
    <row r="2142" spans="1:9" x14ac:dyDescent="0.25">
      <c r="A2142" s="16">
        <v>42933</v>
      </c>
      <c r="B2142" s="273" t="s">
        <v>22018</v>
      </c>
      <c r="C2142">
        <v>120296</v>
      </c>
      <c r="D2142" s="236" t="s">
        <v>15315</v>
      </c>
      <c r="E2142" s="15">
        <v>7455.6</v>
      </c>
      <c r="F2142" s="274">
        <v>42933</v>
      </c>
      <c r="G2142" s="15">
        <v>7455.6</v>
      </c>
      <c r="H2142" s="15">
        <f>Tabla1[[#This Row],[Importe]]-Tabla1[[#This Row],[Pagado]]</f>
        <v>0</v>
      </c>
      <c r="I2142" s="275" t="s">
        <v>15214</v>
      </c>
    </row>
    <row r="2143" spans="1:9" x14ac:dyDescent="0.25">
      <c r="A2143" s="16">
        <v>42933</v>
      </c>
      <c r="B2143" s="273" t="s">
        <v>22019</v>
      </c>
      <c r="C2143">
        <v>120297</v>
      </c>
      <c r="D2143" s="236" t="s">
        <v>15315</v>
      </c>
      <c r="E2143" s="15">
        <v>1814.56</v>
      </c>
      <c r="F2143" s="274">
        <v>42933</v>
      </c>
      <c r="G2143" s="15">
        <v>1814.56</v>
      </c>
      <c r="H2143" s="15">
        <f>Tabla1[[#This Row],[Importe]]-Tabla1[[#This Row],[Pagado]]</f>
        <v>0</v>
      </c>
      <c r="I2143" s="275" t="s">
        <v>15214</v>
      </c>
    </row>
    <row r="2144" spans="1:9" x14ac:dyDescent="0.25">
      <c r="A2144" s="16">
        <v>42933</v>
      </c>
      <c r="B2144" s="273" t="s">
        <v>22020</v>
      </c>
      <c r="C2144">
        <v>120298</v>
      </c>
      <c r="D2144" s="236" t="s">
        <v>19768</v>
      </c>
      <c r="E2144" s="15">
        <v>2200</v>
      </c>
      <c r="F2144" s="274">
        <v>42933</v>
      </c>
      <c r="G2144" s="15">
        <v>2200</v>
      </c>
      <c r="H2144" s="15">
        <f>Tabla1[[#This Row],[Importe]]-Tabla1[[#This Row],[Pagado]]</f>
        <v>0</v>
      </c>
      <c r="I2144" s="275" t="s">
        <v>15214</v>
      </c>
    </row>
    <row r="2145" spans="1:9" x14ac:dyDescent="0.25">
      <c r="A2145" s="16">
        <v>42933</v>
      </c>
      <c r="B2145" s="273" t="s">
        <v>22021</v>
      </c>
      <c r="C2145">
        <v>120299</v>
      </c>
      <c r="D2145" s="236" t="s">
        <v>15246</v>
      </c>
      <c r="E2145" s="15">
        <v>99106</v>
      </c>
      <c r="F2145" s="274">
        <v>42936</v>
      </c>
      <c r="G2145" s="15">
        <v>99106</v>
      </c>
      <c r="H2145" s="15">
        <f>Tabla1[[#This Row],[Importe]]-Tabla1[[#This Row],[Pagado]]</f>
        <v>0</v>
      </c>
      <c r="I2145" s="275" t="s">
        <v>15214</v>
      </c>
    </row>
    <row r="2146" spans="1:9" ht="15.75" x14ac:dyDescent="0.25">
      <c r="A2146" s="16">
        <v>42933</v>
      </c>
      <c r="B2146" s="273" t="s">
        <v>22022</v>
      </c>
      <c r="C2146">
        <v>120300</v>
      </c>
      <c r="D2146" s="248" t="s">
        <v>95</v>
      </c>
      <c r="E2146" s="15">
        <v>0</v>
      </c>
      <c r="F2146" s="277" t="s">
        <v>95</v>
      </c>
      <c r="G2146" s="15">
        <v>0</v>
      </c>
      <c r="H2146" s="15">
        <f>Tabla1[[#This Row],[Importe]]-Tabla1[[#This Row],[Pagado]]</f>
        <v>0</v>
      </c>
      <c r="I2146" s="275" t="s">
        <v>95</v>
      </c>
    </row>
    <row r="2147" spans="1:9" x14ac:dyDescent="0.25">
      <c r="A2147" s="16">
        <v>42933</v>
      </c>
      <c r="B2147" s="273" t="s">
        <v>22023</v>
      </c>
      <c r="C2147">
        <v>120301</v>
      </c>
      <c r="D2147" s="236" t="s">
        <v>15284</v>
      </c>
      <c r="E2147" s="15">
        <v>2013.4</v>
      </c>
      <c r="F2147" s="274">
        <v>42933</v>
      </c>
      <c r="G2147" s="15">
        <v>2013.4</v>
      </c>
      <c r="H2147" s="15">
        <f>Tabla1[[#This Row],[Importe]]-Tabla1[[#This Row],[Pagado]]</f>
        <v>0</v>
      </c>
      <c r="I2147" s="275" t="s">
        <v>15214</v>
      </c>
    </row>
    <row r="2148" spans="1:9" x14ac:dyDescent="0.25">
      <c r="A2148" s="16">
        <v>42933</v>
      </c>
      <c r="B2148" s="273" t="s">
        <v>22024</v>
      </c>
      <c r="C2148">
        <v>120302</v>
      </c>
      <c r="D2148" s="236" t="s">
        <v>15328</v>
      </c>
      <c r="E2148" s="15">
        <v>5400</v>
      </c>
      <c r="F2148" s="274">
        <v>42945</v>
      </c>
      <c r="G2148" s="15">
        <v>5400</v>
      </c>
      <c r="H2148" s="15">
        <f>Tabla1[[#This Row],[Importe]]-Tabla1[[#This Row],[Pagado]]</f>
        <v>0</v>
      </c>
      <c r="I2148" s="275" t="s">
        <v>15214</v>
      </c>
    </row>
    <row r="2149" spans="1:9" x14ac:dyDescent="0.25">
      <c r="A2149" s="16">
        <v>42933</v>
      </c>
      <c r="B2149" s="273" t="s">
        <v>22025</v>
      </c>
      <c r="C2149">
        <v>120303</v>
      </c>
      <c r="D2149" s="236" t="s">
        <v>15282</v>
      </c>
      <c r="E2149" s="15">
        <v>3746.1</v>
      </c>
      <c r="F2149" s="274">
        <v>42933</v>
      </c>
      <c r="G2149" s="15">
        <v>3746.1</v>
      </c>
      <c r="H2149" s="15">
        <f>Tabla1[[#This Row],[Importe]]-Tabla1[[#This Row],[Pagado]]</f>
        <v>0</v>
      </c>
      <c r="I2149" s="275" t="s">
        <v>15214</v>
      </c>
    </row>
    <row r="2150" spans="1:9" x14ac:dyDescent="0.25">
      <c r="A2150" s="16">
        <v>42933</v>
      </c>
      <c r="B2150" s="273" t="s">
        <v>22026</v>
      </c>
      <c r="C2150">
        <v>120304</v>
      </c>
      <c r="D2150" s="236" t="s">
        <v>19754</v>
      </c>
      <c r="E2150" s="15">
        <v>36758.400000000001</v>
      </c>
      <c r="F2150" s="274">
        <v>42934</v>
      </c>
      <c r="G2150" s="15">
        <v>36758.400000000001</v>
      </c>
      <c r="H2150" s="15">
        <f>Tabla1[[#This Row],[Importe]]-Tabla1[[#This Row],[Pagado]]</f>
        <v>0</v>
      </c>
      <c r="I2150" s="275" t="s">
        <v>15214</v>
      </c>
    </row>
    <row r="2151" spans="1:9" x14ac:dyDescent="0.25">
      <c r="A2151" s="16">
        <v>42933</v>
      </c>
      <c r="B2151" s="273" t="s">
        <v>22027</v>
      </c>
      <c r="C2151">
        <v>120305</v>
      </c>
      <c r="D2151" s="236" t="s">
        <v>15644</v>
      </c>
      <c r="E2151" s="15">
        <v>3898.8</v>
      </c>
      <c r="F2151" s="274">
        <v>42934</v>
      </c>
      <c r="G2151" s="15">
        <v>3898.8</v>
      </c>
      <c r="H2151" s="15">
        <f>Tabla1[[#This Row],[Importe]]-Tabla1[[#This Row],[Pagado]]</f>
        <v>0</v>
      </c>
      <c r="I2151" s="275" t="s">
        <v>15214</v>
      </c>
    </row>
    <row r="2152" spans="1:9" x14ac:dyDescent="0.25">
      <c r="A2152" s="16">
        <v>42933</v>
      </c>
      <c r="B2152" s="273" t="s">
        <v>22028</v>
      </c>
      <c r="C2152">
        <v>120306</v>
      </c>
      <c r="D2152" s="236" t="s">
        <v>15315</v>
      </c>
      <c r="E2152" s="15">
        <v>179.2</v>
      </c>
      <c r="F2152" s="274">
        <v>42933</v>
      </c>
      <c r="G2152" s="15">
        <v>179.2</v>
      </c>
      <c r="H2152" s="15">
        <f>Tabla1[[#This Row],[Importe]]-Tabla1[[#This Row],[Pagado]]</f>
        <v>0</v>
      </c>
      <c r="I2152" s="275" t="s">
        <v>15214</v>
      </c>
    </row>
    <row r="2153" spans="1:9" x14ac:dyDescent="0.25">
      <c r="A2153" s="16">
        <v>42933</v>
      </c>
      <c r="B2153" s="273" t="s">
        <v>22029</v>
      </c>
      <c r="C2153">
        <v>120307</v>
      </c>
      <c r="D2153" s="236" t="s">
        <v>5880</v>
      </c>
      <c r="E2153" s="15">
        <v>32044.799999999999</v>
      </c>
      <c r="F2153" s="274">
        <v>42954</v>
      </c>
      <c r="G2153" s="15">
        <v>32044.799999999999</v>
      </c>
      <c r="H2153" s="15">
        <f>Tabla1[[#This Row],[Importe]]-Tabla1[[#This Row],[Pagado]]</f>
        <v>0</v>
      </c>
      <c r="I2153" s="275" t="s">
        <v>15214</v>
      </c>
    </row>
    <row r="2154" spans="1:9" x14ac:dyDescent="0.25">
      <c r="A2154" s="16">
        <v>42933</v>
      </c>
      <c r="B2154" s="273" t="s">
        <v>22030</v>
      </c>
      <c r="C2154">
        <v>120308</v>
      </c>
      <c r="D2154" s="236" t="s">
        <v>15246</v>
      </c>
      <c r="E2154" s="15">
        <v>55224.1</v>
      </c>
      <c r="F2154" s="274">
        <v>42936</v>
      </c>
      <c r="G2154" s="15">
        <v>55224.1</v>
      </c>
      <c r="H2154" s="15">
        <f>Tabla1[[#This Row],[Importe]]-Tabla1[[#This Row],[Pagado]]</f>
        <v>0</v>
      </c>
      <c r="I2154" s="275" t="s">
        <v>15214</v>
      </c>
    </row>
    <row r="2155" spans="1:9" x14ac:dyDescent="0.25">
      <c r="A2155" s="16">
        <v>42933</v>
      </c>
      <c r="B2155" s="273" t="s">
        <v>22031</v>
      </c>
      <c r="C2155">
        <v>120309</v>
      </c>
      <c r="D2155" s="236" t="s">
        <v>15423</v>
      </c>
      <c r="E2155" s="15">
        <v>3899.2</v>
      </c>
      <c r="F2155" s="274">
        <v>42933</v>
      </c>
      <c r="G2155" s="15">
        <v>3899.2</v>
      </c>
      <c r="H2155" s="15">
        <f>Tabla1[[#This Row],[Importe]]-Tabla1[[#This Row],[Pagado]]</f>
        <v>0</v>
      </c>
      <c r="I2155" s="275" t="s">
        <v>15214</v>
      </c>
    </row>
    <row r="2156" spans="1:9" x14ac:dyDescent="0.25">
      <c r="A2156" s="16">
        <v>42933</v>
      </c>
      <c r="B2156" s="273" t="s">
        <v>22032</v>
      </c>
      <c r="C2156">
        <v>120310</v>
      </c>
      <c r="D2156" s="236" t="s">
        <v>15407</v>
      </c>
      <c r="E2156" s="15">
        <v>901.7</v>
      </c>
      <c r="F2156" s="274">
        <v>42933</v>
      </c>
      <c r="G2156" s="15">
        <v>901.7</v>
      </c>
      <c r="H2156" s="15">
        <f>Tabla1[[#This Row],[Importe]]-Tabla1[[#This Row],[Pagado]]</f>
        <v>0</v>
      </c>
      <c r="I2156" s="275" t="s">
        <v>15214</v>
      </c>
    </row>
    <row r="2157" spans="1:9" x14ac:dyDescent="0.25">
      <c r="A2157" s="16">
        <v>42933</v>
      </c>
      <c r="B2157" s="273" t="s">
        <v>22033</v>
      </c>
      <c r="C2157">
        <v>120311</v>
      </c>
      <c r="D2157" s="236" t="s">
        <v>15246</v>
      </c>
      <c r="E2157" s="15">
        <v>263737.56</v>
      </c>
      <c r="F2157" s="274">
        <v>42936</v>
      </c>
      <c r="G2157" s="15">
        <v>263737.56</v>
      </c>
      <c r="H2157" s="15">
        <f>Tabla1[[#This Row],[Importe]]-Tabla1[[#This Row],[Pagado]]</f>
        <v>0</v>
      </c>
      <c r="I2157" s="275" t="s">
        <v>15214</v>
      </c>
    </row>
    <row r="2158" spans="1:9" x14ac:dyDescent="0.25">
      <c r="A2158" s="16">
        <v>42933</v>
      </c>
      <c r="B2158" s="273" t="s">
        <v>22034</v>
      </c>
      <c r="C2158">
        <v>120312</v>
      </c>
      <c r="D2158" s="236" t="s">
        <v>15226</v>
      </c>
      <c r="E2158" s="15">
        <v>1034</v>
      </c>
      <c r="F2158" s="274">
        <v>42940</v>
      </c>
      <c r="G2158" s="15">
        <v>1034</v>
      </c>
      <c r="H2158" s="15">
        <f>Tabla1[[#This Row],[Importe]]-Tabla1[[#This Row],[Pagado]]</f>
        <v>0</v>
      </c>
      <c r="I2158" s="275" t="s">
        <v>15214</v>
      </c>
    </row>
    <row r="2159" spans="1:9" x14ac:dyDescent="0.25">
      <c r="A2159" s="16">
        <v>42933</v>
      </c>
      <c r="B2159" s="273" t="s">
        <v>22035</v>
      </c>
      <c r="C2159">
        <v>120313</v>
      </c>
      <c r="D2159" s="236" t="s">
        <v>15246</v>
      </c>
      <c r="E2159" s="15">
        <v>21363.599999999999</v>
      </c>
      <c r="F2159" s="274">
        <v>42936</v>
      </c>
      <c r="G2159" s="15">
        <v>21363.599999999999</v>
      </c>
      <c r="H2159" s="15">
        <f>Tabla1[[#This Row],[Importe]]-Tabla1[[#This Row],[Pagado]]</f>
        <v>0</v>
      </c>
      <c r="I2159" s="275" t="s">
        <v>15214</v>
      </c>
    </row>
    <row r="2160" spans="1:9" x14ac:dyDescent="0.25">
      <c r="A2160" s="16">
        <v>42933</v>
      </c>
      <c r="B2160" s="273" t="s">
        <v>22036</v>
      </c>
      <c r="C2160">
        <v>120314</v>
      </c>
      <c r="D2160" s="236" t="s">
        <v>15246</v>
      </c>
      <c r="E2160" s="15">
        <v>16148</v>
      </c>
      <c r="F2160" s="274">
        <v>42936</v>
      </c>
      <c r="G2160" s="15">
        <v>16148</v>
      </c>
      <c r="H2160" s="15">
        <f>Tabla1[[#This Row],[Importe]]-Tabla1[[#This Row],[Pagado]]</f>
        <v>0</v>
      </c>
      <c r="I2160" s="275" t="s">
        <v>15214</v>
      </c>
    </row>
    <row r="2161" spans="1:9" x14ac:dyDescent="0.25">
      <c r="A2161" s="16">
        <v>42933</v>
      </c>
      <c r="B2161" s="273" t="s">
        <v>22037</v>
      </c>
      <c r="C2161">
        <v>120315</v>
      </c>
      <c r="D2161" s="236" t="s">
        <v>15553</v>
      </c>
      <c r="E2161" s="15">
        <v>39929.9</v>
      </c>
      <c r="F2161" s="274">
        <v>42934</v>
      </c>
      <c r="G2161" s="15">
        <v>39929.9</v>
      </c>
      <c r="H2161" s="15">
        <f>Tabla1[[#This Row],[Importe]]-Tabla1[[#This Row],[Pagado]]</f>
        <v>0</v>
      </c>
      <c r="I2161" s="275" t="s">
        <v>15214</v>
      </c>
    </row>
    <row r="2162" spans="1:9" ht="15.75" x14ac:dyDescent="0.25">
      <c r="A2162" s="16">
        <v>42933</v>
      </c>
      <c r="B2162" s="273" t="s">
        <v>22038</v>
      </c>
      <c r="C2162">
        <v>120316</v>
      </c>
      <c r="D2162" s="248" t="s">
        <v>95</v>
      </c>
      <c r="E2162" s="15">
        <v>0</v>
      </c>
      <c r="F2162" s="277" t="s">
        <v>95</v>
      </c>
      <c r="G2162" s="15">
        <v>0</v>
      </c>
      <c r="H2162" s="15">
        <f>Tabla1[[#This Row],[Importe]]-Tabla1[[#This Row],[Pagado]]</f>
        <v>0</v>
      </c>
      <c r="I2162" s="275" t="s">
        <v>95</v>
      </c>
    </row>
    <row r="2163" spans="1:9" x14ac:dyDescent="0.25">
      <c r="A2163" s="16">
        <v>42933</v>
      </c>
      <c r="B2163" s="273" t="s">
        <v>22039</v>
      </c>
      <c r="C2163">
        <v>120317</v>
      </c>
      <c r="D2163" s="236" t="s">
        <v>5883</v>
      </c>
      <c r="E2163" s="15">
        <v>7682.84</v>
      </c>
      <c r="F2163" s="274">
        <v>42959</v>
      </c>
      <c r="G2163" s="15">
        <v>7682.84</v>
      </c>
      <c r="H2163" s="15">
        <f>Tabla1[[#This Row],[Importe]]-Tabla1[[#This Row],[Pagado]]</f>
        <v>0</v>
      </c>
      <c r="I2163" s="275" t="s">
        <v>15214</v>
      </c>
    </row>
    <row r="2164" spans="1:9" ht="15.75" x14ac:dyDescent="0.25">
      <c r="A2164" s="16">
        <v>42933</v>
      </c>
      <c r="B2164" s="273" t="s">
        <v>22040</v>
      </c>
      <c r="C2164">
        <v>120318</v>
      </c>
      <c r="D2164" s="248" t="s">
        <v>95</v>
      </c>
      <c r="E2164" s="15">
        <v>0</v>
      </c>
      <c r="F2164" s="277" t="s">
        <v>95</v>
      </c>
      <c r="G2164" s="15">
        <v>0</v>
      </c>
      <c r="H2164" s="15">
        <f>Tabla1[[#This Row],[Importe]]-Tabla1[[#This Row],[Pagado]]</f>
        <v>0</v>
      </c>
      <c r="I2164" s="275" t="s">
        <v>95</v>
      </c>
    </row>
    <row r="2165" spans="1:9" x14ac:dyDescent="0.25">
      <c r="A2165" s="16">
        <v>42933</v>
      </c>
      <c r="B2165" s="273" t="s">
        <v>22041</v>
      </c>
      <c r="C2165">
        <v>120319</v>
      </c>
      <c r="D2165" s="236" t="s">
        <v>16686</v>
      </c>
      <c r="E2165" s="15">
        <v>33087</v>
      </c>
      <c r="F2165" s="274">
        <v>42933</v>
      </c>
      <c r="G2165" s="15">
        <v>33087</v>
      </c>
      <c r="H2165" s="15">
        <f>Tabla1[[#This Row],[Importe]]-Tabla1[[#This Row],[Pagado]]</f>
        <v>0</v>
      </c>
      <c r="I2165" s="275" t="s">
        <v>15214</v>
      </c>
    </row>
    <row r="2166" spans="1:9" x14ac:dyDescent="0.25">
      <c r="A2166" s="16">
        <v>42933</v>
      </c>
      <c r="B2166" s="273" t="s">
        <v>22042</v>
      </c>
      <c r="C2166">
        <v>120320</v>
      </c>
      <c r="D2166" s="236" t="s">
        <v>15433</v>
      </c>
      <c r="E2166" s="15">
        <v>446.6</v>
      </c>
      <c r="F2166" s="274">
        <v>42933</v>
      </c>
      <c r="G2166" s="15">
        <v>446.6</v>
      </c>
      <c r="H2166" s="15">
        <f>Tabla1[[#This Row],[Importe]]-Tabla1[[#This Row],[Pagado]]</f>
        <v>0</v>
      </c>
      <c r="I2166" s="275" t="s">
        <v>15214</v>
      </c>
    </row>
    <row r="2167" spans="1:9" x14ac:dyDescent="0.25">
      <c r="A2167" s="16">
        <v>42933</v>
      </c>
      <c r="B2167" s="273" t="s">
        <v>22043</v>
      </c>
      <c r="C2167">
        <v>120321</v>
      </c>
      <c r="D2167" s="236" t="s">
        <v>15365</v>
      </c>
      <c r="E2167" s="15">
        <v>437668</v>
      </c>
      <c r="F2167" s="274">
        <v>42939</v>
      </c>
      <c r="G2167" s="15">
        <v>437668</v>
      </c>
      <c r="H2167" s="15">
        <f>Tabla1[[#This Row],[Importe]]-Tabla1[[#This Row],[Pagado]]</f>
        <v>0</v>
      </c>
      <c r="I2167" s="275" t="s">
        <v>15214</v>
      </c>
    </row>
    <row r="2168" spans="1:9" x14ac:dyDescent="0.25">
      <c r="A2168" s="16">
        <v>42933</v>
      </c>
      <c r="B2168" s="273" t="s">
        <v>22044</v>
      </c>
      <c r="C2168">
        <v>120322</v>
      </c>
      <c r="D2168" s="236" t="s">
        <v>15435</v>
      </c>
      <c r="E2168" s="15">
        <v>7297.2</v>
      </c>
      <c r="F2168" s="274">
        <v>42933</v>
      </c>
      <c r="G2168" s="15">
        <v>7297.2</v>
      </c>
      <c r="H2168" s="15">
        <f>Tabla1[[#This Row],[Importe]]-Tabla1[[#This Row],[Pagado]]</f>
        <v>0</v>
      </c>
      <c r="I2168" s="275" t="s">
        <v>15214</v>
      </c>
    </row>
    <row r="2169" spans="1:9" x14ac:dyDescent="0.25">
      <c r="A2169" s="16">
        <v>42933</v>
      </c>
      <c r="B2169" s="273" t="s">
        <v>22045</v>
      </c>
      <c r="C2169">
        <v>120323</v>
      </c>
      <c r="D2169" s="236" t="s">
        <v>15435</v>
      </c>
      <c r="E2169" s="15">
        <v>195</v>
      </c>
      <c r="F2169" s="274">
        <v>42933</v>
      </c>
      <c r="G2169" s="15">
        <v>195</v>
      </c>
      <c r="H2169" s="15">
        <f>Tabla1[[#This Row],[Importe]]-Tabla1[[#This Row],[Pagado]]</f>
        <v>0</v>
      </c>
      <c r="I2169" s="275" t="s">
        <v>15214</v>
      </c>
    </row>
    <row r="2170" spans="1:9" ht="15.75" x14ac:dyDescent="0.25">
      <c r="A2170" s="16">
        <v>42933</v>
      </c>
      <c r="B2170" s="273" t="s">
        <v>22046</v>
      </c>
      <c r="C2170">
        <v>120324</v>
      </c>
      <c r="D2170" s="248" t="s">
        <v>95</v>
      </c>
      <c r="E2170" s="15">
        <v>0</v>
      </c>
      <c r="F2170" s="283" t="s">
        <v>95</v>
      </c>
      <c r="G2170" s="15">
        <v>0</v>
      </c>
      <c r="H2170" s="15">
        <f>Tabla1[[#This Row],[Importe]]-Tabla1[[#This Row],[Pagado]]</f>
        <v>0</v>
      </c>
      <c r="I2170" s="275" t="s">
        <v>95</v>
      </c>
    </row>
    <row r="2171" spans="1:9" x14ac:dyDescent="0.25">
      <c r="A2171" s="16">
        <v>42933</v>
      </c>
      <c r="B2171" s="273" t="s">
        <v>22047</v>
      </c>
      <c r="C2171">
        <v>120325</v>
      </c>
      <c r="D2171" s="236" t="s">
        <v>15442</v>
      </c>
      <c r="E2171" s="15">
        <v>6964.4</v>
      </c>
      <c r="F2171" s="274">
        <v>42940</v>
      </c>
      <c r="G2171" s="15">
        <v>6964.4</v>
      </c>
      <c r="H2171" s="15">
        <f>Tabla1[[#This Row],[Importe]]-Tabla1[[#This Row],[Pagado]]</f>
        <v>0</v>
      </c>
      <c r="I2171" s="275" t="s">
        <v>15214</v>
      </c>
    </row>
    <row r="2172" spans="1:9" x14ac:dyDescent="0.25">
      <c r="A2172" s="16">
        <v>42933</v>
      </c>
      <c r="B2172" s="273" t="s">
        <v>22048</v>
      </c>
      <c r="C2172">
        <v>120326</v>
      </c>
      <c r="D2172" s="236" t="s">
        <v>15284</v>
      </c>
      <c r="E2172" s="15">
        <v>1339.5</v>
      </c>
      <c r="F2172" s="274">
        <v>42933</v>
      </c>
      <c r="G2172" s="15">
        <v>1339.5</v>
      </c>
      <c r="H2172" s="15">
        <f>Tabla1[[#This Row],[Importe]]-Tabla1[[#This Row],[Pagado]]</f>
        <v>0</v>
      </c>
      <c r="I2172" s="275" t="s">
        <v>15214</v>
      </c>
    </row>
    <row r="2173" spans="1:9" x14ac:dyDescent="0.25">
      <c r="A2173" s="16">
        <v>42933</v>
      </c>
      <c r="B2173" s="273" t="s">
        <v>22049</v>
      </c>
      <c r="C2173">
        <v>120327</v>
      </c>
      <c r="D2173" s="236" t="s">
        <v>15642</v>
      </c>
      <c r="E2173" s="15">
        <v>2893.8</v>
      </c>
      <c r="F2173" s="274">
        <v>42933</v>
      </c>
      <c r="G2173" s="15">
        <v>2893.8</v>
      </c>
      <c r="H2173" s="15">
        <f>Tabla1[[#This Row],[Importe]]-Tabla1[[#This Row],[Pagado]]</f>
        <v>0</v>
      </c>
      <c r="I2173" s="275" t="s">
        <v>15214</v>
      </c>
    </row>
    <row r="2174" spans="1:9" x14ac:dyDescent="0.25">
      <c r="A2174" s="16">
        <v>42933</v>
      </c>
      <c r="B2174" s="273" t="s">
        <v>22050</v>
      </c>
      <c r="C2174">
        <v>120328</v>
      </c>
      <c r="D2174" s="236" t="s">
        <v>19742</v>
      </c>
      <c r="E2174" s="15">
        <v>1500</v>
      </c>
      <c r="F2174" s="274">
        <v>42935</v>
      </c>
      <c r="G2174" s="15">
        <v>1500</v>
      </c>
      <c r="H2174" s="15">
        <f>Tabla1[[#This Row],[Importe]]-Tabla1[[#This Row],[Pagado]]</f>
        <v>0</v>
      </c>
      <c r="I2174" s="275" t="s">
        <v>15214</v>
      </c>
    </row>
    <row r="2175" spans="1:9" x14ac:dyDescent="0.25">
      <c r="A2175" s="16">
        <v>42933</v>
      </c>
      <c r="B2175" s="273" t="s">
        <v>22051</v>
      </c>
      <c r="C2175">
        <v>120329</v>
      </c>
      <c r="D2175" s="236" t="s">
        <v>19742</v>
      </c>
      <c r="E2175" s="15">
        <v>3500</v>
      </c>
      <c r="F2175" s="274">
        <v>42935</v>
      </c>
      <c r="G2175" s="15">
        <v>3500</v>
      </c>
      <c r="H2175" s="15">
        <f>Tabla1[[#This Row],[Importe]]-Tabla1[[#This Row],[Pagado]]</f>
        <v>0</v>
      </c>
      <c r="I2175" s="275" t="s">
        <v>15214</v>
      </c>
    </row>
    <row r="2176" spans="1:9" x14ac:dyDescent="0.25">
      <c r="A2176" s="16">
        <v>42933</v>
      </c>
      <c r="B2176" s="273" t="s">
        <v>22052</v>
      </c>
      <c r="C2176">
        <v>120330</v>
      </c>
      <c r="D2176" s="236" t="s">
        <v>19765</v>
      </c>
      <c r="E2176" s="15">
        <v>3500</v>
      </c>
      <c r="F2176" s="274">
        <v>42935</v>
      </c>
      <c r="G2176" s="15">
        <v>3500</v>
      </c>
      <c r="H2176" s="15">
        <f>Tabla1[[#This Row],[Importe]]-Tabla1[[#This Row],[Pagado]]</f>
        <v>0</v>
      </c>
      <c r="I2176" s="275" t="s">
        <v>15214</v>
      </c>
    </row>
    <row r="2177" spans="1:9" x14ac:dyDescent="0.25">
      <c r="A2177" s="16">
        <v>42933</v>
      </c>
      <c r="B2177" s="273" t="s">
        <v>22053</v>
      </c>
      <c r="C2177">
        <v>120331</v>
      </c>
      <c r="D2177" s="236" t="s">
        <v>19680</v>
      </c>
      <c r="E2177" s="15">
        <v>180</v>
      </c>
      <c r="F2177" s="274">
        <v>42934</v>
      </c>
      <c r="G2177" s="15">
        <v>180</v>
      </c>
      <c r="H2177" s="15">
        <f>Tabla1[[#This Row],[Importe]]-Tabla1[[#This Row],[Pagado]]</f>
        <v>0</v>
      </c>
      <c r="I2177" s="275" t="s">
        <v>15214</v>
      </c>
    </row>
    <row r="2178" spans="1:9" x14ac:dyDescent="0.25">
      <c r="A2178" s="16">
        <v>42933</v>
      </c>
      <c r="B2178" s="273" t="s">
        <v>22054</v>
      </c>
      <c r="C2178">
        <v>120332</v>
      </c>
      <c r="D2178" s="236" t="s">
        <v>5757</v>
      </c>
      <c r="E2178" s="15">
        <v>1968</v>
      </c>
      <c r="F2178" s="274">
        <v>42934</v>
      </c>
      <c r="G2178" s="15">
        <v>1968</v>
      </c>
      <c r="H2178" s="15">
        <f>Tabla1[[#This Row],[Importe]]-Tabla1[[#This Row],[Pagado]]</f>
        <v>0</v>
      </c>
      <c r="I2178" s="275" t="s">
        <v>15214</v>
      </c>
    </row>
    <row r="2179" spans="1:9" x14ac:dyDescent="0.25">
      <c r="A2179" s="16">
        <v>42933</v>
      </c>
      <c r="B2179" s="273" t="s">
        <v>22055</v>
      </c>
      <c r="C2179">
        <v>120333</v>
      </c>
      <c r="D2179" s="236" t="s">
        <v>15936</v>
      </c>
      <c r="E2179" s="15">
        <v>18774</v>
      </c>
      <c r="F2179" s="274">
        <v>42934</v>
      </c>
      <c r="G2179" s="15">
        <v>18774</v>
      </c>
      <c r="H2179" s="15">
        <f>Tabla1[[#This Row],[Importe]]-Tabla1[[#This Row],[Pagado]]</f>
        <v>0</v>
      </c>
      <c r="I2179" s="275" t="s">
        <v>15214</v>
      </c>
    </row>
    <row r="2180" spans="1:9" ht="30" x14ac:dyDescent="0.25">
      <c r="A2180" s="16">
        <v>42934</v>
      </c>
      <c r="B2180" s="273" t="s">
        <v>22056</v>
      </c>
      <c r="C2180">
        <v>120334</v>
      </c>
      <c r="D2180" s="236" t="s">
        <v>15213</v>
      </c>
      <c r="E2180" s="15">
        <v>46869</v>
      </c>
      <c r="F2180" s="274" t="s">
        <v>22057</v>
      </c>
      <c r="G2180" s="241">
        <f>31700+15169</f>
        <v>46869</v>
      </c>
      <c r="H2180" s="241">
        <f>Tabla1[[#This Row],[Importe]]-Tabla1[[#This Row],[Pagado]]</f>
        <v>0</v>
      </c>
      <c r="I2180" s="275" t="s">
        <v>15214</v>
      </c>
    </row>
    <row r="2181" spans="1:9" x14ac:dyDescent="0.25">
      <c r="A2181" s="16">
        <v>42934</v>
      </c>
      <c r="B2181" s="273" t="s">
        <v>22058</v>
      </c>
      <c r="C2181">
        <v>120335</v>
      </c>
      <c r="D2181" s="236" t="s">
        <v>21386</v>
      </c>
      <c r="E2181" s="15">
        <v>6711.2</v>
      </c>
      <c r="F2181" s="274">
        <v>42935</v>
      </c>
      <c r="G2181" s="15">
        <v>6711.2</v>
      </c>
      <c r="H2181" s="15">
        <f>Tabla1[[#This Row],[Importe]]-Tabla1[[#This Row],[Pagado]]</f>
        <v>0</v>
      </c>
      <c r="I2181" s="275" t="s">
        <v>15214</v>
      </c>
    </row>
    <row r="2182" spans="1:9" x14ac:dyDescent="0.25">
      <c r="A2182" s="16">
        <v>42934</v>
      </c>
      <c r="B2182" s="273" t="s">
        <v>22059</v>
      </c>
      <c r="C2182">
        <v>120336</v>
      </c>
      <c r="D2182" s="236" t="s">
        <v>15330</v>
      </c>
      <c r="E2182" s="15">
        <v>4011.6</v>
      </c>
      <c r="F2182" s="274">
        <v>42934</v>
      </c>
      <c r="G2182" s="15">
        <v>4011.6</v>
      </c>
      <c r="H2182" s="15">
        <f>Tabla1[[#This Row],[Importe]]-Tabla1[[#This Row],[Pagado]]</f>
        <v>0</v>
      </c>
      <c r="I2182" s="275" t="s">
        <v>15214</v>
      </c>
    </row>
    <row r="2183" spans="1:9" x14ac:dyDescent="0.25">
      <c r="A2183" s="16">
        <v>42934</v>
      </c>
      <c r="B2183" s="273" t="s">
        <v>22060</v>
      </c>
      <c r="C2183">
        <v>120337</v>
      </c>
      <c r="D2183" s="236" t="s">
        <v>18544</v>
      </c>
      <c r="E2183" s="15">
        <v>6993</v>
      </c>
      <c r="F2183" s="274">
        <v>42934</v>
      </c>
      <c r="G2183" s="15">
        <v>6993</v>
      </c>
      <c r="H2183" s="15">
        <f>Tabla1[[#This Row],[Importe]]-Tabla1[[#This Row],[Pagado]]</f>
        <v>0</v>
      </c>
      <c r="I2183" s="275" t="s">
        <v>15214</v>
      </c>
    </row>
    <row r="2184" spans="1:9" ht="15.75" x14ac:dyDescent="0.25">
      <c r="A2184" s="16">
        <v>42934</v>
      </c>
      <c r="B2184" s="273" t="s">
        <v>22061</v>
      </c>
      <c r="C2184">
        <v>120338</v>
      </c>
      <c r="D2184" s="248" t="s">
        <v>95</v>
      </c>
      <c r="E2184" s="15">
        <v>0</v>
      </c>
      <c r="F2184" s="277" t="s">
        <v>95</v>
      </c>
      <c r="G2184" s="15">
        <v>0</v>
      </c>
      <c r="H2184" s="15">
        <f>Tabla1[[#This Row],[Importe]]-Tabla1[[#This Row],[Pagado]]</f>
        <v>0</v>
      </c>
      <c r="I2184" s="275" t="s">
        <v>95</v>
      </c>
    </row>
    <row r="2185" spans="1:9" x14ac:dyDescent="0.25">
      <c r="A2185" s="16">
        <v>42934</v>
      </c>
      <c r="B2185" s="273" t="s">
        <v>22062</v>
      </c>
      <c r="C2185">
        <v>120339</v>
      </c>
      <c r="D2185" s="236" t="s">
        <v>15216</v>
      </c>
      <c r="E2185" s="15">
        <v>1065.9000000000001</v>
      </c>
      <c r="F2185" s="274">
        <v>42934</v>
      </c>
      <c r="G2185" s="15">
        <v>1065.9000000000001</v>
      </c>
      <c r="H2185" s="15">
        <f>Tabla1[[#This Row],[Importe]]-Tabla1[[#This Row],[Pagado]]</f>
        <v>0</v>
      </c>
      <c r="I2185" s="275" t="s">
        <v>15214</v>
      </c>
    </row>
    <row r="2186" spans="1:9" x14ac:dyDescent="0.25">
      <c r="A2186" s="16">
        <v>42934</v>
      </c>
      <c r="B2186" s="273" t="s">
        <v>22063</v>
      </c>
      <c r="C2186">
        <v>120340</v>
      </c>
      <c r="D2186" s="236" t="s">
        <v>15244</v>
      </c>
      <c r="E2186" s="15">
        <v>10137.1</v>
      </c>
      <c r="F2186" s="274">
        <v>42934</v>
      </c>
      <c r="G2186" s="15">
        <v>10137.1</v>
      </c>
      <c r="H2186" s="15">
        <f>Tabla1[[#This Row],[Importe]]-Tabla1[[#This Row],[Pagado]]</f>
        <v>0</v>
      </c>
      <c r="I2186" s="275" t="s">
        <v>15214</v>
      </c>
    </row>
    <row r="2187" spans="1:9" x14ac:dyDescent="0.25">
      <c r="A2187" s="16">
        <v>42934</v>
      </c>
      <c r="B2187" s="273" t="s">
        <v>22064</v>
      </c>
      <c r="C2187">
        <v>120341</v>
      </c>
      <c r="D2187" s="236" t="s">
        <v>15252</v>
      </c>
      <c r="E2187" s="15">
        <v>4007.4</v>
      </c>
      <c r="F2187" s="274">
        <v>42938</v>
      </c>
      <c r="G2187" s="15">
        <v>4007.4</v>
      </c>
      <c r="H2187" s="15">
        <f>Tabla1[[#This Row],[Importe]]-Tabla1[[#This Row],[Pagado]]</f>
        <v>0</v>
      </c>
      <c r="I2187" s="275" t="s">
        <v>15214</v>
      </c>
    </row>
    <row r="2188" spans="1:9" x14ac:dyDescent="0.25">
      <c r="A2188" s="16">
        <v>42934</v>
      </c>
      <c r="B2188" s="273" t="s">
        <v>22065</v>
      </c>
      <c r="C2188">
        <v>120342</v>
      </c>
      <c r="D2188" s="236" t="s">
        <v>15348</v>
      </c>
      <c r="E2188" s="15">
        <v>3248.9</v>
      </c>
      <c r="F2188" s="274">
        <v>42938</v>
      </c>
      <c r="G2188" s="15">
        <v>3248.9</v>
      </c>
      <c r="H2188" s="15">
        <f>Tabla1[[#This Row],[Importe]]-Tabla1[[#This Row],[Pagado]]</f>
        <v>0</v>
      </c>
      <c r="I2188" s="275" t="s">
        <v>15214</v>
      </c>
    </row>
    <row r="2189" spans="1:9" x14ac:dyDescent="0.25">
      <c r="A2189" s="16">
        <v>42934</v>
      </c>
      <c r="B2189" s="273" t="s">
        <v>22066</v>
      </c>
      <c r="C2189">
        <v>120343</v>
      </c>
      <c r="D2189" s="236" t="s">
        <v>15220</v>
      </c>
      <c r="E2189" s="15">
        <v>2750</v>
      </c>
      <c r="F2189" s="274">
        <v>42934</v>
      </c>
      <c r="G2189" s="15">
        <v>2750</v>
      </c>
      <c r="H2189" s="15">
        <f>Tabla1[[#This Row],[Importe]]-Tabla1[[#This Row],[Pagado]]</f>
        <v>0</v>
      </c>
      <c r="I2189" s="275" t="s">
        <v>15214</v>
      </c>
    </row>
    <row r="2190" spans="1:9" x14ac:dyDescent="0.25">
      <c r="A2190" s="16">
        <v>42934</v>
      </c>
      <c r="B2190" s="273" t="s">
        <v>22067</v>
      </c>
      <c r="C2190">
        <v>120344</v>
      </c>
      <c r="D2190" s="236" t="s">
        <v>19302</v>
      </c>
      <c r="E2190" s="15">
        <v>1100</v>
      </c>
      <c r="F2190" s="274">
        <v>42934</v>
      </c>
      <c r="G2190" s="15">
        <v>1100</v>
      </c>
      <c r="H2190" s="15">
        <f>Tabla1[[#This Row],[Importe]]-Tabla1[[#This Row],[Pagado]]</f>
        <v>0</v>
      </c>
      <c r="I2190" s="275" t="s">
        <v>15214</v>
      </c>
    </row>
    <row r="2191" spans="1:9" ht="15.75" x14ac:dyDescent="0.25">
      <c r="A2191" s="16">
        <v>42934</v>
      </c>
      <c r="B2191" s="273" t="s">
        <v>22068</v>
      </c>
      <c r="C2191">
        <v>120345</v>
      </c>
      <c r="D2191" s="248" t="s">
        <v>95</v>
      </c>
      <c r="E2191" s="15">
        <v>0</v>
      </c>
      <c r="F2191" s="277" t="s">
        <v>95</v>
      </c>
      <c r="G2191" s="15">
        <v>0</v>
      </c>
      <c r="H2191" s="15">
        <f>Tabla1[[#This Row],[Importe]]-Tabla1[[#This Row],[Pagado]]</f>
        <v>0</v>
      </c>
      <c r="I2191" s="275" t="s">
        <v>95</v>
      </c>
    </row>
    <row r="2192" spans="1:9" x14ac:dyDescent="0.25">
      <c r="A2192" s="16">
        <v>42934</v>
      </c>
      <c r="B2192" s="273" t="s">
        <v>22069</v>
      </c>
      <c r="C2192">
        <v>120346</v>
      </c>
      <c r="D2192" s="236" t="s">
        <v>15240</v>
      </c>
      <c r="E2192" s="15">
        <v>820.8</v>
      </c>
      <c r="F2192" s="274">
        <v>42938</v>
      </c>
      <c r="G2192" s="15">
        <v>820.8</v>
      </c>
      <c r="H2192" s="15">
        <f>Tabla1[[#This Row],[Importe]]-Tabla1[[#This Row],[Pagado]]</f>
        <v>0</v>
      </c>
      <c r="I2192" s="275" t="s">
        <v>15214</v>
      </c>
    </row>
    <row r="2193" spans="1:9" x14ac:dyDescent="0.25">
      <c r="A2193" s="16">
        <v>42934</v>
      </c>
      <c r="B2193" s="273" t="s">
        <v>22070</v>
      </c>
      <c r="C2193">
        <v>120347</v>
      </c>
      <c r="D2193" s="236" t="s">
        <v>15242</v>
      </c>
      <c r="E2193" s="15">
        <v>10842.6</v>
      </c>
      <c r="F2193" s="274">
        <v>42935</v>
      </c>
      <c r="G2193" s="15">
        <v>10842.6</v>
      </c>
      <c r="H2193" s="15">
        <f>Tabla1[[#This Row],[Importe]]-Tabla1[[#This Row],[Pagado]]</f>
        <v>0</v>
      </c>
      <c r="I2193" s="275" t="s">
        <v>15214</v>
      </c>
    </row>
    <row r="2194" spans="1:9" x14ac:dyDescent="0.25">
      <c r="A2194" s="16">
        <v>42934</v>
      </c>
      <c r="B2194" s="273" t="s">
        <v>22071</v>
      </c>
      <c r="C2194">
        <v>120348</v>
      </c>
      <c r="D2194" s="236" t="s">
        <v>15332</v>
      </c>
      <c r="E2194" s="15">
        <v>3004.28</v>
      </c>
      <c r="F2194" s="274">
        <v>42934</v>
      </c>
      <c r="G2194" s="15">
        <v>3004.28</v>
      </c>
      <c r="H2194" s="15">
        <f>Tabla1[[#This Row],[Importe]]-Tabla1[[#This Row],[Pagado]]</f>
        <v>0</v>
      </c>
      <c r="I2194" s="275" t="s">
        <v>15214</v>
      </c>
    </row>
    <row r="2195" spans="1:9" x14ac:dyDescent="0.25">
      <c r="A2195" s="16">
        <v>42934</v>
      </c>
      <c r="B2195" s="273" t="s">
        <v>22072</v>
      </c>
      <c r="C2195">
        <v>120349</v>
      </c>
      <c r="D2195" s="236" t="s">
        <v>15250</v>
      </c>
      <c r="E2195" s="15">
        <v>37867.5</v>
      </c>
      <c r="F2195" s="274">
        <v>42939</v>
      </c>
      <c r="G2195" s="15">
        <v>37867.5</v>
      </c>
      <c r="H2195" s="15">
        <f>Tabla1[[#This Row],[Importe]]-Tabla1[[#This Row],[Pagado]]</f>
        <v>0</v>
      </c>
      <c r="I2195" s="275" t="s">
        <v>15214</v>
      </c>
    </row>
    <row r="2196" spans="1:9" x14ac:dyDescent="0.25">
      <c r="A2196" s="16">
        <v>42934</v>
      </c>
      <c r="B2196" s="273" t="s">
        <v>22073</v>
      </c>
      <c r="C2196">
        <v>120350</v>
      </c>
      <c r="D2196" s="236" t="s">
        <v>15338</v>
      </c>
      <c r="E2196" s="15">
        <v>9589.7999999999993</v>
      </c>
      <c r="F2196" s="274">
        <v>42937</v>
      </c>
      <c r="G2196" s="15">
        <v>9589.7999999999993</v>
      </c>
      <c r="H2196" s="15">
        <f>Tabla1[[#This Row],[Importe]]-Tabla1[[#This Row],[Pagado]]</f>
        <v>0</v>
      </c>
      <c r="I2196" s="275" t="s">
        <v>15214</v>
      </c>
    </row>
    <row r="2197" spans="1:9" x14ac:dyDescent="0.25">
      <c r="A2197" s="16">
        <v>42934</v>
      </c>
      <c r="B2197" s="273" t="s">
        <v>22074</v>
      </c>
      <c r="C2197">
        <v>120351</v>
      </c>
      <c r="D2197" s="236" t="s">
        <v>15226</v>
      </c>
      <c r="E2197" s="15">
        <v>2723.2</v>
      </c>
      <c r="F2197" s="274">
        <v>42937</v>
      </c>
      <c r="G2197" s="15">
        <v>2723.2</v>
      </c>
      <c r="H2197" s="15">
        <f>Tabla1[[#This Row],[Importe]]-Tabla1[[#This Row],[Pagado]]</f>
        <v>0</v>
      </c>
      <c r="I2197" s="275" t="s">
        <v>15214</v>
      </c>
    </row>
    <row r="2198" spans="1:9" x14ac:dyDescent="0.25">
      <c r="A2198" s="16">
        <v>42934</v>
      </c>
      <c r="B2198" s="273" t="s">
        <v>22075</v>
      </c>
      <c r="C2198">
        <v>120352</v>
      </c>
      <c r="D2198" s="236" t="s">
        <v>15272</v>
      </c>
      <c r="E2198" s="15">
        <v>17568.8</v>
      </c>
      <c r="F2198" s="274">
        <v>42934</v>
      </c>
      <c r="G2198" s="15">
        <v>17568.8</v>
      </c>
      <c r="H2198" s="15">
        <f>Tabla1[[#This Row],[Importe]]-Tabla1[[#This Row],[Pagado]]</f>
        <v>0</v>
      </c>
      <c r="I2198" s="275" t="s">
        <v>15214</v>
      </c>
    </row>
    <row r="2199" spans="1:9" x14ac:dyDescent="0.25">
      <c r="A2199" s="16">
        <v>42934</v>
      </c>
      <c r="B2199" s="273" t="s">
        <v>22076</v>
      </c>
      <c r="C2199">
        <v>120353</v>
      </c>
      <c r="D2199" s="236" t="s">
        <v>15230</v>
      </c>
      <c r="E2199" s="15">
        <v>10356</v>
      </c>
      <c r="F2199" s="274">
        <v>42936</v>
      </c>
      <c r="G2199" s="15">
        <v>10356</v>
      </c>
      <c r="H2199" s="15">
        <f>Tabla1[[#This Row],[Importe]]-Tabla1[[#This Row],[Pagado]]</f>
        <v>0</v>
      </c>
      <c r="I2199" s="275" t="s">
        <v>15214</v>
      </c>
    </row>
    <row r="2200" spans="1:9" x14ac:dyDescent="0.25">
      <c r="A2200" s="16">
        <v>42934</v>
      </c>
      <c r="B2200" s="273" t="s">
        <v>22077</v>
      </c>
      <c r="C2200">
        <v>120354</v>
      </c>
      <c r="D2200" s="236" t="s">
        <v>15263</v>
      </c>
      <c r="E2200" s="15">
        <v>3942.7</v>
      </c>
      <c r="F2200" s="274">
        <v>42934</v>
      </c>
      <c r="G2200" s="15">
        <v>3942.7</v>
      </c>
      <c r="H2200" s="15">
        <f>Tabla1[[#This Row],[Importe]]-Tabla1[[#This Row],[Pagado]]</f>
        <v>0</v>
      </c>
      <c r="I2200" s="275" t="s">
        <v>15214</v>
      </c>
    </row>
    <row r="2201" spans="1:9" x14ac:dyDescent="0.25">
      <c r="A2201" s="16">
        <v>42934</v>
      </c>
      <c r="B2201" s="273" t="s">
        <v>22078</v>
      </c>
      <c r="C2201">
        <v>120355</v>
      </c>
      <c r="D2201" s="236" t="s">
        <v>15236</v>
      </c>
      <c r="E2201" s="15">
        <v>3666.4</v>
      </c>
      <c r="F2201" s="274">
        <v>42936</v>
      </c>
      <c r="G2201" s="15">
        <v>3666.4</v>
      </c>
      <c r="H2201" s="15">
        <f>Tabla1[[#This Row],[Importe]]-Tabla1[[#This Row],[Pagado]]</f>
        <v>0</v>
      </c>
      <c r="I2201" s="275" t="s">
        <v>15214</v>
      </c>
    </row>
    <row r="2202" spans="1:9" x14ac:dyDescent="0.25">
      <c r="A2202" s="16">
        <v>42934</v>
      </c>
      <c r="B2202" s="273" t="s">
        <v>22079</v>
      </c>
      <c r="C2202">
        <v>120356</v>
      </c>
      <c r="D2202" s="236" t="s">
        <v>15232</v>
      </c>
      <c r="E2202" s="15">
        <v>7584.8</v>
      </c>
      <c r="F2202" s="274">
        <v>42943</v>
      </c>
      <c r="G2202" s="15">
        <v>7584.8</v>
      </c>
      <c r="H2202" s="15">
        <f>Tabla1[[#This Row],[Importe]]-Tabla1[[#This Row],[Pagado]]</f>
        <v>0</v>
      </c>
      <c r="I2202" s="275" t="s">
        <v>15214</v>
      </c>
    </row>
    <row r="2203" spans="1:9" ht="30" x14ac:dyDescent="0.25">
      <c r="A2203" s="16">
        <v>42934</v>
      </c>
      <c r="B2203" s="273" t="s">
        <v>22080</v>
      </c>
      <c r="C2203">
        <v>120357</v>
      </c>
      <c r="D2203" s="236" t="s">
        <v>15258</v>
      </c>
      <c r="E2203" s="15">
        <v>14534</v>
      </c>
      <c r="F2203" s="274" t="s">
        <v>22081</v>
      </c>
      <c r="G2203" s="241">
        <f>4000+10534</f>
        <v>14534</v>
      </c>
      <c r="H2203" s="241">
        <f>Tabla1[[#This Row],[Importe]]-Tabla1[[#This Row],[Pagado]]</f>
        <v>0</v>
      </c>
      <c r="I2203" s="275" t="s">
        <v>15214</v>
      </c>
    </row>
    <row r="2204" spans="1:9" x14ac:dyDescent="0.25">
      <c r="A2204" s="16">
        <v>42934</v>
      </c>
      <c r="B2204" s="273" t="s">
        <v>22082</v>
      </c>
      <c r="C2204">
        <v>120358</v>
      </c>
      <c r="D2204" s="236" t="s">
        <v>15365</v>
      </c>
      <c r="E2204" s="15">
        <v>13735</v>
      </c>
      <c r="F2204" s="274">
        <v>42939</v>
      </c>
      <c r="G2204" s="15">
        <v>13735</v>
      </c>
      <c r="H2204" s="15">
        <f>Tabla1[[#This Row],[Importe]]-Tabla1[[#This Row],[Pagado]]</f>
        <v>0</v>
      </c>
      <c r="I2204" s="275" t="s">
        <v>15214</v>
      </c>
    </row>
    <row r="2205" spans="1:9" x14ac:dyDescent="0.25">
      <c r="A2205" s="16">
        <v>42934</v>
      </c>
      <c r="B2205" s="273" t="s">
        <v>22083</v>
      </c>
      <c r="C2205">
        <v>120359</v>
      </c>
      <c r="D2205" s="236" t="s">
        <v>15223</v>
      </c>
      <c r="E2205" s="15">
        <v>59040.800000000003</v>
      </c>
      <c r="F2205" s="274">
        <v>42960</v>
      </c>
      <c r="G2205" s="15">
        <v>59040.800000000003</v>
      </c>
      <c r="H2205" s="15">
        <f>Tabla1[[#This Row],[Importe]]-Tabla1[[#This Row],[Pagado]]</f>
        <v>0</v>
      </c>
      <c r="I2205" s="275" t="s">
        <v>15214</v>
      </c>
    </row>
    <row r="2206" spans="1:9" x14ac:dyDescent="0.25">
      <c r="A2206" s="16">
        <v>42934</v>
      </c>
      <c r="B2206" s="273" t="s">
        <v>22084</v>
      </c>
      <c r="C2206">
        <v>120360</v>
      </c>
      <c r="D2206" s="236" t="s">
        <v>15284</v>
      </c>
      <c r="E2206" s="15">
        <v>894.9</v>
      </c>
      <c r="F2206" s="274">
        <v>42934</v>
      </c>
      <c r="G2206" s="15">
        <v>894.9</v>
      </c>
      <c r="H2206" s="15">
        <f>Tabla1[[#This Row],[Importe]]-Tabla1[[#This Row],[Pagado]]</f>
        <v>0</v>
      </c>
      <c r="I2206" s="275" t="s">
        <v>15214</v>
      </c>
    </row>
    <row r="2207" spans="1:9" ht="30" x14ac:dyDescent="0.25">
      <c r="A2207" s="16">
        <v>42934</v>
      </c>
      <c r="B2207" s="273" t="s">
        <v>22085</v>
      </c>
      <c r="C2207">
        <v>120361</v>
      </c>
      <c r="D2207" s="236" t="s">
        <v>15480</v>
      </c>
      <c r="E2207" s="15">
        <v>3635.2</v>
      </c>
      <c r="F2207" s="274" t="s">
        <v>22086</v>
      </c>
      <c r="G2207" s="241">
        <f>1000+2635.2</f>
        <v>3635.2</v>
      </c>
      <c r="H2207" s="241">
        <f>Tabla1[[#This Row],[Importe]]-Tabla1[[#This Row],[Pagado]]</f>
        <v>0</v>
      </c>
      <c r="I2207" s="275" t="s">
        <v>15214</v>
      </c>
    </row>
    <row r="2208" spans="1:9" ht="30" x14ac:dyDescent="0.25">
      <c r="A2208" s="16">
        <v>42934</v>
      </c>
      <c r="B2208" s="273" t="s">
        <v>22087</v>
      </c>
      <c r="C2208">
        <v>120362</v>
      </c>
      <c r="D2208" s="236" t="s">
        <v>5575</v>
      </c>
      <c r="E2208" s="15">
        <v>4489.3999999999996</v>
      </c>
      <c r="F2208" s="274" t="s">
        <v>22088</v>
      </c>
      <c r="G2208" s="241">
        <f>2000+2489.4</f>
        <v>4489.3999999999996</v>
      </c>
      <c r="H2208" s="241">
        <f>Tabla1[[#This Row],[Importe]]-Tabla1[[#This Row],[Pagado]]</f>
        <v>0</v>
      </c>
      <c r="I2208" s="275" t="s">
        <v>15214</v>
      </c>
    </row>
    <row r="2209" spans="1:9" ht="30" x14ac:dyDescent="0.25">
      <c r="A2209" s="16">
        <v>42934</v>
      </c>
      <c r="B2209" s="273" t="s">
        <v>22089</v>
      </c>
      <c r="C2209">
        <v>120363</v>
      </c>
      <c r="D2209" s="236" t="s">
        <v>15256</v>
      </c>
      <c r="E2209" s="15">
        <v>7220.6</v>
      </c>
      <c r="F2209" s="274" t="s">
        <v>22090</v>
      </c>
      <c r="G2209" s="241">
        <f>5200+2020.6</f>
        <v>7220.6</v>
      </c>
      <c r="H2209" s="241">
        <f>Tabla1[[#This Row],[Importe]]-Tabla1[[#This Row],[Pagado]]</f>
        <v>0</v>
      </c>
      <c r="I2209" s="275" t="s">
        <v>15214</v>
      </c>
    </row>
    <row r="2210" spans="1:9" x14ac:dyDescent="0.25">
      <c r="A2210" s="16">
        <v>42934</v>
      </c>
      <c r="B2210" s="273" t="s">
        <v>22091</v>
      </c>
      <c r="C2210">
        <v>120364</v>
      </c>
      <c r="D2210" s="236" t="s">
        <v>15238</v>
      </c>
      <c r="E2210" s="15">
        <v>7896.6</v>
      </c>
      <c r="F2210" s="274">
        <v>42936</v>
      </c>
      <c r="G2210" s="15">
        <v>7896.6</v>
      </c>
      <c r="H2210" s="15">
        <f>Tabla1[[#This Row],[Importe]]-Tabla1[[#This Row],[Pagado]]</f>
        <v>0</v>
      </c>
      <c r="I2210" s="275" t="s">
        <v>15214</v>
      </c>
    </row>
    <row r="2211" spans="1:9" x14ac:dyDescent="0.25">
      <c r="A2211" s="16">
        <v>42934</v>
      </c>
      <c r="B2211" s="273" t="s">
        <v>22092</v>
      </c>
      <c r="C2211">
        <v>120365</v>
      </c>
      <c r="D2211" s="236" t="s">
        <v>15668</v>
      </c>
      <c r="E2211" s="15">
        <v>3680.8</v>
      </c>
      <c r="F2211" s="274">
        <v>42940</v>
      </c>
      <c r="G2211" s="15">
        <v>3680.8</v>
      </c>
      <c r="H2211" s="15">
        <f>Tabla1[[#This Row],[Importe]]-Tabla1[[#This Row],[Pagado]]</f>
        <v>0</v>
      </c>
      <c r="I2211" s="275" t="s">
        <v>15214</v>
      </c>
    </row>
    <row r="2212" spans="1:9" x14ac:dyDescent="0.25">
      <c r="A2212" s="16">
        <v>42934</v>
      </c>
      <c r="B2212" s="273" t="s">
        <v>22093</v>
      </c>
      <c r="C2212">
        <v>120366</v>
      </c>
      <c r="D2212" s="236" t="s">
        <v>15444</v>
      </c>
      <c r="E2212" s="15">
        <v>2312</v>
      </c>
      <c r="F2212" s="274">
        <v>42934</v>
      </c>
      <c r="G2212" s="15">
        <v>2312</v>
      </c>
      <c r="H2212" s="15">
        <f>Tabla1[[#This Row],[Importe]]-Tabla1[[#This Row],[Pagado]]</f>
        <v>0</v>
      </c>
      <c r="I2212" s="275" t="s">
        <v>15214</v>
      </c>
    </row>
    <row r="2213" spans="1:9" ht="30" x14ac:dyDescent="0.25">
      <c r="A2213" s="16">
        <v>42934</v>
      </c>
      <c r="B2213" s="273" t="s">
        <v>22094</v>
      </c>
      <c r="C2213">
        <v>120367</v>
      </c>
      <c r="D2213" s="236" t="s">
        <v>15407</v>
      </c>
      <c r="E2213" s="15">
        <v>9730.5</v>
      </c>
      <c r="F2213" s="274" t="s">
        <v>22095</v>
      </c>
      <c r="G2213" s="241">
        <f>9000+730.5</f>
        <v>9730.5</v>
      </c>
      <c r="H2213" s="241">
        <f>Tabla1[[#This Row],[Importe]]-Tabla1[[#This Row],[Pagado]]</f>
        <v>0</v>
      </c>
      <c r="I2213" s="275" t="s">
        <v>15214</v>
      </c>
    </row>
    <row r="2214" spans="1:9" x14ac:dyDescent="0.25">
      <c r="A2214" s="16">
        <v>42934</v>
      </c>
      <c r="B2214" s="273" t="s">
        <v>22096</v>
      </c>
      <c r="C2214">
        <v>120368</v>
      </c>
      <c r="D2214" s="236" t="s">
        <v>15301</v>
      </c>
      <c r="E2214" s="15">
        <v>3418.2</v>
      </c>
      <c r="F2214" s="274">
        <v>42934</v>
      </c>
      <c r="G2214" s="15">
        <v>3418.2</v>
      </c>
      <c r="H2214" s="15">
        <f>Tabla1[[#This Row],[Importe]]-Tabla1[[#This Row],[Pagado]]</f>
        <v>0</v>
      </c>
      <c r="I2214" s="275" t="s">
        <v>15214</v>
      </c>
    </row>
    <row r="2215" spans="1:9" x14ac:dyDescent="0.25">
      <c r="A2215" s="16">
        <v>42934</v>
      </c>
      <c r="B2215" s="273" t="s">
        <v>22097</v>
      </c>
      <c r="C2215">
        <v>120369</v>
      </c>
      <c r="D2215" s="236" t="s">
        <v>15326</v>
      </c>
      <c r="E2215" s="15">
        <v>2875.8</v>
      </c>
      <c r="F2215" s="274">
        <v>42934</v>
      </c>
      <c r="G2215" s="15">
        <v>2875.8</v>
      </c>
      <c r="H2215" s="15">
        <f>Tabla1[[#This Row],[Importe]]-Tabla1[[#This Row],[Pagado]]</f>
        <v>0</v>
      </c>
      <c r="I2215" s="275" t="s">
        <v>15214</v>
      </c>
    </row>
    <row r="2216" spans="1:9" x14ac:dyDescent="0.25">
      <c r="A2216" s="16">
        <v>42934</v>
      </c>
      <c r="B2216" s="273" t="s">
        <v>22098</v>
      </c>
      <c r="C2216">
        <v>120370</v>
      </c>
      <c r="D2216" s="236" t="s">
        <v>15303</v>
      </c>
      <c r="E2216" s="15">
        <v>3537.4</v>
      </c>
      <c r="F2216" s="274">
        <v>42934</v>
      </c>
      <c r="G2216" s="15">
        <v>3537.4</v>
      </c>
      <c r="H2216" s="15">
        <f>Tabla1[[#This Row],[Importe]]-Tabla1[[#This Row],[Pagado]]</f>
        <v>0</v>
      </c>
      <c r="I2216" s="275" t="s">
        <v>15214</v>
      </c>
    </row>
    <row r="2217" spans="1:9" x14ac:dyDescent="0.25">
      <c r="A2217" s="16">
        <v>42934</v>
      </c>
      <c r="B2217" s="273" t="s">
        <v>22099</v>
      </c>
      <c r="C2217">
        <v>120371</v>
      </c>
      <c r="D2217" s="236" t="s">
        <v>15315</v>
      </c>
      <c r="E2217" s="15">
        <v>1037.4000000000001</v>
      </c>
      <c r="F2217" s="274">
        <v>42934</v>
      </c>
      <c r="G2217" s="15">
        <v>1037.4000000000001</v>
      </c>
      <c r="H2217" s="15">
        <f>Tabla1[[#This Row],[Importe]]-Tabla1[[#This Row],[Pagado]]</f>
        <v>0</v>
      </c>
      <c r="I2217" s="275" t="s">
        <v>15214</v>
      </c>
    </row>
    <row r="2218" spans="1:9" x14ac:dyDescent="0.25">
      <c r="A2218" s="16">
        <v>42934</v>
      </c>
      <c r="B2218" s="273" t="s">
        <v>22100</v>
      </c>
      <c r="C2218">
        <v>120372</v>
      </c>
      <c r="D2218" s="236" t="s">
        <v>15309</v>
      </c>
      <c r="E2218" s="15">
        <v>7275.6</v>
      </c>
      <c r="F2218" s="274">
        <v>42934</v>
      </c>
      <c r="G2218" s="15">
        <v>7275.6</v>
      </c>
      <c r="H2218" s="15">
        <f>Tabla1[[#This Row],[Importe]]-Tabla1[[#This Row],[Pagado]]</f>
        <v>0</v>
      </c>
      <c r="I2218" s="275" t="s">
        <v>15214</v>
      </c>
    </row>
    <row r="2219" spans="1:9" x14ac:dyDescent="0.25">
      <c r="A2219" s="16">
        <v>42934</v>
      </c>
      <c r="B2219" s="273" t="s">
        <v>22101</v>
      </c>
      <c r="C2219">
        <v>120373</v>
      </c>
      <c r="D2219" s="236" t="s">
        <v>15315</v>
      </c>
      <c r="E2219" s="15">
        <v>395.2</v>
      </c>
      <c r="F2219" s="274">
        <v>42934</v>
      </c>
      <c r="G2219" s="15">
        <v>395.2</v>
      </c>
      <c r="H2219" s="15">
        <f>Tabla1[[#This Row],[Importe]]-Tabla1[[#This Row],[Pagado]]</f>
        <v>0</v>
      </c>
      <c r="I2219" s="275" t="s">
        <v>15214</v>
      </c>
    </row>
    <row r="2220" spans="1:9" x14ac:dyDescent="0.25">
      <c r="A2220" s="16">
        <v>42934</v>
      </c>
      <c r="B2220" s="273" t="s">
        <v>22102</v>
      </c>
      <c r="C2220">
        <v>120374</v>
      </c>
      <c r="D2220" s="236" t="s">
        <v>15246</v>
      </c>
      <c r="E2220" s="15">
        <v>3638.8</v>
      </c>
      <c r="F2220" s="274">
        <v>42936</v>
      </c>
      <c r="G2220" s="15">
        <v>3638.8</v>
      </c>
      <c r="H2220" s="15">
        <f>Tabla1[[#This Row],[Importe]]-Tabla1[[#This Row],[Pagado]]</f>
        <v>0</v>
      </c>
      <c r="I2220" s="275" t="s">
        <v>15214</v>
      </c>
    </row>
    <row r="2221" spans="1:9" x14ac:dyDescent="0.25">
      <c r="A2221" s="16">
        <v>42934</v>
      </c>
      <c r="B2221" s="273" t="s">
        <v>22103</v>
      </c>
      <c r="C2221">
        <v>120375</v>
      </c>
      <c r="D2221" s="236" t="s">
        <v>5880</v>
      </c>
      <c r="E2221" s="15">
        <v>16025.6</v>
      </c>
      <c r="F2221" s="274">
        <v>42934</v>
      </c>
      <c r="G2221" s="15">
        <v>16025.6</v>
      </c>
      <c r="H2221" s="15">
        <f>Tabla1[[#This Row],[Importe]]-Tabla1[[#This Row],[Pagado]]</f>
        <v>0</v>
      </c>
      <c r="I2221" s="275" t="s">
        <v>15214</v>
      </c>
    </row>
    <row r="2222" spans="1:9" x14ac:dyDescent="0.25">
      <c r="A2222" s="16">
        <v>42934</v>
      </c>
      <c r="B2222" s="273" t="s">
        <v>22104</v>
      </c>
      <c r="C2222">
        <v>120376</v>
      </c>
      <c r="D2222" s="236" t="s">
        <v>15404</v>
      </c>
      <c r="E2222" s="15">
        <v>13680.4</v>
      </c>
      <c r="F2222" s="274">
        <v>42934</v>
      </c>
      <c r="G2222" s="15">
        <v>13680.4</v>
      </c>
      <c r="H2222" s="15">
        <f>Tabla1[[#This Row],[Importe]]-Tabla1[[#This Row],[Pagado]]</f>
        <v>0</v>
      </c>
      <c r="I2222" s="275" t="s">
        <v>15214</v>
      </c>
    </row>
    <row r="2223" spans="1:9" x14ac:dyDescent="0.25">
      <c r="A2223" s="16">
        <v>42934</v>
      </c>
      <c r="B2223" s="273" t="s">
        <v>22105</v>
      </c>
      <c r="C2223">
        <v>120377</v>
      </c>
      <c r="D2223" s="236" t="s">
        <v>15291</v>
      </c>
      <c r="E2223" s="15">
        <v>720.5</v>
      </c>
      <c r="F2223" s="274">
        <v>42934</v>
      </c>
      <c r="G2223" s="15">
        <v>720.5</v>
      </c>
      <c r="H2223" s="15">
        <f>Tabla1[[#This Row],[Importe]]-Tabla1[[#This Row],[Pagado]]</f>
        <v>0</v>
      </c>
      <c r="I2223" s="275" t="s">
        <v>15214</v>
      </c>
    </row>
    <row r="2224" spans="1:9" x14ac:dyDescent="0.25">
      <c r="A2224" s="16">
        <v>42934</v>
      </c>
      <c r="B2224" s="273" t="s">
        <v>22106</v>
      </c>
      <c r="C2224">
        <v>120378</v>
      </c>
      <c r="D2224" s="236" t="s">
        <v>15315</v>
      </c>
      <c r="E2224" s="15">
        <v>1667.08</v>
      </c>
      <c r="F2224" s="274">
        <v>42934</v>
      </c>
      <c r="G2224" s="15">
        <v>1667.08</v>
      </c>
      <c r="H2224" s="15">
        <f>Tabla1[[#This Row],[Importe]]-Tabla1[[#This Row],[Pagado]]</f>
        <v>0</v>
      </c>
      <c r="I2224" s="275" t="s">
        <v>15214</v>
      </c>
    </row>
    <row r="2225" spans="1:9" x14ac:dyDescent="0.25">
      <c r="A2225" s="16">
        <v>42934</v>
      </c>
      <c r="B2225" s="273" t="s">
        <v>22107</v>
      </c>
      <c r="C2225">
        <v>120379</v>
      </c>
      <c r="D2225" s="236" t="s">
        <v>15291</v>
      </c>
      <c r="E2225" s="15">
        <v>220</v>
      </c>
      <c r="F2225" s="274">
        <v>42934</v>
      </c>
      <c r="G2225" s="15">
        <v>220</v>
      </c>
      <c r="H2225" s="15">
        <f>Tabla1[[#This Row],[Importe]]-Tabla1[[#This Row],[Pagado]]</f>
        <v>0</v>
      </c>
      <c r="I2225" s="275" t="s">
        <v>15214</v>
      </c>
    </row>
    <row r="2226" spans="1:9" x14ac:dyDescent="0.25">
      <c r="A2226" s="16">
        <v>42934</v>
      </c>
      <c r="B2226" s="273" t="s">
        <v>22108</v>
      </c>
      <c r="C2226">
        <v>120380</v>
      </c>
      <c r="D2226" s="236" t="s">
        <v>15311</v>
      </c>
      <c r="E2226" s="15">
        <v>1648.68</v>
      </c>
      <c r="F2226" s="274">
        <v>42934</v>
      </c>
      <c r="G2226" s="15">
        <v>1648.68</v>
      </c>
      <c r="H2226" s="15">
        <f>Tabla1[[#This Row],[Importe]]-Tabla1[[#This Row],[Pagado]]</f>
        <v>0</v>
      </c>
      <c r="I2226" s="275" t="s">
        <v>15214</v>
      </c>
    </row>
    <row r="2227" spans="1:9" x14ac:dyDescent="0.25">
      <c r="A2227" s="16">
        <v>42934</v>
      </c>
      <c r="B2227" s="273" t="s">
        <v>22109</v>
      </c>
      <c r="C2227">
        <v>120381</v>
      </c>
      <c r="D2227" s="236" t="s">
        <v>15307</v>
      </c>
      <c r="E2227" s="15">
        <v>2461.1</v>
      </c>
      <c r="F2227" s="274">
        <v>42934</v>
      </c>
      <c r="G2227" s="15">
        <v>2461.1</v>
      </c>
      <c r="H2227" s="15">
        <f>Tabla1[[#This Row],[Importe]]-Tabla1[[#This Row],[Pagado]]</f>
        <v>0</v>
      </c>
      <c r="I2227" s="275" t="s">
        <v>15214</v>
      </c>
    </row>
    <row r="2228" spans="1:9" x14ac:dyDescent="0.25">
      <c r="A2228" s="16">
        <v>42934</v>
      </c>
      <c r="B2228" s="273" t="s">
        <v>22110</v>
      </c>
      <c r="C2228">
        <v>120382</v>
      </c>
      <c r="D2228" s="236" t="s">
        <v>16108</v>
      </c>
      <c r="E2228" s="15">
        <v>339.2</v>
      </c>
      <c r="F2228" s="274">
        <v>42934</v>
      </c>
      <c r="G2228" s="15">
        <v>339.2</v>
      </c>
      <c r="H2228" s="15">
        <f>Tabla1[[#This Row],[Importe]]-Tabla1[[#This Row],[Pagado]]</f>
        <v>0</v>
      </c>
      <c r="I2228" s="275" t="s">
        <v>15214</v>
      </c>
    </row>
    <row r="2229" spans="1:9" x14ac:dyDescent="0.25">
      <c r="A2229" s="16">
        <v>42934</v>
      </c>
      <c r="B2229" s="273" t="s">
        <v>22111</v>
      </c>
      <c r="C2229">
        <v>120383</v>
      </c>
      <c r="D2229" s="236" t="s">
        <v>15280</v>
      </c>
      <c r="E2229" s="15">
        <v>6677.4</v>
      </c>
      <c r="F2229" s="274">
        <v>42934</v>
      </c>
      <c r="G2229" s="15">
        <v>6677.4</v>
      </c>
      <c r="H2229" s="15">
        <f>Tabla1[[#This Row],[Importe]]-Tabla1[[#This Row],[Pagado]]</f>
        <v>0</v>
      </c>
      <c r="I2229" s="275" t="s">
        <v>15214</v>
      </c>
    </row>
    <row r="2230" spans="1:9" x14ac:dyDescent="0.25">
      <c r="A2230" s="16">
        <v>42934</v>
      </c>
      <c r="B2230" s="273" t="s">
        <v>22112</v>
      </c>
      <c r="C2230">
        <v>120384</v>
      </c>
      <c r="D2230" s="236" t="s">
        <v>16108</v>
      </c>
      <c r="E2230" s="15">
        <v>1527.2</v>
      </c>
      <c r="F2230" s="274">
        <v>42934</v>
      </c>
      <c r="G2230" s="15">
        <v>1527.2</v>
      </c>
      <c r="H2230" s="15">
        <f>Tabla1[[#This Row],[Importe]]-Tabla1[[#This Row],[Pagado]]</f>
        <v>0</v>
      </c>
      <c r="I2230" s="275" t="s">
        <v>15214</v>
      </c>
    </row>
    <row r="2231" spans="1:9" x14ac:dyDescent="0.25">
      <c r="A2231" s="16">
        <v>42934</v>
      </c>
      <c r="B2231" s="273" t="s">
        <v>22113</v>
      </c>
      <c r="C2231">
        <v>120385</v>
      </c>
      <c r="D2231" s="236" t="s">
        <v>15415</v>
      </c>
      <c r="E2231" s="15">
        <v>3026.3</v>
      </c>
      <c r="F2231" s="274">
        <v>42938</v>
      </c>
      <c r="G2231" s="15">
        <v>3026.3</v>
      </c>
      <c r="H2231" s="15">
        <f>Tabla1[[#This Row],[Importe]]-Tabla1[[#This Row],[Pagado]]</f>
        <v>0</v>
      </c>
      <c r="I2231" s="275" t="s">
        <v>15214</v>
      </c>
    </row>
    <row r="2232" spans="1:9" x14ac:dyDescent="0.25">
      <c r="A2232" s="16">
        <v>42934</v>
      </c>
      <c r="B2232" s="273" t="s">
        <v>22114</v>
      </c>
      <c r="C2232">
        <v>120386</v>
      </c>
      <c r="D2232" s="236" t="s">
        <v>15317</v>
      </c>
      <c r="E2232" s="15">
        <v>3591.8</v>
      </c>
      <c r="F2232" s="274">
        <v>42938</v>
      </c>
      <c r="G2232" s="15">
        <v>3591.8</v>
      </c>
      <c r="H2232" s="15">
        <f>Tabla1[[#This Row],[Importe]]-Tabla1[[#This Row],[Pagado]]</f>
        <v>0</v>
      </c>
      <c r="I2232" s="275" t="s">
        <v>15214</v>
      </c>
    </row>
    <row r="2233" spans="1:9" x14ac:dyDescent="0.25">
      <c r="A2233" s="16">
        <v>42934</v>
      </c>
      <c r="B2233" s="273" t="s">
        <v>22115</v>
      </c>
      <c r="C2233">
        <v>120387</v>
      </c>
      <c r="D2233" s="236" t="s">
        <v>17462</v>
      </c>
      <c r="E2233" s="15">
        <v>2228.6999999999998</v>
      </c>
      <c r="F2233" s="274">
        <v>42934</v>
      </c>
      <c r="G2233" s="15">
        <v>2228.6999999999998</v>
      </c>
      <c r="H2233" s="15">
        <f>Tabla1[[#This Row],[Importe]]-Tabla1[[#This Row],[Pagado]]</f>
        <v>0</v>
      </c>
      <c r="I2233" s="275" t="s">
        <v>15214</v>
      </c>
    </row>
    <row r="2234" spans="1:9" x14ac:dyDescent="0.25">
      <c r="A2234" s="16">
        <v>42934</v>
      </c>
      <c r="B2234" s="273" t="s">
        <v>22116</v>
      </c>
      <c r="C2234">
        <v>120388</v>
      </c>
      <c r="D2234" s="236" t="s">
        <v>17057</v>
      </c>
      <c r="E2234" s="15">
        <v>1797.4</v>
      </c>
      <c r="F2234" s="274">
        <v>42934</v>
      </c>
      <c r="G2234" s="15">
        <v>1797.4</v>
      </c>
      <c r="H2234" s="15">
        <f>Tabla1[[#This Row],[Importe]]-Tabla1[[#This Row],[Pagado]]</f>
        <v>0</v>
      </c>
      <c r="I2234" s="275" t="s">
        <v>15214</v>
      </c>
    </row>
    <row r="2235" spans="1:9" x14ac:dyDescent="0.25">
      <c r="A2235" s="16">
        <v>42934</v>
      </c>
      <c r="B2235" s="273" t="s">
        <v>22117</v>
      </c>
      <c r="C2235">
        <v>120389</v>
      </c>
      <c r="D2235" s="236" t="s">
        <v>15856</v>
      </c>
      <c r="E2235" s="15">
        <v>1543.8</v>
      </c>
      <c r="F2235" s="274">
        <v>42934</v>
      </c>
      <c r="G2235" s="15">
        <v>1543.8</v>
      </c>
      <c r="H2235" s="15">
        <f>Tabla1[[#This Row],[Importe]]-Tabla1[[#This Row],[Pagado]]</f>
        <v>0</v>
      </c>
      <c r="I2235" s="275" t="s">
        <v>15214</v>
      </c>
    </row>
    <row r="2236" spans="1:9" x14ac:dyDescent="0.25">
      <c r="A2236" s="16">
        <v>42934</v>
      </c>
      <c r="B2236" s="273" t="s">
        <v>22118</v>
      </c>
      <c r="C2236">
        <v>120390</v>
      </c>
      <c r="D2236" s="236" t="s">
        <v>15523</v>
      </c>
      <c r="E2236" s="15">
        <v>5500</v>
      </c>
      <c r="F2236" s="274">
        <v>42934</v>
      </c>
      <c r="G2236" s="15">
        <v>5500</v>
      </c>
      <c r="H2236" s="15">
        <f>Tabla1[[#This Row],[Importe]]-Tabla1[[#This Row],[Pagado]]</f>
        <v>0</v>
      </c>
      <c r="I2236" s="275" t="s">
        <v>15214</v>
      </c>
    </row>
    <row r="2237" spans="1:9" x14ac:dyDescent="0.25">
      <c r="A2237" s="16">
        <v>42934</v>
      </c>
      <c r="B2237" s="273" t="s">
        <v>22119</v>
      </c>
      <c r="C2237">
        <v>120391</v>
      </c>
      <c r="D2237" s="236" t="s">
        <v>15334</v>
      </c>
      <c r="E2237" s="15">
        <v>1770</v>
      </c>
      <c r="F2237" s="274">
        <v>42934</v>
      </c>
      <c r="G2237" s="15">
        <v>1770</v>
      </c>
      <c r="H2237" s="15">
        <f>Tabla1[[#This Row],[Importe]]-Tabla1[[#This Row],[Pagado]]</f>
        <v>0</v>
      </c>
      <c r="I2237" s="275" t="s">
        <v>15214</v>
      </c>
    </row>
    <row r="2238" spans="1:9" x14ac:dyDescent="0.25">
      <c r="A2238" s="16">
        <v>42934</v>
      </c>
      <c r="B2238" s="273" t="s">
        <v>22120</v>
      </c>
      <c r="C2238">
        <v>120392</v>
      </c>
      <c r="D2238" s="236" t="s">
        <v>15378</v>
      </c>
      <c r="E2238" s="15">
        <v>2090</v>
      </c>
      <c r="F2238" s="274">
        <v>42934</v>
      </c>
      <c r="G2238" s="15">
        <v>2090</v>
      </c>
      <c r="H2238" s="15">
        <f>Tabla1[[#This Row],[Importe]]-Tabla1[[#This Row],[Pagado]]</f>
        <v>0</v>
      </c>
      <c r="I2238" s="275" t="s">
        <v>15214</v>
      </c>
    </row>
    <row r="2239" spans="1:9" x14ac:dyDescent="0.25">
      <c r="A2239" s="16">
        <v>42934</v>
      </c>
      <c r="B2239" s="273" t="s">
        <v>22121</v>
      </c>
      <c r="C2239">
        <v>120393</v>
      </c>
      <c r="D2239" s="236" t="s">
        <v>15526</v>
      </c>
      <c r="E2239" s="15">
        <v>4354.8</v>
      </c>
      <c r="F2239" s="274">
        <v>42934</v>
      </c>
      <c r="G2239" s="15">
        <v>4354.8</v>
      </c>
      <c r="H2239" s="15">
        <f>Tabla1[[#This Row],[Importe]]-Tabla1[[#This Row],[Pagado]]</f>
        <v>0</v>
      </c>
      <c r="I2239" s="275" t="s">
        <v>15214</v>
      </c>
    </row>
    <row r="2240" spans="1:9" x14ac:dyDescent="0.25">
      <c r="A2240" s="16">
        <v>42934</v>
      </c>
      <c r="B2240" s="273" t="s">
        <v>22122</v>
      </c>
      <c r="C2240">
        <v>120394</v>
      </c>
      <c r="D2240" s="236" t="s">
        <v>15592</v>
      </c>
      <c r="E2240" s="15">
        <v>3191.4</v>
      </c>
      <c r="F2240" s="274">
        <v>42934</v>
      </c>
      <c r="G2240" s="15">
        <v>3191.4</v>
      </c>
      <c r="H2240" s="15">
        <f>Tabla1[[#This Row],[Importe]]-Tabla1[[#This Row],[Pagado]]</f>
        <v>0</v>
      </c>
      <c r="I2240" s="275" t="s">
        <v>15214</v>
      </c>
    </row>
    <row r="2241" spans="1:9" x14ac:dyDescent="0.25">
      <c r="A2241" s="16">
        <v>42934</v>
      </c>
      <c r="B2241" s="273" t="s">
        <v>22123</v>
      </c>
      <c r="C2241">
        <v>120395</v>
      </c>
      <c r="D2241" s="236" t="s">
        <v>15315</v>
      </c>
      <c r="E2241" s="15">
        <v>2282.5</v>
      </c>
      <c r="F2241" s="274">
        <v>42934</v>
      </c>
      <c r="G2241" s="15">
        <v>2282.5</v>
      </c>
      <c r="H2241" s="15">
        <f>Tabla1[[#This Row],[Importe]]-Tabla1[[#This Row],[Pagado]]</f>
        <v>0</v>
      </c>
      <c r="I2241" s="275" t="s">
        <v>15214</v>
      </c>
    </row>
    <row r="2242" spans="1:9" x14ac:dyDescent="0.25">
      <c r="A2242" s="16">
        <v>42934</v>
      </c>
      <c r="B2242" s="273" t="s">
        <v>22124</v>
      </c>
      <c r="C2242">
        <v>120396</v>
      </c>
      <c r="D2242" s="236" t="s">
        <v>15344</v>
      </c>
      <c r="E2242" s="15">
        <v>2120.4</v>
      </c>
      <c r="F2242" s="274">
        <v>42934</v>
      </c>
      <c r="G2242" s="15">
        <v>2120.4</v>
      </c>
      <c r="H2242" s="15">
        <f>Tabla1[[#This Row],[Importe]]-Tabla1[[#This Row],[Pagado]]</f>
        <v>0</v>
      </c>
      <c r="I2242" s="275" t="s">
        <v>15214</v>
      </c>
    </row>
    <row r="2243" spans="1:9" x14ac:dyDescent="0.25">
      <c r="A2243" s="16">
        <v>42934</v>
      </c>
      <c r="B2243" s="273" t="s">
        <v>22125</v>
      </c>
      <c r="C2243">
        <v>120397</v>
      </c>
      <c r="D2243" s="236" t="s">
        <v>15594</v>
      </c>
      <c r="E2243" s="15">
        <v>2220.4</v>
      </c>
      <c r="F2243" s="274">
        <v>42934</v>
      </c>
      <c r="G2243" s="15">
        <v>2220.4</v>
      </c>
      <c r="H2243" s="15">
        <f>Tabla1[[#This Row],[Importe]]-Tabla1[[#This Row],[Pagado]]</f>
        <v>0</v>
      </c>
      <c r="I2243" s="275" t="s">
        <v>15214</v>
      </c>
    </row>
    <row r="2244" spans="1:9" x14ac:dyDescent="0.25">
      <c r="A2244" s="16">
        <v>42934</v>
      </c>
      <c r="B2244" s="273" t="s">
        <v>22126</v>
      </c>
      <c r="C2244">
        <v>120398</v>
      </c>
      <c r="D2244" s="236" t="s">
        <v>15358</v>
      </c>
      <c r="E2244" s="15">
        <v>1814.4</v>
      </c>
      <c r="F2244" s="274">
        <v>42934</v>
      </c>
      <c r="G2244" s="15">
        <v>1814.4</v>
      </c>
      <c r="H2244" s="15">
        <f>Tabla1[[#This Row],[Importe]]-Tabla1[[#This Row],[Pagado]]</f>
        <v>0</v>
      </c>
      <c r="I2244" s="275" t="s">
        <v>15214</v>
      </c>
    </row>
    <row r="2245" spans="1:9" x14ac:dyDescent="0.25">
      <c r="A2245" s="16">
        <v>42934</v>
      </c>
      <c r="B2245" s="273" t="s">
        <v>22127</v>
      </c>
      <c r="C2245">
        <v>120399</v>
      </c>
      <c r="D2245" s="236" t="s">
        <v>15742</v>
      </c>
      <c r="E2245" s="15">
        <v>2346.4</v>
      </c>
      <c r="F2245" s="274">
        <v>42934</v>
      </c>
      <c r="G2245" s="15">
        <v>2346.4</v>
      </c>
      <c r="H2245" s="15">
        <f>Tabla1[[#This Row],[Importe]]-Tabla1[[#This Row],[Pagado]]</f>
        <v>0</v>
      </c>
      <c r="I2245" s="275" t="s">
        <v>15214</v>
      </c>
    </row>
    <row r="2246" spans="1:9" x14ac:dyDescent="0.25">
      <c r="A2246" s="16">
        <v>42934</v>
      </c>
      <c r="B2246" s="273" t="s">
        <v>22128</v>
      </c>
      <c r="C2246">
        <v>120400</v>
      </c>
      <c r="D2246" s="236" t="s">
        <v>15716</v>
      </c>
      <c r="E2246" s="15">
        <v>10309.200000000001</v>
      </c>
      <c r="F2246" s="274">
        <v>42934</v>
      </c>
      <c r="G2246" s="15">
        <v>10309.200000000001</v>
      </c>
      <c r="H2246" s="15">
        <f>Tabla1[[#This Row],[Importe]]-Tabla1[[#This Row],[Pagado]]</f>
        <v>0</v>
      </c>
      <c r="I2246" s="275" t="s">
        <v>15214</v>
      </c>
    </row>
    <row r="2247" spans="1:9" x14ac:dyDescent="0.25">
      <c r="A2247" s="16">
        <v>42934</v>
      </c>
      <c r="B2247" s="273" t="s">
        <v>22129</v>
      </c>
      <c r="C2247">
        <v>120401</v>
      </c>
      <c r="D2247" s="236" t="s">
        <v>15398</v>
      </c>
      <c r="E2247" s="15">
        <v>3472.95</v>
      </c>
      <c r="F2247" s="274">
        <v>42934</v>
      </c>
      <c r="G2247" s="15">
        <v>3472.95</v>
      </c>
      <c r="H2247" s="15">
        <f>Tabla1[[#This Row],[Importe]]-Tabla1[[#This Row],[Pagado]]</f>
        <v>0</v>
      </c>
      <c r="I2247" s="275" t="s">
        <v>15214</v>
      </c>
    </row>
    <row r="2248" spans="1:9" x14ac:dyDescent="0.25">
      <c r="A2248" s="16">
        <v>42934</v>
      </c>
      <c r="B2248" s="273" t="s">
        <v>22130</v>
      </c>
      <c r="C2248">
        <v>120402</v>
      </c>
      <c r="D2248" s="236" t="s">
        <v>15328</v>
      </c>
      <c r="E2248" s="15">
        <v>57265.3</v>
      </c>
      <c r="F2248" s="274">
        <v>42945</v>
      </c>
      <c r="G2248" s="15">
        <v>57265.3</v>
      </c>
      <c r="H2248" s="15">
        <f>Tabla1[[#This Row],[Importe]]-Tabla1[[#This Row],[Pagado]]</f>
        <v>0</v>
      </c>
      <c r="I2248" s="275" t="s">
        <v>15214</v>
      </c>
    </row>
    <row r="2249" spans="1:9" x14ac:dyDescent="0.25">
      <c r="A2249" s="16">
        <v>42934</v>
      </c>
      <c r="B2249" s="273" t="s">
        <v>22131</v>
      </c>
      <c r="C2249">
        <v>120403</v>
      </c>
      <c r="D2249" s="236" t="s">
        <v>15361</v>
      </c>
      <c r="E2249" s="15">
        <v>4309.2</v>
      </c>
      <c r="F2249" s="274">
        <v>42934</v>
      </c>
      <c r="G2249" s="15">
        <v>4309.2</v>
      </c>
      <c r="H2249" s="15">
        <f>Tabla1[[#This Row],[Importe]]-Tabla1[[#This Row],[Pagado]]</f>
        <v>0</v>
      </c>
      <c r="I2249" s="275" t="s">
        <v>15214</v>
      </c>
    </row>
    <row r="2250" spans="1:9" x14ac:dyDescent="0.25">
      <c r="A2250" s="16">
        <v>42934</v>
      </c>
      <c r="B2250" s="273" t="s">
        <v>22132</v>
      </c>
      <c r="C2250">
        <v>120404</v>
      </c>
      <c r="D2250" s="236" t="s">
        <v>15391</v>
      </c>
      <c r="E2250" s="15">
        <v>9651.6</v>
      </c>
      <c r="F2250" s="274">
        <v>42935</v>
      </c>
      <c r="G2250" s="15">
        <v>9651.6</v>
      </c>
      <c r="H2250" s="15">
        <f>Tabla1[[#This Row],[Importe]]-Tabla1[[#This Row],[Pagado]]</f>
        <v>0</v>
      </c>
      <c r="I2250" s="275" t="s">
        <v>15214</v>
      </c>
    </row>
    <row r="2251" spans="1:9" x14ac:dyDescent="0.25">
      <c r="A2251" s="16">
        <v>42934</v>
      </c>
      <c r="B2251" s="273" t="s">
        <v>22133</v>
      </c>
      <c r="C2251">
        <v>120405</v>
      </c>
      <c r="D2251" s="236" t="s">
        <v>15581</v>
      </c>
      <c r="E2251" s="15">
        <v>9958</v>
      </c>
      <c r="F2251" s="274">
        <v>42941</v>
      </c>
      <c r="G2251" s="15">
        <v>9958</v>
      </c>
      <c r="H2251" s="15">
        <f>Tabla1[[#This Row],[Importe]]-Tabla1[[#This Row],[Pagado]]</f>
        <v>0</v>
      </c>
      <c r="I2251" s="275" t="s">
        <v>15214</v>
      </c>
    </row>
    <row r="2252" spans="1:9" x14ac:dyDescent="0.25">
      <c r="A2252" s="16">
        <v>42934</v>
      </c>
      <c r="B2252" s="273" t="s">
        <v>22134</v>
      </c>
      <c r="C2252">
        <v>120406</v>
      </c>
      <c r="D2252" s="236" t="s">
        <v>15396</v>
      </c>
      <c r="E2252" s="15">
        <v>4844.7</v>
      </c>
      <c r="F2252" s="274">
        <v>42934</v>
      </c>
      <c r="G2252" s="15">
        <v>4844.7</v>
      </c>
      <c r="H2252" s="15">
        <f>Tabla1[[#This Row],[Importe]]-Tabla1[[#This Row],[Pagado]]</f>
        <v>0</v>
      </c>
      <c r="I2252" s="275" t="s">
        <v>15214</v>
      </c>
    </row>
    <row r="2253" spans="1:9" x14ac:dyDescent="0.25">
      <c r="A2253" s="16">
        <v>42934</v>
      </c>
      <c r="B2253" s="273" t="s">
        <v>22135</v>
      </c>
      <c r="C2253">
        <v>120407</v>
      </c>
      <c r="D2253" s="236" t="s">
        <v>15568</v>
      </c>
      <c r="E2253" s="15">
        <v>8783.9</v>
      </c>
      <c r="F2253" s="274">
        <v>42934</v>
      </c>
      <c r="G2253" s="15">
        <v>8783.9</v>
      </c>
      <c r="H2253" s="15">
        <f>Tabla1[[#This Row],[Importe]]-Tabla1[[#This Row],[Pagado]]</f>
        <v>0</v>
      </c>
      <c r="I2253" s="275" t="s">
        <v>15214</v>
      </c>
    </row>
    <row r="2254" spans="1:9" x14ac:dyDescent="0.25">
      <c r="A2254" s="16">
        <v>42934</v>
      </c>
      <c r="B2254" s="273" t="s">
        <v>22136</v>
      </c>
      <c r="C2254">
        <v>120408</v>
      </c>
      <c r="D2254" s="236" t="s">
        <v>15537</v>
      </c>
      <c r="E2254" s="15">
        <v>18803.900000000001</v>
      </c>
      <c r="F2254" s="274">
        <v>42938</v>
      </c>
      <c r="G2254" s="15">
        <v>18803.900000000001</v>
      </c>
      <c r="H2254" s="15">
        <f>Tabla1[[#This Row],[Importe]]-Tabla1[[#This Row],[Pagado]]</f>
        <v>0</v>
      </c>
      <c r="I2254" s="275" t="s">
        <v>15214</v>
      </c>
    </row>
    <row r="2255" spans="1:9" x14ac:dyDescent="0.25">
      <c r="A2255" s="16">
        <v>42934</v>
      </c>
      <c r="B2255" s="273" t="s">
        <v>22137</v>
      </c>
      <c r="C2255">
        <v>120409</v>
      </c>
      <c r="D2255" s="236" t="s">
        <v>15539</v>
      </c>
      <c r="E2255" s="15">
        <v>17337.599999999999</v>
      </c>
      <c r="F2255" s="274">
        <v>42938</v>
      </c>
      <c r="G2255" s="15">
        <v>17337.599999999999</v>
      </c>
      <c r="H2255" s="15">
        <f>Tabla1[[#This Row],[Importe]]-Tabla1[[#This Row],[Pagado]]</f>
        <v>0</v>
      </c>
      <c r="I2255" s="275" t="s">
        <v>15214</v>
      </c>
    </row>
    <row r="2256" spans="1:9" x14ac:dyDescent="0.25">
      <c r="A2256" s="16">
        <v>42934</v>
      </c>
      <c r="B2256" s="273" t="s">
        <v>22138</v>
      </c>
      <c r="C2256">
        <v>120410</v>
      </c>
      <c r="D2256" s="236" t="s">
        <v>15665</v>
      </c>
      <c r="E2256" s="15">
        <v>252.4</v>
      </c>
      <c r="F2256" s="274">
        <v>42934</v>
      </c>
      <c r="G2256" s="15">
        <v>252.4</v>
      </c>
      <c r="H2256" s="15">
        <f>Tabla1[[#This Row],[Importe]]-Tabla1[[#This Row],[Pagado]]</f>
        <v>0</v>
      </c>
      <c r="I2256" s="275" t="s">
        <v>15214</v>
      </c>
    </row>
    <row r="2257" spans="1:9" x14ac:dyDescent="0.25">
      <c r="A2257" s="16">
        <v>42934</v>
      </c>
      <c r="B2257" s="273" t="s">
        <v>22139</v>
      </c>
      <c r="C2257">
        <v>120411</v>
      </c>
      <c r="D2257" s="236" t="s">
        <v>15555</v>
      </c>
      <c r="E2257" s="15">
        <v>843.6</v>
      </c>
      <c r="F2257" s="274">
        <v>42935</v>
      </c>
      <c r="G2257" s="15">
        <v>843.6</v>
      </c>
      <c r="H2257" s="15">
        <f>Tabla1[[#This Row],[Importe]]-Tabla1[[#This Row],[Pagado]]</f>
        <v>0</v>
      </c>
      <c r="I2257" s="275" t="s">
        <v>15214</v>
      </c>
    </row>
    <row r="2258" spans="1:9" x14ac:dyDescent="0.25">
      <c r="A2258" s="16">
        <v>42934</v>
      </c>
      <c r="B2258" s="273" t="s">
        <v>22140</v>
      </c>
      <c r="C2258">
        <v>120412</v>
      </c>
      <c r="D2258" s="236" t="s">
        <v>15315</v>
      </c>
      <c r="E2258" s="15">
        <v>3849.9</v>
      </c>
      <c r="F2258" s="274">
        <v>42950</v>
      </c>
      <c r="G2258" s="15">
        <v>3849.9</v>
      </c>
      <c r="H2258" s="15">
        <f>Tabla1[[#This Row],[Importe]]-Tabla1[[#This Row],[Pagado]]</f>
        <v>0</v>
      </c>
      <c r="I2258" s="275" t="s">
        <v>15214</v>
      </c>
    </row>
    <row r="2259" spans="1:9" x14ac:dyDescent="0.25">
      <c r="A2259" s="16">
        <v>42934</v>
      </c>
      <c r="B2259" s="273" t="s">
        <v>22141</v>
      </c>
      <c r="C2259">
        <v>120413</v>
      </c>
      <c r="D2259" s="236" t="s">
        <v>15315</v>
      </c>
      <c r="E2259" s="15">
        <v>2091.9</v>
      </c>
      <c r="F2259" s="274">
        <v>42938</v>
      </c>
      <c r="G2259" s="15">
        <v>2091.9</v>
      </c>
      <c r="H2259" s="15">
        <f>Tabla1[[#This Row],[Importe]]-Tabla1[[#This Row],[Pagado]]</f>
        <v>0</v>
      </c>
      <c r="I2259" s="275" t="s">
        <v>15214</v>
      </c>
    </row>
    <row r="2260" spans="1:9" x14ac:dyDescent="0.25">
      <c r="A2260" s="16">
        <v>42934</v>
      </c>
      <c r="B2260" s="273" t="s">
        <v>22142</v>
      </c>
      <c r="C2260">
        <v>120414</v>
      </c>
      <c r="D2260" s="236" t="s">
        <v>15315</v>
      </c>
      <c r="E2260" s="15">
        <v>1603.1</v>
      </c>
      <c r="F2260" s="274">
        <v>42944</v>
      </c>
      <c r="G2260" s="15">
        <v>1603.1</v>
      </c>
      <c r="H2260" s="15">
        <f>Tabla1[[#This Row],[Importe]]-Tabla1[[#This Row],[Pagado]]</f>
        <v>0</v>
      </c>
      <c r="I2260" s="275" t="s">
        <v>15214</v>
      </c>
    </row>
    <row r="2261" spans="1:9" ht="15.75" x14ac:dyDescent="0.25">
      <c r="A2261" s="16">
        <v>42934</v>
      </c>
      <c r="B2261" s="273" t="s">
        <v>22143</v>
      </c>
      <c r="C2261">
        <v>120415</v>
      </c>
      <c r="D2261" s="248" t="s">
        <v>95</v>
      </c>
      <c r="E2261" s="15">
        <v>0</v>
      </c>
      <c r="F2261" s="277" t="s">
        <v>95</v>
      </c>
      <c r="G2261" s="15">
        <v>0</v>
      </c>
      <c r="H2261" s="15">
        <f>Tabla1[[#This Row],[Importe]]-Tabla1[[#This Row],[Pagado]]</f>
        <v>0</v>
      </c>
      <c r="I2261" s="275" t="s">
        <v>95</v>
      </c>
    </row>
    <row r="2262" spans="1:9" x14ac:dyDescent="0.25">
      <c r="A2262" s="16">
        <v>42934</v>
      </c>
      <c r="B2262" s="273" t="s">
        <v>22144</v>
      </c>
      <c r="C2262">
        <v>120416</v>
      </c>
      <c r="D2262" s="236" t="s">
        <v>15282</v>
      </c>
      <c r="E2262" s="15">
        <v>2464</v>
      </c>
      <c r="F2262" s="274">
        <v>42934</v>
      </c>
      <c r="G2262" s="15">
        <v>2464</v>
      </c>
      <c r="H2262" s="15">
        <f>Tabla1[[#This Row],[Importe]]-Tabla1[[#This Row],[Pagado]]</f>
        <v>0</v>
      </c>
      <c r="I2262" s="275" t="s">
        <v>15214</v>
      </c>
    </row>
    <row r="2263" spans="1:9" ht="15.75" x14ac:dyDescent="0.25">
      <c r="A2263" s="16">
        <v>42934</v>
      </c>
      <c r="B2263" s="273" t="s">
        <v>22145</v>
      </c>
      <c r="C2263">
        <v>120417</v>
      </c>
      <c r="D2263" s="248" t="s">
        <v>95</v>
      </c>
      <c r="E2263" s="15">
        <v>0</v>
      </c>
      <c r="F2263" s="277" t="s">
        <v>95</v>
      </c>
      <c r="G2263" s="15">
        <v>0</v>
      </c>
      <c r="H2263" s="15">
        <f>Tabla1[[#This Row],[Importe]]-Tabla1[[#This Row],[Pagado]]</f>
        <v>0</v>
      </c>
      <c r="I2263" s="275" t="s">
        <v>95</v>
      </c>
    </row>
    <row r="2264" spans="1:9" ht="15.75" x14ac:dyDescent="0.25">
      <c r="A2264" s="16">
        <v>42934</v>
      </c>
      <c r="B2264" s="273" t="s">
        <v>22146</v>
      </c>
      <c r="C2264">
        <v>120418</v>
      </c>
      <c r="D2264" s="248" t="s">
        <v>95</v>
      </c>
      <c r="E2264" s="15">
        <v>0</v>
      </c>
      <c r="F2264" s="277" t="s">
        <v>95</v>
      </c>
      <c r="G2264" s="15">
        <v>0</v>
      </c>
      <c r="H2264" s="15">
        <f>Tabla1[[#This Row],[Importe]]-Tabla1[[#This Row],[Pagado]]</f>
        <v>0</v>
      </c>
      <c r="I2264" s="275" t="s">
        <v>95</v>
      </c>
    </row>
    <row r="2265" spans="1:9" x14ac:dyDescent="0.25">
      <c r="A2265" s="16">
        <v>42934</v>
      </c>
      <c r="B2265" s="273" t="s">
        <v>22147</v>
      </c>
      <c r="C2265">
        <v>120419</v>
      </c>
      <c r="D2265" s="236" t="s">
        <v>17722</v>
      </c>
      <c r="E2265" s="15">
        <v>3299.4</v>
      </c>
      <c r="F2265" s="274">
        <v>42934</v>
      </c>
      <c r="G2265" s="15">
        <v>3299.4</v>
      </c>
      <c r="H2265" s="15">
        <f>Tabla1[[#This Row],[Importe]]-Tabla1[[#This Row],[Pagado]]</f>
        <v>0</v>
      </c>
      <c r="I2265" s="275" t="s">
        <v>15214</v>
      </c>
    </row>
    <row r="2266" spans="1:9" x14ac:dyDescent="0.25">
      <c r="A2266" s="16">
        <v>42934</v>
      </c>
      <c r="B2266" s="273" t="s">
        <v>22148</v>
      </c>
      <c r="C2266">
        <v>120420</v>
      </c>
      <c r="D2266" s="236" t="s">
        <v>15246</v>
      </c>
      <c r="E2266" s="15">
        <v>5622.4</v>
      </c>
      <c r="F2266" s="274">
        <v>42942</v>
      </c>
      <c r="G2266" s="15">
        <v>5622.4</v>
      </c>
      <c r="H2266" s="15">
        <f>Tabla1[[#This Row],[Importe]]-Tabla1[[#This Row],[Pagado]]</f>
        <v>0</v>
      </c>
      <c r="I2266" s="275" t="s">
        <v>15214</v>
      </c>
    </row>
    <row r="2267" spans="1:9" x14ac:dyDescent="0.25">
      <c r="A2267" s="16">
        <v>42934</v>
      </c>
      <c r="B2267" s="273" t="s">
        <v>22149</v>
      </c>
      <c r="C2267">
        <v>120421</v>
      </c>
      <c r="D2267" s="236" t="s">
        <v>15298</v>
      </c>
      <c r="E2267" s="15">
        <v>3176.7</v>
      </c>
      <c r="F2267" s="274">
        <v>42934</v>
      </c>
      <c r="G2267" s="15">
        <v>3176.7</v>
      </c>
      <c r="H2267" s="15">
        <f>Tabla1[[#This Row],[Importe]]-Tabla1[[#This Row],[Pagado]]</f>
        <v>0</v>
      </c>
      <c r="I2267" s="275" t="s">
        <v>15214</v>
      </c>
    </row>
    <row r="2268" spans="1:9" x14ac:dyDescent="0.25">
      <c r="A2268" s="16">
        <v>42934</v>
      </c>
      <c r="B2268" s="273" t="s">
        <v>22150</v>
      </c>
      <c r="C2268">
        <v>120422</v>
      </c>
      <c r="D2268" s="236" t="s">
        <v>15284</v>
      </c>
      <c r="E2268" s="15">
        <v>1359.2</v>
      </c>
      <c r="F2268" s="274">
        <v>42934</v>
      </c>
      <c r="G2268" s="15">
        <v>1359.2</v>
      </c>
      <c r="H2268" s="15">
        <f>Tabla1[[#This Row],[Importe]]-Tabla1[[#This Row],[Pagado]]</f>
        <v>0</v>
      </c>
      <c r="I2268" s="275" t="s">
        <v>15214</v>
      </c>
    </row>
    <row r="2269" spans="1:9" x14ac:dyDescent="0.25">
      <c r="A2269" s="16">
        <v>42934</v>
      </c>
      <c r="B2269" s="273" t="s">
        <v>22151</v>
      </c>
      <c r="C2269">
        <v>120423</v>
      </c>
      <c r="D2269" s="236" t="s">
        <v>15315</v>
      </c>
      <c r="E2269" s="15">
        <v>2319</v>
      </c>
      <c r="F2269" s="274">
        <v>42934</v>
      </c>
      <c r="G2269" s="15">
        <v>2319</v>
      </c>
      <c r="H2269" s="15">
        <f>Tabla1[[#This Row],[Importe]]-Tabla1[[#This Row],[Pagado]]</f>
        <v>0</v>
      </c>
      <c r="I2269" s="275" t="s">
        <v>15214</v>
      </c>
    </row>
    <row r="2270" spans="1:9" x14ac:dyDescent="0.25">
      <c r="A2270" s="16">
        <v>42934</v>
      </c>
      <c r="B2270" s="273" t="s">
        <v>22152</v>
      </c>
      <c r="C2270">
        <v>120424</v>
      </c>
      <c r="D2270" s="236" t="s">
        <v>19768</v>
      </c>
      <c r="E2270" s="15">
        <v>1650</v>
      </c>
      <c r="F2270" s="274">
        <v>42934</v>
      </c>
      <c r="G2270" s="15">
        <v>1650</v>
      </c>
      <c r="H2270" s="15">
        <f>Tabla1[[#This Row],[Importe]]-Tabla1[[#This Row],[Pagado]]</f>
        <v>0</v>
      </c>
      <c r="I2270" s="275" t="s">
        <v>15214</v>
      </c>
    </row>
    <row r="2271" spans="1:9" x14ac:dyDescent="0.25">
      <c r="A2271" s="16">
        <v>42934</v>
      </c>
      <c r="B2271" s="273" t="s">
        <v>22153</v>
      </c>
      <c r="C2271">
        <v>120425</v>
      </c>
      <c r="D2271" s="236" t="s">
        <v>15324</v>
      </c>
      <c r="E2271" s="15">
        <v>3885</v>
      </c>
      <c r="F2271" s="274">
        <v>42934</v>
      </c>
      <c r="G2271" s="15">
        <v>3885</v>
      </c>
      <c r="H2271" s="15">
        <f>Tabla1[[#This Row],[Importe]]-Tabla1[[#This Row],[Pagado]]</f>
        <v>0</v>
      </c>
      <c r="I2271" s="275" t="s">
        <v>15214</v>
      </c>
    </row>
    <row r="2272" spans="1:9" x14ac:dyDescent="0.25">
      <c r="A2272" s="16">
        <v>42934</v>
      </c>
      <c r="B2272" s="273" t="s">
        <v>22154</v>
      </c>
      <c r="C2272">
        <v>120426</v>
      </c>
      <c r="D2272" s="236" t="s">
        <v>15213</v>
      </c>
      <c r="E2272" s="15">
        <v>7295.2</v>
      </c>
      <c r="F2272" s="274">
        <v>42935</v>
      </c>
      <c r="G2272" s="15">
        <v>7295.2</v>
      </c>
      <c r="H2272" s="15">
        <f>Tabla1[[#This Row],[Importe]]-Tabla1[[#This Row],[Pagado]]</f>
        <v>0</v>
      </c>
      <c r="I2272" s="275" t="s">
        <v>15214</v>
      </c>
    </row>
    <row r="2273" spans="1:9" x14ac:dyDescent="0.25">
      <c r="A2273" s="16">
        <v>42934</v>
      </c>
      <c r="B2273" s="273" t="s">
        <v>22155</v>
      </c>
      <c r="C2273">
        <v>120427</v>
      </c>
      <c r="D2273" s="236" t="s">
        <v>15421</v>
      </c>
      <c r="E2273" s="15">
        <v>1326</v>
      </c>
      <c r="F2273" s="274">
        <v>42934</v>
      </c>
      <c r="G2273" s="15">
        <v>1326</v>
      </c>
      <c r="H2273" s="15">
        <f>Tabla1[[#This Row],[Importe]]-Tabla1[[#This Row],[Pagado]]</f>
        <v>0</v>
      </c>
      <c r="I2273" s="275" t="s">
        <v>15214</v>
      </c>
    </row>
    <row r="2274" spans="1:9" ht="30" x14ac:dyDescent="0.25">
      <c r="A2274" s="16">
        <v>42934</v>
      </c>
      <c r="B2274" s="273" t="s">
        <v>22156</v>
      </c>
      <c r="C2274">
        <v>120428</v>
      </c>
      <c r="D2274" s="236" t="s">
        <v>15246</v>
      </c>
      <c r="E2274" s="15">
        <v>243264.38</v>
      </c>
      <c r="F2274" s="274" t="s">
        <v>22157</v>
      </c>
      <c r="G2274" s="241">
        <f>86517.31+156747.07</f>
        <v>243264.38</v>
      </c>
      <c r="H2274" s="241">
        <f>Tabla1[[#This Row],[Importe]]-Tabla1[[#This Row],[Pagado]]</f>
        <v>0</v>
      </c>
      <c r="I2274" s="275" t="s">
        <v>15214</v>
      </c>
    </row>
    <row r="2275" spans="1:9" ht="30" x14ac:dyDescent="0.25">
      <c r="A2275" s="16">
        <v>42934</v>
      </c>
      <c r="B2275" s="273" t="s">
        <v>22158</v>
      </c>
      <c r="C2275">
        <v>120429</v>
      </c>
      <c r="D2275" s="236" t="s">
        <v>19776</v>
      </c>
      <c r="E2275" s="15">
        <v>35100</v>
      </c>
      <c r="F2275" s="274" t="s">
        <v>21712</v>
      </c>
      <c r="G2275" s="241">
        <f>33000+2100</f>
        <v>35100</v>
      </c>
      <c r="H2275" s="241">
        <f>Tabla1[[#This Row],[Importe]]-Tabla1[[#This Row],[Pagado]]</f>
        <v>0</v>
      </c>
      <c r="I2275" s="275" t="s">
        <v>15214</v>
      </c>
    </row>
    <row r="2276" spans="1:9" x14ac:dyDescent="0.25">
      <c r="A2276" s="16">
        <v>42934</v>
      </c>
      <c r="B2276" s="273" t="s">
        <v>22159</v>
      </c>
      <c r="C2276">
        <v>120430</v>
      </c>
      <c r="D2276" s="236" t="s">
        <v>15433</v>
      </c>
      <c r="E2276" s="15">
        <v>1278.8</v>
      </c>
      <c r="F2276" s="274">
        <v>42934</v>
      </c>
      <c r="G2276" s="15">
        <v>1278.8</v>
      </c>
      <c r="H2276" s="15">
        <f>Tabla1[[#This Row],[Importe]]-Tabla1[[#This Row],[Pagado]]</f>
        <v>0</v>
      </c>
      <c r="I2276" s="275" t="s">
        <v>15214</v>
      </c>
    </row>
    <row r="2277" spans="1:9" x14ac:dyDescent="0.25">
      <c r="A2277" s="16">
        <v>42934</v>
      </c>
      <c r="B2277" s="273" t="s">
        <v>22160</v>
      </c>
      <c r="C2277">
        <v>120431</v>
      </c>
      <c r="D2277" s="236" t="s">
        <v>15322</v>
      </c>
      <c r="E2277" s="15">
        <v>938.4</v>
      </c>
      <c r="F2277" s="274">
        <v>42934</v>
      </c>
      <c r="G2277" s="15">
        <v>938.4</v>
      </c>
      <c r="H2277" s="15">
        <f>Tabla1[[#This Row],[Importe]]-Tabla1[[#This Row],[Pagado]]</f>
        <v>0</v>
      </c>
      <c r="I2277" s="275" t="s">
        <v>15214</v>
      </c>
    </row>
    <row r="2278" spans="1:9" x14ac:dyDescent="0.25">
      <c r="A2278" s="16">
        <v>42934</v>
      </c>
      <c r="B2278" s="273" t="s">
        <v>22161</v>
      </c>
      <c r="C2278">
        <v>120432</v>
      </c>
      <c r="D2278" s="236" t="s">
        <v>15276</v>
      </c>
      <c r="E2278" s="15">
        <v>2750</v>
      </c>
      <c r="F2278" s="274">
        <v>42935</v>
      </c>
      <c r="G2278" s="15">
        <v>2750</v>
      </c>
      <c r="H2278" s="15">
        <f>Tabla1[[#This Row],[Importe]]-Tabla1[[#This Row],[Pagado]]</f>
        <v>0</v>
      </c>
      <c r="I2278" s="275" t="s">
        <v>15214</v>
      </c>
    </row>
    <row r="2279" spans="1:9" x14ac:dyDescent="0.25">
      <c r="A2279" s="16">
        <v>42934</v>
      </c>
      <c r="B2279" s="273" t="s">
        <v>22162</v>
      </c>
      <c r="C2279">
        <v>120433</v>
      </c>
      <c r="D2279" s="236" t="s">
        <v>15423</v>
      </c>
      <c r="E2279" s="15">
        <v>3180.8</v>
      </c>
      <c r="F2279" s="274">
        <v>42934</v>
      </c>
      <c r="G2279" s="15">
        <v>3180.8</v>
      </c>
      <c r="H2279" s="15">
        <f>Tabla1[[#This Row],[Importe]]-Tabla1[[#This Row],[Pagado]]</f>
        <v>0</v>
      </c>
      <c r="I2279" s="275" t="s">
        <v>15214</v>
      </c>
    </row>
    <row r="2280" spans="1:9" x14ac:dyDescent="0.25">
      <c r="A2280" s="16">
        <v>42934</v>
      </c>
      <c r="B2280" s="273" t="s">
        <v>22163</v>
      </c>
      <c r="C2280">
        <v>120434</v>
      </c>
      <c r="D2280" s="236" t="s">
        <v>15246</v>
      </c>
      <c r="E2280" s="15">
        <v>145682.23999999999</v>
      </c>
      <c r="F2280" s="274">
        <v>42938</v>
      </c>
      <c r="G2280" s="15">
        <v>145682.23999999999</v>
      </c>
      <c r="H2280" s="15">
        <f>Tabla1[[#This Row],[Importe]]-Tabla1[[#This Row],[Pagado]]</f>
        <v>0</v>
      </c>
      <c r="I2280" s="275" t="s">
        <v>15214</v>
      </c>
    </row>
    <row r="2281" spans="1:9" x14ac:dyDescent="0.25">
      <c r="A2281" s="16">
        <v>42934</v>
      </c>
      <c r="B2281" s="273" t="s">
        <v>22164</v>
      </c>
      <c r="C2281">
        <v>120435</v>
      </c>
      <c r="D2281" s="236" t="s">
        <v>15246</v>
      </c>
      <c r="E2281" s="15">
        <v>39793.199999999997</v>
      </c>
      <c r="F2281" s="274">
        <v>42938</v>
      </c>
      <c r="G2281" s="15">
        <v>39793.199999999997</v>
      </c>
      <c r="H2281" s="15">
        <f>Tabla1[[#This Row],[Importe]]-Tabla1[[#This Row],[Pagado]]</f>
        <v>0</v>
      </c>
      <c r="I2281" s="275" t="s">
        <v>15214</v>
      </c>
    </row>
    <row r="2282" spans="1:9" x14ac:dyDescent="0.25">
      <c r="A2282" s="16">
        <v>42934</v>
      </c>
      <c r="B2282" s="273" t="s">
        <v>22165</v>
      </c>
      <c r="C2282">
        <v>120436</v>
      </c>
      <c r="D2282" s="236" t="s">
        <v>15417</v>
      </c>
      <c r="E2282" s="15">
        <v>2165.4</v>
      </c>
      <c r="F2282" s="274">
        <v>42935</v>
      </c>
      <c r="G2282" s="15">
        <v>2165.4</v>
      </c>
      <c r="H2282" s="15">
        <f>Tabla1[[#This Row],[Importe]]-Tabla1[[#This Row],[Pagado]]</f>
        <v>0</v>
      </c>
      <c r="I2282" s="275" t="s">
        <v>15214</v>
      </c>
    </row>
    <row r="2283" spans="1:9" x14ac:dyDescent="0.25">
      <c r="A2283" s="16">
        <v>42934</v>
      </c>
      <c r="B2283" s="273" t="s">
        <v>22166</v>
      </c>
      <c r="C2283">
        <v>120437</v>
      </c>
      <c r="D2283" s="236" t="s">
        <v>15315</v>
      </c>
      <c r="E2283" s="15">
        <v>440</v>
      </c>
      <c r="F2283" s="274">
        <v>42934</v>
      </c>
      <c r="G2283" s="15">
        <v>440</v>
      </c>
      <c r="H2283" s="15">
        <f>Tabla1[[#This Row],[Importe]]-Tabla1[[#This Row],[Pagado]]</f>
        <v>0</v>
      </c>
      <c r="I2283" s="275" t="s">
        <v>15214</v>
      </c>
    </row>
    <row r="2284" spans="1:9" x14ac:dyDescent="0.25">
      <c r="A2284" s="16">
        <v>42934</v>
      </c>
      <c r="B2284" s="273" t="s">
        <v>22167</v>
      </c>
      <c r="C2284">
        <v>120438</v>
      </c>
      <c r="D2284" s="236" t="s">
        <v>15223</v>
      </c>
      <c r="E2284" s="15">
        <v>5064.6000000000004</v>
      </c>
      <c r="F2284" s="274">
        <v>42960</v>
      </c>
      <c r="G2284" s="15">
        <v>5064.6000000000004</v>
      </c>
      <c r="H2284" s="15">
        <f>Tabla1[[#This Row],[Importe]]-Tabla1[[#This Row],[Pagado]]</f>
        <v>0</v>
      </c>
      <c r="I2284" s="275" t="s">
        <v>15214</v>
      </c>
    </row>
    <row r="2285" spans="1:9" x14ac:dyDescent="0.25">
      <c r="A2285" s="16">
        <v>42934</v>
      </c>
      <c r="B2285" s="273" t="s">
        <v>22168</v>
      </c>
      <c r="C2285">
        <v>120439</v>
      </c>
      <c r="D2285" s="236" t="s">
        <v>15444</v>
      </c>
      <c r="E2285" s="15">
        <v>2203.1999999999998</v>
      </c>
      <c r="F2285" s="274">
        <v>42935</v>
      </c>
      <c r="G2285" s="15">
        <v>2203.1999999999998</v>
      </c>
      <c r="H2285" s="15">
        <f>Tabla1[[#This Row],[Importe]]-Tabla1[[#This Row],[Pagado]]</f>
        <v>0</v>
      </c>
      <c r="I2285" s="275" t="s">
        <v>15214</v>
      </c>
    </row>
    <row r="2286" spans="1:9" x14ac:dyDescent="0.25">
      <c r="A2286" s="16">
        <v>42934</v>
      </c>
      <c r="B2286" s="273" t="s">
        <v>22169</v>
      </c>
      <c r="C2286">
        <v>120440</v>
      </c>
      <c r="D2286" s="236" t="s">
        <v>15728</v>
      </c>
      <c r="E2286" s="15">
        <v>15276.6</v>
      </c>
      <c r="F2286" s="274">
        <v>42934</v>
      </c>
      <c r="G2286" s="15">
        <v>15276.6</v>
      </c>
      <c r="H2286" s="15">
        <f>Tabla1[[#This Row],[Importe]]-Tabla1[[#This Row],[Pagado]]</f>
        <v>0</v>
      </c>
      <c r="I2286" s="275" t="s">
        <v>15214</v>
      </c>
    </row>
    <row r="2287" spans="1:9" x14ac:dyDescent="0.25">
      <c r="A2287" s="16">
        <v>42934</v>
      </c>
      <c r="B2287" s="273" t="s">
        <v>22170</v>
      </c>
      <c r="C2287">
        <v>120441</v>
      </c>
      <c r="D2287" s="236" t="s">
        <v>15315</v>
      </c>
      <c r="E2287" s="15">
        <v>1323.4</v>
      </c>
      <c r="F2287" s="274">
        <v>42934</v>
      </c>
      <c r="G2287" s="15">
        <v>1323.4</v>
      </c>
      <c r="H2287" s="15">
        <f>Tabla1[[#This Row],[Importe]]-Tabla1[[#This Row],[Pagado]]</f>
        <v>0</v>
      </c>
      <c r="I2287" s="275" t="s">
        <v>15214</v>
      </c>
    </row>
    <row r="2288" spans="1:9" x14ac:dyDescent="0.25">
      <c r="A2288" s="16">
        <v>42934</v>
      </c>
      <c r="B2288" s="273" t="s">
        <v>22171</v>
      </c>
      <c r="C2288">
        <v>120442</v>
      </c>
      <c r="D2288" s="236" t="s">
        <v>15936</v>
      </c>
      <c r="E2288" s="15">
        <v>9270</v>
      </c>
      <c r="F2288" s="274">
        <v>42934</v>
      </c>
      <c r="G2288" s="15">
        <v>9270</v>
      </c>
      <c r="H2288" s="15">
        <f>Tabla1[[#This Row],[Importe]]-Tabla1[[#This Row],[Pagado]]</f>
        <v>0</v>
      </c>
      <c r="I2288" s="275" t="s">
        <v>15214</v>
      </c>
    </row>
    <row r="2289" spans="1:9" x14ac:dyDescent="0.25">
      <c r="A2289" s="16">
        <v>42934</v>
      </c>
      <c r="B2289" s="273" t="s">
        <v>22172</v>
      </c>
      <c r="C2289">
        <v>120443</v>
      </c>
      <c r="D2289" s="236" t="s">
        <v>15442</v>
      </c>
      <c r="E2289" s="15">
        <v>15300</v>
      </c>
      <c r="F2289" s="274">
        <v>42940</v>
      </c>
      <c r="G2289" s="15">
        <v>15300</v>
      </c>
      <c r="H2289" s="15">
        <f>Tabla1[[#This Row],[Importe]]-Tabla1[[#This Row],[Pagado]]</f>
        <v>0</v>
      </c>
      <c r="I2289" s="275" t="s">
        <v>15214</v>
      </c>
    </row>
    <row r="2290" spans="1:9" x14ac:dyDescent="0.25">
      <c r="A2290" s="16">
        <v>42934</v>
      </c>
      <c r="B2290" s="273" t="s">
        <v>22173</v>
      </c>
      <c r="C2290">
        <v>120444</v>
      </c>
      <c r="D2290" s="236" t="s">
        <v>15442</v>
      </c>
      <c r="E2290" s="15">
        <v>16524</v>
      </c>
      <c r="F2290" s="274">
        <v>42940</v>
      </c>
      <c r="G2290" s="15">
        <v>16524</v>
      </c>
      <c r="H2290" s="15">
        <f>Tabla1[[#This Row],[Importe]]-Tabla1[[#This Row],[Pagado]]</f>
        <v>0</v>
      </c>
      <c r="I2290" s="275" t="s">
        <v>15214</v>
      </c>
    </row>
    <row r="2291" spans="1:9" x14ac:dyDescent="0.25">
      <c r="A2291" s="16">
        <v>42934</v>
      </c>
      <c r="B2291" s="273" t="s">
        <v>22174</v>
      </c>
      <c r="C2291">
        <v>120445</v>
      </c>
      <c r="D2291" s="236" t="s">
        <v>15890</v>
      </c>
      <c r="E2291" s="15">
        <v>14184.5</v>
      </c>
      <c r="F2291" s="274">
        <v>42941</v>
      </c>
      <c r="G2291" s="15">
        <v>14184.5</v>
      </c>
      <c r="H2291" s="15">
        <f>Tabla1[[#This Row],[Importe]]-Tabla1[[#This Row],[Pagado]]</f>
        <v>0</v>
      </c>
      <c r="I2291" s="275" t="s">
        <v>15214</v>
      </c>
    </row>
    <row r="2292" spans="1:9" x14ac:dyDescent="0.25">
      <c r="A2292" s="16">
        <v>42934</v>
      </c>
      <c r="B2292" s="273" t="s">
        <v>22175</v>
      </c>
      <c r="C2292">
        <v>120446</v>
      </c>
      <c r="D2292" s="236" t="s">
        <v>15267</v>
      </c>
      <c r="E2292" s="15">
        <v>2947.2</v>
      </c>
      <c r="F2292" s="274">
        <v>42935</v>
      </c>
      <c r="G2292" s="15">
        <v>2947.2</v>
      </c>
      <c r="H2292" s="15">
        <f>Tabla1[[#This Row],[Importe]]-Tabla1[[#This Row],[Pagado]]</f>
        <v>0</v>
      </c>
      <c r="I2292" s="275" t="s">
        <v>15214</v>
      </c>
    </row>
    <row r="2293" spans="1:9" x14ac:dyDescent="0.25">
      <c r="A2293" s="16">
        <v>42934</v>
      </c>
      <c r="B2293" s="273" t="s">
        <v>22176</v>
      </c>
      <c r="C2293">
        <v>120447</v>
      </c>
      <c r="D2293" s="236" t="s">
        <v>15284</v>
      </c>
      <c r="E2293" s="15">
        <v>1287.4000000000001</v>
      </c>
      <c r="F2293" s="274">
        <v>42934</v>
      </c>
      <c r="G2293" s="15">
        <v>1287.4000000000001</v>
      </c>
      <c r="H2293" s="15">
        <f>Tabla1[[#This Row],[Importe]]-Tabla1[[#This Row],[Pagado]]</f>
        <v>0</v>
      </c>
      <c r="I2293" s="275" t="s">
        <v>15214</v>
      </c>
    </row>
    <row r="2294" spans="1:9" x14ac:dyDescent="0.25">
      <c r="A2294" s="16">
        <v>42934</v>
      </c>
      <c r="B2294" s="273" t="s">
        <v>22177</v>
      </c>
      <c r="C2294">
        <v>120448</v>
      </c>
      <c r="D2294" s="236" t="s">
        <v>15642</v>
      </c>
      <c r="E2294" s="15">
        <v>4361.7</v>
      </c>
      <c r="F2294" s="274">
        <v>42934</v>
      </c>
      <c r="G2294" s="15">
        <v>4361.7</v>
      </c>
      <c r="H2294" s="15">
        <f>Tabla1[[#This Row],[Importe]]-Tabla1[[#This Row],[Pagado]]</f>
        <v>0</v>
      </c>
      <c r="I2294" s="275" t="s">
        <v>15214</v>
      </c>
    </row>
    <row r="2295" spans="1:9" x14ac:dyDescent="0.25">
      <c r="A2295" s="16">
        <v>42934</v>
      </c>
      <c r="B2295" s="273" t="s">
        <v>22178</v>
      </c>
      <c r="C2295">
        <v>120449</v>
      </c>
      <c r="D2295" s="236" t="s">
        <v>15365</v>
      </c>
      <c r="E2295" s="15">
        <v>289884</v>
      </c>
      <c r="F2295" s="274">
        <v>42939</v>
      </c>
      <c r="G2295" s="15">
        <v>289884</v>
      </c>
      <c r="H2295" s="15">
        <f>Tabla1[[#This Row],[Importe]]-Tabla1[[#This Row],[Pagado]]</f>
        <v>0</v>
      </c>
      <c r="I2295" s="275" t="s">
        <v>15214</v>
      </c>
    </row>
    <row r="2296" spans="1:9" x14ac:dyDescent="0.25">
      <c r="A2296" s="16">
        <v>42934</v>
      </c>
      <c r="B2296" s="273" t="s">
        <v>22179</v>
      </c>
      <c r="C2296">
        <v>120450</v>
      </c>
      <c r="D2296" s="236" t="s">
        <v>15246</v>
      </c>
      <c r="E2296" s="15">
        <v>67300</v>
      </c>
      <c r="F2296" s="274">
        <v>42938</v>
      </c>
      <c r="G2296" s="15">
        <v>67300</v>
      </c>
      <c r="H2296" s="15">
        <f>Tabla1[[#This Row],[Importe]]-Tabla1[[#This Row],[Pagado]]</f>
        <v>0</v>
      </c>
      <c r="I2296" s="275" t="s">
        <v>15214</v>
      </c>
    </row>
    <row r="2297" spans="1:9" x14ac:dyDescent="0.25">
      <c r="A2297" s="16">
        <v>42934</v>
      </c>
      <c r="B2297" s="273" t="s">
        <v>22180</v>
      </c>
      <c r="C2297">
        <v>120451</v>
      </c>
      <c r="D2297" s="236" t="s">
        <v>15315</v>
      </c>
      <c r="E2297" s="15">
        <v>31.2</v>
      </c>
      <c r="F2297" s="274">
        <v>42936</v>
      </c>
      <c r="G2297" s="15">
        <v>31.2</v>
      </c>
      <c r="H2297" s="15">
        <f>Tabla1[[#This Row],[Importe]]-Tabla1[[#This Row],[Pagado]]</f>
        <v>0</v>
      </c>
      <c r="I2297" s="275" t="s">
        <v>15214</v>
      </c>
    </row>
    <row r="2298" spans="1:9" x14ac:dyDescent="0.25">
      <c r="A2298" s="16">
        <v>42935</v>
      </c>
      <c r="B2298" s="273" t="s">
        <v>22181</v>
      </c>
      <c r="C2298">
        <v>120452</v>
      </c>
      <c r="D2298" s="236" t="s">
        <v>15213</v>
      </c>
      <c r="E2298" s="15">
        <v>10384.799999999999</v>
      </c>
      <c r="F2298" s="274">
        <v>42935</v>
      </c>
      <c r="G2298" s="15">
        <v>10384.799999999999</v>
      </c>
      <c r="H2298" s="15">
        <f>Tabla1[[#This Row],[Importe]]-Tabla1[[#This Row],[Pagado]]</f>
        <v>0</v>
      </c>
      <c r="I2298" s="275" t="s">
        <v>15214</v>
      </c>
    </row>
    <row r="2299" spans="1:9" x14ac:dyDescent="0.25">
      <c r="A2299" s="16">
        <v>42935</v>
      </c>
      <c r="B2299" s="273" t="s">
        <v>22182</v>
      </c>
      <c r="C2299">
        <v>120453</v>
      </c>
      <c r="D2299" s="236" t="s">
        <v>15330</v>
      </c>
      <c r="E2299" s="15">
        <v>4056.2</v>
      </c>
      <c r="F2299" s="274">
        <v>42935</v>
      </c>
      <c r="G2299" s="15">
        <v>4056.2</v>
      </c>
      <c r="H2299" s="15">
        <f>Tabla1[[#This Row],[Importe]]-Tabla1[[#This Row],[Pagado]]</f>
        <v>0</v>
      </c>
      <c r="I2299" s="275" t="s">
        <v>15214</v>
      </c>
    </row>
    <row r="2300" spans="1:9" x14ac:dyDescent="0.25">
      <c r="A2300" s="16">
        <v>42935</v>
      </c>
      <c r="B2300" s="273" t="s">
        <v>22183</v>
      </c>
      <c r="C2300">
        <v>120454</v>
      </c>
      <c r="D2300" s="236" t="s">
        <v>15213</v>
      </c>
      <c r="E2300" s="15">
        <v>38929.5</v>
      </c>
      <c r="F2300" s="274">
        <v>42936</v>
      </c>
      <c r="G2300" s="15">
        <v>38929.5</v>
      </c>
      <c r="H2300" s="15">
        <f>Tabla1[[#This Row],[Importe]]-Tabla1[[#This Row],[Pagado]]</f>
        <v>0</v>
      </c>
      <c r="I2300" s="275" t="s">
        <v>15214</v>
      </c>
    </row>
    <row r="2301" spans="1:9" x14ac:dyDescent="0.25">
      <c r="A2301" s="16">
        <v>42935</v>
      </c>
      <c r="B2301" s="273" t="s">
        <v>22184</v>
      </c>
      <c r="C2301">
        <v>120455</v>
      </c>
      <c r="D2301" s="236" t="s">
        <v>15407</v>
      </c>
      <c r="E2301" s="15">
        <v>1292.2</v>
      </c>
      <c r="F2301" s="274">
        <v>42935</v>
      </c>
      <c r="G2301" s="15">
        <v>1292.2</v>
      </c>
      <c r="H2301" s="15">
        <f>Tabla1[[#This Row],[Importe]]-Tabla1[[#This Row],[Pagado]]</f>
        <v>0</v>
      </c>
      <c r="I2301" s="275" t="s">
        <v>15214</v>
      </c>
    </row>
    <row r="2302" spans="1:9" x14ac:dyDescent="0.25">
      <c r="A2302" s="16">
        <v>42935</v>
      </c>
      <c r="B2302" s="273" t="s">
        <v>22185</v>
      </c>
      <c r="C2302">
        <v>120456</v>
      </c>
      <c r="D2302" s="236" t="s">
        <v>15242</v>
      </c>
      <c r="E2302" s="15">
        <v>10959.9</v>
      </c>
      <c r="F2302" s="274">
        <v>42935</v>
      </c>
      <c r="G2302" s="15">
        <v>10959.9</v>
      </c>
      <c r="H2302" s="15">
        <f>Tabla1[[#This Row],[Importe]]-Tabla1[[#This Row],[Pagado]]</f>
        <v>0</v>
      </c>
      <c r="I2302" s="275" t="s">
        <v>15214</v>
      </c>
    </row>
    <row r="2303" spans="1:9" x14ac:dyDescent="0.25">
      <c r="A2303" s="16">
        <v>42935</v>
      </c>
      <c r="B2303" s="273" t="s">
        <v>22186</v>
      </c>
      <c r="C2303">
        <v>120457</v>
      </c>
      <c r="D2303" s="236" t="s">
        <v>15332</v>
      </c>
      <c r="E2303" s="15">
        <v>353.6</v>
      </c>
      <c r="F2303" s="274">
        <v>42935</v>
      </c>
      <c r="G2303" s="15">
        <v>353.6</v>
      </c>
      <c r="H2303" s="15">
        <f>Tabla1[[#This Row],[Importe]]-Tabla1[[#This Row],[Pagado]]</f>
        <v>0</v>
      </c>
      <c r="I2303" s="275" t="s">
        <v>15214</v>
      </c>
    </row>
    <row r="2304" spans="1:9" x14ac:dyDescent="0.25">
      <c r="A2304" s="16">
        <v>42935</v>
      </c>
      <c r="B2304" s="273" t="s">
        <v>22187</v>
      </c>
      <c r="C2304">
        <v>120458</v>
      </c>
      <c r="D2304" s="236" t="s">
        <v>18544</v>
      </c>
      <c r="E2304" s="15">
        <v>9204.4</v>
      </c>
      <c r="F2304" s="274">
        <v>42935</v>
      </c>
      <c r="G2304" s="15">
        <v>9204.4</v>
      </c>
      <c r="H2304" s="15">
        <f>Tabla1[[#This Row],[Importe]]-Tabla1[[#This Row],[Pagado]]</f>
        <v>0</v>
      </c>
      <c r="I2304" s="275" t="s">
        <v>15214</v>
      </c>
    </row>
    <row r="2305" spans="1:9" x14ac:dyDescent="0.25">
      <c r="A2305" s="16">
        <v>42935</v>
      </c>
      <c r="B2305" s="273" t="s">
        <v>22188</v>
      </c>
      <c r="C2305">
        <v>120459</v>
      </c>
      <c r="D2305" s="236" t="s">
        <v>15240</v>
      </c>
      <c r="E2305" s="15">
        <v>3682.1</v>
      </c>
      <c r="F2305" s="274">
        <v>42938</v>
      </c>
      <c r="G2305" s="15">
        <v>3682.1</v>
      </c>
      <c r="H2305" s="15">
        <f>Tabla1[[#This Row],[Importe]]-Tabla1[[#This Row],[Pagado]]</f>
        <v>0</v>
      </c>
      <c r="I2305" s="275" t="s">
        <v>15214</v>
      </c>
    </row>
    <row r="2306" spans="1:9" ht="15.75" x14ac:dyDescent="0.25">
      <c r="A2306" s="16">
        <v>42935</v>
      </c>
      <c r="B2306" s="273" t="s">
        <v>22189</v>
      </c>
      <c r="C2306">
        <v>120460</v>
      </c>
      <c r="D2306" s="248" t="s">
        <v>95</v>
      </c>
      <c r="E2306" s="15">
        <v>0</v>
      </c>
      <c r="F2306" s="277" t="s">
        <v>95</v>
      </c>
      <c r="G2306" s="15">
        <v>0</v>
      </c>
      <c r="H2306" s="15">
        <f>Tabla1[[#This Row],[Importe]]-Tabla1[[#This Row],[Pagado]]</f>
        <v>0</v>
      </c>
      <c r="I2306" s="275" t="s">
        <v>95</v>
      </c>
    </row>
    <row r="2307" spans="1:9" x14ac:dyDescent="0.25">
      <c r="A2307" s="16">
        <v>42935</v>
      </c>
      <c r="B2307" s="273" t="s">
        <v>22190</v>
      </c>
      <c r="C2307">
        <v>120461</v>
      </c>
      <c r="D2307" s="236" t="s">
        <v>15272</v>
      </c>
      <c r="E2307" s="15">
        <v>18926</v>
      </c>
      <c r="F2307" s="274">
        <v>42935</v>
      </c>
      <c r="G2307" s="15">
        <v>18926</v>
      </c>
      <c r="H2307" s="15">
        <f>Tabla1[[#This Row],[Importe]]-Tabla1[[#This Row],[Pagado]]</f>
        <v>0</v>
      </c>
      <c r="I2307" s="275" t="s">
        <v>15214</v>
      </c>
    </row>
    <row r="2308" spans="1:9" x14ac:dyDescent="0.25">
      <c r="A2308" s="16">
        <v>42935</v>
      </c>
      <c r="B2308" s="273" t="s">
        <v>22191</v>
      </c>
      <c r="C2308">
        <v>120462</v>
      </c>
      <c r="D2308" s="236" t="s">
        <v>19302</v>
      </c>
      <c r="E2308" s="15">
        <v>1100</v>
      </c>
      <c r="F2308" s="274">
        <v>42935</v>
      </c>
      <c r="G2308" s="15">
        <v>1100</v>
      </c>
      <c r="H2308" s="15">
        <f>Tabla1[[#This Row],[Importe]]-Tabla1[[#This Row],[Pagado]]</f>
        <v>0</v>
      </c>
      <c r="I2308" s="275" t="s">
        <v>15214</v>
      </c>
    </row>
    <row r="2309" spans="1:9" x14ac:dyDescent="0.25">
      <c r="A2309" s="16">
        <v>42935</v>
      </c>
      <c r="B2309" s="273" t="s">
        <v>22192</v>
      </c>
      <c r="C2309">
        <v>120463</v>
      </c>
      <c r="D2309" s="236" t="s">
        <v>15220</v>
      </c>
      <c r="E2309" s="15">
        <v>3025</v>
      </c>
      <c r="F2309" s="274">
        <v>42935</v>
      </c>
      <c r="G2309" s="15">
        <v>3025</v>
      </c>
      <c r="H2309" s="15">
        <f>Tabla1[[#This Row],[Importe]]-Tabla1[[#This Row],[Pagado]]</f>
        <v>0</v>
      </c>
      <c r="I2309" s="275" t="s">
        <v>15214</v>
      </c>
    </row>
    <row r="2310" spans="1:9" x14ac:dyDescent="0.25">
      <c r="A2310" s="16">
        <v>42935</v>
      </c>
      <c r="B2310" s="273" t="s">
        <v>22193</v>
      </c>
      <c r="C2310">
        <v>120464</v>
      </c>
      <c r="D2310" s="236" t="s">
        <v>15261</v>
      </c>
      <c r="E2310" s="15">
        <v>16770.82</v>
      </c>
      <c r="F2310" s="274">
        <v>42935</v>
      </c>
      <c r="G2310" s="15">
        <v>16770.82</v>
      </c>
      <c r="H2310" s="15">
        <f>Tabla1[[#This Row],[Importe]]-Tabla1[[#This Row],[Pagado]]</f>
        <v>0</v>
      </c>
      <c r="I2310" s="275" t="s">
        <v>15214</v>
      </c>
    </row>
    <row r="2311" spans="1:9" ht="30" x14ac:dyDescent="0.25">
      <c r="A2311" s="16">
        <v>42935</v>
      </c>
      <c r="B2311" s="273" t="s">
        <v>22194</v>
      </c>
      <c r="C2311">
        <v>120465</v>
      </c>
      <c r="D2311" s="236" t="s">
        <v>15250</v>
      </c>
      <c r="E2311" s="15">
        <v>40686.01</v>
      </c>
      <c r="F2311" s="274" t="s">
        <v>22195</v>
      </c>
      <c r="G2311" s="241">
        <f>29650.59+11035.42</f>
        <v>40686.01</v>
      </c>
      <c r="H2311" s="241">
        <f>Tabla1[[#This Row],[Importe]]-Tabla1[[#This Row],[Pagado]]</f>
        <v>0</v>
      </c>
      <c r="I2311" s="275" t="s">
        <v>15214</v>
      </c>
    </row>
    <row r="2312" spans="1:9" x14ac:dyDescent="0.25">
      <c r="A2312" s="16">
        <v>42935</v>
      </c>
      <c r="B2312" s="273" t="s">
        <v>22196</v>
      </c>
      <c r="C2312">
        <v>120466</v>
      </c>
      <c r="D2312" s="236" t="s">
        <v>15248</v>
      </c>
      <c r="E2312" s="15">
        <v>9475.2000000000007</v>
      </c>
      <c r="F2312" s="274">
        <v>42935</v>
      </c>
      <c r="G2312" s="15">
        <v>9475.2000000000007</v>
      </c>
      <c r="H2312" s="15">
        <f>Tabla1[[#This Row],[Importe]]-Tabla1[[#This Row],[Pagado]]</f>
        <v>0</v>
      </c>
      <c r="I2312" s="275" t="s">
        <v>15214</v>
      </c>
    </row>
    <row r="2313" spans="1:9" ht="30" x14ac:dyDescent="0.25">
      <c r="A2313" s="16">
        <v>42935</v>
      </c>
      <c r="B2313" s="273" t="s">
        <v>22197</v>
      </c>
      <c r="C2313">
        <v>120467</v>
      </c>
      <c r="D2313" s="236" t="s">
        <v>15258</v>
      </c>
      <c r="E2313" s="15">
        <v>16966</v>
      </c>
      <c r="F2313" s="274" t="s">
        <v>22198</v>
      </c>
      <c r="G2313" s="241">
        <f>3000+13966</f>
        <v>16966</v>
      </c>
      <c r="H2313" s="241">
        <f>Tabla1[[#This Row],[Importe]]-Tabla1[[#This Row],[Pagado]]</f>
        <v>0</v>
      </c>
      <c r="I2313" s="275" t="s">
        <v>15214</v>
      </c>
    </row>
    <row r="2314" spans="1:9" x14ac:dyDescent="0.25">
      <c r="A2314" s="16">
        <v>42935</v>
      </c>
      <c r="B2314" s="273" t="s">
        <v>22199</v>
      </c>
      <c r="C2314">
        <v>120468</v>
      </c>
      <c r="D2314" s="236" t="s">
        <v>15562</v>
      </c>
      <c r="E2314" s="15">
        <v>2538</v>
      </c>
      <c r="F2314" s="274">
        <v>42935</v>
      </c>
      <c r="G2314" s="15">
        <v>2538</v>
      </c>
      <c r="H2314" s="15">
        <f>Tabla1[[#This Row],[Importe]]-Tabla1[[#This Row],[Pagado]]</f>
        <v>0</v>
      </c>
      <c r="I2314" s="275" t="s">
        <v>15214</v>
      </c>
    </row>
    <row r="2315" spans="1:9" x14ac:dyDescent="0.25">
      <c r="A2315" s="16">
        <v>42935</v>
      </c>
      <c r="B2315" s="273" t="s">
        <v>22200</v>
      </c>
      <c r="C2315">
        <v>120469</v>
      </c>
      <c r="D2315" s="236" t="s">
        <v>18258</v>
      </c>
      <c r="E2315" s="15">
        <v>11381.6</v>
      </c>
      <c r="F2315" s="274">
        <v>42935</v>
      </c>
      <c r="G2315" s="15">
        <v>11381.6</v>
      </c>
      <c r="H2315" s="15">
        <f>Tabla1[[#This Row],[Importe]]-Tabla1[[#This Row],[Pagado]]</f>
        <v>0</v>
      </c>
      <c r="I2315" s="275" t="s">
        <v>15214</v>
      </c>
    </row>
    <row r="2316" spans="1:9" x14ac:dyDescent="0.25">
      <c r="A2316" s="16">
        <v>42935</v>
      </c>
      <c r="B2316" s="273" t="s">
        <v>22201</v>
      </c>
      <c r="C2316">
        <v>120470</v>
      </c>
      <c r="D2316" s="236" t="s">
        <v>15238</v>
      </c>
      <c r="E2316" s="15">
        <v>6064</v>
      </c>
      <c r="F2316" s="274">
        <v>42937</v>
      </c>
      <c r="G2316" s="15">
        <v>6064</v>
      </c>
      <c r="H2316" s="15">
        <f>Tabla1[[#This Row],[Importe]]-Tabla1[[#This Row],[Pagado]]</f>
        <v>0</v>
      </c>
      <c r="I2316" s="275" t="s">
        <v>15214</v>
      </c>
    </row>
    <row r="2317" spans="1:9" x14ac:dyDescent="0.25">
      <c r="A2317" s="16">
        <v>42935</v>
      </c>
      <c r="B2317" s="273" t="s">
        <v>22202</v>
      </c>
      <c r="C2317">
        <v>120471</v>
      </c>
      <c r="D2317" s="236" t="s">
        <v>15681</v>
      </c>
      <c r="E2317" s="15">
        <v>1939.2</v>
      </c>
      <c r="F2317" s="274">
        <v>42935</v>
      </c>
      <c r="G2317" s="15">
        <v>1939.2</v>
      </c>
      <c r="H2317" s="15">
        <f>Tabla1[[#This Row],[Importe]]-Tabla1[[#This Row],[Pagado]]</f>
        <v>0</v>
      </c>
      <c r="I2317" s="275" t="s">
        <v>15214</v>
      </c>
    </row>
    <row r="2318" spans="1:9" x14ac:dyDescent="0.25">
      <c r="A2318" s="16">
        <v>42935</v>
      </c>
      <c r="B2318" s="273" t="s">
        <v>22203</v>
      </c>
      <c r="C2318">
        <v>120472</v>
      </c>
      <c r="D2318" s="236" t="s">
        <v>15234</v>
      </c>
      <c r="E2318" s="15">
        <v>3672.2</v>
      </c>
      <c r="F2318" s="274">
        <v>42937</v>
      </c>
      <c r="G2318" s="15">
        <v>3672.2</v>
      </c>
      <c r="H2318" s="15">
        <f>Tabla1[[#This Row],[Importe]]-Tabla1[[#This Row],[Pagado]]</f>
        <v>0</v>
      </c>
      <c r="I2318" s="275" t="s">
        <v>15214</v>
      </c>
    </row>
    <row r="2319" spans="1:9" x14ac:dyDescent="0.25">
      <c r="A2319" s="16">
        <v>42935</v>
      </c>
      <c r="B2319" s="273" t="s">
        <v>22204</v>
      </c>
      <c r="C2319">
        <v>120473</v>
      </c>
      <c r="D2319" s="236" t="s">
        <v>15338</v>
      </c>
      <c r="E2319" s="15">
        <v>9996.7999999999993</v>
      </c>
      <c r="F2319" s="274">
        <v>42938</v>
      </c>
      <c r="G2319" s="15">
        <v>9996.7999999999993</v>
      </c>
      <c r="H2319" s="15">
        <f>Tabla1[[#This Row],[Importe]]-Tabla1[[#This Row],[Pagado]]</f>
        <v>0</v>
      </c>
      <c r="I2319" s="275" t="s">
        <v>15214</v>
      </c>
    </row>
    <row r="2320" spans="1:9" ht="30" x14ac:dyDescent="0.25">
      <c r="A2320" s="16">
        <v>42935</v>
      </c>
      <c r="B2320" s="273" t="s">
        <v>22205</v>
      </c>
      <c r="C2320">
        <v>120474</v>
      </c>
      <c r="D2320" s="236" t="s">
        <v>15256</v>
      </c>
      <c r="E2320" s="15">
        <v>4931.7</v>
      </c>
      <c r="F2320" s="274" t="s">
        <v>22081</v>
      </c>
      <c r="G2320" s="241">
        <f>3880+1051.7</f>
        <v>4931.7</v>
      </c>
      <c r="H2320" s="241">
        <f>Tabla1[[#This Row],[Importe]]-Tabla1[[#This Row],[Pagado]]</f>
        <v>0</v>
      </c>
      <c r="I2320" s="275" t="s">
        <v>15214</v>
      </c>
    </row>
    <row r="2321" spans="1:9" x14ac:dyDescent="0.25">
      <c r="A2321" s="16">
        <v>42935</v>
      </c>
      <c r="B2321" s="273" t="s">
        <v>22206</v>
      </c>
      <c r="C2321">
        <v>120475</v>
      </c>
      <c r="D2321" s="236" t="s">
        <v>15232</v>
      </c>
      <c r="E2321" s="15">
        <v>7260</v>
      </c>
      <c r="F2321" s="274">
        <v>42943</v>
      </c>
      <c r="G2321" s="15">
        <v>7260</v>
      </c>
      <c r="H2321" s="15">
        <f>Tabla1[[#This Row],[Importe]]-Tabla1[[#This Row],[Pagado]]</f>
        <v>0</v>
      </c>
      <c r="I2321" s="275" t="s">
        <v>15214</v>
      </c>
    </row>
    <row r="2322" spans="1:9" ht="30" x14ac:dyDescent="0.25">
      <c r="A2322" s="16">
        <v>42935</v>
      </c>
      <c r="B2322" s="273" t="s">
        <v>22207</v>
      </c>
      <c r="C2322">
        <v>120476</v>
      </c>
      <c r="D2322" s="236" t="s">
        <v>15394</v>
      </c>
      <c r="E2322" s="15">
        <v>19352.900000000001</v>
      </c>
      <c r="F2322" s="274" t="s">
        <v>22208</v>
      </c>
      <c r="G2322" s="241">
        <f>12352.9+7000</f>
        <v>19352.900000000001</v>
      </c>
      <c r="H2322" s="241">
        <f>Tabla1[[#This Row],[Importe]]-Tabla1[[#This Row],[Pagado]]</f>
        <v>0</v>
      </c>
      <c r="I2322" s="275" t="s">
        <v>15214</v>
      </c>
    </row>
    <row r="2323" spans="1:9" x14ac:dyDescent="0.25">
      <c r="A2323" s="16">
        <v>42935</v>
      </c>
      <c r="B2323" s="273" t="s">
        <v>22209</v>
      </c>
      <c r="C2323">
        <v>120477</v>
      </c>
      <c r="D2323" s="236" t="s">
        <v>15226</v>
      </c>
      <c r="E2323" s="15">
        <v>1708</v>
      </c>
      <c r="F2323" s="274">
        <v>42938</v>
      </c>
      <c r="G2323" s="15">
        <v>1708</v>
      </c>
      <c r="H2323" s="15">
        <f>Tabla1[[#This Row],[Importe]]-Tabla1[[#This Row],[Pagado]]</f>
        <v>0</v>
      </c>
      <c r="I2323" s="275" t="s">
        <v>15214</v>
      </c>
    </row>
    <row r="2324" spans="1:9" x14ac:dyDescent="0.25">
      <c r="A2324" s="16">
        <v>42935</v>
      </c>
      <c r="B2324" s="273" t="s">
        <v>22210</v>
      </c>
      <c r="C2324">
        <v>120478</v>
      </c>
      <c r="D2324" s="236" t="s">
        <v>15236</v>
      </c>
      <c r="E2324" s="15">
        <v>4289</v>
      </c>
      <c r="F2324" s="274">
        <v>42937</v>
      </c>
      <c r="G2324" s="15">
        <v>4289</v>
      </c>
      <c r="H2324" s="15">
        <f>Tabla1[[#This Row],[Importe]]-Tabla1[[#This Row],[Pagado]]</f>
        <v>0</v>
      </c>
      <c r="I2324" s="275" t="s">
        <v>15214</v>
      </c>
    </row>
    <row r="2325" spans="1:9" x14ac:dyDescent="0.25">
      <c r="A2325" s="16">
        <v>42935</v>
      </c>
      <c r="B2325" s="273" t="s">
        <v>22211</v>
      </c>
      <c r="C2325">
        <v>120479</v>
      </c>
      <c r="D2325" s="236" t="s">
        <v>15230</v>
      </c>
      <c r="E2325" s="15">
        <v>10914.5</v>
      </c>
      <c r="F2325" s="274">
        <v>42938</v>
      </c>
      <c r="G2325" s="15">
        <v>10914.5</v>
      </c>
      <c r="H2325" s="15">
        <f>Tabla1[[#This Row],[Importe]]-Tabla1[[#This Row],[Pagado]]</f>
        <v>0</v>
      </c>
      <c r="I2325" s="275" t="s">
        <v>15214</v>
      </c>
    </row>
    <row r="2326" spans="1:9" x14ac:dyDescent="0.25">
      <c r="A2326" s="16">
        <v>42935</v>
      </c>
      <c r="B2326" s="273" t="s">
        <v>22212</v>
      </c>
      <c r="C2326">
        <v>120480</v>
      </c>
      <c r="D2326" s="236" t="s">
        <v>15246</v>
      </c>
      <c r="E2326" s="15">
        <v>733.9</v>
      </c>
      <c r="F2326" s="274">
        <v>42938</v>
      </c>
      <c r="G2326" s="15">
        <v>733.9</v>
      </c>
      <c r="H2326" s="15">
        <f>Tabla1[[#This Row],[Importe]]-Tabla1[[#This Row],[Pagado]]</f>
        <v>0</v>
      </c>
      <c r="I2326" s="275" t="s">
        <v>15214</v>
      </c>
    </row>
    <row r="2327" spans="1:9" ht="30" x14ac:dyDescent="0.25">
      <c r="A2327" s="16">
        <v>42935</v>
      </c>
      <c r="B2327" s="273" t="s">
        <v>22213</v>
      </c>
      <c r="C2327">
        <v>120481</v>
      </c>
      <c r="D2327" s="236" t="s">
        <v>15373</v>
      </c>
      <c r="E2327" s="15">
        <v>14378.6</v>
      </c>
      <c r="F2327" s="274" t="s">
        <v>22157</v>
      </c>
      <c r="G2327" s="241">
        <f>8000+6378.6</f>
        <v>14378.6</v>
      </c>
      <c r="H2327" s="241">
        <f>Tabla1[[#This Row],[Importe]]-Tabla1[[#This Row],[Pagado]]</f>
        <v>0</v>
      </c>
      <c r="I2327" s="275" t="s">
        <v>15214</v>
      </c>
    </row>
    <row r="2328" spans="1:9" x14ac:dyDescent="0.25">
      <c r="A2328" s="16">
        <v>42935</v>
      </c>
      <c r="B2328" s="273" t="s">
        <v>22214</v>
      </c>
      <c r="C2328">
        <v>120482</v>
      </c>
      <c r="D2328" s="236" t="s">
        <v>15324</v>
      </c>
      <c r="E2328" s="15">
        <v>3237.5</v>
      </c>
      <c r="F2328" s="274">
        <v>42935</v>
      </c>
      <c r="G2328" s="15">
        <v>3237.5</v>
      </c>
      <c r="H2328" s="15">
        <f>Tabla1[[#This Row],[Importe]]-Tabla1[[#This Row],[Pagado]]</f>
        <v>0</v>
      </c>
      <c r="I2328" s="275" t="s">
        <v>15214</v>
      </c>
    </row>
    <row r="2329" spans="1:9" x14ac:dyDescent="0.25">
      <c r="A2329" s="16">
        <v>42935</v>
      </c>
      <c r="B2329" s="273" t="s">
        <v>22215</v>
      </c>
      <c r="C2329">
        <v>120483</v>
      </c>
      <c r="D2329" s="236" t="s">
        <v>15315</v>
      </c>
      <c r="E2329" s="15">
        <v>467.4</v>
      </c>
      <c r="F2329" s="274">
        <v>42935</v>
      </c>
      <c r="G2329" s="15">
        <v>467.4</v>
      </c>
      <c r="H2329" s="15">
        <f>Tabla1[[#This Row],[Importe]]-Tabla1[[#This Row],[Pagado]]</f>
        <v>0</v>
      </c>
      <c r="I2329" s="275" t="s">
        <v>15214</v>
      </c>
    </row>
    <row r="2330" spans="1:9" x14ac:dyDescent="0.25">
      <c r="A2330" s="16">
        <v>42935</v>
      </c>
      <c r="B2330" s="273" t="s">
        <v>22216</v>
      </c>
      <c r="C2330">
        <v>120484</v>
      </c>
      <c r="D2330" s="236" t="s">
        <v>19549</v>
      </c>
      <c r="E2330" s="15">
        <v>12483.4</v>
      </c>
      <c r="F2330" s="274">
        <v>42936</v>
      </c>
      <c r="G2330" s="15">
        <v>12483.4</v>
      </c>
      <c r="H2330" s="15">
        <f>Tabla1[[#This Row],[Importe]]-Tabla1[[#This Row],[Pagado]]</f>
        <v>0</v>
      </c>
      <c r="I2330" s="275" t="s">
        <v>15214</v>
      </c>
    </row>
    <row r="2331" spans="1:9" ht="15.75" x14ac:dyDescent="0.25">
      <c r="A2331" s="16">
        <v>42935</v>
      </c>
      <c r="B2331" s="273" t="s">
        <v>22217</v>
      </c>
      <c r="C2331">
        <v>120485</v>
      </c>
      <c r="D2331" s="248" t="s">
        <v>95</v>
      </c>
      <c r="E2331" s="15">
        <v>0</v>
      </c>
      <c r="F2331" s="277" t="s">
        <v>95</v>
      </c>
      <c r="G2331" s="15">
        <v>0</v>
      </c>
      <c r="H2331" s="15">
        <f>Tabla1[[#This Row],[Importe]]-Tabla1[[#This Row],[Pagado]]</f>
        <v>0</v>
      </c>
      <c r="I2331" s="275" t="s">
        <v>95</v>
      </c>
    </row>
    <row r="2332" spans="1:9" x14ac:dyDescent="0.25">
      <c r="A2332" s="16">
        <v>42935</v>
      </c>
      <c r="B2332" s="273" t="s">
        <v>22218</v>
      </c>
      <c r="C2332">
        <v>120486</v>
      </c>
      <c r="D2332" s="236" t="s">
        <v>15389</v>
      </c>
      <c r="E2332" s="15">
        <v>6837</v>
      </c>
      <c r="F2332" s="292">
        <v>42948</v>
      </c>
      <c r="G2332" s="15">
        <v>6837</v>
      </c>
      <c r="H2332" s="15">
        <f>Tabla1[[#This Row],[Importe]]-Tabla1[[#This Row],[Pagado]]</f>
        <v>0</v>
      </c>
      <c r="I2332" s="275" t="s">
        <v>15214</v>
      </c>
    </row>
    <row r="2333" spans="1:9" x14ac:dyDescent="0.25">
      <c r="A2333" s="16">
        <v>42935</v>
      </c>
      <c r="B2333" s="273" t="s">
        <v>22219</v>
      </c>
      <c r="C2333">
        <v>120487</v>
      </c>
      <c r="D2333" s="236" t="s">
        <v>15382</v>
      </c>
      <c r="E2333" s="15">
        <v>15518</v>
      </c>
      <c r="F2333" s="292">
        <v>42948</v>
      </c>
      <c r="G2333" s="15">
        <v>15518</v>
      </c>
      <c r="H2333" s="15">
        <f>Tabla1[[#This Row],[Importe]]-Tabla1[[#This Row],[Pagado]]</f>
        <v>0</v>
      </c>
      <c r="I2333" s="275" t="s">
        <v>15214</v>
      </c>
    </row>
    <row r="2334" spans="1:9" x14ac:dyDescent="0.25">
      <c r="A2334" s="16">
        <v>42935</v>
      </c>
      <c r="B2334" s="273" t="s">
        <v>22220</v>
      </c>
      <c r="C2334">
        <v>120488</v>
      </c>
      <c r="D2334" s="236" t="s">
        <v>15278</v>
      </c>
      <c r="E2334" s="15">
        <v>7512.3</v>
      </c>
      <c r="F2334" s="274">
        <v>42935</v>
      </c>
      <c r="G2334" s="15">
        <v>7512.3</v>
      </c>
      <c r="H2334" s="15">
        <f>Tabla1[[#This Row],[Importe]]-Tabla1[[#This Row],[Pagado]]</f>
        <v>0</v>
      </c>
      <c r="I2334" s="275" t="s">
        <v>15214</v>
      </c>
    </row>
    <row r="2335" spans="1:9" x14ac:dyDescent="0.25">
      <c r="A2335" s="16">
        <v>42935</v>
      </c>
      <c r="B2335" s="273" t="s">
        <v>22221</v>
      </c>
      <c r="C2335">
        <v>120489</v>
      </c>
      <c r="D2335" s="236" t="s">
        <v>15380</v>
      </c>
      <c r="E2335" s="15">
        <v>37246.199999999997</v>
      </c>
      <c r="F2335" s="274">
        <v>42953</v>
      </c>
      <c r="G2335" s="15">
        <v>37246.199999999997</v>
      </c>
      <c r="H2335" s="15">
        <f>Tabla1[[#This Row],[Importe]]-Tabla1[[#This Row],[Pagado]]</f>
        <v>0</v>
      </c>
      <c r="I2335" s="275" t="s">
        <v>15214</v>
      </c>
    </row>
    <row r="2336" spans="1:9" x14ac:dyDescent="0.25">
      <c r="A2336" s="16">
        <v>42935</v>
      </c>
      <c r="B2336" s="273" t="s">
        <v>22222</v>
      </c>
      <c r="C2336">
        <v>120490</v>
      </c>
      <c r="D2336" s="236" t="s">
        <v>15263</v>
      </c>
      <c r="E2336" s="15">
        <v>1492.4</v>
      </c>
      <c r="F2336" s="274">
        <v>42935</v>
      </c>
      <c r="G2336" s="15">
        <v>1492.4</v>
      </c>
      <c r="H2336" s="15">
        <f>Tabla1[[#This Row],[Importe]]-Tabla1[[#This Row],[Pagado]]</f>
        <v>0</v>
      </c>
      <c r="I2336" s="275" t="s">
        <v>15214</v>
      </c>
    </row>
    <row r="2337" spans="1:9" x14ac:dyDescent="0.25">
      <c r="A2337" s="16">
        <v>42935</v>
      </c>
      <c r="B2337" s="273" t="s">
        <v>22223</v>
      </c>
      <c r="C2337">
        <v>120491</v>
      </c>
      <c r="D2337" s="236" t="s">
        <v>15284</v>
      </c>
      <c r="E2337" s="15">
        <v>1413.6</v>
      </c>
      <c r="F2337" s="274">
        <v>42935</v>
      </c>
      <c r="G2337" s="15">
        <v>1413.6</v>
      </c>
      <c r="H2337" s="15">
        <f>Tabla1[[#This Row],[Importe]]-Tabla1[[#This Row],[Pagado]]</f>
        <v>0</v>
      </c>
      <c r="I2337" s="275" t="s">
        <v>15214</v>
      </c>
    </row>
    <row r="2338" spans="1:9" x14ac:dyDescent="0.25">
      <c r="A2338" s="16">
        <v>42935</v>
      </c>
      <c r="B2338" s="273" t="s">
        <v>22224</v>
      </c>
      <c r="C2338">
        <v>120492</v>
      </c>
      <c r="D2338" s="236" t="s">
        <v>15378</v>
      </c>
      <c r="E2338" s="15">
        <v>5989</v>
      </c>
      <c r="F2338" s="274">
        <v>42935</v>
      </c>
      <c r="G2338" s="15">
        <v>5989</v>
      </c>
      <c r="H2338" s="15">
        <f>Tabla1[[#This Row],[Importe]]-Tabla1[[#This Row],[Pagado]]</f>
        <v>0</v>
      </c>
      <c r="I2338" s="275" t="s">
        <v>15214</v>
      </c>
    </row>
    <row r="2339" spans="1:9" x14ac:dyDescent="0.25">
      <c r="A2339" s="16">
        <v>42935</v>
      </c>
      <c r="B2339" s="273" t="s">
        <v>22225</v>
      </c>
      <c r="C2339">
        <v>120493</v>
      </c>
      <c r="D2339" s="236" t="s">
        <v>15530</v>
      </c>
      <c r="E2339" s="15">
        <v>1368</v>
      </c>
      <c r="F2339" s="274">
        <v>42935</v>
      </c>
      <c r="G2339" s="15">
        <v>1368</v>
      </c>
      <c r="H2339" s="15">
        <f>Tabla1[[#This Row],[Importe]]-Tabla1[[#This Row],[Pagado]]</f>
        <v>0</v>
      </c>
      <c r="I2339" s="275" t="s">
        <v>15214</v>
      </c>
    </row>
    <row r="2340" spans="1:9" x14ac:dyDescent="0.25">
      <c r="A2340" s="16">
        <v>42935</v>
      </c>
      <c r="B2340" s="273" t="s">
        <v>22226</v>
      </c>
      <c r="C2340">
        <v>120494</v>
      </c>
      <c r="D2340" s="236" t="s">
        <v>16064</v>
      </c>
      <c r="E2340" s="15">
        <v>4620</v>
      </c>
      <c r="F2340" s="274">
        <v>42935</v>
      </c>
      <c r="G2340" s="15">
        <v>4620</v>
      </c>
      <c r="H2340" s="15">
        <f>Tabla1[[#This Row],[Importe]]-Tabla1[[#This Row],[Pagado]]</f>
        <v>0</v>
      </c>
      <c r="I2340" s="275" t="s">
        <v>15214</v>
      </c>
    </row>
    <row r="2341" spans="1:9" x14ac:dyDescent="0.25">
      <c r="A2341" s="16">
        <v>42935</v>
      </c>
      <c r="B2341" s="273" t="s">
        <v>22227</v>
      </c>
      <c r="C2341">
        <v>120495</v>
      </c>
      <c r="D2341" s="236" t="s">
        <v>15884</v>
      </c>
      <c r="E2341" s="15">
        <v>2224.4</v>
      </c>
      <c r="F2341" s="274">
        <v>42935</v>
      </c>
      <c r="G2341" s="15">
        <v>2224.4</v>
      </c>
      <c r="H2341" s="15">
        <f>Tabla1[[#This Row],[Importe]]-Tabla1[[#This Row],[Pagado]]</f>
        <v>0</v>
      </c>
      <c r="I2341" s="275" t="s">
        <v>15214</v>
      </c>
    </row>
    <row r="2342" spans="1:9" x14ac:dyDescent="0.25">
      <c r="A2342" s="16">
        <v>42935</v>
      </c>
      <c r="B2342" s="273" t="s">
        <v>22228</v>
      </c>
      <c r="C2342">
        <v>120496</v>
      </c>
      <c r="D2342" s="236" t="s">
        <v>15371</v>
      </c>
      <c r="E2342" s="15">
        <v>4494.3999999999996</v>
      </c>
      <c r="F2342" s="274">
        <v>42937</v>
      </c>
      <c r="G2342" s="15">
        <v>4494.3999999999996</v>
      </c>
      <c r="H2342" s="15">
        <f>Tabla1[[#This Row],[Importe]]-Tabla1[[#This Row],[Pagado]]</f>
        <v>0</v>
      </c>
      <c r="I2342" s="275" t="s">
        <v>15214</v>
      </c>
    </row>
    <row r="2343" spans="1:9" x14ac:dyDescent="0.25">
      <c r="A2343" s="16">
        <v>42935</v>
      </c>
      <c r="B2343" s="273" t="s">
        <v>22229</v>
      </c>
      <c r="C2343">
        <v>120497</v>
      </c>
      <c r="D2343" s="236" t="s">
        <v>19773</v>
      </c>
      <c r="E2343" s="15">
        <v>5268.64</v>
      </c>
      <c r="F2343" s="274">
        <v>42959</v>
      </c>
      <c r="G2343" s="15">
        <v>5268.64</v>
      </c>
      <c r="H2343" s="15">
        <f>Tabla1[[#This Row],[Importe]]-Tabla1[[#This Row],[Pagado]]</f>
        <v>0</v>
      </c>
      <c r="I2343" s="275" t="s">
        <v>15214</v>
      </c>
    </row>
    <row r="2344" spans="1:9" x14ac:dyDescent="0.25">
      <c r="A2344" s="16">
        <v>42935</v>
      </c>
      <c r="B2344" s="273" t="s">
        <v>22230</v>
      </c>
      <c r="C2344">
        <v>120498</v>
      </c>
      <c r="D2344" s="236" t="s">
        <v>15291</v>
      </c>
      <c r="E2344" s="15">
        <v>2090</v>
      </c>
      <c r="F2344" s="274">
        <v>42935</v>
      </c>
      <c r="G2344" s="15">
        <v>2090</v>
      </c>
      <c r="H2344" s="15">
        <f>Tabla1[[#This Row],[Importe]]-Tabla1[[#This Row],[Pagado]]</f>
        <v>0</v>
      </c>
      <c r="I2344" s="275" t="s">
        <v>15214</v>
      </c>
    </row>
    <row r="2345" spans="1:9" x14ac:dyDescent="0.25">
      <c r="A2345" s="16">
        <v>42935</v>
      </c>
      <c r="B2345" s="273" t="s">
        <v>22231</v>
      </c>
      <c r="C2345">
        <v>120499</v>
      </c>
      <c r="D2345" s="236" t="s">
        <v>15309</v>
      </c>
      <c r="E2345" s="15">
        <v>2943.2</v>
      </c>
      <c r="F2345" s="274">
        <v>42935</v>
      </c>
      <c r="G2345" s="15">
        <v>2943.2</v>
      </c>
      <c r="H2345" s="15">
        <f>Tabla1[[#This Row],[Importe]]-Tabla1[[#This Row],[Pagado]]</f>
        <v>0</v>
      </c>
      <c r="I2345" s="275" t="s">
        <v>15214</v>
      </c>
    </row>
    <row r="2346" spans="1:9" x14ac:dyDescent="0.25">
      <c r="A2346" s="16">
        <v>42935</v>
      </c>
      <c r="B2346" s="273" t="s">
        <v>22232</v>
      </c>
      <c r="C2346">
        <v>120500</v>
      </c>
      <c r="D2346" s="236" t="s">
        <v>15307</v>
      </c>
      <c r="E2346" s="15">
        <v>851.4</v>
      </c>
      <c r="F2346" s="274">
        <v>42935</v>
      </c>
      <c r="G2346" s="15">
        <v>851.4</v>
      </c>
      <c r="H2346" s="15">
        <f>Tabla1[[#This Row],[Importe]]-Tabla1[[#This Row],[Pagado]]</f>
        <v>0</v>
      </c>
      <c r="I2346" s="275" t="s">
        <v>15214</v>
      </c>
    </row>
    <row r="2347" spans="1:9" x14ac:dyDescent="0.25">
      <c r="A2347" s="16">
        <v>42935</v>
      </c>
      <c r="B2347" s="273" t="s">
        <v>22233</v>
      </c>
      <c r="C2347">
        <v>120501</v>
      </c>
      <c r="D2347" s="236" t="s">
        <v>15223</v>
      </c>
      <c r="E2347" s="15">
        <v>60767.199999999997</v>
      </c>
      <c r="F2347" s="274">
        <v>42960</v>
      </c>
      <c r="G2347" s="15">
        <v>60767.199999999997</v>
      </c>
      <c r="H2347" s="15">
        <f>Tabla1[[#This Row],[Importe]]-Tabla1[[#This Row],[Pagado]]</f>
        <v>0</v>
      </c>
      <c r="I2347" s="275" t="s">
        <v>15214</v>
      </c>
    </row>
    <row r="2348" spans="1:9" x14ac:dyDescent="0.25">
      <c r="A2348" s="16">
        <v>42935</v>
      </c>
      <c r="B2348" s="273" t="s">
        <v>22234</v>
      </c>
      <c r="C2348">
        <v>120502</v>
      </c>
      <c r="D2348" s="236" t="s">
        <v>15415</v>
      </c>
      <c r="E2348" s="15">
        <v>935.2</v>
      </c>
      <c r="F2348" s="274">
        <v>42943</v>
      </c>
      <c r="G2348" s="15">
        <v>935.2</v>
      </c>
      <c r="H2348" s="15">
        <f>Tabla1[[#This Row],[Importe]]-Tabla1[[#This Row],[Pagado]]</f>
        <v>0</v>
      </c>
      <c r="I2348" s="275" t="s">
        <v>15214</v>
      </c>
    </row>
    <row r="2349" spans="1:9" x14ac:dyDescent="0.25">
      <c r="A2349" s="16">
        <v>42935</v>
      </c>
      <c r="B2349" s="273" t="s">
        <v>22235</v>
      </c>
      <c r="C2349">
        <v>120503</v>
      </c>
      <c r="D2349" s="236" t="s">
        <v>15311</v>
      </c>
      <c r="E2349" s="15">
        <v>2106.6</v>
      </c>
      <c r="F2349" s="274">
        <v>42935</v>
      </c>
      <c r="G2349" s="15">
        <v>2106.6</v>
      </c>
      <c r="H2349" s="15">
        <f>Tabla1[[#This Row],[Importe]]-Tabla1[[#This Row],[Pagado]]</f>
        <v>0</v>
      </c>
      <c r="I2349" s="275" t="s">
        <v>15214</v>
      </c>
    </row>
    <row r="2350" spans="1:9" x14ac:dyDescent="0.25">
      <c r="A2350" s="16">
        <v>42935</v>
      </c>
      <c r="B2350" s="273" t="s">
        <v>22236</v>
      </c>
      <c r="C2350">
        <v>120504</v>
      </c>
      <c r="D2350" s="236" t="s">
        <v>15745</v>
      </c>
      <c r="E2350" s="15">
        <v>1432.56</v>
      </c>
      <c r="F2350" s="274">
        <v>42935</v>
      </c>
      <c r="G2350" s="15">
        <v>1432.56</v>
      </c>
      <c r="H2350" s="15">
        <f>Tabla1[[#This Row],[Importe]]-Tabla1[[#This Row],[Pagado]]</f>
        <v>0</v>
      </c>
      <c r="I2350" s="275" t="s">
        <v>15214</v>
      </c>
    </row>
    <row r="2351" spans="1:9" x14ac:dyDescent="0.25">
      <c r="A2351" s="16">
        <v>42935</v>
      </c>
      <c r="B2351" s="273" t="s">
        <v>22237</v>
      </c>
      <c r="C2351">
        <v>120505</v>
      </c>
      <c r="D2351" s="236" t="s">
        <v>15555</v>
      </c>
      <c r="E2351" s="15">
        <v>3171</v>
      </c>
      <c r="F2351" s="274">
        <v>42944</v>
      </c>
      <c r="G2351" s="15">
        <v>3171</v>
      </c>
      <c r="H2351" s="15">
        <f>Tabla1[[#This Row],[Importe]]-Tabla1[[#This Row],[Pagado]]</f>
        <v>0</v>
      </c>
      <c r="I2351" s="275" t="s">
        <v>15214</v>
      </c>
    </row>
    <row r="2352" spans="1:9" x14ac:dyDescent="0.25">
      <c r="A2352" s="16">
        <v>42935</v>
      </c>
      <c r="B2352" s="273" t="s">
        <v>22238</v>
      </c>
      <c r="C2352">
        <v>120506</v>
      </c>
      <c r="D2352" s="236" t="s">
        <v>15315</v>
      </c>
      <c r="E2352" s="15">
        <v>6342</v>
      </c>
      <c r="F2352" s="274">
        <v>42938</v>
      </c>
      <c r="G2352" s="15">
        <v>6342</v>
      </c>
      <c r="H2352" s="15">
        <f>Tabla1[[#This Row],[Importe]]-Tabla1[[#This Row],[Pagado]]</f>
        <v>0</v>
      </c>
      <c r="I2352" s="275" t="s">
        <v>15214</v>
      </c>
    </row>
    <row r="2353" spans="1:9" x14ac:dyDescent="0.25">
      <c r="A2353" s="16">
        <v>42935</v>
      </c>
      <c r="B2353" s="273" t="s">
        <v>22239</v>
      </c>
      <c r="C2353">
        <v>120507</v>
      </c>
      <c r="D2353" s="236" t="s">
        <v>15274</v>
      </c>
      <c r="E2353" s="15">
        <v>3070</v>
      </c>
      <c r="F2353" s="274">
        <v>42935</v>
      </c>
      <c r="G2353" s="15">
        <v>3070</v>
      </c>
      <c r="H2353" s="15">
        <f>Tabla1[[#This Row],[Importe]]-Tabla1[[#This Row],[Pagado]]</f>
        <v>0</v>
      </c>
      <c r="I2353" s="275" t="s">
        <v>15214</v>
      </c>
    </row>
    <row r="2354" spans="1:9" x14ac:dyDescent="0.25">
      <c r="A2354" s="16">
        <v>42935</v>
      </c>
      <c r="B2354" s="273" t="s">
        <v>22240</v>
      </c>
      <c r="C2354">
        <v>120508</v>
      </c>
      <c r="D2354" s="236" t="s">
        <v>15276</v>
      </c>
      <c r="E2354" s="15">
        <v>4400</v>
      </c>
      <c r="F2354" s="274">
        <v>42935</v>
      </c>
      <c r="G2354" s="15">
        <v>4400</v>
      </c>
      <c r="H2354" s="15">
        <f>Tabla1[[#This Row],[Importe]]-Tabla1[[#This Row],[Pagado]]</f>
        <v>0</v>
      </c>
      <c r="I2354" s="275" t="s">
        <v>15214</v>
      </c>
    </row>
    <row r="2355" spans="1:9" x14ac:dyDescent="0.25">
      <c r="A2355" s="16">
        <v>42935</v>
      </c>
      <c r="B2355" s="273" t="s">
        <v>22241</v>
      </c>
      <c r="C2355">
        <v>120509</v>
      </c>
      <c r="D2355" s="236" t="s">
        <v>15510</v>
      </c>
      <c r="E2355" s="15">
        <v>12190.5</v>
      </c>
      <c r="F2355" s="274">
        <v>42935</v>
      </c>
      <c r="G2355" s="15">
        <v>12190.5</v>
      </c>
      <c r="H2355" s="15">
        <f>Tabla1[[#This Row],[Importe]]-Tabla1[[#This Row],[Pagado]]</f>
        <v>0</v>
      </c>
      <c r="I2355" s="275" t="s">
        <v>15214</v>
      </c>
    </row>
    <row r="2356" spans="1:9" x14ac:dyDescent="0.25">
      <c r="A2356" s="16">
        <v>42935</v>
      </c>
      <c r="B2356" s="273" t="s">
        <v>22242</v>
      </c>
      <c r="C2356">
        <v>120510</v>
      </c>
      <c r="D2356" s="236" t="s">
        <v>15759</v>
      </c>
      <c r="E2356" s="15">
        <v>1816.06</v>
      </c>
      <c r="F2356" s="274">
        <v>42935</v>
      </c>
      <c r="G2356" s="15">
        <v>1816.06</v>
      </c>
      <c r="H2356" s="15">
        <f>Tabla1[[#This Row],[Importe]]-Tabla1[[#This Row],[Pagado]]</f>
        <v>0</v>
      </c>
      <c r="I2356" s="275" t="s">
        <v>15214</v>
      </c>
    </row>
    <row r="2357" spans="1:9" x14ac:dyDescent="0.25">
      <c r="A2357" s="16">
        <v>42935</v>
      </c>
      <c r="B2357" s="273" t="s">
        <v>22243</v>
      </c>
      <c r="C2357">
        <v>120511</v>
      </c>
      <c r="D2357" s="236" t="s">
        <v>15396</v>
      </c>
      <c r="E2357" s="15">
        <v>6666</v>
      </c>
      <c r="F2357" s="274">
        <v>42935</v>
      </c>
      <c r="G2357" s="15">
        <v>6666</v>
      </c>
      <c r="H2357" s="15">
        <f>Tabla1[[#This Row],[Importe]]-Tabla1[[#This Row],[Pagado]]</f>
        <v>0</v>
      </c>
      <c r="I2357" s="275" t="s">
        <v>15214</v>
      </c>
    </row>
    <row r="2358" spans="1:9" x14ac:dyDescent="0.25">
      <c r="A2358" s="16">
        <v>42935</v>
      </c>
      <c r="B2358" s="273" t="s">
        <v>22244</v>
      </c>
      <c r="C2358">
        <v>120512</v>
      </c>
      <c r="D2358" s="236" t="s">
        <v>15417</v>
      </c>
      <c r="E2358" s="15">
        <v>2295</v>
      </c>
      <c r="F2358" s="274">
        <v>42935</v>
      </c>
      <c r="G2358" s="15">
        <v>2295</v>
      </c>
      <c r="H2358" s="15">
        <f>Tabla1[[#This Row],[Importe]]-Tabla1[[#This Row],[Pagado]]</f>
        <v>0</v>
      </c>
      <c r="I2358" s="275" t="s">
        <v>15214</v>
      </c>
    </row>
    <row r="2359" spans="1:9" x14ac:dyDescent="0.25">
      <c r="A2359" s="16">
        <v>42935</v>
      </c>
      <c r="B2359" s="273" t="s">
        <v>22245</v>
      </c>
      <c r="C2359">
        <v>120513</v>
      </c>
      <c r="D2359" s="236" t="s">
        <v>15246</v>
      </c>
      <c r="E2359" s="15">
        <v>27780.400000000001</v>
      </c>
      <c r="F2359" s="274">
        <v>42938</v>
      </c>
      <c r="G2359" s="15">
        <v>27780.400000000001</v>
      </c>
      <c r="H2359" s="15">
        <f>Tabla1[[#This Row],[Importe]]-Tabla1[[#This Row],[Pagado]]</f>
        <v>0</v>
      </c>
      <c r="I2359" s="275" t="s">
        <v>15214</v>
      </c>
    </row>
    <row r="2360" spans="1:9" x14ac:dyDescent="0.25">
      <c r="A2360" s="16">
        <v>42935</v>
      </c>
      <c r="B2360" s="273" t="s">
        <v>22246</v>
      </c>
      <c r="C2360">
        <v>120514</v>
      </c>
      <c r="D2360" s="236" t="s">
        <v>15315</v>
      </c>
      <c r="E2360" s="15">
        <v>3748.8</v>
      </c>
      <c r="F2360" s="274">
        <v>42938</v>
      </c>
      <c r="G2360" s="15">
        <v>3748.8</v>
      </c>
      <c r="H2360" s="15">
        <f>Tabla1[[#This Row],[Importe]]-Tabla1[[#This Row],[Pagado]]</f>
        <v>0</v>
      </c>
      <c r="I2360" s="275" t="s">
        <v>15214</v>
      </c>
    </row>
    <row r="2361" spans="1:9" x14ac:dyDescent="0.25">
      <c r="A2361" s="16">
        <v>42935</v>
      </c>
      <c r="B2361" s="273" t="s">
        <v>22247</v>
      </c>
      <c r="C2361">
        <v>120515</v>
      </c>
      <c r="D2361" s="236" t="s">
        <v>15539</v>
      </c>
      <c r="E2361" s="15">
        <v>19315.599999999999</v>
      </c>
      <c r="F2361" s="274">
        <v>42938</v>
      </c>
      <c r="G2361" s="15">
        <v>19315.599999999999</v>
      </c>
      <c r="H2361" s="15">
        <f>Tabla1[[#This Row],[Importe]]-Tabla1[[#This Row],[Pagado]]</f>
        <v>0</v>
      </c>
      <c r="I2361" s="275" t="s">
        <v>15214</v>
      </c>
    </row>
    <row r="2362" spans="1:9" x14ac:dyDescent="0.25">
      <c r="A2362" s="16">
        <v>42935</v>
      </c>
      <c r="B2362" s="273" t="s">
        <v>22248</v>
      </c>
      <c r="C2362">
        <v>120516</v>
      </c>
      <c r="D2362" s="236" t="s">
        <v>15568</v>
      </c>
      <c r="E2362" s="15">
        <v>7425.6</v>
      </c>
      <c r="F2362" s="274">
        <v>42935</v>
      </c>
      <c r="G2362" s="15">
        <v>7425.6</v>
      </c>
      <c r="H2362" s="15">
        <f>Tabla1[[#This Row],[Importe]]-Tabla1[[#This Row],[Pagado]]</f>
        <v>0</v>
      </c>
      <c r="I2362" s="275" t="s">
        <v>15214</v>
      </c>
    </row>
    <row r="2363" spans="1:9" x14ac:dyDescent="0.25">
      <c r="A2363" s="16">
        <v>42935</v>
      </c>
      <c r="B2363" s="273" t="s">
        <v>22249</v>
      </c>
      <c r="C2363">
        <v>120517</v>
      </c>
      <c r="D2363" s="236" t="s">
        <v>15537</v>
      </c>
      <c r="E2363" s="15">
        <v>20347.400000000001</v>
      </c>
      <c r="F2363" s="274">
        <v>42938</v>
      </c>
      <c r="G2363" s="15">
        <v>20347.400000000001</v>
      </c>
      <c r="H2363" s="15">
        <f>Tabla1[[#This Row],[Importe]]-Tabla1[[#This Row],[Pagado]]</f>
        <v>0</v>
      </c>
      <c r="I2363" s="275" t="s">
        <v>15214</v>
      </c>
    </row>
    <row r="2364" spans="1:9" x14ac:dyDescent="0.25">
      <c r="A2364" s="16">
        <v>42935</v>
      </c>
      <c r="B2364" s="273" t="s">
        <v>22250</v>
      </c>
      <c r="C2364">
        <v>120518</v>
      </c>
      <c r="D2364" s="236" t="s">
        <v>15559</v>
      </c>
      <c r="E2364" s="15">
        <v>11533.1</v>
      </c>
      <c r="F2364" s="274">
        <v>42942</v>
      </c>
      <c r="G2364" s="15">
        <v>11533.1</v>
      </c>
      <c r="H2364" s="15">
        <f>Tabla1[[#This Row],[Importe]]-Tabla1[[#This Row],[Pagado]]</f>
        <v>0</v>
      </c>
      <c r="I2364" s="275" t="s">
        <v>15214</v>
      </c>
    </row>
    <row r="2365" spans="1:9" x14ac:dyDescent="0.25">
      <c r="A2365" s="16">
        <v>42935</v>
      </c>
      <c r="B2365" s="273" t="s">
        <v>22251</v>
      </c>
      <c r="C2365">
        <v>120519</v>
      </c>
      <c r="D2365" s="236" t="s">
        <v>15315</v>
      </c>
      <c r="E2365" s="15">
        <v>3668.4</v>
      </c>
      <c r="F2365" s="274">
        <v>42938</v>
      </c>
      <c r="G2365" s="15">
        <v>3668.4</v>
      </c>
      <c r="H2365" s="15">
        <f>Tabla1[[#This Row],[Importe]]-Tabla1[[#This Row],[Pagado]]</f>
        <v>0</v>
      </c>
      <c r="I2365" s="275" t="s">
        <v>15214</v>
      </c>
    </row>
    <row r="2366" spans="1:9" x14ac:dyDescent="0.25">
      <c r="A2366" s="16">
        <v>42935</v>
      </c>
      <c r="B2366" s="273" t="s">
        <v>22252</v>
      </c>
      <c r="C2366">
        <v>120520</v>
      </c>
      <c r="D2366" s="236" t="s">
        <v>15315</v>
      </c>
      <c r="E2366" s="15">
        <v>928.8</v>
      </c>
      <c r="F2366" s="274">
        <v>42942</v>
      </c>
      <c r="G2366" s="15">
        <v>928.8</v>
      </c>
      <c r="H2366" s="15">
        <f>Tabla1[[#This Row],[Importe]]-Tabla1[[#This Row],[Pagado]]</f>
        <v>0</v>
      </c>
      <c r="I2366" s="275" t="s">
        <v>15214</v>
      </c>
    </row>
    <row r="2367" spans="1:9" x14ac:dyDescent="0.25">
      <c r="A2367" s="16">
        <v>42935</v>
      </c>
      <c r="B2367" s="273" t="s">
        <v>22253</v>
      </c>
      <c r="C2367">
        <v>120521</v>
      </c>
      <c r="D2367" s="236" t="s">
        <v>15344</v>
      </c>
      <c r="E2367" s="15">
        <v>2399.6999999999998</v>
      </c>
      <c r="F2367" s="274">
        <v>42935</v>
      </c>
      <c r="G2367" s="15">
        <v>2399.6999999999998</v>
      </c>
      <c r="H2367" s="15">
        <f>Tabla1[[#This Row],[Importe]]-Tabla1[[#This Row],[Pagado]]</f>
        <v>0</v>
      </c>
      <c r="I2367" s="275" t="s">
        <v>15214</v>
      </c>
    </row>
    <row r="2368" spans="1:9" x14ac:dyDescent="0.25">
      <c r="A2368" s="16">
        <v>42935</v>
      </c>
      <c r="B2368" s="273" t="s">
        <v>22254</v>
      </c>
      <c r="C2368">
        <v>120522</v>
      </c>
      <c r="D2368" s="236" t="s">
        <v>15526</v>
      </c>
      <c r="E2368" s="15">
        <v>4058.4</v>
      </c>
      <c r="F2368" s="274">
        <v>42935</v>
      </c>
      <c r="G2368" s="15">
        <v>4058.4</v>
      </c>
      <c r="H2368" s="15">
        <f>Tabla1[[#This Row],[Importe]]-Tabla1[[#This Row],[Pagado]]</f>
        <v>0</v>
      </c>
      <c r="I2368" s="275" t="s">
        <v>15214</v>
      </c>
    </row>
    <row r="2369" spans="1:9" x14ac:dyDescent="0.25">
      <c r="A2369" s="16">
        <v>42935</v>
      </c>
      <c r="B2369" s="273" t="s">
        <v>22255</v>
      </c>
      <c r="C2369">
        <v>120523</v>
      </c>
      <c r="D2369" s="236" t="s">
        <v>15858</v>
      </c>
      <c r="E2369" s="15">
        <v>2342.64</v>
      </c>
      <c r="F2369" s="274">
        <v>42935</v>
      </c>
      <c r="G2369" s="15">
        <v>2342.64</v>
      </c>
      <c r="H2369" s="15">
        <f>Tabla1[[#This Row],[Importe]]-Tabla1[[#This Row],[Pagado]]</f>
        <v>0</v>
      </c>
      <c r="I2369" s="275" t="s">
        <v>15214</v>
      </c>
    </row>
    <row r="2370" spans="1:9" x14ac:dyDescent="0.25">
      <c r="A2370" s="16">
        <v>42935</v>
      </c>
      <c r="B2370" s="273" t="s">
        <v>22256</v>
      </c>
      <c r="C2370">
        <v>120524</v>
      </c>
      <c r="D2370" s="236" t="s">
        <v>16171</v>
      </c>
      <c r="E2370" s="15">
        <v>1171.32</v>
      </c>
      <c r="F2370" s="274">
        <v>42935</v>
      </c>
      <c r="G2370" s="15">
        <v>1171.32</v>
      </c>
      <c r="H2370" s="15">
        <f>Tabla1[[#This Row],[Importe]]-Tabla1[[#This Row],[Pagado]]</f>
        <v>0</v>
      </c>
      <c r="I2370" s="275" t="s">
        <v>15214</v>
      </c>
    </row>
    <row r="2371" spans="1:9" x14ac:dyDescent="0.25">
      <c r="A2371" s="16">
        <v>42935</v>
      </c>
      <c r="B2371" s="273" t="s">
        <v>22257</v>
      </c>
      <c r="C2371">
        <v>120525</v>
      </c>
      <c r="D2371" s="236" t="s">
        <v>15725</v>
      </c>
      <c r="E2371" s="15">
        <v>19505.8</v>
      </c>
      <c r="F2371" s="274">
        <v>42940</v>
      </c>
      <c r="G2371" s="15">
        <v>19505.8</v>
      </c>
      <c r="H2371" s="15">
        <f>Tabla1[[#This Row],[Importe]]-Tabla1[[#This Row],[Pagado]]</f>
        <v>0</v>
      </c>
      <c r="I2371" s="275" t="s">
        <v>15214</v>
      </c>
    </row>
    <row r="2372" spans="1:9" x14ac:dyDescent="0.25">
      <c r="A2372" s="16">
        <v>42935</v>
      </c>
      <c r="B2372" s="273" t="s">
        <v>22258</v>
      </c>
      <c r="C2372">
        <v>120526</v>
      </c>
      <c r="D2372" s="236" t="s">
        <v>15378</v>
      </c>
      <c r="E2372" s="15">
        <v>1001.78</v>
      </c>
      <c r="F2372" s="274">
        <v>42935</v>
      </c>
      <c r="G2372" s="15">
        <v>1001.78</v>
      </c>
      <c r="H2372" s="15">
        <f>Tabla1[[#This Row],[Importe]]-Tabla1[[#This Row],[Pagado]]</f>
        <v>0</v>
      </c>
      <c r="I2372" s="275" t="s">
        <v>15214</v>
      </c>
    </row>
    <row r="2373" spans="1:9" x14ac:dyDescent="0.25">
      <c r="A2373" s="16">
        <v>42935</v>
      </c>
      <c r="B2373" s="273" t="s">
        <v>22259</v>
      </c>
      <c r="C2373">
        <v>120527</v>
      </c>
      <c r="D2373" s="236" t="s">
        <v>15748</v>
      </c>
      <c r="E2373" s="15">
        <v>1171.32</v>
      </c>
      <c r="F2373" s="274">
        <v>42935</v>
      </c>
      <c r="G2373" s="15">
        <v>1171.32</v>
      </c>
      <c r="H2373" s="15">
        <f>Tabla1[[#This Row],[Importe]]-Tabla1[[#This Row],[Pagado]]</f>
        <v>0</v>
      </c>
      <c r="I2373" s="275" t="s">
        <v>15214</v>
      </c>
    </row>
    <row r="2374" spans="1:9" x14ac:dyDescent="0.25">
      <c r="A2374" s="16">
        <v>42935</v>
      </c>
      <c r="B2374" s="273" t="s">
        <v>22260</v>
      </c>
      <c r="C2374">
        <v>120528</v>
      </c>
      <c r="D2374" s="236" t="s">
        <v>15742</v>
      </c>
      <c r="E2374" s="15">
        <v>1668.8</v>
      </c>
      <c r="F2374" s="274">
        <v>42935</v>
      </c>
      <c r="G2374" s="15">
        <v>1668.8</v>
      </c>
      <c r="H2374" s="15">
        <f>Tabla1[[#This Row],[Importe]]-Tabla1[[#This Row],[Pagado]]</f>
        <v>0</v>
      </c>
      <c r="I2374" s="275" t="s">
        <v>15214</v>
      </c>
    </row>
    <row r="2375" spans="1:9" x14ac:dyDescent="0.25">
      <c r="A2375" s="16">
        <v>42935</v>
      </c>
      <c r="B2375" s="273" t="s">
        <v>22261</v>
      </c>
      <c r="C2375">
        <v>120529</v>
      </c>
      <c r="D2375" s="236" t="s">
        <v>15334</v>
      </c>
      <c r="E2375" s="15">
        <v>873</v>
      </c>
      <c r="F2375" s="274">
        <v>42935</v>
      </c>
      <c r="G2375" s="15">
        <v>873</v>
      </c>
      <c r="H2375" s="15">
        <f>Tabla1[[#This Row],[Importe]]-Tabla1[[#This Row],[Pagado]]</f>
        <v>0</v>
      </c>
      <c r="I2375" s="275" t="s">
        <v>15214</v>
      </c>
    </row>
    <row r="2376" spans="1:9" x14ac:dyDescent="0.25">
      <c r="A2376" s="16">
        <v>42935</v>
      </c>
      <c r="B2376" s="273" t="s">
        <v>22262</v>
      </c>
      <c r="C2376">
        <v>120530</v>
      </c>
      <c r="D2376" s="236" t="s">
        <v>15334</v>
      </c>
      <c r="E2376" s="15">
        <v>1770</v>
      </c>
      <c r="F2376" s="274">
        <v>42935</v>
      </c>
      <c r="G2376" s="15">
        <v>1770</v>
      </c>
      <c r="H2376" s="15">
        <f>Tabla1[[#This Row],[Importe]]-Tabla1[[#This Row],[Pagado]]</f>
        <v>0</v>
      </c>
      <c r="I2376" s="275" t="s">
        <v>15214</v>
      </c>
    </row>
    <row r="2377" spans="1:9" x14ac:dyDescent="0.25">
      <c r="A2377" s="16">
        <v>42935</v>
      </c>
      <c r="B2377" s="273" t="s">
        <v>22263</v>
      </c>
      <c r="C2377">
        <v>120531</v>
      </c>
      <c r="D2377" s="236" t="s">
        <v>15340</v>
      </c>
      <c r="E2377" s="15">
        <v>6987.6</v>
      </c>
      <c r="F2377" s="274">
        <v>42935</v>
      </c>
      <c r="G2377" s="15">
        <v>6987.6</v>
      </c>
      <c r="H2377" s="15">
        <f>Tabla1[[#This Row],[Importe]]-Tabla1[[#This Row],[Pagado]]</f>
        <v>0</v>
      </c>
      <c r="I2377" s="275" t="s">
        <v>15214</v>
      </c>
    </row>
    <row r="2378" spans="1:9" x14ac:dyDescent="0.25">
      <c r="A2378" s="16">
        <v>42935</v>
      </c>
      <c r="B2378" s="273" t="s">
        <v>22264</v>
      </c>
      <c r="C2378">
        <v>120532</v>
      </c>
      <c r="D2378" s="236" t="s">
        <v>15358</v>
      </c>
      <c r="E2378" s="15">
        <v>2338.1999999999998</v>
      </c>
      <c r="F2378" s="274">
        <v>42935</v>
      </c>
      <c r="G2378" s="15">
        <v>2338.1999999999998</v>
      </c>
      <c r="H2378" s="15">
        <f>Tabla1[[#This Row],[Importe]]-Tabla1[[#This Row],[Pagado]]</f>
        <v>0</v>
      </c>
      <c r="I2378" s="275" t="s">
        <v>15214</v>
      </c>
    </row>
    <row r="2379" spans="1:9" x14ac:dyDescent="0.25">
      <c r="A2379" s="16">
        <v>42935</v>
      </c>
      <c r="B2379" s="273" t="s">
        <v>22265</v>
      </c>
      <c r="C2379">
        <v>120533</v>
      </c>
      <c r="D2379" s="236" t="s">
        <v>15336</v>
      </c>
      <c r="E2379" s="15">
        <v>6906.6</v>
      </c>
      <c r="F2379" s="274">
        <v>42935</v>
      </c>
      <c r="G2379" s="15">
        <v>6906.6</v>
      </c>
      <c r="H2379" s="15">
        <f>Tabla1[[#This Row],[Importe]]-Tabla1[[#This Row],[Pagado]]</f>
        <v>0</v>
      </c>
      <c r="I2379" s="275" t="s">
        <v>15214</v>
      </c>
    </row>
    <row r="2380" spans="1:9" x14ac:dyDescent="0.25">
      <c r="A2380" s="16">
        <v>42935</v>
      </c>
      <c r="B2380" s="273" t="s">
        <v>22266</v>
      </c>
      <c r="C2380">
        <v>120534</v>
      </c>
      <c r="D2380" s="236" t="s">
        <v>15244</v>
      </c>
      <c r="E2380" s="15">
        <v>3762.5</v>
      </c>
      <c r="F2380" s="274">
        <v>42936</v>
      </c>
      <c r="G2380" s="15">
        <v>3762.5</v>
      </c>
      <c r="H2380" s="15">
        <f>Tabla1[[#This Row],[Importe]]-Tabla1[[#This Row],[Pagado]]</f>
        <v>0</v>
      </c>
      <c r="I2380" s="275" t="s">
        <v>15214</v>
      </c>
    </row>
    <row r="2381" spans="1:9" x14ac:dyDescent="0.25">
      <c r="A2381" s="16">
        <v>42935</v>
      </c>
      <c r="B2381" s="273" t="s">
        <v>22267</v>
      </c>
      <c r="C2381">
        <v>120535</v>
      </c>
      <c r="D2381" s="236" t="s">
        <v>15246</v>
      </c>
      <c r="E2381" s="15">
        <v>15960</v>
      </c>
      <c r="F2381" s="274">
        <v>42938</v>
      </c>
      <c r="G2381" s="15">
        <v>15960</v>
      </c>
      <c r="H2381" s="15">
        <f>Tabla1[[#This Row],[Importe]]-Tabla1[[#This Row],[Pagado]]</f>
        <v>0</v>
      </c>
      <c r="I2381" s="275" t="s">
        <v>15214</v>
      </c>
    </row>
    <row r="2382" spans="1:9" x14ac:dyDescent="0.25">
      <c r="A2382" s="16">
        <v>42935</v>
      </c>
      <c r="B2382" s="273" t="s">
        <v>22268</v>
      </c>
      <c r="C2382">
        <v>120536</v>
      </c>
      <c r="D2382" s="236" t="s">
        <v>15549</v>
      </c>
      <c r="E2382" s="15">
        <v>10008.1</v>
      </c>
      <c r="F2382" s="274">
        <v>42935</v>
      </c>
      <c r="G2382" s="15">
        <v>10008.1</v>
      </c>
      <c r="H2382" s="15">
        <f>Tabla1[[#This Row],[Importe]]-Tabla1[[#This Row],[Pagado]]</f>
        <v>0</v>
      </c>
      <c r="I2382" s="275" t="s">
        <v>15214</v>
      </c>
    </row>
    <row r="2383" spans="1:9" x14ac:dyDescent="0.25">
      <c r="A2383" s="16">
        <v>42935</v>
      </c>
      <c r="B2383" s="273" t="s">
        <v>22269</v>
      </c>
      <c r="C2383">
        <v>120537</v>
      </c>
      <c r="D2383" s="236" t="s">
        <v>15282</v>
      </c>
      <c r="E2383" s="15">
        <v>4334.7</v>
      </c>
      <c r="F2383" s="274">
        <v>42935</v>
      </c>
      <c r="G2383" s="15">
        <v>4334.7</v>
      </c>
      <c r="H2383" s="15">
        <f>Tabla1[[#This Row],[Importe]]-Tabla1[[#This Row],[Pagado]]</f>
        <v>0</v>
      </c>
      <c r="I2383" s="275" t="s">
        <v>15214</v>
      </c>
    </row>
    <row r="2384" spans="1:9" x14ac:dyDescent="0.25">
      <c r="A2384" s="16">
        <v>42935</v>
      </c>
      <c r="B2384" s="273" t="s">
        <v>22270</v>
      </c>
      <c r="C2384">
        <v>120538</v>
      </c>
      <c r="D2384" s="236" t="s">
        <v>19461</v>
      </c>
      <c r="E2384" s="15">
        <v>1467.4</v>
      </c>
      <c r="F2384" s="274">
        <v>42935</v>
      </c>
      <c r="G2384" s="15">
        <v>1467.4</v>
      </c>
      <c r="H2384" s="15">
        <f>Tabla1[[#This Row],[Importe]]-Tabla1[[#This Row],[Pagado]]</f>
        <v>0</v>
      </c>
      <c r="I2384" s="275" t="s">
        <v>15214</v>
      </c>
    </row>
    <row r="2385" spans="1:9" x14ac:dyDescent="0.25">
      <c r="A2385" s="16">
        <v>42935</v>
      </c>
      <c r="B2385" s="273" t="s">
        <v>22271</v>
      </c>
      <c r="C2385">
        <v>120539</v>
      </c>
      <c r="D2385" s="236" t="s">
        <v>15541</v>
      </c>
      <c r="E2385" s="15">
        <v>1433.4</v>
      </c>
      <c r="F2385" s="274">
        <v>42935</v>
      </c>
      <c r="G2385" s="15">
        <v>1433.4</v>
      </c>
      <c r="H2385" s="15">
        <f>Tabla1[[#This Row],[Importe]]-Tabla1[[#This Row],[Pagado]]</f>
        <v>0</v>
      </c>
      <c r="I2385" s="275" t="s">
        <v>15214</v>
      </c>
    </row>
    <row r="2386" spans="1:9" x14ac:dyDescent="0.25">
      <c r="A2386" s="16">
        <v>42935</v>
      </c>
      <c r="B2386" s="273" t="s">
        <v>22272</v>
      </c>
      <c r="C2386">
        <v>120540</v>
      </c>
      <c r="D2386" s="236" t="s">
        <v>15254</v>
      </c>
      <c r="E2386" s="15">
        <v>28310.6</v>
      </c>
      <c r="F2386" s="274">
        <v>42936</v>
      </c>
      <c r="G2386" s="15">
        <v>28310.6</v>
      </c>
      <c r="H2386" s="15">
        <f>Tabla1[[#This Row],[Importe]]-Tabla1[[#This Row],[Pagado]]</f>
        <v>0</v>
      </c>
      <c r="I2386" s="275" t="s">
        <v>15214</v>
      </c>
    </row>
    <row r="2387" spans="1:9" x14ac:dyDescent="0.25">
      <c r="A2387" s="16">
        <v>42935</v>
      </c>
      <c r="B2387" s="273" t="s">
        <v>22273</v>
      </c>
      <c r="C2387">
        <v>120541</v>
      </c>
      <c r="D2387" s="236" t="s">
        <v>15590</v>
      </c>
      <c r="E2387" s="15">
        <v>32778.9</v>
      </c>
      <c r="F2387" s="274">
        <v>42947</v>
      </c>
      <c r="G2387" s="15">
        <v>32778.9</v>
      </c>
      <c r="H2387" s="15">
        <f>Tabla1[[#This Row],[Importe]]-Tabla1[[#This Row],[Pagado]]</f>
        <v>0</v>
      </c>
      <c r="I2387" s="275" t="s">
        <v>15214</v>
      </c>
    </row>
    <row r="2388" spans="1:9" x14ac:dyDescent="0.25">
      <c r="A2388" s="16">
        <v>42935</v>
      </c>
      <c r="B2388" s="273" t="s">
        <v>22274</v>
      </c>
      <c r="C2388">
        <v>120542</v>
      </c>
      <c r="D2388" s="236" t="s">
        <v>15409</v>
      </c>
      <c r="E2388" s="15">
        <v>11000</v>
      </c>
      <c r="F2388" s="274">
        <v>42935</v>
      </c>
      <c r="G2388" s="15">
        <v>11000</v>
      </c>
      <c r="H2388" s="15">
        <f>Tabla1[[#This Row],[Importe]]-Tabla1[[#This Row],[Pagado]]</f>
        <v>0</v>
      </c>
      <c r="I2388" s="275" t="s">
        <v>15214</v>
      </c>
    </row>
    <row r="2389" spans="1:9" x14ac:dyDescent="0.25">
      <c r="A2389" s="16">
        <v>42935</v>
      </c>
      <c r="B2389" s="273" t="s">
        <v>22275</v>
      </c>
      <c r="C2389">
        <v>120543</v>
      </c>
      <c r="D2389" s="236" t="s">
        <v>15617</v>
      </c>
      <c r="E2389" s="15">
        <v>13213.8</v>
      </c>
      <c r="F2389" s="274">
        <v>42935</v>
      </c>
      <c r="G2389" s="15">
        <v>13213.8</v>
      </c>
      <c r="H2389" s="15">
        <f>Tabla1[[#This Row],[Importe]]-Tabla1[[#This Row],[Pagado]]</f>
        <v>0</v>
      </c>
      <c r="I2389" s="275" t="s">
        <v>15214</v>
      </c>
    </row>
    <row r="2390" spans="1:9" x14ac:dyDescent="0.25">
      <c r="A2390" s="16">
        <v>42935</v>
      </c>
      <c r="B2390" s="273" t="s">
        <v>22276</v>
      </c>
      <c r="C2390">
        <v>120544</v>
      </c>
      <c r="D2390" s="236" t="s">
        <v>15284</v>
      </c>
      <c r="E2390" s="15">
        <v>1180.2</v>
      </c>
      <c r="F2390" s="274">
        <v>42935</v>
      </c>
      <c r="G2390" s="15">
        <v>1180.2</v>
      </c>
      <c r="H2390" s="15">
        <f>Tabla1[[#This Row],[Importe]]-Tabla1[[#This Row],[Pagado]]</f>
        <v>0</v>
      </c>
      <c r="I2390" s="275" t="s">
        <v>15214</v>
      </c>
    </row>
    <row r="2391" spans="1:9" x14ac:dyDescent="0.25">
      <c r="A2391" s="16">
        <v>42935</v>
      </c>
      <c r="B2391" s="273" t="s">
        <v>22277</v>
      </c>
      <c r="C2391">
        <v>120545</v>
      </c>
      <c r="D2391" s="236" t="s">
        <v>15298</v>
      </c>
      <c r="E2391" s="15">
        <v>491.4</v>
      </c>
      <c r="F2391" s="274">
        <v>42935</v>
      </c>
      <c r="G2391" s="15">
        <v>491.4</v>
      </c>
      <c r="H2391" s="15">
        <f>Tabla1[[#This Row],[Importe]]-Tabla1[[#This Row],[Pagado]]</f>
        <v>0</v>
      </c>
      <c r="I2391" s="275" t="s">
        <v>15214</v>
      </c>
    </row>
    <row r="2392" spans="1:9" x14ac:dyDescent="0.25">
      <c r="A2392" s="16">
        <v>42935</v>
      </c>
      <c r="B2392" s="273" t="s">
        <v>22278</v>
      </c>
      <c r="C2392">
        <v>120546</v>
      </c>
      <c r="D2392" s="236" t="s">
        <v>19768</v>
      </c>
      <c r="E2392" s="15">
        <v>1650</v>
      </c>
      <c r="F2392" s="274">
        <v>42935</v>
      </c>
      <c r="G2392" s="15">
        <v>1650</v>
      </c>
      <c r="H2392" s="15">
        <f>Tabla1[[#This Row],[Importe]]-Tabla1[[#This Row],[Pagado]]</f>
        <v>0</v>
      </c>
      <c r="I2392" s="275" t="s">
        <v>15214</v>
      </c>
    </row>
    <row r="2393" spans="1:9" x14ac:dyDescent="0.25">
      <c r="A2393" s="16">
        <v>42935</v>
      </c>
      <c r="B2393" s="273" t="s">
        <v>22279</v>
      </c>
      <c r="C2393">
        <v>120547</v>
      </c>
      <c r="D2393" s="236" t="s">
        <v>16383</v>
      </c>
      <c r="E2393" s="15">
        <v>9709.4</v>
      </c>
      <c r="F2393" s="274">
        <v>42936</v>
      </c>
      <c r="G2393" s="15">
        <v>9709.4</v>
      </c>
      <c r="H2393" s="15">
        <f>Tabla1[[#This Row],[Importe]]-Tabla1[[#This Row],[Pagado]]</f>
        <v>0</v>
      </c>
      <c r="I2393" s="275" t="s">
        <v>15214</v>
      </c>
    </row>
    <row r="2394" spans="1:9" x14ac:dyDescent="0.25">
      <c r="A2394" s="16">
        <v>42935</v>
      </c>
      <c r="B2394" s="273" t="s">
        <v>22280</v>
      </c>
      <c r="C2394">
        <v>120548</v>
      </c>
      <c r="D2394" s="236" t="s">
        <v>15716</v>
      </c>
      <c r="E2394" s="15">
        <v>7743.6</v>
      </c>
      <c r="F2394" s="274">
        <v>42935</v>
      </c>
      <c r="G2394" s="15">
        <v>7743.6</v>
      </c>
      <c r="H2394" s="15">
        <f>Tabla1[[#This Row],[Importe]]-Tabla1[[#This Row],[Pagado]]</f>
        <v>0</v>
      </c>
      <c r="I2394" s="275" t="s">
        <v>15214</v>
      </c>
    </row>
    <row r="2395" spans="1:9" x14ac:dyDescent="0.25">
      <c r="A2395" s="16">
        <v>42935</v>
      </c>
      <c r="B2395" s="273" t="s">
        <v>22281</v>
      </c>
      <c r="C2395">
        <v>120549</v>
      </c>
      <c r="D2395" s="236" t="s">
        <v>15581</v>
      </c>
      <c r="E2395" s="15">
        <v>5356.8</v>
      </c>
      <c r="F2395" s="274">
        <v>42941</v>
      </c>
      <c r="G2395" s="15">
        <v>5356.8</v>
      </c>
      <c r="H2395" s="15">
        <f>Tabla1[[#This Row],[Importe]]-Tabla1[[#This Row],[Pagado]]</f>
        <v>0</v>
      </c>
      <c r="I2395" s="275" t="s">
        <v>15214</v>
      </c>
    </row>
    <row r="2396" spans="1:9" x14ac:dyDescent="0.25">
      <c r="A2396" s="16">
        <v>42935</v>
      </c>
      <c r="B2396" s="273" t="s">
        <v>22282</v>
      </c>
      <c r="C2396">
        <v>120550</v>
      </c>
      <c r="D2396" s="236" t="s">
        <v>15810</v>
      </c>
      <c r="E2396" s="15">
        <v>2809.9</v>
      </c>
      <c r="F2396" s="274">
        <v>42935</v>
      </c>
      <c r="G2396" s="15">
        <v>2809.9</v>
      </c>
      <c r="H2396" s="15">
        <f>Tabla1[[#This Row],[Importe]]-Tabla1[[#This Row],[Pagado]]</f>
        <v>0</v>
      </c>
      <c r="I2396" s="275" t="s">
        <v>15214</v>
      </c>
    </row>
    <row r="2397" spans="1:9" x14ac:dyDescent="0.25">
      <c r="A2397" s="16">
        <v>42935</v>
      </c>
      <c r="B2397" s="273" t="s">
        <v>22283</v>
      </c>
      <c r="C2397">
        <v>120551</v>
      </c>
      <c r="D2397" s="236" t="s">
        <v>15665</v>
      </c>
      <c r="E2397" s="15">
        <v>626.6</v>
      </c>
      <c r="F2397" s="274">
        <v>42935</v>
      </c>
      <c r="G2397" s="15">
        <v>626.6</v>
      </c>
      <c r="H2397" s="15">
        <f>Tabla1[[#This Row],[Importe]]-Tabla1[[#This Row],[Pagado]]</f>
        <v>0</v>
      </c>
      <c r="I2397" s="275" t="s">
        <v>15214</v>
      </c>
    </row>
    <row r="2398" spans="1:9" x14ac:dyDescent="0.25">
      <c r="A2398" s="16">
        <v>42935</v>
      </c>
      <c r="B2398" s="273" t="s">
        <v>22284</v>
      </c>
      <c r="C2398">
        <v>120552</v>
      </c>
      <c r="D2398" s="236" t="s">
        <v>15391</v>
      </c>
      <c r="E2398" s="15">
        <v>7988.4</v>
      </c>
      <c r="F2398" s="274">
        <v>42936</v>
      </c>
      <c r="G2398" s="15">
        <v>7988.4</v>
      </c>
      <c r="H2398" s="15">
        <f>Tabla1[[#This Row],[Importe]]-Tabla1[[#This Row],[Pagado]]</f>
        <v>0</v>
      </c>
      <c r="I2398" s="275" t="s">
        <v>15214</v>
      </c>
    </row>
    <row r="2399" spans="1:9" x14ac:dyDescent="0.25">
      <c r="A2399" s="16">
        <v>42935</v>
      </c>
      <c r="B2399" s="273" t="s">
        <v>22285</v>
      </c>
      <c r="C2399">
        <v>120553</v>
      </c>
      <c r="D2399" s="236" t="s">
        <v>15315</v>
      </c>
      <c r="E2399" s="15">
        <v>426.6</v>
      </c>
      <c r="F2399" s="274">
        <v>42935</v>
      </c>
      <c r="G2399" s="15">
        <v>426.6</v>
      </c>
      <c r="H2399" s="15">
        <f>Tabla1[[#This Row],[Importe]]-Tabla1[[#This Row],[Pagado]]</f>
        <v>0</v>
      </c>
      <c r="I2399" s="275" t="s">
        <v>15214</v>
      </c>
    </row>
    <row r="2400" spans="1:9" x14ac:dyDescent="0.25">
      <c r="A2400" s="16">
        <v>42935</v>
      </c>
      <c r="B2400" s="273" t="s">
        <v>22286</v>
      </c>
      <c r="C2400">
        <v>120554</v>
      </c>
      <c r="D2400" s="236" t="s">
        <v>15407</v>
      </c>
      <c r="E2400" s="15">
        <v>1100.5</v>
      </c>
      <c r="F2400" s="274">
        <v>42935</v>
      </c>
      <c r="G2400" s="15">
        <v>1100.5</v>
      </c>
      <c r="H2400" s="15">
        <f>Tabla1[[#This Row],[Importe]]-Tabla1[[#This Row],[Pagado]]</f>
        <v>0</v>
      </c>
      <c r="I2400" s="275" t="s">
        <v>15214</v>
      </c>
    </row>
    <row r="2401" spans="1:9" x14ac:dyDescent="0.25">
      <c r="A2401" s="16">
        <v>42935</v>
      </c>
      <c r="B2401" s="273" t="s">
        <v>22287</v>
      </c>
      <c r="C2401">
        <v>120555</v>
      </c>
      <c r="D2401" s="236" t="s">
        <v>15728</v>
      </c>
      <c r="E2401" s="15">
        <v>8910</v>
      </c>
      <c r="F2401" s="274">
        <v>42935</v>
      </c>
      <c r="G2401" s="15">
        <v>8910</v>
      </c>
      <c r="H2401" s="15">
        <f>Tabla1[[#This Row],[Importe]]-Tabla1[[#This Row],[Pagado]]</f>
        <v>0</v>
      </c>
      <c r="I2401" s="275" t="s">
        <v>15214</v>
      </c>
    </row>
    <row r="2402" spans="1:9" x14ac:dyDescent="0.25">
      <c r="A2402" s="16">
        <v>42935</v>
      </c>
      <c r="B2402" s="273" t="s">
        <v>22288</v>
      </c>
      <c r="C2402">
        <v>120556</v>
      </c>
      <c r="D2402" s="236" t="s">
        <v>15246</v>
      </c>
      <c r="E2402" s="15">
        <v>16170.3</v>
      </c>
      <c r="F2402" s="274">
        <v>42938</v>
      </c>
      <c r="G2402" s="15">
        <v>16170.3</v>
      </c>
      <c r="H2402" s="15">
        <f>Tabla1[[#This Row],[Importe]]-Tabla1[[#This Row],[Pagado]]</f>
        <v>0</v>
      </c>
      <c r="I2402" s="275" t="s">
        <v>15214</v>
      </c>
    </row>
    <row r="2403" spans="1:9" ht="15.75" x14ac:dyDescent="0.25">
      <c r="A2403" s="16">
        <v>42935</v>
      </c>
      <c r="B2403" s="273" t="s">
        <v>22289</v>
      </c>
      <c r="C2403">
        <v>120557</v>
      </c>
      <c r="D2403" s="248" t="s">
        <v>95</v>
      </c>
      <c r="E2403" s="15">
        <v>0</v>
      </c>
      <c r="F2403" s="277" t="s">
        <v>95</v>
      </c>
      <c r="G2403" s="15">
        <v>0</v>
      </c>
      <c r="H2403" s="15">
        <f>Tabla1[[#This Row],[Importe]]-Tabla1[[#This Row],[Pagado]]</f>
        <v>0</v>
      </c>
      <c r="I2403" s="275" t="s">
        <v>95</v>
      </c>
    </row>
    <row r="2404" spans="1:9" x14ac:dyDescent="0.25">
      <c r="A2404" s="16">
        <v>42935</v>
      </c>
      <c r="B2404" s="273" t="s">
        <v>22290</v>
      </c>
      <c r="C2404">
        <v>120558</v>
      </c>
      <c r="D2404" s="236" t="s">
        <v>15423</v>
      </c>
      <c r="E2404" s="15">
        <v>2725.8</v>
      </c>
      <c r="F2404" s="274">
        <v>42935</v>
      </c>
      <c r="G2404" s="15">
        <v>2725.8</v>
      </c>
      <c r="H2404" s="15">
        <f>Tabla1[[#This Row],[Importe]]-Tabla1[[#This Row],[Pagado]]</f>
        <v>0</v>
      </c>
      <c r="I2404" s="275" t="s">
        <v>15214</v>
      </c>
    </row>
    <row r="2405" spans="1:9" x14ac:dyDescent="0.25">
      <c r="A2405" s="16">
        <v>42935</v>
      </c>
      <c r="B2405" s="273" t="s">
        <v>22291</v>
      </c>
      <c r="C2405">
        <v>120559</v>
      </c>
      <c r="D2405" s="236" t="s">
        <v>15444</v>
      </c>
      <c r="E2405" s="15">
        <v>2590.8000000000002</v>
      </c>
      <c r="F2405" s="274">
        <v>42936</v>
      </c>
      <c r="G2405" s="15">
        <v>2590.8000000000002</v>
      </c>
      <c r="H2405" s="15">
        <f>Tabla1[[#This Row],[Importe]]-Tabla1[[#This Row],[Pagado]]</f>
        <v>0</v>
      </c>
      <c r="I2405" s="275" t="s">
        <v>15214</v>
      </c>
    </row>
    <row r="2406" spans="1:9" x14ac:dyDescent="0.25">
      <c r="A2406" s="16">
        <v>42935</v>
      </c>
      <c r="B2406" s="273" t="s">
        <v>22292</v>
      </c>
      <c r="C2406">
        <v>120560</v>
      </c>
      <c r="D2406" s="236" t="s">
        <v>15396</v>
      </c>
      <c r="E2406" s="15">
        <v>6290.88</v>
      </c>
      <c r="F2406" s="274">
        <v>42935</v>
      </c>
      <c r="G2406" s="15">
        <v>6290.88</v>
      </c>
      <c r="H2406" s="15">
        <f>Tabla1[[#This Row],[Importe]]-Tabla1[[#This Row],[Pagado]]</f>
        <v>0</v>
      </c>
      <c r="I2406" s="275" t="s">
        <v>15214</v>
      </c>
    </row>
    <row r="2407" spans="1:9" x14ac:dyDescent="0.25">
      <c r="A2407" s="16">
        <v>42935</v>
      </c>
      <c r="B2407" s="273" t="s">
        <v>22293</v>
      </c>
      <c r="C2407">
        <v>120561</v>
      </c>
      <c r="D2407" s="236" t="s">
        <v>19933</v>
      </c>
      <c r="E2407" s="15">
        <v>1604.7</v>
      </c>
      <c r="F2407" s="274">
        <v>42935</v>
      </c>
      <c r="G2407" s="15">
        <v>1604.7</v>
      </c>
      <c r="H2407" s="15">
        <f>Tabla1[[#This Row],[Importe]]-Tabla1[[#This Row],[Pagado]]</f>
        <v>0</v>
      </c>
      <c r="I2407" s="275" t="s">
        <v>15214</v>
      </c>
    </row>
    <row r="2408" spans="1:9" x14ac:dyDescent="0.25">
      <c r="A2408" s="16">
        <v>42935</v>
      </c>
      <c r="B2408" s="273" t="s">
        <v>22294</v>
      </c>
      <c r="C2408">
        <v>120562</v>
      </c>
      <c r="D2408" s="236" t="s">
        <v>15419</v>
      </c>
      <c r="E2408" s="15">
        <v>51362.8</v>
      </c>
      <c r="F2408" s="274">
        <v>42945</v>
      </c>
      <c r="G2408" s="15">
        <v>51362.8</v>
      </c>
      <c r="H2408" s="15">
        <f>Tabla1[[#This Row],[Importe]]-Tabla1[[#This Row],[Pagado]]</f>
        <v>0</v>
      </c>
      <c r="I2408" s="275" t="s">
        <v>15214</v>
      </c>
    </row>
    <row r="2409" spans="1:9" x14ac:dyDescent="0.25">
      <c r="A2409" s="16">
        <v>42935</v>
      </c>
      <c r="B2409" s="273" t="s">
        <v>22295</v>
      </c>
      <c r="C2409">
        <v>120563</v>
      </c>
      <c r="D2409" s="236" t="s">
        <v>15365</v>
      </c>
      <c r="E2409" s="15">
        <v>270010</v>
      </c>
      <c r="F2409" s="274">
        <v>42943</v>
      </c>
      <c r="G2409" s="15">
        <v>270010</v>
      </c>
      <c r="H2409" s="15">
        <f>Tabla1[[#This Row],[Importe]]-Tabla1[[#This Row],[Pagado]]</f>
        <v>0</v>
      </c>
      <c r="I2409" s="275" t="s">
        <v>15214</v>
      </c>
    </row>
    <row r="2410" spans="1:9" x14ac:dyDescent="0.25">
      <c r="A2410" s="16">
        <v>42935</v>
      </c>
      <c r="B2410" s="273" t="s">
        <v>22296</v>
      </c>
      <c r="C2410">
        <v>120564</v>
      </c>
      <c r="D2410" s="236" t="s">
        <v>15789</v>
      </c>
      <c r="E2410" s="15">
        <v>23211.599999999999</v>
      </c>
      <c r="F2410" s="274">
        <v>42942</v>
      </c>
      <c r="G2410" s="15">
        <v>23211.599999999999</v>
      </c>
      <c r="H2410" s="15">
        <f>Tabla1[[#This Row],[Importe]]-Tabla1[[#This Row],[Pagado]]</f>
        <v>0</v>
      </c>
      <c r="I2410" s="275" t="s">
        <v>15214</v>
      </c>
    </row>
    <row r="2411" spans="1:9" x14ac:dyDescent="0.25">
      <c r="A2411" s="16">
        <v>42935</v>
      </c>
      <c r="B2411" s="273" t="s">
        <v>22297</v>
      </c>
      <c r="C2411">
        <v>120565</v>
      </c>
      <c r="D2411" s="236" t="s">
        <v>15435</v>
      </c>
      <c r="E2411" s="15">
        <v>7495.2</v>
      </c>
      <c r="F2411" s="274">
        <v>42935</v>
      </c>
      <c r="G2411" s="15">
        <v>7495.2</v>
      </c>
      <c r="H2411" s="15">
        <f>Tabla1[[#This Row],[Importe]]-Tabla1[[#This Row],[Pagado]]</f>
        <v>0</v>
      </c>
      <c r="I2411" s="275" t="s">
        <v>15214</v>
      </c>
    </row>
    <row r="2412" spans="1:9" x14ac:dyDescent="0.25">
      <c r="A2412" s="16">
        <v>42935</v>
      </c>
      <c r="B2412" s="273" t="s">
        <v>22298</v>
      </c>
      <c r="C2412">
        <v>120566</v>
      </c>
      <c r="D2412" s="236" t="s">
        <v>19773</v>
      </c>
      <c r="E2412" s="15">
        <v>5031.32</v>
      </c>
      <c r="F2412" s="274">
        <v>42959</v>
      </c>
      <c r="G2412" s="15">
        <v>5031.32</v>
      </c>
      <c r="H2412" s="15">
        <f>Tabla1[[#This Row],[Importe]]-Tabla1[[#This Row],[Pagado]]</f>
        <v>0</v>
      </c>
      <c r="I2412" s="275" t="s">
        <v>15214</v>
      </c>
    </row>
    <row r="2413" spans="1:9" x14ac:dyDescent="0.25">
      <c r="A2413" s="16">
        <v>42935</v>
      </c>
      <c r="B2413" s="273" t="s">
        <v>22299</v>
      </c>
      <c r="C2413">
        <v>120567</v>
      </c>
      <c r="D2413" s="236" t="s">
        <v>15246</v>
      </c>
      <c r="E2413" s="15">
        <v>160110.9</v>
      </c>
      <c r="F2413" s="274">
        <v>42938</v>
      </c>
      <c r="G2413" s="15">
        <v>160110.9</v>
      </c>
      <c r="H2413" s="15">
        <f>Tabla1[[#This Row],[Importe]]-Tabla1[[#This Row],[Pagado]]</f>
        <v>0</v>
      </c>
      <c r="I2413" s="275" t="s">
        <v>15214</v>
      </c>
    </row>
    <row r="2414" spans="1:9" x14ac:dyDescent="0.25">
      <c r="A2414" s="16">
        <v>42935</v>
      </c>
      <c r="B2414" s="273" t="s">
        <v>22300</v>
      </c>
      <c r="C2414">
        <v>120568</v>
      </c>
      <c r="D2414" s="236" t="s">
        <v>21386</v>
      </c>
      <c r="E2414" s="15">
        <v>10707</v>
      </c>
      <c r="F2414" s="274">
        <v>42936</v>
      </c>
      <c r="G2414" s="15">
        <v>10707</v>
      </c>
      <c r="H2414" s="15">
        <f>Tabla1[[#This Row],[Importe]]-Tabla1[[#This Row],[Pagado]]</f>
        <v>0</v>
      </c>
      <c r="I2414" s="275" t="s">
        <v>15214</v>
      </c>
    </row>
    <row r="2415" spans="1:9" x14ac:dyDescent="0.25">
      <c r="A2415" s="16">
        <v>42936</v>
      </c>
      <c r="B2415" s="273" t="s">
        <v>22301</v>
      </c>
      <c r="C2415">
        <v>120569</v>
      </c>
      <c r="D2415" s="236" t="s">
        <v>15213</v>
      </c>
      <c r="E2415" s="15">
        <v>47295.7</v>
      </c>
      <c r="F2415" s="274">
        <v>42937</v>
      </c>
      <c r="G2415" s="15">
        <v>47295.7</v>
      </c>
      <c r="H2415" s="15">
        <f>Tabla1[[#This Row],[Importe]]-Tabla1[[#This Row],[Pagado]]</f>
        <v>0</v>
      </c>
      <c r="I2415" s="275" t="s">
        <v>15214</v>
      </c>
    </row>
    <row r="2416" spans="1:9" x14ac:dyDescent="0.25">
      <c r="A2416" s="16">
        <v>42936</v>
      </c>
      <c r="B2416" s="273" t="s">
        <v>22302</v>
      </c>
      <c r="C2416">
        <v>120570</v>
      </c>
      <c r="D2416" s="236" t="s">
        <v>15242</v>
      </c>
      <c r="E2416" s="15">
        <v>16391.400000000001</v>
      </c>
      <c r="F2416" s="274">
        <v>42936</v>
      </c>
      <c r="G2416" s="15">
        <v>16391.400000000001</v>
      </c>
      <c r="H2416" s="15">
        <f>Tabla1[[#This Row],[Importe]]-Tabla1[[#This Row],[Pagado]]</f>
        <v>0</v>
      </c>
      <c r="I2416" s="275" t="s">
        <v>15214</v>
      </c>
    </row>
    <row r="2417" spans="1:9" x14ac:dyDescent="0.25">
      <c r="A2417" s="16">
        <v>42936</v>
      </c>
      <c r="B2417" s="273" t="s">
        <v>22303</v>
      </c>
      <c r="C2417">
        <v>120571</v>
      </c>
      <c r="D2417" s="236" t="s">
        <v>18544</v>
      </c>
      <c r="E2417" s="15">
        <v>8166.8</v>
      </c>
      <c r="F2417" s="274">
        <v>42936</v>
      </c>
      <c r="G2417" s="15">
        <v>8166.8</v>
      </c>
      <c r="H2417" s="15">
        <f>Tabla1[[#This Row],[Importe]]-Tabla1[[#This Row],[Pagado]]</f>
        <v>0</v>
      </c>
      <c r="I2417" s="275" t="s">
        <v>15214</v>
      </c>
    </row>
    <row r="2418" spans="1:9" x14ac:dyDescent="0.25">
      <c r="A2418" s="16">
        <v>42936</v>
      </c>
      <c r="B2418" s="273" t="s">
        <v>22304</v>
      </c>
      <c r="C2418">
        <v>120572</v>
      </c>
      <c r="D2418" s="236" t="s">
        <v>15328</v>
      </c>
      <c r="E2418" s="15">
        <v>70956.39</v>
      </c>
      <c r="F2418" s="274">
        <v>42945</v>
      </c>
      <c r="G2418" s="15">
        <v>70956.39</v>
      </c>
      <c r="H2418" s="15">
        <f>Tabla1[[#This Row],[Importe]]-Tabla1[[#This Row],[Pagado]]</f>
        <v>0</v>
      </c>
      <c r="I2418" s="275" t="s">
        <v>15214</v>
      </c>
    </row>
    <row r="2419" spans="1:9" x14ac:dyDescent="0.25">
      <c r="A2419" s="16">
        <v>42936</v>
      </c>
      <c r="B2419" s="273" t="s">
        <v>22305</v>
      </c>
      <c r="C2419">
        <v>120573</v>
      </c>
      <c r="D2419" s="236" t="s">
        <v>15240</v>
      </c>
      <c r="E2419" s="15">
        <v>3418.5</v>
      </c>
      <c r="F2419" s="274">
        <v>42938</v>
      </c>
      <c r="G2419" s="15">
        <v>3418.5</v>
      </c>
      <c r="H2419" s="15">
        <f>Tabla1[[#This Row],[Importe]]-Tabla1[[#This Row],[Pagado]]</f>
        <v>0</v>
      </c>
      <c r="I2419" s="275" t="s">
        <v>15214</v>
      </c>
    </row>
    <row r="2420" spans="1:9" x14ac:dyDescent="0.25">
      <c r="A2420" s="16">
        <v>42936</v>
      </c>
      <c r="B2420" s="273" t="s">
        <v>22306</v>
      </c>
      <c r="C2420">
        <v>120574</v>
      </c>
      <c r="D2420" s="236" t="s">
        <v>15356</v>
      </c>
      <c r="E2420" s="15">
        <v>3021</v>
      </c>
      <c r="F2420" s="274">
        <v>42936</v>
      </c>
      <c r="G2420" s="15">
        <v>3021</v>
      </c>
      <c r="H2420" s="15">
        <f>Tabla1[[#This Row],[Importe]]-Tabla1[[#This Row],[Pagado]]</f>
        <v>0</v>
      </c>
      <c r="I2420" s="275" t="s">
        <v>15214</v>
      </c>
    </row>
    <row r="2421" spans="1:9" x14ac:dyDescent="0.25">
      <c r="A2421" s="16">
        <v>42936</v>
      </c>
      <c r="B2421" s="273" t="s">
        <v>22307</v>
      </c>
      <c r="C2421">
        <v>120575</v>
      </c>
      <c r="D2421" s="236" t="s">
        <v>15348</v>
      </c>
      <c r="E2421" s="15">
        <v>323.2</v>
      </c>
      <c r="F2421" s="274">
        <v>42938</v>
      </c>
      <c r="G2421" s="15">
        <v>323.2</v>
      </c>
      <c r="H2421" s="15">
        <f>Tabla1[[#This Row],[Importe]]-Tabla1[[#This Row],[Pagado]]</f>
        <v>0</v>
      </c>
      <c r="I2421" s="275" t="s">
        <v>15214</v>
      </c>
    </row>
    <row r="2422" spans="1:9" x14ac:dyDescent="0.25">
      <c r="A2422" s="16">
        <v>42936</v>
      </c>
      <c r="B2422" s="273" t="s">
        <v>22308</v>
      </c>
      <c r="C2422">
        <v>120576</v>
      </c>
      <c r="D2422" s="236" t="s">
        <v>15348</v>
      </c>
      <c r="E2422" s="15">
        <v>3195.9</v>
      </c>
      <c r="F2422" s="274">
        <v>42938</v>
      </c>
      <c r="G2422" s="15">
        <v>3195.9</v>
      </c>
      <c r="H2422" s="15">
        <f>Tabla1[[#This Row],[Importe]]-Tabla1[[#This Row],[Pagado]]</f>
        <v>0</v>
      </c>
      <c r="I2422" s="275" t="s">
        <v>15214</v>
      </c>
    </row>
    <row r="2423" spans="1:9" x14ac:dyDescent="0.25">
      <c r="A2423" s="16">
        <v>42936</v>
      </c>
      <c r="B2423" s="273" t="s">
        <v>22309</v>
      </c>
      <c r="C2423">
        <v>120577</v>
      </c>
      <c r="D2423" s="236" t="s">
        <v>15332</v>
      </c>
      <c r="E2423" s="15">
        <v>4788</v>
      </c>
      <c r="F2423" s="274">
        <v>42936</v>
      </c>
      <c r="G2423" s="15">
        <v>4788</v>
      </c>
      <c r="H2423" s="15">
        <f>Tabla1[[#This Row],[Importe]]-Tabla1[[#This Row],[Pagado]]</f>
        <v>0</v>
      </c>
      <c r="I2423" s="275" t="s">
        <v>15214</v>
      </c>
    </row>
    <row r="2424" spans="1:9" x14ac:dyDescent="0.25">
      <c r="A2424" s="16">
        <v>42936</v>
      </c>
      <c r="B2424" s="273" t="s">
        <v>22310</v>
      </c>
      <c r="C2424">
        <v>120578</v>
      </c>
      <c r="D2424" s="236" t="s">
        <v>15220</v>
      </c>
      <c r="E2424" s="15">
        <v>3025</v>
      </c>
      <c r="F2424" s="274">
        <v>42936</v>
      </c>
      <c r="G2424" s="15">
        <v>3025</v>
      </c>
      <c r="H2424" s="15">
        <f>Tabla1[[#This Row],[Importe]]-Tabla1[[#This Row],[Pagado]]</f>
        <v>0</v>
      </c>
      <c r="I2424" s="275" t="s">
        <v>15214</v>
      </c>
    </row>
    <row r="2425" spans="1:9" x14ac:dyDescent="0.25">
      <c r="A2425" s="16">
        <v>42936</v>
      </c>
      <c r="B2425" s="273" t="s">
        <v>22311</v>
      </c>
      <c r="C2425">
        <v>120579</v>
      </c>
      <c r="D2425" s="236" t="s">
        <v>15226</v>
      </c>
      <c r="E2425" s="15">
        <v>2144.8000000000002</v>
      </c>
      <c r="F2425" s="274">
        <v>42938</v>
      </c>
      <c r="G2425" s="15">
        <v>2144.8000000000002</v>
      </c>
      <c r="H2425" s="15">
        <f>Tabla1[[#This Row],[Importe]]-Tabla1[[#This Row],[Pagado]]</f>
        <v>0</v>
      </c>
      <c r="I2425" s="275" t="s">
        <v>15214</v>
      </c>
    </row>
    <row r="2426" spans="1:9" x14ac:dyDescent="0.25">
      <c r="A2426" s="16">
        <v>42936</v>
      </c>
      <c r="B2426" s="273" t="s">
        <v>22312</v>
      </c>
      <c r="C2426">
        <v>120580</v>
      </c>
      <c r="D2426" s="236" t="s">
        <v>15248</v>
      </c>
      <c r="E2426" s="15">
        <v>18844.400000000001</v>
      </c>
      <c r="F2426" s="274">
        <v>42936</v>
      </c>
      <c r="G2426" s="15">
        <v>18844.400000000001</v>
      </c>
      <c r="H2426" s="15">
        <f>Tabla1[[#This Row],[Importe]]-Tabla1[[#This Row],[Pagado]]</f>
        <v>0</v>
      </c>
      <c r="I2426" s="275" t="s">
        <v>15214</v>
      </c>
    </row>
    <row r="2427" spans="1:9" x14ac:dyDescent="0.25">
      <c r="A2427" s="16">
        <v>42936</v>
      </c>
      <c r="B2427" s="273" t="s">
        <v>22313</v>
      </c>
      <c r="C2427">
        <v>120581</v>
      </c>
      <c r="D2427" s="236" t="s">
        <v>15338</v>
      </c>
      <c r="E2427" s="15">
        <v>10094.15</v>
      </c>
      <c r="F2427" s="274">
        <v>42940</v>
      </c>
      <c r="G2427" s="15">
        <v>10094.15</v>
      </c>
      <c r="H2427" s="15">
        <f>Tabla1[[#This Row],[Importe]]-Tabla1[[#This Row],[Pagado]]</f>
        <v>0</v>
      </c>
      <c r="I2427" s="275" t="s">
        <v>15214</v>
      </c>
    </row>
    <row r="2428" spans="1:9" x14ac:dyDescent="0.25">
      <c r="A2428" s="16">
        <v>42936</v>
      </c>
      <c r="B2428" s="273" t="s">
        <v>22314</v>
      </c>
      <c r="C2428">
        <v>120582</v>
      </c>
      <c r="D2428" s="236" t="s">
        <v>15246</v>
      </c>
      <c r="E2428" s="15">
        <v>147413.85999999999</v>
      </c>
      <c r="F2428" s="274">
        <v>42942</v>
      </c>
      <c r="G2428" s="15">
        <v>147413.85999999999</v>
      </c>
      <c r="H2428" s="15">
        <f>Tabla1[[#This Row],[Importe]]-Tabla1[[#This Row],[Pagado]]</f>
        <v>0</v>
      </c>
      <c r="I2428" s="275" t="s">
        <v>15214</v>
      </c>
    </row>
    <row r="2429" spans="1:9" ht="15.75" x14ac:dyDescent="0.25">
      <c r="A2429" s="16">
        <v>42936</v>
      </c>
      <c r="B2429" s="273" t="s">
        <v>22315</v>
      </c>
      <c r="C2429">
        <v>120583</v>
      </c>
      <c r="D2429" s="248" t="s">
        <v>95</v>
      </c>
      <c r="E2429" s="15">
        <v>0</v>
      </c>
      <c r="F2429" s="277" t="s">
        <v>95</v>
      </c>
      <c r="G2429" s="15">
        <v>0</v>
      </c>
      <c r="H2429" s="15">
        <f>Tabla1[[#This Row],[Importe]]-Tabla1[[#This Row],[Pagado]]</f>
        <v>0</v>
      </c>
      <c r="I2429" s="275" t="s">
        <v>95</v>
      </c>
    </row>
    <row r="2430" spans="1:9" x14ac:dyDescent="0.25">
      <c r="A2430" s="16">
        <v>42936</v>
      </c>
      <c r="B2430" s="273" t="s">
        <v>22316</v>
      </c>
      <c r="C2430">
        <v>120584</v>
      </c>
      <c r="D2430" s="236" t="s">
        <v>15628</v>
      </c>
      <c r="E2430" s="15">
        <v>16826</v>
      </c>
      <c r="F2430" s="274">
        <v>42936</v>
      </c>
      <c r="G2430" s="15">
        <v>16826</v>
      </c>
      <c r="H2430" s="15">
        <f>Tabla1[[#This Row],[Importe]]-Tabla1[[#This Row],[Pagado]]</f>
        <v>0</v>
      </c>
      <c r="I2430" s="275" t="s">
        <v>15214</v>
      </c>
    </row>
    <row r="2431" spans="1:9" x14ac:dyDescent="0.25">
      <c r="A2431" s="16">
        <v>42936</v>
      </c>
      <c r="B2431" s="273" t="s">
        <v>22317</v>
      </c>
      <c r="C2431">
        <v>120585</v>
      </c>
      <c r="D2431" s="236" t="s">
        <v>15272</v>
      </c>
      <c r="E2431" s="15">
        <v>9822.5</v>
      </c>
      <c r="F2431" s="274">
        <v>42936</v>
      </c>
      <c r="G2431" s="15">
        <v>9822.5</v>
      </c>
      <c r="H2431" s="15">
        <f>Tabla1[[#This Row],[Importe]]-Tabla1[[#This Row],[Pagado]]</f>
        <v>0</v>
      </c>
      <c r="I2431" s="275" t="s">
        <v>15214</v>
      </c>
    </row>
    <row r="2432" spans="1:9" x14ac:dyDescent="0.25">
      <c r="A2432" s="16">
        <v>42936</v>
      </c>
      <c r="B2432" s="273" t="s">
        <v>22318</v>
      </c>
      <c r="C2432">
        <v>120586</v>
      </c>
      <c r="D2432" s="236" t="s">
        <v>15987</v>
      </c>
      <c r="E2432" s="15">
        <v>2801.4</v>
      </c>
      <c r="F2432" s="274">
        <v>42936</v>
      </c>
      <c r="G2432" s="15">
        <v>2801.4</v>
      </c>
      <c r="H2432" s="15">
        <f>Tabla1[[#This Row],[Importe]]-Tabla1[[#This Row],[Pagado]]</f>
        <v>0</v>
      </c>
      <c r="I2432" s="275" t="s">
        <v>15214</v>
      </c>
    </row>
    <row r="2433" spans="1:9" x14ac:dyDescent="0.25">
      <c r="A2433" s="16">
        <v>42936</v>
      </c>
      <c r="B2433" s="273" t="s">
        <v>22319</v>
      </c>
      <c r="C2433">
        <v>120587</v>
      </c>
      <c r="D2433" s="236" t="s">
        <v>5575</v>
      </c>
      <c r="E2433" s="15">
        <v>1070.4000000000001</v>
      </c>
      <c r="F2433" s="274">
        <v>42937</v>
      </c>
      <c r="G2433" s="15">
        <v>1070.4000000000001</v>
      </c>
      <c r="H2433" s="15">
        <f>Tabla1[[#This Row],[Importe]]-Tabla1[[#This Row],[Pagado]]</f>
        <v>0</v>
      </c>
      <c r="I2433" s="275" t="s">
        <v>15214</v>
      </c>
    </row>
    <row r="2434" spans="1:9" x14ac:dyDescent="0.25">
      <c r="A2434" s="16">
        <v>42936</v>
      </c>
      <c r="B2434" s="273" t="s">
        <v>22320</v>
      </c>
      <c r="C2434">
        <v>120588</v>
      </c>
      <c r="D2434" s="236" t="s">
        <v>15387</v>
      </c>
      <c r="E2434" s="15">
        <v>2729.68</v>
      </c>
      <c r="F2434" s="274">
        <v>42936</v>
      </c>
      <c r="G2434" s="15">
        <v>2729.68</v>
      </c>
      <c r="H2434" s="15">
        <f>Tabla1[[#This Row],[Importe]]-Tabla1[[#This Row],[Pagado]]</f>
        <v>0</v>
      </c>
      <c r="I2434" s="275" t="s">
        <v>15214</v>
      </c>
    </row>
    <row r="2435" spans="1:9" x14ac:dyDescent="0.25">
      <c r="A2435" s="16">
        <v>42936</v>
      </c>
      <c r="B2435" s="273" t="s">
        <v>22321</v>
      </c>
      <c r="C2435">
        <v>120589</v>
      </c>
      <c r="D2435" s="236" t="s">
        <v>15240</v>
      </c>
      <c r="E2435" s="15">
        <v>190</v>
      </c>
      <c r="F2435" s="274">
        <v>42938</v>
      </c>
      <c r="G2435" s="15">
        <v>190</v>
      </c>
      <c r="H2435" s="15">
        <f>Tabla1[[#This Row],[Importe]]-Tabla1[[#This Row],[Pagado]]</f>
        <v>0</v>
      </c>
      <c r="I2435" s="275" t="s">
        <v>15214</v>
      </c>
    </row>
    <row r="2436" spans="1:9" x14ac:dyDescent="0.25">
      <c r="A2436" s="16">
        <v>42936</v>
      </c>
      <c r="B2436" s="273" t="s">
        <v>22322</v>
      </c>
      <c r="C2436">
        <v>120590</v>
      </c>
      <c r="D2436" s="236" t="s">
        <v>15258</v>
      </c>
      <c r="E2436" s="15">
        <v>16758.5</v>
      </c>
      <c r="F2436" s="274">
        <v>42941</v>
      </c>
      <c r="G2436" s="15">
        <v>16758.5</v>
      </c>
      <c r="H2436" s="15">
        <f>Tabla1[[#This Row],[Importe]]-Tabla1[[#This Row],[Pagado]]</f>
        <v>0</v>
      </c>
      <c r="I2436" s="275" t="s">
        <v>15214</v>
      </c>
    </row>
    <row r="2437" spans="1:9" x14ac:dyDescent="0.25">
      <c r="A2437" s="16">
        <v>42936</v>
      </c>
      <c r="B2437" s="273" t="s">
        <v>22323</v>
      </c>
      <c r="C2437">
        <v>120591</v>
      </c>
      <c r="D2437" s="236" t="s">
        <v>15442</v>
      </c>
      <c r="E2437" s="15">
        <v>40831.4</v>
      </c>
      <c r="F2437" s="274">
        <v>42940</v>
      </c>
      <c r="G2437" s="15">
        <v>40831.4</v>
      </c>
      <c r="H2437" s="15">
        <f>Tabla1[[#This Row],[Importe]]-Tabla1[[#This Row],[Pagado]]</f>
        <v>0</v>
      </c>
      <c r="I2437" s="275" t="s">
        <v>15214</v>
      </c>
    </row>
    <row r="2438" spans="1:9" x14ac:dyDescent="0.25">
      <c r="A2438" s="16">
        <v>42936</v>
      </c>
      <c r="B2438" s="273" t="s">
        <v>22324</v>
      </c>
      <c r="C2438">
        <v>120592</v>
      </c>
      <c r="D2438" s="236" t="s">
        <v>15232</v>
      </c>
      <c r="E2438" s="15">
        <v>7216</v>
      </c>
      <c r="F2438" s="274">
        <v>42943</v>
      </c>
      <c r="G2438" s="15">
        <v>7216</v>
      </c>
      <c r="H2438" s="15">
        <f>Tabla1[[#This Row],[Importe]]-Tabla1[[#This Row],[Pagado]]</f>
        <v>0</v>
      </c>
      <c r="I2438" s="275" t="s">
        <v>15214</v>
      </c>
    </row>
    <row r="2439" spans="1:9" x14ac:dyDescent="0.25">
      <c r="A2439" s="16">
        <v>42936</v>
      </c>
      <c r="B2439" s="273" t="s">
        <v>22325</v>
      </c>
      <c r="C2439">
        <v>120593</v>
      </c>
      <c r="D2439" s="236" t="s">
        <v>15230</v>
      </c>
      <c r="E2439" s="15">
        <v>14572.2</v>
      </c>
      <c r="F2439" s="274">
        <v>42938</v>
      </c>
      <c r="G2439" s="15">
        <v>14572.2</v>
      </c>
      <c r="H2439" s="15">
        <f>Tabla1[[#This Row],[Importe]]-Tabla1[[#This Row],[Pagado]]</f>
        <v>0</v>
      </c>
      <c r="I2439" s="275" t="s">
        <v>15214</v>
      </c>
    </row>
    <row r="2440" spans="1:9" x14ac:dyDescent="0.25">
      <c r="A2440" s="16">
        <v>42936</v>
      </c>
      <c r="B2440" s="273" t="s">
        <v>22326</v>
      </c>
      <c r="C2440">
        <v>120594</v>
      </c>
      <c r="D2440" s="236" t="s">
        <v>15234</v>
      </c>
      <c r="E2440" s="15">
        <v>3947.4</v>
      </c>
      <c r="F2440" s="274">
        <v>42941</v>
      </c>
      <c r="G2440" s="15">
        <v>3947.4</v>
      </c>
      <c r="H2440" s="15">
        <f>Tabla1[[#This Row],[Importe]]-Tabla1[[#This Row],[Pagado]]</f>
        <v>0</v>
      </c>
      <c r="I2440" s="275" t="s">
        <v>15214</v>
      </c>
    </row>
    <row r="2441" spans="1:9" ht="15.75" x14ac:dyDescent="0.25">
      <c r="A2441" s="16">
        <v>42936</v>
      </c>
      <c r="B2441" s="273" t="s">
        <v>22327</v>
      </c>
      <c r="C2441">
        <v>120595</v>
      </c>
      <c r="D2441" s="248" t="s">
        <v>95</v>
      </c>
      <c r="E2441" s="15">
        <v>0</v>
      </c>
      <c r="F2441" s="277" t="s">
        <v>95</v>
      </c>
      <c r="G2441" s="15">
        <v>0</v>
      </c>
      <c r="H2441" s="15">
        <f>Tabla1[[#This Row],[Importe]]-Tabla1[[#This Row],[Pagado]]</f>
        <v>0</v>
      </c>
      <c r="I2441" s="275" t="s">
        <v>95</v>
      </c>
    </row>
    <row r="2442" spans="1:9" x14ac:dyDescent="0.25">
      <c r="A2442" s="16">
        <v>42936</v>
      </c>
      <c r="B2442" s="273" t="s">
        <v>22328</v>
      </c>
      <c r="C2442">
        <v>120596</v>
      </c>
      <c r="D2442" s="236" t="s">
        <v>15236</v>
      </c>
      <c r="E2442" s="15">
        <v>3766.8</v>
      </c>
      <c r="F2442" s="274">
        <v>42940</v>
      </c>
      <c r="G2442" s="15">
        <v>3766.8</v>
      </c>
      <c r="H2442" s="15">
        <f>Tabla1[[#This Row],[Importe]]-Tabla1[[#This Row],[Pagado]]</f>
        <v>0</v>
      </c>
      <c r="I2442" s="275" t="s">
        <v>15214</v>
      </c>
    </row>
    <row r="2443" spans="1:9" x14ac:dyDescent="0.25">
      <c r="A2443" s="16">
        <v>42936</v>
      </c>
      <c r="B2443" s="273" t="s">
        <v>22329</v>
      </c>
      <c r="C2443">
        <v>120597</v>
      </c>
      <c r="D2443" s="236" t="s">
        <v>15480</v>
      </c>
      <c r="E2443" s="15">
        <v>4164.6000000000004</v>
      </c>
      <c r="F2443" s="274">
        <v>42940</v>
      </c>
      <c r="G2443" s="15">
        <v>4164.6000000000004</v>
      </c>
      <c r="H2443" s="15">
        <f>Tabla1[[#This Row],[Importe]]-Tabla1[[#This Row],[Pagado]]</f>
        <v>0</v>
      </c>
      <c r="I2443" s="275" t="s">
        <v>15214</v>
      </c>
    </row>
    <row r="2444" spans="1:9" ht="30" x14ac:dyDescent="0.25">
      <c r="A2444" s="16">
        <v>42936</v>
      </c>
      <c r="B2444" s="273" t="s">
        <v>22330</v>
      </c>
      <c r="C2444">
        <v>120598</v>
      </c>
      <c r="D2444" s="236" t="s">
        <v>15256</v>
      </c>
      <c r="E2444" s="15">
        <v>7102.4</v>
      </c>
      <c r="F2444" s="274" t="s">
        <v>22088</v>
      </c>
      <c r="G2444" s="241">
        <f>5400+1702.4</f>
        <v>7102.4</v>
      </c>
      <c r="H2444" s="241">
        <f>Tabla1[[#This Row],[Importe]]-Tabla1[[#This Row],[Pagado]]</f>
        <v>0</v>
      </c>
      <c r="I2444" s="275" t="s">
        <v>15214</v>
      </c>
    </row>
    <row r="2445" spans="1:9" x14ac:dyDescent="0.25">
      <c r="A2445" s="16">
        <v>42936</v>
      </c>
      <c r="B2445" s="273" t="s">
        <v>22331</v>
      </c>
      <c r="C2445">
        <v>120599</v>
      </c>
      <c r="D2445" s="236" t="s">
        <v>15238</v>
      </c>
      <c r="E2445" s="15">
        <v>2945.6</v>
      </c>
      <c r="F2445" s="274">
        <v>42940</v>
      </c>
      <c r="G2445" s="15">
        <v>2945.6</v>
      </c>
      <c r="H2445" s="15">
        <f>Tabla1[[#This Row],[Importe]]-Tabla1[[#This Row],[Pagado]]</f>
        <v>0</v>
      </c>
      <c r="I2445" s="275" t="s">
        <v>15214</v>
      </c>
    </row>
    <row r="2446" spans="1:9" x14ac:dyDescent="0.25">
      <c r="A2446" s="16">
        <v>42936</v>
      </c>
      <c r="B2446" s="273" t="s">
        <v>22332</v>
      </c>
      <c r="C2446">
        <v>120600</v>
      </c>
      <c r="D2446" s="236" t="s">
        <v>15263</v>
      </c>
      <c r="E2446" s="15">
        <v>2813.4</v>
      </c>
      <c r="F2446" s="274">
        <v>42936</v>
      </c>
      <c r="G2446" s="15">
        <v>2813.4</v>
      </c>
      <c r="H2446" s="15">
        <f>Tabla1[[#This Row],[Importe]]-Tabla1[[#This Row],[Pagado]]</f>
        <v>0</v>
      </c>
      <c r="I2446" s="275" t="s">
        <v>15214</v>
      </c>
    </row>
    <row r="2447" spans="1:9" x14ac:dyDescent="0.25">
      <c r="A2447" s="16">
        <v>42936</v>
      </c>
      <c r="B2447" s="273" t="s">
        <v>22333</v>
      </c>
      <c r="C2447">
        <v>120601</v>
      </c>
      <c r="D2447" s="236" t="s">
        <v>15818</v>
      </c>
      <c r="E2447" s="15">
        <v>5864.5</v>
      </c>
      <c r="F2447" s="274">
        <v>42936</v>
      </c>
      <c r="G2447" s="15">
        <v>5864.5</v>
      </c>
      <c r="H2447" s="15">
        <f>Tabla1[[#This Row],[Importe]]-Tabla1[[#This Row],[Pagado]]</f>
        <v>0</v>
      </c>
      <c r="I2447" s="275" t="s">
        <v>15214</v>
      </c>
    </row>
    <row r="2448" spans="1:9" x14ac:dyDescent="0.25">
      <c r="A2448" s="16">
        <v>42936</v>
      </c>
      <c r="B2448" s="273" t="s">
        <v>22334</v>
      </c>
      <c r="C2448">
        <v>120602</v>
      </c>
      <c r="D2448" s="236" t="s">
        <v>15250</v>
      </c>
      <c r="E2448" s="15">
        <v>34831.31</v>
      </c>
      <c r="F2448" s="274">
        <v>42945</v>
      </c>
      <c r="G2448" s="15">
        <v>34831.31</v>
      </c>
      <c r="H2448" s="15">
        <f>Tabla1[[#This Row],[Importe]]-Tabla1[[#This Row],[Pagado]]</f>
        <v>0</v>
      </c>
      <c r="I2448" s="275" t="s">
        <v>15214</v>
      </c>
    </row>
    <row r="2449" spans="1:9" x14ac:dyDescent="0.25">
      <c r="A2449" s="16">
        <v>42936</v>
      </c>
      <c r="B2449" s="273" t="s">
        <v>22335</v>
      </c>
      <c r="C2449">
        <v>120603</v>
      </c>
      <c r="D2449" s="236" t="s">
        <v>15280</v>
      </c>
      <c r="E2449" s="15">
        <v>7049.6</v>
      </c>
      <c r="F2449" s="274">
        <v>42936</v>
      </c>
      <c r="G2449" s="15">
        <v>7049.6</v>
      </c>
      <c r="H2449" s="15">
        <f>Tabla1[[#This Row],[Importe]]-Tabla1[[#This Row],[Pagado]]</f>
        <v>0</v>
      </c>
      <c r="I2449" s="275" t="s">
        <v>15214</v>
      </c>
    </row>
    <row r="2450" spans="1:9" x14ac:dyDescent="0.25">
      <c r="A2450" s="16">
        <v>42936</v>
      </c>
      <c r="B2450" s="273" t="s">
        <v>22336</v>
      </c>
      <c r="C2450">
        <v>120604</v>
      </c>
      <c r="D2450" s="236" t="s">
        <v>16484</v>
      </c>
      <c r="E2450" s="15">
        <v>695.4</v>
      </c>
      <c r="F2450" s="274">
        <v>42936</v>
      </c>
      <c r="G2450" s="15">
        <v>695.4</v>
      </c>
      <c r="H2450" s="15">
        <f>Tabla1[[#This Row],[Importe]]-Tabla1[[#This Row],[Pagado]]</f>
        <v>0</v>
      </c>
      <c r="I2450" s="275" t="s">
        <v>15214</v>
      </c>
    </row>
    <row r="2451" spans="1:9" x14ac:dyDescent="0.25">
      <c r="A2451" s="16">
        <v>42936</v>
      </c>
      <c r="B2451" s="273" t="s">
        <v>22337</v>
      </c>
      <c r="C2451">
        <v>120605</v>
      </c>
      <c r="D2451" s="236" t="s">
        <v>15284</v>
      </c>
      <c r="E2451" s="15">
        <v>1414.6</v>
      </c>
      <c r="F2451" s="274">
        <v>42936</v>
      </c>
      <c r="G2451" s="15">
        <v>1414.6</v>
      </c>
      <c r="H2451" s="15">
        <f>Tabla1[[#This Row],[Importe]]-Tabla1[[#This Row],[Pagado]]</f>
        <v>0</v>
      </c>
      <c r="I2451" s="275" t="s">
        <v>15214</v>
      </c>
    </row>
    <row r="2452" spans="1:9" x14ac:dyDescent="0.25">
      <c r="A2452" s="16">
        <v>42936</v>
      </c>
      <c r="B2452" s="273" t="s">
        <v>22338</v>
      </c>
      <c r="C2452">
        <v>120606</v>
      </c>
      <c r="D2452" s="236" t="s">
        <v>15317</v>
      </c>
      <c r="E2452" s="15">
        <v>3802.3</v>
      </c>
      <c r="F2452" s="274">
        <v>42936</v>
      </c>
      <c r="G2452" s="15">
        <v>3802.3</v>
      </c>
      <c r="H2452" s="15">
        <f>Tabla1[[#This Row],[Importe]]-Tabla1[[#This Row],[Pagado]]</f>
        <v>0</v>
      </c>
      <c r="I2452" s="275" t="s">
        <v>15214</v>
      </c>
    </row>
    <row r="2453" spans="1:9" x14ac:dyDescent="0.25">
      <c r="A2453" s="16">
        <v>42936</v>
      </c>
      <c r="B2453" s="273" t="s">
        <v>22339</v>
      </c>
      <c r="C2453">
        <v>120607</v>
      </c>
      <c r="D2453" s="236" t="s">
        <v>15252</v>
      </c>
      <c r="E2453" s="15">
        <v>6396.8</v>
      </c>
      <c r="F2453" s="274">
        <v>42940</v>
      </c>
      <c r="G2453" s="15">
        <v>6396.8</v>
      </c>
      <c r="H2453" s="15">
        <f>Tabla1[[#This Row],[Importe]]-Tabla1[[#This Row],[Pagado]]</f>
        <v>0</v>
      </c>
      <c r="I2453" s="275" t="s">
        <v>15214</v>
      </c>
    </row>
    <row r="2454" spans="1:9" x14ac:dyDescent="0.25">
      <c r="A2454" s="16">
        <v>42936</v>
      </c>
      <c r="B2454" s="273" t="s">
        <v>22340</v>
      </c>
      <c r="C2454">
        <v>120608</v>
      </c>
      <c r="D2454" s="236" t="s">
        <v>15244</v>
      </c>
      <c r="E2454" s="15">
        <v>9699.2999999999993</v>
      </c>
      <c r="F2454" s="274">
        <v>42936</v>
      </c>
      <c r="G2454" s="15">
        <v>9699.2999999999993</v>
      </c>
      <c r="H2454" s="15">
        <f>Tabla1[[#This Row],[Importe]]-Tabla1[[#This Row],[Pagado]]</f>
        <v>0</v>
      </c>
      <c r="I2454" s="275" t="s">
        <v>15214</v>
      </c>
    </row>
    <row r="2455" spans="1:9" x14ac:dyDescent="0.25">
      <c r="A2455" s="16">
        <v>42936</v>
      </c>
      <c r="B2455" s="273" t="s">
        <v>22341</v>
      </c>
      <c r="C2455">
        <v>120609</v>
      </c>
      <c r="D2455" s="236" t="s">
        <v>15415</v>
      </c>
      <c r="E2455" s="15">
        <v>3148.2</v>
      </c>
      <c r="F2455" s="274">
        <v>42941</v>
      </c>
      <c r="G2455" s="15">
        <v>3148.2</v>
      </c>
      <c r="H2455" s="15">
        <f>Tabla1[[#This Row],[Importe]]-Tabla1[[#This Row],[Pagado]]</f>
        <v>0</v>
      </c>
      <c r="I2455" s="275" t="s">
        <v>15214</v>
      </c>
    </row>
    <row r="2456" spans="1:9" x14ac:dyDescent="0.25">
      <c r="A2456" s="16">
        <v>42936</v>
      </c>
      <c r="B2456" s="273" t="s">
        <v>22342</v>
      </c>
      <c r="C2456">
        <v>120610</v>
      </c>
      <c r="D2456" s="236" t="s">
        <v>15301</v>
      </c>
      <c r="E2456" s="15">
        <v>3844</v>
      </c>
      <c r="F2456" s="274">
        <v>42936</v>
      </c>
      <c r="G2456" s="15">
        <v>3844</v>
      </c>
      <c r="H2456" s="15">
        <f>Tabla1[[#This Row],[Importe]]-Tabla1[[#This Row],[Pagado]]</f>
        <v>0</v>
      </c>
      <c r="I2456" s="275" t="s">
        <v>15214</v>
      </c>
    </row>
    <row r="2457" spans="1:9" ht="15.75" x14ac:dyDescent="0.25">
      <c r="A2457" s="16">
        <v>42936</v>
      </c>
      <c r="B2457" s="273" t="s">
        <v>22343</v>
      </c>
      <c r="C2457">
        <v>120611</v>
      </c>
      <c r="D2457" s="248" t="s">
        <v>95</v>
      </c>
      <c r="E2457" s="15">
        <v>0</v>
      </c>
      <c r="F2457" s="277" t="s">
        <v>95</v>
      </c>
      <c r="G2457" s="15">
        <v>0</v>
      </c>
      <c r="H2457" s="15">
        <f>Tabla1[[#This Row],[Importe]]-Tabla1[[#This Row],[Pagado]]</f>
        <v>0</v>
      </c>
      <c r="I2457" s="275" t="s">
        <v>95</v>
      </c>
    </row>
    <row r="2458" spans="1:9" x14ac:dyDescent="0.25">
      <c r="A2458" s="16">
        <v>42936</v>
      </c>
      <c r="B2458" s="273" t="s">
        <v>22344</v>
      </c>
      <c r="C2458">
        <v>120612</v>
      </c>
      <c r="D2458" s="236" t="s">
        <v>15291</v>
      </c>
      <c r="E2458" s="15">
        <v>1545</v>
      </c>
      <c r="F2458" s="274">
        <v>42936</v>
      </c>
      <c r="G2458" s="15">
        <v>1545</v>
      </c>
      <c r="H2458" s="15">
        <f>Tabla1[[#This Row],[Importe]]-Tabla1[[#This Row],[Pagado]]</f>
        <v>0</v>
      </c>
      <c r="I2458" s="275" t="s">
        <v>15214</v>
      </c>
    </row>
    <row r="2459" spans="1:9" x14ac:dyDescent="0.25">
      <c r="A2459" s="16">
        <v>42936</v>
      </c>
      <c r="B2459" s="273" t="s">
        <v>22345</v>
      </c>
      <c r="C2459">
        <v>120613</v>
      </c>
      <c r="D2459" s="236" t="s">
        <v>16116</v>
      </c>
      <c r="E2459" s="15">
        <v>27427.22</v>
      </c>
      <c r="F2459" s="274">
        <v>42936</v>
      </c>
      <c r="G2459" s="15">
        <v>27427.22</v>
      </c>
      <c r="H2459" s="15">
        <f>Tabla1[[#This Row],[Importe]]-Tabla1[[#This Row],[Pagado]]</f>
        <v>0</v>
      </c>
      <c r="I2459" s="275" t="s">
        <v>15214</v>
      </c>
    </row>
    <row r="2460" spans="1:9" x14ac:dyDescent="0.25">
      <c r="A2460" s="16">
        <v>42936</v>
      </c>
      <c r="B2460" s="273" t="s">
        <v>22346</v>
      </c>
      <c r="C2460">
        <v>120614</v>
      </c>
      <c r="D2460" s="236" t="s">
        <v>15352</v>
      </c>
      <c r="E2460" s="15">
        <v>385</v>
      </c>
      <c r="F2460" s="274">
        <v>42936</v>
      </c>
      <c r="G2460" s="15">
        <v>385</v>
      </c>
      <c r="H2460" s="15">
        <f>Tabla1[[#This Row],[Importe]]-Tabla1[[#This Row],[Pagado]]</f>
        <v>0</v>
      </c>
      <c r="I2460" s="275" t="s">
        <v>15214</v>
      </c>
    </row>
    <row r="2461" spans="1:9" x14ac:dyDescent="0.25">
      <c r="A2461" s="16">
        <v>42936</v>
      </c>
      <c r="B2461" s="273" t="s">
        <v>22347</v>
      </c>
      <c r="C2461">
        <v>120615</v>
      </c>
      <c r="D2461" s="236" t="s">
        <v>16116</v>
      </c>
      <c r="E2461" s="15">
        <v>1198.56</v>
      </c>
      <c r="F2461" s="274">
        <v>42936</v>
      </c>
      <c r="G2461" s="15">
        <v>1198.56</v>
      </c>
      <c r="H2461" s="15">
        <f>Tabla1[[#This Row],[Importe]]-Tabla1[[#This Row],[Pagado]]</f>
        <v>0</v>
      </c>
      <c r="I2461" s="275" t="s">
        <v>15214</v>
      </c>
    </row>
    <row r="2462" spans="1:9" x14ac:dyDescent="0.25">
      <c r="A2462" s="16">
        <v>42936</v>
      </c>
      <c r="B2462" s="273" t="s">
        <v>22348</v>
      </c>
      <c r="C2462">
        <v>120616</v>
      </c>
      <c r="D2462" s="236" t="s">
        <v>15835</v>
      </c>
      <c r="E2462" s="15">
        <v>16421.8</v>
      </c>
      <c r="F2462" s="274">
        <v>42936</v>
      </c>
      <c r="G2462" s="15">
        <v>16421.8</v>
      </c>
      <c r="H2462" s="15">
        <f>Tabla1[[#This Row],[Importe]]-Tabla1[[#This Row],[Pagado]]</f>
        <v>0</v>
      </c>
      <c r="I2462" s="275" t="s">
        <v>15214</v>
      </c>
    </row>
    <row r="2463" spans="1:9" x14ac:dyDescent="0.25">
      <c r="A2463" s="16">
        <v>42936</v>
      </c>
      <c r="B2463" s="273" t="s">
        <v>22349</v>
      </c>
      <c r="C2463">
        <v>120617</v>
      </c>
      <c r="D2463" s="236" t="s">
        <v>16139</v>
      </c>
      <c r="E2463" s="15">
        <v>3695.2</v>
      </c>
      <c r="F2463" s="274">
        <v>42942</v>
      </c>
      <c r="G2463" s="15">
        <v>3695.2</v>
      </c>
      <c r="H2463" s="15">
        <f>Tabla1[[#This Row],[Importe]]-Tabla1[[#This Row],[Pagado]]</f>
        <v>0</v>
      </c>
      <c r="I2463" s="275" t="s">
        <v>15214</v>
      </c>
    </row>
    <row r="2464" spans="1:9" ht="15.75" x14ac:dyDescent="0.25">
      <c r="A2464" s="16">
        <v>42936</v>
      </c>
      <c r="B2464" s="273" t="s">
        <v>22350</v>
      </c>
      <c r="C2464">
        <v>120618</v>
      </c>
      <c r="D2464" s="248" t="s">
        <v>95</v>
      </c>
      <c r="E2464" s="15">
        <v>0</v>
      </c>
      <c r="F2464" s="277" t="s">
        <v>95</v>
      </c>
      <c r="G2464" s="15">
        <v>0</v>
      </c>
      <c r="H2464" s="15">
        <f>Tabla1[[#This Row],[Importe]]-Tabla1[[#This Row],[Pagado]]</f>
        <v>0</v>
      </c>
      <c r="I2464" s="275" t="s">
        <v>95</v>
      </c>
    </row>
    <row r="2465" spans="1:9" x14ac:dyDescent="0.25">
      <c r="A2465" s="16">
        <v>42936</v>
      </c>
      <c r="B2465" s="273" t="s">
        <v>22351</v>
      </c>
      <c r="C2465">
        <v>120619</v>
      </c>
      <c r="D2465" s="236" t="s">
        <v>15530</v>
      </c>
      <c r="E2465" s="15">
        <v>748</v>
      </c>
      <c r="F2465" s="274">
        <v>42936</v>
      </c>
      <c r="G2465" s="15">
        <v>748</v>
      </c>
      <c r="H2465" s="15">
        <f>Tabla1[[#This Row],[Importe]]-Tabla1[[#This Row],[Pagado]]</f>
        <v>0</v>
      </c>
      <c r="I2465" s="275" t="s">
        <v>15214</v>
      </c>
    </row>
    <row r="2466" spans="1:9" x14ac:dyDescent="0.25">
      <c r="A2466" s="16">
        <v>42936</v>
      </c>
      <c r="B2466" s="273" t="s">
        <v>22352</v>
      </c>
      <c r="C2466">
        <v>120620</v>
      </c>
      <c r="D2466" s="236" t="s">
        <v>15537</v>
      </c>
      <c r="E2466" s="15">
        <v>27244.400000000001</v>
      </c>
      <c r="F2466" s="274">
        <v>42942</v>
      </c>
      <c r="G2466" s="15">
        <v>27244.400000000001</v>
      </c>
      <c r="H2466" s="15">
        <f>Tabla1[[#This Row],[Importe]]-Tabla1[[#This Row],[Pagado]]</f>
        <v>0</v>
      </c>
      <c r="I2466" s="275" t="s">
        <v>15214</v>
      </c>
    </row>
    <row r="2467" spans="1:9" x14ac:dyDescent="0.25">
      <c r="A2467" s="16">
        <v>42936</v>
      </c>
      <c r="B2467" s="273" t="s">
        <v>22353</v>
      </c>
      <c r="C2467">
        <v>120621</v>
      </c>
      <c r="D2467" s="236" t="s">
        <v>15307</v>
      </c>
      <c r="E2467" s="15">
        <v>1621.2</v>
      </c>
      <c r="F2467" s="274">
        <v>42936</v>
      </c>
      <c r="G2467" s="15">
        <v>1621.2</v>
      </c>
      <c r="H2467" s="15">
        <f>Tabla1[[#This Row],[Importe]]-Tabla1[[#This Row],[Pagado]]</f>
        <v>0</v>
      </c>
      <c r="I2467" s="275" t="s">
        <v>15214</v>
      </c>
    </row>
    <row r="2468" spans="1:9" x14ac:dyDescent="0.25">
      <c r="A2468" s="16">
        <v>42936</v>
      </c>
      <c r="B2468" s="273" t="s">
        <v>22354</v>
      </c>
      <c r="C2468">
        <v>120622</v>
      </c>
      <c r="D2468" s="236" t="s">
        <v>15956</v>
      </c>
      <c r="E2468" s="15">
        <v>1170</v>
      </c>
      <c r="F2468" s="274">
        <v>42936</v>
      </c>
      <c r="G2468" s="15">
        <v>1170</v>
      </c>
      <c r="H2468" s="15">
        <f>Tabla1[[#This Row],[Importe]]-Tabla1[[#This Row],[Pagado]]</f>
        <v>0</v>
      </c>
      <c r="I2468" s="275" t="s">
        <v>15214</v>
      </c>
    </row>
    <row r="2469" spans="1:9" x14ac:dyDescent="0.25">
      <c r="A2469" s="16">
        <v>42936</v>
      </c>
      <c r="B2469" s="273" t="s">
        <v>22355</v>
      </c>
      <c r="C2469">
        <v>120623</v>
      </c>
      <c r="D2469" s="236" t="s">
        <v>15617</v>
      </c>
      <c r="E2469" s="15">
        <v>33156.800000000003</v>
      </c>
      <c r="F2469" s="274">
        <v>42936</v>
      </c>
      <c r="G2469" s="15">
        <v>33156.800000000003</v>
      </c>
      <c r="H2469" s="15">
        <f>Tabla1[[#This Row],[Importe]]-Tabla1[[#This Row],[Pagado]]</f>
        <v>0</v>
      </c>
      <c r="I2469" s="275" t="s">
        <v>15214</v>
      </c>
    </row>
    <row r="2470" spans="1:9" x14ac:dyDescent="0.25">
      <c r="A2470" s="16">
        <v>42936</v>
      </c>
      <c r="B2470" s="273" t="s">
        <v>22356</v>
      </c>
      <c r="C2470">
        <v>120624</v>
      </c>
      <c r="D2470" s="236" t="s">
        <v>15539</v>
      </c>
      <c r="E2470" s="15">
        <v>21735</v>
      </c>
      <c r="F2470" s="274">
        <v>42942</v>
      </c>
      <c r="G2470" s="15">
        <v>21735</v>
      </c>
      <c r="H2470" s="15">
        <f>Tabla1[[#This Row],[Importe]]-Tabla1[[#This Row],[Pagado]]</f>
        <v>0</v>
      </c>
      <c r="I2470" s="275" t="s">
        <v>15214</v>
      </c>
    </row>
    <row r="2471" spans="1:9" x14ac:dyDescent="0.25">
      <c r="A2471" s="16">
        <v>42936</v>
      </c>
      <c r="B2471" s="273" t="s">
        <v>22357</v>
      </c>
      <c r="C2471">
        <v>120625</v>
      </c>
      <c r="D2471" s="236" t="s">
        <v>15555</v>
      </c>
      <c r="E2471" s="15">
        <v>40507.74</v>
      </c>
      <c r="F2471" s="274">
        <v>42942</v>
      </c>
      <c r="G2471" s="15">
        <v>40507.74</v>
      </c>
      <c r="H2471" s="15">
        <f>Tabla1[[#This Row],[Importe]]-Tabla1[[#This Row],[Pagado]]</f>
        <v>0</v>
      </c>
      <c r="I2471" s="275" t="s">
        <v>15214</v>
      </c>
    </row>
    <row r="2472" spans="1:9" x14ac:dyDescent="0.25">
      <c r="A2472" s="16">
        <v>42936</v>
      </c>
      <c r="B2472" s="273" t="s">
        <v>22358</v>
      </c>
      <c r="C2472">
        <v>120626</v>
      </c>
      <c r="D2472" s="236" t="s">
        <v>15315</v>
      </c>
      <c r="E2472" s="15">
        <v>5120.8999999999996</v>
      </c>
      <c r="F2472" s="274">
        <v>42938</v>
      </c>
      <c r="G2472" s="15">
        <v>5120.8999999999996</v>
      </c>
      <c r="H2472" s="15">
        <f>Tabla1[[#This Row],[Importe]]-Tabla1[[#This Row],[Pagado]]</f>
        <v>0</v>
      </c>
      <c r="I2472" s="275" t="s">
        <v>15214</v>
      </c>
    </row>
    <row r="2473" spans="1:9" x14ac:dyDescent="0.25">
      <c r="A2473" s="16">
        <v>42936</v>
      </c>
      <c r="B2473" s="273" t="s">
        <v>22359</v>
      </c>
      <c r="C2473">
        <v>120627</v>
      </c>
      <c r="D2473" s="236" t="s">
        <v>15315</v>
      </c>
      <c r="E2473" s="15">
        <v>3561.6</v>
      </c>
      <c r="F2473" s="274">
        <v>42938</v>
      </c>
      <c r="G2473" s="15">
        <v>3561.6</v>
      </c>
      <c r="H2473" s="15">
        <f>Tabla1[[#This Row],[Importe]]-Tabla1[[#This Row],[Pagado]]</f>
        <v>0</v>
      </c>
      <c r="I2473" s="275" t="s">
        <v>15214</v>
      </c>
    </row>
    <row r="2474" spans="1:9" x14ac:dyDescent="0.25">
      <c r="A2474" s="16">
        <v>42936</v>
      </c>
      <c r="B2474" s="273" t="s">
        <v>22360</v>
      </c>
      <c r="C2474">
        <v>120628</v>
      </c>
      <c r="D2474" s="236" t="s">
        <v>15326</v>
      </c>
      <c r="E2474" s="15">
        <v>2845.8</v>
      </c>
      <c r="F2474" s="274">
        <v>42936</v>
      </c>
      <c r="G2474" s="15">
        <v>2845.8</v>
      </c>
      <c r="H2474" s="15">
        <f>Tabla1[[#This Row],[Importe]]-Tabla1[[#This Row],[Pagado]]</f>
        <v>0</v>
      </c>
      <c r="I2474" s="275" t="s">
        <v>15214</v>
      </c>
    </row>
    <row r="2475" spans="1:9" x14ac:dyDescent="0.25">
      <c r="A2475" s="16">
        <v>42936</v>
      </c>
      <c r="B2475" s="273" t="s">
        <v>22361</v>
      </c>
      <c r="C2475">
        <v>120629</v>
      </c>
      <c r="D2475" s="236" t="s">
        <v>15371</v>
      </c>
      <c r="E2475" s="15">
        <v>4204.3999999999996</v>
      </c>
      <c r="F2475" s="274">
        <v>42936</v>
      </c>
      <c r="G2475" s="15">
        <v>4204.3999999999996</v>
      </c>
      <c r="H2475" s="15">
        <f>Tabla1[[#This Row],[Importe]]-Tabla1[[#This Row],[Pagado]]</f>
        <v>0</v>
      </c>
      <c r="I2475" s="275" t="s">
        <v>15214</v>
      </c>
    </row>
    <row r="2476" spans="1:9" x14ac:dyDescent="0.25">
      <c r="A2476" s="16">
        <v>42936</v>
      </c>
      <c r="B2476" s="273" t="s">
        <v>22362</v>
      </c>
      <c r="C2476">
        <v>120630</v>
      </c>
      <c r="D2476" s="236" t="s">
        <v>15378</v>
      </c>
      <c r="E2476" s="15">
        <v>2558.6</v>
      </c>
      <c r="F2476" s="274">
        <v>42936</v>
      </c>
      <c r="G2476" s="15">
        <v>2558.6</v>
      </c>
      <c r="H2476" s="15">
        <f>Tabla1[[#This Row],[Importe]]-Tabla1[[#This Row],[Pagado]]</f>
        <v>0</v>
      </c>
      <c r="I2476" s="275" t="s">
        <v>15214</v>
      </c>
    </row>
    <row r="2477" spans="1:9" x14ac:dyDescent="0.25">
      <c r="A2477" s="16">
        <v>42936</v>
      </c>
      <c r="B2477" s="273" t="s">
        <v>22363</v>
      </c>
      <c r="C2477">
        <v>120631</v>
      </c>
      <c r="D2477" s="236" t="s">
        <v>15223</v>
      </c>
      <c r="E2477" s="15">
        <v>56615.1</v>
      </c>
      <c r="F2477" s="274">
        <v>42960</v>
      </c>
      <c r="G2477" s="15">
        <v>56615.1</v>
      </c>
      <c r="H2477" s="15">
        <f>Tabla1[[#This Row],[Importe]]-Tabla1[[#This Row],[Pagado]]</f>
        <v>0</v>
      </c>
      <c r="I2477" s="275" t="s">
        <v>15214</v>
      </c>
    </row>
    <row r="2478" spans="1:9" x14ac:dyDescent="0.25">
      <c r="A2478" s="16">
        <v>42936</v>
      </c>
      <c r="B2478" s="273" t="s">
        <v>22364</v>
      </c>
      <c r="C2478">
        <v>120632</v>
      </c>
      <c r="D2478" s="236" t="s">
        <v>15725</v>
      </c>
      <c r="E2478" s="15">
        <v>24363.599999999999</v>
      </c>
      <c r="F2478" s="274">
        <v>42940</v>
      </c>
      <c r="G2478" s="15">
        <v>24363.599999999999</v>
      </c>
      <c r="H2478" s="15">
        <f>Tabla1[[#This Row],[Importe]]-Tabla1[[#This Row],[Pagado]]</f>
        <v>0</v>
      </c>
      <c r="I2478" s="275" t="s">
        <v>15214</v>
      </c>
    </row>
    <row r="2479" spans="1:9" x14ac:dyDescent="0.25">
      <c r="A2479" s="16">
        <v>42936</v>
      </c>
      <c r="B2479" s="273" t="s">
        <v>22365</v>
      </c>
      <c r="C2479">
        <v>120633</v>
      </c>
      <c r="D2479" s="236" t="s">
        <v>15398</v>
      </c>
      <c r="E2479" s="15">
        <v>3840.25</v>
      </c>
      <c r="F2479" s="274">
        <v>42936</v>
      </c>
      <c r="G2479" s="15">
        <v>3840.25</v>
      </c>
      <c r="H2479" s="15">
        <f>Tabla1[[#This Row],[Importe]]-Tabla1[[#This Row],[Pagado]]</f>
        <v>0</v>
      </c>
      <c r="I2479" s="275" t="s">
        <v>15214</v>
      </c>
    </row>
    <row r="2480" spans="1:9" x14ac:dyDescent="0.25">
      <c r="A2480" s="16">
        <v>42936</v>
      </c>
      <c r="B2480" s="273" t="s">
        <v>22366</v>
      </c>
      <c r="C2480">
        <v>120634</v>
      </c>
      <c r="D2480" s="236" t="s">
        <v>15568</v>
      </c>
      <c r="E2480" s="15">
        <v>10840.4</v>
      </c>
      <c r="F2480" s="274">
        <v>42937</v>
      </c>
      <c r="G2480" s="15">
        <v>10840.4</v>
      </c>
      <c r="H2480" s="15">
        <f>Tabla1[[#This Row],[Importe]]-Tabla1[[#This Row],[Pagado]]</f>
        <v>0</v>
      </c>
      <c r="I2480" s="275" t="s">
        <v>15214</v>
      </c>
    </row>
    <row r="2481" spans="1:9" x14ac:dyDescent="0.25">
      <c r="A2481" s="16">
        <v>42936</v>
      </c>
      <c r="B2481" s="273" t="s">
        <v>22367</v>
      </c>
      <c r="C2481">
        <v>120635</v>
      </c>
      <c r="D2481" s="236" t="s">
        <v>15391</v>
      </c>
      <c r="E2481" s="15">
        <v>8339.4</v>
      </c>
      <c r="F2481" s="274">
        <v>42937</v>
      </c>
      <c r="G2481" s="15">
        <v>8339.4</v>
      </c>
      <c r="H2481" s="15">
        <f>Tabla1[[#This Row],[Importe]]-Tabla1[[#This Row],[Pagado]]</f>
        <v>0</v>
      </c>
      <c r="I2481" s="275" t="s">
        <v>15214</v>
      </c>
    </row>
    <row r="2482" spans="1:9" x14ac:dyDescent="0.25">
      <c r="A2482" s="16">
        <v>42936</v>
      </c>
      <c r="B2482" s="273" t="s">
        <v>22368</v>
      </c>
      <c r="C2482">
        <v>120636</v>
      </c>
      <c r="D2482" s="236" t="s">
        <v>15376</v>
      </c>
      <c r="E2482" s="15">
        <v>6416.5</v>
      </c>
      <c r="F2482" s="274">
        <v>42936</v>
      </c>
      <c r="G2482" s="15">
        <v>6416.5</v>
      </c>
      <c r="H2482" s="15">
        <f>Tabla1[[#This Row],[Importe]]-Tabla1[[#This Row],[Pagado]]</f>
        <v>0</v>
      </c>
      <c r="I2482" s="275" t="s">
        <v>15214</v>
      </c>
    </row>
    <row r="2483" spans="1:9" x14ac:dyDescent="0.25">
      <c r="A2483" s="16">
        <v>42936</v>
      </c>
      <c r="B2483" s="273" t="s">
        <v>22369</v>
      </c>
      <c r="C2483">
        <v>120637</v>
      </c>
      <c r="D2483" s="236" t="s">
        <v>15376</v>
      </c>
      <c r="E2483" s="15">
        <v>17256.599999999999</v>
      </c>
      <c r="F2483" s="274">
        <v>42936</v>
      </c>
      <c r="G2483" s="15">
        <v>17256.599999999999</v>
      </c>
      <c r="H2483" s="15">
        <f>Tabla1[[#This Row],[Importe]]-Tabla1[[#This Row],[Pagado]]</f>
        <v>0</v>
      </c>
      <c r="I2483" s="275" t="s">
        <v>15214</v>
      </c>
    </row>
    <row r="2484" spans="1:9" x14ac:dyDescent="0.25">
      <c r="A2484" s="16">
        <v>42936</v>
      </c>
      <c r="B2484" s="273" t="s">
        <v>22370</v>
      </c>
      <c r="C2484">
        <v>120638</v>
      </c>
      <c r="D2484" s="236" t="s">
        <v>15315</v>
      </c>
      <c r="E2484" s="15">
        <v>1167.4000000000001</v>
      </c>
      <c r="F2484" s="274">
        <v>42936</v>
      </c>
      <c r="G2484" s="15">
        <v>1167.4000000000001</v>
      </c>
      <c r="H2484" s="15">
        <f>Tabla1[[#This Row],[Importe]]-Tabla1[[#This Row],[Pagado]]</f>
        <v>0</v>
      </c>
      <c r="I2484" s="275" t="s">
        <v>15214</v>
      </c>
    </row>
    <row r="2485" spans="1:9" x14ac:dyDescent="0.25">
      <c r="A2485" s="16">
        <v>42936</v>
      </c>
      <c r="B2485" s="273" t="s">
        <v>22371</v>
      </c>
      <c r="C2485">
        <v>120639</v>
      </c>
      <c r="D2485" s="236" t="s">
        <v>16463</v>
      </c>
      <c r="E2485" s="15">
        <v>16068</v>
      </c>
      <c r="F2485" s="274">
        <v>42936</v>
      </c>
      <c r="G2485" s="15">
        <v>16068</v>
      </c>
      <c r="H2485" s="15">
        <f>Tabla1[[#This Row],[Importe]]-Tabla1[[#This Row],[Pagado]]</f>
        <v>0</v>
      </c>
      <c r="I2485" s="275" t="s">
        <v>15214</v>
      </c>
    </row>
    <row r="2486" spans="1:9" x14ac:dyDescent="0.25">
      <c r="A2486" s="16">
        <v>42936</v>
      </c>
      <c r="B2486" s="273" t="s">
        <v>22372</v>
      </c>
      <c r="C2486">
        <v>120640</v>
      </c>
      <c r="D2486" s="236" t="s">
        <v>19768</v>
      </c>
      <c r="E2486" s="15">
        <v>1590</v>
      </c>
      <c r="F2486" s="274">
        <v>42936</v>
      </c>
      <c r="G2486" s="15">
        <v>1590</v>
      </c>
      <c r="H2486" s="15">
        <f>Tabla1[[#This Row],[Importe]]-Tabla1[[#This Row],[Pagado]]</f>
        <v>0</v>
      </c>
      <c r="I2486" s="275" t="s">
        <v>15214</v>
      </c>
    </row>
    <row r="2487" spans="1:9" x14ac:dyDescent="0.25">
      <c r="A2487" s="16">
        <v>42936</v>
      </c>
      <c r="B2487" s="273" t="s">
        <v>22373</v>
      </c>
      <c r="C2487">
        <v>120641</v>
      </c>
      <c r="D2487" s="236" t="s">
        <v>15267</v>
      </c>
      <c r="E2487" s="15">
        <v>2510</v>
      </c>
      <c r="F2487" s="274">
        <v>42936</v>
      </c>
      <c r="G2487" s="15">
        <v>2510</v>
      </c>
      <c r="H2487" s="15">
        <f>Tabla1[[#This Row],[Importe]]-Tabla1[[#This Row],[Pagado]]</f>
        <v>0</v>
      </c>
      <c r="I2487" s="275" t="s">
        <v>15214</v>
      </c>
    </row>
    <row r="2488" spans="1:9" x14ac:dyDescent="0.25">
      <c r="A2488" s="16">
        <v>42936</v>
      </c>
      <c r="B2488" s="273" t="s">
        <v>22374</v>
      </c>
      <c r="C2488">
        <v>120642</v>
      </c>
      <c r="D2488" s="236" t="s">
        <v>18082</v>
      </c>
      <c r="E2488" s="15">
        <v>37206.120000000003</v>
      </c>
      <c r="F2488" s="274">
        <v>42936</v>
      </c>
      <c r="G2488" s="15">
        <v>37206.120000000003</v>
      </c>
      <c r="H2488" s="15">
        <f>Tabla1[[#This Row],[Importe]]-Tabla1[[#This Row],[Pagado]]</f>
        <v>0</v>
      </c>
      <c r="I2488" s="275" t="s">
        <v>15214</v>
      </c>
    </row>
    <row r="2489" spans="1:9" x14ac:dyDescent="0.25">
      <c r="A2489" s="16">
        <v>42936</v>
      </c>
      <c r="B2489" s="273" t="s">
        <v>22375</v>
      </c>
      <c r="C2489">
        <v>120643</v>
      </c>
      <c r="D2489" s="236" t="s">
        <v>15246</v>
      </c>
      <c r="E2489" s="15">
        <v>84078</v>
      </c>
      <c r="F2489" s="274">
        <v>42938</v>
      </c>
      <c r="G2489" s="15">
        <v>84078</v>
      </c>
      <c r="H2489" s="15">
        <f>Tabla1[[#This Row],[Importe]]-Tabla1[[#This Row],[Pagado]]</f>
        <v>0</v>
      </c>
      <c r="I2489" s="275" t="s">
        <v>15214</v>
      </c>
    </row>
    <row r="2490" spans="1:9" x14ac:dyDescent="0.25">
      <c r="A2490" s="16">
        <v>42936</v>
      </c>
      <c r="B2490" s="273" t="s">
        <v>22376</v>
      </c>
      <c r="C2490">
        <v>120644</v>
      </c>
      <c r="D2490" s="236" t="s">
        <v>15890</v>
      </c>
      <c r="E2490" s="15">
        <v>13956.3</v>
      </c>
      <c r="F2490" s="292">
        <v>42948</v>
      </c>
      <c r="G2490" s="15">
        <v>13956.3</v>
      </c>
      <c r="H2490" s="15">
        <f>Tabla1[[#This Row],[Importe]]-Tabla1[[#This Row],[Pagado]]</f>
        <v>0</v>
      </c>
      <c r="I2490" s="275" t="s">
        <v>15214</v>
      </c>
    </row>
    <row r="2491" spans="1:9" x14ac:dyDescent="0.25">
      <c r="A2491" s="16">
        <v>42936</v>
      </c>
      <c r="B2491" s="273" t="s">
        <v>22377</v>
      </c>
      <c r="C2491">
        <v>120645</v>
      </c>
      <c r="D2491" s="236" t="s">
        <v>15541</v>
      </c>
      <c r="E2491" s="15">
        <v>972</v>
      </c>
      <c r="F2491" s="274">
        <v>42936</v>
      </c>
      <c r="G2491" s="15">
        <v>972</v>
      </c>
      <c r="H2491" s="15">
        <f>Tabla1[[#This Row],[Importe]]-Tabla1[[#This Row],[Pagado]]</f>
        <v>0</v>
      </c>
      <c r="I2491" s="275" t="s">
        <v>15214</v>
      </c>
    </row>
    <row r="2492" spans="1:9" x14ac:dyDescent="0.25">
      <c r="A2492" s="16">
        <v>42936</v>
      </c>
      <c r="B2492" s="273" t="s">
        <v>22378</v>
      </c>
      <c r="C2492">
        <v>120646</v>
      </c>
      <c r="D2492" s="236" t="s">
        <v>15282</v>
      </c>
      <c r="E2492" s="15">
        <v>3543.6</v>
      </c>
      <c r="F2492" s="274">
        <v>42936</v>
      </c>
      <c r="G2492" s="15">
        <v>3543.6</v>
      </c>
      <c r="H2492" s="15">
        <f>Tabla1[[#This Row],[Importe]]-Tabla1[[#This Row],[Pagado]]</f>
        <v>0</v>
      </c>
      <c r="I2492" s="275" t="s">
        <v>15214</v>
      </c>
    </row>
    <row r="2493" spans="1:9" x14ac:dyDescent="0.25">
      <c r="A2493" s="16">
        <v>42936</v>
      </c>
      <c r="B2493" s="273" t="s">
        <v>22379</v>
      </c>
      <c r="C2493">
        <v>120647</v>
      </c>
      <c r="D2493" s="236" t="s">
        <v>15714</v>
      </c>
      <c r="E2493" s="15">
        <v>390</v>
      </c>
      <c r="F2493" s="274">
        <v>42936</v>
      </c>
      <c r="G2493" s="15">
        <v>390</v>
      </c>
      <c r="H2493" s="15">
        <f>Tabla1[[#This Row],[Importe]]-Tabla1[[#This Row],[Pagado]]</f>
        <v>0</v>
      </c>
      <c r="I2493" s="275" t="s">
        <v>15214</v>
      </c>
    </row>
    <row r="2494" spans="1:9" x14ac:dyDescent="0.25">
      <c r="A2494" s="16">
        <v>42936</v>
      </c>
      <c r="B2494" s="273" t="s">
        <v>22380</v>
      </c>
      <c r="C2494">
        <v>120648</v>
      </c>
      <c r="D2494" s="236" t="s">
        <v>15523</v>
      </c>
      <c r="E2494" s="15">
        <v>1590</v>
      </c>
      <c r="F2494" s="274">
        <v>42936</v>
      </c>
      <c r="G2494" s="15">
        <v>1590</v>
      </c>
      <c r="H2494" s="15">
        <f>Tabla1[[#This Row],[Importe]]-Tabla1[[#This Row],[Pagado]]</f>
        <v>0</v>
      </c>
      <c r="I2494" s="275" t="s">
        <v>15214</v>
      </c>
    </row>
    <row r="2495" spans="1:9" x14ac:dyDescent="0.25">
      <c r="A2495" s="16">
        <v>42936</v>
      </c>
      <c r="B2495" s="273" t="s">
        <v>22381</v>
      </c>
      <c r="C2495">
        <v>120649</v>
      </c>
      <c r="D2495" s="236" t="s">
        <v>15858</v>
      </c>
      <c r="E2495" s="15">
        <v>5856.6</v>
      </c>
      <c r="F2495" s="274">
        <v>42936</v>
      </c>
      <c r="G2495" s="15">
        <v>5856.6</v>
      </c>
      <c r="H2495" s="15">
        <f>Tabla1[[#This Row],[Importe]]-Tabla1[[#This Row],[Pagado]]</f>
        <v>0</v>
      </c>
      <c r="I2495" s="275" t="s">
        <v>15214</v>
      </c>
    </row>
    <row r="2496" spans="1:9" x14ac:dyDescent="0.25">
      <c r="A2496" s="16">
        <v>42936</v>
      </c>
      <c r="B2496" s="273" t="s">
        <v>22382</v>
      </c>
      <c r="C2496">
        <v>120650</v>
      </c>
      <c r="D2496" s="236" t="s">
        <v>15298</v>
      </c>
      <c r="E2496" s="15">
        <v>6367.3</v>
      </c>
      <c r="F2496" s="274">
        <v>42936</v>
      </c>
      <c r="G2496" s="15">
        <v>6367.3</v>
      </c>
      <c r="H2496" s="15">
        <f>Tabla1[[#This Row],[Importe]]-Tabla1[[#This Row],[Pagado]]</f>
        <v>0</v>
      </c>
      <c r="I2496" s="275" t="s">
        <v>15214</v>
      </c>
    </row>
    <row r="2497" spans="1:9" x14ac:dyDescent="0.25">
      <c r="A2497" s="16">
        <v>42936</v>
      </c>
      <c r="B2497" s="273" t="s">
        <v>22383</v>
      </c>
      <c r="C2497">
        <v>120651</v>
      </c>
      <c r="D2497" s="236" t="s">
        <v>15344</v>
      </c>
      <c r="E2497" s="15">
        <v>2178</v>
      </c>
      <c r="F2497" s="274">
        <v>42936</v>
      </c>
      <c r="G2497" s="15">
        <v>2178</v>
      </c>
      <c r="H2497" s="15">
        <f>Tabla1[[#This Row],[Importe]]-Tabla1[[#This Row],[Pagado]]</f>
        <v>0</v>
      </c>
      <c r="I2497" s="275" t="s">
        <v>15214</v>
      </c>
    </row>
    <row r="2498" spans="1:9" x14ac:dyDescent="0.25">
      <c r="A2498" s="16">
        <v>42936</v>
      </c>
      <c r="B2498" s="273" t="s">
        <v>22384</v>
      </c>
      <c r="C2498">
        <v>120652</v>
      </c>
      <c r="D2498" s="236" t="s">
        <v>15334</v>
      </c>
      <c r="E2498" s="15">
        <v>1180</v>
      </c>
      <c r="F2498" s="274">
        <v>42936</v>
      </c>
      <c r="G2498" s="15">
        <v>1180</v>
      </c>
      <c r="H2498" s="15">
        <f>Tabla1[[#This Row],[Importe]]-Tabla1[[#This Row],[Pagado]]</f>
        <v>0</v>
      </c>
      <c r="I2498" s="275" t="s">
        <v>15214</v>
      </c>
    </row>
    <row r="2499" spans="1:9" x14ac:dyDescent="0.25">
      <c r="A2499" s="16">
        <v>42936</v>
      </c>
      <c r="B2499" s="273" t="s">
        <v>22385</v>
      </c>
      <c r="C2499">
        <v>120653</v>
      </c>
      <c r="D2499" s="236" t="s">
        <v>15334</v>
      </c>
      <c r="E2499" s="15">
        <v>1161</v>
      </c>
      <c r="F2499" s="274">
        <v>42936</v>
      </c>
      <c r="G2499" s="15">
        <v>1161</v>
      </c>
      <c r="H2499" s="15">
        <f>Tabla1[[#This Row],[Importe]]-Tabla1[[#This Row],[Pagado]]</f>
        <v>0</v>
      </c>
      <c r="I2499" s="275" t="s">
        <v>15214</v>
      </c>
    </row>
    <row r="2500" spans="1:9" x14ac:dyDescent="0.25">
      <c r="A2500" s="16">
        <v>42936</v>
      </c>
      <c r="B2500" s="273" t="s">
        <v>22386</v>
      </c>
      <c r="C2500">
        <v>120654</v>
      </c>
      <c r="D2500" s="236" t="s">
        <v>15358</v>
      </c>
      <c r="E2500" s="15">
        <v>1944</v>
      </c>
      <c r="F2500" s="274">
        <v>42936</v>
      </c>
      <c r="G2500" s="15">
        <v>1944</v>
      </c>
      <c r="H2500" s="15">
        <f>Tabla1[[#This Row],[Importe]]-Tabla1[[#This Row],[Pagado]]</f>
        <v>0</v>
      </c>
      <c r="I2500" s="275" t="s">
        <v>15214</v>
      </c>
    </row>
    <row r="2501" spans="1:9" x14ac:dyDescent="0.25">
      <c r="A2501" s="16">
        <v>42936</v>
      </c>
      <c r="B2501" s="273" t="s">
        <v>22387</v>
      </c>
      <c r="C2501">
        <v>120655</v>
      </c>
      <c r="D2501" s="236" t="s">
        <v>19769</v>
      </c>
      <c r="E2501" s="15">
        <v>37738.800000000003</v>
      </c>
      <c r="F2501" s="274">
        <v>42936</v>
      </c>
      <c r="G2501" s="15">
        <v>37738.800000000003</v>
      </c>
      <c r="H2501" s="15">
        <f>Tabla1[[#This Row],[Importe]]-Tabla1[[#This Row],[Pagado]]</f>
        <v>0</v>
      </c>
      <c r="I2501" s="275" t="s">
        <v>15214</v>
      </c>
    </row>
    <row r="2502" spans="1:9" x14ac:dyDescent="0.25">
      <c r="A2502" s="16">
        <v>42936</v>
      </c>
      <c r="B2502" s="273" t="s">
        <v>22388</v>
      </c>
      <c r="C2502">
        <v>120656</v>
      </c>
      <c r="D2502" s="236" t="s">
        <v>15665</v>
      </c>
      <c r="E2502" s="15">
        <v>641.1</v>
      </c>
      <c r="F2502" s="274">
        <v>42936</v>
      </c>
      <c r="G2502" s="15">
        <v>641.1</v>
      </c>
      <c r="H2502" s="15">
        <f>Tabla1[[#This Row],[Importe]]-Tabla1[[#This Row],[Pagado]]</f>
        <v>0</v>
      </c>
      <c r="I2502" s="275" t="s">
        <v>15214</v>
      </c>
    </row>
    <row r="2503" spans="1:9" x14ac:dyDescent="0.25">
      <c r="A2503" s="16">
        <v>42936</v>
      </c>
      <c r="B2503" s="273" t="s">
        <v>22389</v>
      </c>
      <c r="C2503">
        <v>120657</v>
      </c>
      <c r="D2503" s="236" t="s">
        <v>15284</v>
      </c>
      <c r="E2503" s="15">
        <v>1302.9000000000001</v>
      </c>
      <c r="F2503" s="274">
        <v>42936</v>
      </c>
      <c r="G2503" s="15">
        <v>1302.9000000000001</v>
      </c>
      <c r="H2503" s="15">
        <f>Tabla1[[#This Row],[Importe]]-Tabla1[[#This Row],[Pagado]]</f>
        <v>0</v>
      </c>
      <c r="I2503" s="275" t="s">
        <v>15214</v>
      </c>
    </row>
    <row r="2504" spans="1:9" x14ac:dyDescent="0.25">
      <c r="A2504" s="16">
        <v>42936</v>
      </c>
      <c r="B2504" s="273" t="s">
        <v>22390</v>
      </c>
      <c r="C2504">
        <v>120658</v>
      </c>
      <c r="D2504" s="236" t="s">
        <v>18773</v>
      </c>
      <c r="E2504" s="15">
        <v>41780</v>
      </c>
      <c r="F2504" s="274">
        <v>42936</v>
      </c>
      <c r="G2504" s="15">
        <v>41780</v>
      </c>
      <c r="H2504" s="15">
        <f>Tabla1[[#This Row],[Importe]]-Tabla1[[#This Row],[Pagado]]</f>
        <v>0</v>
      </c>
      <c r="I2504" s="275" t="s">
        <v>15214</v>
      </c>
    </row>
    <row r="2505" spans="1:9" x14ac:dyDescent="0.25">
      <c r="A2505" s="16">
        <v>42936</v>
      </c>
      <c r="B2505" s="273" t="s">
        <v>22391</v>
      </c>
      <c r="C2505">
        <v>120659</v>
      </c>
      <c r="D2505" s="236" t="s">
        <v>18076</v>
      </c>
      <c r="E2505" s="15">
        <v>3300.1</v>
      </c>
      <c r="F2505" s="274">
        <v>42936</v>
      </c>
      <c r="G2505" s="15">
        <v>3300.1</v>
      </c>
      <c r="H2505" s="15">
        <f>Tabla1[[#This Row],[Importe]]-Tabla1[[#This Row],[Pagado]]</f>
        <v>0</v>
      </c>
      <c r="I2505" s="275" t="s">
        <v>15214</v>
      </c>
    </row>
    <row r="2506" spans="1:9" x14ac:dyDescent="0.25">
      <c r="A2506" s="16">
        <v>42936</v>
      </c>
      <c r="B2506" s="273" t="s">
        <v>22392</v>
      </c>
      <c r="C2506">
        <v>120660</v>
      </c>
      <c r="D2506" s="236" t="s">
        <v>15600</v>
      </c>
      <c r="E2506" s="15">
        <v>3330</v>
      </c>
      <c r="F2506" s="274">
        <v>42937</v>
      </c>
      <c r="G2506" s="15">
        <v>3330</v>
      </c>
      <c r="H2506" s="15">
        <f>Tabla1[[#This Row],[Importe]]-Tabla1[[#This Row],[Pagado]]</f>
        <v>0</v>
      </c>
      <c r="I2506" s="275" t="s">
        <v>15214</v>
      </c>
    </row>
    <row r="2507" spans="1:9" ht="15.75" x14ac:dyDescent="0.25">
      <c r="A2507" s="16">
        <v>42936</v>
      </c>
      <c r="B2507" s="273" t="s">
        <v>22393</v>
      </c>
      <c r="C2507">
        <v>120661</v>
      </c>
      <c r="D2507" s="248" t="s">
        <v>95</v>
      </c>
      <c r="E2507" s="15">
        <v>0</v>
      </c>
      <c r="F2507" s="277" t="s">
        <v>95</v>
      </c>
      <c r="G2507" s="15">
        <v>0</v>
      </c>
      <c r="H2507" s="15">
        <f>Tabla1[[#This Row],[Importe]]-Tabla1[[#This Row],[Pagado]]</f>
        <v>0</v>
      </c>
      <c r="I2507" s="275" t="s">
        <v>95</v>
      </c>
    </row>
    <row r="2508" spans="1:9" x14ac:dyDescent="0.25">
      <c r="A2508" s="16">
        <v>42936</v>
      </c>
      <c r="B2508" s="273" t="s">
        <v>22394</v>
      </c>
      <c r="C2508">
        <v>120662</v>
      </c>
      <c r="D2508" s="236" t="s">
        <v>19760</v>
      </c>
      <c r="E2508" s="15">
        <v>1870</v>
      </c>
      <c r="F2508" s="274">
        <v>42937</v>
      </c>
      <c r="G2508" s="15">
        <v>1870</v>
      </c>
      <c r="H2508" s="15">
        <f>Tabla1[[#This Row],[Importe]]-Tabla1[[#This Row],[Pagado]]</f>
        <v>0</v>
      </c>
      <c r="I2508" s="275" t="s">
        <v>15214</v>
      </c>
    </row>
    <row r="2509" spans="1:9" x14ac:dyDescent="0.25">
      <c r="A2509" s="16">
        <v>42936</v>
      </c>
      <c r="B2509" s="273" t="s">
        <v>22395</v>
      </c>
      <c r="C2509">
        <v>120663</v>
      </c>
      <c r="D2509" s="236" t="s">
        <v>15417</v>
      </c>
      <c r="E2509" s="15">
        <v>2403</v>
      </c>
      <c r="F2509" s="274">
        <v>42937</v>
      </c>
      <c r="G2509" s="15">
        <v>2403</v>
      </c>
      <c r="H2509" s="15">
        <f>Tabla1[[#This Row],[Importe]]-Tabla1[[#This Row],[Pagado]]</f>
        <v>0</v>
      </c>
      <c r="I2509" s="275" t="s">
        <v>15214</v>
      </c>
    </row>
    <row r="2510" spans="1:9" x14ac:dyDescent="0.25">
      <c r="A2510" s="16">
        <v>42936</v>
      </c>
      <c r="B2510" s="273" t="s">
        <v>22396</v>
      </c>
      <c r="C2510">
        <v>120664</v>
      </c>
      <c r="D2510" s="236" t="s">
        <v>15276</v>
      </c>
      <c r="E2510" s="15">
        <v>2650</v>
      </c>
      <c r="F2510" s="274">
        <v>42937</v>
      </c>
      <c r="G2510" s="15">
        <v>2650</v>
      </c>
      <c r="H2510" s="15">
        <f>Tabla1[[#This Row],[Importe]]-Tabla1[[#This Row],[Pagado]]</f>
        <v>0</v>
      </c>
      <c r="I2510" s="275" t="s">
        <v>15214</v>
      </c>
    </row>
    <row r="2511" spans="1:9" x14ac:dyDescent="0.25">
      <c r="A2511" s="16">
        <v>42936</v>
      </c>
      <c r="B2511" s="273" t="s">
        <v>22397</v>
      </c>
      <c r="C2511">
        <v>120665</v>
      </c>
      <c r="D2511" s="236" t="s">
        <v>15246</v>
      </c>
      <c r="E2511" s="15">
        <v>261857.65</v>
      </c>
      <c r="F2511" s="274">
        <v>42942</v>
      </c>
      <c r="G2511" s="15">
        <v>261857.65</v>
      </c>
      <c r="H2511" s="15">
        <f>Tabla1[[#This Row],[Importe]]-Tabla1[[#This Row],[Pagado]]</f>
        <v>0</v>
      </c>
      <c r="I2511" s="275" t="s">
        <v>15214</v>
      </c>
    </row>
    <row r="2512" spans="1:9" x14ac:dyDescent="0.25">
      <c r="A2512" s="16">
        <v>42936</v>
      </c>
      <c r="B2512" s="273" t="s">
        <v>22398</v>
      </c>
      <c r="C2512">
        <v>120666</v>
      </c>
      <c r="D2512" s="236" t="s">
        <v>15614</v>
      </c>
      <c r="E2512" s="15">
        <v>8094.3</v>
      </c>
      <c r="F2512" s="274">
        <v>42941</v>
      </c>
      <c r="G2512" s="15">
        <v>8094.3</v>
      </c>
      <c r="H2512" s="15">
        <f>Tabla1[[#This Row],[Importe]]-Tabla1[[#This Row],[Pagado]]</f>
        <v>0</v>
      </c>
      <c r="I2512" s="275" t="s">
        <v>15214</v>
      </c>
    </row>
    <row r="2513" spans="1:9" x14ac:dyDescent="0.25">
      <c r="A2513" s="16">
        <v>42936</v>
      </c>
      <c r="B2513" s="273" t="s">
        <v>22399</v>
      </c>
      <c r="C2513">
        <v>120667</v>
      </c>
      <c r="D2513" s="236" t="s">
        <v>16313</v>
      </c>
      <c r="E2513" s="15">
        <v>5804</v>
      </c>
      <c r="F2513" s="274">
        <v>42936</v>
      </c>
      <c r="G2513" s="15">
        <v>5804</v>
      </c>
      <c r="H2513" s="15">
        <f>Tabla1[[#This Row],[Importe]]-Tabla1[[#This Row],[Pagado]]</f>
        <v>0</v>
      </c>
      <c r="I2513" s="275" t="s">
        <v>15214</v>
      </c>
    </row>
    <row r="2514" spans="1:9" x14ac:dyDescent="0.25">
      <c r="A2514" s="16">
        <v>42936</v>
      </c>
      <c r="B2514" s="273" t="s">
        <v>22400</v>
      </c>
      <c r="C2514">
        <v>120668</v>
      </c>
      <c r="D2514" s="236" t="s">
        <v>16313</v>
      </c>
      <c r="E2514" s="15">
        <v>1198.8</v>
      </c>
      <c r="F2514" s="274">
        <v>42936</v>
      </c>
      <c r="G2514" s="15">
        <v>1198.8</v>
      </c>
      <c r="H2514" s="15">
        <f>Tabla1[[#This Row],[Importe]]-Tabla1[[#This Row],[Pagado]]</f>
        <v>0</v>
      </c>
      <c r="I2514" s="275" t="s">
        <v>15214</v>
      </c>
    </row>
    <row r="2515" spans="1:9" x14ac:dyDescent="0.25">
      <c r="A2515" s="16">
        <v>42936</v>
      </c>
      <c r="B2515" s="273" t="s">
        <v>22401</v>
      </c>
      <c r="C2515">
        <v>120669</v>
      </c>
      <c r="D2515" s="236" t="s">
        <v>15378</v>
      </c>
      <c r="E2515" s="15">
        <v>2157.6</v>
      </c>
      <c r="F2515" s="274">
        <v>42936</v>
      </c>
      <c r="G2515" s="15">
        <v>2157.6</v>
      </c>
      <c r="H2515" s="15">
        <f>Tabla1[[#This Row],[Importe]]-Tabla1[[#This Row],[Pagado]]</f>
        <v>0</v>
      </c>
      <c r="I2515" s="275" t="s">
        <v>15214</v>
      </c>
    </row>
    <row r="2516" spans="1:9" ht="30" x14ac:dyDescent="0.25">
      <c r="A2516" s="16">
        <v>42936</v>
      </c>
      <c r="B2516" s="273" t="s">
        <v>22402</v>
      </c>
      <c r="C2516">
        <v>120670</v>
      </c>
      <c r="D2516" s="236" t="s">
        <v>15246</v>
      </c>
      <c r="E2516" s="15">
        <v>12607.8</v>
      </c>
      <c r="F2516" s="274" t="s">
        <v>22403</v>
      </c>
      <c r="G2516" s="241">
        <f>8669.01+3938.79</f>
        <v>12607.8</v>
      </c>
      <c r="H2516" s="241">
        <f>Tabla1[[#This Row],[Importe]]-Tabla1[[#This Row],[Pagado]]</f>
        <v>0</v>
      </c>
      <c r="I2516" s="275" t="s">
        <v>15214</v>
      </c>
    </row>
    <row r="2517" spans="1:9" x14ac:dyDescent="0.25">
      <c r="A2517" s="16">
        <v>42936</v>
      </c>
      <c r="B2517" s="273" t="s">
        <v>22404</v>
      </c>
      <c r="C2517">
        <v>120671</v>
      </c>
      <c r="D2517" s="236" t="s">
        <v>15246</v>
      </c>
      <c r="E2517" s="15">
        <v>2100</v>
      </c>
      <c r="F2517" s="274">
        <v>42942</v>
      </c>
      <c r="G2517" s="15">
        <v>2100</v>
      </c>
      <c r="H2517" s="15">
        <f>Tabla1[[#This Row],[Importe]]-Tabla1[[#This Row],[Pagado]]</f>
        <v>0</v>
      </c>
      <c r="I2517" s="275" t="s">
        <v>15214</v>
      </c>
    </row>
    <row r="2518" spans="1:9" x14ac:dyDescent="0.25">
      <c r="A2518" s="16">
        <v>42936</v>
      </c>
      <c r="B2518" s="273" t="s">
        <v>22405</v>
      </c>
      <c r="C2518">
        <v>120672</v>
      </c>
      <c r="D2518" s="236" t="s">
        <v>16023</v>
      </c>
      <c r="E2518" s="15">
        <v>9605.6</v>
      </c>
      <c r="F2518" s="274">
        <v>42936</v>
      </c>
      <c r="G2518" s="15">
        <v>9605.6</v>
      </c>
      <c r="H2518" s="15">
        <f>Tabla1[[#This Row],[Importe]]-Tabla1[[#This Row],[Pagado]]</f>
        <v>0</v>
      </c>
      <c r="I2518" s="275" t="s">
        <v>15214</v>
      </c>
    </row>
    <row r="2519" spans="1:9" x14ac:dyDescent="0.25">
      <c r="A2519" s="16">
        <v>42936</v>
      </c>
      <c r="B2519" s="273" t="s">
        <v>22406</v>
      </c>
      <c r="C2519">
        <v>120673</v>
      </c>
      <c r="D2519" s="236" t="s">
        <v>15444</v>
      </c>
      <c r="E2519" s="15">
        <v>2589.4</v>
      </c>
      <c r="F2519" s="274">
        <v>42937</v>
      </c>
      <c r="G2519" s="15">
        <v>2589.4</v>
      </c>
      <c r="H2519" s="15">
        <f>Tabla1[[#This Row],[Importe]]-Tabla1[[#This Row],[Pagado]]</f>
        <v>0</v>
      </c>
      <c r="I2519" s="275" t="s">
        <v>15214</v>
      </c>
    </row>
    <row r="2520" spans="1:9" x14ac:dyDescent="0.25">
      <c r="A2520" s="16">
        <v>42936</v>
      </c>
      <c r="B2520" s="273" t="s">
        <v>22407</v>
      </c>
      <c r="C2520">
        <v>120674</v>
      </c>
      <c r="D2520" s="236" t="s">
        <v>15624</v>
      </c>
      <c r="E2520" s="15">
        <v>36668.400000000001</v>
      </c>
      <c r="F2520" s="274">
        <v>42937</v>
      </c>
      <c r="G2520" s="15">
        <v>36668.400000000001</v>
      </c>
      <c r="H2520" s="15">
        <f>Tabla1[[#This Row],[Importe]]-Tabla1[[#This Row],[Pagado]]</f>
        <v>0</v>
      </c>
      <c r="I2520" s="275" t="s">
        <v>15214</v>
      </c>
    </row>
    <row r="2521" spans="1:9" x14ac:dyDescent="0.25">
      <c r="A2521" s="16">
        <v>42936</v>
      </c>
      <c r="B2521" s="273" t="s">
        <v>22408</v>
      </c>
      <c r="C2521">
        <v>120675</v>
      </c>
      <c r="D2521" s="236" t="s">
        <v>15315</v>
      </c>
      <c r="E2521" s="15">
        <v>648</v>
      </c>
      <c r="F2521" s="274">
        <v>42936</v>
      </c>
      <c r="G2521" s="15">
        <v>648</v>
      </c>
      <c r="H2521" s="15">
        <f>Tabla1[[#This Row],[Importe]]-Tabla1[[#This Row],[Pagado]]</f>
        <v>0</v>
      </c>
      <c r="I2521" s="275" t="s">
        <v>15214</v>
      </c>
    </row>
    <row r="2522" spans="1:9" x14ac:dyDescent="0.25">
      <c r="A2522" s="16">
        <v>42936</v>
      </c>
      <c r="B2522" s="273" t="s">
        <v>22409</v>
      </c>
      <c r="C2522">
        <v>120676</v>
      </c>
      <c r="D2522" s="236" t="s">
        <v>15250</v>
      </c>
      <c r="E2522" s="15">
        <v>39061.629999999997</v>
      </c>
      <c r="F2522" s="274">
        <v>42945</v>
      </c>
      <c r="G2522" s="15">
        <v>39061.629999999997</v>
      </c>
      <c r="H2522" s="15">
        <f>Tabla1[[#This Row],[Importe]]-Tabla1[[#This Row],[Pagado]]</f>
        <v>0</v>
      </c>
      <c r="I2522" s="275" t="s">
        <v>15214</v>
      </c>
    </row>
    <row r="2523" spans="1:9" x14ac:dyDescent="0.25">
      <c r="A2523" s="16">
        <v>42936</v>
      </c>
      <c r="B2523" s="273" t="s">
        <v>22410</v>
      </c>
      <c r="C2523">
        <v>120677</v>
      </c>
      <c r="D2523" s="236" t="s">
        <v>15398</v>
      </c>
      <c r="E2523" s="15">
        <v>1540.6</v>
      </c>
      <c r="F2523" s="274">
        <v>42936</v>
      </c>
      <c r="G2523" s="15">
        <v>1540.6</v>
      </c>
      <c r="H2523" s="15">
        <f>Tabla1[[#This Row],[Importe]]-Tabla1[[#This Row],[Pagado]]</f>
        <v>0</v>
      </c>
      <c r="I2523" s="275" t="s">
        <v>15214</v>
      </c>
    </row>
    <row r="2524" spans="1:9" x14ac:dyDescent="0.25">
      <c r="A2524" s="16">
        <v>42936</v>
      </c>
      <c r="B2524" s="273" t="s">
        <v>22411</v>
      </c>
      <c r="C2524">
        <v>120678</v>
      </c>
      <c r="D2524" s="236" t="s">
        <v>15265</v>
      </c>
      <c r="E2524" s="15">
        <v>4188.8</v>
      </c>
      <c r="F2524" s="274">
        <v>42940</v>
      </c>
      <c r="G2524" s="15">
        <v>4188.8</v>
      </c>
      <c r="H2524" s="15">
        <f>Tabla1[[#This Row],[Importe]]-Tabla1[[#This Row],[Pagado]]</f>
        <v>0</v>
      </c>
      <c r="I2524" s="275" t="s">
        <v>15214</v>
      </c>
    </row>
    <row r="2525" spans="1:9" x14ac:dyDescent="0.25">
      <c r="A2525" s="16">
        <v>42936</v>
      </c>
      <c r="B2525" s="273" t="s">
        <v>22412</v>
      </c>
      <c r="C2525">
        <v>120679</v>
      </c>
      <c r="D2525" s="236" t="s">
        <v>15594</v>
      </c>
      <c r="E2525" s="15">
        <v>2537.6</v>
      </c>
      <c r="F2525" s="274">
        <v>42937</v>
      </c>
      <c r="G2525" s="15">
        <v>2537.6</v>
      </c>
      <c r="H2525" s="15">
        <f>Tabla1[[#This Row],[Importe]]-Tabla1[[#This Row],[Pagado]]</f>
        <v>0</v>
      </c>
      <c r="I2525" s="275" t="s">
        <v>15214</v>
      </c>
    </row>
    <row r="2526" spans="1:9" x14ac:dyDescent="0.25">
      <c r="A2526" s="16">
        <v>42936</v>
      </c>
      <c r="B2526" s="273" t="s">
        <v>22413</v>
      </c>
      <c r="C2526">
        <v>120680</v>
      </c>
      <c r="D2526" s="236" t="s">
        <v>19699</v>
      </c>
      <c r="E2526" s="15">
        <v>2120</v>
      </c>
      <c r="F2526" s="274">
        <v>42936</v>
      </c>
      <c r="G2526" s="15">
        <v>2120</v>
      </c>
      <c r="H2526" s="15">
        <f>Tabla1[[#This Row],[Importe]]-Tabla1[[#This Row],[Pagado]]</f>
        <v>0</v>
      </c>
      <c r="I2526" s="275" t="s">
        <v>15214</v>
      </c>
    </row>
    <row r="2527" spans="1:9" x14ac:dyDescent="0.25">
      <c r="A2527" s="16">
        <v>42936</v>
      </c>
      <c r="B2527" s="273" t="s">
        <v>22414</v>
      </c>
      <c r="C2527">
        <v>120681</v>
      </c>
      <c r="D2527" s="236" t="s">
        <v>15407</v>
      </c>
      <c r="E2527" s="15">
        <v>593.6</v>
      </c>
      <c r="F2527" s="274">
        <v>42936</v>
      </c>
      <c r="G2527" s="15">
        <v>593.6</v>
      </c>
      <c r="H2527" s="15">
        <f>Tabla1[[#This Row],[Importe]]-Tabla1[[#This Row],[Pagado]]</f>
        <v>0</v>
      </c>
      <c r="I2527" s="275" t="s">
        <v>15214</v>
      </c>
    </row>
    <row r="2528" spans="1:9" x14ac:dyDescent="0.25">
      <c r="A2528" s="16">
        <v>42936</v>
      </c>
      <c r="B2528" s="273" t="s">
        <v>22415</v>
      </c>
      <c r="C2528">
        <v>120682</v>
      </c>
      <c r="D2528" s="236" t="s">
        <v>19699</v>
      </c>
      <c r="E2528" s="15">
        <v>196</v>
      </c>
      <c r="F2528" s="274">
        <v>42936</v>
      </c>
      <c r="G2528" s="15">
        <v>196</v>
      </c>
      <c r="H2528" s="15">
        <f>Tabla1[[#This Row],[Importe]]-Tabla1[[#This Row],[Pagado]]</f>
        <v>0</v>
      </c>
      <c r="I2528" s="275" t="s">
        <v>15214</v>
      </c>
    </row>
    <row r="2529" spans="1:9" x14ac:dyDescent="0.25">
      <c r="A2529" s="16">
        <v>42936</v>
      </c>
      <c r="B2529" s="273" t="s">
        <v>22416</v>
      </c>
      <c r="C2529">
        <v>120683</v>
      </c>
      <c r="D2529" s="236" t="s">
        <v>15365</v>
      </c>
      <c r="E2529" s="15">
        <v>260984</v>
      </c>
      <c r="F2529" s="274">
        <v>42939</v>
      </c>
      <c r="G2529" s="15">
        <v>260984</v>
      </c>
      <c r="H2529" s="15">
        <f>Tabla1[[#This Row],[Importe]]-Tabla1[[#This Row],[Pagado]]</f>
        <v>0</v>
      </c>
      <c r="I2529" s="275" t="s">
        <v>15214</v>
      </c>
    </row>
    <row r="2530" spans="1:9" x14ac:dyDescent="0.25">
      <c r="A2530" s="16">
        <v>42936</v>
      </c>
      <c r="B2530" s="273" t="s">
        <v>22417</v>
      </c>
      <c r="C2530">
        <v>120684</v>
      </c>
      <c r="D2530" s="236" t="s">
        <v>15254</v>
      </c>
      <c r="E2530" s="15">
        <v>2901.6</v>
      </c>
      <c r="F2530" s="274">
        <v>39290</v>
      </c>
      <c r="G2530" s="15">
        <v>2901.6</v>
      </c>
      <c r="H2530" s="15">
        <f>Tabla1[[#This Row],[Importe]]-Tabla1[[#This Row],[Pagado]]</f>
        <v>0</v>
      </c>
      <c r="I2530" s="275" t="s">
        <v>15214</v>
      </c>
    </row>
    <row r="2531" spans="1:9" x14ac:dyDescent="0.25">
      <c r="A2531" s="16">
        <v>42936</v>
      </c>
      <c r="B2531" s="273" t="s">
        <v>22418</v>
      </c>
      <c r="C2531">
        <v>120685</v>
      </c>
      <c r="D2531" s="236" t="s">
        <v>15396</v>
      </c>
      <c r="E2531" s="15">
        <v>8153.06</v>
      </c>
      <c r="F2531" s="274">
        <v>42936</v>
      </c>
      <c r="G2531" s="15">
        <v>8153.06</v>
      </c>
      <c r="H2531" s="15">
        <f>Tabla1[[#This Row],[Importe]]-Tabla1[[#This Row],[Pagado]]</f>
        <v>0</v>
      </c>
      <c r="I2531" s="275" t="s">
        <v>15214</v>
      </c>
    </row>
    <row r="2532" spans="1:9" x14ac:dyDescent="0.25">
      <c r="A2532" s="16">
        <v>42936</v>
      </c>
      <c r="B2532" s="273" t="s">
        <v>22419</v>
      </c>
      <c r="C2532">
        <v>120686</v>
      </c>
      <c r="D2532" s="236" t="s">
        <v>15284</v>
      </c>
      <c r="E2532" s="15">
        <v>797.5</v>
      </c>
      <c r="F2532" s="274">
        <v>42936</v>
      </c>
      <c r="G2532" s="15">
        <v>797.5</v>
      </c>
      <c r="H2532" s="15">
        <f>Tabla1[[#This Row],[Importe]]-Tabla1[[#This Row],[Pagado]]</f>
        <v>0</v>
      </c>
      <c r="I2532" s="275" t="s">
        <v>15214</v>
      </c>
    </row>
    <row r="2533" spans="1:9" x14ac:dyDescent="0.25">
      <c r="A2533" s="16">
        <v>42936</v>
      </c>
      <c r="B2533" s="273" t="s">
        <v>22420</v>
      </c>
      <c r="C2533">
        <v>120687</v>
      </c>
      <c r="D2533" s="236" t="s">
        <v>15435</v>
      </c>
      <c r="E2533" s="15">
        <v>7344</v>
      </c>
      <c r="F2533" s="274">
        <v>42936</v>
      </c>
      <c r="G2533" s="15">
        <v>7344</v>
      </c>
      <c r="H2533" s="15">
        <f>Tabla1[[#This Row],[Importe]]-Tabla1[[#This Row],[Pagado]]</f>
        <v>0</v>
      </c>
      <c r="I2533" s="275" t="s">
        <v>15214</v>
      </c>
    </row>
    <row r="2534" spans="1:9" x14ac:dyDescent="0.25">
      <c r="A2534" s="16">
        <v>42936</v>
      </c>
      <c r="B2534" s="273" t="s">
        <v>22421</v>
      </c>
      <c r="C2534">
        <v>120688</v>
      </c>
      <c r="D2534" s="236" t="s">
        <v>15246</v>
      </c>
      <c r="E2534" s="15">
        <v>507.5</v>
      </c>
      <c r="F2534" s="274">
        <v>42942</v>
      </c>
      <c r="G2534" s="15">
        <v>507.5</v>
      </c>
      <c r="H2534" s="15">
        <f>Tabla1[[#This Row],[Importe]]-Tabla1[[#This Row],[Pagado]]</f>
        <v>0</v>
      </c>
      <c r="I2534" s="275" t="s">
        <v>15214</v>
      </c>
    </row>
    <row r="2535" spans="1:9" x14ac:dyDescent="0.25">
      <c r="A2535" s="16">
        <v>42937</v>
      </c>
      <c r="B2535" s="273" t="s">
        <v>22422</v>
      </c>
      <c r="C2535">
        <v>120689</v>
      </c>
      <c r="D2535" s="236" t="s">
        <v>21386</v>
      </c>
      <c r="E2535" s="15">
        <v>10357.6</v>
      </c>
      <c r="F2535" s="274">
        <v>42940</v>
      </c>
      <c r="G2535" s="15">
        <v>10357.6</v>
      </c>
      <c r="H2535" s="15">
        <f>Tabla1[[#This Row],[Importe]]-Tabla1[[#This Row],[Pagado]]</f>
        <v>0</v>
      </c>
      <c r="I2535" s="275" t="s">
        <v>15214</v>
      </c>
    </row>
    <row r="2536" spans="1:9" x14ac:dyDescent="0.25">
      <c r="A2536" s="16">
        <v>42937</v>
      </c>
      <c r="B2536" s="273" t="s">
        <v>22423</v>
      </c>
      <c r="C2536">
        <v>120690</v>
      </c>
      <c r="D2536" s="236" t="s">
        <v>15213</v>
      </c>
      <c r="E2536" s="15">
        <v>34342</v>
      </c>
      <c r="F2536" s="274">
        <v>42938</v>
      </c>
      <c r="G2536" s="15">
        <v>34342</v>
      </c>
      <c r="H2536" s="15">
        <f>Tabla1[[#This Row],[Importe]]-Tabla1[[#This Row],[Pagado]]</f>
        <v>0</v>
      </c>
      <c r="I2536" s="275" t="s">
        <v>15214</v>
      </c>
    </row>
    <row r="2537" spans="1:9" x14ac:dyDescent="0.25">
      <c r="A2537" s="16">
        <v>42937</v>
      </c>
      <c r="B2537" s="273" t="s">
        <v>22424</v>
      </c>
      <c r="C2537">
        <v>120691</v>
      </c>
      <c r="D2537" s="236" t="s">
        <v>15213</v>
      </c>
      <c r="E2537" s="15">
        <v>1296</v>
      </c>
      <c r="F2537" s="274">
        <v>42938</v>
      </c>
      <c r="G2537" s="15">
        <v>1296</v>
      </c>
      <c r="H2537" s="15">
        <f>Tabla1[[#This Row],[Importe]]-Tabla1[[#This Row],[Pagado]]</f>
        <v>0</v>
      </c>
      <c r="I2537" s="275" t="s">
        <v>15214</v>
      </c>
    </row>
    <row r="2538" spans="1:9" x14ac:dyDescent="0.25">
      <c r="A2538" s="16">
        <v>42937</v>
      </c>
      <c r="B2538" s="273" t="s">
        <v>22425</v>
      </c>
      <c r="C2538">
        <v>120692</v>
      </c>
      <c r="D2538" s="236" t="s">
        <v>15330</v>
      </c>
      <c r="E2538" s="15">
        <v>4787.2</v>
      </c>
      <c r="F2538" s="274">
        <v>42937</v>
      </c>
      <c r="G2538" s="15">
        <v>4787.2</v>
      </c>
      <c r="H2538" s="15">
        <f>Tabla1[[#This Row],[Importe]]-Tabla1[[#This Row],[Pagado]]</f>
        <v>0</v>
      </c>
      <c r="I2538" s="275" t="s">
        <v>15214</v>
      </c>
    </row>
    <row r="2539" spans="1:9" x14ac:dyDescent="0.25">
      <c r="A2539" s="16">
        <v>42937</v>
      </c>
      <c r="B2539" s="273" t="s">
        <v>22426</v>
      </c>
      <c r="C2539">
        <v>120693</v>
      </c>
      <c r="D2539" s="236" t="s">
        <v>15242</v>
      </c>
      <c r="E2539" s="15">
        <v>11295</v>
      </c>
      <c r="F2539" s="274">
        <v>42938</v>
      </c>
      <c r="G2539" s="15">
        <v>11295</v>
      </c>
      <c r="H2539" s="15">
        <f>Tabla1[[#This Row],[Importe]]-Tabla1[[#This Row],[Pagado]]</f>
        <v>0</v>
      </c>
      <c r="I2539" s="275" t="s">
        <v>15214</v>
      </c>
    </row>
    <row r="2540" spans="1:9" x14ac:dyDescent="0.25">
      <c r="A2540" s="16">
        <v>42937</v>
      </c>
      <c r="B2540" s="273" t="s">
        <v>22427</v>
      </c>
      <c r="C2540">
        <v>120694</v>
      </c>
      <c r="D2540" s="236" t="s">
        <v>19302</v>
      </c>
      <c r="E2540" s="15">
        <v>1325</v>
      </c>
      <c r="F2540" s="274">
        <v>42937</v>
      </c>
      <c r="G2540" s="15">
        <v>1325</v>
      </c>
      <c r="H2540" s="15">
        <f>Tabla1[[#This Row],[Importe]]-Tabla1[[#This Row],[Pagado]]</f>
        <v>0</v>
      </c>
      <c r="I2540" s="275" t="s">
        <v>15214</v>
      </c>
    </row>
    <row r="2541" spans="1:9" x14ac:dyDescent="0.25">
      <c r="A2541" s="16">
        <v>42937</v>
      </c>
      <c r="B2541" s="273" t="s">
        <v>22428</v>
      </c>
      <c r="C2541">
        <v>120695</v>
      </c>
      <c r="D2541" s="236" t="s">
        <v>15216</v>
      </c>
      <c r="E2541" s="15">
        <v>5655</v>
      </c>
      <c r="F2541" s="274">
        <v>42937</v>
      </c>
      <c r="G2541" s="15">
        <v>5655</v>
      </c>
      <c r="H2541" s="15">
        <f>Tabla1[[#This Row],[Importe]]-Tabla1[[#This Row],[Pagado]]</f>
        <v>0</v>
      </c>
      <c r="I2541" s="275" t="s">
        <v>15214</v>
      </c>
    </row>
    <row r="2542" spans="1:9" ht="15.75" x14ac:dyDescent="0.25">
      <c r="A2542" s="16">
        <v>42937</v>
      </c>
      <c r="B2542" s="273" t="s">
        <v>22429</v>
      </c>
      <c r="C2542">
        <v>120696</v>
      </c>
      <c r="D2542" s="248" t="s">
        <v>95</v>
      </c>
      <c r="E2542" s="15">
        <v>0</v>
      </c>
      <c r="F2542" s="277" t="s">
        <v>95</v>
      </c>
      <c r="G2542" s="15">
        <v>0</v>
      </c>
      <c r="H2542" s="15">
        <f>Tabla1[[#This Row],[Importe]]-Tabla1[[#This Row],[Pagado]]</f>
        <v>0</v>
      </c>
      <c r="I2542" s="275" t="s">
        <v>95</v>
      </c>
    </row>
    <row r="2543" spans="1:9" ht="15.75" x14ac:dyDescent="0.25">
      <c r="A2543" s="16">
        <v>42937</v>
      </c>
      <c r="B2543" s="273" t="s">
        <v>22430</v>
      </c>
      <c r="C2543">
        <v>120697</v>
      </c>
      <c r="D2543" s="248" t="s">
        <v>95</v>
      </c>
      <c r="E2543" s="15">
        <v>0</v>
      </c>
      <c r="F2543" s="277" t="s">
        <v>95</v>
      </c>
      <c r="G2543" s="15">
        <v>0</v>
      </c>
      <c r="H2543" s="15">
        <f>Tabla1[[#This Row],[Importe]]-Tabla1[[#This Row],[Pagado]]</f>
        <v>0</v>
      </c>
      <c r="I2543" s="275" t="s">
        <v>95</v>
      </c>
    </row>
    <row r="2544" spans="1:9" x14ac:dyDescent="0.25">
      <c r="A2544" s="16">
        <v>42937</v>
      </c>
      <c r="B2544" s="273" t="s">
        <v>22431</v>
      </c>
      <c r="C2544">
        <v>120698</v>
      </c>
      <c r="D2544" s="236" t="s">
        <v>15350</v>
      </c>
      <c r="E2544" s="15">
        <v>2650</v>
      </c>
      <c r="F2544" s="274">
        <v>42937</v>
      </c>
      <c r="G2544" s="15">
        <v>2650</v>
      </c>
      <c r="H2544" s="15">
        <f>Tabla1[[#This Row],[Importe]]-Tabla1[[#This Row],[Pagado]]</f>
        <v>0</v>
      </c>
      <c r="I2544" s="275" t="s">
        <v>15214</v>
      </c>
    </row>
    <row r="2545" spans="1:9" x14ac:dyDescent="0.25">
      <c r="A2545" s="16">
        <v>42937</v>
      </c>
      <c r="B2545" s="273" t="s">
        <v>22432</v>
      </c>
      <c r="C2545">
        <v>120699</v>
      </c>
      <c r="D2545" s="236" t="s">
        <v>15523</v>
      </c>
      <c r="E2545" s="15">
        <v>3180</v>
      </c>
      <c r="F2545" s="274">
        <v>42937</v>
      </c>
      <c r="G2545" s="15">
        <v>3180</v>
      </c>
      <c r="H2545" s="15">
        <f>Tabla1[[#This Row],[Importe]]-Tabla1[[#This Row],[Pagado]]</f>
        <v>0</v>
      </c>
      <c r="I2545" s="275" t="s">
        <v>15214</v>
      </c>
    </row>
    <row r="2546" spans="1:9" x14ac:dyDescent="0.25">
      <c r="A2546" s="16">
        <v>42937</v>
      </c>
      <c r="B2546" s="273" t="s">
        <v>22433</v>
      </c>
      <c r="C2546">
        <v>120700</v>
      </c>
      <c r="D2546" s="236" t="s">
        <v>15220</v>
      </c>
      <c r="E2546" s="15">
        <v>3180</v>
      </c>
      <c r="F2546" s="274">
        <v>42937</v>
      </c>
      <c r="G2546" s="15">
        <v>3180</v>
      </c>
      <c r="H2546" s="15">
        <f>Tabla1[[#This Row],[Importe]]-Tabla1[[#This Row],[Pagado]]</f>
        <v>0</v>
      </c>
      <c r="I2546" s="275" t="s">
        <v>15214</v>
      </c>
    </row>
    <row r="2547" spans="1:9" x14ac:dyDescent="0.25">
      <c r="A2547" s="16">
        <v>42937</v>
      </c>
      <c r="B2547" s="273" t="s">
        <v>22434</v>
      </c>
      <c r="C2547">
        <v>120701</v>
      </c>
      <c r="D2547" s="236" t="s">
        <v>15240</v>
      </c>
      <c r="E2547" s="15">
        <v>3830.6</v>
      </c>
      <c r="F2547" s="274">
        <v>42938</v>
      </c>
      <c r="G2547" s="15">
        <v>3830.6</v>
      </c>
      <c r="H2547" s="15">
        <f>Tabla1[[#This Row],[Importe]]-Tabla1[[#This Row],[Pagado]]</f>
        <v>0</v>
      </c>
      <c r="I2547" s="275" t="s">
        <v>15214</v>
      </c>
    </row>
    <row r="2548" spans="1:9" x14ac:dyDescent="0.25">
      <c r="A2548" s="16">
        <v>42937</v>
      </c>
      <c r="B2548" s="273" t="s">
        <v>22435</v>
      </c>
      <c r="C2548">
        <v>120702</v>
      </c>
      <c r="D2548" s="236" t="s">
        <v>18544</v>
      </c>
      <c r="E2548" s="15">
        <v>7005.2</v>
      </c>
      <c r="F2548" s="274">
        <v>42937</v>
      </c>
      <c r="G2548" s="15">
        <v>7005.2</v>
      </c>
      <c r="H2548" s="15">
        <f>Tabla1[[#This Row],[Importe]]-Tabla1[[#This Row],[Pagado]]</f>
        <v>0</v>
      </c>
      <c r="I2548" s="275" t="s">
        <v>15214</v>
      </c>
    </row>
    <row r="2549" spans="1:9" x14ac:dyDescent="0.25">
      <c r="A2549" s="16">
        <v>42937</v>
      </c>
      <c r="B2549" s="273" t="s">
        <v>22436</v>
      </c>
      <c r="C2549">
        <v>120703</v>
      </c>
      <c r="D2549" s="236" t="s">
        <v>15858</v>
      </c>
      <c r="E2549" s="15">
        <v>385</v>
      </c>
      <c r="F2549" s="274">
        <v>42937</v>
      </c>
      <c r="G2549" s="15">
        <v>385</v>
      </c>
      <c r="H2549" s="15">
        <f>Tabla1[[#This Row],[Importe]]-Tabla1[[#This Row],[Pagado]]</f>
        <v>0</v>
      </c>
      <c r="I2549" s="275" t="s">
        <v>15214</v>
      </c>
    </row>
    <row r="2550" spans="1:9" x14ac:dyDescent="0.25">
      <c r="A2550" s="16">
        <v>42937</v>
      </c>
      <c r="B2550" s="273" t="s">
        <v>22437</v>
      </c>
      <c r="C2550">
        <v>120704</v>
      </c>
      <c r="D2550" s="236" t="s">
        <v>15232</v>
      </c>
      <c r="E2550" s="15">
        <v>6960.8</v>
      </c>
      <c r="F2550" s="274">
        <v>42943</v>
      </c>
      <c r="G2550" s="15">
        <v>6960.8</v>
      </c>
      <c r="H2550" s="15">
        <f>Tabla1[[#This Row],[Importe]]-Tabla1[[#This Row],[Pagado]]</f>
        <v>0</v>
      </c>
      <c r="I2550" s="275" t="s">
        <v>15214</v>
      </c>
    </row>
    <row r="2551" spans="1:9" x14ac:dyDescent="0.25">
      <c r="A2551" s="16">
        <v>42937</v>
      </c>
      <c r="B2551" s="273" t="s">
        <v>22438</v>
      </c>
      <c r="C2551">
        <v>120705</v>
      </c>
      <c r="D2551" s="236" t="s">
        <v>15358</v>
      </c>
      <c r="E2551" s="15">
        <v>2805</v>
      </c>
      <c r="F2551" s="274">
        <v>42937</v>
      </c>
      <c r="G2551" s="15">
        <v>2805</v>
      </c>
      <c r="H2551" s="15">
        <f>Tabla1[[#This Row],[Importe]]-Tabla1[[#This Row],[Pagado]]</f>
        <v>0</v>
      </c>
      <c r="I2551" s="275" t="s">
        <v>15214</v>
      </c>
    </row>
    <row r="2552" spans="1:9" x14ac:dyDescent="0.25">
      <c r="A2552" s="16">
        <v>42937</v>
      </c>
      <c r="B2552" s="273" t="s">
        <v>22439</v>
      </c>
      <c r="C2552">
        <v>120706</v>
      </c>
      <c r="D2552" s="236" t="s">
        <v>15336</v>
      </c>
      <c r="E2552" s="15">
        <v>7020</v>
      </c>
      <c r="F2552" s="274">
        <v>42937</v>
      </c>
      <c r="G2552" s="15">
        <v>7020</v>
      </c>
      <c r="H2552" s="15">
        <f>Tabla1[[#This Row],[Importe]]-Tabla1[[#This Row],[Pagado]]</f>
        <v>0</v>
      </c>
      <c r="I2552" s="275" t="s">
        <v>15214</v>
      </c>
    </row>
    <row r="2553" spans="1:9" ht="48.75" x14ac:dyDescent="0.25">
      <c r="A2553" s="16">
        <v>42937</v>
      </c>
      <c r="B2553" s="273" t="s">
        <v>22440</v>
      </c>
      <c r="C2553">
        <v>120707</v>
      </c>
      <c r="D2553" s="236" t="s">
        <v>15228</v>
      </c>
      <c r="E2553" s="15">
        <v>39008.800000000003</v>
      </c>
      <c r="F2553" s="284" t="s">
        <v>22441</v>
      </c>
      <c r="G2553" s="241">
        <f>10000+4500+10000+9000+5508.8</f>
        <v>39008.800000000003</v>
      </c>
      <c r="H2553" s="241">
        <f>Tabla1[[#This Row],[Importe]]-Tabla1[[#This Row],[Pagado]]</f>
        <v>0</v>
      </c>
      <c r="I2553" s="275" t="s">
        <v>15214</v>
      </c>
    </row>
    <row r="2554" spans="1:9" x14ac:dyDescent="0.25">
      <c r="A2554" s="16">
        <v>42937</v>
      </c>
      <c r="B2554" s="273" t="s">
        <v>22442</v>
      </c>
      <c r="C2554">
        <v>120708</v>
      </c>
      <c r="D2554" s="236" t="s">
        <v>15526</v>
      </c>
      <c r="E2554" s="15">
        <v>4471.5</v>
      </c>
      <c r="F2554" s="274">
        <v>42937</v>
      </c>
      <c r="G2554" s="15">
        <v>4471.5</v>
      </c>
      <c r="H2554" s="15">
        <f>Tabla1[[#This Row],[Importe]]-Tabla1[[#This Row],[Pagado]]</f>
        <v>0</v>
      </c>
      <c r="I2554" s="275" t="s">
        <v>15214</v>
      </c>
    </row>
    <row r="2555" spans="1:9" x14ac:dyDescent="0.25">
      <c r="A2555" s="16">
        <v>42937</v>
      </c>
      <c r="B2555" s="273" t="s">
        <v>22443</v>
      </c>
      <c r="C2555">
        <v>120709</v>
      </c>
      <c r="D2555" s="236" t="s">
        <v>15220</v>
      </c>
      <c r="E2555" s="15">
        <v>3311</v>
      </c>
      <c r="F2555" s="274">
        <v>42937</v>
      </c>
      <c r="G2555" s="15">
        <v>3311</v>
      </c>
      <c r="H2555" s="15">
        <f>Tabla1[[#This Row],[Importe]]-Tabla1[[#This Row],[Pagado]]</f>
        <v>0</v>
      </c>
      <c r="I2555" s="275" t="s">
        <v>15214</v>
      </c>
    </row>
    <row r="2556" spans="1:9" x14ac:dyDescent="0.25">
      <c r="A2556" s="16">
        <v>42937</v>
      </c>
      <c r="B2556" s="273" t="s">
        <v>22444</v>
      </c>
      <c r="C2556">
        <v>120710</v>
      </c>
      <c r="D2556" s="236" t="s">
        <v>15272</v>
      </c>
      <c r="E2556" s="15">
        <v>24818.799999999999</v>
      </c>
      <c r="F2556" s="274">
        <v>42937</v>
      </c>
      <c r="G2556" s="15">
        <v>24818.799999999999</v>
      </c>
      <c r="H2556" s="15">
        <f>Tabla1[[#This Row],[Importe]]-Tabla1[[#This Row],[Pagado]]</f>
        <v>0</v>
      </c>
      <c r="I2556" s="275" t="s">
        <v>15214</v>
      </c>
    </row>
    <row r="2557" spans="1:9" x14ac:dyDescent="0.25">
      <c r="A2557" s="16">
        <v>42937</v>
      </c>
      <c r="B2557" s="273" t="s">
        <v>22445</v>
      </c>
      <c r="C2557">
        <v>120711</v>
      </c>
      <c r="D2557" s="236" t="s">
        <v>15748</v>
      </c>
      <c r="E2557" s="15">
        <v>1585.2</v>
      </c>
      <c r="F2557" s="274">
        <v>42937</v>
      </c>
      <c r="G2557" s="15">
        <v>1585.2</v>
      </c>
      <c r="H2557" s="15">
        <f>Tabla1[[#This Row],[Importe]]-Tabla1[[#This Row],[Pagado]]</f>
        <v>0</v>
      </c>
      <c r="I2557" s="275" t="s">
        <v>15214</v>
      </c>
    </row>
    <row r="2558" spans="1:9" x14ac:dyDescent="0.25">
      <c r="A2558" s="16">
        <v>42937</v>
      </c>
      <c r="B2558" s="273" t="s">
        <v>22446</v>
      </c>
      <c r="C2558">
        <v>120712</v>
      </c>
      <c r="D2558" s="236" t="s">
        <v>15258</v>
      </c>
      <c r="E2558" s="15">
        <v>12181.4</v>
      </c>
      <c r="F2558" s="274">
        <v>42941</v>
      </c>
      <c r="G2558" s="15">
        <v>12181.4</v>
      </c>
      <c r="H2558" s="15">
        <f>Tabla1[[#This Row],[Importe]]-Tabla1[[#This Row],[Pagado]]</f>
        <v>0</v>
      </c>
      <c r="I2558" s="275" t="s">
        <v>15214</v>
      </c>
    </row>
    <row r="2559" spans="1:9" x14ac:dyDescent="0.25">
      <c r="A2559" s="16">
        <v>42937</v>
      </c>
      <c r="B2559" s="273" t="s">
        <v>22447</v>
      </c>
      <c r="C2559">
        <v>120713</v>
      </c>
      <c r="D2559" s="236" t="s">
        <v>15236</v>
      </c>
      <c r="E2559" s="15">
        <v>3156.2</v>
      </c>
      <c r="F2559" s="274">
        <v>42940</v>
      </c>
      <c r="G2559" s="15">
        <v>3156.2</v>
      </c>
      <c r="H2559" s="15">
        <f>Tabla1[[#This Row],[Importe]]-Tabla1[[#This Row],[Pagado]]</f>
        <v>0</v>
      </c>
      <c r="I2559" s="275" t="s">
        <v>15214</v>
      </c>
    </row>
    <row r="2560" spans="1:9" x14ac:dyDescent="0.25">
      <c r="A2560" s="16">
        <v>42937</v>
      </c>
      <c r="B2560" s="273" t="s">
        <v>22448</v>
      </c>
      <c r="C2560">
        <v>120714</v>
      </c>
      <c r="D2560" s="236" t="s">
        <v>5575</v>
      </c>
      <c r="E2560" s="15">
        <v>3855.4</v>
      </c>
      <c r="F2560" s="274">
        <v>42940</v>
      </c>
      <c r="G2560" s="15">
        <v>3855.4</v>
      </c>
      <c r="H2560" s="15">
        <f>Tabla1[[#This Row],[Importe]]-Tabla1[[#This Row],[Pagado]]</f>
        <v>0</v>
      </c>
      <c r="I2560" s="275" t="s">
        <v>15214</v>
      </c>
    </row>
    <row r="2561" spans="1:9" ht="30" x14ac:dyDescent="0.25">
      <c r="A2561" s="16">
        <v>42937</v>
      </c>
      <c r="B2561" s="273" t="s">
        <v>22449</v>
      </c>
      <c r="C2561">
        <v>120715</v>
      </c>
      <c r="D2561" s="236" t="s">
        <v>15480</v>
      </c>
      <c r="E2561" s="15">
        <v>4406.6000000000004</v>
      </c>
      <c r="F2561" s="274" t="s">
        <v>22450</v>
      </c>
      <c r="G2561" s="241">
        <f>2000.6+2406</f>
        <v>4406.6000000000004</v>
      </c>
      <c r="H2561" s="241">
        <f>Tabla1[[#This Row],[Importe]]-Tabla1[[#This Row],[Pagado]]</f>
        <v>0</v>
      </c>
      <c r="I2561" s="275" t="s">
        <v>15214</v>
      </c>
    </row>
    <row r="2562" spans="1:9" x14ac:dyDescent="0.25">
      <c r="A2562" s="16">
        <v>42937</v>
      </c>
      <c r="B2562" s="273" t="s">
        <v>22451</v>
      </c>
      <c r="C2562">
        <v>120716</v>
      </c>
      <c r="D2562" s="236" t="s">
        <v>15234</v>
      </c>
      <c r="E2562" s="15">
        <v>3534.6</v>
      </c>
      <c r="F2562" s="274">
        <v>42941</v>
      </c>
      <c r="G2562" s="15">
        <v>3534.6</v>
      </c>
      <c r="H2562" s="15">
        <f>Tabla1[[#This Row],[Importe]]-Tabla1[[#This Row],[Pagado]]</f>
        <v>0</v>
      </c>
      <c r="I2562" s="275" t="s">
        <v>15214</v>
      </c>
    </row>
    <row r="2563" spans="1:9" x14ac:dyDescent="0.25">
      <c r="A2563" s="16">
        <v>42937</v>
      </c>
      <c r="B2563" s="273" t="s">
        <v>22452</v>
      </c>
      <c r="C2563">
        <v>120717</v>
      </c>
      <c r="D2563" s="236" t="s">
        <v>15334</v>
      </c>
      <c r="E2563" s="15">
        <v>2505</v>
      </c>
      <c r="F2563" s="274">
        <v>42937</v>
      </c>
      <c r="G2563" s="15">
        <v>2505</v>
      </c>
      <c r="H2563" s="15">
        <f>Tabla1[[#This Row],[Importe]]-Tabla1[[#This Row],[Pagado]]</f>
        <v>0</v>
      </c>
      <c r="I2563" s="275" t="s">
        <v>15214</v>
      </c>
    </row>
    <row r="2564" spans="1:9" x14ac:dyDescent="0.25">
      <c r="A2564" s="16">
        <v>42937</v>
      </c>
      <c r="B2564" s="273" t="s">
        <v>22453</v>
      </c>
      <c r="C2564">
        <v>120718</v>
      </c>
      <c r="D2564" s="236" t="s">
        <v>15334</v>
      </c>
      <c r="E2564" s="15">
        <v>1214</v>
      </c>
      <c r="F2564" s="274">
        <v>42937</v>
      </c>
      <c r="G2564" s="15">
        <v>1214</v>
      </c>
      <c r="H2564" s="15">
        <f>Tabla1[[#This Row],[Importe]]-Tabla1[[#This Row],[Pagado]]</f>
        <v>0</v>
      </c>
      <c r="I2564" s="275" t="s">
        <v>15214</v>
      </c>
    </row>
    <row r="2565" spans="1:9" x14ac:dyDescent="0.25">
      <c r="A2565" s="16">
        <v>42937</v>
      </c>
      <c r="B2565" s="273" t="s">
        <v>22454</v>
      </c>
      <c r="C2565">
        <v>120719</v>
      </c>
      <c r="D2565" s="236" t="s">
        <v>15668</v>
      </c>
      <c r="E2565" s="15">
        <v>3534.6</v>
      </c>
      <c r="F2565" s="274">
        <v>42940</v>
      </c>
      <c r="G2565" s="15">
        <v>3534.6</v>
      </c>
      <c r="H2565" s="15">
        <f>Tabla1[[#This Row],[Importe]]-Tabla1[[#This Row],[Pagado]]</f>
        <v>0</v>
      </c>
      <c r="I2565" s="275" t="s">
        <v>15214</v>
      </c>
    </row>
    <row r="2566" spans="1:9" x14ac:dyDescent="0.25">
      <c r="A2566" s="16">
        <v>42937</v>
      </c>
      <c r="B2566" s="273" t="s">
        <v>22455</v>
      </c>
      <c r="C2566">
        <v>120720</v>
      </c>
      <c r="D2566" s="236" t="s">
        <v>15356</v>
      </c>
      <c r="E2566" s="15">
        <v>598.4</v>
      </c>
      <c r="F2566" s="274">
        <v>42937</v>
      </c>
      <c r="G2566" s="15">
        <v>598.4</v>
      </c>
      <c r="H2566" s="15">
        <f>Tabla1[[#This Row],[Importe]]-Tabla1[[#This Row],[Pagado]]</f>
        <v>0</v>
      </c>
      <c r="I2566" s="275" t="s">
        <v>15214</v>
      </c>
    </row>
    <row r="2567" spans="1:9" x14ac:dyDescent="0.25">
      <c r="A2567" s="16">
        <v>42937</v>
      </c>
      <c r="B2567" s="273" t="s">
        <v>22456</v>
      </c>
      <c r="C2567">
        <v>120721</v>
      </c>
      <c r="D2567" s="236" t="s">
        <v>15336</v>
      </c>
      <c r="E2567" s="15">
        <v>1621.8</v>
      </c>
      <c r="F2567" s="274">
        <v>42937</v>
      </c>
      <c r="G2567" s="15">
        <v>1621.8</v>
      </c>
      <c r="H2567" s="15">
        <f>Tabla1[[#This Row],[Importe]]-Tabla1[[#This Row],[Pagado]]</f>
        <v>0</v>
      </c>
      <c r="I2567" s="275" t="s">
        <v>15214</v>
      </c>
    </row>
    <row r="2568" spans="1:9" x14ac:dyDescent="0.25">
      <c r="A2568" s="16">
        <v>42937</v>
      </c>
      <c r="B2568" s="273" t="s">
        <v>22457</v>
      </c>
      <c r="C2568">
        <v>120722</v>
      </c>
      <c r="D2568" s="236" t="s">
        <v>15371</v>
      </c>
      <c r="E2568" s="15">
        <v>4781.8</v>
      </c>
      <c r="F2568" s="274">
        <v>42938</v>
      </c>
      <c r="G2568" s="15">
        <v>4781.8</v>
      </c>
      <c r="H2568" s="15">
        <f>Tabla1[[#This Row],[Importe]]-Tabla1[[#This Row],[Pagado]]</f>
        <v>0</v>
      </c>
      <c r="I2568" s="275" t="s">
        <v>15214</v>
      </c>
    </row>
    <row r="2569" spans="1:9" ht="30" x14ac:dyDescent="0.25">
      <c r="A2569" s="16">
        <v>42937</v>
      </c>
      <c r="B2569" s="273" t="s">
        <v>22458</v>
      </c>
      <c r="C2569">
        <v>120723</v>
      </c>
      <c r="D2569" s="236" t="s">
        <v>15394</v>
      </c>
      <c r="E2569" s="15">
        <v>19175.8</v>
      </c>
      <c r="F2569" s="274" t="s">
        <v>22459</v>
      </c>
      <c r="G2569" s="241">
        <f>16175.8+3000</f>
        <v>19175.8</v>
      </c>
      <c r="H2569" s="241">
        <f>Tabla1[[#This Row],[Importe]]-Tabla1[[#This Row],[Pagado]]</f>
        <v>0</v>
      </c>
      <c r="I2569" s="275" t="s">
        <v>15214</v>
      </c>
    </row>
    <row r="2570" spans="1:9" x14ac:dyDescent="0.25">
      <c r="A2570" s="16">
        <v>42937</v>
      </c>
      <c r="B2570" s="273" t="s">
        <v>22460</v>
      </c>
      <c r="C2570">
        <v>120724</v>
      </c>
      <c r="D2570" s="236" t="s">
        <v>15367</v>
      </c>
      <c r="E2570" s="15">
        <v>6000</v>
      </c>
      <c r="F2570" s="274">
        <v>42938</v>
      </c>
      <c r="G2570" s="15">
        <v>6000</v>
      </c>
      <c r="H2570" s="15">
        <f>Tabla1[[#This Row],[Importe]]-Tabla1[[#This Row],[Pagado]]</f>
        <v>0</v>
      </c>
      <c r="I2570" s="275" t="s">
        <v>15214</v>
      </c>
    </row>
    <row r="2571" spans="1:9" x14ac:dyDescent="0.25">
      <c r="A2571" s="16">
        <v>42937</v>
      </c>
      <c r="B2571" s="273" t="s">
        <v>22461</v>
      </c>
      <c r="C2571">
        <v>120725</v>
      </c>
      <c r="D2571" s="236" t="s">
        <v>16023</v>
      </c>
      <c r="E2571" s="15">
        <v>2466.6</v>
      </c>
      <c r="F2571" s="274">
        <v>42937</v>
      </c>
      <c r="G2571" s="15">
        <v>2466.6</v>
      </c>
      <c r="H2571" s="15">
        <f>Tabla1[[#This Row],[Importe]]-Tabla1[[#This Row],[Pagado]]</f>
        <v>0</v>
      </c>
      <c r="I2571" s="275" t="s">
        <v>15214</v>
      </c>
    </row>
    <row r="2572" spans="1:9" x14ac:dyDescent="0.25">
      <c r="A2572" s="16">
        <v>42937</v>
      </c>
      <c r="B2572" s="273" t="s">
        <v>22462</v>
      </c>
      <c r="C2572">
        <v>120726</v>
      </c>
      <c r="D2572" s="236" t="s">
        <v>15681</v>
      </c>
      <c r="E2572" s="15">
        <v>1401.6</v>
      </c>
      <c r="F2572" s="274">
        <v>42937</v>
      </c>
      <c r="G2572" s="15">
        <v>1401.6</v>
      </c>
      <c r="H2572" s="15">
        <f>Tabla1[[#This Row],[Importe]]-Tabla1[[#This Row],[Pagado]]</f>
        <v>0</v>
      </c>
      <c r="I2572" s="275" t="s">
        <v>15214</v>
      </c>
    </row>
    <row r="2573" spans="1:9" ht="30" x14ac:dyDescent="0.25">
      <c r="A2573" s="16">
        <v>42937</v>
      </c>
      <c r="B2573" s="273" t="s">
        <v>22463</v>
      </c>
      <c r="C2573">
        <v>120727</v>
      </c>
      <c r="D2573" s="236" t="s">
        <v>15256</v>
      </c>
      <c r="E2573" s="15">
        <v>6704.6</v>
      </c>
      <c r="F2573" s="274" t="s">
        <v>22450</v>
      </c>
      <c r="G2573" s="241">
        <f>5700+1004.6</f>
        <v>6704.6</v>
      </c>
      <c r="H2573" s="241">
        <f>Tabla1[[#This Row],[Importe]]-Tabla1[[#This Row],[Pagado]]</f>
        <v>0</v>
      </c>
      <c r="I2573" s="275" t="s">
        <v>15214</v>
      </c>
    </row>
    <row r="2574" spans="1:9" x14ac:dyDescent="0.25">
      <c r="A2574" s="16">
        <v>42937</v>
      </c>
      <c r="B2574" s="273" t="s">
        <v>22464</v>
      </c>
      <c r="C2574">
        <v>120728</v>
      </c>
      <c r="D2574" s="236" t="s">
        <v>15238</v>
      </c>
      <c r="E2574" s="15">
        <v>6708.6</v>
      </c>
      <c r="F2574" s="274">
        <v>42940</v>
      </c>
      <c r="G2574" s="15">
        <v>6708.6</v>
      </c>
      <c r="H2574" s="15">
        <f>Tabla1[[#This Row],[Importe]]-Tabla1[[#This Row],[Pagado]]</f>
        <v>0</v>
      </c>
      <c r="I2574" s="275" t="s">
        <v>15214</v>
      </c>
    </row>
    <row r="2575" spans="1:9" x14ac:dyDescent="0.25">
      <c r="A2575" s="16">
        <v>42937</v>
      </c>
      <c r="B2575" s="273" t="s">
        <v>22465</v>
      </c>
      <c r="C2575">
        <v>120729</v>
      </c>
      <c r="D2575" s="236" t="s">
        <v>17462</v>
      </c>
      <c r="E2575" s="15">
        <v>2206.4</v>
      </c>
      <c r="F2575" s="274">
        <v>42937</v>
      </c>
      <c r="G2575" s="15">
        <v>2206.4</v>
      </c>
      <c r="H2575" s="15">
        <f>Tabla1[[#This Row],[Importe]]-Tabla1[[#This Row],[Pagado]]</f>
        <v>0</v>
      </c>
      <c r="I2575" s="275" t="s">
        <v>15214</v>
      </c>
    </row>
    <row r="2576" spans="1:9" ht="30" x14ac:dyDescent="0.25">
      <c r="A2576" s="16">
        <v>42937</v>
      </c>
      <c r="B2576" s="273" t="s">
        <v>22466</v>
      </c>
      <c r="C2576">
        <v>120730</v>
      </c>
      <c r="D2576" s="236" t="s">
        <v>15230</v>
      </c>
      <c r="E2576" s="15">
        <v>17671.900000000001</v>
      </c>
      <c r="F2576" s="274" t="s">
        <v>22467</v>
      </c>
      <c r="G2576" s="241">
        <f>12000+5671.9</f>
        <v>17671.900000000001</v>
      </c>
      <c r="H2576" s="241">
        <f>Tabla1[[#This Row],[Importe]]-Tabla1[[#This Row],[Pagado]]</f>
        <v>0</v>
      </c>
      <c r="I2576" s="275" t="s">
        <v>15214</v>
      </c>
    </row>
    <row r="2577" spans="1:9" ht="30" x14ac:dyDescent="0.25">
      <c r="A2577" s="16">
        <v>42937</v>
      </c>
      <c r="B2577" s="273" t="s">
        <v>22468</v>
      </c>
      <c r="C2577">
        <v>120731</v>
      </c>
      <c r="D2577" s="236" t="s">
        <v>19549</v>
      </c>
      <c r="E2577" s="15">
        <v>17570.2</v>
      </c>
      <c r="F2577" s="274" t="s">
        <v>22469</v>
      </c>
      <c r="G2577" s="241">
        <f>15000+2570.2</f>
        <v>17570.2</v>
      </c>
      <c r="H2577" s="241">
        <f>Tabla1[[#This Row],[Importe]]-Tabla1[[#This Row],[Pagado]]</f>
        <v>0</v>
      </c>
      <c r="I2577" s="275" t="s">
        <v>15214</v>
      </c>
    </row>
    <row r="2578" spans="1:9" x14ac:dyDescent="0.25">
      <c r="A2578" s="16">
        <v>42937</v>
      </c>
      <c r="B2578" s="273" t="s">
        <v>22470</v>
      </c>
      <c r="C2578">
        <v>120732</v>
      </c>
      <c r="D2578" s="236" t="s">
        <v>15365</v>
      </c>
      <c r="E2578" s="15">
        <v>15915.9</v>
      </c>
      <c r="F2578" s="274">
        <v>42939</v>
      </c>
      <c r="G2578" s="15">
        <v>15915.9</v>
      </c>
      <c r="H2578" s="15">
        <f>Tabla1[[#This Row],[Importe]]-Tabla1[[#This Row],[Pagado]]</f>
        <v>0</v>
      </c>
      <c r="I2578" s="275" t="s">
        <v>15214</v>
      </c>
    </row>
    <row r="2579" spans="1:9" x14ac:dyDescent="0.25">
      <c r="A2579" s="16">
        <v>42937</v>
      </c>
      <c r="B2579" s="273" t="s">
        <v>22471</v>
      </c>
      <c r="C2579">
        <v>120733</v>
      </c>
      <c r="D2579" s="236" t="s">
        <v>15226</v>
      </c>
      <c r="E2579" s="15">
        <v>2478.6</v>
      </c>
      <c r="F2579" s="274">
        <v>42938</v>
      </c>
      <c r="G2579" s="15">
        <v>2478.6</v>
      </c>
      <c r="H2579" s="15">
        <f>Tabla1[[#This Row],[Importe]]-Tabla1[[#This Row],[Pagado]]</f>
        <v>0</v>
      </c>
      <c r="I2579" s="275" t="s">
        <v>15214</v>
      </c>
    </row>
    <row r="2580" spans="1:9" x14ac:dyDescent="0.25">
      <c r="A2580" s="16">
        <v>42937</v>
      </c>
      <c r="B2580" s="273" t="s">
        <v>22472</v>
      </c>
      <c r="C2580">
        <v>120734</v>
      </c>
      <c r="D2580" s="236" t="s">
        <v>15315</v>
      </c>
      <c r="E2580" s="15">
        <v>988</v>
      </c>
      <c r="F2580" s="274">
        <v>42940</v>
      </c>
      <c r="G2580" s="15">
        <v>988</v>
      </c>
      <c r="H2580" s="15">
        <f>Tabla1[[#This Row],[Importe]]-Tabla1[[#This Row],[Pagado]]</f>
        <v>0</v>
      </c>
      <c r="I2580" s="275" t="s">
        <v>15214</v>
      </c>
    </row>
    <row r="2581" spans="1:9" x14ac:dyDescent="0.25">
      <c r="A2581" s="16">
        <v>42937</v>
      </c>
      <c r="B2581" s="273" t="s">
        <v>22473</v>
      </c>
      <c r="C2581">
        <v>120735</v>
      </c>
      <c r="D2581" s="236" t="s">
        <v>15324</v>
      </c>
      <c r="E2581" s="15">
        <v>1921.5</v>
      </c>
      <c r="F2581" s="274">
        <v>42937</v>
      </c>
      <c r="G2581" s="15">
        <v>1921.5</v>
      </c>
      <c r="H2581" s="15">
        <f>Tabla1[[#This Row],[Importe]]-Tabla1[[#This Row],[Pagado]]</f>
        <v>0</v>
      </c>
      <c r="I2581" s="275" t="s">
        <v>15214</v>
      </c>
    </row>
    <row r="2582" spans="1:9" x14ac:dyDescent="0.25">
      <c r="A2582" s="16">
        <v>42937</v>
      </c>
      <c r="B2582" s="273" t="s">
        <v>22474</v>
      </c>
      <c r="C2582">
        <v>120736</v>
      </c>
      <c r="D2582" s="236" t="s">
        <v>15369</v>
      </c>
      <c r="E2582" s="15">
        <v>30126.2</v>
      </c>
      <c r="F2582" s="274">
        <v>42953</v>
      </c>
      <c r="G2582" s="15">
        <v>30126.2</v>
      </c>
      <c r="H2582" s="15">
        <f>Tabla1[[#This Row],[Importe]]-Tabla1[[#This Row],[Pagado]]</f>
        <v>0</v>
      </c>
      <c r="I2582" s="275" t="s">
        <v>15214</v>
      </c>
    </row>
    <row r="2583" spans="1:9" ht="30" x14ac:dyDescent="0.25">
      <c r="A2583" s="16">
        <v>42937</v>
      </c>
      <c r="B2583" s="273" t="s">
        <v>22475</v>
      </c>
      <c r="C2583">
        <v>120737</v>
      </c>
      <c r="D2583" s="236" t="s">
        <v>15373</v>
      </c>
      <c r="E2583" s="15">
        <v>20330.400000000001</v>
      </c>
      <c r="F2583" s="274" t="s">
        <v>22208</v>
      </c>
      <c r="G2583" s="241">
        <f>8000+12330.4</f>
        <v>20330.400000000001</v>
      </c>
      <c r="H2583" s="241">
        <f>Tabla1[[#This Row],[Importe]]-Tabla1[[#This Row],[Pagado]]</f>
        <v>0</v>
      </c>
      <c r="I2583" s="275" t="s">
        <v>15214</v>
      </c>
    </row>
    <row r="2584" spans="1:9" x14ac:dyDescent="0.25">
      <c r="A2584" s="16">
        <v>42937</v>
      </c>
      <c r="B2584" s="273" t="s">
        <v>22476</v>
      </c>
      <c r="C2584">
        <v>120738</v>
      </c>
      <c r="D2584" s="236" t="s">
        <v>15380</v>
      </c>
      <c r="E2584" s="15">
        <v>52629</v>
      </c>
      <c r="F2584" s="274">
        <v>42953</v>
      </c>
      <c r="G2584" s="15">
        <v>52629</v>
      </c>
      <c r="H2584" s="15">
        <f>Tabla1[[#This Row],[Importe]]-Tabla1[[#This Row],[Pagado]]</f>
        <v>0</v>
      </c>
      <c r="I2584" s="275" t="s">
        <v>15214</v>
      </c>
    </row>
    <row r="2585" spans="1:9" x14ac:dyDescent="0.25">
      <c r="A2585" s="16">
        <v>42937</v>
      </c>
      <c r="B2585" s="273" t="s">
        <v>22477</v>
      </c>
      <c r="C2585">
        <v>120739</v>
      </c>
      <c r="D2585" s="236" t="s">
        <v>15389</v>
      </c>
      <c r="E2585" s="15">
        <v>20793.900000000001</v>
      </c>
      <c r="F2585" s="292">
        <v>42948</v>
      </c>
      <c r="G2585" s="15">
        <v>20793.900000000001</v>
      </c>
      <c r="H2585" s="15">
        <f>Tabla1[[#This Row],[Importe]]-Tabla1[[#This Row],[Pagado]]</f>
        <v>0</v>
      </c>
      <c r="I2585" s="275" t="s">
        <v>15214</v>
      </c>
    </row>
    <row r="2586" spans="1:9" x14ac:dyDescent="0.25">
      <c r="A2586" s="16">
        <v>42937</v>
      </c>
      <c r="B2586" s="273" t="s">
        <v>22478</v>
      </c>
      <c r="C2586">
        <v>120740</v>
      </c>
      <c r="D2586" s="236" t="s">
        <v>15338</v>
      </c>
      <c r="E2586" s="15">
        <v>5368.9</v>
      </c>
      <c r="F2586" s="274">
        <v>42941</v>
      </c>
      <c r="G2586" s="15">
        <v>5368.9</v>
      </c>
      <c r="H2586" s="15">
        <f>Tabla1[[#This Row],[Importe]]-Tabla1[[#This Row],[Pagado]]</f>
        <v>0</v>
      </c>
      <c r="I2586" s="275" t="s">
        <v>15214</v>
      </c>
    </row>
    <row r="2587" spans="1:9" x14ac:dyDescent="0.25">
      <c r="A2587" s="16">
        <v>42937</v>
      </c>
      <c r="B2587" s="273" t="s">
        <v>22479</v>
      </c>
      <c r="C2587">
        <v>120741</v>
      </c>
      <c r="D2587" s="236" t="s">
        <v>15315</v>
      </c>
      <c r="E2587" s="15">
        <v>4087.8</v>
      </c>
      <c r="F2587" s="274">
        <v>42937</v>
      </c>
      <c r="G2587" s="15">
        <v>4087.8</v>
      </c>
      <c r="H2587" s="15">
        <f>Tabla1[[#This Row],[Importe]]-Tabla1[[#This Row],[Pagado]]</f>
        <v>0</v>
      </c>
      <c r="I2587" s="275" t="s">
        <v>15214</v>
      </c>
    </row>
    <row r="2588" spans="1:9" x14ac:dyDescent="0.25">
      <c r="A2588" s="16">
        <v>42937</v>
      </c>
      <c r="B2588" s="273" t="s">
        <v>22480</v>
      </c>
      <c r="C2588">
        <v>120742</v>
      </c>
      <c r="D2588" s="236" t="s">
        <v>15382</v>
      </c>
      <c r="E2588" s="15">
        <v>12563.2</v>
      </c>
      <c r="F2588" s="292">
        <v>42948</v>
      </c>
      <c r="G2588" s="15">
        <v>12563.2</v>
      </c>
      <c r="H2588" s="15">
        <f>Tabla1[[#This Row],[Importe]]-Tabla1[[#This Row],[Pagado]]</f>
        <v>0</v>
      </c>
      <c r="I2588" s="275" t="s">
        <v>15214</v>
      </c>
    </row>
    <row r="2589" spans="1:9" x14ac:dyDescent="0.25">
      <c r="A2589" s="16">
        <v>42937</v>
      </c>
      <c r="B2589" s="273" t="s">
        <v>22481</v>
      </c>
      <c r="C2589">
        <v>120743</v>
      </c>
      <c r="D2589" s="236" t="s">
        <v>15315</v>
      </c>
      <c r="E2589" s="15">
        <v>37747.199999999997</v>
      </c>
      <c r="F2589" s="274">
        <v>42942</v>
      </c>
      <c r="G2589" s="15">
        <v>37747.199999999997</v>
      </c>
      <c r="H2589" s="15">
        <f>Tabla1[[#This Row],[Importe]]-Tabla1[[#This Row],[Pagado]]</f>
        <v>0</v>
      </c>
      <c r="I2589" s="275" t="s">
        <v>15214</v>
      </c>
    </row>
    <row r="2590" spans="1:9" x14ac:dyDescent="0.25">
      <c r="A2590" s="16">
        <v>42937</v>
      </c>
      <c r="B2590" s="273" t="s">
        <v>22482</v>
      </c>
      <c r="C2590">
        <v>120744</v>
      </c>
      <c r="D2590" s="236" t="s">
        <v>15278</v>
      </c>
      <c r="E2590" s="15">
        <v>10586.7</v>
      </c>
      <c r="F2590" s="274">
        <v>42937</v>
      </c>
      <c r="G2590" s="15">
        <v>10586.7</v>
      </c>
      <c r="H2590" s="15">
        <f>Tabla1[[#This Row],[Importe]]-Tabla1[[#This Row],[Pagado]]</f>
        <v>0</v>
      </c>
      <c r="I2590" s="275" t="s">
        <v>15214</v>
      </c>
    </row>
    <row r="2591" spans="1:9" x14ac:dyDescent="0.25">
      <c r="A2591" s="16">
        <v>42937</v>
      </c>
      <c r="B2591" s="273" t="s">
        <v>22483</v>
      </c>
      <c r="C2591">
        <v>120745</v>
      </c>
      <c r="D2591" s="236" t="s">
        <v>15280</v>
      </c>
      <c r="E2591" s="15">
        <v>7870.9</v>
      </c>
      <c r="F2591" s="274">
        <v>42937</v>
      </c>
      <c r="G2591" s="15">
        <v>7870.9</v>
      </c>
      <c r="H2591" s="15">
        <f>Tabla1[[#This Row],[Importe]]-Tabla1[[#This Row],[Pagado]]</f>
        <v>0</v>
      </c>
      <c r="I2591" s="275" t="s">
        <v>15214</v>
      </c>
    </row>
    <row r="2592" spans="1:9" x14ac:dyDescent="0.25">
      <c r="A2592" s="16">
        <v>42937</v>
      </c>
      <c r="B2592" s="273" t="s">
        <v>22484</v>
      </c>
      <c r="C2592">
        <v>120746</v>
      </c>
      <c r="D2592" s="236" t="s">
        <v>15555</v>
      </c>
      <c r="E2592" s="15">
        <v>5485.2</v>
      </c>
      <c r="F2592" s="274">
        <v>42944</v>
      </c>
      <c r="G2592" s="15">
        <v>5485.2</v>
      </c>
      <c r="H2592" s="15">
        <f>Tabla1[[#This Row],[Importe]]-Tabla1[[#This Row],[Pagado]]</f>
        <v>0</v>
      </c>
      <c r="I2592" s="275" t="s">
        <v>15214</v>
      </c>
    </row>
    <row r="2593" spans="1:9" x14ac:dyDescent="0.25">
      <c r="A2593" s="16">
        <v>42937</v>
      </c>
      <c r="B2593" s="273" t="s">
        <v>22485</v>
      </c>
      <c r="C2593">
        <v>120747</v>
      </c>
      <c r="D2593" s="236" t="s">
        <v>15263</v>
      </c>
      <c r="E2593" s="15">
        <v>3522.2</v>
      </c>
      <c r="F2593" s="274">
        <v>42937</v>
      </c>
      <c r="G2593" s="15">
        <v>3522.2</v>
      </c>
      <c r="H2593" s="15">
        <f>Tabla1[[#This Row],[Importe]]-Tabla1[[#This Row],[Pagado]]</f>
        <v>0</v>
      </c>
      <c r="I2593" s="275" t="s">
        <v>15214</v>
      </c>
    </row>
    <row r="2594" spans="1:9" x14ac:dyDescent="0.25">
      <c r="A2594" s="16">
        <v>42937</v>
      </c>
      <c r="B2594" s="273" t="s">
        <v>22486</v>
      </c>
      <c r="C2594">
        <v>120748</v>
      </c>
      <c r="D2594" s="236" t="s">
        <v>15263</v>
      </c>
      <c r="E2594" s="15">
        <v>144</v>
      </c>
      <c r="F2594" s="274">
        <v>42937</v>
      </c>
      <c r="G2594" s="15">
        <v>144</v>
      </c>
      <c r="H2594" s="15">
        <f>Tabla1[[#This Row],[Importe]]-Tabla1[[#This Row],[Pagado]]</f>
        <v>0</v>
      </c>
      <c r="I2594" s="275" t="s">
        <v>15214</v>
      </c>
    </row>
    <row r="2595" spans="1:9" x14ac:dyDescent="0.25">
      <c r="A2595" s="16">
        <v>42937</v>
      </c>
      <c r="B2595" s="273" t="s">
        <v>22487</v>
      </c>
      <c r="C2595">
        <v>120749</v>
      </c>
      <c r="D2595" s="236" t="s">
        <v>15252</v>
      </c>
      <c r="E2595" s="15">
        <v>5339.6</v>
      </c>
      <c r="F2595" s="274">
        <v>42940</v>
      </c>
      <c r="G2595" s="15">
        <v>5339.6</v>
      </c>
      <c r="H2595" s="15">
        <f>Tabla1[[#This Row],[Importe]]-Tabla1[[#This Row],[Pagado]]</f>
        <v>0</v>
      </c>
      <c r="I2595" s="275" t="s">
        <v>15214</v>
      </c>
    </row>
    <row r="2596" spans="1:9" x14ac:dyDescent="0.25">
      <c r="A2596" s="16">
        <v>42937</v>
      </c>
      <c r="B2596" s="273" t="s">
        <v>22488</v>
      </c>
      <c r="C2596">
        <v>120750</v>
      </c>
      <c r="D2596" s="236" t="s">
        <v>15244</v>
      </c>
      <c r="E2596" s="15">
        <v>12037.5</v>
      </c>
      <c r="F2596" s="274">
        <v>42941</v>
      </c>
      <c r="G2596" s="15">
        <v>12037.5</v>
      </c>
      <c r="H2596" s="15">
        <f>Tabla1[[#This Row],[Importe]]-Tabla1[[#This Row],[Pagado]]</f>
        <v>0</v>
      </c>
      <c r="I2596" s="275" t="s">
        <v>15214</v>
      </c>
    </row>
    <row r="2597" spans="1:9" x14ac:dyDescent="0.25">
      <c r="A2597" s="16">
        <v>42937</v>
      </c>
      <c r="B2597" s="273" t="s">
        <v>22489</v>
      </c>
      <c r="C2597">
        <v>120751</v>
      </c>
      <c r="D2597" s="236" t="s">
        <v>15539</v>
      </c>
      <c r="E2597" s="15">
        <v>14215.8</v>
      </c>
      <c r="F2597" s="274">
        <v>42942</v>
      </c>
      <c r="G2597" s="15">
        <v>14215.8</v>
      </c>
      <c r="H2597" s="15">
        <f>Tabla1[[#This Row],[Importe]]-Tabla1[[#This Row],[Pagado]]</f>
        <v>0</v>
      </c>
      <c r="I2597" s="275" t="s">
        <v>15214</v>
      </c>
    </row>
    <row r="2598" spans="1:9" x14ac:dyDescent="0.25">
      <c r="A2598" s="16">
        <v>42937</v>
      </c>
      <c r="B2598" s="273" t="s">
        <v>22490</v>
      </c>
      <c r="C2598">
        <v>120752</v>
      </c>
      <c r="D2598" s="236" t="s">
        <v>16040</v>
      </c>
      <c r="E2598" s="15">
        <v>9389</v>
      </c>
      <c r="F2598" s="274">
        <v>42944</v>
      </c>
      <c r="G2598" s="15">
        <v>9389</v>
      </c>
      <c r="H2598" s="15">
        <f>Tabla1[[#This Row],[Importe]]-Tabla1[[#This Row],[Pagado]]</f>
        <v>0</v>
      </c>
      <c r="I2598" s="275" t="s">
        <v>15214</v>
      </c>
    </row>
    <row r="2599" spans="1:9" x14ac:dyDescent="0.25">
      <c r="A2599" s="16">
        <v>42937</v>
      </c>
      <c r="B2599" s="273" t="s">
        <v>22491</v>
      </c>
      <c r="C2599">
        <v>120753</v>
      </c>
      <c r="D2599" s="236" t="s">
        <v>15250</v>
      </c>
      <c r="E2599" s="15">
        <v>45697.66</v>
      </c>
      <c r="F2599" s="274">
        <v>42945</v>
      </c>
      <c r="G2599" s="15">
        <v>45697.66</v>
      </c>
      <c r="H2599" s="15">
        <f>Tabla1[[#This Row],[Importe]]-Tabla1[[#This Row],[Pagado]]</f>
        <v>0</v>
      </c>
      <c r="I2599" s="275" t="s">
        <v>15214</v>
      </c>
    </row>
    <row r="2600" spans="1:9" x14ac:dyDescent="0.25">
      <c r="A2600" s="16">
        <v>42937</v>
      </c>
      <c r="B2600" s="273" t="s">
        <v>22492</v>
      </c>
      <c r="C2600">
        <v>120754</v>
      </c>
      <c r="D2600" s="236" t="s">
        <v>15427</v>
      </c>
      <c r="E2600" s="15">
        <v>38559.800000000003</v>
      </c>
      <c r="F2600" s="274">
        <v>42937</v>
      </c>
      <c r="G2600" s="15">
        <v>38559.800000000003</v>
      </c>
      <c r="H2600" s="15">
        <f>Tabla1[[#This Row],[Importe]]-Tabla1[[#This Row],[Pagado]]</f>
        <v>0</v>
      </c>
      <c r="I2600" s="275" t="s">
        <v>15214</v>
      </c>
    </row>
    <row r="2601" spans="1:9" ht="15.75" x14ac:dyDescent="0.25">
      <c r="A2601" s="16">
        <v>42937</v>
      </c>
      <c r="B2601" s="273" t="s">
        <v>22493</v>
      </c>
      <c r="C2601">
        <v>120755</v>
      </c>
      <c r="D2601" s="248" t="s">
        <v>95</v>
      </c>
      <c r="E2601" s="15">
        <v>0</v>
      </c>
      <c r="F2601" s="277" t="s">
        <v>95</v>
      </c>
      <c r="G2601" s="15">
        <v>0</v>
      </c>
      <c r="H2601" s="15">
        <f>Tabla1[[#This Row],[Importe]]-Tabla1[[#This Row],[Pagado]]</f>
        <v>0</v>
      </c>
      <c r="I2601" s="275" t="s">
        <v>95</v>
      </c>
    </row>
    <row r="2602" spans="1:9" x14ac:dyDescent="0.25">
      <c r="A2602" s="16">
        <v>42937</v>
      </c>
      <c r="B2602" s="273" t="s">
        <v>22494</v>
      </c>
      <c r="C2602">
        <v>120756</v>
      </c>
      <c r="D2602" s="236" t="s">
        <v>15315</v>
      </c>
      <c r="E2602" s="15">
        <v>7149</v>
      </c>
      <c r="F2602" s="274">
        <v>42942</v>
      </c>
      <c r="G2602" s="15">
        <v>7149</v>
      </c>
      <c r="H2602" s="15">
        <f>Tabla1[[#This Row],[Importe]]-Tabla1[[#This Row],[Pagado]]</f>
        <v>0</v>
      </c>
      <c r="I2602" s="275" t="s">
        <v>15214</v>
      </c>
    </row>
    <row r="2603" spans="1:9" x14ac:dyDescent="0.25">
      <c r="A2603" s="16">
        <v>42937</v>
      </c>
      <c r="B2603" s="273" t="s">
        <v>22495</v>
      </c>
      <c r="C2603">
        <v>120757</v>
      </c>
      <c r="D2603" s="236" t="s">
        <v>15562</v>
      </c>
      <c r="E2603" s="15">
        <v>4074.4</v>
      </c>
      <c r="F2603" s="274">
        <v>42937</v>
      </c>
      <c r="G2603" s="15">
        <v>4074.4</v>
      </c>
      <c r="H2603" s="15">
        <f>Tabla1[[#This Row],[Importe]]-Tabla1[[#This Row],[Pagado]]</f>
        <v>0</v>
      </c>
      <c r="I2603" s="275" t="s">
        <v>15214</v>
      </c>
    </row>
    <row r="2604" spans="1:9" x14ac:dyDescent="0.25">
      <c r="A2604" s="16">
        <v>42937</v>
      </c>
      <c r="B2604" s="273" t="s">
        <v>22496</v>
      </c>
      <c r="C2604">
        <v>120758</v>
      </c>
      <c r="D2604" s="236" t="s">
        <v>17929</v>
      </c>
      <c r="E2604" s="15">
        <v>5378.4</v>
      </c>
      <c r="F2604" s="274">
        <v>42937</v>
      </c>
      <c r="G2604" s="15">
        <v>5378.4</v>
      </c>
      <c r="H2604" s="15">
        <f>Tabla1[[#This Row],[Importe]]-Tabla1[[#This Row],[Pagado]]</f>
        <v>0</v>
      </c>
      <c r="I2604" s="275" t="s">
        <v>15214</v>
      </c>
    </row>
    <row r="2605" spans="1:9" x14ac:dyDescent="0.25">
      <c r="A2605" s="16">
        <v>42937</v>
      </c>
      <c r="B2605" s="273" t="s">
        <v>22497</v>
      </c>
      <c r="C2605">
        <v>120759</v>
      </c>
      <c r="D2605" s="236" t="s">
        <v>15315</v>
      </c>
      <c r="E2605" s="15">
        <v>2998.2</v>
      </c>
      <c r="F2605" s="274">
        <v>42937</v>
      </c>
      <c r="G2605" s="15">
        <v>2998.2</v>
      </c>
      <c r="H2605" s="15">
        <f>Tabla1[[#This Row],[Importe]]-Tabla1[[#This Row],[Pagado]]</f>
        <v>0</v>
      </c>
      <c r="I2605" s="275" t="s">
        <v>15214</v>
      </c>
    </row>
    <row r="2606" spans="1:9" x14ac:dyDescent="0.25">
      <c r="A2606" s="16">
        <v>42937</v>
      </c>
      <c r="B2606" s="273" t="s">
        <v>22498</v>
      </c>
      <c r="C2606">
        <v>120760</v>
      </c>
      <c r="D2606" s="236" t="s">
        <v>15396</v>
      </c>
      <c r="E2606" s="15">
        <v>439.6</v>
      </c>
      <c r="F2606" s="274">
        <v>42937</v>
      </c>
      <c r="G2606" s="15">
        <v>439.6</v>
      </c>
      <c r="H2606" s="15">
        <f>Tabla1[[#This Row],[Importe]]-Tabla1[[#This Row],[Pagado]]</f>
        <v>0</v>
      </c>
      <c r="I2606" s="275" t="s">
        <v>15214</v>
      </c>
    </row>
    <row r="2607" spans="1:9" ht="30" x14ac:dyDescent="0.25">
      <c r="A2607" s="16">
        <v>42937</v>
      </c>
      <c r="B2607" s="273" t="s">
        <v>22499</v>
      </c>
      <c r="C2607">
        <v>120761</v>
      </c>
      <c r="D2607" s="236" t="s">
        <v>15544</v>
      </c>
      <c r="E2607" s="15">
        <v>4407.8</v>
      </c>
      <c r="F2607" s="274" t="s">
        <v>22500</v>
      </c>
      <c r="G2607" s="241">
        <f>4167.8+240</f>
        <v>4407.8</v>
      </c>
      <c r="H2607" s="241">
        <f>Tabla1[[#This Row],[Importe]]-Tabla1[[#This Row],[Pagado]]</f>
        <v>0</v>
      </c>
      <c r="I2607" s="275" t="s">
        <v>15214</v>
      </c>
    </row>
    <row r="2608" spans="1:9" x14ac:dyDescent="0.25">
      <c r="A2608" s="16">
        <v>42937</v>
      </c>
      <c r="B2608" s="273" t="s">
        <v>22501</v>
      </c>
      <c r="C2608">
        <v>120762</v>
      </c>
      <c r="D2608" s="236" t="s">
        <v>15699</v>
      </c>
      <c r="E2608" s="15">
        <v>10272.1</v>
      </c>
      <c r="F2608" s="274">
        <v>42964</v>
      </c>
      <c r="G2608" s="15">
        <v>10272.1</v>
      </c>
      <c r="H2608" s="15">
        <f>Tabla1[[#This Row],[Importe]]-Tabla1[[#This Row],[Pagado]]</f>
        <v>0</v>
      </c>
      <c r="I2608" s="275" t="s">
        <v>15214</v>
      </c>
    </row>
    <row r="2609" spans="1:9" x14ac:dyDescent="0.25">
      <c r="A2609" s="16">
        <v>42937</v>
      </c>
      <c r="B2609" s="273" t="s">
        <v>22502</v>
      </c>
      <c r="C2609">
        <v>120763</v>
      </c>
      <c r="D2609" s="236" t="s">
        <v>15284</v>
      </c>
      <c r="E2609" s="15">
        <v>1986.4</v>
      </c>
      <c r="F2609" s="274">
        <v>42937</v>
      </c>
      <c r="G2609" s="15">
        <v>1986.4</v>
      </c>
      <c r="H2609" s="15">
        <f>Tabla1[[#This Row],[Importe]]-Tabla1[[#This Row],[Pagado]]</f>
        <v>0</v>
      </c>
      <c r="I2609" s="275" t="s">
        <v>15214</v>
      </c>
    </row>
    <row r="2610" spans="1:9" ht="30" x14ac:dyDescent="0.25">
      <c r="A2610" s="16">
        <v>42937</v>
      </c>
      <c r="B2610" s="273" t="s">
        <v>22503</v>
      </c>
      <c r="C2610">
        <v>120764</v>
      </c>
      <c r="D2610" s="236" t="s">
        <v>15557</v>
      </c>
      <c r="E2610" s="15">
        <v>28010.2</v>
      </c>
      <c r="F2610" s="274" t="s">
        <v>23768</v>
      </c>
      <c r="G2610" s="241">
        <f>26890+1120.2</f>
        <v>28010.2</v>
      </c>
      <c r="H2610" s="241">
        <f>Tabla1[[#This Row],[Importe]]-Tabla1[[#This Row],[Pagado]]</f>
        <v>0</v>
      </c>
      <c r="I2610" s="275" t="s">
        <v>15214</v>
      </c>
    </row>
    <row r="2611" spans="1:9" x14ac:dyDescent="0.25">
      <c r="A2611" s="16">
        <v>42937</v>
      </c>
      <c r="B2611" s="273" t="s">
        <v>22504</v>
      </c>
      <c r="C2611">
        <v>120765</v>
      </c>
      <c r="D2611" s="236" t="s">
        <v>16126</v>
      </c>
      <c r="E2611" s="15">
        <v>6578.8</v>
      </c>
      <c r="F2611" s="274">
        <v>42937</v>
      </c>
      <c r="G2611" s="15">
        <v>6578.8</v>
      </c>
      <c r="H2611" s="15">
        <f>Tabla1[[#This Row],[Importe]]-Tabla1[[#This Row],[Pagado]]</f>
        <v>0</v>
      </c>
      <c r="I2611" s="275" t="s">
        <v>15214</v>
      </c>
    </row>
    <row r="2612" spans="1:9" x14ac:dyDescent="0.25">
      <c r="A2612" s="16">
        <v>42937</v>
      </c>
      <c r="B2612" s="273" t="s">
        <v>22505</v>
      </c>
      <c r="C2612">
        <v>120766</v>
      </c>
      <c r="D2612" s="236" t="s">
        <v>15577</v>
      </c>
      <c r="E2612" s="15">
        <v>795.6</v>
      </c>
      <c r="F2612" s="274">
        <v>42937</v>
      </c>
      <c r="G2612" s="15">
        <v>795.6</v>
      </c>
      <c r="H2612" s="15">
        <f>Tabla1[[#This Row],[Importe]]-Tabla1[[#This Row],[Pagado]]</f>
        <v>0</v>
      </c>
      <c r="I2612" s="275" t="s">
        <v>15214</v>
      </c>
    </row>
    <row r="2613" spans="1:9" x14ac:dyDescent="0.25">
      <c r="A2613" s="16">
        <v>42937</v>
      </c>
      <c r="B2613" s="273" t="s">
        <v>22506</v>
      </c>
      <c r="C2613">
        <v>120767</v>
      </c>
      <c r="D2613" s="236" t="s">
        <v>15223</v>
      </c>
      <c r="E2613" s="15">
        <v>55894.9</v>
      </c>
      <c r="F2613" s="274">
        <v>42960</v>
      </c>
      <c r="G2613" s="15">
        <v>55894.9</v>
      </c>
      <c r="H2613" s="15">
        <f>Tabla1[[#This Row],[Importe]]-Tabla1[[#This Row],[Pagado]]</f>
        <v>0</v>
      </c>
      <c r="I2613" s="275" t="s">
        <v>15214</v>
      </c>
    </row>
    <row r="2614" spans="1:9" x14ac:dyDescent="0.25">
      <c r="A2614" s="16">
        <v>42937</v>
      </c>
      <c r="B2614" s="273" t="s">
        <v>22507</v>
      </c>
      <c r="C2614">
        <v>120768</v>
      </c>
      <c r="D2614" s="236" t="s">
        <v>15315</v>
      </c>
      <c r="E2614" s="15">
        <v>3437.1</v>
      </c>
      <c r="F2614" s="274">
        <v>42937</v>
      </c>
      <c r="G2614" s="15">
        <v>3437.1</v>
      </c>
      <c r="H2614" s="15">
        <f>Tabla1[[#This Row],[Importe]]-Tabla1[[#This Row],[Pagado]]</f>
        <v>0</v>
      </c>
      <c r="I2614" s="275" t="s">
        <v>15214</v>
      </c>
    </row>
    <row r="2615" spans="1:9" x14ac:dyDescent="0.25">
      <c r="A2615" s="16">
        <v>42937</v>
      </c>
      <c r="B2615" s="273" t="s">
        <v>22508</v>
      </c>
      <c r="C2615">
        <v>120769</v>
      </c>
      <c r="D2615" s="236" t="s">
        <v>15530</v>
      </c>
      <c r="E2615" s="15">
        <v>4333</v>
      </c>
      <c r="F2615" s="274">
        <v>42937</v>
      </c>
      <c r="G2615" s="15">
        <v>4333</v>
      </c>
      <c r="H2615" s="15">
        <f>Tabla1[[#This Row],[Importe]]-Tabla1[[#This Row],[Pagado]]</f>
        <v>0</v>
      </c>
      <c r="I2615" s="275" t="s">
        <v>15214</v>
      </c>
    </row>
    <row r="2616" spans="1:9" x14ac:dyDescent="0.25">
      <c r="A2616" s="16">
        <v>42937</v>
      </c>
      <c r="B2616" s="273" t="s">
        <v>22509</v>
      </c>
      <c r="C2616">
        <v>120770</v>
      </c>
      <c r="D2616" s="236" t="s">
        <v>15261</v>
      </c>
      <c r="E2616" s="15">
        <v>13101.2</v>
      </c>
      <c r="F2616" s="274">
        <v>42937</v>
      </c>
      <c r="G2616" s="15">
        <v>13101.2</v>
      </c>
      <c r="H2616" s="15">
        <f>Tabla1[[#This Row],[Importe]]-Tabla1[[#This Row],[Pagado]]</f>
        <v>0</v>
      </c>
      <c r="I2616" s="275" t="s">
        <v>15214</v>
      </c>
    </row>
    <row r="2617" spans="1:9" x14ac:dyDescent="0.25">
      <c r="A2617" s="16">
        <v>42937</v>
      </c>
      <c r="B2617" s="273" t="s">
        <v>22510</v>
      </c>
      <c r="C2617">
        <v>120771</v>
      </c>
      <c r="D2617" s="236" t="s">
        <v>15261</v>
      </c>
      <c r="E2617" s="15">
        <v>7183.2</v>
      </c>
      <c r="F2617" s="274">
        <v>42937</v>
      </c>
      <c r="G2617" s="15">
        <v>7183.2</v>
      </c>
      <c r="H2617" s="15">
        <f>Tabla1[[#This Row],[Importe]]-Tabla1[[#This Row],[Pagado]]</f>
        <v>0</v>
      </c>
      <c r="I2617" s="275" t="s">
        <v>15214</v>
      </c>
    </row>
    <row r="2618" spans="1:9" x14ac:dyDescent="0.25">
      <c r="A2618" s="16">
        <v>42937</v>
      </c>
      <c r="B2618" s="273" t="s">
        <v>22511</v>
      </c>
      <c r="C2618">
        <v>120772</v>
      </c>
      <c r="D2618" s="236" t="s">
        <v>15590</v>
      </c>
      <c r="E2618" s="15">
        <v>51244.800000000003</v>
      </c>
      <c r="F2618" s="274">
        <v>42947</v>
      </c>
      <c r="G2618" s="15">
        <v>51244.800000000003</v>
      </c>
      <c r="H2618" s="15">
        <f>Tabla1[[#This Row],[Importe]]-Tabla1[[#This Row],[Pagado]]</f>
        <v>0</v>
      </c>
      <c r="I2618" s="275" t="s">
        <v>15214</v>
      </c>
    </row>
    <row r="2619" spans="1:9" x14ac:dyDescent="0.25">
      <c r="A2619" s="16">
        <v>42937</v>
      </c>
      <c r="B2619" s="273" t="s">
        <v>22512</v>
      </c>
      <c r="C2619">
        <v>120773</v>
      </c>
      <c r="D2619" s="236" t="s">
        <v>15537</v>
      </c>
      <c r="E2619" s="15">
        <v>19950.900000000001</v>
      </c>
      <c r="F2619" s="274">
        <v>42942</v>
      </c>
      <c r="G2619" s="15">
        <v>19950.900000000001</v>
      </c>
      <c r="H2619" s="15">
        <f>Tabla1[[#This Row],[Importe]]-Tabla1[[#This Row],[Pagado]]</f>
        <v>0</v>
      </c>
      <c r="I2619" s="275" t="s">
        <v>15214</v>
      </c>
    </row>
    <row r="2620" spans="1:9" x14ac:dyDescent="0.25">
      <c r="A2620" s="16">
        <v>42937</v>
      </c>
      <c r="B2620" s="273" t="s">
        <v>22513</v>
      </c>
      <c r="C2620">
        <v>120774</v>
      </c>
      <c r="D2620" s="236" t="s">
        <v>15315</v>
      </c>
      <c r="E2620" s="15">
        <v>4822.5</v>
      </c>
      <c r="F2620" s="274">
        <v>42942</v>
      </c>
      <c r="G2620" s="15">
        <v>4822.5</v>
      </c>
      <c r="H2620" s="15">
        <f>Tabla1[[#This Row],[Importe]]-Tabla1[[#This Row],[Pagado]]</f>
        <v>0</v>
      </c>
      <c r="I2620" s="275" t="s">
        <v>15214</v>
      </c>
    </row>
    <row r="2621" spans="1:9" x14ac:dyDescent="0.25">
      <c r="A2621" s="16">
        <v>42937</v>
      </c>
      <c r="B2621" s="273" t="s">
        <v>22514</v>
      </c>
      <c r="C2621">
        <v>120775</v>
      </c>
      <c r="D2621" s="236" t="s">
        <v>15378</v>
      </c>
      <c r="E2621" s="15">
        <v>2459.6999999999998</v>
      </c>
      <c r="F2621" s="274">
        <v>42937</v>
      </c>
      <c r="G2621" s="15">
        <v>2459.6999999999998</v>
      </c>
      <c r="H2621" s="15">
        <f>Tabla1[[#This Row],[Importe]]-Tabla1[[#This Row],[Pagado]]</f>
        <v>0</v>
      </c>
      <c r="I2621" s="275" t="s">
        <v>15214</v>
      </c>
    </row>
    <row r="2622" spans="1:9" ht="15.75" x14ac:dyDescent="0.25">
      <c r="A2622" s="16">
        <v>42937</v>
      </c>
      <c r="B2622" s="273" t="s">
        <v>22515</v>
      </c>
      <c r="C2622">
        <v>120776</v>
      </c>
      <c r="D2622" s="236" t="s">
        <v>95</v>
      </c>
      <c r="E2622" s="15">
        <v>0</v>
      </c>
      <c r="F2622" s="277" t="s">
        <v>95</v>
      </c>
      <c r="G2622" s="15">
        <v>0</v>
      </c>
      <c r="H2622" s="15">
        <f>Tabla1[[#This Row],[Importe]]-Tabla1[[#This Row],[Pagado]]</f>
        <v>0</v>
      </c>
      <c r="I2622" s="275" t="s">
        <v>95</v>
      </c>
    </row>
    <row r="2623" spans="1:9" ht="30" x14ac:dyDescent="0.25">
      <c r="A2623" s="16">
        <v>42937</v>
      </c>
      <c r="B2623" s="273" t="s">
        <v>22516</v>
      </c>
      <c r="C2623">
        <v>120777</v>
      </c>
      <c r="D2623" s="285" t="s">
        <v>22517</v>
      </c>
      <c r="E2623" s="15">
        <v>0</v>
      </c>
      <c r="F2623" s="277" t="s">
        <v>95</v>
      </c>
      <c r="G2623" s="15">
        <v>0</v>
      </c>
      <c r="H2623" s="15">
        <f>Tabla1[[#This Row],[Importe]]-Tabla1[[#This Row],[Pagado]]</f>
        <v>0</v>
      </c>
      <c r="I2623" s="275" t="s">
        <v>95</v>
      </c>
    </row>
    <row r="2624" spans="1:9" x14ac:dyDescent="0.25">
      <c r="A2624" s="16">
        <v>42937</v>
      </c>
      <c r="B2624" s="273" t="s">
        <v>22518</v>
      </c>
      <c r="C2624">
        <v>120778</v>
      </c>
      <c r="D2624" s="236" t="s">
        <v>15391</v>
      </c>
      <c r="E2624" s="15">
        <v>13849.8</v>
      </c>
      <c r="F2624" s="274">
        <v>42938</v>
      </c>
      <c r="G2624" s="15">
        <v>13849.8</v>
      </c>
      <c r="H2624" s="15">
        <f>Tabla1[[#This Row],[Importe]]-Tabla1[[#This Row],[Pagado]]</f>
        <v>0</v>
      </c>
      <c r="I2624" s="275" t="s">
        <v>15214</v>
      </c>
    </row>
    <row r="2625" spans="1:9" x14ac:dyDescent="0.25">
      <c r="A2625" s="16">
        <v>42937</v>
      </c>
      <c r="B2625" s="273" t="s">
        <v>22519</v>
      </c>
      <c r="C2625">
        <v>120779</v>
      </c>
      <c r="D2625" s="236" t="s">
        <v>15307</v>
      </c>
      <c r="E2625" s="15">
        <v>1948.8</v>
      </c>
      <c r="F2625" s="274">
        <v>42938</v>
      </c>
      <c r="G2625" s="15">
        <v>1948.8</v>
      </c>
      <c r="H2625" s="15">
        <f>Tabla1[[#This Row],[Importe]]-Tabla1[[#This Row],[Pagado]]</f>
        <v>0</v>
      </c>
      <c r="I2625" s="275" t="s">
        <v>15214</v>
      </c>
    </row>
    <row r="2626" spans="1:9" x14ac:dyDescent="0.25">
      <c r="A2626" s="16">
        <v>42937</v>
      </c>
      <c r="B2626" s="273" t="s">
        <v>22520</v>
      </c>
      <c r="C2626">
        <v>120780</v>
      </c>
      <c r="D2626" s="236" t="s">
        <v>15600</v>
      </c>
      <c r="E2626" s="15">
        <v>1171.32</v>
      </c>
      <c r="F2626" s="274">
        <v>42938</v>
      </c>
      <c r="G2626" s="15">
        <v>1171.32</v>
      </c>
      <c r="H2626" s="15">
        <f>Tabla1[[#This Row],[Importe]]-Tabla1[[#This Row],[Pagado]]</f>
        <v>0</v>
      </c>
      <c r="I2626" s="275" t="s">
        <v>15214</v>
      </c>
    </row>
    <row r="2627" spans="1:9" x14ac:dyDescent="0.25">
      <c r="A2627" s="16">
        <v>42937</v>
      </c>
      <c r="B2627" s="273" t="s">
        <v>22521</v>
      </c>
      <c r="C2627">
        <v>120781</v>
      </c>
      <c r="D2627" s="236" t="s">
        <v>15291</v>
      </c>
      <c r="E2627" s="15">
        <v>1280</v>
      </c>
      <c r="F2627" s="274">
        <v>42938</v>
      </c>
      <c r="G2627" s="15">
        <v>1280</v>
      </c>
      <c r="H2627" s="15">
        <f>Tabla1[[#This Row],[Importe]]-Tabla1[[#This Row],[Pagado]]</f>
        <v>0</v>
      </c>
      <c r="I2627" s="275" t="s">
        <v>15214</v>
      </c>
    </row>
    <row r="2628" spans="1:9" x14ac:dyDescent="0.25">
      <c r="A2628" s="16">
        <v>42937</v>
      </c>
      <c r="B2628" s="273" t="s">
        <v>22522</v>
      </c>
      <c r="C2628">
        <v>120782</v>
      </c>
      <c r="D2628" s="236" t="s">
        <v>15303</v>
      </c>
      <c r="E2628" s="15">
        <v>3988.2</v>
      </c>
      <c r="F2628" s="274">
        <v>42938</v>
      </c>
      <c r="G2628" s="15">
        <v>3988.2</v>
      </c>
      <c r="H2628" s="15">
        <f>Tabla1[[#This Row],[Importe]]-Tabla1[[#This Row],[Pagado]]</f>
        <v>0</v>
      </c>
      <c r="I2628" s="275" t="s">
        <v>15214</v>
      </c>
    </row>
    <row r="2629" spans="1:9" x14ac:dyDescent="0.25">
      <c r="A2629" s="16">
        <v>42937</v>
      </c>
      <c r="B2629" s="273" t="s">
        <v>22523</v>
      </c>
      <c r="C2629">
        <v>120783</v>
      </c>
      <c r="D2629" s="236" t="s">
        <v>15725</v>
      </c>
      <c r="E2629" s="15">
        <v>25410.6</v>
      </c>
      <c r="F2629" s="274">
        <v>42940</v>
      </c>
      <c r="G2629" s="15">
        <v>25410.6</v>
      </c>
      <c r="H2629" s="15">
        <f>Tabla1[[#This Row],[Importe]]-Tabla1[[#This Row],[Pagado]]</f>
        <v>0</v>
      </c>
      <c r="I2629" s="275" t="s">
        <v>15214</v>
      </c>
    </row>
    <row r="2630" spans="1:9" x14ac:dyDescent="0.25">
      <c r="A2630" s="16">
        <v>42937</v>
      </c>
      <c r="B2630" s="273" t="s">
        <v>22524</v>
      </c>
      <c r="C2630">
        <v>120784</v>
      </c>
      <c r="D2630" s="236" t="s">
        <v>15706</v>
      </c>
      <c r="E2630" s="15">
        <v>1946.8</v>
      </c>
      <c r="F2630" s="274">
        <v>42937</v>
      </c>
      <c r="G2630" s="15">
        <v>1946.8</v>
      </c>
      <c r="H2630" s="15">
        <f>Tabla1[[#This Row],[Importe]]-Tabla1[[#This Row],[Pagado]]</f>
        <v>0</v>
      </c>
      <c r="I2630" s="275" t="s">
        <v>15214</v>
      </c>
    </row>
    <row r="2631" spans="1:9" ht="15.75" x14ac:dyDescent="0.25">
      <c r="A2631" s="16">
        <v>42937</v>
      </c>
      <c r="B2631" s="273" t="s">
        <v>22525</v>
      </c>
      <c r="C2631">
        <v>120785</v>
      </c>
      <c r="D2631" s="248" t="s">
        <v>95</v>
      </c>
      <c r="E2631" s="15">
        <v>0</v>
      </c>
      <c r="F2631" s="277" t="s">
        <v>95</v>
      </c>
      <c r="G2631" s="15">
        <v>0</v>
      </c>
      <c r="H2631" s="15">
        <f>Tabla1[[#This Row],[Importe]]-Tabla1[[#This Row],[Pagado]]</f>
        <v>0</v>
      </c>
      <c r="I2631" s="275" t="s">
        <v>95</v>
      </c>
    </row>
    <row r="2632" spans="1:9" x14ac:dyDescent="0.25">
      <c r="A2632" s="16">
        <v>42937</v>
      </c>
      <c r="B2632" s="273" t="s">
        <v>22526</v>
      </c>
      <c r="C2632">
        <v>120786</v>
      </c>
      <c r="D2632" s="236" t="s">
        <v>15305</v>
      </c>
      <c r="E2632" s="15">
        <v>3921.4</v>
      </c>
      <c r="F2632" s="274">
        <v>42938</v>
      </c>
      <c r="G2632" s="15">
        <v>3921.4</v>
      </c>
      <c r="H2632" s="15">
        <f>Tabla1[[#This Row],[Importe]]-Tabla1[[#This Row],[Pagado]]</f>
        <v>0</v>
      </c>
      <c r="I2632" s="275" t="s">
        <v>15214</v>
      </c>
    </row>
    <row r="2633" spans="1:9" x14ac:dyDescent="0.25">
      <c r="A2633" s="16">
        <v>42937</v>
      </c>
      <c r="B2633" s="273" t="s">
        <v>22527</v>
      </c>
      <c r="C2633">
        <v>120787</v>
      </c>
      <c r="D2633" s="236" t="s">
        <v>15305</v>
      </c>
      <c r="E2633" s="15">
        <v>1119.4000000000001</v>
      </c>
      <c r="F2633" s="274">
        <v>42938</v>
      </c>
      <c r="G2633" s="15">
        <v>1119.4000000000001</v>
      </c>
      <c r="H2633" s="15">
        <f>Tabla1[[#This Row],[Importe]]-Tabla1[[#This Row],[Pagado]]</f>
        <v>0</v>
      </c>
      <c r="I2633" s="275" t="s">
        <v>15214</v>
      </c>
    </row>
    <row r="2634" spans="1:9" x14ac:dyDescent="0.25">
      <c r="A2634" s="16">
        <v>42937</v>
      </c>
      <c r="B2634" s="273" t="s">
        <v>22528</v>
      </c>
      <c r="C2634">
        <v>120788</v>
      </c>
      <c r="D2634" s="236" t="s">
        <v>15309</v>
      </c>
      <c r="E2634" s="15">
        <v>16977.599999999999</v>
      </c>
      <c r="F2634" s="274">
        <v>42938</v>
      </c>
      <c r="G2634" s="15">
        <v>16977.599999999999</v>
      </c>
      <c r="H2634" s="15">
        <f>Tabla1[[#This Row],[Importe]]-Tabla1[[#This Row],[Pagado]]</f>
        <v>0</v>
      </c>
      <c r="I2634" s="275" t="s">
        <v>15214</v>
      </c>
    </row>
    <row r="2635" spans="1:9" x14ac:dyDescent="0.25">
      <c r="A2635" s="16">
        <v>42937</v>
      </c>
      <c r="B2635" s="273" t="s">
        <v>22529</v>
      </c>
      <c r="C2635">
        <v>120789</v>
      </c>
      <c r="D2635" s="236" t="s">
        <v>15748</v>
      </c>
      <c r="E2635" s="15">
        <v>600</v>
      </c>
      <c r="F2635" s="274">
        <v>42942</v>
      </c>
      <c r="G2635" s="15">
        <v>600</v>
      </c>
      <c r="H2635" s="15">
        <f>Tabla1[[#This Row],[Importe]]-Tabla1[[#This Row],[Pagado]]</f>
        <v>0</v>
      </c>
      <c r="I2635" s="275" t="s">
        <v>15214</v>
      </c>
    </row>
    <row r="2636" spans="1:9" x14ac:dyDescent="0.25">
      <c r="A2636" s="16">
        <v>42937</v>
      </c>
      <c r="B2636" s="273" t="s">
        <v>22530</v>
      </c>
      <c r="C2636">
        <v>120790</v>
      </c>
      <c r="D2636" s="236" t="s">
        <v>15315</v>
      </c>
      <c r="E2636" s="15">
        <v>868.4</v>
      </c>
      <c r="F2636" s="274">
        <v>42938</v>
      </c>
      <c r="G2636" s="15">
        <v>868.4</v>
      </c>
      <c r="H2636" s="15">
        <f>Tabla1[[#This Row],[Importe]]-Tabla1[[#This Row],[Pagado]]</f>
        <v>0</v>
      </c>
      <c r="I2636" s="275" t="s">
        <v>15214</v>
      </c>
    </row>
    <row r="2637" spans="1:9" x14ac:dyDescent="0.25">
      <c r="A2637" s="16">
        <v>42937</v>
      </c>
      <c r="B2637" s="273" t="s">
        <v>22531</v>
      </c>
      <c r="C2637">
        <v>120791</v>
      </c>
      <c r="D2637" s="236" t="s">
        <v>15311</v>
      </c>
      <c r="E2637" s="15">
        <v>3631.56</v>
      </c>
      <c r="F2637" s="274">
        <v>42938</v>
      </c>
      <c r="G2637" s="15">
        <v>3631.56</v>
      </c>
      <c r="H2637" s="15">
        <f>Tabla1[[#This Row],[Importe]]-Tabla1[[#This Row],[Pagado]]</f>
        <v>0</v>
      </c>
      <c r="I2637" s="275" t="s">
        <v>15214</v>
      </c>
    </row>
    <row r="2638" spans="1:9" x14ac:dyDescent="0.25">
      <c r="A2638" s="16">
        <v>42937</v>
      </c>
      <c r="B2638" s="273" t="s">
        <v>22532</v>
      </c>
      <c r="C2638">
        <v>120792</v>
      </c>
      <c r="D2638" s="236" t="s">
        <v>17235</v>
      </c>
      <c r="E2638" s="15">
        <v>1625.4</v>
      </c>
      <c r="F2638" s="274">
        <v>42938</v>
      </c>
      <c r="G2638" s="15">
        <v>1625.4</v>
      </c>
      <c r="H2638" s="15">
        <f>Tabla1[[#This Row],[Importe]]-Tabla1[[#This Row],[Pagado]]</f>
        <v>0</v>
      </c>
      <c r="I2638" s="275" t="s">
        <v>15214</v>
      </c>
    </row>
    <row r="2639" spans="1:9" x14ac:dyDescent="0.25">
      <c r="A2639" s="16">
        <v>42937</v>
      </c>
      <c r="B2639" s="273" t="s">
        <v>22533</v>
      </c>
      <c r="C2639">
        <v>120793</v>
      </c>
      <c r="D2639" s="236" t="s">
        <v>15956</v>
      </c>
      <c r="E2639" s="15">
        <v>585</v>
      </c>
      <c r="F2639" s="274">
        <v>42937</v>
      </c>
      <c r="G2639" s="15">
        <v>585</v>
      </c>
      <c r="H2639" s="15">
        <f>Tabla1[[#This Row],[Importe]]-Tabla1[[#This Row],[Pagado]]</f>
        <v>0</v>
      </c>
      <c r="I2639" s="275" t="s">
        <v>15214</v>
      </c>
    </row>
    <row r="2640" spans="1:9" x14ac:dyDescent="0.25">
      <c r="A2640" s="16">
        <v>42937</v>
      </c>
      <c r="B2640" s="273" t="s">
        <v>22534</v>
      </c>
      <c r="C2640">
        <v>120794</v>
      </c>
      <c r="D2640" s="236" t="s">
        <v>15417</v>
      </c>
      <c r="E2640" s="15">
        <v>2267.1999999999998</v>
      </c>
      <c r="F2640" s="274">
        <v>42938</v>
      </c>
      <c r="G2640" s="15">
        <v>2267.1999999999998</v>
      </c>
      <c r="H2640" s="15">
        <f>Tabla1[[#This Row],[Importe]]-Tabla1[[#This Row],[Pagado]]</f>
        <v>0</v>
      </c>
      <c r="I2640" s="275" t="s">
        <v>15214</v>
      </c>
    </row>
    <row r="2641" spans="1:9" x14ac:dyDescent="0.25">
      <c r="A2641" s="16">
        <v>42937</v>
      </c>
      <c r="B2641" s="273" t="s">
        <v>22535</v>
      </c>
      <c r="C2641">
        <v>120795</v>
      </c>
      <c r="D2641" s="236" t="s">
        <v>15782</v>
      </c>
      <c r="E2641" s="15">
        <v>1412.7</v>
      </c>
      <c r="F2641" s="274">
        <v>42938</v>
      </c>
      <c r="G2641" s="15">
        <v>1412.7</v>
      </c>
      <c r="H2641" s="15">
        <f>Tabla1[[#This Row],[Importe]]-Tabla1[[#This Row],[Pagado]]</f>
        <v>0</v>
      </c>
      <c r="I2641" s="275" t="s">
        <v>15214</v>
      </c>
    </row>
    <row r="2642" spans="1:9" x14ac:dyDescent="0.25">
      <c r="A2642" s="16">
        <v>42937</v>
      </c>
      <c r="B2642" s="273" t="s">
        <v>22536</v>
      </c>
      <c r="C2642">
        <v>120796</v>
      </c>
      <c r="D2642" s="236" t="s">
        <v>15274</v>
      </c>
      <c r="E2642" s="15">
        <v>5408.1</v>
      </c>
      <c r="F2642" s="274">
        <v>42938</v>
      </c>
      <c r="G2642" s="15">
        <v>5408.1</v>
      </c>
      <c r="H2642" s="15">
        <f>Tabla1[[#This Row],[Importe]]-Tabla1[[#This Row],[Pagado]]</f>
        <v>0</v>
      </c>
      <c r="I2642" s="275" t="s">
        <v>15214</v>
      </c>
    </row>
    <row r="2643" spans="1:9" x14ac:dyDescent="0.25">
      <c r="A2643" s="16">
        <v>42937</v>
      </c>
      <c r="B2643" s="273" t="s">
        <v>22537</v>
      </c>
      <c r="C2643">
        <v>120797</v>
      </c>
      <c r="D2643" s="236" t="s">
        <v>15596</v>
      </c>
      <c r="E2643" s="15">
        <v>1325</v>
      </c>
      <c r="F2643" s="274">
        <v>42938</v>
      </c>
      <c r="G2643" s="15">
        <v>1325</v>
      </c>
      <c r="H2643" s="15">
        <f>Tabla1[[#This Row],[Importe]]-Tabla1[[#This Row],[Pagado]]</f>
        <v>0</v>
      </c>
      <c r="I2643" s="275" t="s">
        <v>15214</v>
      </c>
    </row>
    <row r="2644" spans="1:9" x14ac:dyDescent="0.25">
      <c r="A2644" s="16">
        <v>42937</v>
      </c>
      <c r="B2644" s="273" t="s">
        <v>22538</v>
      </c>
      <c r="C2644">
        <v>120798</v>
      </c>
      <c r="D2644" s="236" t="s">
        <v>15596</v>
      </c>
      <c r="E2644" s="15">
        <v>1895</v>
      </c>
      <c r="F2644" s="274">
        <v>42938</v>
      </c>
      <c r="G2644" s="15">
        <v>1895</v>
      </c>
      <c r="H2644" s="15">
        <f>Tabla1[[#This Row],[Importe]]-Tabla1[[#This Row],[Pagado]]</f>
        <v>0</v>
      </c>
      <c r="I2644" s="275" t="s">
        <v>15214</v>
      </c>
    </row>
    <row r="2645" spans="1:9" x14ac:dyDescent="0.25">
      <c r="A2645" s="16">
        <v>42937</v>
      </c>
      <c r="B2645" s="273" t="s">
        <v>22539</v>
      </c>
      <c r="C2645">
        <v>120799</v>
      </c>
      <c r="D2645" s="236" t="s">
        <v>15912</v>
      </c>
      <c r="E2645" s="15">
        <v>2080.4</v>
      </c>
      <c r="F2645" s="274">
        <v>42938</v>
      </c>
      <c r="G2645" s="15">
        <v>2080.4</v>
      </c>
      <c r="H2645" s="15">
        <f>Tabla1[[#This Row],[Importe]]-Tabla1[[#This Row],[Pagado]]</f>
        <v>0</v>
      </c>
      <c r="I2645" s="275" t="s">
        <v>15214</v>
      </c>
    </row>
    <row r="2646" spans="1:9" x14ac:dyDescent="0.25">
      <c r="A2646" s="16">
        <v>42937</v>
      </c>
      <c r="B2646" s="273" t="s">
        <v>22540</v>
      </c>
      <c r="C2646">
        <v>120800</v>
      </c>
      <c r="D2646" s="236" t="s">
        <v>15322</v>
      </c>
      <c r="E2646" s="15">
        <v>2475.1999999999998</v>
      </c>
      <c r="F2646" s="274">
        <v>42937</v>
      </c>
      <c r="G2646" s="15">
        <v>2475.1999999999998</v>
      </c>
      <c r="H2646" s="15">
        <f>Tabla1[[#This Row],[Importe]]-Tabla1[[#This Row],[Pagado]]</f>
        <v>0</v>
      </c>
      <c r="I2646" s="275" t="s">
        <v>15214</v>
      </c>
    </row>
    <row r="2647" spans="1:9" x14ac:dyDescent="0.25">
      <c r="A2647" s="16">
        <v>42937</v>
      </c>
      <c r="B2647" s="273" t="s">
        <v>22541</v>
      </c>
      <c r="C2647">
        <v>120801</v>
      </c>
      <c r="D2647" s="236" t="s">
        <v>15274</v>
      </c>
      <c r="E2647" s="15">
        <v>1561.72</v>
      </c>
      <c r="F2647" s="274">
        <v>42938</v>
      </c>
      <c r="G2647" s="15">
        <v>1561.72</v>
      </c>
      <c r="H2647" s="15">
        <f>Tabla1[[#This Row],[Importe]]-Tabla1[[#This Row],[Pagado]]</f>
        <v>0</v>
      </c>
      <c r="I2647" s="275" t="s">
        <v>15214</v>
      </c>
    </row>
    <row r="2648" spans="1:9" x14ac:dyDescent="0.25">
      <c r="A2648" s="16">
        <v>42937</v>
      </c>
      <c r="B2648" s="273" t="s">
        <v>22542</v>
      </c>
      <c r="C2648">
        <v>120802</v>
      </c>
      <c r="D2648" s="236" t="s">
        <v>19964</v>
      </c>
      <c r="E2648" s="15">
        <v>6684.4</v>
      </c>
      <c r="F2648" s="274">
        <v>42937</v>
      </c>
      <c r="G2648" s="15">
        <v>6684.4</v>
      </c>
      <c r="H2648" s="15">
        <f>Tabla1[[#This Row],[Importe]]-Tabla1[[#This Row],[Pagado]]</f>
        <v>0</v>
      </c>
      <c r="I2648" s="275" t="s">
        <v>15214</v>
      </c>
    </row>
    <row r="2649" spans="1:9" x14ac:dyDescent="0.25">
      <c r="A2649" s="16">
        <v>42937</v>
      </c>
      <c r="B2649" s="273" t="s">
        <v>22543</v>
      </c>
      <c r="C2649">
        <v>120803</v>
      </c>
      <c r="D2649" s="236" t="s">
        <v>19768</v>
      </c>
      <c r="E2649" s="15">
        <v>1590</v>
      </c>
      <c r="F2649" s="274">
        <v>42937</v>
      </c>
      <c r="G2649" s="15">
        <v>1590</v>
      </c>
      <c r="H2649" s="15">
        <f>Tabla1[[#This Row],[Importe]]-Tabla1[[#This Row],[Pagado]]</f>
        <v>0</v>
      </c>
      <c r="I2649" s="275" t="s">
        <v>15214</v>
      </c>
    </row>
    <row r="2650" spans="1:9" x14ac:dyDescent="0.25">
      <c r="A2650" s="16">
        <v>42937</v>
      </c>
      <c r="B2650" s="273" t="s">
        <v>22544</v>
      </c>
      <c r="C2650">
        <v>120804</v>
      </c>
      <c r="D2650" s="236" t="s">
        <v>15282</v>
      </c>
      <c r="E2650" s="15">
        <v>4187.7</v>
      </c>
      <c r="F2650" s="274">
        <v>42937</v>
      </c>
      <c r="G2650" s="15">
        <v>4187.7</v>
      </c>
      <c r="H2650" s="15">
        <f>Tabla1[[#This Row],[Importe]]-Tabla1[[#This Row],[Pagado]]</f>
        <v>0</v>
      </c>
      <c r="I2650" s="275" t="s">
        <v>15214</v>
      </c>
    </row>
    <row r="2651" spans="1:9" x14ac:dyDescent="0.25">
      <c r="A2651" s="16">
        <v>42937</v>
      </c>
      <c r="B2651" s="273" t="s">
        <v>22545</v>
      </c>
      <c r="C2651">
        <v>120805</v>
      </c>
      <c r="D2651" s="236" t="s">
        <v>15665</v>
      </c>
      <c r="E2651" s="15">
        <v>1112.2</v>
      </c>
      <c r="F2651" s="274">
        <v>42937</v>
      </c>
      <c r="G2651" s="15">
        <v>1112.2</v>
      </c>
      <c r="H2651" s="15">
        <f>Tabla1[[#This Row],[Importe]]-Tabla1[[#This Row],[Pagado]]</f>
        <v>0</v>
      </c>
      <c r="I2651" s="275" t="s">
        <v>15214</v>
      </c>
    </row>
    <row r="2652" spans="1:9" x14ac:dyDescent="0.25">
      <c r="A2652" s="16">
        <v>42937</v>
      </c>
      <c r="B2652" s="273" t="s">
        <v>22546</v>
      </c>
      <c r="C2652">
        <v>120806</v>
      </c>
      <c r="D2652" s="236" t="s">
        <v>15246</v>
      </c>
      <c r="E2652" s="15">
        <v>7501.2</v>
      </c>
      <c r="F2652" s="274">
        <v>42942</v>
      </c>
      <c r="G2652" s="15">
        <v>7501.2</v>
      </c>
      <c r="H2652" s="15">
        <f>Tabla1[[#This Row],[Importe]]-Tabla1[[#This Row],[Pagado]]</f>
        <v>0</v>
      </c>
      <c r="I2652" s="275" t="s">
        <v>15214</v>
      </c>
    </row>
    <row r="2653" spans="1:9" x14ac:dyDescent="0.25">
      <c r="A2653" s="16">
        <v>42937</v>
      </c>
      <c r="B2653" s="273" t="s">
        <v>22547</v>
      </c>
      <c r="C2653">
        <v>120807</v>
      </c>
      <c r="D2653" s="236" t="s">
        <v>17722</v>
      </c>
      <c r="E2653" s="15">
        <v>3561.6</v>
      </c>
      <c r="F2653" s="274">
        <v>42937</v>
      </c>
      <c r="G2653" s="15">
        <v>3561.6</v>
      </c>
      <c r="H2653" s="15">
        <f>Tabla1[[#This Row],[Importe]]-Tabla1[[#This Row],[Pagado]]</f>
        <v>0</v>
      </c>
      <c r="I2653" s="275" t="s">
        <v>15214</v>
      </c>
    </row>
    <row r="2654" spans="1:9" x14ac:dyDescent="0.25">
      <c r="A2654" s="16">
        <v>42937</v>
      </c>
      <c r="B2654" s="273" t="s">
        <v>22548</v>
      </c>
      <c r="C2654">
        <v>120808</v>
      </c>
      <c r="D2654" s="236" t="s">
        <v>15315</v>
      </c>
      <c r="E2654" s="15">
        <v>1960.5</v>
      </c>
      <c r="F2654" s="274">
        <v>42937</v>
      </c>
      <c r="G2654" s="15">
        <v>1960.5</v>
      </c>
      <c r="H2654" s="15">
        <f>Tabla1[[#This Row],[Importe]]-Tabla1[[#This Row],[Pagado]]</f>
        <v>0</v>
      </c>
      <c r="I2654" s="275" t="s">
        <v>15214</v>
      </c>
    </row>
    <row r="2655" spans="1:9" x14ac:dyDescent="0.25">
      <c r="A2655" s="16">
        <v>42937</v>
      </c>
      <c r="B2655" s="273" t="s">
        <v>22549</v>
      </c>
      <c r="C2655">
        <v>120809</v>
      </c>
      <c r="D2655" s="236" t="s">
        <v>19768</v>
      </c>
      <c r="E2655" s="15">
        <v>220</v>
      </c>
      <c r="F2655" s="274">
        <v>42937</v>
      </c>
      <c r="G2655" s="15">
        <v>220</v>
      </c>
      <c r="H2655" s="15">
        <f>Tabla1[[#This Row],[Importe]]-Tabla1[[#This Row],[Pagado]]</f>
        <v>0</v>
      </c>
      <c r="I2655" s="275" t="s">
        <v>15214</v>
      </c>
    </row>
    <row r="2656" spans="1:9" x14ac:dyDescent="0.25">
      <c r="A2656" s="16">
        <v>42937</v>
      </c>
      <c r="B2656" s="273" t="s">
        <v>22550</v>
      </c>
      <c r="C2656">
        <v>120810</v>
      </c>
      <c r="D2656" s="236" t="s">
        <v>15365</v>
      </c>
      <c r="E2656" s="15">
        <v>463816.5</v>
      </c>
      <c r="F2656" s="274">
        <v>42943</v>
      </c>
      <c r="G2656" s="15">
        <v>463816.5</v>
      </c>
      <c r="H2656" s="15">
        <f>Tabla1[[#This Row],[Importe]]-Tabla1[[#This Row],[Pagado]]</f>
        <v>0</v>
      </c>
      <c r="I2656" s="275" t="s">
        <v>15214</v>
      </c>
    </row>
    <row r="2657" spans="1:9" x14ac:dyDescent="0.25">
      <c r="A2657" s="16">
        <v>42937</v>
      </c>
      <c r="B2657" s="273" t="s">
        <v>22551</v>
      </c>
      <c r="C2657">
        <v>120811</v>
      </c>
      <c r="D2657" s="236" t="s">
        <v>15398</v>
      </c>
      <c r="E2657" s="15">
        <v>1959.9</v>
      </c>
      <c r="F2657" s="274">
        <v>42937</v>
      </c>
      <c r="G2657" s="15">
        <v>1959.9</v>
      </c>
      <c r="H2657" s="15">
        <f>Tabla1[[#This Row],[Importe]]-Tabla1[[#This Row],[Pagado]]</f>
        <v>0</v>
      </c>
      <c r="I2657" s="275" t="s">
        <v>15214</v>
      </c>
    </row>
    <row r="2658" spans="1:9" x14ac:dyDescent="0.25">
      <c r="A2658" s="16">
        <v>42937</v>
      </c>
      <c r="B2658" s="273" t="s">
        <v>22552</v>
      </c>
      <c r="C2658">
        <v>120812</v>
      </c>
      <c r="D2658" s="236" t="s">
        <v>15442</v>
      </c>
      <c r="E2658" s="15">
        <v>20200.2</v>
      </c>
      <c r="F2658" s="274">
        <v>42940</v>
      </c>
      <c r="G2658" s="15">
        <v>20200.2</v>
      </c>
      <c r="H2658" s="15">
        <f>Tabla1[[#This Row],[Importe]]-Tabla1[[#This Row],[Pagado]]</f>
        <v>0</v>
      </c>
      <c r="I2658" s="275" t="s">
        <v>15214</v>
      </c>
    </row>
    <row r="2659" spans="1:9" x14ac:dyDescent="0.25">
      <c r="A2659" s="16">
        <v>42937</v>
      </c>
      <c r="B2659" s="273" t="s">
        <v>22553</v>
      </c>
      <c r="C2659">
        <v>120813</v>
      </c>
      <c r="D2659" s="236" t="s">
        <v>15632</v>
      </c>
      <c r="E2659" s="15">
        <v>24930.2</v>
      </c>
      <c r="F2659" s="274">
        <v>42952</v>
      </c>
      <c r="G2659" s="15">
        <v>24930.2</v>
      </c>
      <c r="H2659" s="15">
        <f>Tabla1[[#This Row],[Importe]]-Tabla1[[#This Row],[Pagado]]</f>
        <v>0</v>
      </c>
      <c r="I2659" s="275" t="s">
        <v>15214</v>
      </c>
    </row>
    <row r="2660" spans="1:9" ht="15.75" x14ac:dyDescent="0.25">
      <c r="A2660" s="16">
        <v>42937</v>
      </c>
      <c r="B2660" s="273" t="s">
        <v>22554</v>
      </c>
      <c r="C2660">
        <v>120814</v>
      </c>
      <c r="D2660" s="248" t="s">
        <v>95</v>
      </c>
      <c r="E2660" s="15">
        <v>0</v>
      </c>
      <c r="F2660" s="277" t="s">
        <v>95</v>
      </c>
      <c r="G2660" s="15">
        <v>0</v>
      </c>
      <c r="H2660" s="15">
        <f>Tabla1[[#This Row],[Importe]]-Tabla1[[#This Row],[Pagado]]</f>
        <v>0</v>
      </c>
      <c r="I2660" s="275" t="s">
        <v>95</v>
      </c>
    </row>
    <row r="2661" spans="1:9" x14ac:dyDescent="0.25">
      <c r="A2661" s="16">
        <v>42937</v>
      </c>
      <c r="B2661" s="273" t="s">
        <v>22555</v>
      </c>
      <c r="C2661">
        <v>120815</v>
      </c>
      <c r="D2661" s="236" t="s">
        <v>15541</v>
      </c>
      <c r="E2661" s="15">
        <v>2250.1999999999998</v>
      </c>
      <c r="F2661" s="274">
        <v>42937</v>
      </c>
      <c r="G2661" s="15">
        <v>2250.1999999999998</v>
      </c>
      <c r="H2661" s="15">
        <f>Tabla1[[#This Row],[Importe]]-Tabla1[[#This Row],[Pagado]]</f>
        <v>0</v>
      </c>
      <c r="I2661" s="275" t="s">
        <v>15214</v>
      </c>
    </row>
    <row r="2662" spans="1:9" x14ac:dyDescent="0.25">
      <c r="A2662" s="16">
        <v>42937</v>
      </c>
      <c r="B2662" s="273" t="s">
        <v>22556</v>
      </c>
      <c r="C2662">
        <v>120816</v>
      </c>
      <c r="D2662" s="236" t="s">
        <v>15226</v>
      </c>
      <c r="E2662" s="15">
        <v>1111</v>
      </c>
      <c r="F2662" s="274">
        <v>42938</v>
      </c>
      <c r="G2662" s="15">
        <v>1111</v>
      </c>
      <c r="H2662" s="15">
        <f>Tabla1[[#This Row],[Importe]]-Tabla1[[#This Row],[Pagado]]</f>
        <v>0</v>
      </c>
      <c r="I2662" s="275" t="s">
        <v>15214</v>
      </c>
    </row>
    <row r="2663" spans="1:9" x14ac:dyDescent="0.25">
      <c r="A2663" s="16">
        <v>42937</v>
      </c>
      <c r="B2663" s="273" t="s">
        <v>22557</v>
      </c>
      <c r="C2663">
        <v>120817</v>
      </c>
      <c r="D2663" s="236" t="s">
        <v>16048</v>
      </c>
      <c r="E2663" s="15">
        <v>1339.5</v>
      </c>
      <c r="F2663" s="274">
        <v>42937</v>
      </c>
      <c r="G2663" s="15">
        <v>1339.5</v>
      </c>
      <c r="H2663" s="15">
        <f>Tabla1[[#This Row],[Importe]]-Tabla1[[#This Row],[Pagado]]</f>
        <v>0</v>
      </c>
      <c r="I2663" s="275" t="s">
        <v>15214</v>
      </c>
    </row>
    <row r="2664" spans="1:9" x14ac:dyDescent="0.25">
      <c r="A2664" s="16">
        <v>42937</v>
      </c>
      <c r="B2664" s="273" t="s">
        <v>22558</v>
      </c>
      <c r="C2664">
        <v>120818</v>
      </c>
      <c r="D2664" s="236" t="s">
        <v>15284</v>
      </c>
      <c r="E2664" s="15">
        <v>743</v>
      </c>
      <c r="F2664" s="274">
        <v>42937</v>
      </c>
      <c r="G2664" s="15">
        <v>743</v>
      </c>
      <c r="H2664" s="15">
        <f>Tabla1[[#This Row],[Importe]]-Tabla1[[#This Row],[Pagado]]</f>
        <v>0</v>
      </c>
      <c r="I2664" s="275" t="s">
        <v>15214</v>
      </c>
    </row>
    <row r="2665" spans="1:9" x14ac:dyDescent="0.25">
      <c r="A2665" s="16">
        <v>42937</v>
      </c>
      <c r="B2665" s="273" t="s">
        <v>22559</v>
      </c>
      <c r="C2665">
        <v>120819</v>
      </c>
      <c r="D2665" s="236" t="s">
        <v>15223</v>
      </c>
      <c r="E2665" s="15">
        <v>29568.2</v>
      </c>
      <c r="F2665" s="274">
        <v>42960</v>
      </c>
      <c r="G2665" s="15">
        <v>29568.2</v>
      </c>
      <c r="H2665" s="15">
        <f>Tabla1[[#This Row],[Importe]]-Tabla1[[#This Row],[Pagado]]</f>
        <v>0</v>
      </c>
      <c r="I2665" s="275" t="s">
        <v>15214</v>
      </c>
    </row>
    <row r="2666" spans="1:9" x14ac:dyDescent="0.25">
      <c r="A2666" s="16">
        <v>42937</v>
      </c>
      <c r="B2666" s="273" t="s">
        <v>22560</v>
      </c>
      <c r="C2666">
        <v>120820</v>
      </c>
      <c r="D2666" s="236" t="s">
        <v>15407</v>
      </c>
      <c r="E2666" s="15">
        <v>10274.1</v>
      </c>
      <c r="F2666" s="274">
        <v>42937</v>
      </c>
      <c r="G2666" s="15">
        <v>10274.1</v>
      </c>
      <c r="H2666" s="15">
        <f>Tabla1[[#This Row],[Importe]]-Tabla1[[#This Row],[Pagado]]</f>
        <v>0</v>
      </c>
      <c r="I2666" s="275" t="s">
        <v>15214</v>
      </c>
    </row>
    <row r="2667" spans="1:9" x14ac:dyDescent="0.25">
      <c r="A2667" s="16">
        <v>42937</v>
      </c>
      <c r="B2667" s="273" t="s">
        <v>22561</v>
      </c>
      <c r="C2667">
        <v>120821</v>
      </c>
      <c r="D2667" s="236" t="s">
        <v>15276</v>
      </c>
      <c r="E2667" s="15">
        <v>4271.8</v>
      </c>
      <c r="F2667" s="274">
        <v>42938</v>
      </c>
      <c r="G2667" s="15">
        <v>4271.8</v>
      </c>
      <c r="H2667" s="15">
        <f>Tabla1[[#This Row],[Importe]]-Tabla1[[#This Row],[Pagado]]</f>
        <v>0</v>
      </c>
      <c r="I2667" s="275" t="s">
        <v>15214</v>
      </c>
    </row>
    <row r="2668" spans="1:9" x14ac:dyDescent="0.25">
      <c r="A2668" s="16">
        <v>42937</v>
      </c>
      <c r="B2668" s="273" t="s">
        <v>22562</v>
      </c>
      <c r="C2668">
        <v>120822</v>
      </c>
      <c r="D2668" s="236" t="s">
        <v>22563</v>
      </c>
      <c r="E2668" s="15">
        <v>13046.2</v>
      </c>
      <c r="F2668" s="274">
        <v>42938</v>
      </c>
      <c r="G2668" s="15">
        <v>13046.2</v>
      </c>
      <c r="H2668" s="15">
        <f>Tabla1[[#This Row],[Importe]]-Tabla1[[#This Row],[Pagado]]</f>
        <v>0</v>
      </c>
      <c r="I2668" s="275" t="s">
        <v>15214</v>
      </c>
    </row>
    <row r="2669" spans="1:9" x14ac:dyDescent="0.25">
      <c r="A2669" s="16">
        <v>42937</v>
      </c>
      <c r="B2669" s="273" t="s">
        <v>22564</v>
      </c>
      <c r="C2669">
        <v>120823</v>
      </c>
      <c r="D2669" s="236" t="s">
        <v>19776</v>
      </c>
      <c r="E2669" s="15">
        <v>22100</v>
      </c>
      <c r="F2669" s="274">
        <v>42937</v>
      </c>
      <c r="G2669" s="15">
        <v>22100</v>
      </c>
      <c r="H2669" s="15">
        <f>Tabla1[[#This Row],[Importe]]-Tabla1[[#This Row],[Pagado]]</f>
        <v>0</v>
      </c>
      <c r="I2669" s="275" t="s">
        <v>15214</v>
      </c>
    </row>
    <row r="2670" spans="1:9" x14ac:dyDescent="0.25">
      <c r="A2670" s="16">
        <v>42937</v>
      </c>
      <c r="B2670" s="273" t="s">
        <v>22565</v>
      </c>
      <c r="C2670">
        <v>120824</v>
      </c>
      <c r="D2670" s="236" t="s">
        <v>15444</v>
      </c>
      <c r="E2670" s="15">
        <v>2369.8000000000002</v>
      </c>
      <c r="F2670" s="274">
        <v>42938</v>
      </c>
      <c r="G2670" s="15">
        <v>2369.8000000000002</v>
      </c>
      <c r="H2670" s="15">
        <f>Tabla1[[#This Row],[Importe]]-Tabla1[[#This Row],[Pagado]]</f>
        <v>0</v>
      </c>
      <c r="I2670" s="275" t="s">
        <v>15214</v>
      </c>
    </row>
    <row r="2671" spans="1:9" x14ac:dyDescent="0.25">
      <c r="A2671" s="16">
        <v>42937</v>
      </c>
      <c r="B2671" s="273" t="s">
        <v>22566</v>
      </c>
      <c r="C2671">
        <v>120825</v>
      </c>
      <c r="D2671" s="236" t="s">
        <v>15246</v>
      </c>
      <c r="E2671" s="15">
        <v>258883.3</v>
      </c>
      <c r="F2671" s="274">
        <v>42942</v>
      </c>
      <c r="G2671" s="15">
        <v>258883.3</v>
      </c>
      <c r="H2671" s="15">
        <f>Tabla1[[#This Row],[Importe]]-Tabla1[[#This Row],[Pagado]]</f>
        <v>0</v>
      </c>
      <c r="I2671" s="275" t="s">
        <v>15214</v>
      </c>
    </row>
    <row r="2672" spans="1:9" x14ac:dyDescent="0.25">
      <c r="A2672" s="16">
        <v>42937</v>
      </c>
      <c r="B2672" s="273" t="s">
        <v>22567</v>
      </c>
      <c r="C2672">
        <v>120826</v>
      </c>
      <c r="D2672" s="236" t="s">
        <v>16129</v>
      </c>
      <c r="E2672" s="15">
        <v>6241.2</v>
      </c>
      <c r="F2672" s="274">
        <v>42944</v>
      </c>
      <c r="G2672" s="15">
        <v>6241.2</v>
      </c>
      <c r="H2672" s="15">
        <f>Tabla1[[#This Row],[Importe]]-Tabla1[[#This Row],[Pagado]]</f>
        <v>0</v>
      </c>
      <c r="I2672" s="275" t="s">
        <v>15214</v>
      </c>
    </row>
    <row r="2673" spans="1:9" x14ac:dyDescent="0.25">
      <c r="A2673" s="16">
        <v>42937</v>
      </c>
      <c r="B2673" s="273" t="s">
        <v>22568</v>
      </c>
      <c r="C2673">
        <v>120827</v>
      </c>
      <c r="D2673" s="236" t="s">
        <v>19699</v>
      </c>
      <c r="E2673" s="15">
        <v>1590</v>
      </c>
      <c r="F2673" s="274">
        <v>42937</v>
      </c>
      <c r="G2673" s="15">
        <v>1590</v>
      </c>
      <c r="H2673" s="15">
        <f>Tabla1[[#This Row],[Importe]]-Tabla1[[#This Row],[Pagado]]</f>
        <v>0</v>
      </c>
      <c r="I2673" s="275" t="s">
        <v>15214</v>
      </c>
    </row>
    <row r="2674" spans="1:9" x14ac:dyDescent="0.25">
      <c r="A2674" s="16">
        <v>42937</v>
      </c>
      <c r="B2674" s="273" t="s">
        <v>22569</v>
      </c>
      <c r="C2674">
        <v>120828</v>
      </c>
      <c r="D2674" s="236" t="s">
        <v>15423</v>
      </c>
      <c r="E2674" s="15">
        <v>3773.4</v>
      </c>
      <c r="F2674" s="274">
        <v>42937</v>
      </c>
      <c r="G2674" s="15">
        <v>3773.4</v>
      </c>
      <c r="H2674" s="15">
        <f>Tabla1[[#This Row],[Importe]]-Tabla1[[#This Row],[Pagado]]</f>
        <v>0</v>
      </c>
      <c r="I2674" s="275" t="s">
        <v>15214</v>
      </c>
    </row>
    <row r="2675" spans="1:9" x14ac:dyDescent="0.25">
      <c r="A2675" s="16">
        <v>42937</v>
      </c>
      <c r="B2675" s="273" t="s">
        <v>22570</v>
      </c>
      <c r="C2675">
        <v>120829</v>
      </c>
      <c r="D2675" s="236" t="s">
        <v>15267</v>
      </c>
      <c r="E2675" s="15">
        <v>49947.4</v>
      </c>
      <c r="F2675" s="274">
        <v>42937</v>
      </c>
      <c r="G2675" s="15">
        <v>49947.4</v>
      </c>
      <c r="H2675" s="15">
        <f>Tabla1[[#This Row],[Importe]]-Tabla1[[#This Row],[Pagado]]</f>
        <v>0</v>
      </c>
      <c r="I2675" s="275" t="s">
        <v>15214</v>
      </c>
    </row>
    <row r="2676" spans="1:9" x14ac:dyDescent="0.25">
      <c r="A2676" s="16">
        <v>42937</v>
      </c>
      <c r="B2676" s="273" t="s">
        <v>22571</v>
      </c>
      <c r="C2676">
        <v>120830</v>
      </c>
      <c r="D2676" s="236" t="s">
        <v>15246</v>
      </c>
      <c r="E2676" s="15">
        <v>290414.53999999998</v>
      </c>
      <c r="F2676" s="274">
        <v>42942</v>
      </c>
      <c r="G2676" s="15">
        <v>290414.53999999998</v>
      </c>
      <c r="H2676" s="15">
        <f>Tabla1[[#This Row],[Importe]]-Tabla1[[#This Row],[Pagado]]</f>
        <v>0</v>
      </c>
      <c r="I2676" s="275" t="s">
        <v>15214</v>
      </c>
    </row>
    <row r="2677" spans="1:9" x14ac:dyDescent="0.25">
      <c r="A2677" s="16">
        <v>42937</v>
      </c>
      <c r="B2677" s="273" t="s">
        <v>22572</v>
      </c>
      <c r="C2677">
        <v>120831</v>
      </c>
      <c r="D2677" s="236" t="s">
        <v>15510</v>
      </c>
      <c r="E2677" s="15">
        <v>720.5</v>
      </c>
      <c r="F2677" s="274">
        <v>42937</v>
      </c>
      <c r="G2677" s="15">
        <v>720.5</v>
      </c>
      <c r="H2677" s="15">
        <f>Tabla1[[#This Row],[Importe]]-Tabla1[[#This Row],[Pagado]]</f>
        <v>0</v>
      </c>
      <c r="I2677" s="275" t="s">
        <v>15214</v>
      </c>
    </row>
    <row r="2678" spans="1:9" ht="15.75" x14ac:dyDescent="0.25">
      <c r="A2678" s="16">
        <v>42937</v>
      </c>
      <c r="B2678" s="273" t="s">
        <v>22573</v>
      </c>
      <c r="C2678">
        <v>120832</v>
      </c>
      <c r="D2678" s="248" t="s">
        <v>95</v>
      </c>
      <c r="E2678" s="15">
        <v>0</v>
      </c>
      <c r="F2678" s="277" t="s">
        <v>95</v>
      </c>
      <c r="G2678" s="15">
        <v>0</v>
      </c>
      <c r="H2678" s="15">
        <f>Tabla1[[#This Row],[Importe]]-Tabla1[[#This Row],[Pagado]]</f>
        <v>0</v>
      </c>
      <c r="I2678" s="275" t="s">
        <v>95</v>
      </c>
    </row>
    <row r="2679" spans="1:9" x14ac:dyDescent="0.25">
      <c r="A2679" s="16">
        <v>42937</v>
      </c>
      <c r="B2679" s="273" t="s">
        <v>22574</v>
      </c>
      <c r="C2679">
        <v>120833</v>
      </c>
      <c r="D2679" s="236" t="s">
        <v>15213</v>
      </c>
      <c r="E2679" s="15">
        <v>3418.8</v>
      </c>
      <c r="F2679" s="274">
        <v>42938</v>
      </c>
      <c r="G2679" s="15">
        <v>3418.8</v>
      </c>
      <c r="H2679" s="15">
        <f>Tabla1[[#This Row],[Importe]]-Tabla1[[#This Row],[Pagado]]</f>
        <v>0</v>
      </c>
      <c r="I2679" s="275" t="s">
        <v>15214</v>
      </c>
    </row>
    <row r="2680" spans="1:9" x14ac:dyDescent="0.25">
      <c r="A2680" s="16">
        <v>42937</v>
      </c>
      <c r="B2680" s="273" t="s">
        <v>22575</v>
      </c>
      <c r="C2680">
        <v>120834</v>
      </c>
      <c r="D2680" s="236" t="s">
        <v>15435</v>
      </c>
      <c r="E2680" s="15">
        <v>7344</v>
      </c>
      <c r="F2680" s="274">
        <v>42937</v>
      </c>
      <c r="G2680" s="15">
        <v>7344</v>
      </c>
      <c r="H2680" s="15">
        <f>Tabla1[[#This Row],[Importe]]-Tabla1[[#This Row],[Pagado]]</f>
        <v>0</v>
      </c>
      <c r="I2680" s="275" t="s">
        <v>15214</v>
      </c>
    </row>
    <row r="2681" spans="1:9" x14ac:dyDescent="0.25">
      <c r="A2681" s="16">
        <v>42937</v>
      </c>
      <c r="B2681" s="273" t="s">
        <v>22576</v>
      </c>
      <c r="C2681">
        <v>120835</v>
      </c>
      <c r="D2681" s="236" t="s">
        <v>15581</v>
      </c>
      <c r="E2681" s="15">
        <v>7762.8</v>
      </c>
      <c r="F2681" s="292">
        <v>42948</v>
      </c>
      <c r="G2681" s="15">
        <v>7762.8</v>
      </c>
      <c r="H2681" s="15">
        <f>Tabla1[[#This Row],[Importe]]-Tabla1[[#This Row],[Pagado]]</f>
        <v>0</v>
      </c>
      <c r="I2681" s="275" t="s">
        <v>15214</v>
      </c>
    </row>
    <row r="2682" spans="1:9" x14ac:dyDescent="0.25">
      <c r="A2682" s="16">
        <v>42937</v>
      </c>
      <c r="B2682" s="273" t="s">
        <v>22577</v>
      </c>
      <c r="C2682">
        <v>120836</v>
      </c>
      <c r="D2682" s="236" t="s">
        <v>19776</v>
      </c>
      <c r="E2682" s="15">
        <v>357.2</v>
      </c>
      <c r="F2682" s="274">
        <v>42938</v>
      </c>
      <c r="G2682" s="15">
        <v>357.2</v>
      </c>
      <c r="H2682" s="15">
        <f>Tabla1[[#This Row],[Importe]]-Tabla1[[#This Row],[Pagado]]</f>
        <v>0</v>
      </c>
      <c r="I2682" s="275" t="s">
        <v>15214</v>
      </c>
    </row>
    <row r="2683" spans="1:9" x14ac:dyDescent="0.25">
      <c r="A2683" s="16">
        <v>42937</v>
      </c>
      <c r="B2683" s="273" t="s">
        <v>22578</v>
      </c>
      <c r="C2683">
        <v>120837</v>
      </c>
      <c r="D2683" s="236" t="s">
        <v>15681</v>
      </c>
      <c r="E2683" s="15">
        <v>2491.1999999999998</v>
      </c>
      <c r="F2683" s="274">
        <v>42937</v>
      </c>
      <c r="G2683" s="15">
        <v>2491.1999999999998</v>
      </c>
      <c r="H2683" s="15">
        <f>Tabla1[[#This Row],[Importe]]-Tabla1[[#This Row],[Pagado]]</f>
        <v>0</v>
      </c>
      <c r="I2683" s="275" t="s">
        <v>15214</v>
      </c>
    </row>
    <row r="2684" spans="1:9" x14ac:dyDescent="0.25">
      <c r="A2684" s="16">
        <v>42938</v>
      </c>
      <c r="B2684" s="273" t="s">
        <v>22579</v>
      </c>
      <c r="C2684">
        <v>120838</v>
      </c>
      <c r="D2684" s="236" t="s">
        <v>15213</v>
      </c>
      <c r="E2684" s="15">
        <v>47599</v>
      </c>
      <c r="F2684" s="274">
        <v>42940</v>
      </c>
      <c r="G2684" s="15">
        <v>47599</v>
      </c>
      <c r="H2684" s="15">
        <f>Tabla1[[#This Row],[Importe]]-Tabla1[[#This Row],[Pagado]]</f>
        <v>0</v>
      </c>
      <c r="I2684" s="275" t="s">
        <v>15214</v>
      </c>
    </row>
    <row r="2685" spans="1:9" x14ac:dyDescent="0.25">
      <c r="A2685" s="16">
        <v>42938</v>
      </c>
      <c r="B2685" s="273" t="s">
        <v>22580</v>
      </c>
      <c r="C2685">
        <v>120839</v>
      </c>
      <c r="D2685" s="236" t="s">
        <v>21386</v>
      </c>
      <c r="E2685" s="15">
        <v>10379.6</v>
      </c>
      <c r="F2685" s="274">
        <v>42940</v>
      </c>
      <c r="G2685" s="15">
        <v>10379.6</v>
      </c>
      <c r="H2685" s="15">
        <f>Tabla1[[#This Row],[Importe]]-Tabla1[[#This Row],[Pagado]]</f>
        <v>0</v>
      </c>
      <c r="I2685" s="275" t="s">
        <v>15214</v>
      </c>
    </row>
    <row r="2686" spans="1:9" x14ac:dyDescent="0.25">
      <c r="A2686" s="16">
        <v>42938</v>
      </c>
      <c r="B2686" s="273" t="s">
        <v>22581</v>
      </c>
      <c r="C2686">
        <v>120840</v>
      </c>
      <c r="D2686" s="236" t="s">
        <v>15220</v>
      </c>
      <c r="E2686" s="15">
        <v>6095</v>
      </c>
      <c r="F2686" s="274">
        <v>42938</v>
      </c>
      <c r="G2686" s="15">
        <v>6095</v>
      </c>
      <c r="H2686" s="15">
        <f>Tabla1[[#This Row],[Importe]]-Tabla1[[#This Row],[Pagado]]</f>
        <v>0</v>
      </c>
      <c r="I2686" s="275" t="s">
        <v>15214</v>
      </c>
    </row>
    <row r="2687" spans="1:9" x14ac:dyDescent="0.25">
      <c r="A2687" s="16">
        <v>42938</v>
      </c>
      <c r="B2687" s="273" t="s">
        <v>22582</v>
      </c>
      <c r="C2687">
        <v>120841</v>
      </c>
      <c r="D2687" s="236" t="s">
        <v>19302</v>
      </c>
      <c r="E2687" s="15">
        <v>1325</v>
      </c>
      <c r="F2687" s="274">
        <v>42938</v>
      </c>
      <c r="G2687" s="15">
        <v>1325</v>
      </c>
      <c r="H2687" s="15">
        <f>Tabla1[[#This Row],[Importe]]-Tabla1[[#This Row],[Pagado]]</f>
        <v>0</v>
      </c>
      <c r="I2687" s="275" t="s">
        <v>15214</v>
      </c>
    </row>
    <row r="2688" spans="1:9" x14ac:dyDescent="0.25">
      <c r="A2688" s="16">
        <v>42938</v>
      </c>
      <c r="B2688" s="273" t="s">
        <v>22583</v>
      </c>
      <c r="C2688">
        <v>120842</v>
      </c>
      <c r="D2688" s="236" t="s">
        <v>15232</v>
      </c>
      <c r="E2688" s="15">
        <v>18233.599999999999</v>
      </c>
      <c r="F2688" s="274">
        <v>42943</v>
      </c>
      <c r="G2688" s="15">
        <v>18233.599999999999</v>
      </c>
      <c r="H2688" s="15">
        <f>Tabla1[[#This Row],[Importe]]-Tabla1[[#This Row],[Pagado]]</f>
        <v>0</v>
      </c>
      <c r="I2688" s="275" t="s">
        <v>15214</v>
      </c>
    </row>
    <row r="2689" spans="1:9" x14ac:dyDescent="0.25">
      <c r="A2689" s="16">
        <v>42938</v>
      </c>
      <c r="B2689" s="273" t="s">
        <v>22584</v>
      </c>
      <c r="C2689">
        <v>120843</v>
      </c>
      <c r="D2689" s="236" t="s">
        <v>15596</v>
      </c>
      <c r="E2689" s="15">
        <v>1590</v>
      </c>
      <c r="F2689" s="274">
        <v>42938</v>
      </c>
      <c r="G2689" s="15">
        <v>1590</v>
      </c>
      <c r="H2689" s="15">
        <f>Tabla1[[#This Row],[Importe]]-Tabla1[[#This Row],[Pagado]]</f>
        <v>0</v>
      </c>
      <c r="I2689" s="275" t="s">
        <v>15214</v>
      </c>
    </row>
    <row r="2690" spans="1:9" x14ac:dyDescent="0.25">
      <c r="A2690" s="16">
        <v>42938</v>
      </c>
      <c r="B2690" s="273" t="s">
        <v>22585</v>
      </c>
      <c r="C2690">
        <v>120844</v>
      </c>
      <c r="D2690" s="236" t="s">
        <v>15274</v>
      </c>
      <c r="E2690" s="15">
        <v>2650</v>
      </c>
      <c r="F2690" s="274">
        <v>42938</v>
      </c>
      <c r="G2690" s="15">
        <v>2650</v>
      </c>
      <c r="H2690" s="15">
        <f>Tabla1[[#This Row],[Importe]]-Tabla1[[#This Row],[Pagado]]</f>
        <v>0</v>
      </c>
      <c r="I2690" s="275" t="s">
        <v>15214</v>
      </c>
    </row>
    <row r="2691" spans="1:9" x14ac:dyDescent="0.25">
      <c r="A2691" s="16">
        <v>42938</v>
      </c>
      <c r="B2691" s="273" t="s">
        <v>22586</v>
      </c>
      <c r="C2691">
        <v>120845</v>
      </c>
      <c r="D2691" s="236" t="s">
        <v>15315</v>
      </c>
      <c r="E2691" s="15">
        <v>3105.4</v>
      </c>
      <c r="F2691" s="274">
        <v>42938</v>
      </c>
      <c r="G2691" s="15">
        <v>3105.4</v>
      </c>
      <c r="H2691" s="15">
        <f>Tabla1[[#This Row],[Importe]]-Tabla1[[#This Row],[Pagado]]</f>
        <v>0</v>
      </c>
      <c r="I2691" s="275" t="s">
        <v>15214</v>
      </c>
    </row>
    <row r="2692" spans="1:9" x14ac:dyDescent="0.25">
      <c r="A2692" s="16">
        <v>42938</v>
      </c>
      <c r="B2692" s="273" t="s">
        <v>22587</v>
      </c>
      <c r="C2692">
        <v>120846</v>
      </c>
      <c r="D2692" s="236" t="s">
        <v>17235</v>
      </c>
      <c r="E2692" s="15">
        <v>1198.56</v>
      </c>
      <c r="F2692" s="274">
        <v>42938</v>
      </c>
      <c r="G2692" s="15">
        <v>1198.56</v>
      </c>
      <c r="H2692" s="15">
        <f>Tabla1[[#This Row],[Importe]]-Tabla1[[#This Row],[Pagado]]</f>
        <v>0</v>
      </c>
      <c r="I2692" s="275" t="s">
        <v>15214</v>
      </c>
    </row>
    <row r="2693" spans="1:9" x14ac:dyDescent="0.25">
      <c r="A2693" s="16">
        <v>42938</v>
      </c>
      <c r="B2693" s="273" t="s">
        <v>22588</v>
      </c>
      <c r="C2693">
        <v>120847</v>
      </c>
      <c r="D2693" s="236" t="s">
        <v>15230</v>
      </c>
      <c r="E2693" s="15">
        <v>35019.599999999999</v>
      </c>
      <c r="F2693" s="274">
        <v>42942</v>
      </c>
      <c r="G2693" s="15">
        <v>35019.599999999999</v>
      </c>
      <c r="H2693" s="15">
        <f>Tabla1[[#This Row],[Importe]]-Tabla1[[#This Row],[Pagado]]</f>
        <v>0</v>
      </c>
      <c r="I2693" s="275" t="s">
        <v>15214</v>
      </c>
    </row>
    <row r="2694" spans="1:9" x14ac:dyDescent="0.25">
      <c r="A2694" s="16">
        <v>42938</v>
      </c>
      <c r="B2694" s="273" t="s">
        <v>22589</v>
      </c>
      <c r="C2694">
        <v>120848</v>
      </c>
      <c r="D2694" s="236" t="s">
        <v>15234</v>
      </c>
      <c r="E2694" s="15">
        <v>7095</v>
      </c>
      <c r="F2694" s="274">
        <v>42943</v>
      </c>
      <c r="G2694" s="15">
        <v>7095</v>
      </c>
      <c r="H2694" s="15">
        <f>Tabla1[[#This Row],[Importe]]-Tabla1[[#This Row],[Pagado]]</f>
        <v>0</v>
      </c>
      <c r="I2694" s="275" t="s">
        <v>15214</v>
      </c>
    </row>
    <row r="2695" spans="1:9" x14ac:dyDescent="0.25">
      <c r="A2695" s="16">
        <v>42938</v>
      </c>
      <c r="B2695" s="273" t="s">
        <v>22590</v>
      </c>
      <c r="C2695">
        <v>120849</v>
      </c>
      <c r="D2695" s="236" t="s">
        <v>15315</v>
      </c>
      <c r="E2695" s="15">
        <v>780</v>
      </c>
      <c r="F2695" s="274">
        <v>42938</v>
      </c>
      <c r="G2695" s="15">
        <v>780</v>
      </c>
      <c r="H2695" s="15">
        <f>Tabla1[[#This Row],[Importe]]-Tabla1[[#This Row],[Pagado]]</f>
        <v>0</v>
      </c>
      <c r="I2695" s="275" t="s">
        <v>15214</v>
      </c>
    </row>
    <row r="2696" spans="1:9" ht="15.75" x14ac:dyDescent="0.25">
      <c r="A2696" s="16">
        <v>42938</v>
      </c>
      <c r="B2696" s="273" t="s">
        <v>22591</v>
      </c>
      <c r="C2696">
        <v>120850</v>
      </c>
      <c r="D2696" s="248" t="s">
        <v>95</v>
      </c>
      <c r="E2696" s="15">
        <v>0</v>
      </c>
      <c r="F2696" s="277" t="s">
        <v>95</v>
      </c>
      <c r="G2696" s="15">
        <v>0</v>
      </c>
      <c r="H2696" s="15">
        <f>Tabla1[[#This Row],[Importe]]-Tabla1[[#This Row],[Pagado]]</f>
        <v>0</v>
      </c>
      <c r="I2696" s="275" t="s">
        <v>95</v>
      </c>
    </row>
    <row r="2697" spans="1:9" x14ac:dyDescent="0.25">
      <c r="A2697" s="16">
        <v>42938</v>
      </c>
      <c r="B2697" s="273" t="s">
        <v>22592</v>
      </c>
      <c r="C2697">
        <v>120851</v>
      </c>
      <c r="D2697" s="236" t="s">
        <v>15267</v>
      </c>
      <c r="E2697" s="15">
        <v>11070</v>
      </c>
      <c r="F2697" s="274">
        <v>42938</v>
      </c>
      <c r="G2697" s="15">
        <v>11070</v>
      </c>
      <c r="H2697" s="15">
        <f>Tabla1[[#This Row],[Importe]]-Tabla1[[#This Row],[Pagado]]</f>
        <v>0</v>
      </c>
      <c r="I2697" s="275" t="s">
        <v>15214</v>
      </c>
    </row>
    <row r="2698" spans="1:9" x14ac:dyDescent="0.25">
      <c r="A2698" s="16">
        <v>42938</v>
      </c>
      <c r="B2698" s="273" t="s">
        <v>22593</v>
      </c>
      <c r="C2698">
        <v>120852</v>
      </c>
      <c r="D2698" s="236" t="s">
        <v>15272</v>
      </c>
      <c r="E2698" s="15">
        <v>29392.7</v>
      </c>
      <c r="F2698" s="274">
        <v>42938</v>
      </c>
      <c r="G2698" s="15">
        <v>29392.7</v>
      </c>
      <c r="H2698" s="15">
        <f>Tabla1[[#This Row],[Importe]]-Tabla1[[#This Row],[Pagado]]</f>
        <v>0</v>
      </c>
      <c r="I2698" s="275" t="s">
        <v>15214</v>
      </c>
    </row>
    <row r="2699" spans="1:9" ht="30" x14ac:dyDescent="0.25">
      <c r="A2699" s="16">
        <v>42938</v>
      </c>
      <c r="B2699" s="273" t="s">
        <v>22594</v>
      </c>
      <c r="C2699">
        <v>120853</v>
      </c>
      <c r="D2699" s="236" t="s">
        <v>15258</v>
      </c>
      <c r="E2699" s="15">
        <v>31891.4</v>
      </c>
      <c r="F2699" s="274" t="s">
        <v>22595</v>
      </c>
      <c r="G2699" s="241">
        <f>15000+5000+11891.4</f>
        <v>31891.4</v>
      </c>
      <c r="H2699" s="241">
        <f>Tabla1[[#This Row],[Importe]]-Tabla1[[#This Row],[Pagado]]</f>
        <v>0</v>
      </c>
      <c r="I2699" s="275" t="s">
        <v>15214</v>
      </c>
    </row>
    <row r="2700" spans="1:9" x14ac:dyDescent="0.25">
      <c r="A2700" s="16">
        <v>42938</v>
      </c>
      <c r="B2700" s="273" t="s">
        <v>22596</v>
      </c>
      <c r="C2700">
        <v>120854</v>
      </c>
      <c r="D2700" s="236" t="s">
        <v>15248</v>
      </c>
      <c r="E2700" s="15">
        <v>40465.32</v>
      </c>
      <c r="F2700" s="274">
        <v>42938</v>
      </c>
      <c r="G2700" s="241">
        <v>40465.32</v>
      </c>
      <c r="H2700" s="241">
        <f>Tabla1[[#This Row],[Importe]]-Tabla1[[#This Row],[Pagado]]</f>
        <v>0</v>
      </c>
      <c r="I2700" s="275" t="s">
        <v>15214</v>
      </c>
    </row>
    <row r="2701" spans="1:9" ht="30" x14ac:dyDescent="0.25">
      <c r="A2701" s="16">
        <v>42938</v>
      </c>
      <c r="B2701" s="273" t="s">
        <v>22597</v>
      </c>
      <c r="C2701">
        <v>120855</v>
      </c>
      <c r="D2701" s="236" t="s">
        <v>15256</v>
      </c>
      <c r="E2701" s="15">
        <v>14745</v>
      </c>
      <c r="F2701" s="274" t="s">
        <v>22595</v>
      </c>
      <c r="G2701" s="241">
        <f>6000+8000+745</f>
        <v>14745</v>
      </c>
      <c r="H2701" s="241">
        <f>Tabla1[[#This Row],[Importe]]-Tabla1[[#This Row],[Pagado]]</f>
        <v>0</v>
      </c>
      <c r="I2701" s="275" t="s">
        <v>15214</v>
      </c>
    </row>
    <row r="2702" spans="1:9" x14ac:dyDescent="0.25">
      <c r="A2702" s="16">
        <v>42938</v>
      </c>
      <c r="B2702" s="273" t="s">
        <v>22598</v>
      </c>
      <c r="C2702">
        <v>120856</v>
      </c>
      <c r="D2702" s="236" t="s">
        <v>15238</v>
      </c>
      <c r="E2702" s="15">
        <v>14232.8</v>
      </c>
      <c r="F2702" s="274">
        <v>42941</v>
      </c>
      <c r="G2702" s="15">
        <v>14232.8</v>
      </c>
      <c r="H2702" s="15">
        <f>Tabla1[[#This Row],[Importe]]-Tabla1[[#This Row],[Pagado]]</f>
        <v>0</v>
      </c>
      <c r="I2702" s="275" t="s">
        <v>15214</v>
      </c>
    </row>
    <row r="2703" spans="1:9" x14ac:dyDescent="0.25">
      <c r="A2703" s="16">
        <v>42938</v>
      </c>
      <c r="B2703" s="273" t="s">
        <v>22599</v>
      </c>
      <c r="C2703">
        <v>120857</v>
      </c>
      <c r="D2703" s="236" t="s">
        <v>5583</v>
      </c>
      <c r="E2703" s="15">
        <v>2992.8</v>
      </c>
      <c r="F2703" s="274">
        <v>42938</v>
      </c>
      <c r="G2703" s="15">
        <v>2992.8</v>
      </c>
      <c r="H2703" s="15">
        <f>Tabla1[[#This Row],[Importe]]-Tabla1[[#This Row],[Pagado]]</f>
        <v>0</v>
      </c>
      <c r="I2703" s="275" t="s">
        <v>15214</v>
      </c>
    </row>
    <row r="2704" spans="1:9" x14ac:dyDescent="0.25">
      <c r="A2704" s="16">
        <v>42938</v>
      </c>
      <c r="B2704" s="273" t="s">
        <v>22600</v>
      </c>
      <c r="C2704">
        <v>120858</v>
      </c>
      <c r="D2704" s="236" t="s">
        <v>15242</v>
      </c>
      <c r="E2704" s="15">
        <v>11815</v>
      </c>
      <c r="F2704" s="274">
        <v>42938</v>
      </c>
      <c r="G2704" s="15">
        <v>11815</v>
      </c>
      <c r="H2704" s="15">
        <f>Tabla1[[#This Row],[Importe]]-Tabla1[[#This Row],[Pagado]]</f>
        <v>0</v>
      </c>
      <c r="I2704" s="275" t="s">
        <v>15214</v>
      </c>
    </row>
    <row r="2705" spans="1:9" x14ac:dyDescent="0.25">
      <c r="A2705" s="16">
        <v>42938</v>
      </c>
      <c r="B2705" s="273" t="s">
        <v>22601</v>
      </c>
      <c r="C2705">
        <v>120859</v>
      </c>
      <c r="D2705" s="236" t="s">
        <v>15315</v>
      </c>
      <c r="E2705" s="15">
        <v>3100.4</v>
      </c>
      <c r="F2705" s="274">
        <v>42938</v>
      </c>
      <c r="G2705" s="15">
        <v>3100.4</v>
      </c>
      <c r="H2705" s="15">
        <f>Tabla1[[#This Row],[Importe]]-Tabla1[[#This Row],[Pagado]]</f>
        <v>0</v>
      </c>
      <c r="I2705" s="275" t="s">
        <v>15214</v>
      </c>
    </row>
    <row r="2706" spans="1:9" x14ac:dyDescent="0.25">
      <c r="A2706" s="16">
        <v>42938</v>
      </c>
      <c r="B2706" s="273" t="s">
        <v>22602</v>
      </c>
      <c r="C2706">
        <v>120860</v>
      </c>
      <c r="D2706" s="236" t="s">
        <v>16108</v>
      </c>
      <c r="E2706" s="15">
        <v>4498.2</v>
      </c>
      <c r="F2706" s="274">
        <v>42938</v>
      </c>
      <c r="G2706" s="15">
        <v>4498.2</v>
      </c>
      <c r="H2706" s="15">
        <f>Tabla1[[#This Row],[Importe]]-Tabla1[[#This Row],[Pagado]]</f>
        <v>0</v>
      </c>
      <c r="I2706" s="275" t="s">
        <v>15214</v>
      </c>
    </row>
    <row r="2707" spans="1:9" ht="45" x14ac:dyDescent="0.25">
      <c r="A2707" s="16">
        <v>42938</v>
      </c>
      <c r="B2707" s="273" t="s">
        <v>22603</v>
      </c>
      <c r="C2707">
        <v>120861</v>
      </c>
      <c r="D2707" s="236" t="s">
        <v>15480</v>
      </c>
      <c r="E2707" s="15">
        <v>12677.1</v>
      </c>
      <c r="F2707" s="274" t="s">
        <v>22604</v>
      </c>
      <c r="G2707" s="241">
        <f>5000+3000+4677.1</f>
        <v>12677.1</v>
      </c>
      <c r="H2707" s="241">
        <f>Tabla1[[#This Row],[Importe]]-Tabla1[[#This Row],[Pagado]]</f>
        <v>0</v>
      </c>
      <c r="I2707" s="275" t="s">
        <v>15214</v>
      </c>
    </row>
    <row r="2708" spans="1:9" x14ac:dyDescent="0.25">
      <c r="A2708" s="16">
        <v>42938</v>
      </c>
      <c r="B2708" s="273" t="s">
        <v>22605</v>
      </c>
      <c r="C2708">
        <v>120862</v>
      </c>
      <c r="D2708" s="236" t="s">
        <v>15223</v>
      </c>
      <c r="E2708" s="15">
        <v>62255</v>
      </c>
      <c r="F2708" s="274">
        <v>42960</v>
      </c>
      <c r="G2708" s="15">
        <v>62255</v>
      </c>
      <c r="H2708" s="15">
        <f>Tabla1[[#This Row],[Importe]]-Tabla1[[#This Row],[Pagado]]</f>
        <v>0</v>
      </c>
      <c r="I2708" s="275" t="s">
        <v>15214</v>
      </c>
    </row>
    <row r="2709" spans="1:9" x14ac:dyDescent="0.25">
      <c r="A2709" s="16">
        <v>42938</v>
      </c>
      <c r="B2709" s="273" t="s">
        <v>22606</v>
      </c>
      <c r="C2709">
        <v>120863</v>
      </c>
      <c r="D2709" s="236" t="s">
        <v>15530</v>
      </c>
      <c r="E2709" s="15">
        <v>2068.6</v>
      </c>
      <c r="F2709" s="274">
        <v>42938</v>
      </c>
      <c r="G2709" s="15">
        <v>2068.6</v>
      </c>
      <c r="H2709" s="15">
        <f>Tabla1[[#This Row],[Importe]]-Tabla1[[#This Row],[Pagado]]</f>
        <v>0</v>
      </c>
      <c r="I2709" s="275" t="s">
        <v>15214</v>
      </c>
    </row>
    <row r="2710" spans="1:9" ht="30" x14ac:dyDescent="0.25">
      <c r="A2710" s="16">
        <v>42938</v>
      </c>
      <c r="B2710" s="273" t="s">
        <v>22607</v>
      </c>
      <c r="C2710">
        <v>120864</v>
      </c>
      <c r="D2710" s="236" t="s">
        <v>15668</v>
      </c>
      <c r="E2710" s="15">
        <v>10302.799999999999</v>
      </c>
      <c r="F2710" s="274" t="s">
        <v>22608</v>
      </c>
      <c r="G2710" s="241">
        <f>4500+5802.8</f>
        <v>10302.799999999999</v>
      </c>
      <c r="H2710" s="241">
        <f>Tabla1[[#This Row],[Importe]]-Tabla1[[#This Row],[Pagado]]</f>
        <v>0</v>
      </c>
      <c r="I2710" s="275" t="s">
        <v>15214</v>
      </c>
    </row>
    <row r="2711" spans="1:9" ht="30" x14ac:dyDescent="0.25">
      <c r="A2711" s="16">
        <v>42938</v>
      </c>
      <c r="B2711" s="273" t="s">
        <v>22609</v>
      </c>
      <c r="C2711">
        <v>120865</v>
      </c>
      <c r="D2711" s="236" t="s">
        <v>15328</v>
      </c>
      <c r="E2711" s="15">
        <v>126598.88</v>
      </c>
      <c r="F2711" s="274" t="s">
        <v>23769</v>
      </c>
      <c r="G2711" s="241">
        <f>120848.5+5750.38</f>
        <v>126598.88</v>
      </c>
      <c r="H2711" s="241">
        <f>Tabla1[[#This Row],[Importe]]-Tabla1[[#This Row],[Pagado]]</f>
        <v>0</v>
      </c>
      <c r="I2711" s="275" t="s">
        <v>15214</v>
      </c>
    </row>
    <row r="2712" spans="1:9" x14ac:dyDescent="0.25">
      <c r="A2712" s="16">
        <v>42938</v>
      </c>
      <c r="B2712" s="273" t="s">
        <v>22610</v>
      </c>
      <c r="C2712">
        <v>120866</v>
      </c>
      <c r="D2712" s="236" t="s">
        <v>15530</v>
      </c>
      <c r="E2712" s="15">
        <v>412.5</v>
      </c>
      <c r="F2712" s="274">
        <v>42938</v>
      </c>
      <c r="G2712" s="15">
        <v>412.5</v>
      </c>
      <c r="H2712" s="15">
        <f>Tabla1[[#This Row],[Importe]]-Tabla1[[#This Row],[Pagado]]</f>
        <v>0</v>
      </c>
      <c r="I2712" s="275" t="s">
        <v>15214</v>
      </c>
    </row>
    <row r="2713" spans="1:9" x14ac:dyDescent="0.25">
      <c r="A2713" s="16">
        <v>42938</v>
      </c>
      <c r="B2713" s="273" t="s">
        <v>22611</v>
      </c>
      <c r="C2713">
        <v>120867</v>
      </c>
      <c r="D2713" s="236" t="s">
        <v>17462</v>
      </c>
      <c r="E2713" s="15">
        <v>3452.4</v>
      </c>
      <c r="F2713" s="274">
        <v>42938</v>
      </c>
      <c r="G2713" s="15">
        <v>3452.4</v>
      </c>
      <c r="H2713" s="15">
        <f>Tabla1[[#This Row],[Importe]]-Tabla1[[#This Row],[Pagado]]</f>
        <v>0</v>
      </c>
      <c r="I2713" s="275" t="s">
        <v>15214</v>
      </c>
    </row>
    <row r="2714" spans="1:9" x14ac:dyDescent="0.25">
      <c r="A2714" s="16">
        <v>42938</v>
      </c>
      <c r="B2714" s="273" t="s">
        <v>22612</v>
      </c>
      <c r="C2714">
        <v>120868</v>
      </c>
      <c r="D2714" s="236" t="s">
        <v>5575</v>
      </c>
      <c r="E2714" s="15">
        <v>14669.2</v>
      </c>
      <c r="F2714" s="292">
        <v>42949</v>
      </c>
      <c r="G2714" s="15">
        <v>14669.2</v>
      </c>
      <c r="H2714" s="15">
        <f>Tabla1[[#This Row],[Importe]]-Tabla1[[#This Row],[Pagado]]</f>
        <v>0</v>
      </c>
      <c r="I2714" s="275" t="s">
        <v>15214</v>
      </c>
    </row>
    <row r="2715" spans="1:9" x14ac:dyDescent="0.25">
      <c r="A2715" s="16">
        <v>42938</v>
      </c>
      <c r="B2715" s="273" t="s">
        <v>22613</v>
      </c>
      <c r="C2715">
        <v>120869</v>
      </c>
      <c r="D2715" s="236" t="s">
        <v>15236</v>
      </c>
      <c r="E2715" s="15">
        <v>9924.4</v>
      </c>
      <c r="F2715" s="274">
        <v>42941</v>
      </c>
      <c r="G2715" s="15">
        <v>9924.4</v>
      </c>
      <c r="H2715" s="15">
        <f>Tabla1[[#This Row],[Importe]]-Tabla1[[#This Row],[Pagado]]</f>
        <v>0</v>
      </c>
      <c r="I2715" s="275" t="s">
        <v>15214</v>
      </c>
    </row>
    <row r="2716" spans="1:9" x14ac:dyDescent="0.25">
      <c r="A2716" s="16">
        <v>42938</v>
      </c>
      <c r="B2716" s="273" t="s">
        <v>22614</v>
      </c>
      <c r="C2716">
        <v>120870</v>
      </c>
      <c r="D2716" s="236" t="s">
        <v>15291</v>
      </c>
      <c r="E2716" s="15">
        <v>1064</v>
      </c>
      <c r="F2716" s="274">
        <v>42938</v>
      </c>
      <c r="G2716" s="15">
        <v>1064</v>
      </c>
      <c r="H2716" s="15">
        <f>Tabla1[[#This Row],[Importe]]-Tabla1[[#This Row],[Pagado]]</f>
        <v>0</v>
      </c>
      <c r="I2716" s="275" t="s">
        <v>15214</v>
      </c>
    </row>
    <row r="2717" spans="1:9" x14ac:dyDescent="0.25">
      <c r="A2717" s="16">
        <v>42938</v>
      </c>
      <c r="B2717" s="273" t="s">
        <v>22615</v>
      </c>
      <c r="C2717">
        <v>120871</v>
      </c>
      <c r="D2717" s="236" t="s">
        <v>15256</v>
      </c>
      <c r="E2717" s="15">
        <v>910.8</v>
      </c>
      <c r="F2717" s="274">
        <v>42941</v>
      </c>
      <c r="G2717" s="15">
        <v>910.8</v>
      </c>
      <c r="H2717" s="15">
        <f>Tabla1[[#This Row],[Importe]]-Tabla1[[#This Row],[Pagado]]</f>
        <v>0</v>
      </c>
      <c r="I2717" s="275" t="s">
        <v>15214</v>
      </c>
    </row>
    <row r="2718" spans="1:9" x14ac:dyDescent="0.25">
      <c r="A2718" s="16">
        <v>42938</v>
      </c>
      <c r="B2718" s="273" t="s">
        <v>22616</v>
      </c>
      <c r="C2718">
        <v>120872</v>
      </c>
      <c r="D2718" s="236" t="s">
        <v>15328</v>
      </c>
      <c r="E2718" s="15">
        <v>24689.599999999999</v>
      </c>
      <c r="F2718" s="274">
        <v>42945</v>
      </c>
      <c r="G2718" s="15">
        <v>24689.599999999999</v>
      </c>
      <c r="H2718" s="15">
        <f>Tabla1[[#This Row],[Importe]]-Tabla1[[#This Row],[Pagado]]</f>
        <v>0</v>
      </c>
      <c r="I2718" s="275" t="s">
        <v>15214</v>
      </c>
    </row>
    <row r="2719" spans="1:9" x14ac:dyDescent="0.25">
      <c r="A2719" s="16">
        <v>42938</v>
      </c>
      <c r="B2719" s="273" t="s">
        <v>22617</v>
      </c>
      <c r="C2719">
        <v>120873</v>
      </c>
      <c r="D2719" s="236" t="s">
        <v>15348</v>
      </c>
      <c r="E2719" s="15">
        <v>2808</v>
      </c>
      <c r="F2719" s="274">
        <v>42938</v>
      </c>
      <c r="G2719" s="15">
        <v>2808</v>
      </c>
      <c r="H2719" s="15">
        <f>Tabla1[[#This Row],[Importe]]-Tabla1[[#This Row],[Pagado]]</f>
        <v>0</v>
      </c>
      <c r="I2719" s="275" t="s">
        <v>15214</v>
      </c>
    </row>
    <row r="2720" spans="1:9" x14ac:dyDescent="0.25">
      <c r="A2720" s="16">
        <v>42938</v>
      </c>
      <c r="B2720" s="273" t="s">
        <v>22618</v>
      </c>
      <c r="C2720">
        <v>120874</v>
      </c>
      <c r="D2720" s="236" t="s">
        <v>15250</v>
      </c>
      <c r="E2720" s="15">
        <v>44126.04</v>
      </c>
      <c r="F2720" s="274">
        <v>42945</v>
      </c>
      <c r="G2720" s="15">
        <v>44126.04</v>
      </c>
      <c r="H2720" s="15">
        <f>Tabla1[[#This Row],[Importe]]-Tabla1[[#This Row],[Pagado]]</f>
        <v>0</v>
      </c>
      <c r="I2720" s="275" t="s">
        <v>15214</v>
      </c>
    </row>
    <row r="2721" spans="1:9" x14ac:dyDescent="0.25">
      <c r="A2721" s="16">
        <v>42938</v>
      </c>
      <c r="B2721" s="273" t="s">
        <v>22619</v>
      </c>
      <c r="C2721">
        <v>120875</v>
      </c>
      <c r="D2721" s="236" t="s">
        <v>15250</v>
      </c>
      <c r="E2721" s="15">
        <v>36281.199999999997</v>
      </c>
      <c r="F2721" s="274">
        <v>42945</v>
      </c>
      <c r="G2721" s="15">
        <v>36281.199999999997</v>
      </c>
      <c r="H2721" s="15">
        <f>Tabla1[[#This Row],[Importe]]-Tabla1[[#This Row],[Pagado]]</f>
        <v>0</v>
      </c>
      <c r="I2721" s="275" t="s">
        <v>15214</v>
      </c>
    </row>
    <row r="2722" spans="1:9" x14ac:dyDescent="0.25">
      <c r="A2722" s="16">
        <v>42938</v>
      </c>
      <c r="B2722" s="273" t="s">
        <v>22620</v>
      </c>
      <c r="C2722">
        <v>120876</v>
      </c>
      <c r="D2722" s="236" t="s">
        <v>15568</v>
      </c>
      <c r="E2722" s="15">
        <v>10641.8</v>
      </c>
      <c r="F2722" s="274">
        <v>42938</v>
      </c>
      <c r="G2722" s="15">
        <v>10641.8</v>
      </c>
      <c r="H2722" s="15">
        <f>Tabla1[[#This Row],[Importe]]-Tabla1[[#This Row],[Pagado]]</f>
        <v>0</v>
      </c>
      <c r="I2722" s="275" t="s">
        <v>15214</v>
      </c>
    </row>
    <row r="2723" spans="1:9" x14ac:dyDescent="0.25">
      <c r="A2723" s="16">
        <v>42938</v>
      </c>
      <c r="B2723" s="273" t="s">
        <v>22621</v>
      </c>
      <c r="C2723">
        <v>120877</v>
      </c>
      <c r="D2723" s="236" t="s">
        <v>15252</v>
      </c>
      <c r="E2723" s="15">
        <v>8248.7999999999993</v>
      </c>
      <c r="F2723" s="274">
        <v>42943</v>
      </c>
      <c r="G2723" s="15">
        <v>8248.7999999999993</v>
      </c>
      <c r="H2723" s="15">
        <f>Tabla1[[#This Row],[Importe]]-Tabla1[[#This Row],[Pagado]]</f>
        <v>0</v>
      </c>
      <c r="I2723" s="275" t="s">
        <v>15214</v>
      </c>
    </row>
    <row r="2724" spans="1:9" ht="15.75" x14ac:dyDescent="0.25">
      <c r="A2724" s="16">
        <v>42938</v>
      </c>
      <c r="B2724" s="273" t="s">
        <v>22622</v>
      </c>
      <c r="C2724">
        <v>120878</v>
      </c>
      <c r="D2724" s="248" t="s">
        <v>95</v>
      </c>
      <c r="E2724" s="15">
        <v>0</v>
      </c>
      <c r="F2724" s="277" t="s">
        <v>95</v>
      </c>
      <c r="G2724" s="15">
        <v>0</v>
      </c>
      <c r="H2724" s="15">
        <f>Tabla1[[#This Row],[Importe]]-Tabla1[[#This Row],[Pagado]]</f>
        <v>0</v>
      </c>
      <c r="I2724" s="275" t="s">
        <v>95</v>
      </c>
    </row>
    <row r="2725" spans="1:9" x14ac:dyDescent="0.25">
      <c r="A2725" s="16">
        <v>42938</v>
      </c>
      <c r="B2725" s="273" t="s">
        <v>22623</v>
      </c>
      <c r="C2725">
        <v>120879</v>
      </c>
      <c r="D2725" s="236" t="s">
        <v>15334</v>
      </c>
      <c r="E2725" s="15">
        <v>1975</v>
      </c>
      <c r="F2725" s="274">
        <v>42938</v>
      </c>
      <c r="G2725" s="15">
        <v>1975</v>
      </c>
      <c r="H2725" s="15">
        <f>Tabla1[[#This Row],[Importe]]-Tabla1[[#This Row],[Pagado]]</f>
        <v>0</v>
      </c>
      <c r="I2725" s="275" t="s">
        <v>15214</v>
      </c>
    </row>
    <row r="2726" spans="1:9" x14ac:dyDescent="0.25">
      <c r="A2726" s="16">
        <v>42938</v>
      </c>
      <c r="B2726" s="273" t="s">
        <v>22624</v>
      </c>
      <c r="C2726">
        <v>120880</v>
      </c>
      <c r="D2726" s="236" t="s">
        <v>15334</v>
      </c>
      <c r="E2726" s="15">
        <v>1397</v>
      </c>
      <c r="F2726" s="274">
        <v>42938</v>
      </c>
      <c r="G2726" s="15">
        <v>1397</v>
      </c>
      <c r="H2726" s="15">
        <f>Tabla1[[#This Row],[Importe]]-Tabla1[[#This Row],[Pagado]]</f>
        <v>0</v>
      </c>
      <c r="I2726" s="275" t="s">
        <v>15214</v>
      </c>
    </row>
    <row r="2727" spans="1:9" x14ac:dyDescent="0.25">
      <c r="A2727" s="16">
        <v>42938</v>
      </c>
      <c r="B2727" s="273" t="s">
        <v>22625</v>
      </c>
      <c r="C2727">
        <v>120881</v>
      </c>
      <c r="D2727" s="236" t="s">
        <v>15350</v>
      </c>
      <c r="E2727" s="15">
        <v>2650</v>
      </c>
      <c r="F2727" s="274">
        <v>42938</v>
      </c>
      <c r="G2727" s="15">
        <v>2650</v>
      </c>
      <c r="H2727" s="15">
        <f>Tabla1[[#This Row],[Importe]]-Tabla1[[#This Row],[Pagado]]</f>
        <v>0</v>
      </c>
      <c r="I2727" s="275" t="s">
        <v>15214</v>
      </c>
    </row>
    <row r="2728" spans="1:9" x14ac:dyDescent="0.25">
      <c r="A2728" s="16">
        <v>42938</v>
      </c>
      <c r="B2728" s="273" t="s">
        <v>22626</v>
      </c>
      <c r="C2728">
        <v>120882</v>
      </c>
      <c r="D2728" s="236" t="s">
        <v>15523</v>
      </c>
      <c r="E2728" s="15">
        <v>5300</v>
      </c>
      <c r="F2728" s="274">
        <v>42938</v>
      </c>
      <c r="G2728" s="15">
        <v>5300</v>
      </c>
      <c r="H2728" s="15">
        <f>Tabla1[[#This Row],[Importe]]-Tabla1[[#This Row],[Pagado]]</f>
        <v>0</v>
      </c>
      <c r="I2728" s="275" t="s">
        <v>15214</v>
      </c>
    </row>
    <row r="2729" spans="1:9" x14ac:dyDescent="0.25">
      <c r="A2729" s="16">
        <v>42938</v>
      </c>
      <c r="B2729" s="273" t="s">
        <v>22627</v>
      </c>
      <c r="C2729">
        <v>120883</v>
      </c>
      <c r="D2729" s="236" t="s">
        <v>15244</v>
      </c>
      <c r="E2729" s="15">
        <v>14171.3</v>
      </c>
      <c r="F2729" s="274">
        <v>42942</v>
      </c>
      <c r="G2729" s="15">
        <v>14171.3</v>
      </c>
      <c r="H2729" s="15">
        <f>Tabla1[[#This Row],[Importe]]-Tabla1[[#This Row],[Pagado]]</f>
        <v>0</v>
      </c>
      <c r="I2729" s="275" t="s">
        <v>15214</v>
      </c>
    </row>
    <row r="2730" spans="1:9" x14ac:dyDescent="0.25">
      <c r="A2730" s="16">
        <v>42938</v>
      </c>
      <c r="B2730" s="273" t="s">
        <v>22628</v>
      </c>
      <c r="C2730">
        <v>120884</v>
      </c>
      <c r="D2730" s="236" t="s">
        <v>15858</v>
      </c>
      <c r="E2730" s="15">
        <v>2342.64</v>
      </c>
      <c r="F2730" s="274">
        <v>42938</v>
      </c>
      <c r="G2730" s="15">
        <v>2342.64</v>
      </c>
      <c r="H2730" s="15">
        <f>Tabla1[[#This Row],[Importe]]-Tabla1[[#This Row],[Pagado]]</f>
        <v>0</v>
      </c>
      <c r="I2730" s="275" t="s">
        <v>15214</v>
      </c>
    </row>
    <row r="2731" spans="1:9" x14ac:dyDescent="0.25">
      <c r="A2731" s="16">
        <v>42938</v>
      </c>
      <c r="B2731" s="273" t="s">
        <v>22629</v>
      </c>
      <c r="C2731">
        <v>120885</v>
      </c>
      <c r="D2731" s="236" t="s">
        <v>15549</v>
      </c>
      <c r="E2731" s="15">
        <v>9893.7999999999993</v>
      </c>
      <c r="F2731" s="274">
        <v>42938</v>
      </c>
      <c r="G2731" s="15">
        <v>9893.7999999999993</v>
      </c>
      <c r="H2731" s="15">
        <f>Tabla1[[#This Row],[Importe]]-Tabla1[[#This Row],[Pagado]]</f>
        <v>0</v>
      </c>
      <c r="I2731" s="275" t="s">
        <v>15214</v>
      </c>
    </row>
    <row r="2732" spans="1:9" x14ac:dyDescent="0.25">
      <c r="A2732" s="16">
        <v>42938</v>
      </c>
      <c r="B2732" s="273" t="s">
        <v>22630</v>
      </c>
      <c r="C2732">
        <v>120886</v>
      </c>
      <c r="D2732" s="236" t="s">
        <v>15338</v>
      </c>
      <c r="E2732" s="15">
        <v>5315.9</v>
      </c>
      <c r="F2732" s="274">
        <v>42942</v>
      </c>
      <c r="G2732" s="15">
        <v>5315.9</v>
      </c>
      <c r="H2732" s="15">
        <f>Tabla1[[#This Row],[Importe]]-Tabla1[[#This Row],[Pagado]]</f>
        <v>0</v>
      </c>
      <c r="I2732" s="275" t="s">
        <v>15214</v>
      </c>
    </row>
    <row r="2733" spans="1:9" x14ac:dyDescent="0.25">
      <c r="A2733" s="16">
        <v>42938</v>
      </c>
      <c r="B2733" s="273" t="s">
        <v>22631</v>
      </c>
      <c r="C2733">
        <v>120887</v>
      </c>
      <c r="D2733" s="236" t="s">
        <v>15226</v>
      </c>
      <c r="E2733" s="15">
        <v>2300.4</v>
      </c>
      <c r="F2733" s="274">
        <v>42947</v>
      </c>
      <c r="G2733" s="15">
        <v>2300.4</v>
      </c>
      <c r="H2733" s="15">
        <f>Tabla1[[#This Row],[Importe]]-Tabla1[[#This Row],[Pagado]]</f>
        <v>0</v>
      </c>
      <c r="I2733" s="275" t="s">
        <v>15214</v>
      </c>
    </row>
    <row r="2734" spans="1:9" x14ac:dyDescent="0.25">
      <c r="A2734" s="16">
        <v>42938</v>
      </c>
      <c r="B2734" s="273" t="s">
        <v>22632</v>
      </c>
      <c r="C2734">
        <v>120888</v>
      </c>
      <c r="D2734" s="236" t="s">
        <v>15415</v>
      </c>
      <c r="E2734" s="15">
        <v>3291.6</v>
      </c>
      <c r="F2734" s="274">
        <v>42941</v>
      </c>
      <c r="G2734" s="15">
        <v>3291.6</v>
      </c>
      <c r="H2734" s="15">
        <f>Tabla1[[#This Row],[Importe]]-Tabla1[[#This Row],[Pagado]]</f>
        <v>0</v>
      </c>
      <c r="I2734" s="275" t="s">
        <v>15214</v>
      </c>
    </row>
    <row r="2735" spans="1:9" x14ac:dyDescent="0.25">
      <c r="A2735" s="16">
        <v>42938</v>
      </c>
      <c r="B2735" s="273" t="s">
        <v>22633</v>
      </c>
      <c r="C2735">
        <v>120889</v>
      </c>
      <c r="D2735" s="236" t="s">
        <v>15280</v>
      </c>
      <c r="E2735" s="15">
        <v>7963.4</v>
      </c>
      <c r="F2735" s="274">
        <v>42938</v>
      </c>
      <c r="G2735" s="15">
        <v>7963.4</v>
      </c>
      <c r="H2735" s="15">
        <f>Tabla1[[#This Row],[Importe]]-Tabla1[[#This Row],[Pagado]]</f>
        <v>0</v>
      </c>
      <c r="I2735" s="275" t="s">
        <v>15214</v>
      </c>
    </row>
    <row r="2736" spans="1:9" x14ac:dyDescent="0.25">
      <c r="A2736" s="16">
        <v>42938</v>
      </c>
      <c r="B2736" s="273" t="s">
        <v>22634</v>
      </c>
      <c r="C2736">
        <v>120890</v>
      </c>
      <c r="D2736" s="236" t="s">
        <v>15263</v>
      </c>
      <c r="E2736" s="15">
        <v>3964.7</v>
      </c>
      <c r="F2736" s="274">
        <v>42938</v>
      </c>
      <c r="G2736" s="15">
        <v>3964.7</v>
      </c>
      <c r="H2736" s="15">
        <f>Tabla1[[#This Row],[Importe]]-Tabla1[[#This Row],[Pagado]]</f>
        <v>0</v>
      </c>
      <c r="I2736" s="275" t="s">
        <v>15214</v>
      </c>
    </row>
    <row r="2737" spans="1:9" x14ac:dyDescent="0.25">
      <c r="A2737" s="16">
        <v>42938</v>
      </c>
      <c r="B2737" s="273" t="s">
        <v>22635</v>
      </c>
      <c r="C2737">
        <v>120891</v>
      </c>
      <c r="D2737" s="236" t="s">
        <v>15378</v>
      </c>
      <c r="E2737" s="15">
        <v>3636.5</v>
      </c>
      <c r="F2737" s="274">
        <v>42938</v>
      </c>
      <c r="G2737" s="15">
        <v>3636.5</v>
      </c>
      <c r="H2737" s="15">
        <f>Tabla1[[#This Row],[Importe]]-Tabla1[[#This Row],[Pagado]]</f>
        <v>0</v>
      </c>
      <c r="I2737" s="275" t="s">
        <v>15214</v>
      </c>
    </row>
    <row r="2738" spans="1:9" x14ac:dyDescent="0.25">
      <c r="A2738" s="16">
        <v>42938</v>
      </c>
      <c r="B2738" s="273" t="s">
        <v>22636</v>
      </c>
      <c r="C2738">
        <v>120892</v>
      </c>
      <c r="D2738" s="236" t="s">
        <v>19776</v>
      </c>
      <c r="E2738" s="15">
        <v>2273.8000000000002</v>
      </c>
      <c r="F2738" s="274">
        <v>42938</v>
      </c>
      <c r="G2738" s="15">
        <v>2273.8000000000002</v>
      </c>
      <c r="H2738" s="15">
        <f>Tabla1[[#This Row],[Importe]]-Tabla1[[#This Row],[Pagado]]</f>
        <v>0</v>
      </c>
      <c r="I2738" s="275" t="s">
        <v>15214</v>
      </c>
    </row>
    <row r="2739" spans="1:9" ht="15.75" x14ac:dyDescent="0.25">
      <c r="A2739" s="16">
        <v>42938</v>
      </c>
      <c r="B2739" s="273" t="s">
        <v>22637</v>
      </c>
      <c r="C2739">
        <v>120893</v>
      </c>
      <c r="D2739" s="248" t="s">
        <v>95</v>
      </c>
      <c r="E2739" s="15">
        <v>0</v>
      </c>
      <c r="F2739" s="277" t="s">
        <v>95</v>
      </c>
      <c r="G2739" s="15">
        <v>0</v>
      </c>
      <c r="H2739" s="15">
        <f>Tabla1[[#This Row],[Importe]]-Tabla1[[#This Row],[Pagado]]</f>
        <v>0</v>
      </c>
      <c r="I2739" s="275" t="s">
        <v>95</v>
      </c>
    </row>
    <row r="2740" spans="1:9" x14ac:dyDescent="0.25">
      <c r="A2740" s="16">
        <v>42938</v>
      </c>
      <c r="B2740" s="273" t="s">
        <v>22638</v>
      </c>
      <c r="C2740">
        <v>120894</v>
      </c>
      <c r="D2740" s="236" t="s">
        <v>19776</v>
      </c>
      <c r="E2740" s="15">
        <v>4232.8</v>
      </c>
      <c r="F2740" s="274">
        <v>42938</v>
      </c>
      <c r="G2740" s="15">
        <v>4232.8</v>
      </c>
      <c r="H2740" s="15">
        <f>Tabla1[[#This Row],[Importe]]-Tabla1[[#This Row],[Pagado]]</f>
        <v>0</v>
      </c>
      <c r="I2740" s="275" t="s">
        <v>15214</v>
      </c>
    </row>
    <row r="2741" spans="1:9" x14ac:dyDescent="0.25">
      <c r="A2741" s="16">
        <v>42938</v>
      </c>
      <c r="B2741" s="273" t="s">
        <v>22639</v>
      </c>
      <c r="C2741">
        <v>120895</v>
      </c>
      <c r="D2741" s="236" t="s">
        <v>15315</v>
      </c>
      <c r="E2741" s="15">
        <v>19065.2</v>
      </c>
      <c r="F2741" s="274">
        <v>42938</v>
      </c>
      <c r="G2741" s="15">
        <v>19065.2</v>
      </c>
      <c r="H2741" s="15">
        <f>Tabla1[[#This Row],[Importe]]-Tabla1[[#This Row],[Pagado]]</f>
        <v>0</v>
      </c>
      <c r="I2741" s="275" t="s">
        <v>15214</v>
      </c>
    </row>
    <row r="2742" spans="1:9" x14ac:dyDescent="0.25">
      <c r="A2742" s="16">
        <v>42938</v>
      </c>
      <c r="B2742" s="273" t="s">
        <v>22640</v>
      </c>
      <c r="C2742">
        <v>120896</v>
      </c>
      <c r="D2742" s="236" t="s">
        <v>15725</v>
      </c>
      <c r="E2742" s="15">
        <v>27932</v>
      </c>
      <c r="F2742" s="274">
        <v>42940</v>
      </c>
      <c r="G2742" s="15">
        <v>27932</v>
      </c>
      <c r="H2742" s="15">
        <f>Tabla1[[#This Row],[Importe]]-Tabla1[[#This Row],[Pagado]]</f>
        <v>0</v>
      </c>
      <c r="I2742" s="275" t="s">
        <v>15214</v>
      </c>
    </row>
    <row r="2743" spans="1:9" x14ac:dyDescent="0.25">
      <c r="A2743" s="16">
        <v>42938</v>
      </c>
      <c r="B2743" s="273" t="s">
        <v>22641</v>
      </c>
      <c r="C2743">
        <v>120897</v>
      </c>
      <c r="D2743" s="236" t="s">
        <v>15315</v>
      </c>
      <c r="E2743" s="15">
        <v>2943</v>
      </c>
      <c r="F2743" s="274">
        <v>42938</v>
      </c>
      <c r="G2743" s="15">
        <v>2943</v>
      </c>
      <c r="H2743" s="15">
        <f>Tabla1[[#This Row],[Importe]]-Tabla1[[#This Row],[Pagado]]</f>
        <v>0</v>
      </c>
      <c r="I2743" s="275" t="s">
        <v>15214</v>
      </c>
    </row>
    <row r="2744" spans="1:9" x14ac:dyDescent="0.25">
      <c r="A2744" s="16">
        <v>42938</v>
      </c>
      <c r="B2744" s="273" t="s">
        <v>22642</v>
      </c>
      <c r="C2744">
        <v>120898</v>
      </c>
      <c r="D2744" s="236" t="s">
        <v>15284</v>
      </c>
      <c r="E2744" s="15">
        <v>3468.9</v>
      </c>
      <c r="F2744" s="274">
        <v>42938</v>
      </c>
      <c r="G2744" s="15">
        <v>3468.9</v>
      </c>
      <c r="H2744" s="15">
        <f>Tabla1[[#This Row],[Importe]]-Tabla1[[#This Row],[Pagado]]</f>
        <v>0</v>
      </c>
      <c r="I2744" s="275" t="s">
        <v>15214</v>
      </c>
    </row>
    <row r="2745" spans="1:9" x14ac:dyDescent="0.25">
      <c r="A2745" s="16">
        <v>42938</v>
      </c>
      <c r="B2745" s="273" t="s">
        <v>22643</v>
      </c>
      <c r="C2745">
        <v>120899</v>
      </c>
      <c r="D2745" s="236" t="s">
        <v>15716</v>
      </c>
      <c r="E2745" s="15">
        <v>14978.5</v>
      </c>
      <c r="F2745" s="274">
        <v>42938</v>
      </c>
      <c r="G2745" s="15">
        <v>14978.5</v>
      </c>
      <c r="H2745" s="15">
        <f>Tabla1[[#This Row],[Importe]]-Tabla1[[#This Row],[Pagado]]</f>
        <v>0</v>
      </c>
      <c r="I2745" s="275" t="s">
        <v>15214</v>
      </c>
    </row>
    <row r="2746" spans="1:9" x14ac:dyDescent="0.25">
      <c r="A2746" s="16">
        <v>42938</v>
      </c>
      <c r="B2746" s="273" t="s">
        <v>22644</v>
      </c>
      <c r="C2746">
        <v>120900</v>
      </c>
      <c r="D2746" s="236" t="s">
        <v>15590</v>
      </c>
      <c r="E2746" s="15">
        <v>20624.400000000001</v>
      </c>
      <c r="F2746" s="274">
        <v>42947</v>
      </c>
      <c r="G2746" s="15">
        <v>20624.400000000001</v>
      </c>
      <c r="H2746" s="15">
        <f>Tabla1[[#This Row],[Importe]]-Tabla1[[#This Row],[Pagado]]</f>
        <v>0</v>
      </c>
      <c r="I2746" s="275" t="s">
        <v>15214</v>
      </c>
    </row>
    <row r="2747" spans="1:9" x14ac:dyDescent="0.25">
      <c r="A2747" s="16">
        <v>42938</v>
      </c>
      <c r="B2747" s="273" t="s">
        <v>22645</v>
      </c>
      <c r="C2747">
        <v>120901</v>
      </c>
      <c r="D2747" s="236" t="s">
        <v>15541</v>
      </c>
      <c r="E2747" s="15">
        <v>2010.4</v>
      </c>
      <c r="F2747" s="274">
        <v>42938</v>
      </c>
      <c r="G2747" s="15">
        <v>2010.4</v>
      </c>
      <c r="H2747" s="15">
        <f>Tabla1[[#This Row],[Importe]]-Tabla1[[#This Row],[Pagado]]</f>
        <v>0</v>
      </c>
      <c r="I2747" s="275" t="s">
        <v>15214</v>
      </c>
    </row>
    <row r="2748" spans="1:9" x14ac:dyDescent="0.25">
      <c r="A2748" s="16">
        <v>42938</v>
      </c>
      <c r="B2748" s="273" t="s">
        <v>22646</v>
      </c>
      <c r="C2748">
        <v>120902</v>
      </c>
      <c r="D2748" s="236" t="s">
        <v>22647</v>
      </c>
      <c r="E2748" s="15">
        <v>161.6</v>
      </c>
      <c r="F2748" s="274">
        <v>42940</v>
      </c>
      <c r="G2748" s="15">
        <v>161.6</v>
      </c>
      <c r="H2748" s="15">
        <f>Tabla1[[#This Row],[Importe]]-Tabla1[[#This Row],[Pagado]]</f>
        <v>0</v>
      </c>
      <c r="I2748" s="275" t="s">
        <v>15214</v>
      </c>
    </row>
    <row r="2749" spans="1:9" x14ac:dyDescent="0.25">
      <c r="A2749" s="16">
        <v>42938</v>
      </c>
      <c r="B2749" s="273" t="s">
        <v>22648</v>
      </c>
      <c r="C2749">
        <v>120903</v>
      </c>
      <c r="D2749" s="236" t="s">
        <v>17235</v>
      </c>
      <c r="E2749" s="15">
        <v>1198.56</v>
      </c>
      <c r="F2749" s="274">
        <v>42938</v>
      </c>
      <c r="G2749" s="15">
        <v>1198.56</v>
      </c>
      <c r="H2749" s="15">
        <f>Tabla1[[#This Row],[Importe]]-Tabla1[[#This Row],[Pagado]]</f>
        <v>0</v>
      </c>
      <c r="I2749" s="275" t="s">
        <v>15214</v>
      </c>
    </row>
    <row r="2750" spans="1:9" x14ac:dyDescent="0.25">
      <c r="A2750" s="16">
        <v>42938</v>
      </c>
      <c r="B2750" s="273" t="s">
        <v>22649</v>
      </c>
      <c r="C2750">
        <v>120904</v>
      </c>
      <c r="D2750" s="236" t="s">
        <v>15301</v>
      </c>
      <c r="E2750" s="15">
        <v>4006.6</v>
      </c>
      <c r="F2750" s="274">
        <v>42938</v>
      </c>
      <c r="G2750" s="15">
        <v>4006.6</v>
      </c>
      <c r="H2750" s="15">
        <f>Tabla1[[#This Row],[Importe]]-Tabla1[[#This Row],[Pagado]]</f>
        <v>0</v>
      </c>
      <c r="I2750" s="275" t="s">
        <v>15214</v>
      </c>
    </row>
    <row r="2751" spans="1:9" x14ac:dyDescent="0.25">
      <c r="A2751" s="16">
        <v>42938</v>
      </c>
      <c r="B2751" s="273" t="s">
        <v>22650</v>
      </c>
      <c r="C2751">
        <v>120905</v>
      </c>
      <c r="D2751" s="236" t="s">
        <v>15298</v>
      </c>
      <c r="E2751" s="15">
        <v>4794.5</v>
      </c>
      <c r="F2751" s="274">
        <v>42938</v>
      </c>
      <c r="G2751" s="15">
        <v>4794.5</v>
      </c>
      <c r="H2751" s="15">
        <f>Tabla1[[#This Row],[Importe]]-Tabla1[[#This Row],[Pagado]]</f>
        <v>0</v>
      </c>
      <c r="I2751" s="275" t="s">
        <v>15214</v>
      </c>
    </row>
    <row r="2752" spans="1:9" x14ac:dyDescent="0.25">
      <c r="A2752" s="16">
        <v>42938</v>
      </c>
      <c r="B2752" s="273" t="s">
        <v>22651</v>
      </c>
      <c r="C2752">
        <v>120906</v>
      </c>
      <c r="D2752" s="236" t="s">
        <v>15376</v>
      </c>
      <c r="E2752" s="15">
        <v>7950</v>
      </c>
      <c r="F2752" s="274">
        <v>42938</v>
      </c>
      <c r="G2752" s="15">
        <v>7950</v>
      </c>
      <c r="H2752" s="15">
        <f>Tabla1[[#This Row],[Importe]]-Tabla1[[#This Row],[Pagado]]</f>
        <v>0</v>
      </c>
      <c r="I2752" s="275" t="s">
        <v>15214</v>
      </c>
    </row>
    <row r="2753" spans="1:9" x14ac:dyDescent="0.25">
      <c r="A2753" s="16">
        <v>42938</v>
      </c>
      <c r="B2753" s="273" t="s">
        <v>22652</v>
      </c>
      <c r="C2753">
        <v>120907</v>
      </c>
      <c r="D2753" s="236" t="s">
        <v>15391</v>
      </c>
      <c r="E2753" s="15">
        <v>12513.2</v>
      </c>
      <c r="F2753" s="274">
        <v>42943</v>
      </c>
      <c r="G2753" s="15">
        <v>12513.2</v>
      </c>
      <c r="H2753" s="15">
        <f>Tabla1[[#This Row],[Importe]]-Tabla1[[#This Row],[Pagado]]</f>
        <v>0</v>
      </c>
      <c r="I2753" s="275" t="s">
        <v>15214</v>
      </c>
    </row>
    <row r="2754" spans="1:9" x14ac:dyDescent="0.25">
      <c r="A2754" s="16">
        <v>42938</v>
      </c>
      <c r="B2754" s="273" t="s">
        <v>22653</v>
      </c>
      <c r="C2754">
        <v>120908</v>
      </c>
      <c r="D2754" s="236" t="s">
        <v>16383</v>
      </c>
      <c r="E2754" s="15">
        <v>10147.200000000001</v>
      </c>
      <c r="F2754" s="274">
        <v>42938</v>
      </c>
      <c r="G2754" s="15">
        <v>10147.200000000001</v>
      </c>
      <c r="H2754" s="15">
        <f>Tabla1[[#This Row],[Importe]]-Tabla1[[#This Row],[Pagado]]</f>
        <v>0</v>
      </c>
      <c r="I2754" s="275" t="s">
        <v>15214</v>
      </c>
    </row>
    <row r="2755" spans="1:9" x14ac:dyDescent="0.25">
      <c r="A2755" s="16">
        <v>42938</v>
      </c>
      <c r="B2755" s="273" t="s">
        <v>22654</v>
      </c>
      <c r="C2755">
        <v>120909</v>
      </c>
      <c r="D2755" s="236" t="s">
        <v>15378</v>
      </c>
      <c r="E2755" s="15">
        <v>785.2</v>
      </c>
      <c r="F2755" s="274">
        <v>42938</v>
      </c>
      <c r="G2755" s="15">
        <v>785.2</v>
      </c>
      <c r="H2755" s="15">
        <f>Tabla1[[#This Row],[Importe]]-Tabla1[[#This Row],[Pagado]]</f>
        <v>0</v>
      </c>
      <c r="I2755" s="275" t="s">
        <v>15214</v>
      </c>
    </row>
    <row r="2756" spans="1:9" x14ac:dyDescent="0.25">
      <c r="A2756" s="16">
        <v>42938</v>
      </c>
      <c r="B2756" s="273" t="s">
        <v>22655</v>
      </c>
      <c r="C2756">
        <v>120910</v>
      </c>
      <c r="D2756" s="236" t="s">
        <v>15592</v>
      </c>
      <c r="E2756" s="15">
        <v>3321.4</v>
      </c>
      <c r="F2756" s="274">
        <v>42938</v>
      </c>
      <c r="G2756" s="15">
        <v>3321.4</v>
      </c>
      <c r="H2756" s="15">
        <f>Tabla1[[#This Row],[Importe]]-Tabla1[[#This Row],[Pagado]]</f>
        <v>0</v>
      </c>
      <c r="I2756" s="275" t="s">
        <v>15214</v>
      </c>
    </row>
    <row r="2757" spans="1:9" x14ac:dyDescent="0.25">
      <c r="A2757" s="16">
        <v>42938</v>
      </c>
      <c r="B2757" s="273" t="s">
        <v>22656</v>
      </c>
      <c r="C2757">
        <v>120911</v>
      </c>
      <c r="D2757" s="236" t="s">
        <v>15363</v>
      </c>
      <c r="E2757" s="15">
        <v>3270.4</v>
      </c>
      <c r="F2757" s="274">
        <v>42938</v>
      </c>
      <c r="G2757" s="15">
        <v>3270.4</v>
      </c>
      <c r="H2757" s="15">
        <f>Tabla1[[#This Row],[Importe]]-Tabla1[[#This Row],[Pagado]]</f>
        <v>0</v>
      </c>
      <c r="I2757" s="275" t="s">
        <v>15214</v>
      </c>
    </row>
    <row r="2758" spans="1:9" x14ac:dyDescent="0.25">
      <c r="A2758" s="16">
        <v>42938</v>
      </c>
      <c r="B2758" s="273" t="s">
        <v>22657</v>
      </c>
      <c r="C2758">
        <v>120912</v>
      </c>
      <c r="D2758" s="236" t="s">
        <v>15326</v>
      </c>
      <c r="E2758" s="15">
        <v>5020.8999999999996</v>
      </c>
      <c r="F2758" s="274">
        <v>42938</v>
      </c>
      <c r="G2758" s="15">
        <v>5020.8999999999996</v>
      </c>
      <c r="H2758" s="15">
        <f>Tabla1[[#This Row],[Importe]]-Tabla1[[#This Row],[Pagado]]</f>
        <v>0</v>
      </c>
      <c r="I2758" s="275" t="s">
        <v>15214</v>
      </c>
    </row>
    <row r="2759" spans="1:9" x14ac:dyDescent="0.25">
      <c r="A2759" s="16">
        <v>42938</v>
      </c>
      <c r="B2759" s="273" t="s">
        <v>22658</v>
      </c>
      <c r="C2759">
        <v>120913</v>
      </c>
      <c r="D2759" s="236" t="s">
        <v>21445</v>
      </c>
      <c r="E2759" s="15">
        <v>3989.08</v>
      </c>
      <c r="F2759" s="274">
        <v>42938</v>
      </c>
      <c r="G2759" s="15">
        <v>3989.08</v>
      </c>
      <c r="H2759" s="15">
        <f>Tabla1[[#This Row],[Importe]]-Tabla1[[#This Row],[Pagado]]</f>
        <v>0</v>
      </c>
      <c r="I2759" s="275" t="s">
        <v>15214</v>
      </c>
    </row>
    <row r="2760" spans="1:9" x14ac:dyDescent="0.25">
      <c r="A2760" s="16">
        <v>42938</v>
      </c>
      <c r="B2760" s="273" t="s">
        <v>22659</v>
      </c>
      <c r="C2760">
        <v>120914</v>
      </c>
      <c r="D2760" s="236" t="s">
        <v>15344</v>
      </c>
      <c r="E2760" s="15">
        <v>2376</v>
      </c>
      <c r="F2760" s="274">
        <v>42938</v>
      </c>
      <c r="G2760" s="15">
        <v>2376</v>
      </c>
      <c r="H2760" s="15">
        <f>Tabla1[[#This Row],[Importe]]-Tabla1[[#This Row],[Pagado]]</f>
        <v>0</v>
      </c>
      <c r="I2760" s="275" t="s">
        <v>15214</v>
      </c>
    </row>
    <row r="2761" spans="1:9" x14ac:dyDescent="0.25">
      <c r="A2761" s="16">
        <v>42938</v>
      </c>
      <c r="B2761" s="273" t="s">
        <v>22660</v>
      </c>
      <c r="C2761">
        <v>120915</v>
      </c>
      <c r="D2761" s="236" t="s">
        <v>15526</v>
      </c>
      <c r="E2761" s="15">
        <v>5439.5</v>
      </c>
      <c r="F2761" s="274">
        <v>42938</v>
      </c>
      <c r="G2761" s="15">
        <v>5439.5</v>
      </c>
      <c r="H2761" s="15">
        <f>Tabla1[[#This Row],[Importe]]-Tabla1[[#This Row],[Pagado]]</f>
        <v>0</v>
      </c>
      <c r="I2761" s="275" t="s">
        <v>15214</v>
      </c>
    </row>
    <row r="2762" spans="1:9" ht="15.75" x14ac:dyDescent="0.25">
      <c r="A2762" s="16">
        <v>42938</v>
      </c>
      <c r="B2762" s="273" t="s">
        <v>22661</v>
      </c>
      <c r="C2762">
        <v>120916</v>
      </c>
      <c r="D2762" s="248" t="s">
        <v>95</v>
      </c>
      <c r="E2762" s="15">
        <v>0</v>
      </c>
      <c r="F2762" s="277" t="s">
        <v>95</v>
      </c>
      <c r="G2762" s="15">
        <v>0</v>
      </c>
      <c r="H2762" s="15">
        <f>Tabla1[[#This Row],[Importe]]-Tabla1[[#This Row],[Pagado]]</f>
        <v>0</v>
      </c>
      <c r="I2762" s="275" t="s">
        <v>95</v>
      </c>
    </row>
    <row r="2763" spans="1:9" x14ac:dyDescent="0.25">
      <c r="A2763" s="16">
        <v>42938</v>
      </c>
      <c r="B2763" s="273" t="s">
        <v>22662</v>
      </c>
      <c r="C2763">
        <v>120917</v>
      </c>
      <c r="D2763" s="236" t="s">
        <v>15358</v>
      </c>
      <c r="E2763" s="15">
        <v>2756</v>
      </c>
      <c r="F2763" s="274">
        <v>42938</v>
      </c>
      <c r="G2763" s="15">
        <v>2756</v>
      </c>
      <c r="H2763" s="15">
        <f>Tabla1[[#This Row],[Importe]]-Tabla1[[#This Row],[Pagado]]</f>
        <v>0</v>
      </c>
      <c r="I2763" s="275" t="s">
        <v>15214</v>
      </c>
    </row>
    <row r="2764" spans="1:9" x14ac:dyDescent="0.25">
      <c r="A2764" s="16">
        <v>42938</v>
      </c>
      <c r="B2764" s="273" t="s">
        <v>22663</v>
      </c>
      <c r="C2764">
        <v>120918</v>
      </c>
      <c r="D2764" s="236" t="s">
        <v>15336</v>
      </c>
      <c r="E2764" s="15">
        <v>11065.6</v>
      </c>
      <c r="F2764" s="274">
        <v>42938</v>
      </c>
      <c r="G2764" s="15">
        <v>11065.6</v>
      </c>
      <c r="H2764" s="15">
        <f>Tabla1[[#This Row],[Importe]]-Tabla1[[#This Row],[Pagado]]</f>
        <v>0</v>
      </c>
      <c r="I2764" s="275" t="s">
        <v>15214</v>
      </c>
    </row>
    <row r="2765" spans="1:9" x14ac:dyDescent="0.25">
      <c r="A2765" s="16">
        <v>42938</v>
      </c>
      <c r="B2765" s="273" t="s">
        <v>22664</v>
      </c>
      <c r="C2765">
        <v>120919</v>
      </c>
      <c r="D2765" s="236" t="s">
        <v>15861</v>
      </c>
      <c r="E2765" s="15">
        <v>1958.7</v>
      </c>
      <c r="F2765" s="274">
        <v>42938</v>
      </c>
      <c r="G2765" s="15">
        <v>1958.7</v>
      </c>
      <c r="H2765" s="15">
        <f>Tabla1[[#This Row],[Importe]]-Tabla1[[#This Row],[Pagado]]</f>
        <v>0</v>
      </c>
      <c r="I2765" s="275" t="s">
        <v>15214</v>
      </c>
    </row>
    <row r="2766" spans="1:9" x14ac:dyDescent="0.25">
      <c r="A2766" s="16">
        <v>42938</v>
      </c>
      <c r="B2766" s="273" t="s">
        <v>22665</v>
      </c>
      <c r="C2766">
        <v>120920</v>
      </c>
      <c r="D2766" s="236" t="s">
        <v>15742</v>
      </c>
      <c r="E2766" s="15">
        <v>2057.4</v>
      </c>
      <c r="F2766" s="274">
        <v>42938</v>
      </c>
      <c r="G2766" s="15">
        <v>2057.4</v>
      </c>
      <c r="H2766" s="15">
        <f>Tabla1[[#This Row],[Importe]]-Tabla1[[#This Row],[Pagado]]</f>
        <v>0</v>
      </c>
      <c r="I2766" s="275" t="s">
        <v>15214</v>
      </c>
    </row>
    <row r="2767" spans="1:9" x14ac:dyDescent="0.25">
      <c r="A2767" s="16">
        <v>42938</v>
      </c>
      <c r="B2767" s="273" t="s">
        <v>22666</v>
      </c>
      <c r="C2767">
        <v>120921</v>
      </c>
      <c r="D2767" s="236" t="s">
        <v>15332</v>
      </c>
      <c r="E2767" s="15">
        <v>1832.4</v>
      </c>
      <c r="F2767" s="274">
        <v>42938</v>
      </c>
      <c r="G2767" s="15">
        <v>1832.4</v>
      </c>
      <c r="H2767" s="15">
        <f>Tabla1[[#This Row],[Importe]]-Tabla1[[#This Row],[Pagado]]</f>
        <v>0</v>
      </c>
      <c r="I2767" s="275" t="s">
        <v>15214</v>
      </c>
    </row>
    <row r="2768" spans="1:9" x14ac:dyDescent="0.25">
      <c r="A2768" s="16">
        <v>42938</v>
      </c>
      <c r="B2768" s="273" t="s">
        <v>22667</v>
      </c>
      <c r="C2768">
        <v>120922</v>
      </c>
      <c r="D2768" s="236" t="s">
        <v>18544</v>
      </c>
      <c r="E2768" s="15">
        <v>2235.6</v>
      </c>
      <c r="F2768" s="274">
        <v>42938</v>
      </c>
      <c r="G2768" s="15">
        <v>2235.6</v>
      </c>
      <c r="H2768" s="15">
        <f>Tabla1[[#This Row],[Importe]]-Tabla1[[#This Row],[Pagado]]</f>
        <v>0</v>
      </c>
      <c r="I2768" s="275" t="s">
        <v>15214</v>
      </c>
    </row>
    <row r="2769" spans="1:9" x14ac:dyDescent="0.25">
      <c r="A2769" s="16">
        <v>42938</v>
      </c>
      <c r="B2769" s="273" t="s">
        <v>22668</v>
      </c>
      <c r="C2769">
        <v>120923</v>
      </c>
      <c r="D2769" s="236" t="s">
        <v>15757</v>
      </c>
      <c r="E2769" s="15">
        <v>5582.4</v>
      </c>
      <c r="F2769" s="274">
        <v>42938</v>
      </c>
      <c r="G2769" s="15">
        <v>5582.4</v>
      </c>
      <c r="H2769" s="15">
        <f>Tabla1[[#This Row],[Importe]]-Tabla1[[#This Row],[Pagado]]</f>
        <v>0</v>
      </c>
      <c r="I2769" s="275" t="s">
        <v>15214</v>
      </c>
    </row>
    <row r="2770" spans="1:9" x14ac:dyDescent="0.25">
      <c r="A2770" s="16">
        <v>42938</v>
      </c>
      <c r="B2770" s="273" t="s">
        <v>22669</v>
      </c>
      <c r="C2770">
        <v>120924</v>
      </c>
      <c r="D2770" s="236" t="s">
        <v>15987</v>
      </c>
      <c r="E2770" s="15">
        <v>3013.5</v>
      </c>
      <c r="F2770" s="274">
        <v>42938</v>
      </c>
      <c r="G2770" s="15">
        <v>3013.5</v>
      </c>
      <c r="H2770" s="15">
        <f>Tabla1[[#This Row],[Importe]]-Tabla1[[#This Row],[Pagado]]</f>
        <v>0</v>
      </c>
      <c r="I2770" s="275" t="s">
        <v>15214</v>
      </c>
    </row>
    <row r="2771" spans="1:9" x14ac:dyDescent="0.25">
      <c r="A2771" s="16">
        <v>42938</v>
      </c>
      <c r="B2771" s="273" t="s">
        <v>22670</v>
      </c>
      <c r="C2771">
        <v>120925</v>
      </c>
      <c r="D2771" s="236" t="s">
        <v>19768</v>
      </c>
      <c r="E2771" s="15">
        <v>2120</v>
      </c>
      <c r="F2771" s="274">
        <v>42938</v>
      </c>
      <c r="G2771" s="15">
        <v>2120</v>
      </c>
      <c r="H2771" s="15">
        <f>Tabla1[[#This Row],[Importe]]-Tabla1[[#This Row],[Pagado]]</f>
        <v>0</v>
      </c>
      <c r="I2771" s="275" t="s">
        <v>15214</v>
      </c>
    </row>
    <row r="2772" spans="1:9" x14ac:dyDescent="0.25">
      <c r="A2772" s="16">
        <v>42938</v>
      </c>
      <c r="B2772" s="273" t="s">
        <v>22671</v>
      </c>
      <c r="C2772">
        <v>120926</v>
      </c>
      <c r="D2772" s="236" t="s">
        <v>17862</v>
      </c>
      <c r="E2772" s="15">
        <v>3898.8</v>
      </c>
      <c r="F2772" s="274">
        <v>42938</v>
      </c>
      <c r="G2772" s="15">
        <v>3898.8</v>
      </c>
      <c r="H2772" s="15">
        <f>Tabla1[[#This Row],[Importe]]-Tabla1[[#This Row],[Pagado]]</f>
        <v>0</v>
      </c>
      <c r="I2772" s="275" t="s">
        <v>15214</v>
      </c>
    </row>
    <row r="2773" spans="1:9" x14ac:dyDescent="0.25">
      <c r="A2773" s="16">
        <v>42938</v>
      </c>
      <c r="B2773" s="273" t="s">
        <v>22672</v>
      </c>
      <c r="C2773">
        <v>120927</v>
      </c>
      <c r="D2773" s="236" t="s">
        <v>15385</v>
      </c>
      <c r="E2773" s="15">
        <v>7981.2</v>
      </c>
      <c r="F2773" s="274">
        <v>42938</v>
      </c>
      <c r="G2773" s="15">
        <v>7981.2</v>
      </c>
      <c r="H2773" s="15">
        <f>Tabla1[[#This Row],[Importe]]-Tabla1[[#This Row],[Pagado]]</f>
        <v>0</v>
      </c>
      <c r="I2773" s="275" t="s">
        <v>15214</v>
      </c>
    </row>
    <row r="2774" spans="1:9" x14ac:dyDescent="0.25">
      <c r="A2774" s="16">
        <v>42938</v>
      </c>
      <c r="B2774" s="273" t="s">
        <v>22673</v>
      </c>
      <c r="C2774">
        <v>120928</v>
      </c>
      <c r="D2774" s="236" t="s">
        <v>15315</v>
      </c>
      <c r="E2774" s="15">
        <v>938.6</v>
      </c>
      <c r="F2774" s="274">
        <v>42938</v>
      </c>
      <c r="G2774" s="15">
        <v>938.6</v>
      </c>
      <c r="H2774" s="15">
        <f>Tabla1[[#This Row],[Importe]]-Tabla1[[#This Row],[Pagado]]</f>
        <v>0</v>
      </c>
      <c r="I2774" s="275" t="s">
        <v>15214</v>
      </c>
    </row>
    <row r="2775" spans="1:9" x14ac:dyDescent="0.25">
      <c r="A2775" s="16">
        <v>42938</v>
      </c>
      <c r="B2775" s="273" t="s">
        <v>22674</v>
      </c>
      <c r="C2775">
        <v>120929</v>
      </c>
      <c r="D2775" s="236" t="s">
        <v>15371</v>
      </c>
      <c r="E2775" s="15">
        <v>5905.6</v>
      </c>
      <c r="F2775" s="274">
        <v>42939</v>
      </c>
      <c r="G2775" s="15">
        <v>5905.6</v>
      </c>
      <c r="H2775" s="15">
        <f>Tabla1[[#This Row],[Importe]]-Tabla1[[#This Row],[Pagado]]</f>
        <v>0</v>
      </c>
      <c r="I2775" s="275" t="s">
        <v>15214</v>
      </c>
    </row>
    <row r="2776" spans="1:9" x14ac:dyDescent="0.25">
      <c r="A2776" s="16">
        <v>42938</v>
      </c>
      <c r="B2776" s="273" t="s">
        <v>22675</v>
      </c>
      <c r="C2776">
        <v>120930</v>
      </c>
      <c r="D2776" s="236" t="s">
        <v>15537</v>
      </c>
      <c r="E2776" s="15">
        <v>30560</v>
      </c>
      <c r="F2776" s="274">
        <v>42944</v>
      </c>
      <c r="G2776" s="15">
        <v>30560</v>
      </c>
      <c r="H2776" s="15">
        <f>Tabla1[[#This Row],[Importe]]-Tabla1[[#This Row],[Pagado]]</f>
        <v>0</v>
      </c>
      <c r="I2776" s="275" t="s">
        <v>15214</v>
      </c>
    </row>
    <row r="2777" spans="1:9" x14ac:dyDescent="0.25">
      <c r="A2777" s="16">
        <v>42938</v>
      </c>
      <c r="B2777" s="273" t="s">
        <v>22676</v>
      </c>
      <c r="C2777">
        <v>120931</v>
      </c>
      <c r="D2777" s="236" t="s">
        <v>15539</v>
      </c>
      <c r="E2777" s="15">
        <v>14632.9</v>
      </c>
      <c r="F2777" s="274">
        <v>42942</v>
      </c>
      <c r="G2777" s="15">
        <v>14632.9</v>
      </c>
      <c r="H2777" s="15">
        <f>Tabla1[[#This Row],[Importe]]-Tabla1[[#This Row],[Pagado]]</f>
        <v>0</v>
      </c>
      <c r="I2777" s="275" t="s">
        <v>15214</v>
      </c>
    </row>
    <row r="2778" spans="1:9" x14ac:dyDescent="0.25">
      <c r="A2778" s="16">
        <v>42938</v>
      </c>
      <c r="B2778" s="273" t="s">
        <v>22677</v>
      </c>
      <c r="C2778">
        <v>120932</v>
      </c>
      <c r="D2778" s="236" t="s">
        <v>15315</v>
      </c>
      <c r="E2778" s="15">
        <v>14981.2</v>
      </c>
      <c r="F2778" s="274">
        <v>42942</v>
      </c>
      <c r="G2778" s="15">
        <v>14981.2</v>
      </c>
      <c r="H2778" s="15">
        <f>Tabla1[[#This Row],[Importe]]-Tabla1[[#This Row],[Pagado]]</f>
        <v>0</v>
      </c>
      <c r="I2778" s="275" t="s">
        <v>15214</v>
      </c>
    </row>
    <row r="2779" spans="1:9" x14ac:dyDescent="0.25">
      <c r="A2779" s="16">
        <v>42938</v>
      </c>
      <c r="B2779" s="273" t="s">
        <v>22678</v>
      </c>
      <c r="C2779">
        <v>120933</v>
      </c>
      <c r="D2779" s="236" t="s">
        <v>15559</v>
      </c>
      <c r="E2779" s="15">
        <v>11697.73</v>
      </c>
      <c r="F2779" s="274">
        <v>42942</v>
      </c>
      <c r="G2779" s="15">
        <v>11697.73</v>
      </c>
      <c r="H2779" s="15">
        <f>Tabla1[[#This Row],[Importe]]-Tabla1[[#This Row],[Pagado]]</f>
        <v>0</v>
      </c>
      <c r="I2779" s="275" t="s">
        <v>15214</v>
      </c>
    </row>
    <row r="2780" spans="1:9" x14ac:dyDescent="0.25">
      <c r="A2780" s="16">
        <v>42938</v>
      </c>
      <c r="B2780" s="273" t="s">
        <v>22679</v>
      </c>
      <c r="C2780">
        <v>120934</v>
      </c>
      <c r="D2780" s="236" t="s">
        <v>15544</v>
      </c>
      <c r="E2780" s="15">
        <v>1165</v>
      </c>
      <c r="F2780" s="274">
        <v>42942</v>
      </c>
      <c r="G2780" s="15">
        <v>1165</v>
      </c>
      <c r="H2780" s="15">
        <f>Tabla1[[#This Row],[Importe]]-Tabla1[[#This Row],[Pagado]]</f>
        <v>0</v>
      </c>
      <c r="I2780" s="275" t="s">
        <v>15214</v>
      </c>
    </row>
    <row r="2781" spans="1:9" x14ac:dyDescent="0.25">
      <c r="A2781" s="16">
        <v>42938</v>
      </c>
      <c r="B2781" s="273" t="s">
        <v>22680</v>
      </c>
      <c r="C2781">
        <v>120935</v>
      </c>
      <c r="D2781" s="236" t="s">
        <v>15315</v>
      </c>
      <c r="E2781" s="15">
        <v>10688.4</v>
      </c>
      <c r="F2781" s="274">
        <v>42950</v>
      </c>
      <c r="G2781" s="15">
        <v>10688.4</v>
      </c>
      <c r="H2781" s="15">
        <f>Tabla1[[#This Row],[Importe]]-Tabla1[[#This Row],[Pagado]]</f>
        <v>0</v>
      </c>
      <c r="I2781" s="275" t="s">
        <v>15214</v>
      </c>
    </row>
    <row r="2782" spans="1:9" x14ac:dyDescent="0.25">
      <c r="A2782" s="16">
        <v>42938</v>
      </c>
      <c r="B2782" s="273" t="s">
        <v>22681</v>
      </c>
      <c r="C2782">
        <v>120936</v>
      </c>
      <c r="D2782" s="236" t="s">
        <v>15282</v>
      </c>
      <c r="E2782" s="15">
        <v>3631.2</v>
      </c>
      <c r="F2782" s="274">
        <v>42938</v>
      </c>
      <c r="G2782" s="15">
        <v>3631.2</v>
      </c>
      <c r="H2782" s="15">
        <f>Tabla1[[#This Row],[Importe]]-Tabla1[[#This Row],[Pagado]]</f>
        <v>0</v>
      </c>
      <c r="I2782" s="275" t="s">
        <v>15214</v>
      </c>
    </row>
    <row r="2783" spans="1:9" x14ac:dyDescent="0.25">
      <c r="A2783" s="16">
        <v>42938</v>
      </c>
      <c r="B2783" s="273" t="s">
        <v>22682</v>
      </c>
      <c r="C2783">
        <v>120937</v>
      </c>
      <c r="D2783" s="236" t="s">
        <v>15555</v>
      </c>
      <c r="E2783" s="15">
        <v>3992.5</v>
      </c>
      <c r="F2783" s="274">
        <v>42942</v>
      </c>
      <c r="G2783" s="15">
        <v>3992.5</v>
      </c>
      <c r="H2783" s="15">
        <f>Tabla1[[#This Row],[Importe]]-Tabla1[[#This Row],[Pagado]]</f>
        <v>0</v>
      </c>
      <c r="I2783" s="275" t="s">
        <v>15214</v>
      </c>
    </row>
    <row r="2784" spans="1:9" x14ac:dyDescent="0.25">
      <c r="A2784" s="16">
        <v>42938</v>
      </c>
      <c r="B2784" s="273" t="s">
        <v>22683</v>
      </c>
      <c r="C2784">
        <v>120938</v>
      </c>
      <c r="D2784" s="236" t="s">
        <v>15315</v>
      </c>
      <c r="E2784" s="15">
        <v>3538.9</v>
      </c>
      <c r="F2784" s="274">
        <v>42944</v>
      </c>
      <c r="G2784" s="15">
        <v>3538.9</v>
      </c>
      <c r="H2784" s="15">
        <f>Tabla1[[#This Row],[Importe]]-Tabla1[[#This Row],[Pagado]]</f>
        <v>0</v>
      </c>
      <c r="I2784" s="275" t="s">
        <v>15214</v>
      </c>
    </row>
    <row r="2785" spans="1:9" x14ac:dyDescent="0.25">
      <c r="A2785" s="16">
        <v>42938</v>
      </c>
      <c r="B2785" s="273" t="s">
        <v>22684</v>
      </c>
      <c r="C2785">
        <v>120939</v>
      </c>
      <c r="D2785" s="236" t="s">
        <v>15246</v>
      </c>
      <c r="E2785" s="15">
        <v>2500.8000000000002</v>
      </c>
      <c r="F2785" s="274">
        <v>42942</v>
      </c>
      <c r="G2785" s="15">
        <v>2500.8000000000002</v>
      </c>
      <c r="H2785" s="15">
        <f>Tabla1[[#This Row],[Importe]]-Tabla1[[#This Row],[Pagado]]</f>
        <v>0</v>
      </c>
      <c r="I2785" s="275" t="s">
        <v>15214</v>
      </c>
    </row>
    <row r="2786" spans="1:9" x14ac:dyDescent="0.25">
      <c r="A2786" s="16">
        <v>42938</v>
      </c>
      <c r="B2786" s="273" t="s">
        <v>22685</v>
      </c>
      <c r="C2786">
        <v>120940</v>
      </c>
      <c r="D2786" s="236" t="s">
        <v>15309</v>
      </c>
      <c r="E2786" s="15">
        <v>9160.4</v>
      </c>
      <c r="F2786" s="274">
        <v>42938</v>
      </c>
      <c r="G2786" s="15">
        <v>9160.4</v>
      </c>
      <c r="H2786" s="15">
        <f>Tabla1[[#This Row],[Importe]]-Tabla1[[#This Row],[Pagado]]</f>
        <v>0</v>
      </c>
      <c r="I2786" s="275" t="s">
        <v>15214</v>
      </c>
    </row>
    <row r="2787" spans="1:9" x14ac:dyDescent="0.25">
      <c r="A2787" s="16">
        <v>42938</v>
      </c>
      <c r="B2787" s="273" t="s">
        <v>22686</v>
      </c>
      <c r="C2787">
        <v>120941</v>
      </c>
      <c r="D2787" s="236" t="s">
        <v>15398</v>
      </c>
      <c r="E2787" s="15">
        <v>3946.5</v>
      </c>
      <c r="F2787" s="274">
        <v>42938</v>
      </c>
      <c r="G2787" s="15">
        <v>3946.5</v>
      </c>
      <c r="H2787" s="15">
        <f>Tabla1[[#This Row],[Importe]]-Tabla1[[#This Row],[Pagado]]</f>
        <v>0</v>
      </c>
      <c r="I2787" s="275" t="s">
        <v>15214</v>
      </c>
    </row>
    <row r="2788" spans="1:9" x14ac:dyDescent="0.25">
      <c r="A2788" s="16">
        <v>42938</v>
      </c>
      <c r="B2788" s="273" t="s">
        <v>22687</v>
      </c>
      <c r="C2788">
        <v>120942</v>
      </c>
      <c r="D2788" s="236" t="s">
        <v>15317</v>
      </c>
      <c r="E2788" s="15">
        <v>680</v>
      </c>
      <c r="F2788" s="274">
        <v>42938</v>
      </c>
      <c r="G2788" s="15">
        <v>680</v>
      </c>
      <c r="H2788" s="15">
        <f>Tabla1[[#This Row],[Importe]]-Tabla1[[#This Row],[Pagado]]</f>
        <v>0</v>
      </c>
      <c r="I2788" s="275" t="s">
        <v>15214</v>
      </c>
    </row>
    <row r="2789" spans="1:9" x14ac:dyDescent="0.25">
      <c r="A2789" s="16">
        <v>42938</v>
      </c>
      <c r="B2789" s="273" t="s">
        <v>22688</v>
      </c>
      <c r="C2789">
        <v>120943</v>
      </c>
      <c r="D2789" s="236" t="s">
        <v>15415</v>
      </c>
      <c r="E2789" s="15">
        <v>602.4</v>
      </c>
      <c r="F2789" s="274">
        <v>42943</v>
      </c>
      <c r="G2789" s="15">
        <v>602.4</v>
      </c>
      <c r="H2789" s="15">
        <f>Tabla1[[#This Row],[Importe]]-Tabla1[[#This Row],[Pagado]]</f>
        <v>0</v>
      </c>
      <c r="I2789" s="275" t="s">
        <v>15214</v>
      </c>
    </row>
    <row r="2790" spans="1:9" x14ac:dyDescent="0.25">
      <c r="A2790" s="16">
        <v>42938</v>
      </c>
      <c r="B2790" s="273" t="s">
        <v>22689</v>
      </c>
      <c r="C2790">
        <v>120944</v>
      </c>
      <c r="D2790" s="236" t="s">
        <v>15398</v>
      </c>
      <c r="E2790" s="15">
        <v>649.6</v>
      </c>
      <c r="F2790" s="274">
        <v>42938</v>
      </c>
      <c r="G2790" s="15">
        <v>649.6</v>
      </c>
      <c r="H2790" s="15">
        <f>Tabla1[[#This Row],[Importe]]-Tabla1[[#This Row],[Pagado]]</f>
        <v>0</v>
      </c>
      <c r="I2790" s="275" t="s">
        <v>15214</v>
      </c>
    </row>
    <row r="2791" spans="1:9" x14ac:dyDescent="0.25">
      <c r="A2791" s="16">
        <v>42938</v>
      </c>
      <c r="B2791" s="273" t="s">
        <v>22690</v>
      </c>
      <c r="C2791">
        <v>120945</v>
      </c>
      <c r="D2791" s="236" t="s">
        <v>15407</v>
      </c>
      <c r="E2791" s="15">
        <v>1356.1</v>
      </c>
      <c r="F2791" s="274">
        <v>42938</v>
      </c>
      <c r="G2791" s="15">
        <v>1356.1</v>
      </c>
      <c r="H2791" s="15">
        <f>Tabla1[[#This Row],[Importe]]-Tabla1[[#This Row],[Pagado]]</f>
        <v>0</v>
      </c>
      <c r="I2791" s="275" t="s">
        <v>15214</v>
      </c>
    </row>
    <row r="2792" spans="1:9" x14ac:dyDescent="0.25">
      <c r="A2792" s="16">
        <v>42938</v>
      </c>
      <c r="B2792" s="273" t="s">
        <v>22691</v>
      </c>
      <c r="C2792">
        <v>120946</v>
      </c>
      <c r="D2792" s="236" t="s">
        <v>15307</v>
      </c>
      <c r="E2792" s="15">
        <v>3271.8</v>
      </c>
      <c r="F2792" s="274">
        <v>42938</v>
      </c>
      <c r="G2792" s="15">
        <v>3271.8</v>
      </c>
      <c r="H2792" s="15">
        <f>Tabla1[[#This Row],[Importe]]-Tabla1[[#This Row],[Pagado]]</f>
        <v>0</v>
      </c>
      <c r="I2792" s="275" t="s">
        <v>15214</v>
      </c>
    </row>
    <row r="2793" spans="1:9" x14ac:dyDescent="0.25">
      <c r="A2793" s="16">
        <v>42938</v>
      </c>
      <c r="B2793" s="273" t="s">
        <v>22692</v>
      </c>
      <c r="C2793">
        <v>120947</v>
      </c>
      <c r="D2793" s="236" t="s">
        <v>15396</v>
      </c>
      <c r="E2793" s="15">
        <v>10857.4</v>
      </c>
      <c r="F2793" s="274">
        <v>42938</v>
      </c>
      <c r="G2793" s="15">
        <v>10857.4</v>
      </c>
      <c r="H2793" s="15">
        <f>Tabla1[[#This Row],[Importe]]-Tabla1[[#This Row],[Pagado]]</f>
        <v>0</v>
      </c>
      <c r="I2793" s="275" t="s">
        <v>15214</v>
      </c>
    </row>
    <row r="2794" spans="1:9" x14ac:dyDescent="0.25">
      <c r="A2794" s="16">
        <v>42938</v>
      </c>
      <c r="B2794" s="273" t="s">
        <v>22693</v>
      </c>
      <c r="C2794">
        <v>120948</v>
      </c>
      <c r="D2794" s="236" t="s">
        <v>15315</v>
      </c>
      <c r="E2794" s="15">
        <v>1543.6</v>
      </c>
      <c r="F2794" s="274">
        <v>42938</v>
      </c>
      <c r="G2794" s="15">
        <v>1543.6</v>
      </c>
      <c r="H2794" s="15">
        <f>Tabla1[[#This Row],[Importe]]-Tabla1[[#This Row],[Pagado]]</f>
        <v>0</v>
      </c>
      <c r="I2794" s="275" t="s">
        <v>15214</v>
      </c>
    </row>
    <row r="2795" spans="1:9" x14ac:dyDescent="0.25">
      <c r="A2795" s="16">
        <v>42938</v>
      </c>
      <c r="B2795" s="273" t="s">
        <v>22694</v>
      </c>
      <c r="C2795">
        <v>120949</v>
      </c>
      <c r="D2795" s="236" t="s">
        <v>15315</v>
      </c>
      <c r="E2795" s="15">
        <v>3938</v>
      </c>
      <c r="F2795" s="274">
        <v>42938</v>
      </c>
      <c r="G2795" s="15">
        <v>3938</v>
      </c>
      <c r="H2795" s="15">
        <f>Tabla1[[#This Row],[Importe]]-Tabla1[[#This Row],[Pagado]]</f>
        <v>0</v>
      </c>
      <c r="I2795" s="275" t="s">
        <v>15214</v>
      </c>
    </row>
    <row r="2796" spans="1:9" ht="15.75" x14ac:dyDescent="0.25">
      <c r="A2796" s="16">
        <v>42938</v>
      </c>
      <c r="B2796" s="273" t="s">
        <v>22695</v>
      </c>
      <c r="C2796">
        <v>120950</v>
      </c>
      <c r="D2796" s="248" t="s">
        <v>95</v>
      </c>
      <c r="E2796" s="15">
        <v>0</v>
      </c>
      <c r="F2796" s="277" t="s">
        <v>95</v>
      </c>
      <c r="G2796" s="15">
        <v>0</v>
      </c>
      <c r="H2796" s="15">
        <f>Tabla1[[#This Row],[Importe]]-Tabla1[[#This Row],[Pagado]]</f>
        <v>0</v>
      </c>
      <c r="I2796" s="275" t="s">
        <v>95</v>
      </c>
    </row>
    <row r="2797" spans="1:9" x14ac:dyDescent="0.25">
      <c r="A2797" s="16">
        <v>42938</v>
      </c>
      <c r="B2797" s="273" t="s">
        <v>22696</v>
      </c>
      <c r="C2797">
        <v>120951</v>
      </c>
      <c r="D2797" s="236" t="s">
        <v>15276</v>
      </c>
      <c r="E2797" s="15">
        <v>5300</v>
      </c>
      <c r="F2797" s="274">
        <v>42938</v>
      </c>
      <c r="G2797" s="15">
        <v>5300</v>
      </c>
      <c r="H2797" s="15">
        <f>Tabla1[[#This Row],[Importe]]-Tabla1[[#This Row],[Pagado]]</f>
        <v>0</v>
      </c>
      <c r="I2797" s="275" t="s">
        <v>15214</v>
      </c>
    </row>
    <row r="2798" spans="1:9" x14ac:dyDescent="0.25">
      <c r="A2798" s="16">
        <v>42938</v>
      </c>
      <c r="B2798" s="273" t="s">
        <v>22697</v>
      </c>
      <c r="C2798">
        <v>120952</v>
      </c>
      <c r="D2798" s="236" t="s">
        <v>15417</v>
      </c>
      <c r="E2798" s="15">
        <v>2740.4</v>
      </c>
      <c r="F2798" s="274">
        <v>42938</v>
      </c>
      <c r="G2798" s="15">
        <v>2740.4</v>
      </c>
      <c r="H2798" s="15">
        <f>Tabla1[[#This Row],[Importe]]-Tabla1[[#This Row],[Pagado]]</f>
        <v>0</v>
      </c>
      <c r="I2798" s="275" t="s">
        <v>15214</v>
      </c>
    </row>
    <row r="2799" spans="1:9" x14ac:dyDescent="0.25">
      <c r="A2799" s="16">
        <v>42938</v>
      </c>
      <c r="B2799" s="273" t="s">
        <v>22698</v>
      </c>
      <c r="C2799">
        <v>120953</v>
      </c>
      <c r="D2799" s="236" t="s">
        <v>15782</v>
      </c>
      <c r="E2799" s="15">
        <v>1632</v>
      </c>
      <c r="F2799" s="274">
        <v>42938</v>
      </c>
      <c r="G2799" s="15">
        <v>1632</v>
      </c>
      <c r="H2799" s="15">
        <f>Tabla1[[#This Row],[Importe]]-Tabla1[[#This Row],[Pagado]]</f>
        <v>0</v>
      </c>
      <c r="I2799" s="275" t="s">
        <v>15214</v>
      </c>
    </row>
    <row r="2800" spans="1:9" x14ac:dyDescent="0.25">
      <c r="A2800" s="16">
        <v>42938</v>
      </c>
      <c r="B2800" s="273" t="s">
        <v>22699</v>
      </c>
      <c r="C2800">
        <v>120954</v>
      </c>
      <c r="D2800" s="236" t="s">
        <v>15296</v>
      </c>
      <c r="E2800" s="15">
        <v>36281.199999999997</v>
      </c>
      <c r="F2800" s="274">
        <v>42966</v>
      </c>
      <c r="G2800" s="15">
        <v>36281.199999999997</v>
      </c>
      <c r="H2800" s="15">
        <f>Tabla1[[#This Row],[Importe]]-Tabla1[[#This Row],[Pagado]]</f>
        <v>0</v>
      </c>
      <c r="I2800" s="275" t="s">
        <v>15214</v>
      </c>
    </row>
    <row r="2801" spans="1:9" x14ac:dyDescent="0.25">
      <c r="A2801" s="16">
        <v>42938</v>
      </c>
      <c r="B2801" s="273" t="s">
        <v>22700</v>
      </c>
      <c r="C2801">
        <v>120955</v>
      </c>
      <c r="D2801" s="236" t="s">
        <v>15884</v>
      </c>
      <c r="E2801" s="15">
        <v>3448.8</v>
      </c>
      <c r="F2801" s="274">
        <v>42938</v>
      </c>
      <c r="G2801" s="15">
        <v>3448.8</v>
      </c>
      <c r="H2801" s="15">
        <f>Tabla1[[#This Row],[Importe]]-Tabla1[[#This Row],[Pagado]]</f>
        <v>0</v>
      </c>
      <c r="I2801" s="275" t="s">
        <v>15214</v>
      </c>
    </row>
    <row r="2802" spans="1:9" x14ac:dyDescent="0.25">
      <c r="A2802" s="16">
        <v>42938</v>
      </c>
      <c r="B2802" s="273" t="s">
        <v>22701</v>
      </c>
      <c r="C2802">
        <v>120956</v>
      </c>
      <c r="D2802" s="236" t="s">
        <v>15263</v>
      </c>
      <c r="E2802" s="15">
        <v>1163.2</v>
      </c>
      <c r="F2802" s="274">
        <v>42938</v>
      </c>
      <c r="G2802" s="15">
        <v>1163.2</v>
      </c>
      <c r="H2802" s="15">
        <f>Tabla1[[#This Row],[Importe]]-Tabla1[[#This Row],[Pagado]]</f>
        <v>0</v>
      </c>
      <c r="I2802" s="275" t="s">
        <v>15214</v>
      </c>
    </row>
    <row r="2803" spans="1:9" x14ac:dyDescent="0.25">
      <c r="A2803" s="16">
        <v>42938</v>
      </c>
      <c r="B2803" s="273" t="s">
        <v>22702</v>
      </c>
      <c r="C2803">
        <v>120957</v>
      </c>
      <c r="D2803" s="236" t="s">
        <v>15213</v>
      </c>
      <c r="E2803" s="15">
        <v>14370.6</v>
      </c>
      <c r="F2803" s="274">
        <v>42940</v>
      </c>
      <c r="G2803" s="15">
        <v>14370.6</v>
      </c>
      <c r="H2803" s="15">
        <f>Tabla1[[#This Row],[Importe]]-Tabla1[[#This Row],[Pagado]]</f>
        <v>0</v>
      </c>
      <c r="I2803" s="275" t="s">
        <v>15214</v>
      </c>
    </row>
    <row r="2804" spans="1:9" x14ac:dyDescent="0.25">
      <c r="A2804" s="16">
        <v>42938</v>
      </c>
      <c r="B2804" s="273" t="s">
        <v>22703</v>
      </c>
      <c r="C2804">
        <v>120958</v>
      </c>
      <c r="D2804" s="236" t="s">
        <v>15442</v>
      </c>
      <c r="E2804" s="15">
        <v>15370</v>
      </c>
      <c r="F2804" s="274">
        <v>42952</v>
      </c>
      <c r="G2804" s="15">
        <v>15370</v>
      </c>
      <c r="H2804" s="15">
        <f>Tabla1[[#This Row],[Importe]]-Tabla1[[#This Row],[Pagado]]</f>
        <v>0</v>
      </c>
      <c r="I2804" s="275" t="s">
        <v>15214</v>
      </c>
    </row>
    <row r="2805" spans="1:9" x14ac:dyDescent="0.25">
      <c r="A2805" s="16">
        <v>42938</v>
      </c>
      <c r="B2805" s="273" t="s">
        <v>22704</v>
      </c>
      <c r="C2805">
        <v>120959</v>
      </c>
      <c r="D2805" s="236" t="s">
        <v>16958</v>
      </c>
      <c r="E2805" s="15">
        <v>1722.6</v>
      </c>
      <c r="F2805" s="274">
        <v>42938</v>
      </c>
      <c r="G2805" s="15">
        <v>1722.6</v>
      </c>
      <c r="H2805" s="15">
        <f>Tabla1[[#This Row],[Importe]]-Tabla1[[#This Row],[Pagado]]</f>
        <v>0</v>
      </c>
      <c r="I2805" s="275" t="s">
        <v>15214</v>
      </c>
    </row>
    <row r="2806" spans="1:9" x14ac:dyDescent="0.25">
      <c r="A2806" s="16">
        <v>42938</v>
      </c>
      <c r="B2806" s="273" t="s">
        <v>22705</v>
      </c>
      <c r="C2806">
        <v>120960</v>
      </c>
      <c r="D2806" s="236" t="s">
        <v>15789</v>
      </c>
      <c r="E2806" s="15">
        <v>30373.8</v>
      </c>
      <c r="F2806" s="274">
        <v>42945</v>
      </c>
      <c r="G2806" s="15">
        <v>30373.8</v>
      </c>
      <c r="H2806" s="15">
        <f>Tabla1[[#This Row],[Importe]]-Tabla1[[#This Row],[Pagado]]</f>
        <v>0</v>
      </c>
      <c r="I2806" s="275" t="s">
        <v>15214</v>
      </c>
    </row>
    <row r="2807" spans="1:9" x14ac:dyDescent="0.25">
      <c r="A2807" s="16">
        <v>42938</v>
      </c>
      <c r="B2807" s="273" t="s">
        <v>22706</v>
      </c>
      <c r="C2807">
        <v>120961</v>
      </c>
      <c r="D2807" s="236" t="s">
        <v>15315</v>
      </c>
      <c r="E2807" s="15">
        <v>428.4</v>
      </c>
      <c r="F2807" s="274">
        <v>42938</v>
      </c>
      <c r="G2807" s="15">
        <v>428.4</v>
      </c>
      <c r="H2807" s="15">
        <f>Tabla1[[#This Row],[Importe]]-Tabla1[[#This Row],[Pagado]]</f>
        <v>0</v>
      </c>
      <c r="I2807" s="275" t="s">
        <v>15214</v>
      </c>
    </row>
    <row r="2808" spans="1:9" x14ac:dyDescent="0.25">
      <c r="A2808" s="16">
        <v>42938</v>
      </c>
      <c r="B2808" s="273" t="s">
        <v>22707</v>
      </c>
      <c r="C2808">
        <v>120962</v>
      </c>
      <c r="D2808" s="236" t="s">
        <v>15246</v>
      </c>
      <c r="E2808" s="15">
        <v>181033.56</v>
      </c>
      <c r="F2808" s="274">
        <v>42942</v>
      </c>
      <c r="G2808" s="15">
        <v>181033.56</v>
      </c>
      <c r="H2808" s="15">
        <f>Tabla1[[#This Row],[Importe]]-Tabla1[[#This Row],[Pagado]]</f>
        <v>0</v>
      </c>
      <c r="I2808" s="275" t="s">
        <v>15214</v>
      </c>
    </row>
    <row r="2809" spans="1:9" x14ac:dyDescent="0.25">
      <c r="A2809" s="16">
        <v>42938</v>
      </c>
      <c r="B2809" s="273" t="s">
        <v>22708</v>
      </c>
      <c r="C2809">
        <v>120963</v>
      </c>
      <c r="D2809" s="236" t="s">
        <v>15246</v>
      </c>
      <c r="E2809" s="15">
        <v>360485.2</v>
      </c>
      <c r="F2809" s="274">
        <v>42942</v>
      </c>
      <c r="G2809" s="15">
        <v>360485.2</v>
      </c>
      <c r="H2809" s="15">
        <f>Tabla1[[#This Row],[Importe]]-Tabla1[[#This Row],[Pagado]]</f>
        <v>0</v>
      </c>
      <c r="I2809" s="275" t="s">
        <v>15214</v>
      </c>
    </row>
    <row r="2810" spans="1:9" x14ac:dyDescent="0.25">
      <c r="A2810" s="16">
        <v>42938</v>
      </c>
      <c r="B2810" s="273" t="s">
        <v>22709</v>
      </c>
      <c r="C2810">
        <v>120964</v>
      </c>
      <c r="D2810" s="236" t="s">
        <v>15315</v>
      </c>
      <c r="E2810" s="15">
        <v>101.4</v>
      </c>
      <c r="F2810" s="274">
        <v>42938</v>
      </c>
      <c r="G2810" s="15">
        <v>101.4</v>
      </c>
      <c r="H2810" s="15">
        <f>Tabla1[[#This Row],[Importe]]-Tabla1[[#This Row],[Pagado]]</f>
        <v>0</v>
      </c>
      <c r="I2810" s="275" t="s">
        <v>15214</v>
      </c>
    </row>
    <row r="2811" spans="1:9" x14ac:dyDescent="0.25">
      <c r="A2811" s="16">
        <v>42938</v>
      </c>
      <c r="B2811" s="273" t="s">
        <v>22710</v>
      </c>
      <c r="C2811">
        <v>120965</v>
      </c>
      <c r="D2811" s="236" t="s">
        <v>15315</v>
      </c>
      <c r="E2811" s="15">
        <v>1730.88</v>
      </c>
      <c r="F2811" s="274">
        <v>42938</v>
      </c>
      <c r="G2811" s="15">
        <v>1730.88</v>
      </c>
      <c r="H2811" s="15">
        <f>Tabla1[[#This Row],[Importe]]-Tabla1[[#This Row],[Pagado]]</f>
        <v>0</v>
      </c>
      <c r="I2811" s="275" t="s">
        <v>15214</v>
      </c>
    </row>
    <row r="2812" spans="1:9" x14ac:dyDescent="0.25">
      <c r="A2812" s="16">
        <v>42938</v>
      </c>
      <c r="B2812" s="273" t="s">
        <v>22711</v>
      </c>
      <c r="C2812">
        <v>120966</v>
      </c>
      <c r="D2812" s="236" t="s">
        <v>15920</v>
      </c>
      <c r="E2812" s="15">
        <v>842.4</v>
      </c>
      <c r="F2812" s="274">
        <v>42938</v>
      </c>
      <c r="G2812" s="15">
        <v>842.4</v>
      </c>
      <c r="H2812" s="15">
        <f>Tabla1[[#This Row],[Importe]]-Tabla1[[#This Row],[Pagado]]</f>
        <v>0</v>
      </c>
      <c r="I2812" s="275" t="s">
        <v>15214</v>
      </c>
    </row>
    <row r="2813" spans="1:9" x14ac:dyDescent="0.25">
      <c r="A2813" s="16">
        <v>42938</v>
      </c>
      <c r="B2813" s="273" t="s">
        <v>22712</v>
      </c>
      <c r="C2813">
        <v>120967</v>
      </c>
      <c r="D2813" s="236" t="s">
        <v>15423</v>
      </c>
      <c r="E2813" s="15">
        <v>2541.5</v>
      </c>
      <c r="F2813" s="274">
        <v>42938</v>
      </c>
      <c r="G2813" s="15">
        <v>2541.5</v>
      </c>
      <c r="H2813" s="15">
        <f>Tabla1[[#This Row],[Importe]]-Tabla1[[#This Row],[Pagado]]</f>
        <v>0</v>
      </c>
      <c r="I2813" s="275" t="s">
        <v>15214</v>
      </c>
    </row>
    <row r="2814" spans="1:9" ht="15.75" x14ac:dyDescent="0.25">
      <c r="A2814" s="16">
        <v>42938</v>
      </c>
      <c r="B2814" s="273" t="s">
        <v>22713</v>
      </c>
      <c r="C2814">
        <v>120968</v>
      </c>
      <c r="D2814" s="248" t="s">
        <v>95</v>
      </c>
      <c r="E2814" s="15">
        <v>0</v>
      </c>
      <c r="F2814" s="277" t="s">
        <v>95</v>
      </c>
      <c r="G2814" s="15">
        <v>0</v>
      </c>
      <c r="H2814" s="15">
        <f>Tabla1[[#This Row],[Importe]]-Tabla1[[#This Row],[Pagado]]</f>
        <v>0</v>
      </c>
      <c r="I2814" s="275" t="s">
        <v>95</v>
      </c>
    </row>
    <row r="2815" spans="1:9" x14ac:dyDescent="0.25">
      <c r="A2815" s="16">
        <v>42938</v>
      </c>
      <c r="B2815" s="273" t="s">
        <v>22714</v>
      </c>
      <c r="C2815">
        <v>120969</v>
      </c>
      <c r="D2815" s="236" t="s">
        <v>15324</v>
      </c>
      <c r="E2815" s="15">
        <v>1779</v>
      </c>
      <c r="F2815" s="274">
        <v>42938</v>
      </c>
      <c r="G2815" s="15">
        <v>1779</v>
      </c>
      <c r="H2815" s="15">
        <f>Tabla1[[#This Row],[Importe]]-Tabla1[[#This Row],[Pagado]]</f>
        <v>0</v>
      </c>
      <c r="I2815" s="275" t="s">
        <v>15214</v>
      </c>
    </row>
    <row r="2816" spans="1:9" x14ac:dyDescent="0.25">
      <c r="A2816" s="16">
        <v>42938</v>
      </c>
      <c r="B2816" s="273" t="s">
        <v>22715</v>
      </c>
      <c r="C2816">
        <v>120970</v>
      </c>
      <c r="D2816" s="236" t="s">
        <v>16522</v>
      </c>
      <c r="E2816" s="15">
        <v>7056</v>
      </c>
      <c r="F2816" s="274">
        <v>43006</v>
      </c>
      <c r="G2816" s="15">
        <v>7056</v>
      </c>
      <c r="H2816" s="15">
        <f>Tabla1[[#This Row],[Importe]]-Tabla1[[#This Row],[Pagado]]</f>
        <v>0</v>
      </c>
      <c r="I2816" s="275" t="s">
        <v>15214</v>
      </c>
    </row>
    <row r="2817" spans="1:9" x14ac:dyDescent="0.25">
      <c r="A2817" s="16">
        <v>42938</v>
      </c>
      <c r="B2817" s="273" t="s">
        <v>22716</v>
      </c>
      <c r="C2817">
        <v>120971</v>
      </c>
      <c r="D2817" s="236" t="s">
        <v>15624</v>
      </c>
      <c r="E2817" s="15">
        <v>36576</v>
      </c>
      <c r="F2817" s="274">
        <v>42940</v>
      </c>
      <c r="G2817" s="15">
        <v>36576</v>
      </c>
      <c r="H2817" s="15">
        <f>Tabla1[[#This Row],[Importe]]-Tabla1[[#This Row],[Pagado]]</f>
        <v>0</v>
      </c>
      <c r="I2817" s="275" t="s">
        <v>15214</v>
      </c>
    </row>
    <row r="2818" spans="1:9" x14ac:dyDescent="0.25">
      <c r="A2818" s="16">
        <v>42938</v>
      </c>
      <c r="B2818" s="273" t="s">
        <v>22717</v>
      </c>
      <c r="C2818">
        <v>120972</v>
      </c>
      <c r="D2818" s="236" t="s">
        <v>15378</v>
      </c>
      <c r="E2818" s="15">
        <v>534.6</v>
      </c>
      <c r="F2818" s="274">
        <v>42938</v>
      </c>
      <c r="G2818" s="15">
        <v>534.6</v>
      </c>
      <c r="H2818" s="15">
        <f>Tabla1[[#This Row],[Importe]]-Tabla1[[#This Row],[Pagado]]</f>
        <v>0</v>
      </c>
      <c r="I2818" s="275" t="s">
        <v>15214</v>
      </c>
    </row>
    <row r="2819" spans="1:9" x14ac:dyDescent="0.25">
      <c r="A2819" s="16">
        <v>42938</v>
      </c>
      <c r="B2819" s="273" t="s">
        <v>22718</v>
      </c>
      <c r="C2819">
        <v>120973</v>
      </c>
      <c r="D2819" s="236" t="s">
        <v>15322</v>
      </c>
      <c r="E2819" s="15">
        <v>4492.8</v>
      </c>
      <c r="F2819" s="274">
        <v>42938</v>
      </c>
      <c r="G2819" s="15">
        <v>4492.8</v>
      </c>
      <c r="H2819" s="15">
        <f>Tabla1[[#This Row],[Importe]]-Tabla1[[#This Row],[Pagado]]</f>
        <v>0</v>
      </c>
      <c r="I2819" s="275" t="s">
        <v>15214</v>
      </c>
    </row>
    <row r="2820" spans="1:9" ht="45" x14ac:dyDescent="0.25">
      <c r="A2820" s="16">
        <v>42938</v>
      </c>
      <c r="B2820" s="273" t="s">
        <v>22719</v>
      </c>
      <c r="C2820">
        <v>120974</v>
      </c>
      <c r="D2820" s="236" t="s">
        <v>15246</v>
      </c>
      <c r="E2820" s="15">
        <v>115780.8</v>
      </c>
      <c r="F2820" s="274" t="s">
        <v>22720</v>
      </c>
      <c r="G2820" s="241">
        <f>85908.5+29872.3</f>
        <v>115780.8</v>
      </c>
      <c r="H2820" s="241">
        <f>Tabla1[[#This Row],[Importe]]-Tabla1[[#This Row],[Pagado]]</f>
        <v>0</v>
      </c>
      <c r="I2820" s="275" t="s">
        <v>15214</v>
      </c>
    </row>
    <row r="2821" spans="1:9" x14ac:dyDescent="0.25">
      <c r="A2821" s="16">
        <v>42938</v>
      </c>
      <c r="B2821" s="273" t="s">
        <v>22721</v>
      </c>
      <c r="C2821">
        <v>120975</v>
      </c>
      <c r="D2821" s="236" t="s">
        <v>15681</v>
      </c>
      <c r="E2821" s="15">
        <v>2433.6</v>
      </c>
      <c r="F2821" s="274">
        <v>42938</v>
      </c>
      <c r="G2821" s="15">
        <v>2433.6</v>
      </c>
      <c r="H2821" s="15">
        <f>Tabla1[[#This Row],[Importe]]-Tabla1[[#This Row],[Pagado]]</f>
        <v>0</v>
      </c>
      <c r="I2821" s="275" t="s">
        <v>15214</v>
      </c>
    </row>
    <row r="2822" spans="1:9" x14ac:dyDescent="0.25">
      <c r="A2822" s="16">
        <v>42938</v>
      </c>
      <c r="B2822" s="273" t="s">
        <v>22722</v>
      </c>
      <c r="C2822">
        <v>120976</v>
      </c>
      <c r="D2822" s="236" t="s">
        <v>15699</v>
      </c>
      <c r="E2822" s="15">
        <v>1536.4</v>
      </c>
      <c r="F2822" s="274" t="s">
        <v>22723</v>
      </c>
      <c r="G2822" s="15">
        <v>1536.4</v>
      </c>
      <c r="H2822" s="15">
        <f>Tabla1[[#This Row],[Importe]]-Tabla1[[#This Row],[Pagado]]</f>
        <v>0</v>
      </c>
      <c r="I2822" s="275" t="s">
        <v>15214</v>
      </c>
    </row>
    <row r="2823" spans="1:9" x14ac:dyDescent="0.25">
      <c r="A2823" s="16">
        <v>42939</v>
      </c>
      <c r="B2823" s="273" t="s">
        <v>22724</v>
      </c>
      <c r="C2823">
        <v>120977</v>
      </c>
      <c r="D2823" s="236" t="s">
        <v>21386</v>
      </c>
      <c r="E2823" s="15">
        <v>9765.2999999999993</v>
      </c>
      <c r="F2823" s="274">
        <v>42940</v>
      </c>
      <c r="G2823" s="15">
        <v>9765.2999999999993</v>
      </c>
      <c r="H2823" s="15">
        <f>Tabla1[[#This Row],[Importe]]-Tabla1[[#This Row],[Pagado]]</f>
        <v>0</v>
      </c>
      <c r="I2823" s="275" t="s">
        <v>15214</v>
      </c>
    </row>
    <row r="2824" spans="1:9" x14ac:dyDescent="0.25">
      <c r="A2824" s="16">
        <v>42939</v>
      </c>
      <c r="B2824" s="273" t="s">
        <v>22725</v>
      </c>
      <c r="C2824">
        <v>120978</v>
      </c>
      <c r="D2824" s="236" t="s">
        <v>15242</v>
      </c>
      <c r="E2824" s="15">
        <v>11110</v>
      </c>
      <c r="F2824" s="274">
        <v>42939</v>
      </c>
      <c r="G2824" s="15">
        <v>11110</v>
      </c>
      <c r="H2824" s="15">
        <f>Tabla1[[#This Row],[Importe]]-Tabla1[[#This Row],[Pagado]]</f>
        <v>0</v>
      </c>
      <c r="I2824" s="275" t="s">
        <v>15214</v>
      </c>
    </row>
    <row r="2825" spans="1:9" x14ac:dyDescent="0.25">
      <c r="A2825" s="16">
        <v>42939</v>
      </c>
      <c r="B2825" s="273" t="s">
        <v>22726</v>
      </c>
      <c r="C2825">
        <v>120979</v>
      </c>
      <c r="D2825" s="236" t="s">
        <v>19313</v>
      </c>
      <c r="E2825" s="15">
        <v>1320</v>
      </c>
      <c r="F2825" s="274">
        <v>42939</v>
      </c>
      <c r="G2825" s="15">
        <v>1320</v>
      </c>
      <c r="H2825" s="15">
        <f>Tabla1[[#This Row],[Importe]]-Tabla1[[#This Row],[Pagado]]</f>
        <v>0</v>
      </c>
      <c r="I2825" s="275" t="s">
        <v>15214</v>
      </c>
    </row>
    <row r="2826" spans="1:9" x14ac:dyDescent="0.25">
      <c r="A2826" s="16">
        <v>42939</v>
      </c>
      <c r="B2826" s="273" t="s">
        <v>22727</v>
      </c>
      <c r="C2826">
        <v>120980</v>
      </c>
      <c r="D2826" s="236" t="s">
        <v>15272</v>
      </c>
      <c r="E2826" s="15">
        <v>29842.7</v>
      </c>
      <c r="F2826" s="274">
        <v>42939</v>
      </c>
      <c r="G2826" s="15">
        <v>29842.7</v>
      </c>
      <c r="H2826" s="15">
        <f>Tabla1[[#This Row],[Importe]]-Tabla1[[#This Row],[Pagado]]</f>
        <v>0</v>
      </c>
      <c r="I2826" s="275" t="s">
        <v>15214</v>
      </c>
    </row>
    <row r="2827" spans="1:9" x14ac:dyDescent="0.25">
      <c r="A2827" s="16">
        <v>42939</v>
      </c>
      <c r="B2827" s="273" t="s">
        <v>22728</v>
      </c>
      <c r="C2827">
        <v>120981</v>
      </c>
      <c r="D2827" s="236" t="s">
        <v>15213</v>
      </c>
      <c r="E2827" s="15">
        <v>36571.5</v>
      </c>
      <c r="F2827" s="274">
        <v>42940</v>
      </c>
      <c r="G2827" s="15">
        <v>36571.5</v>
      </c>
      <c r="H2827" s="15">
        <f>Tabla1[[#This Row],[Importe]]-Tabla1[[#This Row],[Pagado]]</f>
        <v>0</v>
      </c>
      <c r="I2827" s="275" t="s">
        <v>15214</v>
      </c>
    </row>
    <row r="2828" spans="1:9" x14ac:dyDescent="0.25">
      <c r="A2828" s="16">
        <v>42939</v>
      </c>
      <c r="B2828" s="273" t="s">
        <v>22729</v>
      </c>
      <c r="C2828">
        <v>120982</v>
      </c>
      <c r="D2828" s="236" t="s">
        <v>15644</v>
      </c>
      <c r="E2828" s="15">
        <v>3597</v>
      </c>
      <c r="F2828" s="274">
        <v>42939</v>
      </c>
      <c r="G2828" s="15">
        <v>3597</v>
      </c>
      <c r="H2828" s="15">
        <f>Tabla1[[#This Row],[Importe]]-Tabla1[[#This Row],[Pagado]]</f>
        <v>0</v>
      </c>
      <c r="I2828" s="275" t="s">
        <v>15214</v>
      </c>
    </row>
    <row r="2829" spans="1:9" x14ac:dyDescent="0.25">
      <c r="A2829" s="16">
        <v>42939</v>
      </c>
      <c r="B2829" s="273" t="s">
        <v>22730</v>
      </c>
      <c r="C2829">
        <v>120983</v>
      </c>
      <c r="D2829" s="236" t="s">
        <v>19302</v>
      </c>
      <c r="E2829" s="15">
        <v>1325</v>
      </c>
      <c r="F2829" s="274">
        <v>42940</v>
      </c>
      <c r="G2829" s="15">
        <v>1325</v>
      </c>
      <c r="H2829" s="15">
        <f>Tabla1[[#This Row],[Importe]]-Tabla1[[#This Row],[Pagado]]</f>
        <v>0</v>
      </c>
      <c r="I2829" s="275" t="s">
        <v>15214</v>
      </c>
    </row>
    <row r="2830" spans="1:9" x14ac:dyDescent="0.25">
      <c r="A2830" s="16">
        <v>42939</v>
      </c>
      <c r="B2830" s="273" t="s">
        <v>22731</v>
      </c>
      <c r="C2830">
        <v>120984</v>
      </c>
      <c r="D2830" s="236" t="s">
        <v>15596</v>
      </c>
      <c r="E2830" s="15">
        <v>1590</v>
      </c>
      <c r="F2830" s="274">
        <v>42939</v>
      </c>
      <c r="G2830" s="15">
        <v>1590</v>
      </c>
      <c r="H2830" s="15">
        <f>Tabla1[[#This Row],[Importe]]-Tabla1[[#This Row],[Pagado]]</f>
        <v>0</v>
      </c>
      <c r="I2830" s="275" t="s">
        <v>15214</v>
      </c>
    </row>
    <row r="2831" spans="1:9" x14ac:dyDescent="0.25">
      <c r="A2831" s="16">
        <v>42939</v>
      </c>
      <c r="B2831" s="273" t="s">
        <v>22732</v>
      </c>
      <c r="C2831">
        <v>120985</v>
      </c>
      <c r="D2831" s="236" t="s">
        <v>22733</v>
      </c>
      <c r="E2831" s="15">
        <v>6358</v>
      </c>
      <c r="F2831" s="274">
        <v>42939</v>
      </c>
      <c r="G2831" s="15">
        <v>6358</v>
      </c>
      <c r="H2831" s="15">
        <f>Tabla1[[#This Row],[Importe]]-Tabla1[[#This Row],[Pagado]]</f>
        <v>0</v>
      </c>
      <c r="I2831" s="275" t="s">
        <v>15214</v>
      </c>
    </row>
    <row r="2832" spans="1:9" x14ac:dyDescent="0.25">
      <c r="A2832" s="16">
        <v>42939</v>
      </c>
      <c r="B2832" s="273" t="s">
        <v>22734</v>
      </c>
      <c r="C2832">
        <v>120986</v>
      </c>
      <c r="D2832" s="236" t="s">
        <v>15365</v>
      </c>
      <c r="E2832" s="15">
        <v>20054.5</v>
      </c>
      <c r="F2832" s="274">
        <v>42943</v>
      </c>
      <c r="G2832" s="15">
        <v>20054.5</v>
      </c>
      <c r="H2832" s="15">
        <f>Tabla1[[#This Row],[Importe]]-Tabla1[[#This Row],[Pagado]]</f>
        <v>0</v>
      </c>
      <c r="I2832" s="275" t="s">
        <v>15214</v>
      </c>
    </row>
    <row r="2833" spans="1:9" x14ac:dyDescent="0.25">
      <c r="A2833" s="16">
        <v>42939</v>
      </c>
      <c r="B2833" s="273" t="s">
        <v>22735</v>
      </c>
      <c r="C2833">
        <v>120987</v>
      </c>
      <c r="D2833" s="236" t="s">
        <v>15307</v>
      </c>
      <c r="E2833" s="15">
        <v>1381.8</v>
      </c>
      <c r="F2833" s="274">
        <v>42939</v>
      </c>
      <c r="G2833" s="15">
        <v>1381.8</v>
      </c>
      <c r="H2833" s="15">
        <f>Tabla1[[#This Row],[Importe]]-Tabla1[[#This Row],[Pagado]]</f>
        <v>0</v>
      </c>
      <c r="I2833" s="275" t="s">
        <v>15214</v>
      </c>
    </row>
    <row r="2834" spans="1:9" x14ac:dyDescent="0.25">
      <c r="A2834" s="16">
        <v>42939</v>
      </c>
      <c r="B2834" s="273" t="s">
        <v>22736</v>
      </c>
      <c r="C2834">
        <v>120988</v>
      </c>
      <c r="D2834" s="236" t="s">
        <v>15220</v>
      </c>
      <c r="E2834" s="15">
        <v>4240</v>
      </c>
      <c r="F2834" s="274">
        <v>42939</v>
      </c>
      <c r="G2834" s="15">
        <v>4240</v>
      </c>
      <c r="H2834" s="15">
        <f>Tabla1[[#This Row],[Importe]]-Tabla1[[#This Row],[Pagado]]</f>
        <v>0</v>
      </c>
      <c r="I2834" s="275" t="s">
        <v>15214</v>
      </c>
    </row>
    <row r="2835" spans="1:9" x14ac:dyDescent="0.25">
      <c r="A2835" s="16">
        <v>42939</v>
      </c>
      <c r="B2835" s="273" t="s">
        <v>22737</v>
      </c>
      <c r="C2835">
        <v>120989</v>
      </c>
      <c r="D2835" s="236" t="s">
        <v>15311</v>
      </c>
      <c r="E2835" s="15">
        <v>2042.28</v>
      </c>
      <c r="F2835" s="274">
        <v>42939</v>
      </c>
      <c r="G2835" s="15">
        <v>2042.28</v>
      </c>
      <c r="H2835" s="15">
        <f>Tabla1[[#This Row],[Importe]]-Tabla1[[#This Row],[Pagado]]</f>
        <v>0</v>
      </c>
      <c r="I2835" s="275" t="s">
        <v>15214</v>
      </c>
    </row>
    <row r="2836" spans="1:9" ht="30" x14ac:dyDescent="0.25">
      <c r="A2836" s="16">
        <v>42939</v>
      </c>
      <c r="B2836" s="273" t="s">
        <v>22738</v>
      </c>
      <c r="C2836">
        <v>120990</v>
      </c>
      <c r="D2836" s="236" t="s">
        <v>15246</v>
      </c>
      <c r="E2836" s="15">
        <v>6201.2</v>
      </c>
      <c r="F2836" s="274" t="s">
        <v>22739</v>
      </c>
      <c r="G2836" s="15">
        <v>6201.2</v>
      </c>
      <c r="H2836" s="15">
        <f>Tabla1[[#This Row],[Importe]]-Tabla1[[#This Row],[Pagado]]</f>
        <v>0</v>
      </c>
      <c r="I2836" s="275" t="s">
        <v>15214</v>
      </c>
    </row>
    <row r="2837" spans="1:9" x14ac:dyDescent="0.25">
      <c r="A2837" s="16">
        <v>42939</v>
      </c>
      <c r="B2837" s="273" t="s">
        <v>22740</v>
      </c>
      <c r="C2837">
        <v>120991</v>
      </c>
      <c r="D2837" s="236" t="s">
        <v>15291</v>
      </c>
      <c r="E2837" s="15">
        <v>795</v>
      </c>
      <c r="F2837" s="274">
        <v>42939</v>
      </c>
      <c r="G2837" s="15">
        <v>795</v>
      </c>
      <c r="H2837" s="15">
        <f>Tabla1[[#This Row],[Importe]]-Tabla1[[#This Row],[Pagado]]</f>
        <v>0</v>
      </c>
      <c r="I2837" s="275" t="s">
        <v>15214</v>
      </c>
    </row>
    <row r="2838" spans="1:9" x14ac:dyDescent="0.25">
      <c r="A2838" s="16">
        <v>42939</v>
      </c>
      <c r="B2838" s="273" t="s">
        <v>22741</v>
      </c>
      <c r="C2838">
        <v>120992</v>
      </c>
      <c r="D2838" s="236" t="s">
        <v>15378</v>
      </c>
      <c r="E2838" s="15">
        <v>4445.2</v>
      </c>
      <c r="F2838" s="274">
        <v>42939</v>
      </c>
      <c r="G2838" s="15">
        <v>4445.2</v>
      </c>
      <c r="H2838" s="15">
        <f>Tabla1[[#This Row],[Importe]]-Tabla1[[#This Row],[Pagado]]</f>
        <v>0</v>
      </c>
      <c r="I2838" s="275" t="s">
        <v>15214</v>
      </c>
    </row>
    <row r="2839" spans="1:9" x14ac:dyDescent="0.25">
      <c r="A2839" s="16">
        <v>42939</v>
      </c>
      <c r="B2839" s="273" t="s">
        <v>22742</v>
      </c>
      <c r="C2839">
        <v>120993</v>
      </c>
      <c r="D2839" s="236" t="s">
        <v>17929</v>
      </c>
      <c r="E2839" s="15">
        <v>896.4</v>
      </c>
      <c r="F2839" s="274">
        <v>42939</v>
      </c>
      <c r="G2839" s="15">
        <v>896.4</v>
      </c>
      <c r="H2839" s="15">
        <f>Tabla1[[#This Row],[Importe]]-Tabla1[[#This Row],[Pagado]]</f>
        <v>0</v>
      </c>
      <c r="I2839" s="275" t="s">
        <v>15214</v>
      </c>
    </row>
    <row r="2840" spans="1:9" x14ac:dyDescent="0.25">
      <c r="A2840" s="16">
        <v>42939</v>
      </c>
      <c r="B2840" s="273" t="s">
        <v>22743</v>
      </c>
      <c r="C2840">
        <v>120994</v>
      </c>
      <c r="D2840" s="236" t="s">
        <v>15322</v>
      </c>
      <c r="E2840" s="15">
        <v>1240.8</v>
      </c>
      <c r="F2840" s="274">
        <v>42939</v>
      </c>
      <c r="G2840" s="15">
        <v>1240.8</v>
      </c>
      <c r="H2840" s="15">
        <f>Tabla1[[#This Row],[Importe]]-Tabla1[[#This Row],[Pagado]]</f>
        <v>0</v>
      </c>
      <c r="I2840" s="275" t="s">
        <v>15214</v>
      </c>
    </row>
    <row r="2841" spans="1:9" x14ac:dyDescent="0.25">
      <c r="A2841" s="16">
        <v>42939</v>
      </c>
      <c r="B2841" s="273" t="s">
        <v>22744</v>
      </c>
      <c r="C2841">
        <v>120995</v>
      </c>
      <c r="D2841" s="236" t="s">
        <v>15248</v>
      </c>
      <c r="E2841" s="15">
        <v>31095.8</v>
      </c>
      <c r="F2841" s="274">
        <v>42939</v>
      </c>
      <c r="G2841" s="15">
        <v>31095.8</v>
      </c>
      <c r="H2841" s="15">
        <f>Tabla1[[#This Row],[Importe]]-Tabla1[[#This Row],[Pagado]]</f>
        <v>0</v>
      </c>
      <c r="I2841" s="275" t="s">
        <v>15214</v>
      </c>
    </row>
    <row r="2842" spans="1:9" x14ac:dyDescent="0.25">
      <c r="A2842" s="16">
        <v>42939</v>
      </c>
      <c r="B2842" s="273" t="s">
        <v>22745</v>
      </c>
      <c r="C2842">
        <v>120996</v>
      </c>
      <c r="D2842" s="236" t="s">
        <v>15261</v>
      </c>
      <c r="E2842" s="15">
        <v>14939.1</v>
      </c>
      <c r="F2842" s="274">
        <v>42939</v>
      </c>
      <c r="G2842" s="15">
        <v>14939.1</v>
      </c>
      <c r="H2842" s="15">
        <f>Tabla1[[#This Row],[Importe]]-Tabla1[[#This Row],[Pagado]]</f>
        <v>0</v>
      </c>
      <c r="I2842" s="275" t="s">
        <v>15214</v>
      </c>
    </row>
    <row r="2843" spans="1:9" x14ac:dyDescent="0.25">
      <c r="A2843" s="16">
        <v>42939</v>
      </c>
      <c r="B2843" s="273" t="s">
        <v>22746</v>
      </c>
      <c r="C2843">
        <v>120997</v>
      </c>
      <c r="D2843" s="236" t="s">
        <v>15223</v>
      </c>
      <c r="E2843" s="15">
        <v>56050</v>
      </c>
      <c r="F2843" s="274">
        <v>42960</v>
      </c>
      <c r="G2843" s="15">
        <v>56050</v>
      </c>
      <c r="H2843" s="15">
        <f>Tabla1[[#This Row],[Importe]]-Tabla1[[#This Row],[Pagado]]</f>
        <v>0</v>
      </c>
      <c r="I2843" s="275" t="s">
        <v>15214</v>
      </c>
    </row>
    <row r="2844" spans="1:9" x14ac:dyDescent="0.25">
      <c r="A2844" s="16">
        <v>42939</v>
      </c>
      <c r="B2844" s="273" t="s">
        <v>22747</v>
      </c>
      <c r="C2844">
        <v>120998</v>
      </c>
      <c r="D2844" s="236" t="s">
        <v>15263</v>
      </c>
      <c r="E2844" s="15">
        <v>2889.6</v>
      </c>
      <c r="F2844" s="274">
        <v>42939</v>
      </c>
      <c r="G2844" s="15">
        <v>2889.6</v>
      </c>
      <c r="H2844" s="15">
        <f>Tabla1[[#This Row],[Importe]]-Tabla1[[#This Row],[Pagado]]</f>
        <v>0</v>
      </c>
      <c r="I2844" s="275" t="s">
        <v>15214</v>
      </c>
    </row>
    <row r="2845" spans="1:9" x14ac:dyDescent="0.25">
      <c r="A2845" s="16">
        <v>42939</v>
      </c>
      <c r="B2845" s="273" t="s">
        <v>22748</v>
      </c>
      <c r="C2845">
        <v>120999</v>
      </c>
      <c r="D2845" s="236" t="s">
        <v>16023</v>
      </c>
      <c r="E2845" s="15">
        <v>1306.8</v>
      </c>
      <c r="F2845" s="274">
        <v>42939</v>
      </c>
      <c r="G2845" s="15">
        <v>1306.8</v>
      </c>
      <c r="H2845" s="15">
        <f>Tabla1[[#This Row],[Importe]]-Tabla1[[#This Row],[Pagado]]</f>
        <v>0</v>
      </c>
      <c r="I2845" s="275" t="s">
        <v>15214</v>
      </c>
    </row>
    <row r="2846" spans="1:9" x14ac:dyDescent="0.25">
      <c r="A2846" s="16">
        <v>42939</v>
      </c>
      <c r="B2846" s="273" t="s">
        <v>22749</v>
      </c>
      <c r="C2846">
        <v>121000</v>
      </c>
      <c r="D2846" s="236" t="s">
        <v>15371</v>
      </c>
      <c r="E2846" s="15">
        <v>2930.9</v>
      </c>
      <c r="F2846" s="274">
        <v>42940</v>
      </c>
      <c r="G2846" s="15">
        <v>2930.9</v>
      </c>
      <c r="H2846" s="15">
        <f>Tabla1[[#This Row],[Importe]]-Tabla1[[#This Row],[Pagado]]</f>
        <v>0</v>
      </c>
      <c r="I2846" s="275" t="s">
        <v>15214</v>
      </c>
    </row>
    <row r="2847" spans="1:9" x14ac:dyDescent="0.25">
      <c r="A2847" s="16">
        <v>42939</v>
      </c>
      <c r="B2847" s="273" t="s">
        <v>22750</v>
      </c>
      <c r="C2847">
        <v>121001</v>
      </c>
      <c r="D2847" s="236" t="s">
        <v>15280</v>
      </c>
      <c r="E2847" s="15">
        <v>5772.8</v>
      </c>
      <c r="F2847" s="274">
        <v>42939</v>
      </c>
      <c r="G2847" s="15">
        <v>5772.8</v>
      </c>
      <c r="H2847" s="15">
        <f>Tabla1[[#This Row],[Importe]]-Tabla1[[#This Row],[Pagado]]</f>
        <v>0</v>
      </c>
      <c r="I2847" s="275" t="s">
        <v>15214</v>
      </c>
    </row>
    <row r="2848" spans="1:9" x14ac:dyDescent="0.25">
      <c r="A2848" s="16">
        <v>42939</v>
      </c>
      <c r="B2848" s="273" t="s">
        <v>22751</v>
      </c>
      <c r="C2848">
        <v>121002</v>
      </c>
      <c r="D2848" s="236" t="s">
        <v>15553</v>
      </c>
      <c r="E2848" s="15">
        <v>3564.4</v>
      </c>
      <c r="F2848" s="274">
        <v>42940</v>
      </c>
      <c r="G2848" s="15">
        <v>3564.4</v>
      </c>
      <c r="H2848" s="15">
        <f>Tabla1[[#This Row],[Importe]]-Tabla1[[#This Row],[Pagado]]</f>
        <v>0</v>
      </c>
      <c r="I2848" s="275" t="s">
        <v>15214</v>
      </c>
    </row>
    <row r="2849" spans="1:9" x14ac:dyDescent="0.25">
      <c r="A2849" s="16">
        <v>42939</v>
      </c>
      <c r="B2849" s="273" t="s">
        <v>22752</v>
      </c>
      <c r="C2849">
        <v>121003</v>
      </c>
      <c r="D2849" s="236" t="s">
        <v>15523</v>
      </c>
      <c r="E2849" s="15">
        <v>3710</v>
      </c>
      <c r="F2849" s="274">
        <v>42940</v>
      </c>
      <c r="G2849" s="15">
        <v>3710</v>
      </c>
      <c r="H2849" s="15">
        <f>Tabla1[[#This Row],[Importe]]-Tabla1[[#This Row],[Pagado]]</f>
        <v>0</v>
      </c>
      <c r="I2849" s="275" t="s">
        <v>15214</v>
      </c>
    </row>
    <row r="2850" spans="1:9" x14ac:dyDescent="0.25">
      <c r="A2850" s="16">
        <v>42939</v>
      </c>
      <c r="B2850" s="273" t="s">
        <v>22753</v>
      </c>
      <c r="C2850">
        <v>121004</v>
      </c>
      <c r="D2850" s="236" t="s">
        <v>15342</v>
      </c>
      <c r="E2850" s="15">
        <v>390</v>
      </c>
      <c r="F2850" s="274">
        <v>42939</v>
      </c>
      <c r="G2850" s="15">
        <v>390</v>
      </c>
      <c r="H2850" s="15">
        <f>Tabla1[[#This Row],[Importe]]-Tabla1[[#This Row],[Pagado]]</f>
        <v>0</v>
      </c>
      <c r="I2850" s="275" t="s">
        <v>15214</v>
      </c>
    </row>
    <row r="2851" spans="1:9" x14ac:dyDescent="0.25">
      <c r="A2851" s="16">
        <v>42939</v>
      </c>
      <c r="B2851" s="273" t="s">
        <v>22754</v>
      </c>
      <c r="C2851">
        <v>121005</v>
      </c>
      <c r="D2851" s="236" t="s">
        <v>15334</v>
      </c>
      <c r="E2851" s="15">
        <v>1426</v>
      </c>
      <c r="F2851" s="274">
        <v>42940</v>
      </c>
      <c r="G2851" s="15">
        <v>1426</v>
      </c>
      <c r="H2851" s="15">
        <f>Tabla1[[#This Row],[Importe]]-Tabla1[[#This Row],[Pagado]]</f>
        <v>0</v>
      </c>
      <c r="I2851" s="275" t="s">
        <v>15214</v>
      </c>
    </row>
    <row r="2852" spans="1:9" x14ac:dyDescent="0.25">
      <c r="A2852" s="16">
        <v>42939</v>
      </c>
      <c r="B2852" s="273" t="s">
        <v>22755</v>
      </c>
      <c r="C2852">
        <v>121006</v>
      </c>
      <c r="D2852" s="236" t="s">
        <v>15315</v>
      </c>
      <c r="E2852" s="15">
        <v>18850.45</v>
      </c>
      <c r="F2852" s="274">
        <v>42939</v>
      </c>
      <c r="G2852" s="15">
        <v>18850.45</v>
      </c>
      <c r="H2852" s="15">
        <f>Tabla1[[#This Row],[Importe]]-Tabla1[[#This Row],[Pagado]]</f>
        <v>0</v>
      </c>
      <c r="I2852" s="275" t="s">
        <v>15214</v>
      </c>
    </row>
    <row r="2853" spans="1:9" x14ac:dyDescent="0.25">
      <c r="A2853" s="16">
        <v>42939</v>
      </c>
      <c r="B2853" s="273" t="s">
        <v>22756</v>
      </c>
      <c r="C2853">
        <v>121007</v>
      </c>
      <c r="D2853" s="236" t="s">
        <v>15282</v>
      </c>
      <c r="E2853" s="15">
        <v>780</v>
      </c>
      <c r="F2853" s="274">
        <v>42939</v>
      </c>
      <c r="G2853" s="15">
        <v>780</v>
      </c>
      <c r="H2853" s="15">
        <f>Tabla1[[#This Row],[Importe]]-Tabla1[[#This Row],[Pagado]]</f>
        <v>0</v>
      </c>
      <c r="I2853" s="275" t="s">
        <v>15214</v>
      </c>
    </row>
    <row r="2854" spans="1:9" x14ac:dyDescent="0.25">
      <c r="A2854" s="16">
        <v>42939</v>
      </c>
      <c r="B2854" s="273" t="s">
        <v>22757</v>
      </c>
      <c r="C2854">
        <v>121008</v>
      </c>
      <c r="D2854" s="236" t="s">
        <v>15315</v>
      </c>
      <c r="E2854" s="15">
        <v>662.4</v>
      </c>
      <c r="F2854" s="274">
        <v>42939</v>
      </c>
      <c r="G2854" s="15">
        <v>662.4</v>
      </c>
      <c r="H2854" s="15">
        <f>Tabla1[[#This Row],[Importe]]-Tabla1[[#This Row],[Pagado]]</f>
        <v>0</v>
      </c>
      <c r="I2854" s="275" t="s">
        <v>15214</v>
      </c>
    </row>
    <row r="2855" spans="1:9" x14ac:dyDescent="0.25">
      <c r="A2855" s="16">
        <v>42939</v>
      </c>
      <c r="B2855" s="273" t="s">
        <v>22758</v>
      </c>
      <c r="C2855">
        <v>121009</v>
      </c>
      <c r="D2855" s="236" t="s">
        <v>15398</v>
      </c>
      <c r="E2855" s="15">
        <v>2292.1</v>
      </c>
      <c r="F2855" s="274">
        <v>42939</v>
      </c>
      <c r="G2855" s="15">
        <v>2292.1</v>
      </c>
      <c r="H2855" s="15">
        <f>Tabla1[[#This Row],[Importe]]-Tabla1[[#This Row],[Pagado]]</f>
        <v>0</v>
      </c>
      <c r="I2855" s="275" t="s">
        <v>15214</v>
      </c>
    </row>
    <row r="2856" spans="1:9" x14ac:dyDescent="0.25">
      <c r="A2856" s="16">
        <v>42939</v>
      </c>
      <c r="B2856" s="273" t="s">
        <v>22759</v>
      </c>
      <c r="C2856">
        <v>121010</v>
      </c>
      <c r="D2856" s="236" t="s">
        <v>16261</v>
      </c>
      <c r="E2856" s="15">
        <v>8788.6</v>
      </c>
      <c r="F2856" s="274">
        <v>42939</v>
      </c>
      <c r="G2856" s="15">
        <v>8788.6</v>
      </c>
      <c r="H2856" s="15">
        <f>Tabla1[[#This Row],[Importe]]-Tabla1[[#This Row],[Pagado]]</f>
        <v>0</v>
      </c>
      <c r="I2856" s="275" t="s">
        <v>15214</v>
      </c>
    </row>
    <row r="2857" spans="1:9" x14ac:dyDescent="0.25">
      <c r="A2857" s="16">
        <v>42939</v>
      </c>
      <c r="B2857" s="273" t="s">
        <v>22760</v>
      </c>
      <c r="C2857">
        <v>121011</v>
      </c>
      <c r="D2857" s="236" t="s">
        <v>15530</v>
      </c>
      <c r="E2857" s="15">
        <v>3383.7</v>
      </c>
      <c r="F2857" s="274">
        <v>42939</v>
      </c>
      <c r="G2857" s="15">
        <v>3383.7</v>
      </c>
      <c r="H2857" s="15">
        <f>Tabla1[[#This Row],[Importe]]-Tabla1[[#This Row],[Pagado]]</f>
        <v>0</v>
      </c>
      <c r="I2857" s="275" t="s">
        <v>15214</v>
      </c>
    </row>
    <row r="2858" spans="1:9" x14ac:dyDescent="0.25">
      <c r="A2858" s="16">
        <v>42939</v>
      </c>
      <c r="B2858" s="273" t="s">
        <v>22761</v>
      </c>
      <c r="C2858">
        <v>121012</v>
      </c>
      <c r="D2858" s="236" t="s">
        <v>19768</v>
      </c>
      <c r="E2858" s="15">
        <v>3180</v>
      </c>
      <c r="F2858" s="274">
        <v>42939</v>
      </c>
      <c r="G2858" s="15">
        <v>3180</v>
      </c>
      <c r="H2858" s="15">
        <f>Tabla1[[#This Row],[Importe]]-Tabla1[[#This Row],[Pagado]]</f>
        <v>0</v>
      </c>
      <c r="I2858" s="275" t="s">
        <v>15214</v>
      </c>
    </row>
    <row r="2859" spans="1:9" x14ac:dyDescent="0.25">
      <c r="A2859" s="16">
        <v>42939</v>
      </c>
      <c r="B2859" s="273" t="s">
        <v>22762</v>
      </c>
      <c r="C2859">
        <v>121013</v>
      </c>
      <c r="D2859" s="236" t="s">
        <v>16126</v>
      </c>
      <c r="E2859" s="15">
        <v>1402.8</v>
      </c>
      <c r="F2859" s="274">
        <v>42939</v>
      </c>
      <c r="G2859" s="15">
        <v>1402.8</v>
      </c>
      <c r="H2859" s="15">
        <f>Tabla1[[#This Row],[Importe]]-Tabla1[[#This Row],[Pagado]]</f>
        <v>0</v>
      </c>
      <c r="I2859" s="275" t="s">
        <v>15214</v>
      </c>
    </row>
    <row r="2860" spans="1:9" x14ac:dyDescent="0.25">
      <c r="A2860" s="16">
        <v>42939</v>
      </c>
      <c r="B2860" s="273" t="s">
        <v>22763</v>
      </c>
      <c r="C2860">
        <v>121014</v>
      </c>
      <c r="D2860" s="236" t="s">
        <v>15340</v>
      </c>
      <c r="E2860" s="15">
        <v>9773</v>
      </c>
      <c r="F2860" s="274">
        <v>42940</v>
      </c>
      <c r="G2860" s="15">
        <v>9773</v>
      </c>
      <c r="H2860" s="15">
        <f>Tabla1[[#This Row],[Importe]]-Tabla1[[#This Row],[Pagado]]</f>
        <v>0</v>
      </c>
      <c r="I2860" s="275" t="s">
        <v>15214</v>
      </c>
    </row>
    <row r="2861" spans="1:9" x14ac:dyDescent="0.25">
      <c r="A2861" s="16">
        <v>42939</v>
      </c>
      <c r="B2861" s="273" t="s">
        <v>22764</v>
      </c>
      <c r="C2861">
        <v>121015</v>
      </c>
      <c r="D2861" s="236" t="s">
        <v>15526</v>
      </c>
      <c r="E2861" s="15">
        <v>4284.5</v>
      </c>
      <c r="F2861" s="274">
        <v>42940</v>
      </c>
      <c r="G2861" s="15">
        <v>4284.5</v>
      </c>
      <c r="H2861" s="15">
        <f>Tabla1[[#This Row],[Importe]]-Tabla1[[#This Row],[Pagado]]</f>
        <v>0</v>
      </c>
      <c r="I2861" s="275" t="s">
        <v>15214</v>
      </c>
    </row>
    <row r="2862" spans="1:9" x14ac:dyDescent="0.25">
      <c r="A2862" s="16">
        <v>42939</v>
      </c>
      <c r="B2862" s="273" t="s">
        <v>22765</v>
      </c>
      <c r="C2862">
        <v>121016</v>
      </c>
      <c r="D2862" s="236" t="s">
        <v>15344</v>
      </c>
      <c r="E2862" s="15">
        <v>2222</v>
      </c>
      <c r="F2862" s="274">
        <v>42940</v>
      </c>
      <c r="G2862" s="15">
        <v>2222</v>
      </c>
      <c r="H2862" s="15">
        <f>Tabla1[[#This Row],[Importe]]-Tabla1[[#This Row],[Pagado]]</f>
        <v>0</v>
      </c>
      <c r="I2862" s="275" t="s">
        <v>15214</v>
      </c>
    </row>
    <row r="2863" spans="1:9" x14ac:dyDescent="0.25">
      <c r="A2863" s="16">
        <v>42939</v>
      </c>
      <c r="B2863" s="273" t="s">
        <v>22766</v>
      </c>
      <c r="C2863">
        <v>121017</v>
      </c>
      <c r="D2863" s="236" t="s">
        <v>15332</v>
      </c>
      <c r="E2863" s="15">
        <v>3589.6</v>
      </c>
      <c r="F2863" s="274">
        <v>42940</v>
      </c>
      <c r="G2863" s="15">
        <v>3589.6</v>
      </c>
      <c r="H2863" s="15">
        <f>Tabla1[[#This Row],[Importe]]-Tabla1[[#This Row],[Pagado]]</f>
        <v>0</v>
      </c>
      <c r="I2863" s="275" t="s">
        <v>15214</v>
      </c>
    </row>
    <row r="2864" spans="1:9" x14ac:dyDescent="0.25">
      <c r="A2864" s="16">
        <v>42939</v>
      </c>
      <c r="B2864" s="273" t="s">
        <v>22767</v>
      </c>
      <c r="C2864">
        <v>121018</v>
      </c>
      <c r="D2864" s="236" t="s">
        <v>15252</v>
      </c>
      <c r="E2864" s="15">
        <v>4400.3999999999996</v>
      </c>
      <c r="F2864" s="274">
        <v>42943</v>
      </c>
      <c r="G2864" s="15">
        <v>4400.3999999999996</v>
      </c>
      <c r="H2864" s="15">
        <f>Tabla1[[#This Row],[Importe]]-Tabla1[[#This Row],[Pagado]]</f>
        <v>0</v>
      </c>
      <c r="I2864" s="275" t="s">
        <v>15214</v>
      </c>
    </row>
    <row r="2865" spans="1:9" x14ac:dyDescent="0.25">
      <c r="A2865" s="16">
        <v>42939</v>
      </c>
      <c r="B2865" s="273" t="s">
        <v>22768</v>
      </c>
      <c r="C2865">
        <v>121019</v>
      </c>
      <c r="D2865" s="236" t="s">
        <v>15254</v>
      </c>
      <c r="E2865" s="15">
        <v>14532.7</v>
      </c>
      <c r="F2865" s="274">
        <v>42943</v>
      </c>
      <c r="G2865" s="15">
        <v>14532.7</v>
      </c>
      <c r="H2865" s="15">
        <f>Tabla1[[#This Row],[Importe]]-Tabla1[[#This Row],[Pagado]]</f>
        <v>0</v>
      </c>
      <c r="I2865" s="275" t="s">
        <v>15214</v>
      </c>
    </row>
    <row r="2866" spans="1:9" x14ac:dyDescent="0.25">
      <c r="A2866" s="16">
        <v>42939</v>
      </c>
      <c r="B2866" s="273" t="s">
        <v>22769</v>
      </c>
      <c r="C2866">
        <v>121020</v>
      </c>
      <c r="D2866" s="236" t="s">
        <v>15244</v>
      </c>
      <c r="E2866" s="15">
        <v>19020.099999999999</v>
      </c>
      <c r="F2866" s="274">
        <v>42943</v>
      </c>
      <c r="G2866" s="15">
        <v>19020.099999999999</v>
      </c>
      <c r="H2866" s="15">
        <f>Tabla1[[#This Row],[Importe]]-Tabla1[[#This Row],[Pagado]]</f>
        <v>0</v>
      </c>
      <c r="I2866" s="275" t="s">
        <v>15214</v>
      </c>
    </row>
    <row r="2867" spans="1:9" x14ac:dyDescent="0.25">
      <c r="A2867" s="16">
        <v>42939</v>
      </c>
      <c r="B2867" s="273" t="s">
        <v>22770</v>
      </c>
      <c r="C2867">
        <v>121021</v>
      </c>
      <c r="D2867" s="236" t="s">
        <v>15577</v>
      </c>
      <c r="E2867" s="15">
        <v>260</v>
      </c>
      <c r="F2867" s="274">
        <v>42939</v>
      </c>
      <c r="G2867" s="15">
        <v>260</v>
      </c>
      <c r="H2867" s="15">
        <f>Tabla1[[#This Row],[Importe]]-Tabla1[[#This Row],[Pagado]]</f>
        <v>0</v>
      </c>
      <c r="I2867" s="275" t="s">
        <v>15214</v>
      </c>
    </row>
    <row r="2868" spans="1:9" x14ac:dyDescent="0.25">
      <c r="A2868" s="16">
        <v>42939</v>
      </c>
      <c r="B2868" s="273" t="s">
        <v>22771</v>
      </c>
      <c r="C2868">
        <v>121022</v>
      </c>
      <c r="D2868" s="236" t="s">
        <v>15284</v>
      </c>
      <c r="E2868" s="15">
        <v>1380.5</v>
      </c>
      <c r="F2868" s="274">
        <v>42939</v>
      </c>
      <c r="G2868" s="15">
        <v>1380.5</v>
      </c>
      <c r="H2868" s="15">
        <f>Tabla1[[#This Row],[Importe]]-Tabla1[[#This Row],[Pagado]]</f>
        <v>0</v>
      </c>
      <c r="I2868" s="275" t="s">
        <v>15214</v>
      </c>
    </row>
    <row r="2869" spans="1:9" x14ac:dyDescent="0.25">
      <c r="A2869" s="16">
        <v>42939</v>
      </c>
      <c r="B2869" s="273" t="s">
        <v>22772</v>
      </c>
      <c r="C2869">
        <v>121023</v>
      </c>
      <c r="D2869" s="236" t="s">
        <v>15286</v>
      </c>
      <c r="E2869" s="15">
        <v>10439.6</v>
      </c>
      <c r="F2869" s="274">
        <v>42940</v>
      </c>
      <c r="G2869" s="15">
        <v>10439.6</v>
      </c>
      <c r="H2869" s="15">
        <f>Tabla1[[#This Row],[Importe]]-Tabla1[[#This Row],[Pagado]]</f>
        <v>0</v>
      </c>
      <c r="I2869" s="275" t="s">
        <v>15214</v>
      </c>
    </row>
    <row r="2870" spans="1:9" x14ac:dyDescent="0.25">
      <c r="A2870" s="16">
        <v>42939</v>
      </c>
      <c r="B2870" s="273" t="s">
        <v>22773</v>
      </c>
      <c r="C2870">
        <v>121024</v>
      </c>
      <c r="D2870" s="236" t="s">
        <v>15265</v>
      </c>
      <c r="E2870" s="15">
        <v>2550</v>
      </c>
      <c r="F2870" s="274">
        <v>42942</v>
      </c>
      <c r="G2870" s="15">
        <v>2550</v>
      </c>
      <c r="H2870" s="15">
        <f>Tabla1[[#This Row],[Importe]]-Tabla1[[#This Row],[Pagado]]</f>
        <v>0</v>
      </c>
      <c r="I2870" s="275" t="s">
        <v>15214</v>
      </c>
    </row>
    <row r="2871" spans="1:9" x14ac:dyDescent="0.25">
      <c r="A2871" s="16">
        <v>42939</v>
      </c>
      <c r="B2871" s="273" t="s">
        <v>22774</v>
      </c>
      <c r="C2871">
        <v>121025</v>
      </c>
      <c r="D2871" s="236" t="s">
        <v>15267</v>
      </c>
      <c r="E2871" s="15">
        <v>3808.2</v>
      </c>
      <c r="F2871" s="274">
        <v>42940</v>
      </c>
      <c r="G2871" s="15">
        <v>3808.2</v>
      </c>
      <c r="H2871" s="15">
        <f>Tabla1[[#This Row],[Importe]]-Tabla1[[#This Row],[Pagado]]</f>
        <v>0</v>
      </c>
      <c r="I2871" s="275" t="s">
        <v>15214</v>
      </c>
    </row>
    <row r="2872" spans="1:9" x14ac:dyDescent="0.25">
      <c r="A2872" s="16">
        <v>42939</v>
      </c>
      <c r="B2872" s="273" t="s">
        <v>22775</v>
      </c>
      <c r="C2872">
        <v>121026</v>
      </c>
      <c r="D2872" s="236" t="s">
        <v>19776</v>
      </c>
      <c r="E2872" s="15">
        <v>36400</v>
      </c>
      <c r="F2872" s="274">
        <v>42939</v>
      </c>
      <c r="G2872" s="15">
        <v>36400</v>
      </c>
      <c r="H2872" s="15">
        <f>Tabla1[[#This Row],[Importe]]-Tabla1[[#This Row],[Pagado]]</f>
        <v>0</v>
      </c>
      <c r="I2872" s="275" t="s">
        <v>15214</v>
      </c>
    </row>
    <row r="2873" spans="1:9" x14ac:dyDescent="0.25">
      <c r="A2873" s="16">
        <v>42939</v>
      </c>
      <c r="B2873" s="273" t="s">
        <v>22776</v>
      </c>
      <c r="C2873">
        <v>121027</v>
      </c>
      <c r="D2873" s="236" t="s">
        <v>15745</v>
      </c>
      <c r="E2873" s="15">
        <v>1942.56</v>
      </c>
      <c r="F2873" s="274">
        <v>42940</v>
      </c>
      <c r="G2873" s="15">
        <v>1942.56</v>
      </c>
      <c r="H2873" s="15">
        <f>Tabla1[[#This Row],[Importe]]-Tabla1[[#This Row],[Pagado]]</f>
        <v>0</v>
      </c>
      <c r="I2873" s="275" t="s">
        <v>15214</v>
      </c>
    </row>
    <row r="2874" spans="1:9" x14ac:dyDescent="0.25">
      <c r="A2874" s="16">
        <v>42939</v>
      </c>
      <c r="B2874" s="273" t="s">
        <v>22777</v>
      </c>
      <c r="C2874">
        <v>121028</v>
      </c>
      <c r="D2874" s="236" t="s">
        <v>15562</v>
      </c>
      <c r="E2874" s="15">
        <v>3704.7</v>
      </c>
      <c r="F2874" s="274">
        <v>42939</v>
      </c>
      <c r="G2874" s="15">
        <v>3704.7</v>
      </c>
      <c r="H2874" s="15">
        <f>Tabla1[[#This Row],[Importe]]-Tabla1[[#This Row],[Pagado]]</f>
        <v>0</v>
      </c>
      <c r="I2874" s="275" t="s">
        <v>15214</v>
      </c>
    </row>
    <row r="2875" spans="1:9" ht="30" x14ac:dyDescent="0.25">
      <c r="A2875" s="16">
        <v>42939</v>
      </c>
      <c r="B2875" s="273" t="s">
        <v>22778</v>
      </c>
      <c r="C2875">
        <v>121029</v>
      </c>
      <c r="D2875" s="236" t="s">
        <v>15246</v>
      </c>
      <c r="E2875" s="15">
        <v>8441.7000000000007</v>
      </c>
      <c r="F2875" s="274" t="s">
        <v>22779</v>
      </c>
      <c r="G2875" s="15">
        <v>8441.7000000000007</v>
      </c>
      <c r="H2875" s="15">
        <f>Tabla1[[#This Row],[Importe]]-Tabla1[[#This Row],[Pagado]]</f>
        <v>0</v>
      </c>
      <c r="I2875" s="275" t="s">
        <v>15214</v>
      </c>
    </row>
    <row r="2876" spans="1:9" x14ac:dyDescent="0.25">
      <c r="A2876" s="16">
        <v>42939</v>
      </c>
      <c r="B2876" s="273" t="s">
        <v>22780</v>
      </c>
      <c r="C2876">
        <v>121030</v>
      </c>
      <c r="D2876" s="236" t="s">
        <v>19776</v>
      </c>
      <c r="E2876" s="15">
        <v>260</v>
      </c>
      <c r="F2876" s="274">
        <v>42939</v>
      </c>
      <c r="G2876" s="15">
        <v>260</v>
      </c>
      <c r="H2876" s="15">
        <f>Tabla1[[#This Row],[Importe]]-Tabla1[[#This Row],[Pagado]]</f>
        <v>0</v>
      </c>
      <c r="I2876" s="275" t="s">
        <v>15214</v>
      </c>
    </row>
    <row r="2877" spans="1:9" ht="30" x14ac:dyDescent="0.25">
      <c r="A2877" s="16">
        <v>42939</v>
      </c>
      <c r="B2877" s="273" t="s">
        <v>22781</v>
      </c>
      <c r="C2877">
        <v>121031</v>
      </c>
      <c r="D2877" s="236" t="s">
        <v>15246</v>
      </c>
      <c r="E2877" s="15">
        <v>14665.1</v>
      </c>
      <c r="F2877" s="274" t="s">
        <v>22782</v>
      </c>
      <c r="G2877" s="15">
        <v>14665.1</v>
      </c>
      <c r="H2877" s="15">
        <f>Tabla1[[#This Row],[Importe]]-Tabla1[[#This Row],[Pagado]]</f>
        <v>0</v>
      </c>
      <c r="I2877" s="275" t="s">
        <v>15214</v>
      </c>
    </row>
    <row r="2878" spans="1:9" x14ac:dyDescent="0.25">
      <c r="A2878" s="16">
        <v>42939</v>
      </c>
      <c r="B2878" s="273" t="s">
        <v>22783</v>
      </c>
      <c r="C2878">
        <v>121032</v>
      </c>
      <c r="D2878" s="236" t="s">
        <v>15391</v>
      </c>
      <c r="E2878" s="15">
        <v>10373</v>
      </c>
      <c r="F2878" s="274">
        <v>42940</v>
      </c>
      <c r="G2878" s="15">
        <v>10373</v>
      </c>
      <c r="H2878" s="15">
        <f>Tabla1[[#This Row],[Importe]]-Tabla1[[#This Row],[Pagado]]</f>
        <v>0</v>
      </c>
      <c r="I2878" s="275" t="s">
        <v>15214</v>
      </c>
    </row>
    <row r="2879" spans="1:9" x14ac:dyDescent="0.25">
      <c r="A2879" s="16">
        <v>42939</v>
      </c>
      <c r="B2879" s="273" t="s">
        <v>22784</v>
      </c>
      <c r="C2879">
        <v>121033</v>
      </c>
      <c r="D2879" s="236" t="s">
        <v>16297</v>
      </c>
      <c r="E2879" s="15">
        <v>10149.6</v>
      </c>
      <c r="F2879" s="279">
        <v>42983</v>
      </c>
      <c r="G2879" s="35">
        <v>10149.6</v>
      </c>
      <c r="H2879" s="15">
        <f>Tabla1[[#This Row],[Importe]]-Tabla1[[#This Row],[Pagado]]</f>
        <v>0</v>
      </c>
      <c r="I2879" s="275" t="s">
        <v>15214</v>
      </c>
    </row>
    <row r="2880" spans="1:9" x14ac:dyDescent="0.25">
      <c r="A2880" s="16">
        <v>42939</v>
      </c>
      <c r="B2880" s="273" t="s">
        <v>22785</v>
      </c>
      <c r="C2880">
        <v>121034</v>
      </c>
      <c r="D2880" s="236" t="s">
        <v>15267</v>
      </c>
      <c r="E2880" s="15">
        <v>1291.2</v>
      </c>
      <c r="F2880" s="274">
        <v>42940</v>
      </c>
      <c r="G2880" s="15">
        <v>1291.2</v>
      </c>
      <c r="H2880" s="15">
        <f>Tabla1[[#This Row],[Importe]]-Tabla1[[#This Row],[Pagado]]</f>
        <v>0</v>
      </c>
      <c r="I2880" s="275" t="s">
        <v>15214</v>
      </c>
    </row>
    <row r="2881" spans="1:9" x14ac:dyDescent="0.25">
      <c r="A2881" s="16">
        <v>42939</v>
      </c>
      <c r="B2881" s="273" t="s">
        <v>22786</v>
      </c>
      <c r="C2881">
        <v>121035</v>
      </c>
      <c r="D2881" s="236" t="s">
        <v>15725</v>
      </c>
      <c r="E2881" s="15">
        <v>6318</v>
      </c>
      <c r="F2881" s="274">
        <v>42946</v>
      </c>
      <c r="G2881" s="15">
        <v>6318</v>
      </c>
      <c r="H2881" s="15">
        <f>Tabla1[[#This Row],[Importe]]-Tabla1[[#This Row],[Pagado]]</f>
        <v>0</v>
      </c>
      <c r="I2881" s="275" t="s">
        <v>15214</v>
      </c>
    </row>
    <row r="2882" spans="1:9" x14ac:dyDescent="0.25">
      <c r="A2882" s="16">
        <v>42939</v>
      </c>
      <c r="B2882" s="273" t="s">
        <v>22787</v>
      </c>
      <c r="C2882">
        <v>121036</v>
      </c>
      <c r="D2882" s="236" t="s">
        <v>15385</v>
      </c>
      <c r="E2882" s="15">
        <v>8748.7999999999993</v>
      </c>
      <c r="F2882" s="274">
        <v>42940</v>
      </c>
      <c r="G2882" s="15">
        <v>8748.7999999999993</v>
      </c>
      <c r="H2882" s="15">
        <f>Tabla1[[#This Row],[Importe]]-Tabla1[[#This Row],[Pagado]]</f>
        <v>0</v>
      </c>
      <c r="I2882" s="275" t="s">
        <v>15214</v>
      </c>
    </row>
    <row r="2883" spans="1:9" x14ac:dyDescent="0.25">
      <c r="A2883" s="16">
        <v>42939</v>
      </c>
      <c r="B2883" s="273" t="s">
        <v>22788</v>
      </c>
      <c r="C2883">
        <v>121037</v>
      </c>
      <c r="D2883" s="236" t="s">
        <v>15361</v>
      </c>
      <c r="E2883" s="15">
        <v>6068</v>
      </c>
      <c r="F2883" s="274">
        <v>42941</v>
      </c>
      <c r="G2883" s="15">
        <v>6068</v>
      </c>
      <c r="H2883" s="15">
        <f>Tabla1[[#This Row],[Importe]]-Tabla1[[#This Row],[Pagado]]</f>
        <v>0</v>
      </c>
      <c r="I2883" s="275" t="s">
        <v>15214</v>
      </c>
    </row>
    <row r="2884" spans="1:9" x14ac:dyDescent="0.25">
      <c r="A2884" s="16">
        <v>42939</v>
      </c>
      <c r="B2884" s="273" t="s">
        <v>22789</v>
      </c>
      <c r="C2884">
        <v>121038</v>
      </c>
      <c r="D2884" s="236" t="s">
        <v>15376</v>
      </c>
      <c r="E2884" s="15">
        <v>7075.6</v>
      </c>
      <c r="F2884" s="274">
        <v>42940</v>
      </c>
      <c r="G2884" s="15">
        <v>7075.6</v>
      </c>
      <c r="H2884" s="15">
        <f>Tabla1[[#This Row],[Importe]]-Tabla1[[#This Row],[Pagado]]</f>
        <v>0</v>
      </c>
      <c r="I2884" s="275" t="s">
        <v>15214</v>
      </c>
    </row>
    <row r="2885" spans="1:9" x14ac:dyDescent="0.25">
      <c r="A2885" s="16">
        <v>42939</v>
      </c>
      <c r="B2885" s="273" t="s">
        <v>22790</v>
      </c>
      <c r="C2885">
        <v>121039</v>
      </c>
      <c r="D2885" s="236" t="s">
        <v>15363</v>
      </c>
      <c r="E2885" s="15">
        <v>3047.5</v>
      </c>
      <c r="F2885" s="274">
        <v>42940</v>
      </c>
      <c r="G2885" s="15">
        <v>3047.5</v>
      </c>
      <c r="H2885" s="15">
        <f>Tabla1[[#This Row],[Importe]]-Tabla1[[#This Row],[Pagado]]</f>
        <v>0</v>
      </c>
      <c r="I2885" s="275" t="s">
        <v>15214</v>
      </c>
    </row>
    <row r="2886" spans="1:9" x14ac:dyDescent="0.25">
      <c r="A2886" s="16">
        <v>42939</v>
      </c>
      <c r="B2886" s="273" t="s">
        <v>22791</v>
      </c>
      <c r="C2886">
        <v>121040</v>
      </c>
      <c r="D2886" s="236" t="s">
        <v>15315</v>
      </c>
      <c r="E2886" s="15">
        <v>488.8</v>
      </c>
      <c r="F2886" s="274">
        <v>42939</v>
      </c>
      <c r="G2886" s="15">
        <v>488.8</v>
      </c>
      <c r="H2886" s="15">
        <f>Tabla1[[#This Row],[Importe]]-Tabla1[[#This Row],[Pagado]]</f>
        <v>0</v>
      </c>
      <c r="I2886" s="275" t="s">
        <v>15214</v>
      </c>
    </row>
    <row r="2887" spans="1:9" x14ac:dyDescent="0.25">
      <c r="A2887" s="16">
        <v>42939</v>
      </c>
      <c r="B2887" s="273" t="s">
        <v>22792</v>
      </c>
      <c r="C2887">
        <v>121041</v>
      </c>
      <c r="D2887" s="236" t="s">
        <v>15435</v>
      </c>
      <c r="E2887" s="15">
        <v>7390.8</v>
      </c>
      <c r="F2887" s="274">
        <v>42939</v>
      </c>
      <c r="G2887" s="15">
        <v>7390.8</v>
      </c>
      <c r="H2887" s="15">
        <f>Tabla1[[#This Row],[Importe]]-Tabla1[[#This Row],[Pagado]]</f>
        <v>0</v>
      </c>
      <c r="I2887" s="275" t="s">
        <v>15214</v>
      </c>
    </row>
    <row r="2888" spans="1:9" x14ac:dyDescent="0.25">
      <c r="A2888" s="16">
        <v>42939</v>
      </c>
      <c r="B2888" s="273" t="s">
        <v>22793</v>
      </c>
      <c r="C2888">
        <v>121042</v>
      </c>
      <c r="D2888" s="236" t="s">
        <v>15328</v>
      </c>
      <c r="E2888" s="15">
        <v>700</v>
      </c>
      <c r="F2888" s="274">
        <v>42939</v>
      </c>
      <c r="G2888" s="15">
        <v>700</v>
      </c>
      <c r="H2888" s="15">
        <f>Tabla1[[#This Row],[Importe]]-Tabla1[[#This Row],[Pagado]]</f>
        <v>0</v>
      </c>
      <c r="I2888" s="275" t="s">
        <v>15214</v>
      </c>
    </row>
    <row r="2889" spans="1:9" x14ac:dyDescent="0.25">
      <c r="A2889" s="16">
        <v>42939</v>
      </c>
      <c r="B2889" s="273" t="s">
        <v>22794</v>
      </c>
      <c r="C2889">
        <v>121043</v>
      </c>
      <c r="D2889" s="236" t="s">
        <v>15706</v>
      </c>
      <c r="E2889" s="15">
        <v>802.2</v>
      </c>
      <c r="F2889" s="274">
        <v>42940</v>
      </c>
      <c r="G2889" s="15">
        <v>802.2</v>
      </c>
      <c r="H2889" s="15">
        <f>Tabla1[[#This Row],[Importe]]-Tabla1[[#This Row],[Pagado]]</f>
        <v>0</v>
      </c>
      <c r="I2889" s="275" t="s">
        <v>15214</v>
      </c>
    </row>
    <row r="2890" spans="1:9" x14ac:dyDescent="0.25">
      <c r="A2890" s="16">
        <v>42939</v>
      </c>
      <c r="B2890" s="273" t="s">
        <v>22795</v>
      </c>
      <c r="C2890">
        <v>121044</v>
      </c>
      <c r="D2890" s="236" t="s">
        <v>19756</v>
      </c>
      <c r="E2890" s="15">
        <v>2175.6</v>
      </c>
      <c r="F2890" s="274">
        <v>42940</v>
      </c>
      <c r="G2890" s="15">
        <v>2175.6</v>
      </c>
      <c r="H2890" s="15">
        <f>Tabla1[[#This Row],[Importe]]-Tabla1[[#This Row],[Pagado]]</f>
        <v>0</v>
      </c>
      <c r="I2890" s="275" t="s">
        <v>15214</v>
      </c>
    </row>
    <row r="2891" spans="1:9" ht="15.75" x14ac:dyDescent="0.25">
      <c r="A2891" s="16">
        <v>42939</v>
      </c>
      <c r="B2891" s="273" t="s">
        <v>22796</v>
      </c>
      <c r="C2891">
        <v>121045</v>
      </c>
      <c r="D2891" s="248" t="s">
        <v>22797</v>
      </c>
      <c r="E2891" s="15">
        <v>0</v>
      </c>
      <c r="F2891" s="277" t="s">
        <v>95</v>
      </c>
      <c r="G2891" s="15">
        <v>0</v>
      </c>
      <c r="H2891" s="15">
        <f>Tabla1[[#This Row],[Importe]]-Tabla1[[#This Row],[Pagado]]</f>
        <v>0</v>
      </c>
      <c r="I2891" s="286" t="s">
        <v>21841</v>
      </c>
    </row>
    <row r="2892" spans="1:9" x14ac:dyDescent="0.25">
      <c r="A2892" s="16">
        <v>42940</v>
      </c>
      <c r="B2892" s="273" t="s">
        <v>22798</v>
      </c>
      <c r="C2892">
        <v>121046</v>
      </c>
      <c r="D2892" s="236" t="s">
        <v>21386</v>
      </c>
      <c r="E2892" s="15">
        <v>10159.6</v>
      </c>
      <c r="F2892" s="274">
        <v>42942</v>
      </c>
      <c r="G2892" s="15">
        <v>10159.6</v>
      </c>
      <c r="H2892" s="15">
        <f>Tabla1[[#This Row],[Importe]]-Tabla1[[#This Row],[Pagado]]</f>
        <v>0</v>
      </c>
      <c r="I2892" s="275" t="s">
        <v>15214</v>
      </c>
    </row>
    <row r="2893" spans="1:9" ht="15.75" x14ac:dyDescent="0.25">
      <c r="A2893" s="16">
        <v>42940</v>
      </c>
      <c r="B2893" s="273" t="s">
        <v>22799</v>
      </c>
      <c r="C2893">
        <v>121047</v>
      </c>
      <c r="D2893" s="236" t="s">
        <v>95</v>
      </c>
      <c r="E2893" s="15">
        <v>0</v>
      </c>
      <c r="F2893" s="277" t="s">
        <v>95</v>
      </c>
      <c r="G2893" s="15">
        <v>0</v>
      </c>
      <c r="H2893" s="15">
        <f>Tabla1[[#This Row],[Importe]]-Tabla1[[#This Row],[Pagado]]</f>
        <v>0</v>
      </c>
      <c r="I2893" s="282" t="s">
        <v>22800</v>
      </c>
    </row>
    <row r="2894" spans="1:9" x14ac:dyDescent="0.25">
      <c r="A2894" s="16">
        <v>42940</v>
      </c>
      <c r="B2894" s="273" t="s">
        <v>22801</v>
      </c>
      <c r="C2894">
        <v>121048</v>
      </c>
      <c r="D2894" s="236" t="s">
        <v>19302</v>
      </c>
      <c r="E2894" s="15">
        <v>1060</v>
      </c>
      <c r="F2894" s="274">
        <v>42940</v>
      </c>
      <c r="G2894" s="15">
        <v>1060</v>
      </c>
      <c r="H2894" s="15">
        <f>Tabla1[[#This Row],[Importe]]-Tabla1[[#This Row],[Pagado]]</f>
        <v>0</v>
      </c>
      <c r="I2894" s="275" t="s">
        <v>15214</v>
      </c>
    </row>
    <row r="2895" spans="1:9" x14ac:dyDescent="0.25">
      <c r="A2895" s="16">
        <v>42940</v>
      </c>
      <c r="B2895" s="273" t="s">
        <v>22802</v>
      </c>
      <c r="C2895">
        <v>121049</v>
      </c>
      <c r="D2895" s="236" t="s">
        <v>15220</v>
      </c>
      <c r="E2895" s="15">
        <v>2650</v>
      </c>
      <c r="F2895" s="274">
        <v>42940</v>
      </c>
      <c r="G2895" s="15">
        <v>2650</v>
      </c>
      <c r="H2895" s="15">
        <f>Tabla1[[#This Row],[Importe]]-Tabla1[[#This Row],[Pagado]]</f>
        <v>0</v>
      </c>
      <c r="I2895" s="275" t="s">
        <v>15214</v>
      </c>
    </row>
    <row r="2896" spans="1:9" x14ac:dyDescent="0.25">
      <c r="A2896" s="16">
        <v>42940</v>
      </c>
      <c r="B2896" s="273" t="s">
        <v>22803</v>
      </c>
      <c r="C2896">
        <v>121050</v>
      </c>
      <c r="D2896" s="236" t="s">
        <v>18544</v>
      </c>
      <c r="E2896" s="15">
        <v>7174.8</v>
      </c>
      <c r="F2896" s="274">
        <v>42940</v>
      </c>
      <c r="G2896" s="15">
        <v>7174.8</v>
      </c>
      <c r="H2896" s="15">
        <f>Tabla1[[#This Row],[Importe]]-Tabla1[[#This Row],[Pagado]]</f>
        <v>0</v>
      </c>
      <c r="I2896" s="275" t="s">
        <v>15214</v>
      </c>
    </row>
    <row r="2897" spans="1:9" x14ac:dyDescent="0.25">
      <c r="A2897" s="16">
        <v>42940</v>
      </c>
      <c r="B2897" s="273" t="s">
        <v>22804</v>
      </c>
      <c r="C2897">
        <v>121051</v>
      </c>
      <c r="D2897" s="236" t="s">
        <v>15340</v>
      </c>
      <c r="E2897" s="15">
        <v>3142.9</v>
      </c>
      <c r="F2897" s="274">
        <v>42940</v>
      </c>
      <c r="G2897" s="15">
        <v>3142.9</v>
      </c>
      <c r="H2897" s="15">
        <f>Tabla1[[#This Row],[Importe]]-Tabla1[[#This Row],[Pagado]]</f>
        <v>0</v>
      </c>
      <c r="I2897" s="275" t="s">
        <v>15214</v>
      </c>
    </row>
    <row r="2898" spans="1:9" x14ac:dyDescent="0.25">
      <c r="A2898" s="16">
        <v>42940</v>
      </c>
      <c r="B2898" s="273" t="s">
        <v>22805</v>
      </c>
      <c r="C2898">
        <v>121052</v>
      </c>
      <c r="D2898" s="236" t="s">
        <v>15394</v>
      </c>
      <c r="E2898" s="15">
        <v>13586.2</v>
      </c>
      <c r="F2898" s="274">
        <v>42945</v>
      </c>
      <c r="G2898" s="15">
        <v>13586.2</v>
      </c>
      <c r="H2898" s="15">
        <f>Tabla1[[#This Row],[Importe]]-Tabla1[[#This Row],[Pagado]]</f>
        <v>0</v>
      </c>
      <c r="I2898" s="275" t="s">
        <v>15214</v>
      </c>
    </row>
    <row r="2899" spans="1:9" x14ac:dyDescent="0.25">
      <c r="A2899" s="16">
        <v>42940</v>
      </c>
      <c r="B2899" s="273" t="s">
        <v>22806</v>
      </c>
      <c r="C2899">
        <v>121053</v>
      </c>
      <c r="D2899" s="236" t="s">
        <v>22733</v>
      </c>
      <c r="E2899" s="15">
        <v>3853</v>
      </c>
      <c r="F2899" s="274">
        <v>42940</v>
      </c>
      <c r="G2899" s="15">
        <v>3853</v>
      </c>
      <c r="H2899" s="15">
        <f>Tabla1[[#This Row],[Importe]]-Tabla1[[#This Row],[Pagado]]</f>
        <v>0</v>
      </c>
      <c r="I2899" s="275" t="s">
        <v>15214</v>
      </c>
    </row>
    <row r="2900" spans="1:9" x14ac:dyDescent="0.25">
      <c r="A2900" s="16">
        <v>42940</v>
      </c>
      <c r="B2900" s="273" t="s">
        <v>22807</v>
      </c>
      <c r="C2900">
        <v>121054</v>
      </c>
      <c r="D2900" s="236" t="s">
        <v>19549</v>
      </c>
      <c r="E2900" s="15">
        <v>13130.5</v>
      </c>
      <c r="F2900" s="274">
        <v>42941</v>
      </c>
      <c r="G2900" s="15">
        <v>13130.5</v>
      </c>
      <c r="H2900" s="15">
        <f>Tabla1[[#This Row],[Importe]]-Tabla1[[#This Row],[Pagado]]</f>
        <v>0</v>
      </c>
      <c r="I2900" s="275" t="s">
        <v>15214</v>
      </c>
    </row>
    <row r="2901" spans="1:9" x14ac:dyDescent="0.25">
      <c r="A2901" s="16">
        <v>42940</v>
      </c>
      <c r="B2901" s="273" t="s">
        <v>22808</v>
      </c>
      <c r="C2901">
        <v>121055</v>
      </c>
      <c r="D2901" s="236" t="s">
        <v>15213</v>
      </c>
      <c r="E2901" s="15">
        <v>37570.9</v>
      </c>
      <c r="F2901" s="274">
        <v>42944</v>
      </c>
      <c r="G2901" s="15">
        <v>37570.9</v>
      </c>
      <c r="H2901" s="15">
        <f>Tabla1[[#This Row],[Importe]]-Tabla1[[#This Row],[Pagado]]</f>
        <v>0</v>
      </c>
      <c r="I2901" s="275" t="s">
        <v>15214</v>
      </c>
    </row>
    <row r="2902" spans="1:9" x14ac:dyDescent="0.25">
      <c r="A2902" s="16">
        <v>42940</v>
      </c>
      <c r="B2902" s="273" t="s">
        <v>22809</v>
      </c>
      <c r="C2902">
        <v>121056</v>
      </c>
      <c r="D2902" s="236" t="s">
        <v>15263</v>
      </c>
      <c r="E2902" s="15">
        <v>4625.6000000000004</v>
      </c>
      <c r="F2902" s="274">
        <v>42940</v>
      </c>
      <c r="G2902" s="15">
        <v>4625.6000000000004</v>
      </c>
      <c r="H2902" s="15">
        <f>Tabla1[[#This Row],[Importe]]-Tabla1[[#This Row],[Pagado]]</f>
        <v>0</v>
      </c>
      <c r="I2902" s="275" t="s">
        <v>15214</v>
      </c>
    </row>
    <row r="2903" spans="1:9" x14ac:dyDescent="0.25">
      <c r="A2903" s="16">
        <v>42940</v>
      </c>
      <c r="B2903" s="273" t="s">
        <v>22810</v>
      </c>
      <c r="C2903">
        <v>121057</v>
      </c>
      <c r="D2903" s="236" t="s">
        <v>15240</v>
      </c>
      <c r="E2903" s="15">
        <v>3724</v>
      </c>
      <c r="F2903" s="274">
        <v>42943</v>
      </c>
      <c r="G2903" s="15">
        <v>3724</v>
      </c>
      <c r="H2903" s="15">
        <f>Tabla1[[#This Row],[Importe]]-Tabla1[[#This Row],[Pagado]]</f>
        <v>0</v>
      </c>
      <c r="I2903" s="275" t="s">
        <v>15214</v>
      </c>
    </row>
    <row r="2904" spans="1:9" ht="15.75" x14ac:dyDescent="0.25">
      <c r="A2904" s="16">
        <v>42940</v>
      </c>
      <c r="B2904" s="273" t="s">
        <v>22811</v>
      </c>
      <c r="C2904">
        <v>121058</v>
      </c>
      <c r="D2904" s="248" t="s">
        <v>95</v>
      </c>
      <c r="E2904" s="15">
        <v>0</v>
      </c>
      <c r="F2904" s="277" t="s">
        <v>95</v>
      </c>
      <c r="G2904" s="15">
        <v>0</v>
      </c>
      <c r="H2904" s="15">
        <f>Tabla1[[#This Row],[Importe]]-Tabla1[[#This Row],[Pagado]]</f>
        <v>0</v>
      </c>
      <c r="I2904" s="275" t="s">
        <v>95</v>
      </c>
    </row>
    <row r="2905" spans="1:9" ht="15.75" x14ac:dyDescent="0.25">
      <c r="A2905" s="16">
        <v>42940</v>
      </c>
      <c r="B2905" s="273" t="s">
        <v>22812</v>
      </c>
      <c r="C2905">
        <v>121059</v>
      </c>
      <c r="D2905" s="248" t="s">
        <v>95</v>
      </c>
      <c r="E2905" s="15">
        <v>0</v>
      </c>
      <c r="F2905" s="277" t="s">
        <v>95</v>
      </c>
      <c r="G2905" s="15">
        <v>0</v>
      </c>
      <c r="H2905" s="15">
        <f>Tabla1[[#This Row],[Importe]]-Tabla1[[#This Row],[Pagado]]</f>
        <v>0</v>
      </c>
      <c r="I2905" s="275" t="s">
        <v>95</v>
      </c>
    </row>
    <row r="2906" spans="1:9" ht="30" x14ac:dyDescent="0.25">
      <c r="A2906" s="16">
        <v>42940</v>
      </c>
      <c r="B2906" s="273" t="s">
        <v>22813</v>
      </c>
      <c r="C2906">
        <v>121060</v>
      </c>
      <c r="D2906" s="236" t="s">
        <v>15236</v>
      </c>
      <c r="E2906" s="15">
        <v>3672.2</v>
      </c>
      <c r="F2906" s="274" t="s">
        <v>22814</v>
      </c>
      <c r="G2906" s="241">
        <f>1000+2672.2</f>
        <v>3672.2</v>
      </c>
      <c r="H2906" s="241">
        <f>Tabla1[[#This Row],[Importe]]-Tabla1[[#This Row],[Pagado]]</f>
        <v>0</v>
      </c>
      <c r="I2906" s="275" t="s">
        <v>15214</v>
      </c>
    </row>
    <row r="2907" spans="1:9" x14ac:dyDescent="0.25">
      <c r="A2907" s="16">
        <v>42940</v>
      </c>
      <c r="B2907" s="273" t="s">
        <v>22815</v>
      </c>
      <c r="C2907">
        <v>121061</v>
      </c>
      <c r="D2907" s="236" t="s">
        <v>15668</v>
      </c>
      <c r="E2907" s="15">
        <v>6888.6</v>
      </c>
      <c r="F2907" s="274">
        <v>42942</v>
      </c>
      <c r="G2907" s="15">
        <v>6888.6</v>
      </c>
      <c r="H2907" s="15">
        <f>Tabla1[[#This Row],[Importe]]-Tabla1[[#This Row],[Pagado]]</f>
        <v>0</v>
      </c>
      <c r="I2907" s="275" t="s">
        <v>15214</v>
      </c>
    </row>
    <row r="2908" spans="1:9" x14ac:dyDescent="0.25">
      <c r="A2908" s="16">
        <v>42940</v>
      </c>
      <c r="B2908" s="273" t="s">
        <v>22816</v>
      </c>
      <c r="C2908">
        <v>121062</v>
      </c>
      <c r="D2908" s="236" t="s">
        <v>15234</v>
      </c>
      <c r="E2908" s="15">
        <v>4119.3999999999996</v>
      </c>
      <c r="F2908" s="274">
        <v>42945</v>
      </c>
      <c r="G2908" s="15">
        <v>4119.3999999999996</v>
      </c>
      <c r="H2908" s="15">
        <f>Tabla1[[#This Row],[Importe]]-Tabla1[[#This Row],[Pagado]]</f>
        <v>0</v>
      </c>
      <c r="I2908" s="275" t="s">
        <v>15214</v>
      </c>
    </row>
    <row r="2909" spans="1:9" x14ac:dyDescent="0.25">
      <c r="A2909" s="16">
        <v>42940</v>
      </c>
      <c r="B2909" s="273" t="s">
        <v>22817</v>
      </c>
      <c r="C2909">
        <v>121063</v>
      </c>
      <c r="D2909" s="236" t="s">
        <v>15258</v>
      </c>
      <c r="E2909" s="15">
        <v>6708</v>
      </c>
      <c r="F2909" s="274">
        <v>42942</v>
      </c>
      <c r="G2909" s="15">
        <v>6708</v>
      </c>
      <c r="H2909" s="15">
        <f>Tabla1[[#This Row],[Importe]]-Tabla1[[#This Row],[Pagado]]</f>
        <v>0</v>
      </c>
      <c r="I2909" s="275" t="s">
        <v>15214</v>
      </c>
    </row>
    <row r="2910" spans="1:9" x14ac:dyDescent="0.25">
      <c r="A2910" s="16">
        <v>42940</v>
      </c>
      <c r="B2910" s="273" t="s">
        <v>22818</v>
      </c>
      <c r="C2910">
        <v>121064</v>
      </c>
      <c r="D2910" s="236" t="s">
        <v>15238</v>
      </c>
      <c r="E2910" s="15">
        <v>6090.8</v>
      </c>
      <c r="F2910" s="274">
        <v>42942</v>
      </c>
      <c r="G2910" s="15">
        <v>6090.8</v>
      </c>
      <c r="H2910" s="15">
        <f>Tabla1[[#This Row],[Importe]]-Tabla1[[#This Row],[Pagado]]</f>
        <v>0</v>
      </c>
      <c r="I2910" s="275" t="s">
        <v>15214</v>
      </c>
    </row>
    <row r="2911" spans="1:9" x14ac:dyDescent="0.25">
      <c r="A2911" s="16">
        <v>42940</v>
      </c>
      <c r="B2911" s="273" t="s">
        <v>22819</v>
      </c>
      <c r="C2911">
        <v>121065</v>
      </c>
      <c r="D2911" s="236" t="s">
        <v>15480</v>
      </c>
      <c r="E2911" s="15">
        <v>301.2</v>
      </c>
      <c r="F2911" s="274">
        <v>42942</v>
      </c>
      <c r="G2911" s="15">
        <v>301.2</v>
      </c>
      <c r="H2911" s="15">
        <f>Tabla1[[#This Row],[Importe]]-Tabla1[[#This Row],[Pagado]]</f>
        <v>0</v>
      </c>
      <c r="I2911" s="275" t="s">
        <v>15214</v>
      </c>
    </row>
    <row r="2912" spans="1:9" ht="15.75" x14ac:dyDescent="0.25">
      <c r="A2912" s="16">
        <v>42940</v>
      </c>
      <c r="B2912" s="273" t="s">
        <v>22820</v>
      </c>
      <c r="C2912">
        <v>121066</v>
      </c>
      <c r="D2912" s="248" t="s">
        <v>95</v>
      </c>
      <c r="E2912" s="15">
        <v>0</v>
      </c>
      <c r="F2912" s="277" t="s">
        <v>95</v>
      </c>
      <c r="G2912" s="15">
        <v>0</v>
      </c>
      <c r="H2912" s="15">
        <f>Tabla1[[#This Row],[Importe]]-Tabla1[[#This Row],[Pagado]]</f>
        <v>0</v>
      </c>
      <c r="I2912" s="275" t="s">
        <v>95</v>
      </c>
    </row>
    <row r="2913" spans="1:9" x14ac:dyDescent="0.25">
      <c r="A2913" s="16">
        <v>42940</v>
      </c>
      <c r="B2913" s="273" t="s">
        <v>22821</v>
      </c>
      <c r="C2913">
        <v>121067</v>
      </c>
      <c r="D2913" s="236" t="s">
        <v>15369</v>
      </c>
      <c r="E2913" s="15">
        <v>28588.400000000001</v>
      </c>
      <c r="F2913" s="274">
        <v>42953</v>
      </c>
      <c r="G2913" s="15">
        <v>28588.400000000001</v>
      </c>
      <c r="H2913" s="15">
        <f>Tabla1[[#This Row],[Importe]]-Tabla1[[#This Row],[Pagado]]</f>
        <v>0</v>
      </c>
      <c r="I2913" s="275" t="s">
        <v>15214</v>
      </c>
    </row>
    <row r="2914" spans="1:9" x14ac:dyDescent="0.25">
      <c r="A2914" s="16">
        <v>42940</v>
      </c>
      <c r="B2914" s="273" t="s">
        <v>22822</v>
      </c>
      <c r="C2914">
        <v>121068</v>
      </c>
      <c r="D2914" s="236" t="s">
        <v>15373</v>
      </c>
      <c r="E2914" s="15">
        <v>11034.6</v>
      </c>
      <c r="F2914" s="274">
        <v>42943</v>
      </c>
      <c r="G2914" s="15">
        <v>11034.6</v>
      </c>
      <c r="H2914" s="15">
        <f>Tabla1[[#This Row],[Importe]]-Tabla1[[#This Row],[Pagado]]</f>
        <v>0</v>
      </c>
      <c r="I2914" s="275" t="s">
        <v>15214</v>
      </c>
    </row>
    <row r="2915" spans="1:9" x14ac:dyDescent="0.25">
      <c r="A2915" s="16">
        <v>42940</v>
      </c>
      <c r="B2915" s="273" t="s">
        <v>22823</v>
      </c>
      <c r="C2915">
        <v>121069</v>
      </c>
      <c r="D2915" s="236" t="s">
        <v>15382</v>
      </c>
      <c r="E2915" s="15">
        <v>11921.4</v>
      </c>
      <c r="F2915" s="274">
        <v>42955</v>
      </c>
      <c r="G2915" s="15">
        <v>11921.4</v>
      </c>
      <c r="H2915" s="15">
        <f>Tabla1[[#This Row],[Importe]]-Tabla1[[#This Row],[Pagado]]</f>
        <v>0</v>
      </c>
      <c r="I2915" s="275" t="s">
        <v>15214</v>
      </c>
    </row>
    <row r="2916" spans="1:9" x14ac:dyDescent="0.25">
      <c r="A2916" s="16">
        <v>42940</v>
      </c>
      <c r="B2916" s="273" t="s">
        <v>22824</v>
      </c>
      <c r="C2916">
        <v>121070</v>
      </c>
      <c r="D2916" s="236" t="s">
        <v>15389</v>
      </c>
      <c r="E2916" s="15">
        <v>18137.8</v>
      </c>
      <c r="F2916" s="274">
        <v>42955</v>
      </c>
      <c r="G2916" s="15">
        <v>18137.8</v>
      </c>
      <c r="H2916" s="15">
        <f>Tabla1[[#This Row],[Importe]]-Tabla1[[#This Row],[Pagado]]</f>
        <v>0</v>
      </c>
      <c r="I2916" s="275" t="s">
        <v>15214</v>
      </c>
    </row>
    <row r="2917" spans="1:9" x14ac:dyDescent="0.25">
      <c r="A2917" s="16">
        <v>42940</v>
      </c>
      <c r="B2917" s="273" t="s">
        <v>22825</v>
      </c>
      <c r="C2917">
        <v>121071</v>
      </c>
      <c r="D2917" s="236" t="s">
        <v>19776</v>
      </c>
      <c r="E2917" s="15">
        <v>2438.4</v>
      </c>
      <c r="F2917" s="274">
        <v>42940</v>
      </c>
      <c r="G2917" s="15">
        <v>2438.4</v>
      </c>
      <c r="H2917" s="15">
        <f>Tabla1[[#This Row],[Importe]]-Tabla1[[#This Row],[Pagado]]</f>
        <v>0</v>
      </c>
      <c r="I2917" s="275" t="s">
        <v>15214</v>
      </c>
    </row>
    <row r="2918" spans="1:9" x14ac:dyDescent="0.25">
      <c r="A2918" s="16">
        <v>42940</v>
      </c>
      <c r="B2918" s="273" t="s">
        <v>22826</v>
      </c>
      <c r="C2918">
        <v>121072</v>
      </c>
      <c r="D2918" s="236" t="s">
        <v>15371</v>
      </c>
      <c r="E2918" s="15">
        <v>4694.1000000000004</v>
      </c>
      <c r="F2918" s="274">
        <v>42941</v>
      </c>
      <c r="G2918" s="15">
        <v>4694.1000000000004</v>
      </c>
      <c r="H2918" s="15">
        <f>Tabla1[[#This Row],[Importe]]-Tabla1[[#This Row],[Pagado]]</f>
        <v>0</v>
      </c>
      <c r="I2918" s="275" t="s">
        <v>15214</v>
      </c>
    </row>
    <row r="2919" spans="1:9" x14ac:dyDescent="0.25">
      <c r="A2919" s="16">
        <v>42940</v>
      </c>
      <c r="B2919" s="273" t="s">
        <v>22827</v>
      </c>
      <c r="C2919">
        <v>121073</v>
      </c>
      <c r="D2919" s="236" t="s">
        <v>15244</v>
      </c>
      <c r="E2919" s="15">
        <v>11841.6</v>
      </c>
      <c r="F2919" s="274">
        <v>42941</v>
      </c>
      <c r="G2919" s="15">
        <v>11841.6</v>
      </c>
      <c r="H2919" s="15">
        <f>Tabla1[[#This Row],[Importe]]-Tabla1[[#This Row],[Pagado]]</f>
        <v>0</v>
      </c>
      <c r="I2919" s="275" t="s">
        <v>15214</v>
      </c>
    </row>
    <row r="2920" spans="1:9" x14ac:dyDescent="0.25">
      <c r="A2920" s="16">
        <v>42940</v>
      </c>
      <c r="B2920" s="273" t="s">
        <v>22828</v>
      </c>
      <c r="C2920">
        <v>121074</v>
      </c>
      <c r="D2920" s="236" t="s">
        <v>15252</v>
      </c>
      <c r="E2920" s="15">
        <v>5218.2</v>
      </c>
      <c r="F2920" s="274">
        <v>42943</v>
      </c>
      <c r="G2920" s="15">
        <v>5218.2</v>
      </c>
      <c r="H2920" s="15">
        <f>Tabla1[[#This Row],[Importe]]-Tabla1[[#This Row],[Pagado]]</f>
        <v>0</v>
      </c>
      <c r="I2920" s="275" t="s">
        <v>15214</v>
      </c>
    </row>
    <row r="2921" spans="1:9" x14ac:dyDescent="0.25">
      <c r="A2921" s="16">
        <v>42940</v>
      </c>
      <c r="B2921" s="273" t="s">
        <v>22829</v>
      </c>
      <c r="C2921">
        <v>121075</v>
      </c>
      <c r="D2921" s="236" t="s">
        <v>15242</v>
      </c>
      <c r="E2921" s="15">
        <v>5640</v>
      </c>
      <c r="F2921" s="274">
        <v>42940</v>
      </c>
      <c r="G2921" s="15">
        <v>5640</v>
      </c>
      <c r="H2921" s="15">
        <f>Tabla1[[#This Row],[Importe]]-Tabla1[[#This Row],[Pagado]]</f>
        <v>0</v>
      </c>
      <c r="I2921" s="275" t="s">
        <v>15214</v>
      </c>
    </row>
    <row r="2922" spans="1:9" x14ac:dyDescent="0.25">
      <c r="A2922" s="16">
        <v>42940</v>
      </c>
      <c r="B2922" s="273" t="s">
        <v>22830</v>
      </c>
      <c r="C2922">
        <v>121076</v>
      </c>
      <c r="D2922" s="236" t="s">
        <v>15330</v>
      </c>
      <c r="E2922" s="15">
        <v>2936.2</v>
      </c>
      <c r="F2922" s="274">
        <v>42940</v>
      </c>
      <c r="G2922" s="15">
        <v>2936.2</v>
      </c>
      <c r="H2922" s="15">
        <f>Tabla1[[#This Row],[Importe]]-Tabla1[[#This Row],[Pagado]]</f>
        <v>0</v>
      </c>
      <c r="I2922" s="275" t="s">
        <v>15214</v>
      </c>
    </row>
    <row r="2923" spans="1:9" x14ac:dyDescent="0.25">
      <c r="A2923" s="16">
        <v>42940</v>
      </c>
      <c r="B2923" s="273" t="s">
        <v>22831</v>
      </c>
      <c r="C2923">
        <v>121077</v>
      </c>
      <c r="D2923" s="236" t="s">
        <v>15223</v>
      </c>
      <c r="E2923" s="15">
        <v>55225</v>
      </c>
      <c r="F2923" s="274">
        <v>42960</v>
      </c>
      <c r="G2923" s="15">
        <v>55225</v>
      </c>
      <c r="H2923" s="15">
        <f>Tabla1[[#This Row],[Importe]]-Tabla1[[#This Row],[Pagado]]</f>
        <v>0</v>
      </c>
      <c r="I2923" s="275" t="s">
        <v>15214</v>
      </c>
    </row>
    <row r="2924" spans="1:9" x14ac:dyDescent="0.25">
      <c r="A2924" s="16">
        <v>42940</v>
      </c>
      <c r="B2924" s="273" t="s">
        <v>22832</v>
      </c>
      <c r="C2924">
        <v>121078</v>
      </c>
      <c r="D2924" s="236" t="s">
        <v>15226</v>
      </c>
      <c r="E2924" s="15">
        <v>2025</v>
      </c>
      <c r="F2924" s="274">
        <v>42943</v>
      </c>
      <c r="G2924" s="15">
        <v>2025</v>
      </c>
      <c r="H2924" s="15">
        <f>Tabla1[[#This Row],[Importe]]-Tabla1[[#This Row],[Pagado]]</f>
        <v>0</v>
      </c>
      <c r="I2924" s="275" t="s">
        <v>15214</v>
      </c>
    </row>
    <row r="2925" spans="1:9" x14ac:dyDescent="0.25">
      <c r="A2925" s="16">
        <v>42940</v>
      </c>
      <c r="B2925" s="273" t="s">
        <v>22833</v>
      </c>
      <c r="C2925">
        <v>121079</v>
      </c>
      <c r="D2925" s="236" t="s">
        <v>15263</v>
      </c>
      <c r="E2925" s="15">
        <v>240</v>
      </c>
      <c r="F2925" s="274">
        <v>42940</v>
      </c>
      <c r="G2925" s="15">
        <v>240</v>
      </c>
      <c r="H2925" s="15">
        <f>Tabla1[[#This Row],[Importe]]-Tabla1[[#This Row],[Pagado]]</f>
        <v>0</v>
      </c>
      <c r="I2925" s="275" t="s">
        <v>15214</v>
      </c>
    </row>
    <row r="2926" spans="1:9" x14ac:dyDescent="0.25">
      <c r="A2926" s="16">
        <v>42940</v>
      </c>
      <c r="B2926" s="273" t="s">
        <v>22834</v>
      </c>
      <c r="C2926">
        <v>121080</v>
      </c>
      <c r="D2926" s="236" t="s">
        <v>15256</v>
      </c>
      <c r="E2926" s="15">
        <v>4456.2</v>
      </c>
      <c r="F2926" s="274">
        <v>42943</v>
      </c>
      <c r="G2926" s="15">
        <v>4456.2</v>
      </c>
      <c r="H2926" s="15">
        <f>Tabla1[[#This Row],[Importe]]-Tabla1[[#This Row],[Pagado]]</f>
        <v>0</v>
      </c>
      <c r="I2926" s="275" t="s">
        <v>15214</v>
      </c>
    </row>
    <row r="2927" spans="1:9" x14ac:dyDescent="0.25">
      <c r="A2927" s="16">
        <v>42940</v>
      </c>
      <c r="B2927" s="273" t="s">
        <v>22835</v>
      </c>
      <c r="C2927">
        <v>121081</v>
      </c>
      <c r="D2927" s="236" t="s">
        <v>15537</v>
      </c>
      <c r="E2927" s="15">
        <v>18072.900000000001</v>
      </c>
      <c r="F2927" s="274">
        <v>42950</v>
      </c>
      <c r="G2927" s="15">
        <v>18072.900000000001</v>
      </c>
      <c r="H2927" s="15">
        <f>Tabla1[[#This Row],[Importe]]-Tabla1[[#This Row],[Pagado]]</f>
        <v>0</v>
      </c>
      <c r="I2927" s="275" t="s">
        <v>15214</v>
      </c>
    </row>
    <row r="2928" spans="1:9" x14ac:dyDescent="0.25">
      <c r="A2928" s="16">
        <v>42940</v>
      </c>
      <c r="B2928" s="273" t="s">
        <v>22836</v>
      </c>
      <c r="C2928">
        <v>121082</v>
      </c>
      <c r="D2928" s="236" t="s">
        <v>15539</v>
      </c>
      <c r="E2928" s="15">
        <v>17782.8</v>
      </c>
      <c r="F2928" s="274">
        <v>42944</v>
      </c>
      <c r="G2928" s="15">
        <v>17782.8</v>
      </c>
      <c r="H2928" s="15">
        <f>Tabla1[[#This Row],[Importe]]-Tabla1[[#This Row],[Pagado]]</f>
        <v>0</v>
      </c>
      <c r="I2928" s="275" t="s">
        <v>15214</v>
      </c>
    </row>
    <row r="2929" spans="1:9" x14ac:dyDescent="0.25">
      <c r="A2929" s="16">
        <v>42940</v>
      </c>
      <c r="B2929" s="273" t="s">
        <v>22837</v>
      </c>
      <c r="C2929">
        <v>121083</v>
      </c>
      <c r="D2929" s="236" t="s">
        <v>15555</v>
      </c>
      <c r="E2929" s="15">
        <v>37047.4</v>
      </c>
      <c r="F2929" s="274">
        <v>42950</v>
      </c>
      <c r="G2929" s="15">
        <v>37047.4</v>
      </c>
      <c r="H2929" s="15">
        <f>Tabla1[[#This Row],[Importe]]-Tabla1[[#This Row],[Pagado]]</f>
        <v>0</v>
      </c>
      <c r="I2929" s="275" t="s">
        <v>15214</v>
      </c>
    </row>
    <row r="2930" spans="1:9" x14ac:dyDescent="0.25">
      <c r="A2930" s="16">
        <v>42940</v>
      </c>
      <c r="B2930" s="273" t="s">
        <v>22838</v>
      </c>
      <c r="C2930">
        <v>121084</v>
      </c>
      <c r="D2930" s="236" t="s">
        <v>15315</v>
      </c>
      <c r="E2930" s="15">
        <v>3271.8</v>
      </c>
      <c r="F2930" s="274">
        <v>42942</v>
      </c>
      <c r="G2930" s="15">
        <v>3271.8</v>
      </c>
      <c r="H2930" s="15">
        <f>Tabla1[[#This Row],[Importe]]-Tabla1[[#This Row],[Pagado]]</f>
        <v>0</v>
      </c>
      <c r="I2930" s="275" t="s">
        <v>15214</v>
      </c>
    </row>
    <row r="2931" spans="1:9" x14ac:dyDescent="0.25">
      <c r="A2931" s="16">
        <v>42940</v>
      </c>
      <c r="B2931" s="273" t="s">
        <v>22839</v>
      </c>
      <c r="C2931">
        <v>121085</v>
      </c>
      <c r="D2931" s="236" t="s">
        <v>16286</v>
      </c>
      <c r="E2931" s="15">
        <v>2419.1999999999998</v>
      </c>
      <c r="F2931" s="274">
        <v>42940</v>
      </c>
      <c r="G2931" s="15">
        <v>2419.1999999999998</v>
      </c>
      <c r="H2931" s="15">
        <f>Tabla1[[#This Row],[Importe]]-Tabla1[[#This Row],[Pagado]]</f>
        <v>0</v>
      </c>
      <c r="I2931" s="275" t="s">
        <v>15214</v>
      </c>
    </row>
    <row r="2932" spans="1:9" x14ac:dyDescent="0.25">
      <c r="A2932" s="16">
        <v>42940</v>
      </c>
      <c r="B2932" s="273" t="s">
        <v>22840</v>
      </c>
      <c r="C2932">
        <v>121086</v>
      </c>
      <c r="D2932" s="236" t="s">
        <v>15655</v>
      </c>
      <c r="E2932" s="15">
        <v>4943.3999999999996</v>
      </c>
      <c r="F2932" s="274">
        <v>42940</v>
      </c>
      <c r="G2932" s="15">
        <v>4943.3999999999996</v>
      </c>
      <c r="H2932" s="15">
        <f>Tabla1[[#This Row],[Importe]]-Tabla1[[#This Row],[Pagado]]</f>
        <v>0</v>
      </c>
      <c r="I2932" s="275" t="s">
        <v>15214</v>
      </c>
    </row>
    <row r="2933" spans="1:9" x14ac:dyDescent="0.25">
      <c r="A2933" s="16">
        <v>42940</v>
      </c>
      <c r="B2933" s="273" t="s">
        <v>22841</v>
      </c>
      <c r="C2933">
        <v>121087</v>
      </c>
      <c r="D2933" s="236" t="s">
        <v>15380</v>
      </c>
      <c r="E2933" s="15">
        <v>48182</v>
      </c>
      <c r="F2933" s="279">
        <v>42965</v>
      </c>
      <c r="G2933" s="15">
        <v>48182</v>
      </c>
      <c r="H2933" s="15">
        <f>Tabla1[[#This Row],[Importe]]-Tabla1[[#This Row],[Pagado]]</f>
        <v>0</v>
      </c>
      <c r="I2933" s="275" t="s">
        <v>15214</v>
      </c>
    </row>
    <row r="2934" spans="1:9" x14ac:dyDescent="0.25">
      <c r="A2934" s="16">
        <v>42940</v>
      </c>
      <c r="B2934" s="273" t="s">
        <v>22842</v>
      </c>
      <c r="C2934">
        <v>121088</v>
      </c>
      <c r="D2934" s="236" t="s">
        <v>15530</v>
      </c>
      <c r="E2934" s="15">
        <v>3164.1</v>
      </c>
      <c r="F2934" s="274">
        <v>42940</v>
      </c>
      <c r="G2934" s="15">
        <v>3164.1</v>
      </c>
      <c r="H2934" s="15">
        <f>Tabla1[[#This Row],[Importe]]-Tabla1[[#This Row],[Pagado]]</f>
        <v>0</v>
      </c>
      <c r="I2934" s="275" t="s">
        <v>15214</v>
      </c>
    </row>
    <row r="2935" spans="1:9" x14ac:dyDescent="0.25">
      <c r="A2935" s="16">
        <v>42940</v>
      </c>
      <c r="B2935" s="273" t="s">
        <v>22843</v>
      </c>
      <c r="C2935">
        <v>121089</v>
      </c>
      <c r="D2935" s="236" t="s">
        <v>15596</v>
      </c>
      <c r="E2935" s="15">
        <v>1325</v>
      </c>
      <c r="F2935" s="274">
        <v>42940</v>
      </c>
      <c r="G2935" s="15">
        <v>1325</v>
      </c>
      <c r="H2935" s="15">
        <f>Tabla1[[#This Row],[Importe]]-Tabla1[[#This Row],[Pagado]]</f>
        <v>0</v>
      </c>
      <c r="I2935" s="275" t="s">
        <v>15214</v>
      </c>
    </row>
    <row r="2936" spans="1:9" x14ac:dyDescent="0.25">
      <c r="A2936" s="16">
        <v>42940</v>
      </c>
      <c r="B2936" s="273" t="s">
        <v>22844</v>
      </c>
      <c r="C2936">
        <v>121090</v>
      </c>
      <c r="D2936" s="236" t="s">
        <v>15338</v>
      </c>
      <c r="E2936" s="15">
        <v>9012.6</v>
      </c>
      <c r="F2936" s="274">
        <v>42943</v>
      </c>
      <c r="G2936" s="15">
        <v>9012.6</v>
      </c>
      <c r="H2936" s="15">
        <f>Tabla1[[#This Row],[Importe]]-Tabla1[[#This Row],[Pagado]]</f>
        <v>0</v>
      </c>
      <c r="I2936" s="275" t="s">
        <v>15214</v>
      </c>
    </row>
    <row r="2937" spans="1:9" x14ac:dyDescent="0.25">
      <c r="A2937" s="16">
        <v>42940</v>
      </c>
      <c r="B2937" s="273" t="s">
        <v>22845</v>
      </c>
      <c r="C2937">
        <v>121091</v>
      </c>
      <c r="D2937" s="236" t="s">
        <v>16484</v>
      </c>
      <c r="E2937" s="15">
        <v>1111.5999999999999</v>
      </c>
      <c r="F2937" s="274">
        <v>42940</v>
      </c>
      <c r="G2937" s="15">
        <v>1111.5999999999999</v>
      </c>
      <c r="H2937" s="15">
        <f>Tabla1[[#This Row],[Importe]]-Tabla1[[#This Row],[Pagado]]</f>
        <v>0</v>
      </c>
      <c r="I2937" s="275" t="s">
        <v>15214</v>
      </c>
    </row>
    <row r="2938" spans="1:9" x14ac:dyDescent="0.25">
      <c r="A2938" s="16">
        <v>42940</v>
      </c>
      <c r="B2938" s="273" t="s">
        <v>22846</v>
      </c>
      <c r="C2938">
        <v>121092</v>
      </c>
      <c r="D2938" s="236" t="s">
        <v>15442</v>
      </c>
      <c r="E2938" s="15">
        <v>28916.6</v>
      </c>
      <c r="F2938" s="274">
        <v>42952</v>
      </c>
      <c r="G2938" s="15">
        <v>28916.6</v>
      </c>
      <c r="H2938" s="15">
        <f>Tabla1[[#This Row],[Importe]]-Tabla1[[#This Row],[Pagado]]</f>
        <v>0</v>
      </c>
      <c r="I2938" s="275" t="s">
        <v>15214</v>
      </c>
    </row>
    <row r="2939" spans="1:9" x14ac:dyDescent="0.25">
      <c r="A2939" s="16">
        <v>42940</v>
      </c>
      <c r="B2939" s="273" t="s">
        <v>22847</v>
      </c>
      <c r="C2939">
        <v>121093</v>
      </c>
      <c r="D2939" s="236" t="s">
        <v>15315</v>
      </c>
      <c r="E2939" s="15">
        <v>3122.4</v>
      </c>
      <c r="F2939" s="274" t="s">
        <v>20085</v>
      </c>
      <c r="G2939" s="15">
        <v>3122.4</v>
      </c>
      <c r="H2939" s="15">
        <f>Tabla1[[#This Row],[Importe]]-Tabla1[[#This Row],[Pagado]]</f>
        <v>0</v>
      </c>
      <c r="I2939" s="275" t="s">
        <v>15214</v>
      </c>
    </row>
    <row r="2940" spans="1:9" x14ac:dyDescent="0.25">
      <c r="A2940" s="16">
        <v>42940</v>
      </c>
      <c r="B2940" s="273" t="s">
        <v>22848</v>
      </c>
      <c r="C2940">
        <v>121094</v>
      </c>
      <c r="D2940" s="236" t="s">
        <v>15305</v>
      </c>
      <c r="E2940" s="15">
        <v>932.4</v>
      </c>
      <c r="F2940" s="274">
        <v>42941</v>
      </c>
      <c r="G2940" s="15">
        <v>932.4</v>
      </c>
      <c r="H2940" s="15">
        <f>Tabla1[[#This Row],[Importe]]-Tabla1[[#This Row],[Pagado]]</f>
        <v>0</v>
      </c>
      <c r="I2940" s="275" t="s">
        <v>15214</v>
      </c>
    </row>
    <row r="2941" spans="1:9" x14ac:dyDescent="0.25">
      <c r="A2941" s="16">
        <v>42940</v>
      </c>
      <c r="B2941" s="273" t="s">
        <v>22849</v>
      </c>
      <c r="C2941">
        <v>121095</v>
      </c>
      <c r="D2941" s="236" t="s">
        <v>15317</v>
      </c>
      <c r="E2941" s="15">
        <v>3130.4</v>
      </c>
      <c r="F2941" s="274">
        <v>42943</v>
      </c>
      <c r="G2941" s="15">
        <v>3130.4</v>
      </c>
      <c r="H2941" s="15">
        <f>Tabla1[[#This Row],[Importe]]-Tabla1[[#This Row],[Pagado]]</f>
        <v>0</v>
      </c>
      <c r="I2941" s="275" t="s">
        <v>15214</v>
      </c>
    </row>
    <row r="2942" spans="1:9" x14ac:dyDescent="0.25">
      <c r="A2942" s="16">
        <v>42940</v>
      </c>
      <c r="B2942" s="273" t="s">
        <v>22850</v>
      </c>
      <c r="C2942">
        <v>121096</v>
      </c>
      <c r="D2942" s="236" t="s">
        <v>15284</v>
      </c>
      <c r="E2942" s="15">
        <v>825</v>
      </c>
      <c r="F2942" s="274">
        <v>42940</v>
      </c>
      <c r="G2942" s="15">
        <v>825</v>
      </c>
      <c r="H2942" s="15">
        <f>Tabla1[[#This Row],[Importe]]-Tabla1[[#This Row],[Pagado]]</f>
        <v>0</v>
      </c>
      <c r="I2942" s="275" t="s">
        <v>15214</v>
      </c>
    </row>
    <row r="2943" spans="1:9" x14ac:dyDescent="0.25">
      <c r="A2943" s="16">
        <v>42940</v>
      </c>
      <c r="B2943" s="273" t="s">
        <v>22851</v>
      </c>
      <c r="C2943">
        <v>121097</v>
      </c>
      <c r="D2943" s="236" t="s">
        <v>17800</v>
      </c>
      <c r="E2943" s="15">
        <v>5349.6</v>
      </c>
      <c r="F2943" s="274">
        <v>42941</v>
      </c>
      <c r="G2943" s="15">
        <v>5349.6</v>
      </c>
      <c r="H2943" s="15">
        <f>Tabla1[[#This Row],[Importe]]-Tabla1[[#This Row],[Pagado]]</f>
        <v>0</v>
      </c>
      <c r="I2943" s="275" t="s">
        <v>15214</v>
      </c>
    </row>
    <row r="2944" spans="1:9" x14ac:dyDescent="0.25">
      <c r="A2944" s="16">
        <v>42940</v>
      </c>
      <c r="B2944" s="273" t="s">
        <v>22852</v>
      </c>
      <c r="C2944">
        <v>121098</v>
      </c>
      <c r="D2944" s="236" t="s">
        <v>15309</v>
      </c>
      <c r="E2944" s="15">
        <v>10502.4</v>
      </c>
      <c r="F2944" s="274">
        <v>42941</v>
      </c>
      <c r="G2944" s="15">
        <v>10502.4</v>
      </c>
      <c r="H2944" s="15">
        <f>Tabla1[[#This Row],[Importe]]-Tabla1[[#This Row],[Pagado]]</f>
        <v>0</v>
      </c>
      <c r="I2944" s="275" t="s">
        <v>15214</v>
      </c>
    </row>
    <row r="2945" spans="1:9" x14ac:dyDescent="0.25">
      <c r="A2945" s="16">
        <v>42940</v>
      </c>
      <c r="B2945" s="273" t="s">
        <v>22853</v>
      </c>
      <c r="C2945">
        <v>121099</v>
      </c>
      <c r="D2945" s="236" t="s">
        <v>15301</v>
      </c>
      <c r="E2945" s="15">
        <v>3699.4</v>
      </c>
      <c r="F2945" s="274">
        <v>42941</v>
      </c>
      <c r="G2945" s="15">
        <v>3699.4</v>
      </c>
      <c r="H2945" s="15">
        <f>Tabla1[[#This Row],[Importe]]-Tabla1[[#This Row],[Pagado]]</f>
        <v>0</v>
      </c>
      <c r="I2945" s="275" t="s">
        <v>15214</v>
      </c>
    </row>
    <row r="2946" spans="1:9" x14ac:dyDescent="0.25">
      <c r="A2946" s="16">
        <v>42940</v>
      </c>
      <c r="B2946" s="273" t="s">
        <v>22854</v>
      </c>
      <c r="C2946">
        <v>121100</v>
      </c>
      <c r="D2946" s="236" t="s">
        <v>15583</v>
      </c>
      <c r="E2946" s="15">
        <v>1600.6</v>
      </c>
      <c r="F2946" s="274">
        <v>42952</v>
      </c>
      <c r="G2946" s="15">
        <v>1600.6</v>
      </c>
      <c r="H2946" s="15">
        <f>Tabla1[[#This Row],[Importe]]-Tabla1[[#This Row],[Pagado]]</f>
        <v>0</v>
      </c>
      <c r="I2946" s="275" t="s">
        <v>15214</v>
      </c>
    </row>
    <row r="2947" spans="1:9" x14ac:dyDescent="0.25">
      <c r="A2947" s="16">
        <v>42940</v>
      </c>
      <c r="B2947" s="273" t="s">
        <v>22855</v>
      </c>
      <c r="C2947">
        <v>121101</v>
      </c>
      <c r="D2947" s="236" t="s">
        <v>15782</v>
      </c>
      <c r="E2947" s="15">
        <v>1392.3</v>
      </c>
      <c r="F2947" s="274">
        <v>42941</v>
      </c>
      <c r="G2947" s="15">
        <v>1392.3</v>
      </c>
      <c r="H2947" s="15">
        <f>Tabla1[[#This Row],[Importe]]-Tabla1[[#This Row],[Pagado]]</f>
        <v>0</v>
      </c>
      <c r="I2947" s="275" t="s">
        <v>15214</v>
      </c>
    </row>
    <row r="2948" spans="1:9" x14ac:dyDescent="0.25">
      <c r="A2948" s="16">
        <v>42940</v>
      </c>
      <c r="B2948" s="273" t="s">
        <v>22856</v>
      </c>
      <c r="C2948">
        <v>121102</v>
      </c>
      <c r="D2948" s="236" t="s">
        <v>15417</v>
      </c>
      <c r="E2948" s="15">
        <v>1939.6</v>
      </c>
      <c r="F2948" s="274" t="s">
        <v>22857</v>
      </c>
      <c r="G2948" s="15">
        <v>1939.6</v>
      </c>
      <c r="H2948" s="15">
        <f>Tabla1[[#This Row],[Importe]]-Tabla1[[#This Row],[Pagado]]</f>
        <v>0</v>
      </c>
      <c r="I2948" s="275" t="s">
        <v>15214</v>
      </c>
    </row>
    <row r="2949" spans="1:9" x14ac:dyDescent="0.25">
      <c r="A2949" s="16">
        <v>42940</v>
      </c>
      <c r="B2949" s="273" t="s">
        <v>22858</v>
      </c>
      <c r="C2949">
        <v>121103</v>
      </c>
      <c r="D2949" s="236" t="s">
        <v>16288</v>
      </c>
      <c r="E2949" s="15">
        <v>1183.2</v>
      </c>
      <c r="F2949" s="274" t="s">
        <v>22857</v>
      </c>
      <c r="G2949" s="15">
        <v>1183.2</v>
      </c>
      <c r="H2949" s="15">
        <f>Tabla1[[#This Row],[Importe]]-Tabla1[[#This Row],[Pagado]]</f>
        <v>0</v>
      </c>
      <c r="I2949" s="275" t="s">
        <v>15214</v>
      </c>
    </row>
    <row r="2950" spans="1:9" x14ac:dyDescent="0.25">
      <c r="A2950" s="16">
        <v>42940</v>
      </c>
      <c r="B2950" s="273" t="s">
        <v>22859</v>
      </c>
      <c r="C2950">
        <v>121104</v>
      </c>
      <c r="D2950" s="236" t="s">
        <v>15276</v>
      </c>
      <c r="E2950" s="15">
        <v>2650</v>
      </c>
      <c r="F2950" s="274" t="s">
        <v>22857</v>
      </c>
      <c r="G2950" s="15">
        <v>2650</v>
      </c>
      <c r="H2950" s="15">
        <f>Tabla1[[#This Row],[Importe]]-Tabla1[[#This Row],[Pagado]]</f>
        <v>0</v>
      </c>
      <c r="I2950" s="275" t="s">
        <v>15214</v>
      </c>
    </row>
    <row r="2951" spans="1:9" x14ac:dyDescent="0.25">
      <c r="A2951" s="16">
        <v>42940</v>
      </c>
      <c r="B2951" s="273" t="s">
        <v>22860</v>
      </c>
      <c r="C2951">
        <v>121105</v>
      </c>
      <c r="D2951" s="236" t="s">
        <v>15858</v>
      </c>
      <c r="E2951" s="15">
        <v>1171.32</v>
      </c>
      <c r="F2951" s="274">
        <v>42940</v>
      </c>
      <c r="G2951" s="15">
        <v>1171.32</v>
      </c>
      <c r="H2951" s="15">
        <f>Tabla1[[#This Row],[Importe]]-Tabla1[[#This Row],[Pagado]]</f>
        <v>0</v>
      </c>
      <c r="I2951" s="275" t="s">
        <v>15214</v>
      </c>
    </row>
    <row r="2952" spans="1:9" x14ac:dyDescent="0.25">
      <c r="A2952" s="16">
        <v>42940</v>
      </c>
      <c r="B2952" s="273" t="s">
        <v>22861</v>
      </c>
      <c r="C2952">
        <v>121106</v>
      </c>
      <c r="D2952" s="236" t="s">
        <v>15334</v>
      </c>
      <c r="E2952" s="15">
        <v>1710</v>
      </c>
      <c r="F2952" s="274">
        <v>42940</v>
      </c>
      <c r="G2952" s="15">
        <v>1710</v>
      </c>
      <c r="H2952" s="15">
        <f>Tabla1[[#This Row],[Importe]]-Tabla1[[#This Row],[Pagado]]</f>
        <v>0</v>
      </c>
      <c r="I2952" s="275" t="s">
        <v>15214</v>
      </c>
    </row>
    <row r="2953" spans="1:9" x14ac:dyDescent="0.25">
      <c r="A2953" s="16">
        <v>42940</v>
      </c>
      <c r="B2953" s="273" t="s">
        <v>22862</v>
      </c>
      <c r="C2953">
        <v>121107</v>
      </c>
      <c r="D2953" s="236" t="s">
        <v>15742</v>
      </c>
      <c r="E2953" s="15">
        <v>3439.6</v>
      </c>
      <c r="F2953" s="274">
        <v>42940</v>
      </c>
      <c r="G2953" s="15">
        <v>3439.6</v>
      </c>
      <c r="H2953" s="15">
        <f>Tabla1[[#This Row],[Importe]]-Tabla1[[#This Row],[Pagado]]</f>
        <v>0</v>
      </c>
      <c r="I2953" s="275" t="s">
        <v>15214</v>
      </c>
    </row>
    <row r="2954" spans="1:9" x14ac:dyDescent="0.25">
      <c r="A2954" s="16">
        <v>42940</v>
      </c>
      <c r="B2954" s="273" t="s">
        <v>22863</v>
      </c>
      <c r="C2954">
        <v>121108</v>
      </c>
      <c r="D2954" s="236" t="s">
        <v>15332</v>
      </c>
      <c r="E2954" s="15">
        <v>2525.6</v>
      </c>
      <c r="F2954" s="274">
        <v>42940</v>
      </c>
      <c r="G2954" s="15">
        <v>2525.6</v>
      </c>
      <c r="H2954" s="15">
        <f>Tabla1[[#This Row],[Importe]]-Tabla1[[#This Row],[Pagado]]</f>
        <v>0</v>
      </c>
      <c r="I2954" s="275" t="s">
        <v>15214</v>
      </c>
    </row>
    <row r="2955" spans="1:9" x14ac:dyDescent="0.25">
      <c r="A2955" s="16">
        <v>42940</v>
      </c>
      <c r="B2955" s="273" t="s">
        <v>22864</v>
      </c>
      <c r="C2955">
        <v>121109</v>
      </c>
      <c r="D2955" s="236" t="s">
        <v>15526</v>
      </c>
      <c r="E2955" s="15">
        <v>4202</v>
      </c>
      <c r="F2955" s="274">
        <v>42940</v>
      </c>
      <c r="G2955" s="15">
        <v>4202</v>
      </c>
      <c r="H2955" s="15">
        <f>Tabla1[[#This Row],[Importe]]-Tabla1[[#This Row],[Pagado]]</f>
        <v>0</v>
      </c>
      <c r="I2955" s="275" t="s">
        <v>15214</v>
      </c>
    </row>
    <row r="2956" spans="1:9" ht="15.75" x14ac:dyDescent="0.25">
      <c r="A2956" s="16">
        <v>42940</v>
      </c>
      <c r="B2956" s="273" t="s">
        <v>22865</v>
      </c>
      <c r="C2956">
        <v>121110</v>
      </c>
      <c r="D2956" s="248" t="s">
        <v>95</v>
      </c>
      <c r="E2956" s="15">
        <v>0</v>
      </c>
      <c r="F2956" s="277" t="s">
        <v>95</v>
      </c>
      <c r="G2956" s="15">
        <v>0</v>
      </c>
      <c r="H2956" s="15">
        <f>Tabla1[[#This Row],[Importe]]-Tabla1[[#This Row],[Pagado]]</f>
        <v>0</v>
      </c>
      <c r="I2956" s="275" t="s">
        <v>95</v>
      </c>
    </row>
    <row r="2957" spans="1:9" x14ac:dyDescent="0.25">
      <c r="A2957" s="16">
        <v>42940</v>
      </c>
      <c r="B2957" s="273" t="s">
        <v>22866</v>
      </c>
      <c r="C2957">
        <v>121111</v>
      </c>
      <c r="D2957" s="236" t="s">
        <v>15404</v>
      </c>
      <c r="E2957" s="15">
        <v>15400.8</v>
      </c>
      <c r="F2957" s="274">
        <v>42940</v>
      </c>
      <c r="G2957" s="15">
        <v>15400.8</v>
      </c>
      <c r="H2957" s="15">
        <f>Tabla1[[#This Row],[Importe]]-Tabla1[[#This Row],[Pagado]]</f>
        <v>0</v>
      </c>
      <c r="I2957" s="275" t="s">
        <v>15214</v>
      </c>
    </row>
    <row r="2958" spans="1:9" x14ac:dyDescent="0.25">
      <c r="A2958" s="16">
        <v>42940</v>
      </c>
      <c r="B2958" s="273" t="s">
        <v>22867</v>
      </c>
      <c r="C2958">
        <v>121112</v>
      </c>
      <c r="D2958" s="236" t="s">
        <v>15590</v>
      </c>
      <c r="E2958" s="15">
        <v>20522.400000000001</v>
      </c>
      <c r="F2958" s="274">
        <v>42947</v>
      </c>
      <c r="G2958" s="15">
        <v>20522.400000000001</v>
      </c>
      <c r="H2958" s="15">
        <f>Tabla1[[#This Row],[Importe]]-Tabla1[[#This Row],[Pagado]]</f>
        <v>0</v>
      </c>
      <c r="I2958" s="275" t="s">
        <v>15214</v>
      </c>
    </row>
    <row r="2959" spans="1:9" x14ac:dyDescent="0.25">
      <c r="A2959" s="16">
        <v>42940</v>
      </c>
      <c r="B2959" s="273" t="s">
        <v>22868</v>
      </c>
      <c r="C2959">
        <v>121113</v>
      </c>
      <c r="D2959" s="236" t="s">
        <v>15352</v>
      </c>
      <c r="E2959" s="15">
        <v>709.7</v>
      </c>
      <c r="F2959" s="274">
        <v>42940</v>
      </c>
      <c r="G2959" s="15">
        <v>709.7</v>
      </c>
      <c r="H2959" s="15">
        <f>Tabla1[[#This Row],[Importe]]-Tabla1[[#This Row],[Pagado]]</f>
        <v>0</v>
      </c>
      <c r="I2959" s="275" t="s">
        <v>15214</v>
      </c>
    </row>
    <row r="2960" spans="1:9" x14ac:dyDescent="0.25">
      <c r="A2960" s="16">
        <v>42940</v>
      </c>
      <c r="B2960" s="273" t="s">
        <v>22869</v>
      </c>
      <c r="C2960">
        <v>121114</v>
      </c>
      <c r="D2960" s="236" t="s">
        <v>15354</v>
      </c>
      <c r="E2960" s="15">
        <v>2229.4</v>
      </c>
      <c r="F2960" s="274">
        <v>42940</v>
      </c>
      <c r="G2960" s="15">
        <v>2229.4</v>
      </c>
      <c r="H2960" s="15">
        <f>Tabla1[[#This Row],[Importe]]-Tabla1[[#This Row],[Pagado]]</f>
        <v>0</v>
      </c>
      <c r="I2960" s="275" t="s">
        <v>15214</v>
      </c>
    </row>
    <row r="2961" spans="1:9" x14ac:dyDescent="0.25">
      <c r="A2961" s="16">
        <v>42940</v>
      </c>
      <c r="B2961" s="273" t="s">
        <v>22870</v>
      </c>
      <c r="C2961">
        <v>121115</v>
      </c>
      <c r="D2961" s="236" t="s">
        <v>15378</v>
      </c>
      <c r="E2961" s="15">
        <v>9786.35</v>
      </c>
      <c r="F2961" s="274">
        <v>42947</v>
      </c>
      <c r="G2961" s="15">
        <v>9786.35</v>
      </c>
      <c r="H2961" s="15">
        <f>Tabla1[[#This Row],[Importe]]-Tabla1[[#This Row],[Pagado]]</f>
        <v>0</v>
      </c>
      <c r="I2961" s="275" t="s">
        <v>15214</v>
      </c>
    </row>
    <row r="2962" spans="1:9" x14ac:dyDescent="0.25">
      <c r="A2962" s="16">
        <v>42940</v>
      </c>
      <c r="B2962" s="273" t="s">
        <v>22871</v>
      </c>
      <c r="C2962">
        <v>121116</v>
      </c>
      <c r="D2962" s="236" t="s">
        <v>15376</v>
      </c>
      <c r="E2962" s="15">
        <v>12907.4</v>
      </c>
      <c r="F2962" s="274">
        <v>42940</v>
      </c>
      <c r="G2962" s="15">
        <v>12907.4</v>
      </c>
      <c r="H2962" s="15">
        <f>Tabla1[[#This Row],[Importe]]-Tabla1[[#This Row],[Pagado]]</f>
        <v>0</v>
      </c>
      <c r="I2962" s="275" t="s">
        <v>15214</v>
      </c>
    </row>
    <row r="2963" spans="1:9" x14ac:dyDescent="0.25">
      <c r="A2963" s="16">
        <v>42940</v>
      </c>
      <c r="B2963" s="273" t="s">
        <v>22872</v>
      </c>
      <c r="C2963">
        <v>121117</v>
      </c>
      <c r="D2963" s="236" t="s">
        <v>19697</v>
      </c>
      <c r="E2963" s="15">
        <v>997.5</v>
      </c>
      <c r="F2963" s="274">
        <v>42940</v>
      </c>
      <c r="G2963" s="15">
        <v>997.5</v>
      </c>
      <c r="H2963" s="15">
        <f>Tabla1[[#This Row],[Importe]]-Tabla1[[#This Row],[Pagado]]</f>
        <v>0</v>
      </c>
      <c r="I2963" s="275" t="s">
        <v>15214</v>
      </c>
    </row>
    <row r="2964" spans="1:9" x14ac:dyDescent="0.25">
      <c r="A2964" s="16">
        <v>42940</v>
      </c>
      <c r="B2964" s="273" t="s">
        <v>22873</v>
      </c>
      <c r="C2964">
        <v>121118</v>
      </c>
      <c r="D2964" s="236" t="s">
        <v>15391</v>
      </c>
      <c r="E2964" s="15">
        <v>2665</v>
      </c>
      <c r="F2964" s="274">
        <v>42953</v>
      </c>
      <c r="G2964" s="15">
        <v>2665</v>
      </c>
      <c r="H2964" s="15">
        <f>Tabla1[[#This Row],[Importe]]-Tabla1[[#This Row],[Pagado]]</f>
        <v>0</v>
      </c>
      <c r="I2964" s="275" t="s">
        <v>15214</v>
      </c>
    </row>
    <row r="2965" spans="1:9" x14ac:dyDescent="0.25">
      <c r="A2965" s="16">
        <v>42940</v>
      </c>
      <c r="B2965" s="273" t="s">
        <v>22874</v>
      </c>
      <c r="C2965">
        <v>121119</v>
      </c>
      <c r="D2965" s="236" t="s">
        <v>15592</v>
      </c>
      <c r="E2965" s="15">
        <v>11184</v>
      </c>
      <c r="F2965" s="274">
        <v>42940</v>
      </c>
      <c r="G2965" s="15">
        <v>11184</v>
      </c>
      <c r="H2965" s="15">
        <f>Tabla1[[#This Row],[Importe]]-Tabla1[[#This Row],[Pagado]]</f>
        <v>0</v>
      </c>
      <c r="I2965" s="275" t="s">
        <v>15214</v>
      </c>
    </row>
    <row r="2966" spans="1:9" x14ac:dyDescent="0.25">
      <c r="A2966" s="16">
        <v>42940</v>
      </c>
      <c r="B2966" s="273" t="s">
        <v>22875</v>
      </c>
      <c r="C2966">
        <v>121120</v>
      </c>
      <c r="D2966" s="236" t="s">
        <v>15298</v>
      </c>
      <c r="E2966" s="15">
        <v>1753.9</v>
      </c>
      <c r="F2966" s="274">
        <v>42940</v>
      </c>
      <c r="G2966" s="15">
        <v>1753.9</v>
      </c>
      <c r="H2966" s="15">
        <f>Tabla1[[#This Row],[Importe]]-Tabla1[[#This Row],[Pagado]]</f>
        <v>0</v>
      </c>
      <c r="I2966" s="275" t="s">
        <v>15214</v>
      </c>
    </row>
    <row r="2967" spans="1:9" x14ac:dyDescent="0.25">
      <c r="A2967" s="16">
        <v>42940</v>
      </c>
      <c r="B2967" s="273" t="s">
        <v>22876</v>
      </c>
      <c r="C2967">
        <v>121121</v>
      </c>
      <c r="D2967" s="236" t="s">
        <v>15387</v>
      </c>
      <c r="E2967" s="15">
        <v>1449.12</v>
      </c>
      <c r="F2967" s="274">
        <v>42940</v>
      </c>
      <c r="G2967" s="15">
        <v>1449.12</v>
      </c>
      <c r="H2967" s="15">
        <f>Tabla1[[#This Row],[Importe]]-Tabla1[[#This Row],[Pagado]]</f>
        <v>0</v>
      </c>
      <c r="I2967" s="275" t="s">
        <v>15214</v>
      </c>
    </row>
    <row r="2968" spans="1:9" x14ac:dyDescent="0.25">
      <c r="A2968" s="16">
        <v>42940</v>
      </c>
      <c r="B2968" s="273" t="s">
        <v>22877</v>
      </c>
      <c r="C2968">
        <v>121122</v>
      </c>
      <c r="D2968" s="236" t="s">
        <v>15298</v>
      </c>
      <c r="E2968" s="15">
        <v>361.9</v>
      </c>
      <c r="F2968" s="274">
        <v>42940</v>
      </c>
      <c r="G2968" s="15">
        <v>361.9</v>
      </c>
      <c r="H2968" s="15">
        <f>Tabla1[[#This Row],[Importe]]-Tabla1[[#This Row],[Pagado]]</f>
        <v>0</v>
      </c>
      <c r="I2968" s="275" t="s">
        <v>15214</v>
      </c>
    </row>
    <row r="2969" spans="1:9" x14ac:dyDescent="0.25">
      <c r="A2969" s="16">
        <v>42940</v>
      </c>
      <c r="B2969" s="273" t="s">
        <v>22878</v>
      </c>
      <c r="C2969">
        <v>121123</v>
      </c>
      <c r="D2969" s="236" t="s">
        <v>15757</v>
      </c>
      <c r="E2969" s="15">
        <v>585</v>
      </c>
      <c r="F2969" s="274">
        <v>42940</v>
      </c>
      <c r="G2969" s="15">
        <v>585</v>
      </c>
      <c r="H2969" s="15">
        <f>Tabla1[[#This Row],[Importe]]-Tabla1[[#This Row],[Pagado]]</f>
        <v>0</v>
      </c>
      <c r="I2969" s="275" t="s">
        <v>15214</v>
      </c>
    </row>
    <row r="2970" spans="1:9" x14ac:dyDescent="0.25">
      <c r="A2970" s="16">
        <v>42940</v>
      </c>
      <c r="B2970" s="273" t="s">
        <v>22879</v>
      </c>
      <c r="C2970">
        <v>121124</v>
      </c>
      <c r="D2970" s="236" t="s">
        <v>15315</v>
      </c>
      <c r="E2970" s="15">
        <v>402.4</v>
      </c>
      <c r="F2970" s="274">
        <v>42940</v>
      </c>
      <c r="G2970" s="15">
        <v>402.4</v>
      </c>
      <c r="H2970" s="15">
        <f>Tabla1[[#This Row],[Importe]]-Tabla1[[#This Row],[Pagado]]</f>
        <v>0</v>
      </c>
      <c r="I2970" s="275" t="s">
        <v>15214</v>
      </c>
    </row>
    <row r="2971" spans="1:9" x14ac:dyDescent="0.25">
      <c r="A2971" s="16">
        <v>42940</v>
      </c>
      <c r="B2971" s="273" t="s">
        <v>22880</v>
      </c>
      <c r="C2971">
        <v>121125</v>
      </c>
      <c r="D2971" s="236" t="s">
        <v>15541</v>
      </c>
      <c r="E2971" s="15">
        <v>1947.4</v>
      </c>
      <c r="F2971" s="274">
        <v>42940</v>
      </c>
      <c r="G2971" s="15">
        <v>1947.4</v>
      </c>
      <c r="H2971" s="15">
        <f>Tabla1[[#This Row],[Importe]]-Tabla1[[#This Row],[Pagado]]</f>
        <v>0</v>
      </c>
      <c r="I2971" s="275" t="s">
        <v>15214</v>
      </c>
    </row>
    <row r="2972" spans="1:9" x14ac:dyDescent="0.25">
      <c r="A2972" s="16">
        <v>42940</v>
      </c>
      <c r="B2972" s="273" t="s">
        <v>22881</v>
      </c>
      <c r="C2972">
        <v>121126</v>
      </c>
      <c r="D2972" s="236" t="s">
        <v>15328</v>
      </c>
      <c r="E2972" s="15">
        <v>29714.26</v>
      </c>
      <c r="F2972" s="274">
        <v>42959</v>
      </c>
      <c r="G2972" s="15">
        <v>29714.26</v>
      </c>
      <c r="H2972" s="15">
        <f>Tabla1[[#This Row],[Importe]]-Tabla1[[#This Row],[Pagado]]</f>
        <v>0</v>
      </c>
      <c r="I2972" s="275" t="s">
        <v>15214</v>
      </c>
    </row>
    <row r="2973" spans="1:9" x14ac:dyDescent="0.25">
      <c r="A2973" s="16">
        <v>42940</v>
      </c>
      <c r="B2973" s="273" t="s">
        <v>22882</v>
      </c>
      <c r="C2973">
        <v>121127</v>
      </c>
      <c r="D2973" s="236" t="s">
        <v>15398</v>
      </c>
      <c r="E2973" s="15">
        <v>2386.6</v>
      </c>
      <c r="F2973" s="274">
        <v>42940</v>
      </c>
      <c r="G2973" s="15">
        <v>2386.6</v>
      </c>
      <c r="H2973" s="15">
        <f>Tabla1[[#This Row],[Importe]]-Tabla1[[#This Row],[Pagado]]</f>
        <v>0</v>
      </c>
      <c r="I2973" s="275" t="s">
        <v>15214</v>
      </c>
    </row>
    <row r="2974" spans="1:9" x14ac:dyDescent="0.25">
      <c r="A2974" s="16">
        <v>42940</v>
      </c>
      <c r="B2974" s="273" t="s">
        <v>22883</v>
      </c>
      <c r="C2974">
        <v>121128</v>
      </c>
      <c r="D2974" s="236" t="s">
        <v>19768</v>
      </c>
      <c r="E2974" s="15">
        <v>1590</v>
      </c>
      <c r="F2974" s="274">
        <v>42940</v>
      </c>
      <c r="G2974" s="15">
        <v>1590</v>
      </c>
      <c r="H2974" s="15">
        <f>Tabla1[[#This Row],[Importe]]-Tabla1[[#This Row],[Pagado]]</f>
        <v>0</v>
      </c>
      <c r="I2974" s="275" t="s">
        <v>15214</v>
      </c>
    </row>
    <row r="2975" spans="1:9" x14ac:dyDescent="0.25">
      <c r="A2975" s="16">
        <v>42940</v>
      </c>
      <c r="B2975" s="273" t="s">
        <v>22884</v>
      </c>
      <c r="C2975">
        <v>121129</v>
      </c>
      <c r="D2975" s="236" t="s">
        <v>15282</v>
      </c>
      <c r="E2975" s="15">
        <v>2982.6</v>
      </c>
      <c r="F2975" s="274">
        <v>42940</v>
      </c>
      <c r="G2975" s="15">
        <v>2982.6</v>
      </c>
      <c r="H2975" s="15">
        <f>Tabla1[[#This Row],[Importe]]-Tabla1[[#This Row],[Pagado]]</f>
        <v>0</v>
      </c>
      <c r="I2975" s="275" t="s">
        <v>15214</v>
      </c>
    </row>
    <row r="2976" spans="1:9" x14ac:dyDescent="0.25">
      <c r="A2976" s="16">
        <v>42940</v>
      </c>
      <c r="B2976" s="273" t="s">
        <v>22885</v>
      </c>
      <c r="C2976">
        <v>121130</v>
      </c>
      <c r="D2976" s="236" t="s">
        <v>15326</v>
      </c>
      <c r="E2976" s="15">
        <v>2623.2</v>
      </c>
      <c r="F2976" s="274">
        <v>42940</v>
      </c>
      <c r="G2976" s="15">
        <v>2623.2</v>
      </c>
      <c r="H2976" s="15">
        <f>Tabla1[[#This Row],[Importe]]-Tabla1[[#This Row],[Pagado]]</f>
        <v>0</v>
      </c>
      <c r="I2976" s="275" t="s">
        <v>15214</v>
      </c>
    </row>
    <row r="2977" spans="1:9" x14ac:dyDescent="0.25">
      <c r="A2977" s="16">
        <v>42940</v>
      </c>
      <c r="B2977" s="273" t="s">
        <v>22886</v>
      </c>
      <c r="C2977">
        <v>121131</v>
      </c>
      <c r="D2977" s="236" t="s">
        <v>15326</v>
      </c>
      <c r="E2977" s="15">
        <v>1017.6</v>
      </c>
      <c r="F2977" s="274">
        <v>42940</v>
      </c>
      <c r="G2977" s="15">
        <v>1017.6</v>
      </c>
      <c r="H2977" s="15">
        <f>Tabla1[[#This Row],[Importe]]-Tabla1[[#This Row],[Pagado]]</f>
        <v>0</v>
      </c>
      <c r="I2977" s="275" t="s">
        <v>15214</v>
      </c>
    </row>
    <row r="2978" spans="1:9" ht="30" x14ac:dyDescent="0.25">
      <c r="A2978" s="16">
        <v>42940</v>
      </c>
      <c r="B2978" s="273" t="s">
        <v>22887</v>
      </c>
      <c r="C2978">
        <v>121132</v>
      </c>
      <c r="D2978" s="236" t="s">
        <v>15246</v>
      </c>
      <c r="E2978" s="15">
        <v>287315.40000000002</v>
      </c>
      <c r="F2978" s="274" t="s">
        <v>22779</v>
      </c>
      <c r="G2978" s="15">
        <v>287315.40000000002</v>
      </c>
      <c r="H2978" s="15">
        <f>Tabla1[[#This Row],[Importe]]-Tabla1[[#This Row],[Pagado]]</f>
        <v>0</v>
      </c>
      <c r="I2978" s="275" t="s">
        <v>15214</v>
      </c>
    </row>
    <row r="2979" spans="1:9" ht="30" x14ac:dyDescent="0.25">
      <c r="A2979" s="16">
        <v>42940</v>
      </c>
      <c r="B2979" s="273" t="s">
        <v>22888</v>
      </c>
      <c r="C2979">
        <v>121133</v>
      </c>
      <c r="D2979" s="236" t="s">
        <v>15246</v>
      </c>
      <c r="E2979" s="15">
        <v>24210</v>
      </c>
      <c r="F2979" s="274" t="s">
        <v>22739</v>
      </c>
      <c r="G2979" s="15">
        <v>24210</v>
      </c>
      <c r="H2979" s="15">
        <f>Tabla1[[#This Row],[Importe]]-Tabla1[[#This Row],[Pagado]]</f>
        <v>0</v>
      </c>
      <c r="I2979" s="275" t="s">
        <v>15214</v>
      </c>
    </row>
    <row r="2980" spans="1:9" x14ac:dyDescent="0.25">
      <c r="A2980" s="16">
        <v>42940</v>
      </c>
      <c r="B2980" s="273" t="s">
        <v>22889</v>
      </c>
      <c r="C2980">
        <v>121134</v>
      </c>
      <c r="D2980" s="236" t="s">
        <v>15263</v>
      </c>
      <c r="E2980" s="15">
        <v>225.6</v>
      </c>
      <c r="F2980" s="274">
        <v>42940</v>
      </c>
      <c r="G2980" s="15">
        <v>225.6</v>
      </c>
      <c r="H2980" s="15">
        <f>Tabla1[[#This Row],[Importe]]-Tabla1[[#This Row],[Pagado]]</f>
        <v>0</v>
      </c>
      <c r="I2980" s="275" t="s">
        <v>15214</v>
      </c>
    </row>
    <row r="2981" spans="1:9" x14ac:dyDescent="0.25">
      <c r="A2981" s="16">
        <v>42940</v>
      </c>
      <c r="B2981" s="273" t="s">
        <v>22890</v>
      </c>
      <c r="C2981">
        <v>121135</v>
      </c>
      <c r="D2981" s="236" t="s">
        <v>15617</v>
      </c>
      <c r="E2981" s="15">
        <v>38562.800000000003</v>
      </c>
      <c r="F2981" s="274">
        <v>42941</v>
      </c>
      <c r="G2981" s="15">
        <v>38562.800000000003</v>
      </c>
      <c r="H2981" s="15">
        <f>Tabla1[[#This Row],[Importe]]-Tabla1[[#This Row],[Pagado]]</f>
        <v>0</v>
      </c>
      <c r="I2981" s="275" t="s">
        <v>15214</v>
      </c>
    </row>
    <row r="2982" spans="1:9" x14ac:dyDescent="0.25">
      <c r="A2982" s="16">
        <v>42940</v>
      </c>
      <c r="B2982" s="273" t="s">
        <v>22891</v>
      </c>
      <c r="C2982">
        <v>121136</v>
      </c>
      <c r="D2982" s="236" t="s">
        <v>15267</v>
      </c>
      <c r="E2982" s="15">
        <v>5579.6</v>
      </c>
      <c r="F2982" s="274">
        <v>42941</v>
      </c>
      <c r="G2982" s="15">
        <v>5579.6</v>
      </c>
      <c r="H2982" s="15">
        <f>Tabla1[[#This Row],[Importe]]-Tabla1[[#This Row],[Pagado]]</f>
        <v>0</v>
      </c>
      <c r="I2982" s="275" t="s">
        <v>15214</v>
      </c>
    </row>
    <row r="2983" spans="1:9" x14ac:dyDescent="0.25">
      <c r="A2983" s="16">
        <v>42940</v>
      </c>
      <c r="B2983" s="273" t="s">
        <v>22892</v>
      </c>
      <c r="C2983">
        <v>121137</v>
      </c>
      <c r="D2983" s="236" t="s">
        <v>15433</v>
      </c>
      <c r="E2983" s="15">
        <v>1603.1</v>
      </c>
      <c r="F2983" s="274">
        <v>42940</v>
      </c>
      <c r="G2983" s="15">
        <v>1603.1</v>
      </c>
      <c r="H2983" s="15">
        <f>Tabla1[[#This Row],[Importe]]-Tabla1[[#This Row],[Pagado]]</f>
        <v>0</v>
      </c>
      <c r="I2983" s="275" t="s">
        <v>15214</v>
      </c>
    </row>
    <row r="2984" spans="1:9" x14ac:dyDescent="0.25">
      <c r="A2984" s="16">
        <v>42940</v>
      </c>
      <c r="B2984" s="273" t="s">
        <v>22893</v>
      </c>
      <c r="C2984">
        <v>121138</v>
      </c>
      <c r="D2984" s="236" t="s">
        <v>15254</v>
      </c>
      <c r="E2984" s="15">
        <v>10130.4</v>
      </c>
      <c r="F2984" s="274">
        <v>42941</v>
      </c>
      <c r="G2984" s="15">
        <v>10130.4</v>
      </c>
      <c r="H2984" s="15">
        <f>Tabla1[[#This Row],[Importe]]-Tabla1[[#This Row],[Pagado]]</f>
        <v>0</v>
      </c>
      <c r="I2984" s="275" t="s">
        <v>15214</v>
      </c>
    </row>
    <row r="2985" spans="1:9" x14ac:dyDescent="0.25">
      <c r="A2985" s="16">
        <v>42940</v>
      </c>
      <c r="B2985" s="273" t="s">
        <v>22894</v>
      </c>
      <c r="C2985">
        <v>121139</v>
      </c>
      <c r="D2985" s="236" t="s">
        <v>17722</v>
      </c>
      <c r="E2985" s="15">
        <v>3338.4</v>
      </c>
      <c r="F2985" s="274">
        <v>42940</v>
      </c>
      <c r="G2985" s="15">
        <v>3338.4</v>
      </c>
      <c r="H2985" s="15">
        <f>Tabla1[[#This Row],[Importe]]-Tabla1[[#This Row],[Pagado]]</f>
        <v>0</v>
      </c>
      <c r="I2985" s="275" t="s">
        <v>15214</v>
      </c>
    </row>
    <row r="2986" spans="1:9" x14ac:dyDescent="0.25">
      <c r="A2986" s="16">
        <v>42940</v>
      </c>
      <c r="B2986" s="273" t="s">
        <v>22895</v>
      </c>
      <c r="C2986">
        <v>121140</v>
      </c>
      <c r="D2986" s="236" t="s">
        <v>15284</v>
      </c>
      <c r="E2986" s="15">
        <v>1199</v>
      </c>
      <c r="F2986" s="274">
        <v>42940</v>
      </c>
      <c r="G2986" s="15">
        <v>1199</v>
      </c>
      <c r="H2986" s="15">
        <f>Tabla1[[#This Row],[Importe]]-Tabla1[[#This Row],[Pagado]]</f>
        <v>0</v>
      </c>
      <c r="I2986" s="275" t="s">
        <v>15214</v>
      </c>
    </row>
    <row r="2987" spans="1:9" x14ac:dyDescent="0.25">
      <c r="A2987" s="16">
        <v>42940</v>
      </c>
      <c r="B2987" s="273" t="s">
        <v>22896</v>
      </c>
      <c r="C2987">
        <v>121141</v>
      </c>
      <c r="D2987" s="236" t="s">
        <v>15378</v>
      </c>
      <c r="E2987" s="15">
        <v>126</v>
      </c>
      <c r="F2987" s="274">
        <v>42940</v>
      </c>
      <c r="G2987" s="15">
        <v>126</v>
      </c>
      <c r="H2987" s="15">
        <f>Tabla1[[#This Row],[Importe]]-Tabla1[[#This Row],[Pagado]]</f>
        <v>0</v>
      </c>
      <c r="I2987" s="275" t="s">
        <v>15214</v>
      </c>
    </row>
    <row r="2988" spans="1:9" x14ac:dyDescent="0.25">
      <c r="A2988" s="16">
        <v>42940</v>
      </c>
      <c r="B2988" s="273" t="s">
        <v>22897</v>
      </c>
      <c r="C2988">
        <v>121142</v>
      </c>
      <c r="D2988" s="236" t="s">
        <v>15987</v>
      </c>
      <c r="E2988" s="15">
        <v>3271.8</v>
      </c>
      <c r="F2988" s="274">
        <v>42940</v>
      </c>
      <c r="G2988" s="15">
        <v>3271.8</v>
      </c>
      <c r="H2988" s="15">
        <f>Tabla1[[#This Row],[Importe]]-Tabla1[[#This Row],[Pagado]]</f>
        <v>0</v>
      </c>
      <c r="I2988" s="275" t="s">
        <v>15214</v>
      </c>
    </row>
    <row r="2989" spans="1:9" x14ac:dyDescent="0.25">
      <c r="A2989" s="16">
        <v>42940</v>
      </c>
      <c r="B2989" s="273" t="s">
        <v>22898</v>
      </c>
      <c r="C2989">
        <v>121143</v>
      </c>
      <c r="D2989" s="236" t="s">
        <v>5880</v>
      </c>
      <c r="E2989" s="15">
        <v>61965</v>
      </c>
      <c r="F2989" s="274">
        <v>42954</v>
      </c>
      <c r="G2989" s="15">
        <v>61965</v>
      </c>
      <c r="H2989" s="15">
        <f>Tabla1[[#This Row],[Importe]]-Tabla1[[#This Row],[Pagado]]</f>
        <v>0</v>
      </c>
      <c r="I2989" s="275" t="s">
        <v>15214</v>
      </c>
    </row>
    <row r="2990" spans="1:9" x14ac:dyDescent="0.25">
      <c r="A2990" s="16">
        <v>42940</v>
      </c>
      <c r="B2990" s="273" t="s">
        <v>22899</v>
      </c>
      <c r="C2990">
        <v>121144</v>
      </c>
      <c r="D2990" s="236" t="s">
        <v>15396</v>
      </c>
      <c r="E2990" s="15">
        <v>5898.1</v>
      </c>
      <c r="F2990" s="274">
        <v>42940</v>
      </c>
      <c r="G2990" s="15">
        <v>5898.1</v>
      </c>
      <c r="H2990" s="15">
        <f>Tabla1[[#This Row],[Importe]]-Tabla1[[#This Row],[Pagado]]</f>
        <v>0</v>
      </c>
      <c r="I2990" s="275" t="s">
        <v>15214</v>
      </c>
    </row>
    <row r="2991" spans="1:9" x14ac:dyDescent="0.25">
      <c r="A2991" s="16">
        <v>42940</v>
      </c>
      <c r="B2991" s="273" t="s">
        <v>22900</v>
      </c>
      <c r="C2991">
        <v>121145</v>
      </c>
      <c r="D2991" s="236" t="s">
        <v>19699</v>
      </c>
      <c r="E2991" s="15">
        <v>1590</v>
      </c>
      <c r="F2991" s="274">
        <v>42940</v>
      </c>
      <c r="G2991" s="15">
        <v>1590</v>
      </c>
      <c r="H2991" s="15">
        <f>Tabla1[[#This Row],[Importe]]-Tabla1[[#This Row],[Pagado]]</f>
        <v>0</v>
      </c>
      <c r="I2991" s="275" t="s">
        <v>15214</v>
      </c>
    </row>
    <row r="2992" spans="1:9" x14ac:dyDescent="0.25">
      <c r="A2992" s="16">
        <v>42940</v>
      </c>
      <c r="B2992" s="273" t="s">
        <v>22901</v>
      </c>
      <c r="C2992">
        <v>121146</v>
      </c>
      <c r="D2992" s="236" t="s">
        <v>22902</v>
      </c>
      <c r="E2992" s="15">
        <v>1928</v>
      </c>
      <c r="F2992" s="274">
        <v>42940</v>
      </c>
      <c r="G2992" s="15">
        <v>1928</v>
      </c>
      <c r="H2992" s="15">
        <f>Tabla1[[#This Row],[Importe]]-Tabla1[[#This Row],[Pagado]]</f>
        <v>0</v>
      </c>
      <c r="I2992" s="275" t="s">
        <v>15214</v>
      </c>
    </row>
    <row r="2993" spans="1:9" x14ac:dyDescent="0.25">
      <c r="A2993" s="16">
        <v>42940</v>
      </c>
      <c r="B2993" s="273" t="s">
        <v>22903</v>
      </c>
      <c r="C2993">
        <v>121147</v>
      </c>
      <c r="D2993" s="236" t="s">
        <v>15423</v>
      </c>
      <c r="E2993" s="15">
        <v>2910.6</v>
      </c>
      <c r="F2993" s="274">
        <v>42940</v>
      </c>
      <c r="G2993" s="15">
        <v>2910.6</v>
      </c>
      <c r="H2993" s="15">
        <f>Tabla1[[#This Row],[Importe]]-Tabla1[[#This Row],[Pagado]]</f>
        <v>0</v>
      </c>
      <c r="I2993" s="275" t="s">
        <v>15214</v>
      </c>
    </row>
    <row r="2994" spans="1:9" ht="15.75" x14ac:dyDescent="0.25">
      <c r="A2994" s="16">
        <v>42940</v>
      </c>
      <c r="B2994" s="273" t="s">
        <v>22904</v>
      </c>
      <c r="C2994">
        <v>121148</v>
      </c>
      <c r="D2994" s="248" t="s">
        <v>95</v>
      </c>
      <c r="E2994" s="15">
        <v>0</v>
      </c>
      <c r="F2994" s="277" t="s">
        <v>95</v>
      </c>
      <c r="G2994" s="15">
        <v>0</v>
      </c>
      <c r="H2994" s="15">
        <f>Tabla1[[#This Row],[Importe]]-Tabla1[[#This Row],[Pagado]]</f>
        <v>0</v>
      </c>
      <c r="I2994" s="275" t="s">
        <v>95</v>
      </c>
    </row>
    <row r="2995" spans="1:9" x14ac:dyDescent="0.25">
      <c r="A2995" s="16">
        <v>42940</v>
      </c>
      <c r="B2995" s="273" t="s">
        <v>22905</v>
      </c>
      <c r="C2995">
        <v>121149</v>
      </c>
      <c r="D2995" s="236" t="s">
        <v>5883</v>
      </c>
      <c r="E2995" s="15">
        <v>7758.84</v>
      </c>
      <c r="F2995" s="274">
        <v>42959</v>
      </c>
      <c r="G2995" s="15">
        <v>7758.84</v>
      </c>
      <c r="H2995" s="15">
        <f>Tabla1[[#This Row],[Importe]]-Tabla1[[#This Row],[Pagado]]</f>
        <v>0</v>
      </c>
      <c r="I2995" s="275" t="s">
        <v>15214</v>
      </c>
    </row>
    <row r="2996" spans="1:9" x14ac:dyDescent="0.25">
      <c r="A2996" s="16">
        <v>42940</v>
      </c>
      <c r="B2996" s="273" t="s">
        <v>22906</v>
      </c>
      <c r="C2996">
        <v>121150</v>
      </c>
      <c r="D2996" s="236" t="s">
        <v>19680</v>
      </c>
      <c r="E2996" s="15">
        <v>200</v>
      </c>
      <c r="F2996" s="274">
        <v>42940</v>
      </c>
      <c r="G2996" s="15">
        <v>200</v>
      </c>
      <c r="H2996" s="15">
        <f>Tabla1[[#This Row],[Importe]]-Tabla1[[#This Row],[Pagado]]</f>
        <v>0</v>
      </c>
      <c r="I2996" s="275" t="s">
        <v>15214</v>
      </c>
    </row>
    <row r="2997" spans="1:9" x14ac:dyDescent="0.25">
      <c r="A2997" s="16">
        <v>42940</v>
      </c>
      <c r="B2997" s="273" t="s">
        <v>22907</v>
      </c>
      <c r="C2997">
        <v>121151</v>
      </c>
      <c r="D2997" s="236" t="s">
        <v>19754</v>
      </c>
      <c r="E2997" s="15">
        <v>35686.800000000003</v>
      </c>
      <c r="F2997" s="274">
        <v>42942</v>
      </c>
      <c r="G2997" s="15">
        <v>35686.800000000003</v>
      </c>
      <c r="H2997" s="15">
        <f>Tabla1[[#This Row],[Importe]]-Tabla1[[#This Row],[Pagado]]</f>
        <v>0</v>
      </c>
      <c r="I2997" s="275" t="s">
        <v>15214</v>
      </c>
    </row>
    <row r="2998" spans="1:9" x14ac:dyDescent="0.25">
      <c r="A2998" s="16">
        <v>42940</v>
      </c>
      <c r="B2998" s="273" t="s">
        <v>22908</v>
      </c>
      <c r="C2998">
        <v>121152</v>
      </c>
      <c r="D2998" s="236" t="s">
        <v>15230</v>
      </c>
      <c r="E2998" s="15">
        <v>10332.9</v>
      </c>
      <c r="F2998" s="274">
        <v>42942</v>
      </c>
      <c r="G2998" s="15">
        <v>10332.9</v>
      </c>
      <c r="H2998" s="15">
        <f>Tabla1[[#This Row],[Importe]]-Tabla1[[#This Row],[Pagado]]</f>
        <v>0</v>
      </c>
      <c r="I2998" s="275" t="s">
        <v>15214</v>
      </c>
    </row>
    <row r="2999" spans="1:9" x14ac:dyDescent="0.25">
      <c r="A2999" s="16">
        <v>42940</v>
      </c>
      <c r="B2999" s="273" t="s">
        <v>22909</v>
      </c>
      <c r="C2999">
        <v>121153</v>
      </c>
      <c r="D2999" s="236" t="s">
        <v>15444</v>
      </c>
      <c r="E2999" s="15">
        <v>1846.8</v>
      </c>
      <c r="F2999" s="274">
        <v>42941</v>
      </c>
      <c r="G2999" s="15">
        <v>1846.8</v>
      </c>
      <c r="H2999" s="15">
        <f>Tabla1[[#This Row],[Importe]]-Tabla1[[#This Row],[Pagado]]</f>
        <v>0</v>
      </c>
      <c r="I2999" s="275" t="s">
        <v>15214</v>
      </c>
    </row>
    <row r="3000" spans="1:9" x14ac:dyDescent="0.25">
      <c r="A3000" s="16">
        <v>42940</v>
      </c>
      <c r="B3000" s="273" t="s">
        <v>22910</v>
      </c>
      <c r="C3000">
        <v>121154</v>
      </c>
      <c r="D3000" s="236" t="s">
        <v>15232</v>
      </c>
      <c r="E3000" s="15">
        <v>3233.6</v>
      </c>
      <c r="F3000" s="274">
        <v>42943</v>
      </c>
      <c r="G3000" s="15">
        <v>3233.6</v>
      </c>
      <c r="H3000" s="15">
        <f>Tabla1[[#This Row],[Importe]]-Tabla1[[#This Row],[Pagado]]</f>
        <v>0</v>
      </c>
      <c r="I3000" s="275" t="s">
        <v>15214</v>
      </c>
    </row>
    <row r="3001" spans="1:9" x14ac:dyDescent="0.25">
      <c r="A3001" s="16">
        <v>42940</v>
      </c>
      <c r="B3001" s="273" t="s">
        <v>22911</v>
      </c>
      <c r="C3001">
        <v>121155</v>
      </c>
      <c r="D3001" s="236" t="s">
        <v>19765</v>
      </c>
      <c r="E3001" s="15">
        <v>3500</v>
      </c>
      <c r="F3001" s="274">
        <v>42947</v>
      </c>
      <c r="G3001" s="15">
        <v>3500</v>
      </c>
      <c r="H3001" s="15">
        <f>Tabla1[[#This Row],[Importe]]-Tabla1[[#This Row],[Pagado]]</f>
        <v>0</v>
      </c>
      <c r="I3001" s="275" t="s">
        <v>15214</v>
      </c>
    </row>
    <row r="3002" spans="1:9" x14ac:dyDescent="0.25">
      <c r="A3002" s="16">
        <v>42940</v>
      </c>
      <c r="B3002" s="273" t="s">
        <v>22912</v>
      </c>
      <c r="C3002">
        <v>121156</v>
      </c>
      <c r="D3002" s="236" t="s">
        <v>19742</v>
      </c>
      <c r="E3002" s="15">
        <v>1500</v>
      </c>
      <c r="F3002" s="274">
        <v>42947</v>
      </c>
      <c r="G3002" s="15">
        <v>1500</v>
      </c>
      <c r="H3002" s="15">
        <f>Tabla1[[#This Row],[Importe]]-Tabla1[[#This Row],[Pagado]]</f>
        <v>0</v>
      </c>
      <c r="I3002" s="275" t="s">
        <v>15214</v>
      </c>
    </row>
    <row r="3003" spans="1:9" x14ac:dyDescent="0.25">
      <c r="A3003" s="16">
        <v>42940</v>
      </c>
      <c r="B3003" s="273" t="s">
        <v>22913</v>
      </c>
      <c r="C3003">
        <v>121157</v>
      </c>
      <c r="D3003" s="236" t="s">
        <v>19742</v>
      </c>
      <c r="E3003" s="15">
        <v>3500</v>
      </c>
      <c r="F3003" s="274">
        <v>42947</v>
      </c>
      <c r="G3003" s="15">
        <v>3500</v>
      </c>
      <c r="H3003" s="15">
        <f>Tabla1[[#This Row],[Importe]]-Tabla1[[#This Row],[Pagado]]</f>
        <v>0</v>
      </c>
      <c r="I3003" s="275" t="s">
        <v>15214</v>
      </c>
    </row>
    <row r="3004" spans="1:9" x14ac:dyDescent="0.25">
      <c r="A3004" s="16">
        <v>42940</v>
      </c>
      <c r="B3004" s="273" t="s">
        <v>22914</v>
      </c>
      <c r="C3004">
        <v>121158</v>
      </c>
      <c r="D3004" s="236" t="s">
        <v>15903</v>
      </c>
      <c r="E3004" s="15">
        <v>33815.1</v>
      </c>
      <c r="F3004" s="274">
        <v>42941</v>
      </c>
      <c r="G3004" s="15">
        <v>33815.1</v>
      </c>
      <c r="H3004" s="15">
        <f>Tabla1[[#This Row],[Importe]]-Tabla1[[#This Row],[Pagado]]</f>
        <v>0</v>
      </c>
      <c r="I3004" s="275" t="s">
        <v>15214</v>
      </c>
    </row>
    <row r="3005" spans="1:9" ht="15.75" x14ac:dyDescent="0.25">
      <c r="A3005" s="16">
        <v>42941</v>
      </c>
      <c r="B3005" s="273" t="s">
        <v>22915</v>
      </c>
      <c r="C3005">
        <v>121159</v>
      </c>
      <c r="D3005" s="248" t="s">
        <v>95</v>
      </c>
      <c r="E3005" s="15">
        <v>0</v>
      </c>
      <c r="F3005" s="277" t="s">
        <v>95</v>
      </c>
      <c r="G3005" s="15">
        <v>0</v>
      </c>
      <c r="H3005" s="15">
        <f>Tabla1[[#This Row],[Importe]]-Tabla1[[#This Row],[Pagado]]</f>
        <v>0</v>
      </c>
      <c r="I3005" s="275" t="s">
        <v>95</v>
      </c>
    </row>
    <row r="3006" spans="1:9" x14ac:dyDescent="0.25">
      <c r="A3006" s="16">
        <v>42941</v>
      </c>
      <c r="B3006" s="273" t="s">
        <v>22916</v>
      </c>
      <c r="C3006">
        <v>121160</v>
      </c>
      <c r="D3006" s="236" t="s">
        <v>15213</v>
      </c>
      <c r="E3006" s="15">
        <v>34216</v>
      </c>
      <c r="F3006" s="274">
        <v>42944</v>
      </c>
      <c r="G3006" s="15">
        <v>34216</v>
      </c>
      <c r="H3006" s="15">
        <f>Tabla1[[#This Row],[Importe]]-Tabla1[[#This Row],[Pagado]]</f>
        <v>0</v>
      </c>
      <c r="I3006" s="275" t="s">
        <v>15214</v>
      </c>
    </row>
    <row r="3007" spans="1:9" x14ac:dyDescent="0.25">
      <c r="A3007" s="16">
        <v>42941</v>
      </c>
      <c r="B3007" s="273" t="s">
        <v>22917</v>
      </c>
      <c r="C3007">
        <v>121161</v>
      </c>
      <c r="D3007" s="236" t="s">
        <v>15213</v>
      </c>
      <c r="E3007" s="15">
        <v>1081</v>
      </c>
      <c r="F3007" s="274">
        <v>42944</v>
      </c>
      <c r="G3007" s="15">
        <v>1081</v>
      </c>
      <c r="H3007" s="15">
        <f>Tabla1[[#This Row],[Importe]]-Tabla1[[#This Row],[Pagado]]</f>
        <v>0</v>
      </c>
      <c r="I3007" s="275" t="s">
        <v>15214</v>
      </c>
    </row>
    <row r="3008" spans="1:9" x14ac:dyDescent="0.25">
      <c r="A3008" s="16">
        <v>42941</v>
      </c>
      <c r="B3008" s="273" t="s">
        <v>22918</v>
      </c>
      <c r="C3008">
        <v>121162</v>
      </c>
      <c r="D3008" s="236" t="s">
        <v>21386</v>
      </c>
      <c r="E3008" s="15">
        <v>7770.1</v>
      </c>
      <c r="F3008" s="274">
        <v>42943</v>
      </c>
      <c r="G3008" s="15">
        <v>7770.1</v>
      </c>
      <c r="H3008" s="15">
        <f>Tabla1[[#This Row],[Importe]]-Tabla1[[#This Row],[Pagado]]</f>
        <v>0</v>
      </c>
      <c r="I3008" s="275" t="s">
        <v>15214</v>
      </c>
    </row>
    <row r="3009" spans="1:9" x14ac:dyDescent="0.25">
      <c r="A3009" s="16">
        <v>42941</v>
      </c>
      <c r="B3009" s="273" t="s">
        <v>22919</v>
      </c>
      <c r="C3009">
        <v>121163</v>
      </c>
      <c r="D3009" s="236" t="s">
        <v>15220</v>
      </c>
      <c r="E3009" s="15">
        <v>2650</v>
      </c>
      <c r="F3009" s="274">
        <v>42941</v>
      </c>
      <c r="G3009" s="15">
        <v>2650</v>
      </c>
      <c r="H3009" s="15">
        <f>Tabla1[[#This Row],[Importe]]-Tabla1[[#This Row],[Pagado]]</f>
        <v>0</v>
      </c>
      <c r="I3009" s="275" t="s">
        <v>15214</v>
      </c>
    </row>
    <row r="3010" spans="1:9" x14ac:dyDescent="0.25">
      <c r="A3010" s="16">
        <v>42941</v>
      </c>
      <c r="B3010" s="273" t="s">
        <v>22920</v>
      </c>
      <c r="C3010">
        <v>121164</v>
      </c>
      <c r="D3010" s="236" t="s">
        <v>19302</v>
      </c>
      <c r="E3010" s="15">
        <v>1325</v>
      </c>
      <c r="F3010" s="274">
        <v>42941</v>
      </c>
      <c r="G3010" s="15">
        <v>1325</v>
      </c>
      <c r="H3010" s="15">
        <f>Tabla1[[#This Row],[Importe]]-Tabla1[[#This Row],[Pagado]]</f>
        <v>0</v>
      </c>
      <c r="I3010" s="275" t="s">
        <v>15214</v>
      </c>
    </row>
    <row r="3011" spans="1:9" x14ac:dyDescent="0.25">
      <c r="A3011" s="16">
        <v>42941</v>
      </c>
      <c r="B3011" s="273" t="s">
        <v>22921</v>
      </c>
      <c r="C3011">
        <v>121165</v>
      </c>
      <c r="D3011" s="236" t="s">
        <v>15348</v>
      </c>
      <c r="E3011" s="15">
        <v>3764.8</v>
      </c>
      <c r="F3011" s="274">
        <v>42943</v>
      </c>
      <c r="G3011" s="15">
        <v>3764.8</v>
      </c>
      <c r="H3011" s="15">
        <f>Tabla1[[#This Row],[Importe]]-Tabla1[[#This Row],[Pagado]]</f>
        <v>0</v>
      </c>
      <c r="I3011" s="275" t="s">
        <v>15214</v>
      </c>
    </row>
    <row r="3012" spans="1:9" x14ac:dyDescent="0.25">
      <c r="A3012" s="16">
        <v>42941</v>
      </c>
      <c r="B3012" s="273" t="s">
        <v>22922</v>
      </c>
      <c r="C3012">
        <v>121166</v>
      </c>
      <c r="D3012" s="236" t="s">
        <v>15248</v>
      </c>
      <c r="E3012" s="15">
        <v>39193.519999999997</v>
      </c>
      <c r="F3012" s="274">
        <v>42941</v>
      </c>
      <c r="G3012" s="15">
        <v>39193.519999999997</v>
      </c>
      <c r="H3012" s="15">
        <f>Tabla1[[#This Row],[Importe]]-Tabla1[[#This Row],[Pagado]]</f>
        <v>0</v>
      </c>
      <c r="I3012" s="275" t="s">
        <v>15214</v>
      </c>
    </row>
    <row r="3013" spans="1:9" x14ac:dyDescent="0.25">
      <c r="A3013" s="16">
        <v>42941</v>
      </c>
      <c r="B3013" s="273" t="s">
        <v>22923</v>
      </c>
      <c r="C3013">
        <v>121167</v>
      </c>
      <c r="D3013" s="236" t="s">
        <v>15223</v>
      </c>
      <c r="E3013" s="15">
        <v>52010</v>
      </c>
      <c r="F3013" s="274">
        <v>42960</v>
      </c>
      <c r="G3013" s="15">
        <v>52010</v>
      </c>
      <c r="H3013" s="15">
        <f>Tabla1[[#This Row],[Importe]]-Tabla1[[#This Row],[Pagado]]</f>
        <v>0</v>
      </c>
      <c r="I3013" s="275" t="s">
        <v>15214</v>
      </c>
    </row>
    <row r="3014" spans="1:9" x14ac:dyDescent="0.25">
      <c r="A3014" s="16">
        <v>42941</v>
      </c>
      <c r="B3014" s="273" t="s">
        <v>22924</v>
      </c>
      <c r="C3014">
        <v>121168</v>
      </c>
      <c r="D3014" s="236" t="s">
        <v>15240</v>
      </c>
      <c r="E3014" s="15">
        <v>3031.6</v>
      </c>
      <c r="F3014" s="274">
        <v>42943</v>
      </c>
      <c r="G3014" s="15">
        <v>3031.6</v>
      </c>
      <c r="H3014" s="15">
        <f>Tabla1[[#This Row],[Importe]]-Tabla1[[#This Row],[Pagado]]</f>
        <v>0</v>
      </c>
      <c r="I3014" s="275" t="s">
        <v>15214</v>
      </c>
    </row>
    <row r="3015" spans="1:9" x14ac:dyDescent="0.25">
      <c r="A3015" s="16">
        <v>42941</v>
      </c>
      <c r="B3015" s="273" t="s">
        <v>22925</v>
      </c>
      <c r="C3015">
        <v>121169</v>
      </c>
      <c r="D3015" s="236" t="s">
        <v>22733</v>
      </c>
      <c r="E3015" s="15">
        <v>2329.8000000000002</v>
      </c>
      <c r="F3015" s="274">
        <v>42941</v>
      </c>
      <c r="G3015" s="15">
        <v>2329.8000000000002</v>
      </c>
      <c r="H3015" s="15">
        <f>Tabla1[[#This Row],[Importe]]-Tabla1[[#This Row],[Pagado]]</f>
        <v>0</v>
      </c>
      <c r="I3015" s="275" t="s">
        <v>15214</v>
      </c>
    </row>
    <row r="3016" spans="1:9" x14ac:dyDescent="0.25">
      <c r="A3016" s="16">
        <v>42941</v>
      </c>
      <c r="B3016" s="273" t="s">
        <v>22926</v>
      </c>
      <c r="C3016">
        <v>121170</v>
      </c>
      <c r="D3016" s="236" t="s">
        <v>15256</v>
      </c>
      <c r="E3016" s="15">
        <v>6012</v>
      </c>
      <c r="F3016" s="274">
        <v>42943</v>
      </c>
      <c r="G3016" s="15">
        <v>6012</v>
      </c>
      <c r="H3016" s="15">
        <f>Tabla1[[#This Row],[Importe]]-Tabla1[[#This Row],[Pagado]]</f>
        <v>0</v>
      </c>
      <c r="I3016" s="275" t="s">
        <v>15214</v>
      </c>
    </row>
    <row r="3017" spans="1:9" x14ac:dyDescent="0.25">
      <c r="A3017" s="16">
        <v>42941</v>
      </c>
      <c r="B3017" s="273" t="s">
        <v>22927</v>
      </c>
      <c r="C3017">
        <v>121171</v>
      </c>
      <c r="D3017" s="236" t="s">
        <v>15230</v>
      </c>
      <c r="E3017" s="15">
        <v>9893.7000000000007</v>
      </c>
      <c r="F3017" s="274">
        <v>42947</v>
      </c>
      <c r="G3017" s="15">
        <v>9893.7000000000007</v>
      </c>
      <c r="H3017" s="15">
        <f>Tabla1[[#This Row],[Importe]]-Tabla1[[#This Row],[Pagado]]</f>
        <v>0</v>
      </c>
      <c r="I3017" s="275" t="s">
        <v>15214</v>
      </c>
    </row>
    <row r="3018" spans="1:9" ht="30" x14ac:dyDescent="0.25">
      <c r="A3018" s="16">
        <v>42941</v>
      </c>
      <c r="B3018" s="273" t="s">
        <v>22928</v>
      </c>
      <c r="C3018">
        <v>121172</v>
      </c>
      <c r="D3018" s="236" t="s">
        <v>15258</v>
      </c>
      <c r="E3018" s="15">
        <v>11127.9</v>
      </c>
      <c r="F3018" s="274" t="s">
        <v>22929</v>
      </c>
      <c r="G3018" s="241">
        <f>3000+8127.9</f>
        <v>11127.9</v>
      </c>
      <c r="H3018" s="241">
        <f>Tabla1[[#This Row],[Importe]]-Tabla1[[#This Row],[Pagado]]</f>
        <v>0</v>
      </c>
      <c r="I3018" s="275" t="s">
        <v>15214</v>
      </c>
    </row>
    <row r="3019" spans="1:9" x14ac:dyDescent="0.25">
      <c r="A3019" s="16">
        <v>42941</v>
      </c>
      <c r="B3019" s="273" t="s">
        <v>22930</v>
      </c>
      <c r="C3019">
        <v>121173</v>
      </c>
      <c r="D3019" s="236" t="s">
        <v>15232</v>
      </c>
      <c r="E3019" s="15">
        <v>9152.6</v>
      </c>
      <c r="F3019" s="274">
        <v>42943</v>
      </c>
      <c r="G3019" s="15">
        <v>9152.6</v>
      </c>
      <c r="H3019" s="15">
        <f>Tabla1[[#This Row],[Importe]]-Tabla1[[#This Row],[Pagado]]</f>
        <v>0</v>
      </c>
      <c r="I3019" s="275" t="s">
        <v>15214</v>
      </c>
    </row>
    <row r="3020" spans="1:9" x14ac:dyDescent="0.25">
      <c r="A3020" s="16">
        <v>42941</v>
      </c>
      <c r="B3020" s="273" t="s">
        <v>22931</v>
      </c>
      <c r="C3020">
        <v>121174</v>
      </c>
      <c r="D3020" s="236" t="s">
        <v>15226</v>
      </c>
      <c r="E3020" s="15">
        <v>2604.8000000000002</v>
      </c>
      <c r="F3020" s="274">
        <v>42943</v>
      </c>
      <c r="G3020" s="15">
        <v>2604.8000000000002</v>
      </c>
      <c r="H3020" s="15">
        <f>Tabla1[[#This Row],[Importe]]-Tabla1[[#This Row],[Pagado]]</f>
        <v>0</v>
      </c>
      <c r="I3020" s="275" t="s">
        <v>15214</v>
      </c>
    </row>
    <row r="3021" spans="1:9" x14ac:dyDescent="0.25">
      <c r="A3021" s="16">
        <v>42941</v>
      </c>
      <c r="B3021" s="273" t="s">
        <v>22932</v>
      </c>
      <c r="C3021">
        <v>121175</v>
      </c>
      <c r="D3021" s="236" t="s">
        <v>15234</v>
      </c>
      <c r="E3021" s="15">
        <v>3460.8</v>
      </c>
      <c r="F3021" s="274">
        <v>42944</v>
      </c>
      <c r="G3021" s="15">
        <v>3460.8</v>
      </c>
      <c r="H3021" s="15">
        <f>Tabla1[[#This Row],[Importe]]-Tabla1[[#This Row],[Pagado]]</f>
        <v>0</v>
      </c>
      <c r="I3021" s="275" t="s">
        <v>15214</v>
      </c>
    </row>
    <row r="3022" spans="1:9" x14ac:dyDescent="0.25">
      <c r="A3022" s="16">
        <v>42941</v>
      </c>
      <c r="B3022" s="273" t="s">
        <v>22933</v>
      </c>
      <c r="C3022">
        <v>121176</v>
      </c>
      <c r="D3022" s="236" t="s">
        <v>15668</v>
      </c>
      <c r="E3022" s="15">
        <v>3612</v>
      </c>
      <c r="F3022" s="274">
        <v>42945</v>
      </c>
      <c r="G3022" s="15">
        <v>3612</v>
      </c>
      <c r="H3022" s="15">
        <f>Tabla1[[#This Row],[Importe]]-Tabla1[[#This Row],[Pagado]]</f>
        <v>0</v>
      </c>
      <c r="I3022" s="275" t="s">
        <v>15214</v>
      </c>
    </row>
    <row r="3023" spans="1:9" x14ac:dyDescent="0.25">
      <c r="A3023" s="16">
        <v>42941</v>
      </c>
      <c r="B3023" s="273" t="s">
        <v>22934</v>
      </c>
      <c r="C3023">
        <v>121177</v>
      </c>
      <c r="D3023" s="236" t="s">
        <v>15668</v>
      </c>
      <c r="E3023" s="15">
        <v>140.30000000000001</v>
      </c>
      <c r="F3023" s="274">
        <v>42942</v>
      </c>
      <c r="G3023" s="15">
        <v>140.30000000000001</v>
      </c>
      <c r="H3023" s="15">
        <f>Tabla1[[#This Row],[Importe]]-Tabla1[[#This Row],[Pagado]]</f>
        <v>0</v>
      </c>
      <c r="I3023" s="275" t="s">
        <v>15214</v>
      </c>
    </row>
    <row r="3024" spans="1:9" x14ac:dyDescent="0.25">
      <c r="A3024" s="16">
        <v>42941</v>
      </c>
      <c r="B3024" s="273" t="s">
        <v>22935</v>
      </c>
      <c r="C3024">
        <v>121178</v>
      </c>
      <c r="D3024" s="236" t="s">
        <v>15238</v>
      </c>
      <c r="E3024" s="15">
        <v>5763.4</v>
      </c>
      <c r="F3024" s="274">
        <v>42943</v>
      </c>
      <c r="G3024" s="15">
        <v>5763.4</v>
      </c>
      <c r="H3024" s="15">
        <f>Tabla1[[#This Row],[Importe]]-Tabla1[[#This Row],[Pagado]]</f>
        <v>0</v>
      </c>
      <c r="I3024" s="275" t="s">
        <v>15214</v>
      </c>
    </row>
    <row r="3025" spans="1:9" ht="15.75" x14ac:dyDescent="0.25">
      <c r="A3025" s="16">
        <v>42941</v>
      </c>
      <c r="B3025" s="273" t="s">
        <v>22936</v>
      </c>
      <c r="C3025">
        <v>121179</v>
      </c>
      <c r="D3025" s="248" t="s">
        <v>95</v>
      </c>
      <c r="E3025" s="15">
        <v>0</v>
      </c>
      <c r="F3025" s="277" t="s">
        <v>95</v>
      </c>
      <c r="G3025" s="15">
        <v>0</v>
      </c>
      <c r="H3025" s="15">
        <f>Tabla1[[#This Row],[Importe]]-Tabla1[[#This Row],[Pagado]]</f>
        <v>0</v>
      </c>
      <c r="I3025" s="275" t="s">
        <v>95</v>
      </c>
    </row>
    <row r="3026" spans="1:9" x14ac:dyDescent="0.25">
      <c r="A3026" s="16">
        <v>42941</v>
      </c>
      <c r="B3026" s="273" t="s">
        <v>22937</v>
      </c>
      <c r="C3026">
        <v>121180</v>
      </c>
      <c r="D3026" s="236" t="s">
        <v>15338</v>
      </c>
      <c r="E3026" s="15">
        <v>8813.6</v>
      </c>
      <c r="F3026" s="274">
        <v>42944</v>
      </c>
      <c r="G3026" s="15">
        <v>8813.6</v>
      </c>
      <c r="H3026" s="15">
        <f>Tabla1[[#This Row],[Importe]]-Tabla1[[#This Row],[Pagado]]</f>
        <v>0</v>
      </c>
      <c r="I3026" s="275" t="s">
        <v>15214</v>
      </c>
    </row>
    <row r="3027" spans="1:9" x14ac:dyDescent="0.25">
      <c r="A3027" s="16">
        <v>42941</v>
      </c>
      <c r="B3027" s="273" t="s">
        <v>22938</v>
      </c>
      <c r="C3027">
        <v>121181</v>
      </c>
      <c r="D3027" s="236" t="s">
        <v>15371</v>
      </c>
      <c r="E3027" s="15">
        <v>5095.2</v>
      </c>
      <c r="F3027" s="274">
        <v>42943</v>
      </c>
      <c r="G3027" s="15">
        <v>5095.2</v>
      </c>
      <c r="H3027" s="15">
        <f>Tabla1[[#This Row],[Importe]]-Tabla1[[#This Row],[Pagado]]</f>
        <v>0</v>
      </c>
      <c r="I3027" s="275" t="s">
        <v>15214</v>
      </c>
    </row>
    <row r="3028" spans="1:9" x14ac:dyDescent="0.25">
      <c r="A3028" s="16">
        <v>42941</v>
      </c>
      <c r="B3028" s="273" t="s">
        <v>22939</v>
      </c>
      <c r="C3028">
        <v>121182</v>
      </c>
      <c r="D3028" s="236" t="s">
        <v>15252</v>
      </c>
      <c r="E3028" s="15">
        <v>5278.9</v>
      </c>
      <c r="F3028" s="274">
        <v>42947</v>
      </c>
      <c r="G3028" s="15">
        <v>5278.9</v>
      </c>
      <c r="H3028" s="15">
        <f>Tabla1[[#This Row],[Importe]]-Tabla1[[#This Row],[Pagado]]</f>
        <v>0</v>
      </c>
      <c r="I3028" s="275" t="s">
        <v>15214</v>
      </c>
    </row>
    <row r="3029" spans="1:9" x14ac:dyDescent="0.25">
      <c r="A3029" s="16">
        <v>42941</v>
      </c>
      <c r="B3029" s="273" t="s">
        <v>22940</v>
      </c>
      <c r="C3029">
        <v>121183</v>
      </c>
      <c r="D3029" s="236" t="s">
        <v>15242</v>
      </c>
      <c r="E3029" s="15">
        <v>6010</v>
      </c>
      <c r="F3029" s="274">
        <v>42941</v>
      </c>
      <c r="G3029" s="15">
        <v>6010</v>
      </c>
      <c r="H3029" s="15">
        <f>Tabla1[[#This Row],[Importe]]-Tabla1[[#This Row],[Pagado]]</f>
        <v>0</v>
      </c>
      <c r="I3029" s="275" t="s">
        <v>15214</v>
      </c>
    </row>
    <row r="3030" spans="1:9" x14ac:dyDescent="0.25">
      <c r="A3030" s="16">
        <v>42941</v>
      </c>
      <c r="B3030" s="273" t="s">
        <v>22941</v>
      </c>
      <c r="C3030">
        <v>121184</v>
      </c>
      <c r="D3030" s="236" t="s">
        <v>15244</v>
      </c>
      <c r="E3030" s="15">
        <v>11041.2</v>
      </c>
      <c r="F3030" s="292">
        <v>42948</v>
      </c>
      <c r="G3030" s="15">
        <v>11041.2</v>
      </c>
      <c r="H3030" s="15">
        <f>Tabla1[[#This Row],[Importe]]-Tabla1[[#This Row],[Pagado]]</f>
        <v>0</v>
      </c>
      <c r="I3030" s="275" t="s">
        <v>15214</v>
      </c>
    </row>
    <row r="3031" spans="1:9" x14ac:dyDescent="0.25">
      <c r="A3031" s="16">
        <v>42941</v>
      </c>
      <c r="B3031" s="273" t="s">
        <v>22942</v>
      </c>
      <c r="C3031">
        <v>121185</v>
      </c>
      <c r="D3031" s="236" t="s">
        <v>15250</v>
      </c>
      <c r="E3031" s="15">
        <v>38380.5</v>
      </c>
      <c r="F3031" s="274">
        <v>42945</v>
      </c>
      <c r="G3031" s="15">
        <v>38380.5</v>
      </c>
      <c r="H3031" s="15">
        <f>Tabla1[[#This Row],[Importe]]-Tabla1[[#This Row],[Pagado]]</f>
        <v>0</v>
      </c>
      <c r="I3031" s="275" t="s">
        <v>15214</v>
      </c>
    </row>
    <row r="3032" spans="1:9" x14ac:dyDescent="0.25">
      <c r="A3032" s="16">
        <v>42941</v>
      </c>
      <c r="B3032" s="273" t="s">
        <v>22943</v>
      </c>
      <c r="C3032">
        <v>121186</v>
      </c>
      <c r="D3032" s="236" t="s">
        <v>15407</v>
      </c>
      <c r="E3032" s="15">
        <v>7182</v>
      </c>
      <c r="F3032" s="274">
        <v>42941</v>
      </c>
      <c r="G3032" s="15">
        <v>7182</v>
      </c>
      <c r="H3032" s="15">
        <f>Tabla1[[#This Row],[Importe]]-Tabla1[[#This Row],[Pagado]]</f>
        <v>0</v>
      </c>
      <c r="I3032" s="275" t="s">
        <v>15214</v>
      </c>
    </row>
    <row r="3033" spans="1:9" x14ac:dyDescent="0.25">
      <c r="A3033" s="16">
        <v>42941</v>
      </c>
      <c r="B3033" s="273" t="s">
        <v>22944</v>
      </c>
      <c r="C3033">
        <v>121187</v>
      </c>
      <c r="D3033" s="236" t="s">
        <v>15526</v>
      </c>
      <c r="E3033" s="15">
        <v>2428.8000000000002</v>
      </c>
      <c r="F3033" s="274">
        <v>42941</v>
      </c>
      <c r="G3033" s="15">
        <v>2428.8000000000002</v>
      </c>
      <c r="H3033" s="15">
        <f>Tabla1[[#This Row],[Importe]]-Tabla1[[#This Row],[Pagado]]</f>
        <v>0</v>
      </c>
      <c r="I3033" s="275" t="s">
        <v>15214</v>
      </c>
    </row>
    <row r="3034" spans="1:9" x14ac:dyDescent="0.25">
      <c r="A3034" s="16">
        <v>42941</v>
      </c>
      <c r="B3034" s="273" t="s">
        <v>22945</v>
      </c>
      <c r="C3034">
        <v>121188</v>
      </c>
      <c r="D3034" s="236" t="s">
        <v>15523</v>
      </c>
      <c r="E3034" s="15">
        <v>1060</v>
      </c>
      <c r="F3034" s="274">
        <v>42941</v>
      </c>
      <c r="G3034" s="15">
        <v>1060</v>
      </c>
      <c r="H3034" s="15">
        <f>Tabla1[[#This Row],[Importe]]-Tabla1[[#This Row],[Pagado]]</f>
        <v>0</v>
      </c>
      <c r="I3034" s="275" t="s">
        <v>15214</v>
      </c>
    </row>
    <row r="3035" spans="1:9" x14ac:dyDescent="0.25">
      <c r="A3035" s="16">
        <v>42941</v>
      </c>
      <c r="B3035" s="273" t="s">
        <v>22946</v>
      </c>
      <c r="C3035">
        <v>121189</v>
      </c>
      <c r="D3035" s="236" t="s">
        <v>15334</v>
      </c>
      <c r="E3035" s="15">
        <v>1180</v>
      </c>
      <c r="F3035" s="274">
        <v>42941</v>
      </c>
      <c r="G3035" s="15">
        <v>1180</v>
      </c>
      <c r="H3035" s="15">
        <f>Tabla1[[#This Row],[Importe]]-Tabla1[[#This Row],[Pagado]]</f>
        <v>0</v>
      </c>
      <c r="I3035" s="275" t="s">
        <v>15214</v>
      </c>
    </row>
    <row r="3036" spans="1:9" x14ac:dyDescent="0.25">
      <c r="A3036" s="16">
        <v>42941</v>
      </c>
      <c r="B3036" s="273" t="s">
        <v>22947</v>
      </c>
      <c r="C3036">
        <v>121190</v>
      </c>
      <c r="D3036" s="236" t="s">
        <v>15344</v>
      </c>
      <c r="E3036" s="15">
        <v>2249.5</v>
      </c>
      <c r="F3036" s="274">
        <v>42941</v>
      </c>
      <c r="G3036" s="15">
        <v>2249.5</v>
      </c>
      <c r="H3036" s="15">
        <f>Tabla1[[#This Row],[Importe]]-Tabla1[[#This Row],[Pagado]]</f>
        <v>0</v>
      </c>
      <c r="I3036" s="275" t="s">
        <v>15214</v>
      </c>
    </row>
    <row r="3037" spans="1:9" ht="30" x14ac:dyDescent="0.25">
      <c r="A3037" s="16">
        <v>42941</v>
      </c>
      <c r="B3037" s="273" t="s">
        <v>22948</v>
      </c>
      <c r="C3037">
        <v>121191</v>
      </c>
      <c r="D3037" s="236" t="s">
        <v>15568</v>
      </c>
      <c r="E3037" s="15">
        <v>23490.6</v>
      </c>
      <c r="F3037" s="274" t="s">
        <v>22949</v>
      </c>
      <c r="G3037" s="241">
        <f>19000+4490.6</f>
        <v>23490.6</v>
      </c>
      <c r="H3037" s="241">
        <f>Tabla1[[#This Row],[Importe]]-Tabla1[[#This Row],[Pagado]]</f>
        <v>0</v>
      </c>
      <c r="I3037" s="275" t="s">
        <v>15214</v>
      </c>
    </row>
    <row r="3038" spans="1:9" x14ac:dyDescent="0.25">
      <c r="A3038" s="16">
        <v>42941</v>
      </c>
      <c r="B3038" s="273" t="s">
        <v>22950</v>
      </c>
      <c r="C3038">
        <v>121192</v>
      </c>
      <c r="D3038" s="236" t="s">
        <v>15309</v>
      </c>
      <c r="E3038" s="15">
        <v>1989</v>
      </c>
      <c r="F3038" s="274">
        <v>42941</v>
      </c>
      <c r="G3038" s="15">
        <v>1989</v>
      </c>
      <c r="H3038" s="15">
        <f>Tabla1[[#This Row],[Importe]]-Tabla1[[#This Row],[Pagado]]</f>
        <v>0</v>
      </c>
      <c r="I3038" s="275" t="s">
        <v>15214</v>
      </c>
    </row>
    <row r="3039" spans="1:9" x14ac:dyDescent="0.25">
      <c r="A3039" s="16">
        <v>42941</v>
      </c>
      <c r="B3039" s="273" t="s">
        <v>22951</v>
      </c>
      <c r="C3039">
        <v>121193</v>
      </c>
      <c r="D3039" s="236" t="s">
        <v>15336</v>
      </c>
      <c r="E3039" s="15">
        <v>6208.8</v>
      </c>
      <c r="F3039" s="274">
        <v>42941</v>
      </c>
      <c r="G3039" s="15">
        <v>6208.8</v>
      </c>
      <c r="H3039" s="15">
        <f>Tabla1[[#This Row],[Importe]]-Tabla1[[#This Row],[Pagado]]</f>
        <v>0</v>
      </c>
      <c r="I3039" s="275" t="s">
        <v>15214</v>
      </c>
    </row>
    <row r="3040" spans="1:9" x14ac:dyDescent="0.25">
      <c r="A3040" s="16">
        <v>42941</v>
      </c>
      <c r="B3040" s="273" t="s">
        <v>22952</v>
      </c>
      <c r="C3040">
        <v>121194</v>
      </c>
      <c r="D3040" s="236" t="s">
        <v>15336</v>
      </c>
      <c r="E3040" s="15">
        <v>1183.2</v>
      </c>
      <c r="F3040" s="274">
        <v>42941</v>
      </c>
      <c r="G3040" s="15">
        <v>1183.2</v>
      </c>
      <c r="H3040" s="15">
        <f>Tabla1[[#This Row],[Importe]]-Tabla1[[#This Row],[Pagado]]</f>
        <v>0</v>
      </c>
      <c r="I3040" s="275" t="s">
        <v>15214</v>
      </c>
    </row>
    <row r="3041" spans="1:9" x14ac:dyDescent="0.25">
      <c r="A3041" s="16">
        <v>42941</v>
      </c>
      <c r="B3041" s="273" t="s">
        <v>22953</v>
      </c>
      <c r="C3041">
        <v>121195</v>
      </c>
      <c r="D3041" s="236" t="s">
        <v>18544</v>
      </c>
      <c r="E3041" s="15">
        <v>6147.2</v>
      </c>
      <c r="F3041" s="274">
        <v>42941</v>
      </c>
      <c r="G3041" s="15">
        <v>6147.2</v>
      </c>
      <c r="H3041" s="15">
        <f>Tabla1[[#This Row],[Importe]]-Tabla1[[#This Row],[Pagado]]</f>
        <v>0</v>
      </c>
      <c r="I3041" s="275" t="s">
        <v>15214</v>
      </c>
    </row>
    <row r="3042" spans="1:9" x14ac:dyDescent="0.25">
      <c r="A3042" s="16">
        <v>42941</v>
      </c>
      <c r="B3042" s="273" t="s">
        <v>22954</v>
      </c>
      <c r="C3042">
        <v>121196</v>
      </c>
      <c r="D3042" s="236" t="s">
        <v>16383</v>
      </c>
      <c r="E3042" s="15">
        <v>10258.200000000001</v>
      </c>
      <c r="F3042" s="274">
        <v>42941</v>
      </c>
      <c r="G3042" s="15">
        <v>10258.200000000001</v>
      </c>
      <c r="H3042" s="15">
        <f>Tabla1[[#This Row],[Importe]]-Tabla1[[#This Row],[Pagado]]</f>
        <v>0</v>
      </c>
      <c r="I3042" s="275" t="s">
        <v>15214</v>
      </c>
    </row>
    <row r="3043" spans="1:9" x14ac:dyDescent="0.25">
      <c r="A3043" s="16">
        <v>42941</v>
      </c>
      <c r="B3043" s="273" t="s">
        <v>22955</v>
      </c>
      <c r="C3043">
        <v>121197</v>
      </c>
      <c r="D3043" s="236" t="s">
        <v>18544</v>
      </c>
      <c r="E3043" s="15">
        <v>982.8</v>
      </c>
      <c r="F3043" s="274">
        <v>42941</v>
      </c>
      <c r="G3043" s="15">
        <v>982.8</v>
      </c>
      <c r="H3043" s="15">
        <f>Tabla1[[#This Row],[Importe]]-Tabla1[[#This Row],[Pagado]]</f>
        <v>0</v>
      </c>
      <c r="I3043" s="275" t="s">
        <v>15214</v>
      </c>
    </row>
    <row r="3044" spans="1:9" x14ac:dyDescent="0.25">
      <c r="A3044" s="16">
        <v>42941</v>
      </c>
      <c r="B3044" s="273" t="s">
        <v>22956</v>
      </c>
      <c r="C3044">
        <v>121198</v>
      </c>
      <c r="D3044" s="236" t="s">
        <v>15858</v>
      </c>
      <c r="E3044" s="15">
        <v>2727.64</v>
      </c>
      <c r="F3044" s="274">
        <v>42941</v>
      </c>
      <c r="G3044" s="15">
        <v>2727.64</v>
      </c>
      <c r="H3044" s="15">
        <f>Tabla1[[#This Row],[Importe]]-Tabla1[[#This Row],[Pagado]]</f>
        <v>0</v>
      </c>
      <c r="I3044" s="275" t="s">
        <v>15214</v>
      </c>
    </row>
    <row r="3045" spans="1:9" x14ac:dyDescent="0.25">
      <c r="A3045" s="16">
        <v>42941</v>
      </c>
      <c r="B3045" s="273" t="s">
        <v>22957</v>
      </c>
      <c r="C3045">
        <v>121199</v>
      </c>
      <c r="D3045" s="236" t="s">
        <v>15280</v>
      </c>
      <c r="E3045" s="15">
        <v>4855.8999999999996</v>
      </c>
      <c r="F3045" s="274">
        <v>42941</v>
      </c>
      <c r="G3045" s="15">
        <v>4855.8999999999996</v>
      </c>
      <c r="H3045" s="15">
        <f>Tabla1[[#This Row],[Importe]]-Tabla1[[#This Row],[Pagado]]</f>
        <v>0</v>
      </c>
      <c r="I3045" s="275" t="s">
        <v>15214</v>
      </c>
    </row>
    <row r="3046" spans="1:9" x14ac:dyDescent="0.25">
      <c r="A3046" s="16">
        <v>42941</v>
      </c>
      <c r="B3046" s="273" t="s">
        <v>22958</v>
      </c>
      <c r="C3046">
        <v>121200</v>
      </c>
      <c r="D3046" s="236" t="s">
        <v>15391</v>
      </c>
      <c r="E3046" s="15">
        <v>8774</v>
      </c>
      <c r="F3046" s="274">
        <v>42943</v>
      </c>
      <c r="G3046" s="15">
        <v>8774</v>
      </c>
      <c r="H3046" s="15">
        <f>Tabla1[[#This Row],[Importe]]-Tabla1[[#This Row],[Pagado]]</f>
        <v>0</v>
      </c>
      <c r="I3046" s="275" t="s">
        <v>15214</v>
      </c>
    </row>
    <row r="3047" spans="1:9" x14ac:dyDescent="0.25">
      <c r="A3047" s="16">
        <v>42941</v>
      </c>
      <c r="B3047" s="273" t="s">
        <v>22959</v>
      </c>
      <c r="C3047">
        <v>121201</v>
      </c>
      <c r="D3047" s="236" t="s">
        <v>15407</v>
      </c>
      <c r="E3047" s="15">
        <v>1887.6</v>
      </c>
      <c r="F3047" s="274">
        <v>42941</v>
      </c>
      <c r="G3047" s="15">
        <v>1887.6</v>
      </c>
      <c r="H3047" s="15">
        <f>Tabla1[[#This Row],[Importe]]-Tabla1[[#This Row],[Pagado]]</f>
        <v>0</v>
      </c>
      <c r="I3047" s="275" t="s">
        <v>15214</v>
      </c>
    </row>
    <row r="3048" spans="1:9" x14ac:dyDescent="0.25">
      <c r="A3048" s="16">
        <v>42941</v>
      </c>
      <c r="B3048" s="273" t="s">
        <v>22960</v>
      </c>
      <c r="C3048">
        <v>121202</v>
      </c>
      <c r="D3048" s="236" t="s">
        <v>15385</v>
      </c>
      <c r="E3048" s="15">
        <v>6059.8</v>
      </c>
      <c r="F3048" s="274">
        <v>42941</v>
      </c>
      <c r="G3048" s="15">
        <v>6059.8</v>
      </c>
      <c r="H3048" s="15">
        <f>Tabla1[[#This Row],[Importe]]-Tabla1[[#This Row],[Pagado]]</f>
        <v>0</v>
      </c>
      <c r="I3048" s="275" t="s">
        <v>15214</v>
      </c>
    </row>
    <row r="3049" spans="1:9" x14ac:dyDescent="0.25">
      <c r="A3049" s="16">
        <v>42941</v>
      </c>
      <c r="B3049" s="273" t="s">
        <v>22961</v>
      </c>
      <c r="C3049">
        <v>121203</v>
      </c>
      <c r="D3049" s="236" t="s">
        <v>15581</v>
      </c>
      <c r="E3049" s="15">
        <v>12547.4</v>
      </c>
      <c r="F3049" s="292">
        <v>42948</v>
      </c>
      <c r="G3049" s="15">
        <v>12547.4</v>
      </c>
      <c r="H3049" s="15">
        <f>Tabla1[[#This Row],[Importe]]-Tabla1[[#This Row],[Pagado]]</f>
        <v>0</v>
      </c>
      <c r="I3049" s="275" t="s">
        <v>15214</v>
      </c>
    </row>
    <row r="3050" spans="1:9" x14ac:dyDescent="0.25">
      <c r="A3050" s="16">
        <v>42941</v>
      </c>
      <c r="B3050" s="273" t="s">
        <v>22962</v>
      </c>
      <c r="C3050">
        <v>121204</v>
      </c>
      <c r="D3050" s="236" t="s">
        <v>15725</v>
      </c>
      <c r="E3050" s="15">
        <v>1374</v>
      </c>
      <c r="F3050" s="274">
        <v>42941</v>
      </c>
      <c r="G3050" s="15">
        <v>1374</v>
      </c>
      <c r="H3050" s="15">
        <f>Tabla1[[#This Row],[Importe]]-Tabla1[[#This Row],[Pagado]]</f>
        <v>0</v>
      </c>
      <c r="I3050" s="275" t="s">
        <v>15214</v>
      </c>
    </row>
    <row r="3051" spans="1:9" x14ac:dyDescent="0.25">
      <c r="A3051" s="16">
        <v>42941</v>
      </c>
      <c r="B3051" s="273" t="s">
        <v>22963</v>
      </c>
      <c r="C3051">
        <v>121205</v>
      </c>
      <c r="D3051" s="236" t="s">
        <v>15361</v>
      </c>
      <c r="E3051" s="15">
        <v>4923.8</v>
      </c>
      <c r="F3051" s="274">
        <v>42941</v>
      </c>
      <c r="G3051" s="15">
        <v>4923.8</v>
      </c>
      <c r="H3051" s="15">
        <f>Tabla1[[#This Row],[Importe]]-Tabla1[[#This Row],[Pagado]]</f>
        <v>0</v>
      </c>
      <c r="I3051" s="275" t="s">
        <v>15214</v>
      </c>
    </row>
    <row r="3052" spans="1:9" x14ac:dyDescent="0.25">
      <c r="A3052" s="16">
        <v>42941</v>
      </c>
      <c r="B3052" s="273" t="s">
        <v>22964</v>
      </c>
      <c r="C3052">
        <v>121206</v>
      </c>
      <c r="D3052" s="236" t="s">
        <v>15263</v>
      </c>
      <c r="E3052" s="15">
        <v>2522.8000000000002</v>
      </c>
      <c r="F3052" s="274">
        <v>42941</v>
      </c>
      <c r="G3052" s="15">
        <v>2522.8000000000002</v>
      </c>
      <c r="H3052" s="15">
        <f>Tabla1[[#This Row],[Importe]]-Tabla1[[#This Row],[Pagado]]</f>
        <v>0</v>
      </c>
      <c r="I3052" s="275" t="s">
        <v>15214</v>
      </c>
    </row>
    <row r="3053" spans="1:9" x14ac:dyDescent="0.25">
      <c r="A3053" s="16">
        <v>42941</v>
      </c>
      <c r="B3053" s="273" t="s">
        <v>22965</v>
      </c>
      <c r="C3053">
        <v>121207</v>
      </c>
      <c r="D3053" s="236" t="s">
        <v>15322</v>
      </c>
      <c r="E3053" s="15">
        <v>643.5</v>
      </c>
      <c r="F3053" s="274">
        <v>42941</v>
      </c>
      <c r="G3053" s="15">
        <v>643.5</v>
      </c>
      <c r="H3053" s="15">
        <f>Tabla1[[#This Row],[Importe]]-Tabla1[[#This Row],[Pagado]]</f>
        <v>0</v>
      </c>
      <c r="I3053" s="275" t="s">
        <v>15214</v>
      </c>
    </row>
    <row r="3054" spans="1:9" x14ac:dyDescent="0.25">
      <c r="A3054" s="16">
        <v>42941</v>
      </c>
      <c r="B3054" s="273" t="s">
        <v>22966</v>
      </c>
      <c r="C3054">
        <v>121208</v>
      </c>
      <c r="D3054" s="236" t="s">
        <v>15530</v>
      </c>
      <c r="E3054" s="15">
        <v>1241.4000000000001</v>
      </c>
      <c r="F3054" s="274">
        <v>42941</v>
      </c>
      <c r="G3054" s="15">
        <v>1241.4000000000001</v>
      </c>
      <c r="H3054" s="15">
        <f>Tabla1[[#This Row],[Importe]]-Tabla1[[#This Row],[Pagado]]</f>
        <v>0</v>
      </c>
      <c r="I3054" s="275" t="s">
        <v>15214</v>
      </c>
    </row>
    <row r="3055" spans="1:9" x14ac:dyDescent="0.25">
      <c r="A3055" s="16">
        <v>42941</v>
      </c>
      <c r="B3055" s="273" t="s">
        <v>22967</v>
      </c>
      <c r="C3055">
        <v>121209</v>
      </c>
      <c r="D3055" s="236" t="s">
        <v>15298</v>
      </c>
      <c r="E3055" s="15">
        <v>8228</v>
      </c>
      <c r="F3055" s="274">
        <v>42941</v>
      </c>
      <c r="G3055" s="15">
        <v>8228</v>
      </c>
      <c r="H3055" s="15">
        <f>Tabla1[[#This Row],[Importe]]-Tabla1[[#This Row],[Pagado]]</f>
        <v>0</v>
      </c>
      <c r="I3055" s="275" t="s">
        <v>15214</v>
      </c>
    </row>
    <row r="3056" spans="1:9" x14ac:dyDescent="0.25">
      <c r="A3056" s="16">
        <v>42941</v>
      </c>
      <c r="B3056" s="273" t="s">
        <v>22968</v>
      </c>
      <c r="C3056">
        <v>121210</v>
      </c>
      <c r="D3056" s="236" t="s">
        <v>15419</v>
      </c>
      <c r="E3056" s="15">
        <v>43221.599999999999</v>
      </c>
      <c r="F3056" s="274">
        <v>42945</v>
      </c>
      <c r="G3056" s="15">
        <v>43221.599999999999</v>
      </c>
      <c r="H3056" s="15">
        <f>Tabla1[[#This Row],[Importe]]-Tabla1[[#This Row],[Pagado]]</f>
        <v>0</v>
      </c>
      <c r="I3056" s="275" t="s">
        <v>15214</v>
      </c>
    </row>
    <row r="3057" spans="1:9" x14ac:dyDescent="0.25">
      <c r="A3057" s="16">
        <v>42941</v>
      </c>
      <c r="B3057" s="273" t="s">
        <v>22969</v>
      </c>
      <c r="C3057">
        <v>121211</v>
      </c>
      <c r="D3057" s="236" t="s">
        <v>15537</v>
      </c>
      <c r="E3057" s="15">
        <v>19516.3</v>
      </c>
      <c r="F3057" s="274">
        <v>42950</v>
      </c>
      <c r="G3057" s="15">
        <v>19516.3</v>
      </c>
      <c r="H3057" s="15">
        <f>Tabla1[[#This Row],[Importe]]-Tabla1[[#This Row],[Pagado]]</f>
        <v>0</v>
      </c>
      <c r="I3057" s="275" t="s">
        <v>15214</v>
      </c>
    </row>
    <row r="3058" spans="1:9" x14ac:dyDescent="0.25">
      <c r="A3058" s="16">
        <v>42941</v>
      </c>
      <c r="B3058" s="273" t="s">
        <v>22970</v>
      </c>
      <c r="C3058">
        <v>121212</v>
      </c>
      <c r="D3058" s="236" t="s">
        <v>15716</v>
      </c>
      <c r="E3058" s="15">
        <v>9808.2999999999993</v>
      </c>
      <c r="F3058" s="274">
        <v>42941</v>
      </c>
      <c r="G3058" s="15">
        <v>9808.2999999999993</v>
      </c>
      <c r="H3058" s="15">
        <f>Tabla1[[#This Row],[Importe]]-Tabla1[[#This Row],[Pagado]]</f>
        <v>0</v>
      </c>
      <c r="I3058" s="275" t="s">
        <v>15214</v>
      </c>
    </row>
    <row r="3059" spans="1:9" x14ac:dyDescent="0.25">
      <c r="A3059" s="16">
        <v>42941</v>
      </c>
      <c r="B3059" s="273" t="s">
        <v>22971</v>
      </c>
      <c r="C3059">
        <v>121213</v>
      </c>
      <c r="D3059" s="236" t="s">
        <v>15706</v>
      </c>
      <c r="E3059" s="15">
        <v>1036.2</v>
      </c>
      <c r="F3059" s="274">
        <v>42941</v>
      </c>
      <c r="G3059" s="15">
        <v>1036.2</v>
      </c>
      <c r="H3059" s="15">
        <f>Tabla1[[#This Row],[Importe]]-Tabla1[[#This Row],[Pagado]]</f>
        <v>0</v>
      </c>
      <c r="I3059" s="275" t="s">
        <v>15214</v>
      </c>
    </row>
    <row r="3060" spans="1:9" x14ac:dyDescent="0.25">
      <c r="A3060" s="16">
        <v>42941</v>
      </c>
      <c r="B3060" s="273" t="s">
        <v>22972</v>
      </c>
      <c r="C3060">
        <v>121214</v>
      </c>
      <c r="D3060" s="236" t="s">
        <v>15378</v>
      </c>
      <c r="E3060" s="15">
        <v>709.2</v>
      </c>
      <c r="F3060" s="274">
        <v>42941</v>
      </c>
      <c r="G3060" s="15">
        <v>709.2</v>
      </c>
      <c r="H3060" s="15">
        <f>Tabla1[[#This Row],[Importe]]-Tabla1[[#This Row],[Pagado]]</f>
        <v>0</v>
      </c>
      <c r="I3060" s="275" t="s">
        <v>15214</v>
      </c>
    </row>
    <row r="3061" spans="1:9" x14ac:dyDescent="0.25">
      <c r="A3061" s="16">
        <v>42941</v>
      </c>
      <c r="B3061" s="273" t="s">
        <v>22973</v>
      </c>
      <c r="C3061">
        <v>121215</v>
      </c>
      <c r="D3061" s="236" t="s">
        <v>15415</v>
      </c>
      <c r="E3061" s="15">
        <v>3425.6</v>
      </c>
      <c r="F3061" s="274">
        <v>42944</v>
      </c>
      <c r="G3061" s="15">
        <v>3425.6</v>
      </c>
      <c r="H3061" s="15">
        <f>Tabla1[[#This Row],[Importe]]-Tabla1[[#This Row],[Pagado]]</f>
        <v>0</v>
      </c>
      <c r="I3061" s="275" t="s">
        <v>15214</v>
      </c>
    </row>
    <row r="3062" spans="1:9" x14ac:dyDescent="0.25">
      <c r="A3062" s="16">
        <v>42941</v>
      </c>
      <c r="B3062" s="273" t="s">
        <v>22974</v>
      </c>
      <c r="C3062">
        <v>121216</v>
      </c>
      <c r="D3062" s="236" t="s">
        <v>15315</v>
      </c>
      <c r="E3062" s="15">
        <v>10804.2</v>
      </c>
      <c r="F3062" s="274">
        <v>42942</v>
      </c>
      <c r="G3062" s="15">
        <v>10804.2</v>
      </c>
      <c r="H3062" s="15">
        <f>Tabla1[[#This Row],[Importe]]-Tabla1[[#This Row],[Pagado]]</f>
        <v>0</v>
      </c>
      <c r="I3062" s="275" t="s">
        <v>15214</v>
      </c>
    </row>
    <row r="3063" spans="1:9" x14ac:dyDescent="0.25">
      <c r="A3063" s="16">
        <v>42941</v>
      </c>
      <c r="B3063" s="273" t="s">
        <v>22975</v>
      </c>
      <c r="C3063">
        <v>121217</v>
      </c>
      <c r="D3063" s="236" t="s">
        <v>15284</v>
      </c>
      <c r="E3063" s="15">
        <v>1020.8</v>
      </c>
      <c r="F3063" s="274">
        <v>42941</v>
      </c>
      <c r="G3063" s="15">
        <v>1020.8</v>
      </c>
      <c r="H3063" s="15">
        <f>Tabla1[[#This Row],[Importe]]-Tabla1[[#This Row],[Pagado]]</f>
        <v>0</v>
      </c>
      <c r="I3063" s="275" t="s">
        <v>15214</v>
      </c>
    </row>
    <row r="3064" spans="1:9" x14ac:dyDescent="0.25">
      <c r="A3064" s="16">
        <v>42941</v>
      </c>
      <c r="B3064" s="273" t="s">
        <v>22976</v>
      </c>
      <c r="C3064">
        <v>121218</v>
      </c>
      <c r="D3064" s="236" t="s">
        <v>15555</v>
      </c>
      <c r="E3064" s="15">
        <v>1133.5999999999999</v>
      </c>
      <c r="F3064" s="274">
        <v>42942</v>
      </c>
      <c r="G3064" s="15">
        <v>1133.5999999999999</v>
      </c>
      <c r="H3064" s="15">
        <f>Tabla1[[#This Row],[Importe]]-Tabla1[[#This Row],[Pagado]]</f>
        <v>0</v>
      </c>
      <c r="I3064" s="275" t="s">
        <v>15214</v>
      </c>
    </row>
    <row r="3065" spans="1:9" x14ac:dyDescent="0.25">
      <c r="A3065" s="16">
        <v>42941</v>
      </c>
      <c r="B3065" s="273" t="s">
        <v>22977</v>
      </c>
      <c r="C3065">
        <v>121219</v>
      </c>
      <c r="D3065" s="236" t="s">
        <v>15315</v>
      </c>
      <c r="E3065" s="15">
        <v>3483</v>
      </c>
      <c r="F3065" s="274">
        <v>42942</v>
      </c>
      <c r="G3065" s="15">
        <v>3483</v>
      </c>
      <c r="H3065" s="15">
        <f>Tabla1[[#This Row],[Importe]]-Tabla1[[#This Row],[Pagado]]</f>
        <v>0</v>
      </c>
      <c r="I3065" s="275" t="s">
        <v>15214</v>
      </c>
    </row>
    <row r="3066" spans="1:9" x14ac:dyDescent="0.25">
      <c r="A3066" s="16">
        <v>42941</v>
      </c>
      <c r="B3066" s="273" t="s">
        <v>22978</v>
      </c>
      <c r="C3066">
        <v>121220</v>
      </c>
      <c r="D3066" s="236" t="s">
        <v>15559</v>
      </c>
      <c r="E3066" s="15">
        <v>921.6</v>
      </c>
      <c r="F3066" s="274">
        <v>42956</v>
      </c>
      <c r="G3066" s="15">
        <v>921.6</v>
      </c>
      <c r="H3066" s="15">
        <f>Tabla1[[#This Row],[Importe]]-Tabla1[[#This Row],[Pagado]]</f>
        <v>0</v>
      </c>
      <c r="I3066" s="275" t="s">
        <v>15214</v>
      </c>
    </row>
    <row r="3067" spans="1:9" x14ac:dyDescent="0.25">
      <c r="A3067" s="16">
        <v>42941</v>
      </c>
      <c r="B3067" s="273" t="s">
        <v>22979</v>
      </c>
      <c r="C3067">
        <v>121221</v>
      </c>
      <c r="D3067" s="236" t="s">
        <v>15315</v>
      </c>
      <c r="E3067" s="15">
        <v>4240.6000000000004</v>
      </c>
      <c r="F3067" s="274">
        <v>42950</v>
      </c>
      <c r="G3067" s="15">
        <v>4240.6000000000004</v>
      </c>
      <c r="H3067" s="15">
        <f>Tabla1[[#This Row],[Importe]]-Tabla1[[#This Row],[Pagado]]</f>
        <v>0</v>
      </c>
      <c r="I3067" s="275" t="s">
        <v>15214</v>
      </c>
    </row>
    <row r="3068" spans="1:9" x14ac:dyDescent="0.25">
      <c r="A3068" s="16">
        <v>42941</v>
      </c>
      <c r="B3068" s="273" t="s">
        <v>22980</v>
      </c>
      <c r="C3068">
        <v>121222</v>
      </c>
      <c r="D3068" s="236" t="s">
        <v>15276</v>
      </c>
      <c r="E3068" s="15">
        <v>2130.6</v>
      </c>
      <c r="F3068" s="274">
        <v>42941</v>
      </c>
      <c r="G3068" s="15">
        <v>2130.6</v>
      </c>
      <c r="H3068" s="15">
        <f>Tabla1[[#This Row],[Importe]]-Tabla1[[#This Row],[Pagado]]</f>
        <v>0</v>
      </c>
      <c r="I3068" s="275" t="s">
        <v>15214</v>
      </c>
    </row>
    <row r="3069" spans="1:9" x14ac:dyDescent="0.25">
      <c r="A3069" s="16">
        <v>42941</v>
      </c>
      <c r="B3069" s="273" t="s">
        <v>22981</v>
      </c>
      <c r="C3069">
        <v>121223</v>
      </c>
      <c r="D3069" s="236" t="s">
        <v>15417</v>
      </c>
      <c r="E3069" s="15">
        <v>1981.2</v>
      </c>
      <c r="F3069" s="274">
        <v>42941</v>
      </c>
      <c r="G3069" s="15">
        <v>1981.2</v>
      </c>
      <c r="H3069" s="15">
        <f>Tabla1[[#This Row],[Importe]]-Tabla1[[#This Row],[Pagado]]</f>
        <v>0</v>
      </c>
      <c r="I3069" s="275" t="s">
        <v>15214</v>
      </c>
    </row>
    <row r="3070" spans="1:9" x14ac:dyDescent="0.25">
      <c r="A3070" s="16">
        <v>42941</v>
      </c>
      <c r="B3070" s="273" t="s">
        <v>22982</v>
      </c>
      <c r="C3070">
        <v>121224</v>
      </c>
      <c r="D3070" s="236" t="s">
        <v>15307</v>
      </c>
      <c r="E3070" s="15">
        <v>991.2</v>
      </c>
      <c r="F3070" s="274">
        <v>42943</v>
      </c>
      <c r="G3070" s="15">
        <v>991.2</v>
      </c>
      <c r="H3070" s="15">
        <f>Tabla1[[#This Row],[Importe]]-Tabla1[[#This Row],[Pagado]]</f>
        <v>0</v>
      </c>
      <c r="I3070" s="275" t="s">
        <v>15214</v>
      </c>
    </row>
    <row r="3071" spans="1:9" x14ac:dyDescent="0.25">
      <c r="A3071" s="16">
        <v>42941</v>
      </c>
      <c r="B3071" s="273" t="s">
        <v>22983</v>
      </c>
      <c r="C3071">
        <v>121225</v>
      </c>
      <c r="D3071" s="236" t="s">
        <v>15311</v>
      </c>
      <c r="E3071" s="15">
        <v>1693.2</v>
      </c>
      <c r="F3071" s="274">
        <v>42941</v>
      </c>
      <c r="G3071" s="15">
        <v>1693.2</v>
      </c>
      <c r="H3071" s="15">
        <f>Tabla1[[#This Row],[Importe]]-Tabla1[[#This Row],[Pagado]]</f>
        <v>0</v>
      </c>
      <c r="I3071" s="275" t="s">
        <v>15214</v>
      </c>
    </row>
    <row r="3072" spans="1:9" x14ac:dyDescent="0.25">
      <c r="A3072" s="16">
        <v>42941</v>
      </c>
      <c r="B3072" s="273" t="s">
        <v>22984</v>
      </c>
      <c r="C3072">
        <v>121226</v>
      </c>
      <c r="D3072" s="236" t="s">
        <v>15309</v>
      </c>
      <c r="E3072" s="15">
        <v>4842.5</v>
      </c>
      <c r="F3072" s="274">
        <v>42941</v>
      </c>
      <c r="G3072" s="15">
        <v>4842.5</v>
      </c>
      <c r="H3072" s="15">
        <f>Tabla1[[#This Row],[Importe]]-Tabla1[[#This Row],[Pagado]]</f>
        <v>0</v>
      </c>
      <c r="I3072" s="275" t="s">
        <v>15214</v>
      </c>
    </row>
    <row r="3073" spans="1:9" x14ac:dyDescent="0.25">
      <c r="A3073" s="16">
        <v>42941</v>
      </c>
      <c r="B3073" s="273" t="s">
        <v>22985</v>
      </c>
      <c r="C3073">
        <v>121227</v>
      </c>
      <c r="D3073" s="236" t="s">
        <v>16064</v>
      </c>
      <c r="E3073" s="15">
        <v>3842</v>
      </c>
      <c r="F3073" s="274">
        <v>42941</v>
      </c>
      <c r="G3073" s="15">
        <v>3842</v>
      </c>
      <c r="H3073" s="15">
        <f>Tabla1[[#This Row],[Importe]]-Tabla1[[#This Row],[Pagado]]</f>
        <v>0</v>
      </c>
      <c r="I3073" s="275" t="s">
        <v>15214</v>
      </c>
    </row>
    <row r="3074" spans="1:9" x14ac:dyDescent="0.25">
      <c r="A3074" s="16">
        <v>42941</v>
      </c>
      <c r="B3074" s="273" t="s">
        <v>22986</v>
      </c>
      <c r="C3074">
        <v>121228</v>
      </c>
      <c r="D3074" s="236" t="s">
        <v>15291</v>
      </c>
      <c r="E3074" s="15">
        <v>937.6</v>
      </c>
      <c r="F3074" s="274">
        <v>42941</v>
      </c>
      <c r="G3074" s="15">
        <v>937.6</v>
      </c>
      <c r="H3074" s="15">
        <f>Tabla1[[#This Row],[Importe]]-Tabla1[[#This Row],[Pagado]]</f>
        <v>0</v>
      </c>
      <c r="I3074" s="275" t="s">
        <v>15214</v>
      </c>
    </row>
    <row r="3075" spans="1:9" x14ac:dyDescent="0.25">
      <c r="A3075" s="16">
        <v>42941</v>
      </c>
      <c r="B3075" s="273" t="s">
        <v>22987</v>
      </c>
      <c r="C3075">
        <v>121229</v>
      </c>
      <c r="D3075" s="236" t="s">
        <v>15398</v>
      </c>
      <c r="E3075" s="15">
        <v>3388.65</v>
      </c>
      <c r="F3075" s="274">
        <v>42941</v>
      </c>
      <c r="G3075" s="15">
        <v>3388.65</v>
      </c>
      <c r="H3075" s="15">
        <f>Tabla1[[#This Row],[Importe]]-Tabla1[[#This Row],[Pagado]]</f>
        <v>0</v>
      </c>
      <c r="I3075" s="275" t="s">
        <v>15214</v>
      </c>
    </row>
    <row r="3076" spans="1:9" x14ac:dyDescent="0.25">
      <c r="A3076" s="16">
        <v>42941</v>
      </c>
      <c r="B3076" s="273" t="s">
        <v>22988</v>
      </c>
      <c r="C3076">
        <v>121230</v>
      </c>
      <c r="D3076" s="236" t="s">
        <v>15330</v>
      </c>
      <c r="E3076" s="15">
        <v>1190</v>
      </c>
      <c r="F3076" s="274">
        <v>42941</v>
      </c>
      <c r="G3076" s="15">
        <v>1190</v>
      </c>
      <c r="H3076" s="15">
        <f>Tabla1[[#This Row],[Importe]]-Tabla1[[#This Row],[Pagado]]</f>
        <v>0</v>
      </c>
      <c r="I3076" s="275" t="s">
        <v>15214</v>
      </c>
    </row>
    <row r="3077" spans="1:9" x14ac:dyDescent="0.25">
      <c r="A3077" s="16">
        <v>42941</v>
      </c>
      <c r="B3077" s="273" t="s">
        <v>22989</v>
      </c>
      <c r="C3077">
        <v>121231</v>
      </c>
      <c r="D3077" s="236" t="s">
        <v>15324</v>
      </c>
      <c r="E3077" s="15">
        <v>1177</v>
      </c>
      <c r="F3077" s="274">
        <v>42941</v>
      </c>
      <c r="G3077" s="15">
        <v>1177</v>
      </c>
      <c r="H3077" s="15">
        <f>Tabla1[[#This Row],[Importe]]-Tabla1[[#This Row],[Pagado]]</f>
        <v>0</v>
      </c>
      <c r="I3077" s="275" t="s">
        <v>15214</v>
      </c>
    </row>
    <row r="3078" spans="1:9" x14ac:dyDescent="0.25">
      <c r="A3078" s="16">
        <v>42941</v>
      </c>
      <c r="B3078" s="273" t="s">
        <v>22990</v>
      </c>
      <c r="C3078">
        <v>121232</v>
      </c>
      <c r="D3078" s="236" t="s">
        <v>15315</v>
      </c>
      <c r="E3078" s="15">
        <v>2072.3000000000002</v>
      </c>
      <c r="F3078" s="274">
        <v>42941</v>
      </c>
      <c r="G3078" s="15">
        <v>2072.3000000000002</v>
      </c>
      <c r="H3078" s="15">
        <f>Tabla1[[#This Row],[Importe]]-Tabla1[[#This Row],[Pagado]]</f>
        <v>0</v>
      </c>
      <c r="I3078" s="275" t="s">
        <v>15214</v>
      </c>
    </row>
    <row r="3079" spans="1:9" x14ac:dyDescent="0.25">
      <c r="A3079" s="16">
        <v>42941</v>
      </c>
      <c r="B3079" s="273" t="s">
        <v>22991</v>
      </c>
      <c r="C3079">
        <v>121233</v>
      </c>
      <c r="D3079" s="236" t="s">
        <v>15510</v>
      </c>
      <c r="E3079" s="15">
        <v>390</v>
      </c>
      <c r="F3079" s="274">
        <v>42942</v>
      </c>
      <c r="G3079" s="15">
        <v>390</v>
      </c>
      <c r="H3079" s="15">
        <f>Tabla1[[#This Row],[Importe]]-Tabla1[[#This Row],[Pagado]]</f>
        <v>0</v>
      </c>
      <c r="I3079" s="275" t="s">
        <v>15214</v>
      </c>
    </row>
    <row r="3080" spans="1:9" x14ac:dyDescent="0.25">
      <c r="A3080" s="16">
        <v>42941</v>
      </c>
      <c r="B3080" s="273" t="s">
        <v>22992</v>
      </c>
      <c r="C3080">
        <v>121234</v>
      </c>
      <c r="D3080" s="236" t="s">
        <v>15315</v>
      </c>
      <c r="E3080" s="15">
        <v>1947.5</v>
      </c>
      <c r="F3080" s="274">
        <v>42941</v>
      </c>
      <c r="G3080" s="15">
        <v>1947.5</v>
      </c>
      <c r="H3080" s="15">
        <f>Tabla1[[#This Row],[Importe]]-Tabla1[[#This Row],[Pagado]]</f>
        <v>0</v>
      </c>
      <c r="I3080" s="275" t="s">
        <v>15214</v>
      </c>
    </row>
    <row r="3081" spans="1:9" x14ac:dyDescent="0.25">
      <c r="A3081" s="16">
        <v>42941</v>
      </c>
      <c r="B3081" s="273" t="s">
        <v>22993</v>
      </c>
      <c r="C3081">
        <v>121235</v>
      </c>
      <c r="D3081" s="236" t="s">
        <v>15315</v>
      </c>
      <c r="E3081" s="15">
        <v>793</v>
      </c>
      <c r="F3081" s="274">
        <v>42941</v>
      </c>
      <c r="G3081" s="15">
        <v>793</v>
      </c>
      <c r="H3081" s="15">
        <f>Tabla1[[#This Row],[Importe]]-Tabla1[[#This Row],[Pagado]]</f>
        <v>0</v>
      </c>
      <c r="I3081" s="275" t="s">
        <v>15214</v>
      </c>
    </row>
    <row r="3082" spans="1:9" x14ac:dyDescent="0.25">
      <c r="A3082" s="16">
        <v>42941</v>
      </c>
      <c r="B3082" s="273" t="s">
        <v>22994</v>
      </c>
      <c r="C3082">
        <v>121236</v>
      </c>
      <c r="D3082" s="236" t="s">
        <v>15315</v>
      </c>
      <c r="E3082" s="15">
        <v>403</v>
      </c>
      <c r="F3082" s="274">
        <v>42941</v>
      </c>
      <c r="G3082" s="15">
        <v>403</v>
      </c>
      <c r="H3082" s="15">
        <f>Tabla1[[#This Row],[Importe]]-Tabla1[[#This Row],[Pagado]]</f>
        <v>0</v>
      </c>
      <c r="I3082" s="275" t="s">
        <v>15214</v>
      </c>
    </row>
    <row r="3083" spans="1:9" x14ac:dyDescent="0.25">
      <c r="A3083" s="16">
        <v>42941</v>
      </c>
      <c r="B3083" s="273" t="s">
        <v>22995</v>
      </c>
      <c r="C3083">
        <v>121237</v>
      </c>
      <c r="D3083" s="236" t="s">
        <v>15577</v>
      </c>
      <c r="E3083" s="15">
        <v>293.8</v>
      </c>
      <c r="F3083" s="274">
        <v>42941</v>
      </c>
      <c r="G3083" s="15">
        <v>293.8</v>
      </c>
      <c r="H3083" s="15">
        <f>Tabla1[[#This Row],[Importe]]-Tabla1[[#This Row],[Pagado]]</f>
        <v>0</v>
      </c>
      <c r="I3083" s="275" t="s">
        <v>15214</v>
      </c>
    </row>
    <row r="3084" spans="1:9" x14ac:dyDescent="0.25">
      <c r="A3084" s="16">
        <v>42941</v>
      </c>
      <c r="B3084" s="273" t="s">
        <v>22996</v>
      </c>
      <c r="C3084">
        <v>121238</v>
      </c>
      <c r="D3084" s="236" t="s">
        <v>15566</v>
      </c>
      <c r="E3084" s="15">
        <v>3523.8</v>
      </c>
      <c r="F3084" s="274">
        <v>42941</v>
      </c>
      <c r="G3084" s="15">
        <v>3523.8</v>
      </c>
      <c r="H3084" s="15">
        <f>Tabla1[[#This Row],[Importe]]-Tabla1[[#This Row],[Pagado]]</f>
        <v>0</v>
      </c>
      <c r="I3084" s="275" t="s">
        <v>15214</v>
      </c>
    </row>
    <row r="3085" spans="1:9" x14ac:dyDescent="0.25">
      <c r="A3085" s="16">
        <v>42941</v>
      </c>
      <c r="B3085" s="273" t="s">
        <v>22997</v>
      </c>
      <c r="C3085">
        <v>121239</v>
      </c>
      <c r="D3085" s="236" t="s">
        <v>19768</v>
      </c>
      <c r="E3085" s="15">
        <v>1590</v>
      </c>
      <c r="F3085" s="274">
        <v>42941</v>
      </c>
      <c r="G3085" s="15">
        <v>1590</v>
      </c>
      <c r="H3085" s="15">
        <f>Tabla1[[#This Row],[Importe]]-Tabla1[[#This Row],[Pagado]]</f>
        <v>0</v>
      </c>
      <c r="I3085" s="275" t="s">
        <v>15214</v>
      </c>
    </row>
    <row r="3086" spans="1:9" x14ac:dyDescent="0.25">
      <c r="A3086" s="16">
        <v>42941</v>
      </c>
      <c r="B3086" s="273" t="s">
        <v>22998</v>
      </c>
      <c r="C3086">
        <v>121240</v>
      </c>
      <c r="D3086" s="236" t="s">
        <v>15282</v>
      </c>
      <c r="E3086" s="15">
        <v>3817.6</v>
      </c>
      <c r="F3086" s="274">
        <v>42941</v>
      </c>
      <c r="G3086" s="15">
        <v>3817.6</v>
      </c>
      <c r="H3086" s="15">
        <f>Tabla1[[#This Row],[Importe]]-Tabla1[[#This Row],[Pagado]]</f>
        <v>0</v>
      </c>
      <c r="I3086" s="275" t="s">
        <v>15214</v>
      </c>
    </row>
    <row r="3087" spans="1:9" x14ac:dyDescent="0.25">
      <c r="A3087" s="16">
        <v>42941</v>
      </c>
      <c r="B3087" s="273" t="s">
        <v>22999</v>
      </c>
      <c r="C3087">
        <v>121241</v>
      </c>
      <c r="D3087" s="236" t="s">
        <v>15936</v>
      </c>
      <c r="E3087" s="15">
        <v>21931.200000000001</v>
      </c>
      <c r="F3087" s="274">
        <v>42941</v>
      </c>
      <c r="G3087" s="15">
        <v>21931.200000000001</v>
      </c>
      <c r="H3087" s="15">
        <f>Tabla1[[#This Row],[Importe]]-Tabla1[[#This Row],[Pagado]]</f>
        <v>0</v>
      </c>
      <c r="I3087" s="275" t="s">
        <v>15214</v>
      </c>
    </row>
    <row r="3088" spans="1:9" x14ac:dyDescent="0.25">
      <c r="A3088" s="16">
        <v>42941</v>
      </c>
      <c r="B3088" s="273" t="s">
        <v>23000</v>
      </c>
      <c r="C3088">
        <v>121242</v>
      </c>
      <c r="D3088" s="236" t="s">
        <v>15665</v>
      </c>
      <c r="E3088" s="15">
        <v>334</v>
      </c>
      <c r="F3088" s="274">
        <v>42941</v>
      </c>
      <c r="G3088" s="15">
        <v>334</v>
      </c>
      <c r="H3088" s="15">
        <f>Tabla1[[#This Row],[Importe]]-Tabla1[[#This Row],[Pagado]]</f>
        <v>0</v>
      </c>
      <c r="I3088" s="275" t="s">
        <v>15214</v>
      </c>
    </row>
    <row r="3089" spans="1:9" x14ac:dyDescent="0.25">
      <c r="A3089" s="16">
        <v>42941</v>
      </c>
      <c r="B3089" s="273" t="s">
        <v>23001</v>
      </c>
      <c r="C3089">
        <v>121243</v>
      </c>
      <c r="D3089" s="236" t="s">
        <v>15315</v>
      </c>
      <c r="E3089" s="15">
        <v>722.8</v>
      </c>
      <c r="F3089" s="274">
        <v>42941</v>
      </c>
      <c r="G3089" s="15">
        <v>722.8</v>
      </c>
      <c r="H3089" s="15">
        <f>Tabla1[[#This Row],[Importe]]-Tabla1[[#This Row],[Pagado]]</f>
        <v>0</v>
      </c>
      <c r="I3089" s="275" t="s">
        <v>15214</v>
      </c>
    </row>
    <row r="3090" spans="1:9" x14ac:dyDescent="0.25">
      <c r="A3090" s="16">
        <v>42941</v>
      </c>
      <c r="B3090" s="273" t="s">
        <v>23002</v>
      </c>
      <c r="C3090">
        <v>121244</v>
      </c>
      <c r="D3090" s="236" t="s">
        <v>15642</v>
      </c>
      <c r="E3090" s="15">
        <v>6432.3</v>
      </c>
      <c r="F3090" s="274">
        <v>42941</v>
      </c>
      <c r="G3090" s="15">
        <v>6432.3</v>
      </c>
      <c r="H3090" s="15">
        <f>Tabla1[[#This Row],[Importe]]-Tabla1[[#This Row],[Pagado]]</f>
        <v>0</v>
      </c>
      <c r="I3090" s="275" t="s">
        <v>15214</v>
      </c>
    </row>
    <row r="3091" spans="1:9" x14ac:dyDescent="0.25">
      <c r="A3091" s="16">
        <v>42941</v>
      </c>
      <c r="B3091" s="273" t="s">
        <v>23003</v>
      </c>
      <c r="C3091">
        <v>121245</v>
      </c>
      <c r="D3091" s="236" t="s">
        <v>15628</v>
      </c>
      <c r="E3091" s="15">
        <v>5963.4</v>
      </c>
      <c r="F3091" s="274">
        <v>42941</v>
      </c>
      <c r="G3091" s="15">
        <v>5963.4</v>
      </c>
      <c r="H3091" s="15">
        <f>Tabla1[[#This Row],[Importe]]-Tabla1[[#This Row],[Pagado]]</f>
        <v>0</v>
      </c>
      <c r="I3091" s="275" t="s">
        <v>15214</v>
      </c>
    </row>
    <row r="3092" spans="1:9" x14ac:dyDescent="0.25">
      <c r="A3092" s="16">
        <v>42941</v>
      </c>
      <c r="B3092" s="273" t="s">
        <v>23004</v>
      </c>
      <c r="C3092">
        <v>121246</v>
      </c>
      <c r="D3092" s="236" t="s">
        <v>15213</v>
      </c>
      <c r="E3092" s="15">
        <v>7478.7</v>
      </c>
      <c r="F3092" s="274">
        <v>42943</v>
      </c>
      <c r="G3092" s="15">
        <v>7478.7</v>
      </c>
      <c r="H3092" s="15">
        <f>Tabla1[[#This Row],[Importe]]-Tabla1[[#This Row],[Pagado]]</f>
        <v>0</v>
      </c>
      <c r="I3092" s="275" t="s">
        <v>15214</v>
      </c>
    </row>
    <row r="3093" spans="1:9" x14ac:dyDescent="0.25">
      <c r="A3093" s="16">
        <v>42941</v>
      </c>
      <c r="B3093" s="273" t="s">
        <v>23005</v>
      </c>
      <c r="C3093">
        <v>121247</v>
      </c>
      <c r="D3093" s="236" t="s">
        <v>15267</v>
      </c>
      <c r="E3093" s="15">
        <v>8080.8</v>
      </c>
      <c r="F3093" s="274">
        <v>42941</v>
      </c>
      <c r="G3093" s="15">
        <v>8080.8</v>
      </c>
      <c r="H3093" s="15">
        <f>Tabla1[[#This Row],[Importe]]-Tabla1[[#This Row],[Pagado]]</f>
        <v>0</v>
      </c>
      <c r="I3093" s="275" t="s">
        <v>15214</v>
      </c>
    </row>
    <row r="3094" spans="1:9" x14ac:dyDescent="0.25">
      <c r="A3094" s="16">
        <v>42941</v>
      </c>
      <c r="B3094" s="273" t="s">
        <v>23006</v>
      </c>
      <c r="C3094">
        <v>121248</v>
      </c>
      <c r="D3094" s="236" t="s">
        <v>15365</v>
      </c>
      <c r="E3094" s="15">
        <v>457541</v>
      </c>
      <c r="F3094" s="274">
        <v>42945</v>
      </c>
      <c r="G3094" s="15">
        <v>457541</v>
      </c>
      <c r="H3094" s="15">
        <f>Tabla1[[#This Row],[Importe]]-Tabla1[[#This Row],[Pagado]]</f>
        <v>0</v>
      </c>
      <c r="I3094" s="275" t="s">
        <v>15214</v>
      </c>
    </row>
    <row r="3095" spans="1:9" x14ac:dyDescent="0.25">
      <c r="A3095" s="16">
        <v>42941</v>
      </c>
      <c r="B3095" s="273" t="s">
        <v>23007</v>
      </c>
      <c r="C3095">
        <v>121249</v>
      </c>
      <c r="D3095" s="236" t="s">
        <v>15365</v>
      </c>
      <c r="E3095" s="15">
        <v>272556</v>
      </c>
      <c r="F3095" s="274">
        <v>42943</v>
      </c>
      <c r="G3095" s="15">
        <v>272556</v>
      </c>
      <c r="H3095" s="15">
        <f>Tabla1[[#This Row],[Importe]]-Tabla1[[#This Row],[Pagado]]</f>
        <v>0</v>
      </c>
      <c r="I3095" s="275" t="s">
        <v>15214</v>
      </c>
    </row>
    <row r="3096" spans="1:9" ht="30" x14ac:dyDescent="0.25">
      <c r="A3096" s="16">
        <v>42941</v>
      </c>
      <c r="B3096" s="273" t="s">
        <v>23008</v>
      </c>
      <c r="C3096">
        <v>121250</v>
      </c>
      <c r="D3096" s="236" t="s">
        <v>15246</v>
      </c>
      <c r="E3096" s="15">
        <v>1470</v>
      </c>
      <c r="F3096" s="274" t="s">
        <v>22782</v>
      </c>
      <c r="G3096" s="15">
        <v>1470</v>
      </c>
      <c r="H3096" s="15">
        <f>Tabla1[[#This Row],[Importe]]-Tabla1[[#This Row],[Pagado]]</f>
        <v>0</v>
      </c>
      <c r="I3096" s="275" t="s">
        <v>15214</v>
      </c>
    </row>
    <row r="3097" spans="1:9" x14ac:dyDescent="0.25">
      <c r="A3097" s="16">
        <v>42941</v>
      </c>
      <c r="B3097" s="273" t="s">
        <v>23009</v>
      </c>
      <c r="C3097">
        <v>121251</v>
      </c>
      <c r="D3097" s="236" t="s">
        <v>19776</v>
      </c>
      <c r="E3097" s="15">
        <v>33800</v>
      </c>
      <c r="F3097" s="274">
        <v>42941</v>
      </c>
      <c r="G3097" s="15">
        <v>33800</v>
      </c>
      <c r="H3097" s="15">
        <f>Tabla1[[#This Row],[Importe]]-Tabla1[[#This Row],[Pagado]]</f>
        <v>0</v>
      </c>
      <c r="I3097" s="275" t="s">
        <v>15214</v>
      </c>
    </row>
    <row r="3098" spans="1:9" x14ac:dyDescent="0.25">
      <c r="A3098" s="16">
        <v>42941</v>
      </c>
      <c r="B3098" s="273" t="s">
        <v>23010</v>
      </c>
      <c r="C3098">
        <v>121252</v>
      </c>
      <c r="D3098" s="236" t="s">
        <v>15284</v>
      </c>
      <c r="E3098" s="15">
        <v>964.4</v>
      </c>
      <c r="F3098" s="274">
        <v>42941</v>
      </c>
      <c r="G3098" s="15">
        <v>964.4</v>
      </c>
      <c r="H3098" s="15">
        <f>Tabla1[[#This Row],[Importe]]-Tabla1[[#This Row],[Pagado]]</f>
        <v>0</v>
      </c>
      <c r="I3098" s="275" t="s">
        <v>15214</v>
      </c>
    </row>
    <row r="3099" spans="1:9" x14ac:dyDescent="0.25">
      <c r="A3099" s="16">
        <v>42941</v>
      </c>
      <c r="B3099" s="273" t="s">
        <v>23011</v>
      </c>
      <c r="C3099">
        <v>121253</v>
      </c>
      <c r="D3099" s="236" t="s">
        <v>16522</v>
      </c>
      <c r="E3099" s="15">
        <v>1960.2</v>
      </c>
      <c r="F3099" s="274">
        <v>43006</v>
      </c>
      <c r="G3099" s="15">
        <v>1960.2</v>
      </c>
      <c r="H3099" s="15">
        <f>Tabla1[[#This Row],[Importe]]-Tabla1[[#This Row],[Pagado]]</f>
        <v>0</v>
      </c>
      <c r="I3099" s="275" t="s">
        <v>15214</v>
      </c>
    </row>
    <row r="3100" spans="1:9" x14ac:dyDescent="0.25">
      <c r="A3100" s="16">
        <v>42941</v>
      </c>
      <c r="B3100" s="273" t="s">
        <v>23012</v>
      </c>
      <c r="C3100">
        <v>121254</v>
      </c>
      <c r="D3100" s="236" t="s">
        <v>15541</v>
      </c>
      <c r="E3100" s="15">
        <v>1040</v>
      </c>
      <c r="F3100" s="274">
        <v>42941</v>
      </c>
      <c r="G3100" s="15">
        <v>1040</v>
      </c>
      <c r="H3100" s="15">
        <f>Tabla1[[#This Row],[Importe]]-Tabla1[[#This Row],[Pagado]]</f>
        <v>0</v>
      </c>
      <c r="I3100" s="275" t="s">
        <v>15214</v>
      </c>
    </row>
    <row r="3101" spans="1:9" x14ac:dyDescent="0.25">
      <c r="A3101" s="16">
        <v>42941</v>
      </c>
      <c r="B3101" s="273" t="s">
        <v>23013</v>
      </c>
      <c r="C3101">
        <v>121255</v>
      </c>
      <c r="D3101" s="236" t="s">
        <v>15442</v>
      </c>
      <c r="E3101" s="15">
        <v>22568</v>
      </c>
      <c r="F3101" s="274">
        <v>42952</v>
      </c>
      <c r="G3101" s="15">
        <v>22568</v>
      </c>
      <c r="H3101" s="15">
        <f>Tabla1[[#This Row],[Importe]]-Tabla1[[#This Row],[Pagado]]</f>
        <v>0</v>
      </c>
      <c r="I3101" s="275" t="s">
        <v>15214</v>
      </c>
    </row>
    <row r="3102" spans="1:9" x14ac:dyDescent="0.25">
      <c r="A3102" s="16">
        <v>42941</v>
      </c>
      <c r="B3102" s="273" t="s">
        <v>23014</v>
      </c>
      <c r="C3102">
        <v>121256</v>
      </c>
      <c r="D3102" s="236" t="s">
        <v>15263</v>
      </c>
      <c r="E3102" s="15">
        <v>438.7</v>
      </c>
      <c r="F3102" s="274">
        <v>42941</v>
      </c>
      <c r="G3102" s="15">
        <v>438.7</v>
      </c>
      <c r="H3102" s="15">
        <f>Tabla1[[#This Row],[Importe]]-Tabla1[[#This Row],[Pagado]]</f>
        <v>0</v>
      </c>
      <c r="I3102" s="275" t="s">
        <v>15214</v>
      </c>
    </row>
    <row r="3103" spans="1:9" x14ac:dyDescent="0.25">
      <c r="A3103" s="16">
        <v>42941</v>
      </c>
      <c r="B3103" s="273" t="s">
        <v>23015</v>
      </c>
      <c r="C3103">
        <v>121257</v>
      </c>
      <c r="D3103" s="236" t="s">
        <v>15223</v>
      </c>
      <c r="E3103" s="15">
        <v>29450</v>
      </c>
      <c r="F3103" s="274">
        <v>42960</v>
      </c>
      <c r="G3103" s="15">
        <v>29450</v>
      </c>
      <c r="H3103" s="15">
        <f>Tabla1[[#This Row],[Importe]]-Tabla1[[#This Row],[Pagado]]</f>
        <v>0</v>
      </c>
      <c r="I3103" s="275" t="s">
        <v>15214</v>
      </c>
    </row>
    <row r="3104" spans="1:9" ht="30" x14ac:dyDescent="0.25">
      <c r="A3104" s="16">
        <v>42941</v>
      </c>
      <c r="B3104" s="273" t="s">
        <v>23016</v>
      </c>
      <c r="C3104">
        <v>121258</v>
      </c>
      <c r="D3104" s="236" t="s">
        <v>15246</v>
      </c>
      <c r="E3104" s="15">
        <v>100640.6</v>
      </c>
      <c r="F3104" s="274" t="s">
        <v>22779</v>
      </c>
      <c r="G3104" s="15">
        <v>100640.6</v>
      </c>
      <c r="H3104" s="15">
        <f>Tabla1[[#This Row],[Importe]]-Tabla1[[#This Row],[Pagado]]</f>
        <v>0</v>
      </c>
      <c r="I3104" s="275" t="s">
        <v>15214</v>
      </c>
    </row>
    <row r="3105" spans="1:9" x14ac:dyDescent="0.25">
      <c r="A3105" s="16">
        <v>42941</v>
      </c>
      <c r="B3105" s="273" t="s">
        <v>23017</v>
      </c>
      <c r="C3105">
        <v>121259</v>
      </c>
      <c r="D3105" s="236" t="s">
        <v>15903</v>
      </c>
      <c r="E3105" s="15">
        <v>39469.4</v>
      </c>
      <c r="F3105" s="274">
        <v>42941</v>
      </c>
      <c r="G3105" s="15">
        <v>39469.4</v>
      </c>
      <c r="H3105" s="15">
        <f>Tabla1[[#This Row],[Importe]]-Tabla1[[#This Row],[Pagado]]</f>
        <v>0</v>
      </c>
      <c r="I3105" s="275" t="s">
        <v>15214</v>
      </c>
    </row>
    <row r="3106" spans="1:9" x14ac:dyDescent="0.25">
      <c r="A3106" s="16">
        <v>42941</v>
      </c>
      <c r="B3106" s="273" t="s">
        <v>23018</v>
      </c>
      <c r="C3106">
        <v>121260</v>
      </c>
      <c r="D3106" s="236" t="s">
        <v>15444</v>
      </c>
      <c r="E3106" s="15">
        <v>2166.6</v>
      </c>
      <c r="F3106" s="274">
        <v>42942</v>
      </c>
      <c r="G3106" s="15">
        <v>2166.6</v>
      </c>
      <c r="H3106" s="15">
        <f>Tabla1[[#This Row],[Importe]]-Tabla1[[#This Row],[Pagado]]</f>
        <v>0</v>
      </c>
      <c r="I3106" s="275" t="s">
        <v>15214</v>
      </c>
    </row>
    <row r="3107" spans="1:9" x14ac:dyDescent="0.25">
      <c r="A3107" s="16">
        <v>42941</v>
      </c>
      <c r="B3107" s="273" t="s">
        <v>23019</v>
      </c>
      <c r="C3107">
        <v>121261</v>
      </c>
      <c r="D3107" s="236" t="s">
        <v>15903</v>
      </c>
      <c r="E3107" s="15">
        <v>320</v>
      </c>
      <c r="F3107" s="274">
        <v>42941</v>
      </c>
      <c r="G3107" s="15">
        <v>320</v>
      </c>
      <c r="H3107" s="15">
        <f>Tabla1[[#This Row],[Importe]]-Tabla1[[#This Row],[Pagado]]</f>
        <v>0</v>
      </c>
      <c r="I3107" s="275" t="s">
        <v>15214</v>
      </c>
    </row>
    <row r="3108" spans="1:9" x14ac:dyDescent="0.25">
      <c r="A3108" s="16">
        <v>42941</v>
      </c>
      <c r="B3108" s="273" t="s">
        <v>23020</v>
      </c>
      <c r="C3108">
        <v>121262</v>
      </c>
      <c r="D3108" s="236" t="s">
        <v>19933</v>
      </c>
      <c r="E3108" s="15">
        <v>494.6</v>
      </c>
      <c r="F3108" s="274">
        <v>42941</v>
      </c>
      <c r="G3108" s="15">
        <v>494.6</v>
      </c>
      <c r="H3108" s="15">
        <f>Tabla1[[#This Row],[Importe]]-Tabla1[[#This Row],[Pagado]]</f>
        <v>0</v>
      </c>
      <c r="I3108" s="275" t="s">
        <v>15214</v>
      </c>
    </row>
    <row r="3109" spans="1:9" x14ac:dyDescent="0.25">
      <c r="A3109" s="16">
        <v>42941</v>
      </c>
      <c r="B3109" s="273" t="s">
        <v>23021</v>
      </c>
      <c r="C3109">
        <v>121263</v>
      </c>
      <c r="D3109" s="236" t="s">
        <v>15614</v>
      </c>
      <c r="E3109" s="15">
        <v>8057.4</v>
      </c>
      <c r="F3109" s="292">
        <v>42948</v>
      </c>
      <c r="G3109" s="15">
        <v>8057.4</v>
      </c>
      <c r="H3109" s="15">
        <f>Tabla1[[#This Row],[Importe]]-Tabla1[[#This Row],[Pagado]]</f>
        <v>0</v>
      </c>
      <c r="I3109" s="275" t="s">
        <v>15214</v>
      </c>
    </row>
    <row r="3110" spans="1:9" x14ac:dyDescent="0.25">
      <c r="A3110" s="16">
        <v>42941</v>
      </c>
      <c r="B3110" s="273" t="s">
        <v>23022</v>
      </c>
      <c r="C3110">
        <v>121264</v>
      </c>
      <c r="D3110" s="236" t="s">
        <v>15617</v>
      </c>
      <c r="E3110" s="15">
        <v>31423.599999999999</v>
      </c>
      <c r="F3110" s="274">
        <v>42942</v>
      </c>
      <c r="G3110" s="15">
        <v>31423.599999999999</v>
      </c>
      <c r="H3110" s="15">
        <f>Tabla1[[#This Row],[Importe]]-Tabla1[[#This Row],[Pagado]]</f>
        <v>0</v>
      </c>
      <c r="I3110" s="275" t="s">
        <v>15214</v>
      </c>
    </row>
    <row r="3111" spans="1:9" x14ac:dyDescent="0.25">
      <c r="A3111" s="16">
        <v>42941</v>
      </c>
      <c r="B3111" s="273" t="s">
        <v>23023</v>
      </c>
      <c r="C3111">
        <v>121265</v>
      </c>
      <c r="D3111" s="236" t="s">
        <v>15226</v>
      </c>
      <c r="E3111" s="15">
        <v>1920.8</v>
      </c>
      <c r="F3111" s="274">
        <v>42947</v>
      </c>
      <c r="G3111" s="15">
        <v>1920.8</v>
      </c>
      <c r="H3111" s="15">
        <f>Tabla1[[#This Row],[Importe]]-Tabla1[[#This Row],[Pagado]]</f>
        <v>0</v>
      </c>
      <c r="I3111" s="275" t="s">
        <v>15214</v>
      </c>
    </row>
    <row r="3112" spans="1:9" x14ac:dyDescent="0.25">
      <c r="A3112" s="16">
        <v>42941</v>
      </c>
      <c r="B3112" s="273" t="s">
        <v>23024</v>
      </c>
      <c r="C3112">
        <v>121266</v>
      </c>
      <c r="D3112" s="236" t="s">
        <v>15856</v>
      </c>
      <c r="E3112" s="15">
        <v>1540</v>
      </c>
      <c r="F3112" s="274">
        <v>42943</v>
      </c>
      <c r="G3112" s="15">
        <v>1540</v>
      </c>
      <c r="H3112" s="15">
        <f>Tabla1[[#This Row],[Importe]]-Tabla1[[#This Row],[Pagado]]</f>
        <v>0</v>
      </c>
      <c r="I3112" s="275" t="s">
        <v>15214</v>
      </c>
    </row>
    <row r="3113" spans="1:9" x14ac:dyDescent="0.25">
      <c r="A3113" s="16">
        <v>42941</v>
      </c>
      <c r="B3113" s="273" t="s">
        <v>23025</v>
      </c>
      <c r="C3113">
        <v>121267</v>
      </c>
      <c r="D3113" s="236" t="s">
        <v>15644</v>
      </c>
      <c r="E3113" s="15">
        <v>3597</v>
      </c>
      <c r="F3113" s="274">
        <v>42943</v>
      </c>
      <c r="G3113" s="15">
        <v>3597</v>
      </c>
      <c r="H3113" s="15">
        <f>Tabla1[[#This Row],[Importe]]-Tabla1[[#This Row],[Pagado]]</f>
        <v>0</v>
      </c>
      <c r="I3113" s="275" t="s">
        <v>15214</v>
      </c>
    </row>
    <row r="3114" spans="1:9" ht="30" x14ac:dyDescent="0.25">
      <c r="A3114" s="16">
        <v>42941</v>
      </c>
      <c r="B3114" s="273" t="s">
        <v>23026</v>
      </c>
      <c r="C3114">
        <v>121268</v>
      </c>
      <c r="D3114" s="236" t="s">
        <v>15246</v>
      </c>
      <c r="E3114" s="15">
        <v>29195.4</v>
      </c>
      <c r="F3114" s="274" t="s">
        <v>23027</v>
      </c>
      <c r="G3114" s="15">
        <v>29195.4</v>
      </c>
      <c r="H3114" s="15">
        <f>Tabla1[[#This Row],[Importe]]-Tabla1[[#This Row],[Pagado]]</f>
        <v>0</v>
      </c>
      <c r="I3114" s="275" t="s">
        <v>15214</v>
      </c>
    </row>
    <row r="3115" spans="1:9" x14ac:dyDescent="0.25">
      <c r="A3115" s="16">
        <v>42941</v>
      </c>
      <c r="B3115" s="273" t="s">
        <v>23028</v>
      </c>
      <c r="C3115">
        <v>121269</v>
      </c>
      <c r="D3115" s="236" t="s">
        <v>15581</v>
      </c>
      <c r="E3115" s="15">
        <v>7496.6</v>
      </c>
      <c r="F3115" s="292">
        <v>42948</v>
      </c>
      <c r="G3115" s="15">
        <v>7496.6</v>
      </c>
      <c r="H3115" s="15">
        <f>Tabla1[[#This Row],[Importe]]-Tabla1[[#This Row],[Pagado]]</f>
        <v>0</v>
      </c>
      <c r="I3115" s="275" t="s">
        <v>15214</v>
      </c>
    </row>
    <row r="3116" spans="1:9" x14ac:dyDescent="0.25">
      <c r="A3116" s="16">
        <v>42941</v>
      </c>
      <c r="B3116" s="273" t="s">
        <v>23029</v>
      </c>
      <c r="C3116">
        <v>121270</v>
      </c>
      <c r="D3116" s="236" t="s">
        <v>15890</v>
      </c>
      <c r="E3116" s="15">
        <v>12287.2</v>
      </c>
      <c r="F3116" s="292">
        <v>42948</v>
      </c>
      <c r="G3116" s="15">
        <v>12287.2</v>
      </c>
      <c r="H3116" s="15">
        <f>Tabla1[[#This Row],[Importe]]-Tabla1[[#This Row],[Pagado]]</f>
        <v>0</v>
      </c>
      <c r="I3116" s="275" t="s">
        <v>15214</v>
      </c>
    </row>
    <row r="3117" spans="1:9" ht="30" x14ac:dyDescent="0.25">
      <c r="A3117" s="16">
        <v>42941</v>
      </c>
      <c r="B3117" s="273" t="s">
        <v>23030</v>
      </c>
      <c r="C3117">
        <v>121271</v>
      </c>
      <c r="D3117" s="236" t="s">
        <v>15246</v>
      </c>
      <c r="E3117" s="15">
        <v>268210.90000000002</v>
      </c>
      <c r="F3117" s="274" t="s">
        <v>22782</v>
      </c>
      <c r="G3117" s="15">
        <v>268210.90000000002</v>
      </c>
      <c r="H3117" s="15">
        <f>Tabla1[[#This Row],[Importe]]-Tabla1[[#This Row],[Pagado]]</f>
        <v>0</v>
      </c>
      <c r="I3117" s="275" t="s">
        <v>15214</v>
      </c>
    </row>
    <row r="3118" spans="1:9" x14ac:dyDescent="0.25">
      <c r="A3118" s="16">
        <v>42941</v>
      </c>
      <c r="B3118" s="273" t="s">
        <v>23031</v>
      </c>
      <c r="C3118">
        <v>121272</v>
      </c>
      <c r="D3118" s="236" t="s">
        <v>15284</v>
      </c>
      <c r="E3118" s="15">
        <v>852.5</v>
      </c>
      <c r="F3118" s="274">
        <v>42941</v>
      </c>
      <c r="G3118" s="15">
        <v>852.5</v>
      </c>
      <c r="H3118" s="15">
        <f>Tabla1[[#This Row],[Importe]]-Tabla1[[#This Row],[Pagado]]</f>
        <v>0</v>
      </c>
      <c r="I3118" s="275" t="s">
        <v>15214</v>
      </c>
    </row>
    <row r="3119" spans="1:9" x14ac:dyDescent="0.25">
      <c r="A3119" s="16">
        <v>42942</v>
      </c>
      <c r="B3119" s="273" t="s">
        <v>23032</v>
      </c>
      <c r="C3119">
        <v>121273</v>
      </c>
      <c r="D3119" s="236" t="s">
        <v>15213</v>
      </c>
      <c r="E3119" s="15">
        <v>35767.4</v>
      </c>
      <c r="F3119" s="274">
        <v>42943</v>
      </c>
      <c r="G3119" s="15">
        <v>35767.4</v>
      </c>
      <c r="H3119" s="15">
        <f>Tabla1[[#This Row],[Importe]]-Tabla1[[#This Row],[Pagado]]</f>
        <v>0</v>
      </c>
      <c r="I3119" s="275" t="s">
        <v>15214</v>
      </c>
    </row>
    <row r="3120" spans="1:9" x14ac:dyDescent="0.25">
      <c r="A3120" s="16">
        <v>42942</v>
      </c>
      <c r="B3120" s="273" t="s">
        <v>23033</v>
      </c>
      <c r="C3120">
        <v>121274</v>
      </c>
      <c r="D3120" s="236" t="s">
        <v>15330</v>
      </c>
      <c r="E3120" s="15">
        <v>5557.2</v>
      </c>
      <c r="F3120" s="274">
        <v>42942</v>
      </c>
      <c r="G3120" s="15">
        <v>5557.2</v>
      </c>
      <c r="H3120" s="15">
        <f>Tabla1[[#This Row],[Importe]]-Tabla1[[#This Row],[Pagado]]</f>
        <v>0</v>
      </c>
      <c r="I3120" s="275" t="s">
        <v>15214</v>
      </c>
    </row>
    <row r="3121" spans="1:9" x14ac:dyDescent="0.25">
      <c r="A3121" s="16">
        <v>42942</v>
      </c>
      <c r="B3121" s="273" t="s">
        <v>23034</v>
      </c>
      <c r="C3121">
        <v>121275</v>
      </c>
      <c r="D3121" s="236" t="s">
        <v>21386</v>
      </c>
      <c r="E3121" s="15">
        <v>6765.7</v>
      </c>
      <c r="F3121" s="274">
        <v>42944</v>
      </c>
      <c r="G3121" s="15">
        <v>6765.7</v>
      </c>
      <c r="H3121" s="15">
        <f>Tabla1[[#This Row],[Importe]]-Tabla1[[#This Row],[Pagado]]</f>
        <v>0</v>
      </c>
      <c r="I3121" s="275" t="s">
        <v>15214</v>
      </c>
    </row>
    <row r="3122" spans="1:9" x14ac:dyDescent="0.25">
      <c r="A3122" s="16">
        <v>42942</v>
      </c>
      <c r="B3122" s="273" t="s">
        <v>23035</v>
      </c>
      <c r="C3122">
        <v>121276</v>
      </c>
      <c r="D3122" s="236" t="s">
        <v>15407</v>
      </c>
      <c r="E3122" s="15">
        <v>2717</v>
      </c>
      <c r="F3122" s="274">
        <v>42942</v>
      </c>
      <c r="G3122" s="15">
        <v>2717</v>
      </c>
      <c r="H3122" s="15">
        <f>Tabla1[[#This Row],[Importe]]-Tabla1[[#This Row],[Pagado]]</f>
        <v>0</v>
      </c>
      <c r="I3122" s="275" t="s">
        <v>15214</v>
      </c>
    </row>
    <row r="3123" spans="1:9" x14ac:dyDescent="0.25">
      <c r="A3123" s="16">
        <v>42942</v>
      </c>
      <c r="B3123" s="273" t="s">
        <v>23036</v>
      </c>
      <c r="C3123">
        <v>121277</v>
      </c>
      <c r="D3123" s="236" t="s">
        <v>15220</v>
      </c>
      <c r="E3123" s="15">
        <v>2600</v>
      </c>
      <c r="F3123" s="274">
        <v>42943</v>
      </c>
      <c r="G3123" s="15">
        <v>2600</v>
      </c>
      <c r="H3123" s="15">
        <f>Tabla1[[#This Row],[Importe]]-Tabla1[[#This Row],[Pagado]]</f>
        <v>0</v>
      </c>
      <c r="I3123" s="275" t="s">
        <v>15214</v>
      </c>
    </row>
    <row r="3124" spans="1:9" x14ac:dyDescent="0.25">
      <c r="A3124" s="16">
        <v>42942</v>
      </c>
      <c r="B3124" s="273" t="s">
        <v>23037</v>
      </c>
      <c r="C3124">
        <v>121278</v>
      </c>
      <c r="D3124" s="236" t="s">
        <v>19302</v>
      </c>
      <c r="E3124" s="15">
        <v>780</v>
      </c>
      <c r="F3124" s="274">
        <v>42943</v>
      </c>
      <c r="G3124" s="15">
        <v>780</v>
      </c>
      <c r="H3124" s="15">
        <f>Tabla1[[#This Row],[Importe]]-Tabla1[[#This Row],[Pagado]]</f>
        <v>0</v>
      </c>
      <c r="I3124" s="275" t="s">
        <v>15214</v>
      </c>
    </row>
    <row r="3125" spans="1:9" x14ac:dyDescent="0.25">
      <c r="A3125" s="16">
        <v>42942</v>
      </c>
      <c r="B3125" s="273" t="s">
        <v>23038</v>
      </c>
      <c r="C3125">
        <v>121279</v>
      </c>
      <c r="D3125" s="236" t="s">
        <v>15230</v>
      </c>
      <c r="E3125" s="15">
        <v>10053.4</v>
      </c>
      <c r="F3125" s="274">
        <v>42945</v>
      </c>
      <c r="G3125" s="15">
        <v>10053.4</v>
      </c>
      <c r="H3125" s="15">
        <f>Tabla1[[#This Row],[Importe]]-Tabla1[[#This Row],[Pagado]]</f>
        <v>0</v>
      </c>
      <c r="I3125" s="275" t="s">
        <v>15214</v>
      </c>
    </row>
    <row r="3126" spans="1:9" x14ac:dyDescent="0.25">
      <c r="A3126" s="16">
        <v>42942</v>
      </c>
      <c r="B3126" s="273" t="s">
        <v>23039</v>
      </c>
      <c r="C3126">
        <v>121280</v>
      </c>
      <c r="D3126" s="236" t="s">
        <v>15232</v>
      </c>
      <c r="E3126" s="15">
        <v>6157.6</v>
      </c>
      <c r="F3126" s="274">
        <v>42950</v>
      </c>
      <c r="G3126" s="15">
        <v>6157.6</v>
      </c>
      <c r="H3126" s="15">
        <f>Tabla1[[#This Row],[Importe]]-Tabla1[[#This Row],[Pagado]]</f>
        <v>0</v>
      </c>
      <c r="I3126" s="275" t="s">
        <v>15214</v>
      </c>
    </row>
    <row r="3127" spans="1:9" x14ac:dyDescent="0.25">
      <c r="A3127" s="16">
        <v>42942</v>
      </c>
      <c r="B3127" s="273" t="s">
        <v>23040</v>
      </c>
      <c r="C3127">
        <v>121281</v>
      </c>
      <c r="D3127" s="236" t="s">
        <v>15348</v>
      </c>
      <c r="E3127" s="15">
        <v>485.4</v>
      </c>
      <c r="F3127" s="274">
        <v>42943</v>
      </c>
      <c r="G3127" s="15">
        <v>485.4</v>
      </c>
      <c r="H3127" s="15">
        <f>Tabla1[[#This Row],[Importe]]-Tabla1[[#This Row],[Pagado]]</f>
        <v>0</v>
      </c>
      <c r="I3127" s="275" t="s">
        <v>15214</v>
      </c>
    </row>
    <row r="3128" spans="1:9" x14ac:dyDescent="0.25">
      <c r="A3128" s="16">
        <v>42942</v>
      </c>
      <c r="B3128" s="273" t="s">
        <v>23041</v>
      </c>
      <c r="C3128">
        <v>121282</v>
      </c>
      <c r="D3128" s="236" t="s">
        <v>18544</v>
      </c>
      <c r="E3128" s="15">
        <v>7192.8</v>
      </c>
      <c r="F3128" s="274">
        <v>42942</v>
      </c>
      <c r="G3128" s="15">
        <v>7192.8</v>
      </c>
      <c r="H3128" s="15">
        <f>Tabla1[[#This Row],[Importe]]-Tabla1[[#This Row],[Pagado]]</f>
        <v>0</v>
      </c>
      <c r="I3128" s="275" t="s">
        <v>15214</v>
      </c>
    </row>
    <row r="3129" spans="1:9" x14ac:dyDescent="0.25">
      <c r="A3129" s="16">
        <v>42942</v>
      </c>
      <c r="B3129" s="273" t="s">
        <v>23042</v>
      </c>
      <c r="C3129">
        <v>121283</v>
      </c>
      <c r="D3129" s="236" t="s">
        <v>15681</v>
      </c>
      <c r="E3129" s="15">
        <v>2511.6</v>
      </c>
      <c r="F3129" s="274">
        <v>42942</v>
      </c>
      <c r="G3129" s="15">
        <v>2511.6</v>
      </c>
      <c r="H3129" s="15">
        <f>Tabla1[[#This Row],[Importe]]-Tabla1[[#This Row],[Pagado]]</f>
        <v>0</v>
      </c>
      <c r="I3129" s="275" t="s">
        <v>15214</v>
      </c>
    </row>
    <row r="3130" spans="1:9" x14ac:dyDescent="0.25">
      <c r="A3130" s="16">
        <v>42942</v>
      </c>
      <c r="B3130" s="273" t="s">
        <v>23043</v>
      </c>
      <c r="C3130">
        <v>121284</v>
      </c>
      <c r="D3130" s="236" t="s">
        <v>15332</v>
      </c>
      <c r="E3130" s="15">
        <v>2772</v>
      </c>
      <c r="F3130" s="274">
        <v>42942</v>
      </c>
      <c r="G3130" s="15">
        <v>2772</v>
      </c>
      <c r="H3130" s="15">
        <f>Tabla1[[#This Row],[Importe]]-Tabla1[[#This Row],[Pagado]]</f>
        <v>0</v>
      </c>
      <c r="I3130" s="275" t="s">
        <v>15214</v>
      </c>
    </row>
    <row r="3131" spans="1:9" ht="15.75" x14ac:dyDescent="0.25">
      <c r="A3131" s="16">
        <v>42942</v>
      </c>
      <c r="B3131" s="273" t="s">
        <v>23044</v>
      </c>
      <c r="C3131">
        <v>121285</v>
      </c>
      <c r="D3131" s="248" t="s">
        <v>95</v>
      </c>
      <c r="E3131" s="15">
        <v>0</v>
      </c>
      <c r="F3131" s="277" t="s">
        <v>95</v>
      </c>
      <c r="G3131" s="15">
        <v>0</v>
      </c>
      <c r="H3131" s="15">
        <f>Tabla1[[#This Row],[Importe]]-Tabla1[[#This Row],[Pagado]]</f>
        <v>0</v>
      </c>
      <c r="I3131" s="275" t="s">
        <v>95</v>
      </c>
    </row>
    <row r="3132" spans="1:9" ht="15.75" x14ac:dyDescent="0.25">
      <c r="A3132" s="16">
        <v>42942</v>
      </c>
      <c r="B3132" s="273" t="s">
        <v>23045</v>
      </c>
      <c r="C3132">
        <v>121286</v>
      </c>
      <c r="D3132" s="248" t="s">
        <v>95</v>
      </c>
      <c r="E3132" s="15">
        <v>0</v>
      </c>
      <c r="F3132" s="277" t="s">
        <v>95</v>
      </c>
      <c r="G3132" s="15">
        <v>0</v>
      </c>
      <c r="H3132" s="15">
        <f>Tabla1[[#This Row],[Importe]]-Tabla1[[#This Row],[Pagado]]</f>
        <v>0</v>
      </c>
      <c r="I3132" s="275" t="s">
        <v>95</v>
      </c>
    </row>
    <row r="3133" spans="1:9" x14ac:dyDescent="0.25">
      <c r="A3133" s="16">
        <v>42942</v>
      </c>
      <c r="B3133" s="273" t="s">
        <v>23046</v>
      </c>
      <c r="C3133">
        <v>121287</v>
      </c>
      <c r="D3133" s="236" t="s">
        <v>15234</v>
      </c>
      <c r="E3133" s="15">
        <v>3402</v>
      </c>
      <c r="F3133" s="274">
        <v>42944</v>
      </c>
      <c r="G3133" s="15">
        <v>3402</v>
      </c>
      <c r="H3133" s="15">
        <f>Tabla1[[#This Row],[Importe]]-Tabla1[[#This Row],[Pagado]]</f>
        <v>0</v>
      </c>
      <c r="I3133" s="275" t="s">
        <v>15214</v>
      </c>
    </row>
    <row r="3134" spans="1:9" ht="30" x14ac:dyDescent="0.25">
      <c r="A3134" s="16">
        <v>42942</v>
      </c>
      <c r="B3134" s="273" t="s">
        <v>23047</v>
      </c>
      <c r="C3134">
        <v>121288</v>
      </c>
      <c r="D3134" s="236" t="s">
        <v>15236</v>
      </c>
      <c r="E3134" s="15">
        <v>3864</v>
      </c>
      <c r="F3134" s="274" t="s">
        <v>23048</v>
      </c>
      <c r="G3134" s="241">
        <f>2500+1364</f>
        <v>3864</v>
      </c>
      <c r="H3134" s="241">
        <f>Tabla1[[#This Row],[Importe]]-Tabla1[[#This Row],[Pagado]]</f>
        <v>0</v>
      </c>
      <c r="I3134" s="275" t="s">
        <v>15214</v>
      </c>
    </row>
    <row r="3135" spans="1:9" x14ac:dyDescent="0.25">
      <c r="A3135" s="16">
        <v>42942</v>
      </c>
      <c r="B3135" s="273" t="s">
        <v>23049</v>
      </c>
      <c r="C3135">
        <v>121289</v>
      </c>
      <c r="D3135" s="236" t="s">
        <v>15272</v>
      </c>
      <c r="E3135" s="15">
        <v>17740</v>
      </c>
      <c r="F3135" s="274">
        <v>42942</v>
      </c>
      <c r="G3135" s="15">
        <v>17740</v>
      </c>
      <c r="H3135" s="15">
        <f>Tabla1[[#This Row],[Importe]]-Tabla1[[#This Row],[Pagado]]</f>
        <v>0</v>
      </c>
      <c r="I3135" s="275" t="s">
        <v>15214</v>
      </c>
    </row>
    <row r="3136" spans="1:9" x14ac:dyDescent="0.25">
      <c r="A3136" s="16">
        <v>42942</v>
      </c>
      <c r="B3136" s="273" t="s">
        <v>23050</v>
      </c>
      <c r="C3136">
        <v>121290</v>
      </c>
      <c r="D3136" s="236" t="s">
        <v>15371</v>
      </c>
      <c r="E3136" s="15">
        <v>5575.6</v>
      </c>
      <c r="F3136" s="274">
        <v>42942</v>
      </c>
      <c r="G3136" s="15">
        <v>5575.6</v>
      </c>
      <c r="H3136" s="15">
        <f>Tabla1[[#This Row],[Importe]]-Tabla1[[#This Row],[Pagado]]</f>
        <v>0</v>
      </c>
      <c r="I3136" s="275" t="s">
        <v>15214</v>
      </c>
    </row>
    <row r="3137" spans="1:9" x14ac:dyDescent="0.25">
      <c r="A3137" s="16">
        <v>42942</v>
      </c>
      <c r="B3137" s="273" t="s">
        <v>23051</v>
      </c>
      <c r="C3137">
        <v>121291</v>
      </c>
      <c r="D3137" s="236" t="s">
        <v>15238</v>
      </c>
      <c r="E3137" s="15">
        <v>2024</v>
      </c>
      <c r="F3137" s="274">
        <v>42944</v>
      </c>
      <c r="G3137" s="15">
        <v>2024</v>
      </c>
      <c r="H3137" s="15">
        <f>Tabla1[[#This Row],[Importe]]-Tabla1[[#This Row],[Pagado]]</f>
        <v>0</v>
      </c>
      <c r="I3137" s="275" t="s">
        <v>15214</v>
      </c>
    </row>
    <row r="3138" spans="1:9" ht="15.75" x14ac:dyDescent="0.25">
      <c r="A3138" s="16">
        <v>42942</v>
      </c>
      <c r="B3138" s="273" t="s">
        <v>23052</v>
      </c>
      <c r="C3138">
        <v>121292</v>
      </c>
      <c r="D3138" s="248" t="s">
        <v>95</v>
      </c>
      <c r="E3138" s="15">
        <v>0</v>
      </c>
      <c r="F3138" s="277" t="s">
        <v>95</v>
      </c>
      <c r="G3138" s="15">
        <v>0</v>
      </c>
      <c r="H3138" s="15">
        <f>Tabla1[[#This Row],[Importe]]-Tabla1[[#This Row],[Pagado]]</f>
        <v>0</v>
      </c>
      <c r="I3138" s="275" t="s">
        <v>95</v>
      </c>
    </row>
    <row r="3139" spans="1:9" ht="30" x14ac:dyDescent="0.25">
      <c r="A3139" s="16">
        <v>42942</v>
      </c>
      <c r="B3139" s="273" t="s">
        <v>23053</v>
      </c>
      <c r="C3139">
        <v>121293</v>
      </c>
      <c r="D3139" s="236" t="s">
        <v>15223</v>
      </c>
      <c r="E3139" s="15">
        <v>60622.8</v>
      </c>
      <c r="F3139" s="274" t="s">
        <v>23776</v>
      </c>
      <c r="G3139" s="241">
        <f>46821.48+13801.32</f>
        <v>60622.8</v>
      </c>
      <c r="H3139" s="241">
        <f>Tabla1[[#This Row],[Importe]]-Tabla1[[#This Row],[Pagado]]</f>
        <v>0</v>
      </c>
      <c r="I3139" s="275" t="s">
        <v>15214</v>
      </c>
    </row>
    <row r="3140" spans="1:9" x14ac:dyDescent="0.25">
      <c r="A3140" s="16">
        <v>42942</v>
      </c>
      <c r="B3140" s="273" t="s">
        <v>23054</v>
      </c>
      <c r="C3140">
        <v>121294</v>
      </c>
      <c r="D3140" s="236" t="s">
        <v>15636</v>
      </c>
      <c r="E3140" s="15">
        <v>13195</v>
      </c>
      <c r="F3140" s="274">
        <v>42942</v>
      </c>
      <c r="G3140" s="15">
        <v>13195</v>
      </c>
      <c r="H3140" s="15">
        <f>Tabla1[[#This Row],[Importe]]-Tabla1[[#This Row],[Pagado]]</f>
        <v>0</v>
      </c>
      <c r="I3140" s="275" t="s">
        <v>15214</v>
      </c>
    </row>
    <row r="3141" spans="1:9" x14ac:dyDescent="0.25">
      <c r="A3141" s="16">
        <v>42942</v>
      </c>
      <c r="B3141" s="273" t="s">
        <v>23055</v>
      </c>
      <c r="C3141">
        <v>121295</v>
      </c>
      <c r="D3141" s="236" t="s">
        <v>15256</v>
      </c>
      <c r="E3141" s="15">
        <v>5633</v>
      </c>
      <c r="F3141" s="274">
        <v>42945</v>
      </c>
      <c r="G3141" s="15">
        <v>5633</v>
      </c>
      <c r="H3141" s="15">
        <f>Tabla1[[#This Row],[Importe]]-Tabla1[[#This Row],[Pagado]]</f>
        <v>0</v>
      </c>
      <c r="I3141" s="275" t="s">
        <v>15214</v>
      </c>
    </row>
    <row r="3142" spans="1:9" x14ac:dyDescent="0.25">
      <c r="A3142" s="16">
        <v>42942</v>
      </c>
      <c r="B3142" s="273" t="s">
        <v>23056</v>
      </c>
      <c r="C3142">
        <v>121296</v>
      </c>
      <c r="D3142" s="236" t="s">
        <v>15263</v>
      </c>
      <c r="E3142" s="15">
        <v>2291.6999999999998</v>
      </c>
      <c r="F3142" s="274">
        <v>42942</v>
      </c>
      <c r="G3142" s="15">
        <v>2291.6999999999998</v>
      </c>
      <c r="H3142" s="15">
        <f>Tabla1[[#This Row],[Importe]]-Tabla1[[#This Row],[Pagado]]</f>
        <v>0</v>
      </c>
      <c r="I3142" s="275" t="s">
        <v>15214</v>
      </c>
    </row>
    <row r="3143" spans="1:9" x14ac:dyDescent="0.25">
      <c r="A3143" s="16">
        <v>42942</v>
      </c>
      <c r="B3143" s="273" t="s">
        <v>23057</v>
      </c>
      <c r="C3143">
        <v>121297</v>
      </c>
      <c r="D3143" s="236" t="s">
        <v>15668</v>
      </c>
      <c r="E3143" s="15">
        <v>6627.6</v>
      </c>
      <c r="F3143" s="274">
        <v>42945</v>
      </c>
      <c r="G3143" s="15">
        <v>6627.6</v>
      </c>
      <c r="H3143" s="15">
        <f>Tabla1[[#This Row],[Importe]]-Tabla1[[#This Row],[Pagado]]</f>
        <v>0</v>
      </c>
      <c r="I3143" s="275" t="s">
        <v>15214</v>
      </c>
    </row>
    <row r="3144" spans="1:9" x14ac:dyDescent="0.25">
      <c r="A3144" s="16">
        <v>42942</v>
      </c>
      <c r="B3144" s="273" t="s">
        <v>23058</v>
      </c>
      <c r="C3144">
        <v>121298</v>
      </c>
      <c r="D3144" s="236" t="s">
        <v>15244</v>
      </c>
      <c r="E3144" s="15">
        <v>16107.5</v>
      </c>
      <c r="F3144" s="274">
        <v>42947</v>
      </c>
      <c r="G3144" s="15">
        <v>16107.5</v>
      </c>
      <c r="H3144" s="15">
        <f>Tabla1[[#This Row],[Importe]]-Tabla1[[#This Row],[Pagado]]</f>
        <v>0</v>
      </c>
      <c r="I3144" s="275" t="s">
        <v>15214</v>
      </c>
    </row>
    <row r="3145" spans="1:9" x14ac:dyDescent="0.25">
      <c r="A3145" s="16">
        <v>42942</v>
      </c>
      <c r="B3145" s="273" t="s">
        <v>23059</v>
      </c>
      <c r="C3145">
        <v>121299</v>
      </c>
      <c r="D3145" s="236" t="s">
        <v>15242</v>
      </c>
      <c r="E3145" s="15">
        <v>5399.8</v>
      </c>
      <c r="F3145" s="274">
        <v>42942</v>
      </c>
      <c r="G3145" s="15">
        <v>5399.8</v>
      </c>
      <c r="H3145" s="15">
        <f>Tabla1[[#This Row],[Importe]]-Tabla1[[#This Row],[Pagado]]</f>
        <v>0</v>
      </c>
      <c r="I3145" s="275" t="s">
        <v>15214</v>
      </c>
    </row>
    <row r="3146" spans="1:9" x14ac:dyDescent="0.25">
      <c r="A3146" s="16">
        <v>42942</v>
      </c>
      <c r="B3146" s="273" t="s">
        <v>23060</v>
      </c>
      <c r="C3146">
        <v>121300</v>
      </c>
      <c r="D3146" s="236" t="s">
        <v>15252</v>
      </c>
      <c r="E3146" s="15">
        <v>4470.8</v>
      </c>
      <c r="F3146" s="274">
        <v>42947</v>
      </c>
      <c r="G3146" s="15">
        <v>4470.8</v>
      </c>
      <c r="H3146" s="15">
        <f>Tabla1[[#This Row],[Importe]]-Tabla1[[#This Row],[Pagado]]</f>
        <v>0</v>
      </c>
      <c r="I3146" s="275" t="s">
        <v>15214</v>
      </c>
    </row>
    <row r="3147" spans="1:9" ht="30" x14ac:dyDescent="0.25">
      <c r="A3147" s="16">
        <v>42942</v>
      </c>
      <c r="B3147" s="273" t="s">
        <v>23061</v>
      </c>
      <c r="C3147">
        <v>121301</v>
      </c>
      <c r="D3147" s="236" t="s">
        <v>15250</v>
      </c>
      <c r="E3147" s="15">
        <v>50640.5</v>
      </c>
      <c r="F3147" s="274" t="s">
        <v>23773</v>
      </c>
      <c r="G3147" s="241">
        <f>23211.74+27428.76</f>
        <v>50640.5</v>
      </c>
      <c r="H3147" s="241">
        <f>Tabla1[[#This Row],[Importe]]-Tabla1[[#This Row],[Pagado]]</f>
        <v>0</v>
      </c>
      <c r="I3147" s="275" t="s">
        <v>15214</v>
      </c>
    </row>
    <row r="3148" spans="1:9" x14ac:dyDescent="0.25">
      <c r="A3148" s="16">
        <v>42942</v>
      </c>
      <c r="B3148" s="273" t="s">
        <v>23062</v>
      </c>
      <c r="C3148">
        <v>121302</v>
      </c>
      <c r="D3148" s="236" t="s">
        <v>15258</v>
      </c>
      <c r="E3148" s="15">
        <v>10546.6</v>
      </c>
      <c r="F3148" s="274">
        <v>42945</v>
      </c>
      <c r="G3148" s="15">
        <v>10546.6</v>
      </c>
      <c r="H3148" s="15">
        <f>Tabla1[[#This Row],[Importe]]-Tabla1[[#This Row],[Pagado]]</f>
        <v>0</v>
      </c>
      <c r="I3148" s="275" t="s">
        <v>15214</v>
      </c>
    </row>
    <row r="3149" spans="1:9" ht="30" x14ac:dyDescent="0.25">
      <c r="A3149" s="16">
        <v>42942</v>
      </c>
      <c r="B3149" s="273" t="s">
        <v>23063</v>
      </c>
      <c r="C3149">
        <v>121303</v>
      </c>
      <c r="D3149" s="236" t="s">
        <v>15480</v>
      </c>
      <c r="E3149" s="15">
        <v>5224.6000000000004</v>
      </c>
      <c r="F3149" s="274" t="s">
        <v>23064</v>
      </c>
      <c r="G3149" s="241">
        <f>2500+2724.6</f>
        <v>5224.6000000000004</v>
      </c>
      <c r="H3149" s="241">
        <f>Tabla1[[#This Row],[Importe]]-Tabla1[[#This Row],[Pagado]]</f>
        <v>0</v>
      </c>
      <c r="I3149" s="275" t="s">
        <v>15214</v>
      </c>
    </row>
    <row r="3150" spans="1:9" x14ac:dyDescent="0.25">
      <c r="A3150" s="16">
        <v>42942</v>
      </c>
      <c r="B3150" s="273" t="s">
        <v>23065</v>
      </c>
      <c r="C3150">
        <v>121304</v>
      </c>
      <c r="D3150" s="236" t="s">
        <v>15378</v>
      </c>
      <c r="E3150" s="15">
        <v>4080.3</v>
      </c>
      <c r="F3150" s="274">
        <v>42942</v>
      </c>
      <c r="G3150" s="15">
        <v>4080.3</v>
      </c>
      <c r="H3150" s="15">
        <f>Tabla1[[#This Row],[Importe]]-Tabla1[[#This Row],[Pagado]]</f>
        <v>0</v>
      </c>
      <c r="I3150" s="275" t="s">
        <v>15214</v>
      </c>
    </row>
    <row r="3151" spans="1:9" x14ac:dyDescent="0.25">
      <c r="A3151" s="16">
        <v>42942</v>
      </c>
      <c r="B3151" s="273" t="s">
        <v>23066</v>
      </c>
      <c r="C3151">
        <v>121305</v>
      </c>
      <c r="D3151" s="236" t="s">
        <v>15315</v>
      </c>
      <c r="E3151" s="15">
        <v>5574.6</v>
      </c>
      <c r="F3151" s="274">
        <v>42942</v>
      </c>
      <c r="G3151" s="15">
        <v>5574.6</v>
      </c>
      <c r="H3151" s="15">
        <f>Tabla1[[#This Row],[Importe]]-Tabla1[[#This Row],[Pagado]]</f>
        <v>0</v>
      </c>
      <c r="I3151" s="275" t="s">
        <v>15214</v>
      </c>
    </row>
    <row r="3152" spans="1:9" x14ac:dyDescent="0.25">
      <c r="A3152" s="16">
        <v>42942</v>
      </c>
      <c r="B3152" s="273" t="s">
        <v>23067</v>
      </c>
      <c r="C3152">
        <v>121306</v>
      </c>
      <c r="D3152" s="236" t="s">
        <v>15510</v>
      </c>
      <c r="E3152" s="15">
        <v>33864.6</v>
      </c>
      <c r="F3152" s="274">
        <v>42942</v>
      </c>
      <c r="G3152" s="15">
        <f>27864.6+6000</f>
        <v>33864.6</v>
      </c>
      <c r="H3152" s="15">
        <f>Tabla1[[#This Row],[Importe]]-Tabla1[[#This Row],[Pagado]]</f>
        <v>0</v>
      </c>
      <c r="I3152" s="275" t="s">
        <v>15214</v>
      </c>
    </row>
    <row r="3153" spans="1:9" x14ac:dyDescent="0.25">
      <c r="A3153" s="16">
        <v>42942</v>
      </c>
      <c r="B3153" s="273" t="s">
        <v>23068</v>
      </c>
      <c r="C3153">
        <v>121307</v>
      </c>
      <c r="D3153" s="236" t="s">
        <v>15226</v>
      </c>
      <c r="E3153" s="15">
        <v>2563.6</v>
      </c>
      <c r="F3153" s="274">
        <v>42947</v>
      </c>
      <c r="G3153" s="15">
        <v>2563.6</v>
      </c>
      <c r="H3153" s="15">
        <f>Tabla1[[#This Row],[Importe]]-Tabla1[[#This Row],[Pagado]]</f>
        <v>0</v>
      </c>
      <c r="I3153" s="275" t="s">
        <v>15214</v>
      </c>
    </row>
    <row r="3154" spans="1:9" x14ac:dyDescent="0.25">
      <c r="A3154" s="16">
        <v>42942</v>
      </c>
      <c r="B3154" s="273" t="s">
        <v>23069</v>
      </c>
      <c r="C3154">
        <v>121308</v>
      </c>
      <c r="D3154" s="236" t="s">
        <v>19549</v>
      </c>
      <c r="E3154" s="15">
        <v>10244</v>
      </c>
      <c r="F3154" s="274">
        <v>42943</v>
      </c>
      <c r="G3154" s="15">
        <v>10244</v>
      </c>
      <c r="H3154" s="15">
        <f>Tabla1[[#This Row],[Importe]]-Tabla1[[#This Row],[Pagado]]</f>
        <v>0</v>
      </c>
      <c r="I3154" s="275" t="s">
        <v>15214</v>
      </c>
    </row>
    <row r="3155" spans="1:9" x14ac:dyDescent="0.25">
      <c r="A3155" s="16">
        <v>42942</v>
      </c>
      <c r="B3155" s="273" t="s">
        <v>23070</v>
      </c>
      <c r="C3155">
        <v>121309</v>
      </c>
      <c r="D3155" s="236" t="s">
        <v>15380</v>
      </c>
      <c r="E3155" s="15">
        <v>17589.8</v>
      </c>
      <c r="F3155" s="279">
        <v>42965</v>
      </c>
      <c r="G3155" s="15">
        <v>17589.8</v>
      </c>
      <c r="H3155" s="15">
        <f>Tabla1[[#This Row],[Importe]]-Tabla1[[#This Row],[Pagado]]</f>
        <v>0</v>
      </c>
      <c r="I3155" s="275" t="s">
        <v>15214</v>
      </c>
    </row>
    <row r="3156" spans="1:9" x14ac:dyDescent="0.25">
      <c r="A3156" s="16">
        <v>42942</v>
      </c>
      <c r="B3156" s="273" t="s">
        <v>23071</v>
      </c>
      <c r="C3156">
        <v>121310</v>
      </c>
      <c r="D3156" s="236" t="s">
        <v>15577</v>
      </c>
      <c r="E3156" s="15">
        <v>765.6</v>
      </c>
      <c r="F3156" s="274">
        <v>42942</v>
      </c>
      <c r="G3156" s="15">
        <v>765.6</v>
      </c>
      <c r="H3156" s="15">
        <f>Tabla1[[#This Row],[Importe]]-Tabla1[[#This Row],[Pagado]]</f>
        <v>0</v>
      </c>
      <c r="I3156" s="275" t="s">
        <v>15214</v>
      </c>
    </row>
    <row r="3157" spans="1:9" x14ac:dyDescent="0.25">
      <c r="A3157" s="16">
        <v>42942</v>
      </c>
      <c r="B3157" s="273" t="s">
        <v>23072</v>
      </c>
      <c r="C3157">
        <v>121311</v>
      </c>
      <c r="D3157" s="236" t="s">
        <v>15324</v>
      </c>
      <c r="E3157" s="15">
        <v>2925</v>
      </c>
      <c r="F3157" s="274">
        <v>42942</v>
      </c>
      <c r="G3157" s="15">
        <v>2925</v>
      </c>
      <c r="H3157" s="15">
        <f>Tabla1[[#This Row],[Importe]]-Tabla1[[#This Row],[Pagado]]</f>
        <v>0</v>
      </c>
      <c r="I3157" s="275" t="s">
        <v>15214</v>
      </c>
    </row>
    <row r="3158" spans="1:9" x14ac:dyDescent="0.25">
      <c r="A3158" s="16">
        <v>42942</v>
      </c>
      <c r="B3158" s="273" t="s">
        <v>23073</v>
      </c>
      <c r="C3158">
        <v>121312</v>
      </c>
      <c r="D3158" s="236" t="s">
        <v>15373</v>
      </c>
      <c r="E3158" s="15">
        <v>12653.2</v>
      </c>
      <c r="F3158" s="274">
        <v>42945</v>
      </c>
      <c r="G3158" s="15">
        <v>12653.2</v>
      </c>
      <c r="H3158" s="15">
        <f>Tabla1[[#This Row],[Importe]]-Tabla1[[#This Row],[Pagado]]</f>
        <v>0</v>
      </c>
      <c r="I3158" s="275" t="s">
        <v>15214</v>
      </c>
    </row>
    <row r="3159" spans="1:9" x14ac:dyDescent="0.25">
      <c r="A3159" s="16">
        <v>42942</v>
      </c>
      <c r="B3159" s="273" t="s">
        <v>23074</v>
      </c>
      <c r="C3159">
        <v>121313</v>
      </c>
      <c r="D3159" s="236" t="s">
        <v>15369</v>
      </c>
      <c r="E3159" s="15">
        <v>28606.799999999999</v>
      </c>
      <c r="F3159" s="274">
        <v>42960</v>
      </c>
      <c r="G3159" s="15">
        <v>28606.799999999999</v>
      </c>
      <c r="H3159" s="15">
        <f>Tabla1[[#This Row],[Importe]]-Tabla1[[#This Row],[Pagado]]</f>
        <v>0</v>
      </c>
      <c r="I3159" s="275" t="s">
        <v>15214</v>
      </c>
    </row>
    <row r="3160" spans="1:9" x14ac:dyDescent="0.25">
      <c r="A3160" s="16">
        <v>42942</v>
      </c>
      <c r="B3160" s="273" t="s">
        <v>23075</v>
      </c>
      <c r="C3160">
        <v>121314</v>
      </c>
      <c r="D3160" s="236" t="s">
        <v>15389</v>
      </c>
      <c r="E3160" s="15">
        <v>18151.900000000001</v>
      </c>
      <c r="F3160" s="274">
        <v>42955</v>
      </c>
      <c r="G3160" s="15">
        <v>18151.900000000001</v>
      </c>
      <c r="H3160" s="15">
        <f>Tabla1[[#This Row],[Importe]]-Tabla1[[#This Row],[Pagado]]</f>
        <v>0</v>
      </c>
      <c r="I3160" s="275" t="s">
        <v>15214</v>
      </c>
    </row>
    <row r="3161" spans="1:9" x14ac:dyDescent="0.25">
      <c r="A3161" s="16">
        <v>42942</v>
      </c>
      <c r="B3161" s="273" t="s">
        <v>23076</v>
      </c>
      <c r="C3161">
        <v>121315</v>
      </c>
      <c r="D3161" s="236" t="s">
        <v>15278</v>
      </c>
      <c r="E3161" s="15">
        <v>6811.2</v>
      </c>
      <c r="F3161" s="274">
        <v>42942</v>
      </c>
      <c r="G3161" s="15">
        <v>6811.2</v>
      </c>
      <c r="H3161" s="15">
        <f>Tabla1[[#This Row],[Importe]]-Tabla1[[#This Row],[Pagado]]</f>
        <v>0</v>
      </c>
      <c r="I3161" s="275" t="s">
        <v>15214</v>
      </c>
    </row>
    <row r="3162" spans="1:9" x14ac:dyDescent="0.25">
      <c r="A3162" s="16">
        <v>42942</v>
      </c>
      <c r="B3162" s="273" t="s">
        <v>23077</v>
      </c>
      <c r="C3162">
        <v>121316</v>
      </c>
      <c r="D3162" s="236" t="s">
        <v>15280</v>
      </c>
      <c r="E3162" s="15">
        <v>6491.7</v>
      </c>
      <c r="F3162" s="274">
        <v>42942</v>
      </c>
      <c r="G3162" s="15">
        <v>6491.7</v>
      </c>
      <c r="H3162" s="15">
        <f>Tabla1[[#This Row],[Importe]]-Tabla1[[#This Row],[Pagado]]</f>
        <v>0</v>
      </c>
      <c r="I3162" s="275" t="s">
        <v>15214</v>
      </c>
    </row>
    <row r="3163" spans="1:9" x14ac:dyDescent="0.25">
      <c r="A3163" s="16">
        <v>42942</v>
      </c>
      <c r="B3163" s="273" t="s">
        <v>23078</v>
      </c>
      <c r="C3163">
        <v>121317</v>
      </c>
      <c r="D3163" s="236" t="s">
        <v>15562</v>
      </c>
      <c r="E3163" s="15">
        <v>3429</v>
      </c>
      <c r="F3163" s="274">
        <v>42942</v>
      </c>
      <c r="G3163" s="15">
        <v>3429</v>
      </c>
      <c r="H3163" s="15">
        <f>Tabla1[[#This Row],[Importe]]-Tabla1[[#This Row],[Pagado]]</f>
        <v>0</v>
      </c>
      <c r="I3163" s="275" t="s">
        <v>15214</v>
      </c>
    </row>
    <row r="3164" spans="1:9" x14ac:dyDescent="0.25">
      <c r="A3164" s="16">
        <v>42942</v>
      </c>
      <c r="B3164" s="273" t="s">
        <v>23079</v>
      </c>
      <c r="C3164">
        <v>121318</v>
      </c>
      <c r="D3164" s="236" t="s">
        <v>15689</v>
      </c>
      <c r="E3164" s="15">
        <v>3385.2</v>
      </c>
      <c r="F3164" s="274">
        <v>42942</v>
      </c>
      <c r="G3164" s="15">
        <v>3385.2</v>
      </c>
      <c r="H3164" s="15">
        <f>Tabla1[[#This Row],[Importe]]-Tabla1[[#This Row],[Pagado]]</f>
        <v>0</v>
      </c>
      <c r="I3164" s="275" t="s">
        <v>15214</v>
      </c>
    </row>
    <row r="3165" spans="1:9" x14ac:dyDescent="0.25">
      <c r="A3165" s="16">
        <v>42942</v>
      </c>
      <c r="B3165" s="273" t="s">
        <v>23080</v>
      </c>
      <c r="C3165">
        <v>121319</v>
      </c>
      <c r="D3165" s="236" t="s">
        <v>15322</v>
      </c>
      <c r="E3165" s="15">
        <v>718.6</v>
      </c>
      <c r="F3165" s="274">
        <v>42942</v>
      </c>
      <c r="G3165" s="15">
        <v>718.6</v>
      </c>
      <c r="H3165" s="15">
        <f>Tabla1[[#This Row],[Importe]]-Tabla1[[#This Row],[Pagado]]</f>
        <v>0</v>
      </c>
      <c r="I3165" s="275" t="s">
        <v>15214</v>
      </c>
    </row>
    <row r="3166" spans="1:9" x14ac:dyDescent="0.25">
      <c r="A3166" s="16">
        <v>42942</v>
      </c>
      <c r="B3166" s="273" t="s">
        <v>23081</v>
      </c>
      <c r="C3166">
        <v>121320</v>
      </c>
      <c r="D3166" s="236" t="s">
        <v>15246</v>
      </c>
      <c r="E3166" s="15">
        <v>733.9</v>
      </c>
      <c r="F3166" s="274">
        <v>42950</v>
      </c>
      <c r="G3166" s="15">
        <v>733.9</v>
      </c>
      <c r="H3166" s="15">
        <f>Tabla1[[#This Row],[Importe]]-Tabla1[[#This Row],[Pagado]]</f>
        <v>0</v>
      </c>
      <c r="I3166" s="275" t="s">
        <v>15214</v>
      </c>
    </row>
    <row r="3167" spans="1:9" x14ac:dyDescent="0.25">
      <c r="A3167" s="16">
        <v>42942</v>
      </c>
      <c r="B3167" s="273" t="s">
        <v>23082</v>
      </c>
      <c r="C3167">
        <v>121321</v>
      </c>
      <c r="D3167" s="236" t="s">
        <v>15382</v>
      </c>
      <c r="E3167" s="15">
        <v>13111.3</v>
      </c>
      <c r="F3167" s="274">
        <v>42955</v>
      </c>
      <c r="G3167" s="15">
        <v>13111.3</v>
      </c>
      <c r="H3167" s="15">
        <f>Tabla1[[#This Row],[Importe]]-Tabla1[[#This Row],[Pagado]]</f>
        <v>0</v>
      </c>
      <c r="I3167" s="275" t="s">
        <v>15214</v>
      </c>
    </row>
    <row r="3168" spans="1:9" x14ac:dyDescent="0.25">
      <c r="A3168" s="16">
        <v>42942</v>
      </c>
      <c r="B3168" s="273" t="s">
        <v>23083</v>
      </c>
      <c r="C3168">
        <v>121322</v>
      </c>
      <c r="D3168" s="236" t="s">
        <v>15338</v>
      </c>
      <c r="E3168" s="15">
        <v>8155.6</v>
      </c>
      <c r="F3168" s="274">
        <v>42947</v>
      </c>
      <c r="G3168" s="15">
        <v>8155.6</v>
      </c>
      <c r="H3168" s="15">
        <f>Tabla1[[#This Row],[Importe]]-Tabla1[[#This Row],[Pagado]]</f>
        <v>0</v>
      </c>
      <c r="I3168" s="275" t="s">
        <v>15214</v>
      </c>
    </row>
    <row r="3169" spans="1:9" x14ac:dyDescent="0.25">
      <c r="A3169" s="16">
        <v>42942</v>
      </c>
      <c r="B3169" s="273" t="s">
        <v>23084</v>
      </c>
      <c r="C3169">
        <v>121323</v>
      </c>
      <c r="D3169" s="236" t="s">
        <v>15265</v>
      </c>
      <c r="E3169" s="15">
        <v>2374.4</v>
      </c>
      <c r="F3169" s="292">
        <v>42949</v>
      </c>
      <c r="G3169" s="15">
        <v>2374.4</v>
      </c>
      <c r="H3169" s="15">
        <f>Tabla1[[#This Row],[Importe]]-Tabla1[[#This Row],[Pagado]]</f>
        <v>0</v>
      </c>
      <c r="I3169" s="275" t="s">
        <v>15214</v>
      </c>
    </row>
    <row r="3170" spans="1:9" ht="45" x14ac:dyDescent="0.25">
      <c r="A3170" s="16">
        <v>42942</v>
      </c>
      <c r="B3170" s="273" t="s">
        <v>23085</v>
      </c>
      <c r="C3170">
        <v>121324</v>
      </c>
      <c r="D3170" s="236" t="s">
        <v>15228</v>
      </c>
      <c r="E3170" s="15">
        <v>36706.800000000003</v>
      </c>
      <c r="F3170" s="274" t="s">
        <v>23086</v>
      </c>
      <c r="G3170" s="241">
        <f>4500+9000+11000+12206.8</f>
        <v>36706.800000000003</v>
      </c>
      <c r="H3170" s="241">
        <f>Tabla1[[#This Row],[Importe]]-Tabla1[[#This Row],[Pagado]]</f>
        <v>0</v>
      </c>
      <c r="I3170" s="275" t="s">
        <v>15214</v>
      </c>
    </row>
    <row r="3171" spans="1:9" x14ac:dyDescent="0.25">
      <c r="A3171" s="16">
        <v>42942</v>
      </c>
      <c r="B3171" s="273" t="s">
        <v>23087</v>
      </c>
      <c r="C3171">
        <v>121325</v>
      </c>
      <c r="D3171" s="236" t="s">
        <v>15307</v>
      </c>
      <c r="E3171" s="15">
        <v>5190.8999999999996</v>
      </c>
      <c r="F3171" s="274">
        <v>42943</v>
      </c>
      <c r="G3171" s="15">
        <v>5190.8999999999996</v>
      </c>
      <c r="H3171" s="15">
        <f>Tabla1[[#This Row],[Importe]]-Tabla1[[#This Row],[Pagado]]</f>
        <v>0</v>
      </c>
      <c r="I3171" s="275" t="s">
        <v>15214</v>
      </c>
    </row>
    <row r="3172" spans="1:9" x14ac:dyDescent="0.25">
      <c r="A3172" s="16">
        <v>42942</v>
      </c>
      <c r="B3172" s="273" t="s">
        <v>23088</v>
      </c>
      <c r="C3172">
        <v>121326</v>
      </c>
      <c r="D3172" s="236" t="s">
        <v>15291</v>
      </c>
      <c r="E3172" s="15">
        <v>836.4</v>
      </c>
      <c r="F3172" s="274">
        <v>42943</v>
      </c>
      <c r="G3172" s="15">
        <v>836.4</v>
      </c>
      <c r="H3172" s="15">
        <f>Tabla1[[#This Row],[Importe]]-Tabla1[[#This Row],[Pagado]]</f>
        <v>0</v>
      </c>
      <c r="I3172" s="275" t="s">
        <v>15214</v>
      </c>
    </row>
    <row r="3173" spans="1:9" x14ac:dyDescent="0.25">
      <c r="A3173" s="16">
        <v>42942</v>
      </c>
      <c r="B3173" s="273" t="s">
        <v>23089</v>
      </c>
      <c r="C3173">
        <v>121327</v>
      </c>
      <c r="D3173" s="236" t="s">
        <v>15415</v>
      </c>
      <c r="E3173" s="15">
        <v>1141.4000000000001</v>
      </c>
      <c r="F3173" s="274">
        <v>42947</v>
      </c>
      <c r="G3173" s="15">
        <v>1141.4000000000001</v>
      </c>
      <c r="H3173" s="15">
        <f>Tabla1[[#This Row],[Importe]]-Tabla1[[#This Row],[Pagado]]</f>
        <v>0</v>
      </c>
      <c r="I3173" s="275" t="s">
        <v>15214</v>
      </c>
    </row>
    <row r="3174" spans="1:9" x14ac:dyDescent="0.25">
      <c r="A3174" s="16">
        <v>42942</v>
      </c>
      <c r="B3174" s="273" t="s">
        <v>23090</v>
      </c>
      <c r="C3174">
        <v>121328</v>
      </c>
      <c r="D3174" s="236" t="s">
        <v>15309</v>
      </c>
      <c r="E3174" s="15">
        <v>6438.6</v>
      </c>
      <c r="F3174" s="274">
        <v>42943</v>
      </c>
      <c r="G3174" s="15">
        <v>6438.6</v>
      </c>
      <c r="H3174" s="15">
        <f>Tabla1[[#This Row],[Importe]]-Tabla1[[#This Row],[Pagado]]</f>
        <v>0</v>
      </c>
      <c r="I3174" s="275" t="s">
        <v>15214</v>
      </c>
    </row>
    <row r="3175" spans="1:9" x14ac:dyDescent="0.25">
      <c r="A3175" s="16">
        <v>42942</v>
      </c>
      <c r="B3175" s="273" t="s">
        <v>23091</v>
      </c>
      <c r="C3175">
        <v>121329</v>
      </c>
      <c r="D3175" s="236" t="s">
        <v>15315</v>
      </c>
      <c r="E3175" s="15">
        <v>492</v>
      </c>
      <c r="F3175" s="274">
        <v>42942</v>
      </c>
      <c r="G3175" s="15">
        <v>492</v>
      </c>
      <c r="H3175" s="15">
        <f>Tabla1[[#This Row],[Importe]]-Tabla1[[#This Row],[Pagado]]</f>
        <v>0</v>
      </c>
      <c r="I3175" s="275" t="s">
        <v>15214</v>
      </c>
    </row>
    <row r="3176" spans="1:9" x14ac:dyDescent="0.25">
      <c r="A3176" s="16">
        <v>42942</v>
      </c>
      <c r="B3176" s="273" t="s">
        <v>23092</v>
      </c>
      <c r="C3176">
        <v>121330</v>
      </c>
      <c r="D3176" s="236" t="s">
        <v>15303</v>
      </c>
      <c r="E3176" s="15">
        <v>3388.5</v>
      </c>
      <c r="F3176" s="274">
        <v>42943</v>
      </c>
      <c r="G3176" s="15">
        <v>3388.5</v>
      </c>
      <c r="H3176" s="15">
        <f>Tabla1[[#This Row],[Importe]]-Tabla1[[#This Row],[Pagado]]</f>
        <v>0</v>
      </c>
      <c r="I3176" s="275" t="s">
        <v>15214</v>
      </c>
    </row>
    <row r="3177" spans="1:9" x14ac:dyDescent="0.25">
      <c r="A3177" s="16">
        <v>42942</v>
      </c>
      <c r="B3177" s="273" t="s">
        <v>23093</v>
      </c>
      <c r="C3177">
        <v>121331</v>
      </c>
      <c r="D3177" s="236" t="s">
        <v>15276</v>
      </c>
      <c r="E3177" s="15">
        <v>2600</v>
      </c>
      <c r="F3177" s="274">
        <v>42943</v>
      </c>
      <c r="G3177" s="15">
        <v>2600</v>
      </c>
      <c r="H3177" s="15">
        <f>Tabla1[[#This Row],[Importe]]-Tabla1[[#This Row],[Pagado]]</f>
        <v>0</v>
      </c>
      <c r="I3177" s="275" t="s">
        <v>15214</v>
      </c>
    </row>
    <row r="3178" spans="1:9" x14ac:dyDescent="0.25">
      <c r="A3178" s="16">
        <v>42942</v>
      </c>
      <c r="B3178" s="273" t="s">
        <v>23094</v>
      </c>
      <c r="C3178">
        <v>121332</v>
      </c>
      <c r="D3178" s="236" t="s">
        <v>15417</v>
      </c>
      <c r="E3178" s="15">
        <v>2743.8</v>
      </c>
      <c r="F3178" s="274">
        <v>42943</v>
      </c>
      <c r="G3178" s="15">
        <v>2743.8</v>
      </c>
      <c r="H3178" s="15">
        <f>Tabla1[[#This Row],[Importe]]-Tabla1[[#This Row],[Pagado]]</f>
        <v>0</v>
      </c>
      <c r="I3178" s="275" t="s">
        <v>15214</v>
      </c>
    </row>
    <row r="3179" spans="1:9" x14ac:dyDescent="0.25">
      <c r="A3179" s="16">
        <v>42942</v>
      </c>
      <c r="B3179" s="273" t="s">
        <v>23095</v>
      </c>
      <c r="C3179">
        <v>121333</v>
      </c>
      <c r="D3179" s="236" t="s">
        <v>15250</v>
      </c>
      <c r="E3179" s="15">
        <v>12166.4</v>
      </c>
      <c r="F3179" s="274">
        <v>42961</v>
      </c>
      <c r="G3179" s="15">
        <v>12166.4</v>
      </c>
      <c r="H3179" s="15">
        <f>Tabla1[[#This Row],[Importe]]-Tabla1[[#This Row],[Pagado]]</f>
        <v>0</v>
      </c>
      <c r="I3179" s="275" t="s">
        <v>15214</v>
      </c>
    </row>
    <row r="3180" spans="1:9" x14ac:dyDescent="0.25">
      <c r="A3180" s="16">
        <v>42942</v>
      </c>
      <c r="B3180" s="273" t="s">
        <v>23096</v>
      </c>
      <c r="C3180">
        <v>121334</v>
      </c>
      <c r="D3180" s="236" t="s">
        <v>15725</v>
      </c>
      <c r="E3180" s="15">
        <v>17424.8</v>
      </c>
      <c r="F3180" s="274">
        <v>42946</v>
      </c>
      <c r="G3180" s="15">
        <v>17424.8</v>
      </c>
      <c r="H3180" s="15">
        <f>Tabla1[[#This Row],[Importe]]-Tabla1[[#This Row],[Pagado]]</f>
        <v>0</v>
      </c>
      <c r="I3180" s="275" t="s">
        <v>15214</v>
      </c>
    </row>
    <row r="3181" spans="1:9" x14ac:dyDescent="0.25">
      <c r="A3181" s="16">
        <v>42942</v>
      </c>
      <c r="B3181" s="273" t="s">
        <v>23097</v>
      </c>
      <c r="C3181">
        <v>121335</v>
      </c>
      <c r="D3181" s="236" t="s">
        <v>15311</v>
      </c>
      <c r="E3181" s="15">
        <v>2231.6999999999998</v>
      </c>
      <c r="F3181" s="274">
        <v>42943</v>
      </c>
      <c r="G3181" s="15">
        <v>2231.6999999999998</v>
      </c>
      <c r="H3181" s="15">
        <f>Tabla1[[#This Row],[Importe]]-Tabla1[[#This Row],[Pagado]]</f>
        <v>0</v>
      </c>
      <c r="I3181" s="275" t="s">
        <v>15214</v>
      </c>
    </row>
    <row r="3182" spans="1:9" x14ac:dyDescent="0.25">
      <c r="A3182" s="16">
        <v>42942</v>
      </c>
      <c r="B3182" s="273" t="s">
        <v>23098</v>
      </c>
      <c r="C3182">
        <v>121336</v>
      </c>
      <c r="D3182" s="236" t="s">
        <v>19773</v>
      </c>
      <c r="E3182" s="15">
        <v>5245.18</v>
      </c>
      <c r="F3182" s="274">
        <v>42959</v>
      </c>
      <c r="G3182" s="15">
        <v>5245.18</v>
      </c>
      <c r="H3182" s="15">
        <f>Tabla1[[#This Row],[Importe]]-Tabla1[[#This Row],[Pagado]]</f>
        <v>0</v>
      </c>
      <c r="I3182" s="275" t="s">
        <v>15214</v>
      </c>
    </row>
    <row r="3183" spans="1:9" x14ac:dyDescent="0.25">
      <c r="A3183" s="16">
        <v>42942</v>
      </c>
      <c r="B3183" s="273" t="s">
        <v>23099</v>
      </c>
      <c r="C3183">
        <v>121337</v>
      </c>
      <c r="D3183" s="236" t="s">
        <v>15537</v>
      </c>
      <c r="E3183" s="15">
        <v>15897</v>
      </c>
      <c r="F3183" s="274">
        <v>42950</v>
      </c>
      <c r="G3183" s="15">
        <v>15897</v>
      </c>
      <c r="H3183" s="15">
        <f>Tabla1[[#This Row],[Importe]]-Tabla1[[#This Row],[Pagado]]</f>
        <v>0</v>
      </c>
      <c r="I3183" s="275" t="s">
        <v>15214</v>
      </c>
    </row>
    <row r="3184" spans="1:9" x14ac:dyDescent="0.25">
      <c r="A3184" s="16">
        <v>42942</v>
      </c>
      <c r="B3184" s="273" t="s">
        <v>23100</v>
      </c>
      <c r="C3184">
        <v>121338</v>
      </c>
      <c r="D3184" s="236" t="s">
        <v>15315</v>
      </c>
      <c r="E3184" s="15">
        <v>6560</v>
      </c>
      <c r="F3184" s="274">
        <v>42944</v>
      </c>
      <c r="G3184" s="15">
        <v>6560</v>
      </c>
      <c r="H3184" s="15">
        <f>Tabla1[[#This Row],[Importe]]-Tabla1[[#This Row],[Pagado]]</f>
        <v>0</v>
      </c>
      <c r="I3184" s="275" t="s">
        <v>15214</v>
      </c>
    </row>
    <row r="3185" spans="1:9" x14ac:dyDescent="0.25">
      <c r="A3185" s="16">
        <v>42942</v>
      </c>
      <c r="B3185" s="273" t="s">
        <v>23101</v>
      </c>
      <c r="C3185">
        <v>121339</v>
      </c>
      <c r="D3185" s="236" t="s">
        <v>15544</v>
      </c>
      <c r="E3185" s="15">
        <v>3070.2</v>
      </c>
      <c r="F3185" s="274">
        <v>42944</v>
      </c>
      <c r="G3185" s="15">
        <v>3070.2</v>
      </c>
      <c r="H3185" s="15">
        <f>Tabla1[[#This Row],[Importe]]-Tabla1[[#This Row],[Pagado]]</f>
        <v>0</v>
      </c>
      <c r="I3185" s="275" t="s">
        <v>15214</v>
      </c>
    </row>
    <row r="3186" spans="1:9" x14ac:dyDescent="0.25">
      <c r="A3186" s="16">
        <v>42942</v>
      </c>
      <c r="B3186" s="273" t="s">
        <v>23102</v>
      </c>
      <c r="C3186">
        <v>121340</v>
      </c>
      <c r="D3186" s="236" t="s">
        <v>15409</v>
      </c>
      <c r="E3186" s="15">
        <v>11000</v>
      </c>
      <c r="F3186" s="274">
        <v>42942</v>
      </c>
      <c r="G3186" s="15">
        <v>11000</v>
      </c>
      <c r="H3186" s="15">
        <f>Tabla1[[#This Row],[Importe]]-Tabla1[[#This Row],[Pagado]]</f>
        <v>0</v>
      </c>
      <c r="I3186" s="275" t="s">
        <v>15214</v>
      </c>
    </row>
    <row r="3187" spans="1:9" x14ac:dyDescent="0.25">
      <c r="A3187" s="16">
        <v>42942</v>
      </c>
      <c r="B3187" s="273" t="s">
        <v>23103</v>
      </c>
      <c r="C3187">
        <v>121341</v>
      </c>
      <c r="D3187" s="236" t="s">
        <v>15409</v>
      </c>
      <c r="E3187" s="15">
        <v>2310</v>
      </c>
      <c r="F3187" s="274">
        <v>42942</v>
      </c>
      <c r="G3187" s="15">
        <v>2310</v>
      </c>
      <c r="H3187" s="15">
        <f>Tabla1[[#This Row],[Importe]]-Tabla1[[#This Row],[Pagado]]</f>
        <v>0</v>
      </c>
      <c r="I3187" s="275" t="s">
        <v>15214</v>
      </c>
    </row>
    <row r="3188" spans="1:9" x14ac:dyDescent="0.25">
      <c r="A3188" s="16">
        <v>42942</v>
      </c>
      <c r="B3188" s="273" t="s">
        <v>23104</v>
      </c>
      <c r="C3188">
        <v>121342</v>
      </c>
      <c r="D3188" s="236" t="s">
        <v>15699</v>
      </c>
      <c r="E3188" s="15">
        <v>3502.8</v>
      </c>
      <c r="F3188" s="274">
        <v>42964</v>
      </c>
      <c r="G3188" s="15">
        <v>3502.8</v>
      </c>
      <c r="H3188" s="15">
        <f>Tabla1[[#This Row],[Importe]]-Tabla1[[#This Row],[Pagado]]</f>
        <v>0</v>
      </c>
      <c r="I3188" s="275" t="s">
        <v>15214</v>
      </c>
    </row>
    <row r="3189" spans="1:9" x14ac:dyDescent="0.25">
      <c r="A3189" s="16">
        <v>42942</v>
      </c>
      <c r="B3189" s="273" t="s">
        <v>23105</v>
      </c>
      <c r="C3189">
        <v>121343</v>
      </c>
      <c r="D3189" s="236" t="s">
        <v>15884</v>
      </c>
      <c r="E3189" s="15">
        <v>2235.1</v>
      </c>
      <c r="F3189" s="274">
        <v>42942</v>
      </c>
      <c r="G3189" s="15">
        <v>2235.1</v>
      </c>
      <c r="H3189" s="15">
        <f>Tabla1[[#This Row],[Importe]]-Tabla1[[#This Row],[Pagado]]</f>
        <v>0</v>
      </c>
      <c r="I3189" s="275" t="s">
        <v>15214</v>
      </c>
    </row>
    <row r="3190" spans="1:9" x14ac:dyDescent="0.25">
      <c r="A3190" s="16">
        <v>42942</v>
      </c>
      <c r="B3190" s="273" t="s">
        <v>23106</v>
      </c>
      <c r="C3190">
        <v>121344</v>
      </c>
      <c r="D3190" s="236" t="s">
        <v>15884</v>
      </c>
      <c r="E3190" s="15">
        <v>1668.7</v>
      </c>
      <c r="F3190" s="274">
        <v>42942</v>
      </c>
      <c r="G3190" s="15">
        <v>1668.7</v>
      </c>
      <c r="H3190" s="15">
        <f>Tabla1[[#This Row],[Importe]]-Tabla1[[#This Row],[Pagado]]</f>
        <v>0</v>
      </c>
      <c r="I3190" s="275" t="s">
        <v>15214</v>
      </c>
    </row>
    <row r="3191" spans="1:9" x14ac:dyDescent="0.25">
      <c r="A3191" s="16">
        <v>42942</v>
      </c>
      <c r="B3191" s="273" t="s">
        <v>23107</v>
      </c>
      <c r="C3191">
        <v>121345</v>
      </c>
      <c r="D3191" s="236" t="s">
        <v>15315</v>
      </c>
      <c r="E3191" s="15">
        <v>3388</v>
      </c>
      <c r="F3191" s="274">
        <v>42950</v>
      </c>
      <c r="G3191" s="15">
        <v>3388</v>
      </c>
      <c r="H3191" s="15">
        <f>Tabla1[[#This Row],[Importe]]-Tabla1[[#This Row],[Pagado]]</f>
        <v>0</v>
      </c>
      <c r="I3191" s="275" t="s">
        <v>15214</v>
      </c>
    </row>
    <row r="3192" spans="1:9" x14ac:dyDescent="0.25">
      <c r="A3192" s="16">
        <v>42942</v>
      </c>
      <c r="B3192" s="273" t="s">
        <v>23108</v>
      </c>
      <c r="C3192">
        <v>121346</v>
      </c>
      <c r="D3192" s="236" t="s">
        <v>15415</v>
      </c>
      <c r="E3192" s="15">
        <v>844</v>
      </c>
      <c r="F3192" s="274">
        <v>42944</v>
      </c>
      <c r="G3192" s="15">
        <v>844</v>
      </c>
      <c r="H3192" s="15">
        <f>Tabla1[[#This Row],[Importe]]-Tabla1[[#This Row],[Pagado]]</f>
        <v>0</v>
      </c>
      <c r="I3192" s="275" t="s">
        <v>15214</v>
      </c>
    </row>
    <row r="3193" spans="1:9" x14ac:dyDescent="0.25">
      <c r="A3193" s="16">
        <v>42942</v>
      </c>
      <c r="B3193" s="273" t="s">
        <v>23109</v>
      </c>
      <c r="C3193">
        <v>121347</v>
      </c>
      <c r="D3193" s="236" t="s">
        <v>15745</v>
      </c>
      <c r="E3193" s="15">
        <v>1748.56</v>
      </c>
      <c r="F3193" s="274">
        <v>42943</v>
      </c>
      <c r="G3193" s="15">
        <v>1748.56</v>
      </c>
      <c r="H3193" s="15">
        <f>Tabla1[[#This Row],[Importe]]-Tabla1[[#This Row],[Pagado]]</f>
        <v>0</v>
      </c>
      <c r="I3193" s="275" t="s">
        <v>15214</v>
      </c>
    </row>
    <row r="3194" spans="1:9" x14ac:dyDescent="0.25">
      <c r="A3194" s="16">
        <v>42942</v>
      </c>
      <c r="B3194" s="273" t="s">
        <v>23110</v>
      </c>
      <c r="C3194">
        <v>121348</v>
      </c>
      <c r="D3194" s="236" t="s">
        <v>17452</v>
      </c>
      <c r="E3194" s="15">
        <v>2080</v>
      </c>
      <c r="F3194" s="274">
        <v>42943</v>
      </c>
      <c r="G3194" s="15">
        <v>2080</v>
      </c>
      <c r="H3194" s="15">
        <f>Tabla1[[#This Row],[Importe]]-Tabla1[[#This Row],[Pagado]]</f>
        <v>0</v>
      </c>
      <c r="I3194" s="275" t="s">
        <v>15214</v>
      </c>
    </row>
    <row r="3195" spans="1:9" x14ac:dyDescent="0.25">
      <c r="A3195" s="16">
        <v>42942</v>
      </c>
      <c r="B3195" s="273" t="s">
        <v>23111</v>
      </c>
      <c r="C3195">
        <v>121349</v>
      </c>
      <c r="D3195" s="236" t="s">
        <v>15759</v>
      </c>
      <c r="E3195" s="15">
        <v>2019.46</v>
      </c>
      <c r="F3195" s="274">
        <v>42943</v>
      </c>
      <c r="G3195" s="15">
        <v>2019.46</v>
      </c>
      <c r="H3195" s="15">
        <f>Tabla1[[#This Row],[Importe]]-Tabla1[[#This Row],[Pagado]]</f>
        <v>0</v>
      </c>
      <c r="I3195" s="275" t="s">
        <v>15214</v>
      </c>
    </row>
    <row r="3196" spans="1:9" ht="30" x14ac:dyDescent="0.25">
      <c r="A3196" s="16">
        <v>42942</v>
      </c>
      <c r="B3196" s="273" t="s">
        <v>23112</v>
      </c>
      <c r="C3196">
        <v>121350</v>
      </c>
      <c r="D3196" s="236" t="s">
        <v>15246</v>
      </c>
      <c r="E3196" s="15">
        <v>7660</v>
      </c>
      <c r="F3196" s="274" t="s">
        <v>23113</v>
      </c>
      <c r="G3196" s="15">
        <v>7660</v>
      </c>
      <c r="H3196" s="15">
        <f>Tabla1[[#This Row],[Importe]]-Tabla1[[#This Row],[Pagado]]</f>
        <v>0</v>
      </c>
      <c r="I3196" s="275" t="s">
        <v>15214</v>
      </c>
    </row>
    <row r="3197" spans="1:9" x14ac:dyDescent="0.25">
      <c r="A3197" s="16">
        <v>42942</v>
      </c>
      <c r="B3197" s="273" t="s">
        <v>23114</v>
      </c>
      <c r="C3197">
        <v>121351</v>
      </c>
      <c r="D3197" s="236" t="s">
        <v>15396</v>
      </c>
      <c r="E3197" s="15">
        <v>6288.8</v>
      </c>
      <c r="F3197" s="274">
        <v>42942</v>
      </c>
      <c r="G3197" s="15">
        <v>6288.8</v>
      </c>
      <c r="H3197" s="15">
        <f>Tabla1[[#This Row],[Importe]]-Tabla1[[#This Row],[Pagado]]</f>
        <v>0</v>
      </c>
      <c r="I3197" s="275" t="s">
        <v>15214</v>
      </c>
    </row>
    <row r="3198" spans="1:9" x14ac:dyDescent="0.25">
      <c r="A3198" s="16">
        <v>42942</v>
      </c>
      <c r="B3198" s="273" t="s">
        <v>23115</v>
      </c>
      <c r="C3198">
        <v>121352</v>
      </c>
      <c r="D3198" s="236" t="s">
        <v>19768</v>
      </c>
      <c r="E3198" s="15">
        <v>1791</v>
      </c>
      <c r="F3198" s="274">
        <v>42942</v>
      </c>
      <c r="G3198" s="15">
        <v>1791</v>
      </c>
      <c r="H3198" s="15">
        <f>Tabla1[[#This Row],[Importe]]-Tabla1[[#This Row],[Pagado]]</f>
        <v>0</v>
      </c>
      <c r="I3198" s="275" t="s">
        <v>15214</v>
      </c>
    </row>
    <row r="3199" spans="1:9" x14ac:dyDescent="0.25">
      <c r="A3199" s="16">
        <v>42942</v>
      </c>
      <c r="B3199" s="273" t="s">
        <v>23116</v>
      </c>
      <c r="C3199">
        <v>121353</v>
      </c>
      <c r="D3199" s="236" t="s">
        <v>15284</v>
      </c>
      <c r="E3199" s="15">
        <v>966.8</v>
      </c>
      <c r="F3199" s="274">
        <v>42942</v>
      </c>
      <c r="G3199" s="15">
        <v>966.8</v>
      </c>
      <c r="H3199" s="15">
        <f>Tabla1[[#This Row],[Importe]]-Tabla1[[#This Row],[Pagado]]</f>
        <v>0</v>
      </c>
      <c r="I3199" s="275" t="s">
        <v>15214</v>
      </c>
    </row>
    <row r="3200" spans="1:9" x14ac:dyDescent="0.25">
      <c r="A3200" s="16">
        <v>42942</v>
      </c>
      <c r="B3200" s="273" t="s">
        <v>23117</v>
      </c>
      <c r="C3200">
        <v>121354</v>
      </c>
      <c r="D3200" s="236" t="s">
        <v>15326</v>
      </c>
      <c r="E3200" s="15">
        <v>2779.6</v>
      </c>
      <c r="F3200" s="274">
        <v>42942</v>
      </c>
      <c r="G3200" s="15">
        <v>2779.6</v>
      </c>
      <c r="H3200" s="15">
        <f>Tabla1[[#This Row],[Importe]]-Tabla1[[#This Row],[Pagado]]</f>
        <v>0</v>
      </c>
      <c r="I3200" s="275" t="s">
        <v>15214</v>
      </c>
    </row>
    <row r="3201" spans="1:9" x14ac:dyDescent="0.25">
      <c r="A3201" s="16">
        <v>42942</v>
      </c>
      <c r="B3201" s="273" t="s">
        <v>23118</v>
      </c>
      <c r="C3201">
        <v>121355</v>
      </c>
      <c r="D3201" s="236" t="s">
        <v>15340</v>
      </c>
      <c r="E3201" s="15">
        <v>10491.6</v>
      </c>
      <c r="F3201" s="274">
        <v>42942</v>
      </c>
      <c r="G3201" s="15">
        <v>10491.6</v>
      </c>
      <c r="H3201" s="15">
        <f>Tabla1[[#This Row],[Importe]]-Tabla1[[#This Row],[Pagado]]</f>
        <v>0</v>
      </c>
      <c r="I3201" s="275" t="s">
        <v>15214</v>
      </c>
    </row>
    <row r="3202" spans="1:9" x14ac:dyDescent="0.25">
      <c r="A3202" s="16">
        <v>42942</v>
      </c>
      <c r="B3202" s="273" t="s">
        <v>23119</v>
      </c>
      <c r="C3202">
        <v>121356</v>
      </c>
      <c r="D3202" s="236" t="s">
        <v>17950</v>
      </c>
      <c r="E3202" s="15">
        <v>8801.4</v>
      </c>
      <c r="F3202" s="274">
        <v>42942</v>
      </c>
      <c r="G3202" s="15">
        <v>8801.4</v>
      </c>
      <c r="H3202" s="15">
        <f>Tabla1[[#This Row],[Importe]]-Tabla1[[#This Row],[Pagado]]</f>
        <v>0</v>
      </c>
      <c r="I3202" s="275" t="s">
        <v>15214</v>
      </c>
    </row>
    <row r="3203" spans="1:9" x14ac:dyDescent="0.25">
      <c r="A3203" s="16">
        <v>42942</v>
      </c>
      <c r="B3203" s="273" t="s">
        <v>23120</v>
      </c>
      <c r="C3203">
        <v>121357</v>
      </c>
      <c r="D3203" s="236" t="s">
        <v>15284</v>
      </c>
      <c r="E3203" s="15">
        <v>367.2</v>
      </c>
      <c r="F3203" s="274">
        <v>42942</v>
      </c>
      <c r="G3203" s="15">
        <v>367.2</v>
      </c>
      <c r="H3203" s="15">
        <f>Tabla1[[#This Row],[Importe]]-Tabla1[[#This Row],[Pagado]]</f>
        <v>0</v>
      </c>
      <c r="I3203" s="275" t="s">
        <v>15214</v>
      </c>
    </row>
    <row r="3204" spans="1:9" x14ac:dyDescent="0.25">
      <c r="A3204" s="16">
        <v>42942</v>
      </c>
      <c r="B3204" s="273" t="s">
        <v>23121</v>
      </c>
      <c r="C3204">
        <v>121358</v>
      </c>
      <c r="D3204" s="236" t="s">
        <v>16171</v>
      </c>
      <c r="E3204" s="15">
        <v>1171.32</v>
      </c>
      <c r="F3204" s="274">
        <v>42942</v>
      </c>
      <c r="G3204" s="15">
        <v>1171.32</v>
      </c>
      <c r="H3204" s="15">
        <f>Tabla1[[#This Row],[Importe]]-Tabla1[[#This Row],[Pagado]]</f>
        <v>0</v>
      </c>
      <c r="I3204" s="275" t="s">
        <v>15214</v>
      </c>
    </row>
    <row r="3205" spans="1:9" x14ac:dyDescent="0.25">
      <c r="A3205" s="16">
        <v>42942</v>
      </c>
      <c r="B3205" s="273" t="s">
        <v>23122</v>
      </c>
      <c r="C3205">
        <v>121359</v>
      </c>
      <c r="D3205" s="236" t="s">
        <v>15858</v>
      </c>
      <c r="E3205" s="15">
        <v>3513.96</v>
      </c>
      <c r="F3205" s="274">
        <v>42942</v>
      </c>
      <c r="G3205" s="15">
        <v>3513.96</v>
      </c>
      <c r="H3205" s="15">
        <f>Tabla1[[#This Row],[Importe]]-Tabla1[[#This Row],[Pagado]]</f>
        <v>0</v>
      </c>
      <c r="I3205" s="275" t="s">
        <v>15214</v>
      </c>
    </row>
    <row r="3206" spans="1:9" x14ac:dyDescent="0.25">
      <c r="A3206" s="16">
        <v>42942</v>
      </c>
      <c r="B3206" s="273" t="s">
        <v>23123</v>
      </c>
      <c r="C3206">
        <v>121360</v>
      </c>
      <c r="D3206" s="236" t="s">
        <v>15523</v>
      </c>
      <c r="E3206" s="15">
        <v>2080</v>
      </c>
      <c r="F3206" s="274">
        <v>42942</v>
      </c>
      <c r="G3206" s="15">
        <v>2080</v>
      </c>
      <c r="H3206" s="15">
        <f>Tabla1[[#This Row],[Importe]]-Tabla1[[#This Row],[Pagado]]</f>
        <v>0</v>
      </c>
      <c r="I3206" s="275" t="s">
        <v>15214</v>
      </c>
    </row>
    <row r="3207" spans="1:9" x14ac:dyDescent="0.25">
      <c r="A3207" s="16">
        <v>42942</v>
      </c>
      <c r="B3207" s="273" t="s">
        <v>23124</v>
      </c>
      <c r="C3207">
        <v>121361</v>
      </c>
      <c r="D3207" s="236" t="s">
        <v>15356</v>
      </c>
      <c r="E3207" s="15">
        <v>320</v>
      </c>
      <c r="F3207" s="274">
        <v>42942</v>
      </c>
      <c r="G3207" s="15">
        <v>320</v>
      </c>
      <c r="H3207" s="15">
        <f>Tabla1[[#This Row],[Importe]]-Tabla1[[#This Row],[Pagado]]</f>
        <v>0</v>
      </c>
      <c r="I3207" s="275" t="s">
        <v>15214</v>
      </c>
    </row>
    <row r="3208" spans="1:9" x14ac:dyDescent="0.25">
      <c r="A3208" s="16">
        <v>42942</v>
      </c>
      <c r="B3208" s="273" t="s">
        <v>23125</v>
      </c>
      <c r="C3208">
        <v>121362</v>
      </c>
      <c r="D3208" s="236" t="s">
        <v>15861</v>
      </c>
      <c r="E3208" s="15">
        <v>1637.6</v>
      </c>
      <c r="F3208" s="274">
        <v>42942</v>
      </c>
      <c r="G3208" s="15">
        <v>1637.6</v>
      </c>
      <c r="H3208" s="15">
        <f>Tabla1[[#This Row],[Importe]]-Tabla1[[#This Row],[Pagado]]</f>
        <v>0</v>
      </c>
      <c r="I3208" s="275" t="s">
        <v>15214</v>
      </c>
    </row>
    <row r="3209" spans="1:9" x14ac:dyDescent="0.25">
      <c r="A3209" s="16">
        <v>42942</v>
      </c>
      <c r="B3209" s="273" t="s">
        <v>23126</v>
      </c>
      <c r="C3209">
        <v>121363</v>
      </c>
      <c r="D3209" s="236" t="s">
        <v>15358</v>
      </c>
      <c r="E3209" s="15">
        <v>1167.9000000000001</v>
      </c>
      <c r="F3209" s="274">
        <v>42942</v>
      </c>
      <c r="G3209" s="15">
        <v>1167.9000000000001</v>
      </c>
      <c r="H3209" s="15">
        <f>Tabla1[[#This Row],[Importe]]-Tabla1[[#This Row],[Pagado]]</f>
        <v>0</v>
      </c>
      <c r="I3209" s="275" t="s">
        <v>15214</v>
      </c>
    </row>
    <row r="3210" spans="1:9" x14ac:dyDescent="0.25">
      <c r="A3210" s="16">
        <v>42942</v>
      </c>
      <c r="B3210" s="273" t="s">
        <v>23127</v>
      </c>
      <c r="C3210">
        <v>121364</v>
      </c>
      <c r="D3210" s="236" t="s">
        <v>15344</v>
      </c>
      <c r="E3210" s="15">
        <v>2867.4</v>
      </c>
      <c r="F3210" s="274">
        <v>42942</v>
      </c>
      <c r="G3210" s="15">
        <v>2867.4</v>
      </c>
      <c r="H3210" s="15">
        <f>Tabla1[[#This Row],[Importe]]-Tabla1[[#This Row],[Pagado]]</f>
        <v>0</v>
      </c>
      <c r="I3210" s="275" t="s">
        <v>15214</v>
      </c>
    </row>
    <row r="3211" spans="1:9" x14ac:dyDescent="0.25">
      <c r="A3211" s="16">
        <v>42942</v>
      </c>
      <c r="B3211" s="273" t="s">
        <v>23128</v>
      </c>
      <c r="C3211">
        <v>121365</v>
      </c>
      <c r="D3211" s="236" t="s">
        <v>15334</v>
      </c>
      <c r="E3211" s="15">
        <v>2508</v>
      </c>
      <c r="F3211" s="274">
        <v>42942</v>
      </c>
      <c r="G3211" s="15">
        <v>2508</v>
      </c>
      <c r="H3211" s="15">
        <f>Tabla1[[#This Row],[Importe]]-Tabla1[[#This Row],[Pagado]]</f>
        <v>0</v>
      </c>
      <c r="I3211" s="275" t="s">
        <v>15214</v>
      </c>
    </row>
    <row r="3212" spans="1:9" x14ac:dyDescent="0.25">
      <c r="A3212" s="16">
        <v>42942</v>
      </c>
      <c r="B3212" s="273" t="s">
        <v>23129</v>
      </c>
      <c r="C3212">
        <v>121366</v>
      </c>
      <c r="D3212" s="236" t="s">
        <v>15526</v>
      </c>
      <c r="E3212" s="15">
        <v>2986.2</v>
      </c>
      <c r="F3212" s="274">
        <v>42942</v>
      </c>
      <c r="G3212" s="15">
        <v>2986.2</v>
      </c>
      <c r="H3212" s="15">
        <f>Tabla1[[#This Row],[Importe]]-Tabla1[[#This Row],[Pagado]]</f>
        <v>0</v>
      </c>
      <c r="I3212" s="275" t="s">
        <v>15214</v>
      </c>
    </row>
    <row r="3213" spans="1:9" x14ac:dyDescent="0.25">
      <c r="A3213" s="16">
        <v>42942</v>
      </c>
      <c r="B3213" s="273" t="s">
        <v>23130</v>
      </c>
      <c r="C3213">
        <v>121367</v>
      </c>
      <c r="D3213" s="236" t="s">
        <v>15282</v>
      </c>
      <c r="E3213" s="15">
        <v>2374.4</v>
      </c>
      <c r="F3213" s="274">
        <v>42942</v>
      </c>
      <c r="G3213" s="15">
        <v>2374.4</v>
      </c>
      <c r="H3213" s="15">
        <f>Tabla1[[#This Row],[Importe]]-Tabla1[[#This Row],[Pagado]]</f>
        <v>0</v>
      </c>
      <c r="I3213" s="275" t="s">
        <v>15214</v>
      </c>
    </row>
    <row r="3214" spans="1:9" x14ac:dyDescent="0.25">
      <c r="A3214" s="16">
        <v>42942</v>
      </c>
      <c r="B3214" s="273" t="s">
        <v>23131</v>
      </c>
      <c r="C3214">
        <v>121368</v>
      </c>
      <c r="D3214" s="236" t="s">
        <v>15665</v>
      </c>
      <c r="E3214" s="15">
        <v>406.8</v>
      </c>
      <c r="F3214" s="274">
        <v>42942</v>
      </c>
      <c r="G3214" s="15">
        <v>406.8</v>
      </c>
      <c r="H3214" s="15">
        <f>Tabla1[[#This Row],[Importe]]-Tabla1[[#This Row],[Pagado]]</f>
        <v>0</v>
      </c>
      <c r="I3214" s="275" t="s">
        <v>15214</v>
      </c>
    </row>
    <row r="3215" spans="1:9" x14ac:dyDescent="0.25">
      <c r="A3215" s="16">
        <v>42942</v>
      </c>
      <c r="B3215" s="273" t="s">
        <v>23132</v>
      </c>
      <c r="C3215">
        <v>121369</v>
      </c>
      <c r="D3215" s="236" t="s">
        <v>15298</v>
      </c>
      <c r="E3215" s="15">
        <v>1662.4</v>
      </c>
      <c r="F3215" s="274">
        <v>42942</v>
      </c>
      <c r="G3215" s="15">
        <v>1662.4</v>
      </c>
      <c r="H3215" s="15">
        <f>Tabla1[[#This Row],[Importe]]-Tabla1[[#This Row],[Pagado]]</f>
        <v>0</v>
      </c>
      <c r="I3215" s="275" t="s">
        <v>15214</v>
      </c>
    </row>
    <row r="3216" spans="1:9" x14ac:dyDescent="0.25">
      <c r="A3216" s="16">
        <v>42942</v>
      </c>
      <c r="B3216" s="273" t="s">
        <v>23133</v>
      </c>
      <c r="C3216">
        <v>121370</v>
      </c>
      <c r="D3216" s="236" t="s">
        <v>15328</v>
      </c>
      <c r="E3216" s="15">
        <v>14864.88</v>
      </c>
      <c r="F3216" s="274">
        <v>42959</v>
      </c>
      <c r="G3216" s="15">
        <v>14864.88</v>
      </c>
      <c r="H3216" s="15">
        <f>Tabla1[[#This Row],[Importe]]-Tabla1[[#This Row],[Pagado]]</f>
        <v>0</v>
      </c>
      <c r="I3216" s="275" t="s">
        <v>15214</v>
      </c>
    </row>
    <row r="3217" spans="1:9" x14ac:dyDescent="0.25">
      <c r="A3217" s="16">
        <v>42942</v>
      </c>
      <c r="B3217" s="273" t="s">
        <v>23134</v>
      </c>
      <c r="C3217">
        <v>121371</v>
      </c>
      <c r="D3217" s="236" t="s">
        <v>15716</v>
      </c>
      <c r="E3217" s="15">
        <v>3031.5</v>
      </c>
      <c r="F3217" s="274">
        <v>42942</v>
      </c>
      <c r="G3217" s="15">
        <v>3031.5</v>
      </c>
      <c r="H3217" s="15">
        <f>Tabla1[[#This Row],[Importe]]-Tabla1[[#This Row],[Pagado]]</f>
        <v>0</v>
      </c>
      <c r="I3217" s="275" t="s">
        <v>15214</v>
      </c>
    </row>
    <row r="3218" spans="1:9" x14ac:dyDescent="0.25">
      <c r="A3218" s="16">
        <v>42942</v>
      </c>
      <c r="B3218" s="273" t="s">
        <v>23135</v>
      </c>
      <c r="C3218">
        <v>121372</v>
      </c>
      <c r="D3218" s="236" t="s">
        <v>15328</v>
      </c>
      <c r="E3218" s="15">
        <v>107466.34</v>
      </c>
      <c r="F3218" s="274">
        <v>42959</v>
      </c>
      <c r="G3218" s="15">
        <v>107466.34</v>
      </c>
      <c r="H3218" s="15">
        <f>Tabla1[[#This Row],[Importe]]-Tabla1[[#This Row],[Pagado]]</f>
        <v>0</v>
      </c>
      <c r="I3218" s="275" t="s">
        <v>15214</v>
      </c>
    </row>
    <row r="3219" spans="1:9" x14ac:dyDescent="0.25">
      <c r="A3219" s="16">
        <v>42942</v>
      </c>
      <c r="B3219" s="273" t="s">
        <v>23136</v>
      </c>
      <c r="C3219">
        <v>121373</v>
      </c>
      <c r="D3219" s="236" t="s">
        <v>23137</v>
      </c>
      <c r="E3219" s="15">
        <v>12290.2</v>
      </c>
      <c r="F3219" s="274">
        <v>42945</v>
      </c>
      <c r="G3219" s="15">
        <v>12290.2</v>
      </c>
      <c r="H3219" s="15">
        <f>Tabla1[[#This Row],[Importe]]-Tabla1[[#This Row],[Pagado]]</f>
        <v>0</v>
      </c>
      <c r="I3219" s="275" t="s">
        <v>15214</v>
      </c>
    </row>
    <row r="3220" spans="1:9" x14ac:dyDescent="0.25">
      <c r="A3220" s="16">
        <v>42942</v>
      </c>
      <c r="B3220" s="273" t="s">
        <v>23138</v>
      </c>
      <c r="C3220">
        <v>121374</v>
      </c>
      <c r="D3220" s="236" t="s">
        <v>22563</v>
      </c>
      <c r="E3220" s="15">
        <v>10296</v>
      </c>
      <c r="F3220" s="274">
        <v>42942</v>
      </c>
      <c r="G3220" s="15">
        <v>10296</v>
      </c>
      <c r="H3220" s="15">
        <f>Tabla1[[#This Row],[Importe]]-Tabla1[[#This Row],[Pagado]]</f>
        <v>0</v>
      </c>
      <c r="I3220" s="275" t="s">
        <v>15214</v>
      </c>
    </row>
    <row r="3221" spans="1:9" x14ac:dyDescent="0.25">
      <c r="A3221" s="16">
        <v>42942</v>
      </c>
      <c r="B3221" s="273" t="s">
        <v>23139</v>
      </c>
      <c r="C3221">
        <v>121375</v>
      </c>
      <c r="D3221" s="236" t="s">
        <v>15315</v>
      </c>
      <c r="E3221" s="15">
        <v>9729.2000000000007</v>
      </c>
      <c r="F3221" s="274">
        <v>42942</v>
      </c>
      <c r="G3221" s="15">
        <v>9729.2000000000007</v>
      </c>
      <c r="H3221" s="15">
        <f>Tabla1[[#This Row],[Importe]]-Tabla1[[#This Row],[Pagado]]</f>
        <v>0</v>
      </c>
      <c r="I3221" s="275" t="s">
        <v>15214</v>
      </c>
    </row>
    <row r="3222" spans="1:9" x14ac:dyDescent="0.25">
      <c r="A3222" s="16">
        <v>42942</v>
      </c>
      <c r="B3222" s="273" t="s">
        <v>23140</v>
      </c>
      <c r="C3222">
        <v>121376</v>
      </c>
      <c r="D3222" s="236" t="s">
        <v>15248</v>
      </c>
      <c r="E3222" s="15">
        <v>15177.1</v>
      </c>
      <c r="F3222" s="274">
        <v>42942</v>
      </c>
      <c r="G3222" s="15">
        <v>15177.1</v>
      </c>
      <c r="H3222" s="15">
        <f>Tabla1[[#This Row],[Importe]]-Tabla1[[#This Row],[Pagado]]</f>
        <v>0</v>
      </c>
      <c r="I3222" s="275" t="s">
        <v>15214</v>
      </c>
    </row>
    <row r="3223" spans="1:9" x14ac:dyDescent="0.25">
      <c r="A3223" s="16">
        <v>42942</v>
      </c>
      <c r="B3223" s="273" t="s">
        <v>23141</v>
      </c>
      <c r="C3223">
        <v>121377</v>
      </c>
      <c r="D3223" s="236" t="s">
        <v>15365</v>
      </c>
      <c r="E3223" s="15">
        <v>225680</v>
      </c>
      <c r="F3223" s="274">
        <v>42943</v>
      </c>
      <c r="G3223" s="15">
        <v>225680</v>
      </c>
      <c r="H3223" s="15">
        <f>Tabla1[[#This Row],[Importe]]-Tabla1[[#This Row],[Pagado]]</f>
        <v>0</v>
      </c>
      <c r="I3223" s="275" t="s">
        <v>15214</v>
      </c>
    </row>
    <row r="3224" spans="1:9" x14ac:dyDescent="0.25">
      <c r="A3224" s="16">
        <v>42942</v>
      </c>
      <c r="B3224" s="273" t="s">
        <v>23142</v>
      </c>
      <c r="C3224">
        <v>121378</v>
      </c>
      <c r="D3224" s="236" t="s">
        <v>15391</v>
      </c>
      <c r="E3224" s="15">
        <v>6952</v>
      </c>
      <c r="F3224" s="274">
        <v>42945</v>
      </c>
      <c r="G3224" s="15">
        <v>6952</v>
      </c>
      <c r="H3224" s="15">
        <f>Tabla1[[#This Row],[Importe]]-Tabla1[[#This Row],[Pagado]]</f>
        <v>0</v>
      </c>
      <c r="I3224" s="275" t="s">
        <v>15214</v>
      </c>
    </row>
    <row r="3225" spans="1:9" ht="30" x14ac:dyDescent="0.25">
      <c r="A3225" s="16">
        <v>42942</v>
      </c>
      <c r="B3225" s="273" t="s">
        <v>23143</v>
      </c>
      <c r="C3225">
        <v>121379</v>
      </c>
      <c r="D3225" s="236" t="s">
        <v>15246</v>
      </c>
      <c r="E3225" s="15">
        <v>355333.05</v>
      </c>
      <c r="F3225" s="274" t="s">
        <v>23144</v>
      </c>
      <c r="G3225" s="15">
        <v>355333.05</v>
      </c>
      <c r="H3225" s="15">
        <f>Tabla1[[#This Row],[Importe]]-Tabla1[[#This Row],[Pagado]]</f>
        <v>0</v>
      </c>
      <c r="I3225" s="275" t="s">
        <v>15214</v>
      </c>
    </row>
    <row r="3226" spans="1:9" x14ac:dyDescent="0.25">
      <c r="A3226" s="16">
        <v>42942</v>
      </c>
      <c r="B3226" s="273" t="s">
        <v>23145</v>
      </c>
      <c r="C3226">
        <v>121380</v>
      </c>
      <c r="D3226" s="236" t="s">
        <v>15315</v>
      </c>
      <c r="E3226" s="15">
        <v>897.6</v>
      </c>
      <c r="F3226" s="274">
        <v>42942</v>
      </c>
      <c r="G3226" s="15">
        <v>897.6</v>
      </c>
      <c r="H3226" s="15">
        <f>Tabla1[[#This Row],[Importe]]-Tabla1[[#This Row],[Pagado]]</f>
        <v>0</v>
      </c>
      <c r="I3226" s="275" t="s">
        <v>15214</v>
      </c>
    </row>
    <row r="3227" spans="1:9" ht="30" x14ac:dyDescent="0.25">
      <c r="A3227" s="16">
        <v>42942</v>
      </c>
      <c r="B3227" s="273" t="s">
        <v>23146</v>
      </c>
      <c r="C3227">
        <v>121381</v>
      </c>
      <c r="D3227" s="236" t="s">
        <v>15246</v>
      </c>
      <c r="E3227" s="15">
        <v>121361.5</v>
      </c>
      <c r="F3227" s="274" t="s">
        <v>22779</v>
      </c>
      <c r="G3227" s="15">
        <v>121361.5</v>
      </c>
      <c r="H3227" s="15">
        <f>Tabla1[[#This Row],[Importe]]-Tabla1[[#This Row],[Pagado]]</f>
        <v>0</v>
      </c>
      <c r="I3227" s="275" t="s">
        <v>15214</v>
      </c>
    </row>
    <row r="3228" spans="1:9" x14ac:dyDescent="0.25">
      <c r="A3228" s="16">
        <v>42942</v>
      </c>
      <c r="B3228" s="273" t="s">
        <v>23147</v>
      </c>
      <c r="C3228">
        <v>121382</v>
      </c>
      <c r="D3228" s="236" t="s">
        <v>15541</v>
      </c>
      <c r="E3228" s="15">
        <v>836.4</v>
      </c>
      <c r="F3228" s="274">
        <v>42942</v>
      </c>
      <c r="G3228" s="15">
        <v>836.4</v>
      </c>
      <c r="H3228" s="15">
        <f>Tabla1[[#This Row],[Importe]]-Tabla1[[#This Row],[Pagado]]</f>
        <v>0</v>
      </c>
      <c r="I3228" s="275" t="s">
        <v>15214</v>
      </c>
    </row>
    <row r="3229" spans="1:9" x14ac:dyDescent="0.25">
      <c r="A3229" s="16">
        <v>42942</v>
      </c>
      <c r="B3229" s="273" t="s">
        <v>23148</v>
      </c>
      <c r="C3229">
        <v>121383</v>
      </c>
      <c r="D3229" s="236" t="s">
        <v>15423</v>
      </c>
      <c r="E3229" s="15">
        <v>2494.1999999999998</v>
      </c>
      <c r="F3229" s="274">
        <v>42942</v>
      </c>
      <c r="G3229" s="15">
        <v>2494.1999999999998</v>
      </c>
      <c r="H3229" s="15">
        <f>Tabla1[[#This Row],[Importe]]-Tabla1[[#This Row],[Pagado]]</f>
        <v>0</v>
      </c>
      <c r="I3229" s="275" t="s">
        <v>15214</v>
      </c>
    </row>
    <row r="3230" spans="1:9" x14ac:dyDescent="0.25">
      <c r="A3230" s="16">
        <v>42942</v>
      </c>
      <c r="B3230" s="273" t="s">
        <v>23149</v>
      </c>
      <c r="C3230">
        <v>121384</v>
      </c>
      <c r="D3230" s="236" t="s">
        <v>16116</v>
      </c>
      <c r="E3230" s="15">
        <v>17596.96</v>
      </c>
      <c r="F3230" s="274">
        <v>42942</v>
      </c>
      <c r="G3230" s="15">
        <v>17596.96</v>
      </c>
      <c r="H3230" s="15">
        <f>Tabla1[[#This Row],[Importe]]-Tabla1[[#This Row],[Pagado]]</f>
        <v>0</v>
      </c>
      <c r="I3230" s="275" t="s">
        <v>15214</v>
      </c>
    </row>
    <row r="3231" spans="1:9" x14ac:dyDescent="0.25">
      <c r="A3231" s="16">
        <v>42942</v>
      </c>
      <c r="B3231" s="273" t="s">
        <v>23150</v>
      </c>
      <c r="C3231">
        <v>121385</v>
      </c>
      <c r="D3231" s="236" t="s">
        <v>16116</v>
      </c>
      <c r="E3231" s="15">
        <v>2422.1</v>
      </c>
      <c r="F3231" s="274">
        <v>42942</v>
      </c>
      <c r="G3231" s="15">
        <v>2422.1</v>
      </c>
      <c r="H3231" s="15">
        <f>Tabla1[[#This Row],[Importe]]-Tabla1[[#This Row],[Pagado]]</f>
        <v>0</v>
      </c>
      <c r="I3231" s="275" t="s">
        <v>15214</v>
      </c>
    </row>
    <row r="3232" spans="1:9" x14ac:dyDescent="0.25">
      <c r="A3232" s="16">
        <v>42942</v>
      </c>
      <c r="B3232" s="273" t="s">
        <v>23151</v>
      </c>
      <c r="C3232">
        <v>121386</v>
      </c>
      <c r="D3232" s="236" t="s">
        <v>15789</v>
      </c>
      <c r="E3232" s="15">
        <v>20700</v>
      </c>
      <c r="F3232" s="292">
        <v>42949</v>
      </c>
      <c r="G3232" s="15">
        <v>20700</v>
      </c>
      <c r="H3232" s="15">
        <f>Tabla1[[#This Row],[Importe]]-Tabla1[[#This Row],[Pagado]]</f>
        <v>0</v>
      </c>
      <c r="I3232" s="275" t="s">
        <v>15214</v>
      </c>
    </row>
    <row r="3233" spans="1:9" x14ac:dyDescent="0.25">
      <c r="A3233" s="16">
        <v>42942</v>
      </c>
      <c r="B3233" s="273" t="s">
        <v>23152</v>
      </c>
      <c r="C3233">
        <v>121387</v>
      </c>
      <c r="D3233" s="236" t="s">
        <v>19776</v>
      </c>
      <c r="E3233" s="15">
        <v>390</v>
      </c>
      <c r="F3233" s="274">
        <v>42942</v>
      </c>
      <c r="G3233" s="15">
        <v>390</v>
      </c>
      <c r="H3233" s="15">
        <f>Tabla1[[#This Row],[Importe]]-Tabla1[[#This Row],[Pagado]]</f>
        <v>0</v>
      </c>
      <c r="I3233" s="275" t="s">
        <v>15214</v>
      </c>
    </row>
    <row r="3234" spans="1:9" x14ac:dyDescent="0.25">
      <c r="A3234" s="16">
        <v>42942</v>
      </c>
      <c r="B3234" s="273" t="s">
        <v>23153</v>
      </c>
      <c r="C3234">
        <v>121388</v>
      </c>
      <c r="D3234" s="236" t="s">
        <v>15903</v>
      </c>
      <c r="E3234" s="15">
        <v>21400.5</v>
      </c>
      <c r="F3234" s="274">
        <v>42942</v>
      </c>
      <c r="G3234" s="15">
        <v>21400.5</v>
      </c>
      <c r="H3234" s="15">
        <f>Tabla1[[#This Row],[Importe]]-Tabla1[[#This Row],[Pagado]]</f>
        <v>0</v>
      </c>
      <c r="I3234" s="275" t="s">
        <v>15214</v>
      </c>
    </row>
    <row r="3235" spans="1:9" x14ac:dyDescent="0.25">
      <c r="A3235" s="16">
        <v>42942</v>
      </c>
      <c r="B3235" s="273" t="s">
        <v>23154</v>
      </c>
      <c r="C3235">
        <v>121389</v>
      </c>
      <c r="D3235" s="236" t="s">
        <v>15284</v>
      </c>
      <c r="E3235" s="15">
        <v>815.4</v>
      </c>
      <c r="F3235" s="274">
        <v>42942</v>
      </c>
      <c r="G3235" s="15">
        <v>815.4</v>
      </c>
      <c r="H3235" s="15">
        <f>Tabla1[[#This Row],[Importe]]-Tabla1[[#This Row],[Pagado]]</f>
        <v>0</v>
      </c>
      <c r="I3235" s="275" t="s">
        <v>15214</v>
      </c>
    </row>
    <row r="3236" spans="1:9" ht="30" x14ac:dyDescent="0.25">
      <c r="A3236" s="16">
        <v>42942</v>
      </c>
      <c r="B3236" s="273" t="s">
        <v>23155</v>
      </c>
      <c r="C3236">
        <v>121390</v>
      </c>
      <c r="D3236" s="236" t="s">
        <v>15246</v>
      </c>
      <c r="E3236" s="15">
        <v>5743.1</v>
      </c>
      <c r="F3236" s="274" t="s">
        <v>23156</v>
      </c>
      <c r="G3236" s="241">
        <f>4665.55+1077.55</f>
        <v>5743.1</v>
      </c>
      <c r="H3236" s="241">
        <f>Tabla1[[#This Row],[Importe]]-Tabla1[[#This Row],[Pagado]]</f>
        <v>0</v>
      </c>
      <c r="I3236" s="275" t="s">
        <v>15214</v>
      </c>
    </row>
    <row r="3237" spans="1:9" x14ac:dyDescent="0.25">
      <c r="A3237" s="16">
        <v>42942</v>
      </c>
      <c r="B3237" s="273" t="s">
        <v>23157</v>
      </c>
      <c r="C3237">
        <v>121391</v>
      </c>
      <c r="D3237" s="236" t="s">
        <v>15223</v>
      </c>
      <c r="E3237" s="15">
        <v>20113.28</v>
      </c>
      <c r="F3237" s="274">
        <v>42967</v>
      </c>
      <c r="G3237" s="15">
        <v>20113.28</v>
      </c>
      <c r="H3237" s="15">
        <f>Tabla1[[#This Row],[Importe]]-Tabla1[[#This Row],[Pagado]]</f>
        <v>0</v>
      </c>
      <c r="I3237" s="275" t="s">
        <v>15214</v>
      </c>
    </row>
    <row r="3238" spans="1:9" x14ac:dyDescent="0.25">
      <c r="A3238" s="16">
        <v>42942</v>
      </c>
      <c r="B3238" s="273" t="s">
        <v>23158</v>
      </c>
      <c r="C3238">
        <v>121392</v>
      </c>
      <c r="D3238" s="236" t="s">
        <v>19680</v>
      </c>
      <c r="E3238" s="15">
        <v>100</v>
      </c>
      <c r="F3238" s="274">
        <v>42942</v>
      </c>
      <c r="G3238" s="15">
        <v>100</v>
      </c>
      <c r="H3238" s="15">
        <f>Tabla1[[#This Row],[Importe]]-Tabla1[[#This Row],[Pagado]]</f>
        <v>0</v>
      </c>
      <c r="I3238" s="275" t="s">
        <v>15214</v>
      </c>
    </row>
    <row r="3239" spans="1:9" x14ac:dyDescent="0.25">
      <c r="A3239" s="16">
        <v>42942</v>
      </c>
      <c r="B3239" s="273" t="s">
        <v>23159</v>
      </c>
      <c r="C3239">
        <v>121393</v>
      </c>
      <c r="D3239" s="236" t="s">
        <v>15444</v>
      </c>
      <c r="E3239" s="15">
        <v>1798.2</v>
      </c>
      <c r="F3239" s="274">
        <v>42943</v>
      </c>
      <c r="G3239" s="15">
        <v>1798.2</v>
      </c>
      <c r="H3239" s="15">
        <f>Tabla1[[#This Row],[Importe]]-Tabla1[[#This Row],[Pagado]]</f>
        <v>0</v>
      </c>
      <c r="I3239" s="275" t="s">
        <v>15214</v>
      </c>
    </row>
    <row r="3240" spans="1:9" x14ac:dyDescent="0.25">
      <c r="A3240" s="16">
        <v>42943</v>
      </c>
      <c r="B3240" s="273" t="s">
        <v>23160</v>
      </c>
      <c r="C3240">
        <v>121394</v>
      </c>
      <c r="D3240" s="236" t="s">
        <v>15213</v>
      </c>
      <c r="E3240" s="15">
        <v>46336.800000000003</v>
      </c>
      <c r="F3240" s="274">
        <v>42944</v>
      </c>
      <c r="G3240" s="15">
        <v>46336.800000000003</v>
      </c>
      <c r="H3240" s="15">
        <f>Tabla1[[#This Row],[Importe]]-Tabla1[[#This Row],[Pagado]]</f>
        <v>0</v>
      </c>
      <c r="I3240" s="275" t="s">
        <v>15214</v>
      </c>
    </row>
    <row r="3241" spans="1:9" x14ac:dyDescent="0.25">
      <c r="A3241" s="16">
        <v>42943</v>
      </c>
      <c r="B3241" s="273" t="s">
        <v>23161</v>
      </c>
      <c r="C3241">
        <v>121395</v>
      </c>
      <c r="D3241" s="236" t="s">
        <v>15213</v>
      </c>
      <c r="E3241" s="15">
        <v>703.8</v>
      </c>
      <c r="F3241" s="274">
        <v>42944</v>
      </c>
      <c r="G3241" s="15">
        <v>703.8</v>
      </c>
      <c r="H3241" s="15">
        <f>Tabla1[[#This Row],[Importe]]-Tabla1[[#This Row],[Pagado]]</f>
        <v>0</v>
      </c>
      <c r="I3241" s="275" t="s">
        <v>15214</v>
      </c>
    </row>
    <row r="3242" spans="1:9" x14ac:dyDescent="0.25">
      <c r="A3242" s="16">
        <v>42943</v>
      </c>
      <c r="B3242" s="273" t="s">
        <v>23162</v>
      </c>
      <c r="C3242">
        <v>121396</v>
      </c>
      <c r="D3242" s="236" t="s">
        <v>21386</v>
      </c>
      <c r="E3242" s="15">
        <v>7241.2</v>
      </c>
      <c r="F3242" s="274">
        <v>42944</v>
      </c>
      <c r="G3242" s="15">
        <v>7241.2</v>
      </c>
      <c r="H3242" s="15">
        <f>Tabla1[[#This Row],[Importe]]-Tabla1[[#This Row],[Pagado]]</f>
        <v>0</v>
      </c>
      <c r="I3242" s="275" t="s">
        <v>15214</v>
      </c>
    </row>
    <row r="3243" spans="1:9" x14ac:dyDescent="0.25">
      <c r="A3243" s="16">
        <v>42943</v>
      </c>
      <c r="B3243" s="273" t="s">
        <v>23163</v>
      </c>
      <c r="C3243">
        <v>121397</v>
      </c>
      <c r="D3243" s="236" t="s">
        <v>15250</v>
      </c>
      <c r="E3243" s="15">
        <v>74354.06</v>
      </c>
      <c r="F3243" s="274">
        <v>42961</v>
      </c>
      <c r="G3243" s="15">
        <v>74354.06</v>
      </c>
      <c r="H3243" s="15">
        <f>Tabla1[[#This Row],[Importe]]-Tabla1[[#This Row],[Pagado]]</f>
        <v>0</v>
      </c>
      <c r="I3243" s="275" t="s">
        <v>15214</v>
      </c>
    </row>
    <row r="3244" spans="1:9" x14ac:dyDescent="0.25">
      <c r="A3244" s="16">
        <v>42943</v>
      </c>
      <c r="B3244" s="273" t="s">
        <v>23164</v>
      </c>
      <c r="C3244">
        <v>121398</v>
      </c>
      <c r="D3244" s="236" t="s">
        <v>15242</v>
      </c>
      <c r="E3244" s="15">
        <v>10196.9</v>
      </c>
      <c r="F3244" s="274">
        <v>42943</v>
      </c>
      <c r="G3244" s="15">
        <v>10196.9</v>
      </c>
      <c r="H3244" s="15">
        <f>Tabla1[[#This Row],[Importe]]-Tabla1[[#This Row],[Pagado]]</f>
        <v>0</v>
      </c>
      <c r="I3244" s="275" t="s">
        <v>15214</v>
      </c>
    </row>
    <row r="3245" spans="1:9" x14ac:dyDescent="0.25">
      <c r="A3245" s="16">
        <v>42943</v>
      </c>
      <c r="B3245" s="273" t="s">
        <v>23165</v>
      </c>
      <c r="C3245">
        <v>121399</v>
      </c>
      <c r="D3245" s="236" t="s">
        <v>15226</v>
      </c>
      <c r="E3245" s="15">
        <v>1611.2</v>
      </c>
      <c r="F3245" s="274">
        <v>42947</v>
      </c>
      <c r="G3245" s="15">
        <v>1611.2</v>
      </c>
      <c r="H3245" s="15">
        <f>Tabla1[[#This Row],[Importe]]-Tabla1[[#This Row],[Pagado]]</f>
        <v>0</v>
      </c>
      <c r="I3245" s="275" t="s">
        <v>15214</v>
      </c>
    </row>
    <row r="3246" spans="1:9" ht="30" x14ac:dyDescent="0.25">
      <c r="A3246" s="16">
        <v>42943</v>
      </c>
      <c r="B3246" s="273" t="s">
        <v>23166</v>
      </c>
      <c r="C3246">
        <v>121400</v>
      </c>
      <c r="D3246" s="236" t="s">
        <v>15234</v>
      </c>
      <c r="E3246" s="15">
        <v>3040.8</v>
      </c>
      <c r="F3246" s="274" t="s">
        <v>23167</v>
      </c>
      <c r="G3246" s="241">
        <f>2900+140.8</f>
        <v>3040.8</v>
      </c>
      <c r="H3246" s="241">
        <f>Tabla1[[#This Row],[Importe]]-Tabla1[[#This Row],[Pagado]]</f>
        <v>0</v>
      </c>
      <c r="I3246" s="275" t="s">
        <v>15214</v>
      </c>
    </row>
    <row r="3247" spans="1:9" x14ac:dyDescent="0.25">
      <c r="A3247" s="16">
        <v>42943</v>
      </c>
      <c r="B3247" s="273" t="s">
        <v>23168</v>
      </c>
      <c r="C3247">
        <v>121401</v>
      </c>
      <c r="D3247" s="236" t="s">
        <v>15220</v>
      </c>
      <c r="E3247" s="15">
        <v>2600</v>
      </c>
      <c r="F3247" s="274">
        <v>42943</v>
      </c>
      <c r="G3247" s="15">
        <v>2600</v>
      </c>
      <c r="H3247" s="15">
        <f>Tabla1[[#This Row],[Importe]]-Tabla1[[#This Row],[Pagado]]</f>
        <v>0</v>
      </c>
      <c r="I3247" s="275" t="s">
        <v>15214</v>
      </c>
    </row>
    <row r="3248" spans="1:9" ht="30" x14ac:dyDescent="0.25">
      <c r="A3248" s="16">
        <v>42943</v>
      </c>
      <c r="B3248" s="273" t="s">
        <v>23169</v>
      </c>
      <c r="C3248">
        <v>121402</v>
      </c>
      <c r="D3248" s="236" t="s">
        <v>15256</v>
      </c>
      <c r="E3248" s="15">
        <v>5263.6</v>
      </c>
      <c r="F3248" s="292" t="s">
        <v>23752</v>
      </c>
      <c r="G3248" s="107">
        <f>4600+663.6</f>
        <v>5263.6</v>
      </c>
      <c r="H3248" s="241">
        <f>Tabla1[[#This Row],[Importe]]-Tabla1[[#This Row],[Pagado]]</f>
        <v>0</v>
      </c>
      <c r="I3248" s="275" t="s">
        <v>15214</v>
      </c>
    </row>
    <row r="3249" spans="1:9" ht="15.75" x14ac:dyDescent="0.25">
      <c r="A3249" s="16">
        <v>42943</v>
      </c>
      <c r="B3249" s="273" t="s">
        <v>23170</v>
      </c>
      <c r="C3249">
        <v>121403</v>
      </c>
      <c r="D3249" s="248" t="s">
        <v>95</v>
      </c>
      <c r="E3249" s="15">
        <v>0</v>
      </c>
      <c r="F3249" s="277" t="s">
        <v>95</v>
      </c>
      <c r="G3249" s="15">
        <v>0</v>
      </c>
      <c r="H3249" s="15">
        <f>Tabla1[[#This Row],[Importe]]-Tabla1[[#This Row],[Pagado]]</f>
        <v>0</v>
      </c>
      <c r="I3249" s="275" t="s">
        <v>95</v>
      </c>
    </row>
    <row r="3250" spans="1:9" x14ac:dyDescent="0.25">
      <c r="A3250" s="16">
        <v>42943</v>
      </c>
      <c r="B3250" s="273" t="s">
        <v>23171</v>
      </c>
      <c r="C3250">
        <v>121404</v>
      </c>
      <c r="D3250" s="236" t="s">
        <v>15230</v>
      </c>
      <c r="E3250" s="15">
        <v>9021.4</v>
      </c>
      <c r="F3250" s="274">
        <v>42945</v>
      </c>
      <c r="G3250" s="15">
        <v>9021.4</v>
      </c>
      <c r="H3250" s="15">
        <f>Tabla1[[#This Row],[Importe]]-Tabla1[[#This Row],[Pagado]]</f>
        <v>0</v>
      </c>
      <c r="I3250" s="275" t="s">
        <v>15214</v>
      </c>
    </row>
    <row r="3251" spans="1:9" x14ac:dyDescent="0.25">
      <c r="A3251" s="16">
        <v>42943</v>
      </c>
      <c r="B3251" s="273" t="s">
        <v>23172</v>
      </c>
      <c r="C3251">
        <v>121405</v>
      </c>
      <c r="D3251" s="236" t="s">
        <v>15232</v>
      </c>
      <c r="E3251" s="15">
        <v>6570.4</v>
      </c>
      <c r="F3251" s="274">
        <v>42950</v>
      </c>
      <c r="G3251" s="15">
        <v>6570.4</v>
      </c>
      <c r="H3251" s="15">
        <f>Tabla1[[#This Row],[Importe]]-Tabla1[[#This Row],[Pagado]]</f>
        <v>0</v>
      </c>
      <c r="I3251" s="275" t="s">
        <v>15214</v>
      </c>
    </row>
    <row r="3252" spans="1:9" x14ac:dyDescent="0.25">
      <c r="A3252" s="16">
        <v>42943</v>
      </c>
      <c r="B3252" s="273" t="s">
        <v>23173</v>
      </c>
      <c r="C3252">
        <v>121406</v>
      </c>
      <c r="D3252" s="236" t="s">
        <v>15480</v>
      </c>
      <c r="E3252" s="15">
        <v>4026.04</v>
      </c>
      <c r="F3252" s="274">
        <v>42945</v>
      </c>
      <c r="G3252" s="15">
        <v>4026.04</v>
      </c>
      <c r="H3252" s="15">
        <f>Tabla1[[#This Row],[Importe]]-Tabla1[[#This Row],[Pagado]]</f>
        <v>0</v>
      </c>
      <c r="I3252" s="275" t="s">
        <v>15214</v>
      </c>
    </row>
    <row r="3253" spans="1:9" ht="30" x14ac:dyDescent="0.25">
      <c r="A3253" s="16">
        <v>42943</v>
      </c>
      <c r="B3253" s="273" t="s">
        <v>23174</v>
      </c>
      <c r="C3253">
        <v>121407</v>
      </c>
      <c r="D3253" s="236" t="s">
        <v>15258</v>
      </c>
      <c r="E3253" s="15">
        <v>9861.6</v>
      </c>
      <c r="F3253" s="292" t="s">
        <v>23752</v>
      </c>
      <c r="G3253" s="107">
        <f>2000+7861.6</f>
        <v>9861.6</v>
      </c>
      <c r="H3253" s="241">
        <f>Tabla1[[#This Row],[Importe]]-Tabla1[[#This Row],[Pagado]]</f>
        <v>0</v>
      </c>
      <c r="I3253" s="275" t="s">
        <v>15214</v>
      </c>
    </row>
    <row r="3254" spans="1:9" x14ac:dyDescent="0.25">
      <c r="A3254" s="16">
        <v>42943</v>
      </c>
      <c r="B3254" s="273" t="s">
        <v>23175</v>
      </c>
      <c r="C3254">
        <v>121408</v>
      </c>
      <c r="D3254" s="236" t="s">
        <v>15858</v>
      </c>
      <c r="E3254" s="15">
        <v>3513.96</v>
      </c>
      <c r="F3254" s="274">
        <v>42943</v>
      </c>
      <c r="G3254" s="15">
        <v>3513.96</v>
      </c>
      <c r="H3254" s="15">
        <f>Tabla1[[#This Row],[Importe]]-Tabla1[[#This Row],[Pagado]]</f>
        <v>0</v>
      </c>
      <c r="I3254" s="275" t="s">
        <v>15214</v>
      </c>
    </row>
    <row r="3255" spans="1:9" x14ac:dyDescent="0.25">
      <c r="A3255" s="16">
        <v>42943</v>
      </c>
      <c r="B3255" s="273" t="s">
        <v>23176</v>
      </c>
      <c r="C3255">
        <v>121409</v>
      </c>
      <c r="D3255" s="236" t="s">
        <v>15238</v>
      </c>
      <c r="E3255" s="15">
        <v>5533.2</v>
      </c>
      <c r="F3255" s="274">
        <v>42945</v>
      </c>
      <c r="G3255" s="15">
        <v>5533.2</v>
      </c>
      <c r="H3255" s="15">
        <f>Tabla1[[#This Row],[Importe]]-Tabla1[[#This Row],[Pagado]]</f>
        <v>0</v>
      </c>
      <c r="I3255" s="275" t="s">
        <v>15214</v>
      </c>
    </row>
    <row r="3256" spans="1:9" x14ac:dyDescent="0.25">
      <c r="A3256" s="16">
        <v>42943</v>
      </c>
      <c r="B3256" s="273" t="s">
        <v>23177</v>
      </c>
      <c r="C3256">
        <v>121410</v>
      </c>
      <c r="D3256" s="236" t="s">
        <v>15250</v>
      </c>
      <c r="E3256" s="15">
        <v>8046.72</v>
      </c>
      <c r="F3256" s="274">
        <v>42961</v>
      </c>
      <c r="G3256" s="15">
        <v>8046.72</v>
      </c>
      <c r="H3256" s="15">
        <f>Tabla1[[#This Row],[Importe]]-Tabla1[[#This Row],[Pagado]]</f>
        <v>0</v>
      </c>
      <c r="I3256" s="275" t="s">
        <v>15214</v>
      </c>
    </row>
    <row r="3257" spans="1:9" x14ac:dyDescent="0.25">
      <c r="A3257" s="16">
        <v>42943</v>
      </c>
      <c r="B3257" s="273" t="s">
        <v>23178</v>
      </c>
      <c r="C3257">
        <v>121411</v>
      </c>
      <c r="D3257" s="236" t="s">
        <v>15261</v>
      </c>
      <c r="E3257" s="15">
        <v>16932.599999999999</v>
      </c>
      <c r="F3257" s="274">
        <v>42943</v>
      </c>
      <c r="G3257" s="15">
        <v>16932.599999999999</v>
      </c>
      <c r="H3257" s="15">
        <f>Tabla1[[#This Row],[Importe]]-Tabla1[[#This Row],[Pagado]]</f>
        <v>0</v>
      </c>
      <c r="I3257" s="275" t="s">
        <v>15214</v>
      </c>
    </row>
    <row r="3258" spans="1:9" x14ac:dyDescent="0.25">
      <c r="A3258" s="16">
        <v>42943</v>
      </c>
      <c r="B3258" s="273" t="s">
        <v>23179</v>
      </c>
      <c r="C3258">
        <v>121412</v>
      </c>
      <c r="D3258" s="236" t="s">
        <v>15223</v>
      </c>
      <c r="E3258" s="15">
        <v>50974.7</v>
      </c>
      <c r="F3258" s="274">
        <v>42967</v>
      </c>
      <c r="G3258" s="15">
        <v>50974.7</v>
      </c>
      <c r="H3258" s="15">
        <f>Tabla1[[#This Row],[Importe]]-Tabla1[[#This Row],[Pagado]]</f>
        <v>0</v>
      </c>
      <c r="I3258" s="275" t="s">
        <v>15214</v>
      </c>
    </row>
    <row r="3259" spans="1:9" x14ac:dyDescent="0.25">
      <c r="A3259" s="16">
        <v>42943</v>
      </c>
      <c r="B3259" s="273" t="s">
        <v>23180</v>
      </c>
      <c r="C3259">
        <v>121413</v>
      </c>
      <c r="D3259" s="236" t="s">
        <v>15246</v>
      </c>
      <c r="E3259" s="15">
        <v>7201.6</v>
      </c>
      <c r="F3259" s="274">
        <v>42947</v>
      </c>
      <c r="G3259" s="15">
        <v>7201.6</v>
      </c>
      <c r="H3259" s="15">
        <f>Tabla1[[#This Row],[Importe]]-Tabla1[[#This Row],[Pagado]]</f>
        <v>0</v>
      </c>
      <c r="I3259" s="275" t="s">
        <v>15214</v>
      </c>
    </row>
    <row r="3260" spans="1:9" x14ac:dyDescent="0.25">
      <c r="A3260" s="16">
        <v>42943</v>
      </c>
      <c r="B3260" s="273" t="s">
        <v>23181</v>
      </c>
      <c r="C3260">
        <v>121414</v>
      </c>
      <c r="D3260" s="236" t="s">
        <v>15523</v>
      </c>
      <c r="E3260" s="15">
        <v>2080</v>
      </c>
      <c r="F3260" s="274">
        <v>42943</v>
      </c>
      <c r="G3260" s="15">
        <v>2080</v>
      </c>
      <c r="H3260" s="15">
        <f>Tabla1[[#This Row],[Importe]]-Tabla1[[#This Row],[Pagado]]</f>
        <v>0</v>
      </c>
      <c r="I3260" s="275" t="s">
        <v>15214</v>
      </c>
    </row>
    <row r="3261" spans="1:9" x14ac:dyDescent="0.25">
      <c r="A3261" s="16">
        <v>42943</v>
      </c>
      <c r="B3261" s="273" t="s">
        <v>23182</v>
      </c>
      <c r="C3261">
        <v>121415</v>
      </c>
      <c r="D3261" s="236" t="s">
        <v>15348</v>
      </c>
      <c r="E3261" s="15">
        <v>3333.2</v>
      </c>
      <c r="F3261" s="274">
        <v>42943</v>
      </c>
      <c r="G3261" s="15">
        <v>3333.2</v>
      </c>
      <c r="H3261" s="15">
        <f>Tabla1[[#This Row],[Importe]]-Tabla1[[#This Row],[Pagado]]</f>
        <v>0</v>
      </c>
      <c r="I3261" s="275" t="s">
        <v>15214</v>
      </c>
    </row>
    <row r="3262" spans="1:9" x14ac:dyDescent="0.25">
      <c r="A3262" s="16">
        <v>42943</v>
      </c>
      <c r="B3262" s="273" t="s">
        <v>23183</v>
      </c>
      <c r="C3262">
        <v>121416</v>
      </c>
      <c r="D3262" s="236" t="s">
        <v>15240</v>
      </c>
      <c r="E3262" s="15">
        <v>3224</v>
      </c>
      <c r="F3262" s="274">
        <v>42944</v>
      </c>
      <c r="G3262" s="15">
        <v>3224</v>
      </c>
      <c r="H3262" s="15">
        <f>Tabla1[[#This Row],[Importe]]-Tabla1[[#This Row],[Pagado]]</f>
        <v>0</v>
      </c>
      <c r="I3262" s="275" t="s">
        <v>15214</v>
      </c>
    </row>
    <row r="3263" spans="1:9" x14ac:dyDescent="0.25">
      <c r="A3263" s="16">
        <v>42943</v>
      </c>
      <c r="B3263" s="273" t="s">
        <v>23184</v>
      </c>
      <c r="C3263">
        <v>121417</v>
      </c>
      <c r="D3263" s="236" t="s">
        <v>15334</v>
      </c>
      <c r="E3263" s="15">
        <v>828</v>
      </c>
      <c r="F3263" s="274">
        <v>42943</v>
      </c>
      <c r="G3263" s="15">
        <v>828</v>
      </c>
      <c r="H3263" s="15">
        <f>Tabla1[[#This Row],[Importe]]-Tabla1[[#This Row],[Pagado]]</f>
        <v>0</v>
      </c>
      <c r="I3263" s="275" t="s">
        <v>15214</v>
      </c>
    </row>
    <row r="3264" spans="1:9" x14ac:dyDescent="0.25">
      <c r="A3264" s="16">
        <v>42943</v>
      </c>
      <c r="B3264" s="273" t="s">
        <v>23185</v>
      </c>
      <c r="C3264">
        <v>121418</v>
      </c>
      <c r="D3264" s="236" t="s">
        <v>15334</v>
      </c>
      <c r="E3264" s="15">
        <v>1420</v>
      </c>
      <c r="F3264" s="274">
        <v>42943</v>
      </c>
      <c r="G3264" s="15">
        <v>1420</v>
      </c>
      <c r="H3264" s="15">
        <f>Tabla1[[#This Row],[Importe]]-Tabla1[[#This Row],[Pagado]]</f>
        <v>0</v>
      </c>
      <c r="I3264" s="275" t="s">
        <v>15214</v>
      </c>
    </row>
    <row r="3265" spans="1:9" x14ac:dyDescent="0.25">
      <c r="A3265" s="16">
        <v>42943</v>
      </c>
      <c r="B3265" s="273" t="s">
        <v>23186</v>
      </c>
      <c r="C3265">
        <v>121419</v>
      </c>
      <c r="D3265" s="236" t="s">
        <v>15358</v>
      </c>
      <c r="E3265" s="15">
        <v>2203.1999999999998</v>
      </c>
      <c r="F3265" s="274">
        <v>42943</v>
      </c>
      <c r="G3265" s="15">
        <v>2203.1999999999998</v>
      </c>
      <c r="H3265" s="15">
        <f>Tabla1[[#This Row],[Importe]]-Tabla1[[#This Row],[Pagado]]</f>
        <v>0</v>
      </c>
      <c r="I3265" s="275" t="s">
        <v>15214</v>
      </c>
    </row>
    <row r="3266" spans="1:9" x14ac:dyDescent="0.25">
      <c r="A3266" s="16">
        <v>42943</v>
      </c>
      <c r="B3266" s="273" t="s">
        <v>23187</v>
      </c>
      <c r="C3266">
        <v>121420</v>
      </c>
      <c r="D3266" s="236" t="s">
        <v>15338</v>
      </c>
      <c r="E3266" s="15">
        <v>8536.4</v>
      </c>
      <c r="F3266" s="292">
        <v>42948</v>
      </c>
      <c r="G3266" s="15">
        <v>8536.4</v>
      </c>
      <c r="H3266" s="15">
        <f>Tabla1[[#This Row],[Importe]]-Tabla1[[#This Row],[Pagado]]</f>
        <v>0</v>
      </c>
      <c r="I3266" s="275" t="s">
        <v>15214</v>
      </c>
    </row>
    <row r="3267" spans="1:9" x14ac:dyDescent="0.25">
      <c r="A3267" s="16">
        <v>42943</v>
      </c>
      <c r="B3267" s="273" t="s">
        <v>23188</v>
      </c>
      <c r="C3267">
        <v>121421</v>
      </c>
      <c r="D3267" s="236" t="s">
        <v>15358</v>
      </c>
      <c r="E3267" s="15">
        <v>1310.7</v>
      </c>
      <c r="F3267" s="274">
        <v>42943</v>
      </c>
      <c r="G3267" s="15">
        <v>1310.7</v>
      </c>
      <c r="H3267" s="15">
        <f>Tabla1[[#This Row],[Importe]]-Tabla1[[#This Row],[Pagado]]</f>
        <v>0</v>
      </c>
      <c r="I3267" s="275" t="s">
        <v>15214</v>
      </c>
    </row>
    <row r="3268" spans="1:9" x14ac:dyDescent="0.25">
      <c r="A3268" s="16">
        <v>42943</v>
      </c>
      <c r="B3268" s="273" t="s">
        <v>23189</v>
      </c>
      <c r="C3268">
        <v>121422</v>
      </c>
      <c r="D3268" s="236" t="s">
        <v>15336</v>
      </c>
      <c r="E3268" s="15">
        <v>4957.2</v>
      </c>
      <c r="F3268" s="274">
        <v>42943</v>
      </c>
      <c r="G3268" s="15">
        <v>4957.2</v>
      </c>
      <c r="H3268" s="15">
        <f>Tabla1[[#This Row],[Importe]]-Tabla1[[#This Row],[Pagado]]</f>
        <v>0</v>
      </c>
      <c r="I3268" s="275" t="s">
        <v>15214</v>
      </c>
    </row>
    <row r="3269" spans="1:9" x14ac:dyDescent="0.25">
      <c r="A3269" s="16">
        <v>42943</v>
      </c>
      <c r="B3269" s="273" t="s">
        <v>23190</v>
      </c>
      <c r="C3269">
        <v>121423</v>
      </c>
      <c r="D3269" s="236" t="s">
        <v>15344</v>
      </c>
      <c r="E3269" s="15">
        <v>2343.6</v>
      </c>
      <c r="F3269" s="274">
        <v>42943</v>
      </c>
      <c r="G3269" s="15">
        <v>2343.6</v>
      </c>
      <c r="H3269" s="15">
        <f>Tabla1[[#This Row],[Importe]]-Tabla1[[#This Row],[Pagado]]</f>
        <v>0</v>
      </c>
      <c r="I3269" s="275" t="s">
        <v>15214</v>
      </c>
    </row>
    <row r="3270" spans="1:9" x14ac:dyDescent="0.25">
      <c r="A3270" s="16">
        <v>42943</v>
      </c>
      <c r="B3270" s="273" t="s">
        <v>23191</v>
      </c>
      <c r="C3270">
        <v>121424</v>
      </c>
      <c r="D3270" s="236" t="s">
        <v>15526</v>
      </c>
      <c r="E3270" s="15">
        <v>2716.2</v>
      </c>
      <c r="F3270" s="274">
        <v>42943</v>
      </c>
      <c r="G3270" s="15">
        <v>2716.2</v>
      </c>
      <c r="H3270" s="15">
        <f>Tabla1[[#This Row],[Importe]]-Tabla1[[#This Row],[Pagado]]</f>
        <v>0</v>
      </c>
      <c r="I3270" s="275" t="s">
        <v>15214</v>
      </c>
    </row>
    <row r="3271" spans="1:9" x14ac:dyDescent="0.25">
      <c r="A3271" s="16">
        <v>42943</v>
      </c>
      <c r="B3271" s="273" t="s">
        <v>23192</v>
      </c>
      <c r="C3271">
        <v>121425</v>
      </c>
      <c r="D3271" s="236" t="s">
        <v>15732</v>
      </c>
      <c r="E3271" s="15">
        <v>840.5</v>
      </c>
      <c r="F3271" s="274">
        <v>42943</v>
      </c>
      <c r="G3271" s="15">
        <v>840.5</v>
      </c>
      <c r="H3271" s="15">
        <f>Tabla1[[#This Row],[Importe]]-Tabla1[[#This Row],[Pagado]]</f>
        <v>0</v>
      </c>
      <c r="I3271" s="275" t="s">
        <v>15214</v>
      </c>
    </row>
    <row r="3272" spans="1:9" x14ac:dyDescent="0.25">
      <c r="A3272" s="16">
        <v>42943</v>
      </c>
      <c r="B3272" s="273" t="s">
        <v>23193</v>
      </c>
      <c r="C3272">
        <v>121426</v>
      </c>
      <c r="D3272" s="236" t="s">
        <v>15748</v>
      </c>
      <c r="E3272" s="15">
        <v>1150.4000000000001</v>
      </c>
      <c r="F3272" s="274">
        <v>42943</v>
      </c>
      <c r="G3272" s="15">
        <v>1150.4000000000001</v>
      </c>
      <c r="H3272" s="15">
        <f>Tabla1[[#This Row],[Importe]]-Tabla1[[#This Row],[Pagado]]</f>
        <v>0</v>
      </c>
      <c r="I3272" s="275" t="s">
        <v>15214</v>
      </c>
    </row>
    <row r="3273" spans="1:9" x14ac:dyDescent="0.25">
      <c r="A3273" s="16">
        <v>42943</v>
      </c>
      <c r="B3273" s="273" t="s">
        <v>23194</v>
      </c>
      <c r="C3273">
        <v>121427</v>
      </c>
      <c r="D3273" s="236" t="s">
        <v>15523</v>
      </c>
      <c r="E3273" s="15">
        <v>260</v>
      </c>
      <c r="F3273" s="274">
        <v>42943</v>
      </c>
      <c r="G3273" s="15">
        <v>260</v>
      </c>
      <c r="H3273" s="15">
        <f>Tabla1[[#This Row],[Importe]]-Tabla1[[#This Row],[Pagado]]</f>
        <v>0</v>
      </c>
      <c r="I3273" s="275" t="s">
        <v>15214</v>
      </c>
    </row>
    <row r="3274" spans="1:9" x14ac:dyDescent="0.25">
      <c r="A3274" s="16">
        <v>42943</v>
      </c>
      <c r="B3274" s="273" t="s">
        <v>23195</v>
      </c>
      <c r="C3274">
        <v>121428</v>
      </c>
      <c r="D3274" s="236" t="s">
        <v>15328</v>
      </c>
      <c r="E3274" s="15">
        <v>520</v>
      </c>
      <c r="F3274" s="274">
        <v>42959</v>
      </c>
      <c r="G3274" s="15">
        <v>520</v>
      </c>
      <c r="H3274" s="15">
        <f>Tabla1[[#This Row],[Importe]]-Tabla1[[#This Row],[Pagado]]</f>
        <v>0</v>
      </c>
      <c r="I3274" s="275" t="s">
        <v>15214</v>
      </c>
    </row>
    <row r="3275" spans="1:9" x14ac:dyDescent="0.25">
      <c r="A3275" s="16">
        <v>42943</v>
      </c>
      <c r="B3275" s="273" t="s">
        <v>23196</v>
      </c>
      <c r="C3275">
        <v>121429</v>
      </c>
      <c r="D3275" s="236" t="s">
        <v>15530</v>
      </c>
      <c r="E3275" s="15">
        <v>1459.2</v>
      </c>
      <c r="F3275" s="274">
        <v>42943</v>
      </c>
      <c r="G3275" s="15">
        <v>1459.2</v>
      </c>
      <c r="H3275" s="15">
        <f>Tabla1[[#This Row],[Importe]]-Tabla1[[#This Row],[Pagado]]</f>
        <v>0</v>
      </c>
      <c r="I3275" s="275" t="s">
        <v>15214</v>
      </c>
    </row>
    <row r="3276" spans="1:9" x14ac:dyDescent="0.25">
      <c r="A3276" s="16">
        <v>42943</v>
      </c>
      <c r="B3276" s="273" t="s">
        <v>23197</v>
      </c>
      <c r="C3276">
        <v>121430</v>
      </c>
      <c r="D3276" s="236" t="s">
        <v>16023</v>
      </c>
      <c r="E3276" s="15">
        <v>1115</v>
      </c>
      <c r="F3276" s="274">
        <v>42943</v>
      </c>
      <c r="G3276" s="15">
        <v>1115</v>
      </c>
      <c r="H3276" s="15">
        <f>Tabla1[[#This Row],[Importe]]-Tabla1[[#This Row],[Pagado]]</f>
        <v>0</v>
      </c>
      <c r="I3276" s="275" t="s">
        <v>15214</v>
      </c>
    </row>
    <row r="3277" spans="1:9" x14ac:dyDescent="0.25">
      <c r="A3277" s="16">
        <v>42943</v>
      </c>
      <c r="B3277" s="273" t="s">
        <v>23198</v>
      </c>
      <c r="C3277">
        <v>121431</v>
      </c>
      <c r="D3277" s="236" t="s">
        <v>18544</v>
      </c>
      <c r="E3277" s="15">
        <v>7972.2</v>
      </c>
      <c r="F3277" s="274">
        <v>42943</v>
      </c>
      <c r="G3277" s="15">
        <v>7972.2</v>
      </c>
      <c r="H3277" s="15">
        <f>Tabla1[[#This Row],[Importe]]-Tabla1[[#This Row],[Pagado]]</f>
        <v>0</v>
      </c>
      <c r="I3277" s="275" t="s">
        <v>15214</v>
      </c>
    </row>
    <row r="3278" spans="1:9" x14ac:dyDescent="0.25">
      <c r="A3278" s="16">
        <v>42943</v>
      </c>
      <c r="B3278" s="273" t="s">
        <v>23199</v>
      </c>
      <c r="C3278">
        <v>121432</v>
      </c>
      <c r="D3278" s="236" t="s">
        <v>15263</v>
      </c>
      <c r="E3278" s="15">
        <v>2903</v>
      </c>
      <c r="F3278" s="274">
        <v>42943</v>
      </c>
      <c r="G3278" s="15">
        <v>2903</v>
      </c>
      <c r="H3278" s="15">
        <f>Tabla1[[#This Row],[Importe]]-Tabla1[[#This Row],[Pagado]]</f>
        <v>0</v>
      </c>
      <c r="I3278" s="275" t="s">
        <v>15214</v>
      </c>
    </row>
    <row r="3279" spans="1:9" x14ac:dyDescent="0.25">
      <c r="A3279" s="16">
        <v>42943</v>
      </c>
      <c r="B3279" s="273" t="s">
        <v>23200</v>
      </c>
      <c r="C3279">
        <v>121433</v>
      </c>
      <c r="D3279" s="236" t="s">
        <v>15387</v>
      </c>
      <c r="E3279" s="15">
        <v>3053.14</v>
      </c>
      <c r="F3279" s="274">
        <v>42943</v>
      </c>
      <c r="G3279" s="15">
        <v>3053.14</v>
      </c>
      <c r="H3279" s="15">
        <f>Tabla1[[#This Row],[Importe]]-Tabla1[[#This Row],[Pagado]]</f>
        <v>0</v>
      </c>
      <c r="I3279" s="275" t="s">
        <v>15214</v>
      </c>
    </row>
    <row r="3280" spans="1:9" x14ac:dyDescent="0.25">
      <c r="A3280" s="16">
        <v>42943</v>
      </c>
      <c r="B3280" s="273" t="s">
        <v>23201</v>
      </c>
      <c r="C3280">
        <v>121434</v>
      </c>
      <c r="D3280" s="236" t="s">
        <v>15278</v>
      </c>
      <c r="E3280" s="15">
        <v>7452.72</v>
      </c>
      <c r="F3280" s="274">
        <v>42943</v>
      </c>
      <c r="G3280" s="15">
        <v>7452.72</v>
      </c>
      <c r="H3280" s="15">
        <f>Tabla1[[#This Row],[Importe]]-Tabla1[[#This Row],[Pagado]]</f>
        <v>0</v>
      </c>
      <c r="I3280" s="275" t="s">
        <v>15214</v>
      </c>
    </row>
    <row r="3281" spans="1:9" x14ac:dyDescent="0.25">
      <c r="A3281" s="16">
        <v>42943</v>
      </c>
      <c r="B3281" s="273" t="s">
        <v>23202</v>
      </c>
      <c r="C3281">
        <v>121435</v>
      </c>
      <c r="D3281" s="236" t="s">
        <v>15317</v>
      </c>
      <c r="E3281" s="15">
        <v>3352.2</v>
      </c>
      <c r="F3281" s="274">
        <v>42945</v>
      </c>
      <c r="G3281" s="15">
        <v>3352.2</v>
      </c>
      <c r="H3281" s="15">
        <f>Tabla1[[#This Row],[Importe]]-Tabla1[[#This Row],[Pagado]]</f>
        <v>0</v>
      </c>
      <c r="I3281" s="275" t="s">
        <v>15214</v>
      </c>
    </row>
    <row r="3282" spans="1:9" x14ac:dyDescent="0.25">
      <c r="A3282" s="16">
        <v>42943</v>
      </c>
      <c r="B3282" s="273" t="s">
        <v>23203</v>
      </c>
      <c r="C3282">
        <v>121436</v>
      </c>
      <c r="D3282" s="236" t="s">
        <v>15415</v>
      </c>
      <c r="E3282" s="15">
        <v>3338.4</v>
      </c>
      <c r="F3282" s="274">
        <v>42944</v>
      </c>
      <c r="G3282" s="15">
        <v>3338.4</v>
      </c>
      <c r="H3282" s="15">
        <f>Tabla1[[#This Row],[Importe]]-Tabla1[[#This Row],[Pagado]]</f>
        <v>0</v>
      </c>
      <c r="I3282" s="275" t="s">
        <v>15214</v>
      </c>
    </row>
    <row r="3283" spans="1:9" x14ac:dyDescent="0.25">
      <c r="A3283" s="16">
        <v>42943</v>
      </c>
      <c r="B3283" s="273" t="s">
        <v>23204</v>
      </c>
      <c r="C3283">
        <v>121437</v>
      </c>
      <c r="D3283" s="236" t="s">
        <v>15301</v>
      </c>
      <c r="E3283" s="15">
        <v>3142.9</v>
      </c>
      <c r="F3283" s="274">
        <v>42943</v>
      </c>
      <c r="G3283" s="15">
        <v>3142.9</v>
      </c>
      <c r="H3283" s="15">
        <f>Tabla1[[#This Row],[Importe]]-Tabla1[[#This Row],[Pagado]]</f>
        <v>0</v>
      </c>
      <c r="I3283" s="275" t="s">
        <v>15214</v>
      </c>
    </row>
    <row r="3284" spans="1:9" x14ac:dyDescent="0.25">
      <c r="A3284" s="16">
        <v>42943</v>
      </c>
      <c r="B3284" s="273" t="s">
        <v>23205</v>
      </c>
      <c r="C3284">
        <v>121438</v>
      </c>
      <c r="D3284" s="236" t="s">
        <v>23206</v>
      </c>
      <c r="E3284" s="15">
        <v>7728</v>
      </c>
      <c r="F3284" s="274">
        <v>42943</v>
      </c>
      <c r="G3284" s="15">
        <v>7728</v>
      </c>
      <c r="H3284" s="15">
        <f>Tabla1[[#This Row],[Importe]]-Tabla1[[#This Row],[Pagado]]</f>
        <v>0</v>
      </c>
      <c r="I3284" s="275" t="s">
        <v>15214</v>
      </c>
    </row>
    <row r="3285" spans="1:9" x14ac:dyDescent="0.25">
      <c r="A3285" s="16">
        <v>42943</v>
      </c>
      <c r="B3285" s="273" t="s">
        <v>23207</v>
      </c>
      <c r="C3285">
        <v>121439</v>
      </c>
      <c r="D3285" s="236" t="s">
        <v>15624</v>
      </c>
      <c r="E3285" s="15">
        <v>38033.58</v>
      </c>
      <c r="F3285" s="274">
        <v>42944</v>
      </c>
      <c r="G3285" s="15">
        <v>38033.58</v>
      </c>
      <c r="H3285" s="15">
        <f>Tabla1[[#This Row],[Importe]]-Tabla1[[#This Row],[Pagado]]</f>
        <v>0</v>
      </c>
      <c r="I3285" s="275" t="s">
        <v>15214</v>
      </c>
    </row>
    <row r="3286" spans="1:9" x14ac:dyDescent="0.25">
      <c r="A3286" s="16">
        <v>42943</v>
      </c>
      <c r="B3286" s="273" t="s">
        <v>23208</v>
      </c>
      <c r="C3286">
        <v>121440</v>
      </c>
      <c r="D3286" s="236" t="s">
        <v>15324</v>
      </c>
      <c r="E3286" s="15">
        <v>1755</v>
      </c>
      <c r="F3286" s="274">
        <v>42943</v>
      </c>
      <c r="G3286" s="15">
        <v>1755</v>
      </c>
      <c r="H3286" s="15">
        <f>Tabla1[[#This Row],[Importe]]-Tabla1[[#This Row],[Pagado]]</f>
        <v>0</v>
      </c>
      <c r="I3286" s="275" t="s">
        <v>15214</v>
      </c>
    </row>
    <row r="3287" spans="1:9" x14ac:dyDescent="0.25">
      <c r="A3287" s="16">
        <v>42943</v>
      </c>
      <c r="B3287" s="273" t="s">
        <v>23209</v>
      </c>
      <c r="C3287">
        <v>121441</v>
      </c>
      <c r="D3287" s="236" t="s">
        <v>15280</v>
      </c>
      <c r="E3287" s="15">
        <v>6313.7</v>
      </c>
      <c r="F3287" s="274">
        <v>42943</v>
      </c>
      <c r="G3287" s="15">
        <v>6313.7</v>
      </c>
      <c r="H3287" s="15">
        <f>Tabla1[[#This Row],[Importe]]-Tabla1[[#This Row],[Pagado]]</f>
        <v>0</v>
      </c>
      <c r="I3287" s="275" t="s">
        <v>15214</v>
      </c>
    </row>
    <row r="3288" spans="1:9" x14ac:dyDescent="0.25">
      <c r="A3288" s="16">
        <v>42943</v>
      </c>
      <c r="B3288" s="273" t="s">
        <v>23210</v>
      </c>
      <c r="C3288">
        <v>121442</v>
      </c>
      <c r="D3288" s="236" t="s">
        <v>15291</v>
      </c>
      <c r="E3288" s="15">
        <v>907.8</v>
      </c>
      <c r="F3288" s="274">
        <v>42943</v>
      </c>
      <c r="G3288" s="15">
        <v>907.8</v>
      </c>
      <c r="H3288" s="15">
        <f>Tabla1[[#This Row],[Importe]]-Tabla1[[#This Row],[Pagado]]</f>
        <v>0</v>
      </c>
      <c r="I3288" s="275" t="s">
        <v>15214</v>
      </c>
    </row>
    <row r="3289" spans="1:9" x14ac:dyDescent="0.25">
      <c r="A3289" s="16">
        <v>42943</v>
      </c>
      <c r="B3289" s="273" t="s">
        <v>23211</v>
      </c>
      <c r="C3289">
        <v>121443</v>
      </c>
      <c r="D3289" s="236" t="s">
        <v>15596</v>
      </c>
      <c r="E3289" s="15">
        <v>2340</v>
      </c>
      <c r="F3289" s="274">
        <v>42943</v>
      </c>
      <c r="G3289" s="15">
        <v>2340</v>
      </c>
      <c r="H3289" s="15">
        <f>Tabla1[[#This Row],[Importe]]-Tabla1[[#This Row],[Pagado]]</f>
        <v>0</v>
      </c>
      <c r="I3289" s="275" t="s">
        <v>15214</v>
      </c>
    </row>
    <row r="3290" spans="1:9" x14ac:dyDescent="0.25">
      <c r="A3290" s="16">
        <v>42943</v>
      </c>
      <c r="B3290" s="273" t="s">
        <v>23212</v>
      </c>
      <c r="C3290">
        <v>121444</v>
      </c>
      <c r="D3290" s="236" t="s">
        <v>15274</v>
      </c>
      <c r="E3290" s="15">
        <v>1284.4000000000001</v>
      </c>
      <c r="F3290" s="274">
        <v>42943</v>
      </c>
      <c r="G3290" s="15">
        <v>1284.4000000000001</v>
      </c>
      <c r="H3290" s="15">
        <f>Tabla1[[#This Row],[Importe]]-Tabla1[[#This Row],[Pagado]]</f>
        <v>0</v>
      </c>
      <c r="I3290" s="275" t="s">
        <v>15214</v>
      </c>
    </row>
    <row r="3291" spans="1:9" x14ac:dyDescent="0.25">
      <c r="A3291" s="16">
        <v>42943</v>
      </c>
      <c r="B3291" s="273" t="s">
        <v>23213</v>
      </c>
      <c r="C3291">
        <v>121445</v>
      </c>
      <c r="D3291" s="236" t="s">
        <v>15371</v>
      </c>
      <c r="E3291" s="15">
        <v>3288.6</v>
      </c>
      <c r="F3291" s="274">
        <v>42944</v>
      </c>
      <c r="G3291" s="15">
        <v>3288.6</v>
      </c>
      <c r="H3291" s="15">
        <f>Tabla1[[#This Row],[Importe]]-Tabla1[[#This Row],[Pagado]]</f>
        <v>0</v>
      </c>
      <c r="I3291" s="275" t="s">
        <v>15214</v>
      </c>
    </row>
    <row r="3292" spans="1:9" x14ac:dyDescent="0.25">
      <c r="A3292" s="16">
        <v>42943</v>
      </c>
      <c r="B3292" s="273" t="s">
        <v>23214</v>
      </c>
      <c r="C3292">
        <v>121446</v>
      </c>
      <c r="D3292" s="236" t="s">
        <v>23215</v>
      </c>
      <c r="E3292" s="15">
        <v>4598</v>
      </c>
      <c r="F3292" s="274">
        <v>42943</v>
      </c>
      <c r="G3292" s="15">
        <v>4598</v>
      </c>
      <c r="H3292" s="15">
        <f>Tabla1[[#This Row],[Importe]]-Tabla1[[#This Row],[Pagado]]</f>
        <v>0</v>
      </c>
      <c r="I3292" s="275" t="s">
        <v>15214</v>
      </c>
    </row>
    <row r="3293" spans="1:9" x14ac:dyDescent="0.25">
      <c r="A3293" s="16">
        <v>42943</v>
      </c>
      <c r="B3293" s="273" t="s">
        <v>23216</v>
      </c>
      <c r="C3293">
        <v>121447</v>
      </c>
      <c r="D3293" s="236" t="s">
        <v>17235</v>
      </c>
      <c r="E3293" s="15">
        <v>6442.2</v>
      </c>
      <c r="F3293" s="274">
        <v>42943</v>
      </c>
      <c r="G3293" s="15">
        <v>6442.2</v>
      </c>
      <c r="H3293" s="15">
        <f>Tabla1[[#This Row],[Importe]]-Tabla1[[#This Row],[Pagado]]</f>
        <v>0</v>
      </c>
      <c r="I3293" s="275" t="s">
        <v>15214</v>
      </c>
    </row>
    <row r="3294" spans="1:9" x14ac:dyDescent="0.25">
      <c r="A3294" s="16">
        <v>42943</v>
      </c>
      <c r="B3294" s="273" t="s">
        <v>23217</v>
      </c>
      <c r="C3294">
        <v>121448</v>
      </c>
      <c r="D3294" s="236" t="s">
        <v>23218</v>
      </c>
      <c r="E3294" s="15">
        <v>3696.4</v>
      </c>
      <c r="F3294" s="274">
        <v>42943</v>
      </c>
      <c r="G3294" s="15">
        <v>3696.4</v>
      </c>
      <c r="H3294" s="15">
        <f>Tabla1[[#This Row],[Importe]]-Tabla1[[#This Row],[Pagado]]</f>
        <v>0</v>
      </c>
      <c r="I3294" s="275" t="s">
        <v>15214</v>
      </c>
    </row>
    <row r="3295" spans="1:9" x14ac:dyDescent="0.25">
      <c r="A3295" s="16">
        <v>42943</v>
      </c>
      <c r="B3295" s="273" t="s">
        <v>23219</v>
      </c>
      <c r="C3295">
        <v>121449</v>
      </c>
      <c r="D3295" s="236" t="s">
        <v>15748</v>
      </c>
      <c r="E3295" s="15">
        <v>1766.4</v>
      </c>
      <c r="F3295" s="292">
        <v>42948</v>
      </c>
      <c r="G3295" s="15">
        <v>1766.4</v>
      </c>
      <c r="H3295" s="15">
        <f>Tabla1[[#This Row],[Importe]]-Tabla1[[#This Row],[Pagado]]</f>
        <v>0</v>
      </c>
      <c r="I3295" s="275" t="s">
        <v>15214</v>
      </c>
    </row>
    <row r="3296" spans="1:9" ht="30" x14ac:dyDescent="0.25">
      <c r="A3296" s="16">
        <v>42943</v>
      </c>
      <c r="B3296" s="273" t="s">
        <v>23220</v>
      </c>
      <c r="C3296">
        <v>121450</v>
      </c>
      <c r="D3296" s="236" t="s">
        <v>15628</v>
      </c>
      <c r="E3296" s="15">
        <v>14009</v>
      </c>
      <c r="F3296" s="274" t="s">
        <v>23766</v>
      </c>
      <c r="G3296" s="241">
        <f>13000+1009</f>
        <v>14009</v>
      </c>
      <c r="H3296" s="241">
        <f>Tabla1[[#This Row],[Importe]]-Tabla1[[#This Row],[Pagado]]</f>
        <v>0</v>
      </c>
      <c r="I3296" s="275" t="s">
        <v>15214</v>
      </c>
    </row>
    <row r="3297" spans="1:9" x14ac:dyDescent="0.25">
      <c r="A3297" s="16">
        <v>42943</v>
      </c>
      <c r="B3297" s="273" t="s">
        <v>23221</v>
      </c>
      <c r="C3297">
        <v>121451</v>
      </c>
      <c r="D3297" s="236" t="s">
        <v>16463</v>
      </c>
      <c r="E3297" s="15">
        <v>11114.4</v>
      </c>
      <c r="F3297" s="274">
        <v>42943</v>
      </c>
      <c r="G3297" s="15">
        <v>11114.4</v>
      </c>
      <c r="H3297" s="15">
        <f>Tabla1[[#This Row],[Importe]]-Tabla1[[#This Row],[Pagado]]</f>
        <v>0</v>
      </c>
      <c r="I3297" s="275" t="s">
        <v>15214</v>
      </c>
    </row>
    <row r="3298" spans="1:9" x14ac:dyDescent="0.25">
      <c r="A3298" s="16">
        <v>42943</v>
      </c>
      <c r="B3298" s="273" t="s">
        <v>23222</v>
      </c>
      <c r="C3298">
        <v>121452</v>
      </c>
      <c r="D3298" s="236" t="s">
        <v>15725</v>
      </c>
      <c r="E3298" s="15">
        <v>25804.799999999999</v>
      </c>
      <c r="F3298" s="274">
        <v>42946</v>
      </c>
      <c r="G3298" s="15">
        <v>25804.799999999999</v>
      </c>
      <c r="H3298" s="15">
        <f>Tabla1[[#This Row],[Importe]]-Tabla1[[#This Row],[Pagado]]</f>
        <v>0</v>
      </c>
      <c r="I3298" s="275" t="s">
        <v>15214</v>
      </c>
    </row>
    <row r="3299" spans="1:9" x14ac:dyDescent="0.25">
      <c r="A3299" s="16">
        <v>42943</v>
      </c>
      <c r="B3299" s="273" t="s">
        <v>23223</v>
      </c>
      <c r="C3299">
        <v>121453</v>
      </c>
      <c r="D3299" s="236" t="s">
        <v>15510</v>
      </c>
      <c r="E3299" s="15">
        <v>7869.1</v>
      </c>
      <c r="F3299" s="274">
        <v>42943</v>
      </c>
      <c r="G3299" s="15">
        <v>7869.1</v>
      </c>
      <c r="H3299" s="15">
        <f>Tabla1[[#This Row],[Importe]]-Tabla1[[#This Row],[Pagado]]</f>
        <v>0</v>
      </c>
      <c r="I3299" s="275" t="s">
        <v>15214</v>
      </c>
    </row>
    <row r="3300" spans="1:9" x14ac:dyDescent="0.25">
      <c r="A3300" s="16">
        <v>42943</v>
      </c>
      <c r="B3300" s="273" t="s">
        <v>23224</v>
      </c>
      <c r="C3300">
        <v>121454</v>
      </c>
      <c r="D3300" s="236" t="s">
        <v>15706</v>
      </c>
      <c r="E3300" s="15">
        <v>1667.4</v>
      </c>
      <c r="F3300" s="274">
        <v>42943</v>
      </c>
      <c r="G3300" s="15">
        <v>1667.4</v>
      </c>
      <c r="H3300" s="15">
        <f>Tabla1[[#This Row],[Importe]]-Tabla1[[#This Row],[Pagado]]</f>
        <v>0</v>
      </c>
      <c r="I3300" s="275" t="s">
        <v>15214</v>
      </c>
    </row>
    <row r="3301" spans="1:9" x14ac:dyDescent="0.25">
      <c r="A3301" s="16">
        <v>42943</v>
      </c>
      <c r="B3301" s="273" t="s">
        <v>23225</v>
      </c>
      <c r="C3301">
        <v>121455</v>
      </c>
      <c r="D3301" s="236" t="s">
        <v>15391</v>
      </c>
      <c r="E3301" s="15">
        <v>9656</v>
      </c>
      <c r="F3301" s="274">
        <v>42945</v>
      </c>
      <c r="G3301" s="15">
        <v>9656</v>
      </c>
      <c r="H3301" s="15">
        <f>Tabla1[[#This Row],[Importe]]-Tabla1[[#This Row],[Pagado]]</f>
        <v>0</v>
      </c>
      <c r="I3301" s="275" t="s">
        <v>15214</v>
      </c>
    </row>
    <row r="3302" spans="1:9" x14ac:dyDescent="0.25">
      <c r="A3302" s="16">
        <v>42943</v>
      </c>
      <c r="B3302" s="273" t="s">
        <v>23226</v>
      </c>
      <c r="C3302">
        <v>121456</v>
      </c>
      <c r="D3302" s="236" t="s">
        <v>15315</v>
      </c>
      <c r="E3302" s="15">
        <v>1020.5</v>
      </c>
      <c r="F3302" s="274">
        <v>42943</v>
      </c>
      <c r="G3302" s="15">
        <v>1020.5</v>
      </c>
      <c r="H3302" s="15">
        <f>Tabla1[[#This Row],[Importe]]-Tabla1[[#This Row],[Pagado]]</f>
        <v>0</v>
      </c>
      <c r="I3302" s="275" t="s">
        <v>15214</v>
      </c>
    </row>
    <row r="3303" spans="1:9" x14ac:dyDescent="0.25">
      <c r="A3303" s="16">
        <v>42943</v>
      </c>
      <c r="B3303" s="273" t="s">
        <v>23227</v>
      </c>
      <c r="C3303">
        <v>121457</v>
      </c>
      <c r="D3303" s="236" t="s">
        <v>15378</v>
      </c>
      <c r="E3303" s="15">
        <v>805.2</v>
      </c>
      <c r="F3303" s="274">
        <v>42943</v>
      </c>
      <c r="G3303" s="15">
        <v>805.2</v>
      </c>
      <c r="H3303" s="15">
        <f>Tabla1[[#This Row],[Importe]]-Tabla1[[#This Row],[Pagado]]</f>
        <v>0</v>
      </c>
      <c r="I3303" s="275" t="s">
        <v>15214</v>
      </c>
    </row>
    <row r="3304" spans="1:9" x14ac:dyDescent="0.25">
      <c r="A3304" s="16">
        <v>42943</v>
      </c>
      <c r="B3304" s="273" t="s">
        <v>23228</v>
      </c>
      <c r="C3304">
        <v>121458</v>
      </c>
      <c r="D3304" s="236" t="s">
        <v>15868</v>
      </c>
      <c r="E3304" s="15">
        <v>11724.4</v>
      </c>
      <c r="F3304" s="274">
        <v>42943</v>
      </c>
      <c r="G3304" s="15">
        <v>11724.4</v>
      </c>
      <c r="H3304" s="15">
        <f>Tabla1[[#This Row],[Importe]]-Tabla1[[#This Row],[Pagado]]</f>
        <v>0</v>
      </c>
      <c r="I3304" s="275" t="s">
        <v>15214</v>
      </c>
    </row>
    <row r="3305" spans="1:9" x14ac:dyDescent="0.25">
      <c r="A3305" s="16">
        <v>42943</v>
      </c>
      <c r="B3305" s="273" t="s">
        <v>23229</v>
      </c>
      <c r="C3305">
        <v>121459</v>
      </c>
      <c r="D3305" s="236" t="s">
        <v>16383</v>
      </c>
      <c r="E3305" s="15">
        <v>377</v>
      </c>
      <c r="F3305" s="274">
        <v>42943</v>
      </c>
      <c r="G3305" s="15">
        <v>377</v>
      </c>
      <c r="H3305" s="15">
        <f>Tabla1[[#This Row],[Importe]]-Tabla1[[#This Row],[Pagado]]</f>
        <v>0</v>
      </c>
      <c r="I3305" s="275" t="s">
        <v>15214</v>
      </c>
    </row>
    <row r="3306" spans="1:9" x14ac:dyDescent="0.25">
      <c r="A3306" s="16">
        <v>42943</v>
      </c>
      <c r="B3306" s="273" t="s">
        <v>23230</v>
      </c>
      <c r="C3306">
        <v>121460</v>
      </c>
      <c r="D3306" s="236" t="s">
        <v>15298</v>
      </c>
      <c r="E3306" s="15">
        <v>17612.099999999999</v>
      </c>
      <c r="F3306" s="292">
        <v>42948</v>
      </c>
      <c r="G3306" s="15">
        <v>17612.099999999999</v>
      </c>
      <c r="H3306" s="15">
        <f>Tabla1[[#This Row],[Importe]]-Tabla1[[#This Row],[Pagado]]</f>
        <v>0</v>
      </c>
      <c r="I3306" s="275" t="s">
        <v>15214</v>
      </c>
    </row>
    <row r="3307" spans="1:9" x14ac:dyDescent="0.25">
      <c r="A3307" s="16">
        <v>42943</v>
      </c>
      <c r="B3307" s="273" t="s">
        <v>23231</v>
      </c>
      <c r="C3307">
        <v>121461</v>
      </c>
      <c r="D3307" s="236" t="s">
        <v>15376</v>
      </c>
      <c r="E3307" s="15">
        <v>13280</v>
      </c>
      <c r="F3307" s="274">
        <v>42943</v>
      </c>
      <c r="G3307" s="15">
        <v>13280</v>
      </c>
      <c r="H3307" s="15">
        <f>Tabla1[[#This Row],[Importe]]-Tabla1[[#This Row],[Pagado]]</f>
        <v>0</v>
      </c>
      <c r="I3307" s="275" t="s">
        <v>15214</v>
      </c>
    </row>
    <row r="3308" spans="1:9" x14ac:dyDescent="0.25">
      <c r="A3308" s="16">
        <v>42943</v>
      </c>
      <c r="B3308" s="273" t="s">
        <v>23232</v>
      </c>
      <c r="C3308">
        <v>121462</v>
      </c>
      <c r="D3308" s="236" t="s">
        <v>15252</v>
      </c>
      <c r="E3308" s="15">
        <v>3700.2</v>
      </c>
      <c r="F3308" s="274">
        <v>42947</v>
      </c>
      <c r="G3308" s="15">
        <v>3700.2</v>
      </c>
      <c r="H3308" s="15">
        <f>Tabla1[[#This Row],[Importe]]-Tabla1[[#This Row],[Pagado]]</f>
        <v>0</v>
      </c>
      <c r="I3308" s="275" t="s">
        <v>15214</v>
      </c>
    </row>
    <row r="3309" spans="1:9" x14ac:dyDescent="0.25">
      <c r="A3309" s="16">
        <v>42943</v>
      </c>
      <c r="B3309" s="273" t="s">
        <v>23233</v>
      </c>
      <c r="C3309">
        <v>121463</v>
      </c>
      <c r="D3309" s="236" t="s">
        <v>15363</v>
      </c>
      <c r="E3309" s="15">
        <v>3063.4</v>
      </c>
      <c r="F3309" s="274">
        <v>42943</v>
      </c>
      <c r="G3309" s="15">
        <v>3063.4</v>
      </c>
      <c r="H3309" s="15">
        <f>Tabla1[[#This Row],[Importe]]-Tabla1[[#This Row],[Pagado]]</f>
        <v>0</v>
      </c>
      <c r="I3309" s="275" t="s">
        <v>15214</v>
      </c>
    </row>
    <row r="3310" spans="1:9" x14ac:dyDescent="0.25">
      <c r="A3310" s="16">
        <v>42943</v>
      </c>
      <c r="B3310" s="273" t="s">
        <v>23234</v>
      </c>
      <c r="C3310">
        <v>121464</v>
      </c>
      <c r="D3310" s="236" t="s">
        <v>15244</v>
      </c>
      <c r="E3310" s="15">
        <v>4376</v>
      </c>
      <c r="F3310" s="292">
        <v>42948</v>
      </c>
      <c r="G3310" s="15">
        <v>4376</v>
      </c>
      <c r="H3310" s="15">
        <f>Tabla1[[#This Row],[Importe]]-Tabla1[[#This Row],[Pagado]]</f>
        <v>0</v>
      </c>
      <c r="I3310" s="275" t="s">
        <v>15214</v>
      </c>
    </row>
    <row r="3311" spans="1:9" x14ac:dyDescent="0.25">
      <c r="A3311" s="16">
        <v>42943</v>
      </c>
      <c r="B3311" s="273" t="s">
        <v>23235</v>
      </c>
      <c r="C3311">
        <v>121465</v>
      </c>
      <c r="D3311" s="236" t="s">
        <v>23236</v>
      </c>
      <c r="E3311" s="15">
        <v>1759.1</v>
      </c>
      <c r="F3311" s="274">
        <v>42943</v>
      </c>
      <c r="G3311" s="15">
        <v>1759.1</v>
      </c>
      <c r="H3311" s="15">
        <f>Tabla1[[#This Row],[Importe]]-Tabla1[[#This Row],[Pagado]]</f>
        <v>0</v>
      </c>
      <c r="I3311" s="275" t="s">
        <v>15214</v>
      </c>
    </row>
    <row r="3312" spans="1:9" x14ac:dyDescent="0.25">
      <c r="A3312" s="16">
        <v>42943</v>
      </c>
      <c r="B3312" s="273" t="s">
        <v>23237</v>
      </c>
      <c r="C3312">
        <v>121466</v>
      </c>
      <c r="D3312" s="236" t="s">
        <v>15549</v>
      </c>
      <c r="E3312" s="15">
        <v>7533.2</v>
      </c>
      <c r="F3312" s="274">
        <v>42943</v>
      </c>
      <c r="G3312" s="15">
        <v>7533.2</v>
      </c>
      <c r="H3312" s="15">
        <f>Tabla1[[#This Row],[Importe]]-Tabla1[[#This Row],[Pagado]]</f>
        <v>0</v>
      </c>
      <c r="I3312" s="275" t="s">
        <v>15214</v>
      </c>
    </row>
    <row r="3313" spans="1:9" x14ac:dyDescent="0.25">
      <c r="A3313" s="16">
        <v>42943</v>
      </c>
      <c r="B3313" s="273" t="s">
        <v>23238</v>
      </c>
      <c r="C3313">
        <v>121467</v>
      </c>
      <c r="D3313" s="236" t="s">
        <v>15361</v>
      </c>
      <c r="E3313" s="15">
        <v>8787.2000000000007</v>
      </c>
      <c r="F3313" s="274">
        <v>42943</v>
      </c>
      <c r="G3313" s="15">
        <v>8787.2000000000007</v>
      </c>
      <c r="H3313" s="15">
        <f>Tabla1[[#This Row],[Importe]]-Tabla1[[#This Row],[Pagado]]</f>
        <v>0</v>
      </c>
      <c r="I3313" s="275" t="s">
        <v>15214</v>
      </c>
    </row>
    <row r="3314" spans="1:9" x14ac:dyDescent="0.25">
      <c r="A3314" s="16">
        <v>42943</v>
      </c>
      <c r="B3314" s="273" t="s">
        <v>23239</v>
      </c>
      <c r="C3314">
        <v>121468</v>
      </c>
      <c r="D3314" s="236" t="s">
        <v>15555</v>
      </c>
      <c r="E3314" s="15">
        <v>4426.6000000000004</v>
      </c>
      <c r="F3314" s="274">
        <v>42950</v>
      </c>
      <c r="G3314" s="15">
        <v>4426.6000000000004</v>
      </c>
      <c r="H3314" s="15">
        <f>Tabla1[[#This Row],[Importe]]-Tabla1[[#This Row],[Pagado]]</f>
        <v>0</v>
      </c>
      <c r="I3314" s="275" t="s">
        <v>15214</v>
      </c>
    </row>
    <row r="3315" spans="1:9" x14ac:dyDescent="0.25">
      <c r="A3315" s="16">
        <v>42943</v>
      </c>
      <c r="B3315" s="273" t="s">
        <v>23240</v>
      </c>
      <c r="C3315">
        <v>121469</v>
      </c>
      <c r="D3315" s="236" t="s">
        <v>15315</v>
      </c>
      <c r="E3315" s="15">
        <v>6416</v>
      </c>
      <c r="F3315" s="274">
        <v>42943</v>
      </c>
      <c r="G3315" s="15">
        <v>6416</v>
      </c>
      <c r="H3315" s="15">
        <f>Tabla1[[#This Row],[Importe]]-Tabla1[[#This Row],[Pagado]]</f>
        <v>0</v>
      </c>
      <c r="I3315" s="275" t="s">
        <v>15214</v>
      </c>
    </row>
    <row r="3316" spans="1:9" x14ac:dyDescent="0.25">
      <c r="A3316" s="16">
        <v>42943</v>
      </c>
      <c r="B3316" s="273" t="s">
        <v>23241</v>
      </c>
      <c r="C3316">
        <v>121470</v>
      </c>
      <c r="D3316" s="236" t="s">
        <v>15537</v>
      </c>
      <c r="E3316" s="15">
        <v>15880.2</v>
      </c>
      <c r="F3316" s="274">
        <v>42951</v>
      </c>
      <c r="G3316" s="15">
        <v>15880.2</v>
      </c>
      <c r="H3316" s="15">
        <f>Tabla1[[#This Row],[Importe]]-Tabla1[[#This Row],[Pagado]]</f>
        <v>0</v>
      </c>
      <c r="I3316" s="275" t="s">
        <v>15214</v>
      </c>
    </row>
    <row r="3317" spans="1:9" x14ac:dyDescent="0.25">
      <c r="A3317" s="16">
        <v>42943</v>
      </c>
      <c r="B3317" s="273" t="s">
        <v>23242</v>
      </c>
      <c r="C3317">
        <v>121471</v>
      </c>
      <c r="D3317" s="236" t="s">
        <v>15315</v>
      </c>
      <c r="E3317" s="15">
        <v>3026.8</v>
      </c>
      <c r="F3317" s="274">
        <v>42950</v>
      </c>
      <c r="G3317" s="15">
        <v>3026.8</v>
      </c>
      <c r="H3317" s="15">
        <f>Tabla1[[#This Row],[Importe]]-Tabla1[[#This Row],[Pagado]]</f>
        <v>0</v>
      </c>
      <c r="I3317" s="275" t="s">
        <v>15214</v>
      </c>
    </row>
    <row r="3318" spans="1:9" x14ac:dyDescent="0.25">
      <c r="A3318" s="16">
        <v>42943</v>
      </c>
      <c r="B3318" s="273" t="s">
        <v>23243</v>
      </c>
      <c r="C3318">
        <v>121472</v>
      </c>
      <c r="D3318" s="236" t="s">
        <v>15315</v>
      </c>
      <c r="E3318" s="15">
        <v>258.39999999999998</v>
      </c>
      <c r="F3318" s="274">
        <v>42944</v>
      </c>
      <c r="G3318" s="15">
        <v>258.39999999999998</v>
      </c>
      <c r="H3318" s="15">
        <f>Tabla1[[#This Row],[Importe]]-Tabla1[[#This Row],[Pagado]]</f>
        <v>0</v>
      </c>
      <c r="I3318" s="275" t="s">
        <v>15214</v>
      </c>
    </row>
    <row r="3319" spans="1:9" x14ac:dyDescent="0.25">
      <c r="A3319" s="16">
        <v>42943</v>
      </c>
      <c r="B3319" s="273" t="s">
        <v>23244</v>
      </c>
      <c r="C3319">
        <v>121473</v>
      </c>
      <c r="D3319" s="236" t="s">
        <v>15398</v>
      </c>
      <c r="E3319" s="15">
        <v>3769.05</v>
      </c>
      <c r="F3319" s="274">
        <v>42943</v>
      </c>
      <c r="G3319" s="15">
        <v>3769.05</v>
      </c>
      <c r="H3319" s="15">
        <f>Tabla1[[#This Row],[Importe]]-Tabla1[[#This Row],[Pagado]]</f>
        <v>0</v>
      </c>
      <c r="I3319" s="275" t="s">
        <v>15214</v>
      </c>
    </row>
    <row r="3320" spans="1:9" x14ac:dyDescent="0.25">
      <c r="A3320" s="16">
        <v>42943</v>
      </c>
      <c r="B3320" s="273" t="s">
        <v>23245</v>
      </c>
      <c r="C3320">
        <v>121474</v>
      </c>
      <c r="D3320" s="236" t="s">
        <v>15246</v>
      </c>
      <c r="E3320" s="15">
        <v>14092.4</v>
      </c>
      <c r="F3320" s="274">
        <v>42947</v>
      </c>
      <c r="G3320" s="15">
        <v>14092.4</v>
      </c>
      <c r="H3320" s="15">
        <f>Tabla1[[#This Row],[Importe]]-Tabla1[[#This Row],[Pagado]]</f>
        <v>0</v>
      </c>
      <c r="I3320" s="275" t="s">
        <v>15214</v>
      </c>
    </row>
    <row r="3321" spans="1:9" x14ac:dyDescent="0.25">
      <c r="A3321" s="16">
        <v>42943</v>
      </c>
      <c r="B3321" s="273" t="s">
        <v>23246</v>
      </c>
      <c r="C3321">
        <v>121475</v>
      </c>
      <c r="D3321" s="236" t="s">
        <v>15930</v>
      </c>
      <c r="E3321" s="15">
        <v>7272</v>
      </c>
      <c r="F3321" s="274">
        <v>42944</v>
      </c>
      <c r="G3321" s="15">
        <v>7272</v>
      </c>
      <c r="H3321" s="15">
        <f>Tabla1[[#This Row],[Importe]]-Tabla1[[#This Row],[Pagado]]</f>
        <v>0</v>
      </c>
      <c r="I3321" s="275" t="s">
        <v>15214</v>
      </c>
    </row>
    <row r="3322" spans="1:9" x14ac:dyDescent="0.25">
      <c r="A3322" s="16">
        <v>42943</v>
      </c>
      <c r="B3322" s="273" t="s">
        <v>23247</v>
      </c>
      <c r="C3322">
        <v>121476</v>
      </c>
      <c r="D3322" s="236" t="s">
        <v>15782</v>
      </c>
      <c r="E3322" s="15">
        <v>1735</v>
      </c>
      <c r="F3322" s="274">
        <v>42944</v>
      </c>
      <c r="G3322" s="15">
        <v>1735</v>
      </c>
      <c r="H3322" s="15">
        <f>Tabla1[[#This Row],[Importe]]-Tabla1[[#This Row],[Pagado]]</f>
        <v>0</v>
      </c>
      <c r="I3322" s="275" t="s">
        <v>15214</v>
      </c>
    </row>
    <row r="3323" spans="1:9" x14ac:dyDescent="0.25">
      <c r="A3323" s="16">
        <v>42943</v>
      </c>
      <c r="B3323" s="273" t="s">
        <v>23248</v>
      </c>
      <c r="C3323">
        <v>121477</v>
      </c>
      <c r="D3323" s="236" t="s">
        <v>15417</v>
      </c>
      <c r="E3323" s="15">
        <v>2983.5</v>
      </c>
      <c r="F3323" s="274">
        <v>42944</v>
      </c>
      <c r="G3323" s="15">
        <v>2983.5</v>
      </c>
      <c r="H3323" s="15">
        <f>Tabla1[[#This Row],[Importe]]-Tabla1[[#This Row],[Pagado]]</f>
        <v>0</v>
      </c>
      <c r="I3323" s="275" t="s">
        <v>15214</v>
      </c>
    </row>
    <row r="3324" spans="1:9" x14ac:dyDescent="0.25">
      <c r="A3324" s="16">
        <v>42943</v>
      </c>
      <c r="B3324" s="273" t="s">
        <v>23249</v>
      </c>
      <c r="C3324">
        <v>121478</v>
      </c>
      <c r="D3324" s="236" t="s">
        <v>16093</v>
      </c>
      <c r="E3324" s="15">
        <v>3177.2</v>
      </c>
      <c r="F3324" s="274">
        <v>42943</v>
      </c>
      <c r="G3324" s="15">
        <v>3177.2</v>
      </c>
      <c r="H3324" s="15">
        <f>Tabla1[[#This Row],[Importe]]-Tabla1[[#This Row],[Pagado]]</f>
        <v>0</v>
      </c>
      <c r="I3324" s="275" t="s">
        <v>15214</v>
      </c>
    </row>
    <row r="3325" spans="1:9" x14ac:dyDescent="0.25">
      <c r="A3325" s="16">
        <v>42943</v>
      </c>
      <c r="B3325" s="273" t="s">
        <v>23250</v>
      </c>
      <c r="C3325">
        <v>121479</v>
      </c>
      <c r="D3325" s="236" t="s">
        <v>15282</v>
      </c>
      <c r="E3325" s="15">
        <v>4207.7</v>
      </c>
      <c r="F3325" s="274">
        <v>42943</v>
      </c>
      <c r="G3325" s="15">
        <v>4207.7</v>
      </c>
      <c r="H3325" s="15">
        <f>Tabla1[[#This Row],[Importe]]-Tabla1[[#This Row],[Pagado]]</f>
        <v>0</v>
      </c>
      <c r="I3325" s="275" t="s">
        <v>15214</v>
      </c>
    </row>
    <row r="3326" spans="1:9" x14ac:dyDescent="0.25">
      <c r="A3326" s="16">
        <v>42943</v>
      </c>
      <c r="B3326" s="273" t="s">
        <v>23251</v>
      </c>
      <c r="C3326">
        <v>121480</v>
      </c>
      <c r="D3326" s="236" t="s">
        <v>18773</v>
      </c>
      <c r="E3326" s="15">
        <v>41644.800000000003</v>
      </c>
      <c r="F3326" s="274">
        <v>42943</v>
      </c>
      <c r="G3326" s="15">
        <v>41644.800000000003</v>
      </c>
      <c r="H3326" s="15">
        <f>Tabla1[[#This Row],[Importe]]-Tabla1[[#This Row],[Pagado]]</f>
        <v>0</v>
      </c>
      <c r="I3326" s="275" t="s">
        <v>15214</v>
      </c>
    </row>
    <row r="3327" spans="1:9" x14ac:dyDescent="0.25">
      <c r="A3327" s="16">
        <v>42943</v>
      </c>
      <c r="B3327" s="273" t="s">
        <v>23252</v>
      </c>
      <c r="C3327">
        <v>121481</v>
      </c>
      <c r="D3327" s="236" t="s">
        <v>19768</v>
      </c>
      <c r="E3327" s="15">
        <v>2072.4</v>
      </c>
      <c r="F3327" s="274">
        <v>42943</v>
      </c>
      <c r="G3327" s="15">
        <v>2072.4</v>
      </c>
      <c r="H3327" s="15">
        <f>Tabla1[[#This Row],[Importe]]-Tabla1[[#This Row],[Pagado]]</f>
        <v>0</v>
      </c>
      <c r="I3327" s="275" t="s">
        <v>15214</v>
      </c>
    </row>
    <row r="3328" spans="1:9" x14ac:dyDescent="0.25">
      <c r="A3328" s="16">
        <v>42943</v>
      </c>
      <c r="B3328" s="273" t="s">
        <v>23253</v>
      </c>
      <c r="C3328">
        <v>121482</v>
      </c>
      <c r="D3328" s="236" t="s">
        <v>16093</v>
      </c>
      <c r="E3328" s="15">
        <v>5688.9</v>
      </c>
      <c r="F3328" s="274">
        <v>42943</v>
      </c>
      <c r="G3328" s="15">
        <v>5688.9</v>
      </c>
      <c r="H3328" s="15">
        <f>Tabla1[[#This Row],[Importe]]-Tabla1[[#This Row],[Pagado]]</f>
        <v>0</v>
      </c>
      <c r="I3328" s="275" t="s">
        <v>15214</v>
      </c>
    </row>
    <row r="3329" spans="1:9" x14ac:dyDescent="0.25">
      <c r="A3329" s="16">
        <v>42943</v>
      </c>
      <c r="B3329" s="273" t="s">
        <v>23254</v>
      </c>
      <c r="C3329">
        <v>121483</v>
      </c>
      <c r="D3329" s="236" t="s">
        <v>15835</v>
      </c>
      <c r="E3329" s="15">
        <v>16789.400000000001</v>
      </c>
      <c r="F3329" s="274">
        <v>42944</v>
      </c>
      <c r="G3329" s="15">
        <v>16789.400000000001</v>
      </c>
      <c r="H3329" s="15">
        <f>Tabla1[[#This Row],[Importe]]-Tabla1[[#This Row],[Pagado]]</f>
        <v>0</v>
      </c>
      <c r="I3329" s="275" t="s">
        <v>15214</v>
      </c>
    </row>
    <row r="3330" spans="1:9" x14ac:dyDescent="0.25">
      <c r="A3330" s="16">
        <v>42943</v>
      </c>
      <c r="B3330" s="273" t="s">
        <v>23255</v>
      </c>
      <c r="C3330">
        <v>121484</v>
      </c>
      <c r="D3330" s="236" t="s">
        <v>15396</v>
      </c>
      <c r="E3330" s="15">
        <v>8721.6</v>
      </c>
      <c r="F3330" s="274">
        <v>42943</v>
      </c>
      <c r="G3330" s="15">
        <v>8721.6</v>
      </c>
      <c r="H3330" s="15">
        <f>Tabla1[[#This Row],[Importe]]-Tabla1[[#This Row],[Pagado]]</f>
        <v>0</v>
      </c>
      <c r="I3330" s="275" t="s">
        <v>15214</v>
      </c>
    </row>
    <row r="3331" spans="1:9" x14ac:dyDescent="0.25">
      <c r="A3331" s="16">
        <v>42943</v>
      </c>
      <c r="B3331" s="273" t="s">
        <v>23256</v>
      </c>
      <c r="C3331">
        <v>121485</v>
      </c>
      <c r="D3331" s="236" t="s">
        <v>15442</v>
      </c>
      <c r="E3331" s="15">
        <v>16248.4</v>
      </c>
      <c r="F3331" s="274">
        <v>42952</v>
      </c>
      <c r="G3331" s="15">
        <v>16248.4</v>
      </c>
      <c r="H3331" s="15">
        <f>Tabla1[[#This Row],[Importe]]-Tabla1[[#This Row],[Pagado]]</f>
        <v>0</v>
      </c>
      <c r="I3331" s="275" t="s">
        <v>15214</v>
      </c>
    </row>
    <row r="3332" spans="1:9" x14ac:dyDescent="0.25">
      <c r="A3332" s="16">
        <v>42943</v>
      </c>
      <c r="B3332" s="273" t="s">
        <v>23257</v>
      </c>
      <c r="C3332">
        <v>121486</v>
      </c>
      <c r="D3332" s="236" t="s">
        <v>15246</v>
      </c>
      <c r="E3332" s="15">
        <v>195799.79</v>
      </c>
      <c r="F3332" s="274">
        <v>42947</v>
      </c>
      <c r="G3332" s="15">
        <v>195799.79</v>
      </c>
      <c r="H3332" s="15">
        <f>Tabla1[[#This Row],[Importe]]-Tabla1[[#This Row],[Pagado]]</f>
        <v>0</v>
      </c>
      <c r="I3332" s="275" t="s">
        <v>15214</v>
      </c>
    </row>
    <row r="3333" spans="1:9" x14ac:dyDescent="0.25">
      <c r="A3333" s="16">
        <v>42943</v>
      </c>
      <c r="B3333" s="273" t="s">
        <v>23258</v>
      </c>
      <c r="C3333">
        <v>121487</v>
      </c>
      <c r="D3333" s="236" t="s">
        <v>15890</v>
      </c>
      <c r="E3333" s="15">
        <v>13918.4</v>
      </c>
      <c r="F3333" s="274">
        <v>42963</v>
      </c>
      <c r="G3333" s="15">
        <v>13918.4</v>
      </c>
      <c r="H3333" s="15">
        <f>Tabla1[[#This Row],[Importe]]-Tabla1[[#This Row],[Pagado]]</f>
        <v>0</v>
      </c>
      <c r="I3333" s="275" t="s">
        <v>15214</v>
      </c>
    </row>
    <row r="3334" spans="1:9" x14ac:dyDescent="0.25">
      <c r="A3334" s="16">
        <v>42943</v>
      </c>
      <c r="B3334" s="273" t="s">
        <v>23259</v>
      </c>
      <c r="C3334">
        <v>121488</v>
      </c>
      <c r="D3334" s="236" t="s">
        <v>15987</v>
      </c>
      <c r="E3334" s="15">
        <v>3088</v>
      </c>
      <c r="F3334" s="274">
        <v>42943</v>
      </c>
      <c r="G3334" s="15">
        <v>3088</v>
      </c>
      <c r="H3334" s="15">
        <f>Tabla1[[#This Row],[Importe]]-Tabla1[[#This Row],[Pagado]]</f>
        <v>0</v>
      </c>
      <c r="I3334" s="275" t="s">
        <v>15214</v>
      </c>
    </row>
    <row r="3335" spans="1:9" x14ac:dyDescent="0.25">
      <c r="A3335" s="16">
        <v>42943</v>
      </c>
      <c r="B3335" s="273" t="s">
        <v>23260</v>
      </c>
      <c r="C3335">
        <v>121489</v>
      </c>
      <c r="D3335" s="236" t="s">
        <v>15566</v>
      </c>
      <c r="E3335" s="15">
        <v>1289.5999999999999</v>
      </c>
      <c r="F3335" s="274">
        <v>42943</v>
      </c>
      <c r="G3335" s="15">
        <v>1289.5999999999999</v>
      </c>
      <c r="H3335" s="15">
        <f>Tabla1[[#This Row],[Importe]]-Tabla1[[#This Row],[Pagado]]</f>
        <v>0</v>
      </c>
      <c r="I3335" s="275" t="s">
        <v>15214</v>
      </c>
    </row>
    <row r="3336" spans="1:9" x14ac:dyDescent="0.25">
      <c r="A3336" s="16">
        <v>42943</v>
      </c>
      <c r="B3336" s="273" t="s">
        <v>23261</v>
      </c>
      <c r="C3336">
        <v>121490</v>
      </c>
      <c r="D3336" s="236" t="s">
        <v>15284</v>
      </c>
      <c r="E3336" s="15">
        <v>1212.4000000000001</v>
      </c>
      <c r="F3336" s="274">
        <v>42943</v>
      </c>
      <c r="G3336" s="15">
        <v>1212.4000000000001</v>
      </c>
      <c r="H3336" s="15">
        <f>Tabla1[[#This Row],[Importe]]-Tabla1[[#This Row],[Pagado]]</f>
        <v>0</v>
      </c>
      <c r="I3336" s="275" t="s">
        <v>15214</v>
      </c>
    </row>
    <row r="3337" spans="1:9" x14ac:dyDescent="0.25">
      <c r="A3337" s="16">
        <v>42943</v>
      </c>
      <c r="B3337" s="273" t="s">
        <v>23262</v>
      </c>
      <c r="C3337">
        <v>121491</v>
      </c>
      <c r="D3337" s="236" t="s">
        <v>15398</v>
      </c>
      <c r="E3337" s="15">
        <v>1428.8</v>
      </c>
      <c r="F3337" s="274">
        <v>42943</v>
      </c>
      <c r="G3337" s="15">
        <v>1428.8</v>
      </c>
      <c r="H3337" s="15">
        <f>Tabla1[[#This Row],[Importe]]-Tabla1[[#This Row],[Pagado]]</f>
        <v>0</v>
      </c>
      <c r="I3337" s="275" t="s">
        <v>15214</v>
      </c>
    </row>
    <row r="3338" spans="1:9" x14ac:dyDescent="0.25">
      <c r="A3338" s="16">
        <v>42943</v>
      </c>
      <c r="B3338" s="273" t="s">
        <v>23263</v>
      </c>
      <c r="C3338">
        <v>121492</v>
      </c>
      <c r="D3338" s="236" t="s">
        <v>15728</v>
      </c>
      <c r="E3338" s="15">
        <v>9795.6</v>
      </c>
      <c r="F3338" s="274">
        <v>42943</v>
      </c>
      <c r="G3338" s="15">
        <v>9795.6</v>
      </c>
      <c r="H3338" s="15">
        <f>Tabla1[[#This Row],[Importe]]-Tabla1[[#This Row],[Pagado]]</f>
        <v>0</v>
      </c>
      <c r="I3338" s="275" t="s">
        <v>15214</v>
      </c>
    </row>
    <row r="3339" spans="1:9" x14ac:dyDescent="0.25">
      <c r="A3339" s="16">
        <v>42943</v>
      </c>
      <c r="B3339" s="273" t="s">
        <v>23264</v>
      </c>
      <c r="C3339">
        <v>121493</v>
      </c>
      <c r="D3339" s="236" t="s">
        <v>15240</v>
      </c>
      <c r="E3339" s="15">
        <v>328</v>
      </c>
      <c r="F3339" s="274">
        <v>42944</v>
      </c>
      <c r="G3339" s="15">
        <v>328</v>
      </c>
      <c r="H3339" s="15">
        <f>Tabla1[[#This Row],[Importe]]-Tabla1[[#This Row],[Pagado]]</f>
        <v>0</v>
      </c>
      <c r="I3339" s="275" t="s">
        <v>15214</v>
      </c>
    </row>
    <row r="3340" spans="1:9" x14ac:dyDescent="0.25">
      <c r="A3340" s="16">
        <v>42943</v>
      </c>
      <c r="B3340" s="273" t="s">
        <v>23265</v>
      </c>
      <c r="C3340">
        <v>121494</v>
      </c>
      <c r="D3340" s="236" t="s">
        <v>15246</v>
      </c>
      <c r="E3340" s="15">
        <v>90395.6</v>
      </c>
      <c r="F3340" s="274">
        <v>42947</v>
      </c>
      <c r="G3340" s="15">
        <v>90395.6</v>
      </c>
      <c r="H3340" s="15">
        <f>Tabla1[[#This Row],[Importe]]-Tabla1[[#This Row],[Pagado]]</f>
        <v>0</v>
      </c>
      <c r="I3340" s="275" t="s">
        <v>15214</v>
      </c>
    </row>
    <row r="3341" spans="1:9" x14ac:dyDescent="0.25">
      <c r="A3341" s="16">
        <v>42943</v>
      </c>
      <c r="B3341" s="273" t="s">
        <v>23266</v>
      </c>
      <c r="C3341">
        <v>121495</v>
      </c>
      <c r="D3341" s="236" t="s">
        <v>15246</v>
      </c>
      <c r="E3341" s="15">
        <v>11116.8</v>
      </c>
      <c r="F3341" s="274">
        <v>42947</v>
      </c>
      <c r="G3341" s="15">
        <v>11116.8</v>
      </c>
      <c r="H3341" s="15">
        <f>Tabla1[[#This Row],[Importe]]-Tabla1[[#This Row],[Pagado]]</f>
        <v>0</v>
      </c>
      <c r="I3341" s="275" t="s">
        <v>15214</v>
      </c>
    </row>
    <row r="3342" spans="1:9" x14ac:dyDescent="0.25">
      <c r="A3342" s="16">
        <v>42943</v>
      </c>
      <c r="B3342" s="273" t="s">
        <v>23267</v>
      </c>
      <c r="C3342">
        <v>121496</v>
      </c>
      <c r="D3342" s="236" t="s">
        <v>15706</v>
      </c>
      <c r="E3342" s="15">
        <v>228.8</v>
      </c>
      <c r="F3342" s="274">
        <v>42943</v>
      </c>
      <c r="G3342" s="15">
        <v>228.8</v>
      </c>
      <c r="H3342" s="15">
        <f>Tabla1[[#This Row],[Importe]]-Tabla1[[#This Row],[Pagado]]</f>
        <v>0</v>
      </c>
      <c r="I3342" s="275" t="s">
        <v>15214</v>
      </c>
    </row>
    <row r="3343" spans="1:9" x14ac:dyDescent="0.25">
      <c r="A3343" s="16">
        <v>42943</v>
      </c>
      <c r="B3343" s="273" t="s">
        <v>23268</v>
      </c>
      <c r="C3343">
        <v>121497</v>
      </c>
      <c r="D3343" s="236" t="s">
        <v>15284</v>
      </c>
      <c r="E3343" s="15">
        <v>793.8</v>
      </c>
      <c r="F3343" s="274">
        <v>42943</v>
      </c>
      <c r="G3343" s="15">
        <v>793.8</v>
      </c>
      <c r="H3343" s="15">
        <f>Tabla1[[#This Row],[Importe]]-Tabla1[[#This Row],[Pagado]]</f>
        <v>0</v>
      </c>
      <c r="I3343" s="275" t="s">
        <v>15214</v>
      </c>
    </row>
    <row r="3344" spans="1:9" x14ac:dyDescent="0.25">
      <c r="A3344" s="16">
        <v>42943</v>
      </c>
      <c r="B3344" s="273" t="s">
        <v>23269</v>
      </c>
      <c r="C3344">
        <v>121498</v>
      </c>
      <c r="D3344" s="236" t="s">
        <v>15444</v>
      </c>
      <c r="E3344" s="15">
        <v>2455.1999999999998</v>
      </c>
      <c r="F3344" s="274">
        <v>42944</v>
      </c>
      <c r="G3344" s="15">
        <v>2455.1999999999998</v>
      </c>
      <c r="H3344" s="15">
        <f>Tabla1[[#This Row],[Importe]]-Tabla1[[#This Row],[Pagado]]</f>
        <v>0</v>
      </c>
      <c r="I3344" s="275" t="s">
        <v>15214</v>
      </c>
    </row>
    <row r="3345" spans="1:9" x14ac:dyDescent="0.25">
      <c r="A3345" s="16">
        <v>42943</v>
      </c>
      <c r="B3345" s="273" t="s">
        <v>23270</v>
      </c>
      <c r="C3345">
        <v>121499</v>
      </c>
      <c r="D3345" s="236" t="s">
        <v>15315</v>
      </c>
      <c r="E3345" s="15">
        <v>399.6</v>
      </c>
      <c r="F3345" s="274">
        <v>42943</v>
      </c>
      <c r="G3345" s="15">
        <v>399.6</v>
      </c>
      <c r="H3345" s="15">
        <f>Tabla1[[#This Row],[Importe]]-Tabla1[[#This Row],[Pagado]]</f>
        <v>0</v>
      </c>
      <c r="I3345" s="275" t="s">
        <v>15214</v>
      </c>
    </row>
    <row r="3346" spans="1:9" x14ac:dyDescent="0.25">
      <c r="A3346" s="16">
        <v>42943</v>
      </c>
      <c r="B3346" s="273" t="s">
        <v>23271</v>
      </c>
      <c r="C3346">
        <v>121500</v>
      </c>
      <c r="D3346" s="236" t="s">
        <v>15246</v>
      </c>
      <c r="E3346" s="15">
        <v>1987.2</v>
      </c>
      <c r="F3346" s="274">
        <v>42947</v>
      </c>
      <c r="G3346" s="15">
        <v>1987.2</v>
      </c>
      <c r="H3346" s="15">
        <f>Tabla1[[#This Row],[Importe]]-Tabla1[[#This Row],[Pagado]]</f>
        <v>0</v>
      </c>
      <c r="I3346" s="275" t="s">
        <v>15214</v>
      </c>
    </row>
    <row r="3347" spans="1:9" x14ac:dyDescent="0.25">
      <c r="A3347" s="16">
        <v>42943</v>
      </c>
      <c r="B3347" s="273" t="s">
        <v>23272</v>
      </c>
      <c r="C3347">
        <v>121501</v>
      </c>
      <c r="D3347" s="236" t="s">
        <v>15250</v>
      </c>
      <c r="E3347" s="15">
        <v>2340</v>
      </c>
      <c r="F3347" s="274">
        <v>42961</v>
      </c>
      <c r="G3347" s="15">
        <v>2340</v>
      </c>
      <c r="H3347" s="15">
        <f>Tabla1[[#This Row],[Importe]]-Tabla1[[#This Row],[Pagado]]</f>
        <v>0</v>
      </c>
      <c r="I3347" s="275" t="s">
        <v>15214</v>
      </c>
    </row>
    <row r="3348" spans="1:9" x14ac:dyDescent="0.25">
      <c r="A3348" s="16">
        <v>42943</v>
      </c>
      <c r="B3348" s="273" t="s">
        <v>23273</v>
      </c>
      <c r="C3348">
        <v>121502</v>
      </c>
      <c r="D3348" s="236" t="s">
        <v>15407</v>
      </c>
      <c r="E3348" s="15">
        <v>780</v>
      </c>
      <c r="F3348" s="274">
        <v>42943</v>
      </c>
      <c r="G3348" s="15">
        <v>780</v>
      </c>
      <c r="H3348" s="15">
        <f>Tabla1[[#This Row],[Importe]]-Tabla1[[#This Row],[Pagado]]</f>
        <v>0</v>
      </c>
      <c r="I3348" s="275" t="s">
        <v>15214</v>
      </c>
    </row>
    <row r="3349" spans="1:9" x14ac:dyDescent="0.25">
      <c r="A3349" s="16">
        <v>42943</v>
      </c>
      <c r="B3349" s="273" t="s">
        <v>23274</v>
      </c>
      <c r="C3349">
        <v>121503</v>
      </c>
      <c r="D3349" s="236" t="s">
        <v>15365</v>
      </c>
      <c r="E3349" s="15">
        <v>252630</v>
      </c>
      <c r="F3349" s="292">
        <v>42948</v>
      </c>
      <c r="G3349" s="15">
        <v>252630</v>
      </c>
      <c r="H3349" s="15">
        <f>Tabla1[[#This Row],[Importe]]-Tabla1[[#This Row],[Pagado]]</f>
        <v>0</v>
      </c>
      <c r="I3349" s="275" t="s">
        <v>15214</v>
      </c>
    </row>
    <row r="3350" spans="1:9" x14ac:dyDescent="0.25">
      <c r="A3350" s="16">
        <v>42943</v>
      </c>
      <c r="B3350" s="273" t="s">
        <v>23275</v>
      </c>
      <c r="C3350">
        <v>121504</v>
      </c>
      <c r="D3350" s="236" t="s">
        <v>15592</v>
      </c>
      <c r="E3350" s="15">
        <v>18256</v>
      </c>
      <c r="F3350" s="274">
        <v>42944</v>
      </c>
      <c r="G3350" s="15">
        <v>18256</v>
      </c>
      <c r="H3350" s="15">
        <f>Tabla1[[#This Row],[Importe]]-Tabla1[[#This Row],[Pagado]]</f>
        <v>0</v>
      </c>
      <c r="I3350" s="275" t="s">
        <v>15214</v>
      </c>
    </row>
    <row r="3351" spans="1:9" x14ac:dyDescent="0.25">
      <c r="A3351" s="16">
        <v>42943</v>
      </c>
      <c r="B3351" s="273" t="s">
        <v>23276</v>
      </c>
      <c r="C3351">
        <v>121505</v>
      </c>
      <c r="D3351" s="236" t="s">
        <v>15442</v>
      </c>
      <c r="E3351" s="15">
        <v>754.8</v>
      </c>
      <c r="F3351" s="274">
        <v>42943</v>
      </c>
      <c r="G3351" s="15">
        <v>754.8</v>
      </c>
      <c r="H3351" s="15">
        <f>Tabla1[[#This Row],[Importe]]-Tabla1[[#This Row],[Pagado]]</f>
        <v>0</v>
      </c>
      <c r="I3351" s="275" t="s">
        <v>15214</v>
      </c>
    </row>
    <row r="3352" spans="1:9" x14ac:dyDescent="0.25">
      <c r="A3352" s="16">
        <v>42944</v>
      </c>
      <c r="B3352" s="273" t="s">
        <v>23277</v>
      </c>
      <c r="C3352">
        <v>121506</v>
      </c>
      <c r="D3352" s="236" t="s">
        <v>21386</v>
      </c>
      <c r="E3352" s="15">
        <v>9753</v>
      </c>
      <c r="F3352" s="274">
        <v>43311</v>
      </c>
      <c r="G3352" s="15">
        <v>9753</v>
      </c>
      <c r="H3352" s="15">
        <f>Tabla1[[#This Row],[Importe]]-Tabla1[[#This Row],[Pagado]]</f>
        <v>0</v>
      </c>
      <c r="I3352" s="275" t="s">
        <v>15214</v>
      </c>
    </row>
    <row r="3353" spans="1:9" x14ac:dyDescent="0.25">
      <c r="A3353" s="16">
        <v>42944</v>
      </c>
      <c r="B3353" s="273" t="s">
        <v>23278</v>
      </c>
      <c r="C3353">
        <v>121507</v>
      </c>
      <c r="D3353" s="236" t="s">
        <v>21386</v>
      </c>
      <c r="E3353" s="15">
        <v>240</v>
      </c>
      <c r="F3353" s="274">
        <v>42944</v>
      </c>
      <c r="G3353" s="15">
        <v>240</v>
      </c>
      <c r="H3353" s="15">
        <f>Tabla1[[#This Row],[Importe]]-Tabla1[[#This Row],[Pagado]]</f>
        <v>0</v>
      </c>
      <c r="I3353" s="275" t="s">
        <v>15214</v>
      </c>
    </row>
    <row r="3354" spans="1:9" x14ac:dyDescent="0.25">
      <c r="A3354" s="16">
        <v>42944</v>
      </c>
      <c r="B3354" s="273" t="s">
        <v>23279</v>
      </c>
      <c r="C3354">
        <v>121508</v>
      </c>
      <c r="D3354" s="236" t="s">
        <v>15330</v>
      </c>
      <c r="E3354" s="15">
        <v>3562</v>
      </c>
      <c r="F3354" s="274">
        <v>42944</v>
      </c>
      <c r="G3354" s="15">
        <v>3562</v>
      </c>
      <c r="H3354" s="15">
        <f>Tabla1[[#This Row],[Importe]]-Tabla1[[#This Row],[Pagado]]</f>
        <v>0</v>
      </c>
      <c r="I3354" s="275" t="s">
        <v>15214</v>
      </c>
    </row>
    <row r="3355" spans="1:9" x14ac:dyDescent="0.25">
      <c r="A3355" s="16">
        <v>42944</v>
      </c>
      <c r="B3355" s="273" t="s">
        <v>23280</v>
      </c>
      <c r="C3355">
        <v>121509</v>
      </c>
      <c r="D3355" s="236" t="s">
        <v>15213</v>
      </c>
      <c r="E3355" s="15">
        <v>46624.2</v>
      </c>
      <c r="F3355" s="274">
        <v>42945</v>
      </c>
      <c r="G3355" s="15">
        <v>46624.2</v>
      </c>
      <c r="H3355" s="15">
        <f>Tabla1[[#This Row],[Importe]]-Tabla1[[#This Row],[Pagado]]</f>
        <v>0</v>
      </c>
      <c r="I3355" s="275" t="s">
        <v>15214</v>
      </c>
    </row>
    <row r="3356" spans="1:9" x14ac:dyDescent="0.25">
      <c r="A3356" s="16">
        <v>42944</v>
      </c>
      <c r="B3356" s="273" t="s">
        <v>23281</v>
      </c>
      <c r="C3356">
        <v>121510</v>
      </c>
      <c r="D3356" s="236" t="s">
        <v>15213</v>
      </c>
      <c r="E3356" s="15">
        <v>853.3</v>
      </c>
      <c r="F3356" s="274">
        <v>42945</v>
      </c>
      <c r="G3356" s="15">
        <v>853.3</v>
      </c>
      <c r="H3356" s="15">
        <f>Tabla1[[#This Row],[Importe]]-Tabla1[[#This Row],[Pagado]]</f>
        <v>0</v>
      </c>
      <c r="I3356" s="275" t="s">
        <v>15214</v>
      </c>
    </row>
    <row r="3357" spans="1:9" x14ac:dyDescent="0.25">
      <c r="A3357" s="16">
        <v>42944</v>
      </c>
      <c r="B3357" s="273" t="s">
        <v>23282</v>
      </c>
      <c r="C3357">
        <v>121511</v>
      </c>
      <c r="D3357" s="236" t="s">
        <v>15442</v>
      </c>
      <c r="E3357" s="15">
        <v>27385.4</v>
      </c>
      <c r="F3357" s="274">
        <v>42952</v>
      </c>
      <c r="G3357" s="15">
        <v>27385.4</v>
      </c>
      <c r="H3357" s="15">
        <f>Tabla1[[#This Row],[Importe]]-Tabla1[[#This Row],[Pagado]]</f>
        <v>0</v>
      </c>
      <c r="I3357" s="275" t="s">
        <v>15214</v>
      </c>
    </row>
    <row r="3358" spans="1:9" x14ac:dyDescent="0.25">
      <c r="A3358" s="16">
        <v>42944</v>
      </c>
      <c r="B3358" s="273" t="s">
        <v>23283</v>
      </c>
      <c r="C3358">
        <v>121512</v>
      </c>
      <c r="D3358" s="236" t="s">
        <v>15216</v>
      </c>
      <c r="E3358" s="15">
        <v>6471.4</v>
      </c>
      <c r="F3358" s="274">
        <v>42944</v>
      </c>
      <c r="G3358" s="15">
        <v>6471.4</v>
      </c>
      <c r="H3358" s="15">
        <f>Tabla1[[#This Row],[Importe]]-Tabla1[[#This Row],[Pagado]]</f>
        <v>0</v>
      </c>
      <c r="I3358" s="275" t="s">
        <v>15214</v>
      </c>
    </row>
    <row r="3359" spans="1:9" ht="15.75" x14ac:dyDescent="0.25">
      <c r="A3359" s="16">
        <v>42944</v>
      </c>
      <c r="B3359" s="273" t="s">
        <v>23284</v>
      </c>
      <c r="C3359">
        <v>121513</v>
      </c>
      <c r="D3359" s="248" t="s">
        <v>23285</v>
      </c>
      <c r="E3359" s="15">
        <v>0</v>
      </c>
      <c r="F3359" s="277" t="s">
        <v>95</v>
      </c>
      <c r="G3359" s="15">
        <v>0</v>
      </c>
      <c r="H3359" s="15">
        <f>Tabla1[[#This Row],[Importe]]-Tabla1[[#This Row],[Pagado]]</f>
        <v>0</v>
      </c>
      <c r="I3359" s="248" t="s">
        <v>21841</v>
      </c>
    </row>
    <row r="3360" spans="1:9" x14ac:dyDescent="0.25">
      <c r="A3360" s="16">
        <v>42944</v>
      </c>
      <c r="B3360" s="273" t="s">
        <v>23286</v>
      </c>
      <c r="C3360">
        <v>121514</v>
      </c>
      <c r="D3360" s="236" t="s">
        <v>15220</v>
      </c>
      <c r="E3360" s="15">
        <v>3120</v>
      </c>
      <c r="F3360" s="274">
        <v>42944</v>
      </c>
      <c r="G3360" s="15">
        <v>3120</v>
      </c>
      <c r="H3360" s="15">
        <f>Tabla1[[#This Row],[Importe]]-Tabla1[[#This Row],[Pagado]]</f>
        <v>0</v>
      </c>
      <c r="I3360" s="275" t="s">
        <v>15214</v>
      </c>
    </row>
    <row r="3361" spans="1:9" x14ac:dyDescent="0.25">
      <c r="A3361" s="16">
        <v>42944</v>
      </c>
      <c r="B3361" s="273" t="s">
        <v>23287</v>
      </c>
      <c r="C3361">
        <v>121515</v>
      </c>
      <c r="D3361" s="236" t="s">
        <v>17235</v>
      </c>
      <c r="E3361" s="15">
        <v>1040</v>
      </c>
      <c r="F3361" s="274">
        <v>42944</v>
      </c>
      <c r="G3361" s="15">
        <v>1040</v>
      </c>
      <c r="H3361" s="15">
        <f>Tabla1[[#This Row],[Importe]]-Tabla1[[#This Row],[Pagado]]</f>
        <v>0</v>
      </c>
      <c r="I3361" s="275" t="s">
        <v>15214</v>
      </c>
    </row>
    <row r="3362" spans="1:9" x14ac:dyDescent="0.25">
      <c r="A3362" s="16">
        <v>42944</v>
      </c>
      <c r="B3362" s="273" t="s">
        <v>23288</v>
      </c>
      <c r="C3362">
        <v>121516</v>
      </c>
      <c r="D3362" s="236" t="s">
        <v>15315</v>
      </c>
      <c r="E3362" s="15">
        <v>1505.4</v>
      </c>
      <c r="F3362" s="274">
        <v>42944</v>
      </c>
      <c r="G3362" s="15">
        <v>1505.4</v>
      </c>
      <c r="H3362" s="15">
        <f>Tabla1[[#This Row],[Importe]]-Tabla1[[#This Row],[Pagado]]</f>
        <v>0</v>
      </c>
      <c r="I3362" s="275" t="s">
        <v>15214</v>
      </c>
    </row>
    <row r="3363" spans="1:9" ht="30" x14ac:dyDescent="0.25">
      <c r="A3363" s="16">
        <v>42944</v>
      </c>
      <c r="B3363" s="273" t="s">
        <v>23289</v>
      </c>
      <c r="C3363">
        <v>121517</v>
      </c>
      <c r="D3363" s="236" t="s">
        <v>15230</v>
      </c>
      <c r="E3363" s="15">
        <v>15685.4</v>
      </c>
      <c r="F3363" s="292" t="s">
        <v>23757</v>
      </c>
      <c r="G3363" s="241">
        <f>5000+10685.4</f>
        <v>15685.4</v>
      </c>
      <c r="H3363" s="241">
        <f>Tabla1[[#This Row],[Importe]]-Tabla1[[#This Row],[Pagado]]</f>
        <v>0</v>
      </c>
      <c r="I3363" s="275" t="s">
        <v>15214</v>
      </c>
    </row>
    <row r="3364" spans="1:9" x14ac:dyDescent="0.25">
      <c r="A3364" s="16">
        <v>42944</v>
      </c>
      <c r="B3364" s="273" t="s">
        <v>23290</v>
      </c>
      <c r="C3364">
        <v>121518</v>
      </c>
      <c r="D3364" s="236" t="s">
        <v>15234</v>
      </c>
      <c r="E3364" s="15">
        <v>3721.2</v>
      </c>
      <c r="F3364" s="292">
        <v>42948</v>
      </c>
      <c r="G3364" s="15">
        <v>3721.2</v>
      </c>
      <c r="H3364" s="15">
        <f>Tabla1[[#This Row],[Importe]]-Tabla1[[#This Row],[Pagado]]</f>
        <v>0</v>
      </c>
      <c r="I3364" s="275" t="s">
        <v>15214</v>
      </c>
    </row>
    <row r="3365" spans="1:9" x14ac:dyDescent="0.25">
      <c r="A3365" s="16">
        <v>42944</v>
      </c>
      <c r="B3365" s="273" t="s">
        <v>23291</v>
      </c>
      <c r="C3365">
        <v>121519</v>
      </c>
      <c r="D3365" s="236" t="s">
        <v>15244</v>
      </c>
      <c r="E3365" s="15">
        <v>2712</v>
      </c>
      <c r="F3365" s="292">
        <v>42948</v>
      </c>
      <c r="G3365" s="15">
        <v>2712</v>
      </c>
      <c r="H3365" s="15">
        <f>Tabla1[[#This Row],[Importe]]-Tabla1[[#This Row],[Pagado]]</f>
        <v>0</v>
      </c>
      <c r="I3365" s="275" t="s">
        <v>15214</v>
      </c>
    </row>
    <row r="3366" spans="1:9" x14ac:dyDescent="0.25">
      <c r="A3366" s="16">
        <v>42944</v>
      </c>
      <c r="B3366" s="273" t="s">
        <v>23292</v>
      </c>
      <c r="C3366">
        <v>121520</v>
      </c>
      <c r="D3366" s="236" t="s">
        <v>15240</v>
      </c>
      <c r="E3366" s="15">
        <v>3141.6</v>
      </c>
      <c r="F3366" s="274">
        <v>42947</v>
      </c>
      <c r="G3366" s="15">
        <v>3141.6</v>
      </c>
      <c r="H3366" s="15">
        <f>Tabla1[[#This Row],[Importe]]-Tabla1[[#This Row],[Pagado]]</f>
        <v>0</v>
      </c>
      <c r="I3366" s="275" t="s">
        <v>15214</v>
      </c>
    </row>
    <row r="3367" spans="1:9" x14ac:dyDescent="0.25">
      <c r="A3367" s="16">
        <v>42944</v>
      </c>
      <c r="B3367" s="273" t="s">
        <v>23293</v>
      </c>
      <c r="C3367">
        <v>121521</v>
      </c>
      <c r="D3367" s="236" t="s">
        <v>15242</v>
      </c>
      <c r="E3367" s="15">
        <v>16346.4</v>
      </c>
      <c r="F3367" s="274">
        <v>42944</v>
      </c>
      <c r="G3367" s="15">
        <v>16346.4</v>
      </c>
      <c r="H3367" s="15">
        <f>Tabla1[[#This Row],[Importe]]-Tabla1[[#This Row],[Pagado]]</f>
        <v>0</v>
      </c>
      <c r="I3367" s="275" t="s">
        <v>15214</v>
      </c>
    </row>
    <row r="3368" spans="1:9" x14ac:dyDescent="0.25">
      <c r="A3368" s="16">
        <v>42944</v>
      </c>
      <c r="B3368" s="273" t="s">
        <v>23294</v>
      </c>
      <c r="C3368">
        <v>121522</v>
      </c>
      <c r="D3368" s="236" t="s">
        <v>22733</v>
      </c>
      <c r="E3368" s="15">
        <v>4023</v>
      </c>
      <c r="F3368" s="274">
        <v>42944</v>
      </c>
      <c r="G3368" s="15">
        <v>4023</v>
      </c>
      <c r="H3368" s="15">
        <f>Tabla1[[#This Row],[Importe]]-Tabla1[[#This Row],[Pagado]]</f>
        <v>0</v>
      </c>
      <c r="I3368" s="275" t="s">
        <v>15214</v>
      </c>
    </row>
    <row r="3369" spans="1:9" x14ac:dyDescent="0.25">
      <c r="A3369" s="16">
        <v>42944</v>
      </c>
      <c r="B3369" s="273" t="s">
        <v>23295</v>
      </c>
      <c r="C3369">
        <v>121523</v>
      </c>
      <c r="D3369" s="236" t="s">
        <v>15480</v>
      </c>
      <c r="E3369" s="15">
        <v>3838.8</v>
      </c>
      <c r="F3369" s="292">
        <v>42949</v>
      </c>
      <c r="G3369" s="15">
        <v>3838.8</v>
      </c>
      <c r="H3369" s="15">
        <f>Tabla1[[#This Row],[Importe]]-Tabla1[[#This Row],[Pagado]]</f>
        <v>0</v>
      </c>
      <c r="I3369" s="275" t="s">
        <v>15214</v>
      </c>
    </row>
    <row r="3370" spans="1:9" ht="30" x14ac:dyDescent="0.25">
      <c r="A3370" s="16">
        <v>42944</v>
      </c>
      <c r="B3370" s="273" t="s">
        <v>23296</v>
      </c>
      <c r="C3370">
        <v>121524</v>
      </c>
      <c r="D3370" s="236" t="s">
        <v>15258</v>
      </c>
      <c r="E3370" s="15">
        <v>13356</v>
      </c>
      <c r="F3370" s="292" t="s">
        <v>23753</v>
      </c>
      <c r="G3370" s="241">
        <f>7000+6356</f>
        <v>13356</v>
      </c>
      <c r="H3370" s="241">
        <f>Tabla1[[#This Row],[Importe]]-Tabla1[[#This Row],[Pagado]]</f>
        <v>0</v>
      </c>
      <c r="I3370" s="275" t="s">
        <v>15214</v>
      </c>
    </row>
    <row r="3371" spans="1:9" x14ac:dyDescent="0.25">
      <c r="A3371" s="16">
        <v>42944</v>
      </c>
      <c r="B3371" s="273" t="s">
        <v>23297</v>
      </c>
      <c r="C3371">
        <v>121525</v>
      </c>
      <c r="D3371" s="236" t="s">
        <v>15238</v>
      </c>
      <c r="E3371" s="15">
        <v>7816.8</v>
      </c>
      <c r="F3371" s="274">
        <v>42947</v>
      </c>
      <c r="G3371" s="15">
        <v>7816.8</v>
      </c>
      <c r="H3371" s="15">
        <f>Tabla1[[#This Row],[Importe]]-Tabla1[[#This Row],[Pagado]]</f>
        <v>0</v>
      </c>
      <c r="I3371" s="275" t="s">
        <v>15214</v>
      </c>
    </row>
    <row r="3372" spans="1:9" x14ac:dyDescent="0.25">
      <c r="A3372" s="16">
        <v>42944</v>
      </c>
      <c r="B3372" s="273" t="s">
        <v>23298</v>
      </c>
      <c r="C3372">
        <v>121526</v>
      </c>
      <c r="D3372" s="236" t="s">
        <v>18544</v>
      </c>
      <c r="E3372" s="15">
        <v>3282.2</v>
      </c>
      <c r="F3372" s="274">
        <v>42944</v>
      </c>
      <c r="G3372" s="15">
        <v>3282.2</v>
      </c>
      <c r="H3372" s="15">
        <f>Tabla1[[#This Row],[Importe]]-Tabla1[[#This Row],[Pagado]]</f>
        <v>0</v>
      </c>
      <c r="I3372" s="275" t="s">
        <v>15214</v>
      </c>
    </row>
    <row r="3373" spans="1:9" x14ac:dyDescent="0.25">
      <c r="A3373" s="16">
        <v>42944</v>
      </c>
      <c r="B3373" s="273" t="s">
        <v>23299</v>
      </c>
      <c r="C3373">
        <v>121527</v>
      </c>
      <c r="D3373" s="236" t="s">
        <v>15226</v>
      </c>
      <c r="E3373" s="15">
        <v>1563.5</v>
      </c>
      <c r="F3373" s="274">
        <v>42947</v>
      </c>
      <c r="G3373" s="15">
        <v>1563.5</v>
      </c>
      <c r="H3373" s="15">
        <f>Tabla1[[#This Row],[Importe]]-Tabla1[[#This Row],[Pagado]]</f>
        <v>0</v>
      </c>
      <c r="I3373" s="275" t="s">
        <v>15214</v>
      </c>
    </row>
    <row r="3374" spans="1:9" x14ac:dyDescent="0.25">
      <c r="A3374" s="16">
        <v>42944</v>
      </c>
      <c r="B3374" s="273" t="s">
        <v>23300</v>
      </c>
      <c r="C3374">
        <v>121528</v>
      </c>
      <c r="D3374" s="236" t="s">
        <v>18258</v>
      </c>
      <c r="E3374" s="15">
        <v>10603</v>
      </c>
      <c r="F3374" s="274">
        <v>42944</v>
      </c>
      <c r="G3374" s="15">
        <v>10603</v>
      </c>
      <c r="H3374" s="15">
        <f>Tabla1[[#This Row],[Importe]]-Tabla1[[#This Row],[Pagado]]</f>
        <v>0</v>
      </c>
      <c r="I3374" s="275" t="s">
        <v>15214</v>
      </c>
    </row>
    <row r="3375" spans="1:9" ht="30" x14ac:dyDescent="0.25">
      <c r="A3375" s="16">
        <v>42944</v>
      </c>
      <c r="B3375" s="273" t="s">
        <v>23301</v>
      </c>
      <c r="C3375">
        <v>121529</v>
      </c>
      <c r="D3375" s="236" t="s">
        <v>15256</v>
      </c>
      <c r="E3375" s="15">
        <v>10194</v>
      </c>
      <c r="F3375" s="292" t="s">
        <v>23755</v>
      </c>
      <c r="G3375" s="241">
        <f>8200+1994</f>
        <v>10194</v>
      </c>
      <c r="H3375" s="241">
        <f>Tabla1[[#This Row],[Importe]]-Tabla1[[#This Row],[Pagado]]</f>
        <v>0</v>
      </c>
      <c r="I3375" s="275" t="s">
        <v>15214</v>
      </c>
    </row>
    <row r="3376" spans="1:9" x14ac:dyDescent="0.25">
      <c r="A3376" s="16">
        <v>42944</v>
      </c>
      <c r="B3376" s="273" t="s">
        <v>23302</v>
      </c>
      <c r="C3376">
        <v>121530</v>
      </c>
      <c r="D3376" s="236" t="s">
        <v>15272</v>
      </c>
      <c r="E3376" s="15">
        <v>19924.900000000001</v>
      </c>
      <c r="F3376" s="274">
        <v>42944</v>
      </c>
      <c r="G3376" s="15">
        <v>19924.900000000001</v>
      </c>
      <c r="H3376" s="15">
        <f>Tabla1[[#This Row],[Importe]]-Tabla1[[#This Row],[Pagado]]</f>
        <v>0</v>
      </c>
      <c r="I3376" s="275" t="s">
        <v>15214</v>
      </c>
    </row>
    <row r="3377" spans="1:9" ht="30" x14ac:dyDescent="0.25">
      <c r="A3377" s="16">
        <v>42944</v>
      </c>
      <c r="B3377" s="273" t="s">
        <v>23303</v>
      </c>
      <c r="C3377">
        <v>121531</v>
      </c>
      <c r="D3377" s="236" t="s">
        <v>15248</v>
      </c>
      <c r="E3377" s="15">
        <v>16430.02</v>
      </c>
      <c r="F3377" s="274" t="s">
        <v>23064</v>
      </c>
      <c r="G3377" s="241">
        <f>13430+3000.02</f>
        <v>16430.02</v>
      </c>
      <c r="H3377" s="241">
        <f>Tabla1[[#This Row],[Importe]]-Tabla1[[#This Row],[Pagado]]</f>
        <v>0</v>
      </c>
      <c r="I3377" s="275" t="s">
        <v>15214</v>
      </c>
    </row>
    <row r="3378" spans="1:9" x14ac:dyDescent="0.25">
      <c r="A3378" s="16">
        <v>42944</v>
      </c>
      <c r="B3378" s="273" t="s">
        <v>23304</v>
      </c>
      <c r="C3378">
        <v>121532</v>
      </c>
      <c r="D3378" s="236" t="s">
        <v>15324</v>
      </c>
      <c r="E3378" s="15">
        <v>4095</v>
      </c>
      <c r="F3378" s="274">
        <v>42944</v>
      </c>
      <c r="G3378" s="15">
        <v>4095</v>
      </c>
      <c r="H3378" s="15">
        <f>Tabla1[[#This Row],[Importe]]-Tabla1[[#This Row],[Pagado]]</f>
        <v>0</v>
      </c>
      <c r="I3378" s="275" t="s">
        <v>15214</v>
      </c>
    </row>
    <row r="3379" spans="1:9" x14ac:dyDescent="0.25">
      <c r="A3379" s="16">
        <v>42944</v>
      </c>
      <c r="B3379" s="273" t="s">
        <v>23305</v>
      </c>
      <c r="C3379">
        <v>121533</v>
      </c>
      <c r="D3379" s="236" t="s">
        <v>15338</v>
      </c>
      <c r="E3379" s="15">
        <v>11264.8</v>
      </c>
      <c r="F3379" s="292">
        <v>42949</v>
      </c>
      <c r="G3379" s="15">
        <v>11264.8</v>
      </c>
      <c r="H3379" s="15">
        <f>Tabla1[[#This Row],[Importe]]-Tabla1[[#This Row],[Pagado]]</f>
        <v>0</v>
      </c>
      <c r="I3379" s="275" t="s">
        <v>15214</v>
      </c>
    </row>
    <row r="3380" spans="1:9" x14ac:dyDescent="0.25">
      <c r="A3380" s="16">
        <v>42944</v>
      </c>
      <c r="B3380" s="273" t="s">
        <v>23306</v>
      </c>
      <c r="C3380">
        <v>121534</v>
      </c>
      <c r="D3380" s="236" t="s">
        <v>15338</v>
      </c>
      <c r="E3380" s="15">
        <v>4806</v>
      </c>
      <c r="F3380" s="274">
        <v>42944</v>
      </c>
      <c r="G3380" s="15">
        <v>4806</v>
      </c>
      <c r="H3380" s="15">
        <f>Tabla1[[#This Row],[Importe]]-Tabla1[[#This Row],[Pagado]]</f>
        <v>0</v>
      </c>
      <c r="I3380" s="275" t="s">
        <v>15214</v>
      </c>
    </row>
    <row r="3381" spans="1:9" x14ac:dyDescent="0.25">
      <c r="A3381" s="16">
        <v>42944</v>
      </c>
      <c r="B3381" s="273" t="s">
        <v>23307</v>
      </c>
      <c r="C3381">
        <v>121535</v>
      </c>
      <c r="D3381" s="236" t="s">
        <v>17929</v>
      </c>
      <c r="E3381" s="15">
        <v>5832</v>
      </c>
      <c r="F3381" s="274">
        <v>42944</v>
      </c>
      <c r="G3381" s="15">
        <v>5832</v>
      </c>
      <c r="H3381" s="15">
        <f>Tabla1[[#This Row],[Importe]]-Tabla1[[#This Row],[Pagado]]</f>
        <v>0</v>
      </c>
      <c r="I3381" s="275" t="s">
        <v>15214</v>
      </c>
    </row>
    <row r="3382" spans="1:9" x14ac:dyDescent="0.25">
      <c r="A3382" s="16">
        <v>42944</v>
      </c>
      <c r="B3382" s="273" t="s">
        <v>23308</v>
      </c>
      <c r="C3382">
        <v>121536</v>
      </c>
      <c r="D3382" s="236" t="s">
        <v>15246</v>
      </c>
      <c r="E3382" s="15">
        <v>41799.800000000003</v>
      </c>
      <c r="F3382" s="274">
        <v>42947</v>
      </c>
      <c r="G3382" s="15">
        <v>41799.800000000003</v>
      </c>
      <c r="H3382" s="15">
        <f>Tabla1[[#This Row],[Importe]]-Tabla1[[#This Row],[Pagado]]</f>
        <v>0</v>
      </c>
      <c r="I3382" s="275" t="s">
        <v>15214</v>
      </c>
    </row>
    <row r="3383" spans="1:9" x14ac:dyDescent="0.25">
      <c r="A3383" s="16">
        <v>42944</v>
      </c>
      <c r="B3383" s="273" t="s">
        <v>23309</v>
      </c>
      <c r="C3383">
        <v>121537</v>
      </c>
      <c r="D3383" s="236" t="s">
        <v>15523</v>
      </c>
      <c r="E3383" s="15">
        <v>2600</v>
      </c>
      <c r="F3383" s="274">
        <v>42944</v>
      </c>
      <c r="G3383" s="15">
        <v>2600</v>
      </c>
      <c r="H3383" s="15">
        <f>Tabla1[[#This Row],[Importe]]-Tabla1[[#This Row],[Pagado]]</f>
        <v>0</v>
      </c>
      <c r="I3383" s="275" t="s">
        <v>15214</v>
      </c>
    </row>
    <row r="3384" spans="1:9" x14ac:dyDescent="0.25">
      <c r="A3384" s="16">
        <v>42944</v>
      </c>
      <c r="B3384" s="273" t="s">
        <v>23310</v>
      </c>
      <c r="C3384">
        <v>121538</v>
      </c>
      <c r="D3384" s="236" t="s">
        <v>15858</v>
      </c>
      <c r="E3384" s="15">
        <v>385</v>
      </c>
      <c r="F3384" s="274">
        <v>42944</v>
      </c>
      <c r="G3384" s="15">
        <v>385</v>
      </c>
      <c r="H3384" s="15">
        <f>Tabla1[[#This Row],[Importe]]-Tabla1[[#This Row],[Pagado]]</f>
        <v>0</v>
      </c>
      <c r="I3384" s="275" t="s">
        <v>15214</v>
      </c>
    </row>
    <row r="3385" spans="1:9" x14ac:dyDescent="0.25">
      <c r="A3385" s="16">
        <v>42944</v>
      </c>
      <c r="B3385" s="273" t="s">
        <v>23311</v>
      </c>
      <c r="C3385">
        <v>121539</v>
      </c>
      <c r="D3385" s="236" t="s">
        <v>15340</v>
      </c>
      <c r="E3385" s="15">
        <v>3457.2</v>
      </c>
      <c r="F3385" s="274">
        <v>42945</v>
      </c>
      <c r="G3385" s="15">
        <v>3457.2</v>
      </c>
      <c r="H3385" s="15">
        <f>Tabla1[[#This Row],[Importe]]-Tabla1[[#This Row],[Pagado]]</f>
        <v>0</v>
      </c>
      <c r="I3385" s="275" t="s">
        <v>15214</v>
      </c>
    </row>
    <row r="3386" spans="1:9" x14ac:dyDescent="0.25">
      <c r="A3386" s="16">
        <v>42944</v>
      </c>
      <c r="B3386" s="273" t="s">
        <v>23312</v>
      </c>
      <c r="C3386">
        <v>121540</v>
      </c>
      <c r="D3386" s="236" t="s">
        <v>15342</v>
      </c>
      <c r="E3386" s="15">
        <v>540</v>
      </c>
      <c r="F3386" s="274">
        <v>42944</v>
      </c>
      <c r="G3386" s="15">
        <v>540</v>
      </c>
      <c r="H3386" s="15">
        <f>Tabla1[[#This Row],[Importe]]-Tabla1[[#This Row],[Pagado]]</f>
        <v>0</v>
      </c>
      <c r="I3386" s="275" t="s">
        <v>15214</v>
      </c>
    </row>
    <row r="3387" spans="1:9" x14ac:dyDescent="0.25">
      <c r="A3387" s="16">
        <v>42944</v>
      </c>
      <c r="B3387" s="273" t="s">
        <v>23313</v>
      </c>
      <c r="C3387">
        <v>121541</v>
      </c>
      <c r="D3387" s="236" t="s">
        <v>15577</v>
      </c>
      <c r="E3387" s="15">
        <v>830.4</v>
      </c>
      <c r="F3387" s="274">
        <v>42944</v>
      </c>
      <c r="G3387" s="15">
        <v>830.4</v>
      </c>
      <c r="H3387" s="15">
        <f>Tabla1[[#This Row],[Importe]]-Tabla1[[#This Row],[Pagado]]</f>
        <v>0</v>
      </c>
      <c r="I3387" s="275" t="s">
        <v>15214</v>
      </c>
    </row>
    <row r="3388" spans="1:9" x14ac:dyDescent="0.25">
      <c r="A3388" s="16">
        <v>42944</v>
      </c>
      <c r="B3388" s="273" t="s">
        <v>23314</v>
      </c>
      <c r="C3388">
        <v>121542</v>
      </c>
      <c r="D3388" s="236" t="s">
        <v>15358</v>
      </c>
      <c r="E3388" s="15">
        <v>3014.1</v>
      </c>
      <c r="F3388" s="274">
        <v>42944</v>
      </c>
      <c r="G3388" s="15">
        <v>3014.1</v>
      </c>
      <c r="H3388" s="15">
        <f>Tabla1[[#This Row],[Importe]]-Tabla1[[#This Row],[Pagado]]</f>
        <v>0</v>
      </c>
      <c r="I3388" s="275" t="s">
        <v>15214</v>
      </c>
    </row>
    <row r="3389" spans="1:9" x14ac:dyDescent="0.25">
      <c r="A3389" s="16">
        <v>42944</v>
      </c>
      <c r="B3389" s="273" t="s">
        <v>23315</v>
      </c>
      <c r="C3389">
        <v>121543</v>
      </c>
      <c r="D3389" s="236" t="s">
        <v>15577</v>
      </c>
      <c r="E3389" s="15">
        <v>325</v>
      </c>
      <c r="F3389" s="274">
        <v>42944</v>
      </c>
      <c r="G3389" s="15">
        <v>325</v>
      </c>
      <c r="H3389" s="15">
        <f>Tabla1[[#This Row],[Importe]]-Tabla1[[#This Row],[Pagado]]</f>
        <v>0</v>
      </c>
      <c r="I3389" s="275" t="s">
        <v>15214</v>
      </c>
    </row>
    <row r="3390" spans="1:9" x14ac:dyDescent="0.25">
      <c r="A3390" s="16">
        <v>42944</v>
      </c>
      <c r="B3390" s="273" t="s">
        <v>23316</v>
      </c>
      <c r="C3390">
        <v>121544</v>
      </c>
      <c r="D3390" s="236" t="s">
        <v>15336</v>
      </c>
      <c r="E3390" s="15">
        <v>6711.6</v>
      </c>
      <c r="F3390" s="274">
        <v>42944</v>
      </c>
      <c r="G3390" s="15">
        <v>6711.6</v>
      </c>
      <c r="H3390" s="15">
        <f>Tabla1[[#This Row],[Importe]]-Tabla1[[#This Row],[Pagado]]</f>
        <v>0</v>
      </c>
      <c r="I3390" s="275" t="s">
        <v>15214</v>
      </c>
    </row>
    <row r="3391" spans="1:9" x14ac:dyDescent="0.25">
      <c r="A3391" s="16">
        <v>42944</v>
      </c>
      <c r="B3391" s="273" t="s">
        <v>23317</v>
      </c>
      <c r="C3391">
        <v>121545</v>
      </c>
      <c r="D3391" s="236" t="s">
        <v>15334</v>
      </c>
      <c r="E3391" s="15">
        <v>2248</v>
      </c>
      <c r="F3391" s="274">
        <v>42944</v>
      </c>
      <c r="G3391" s="15">
        <v>2248</v>
      </c>
      <c r="H3391" s="15">
        <f>Tabla1[[#This Row],[Importe]]-Tabla1[[#This Row],[Pagado]]</f>
        <v>0</v>
      </c>
      <c r="I3391" s="275" t="s">
        <v>15214</v>
      </c>
    </row>
    <row r="3392" spans="1:9" x14ac:dyDescent="0.25">
      <c r="A3392" s="16">
        <v>42944</v>
      </c>
      <c r="B3392" s="273" t="s">
        <v>23318</v>
      </c>
      <c r="C3392">
        <v>121546</v>
      </c>
      <c r="D3392" s="236" t="s">
        <v>15278</v>
      </c>
      <c r="E3392" s="15">
        <v>7003.4</v>
      </c>
      <c r="F3392" s="274">
        <v>42944</v>
      </c>
      <c r="G3392" s="15">
        <v>7003.4</v>
      </c>
      <c r="H3392" s="15">
        <f>Tabla1[[#This Row],[Importe]]-Tabla1[[#This Row],[Pagado]]</f>
        <v>0</v>
      </c>
      <c r="I3392" s="275" t="s">
        <v>15214</v>
      </c>
    </row>
    <row r="3393" spans="1:9" x14ac:dyDescent="0.25">
      <c r="A3393" s="16">
        <v>42944</v>
      </c>
      <c r="B3393" s="273" t="s">
        <v>23319</v>
      </c>
      <c r="C3393">
        <v>121547</v>
      </c>
      <c r="D3393" s="236" t="s">
        <v>15344</v>
      </c>
      <c r="E3393" s="15">
        <v>2370.6</v>
      </c>
      <c r="F3393" s="274">
        <v>42944</v>
      </c>
      <c r="G3393" s="15">
        <v>2370.6</v>
      </c>
      <c r="H3393" s="15">
        <f>Tabla1[[#This Row],[Importe]]-Tabla1[[#This Row],[Pagado]]</f>
        <v>0</v>
      </c>
      <c r="I3393" s="275" t="s">
        <v>15214</v>
      </c>
    </row>
    <row r="3394" spans="1:9" x14ac:dyDescent="0.25">
      <c r="A3394" s="16">
        <v>42944</v>
      </c>
      <c r="B3394" s="273" t="s">
        <v>23320</v>
      </c>
      <c r="C3394">
        <v>121548</v>
      </c>
      <c r="D3394" s="236" t="s">
        <v>15526</v>
      </c>
      <c r="E3394" s="15">
        <v>4282.2</v>
      </c>
      <c r="F3394" s="274">
        <v>42944</v>
      </c>
      <c r="G3394" s="15">
        <v>4282.2</v>
      </c>
      <c r="H3394" s="15">
        <f>Tabla1[[#This Row],[Importe]]-Tabla1[[#This Row],[Pagado]]</f>
        <v>0</v>
      </c>
      <c r="I3394" s="275" t="s">
        <v>15214</v>
      </c>
    </row>
    <row r="3395" spans="1:9" x14ac:dyDescent="0.25">
      <c r="A3395" s="16">
        <v>42944</v>
      </c>
      <c r="B3395" s="273" t="s">
        <v>23321</v>
      </c>
      <c r="C3395">
        <v>121549</v>
      </c>
      <c r="D3395" s="236" t="s">
        <v>15332</v>
      </c>
      <c r="E3395" s="15">
        <v>5745.6</v>
      </c>
      <c r="F3395" s="274">
        <v>42944</v>
      </c>
      <c r="G3395" s="15">
        <v>5745.6</v>
      </c>
      <c r="H3395" s="15">
        <f>Tabla1[[#This Row],[Importe]]-Tabla1[[#This Row],[Pagado]]</f>
        <v>0</v>
      </c>
      <c r="I3395" s="275" t="s">
        <v>15214</v>
      </c>
    </row>
    <row r="3396" spans="1:9" x14ac:dyDescent="0.25">
      <c r="A3396" s="16">
        <v>42944</v>
      </c>
      <c r="B3396" s="273" t="s">
        <v>23322</v>
      </c>
      <c r="C3396">
        <v>121550</v>
      </c>
      <c r="D3396" s="236" t="s">
        <v>15280</v>
      </c>
      <c r="E3396" s="15">
        <v>5976.8</v>
      </c>
      <c r="F3396" s="274">
        <v>42944</v>
      </c>
      <c r="G3396" s="15">
        <v>5976.8</v>
      </c>
      <c r="H3396" s="15">
        <f>Tabla1[[#This Row],[Importe]]-Tabla1[[#This Row],[Pagado]]</f>
        <v>0</v>
      </c>
      <c r="I3396" s="275" t="s">
        <v>15214</v>
      </c>
    </row>
    <row r="3397" spans="1:9" x14ac:dyDescent="0.25">
      <c r="A3397" s="16">
        <v>42944</v>
      </c>
      <c r="B3397" s="273" t="s">
        <v>23323</v>
      </c>
      <c r="C3397">
        <v>121551</v>
      </c>
      <c r="D3397" s="236" t="s">
        <v>19768</v>
      </c>
      <c r="E3397" s="15">
        <v>3640</v>
      </c>
      <c r="F3397" s="274">
        <v>42944</v>
      </c>
      <c r="G3397" s="15">
        <v>3640</v>
      </c>
      <c r="H3397" s="15">
        <f>Tabla1[[#This Row],[Importe]]-Tabla1[[#This Row],[Pagado]]</f>
        <v>0</v>
      </c>
      <c r="I3397" s="275" t="s">
        <v>15214</v>
      </c>
    </row>
    <row r="3398" spans="1:9" x14ac:dyDescent="0.25">
      <c r="A3398" s="16">
        <v>42944</v>
      </c>
      <c r="B3398" s="273" t="s">
        <v>23324</v>
      </c>
      <c r="C3398">
        <v>121552</v>
      </c>
      <c r="D3398" s="236" t="s">
        <v>15326</v>
      </c>
      <c r="E3398" s="15">
        <v>4320.8</v>
      </c>
      <c r="F3398" s="274">
        <v>42944</v>
      </c>
      <c r="G3398" s="15">
        <v>4320.8</v>
      </c>
      <c r="H3398" s="15">
        <f>Tabla1[[#This Row],[Importe]]-Tabla1[[#This Row],[Pagado]]</f>
        <v>0</v>
      </c>
      <c r="I3398" s="275" t="s">
        <v>15214</v>
      </c>
    </row>
    <row r="3399" spans="1:9" x14ac:dyDescent="0.25">
      <c r="A3399" s="16">
        <v>42944</v>
      </c>
      <c r="B3399" s="273" t="s">
        <v>23325</v>
      </c>
      <c r="C3399">
        <v>121553</v>
      </c>
      <c r="D3399" s="236" t="s">
        <v>15315</v>
      </c>
      <c r="E3399" s="15">
        <v>3546.4</v>
      </c>
      <c r="F3399" s="274">
        <v>42944</v>
      </c>
      <c r="G3399" s="15">
        <v>3546.4</v>
      </c>
      <c r="H3399" s="15">
        <f>Tabla1[[#This Row],[Importe]]-Tabla1[[#This Row],[Pagado]]</f>
        <v>0</v>
      </c>
      <c r="I3399" s="275" t="s">
        <v>15214</v>
      </c>
    </row>
    <row r="3400" spans="1:9" ht="15.75" x14ac:dyDescent="0.25">
      <c r="A3400" s="16">
        <v>42944</v>
      </c>
      <c r="B3400" s="273" t="s">
        <v>23326</v>
      </c>
      <c r="C3400">
        <v>121554</v>
      </c>
      <c r="D3400" s="248" t="s">
        <v>95</v>
      </c>
      <c r="E3400" s="15">
        <v>0</v>
      </c>
      <c r="F3400" s="277" t="s">
        <v>95</v>
      </c>
      <c r="G3400" s="15">
        <v>0</v>
      </c>
      <c r="H3400" s="15">
        <f>Tabla1[[#This Row],[Importe]]-Tabla1[[#This Row],[Pagado]]</f>
        <v>0</v>
      </c>
      <c r="I3400" s="275" t="s">
        <v>95</v>
      </c>
    </row>
    <row r="3401" spans="1:9" x14ac:dyDescent="0.25">
      <c r="A3401" s="16">
        <v>42944</v>
      </c>
      <c r="B3401" s="273" t="s">
        <v>23327</v>
      </c>
      <c r="C3401">
        <v>121555</v>
      </c>
      <c r="D3401" s="236" t="s">
        <v>19768</v>
      </c>
      <c r="E3401" s="15">
        <v>220</v>
      </c>
      <c r="F3401" s="274">
        <v>42944</v>
      </c>
      <c r="G3401" s="15">
        <v>220</v>
      </c>
      <c r="H3401" s="15">
        <f>Tabla1[[#This Row],[Importe]]-Tabla1[[#This Row],[Pagado]]</f>
        <v>0</v>
      </c>
      <c r="I3401" s="275" t="s">
        <v>15214</v>
      </c>
    </row>
    <row r="3402" spans="1:9" x14ac:dyDescent="0.25">
      <c r="A3402" s="16">
        <v>42944</v>
      </c>
      <c r="B3402" s="273" t="s">
        <v>23328</v>
      </c>
      <c r="C3402">
        <v>121556</v>
      </c>
      <c r="D3402" s="236" t="s">
        <v>15223</v>
      </c>
      <c r="E3402" s="15">
        <v>59167.5</v>
      </c>
      <c r="F3402" s="274">
        <v>42967</v>
      </c>
      <c r="G3402" s="15">
        <v>59167.5</v>
      </c>
      <c r="H3402" s="15">
        <f>Tabla1[[#This Row],[Importe]]-Tabla1[[#This Row],[Pagado]]</f>
        <v>0</v>
      </c>
      <c r="I3402" s="275" t="s">
        <v>15214</v>
      </c>
    </row>
    <row r="3403" spans="1:9" x14ac:dyDescent="0.25">
      <c r="A3403" s="16">
        <v>42944</v>
      </c>
      <c r="B3403" s="273" t="s">
        <v>23329</v>
      </c>
      <c r="C3403">
        <v>121557</v>
      </c>
      <c r="D3403" s="236" t="s">
        <v>17057</v>
      </c>
      <c r="E3403" s="15">
        <v>1261.3</v>
      </c>
      <c r="F3403" s="274">
        <v>42944</v>
      </c>
      <c r="G3403" s="15">
        <v>1261.3</v>
      </c>
      <c r="H3403" s="15">
        <f>Tabla1[[#This Row],[Importe]]-Tabla1[[#This Row],[Pagado]]</f>
        <v>0</v>
      </c>
      <c r="I3403" s="275" t="s">
        <v>15214</v>
      </c>
    </row>
    <row r="3404" spans="1:9" x14ac:dyDescent="0.25">
      <c r="A3404" s="16">
        <v>42944</v>
      </c>
      <c r="B3404" s="273" t="s">
        <v>23330</v>
      </c>
      <c r="C3404">
        <v>121558</v>
      </c>
      <c r="D3404" s="236" t="s">
        <v>15307</v>
      </c>
      <c r="E3404" s="15">
        <v>926.6</v>
      </c>
      <c r="F3404" s="274">
        <v>42944</v>
      </c>
      <c r="G3404" s="15">
        <v>926.6</v>
      </c>
      <c r="H3404" s="15">
        <f>Tabla1[[#This Row],[Importe]]-Tabla1[[#This Row],[Pagado]]</f>
        <v>0</v>
      </c>
      <c r="I3404" s="275" t="s">
        <v>15214</v>
      </c>
    </row>
    <row r="3405" spans="1:9" x14ac:dyDescent="0.25">
      <c r="A3405" s="16">
        <v>42944</v>
      </c>
      <c r="B3405" s="273" t="s">
        <v>23331</v>
      </c>
      <c r="C3405">
        <v>121559</v>
      </c>
      <c r="D3405" s="236" t="s">
        <v>15309</v>
      </c>
      <c r="E3405" s="15">
        <v>12590.1</v>
      </c>
      <c r="F3405" s="274">
        <v>42944</v>
      </c>
      <c r="G3405" s="15">
        <v>12590.1</v>
      </c>
      <c r="H3405" s="15">
        <f>Tabla1[[#This Row],[Importe]]-Tabla1[[#This Row],[Pagado]]</f>
        <v>0</v>
      </c>
      <c r="I3405" s="275" t="s">
        <v>15214</v>
      </c>
    </row>
    <row r="3406" spans="1:9" x14ac:dyDescent="0.25">
      <c r="A3406" s="16">
        <v>42944</v>
      </c>
      <c r="B3406" s="273" t="s">
        <v>23332</v>
      </c>
      <c r="C3406">
        <v>121560</v>
      </c>
      <c r="D3406" s="236" t="s">
        <v>15263</v>
      </c>
      <c r="E3406" s="15">
        <v>2316</v>
      </c>
      <c r="F3406" s="274">
        <v>42944</v>
      </c>
      <c r="G3406" s="15">
        <v>2316</v>
      </c>
      <c r="H3406" s="15">
        <f>Tabla1[[#This Row],[Importe]]-Tabla1[[#This Row],[Pagado]]</f>
        <v>0</v>
      </c>
      <c r="I3406" s="275" t="s">
        <v>15214</v>
      </c>
    </row>
    <row r="3407" spans="1:9" x14ac:dyDescent="0.25">
      <c r="A3407" s="16">
        <v>42944</v>
      </c>
      <c r="B3407" s="273" t="s">
        <v>23333</v>
      </c>
      <c r="C3407">
        <v>121561</v>
      </c>
      <c r="D3407" s="236" t="s">
        <v>15748</v>
      </c>
      <c r="E3407" s="15">
        <v>981.8</v>
      </c>
      <c r="F3407" s="292">
        <v>42948</v>
      </c>
      <c r="G3407" s="15">
        <v>981.8</v>
      </c>
      <c r="H3407" s="15">
        <f>Tabla1[[#This Row],[Importe]]-Tabla1[[#This Row],[Pagado]]</f>
        <v>0</v>
      </c>
      <c r="I3407" s="275" t="s">
        <v>15214</v>
      </c>
    </row>
    <row r="3408" spans="1:9" x14ac:dyDescent="0.25">
      <c r="A3408" s="16">
        <v>42944</v>
      </c>
      <c r="B3408" s="273" t="s">
        <v>23334</v>
      </c>
      <c r="C3408">
        <v>121562</v>
      </c>
      <c r="D3408" s="236" t="s">
        <v>15284</v>
      </c>
      <c r="E3408" s="15">
        <v>1625.4</v>
      </c>
      <c r="F3408" s="274">
        <v>42944</v>
      </c>
      <c r="G3408" s="15">
        <v>1625.4</v>
      </c>
      <c r="H3408" s="15">
        <f>Tabla1[[#This Row],[Importe]]-Tabla1[[#This Row],[Pagado]]</f>
        <v>0</v>
      </c>
      <c r="I3408" s="275" t="s">
        <v>15214</v>
      </c>
    </row>
    <row r="3409" spans="1:9" x14ac:dyDescent="0.25">
      <c r="A3409" s="16">
        <v>42944</v>
      </c>
      <c r="B3409" s="273" t="s">
        <v>23335</v>
      </c>
      <c r="C3409">
        <v>121563</v>
      </c>
      <c r="D3409" s="236" t="s">
        <v>15415</v>
      </c>
      <c r="E3409" s="15">
        <v>884.6</v>
      </c>
      <c r="F3409" s="274">
        <v>42944</v>
      </c>
      <c r="G3409" s="15">
        <v>884.6</v>
      </c>
      <c r="H3409" s="15">
        <f>Tabla1[[#This Row],[Importe]]-Tabla1[[#This Row],[Pagado]]</f>
        <v>0</v>
      </c>
      <c r="I3409" s="275" t="s">
        <v>15214</v>
      </c>
    </row>
    <row r="3410" spans="1:9" x14ac:dyDescent="0.25">
      <c r="A3410" s="16">
        <v>42944</v>
      </c>
      <c r="B3410" s="273" t="s">
        <v>23336</v>
      </c>
      <c r="C3410">
        <v>121564</v>
      </c>
      <c r="D3410" s="236" t="s">
        <v>15371</v>
      </c>
      <c r="E3410" s="15">
        <v>4794.3999999999996</v>
      </c>
      <c r="F3410" s="274">
        <v>42945</v>
      </c>
      <c r="G3410" s="15">
        <v>4794.3999999999996</v>
      </c>
      <c r="H3410" s="15">
        <f>Tabla1[[#This Row],[Importe]]-Tabla1[[#This Row],[Pagado]]</f>
        <v>0</v>
      </c>
      <c r="I3410" s="275" t="s">
        <v>15214</v>
      </c>
    </row>
    <row r="3411" spans="1:9" x14ac:dyDescent="0.25">
      <c r="A3411" s="16">
        <v>42944</v>
      </c>
      <c r="B3411" s="273" t="s">
        <v>23337</v>
      </c>
      <c r="C3411">
        <v>121565</v>
      </c>
      <c r="D3411" s="236" t="s">
        <v>15311</v>
      </c>
      <c r="E3411" s="15">
        <v>826.8</v>
      </c>
      <c r="F3411" s="274">
        <v>42944</v>
      </c>
      <c r="G3411" s="15">
        <v>826.8</v>
      </c>
      <c r="H3411" s="15">
        <f>Tabla1[[#This Row],[Importe]]-Tabla1[[#This Row],[Pagado]]</f>
        <v>0</v>
      </c>
      <c r="I3411" s="275" t="s">
        <v>15214</v>
      </c>
    </row>
    <row r="3412" spans="1:9" x14ac:dyDescent="0.25">
      <c r="A3412" s="16">
        <v>42944</v>
      </c>
      <c r="B3412" s="273" t="s">
        <v>23338</v>
      </c>
      <c r="C3412">
        <v>121566</v>
      </c>
      <c r="D3412" s="236" t="s">
        <v>17800</v>
      </c>
      <c r="E3412" s="15">
        <v>4986.7</v>
      </c>
      <c r="F3412" s="274">
        <v>42944</v>
      </c>
      <c r="G3412" s="15">
        <v>4986.7</v>
      </c>
      <c r="H3412" s="15">
        <f>Tabla1[[#This Row],[Importe]]-Tabla1[[#This Row],[Pagado]]</f>
        <v>0</v>
      </c>
      <c r="I3412" s="275" t="s">
        <v>15214</v>
      </c>
    </row>
    <row r="3413" spans="1:9" x14ac:dyDescent="0.25">
      <c r="A3413" s="16">
        <v>42944</v>
      </c>
      <c r="B3413" s="273" t="s">
        <v>23339</v>
      </c>
      <c r="C3413">
        <v>121567</v>
      </c>
      <c r="D3413" s="236" t="s">
        <v>15291</v>
      </c>
      <c r="E3413" s="15">
        <v>1300</v>
      </c>
      <c r="F3413" s="274">
        <v>42944</v>
      </c>
      <c r="G3413" s="15">
        <v>1300</v>
      </c>
      <c r="H3413" s="15">
        <f>Tabla1[[#This Row],[Importe]]-Tabla1[[#This Row],[Pagado]]</f>
        <v>0</v>
      </c>
      <c r="I3413" s="275" t="s">
        <v>15214</v>
      </c>
    </row>
    <row r="3414" spans="1:9" x14ac:dyDescent="0.25">
      <c r="A3414" s="16">
        <v>42944</v>
      </c>
      <c r="B3414" s="273" t="s">
        <v>23340</v>
      </c>
      <c r="C3414">
        <v>121568</v>
      </c>
      <c r="D3414" s="236" t="s">
        <v>15315</v>
      </c>
      <c r="E3414" s="15">
        <v>1170</v>
      </c>
      <c r="F3414" s="274">
        <v>42944</v>
      </c>
      <c r="G3414" s="15">
        <v>1170</v>
      </c>
      <c r="H3414" s="15">
        <f>Tabla1[[#This Row],[Importe]]-Tabla1[[#This Row],[Pagado]]</f>
        <v>0</v>
      </c>
      <c r="I3414" s="275" t="s">
        <v>15214</v>
      </c>
    </row>
    <row r="3415" spans="1:9" x14ac:dyDescent="0.25">
      <c r="A3415" s="16">
        <v>42944</v>
      </c>
      <c r="B3415" s="273" t="s">
        <v>23341</v>
      </c>
      <c r="C3415">
        <v>121569</v>
      </c>
      <c r="D3415" s="236" t="s">
        <v>15596</v>
      </c>
      <c r="E3415" s="15">
        <v>1040</v>
      </c>
      <c r="F3415" s="274">
        <v>42944</v>
      </c>
      <c r="G3415" s="15">
        <v>1040</v>
      </c>
      <c r="H3415" s="15">
        <f>Tabla1[[#This Row],[Importe]]-Tabla1[[#This Row],[Pagado]]</f>
        <v>0</v>
      </c>
      <c r="I3415" s="275" t="s">
        <v>15214</v>
      </c>
    </row>
    <row r="3416" spans="1:9" x14ac:dyDescent="0.25">
      <c r="A3416" s="16">
        <v>42944</v>
      </c>
      <c r="B3416" s="273" t="s">
        <v>23342</v>
      </c>
      <c r="C3416">
        <v>121570</v>
      </c>
      <c r="D3416" s="236" t="s">
        <v>15274</v>
      </c>
      <c r="E3416" s="15">
        <v>3645.2</v>
      </c>
      <c r="F3416" s="274">
        <v>42944</v>
      </c>
      <c r="G3416" s="15">
        <v>3645.2</v>
      </c>
      <c r="H3416" s="15">
        <f>Tabla1[[#This Row],[Importe]]-Tabla1[[#This Row],[Pagado]]</f>
        <v>0</v>
      </c>
      <c r="I3416" s="275" t="s">
        <v>15214</v>
      </c>
    </row>
    <row r="3417" spans="1:9" x14ac:dyDescent="0.25">
      <c r="A3417" s="16">
        <v>42944</v>
      </c>
      <c r="B3417" s="273" t="s">
        <v>23343</v>
      </c>
      <c r="C3417">
        <v>121571</v>
      </c>
      <c r="D3417" s="236" t="s">
        <v>15706</v>
      </c>
      <c r="E3417" s="15">
        <v>2976.5</v>
      </c>
      <c r="F3417" s="274">
        <v>42944</v>
      </c>
      <c r="G3417" s="15">
        <v>2976.5</v>
      </c>
      <c r="H3417" s="15">
        <f>Tabla1[[#This Row],[Importe]]-Tabla1[[#This Row],[Pagado]]</f>
        <v>0</v>
      </c>
      <c r="I3417" s="275" t="s">
        <v>15214</v>
      </c>
    </row>
    <row r="3418" spans="1:9" ht="30" x14ac:dyDescent="0.25">
      <c r="A3418" s="16">
        <v>42944</v>
      </c>
      <c r="B3418" s="273" t="s">
        <v>23344</v>
      </c>
      <c r="C3418">
        <v>121572</v>
      </c>
      <c r="D3418" s="236" t="s">
        <v>19549</v>
      </c>
      <c r="E3418" s="15">
        <v>16332.4</v>
      </c>
      <c r="F3418" s="292" t="s">
        <v>23754</v>
      </c>
      <c r="G3418" s="241">
        <f>15000+1332.4</f>
        <v>16332.4</v>
      </c>
      <c r="H3418" s="241">
        <f>Tabla1[[#This Row],[Importe]]-Tabla1[[#This Row],[Pagado]]</f>
        <v>0</v>
      </c>
      <c r="I3418" s="275" t="s">
        <v>15214</v>
      </c>
    </row>
    <row r="3419" spans="1:9" ht="30" x14ac:dyDescent="0.25">
      <c r="A3419" s="16">
        <v>42944</v>
      </c>
      <c r="B3419" s="273" t="s">
        <v>23345</v>
      </c>
      <c r="C3419">
        <v>121573</v>
      </c>
      <c r="D3419" s="236" t="s">
        <v>15373</v>
      </c>
      <c r="E3419" s="15">
        <v>15778.2</v>
      </c>
      <c r="F3419" s="292" t="s">
        <v>23754</v>
      </c>
      <c r="G3419" s="241">
        <f>1237+14541.2</f>
        <v>15778.2</v>
      </c>
      <c r="H3419" s="241">
        <f>Tabla1[[#This Row],[Importe]]-Tabla1[[#This Row],[Pagado]]</f>
        <v>0</v>
      </c>
      <c r="I3419" s="275" t="s">
        <v>15214</v>
      </c>
    </row>
    <row r="3420" spans="1:9" x14ac:dyDescent="0.25">
      <c r="A3420" s="16">
        <v>42944</v>
      </c>
      <c r="B3420" s="273" t="s">
        <v>23346</v>
      </c>
      <c r="C3420">
        <v>121574</v>
      </c>
      <c r="D3420" s="236" t="s">
        <v>18082</v>
      </c>
      <c r="E3420" s="15">
        <v>33888.400000000001</v>
      </c>
      <c r="F3420" s="274">
        <v>42944</v>
      </c>
      <c r="G3420" s="15">
        <v>33888.400000000001</v>
      </c>
      <c r="H3420" s="15">
        <f>Tabla1[[#This Row],[Importe]]-Tabla1[[#This Row],[Pagado]]</f>
        <v>0</v>
      </c>
      <c r="I3420" s="275" t="s">
        <v>15214</v>
      </c>
    </row>
    <row r="3421" spans="1:9" x14ac:dyDescent="0.25">
      <c r="A3421" s="16">
        <v>42944</v>
      </c>
      <c r="B3421" s="273" t="s">
        <v>23347</v>
      </c>
      <c r="C3421">
        <v>121575</v>
      </c>
      <c r="D3421" s="236" t="s">
        <v>15530</v>
      </c>
      <c r="E3421" s="15">
        <v>1413.6</v>
      </c>
      <c r="F3421" s="274">
        <v>42944</v>
      </c>
      <c r="G3421" s="15">
        <v>1413.6</v>
      </c>
      <c r="H3421" s="15">
        <f>Tabla1[[#This Row],[Importe]]-Tabla1[[#This Row],[Pagado]]</f>
        <v>0</v>
      </c>
      <c r="I3421" s="275" t="s">
        <v>15214</v>
      </c>
    </row>
    <row r="3422" spans="1:9" x14ac:dyDescent="0.25">
      <c r="A3422" s="16">
        <v>42944</v>
      </c>
      <c r="B3422" s="273" t="s">
        <v>23348</v>
      </c>
      <c r="C3422">
        <v>121576</v>
      </c>
      <c r="D3422" s="236" t="s">
        <v>15380</v>
      </c>
      <c r="E3422" s="15">
        <v>52497</v>
      </c>
      <c r="F3422" s="279">
        <v>42965</v>
      </c>
      <c r="G3422" s="15">
        <v>52497</v>
      </c>
      <c r="H3422" s="15">
        <f>Tabla1[[#This Row],[Importe]]-Tabla1[[#This Row],[Pagado]]</f>
        <v>0</v>
      </c>
      <c r="I3422" s="275" t="s">
        <v>15214</v>
      </c>
    </row>
    <row r="3423" spans="1:9" x14ac:dyDescent="0.25">
      <c r="A3423" s="16">
        <v>42944</v>
      </c>
      <c r="B3423" s="273" t="s">
        <v>23349</v>
      </c>
      <c r="C3423">
        <v>121577</v>
      </c>
      <c r="D3423" s="236" t="s">
        <v>15367</v>
      </c>
      <c r="E3423" s="15">
        <v>6000</v>
      </c>
      <c r="F3423" s="274">
        <v>42945</v>
      </c>
      <c r="G3423" s="15">
        <v>6000</v>
      </c>
      <c r="H3423" s="15">
        <f>Tabla1[[#This Row],[Importe]]-Tabla1[[#This Row],[Pagado]]</f>
        <v>0</v>
      </c>
      <c r="I3423" s="275" t="s">
        <v>15214</v>
      </c>
    </row>
    <row r="3424" spans="1:9" x14ac:dyDescent="0.25">
      <c r="A3424" s="16">
        <v>42944</v>
      </c>
      <c r="B3424" s="273" t="s">
        <v>23350</v>
      </c>
      <c r="C3424">
        <v>121578</v>
      </c>
      <c r="D3424" s="236" t="s">
        <v>15382</v>
      </c>
      <c r="E3424" s="15">
        <v>12098.6</v>
      </c>
      <c r="F3424" s="274">
        <v>42955</v>
      </c>
      <c r="G3424" s="15">
        <v>12098.6</v>
      </c>
      <c r="H3424" s="15">
        <f>Tabla1[[#This Row],[Importe]]-Tabla1[[#This Row],[Pagado]]</f>
        <v>0</v>
      </c>
      <c r="I3424" s="275" t="s">
        <v>15214</v>
      </c>
    </row>
    <row r="3425" spans="1:9" x14ac:dyDescent="0.25">
      <c r="A3425" s="16">
        <v>42944</v>
      </c>
      <c r="B3425" s="273" t="s">
        <v>23351</v>
      </c>
      <c r="C3425">
        <v>121579</v>
      </c>
      <c r="D3425" s="236" t="s">
        <v>15369</v>
      </c>
      <c r="E3425" s="15">
        <v>32991.300000000003</v>
      </c>
      <c r="F3425" s="274">
        <v>42960</v>
      </c>
      <c r="G3425" s="15">
        <v>32991.300000000003</v>
      </c>
      <c r="H3425" s="15">
        <f>Tabla1[[#This Row],[Importe]]-Tabla1[[#This Row],[Pagado]]</f>
        <v>0</v>
      </c>
      <c r="I3425" s="275" t="s">
        <v>15214</v>
      </c>
    </row>
    <row r="3426" spans="1:9" x14ac:dyDescent="0.25">
      <c r="A3426" s="16">
        <v>42944</v>
      </c>
      <c r="B3426" s="273" t="s">
        <v>23352</v>
      </c>
      <c r="C3426">
        <v>121580</v>
      </c>
      <c r="D3426" s="236" t="s">
        <v>15389</v>
      </c>
      <c r="E3426" s="15">
        <v>18120.8</v>
      </c>
      <c r="F3426" s="274">
        <v>39302</v>
      </c>
      <c r="G3426" s="15">
        <v>18120.8</v>
      </c>
      <c r="H3426" s="15">
        <f>Tabla1[[#This Row],[Importe]]-Tabla1[[#This Row],[Pagado]]</f>
        <v>0</v>
      </c>
      <c r="I3426" s="275" t="s">
        <v>15214</v>
      </c>
    </row>
    <row r="3427" spans="1:9" x14ac:dyDescent="0.25">
      <c r="A3427" s="16">
        <v>42944</v>
      </c>
      <c r="B3427" s="273" t="s">
        <v>23353</v>
      </c>
      <c r="C3427">
        <v>121581</v>
      </c>
      <c r="D3427" s="236" t="s">
        <v>15555</v>
      </c>
      <c r="E3427" s="15">
        <v>38322.33</v>
      </c>
      <c r="F3427" s="274">
        <v>42956</v>
      </c>
      <c r="G3427" s="15">
        <v>38322.33</v>
      </c>
      <c r="H3427" s="15">
        <f>Tabla1[[#This Row],[Importe]]-Tabla1[[#This Row],[Pagado]]</f>
        <v>0</v>
      </c>
      <c r="I3427" s="275" t="s">
        <v>15214</v>
      </c>
    </row>
    <row r="3428" spans="1:9" x14ac:dyDescent="0.25">
      <c r="A3428" s="16">
        <v>42944</v>
      </c>
      <c r="B3428" s="273" t="s">
        <v>23354</v>
      </c>
      <c r="C3428">
        <v>121582</v>
      </c>
      <c r="D3428" s="236" t="s">
        <v>15394</v>
      </c>
      <c r="E3428" s="15">
        <v>10383</v>
      </c>
      <c r="F3428" s="274">
        <v>42950</v>
      </c>
      <c r="G3428" s="15">
        <v>10383</v>
      </c>
      <c r="H3428" s="15">
        <f>Tabla1[[#This Row],[Importe]]-Tabla1[[#This Row],[Pagado]]</f>
        <v>0</v>
      </c>
      <c r="I3428" s="275" t="s">
        <v>15214</v>
      </c>
    </row>
    <row r="3429" spans="1:9" x14ac:dyDescent="0.25">
      <c r="A3429" s="16">
        <v>42944</v>
      </c>
      <c r="B3429" s="273" t="s">
        <v>23355</v>
      </c>
      <c r="C3429">
        <v>121583</v>
      </c>
      <c r="D3429" s="236" t="s">
        <v>15427</v>
      </c>
      <c r="E3429" s="15">
        <v>25835</v>
      </c>
      <c r="F3429" s="274">
        <v>42944</v>
      </c>
      <c r="G3429" s="15">
        <v>25835</v>
      </c>
      <c r="H3429" s="15">
        <f>Tabla1[[#This Row],[Importe]]-Tabla1[[#This Row],[Pagado]]</f>
        <v>0</v>
      </c>
      <c r="I3429" s="275" t="s">
        <v>15214</v>
      </c>
    </row>
    <row r="3430" spans="1:9" ht="15.75" x14ac:dyDescent="0.25">
      <c r="A3430" s="16">
        <v>42944</v>
      </c>
      <c r="B3430" s="273" t="s">
        <v>23356</v>
      </c>
      <c r="C3430">
        <v>121584</v>
      </c>
      <c r="D3430" s="248" t="s">
        <v>95</v>
      </c>
      <c r="E3430" s="15">
        <v>0</v>
      </c>
      <c r="F3430" s="277" t="s">
        <v>95</v>
      </c>
      <c r="G3430" s="15">
        <v>0</v>
      </c>
      <c r="H3430" s="15">
        <f>Tabla1[[#This Row],[Importe]]-Tabla1[[#This Row],[Pagado]]</f>
        <v>0</v>
      </c>
      <c r="I3430" s="275" t="s">
        <v>95</v>
      </c>
    </row>
    <row r="3431" spans="1:9" x14ac:dyDescent="0.25">
      <c r="A3431" s="16">
        <v>42944</v>
      </c>
      <c r="B3431" s="273" t="s">
        <v>23357</v>
      </c>
      <c r="C3431">
        <v>121585</v>
      </c>
      <c r="D3431" s="236" t="s">
        <v>15315</v>
      </c>
      <c r="E3431" s="15">
        <v>36586.800000000003</v>
      </c>
      <c r="F3431" s="274">
        <v>42950</v>
      </c>
      <c r="G3431" s="15">
        <v>36586.800000000003</v>
      </c>
      <c r="H3431" s="15">
        <f>Tabla1[[#This Row],[Importe]]-Tabla1[[#This Row],[Pagado]]</f>
        <v>0</v>
      </c>
      <c r="I3431" s="275" t="s">
        <v>15214</v>
      </c>
    </row>
    <row r="3432" spans="1:9" x14ac:dyDescent="0.25">
      <c r="A3432" s="16">
        <v>42944</v>
      </c>
      <c r="B3432" s="273" t="s">
        <v>23358</v>
      </c>
      <c r="C3432">
        <v>121586</v>
      </c>
      <c r="D3432" s="236" t="s">
        <v>15378</v>
      </c>
      <c r="E3432" s="15">
        <v>2869.3</v>
      </c>
      <c r="F3432" s="274">
        <v>42944</v>
      </c>
      <c r="G3432" s="15">
        <v>2869.3</v>
      </c>
      <c r="H3432" s="15">
        <f>Tabla1[[#This Row],[Importe]]-Tabla1[[#This Row],[Pagado]]</f>
        <v>0</v>
      </c>
      <c r="I3432" s="275" t="s">
        <v>15214</v>
      </c>
    </row>
    <row r="3433" spans="1:9" x14ac:dyDescent="0.25">
      <c r="A3433" s="16">
        <v>42944</v>
      </c>
      <c r="B3433" s="273" t="s">
        <v>23359</v>
      </c>
      <c r="C3433">
        <v>121587</v>
      </c>
      <c r="D3433" s="236" t="s">
        <v>15539</v>
      </c>
      <c r="E3433" s="15">
        <v>3840</v>
      </c>
      <c r="F3433" s="274">
        <v>42950</v>
      </c>
      <c r="G3433" s="15">
        <v>3840</v>
      </c>
      <c r="H3433" s="15">
        <f>Tabla1[[#This Row],[Importe]]-Tabla1[[#This Row],[Pagado]]</f>
        <v>0</v>
      </c>
      <c r="I3433" s="275" t="s">
        <v>15214</v>
      </c>
    </row>
    <row r="3434" spans="1:9" x14ac:dyDescent="0.25">
      <c r="A3434" s="16">
        <v>42944</v>
      </c>
      <c r="B3434" s="273" t="s">
        <v>23360</v>
      </c>
      <c r="C3434">
        <v>121588</v>
      </c>
      <c r="D3434" s="236" t="s">
        <v>15398</v>
      </c>
      <c r="E3434" s="15">
        <v>2944.05</v>
      </c>
      <c r="F3434" s="274">
        <v>42944</v>
      </c>
      <c r="G3434" s="15">
        <v>2944.05</v>
      </c>
      <c r="H3434" s="15">
        <f>Tabla1[[#This Row],[Importe]]-Tabla1[[#This Row],[Pagado]]</f>
        <v>0</v>
      </c>
      <c r="I3434" s="275" t="s">
        <v>15214</v>
      </c>
    </row>
    <row r="3435" spans="1:9" x14ac:dyDescent="0.25">
      <c r="A3435" s="16">
        <v>42944</v>
      </c>
      <c r="B3435" s="273" t="s">
        <v>23361</v>
      </c>
      <c r="C3435">
        <v>121589</v>
      </c>
      <c r="D3435" s="236" t="s">
        <v>15246</v>
      </c>
      <c r="E3435" s="15">
        <v>3674.7</v>
      </c>
      <c r="F3435" s="274">
        <v>42947</v>
      </c>
      <c r="G3435" s="15">
        <v>3674.7</v>
      </c>
      <c r="H3435" s="15">
        <f>Tabla1[[#This Row],[Importe]]-Tabla1[[#This Row],[Pagado]]</f>
        <v>0</v>
      </c>
      <c r="I3435" s="275" t="s">
        <v>15214</v>
      </c>
    </row>
    <row r="3436" spans="1:9" x14ac:dyDescent="0.25">
      <c r="A3436" s="16">
        <v>42944</v>
      </c>
      <c r="B3436" s="273" t="s">
        <v>23362</v>
      </c>
      <c r="C3436">
        <v>121590</v>
      </c>
      <c r="D3436" s="236" t="s">
        <v>15566</v>
      </c>
      <c r="E3436" s="15">
        <v>2872.4</v>
      </c>
      <c r="F3436" s="274">
        <v>42944</v>
      </c>
      <c r="G3436" s="15">
        <v>2872.4</v>
      </c>
      <c r="H3436" s="15">
        <f>Tabla1[[#This Row],[Importe]]-Tabla1[[#This Row],[Pagado]]</f>
        <v>0</v>
      </c>
      <c r="I3436" s="275" t="s">
        <v>15214</v>
      </c>
    </row>
    <row r="3437" spans="1:9" x14ac:dyDescent="0.25">
      <c r="A3437" s="16">
        <v>42944</v>
      </c>
      <c r="B3437" s="273" t="s">
        <v>23363</v>
      </c>
      <c r="C3437">
        <v>121591</v>
      </c>
      <c r="D3437" s="236" t="s">
        <v>15544</v>
      </c>
      <c r="E3437" s="15">
        <v>6109.4</v>
      </c>
      <c r="F3437" s="274">
        <v>42950</v>
      </c>
      <c r="G3437" s="15">
        <v>6109.4</v>
      </c>
      <c r="H3437" s="15">
        <f>Tabla1[[#This Row],[Importe]]-Tabla1[[#This Row],[Pagado]]</f>
        <v>0</v>
      </c>
      <c r="I3437" s="275" t="s">
        <v>15214</v>
      </c>
    </row>
    <row r="3438" spans="1:9" x14ac:dyDescent="0.25">
      <c r="A3438" s="16">
        <v>42944</v>
      </c>
      <c r="B3438" s="273" t="s">
        <v>23364</v>
      </c>
      <c r="C3438">
        <v>121592</v>
      </c>
      <c r="D3438" s="236" t="s">
        <v>17708</v>
      </c>
      <c r="E3438" s="15">
        <v>5359.2</v>
      </c>
      <c r="F3438" s="274">
        <v>42950</v>
      </c>
      <c r="G3438" s="15">
        <v>5359.2</v>
      </c>
      <c r="H3438" s="15">
        <f>Tabla1[[#This Row],[Importe]]-Tabla1[[#This Row],[Pagado]]</f>
        <v>0</v>
      </c>
      <c r="I3438" s="275" t="s">
        <v>15214</v>
      </c>
    </row>
    <row r="3439" spans="1:9" x14ac:dyDescent="0.25">
      <c r="A3439" s="16">
        <v>42944</v>
      </c>
      <c r="B3439" s="273" t="s">
        <v>23365</v>
      </c>
      <c r="C3439">
        <v>121593</v>
      </c>
      <c r="D3439" s="236" t="s">
        <v>15315</v>
      </c>
      <c r="E3439" s="15">
        <v>6417.6</v>
      </c>
      <c r="F3439" s="274">
        <v>42950</v>
      </c>
      <c r="G3439" s="15">
        <v>6417.6</v>
      </c>
      <c r="H3439" s="15">
        <f>Tabla1[[#This Row],[Importe]]-Tabla1[[#This Row],[Pagado]]</f>
        <v>0</v>
      </c>
      <c r="I3439" s="275" t="s">
        <v>15214</v>
      </c>
    </row>
    <row r="3440" spans="1:9" x14ac:dyDescent="0.25">
      <c r="A3440" s="16">
        <v>42944</v>
      </c>
      <c r="B3440" s="273" t="s">
        <v>23366</v>
      </c>
      <c r="C3440">
        <v>121594</v>
      </c>
      <c r="D3440" s="236" t="s">
        <v>15282</v>
      </c>
      <c r="E3440" s="15">
        <v>1175.5999999999999</v>
      </c>
      <c r="F3440" s="274">
        <v>42944</v>
      </c>
      <c r="G3440" s="15">
        <v>1175.5999999999999</v>
      </c>
      <c r="H3440" s="15">
        <f>Tabla1[[#This Row],[Importe]]-Tabla1[[#This Row],[Pagado]]</f>
        <v>0</v>
      </c>
      <c r="I3440" s="275" t="s">
        <v>15214</v>
      </c>
    </row>
    <row r="3441" spans="1:9" x14ac:dyDescent="0.25">
      <c r="A3441" s="16">
        <v>42944</v>
      </c>
      <c r="B3441" s="273" t="s">
        <v>23367</v>
      </c>
      <c r="C3441">
        <v>121595</v>
      </c>
      <c r="D3441" s="236" t="s">
        <v>15282</v>
      </c>
      <c r="E3441" s="15">
        <v>2819.6</v>
      </c>
      <c r="F3441" s="274">
        <v>42944</v>
      </c>
      <c r="G3441" s="15">
        <v>2819.6</v>
      </c>
      <c r="H3441" s="15">
        <f>Tabla1[[#This Row],[Importe]]-Tabla1[[#This Row],[Pagado]]</f>
        <v>0</v>
      </c>
      <c r="I3441" s="275" t="s">
        <v>15214</v>
      </c>
    </row>
    <row r="3442" spans="1:9" x14ac:dyDescent="0.25">
      <c r="A3442" s="16">
        <v>42944</v>
      </c>
      <c r="B3442" s="273" t="s">
        <v>23368</v>
      </c>
      <c r="C3442">
        <v>121596</v>
      </c>
      <c r="D3442" s="236" t="s">
        <v>15317</v>
      </c>
      <c r="E3442" s="15">
        <v>380</v>
      </c>
      <c r="F3442" s="274">
        <v>42944</v>
      </c>
      <c r="G3442" s="15">
        <v>380</v>
      </c>
      <c r="H3442" s="15">
        <f>Tabla1[[#This Row],[Importe]]-Tabla1[[#This Row],[Pagado]]</f>
        <v>0</v>
      </c>
      <c r="I3442" s="275" t="s">
        <v>15214</v>
      </c>
    </row>
    <row r="3443" spans="1:9" x14ac:dyDescent="0.25">
      <c r="A3443" s="16">
        <v>42944</v>
      </c>
      <c r="B3443" s="273" t="s">
        <v>23369</v>
      </c>
      <c r="C3443">
        <v>121597</v>
      </c>
      <c r="D3443" s="236" t="s">
        <v>15725</v>
      </c>
      <c r="E3443" s="15">
        <v>22899.599999999999</v>
      </c>
      <c r="F3443" s="274">
        <v>42946</v>
      </c>
      <c r="G3443" s="15">
        <v>22899.599999999999</v>
      </c>
      <c r="H3443" s="15">
        <f>Tabla1[[#This Row],[Importe]]-Tabla1[[#This Row],[Pagado]]</f>
        <v>0</v>
      </c>
      <c r="I3443" s="275" t="s">
        <v>15214</v>
      </c>
    </row>
    <row r="3444" spans="1:9" x14ac:dyDescent="0.25">
      <c r="A3444" s="16">
        <v>42944</v>
      </c>
      <c r="B3444" s="273" t="s">
        <v>23370</v>
      </c>
      <c r="C3444">
        <v>121598</v>
      </c>
      <c r="D3444" s="236" t="s">
        <v>15376</v>
      </c>
      <c r="E3444" s="15">
        <v>8088</v>
      </c>
      <c r="F3444" s="274">
        <v>42945</v>
      </c>
      <c r="G3444" s="15">
        <v>8088</v>
      </c>
      <c r="H3444" s="15">
        <f>Tabla1[[#This Row],[Importe]]-Tabla1[[#This Row],[Pagado]]</f>
        <v>0</v>
      </c>
      <c r="I3444" s="275" t="s">
        <v>15214</v>
      </c>
    </row>
    <row r="3445" spans="1:9" x14ac:dyDescent="0.25">
      <c r="A3445" s="16">
        <v>42944</v>
      </c>
      <c r="B3445" s="273" t="s">
        <v>23371</v>
      </c>
      <c r="C3445">
        <v>121599</v>
      </c>
      <c r="D3445" s="236" t="s">
        <v>15537</v>
      </c>
      <c r="E3445" s="15">
        <v>25234.400000000001</v>
      </c>
      <c r="F3445" s="274">
        <v>42950</v>
      </c>
      <c r="G3445" s="15">
        <v>25234.400000000001</v>
      </c>
      <c r="H3445" s="15">
        <f>Tabla1[[#This Row],[Importe]]-Tabla1[[#This Row],[Pagado]]</f>
        <v>0</v>
      </c>
      <c r="I3445" s="275" t="s">
        <v>15214</v>
      </c>
    </row>
    <row r="3446" spans="1:9" x14ac:dyDescent="0.25">
      <c r="A3446" s="16">
        <v>42944</v>
      </c>
      <c r="B3446" s="273" t="s">
        <v>23372</v>
      </c>
      <c r="C3446">
        <v>121600</v>
      </c>
      <c r="D3446" s="236" t="s">
        <v>21445</v>
      </c>
      <c r="E3446" s="15">
        <v>3041.72</v>
      </c>
      <c r="F3446" s="274">
        <v>42945</v>
      </c>
      <c r="G3446" s="15">
        <v>3041.72</v>
      </c>
      <c r="H3446" s="15">
        <f>Tabla1[[#This Row],[Importe]]-Tabla1[[#This Row],[Pagado]]</f>
        <v>0</v>
      </c>
      <c r="I3446" s="275" t="s">
        <v>15214</v>
      </c>
    </row>
    <row r="3447" spans="1:9" x14ac:dyDescent="0.25">
      <c r="A3447" s="16">
        <v>42944</v>
      </c>
      <c r="B3447" s="273" t="s">
        <v>23373</v>
      </c>
      <c r="C3447">
        <v>121601</v>
      </c>
      <c r="D3447" s="236" t="s">
        <v>15391</v>
      </c>
      <c r="E3447" s="15">
        <v>13504</v>
      </c>
      <c r="F3447" s="292">
        <v>42948</v>
      </c>
      <c r="G3447" s="15">
        <v>13504</v>
      </c>
      <c r="H3447" s="15">
        <f>Tabla1[[#This Row],[Importe]]-Tabla1[[#This Row],[Pagado]]</f>
        <v>0</v>
      </c>
      <c r="I3447" s="275" t="s">
        <v>15214</v>
      </c>
    </row>
    <row r="3448" spans="1:9" x14ac:dyDescent="0.25">
      <c r="A3448" s="16">
        <v>42944</v>
      </c>
      <c r="B3448" s="273" t="s">
        <v>23374</v>
      </c>
      <c r="C3448">
        <v>121602</v>
      </c>
      <c r="D3448" s="236" t="s">
        <v>16040</v>
      </c>
      <c r="E3448" s="15">
        <v>15720</v>
      </c>
      <c r="F3448" s="274">
        <v>42951</v>
      </c>
      <c r="G3448" s="15">
        <v>15720</v>
      </c>
      <c r="H3448" s="15">
        <f>Tabla1[[#This Row],[Importe]]-Tabla1[[#This Row],[Pagado]]</f>
        <v>0</v>
      </c>
      <c r="I3448" s="275" t="s">
        <v>15214</v>
      </c>
    </row>
    <row r="3449" spans="1:9" ht="30" x14ac:dyDescent="0.25">
      <c r="A3449" s="16">
        <v>42944</v>
      </c>
      <c r="B3449" s="273" t="s">
        <v>23375</v>
      </c>
      <c r="C3449">
        <v>121603</v>
      </c>
      <c r="D3449" s="236" t="s">
        <v>15557</v>
      </c>
      <c r="E3449" s="15">
        <v>26013.4</v>
      </c>
      <c r="F3449" s="274" t="s">
        <v>23775</v>
      </c>
      <c r="G3449" s="241">
        <f>1835+16515+7663.4</f>
        <v>26013.4</v>
      </c>
      <c r="H3449" s="241">
        <f>Tabla1[[#This Row],[Importe]]-Tabla1[[#This Row],[Pagado]]</f>
        <v>0</v>
      </c>
      <c r="I3449" s="275" t="s">
        <v>15214</v>
      </c>
    </row>
    <row r="3450" spans="1:9" x14ac:dyDescent="0.25">
      <c r="A3450" s="16">
        <v>42944</v>
      </c>
      <c r="B3450" s="273" t="s">
        <v>23376</v>
      </c>
      <c r="C3450">
        <v>121604</v>
      </c>
      <c r="D3450" s="236" t="s">
        <v>15594</v>
      </c>
      <c r="E3450" s="15">
        <v>2685.6</v>
      </c>
      <c r="F3450" s="274">
        <v>42945</v>
      </c>
      <c r="G3450" s="15">
        <v>2685.6</v>
      </c>
      <c r="H3450" s="15">
        <f>Tabla1[[#This Row],[Importe]]-Tabla1[[#This Row],[Pagado]]</f>
        <v>0</v>
      </c>
      <c r="I3450" s="275" t="s">
        <v>15214</v>
      </c>
    </row>
    <row r="3451" spans="1:9" ht="15.75" x14ac:dyDescent="0.25">
      <c r="A3451" s="16">
        <v>42944</v>
      </c>
      <c r="B3451" s="273" t="s">
        <v>23377</v>
      </c>
      <c r="C3451">
        <v>121605</v>
      </c>
      <c r="D3451" s="248" t="s">
        <v>95</v>
      </c>
      <c r="E3451" s="15">
        <v>0</v>
      </c>
      <c r="F3451" s="277" t="s">
        <v>95</v>
      </c>
      <c r="G3451" s="15">
        <v>0</v>
      </c>
      <c r="H3451" s="15">
        <f>Tabla1[[#This Row],[Importe]]-Tabla1[[#This Row],[Pagado]]</f>
        <v>0</v>
      </c>
      <c r="I3451" s="275" t="s">
        <v>95</v>
      </c>
    </row>
    <row r="3452" spans="1:9" x14ac:dyDescent="0.25">
      <c r="A3452" s="16">
        <v>42944</v>
      </c>
      <c r="B3452" s="273" t="s">
        <v>23378</v>
      </c>
      <c r="C3452">
        <v>121606</v>
      </c>
      <c r="D3452" s="236" t="s">
        <v>15315</v>
      </c>
      <c r="E3452" s="15">
        <v>1560</v>
      </c>
      <c r="F3452" s="274">
        <v>42945</v>
      </c>
      <c r="G3452" s="15">
        <v>1560</v>
      </c>
      <c r="H3452" s="15">
        <f>Tabla1[[#This Row],[Importe]]-Tabla1[[#This Row],[Pagado]]</f>
        <v>0</v>
      </c>
      <c r="I3452" s="275" t="s">
        <v>15214</v>
      </c>
    </row>
    <row r="3453" spans="1:9" x14ac:dyDescent="0.25">
      <c r="A3453" s="16">
        <v>42944</v>
      </c>
      <c r="B3453" s="273" t="s">
        <v>23379</v>
      </c>
      <c r="C3453">
        <v>121607</v>
      </c>
      <c r="D3453" s="236" t="s">
        <v>15387</v>
      </c>
      <c r="E3453" s="15">
        <v>1997.22</v>
      </c>
      <c r="F3453" s="274">
        <v>42945</v>
      </c>
      <c r="G3453" s="15">
        <v>1997.22</v>
      </c>
      <c r="H3453" s="15">
        <f>Tabla1[[#This Row],[Importe]]-Tabla1[[#This Row],[Pagado]]</f>
        <v>0</v>
      </c>
      <c r="I3453" s="275" t="s">
        <v>15214</v>
      </c>
    </row>
    <row r="3454" spans="1:9" x14ac:dyDescent="0.25">
      <c r="A3454" s="16">
        <v>42944</v>
      </c>
      <c r="B3454" s="273" t="s">
        <v>23380</v>
      </c>
      <c r="C3454">
        <v>121608</v>
      </c>
      <c r="D3454" s="236" t="s">
        <v>15276</v>
      </c>
      <c r="E3454" s="15">
        <v>5200</v>
      </c>
      <c r="F3454" s="274">
        <v>42945</v>
      </c>
      <c r="G3454" s="15">
        <v>5200</v>
      </c>
      <c r="H3454" s="15">
        <f>Tabla1[[#This Row],[Importe]]-Tabla1[[#This Row],[Pagado]]</f>
        <v>0</v>
      </c>
      <c r="I3454" s="275" t="s">
        <v>15214</v>
      </c>
    </row>
    <row r="3455" spans="1:9" x14ac:dyDescent="0.25">
      <c r="A3455" s="16">
        <v>42944</v>
      </c>
      <c r="B3455" s="273" t="s">
        <v>23381</v>
      </c>
      <c r="C3455">
        <v>121609</v>
      </c>
      <c r="D3455" s="236" t="s">
        <v>15417</v>
      </c>
      <c r="E3455" s="15">
        <v>2616.3000000000002</v>
      </c>
      <c r="F3455" s="274">
        <v>42945</v>
      </c>
      <c r="G3455" s="15">
        <v>2616.3000000000002</v>
      </c>
      <c r="H3455" s="15">
        <f>Tabla1[[#This Row],[Importe]]-Tabla1[[#This Row],[Pagado]]</f>
        <v>0</v>
      </c>
      <c r="I3455" s="275" t="s">
        <v>15214</v>
      </c>
    </row>
    <row r="3456" spans="1:9" x14ac:dyDescent="0.25">
      <c r="A3456" s="16">
        <v>42944</v>
      </c>
      <c r="B3456" s="273" t="s">
        <v>23382</v>
      </c>
      <c r="C3456">
        <v>121610</v>
      </c>
      <c r="D3456" s="236" t="s">
        <v>15600</v>
      </c>
      <c r="E3456" s="15">
        <v>2640.4</v>
      </c>
      <c r="F3456" s="274">
        <v>42945</v>
      </c>
      <c r="G3456" s="15">
        <v>2640.4</v>
      </c>
      <c r="H3456" s="15">
        <f>Tabla1[[#This Row],[Importe]]-Tabla1[[#This Row],[Pagado]]</f>
        <v>0</v>
      </c>
      <c r="I3456" s="275" t="s">
        <v>15214</v>
      </c>
    </row>
    <row r="3457" spans="1:9" x14ac:dyDescent="0.25">
      <c r="A3457" s="16">
        <v>42944</v>
      </c>
      <c r="B3457" s="273" t="s">
        <v>23383</v>
      </c>
      <c r="C3457">
        <v>121611</v>
      </c>
      <c r="D3457" s="236" t="s">
        <v>15246</v>
      </c>
      <c r="E3457" s="15">
        <v>10128</v>
      </c>
      <c r="F3457" s="274">
        <v>42947</v>
      </c>
      <c r="G3457" s="15">
        <v>10128</v>
      </c>
      <c r="H3457" s="15">
        <f>Tabla1[[#This Row],[Importe]]-Tabla1[[#This Row],[Pagado]]</f>
        <v>0</v>
      </c>
      <c r="I3457" s="275" t="s">
        <v>15214</v>
      </c>
    </row>
    <row r="3458" spans="1:9" x14ac:dyDescent="0.25">
      <c r="A3458" s="16">
        <v>42944</v>
      </c>
      <c r="B3458" s="273" t="s">
        <v>23384</v>
      </c>
      <c r="C3458">
        <v>121612</v>
      </c>
      <c r="D3458" s="236" t="s">
        <v>23137</v>
      </c>
      <c r="E3458" s="15">
        <v>3427.2</v>
      </c>
      <c r="F3458" s="274">
        <v>42945</v>
      </c>
      <c r="G3458" s="15">
        <v>3427.2</v>
      </c>
      <c r="H3458" s="15">
        <f>Tabla1[[#This Row],[Importe]]-Tabla1[[#This Row],[Pagado]]</f>
        <v>0</v>
      </c>
      <c r="I3458" s="275" t="s">
        <v>15214</v>
      </c>
    </row>
    <row r="3459" spans="1:9" x14ac:dyDescent="0.25">
      <c r="A3459" s="16">
        <v>42944</v>
      </c>
      <c r="B3459" s="273" t="s">
        <v>23385</v>
      </c>
      <c r="C3459">
        <v>121613</v>
      </c>
      <c r="D3459" s="236" t="s">
        <v>15246</v>
      </c>
      <c r="E3459" s="15">
        <v>900</v>
      </c>
      <c r="F3459" s="274">
        <v>42947</v>
      </c>
      <c r="G3459" s="15">
        <v>900</v>
      </c>
      <c r="H3459" s="15">
        <f>Tabla1[[#This Row],[Importe]]-Tabla1[[#This Row],[Pagado]]</f>
        <v>0</v>
      </c>
      <c r="I3459" s="275" t="s">
        <v>15214</v>
      </c>
    </row>
    <row r="3460" spans="1:9" x14ac:dyDescent="0.25">
      <c r="A3460" s="16">
        <v>42944</v>
      </c>
      <c r="B3460" s="273" t="s">
        <v>23386</v>
      </c>
      <c r="C3460">
        <v>121614</v>
      </c>
      <c r="D3460" s="236" t="s">
        <v>16277</v>
      </c>
      <c r="E3460" s="15">
        <v>510</v>
      </c>
      <c r="F3460" s="274">
        <v>42945</v>
      </c>
      <c r="G3460" s="15">
        <v>510</v>
      </c>
      <c r="H3460" s="15">
        <f>Tabla1[[#This Row],[Importe]]-Tabla1[[#This Row],[Pagado]]</f>
        <v>0</v>
      </c>
      <c r="I3460" s="275" t="s">
        <v>15214</v>
      </c>
    </row>
    <row r="3461" spans="1:9" x14ac:dyDescent="0.25">
      <c r="A3461" s="16">
        <v>42944</v>
      </c>
      <c r="B3461" s="273" t="s">
        <v>23387</v>
      </c>
      <c r="C3461">
        <v>121615</v>
      </c>
      <c r="D3461" s="236" t="s">
        <v>15553</v>
      </c>
      <c r="E3461" s="15">
        <v>6027.2</v>
      </c>
      <c r="F3461" s="274">
        <v>42945</v>
      </c>
      <c r="G3461" s="15">
        <v>6027.2</v>
      </c>
      <c r="H3461" s="15">
        <f>Tabla1[[#This Row],[Importe]]-Tabla1[[#This Row],[Pagado]]</f>
        <v>0</v>
      </c>
      <c r="I3461" s="275" t="s">
        <v>15214</v>
      </c>
    </row>
    <row r="3462" spans="1:9" x14ac:dyDescent="0.25">
      <c r="A3462" s="16">
        <v>42944</v>
      </c>
      <c r="B3462" s="273" t="s">
        <v>23388</v>
      </c>
      <c r="C3462">
        <v>121616</v>
      </c>
      <c r="D3462" s="236" t="s">
        <v>16108</v>
      </c>
      <c r="E3462" s="15">
        <v>3710.1</v>
      </c>
      <c r="F3462" s="274">
        <v>42944</v>
      </c>
      <c r="G3462" s="15">
        <v>3710.1</v>
      </c>
      <c r="H3462" s="15">
        <f>Tabla1[[#This Row],[Importe]]-Tabla1[[#This Row],[Pagado]]</f>
        <v>0</v>
      </c>
      <c r="I3462" s="275" t="s">
        <v>15214</v>
      </c>
    </row>
    <row r="3463" spans="1:9" x14ac:dyDescent="0.25">
      <c r="A3463" s="16">
        <v>42944</v>
      </c>
      <c r="B3463" s="273" t="s">
        <v>23389</v>
      </c>
      <c r="C3463">
        <v>121617</v>
      </c>
      <c r="D3463" s="236" t="s">
        <v>15284</v>
      </c>
      <c r="E3463" s="15">
        <v>784.4</v>
      </c>
      <c r="F3463" s="274">
        <v>42944</v>
      </c>
      <c r="G3463" s="15">
        <v>784.4</v>
      </c>
      <c r="H3463" s="15">
        <f>Tabla1[[#This Row],[Importe]]-Tabla1[[#This Row],[Pagado]]</f>
        <v>0</v>
      </c>
      <c r="I3463" s="275" t="s">
        <v>15214</v>
      </c>
    </row>
    <row r="3464" spans="1:9" x14ac:dyDescent="0.25">
      <c r="A3464" s="16">
        <v>42944</v>
      </c>
      <c r="B3464" s="273" t="s">
        <v>23390</v>
      </c>
      <c r="C3464">
        <v>121618</v>
      </c>
      <c r="D3464" s="236" t="s">
        <v>15284</v>
      </c>
      <c r="E3464" s="15">
        <v>121.8</v>
      </c>
      <c r="F3464" s="274">
        <v>42944</v>
      </c>
      <c r="G3464" s="15">
        <v>121.8</v>
      </c>
      <c r="H3464" s="15">
        <f>Tabla1[[#This Row],[Importe]]-Tabla1[[#This Row],[Pagado]]</f>
        <v>0</v>
      </c>
      <c r="I3464" s="275" t="s">
        <v>15214</v>
      </c>
    </row>
    <row r="3465" spans="1:9" x14ac:dyDescent="0.25">
      <c r="A3465" s="16">
        <v>42944</v>
      </c>
      <c r="B3465" s="273" t="s">
        <v>23391</v>
      </c>
      <c r="C3465">
        <v>121619</v>
      </c>
      <c r="D3465" s="236" t="s">
        <v>16686</v>
      </c>
      <c r="E3465" s="15">
        <v>32034.6</v>
      </c>
      <c r="F3465" s="274">
        <v>42944</v>
      </c>
      <c r="G3465" s="15">
        <v>32034.6</v>
      </c>
      <c r="H3465" s="15">
        <f>Tabla1[[#This Row],[Importe]]-Tabla1[[#This Row],[Pagado]]</f>
        <v>0</v>
      </c>
      <c r="I3465" s="275" t="s">
        <v>15214</v>
      </c>
    </row>
    <row r="3466" spans="1:9" x14ac:dyDescent="0.25">
      <c r="A3466" s="16">
        <v>42944</v>
      </c>
      <c r="B3466" s="273" t="s">
        <v>23392</v>
      </c>
      <c r="C3466">
        <v>121620</v>
      </c>
      <c r="D3466" s="236" t="s">
        <v>15322</v>
      </c>
      <c r="E3466" s="15">
        <v>2150.4</v>
      </c>
      <c r="F3466" s="274">
        <v>42944</v>
      </c>
      <c r="G3466" s="15">
        <v>2150.4</v>
      </c>
      <c r="H3466" s="15">
        <f>Tabla1[[#This Row],[Importe]]-Tabla1[[#This Row],[Pagado]]</f>
        <v>0</v>
      </c>
      <c r="I3466" s="275" t="s">
        <v>15214</v>
      </c>
    </row>
    <row r="3467" spans="1:9" x14ac:dyDescent="0.25">
      <c r="A3467" s="16">
        <v>42944</v>
      </c>
      <c r="B3467" s="273" t="s">
        <v>23393</v>
      </c>
      <c r="C3467">
        <v>121621</v>
      </c>
      <c r="D3467" s="236" t="s">
        <v>15810</v>
      </c>
      <c r="E3467" s="15">
        <v>661.2</v>
      </c>
      <c r="F3467" s="274">
        <v>42944</v>
      </c>
      <c r="G3467" s="15">
        <v>661.2</v>
      </c>
      <c r="H3467" s="15">
        <f>Tabla1[[#This Row],[Importe]]-Tabla1[[#This Row],[Pagado]]</f>
        <v>0</v>
      </c>
      <c r="I3467" s="275" t="s">
        <v>15214</v>
      </c>
    </row>
    <row r="3468" spans="1:9" x14ac:dyDescent="0.25">
      <c r="A3468" s="16">
        <v>42944</v>
      </c>
      <c r="B3468" s="273" t="s">
        <v>23394</v>
      </c>
      <c r="C3468">
        <v>121622</v>
      </c>
      <c r="D3468" s="236" t="s">
        <v>15315</v>
      </c>
      <c r="E3468" s="15">
        <v>85.8</v>
      </c>
      <c r="F3468" s="274">
        <v>42944</v>
      </c>
      <c r="G3468" s="15">
        <v>85.8</v>
      </c>
      <c r="H3468" s="15">
        <f>Tabla1[[#This Row],[Importe]]-Tabla1[[#This Row],[Pagado]]</f>
        <v>0</v>
      </c>
      <c r="I3468" s="275" t="s">
        <v>15214</v>
      </c>
    </row>
    <row r="3469" spans="1:9" x14ac:dyDescent="0.25">
      <c r="A3469" s="16">
        <v>42944</v>
      </c>
      <c r="B3469" s="273" t="s">
        <v>23395</v>
      </c>
      <c r="C3469">
        <v>121623</v>
      </c>
      <c r="D3469" s="236" t="s">
        <v>17722</v>
      </c>
      <c r="E3469" s="15">
        <v>3014.1</v>
      </c>
      <c r="F3469" s="274">
        <v>42944</v>
      </c>
      <c r="G3469" s="15">
        <v>3014.1</v>
      </c>
      <c r="H3469" s="15">
        <f>Tabla1[[#This Row],[Importe]]-Tabla1[[#This Row],[Pagado]]</f>
        <v>0</v>
      </c>
      <c r="I3469" s="275" t="s">
        <v>15214</v>
      </c>
    </row>
    <row r="3470" spans="1:9" ht="45" x14ac:dyDescent="0.25">
      <c r="A3470" s="16">
        <v>42944</v>
      </c>
      <c r="B3470" s="273" t="s">
        <v>23396</v>
      </c>
      <c r="C3470">
        <v>121624</v>
      </c>
      <c r="D3470" s="236" t="s">
        <v>15213</v>
      </c>
      <c r="E3470" s="15">
        <v>10185</v>
      </c>
      <c r="F3470" s="274" t="s">
        <v>23397</v>
      </c>
      <c r="G3470" s="241">
        <f>5500+4685</f>
        <v>10185</v>
      </c>
      <c r="H3470" s="241">
        <f>Tabla1[[#This Row],[Importe]]-Tabla1[[#This Row],[Pagado]]</f>
        <v>0</v>
      </c>
      <c r="I3470" s="275" t="s">
        <v>15214</v>
      </c>
    </row>
    <row r="3471" spans="1:9" x14ac:dyDescent="0.25">
      <c r="A3471" s="16">
        <v>42944</v>
      </c>
      <c r="B3471" s="273" t="s">
        <v>23398</v>
      </c>
      <c r="C3471">
        <v>121625</v>
      </c>
      <c r="D3471" s="236" t="s">
        <v>15246</v>
      </c>
      <c r="E3471" s="15">
        <v>332565.68</v>
      </c>
      <c r="F3471" s="274">
        <v>42947</v>
      </c>
      <c r="G3471" s="15">
        <v>332565.68</v>
      </c>
      <c r="H3471" s="15">
        <f>Tabla1[[#This Row],[Importe]]-Tabla1[[#This Row],[Pagado]]</f>
        <v>0</v>
      </c>
      <c r="I3471" s="275" t="s">
        <v>15214</v>
      </c>
    </row>
    <row r="3472" spans="1:9" x14ac:dyDescent="0.25">
      <c r="A3472" s="16">
        <v>42944</v>
      </c>
      <c r="B3472" s="273" t="s">
        <v>23399</v>
      </c>
      <c r="C3472">
        <v>121626</v>
      </c>
      <c r="D3472" s="236" t="s">
        <v>15246</v>
      </c>
      <c r="E3472" s="15">
        <v>52167</v>
      </c>
      <c r="F3472" s="274">
        <v>42947</v>
      </c>
      <c r="G3472" s="15">
        <v>52167</v>
      </c>
      <c r="H3472" s="15">
        <f>Tabla1[[#This Row],[Importe]]-Tabla1[[#This Row],[Pagado]]</f>
        <v>0</v>
      </c>
      <c r="I3472" s="275" t="s">
        <v>15214</v>
      </c>
    </row>
    <row r="3473" spans="1:9" x14ac:dyDescent="0.25">
      <c r="A3473" s="16">
        <v>42944</v>
      </c>
      <c r="B3473" s="273" t="s">
        <v>23400</v>
      </c>
      <c r="C3473">
        <v>121627</v>
      </c>
      <c r="D3473" s="236" t="s">
        <v>17722</v>
      </c>
      <c r="E3473" s="15">
        <v>176.8</v>
      </c>
      <c r="F3473" s="274">
        <v>42944</v>
      </c>
      <c r="G3473" s="15">
        <v>176.8</v>
      </c>
      <c r="H3473" s="15">
        <f>Tabla1[[#This Row],[Importe]]-Tabla1[[#This Row],[Pagado]]</f>
        <v>0</v>
      </c>
      <c r="I3473" s="275" t="s">
        <v>15214</v>
      </c>
    </row>
    <row r="3474" spans="1:9" x14ac:dyDescent="0.25">
      <c r="A3474" s="16">
        <v>42944</v>
      </c>
      <c r="B3474" s="273" t="s">
        <v>23401</v>
      </c>
      <c r="C3474">
        <v>121628</v>
      </c>
      <c r="D3474" s="236" t="s">
        <v>15267</v>
      </c>
      <c r="E3474" s="15">
        <v>17153.400000000001</v>
      </c>
      <c r="F3474" s="279">
        <v>42980</v>
      </c>
      <c r="G3474" s="35">
        <v>17153.400000000001</v>
      </c>
      <c r="H3474" s="15">
        <f>Tabla1[[#This Row],[Importe]]-Tabla1[[#This Row],[Pagado]]</f>
        <v>0</v>
      </c>
      <c r="I3474" s="275" t="s">
        <v>15214</v>
      </c>
    </row>
    <row r="3475" spans="1:9" x14ac:dyDescent="0.25">
      <c r="A3475" s="16">
        <v>42944</v>
      </c>
      <c r="B3475" s="273" t="s">
        <v>23402</v>
      </c>
      <c r="C3475">
        <v>121629</v>
      </c>
      <c r="D3475" s="236" t="s">
        <v>15433</v>
      </c>
      <c r="E3475" s="15">
        <v>1953.5</v>
      </c>
      <c r="F3475" s="274">
        <v>42944</v>
      </c>
      <c r="G3475" s="15">
        <v>1953.5</v>
      </c>
      <c r="H3475" s="15">
        <f>Tabla1[[#This Row],[Importe]]-Tabla1[[#This Row],[Pagado]]</f>
        <v>0</v>
      </c>
      <c r="I3475" s="275" t="s">
        <v>15214</v>
      </c>
    </row>
    <row r="3476" spans="1:9" x14ac:dyDescent="0.25">
      <c r="A3476" s="16">
        <v>42944</v>
      </c>
      <c r="B3476" s="273" t="s">
        <v>23403</v>
      </c>
      <c r="C3476">
        <v>121630</v>
      </c>
      <c r="D3476" s="236" t="s">
        <v>19699</v>
      </c>
      <c r="E3476" s="15">
        <v>1991.6</v>
      </c>
      <c r="F3476" s="274">
        <v>42944</v>
      </c>
      <c r="G3476" s="15">
        <v>1991.6</v>
      </c>
      <c r="H3476" s="15">
        <f>Tabla1[[#This Row],[Importe]]-Tabla1[[#This Row],[Pagado]]</f>
        <v>0</v>
      </c>
      <c r="I3476" s="275" t="s">
        <v>15214</v>
      </c>
    </row>
    <row r="3477" spans="1:9" x14ac:dyDescent="0.25">
      <c r="A3477" s="16">
        <v>42944</v>
      </c>
      <c r="B3477" s="273" t="s">
        <v>23404</v>
      </c>
      <c r="C3477">
        <v>121631</v>
      </c>
      <c r="D3477" s="236" t="s">
        <v>19699</v>
      </c>
      <c r="E3477" s="15">
        <v>1040</v>
      </c>
      <c r="F3477" s="274">
        <v>42944</v>
      </c>
      <c r="G3477" s="15">
        <v>1040</v>
      </c>
      <c r="H3477" s="15">
        <f>Tabla1[[#This Row],[Importe]]-Tabla1[[#This Row],[Pagado]]</f>
        <v>0</v>
      </c>
      <c r="I3477" s="275" t="s">
        <v>15214</v>
      </c>
    </row>
    <row r="3478" spans="1:9" x14ac:dyDescent="0.25">
      <c r="A3478" s="16">
        <v>42944</v>
      </c>
      <c r="B3478" s="273" t="s">
        <v>23405</v>
      </c>
      <c r="C3478">
        <v>121632</v>
      </c>
      <c r="D3478" s="236" t="s">
        <v>15284</v>
      </c>
      <c r="E3478" s="15">
        <v>422.5</v>
      </c>
      <c r="F3478" s="274">
        <v>42944</v>
      </c>
      <c r="G3478" s="15">
        <v>422.5</v>
      </c>
      <c r="H3478" s="15">
        <f>Tabla1[[#This Row],[Importe]]-Tabla1[[#This Row],[Pagado]]</f>
        <v>0</v>
      </c>
      <c r="I3478" s="275" t="s">
        <v>15214</v>
      </c>
    </row>
    <row r="3479" spans="1:9" x14ac:dyDescent="0.25">
      <c r="A3479" s="16">
        <v>42944</v>
      </c>
      <c r="B3479" s="273" t="s">
        <v>23406</v>
      </c>
      <c r="C3479">
        <v>121633</v>
      </c>
      <c r="D3479" s="236" t="s">
        <v>15284</v>
      </c>
      <c r="E3479" s="15">
        <v>69.599999999999994</v>
      </c>
      <c r="F3479" s="274">
        <v>42944</v>
      </c>
      <c r="G3479" s="15">
        <v>69.599999999999994</v>
      </c>
      <c r="H3479" s="15">
        <f>Tabla1[[#This Row],[Importe]]-Tabla1[[#This Row],[Pagado]]</f>
        <v>0</v>
      </c>
      <c r="I3479" s="275" t="s">
        <v>15214</v>
      </c>
    </row>
    <row r="3480" spans="1:9" x14ac:dyDescent="0.25">
      <c r="A3480" s="16">
        <v>42944</v>
      </c>
      <c r="B3480" s="273" t="s">
        <v>23407</v>
      </c>
      <c r="C3480">
        <v>121634</v>
      </c>
      <c r="D3480" s="236" t="s">
        <v>15298</v>
      </c>
      <c r="E3480" s="15">
        <v>2973.6</v>
      </c>
      <c r="F3480" s="274">
        <v>42944</v>
      </c>
      <c r="G3480" s="15">
        <v>2973.6</v>
      </c>
      <c r="H3480" s="15">
        <f>Tabla1[[#This Row],[Importe]]-Tabla1[[#This Row],[Pagado]]</f>
        <v>0</v>
      </c>
      <c r="I3480" s="275" t="s">
        <v>15214</v>
      </c>
    </row>
    <row r="3481" spans="1:9" x14ac:dyDescent="0.25">
      <c r="A3481" s="16">
        <v>42944</v>
      </c>
      <c r="B3481" s="273" t="s">
        <v>23408</v>
      </c>
      <c r="C3481">
        <v>121635</v>
      </c>
      <c r="D3481" s="236" t="s">
        <v>15716</v>
      </c>
      <c r="E3481" s="15">
        <v>5773.6</v>
      </c>
      <c r="F3481" s="274">
        <v>42944</v>
      </c>
      <c r="G3481" s="15">
        <v>5773.6</v>
      </c>
      <c r="H3481" s="15">
        <f>Tabla1[[#This Row],[Importe]]-Tabla1[[#This Row],[Pagado]]</f>
        <v>0</v>
      </c>
      <c r="I3481" s="275" t="s">
        <v>15214</v>
      </c>
    </row>
    <row r="3482" spans="1:9" x14ac:dyDescent="0.25">
      <c r="A3482" s="16">
        <v>42944</v>
      </c>
      <c r="B3482" s="273" t="s">
        <v>23409</v>
      </c>
      <c r="C3482">
        <v>121636</v>
      </c>
      <c r="D3482" s="236" t="s">
        <v>15396</v>
      </c>
      <c r="E3482" s="15">
        <v>6932.3</v>
      </c>
      <c r="F3482" s="274">
        <v>42944</v>
      </c>
      <c r="G3482" s="15">
        <v>6932.3</v>
      </c>
      <c r="H3482" s="15">
        <f>Tabla1[[#This Row],[Importe]]-Tabla1[[#This Row],[Pagado]]</f>
        <v>0</v>
      </c>
      <c r="I3482" s="275" t="s">
        <v>15214</v>
      </c>
    </row>
    <row r="3483" spans="1:9" x14ac:dyDescent="0.25">
      <c r="A3483" s="16">
        <v>42944</v>
      </c>
      <c r="B3483" s="273" t="s">
        <v>23410</v>
      </c>
      <c r="C3483">
        <v>121637</v>
      </c>
      <c r="D3483" s="236" t="s">
        <v>15274</v>
      </c>
      <c r="E3483" s="15">
        <v>350</v>
      </c>
      <c r="F3483" s="274">
        <v>42944</v>
      </c>
      <c r="G3483" s="15">
        <v>350</v>
      </c>
      <c r="H3483" s="15">
        <f>Tabla1[[#This Row],[Importe]]-Tabla1[[#This Row],[Pagado]]</f>
        <v>0</v>
      </c>
      <c r="I3483" s="275" t="s">
        <v>15214</v>
      </c>
    </row>
    <row r="3484" spans="1:9" x14ac:dyDescent="0.25">
      <c r="A3484" s="16">
        <v>42944</v>
      </c>
      <c r="B3484" s="273" t="s">
        <v>23411</v>
      </c>
      <c r="C3484">
        <v>121638</v>
      </c>
      <c r="D3484" s="236" t="s">
        <v>15444</v>
      </c>
      <c r="E3484" s="15">
        <v>2508.8000000000002</v>
      </c>
      <c r="F3484" s="274">
        <v>42945</v>
      </c>
      <c r="G3484" s="15">
        <v>2508.8000000000002</v>
      </c>
      <c r="H3484" s="15">
        <f>Tabla1[[#This Row],[Importe]]-Tabla1[[#This Row],[Pagado]]</f>
        <v>0</v>
      </c>
      <c r="I3484" s="275" t="s">
        <v>15214</v>
      </c>
    </row>
    <row r="3485" spans="1:9" x14ac:dyDescent="0.25">
      <c r="A3485" s="16">
        <v>42944</v>
      </c>
      <c r="B3485" s="273" t="s">
        <v>23412</v>
      </c>
      <c r="C3485">
        <v>121639</v>
      </c>
      <c r="D3485" s="236" t="s">
        <v>15258</v>
      </c>
      <c r="E3485" s="15">
        <v>653.20000000000005</v>
      </c>
      <c r="F3485" s="274">
        <v>42945</v>
      </c>
      <c r="G3485" s="15">
        <v>653.20000000000005</v>
      </c>
      <c r="H3485" s="15">
        <f>Tabla1[[#This Row],[Importe]]-Tabla1[[#This Row],[Pagado]]</f>
        <v>0</v>
      </c>
      <c r="I3485" s="275" t="s">
        <v>15214</v>
      </c>
    </row>
    <row r="3486" spans="1:9" x14ac:dyDescent="0.25">
      <c r="A3486" s="16">
        <v>42944</v>
      </c>
      <c r="B3486" s="273" t="s">
        <v>23413</v>
      </c>
      <c r="C3486">
        <v>121640</v>
      </c>
      <c r="D3486" s="236" t="s">
        <v>15315</v>
      </c>
      <c r="E3486" s="15">
        <v>933.1</v>
      </c>
      <c r="F3486" s="274">
        <v>42944</v>
      </c>
      <c r="G3486" s="15">
        <v>933.1</v>
      </c>
      <c r="H3486" s="15">
        <f>Tabla1[[#This Row],[Importe]]-Tabla1[[#This Row],[Pagado]]</f>
        <v>0</v>
      </c>
      <c r="I3486" s="275" t="s">
        <v>15214</v>
      </c>
    </row>
    <row r="3487" spans="1:9" x14ac:dyDescent="0.25">
      <c r="A3487" s="16">
        <v>42944</v>
      </c>
      <c r="B3487" s="273" t="s">
        <v>23414</v>
      </c>
      <c r="C3487">
        <v>121641</v>
      </c>
      <c r="D3487" s="236" t="s">
        <v>15423</v>
      </c>
      <c r="E3487" s="15">
        <v>3152.8</v>
      </c>
      <c r="F3487" s="274">
        <v>42944</v>
      </c>
      <c r="G3487" s="15">
        <v>3152.8</v>
      </c>
      <c r="H3487" s="15">
        <f>Tabla1[[#This Row],[Importe]]-Tabla1[[#This Row],[Pagado]]</f>
        <v>0</v>
      </c>
      <c r="I3487" s="275" t="s">
        <v>15214</v>
      </c>
    </row>
    <row r="3488" spans="1:9" x14ac:dyDescent="0.25">
      <c r="A3488" s="16">
        <v>42944</v>
      </c>
      <c r="B3488" s="273" t="s">
        <v>23415</v>
      </c>
      <c r="C3488">
        <v>121642</v>
      </c>
      <c r="D3488" s="236" t="s">
        <v>15315</v>
      </c>
      <c r="E3488" s="15">
        <v>144</v>
      </c>
      <c r="F3488" s="274">
        <v>42944</v>
      </c>
      <c r="G3488" s="15">
        <v>144</v>
      </c>
      <c r="H3488" s="15">
        <f>Tabla1[[#This Row],[Importe]]-Tabla1[[#This Row],[Pagado]]</f>
        <v>0</v>
      </c>
      <c r="I3488" s="275" t="s">
        <v>15214</v>
      </c>
    </row>
    <row r="3489" spans="1:9" x14ac:dyDescent="0.25">
      <c r="A3489" s="16">
        <v>42944</v>
      </c>
      <c r="B3489" s="273" t="s">
        <v>23416</v>
      </c>
      <c r="C3489">
        <v>121643</v>
      </c>
      <c r="D3489" s="236" t="s">
        <v>15628</v>
      </c>
      <c r="E3489" s="15">
        <v>3208.8</v>
      </c>
      <c r="F3489" s="274">
        <v>42944</v>
      </c>
      <c r="G3489" s="15">
        <v>3208.8</v>
      </c>
      <c r="H3489" s="15">
        <f>Tabla1[[#This Row],[Importe]]-Tabla1[[#This Row],[Pagado]]</f>
        <v>0</v>
      </c>
      <c r="I3489" s="275" t="s">
        <v>15214</v>
      </c>
    </row>
    <row r="3490" spans="1:9" x14ac:dyDescent="0.25">
      <c r="A3490" s="16">
        <v>42944</v>
      </c>
      <c r="B3490" s="273" t="s">
        <v>23417</v>
      </c>
      <c r="C3490">
        <v>121644</v>
      </c>
      <c r="D3490" s="236" t="s">
        <v>16129</v>
      </c>
      <c r="E3490" s="15">
        <v>4993.3999999999996</v>
      </c>
      <c r="F3490" s="274">
        <v>42951</v>
      </c>
      <c r="G3490" s="15">
        <v>4993.3999999999996</v>
      </c>
      <c r="H3490" s="15">
        <f>Tabla1[[#This Row],[Importe]]-Tabla1[[#This Row],[Pagado]]</f>
        <v>0</v>
      </c>
      <c r="I3490" s="275" t="s">
        <v>15214</v>
      </c>
    </row>
    <row r="3491" spans="1:9" x14ac:dyDescent="0.25">
      <c r="A3491" s="16">
        <v>42944</v>
      </c>
      <c r="B3491" s="273" t="s">
        <v>23418</v>
      </c>
      <c r="C3491">
        <v>121645</v>
      </c>
      <c r="D3491" s="236" t="s">
        <v>15920</v>
      </c>
      <c r="E3491" s="15">
        <v>11044</v>
      </c>
      <c r="F3491" s="274">
        <v>42945</v>
      </c>
      <c r="G3491" s="15">
        <v>11044</v>
      </c>
      <c r="H3491" s="15">
        <f>Tabla1[[#This Row],[Importe]]-Tabla1[[#This Row],[Pagado]]</f>
        <v>0</v>
      </c>
      <c r="I3491" s="275" t="s">
        <v>15214</v>
      </c>
    </row>
    <row r="3492" spans="1:9" x14ac:dyDescent="0.25">
      <c r="A3492" s="16">
        <v>42944</v>
      </c>
      <c r="B3492" s="273" t="s">
        <v>23419</v>
      </c>
      <c r="C3492">
        <v>121646</v>
      </c>
      <c r="D3492" s="236" t="s">
        <v>15541</v>
      </c>
      <c r="E3492" s="15">
        <v>2295.6999999999998</v>
      </c>
      <c r="F3492" s="274">
        <v>42944</v>
      </c>
      <c r="G3492" s="15">
        <v>2295.6999999999998</v>
      </c>
      <c r="H3492" s="15">
        <f>Tabla1[[#This Row],[Importe]]-Tabla1[[#This Row],[Pagado]]</f>
        <v>0</v>
      </c>
      <c r="I3492" s="275" t="s">
        <v>15214</v>
      </c>
    </row>
    <row r="3493" spans="1:9" x14ac:dyDescent="0.25">
      <c r="A3493" s="16">
        <v>42944</v>
      </c>
      <c r="B3493" s="273" t="s">
        <v>23420</v>
      </c>
      <c r="C3493">
        <v>121647</v>
      </c>
      <c r="D3493" s="236" t="s">
        <v>15890</v>
      </c>
      <c r="E3493" s="15">
        <v>3435.6</v>
      </c>
      <c r="F3493" s="292">
        <v>42948</v>
      </c>
      <c r="G3493" s="15">
        <v>3435.6</v>
      </c>
      <c r="H3493" s="15">
        <f>Tabla1[[#This Row],[Importe]]-Tabla1[[#This Row],[Pagado]]</f>
        <v>0</v>
      </c>
      <c r="I3493" s="275" t="s">
        <v>15214</v>
      </c>
    </row>
    <row r="3494" spans="1:9" x14ac:dyDescent="0.25">
      <c r="A3494" s="16">
        <v>42944</v>
      </c>
      <c r="B3494" s="273" t="s">
        <v>23421</v>
      </c>
      <c r="C3494">
        <v>121648</v>
      </c>
      <c r="D3494" s="236" t="s">
        <v>15246</v>
      </c>
      <c r="E3494" s="15">
        <v>90139.4</v>
      </c>
      <c r="F3494" s="274">
        <v>42947</v>
      </c>
      <c r="G3494" s="15">
        <v>90139.4</v>
      </c>
      <c r="H3494" s="15">
        <f>Tabla1[[#This Row],[Importe]]-Tabla1[[#This Row],[Pagado]]</f>
        <v>0</v>
      </c>
      <c r="I3494" s="275" t="s">
        <v>15214</v>
      </c>
    </row>
    <row r="3495" spans="1:9" x14ac:dyDescent="0.25">
      <c r="A3495" s="16">
        <v>42944</v>
      </c>
      <c r="B3495" s="273" t="s">
        <v>23422</v>
      </c>
      <c r="C3495">
        <v>121649</v>
      </c>
      <c r="D3495" s="236" t="s">
        <v>15328</v>
      </c>
      <c r="E3495" s="15">
        <v>39627.4</v>
      </c>
      <c r="F3495" s="274">
        <v>42959</v>
      </c>
      <c r="G3495" s="15">
        <v>39627.4</v>
      </c>
      <c r="H3495" s="15">
        <f>Tabla1[[#This Row],[Importe]]-Tabla1[[#This Row],[Pagado]]</f>
        <v>0</v>
      </c>
      <c r="I3495" s="275" t="s">
        <v>15214</v>
      </c>
    </row>
    <row r="3496" spans="1:9" x14ac:dyDescent="0.25">
      <c r="A3496" s="16">
        <v>42944</v>
      </c>
      <c r="B3496" s="273" t="s">
        <v>23423</v>
      </c>
      <c r="C3496">
        <v>121650</v>
      </c>
      <c r="D3496" s="236" t="s">
        <v>15365</v>
      </c>
      <c r="E3496" s="15">
        <v>455600</v>
      </c>
      <c r="F3496" s="274">
        <v>42950</v>
      </c>
      <c r="G3496" s="15">
        <v>455600</v>
      </c>
      <c r="H3496" s="15">
        <f>Tabla1[[#This Row],[Importe]]-Tabla1[[#This Row],[Pagado]]</f>
        <v>0</v>
      </c>
      <c r="I3496" s="275" t="s">
        <v>15214</v>
      </c>
    </row>
    <row r="3497" spans="1:9" x14ac:dyDescent="0.25">
      <c r="A3497" s="16">
        <v>42944</v>
      </c>
      <c r="B3497" s="273" t="s">
        <v>23424</v>
      </c>
      <c r="C3497">
        <v>121651</v>
      </c>
      <c r="D3497" s="236" t="s">
        <v>15728</v>
      </c>
      <c r="E3497" s="15">
        <v>3355.8</v>
      </c>
      <c r="F3497" s="274">
        <v>42944</v>
      </c>
      <c r="G3497" s="15">
        <v>3355.8</v>
      </c>
      <c r="H3497" s="15">
        <f>Tabla1[[#This Row],[Importe]]-Tabla1[[#This Row],[Pagado]]</f>
        <v>0</v>
      </c>
      <c r="I3497" s="275" t="s">
        <v>15214</v>
      </c>
    </row>
    <row r="3498" spans="1:9" x14ac:dyDescent="0.25">
      <c r="A3498" s="16">
        <v>42944</v>
      </c>
      <c r="B3498" s="273" t="s">
        <v>23425</v>
      </c>
      <c r="C3498">
        <v>121652</v>
      </c>
      <c r="D3498" s="236" t="s">
        <v>16126</v>
      </c>
      <c r="E3498" s="15">
        <v>6598.9</v>
      </c>
      <c r="F3498" s="274">
        <v>42944</v>
      </c>
      <c r="G3498" s="15">
        <v>6598.9</v>
      </c>
      <c r="H3498" s="15">
        <f>Tabla1[[#This Row],[Importe]]-Tabla1[[#This Row],[Pagado]]</f>
        <v>0</v>
      </c>
      <c r="I3498" s="275" t="s">
        <v>15214</v>
      </c>
    </row>
    <row r="3499" spans="1:9" x14ac:dyDescent="0.25">
      <c r="A3499" s="16">
        <v>42944</v>
      </c>
      <c r="B3499" s="273" t="s">
        <v>23426</v>
      </c>
      <c r="C3499">
        <v>121653</v>
      </c>
      <c r="D3499" s="236" t="s">
        <v>15284</v>
      </c>
      <c r="E3499" s="15">
        <v>1012.3</v>
      </c>
      <c r="F3499" s="274">
        <v>42944</v>
      </c>
      <c r="G3499" s="15">
        <v>1012.3</v>
      </c>
      <c r="H3499" s="15">
        <f>Tabla1[[#This Row],[Importe]]-Tabla1[[#This Row],[Pagado]]</f>
        <v>0</v>
      </c>
      <c r="I3499" s="275" t="s">
        <v>15214</v>
      </c>
    </row>
    <row r="3500" spans="1:9" x14ac:dyDescent="0.25">
      <c r="A3500" s="16">
        <v>42944</v>
      </c>
      <c r="B3500" s="273" t="s">
        <v>23427</v>
      </c>
      <c r="C3500">
        <v>121654</v>
      </c>
      <c r="D3500" s="236" t="s">
        <v>15681</v>
      </c>
      <c r="E3500" s="15">
        <v>2410.4</v>
      </c>
      <c r="F3500" s="274">
        <v>42944</v>
      </c>
      <c r="G3500" s="15">
        <v>2410.4</v>
      </c>
      <c r="H3500" s="15">
        <f>Tabla1[[#This Row],[Importe]]-Tabla1[[#This Row],[Pagado]]</f>
        <v>0</v>
      </c>
      <c r="I3500" s="275" t="s">
        <v>15214</v>
      </c>
    </row>
    <row r="3501" spans="1:9" ht="15.75" x14ac:dyDescent="0.25">
      <c r="A3501" s="16">
        <v>42944</v>
      </c>
      <c r="B3501" s="273" t="s">
        <v>23428</v>
      </c>
      <c r="C3501">
        <v>121655</v>
      </c>
      <c r="D3501" s="248" t="s">
        <v>95</v>
      </c>
      <c r="E3501" s="15">
        <v>0</v>
      </c>
      <c r="F3501" s="277" t="s">
        <v>95</v>
      </c>
      <c r="G3501" s="15">
        <v>0</v>
      </c>
      <c r="H3501" s="15">
        <f>Tabla1[[#This Row],[Importe]]-Tabla1[[#This Row],[Pagado]]</f>
        <v>0</v>
      </c>
      <c r="I3501" s="275" t="s">
        <v>95</v>
      </c>
    </row>
    <row r="3502" spans="1:9" x14ac:dyDescent="0.25">
      <c r="A3502" s="16">
        <v>42944</v>
      </c>
      <c r="B3502" s="273" t="s">
        <v>23429</v>
      </c>
      <c r="C3502">
        <v>121656</v>
      </c>
      <c r="D3502" s="236" t="s">
        <v>15246</v>
      </c>
      <c r="E3502" s="15">
        <v>2700</v>
      </c>
      <c r="F3502" s="274">
        <v>42947</v>
      </c>
      <c r="G3502" s="15">
        <v>2700</v>
      </c>
      <c r="H3502" s="15">
        <f>Tabla1[[#This Row],[Importe]]-Tabla1[[#This Row],[Pagado]]</f>
        <v>0</v>
      </c>
      <c r="I3502" s="275" t="s">
        <v>15214</v>
      </c>
    </row>
    <row r="3503" spans="1:9" x14ac:dyDescent="0.25">
      <c r="A3503" s="16">
        <v>42944</v>
      </c>
      <c r="B3503" s="273" t="s">
        <v>23430</v>
      </c>
      <c r="C3503">
        <v>121657</v>
      </c>
      <c r="D3503" s="236" t="s">
        <v>15315</v>
      </c>
      <c r="E3503" s="15">
        <v>9651.2000000000007</v>
      </c>
      <c r="F3503" s="274">
        <v>42944</v>
      </c>
      <c r="G3503" s="15">
        <v>9651.2000000000007</v>
      </c>
      <c r="H3503" s="15">
        <f>Tabla1[[#This Row],[Importe]]-Tabla1[[#This Row],[Pagado]]</f>
        <v>0</v>
      </c>
      <c r="I3503" s="275" t="s">
        <v>15214</v>
      </c>
    </row>
    <row r="3504" spans="1:9" x14ac:dyDescent="0.25">
      <c r="A3504" s="16">
        <v>42945</v>
      </c>
      <c r="B3504" s="273" t="s">
        <v>23431</v>
      </c>
      <c r="C3504">
        <v>121658</v>
      </c>
      <c r="D3504" s="236" t="s">
        <v>15213</v>
      </c>
      <c r="E3504" s="15">
        <v>39409.199999999997</v>
      </c>
      <c r="F3504" s="274">
        <v>42947</v>
      </c>
      <c r="G3504" s="15">
        <v>39409.199999999997</v>
      </c>
      <c r="H3504" s="15">
        <f>Tabla1[[#This Row],[Importe]]-Tabla1[[#This Row],[Pagado]]</f>
        <v>0</v>
      </c>
      <c r="I3504" s="275" t="s">
        <v>15214</v>
      </c>
    </row>
    <row r="3505" spans="1:9" x14ac:dyDescent="0.25">
      <c r="A3505" s="16">
        <v>42945</v>
      </c>
      <c r="B3505" s="273" t="s">
        <v>23432</v>
      </c>
      <c r="C3505">
        <v>121659</v>
      </c>
      <c r="D3505" s="236" t="s">
        <v>21386</v>
      </c>
      <c r="E3505" s="15">
        <v>9941.4</v>
      </c>
      <c r="F3505" s="292">
        <v>42948</v>
      </c>
      <c r="G3505" s="15">
        <v>9941.4</v>
      </c>
      <c r="H3505" s="15">
        <f>Tabla1[[#This Row],[Importe]]-Tabla1[[#This Row],[Pagado]]</f>
        <v>0</v>
      </c>
      <c r="I3505" s="275" t="s">
        <v>15214</v>
      </c>
    </row>
    <row r="3506" spans="1:9" x14ac:dyDescent="0.25">
      <c r="A3506" s="16">
        <v>42945</v>
      </c>
      <c r="B3506" s="273" t="s">
        <v>23433</v>
      </c>
      <c r="C3506">
        <v>121660</v>
      </c>
      <c r="D3506" s="236" t="s">
        <v>15315</v>
      </c>
      <c r="E3506" s="15">
        <v>1508.8</v>
      </c>
      <c r="F3506" s="274">
        <v>42945</v>
      </c>
      <c r="G3506" s="15">
        <v>1508.8</v>
      </c>
      <c r="H3506" s="15">
        <f>Tabla1[[#This Row],[Importe]]-Tabla1[[#This Row],[Pagado]]</f>
        <v>0</v>
      </c>
      <c r="I3506" s="275" t="s">
        <v>15214</v>
      </c>
    </row>
    <row r="3507" spans="1:9" x14ac:dyDescent="0.25">
      <c r="A3507" s="16">
        <v>42945</v>
      </c>
      <c r="B3507" s="273" t="s">
        <v>23434</v>
      </c>
      <c r="C3507">
        <v>121661</v>
      </c>
      <c r="D3507" s="236" t="s">
        <v>15246</v>
      </c>
      <c r="E3507" s="15">
        <v>32096</v>
      </c>
      <c r="F3507" s="274">
        <v>42947</v>
      </c>
      <c r="G3507" s="15">
        <v>32096</v>
      </c>
      <c r="H3507" s="15">
        <f>Tabla1[[#This Row],[Importe]]-Tabla1[[#This Row],[Pagado]]</f>
        <v>0</v>
      </c>
      <c r="I3507" s="275" t="s">
        <v>15214</v>
      </c>
    </row>
    <row r="3508" spans="1:9" x14ac:dyDescent="0.25">
      <c r="A3508" s="16">
        <v>42945</v>
      </c>
      <c r="B3508" s="273" t="s">
        <v>23435</v>
      </c>
      <c r="C3508">
        <v>121662</v>
      </c>
      <c r="D3508" s="236" t="s">
        <v>19302</v>
      </c>
      <c r="E3508" s="15">
        <v>1560</v>
      </c>
      <c r="F3508" s="274">
        <v>42945</v>
      </c>
      <c r="G3508" s="15">
        <v>1560</v>
      </c>
      <c r="H3508" s="15">
        <f>Tabla1[[#This Row],[Importe]]-Tabla1[[#This Row],[Pagado]]</f>
        <v>0</v>
      </c>
      <c r="I3508" s="275" t="s">
        <v>15214</v>
      </c>
    </row>
    <row r="3509" spans="1:9" x14ac:dyDescent="0.25">
      <c r="A3509" s="16">
        <v>42945</v>
      </c>
      <c r="B3509" s="273" t="s">
        <v>23436</v>
      </c>
      <c r="C3509">
        <v>121663</v>
      </c>
      <c r="D3509" s="236" t="s">
        <v>15220</v>
      </c>
      <c r="E3509" s="15">
        <v>5980</v>
      </c>
      <c r="F3509" s="274">
        <v>42945</v>
      </c>
      <c r="G3509" s="15">
        <v>5980</v>
      </c>
      <c r="H3509" s="15">
        <f>Tabla1[[#This Row],[Importe]]-Tabla1[[#This Row],[Pagado]]</f>
        <v>0</v>
      </c>
      <c r="I3509" s="275" t="s">
        <v>15214</v>
      </c>
    </row>
    <row r="3510" spans="1:9" ht="15.75" x14ac:dyDescent="0.25">
      <c r="A3510" s="16">
        <v>42945</v>
      </c>
      <c r="B3510" s="273" t="s">
        <v>23437</v>
      </c>
      <c r="C3510">
        <v>121664</v>
      </c>
      <c r="D3510" s="248" t="s">
        <v>95</v>
      </c>
      <c r="E3510" s="15">
        <v>0</v>
      </c>
      <c r="F3510" s="277" t="s">
        <v>95</v>
      </c>
      <c r="G3510" s="15">
        <v>0</v>
      </c>
      <c r="H3510" s="15">
        <f>Tabla1[[#This Row],[Importe]]-Tabla1[[#This Row],[Pagado]]</f>
        <v>0</v>
      </c>
      <c r="I3510" s="275" t="s">
        <v>95</v>
      </c>
    </row>
    <row r="3511" spans="1:9" x14ac:dyDescent="0.25">
      <c r="A3511" s="16">
        <v>42945</v>
      </c>
      <c r="B3511" s="273" t="s">
        <v>23438</v>
      </c>
      <c r="C3511">
        <v>121665</v>
      </c>
      <c r="D3511" s="236" t="s">
        <v>15250</v>
      </c>
      <c r="E3511" s="15">
        <v>78046.62</v>
      </c>
      <c r="F3511" s="274">
        <v>42972</v>
      </c>
      <c r="G3511" s="15">
        <v>78046.62</v>
      </c>
      <c r="H3511" s="15">
        <f>Tabla1[[#This Row],[Importe]]-Tabla1[[#This Row],[Pagado]]</f>
        <v>0</v>
      </c>
      <c r="I3511" s="275" t="s">
        <v>15214</v>
      </c>
    </row>
    <row r="3512" spans="1:9" x14ac:dyDescent="0.25">
      <c r="A3512" s="16">
        <v>42945</v>
      </c>
      <c r="B3512" s="273" t="s">
        <v>23439</v>
      </c>
      <c r="C3512">
        <v>121666</v>
      </c>
      <c r="D3512" s="236" t="s">
        <v>15223</v>
      </c>
      <c r="E3512" s="15">
        <v>62376</v>
      </c>
      <c r="F3512" s="274">
        <v>42967</v>
      </c>
      <c r="G3512" s="15">
        <v>62376</v>
      </c>
      <c r="H3512" s="15">
        <f>Tabla1[[#This Row],[Importe]]-Tabla1[[#This Row],[Pagado]]</f>
        <v>0</v>
      </c>
      <c r="I3512" s="275" t="s">
        <v>15214</v>
      </c>
    </row>
    <row r="3513" spans="1:9" ht="15.75" x14ac:dyDescent="0.25">
      <c r="A3513" s="16">
        <v>42945</v>
      </c>
      <c r="B3513" s="273" t="s">
        <v>23440</v>
      </c>
      <c r="C3513">
        <v>121667</v>
      </c>
      <c r="D3513" s="248" t="s">
        <v>95</v>
      </c>
      <c r="E3513" s="15">
        <v>0</v>
      </c>
      <c r="F3513" s="277" t="s">
        <v>95</v>
      </c>
      <c r="G3513" s="15">
        <v>0</v>
      </c>
      <c r="H3513" s="15">
        <f>Tabla1[[#This Row],[Importe]]-Tabla1[[#This Row],[Pagado]]</f>
        <v>0</v>
      </c>
      <c r="I3513" s="275" t="s">
        <v>95</v>
      </c>
    </row>
    <row r="3514" spans="1:9" x14ac:dyDescent="0.25">
      <c r="A3514" s="16">
        <v>42945</v>
      </c>
      <c r="B3514" s="273" t="s">
        <v>23441</v>
      </c>
      <c r="C3514">
        <v>121668</v>
      </c>
      <c r="D3514" s="236" t="s">
        <v>15272</v>
      </c>
      <c r="E3514" s="15">
        <v>33564.400000000001</v>
      </c>
      <c r="F3514" s="274">
        <v>42945</v>
      </c>
      <c r="G3514" s="15">
        <v>33564.400000000001</v>
      </c>
      <c r="H3514" s="15">
        <f>Tabla1[[#This Row],[Importe]]-Tabla1[[#This Row],[Pagado]]</f>
        <v>0</v>
      </c>
      <c r="I3514" s="275" t="s">
        <v>15214</v>
      </c>
    </row>
    <row r="3515" spans="1:9" x14ac:dyDescent="0.25">
      <c r="A3515" s="16">
        <v>42945</v>
      </c>
      <c r="B3515" s="273" t="s">
        <v>23442</v>
      </c>
      <c r="C3515">
        <v>121669</v>
      </c>
      <c r="D3515" s="236" t="s">
        <v>15232</v>
      </c>
      <c r="E3515" s="15">
        <v>17514</v>
      </c>
      <c r="F3515" s="274">
        <v>42950</v>
      </c>
      <c r="G3515" s="15">
        <v>17514</v>
      </c>
      <c r="H3515" s="15">
        <f>Tabla1[[#This Row],[Importe]]-Tabla1[[#This Row],[Pagado]]</f>
        <v>0</v>
      </c>
      <c r="I3515" s="275" t="s">
        <v>15214</v>
      </c>
    </row>
    <row r="3516" spans="1:9" x14ac:dyDescent="0.25">
      <c r="A3516" s="16">
        <v>42945</v>
      </c>
      <c r="B3516" s="273" t="s">
        <v>23443</v>
      </c>
      <c r="C3516">
        <v>121670</v>
      </c>
      <c r="D3516" s="236" t="s">
        <v>16116</v>
      </c>
      <c r="E3516" s="15">
        <v>12508</v>
      </c>
      <c r="F3516" s="274">
        <v>42945</v>
      </c>
      <c r="G3516" s="15">
        <v>12508</v>
      </c>
      <c r="H3516" s="15">
        <f>Tabla1[[#This Row],[Importe]]-Tabla1[[#This Row],[Pagado]]</f>
        <v>0</v>
      </c>
      <c r="I3516" s="275" t="s">
        <v>15214</v>
      </c>
    </row>
    <row r="3517" spans="1:9" ht="30" x14ac:dyDescent="0.25">
      <c r="A3517" s="16">
        <v>42945</v>
      </c>
      <c r="B3517" s="273" t="s">
        <v>23444</v>
      </c>
      <c r="C3517">
        <v>121671</v>
      </c>
      <c r="D3517" s="236" t="s">
        <v>19964</v>
      </c>
      <c r="E3517" s="15">
        <v>33202.800000000003</v>
      </c>
      <c r="F3517" s="292" t="s">
        <v>23756</v>
      </c>
      <c r="G3517" s="241">
        <f>29600+3602.8</f>
        <v>33202.800000000003</v>
      </c>
      <c r="H3517" s="241">
        <f>Tabla1[[#This Row],[Importe]]-Tabla1[[#This Row],[Pagado]]</f>
        <v>0</v>
      </c>
      <c r="I3517" s="275" t="s">
        <v>15214</v>
      </c>
    </row>
    <row r="3518" spans="1:9" x14ac:dyDescent="0.25">
      <c r="A3518" s="16">
        <v>42945</v>
      </c>
      <c r="B3518" s="273" t="s">
        <v>23445</v>
      </c>
      <c r="C3518">
        <v>121672</v>
      </c>
      <c r="D3518" s="236" t="s">
        <v>15238</v>
      </c>
      <c r="E3518" s="15">
        <v>13758</v>
      </c>
      <c r="F3518" s="292">
        <v>42948</v>
      </c>
      <c r="G3518" s="15">
        <v>13758</v>
      </c>
      <c r="H3518" s="15">
        <f>Tabla1[[#This Row],[Importe]]-Tabla1[[#This Row],[Pagado]]</f>
        <v>0</v>
      </c>
      <c r="I3518" s="275" t="s">
        <v>15214</v>
      </c>
    </row>
    <row r="3519" spans="1:9" ht="45.75" x14ac:dyDescent="0.25">
      <c r="A3519" s="16">
        <v>42945</v>
      </c>
      <c r="B3519" s="273" t="s">
        <v>23446</v>
      </c>
      <c r="C3519">
        <v>121673</v>
      </c>
      <c r="D3519" s="236" t="s">
        <v>15258</v>
      </c>
      <c r="E3519" s="15">
        <v>28544.2</v>
      </c>
      <c r="F3519" s="296" t="s">
        <v>23762</v>
      </c>
      <c r="G3519" s="241">
        <f>10000+4000+4000+10544.2</f>
        <v>28544.2</v>
      </c>
      <c r="H3519" s="241">
        <f>Tabla1[[#This Row],[Importe]]-Tabla1[[#This Row],[Pagado]]</f>
        <v>0</v>
      </c>
      <c r="I3519" s="275" t="s">
        <v>15214</v>
      </c>
    </row>
    <row r="3520" spans="1:9" x14ac:dyDescent="0.25">
      <c r="A3520" s="16">
        <v>42945</v>
      </c>
      <c r="B3520" s="273" t="s">
        <v>23447</v>
      </c>
      <c r="C3520">
        <v>121674</v>
      </c>
      <c r="D3520" s="236" t="s">
        <v>15261</v>
      </c>
      <c r="E3520" s="15">
        <v>19532.400000000001</v>
      </c>
      <c r="F3520" s="274">
        <v>42945</v>
      </c>
      <c r="G3520" s="15">
        <v>19532.400000000001</v>
      </c>
      <c r="H3520" s="15">
        <f>Tabla1[[#This Row],[Importe]]-Tabla1[[#This Row],[Pagado]]</f>
        <v>0</v>
      </c>
      <c r="I3520" s="275" t="s">
        <v>15214</v>
      </c>
    </row>
    <row r="3521" spans="1:9" x14ac:dyDescent="0.25">
      <c r="A3521" s="16">
        <v>42945</v>
      </c>
      <c r="B3521" s="273" t="s">
        <v>23448</v>
      </c>
      <c r="C3521">
        <v>121675</v>
      </c>
      <c r="D3521" s="236" t="s">
        <v>17462</v>
      </c>
      <c r="E3521" s="15">
        <v>6096.3</v>
      </c>
      <c r="F3521" s="274">
        <v>42945</v>
      </c>
      <c r="G3521" s="15">
        <v>6096.3</v>
      </c>
      <c r="H3521" s="15">
        <f>Tabla1[[#This Row],[Importe]]-Tabla1[[#This Row],[Pagado]]</f>
        <v>0</v>
      </c>
      <c r="I3521" s="275" t="s">
        <v>15214</v>
      </c>
    </row>
    <row r="3522" spans="1:9" x14ac:dyDescent="0.25">
      <c r="A3522" s="16">
        <v>42945</v>
      </c>
      <c r="B3522" s="273" t="s">
        <v>23449</v>
      </c>
      <c r="C3522">
        <v>121676</v>
      </c>
      <c r="D3522" s="236" t="s">
        <v>15248</v>
      </c>
      <c r="E3522" s="15">
        <v>5925.26</v>
      </c>
      <c r="F3522" s="274">
        <v>42945</v>
      </c>
      <c r="G3522" s="15">
        <v>5925.26</v>
      </c>
      <c r="H3522" s="15">
        <f>Tabla1[[#This Row],[Importe]]-Tabla1[[#This Row],[Pagado]]</f>
        <v>0</v>
      </c>
      <c r="I3522" s="275" t="s">
        <v>15214</v>
      </c>
    </row>
    <row r="3523" spans="1:9" x14ac:dyDescent="0.25">
      <c r="A3523" s="16">
        <v>42945</v>
      </c>
      <c r="B3523" s="273" t="s">
        <v>23450</v>
      </c>
      <c r="C3523">
        <v>121677</v>
      </c>
      <c r="D3523" s="236" t="s">
        <v>15324</v>
      </c>
      <c r="E3523" s="15">
        <v>2868</v>
      </c>
      <c r="F3523" s="274">
        <v>42945</v>
      </c>
      <c r="G3523" s="15">
        <v>2868</v>
      </c>
      <c r="H3523" s="15">
        <f>Tabla1[[#This Row],[Importe]]-Tabla1[[#This Row],[Pagado]]</f>
        <v>0</v>
      </c>
      <c r="I3523" s="275" t="s">
        <v>15214</v>
      </c>
    </row>
    <row r="3524" spans="1:9" x14ac:dyDescent="0.25">
      <c r="A3524" s="16">
        <v>42945</v>
      </c>
      <c r="B3524" s="273" t="s">
        <v>23451</v>
      </c>
      <c r="C3524">
        <v>121678</v>
      </c>
      <c r="D3524" s="236" t="s">
        <v>15246</v>
      </c>
      <c r="E3524" s="15">
        <v>2315</v>
      </c>
      <c r="F3524" s="274">
        <v>42947</v>
      </c>
      <c r="G3524" s="15">
        <v>2315</v>
      </c>
      <c r="H3524" s="15">
        <f>Tabla1[[#This Row],[Importe]]-Tabla1[[#This Row],[Pagado]]</f>
        <v>0</v>
      </c>
      <c r="I3524" s="275" t="s">
        <v>15214</v>
      </c>
    </row>
    <row r="3525" spans="1:9" x14ac:dyDescent="0.25">
      <c r="A3525" s="16">
        <v>42945</v>
      </c>
      <c r="B3525" s="273" t="s">
        <v>23452</v>
      </c>
      <c r="C3525">
        <v>121679</v>
      </c>
      <c r="D3525" s="236" t="s">
        <v>15596</v>
      </c>
      <c r="E3525" s="15">
        <v>1284.4000000000001</v>
      </c>
      <c r="F3525" s="274">
        <v>42945</v>
      </c>
      <c r="G3525" s="15">
        <v>1284.4000000000001</v>
      </c>
      <c r="H3525" s="15">
        <f>Tabla1[[#This Row],[Importe]]-Tabla1[[#This Row],[Pagado]]</f>
        <v>0</v>
      </c>
      <c r="I3525" s="275" t="s">
        <v>15214</v>
      </c>
    </row>
    <row r="3526" spans="1:9" x14ac:dyDescent="0.25">
      <c r="A3526" s="16">
        <v>42945</v>
      </c>
      <c r="B3526" s="273" t="s">
        <v>23453</v>
      </c>
      <c r="C3526">
        <v>121680</v>
      </c>
      <c r="D3526" s="236" t="s">
        <v>15236</v>
      </c>
      <c r="E3526" s="15">
        <v>6314</v>
      </c>
      <c r="F3526" s="292">
        <v>42948</v>
      </c>
      <c r="G3526" s="15">
        <v>6314</v>
      </c>
      <c r="H3526" s="15">
        <f>Tabla1[[#This Row],[Importe]]-Tabla1[[#This Row],[Pagado]]</f>
        <v>0</v>
      </c>
      <c r="I3526" s="275" t="s">
        <v>15214</v>
      </c>
    </row>
    <row r="3527" spans="1:9" x14ac:dyDescent="0.25">
      <c r="A3527" s="16">
        <v>42945</v>
      </c>
      <c r="B3527" s="273" t="s">
        <v>23454</v>
      </c>
      <c r="C3527">
        <v>121681</v>
      </c>
      <c r="D3527" s="236" t="s">
        <v>15371</v>
      </c>
      <c r="E3527" s="15">
        <v>5380.5</v>
      </c>
      <c r="F3527" s="274">
        <v>42946</v>
      </c>
      <c r="G3527" s="15">
        <v>5380.5</v>
      </c>
      <c r="H3527" s="15">
        <f>Tabla1[[#This Row],[Importe]]-Tabla1[[#This Row],[Pagado]]</f>
        <v>0</v>
      </c>
      <c r="I3527" s="275" t="s">
        <v>15214</v>
      </c>
    </row>
    <row r="3528" spans="1:9" ht="30" x14ac:dyDescent="0.25">
      <c r="A3528" s="16">
        <v>42945</v>
      </c>
      <c r="B3528" s="273" t="s">
        <v>23455</v>
      </c>
      <c r="C3528">
        <v>121682</v>
      </c>
      <c r="D3528" s="236" t="s">
        <v>15234</v>
      </c>
      <c r="E3528" s="15">
        <v>9930.2000000000007</v>
      </c>
      <c r="F3528" s="292" t="s">
        <v>23756</v>
      </c>
      <c r="G3528" s="241">
        <f>7500+2430.2</f>
        <v>9930.2000000000007</v>
      </c>
      <c r="H3528" s="241">
        <f>Tabla1[[#This Row],[Importe]]-Tabla1[[#This Row],[Pagado]]</f>
        <v>0</v>
      </c>
      <c r="I3528" s="275" t="s">
        <v>15214</v>
      </c>
    </row>
    <row r="3529" spans="1:9" ht="30" x14ac:dyDescent="0.25">
      <c r="A3529" s="16">
        <v>42945</v>
      </c>
      <c r="B3529" s="273" t="s">
        <v>23456</v>
      </c>
      <c r="C3529">
        <v>121683</v>
      </c>
      <c r="D3529" s="236" t="s">
        <v>15480</v>
      </c>
      <c r="E3529" s="15">
        <v>14578.2</v>
      </c>
      <c r="F3529" s="292" t="s">
        <v>23760</v>
      </c>
      <c r="G3529" s="241">
        <f>9000+5578.2</f>
        <v>14578.2</v>
      </c>
      <c r="H3529" s="241">
        <f>Tabla1[[#This Row],[Importe]]-Tabla1[[#This Row],[Pagado]]</f>
        <v>0</v>
      </c>
      <c r="I3529" s="275" t="s">
        <v>15214</v>
      </c>
    </row>
    <row r="3530" spans="1:9" ht="30" x14ac:dyDescent="0.25">
      <c r="A3530" s="16">
        <v>42945</v>
      </c>
      <c r="B3530" s="273" t="s">
        <v>23457</v>
      </c>
      <c r="C3530">
        <v>121684</v>
      </c>
      <c r="D3530" s="236" t="s">
        <v>15256</v>
      </c>
      <c r="E3530" s="15">
        <v>17022.400000000001</v>
      </c>
      <c r="F3530" s="292" t="s">
        <v>23758</v>
      </c>
      <c r="G3530" s="241">
        <f>5300+11722.4</f>
        <v>17022.400000000001</v>
      </c>
      <c r="H3530" s="241">
        <f>Tabla1[[#This Row],[Importe]]-Tabla1[[#This Row],[Pagado]]</f>
        <v>0</v>
      </c>
      <c r="I3530" s="275" t="s">
        <v>15214</v>
      </c>
    </row>
    <row r="3531" spans="1:9" x14ac:dyDescent="0.25">
      <c r="A3531" s="16">
        <v>42945</v>
      </c>
      <c r="B3531" s="273" t="s">
        <v>23458</v>
      </c>
      <c r="C3531">
        <v>121685</v>
      </c>
      <c r="D3531" s="236" t="s">
        <v>15668</v>
      </c>
      <c r="E3531" s="15">
        <v>6625.6</v>
      </c>
      <c r="F3531" s="274">
        <v>42947</v>
      </c>
      <c r="G3531" s="15">
        <v>6625.6</v>
      </c>
      <c r="H3531" s="15">
        <f>Tabla1[[#This Row],[Importe]]-Tabla1[[#This Row],[Pagado]]</f>
        <v>0</v>
      </c>
      <c r="I3531" s="275" t="s">
        <v>15214</v>
      </c>
    </row>
    <row r="3532" spans="1:9" x14ac:dyDescent="0.25">
      <c r="A3532" s="16">
        <v>42945</v>
      </c>
      <c r="B3532" s="273" t="s">
        <v>23459</v>
      </c>
      <c r="C3532">
        <v>121686</v>
      </c>
      <c r="D3532" s="236" t="s">
        <v>19776</v>
      </c>
      <c r="E3532" s="15">
        <v>19061.599999999999</v>
      </c>
      <c r="F3532" s="274">
        <v>42945</v>
      </c>
      <c r="G3532" s="15">
        <v>19061.599999999999</v>
      </c>
      <c r="H3532" s="15">
        <f>Tabla1[[#This Row],[Importe]]-Tabla1[[#This Row],[Pagado]]</f>
        <v>0</v>
      </c>
      <c r="I3532" s="275" t="s">
        <v>15214</v>
      </c>
    </row>
    <row r="3533" spans="1:9" x14ac:dyDescent="0.25">
      <c r="A3533" s="16">
        <v>42945</v>
      </c>
      <c r="B3533" s="273" t="s">
        <v>23460</v>
      </c>
      <c r="C3533">
        <v>121687</v>
      </c>
      <c r="D3533" s="236" t="s">
        <v>15244</v>
      </c>
      <c r="E3533" s="15">
        <v>14881.1</v>
      </c>
      <c r="F3533" s="292">
        <v>42948</v>
      </c>
      <c r="G3533" s="15">
        <v>14881.1</v>
      </c>
      <c r="H3533" s="15">
        <f>Tabla1[[#This Row],[Importe]]-Tabla1[[#This Row],[Pagado]]</f>
        <v>0</v>
      </c>
      <c r="I3533" s="275" t="s">
        <v>15214</v>
      </c>
    </row>
    <row r="3534" spans="1:9" x14ac:dyDescent="0.25">
      <c r="A3534" s="16">
        <v>42945</v>
      </c>
      <c r="B3534" s="273" t="s">
        <v>23461</v>
      </c>
      <c r="C3534">
        <v>121688</v>
      </c>
      <c r="D3534" s="236" t="s">
        <v>15252</v>
      </c>
      <c r="E3534" s="15">
        <v>4199.1000000000004</v>
      </c>
      <c r="F3534" s="274">
        <v>42947</v>
      </c>
      <c r="G3534" s="15">
        <v>4199.1000000000004</v>
      </c>
      <c r="H3534" s="15">
        <f>Tabla1[[#This Row],[Importe]]-Tabla1[[#This Row],[Pagado]]</f>
        <v>0</v>
      </c>
      <c r="I3534" s="275" t="s">
        <v>15214</v>
      </c>
    </row>
    <row r="3535" spans="1:9" x14ac:dyDescent="0.25">
      <c r="A3535" s="16">
        <v>42945</v>
      </c>
      <c r="B3535" s="273" t="s">
        <v>23462</v>
      </c>
      <c r="C3535">
        <v>121689</v>
      </c>
      <c r="D3535" s="236" t="s">
        <v>15348</v>
      </c>
      <c r="E3535" s="15">
        <v>3255.8</v>
      </c>
      <c r="F3535" s="292">
        <v>42948</v>
      </c>
      <c r="G3535" s="15">
        <v>3255.8</v>
      </c>
      <c r="H3535" s="15">
        <f>Tabla1[[#This Row],[Importe]]-Tabla1[[#This Row],[Pagado]]</f>
        <v>0</v>
      </c>
      <c r="I3535" s="275" t="s">
        <v>15214</v>
      </c>
    </row>
    <row r="3536" spans="1:9" x14ac:dyDescent="0.25">
      <c r="A3536" s="16">
        <v>42945</v>
      </c>
      <c r="B3536" s="273" t="s">
        <v>23463</v>
      </c>
      <c r="C3536">
        <v>121690</v>
      </c>
      <c r="D3536" s="236" t="s">
        <v>15240</v>
      </c>
      <c r="E3536" s="15">
        <v>3741</v>
      </c>
      <c r="F3536" s="274">
        <v>42947</v>
      </c>
      <c r="G3536" s="15">
        <v>3741</v>
      </c>
      <c r="H3536" s="15">
        <f>Tabla1[[#This Row],[Importe]]-Tabla1[[#This Row],[Pagado]]</f>
        <v>0</v>
      </c>
      <c r="I3536" s="275" t="s">
        <v>15214</v>
      </c>
    </row>
    <row r="3537" spans="1:9" x14ac:dyDescent="0.25">
      <c r="A3537" s="16">
        <v>42945</v>
      </c>
      <c r="B3537" s="273" t="s">
        <v>23464</v>
      </c>
      <c r="C3537">
        <v>121691</v>
      </c>
      <c r="D3537" s="236" t="s">
        <v>15242</v>
      </c>
      <c r="E3537" s="15">
        <v>15312</v>
      </c>
      <c r="F3537" s="274">
        <v>42945</v>
      </c>
      <c r="G3537" s="15">
        <v>15312</v>
      </c>
      <c r="H3537" s="15">
        <f>Tabla1[[#This Row],[Importe]]-Tabla1[[#This Row],[Pagado]]</f>
        <v>0</v>
      </c>
      <c r="I3537" s="275" t="s">
        <v>15214</v>
      </c>
    </row>
    <row r="3538" spans="1:9" x14ac:dyDescent="0.25">
      <c r="A3538" s="16">
        <v>42945</v>
      </c>
      <c r="B3538" s="273" t="s">
        <v>23465</v>
      </c>
      <c r="C3538">
        <v>121692</v>
      </c>
      <c r="D3538" s="236" t="s">
        <v>15263</v>
      </c>
      <c r="E3538" s="15">
        <v>2966</v>
      </c>
      <c r="F3538" s="274">
        <v>42945</v>
      </c>
      <c r="G3538" s="15">
        <v>2966</v>
      </c>
      <c r="H3538" s="15">
        <f>Tabla1[[#This Row],[Importe]]-Tabla1[[#This Row],[Pagado]]</f>
        <v>0</v>
      </c>
      <c r="I3538" s="275" t="s">
        <v>15214</v>
      </c>
    </row>
    <row r="3539" spans="1:9" x14ac:dyDescent="0.25">
      <c r="A3539" s="16">
        <v>42945</v>
      </c>
      <c r="B3539" s="273" t="s">
        <v>23466</v>
      </c>
      <c r="C3539">
        <v>121693</v>
      </c>
      <c r="D3539" s="236" t="s">
        <v>15526</v>
      </c>
      <c r="E3539" s="15">
        <v>5372.5</v>
      </c>
      <c r="F3539" s="274">
        <v>42945</v>
      </c>
      <c r="G3539" s="15">
        <v>5372.5</v>
      </c>
      <c r="H3539" s="15">
        <f>Tabla1[[#This Row],[Importe]]-Tabla1[[#This Row],[Pagado]]</f>
        <v>0</v>
      </c>
      <c r="I3539" s="275" t="s">
        <v>15214</v>
      </c>
    </row>
    <row r="3540" spans="1:9" x14ac:dyDescent="0.25">
      <c r="A3540" s="16">
        <v>42945</v>
      </c>
      <c r="B3540" s="273" t="s">
        <v>23467</v>
      </c>
      <c r="C3540">
        <v>121694</v>
      </c>
      <c r="D3540" s="236" t="s">
        <v>15344</v>
      </c>
      <c r="E3540" s="15">
        <v>2226</v>
      </c>
      <c r="F3540" s="274">
        <v>42945</v>
      </c>
      <c r="G3540" s="15">
        <v>2226</v>
      </c>
      <c r="H3540" s="15">
        <f>Tabla1[[#This Row],[Importe]]-Tabla1[[#This Row],[Pagado]]</f>
        <v>0</v>
      </c>
      <c r="I3540" s="275" t="s">
        <v>15214</v>
      </c>
    </row>
    <row r="3541" spans="1:9" x14ac:dyDescent="0.25">
      <c r="A3541" s="16">
        <v>42945</v>
      </c>
      <c r="B3541" s="273" t="s">
        <v>23468</v>
      </c>
      <c r="C3541">
        <v>121695</v>
      </c>
      <c r="D3541" s="236" t="s">
        <v>15358</v>
      </c>
      <c r="E3541" s="15">
        <v>4510</v>
      </c>
      <c r="F3541" s="274">
        <v>42945</v>
      </c>
      <c r="G3541" s="15">
        <v>4510</v>
      </c>
      <c r="H3541" s="15">
        <f>Tabla1[[#This Row],[Importe]]-Tabla1[[#This Row],[Pagado]]</f>
        <v>0</v>
      </c>
      <c r="I3541" s="275" t="s">
        <v>15214</v>
      </c>
    </row>
    <row r="3542" spans="1:9" x14ac:dyDescent="0.25">
      <c r="A3542" s="16">
        <v>42945</v>
      </c>
      <c r="B3542" s="273" t="s">
        <v>23469</v>
      </c>
      <c r="C3542">
        <v>121696</v>
      </c>
      <c r="D3542" s="236" t="s">
        <v>15315</v>
      </c>
      <c r="E3542" s="15">
        <v>4451.2</v>
      </c>
      <c r="F3542" s="274">
        <v>42945</v>
      </c>
      <c r="G3542" s="15">
        <v>4451.2</v>
      </c>
      <c r="H3542" s="15">
        <f>Tabla1[[#This Row],[Importe]]-Tabla1[[#This Row],[Pagado]]</f>
        <v>0</v>
      </c>
      <c r="I3542" s="275" t="s">
        <v>15214</v>
      </c>
    </row>
    <row r="3543" spans="1:9" x14ac:dyDescent="0.25">
      <c r="A3543" s="16">
        <v>42945</v>
      </c>
      <c r="B3543" s="273" t="s">
        <v>23470</v>
      </c>
      <c r="C3543">
        <v>121697</v>
      </c>
      <c r="D3543" s="236" t="s">
        <v>15742</v>
      </c>
      <c r="E3543" s="15">
        <v>2449.1999999999998</v>
      </c>
      <c r="F3543" s="274">
        <v>42945</v>
      </c>
      <c r="G3543" s="15">
        <v>2449.1999999999998</v>
      </c>
      <c r="H3543" s="15">
        <f>Tabla1[[#This Row],[Importe]]-Tabla1[[#This Row],[Pagado]]</f>
        <v>0</v>
      </c>
      <c r="I3543" s="275" t="s">
        <v>15214</v>
      </c>
    </row>
    <row r="3544" spans="1:9" x14ac:dyDescent="0.25">
      <c r="A3544" s="16">
        <v>42945</v>
      </c>
      <c r="B3544" s="273" t="s">
        <v>23471</v>
      </c>
      <c r="C3544">
        <v>121698</v>
      </c>
      <c r="D3544" s="236" t="s">
        <v>15289</v>
      </c>
      <c r="E3544" s="15">
        <v>1079.4000000000001</v>
      </c>
      <c r="F3544" s="274">
        <v>42945</v>
      </c>
      <c r="G3544" s="15">
        <v>1079.4000000000001</v>
      </c>
      <c r="H3544" s="15">
        <f>Tabla1[[#This Row],[Importe]]-Tabla1[[#This Row],[Pagado]]</f>
        <v>0</v>
      </c>
      <c r="I3544" s="275" t="s">
        <v>15214</v>
      </c>
    </row>
    <row r="3545" spans="1:9" x14ac:dyDescent="0.25">
      <c r="A3545" s="16">
        <v>42945</v>
      </c>
      <c r="B3545" s="273" t="s">
        <v>23472</v>
      </c>
      <c r="C3545">
        <v>121699</v>
      </c>
      <c r="D3545" s="236" t="s">
        <v>15858</v>
      </c>
      <c r="E3545" s="15">
        <v>3513.96</v>
      </c>
      <c r="F3545" s="274">
        <v>42945</v>
      </c>
      <c r="G3545" s="15">
        <v>3513.96</v>
      </c>
      <c r="H3545" s="15">
        <f>Tabla1[[#This Row],[Importe]]-Tabla1[[#This Row],[Pagado]]</f>
        <v>0</v>
      </c>
      <c r="I3545" s="275" t="s">
        <v>15214</v>
      </c>
    </row>
    <row r="3546" spans="1:9" x14ac:dyDescent="0.25">
      <c r="A3546" s="16">
        <v>42945</v>
      </c>
      <c r="B3546" s="273" t="s">
        <v>23473</v>
      </c>
      <c r="C3546">
        <v>121700</v>
      </c>
      <c r="D3546" s="236" t="s">
        <v>15523</v>
      </c>
      <c r="E3546" s="15">
        <v>6266</v>
      </c>
      <c r="F3546" s="274">
        <v>42945</v>
      </c>
      <c r="G3546" s="15">
        <v>6266</v>
      </c>
      <c r="H3546" s="15">
        <f>Tabla1[[#This Row],[Importe]]-Tabla1[[#This Row],[Pagado]]</f>
        <v>0</v>
      </c>
      <c r="I3546" s="275" t="s">
        <v>15214</v>
      </c>
    </row>
    <row r="3547" spans="1:9" x14ac:dyDescent="0.25">
      <c r="A3547" s="16">
        <v>42945</v>
      </c>
      <c r="B3547" s="273" t="s">
        <v>23474</v>
      </c>
      <c r="C3547">
        <v>121701</v>
      </c>
      <c r="D3547" s="236" t="s">
        <v>15334</v>
      </c>
      <c r="E3547" s="15">
        <v>4092</v>
      </c>
      <c r="F3547" s="274">
        <v>42945</v>
      </c>
      <c r="G3547" s="15">
        <v>4092</v>
      </c>
      <c r="H3547" s="15">
        <f>Tabla1[[#This Row],[Importe]]-Tabla1[[#This Row],[Pagado]]</f>
        <v>0</v>
      </c>
      <c r="I3547" s="275" t="s">
        <v>15214</v>
      </c>
    </row>
    <row r="3548" spans="1:9" x14ac:dyDescent="0.25">
      <c r="A3548" s="16">
        <v>42945</v>
      </c>
      <c r="B3548" s="273" t="s">
        <v>23475</v>
      </c>
      <c r="C3548">
        <v>121702</v>
      </c>
      <c r="D3548" s="236" t="s">
        <v>15226</v>
      </c>
      <c r="E3548" s="15">
        <v>2470</v>
      </c>
      <c r="F3548" s="292">
        <v>42949</v>
      </c>
      <c r="G3548" s="15">
        <v>2470</v>
      </c>
      <c r="H3548" s="15">
        <f>Tabla1[[#This Row],[Importe]]-Tabla1[[#This Row],[Pagado]]</f>
        <v>0</v>
      </c>
      <c r="I3548" s="275" t="s">
        <v>15214</v>
      </c>
    </row>
    <row r="3549" spans="1:9" x14ac:dyDescent="0.25">
      <c r="A3549" s="16">
        <v>42945</v>
      </c>
      <c r="B3549" s="273" t="s">
        <v>23476</v>
      </c>
      <c r="C3549">
        <v>121703</v>
      </c>
      <c r="D3549" s="236" t="s">
        <v>15562</v>
      </c>
      <c r="E3549" s="15">
        <v>3320.1</v>
      </c>
      <c r="F3549" s="274">
        <v>42945</v>
      </c>
      <c r="G3549" s="15">
        <v>3320.1</v>
      </c>
      <c r="H3549" s="15">
        <f>Tabla1[[#This Row],[Importe]]-Tabla1[[#This Row],[Pagado]]</f>
        <v>0</v>
      </c>
      <c r="I3549" s="275" t="s">
        <v>15214</v>
      </c>
    </row>
    <row r="3550" spans="1:9" x14ac:dyDescent="0.25">
      <c r="A3550" s="16">
        <v>42945</v>
      </c>
      <c r="B3550" s="273" t="s">
        <v>23477</v>
      </c>
      <c r="C3550">
        <v>121704</v>
      </c>
      <c r="D3550" s="236" t="s">
        <v>15861</v>
      </c>
      <c r="E3550" s="15">
        <v>92.5</v>
      </c>
      <c r="F3550" s="274">
        <v>42945</v>
      </c>
      <c r="G3550" s="15">
        <v>92.5</v>
      </c>
      <c r="H3550" s="15">
        <f>Tabla1[[#This Row],[Importe]]-Tabla1[[#This Row],[Pagado]]</f>
        <v>0</v>
      </c>
      <c r="I3550" s="275" t="s">
        <v>15214</v>
      </c>
    </row>
    <row r="3551" spans="1:9" x14ac:dyDescent="0.25">
      <c r="A3551" s="16">
        <v>42945</v>
      </c>
      <c r="B3551" s="273" t="s">
        <v>23478</v>
      </c>
      <c r="C3551">
        <v>121705</v>
      </c>
      <c r="D3551" s="236" t="s">
        <v>15336</v>
      </c>
      <c r="E3551" s="15">
        <v>11537.2</v>
      </c>
      <c r="F3551" s="274">
        <v>42945</v>
      </c>
      <c r="G3551" s="15">
        <v>11537.2</v>
      </c>
      <c r="H3551" s="15">
        <f>Tabla1[[#This Row],[Importe]]-Tabla1[[#This Row],[Pagado]]</f>
        <v>0</v>
      </c>
      <c r="I3551" s="275" t="s">
        <v>15214</v>
      </c>
    </row>
    <row r="3552" spans="1:9" x14ac:dyDescent="0.25">
      <c r="A3552" s="16">
        <v>42945</v>
      </c>
      <c r="B3552" s="273" t="s">
        <v>23479</v>
      </c>
      <c r="C3552">
        <v>121706</v>
      </c>
      <c r="D3552" s="236" t="s">
        <v>15530</v>
      </c>
      <c r="E3552" s="15">
        <v>2305.8000000000002</v>
      </c>
      <c r="F3552" s="274">
        <v>42945</v>
      </c>
      <c r="G3552" s="15">
        <v>2305.8000000000002</v>
      </c>
      <c r="H3552" s="15">
        <f>Tabla1[[#This Row],[Importe]]-Tabla1[[#This Row],[Pagado]]</f>
        <v>0</v>
      </c>
      <c r="I3552" s="275" t="s">
        <v>15214</v>
      </c>
    </row>
    <row r="3553" spans="1:9" x14ac:dyDescent="0.25">
      <c r="A3553" s="16">
        <v>42945</v>
      </c>
      <c r="B3553" s="273" t="s">
        <v>23480</v>
      </c>
      <c r="C3553">
        <v>121707</v>
      </c>
      <c r="D3553" s="236" t="s">
        <v>15315</v>
      </c>
      <c r="E3553" s="15">
        <v>10219</v>
      </c>
      <c r="F3553" s="274">
        <v>42951</v>
      </c>
      <c r="G3553" s="15">
        <v>10219</v>
      </c>
      <c r="H3553" s="15">
        <f>Tabla1[[#This Row],[Importe]]-Tabla1[[#This Row],[Pagado]]</f>
        <v>0</v>
      </c>
      <c r="I3553" s="275" t="s">
        <v>15214</v>
      </c>
    </row>
    <row r="3554" spans="1:9" x14ac:dyDescent="0.25">
      <c r="A3554" s="16">
        <v>42945</v>
      </c>
      <c r="B3554" s="273" t="s">
        <v>23481</v>
      </c>
      <c r="C3554">
        <v>121708</v>
      </c>
      <c r="D3554" s="236" t="s">
        <v>15315</v>
      </c>
      <c r="E3554" s="15">
        <v>16231.9</v>
      </c>
      <c r="F3554" s="274">
        <v>42950</v>
      </c>
      <c r="G3554" s="15">
        <v>16231.9</v>
      </c>
      <c r="H3554" s="15">
        <f>Tabla1[[#This Row],[Importe]]-Tabla1[[#This Row],[Pagado]]</f>
        <v>0</v>
      </c>
      <c r="I3554" s="275" t="s">
        <v>15214</v>
      </c>
    </row>
    <row r="3555" spans="1:9" x14ac:dyDescent="0.25">
      <c r="A3555" s="16">
        <v>42945</v>
      </c>
      <c r="B3555" s="273" t="s">
        <v>23482</v>
      </c>
      <c r="C3555">
        <v>121709</v>
      </c>
      <c r="D3555" s="236" t="s">
        <v>15716</v>
      </c>
      <c r="E3555" s="15">
        <v>15225</v>
      </c>
      <c r="F3555" s="274">
        <v>42945</v>
      </c>
      <c r="G3555" s="15">
        <v>15225</v>
      </c>
      <c r="H3555" s="15">
        <f>Tabla1[[#This Row],[Importe]]-Tabla1[[#This Row],[Pagado]]</f>
        <v>0</v>
      </c>
      <c r="I3555" s="275" t="s">
        <v>15214</v>
      </c>
    </row>
    <row r="3556" spans="1:9" x14ac:dyDescent="0.25">
      <c r="A3556" s="16">
        <v>42945</v>
      </c>
      <c r="B3556" s="273" t="s">
        <v>23483</v>
      </c>
      <c r="C3556">
        <v>121710</v>
      </c>
      <c r="D3556" s="236" t="s">
        <v>15555</v>
      </c>
      <c r="E3556" s="15">
        <v>2442</v>
      </c>
      <c r="F3556" s="274">
        <v>42950</v>
      </c>
      <c r="G3556" s="15">
        <v>2442</v>
      </c>
      <c r="H3556" s="15">
        <f>Tabla1[[#This Row],[Importe]]-Tabla1[[#This Row],[Pagado]]</f>
        <v>0</v>
      </c>
      <c r="I3556" s="275" t="s">
        <v>15214</v>
      </c>
    </row>
    <row r="3557" spans="1:9" x14ac:dyDescent="0.25">
      <c r="A3557" s="16">
        <v>42945</v>
      </c>
      <c r="B3557" s="273" t="s">
        <v>23484</v>
      </c>
      <c r="C3557">
        <v>121711</v>
      </c>
      <c r="D3557" s="236" t="s">
        <v>15706</v>
      </c>
      <c r="E3557" s="15">
        <v>2854.8</v>
      </c>
      <c r="F3557" s="274">
        <v>42945</v>
      </c>
      <c r="G3557" s="15">
        <v>2854.8</v>
      </c>
      <c r="H3557" s="15">
        <f>Tabla1[[#This Row],[Importe]]-Tabla1[[#This Row],[Pagado]]</f>
        <v>0</v>
      </c>
      <c r="I3557" s="275" t="s">
        <v>15214</v>
      </c>
    </row>
    <row r="3558" spans="1:9" ht="30" x14ac:dyDescent="0.25">
      <c r="A3558" s="16">
        <v>42945</v>
      </c>
      <c r="B3558" s="273" t="s">
        <v>23485</v>
      </c>
      <c r="C3558">
        <v>121712</v>
      </c>
      <c r="D3558" s="236" t="s">
        <v>15378</v>
      </c>
      <c r="E3558" s="15">
        <v>3920.3</v>
      </c>
      <c r="F3558" s="274" t="s">
        <v>23486</v>
      </c>
      <c r="G3558" s="241">
        <f>3400+520.3</f>
        <v>3920.3</v>
      </c>
      <c r="H3558" s="241">
        <f>Tabla1[[#This Row],[Importe]]-Tabla1[[#This Row],[Pagado]]</f>
        <v>0</v>
      </c>
      <c r="I3558" s="275" t="s">
        <v>15214</v>
      </c>
    </row>
    <row r="3559" spans="1:9" x14ac:dyDescent="0.25">
      <c r="A3559" s="16">
        <v>42945</v>
      </c>
      <c r="B3559" s="273" t="s">
        <v>23487</v>
      </c>
      <c r="C3559">
        <v>121713</v>
      </c>
      <c r="D3559" s="236" t="s">
        <v>15559</v>
      </c>
      <c r="E3559" s="15">
        <v>10961.7</v>
      </c>
      <c r="F3559" s="274">
        <v>42950</v>
      </c>
      <c r="G3559" s="15">
        <v>10961.7</v>
      </c>
      <c r="H3559" s="15">
        <f>Tabla1[[#This Row],[Importe]]-Tabla1[[#This Row],[Pagado]]</f>
        <v>0</v>
      </c>
      <c r="I3559" s="275" t="s">
        <v>15214</v>
      </c>
    </row>
    <row r="3560" spans="1:9" x14ac:dyDescent="0.25">
      <c r="A3560" s="16">
        <v>42945</v>
      </c>
      <c r="B3560" s="273" t="s">
        <v>23488</v>
      </c>
      <c r="C3560">
        <v>121714</v>
      </c>
      <c r="D3560" s="236" t="s">
        <v>15378</v>
      </c>
      <c r="E3560" s="15">
        <v>40</v>
      </c>
      <c r="F3560" s="274">
        <v>42945</v>
      </c>
      <c r="G3560" s="15">
        <v>40</v>
      </c>
      <c r="H3560" s="15">
        <f>Tabla1[[#This Row],[Importe]]-Tabla1[[#This Row],[Pagado]]</f>
        <v>0</v>
      </c>
      <c r="I3560" s="275" t="s">
        <v>15214</v>
      </c>
    </row>
    <row r="3561" spans="1:9" x14ac:dyDescent="0.25">
      <c r="A3561" s="16">
        <v>42945</v>
      </c>
      <c r="B3561" s="273" t="s">
        <v>23489</v>
      </c>
      <c r="C3561">
        <v>121715</v>
      </c>
      <c r="D3561" s="236" t="s">
        <v>15539</v>
      </c>
      <c r="E3561" s="15">
        <v>21987.7</v>
      </c>
      <c r="F3561" s="274">
        <v>42950</v>
      </c>
      <c r="G3561" s="15">
        <v>21987.7</v>
      </c>
      <c r="H3561" s="15">
        <f>Tabla1[[#This Row],[Importe]]-Tabla1[[#This Row],[Pagado]]</f>
        <v>0</v>
      </c>
      <c r="I3561" s="275" t="s">
        <v>15214</v>
      </c>
    </row>
    <row r="3562" spans="1:9" x14ac:dyDescent="0.25">
      <c r="A3562" s="16">
        <v>42945</v>
      </c>
      <c r="B3562" s="273" t="s">
        <v>23490</v>
      </c>
      <c r="C3562">
        <v>121716</v>
      </c>
      <c r="D3562" s="236" t="s">
        <v>15544</v>
      </c>
      <c r="E3562" s="15">
        <v>1307.4000000000001</v>
      </c>
      <c r="F3562" s="274">
        <v>42950</v>
      </c>
      <c r="G3562" s="15">
        <v>1307.4000000000001</v>
      </c>
      <c r="H3562" s="15">
        <f>Tabla1[[#This Row],[Importe]]-Tabla1[[#This Row],[Pagado]]</f>
        <v>0</v>
      </c>
      <c r="I3562" s="275" t="s">
        <v>15214</v>
      </c>
    </row>
    <row r="3563" spans="1:9" x14ac:dyDescent="0.25">
      <c r="A3563" s="16">
        <v>42945</v>
      </c>
      <c r="B3563" s="273" t="s">
        <v>23491</v>
      </c>
      <c r="C3563">
        <v>121717</v>
      </c>
      <c r="D3563" s="236" t="s">
        <v>15665</v>
      </c>
      <c r="E3563" s="15">
        <v>609.9</v>
      </c>
      <c r="F3563" s="274">
        <v>42945</v>
      </c>
      <c r="G3563" s="15">
        <v>609.9</v>
      </c>
      <c r="H3563" s="15">
        <f>Tabla1[[#This Row],[Importe]]-Tabla1[[#This Row],[Pagado]]</f>
        <v>0</v>
      </c>
      <c r="I3563" s="275" t="s">
        <v>15214</v>
      </c>
    </row>
    <row r="3564" spans="1:9" x14ac:dyDescent="0.25">
      <c r="A3564" s="16">
        <v>42945</v>
      </c>
      <c r="B3564" s="273" t="s">
        <v>23492</v>
      </c>
      <c r="C3564">
        <v>121718</v>
      </c>
      <c r="D3564" s="236" t="s">
        <v>15284</v>
      </c>
      <c r="E3564" s="15">
        <v>876.4</v>
      </c>
      <c r="F3564" s="274">
        <v>42945</v>
      </c>
      <c r="G3564" s="15">
        <v>876.4</v>
      </c>
      <c r="H3564" s="15">
        <f>Tabla1[[#This Row],[Importe]]-Tabla1[[#This Row],[Pagado]]</f>
        <v>0</v>
      </c>
      <c r="I3564" s="275" t="s">
        <v>15214</v>
      </c>
    </row>
    <row r="3565" spans="1:9" x14ac:dyDescent="0.25">
      <c r="A3565" s="16">
        <v>42945</v>
      </c>
      <c r="B3565" s="273" t="s">
        <v>23493</v>
      </c>
      <c r="C3565">
        <v>121719</v>
      </c>
      <c r="D3565" s="236" t="s">
        <v>15328</v>
      </c>
      <c r="E3565" s="15">
        <v>106382.86</v>
      </c>
      <c r="F3565" s="274">
        <v>42959</v>
      </c>
      <c r="G3565" s="15">
        <v>106382.86</v>
      </c>
      <c r="H3565" s="15">
        <f>Tabla1[[#This Row],[Importe]]-Tabla1[[#This Row],[Pagado]]</f>
        <v>0</v>
      </c>
      <c r="I3565" s="275" t="s">
        <v>15214</v>
      </c>
    </row>
    <row r="3566" spans="1:9" x14ac:dyDescent="0.25">
      <c r="A3566" s="16">
        <v>42945</v>
      </c>
      <c r="B3566" s="273" t="s">
        <v>23494</v>
      </c>
      <c r="C3566">
        <v>121720</v>
      </c>
      <c r="D3566" s="236" t="s">
        <v>15315</v>
      </c>
      <c r="E3566" s="15">
        <v>9075</v>
      </c>
      <c r="F3566" s="274">
        <v>42973</v>
      </c>
      <c r="G3566" s="15">
        <v>9075</v>
      </c>
      <c r="H3566" s="15">
        <f>Tabla1[[#This Row],[Importe]]-Tabla1[[#This Row],[Pagado]]</f>
        <v>0</v>
      </c>
      <c r="I3566" s="275" t="s">
        <v>15214</v>
      </c>
    </row>
    <row r="3567" spans="1:9" x14ac:dyDescent="0.25">
      <c r="A3567" s="16">
        <v>42945</v>
      </c>
      <c r="B3567" s="273" t="s">
        <v>23495</v>
      </c>
      <c r="C3567">
        <v>121721</v>
      </c>
      <c r="D3567" s="236" t="s">
        <v>15315</v>
      </c>
      <c r="E3567" s="15">
        <v>3031.6</v>
      </c>
      <c r="F3567" s="274" t="s">
        <v>23496</v>
      </c>
      <c r="G3567" s="15">
        <v>3031.6</v>
      </c>
      <c r="H3567" s="15">
        <f>Tabla1[[#This Row],[Importe]]-Tabla1[[#This Row],[Pagado]]</f>
        <v>0</v>
      </c>
      <c r="I3567" s="275" t="s">
        <v>15214</v>
      </c>
    </row>
    <row r="3568" spans="1:9" x14ac:dyDescent="0.25">
      <c r="A3568" s="16">
        <v>42945</v>
      </c>
      <c r="B3568" s="273" t="s">
        <v>23497</v>
      </c>
      <c r="C3568">
        <v>121722</v>
      </c>
      <c r="D3568" s="236" t="s">
        <v>15537</v>
      </c>
      <c r="E3568" s="15">
        <v>22543.3</v>
      </c>
      <c r="F3568" s="274">
        <v>42951</v>
      </c>
      <c r="G3568" s="15">
        <v>22543.3</v>
      </c>
      <c r="H3568" s="15">
        <f>Tabla1[[#This Row],[Importe]]-Tabla1[[#This Row],[Pagado]]</f>
        <v>0</v>
      </c>
      <c r="I3568" s="275" t="s">
        <v>15214</v>
      </c>
    </row>
    <row r="3569" spans="1:9" x14ac:dyDescent="0.25">
      <c r="A3569" s="16">
        <v>42945</v>
      </c>
      <c r="B3569" s="273" t="s">
        <v>23498</v>
      </c>
      <c r="C3569">
        <v>121723</v>
      </c>
      <c r="D3569" s="236" t="s">
        <v>16139</v>
      </c>
      <c r="E3569" s="15">
        <v>10876.82</v>
      </c>
      <c r="F3569" s="274">
        <v>42951</v>
      </c>
      <c r="G3569" s="15">
        <v>10876.82</v>
      </c>
      <c r="H3569" s="15">
        <f>Tabla1[[#This Row],[Importe]]-Tabla1[[#This Row],[Pagado]]</f>
        <v>0</v>
      </c>
      <c r="I3569" s="275" t="s">
        <v>15214</v>
      </c>
    </row>
    <row r="3570" spans="1:9" x14ac:dyDescent="0.25">
      <c r="A3570" s="16">
        <v>42945</v>
      </c>
      <c r="B3570" s="273" t="s">
        <v>23499</v>
      </c>
      <c r="C3570">
        <v>121724</v>
      </c>
      <c r="D3570" s="236" t="s">
        <v>15544</v>
      </c>
      <c r="E3570" s="15">
        <v>4533.6000000000004</v>
      </c>
      <c r="F3570" s="274">
        <v>42950</v>
      </c>
      <c r="G3570" s="15">
        <v>4533.6000000000004</v>
      </c>
      <c r="H3570" s="15">
        <f>Tabla1[[#This Row],[Importe]]-Tabla1[[#This Row],[Pagado]]</f>
        <v>0</v>
      </c>
      <c r="I3570" s="275" t="s">
        <v>15214</v>
      </c>
    </row>
    <row r="3571" spans="1:9" x14ac:dyDescent="0.25">
      <c r="A3571" s="16">
        <v>42945</v>
      </c>
      <c r="B3571" s="273" t="s">
        <v>23500</v>
      </c>
      <c r="C3571">
        <v>121725</v>
      </c>
      <c r="D3571" s="236" t="s">
        <v>15315</v>
      </c>
      <c r="E3571" s="15">
        <v>1826.5</v>
      </c>
      <c r="F3571" s="274">
        <v>42950</v>
      </c>
      <c r="G3571" s="15">
        <v>1826.5</v>
      </c>
      <c r="H3571" s="15">
        <f>Tabla1[[#This Row],[Importe]]-Tabla1[[#This Row],[Pagado]]</f>
        <v>0</v>
      </c>
      <c r="I3571" s="275" t="s">
        <v>15214</v>
      </c>
    </row>
    <row r="3572" spans="1:9" x14ac:dyDescent="0.25">
      <c r="A3572" s="16">
        <v>42945</v>
      </c>
      <c r="B3572" s="273" t="s">
        <v>23501</v>
      </c>
      <c r="C3572">
        <v>121726</v>
      </c>
      <c r="D3572" s="236" t="s">
        <v>16217</v>
      </c>
      <c r="E3572" s="15">
        <v>2914.2</v>
      </c>
      <c r="F3572" s="274">
        <v>42945</v>
      </c>
      <c r="G3572" s="15">
        <v>2914.2</v>
      </c>
      <c r="H3572" s="15">
        <f>Tabla1[[#This Row],[Importe]]-Tabla1[[#This Row],[Pagado]]</f>
        <v>0</v>
      </c>
      <c r="I3572" s="275" t="s">
        <v>15214</v>
      </c>
    </row>
    <row r="3573" spans="1:9" x14ac:dyDescent="0.25">
      <c r="A3573" s="16">
        <v>42945</v>
      </c>
      <c r="B3573" s="273" t="s">
        <v>23502</v>
      </c>
      <c r="C3573">
        <v>121727</v>
      </c>
      <c r="D3573" s="236" t="s">
        <v>15328</v>
      </c>
      <c r="E3573" s="15">
        <v>251.6</v>
      </c>
      <c r="F3573" s="274">
        <v>42959</v>
      </c>
      <c r="G3573" s="15">
        <v>251.6</v>
      </c>
      <c r="H3573" s="15">
        <f>Tabla1[[#This Row],[Importe]]-Tabla1[[#This Row],[Pagado]]</f>
        <v>0</v>
      </c>
      <c r="I3573" s="275" t="s">
        <v>15214</v>
      </c>
    </row>
    <row r="3574" spans="1:9" x14ac:dyDescent="0.25">
      <c r="A3574" s="16">
        <v>42945</v>
      </c>
      <c r="B3574" s="273" t="s">
        <v>23503</v>
      </c>
      <c r="C3574">
        <v>121728</v>
      </c>
      <c r="D3574" s="236" t="s">
        <v>15307</v>
      </c>
      <c r="E3574" s="15">
        <v>2435.4</v>
      </c>
      <c r="F3574" s="274">
        <v>42945</v>
      </c>
      <c r="G3574" s="15">
        <v>2435.4</v>
      </c>
      <c r="H3574" s="15">
        <f>Tabla1[[#This Row],[Importe]]-Tabla1[[#This Row],[Pagado]]</f>
        <v>0</v>
      </c>
      <c r="I3574" s="275" t="s">
        <v>15214</v>
      </c>
    </row>
    <row r="3575" spans="1:9" x14ac:dyDescent="0.25">
      <c r="A3575" s="16">
        <v>42945</v>
      </c>
      <c r="B3575" s="273" t="s">
        <v>23504</v>
      </c>
      <c r="C3575">
        <v>121729</v>
      </c>
      <c r="D3575" s="236" t="s">
        <v>15782</v>
      </c>
      <c r="E3575" s="15">
        <v>1543.5</v>
      </c>
      <c r="F3575" s="274">
        <v>42945</v>
      </c>
      <c r="G3575" s="15">
        <v>1543.5</v>
      </c>
      <c r="H3575" s="15">
        <f>Tabla1[[#This Row],[Importe]]-Tabla1[[#This Row],[Pagado]]</f>
        <v>0</v>
      </c>
      <c r="I3575" s="275" t="s">
        <v>15214</v>
      </c>
    </row>
    <row r="3576" spans="1:9" x14ac:dyDescent="0.25">
      <c r="A3576" s="16">
        <v>42945</v>
      </c>
      <c r="B3576" s="273" t="s">
        <v>23505</v>
      </c>
      <c r="C3576">
        <v>121730</v>
      </c>
      <c r="D3576" s="236" t="s">
        <v>15417</v>
      </c>
      <c r="E3576" s="15">
        <v>3770</v>
      </c>
      <c r="F3576" s="274">
        <v>42945</v>
      </c>
      <c r="G3576" s="15">
        <v>3770</v>
      </c>
      <c r="H3576" s="15">
        <f>Tabla1[[#This Row],[Importe]]-Tabla1[[#This Row],[Pagado]]</f>
        <v>0</v>
      </c>
      <c r="I3576" s="275" t="s">
        <v>15214</v>
      </c>
    </row>
    <row r="3577" spans="1:9" x14ac:dyDescent="0.25">
      <c r="A3577" s="16">
        <v>42945</v>
      </c>
      <c r="B3577" s="273" t="s">
        <v>23506</v>
      </c>
      <c r="C3577">
        <v>121731</v>
      </c>
      <c r="D3577" s="236" t="s">
        <v>15291</v>
      </c>
      <c r="E3577" s="15">
        <v>765</v>
      </c>
      <c r="F3577" s="274">
        <v>42945</v>
      </c>
      <c r="G3577" s="15">
        <v>765</v>
      </c>
      <c r="H3577" s="15">
        <f>Tabla1[[#This Row],[Importe]]-Tabla1[[#This Row],[Pagado]]</f>
        <v>0</v>
      </c>
      <c r="I3577" s="275" t="s">
        <v>15214</v>
      </c>
    </row>
    <row r="3578" spans="1:9" ht="15.75" x14ac:dyDescent="0.25">
      <c r="A3578" s="16">
        <v>42945</v>
      </c>
      <c r="B3578" s="273" t="s">
        <v>23507</v>
      </c>
      <c r="C3578">
        <v>121732</v>
      </c>
      <c r="D3578" s="248" t="s">
        <v>95</v>
      </c>
      <c r="E3578" s="15">
        <v>0</v>
      </c>
      <c r="F3578" s="277" t="s">
        <v>95</v>
      </c>
      <c r="G3578" s="15">
        <v>0</v>
      </c>
      <c r="H3578" s="15">
        <f>Tabla1[[#This Row],[Importe]]-Tabla1[[#This Row],[Pagado]]</f>
        <v>0</v>
      </c>
      <c r="I3578" s="275" t="s">
        <v>95</v>
      </c>
    </row>
    <row r="3579" spans="1:9" x14ac:dyDescent="0.25">
      <c r="A3579" s="16">
        <v>42945</v>
      </c>
      <c r="B3579" s="273" t="s">
        <v>23508</v>
      </c>
      <c r="C3579">
        <v>121733</v>
      </c>
      <c r="D3579" s="236" t="s">
        <v>17800</v>
      </c>
      <c r="E3579" s="15">
        <v>4963.2</v>
      </c>
      <c r="F3579" s="274">
        <v>42945</v>
      </c>
      <c r="G3579" s="15">
        <v>4963.2</v>
      </c>
      <c r="H3579" s="15">
        <f>Tabla1[[#This Row],[Importe]]-Tabla1[[#This Row],[Pagado]]</f>
        <v>0</v>
      </c>
      <c r="I3579" s="275" t="s">
        <v>15214</v>
      </c>
    </row>
    <row r="3580" spans="1:9" x14ac:dyDescent="0.25">
      <c r="A3580" s="16">
        <v>42945</v>
      </c>
      <c r="B3580" s="273" t="s">
        <v>23509</v>
      </c>
      <c r="C3580">
        <v>121734</v>
      </c>
      <c r="D3580" s="236" t="s">
        <v>15415</v>
      </c>
      <c r="E3580" s="15">
        <v>1399.2</v>
      </c>
      <c r="F3580" s="274">
        <v>42951</v>
      </c>
      <c r="G3580" s="15">
        <v>1399.2</v>
      </c>
      <c r="H3580" s="15">
        <f>Tabla1[[#This Row],[Importe]]-Tabla1[[#This Row],[Pagado]]</f>
        <v>0</v>
      </c>
      <c r="I3580" s="275" t="s">
        <v>15214</v>
      </c>
    </row>
    <row r="3581" spans="1:9" x14ac:dyDescent="0.25">
      <c r="A3581" s="16">
        <v>42945</v>
      </c>
      <c r="B3581" s="273" t="s">
        <v>23510</v>
      </c>
      <c r="C3581">
        <v>121735</v>
      </c>
      <c r="D3581" s="236" t="s">
        <v>15301</v>
      </c>
      <c r="E3581" s="15">
        <v>4096.7</v>
      </c>
      <c r="F3581" s="274">
        <v>42945</v>
      </c>
      <c r="G3581" s="15">
        <v>4096.7</v>
      </c>
      <c r="H3581" s="15">
        <f>Tabla1[[#This Row],[Importe]]-Tabla1[[#This Row],[Pagado]]</f>
        <v>0</v>
      </c>
      <c r="I3581" s="275" t="s">
        <v>15214</v>
      </c>
    </row>
    <row r="3582" spans="1:9" x14ac:dyDescent="0.25">
      <c r="A3582" s="16">
        <v>42945</v>
      </c>
      <c r="B3582" s="273" t="s">
        <v>23511</v>
      </c>
      <c r="C3582">
        <v>121736</v>
      </c>
      <c r="D3582" s="236" t="s">
        <v>15276</v>
      </c>
      <c r="E3582" s="15">
        <v>6120</v>
      </c>
      <c r="F3582" s="274">
        <v>42945</v>
      </c>
      <c r="G3582" s="15">
        <v>6120</v>
      </c>
      <c r="H3582" s="15">
        <f>Tabla1[[#This Row],[Importe]]-Tabla1[[#This Row],[Pagado]]</f>
        <v>0</v>
      </c>
      <c r="I3582" s="275" t="s">
        <v>15214</v>
      </c>
    </row>
    <row r="3583" spans="1:9" x14ac:dyDescent="0.25">
      <c r="A3583" s="16">
        <v>42945</v>
      </c>
      <c r="B3583" s="273" t="s">
        <v>23512</v>
      </c>
      <c r="C3583">
        <v>121737</v>
      </c>
      <c r="D3583" s="236" t="s">
        <v>15303</v>
      </c>
      <c r="E3583" s="15">
        <v>3100.3</v>
      </c>
      <c r="F3583" s="274">
        <v>42945</v>
      </c>
      <c r="G3583" s="15">
        <v>3100.3</v>
      </c>
      <c r="H3583" s="15">
        <f>Tabla1[[#This Row],[Importe]]-Tabla1[[#This Row],[Pagado]]</f>
        <v>0</v>
      </c>
      <c r="I3583" s="275" t="s">
        <v>15214</v>
      </c>
    </row>
    <row r="3584" spans="1:9" x14ac:dyDescent="0.25">
      <c r="A3584" s="16">
        <v>42945</v>
      </c>
      <c r="B3584" s="273" t="s">
        <v>23513</v>
      </c>
      <c r="C3584">
        <v>121738</v>
      </c>
      <c r="D3584" s="236" t="s">
        <v>15309</v>
      </c>
      <c r="E3584" s="15">
        <v>5081.1000000000004</v>
      </c>
      <c r="F3584" s="274">
        <v>42945</v>
      </c>
      <c r="G3584" s="15">
        <v>5081.1000000000004</v>
      </c>
      <c r="H3584" s="15">
        <f>Tabla1[[#This Row],[Importe]]-Tabla1[[#This Row],[Pagado]]</f>
        <v>0</v>
      </c>
      <c r="I3584" s="275" t="s">
        <v>15214</v>
      </c>
    </row>
    <row r="3585" spans="1:9" x14ac:dyDescent="0.25">
      <c r="A3585" s="16">
        <v>42945</v>
      </c>
      <c r="B3585" s="273" t="s">
        <v>23514</v>
      </c>
      <c r="C3585">
        <v>121739</v>
      </c>
      <c r="D3585" s="236" t="s">
        <v>15267</v>
      </c>
      <c r="E3585" s="15">
        <v>11544</v>
      </c>
      <c r="F3585" s="274">
        <v>42945</v>
      </c>
      <c r="G3585" s="15">
        <v>11544</v>
      </c>
      <c r="H3585" s="15">
        <f>Tabla1[[#This Row],[Importe]]-Tabla1[[#This Row],[Pagado]]</f>
        <v>0</v>
      </c>
      <c r="I3585" s="275" t="s">
        <v>15214</v>
      </c>
    </row>
    <row r="3586" spans="1:9" x14ac:dyDescent="0.25">
      <c r="A3586" s="16">
        <v>42945</v>
      </c>
      <c r="B3586" s="273" t="s">
        <v>23515</v>
      </c>
      <c r="C3586">
        <v>121740</v>
      </c>
      <c r="D3586" s="236" t="s">
        <v>15213</v>
      </c>
      <c r="E3586" s="15">
        <v>7535.8</v>
      </c>
      <c r="F3586" s="274">
        <v>42947</v>
      </c>
      <c r="G3586" s="15">
        <v>7535.8</v>
      </c>
      <c r="H3586" s="15">
        <f>Tabla1[[#This Row],[Importe]]-Tabla1[[#This Row],[Pagado]]</f>
        <v>0</v>
      </c>
      <c r="I3586" s="275" t="s">
        <v>15214</v>
      </c>
    </row>
    <row r="3587" spans="1:9" x14ac:dyDescent="0.25">
      <c r="A3587" s="16">
        <v>42945</v>
      </c>
      <c r="B3587" s="273" t="s">
        <v>23516</v>
      </c>
      <c r="C3587">
        <v>121741</v>
      </c>
      <c r="D3587" s="236" t="s">
        <v>15298</v>
      </c>
      <c r="E3587" s="15">
        <v>57.6</v>
      </c>
      <c r="F3587" s="274">
        <v>42945</v>
      </c>
      <c r="G3587" s="15">
        <v>57.6</v>
      </c>
      <c r="H3587" s="15">
        <f>Tabla1[[#This Row],[Importe]]-Tabla1[[#This Row],[Pagado]]</f>
        <v>0</v>
      </c>
      <c r="I3587" s="275" t="s">
        <v>15214</v>
      </c>
    </row>
    <row r="3588" spans="1:9" x14ac:dyDescent="0.25">
      <c r="A3588" s="16">
        <v>42945</v>
      </c>
      <c r="B3588" s="273" t="s">
        <v>23517</v>
      </c>
      <c r="C3588">
        <v>121742</v>
      </c>
      <c r="D3588" s="236" t="s">
        <v>15624</v>
      </c>
      <c r="E3588" s="15">
        <v>33864.74</v>
      </c>
      <c r="F3588" s="274">
        <v>42947</v>
      </c>
      <c r="G3588" s="15">
        <v>33864.74</v>
      </c>
      <c r="H3588" s="15">
        <f>Tabla1[[#This Row],[Importe]]-Tabla1[[#This Row],[Pagado]]</f>
        <v>0</v>
      </c>
      <c r="I3588" s="275" t="s">
        <v>15214</v>
      </c>
    </row>
    <row r="3589" spans="1:9" x14ac:dyDescent="0.25">
      <c r="A3589" s="16">
        <v>42945</v>
      </c>
      <c r="B3589" s="273" t="s">
        <v>23518</v>
      </c>
      <c r="C3589">
        <v>121743</v>
      </c>
      <c r="D3589" s="236" t="s">
        <v>17595</v>
      </c>
      <c r="E3589" s="15">
        <v>12534.8</v>
      </c>
      <c r="F3589" s="274">
        <v>42945</v>
      </c>
      <c r="G3589" s="15">
        <v>12534.8</v>
      </c>
      <c r="H3589" s="15">
        <f>Tabla1[[#This Row],[Importe]]-Tabla1[[#This Row],[Pagado]]</f>
        <v>0</v>
      </c>
      <c r="I3589" s="275" t="s">
        <v>15214</v>
      </c>
    </row>
    <row r="3590" spans="1:9" x14ac:dyDescent="0.25">
      <c r="A3590" s="16">
        <v>42945</v>
      </c>
      <c r="B3590" s="273" t="s">
        <v>23519</v>
      </c>
      <c r="C3590">
        <v>121744</v>
      </c>
      <c r="D3590" s="236" t="s">
        <v>15317</v>
      </c>
      <c r="E3590" s="15">
        <v>890.4</v>
      </c>
      <c r="F3590" s="274">
        <v>42947</v>
      </c>
      <c r="G3590" s="15">
        <v>890.4</v>
      </c>
      <c r="H3590" s="15">
        <f>Tabla1[[#This Row],[Importe]]-Tabla1[[#This Row],[Pagado]]</f>
        <v>0</v>
      </c>
      <c r="I3590" s="275" t="s">
        <v>15214</v>
      </c>
    </row>
    <row r="3591" spans="1:9" x14ac:dyDescent="0.25">
      <c r="A3591" s="16">
        <v>42945</v>
      </c>
      <c r="B3591" s="273" t="s">
        <v>23520</v>
      </c>
      <c r="C3591">
        <v>121745</v>
      </c>
      <c r="D3591" s="236" t="s">
        <v>15311</v>
      </c>
      <c r="E3591" s="15">
        <v>1491.24</v>
      </c>
      <c r="F3591" s="274">
        <v>42945</v>
      </c>
      <c r="G3591" s="15">
        <v>1491.24</v>
      </c>
      <c r="H3591" s="15">
        <f>Tabla1[[#This Row],[Importe]]-Tabla1[[#This Row],[Pagado]]</f>
        <v>0</v>
      </c>
      <c r="I3591" s="275" t="s">
        <v>15214</v>
      </c>
    </row>
    <row r="3592" spans="1:9" x14ac:dyDescent="0.25">
      <c r="A3592" s="16">
        <v>42945</v>
      </c>
      <c r="B3592" s="273" t="s">
        <v>23521</v>
      </c>
      <c r="C3592">
        <v>121746</v>
      </c>
      <c r="D3592" s="236" t="s">
        <v>15566</v>
      </c>
      <c r="E3592" s="15">
        <v>3326</v>
      </c>
      <c r="F3592" s="274">
        <v>42945</v>
      </c>
      <c r="G3592" s="15">
        <v>3326</v>
      </c>
      <c r="H3592" s="15">
        <f>Tabla1[[#This Row],[Importe]]-Tabla1[[#This Row],[Pagado]]</f>
        <v>0</v>
      </c>
      <c r="I3592" s="275" t="s">
        <v>15214</v>
      </c>
    </row>
    <row r="3593" spans="1:9" x14ac:dyDescent="0.25">
      <c r="A3593" s="16">
        <v>42945</v>
      </c>
      <c r="B3593" s="273" t="s">
        <v>23522</v>
      </c>
      <c r="C3593">
        <v>121747</v>
      </c>
      <c r="D3593" s="236" t="s">
        <v>15272</v>
      </c>
      <c r="E3593" s="15">
        <v>2892</v>
      </c>
      <c r="F3593" s="274">
        <v>42945</v>
      </c>
      <c r="G3593" s="15">
        <v>2892</v>
      </c>
      <c r="H3593" s="15">
        <f>Tabla1[[#This Row],[Importe]]-Tabla1[[#This Row],[Pagado]]</f>
        <v>0</v>
      </c>
      <c r="I3593" s="275" t="s">
        <v>15214</v>
      </c>
    </row>
    <row r="3594" spans="1:9" x14ac:dyDescent="0.25">
      <c r="A3594" s="16">
        <v>42945</v>
      </c>
      <c r="B3594" s="273" t="s">
        <v>23523</v>
      </c>
      <c r="C3594">
        <v>121748</v>
      </c>
      <c r="D3594" s="236" t="s">
        <v>15391</v>
      </c>
      <c r="E3594" s="15">
        <v>13456</v>
      </c>
      <c r="F3594" s="292">
        <v>42948</v>
      </c>
      <c r="G3594" s="15">
        <v>13456</v>
      </c>
      <c r="H3594" s="15">
        <f>Tabla1[[#This Row],[Importe]]-Tabla1[[#This Row],[Pagado]]</f>
        <v>0</v>
      </c>
      <c r="I3594" s="275" t="s">
        <v>15214</v>
      </c>
    </row>
    <row r="3595" spans="1:9" x14ac:dyDescent="0.25">
      <c r="A3595" s="16">
        <v>42945</v>
      </c>
      <c r="B3595" s="273" t="s">
        <v>23524</v>
      </c>
      <c r="C3595">
        <v>121749</v>
      </c>
      <c r="D3595" s="236" t="s">
        <v>21445</v>
      </c>
      <c r="E3595" s="15">
        <v>2223.6</v>
      </c>
      <c r="F3595" s="274">
        <v>42946</v>
      </c>
      <c r="G3595" s="15">
        <v>2223.6</v>
      </c>
      <c r="H3595" s="15">
        <f>Tabla1[[#This Row],[Importe]]-Tabla1[[#This Row],[Pagado]]</f>
        <v>0</v>
      </c>
      <c r="I3595" s="275" t="s">
        <v>15214</v>
      </c>
    </row>
    <row r="3596" spans="1:9" x14ac:dyDescent="0.25">
      <c r="A3596" s="16">
        <v>42945</v>
      </c>
      <c r="B3596" s="273" t="s">
        <v>23525</v>
      </c>
      <c r="C3596">
        <v>121750</v>
      </c>
      <c r="D3596" s="236" t="s">
        <v>19768</v>
      </c>
      <c r="E3596" s="15">
        <v>3570</v>
      </c>
      <c r="F3596" s="274">
        <v>42945</v>
      </c>
      <c r="G3596" s="15">
        <v>3570</v>
      </c>
      <c r="H3596" s="15">
        <f>Tabla1[[#This Row],[Importe]]-Tabla1[[#This Row],[Pagado]]</f>
        <v>0</v>
      </c>
      <c r="I3596" s="275" t="s">
        <v>15214</v>
      </c>
    </row>
    <row r="3597" spans="1:9" x14ac:dyDescent="0.25">
      <c r="A3597" s="16">
        <v>42945</v>
      </c>
      <c r="B3597" s="273" t="s">
        <v>23526</v>
      </c>
      <c r="C3597">
        <v>121751</v>
      </c>
      <c r="D3597" s="236" t="s">
        <v>15725</v>
      </c>
      <c r="E3597" s="15">
        <v>28307.4</v>
      </c>
      <c r="F3597" s="274">
        <v>42946</v>
      </c>
      <c r="G3597" s="15">
        <v>28307.4</v>
      </c>
      <c r="H3597" s="15">
        <f>Tabla1[[#This Row],[Importe]]-Tabla1[[#This Row],[Pagado]]</f>
        <v>0</v>
      </c>
      <c r="I3597" s="275" t="s">
        <v>15214</v>
      </c>
    </row>
    <row r="3598" spans="1:9" ht="30" x14ac:dyDescent="0.25">
      <c r="A3598" s="16">
        <v>42945</v>
      </c>
      <c r="B3598" s="273" t="s">
        <v>23527</v>
      </c>
      <c r="C3598">
        <v>121752</v>
      </c>
      <c r="D3598" s="236" t="s">
        <v>15246</v>
      </c>
      <c r="E3598" s="15">
        <v>141885.20000000001</v>
      </c>
      <c r="F3598" s="294" t="s">
        <v>23759</v>
      </c>
      <c r="G3598" s="241">
        <f>131553.92+10331.28</f>
        <v>141885.20000000001</v>
      </c>
      <c r="H3598" s="241">
        <f>Tabla1[[#This Row],[Importe]]-Tabla1[[#This Row],[Pagado]]</f>
        <v>0</v>
      </c>
      <c r="I3598" s="275" t="s">
        <v>15214</v>
      </c>
    </row>
    <row r="3599" spans="1:9" x14ac:dyDescent="0.25">
      <c r="A3599" s="16">
        <v>42945</v>
      </c>
      <c r="B3599" s="273" t="s">
        <v>23528</v>
      </c>
      <c r="C3599">
        <v>121753</v>
      </c>
      <c r="D3599" s="236" t="s">
        <v>16383</v>
      </c>
      <c r="E3599" s="15">
        <v>10282.799999999999</v>
      </c>
      <c r="F3599" s="274">
        <v>42945</v>
      </c>
      <c r="G3599" s="15">
        <v>10282.799999999999</v>
      </c>
      <c r="H3599" s="15">
        <f>Tabla1[[#This Row],[Importe]]-Tabla1[[#This Row],[Pagado]]</f>
        <v>0</v>
      </c>
      <c r="I3599" s="275" t="s">
        <v>15214</v>
      </c>
    </row>
    <row r="3600" spans="1:9" x14ac:dyDescent="0.25">
      <c r="A3600" s="16">
        <v>42945</v>
      </c>
      <c r="B3600" s="273" t="s">
        <v>23529</v>
      </c>
      <c r="C3600">
        <v>121754</v>
      </c>
      <c r="D3600" s="236" t="s">
        <v>15361</v>
      </c>
      <c r="E3600" s="15">
        <v>6032</v>
      </c>
      <c r="F3600" s="274">
        <v>42946</v>
      </c>
      <c r="G3600" s="15">
        <v>6032</v>
      </c>
      <c r="H3600" s="15">
        <f>Tabla1[[#This Row],[Importe]]-Tabla1[[#This Row],[Pagado]]</f>
        <v>0</v>
      </c>
      <c r="I3600" s="275" t="s">
        <v>15214</v>
      </c>
    </row>
    <row r="3601" spans="1:9" x14ac:dyDescent="0.25">
      <c r="A3601" s="16">
        <v>42945</v>
      </c>
      <c r="B3601" s="273" t="s">
        <v>23530</v>
      </c>
      <c r="C3601">
        <v>121755</v>
      </c>
      <c r="D3601" s="236" t="s">
        <v>15246</v>
      </c>
      <c r="E3601" s="15">
        <v>1444</v>
      </c>
      <c r="F3601" s="274">
        <v>42950</v>
      </c>
      <c r="G3601" s="15">
        <v>1444</v>
      </c>
      <c r="H3601" s="15">
        <f>Tabla1[[#This Row],[Importe]]-Tabla1[[#This Row],[Pagado]]</f>
        <v>0</v>
      </c>
      <c r="I3601" s="275" t="s">
        <v>15214</v>
      </c>
    </row>
    <row r="3602" spans="1:9" x14ac:dyDescent="0.25">
      <c r="A3602" s="16">
        <v>42945</v>
      </c>
      <c r="B3602" s="273" t="s">
        <v>23531</v>
      </c>
      <c r="C3602">
        <v>121756</v>
      </c>
      <c r="D3602" s="236" t="s">
        <v>15363</v>
      </c>
      <c r="E3602" s="15">
        <v>1807.6</v>
      </c>
      <c r="F3602" s="274">
        <v>42946</v>
      </c>
      <c r="G3602" s="15">
        <v>1807.6</v>
      </c>
      <c r="H3602" s="15">
        <f>Tabla1[[#This Row],[Importe]]-Tabla1[[#This Row],[Pagado]]</f>
        <v>0</v>
      </c>
      <c r="I3602" s="275" t="s">
        <v>15214</v>
      </c>
    </row>
    <row r="3603" spans="1:9" x14ac:dyDescent="0.25">
      <c r="A3603" s="16">
        <v>42945</v>
      </c>
      <c r="B3603" s="273" t="s">
        <v>23532</v>
      </c>
      <c r="C3603">
        <v>121757</v>
      </c>
      <c r="D3603" s="236" t="s">
        <v>15398</v>
      </c>
      <c r="E3603" s="15">
        <v>3157.5</v>
      </c>
      <c r="F3603" s="274">
        <v>42945</v>
      </c>
      <c r="G3603" s="15">
        <v>3157.5</v>
      </c>
      <c r="H3603" s="15">
        <f>Tabla1[[#This Row],[Importe]]-Tabla1[[#This Row],[Pagado]]</f>
        <v>0</v>
      </c>
      <c r="I3603" s="275" t="s">
        <v>15214</v>
      </c>
    </row>
    <row r="3604" spans="1:9" x14ac:dyDescent="0.25">
      <c r="A3604" s="16">
        <v>42945</v>
      </c>
      <c r="B3604" s="273" t="s">
        <v>23533</v>
      </c>
      <c r="C3604">
        <v>121758</v>
      </c>
      <c r="D3604" s="236" t="s">
        <v>15541</v>
      </c>
      <c r="E3604" s="15">
        <v>3019.4</v>
      </c>
      <c r="F3604" s="274">
        <v>42946</v>
      </c>
      <c r="G3604" s="15">
        <v>3019.4</v>
      </c>
      <c r="H3604" s="15">
        <f>Tabla1[[#This Row],[Importe]]-Tabla1[[#This Row],[Pagado]]</f>
        <v>0</v>
      </c>
      <c r="I3604" s="275" t="s">
        <v>15214</v>
      </c>
    </row>
    <row r="3605" spans="1:9" x14ac:dyDescent="0.25">
      <c r="A3605" s="16">
        <v>42945</v>
      </c>
      <c r="B3605" s="273" t="s">
        <v>23534</v>
      </c>
      <c r="C3605">
        <v>121759</v>
      </c>
      <c r="D3605" s="236" t="s">
        <v>15213</v>
      </c>
      <c r="E3605" s="15">
        <v>11057.7</v>
      </c>
      <c r="F3605" s="274">
        <v>42947</v>
      </c>
      <c r="G3605" s="15">
        <v>11057.7</v>
      </c>
      <c r="H3605" s="15">
        <f>Tabla1[[#This Row],[Importe]]-Tabla1[[#This Row],[Pagado]]</f>
        <v>0</v>
      </c>
      <c r="I3605" s="275" t="s">
        <v>15214</v>
      </c>
    </row>
    <row r="3606" spans="1:9" x14ac:dyDescent="0.25">
      <c r="A3606" s="16">
        <v>42945</v>
      </c>
      <c r="B3606" s="273" t="s">
        <v>23535</v>
      </c>
      <c r="C3606">
        <v>121760</v>
      </c>
      <c r="D3606" s="236" t="s">
        <v>15246</v>
      </c>
      <c r="E3606" s="15">
        <v>74036.94</v>
      </c>
      <c r="F3606" s="274">
        <v>42950</v>
      </c>
      <c r="G3606" s="15">
        <v>74036.94</v>
      </c>
      <c r="H3606" s="15">
        <f>Tabla1[[#This Row],[Importe]]-Tabla1[[#This Row],[Pagado]]</f>
        <v>0</v>
      </c>
      <c r="I3606" s="275" t="s">
        <v>15214</v>
      </c>
    </row>
    <row r="3607" spans="1:9" x14ac:dyDescent="0.25">
      <c r="A3607" s="16">
        <v>42945</v>
      </c>
      <c r="B3607" s="273" t="s">
        <v>23536</v>
      </c>
      <c r="C3607">
        <v>121761</v>
      </c>
      <c r="D3607" s="236" t="s">
        <v>15226</v>
      </c>
      <c r="E3607" s="15">
        <v>518</v>
      </c>
      <c r="F3607" s="292">
        <v>42949</v>
      </c>
      <c r="G3607" s="15">
        <v>518</v>
      </c>
      <c r="H3607" s="15">
        <f>Tabla1[[#This Row],[Importe]]-Tabla1[[#This Row],[Pagado]]</f>
        <v>0</v>
      </c>
      <c r="I3607" s="275" t="s">
        <v>15214</v>
      </c>
    </row>
    <row r="3608" spans="1:9" x14ac:dyDescent="0.25">
      <c r="A3608" s="16">
        <v>42945</v>
      </c>
      <c r="B3608" s="273" t="s">
        <v>23537</v>
      </c>
      <c r="C3608">
        <v>121762</v>
      </c>
      <c r="D3608" s="236" t="s">
        <v>15912</v>
      </c>
      <c r="E3608" s="15">
        <v>2753.4</v>
      </c>
      <c r="F3608" s="274">
        <v>42946</v>
      </c>
      <c r="G3608" s="15">
        <v>2753.4</v>
      </c>
      <c r="H3608" s="15">
        <f>Tabla1[[#This Row],[Importe]]-Tabla1[[#This Row],[Pagado]]</f>
        <v>0</v>
      </c>
      <c r="I3608" s="275" t="s">
        <v>15214</v>
      </c>
    </row>
    <row r="3609" spans="1:9" ht="15.75" x14ac:dyDescent="0.25">
      <c r="A3609" s="16">
        <v>42945</v>
      </c>
      <c r="B3609" s="273" t="s">
        <v>23538</v>
      </c>
      <c r="C3609">
        <v>121763</v>
      </c>
      <c r="D3609" s="248" t="s">
        <v>95</v>
      </c>
      <c r="E3609" s="15">
        <v>0</v>
      </c>
      <c r="F3609" s="277" t="s">
        <v>95</v>
      </c>
      <c r="G3609" s="15">
        <v>0</v>
      </c>
      <c r="H3609" s="15">
        <f>Tabla1[[#This Row],[Importe]]-Tabla1[[#This Row],[Pagado]]</f>
        <v>0</v>
      </c>
      <c r="I3609" s="275" t="s">
        <v>95</v>
      </c>
    </row>
    <row r="3610" spans="1:9" x14ac:dyDescent="0.25">
      <c r="A3610" s="16">
        <v>42945</v>
      </c>
      <c r="B3610" s="273" t="s">
        <v>23539</v>
      </c>
      <c r="C3610">
        <v>121764</v>
      </c>
      <c r="D3610" s="236" t="s">
        <v>15537</v>
      </c>
      <c r="E3610" s="15">
        <v>12530</v>
      </c>
      <c r="F3610" s="274">
        <v>42951</v>
      </c>
      <c r="G3610" s="15">
        <v>12530</v>
      </c>
      <c r="H3610" s="15">
        <f>Tabla1[[#This Row],[Importe]]-Tabla1[[#This Row],[Pagado]]</f>
        <v>0</v>
      </c>
      <c r="I3610" s="275" t="s">
        <v>15214</v>
      </c>
    </row>
    <row r="3611" spans="1:9" x14ac:dyDescent="0.25">
      <c r="A3611" s="16">
        <v>42945</v>
      </c>
      <c r="B3611" s="273" t="s">
        <v>23540</v>
      </c>
      <c r="C3611">
        <v>121765</v>
      </c>
      <c r="D3611" s="236" t="s">
        <v>15315</v>
      </c>
      <c r="E3611" s="15">
        <v>386.9</v>
      </c>
      <c r="F3611" s="274">
        <v>42945</v>
      </c>
      <c r="G3611" s="15">
        <v>386.9</v>
      </c>
      <c r="H3611" s="15">
        <f>Tabla1[[#This Row],[Importe]]-Tabla1[[#This Row],[Pagado]]</f>
        <v>0</v>
      </c>
      <c r="I3611" s="275" t="s">
        <v>15214</v>
      </c>
    </row>
    <row r="3612" spans="1:9" x14ac:dyDescent="0.25">
      <c r="A3612" s="16">
        <v>42945</v>
      </c>
      <c r="B3612" s="273" t="s">
        <v>23541</v>
      </c>
      <c r="C3612">
        <v>121766</v>
      </c>
      <c r="D3612" s="236" t="s">
        <v>16313</v>
      </c>
      <c r="E3612" s="15">
        <v>3949.2</v>
      </c>
      <c r="F3612" s="274">
        <v>42947</v>
      </c>
      <c r="G3612" s="15">
        <v>3949.2</v>
      </c>
      <c r="H3612" s="15">
        <f>Tabla1[[#This Row],[Importe]]-Tabla1[[#This Row],[Pagado]]</f>
        <v>0</v>
      </c>
      <c r="I3612" s="275" t="s">
        <v>15214</v>
      </c>
    </row>
    <row r="3613" spans="1:9" x14ac:dyDescent="0.25">
      <c r="A3613" s="16">
        <v>42945</v>
      </c>
      <c r="B3613" s="273" t="s">
        <v>23542</v>
      </c>
      <c r="C3613">
        <v>121767</v>
      </c>
      <c r="D3613" s="236" t="s">
        <v>15789</v>
      </c>
      <c r="E3613" s="15">
        <v>28501.3</v>
      </c>
      <c r="F3613" s="274">
        <v>42952</v>
      </c>
      <c r="G3613" s="15">
        <v>28501.3</v>
      </c>
      <c r="H3613" s="15">
        <f>Tabla1[[#This Row],[Importe]]-Tabla1[[#This Row],[Pagado]]</f>
        <v>0</v>
      </c>
      <c r="I3613" s="275" t="s">
        <v>15214</v>
      </c>
    </row>
    <row r="3614" spans="1:9" ht="15.75" x14ac:dyDescent="0.25">
      <c r="A3614" s="16">
        <v>42945</v>
      </c>
      <c r="B3614" s="273" t="s">
        <v>23543</v>
      </c>
      <c r="C3614">
        <v>121768</v>
      </c>
      <c r="D3614" s="248" t="s">
        <v>95</v>
      </c>
      <c r="E3614" s="15">
        <v>0</v>
      </c>
      <c r="F3614" s="277" t="s">
        <v>95</v>
      </c>
      <c r="G3614" s="15">
        <v>0</v>
      </c>
      <c r="H3614" s="15">
        <f>Tabla1[[#This Row],[Importe]]-Tabla1[[#This Row],[Pagado]]</f>
        <v>0</v>
      </c>
      <c r="I3614" s="275" t="s">
        <v>95</v>
      </c>
    </row>
    <row r="3615" spans="1:9" x14ac:dyDescent="0.25">
      <c r="A3615" s="16">
        <v>42945</v>
      </c>
      <c r="B3615" s="273" t="s">
        <v>23544</v>
      </c>
      <c r="C3615">
        <v>121769</v>
      </c>
      <c r="D3615" s="236" t="s">
        <v>15365</v>
      </c>
      <c r="E3615" s="15">
        <v>463104</v>
      </c>
      <c r="F3615" s="274">
        <v>42952</v>
      </c>
      <c r="G3615" s="15">
        <v>463104</v>
      </c>
      <c r="H3615" s="15">
        <f>Tabla1[[#This Row],[Importe]]-Tabla1[[#This Row],[Pagado]]</f>
        <v>0</v>
      </c>
      <c r="I3615" s="275" t="s">
        <v>15214</v>
      </c>
    </row>
    <row r="3616" spans="1:9" x14ac:dyDescent="0.25">
      <c r="A3616" s="16">
        <v>42945</v>
      </c>
      <c r="B3616" s="273" t="s">
        <v>23545</v>
      </c>
      <c r="C3616">
        <v>121770</v>
      </c>
      <c r="D3616" s="236" t="s">
        <v>15250</v>
      </c>
      <c r="E3616" s="15">
        <v>37481.32</v>
      </c>
      <c r="F3616" s="274">
        <v>42961</v>
      </c>
      <c r="G3616" s="15">
        <v>37481.32</v>
      </c>
      <c r="H3616" s="15">
        <f>Tabla1[[#This Row],[Importe]]-Tabla1[[#This Row],[Pagado]]</f>
        <v>0</v>
      </c>
      <c r="I3616" s="275" t="s">
        <v>15214</v>
      </c>
    </row>
    <row r="3617" spans="1:9" x14ac:dyDescent="0.25">
      <c r="A3617" s="16">
        <v>42945</v>
      </c>
      <c r="B3617" s="273" t="s">
        <v>23546</v>
      </c>
      <c r="C3617">
        <v>121771</v>
      </c>
      <c r="D3617" s="236" t="s">
        <v>15810</v>
      </c>
      <c r="E3617" s="15">
        <v>496.1</v>
      </c>
      <c r="F3617" s="274">
        <v>42945</v>
      </c>
      <c r="G3617" s="15">
        <v>496.1</v>
      </c>
      <c r="H3617" s="15">
        <f>Tabla1[[#This Row],[Importe]]-Tabla1[[#This Row],[Pagado]]</f>
        <v>0</v>
      </c>
      <c r="I3617" s="275" t="s">
        <v>15214</v>
      </c>
    </row>
    <row r="3618" spans="1:9" x14ac:dyDescent="0.25">
      <c r="A3618" s="16">
        <v>42945</v>
      </c>
      <c r="B3618" s="273" t="s">
        <v>23547</v>
      </c>
      <c r="C3618">
        <v>121772</v>
      </c>
      <c r="D3618" s="236" t="s">
        <v>15322</v>
      </c>
      <c r="E3618" s="15">
        <v>4224</v>
      </c>
      <c r="F3618" s="292">
        <v>42948</v>
      </c>
      <c r="G3618" s="15">
        <v>4224</v>
      </c>
      <c r="H3618" s="15">
        <f>Tabla1[[#This Row],[Importe]]-Tabla1[[#This Row],[Pagado]]</f>
        <v>0</v>
      </c>
      <c r="I3618" s="275" t="s">
        <v>15214</v>
      </c>
    </row>
    <row r="3619" spans="1:9" x14ac:dyDescent="0.25">
      <c r="A3619" s="16">
        <v>42945</v>
      </c>
      <c r="B3619" s="273" t="s">
        <v>23548</v>
      </c>
      <c r="C3619">
        <v>121773</v>
      </c>
      <c r="D3619" s="236" t="s">
        <v>15246</v>
      </c>
      <c r="E3619" s="15">
        <v>163931.12</v>
      </c>
      <c r="F3619" s="274">
        <v>42950</v>
      </c>
      <c r="G3619" s="15">
        <v>163931.12</v>
      </c>
      <c r="H3619" s="15">
        <f>Tabla1[[#This Row],[Importe]]-Tabla1[[#This Row],[Pagado]]</f>
        <v>0</v>
      </c>
      <c r="I3619" s="275" t="s">
        <v>15214</v>
      </c>
    </row>
    <row r="3620" spans="1:9" x14ac:dyDescent="0.25">
      <c r="A3620" s="16">
        <v>42945</v>
      </c>
      <c r="B3620" s="273" t="s">
        <v>23549</v>
      </c>
      <c r="C3620">
        <v>121774</v>
      </c>
      <c r="D3620" s="236" t="s">
        <v>15246</v>
      </c>
      <c r="E3620" s="15">
        <v>108580.76</v>
      </c>
      <c r="F3620" s="274">
        <v>42950</v>
      </c>
      <c r="G3620" s="15">
        <v>108580.76</v>
      </c>
      <c r="H3620" s="15">
        <f>Tabla1[[#This Row],[Importe]]-Tabla1[[#This Row],[Pagado]]</f>
        <v>0</v>
      </c>
      <c r="I3620" s="275" t="s">
        <v>15214</v>
      </c>
    </row>
    <row r="3621" spans="1:9" x14ac:dyDescent="0.25">
      <c r="A3621" s="16">
        <v>42945</v>
      </c>
      <c r="B3621" s="273" t="s">
        <v>23550</v>
      </c>
      <c r="C3621">
        <v>121775</v>
      </c>
      <c r="D3621" s="236" t="s">
        <v>15681</v>
      </c>
      <c r="E3621" s="15">
        <v>2184</v>
      </c>
      <c r="F3621" s="274">
        <v>42945</v>
      </c>
      <c r="G3621" s="15">
        <v>2184</v>
      </c>
      <c r="H3621" s="15">
        <f>Tabla1[[#This Row],[Importe]]-Tabla1[[#This Row],[Pagado]]</f>
        <v>0</v>
      </c>
      <c r="I3621" s="275" t="s">
        <v>15214</v>
      </c>
    </row>
    <row r="3622" spans="1:9" x14ac:dyDescent="0.25">
      <c r="A3622" s="16">
        <v>42945</v>
      </c>
      <c r="B3622" s="273" t="s">
        <v>23551</v>
      </c>
      <c r="C3622">
        <v>121776</v>
      </c>
      <c r="D3622" s="236" t="s">
        <v>15644</v>
      </c>
      <c r="E3622" s="15">
        <v>3042.2</v>
      </c>
      <c r="F3622" s="292">
        <v>42965</v>
      </c>
      <c r="G3622" s="15">
        <v>3042.2</v>
      </c>
      <c r="H3622" s="15">
        <f>Tabla1[[#This Row],[Importe]]-Tabla1[[#This Row],[Pagado]]</f>
        <v>0</v>
      </c>
      <c r="I3622" s="275" t="s">
        <v>15214</v>
      </c>
    </row>
    <row r="3623" spans="1:9" x14ac:dyDescent="0.25">
      <c r="A3623" s="16">
        <v>42945</v>
      </c>
      <c r="B3623" s="273" t="s">
        <v>23552</v>
      </c>
      <c r="C3623">
        <v>121777</v>
      </c>
      <c r="D3623" s="236" t="s">
        <v>16126</v>
      </c>
      <c r="E3623" s="15">
        <v>984</v>
      </c>
      <c r="F3623" s="274">
        <v>42945</v>
      </c>
      <c r="G3623" s="15">
        <v>984</v>
      </c>
      <c r="H3623" s="15">
        <f>Tabla1[[#This Row],[Importe]]-Tabla1[[#This Row],[Pagado]]</f>
        <v>0</v>
      </c>
      <c r="I3623" s="275" t="s">
        <v>15214</v>
      </c>
    </row>
    <row r="3624" spans="1:9" x14ac:dyDescent="0.25">
      <c r="A3624" s="16">
        <v>42945</v>
      </c>
      <c r="B3624" s="273" t="s">
        <v>23553</v>
      </c>
      <c r="C3624">
        <v>121778</v>
      </c>
      <c r="D3624" s="236" t="s">
        <v>15315</v>
      </c>
      <c r="E3624" s="15">
        <v>276</v>
      </c>
      <c r="F3624" s="274">
        <v>42945</v>
      </c>
      <c r="G3624" s="15">
        <v>276</v>
      </c>
      <c r="H3624" s="15">
        <f>Tabla1[[#This Row],[Importe]]-Tabla1[[#This Row],[Pagado]]</f>
        <v>0</v>
      </c>
      <c r="I3624" s="275" t="s">
        <v>15214</v>
      </c>
    </row>
    <row r="3625" spans="1:9" x14ac:dyDescent="0.25">
      <c r="A3625" s="16">
        <v>42946</v>
      </c>
      <c r="B3625" s="273" t="s">
        <v>23554</v>
      </c>
      <c r="C3625">
        <v>121779</v>
      </c>
      <c r="D3625" s="236" t="s">
        <v>15220</v>
      </c>
      <c r="E3625" s="15">
        <v>5610</v>
      </c>
      <c r="F3625" s="274">
        <v>42946</v>
      </c>
      <c r="G3625" s="15">
        <v>5610</v>
      </c>
      <c r="H3625" s="15">
        <f>Tabla1[[#This Row],[Importe]]-Tabla1[[#This Row],[Pagado]]</f>
        <v>0</v>
      </c>
      <c r="I3625" s="275" t="s">
        <v>15214</v>
      </c>
    </row>
    <row r="3626" spans="1:9" x14ac:dyDescent="0.25">
      <c r="A3626" s="16">
        <v>42946</v>
      </c>
      <c r="B3626" s="273" t="s">
        <v>23555</v>
      </c>
      <c r="C3626">
        <v>121780</v>
      </c>
      <c r="D3626" s="236" t="s">
        <v>19302</v>
      </c>
      <c r="E3626" s="15">
        <v>1275</v>
      </c>
      <c r="F3626" s="274">
        <v>42946</v>
      </c>
      <c r="G3626" s="15">
        <v>1275</v>
      </c>
      <c r="H3626" s="15">
        <f>Tabla1[[#This Row],[Importe]]-Tabla1[[#This Row],[Pagado]]</f>
        <v>0</v>
      </c>
      <c r="I3626" s="275" t="s">
        <v>15214</v>
      </c>
    </row>
    <row r="3627" spans="1:9" x14ac:dyDescent="0.25">
      <c r="A3627" s="16">
        <v>42946</v>
      </c>
      <c r="B3627" s="273" t="s">
        <v>23556</v>
      </c>
      <c r="C3627">
        <v>121781</v>
      </c>
      <c r="D3627" s="236" t="s">
        <v>21386</v>
      </c>
      <c r="E3627" s="15">
        <v>9235.7999999999993</v>
      </c>
      <c r="F3627" s="292">
        <v>42948</v>
      </c>
      <c r="G3627" s="15">
        <v>9235.7999999999993</v>
      </c>
      <c r="H3627" s="15">
        <f>Tabla1[[#This Row],[Importe]]-Tabla1[[#This Row],[Pagado]]</f>
        <v>0</v>
      </c>
      <c r="I3627" s="275" t="s">
        <v>15214</v>
      </c>
    </row>
    <row r="3628" spans="1:9" x14ac:dyDescent="0.25">
      <c r="A3628" s="16">
        <v>42946</v>
      </c>
      <c r="B3628" s="273" t="s">
        <v>23557</v>
      </c>
      <c r="C3628">
        <v>121782</v>
      </c>
      <c r="D3628" s="236" t="s">
        <v>15213</v>
      </c>
      <c r="E3628" s="15">
        <v>40567.800000000003</v>
      </c>
      <c r="F3628" s="274">
        <v>42947</v>
      </c>
      <c r="G3628" s="15">
        <v>40567.800000000003</v>
      </c>
      <c r="H3628" s="15">
        <f>Tabla1[[#This Row],[Importe]]-Tabla1[[#This Row],[Pagado]]</f>
        <v>0</v>
      </c>
      <c r="I3628" s="275" t="s">
        <v>15214</v>
      </c>
    </row>
    <row r="3629" spans="1:9" x14ac:dyDescent="0.25">
      <c r="A3629" s="16">
        <v>42946</v>
      </c>
      <c r="B3629" s="273" t="s">
        <v>23558</v>
      </c>
      <c r="C3629">
        <v>121783</v>
      </c>
      <c r="D3629" s="236" t="s">
        <v>15272</v>
      </c>
      <c r="E3629" s="15">
        <v>25227.1</v>
      </c>
      <c r="F3629" s="274">
        <v>42946</v>
      </c>
      <c r="G3629" s="15">
        <v>25227.1</v>
      </c>
      <c r="H3629" s="15">
        <f>Tabla1[[#This Row],[Importe]]-Tabla1[[#This Row],[Pagado]]</f>
        <v>0</v>
      </c>
      <c r="I3629" s="275" t="s">
        <v>15214</v>
      </c>
    </row>
    <row r="3630" spans="1:9" x14ac:dyDescent="0.25">
      <c r="A3630" s="16">
        <v>42946</v>
      </c>
      <c r="B3630" s="273" t="s">
        <v>23559</v>
      </c>
      <c r="C3630">
        <v>121784</v>
      </c>
      <c r="D3630" s="236" t="s">
        <v>15242</v>
      </c>
      <c r="E3630" s="15">
        <v>15772.8</v>
      </c>
      <c r="F3630" s="274">
        <v>42946</v>
      </c>
      <c r="G3630" s="15">
        <v>15772.8</v>
      </c>
      <c r="H3630" s="15">
        <f>Tabla1[[#This Row],[Importe]]-Tabla1[[#This Row],[Pagado]]</f>
        <v>0</v>
      </c>
      <c r="I3630" s="275" t="s">
        <v>15214</v>
      </c>
    </row>
    <row r="3631" spans="1:9" x14ac:dyDescent="0.25">
      <c r="A3631" s="16">
        <v>42946</v>
      </c>
      <c r="B3631" s="273" t="s">
        <v>23560</v>
      </c>
      <c r="C3631">
        <v>121785</v>
      </c>
      <c r="D3631" s="236" t="s">
        <v>15668</v>
      </c>
      <c r="E3631" s="15">
        <v>22588.6</v>
      </c>
      <c r="F3631" s="274">
        <v>42947</v>
      </c>
      <c r="G3631" s="15">
        <v>22588.6</v>
      </c>
      <c r="H3631" s="15">
        <f>Tabla1[[#This Row],[Importe]]-Tabla1[[#This Row],[Pagado]]</f>
        <v>0</v>
      </c>
      <c r="I3631" s="275" t="s">
        <v>15214</v>
      </c>
    </row>
    <row r="3632" spans="1:9" x14ac:dyDescent="0.25">
      <c r="A3632" s="16">
        <v>42946</v>
      </c>
      <c r="B3632" s="273" t="s">
        <v>23561</v>
      </c>
      <c r="C3632">
        <v>121786</v>
      </c>
      <c r="D3632" s="236" t="s">
        <v>15228</v>
      </c>
      <c r="E3632" s="15">
        <v>10776</v>
      </c>
      <c r="F3632" s="274">
        <v>42946</v>
      </c>
      <c r="G3632" s="15">
        <v>10776</v>
      </c>
      <c r="H3632" s="15">
        <f>Tabla1[[#This Row],[Importe]]-Tabla1[[#This Row],[Pagado]]</f>
        <v>0</v>
      </c>
      <c r="I3632" s="275" t="s">
        <v>15214</v>
      </c>
    </row>
    <row r="3633" spans="1:9" x14ac:dyDescent="0.25">
      <c r="A3633" s="16">
        <v>42946</v>
      </c>
      <c r="B3633" s="273" t="s">
        <v>23562</v>
      </c>
      <c r="C3633">
        <v>121787</v>
      </c>
      <c r="D3633" s="236" t="s">
        <v>15223</v>
      </c>
      <c r="E3633" s="15">
        <v>51014.400000000001</v>
      </c>
      <c r="F3633" s="274">
        <v>42967</v>
      </c>
      <c r="G3633" s="15">
        <v>51014.400000000001</v>
      </c>
      <c r="H3633" s="15">
        <f>Tabla1[[#This Row],[Importe]]-Tabla1[[#This Row],[Pagado]]</f>
        <v>0</v>
      </c>
      <c r="I3633" s="275" t="s">
        <v>15214</v>
      </c>
    </row>
    <row r="3634" spans="1:9" x14ac:dyDescent="0.25">
      <c r="A3634" s="16">
        <v>42946</v>
      </c>
      <c r="B3634" s="273" t="s">
        <v>23563</v>
      </c>
      <c r="C3634">
        <v>121788</v>
      </c>
      <c r="D3634" s="236" t="s">
        <v>15263</v>
      </c>
      <c r="E3634" s="15">
        <v>2453.1</v>
      </c>
      <c r="F3634" s="274">
        <v>42946</v>
      </c>
      <c r="G3634" s="15">
        <v>2453.1</v>
      </c>
      <c r="H3634" s="15">
        <f>Tabla1[[#This Row],[Importe]]-Tabla1[[#This Row],[Pagado]]</f>
        <v>0</v>
      </c>
      <c r="I3634" s="275" t="s">
        <v>15214</v>
      </c>
    </row>
    <row r="3635" spans="1:9" x14ac:dyDescent="0.25">
      <c r="A3635" s="16">
        <v>42946</v>
      </c>
      <c r="B3635" s="273" t="s">
        <v>23564</v>
      </c>
      <c r="C3635">
        <v>121789</v>
      </c>
      <c r="D3635" s="236" t="s">
        <v>15263</v>
      </c>
      <c r="E3635" s="15">
        <v>172.8</v>
      </c>
      <c r="F3635" s="274">
        <v>42946</v>
      </c>
      <c r="G3635" s="15">
        <v>172.8</v>
      </c>
      <c r="H3635" s="15">
        <f>Tabla1[[#This Row],[Importe]]-Tabla1[[#This Row],[Pagado]]</f>
        <v>0</v>
      </c>
      <c r="I3635" s="275" t="s">
        <v>15214</v>
      </c>
    </row>
    <row r="3636" spans="1:9" x14ac:dyDescent="0.25">
      <c r="A3636" s="16">
        <v>42946</v>
      </c>
      <c r="B3636" s="273" t="s">
        <v>23565</v>
      </c>
      <c r="C3636">
        <v>121790</v>
      </c>
      <c r="D3636" s="236" t="s">
        <v>15248</v>
      </c>
      <c r="E3636" s="15">
        <v>16670.72</v>
      </c>
      <c r="F3636" s="274">
        <v>42946</v>
      </c>
      <c r="G3636" s="15">
        <v>16670.72</v>
      </c>
      <c r="H3636" s="15">
        <f>Tabla1[[#This Row],[Importe]]-Tabla1[[#This Row],[Pagado]]</f>
        <v>0</v>
      </c>
      <c r="I3636" s="275" t="s">
        <v>15214</v>
      </c>
    </row>
    <row r="3637" spans="1:9" x14ac:dyDescent="0.25">
      <c r="A3637" s="16">
        <v>42946</v>
      </c>
      <c r="B3637" s="273" t="s">
        <v>23566</v>
      </c>
      <c r="C3637">
        <v>121791</v>
      </c>
      <c r="D3637" s="236" t="s">
        <v>15523</v>
      </c>
      <c r="E3637" s="15">
        <v>3570</v>
      </c>
      <c r="F3637" s="274">
        <v>42947</v>
      </c>
      <c r="G3637" s="15">
        <v>3570</v>
      </c>
      <c r="H3637" s="15">
        <f>Tabla1[[#This Row],[Importe]]-Tabla1[[#This Row],[Pagado]]</f>
        <v>0</v>
      </c>
      <c r="I3637" s="275" t="s">
        <v>15214</v>
      </c>
    </row>
    <row r="3638" spans="1:9" ht="15.75" x14ac:dyDescent="0.25">
      <c r="A3638" s="16">
        <v>42946</v>
      </c>
      <c r="B3638" s="273" t="s">
        <v>23567</v>
      </c>
      <c r="C3638">
        <v>121792</v>
      </c>
      <c r="D3638" s="248" t="s">
        <v>95</v>
      </c>
      <c r="E3638" s="15">
        <v>0</v>
      </c>
      <c r="F3638" s="277" t="s">
        <v>95</v>
      </c>
      <c r="G3638" s="15">
        <v>0</v>
      </c>
      <c r="H3638" s="15">
        <f>Tabla1[[#This Row],[Importe]]-Tabla1[[#This Row],[Pagado]]</f>
        <v>0</v>
      </c>
      <c r="I3638" s="275" t="s">
        <v>95</v>
      </c>
    </row>
    <row r="3639" spans="1:9" x14ac:dyDescent="0.25">
      <c r="A3639" s="16">
        <v>42946</v>
      </c>
      <c r="B3639" s="273" t="s">
        <v>23568</v>
      </c>
      <c r="C3639">
        <v>121793</v>
      </c>
      <c r="D3639" s="236" t="s">
        <v>15378</v>
      </c>
      <c r="E3639" s="15">
        <v>5301.3</v>
      </c>
      <c r="F3639" s="274">
        <v>42946</v>
      </c>
      <c r="G3639" s="15">
        <v>5301.3</v>
      </c>
      <c r="H3639" s="15">
        <f>Tabla1[[#This Row],[Importe]]-Tabla1[[#This Row],[Pagado]]</f>
        <v>0</v>
      </c>
      <c r="I3639" s="275" t="s">
        <v>15214</v>
      </c>
    </row>
    <row r="3640" spans="1:9" x14ac:dyDescent="0.25">
      <c r="A3640" s="16">
        <v>42946</v>
      </c>
      <c r="B3640" s="273" t="s">
        <v>23569</v>
      </c>
      <c r="C3640">
        <v>121794</v>
      </c>
      <c r="D3640" s="236" t="s">
        <v>15291</v>
      </c>
      <c r="E3640" s="15">
        <v>816</v>
      </c>
      <c r="F3640" s="274">
        <v>42946</v>
      </c>
      <c r="G3640" s="15">
        <v>816</v>
      </c>
      <c r="H3640" s="15">
        <f>Tabla1[[#This Row],[Importe]]-Tabla1[[#This Row],[Pagado]]</f>
        <v>0</v>
      </c>
      <c r="I3640" s="275" t="s">
        <v>15214</v>
      </c>
    </row>
    <row r="3641" spans="1:9" x14ac:dyDescent="0.25">
      <c r="A3641" s="16">
        <v>42946</v>
      </c>
      <c r="B3641" s="273" t="s">
        <v>23570</v>
      </c>
      <c r="C3641">
        <v>121795</v>
      </c>
      <c r="D3641" s="236" t="s">
        <v>15745</v>
      </c>
      <c r="E3641" s="15">
        <v>3193.12</v>
      </c>
      <c r="F3641" s="274">
        <v>42946</v>
      </c>
      <c r="G3641" s="15">
        <v>3193.12</v>
      </c>
      <c r="H3641" s="15">
        <f>Tabla1[[#This Row],[Importe]]-Tabla1[[#This Row],[Pagado]]</f>
        <v>0</v>
      </c>
      <c r="I3641" s="275" t="s">
        <v>15214</v>
      </c>
    </row>
    <row r="3642" spans="1:9" x14ac:dyDescent="0.25">
      <c r="A3642" s="16">
        <v>42946</v>
      </c>
      <c r="B3642" s="273" t="s">
        <v>23571</v>
      </c>
      <c r="C3642">
        <v>121796</v>
      </c>
      <c r="D3642" s="236" t="s">
        <v>15324</v>
      </c>
      <c r="E3642" s="15">
        <v>2907.5</v>
      </c>
      <c r="F3642" s="274">
        <v>42946</v>
      </c>
      <c r="G3642" s="15">
        <v>2907.5</v>
      </c>
      <c r="H3642" s="15">
        <f>Tabla1[[#This Row],[Importe]]-Tabla1[[#This Row],[Pagado]]</f>
        <v>0</v>
      </c>
      <c r="I3642" s="275" t="s">
        <v>15214</v>
      </c>
    </row>
    <row r="3643" spans="1:9" x14ac:dyDescent="0.25">
      <c r="A3643" s="16">
        <v>42946</v>
      </c>
      <c r="B3643" s="273" t="s">
        <v>23572</v>
      </c>
      <c r="C3643">
        <v>121797</v>
      </c>
      <c r="D3643" s="236" t="s">
        <v>15282</v>
      </c>
      <c r="E3643" s="15">
        <v>3655.2</v>
      </c>
      <c r="F3643" s="274">
        <v>42946</v>
      </c>
      <c r="G3643" s="15">
        <v>3655.2</v>
      </c>
      <c r="H3643" s="15">
        <f>Tabla1[[#This Row],[Importe]]-Tabla1[[#This Row],[Pagado]]</f>
        <v>0</v>
      </c>
      <c r="I3643" s="275" t="s">
        <v>15214</v>
      </c>
    </row>
    <row r="3644" spans="1:9" x14ac:dyDescent="0.25">
      <c r="A3644" s="16">
        <v>42946</v>
      </c>
      <c r="B3644" s="273" t="s">
        <v>23573</v>
      </c>
      <c r="C3644">
        <v>121798</v>
      </c>
      <c r="D3644" s="236" t="s">
        <v>15311</v>
      </c>
      <c r="E3644" s="15">
        <v>2007.6</v>
      </c>
      <c r="F3644" s="274">
        <v>42946</v>
      </c>
      <c r="G3644" s="15">
        <v>2007.6</v>
      </c>
      <c r="H3644" s="15">
        <f>Tabla1[[#This Row],[Importe]]-Tabla1[[#This Row],[Pagado]]</f>
        <v>0</v>
      </c>
      <c r="I3644" s="275" t="s">
        <v>15214</v>
      </c>
    </row>
    <row r="3645" spans="1:9" x14ac:dyDescent="0.25">
      <c r="A3645" s="16">
        <v>42946</v>
      </c>
      <c r="B3645" s="273" t="s">
        <v>23574</v>
      </c>
      <c r="C3645">
        <v>121799</v>
      </c>
      <c r="D3645" s="236" t="s">
        <v>15289</v>
      </c>
      <c r="E3645" s="15">
        <v>334.8</v>
      </c>
      <c r="F3645" s="274">
        <v>42946</v>
      </c>
      <c r="G3645" s="15">
        <v>334.8</v>
      </c>
      <c r="H3645" s="15">
        <f>Tabla1[[#This Row],[Importe]]-Tabla1[[#This Row],[Pagado]]</f>
        <v>0</v>
      </c>
      <c r="I3645" s="275" t="s">
        <v>15214</v>
      </c>
    </row>
    <row r="3646" spans="1:9" x14ac:dyDescent="0.25">
      <c r="A3646" s="16">
        <v>42946</v>
      </c>
      <c r="B3646" s="273" t="s">
        <v>23575</v>
      </c>
      <c r="C3646">
        <v>121800</v>
      </c>
      <c r="D3646" s="236" t="s">
        <v>16023</v>
      </c>
      <c r="E3646" s="15">
        <v>1359.3</v>
      </c>
      <c r="F3646" s="274">
        <v>42946</v>
      </c>
      <c r="G3646" s="15">
        <v>1359.3</v>
      </c>
      <c r="H3646" s="15">
        <f>Tabla1[[#This Row],[Importe]]-Tabla1[[#This Row],[Pagado]]</f>
        <v>0</v>
      </c>
      <c r="I3646" s="275" t="s">
        <v>15214</v>
      </c>
    </row>
    <row r="3647" spans="1:9" x14ac:dyDescent="0.25">
      <c r="A3647" s="16">
        <v>42946</v>
      </c>
      <c r="B3647" s="273" t="s">
        <v>23576</v>
      </c>
      <c r="C3647">
        <v>121801</v>
      </c>
      <c r="D3647" s="236" t="s">
        <v>15549</v>
      </c>
      <c r="E3647" s="15">
        <v>7506.2</v>
      </c>
      <c r="F3647" s="274">
        <v>42947</v>
      </c>
      <c r="G3647" s="15">
        <v>7506.2</v>
      </c>
      <c r="H3647" s="15">
        <f>Tabla1[[#This Row],[Importe]]-Tabla1[[#This Row],[Pagado]]</f>
        <v>0</v>
      </c>
      <c r="I3647" s="275" t="s">
        <v>15214</v>
      </c>
    </row>
    <row r="3648" spans="1:9" x14ac:dyDescent="0.25">
      <c r="A3648" s="16">
        <v>42946</v>
      </c>
      <c r="B3648" s="273" t="s">
        <v>23577</v>
      </c>
      <c r="C3648">
        <v>121802</v>
      </c>
      <c r="D3648" s="236" t="s">
        <v>17057</v>
      </c>
      <c r="E3648" s="15">
        <v>1160.4000000000001</v>
      </c>
      <c r="F3648" s="274">
        <v>42946</v>
      </c>
      <c r="G3648" s="15">
        <v>1160.4000000000001</v>
      </c>
      <c r="H3648" s="15">
        <f>Tabla1[[#This Row],[Importe]]-Tabla1[[#This Row],[Pagado]]</f>
        <v>0</v>
      </c>
      <c r="I3648" s="275" t="s">
        <v>15214</v>
      </c>
    </row>
    <row r="3649" spans="1:9" x14ac:dyDescent="0.25">
      <c r="A3649" s="16">
        <v>42946</v>
      </c>
      <c r="B3649" s="273" t="s">
        <v>23578</v>
      </c>
      <c r="C3649">
        <v>121803</v>
      </c>
      <c r="D3649" s="236" t="s">
        <v>15549</v>
      </c>
      <c r="E3649" s="15">
        <v>102</v>
      </c>
      <c r="F3649" s="274">
        <v>42947</v>
      </c>
      <c r="G3649" s="15">
        <v>102</v>
      </c>
      <c r="H3649" s="15">
        <f>Tabla1[[#This Row],[Importe]]-Tabla1[[#This Row],[Pagado]]</f>
        <v>0</v>
      </c>
      <c r="I3649" s="275" t="s">
        <v>15214</v>
      </c>
    </row>
    <row r="3650" spans="1:9" x14ac:dyDescent="0.25">
      <c r="A3650" s="16">
        <v>42946</v>
      </c>
      <c r="B3650" s="273" t="s">
        <v>23579</v>
      </c>
      <c r="C3650">
        <v>121804</v>
      </c>
      <c r="D3650" s="236" t="s">
        <v>15398</v>
      </c>
      <c r="E3650" s="15">
        <v>487.8</v>
      </c>
      <c r="F3650" s="274">
        <v>42946</v>
      </c>
      <c r="G3650" s="15">
        <v>487.8</v>
      </c>
      <c r="H3650" s="15">
        <f>Tabla1[[#This Row],[Importe]]-Tabla1[[#This Row],[Pagado]]</f>
        <v>0</v>
      </c>
      <c r="I3650" s="275" t="s">
        <v>15214</v>
      </c>
    </row>
    <row r="3651" spans="1:9" x14ac:dyDescent="0.25">
      <c r="A3651" s="16">
        <v>42946</v>
      </c>
      <c r="B3651" s="273" t="s">
        <v>23580</v>
      </c>
      <c r="C3651">
        <v>121805</v>
      </c>
      <c r="D3651" s="236" t="s">
        <v>15371</v>
      </c>
      <c r="E3651" s="15">
        <v>3404.9</v>
      </c>
      <c r="F3651" s="274">
        <v>42947</v>
      </c>
      <c r="G3651" s="15">
        <v>3404.9</v>
      </c>
      <c r="H3651" s="15">
        <f>Tabla1[[#This Row],[Importe]]-Tabla1[[#This Row],[Pagado]]</f>
        <v>0</v>
      </c>
      <c r="I3651" s="275" t="s">
        <v>15214</v>
      </c>
    </row>
    <row r="3652" spans="1:9" x14ac:dyDescent="0.25">
      <c r="A3652" s="16">
        <v>42946</v>
      </c>
      <c r="B3652" s="273" t="s">
        <v>23581</v>
      </c>
      <c r="C3652">
        <v>121806</v>
      </c>
      <c r="D3652" s="236" t="s">
        <v>15340</v>
      </c>
      <c r="E3652" s="15">
        <v>9322.7999999999993</v>
      </c>
      <c r="F3652" s="274">
        <v>42947</v>
      </c>
      <c r="G3652" s="15">
        <v>9322.7999999999993</v>
      </c>
      <c r="H3652" s="15">
        <f>Tabla1[[#This Row],[Importe]]-Tabla1[[#This Row],[Pagado]]</f>
        <v>0</v>
      </c>
      <c r="I3652" s="275" t="s">
        <v>15214</v>
      </c>
    </row>
    <row r="3653" spans="1:9" x14ac:dyDescent="0.25">
      <c r="A3653" s="16">
        <v>42946</v>
      </c>
      <c r="B3653" s="273" t="s">
        <v>23582</v>
      </c>
      <c r="C3653">
        <v>121807</v>
      </c>
      <c r="D3653" s="236" t="s">
        <v>15530</v>
      </c>
      <c r="E3653" s="15">
        <v>2727</v>
      </c>
      <c r="F3653" s="274">
        <v>42946</v>
      </c>
      <c r="G3653" s="15">
        <v>2727</v>
      </c>
      <c r="H3653" s="15">
        <f>Tabla1[[#This Row],[Importe]]-Tabla1[[#This Row],[Pagado]]</f>
        <v>0</v>
      </c>
      <c r="I3653" s="275" t="s">
        <v>15214</v>
      </c>
    </row>
    <row r="3654" spans="1:9" x14ac:dyDescent="0.25">
      <c r="A3654" s="16">
        <v>42946</v>
      </c>
      <c r="B3654" s="273" t="s">
        <v>23583</v>
      </c>
      <c r="C3654">
        <v>121808</v>
      </c>
      <c r="D3654" s="236" t="s">
        <v>15530</v>
      </c>
      <c r="E3654" s="15">
        <v>100</v>
      </c>
      <c r="F3654" s="274">
        <v>42946</v>
      </c>
      <c r="G3654" s="15">
        <v>100</v>
      </c>
      <c r="H3654" s="15">
        <f>Tabla1[[#This Row],[Importe]]-Tabla1[[#This Row],[Pagado]]</f>
        <v>0</v>
      </c>
      <c r="I3654" s="275" t="s">
        <v>15214</v>
      </c>
    </row>
    <row r="3655" spans="1:9" x14ac:dyDescent="0.25">
      <c r="A3655" s="16">
        <v>42946</v>
      </c>
      <c r="B3655" s="273" t="s">
        <v>23584</v>
      </c>
      <c r="C3655">
        <v>121809</v>
      </c>
      <c r="D3655" s="236" t="s">
        <v>15344</v>
      </c>
      <c r="E3655" s="15">
        <v>2093.5</v>
      </c>
      <c r="F3655" s="274">
        <v>42947</v>
      </c>
      <c r="G3655" s="15">
        <v>2093.5</v>
      </c>
      <c r="H3655" s="15">
        <f>Tabla1[[#This Row],[Importe]]-Tabla1[[#This Row],[Pagado]]</f>
        <v>0</v>
      </c>
      <c r="I3655" s="275" t="s">
        <v>15214</v>
      </c>
    </row>
    <row r="3656" spans="1:9" x14ac:dyDescent="0.25">
      <c r="A3656" s="16">
        <v>42946</v>
      </c>
      <c r="B3656" s="273" t="s">
        <v>23585</v>
      </c>
      <c r="C3656">
        <v>121810</v>
      </c>
      <c r="D3656" s="236" t="s">
        <v>15354</v>
      </c>
      <c r="E3656" s="15">
        <v>3085.8</v>
      </c>
      <c r="F3656" s="274">
        <v>42947</v>
      </c>
      <c r="G3656" s="15">
        <v>3085.8</v>
      </c>
      <c r="H3656" s="15">
        <f>Tabla1[[#This Row],[Importe]]-Tabla1[[#This Row],[Pagado]]</f>
        <v>0</v>
      </c>
      <c r="I3656" s="275" t="s">
        <v>15214</v>
      </c>
    </row>
    <row r="3657" spans="1:9" x14ac:dyDescent="0.25">
      <c r="A3657" s="16">
        <v>42946</v>
      </c>
      <c r="B3657" s="273" t="s">
        <v>23586</v>
      </c>
      <c r="C3657">
        <v>121811</v>
      </c>
      <c r="D3657" s="236" t="s">
        <v>15358</v>
      </c>
      <c r="E3657" s="15">
        <v>2870</v>
      </c>
      <c r="F3657" s="274">
        <v>42947</v>
      </c>
      <c r="G3657" s="15">
        <v>2870</v>
      </c>
      <c r="H3657" s="15">
        <f>Tabla1[[#This Row],[Importe]]-Tabla1[[#This Row],[Pagado]]</f>
        <v>0</v>
      </c>
      <c r="I3657" s="275" t="s">
        <v>15214</v>
      </c>
    </row>
    <row r="3658" spans="1:9" x14ac:dyDescent="0.25">
      <c r="A3658" s="16">
        <v>42946</v>
      </c>
      <c r="B3658" s="273" t="s">
        <v>23587</v>
      </c>
      <c r="C3658">
        <v>121812</v>
      </c>
      <c r="D3658" s="236" t="s">
        <v>15328</v>
      </c>
      <c r="E3658" s="15">
        <v>3465</v>
      </c>
      <c r="F3658" s="274">
        <v>42959</v>
      </c>
      <c r="G3658" s="15">
        <v>3465</v>
      </c>
      <c r="H3658" s="15">
        <f>Tabla1[[#This Row],[Importe]]-Tabla1[[#This Row],[Pagado]]</f>
        <v>0</v>
      </c>
      <c r="I3658" s="275" t="s">
        <v>15214</v>
      </c>
    </row>
    <row r="3659" spans="1:9" x14ac:dyDescent="0.25">
      <c r="A3659" s="16">
        <v>42946</v>
      </c>
      <c r="B3659" s="273" t="s">
        <v>23588</v>
      </c>
      <c r="C3659">
        <v>121813</v>
      </c>
      <c r="D3659" s="236" t="s">
        <v>15254</v>
      </c>
      <c r="E3659" s="15">
        <v>14927.4</v>
      </c>
      <c r="F3659" s="292">
        <v>42948</v>
      </c>
      <c r="G3659" s="15">
        <v>14927.4</v>
      </c>
      <c r="H3659" s="15">
        <f>Tabla1[[#This Row],[Importe]]-Tabla1[[#This Row],[Pagado]]</f>
        <v>0</v>
      </c>
      <c r="I3659" s="275" t="s">
        <v>15214</v>
      </c>
    </row>
    <row r="3660" spans="1:9" x14ac:dyDescent="0.25">
      <c r="A3660" s="16">
        <v>42946</v>
      </c>
      <c r="B3660" s="273" t="s">
        <v>23589</v>
      </c>
      <c r="C3660">
        <v>121814</v>
      </c>
      <c r="D3660" s="236" t="s">
        <v>15810</v>
      </c>
      <c r="E3660" s="15">
        <v>82.5</v>
      </c>
      <c r="F3660" s="274">
        <v>42946</v>
      </c>
      <c r="G3660" s="15">
        <v>82.5</v>
      </c>
      <c r="H3660" s="15">
        <f>Tabla1[[#This Row],[Importe]]-Tabla1[[#This Row],[Pagado]]</f>
        <v>0</v>
      </c>
      <c r="I3660" s="275" t="s">
        <v>15214</v>
      </c>
    </row>
    <row r="3661" spans="1:9" x14ac:dyDescent="0.25">
      <c r="A3661" s="16">
        <v>42946</v>
      </c>
      <c r="B3661" s="273" t="s">
        <v>23590</v>
      </c>
      <c r="C3661">
        <v>121815</v>
      </c>
      <c r="D3661" s="236" t="s">
        <v>15254</v>
      </c>
      <c r="E3661" s="15">
        <v>2737.6</v>
      </c>
      <c r="F3661" s="292">
        <v>42948</v>
      </c>
      <c r="G3661" s="15">
        <v>2737.6</v>
      </c>
      <c r="H3661" s="15">
        <f>Tabla1[[#This Row],[Importe]]-Tabla1[[#This Row],[Pagado]]</f>
        <v>0</v>
      </c>
      <c r="I3661" s="275" t="s">
        <v>15214</v>
      </c>
    </row>
    <row r="3662" spans="1:9" x14ac:dyDescent="0.25">
      <c r="A3662" s="16">
        <v>42946</v>
      </c>
      <c r="B3662" s="273" t="s">
        <v>23591</v>
      </c>
      <c r="C3662">
        <v>121816</v>
      </c>
      <c r="D3662" s="236" t="s">
        <v>15246</v>
      </c>
      <c r="E3662" s="15">
        <v>3000.8</v>
      </c>
      <c r="F3662" s="274">
        <v>42950</v>
      </c>
      <c r="G3662" s="15">
        <v>3000.8</v>
      </c>
      <c r="H3662" s="15">
        <f>Tabla1[[#This Row],[Importe]]-Tabla1[[#This Row],[Pagado]]</f>
        <v>0</v>
      </c>
      <c r="I3662" s="275" t="s">
        <v>15214</v>
      </c>
    </row>
    <row r="3663" spans="1:9" x14ac:dyDescent="0.25">
      <c r="A3663" s="16">
        <v>42946</v>
      </c>
      <c r="B3663" s="273" t="s">
        <v>23592</v>
      </c>
      <c r="C3663">
        <v>121817</v>
      </c>
      <c r="D3663" s="236" t="s">
        <v>15332</v>
      </c>
      <c r="E3663" s="15">
        <v>4499</v>
      </c>
      <c r="F3663" s="274">
        <v>42947</v>
      </c>
      <c r="G3663" s="15">
        <v>4499</v>
      </c>
      <c r="H3663" s="15">
        <f>Tabla1[[#This Row],[Importe]]-Tabla1[[#This Row],[Pagado]]</f>
        <v>0</v>
      </c>
      <c r="I3663" s="275" t="s">
        <v>15214</v>
      </c>
    </row>
    <row r="3664" spans="1:9" x14ac:dyDescent="0.25">
      <c r="A3664" s="16">
        <v>42946</v>
      </c>
      <c r="B3664" s="273" t="s">
        <v>23593</v>
      </c>
      <c r="C3664">
        <v>121818</v>
      </c>
      <c r="D3664" s="236" t="s">
        <v>15252</v>
      </c>
      <c r="E3664" s="15">
        <v>8273.1</v>
      </c>
      <c r="F3664" s="274">
        <v>42951</v>
      </c>
      <c r="G3664" s="15">
        <v>8273.1</v>
      </c>
      <c r="H3664" s="15">
        <f>Tabla1[[#This Row],[Importe]]-Tabla1[[#This Row],[Pagado]]</f>
        <v>0</v>
      </c>
      <c r="I3664" s="275" t="s">
        <v>15214</v>
      </c>
    </row>
    <row r="3665" spans="1:9" x14ac:dyDescent="0.25">
      <c r="A3665" s="16">
        <v>42946</v>
      </c>
      <c r="B3665" s="273" t="s">
        <v>23594</v>
      </c>
      <c r="C3665">
        <v>121819</v>
      </c>
      <c r="D3665" s="236" t="s">
        <v>15244</v>
      </c>
      <c r="E3665" s="15">
        <v>15265</v>
      </c>
      <c r="F3665" s="274">
        <v>42952</v>
      </c>
      <c r="G3665" s="15">
        <v>15265</v>
      </c>
      <c r="H3665" s="15">
        <f>Tabla1[[#This Row],[Importe]]-Tabla1[[#This Row],[Pagado]]</f>
        <v>0</v>
      </c>
      <c r="I3665" s="275" t="s">
        <v>15214</v>
      </c>
    </row>
    <row r="3666" spans="1:9" x14ac:dyDescent="0.25">
      <c r="A3666" s="16">
        <v>42946</v>
      </c>
      <c r="B3666" s="273" t="s">
        <v>23595</v>
      </c>
      <c r="C3666">
        <v>121820</v>
      </c>
      <c r="D3666" s="236" t="s">
        <v>15267</v>
      </c>
      <c r="E3666" s="15">
        <v>5168.8</v>
      </c>
      <c r="F3666" s="274">
        <v>42946</v>
      </c>
      <c r="G3666" s="15">
        <v>5168.8</v>
      </c>
      <c r="H3666" s="15">
        <f>Tabla1[[#This Row],[Importe]]-Tabla1[[#This Row],[Pagado]]</f>
        <v>0</v>
      </c>
      <c r="I3666" s="275" t="s">
        <v>15214</v>
      </c>
    </row>
    <row r="3667" spans="1:9" x14ac:dyDescent="0.25">
      <c r="A3667" s="16">
        <v>42946</v>
      </c>
      <c r="B3667" s="273" t="s">
        <v>23596</v>
      </c>
      <c r="C3667">
        <v>121821</v>
      </c>
      <c r="D3667" s="236" t="s">
        <v>15272</v>
      </c>
      <c r="E3667" s="15">
        <v>1125</v>
      </c>
      <c r="F3667" s="274">
        <v>42946</v>
      </c>
      <c r="G3667" s="15">
        <v>1125</v>
      </c>
      <c r="H3667" s="15">
        <f>Tabla1[[#This Row],[Importe]]-Tabla1[[#This Row],[Pagado]]</f>
        <v>0</v>
      </c>
      <c r="I3667" s="275" t="s">
        <v>15214</v>
      </c>
    </row>
    <row r="3668" spans="1:9" x14ac:dyDescent="0.25">
      <c r="A3668" s="16">
        <v>42946</v>
      </c>
      <c r="B3668" s="273" t="s">
        <v>23597</v>
      </c>
      <c r="C3668">
        <v>121822</v>
      </c>
      <c r="D3668" s="236" t="s">
        <v>15442</v>
      </c>
      <c r="E3668" s="15">
        <v>14400</v>
      </c>
      <c r="F3668" s="274">
        <v>42952</v>
      </c>
      <c r="G3668" s="15">
        <v>14400</v>
      </c>
      <c r="H3668" s="15">
        <f>Tabla1[[#This Row],[Importe]]-Tabla1[[#This Row],[Pagado]]</f>
        <v>0</v>
      </c>
      <c r="I3668" s="275" t="s">
        <v>15214</v>
      </c>
    </row>
    <row r="3669" spans="1:9" x14ac:dyDescent="0.25">
      <c r="A3669" s="16">
        <v>42946</v>
      </c>
      <c r="B3669" s="273" t="s">
        <v>23598</v>
      </c>
      <c r="C3669">
        <v>121823</v>
      </c>
      <c r="D3669" s="236" t="s">
        <v>16661</v>
      </c>
      <c r="E3669" s="15">
        <v>1718.4</v>
      </c>
      <c r="F3669" s="274">
        <v>42946</v>
      </c>
      <c r="G3669" s="15">
        <v>1718.4</v>
      </c>
      <c r="H3669" s="15">
        <f>Tabla1[[#This Row],[Importe]]-Tabla1[[#This Row],[Pagado]]</f>
        <v>0</v>
      </c>
      <c r="I3669" s="275" t="s">
        <v>15214</v>
      </c>
    </row>
    <row r="3670" spans="1:9" x14ac:dyDescent="0.25">
      <c r="A3670" s="16">
        <v>42946</v>
      </c>
      <c r="B3670" s="273" t="s">
        <v>23599</v>
      </c>
      <c r="C3670">
        <v>121824</v>
      </c>
      <c r="D3670" s="236" t="s">
        <v>15315</v>
      </c>
      <c r="E3670" s="15">
        <v>1400</v>
      </c>
      <c r="F3670" s="274" t="s">
        <v>23600</v>
      </c>
      <c r="G3670" s="15">
        <v>1400</v>
      </c>
      <c r="H3670" s="15">
        <f>Tabla1[[#This Row],[Importe]]-Tabla1[[#This Row],[Pagado]]</f>
        <v>0</v>
      </c>
      <c r="I3670" s="275" t="s">
        <v>15214</v>
      </c>
    </row>
    <row r="3671" spans="1:9" x14ac:dyDescent="0.25">
      <c r="A3671" s="16">
        <v>42946</v>
      </c>
      <c r="B3671" s="273" t="s">
        <v>23601</v>
      </c>
      <c r="C3671">
        <v>121825</v>
      </c>
      <c r="D3671" s="236" t="s">
        <v>15284</v>
      </c>
      <c r="E3671" s="15">
        <v>1422.9</v>
      </c>
      <c r="F3671" s="274" t="s">
        <v>23600</v>
      </c>
      <c r="G3671" s="15">
        <v>1422.9</v>
      </c>
      <c r="H3671" s="15">
        <f>Tabla1[[#This Row],[Importe]]-Tabla1[[#This Row],[Pagado]]</f>
        <v>0</v>
      </c>
      <c r="I3671" s="275" t="s">
        <v>15214</v>
      </c>
    </row>
    <row r="3672" spans="1:9" x14ac:dyDescent="0.25">
      <c r="A3672" s="16">
        <v>42946</v>
      </c>
      <c r="B3672" s="273" t="s">
        <v>23602</v>
      </c>
      <c r="C3672">
        <v>121826</v>
      </c>
      <c r="D3672" s="236" t="s">
        <v>19756</v>
      </c>
      <c r="E3672" s="15">
        <v>2007.6</v>
      </c>
      <c r="F3672" s="274" t="s">
        <v>23600</v>
      </c>
      <c r="G3672" s="15">
        <v>2007.6</v>
      </c>
      <c r="H3672" s="15">
        <f>Tabla1[[#This Row],[Importe]]-Tabla1[[#This Row],[Pagado]]</f>
        <v>0</v>
      </c>
      <c r="I3672" s="275" t="s">
        <v>15214</v>
      </c>
    </row>
    <row r="3673" spans="1:9" x14ac:dyDescent="0.25">
      <c r="A3673" s="16">
        <v>42946</v>
      </c>
      <c r="B3673" s="273" t="s">
        <v>23603</v>
      </c>
      <c r="C3673">
        <v>121827</v>
      </c>
      <c r="D3673" s="236" t="s">
        <v>19768</v>
      </c>
      <c r="E3673" s="15">
        <v>2040</v>
      </c>
      <c r="F3673" s="274" t="s">
        <v>23600</v>
      </c>
      <c r="G3673" s="15">
        <v>2040</v>
      </c>
      <c r="H3673" s="15">
        <f>Tabla1[[#This Row],[Importe]]-Tabla1[[#This Row],[Pagado]]</f>
        <v>0</v>
      </c>
      <c r="I3673" s="275" t="s">
        <v>15214</v>
      </c>
    </row>
    <row r="3674" spans="1:9" x14ac:dyDescent="0.25">
      <c r="A3674" s="16">
        <v>42946</v>
      </c>
      <c r="B3674" s="273" t="s">
        <v>23604</v>
      </c>
      <c r="C3674">
        <v>121828</v>
      </c>
      <c r="D3674" s="236" t="s">
        <v>15391</v>
      </c>
      <c r="E3674" s="15">
        <v>9680</v>
      </c>
      <c r="F3674" s="292">
        <v>42949</v>
      </c>
      <c r="G3674" s="15">
        <v>9680</v>
      </c>
      <c r="H3674" s="15">
        <f>Tabla1[[#This Row],[Importe]]-Tabla1[[#This Row],[Pagado]]</f>
        <v>0</v>
      </c>
      <c r="I3674" s="275" t="s">
        <v>15214</v>
      </c>
    </row>
    <row r="3675" spans="1:9" x14ac:dyDescent="0.25">
      <c r="A3675" s="16">
        <v>42946</v>
      </c>
      <c r="B3675" s="273" t="s">
        <v>23605</v>
      </c>
      <c r="C3675">
        <v>121829</v>
      </c>
      <c r="D3675" s="236" t="s">
        <v>15725</v>
      </c>
      <c r="E3675" s="15">
        <v>5731.2</v>
      </c>
      <c r="F3675" s="274">
        <v>42954</v>
      </c>
      <c r="G3675" s="15">
        <v>5731.2</v>
      </c>
      <c r="H3675" s="15">
        <f>Tabla1[[#This Row],[Importe]]-Tabla1[[#This Row],[Pagado]]</f>
        <v>0</v>
      </c>
      <c r="I3675" s="275" t="s">
        <v>15214</v>
      </c>
    </row>
    <row r="3676" spans="1:9" ht="15.75" x14ac:dyDescent="0.25">
      <c r="A3676" s="16">
        <v>42946</v>
      </c>
      <c r="B3676" s="273" t="s">
        <v>23606</v>
      </c>
      <c r="C3676">
        <v>121830</v>
      </c>
      <c r="D3676" s="248" t="s">
        <v>95</v>
      </c>
      <c r="E3676" s="15">
        <v>0</v>
      </c>
      <c r="F3676" s="277" t="s">
        <v>95</v>
      </c>
      <c r="G3676" s="15">
        <v>0</v>
      </c>
      <c r="H3676" s="15">
        <f>Tabla1[[#This Row],[Importe]]-Tabla1[[#This Row],[Pagado]]</f>
        <v>0</v>
      </c>
      <c r="I3676" s="275" t="s">
        <v>95</v>
      </c>
    </row>
    <row r="3677" spans="1:9" ht="30" x14ac:dyDescent="0.25">
      <c r="A3677" s="16">
        <v>42946</v>
      </c>
      <c r="B3677" s="273" t="s">
        <v>23607</v>
      </c>
      <c r="C3677">
        <v>121831</v>
      </c>
      <c r="D3677" s="236" t="s">
        <v>19776</v>
      </c>
      <c r="E3677" s="15">
        <v>32500</v>
      </c>
      <c r="F3677" s="274" t="s">
        <v>23608</v>
      </c>
      <c r="G3677" s="241">
        <f>28500+4000</f>
        <v>32500</v>
      </c>
      <c r="H3677" s="241">
        <f>Tabla1[[#This Row],[Importe]]-Tabla1[[#This Row],[Pagado]]</f>
        <v>0</v>
      </c>
      <c r="I3677" s="275" t="s">
        <v>15214</v>
      </c>
    </row>
    <row r="3678" spans="1:9" x14ac:dyDescent="0.25">
      <c r="A3678" s="16">
        <v>42946</v>
      </c>
      <c r="B3678" s="273" t="s">
        <v>23609</v>
      </c>
      <c r="C3678">
        <v>121832</v>
      </c>
      <c r="D3678" s="236" t="s">
        <v>15315</v>
      </c>
      <c r="E3678" s="15">
        <v>3391.5</v>
      </c>
      <c r="F3678" s="274">
        <v>42946</v>
      </c>
      <c r="G3678" s="15">
        <v>3391.5</v>
      </c>
      <c r="H3678" s="15">
        <f>Tabla1[[#This Row],[Importe]]-Tabla1[[#This Row],[Pagado]]</f>
        <v>0</v>
      </c>
      <c r="I3678" s="275" t="s">
        <v>15214</v>
      </c>
    </row>
    <row r="3679" spans="1:9" x14ac:dyDescent="0.25">
      <c r="A3679" s="16">
        <v>42946</v>
      </c>
      <c r="B3679" s="273" t="s">
        <v>23610</v>
      </c>
      <c r="C3679">
        <v>121833</v>
      </c>
      <c r="D3679" s="236" t="s">
        <v>15385</v>
      </c>
      <c r="E3679" s="15">
        <v>5300</v>
      </c>
      <c r="F3679" s="274">
        <v>42947</v>
      </c>
      <c r="G3679" s="15">
        <v>5300</v>
      </c>
      <c r="H3679" s="15">
        <f>Tabla1[[#This Row],[Importe]]-Tabla1[[#This Row],[Pagado]]</f>
        <v>0</v>
      </c>
      <c r="I3679" s="275" t="s">
        <v>15214</v>
      </c>
    </row>
    <row r="3680" spans="1:9" x14ac:dyDescent="0.25">
      <c r="A3680" s="16">
        <v>42946</v>
      </c>
      <c r="B3680" s="273" t="s">
        <v>23611</v>
      </c>
      <c r="C3680">
        <v>121834</v>
      </c>
      <c r="D3680" s="236" t="s">
        <v>15385</v>
      </c>
      <c r="E3680" s="15">
        <v>504.4</v>
      </c>
      <c r="F3680" s="274">
        <v>42947</v>
      </c>
      <c r="G3680" s="15">
        <v>504.4</v>
      </c>
      <c r="H3680" s="15">
        <f>Tabla1[[#This Row],[Importe]]-Tabla1[[#This Row],[Pagado]]</f>
        <v>0</v>
      </c>
      <c r="I3680" s="275" t="s">
        <v>15214</v>
      </c>
    </row>
    <row r="3681" spans="1:9" x14ac:dyDescent="0.25">
      <c r="A3681" s="16">
        <v>42946</v>
      </c>
      <c r="B3681" s="273" t="s">
        <v>23612</v>
      </c>
      <c r="C3681">
        <v>121835</v>
      </c>
      <c r="D3681" s="236" t="s">
        <v>15246</v>
      </c>
      <c r="E3681" s="15">
        <v>4390</v>
      </c>
      <c r="F3681" s="274">
        <v>42950</v>
      </c>
      <c r="G3681" s="15">
        <v>4390</v>
      </c>
      <c r="H3681" s="15">
        <f>Tabla1[[#This Row],[Importe]]-Tabla1[[#This Row],[Pagado]]</f>
        <v>0</v>
      </c>
      <c r="I3681" s="275" t="s">
        <v>15214</v>
      </c>
    </row>
    <row r="3682" spans="1:9" x14ac:dyDescent="0.25">
      <c r="A3682" s="16">
        <v>42946</v>
      </c>
      <c r="B3682" s="273" t="s">
        <v>23613</v>
      </c>
      <c r="C3682">
        <v>121836</v>
      </c>
      <c r="D3682" s="236" t="s">
        <v>15566</v>
      </c>
      <c r="E3682" s="15">
        <v>902.4</v>
      </c>
      <c r="F3682" s="274">
        <v>42946</v>
      </c>
      <c r="G3682" s="15">
        <v>902.4</v>
      </c>
      <c r="H3682" s="15">
        <f>Tabla1[[#This Row],[Importe]]-Tabla1[[#This Row],[Pagado]]</f>
        <v>0</v>
      </c>
      <c r="I3682" s="275" t="s">
        <v>15214</v>
      </c>
    </row>
    <row r="3683" spans="1:9" x14ac:dyDescent="0.25">
      <c r="A3683" s="16">
        <v>42946</v>
      </c>
      <c r="B3683" s="273" t="s">
        <v>23614</v>
      </c>
      <c r="C3683">
        <v>121837</v>
      </c>
      <c r="D3683" s="236" t="s">
        <v>19699</v>
      </c>
      <c r="E3683" s="15">
        <v>1530</v>
      </c>
      <c r="F3683" s="274">
        <v>42946</v>
      </c>
      <c r="G3683" s="15">
        <v>1530</v>
      </c>
      <c r="H3683" s="15">
        <f>Tabla1[[#This Row],[Importe]]-Tabla1[[#This Row],[Pagado]]</f>
        <v>0</v>
      </c>
      <c r="I3683" s="275" t="s">
        <v>15214</v>
      </c>
    </row>
    <row r="3684" spans="1:9" x14ac:dyDescent="0.25">
      <c r="A3684" s="16">
        <v>42946</v>
      </c>
      <c r="B3684" s="273" t="s">
        <v>23615</v>
      </c>
      <c r="C3684">
        <v>121838</v>
      </c>
      <c r="D3684" s="236" t="s">
        <v>19699</v>
      </c>
      <c r="E3684" s="15">
        <v>1785</v>
      </c>
      <c r="F3684" s="274">
        <v>42946</v>
      </c>
      <c r="G3684" s="15">
        <v>1785</v>
      </c>
      <c r="H3684" s="15">
        <f>Tabla1[[#This Row],[Importe]]-Tabla1[[#This Row],[Pagado]]</f>
        <v>0</v>
      </c>
      <c r="I3684" s="275" t="s">
        <v>15214</v>
      </c>
    </row>
    <row r="3685" spans="1:9" x14ac:dyDescent="0.25">
      <c r="A3685" s="16">
        <v>42946</v>
      </c>
      <c r="B3685" s="273" t="s">
        <v>23616</v>
      </c>
      <c r="C3685">
        <v>121839</v>
      </c>
      <c r="D3685" s="236" t="s">
        <v>15987</v>
      </c>
      <c r="E3685" s="15">
        <v>3308</v>
      </c>
      <c r="F3685" s="274">
        <v>42946</v>
      </c>
      <c r="G3685" s="15">
        <v>3308</v>
      </c>
      <c r="H3685" s="15">
        <f>Tabla1[[#This Row],[Importe]]-Tabla1[[#This Row],[Pagado]]</f>
        <v>0</v>
      </c>
      <c r="I3685" s="275" t="s">
        <v>15214</v>
      </c>
    </row>
    <row r="3686" spans="1:9" x14ac:dyDescent="0.25">
      <c r="A3686" s="16">
        <v>42946</v>
      </c>
      <c r="B3686" s="273" t="s">
        <v>23617</v>
      </c>
      <c r="C3686">
        <v>121840</v>
      </c>
      <c r="D3686" s="236" t="s">
        <v>15541</v>
      </c>
      <c r="E3686" s="15">
        <v>1582</v>
      </c>
      <c r="F3686" s="274">
        <v>42946</v>
      </c>
      <c r="G3686" s="15">
        <v>1582</v>
      </c>
      <c r="H3686" s="15">
        <f>Tabla1[[#This Row],[Importe]]-Tabla1[[#This Row],[Pagado]]</f>
        <v>0</v>
      </c>
      <c r="I3686" s="275" t="s">
        <v>15214</v>
      </c>
    </row>
    <row r="3687" spans="1:9" x14ac:dyDescent="0.25">
      <c r="A3687" s="16">
        <v>42946</v>
      </c>
      <c r="B3687" s="273" t="s">
        <v>23618</v>
      </c>
      <c r="C3687">
        <v>121841</v>
      </c>
      <c r="D3687" s="236" t="s">
        <v>16740</v>
      </c>
      <c r="E3687" s="15">
        <v>740</v>
      </c>
      <c r="F3687" s="274">
        <v>42946</v>
      </c>
      <c r="G3687" s="15">
        <v>740</v>
      </c>
      <c r="H3687" s="15">
        <f>Tabla1[[#This Row],[Importe]]-Tabla1[[#This Row],[Pagado]]</f>
        <v>0</v>
      </c>
      <c r="I3687" s="275" t="s">
        <v>15214</v>
      </c>
    </row>
    <row r="3688" spans="1:9" x14ac:dyDescent="0.25">
      <c r="A3688" s="16">
        <v>42946</v>
      </c>
      <c r="B3688" s="273" t="s">
        <v>23619</v>
      </c>
      <c r="C3688">
        <v>121842</v>
      </c>
      <c r="D3688" s="236" t="s">
        <v>15284</v>
      </c>
      <c r="E3688" s="15">
        <v>667.8</v>
      </c>
      <c r="F3688" s="274">
        <v>42946</v>
      </c>
      <c r="G3688" s="15">
        <v>667.8</v>
      </c>
      <c r="H3688" s="15">
        <f>Tabla1[[#This Row],[Importe]]-Tabla1[[#This Row],[Pagado]]</f>
        <v>0</v>
      </c>
      <c r="I3688" s="275" t="s">
        <v>15214</v>
      </c>
    </row>
    <row r="3689" spans="1:9" x14ac:dyDescent="0.25">
      <c r="A3689" s="16">
        <v>42946</v>
      </c>
      <c r="B3689" s="273" t="s">
        <v>23620</v>
      </c>
      <c r="C3689">
        <v>121843</v>
      </c>
      <c r="D3689" s="236" t="s">
        <v>15315</v>
      </c>
      <c r="E3689" s="15">
        <v>609.79999999999995</v>
      </c>
      <c r="F3689" s="274">
        <v>42946</v>
      </c>
      <c r="G3689" s="15">
        <v>609.79999999999995</v>
      </c>
      <c r="H3689" s="15">
        <f>Tabla1[[#This Row],[Importe]]-Tabla1[[#This Row],[Pagado]]</f>
        <v>0</v>
      </c>
      <c r="I3689" s="275" t="s">
        <v>15214</v>
      </c>
    </row>
    <row r="3690" spans="1:9" x14ac:dyDescent="0.25">
      <c r="A3690" s="16">
        <v>42946</v>
      </c>
      <c r="B3690" s="273" t="s">
        <v>23621</v>
      </c>
      <c r="C3690">
        <v>121844</v>
      </c>
      <c r="D3690" s="236" t="s">
        <v>15435</v>
      </c>
      <c r="E3690" s="15">
        <v>8492.4</v>
      </c>
      <c r="F3690" s="274">
        <v>42946</v>
      </c>
      <c r="G3690" s="15">
        <v>8492.4</v>
      </c>
      <c r="H3690" s="15">
        <f>Tabla1[[#This Row],[Importe]]-Tabla1[[#This Row],[Pagado]]</f>
        <v>0</v>
      </c>
      <c r="I3690" s="275" t="s">
        <v>15214</v>
      </c>
    </row>
    <row r="3691" spans="1:9" x14ac:dyDescent="0.25">
      <c r="A3691" s="16">
        <v>42946</v>
      </c>
      <c r="B3691" s="273" t="s">
        <v>23622</v>
      </c>
      <c r="C3691">
        <v>121845</v>
      </c>
      <c r="D3691" s="236" t="s">
        <v>15315</v>
      </c>
      <c r="E3691" s="15">
        <v>6520.5</v>
      </c>
      <c r="F3691" s="274">
        <v>42946</v>
      </c>
      <c r="G3691" s="15">
        <v>6520.5</v>
      </c>
      <c r="H3691" s="15">
        <f>Tabla1[[#This Row],[Importe]]-Tabla1[[#This Row],[Pagado]]</f>
        <v>0</v>
      </c>
      <c r="I3691" s="275" t="s">
        <v>15214</v>
      </c>
    </row>
    <row r="3692" spans="1:9" x14ac:dyDescent="0.25">
      <c r="A3692" s="16">
        <v>42946</v>
      </c>
      <c r="B3692" s="273" t="s">
        <v>23623</v>
      </c>
      <c r="C3692">
        <v>121846</v>
      </c>
      <c r="D3692" s="236" t="s">
        <v>15315</v>
      </c>
      <c r="E3692" s="15">
        <v>401.8</v>
      </c>
      <c r="F3692" s="274">
        <v>42946</v>
      </c>
      <c r="G3692" s="15">
        <v>401.8</v>
      </c>
      <c r="H3692" s="15">
        <f>Tabla1[[#This Row],[Importe]]-Tabla1[[#This Row],[Pagado]]</f>
        <v>0</v>
      </c>
      <c r="I3692" s="275" t="s">
        <v>15214</v>
      </c>
    </row>
    <row r="3693" spans="1:9" ht="15.75" x14ac:dyDescent="0.25">
      <c r="A3693" s="16">
        <v>42947</v>
      </c>
      <c r="B3693" s="273" t="s">
        <v>23624</v>
      </c>
      <c r="C3693">
        <v>121847</v>
      </c>
      <c r="D3693" s="248" t="s">
        <v>95</v>
      </c>
      <c r="E3693" s="15">
        <v>0</v>
      </c>
      <c r="F3693" s="277" t="s">
        <v>95</v>
      </c>
      <c r="G3693" s="15">
        <v>0</v>
      </c>
      <c r="H3693" s="15">
        <f>Tabla1[[#This Row],[Importe]]-Tabla1[[#This Row],[Pagado]]</f>
        <v>0</v>
      </c>
      <c r="I3693" s="275" t="s">
        <v>95</v>
      </c>
    </row>
    <row r="3694" spans="1:9" x14ac:dyDescent="0.25">
      <c r="A3694" s="16">
        <v>42947</v>
      </c>
      <c r="B3694" s="273" t="s">
        <v>23625</v>
      </c>
      <c r="C3694">
        <v>121848</v>
      </c>
      <c r="D3694" s="236" t="s">
        <v>21386</v>
      </c>
      <c r="E3694" s="15">
        <v>9311.4</v>
      </c>
      <c r="F3694" s="292">
        <v>42948</v>
      </c>
      <c r="G3694" s="15">
        <v>9311.4</v>
      </c>
      <c r="H3694" s="15">
        <f>Tabla1[[#This Row],[Importe]]-Tabla1[[#This Row],[Pagado]]</f>
        <v>0</v>
      </c>
      <c r="I3694" s="275" t="s">
        <v>15214</v>
      </c>
    </row>
    <row r="3695" spans="1:9" x14ac:dyDescent="0.25">
      <c r="A3695" s="16">
        <v>42947</v>
      </c>
      <c r="B3695" s="273" t="s">
        <v>23626</v>
      </c>
      <c r="C3695">
        <v>121849</v>
      </c>
      <c r="D3695" s="236" t="s">
        <v>18544</v>
      </c>
      <c r="E3695" s="15">
        <v>7397.4</v>
      </c>
      <c r="F3695" s="274">
        <v>42947</v>
      </c>
      <c r="G3695" s="15">
        <v>7397.4</v>
      </c>
      <c r="H3695" s="15">
        <f>Tabla1[[#This Row],[Importe]]-Tabla1[[#This Row],[Pagado]]</f>
        <v>0</v>
      </c>
      <c r="I3695" s="275" t="s">
        <v>15214</v>
      </c>
    </row>
    <row r="3696" spans="1:9" x14ac:dyDescent="0.25">
      <c r="A3696" s="16">
        <v>42947</v>
      </c>
      <c r="B3696" s="273" t="s">
        <v>23627</v>
      </c>
      <c r="C3696">
        <v>121850</v>
      </c>
      <c r="D3696" s="236" t="s">
        <v>15328</v>
      </c>
      <c r="E3696" s="15">
        <v>42648.54</v>
      </c>
      <c r="F3696" s="274">
        <v>42959</v>
      </c>
      <c r="G3696" s="15">
        <v>42648.54</v>
      </c>
      <c r="H3696" s="15">
        <f>Tabla1[[#This Row],[Importe]]-Tabla1[[#This Row],[Pagado]]</f>
        <v>0</v>
      </c>
      <c r="I3696" s="275" t="s">
        <v>15214</v>
      </c>
    </row>
    <row r="3697" spans="1:9" x14ac:dyDescent="0.25">
      <c r="A3697" s="16">
        <v>42947</v>
      </c>
      <c r="B3697" s="273" t="s">
        <v>23628</v>
      </c>
      <c r="C3697">
        <v>121851</v>
      </c>
      <c r="D3697" s="236" t="s">
        <v>15230</v>
      </c>
      <c r="E3697" s="15">
        <v>6955.2</v>
      </c>
      <c r="F3697" s="274">
        <v>42949</v>
      </c>
      <c r="G3697" s="15">
        <v>6955.2</v>
      </c>
      <c r="H3697" s="15">
        <f>Tabla1[[#This Row],[Importe]]-Tabla1[[#This Row],[Pagado]]</f>
        <v>0</v>
      </c>
      <c r="I3697" s="275" t="s">
        <v>15214</v>
      </c>
    </row>
    <row r="3698" spans="1:9" x14ac:dyDescent="0.25">
      <c r="A3698" s="16">
        <v>42947</v>
      </c>
      <c r="B3698" s="273" t="s">
        <v>23629</v>
      </c>
      <c r="C3698">
        <v>121852</v>
      </c>
      <c r="D3698" s="236" t="s">
        <v>15272</v>
      </c>
      <c r="E3698" s="15">
        <v>15782.8</v>
      </c>
      <c r="F3698" s="274">
        <v>42947</v>
      </c>
      <c r="G3698" s="15">
        <v>15782.8</v>
      </c>
      <c r="H3698" s="15">
        <f>Tabla1[[#This Row],[Importe]]-Tabla1[[#This Row],[Pagado]]</f>
        <v>0</v>
      </c>
      <c r="I3698" s="275" t="s">
        <v>15214</v>
      </c>
    </row>
    <row r="3699" spans="1:9" x14ac:dyDescent="0.25">
      <c r="A3699" s="16">
        <v>42947</v>
      </c>
      <c r="B3699" s="273" t="s">
        <v>23630</v>
      </c>
      <c r="C3699">
        <v>121853</v>
      </c>
      <c r="D3699" s="236" t="s">
        <v>15250</v>
      </c>
      <c r="E3699" s="15">
        <v>36544.639999999999</v>
      </c>
      <c r="F3699" s="274">
        <v>42961</v>
      </c>
      <c r="G3699" s="15">
        <v>36544.639999999999</v>
      </c>
      <c r="H3699" s="15">
        <f>Tabla1[[#This Row],[Importe]]-Tabla1[[#This Row],[Pagado]]</f>
        <v>0</v>
      </c>
      <c r="I3699" s="275" t="s">
        <v>15214</v>
      </c>
    </row>
    <row r="3700" spans="1:9" x14ac:dyDescent="0.25">
      <c r="A3700" s="16">
        <v>42947</v>
      </c>
      <c r="B3700" s="273" t="s">
        <v>23631</v>
      </c>
      <c r="C3700">
        <v>121854</v>
      </c>
      <c r="D3700" s="236" t="s">
        <v>15232</v>
      </c>
      <c r="E3700" s="15">
        <v>6384</v>
      </c>
      <c r="F3700" s="274">
        <v>42950</v>
      </c>
      <c r="G3700" s="15">
        <v>6384</v>
      </c>
      <c r="H3700" s="15">
        <f>Tabla1[[#This Row],[Importe]]-Tabla1[[#This Row],[Pagado]]</f>
        <v>0</v>
      </c>
      <c r="I3700" s="275" t="s">
        <v>15214</v>
      </c>
    </row>
    <row r="3701" spans="1:9" x14ac:dyDescent="0.25">
      <c r="A3701" s="16">
        <v>42947</v>
      </c>
      <c r="B3701" s="273" t="s">
        <v>23632</v>
      </c>
      <c r="C3701">
        <v>121855</v>
      </c>
      <c r="D3701" s="236" t="s">
        <v>15258</v>
      </c>
      <c r="E3701" s="15">
        <v>10491.9</v>
      </c>
      <c r="F3701" s="292">
        <v>42949</v>
      </c>
      <c r="G3701" s="15">
        <v>10491.9</v>
      </c>
      <c r="H3701" s="15">
        <f>Tabla1[[#This Row],[Importe]]-Tabla1[[#This Row],[Pagado]]</f>
        <v>0</v>
      </c>
      <c r="I3701" s="275" t="s">
        <v>15214</v>
      </c>
    </row>
    <row r="3702" spans="1:9" x14ac:dyDescent="0.25">
      <c r="A3702" s="16">
        <v>42947</v>
      </c>
      <c r="B3702" s="273" t="s">
        <v>23633</v>
      </c>
      <c r="C3702">
        <v>121856</v>
      </c>
      <c r="D3702" s="236" t="s">
        <v>15352</v>
      </c>
      <c r="E3702" s="15">
        <v>705.6</v>
      </c>
      <c r="F3702" s="274">
        <v>42947</v>
      </c>
      <c r="G3702" s="15">
        <v>705.6</v>
      </c>
      <c r="H3702" s="15">
        <f>Tabla1[[#This Row],[Importe]]-Tabla1[[#This Row],[Pagado]]</f>
        <v>0</v>
      </c>
      <c r="I3702" s="275" t="s">
        <v>15214</v>
      </c>
    </row>
    <row r="3703" spans="1:9" x14ac:dyDescent="0.25">
      <c r="A3703" s="16">
        <v>42947</v>
      </c>
      <c r="B3703" s="273" t="s">
        <v>23634</v>
      </c>
      <c r="C3703">
        <v>121857</v>
      </c>
      <c r="D3703" s="236" t="s">
        <v>15315</v>
      </c>
      <c r="E3703" s="15">
        <v>8252.4</v>
      </c>
      <c r="F3703" s="274">
        <v>42947</v>
      </c>
      <c r="G3703" s="15">
        <v>8252.4</v>
      </c>
      <c r="H3703" s="15">
        <f>Tabla1[[#This Row],[Importe]]-Tabla1[[#This Row],[Pagado]]</f>
        <v>0</v>
      </c>
      <c r="I3703" s="275" t="s">
        <v>15214</v>
      </c>
    </row>
    <row r="3704" spans="1:9" x14ac:dyDescent="0.25">
      <c r="A3704" s="16">
        <v>42947</v>
      </c>
      <c r="B3704" s="273" t="s">
        <v>23635</v>
      </c>
      <c r="C3704">
        <v>121858</v>
      </c>
      <c r="D3704" s="236" t="s">
        <v>15246</v>
      </c>
      <c r="E3704" s="15">
        <v>137024.57999999999</v>
      </c>
      <c r="F3704" s="274">
        <v>42950</v>
      </c>
      <c r="G3704" s="15">
        <v>137024.57999999999</v>
      </c>
      <c r="H3704" s="15">
        <f>Tabla1[[#This Row],[Importe]]-Tabla1[[#This Row],[Pagado]]</f>
        <v>0</v>
      </c>
      <c r="I3704" s="275" t="s">
        <v>15214</v>
      </c>
    </row>
    <row r="3705" spans="1:9" x14ac:dyDescent="0.25">
      <c r="A3705" s="16">
        <v>42947</v>
      </c>
      <c r="B3705" s="273" t="s">
        <v>23636</v>
      </c>
      <c r="C3705">
        <v>121859</v>
      </c>
      <c r="D3705" s="236" t="s">
        <v>15220</v>
      </c>
      <c r="E3705" s="15">
        <v>2550</v>
      </c>
      <c r="F3705" s="274">
        <v>42947</v>
      </c>
      <c r="G3705" s="15">
        <v>2550</v>
      </c>
      <c r="H3705" s="15">
        <f>Tabla1[[#This Row],[Importe]]-Tabla1[[#This Row],[Pagado]]</f>
        <v>0</v>
      </c>
      <c r="I3705" s="275" t="s">
        <v>15214</v>
      </c>
    </row>
    <row r="3706" spans="1:9" x14ac:dyDescent="0.25">
      <c r="A3706" s="16">
        <v>42947</v>
      </c>
      <c r="B3706" s="273" t="s">
        <v>23637</v>
      </c>
      <c r="C3706">
        <v>121860</v>
      </c>
      <c r="D3706" s="236" t="s">
        <v>19302</v>
      </c>
      <c r="E3706" s="15">
        <v>1020</v>
      </c>
      <c r="F3706" s="274">
        <v>42947</v>
      </c>
      <c r="G3706" s="15">
        <v>1020</v>
      </c>
      <c r="H3706" s="15">
        <f>Tabla1[[#This Row],[Importe]]-Tabla1[[#This Row],[Pagado]]</f>
        <v>0</v>
      </c>
      <c r="I3706" s="275" t="s">
        <v>15214</v>
      </c>
    </row>
    <row r="3707" spans="1:9" x14ac:dyDescent="0.25">
      <c r="A3707" s="16">
        <v>42947</v>
      </c>
      <c r="B3707" s="273" t="s">
        <v>23638</v>
      </c>
      <c r="C3707">
        <v>121861</v>
      </c>
      <c r="D3707" s="236" t="s">
        <v>15226</v>
      </c>
      <c r="E3707" s="15">
        <v>2022.8</v>
      </c>
      <c r="F3707" s="292">
        <v>42949</v>
      </c>
      <c r="G3707" s="15">
        <v>2022.8</v>
      </c>
      <c r="H3707" s="15">
        <f>Tabla1[[#This Row],[Importe]]-Tabla1[[#This Row],[Pagado]]</f>
        <v>0</v>
      </c>
      <c r="I3707" s="275" t="s">
        <v>15214</v>
      </c>
    </row>
    <row r="3708" spans="1:9" x14ac:dyDescent="0.25">
      <c r="A3708" s="16">
        <v>42947</v>
      </c>
      <c r="B3708" s="273" t="s">
        <v>23639</v>
      </c>
      <c r="C3708">
        <v>121862</v>
      </c>
      <c r="D3708" s="236" t="s">
        <v>15234</v>
      </c>
      <c r="E3708" s="15">
        <v>3222.6</v>
      </c>
      <c r="F3708" s="274">
        <v>42951</v>
      </c>
      <c r="G3708" s="15">
        <v>3222.6</v>
      </c>
      <c r="H3708" s="15">
        <f>Tabla1[[#This Row],[Importe]]-Tabla1[[#This Row],[Pagado]]</f>
        <v>0</v>
      </c>
      <c r="I3708" s="275" t="s">
        <v>15214</v>
      </c>
    </row>
    <row r="3709" spans="1:9" x14ac:dyDescent="0.25">
      <c r="A3709" s="16">
        <v>42947</v>
      </c>
      <c r="B3709" s="273" t="s">
        <v>23640</v>
      </c>
      <c r="C3709">
        <v>121863</v>
      </c>
      <c r="D3709" s="236" t="s">
        <v>15213</v>
      </c>
      <c r="E3709" s="15">
        <v>39409.199999999997</v>
      </c>
      <c r="F3709" s="274">
        <v>42947</v>
      </c>
      <c r="G3709" s="15">
        <v>39409.199999999997</v>
      </c>
      <c r="H3709" s="15">
        <f>Tabla1[[#This Row],[Importe]]-Tabla1[[#This Row],[Pagado]]</f>
        <v>0</v>
      </c>
      <c r="I3709" s="275" t="s">
        <v>15214</v>
      </c>
    </row>
    <row r="3710" spans="1:9" x14ac:dyDescent="0.25">
      <c r="A3710" s="16">
        <v>42947</v>
      </c>
      <c r="B3710" s="273" t="s">
        <v>23641</v>
      </c>
      <c r="C3710">
        <v>121864</v>
      </c>
      <c r="D3710" s="236" t="s">
        <v>15668</v>
      </c>
      <c r="E3710" s="15">
        <v>18639.2</v>
      </c>
      <c r="F3710" s="274">
        <v>42950</v>
      </c>
      <c r="G3710" s="15">
        <v>18639.2</v>
      </c>
      <c r="H3710" s="15">
        <f>Tabla1[[#This Row],[Importe]]-Tabla1[[#This Row],[Pagado]]</f>
        <v>0</v>
      </c>
      <c r="I3710" s="275" t="s">
        <v>15214</v>
      </c>
    </row>
    <row r="3711" spans="1:9" x14ac:dyDescent="0.25">
      <c r="A3711" s="16">
        <v>42947</v>
      </c>
      <c r="B3711" s="273" t="s">
        <v>23642</v>
      </c>
      <c r="C3711">
        <v>121865</v>
      </c>
      <c r="D3711" s="236" t="s">
        <v>15240</v>
      </c>
      <c r="E3711" s="15">
        <v>3225</v>
      </c>
      <c r="F3711" s="292">
        <v>42949</v>
      </c>
      <c r="G3711" s="15">
        <v>3225</v>
      </c>
      <c r="H3711" s="15">
        <f>Tabla1[[#This Row],[Importe]]-Tabla1[[#This Row],[Pagado]]</f>
        <v>0</v>
      </c>
      <c r="I3711" s="275" t="s">
        <v>15214</v>
      </c>
    </row>
    <row r="3712" spans="1:9" x14ac:dyDescent="0.25">
      <c r="A3712" s="16">
        <v>42947</v>
      </c>
      <c r="B3712" s="273" t="s">
        <v>23643</v>
      </c>
      <c r="C3712">
        <v>121866</v>
      </c>
      <c r="D3712" s="236" t="s">
        <v>15252</v>
      </c>
      <c r="E3712" s="15">
        <v>3941.6</v>
      </c>
      <c r="F3712" s="274">
        <v>42947</v>
      </c>
      <c r="G3712" s="15">
        <v>3941.6</v>
      </c>
      <c r="H3712" s="15">
        <f>Tabla1[[#This Row],[Importe]]-Tabla1[[#This Row],[Pagado]]</f>
        <v>0</v>
      </c>
      <c r="I3712" s="275" t="s">
        <v>15214</v>
      </c>
    </row>
    <row r="3713" spans="1:9" x14ac:dyDescent="0.25">
      <c r="A3713" s="16">
        <v>42947</v>
      </c>
      <c r="B3713" s="273" t="s">
        <v>23644</v>
      </c>
      <c r="C3713">
        <v>121867</v>
      </c>
      <c r="D3713" s="236" t="s">
        <v>15244</v>
      </c>
      <c r="E3713" s="15">
        <v>16835</v>
      </c>
      <c r="F3713" s="274">
        <v>42952</v>
      </c>
      <c r="G3713" s="15">
        <v>16835</v>
      </c>
      <c r="H3713" s="15">
        <f>Tabla1[[#This Row],[Importe]]-Tabla1[[#This Row],[Pagado]]</f>
        <v>0</v>
      </c>
      <c r="I3713" s="275" t="s">
        <v>15214</v>
      </c>
    </row>
    <row r="3714" spans="1:9" x14ac:dyDescent="0.25">
      <c r="A3714" s="16">
        <v>42947</v>
      </c>
      <c r="B3714" s="273" t="s">
        <v>23645</v>
      </c>
      <c r="C3714">
        <v>121868</v>
      </c>
      <c r="D3714" s="236" t="s">
        <v>15742</v>
      </c>
      <c r="E3714" s="15">
        <v>2782</v>
      </c>
      <c r="F3714" s="274">
        <v>42947</v>
      </c>
      <c r="G3714" s="15">
        <v>2782</v>
      </c>
      <c r="H3714" s="15">
        <f>Tabla1[[#This Row],[Importe]]-Tabla1[[#This Row],[Pagado]]</f>
        <v>0</v>
      </c>
      <c r="I3714" s="275" t="s">
        <v>15214</v>
      </c>
    </row>
    <row r="3715" spans="1:9" x14ac:dyDescent="0.25">
      <c r="A3715" s="16">
        <v>42947</v>
      </c>
      <c r="B3715" s="273" t="s">
        <v>23646</v>
      </c>
      <c r="C3715">
        <v>121869</v>
      </c>
      <c r="D3715" s="236" t="s">
        <v>15315</v>
      </c>
      <c r="E3715" s="15">
        <v>774.4</v>
      </c>
      <c r="F3715" s="274">
        <v>42947</v>
      </c>
      <c r="G3715" s="15">
        <v>774.4</v>
      </c>
      <c r="H3715" s="15">
        <f>Tabla1[[#This Row],[Importe]]-Tabla1[[#This Row],[Pagado]]</f>
        <v>0</v>
      </c>
      <c r="I3715" s="275" t="s">
        <v>15214</v>
      </c>
    </row>
    <row r="3716" spans="1:9" x14ac:dyDescent="0.25">
      <c r="A3716" s="16">
        <v>42947</v>
      </c>
      <c r="B3716" s="273" t="s">
        <v>23647</v>
      </c>
      <c r="C3716">
        <v>121870</v>
      </c>
      <c r="D3716" s="236" t="s">
        <v>15336</v>
      </c>
      <c r="E3716" s="15">
        <v>6215</v>
      </c>
      <c r="F3716" s="274">
        <v>42947</v>
      </c>
      <c r="G3716" s="15">
        <v>6215</v>
      </c>
      <c r="H3716" s="15">
        <f>Tabla1[[#This Row],[Importe]]-Tabla1[[#This Row],[Pagado]]</f>
        <v>0</v>
      </c>
      <c r="I3716" s="275" t="s">
        <v>15214</v>
      </c>
    </row>
    <row r="3717" spans="1:9" x14ac:dyDescent="0.25">
      <c r="A3717" s="16">
        <v>42947</v>
      </c>
      <c r="B3717" s="273" t="s">
        <v>23648</v>
      </c>
      <c r="C3717">
        <v>121871</v>
      </c>
      <c r="D3717" s="236" t="s">
        <v>15334</v>
      </c>
      <c r="E3717" s="15">
        <v>1395</v>
      </c>
      <c r="F3717" s="274">
        <v>42947</v>
      </c>
      <c r="G3717" s="15">
        <v>1395</v>
      </c>
      <c r="H3717" s="15">
        <f>Tabla1[[#This Row],[Importe]]-Tabla1[[#This Row],[Pagado]]</f>
        <v>0</v>
      </c>
      <c r="I3717" s="275" t="s">
        <v>15214</v>
      </c>
    </row>
    <row r="3718" spans="1:9" x14ac:dyDescent="0.25">
      <c r="A3718" s="16">
        <v>42947</v>
      </c>
      <c r="B3718" s="273" t="s">
        <v>23649</v>
      </c>
      <c r="C3718">
        <v>121872</v>
      </c>
      <c r="D3718" s="236" t="s">
        <v>15523</v>
      </c>
      <c r="E3718" s="15">
        <v>2040</v>
      </c>
      <c r="F3718" s="274">
        <v>42947</v>
      </c>
      <c r="G3718" s="15">
        <v>2040</v>
      </c>
      <c r="H3718" s="15">
        <f>Tabla1[[#This Row],[Importe]]-Tabla1[[#This Row],[Pagado]]</f>
        <v>0</v>
      </c>
      <c r="I3718" s="275" t="s">
        <v>15214</v>
      </c>
    </row>
    <row r="3719" spans="1:9" x14ac:dyDescent="0.25">
      <c r="A3719" s="16">
        <v>42947</v>
      </c>
      <c r="B3719" s="273" t="s">
        <v>23650</v>
      </c>
      <c r="C3719">
        <v>121873</v>
      </c>
      <c r="D3719" s="236" t="s">
        <v>19549</v>
      </c>
      <c r="E3719" s="15">
        <v>13423.2</v>
      </c>
      <c r="F3719" s="292">
        <v>42948</v>
      </c>
      <c r="G3719" s="15">
        <v>13423.2</v>
      </c>
      <c r="H3719" s="15">
        <f>Tabla1[[#This Row],[Importe]]-Tabla1[[#This Row],[Pagado]]</f>
        <v>0</v>
      </c>
      <c r="I3719" s="275" t="s">
        <v>15214</v>
      </c>
    </row>
    <row r="3720" spans="1:9" x14ac:dyDescent="0.25">
      <c r="A3720" s="16">
        <v>42947</v>
      </c>
      <c r="B3720" s="273" t="s">
        <v>23651</v>
      </c>
      <c r="C3720">
        <v>121874</v>
      </c>
      <c r="D3720" s="236" t="s">
        <v>15340</v>
      </c>
      <c r="E3720" s="15">
        <v>3213</v>
      </c>
      <c r="F3720" s="274">
        <v>42947</v>
      </c>
      <c r="G3720" s="15">
        <v>3213</v>
      </c>
      <c r="H3720" s="15">
        <f>Tabla1[[#This Row],[Importe]]-Tabla1[[#This Row],[Pagado]]</f>
        <v>0</v>
      </c>
      <c r="I3720" s="275" t="s">
        <v>15214</v>
      </c>
    </row>
    <row r="3721" spans="1:9" x14ac:dyDescent="0.25">
      <c r="A3721" s="16">
        <v>42947</v>
      </c>
      <c r="B3721" s="273" t="s">
        <v>23652</v>
      </c>
      <c r="C3721">
        <v>121875</v>
      </c>
      <c r="D3721" s="236" t="s">
        <v>15261</v>
      </c>
      <c r="E3721" s="15">
        <v>16828.2</v>
      </c>
      <c r="F3721" s="274">
        <v>42947</v>
      </c>
      <c r="G3721" s="15">
        <v>16828.2</v>
      </c>
      <c r="H3721" s="15">
        <f>Tabla1[[#This Row],[Importe]]-Tabla1[[#This Row],[Pagado]]</f>
        <v>0</v>
      </c>
      <c r="I3721" s="275" t="s">
        <v>15214</v>
      </c>
    </row>
    <row r="3722" spans="1:9" x14ac:dyDescent="0.25">
      <c r="A3722" s="16">
        <v>42947</v>
      </c>
      <c r="B3722" s="273" t="s">
        <v>23653</v>
      </c>
      <c r="C3722">
        <v>121876</v>
      </c>
      <c r="D3722" s="236" t="s">
        <v>15248</v>
      </c>
      <c r="E3722" s="15">
        <v>17901.599999999999</v>
      </c>
      <c r="F3722" s="274">
        <v>42947</v>
      </c>
      <c r="G3722" s="15">
        <v>17901.599999999999</v>
      </c>
      <c r="H3722" s="15">
        <f>Tabla1[[#This Row],[Importe]]-Tabla1[[#This Row],[Pagado]]</f>
        <v>0</v>
      </c>
      <c r="I3722" s="275" t="s">
        <v>15214</v>
      </c>
    </row>
    <row r="3723" spans="1:9" x14ac:dyDescent="0.25">
      <c r="A3723" s="16">
        <v>42947</v>
      </c>
      <c r="B3723" s="273" t="s">
        <v>23654</v>
      </c>
      <c r="C3723">
        <v>121877</v>
      </c>
      <c r="D3723" s="236" t="s">
        <v>16484</v>
      </c>
      <c r="E3723" s="15">
        <v>1464.9</v>
      </c>
      <c r="F3723" s="274">
        <v>42947</v>
      </c>
      <c r="G3723" s="15">
        <v>1464.9</v>
      </c>
      <c r="H3723" s="15">
        <f>Tabla1[[#This Row],[Importe]]-Tabla1[[#This Row],[Pagado]]</f>
        <v>0</v>
      </c>
      <c r="I3723" s="275" t="s">
        <v>15214</v>
      </c>
    </row>
    <row r="3724" spans="1:9" x14ac:dyDescent="0.25">
      <c r="A3724" s="16">
        <v>42947</v>
      </c>
      <c r="B3724" s="273" t="s">
        <v>23655</v>
      </c>
      <c r="C3724">
        <v>121878</v>
      </c>
      <c r="D3724" s="236" t="s">
        <v>15371</v>
      </c>
      <c r="E3724" s="15">
        <v>3360.9</v>
      </c>
      <c r="F3724" s="292">
        <v>42948</v>
      </c>
      <c r="G3724" s="15">
        <v>3360.9</v>
      </c>
      <c r="H3724" s="15">
        <f>Tabla1[[#This Row],[Importe]]-Tabla1[[#This Row],[Pagado]]</f>
        <v>0</v>
      </c>
      <c r="I3724" s="275" t="s">
        <v>15214</v>
      </c>
    </row>
    <row r="3725" spans="1:9" x14ac:dyDescent="0.25">
      <c r="A3725" s="16">
        <v>42947</v>
      </c>
      <c r="B3725" s="273" t="s">
        <v>23656</v>
      </c>
      <c r="C3725">
        <v>121879</v>
      </c>
      <c r="D3725" s="236" t="s">
        <v>15380</v>
      </c>
      <c r="E3725" s="15">
        <v>39888.699999999997</v>
      </c>
      <c r="F3725" s="292">
        <v>42965</v>
      </c>
      <c r="G3725" s="15">
        <v>39888.699999999997</v>
      </c>
      <c r="H3725" s="15">
        <f>Tabla1[[#This Row],[Importe]]-Tabla1[[#This Row],[Pagado]]</f>
        <v>0</v>
      </c>
      <c r="I3725" s="275" t="s">
        <v>15214</v>
      </c>
    </row>
    <row r="3726" spans="1:9" x14ac:dyDescent="0.25">
      <c r="A3726" s="16">
        <v>42947</v>
      </c>
      <c r="B3726" s="273" t="s">
        <v>23657</v>
      </c>
      <c r="C3726">
        <v>121880</v>
      </c>
      <c r="D3726" s="236" t="s">
        <v>15373</v>
      </c>
      <c r="E3726" s="15">
        <v>7721.4</v>
      </c>
      <c r="F3726" s="274">
        <v>42950</v>
      </c>
      <c r="G3726" s="15">
        <v>7721.4</v>
      </c>
      <c r="H3726" s="15">
        <f>Tabla1[[#This Row],[Importe]]-Tabla1[[#This Row],[Pagado]]</f>
        <v>0</v>
      </c>
      <c r="I3726" s="275" t="s">
        <v>15214</v>
      </c>
    </row>
    <row r="3727" spans="1:9" x14ac:dyDescent="0.25">
      <c r="A3727" s="16">
        <v>42947</v>
      </c>
      <c r="B3727" s="273" t="s">
        <v>23658</v>
      </c>
      <c r="C3727">
        <v>121881</v>
      </c>
      <c r="D3727" s="236" t="s">
        <v>15655</v>
      </c>
      <c r="E3727" s="15">
        <v>7538.3</v>
      </c>
      <c r="F3727" s="274">
        <v>42947</v>
      </c>
      <c r="G3727" s="15">
        <v>7538.3</v>
      </c>
      <c r="H3727" s="15">
        <f>Tabla1[[#This Row],[Importe]]-Tabla1[[#This Row],[Pagado]]</f>
        <v>0</v>
      </c>
      <c r="I3727" s="275" t="s">
        <v>15214</v>
      </c>
    </row>
    <row r="3728" spans="1:9" x14ac:dyDescent="0.25">
      <c r="A3728" s="16">
        <v>42947</v>
      </c>
      <c r="B3728" s="273" t="s">
        <v>23659</v>
      </c>
      <c r="C3728">
        <v>121882</v>
      </c>
      <c r="D3728" s="236" t="s">
        <v>15246</v>
      </c>
      <c r="E3728" s="15">
        <v>7591.9</v>
      </c>
      <c r="F3728" s="274">
        <v>42950</v>
      </c>
      <c r="G3728" s="15">
        <v>7591.9</v>
      </c>
      <c r="H3728" s="15">
        <f>Tabla1[[#This Row],[Importe]]-Tabla1[[#This Row],[Pagado]]</f>
        <v>0</v>
      </c>
      <c r="I3728" s="275" t="s">
        <v>15214</v>
      </c>
    </row>
    <row r="3729" spans="1:9" x14ac:dyDescent="0.25">
      <c r="A3729" s="16">
        <v>42947</v>
      </c>
      <c r="B3729" s="273" t="s">
        <v>23660</v>
      </c>
      <c r="C3729">
        <v>121883</v>
      </c>
      <c r="D3729" s="236" t="s">
        <v>15324</v>
      </c>
      <c r="E3729" s="15">
        <v>2326</v>
      </c>
      <c r="F3729" s="274">
        <v>42947</v>
      </c>
      <c r="G3729" s="15">
        <v>2326</v>
      </c>
      <c r="H3729" s="15">
        <f>Tabla1[[#This Row],[Importe]]-Tabla1[[#This Row],[Pagado]]</f>
        <v>0</v>
      </c>
      <c r="I3729" s="275" t="s">
        <v>15214</v>
      </c>
    </row>
    <row r="3730" spans="1:9" x14ac:dyDescent="0.25">
      <c r="A3730" s="16">
        <v>42947</v>
      </c>
      <c r="B3730" s="273" t="s">
        <v>23661</v>
      </c>
      <c r="C3730">
        <v>121884</v>
      </c>
      <c r="D3730" s="236" t="s">
        <v>15530</v>
      </c>
      <c r="E3730" s="15">
        <v>512</v>
      </c>
      <c r="F3730" s="274">
        <v>42947</v>
      </c>
      <c r="G3730" s="15">
        <v>512</v>
      </c>
      <c r="H3730" s="15">
        <f>Tabla1[[#This Row],[Importe]]-Tabla1[[#This Row],[Pagado]]</f>
        <v>0</v>
      </c>
      <c r="I3730" s="275" t="s">
        <v>15214</v>
      </c>
    </row>
    <row r="3731" spans="1:9" x14ac:dyDescent="0.25">
      <c r="A3731" s="16">
        <v>42947</v>
      </c>
      <c r="B3731" s="273" t="s">
        <v>23662</v>
      </c>
      <c r="C3731">
        <v>121885</v>
      </c>
      <c r="D3731" s="236" t="s">
        <v>15530</v>
      </c>
      <c r="E3731" s="15">
        <v>964.6</v>
      </c>
      <c r="F3731" s="274">
        <v>42947</v>
      </c>
      <c r="G3731" s="15">
        <v>964.6</v>
      </c>
      <c r="H3731" s="15">
        <f>Tabla1[[#This Row],[Importe]]-Tabla1[[#This Row],[Pagado]]</f>
        <v>0</v>
      </c>
      <c r="I3731" s="275" t="s">
        <v>15214</v>
      </c>
    </row>
    <row r="3732" spans="1:9" x14ac:dyDescent="0.25">
      <c r="A3732" s="16">
        <v>42947</v>
      </c>
      <c r="B3732" s="273" t="s">
        <v>23663</v>
      </c>
      <c r="C3732">
        <v>121886</v>
      </c>
      <c r="D3732" s="236" t="s">
        <v>15369</v>
      </c>
      <c r="E3732" s="15">
        <v>26279</v>
      </c>
      <c r="F3732" s="274">
        <v>42960</v>
      </c>
      <c r="G3732" s="15">
        <v>26279</v>
      </c>
      <c r="H3732" s="15">
        <f>Tabla1[[#This Row],[Importe]]-Tabla1[[#This Row],[Pagado]]</f>
        <v>0</v>
      </c>
      <c r="I3732" s="275" t="s">
        <v>15214</v>
      </c>
    </row>
    <row r="3733" spans="1:9" x14ac:dyDescent="0.25">
      <c r="A3733" s="16">
        <v>42947</v>
      </c>
      <c r="B3733" s="273" t="s">
        <v>23664</v>
      </c>
      <c r="C3733">
        <v>121887</v>
      </c>
      <c r="D3733" s="236" t="s">
        <v>15286</v>
      </c>
      <c r="E3733" s="15">
        <v>7545.6</v>
      </c>
      <c r="F3733" s="274">
        <v>42947</v>
      </c>
      <c r="G3733" s="15">
        <v>7545.6</v>
      </c>
      <c r="H3733" s="15">
        <f>Tabla1[[#This Row],[Importe]]-Tabla1[[#This Row],[Pagado]]</f>
        <v>0</v>
      </c>
      <c r="I3733" s="275" t="s">
        <v>15214</v>
      </c>
    </row>
    <row r="3734" spans="1:9" x14ac:dyDescent="0.25">
      <c r="A3734" s="16">
        <v>42947</v>
      </c>
      <c r="B3734" s="273" t="s">
        <v>23665</v>
      </c>
      <c r="C3734">
        <v>121888</v>
      </c>
      <c r="D3734" s="236" t="s">
        <v>15382</v>
      </c>
      <c r="E3734" s="15">
        <v>9313.4</v>
      </c>
      <c r="F3734" s="274">
        <v>42960</v>
      </c>
      <c r="G3734" s="15">
        <v>9313.4</v>
      </c>
      <c r="H3734" s="15">
        <f>Tabla1[[#This Row],[Importe]]-Tabla1[[#This Row],[Pagado]]</f>
        <v>0</v>
      </c>
      <c r="I3734" s="275" t="s">
        <v>15214</v>
      </c>
    </row>
    <row r="3735" spans="1:9" x14ac:dyDescent="0.25">
      <c r="A3735" s="16">
        <v>42947</v>
      </c>
      <c r="B3735" s="273" t="s">
        <v>23666</v>
      </c>
      <c r="C3735">
        <v>121889</v>
      </c>
      <c r="D3735" s="236" t="s">
        <v>15380</v>
      </c>
      <c r="E3735" s="15">
        <v>1620</v>
      </c>
      <c r="F3735" s="292">
        <v>42965</v>
      </c>
      <c r="G3735" s="15">
        <v>1620</v>
      </c>
      <c r="H3735" s="15">
        <f>Tabla1[[#This Row],[Importe]]-Tabla1[[#This Row],[Pagado]]</f>
        <v>0</v>
      </c>
      <c r="I3735" s="275" t="s">
        <v>15214</v>
      </c>
    </row>
    <row r="3736" spans="1:9" x14ac:dyDescent="0.25">
      <c r="A3736" s="16">
        <v>42947</v>
      </c>
      <c r="B3736" s="273" t="s">
        <v>23667</v>
      </c>
      <c r="C3736">
        <v>121890</v>
      </c>
      <c r="D3736" s="236" t="s">
        <v>15415</v>
      </c>
      <c r="E3736" s="15">
        <v>1420.4</v>
      </c>
      <c r="F3736" s="274">
        <v>42952</v>
      </c>
      <c r="G3736" s="15">
        <v>1420.4</v>
      </c>
      <c r="H3736" s="15">
        <f>Tabla1[[#This Row],[Importe]]-Tabla1[[#This Row],[Pagado]]</f>
        <v>0</v>
      </c>
      <c r="I3736" s="275" t="s">
        <v>15214</v>
      </c>
    </row>
    <row r="3737" spans="1:9" x14ac:dyDescent="0.25">
      <c r="A3737" s="16">
        <v>42947</v>
      </c>
      <c r="B3737" s="273" t="s">
        <v>23668</v>
      </c>
      <c r="C3737">
        <v>121891</v>
      </c>
      <c r="D3737" s="236" t="s">
        <v>15583</v>
      </c>
      <c r="E3737" s="15">
        <v>1606.8</v>
      </c>
      <c r="F3737" s="274">
        <v>42954</v>
      </c>
      <c r="G3737" s="15">
        <v>1606.8</v>
      </c>
      <c r="H3737" s="15">
        <f>Tabla1[[#This Row],[Importe]]-Tabla1[[#This Row],[Pagado]]</f>
        <v>0</v>
      </c>
      <c r="I3737" s="275" t="s">
        <v>15214</v>
      </c>
    </row>
    <row r="3738" spans="1:9" x14ac:dyDescent="0.25">
      <c r="A3738" s="16">
        <v>42947</v>
      </c>
      <c r="B3738" s="273" t="s">
        <v>23669</v>
      </c>
      <c r="C3738">
        <v>121892</v>
      </c>
      <c r="D3738" s="236" t="s">
        <v>15415</v>
      </c>
      <c r="E3738" s="15">
        <v>2935</v>
      </c>
      <c r="F3738" s="274">
        <v>42951</v>
      </c>
      <c r="G3738" s="15">
        <v>2935</v>
      </c>
      <c r="H3738" s="15">
        <f>Tabla1[[#This Row],[Importe]]-Tabla1[[#This Row],[Pagado]]</f>
        <v>0</v>
      </c>
      <c r="I3738" s="275" t="s">
        <v>15214</v>
      </c>
    </row>
    <row r="3739" spans="1:9" x14ac:dyDescent="0.25">
      <c r="A3739" s="16">
        <v>42947</v>
      </c>
      <c r="B3739" s="273" t="s">
        <v>23670</v>
      </c>
      <c r="C3739">
        <v>121893</v>
      </c>
      <c r="D3739" s="236" t="s">
        <v>15596</v>
      </c>
      <c r="E3739" s="15">
        <v>1025.0999999999999</v>
      </c>
      <c r="F3739" s="274">
        <v>42947</v>
      </c>
      <c r="G3739" s="15">
        <v>1025.0999999999999</v>
      </c>
      <c r="H3739" s="15">
        <f>Tabla1[[#This Row],[Importe]]-Tabla1[[#This Row],[Pagado]]</f>
        <v>0</v>
      </c>
      <c r="I3739" s="275" t="s">
        <v>15214</v>
      </c>
    </row>
    <row r="3740" spans="1:9" x14ac:dyDescent="0.25">
      <c r="A3740" s="16">
        <v>42947</v>
      </c>
      <c r="B3740" s="273" t="s">
        <v>23671</v>
      </c>
      <c r="C3740">
        <v>121894</v>
      </c>
      <c r="D3740" s="236" t="s">
        <v>19776</v>
      </c>
      <c r="E3740" s="15">
        <v>836.4</v>
      </c>
      <c r="F3740" s="274">
        <v>42947</v>
      </c>
      <c r="G3740" s="15">
        <v>836.4</v>
      </c>
      <c r="H3740" s="15">
        <f>Tabla1[[#This Row],[Importe]]-Tabla1[[#This Row],[Pagado]]</f>
        <v>0</v>
      </c>
      <c r="I3740" s="275" t="s">
        <v>15214</v>
      </c>
    </row>
    <row r="3741" spans="1:9" x14ac:dyDescent="0.25">
      <c r="A3741" s="16">
        <v>42947</v>
      </c>
      <c r="B3741" s="273" t="s">
        <v>23672</v>
      </c>
      <c r="C3741">
        <v>121895</v>
      </c>
      <c r="D3741" s="236" t="s">
        <v>15280</v>
      </c>
      <c r="E3741" s="15">
        <v>5079.6000000000004</v>
      </c>
      <c r="F3741" s="274">
        <v>42947</v>
      </c>
      <c r="G3741" s="15">
        <v>5079.6000000000004</v>
      </c>
      <c r="H3741" s="15">
        <f>Tabla1[[#This Row],[Importe]]-Tabla1[[#This Row],[Pagado]]</f>
        <v>0</v>
      </c>
      <c r="I3741" s="275" t="s">
        <v>15214</v>
      </c>
    </row>
    <row r="3742" spans="1:9" x14ac:dyDescent="0.25">
      <c r="A3742" s="16">
        <v>42947</v>
      </c>
      <c r="B3742" s="273" t="s">
        <v>23673</v>
      </c>
      <c r="C3742">
        <v>121896</v>
      </c>
      <c r="D3742" s="236" t="s">
        <v>15256</v>
      </c>
      <c r="E3742" s="15">
        <v>4615.8</v>
      </c>
      <c r="F3742" s="274">
        <v>42950</v>
      </c>
      <c r="G3742" s="15">
        <v>4615.8</v>
      </c>
      <c r="H3742" s="15">
        <f>Tabla1[[#This Row],[Importe]]-Tabla1[[#This Row],[Pagado]]</f>
        <v>0</v>
      </c>
      <c r="I3742" s="275" t="s">
        <v>15214</v>
      </c>
    </row>
    <row r="3743" spans="1:9" x14ac:dyDescent="0.25">
      <c r="A3743" s="16">
        <v>42947</v>
      </c>
      <c r="B3743" s="273" t="s">
        <v>23674</v>
      </c>
      <c r="C3743">
        <v>121897</v>
      </c>
      <c r="D3743" s="236" t="s">
        <v>19776</v>
      </c>
      <c r="E3743" s="15">
        <v>4050</v>
      </c>
      <c r="F3743" s="274">
        <v>42947</v>
      </c>
      <c r="G3743" s="15">
        <v>4050</v>
      </c>
      <c r="H3743" s="15">
        <f>Tabla1[[#This Row],[Importe]]-Tabla1[[#This Row],[Pagado]]</f>
        <v>0</v>
      </c>
      <c r="I3743" s="275" t="s">
        <v>15214</v>
      </c>
    </row>
    <row r="3744" spans="1:9" x14ac:dyDescent="0.25">
      <c r="A3744" s="16">
        <v>42947</v>
      </c>
      <c r="B3744" s="273" t="s">
        <v>23675</v>
      </c>
      <c r="C3744">
        <v>121898</v>
      </c>
      <c r="D3744" s="236" t="s">
        <v>15305</v>
      </c>
      <c r="E3744" s="15">
        <v>2476</v>
      </c>
      <c r="F3744" s="274">
        <v>42947</v>
      </c>
      <c r="G3744" s="15">
        <v>2476</v>
      </c>
      <c r="H3744" s="15">
        <f>Tabla1[[#This Row],[Importe]]-Tabla1[[#This Row],[Pagado]]</f>
        <v>0</v>
      </c>
      <c r="I3744" s="275" t="s">
        <v>15214</v>
      </c>
    </row>
    <row r="3745" spans="1:9" x14ac:dyDescent="0.25">
      <c r="A3745" s="16">
        <v>42947</v>
      </c>
      <c r="B3745" s="273" t="s">
        <v>23676</v>
      </c>
      <c r="C3745">
        <v>121899</v>
      </c>
      <c r="D3745" s="236" t="s">
        <v>15317</v>
      </c>
      <c r="E3745" s="15">
        <v>2760</v>
      </c>
      <c r="F3745" s="274">
        <v>42950</v>
      </c>
      <c r="G3745" s="15">
        <v>2760</v>
      </c>
      <c r="H3745" s="15">
        <f>Tabla1[[#This Row],[Importe]]-Tabla1[[#This Row],[Pagado]]</f>
        <v>0</v>
      </c>
      <c r="I3745" s="275" t="s">
        <v>15214</v>
      </c>
    </row>
    <row r="3746" spans="1:9" x14ac:dyDescent="0.25">
      <c r="A3746" s="16">
        <v>42947</v>
      </c>
      <c r="B3746" s="273" t="s">
        <v>23677</v>
      </c>
      <c r="C3746">
        <v>121900</v>
      </c>
      <c r="D3746" s="236" t="s">
        <v>15307</v>
      </c>
      <c r="E3746" s="15">
        <v>960</v>
      </c>
      <c r="F3746" s="274">
        <v>42947</v>
      </c>
      <c r="G3746" s="15">
        <v>960</v>
      </c>
      <c r="H3746" s="15">
        <f>Tabla1[[#This Row],[Importe]]-Tabla1[[#This Row],[Pagado]]</f>
        <v>0</v>
      </c>
      <c r="I3746" s="275" t="s">
        <v>15214</v>
      </c>
    </row>
    <row r="3747" spans="1:9" x14ac:dyDescent="0.25">
      <c r="A3747" s="16">
        <v>42947</v>
      </c>
      <c r="B3747" s="273" t="s">
        <v>23678</v>
      </c>
      <c r="C3747">
        <v>121901</v>
      </c>
      <c r="D3747" s="236" t="s">
        <v>15338</v>
      </c>
      <c r="E3747" s="15">
        <v>9636</v>
      </c>
      <c r="F3747" s="274">
        <v>42950</v>
      </c>
      <c r="G3747" s="15">
        <v>9636</v>
      </c>
      <c r="H3747" s="15">
        <f>Tabla1[[#This Row],[Importe]]-Tabla1[[#This Row],[Pagado]]</f>
        <v>0</v>
      </c>
      <c r="I3747" s="275" t="s">
        <v>15214</v>
      </c>
    </row>
    <row r="3748" spans="1:9" x14ac:dyDescent="0.25">
      <c r="A3748" s="16">
        <v>42947</v>
      </c>
      <c r="B3748" s="273" t="s">
        <v>23679</v>
      </c>
      <c r="C3748">
        <v>121902</v>
      </c>
      <c r="D3748" s="236" t="s">
        <v>15389</v>
      </c>
      <c r="E3748" s="15">
        <v>12708</v>
      </c>
      <c r="F3748" s="274">
        <v>42960</v>
      </c>
      <c r="G3748" s="15">
        <v>12708</v>
      </c>
      <c r="H3748" s="15">
        <f>Tabla1[[#This Row],[Importe]]-Tabla1[[#This Row],[Pagado]]</f>
        <v>0</v>
      </c>
      <c r="I3748" s="275" t="s">
        <v>15214</v>
      </c>
    </row>
    <row r="3749" spans="1:9" x14ac:dyDescent="0.25">
      <c r="A3749" s="16">
        <v>42947</v>
      </c>
      <c r="B3749" s="273" t="s">
        <v>23680</v>
      </c>
      <c r="C3749">
        <v>121903</v>
      </c>
      <c r="D3749" s="236" t="s">
        <v>15291</v>
      </c>
      <c r="E3749" s="15">
        <v>820</v>
      </c>
      <c r="F3749" s="274">
        <v>42947</v>
      </c>
      <c r="G3749" s="15">
        <v>820</v>
      </c>
      <c r="H3749" s="15">
        <f>Tabla1[[#This Row],[Importe]]-Tabla1[[#This Row],[Pagado]]</f>
        <v>0</v>
      </c>
      <c r="I3749" s="275" t="s">
        <v>15214</v>
      </c>
    </row>
    <row r="3750" spans="1:9" x14ac:dyDescent="0.25">
      <c r="A3750" s="16">
        <v>42947</v>
      </c>
      <c r="B3750" s="273" t="s">
        <v>23681</v>
      </c>
      <c r="C3750">
        <v>121904</v>
      </c>
      <c r="D3750" s="236" t="s">
        <v>15315</v>
      </c>
      <c r="E3750" s="15">
        <v>784.4</v>
      </c>
      <c r="F3750" s="274">
        <v>42947</v>
      </c>
      <c r="G3750" s="15">
        <v>784.4</v>
      </c>
      <c r="H3750" s="15">
        <f>Tabla1[[#This Row],[Importe]]-Tabla1[[#This Row],[Pagado]]</f>
        <v>0</v>
      </c>
      <c r="I3750" s="275" t="s">
        <v>15214</v>
      </c>
    </row>
    <row r="3751" spans="1:9" x14ac:dyDescent="0.25">
      <c r="A3751" s="16">
        <v>42947</v>
      </c>
      <c r="B3751" s="273" t="s">
        <v>23682</v>
      </c>
      <c r="C3751">
        <v>121905</v>
      </c>
      <c r="D3751" s="236" t="s">
        <v>15223</v>
      </c>
      <c r="E3751" s="15">
        <v>54480</v>
      </c>
      <c r="F3751" s="274">
        <v>42967</v>
      </c>
      <c r="G3751" s="15">
        <v>54480</v>
      </c>
      <c r="H3751" s="15">
        <f>Tabla1[[#This Row],[Importe]]-Tabla1[[#This Row],[Pagado]]</f>
        <v>0</v>
      </c>
      <c r="I3751" s="275" t="s">
        <v>15214</v>
      </c>
    </row>
    <row r="3752" spans="1:9" x14ac:dyDescent="0.25">
      <c r="A3752" s="16">
        <v>42947</v>
      </c>
      <c r="B3752" s="273" t="s">
        <v>23683</v>
      </c>
      <c r="C3752">
        <v>121906</v>
      </c>
      <c r="D3752" s="236" t="s">
        <v>15427</v>
      </c>
      <c r="E3752" s="15">
        <v>39490</v>
      </c>
      <c r="F3752" s="274">
        <v>42948</v>
      </c>
      <c r="G3752" s="15">
        <v>39490</v>
      </c>
      <c r="H3752" s="15">
        <f>Tabla1[[#This Row],[Importe]]-Tabla1[[#This Row],[Pagado]]</f>
        <v>0</v>
      </c>
      <c r="I3752" s="275" t="s">
        <v>15214</v>
      </c>
    </row>
    <row r="3753" spans="1:9" x14ac:dyDescent="0.25">
      <c r="A3753" s="16">
        <v>42947</v>
      </c>
      <c r="B3753" s="273" t="s">
        <v>23684</v>
      </c>
      <c r="C3753">
        <v>121907</v>
      </c>
      <c r="D3753" s="236" t="s">
        <v>15404</v>
      </c>
      <c r="E3753" s="15">
        <v>12282</v>
      </c>
      <c r="F3753" s="274">
        <v>42947</v>
      </c>
      <c r="G3753" s="15">
        <v>12282</v>
      </c>
      <c r="H3753" s="15">
        <f>Tabla1[[#This Row],[Importe]]-Tabla1[[#This Row],[Pagado]]</f>
        <v>0</v>
      </c>
      <c r="I3753" s="275" t="s">
        <v>15214</v>
      </c>
    </row>
    <row r="3754" spans="1:9" x14ac:dyDescent="0.25">
      <c r="A3754" s="16">
        <v>42947</v>
      </c>
      <c r="B3754" s="273" t="s">
        <v>23685</v>
      </c>
      <c r="C3754">
        <v>121908</v>
      </c>
      <c r="D3754" s="236" t="s">
        <v>15315</v>
      </c>
      <c r="E3754" s="15">
        <v>2789.7</v>
      </c>
      <c r="F3754" s="274">
        <v>42947</v>
      </c>
      <c r="G3754" s="15">
        <v>2789.7</v>
      </c>
      <c r="H3754" s="15">
        <f>Tabla1[[#This Row],[Importe]]-Tabla1[[#This Row],[Pagado]]</f>
        <v>0</v>
      </c>
      <c r="I3754" s="275" t="s">
        <v>15214</v>
      </c>
    </row>
    <row r="3755" spans="1:9" x14ac:dyDescent="0.25">
      <c r="A3755" s="16">
        <v>42947</v>
      </c>
      <c r="B3755" s="273" t="s">
        <v>23686</v>
      </c>
      <c r="C3755">
        <v>121909</v>
      </c>
      <c r="D3755" s="236" t="s">
        <v>15263</v>
      </c>
      <c r="E3755" s="15">
        <v>5336.5</v>
      </c>
      <c r="F3755" s="274">
        <v>42947</v>
      </c>
      <c r="G3755" s="15">
        <v>5336.5</v>
      </c>
      <c r="H3755" s="15">
        <f>Tabla1[[#This Row],[Importe]]-Tabla1[[#This Row],[Pagado]]</f>
        <v>0</v>
      </c>
      <c r="I3755" s="275" t="s">
        <v>15214</v>
      </c>
    </row>
    <row r="3756" spans="1:9" x14ac:dyDescent="0.25">
      <c r="A3756" s="16">
        <v>42947</v>
      </c>
      <c r="B3756" s="273" t="s">
        <v>23687</v>
      </c>
      <c r="C3756">
        <v>121910</v>
      </c>
      <c r="D3756" s="236" t="s">
        <v>15728</v>
      </c>
      <c r="E3756" s="15">
        <v>9180</v>
      </c>
      <c r="F3756" s="274">
        <v>42947</v>
      </c>
      <c r="G3756" s="15">
        <v>9180</v>
      </c>
      <c r="H3756" s="15">
        <f>Tabla1[[#This Row],[Importe]]-Tabla1[[#This Row],[Pagado]]</f>
        <v>0</v>
      </c>
      <c r="I3756" s="275" t="s">
        <v>15214</v>
      </c>
    </row>
    <row r="3757" spans="1:9" x14ac:dyDescent="0.25">
      <c r="A3757" s="16">
        <v>42947</v>
      </c>
      <c r="B3757" s="273" t="s">
        <v>23688</v>
      </c>
      <c r="C3757">
        <v>121911</v>
      </c>
      <c r="D3757" s="236" t="s">
        <v>15284</v>
      </c>
      <c r="E3757" s="15">
        <v>901.4</v>
      </c>
      <c r="F3757" s="274">
        <v>42947</v>
      </c>
      <c r="G3757" s="15">
        <v>901.4</v>
      </c>
      <c r="H3757" s="15">
        <f>Tabla1[[#This Row],[Importe]]-Tabla1[[#This Row],[Pagado]]</f>
        <v>0</v>
      </c>
      <c r="I3757" s="275" t="s">
        <v>15214</v>
      </c>
    </row>
    <row r="3758" spans="1:9" x14ac:dyDescent="0.25">
      <c r="A3758" s="16">
        <v>42947</v>
      </c>
      <c r="B3758" s="273" t="s">
        <v>23689</v>
      </c>
      <c r="C3758">
        <v>121912</v>
      </c>
      <c r="D3758" s="236" t="s">
        <v>15378</v>
      </c>
      <c r="E3758" s="15">
        <v>9935.7999999999993</v>
      </c>
      <c r="F3758" s="274">
        <v>42954</v>
      </c>
      <c r="G3758" s="15">
        <v>9935.7999999999993</v>
      </c>
      <c r="H3758" s="15">
        <f>Tabla1[[#This Row],[Importe]]-Tabla1[[#This Row],[Pagado]]</f>
        <v>0</v>
      </c>
      <c r="I3758" s="275" t="s">
        <v>15214</v>
      </c>
    </row>
    <row r="3759" spans="1:9" x14ac:dyDescent="0.25">
      <c r="A3759" s="16">
        <v>42947</v>
      </c>
      <c r="B3759" s="273" t="s">
        <v>23690</v>
      </c>
      <c r="C3759">
        <v>121913</v>
      </c>
      <c r="D3759" s="236" t="s">
        <v>15238</v>
      </c>
      <c r="E3759" s="15">
        <v>3151.2</v>
      </c>
      <c r="F3759" s="292">
        <v>42949</v>
      </c>
      <c r="G3759" s="15">
        <v>3151.2</v>
      </c>
      <c r="H3759" s="15">
        <f>Tabla1[[#This Row],[Importe]]-Tabla1[[#This Row],[Pagado]]</f>
        <v>0</v>
      </c>
      <c r="I3759" s="275" t="s">
        <v>15214</v>
      </c>
    </row>
    <row r="3760" spans="1:9" x14ac:dyDescent="0.25">
      <c r="A3760" s="16">
        <v>42947</v>
      </c>
      <c r="B3760" s="273" t="s">
        <v>23691</v>
      </c>
      <c r="C3760">
        <v>121914</v>
      </c>
      <c r="D3760" s="236" t="s">
        <v>15391</v>
      </c>
      <c r="E3760" s="15">
        <v>7975.5</v>
      </c>
      <c r="F3760" s="292">
        <v>42949</v>
      </c>
      <c r="G3760" s="15">
        <v>7975.5</v>
      </c>
      <c r="H3760" s="15">
        <f>Tabla1[[#This Row],[Importe]]-Tabla1[[#This Row],[Pagado]]</f>
        <v>0</v>
      </c>
      <c r="I3760" s="275" t="s">
        <v>15214</v>
      </c>
    </row>
    <row r="3761" spans="1:9" x14ac:dyDescent="0.25">
      <c r="A3761" s="16">
        <v>42947</v>
      </c>
      <c r="B3761" s="273" t="s">
        <v>23692</v>
      </c>
      <c r="C3761">
        <v>121915</v>
      </c>
      <c r="D3761" s="236" t="s">
        <v>15387</v>
      </c>
      <c r="E3761" s="15">
        <v>1804.4</v>
      </c>
      <c r="F3761" s="274">
        <v>42947</v>
      </c>
      <c r="G3761" s="15">
        <v>1804.4</v>
      </c>
      <c r="H3761" s="15">
        <f>Tabla1[[#This Row],[Importe]]-Tabla1[[#This Row],[Pagado]]</f>
        <v>0</v>
      </c>
      <c r="I3761" s="275" t="s">
        <v>15214</v>
      </c>
    </row>
    <row r="3762" spans="1:9" ht="30" x14ac:dyDescent="0.25">
      <c r="A3762" s="16">
        <v>42947</v>
      </c>
      <c r="B3762" s="273" t="s">
        <v>23693</v>
      </c>
      <c r="C3762">
        <v>121916</v>
      </c>
      <c r="D3762" s="236" t="s">
        <v>15568</v>
      </c>
      <c r="E3762" s="15">
        <v>10298.4</v>
      </c>
      <c r="F3762" s="292" t="s">
        <v>23763</v>
      </c>
      <c r="G3762" s="241">
        <f>9045.9+1252.5</f>
        <v>10298.4</v>
      </c>
      <c r="H3762" s="241">
        <f>Tabla1[[#This Row],[Importe]]-Tabla1[[#This Row],[Pagado]]</f>
        <v>0</v>
      </c>
      <c r="I3762" s="275" t="s">
        <v>15214</v>
      </c>
    </row>
    <row r="3763" spans="1:9" x14ac:dyDescent="0.25">
      <c r="A3763" s="16">
        <v>42947</v>
      </c>
      <c r="B3763" s="273" t="s">
        <v>23694</v>
      </c>
      <c r="C3763">
        <v>121917</v>
      </c>
      <c r="D3763" s="236" t="s">
        <v>15706</v>
      </c>
      <c r="E3763" s="15">
        <v>1015.8</v>
      </c>
      <c r="F3763" s="274">
        <v>42947</v>
      </c>
      <c r="G3763" s="15">
        <v>1015.8</v>
      </c>
      <c r="H3763" s="15">
        <f>Tabla1[[#This Row],[Importe]]-Tabla1[[#This Row],[Pagado]]</f>
        <v>0</v>
      </c>
      <c r="I3763" s="275" t="s">
        <v>15214</v>
      </c>
    </row>
    <row r="3764" spans="1:9" x14ac:dyDescent="0.25">
      <c r="A3764" s="16">
        <v>42947</v>
      </c>
      <c r="B3764" s="273" t="s">
        <v>23695</v>
      </c>
      <c r="C3764">
        <v>121918</v>
      </c>
      <c r="D3764" s="236" t="s">
        <v>15363</v>
      </c>
      <c r="E3764" s="15">
        <v>3075.3</v>
      </c>
      <c r="F3764" s="274">
        <v>42947</v>
      </c>
      <c r="G3764" s="15">
        <v>3075.3</v>
      </c>
      <c r="H3764" s="15">
        <f>Tabla1[[#This Row],[Importe]]-Tabla1[[#This Row],[Pagado]]</f>
        <v>0</v>
      </c>
      <c r="I3764" s="275" t="s">
        <v>15214</v>
      </c>
    </row>
    <row r="3765" spans="1:9" x14ac:dyDescent="0.25">
      <c r="A3765" s="16">
        <v>42947</v>
      </c>
      <c r="B3765" s="273" t="s">
        <v>23696</v>
      </c>
      <c r="C3765">
        <v>121919</v>
      </c>
      <c r="D3765" s="236" t="s">
        <v>15706</v>
      </c>
      <c r="E3765" s="15">
        <v>502.2</v>
      </c>
      <c r="F3765" s="274">
        <v>42947</v>
      </c>
      <c r="G3765" s="15">
        <v>502.2</v>
      </c>
      <c r="H3765" s="15">
        <f>Tabla1[[#This Row],[Importe]]-Tabla1[[#This Row],[Pagado]]</f>
        <v>0</v>
      </c>
      <c r="I3765" s="275" t="s">
        <v>15214</v>
      </c>
    </row>
    <row r="3766" spans="1:9" x14ac:dyDescent="0.25">
      <c r="A3766" s="16">
        <v>42947</v>
      </c>
      <c r="B3766" s="273" t="s">
        <v>23697</v>
      </c>
      <c r="C3766">
        <v>121920</v>
      </c>
      <c r="D3766" s="236" t="s">
        <v>15566</v>
      </c>
      <c r="E3766" s="15">
        <v>3905.4</v>
      </c>
      <c r="F3766" s="274">
        <v>42947</v>
      </c>
      <c r="G3766" s="15">
        <v>3905.4</v>
      </c>
      <c r="H3766" s="15">
        <f>Tabla1[[#This Row],[Importe]]-Tabla1[[#This Row],[Pagado]]</f>
        <v>0</v>
      </c>
      <c r="I3766" s="275" t="s">
        <v>15214</v>
      </c>
    </row>
    <row r="3767" spans="1:9" x14ac:dyDescent="0.25">
      <c r="A3767" s="16">
        <v>42947</v>
      </c>
      <c r="B3767" s="273" t="s">
        <v>23698</v>
      </c>
      <c r="C3767">
        <v>121921</v>
      </c>
      <c r="D3767" s="236" t="s">
        <v>15315</v>
      </c>
      <c r="E3767" s="15">
        <v>3700.2</v>
      </c>
      <c r="F3767" s="274">
        <v>42950</v>
      </c>
      <c r="G3767" s="15">
        <v>3700.2</v>
      </c>
      <c r="H3767" s="15">
        <f>Tabla1[[#This Row],[Importe]]-Tabla1[[#This Row],[Pagado]]</f>
        <v>0</v>
      </c>
      <c r="I3767" s="275" t="s">
        <v>15214</v>
      </c>
    </row>
    <row r="3768" spans="1:9" x14ac:dyDescent="0.25">
      <c r="A3768" s="16">
        <v>42947</v>
      </c>
      <c r="B3768" s="273" t="s">
        <v>23699</v>
      </c>
      <c r="C3768">
        <v>121922</v>
      </c>
      <c r="D3768" s="236" t="s">
        <v>15559</v>
      </c>
      <c r="E3768" s="15">
        <v>2841.3</v>
      </c>
      <c r="F3768" s="274">
        <v>42956</v>
      </c>
      <c r="G3768" s="15">
        <v>2841.3</v>
      </c>
      <c r="H3768" s="15">
        <f>Tabla1[[#This Row],[Importe]]-Tabla1[[#This Row],[Pagado]]</f>
        <v>0</v>
      </c>
      <c r="I3768" s="275" t="s">
        <v>15214</v>
      </c>
    </row>
    <row r="3769" spans="1:9" x14ac:dyDescent="0.25">
      <c r="A3769" s="16">
        <v>42947</v>
      </c>
      <c r="B3769" s="273" t="s">
        <v>23700</v>
      </c>
      <c r="C3769">
        <v>121923</v>
      </c>
      <c r="D3769" s="236" t="s">
        <v>15315</v>
      </c>
      <c r="E3769" s="15">
        <v>7590</v>
      </c>
      <c r="F3769" s="274">
        <v>42956</v>
      </c>
      <c r="G3769" s="15">
        <v>7590</v>
      </c>
      <c r="H3769" s="15">
        <f>Tabla1[[#This Row],[Importe]]-Tabla1[[#This Row],[Pagado]]</f>
        <v>0</v>
      </c>
      <c r="I3769" s="275" t="s">
        <v>15214</v>
      </c>
    </row>
    <row r="3770" spans="1:9" x14ac:dyDescent="0.25">
      <c r="A3770" s="16">
        <v>42947</v>
      </c>
      <c r="B3770" s="273" t="s">
        <v>23701</v>
      </c>
      <c r="C3770">
        <v>121924</v>
      </c>
      <c r="D3770" s="236" t="s">
        <v>15544</v>
      </c>
      <c r="E3770" s="15">
        <v>3379.2</v>
      </c>
      <c r="F3770" s="274">
        <v>42951</v>
      </c>
      <c r="G3770" s="15">
        <v>3379.2</v>
      </c>
      <c r="H3770" s="15">
        <f>Tabla1[[#This Row],[Importe]]-Tabla1[[#This Row],[Pagado]]</f>
        <v>0</v>
      </c>
      <c r="I3770" s="275" t="s">
        <v>15214</v>
      </c>
    </row>
    <row r="3771" spans="1:9" x14ac:dyDescent="0.25">
      <c r="A3771" s="16">
        <v>42947</v>
      </c>
      <c r="B3771" s="273" t="s">
        <v>23702</v>
      </c>
      <c r="C3771">
        <v>121925</v>
      </c>
      <c r="D3771" s="236" t="s">
        <v>15555</v>
      </c>
      <c r="E3771" s="15">
        <v>648</v>
      </c>
      <c r="F3771" s="274">
        <v>42950</v>
      </c>
      <c r="G3771" s="15">
        <v>648</v>
      </c>
      <c r="H3771" s="15">
        <f>Tabla1[[#This Row],[Importe]]-Tabla1[[#This Row],[Pagado]]</f>
        <v>0</v>
      </c>
      <c r="I3771" s="275" t="s">
        <v>15214</v>
      </c>
    </row>
    <row r="3772" spans="1:9" x14ac:dyDescent="0.25">
      <c r="A3772" s="16">
        <v>42947</v>
      </c>
      <c r="B3772" s="273" t="s">
        <v>23703</v>
      </c>
      <c r="C3772">
        <v>121926</v>
      </c>
      <c r="D3772" s="236" t="s">
        <v>15555</v>
      </c>
      <c r="E3772" s="15">
        <v>667.2</v>
      </c>
      <c r="F3772" s="274">
        <v>42950</v>
      </c>
      <c r="G3772" s="15">
        <v>667.2</v>
      </c>
      <c r="H3772" s="15">
        <f>Tabla1[[#This Row],[Importe]]-Tabla1[[#This Row],[Pagado]]</f>
        <v>0</v>
      </c>
      <c r="I3772" s="275" t="s">
        <v>15214</v>
      </c>
    </row>
    <row r="3773" spans="1:9" x14ac:dyDescent="0.25">
      <c r="A3773" s="16">
        <v>42947</v>
      </c>
      <c r="B3773" s="273" t="s">
        <v>23704</v>
      </c>
      <c r="C3773">
        <v>121927</v>
      </c>
      <c r="D3773" s="236" t="s">
        <v>15326</v>
      </c>
      <c r="E3773" s="15">
        <v>2822.4</v>
      </c>
      <c r="F3773" s="274">
        <v>42947</v>
      </c>
      <c r="G3773" s="15">
        <v>2822.4</v>
      </c>
      <c r="H3773" s="15">
        <f>Tabla1[[#This Row],[Importe]]-Tabla1[[#This Row],[Pagado]]</f>
        <v>0</v>
      </c>
      <c r="I3773" s="275" t="s">
        <v>15214</v>
      </c>
    </row>
    <row r="3774" spans="1:9" x14ac:dyDescent="0.25">
      <c r="A3774" s="16">
        <v>42947</v>
      </c>
      <c r="B3774" s="273" t="s">
        <v>23705</v>
      </c>
      <c r="C3774">
        <v>121928</v>
      </c>
      <c r="D3774" s="236" t="s">
        <v>15309</v>
      </c>
      <c r="E3774" s="15">
        <v>10528.8</v>
      </c>
      <c r="F3774" s="274">
        <v>42947</v>
      </c>
      <c r="G3774" s="15">
        <v>10528.8</v>
      </c>
      <c r="H3774" s="15">
        <f>Tabla1[[#This Row],[Importe]]-Tabla1[[#This Row],[Pagado]]</f>
        <v>0</v>
      </c>
      <c r="I3774" s="275" t="s">
        <v>15214</v>
      </c>
    </row>
    <row r="3775" spans="1:9" x14ac:dyDescent="0.25">
      <c r="A3775" s="16">
        <v>42947</v>
      </c>
      <c r="B3775" s="273" t="s">
        <v>23706</v>
      </c>
      <c r="C3775">
        <v>121929</v>
      </c>
      <c r="D3775" s="236" t="s">
        <v>19768</v>
      </c>
      <c r="E3775" s="15">
        <v>1530</v>
      </c>
      <c r="F3775" s="274">
        <v>42947</v>
      </c>
      <c r="G3775" s="15">
        <v>1530</v>
      </c>
      <c r="H3775" s="15">
        <f>Tabla1[[#This Row],[Importe]]-Tabla1[[#This Row],[Pagado]]</f>
        <v>0</v>
      </c>
      <c r="I3775" s="275" t="s">
        <v>15214</v>
      </c>
    </row>
    <row r="3776" spans="1:9" x14ac:dyDescent="0.25">
      <c r="A3776" s="16">
        <v>42947</v>
      </c>
      <c r="B3776" s="273" t="s">
        <v>23707</v>
      </c>
      <c r="C3776">
        <v>121930</v>
      </c>
      <c r="D3776" s="236" t="s">
        <v>19768</v>
      </c>
      <c r="E3776" s="15">
        <v>220</v>
      </c>
      <c r="F3776" s="274">
        <v>42947</v>
      </c>
      <c r="G3776" s="15">
        <v>220</v>
      </c>
      <c r="H3776" s="15">
        <f>Tabla1[[#This Row],[Importe]]-Tabla1[[#This Row],[Pagado]]</f>
        <v>0</v>
      </c>
      <c r="I3776" s="275" t="s">
        <v>15214</v>
      </c>
    </row>
    <row r="3777" spans="1:9" x14ac:dyDescent="0.25">
      <c r="A3777" s="16">
        <v>42947</v>
      </c>
      <c r="B3777" s="273" t="s">
        <v>23708</v>
      </c>
      <c r="C3777">
        <v>121931</v>
      </c>
      <c r="D3777" s="236" t="s">
        <v>15246</v>
      </c>
      <c r="E3777" s="15">
        <v>38118.6</v>
      </c>
      <c r="F3777" s="274">
        <v>42950</v>
      </c>
      <c r="G3777" s="15">
        <v>38118.6</v>
      </c>
      <c r="H3777" s="15">
        <f>Tabla1[[#This Row],[Importe]]-Tabla1[[#This Row],[Pagado]]</f>
        <v>0</v>
      </c>
      <c r="I3777" s="275" t="s">
        <v>15214</v>
      </c>
    </row>
    <row r="3778" spans="1:9" x14ac:dyDescent="0.25">
      <c r="A3778" s="16">
        <v>42947</v>
      </c>
      <c r="B3778" s="273" t="s">
        <v>23709</v>
      </c>
      <c r="C3778">
        <v>121932</v>
      </c>
      <c r="D3778" s="236" t="s">
        <v>15396</v>
      </c>
      <c r="E3778" s="15">
        <v>7829.68</v>
      </c>
      <c r="F3778" s="274">
        <v>42947</v>
      </c>
      <c r="G3778" s="15">
        <v>7829.68</v>
      </c>
      <c r="H3778" s="15">
        <f>Tabla1[[#This Row],[Importe]]-Tabla1[[#This Row],[Pagado]]</f>
        <v>0</v>
      </c>
      <c r="I3778" s="275" t="s">
        <v>15214</v>
      </c>
    </row>
    <row r="3779" spans="1:9" x14ac:dyDescent="0.25">
      <c r="A3779" s="16">
        <v>42947</v>
      </c>
      <c r="B3779" s="273" t="s">
        <v>23710</v>
      </c>
      <c r="C3779">
        <v>121933</v>
      </c>
      <c r="D3779" s="236" t="s">
        <v>15267</v>
      </c>
      <c r="E3779" s="15">
        <v>4576</v>
      </c>
      <c r="F3779" s="274">
        <v>42947</v>
      </c>
      <c r="G3779" s="15">
        <v>4576</v>
      </c>
      <c r="H3779" s="15">
        <f>Tabla1[[#This Row],[Importe]]-Tabla1[[#This Row],[Pagado]]</f>
        <v>0</v>
      </c>
      <c r="I3779" s="275" t="s">
        <v>15214</v>
      </c>
    </row>
    <row r="3780" spans="1:9" x14ac:dyDescent="0.25">
      <c r="A3780" s="16">
        <v>42947</v>
      </c>
      <c r="B3780" s="273" t="s">
        <v>23711</v>
      </c>
      <c r="C3780">
        <v>121934</v>
      </c>
      <c r="D3780" s="236" t="s">
        <v>15282</v>
      </c>
      <c r="E3780" s="15">
        <v>2376.4</v>
      </c>
      <c r="F3780" s="274">
        <v>42947</v>
      </c>
      <c r="G3780" s="15">
        <v>2376.4</v>
      </c>
      <c r="H3780" s="15">
        <f>Tabla1[[#This Row],[Importe]]-Tabla1[[#This Row],[Pagado]]</f>
        <v>0</v>
      </c>
      <c r="I3780" s="275" t="s">
        <v>15214</v>
      </c>
    </row>
    <row r="3781" spans="1:9" x14ac:dyDescent="0.25">
      <c r="A3781" s="16">
        <v>42947</v>
      </c>
      <c r="B3781" s="273" t="s">
        <v>23712</v>
      </c>
      <c r="C3781">
        <v>121935</v>
      </c>
      <c r="D3781" s="236" t="s">
        <v>15226</v>
      </c>
      <c r="E3781" s="15">
        <v>3345.6</v>
      </c>
      <c r="F3781" s="292">
        <v>42949</v>
      </c>
      <c r="G3781" s="15">
        <v>3345.6</v>
      </c>
      <c r="H3781" s="15">
        <f>Tabla1[[#This Row],[Importe]]-Tabla1[[#This Row],[Pagado]]</f>
        <v>0</v>
      </c>
      <c r="I3781" s="275" t="s">
        <v>15214</v>
      </c>
    </row>
    <row r="3782" spans="1:9" x14ac:dyDescent="0.25">
      <c r="A3782" s="16">
        <v>42947</v>
      </c>
      <c r="B3782" s="273" t="s">
        <v>23713</v>
      </c>
      <c r="C3782">
        <v>121936</v>
      </c>
      <c r="D3782" s="236" t="s">
        <v>17722</v>
      </c>
      <c r="E3782" s="15">
        <v>3305</v>
      </c>
      <c r="F3782" s="274">
        <v>42947</v>
      </c>
      <c r="G3782" s="15">
        <v>3305</v>
      </c>
      <c r="H3782" s="15">
        <f>Tabla1[[#This Row],[Importe]]-Tabla1[[#This Row],[Pagado]]</f>
        <v>0</v>
      </c>
      <c r="I3782" s="275" t="s">
        <v>15214</v>
      </c>
    </row>
    <row r="3783" spans="1:9" x14ac:dyDescent="0.25">
      <c r="A3783" s="16">
        <v>42947</v>
      </c>
      <c r="B3783" s="273" t="s">
        <v>23714</v>
      </c>
      <c r="C3783">
        <v>121937</v>
      </c>
      <c r="D3783" s="236" t="s">
        <v>15398</v>
      </c>
      <c r="E3783" s="15">
        <v>3156.6</v>
      </c>
      <c r="F3783" s="274">
        <v>42947</v>
      </c>
      <c r="G3783" s="15">
        <v>3156.6</v>
      </c>
      <c r="H3783" s="15">
        <f>Tabla1[[#This Row],[Importe]]-Tabla1[[#This Row],[Pagado]]</f>
        <v>0</v>
      </c>
      <c r="I3783" s="275" t="s">
        <v>15214</v>
      </c>
    </row>
    <row r="3784" spans="1:9" x14ac:dyDescent="0.25">
      <c r="A3784" s="16">
        <v>42947</v>
      </c>
      <c r="B3784" s="273" t="s">
        <v>23715</v>
      </c>
      <c r="C3784">
        <v>121938</v>
      </c>
      <c r="D3784" s="236" t="s">
        <v>15444</v>
      </c>
      <c r="E3784" s="15">
        <v>2189.8000000000002</v>
      </c>
      <c r="F3784" s="274">
        <v>42947</v>
      </c>
      <c r="G3784" s="15">
        <v>2189.8000000000002</v>
      </c>
      <c r="H3784" s="15">
        <f>Tabla1[[#This Row],[Importe]]-Tabla1[[#This Row],[Pagado]]</f>
        <v>0</v>
      </c>
      <c r="I3784" s="275" t="s">
        <v>15214</v>
      </c>
    </row>
    <row r="3785" spans="1:9" x14ac:dyDescent="0.25">
      <c r="A3785" s="16">
        <v>42947</v>
      </c>
      <c r="B3785" s="273" t="s">
        <v>23716</v>
      </c>
      <c r="C3785">
        <v>121939</v>
      </c>
      <c r="D3785" s="236" t="s">
        <v>15276</v>
      </c>
      <c r="E3785" s="15">
        <v>2550</v>
      </c>
      <c r="F3785" s="274">
        <v>42947</v>
      </c>
      <c r="G3785" s="15">
        <v>2550</v>
      </c>
      <c r="H3785" s="15">
        <f>Tabla1[[#This Row],[Importe]]-Tabla1[[#This Row],[Pagado]]</f>
        <v>0</v>
      </c>
      <c r="I3785" s="275" t="s">
        <v>15214</v>
      </c>
    </row>
    <row r="3786" spans="1:9" x14ac:dyDescent="0.25">
      <c r="A3786" s="16">
        <v>42947</v>
      </c>
      <c r="B3786" s="273" t="s">
        <v>23717</v>
      </c>
      <c r="C3786">
        <v>121940</v>
      </c>
      <c r="D3786" s="236" t="s">
        <v>15315</v>
      </c>
      <c r="E3786" s="15">
        <v>2016.9</v>
      </c>
      <c r="F3786" s="274">
        <v>42947</v>
      </c>
      <c r="G3786" s="15">
        <v>2016.9</v>
      </c>
      <c r="H3786" s="15">
        <f>Tabla1[[#This Row],[Importe]]-Tabla1[[#This Row],[Pagado]]</f>
        <v>0</v>
      </c>
      <c r="I3786" s="275" t="s">
        <v>15214</v>
      </c>
    </row>
    <row r="3787" spans="1:9" x14ac:dyDescent="0.25">
      <c r="A3787" s="16">
        <v>42947</v>
      </c>
      <c r="B3787" s="273" t="s">
        <v>23718</v>
      </c>
      <c r="C3787">
        <v>121941</v>
      </c>
      <c r="D3787" s="236" t="s">
        <v>15417</v>
      </c>
      <c r="E3787" s="15">
        <v>2130</v>
      </c>
      <c r="F3787" s="274">
        <v>42947</v>
      </c>
      <c r="G3787" s="15">
        <v>2130</v>
      </c>
      <c r="H3787" s="15">
        <f>Tabla1[[#This Row],[Importe]]-Tabla1[[#This Row],[Pagado]]</f>
        <v>0</v>
      </c>
      <c r="I3787" s="275" t="s">
        <v>15214</v>
      </c>
    </row>
    <row r="3788" spans="1:9" x14ac:dyDescent="0.25">
      <c r="A3788" s="16">
        <v>42947</v>
      </c>
      <c r="B3788" s="273" t="s">
        <v>23719</v>
      </c>
      <c r="C3788">
        <v>121942</v>
      </c>
      <c r="D3788" s="236" t="s">
        <v>15665</v>
      </c>
      <c r="E3788" s="15">
        <v>409.2</v>
      </c>
      <c r="F3788" s="274">
        <v>42947</v>
      </c>
      <c r="G3788" s="15">
        <v>409.2</v>
      </c>
      <c r="H3788" s="15">
        <f>Tabla1[[#This Row],[Importe]]-Tabla1[[#This Row],[Pagado]]</f>
        <v>0</v>
      </c>
      <c r="I3788" s="275" t="s">
        <v>15214</v>
      </c>
    </row>
    <row r="3789" spans="1:9" x14ac:dyDescent="0.25">
      <c r="A3789" s="16">
        <v>42947</v>
      </c>
      <c r="B3789" s="273" t="s">
        <v>23720</v>
      </c>
      <c r="C3789">
        <v>121943</v>
      </c>
      <c r="D3789" s="236" t="s">
        <v>15930</v>
      </c>
      <c r="E3789" s="15">
        <v>6165.9</v>
      </c>
      <c r="F3789" s="274">
        <v>42947</v>
      </c>
      <c r="G3789" s="15">
        <v>6165.9</v>
      </c>
      <c r="H3789" s="15">
        <f>Tabla1[[#This Row],[Importe]]-Tabla1[[#This Row],[Pagado]]</f>
        <v>0</v>
      </c>
      <c r="I3789" s="275" t="s">
        <v>15214</v>
      </c>
    </row>
    <row r="3790" spans="1:9" x14ac:dyDescent="0.25">
      <c r="A3790" s="16">
        <v>42947</v>
      </c>
      <c r="B3790" s="273" t="s">
        <v>23721</v>
      </c>
      <c r="C3790">
        <v>121944</v>
      </c>
      <c r="D3790" s="236" t="s">
        <v>15223</v>
      </c>
      <c r="E3790" s="15">
        <v>14491.2</v>
      </c>
      <c r="F3790" s="274">
        <v>42967</v>
      </c>
      <c r="G3790" s="15">
        <v>14491.2</v>
      </c>
      <c r="H3790" s="15">
        <f>Tabla1[[#This Row],[Importe]]-Tabla1[[#This Row],[Pagado]]</f>
        <v>0</v>
      </c>
      <c r="I3790" s="275" t="s">
        <v>15214</v>
      </c>
    </row>
    <row r="3791" spans="1:9" x14ac:dyDescent="0.25">
      <c r="A3791" s="16">
        <v>42947</v>
      </c>
      <c r="B3791" s="273" t="s">
        <v>23722</v>
      </c>
      <c r="C3791">
        <v>121945</v>
      </c>
      <c r="D3791" s="236" t="s">
        <v>18544</v>
      </c>
      <c r="E3791" s="15">
        <v>468</v>
      </c>
      <c r="F3791" s="274">
        <v>42947</v>
      </c>
      <c r="G3791" s="15">
        <v>468</v>
      </c>
      <c r="H3791" s="15">
        <f>Tabla1[[#This Row],[Importe]]-Tabla1[[#This Row],[Pagado]]</f>
        <v>0</v>
      </c>
      <c r="I3791" s="275" t="s">
        <v>15214</v>
      </c>
    </row>
    <row r="3792" spans="1:9" x14ac:dyDescent="0.25">
      <c r="A3792" s="16">
        <v>42947</v>
      </c>
      <c r="B3792" s="273" t="s">
        <v>23723</v>
      </c>
      <c r="C3792">
        <v>121946</v>
      </c>
      <c r="D3792" s="236" t="s">
        <v>15706</v>
      </c>
      <c r="E3792" s="15">
        <v>699.6</v>
      </c>
      <c r="F3792" s="274">
        <v>42947</v>
      </c>
      <c r="G3792" s="15">
        <v>699.6</v>
      </c>
      <c r="H3792" s="15">
        <f>Tabla1[[#This Row],[Importe]]-Tabla1[[#This Row],[Pagado]]</f>
        <v>0</v>
      </c>
      <c r="I3792" s="275" t="s">
        <v>15214</v>
      </c>
    </row>
    <row r="3793" spans="1:9" x14ac:dyDescent="0.25">
      <c r="A3793" s="16">
        <v>42947</v>
      </c>
      <c r="B3793" s="273" t="s">
        <v>23724</v>
      </c>
      <c r="C3793">
        <v>121947</v>
      </c>
      <c r="D3793" s="236" t="s">
        <v>15298</v>
      </c>
      <c r="E3793" s="15">
        <v>1263.9000000000001</v>
      </c>
      <c r="F3793" s="274">
        <v>42947</v>
      </c>
      <c r="G3793" s="15">
        <v>1263.9000000000001</v>
      </c>
      <c r="H3793" s="15">
        <f>Tabla1[[#This Row],[Importe]]-Tabla1[[#This Row],[Pagado]]</f>
        <v>0</v>
      </c>
      <c r="I3793" s="275" t="s">
        <v>15214</v>
      </c>
    </row>
    <row r="3794" spans="1:9" ht="15.75" x14ac:dyDescent="0.25">
      <c r="A3794" s="16">
        <v>42947</v>
      </c>
      <c r="B3794" s="273" t="s">
        <v>23725</v>
      </c>
      <c r="C3794">
        <v>121948</v>
      </c>
      <c r="D3794" s="248" t="s">
        <v>95</v>
      </c>
      <c r="E3794" s="15">
        <v>0</v>
      </c>
      <c r="F3794" s="277" t="s">
        <v>95</v>
      </c>
      <c r="G3794" s="15">
        <v>0</v>
      </c>
      <c r="H3794" s="15">
        <f>Tabla1[[#This Row],[Importe]]-Tabla1[[#This Row],[Pagado]]</f>
        <v>0</v>
      </c>
      <c r="I3794" s="275" t="s">
        <v>95</v>
      </c>
    </row>
    <row r="3795" spans="1:9" ht="15.75" x14ac:dyDescent="0.25">
      <c r="A3795" s="16">
        <v>42947</v>
      </c>
      <c r="B3795" s="273" t="s">
        <v>23726</v>
      </c>
      <c r="C3795">
        <v>121949</v>
      </c>
      <c r="D3795" s="236" t="s">
        <v>95</v>
      </c>
      <c r="E3795" s="15">
        <v>0</v>
      </c>
      <c r="F3795" s="277" t="s">
        <v>95</v>
      </c>
      <c r="G3795" s="15">
        <v>0</v>
      </c>
      <c r="H3795" s="15">
        <f>Tabla1[[#This Row],[Importe]]-Tabla1[[#This Row],[Pagado]]</f>
        <v>0</v>
      </c>
      <c r="I3795" s="248" t="s">
        <v>21841</v>
      </c>
    </row>
    <row r="3796" spans="1:9" x14ac:dyDescent="0.25">
      <c r="A3796" s="16">
        <v>42947</v>
      </c>
      <c r="B3796" s="273" t="s">
        <v>23727</v>
      </c>
      <c r="C3796">
        <v>121950</v>
      </c>
      <c r="D3796" s="236" t="s">
        <v>15315</v>
      </c>
      <c r="E3796" s="15">
        <v>6616.7</v>
      </c>
      <c r="F3796" s="274">
        <v>42947</v>
      </c>
      <c r="G3796" s="15">
        <v>6616.7</v>
      </c>
      <c r="H3796" s="15">
        <f>Tabla1[[#This Row],[Importe]]-Tabla1[[#This Row],[Pagado]]</f>
        <v>0</v>
      </c>
      <c r="I3796" s="275" t="s">
        <v>15214</v>
      </c>
    </row>
    <row r="3797" spans="1:9" ht="30" x14ac:dyDescent="0.25">
      <c r="A3797" s="16">
        <v>42947</v>
      </c>
      <c r="B3797" s="273" t="s">
        <v>23728</v>
      </c>
      <c r="C3797">
        <v>121951</v>
      </c>
      <c r="D3797" s="236" t="s">
        <v>15246</v>
      </c>
      <c r="E3797" s="15">
        <v>209434.38</v>
      </c>
      <c r="F3797" s="292" t="s">
        <v>23767</v>
      </c>
      <c r="G3797" s="241">
        <f>4027.93+205406.45</f>
        <v>209434.38</v>
      </c>
      <c r="H3797" s="241">
        <f>Tabla1[[#This Row],[Importe]]-Tabla1[[#This Row],[Pagado]]</f>
        <v>0</v>
      </c>
      <c r="I3797" s="275" t="s">
        <v>15214</v>
      </c>
    </row>
    <row r="3798" spans="1:9" x14ac:dyDescent="0.25">
      <c r="A3798" s="16">
        <v>42947</v>
      </c>
      <c r="B3798" s="273" t="s">
        <v>23729</v>
      </c>
      <c r="C3798">
        <v>121952</v>
      </c>
      <c r="D3798" s="236" t="s">
        <v>15246</v>
      </c>
      <c r="E3798" s="15">
        <v>720.8</v>
      </c>
      <c r="F3798" s="274">
        <v>42947</v>
      </c>
      <c r="G3798" s="15">
        <v>720.8</v>
      </c>
      <c r="H3798" s="15">
        <f>Tabla1[[#This Row],[Importe]]-Tabla1[[#This Row],[Pagado]]</f>
        <v>0</v>
      </c>
      <c r="I3798" s="275" t="s">
        <v>15214</v>
      </c>
    </row>
    <row r="3799" spans="1:9" x14ac:dyDescent="0.25">
      <c r="A3799" s="16">
        <v>42947</v>
      </c>
      <c r="B3799" s="273" t="s">
        <v>23730</v>
      </c>
      <c r="C3799">
        <v>121953</v>
      </c>
      <c r="D3799" s="236" t="s">
        <v>15330</v>
      </c>
      <c r="E3799" s="15">
        <v>1735.1</v>
      </c>
      <c r="F3799" s="274">
        <v>42947</v>
      </c>
      <c r="G3799" s="15">
        <v>1735.1</v>
      </c>
      <c r="H3799" s="15">
        <f>Tabla1[[#This Row],[Importe]]-Tabla1[[#This Row],[Pagado]]</f>
        <v>0</v>
      </c>
      <c r="I3799" s="275" t="s">
        <v>15214</v>
      </c>
    </row>
    <row r="3800" spans="1:9" x14ac:dyDescent="0.25">
      <c r="A3800" s="16">
        <v>42947</v>
      </c>
      <c r="B3800" s="273" t="s">
        <v>23731</v>
      </c>
      <c r="C3800">
        <v>121954</v>
      </c>
      <c r="D3800" s="236" t="s">
        <v>5883</v>
      </c>
      <c r="E3800" s="15">
        <v>11441.8</v>
      </c>
      <c r="F3800" s="274">
        <v>42959</v>
      </c>
      <c r="G3800" s="15">
        <v>11441.8</v>
      </c>
      <c r="H3800" s="15">
        <f>Tabla1[[#This Row],[Importe]]-Tabla1[[#This Row],[Pagado]]</f>
        <v>0</v>
      </c>
      <c r="I3800" s="275" t="s">
        <v>15214</v>
      </c>
    </row>
    <row r="3801" spans="1:9" x14ac:dyDescent="0.25">
      <c r="A3801" s="16">
        <v>42947</v>
      </c>
      <c r="B3801" s="273" t="s">
        <v>23732</v>
      </c>
      <c r="C3801">
        <v>121955</v>
      </c>
      <c r="D3801" s="236" t="s">
        <v>15246</v>
      </c>
      <c r="E3801" s="15">
        <v>48876.4</v>
      </c>
      <c r="F3801" s="274">
        <v>42954</v>
      </c>
      <c r="G3801" s="15">
        <v>48876.4</v>
      </c>
      <c r="H3801" s="15">
        <f>Tabla1[[#This Row],[Importe]]-Tabla1[[#This Row],[Pagado]]</f>
        <v>0</v>
      </c>
      <c r="I3801" s="275" t="s">
        <v>15214</v>
      </c>
    </row>
    <row r="3802" spans="1:9" x14ac:dyDescent="0.25">
      <c r="A3802" s="16">
        <v>42947</v>
      </c>
      <c r="B3802" s="273" t="s">
        <v>23733</v>
      </c>
      <c r="C3802">
        <v>121956</v>
      </c>
      <c r="D3802" s="236" t="s">
        <v>15322</v>
      </c>
      <c r="E3802" s="15">
        <v>455.4</v>
      </c>
      <c r="F3802" s="274">
        <v>42947</v>
      </c>
      <c r="G3802" s="15">
        <v>455.4</v>
      </c>
      <c r="H3802" s="15">
        <f>Tabla1[[#This Row],[Importe]]-Tabla1[[#This Row],[Pagado]]</f>
        <v>0</v>
      </c>
      <c r="I3802" s="275" t="s">
        <v>15214</v>
      </c>
    </row>
    <row r="3803" spans="1:9" x14ac:dyDescent="0.25">
      <c r="A3803" s="16">
        <v>42947</v>
      </c>
      <c r="B3803" s="273" t="s">
        <v>23734</v>
      </c>
      <c r="C3803">
        <v>121957</v>
      </c>
      <c r="D3803" s="236" t="s">
        <v>19680</v>
      </c>
      <c r="E3803" s="15">
        <v>235</v>
      </c>
      <c r="F3803" s="274">
        <v>42947</v>
      </c>
      <c r="G3803" s="15">
        <v>235</v>
      </c>
      <c r="H3803" s="15">
        <f>Tabla1[[#This Row],[Importe]]-Tabla1[[#This Row],[Pagado]]</f>
        <v>0</v>
      </c>
      <c r="I3803" s="275" t="s">
        <v>15214</v>
      </c>
    </row>
    <row r="3804" spans="1:9" x14ac:dyDescent="0.25">
      <c r="A3804" s="16">
        <v>42947</v>
      </c>
      <c r="B3804" s="273" t="s">
        <v>23735</v>
      </c>
      <c r="C3804">
        <v>121958</v>
      </c>
      <c r="D3804" s="236" t="s">
        <v>15423</v>
      </c>
      <c r="E3804" s="15">
        <v>5272.4</v>
      </c>
      <c r="F3804" s="274">
        <v>42947</v>
      </c>
      <c r="G3804" s="15">
        <v>5272.4</v>
      </c>
      <c r="H3804" s="15">
        <f>Tabla1[[#This Row],[Importe]]-Tabla1[[#This Row],[Pagado]]</f>
        <v>0</v>
      </c>
      <c r="I3804" s="275" t="s">
        <v>15214</v>
      </c>
    </row>
    <row r="3805" spans="1:9" x14ac:dyDescent="0.25">
      <c r="A3805" s="16">
        <v>42947</v>
      </c>
      <c r="B3805" s="273" t="s">
        <v>23736</v>
      </c>
      <c r="C3805">
        <v>121959</v>
      </c>
      <c r="D3805" s="236" t="s">
        <v>15936</v>
      </c>
      <c r="E3805" s="15">
        <v>19486.8</v>
      </c>
      <c r="F3805" s="274">
        <v>42947</v>
      </c>
      <c r="G3805" s="15">
        <v>19486.8</v>
      </c>
      <c r="H3805" s="15">
        <f>Tabla1[[#This Row],[Importe]]-Tabla1[[#This Row],[Pagado]]</f>
        <v>0</v>
      </c>
      <c r="I3805" s="275" t="s">
        <v>15214</v>
      </c>
    </row>
    <row r="3806" spans="1:9" ht="30" x14ac:dyDescent="0.25">
      <c r="A3806" s="16">
        <v>42947</v>
      </c>
      <c r="B3806" s="273" t="s">
        <v>23737</v>
      </c>
      <c r="C3806">
        <v>121960</v>
      </c>
      <c r="D3806" s="236" t="s">
        <v>15510</v>
      </c>
      <c r="E3806" s="15">
        <v>14399</v>
      </c>
      <c r="F3806" s="292" t="s">
        <v>23753</v>
      </c>
      <c r="G3806" s="241">
        <f>10000+4399</f>
        <v>14399</v>
      </c>
      <c r="H3806" s="241">
        <f>Tabla1[[#This Row],[Importe]]-Tabla1[[#This Row],[Pagado]]</f>
        <v>0</v>
      </c>
      <c r="I3806" s="275" t="s">
        <v>15214</v>
      </c>
    </row>
    <row r="3807" spans="1:9" x14ac:dyDescent="0.25">
      <c r="A3807" s="16">
        <v>42947</v>
      </c>
      <c r="B3807" s="273" t="s">
        <v>23738</v>
      </c>
      <c r="C3807">
        <v>121961</v>
      </c>
      <c r="D3807" s="236" t="s">
        <v>15263</v>
      </c>
      <c r="E3807" s="15">
        <v>794.1</v>
      </c>
      <c r="F3807" s="274">
        <v>42947</v>
      </c>
      <c r="G3807" s="15">
        <v>794.1</v>
      </c>
      <c r="H3807" s="15">
        <f>Tabla1[[#This Row],[Importe]]-Tabla1[[#This Row],[Pagado]]</f>
        <v>0</v>
      </c>
      <c r="I3807" s="275" t="s">
        <v>15214</v>
      </c>
    </row>
    <row r="3808" spans="1:9" x14ac:dyDescent="0.25">
      <c r="A3808" s="16">
        <v>42947</v>
      </c>
      <c r="B3808" s="273" t="s">
        <v>23739</v>
      </c>
      <c r="C3808">
        <v>121962</v>
      </c>
      <c r="D3808" s="236" t="s">
        <v>15728</v>
      </c>
      <c r="E3808" s="15">
        <v>10980</v>
      </c>
      <c r="F3808" s="274">
        <v>42947</v>
      </c>
      <c r="G3808" s="15">
        <v>10980</v>
      </c>
      <c r="H3808" s="15">
        <f>Tabla1[[#This Row],[Importe]]-Tabla1[[#This Row],[Pagado]]</f>
        <v>0</v>
      </c>
      <c r="I3808" s="275" t="s">
        <v>15214</v>
      </c>
    </row>
    <row r="3809" spans="1:9" x14ac:dyDescent="0.25">
      <c r="A3809" s="16">
        <v>42947</v>
      </c>
      <c r="B3809" s="273" t="s">
        <v>23740</v>
      </c>
      <c r="C3809">
        <v>121963</v>
      </c>
      <c r="D3809" s="236" t="s">
        <v>5880</v>
      </c>
      <c r="E3809" s="15">
        <v>37769.599999999999</v>
      </c>
      <c r="F3809" s="274">
        <v>42954</v>
      </c>
      <c r="G3809" s="15">
        <v>37769.599999999999</v>
      </c>
      <c r="H3809" s="15">
        <f>Tabla1[[#This Row],[Importe]]-Tabla1[[#This Row],[Pagado]]</f>
        <v>0</v>
      </c>
      <c r="I3809" s="275" t="s">
        <v>15214</v>
      </c>
    </row>
    <row r="3810" spans="1:9" x14ac:dyDescent="0.25">
      <c r="A3810" s="16">
        <v>42947</v>
      </c>
      <c r="B3810" s="273" t="s">
        <v>23741</v>
      </c>
      <c r="C3810">
        <v>121964</v>
      </c>
      <c r="D3810" s="236" t="s">
        <v>15725</v>
      </c>
      <c r="E3810" s="15">
        <v>4278</v>
      </c>
      <c r="F3810" s="274">
        <v>42954</v>
      </c>
      <c r="G3810" s="15">
        <v>4278</v>
      </c>
      <c r="H3810" s="15">
        <f>Tabla1[[#This Row],[Importe]]-Tabla1[[#This Row],[Pagado]]</f>
        <v>0</v>
      </c>
      <c r="I3810" s="275" t="s">
        <v>15214</v>
      </c>
    </row>
    <row r="3811" spans="1:9" x14ac:dyDescent="0.25">
      <c r="A3811" s="16">
        <v>42947</v>
      </c>
      <c r="B3811" s="273" t="s">
        <v>23742</v>
      </c>
      <c r="C3811">
        <v>121965</v>
      </c>
      <c r="D3811" s="236" t="s">
        <v>15725</v>
      </c>
      <c r="E3811" s="15">
        <v>369.6</v>
      </c>
      <c r="F3811" s="274">
        <v>42947</v>
      </c>
      <c r="G3811" s="15">
        <v>369.6</v>
      </c>
      <c r="H3811" s="15">
        <f>Tabla1[[#This Row],[Importe]]-Tabla1[[#This Row],[Pagado]]</f>
        <v>0</v>
      </c>
      <c r="I3811" s="275" t="s">
        <v>15214</v>
      </c>
    </row>
    <row r="3812" spans="1:9" ht="30" x14ac:dyDescent="0.25">
      <c r="A3812" s="16">
        <v>42947</v>
      </c>
      <c r="B3812" s="273" t="s">
        <v>23743</v>
      </c>
      <c r="C3812">
        <v>121966</v>
      </c>
      <c r="D3812" s="236" t="s">
        <v>19742</v>
      </c>
      <c r="E3812" s="15">
        <v>1500</v>
      </c>
      <c r="F3812" s="297" t="s">
        <v>23764</v>
      </c>
      <c r="G3812" s="15">
        <v>1500</v>
      </c>
      <c r="H3812" s="15">
        <f>Tabla1[[#This Row],[Importe]]-Tabla1[[#This Row],[Pagado]]</f>
        <v>0</v>
      </c>
      <c r="I3812" s="275" t="s">
        <v>15214</v>
      </c>
    </row>
    <row r="3813" spans="1:9" ht="30" x14ac:dyDescent="0.25">
      <c r="A3813" s="16">
        <v>42947</v>
      </c>
      <c r="B3813" s="273" t="s">
        <v>23744</v>
      </c>
      <c r="C3813">
        <v>121967</v>
      </c>
      <c r="D3813" s="236" t="s">
        <v>19742</v>
      </c>
      <c r="E3813" s="15">
        <v>3500</v>
      </c>
      <c r="F3813" s="297" t="s">
        <v>23764</v>
      </c>
      <c r="G3813" s="15">
        <v>3500</v>
      </c>
      <c r="H3813" s="15">
        <f>Tabla1[[#This Row],[Importe]]-Tabla1[[#This Row],[Pagado]]</f>
        <v>0</v>
      </c>
      <c r="I3813" s="275" t="s">
        <v>15214</v>
      </c>
    </row>
    <row r="3814" spans="1:9" ht="30" x14ac:dyDescent="0.25">
      <c r="A3814" s="16">
        <v>42947</v>
      </c>
      <c r="B3814" s="273" t="s">
        <v>23745</v>
      </c>
      <c r="C3814">
        <v>121968</v>
      </c>
      <c r="D3814" s="236" t="s">
        <v>19765</v>
      </c>
      <c r="E3814" s="15">
        <v>3500</v>
      </c>
      <c r="F3814" s="297" t="s">
        <v>23765</v>
      </c>
      <c r="G3814" s="15">
        <v>3500</v>
      </c>
      <c r="H3814" s="15">
        <f>Tabla1[[#This Row],[Importe]]-Tabla1[[#This Row],[Pagado]]</f>
        <v>0</v>
      </c>
      <c r="I3814" s="275" t="s">
        <v>15214</v>
      </c>
    </row>
    <row r="3815" spans="1:9" x14ac:dyDescent="0.25">
      <c r="A3815" s="16">
        <v>42947</v>
      </c>
      <c r="B3815" s="273" t="s">
        <v>23746</v>
      </c>
      <c r="C3815">
        <v>121969</v>
      </c>
      <c r="D3815" s="236" t="s">
        <v>19754</v>
      </c>
      <c r="E3815" s="15">
        <v>35075</v>
      </c>
      <c r="F3815" s="292">
        <v>42949</v>
      </c>
      <c r="G3815" s="15">
        <v>35075</v>
      </c>
      <c r="H3815" s="15">
        <f>Tabla1[[#This Row],[Importe]]-Tabla1[[#This Row],[Pagado]]</f>
        <v>0</v>
      </c>
      <c r="I3815" s="275" t="s">
        <v>15214</v>
      </c>
    </row>
    <row r="3816" spans="1:9" x14ac:dyDescent="0.25">
      <c r="A3816" s="16">
        <v>42947</v>
      </c>
      <c r="B3816" s="273" t="s">
        <v>23747</v>
      </c>
      <c r="C3816">
        <v>121970</v>
      </c>
      <c r="D3816" s="236" t="s">
        <v>15435</v>
      </c>
      <c r="E3816" s="15">
        <v>8020.8</v>
      </c>
      <c r="F3816" s="274">
        <v>42947</v>
      </c>
      <c r="G3816" s="15">
        <v>8020.8</v>
      </c>
      <c r="H3816" s="15">
        <f>Tabla1[[#This Row],[Importe]]-Tabla1[[#This Row],[Pagado]]</f>
        <v>0</v>
      </c>
      <c r="I3816" s="275" t="s">
        <v>15214</v>
      </c>
    </row>
    <row r="3817" spans="1:9" x14ac:dyDescent="0.25">
      <c r="A3817" s="16">
        <v>42947</v>
      </c>
      <c r="B3817" s="273" t="s">
        <v>23748</v>
      </c>
      <c r="C3817">
        <v>121971</v>
      </c>
      <c r="D3817" s="236" t="s">
        <v>15442</v>
      </c>
      <c r="E3817" s="15">
        <v>14518.3</v>
      </c>
      <c r="F3817" s="274">
        <v>42952</v>
      </c>
      <c r="G3817" s="15">
        <v>14518.3</v>
      </c>
      <c r="H3817" s="15">
        <f>Tabla1[[#This Row],[Importe]]-Tabla1[[#This Row],[Pagado]]</f>
        <v>0</v>
      </c>
      <c r="I3817" s="275" t="s">
        <v>15214</v>
      </c>
    </row>
    <row r="3818" spans="1:9" x14ac:dyDescent="0.25">
      <c r="A3818" s="16">
        <v>42947</v>
      </c>
      <c r="B3818" s="273" t="s">
        <v>23749</v>
      </c>
      <c r="C3818">
        <v>121972</v>
      </c>
      <c r="D3818" s="236" t="s">
        <v>15628</v>
      </c>
      <c r="E3818" s="15">
        <v>13250</v>
      </c>
      <c r="F3818" s="274">
        <v>42954</v>
      </c>
      <c r="G3818" s="15">
        <v>13250</v>
      </c>
      <c r="H3818" s="15">
        <f>Tabla1[[#This Row],[Importe]]-Tabla1[[#This Row],[Pagado]]</f>
        <v>0</v>
      </c>
      <c r="I3818" s="275" t="s">
        <v>15214</v>
      </c>
    </row>
    <row r="3819" spans="1:9" ht="15.75" thickBot="1" x14ac:dyDescent="0.3">
      <c r="A3819" s="16">
        <v>42947</v>
      </c>
      <c r="B3819" s="273" t="s">
        <v>23750</v>
      </c>
      <c r="C3819">
        <v>121973</v>
      </c>
      <c r="D3819" s="236" t="s">
        <v>15433</v>
      </c>
      <c r="E3819" s="15">
        <v>1229.2</v>
      </c>
      <c r="F3819" s="274">
        <v>42947</v>
      </c>
      <c r="G3819" s="15">
        <v>1229.2</v>
      </c>
      <c r="H3819" s="15">
        <f>Tabla1[[#This Row],[Importe]]-Tabla1[[#This Row],[Pagado]]</f>
        <v>0</v>
      </c>
      <c r="I3819" s="275" t="s">
        <v>15214</v>
      </c>
    </row>
    <row r="3820" spans="1:9" ht="16.5" thickBot="1" x14ac:dyDescent="0.3">
      <c r="E3820" s="287">
        <f>SUBTOTAL(109,Tabla1[Importe])</f>
        <v>52341872.659999952</v>
      </c>
      <c r="F3820" s="288"/>
      <c r="G3820" s="289">
        <f>SUBTOTAL(109,Tabla1[Pagado])</f>
        <v>52341872.659999952</v>
      </c>
      <c r="H3820" s="290">
        <f>SUBTOTAL(109,Tabla1[Saldo])</f>
        <v>0</v>
      </c>
    </row>
    <row r="3823" spans="1:9" ht="15.75" thickBot="1" x14ac:dyDescent="0.3"/>
    <row r="3824" spans="1:9" ht="27" thickBot="1" x14ac:dyDescent="0.45">
      <c r="E3824" s="291" t="s">
        <v>23751</v>
      </c>
      <c r="F3824" s="443">
        <f>Tabla1[[#Totals],[Importe]]-Tabla1[[#Totals],[Pagado]]</f>
        <v>0</v>
      </c>
      <c r="G3824" s="444"/>
    </row>
  </sheetData>
  <mergeCells count="1">
    <mergeCell ref="F3824:G382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83E09-1856-494F-B342-023449E41739}">
  <sheetPr>
    <tabColor theme="5" tint="-0.249977111117893"/>
  </sheetPr>
  <dimension ref="A1:I3794"/>
  <sheetViews>
    <sheetView topLeftCell="A3444" workbookViewId="0">
      <pane xSplit="3" topLeftCell="D1" activePane="topRight" state="frozen"/>
      <selection pane="topRight" activeCell="G3447" sqref="G3447"/>
    </sheetView>
  </sheetViews>
  <sheetFormatPr baseColWidth="10" defaultRowHeight="15" x14ac:dyDescent="0.25"/>
  <cols>
    <col min="1" max="1" width="10.7109375" style="299" bestFit="1" customWidth="1"/>
    <col min="2" max="2" width="13" style="71" bestFit="1" customWidth="1"/>
    <col min="3" max="3" width="16.7109375" hidden="1" customWidth="1"/>
    <col min="4" max="4" width="55.42578125" style="2" bestFit="1" customWidth="1"/>
    <col min="5" max="5" width="15.7109375" customWidth="1"/>
    <col min="6" max="6" width="15.85546875" style="300" customWidth="1"/>
    <col min="7" max="7" width="15.140625" style="301" bestFit="1" customWidth="1"/>
    <col min="8" max="8" width="13.5703125" customWidth="1"/>
    <col min="9" max="9" width="11.7109375" bestFit="1" customWidth="1"/>
  </cols>
  <sheetData>
    <row r="1" spans="1:9" x14ac:dyDescent="0.25">
      <c r="A1" s="299" t="s">
        <v>19811</v>
      </c>
      <c r="B1" s="71" t="s">
        <v>19812</v>
      </c>
      <c r="C1" t="s">
        <v>19813</v>
      </c>
      <c r="D1" s="2" t="s">
        <v>19671</v>
      </c>
      <c r="E1" t="s">
        <v>19672</v>
      </c>
      <c r="F1" s="300" t="s">
        <v>19814</v>
      </c>
      <c r="G1" s="301" t="s">
        <v>19815</v>
      </c>
      <c r="H1" t="s">
        <v>19816</v>
      </c>
      <c r="I1" t="s">
        <v>19675</v>
      </c>
    </row>
    <row r="2" spans="1:9" x14ac:dyDescent="0.25">
      <c r="A2" s="299">
        <v>42948</v>
      </c>
      <c r="B2" s="302" t="s">
        <v>23777</v>
      </c>
      <c r="C2">
        <v>121974</v>
      </c>
      <c r="D2" s="236" t="s">
        <v>21386</v>
      </c>
      <c r="E2" s="301">
        <v>6417.6</v>
      </c>
      <c r="F2" s="303">
        <v>42950</v>
      </c>
      <c r="G2" s="301">
        <v>6417.6</v>
      </c>
      <c r="H2" s="304">
        <f>Tabla13[[#This Row],[Importe]]-Tabla13[[#This Row],[Pagado]]</f>
        <v>0</v>
      </c>
      <c r="I2" s="275" t="s">
        <v>15214</v>
      </c>
    </row>
    <row r="3" spans="1:9" x14ac:dyDescent="0.25">
      <c r="A3" s="299">
        <v>42948</v>
      </c>
      <c r="B3" s="302" t="s">
        <v>23778</v>
      </c>
      <c r="C3">
        <v>121975</v>
      </c>
      <c r="D3" s="236" t="s">
        <v>15213</v>
      </c>
      <c r="E3" s="301">
        <v>39569.1</v>
      </c>
      <c r="F3" s="303">
        <v>42949</v>
      </c>
      <c r="G3" s="301">
        <v>39569.1</v>
      </c>
      <c r="H3" s="304">
        <f>Tabla13[[#This Row],[Importe]]-Tabla13[[#This Row],[Pagado]]</f>
        <v>0</v>
      </c>
      <c r="I3" s="275" t="s">
        <v>15214</v>
      </c>
    </row>
    <row r="4" spans="1:9" x14ac:dyDescent="0.25">
      <c r="A4" s="299">
        <v>42948</v>
      </c>
      <c r="B4" s="302" t="s">
        <v>23779</v>
      </c>
      <c r="C4">
        <v>121976</v>
      </c>
      <c r="D4" s="236" t="s">
        <v>15220</v>
      </c>
      <c r="E4" s="301">
        <v>2750</v>
      </c>
      <c r="F4" s="303">
        <v>42948</v>
      </c>
      <c r="G4" s="301">
        <v>2750</v>
      </c>
      <c r="H4" s="304">
        <f>Tabla13[[#This Row],[Importe]]-Tabla13[[#This Row],[Pagado]]</f>
        <v>0</v>
      </c>
      <c r="I4" s="275" t="s">
        <v>15214</v>
      </c>
    </row>
    <row r="5" spans="1:9" x14ac:dyDescent="0.25">
      <c r="A5" s="299">
        <v>42948</v>
      </c>
      <c r="B5" s="302" t="s">
        <v>23780</v>
      </c>
      <c r="C5">
        <v>121977</v>
      </c>
      <c r="D5" s="236" t="s">
        <v>19302</v>
      </c>
      <c r="E5" s="301">
        <v>1000</v>
      </c>
      <c r="F5" s="303">
        <v>42948</v>
      </c>
      <c r="G5" s="301">
        <v>1000</v>
      </c>
      <c r="H5" s="304">
        <f>Tabla13[[#This Row],[Importe]]-Tabla13[[#This Row],[Pagado]]</f>
        <v>0</v>
      </c>
      <c r="I5" s="275" t="s">
        <v>15214</v>
      </c>
    </row>
    <row r="6" spans="1:9" x14ac:dyDescent="0.25">
      <c r="A6" s="299">
        <v>42948</v>
      </c>
      <c r="B6" s="302" t="s">
        <v>23781</v>
      </c>
      <c r="C6">
        <v>121978</v>
      </c>
      <c r="D6" s="236" t="s">
        <v>15216</v>
      </c>
      <c r="E6" s="301">
        <v>1289.5999999999999</v>
      </c>
      <c r="F6" s="303">
        <v>42948</v>
      </c>
      <c r="G6" s="301">
        <v>1289.5999999999999</v>
      </c>
      <c r="H6" s="304">
        <f>Tabla13[[#This Row],[Importe]]-Tabla13[[#This Row],[Pagado]]</f>
        <v>0</v>
      </c>
      <c r="I6" s="275" t="s">
        <v>15214</v>
      </c>
    </row>
    <row r="7" spans="1:9" ht="15.75" x14ac:dyDescent="0.25">
      <c r="A7" s="299">
        <v>42948</v>
      </c>
      <c r="B7" s="302" t="s">
        <v>23782</v>
      </c>
      <c r="C7">
        <v>121979</v>
      </c>
      <c r="D7" s="248" t="s">
        <v>95</v>
      </c>
      <c r="E7" s="301">
        <v>0</v>
      </c>
      <c r="F7" s="243" t="s">
        <v>95</v>
      </c>
      <c r="G7" s="301">
        <v>0</v>
      </c>
      <c r="H7" s="304">
        <f>Tabla13[[#This Row],[Importe]]-Tabla13[[#This Row],[Pagado]]</f>
        <v>0</v>
      </c>
      <c r="I7" s="275" t="s">
        <v>95</v>
      </c>
    </row>
    <row r="8" spans="1:9" ht="15.75" x14ac:dyDescent="0.25">
      <c r="A8" s="299">
        <v>42948</v>
      </c>
      <c r="B8" s="302" t="s">
        <v>23783</v>
      </c>
      <c r="C8">
        <v>121980</v>
      </c>
      <c r="D8" s="248" t="s">
        <v>95</v>
      </c>
      <c r="E8" s="301">
        <v>0</v>
      </c>
      <c r="F8" s="243" t="s">
        <v>95</v>
      </c>
      <c r="G8" s="301">
        <v>0</v>
      </c>
      <c r="H8" s="304">
        <f>Tabla13[[#This Row],[Importe]]-Tabla13[[#This Row],[Pagado]]</f>
        <v>0</v>
      </c>
      <c r="I8" s="275" t="s">
        <v>95</v>
      </c>
    </row>
    <row r="9" spans="1:9" x14ac:dyDescent="0.25">
      <c r="A9" s="299">
        <v>42948</v>
      </c>
      <c r="B9" s="302" t="s">
        <v>23784</v>
      </c>
      <c r="C9">
        <v>121981</v>
      </c>
      <c r="D9" s="236" t="s">
        <v>15234</v>
      </c>
      <c r="E9" s="301">
        <v>3485</v>
      </c>
      <c r="F9" s="303">
        <v>42951</v>
      </c>
      <c r="G9" s="301">
        <v>3485</v>
      </c>
      <c r="H9" s="304">
        <f>Tabla13[[#This Row],[Importe]]-Tabla13[[#This Row],[Pagado]]</f>
        <v>0</v>
      </c>
      <c r="I9" s="275" t="s">
        <v>15214</v>
      </c>
    </row>
    <row r="10" spans="1:9" x14ac:dyDescent="0.25">
      <c r="A10" s="299">
        <v>42948</v>
      </c>
      <c r="B10" s="302" t="s">
        <v>23785</v>
      </c>
      <c r="C10">
        <v>121982</v>
      </c>
      <c r="D10" s="236" t="s">
        <v>15230</v>
      </c>
      <c r="E10" s="301">
        <v>9945.6</v>
      </c>
      <c r="F10" s="303">
        <v>42950</v>
      </c>
      <c r="G10" s="301">
        <v>9945.6</v>
      </c>
      <c r="H10" s="304">
        <f>Tabla13[[#This Row],[Importe]]-Tabla13[[#This Row],[Pagado]]</f>
        <v>0</v>
      </c>
      <c r="I10" s="275" t="s">
        <v>15214</v>
      </c>
    </row>
    <row r="11" spans="1:9" x14ac:dyDescent="0.25">
      <c r="A11" s="299">
        <v>42948</v>
      </c>
      <c r="B11" s="302" t="s">
        <v>23786</v>
      </c>
      <c r="C11">
        <v>121983</v>
      </c>
      <c r="D11" s="236" t="s">
        <v>15258</v>
      </c>
      <c r="E11" s="301">
        <v>10004</v>
      </c>
      <c r="F11" s="303">
        <v>42950</v>
      </c>
      <c r="G11" s="301">
        <v>10004</v>
      </c>
      <c r="H11" s="304">
        <f>Tabla13[[#This Row],[Importe]]-Tabla13[[#This Row],[Pagado]]</f>
        <v>0</v>
      </c>
      <c r="I11" s="275" t="s">
        <v>15214</v>
      </c>
    </row>
    <row r="12" spans="1:9" x14ac:dyDescent="0.25">
      <c r="A12" s="299">
        <v>42948</v>
      </c>
      <c r="B12" s="302" t="s">
        <v>23787</v>
      </c>
      <c r="C12">
        <v>121984</v>
      </c>
      <c r="D12" s="236" t="s">
        <v>15668</v>
      </c>
      <c r="E12" s="301">
        <v>13310.4</v>
      </c>
      <c r="F12" s="303">
        <v>42950</v>
      </c>
      <c r="G12" s="301">
        <v>13310.4</v>
      </c>
      <c r="H12" s="304">
        <f>Tabla13[[#This Row],[Importe]]-Tabla13[[#This Row],[Pagado]]</f>
        <v>0</v>
      </c>
      <c r="I12" s="275" t="s">
        <v>15214</v>
      </c>
    </row>
    <row r="13" spans="1:9" x14ac:dyDescent="0.25">
      <c r="A13" s="299">
        <v>42948</v>
      </c>
      <c r="B13" s="302" t="s">
        <v>23788</v>
      </c>
      <c r="C13">
        <v>121985</v>
      </c>
      <c r="D13" s="236" t="s">
        <v>18258</v>
      </c>
      <c r="E13" s="301">
        <v>9944.6</v>
      </c>
      <c r="F13" s="303">
        <v>42948</v>
      </c>
      <c r="G13" s="301">
        <v>9944.6</v>
      </c>
      <c r="H13" s="304">
        <f>Tabla13[[#This Row],[Importe]]-Tabla13[[#This Row],[Pagado]]</f>
        <v>0</v>
      </c>
      <c r="I13" s="275" t="s">
        <v>15214</v>
      </c>
    </row>
    <row r="14" spans="1:9" x14ac:dyDescent="0.25">
      <c r="A14" s="299">
        <v>42948</v>
      </c>
      <c r="B14" s="302" t="s">
        <v>23789</v>
      </c>
      <c r="C14">
        <v>121986</v>
      </c>
      <c r="D14" s="236" t="s">
        <v>15330</v>
      </c>
      <c r="E14" s="301">
        <v>5446.2</v>
      </c>
      <c r="F14" s="303">
        <v>42948</v>
      </c>
      <c r="G14" s="301">
        <v>5446.2</v>
      </c>
      <c r="H14" s="304">
        <f>Tabla13[[#This Row],[Importe]]-Tabla13[[#This Row],[Pagado]]</f>
        <v>0</v>
      </c>
      <c r="I14" s="275" t="s">
        <v>15214</v>
      </c>
    </row>
    <row r="15" spans="1:9" ht="30" x14ac:dyDescent="0.25">
      <c r="A15" s="299">
        <v>42948</v>
      </c>
      <c r="B15" s="302" t="s">
        <v>23790</v>
      </c>
      <c r="C15">
        <v>121987</v>
      </c>
      <c r="D15" s="236" t="s">
        <v>15236</v>
      </c>
      <c r="E15" s="301">
        <v>3582</v>
      </c>
      <c r="F15" s="303" t="s">
        <v>23791</v>
      </c>
      <c r="G15" s="305">
        <f>2000+1582</f>
        <v>3582</v>
      </c>
      <c r="H15" s="304">
        <f>Tabla13[[#This Row],[Importe]]-Tabla13[[#This Row],[Pagado]]</f>
        <v>0</v>
      </c>
      <c r="I15" s="275" t="s">
        <v>15214</v>
      </c>
    </row>
    <row r="16" spans="1:9" x14ac:dyDescent="0.25">
      <c r="A16" s="299">
        <v>42948</v>
      </c>
      <c r="B16" s="302" t="s">
        <v>23792</v>
      </c>
      <c r="C16">
        <v>121988</v>
      </c>
      <c r="D16" s="236" t="s">
        <v>15238</v>
      </c>
      <c r="E16" s="301">
        <v>4970.6000000000004</v>
      </c>
      <c r="F16" s="303">
        <v>42950</v>
      </c>
      <c r="G16" s="301">
        <v>4970.6000000000004</v>
      </c>
      <c r="H16" s="304">
        <f>Tabla13[[#This Row],[Importe]]-Tabla13[[#This Row],[Pagado]]</f>
        <v>0</v>
      </c>
      <c r="I16" s="275" t="s">
        <v>15214</v>
      </c>
    </row>
    <row r="17" spans="1:9" ht="15.75" x14ac:dyDescent="0.25">
      <c r="A17" s="299">
        <v>42948</v>
      </c>
      <c r="B17" s="302" t="s">
        <v>23793</v>
      </c>
      <c r="C17">
        <v>121989</v>
      </c>
      <c r="D17" s="248" t="s">
        <v>95</v>
      </c>
      <c r="E17" s="301">
        <v>0</v>
      </c>
      <c r="F17" s="243" t="s">
        <v>95</v>
      </c>
      <c r="G17" s="301">
        <v>0</v>
      </c>
      <c r="H17" s="304">
        <f>Tabla13[[#This Row],[Importe]]-Tabla13[[#This Row],[Pagado]]</f>
        <v>0</v>
      </c>
      <c r="I17" s="306" t="s">
        <v>23794</v>
      </c>
    </row>
    <row r="18" spans="1:9" x14ac:dyDescent="0.25">
      <c r="A18" s="299">
        <v>42948</v>
      </c>
      <c r="B18" s="302" t="s">
        <v>23795</v>
      </c>
      <c r="C18">
        <v>121990</v>
      </c>
      <c r="D18" s="236" t="s">
        <v>15272</v>
      </c>
      <c r="E18" s="301">
        <v>19863.2</v>
      </c>
      <c r="F18" s="303">
        <v>42948</v>
      </c>
      <c r="G18" s="301">
        <v>19863.2</v>
      </c>
      <c r="H18" s="304">
        <f>Tabla13[[#This Row],[Importe]]-Tabla13[[#This Row],[Pagado]]</f>
        <v>0</v>
      </c>
      <c r="I18" s="275" t="s">
        <v>15214</v>
      </c>
    </row>
    <row r="19" spans="1:9" x14ac:dyDescent="0.25">
      <c r="A19" s="299">
        <v>42948</v>
      </c>
      <c r="B19" s="302" t="s">
        <v>23796</v>
      </c>
      <c r="C19">
        <v>121991</v>
      </c>
      <c r="D19" s="236" t="s">
        <v>15232</v>
      </c>
      <c r="E19" s="301">
        <v>8296.6</v>
      </c>
      <c r="F19" s="303">
        <v>42950</v>
      </c>
      <c r="G19" s="301">
        <v>8296.6</v>
      </c>
      <c r="H19" s="304">
        <f>Tabla13[[#This Row],[Importe]]-Tabla13[[#This Row],[Pagado]]</f>
        <v>0</v>
      </c>
      <c r="I19" s="275" t="s">
        <v>15214</v>
      </c>
    </row>
    <row r="20" spans="1:9" x14ac:dyDescent="0.25">
      <c r="A20" s="299">
        <v>42948</v>
      </c>
      <c r="B20" s="302" t="s">
        <v>23797</v>
      </c>
      <c r="C20">
        <v>121992</v>
      </c>
      <c r="D20" s="236" t="s">
        <v>15371</v>
      </c>
      <c r="E20" s="301">
        <v>4286.5</v>
      </c>
      <c r="F20" s="303">
        <v>42949</v>
      </c>
      <c r="G20" s="301">
        <v>4286.5</v>
      </c>
      <c r="H20" s="304">
        <f>Tabla13[[#This Row],[Importe]]-Tabla13[[#This Row],[Pagado]]</f>
        <v>0</v>
      </c>
      <c r="I20" s="275" t="s">
        <v>15214</v>
      </c>
    </row>
    <row r="21" spans="1:9" x14ac:dyDescent="0.25">
      <c r="A21" s="299">
        <v>42948</v>
      </c>
      <c r="B21" s="302" t="s">
        <v>23798</v>
      </c>
      <c r="C21">
        <v>121993</v>
      </c>
      <c r="D21" s="236" t="s">
        <v>15226</v>
      </c>
      <c r="E21" s="301">
        <v>2314</v>
      </c>
      <c r="F21" s="303">
        <v>42949</v>
      </c>
      <c r="G21" s="301">
        <v>2314</v>
      </c>
      <c r="H21" s="304">
        <f>Tabla13[[#This Row],[Importe]]-Tabla13[[#This Row],[Pagado]]</f>
        <v>0</v>
      </c>
      <c r="I21" s="275" t="s">
        <v>15214</v>
      </c>
    </row>
    <row r="22" spans="1:9" x14ac:dyDescent="0.25">
      <c r="A22" s="299">
        <v>42948</v>
      </c>
      <c r="B22" s="302" t="s">
        <v>23799</v>
      </c>
      <c r="C22">
        <v>121994</v>
      </c>
      <c r="D22" s="236" t="s">
        <v>18544</v>
      </c>
      <c r="E22" s="301">
        <v>5909.6</v>
      </c>
      <c r="F22" s="303">
        <v>42948</v>
      </c>
      <c r="G22" s="301">
        <v>5909.6</v>
      </c>
      <c r="H22" s="304">
        <f>Tabla13[[#This Row],[Importe]]-Tabla13[[#This Row],[Pagado]]</f>
        <v>0</v>
      </c>
      <c r="I22" s="275" t="s">
        <v>15214</v>
      </c>
    </row>
    <row r="23" spans="1:9" x14ac:dyDescent="0.25">
      <c r="A23" s="299">
        <v>42948</v>
      </c>
      <c r="B23" s="302" t="s">
        <v>23800</v>
      </c>
      <c r="C23">
        <v>121995</v>
      </c>
      <c r="D23" s="236" t="s">
        <v>15332</v>
      </c>
      <c r="E23" s="301">
        <v>4134</v>
      </c>
      <c r="F23" s="303">
        <v>42948</v>
      </c>
      <c r="G23" s="301">
        <v>4134</v>
      </c>
      <c r="H23" s="304">
        <f>Tabla13[[#This Row],[Importe]]-Tabla13[[#This Row],[Pagado]]</f>
        <v>0</v>
      </c>
      <c r="I23" s="275" t="s">
        <v>15214</v>
      </c>
    </row>
    <row r="24" spans="1:9" x14ac:dyDescent="0.25">
      <c r="A24" s="299">
        <v>42948</v>
      </c>
      <c r="B24" s="302" t="s">
        <v>23801</v>
      </c>
      <c r="C24">
        <v>121996</v>
      </c>
      <c r="D24" s="236" t="s">
        <v>15526</v>
      </c>
      <c r="E24" s="301">
        <v>1535</v>
      </c>
      <c r="F24" s="303">
        <v>42948</v>
      </c>
      <c r="G24" s="301">
        <v>1535</v>
      </c>
      <c r="H24" s="304">
        <f>Tabla13[[#This Row],[Importe]]-Tabla13[[#This Row],[Pagado]]</f>
        <v>0</v>
      </c>
      <c r="I24" s="275" t="s">
        <v>15214</v>
      </c>
    </row>
    <row r="25" spans="1:9" x14ac:dyDescent="0.25">
      <c r="A25" s="299">
        <v>42948</v>
      </c>
      <c r="B25" s="302" t="s">
        <v>23802</v>
      </c>
      <c r="C25">
        <v>121997</v>
      </c>
      <c r="D25" s="236" t="s">
        <v>15344</v>
      </c>
      <c r="E25" s="301">
        <v>2840.8</v>
      </c>
      <c r="F25" s="303">
        <v>42948</v>
      </c>
      <c r="G25" s="301">
        <v>2840.8</v>
      </c>
      <c r="H25" s="304">
        <f>Tabla13[[#This Row],[Importe]]-Tabla13[[#This Row],[Pagado]]</f>
        <v>0</v>
      </c>
      <c r="I25" s="275" t="s">
        <v>15214</v>
      </c>
    </row>
    <row r="26" spans="1:9" x14ac:dyDescent="0.25">
      <c r="A26" s="299">
        <v>42948</v>
      </c>
      <c r="B26" s="302" t="s">
        <v>23803</v>
      </c>
      <c r="C26">
        <v>121998</v>
      </c>
      <c r="D26" s="236" t="s">
        <v>15358</v>
      </c>
      <c r="E26" s="301">
        <v>2131.5</v>
      </c>
      <c r="F26" s="303">
        <v>42948</v>
      </c>
      <c r="G26" s="301">
        <v>2131.5</v>
      </c>
      <c r="H26" s="304">
        <f>Tabla13[[#This Row],[Importe]]-Tabla13[[#This Row],[Pagado]]</f>
        <v>0</v>
      </c>
      <c r="I26" s="275" t="s">
        <v>15214</v>
      </c>
    </row>
    <row r="27" spans="1:9" x14ac:dyDescent="0.25">
      <c r="A27" s="299">
        <v>42948</v>
      </c>
      <c r="B27" s="302" t="s">
        <v>23804</v>
      </c>
      <c r="C27">
        <v>121999</v>
      </c>
      <c r="D27" s="236" t="s">
        <v>15334</v>
      </c>
      <c r="E27" s="301">
        <v>1620</v>
      </c>
      <c r="F27" s="303">
        <v>42948</v>
      </c>
      <c r="G27" s="301">
        <v>1620</v>
      </c>
      <c r="H27" s="304">
        <f>Tabla13[[#This Row],[Importe]]-Tabla13[[#This Row],[Pagado]]</f>
        <v>0</v>
      </c>
      <c r="I27" s="275" t="s">
        <v>15214</v>
      </c>
    </row>
    <row r="28" spans="1:9" x14ac:dyDescent="0.25">
      <c r="A28" s="299">
        <v>42948</v>
      </c>
      <c r="B28" s="302" t="s">
        <v>23805</v>
      </c>
      <c r="C28">
        <v>122000</v>
      </c>
      <c r="D28" s="236" t="s">
        <v>15256</v>
      </c>
      <c r="E28" s="301">
        <v>2269.6</v>
      </c>
      <c r="F28" s="303">
        <v>42950</v>
      </c>
      <c r="G28" s="301">
        <v>2269.6</v>
      </c>
      <c r="H28" s="304">
        <f>Tabla13[[#This Row],[Importe]]-Tabla13[[#This Row],[Pagado]]</f>
        <v>0</v>
      </c>
      <c r="I28" s="275" t="s">
        <v>15214</v>
      </c>
    </row>
    <row r="29" spans="1:9" x14ac:dyDescent="0.25">
      <c r="A29" s="299">
        <v>42948</v>
      </c>
      <c r="B29" s="302" t="s">
        <v>23806</v>
      </c>
      <c r="C29">
        <v>122001</v>
      </c>
      <c r="D29" s="236" t="s">
        <v>15742</v>
      </c>
      <c r="E29" s="301">
        <v>2320.5</v>
      </c>
      <c r="F29" s="303">
        <v>42948</v>
      </c>
      <c r="G29" s="301">
        <v>2320.5</v>
      </c>
      <c r="H29" s="304">
        <f>Tabla13[[#This Row],[Importe]]-Tabla13[[#This Row],[Pagado]]</f>
        <v>0</v>
      </c>
      <c r="I29" s="275" t="s">
        <v>15214</v>
      </c>
    </row>
    <row r="30" spans="1:9" ht="15.75" x14ac:dyDescent="0.25">
      <c r="A30" s="299">
        <v>42948</v>
      </c>
      <c r="B30" s="302" t="s">
        <v>23807</v>
      </c>
      <c r="C30">
        <v>122002</v>
      </c>
      <c r="D30" s="248" t="s">
        <v>95</v>
      </c>
      <c r="E30" s="301">
        <v>0</v>
      </c>
      <c r="F30" s="243" t="s">
        <v>95</v>
      </c>
      <c r="G30" s="301">
        <v>0</v>
      </c>
      <c r="H30" s="304">
        <f>Tabla13[[#This Row],[Importe]]-Tabla13[[#This Row],[Pagado]]</f>
        <v>0</v>
      </c>
      <c r="I30" s="275" t="s">
        <v>95</v>
      </c>
    </row>
    <row r="31" spans="1:9" x14ac:dyDescent="0.25">
      <c r="A31" s="299">
        <v>42948</v>
      </c>
      <c r="B31" s="302" t="s">
        <v>23808</v>
      </c>
      <c r="C31">
        <v>122003</v>
      </c>
      <c r="D31" s="236" t="s">
        <v>15748</v>
      </c>
      <c r="E31" s="301">
        <v>1691</v>
      </c>
      <c r="F31" s="303">
        <v>42948</v>
      </c>
      <c r="G31" s="301">
        <v>1691</v>
      </c>
      <c r="H31" s="304">
        <f>Tabla13[[#This Row],[Importe]]-Tabla13[[#This Row],[Pagado]]</f>
        <v>0</v>
      </c>
      <c r="I31" s="275" t="s">
        <v>15214</v>
      </c>
    </row>
    <row r="32" spans="1:9" x14ac:dyDescent="0.25">
      <c r="A32" s="299">
        <v>42948</v>
      </c>
      <c r="B32" s="302" t="s">
        <v>23809</v>
      </c>
      <c r="C32">
        <v>122004</v>
      </c>
      <c r="D32" s="236" t="s">
        <v>15246</v>
      </c>
      <c r="E32" s="301">
        <v>32194.2</v>
      </c>
      <c r="F32" s="303">
        <v>42954</v>
      </c>
      <c r="G32" s="301">
        <v>32194.2</v>
      </c>
      <c r="H32" s="304">
        <f>Tabla13[[#This Row],[Importe]]-Tabla13[[#This Row],[Pagado]]</f>
        <v>0</v>
      </c>
      <c r="I32" s="275" t="s">
        <v>15214</v>
      </c>
    </row>
    <row r="33" spans="1:9" ht="15.75" x14ac:dyDescent="0.25">
      <c r="A33" s="299">
        <v>42948</v>
      </c>
      <c r="B33" s="302" t="s">
        <v>23810</v>
      </c>
      <c r="C33">
        <v>122005</v>
      </c>
      <c r="D33" s="248" t="s">
        <v>95</v>
      </c>
      <c r="E33" s="301">
        <v>0</v>
      </c>
      <c r="F33" s="243" t="s">
        <v>95</v>
      </c>
      <c r="G33" s="301">
        <v>0</v>
      </c>
      <c r="H33" s="304">
        <f>Tabla13[[#This Row],[Importe]]-Tabla13[[#This Row],[Pagado]]</f>
        <v>0</v>
      </c>
      <c r="I33" s="275" t="s">
        <v>95</v>
      </c>
    </row>
    <row r="34" spans="1:9" x14ac:dyDescent="0.25">
      <c r="A34" s="299">
        <v>42948</v>
      </c>
      <c r="B34" s="302" t="s">
        <v>23811</v>
      </c>
      <c r="C34">
        <v>122006</v>
      </c>
      <c r="D34" s="236" t="s">
        <v>15757</v>
      </c>
      <c r="E34" s="301">
        <v>5059.2</v>
      </c>
      <c r="F34" s="303">
        <v>42948</v>
      </c>
      <c r="G34" s="301">
        <v>5059.2</v>
      </c>
      <c r="H34" s="304">
        <f>Tabla13[[#This Row],[Importe]]-Tabla13[[#This Row],[Pagado]]</f>
        <v>0</v>
      </c>
      <c r="I34" s="275" t="s">
        <v>15214</v>
      </c>
    </row>
    <row r="35" spans="1:9" x14ac:dyDescent="0.25">
      <c r="A35" s="299">
        <v>42948</v>
      </c>
      <c r="B35" s="302" t="s">
        <v>23812</v>
      </c>
      <c r="C35">
        <v>122007</v>
      </c>
      <c r="D35" s="236" t="s">
        <v>15338</v>
      </c>
      <c r="E35" s="301">
        <v>7910</v>
      </c>
      <c r="F35" s="303">
        <v>42950</v>
      </c>
      <c r="G35" s="301">
        <v>7910</v>
      </c>
      <c r="H35" s="304">
        <f>Tabla13[[#This Row],[Importe]]-Tabla13[[#This Row],[Pagado]]</f>
        <v>0</v>
      </c>
      <c r="I35" s="275" t="s">
        <v>15214</v>
      </c>
    </row>
    <row r="36" spans="1:9" x14ac:dyDescent="0.25">
      <c r="A36" s="299">
        <v>42948</v>
      </c>
      <c r="B36" s="302" t="s">
        <v>23813</v>
      </c>
      <c r="C36">
        <v>122008</v>
      </c>
      <c r="D36" s="236" t="s">
        <v>15244</v>
      </c>
      <c r="E36" s="301">
        <v>9813.5</v>
      </c>
      <c r="F36" s="303">
        <v>42948</v>
      </c>
      <c r="G36" s="301">
        <v>9813.5</v>
      </c>
      <c r="H36" s="304">
        <f>Tabla13[[#This Row],[Importe]]-Tabla13[[#This Row],[Pagado]]</f>
        <v>0</v>
      </c>
      <c r="I36" s="275" t="s">
        <v>15214</v>
      </c>
    </row>
    <row r="37" spans="1:9" x14ac:dyDescent="0.25">
      <c r="A37" s="299">
        <v>42948</v>
      </c>
      <c r="B37" s="302" t="s">
        <v>23814</v>
      </c>
      <c r="C37">
        <v>122009</v>
      </c>
      <c r="D37" s="236" t="s">
        <v>15348</v>
      </c>
      <c r="E37" s="301">
        <v>3578.9</v>
      </c>
      <c r="F37" s="303">
        <v>42950</v>
      </c>
      <c r="G37" s="301">
        <v>3578.9</v>
      </c>
      <c r="H37" s="304">
        <f>Tabla13[[#This Row],[Importe]]-Tabla13[[#This Row],[Pagado]]</f>
        <v>0</v>
      </c>
      <c r="I37" s="275" t="s">
        <v>15214</v>
      </c>
    </row>
    <row r="38" spans="1:9" x14ac:dyDescent="0.25">
      <c r="A38" s="299">
        <v>42948</v>
      </c>
      <c r="B38" s="302" t="s">
        <v>23815</v>
      </c>
      <c r="C38">
        <v>122010</v>
      </c>
      <c r="D38" s="236" t="s">
        <v>15328</v>
      </c>
      <c r="E38" s="301">
        <v>73789.320000000007</v>
      </c>
      <c r="F38" s="303">
        <v>42959</v>
      </c>
      <c r="G38" s="301">
        <v>73789.320000000007</v>
      </c>
      <c r="H38" s="304">
        <f>Tabla13[[#This Row],[Importe]]-Tabla13[[#This Row],[Pagado]]</f>
        <v>0</v>
      </c>
      <c r="I38" s="275" t="s">
        <v>15214</v>
      </c>
    </row>
    <row r="39" spans="1:9" ht="15.75" x14ac:dyDescent="0.25">
      <c r="A39" s="299">
        <v>42948</v>
      </c>
      <c r="B39" s="302" t="s">
        <v>23816</v>
      </c>
      <c r="C39">
        <v>122011</v>
      </c>
      <c r="D39" s="248" t="s">
        <v>95</v>
      </c>
      <c r="E39" s="301">
        <v>0</v>
      </c>
      <c r="F39" s="243" t="s">
        <v>95</v>
      </c>
      <c r="G39" s="301">
        <v>0</v>
      </c>
      <c r="H39" s="304">
        <f>Tabla13[[#This Row],[Importe]]-Tabla13[[#This Row],[Pagado]]</f>
        <v>0</v>
      </c>
      <c r="I39" s="275" t="s">
        <v>95</v>
      </c>
    </row>
    <row r="40" spans="1:9" x14ac:dyDescent="0.25">
      <c r="A40" s="299">
        <v>42948</v>
      </c>
      <c r="B40" s="302" t="s">
        <v>23817</v>
      </c>
      <c r="C40">
        <v>122012</v>
      </c>
      <c r="D40" s="236" t="s">
        <v>15242</v>
      </c>
      <c r="E40" s="301">
        <v>7698.6</v>
      </c>
      <c r="F40" s="303">
        <v>42949</v>
      </c>
      <c r="G40" s="301">
        <v>7698.6</v>
      </c>
      <c r="H40" s="304">
        <f>Tabla13[[#This Row],[Importe]]-Tabla13[[#This Row],[Pagado]]</f>
        <v>0</v>
      </c>
      <c r="I40" s="275" t="s">
        <v>15214</v>
      </c>
    </row>
    <row r="41" spans="1:9" x14ac:dyDescent="0.25">
      <c r="A41" s="299">
        <v>42948</v>
      </c>
      <c r="B41" s="302" t="s">
        <v>23818</v>
      </c>
      <c r="C41">
        <v>122013</v>
      </c>
      <c r="D41" s="236" t="s">
        <v>15282</v>
      </c>
      <c r="E41" s="301">
        <v>3700</v>
      </c>
      <c r="F41" s="303">
        <v>42948</v>
      </c>
      <c r="G41" s="301">
        <v>3700</v>
      </c>
      <c r="H41" s="304">
        <f>Tabla13[[#This Row],[Importe]]-Tabla13[[#This Row],[Pagado]]</f>
        <v>0</v>
      </c>
      <c r="I41" s="275" t="s">
        <v>15214</v>
      </c>
    </row>
    <row r="42" spans="1:9" x14ac:dyDescent="0.25">
      <c r="A42" s="299">
        <v>42948</v>
      </c>
      <c r="B42" s="302" t="s">
        <v>23819</v>
      </c>
      <c r="C42">
        <v>122014</v>
      </c>
      <c r="D42" s="236" t="s">
        <v>15280</v>
      </c>
      <c r="E42" s="301">
        <v>4003.7</v>
      </c>
      <c r="F42" s="303">
        <v>42948</v>
      </c>
      <c r="G42" s="301">
        <v>4003.7</v>
      </c>
      <c r="H42" s="304">
        <f>Tabla13[[#This Row],[Importe]]-Tabla13[[#This Row],[Pagado]]</f>
        <v>0</v>
      </c>
      <c r="I42" s="275" t="s">
        <v>15214</v>
      </c>
    </row>
    <row r="43" spans="1:9" x14ac:dyDescent="0.25">
      <c r="A43" s="299">
        <v>42948</v>
      </c>
      <c r="B43" s="302" t="s">
        <v>23820</v>
      </c>
      <c r="C43">
        <v>122015</v>
      </c>
      <c r="D43" s="236" t="s">
        <v>15289</v>
      </c>
      <c r="E43" s="301">
        <v>1036.8</v>
      </c>
      <c r="F43" s="303">
        <v>42948</v>
      </c>
      <c r="G43" s="301">
        <v>1036.8</v>
      </c>
      <c r="H43" s="304">
        <f>Tabla13[[#This Row],[Importe]]-Tabla13[[#This Row],[Pagado]]</f>
        <v>0</v>
      </c>
      <c r="I43" s="275" t="s">
        <v>15214</v>
      </c>
    </row>
    <row r="44" spans="1:9" x14ac:dyDescent="0.25">
      <c r="A44" s="299">
        <v>42948</v>
      </c>
      <c r="B44" s="302" t="s">
        <v>23821</v>
      </c>
      <c r="C44">
        <v>122016</v>
      </c>
      <c r="D44" s="236" t="s">
        <v>15252</v>
      </c>
      <c r="E44" s="301">
        <v>4839.1000000000004</v>
      </c>
      <c r="F44" s="303">
        <v>42951</v>
      </c>
      <c r="G44" s="301">
        <v>4839.1000000000004</v>
      </c>
      <c r="H44" s="304">
        <f>Tabla13[[#This Row],[Importe]]-Tabla13[[#This Row],[Pagado]]</f>
        <v>0</v>
      </c>
      <c r="I44" s="275" t="s">
        <v>15214</v>
      </c>
    </row>
    <row r="45" spans="1:9" x14ac:dyDescent="0.25">
      <c r="A45" s="299">
        <v>42948</v>
      </c>
      <c r="B45" s="302" t="s">
        <v>23822</v>
      </c>
      <c r="C45">
        <v>122017</v>
      </c>
      <c r="D45" s="236" t="s">
        <v>15263</v>
      </c>
      <c r="E45" s="301">
        <v>2334.3000000000002</v>
      </c>
      <c r="F45" s="303">
        <v>42948</v>
      </c>
      <c r="G45" s="301">
        <v>2334.3000000000002</v>
      </c>
      <c r="H45" s="304">
        <f>Tabla13[[#This Row],[Importe]]-Tabla13[[#This Row],[Pagado]]</f>
        <v>0</v>
      </c>
      <c r="I45" s="275" t="s">
        <v>15214</v>
      </c>
    </row>
    <row r="46" spans="1:9" x14ac:dyDescent="0.25">
      <c r="A46" s="299">
        <v>42948</v>
      </c>
      <c r="B46" s="302" t="s">
        <v>23823</v>
      </c>
      <c r="C46">
        <v>122018</v>
      </c>
      <c r="D46" s="236" t="s">
        <v>15254</v>
      </c>
      <c r="E46" s="301">
        <v>3311.4</v>
      </c>
      <c r="F46" s="303">
        <v>42952</v>
      </c>
      <c r="G46" s="301">
        <v>3311.4</v>
      </c>
      <c r="H46" s="304">
        <f>Tabla13[[#This Row],[Importe]]-Tabla13[[#This Row],[Pagado]]</f>
        <v>0</v>
      </c>
      <c r="I46" s="275" t="s">
        <v>15214</v>
      </c>
    </row>
    <row r="47" spans="1:9" x14ac:dyDescent="0.25">
      <c r="A47" s="299">
        <v>42948</v>
      </c>
      <c r="B47" s="302" t="s">
        <v>23824</v>
      </c>
      <c r="C47">
        <v>122019</v>
      </c>
      <c r="D47" s="236" t="s">
        <v>15284</v>
      </c>
      <c r="E47" s="301">
        <v>1495.9</v>
      </c>
      <c r="F47" s="303">
        <v>42948</v>
      </c>
      <c r="G47" s="301">
        <v>1495.9</v>
      </c>
      <c r="H47" s="304">
        <f>Tabla13[[#This Row],[Importe]]-Tabla13[[#This Row],[Pagado]]</f>
        <v>0</v>
      </c>
      <c r="I47" s="275" t="s">
        <v>15214</v>
      </c>
    </row>
    <row r="48" spans="1:9" ht="30" x14ac:dyDescent="0.25">
      <c r="A48" s="299">
        <v>42948</v>
      </c>
      <c r="B48" s="302" t="s">
        <v>23825</v>
      </c>
      <c r="C48">
        <v>122020</v>
      </c>
      <c r="D48" s="236" t="s">
        <v>15223</v>
      </c>
      <c r="E48" s="301">
        <v>67938.8</v>
      </c>
      <c r="F48" s="303" t="s">
        <v>23826</v>
      </c>
      <c r="G48" s="305">
        <f>47370.6+20568.2</f>
        <v>67938.8</v>
      </c>
      <c r="H48" s="304">
        <f>Tabla13[[#This Row],[Importe]]-Tabla13[[#This Row],[Pagado]]</f>
        <v>0</v>
      </c>
      <c r="I48" s="275" t="s">
        <v>15214</v>
      </c>
    </row>
    <row r="49" spans="1:9" x14ac:dyDescent="0.25">
      <c r="A49" s="299">
        <v>42948</v>
      </c>
      <c r="B49" s="302" t="s">
        <v>23827</v>
      </c>
      <c r="C49">
        <v>122021</v>
      </c>
      <c r="D49" s="236" t="s">
        <v>15324</v>
      </c>
      <c r="E49" s="301">
        <v>2890</v>
      </c>
      <c r="F49" s="303">
        <v>42948</v>
      </c>
      <c r="G49" s="301">
        <v>2890</v>
      </c>
      <c r="H49" s="304">
        <f>Tabla13[[#This Row],[Importe]]-Tabla13[[#This Row],[Pagado]]</f>
        <v>0</v>
      </c>
      <c r="I49" s="275" t="s">
        <v>15214</v>
      </c>
    </row>
    <row r="50" spans="1:9" x14ac:dyDescent="0.25">
      <c r="A50" s="299">
        <v>42948</v>
      </c>
      <c r="B50" s="302" t="s">
        <v>23828</v>
      </c>
      <c r="C50">
        <v>122022</v>
      </c>
      <c r="D50" s="236" t="s">
        <v>15250</v>
      </c>
      <c r="E50" s="301">
        <v>4337.8</v>
      </c>
      <c r="F50" s="303">
        <v>42961</v>
      </c>
      <c r="G50" s="301">
        <v>4337.8</v>
      </c>
      <c r="H50" s="304">
        <f>Tabla13[[#This Row],[Importe]]-Tabla13[[#This Row],[Pagado]]</f>
        <v>0</v>
      </c>
      <c r="I50" s="275" t="s">
        <v>15214</v>
      </c>
    </row>
    <row r="51" spans="1:9" x14ac:dyDescent="0.25">
      <c r="A51" s="299">
        <v>42948</v>
      </c>
      <c r="B51" s="302" t="s">
        <v>23829</v>
      </c>
      <c r="C51">
        <v>122023</v>
      </c>
      <c r="D51" s="236" t="s">
        <v>15322</v>
      </c>
      <c r="E51" s="301">
        <v>1001.4</v>
      </c>
      <c r="F51" s="303">
        <v>42948</v>
      </c>
      <c r="G51" s="301">
        <v>1001.4</v>
      </c>
      <c r="H51" s="304">
        <f>Tabla13[[#This Row],[Importe]]-Tabla13[[#This Row],[Pagado]]</f>
        <v>0</v>
      </c>
      <c r="I51" s="275" t="s">
        <v>15214</v>
      </c>
    </row>
    <row r="52" spans="1:9" ht="15.75" x14ac:dyDescent="0.25">
      <c r="A52" s="299">
        <v>42948</v>
      </c>
      <c r="B52" s="302" t="s">
        <v>23830</v>
      </c>
      <c r="C52">
        <v>122024</v>
      </c>
      <c r="D52" s="248" t="s">
        <v>95</v>
      </c>
      <c r="E52" s="301">
        <v>0</v>
      </c>
      <c r="F52" s="243" t="s">
        <v>95</v>
      </c>
      <c r="G52" s="301">
        <v>0</v>
      </c>
      <c r="H52" s="304">
        <f>Tabla13[[#This Row],[Importe]]-Tabla13[[#This Row],[Pagado]]</f>
        <v>0</v>
      </c>
      <c r="I52" s="275" t="s">
        <v>95</v>
      </c>
    </row>
    <row r="53" spans="1:9" x14ac:dyDescent="0.25">
      <c r="A53" s="299">
        <v>42948</v>
      </c>
      <c r="B53" s="302" t="s">
        <v>23831</v>
      </c>
      <c r="C53">
        <v>122025</v>
      </c>
      <c r="D53" s="236" t="s">
        <v>15276</v>
      </c>
      <c r="E53" s="301">
        <v>2500</v>
      </c>
      <c r="F53" s="303">
        <v>42949</v>
      </c>
      <c r="G53" s="301">
        <v>2500</v>
      </c>
      <c r="H53" s="304">
        <f>Tabla13[[#This Row],[Importe]]-Tabla13[[#This Row],[Pagado]]</f>
        <v>0</v>
      </c>
      <c r="I53" s="275" t="s">
        <v>15214</v>
      </c>
    </row>
    <row r="54" spans="1:9" x14ac:dyDescent="0.25">
      <c r="A54" s="299">
        <v>42948</v>
      </c>
      <c r="B54" s="302" t="s">
        <v>23832</v>
      </c>
      <c r="C54">
        <v>122026</v>
      </c>
      <c r="D54" s="236" t="s">
        <v>15311</v>
      </c>
      <c r="E54" s="301">
        <v>1746.4</v>
      </c>
      <c r="F54" s="303">
        <v>42949</v>
      </c>
      <c r="G54" s="301">
        <v>1746.4</v>
      </c>
      <c r="H54" s="304">
        <f>Tabla13[[#This Row],[Importe]]-Tabla13[[#This Row],[Pagado]]</f>
        <v>0</v>
      </c>
      <c r="I54" s="275" t="s">
        <v>15214</v>
      </c>
    </row>
    <row r="55" spans="1:9" x14ac:dyDescent="0.25">
      <c r="A55" s="299">
        <v>42948</v>
      </c>
      <c r="B55" s="302" t="s">
        <v>23833</v>
      </c>
      <c r="C55">
        <v>122027</v>
      </c>
      <c r="D55" s="236" t="s">
        <v>15298</v>
      </c>
      <c r="E55" s="301">
        <v>14075.6</v>
      </c>
      <c r="F55" s="303">
        <v>42950</v>
      </c>
      <c r="G55" s="301">
        <v>14075.6</v>
      </c>
      <c r="H55" s="304">
        <f>Tabla13[[#This Row],[Importe]]-Tabla13[[#This Row],[Pagado]]</f>
        <v>0</v>
      </c>
      <c r="I55" s="275" t="s">
        <v>15214</v>
      </c>
    </row>
    <row r="56" spans="1:9" x14ac:dyDescent="0.25">
      <c r="A56" s="299">
        <v>42948</v>
      </c>
      <c r="B56" s="302" t="s">
        <v>23834</v>
      </c>
      <c r="C56">
        <v>122028</v>
      </c>
      <c r="D56" s="236" t="s">
        <v>15307</v>
      </c>
      <c r="E56" s="301">
        <v>1856.9</v>
      </c>
      <c r="F56" s="303">
        <v>42949</v>
      </c>
      <c r="G56" s="301">
        <v>1856.9</v>
      </c>
      <c r="H56" s="304">
        <f>Tabla13[[#This Row],[Importe]]-Tabla13[[#This Row],[Pagado]]</f>
        <v>0</v>
      </c>
      <c r="I56" s="275" t="s">
        <v>15214</v>
      </c>
    </row>
    <row r="57" spans="1:9" x14ac:dyDescent="0.25">
      <c r="A57" s="299">
        <v>42948</v>
      </c>
      <c r="B57" s="302" t="s">
        <v>23835</v>
      </c>
      <c r="C57">
        <v>122029</v>
      </c>
      <c r="D57" s="236" t="s">
        <v>17235</v>
      </c>
      <c r="E57" s="301">
        <v>1729.6</v>
      </c>
      <c r="F57" s="303">
        <v>42949</v>
      </c>
      <c r="G57" s="301">
        <v>1729.6</v>
      </c>
      <c r="H57" s="304">
        <f>Tabla13[[#This Row],[Importe]]-Tabla13[[#This Row],[Pagado]]</f>
        <v>0</v>
      </c>
      <c r="I57" s="275" t="s">
        <v>15214</v>
      </c>
    </row>
    <row r="58" spans="1:9" x14ac:dyDescent="0.25">
      <c r="A58" s="299">
        <v>42948</v>
      </c>
      <c r="B58" s="302" t="s">
        <v>23836</v>
      </c>
      <c r="C58">
        <v>122030</v>
      </c>
      <c r="D58" s="236" t="s">
        <v>15748</v>
      </c>
      <c r="E58" s="301">
        <v>3513.96</v>
      </c>
      <c r="F58" s="303">
        <v>42956</v>
      </c>
      <c r="G58" s="301">
        <v>3513.96</v>
      </c>
      <c r="H58" s="304">
        <f>Tabla13[[#This Row],[Importe]]-Tabla13[[#This Row],[Pagado]]</f>
        <v>0</v>
      </c>
      <c r="I58" s="275" t="s">
        <v>15214</v>
      </c>
    </row>
    <row r="59" spans="1:9" x14ac:dyDescent="0.25">
      <c r="A59" s="299">
        <v>42948</v>
      </c>
      <c r="B59" s="302" t="s">
        <v>23837</v>
      </c>
      <c r="C59">
        <v>122031</v>
      </c>
      <c r="D59" s="236" t="s">
        <v>15699</v>
      </c>
      <c r="E59" s="301">
        <v>3140.6</v>
      </c>
      <c r="F59" s="303">
        <v>42966</v>
      </c>
      <c r="G59" s="301">
        <v>3140.6</v>
      </c>
      <c r="H59" s="304">
        <f>Tabla13[[#This Row],[Importe]]-Tabla13[[#This Row],[Pagado]]</f>
        <v>0</v>
      </c>
      <c r="I59" s="275" t="s">
        <v>15214</v>
      </c>
    </row>
    <row r="60" spans="1:9" ht="30" x14ac:dyDescent="0.25">
      <c r="A60" s="299">
        <v>42948</v>
      </c>
      <c r="B60" s="302" t="s">
        <v>23838</v>
      </c>
      <c r="C60">
        <v>122032</v>
      </c>
      <c r="D60" s="236" t="s">
        <v>15544</v>
      </c>
      <c r="E60" s="301">
        <v>2988.9</v>
      </c>
      <c r="F60" s="307" t="s">
        <v>23839</v>
      </c>
      <c r="G60" s="305">
        <f>2628.3+360.6</f>
        <v>2988.9</v>
      </c>
      <c r="H60" s="304">
        <f>Tabla13[[#This Row],[Importe]]-Tabla13[[#This Row],[Pagado]]</f>
        <v>0</v>
      </c>
      <c r="I60" s="275" t="s">
        <v>15214</v>
      </c>
    </row>
    <row r="61" spans="1:9" x14ac:dyDescent="0.25">
      <c r="A61" s="299">
        <v>42948</v>
      </c>
      <c r="B61" s="302" t="s">
        <v>23840</v>
      </c>
      <c r="C61">
        <v>122033</v>
      </c>
      <c r="D61" s="236" t="s">
        <v>15539</v>
      </c>
      <c r="E61" s="301">
        <v>16428.7</v>
      </c>
      <c r="F61" s="303">
        <v>42956</v>
      </c>
      <c r="G61" s="301">
        <v>16428.7</v>
      </c>
      <c r="H61" s="304">
        <f>Tabla13[[#This Row],[Importe]]-Tabla13[[#This Row],[Pagado]]</f>
        <v>0</v>
      </c>
      <c r="I61" s="275" t="s">
        <v>15214</v>
      </c>
    </row>
    <row r="62" spans="1:9" x14ac:dyDescent="0.25">
      <c r="A62" s="299">
        <v>42948</v>
      </c>
      <c r="B62" s="302" t="s">
        <v>23841</v>
      </c>
      <c r="C62">
        <v>122034</v>
      </c>
      <c r="D62" s="236" t="s">
        <v>15537</v>
      </c>
      <c r="E62" s="301">
        <v>16211.4</v>
      </c>
      <c r="F62" s="303">
        <v>42951</v>
      </c>
      <c r="G62" s="301">
        <v>16211.4</v>
      </c>
      <c r="H62" s="304">
        <f>Tabla13[[#This Row],[Importe]]-Tabla13[[#This Row],[Pagado]]</f>
        <v>0</v>
      </c>
      <c r="I62" s="275" t="s">
        <v>15214</v>
      </c>
    </row>
    <row r="63" spans="1:9" x14ac:dyDescent="0.25">
      <c r="A63" s="299">
        <v>42948</v>
      </c>
      <c r="B63" s="302" t="s">
        <v>23842</v>
      </c>
      <c r="C63">
        <v>122035</v>
      </c>
      <c r="D63" s="236" t="s">
        <v>15555</v>
      </c>
      <c r="E63" s="301">
        <v>2395.1999999999998</v>
      </c>
      <c r="F63" s="303">
        <v>42970</v>
      </c>
      <c r="G63" s="301">
        <v>2395.1999999999998</v>
      </c>
      <c r="H63" s="304">
        <f>Tabla13[[#This Row],[Importe]]-Tabla13[[#This Row],[Pagado]]</f>
        <v>0</v>
      </c>
      <c r="I63" s="275" t="s">
        <v>15214</v>
      </c>
    </row>
    <row r="64" spans="1:9" x14ac:dyDescent="0.25">
      <c r="A64" s="299">
        <v>42948</v>
      </c>
      <c r="B64" s="302" t="s">
        <v>23843</v>
      </c>
      <c r="C64">
        <v>122036</v>
      </c>
      <c r="D64" s="236" t="s">
        <v>15315</v>
      </c>
      <c r="E64" s="301">
        <v>6499.6</v>
      </c>
      <c r="F64" s="303">
        <v>42956</v>
      </c>
      <c r="G64" s="301">
        <v>6499.6</v>
      </c>
      <c r="H64" s="304">
        <f>Tabla13[[#This Row],[Importe]]-Tabla13[[#This Row],[Pagado]]</f>
        <v>0</v>
      </c>
      <c r="I64" s="275" t="s">
        <v>15214</v>
      </c>
    </row>
    <row r="65" spans="1:9" x14ac:dyDescent="0.25">
      <c r="A65" s="299">
        <v>42948</v>
      </c>
      <c r="B65" s="302" t="s">
        <v>23844</v>
      </c>
      <c r="C65">
        <v>122037</v>
      </c>
      <c r="D65" s="236" t="s">
        <v>17708</v>
      </c>
      <c r="E65" s="301">
        <v>2205.5</v>
      </c>
      <c r="F65" s="303">
        <v>42956</v>
      </c>
      <c r="G65" s="301">
        <v>2205.5</v>
      </c>
      <c r="H65" s="304">
        <f>Tabla13[[#This Row],[Importe]]-Tabla13[[#This Row],[Pagado]]</f>
        <v>0</v>
      </c>
      <c r="I65" s="275" t="s">
        <v>15214</v>
      </c>
    </row>
    <row r="66" spans="1:9" x14ac:dyDescent="0.25">
      <c r="A66" s="299">
        <v>42948</v>
      </c>
      <c r="B66" s="302" t="s">
        <v>23845</v>
      </c>
      <c r="C66">
        <v>122038</v>
      </c>
      <c r="D66" s="236" t="s">
        <v>15396</v>
      </c>
      <c r="E66" s="301">
        <v>6962.8</v>
      </c>
      <c r="F66" s="303">
        <v>42948</v>
      </c>
      <c r="G66" s="301">
        <v>6962.8</v>
      </c>
      <c r="H66" s="304">
        <f>Tabla13[[#This Row],[Importe]]-Tabla13[[#This Row],[Pagado]]</f>
        <v>0</v>
      </c>
      <c r="I66" s="275" t="s">
        <v>15214</v>
      </c>
    </row>
    <row r="67" spans="1:9" x14ac:dyDescent="0.25">
      <c r="A67" s="299">
        <v>42948</v>
      </c>
      <c r="B67" s="302" t="s">
        <v>23846</v>
      </c>
      <c r="C67">
        <v>122039</v>
      </c>
      <c r="D67" s="236" t="s">
        <v>15617</v>
      </c>
      <c r="E67" s="301">
        <v>30830</v>
      </c>
      <c r="F67" s="303">
        <v>42949</v>
      </c>
      <c r="G67" s="301">
        <v>30830</v>
      </c>
      <c r="H67" s="304">
        <f>Tabla13[[#This Row],[Importe]]-Tabla13[[#This Row],[Pagado]]</f>
        <v>0</v>
      </c>
      <c r="I67" s="275" t="s">
        <v>15214</v>
      </c>
    </row>
    <row r="68" spans="1:9" x14ac:dyDescent="0.25">
      <c r="A68" s="299">
        <v>42948</v>
      </c>
      <c r="B68" s="302" t="s">
        <v>23847</v>
      </c>
      <c r="C68">
        <v>122040</v>
      </c>
      <c r="D68" s="236" t="s">
        <v>15315</v>
      </c>
      <c r="E68" s="301">
        <v>3052.5</v>
      </c>
      <c r="F68" s="303">
        <v>42958</v>
      </c>
      <c r="G68" s="301">
        <v>3052.5</v>
      </c>
      <c r="H68" s="304">
        <f>Tabla13[[#This Row],[Importe]]-Tabla13[[#This Row],[Pagado]]</f>
        <v>0</v>
      </c>
      <c r="I68" s="275" t="s">
        <v>15214</v>
      </c>
    </row>
    <row r="69" spans="1:9" x14ac:dyDescent="0.25">
      <c r="A69" s="299">
        <v>42948</v>
      </c>
      <c r="B69" s="302" t="s">
        <v>23848</v>
      </c>
      <c r="C69">
        <v>122041</v>
      </c>
      <c r="D69" s="236" t="s">
        <v>15301</v>
      </c>
      <c r="E69" s="301">
        <v>3116.1</v>
      </c>
      <c r="F69" s="303">
        <v>42949</v>
      </c>
      <c r="G69" s="301">
        <v>3116.1</v>
      </c>
      <c r="H69" s="304">
        <f>Tabla13[[#This Row],[Importe]]-Tabla13[[#This Row],[Pagado]]</f>
        <v>0</v>
      </c>
      <c r="I69" s="275" t="s">
        <v>15214</v>
      </c>
    </row>
    <row r="70" spans="1:9" ht="15.75" x14ac:dyDescent="0.25">
      <c r="A70" s="299">
        <v>42948</v>
      </c>
      <c r="B70" s="302" t="s">
        <v>23849</v>
      </c>
      <c r="C70">
        <v>122042</v>
      </c>
      <c r="D70" s="248" t="s">
        <v>95</v>
      </c>
      <c r="E70" s="301">
        <v>0</v>
      </c>
      <c r="F70" s="243" t="s">
        <v>95</v>
      </c>
      <c r="G70" s="301">
        <v>0</v>
      </c>
      <c r="H70" s="304">
        <f>Tabla13[[#This Row],[Importe]]-Tabla13[[#This Row],[Pagado]]</f>
        <v>0</v>
      </c>
      <c r="I70" s="275" t="s">
        <v>95</v>
      </c>
    </row>
    <row r="71" spans="1:9" x14ac:dyDescent="0.25">
      <c r="A71" s="299">
        <v>42948</v>
      </c>
      <c r="B71" s="302" t="s">
        <v>23850</v>
      </c>
      <c r="C71">
        <v>122043</v>
      </c>
      <c r="D71" s="236" t="s">
        <v>15782</v>
      </c>
      <c r="E71" s="301">
        <v>1536</v>
      </c>
      <c r="F71" s="303">
        <v>42949</v>
      </c>
      <c r="G71" s="301">
        <v>1536</v>
      </c>
      <c r="H71" s="304">
        <f>Tabla13[[#This Row],[Importe]]-Tabla13[[#This Row],[Pagado]]</f>
        <v>0</v>
      </c>
      <c r="I71" s="275" t="s">
        <v>15214</v>
      </c>
    </row>
    <row r="72" spans="1:9" x14ac:dyDescent="0.25">
      <c r="A72" s="299">
        <v>42948</v>
      </c>
      <c r="B72" s="302" t="s">
        <v>23851</v>
      </c>
      <c r="C72">
        <v>122044</v>
      </c>
      <c r="D72" s="236" t="s">
        <v>15562</v>
      </c>
      <c r="E72" s="301">
        <v>3386.4</v>
      </c>
      <c r="F72" s="303">
        <v>42948</v>
      </c>
      <c r="G72" s="301">
        <v>3386.4</v>
      </c>
      <c r="H72" s="304">
        <f>Tabla13[[#This Row],[Importe]]-Tabla13[[#This Row],[Pagado]]</f>
        <v>0</v>
      </c>
      <c r="I72" s="275" t="s">
        <v>15214</v>
      </c>
    </row>
    <row r="73" spans="1:9" x14ac:dyDescent="0.25">
      <c r="A73" s="299">
        <v>42948</v>
      </c>
      <c r="B73" s="302" t="s">
        <v>23852</v>
      </c>
      <c r="C73">
        <v>122045</v>
      </c>
      <c r="D73" s="236" t="s">
        <v>15378</v>
      </c>
      <c r="E73" s="301">
        <v>1328.16</v>
      </c>
      <c r="F73" s="303">
        <v>42948</v>
      </c>
      <c r="G73" s="301">
        <v>1328.16</v>
      </c>
      <c r="H73" s="304">
        <f>Tabla13[[#This Row],[Importe]]-Tabla13[[#This Row],[Pagado]]</f>
        <v>0</v>
      </c>
      <c r="I73" s="275" t="s">
        <v>15214</v>
      </c>
    </row>
    <row r="74" spans="1:9" x14ac:dyDescent="0.25">
      <c r="A74" s="299">
        <v>42948</v>
      </c>
      <c r="B74" s="302" t="s">
        <v>23853</v>
      </c>
      <c r="C74">
        <v>122046</v>
      </c>
      <c r="D74" s="236" t="s">
        <v>15590</v>
      </c>
      <c r="E74" s="301">
        <v>29889.599999999999</v>
      </c>
      <c r="F74" s="303">
        <v>42968</v>
      </c>
      <c r="G74" s="301">
        <v>29889.599999999999</v>
      </c>
      <c r="H74" s="304">
        <f>Tabla13[[#This Row],[Importe]]-Tabla13[[#This Row],[Pagado]]</f>
        <v>0</v>
      </c>
      <c r="I74" s="275" t="s">
        <v>15214</v>
      </c>
    </row>
    <row r="75" spans="1:9" x14ac:dyDescent="0.25">
      <c r="A75" s="299">
        <v>42948</v>
      </c>
      <c r="B75" s="302" t="s">
        <v>23854</v>
      </c>
      <c r="C75">
        <v>122047</v>
      </c>
      <c r="D75" s="236" t="s">
        <v>15391</v>
      </c>
      <c r="E75" s="301">
        <v>7714</v>
      </c>
      <c r="F75" s="303">
        <v>42953</v>
      </c>
      <c r="G75" s="301">
        <v>7714</v>
      </c>
      <c r="H75" s="304">
        <f>Tabla13[[#This Row],[Importe]]-Tabla13[[#This Row],[Pagado]]</f>
        <v>0</v>
      </c>
      <c r="I75" s="275" t="s">
        <v>15214</v>
      </c>
    </row>
    <row r="76" spans="1:9" x14ac:dyDescent="0.25">
      <c r="A76" s="299">
        <v>42948</v>
      </c>
      <c r="B76" s="302" t="s">
        <v>23855</v>
      </c>
      <c r="C76">
        <v>122048</v>
      </c>
      <c r="D76" s="236" t="s">
        <v>15706</v>
      </c>
      <c r="E76" s="301">
        <v>2350.4</v>
      </c>
      <c r="F76" s="303">
        <v>42948</v>
      </c>
      <c r="G76" s="301">
        <v>2350.4</v>
      </c>
      <c r="H76" s="304">
        <f>Tabla13[[#This Row],[Importe]]-Tabla13[[#This Row],[Pagado]]</f>
        <v>0</v>
      </c>
      <c r="I76" s="275" t="s">
        <v>15214</v>
      </c>
    </row>
    <row r="77" spans="1:9" x14ac:dyDescent="0.25">
      <c r="A77" s="299">
        <v>42948</v>
      </c>
      <c r="B77" s="302" t="s">
        <v>23856</v>
      </c>
      <c r="C77">
        <v>122049</v>
      </c>
      <c r="D77" s="236" t="s">
        <v>15706</v>
      </c>
      <c r="E77" s="301">
        <v>166.4</v>
      </c>
      <c r="F77" s="303">
        <v>42948</v>
      </c>
      <c r="G77" s="301">
        <v>166.4</v>
      </c>
      <c r="H77" s="304">
        <f>Tabla13[[#This Row],[Importe]]-Tabla13[[#This Row],[Pagado]]</f>
        <v>0</v>
      </c>
      <c r="I77" s="275" t="s">
        <v>15214</v>
      </c>
    </row>
    <row r="78" spans="1:9" x14ac:dyDescent="0.25">
      <c r="A78" s="299">
        <v>42948</v>
      </c>
      <c r="B78" s="302" t="s">
        <v>23857</v>
      </c>
      <c r="C78">
        <v>122050</v>
      </c>
      <c r="D78" s="236" t="s">
        <v>21445</v>
      </c>
      <c r="E78" s="301">
        <v>1968.2</v>
      </c>
      <c r="F78" s="303">
        <v>42948</v>
      </c>
      <c r="G78" s="301">
        <v>1968.2</v>
      </c>
      <c r="H78" s="304">
        <f>Tabla13[[#This Row],[Importe]]-Tabla13[[#This Row],[Pagado]]</f>
        <v>0</v>
      </c>
      <c r="I78" s="275" t="s">
        <v>15214</v>
      </c>
    </row>
    <row r="79" spans="1:9" x14ac:dyDescent="0.25">
      <c r="A79" s="299">
        <v>42948</v>
      </c>
      <c r="B79" s="302" t="s">
        <v>23858</v>
      </c>
      <c r="C79">
        <v>122051</v>
      </c>
      <c r="D79" s="236" t="s">
        <v>16383</v>
      </c>
      <c r="E79" s="301">
        <v>338</v>
      </c>
      <c r="F79" s="303">
        <v>42948</v>
      </c>
      <c r="G79" s="301">
        <v>338</v>
      </c>
      <c r="H79" s="304">
        <f>Tabla13[[#This Row],[Importe]]-Tabla13[[#This Row],[Pagado]]</f>
        <v>0</v>
      </c>
      <c r="I79" s="275" t="s">
        <v>15214</v>
      </c>
    </row>
    <row r="80" spans="1:9" ht="15.75" x14ac:dyDescent="0.25">
      <c r="A80" s="299">
        <v>42948</v>
      </c>
      <c r="B80" s="302" t="s">
        <v>23859</v>
      </c>
      <c r="C80">
        <v>122052</v>
      </c>
      <c r="D80" s="248" t="s">
        <v>95</v>
      </c>
      <c r="E80" s="301">
        <v>0</v>
      </c>
      <c r="F80" s="243" t="s">
        <v>95</v>
      </c>
      <c r="G80" s="301">
        <v>0</v>
      </c>
      <c r="H80" s="304">
        <f>Tabla13[[#This Row],[Importe]]-Tabla13[[#This Row],[Pagado]]</f>
        <v>0</v>
      </c>
      <c r="I80" s="275" t="s">
        <v>95</v>
      </c>
    </row>
    <row r="81" spans="1:9" x14ac:dyDescent="0.25">
      <c r="A81" s="299">
        <v>42948</v>
      </c>
      <c r="B81" s="302" t="s">
        <v>23860</v>
      </c>
      <c r="C81">
        <v>122053</v>
      </c>
      <c r="D81" s="236" t="s">
        <v>15326</v>
      </c>
      <c r="E81" s="301">
        <v>891.06</v>
      </c>
      <c r="F81" s="303">
        <v>42948</v>
      </c>
      <c r="G81" s="301">
        <v>891.06</v>
      </c>
      <c r="H81" s="304">
        <f>Tabla13[[#This Row],[Importe]]-Tabla13[[#This Row],[Pagado]]</f>
        <v>0</v>
      </c>
      <c r="I81" s="275" t="s">
        <v>15214</v>
      </c>
    </row>
    <row r="82" spans="1:9" x14ac:dyDescent="0.25">
      <c r="A82" s="299">
        <v>42948</v>
      </c>
      <c r="B82" s="302" t="s">
        <v>23861</v>
      </c>
      <c r="C82">
        <v>122054</v>
      </c>
      <c r="D82" s="236" t="s">
        <v>15581</v>
      </c>
      <c r="E82" s="301">
        <v>8785.2000000000007</v>
      </c>
      <c r="F82" s="303">
        <v>42956</v>
      </c>
      <c r="G82" s="301">
        <v>8785.2000000000007</v>
      </c>
      <c r="H82" s="304">
        <f>Tabla13[[#This Row],[Importe]]-Tabla13[[#This Row],[Pagado]]</f>
        <v>0</v>
      </c>
      <c r="I82" s="275" t="s">
        <v>15214</v>
      </c>
    </row>
    <row r="83" spans="1:9" x14ac:dyDescent="0.25">
      <c r="A83" s="299">
        <v>42948</v>
      </c>
      <c r="B83" s="302" t="s">
        <v>23862</v>
      </c>
      <c r="C83">
        <v>122055</v>
      </c>
      <c r="D83" s="236" t="s">
        <v>15577</v>
      </c>
      <c r="E83" s="301">
        <v>330</v>
      </c>
      <c r="F83" s="303">
        <v>42948</v>
      </c>
      <c r="G83" s="301">
        <v>330</v>
      </c>
      <c r="H83" s="304">
        <f>Tabla13[[#This Row],[Importe]]-Tabla13[[#This Row],[Pagado]]</f>
        <v>0</v>
      </c>
      <c r="I83" s="275" t="s">
        <v>15214</v>
      </c>
    </row>
    <row r="84" spans="1:9" x14ac:dyDescent="0.25">
      <c r="A84" s="299">
        <v>42948</v>
      </c>
      <c r="B84" s="302" t="s">
        <v>23863</v>
      </c>
      <c r="C84">
        <v>122056</v>
      </c>
      <c r="D84" s="236" t="s">
        <v>15665</v>
      </c>
      <c r="E84" s="301">
        <v>290.39999999999998</v>
      </c>
      <c r="F84" s="303">
        <v>42948</v>
      </c>
      <c r="G84" s="301">
        <v>290.39999999999998</v>
      </c>
      <c r="H84" s="304">
        <f>Tabla13[[#This Row],[Importe]]-Tabla13[[#This Row],[Pagado]]</f>
        <v>0</v>
      </c>
      <c r="I84" s="275" t="s">
        <v>15214</v>
      </c>
    </row>
    <row r="85" spans="1:9" x14ac:dyDescent="0.25">
      <c r="A85" s="299">
        <v>42948</v>
      </c>
      <c r="B85" s="302" t="s">
        <v>23864</v>
      </c>
      <c r="C85">
        <v>122057</v>
      </c>
      <c r="D85" s="236" t="s">
        <v>15315</v>
      </c>
      <c r="E85" s="301">
        <v>1073.8</v>
      </c>
      <c r="F85" s="303">
        <v>42948</v>
      </c>
      <c r="G85" s="301">
        <v>1073.8</v>
      </c>
      <c r="H85" s="304">
        <f>Tabla13[[#This Row],[Importe]]-Tabla13[[#This Row],[Pagado]]</f>
        <v>0</v>
      </c>
      <c r="I85" s="275" t="s">
        <v>15214</v>
      </c>
    </row>
    <row r="86" spans="1:9" x14ac:dyDescent="0.25">
      <c r="A86" s="299">
        <v>42948</v>
      </c>
      <c r="B86" s="302" t="s">
        <v>23865</v>
      </c>
      <c r="C86">
        <v>122058</v>
      </c>
      <c r="D86" s="236" t="s">
        <v>15315</v>
      </c>
      <c r="E86" s="301">
        <v>408.2</v>
      </c>
      <c r="F86" s="303">
        <v>42948</v>
      </c>
      <c r="G86" s="301">
        <v>408.2</v>
      </c>
      <c r="H86" s="304">
        <f>Tabla13[[#This Row],[Importe]]-Tabla13[[#This Row],[Pagado]]</f>
        <v>0</v>
      </c>
      <c r="I86" s="275" t="s">
        <v>15214</v>
      </c>
    </row>
    <row r="87" spans="1:9" x14ac:dyDescent="0.25">
      <c r="A87" s="299">
        <v>42948</v>
      </c>
      <c r="B87" s="302" t="s">
        <v>23866</v>
      </c>
      <c r="C87">
        <v>122059</v>
      </c>
      <c r="D87" s="236" t="s">
        <v>15315</v>
      </c>
      <c r="E87" s="301">
        <v>820.2</v>
      </c>
      <c r="F87" s="303">
        <v>42948</v>
      </c>
      <c r="G87" s="301">
        <v>820.2</v>
      </c>
      <c r="H87" s="304">
        <f>Tabla13[[#This Row],[Importe]]-Tabla13[[#This Row],[Pagado]]</f>
        <v>0</v>
      </c>
      <c r="I87" s="275" t="s">
        <v>15214</v>
      </c>
    </row>
    <row r="88" spans="1:9" x14ac:dyDescent="0.25">
      <c r="A88" s="299">
        <v>42948</v>
      </c>
      <c r="B88" s="302" t="s">
        <v>23867</v>
      </c>
      <c r="C88">
        <v>122060</v>
      </c>
      <c r="D88" s="236" t="s">
        <v>15315</v>
      </c>
      <c r="E88" s="301">
        <v>6816.6</v>
      </c>
      <c r="F88" s="303">
        <v>42948</v>
      </c>
      <c r="G88" s="301">
        <v>6816.6</v>
      </c>
      <c r="H88" s="304">
        <f>Tabla13[[#This Row],[Importe]]-Tabla13[[#This Row],[Pagado]]</f>
        <v>0</v>
      </c>
      <c r="I88" s="275" t="s">
        <v>15214</v>
      </c>
    </row>
    <row r="89" spans="1:9" x14ac:dyDescent="0.25">
      <c r="A89" s="299">
        <v>42948</v>
      </c>
      <c r="B89" s="302" t="s">
        <v>23868</v>
      </c>
      <c r="C89">
        <v>122061</v>
      </c>
      <c r="D89" s="236" t="s">
        <v>19768</v>
      </c>
      <c r="E89" s="301">
        <v>1500</v>
      </c>
      <c r="F89" s="303">
        <v>42948</v>
      </c>
      <c r="G89" s="301">
        <v>1500</v>
      </c>
      <c r="H89" s="304">
        <f>Tabla13[[#This Row],[Importe]]-Tabla13[[#This Row],[Pagado]]</f>
        <v>0</v>
      </c>
      <c r="I89" s="275" t="s">
        <v>15214</v>
      </c>
    </row>
    <row r="90" spans="1:9" x14ac:dyDescent="0.25">
      <c r="A90" s="299">
        <v>42948</v>
      </c>
      <c r="B90" s="302" t="s">
        <v>23869</v>
      </c>
      <c r="C90">
        <v>122062</v>
      </c>
      <c r="D90" s="236" t="s">
        <v>19461</v>
      </c>
      <c r="E90" s="301">
        <v>4320</v>
      </c>
      <c r="F90" s="303">
        <v>42948</v>
      </c>
      <c r="G90" s="301">
        <v>4320</v>
      </c>
      <c r="H90" s="304">
        <f>Tabla13[[#This Row],[Importe]]-Tabla13[[#This Row],[Pagado]]</f>
        <v>0</v>
      </c>
      <c r="I90" s="275" t="s">
        <v>15214</v>
      </c>
    </row>
    <row r="91" spans="1:9" x14ac:dyDescent="0.25">
      <c r="A91" s="299">
        <v>42948</v>
      </c>
      <c r="B91" s="302" t="s">
        <v>23870</v>
      </c>
      <c r="C91">
        <v>122063</v>
      </c>
      <c r="D91" s="236" t="s">
        <v>15398</v>
      </c>
      <c r="E91" s="301">
        <v>3261.25</v>
      </c>
      <c r="F91" s="303">
        <v>42948</v>
      </c>
      <c r="G91" s="301">
        <v>3261.25</v>
      </c>
      <c r="H91" s="304">
        <f>Tabla13[[#This Row],[Importe]]-Tabla13[[#This Row],[Pagado]]</f>
        <v>0</v>
      </c>
      <c r="I91" s="275" t="s">
        <v>15214</v>
      </c>
    </row>
    <row r="92" spans="1:9" x14ac:dyDescent="0.25">
      <c r="A92" s="299">
        <v>42948</v>
      </c>
      <c r="B92" s="302" t="s">
        <v>23871</v>
      </c>
      <c r="C92">
        <v>122064</v>
      </c>
      <c r="D92" s="236" t="s">
        <v>15421</v>
      </c>
      <c r="E92" s="301">
        <v>2768.2</v>
      </c>
      <c r="F92" s="303">
        <v>42948</v>
      </c>
      <c r="G92" s="301">
        <v>2768.2</v>
      </c>
      <c r="H92" s="304">
        <f>Tabla13[[#This Row],[Importe]]-Tabla13[[#This Row],[Pagado]]</f>
        <v>0</v>
      </c>
      <c r="I92" s="275" t="s">
        <v>15214</v>
      </c>
    </row>
    <row r="93" spans="1:9" x14ac:dyDescent="0.25">
      <c r="A93" s="299">
        <v>42948</v>
      </c>
      <c r="B93" s="302" t="s">
        <v>23872</v>
      </c>
      <c r="C93">
        <v>122065</v>
      </c>
      <c r="D93" s="236" t="s">
        <v>15284</v>
      </c>
      <c r="E93" s="301">
        <v>1653</v>
      </c>
      <c r="F93" s="303">
        <v>42948</v>
      </c>
      <c r="G93" s="301">
        <v>1653</v>
      </c>
      <c r="H93" s="304">
        <f>Tabla13[[#This Row],[Importe]]-Tabla13[[#This Row],[Pagado]]</f>
        <v>0</v>
      </c>
      <c r="I93" s="275" t="s">
        <v>15214</v>
      </c>
    </row>
    <row r="94" spans="1:9" x14ac:dyDescent="0.25">
      <c r="A94" s="299">
        <v>42948</v>
      </c>
      <c r="B94" s="302" t="s">
        <v>23873</v>
      </c>
      <c r="C94">
        <v>122066</v>
      </c>
      <c r="D94" s="236" t="s">
        <v>15716</v>
      </c>
      <c r="E94" s="301">
        <v>12163.2</v>
      </c>
      <c r="F94" s="303">
        <v>42948</v>
      </c>
      <c r="G94" s="301">
        <v>12163.2</v>
      </c>
      <c r="H94" s="304">
        <f>Tabla13[[#This Row],[Importe]]-Tabla13[[#This Row],[Pagado]]</f>
        <v>0</v>
      </c>
      <c r="I94" s="275" t="s">
        <v>15214</v>
      </c>
    </row>
    <row r="95" spans="1:9" x14ac:dyDescent="0.25">
      <c r="A95" s="299">
        <v>42948</v>
      </c>
      <c r="B95" s="302" t="s">
        <v>23874</v>
      </c>
      <c r="C95">
        <v>122067</v>
      </c>
      <c r="D95" s="236" t="s">
        <v>15315</v>
      </c>
      <c r="E95" s="301">
        <v>614.20000000000005</v>
      </c>
      <c r="F95" s="303">
        <v>42948</v>
      </c>
      <c r="G95" s="301">
        <v>614.20000000000005</v>
      </c>
      <c r="H95" s="304">
        <f>Tabla13[[#This Row],[Importe]]-Tabla13[[#This Row],[Pagado]]</f>
        <v>0</v>
      </c>
      <c r="I95" s="275" t="s">
        <v>15214</v>
      </c>
    </row>
    <row r="96" spans="1:9" x14ac:dyDescent="0.25">
      <c r="A96" s="299">
        <v>42948</v>
      </c>
      <c r="B96" s="302" t="s">
        <v>23875</v>
      </c>
      <c r="C96">
        <v>122068</v>
      </c>
      <c r="D96" s="236" t="s">
        <v>15246</v>
      </c>
      <c r="E96" s="301">
        <v>235508.1</v>
      </c>
      <c r="F96" s="303">
        <v>42954</v>
      </c>
      <c r="G96" s="301">
        <v>235508.1</v>
      </c>
      <c r="H96" s="304">
        <f>Tabla13[[#This Row],[Importe]]-Tabla13[[#This Row],[Pagado]]</f>
        <v>0</v>
      </c>
      <c r="I96" s="275" t="s">
        <v>15214</v>
      </c>
    </row>
    <row r="97" spans="1:9" x14ac:dyDescent="0.25">
      <c r="A97" s="299">
        <v>42948</v>
      </c>
      <c r="B97" s="302" t="s">
        <v>23876</v>
      </c>
      <c r="C97">
        <v>122069</v>
      </c>
      <c r="D97" s="236" t="s">
        <v>15246</v>
      </c>
      <c r="E97" s="301">
        <v>3766.8</v>
      </c>
      <c r="F97" s="303">
        <v>42954</v>
      </c>
      <c r="G97" s="301">
        <v>3766.8</v>
      </c>
      <c r="H97" s="304">
        <f>Tabla13[[#This Row],[Importe]]-Tabla13[[#This Row],[Pagado]]</f>
        <v>0</v>
      </c>
      <c r="I97" s="275" t="s">
        <v>15214</v>
      </c>
    </row>
    <row r="98" spans="1:9" x14ac:dyDescent="0.25">
      <c r="A98" s="299">
        <v>42948</v>
      </c>
      <c r="B98" s="302" t="s">
        <v>23877</v>
      </c>
      <c r="C98">
        <v>122070</v>
      </c>
      <c r="D98" s="236" t="s">
        <v>15240</v>
      </c>
      <c r="E98" s="301">
        <v>2820</v>
      </c>
      <c r="F98" s="303">
        <v>42949</v>
      </c>
      <c r="G98" s="301">
        <v>2820</v>
      </c>
      <c r="H98" s="304">
        <f>Tabla13[[#This Row],[Importe]]-Tabla13[[#This Row],[Pagado]]</f>
        <v>0</v>
      </c>
      <c r="I98" s="275" t="s">
        <v>15214</v>
      </c>
    </row>
    <row r="99" spans="1:9" x14ac:dyDescent="0.25">
      <c r="A99" s="299">
        <v>42948</v>
      </c>
      <c r="B99" s="302" t="s">
        <v>23878</v>
      </c>
      <c r="C99">
        <v>122071</v>
      </c>
      <c r="D99" s="236" t="s">
        <v>15644</v>
      </c>
      <c r="E99" s="301">
        <v>3432</v>
      </c>
      <c r="F99" s="303">
        <v>42950</v>
      </c>
      <c r="G99" s="301">
        <v>3432</v>
      </c>
      <c r="H99" s="304">
        <f>Tabla13[[#This Row],[Importe]]-Tabla13[[#This Row],[Pagado]]</f>
        <v>0</v>
      </c>
      <c r="I99" s="275" t="s">
        <v>15214</v>
      </c>
    </row>
    <row r="100" spans="1:9" x14ac:dyDescent="0.25">
      <c r="A100" s="299">
        <v>42948</v>
      </c>
      <c r="B100" s="302" t="s">
        <v>23879</v>
      </c>
      <c r="C100">
        <v>122072</v>
      </c>
      <c r="D100" s="236" t="s">
        <v>23137</v>
      </c>
      <c r="E100" s="301">
        <v>5632.6</v>
      </c>
      <c r="F100" s="303">
        <v>42954</v>
      </c>
      <c r="G100" s="301">
        <v>5632.6</v>
      </c>
      <c r="H100" s="304">
        <f>Tabla13[[#This Row],[Importe]]-Tabla13[[#This Row],[Pagado]]</f>
        <v>0</v>
      </c>
      <c r="I100" s="275" t="s">
        <v>15214</v>
      </c>
    </row>
    <row r="101" spans="1:9" x14ac:dyDescent="0.25">
      <c r="A101" s="299">
        <v>42948</v>
      </c>
      <c r="B101" s="302" t="s">
        <v>23880</v>
      </c>
      <c r="C101">
        <v>122073</v>
      </c>
      <c r="D101" s="236" t="s">
        <v>15444</v>
      </c>
      <c r="E101" s="301">
        <v>2070.8000000000002</v>
      </c>
      <c r="F101" s="303">
        <v>42949</v>
      </c>
      <c r="G101" s="301">
        <v>2070.8000000000002</v>
      </c>
      <c r="H101" s="304">
        <f>Tabla13[[#This Row],[Importe]]-Tabla13[[#This Row],[Pagado]]</f>
        <v>0</v>
      </c>
      <c r="I101" s="275" t="s">
        <v>15214</v>
      </c>
    </row>
    <row r="102" spans="1:9" x14ac:dyDescent="0.25">
      <c r="A102" s="299">
        <v>42948</v>
      </c>
      <c r="B102" s="302" t="s">
        <v>23881</v>
      </c>
      <c r="C102">
        <v>122074</v>
      </c>
      <c r="D102" s="236" t="s">
        <v>16297</v>
      </c>
      <c r="E102" s="301">
        <v>4375.8</v>
      </c>
      <c r="F102" s="303">
        <v>42948</v>
      </c>
      <c r="G102" s="301">
        <v>4375.8</v>
      </c>
      <c r="H102" s="304">
        <f>Tabla13[[#This Row],[Importe]]-Tabla13[[#This Row],[Pagado]]</f>
        <v>0</v>
      </c>
      <c r="I102" s="275" t="s">
        <v>15214</v>
      </c>
    </row>
    <row r="103" spans="1:9" x14ac:dyDescent="0.25">
      <c r="A103" s="299">
        <v>42948</v>
      </c>
      <c r="B103" s="302" t="s">
        <v>23882</v>
      </c>
      <c r="C103">
        <v>122075</v>
      </c>
      <c r="D103" s="236" t="s">
        <v>15365</v>
      </c>
      <c r="E103" s="301">
        <v>136956</v>
      </c>
      <c r="F103" s="303">
        <v>42951</v>
      </c>
      <c r="G103" s="301">
        <v>136956</v>
      </c>
      <c r="H103" s="304">
        <f>Tabla13[[#This Row],[Importe]]-Tabla13[[#This Row],[Pagado]]</f>
        <v>0</v>
      </c>
      <c r="I103" s="275" t="s">
        <v>15214</v>
      </c>
    </row>
    <row r="104" spans="1:9" x14ac:dyDescent="0.25">
      <c r="A104" s="299">
        <v>42948</v>
      </c>
      <c r="B104" s="302" t="s">
        <v>23883</v>
      </c>
      <c r="C104">
        <v>122076</v>
      </c>
      <c r="D104" s="236" t="s">
        <v>15365</v>
      </c>
      <c r="E104" s="301">
        <v>272556</v>
      </c>
      <c r="F104" s="303">
        <v>42951</v>
      </c>
      <c r="G104" s="301">
        <v>272556</v>
      </c>
      <c r="H104" s="304">
        <f>Tabla13[[#This Row],[Importe]]-Tabla13[[#This Row],[Pagado]]</f>
        <v>0</v>
      </c>
      <c r="I104" s="275" t="s">
        <v>15214</v>
      </c>
    </row>
    <row r="105" spans="1:9" x14ac:dyDescent="0.25">
      <c r="A105" s="299">
        <v>42948</v>
      </c>
      <c r="B105" s="302" t="s">
        <v>23884</v>
      </c>
      <c r="C105">
        <v>122077</v>
      </c>
      <c r="D105" s="236" t="s">
        <v>17462</v>
      </c>
      <c r="E105" s="301">
        <v>3849.8</v>
      </c>
      <c r="F105" s="303">
        <v>42948</v>
      </c>
      <c r="G105" s="301">
        <v>3849.8</v>
      </c>
      <c r="H105" s="304">
        <f>Tabla13[[#This Row],[Importe]]-Tabla13[[#This Row],[Pagado]]</f>
        <v>0</v>
      </c>
      <c r="I105" s="275" t="s">
        <v>15214</v>
      </c>
    </row>
    <row r="106" spans="1:9" x14ac:dyDescent="0.25">
      <c r="A106" s="299">
        <v>42948</v>
      </c>
      <c r="B106" s="302" t="s">
        <v>23885</v>
      </c>
      <c r="C106">
        <v>122078</v>
      </c>
      <c r="D106" s="236" t="s">
        <v>15226</v>
      </c>
      <c r="E106" s="301">
        <v>1754.4</v>
      </c>
      <c r="F106" s="303">
        <v>42955</v>
      </c>
      <c r="G106" s="301">
        <v>1754.4</v>
      </c>
      <c r="H106" s="304">
        <f>Tabla13[[#This Row],[Importe]]-Tabla13[[#This Row],[Pagado]]</f>
        <v>0</v>
      </c>
      <c r="I106" s="275" t="s">
        <v>15214</v>
      </c>
    </row>
    <row r="107" spans="1:9" x14ac:dyDescent="0.25">
      <c r="A107" s="299">
        <v>42948</v>
      </c>
      <c r="B107" s="302" t="s">
        <v>23886</v>
      </c>
      <c r="C107">
        <v>122079</v>
      </c>
      <c r="D107" s="236" t="s">
        <v>15903</v>
      </c>
      <c r="E107" s="301">
        <v>21763.5</v>
      </c>
      <c r="F107" s="303">
        <v>42948</v>
      </c>
      <c r="G107" s="301">
        <v>21763.5</v>
      </c>
      <c r="H107" s="304">
        <f>Tabla13[[#This Row],[Importe]]-Tabla13[[#This Row],[Pagado]]</f>
        <v>0</v>
      </c>
      <c r="I107" s="275" t="s">
        <v>15214</v>
      </c>
    </row>
    <row r="108" spans="1:9" x14ac:dyDescent="0.25">
      <c r="A108" s="299">
        <v>42948</v>
      </c>
      <c r="B108" s="302" t="s">
        <v>23887</v>
      </c>
      <c r="C108">
        <v>122080</v>
      </c>
      <c r="D108" s="236" t="s">
        <v>15903</v>
      </c>
      <c r="E108" s="301">
        <v>140</v>
      </c>
      <c r="F108" s="303">
        <v>42948</v>
      </c>
      <c r="G108" s="301">
        <v>140</v>
      </c>
      <c r="H108" s="304">
        <f>Tabla13[[#This Row],[Importe]]-Tabla13[[#This Row],[Pagado]]</f>
        <v>0</v>
      </c>
      <c r="I108" s="275" t="s">
        <v>15214</v>
      </c>
    </row>
    <row r="109" spans="1:9" x14ac:dyDescent="0.25">
      <c r="A109" s="299">
        <v>42948</v>
      </c>
      <c r="B109" s="302" t="s">
        <v>23888</v>
      </c>
      <c r="C109">
        <v>122081</v>
      </c>
      <c r="D109" s="236" t="s">
        <v>15642</v>
      </c>
      <c r="E109" s="301">
        <v>6006</v>
      </c>
      <c r="F109" s="303">
        <v>42948</v>
      </c>
      <c r="G109" s="301">
        <v>6006</v>
      </c>
      <c r="H109" s="304">
        <f>Tabla13[[#This Row],[Importe]]-Tabla13[[#This Row],[Pagado]]</f>
        <v>0</v>
      </c>
      <c r="I109" s="275" t="s">
        <v>15214</v>
      </c>
    </row>
    <row r="110" spans="1:9" x14ac:dyDescent="0.25">
      <c r="A110" s="299">
        <v>42948</v>
      </c>
      <c r="B110" s="302" t="s">
        <v>23889</v>
      </c>
      <c r="C110">
        <v>122082</v>
      </c>
      <c r="D110" s="236" t="s">
        <v>15246</v>
      </c>
      <c r="E110" s="301">
        <v>99305.5</v>
      </c>
      <c r="F110" s="303">
        <v>42954</v>
      </c>
      <c r="G110" s="301">
        <v>99305.5</v>
      </c>
      <c r="H110" s="304">
        <f>Tabla13[[#This Row],[Importe]]-Tabla13[[#This Row],[Pagado]]</f>
        <v>0</v>
      </c>
      <c r="I110" s="275" t="s">
        <v>15214</v>
      </c>
    </row>
    <row r="111" spans="1:9" x14ac:dyDescent="0.25">
      <c r="A111" s="299">
        <v>42948</v>
      </c>
      <c r="B111" s="302" t="s">
        <v>23890</v>
      </c>
      <c r="C111">
        <v>122083</v>
      </c>
      <c r="D111" s="236" t="s">
        <v>15363</v>
      </c>
      <c r="E111" s="301">
        <v>1784.7</v>
      </c>
      <c r="F111" s="303">
        <v>42948</v>
      </c>
      <c r="G111" s="301">
        <v>1784.7</v>
      </c>
      <c r="H111" s="304">
        <f>Tabla13[[#This Row],[Importe]]-Tabla13[[#This Row],[Pagado]]</f>
        <v>0</v>
      </c>
      <c r="I111" s="275" t="s">
        <v>15214</v>
      </c>
    </row>
    <row r="112" spans="1:9" x14ac:dyDescent="0.25">
      <c r="A112" s="299">
        <v>42949</v>
      </c>
      <c r="B112" s="302" t="s">
        <v>23891</v>
      </c>
      <c r="C112">
        <v>122084</v>
      </c>
      <c r="D112" s="236" t="s">
        <v>21386</v>
      </c>
      <c r="E112" s="301">
        <v>6652.8</v>
      </c>
      <c r="F112" s="303">
        <v>42950</v>
      </c>
      <c r="G112" s="301">
        <v>6652.8</v>
      </c>
      <c r="H112" s="304">
        <f>Tabla13[[#This Row],[Importe]]-Tabla13[[#This Row],[Pagado]]</f>
        <v>0</v>
      </c>
      <c r="I112" s="275" t="s">
        <v>15214</v>
      </c>
    </row>
    <row r="113" spans="1:9" ht="15.75" x14ac:dyDescent="0.25">
      <c r="A113" s="299">
        <v>42949</v>
      </c>
      <c r="B113" s="302" t="s">
        <v>23892</v>
      </c>
      <c r="C113">
        <v>122085</v>
      </c>
      <c r="D113" s="248" t="s">
        <v>95</v>
      </c>
      <c r="E113" s="301">
        <v>0</v>
      </c>
      <c r="F113" s="243" t="s">
        <v>95</v>
      </c>
      <c r="G113" s="301">
        <v>0</v>
      </c>
      <c r="H113" s="304">
        <f>Tabla13[[#This Row],[Importe]]-Tabla13[[#This Row],[Pagado]]</f>
        <v>0</v>
      </c>
      <c r="I113" s="275" t="s">
        <v>95</v>
      </c>
    </row>
    <row r="114" spans="1:9" x14ac:dyDescent="0.25">
      <c r="A114" s="299">
        <v>42949</v>
      </c>
      <c r="B114" s="302" t="s">
        <v>23893</v>
      </c>
      <c r="C114">
        <v>122086</v>
      </c>
      <c r="D114" s="236" t="s">
        <v>15213</v>
      </c>
      <c r="E114" s="301">
        <v>40413.699999999997</v>
      </c>
      <c r="F114" s="303">
        <v>42950</v>
      </c>
      <c r="G114" s="301">
        <v>40413.699999999997</v>
      </c>
      <c r="H114" s="304">
        <f>Tabla13[[#This Row],[Importe]]-Tabla13[[#This Row],[Pagado]]</f>
        <v>0</v>
      </c>
      <c r="I114" s="275" t="s">
        <v>15214</v>
      </c>
    </row>
    <row r="115" spans="1:9" x14ac:dyDescent="0.25">
      <c r="A115" s="299">
        <v>42949</v>
      </c>
      <c r="B115" s="302" t="s">
        <v>23894</v>
      </c>
      <c r="C115">
        <v>122087</v>
      </c>
      <c r="D115" s="236" t="s">
        <v>15330</v>
      </c>
      <c r="E115" s="301">
        <v>4536.8</v>
      </c>
      <c r="F115" s="303">
        <v>42949</v>
      </c>
      <c r="G115" s="301">
        <v>4536.8</v>
      </c>
      <c r="H115" s="304">
        <f>Tabla13[[#This Row],[Importe]]-Tabla13[[#This Row],[Pagado]]</f>
        <v>0</v>
      </c>
      <c r="I115" s="275" t="s">
        <v>15214</v>
      </c>
    </row>
    <row r="116" spans="1:9" ht="15.75" x14ac:dyDescent="0.25">
      <c r="A116" s="299">
        <v>42949</v>
      </c>
      <c r="B116" s="302" t="s">
        <v>23895</v>
      </c>
      <c r="C116">
        <v>122088</v>
      </c>
      <c r="D116" s="282" t="s">
        <v>95</v>
      </c>
      <c r="E116" s="301">
        <v>0</v>
      </c>
      <c r="F116" s="243" t="s">
        <v>95</v>
      </c>
      <c r="G116" s="301">
        <v>0</v>
      </c>
      <c r="H116" s="304">
        <f>Tabla13[[#This Row],[Importe]]-Tabla13[[#This Row],[Pagado]]</f>
        <v>0</v>
      </c>
      <c r="I116" s="275" t="s">
        <v>95</v>
      </c>
    </row>
    <row r="117" spans="1:9" x14ac:dyDescent="0.25">
      <c r="A117" s="299">
        <v>42949</v>
      </c>
      <c r="B117" s="302" t="s">
        <v>23896</v>
      </c>
      <c r="C117">
        <v>122089</v>
      </c>
      <c r="D117" s="236" t="s">
        <v>15232</v>
      </c>
      <c r="E117" s="301">
        <v>5703.6</v>
      </c>
      <c r="F117" s="303">
        <v>42957</v>
      </c>
      <c r="G117" s="301">
        <v>5703.6</v>
      </c>
      <c r="H117" s="304">
        <f>Tabla13[[#This Row],[Importe]]-Tabla13[[#This Row],[Pagado]]</f>
        <v>0</v>
      </c>
      <c r="I117" s="275" t="s">
        <v>15214</v>
      </c>
    </row>
    <row r="118" spans="1:9" x14ac:dyDescent="0.25">
      <c r="A118" s="299">
        <v>42949</v>
      </c>
      <c r="B118" s="302" t="s">
        <v>23897</v>
      </c>
      <c r="C118">
        <v>122090</v>
      </c>
      <c r="D118" s="236" t="s">
        <v>15230</v>
      </c>
      <c r="E118" s="301">
        <v>9525.6</v>
      </c>
      <c r="F118" s="303">
        <v>42954</v>
      </c>
      <c r="G118" s="301">
        <v>9525.6</v>
      </c>
      <c r="H118" s="304">
        <f>Tabla13[[#This Row],[Importe]]-Tabla13[[#This Row],[Pagado]]</f>
        <v>0</v>
      </c>
      <c r="I118" s="275" t="s">
        <v>15214</v>
      </c>
    </row>
    <row r="119" spans="1:9" x14ac:dyDescent="0.25">
      <c r="A119" s="299">
        <v>42949</v>
      </c>
      <c r="B119" s="302" t="s">
        <v>23898</v>
      </c>
      <c r="C119">
        <v>122091</v>
      </c>
      <c r="D119" s="236" t="s">
        <v>18258</v>
      </c>
      <c r="E119" s="301">
        <v>8557.6</v>
      </c>
      <c r="F119" s="303">
        <v>42949</v>
      </c>
      <c r="G119" s="301">
        <v>8557.6</v>
      </c>
      <c r="H119" s="304">
        <f>Tabla13[[#This Row],[Importe]]-Tabla13[[#This Row],[Pagado]]</f>
        <v>0</v>
      </c>
      <c r="I119" s="275" t="s">
        <v>15214</v>
      </c>
    </row>
    <row r="120" spans="1:9" x14ac:dyDescent="0.25">
      <c r="A120" s="299">
        <v>42949</v>
      </c>
      <c r="B120" s="302" t="s">
        <v>23899</v>
      </c>
      <c r="C120">
        <v>122092</v>
      </c>
      <c r="D120" s="236" t="s">
        <v>15226</v>
      </c>
      <c r="E120" s="301">
        <v>2254.1999999999998</v>
      </c>
      <c r="F120" s="303">
        <v>42954</v>
      </c>
      <c r="G120" s="301">
        <v>2254.1999999999998</v>
      </c>
      <c r="H120" s="304">
        <f>Tabla13[[#This Row],[Importe]]-Tabla13[[#This Row],[Pagado]]</f>
        <v>0</v>
      </c>
      <c r="I120" s="275" t="s">
        <v>15214</v>
      </c>
    </row>
    <row r="121" spans="1:9" x14ac:dyDescent="0.25">
      <c r="A121" s="299">
        <v>42949</v>
      </c>
      <c r="B121" s="302" t="s">
        <v>23900</v>
      </c>
      <c r="C121">
        <v>122093</v>
      </c>
      <c r="D121" s="236" t="s">
        <v>15272</v>
      </c>
      <c r="E121" s="301">
        <v>20356.8</v>
      </c>
      <c r="F121" s="303">
        <v>42949</v>
      </c>
      <c r="G121" s="301">
        <v>20356.8</v>
      </c>
      <c r="H121" s="304">
        <f>Tabla13[[#This Row],[Importe]]-Tabla13[[#This Row],[Pagado]]</f>
        <v>0</v>
      </c>
      <c r="I121" s="275" t="s">
        <v>15214</v>
      </c>
    </row>
    <row r="122" spans="1:9" x14ac:dyDescent="0.25">
      <c r="A122" s="299">
        <v>42949</v>
      </c>
      <c r="B122" s="302" t="s">
        <v>23901</v>
      </c>
      <c r="C122">
        <v>122094</v>
      </c>
      <c r="D122" s="236" t="s">
        <v>15344</v>
      </c>
      <c r="E122" s="301">
        <v>2683.2</v>
      </c>
      <c r="F122" s="303">
        <v>42949</v>
      </c>
      <c r="G122" s="301">
        <v>2683.2</v>
      </c>
      <c r="H122" s="304">
        <f>Tabla13[[#This Row],[Importe]]-Tabla13[[#This Row],[Pagado]]</f>
        <v>0</v>
      </c>
      <c r="I122" s="275" t="s">
        <v>15214</v>
      </c>
    </row>
    <row r="123" spans="1:9" x14ac:dyDescent="0.25">
      <c r="A123" s="299">
        <v>42949</v>
      </c>
      <c r="B123" s="302" t="s">
        <v>23902</v>
      </c>
      <c r="C123">
        <v>122095</v>
      </c>
      <c r="D123" s="236" t="s">
        <v>15858</v>
      </c>
      <c r="E123" s="301">
        <v>2342.64</v>
      </c>
      <c r="F123" s="303">
        <v>42949</v>
      </c>
      <c r="G123" s="301">
        <v>2342.64</v>
      </c>
      <c r="H123" s="304">
        <f>Tabla13[[#This Row],[Importe]]-Tabla13[[#This Row],[Pagado]]</f>
        <v>0</v>
      </c>
      <c r="I123" s="275" t="s">
        <v>15214</v>
      </c>
    </row>
    <row r="124" spans="1:9" x14ac:dyDescent="0.25">
      <c r="A124" s="299">
        <v>42949</v>
      </c>
      <c r="B124" s="302" t="s">
        <v>23903</v>
      </c>
      <c r="C124">
        <v>122096</v>
      </c>
      <c r="D124" s="236" t="s">
        <v>15526</v>
      </c>
      <c r="E124" s="301">
        <v>3738.8</v>
      </c>
      <c r="F124" s="303">
        <v>42949</v>
      </c>
      <c r="G124" s="301">
        <v>3738.8</v>
      </c>
      <c r="H124" s="304">
        <f>Tabla13[[#This Row],[Importe]]-Tabla13[[#This Row],[Pagado]]</f>
        <v>0</v>
      </c>
      <c r="I124" s="275" t="s">
        <v>15214</v>
      </c>
    </row>
    <row r="125" spans="1:9" x14ac:dyDescent="0.25">
      <c r="A125" s="299">
        <v>42949</v>
      </c>
      <c r="B125" s="302" t="s">
        <v>23904</v>
      </c>
      <c r="C125">
        <v>122097</v>
      </c>
      <c r="D125" s="236" t="s">
        <v>15371</v>
      </c>
      <c r="E125" s="301">
        <v>4658.5</v>
      </c>
      <c r="F125" s="303">
        <v>42950</v>
      </c>
      <c r="G125" s="301">
        <v>4658.5</v>
      </c>
      <c r="H125" s="304">
        <f>Tabla13[[#This Row],[Importe]]-Tabla13[[#This Row],[Pagado]]</f>
        <v>0</v>
      </c>
      <c r="I125" s="275" t="s">
        <v>15214</v>
      </c>
    </row>
    <row r="126" spans="1:9" x14ac:dyDescent="0.25">
      <c r="A126" s="299">
        <v>42949</v>
      </c>
      <c r="B126" s="302" t="s">
        <v>23905</v>
      </c>
      <c r="C126">
        <v>122098</v>
      </c>
      <c r="D126" s="236" t="s">
        <v>15334</v>
      </c>
      <c r="E126" s="301">
        <v>1870</v>
      </c>
      <c r="F126" s="303">
        <v>42949</v>
      </c>
      <c r="G126" s="301">
        <v>1870</v>
      </c>
      <c r="H126" s="304">
        <f>Tabla13[[#This Row],[Importe]]-Tabla13[[#This Row],[Pagado]]</f>
        <v>0</v>
      </c>
      <c r="I126" s="275" t="s">
        <v>15214</v>
      </c>
    </row>
    <row r="127" spans="1:9" ht="45" x14ac:dyDescent="0.25">
      <c r="A127" s="299">
        <v>42949</v>
      </c>
      <c r="B127" s="302" t="s">
        <v>23906</v>
      </c>
      <c r="C127">
        <v>122099</v>
      </c>
      <c r="D127" s="236" t="s">
        <v>15234</v>
      </c>
      <c r="E127" s="301">
        <v>3017.6</v>
      </c>
      <c r="F127" s="303" t="s">
        <v>23907</v>
      </c>
      <c r="G127" s="305">
        <f>2017+1000.6</f>
        <v>3017.6</v>
      </c>
      <c r="H127" s="304">
        <f>Tabla13[[#This Row],[Importe]]-Tabla13[[#This Row],[Pagado]]</f>
        <v>0</v>
      </c>
      <c r="I127" s="275" t="s">
        <v>15214</v>
      </c>
    </row>
    <row r="128" spans="1:9" ht="30" x14ac:dyDescent="0.25">
      <c r="A128" s="299">
        <v>42949</v>
      </c>
      <c r="B128" s="302" t="s">
        <v>23908</v>
      </c>
      <c r="C128">
        <v>122100</v>
      </c>
      <c r="D128" s="236" t="s">
        <v>15258</v>
      </c>
      <c r="E128" s="301">
        <v>9799</v>
      </c>
      <c r="F128" s="303" t="s">
        <v>23765</v>
      </c>
      <c r="G128" s="301">
        <v>9799</v>
      </c>
      <c r="H128" s="304">
        <f>Tabla13[[#This Row],[Importe]]-Tabla13[[#This Row],[Pagado]]</f>
        <v>0</v>
      </c>
      <c r="I128" s="275" t="s">
        <v>15214</v>
      </c>
    </row>
    <row r="129" spans="1:9" ht="15.75" x14ac:dyDescent="0.25">
      <c r="A129" s="299">
        <v>42949</v>
      </c>
      <c r="B129" s="302" t="s">
        <v>23909</v>
      </c>
      <c r="C129">
        <v>122101</v>
      </c>
      <c r="D129" s="248" t="s">
        <v>95</v>
      </c>
      <c r="E129" s="301">
        <v>0</v>
      </c>
      <c r="F129" s="243" t="s">
        <v>95</v>
      </c>
      <c r="G129" s="301">
        <v>0</v>
      </c>
      <c r="H129" s="304">
        <f>Tabla13[[#This Row],[Importe]]-Tabla13[[#This Row],[Pagado]]</f>
        <v>0</v>
      </c>
      <c r="I129" s="275" t="s">
        <v>95</v>
      </c>
    </row>
    <row r="130" spans="1:9" x14ac:dyDescent="0.25">
      <c r="A130" s="299">
        <v>42949</v>
      </c>
      <c r="B130" s="302" t="s">
        <v>23910</v>
      </c>
      <c r="C130">
        <v>122102</v>
      </c>
      <c r="D130" s="236" t="s">
        <v>19302</v>
      </c>
      <c r="E130" s="301">
        <v>1000</v>
      </c>
      <c r="F130" s="303">
        <v>42949</v>
      </c>
      <c r="G130" s="301">
        <v>1000</v>
      </c>
      <c r="H130" s="304">
        <f>Tabla13[[#This Row],[Importe]]-Tabla13[[#This Row],[Pagado]]</f>
        <v>0</v>
      </c>
      <c r="I130" s="275" t="s">
        <v>15214</v>
      </c>
    </row>
    <row r="131" spans="1:9" x14ac:dyDescent="0.25">
      <c r="A131" s="299">
        <v>42949</v>
      </c>
      <c r="B131" s="302" t="s">
        <v>23911</v>
      </c>
      <c r="C131">
        <v>122103</v>
      </c>
      <c r="D131" s="236" t="s">
        <v>15220</v>
      </c>
      <c r="E131" s="301">
        <v>3000</v>
      </c>
      <c r="F131" s="303">
        <v>42949</v>
      </c>
      <c r="G131" s="301">
        <v>3000</v>
      </c>
      <c r="H131" s="304">
        <f>Tabla13[[#This Row],[Importe]]-Tabla13[[#This Row],[Pagado]]</f>
        <v>0</v>
      </c>
      <c r="I131" s="275" t="s">
        <v>15214</v>
      </c>
    </row>
    <row r="132" spans="1:9" x14ac:dyDescent="0.25">
      <c r="A132" s="299">
        <v>42949</v>
      </c>
      <c r="B132" s="302" t="s">
        <v>23912</v>
      </c>
      <c r="C132">
        <v>122104</v>
      </c>
      <c r="D132" s="236" t="s">
        <v>15324</v>
      </c>
      <c r="E132" s="301">
        <v>1734</v>
      </c>
      <c r="F132" s="303">
        <v>42949</v>
      </c>
      <c r="G132" s="301">
        <v>1734</v>
      </c>
      <c r="H132" s="304">
        <f>Tabla13[[#This Row],[Importe]]-Tabla13[[#This Row],[Pagado]]</f>
        <v>0</v>
      </c>
      <c r="I132" s="275" t="s">
        <v>15214</v>
      </c>
    </row>
    <row r="133" spans="1:9" x14ac:dyDescent="0.25">
      <c r="A133" s="299">
        <v>42949</v>
      </c>
      <c r="B133" s="302" t="s">
        <v>23913</v>
      </c>
      <c r="C133">
        <v>122105</v>
      </c>
      <c r="D133" s="236" t="s">
        <v>17462</v>
      </c>
      <c r="E133" s="301">
        <v>4945.2</v>
      </c>
      <c r="F133" s="303">
        <v>42949</v>
      </c>
      <c r="G133" s="301">
        <v>4945.2</v>
      </c>
      <c r="H133" s="304">
        <f>Tabla13[[#This Row],[Importe]]-Tabla13[[#This Row],[Pagado]]</f>
        <v>0</v>
      </c>
      <c r="I133" s="275" t="s">
        <v>15214</v>
      </c>
    </row>
    <row r="134" spans="1:9" x14ac:dyDescent="0.25">
      <c r="A134" s="299">
        <v>42949</v>
      </c>
      <c r="B134" s="302" t="s">
        <v>23914</v>
      </c>
      <c r="C134">
        <v>122106</v>
      </c>
      <c r="D134" s="236" t="s">
        <v>15238</v>
      </c>
      <c r="E134" s="301">
        <v>5799.8</v>
      </c>
      <c r="F134" s="303">
        <v>42951</v>
      </c>
      <c r="G134" s="301">
        <v>5799.8</v>
      </c>
      <c r="H134" s="304">
        <f>Tabla13[[#This Row],[Importe]]-Tabla13[[#This Row],[Pagado]]</f>
        <v>0</v>
      </c>
      <c r="I134" s="275" t="s">
        <v>15214</v>
      </c>
    </row>
    <row r="135" spans="1:9" ht="30" x14ac:dyDescent="0.25">
      <c r="A135" s="299">
        <v>42949</v>
      </c>
      <c r="B135" s="302" t="s">
        <v>23915</v>
      </c>
      <c r="C135">
        <v>122107</v>
      </c>
      <c r="D135" s="236" t="s">
        <v>15480</v>
      </c>
      <c r="E135" s="301">
        <v>3702.6</v>
      </c>
      <c r="F135" s="308" t="s">
        <v>23764</v>
      </c>
      <c r="G135" s="301">
        <v>3702.6</v>
      </c>
      <c r="H135" s="304">
        <f>Tabla13[[#This Row],[Importe]]-Tabla13[[#This Row],[Pagado]]</f>
        <v>0</v>
      </c>
      <c r="I135" s="275" t="s">
        <v>15214</v>
      </c>
    </row>
    <row r="136" spans="1:9" x14ac:dyDescent="0.25">
      <c r="A136" s="299">
        <v>42949</v>
      </c>
      <c r="B136" s="302" t="s">
        <v>23916</v>
      </c>
      <c r="C136">
        <v>122108</v>
      </c>
      <c r="D136" s="236" t="s">
        <v>15681</v>
      </c>
      <c r="E136" s="301">
        <v>2001.6</v>
      </c>
      <c r="F136" s="303">
        <v>42949</v>
      </c>
      <c r="G136" s="301">
        <v>2001.6</v>
      </c>
      <c r="H136" s="304">
        <f>Tabla13[[#This Row],[Importe]]-Tabla13[[#This Row],[Pagado]]</f>
        <v>0</v>
      </c>
      <c r="I136" s="275" t="s">
        <v>15214</v>
      </c>
    </row>
    <row r="137" spans="1:9" x14ac:dyDescent="0.25">
      <c r="A137" s="299">
        <v>42949</v>
      </c>
      <c r="B137" s="302" t="s">
        <v>23917</v>
      </c>
      <c r="C137">
        <v>122109</v>
      </c>
      <c r="D137" s="236" t="s">
        <v>15332</v>
      </c>
      <c r="E137" s="301">
        <v>3222.4</v>
      </c>
      <c r="F137" s="303">
        <v>42949</v>
      </c>
      <c r="G137" s="301">
        <v>3222.4</v>
      </c>
      <c r="H137" s="304">
        <f>Tabla13[[#This Row],[Importe]]-Tabla13[[#This Row],[Pagado]]</f>
        <v>0</v>
      </c>
      <c r="I137" s="275" t="s">
        <v>15214</v>
      </c>
    </row>
    <row r="138" spans="1:9" x14ac:dyDescent="0.25">
      <c r="A138" s="299">
        <v>42949</v>
      </c>
      <c r="B138" s="302" t="s">
        <v>23918</v>
      </c>
      <c r="C138">
        <v>122110</v>
      </c>
      <c r="D138" s="236" t="s">
        <v>15330</v>
      </c>
      <c r="E138" s="301">
        <v>520</v>
      </c>
      <c r="F138" s="303">
        <v>42949</v>
      </c>
      <c r="G138" s="301">
        <v>520</v>
      </c>
      <c r="H138" s="304">
        <f>Tabla13[[#This Row],[Importe]]-Tabla13[[#This Row],[Pagado]]</f>
        <v>0</v>
      </c>
      <c r="I138" s="275" t="s">
        <v>15214</v>
      </c>
    </row>
    <row r="139" spans="1:9" x14ac:dyDescent="0.25">
      <c r="A139" s="299">
        <v>42949</v>
      </c>
      <c r="B139" s="302" t="s">
        <v>23919</v>
      </c>
      <c r="C139">
        <v>122111</v>
      </c>
      <c r="D139" s="236" t="s">
        <v>15356</v>
      </c>
      <c r="E139" s="301">
        <v>1011.8</v>
      </c>
      <c r="F139" s="303">
        <v>42949</v>
      </c>
      <c r="G139" s="301">
        <v>1011.8</v>
      </c>
      <c r="H139" s="304">
        <f>Tabla13[[#This Row],[Importe]]-Tabla13[[#This Row],[Pagado]]</f>
        <v>0</v>
      </c>
      <c r="I139" s="275" t="s">
        <v>15214</v>
      </c>
    </row>
    <row r="140" spans="1:9" x14ac:dyDescent="0.25">
      <c r="A140" s="299">
        <v>42949</v>
      </c>
      <c r="B140" s="302" t="s">
        <v>23920</v>
      </c>
      <c r="C140">
        <v>122112</v>
      </c>
      <c r="D140" s="236" t="s">
        <v>15358</v>
      </c>
      <c r="E140" s="301">
        <v>1680.7</v>
      </c>
      <c r="F140" s="303">
        <v>42949</v>
      </c>
      <c r="G140" s="301">
        <v>1680.7</v>
      </c>
      <c r="H140" s="304">
        <f>Tabla13[[#This Row],[Importe]]-Tabla13[[#This Row],[Pagado]]</f>
        <v>0</v>
      </c>
      <c r="I140" s="275" t="s">
        <v>15214</v>
      </c>
    </row>
    <row r="141" spans="1:9" x14ac:dyDescent="0.25">
      <c r="A141" s="299">
        <v>42949</v>
      </c>
      <c r="B141" s="302" t="s">
        <v>23921</v>
      </c>
      <c r="C141">
        <v>122113</v>
      </c>
      <c r="D141" s="236" t="s">
        <v>15336</v>
      </c>
      <c r="E141" s="301">
        <v>7560.7</v>
      </c>
      <c r="F141" s="303">
        <v>42949</v>
      </c>
      <c r="G141" s="301">
        <v>7560.7</v>
      </c>
      <c r="H141" s="304">
        <f>Tabla13[[#This Row],[Importe]]-Tabla13[[#This Row],[Pagado]]</f>
        <v>0</v>
      </c>
      <c r="I141" s="275" t="s">
        <v>15214</v>
      </c>
    </row>
    <row r="142" spans="1:9" x14ac:dyDescent="0.25">
      <c r="A142" s="299">
        <v>42949</v>
      </c>
      <c r="B142" s="302" t="s">
        <v>23922</v>
      </c>
      <c r="C142">
        <v>122114</v>
      </c>
      <c r="D142" s="236" t="s">
        <v>15256</v>
      </c>
      <c r="E142" s="301">
        <v>6217.4</v>
      </c>
      <c r="F142" s="303">
        <v>42951</v>
      </c>
      <c r="G142" s="301">
        <v>6217.4</v>
      </c>
      <c r="H142" s="304">
        <f>Tabla13[[#This Row],[Importe]]-Tabla13[[#This Row],[Pagado]]</f>
        <v>0</v>
      </c>
      <c r="I142" s="275" t="s">
        <v>15214</v>
      </c>
    </row>
    <row r="143" spans="1:9" x14ac:dyDescent="0.25">
      <c r="A143" s="299">
        <v>42949</v>
      </c>
      <c r="B143" s="302" t="s">
        <v>23923</v>
      </c>
      <c r="C143">
        <v>122115</v>
      </c>
      <c r="D143" s="236" t="s">
        <v>15263</v>
      </c>
      <c r="E143" s="301">
        <v>3812.7</v>
      </c>
      <c r="F143" s="303">
        <v>42949</v>
      </c>
      <c r="G143" s="301">
        <v>3812.7</v>
      </c>
      <c r="H143" s="304">
        <f>Tabla13[[#This Row],[Importe]]-Tabla13[[#This Row],[Pagado]]</f>
        <v>0</v>
      </c>
      <c r="I143" s="275" t="s">
        <v>15214</v>
      </c>
    </row>
    <row r="144" spans="1:9" ht="30" x14ac:dyDescent="0.25">
      <c r="A144" s="299">
        <v>42949</v>
      </c>
      <c r="B144" s="302" t="s">
        <v>23924</v>
      </c>
      <c r="C144">
        <v>122116</v>
      </c>
      <c r="D144" s="236" t="s">
        <v>15668</v>
      </c>
      <c r="E144" s="301">
        <v>14082.6</v>
      </c>
      <c r="F144" s="303" t="s">
        <v>23764</v>
      </c>
      <c r="G144" s="301">
        <v>14082.6</v>
      </c>
      <c r="H144" s="304">
        <f>Tabla13[[#This Row],[Importe]]-Tabla13[[#This Row],[Pagado]]</f>
        <v>0</v>
      </c>
      <c r="I144" s="275" t="s">
        <v>15214</v>
      </c>
    </row>
    <row r="145" spans="1:9" x14ac:dyDescent="0.25">
      <c r="A145" s="299">
        <v>42949</v>
      </c>
      <c r="B145" s="302" t="s">
        <v>23925</v>
      </c>
      <c r="C145">
        <v>122117</v>
      </c>
      <c r="D145" s="236" t="s">
        <v>15236</v>
      </c>
      <c r="E145" s="301">
        <v>3976.2</v>
      </c>
      <c r="F145" s="303">
        <v>42951</v>
      </c>
      <c r="G145" s="301">
        <v>3976.2</v>
      </c>
      <c r="H145" s="304">
        <f>Tabla13[[#This Row],[Importe]]-Tabla13[[#This Row],[Pagado]]</f>
        <v>0</v>
      </c>
      <c r="I145" s="275" t="s">
        <v>15214</v>
      </c>
    </row>
    <row r="146" spans="1:9" x14ac:dyDescent="0.25">
      <c r="A146" s="299">
        <v>42949</v>
      </c>
      <c r="B146" s="302" t="s">
        <v>23926</v>
      </c>
      <c r="C146">
        <v>122118</v>
      </c>
      <c r="D146" s="236" t="s">
        <v>15223</v>
      </c>
      <c r="E146" s="301">
        <v>53457.8</v>
      </c>
      <c r="F146" s="303">
        <v>42976</v>
      </c>
      <c r="G146" s="301">
        <v>53457.8</v>
      </c>
      <c r="H146" s="304">
        <f>Tabla13[[#This Row],[Importe]]-Tabla13[[#This Row],[Pagado]]</f>
        <v>0</v>
      </c>
      <c r="I146" s="275" t="s">
        <v>15214</v>
      </c>
    </row>
    <row r="147" spans="1:9" x14ac:dyDescent="0.25">
      <c r="A147" s="299">
        <v>42949</v>
      </c>
      <c r="B147" s="302" t="s">
        <v>23927</v>
      </c>
      <c r="C147">
        <v>122119</v>
      </c>
      <c r="D147" s="236" t="s">
        <v>18544</v>
      </c>
      <c r="E147" s="301">
        <v>5827.8</v>
      </c>
      <c r="F147" s="303">
        <v>42949</v>
      </c>
      <c r="G147" s="301">
        <v>5827.8</v>
      </c>
      <c r="H147" s="304">
        <f>Tabla13[[#This Row],[Importe]]-Tabla13[[#This Row],[Pagado]]</f>
        <v>0</v>
      </c>
      <c r="I147" s="275" t="s">
        <v>15214</v>
      </c>
    </row>
    <row r="148" spans="1:9" x14ac:dyDescent="0.25">
      <c r="A148" s="299">
        <v>42949</v>
      </c>
      <c r="B148" s="302" t="s">
        <v>23928</v>
      </c>
      <c r="C148">
        <v>122120</v>
      </c>
      <c r="D148" s="236" t="s">
        <v>15340</v>
      </c>
      <c r="E148" s="301">
        <v>8256.6</v>
      </c>
      <c r="F148" s="303">
        <v>42949</v>
      </c>
      <c r="G148" s="301">
        <v>8256.6</v>
      </c>
      <c r="H148" s="304">
        <f>Tabla13[[#This Row],[Importe]]-Tabla13[[#This Row],[Pagado]]</f>
        <v>0</v>
      </c>
      <c r="I148" s="275" t="s">
        <v>15214</v>
      </c>
    </row>
    <row r="149" spans="1:9" x14ac:dyDescent="0.25">
      <c r="A149" s="299">
        <v>42949</v>
      </c>
      <c r="B149" s="302" t="s">
        <v>23929</v>
      </c>
      <c r="C149">
        <v>122121</v>
      </c>
      <c r="D149" s="236" t="s">
        <v>15248</v>
      </c>
      <c r="E149" s="301">
        <v>17512.3</v>
      </c>
      <c r="F149" s="303">
        <v>42949</v>
      </c>
      <c r="G149" s="301">
        <v>17512.3</v>
      </c>
      <c r="H149" s="304">
        <f>Tabla13[[#This Row],[Importe]]-Tabla13[[#This Row],[Pagado]]</f>
        <v>0</v>
      </c>
      <c r="I149" s="275" t="s">
        <v>15214</v>
      </c>
    </row>
    <row r="150" spans="1:9" x14ac:dyDescent="0.25">
      <c r="A150" s="299">
        <v>42949</v>
      </c>
      <c r="B150" s="302" t="s">
        <v>23930</v>
      </c>
      <c r="C150">
        <v>122122</v>
      </c>
      <c r="D150" s="236" t="s">
        <v>15261</v>
      </c>
      <c r="E150" s="301">
        <v>20474.2</v>
      </c>
      <c r="F150" s="303">
        <v>42949</v>
      </c>
      <c r="G150" s="301">
        <v>20474.2</v>
      </c>
      <c r="H150" s="304">
        <f>Tabla13[[#This Row],[Importe]]-Tabla13[[#This Row],[Pagado]]</f>
        <v>0</v>
      </c>
      <c r="I150" s="275" t="s">
        <v>15214</v>
      </c>
    </row>
    <row r="151" spans="1:9" x14ac:dyDescent="0.25">
      <c r="A151" s="299">
        <v>42949</v>
      </c>
      <c r="B151" s="302" t="s">
        <v>23931</v>
      </c>
      <c r="C151">
        <v>122123</v>
      </c>
      <c r="D151" s="236" t="s">
        <v>15438</v>
      </c>
      <c r="E151" s="301">
        <v>318.39999999999998</v>
      </c>
      <c r="F151" s="303">
        <v>42949</v>
      </c>
      <c r="G151" s="301">
        <v>318.39999999999998</v>
      </c>
      <c r="H151" s="304">
        <f>Tabla13[[#This Row],[Importe]]-Tabla13[[#This Row],[Pagado]]</f>
        <v>0</v>
      </c>
      <c r="I151" s="275" t="s">
        <v>15214</v>
      </c>
    </row>
    <row r="152" spans="1:9" x14ac:dyDescent="0.25">
      <c r="A152" s="299">
        <v>42949</v>
      </c>
      <c r="B152" s="302" t="s">
        <v>23932</v>
      </c>
      <c r="C152">
        <v>122124</v>
      </c>
      <c r="D152" s="236" t="s">
        <v>15248</v>
      </c>
      <c r="E152" s="301">
        <v>2342.64</v>
      </c>
      <c r="F152" s="303">
        <v>42949</v>
      </c>
      <c r="G152" s="301">
        <v>2342.64</v>
      </c>
      <c r="H152" s="304">
        <f>Tabla13[[#This Row],[Importe]]-Tabla13[[#This Row],[Pagado]]</f>
        <v>0</v>
      </c>
      <c r="I152" s="275" t="s">
        <v>15214</v>
      </c>
    </row>
    <row r="153" spans="1:9" x14ac:dyDescent="0.25">
      <c r="A153" s="299">
        <v>42949</v>
      </c>
      <c r="B153" s="302" t="s">
        <v>23933</v>
      </c>
      <c r="C153">
        <v>122125</v>
      </c>
      <c r="D153" s="236" t="s">
        <v>15252</v>
      </c>
      <c r="E153" s="301">
        <v>4322.7</v>
      </c>
      <c r="F153" s="303">
        <v>42954</v>
      </c>
      <c r="G153" s="301">
        <v>4322.7</v>
      </c>
      <c r="H153" s="304">
        <f>Tabla13[[#This Row],[Importe]]-Tabla13[[#This Row],[Pagado]]</f>
        <v>0</v>
      </c>
      <c r="I153" s="275" t="s">
        <v>15214</v>
      </c>
    </row>
    <row r="154" spans="1:9" x14ac:dyDescent="0.25">
      <c r="A154" s="299">
        <v>42949</v>
      </c>
      <c r="B154" s="302" t="s">
        <v>23934</v>
      </c>
      <c r="C154">
        <v>122126</v>
      </c>
      <c r="D154" s="236" t="s">
        <v>15244</v>
      </c>
      <c r="E154" s="301">
        <v>12128.3</v>
      </c>
      <c r="F154" s="303">
        <v>42952</v>
      </c>
      <c r="G154" s="301">
        <v>12128.3</v>
      </c>
      <c r="H154" s="304">
        <f>Tabla13[[#This Row],[Importe]]-Tabla13[[#This Row],[Pagado]]</f>
        <v>0</v>
      </c>
      <c r="I154" s="275" t="s">
        <v>15214</v>
      </c>
    </row>
    <row r="155" spans="1:9" x14ac:dyDescent="0.25">
      <c r="A155" s="299">
        <v>42949</v>
      </c>
      <c r="B155" s="302" t="s">
        <v>23935</v>
      </c>
      <c r="C155">
        <v>122127</v>
      </c>
      <c r="D155" s="236" t="s">
        <v>15242</v>
      </c>
      <c r="E155" s="301">
        <v>10283.6</v>
      </c>
      <c r="F155" s="303">
        <v>42949</v>
      </c>
      <c r="G155" s="301">
        <v>10283.6</v>
      </c>
      <c r="H155" s="304">
        <f>Tabla13[[#This Row],[Importe]]-Tabla13[[#This Row],[Pagado]]</f>
        <v>0</v>
      </c>
      <c r="I155" s="275" t="s">
        <v>15214</v>
      </c>
    </row>
    <row r="156" spans="1:9" x14ac:dyDescent="0.25">
      <c r="A156" s="299">
        <v>42949</v>
      </c>
      <c r="B156" s="302" t="s">
        <v>23936</v>
      </c>
      <c r="C156">
        <v>122128</v>
      </c>
      <c r="D156" s="236" t="s">
        <v>23937</v>
      </c>
      <c r="E156" s="301">
        <v>3915</v>
      </c>
      <c r="F156" s="303">
        <v>42949</v>
      </c>
      <c r="G156" s="301">
        <v>3915</v>
      </c>
      <c r="H156" s="304">
        <f>Tabla13[[#This Row],[Importe]]-Tabla13[[#This Row],[Pagado]]</f>
        <v>0</v>
      </c>
      <c r="I156" s="275" t="s">
        <v>15214</v>
      </c>
    </row>
    <row r="157" spans="1:9" x14ac:dyDescent="0.25">
      <c r="A157" s="299">
        <v>42949</v>
      </c>
      <c r="B157" s="302" t="s">
        <v>23938</v>
      </c>
      <c r="C157">
        <v>122129</v>
      </c>
      <c r="D157" s="236" t="s">
        <v>15240</v>
      </c>
      <c r="E157" s="301">
        <v>3170</v>
      </c>
      <c r="F157" s="303">
        <v>42952</v>
      </c>
      <c r="G157" s="301">
        <v>3170</v>
      </c>
      <c r="H157" s="304">
        <f>Tabla13[[#This Row],[Importe]]-Tabla13[[#This Row],[Pagado]]</f>
        <v>0</v>
      </c>
      <c r="I157" s="275" t="s">
        <v>15214</v>
      </c>
    </row>
    <row r="158" spans="1:9" ht="30" x14ac:dyDescent="0.25">
      <c r="A158" s="299">
        <v>42949</v>
      </c>
      <c r="B158" s="302" t="s">
        <v>23939</v>
      </c>
      <c r="C158">
        <v>122130</v>
      </c>
      <c r="D158" s="236" t="s">
        <v>15394</v>
      </c>
      <c r="E158" s="301">
        <v>23870.3</v>
      </c>
      <c r="F158" s="303" t="s">
        <v>23940</v>
      </c>
      <c r="G158" s="305">
        <f>7370.3+16500</f>
        <v>23870.3</v>
      </c>
      <c r="H158" s="304">
        <f>Tabla13[[#This Row],[Importe]]-Tabla13[[#This Row],[Pagado]]</f>
        <v>0</v>
      </c>
      <c r="I158" s="275" t="s">
        <v>15214</v>
      </c>
    </row>
    <row r="159" spans="1:9" x14ac:dyDescent="0.25">
      <c r="A159" s="299">
        <v>42949</v>
      </c>
      <c r="B159" s="302" t="s">
        <v>23941</v>
      </c>
      <c r="C159">
        <v>122131</v>
      </c>
      <c r="D159" s="236" t="s">
        <v>15282</v>
      </c>
      <c r="E159" s="301">
        <v>1337.6</v>
      </c>
      <c r="F159" s="303">
        <v>42949</v>
      </c>
      <c r="G159" s="301">
        <v>1337.6</v>
      </c>
      <c r="H159" s="304">
        <f>Tabla13[[#This Row],[Importe]]-Tabla13[[#This Row],[Pagado]]</f>
        <v>0</v>
      </c>
      <c r="I159" s="275" t="s">
        <v>15214</v>
      </c>
    </row>
    <row r="160" spans="1:9" x14ac:dyDescent="0.25">
      <c r="A160" s="299">
        <v>42949</v>
      </c>
      <c r="B160" s="302" t="s">
        <v>23942</v>
      </c>
      <c r="C160">
        <v>122132</v>
      </c>
      <c r="D160" s="236" t="s">
        <v>19549</v>
      </c>
      <c r="E160" s="301">
        <v>13420</v>
      </c>
      <c r="F160" s="303">
        <v>42950</v>
      </c>
      <c r="G160" s="301">
        <v>13420</v>
      </c>
      <c r="H160" s="304">
        <f>Tabla13[[#This Row],[Importe]]-Tabla13[[#This Row],[Pagado]]</f>
        <v>0</v>
      </c>
      <c r="I160" s="275" t="s">
        <v>15214</v>
      </c>
    </row>
    <row r="161" spans="1:9" x14ac:dyDescent="0.25">
      <c r="A161" s="299">
        <v>42949</v>
      </c>
      <c r="B161" s="302" t="s">
        <v>23943</v>
      </c>
      <c r="C161">
        <v>122133</v>
      </c>
      <c r="D161" s="236" t="s">
        <v>15890</v>
      </c>
      <c r="E161" s="301">
        <v>18546.599999999999</v>
      </c>
      <c r="F161" s="303">
        <v>42963</v>
      </c>
      <c r="G161" s="301">
        <v>18546.599999999999</v>
      </c>
      <c r="H161" s="304">
        <f>Tabla13[[#This Row],[Importe]]-Tabla13[[#This Row],[Pagado]]</f>
        <v>0</v>
      </c>
      <c r="I161" s="275" t="s">
        <v>15214</v>
      </c>
    </row>
    <row r="162" spans="1:9" x14ac:dyDescent="0.25">
      <c r="A162" s="299">
        <v>42949</v>
      </c>
      <c r="B162" s="302" t="s">
        <v>23944</v>
      </c>
      <c r="C162">
        <v>122134</v>
      </c>
      <c r="D162" s="236" t="s">
        <v>15280</v>
      </c>
      <c r="E162" s="301">
        <v>6816</v>
      </c>
      <c r="F162" s="303">
        <v>42949</v>
      </c>
      <c r="G162" s="301">
        <v>6816</v>
      </c>
      <c r="H162" s="304">
        <f>Tabla13[[#This Row],[Importe]]-Tabla13[[#This Row],[Pagado]]</f>
        <v>0</v>
      </c>
      <c r="I162" s="275" t="s">
        <v>15214</v>
      </c>
    </row>
    <row r="163" spans="1:9" x14ac:dyDescent="0.25">
      <c r="A163" s="299">
        <v>42949</v>
      </c>
      <c r="B163" s="302" t="s">
        <v>23945</v>
      </c>
      <c r="C163">
        <v>122135</v>
      </c>
      <c r="D163" s="236" t="s">
        <v>15369</v>
      </c>
      <c r="E163" s="301">
        <v>30345.200000000001</v>
      </c>
      <c r="F163" s="303">
        <v>42960</v>
      </c>
      <c r="G163" s="301">
        <v>30345.200000000001</v>
      </c>
      <c r="H163" s="304">
        <f>Tabla13[[#This Row],[Importe]]-Tabla13[[#This Row],[Pagado]]</f>
        <v>0</v>
      </c>
      <c r="I163" s="275" t="s">
        <v>15214</v>
      </c>
    </row>
    <row r="164" spans="1:9" x14ac:dyDescent="0.25">
      <c r="A164" s="299">
        <v>42949</v>
      </c>
      <c r="B164" s="302" t="s">
        <v>23946</v>
      </c>
      <c r="C164">
        <v>122136</v>
      </c>
      <c r="D164" s="236" t="s">
        <v>15338</v>
      </c>
      <c r="E164" s="301">
        <v>9907</v>
      </c>
      <c r="F164" s="303">
        <v>42951</v>
      </c>
      <c r="G164" s="301">
        <v>9907</v>
      </c>
      <c r="H164" s="304">
        <f>Tabla13[[#This Row],[Importe]]-Tabla13[[#This Row],[Pagado]]</f>
        <v>0</v>
      </c>
      <c r="I164" s="275" t="s">
        <v>15214</v>
      </c>
    </row>
    <row r="165" spans="1:9" x14ac:dyDescent="0.25">
      <c r="A165" s="299">
        <v>42949</v>
      </c>
      <c r="B165" s="302" t="s">
        <v>23947</v>
      </c>
      <c r="C165">
        <v>122137</v>
      </c>
      <c r="D165" s="236" t="s">
        <v>15373</v>
      </c>
      <c r="E165" s="301">
        <v>12940</v>
      </c>
      <c r="F165" s="303">
        <v>42952</v>
      </c>
      <c r="G165" s="301">
        <v>12940</v>
      </c>
      <c r="H165" s="304">
        <f>Tabla13[[#This Row],[Importe]]-Tabla13[[#This Row],[Pagado]]</f>
        <v>0</v>
      </c>
      <c r="I165" s="275" t="s">
        <v>15214</v>
      </c>
    </row>
    <row r="166" spans="1:9" x14ac:dyDescent="0.25">
      <c r="A166" s="299">
        <v>42949</v>
      </c>
      <c r="B166" s="302" t="s">
        <v>23948</v>
      </c>
      <c r="C166">
        <v>122138</v>
      </c>
      <c r="D166" s="236" t="s">
        <v>16064</v>
      </c>
      <c r="E166" s="301">
        <v>3903.2</v>
      </c>
      <c r="F166" s="303">
        <v>42950</v>
      </c>
      <c r="G166" s="301">
        <v>3903.2</v>
      </c>
      <c r="H166" s="304">
        <f>Tabla13[[#This Row],[Importe]]-Tabla13[[#This Row],[Pagado]]</f>
        <v>0</v>
      </c>
      <c r="I166" s="275" t="s">
        <v>15214</v>
      </c>
    </row>
    <row r="167" spans="1:9" ht="15.75" x14ac:dyDescent="0.25">
      <c r="A167" s="299">
        <v>42949</v>
      </c>
      <c r="B167" s="302" t="s">
        <v>23949</v>
      </c>
      <c r="C167">
        <v>122139</v>
      </c>
      <c r="D167" s="248" t="s">
        <v>95</v>
      </c>
      <c r="E167" s="301">
        <v>0</v>
      </c>
      <c r="F167" s="243" t="s">
        <v>95</v>
      </c>
      <c r="G167" s="301">
        <v>0</v>
      </c>
      <c r="H167" s="304">
        <f>Tabla13[[#This Row],[Importe]]-Tabla13[[#This Row],[Pagado]]</f>
        <v>0</v>
      </c>
      <c r="I167" s="275" t="s">
        <v>95</v>
      </c>
    </row>
    <row r="168" spans="1:9" x14ac:dyDescent="0.25">
      <c r="A168" s="299">
        <v>42949</v>
      </c>
      <c r="B168" s="302" t="s">
        <v>23950</v>
      </c>
      <c r="C168">
        <v>122140</v>
      </c>
      <c r="D168" s="236" t="s">
        <v>15415</v>
      </c>
      <c r="E168" s="301">
        <v>3735</v>
      </c>
      <c r="F168" s="303">
        <v>42951</v>
      </c>
      <c r="G168" s="301">
        <v>3735</v>
      </c>
      <c r="H168" s="304">
        <f>Tabla13[[#This Row],[Importe]]-Tabla13[[#This Row],[Pagado]]</f>
        <v>0</v>
      </c>
      <c r="I168" s="275" t="s">
        <v>15214</v>
      </c>
    </row>
    <row r="169" spans="1:9" ht="30" x14ac:dyDescent="0.25">
      <c r="A169" s="299">
        <v>42949</v>
      </c>
      <c r="B169" s="302" t="s">
        <v>23951</v>
      </c>
      <c r="C169">
        <v>122141</v>
      </c>
      <c r="D169" s="236" t="s">
        <v>15317</v>
      </c>
      <c r="E169" s="301">
        <v>1797.2</v>
      </c>
      <c r="F169" s="303" t="s">
        <v>23952</v>
      </c>
      <c r="G169" s="305">
        <f>304.8+1492.4</f>
        <v>1797.2</v>
      </c>
      <c r="H169" s="304">
        <f>Tabla13[[#This Row],[Importe]]-Tabla13[[#This Row],[Pagado]]</f>
        <v>0</v>
      </c>
      <c r="I169" s="275" t="s">
        <v>15214</v>
      </c>
    </row>
    <row r="170" spans="1:9" x14ac:dyDescent="0.25">
      <c r="A170" s="299">
        <v>42949</v>
      </c>
      <c r="B170" s="302" t="s">
        <v>23953</v>
      </c>
      <c r="C170">
        <v>122142</v>
      </c>
      <c r="D170" s="236" t="s">
        <v>15278</v>
      </c>
      <c r="E170" s="301">
        <v>5294.2</v>
      </c>
      <c r="F170" s="303">
        <v>42949</v>
      </c>
      <c r="G170" s="301">
        <v>5294.2</v>
      </c>
      <c r="H170" s="304">
        <f>Tabla13[[#This Row],[Importe]]-Tabla13[[#This Row],[Pagado]]</f>
        <v>0</v>
      </c>
      <c r="I170" s="275" t="s">
        <v>15214</v>
      </c>
    </row>
    <row r="171" spans="1:9" x14ac:dyDescent="0.25">
      <c r="A171" s="299">
        <v>42949</v>
      </c>
      <c r="B171" s="302" t="s">
        <v>23954</v>
      </c>
      <c r="C171">
        <v>122143</v>
      </c>
      <c r="D171" s="236" t="s">
        <v>15307</v>
      </c>
      <c r="E171" s="301">
        <v>2369.6</v>
      </c>
      <c r="F171" s="303">
        <v>42950</v>
      </c>
      <c r="G171" s="301">
        <v>2369.6</v>
      </c>
      <c r="H171" s="304">
        <f>Tabla13[[#This Row],[Importe]]-Tabla13[[#This Row],[Pagado]]</f>
        <v>0</v>
      </c>
      <c r="I171" s="275" t="s">
        <v>15214</v>
      </c>
    </row>
    <row r="172" spans="1:9" x14ac:dyDescent="0.25">
      <c r="A172" s="299">
        <v>42949</v>
      </c>
      <c r="B172" s="302" t="s">
        <v>23955</v>
      </c>
      <c r="C172">
        <v>122144</v>
      </c>
      <c r="D172" s="236" t="s">
        <v>15380</v>
      </c>
      <c r="E172" s="301">
        <v>30392.799999999999</v>
      </c>
      <c r="F172" s="303">
        <v>42965</v>
      </c>
      <c r="G172" s="301">
        <v>30392.799999999999</v>
      </c>
      <c r="H172" s="304">
        <f>Tabla13[[#This Row],[Importe]]-Tabla13[[#This Row],[Pagado]]</f>
        <v>0</v>
      </c>
      <c r="I172" s="275" t="s">
        <v>15214</v>
      </c>
    </row>
    <row r="173" spans="1:9" x14ac:dyDescent="0.25">
      <c r="A173" s="299">
        <v>42949</v>
      </c>
      <c r="B173" s="302" t="s">
        <v>23956</v>
      </c>
      <c r="C173">
        <v>122145</v>
      </c>
      <c r="D173" s="236" t="s">
        <v>15305</v>
      </c>
      <c r="E173" s="301">
        <v>2126.5</v>
      </c>
      <c r="F173" s="303">
        <v>42950</v>
      </c>
      <c r="G173" s="301">
        <v>2126.5</v>
      </c>
      <c r="H173" s="304">
        <f>Tabla13[[#This Row],[Importe]]-Tabla13[[#This Row],[Pagado]]</f>
        <v>0</v>
      </c>
      <c r="I173" s="275" t="s">
        <v>15214</v>
      </c>
    </row>
    <row r="174" spans="1:9" x14ac:dyDescent="0.25">
      <c r="A174" s="299">
        <v>42949</v>
      </c>
      <c r="B174" s="302" t="s">
        <v>23957</v>
      </c>
      <c r="C174">
        <v>122146</v>
      </c>
      <c r="D174" s="236" t="s">
        <v>15322</v>
      </c>
      <c r="E174" s="301">
        <v>784.6</v>
      </c>
      <c r="F174" s="303">
        <v>42949</v>
      </c>
      <c r="G174" s="301">
        <v>784.6</v>
      </c>
      <c r="H174" s="304">
        <f>Tabla13[[#This Row],[Importe]]-Tabla13[[#This Row],[Pagado]]</f>
        <v>0</v>
      </c>
      <c r="I174" s="275" t="s">
        <v>15214</v>
      </c>
    </row>
    <row r="175" spans="1:9" x14ac:dyDescent="0.25">
      <c r="A175" s="299">
        <v>42949</v>
      </c>
      <c r="B175" s="302" t="s">
        <v>23958</v>
      </c>
      <c r="C175">
        <v>122147</v>
      </c>
      <c r="D175" s="236" t="s">
        <v>15291</v>
      </c>
      <c r="E175" s="301">
        <v>1286.9000000000001</v>
      </c>
      <c r="F175" s="303">
        <v>42950</v>
      </c>
      <c r="G175" s="301">
        <v>1286.9000000000001</v>
      </c>
      <c r="H175" s="304">
        <f>Tabla13[[#This Row],[Importe]]-Tabla13[[#This Row],[Pagado]]</f>
        <v>0</v>
      </c>
      <c r="I175" s="275" t="s">
        <v>15214</v>
      </c>
    </row>
    <row r="176" spans="1:9" x14ac:dyDescent="0.25">
      <c r="A176" s="299">
        <v>42949</v>
      </c>
      <c r="B176" s="302" t="s">
        <v>23959</v>
      </c>
      <c r="C176">
        <v>122148</v>
      </c>
      <c r="D176" s="236" t="s">
        <v>15389</v>
      </c>
      <c r="E176" s="301">
        <v>11959.2</v>
      </c>
      <c r="F176" s="303">
        <v>42960</v>
      </c>
      <c r="G176" s="301">
        <v>11959.2</v>
      </c>
      <c r="H176" s="304">
        <f>Tabla13[[#This Row],[Importe]]-Tabla13[[#This Row],[Pagado]]</f>
        <v>0</v>
      </c>
      <c r="I176" s="275" t="s">
        <v>15214</v>
      </c>
    </row>
    <row r="177" spans="1:9" x14ac:dyDescent="0.25">
      <c r="A177" s="299">
        <v>42949</v>
      </c>
      <c r="B177" s="302" t="s">
        <v>23960</v>
      </c>
      <c r="C177">
        <v>122149</v>
      </c>
      <c r="D177" s="236" t="s">
        <v>15382</v>
      </c>
      <c r="E177" s="301">
        <v>9998</v>
      </c>
      <c r="F177" s="303">
        <v>42960</v>
      </c>
      <c r="G177" s="301">
        <v>9998</v>
      </c>
      <c r="H177" s="304">
        <f>Tabla13[[#This Row],[Importe]]-Tabla13[[#This Row],[Pagado]]</f>
        <v>0</v>
      </c>
      <c r="I177" s="275" t="s">
        <v>15214</v>
      </c>
    </row>
    <row r="178" spans="1:9" x14ac:dyDescent="0.25">
      <c r="A178" s="299">
        <v>42949</v>
      </c>
      <c r="B178" s="302" t="s">
        <v>23961</v>
      </c>
      <c r="C178">
        <v>122150</v>
      </c>
      <c r="D178" s="236" t="s">
        <v>15274</v>
      </c>
      <c r="E178" s="301">
        <v>2500</v>
      </c>
      <c r="F178" s="303">
        <v>42950</v>
      </c>
      <c r="G178" s="301">
        <v>2500</v>
      </c>
      <c r="H178" s="304">
        <f>Tabla13[[#This Row],[Importe]]-Tabla13[[#This Row],[Pagado]]</f>
        <v>0</v>
      </c>
      <c r="I178" s="275" t="s">
        <v>15214</v>
      </c>
    </row>
    <row r="179" spans="1:9" x14ac:dyDescent="0.25">
      <c r="A179" s="299">
        <v>42949</v>
      </c>
      <c r="B179" s="302" t="s">
        <v>23962</v>
      </c>
      <c r="C179">
        <v>122151</v>
      </c>
      <c r="D179" s="236" t="s">
        <v>15596</v>
      </c>
      <c r="E179" s="301">
        <v>1000</v>
      </c>
      <c r="F179" s="303">
        <v>42950</v>
      </c>
      <c r="G179" s="301">
        <v>1000</v>
      </c>
      <c r="H179" s="304">
        <f>Tabla13[[#This Row],[Importe]]-Tabla13[[#This Row],[Pagado]]</f>
        <v>0</v>
      </c>
      <c r="I179" s="275" t="s">
        <v>15214</v>
      </c>
    </row>
    <row r="180" spans="1:9" x14ac:dyDescent="0.25">
      <c r="A180" s="299">
        <v>42949</v>
      </c>
      <c r="B180" s="302" t="s">
        <v>23963</v>
      </c>
      <c r="C180">
        <v>122152</v>
      </c>
      <c r="D180" s="236" t="s">
        <v>15284</v>
      </c>
      <c r="E180" s="301">
        <v>721.6</v>
      </c>
      <c r="F180" s="303">
        <v>42949</v>
      </c>
      <c r="G180" s="301">
        <v>721.6</v>
      </c>
      <c r="H180" s="304">
        <f>Tabla13[[#This Row],[Importe]]-Tabla13[[#This Row],[Pagado]]</f>
        <v>0</v>
      </c>
      <c r="I180" s="275" t="s">
        <v>15214</v>
      </c>
    </row>
    <row r="181" spans="1:9" x14ac:dyDescent="0.25">
      <c r="A181" s="299">
        <v>42949</v>
      </c>
      <c r="B181" s="302" t="s">
        <v>23964</v>
      </c>
      <c r="C181">
        <v>122153</v>
      </c>
      <c r="D181" s="236" t="s">
        <v>15530</v>
      </c>
      <c r="E181" s="301">
        <v>4170.8999999999996</v>
      </c>
      <c r="F181" s="303">
        <v>42949</v>
      </c>
      <c r="G181" s="301">
        <v>4170.8999999999996</v>
      </c>
      <c r="H181" s="304">
        <f>Tabla13[[#This Row],[Importe]]-Tabla13[[#This Row],[Pagado]]</f>
        <v>0</v>
      </c>
      <c r="I181" s="275" t="s">
        <v>15214</v>
      </c>
    </row>
    <row r="182" spans="1:9" x14ac:dyDescent="0.25">
      <c r="A182" s="299">
        <v>42949</v>
      </c>
      <c r="B182" s="302" t="s">
        <v>23965</v>
      </c>
      <c r="C182">
        <v>122154</v>
      </c>
      <c r="D182" s="236" t="s">
        <v>15284</v>
      </c>
      <c r="E182" s="301">
        <v>826.8</v>
      </c>
      <c r="F182" s="303">
        <v>42949</v>
      </c>
      <c r="G182" s="301">
        <v>826.8</v>
      </c>
      <c r="H182" s="304">
        <f>Tabla13[[#This Row],[Importe]]-Tabla13[[#This Row],[Pagado]]</f>
        <v>0</v>
      </c>
      <c r="I182" s="275" t="s">
        <v>15214</v>
      </c>
    </row>
    <row r="183" spans="1:9" x14ac:dyDescent="0.25">
      <c r="A183" s="299">
        <v>42949</v>
      </c>
      <c r="B183" s="302" t="s">
        <v>23966</v>
      </c>
      <c r="C183">
        <v>122155</v>
      </c>
      <c r="D183" s="236" t="s">
        <v>17235</v>
      </c>
      <c r="E183" s="301">
        <v>1466.4</v>
      </c>
      <c r="F183" s="303">
        <v>42950</v>
      </c>
      <c r="G183" s="301">
        <v>1466.4</v>
      </c>
      <c r="H183" s="304">
        <f>Tabla13[[#This Row],[Importe]]-Tabla13[[#This Row],[Pagado]]</f>
        <v>0</v>
      </c>
      <c r="I183" s="275" t="s">
        <v>15214</v>
      </c>
    </row>
    <row r="184" spans="1:9" x14ac:dyDescent="0.25">
      <c r="A184" s="299">
        <v>42949</v>
      </c>
      <c r="B184" s="302" t="s">
        <v>23967</v>
      </c>
      <c r="C184">
        <v>122156</v>
      </c>
      <c r="D184" s="236" t="s">
        <v>15298</v>
      </c>
      <c r="E184" s="301">
        <v>1330.2</v>
      </c>
      <c r="F184" s="303">
        <v>42949</v>
      </c>
      <c r="G184" s="301">
        <v>1330.2</v>
      </c>
      <c r="H184" s="304">
        <f>Tabla13[[#This Row],[Importe]]-Tabla13[[#This Row],[Pagado]]</f>
        <v>0</v>
      </c>
      <c r="I184" s="275" t="s">
        <v>15214</v>
      </c>
    </row>
    <row r="185" spans="1:9" x14ac:dyDescent="0.25">
      <c r="A185" s="299">
        <v>42949</v>
      </c>
      <c r="B185" s="302" t="s">
        <v>23968</v>
      </c>
      <c r="C185">
        <v>122157</v>
      </c>
      <c r="D185" s="236" t="s">
        <v>15315</v>
      </c>
      <c r="E185" s="301">
        <v>2748.9</v>
      </c>
      <c r="F185" s="303">
        <v>42949</v>
      </c>
      <c r="G185" s="301">
        <v>2748.9</v>
      </c>
      <c r="H185" s="304">
        <f>Tabla13[[#This Row],[Importe]]-Tabla13[[#This Row],[Pagado]]</f>
        <v>0</v>
      </c>
      <c r="I185" s="275" t="s">
        <v>15214</v>
      </c>
    </row>
    <row r="186" spans="1:9" x14ac:dyDescent="0.25">
      <c r="A186" s="299">
        <v>42949</v>
      </c>
      <c r="B186" s="302" t="s">
        <v>23969</v>
      </c>
      <c r="C186">
        <v>122158</v>
      </c>
      <c r="D186" s="236" t="s">
        <v>15276</v>
      </c>
      <c r="E186" s="301">
        <v>2500</v>
      </c>
      <c r="F186" s="303">
        <v>42950</v>
      </c>
      <c r="G186" s="301">
        <v>2500</v>
      </c>
      <c r="H186" s="304">
        <f>Tabla13[[#This Row],[Importe]]-Tabla13[[#This Row],[Pagado]]</f>
        <v>0</v>
      </c>
      <c r="I186" s="275" t="s">
        <v>15214</v>
      </c>
    </row>
    <row r="187" spans="1:9" ht="15.75" x14ac:dyDescent="0.25">
      <c r="A187" s="299">
        <v>42949</v>
      </c>
      <c r="B187" s="302" t="s">
        <v>23970</v>
      </c>
      <c r="C187">
        <v>122159</v>
      </c>
      <c r="D187" s="248" t="s">
        <v>95</v>
      </c>
      <c r="E187" s="301">
        <v>0</v>
      </c>
      <c r="F187" s="243" t="s">
        <v>95</v>
      </c>
      <c r="G187" s="301">
        <v>0</v>
      </c>
      <c r="H187" s="304">
        <f>Tabla13[[#This Row],[Importe]]-Tabla13[[#This Row],[Pagado]]</f>
        <v>0</v>
      </c>
      <c r="I187" s="275" t="s">
        <v>95</v>
      </c>
    </row>
    <row r="188" spans="1:9" ht="15.75" x14ac:dyDescent="0.25">
      <c r="A188" s="299">
        <v>42949</v>
      </c>
      <c r="B188" s="302" t="s">
        <v>23971</v>
      </c>
      <c r="C188">
        <v>122160</v>
      </c>
      <c r="D188" s="248" t="s">
        <v>95</v>
      </c>
      <c r="E188" s="301">
        <v>0</v>
      </c>
      <c r="F188" s="243" t="s">
        <v>95</v>
      </c>
      <c r="G188" s="301">
        <v>0</v>
      </c>
      <c r="H188" s="304">
        <f>Tabla13[[#This Row],[Importe]]-Tabla13[[#This Row],[Pagado]]</f>
        <v>0</v>
      </c>
      <c r="I188" s="275" t="s">
        <v>95</v>
      </c>
    </row>
    <row r="189" spans="1:9" ht="36.75" x14ac:dyDescent="0.25">
      <c r="A189" s="299">
        <v>42949</v>
      </c>
      <c r="B189" s="302" t="s">
        <v>23972</v>
      </c>
      <c r="C189">
        <v>122161</v>
      </c>
      <c r="D189" s="236" t="s">
        <v>15228</v>
      </c>
      <c r="E189" s="301">
        <v>35915.160000000003</v>
      </c>
      <c r="F189" s="309" t="s">
        <v>23973</v>
      </c>
      <c r="G189" s="305">
        <f>5000+9000+10000+9000+2915.16</f>
        <v>35915.160000000003</v>
      </c>
      <c r="H189" s="304">
        <f>Tabla13[[#This Row],[Importe]]-Tabla13[[#This Row],[Pagado]]</f>
        <v>0</v>
      </c>
      <c r="I189" s="275" t="s">
        <v>15214</v>
      </c>
    </row>
    <row r="190" spans="1:9" x14ac:dyDescent="0.25">
      <c r="A190" s="299">
        <v>42949</v>
      </c>
      <c r="B190" s="302" t="s">
        <v>23974</v>
      </c>
      <c r="C190">
        <v>122162</v>
      </c>
      <c r="D190" s="236" t="s">
        <v>19773</v>
      </c>
      <c r="E190" s="301">
        <v>5293.12</v>
      </c>
      <c r="F190" s="303">
        <v>42952</v>
      </c>
      <c r="G190" s="301">
        <v>5293.12</v>
      </c>
      <c r="H190" s="304">
        <f>Tabla13[[#This Row],[Importe]]-Tabla13[[#This Row],[Pagado]]</f>
        <v>0</v>
      </c>
      <c r="I190" s="275" t="s">
        <v>15214</v>
      </c>
    </row>
    <row r="191" spans="1:9" x14ac:dyDescent="0.25">
      <c r="A191" s="299">
        <v>42949</v>
      </c>
      <c r="B191" s="302" t="s">
        <v>23975</v>
      </c>
      <c r="C191">
        <v>122163</v>
      </c>
      <c r="D191" s="236" t="s">
        <v>15417</v>
      </c>
      <c r="E191" s="301">
        <v>2033.5</v>
      </c>
      <c r="F191" s="303">
        <v>42950</v>
      </c>
      <c r="G191" s="301">
        <v>2033.5</v>
      </c>
      <c r="H191" s="304">
        <f>Tabla13[[#This Row],[Importe]]-Tabla13[[#This Row],[Pagado]]</f>
        <v>0</v>
      </c>
      <c r="I191" s="275" t="s">
        <v>15214</v>
      </c>
    </row>
    <row r="192" spans="1:9" ht="15.75" x14ac:dyDescent="0.25">
      <c r="A192" s="299">
        <v>42949</v>
      </c>
      <c r="B192" s="302" t="s">
        <v>23976</v>
      </c>
      <c r="C192">
        <v>122164</v>
      </c>
      <c r="D192" s="248" t="s">
        <v>95</v>
      </c>
      <c r="E192" s="301">
        <v>0</v>
      </c>
      <c r="F192" s="243" t="s">
        <v>95</v>
      </c>
      <c r="G192" s="301">
        <v>0</v>
      </c>
      <c r="H192" s="304">
        <f>Tabla13[[#This Row],[Importe]]-Tabla13[[#This Row],[Pagado]]</f>
        <v>0</v>
      </c>
      <c r="I192" s="306" t="s">
        <v>23794</v>
      </c>
    </row>
    <row r="193" spans="1:9" x14ac:dyDescent="0.25">
      <c r="A193" s="299">
        <v>42949</v>
      </c>
      <c r="B193" s="302" t="s">
        <v>23977</v>
      </c>
      <c r="C193">
        <v>122165</v>
      </c>
      <c r="D193" s="236" t="s">
        <v>15378</v>
      </c>
      <c r="E193" s="301">
        <v>3936.75</v>
      </c>
      <c r="F193" s="303">
        <v>42949</v>
      </c>
      <c r="G193" s="301">
        <v>3936.75</v>
      </c>
      <c r="H193" s="304">
        <f>Tabla13[[#This Row],[Importe]]-Tabla13[[#This Row],[Pagado]]</f>
        <v>0</v>
      </c>
      <c r="I193" s="275" t="s">
        <v>15214</v>
      </c>
    </row>
    <row r="194" spans="1:9" x14ac:dyDescent="0.25">
      <c r="A194" s="299">
        <v>42949</v>
      </c>
      <c r="B194" s="302" t="s">
        <v>23978</v>
      </c>
      <c r="C194">
        <v>122166</v>
      </c>
      <c r="D194" s="236" t="s">
        <v>15759</v>
      </c>
      <c r="E194" s="301">
        <v>3152.02</v>
      </c>
      <c r="F194" s="303">
        <v>42950</v>
      </c>
      <c r="G194" s="301">
        <v>3152.02</v>
      </c>
      <c r="H194" s="304">
        <f>Tabla13[[#This Row],[Importe]]-Tabla13[[#This Row],[Pagado]]</f>
        <v>0</v>
      </c>
      <c r="I194" s="275" t="s">
        <v>15214</v>
      </c>
    </row>
    <row r="195" spans="1:9" ht="15.75" x14ac:dyDescent="0.25">
      <c r="A195" s="299">
        <v>42949</v>
      </c>
      <c r="B195" s="302" t="s">
        <v>23979</v>
      </c>
      <c r="C195">
        <v>122167</v>
      </c>
      <c r="D195" s="248" t="s">
        <v>95</v>
      </c>
      <c r="E195" s="301">
        <v>0</v>
      </c>
      <c r="F195" s="243" t="s">
        <v>95</v>
      </c>
      <c r="G195" s="301">
        <v>0</v>
      </c>
      <c r="H195" s="304">
        <f>Tabla13[[#This Row],[Importe]]-Tabla13[[#This Row],[Pagado]]</f>
        <v>0</v>
      </c>
      <c r="I195" s="275" t="s">
        <v>95</v>
      </c>
    </row>
    <row r="196" spans="1:9" x14ac:dyDescent="0.25">
      <c r="A196" s="299">
        <v>42949</v>
      </c>
      <c r="B196" s="302" t="s">
        <v>23980</v>
      </c>
      <c r="C196">
        <v>122168</v>
      </c>
      <c r="D196" s="236" t="s">
        <v>15745</v>
      </c>
      <c r="E196" s="301">
        <v>1851.56</v>
      </c>
      <c r="F196" s="303">
        <v>42950</v>
      </c>
      <c r="G196" s="301">
        <v>1851.56</v>
      </c>
      <c r="H196" s="304">
        <f>Tabla13[[#This Row],[Importe]]-Tabla13[[#This Row],[Pagado]]</f>
        <v>0</v>
      </c>
      <c r="I196" s="275" t="s">
        <v>15214</v>
      </c>
    </row>
    <row r="197" spans="1:9" x14ac:dyDescent="0.25">
      <c r="A197" s="299">
        <v>42949</v>
      </c>
      <c r="B197" s="302" t="s">
        <v>23981</v>
      </c>
      <c r="C197">
        <v>122169</v>
      </c>
      <c r="D197" s="236" t="s">
        <v>19768</v>
      </c>
      <c r="E197" s="301">
        <v>1500</v>
      </c>
      <c r="F197" s="303">
        <v>42949</v>
      </c>
      <c r="G197" s="301">
        <v>1500</v>
      </c>
      <c r="H197" s="304">
        <f>Tabla13[[#This Row],[Importe]]-Tabla13[[#This Row],[Pagado]]</f>
        <v>0</v>
      </c>
      <c r="I197" s="275" t="s">
        <v>15214</v>
      </c>
    </row>
    <row r="198" spans="1:9" x14ac:dyDescent="0.25">
      <c r="A198" s="299">
        <v>42949</v>
      </c>
      <c r="B198" s="302" t="s">
        <v>23982</v>
      </c>
      <c r="C198">
        <v>122170</v>
      </c>
      <c r="D198" s="236" t="s">
        <v>19768</v>
      </c>
      <c r="E198" s="301">
        <v>220</v>
      </c>
      <c r="F198" s="303">
        <v>42949</v>
      </c>
      <c r="G198" s="301">
        <v>220</v>
      </c>
      <c r="H198" s="304">
        <f>Tabla13[[#This Row],[Importe]]-Tabla13[[#This Row],[Pagado]]</f>
        <v>0</v>
      </c>
      <c r="I198" s="275" t="s">
        <v>15214</v>
      </c>
    </row>
    <row r="199" spans="1:9" x14ac:dyDescent="0.25">
      <c r="A199" s="299">
        <v>42949</v>
      </c>
      <c r="B199" s="302" t="s">
        <v>23983</v>
      </c>
      <c r="C199">
        <v>122171</v>
      </c>
      <c r="D199" s="236" t="s">
        <v>15387</v>
      </c>
      <c r="E199" s="301">
        <v>1560</v>
      </c>
      <c r="F199" s="303">
        <v>42949</v>
      </c>
      <c r="G199" s="301">
        <v>1560</v>
      </c>
      <c r="H199" s="304">
        <f>Tabla13[[#This Row],[Importe]]-Tabla13[[#This Row],[Pagado]]</f>
        <v>0</v>
      </c>
      <c r="I199" s="275" t="s">
        <v>15214</v>
      </c>
    </row>
    <row r="200" spans="1:9" x14ac:dyDescent="0.25">
      <c r="A200" s="299">
        <v>42949</v>
      </c>
      <c r="B200" s="302" t="s">
        <v>23984</v>
      </c>
      <c r="C200">
        <v>122172</v>
      </c>
      <c r="D200" s="236" t="s">
        <v>15544</v>
      </c>
      <c r="E200" s="301">
        <v>3517.8</v>
      </c>
      <c r="F200" s="303">
        <v>42956</v>
      </c>
      <c r="G200" s="301">
        <v>3517.8</v>
      </c>
      <c r="H200" s="304">
        <f>Tabla13[[#This Row],[Importe]]-Tabla13[[#This Row],[Pagado]]</f>
        <v>0</v>
      </c>
      <c r="I200" s="275" t="s">
        <v>15214</v>
      </c>
    </row>
    <row r="201" spans="1:9" x14ac:dyDescent="0.25">
      <c r="A201" s="299">
        <v>42949</v>
      </c>
      <c r="B201" s="302" t="s">
        <v>23985</v>
      </c>
      <c r="C201">
        <v>122173</v>
      </c>
      <c r="D201" s="236" t="s">
        <v>15315</v>
      </c>
      <c r="E201" s="301">
        <v>2881.2</v>
      </c>
      <c r="F201" s="303">
        <v>42951</v>
      </c>
      <c r="G201" s="301">
        <v>2881.2</v>
      </c>
      <c r="H201" s="304">
        <f>Tabla13[[#This Row],[Importe]]-Tabla13[[#This Row],[Pagado]]</f>
        <v>0</v>
      </c>
      <c r="I201" s="275" t="s">
        <v>15214</v>
      </c>
    </row>
    <row r="202" spans="1:9" ht="15.75" x14ac:dyDescent="0.25">
      <c r="A202" s="299">
        <v>42949</v>
      </c>
      <c r="B202" s="302" t="s">
        <v>23986</v>
      </c>
      <c r="C202">
        <v>122174</v>
      </c>
      <c r="D202" s="236" t="s">
        <v>16288</v>
      </c>
      <c r="E202" s="301">
        <v>1107.8</v>
      </c>
      <c r="F202" s="303">
        <v>42950</v>
      </c>
      <c r="G202" s="301">
        <v>1107.8</v>
      </c>
      <c r="H202" s="304">
        <f>Tabla13[[#This Row],[Importe]]-Tabla13[[#This Row],[Pagado]]</f>
        <v>0</v>
      </c>
      <c r="I202" s="248" t="s">
        <v>23987</v>
      </c>
    </row>
    <row r="203" spans="1:9" x14ac:dyDescent="0.25">
      <c r="A203" s="299">
        <v>42949</v>
      </c>
      <c r="B203" s="302" t="s">
        <v>23988</v>
      </c>
      <c r="C203">
        <v>122175</v>
      </c>
      <c r="D203" s="236" t="s">
        <v>15326</v>
      </c>
      <c r="E203" s="301">
        <v>2621.8</v>
      </c>
      <c r="F203" s="303">
        <v>42949</v>
      </c>
      <c r="G203" s="301">
        <v>2621.8</v>
      </c>
      <c r="H203" s="304">
        <f>Tabla13[[#This Row],[Importe]]-Tabla13[[#This Row],[Pagado]]</f>
        <v>0</v>
      </c>
      <c r="I203" s="275" t="s">
        <v>15214</v>
      </c>
    </row>
    <row r="204" spans="1:9" x14ac:dyDescent="0.25">
      <c r="A204" s="299">
        <v>42949</v>
      </c>
      <c r="B204" s="302" t="s">
        <v>23989</v>
      </c>
      <c r="C204">
        <v>122176</v>
      </c>
      <c r="D204" s="236" t="s">
        <v>16139</v>
      </c>
      <c r="E204" s="301">
        <v>2920</v>
      </c>
      <c r="F204" s="303">
        <v>42956</v>
      </c>
      <c r="G204" s="301">
        <v>2920</v>
      </c>
      <c r="H204" s="304">
        <f>Tabla13[[#This Row],[Importe]]-Tabla13[[#This Row],[Pagado]]</f>
        <v>0</v>
      </c>
      <c r="I204" s="275" t="s">
        <v>15214</v>
      </c>
    </row>
    <row r="205" spans="1:9" x14ac:dyDescent="0.25">
      <c r="A205" s="299">
        <v>42949</v>
      </c>
      <c r="B205" s="302" t="s">
        <v>23990</v>
      </c>
      <c r="C205">
        <v>122177</v>
      </c>
      <c r="D205" s="236" t="s">
        <v>15315</v>
      </c>
      <c r="E205" s="301">
        <v>2886</v>
      </c>
      <c r="F205" s="303">
        <v>42951</v>
      </c>
      <c r="G205" s="301">
        <v>2886</v>
      </c>
      <c r="H205" s="304">
        <f>Tabla13[[#This Row],[Importe]]-Tabla13[[#This Row],[Pagado]]</f>
        <v>0</v>
      </c>
      <c r="I205" s="275" t="s">
        <v>15214</v>
      </c>
    </row>
    <row r="206" spans="1:9" x14ac:dyDescent="0.25">
      <c r="A206" s="299">
        <v>42949</v>
      </c>
      <c r="B206" s="302" t="s">
        <v>23991</v>
      </c>
      <c r="C206">
        <v>122178</v>
      </c>
      <c r="D206" s="236" t="s">
        <v>15725</v>
      </c>
      <c r="E206" s="301">
        <v>18891.2</v>
      </c>
      <c r="F206" s="303">
        <v>42954</v>
      </c>
      <c r="G206" s="301">
        <v>18891.2</v>
      </c>
      <c r="H206" s="304">
        <f>Tabla13[[#This Row],[Importe]]-Tabla13[[#This Row],[Pagado]]</f>
        <v>0</v>
      </c>
      <c r="I206" s="275" t="s">
        <v>15214</v>
      </c>
    </row>
    <row r="207" spans="1:9" x14ac:dyDescent="0.25">
      <c r="A207" s="299">
        <v>42949</v>
      </c>
      <c r="B207" s="302" t="s">
        <v>23992</v>
      </c>
      <c r="C207">
        <v>122179</v>
      </c>
      <c r="D207" s="236" t="s">
        <v>15537</v>
      </c>
      <c r="E207" s="301">
        <v>15547.2</v>
      </c>
      <c r="F207" s="303">
        <v>42956</v>
      </c>
      <c r="G207" s="301">
        <v>15547.2</v>
      </c>
      <c r="H207" s="304">
        <f>Tabla13[[#This Row],[Importe]]-Tabla13[[#This Row],[Pagado]]</f>
        <v>0</v>
      </c>
      <c r="I207" s="275" t="s">
        <v>15214</v>
      </c>
    </row>
    <row r="208" spans="1:9" x14ac:dyDescent="0.25">
      <c r="A208" s="299">
        <v>42949</v>
      </c>
      <c r="B208" s="302" t="s">
        <v>23993</v>
      </c>
      <c r="C208">
        <v>122180</v>
      </c>
      <c r="D208" s="236" t="s">
        <v>15539</v>
      </c>
      <c r="E208" s="301">
        <v>14210.6</v>
      </c>
      <c r="F208" s="303">
        <v>42956</v>
      </c>
      <c r="G208" s="301">
        <v>14210.6</v>
      </c>
      <c r="H208" s="304">
        <f>Tabla13[[#This Row],[Importe]]-Tabla13[[#This Row],[Pagado]]</f>
        <v>0</v>
      </c>
      <c r="I208" s="275" t="s">
        <v>15214</v>
      </c>
    </row>
    <row r="209" spans="1:9" x14ac:dyDescent="0.25">
      <c r="A209" s="299">
        <v>42949</v>
      </c>
      <c r="B209" s="302" t="s">
        <v>23994</v>
      </c>
      <c r="C209">
        <v>122181</v>
      </c>
      <c r="D209" s="236" t="s">
        <v>15559</v>
      </c>
      <c r="E209" s="301">
        <v>10750.2</v>
      </c>
      <c r="F209" s="303">
        <v>42956</v>
      </c>
      <c r="G209" s="301">
        <v>10750.2</v>
      </c>
      <c r="H209" s="304">
        <f>Tabla13[[#This Row],[Importe]]-Tabla13[[#This Row],[Pagado]]</f>
        <v>0</v>
      </c>
      <c r="I209" s="275" t="s">
        <v>15214</v>
      </c>
    </row>
    <row r="210" spans="1:9" x14ac:dyDescent="0.25">
      <c r="A210" s="299">
        <v>42949</v>
      </c>
      <c r="B210" s="302" t="s">
        <v>23995</v>
      </c>
      <c r="C210">
        <v>122182</v>
      </c>
      <c r="D210" s="236" t="s">
        <v>15315</v>
      </c>
      <c r="E210" s="301">
        <v>3866.1</v>
      </c>
      <c r="F210" s="303">
        <v>42958</v>
      </c>
      <c r="G210" s="301">
        <v>3866.1</v>
      </c>
      <c r="H210" s="304">
        <f>Tabla13[[#This Row],[Importe]]-Tabla13[[#This Row],[Pagado]]</f>
        <v>0</v>
      </c>
      <c r="I210" s="275" t="s">
        <v>15214</v>
      </c>
    </row>
    <row r="211" spans="1:9" x14ac:dyDescent="0.25">
      <c r="A211" s="299">
        <v>42949</v>
      </c>
      <c r="B211" s="302" t="s">
        <v>23996</v>
      </c>
      <c r="C211">
        <v>122183</v>
      </c>
      <c r="D211" s="236" t="s">
        <v>15555</v>
      </c>
      <c r="E211" s="301">
        <v>3556.33</v>
      </c>
      <c r="F211" s="303">
        <v>42964</v>
      </c>
      <c r="G211" s="301">
        <v>3556.33</v>
      </c>
      <c r="H211" s="304">
        <f>Tabla13[[#This Row],[Importe]]-Tabla13[[#This Row],[Pagado]]</f>
        <v>0</v>
      </c>
      <c r="I211" s="275" t="s">
        <v>15214</v>
      </c>
    </row>
    <row r="212" spans="1:9" x14ac:dyDescent="0.25">
      <c r="A212" s="299">
        <v>42949</v>
      </c>
      <c r="B212" s="302" t="s">
        <v>23997</v>
      </c>
      <c r="C212">
        <v>122184</v>
      </c>
      <c r="D212" s="236" t="s">
        <v>15568</v>
      </c>
      <c r="E212" s="301">
        <v>16037.2</v>
      </c>
      <c r="F212" s="303">
        <v>42949</v>
      </c>
      <c r="G212" s="301">
        <v>16037.2</v>
      </c>
      <c r="H212" s="304">
        <f>Tabla13[[#This Row],[Importe]]-Tabla13[[#This Row],[Pagado]]</f>
        <v>0</v>
      </c>
      <c r="I212" s="275" t="s">
        <v>15214</v>
      </c>
    </row>
    <row r="213" spans="1:9" x14ac:dyDescent="0.25">
      <c r="A213" s="299">
        <v>42949</v>
      </c>
      <c r="B213" s="302" t="s">
        <v>23998</v>
      </c>
      <c r="C213">
        <v>122185</v>
      </c>
      <c r="D213" s="236" t="s">
        <v>15568</v>
      </c>
      <c r="E213" s="301">
        <v>3571.1</v>
      </c>
      <c r="F213" s="303">
        <v>42949</v>
      </c>
      <c r="G213" s="301">
        <v>3571.1</v>
      </c>
      <c r="H213" s="304">
        <f>Tabla13[[#This Row],[Importe]]-Tabla13[[#This Row],[Pagado]]</f>
        <v>0</v>
      </c>
      <c r="I213" s="275" t="s">
        <v>15214</v>
      </c>
    </row>
    <row r="214" spans="1:9" x14ac:dyDescent="0.25">
      <c r="A214" s="299">
        <v>42949</v>
      </c>
      <c r="B214" s="302" t="s">
        <v>23999</v>
      </c>
      <c r="C214">
        <v>122186</v>
      </c>
      <c r="D214" s="236" t="s">
        <v>15391</v>
      </c>
      <c r="E214" s="301">
        <v>6855.2</v>
      </c>
      <c r="F214" s="303">
        <v>42953</v>
      </c>
      <c r="G214" s="301">
        <v>6855.2</v>
      </c>
      <c r="H214" s="304">
        <f>Tabla13[[#This Row],[Importe]]-Tabla13[[#This Row],[Pagado]]</f>
        <v>0</v>
      </c>
      <c r="I214" s="275" t="s">
        <v>15214</v>
      </c>
    </row>
    <row r="215" spans="1:9" x14ac:dyDescent="0.25">
      <c r="A215" s="299">
        <v>42949</v>
      </c>
      <c r="B215" s="302" t="s">
        <v>24000</v>
      </c>
      <c r="C215">
        <v>122187</v>
      </c>
      <c r="D215" s="236" t="s">
        <v>15562</v>
      </c>
      <c r="E215" s="301">
        <v>415.8</v>
      </c>
      <c r="F215" s="303">
        <v>42949</v>
      </c>
      <c r="G215" s="301">
        <v>415.8</v>
      </c>
      <c r="H215" s="304">
        <f>Tabla13[[#This Row],[Importe]]-Tabla13[[#This Row],[Pagado]]</f>
        <v>0</v>
      </c>
      <c r="I215" s="275" t="s">
        <v>15214</v>
      </c>
    </row>
    <row r="216" spans="1:9" x14ac:dyDescent="0.25">
      <c r="A216" s="299">
        <v>42949</v>
      </c>
      <c r="B216" s="302" t="s">
        <v>24001</v>
      </c>
      <c r="C216">
        <v>122188</v>
      </c>
      <c r="D216" s="236" t="s">
        <v>15592</v>
      </c>
      <c r="E216" s="301">
        <v>13798.2</v>
      </c>
      <c r="F216" s="303">
        <v>42949</v>
      </c>
      <c r="G216" s="301">
        <v>13798.2</v>
      </c>
      <c r="H216" s="304">
        <f>Tabla13[[#This Row],[Importe]]-Tabla13[[#This Row],[Pagado]]</f>
        <v>0</v>
      </c>
      <c r="I216" s="275" t="s">
        <v>15214</v>
      </c>
    </row>
    <row r="217" spans="1:9" x14ac:dyDescent="0.25">
      <c r="A217" s="299">
        <v>42949</v>
      </c>
      <c r="B217" s="302" t="s">
        <v>24002</v>
      </c>
      <c r="C217">
        <v>122189</v>
      </c>
      <c r="D217" s="236" t="s">
        <v>15315</v>
      </c>
      <c r="E217" s="301">
        <v>398.86</v>
      </c>
      <c r="F217" s="303">
        <v>42949</v>
      </c>
      <c r="G217" s="301">
        <v>398.86</v>
      </c>
      <c r="H217" s="304">
        <f>Tabla13[[#This Row],[Importe]]-Tabla13[[#This Row],[Pagado]]</f>
        <v>0</v>
      </c>
      <c r="I217" s="275" t="s">
        <v>15214</v>
      </c>
    </row>
    <row r="218" spans="1:9" x14ac:dyDescent="0.25">
      <c r="A218" s="299">
        <v>42949</v>
      </c>
      <c r="B218" s="302" t="s">
        <v>24003</v>
      </c>
      <c r="C218">
        <v>122190</v>
      </c>
      <c r="D218" s="236" t="s">
        <v>19776</v>
      </c>
      <c r="E218" s="301">
        <v>10459.799999999999</v>
      </c>
      <c r="F218" s="303">
        <v>42949</v>
      </c>
      <c r="G218" s="301">
        <v>10459.799999999999</v>
      </c>
      <c r="H218" s="304">
        <f>Tabla13[[#This Row],[Importe]]-Tabla13[[#This Row],[Pagado]]</f>
        <v>0</v>
      </c>
      <c r="I218" s="275" t="s">
        <v>15214</v>
      </c>
    </row>
    <row r="219" spans="1:9" x14ac:dyDescent="0.25">
      <c r="A219" s="299">
        <v>42949</v>
      </c>
      <c r="B219" s="302" t="s">
        <v>24004</v>
      </c>
      <c r="C219">
        <v>122191</v>
      </c>
      <c r="D219" s="236" t="s">
        <v>21445</v>
      </c>
      <c r="E219" s="301">
        <v>1700</v>
      </c>
      <c r="F219" s="303">
        <v>42949</v>
      </c>
      <c r="G219" s="301">
        <v>1700</v>
      </c>
      <c r="H219" s="304">
        <f>Tabla13[[#This Row],[Importe]]-Tabla13[[#This Row],[Pagado]]</f>
        <v>0</v>
      </c>
      <c r="I219" s="275" t="s">
        <v>15214</v>
      </c>
    </row>
    <row r="220" spans="1:9" ht="45" x14ac:dyDescent="0.25">
      <c r="A220" s="299">
        <v>42949</v>
      </c>
      <c r="B220" s="302" t="s">
        <v>24005</v>
      </c>
      <c r="C220">
        <v>122192</v>
      </c>
      <c r="D220" s="236" t="s">
        <v>15213</v>
      </c>
      <c r="E220" s="301">
        <v>6765</v>
      </c>
      <c r="F220" s="303" t="s">
        <v>24006</v>
      </c>
      <c r="G220" s="305">
        <f>1700+2500+1000+1565</f>
        <v>6765</v>
      </c>
      <c r="H220" s="304">
        <f>Tabla13[[#This Row],[Importe]]-Tabla13[[#This Row],[Pagado]]</f>
        <v>0</v>
      </c>
      <c r="I220" s="275" t="s">
        <v>15214</v>
      </c>
    </row>
    <row r="221" spans="1:9" x14ac:dyDescent="0.25">
      <c r="A221" s="299">
        <v>42949</v>
      </c>
      <c r="B221" s="302" t="s">
        <v>24007</v>
      </c>
      <c r="C221">
        <v>122193</v>
      </c>
      <c r="D221" s="236" t="s">
        <v>15590</v>
      </c>
      <c r="E221" s="301">
        <v>3802.4</v>
      </c>
      <c r="F221" s="303">
        <v>42949</v>
      </c>
      <c r="G221" s="301">
        <v>3802.4</v>
      </c>
      <c r="H221" s="304">
        <f>Tabla13[[#This Row],[Importe]]-Tabla13[[#This Row],[Pagado]]</f>
        <v>0</v>
      </c>
      <c r="I221" s="275" t="s">
        <v>15214</v>
      </c>
    </row>
    <row r="222" spans="1:9" x14ac:dyDescent="0.25">
      <c r="A222" s="299">
        <v>42949</v>
      </c>
      <c r="B222" s="302" t="s">
        <v>24008</v>
      </c>
      <c r="C222">
        <v>122194</v>
      </c>
      <c r="D222" s="236" t="s">
        <v>15884</v>
      </c>
      <c r="E222" s="301">
        <v>2133.6</v>
      </c>
      <c r="F222" s="303">
        <v>42949</v>
      </c>
      <c r="G222" s="301">
        <v>2133.6</v>
      </c>
      <c r="H222" s="304">
        <f>Tabla13[[#This Row],[Importe]]-Tabla13[[#This Row],[Pagado]]</f>
        <v>0</v>
      </c>
      <c r="I222" s="275" t="s">
        <v>15214</v>
      </c>
    </row>
    <row r="223" spans="1:9" x14ac:dyDescent="0.25">
      <c r="A223" s="299">
        <v>42949</v>
      </c>
      <c r="B223" s="302" t="s">
        <v>24009</v>
      </c>
      <c r="C223">
        <v>122195</v>
      </c>
      <c r="D223" s="236" t="s">
        <v>15665</v>
      </c>
      <c r="E223" s="301">
        <v>186.3</v>
      </c>
      <c r="F223" s="303">
        <v>42949</v>
      </c>
      <c r="G223" s="301">
        <v>186.3</v>
      </c>
      <c r="H223" s="304">
        <f>Tabla13[[#This Row],[Importe]]-Tabla13[[#This Row],[Pagado]]</f>
        <v>0</v>
      </c>
      <c r="I223" s="275" t="s">
        <v>15214</v>
      </c>
    </row>
    <row r="224" spans="1:9" x14ac:dyDescent="0.25">
      <c r="A224" s="299">
        <v>42949</v>
      </c>
      <c r="B224" s="302" t="s">
        <v>24010</v>
      </c>
      <c r="C224">
        <v>122196</v>
      </c>
      <c r="D224" s="236" t="s">
        <v>15246</v>
      </c>
      <c r="E224" s="301">
        <v>142310.76</v>
      </c>
      <c r="F224" s="303">
        <v>42954</v>
      </c>
      <c r="G224" s="301">
        <v>142310.76</v>
      </c>
      <c r="H224" s="304">
        <f>Tabla13[[#This Row],[Importe]]-Tabla13[[#This Row],[Pagado]]</f>
        <v>0</v>
      </c>
      <c r="I224" s="275" t="s">
        <v>15214</v>
      </c>
    </row>
    <row r="225" spans="1:9" x14ac:dyDescent="0.25">
      <c r="A225" s="299">
        <v>42949</v>
      </c>
      <c r="B225" s="302" t="s">
        <v>24011</v>
      </c>
      <c r="C225">
        <v>122197</v>
      </c>
      <c r="D225" s="236" t="s">
        <v>17462</v>
      </c>
      <c r="E225" s="301">
        <v>2756</v>
      </c>
      <c r="F225" s="303">
        <v>42949</v>
      </c>
      <c r="G225" s="301">
        <v>2756</v>
      </c>
      <c r="H225" s="304">
        <f>Tabla13[[#This Row],[Importe]]-Tabla13[[#This Row],[Pagado]]</f>
        <v>0</v>
      </c>
      <c r="I225" s="275" t="s">
        <v>15214</v>
      </c>
    </row>
    <row r="226" spans="1:9" x14ac:dyDescent="0.25">
      <c r="A226" s="299">
        <v>42949</v>
      </c>
      <c r="B226" s="302" t="s">
        <v>24012</v>
      </c>
      <c r="C226">
        <v>122198</v>
      </c>
      <c r="D226" s="236" t="s">
        <v>15267</v>
      </c>
      <c r="E226" s="301">
        <v>34025</v>
      </c>
      <c r="F226" s="303">
        <v>42949</v>
      </c>
      <c r="G226" s="301">
        <v>34025</v>
      </c>
      <c r="H226" s="304">
        <f>Tabla13[[#This Row],[Importe]]-Tabla13[[#This Row],[Pagado]]</f>
        <v>0</v>
      </c>
      <c r="I226" s="275" t="s">
        <v>15214</v>
      </c>
    </row>
    <row r="227" spans="1:9" x14ac:dyDescent="0.25">
      <c r="A227" s="299">
        <v>42949</v>
      </c>
      <c r="B227" s="302" t="s">
        <v>24013</v>
      </c>
      <c r="C227">
        <v>122199</v>
      </c>
      <c r="D227" s="236" t="s">
        <v>15396</v>
      </c>
      <c r="E227" s="301">
        <v>8810.34</v>
      </c>
      <c r="F227" s="303">
        <v>42949</v>
      </c>
      <c r="G227" s="301">
        <v>8810.34</v>
      </c>
      <c r="H227" s="304">
        <f>Tabla13[[#This Row],[Importe]]-Tabla13[[#This Row],[Pagado]]</f>
        <v>0</v>
      </c>
      <c r="I227" s="275" t="s">
        <v>15214</v>
      </c>
    </row>
    <row r="228" spans="1:9" x14ac:dyDescent="0.25">
      <c r="A228" s="299">
        <v>42949</v>
      </c>
      <c r="B228" s="302" t="s">
        <v>24014</v>
      </c>
      <c r="C228">
        <v>122200</v>
      </c>
      <c r="D228" s="236" t="s">
        <v>15728</v>
      </c>
      <c r="E228" s="301">
        <v>14578.2</v>
      </c>
      <c r="F228" s="303">
        <v>42949</v>
      </c>
      <c r="G228" s="301">
        <v>14578.2</v>
      </c>
      <c r="H228" s="304">
        <f>Tabla13[[#This Row],[Importe]]-Tabla13[[#This Row],[Pagado]]</f>
        <v>0</v>
      </c>
      <c r="I228" s="275" t="s">
        <v>15214</v>
      </c>
    </row>
    <row r="229" spans="1:9" x14ac:dyDescent="0.25">
      <c r="A229" s="299">
        <v>42949</v>
      </c>
      <c r="B229" s="302" t="s">
        <v>24015</v>
      </c>
      <c r="C229">
        <v>122201</v>
      </c>
      <c r="D229" s="236" t="s">
        <v>15614</v>
      </c>
      <c r="E229" s="301">
        <v>5736.2</v>
      </c>
      <c r="F229" s="303">
        <v>42963</v>
      </c>
      <c r="G229" s="301">
        <v>5736.2</v>
      </c>
      <c r="H229" s="304">
        <f>Tabla13[[#This Row],[Importe]]-Tabla13[[#This Row],[Pagado]]</f>
        <v>0</v>
      </c>
      <c r="I229" s="275" t="s">
        <v>15214</v>
      </c>
    </row>
    <row r="230" spans="1:9" x14ac:dyDescent="0.25">
      <c r="A230" s="299">
        <v>42949</v>
      </c>
      <c r="B230" s="302" t="s">
        <v>24016</v>
      </c>
      <c r="C230">
        <v>122202</v>
      </c>
      <c r="D230" s="236" t="s">
        <v>15617</v>
      </c>
      <c r="E230" s="301">
        <v>31360</v>
      </c>
      <c r="F230" s="303">
        <v>42950</v>
      </c>
      <c r="G230" s="301">
        <v>31360</v>
      </c>
      <c r="H230" s="304">
        <f>Tabla13[[#This Row],[Importe]]-Tabla13[[#This Row],[Pagado]]</f>
        <v>0</v>
      </c>
      <c r="I230" s="275" t="s">
        <v>15214</v>
      </c>
    </row>
    <row r="231" spans="1:9" x14ac:dyDescent="0.25">
      <c r="A231" s="299">
        <v>42949</v>
      </c>
      <c r="B231" s="302" t="s">
        <v>24017</v>
      </c>
      <c r="C231">
        <v>122203</v>
      </c>
      <c r="D231" s="236" t="s">
        <v>15789</v>
      </c>
      <c r="E231" s="301">
        <v>5021.8</v>
      </c>
      <c r="F231" s="303">
        <v>42949</v>
      </c>
      <c r="G231" s="301">
        <v>5021.8</v>
      </c>
      <c r="H231" s="304">
        <f>Tabla13[[#This Row],[Importe]]-Tabla13[[#This Row],[Pagado]]</f>
        <v>0</v>
      </c>
      <c r="I231" s="275" t="s">
        <v>15214</v>
      </c>
    </row>
    <row r="232" spans="1:9" ht="30" x14ac:dyDescent="0.25">
      <c r="A232" s="299">
        <v>42949</v>
      </c>
      <c r="B232" s="302" t="s">
        <v>24018</v>
      </c>
      <c r="C232">
        <v>122204</v>
      </c>
      <c r="D232" s="236" t="s">
        <v>15668</v>
      </c>
      <c r="E232" s="301">
        <v>3351.4</v>
      </c>
      <c r="F232" s="303" t="s">
        <v>24019</v>
      </c>
      <c r="G232" s="301">
        <v>3351.4</v>
      </c>
      <c r="H232" s="304">
        <f>Tabla13[[#This Row],[Importe]]-Tabla13[[#This Row],[Pagado]]</f>
        <v>0</v>
      </c>
      <c r="I232" s="275" t="s">
        <v>15214</v>
      </c>
    </row>
    <row r="233" spans="1:9" x14ac:dyDescent="0.25">
      <c r="A233" s="299">
        <v>42949</v>
      </c>
      <c r="B233" s="302" t="s">
        <v>24020</v>
      </c>
      <c r="C233">
        <v>122205</v>
      </c>
      <c r="D233" s="236" t="s">
        <v>15284</v>
      </c>
      <c r="E233" s="301">
        <v>873.6</v>
      </c>
      <c r="F233" s="303">
        <v>42949</v>
      </c>
      <c r="G233" s="301">
        <v>873.6</v>
      </c>
      <c r="H233" s="304">
        <f>Tabla13[[#This Row],[Importe]]-Tabla13[[#This Row],[Pagado]]</f>
        <v>0</v>
      </c>
      <c r="I233" s="275" t="s">
        <v>15214</v>
      </c>
    </row>
    <row r="234" spans="1:9" x14ac:dyDescent="0.25">
      <c r="A234" s="299">
        <v>42949</v>
      </c>
      <c r="B234" s="302" t="s">
        <v>24021</v>
      </c>
      <c r="C234">
        <v>122206</v>
      </c>
      <c r="D234" s="236" t="s">
        <v>15444</v>
      </c>
      <c r="E234" s="301">
        <v>2166.4</v>
      </c>
      <c r="F234" s="303">
        <v>42950</v>
      </c>
      <c r="G234" s="301">
        <v>2166.4</v>
      </c>
      <c r="H234" s="304">
        <f>Tabla13[[#This Row],[Importe]]-Tabla13[[#This Row],[Pagado]]</f>
        <v>0</v>
      </c>
      <c r="I234" s="275" t="s">
        <v>15214</v>
      </c>
    </row>
    <row r="235" spans="1:9" x14ac:dyDescent="0.25">
      <c r="A235" s="299">
        <v>42949</v>
      </c>
      <c r="B235" s="302" t="s">
        <v>24022</v>
      </c>
      <c r="C235">
        <v>122207</v>
      </c>
      <c r="D235" s="236" t="s">
        <v>15716</v>
      </c>
      <c r="E235" s="301">
        <v>6125.6</v>
      </c>
      <c r="F235" s="303">
        <v>42949</v>
      </c>
      <c r="G235" s="301">
        <v>6125.6</v>
      </c>
      <c r="H235" s="304">
        <f>Tabla13[[#This Row],[Importe]]-Tabla13[[#This Row],[Pagado]]</f>
        <v>0</v>
      </c>
      <c r="I235" s="275" t="s">
        <v>15214</v>
      </c>
    </row>
    <row r="236" spans="1:9" x14ac:dyDescent="0.25">
      <c r="A236" s="299">
        <v>42949</v>
      </c>
      <c r="B236" s="302" t="s">
        <v>24023</v>
      </c>
      <c r="C236">
        <v>122208</v>
      </c>
      <c r="D236" s="236" t="s">
        <v>15566</v>
      </c>
      <c r="E236" s="301">
        <v>731.2</v>
      </c>
      <c r="F236" s="303">
        <v>42949</v>
      </c>
      <c r="G236" s="301">
        <v>731.2</v>
      </c>
      <c r="H236" s="304">
        <f>Tabla13[[#This Row],[Importe]]-Tabla13[[#This Row],[Pagado]]</f>
        <v>0</v>
      </c>
      <c r="I236" s="275" t="s">
        <v>15214</v>
      </c>
    </row>
    <row r="237" spans="1:9" x14ac:dyDescent="0.25">
      <c r="A237" s="299">
        <v>42949</v>
      </c>
      <c r="B237" s="302" t="s">
        <v>24024</v>
      </c>
      <c r="C237">
        <v>122209</v>
      </c>
      <c r="D237" s="236" t="s">
        <v>15246</v>
      </c>
      <c r="E237" s="301">
        <v>228025.37</v>
      </c>
      <c r="F237" s="303">
        <v>42954</v>
      </c>
      <c r="G237" s="301">
        <v>228025.37</v>
      </c>
      <c r="H237" s="304">
        <f>Tabla13[[#This Row],[Importe]]-Tabla13[[#This Row],[Pagado]]</f>
        <v>0</v>
      </c>
      <c r="I237" s="275" t="s">
        <v>15214</v>
      </c>
    </row>
    <row r="238" spans="1:9" x14ac:dyDescent="0.25">
      <c r="A238" s="299">
        <v>42949</v>
      </c>
      <c r="B238" s="302" t="s">
        <v>24025</v>
      </c>
      <c r="C238">
        <v>122210</v>
      </c>
      <c r="D238" s="236" t="s">
        <v>15423</v>
      </c>
      <c r="E238" s="301">
        <v>2232</v>
      </c>
      <c r="F238" s="303">
        <v>42949</v>
      </c>
      <c r="G238" s="301">
        <v>2232</v>
      </c>
      <c r="H238" s="304">
        <f>Tabla13[[#This Row],[Importe]]-Tabla13[[#This Row],[Pagado]]</f>
        <v>0</v>
      </c>
      <c r="I238" s="275" t="s">
        <v>15214</v>
      </c>
    </row>
    <row r="239" spans="1:9" x14ac:dyDescent="0.25">
      <c r="A239" s="299">
        <v>42949</v>
      </c>
      <c r="B239" s="302" t="s">
        <v>24026</v>
      </c>
      <c r="C239">
        <v>122211</v>
      </c>
      <c r="D239" s="236" t="s">
        <v>15246</v>
      </c>
      <c r="E239" s="301">
        <v>12160.4</v>
      </c>
      <c r="F239" s="303">
        <v>42954</v>
      </c>
      <c r="G239" s="301">
        <v>12160.4</v>
      </c>
      <c r="H239" s="304">
        <f>Tabla13[[#This Row],[Importe]]-Tabla13[[#This Row],[Pagado]]</f>
        <v>0</v>
      </c>
      <c r="I239" s="275" t="s">
        <v>15214</v>
      </c>
    </row>
    <row r="240" spans="1:9" x14ac:dyDescent="0.25">
      <c r="A240" s="299">
        <v>42949</v>
      </c>
      <c r="B240" s="302" t="s">
        <v>24027</v>
      </c>
      <c r="C240">
        <v>122212</v>
      </c>
      <c r="D240" s="236" t="s">
        <v>15409</v>
      </c>
      <c r="E240" s="301">
        <v>13310</v>
      </c>
      <c r="F240" s="303">
        <v>42949</v>
      </c>
      <c r="G240" s="301">
        <v>13310</v>
      </c>
      <c r="H240" s="304">
        <f>Tabla13[[#This Row],[Importe]]-Tabla13[[#This Row],[Pagado]]</f>
        <v>0</v>
      </c>
      <c r="I240" s="275" t="s">
        <v>15214</v>
      </c>
    </row>
    <row r="241" spans="1:9" x14ac:dyDescent="0.25">
      <c r="A241" s="299">
        <v>42949</v>
      </c>
      <c r="B241" s="302" t="s">
        <v>24028</v>
      </c>
      <c r="C241">
        <v>122213</v>
      </c>
      <c r="D241" s="236" t="s">
        <v>15789</v>
      </c>
      <c r="E241" s="301">
        <v>27705.8</v>
      </c>
      <c r="F241" s="303">
        <v>42956</v>
      </c>
      <c r="G241" s="301">
        <v>27705.8</v>
      </c>
      <c r="H241" s="304">
        <f>Tabla13[[#This Row],[Importe]]-Tabla13[[#This Row],[Pagado]]</f>
        <v>0</v>
      </c>
      <c r="I241" s="275" t="s">
        <v>15214</v>
      </c>
    </row>
    <row r="242" spans="1:9" x14ac:dyDescent="0.25">
      <c r="A242" s="299">
        <v>42949</v>
      </c>
      <c r="B242" s="302" t="s">
        <v>24029</v>
      </c>
      <c r="C242">
        <v>122214</v>
      </c>
      <c r="D242" s="236" t="s">
        <v>15541</v>
      </c>
      <c r="E242" s="301">
        <v>1114.5</v>
      </c>
      <c r="F242" s="303">
        <v>42950</v>
      </c>
      <c r="G242" s="301">
        <v>1114.5</v>
      </c>
      <c r="H242" s="304">
        <f>Tabla13[[#This Row],[Importe]]-Tabla13[[#This Row],[Pagado]]</f>
        <v>0</v>
      </c>
      <c r="I242" s="275" t="s">
        <v>15214</v>
      </c>
    </row>
    <row r="243" spans="1:9" ht="15.75" x14ac:dyDescent="0.25">
      <c r="A243" s="299">
        <v>42949</v>
      </c>
      <c r="B243" s="302" t="s">
        <v>24030</v>
      </c>
      <c r="C243">
        <v>122215</v>
      </c>
      <c r="D243" s="248" t="s">
        <v>95</v>
      </c>
      <c r="E243" s="301">
        <v>0</v>
      </c>
      <c r="F243" s="243" t="s">
        <v>95</v>
      </c>
      <c r="G243" s="301">
        <v>0</v>
      </c>
      <c r="H243" s="304">
        <f>Tabla13[[#This Row],[Importe]]-Tabla13[[#This Row],[Pagado]]</f>
        <v>0</v>
      </c>
      <c r="I243" s="275" t="s">
        <v>95</v>
      </c>
    </row>
    <row r="244" spans="1:9" x14ac:dyDescent="0.25">
      <c r="A244" s="299">
        <v>42949</v>
      </c>
      <c r="B244" s="302" t="s">
        <v>24031</v>
      </c>
      <c r="C244">
        <v>122216</v>
      </c>
      <c r="D244" s="236" t="s">
        <v>15365</v>
      </c>
      <c r="E244" s="301">
        <v>238065</v>
      </c>
      <c r="F244" s="303">
        <v>42952</v>
      </c>
      <c r="G244" s="301">
        <v>238065</v>
      </c>
      <c r="H244" s="304">
        <f>Tabla13[[#This Row],[Importe]]-Tabla13[[#This Row],[Pagado]]</f>
        <v>0</v>
      </c>
      <c r="I244" s="275" t="s">
        <v>15214</v>
      </c>
    </row>
    <row r="245" spans="1:9" x14ac:dyDescent="0.25">
      <c r="A245" s="299">
        <v>42949</v>
      </c>
      <c r="B245" s="302" t="s">
        <v>24032</v>
      </c>
      <c r="C245">
        <v>122217</v>
      </c>
      <c r="D245" s="236" t="s">
        <v>15246</v>
      </c>
      <c r="E245" s="301">
        <v>194963.82</v>
      </c>
      <c r="F245" s="303">
        <v>42954</v>
      </c>
      <c r="G245" s="301">
        <v>194963.82</v>
      </c>
      <c r="H245" s="304">
        <f>Tabla13[[#This Row],[Importe]]-Tabla13[[#This Row],[Pagado]]</f>
        <v>0</v>
      </c>
      <c r="I245" s="275" t="s">
        <v>15214</v>
      </c>
    </row>
    <row r="246" spans="1:9" x14ac:dyDescent="0.25">
      <c r="A246" s="299">
        <v>42949</v>
      </c>
      <c r="B246" s="302" t="s">
        <v>24033</v>
      </c>
      <c r="C246">
        <v>122218</v>
      </c>
      <c r="D246" s="236" t="s">
        <v>15315</v>
      </c>
      <c r="E246" s="301">
        <v>534.29999999999995</v>
      </c>
      <c r="F246" s="303">
        <v>42949</v>
      </c>
      <c r="G246" s="301">
        <v>534.29999999999995</v>
      </c>
      <c r="H246" s="304">
        <f>Tabla13[[#This Row],[Importe]]-Tabla13[[#This Row],[Pagado]]</f>
        <v>0</v>
      </c>
      <c r="I246" s="275" t="s">
        <v>15214</v>
      </c>
    </row>
    <row r="247" spans="1:9" x14ac:dyDescent="0.25">
      <c r="A247" s="299">
        <v>42949</v>
      </c>
      <c r="B247" s="302" t="s">
        <v>24034</v>
      </c>
      <c r="C247">
        <v>122219</v>
      </c>
      <c r="D247" s="236" t="s">
        <v>15435</v>
      </c>
      <c r="E247" s="301">
        <v>8046</v>
      </c>
      <c r="F247" s="303">
        <v>42949</v>
      </c>
      <c r="G247" s="301">
        <v>8046</v>
      </c>
      <c r="H247" s="304">
        <f>Tabla13[[#This Row],[Importe]]-Tabla13[[#This Row],[Pagado]]</f>
        <v>0</v>
      </c>
      <c r="I247" s="275" t="s">
        <v>15214</v>
      </c>
    </row>
    <row r="248" spans="1:9" ht="30" x14ac:dyDescent="0.25">
      <c r="A248" s="299">
        <v>42950</v>
      </c>
      <c r="B248" s="302" t="s">
        <v>24035</v>
      </c>
      <c r="C248">
        <v>122220</v>
      </c>
      <c r="D248" s="236" t="s">
        <v>21386</v>
      </c>
      <c r="E248" s="301">
        <v>10344.6</v>
      </c>
      <c r="F248" s="303" t="s">
        <v>24036</v>
      </c>
      <c r="G248" s="305">
        <f>7000+3344.6</f>
        <v>10344.6</v>
      </c>
      <c r="H248" s="304">
        <f>Tabla13[[#This Row],[Importe]]-Tabla13[[#This Row],[Pagado]]</f>
        <v>0</v>
      </c>
      <c r="I248" s="275" t="s">
        <v>15214</v>
      </c>
    </row>
    <row r="249" spans="1:9" x14ac:dyDescent="0.25">
      <c r="A249" s="299">
        <v>42950</v>
      </c>
      <c r="B249" s="302" t="s">
        <v>24037</v>
      </c>
      <c r="C249">
        <v>122221</v>
      </c>
      <c r="D249" s="236" t="s">
        <v>15213</v>
      </c>
      <c r="E249" s="301">
        <v>42570.3</v>
      </c>
      <c r="F249" s="303">
        <v>42951</v>
      </c>
      <c r="G249" s="301">
        <v>42570.3</v>
      </c>
      <c r="H249" s="304">
        <f>Tabla13[[#This Row],[Importe]]-Tabla13[[#This Row],[Pagado]]</f>
        <v>0</v>
      </c>
      <c r="I249" s="275" t="s">
        <v>15214</v>
      </c>
    </row>
    <row r="250" spans="1:9" x14ac:dyDescent="0.25">
      <c r="A250" s="299">
        <v>42950</v>
      </c>
      <c r="B250" s="302" t="s">
        <v>24038</v>
      </c>
      <c r="C250">
        <v>122222</v>
      </c>
      <c r="D250" s="236" t="s">
        <v>15352</v>
      </c>
      <c r="E250" s="301">
        <v>395.2</v>
      </c>
      <c r="F250" s="303">
        <v>42950</v>
      </c>
      <c r="G250" s="301">
        <v>395.2</v>
      </c>
      <c r="H250" s="304">
        <f>Tabla13[[#This Row],[Importe]]-Tabla13[[#This Row],[Pagado]]</f>
        <v>0</v>
      </c>
      <c r="I250" s="275" t="s">
        <v>15214</v>
      </c>
    </row>
    <row r="251" spans="1:9" x14ac:dyDescent="0.25">
      <c r="A251" s="299">
        <v>42950</v>
      </c>
      <c r="B251" s="302" t="s">
        <v>24039</v>
      </c>
      <c r="C251">
        <v>122223</v>
      </c>
      <c r="D251" s="236" t="s">
        <v>15230</v>
      </c>
      <c r="E251" s="301">
        <v>12843.6</v>
      </c>
      <c r="F251" s="303">
        <v>42954</v>
      </c>
      <c r="G251" s="301">
        <v>12843.6</v>
      </c>
      <c r="H251" s="304">
        <f>Tabla13[[#This Row],[Importe]]-Tabla13[[#This Row],[Pagado]]</f>
        <v>0</v>
      </c>
      <c r="I251" s="275" t="s">
        <v>15214</v>
      </c>
    </row>
    <row r="252" spans="1:9" x14ac:dyDescent="0.25">
      <c r="A252" s="299">
        <v>42950</v>
      </c>
      <c r="B252" s="302" t="s">
        <v>24040</v>
      </c>
      <c r="C252">
        <v>122224</v>
      </c>
      <c r="D252" s="236" t="s">
        <v>15232</v>
      </c>
      <c r="E252" s="301">
        <v>6182.4</v>
      </c>
      <c r="F252" s="303">
        <v>42957</v>
      </c>
      <c r="G252" s="301">
        <v>6182.4</v>
      </c>
      <c r="H252" s="304">
        <f>Tabla13[[#This Row],[Importe]]-Tabla13[[#This Row],[Pagado]]</f>
        <v>0</v>
      </c>
      <c r="I252" s="275" t="s">
        <v>15214</v>
      </c>
    </row>
    <row r="253" spans="1:9" x14ac:dyDescent="0.25">
      <c r="A253" s="299">
        <v>42950</v>
      </c>
      <c r="B253" s="302" t="s">
        <v>24041</v>
      </c>
      <c r="C253">
        <v>122225</v>
      </c>
      <c r="D253" s="236" t="s">
        <v>15250</v>
      </c>
      <c r="E253" s="301">
        <v>36612.92</v>
      </c>
      <c r="F253" s="303">
        <v>42961</v>
      </c>
      <c r="G253" s="301">
        <v>36612.92</v>
      </c>
      <c r="H253" s="304">
        <f>Tabla13[[#This Row],[Importe]]-Tabla13[[#This Row],[Pagado]]</f>
        <v>0</v>
      </c>
      <c r="I253" s="275" t="s">
        <v>15214</v>
      </c>
    </row>
    <row r="254" spans="1:9" x14ac:dyDescent="0.25">
      <c r="A254" s="299">
        <v>42950</v>
      </c>
      <c r="B254" s="302" t="s">
        <v>24042</v>
      </c>
      <c r="C254">
        <v>122226</v>
      </c>
      <c r="D254" s="236" t="s">
        <v>15590</v>
      </c>
      <c r="E254" s="301">
        <v>33560.11</v>
      </c>
      <c r="F254" s="303">
        <v>42968</v>
      </c>
      <c r="G254" s="301">
        <v>33560.11</v>
      </c>
      <c r="H254" s="304">
        <f>Tabla13[[#This Row],[Importe]]-Tabla13[[#This Row],[Pagado]]</f>
        <v>0</v>
      </c>
      <c r="I254" s="275" t="s">
        <v>15214</v>
      </c>
    </row>
    <row r="255" spans="1:9" x14ac:dyDescent="0.25">
      <c r="A255" s="299">
        <v>42950</v>
      </c>
      <c r="B255" s="302" t="s">
        <v>24043</v>
      </c>
      <c r="C255">
        <v>122227</v>
      </c>
      <c r="D255" s="236" t="s">
        <v>15246</v>
      </c>
      <c r="E255" s="301">
        <v>109421.21</v>
      </c>
      <c r="F255" s="303">
        <v>42954</v>
      </c>
      <c r="G255" s="301">
        <v>109421.21</v>
      </c>
      <c r="H255" s="304">
        <f>Tabla13[[#This Row],[Importe]]-Tabla13[[#This Row],[Pagado]]</f>
        <v>0</v>
      </c>
      <c r="I255" s="275" t="s">
        <v>15214</v>
      </c>
    </row>
    <row r="256" spans="1:9" ht="30" x14ac:dyDescent="0.25">
      <c r="A256" s="299">
        <v>42950</v>
      </c>
      <c r="B256" s="302" t="s">
        <v>24044</v>
      </c>
      <c r="C256">
        <v>122228</v>
      </c>
      <c r="D256" s="236" t="s">
        <v>15258</v>
      </c>
      <c r="E256" s="301">
        <v>14558.2</v>
      </c>
      <c r="F256" s="303" t="s">
        <v>24045</v>
      </c>
      <c r="G256" s="305">
        <f>4000+10558.2</f>
        <v>14558.2</v>
      </c>
      <c r="H256" s="304">
        <f>Tabla13[[#This Row],[Importe]]-Tabla13[[#This Row],[Pagado]]</f>
        <v>0</v>
      </c>
      <c r="I256" s="275" t="s">
        <v>15214</v>
      </c>
    </row>
    <row r="257" spans="1:9" x14ac:dyDescent="0.25">
      <c r="A257" s="299">
        <v>42950</v>
      </c>
      <c r="B257" s="302" t="s">
        <v>24046</v>
      </c>
      <c r="C257">
        <v>122229</v>
      </c>
      <c r="D257" s="236" t="s">
        <v>15223</v>
      </c>
      <c r="E257" s="301">
        <v>57434</v>
      </c>
      <c r="F257" s="303">
        <v>42976</v>
      </c>
      <c r="G257" s="301">
        <v>57434</v>
      </c>
      <c r="H257" s="304">
        <f>Tabla13[[#This Row],[Importe]]-Tabla13[[#This Row],[Pagado]]</f>
        <v>0</v>
      </c>
      <c r="I257" s="275" t="s">
        <v>15214</v>
      </c>
    </row>
    <row r="258" spans="1:9" x14ac:dyDescent="0.25">
      <c r="A258" s="299">
        <v>42950</v>
      </c>
      <c r="B258" s="302" t="s">
        <v>24047</v>
      </c>
      <c r="C258">
        <v>122230</v>
      </c>
      <c r="D258" s="236" t="s">
        <v>15480</v>
      </c>
      <c r="E258" s="301">
        <v>3876.1</v>
      </c>
      <c r="F258" s="303">
        <v>42954</v>
      </c>
      <c r="G258" s="301">
        <v>3876.1</v>
      </c>
      <c r="H258" s="304">
        <f>Tabla13[[#This Row],[Importe]]-Tabla13[[#This Row],[Pagado]]</f>
        <v>0</v>
      </c>
      <c r="I258" s="275" t="s">
        <v>15214</v>
      </c>
    </row>
    <row r="259" spans="1:9" x14ac:dyDescent="0.25">
      <c r="A259" s="299">
        <v>42950</v>
      </c>
      <c r="B259" s="302" t="s">
        <v>24048</v>
      </c>
      <c r="C259">
        <v>122231</v>
      </c>
      <c r="D259" s="236" t="s">
        <v>15220</v>
      </c>
      <c r="E259" s="301">
        <v>2500</v>
      </c>
      <c r="F259" s="303">
        <v>42950</v>
      </c>
      <c r="G259" s="301">
        <v>2500</v>
      </c>
      <c r="H259" s="304">
        <f>Tabla13[[#This Row],[Importe]]-Tabla13[[#This Row],[Pagado]]</f>
        <v>0</v>
      </c>
      <c r="I259" s="275" t="s">
        <v>15214</v>
      </c>
    </row>
    <row r="260" spans="1:9" x14ac:dyDescent="0.25">
      <c r="A260" s="299">
        <v>42950</v>
      </c>
      <c r="B260" s="302" t="s">
        <v>24049</v>
      </c>
      <c r="C260">
        <v>122232</v>
      </c>
      <c r="D260" s="236" t="s">
        <v>15272</v>
      </c>
      <c r="E260" s="301">
        <v>23024.6</v>
      </c>
      <c r="F260" s="303">
        <v>42950</v>
      </c>
      <c r="G260" s="301">
        <v>23024.6</v>
      </c>
      <c r="H260" s="304">
        <f>Tabla13[[#This Row],[Importe]]-Tabla13[[#This Row],[Pagado]]</f>
        <v>0</v>
      </c>
      <c r="I260" s="275" t="s">
        <v>15214</v>
      </c>
    </row>
    <row r="261" spans="1:9" x14ac:dyDescent="0.25">
      <c r="A261" s="299">
        <v>42950</v>
      </c>
      <c r="B261" s="302" t="s">
        <v>24050</v>
      </c>
      <c r="C261">
        <v>122233</v>
      </c>
      <c r="D261" s="236" t="s">
        <v>16116</v>
      </c>
      <c r="E261" s="301">
        <v>2932.5</v>
      </c>
      <c r="F261" s="303">
        <v>42952</v>
      </c>
      <c r="G261" s="301">
        <v>2932.5</v>
      </c>
      <c r="H261" s="304">
        <f>Tabla13[[#This Row],[Importe]]-Tabla13[[#This Row],[Pagado]]</f>
        <v>0</v>
      </c>
      <c r="I261" s="275" t="s">
        <v>15214</v>
      </c>
    </row>
    <row r="262" spans="1:9" x14ac:dyDescent="0.25">
      <c r="A262" s="299">
        <v>42950</v>
      </c>
      <c r="B262" s="302" t="s">
        <v>24051</v>
      </c>
      <c r="C262">
        <v>122234</v>
      </c>
      <c r="D262" s="236" t="s">
        <v>15248</v>
      </c>
      <c r="E262" s="301">
        <v>8449.75</v>
      </c>
      <c r="F262" s="303">
        <v>42950</v>
      </c>
      <c r="G262" s="301">
        <v>8449.75</v>
      </c>
      <c r="H262" s="304">
        <f>Tabla13[[#This Row],[Importe]]-Tabla13[[#This Row],[Pagado]]</f>
        <v>0</v>
      </c>
      <c r="I262" s="275" t="s">
        <v>15214</v>
      </c>
    </row>
    <row r="263" spans="1:9" ht="30" x14ac:dyDescent="0.25">
      <c r="A263" s="299">
        <v>42950</v>
      </c>
      <c r="B263" s="302" t="s">
        <v>24052</v>
      </c>
      <c r="C263">
        <v>122235</v>
      </c>
      <c r="D263" s="236" t="s">
        <v>15234</v>
      </c>
      <c r="E263" s="301">
        <v>3394.7</v>
      </c>
      <c r="F263" s="303" t="s">
        <v>24053</v>
      </c>
      <c r="G263" s="305">
        <f>2000+1394.7</f>
        <v>3394.7</v>
      </c>
      <c r="H263" s="304">
        <f>Tabla13[[#This Row],[Importe]]-Tabla13[[#This Row],[Pagado]]</f>
        <v>0</v>
      </c>
      <c r="I263" s="275" t="s">
        <v>15214</v>
      </c>
    </row>
    <row r="264" spans="1:9" ht="30" x14ac:dyDescent="0.25">
      <c r="A264" s="299">
        <v>42950</v>
      </c>
      <c r="B264" s="302" t="s">
        <v>24054</v>
      </c>
      <c r="C264">
        <v>122236</v>
      </c>
      <c r="D264" s="236" t="s">
        <v>15668</v>
      </c>
      <c r="E264" s="301">
        <v>18113.099999999999</v>
      </c>
      <c r="F264" s="303" t="s">
        <v>23764</v>
      </c>
      <c r="G264" s="301">
        <v>18113.099999999999</v>
      </c>
      <c r="H264" s="304">
        <f>Tabla13[[#This Row],[Importe]]-Tabla13[[#This Row],[Pagado]]</f>
        <v>0</v>
      </c>
      <c r="I264" s="275" t="s">
        <v>15214</v>
      </c>
    </row>
    <row r="265" spans="1:9" ht="30" x14ac:dyDescent="0.25">
      <c r="A265" s="299">
        <v>42950</v>
      </c>
      <c r="B265" s="302" t="s">
        <v>24055</v>
      </c>
      <c r="C265">
        <v>122237</v>
      </c>
      <c r="D265" s="236" t="s">
        <v>15236</v>
      </c>
      <c r="E265" s="301">
        <v>6930.5</v>
      </c>
      <c r="F265" s="303" t="s">
        <v>23764</v>
      </c>
      <c r="G265" s="301">
        <v>6930.5</v>
      </c>
      <c r="H265" s="304">
        <f>Tabla13[[#This Row],[Importe]]-Tabla13[[#This Row],[Pagado]]</f>
        <v>0</v>
      </c>
      <c r="I265" s="275" t="s">
        <v>15214</v>
      </c>
    </row>
    <row r="266" spans="1:9" x14ac:dyDescent="0.25">
      <c r="A266" s="299">
        <v>42950</v>
      </c>
      <c r="B266" s="302" t="s">
        <v>24056</v>
      </c>
      <c r="C266">
        <v>122238</v>
      </c>
      <c r="D266" s="236" t="s">
        <v>15539</v>
      </c>
      <c r="E266" s="301">
        <v>16467.2</v>
      </c>
      <c r="F266" s="303">
        <v>42956</v>
      </c>
      <c r="G266" s="301">
        <v>16467.2</v>
      </c>
      <c r="H266" s="304">
        <f>Tabla13[[#This Row],[Importe]]-Tabla13[[#This Row],[Pagado]]</f>
        <v>0</v>
      </c>
      <c r="I266" s="275" t="s">
        <v>15214</v>
      </c>
    </row>
    <row r="267" spans="1:9" x14ac:dyDescent="0.25">
      <c r="A267" s="299">
        <v>42950</v>
      </c>
      <c r="B267" s="302" t="s">
        <v>24057</v>
      </c>
      <c r="C267">
        <v>122239</v>
      </c>
      <c r="D267" s="236" t="s">
        <v>18544</v>
      </c>
      <c r="E267" s="301">
        <v>8600.2000000000007</v>
      </c>
      <c r="F267" s="303">
        <v>42950</v>
      </c>
      <c r="G267" s="301">
        <v>8600.2000000000007</v>
      </c>
      <c r="H267" s="304">
        <f>Tabla13[[#This Row],[Importe]]-Tabla13[[#This Row],[Pagado]]</f>
        <v>0</v>
      </c>
      <c r="I267" s="275" t="s">
        <v>15214</v>
      </c>
    </row>
    <row r="268" spans="1:9" ht="30" x14ac:dyDescent="0.25">
      <c r="A268" s="299">
        <v>42950</v>
      </c>
      <c r="B268" s="302" t="s">
        <v>24058</v>
      </c>
      <c r="C268">
        <v>122240</v>
      </c>
      <c r="D268" s="236" t="s">
        <v>15555</v>
      </c>
      <c r="E268" s="301">
        <v>35792.949999999997</v>
      </c>
      <c r="F268" s="308" t="s">
        <v>23768</v>
      </c>
      <c r="G268" s="305">
        <f>22200+13592.95</f>
        <v>35792.949999999997</v>
      </c>
      <c r="H268" s="304">
        <f>Tabla13[[#This Row],[Importe]]-Tabla13[[#This Row],[Pagado]]</f>
        <v>0</v>
      </c>
      <c r="I268" s="275" t="s">
        <v>15214</v>
      </c>
    </row>
    <row r="269" spans="1:9" x14ac:dyDescent="0.25">
      <c r="A269" s="299">
        <v>42950</v>
      </c>
      <c r="B269" s="302" t="s">
        <v>24059</v>
      </c>
      <c r="C269">
        <v>122241</v>
      </c>
      <c r="D269" s="236" t="s">
        <v>23937</v>
      </c>
      <c r="E269" s="301">
        <v>3440</v>
      </c>
      <c r="F269" s="303">
        <v>42950</v>
      </c>
      <c r="G269" s="301">
        <v>3440</v>
      </c>
      <c r="H269" s="304">
        <f>Tabla13[[#This Row],[Importe]]-Tabla13[[#This Row],[Pagado]]</f>
        <v>0</v>
      </c>
      <c r="I269" s="275" t="s">
        <v>15214</v>
      </c>
    </row>
    <row r="270" spans="1:9" x14ac:dyDescent="0.25">
      <c r="A270" s="299">
        <v>42950</v>
      </c>
      <c r="B270" s="302" t="s">
        <v>24060</v>
      </c>
      <c r="C270">
        <v>122242</v>
      </c>
      <c r="D270" s="236" t="s">
        <v>15330</v>
      </c>
      <c r="E270" s="301">
        <v>8164.6</v>
      </c>
      <c r="F270" s="303">
        <v>42950</v>
      </c>
      <c r="G270" s="301">
        <v>8164.6</v>
      </c>
      <c r="H270" s="304">
        <f>Tabla13[[#This Row],[Importe]]-Tabla13[[#This Row],[Pagado]]</f>
        <v>0</v>
      </c>
      <c r="I270" s="275" t="s">
        <v>15214</v>
      </c>
    </row>
    <row r="271" spans="1:9" x14ac:dyDescent="0.25">
      <c r="A271" s="299">
        <v>42950</v>
      </c>
      <c r="B271" s="302" t="s">
        <v>24061</v>
      </c>
      <c r="C271">
        <v>122243</v>
      </c>
      <c r="D271" s="236" t="s">
        <v>15324</v>
      </c>
      <c r="E271" s="301">
        <v>1734</v>
      </c>
      <c r="F271" s="303">
        <v>42950</v>
      </c>
      <c r="G271" s="301">
        <v>1734</v>
      </c>
      <c r="H271" s="304">
        <f>Tabla13[[#This Row],[Importe]]-Tabla13[[#This Row],[Pagado]]</f>
        <v>0</v>
      </c>
      <c r="I271" s="275" t="s">
        <v>15214</v>
      </c>
    </row>
    <row r="272" spans="1:9" x14ac:dyDescent="0.25">
      <c r="A272" s="299">
        <v>42950</v>
      </c>
      <c r="B272" s="302" t="s">
        <v>24062</v>
      </c>
      <c r="C272">
        <v>122244</v>
      </c>
      <c r="D272" s="236" t="s">
        <v>17462</v>
      </c>
      <c r="E272" s="301">
        <v>3094</v>
      </c>
      <c r="F272" s="303">
        <v>42950</v>
      </c>
      <c r="G272" s="301">
        <v>3094</v>
      </c>
      <c r="H272" s="304">
        <f>Tabla13[[#This Row],[Importe]]-Tabla13[[#This Row],[Pagado]]</f>
        <v>0</v>
      </c>
      <c r="I272" s="275" t="s">
        <v>15214</v>
      </c>
    </row>
    <row r="273" spans="1:9" x14ac:dyDescent="0.25">
      <c r="A273" s="299">
        <v>42950</v>
      </c>
      <c r="B273" s="302" t="s">
        <v>24063</v>
      </c>
      <c r="C273">
        <v>122245</v>
      </c>
      <c r="D273" s="236" t="s">
        <v>15371</v>
      </c>
      <c r="E273" s="301">
        <v>5779.5</v>
      </c>
      <c r="F273" s="303">
        <v>42951</v>
      </c>
      <c r="G273" s="301">
        <v>5779.5</v>
      </c>
      <c r="H273" s="304">
        <f>Tabla13[[#This Row],[Importe]]-Tabla13[[#This Row],[Pagado]]</f>
        <v>0</v>
      </c>
      <c r="I273" s="275" t="s">
        <v>15214</v>
      </c>
    </row>
    <row r="274" spans="1:9" ht="30" x14ac:dyDescent="0.25">
      <c r="A274" s="299">
        <v>42950</v>
      </c>
      <c r="B274" s="302" t="s">
        <v>24064</v>
      </c>
      <c r="C274">
        <v>122246</v>
      </c>
      <c r="D274" s="236" t="s">
        <v>15238</v>
      </c>
      <c r="E274" s="301">
        <v>2599.1999999999998</v>
      </c>
      <c r="F274" s="308" t="s">
        <v>23764</v>
      </c>
      <c r="G274" s="301">
        <v>2599.1999999999998</v>
      </c>
      <c r="H274" s="304">
        <f>Tabla13[[#This Row],[Importe]]-Tabla13[[#This Row],[Pagado]]</f>
        <v>0</v>
      </c>
      <c r="I274" s="275" t="s">
        <v>15214</v>
      </c>
    </row>
    <row r="275" spans="1:9" x14ac:dyDescent="0.25">
      <c r="A275" s="299">
        <v>42950</v>
      </c>
      <c r="B275" s="302" t="s">
        <v>24065</v>
      </c>
      <c r="C275">
        <v>122247</v>
      </c>
      <c r="D275" s="236" t="s">
        <v>15242</v>
      </c>
      <c r="E275" s="301">
        <v>16271.4</v>
      </c>
      <c r="F275" s="303">
        <v>42950</v>
      </c>
      <c r="G275" s="301">
        <v>16271.4</v>
      </c>
      <c r="H275" s="304">
        <f>Tabla13[[#This Row],[Importe]]-Tabla13[[#This Row],[Pagado]]</f>
        <v>0</v>
      </c>
      <c r="I275" s="275" t="s">
        <v>15214</v>
      </c>
    </row>
    <row r="276" spans="1:9" ht="45" x14ac:dyDescent="0.25">
      <c r="A276" s="299">
        <v>42950</v>
      </c>
      <c r="B276" s="302" t="s">
        <v>24066</v>
      </c>
      <c r="C276">
        <v>122248</v>
      </c>
      <c r="D276" s="236" t="s">
        <v>15256</v>
      </c>
      <c r="E276" s="301">
        <v>5944.4</v>
      </c>
      <c r="F276" s="308" t="s">
        <v>24067</v>
      </c>
      <c r="G276" s="305">
        <f>3300+2644.4</f>
        <v>5944.4</v>
      </c>
      <c r="H276" s="304">
        <f>Tabla13[[#This Row],[Importe]]-Tabla13[[#This Row],[Pagado]]</f>
        <v>0</v>
      </c>
      <c r="I276" s="275" t="s">
        <v>15214</v>
      </c>
    </row>
    <row r="277" spans="1:9" x14ac:dyDescent="0.25">
      <c r="A277" s="299">
        <v>42950</v>
      </c>
      <c r="B277" s="302" t="s">
        <v>24068</v>
      </c>
      <c r="C277">
        <v>122249</v>
      </c>
      <c r="D277" s="236" t="s">
        <v>15348</v>
      </c>
      <c r="E277" s="301">
        <v>3200</v>
      </c>
      <c r="F277" s="303">
        <v>42952</v>
      </c>
      <c r="G277" s="301">
        <v>3200</v>
      </c>
      <c r="H277" s="304">
        <f>Tabla13[[#This Row],[Importe]]-Tabla13[[#This Row],[Pagado]]</f>
        <v>0</v>
      </c>
      <c r="I277" s="275" t="s">
        <v>15214</v>
      </c>
    </row>
    <row r="278" spans="1:9" x14ac:dyDescent="0.25">
      <c r="A278" s="299">
        <v>42950</v>
      </c>
      <c r="B278" s="302" t="s">
        <v>24069</v>
      </c>
      <c r="C278">
        <v>122250</v>
      </c>
      <c r="D278" s="236" t="s">
        <v>15252</v>
      </c>
      <c r="E278" s="301">
        <v>4608.1499999999996</v>
      </c>
      <c r="F278" s="303">
        <v>42954</v>
      </c>
      <c r="G278" s="301">
        <v>4608.1499999999996</v>
      </c>
      <c r="H278" s="304">
        <f>Tabla13[[#This Row],[Importe]]-Tabla13[[#This Row],[Pagado]]</f>
        <v>0</v>
      </c>
      <c r="I278" s="275" t="s">
        <v>15214</v>
      </c>
    </row>
    <row r="279" spans="1:9" x14ac:dyDescent="0.25">
      <c r="A279" s="299">
        <v>42950</v>
      </c>
      <c r="B279" s="302" t="s">
        <v>24070</v>
      </c>
      <c r="C279">
        <v>122251</v>
      </c>
      <c r="D279" s="236" t="s">
        <v>15244</v>
      </c>
      <c r="E279" s="301">
        <v>5152</v>
      </c>
      <c r="F279" s="303">
        <v>42952</v>
      </c>
      <c r="G279" s="301">
        <v>5152</v>
      </c>
      <c r="H279" s="304">
        <f>Tabla13[[#This Row],[Importe]]-Tabla13[[#This Row],[Pagado]]</f>
        <v>0</v>
      </c>
      <c r="I279" s="275" t="s">
        <v>15214</v>
      </c>
    </row>
    <row r="280" spans="1:9" x14ac:dyDescent="0.25">
      <c r="A280" s="299">
        <v>42950</v>
      </c>
      <c r="B280" s="302" t="s">
        <v>24071</v>
      </c>
      <c r="C280">
        <v>122252</v>
      </c>
      <c r="D280" s="236" t="s">
        <v>15699</v>
      </c>
      <c r="E280" s="301">
        <v>778.6</v>
      </c>
      <c r="F280" s="303">
        <v>42966</v>
      </c>
      <c r="G280" s="301">
        <v>778.6</v>
      </c>
      <c r="H280" s="304">
        <f>Tabla13[[#This Row],[Importe]]-Tabla13[[#This Row],[Pagado]]</f>
        <v>0</v>
      </c>
      <c r="I280" s="275" t="s">
        <v>15214</v>
      </c>
    </row>
    <row r="281" spans="1:9" x14ac:dyDescent="0.25">
      <c r="A281" s="299">
        <v>42950</v>
      </c>
      <c r="B281" s="302" t="s">
        <v>24072</v>
      </c>
      <c r="C281">
        <v>122253</v>
      </c>
      <c r="D281" s="236" t="s">
        <v>15537</v>
      </c>
      <c r="E281" s="301">
        <v>24146.7</v>
      </c>
      <c r="F281" s="303">
        <v>42956</v>
      </c>
      <c r="G281" s="301">
        <v>24146.7</v>
      </c>
      <c r="H281" s="304">
        <f>Tabla13[[#This Row],[Importe]]-Tabla13[[#This Row],[Pagado]]</f>
        <v>0</v>
      </c>
      <c r="I281" s="275" t="s">
        <v>15214</v>
      </c>
    </row>
    <row r="282" spans="1:9" x14ac:dyDescent="0.25">
      <c r="A282" s="299">
        <v>42950</v>
      </c>
      <c r="B282" s="302" t="s">
        <v>24073</v>
      </c>
      <c r="C282">
        <v>122254</v>
      </c>
      <c r="D282" s="236" t="s">
        <v>15523</v>
      </c>
      <c r="E282" s="301">
        <v>2265</v>
      </c>
      <c r="F282" s="303">
        <v>42950</v>
      </c>
      <c r="G282" s="301">
        <v>2265</v>
      </c>
      <c r="H282" s="304">
        <f>Tabla13[[#This Row],[Importe]]-Tabla13[[#This Row],[Pagado]]</f>
        <v>0</v>
      </c>
      <c r="I282" s="275" t="s">
        <v>15214</v>
      </c>
    </row>
    <row r="283" spans="1:9" x14ac:dyDescent="0.25">
      <c r="A283" s="299">
        <v>42950</v>
      </c>
      <c r="B283" s="302" t="s">
        <v>24074</v>
      </c>
      <c r="C283">
        <v>122255</v>
      </c>
      <c r="D283" s="236" t="s">
        <v>15334</v>
      </c>
      <c r="E283" s="301">
        <v>1634.6</v>
      </c>
      <c r="F283" s="303">
        <v>42950</v>
      </c>
      <c r="G283" s="301">
        <v>1634.6</v>
      </c>
      <c r="H283" s="304">
        <f>Tabla13[[#This Row],[Importe]]-Tabla13[[#This Row],[Pagado]]</f>
        <v>0</v>
      </c>
      <c r="I283" s="275" t="s">
        <v>15214</v>
      </c>
    </row>
    <row r="284" spans="1:9" x14ac:dyDescent="0.25">
      <c r="A284" s="299">
        <v>42950</v>
      </c>
      <c r="B284" s="302" t="s">
        <v>24075</v>
      </c>
      <c r="C284">
        <v>122256</v>
      </c>
      <c r="D284" s="236" t="s">
        <v>15553</v>
      </c>
      <c r="E284" s="301">
        <v>5862</v>
      </c>
      <c r="F284" s="303">
        <v>42950</v>
      </c>
      <c r="G284" s="301">
        <v>5862</v>
      </c>
      <c r="H284" s="304">
        <f>Tabla13[[#This Row],[Importe]]-Tabla13[[#This Row],[Pagado]]</f>
        <v>0</v>
      </c>
      <c r="I284" s="275" t="s">
        <v>15214</v>
      </c>
    </row>
    <row r="285" spans="1:9" x14ac:dyDescent="0.25">
      <c r="A285" s="299">
        <v>42950</v>
      </c>
      <c r="B285" s="302" t="s">
        <v>24076</v>
      </c>
      <c r="C285">
        <v>122257</v>
      </c>
      <c r="D285" s="236" t="s">
        <v>15344</v>
      </c>
      <c r="E285" s="301">
        <v>3655.6</v>
      </c>
      <c r="F285" s="303">
        <v>42950</v>
      </c>
      <c r="G285" s="301">
        <v>3655.6</v>
      </c>
      <c r="H285" s="304">
        <f>Tabla13[[#This Row],[Importe]]-Tabla13[[#This Row],[Pagado]]</f>
        <v>0</v>
      </c>
      <c r="I285" s="275" t="s">
        <v>15214</v>
      </c>
    </row>
    <row r="286" spans="1:9" x14ac:dyDescent="0.25">
      <c r="A286" s="299">
        <v>42950</v>
      </c>
      <c r="B286" s="302" t="s">
        <v>24077</v>
      </c>
      <c r="C286">
        <v>122258</v>
      </c>
      <c r="D286" s="236" t="s">
        <v>15732</v>
      </c>
      <c r="E286" s="301">
        <v>2975.7</v>
      </c>
      <c r="F286" s="303">
        <v>42950</v>
      </c>
      <c r="G286" s="301">
        <v>2975.7</v>
      </c>
      <c r="H286" s="304">
        <f>Tabla13[[#This Row],[Importe]]-Tabla13[[#This Row],[Pagado]]</f>
        <v>0</v>
      </c>
      <c r="I286" s="275" t="s">
        <v>15214</v>
      </c>
    </row>
    <row r="287" spans="1:9" x14ac:dyDescent="0.25">
      <c r="A287" s="299">
        <v>42950</v>
      </c>
      <c r="B287" s="302" t="s">
        <v>24078</v>
      </c>
      <c r="C287">
        <v>122259</v>
      </c>
      <c r="D287" s="236" t="s">
        <v>15714</v>
      </c>
      <c r="E287" s="301">
        <v>390</v>
      </c>
      <c r="F287" s="303">
        <v>42950</v>
      </c>
      <c r="G287" s="301">
        <v>390</v>
      </c>
      <c r="H287" s="304">
        <f>Tabla13[[#This Row],[Importe]]-Tabla13[[#This Row],[Pagado]]</f>
        <v>0</v>
      </c>
      <c r="I287" s="275" t="s">
        <v>15214</v>
      </c>
    </row>
    <row r="288" spans="1:9" x14ac:dyDescent="0.25">
      <c r="A288" s="299">
        <v>42950</v>
      </c>
      <c r="B288" s="302" t="s">
        <v>24079</v>
      </c>
      <c r="C288">
        <v>122260</v>
      </c>
      <c r="D288" s="236" t="s">
        <v>15358</v>
      </c>
      <c r="E288" s="301">
        <v>2371.6</v>
      </c>
      <c r="F288" s="303">
        <v>42950</v>
      </c>
      <c r="G288" s="301">
        <v>2371.6</v>
      </c>
      <c r="H288" s="304">
        <f>Tabla13[[#This Row],[Importe]]-Tabla13[[#This Row],[Pagado]]</f>
        <v>0</v>
      </c>
      <c r="I288" s="275" t="s">
        <v>15214</v>
      </c>
    </row>
    <row r="289" spans="1:9" x14ac:dyDescent="0.25">
      <c r="A289" s="299">
        <v>42950</v>
      </c>
      <c r="B289" s="302" t="s">
        <v>24080</v>
      </c>
      <c r="C289">
        <v>122261</v>
      </c>
      <c r="D289" s="236" t="s">
        <v>15240</v>
      </c>
      <c r="E289" s="301">
        <v>2850</v>
      </c>
      <c r="F289" s="303">
        <v>42952</v>
      </c>
      <c r="G289" s="301">
        <v>2850</v>
      </c>
      <c r="H289" s="304">
        <f>Tabla13[[#This Row],[Importe]]-Tabla13[[#This Row],[Pagado]]</f>
        <v>0</v>
      </c>
      <c r="I289" s="275" t="s">
        <v>15214</v>
      </c>
    </row>
    <row r="290" spans="1:9" x14ac:dyDescent="0.25">
      <c r="A290" s="299">
        <v>42950</v>
      </c>
      <c r="B290" s="302" t="s">
        <v>24081</v>
      </c>
      <c r="C290">
        <v>122262</v>
      </c>
      <c r="D290" s="236" t="s">
        <v>15226</v>
      </c>
      <c r="E290" s="301">
        <v>3372.9</v>
      </c>
      <c r="F290" s="303">
        <v>42954</v>
      </c>
      <c r="G290" s="301">
        <v>3372.9</v>
      </c>
      <c r="H290" s="304">
        <f>Tabla13[[#This Row],[Importe]]-Tabla13[[#This Row],[Pagado]]</f>
        <v>0</v>
      </c>
      <c r="I290" s="275" t="s">
        <v>15214</v>
      </c>
    </row>
    <row r="291" spans="1:9" x14ac:dyDescent="0.25">
      <c r="A291" s="299">
        <v>42950</v>
      </c>
      <c r="B291" s="302" t="s">
        <v>24082</v>
      </c>
      <c r="C291">
        <v>122263</v>
      </c>
      <c r="D291" s="236" t="s">
        <v>15858</v>
      </c>
      <c r="E291" s="301">
        <v>5856.6</v>
      </c>
      <c r="F291" s="303">
        <v>42950</v>
      </c>
      <c r="G291" s="301">
        <v>5856.6</v>
      </c>
      <c r="H291" s="304">
        <f>Tabla13[[#This Row],[Importe]]-Tabla13[[#This Row],[Pagado]]</f>
        <v>0</v>
      </c>
      <c r="I291" s="275" t="s">
        <v>15214</v>
      </c>
    </row>
    <row r="292" spans="1:9" x14ac:dyDescent="0.25">
      <c r="A292" s="299">
        <v>42950</v>
      </c>
      <c r="B292" s="302" t="s">
        <v>24083</v>
      </c>
      <c r="C292">
        <v>122264</v>
      </c>
      <c r="D292" s="236" t="s">
        <v>15861</v>
      </c>
      <c r="E292" s="301">
        <v>1601.1</v>
      </c>
      <c r="F292" s="303">
        <v>42950</v>
      </c>
      <c r="G292" s="301">
        <v>1601.1</v>
      </c>
      <c r="H292" s="304">
        <f>Tabla13[[#This Row],[Importe]]-Tabla13[[#This Row],[Pagado]]</f>
        <v>0</v>
      </c>
      <c r="I292" s="275" t="s">
        <v>15214</v>
      </c>
    </row>
    <row r="293" spans="1:9" x14ac:dyDescent="0.25">
      <c r="A293" s="299">
        <v>42950</v>
      </c>
      <c r="B293" s="302" t="s">
        <v>24084</v>
      </c>
      <c r="C293">
        <v>122265</v>
      </c>
      <c r="D293" s="236" t="s">
        <v>15332</v>
      </c>
      <c r="E293" s="301">
        <v>3052.8</v>
      </c>
      <c r="F293" s="303">
        <v>42950</v>
      </c>
      <c r="G293" s="301">
        <v>3052.8</v>
      </c>
      <c r="H293" s="304">
        <f>Tabla13[[#This Row],[Importe]]-Tabla13[[#This Row],[Pagado]]</f>
        <v>0</v>
      </c>
      <c r="I293" s="275" t="s">
        <v>15214</v>
      </c>
    </row>
    <row r="294" spans="1:9" x14ac:dyDescent="0.25">
      <c r="A294" s="299">
        <v>42950</v>
      </c>
      <c r="B294" s="302" t="s">
        <v>24085</v>
      </c>
      <c r="C294">
        <v>122266</v>
      </c>
      <c r="D294" s="236" t="s">
        <v>15263</v>
      </c>
      <c r="E294" s="301">
        <v>3424.8</v>
      </c>
      <c r="F294" s="303">
        <v>42950</v>
      </c>
      <c r="G294" s="301">
        <v>3424.8</v>
      </c>
      <c r="H294" s="304">
        <f>Tabla13[[#This Row],[Importe]]-Tabla13[[#This Row],[Pagado]]</f>
        <v>0</v>
      </c>
      <c r="I294" s="275" t="s">
        <v>15214</v>
      </c>
    </row>
    <row r="295" spans="1:9" x14ac:dyDescent="0.25">
      <c r="A295" s="299">
        <v>42950</v>
      </c>
      <c r="B295" s="302" t="s">
        <v>24086</v>
      </c>
      <c r="C295">
        <v>122267</v>
      </c>
      <c r="D295" s="236" t="s">
        <v>15336</v>
      </c>
      <c r="E295" s="301">
        <v>1489.2</v>
      </c>
      <c r="F295" s="303">
        <v>42950</v>
      </c>
      <c r="G295" s="301">
        <v>1489.2</v>
      </c>
      <c r="H295" s="304">
        <f>Tabla13[[#This Row],[Importe]]-Tabla13[[#This Row],[Pagado]]</f>
        <v>0</v>
      </c>
      <c r="I295" s="275" t="s">
        <v>15214</v>
      </c>
    </row>
    <row r="296" spans="1:9" x14ac:dyDescent="0.25">
      <c r="A296" s="299">
        <v>42950</v>
      </c>
      <c r="B296" s="302" t="s">
        <v>24087</v>
      </c>
      <c r="C296">
        <v>122268</v>
      </c>
      <c r="D296" s="236" t="s">
        <v>15254</v>
      </c>
      <c r="E296" s="301">
        <v>8726.7999999999993</v>
      </c>
      <c r="F296" s="303">
        <v>42952</v>
      </c>
      <c r="G296" s="301">
        <v>8726.7999999999993</v>
      </c>
      <c r="H296" s="304">
        <f>Tabla13[[#This Row],[Importe]]-Tabla13[[#This Row],[Pagado]]</f>
        <v>0</v>
      </c>
      <c r="I296" s="275" t="s">
        <v>15214</v>
      </c>
    </row>
    <row r="297" spans="1:9" ht="15.75" x14ac:dyDescent="0.25">
      <c r="A297" s="299">
        <v>42950</v>
      </c>
      <c r="B297" s="302" t="s">
        <v>24088</v>
      </c>
      <c r="C297">
        <v>122269</v>
      </c>
      <c r="D297" s="248" t="s">
        <v>95</v>
      </c>
      <c r="E297" s="301">
        <v>0</v>
      </c>
      <c r="F297" s="243" t="s">
        <v>95</v>
      </c>
      <c r="G297" s="301">
        <v>0</v>
      </c>
      <c r="H297" s="304">
        <f>Tabla13[[#This Row],[Importe]]-Tabla13[[#This Row],[Pagado]]</f>
        <v>0</v>
      </c>
      <c r="I297" s="275" t="s">
        <v>95</v>
      </c>
    </row>
    <row r="298" spans="1:9" x14ac:dyDescent="0.25">
      <c r="A298" s="299">
        <v>42950</v>
      </c>
      <c r="B298" s="302" t="s">
        <v>24089</v>
      </c>
      <c r="C298">
        <v>122270</v>
      </c>
      <c r="D298" s="236" t="s">
        <v>15303</v>
      </c>
      <c r="E298" s="301">
        <v>2814.45</v>
      </c>
      <c r="F298" s="303">
        <v>42951</v>
      </c>
      <c r="G298" s="301">
        <v>2814.45</v>
      </c>
      <c r="H298" s="304">
        <f>Tabla13[[#This Row],[Importe]]-Tabla13[[#This Row],[Pagado]]</f>
        <v>0</v>
      </c>
      <c r="I298" s="275" t="s">
        <v>15214</v>
      </c>
    </row>
    <row r="299" spans="1:9" x14ac:dyDescent="0.25">
      <c r="A299" s="299">
        <v>42950</v>
      </c>
      <c r="B299" s="302" t="s">
        <v>24090</v>
      </c>
      <c r="C299">
        <v>122271</v>
      </c>
      <c r="D299" s="236" t="s">
        <v>15987</v>
      </c>
      <c r="E299" s="301">
        <v>2705.6</v>
      </c>
      <c r="F299" s="303">
        <v>42950</v>
      </c>
      <c r="G299" s="301">
        <v>2705.6</v>
      </c>
      <c r="H299" s="304">
        <f>Tabla13[[#This Row],[Importe]]-Tabla13[[#This Row],[Pagado]]</f>
        <v>0</v>
      </c>
      <c r="I299" s="275" t="s">
        <v>15214</v>
      </c>
    </row>
    <row r="300" spans="1:9" x14ac:dyDescent="0.25">
      <c r="A300" s="299">
        <v>42950</v>
      </c>
      <c r="B300" s="302" t="s">
        <v>24091</v>
      </c>
      <c r="C300">
        <v>122272</v>
      </c>
      <c r="D300" s="236" t="s">
        <v>15442</v>
      </c>
      <c r="E300" s="301">
        <v>19345</v>
      </c>
      <c r="F300" s="303">
        <v>42952</v>
      </c>
      <c r="G300" s="301">
        <v>19345</v>
      </c>
      <c r="H300" s="304">
        <f>Tabla13[[#This Row],[Importe]]-Tabla13[[#This Row],[Pagado]]</f>
        <v>0</v>
      </c>
      <c r="I300" s="275" t="s">
        <v>15214</v>
      </c>
    </row>
    <row r="301" spans="1:9" x14ac:dyDescent="0.25">
      <c r="A301" s="299">
        <v>42950</v>
      </c>
      <c r="B301" s="302" t="s">
        <v>24092</v>
      </c>
      <c r="C301">
        <v>122273</v>
      </c>
      <c r="D301" s="236" t="s">
        <v>16383</v>
      </c>
      <c r="E301" s="301">
        <v>9999.99</v>
      </c>
      <c r="F301" s="303">
        <v>42950</v>
      </c>
      <c r="G301" s="301">
        <v>9999.99</v>
      </c>
      <c r="H301" s="304">
        <f>Tabla13[[#This Row],[Importe]]-Tabla13[[#This Row],[Pagado]]</f>
        <v>0</v>
      </c>
      <c r="I301" s="275" t="s">
        <v>15214</v>
      </c>
    </row>
    <row r="302" spans="1:9" x14ac:dyDescent="0.25">
      <c r="A302" s="299">
        <v>42950</v>
      </c>
      <c r="B302" s="302" t="s">
        <v>24093</v>
      </c>
      <c r="C302">
        <v>122274</v>
      </c>
      <c r="D302" s="236" t="s">
        <v>15396</v>
      </c>
      <c r="E302" s="301">
        <v>460.8</v>
      </c>
      <c r="F302" s="303">
        <v>42950</v>
      </c>
      <c r="G302" s="301">
        <v>460.8</v>
      </c>
      <c r="H302" s="304">
        <f>Tabla13[[#This Row],[Importe]]-Tabla13[[#This Row],[Pagado]]</f>
        <v>0</v>
      </c>
      <c r="I302" s="275" t="s">
        <v>15214</v>
      </c>
    </row>
    <row r="303" spans="1:9" x14ac:dyDescent="0.25">
      <c r="A303" s="299">
        <v>42950</v>
      </c>
      <c r="B303" s="302" t="s">
        <v>24094</v>
      </c>
      <c r="C303">
        <v>122275</v>
      </c>
      <c r="D303" s="236" t="s">
        <v>17722</v>
      </c>
      <c r="E303" s="301">
        <v>920.4</v>
      </c>
      <c r="F303" s="303">
        <v>42950</v>
      </c>
      <c r="G303" s="301">
        <v>920.4</v>
      </c>
      <c r="H303" s="304">
        <f>Tabla13[[#This Row],[Importe]]-Tabla13[[#This Row],[Pagado]]</f>
        <v>0</v>
      </c>
      <c r="I303" s="275" t="s">
        <v>15214</v>
      </c>
    </row>
    <row r="304" spans="1:9" x14ac:dyDescent="0.25">
      <c r="A304" s="299">
        <v>42950</v>
      </c>
      <c r="B304" s="302" t="s">
        <v>24095</v>
      </c>
      <c r="C304">
        <v>122276</v>
      </c>
      <c r="D304" s="236" t="s">
        <v>17722</v>
      </c>
      <c r="E304" s="301">
        <v>307.2</v>
      </c>
      <c r="F304" s="303">
        <v>42950</v>
      </c>
      <c r="G304" s="301">
        <v>307.2</v>
      </c>
      <c r="H304" s="304">
        <f>Tabla13[[#This Row],[Importe]]-Tabla13[[#This Row],[Pagado]]</f>
        <v>0</v>
      </c>
      <c r="I304" s="275" t="s">
        <v>15214</v>
      </c>
    </row>
    <row r="305" spans="1:9" x14ac:dyDescent="0.25">
      <c r="A305" s="299">
        <v>42950</v>
      </c>
      <c r="B305" s="302" t="s">
        <v>24096</v>
      </c>
      <c r="C305">
        <v>122277</v>
      </c>
      <c r="D305" s="236" t="s">
        <v>15291</v>
      </c>
      <c r="E305" s="301">
        <v>960.4</v>
      </c>
      <c r="F305" s="303">
        <v>42951</v>
      </c>
      <c r="G305" s="301">
        <v>960.4</v>
      </c>
      <c r="H305" s="304">
        <f>Tabla13[[#This Row],[Importe]]-Tabla13[[#This Row],[Pagado]]</f>
        <v>0</v>
      </c>
      <c r="I305" s="275" t="s">
        <v>15214</v>
      </c>
    </row>
    <row r="306" spans="1:9" x14ac:dyDescent="0.25">
      <c r="A306" s="299">
        <v>42950</v>
      </c>
      <c r="B306" s="302" t="s">
        <v>24097</v>
      </c>
      <c r="C306">
        <v>122278</v>
      </c>
      <c r="D306" s="236" t="s">
        <v>15328</v>
      </c>
      <c r="E306" s="301">
        <v>4893.26</v>
      </c>
      <c r="F306" s="303">
        <v>42959</v>
      </c>
      <c r="G306" s="301">
        <v>4893.26</v>
      </c>
      <c r="H306" s="304">
        <f>Tabla13[[#This Row],[Importe]]-Tabla13[[#This Row],[Pagado]]</f>
        <v>0</v>
      </c>
      <c r="I306" s="275" t="s">
        <v>15214</v>
      </c>
    </row>
    <row r="307" spans="1:9" x14ac:dyDescent="0.25">
      <c r="A307" s="299">
        <v>42950</v>
      </c>
      <c r="B307" s="302" t="s">
        <v>24098</v>
      </c>
      <c r="C307">
        <v>122279</v>
      </c>
      <c r="D307" s="236" t="s">
        <v>15301</v>
      </c>
      <c r="E307" s="301">
        <v>3994.2</v>
      </c>
      <c r="F307" s="303">
        <v>42951</v>
      </c>
      <c r="G307" s="301">
        <v>3994.2</v>
      </c>
      <c r="H307" s="304">
        <f>Tabla13[[#This Row],[Importe]]-Tabla13[[#This Row],[Pagado]]</f>
        <v>0</v>
      </c>
      <c r="I307" s="275" t="s">
        <v>15214</v>
      </c>
    </row>
    <row r="308" spans="1:9" x14ac:dyDescent="0.25">
      <c r="A308" s="299">
        <v>42950</v>
      </c>
      <c r="B308" s="302" t="s">
        <v>24099</v>
      </c>
      <c r="C308">
        <v>122280</v>
      </c>
      <c r="D308" s="236" t="s">
        <v>23218</v>
      </c>
      <c r="E308" s="301">
        <v>5074.2</v>
      </c>
      <c r="F308" s="303">
        <v>42950</v>
      </c>
      <c r="G308" s="301">
        <v>5074.2</v>
      </c>
      <c r="H308" s="304">
        <f>Tabla13[[#This Row],[Importe]]-Tabla13[[#This Row],[Pagado]]</f>
        <v>0</v>
      </c>
      <c r="I308" s="275" t="s">
        <v>15214</v>
      </c>
    </row>
    <row r="309" spans="1:9" x14ac:dyDescent="0.25">
      <c r="A309" s="299">
        <v>42950</v>
      </c>
      <c r="B309" s="302" t="s">
        <v>24100</v>
      </c>
      <c r="C309">
        <v>122281</v>
      </c>
      <c r="D309" s="236" t="s">
        <v>23206</v>
      </c>
      <c r="E309" s="301">
        <v>4554.2</v>
      </c>
      <c r="F309" s="303">
        <v>42950</v>
      </c>
      <c r="G309" s="301">
        <v>4554.2</v>
      </c>
      <c r="H309" s="304">
        <f>Tabla13[[#This Row],[Importe]]-Tabla13[[#This Row],[Pagado]]</f>
        <v>0</v>
      </c>
      <c r="I309" s="275" t="s">
        <v>15214</v>
      </c>
    </row>
    <row r="310" spans="1:9" x14ac:dyDescent="0.25">
      <c r="A310" s="299">
        <v>42950</v>
      </c>
      <c r="B310" s="302" t="s">
        <v>24101</v>
      </c>
      <c r="C310">
        <v>122282</v>
      </c>
      <c r="D310" s="236" t="s">
        <v>15305</v>
      </c>
      <c r="E310" s="301">
        <v>1868.7</v>
      </c>
      <c r="F310" s="303">
        <v>42951</v>
      </c>
      <c r="G310" s="301">
        <v>1868.7</v>
      </c>
      <c r="H310" s="304">
        <f>Tabla13[[#This Row],[Importe]]-Tabla13[[#This Row],[Pagado]]</f>
        <v>0</v>
      </c>
      <c r="I310" s="275" t="s">
        <v>15214</v>
      </c>
    </row>
    <row r="311" spans="1:9" x14ac:dyDescent="0.25">
      <c r="A311" s="299">
        <v>42950</v>
      </c>
      <c r="B311" s="302" t="s">
        <v>24102</v>
      </c>
      <c r="C311">
        <v>122283</v>
      </c>
      <c r="D311" s="236" t="s">
        <v>15596</v>
      </c>
      <c r="E311" s="301">
        <v>1610</v>
      </c>
      <c r="F311" s="303">
        <v>42951</v>
      </c>
      <c r="G311" s="301">
        <v>1610</v>
      </c>
      <c r="H311" s="304">
        <f>Tabla13[[#This Row],[Importe]]-Tabla13[[#This Row],[Pagado]]</f>
        <v>0</v>
      </c>
      <c r="I311" s="275" t="s">
        <v>15214</v>
      </c>
    </row>
    <row r="312" spans="1:9" x14ac:dyDescent="0.25">
      <c r="A312" s="299">
        <v>42950</v>
      </c>
      <c r="B312" s="302" t="s">
        <v>24103</v>
      </c>
      <c r="C312">
        <v>122284</v>
      </c>
      <c r="D312" s="236" t="s">
        <v>23215</v>
      </c>
      <c r="E312" s="301">
        <v>4571.6000000000004</v>
      </c>
      <c r="F312" s="303">
        <v>42950</v>
      </c>
      <c r="G312" s="301">
        <v>4571.6000000000004</v>
      </c>
      <c r="H312" s="304">
        <f>Tabla13[[#This Row],[Importe]]-Tabla13[[#This Row],[Pagado]]</f>
        <v>0</v>
      </c>
      <c r="I312" s="275" t="s">
        <v>15214</v>
      </c>
    </row>
    <row r="313" spans="1:9" x14ac:dyDescent="0.25">
      <c r="A313" s="299">
        <v>42950</v>
      </c>
      <c r="B313" s="302" t="s">
        <v>24104</v>
      </c>
      <c r="C313">
        <v>122285</v>
      </c>
      <c r="D313" s="236" t="s">
        <v>15309</v>
      </c>
      <c r="E313" s="301">
        <v>11826.55</v>
      </c>
      <c r="F313" s="303">
        <v>42951</v>
      </c>
      <c r="G313" s="301">
        <v>11826.55</v>
      </c>
      <c r="H313" s="304">
        <f>Tabla13[[#This Row],[Importe]]-Tabla13[[#This Row],[Pagado]]</f>
        <v>0</v>
      </c>
      <c r="I313" s="275" t="s">
        <v>15214</v>
      </c>
    </row>
    <row r="314" spans="1:9" x14ac:dyDescent="0.25">
      <c r="A314" s="299">
        <v>42950</v>
      </c>
      <c r="B314" s="302" t="s">
        <v>24105</v>
      </c>
      <c r="C314">
        <v>122286</v>
      </c>
      <c r="D314" s="236" t="s">
        <v>15748</v>
      </c>
      <c r="E314" s="301">
        <v>1924.8</v>
      </c>
      <c r="F314" s="303">
        <v>42956</v>
      </c>
      <c r="G314" s="301">
        <v>1924.8</v>
      </c>
      <c r="H314" s="304">
        <f>Tabla13[[#This Row],[Importe]]-Tabla13[[#This Row],[Pagado]]</f>
        <v>0</v>
      </c>
      <c r="I314" s="275" t="s">
        <v>15214</v>
      </c>
    </row>
    <row r="315" spans="1:9" x14ac:dyDescent="0.25">
      <c r="A315" s="299">
        <v>42950</v>
      </c>
      <c r="B315" s="302" t="s">
        <v>24106</v>
      </c>
      <c r="C315">
        <v>122287</v>
      </c>
      <c r="D315" s="236" t="s">
        <v>17235</v>
      </c>
      <c r="E315" s="301">
        <v>10795.2</v>
      </c>
      <c r="F315" s="303">
        <v>42951</v>
      </c>
      <c r="G315" s="301">
        <v>10795.2</v>
      </c>
      <c r="H315" s="304">
        <f>Tabla13[[#This Row],[Importe]]-Tabla13[[#This Row],[Pagado]]</f>
        <v>0</v>
      </c>
      <c r="I315" s="275" t="s">
        <v>15214</v>
      </c>
    </row>
    <row r="316" spans="1:9" x14ac:dyDescent="0.25">
      <c r="A316" s="299">
        <v>42950</v>
      </c>
      <c r="B316" s="302" t="s">
        <v>24107</v>
      </c>
      <c r="C316">
        <v>122288</v>
      </c>
      <c r="D316" s="236" t="s">
        <v>15307</v>
      </c>
      <c r="E316" s="301">
        <v>986.7</v>
      </c>
      <c r="F316" s="303">
        <v>42951</v>
      </c>
      <c r="G316" s="301">
        <v>986.7</v>
      </c>
      <c r="H316" s="304">
        <f>Tabla13[[#This Row],[Importe]]-Tabla13[[#This Row],[Pagado]]</f>
        <v>0</v>
      </c>
      <c r="I316" s="275" t="s">
        <v>15214</v>
      </c>
    </row>
    <row r="317" spans="1:9" x14ac:dyDescent="0.25">
      <c r="A317" s="299">
        <v>42950</v>
      </c>
      <c r="B317" s="302" t="s">
        <v>24108</v>
      </c>
      <c r="C317">
        <v>122289</v>
      </c>
      <c r="D317" s="236" t="s">
        <v>15280</v>
      </c>
      <c r="E317" s="301">
        <v>6533</v>
      </c>
      <c r="F317" s="303">
        <v>42950</v>
      </c>
      <c r="G317" s="301">
        <v>6533</v>
      </c>
      <c r="H317" s="304">
        <f>Tabla13[[#This Row],[Importe]]-Tabla13[[#This Row],[Pagado]]</f>
        <v>0</v>
      </c>
      <c r="I317" s="275" t="s">
        <v>15214</v>
      </c>
    </row>
    <row r="318" spans="1:9" x14ac:dyDescent="0.25">
      <c r="A318" s="299">
        <v>42950</v>
      </c>
      <c r="B318" s="302" t="s">
        <v>24109</v>
      </c>
      <c r="C318">
        <v>122290</v>
      </c>
      <c r="D318" s="236" t="s">
        <v>15276</v>
      </c>
      <c r="E318" s="301">
        <v>3000</v>
      </c>
      <c r="F318" s="303">
        <v>42951</v>
      </c>
      <c r="G318" s="301">
        <v>3000</v>
      </c>
      <c r="H318" s="304">
        <f>Tabla13[[#This Row],[Importe]]-Tabla13[[#This Row],[Pagado]]</f>
        <v>0</v>
      </c>
      <c r="I318" s="275" t="s">
        <v>15214</v>
      </c>
    </row>
    <row r="319" spans="1:9" x14ac:dyDescent="0.25">
      <c r="A319" s="299">
        <v>42950</v>
      </c>
      <c r="B319" s="302" t="s">
        <v>24110</v>
      </c>
      <c r="C319">
        <v>122291</v>
      </c>
      <c r="D319" s="236" t="s">
        <v>15417</v>
      </c>
      <c r="E319" s="301">
        <v>2523.5</v>
      </c>
      <c r="F319" s="303">
        <v>42951</v>
      </c>
      <c r="G319" s="301">
        <v>2523.5</v>
      </c>
      <c r="H319" s="304">
        <f>Tabla13[[#This Row],[Importe]]-Tabla13[[#This Row],[Pagado]]</f>
        <v>0</v>
      </c>
      <c r="I319" s="275" t="s">
        <v>15214</v>
      </c>
    </row>
    <row r="320" spans="1:9" x14ac:dyDescent="0.25">
      <c r="A320" s="299">
        <v>42950</v>
      </c>
      <c r="B320" s="302" t="s">
        <v>24111</v>
      </c>
      <c r="C320">
        <v>122292</v>
      </c>
      <c r="D320" s="236" t="s">
        <v>15276</v>
      </c>
      <c r="E320" s="301">
        <v>2000</v>
      </c>
      <c r="F320" s="303">
        <v>42951</v>
      </c>
      <c r="G320" s="301">
        <v>2000</v>
      </c>
      <c r="H320" s="304">
        <f>Tabla13[[#This Row],[Importe]]-Tabla13[[#This Row],[Pagado]]</f>
        <v>0</v>
      </c>
      <c r="I320" s="275" t="s">
        <v>15214</v>
      </c>
    </row>
    <row r="321" spans="1:9" x14ac:dyDescent="0.25">
      <c r="A321" s="299">
        <v>42950</v>
      </c>
      <c r="B321" s="302" t="s">
        <v>24112</v>
      </c>
      <c r="C321">
        <v>122293</v>
      </c>
      <c r="D321" s="236" t="s">
        <v>15284</v>
      </c>
      <c r="E321" s="301">
        <v>1267.2</v>
      </c>
      <c r="F321" s="303">
        <v>42950</v>
      </c>
      <c r="G321" s="301">
        <v>1267.2</v>
      </c>
      <c r="H321" s="304">
        <f>Tabla13[[#This Row],[Importe]]-Tabla13[[#This Row],[Pagado]]</f>
        <v>0</v>
      </c>
      <c r="I321" s="275" t="s">
        <v>15214</v>
      </c>
    </row>
    <row r="322" spans="1:9" x14ac:dyDescent="0.25">
      <c r="A322" s="299">
        <v>42950</v>
      </c>
      <c r="B322" s="302" t="s">
        <v>24113</v>
      </c>
      <c r="C322">
        <v>122294</v>
      </c>
      <c r="D322" s="236" t="s">
        <v>15272</v>
      </c>
      <c r="E322" s="301">
        <v>3214.8</v>
      </c>
      <c r="F322" s="303">
        <v>42950</v>
      </c>
      <c r="G322" s="301">
        <v>3214.8</v>
      </c>
      <c r="H322" s="304">
        <f>Tabla13[[#This Row],[Importe]]-Tabla13[[#This Row],[Pagado]]</f>
        <v>0</v>
      </c>
      <c r="I322" s="275" t="s">
        <v>15214</v>
      </c>
    </row>
    <row r="323" spans="1:9" x14ac:dyDescent="0.25">
      <c r="A323" s="299">
        <v>42950</v>
      </c>
      <c r="B323" s="302" t="s">
        <v>24114</v>
      </c>
      <c r="C323">
        <v>122295</v>
      </c>
      <c r="D323" s="236" t="s">
        <v>15632</v>
      </c>
      <c r="E323" s="301">
        <v>25313</v>
      </c>
      <c r="F323" s="303">
        <v>42961</v>
      </c>
      <c r="G323" s="301">
        <v>25313</v>
      </c>
      <c r="H323" s="304">
        <f>Tabla13[[#This Row],[Importe]]-Tabla13[[#This Row],[Pagado]]</f>
        <v>0</v>
      </c>
      <c r="I323" s="275" t="s">
        <v>15214</v>
      </c>
    </row>
    <row r="324" spans="1:9" x14ac:dyDescent="0.25">
      <c r="A324" s="299">
        <v>42950</v>
      </c>
      <c r="B324" s="302" t="s">
        <v>24115</v>
      </c>
      <c r="C324">
        <v>122296</v>
      </c>
      <c r="D324" s="236" t="s">
        <v>15338</v>
      </c>
      <c r="E324" s="301">
        <v>10890</v>
      </c>
      <c r="F324" s="303">
        <v>42954</v>
      </c>
      <c r="G324" s="301">
        <v>10890</v>
      </c>
      <c r="H324" s="304">
        <f>Tabla13[[#This Row],[Importe]]-Tabla13[[#This Row],[Pagado]]</f>
        <v>0</v>
      </c>
      <c r="I324" s="275" t="s">
        <v>15214</v>
      </c>
    </row>
    <row r="325" spans="1:9" x14ac:dyDescent="0.25">
      <c r="A325" s="299">
        <v>42950</v>
      </c>
      <c r="B325" s="302" t="s">
        <v>24116</v>
      </c>
      <c r="C325">
        <v>122297</v>
      </c>
      <c r="D325" s="236" t="s">
        <v>15624</v>
      </c>
      <c r="E325" s="301">
        <v>33358.83</v>
      </c>
      <c r="F325" s="303">
        <v>42952</v>
      </c>
      <c r="G325" s="301">
        <v>33358.83</v>
      </c>
      <c r="H325" s="304">
        <f>Tabla13[[#This Row],[Importe]]-Tabla13[[#This Row],[Pagado]]</f>
        <v>0</v>
      </c>
      <c r="I325" s="275" t="s">
        <v>15214</v>
      </c>
    </row>
    <row r="326" spans="1:9" x14ac:dyDescent="0.25">
      <c r="A326" s="299">
        <v>42950</v>
      </c>
      <c r="B326" s="302" t="s">
        <v>24117</v>
      </c>
      <c r="C326">
        <v>122298</v>
      </c>
      <c r="D326" s="236" t="s">
        <v>15398</v>
      </c>
      <c r="E326" s="301">
        <v>2670.55</v>
      </c>
      <c r="F326" s="303">
        <v>42950</v>
      </c>
      <c r="G326" s="301">
        <v>2670.55</v>
      </c>
      <c r="H326" s="304">
        <f>Tabla13[[#This Row],[Importe]]-Tabla13[[#This Row],[Pagado]]</f>
        <v>0</v>
      </c>
      <c r="I326" s="275" t="s">
        <v>15214</v>
      </c>
    </row>
    <row r="327" spans="1:9" x14ac:dyDescent="0.25">
      <c r="A327" s="299">
        <v>42950</v>
      </c>
      <c r="B327" s="302" t="s">
        <v>24118</v>
      </c>
      <c r="C327">
        <v>122299</v>
      </c>
      <c r="D327" s="236" t="s">
        <v>15419</v>
      </c>
      <c r="E327" s="301">
        <v>69502.600000000006</v>
      </c>
      <c r="F327" s="303">
        <v>42959</v>
      </c>
      <c r="G327" s="301">
        <v>69502.600000000006</v>
      </c>
      <c r="H327" s="304">
        <f>Tabla13[[#This Row],[Importe]]-Tabla13[[#This Row],[Pagado]]</f>
        <v>0</v>
      </c>
      <c r="I327" s="275" t="s">
        <v>15214</v>
      </c>
    </row>
    <row r="328" spans="1:9" x14ac:dyDescent="0.25">
      <c r="A328" s="299">
        <v>42950</v>
      </c>
      <c r="B328" s="302" t="s">
        <v>24119</v>
      </c>
      <c r="C328">
        <v>122300</v>
      </c>
      <c r="D328" s="236" t="s">
        <v>17722</v>
      </c>
      <c r="E328" s="301">
        <v>2605</v>
      </c>
      <c r="F328" s="303">
        <v>42950</v>
      </c>
      <c r="G328" s="301">
        <v>2605</v>
      </c>
      <c r="H328" s="304">
        <f>Tabla13[[#This Row],[Importe]]-Tabla13[[#This Row],[Pagado]]</f>
        <v>0</v>
      </c>
      <c r="I328" s="275" t="s">
        <v>15214</v>
      </c>
    </row>
    <row r="329" spans="1:9" x14ac:dyDescent="0.25">
      <c r="A329" s="299">
        <v>42950</v>
      </c>
      <c r="B329" s="302" t="s">
        <v>24120</v>
      </c>
      <c r="C329">
        <v>122301</v>
      </c>
      <c r="D329" s="236" t="s">
        <v>15706</v>
      </c>
      <c r="E329" s="301">
        <v>2969.1</v>
      </c>
      <c r="F329" s="303">
        <v>42950</v>
      </c>
      <c r="G329" s="301">
        <v>2969.1</v>
      </c>
      <c r="H329" s="304">
        <f>Tabla13[[#This Row],[Importe]]-Tabla13[[#This Row],[Pagado]]</f>
        <v>0</v>
      </c>
      <c r="I329" s="275" t="s">
        <v>15214</v>
      </c>
    </row>
    <row r="330" spans="1:9" x14ac:dyDescent="0.25">
      <c r="A330" s="299">
        <v>42950</v>
      </c>
      <c r="B330" s="302" t="s">
        <v>24121</v>
      </c>
      <c r="C330">
        <v>122302</v>
      </c>
      <c r="D330" s="236" t="s">
        <v>16108</v>
      </c>
      <c r="E330" s="301">
        <v>1592.8</v>
      </c>
      <c r="F330" s="303">
        <v>42950</v>
      </c>
      <c r="G330" s="301">
        <v>1592.8</v>
      </c>
      <c r="H330" s="304">
        <f>Tabla13[[#This Row],[Importe]]-Tabla13[[#This Row],[Pagado]]</f>
        <v>0</v>
      </c>
      <c r="I330" s="275" t="s">
        <v>15214</v>
      </c>
    </row>
    <row r="331" spans="1:9" x14ac:dyDescent="0.25">
      <c r="A331" s="299">
        <v>42950</v>
      </c>
      <c r="B331" s="302" t="s">
        <v>24122</v>
      </c>
      <c r="C331">
        <v>122303</v>
      </c>
      <c r="D331" s="236" t="s">
        <v>15577</v>
      </c>
      <c r="E331" s="301">
        <v>683</v>
      </c>
      <c r="F331" s="303">
        <v>42950</v>
      </c>
      <c r="G331" s="301">
        <v>683</v>
      </c>
      <c r="H331" s="304">
        <f>Tabla13[[#This Row],[Importe]]-Tabla13[[#This Row],[Pagado]]</f>
        <v>0</v>
      </c>
      <c r="I331" s="275" t="s">
        <v>15214</v>
      </c>
    </row>
    <row r="332" spans="1:9" ht="15.75" x14ac:dyDescent="0.25">
      <c r="A332" s="299">
        <v>42950</v>
      </c>
      <c r="B332" s="302" t="s">
        <v>24123</v>
      </c>
      <c r="C332">
        <v>122304</v>
      </c>
      <c r="D332" s="248" t="s">
        <v>95</v>
      </c>
      <c r="E332" s="301">
        <v>0</v>
      </c>
      <c r="F332" s="243" t="s">
        <v>95</v>
      </c>
      <c r="G332" s="301">
        <v>0</v>
      </c>
      <c r="H332" s="304">
        <f>Tabla13[[#This Row],[Importe]]-Tabla13[[#This Row],[Pagado]]</f>
        <v>0</v>
      </c>
      <c r="I332" s="275" t="s">
        <v>95</v>
      </c>
    </row>
    <row r="333" spans="1:9" x14ac:dyDescent="0.25">
      <c r="A333" s="299">
        <v>42950</v>
      </c>
      <c r="B333" s="302" t="s">
        <v>24124</v>
      </c>
      <c r="C333">
        <v>122305</v>
      </c>
      <c r="D333" s="236" t="s">
        <v>15284</v>
      </c>
      <c r="E333" s="301">
        <v>317.2</v>
      </c>
      <c r="F333" s="303">
        <v>42950</v>
      </c>
      <c r="G333" s="301">
        <v>317.2</v>
      </c>
      <c r="H333" s="304">
        <f>Tabla13[[#This Row],[Importe]]-Tabla13[[#This Row],[Pagado]]</f>
        <v>0</v>
      </c>
      <c r="I333" s="275" t="s">
        <v>15214</v>
      </c>
    </row>
    <row r="334" spans="1:9" x14ac:dyDescent="0.25">
      <c r="A334" s="299">
        <v>42950</v>
      </c>
      <c r="B334" s="302" t="s">
        <v>24125</v>
      </c>
      <c r="C334">
        <v>122306</v>
      </c>
      <c r="D334" s="236" t="s">
        <v>15566</v>
      </c>
      <c r="E334" s="301">
        <v>3451</v>
      </c>
      <c r="F334" s="303">
        <v>42950</v>
      </c>
      <c r="G334" s="301">
        <v>3451</v>
      </c>
      <c r="H334" s="304">
        <f>Tabla13[[#This Row],[Importe]]-Tabla13[[#This Row],[Pagado]]</f>
        <v>0</v>
      </c>
      <c r="I334" s="275" t="s">
        <v>15214</v>
      </c>
    </row>
    <row r="335" spans="1:9" x14ac:dyDescent="0.25">
      <c r="A335" s="299">
        <v>42950</v>
      </c>
      <c r="B335" s="302" t="s">
        <v>24126</v>
      </c>
      <c r="C335">
        <v>122307</v>
      </c>
      <c r="D335" s="236" t="s">
        <v>15298</v>
      </c>
      <c r="E335" s="301">
        <v>19427.75</v>
      </c>
      <c r="F335" s="303">
        <v>42954</v>
      </c>
      <c r="G335" s="301">
        <v>19427.75</v>
      </c>
      <c r="H335" s="304">
        <f>Tabla13[[#This Row],[Importe]]-Tabla13[[#This Row],[Pagado]]</f>
        <v>0</v>
      </c>
      <c r="I335" s="275" t="s">
        <v>15214</v>
      </c>
    </row>
    <row r="336" spans="1:9" x14ac:dyDescent="0.25">
      <c r="A336" s="299">
        <v>42950</v>
      </c>
      <c r="B336" s="302" t="s">
        <v>24127</v>
      </c>
      <c r="C336">
        <v>122308</v>
      </c>
      <c r="D336" s="236" t="s">
        <v>15282</v>
      </c>
      <c r="E336" s="301">
        <v>4226.8</v>
      </c>
      <c r="F336" s="303">
        <v>42950</v>
      </c>
      <c r="G336" s="301">
        <v>4226.8</v>
      </c>
      <c r="H336" s="304">
        <f>Tabla13[[#This Row],[Importe]]-Tabla13[[#This Row],[Pagado]]</f>
        <v>0</v>
      </c>
      <c r="I336" s="275" t="s">
        <v>15214</v>
      </c>
    </row>
    <row r="337" spans="1:9" x14ac:dyDescent="0.25">
      <c r="A337" s="299">
        <v>42950</v>
      </c>
      <c r="B337" s="302" t="s">
        <v>24128</v>
      </c>
      <c r="C337">
        <v>122309</v>
      </c>
      <c r="D337" s="236" t="s">
        <v>18773</v>
      </c>
      <c r="E337" s="301">
        <v>39495.599999999999</v>
      </c>
      <c r="F337" s="303">
        <v>42950</v>
      </c>
      <c r="G337" s="301">
        <v>39495.599999999999</v>
      </c>
      <c r="H337" s="304">
        <f>Tabla13[[#This Row],[Importe]]-Tabla13[[#This Row],[Pagado]]</f>
        <v>0</v>
      </c>
      <c r="I337" s="275" t="s">
        <v>15214</v>
      </c>
    </row>
    <row r="338" spans="1:9" x14ac:dyDescent="0.25">
      <c r="A338" s="299">
        <v>42950</v>
      </c>
      <c r="B338" s="302" t="s">
        <v>24129</v>
      </c>
      <c r="C338">
        <v>122310</v>
      </c>
      <c r="D338" s="236" t="s">
        <v>15665</v>
      </c>
      <c r="E338" s="301">
        <v>735.9</v>
      </c>
      <c r="F338" s="303">
        <v>42950</v>
      </c>
      <c r="G338" s="301">
        <v>735.9</v>
      </c>
      <c r="H338" s="304">
        <f>Tabla13[[#This Row],[Importe]]-Tabla13[[#This Row],[Pagado]]</f>
        <v>0</v>
      </c>
      <c r="I338" s="275" t="s">
        <v>15214</v>
      </c>
    </row>
    <row r="339" spans="1:9" ht="15.75" x14ac:dyDescent="0.25">
      <c r="A339" s="299">
        <v>42950</v>
      </c>
      <c r="B339" s="302" t="s">
        <v>24130</v>
      </c>
      <c r="C339">
        <v>122311</v>
      </c>
      <c r="D339" s="248" t="s">
        <v>95</v>
      </c>
      <c r="E339" s="301">
        <v>0</v>
      </c>
      <c r="F339" s="243" t="s">
        <v>95</v>
      </c>
      <c r="G339" s="301">
        <v>0</v>
      </c>
      <c r="H339" s="304">
        <f>Tabla13[[#This Row],[Importe]]-Tabla13[[#This Row],[Pagado]]</f>
        <v>0</v>
      </c>
      <c r="I339" s="275" t="s">
        <v>95</v>
      </c>
    </row>
    <row r="340" spans="1:9" x14ac:dyDescent="0.25">
      <c r="A340" s="299">
        <v>42950</v>
      </c>
      <c r="B340" s="302" t="s">
        <v>24131</v>
      </c>
      <c r="C340">
        <v>122312</v>
      </c>
      <c r="D340" s="236" t="s">
        <v>16383</v>
      </c>
      <c r="E340" s="301">
        <v>9991.7999999999993</v>
      </c>
      <c r="F340" s="303">
        <v>42956</v>
      </c>
      <c r="G340" s="301">
        <v>9991.7999999999993</v>
      </c>
      <c r="H340" s="304">
        <f>Tabla13[[#This Row],[Importe]]-Tabla13[[#This Row],[Pagado]]</f>
        <v>0</v>
      </c>
      <c r="I340" s="275" t="s">
        <v>15214</v>
      </c>
    </row>
    <row r="341" spans="1:9" x14ac:dyDescent="0.25">
      <c r="A341" s="299">
        <v>42950</v>
      </c>
      <c r="B341" s="302" t="s">
        <v>24132</v>
      </c>
      <c r="C341">
        <v>122313</v>
      </c>
      <c r="D341" s="236" t="s">
        <v>21441</v>
      </c>
      <c r="E341" s="301">
        <v>625</v>
      </c>
      <c r="F341" s="303">
        <v>42950</v>
      </c>
      <c r="G341" s="301">
        <v>625</v>
      </c>
      <c r="H341" s="304">
        <f>Tabla13[[#This Row],[Importe]]-Tabla13[[#This Row],[Pagado]]</f>
        <v>0</v>
      </c>
      <c r="I341" s="275" t="s">
        <v>15214</v>
      </c>
    </row>
    <row r="342" spans="1:9" x14ac:dyDescent="0.25">
      <c r="A342" s="299">
        <v>42950</v>
      </c>
      <c r="B342" s="302" t="s">
        <v>24133</v>
      </c>
      <c r="C342">
        <v>122314</v>
      </c>
      <c r="D342" s="236" t="s">
        <v>21441</v>
      </c>
      <c r="E342" s="301">
        <v>472.5</v>
      </c>
      <c r="F342" s="303">
        <v>42950</v>
      </c>
      <c r="G342" s="301">
        <v>472.5</v>
      </c>
      <c r="H342" s="304">
        <f>Tabla13[[#This Row],[Importe]]-Tabla13[[#This Row],[Pagado]]</f>
        <v>0</v>
      </c>
      <c r="I342" s="275" t="s">
        <v>15214</v>
      </c>
    </row>
    <row r="343" spans="1:9" x14ac:dyDescent="0.25">
      <c r="A343" s="299">
        <v>42950</v>
      </c>
      <c r="B343" s="302" t="s">
        <v>24134</v>
      </c>
      <c r="C343">
        <v>122315</v>
      </c>
      <c r="D343" s="236" t="s">
        <v>15391</v>
      </c>
      <c r="E343" s="301">
        <v>7511.2</v>
      </c>
      <c r="F343" s="303">
        <v>42953</v>
      </c>
      <c r="G343" s="301">
        <v>7511.2</v>
      </c>
      <c r="H343" s="304">
        <f>Tabla13[[#This Row],[Importe]]-Tabla13[[#This Row],[Pagado]]</f>
        <v>0</v>
      </c>
      <c r="I343" s="275" t="s">
        <v>15214</v>
      </c>
    </row>
    <row r="344" spans="1:9" x14ac:dyDescent="0.25">
      <c r="A344" s="299">
        <v>42950</v>
      </c>
      <c r="B344" s="302" t="s">
        <v>24135</v>
      </c>
      <c r="C344">
        <v>122316</v>
      </c>
      <c r="D344" s="236" t="s">
        <v>15407</v>
      </c>
      <c r="E344" s="301">
        <v>2822.1</v>
      </c>
      <c r="F344" s="303">
        <v>42950</v>
      </c>
      <c r="G344" s="301">
        <v>2822.1</v>
      </c>
      <c r="H344" s="304">
        <f>Tabla13[[#This Row],[Importe]]-Tabla13[[#This Row],[Pagado]]</f>
        <v>0</v>
      </c>
      <c r="I344" s="275" t="s">
        <v>15214</v>
      </c>
    </row>
    <row r="345" spans="1:9" x14ac:dyDescent="0.25">
      <c r="A345" s="299">
        <v>42950</v>
      </c>
      <c r="B345" s="302" t="s">
        <v>24136</v>
      </c>
      <c r="C345">
        <v>122317</v>
      </c>
      <c r="D345" s="236" t="s">
        <v>15699</v>
      </c>
      <c r="E345" s="301">
        <v>2918.8</v>
      </c>
      <c r="F345" s="303">
        <v>42951</v>
      </c>
      <c r="G345" s="301">
        <v>2918.8</v>
      </c>
      <c r="H345" s="304">
        <f>Tabla13[[#This Row],[Importe]]-Tabla13[[#This Row],[Pagado]]</f>
        <v>0</v>
      </c>
      <c r="I345" s="275" t="s">
        <v>15214</v>
      </c>
    </row>
    <row r="346" spans="1:9" x14ac:dyDescent="0.25">
      <c r="A346" s="299">
        <v>42950</v>
      </c>
      <c r="B346" s="302" t="s">
        <v>24137</v>
      </c>
      <c r="C346">
        <v>122318</v>
      </c>
      <c r="D346" s="236" t="s">
        <v>15699</v>
      </c>
      <c r="E346" s="301">
        <v>2713.2</v>
      </c>
      <c r="F346" s="303">
        <v>42958</v>
      </c>
      <c r="G346" s="301">
        <v>2713.2</v>
      </c>
      <c r="H346" s="304">
        <f>Tabla13[[#This Row],[Importe]]-Tabla13[[#This Row],[Pagado]]</f>
        <v>0</v>
      </c>
      <c r="I346" s="275" t="s">
        <v>15214</v>
      </c>
    </row>
    <row r="347" spans="1:9" x14ac:dyDescent="0.25">
      <c r="A347" s="299">
        <v>42950</v>
      </c>
      <c r="B347" s="302" t="s">
        <v>24138</v>
      </c>
      <c r="C347">
        <v>122319</v>
      </c>
      <c r="D347" s="236" t="s">
        <v>17462</v>
      </c>
      <c r="E347" s="301">
        <v>2969.2</v>
      </c>
      <c r="F347" s="303">
        <v>42950</v>
      </c>
      <c r="G347" s="301">
        <v>2969.2</v>
      </c>
      <c r="H347" s="304">
        <f>Tabla13[[#This Row],[Importe]]-Tabla13[[#This Row],[Pagado]]</f>
        <v>0</v>
      </c>
      <c r="I347" s="275" t="s">
        <v>15214</v>
      </c>
    </row>
    <row r="348" spans="1:9" x14ac:dyDescent="0.25">
      <c r="A348" s="299">
        <v>42950</v>
      </c>
      <c r="B348" s="302" t="s">
        <v>24139</v>
      </c>
      <c r="C348">
        <v>122320</v>
      </c>
      <c r="D348" s="236" t="s">
        <v>15699</v>
      </c>
      <c r="E348" s="301">
        <v>300.8</v>
      </c>
      <c r="F348" s="303">
        <v>42958</v>
      </c>
      <c r="G348" s="301">
        <v>300.8</v>
      </c>
      <c r="H348" s="304">
        <f>Tabla13[[#This Row],[Importe]]-Tabla13[[#This Row],[Pagado]]</f>
        <v>0</v>
      </c>
      <c r="I348" s="275" t="s">
        <v>15214</v>
      </c>
    </row>
    <row r="349" spans="1:9" x14ac:dyDescent="0.25">
      <c r="A349" s="299">
        <v>42950</v>
      </c>
      <c r="B349" s="302" t="s">
        <v>24140</v>
      </c>
      <c r="C349">
        <v>122321</v>
      </c>
      <c r="D349" s="236" t="s">
        <v>19768</v>
      </c>
      <c r="E349" s="301">
        <v>2000</v>
      </c>
      <c r="F349" s="303">
        <v>42950</v>
      </c>
      <c r="G349" s="301">
        <v>2000</v>
      </c>
      <c r="H349" s="304">
        <f>Tabla13[[#This Row],[Importe]]-Tabla13[[#This Row],[Pagado]]</f>
        <v>0</v>
      </c>
      <c r="I349" s="275" t="s">
        <v>15214</v>
      </c>
    </row>
    <row r="350" spans="1:9" x14ac:dyDescent="0.25">
      <c r="A350" s="299">
        <v>42950</v>
      </c>
      <c r="B350" s="302" t="s">
        <v>24141</v>
      </c>
      <c r="C350">
        <v>122322</v>
      </c>
      <c r="D350" s="236" t="s">
        <v>15213</v>
      </c>
      <c r="E350" s="301">
        <v>6324</v>
      </c>
      <c r="F350" s="303">
        <v>42951</v>
      </c>
      <c r="G350" s="301">
        <v>6324</v>
      </c>
      <c r="H350" s="304">
        <f>Tabla13[[#This Row],[Importe]]-Tabla13[[#This Row],[Pagado]]</f>
        <v>0</v>
      </c>
      <c r="I350" s="275" t="s">
        <v>15214</v>
      </c>
    </row>
    <row r="351" spans="1:9" x14ac:dyDescent="0.25">
      <c r="A351" s="299">
        <v>42950</v>
      </c>
      <c r="B351" s="302" t="s">
        <v>24142</v>
      </c>
      <c r="C351">
        <v>122323</v>
      </c>
      <c r="D351" s="236" t="s">
        <v>15890</v>
      </c>
      <c r="E351" s="301">
        <v>1730.4</v>
      </c>
      <c r="F351" s="303">
        <v>42963</v>
      </c>
      <c r="G351" s="301">
        <v>1730.4</v>
      </c>
      <c r="H351" s="304">
        <f>Tabla13[[#This Row],[Importe]]-Tabla13[[#This Row],[Pagado]]</f>
        <v>0</v>
      </c>
      <c r="I351" s="275" t="s">
        <v>15214</v>
      </c>
    </row>
    <row r="352" spans="1:9" x14ac:dyDescent="0.25">
      <c r="A352" s="299">
        <v>42950</v>
      </c>
      <c r="B352" s="302" t="s">
        <v>24143</v>
      </c>
      <c r="C352">
        <v>122324</v>
      </c>
      <c r="D352" s="236" t="s">
        <v>15267</v>
      </c>
      <c r="E352" s="301">
        <v>10968</v>
      </c>
      <c r="F352" s="266">
        <v>42980</v>
      </c>
      <c r="G352" s="35">
        <v>10968</v>
      </c>
      <c r="H352" s="304">
        <f>Tabla13[[#This Row],[Importe]]-Tabla13[[#This Row],[Pagado]]</f>
        <v>0</v>
      </c>
      <c r="I352" s="275" t="s">
        <v>15214</v>
      </c>
    </row>
    <row r="353" spans="1:9" x14ac:dyDescent="0.25">
      <c r="A353" s="299">
        <v>42950</v>
      </c>
      <c r="B353" s="302" t="s">
        <v>24144</v>
      </c>
      <c r="C353">
        <v>122325</v>
      </c>
      <c r="D353" s="236" t="s">
        <v>15590</v>
      </c>
      <c r="E353" s="301">
        <v>21657.599999999999</v>
      </c>
      <c r="F353" s="303">
        <v>42968</v>
      </c>
      <c r="G353" s="301">
        <v>21657.599999999999</v>
      </c>
      <c r="H353" s="304">
        <f>Tabla13[[#This Row],[Importe]]-Tabla13[[#This Row],[Pagado]]</f>
        <v>0</v>
      </c>
      <c r="I353" s="275" t="s">
        <v>15214</v>
      </c>
    </row>
    <row r="354" spans="1:9" x14ac:dyDescent="0.25">
      <c r="A354" s="299">
        <v>42950</v>
      </c>
      <c r="B354" s="302" t="s">
        <v>24145</v>
      </c>
      <c r="C354">
        <v>122326</v>
      </c>
      <c r="D354" s="236" t="s">
        <v>15930</v>
      </c>
      <c r="E354" s="301">
        <v>8833.5</v>
      </c>
      <c r="F354" s="303">
        <v>42951</v>
      </c>
      <c r="G354" s="301">
        <v>8833.5</v>
      </c>
      <c r="H354" s="304">
        <f>Tabla13[[#This Row],[Importe]]-Tabla13[[#This Row],[Pagado]]</f>
        <v>0</v>
      </c>
      <c r="I354" s="275" t="s">
        <v>15214</v>
      </c>
    </row>
    <row r="355" spans="1:9" x14ac:dyDescent="0.25">
      <c r="A355" s="299">
        <v>42950</v>
      </c>
      <c r="B355" s="302" t="s">
        <v>24146</v>
      </c>
      <c r="C355">
        <v>122327</v>
      </c>
      <c r="D355" s="236" t="s">
        <v>15315</v>
      </c>
      <c r="E355" s="301">
        <v>460.6</v>
      </c>
      <c r="F355" s="303">
        <v>42950</v>
      </c>
      <c r="G355" s="301">
        <v>460.6</v>
      </c>
      <c r="H355" s="304">
        <f>Tabla13[[#This Row],[Importe]]-Tabla13[[#This Row],[Pagado]]</f>
        <v>0</v>
      </c>
      <c r="I355" s="275" t="s">
        <v>15214</v>
      </c>
    </row>
    <row r="356" spans="1:9" x14ac:dyDescent="0.25">
      <c r="A356" s="299">
        <v>42950</v>
      </c>
      <c r="B356" s="302" t="s">
        <v>24147</v>
      </c>
      <c r="C356">
        <v>122328</v>
      </c>
      <c r="D356" s="236" t="s">
        <v>17862</v>
      </c>
      <c r="E356" s="301">
        <v>1501</v>
      </c>
      <c r="F356" s="303">
        <v>42950</v>
      </c>
      <c r="G356" s="301">
        <v>1501</v>
      </c>
      <c r="H356" s="304">
        <f>Tabla13[[#This Row],[Importe]]-Tabla13[[#This Row],[Pagado]]</f>
        <v>0</v>
      </c>
      <c r="I356" s="275" t="s">
        <v>15214</v>
      </c>
    </row>
    <row r="357" spans="1:9" x14ac:dyDescent="0.25">
      <c r="A357" s="299">
        <v>42950</v>
      </c>
      <c r="B357" s="302" t="s">
        <v>24148</v>
      </c>
      <c r="C357">
        <v>122329</v>
      </c>
      <c r="D357" s="236" t="s">
        <v>15835</v>
      </c>
      <c r="E357" s="301">
        <v>14500.4</v>
      </c>
      <c r="F357" s="303">
        <v>42951</v>
      </c>
      <c r="G357" s="301">
        <v>14500.4</v>
      </c>
      <c r="H357" s="304">
        <f>Tabla13[[#This Row],[Importe]]-Tabla13[[#This Row],[Pagado]]</f>
        <v>0</v>
      </c>
      <c r="I357" s="275" t="s">
        <v>15214</v>
      </c>
    </row>
    <row r="358" spans="1:9" x14ac:dyDescent="0.25">
      <c r="A358" s="299">
        <v>42950</v>
      </c>
      <c r="B358" s="302" t="s">
        <v>24149</v>
      </c>
      <c r="C358">
        <v>122330</v>
      </c>
      <c r="D358" s="236" t="s">
        <v>15284</v>
      </c>
      <c r="E358" s="301">
        <v>789.8</v>
      </c>
      <c r="F358" s="303">
        <v>42950</v>
      </c>
      <c r="G358" s="301">
        <v>789.8</v>
      </c>
      <c r="H358" s="304">
        <f>Tabla13[[#This Row],[Importe]]-Tabla13[[#This Row],[Pagado]]</f>
        <v>0</v>
      </c>
      <c r="I358" s="275" t="s">
        <v>15214</v>
      </c>
    </row>
    <row r="359" spans="1:9" x14ac:dyDescent="0.25">
      <c r="A359" s="299">
        <v>42950</v>
      </c>
      <c r="B359" s="302" t="s">
        <v>24150</v>
      </c>
      <c r="C359">
        <v>122331</v>
      </c>
      <c r="D359" s="236" t="s">
        <v>15315</v>
      </c>
      <c r="E359" s="301">
        <v>5810.85</v>
      </c>
      <c r="F359" s="303">
        <v>42951</v>
      </c>
      <c r="G359" s="301">
        <v>5810.85</v>
      </c>
      <c r="H359" s="304">
        <f>Tabla13[[#This Row],[Importe]]-Tabla13[[#This Row],[Pagado]]</f>
        <v>0</v>
      </c>
      <c r="I359" s="275" t="s">
        <v>15214</v>
      </c>
    </row>
    <row r="360" spans="1:9" x14ac:dyDescent="0.25">
      <c r="A360" s="299">
        <v>42950</v>
      </c>
      <c r="B360" s="302" t="s">
        <v>24151</v>
      </c>
      <c r="C360">
        <v>122332</v>
      </c>
      <c r="D360" s="236" t="s">
        <v>15541</v>
      </c>
      <c r="E360" s="301">
        <v>1287.4000000000001</v>
      </c>
      <c r="F360" s="303">
        <v>42952</v>
      </c>
      <c r="G360" s="301">
        <v>1287.4000000000001</v>
      </c>
      <c r="H360" s="304">
        <f>Tabla13[[#This Row],[Importe]]-Tabla13[[#This Row],[Pagado]]</f>
        <v>0</v>
      </c>
      <c r="I360" s="275" t="s">
        <v>15214</v>
      </c>
    </row>
    <row r="361" spans="1:9" x14ac:dyDescent="0.25">
      <c r="A361" s="299">
        <v>42950</v>
      </c>
      <c r="B361" s="302" t="s">
        <v>24152</v>
      </c>
      <c r="C361">
        <v>122333</v>
      </c>
      <c r="D361" s="236" t="s">
        <v>15254</v>
      </c>
      <c r="E361" s="301">
        <v>6780.4</v>
      </c>
      <c r="F361" s="303">
        <v>42952</v>
      </c>
      <c r="G361" s="301">
        <v>6780.4</v>
      </c>
      <c r="H361" s="304">
        <f>Tabla13[[#This Row],[Importe]]-Tabla13[[#This Row],[Pagado]]</f>
        <v>0</v>
      </c>
      <c r="I361" s="275" t="s">
        <v>15214</v>
      </c>
    </row>
    <row r="362" spans="1:9" x14ac:dyDescent="0.25">
      <c r="A362" s="299">
        <v>42950</v>
      </c>
      <c r="B362" s="302" t="s">
        <v>24153</v>
      </c>
      <c r="C362">
        <v>122334</v>
      </c>
      <c r="D362" s="236" t="s">
        <v>15246</v>
      </c>
      <c r="E362" s="301">
        <v>241265.16</v>
      </c>
      <c r="F362" s="303">
        <v>42954</v>
      </c>
      <c r="G362" s="301">
        <v>241265.16</v>
      </c>
      <c r="H362" s="304">
        <f>Tabla13[[#This Row],[Importe]]-Tabla13[[#This Row],[Pagado]]</f>
        <v>0</v>
      </c>
      <c r="I362" s="275" t="s">
        <v>15214</v>
      </c>
    </row>
    <row r="363" spans="1:9" x14ac:dyDescent="0.25">
      <c r="A363" s="299">
        <v>42950</v>
      </c>
      <c r="B363" s="302" t="s">
        <v>24154</v>
      </c>
      <c r="C363">
        <v>122335</v>
      </c>
      <c r="D363" s="236" t="s">
        <v>15423</v>
      </c>
      <c r="E363" s="301">
        <v>2483.6999999999998</v>
      </c>
      <c r="F363" s="303">
        <v>42950</v>
      </c>
      <c r="G363" s="301">
        <v>2483.6999999999998</v>
      </c>
      <c r="H363" s="304">
        <f>Tabla13[[#This Row],[Importe]]-Tabla13[[#This Row],[Pagado]]</f>
        <v>0</v>
      </c>
      <c r="I363" s="275" t="s">
        <v>15214</v>
      </c>
    </row>
    <row r="364" spans="1:9" x14ac:dyDescent="0.25">
      <c r="A364" s="299">
        <v>42950</v>
      </c>
      <c r="B364" s="302" t="s">
        <v>24155</v>
      </c>
      <c r="C364">
        <v>122336</v>
      </c>
      <c r="D364" s="236" t="s">
        <v>15246</v>
      </c>
      <c r="E364" s="301">
        <v>24306.400000000001</v>
      </c>
      <c r="F364" s="303">
        <v>42954</v>
      </c>
      <c r="G364" s="301">
        <v>24306.400000000001</v>
      </c>
      <c r="H364" s="304">
        <f>Tabla13[[#This Row],[Importe]]-Tabla13[[#This Row],[Pagado]]</f>
        <v>0</v>
      </c>
      <c r="I364" s="275" t="s">
        <v>15214</v>
      </c>
    </row>
    <row r="365" spans="1:9" x14ac:dyDescent="0.25">
      <c r="A365" s="299">
        <v>42950</v>
      </c>
      <c r="B365" s="302" t="s">
        <v>24156</v>
      </c>
      <c r="C365">
        <v>122337</v>
      </c>
      <c r="D365" s="236" t="s">
        <v>15246</v>
      </c>
      <c r="E365" s="301">
        <v>1800</v>
      </c>
      <c r="F365" s="303">
        <v>42954</v>
      </c>
      <c r="G365" s="301">
        <v>1800</v>
      </c>
      <c r="H365" s="304">
        <f>Tabla13[[#This Row],[Importe]]-Tabla13[[#This Row],[Pagado]]</f>
        <v>0</v>
      </c>
      <c r="I365" s="275" t="s">
        <v>15214</v>
      </c>
    </row>
    <row r="366" spans="1:9" x14ac:dyDescent="0.25">
      <c r="A366" s="299">
        <v>42950</v>
      </c>
      <c r="B366" s="302" t="s">
        <v>24157</v>
      </c>
      <c r="C366">
        <v>122338</v>
      </c>
      <c r="D366" s="236" t="s">
        <v>15444</v>
      </c>
      <c r="E366" s="301">
        <v>3210</v>
      </c>
      <c r="F366" s="303">
        <v>42951</v>
      </c>
      <c r="G366" s="301">
        <v>3210</v>
      </c>
      <c r="H366" s="304">
        <f>Tabla13[[#This Row],[Importe]]-Tabla13[[#This Row],[Pagado]]</f>
        <v>0</v>
      </c>
      <c r="I366" s="275" t="s">
        <v>15214</v>
      </c>
    </row>
    <row r="367" spans="1:9" x14ac:dyDescent="0.25">
      <c r="A367" s="299">
        <v>42950</v>
      </c>
      <c r="B367" s="302" t="s">
        <v>24158</v>
      </c>
      <c r="C367">
        <v>122339</v>
      </c>
      <c r="D367" s="236" t="s">
        <v>16958</v>
      </c>
      <c r="E367" s="301">
        <v>1636.2</v>
      </c>
      <c r="F367" s="303">
        <v>42950</v>
      </c>
      <c r="G367" s="301">
        <v>1636.2</v>
      </c>
      <c r="H367" s="304">
        <f>Tabla13[[#This Row],[Importe]]-Tabla13[[#This Row],[Pagado]]</f>
        <v>0</v>
      </c>
      <c r="I367" s="275" t="s">
        <v>15214</v>
      </c>
    </row>
    <row r="368" spans="1:9" x14ac:dyDescent="0.25">
      <c r="A368" s="299">
        <v>42950</v>
      </c>
      <c r="B368" s="302" t="s">
        <v>24159</v>
      </c>
      <c r="C368">
        <v>122340</v>
      </c>
      <c r="D368" s="236" t="s">
        <v>15365</v>
      </c>
      <c r="E368" s="301">
        <v>20512.400000000001</v>
      </c>
      <c r="F368" s="303">
        <v>42952</v>
      </c>
      <c r="G368" s="301">
        <v>20512.400000000001</v>
      </c>
      <c r="H368" s="304">
        <f>Tabla13[[#This Row],[Importe]]-Tabla13[[#This Row],[Pagado]]</f>
        <v>0</v>
      </c>
      <c r="I368" s="275" t="s">
        <v>15214</v>
      </c>
    </row>
    <row r="369" spans="1:9" x14ac:dyDescent="0.25">
      <c r="A369" s="299">
        <v>42950</v>
      </c>
      <c r="B369" s="302" t="s">
        <v>24160</v>
      </c>
      <c r="C369">
        <v>122341</v>
      </c>
      <c r="D369" s="236" t="s">
        <v>15920</v>
      </c>
      <c r="E369" s="301">
        <v>27821.4</v>
      </c>
      <c r="F369" s="303">
        <v>42971</v>
      </c>
      <c r="G369" s="301">
        <v>27821.4</v>
      </c>
      <c r="H369" s="304">
        <f>Tabla13[[#This Row],[Importe]]-Tabla13[[#This Row],[Pagado]]</f>
        <v>0</v>
      </c>
      <c r="I369" s="275" t="s">
        <v>15214</v>
      </c>
    </row>
    <row r="370" spans="1:9" x14ac:dyDescent="0.25">
      <c r="A370" s="299">
        <v>42950</v>
      </c>
      <c r="B370" s="302" t="s">
        <v>24161</v>
      </c>
      <c r="C370">
        <v>122342</v>
      </c>
      <c r="D370" s="236" t="s">
        <v>15912</v>
      </c>
      <c r="E370" s="301">
        <v>1620.6</v>
      </c>
      <c r="F370" s="303">
        <v>42951</v>
      </c>
      <c r="G370" s="301">
        <v>1620.6</v>
      </c>
      <c r="H370" s="304">
        <f>Tabla13[[#This Row],[Importe]]-Tabla13[[#This Row],[Pagado]]</f>
        <v>0</v>
      </c>
      <c r="I370" s="275" t="s">
        <v>15214</v>
      </c>
    </row>
    <row r="371" spans="1:9" x14ac:dyDescent="0.25">
      <c r="A371" s="299">
        <v>42950</v>
      </c>
      <c r="B371" s="302" t="s">
        <v>24162</v>
      </c>
      <c r="C371">
        <v>122343</v>
      </c>
      <c r="D371" s="236" t="s">
        <v>15642</v>
      </c>
      <c r="E371" s="301">
        <v>6573</v>
      </c>
      <c r="F371" s="303">
        <v>42950</v>
      </c>
      <c r="G371" s="301">
        <v>6573</v>
      </c>
      <c r="H371" s="304">
        <f>Tabla13[[#This Row],[Importe]]-Tabla13[[#This Row],[Pagado]]</f>
        <v>0</v>
      </c>
      <c r="I371" s="275" t="s">
        <v>15214</v>
      </c>
    </row>
    <row r="372" spans="1:9" x14ac:dyDescent="0.25">
      <c r="A372" s="299">
        <v>42950</v>
      </c>
      <c r="B372" s="302" t="s">
        <v>24163</v>
      </c>
      <c r="C372">
        <v>122344</v>
      </c>
      <c r="D372" s="236" t="s">
        <v>19776</v>
      </c>
      <c r="E372" s="301">
        <v>21420</v>
      </c>
      <c r="F372" s="303">
        <v>42950</v>
      </c>
      <c r="G372" s="301">
        <v>21420</v>
      </c>
      <c r="H372" s="304">
        <f>Tabla13[[#This Row],[Importe]]-Tabla13[[#This Row],[Pagado]]</f>
        <v>0</v>
      </c>
      <c r="I372" s="275" t="s">
        <v>15214</v>
      </c>
    </row>
    <row r="373" spans="1:9" x14ac:dyDescent="0.25">
      <c r="A373" s="299">
        <v>42950</v>
      </c>
      <c r="B373" s="302" t="s">
        <v>24164</v>
      </c>
      <c r="C373">
        <v>122345</v>
      </c>
      <c r="D373" s="236" t="s">
        <v>15725</v>
      </c>
      <c r="E373" s="301">
        <v>26903.200000000001</v>
      </c>
      <c r="F373" s="303">
        <v>42954</v>
      </c>
      <c r="G373" s="301">
        <v>26903.200000000001</v>
      </c>
      <c r="H373" s="304">
        <f>Tabla13[[#This Row],[Importe]]-Tabla13[[#This Row],[Pagado]]</f>
        <v>0</v>
      </c>
      <c r="I373" s="275" t="s">
        <v>15214</v>
      </c>
    </row>
    <row r="374" spans="1:9" x14ac:dyDescent="0.25">
      <c r="A374" s="299">
        <v>42950</v>
      </c>
      <c r="B374" s="302" t="s">
        <v>24165</v>
      </c>
      <c r="C374">
        <v>122346</v>
      </c>
      <c r="D374" s="236" t="s">
        <v>15433</v>
      </c>
      <c r="E374" s="301">
        <v>1874.9</v>
      </c>
      <c r="F374" s="303">
        <v>42950</v>
      </c>
      <c r="G374" s="301">
        <v>1874.9</v>
      </c>
      <c r="H374" s="304">
        <f>Tabla13[[#This Row],[Importe]]-Tabla13[[#This Row],[Pagado]]</f>
        <v>0</v>
      </c>
      <c r="I374" s="275" t="s">
        <v>15214</v>
      </c>
    </row>
    <row r="375" spans="1:9" x14ac:dyDescent="0.25">
      <c r="A375" s="299">
        <v>42950</v>
      </c>
      <c r="B375" s="302" t="s">
        <v>24166</v>
      </c>
      <c r="C375">
        <v>122347</v>
      </c>
      <c r="D375" s="236" t="s">
        <v>15284</v>
      </c>
      <c r="E375" s="301">
        <v>418.4</v>
      </c>
      <c r="F375" s="303">
        <v>42950</v>
      </c>
      <c r="G375" s="301">
        <v>418.4</v>
      </c>
      <c r="H375" s="304">
        <f>Tabla13[[#This Row],[Importe]]-Tabla13[[#This Row],[Pagado]]</f>
        <v>0</v>
      </c>
      <c r="I375" s="275" t="s">
        <v>15214</v>
      </c>
    </row>
    <row r="376" spans="1:9" x14ac:dyDescent="0.25">
      <c r="A376" s="299">
        <v>42950</v>
      </c>
      <c r="B376" s="302" t="s">
        <v>24167</v>
      </c>
      <c r="C376">
        <v>122348</v>
      </c>
      <c r="D376" s="236" t="s">
        <v>15365</v>
      </c>
      <c r="E376" s="301">
        <v>241800</v>
      </c>
      <c r="F376" s="303">
        <v>42960</v>
      </c>
      <c r="G376" s="301">
        <v>241800</v>
      </c>
      <c r="H376" s="304">
        <f>Tabla13[[#This Row],[Importe]]-Tabla13[[#This Row],[Pagado]]</f>
        <v>0</v>
      </c>
      <c r="I376" s="275" t="s">
        <v>15214</v>
      </c>
    </row>
    <row r="377" spans="1:9" x14ac:dyDescent="0.25">
      <c r="A377" s="299">
        <v>42950</v>
      </c>
      <c r="B377" s="302" t="s">
        <v>24168</v>
      </c>
      <c r="C377">
        <v>122349</v>
      </c>
      <c r="D377" s="236" t="s">
        <v>15435</v>
      </c>
      <c r="E377" s="301">
        <v>8190</v>
      </c>
      <c r="F377" s="303">
        <v>42950</v>
      </c>
      <c r="G377" s="301">
        <v>8190</v>
      </c>
      <c r="H377" s="304">
        <f>Tabla13[[#This Row],[Importe]]-Tabla13[[#This Row],[Pagado]]</f>
        <v>0</v>
      </c>
      <c r="I377" s="275" t="s">
        <v>15214</v>
      </c>
    </row>
    <row r="378" spans="1:9" x14ac:dyDescent="0.25">
      <c r="A378" s="299">
        <v>42951</v>
      </c>
      <c r="B378" s="302" t="s">
        <v>24169</v>
      </c>
      <c r="C378">
        <v>122350</v>
      </c>
      <c r="D378" s="236" t="s">
        <v>21386</v>
      </c>
      <c r="E378" s="301">
        <v>10395.75</v>
      </c>
      <c r="F378" s="303">
        <v>42954</v>
      </c>
      <c r="G378" s="301">
        <v>10395.75</v>
      </c>
      <c r="H378" s="304">
        <f>Tabla13[[#This Row],[Importe]]-Tabla13[[#This Row],[Pagado]]</f>
        <v>0</v>
      </c>
      <c r="I378" s="275" t="s">
        <v>15214</v>
      </c>
    </row>
    <row r="379" spans="1:9" x14ac:dyDescent="0.25">
      <c r="A379" s="299">
        <v>42951</v>
      </c>
      <c r="B379" s="302" t="s">
        <v>24170</v>
      </c>
      <c r="C379">
        <v>122351</v>
      </c>
      <c r="D379" s="236" t="s">
        <v>19302</v>
      </c>
      <c r="E379" s="301">
        <v>1250</v>
      </c>
      <c r="F379" s="303">
        <v>42951</v>
      </c>
      <c r="G379" s="301">
        <v>1250</v>
      </c>
      <c r="H379" s="304">
        <f>Tabla13[[#This Row],[Importe]]-Tabla13[[#This Row],[Pagado]]</f>
        <v>0</v>
      </c>
      <c r="I379" s="275" t="s">
        <v>15214</v>
      </c>
    </row>
    <row r="380" spans="1:9" x14ac:dyDescent="0.25">
      <c r="A380" s="299">
        <v>42951</v>
      </c>
      <c r="B380" s="302" t="s">
        <v>24171</v>
      </c>
      <c r="C380">
        <v>122352</v>
      </c>
      <c r="D380" s="236" t="s">
        <v>15213</v>
      </c>
      <c r="E380" s="301">
        <v>40748.85</v>
      </c>
      <c r="F380" s="303">
        <v>42952</v>
      </c>
      <c r="G380" s="301">
        <v>40748.85</v>
      </c>
      <c r="H380" s="304">
        <f>Tabla13[[#This Row],[Importe]]-Tabla13[[#This Row],[Pagado]]</f>
        <v>0</v>
      </c>
      <c r="I380" s="275" t="s">
        <v>15214</v>
      </c>
    </row>
    <row r="381" spans="1:9" x14ac:dyDescent="0.25">
      <c r="A381" s="299">
        <v>42951</v>
      </c>
      <c r="B381" s="302" t="s">
        <v>24172</v>
      </c>
      <c r="C381">
        <v>122353</v>
      </c>
      <c r="D381" s="236" t="s">
        <v>15220</v>
      </c>
      <c r="E381" s="301">
        <v>2750</v>
      </c>
      <c r="F381" s="303">
        <v>42951</v>
      </c>
      <c r="G381" s="301">
        <v>2750</v>
      </c>
      <c r="H381" s="304">
        <f>Tabla13[[#This Row],[Importe]]-Tabla13[[#This Row],[Pagado]]</f>
        <v>0</v>
      </c>
      <c r="I381" s="275" t="s">
        <v>15214</v>
      </c>
    </row>
    <row r="382" spans="1:9" x14ac:dyDescent="0.25">
      <c r="A382" s="299">
        <v>42951</v>
      </c>
      <c r="B382" s="302" t="s">
        <v>24173</v>
      </c>
      <c r="C382">
        <v>122354</v>
      </c>
      <c r="D382" s="236" t="s">
        <v>15216</v>
      </c>
      <c r="E382" s="301">
        <v>6715</v>
      </c>
      <c r="F382" s="303">
        <v>42951</v>
      </c>
      <c r="G382" s="301">
        <v>6715</v>
      </c>
      <c r="H382" s="304">
        <f>Tabla13[[#This Row],[Importe]]-Tabla13[[#This Row],[Pagado]]</f>
        <v>0</v>
      </c>
      <c r="I382" s="275" t="s">
        <v>15214</v>
      </c>
    </row>
    <row r="383" spans="1:9" x14ac:dyDescent="0.25">
      <c r="A383" s="299">
        <v>42951</v>
      </c>
      <c r="B383" s="302" t="s">
        <v>24174</v>
      </c>
      <c r="C383">
        <v>122355</v>
      </c>
      <c r="D383" s="236" t="s">
        <v>15250</v>
      </c>
      <c r="E383" s="301">
        <v>41594.639999999999</v>
      </c>
      <c r="F383" s="303">
        <v>42961</v>
      </c>
      <c r="G383" s="301">
        <v>41594.639999999999</v>
      </c>
      <c r="H383" s="304">
        <f>Tabla13[[#This Row],[Importe]]-Tabla13[[#This Row],[Pagado]]</f>
        <v>0</v>
      </c>
      <c r="I383" s="275" t="s">
        <v>15214</v>
      </c>
    </row>
    <row r="384" spans="1:9" x14ac:dyDescent="0.25">
      <c r="A384" s="299">
        <v>42951</v>
      </c>
      <c r="B384" s="302" t="s">
        <v>24175</v>
      </c>
      <c r="C384">
        <v>122356</v>
      </c>
      <c r="D384" s="236" t="s">
        <v>15232</v>
      </c>
      <c r="E384" s="301">
        <v>6808.5</v>
      </c>
      <c r="F384" s="303">
        <v>42957</v>
      </c>
      <c r="G384" s="301">
        <v>6808.5</v>
      </c>
      <c r="H384" s="304">
        <f>Tabla13[[#This Row],[Importe]]-Tabla13[[#This Row],[Pagado]]</f>
        <v>0</v>
      </c>
      <c r="I384" s="275" t="s">
        <v>15214</v>
      </c>
    </row>
    <row r="385" spans="1:9" x14ac:dyDescent="0.25">
      <c r="A385" s="299">
        <v>42951</v>
      </c>
      <c r="B385" s="302" t="s">
        <v>24176</v>
      </c>
      <c r="C385">
        <v>122357</v>
      </c>
      <c r="D385" s="236" t="s">
        <v>15480</v>
      </c>
      <c r="E385" s="301">
        <v>3793.1</v>
      </c>
      <c r="F385" s="303">
        <v>42954</v>
      </c>
      <c r="G385" s="301">
        <v>3793.1</v>
      </c>
      <c r="H385" s="304">
        <f>Tabla13[[#This Row],[Importe]]-Tabla13[[#This Row],[Pagado]]</f>
        <v>0</v>
      </c>
      <c r="I385" s="275" t="s">
        <v>15214</v>
      </c>
    </row>
    <row r="386" spans="1:9" ht="45" x14ac:dyDescent="0.25">
      <c r="A386" s="299">
        <v>42951</v>
      </c>
      <c r="B386" s="302" t="s">
        <v>24177</v>
      </c>
      <c r="C386">
        <v>122358</v>
      </c>
      <c r="D386" s="236" t="s">
        <v>15230</v>
      </c>
      <c r="E386" s="301">
        <v>17050.8</v>
      </c>
      <c r="F386" s="303" t="s">
        <v>24178</v>
      </c>
      <c r="G386" s="305">
        <f>11000+4200+1850.8</f>
        <v>17050.8</v>
      </c>
      <c r="H386" s="304">
        <f>Tabla13[[#This Row],[Importe]]-Tabla13[[#This Row],[Pagado]]</f>
        <v>0</v>
      </c>
      <c r="I386" s="275" t="s">
        <v>15214</v>
      </c>
    </row>
    <row r="387" spans="1:9" ht="30" x14ac:dyDescent="0.25">
      <c r="A387" s="299">
        <v>42951</v>
      </c>
      <c r="B387" s="302" t="s">
        <v>24179</v>
      </c>
      <c r="C387">
        <v>122359</v>
      </c>
      <c r="D387" s="236" t="s">
        <v>15234</v>
      </c>
      <c r="E387" s="301">
        <v>3129.1</v>
      </c>
      <c r="F387" s="303" t="s">
        <v>24180</v>
      </c>
      <c r="G387" s="305">
        <f>2000+1129.1</f>
        <v>3129.1</v>
      </c>
      <c r="H387" s="304">
        <f>Tabla13[[#This Row],[Importe]]-Tabla13[[#This Row],[Pagado]]</f>
        <v>0</v>
      </c>
      <c r="I387" s="275" t="s">
        <v>15214</v>
      </c>
    </row>
    <row r="388" spans="1:9" x14ac:dyDescent="0.25">
      <c r="A388" s="299">
        <v>42951</v>
      </c>
      <c r="B388" s="302" t="s">
        <v>24181</v>
      </c>
      <c r="C388">
        <v>122360</v>
      </c>
      <c r="D388" s="236" t="s">
        <v>15236</v>
      </c>
      <c r="E388" s="301">
        <v>6855.8</v>
      </c>
      <c r="F388" s="303">
        <v>42954</v>
      </c>
      <c r="G388" s="301">
        <v>6855.8</v>
      </c>
      <c r="H388" s="304">
        <f>Tabla13[[#This Row],[Importe]]-Tabla13[[#This Row],[Pagado]]</f>
        <v>0</v>
      </c>
      <c r="I388" s="275" t="s">
        <v>15214</v>
      </c>
    </row>
    <row r="389" spans="1:9" x14ac:dyDescent="0.25">
      <c r="A389" s="299">
        <v>42951</v>
      </c>
      <c r="B389" s="302" t="s">
        <v>24182</v>
      </c>
      <c r="C389">
        <v>122361</v>
      </c>
      <c r="D389" s="236" t="s">
        <v>15487</v>
      </c>
      <c r="E389" s="301">
        <v>681.4</v>
      </c>
      <c r="F389" s="303">
        <v>42951</v>
      </c>
      <c r="G389" s="301">
        <v>681.4</v>
      </c>
      <c r="H389" s="304">
        <f>Tabla13[[#This Row],[Importe]]-Tabla13[[#This Row],[Pagado]]</f>
        <v>0</v>
      </c>
      <c r="I389" s="275" t="s">
        <v>15214</v>
      </c>
    </row>
    <row r="390" spans="1:9" x14ac:dyDescent="0.25">
      <c r="A390" s="299">
        <v>42951</v>
      </c>
      <c r="B390" s="302" t="s">
        <v>24183</v>
      </c>
      <c r="C390">
        <v>122362</v>
      </c>
      <c r="D390" s="236" t="s">
        <v>15328</v>
      </c>
      <c r="E390" s="301">
        <v>115338.67</v>
      </c>
      <c r="F390" s="303">
        <v>42959</v>
      </c>
      <c r="G390" s="301">
        <v>115338.67</v>
      </c>
      <c r="H390" s="304">
        <f>Tabla13[[#This Row],[Importe]]-Tabla13[[#This Row],[Pagado]]</f>
        <v>0</v>
      </c>
      <c r="I390" s="275" t="s">
        <v>15214</v>
      </c>
    </row>
    <row r="391" spans="1:9" ht="30" x14ac:dyDescent="0.25">
      <c r="A391" s="299">
        <v>42951</v>
      </c>
      <c r="B391" s="302" t="s">
        <v>24184</v>
      </c>
      <c r="C391">
        <v>122363</v>
      </c>
      <c r="D391" s="236" t="s">
        <v>15258</v>
      </c>
      <c r="E391" s="301">
        <v>14466.9</v>
      </c>
      <c r="F391" s="303" t="s">
        <v>24180</v>
      </c>
      <c r="G391" s="305">
        <f>5000+9466.9</f>
        <v>14466.9</v>
      </c>
      <c r="H391" s="304">
        <f>Tabla13[[#This Row],[Importe]]-Tabla13[[#This Row],[Pagado]]</f>
        <v>0</v>
      </c>
      <c r="I391" s="275" t="s">
        <v>15214</v>
      </c>
    </row>
    <row r="392" spans="1:9" x14ac:dyDescent="0.25">
      <c r="A392" s="299">
        <v>42951</v>
      </c>
      <c r="B392" s="302" t="s">
        <v>24185</v>
      </c>
      <c r="C392">
        <v>122364</v>
      </c>
      <c r="D392" s="236" t="s">
        <v>15272</v>
      </c>
      <c r="E392" s="301">
        <v>24037.95</v>
      </c>
      <c r="F392" s="303">
        <v>42951</v>
      </c>
      <c r="G392" s="301">
        <v>24037.95</v>
      </c>
      <c r="H392" s="304">
        <f>Tabla13[[#This Row],[Importe]]-Tabla13[[#This Row],[Pagado]]</f>
        <v>0</v>
      </c>
      <c r="I392" s="275" t="s">
        <v>15214</v>
      </c>
    </row>
    <row r="393" spans="1:9" x14ac:dyDescent="0.25">
      <c r="A393" s="299">
        <v>42951</v>
      </c>
      <c r="B393" s="302" t="s">
        <v>24186</v>
      </c>
      <c r="C393">
        <v>122365</v>
      </c>
      <c r="D393" s="236" t="s">
        <v>16116</v>
      </c>
      <c r="E393" s="301">
        <v>23795.02</v>
      </c>
      <c r="F393" s="303">
        <v>42951</v>
      </c>
      <c r="G393" s="301">
        <v>23795.02</v>
      </c>
      <c r="H393" s="304">
        <f>Tabla13[[#This Row],[Importe]]-Tabla13[[#This Row],[Pagado]]</f>
        <v>0</v>
      </c>
      <c r="I393" s="275" t="s">
        <v>15214</v>
      </c>
    </row>
    <row r="394" spans="1:9" x14ac:dyDescent="0.25">
      <c r="A394" s="299">
        <v>42951</v>
      </c>
      <c r="B394" s="302" t="s">
        <v>24187</v>
      </c>
      <c r="C394">
        <v>122366</v>
      </c>
      <c r="D394" s="236" t="s">
        <v>15246</v>
      </c>
      <c r="E394" s="301">
        <v>3729.3</v>
      </c>
      <c r="F394" s="303">
        <v>42954</v>
      </c>
      <c r="G394" s="301">
        <v>3729.3</v>
      </c>
      <c r="H394" s="304">
        <f>Tabla13[[#This Row],[Importe]]-Tabla13[[#This Row],[Pagado]]</f>
        <v>0</v>
      </c>
      <c r="I394" s="275" t="s">
        <v>15214</v>
      </c>
    </row>
    <row r="395" spans="1:9" x14ac:dyDescent="0.25">
      <c r="A395" s="299">
        <v>42951</v>
      </c>
      <c r="B395" s="302" t="s">
        <v>24188</v>
      </c>
      <c r="C395">
        <v>122367</v>
      </c>
      <c r="D395" s="236" t="s">
        <v>15330</v>
      </c>
      <c r="E395" s="301">
        <v>170</v>
      </c>
      <c r="F395" s="303">
        <v>42951</v>
      </c>
      <c r="G395" s="301">
        <v>170</v>
      </c>
      <c r="H395" s="304">
        <f>Tabla13[[#This Row],[Importe]]-Tabla13[[#This Row],[Pagado]]</f>
        <v>0</v>
      </c>
      <c r="I395" s="275" t="s">
        <v>15214</v>
      </c>
    </row>
    <row r="396" spans="1:9" x14ac:dyDescent="0.25">
      <c r="A396" s="299">
        <v>42951</v>
      </c>
      <c r="B396" s="302" t="s">
        <v>24189</v>
      </c>
      <c r="C396">
        <v>122368</v>
      </c>
      <c r="D396" s="236" t="s">
        <v>23937</v>
      </c>
      <c r="E396" s="301">
        <v>3850</v>
      </c>
      <c r="F396" s="303">
        <v>42951</v>
      </c>
      <c r="G396" s="301">
        <v>3850</v>
      </c>
      <c r="H396" s="304">
        <f>Tabla13[[#This Row],[Importe]]-Tabla13[[#This Row],[Pagado]]</f>
        <v>0</v>
      </c>
      <c r="I396" s="275" t="s">
        <v>15214</v>
      </c>
    </row>
    <row r="397" spans="1:9" x14ac:dyDescent="0.25">
      <c r="A397" s="299">
        <v>42951</v>
      </c>
      <c r="B397" s="302" t="s">
        <v>24190</v>
      </c>
      <c r="C397">
        <v>122369</v>
      </c>
      <c r="D397" s="236" t="s">
        <v>15223</v>
      </c>
      <c r="E397" s="301">
        <v>55413</v>
      </c>
      <c r="F397" s="303">
        <v>42976</v>
      </c>
      <c r="G397" s="301">
        <v>55413</v>
      </c>
      <c r="H397" s="304">
        <f>Tabla13[[#This Row],[Importe]]-Tabla13[[#This Row],[Pagado]]</f>
        <v>0</v>
      </c>
      <c r="I397" s="275" t="s">
        <v>15214</v>
      </c>
    </row>
    <row r="398" spans="1:9" x14ac:dyDescent="0.25">
      <c r="A398" s="299">
        <v>42951</v>
      </c>
      <c r="B398" s="302" t="s">
        <v>24191</v>
      </c>
      <c r="C398">
        <v>122370</v>
      </c>
      <c r="D398" s="236" t="s">
        <v>16023</v>
      </c>
      <c r="E398" s="301">
        <v>2572.4</v>
      </c>
      <c r="F398" s="303">
        <v>42951</v>
      </c>
      <c r="G398" s="301">
        <v>2572.4</v>
      </c>
      <c r="H398" s="304">
        <f>Tabla13[[#This Row],[Importe]]-Tabla13[[#This Row],[Pagado]]</f>
        <v>0</v>
      </c>
      <c r="I398" s="275" t="s">
        <v>15214</v>
      </c>
    </row>
    <row r="399" spans="1:9" x14ac:dyDescent="0.25">
      <c r="A399" s="299">
        <v>42951</v>
      </c>
      <c r="B399" s="302" t="s">
        <v>24192</v>
      </c>
      <c r="C399">
        <v>122371</v>
      </c>
      <c r="D399" s="236" t="s">
        <v>15244</v>
      </c>
      <c r="E399" s="301">
        <v>10643.65</v>
      </c>
      <c r="F399" s="303">
        <v>42952</v>
      </c>
      <c r="G399" s="301">
        <v>10643.65</v>
      </c>
      <c r="H399" s="304">
        <f>Tabla13[[#This Row],[Importe]]-Tabla13[[#This Row],[Pagado]]</f>
        <v>0</v>
      </c>
      <c r="I399" s="275" t="s">
        <v>15214</v>
      </c>
    </row>
    <row r="400" spans="1:9" x14ac:dyDescent="0.25">
      <c r="A400" s="299">
        <v>42951</v>
      </c>
      <c r="B400" s="302" t="s">
        <v>24193</v>
      </c>
      <c r="C400">
        <v>122372</v>
      </c>
      <c r="D400" s="236" t="s">
        <v>15252</v>
      </c>
      <c r="E400" s="301">
        <v>5089.6499999999996</v>
      </c>
      <c r="F400" s="303">
        <v>42954</v>
      </c>
      <c r="G400" s="301">
        <v>5089.6499999999996</v>
      </c>
      <c r="H400" s="304">
        <f>Tabla13[[#This Row],[Importe]]-Tabla13[[#This Row],[Pagado]]</f>
        <v>0</v>
      </c>
      <c r="I400" s="275" t="s">
        <v>15214</v>
      </c>
    </row>
    <row r="401" spans="1:9" ht="30" x14ac:dyDescent="0.25">
      <c r="A401" s="299">
        <v>42951</v>
      </c>
      <c r="B401" s="302" t="s">
        <v>24194</v>
      </c>
      <c r="C401">
        <v>122373</v>
      </c>
      <c r="D401" s="236" t="s">
        <v>5575</v>
      </c>
      <c r="E401" s="301">
        <v>498</v>
      </c>
      <c r="F401" s="303" t="s">
        <v>23764</v>
      </c>
      <c r="G401" s="301">
        <v>498</v>
      </c>
      <c r="H401" s="304">
        <f>Tabla13[[#This Row],[Importe]]-Tabla13[[#This Row],[Pagado]]</f>
        <v>0</v>
      </c>
      <c r="I401" s="275" t="s">
        <v>15214</v>
      </c>
    </row>
    <row r="402" spans="1:9" x14ac:dyDescent="0.25">
      <c r="A402" s="299">
        <v>42951</v>
      </c>
      <c r="B402" s="302" t="s">
        <v>24195</v>
      </c>
      <c r="C402">
        <v>122374</v>
      </c>
      <c r="D402" s="236" t="s">
        <v>15242</v>
      </c>
      <c r="E402" s="301">
        <v>15369</v>
      </c>
      <c r="F402" s="303">
        <v>42951</v>
      </c>
      <c r="G402" s="301">
        <v>15369</v>
      </c>
      <c r="H402" s="304">
        <f>Tabla13[[#This Row],[Importe]]-Tabla13[[#This Row],[Pagado]]</f>
        <v>0</v>
      </c>
      <c r="I402" s="275" t="s">
        <v>15214</v>
      </c>
    </row>
    <row r="403" spans="1:9" x14ac:dyDescent="0.25">
      <c r="A403" s="299">
        <v>42951</v>
      </c>
      <c r="B403" s="302" t="s">
        <v>24196</v>
      </c>
      <c r="C403">
        <v>122375</v>
      </c>
      <c r="D403" s="236" t="s">
        <v>15668</v>
      </c>
      <c r="E403" s="301">
        <v>22074.85</v>
      </c>
      <c r="F403" s="303">
        <v>42954</v>
      </c>
      <c r="G403" s="301">
        <v>22074.85</v>
      </c>
      <c r="H403" s="304">
        <f>Tabla13[[#This Row],[Importe]]-Tabla13[[#This Row],[Pagado]]</f>
        <v>0</v>
      </c>
      <c r="I403" s="275" t="s">
        <v>15214</v>
      </c>
    </row>
    <row r="404" spans="1:9" x14ac:dyDescent="0.25">
      <c r="A404" s="299">
        <v>42951</v>
      </c>
      <c r="B404" s="302" t="s">
        <v>24197</v>
      </c>
      <c r="C404">
        <v>122376</v>
      </c>
      <c r="D404" s="236" t="s">
        <v>17462</v>
      </c>
      <c r="E404" s="301">
        <v>6521.8</v>
      </c>
      <c r="F404" s="303">
        <v>42951</v>
      </c>
      <c r="G404" s="301">
        <v>6521.8</v>
      </c>
      <c r="H404" s="304">
        <f>Tabla13[[#This Row],[Importe]]-Tabla13[[#This Row],[Pagado]]</f>
        <v>0</v>
      </c>
      <c r="I404" s="275" t="s">
        <v>15214</v>
      </c>
    </row>
    <row r="405" spans="1:9" x14ac:dyDescent="0.25">
      <c r="A405" s="299">
        <v>42951</v>
      </c>
      <c r="B405" s="302" t="s">
        <v>24198</v>
      </c>
      <c r="C405">
        <v>122377</v>
      </c>
      <c r="D405" s="236" t="s">
        <v>15371</v>
      </c>
      <c r="E405" s="301">
        <v>3152.1</v>
      </c>
      <c r="F405" s="303">
        <v>42952</v>
      </c>
      <c r="G405" s="301">
        <v>3152.1</v>
      </c>
      <c r="H405" s="304">
        <f>Tabla13[[#This Row],[Importe]]-Tabla13[[#This Row],[Pagado]]</f>
        <v>0</v>
      </c>
      <c r="I405" s="275" t="s">
        <v>15214</v>
      </c>
    </row>
    <row r="406" spans="1:9" x14ac:dyDescent="0.25">
      <c r="A406" s="299">
        <v>42951</v>
      </c>
      <c r="B406" s="302" t="s">
        <v>24199</v>
      </c>
      <c r="C406">
        <v>122378</v>
      </c>
      <c r="D406" s="236" t="s">
        <v>15442</v>
      </c>
      <c r="E406" s="301">
        <v>8438.2999999999993</v>
      </c>
      <c r="F406" s="303">
        <v>42968</v>
      </c>
      <c r="G406" s="301">
        <v>8438.2999999999993</v>
      </c>
      <c r="H406" s="304">
        <f>Tabla13[[#This Row],[Importe]]-Tabla13[[#This Row],[Pagado]]</f>
        <v>0</v>
      </c>
      <c r="I406" s="275" t="s">
        <v>15214</v>
      </c>
    </row>
    <row r="407" spans="1:9" x14ac:dyDescent="0.25">
      <c r="A407" s="299">
        <v>42951</v>
      </c>
      <c r="B407" s="302" t="s">
        <v>24200</v>
      </c>
      <c r="C407">
        <v>122379</v>
      </c>
      <c r="D407" s="236" t="s">
        <v>15315</v>
      </c>
      <c r="E407" s="301">
        <v>4122.6000000000004</v>
      </c>
      <c r="F407" s="303">
        <v>42951</v>
      </c>
      <c r="G407" s="301">
        <v>4122.6000000000004</v>
      </c>
      <c r="H407" s="304">
        <f>Tabla13[[#This Row],[Importe]]-Tabla13[[#This Row],[Pagado]]</f>
        <v>0</v>
      </c>
      <c r="I407" s="275" t="s">
        <v>15214</v>
      </c>
    </row>
    <row r="408" spans="1:9" x14ac:dyDescent="0.25">
      <c r="A408" s="299">
        <v>42951</v>
      </c>
      <c r="B408" s="302" t="s">
        <v>24201</v>
      </c>
      <c r="C408">
        <v>122380</v>
      </c>
      <c r="D408" s="236" t="s">
        <v>15238</v>
      </c>
      <c r="E408" s="301">
        <v>7494.2</v>
      </c>
      <c r="F408" s="303">
        <v>42954</v>
      </c>
      <c r="G408" s="301">
        <v>7494.2</v>
      </c>
      <c r="H408" s="304">
        <f>Tabla13[[#This Row],[Importe]]-Tabla13[[#This Row],[Pagado]]</f>
        <v>0</v>
      </c>
      <c r="I408" s="275" t="s">
        <v>15214</v>
      </c>
    </row>
    <row r="409" spans="1:9" x14ac:dyDescent="0.25">
      <c r="A409" s="299">
        <v>42951</v>
      </c>
      <c r="B409" s="302" t="s">
        <v>24202</v>
      </c>
      <c r="C409">
        <v>122381</v>
      </c>
      <c r="D409" s="236" t="s">
        <v>15728</v>
      </c>
      <c r="E409" s="301">
        <v>10800</v>
      </c>
      <c r="F409" s="303">
        <v>42951</v>
      </c>
      <c r="G409" s="301">
        <v>10800</v>
      </c>
      <c r="H409" s="304">
        <f>Tabla13[[#This Row],[Importe]]-Tabla13[[#This Row],[Pagado]]</f>
        <v>0</v>
      </c>
      <c r="I409" s="275" t="s">
        <v>15214</v>
      </c>
    </row>
    <row r="410" spans="1:9" x14ac:dyDescent="0.25">
      <c r="A410" s="299">
        <v>42951</v>
      </c>
      <c r="B410" s="302" t="s">
        <v>24203</v>
      </c>
      <c r="C410">
        <v>122382</v>
      </c>
      <c r="D410" s="236" t="s">
        <v>15378</v>
      </c>
      <c r="E410" s="301">
        <v>5170.3</v>
      </c>
      <c r="F410" s="303">
        <v>42951</v>
      </c>
      <c r="G410" s="301">
        <v>5170.3</v>
      </c>
      <c r="H410" s="304">
        <f>Tabla13[[#This Row],[Importe]]-Tabla13[[#This Row],[Pagado]]</f>
        <v>0</v>
      </c>
      <c r="I410" s="275" t="s">
        <v>15214</v>
      </c>
    </row>
    <row r="411" spans="1:9" ht="30" x14ac:dyDescent="0.25">
      <c r="A411" s="299">
        <v>42951</v>
      </c>
      <c r="B411" s="302" t="s">
        <v>24204</v>
      </c>
      <c r="C411">
        <v>122383</v>
      </c>
      <c r="D411" s="236" t="s">
        <v>15256</v>
      </c>
      <c r="E411" s="301">
        <v>7738</v>
      </c>
      <c r="F411" s="303" t="s">
        <v>23940</v>
      </c>
      <c r="G411" s="305">
        <f>6200+1538</f>
        <v>7738</v>
      </c>
      <c r="H411" s="304">
        <f>Tabla13[[#This Row],[Importe]]-Tabla13[[#This Row],[Pagado]]</f>
        <v>0</v>
      </c>
      <c r="I411" s="275" t="s">
        <v>15214</v>
      </c>
    </row>
    <row r="412" spans="1:9" x14ac:dyDescent="0.25">
      <c r="A412" s="299">
        <v>42951</v>
      </c>
      <c r="B412" s="302" t="s">
        <v>24205</v>
      </c>
      <c r="C412">
        <v>122384</v>
      </c>
      <c r="D412" s="236" t="s">
        <v>15378</v>
      </c>
      <c r="E412" s="301">
        <v>2981.7</v>
      </c>
      <c r="F412" s="303">
        <v>42951</v>
      </c>
      <c r="G412" s="301">
        <v>2981.7</v>
      </c>
      <c r="H412" s="304">
        <f>Tabla13[[#This Row],[Importe]]-Tabla13[[#This Row],[Pagado]]</f>
        <v>0</v>
      </c>
      <c r="I412" s="275" t="s">
        <v>15214</v>
      </c>
    </row>
    <row r="413" spans="1:9" x14ac:dyDescent="0.25">
      <c r="A413" s="299">
        <v>42951</v>
      </c>
      <c r="B413" s="302" t="s">
        <v>24206</v>
      </c>
      <c r="C413">
        <v>122385</v>
      </c>
      <c r="D413" s="236" t="s">
        <v>15226</v>
      </c>
      <c r="E413" s="301">
        <v>2407.1999999999998</v>
      </c>
      <c r="F413" s="303">
        <v>42954</v>
      </c>
      <c r="G413" s="301">
        <v>2407.1999999999998</v>
      </c>
      <c r="H413" s="304">
        <f>Tabla13[[#This Row],[Importe]]-Tabla13[[#This Row],[Pagado]]</f>
        <v>0</v>
      </c>
      <c r="I413" s="275" t="s">
        <v>15214</v>
      </c>
    </row>
    <row r="414" spans="1:9" x14ac:dyDescent="0.25">
      <c r="A414" s="299">
        <v>42951</v>
      </c>
      <c r="B414" s="302" t="s">
        <v>24207</v>
      </c>
      <c r="C414">
        <v>122386</v>
      </c>
      <c r="D414" s="236" t="s">
        <v>17722</v>
      </c>
      <c r="E414" s="301">
        <v>2775</v>
      </c>
      <c r="F414" s="303">
        <v>42951</v>
      </c>
      <c r="G414" s="301">
        <v>2775</v>
      </c>
      <c r="H414" s="304">
        <f>Tabla13[[#This Row],[Importe]]-Tabla13[[#This Row],[Pagado]]</f>
        <v>0</v>
      </c>
      <c r="I414" s="275" t="s">
        <v>15214</v>
      </c>
    </row>
    <row r="415" spans="1:9" x14ac:dyDescent="0.25">
      <c r="A415" s="299">
        <v>42951</v>
      </c>
      <c r="B415" s="302" t="s">
        <v>24208</v>
      </c>
      <c r="C415">
        <v>122387</v>
      </c>
      <c r="D415" s="236" t="s">
        <v>16171</v>
      </c>
      <c r="E415" s="301">
        <v>1171.32</v>
      </c>
      <c r="F415" s="303">
        <v>42951</v>
      </c>
      <c r="G415" s="301">
        <v>1171.32</v>
      </c>
      <c r="H415" s="304">
        <f>Tabla13[[#This Row],[Importe]]-Tabla13[[#This Row],[Pagado]]</f>
        <v>0</v>
      </c>
      <c r="I415" s="275" t="s">
        <v>15214</v>
      </c>
    </row>
    <row r="416" spans="1:9" x14ac:dyDescent="0.25">
      <c r="A416" s="299">
        <v>42951</v>
      </c>
      <c r="B416" s="302" t="s">
        <v>24209</v>
      </c>
      <c r="C416">
        <v>122388</v>
      </c>
      <c r="D416" s="236" t="s">
        <v>15334</v>
      </c>
      <c r="E416" s="301">
        <v>2792</v>
      </c>
      <c r="F416" s="303">
        <v>42951</v>
      </c>
      <c r="G416" s="301">
        <v>2792</v>
      </c>
      <c r="H416" s="304">
        <f>Tabla13[[#This Row],[Importe]]-Tabla13[[#This Row],[Pagado]]</f>
        <v>0</v>
      </c>
      <c r="I416" s="275" t="s">
        <v>15214</v>
      </c>
    </row>
    <row r="417" spans="1:9" x14ac:dyDescent="0.25">
      <c r="A417" s="299">
        <v>42951</v>
      </c>
      <c r="B417" s="302" t="s">
        <v>24210</v>
      </c>
      <c r="C417">
        <v>122389</v>
      </c>
      <c r="D417" s="236" t="s">
        <v>15348</v>
      </c>
      <c r="E417" s="301">
        <v>268</v>
      </c>
      <c r="F417" s="303">
        <v>42952</v>
      </c>
      <c r="G417" s="301">
        <v>268</v>
      </c>
      <c r="H417" s="304">
        <f>Tabla13[[#This Row],[Importe]]-Tabla13[[#This Row],[Pagado]]</f>
        <v>0</v>
      </c>
      <c r="I417" s="275" t="s">
        <v>15214</v>
      </c>
    </row>
    <row r="418" spans="1:9" x14ac:dyDescent="0.25">
      <c r="A418" s="299">
        <v>42951</v>
      </c>
      <c r="B418" s="302" t="s">
        <v>24211</v>
      </c>
      <c r="C418">
        <v>122390</v>
      </c>
      <c r="D418" s="236" t="s">
        <v>15523</v>
      </c>
      <c r="E418" s="301">
        <v>3000</v>
      </c>
      <c r="F418" s="303">
        <v>42951</v>
      </c>
      <c r="G418" s="301">
        <v>3000</v>
      </c>
      <c r="H418" s="304">
        <f>Tabla13[[#This Row],[Importe]]-Tabla13[[#This Row],[Pagado]]</f>
        <v>0</v>
      </c>
      <c r="I418" s="275" t="s">
        <v>15214</v>
      </c>
    </row>
    <row r="419" spans="1:9" x14ac:dyDescent="0.25">
      <c r="A419" s="299">
        <v>42951</v>
      </c>
      <c r="B419" s="302" t="s">
        <v>24212</v>
      </c>
      <c r="C419">
        <v>122391</v>
      </c>
      <c r="D419" s="236" t="s">
        <v>15861</v>
      </c>
      <c r="E419" s="301">
        <v>2260.6</v>
      </c>
      <c r="F419" s="303">
        <v>42951</v>
      </c>
      <c r="G419" s="301">
        <v>2260.6</v>
      </c>
      <c r="H419" s="304">
        <f>Tabla13[[#This Row],[Importe]]-Tabla13[[#This Row],[Pagado]]</f>
        <v>0</v>
      </c>
      <c r="I419" s="275" t="s">
        <v>15214</v>
      </c>
    </row>
    <row r="420" spans="1:9" x14ac:dyDescent="0.25">
      <c r="A420" s="299">
        <v>42951</v>
      </c>
      <c r="B420" s="302" t="s">
        <v>24213</v>
      </c>
      <c r="C420">
        <v>122392</v>
      </c>
      <c r="D420" s="236" t="s">
        <v>15358</v>
      </c>
      <c r="E420" s="301">
        <v>2832.2</v>
      </c>
      <c r="F420" s="303">
        <v>42951</v>
      </c>
      <c r="G420" s="301">
        <v>2832.2</v>
      </c>
      <c r="H420" s="304">
        <f>Tabla13[[#This Row],[Importe]]-Tabla13[[#This Row],[Pagado]]</f>
        <v>0</v>
      </c>
      <c r="I420" s="275" t="s">
        <v>15214</v>
      </c>
    </row>
    <row r="421" spans="1:9" x14ac:dyDescent="0.25">
      <c r="A421" s="299">
        <v>42951</v>
      </c>
      <c r="B421" s="302" t="s">
        <v>24214</v>
      </c>
      <c r="C421">
        <v>122393</v>
      </c>
      <c r="D421" s="236" t="s">
        <v>15336</v>
      </c>
      <c r="E421" s="301">
        <v>6757.1</v>
      </c>
      <c r="F421" s="303">
        <v>42951</v>
      </c>
      <c r="G421" s="301">
        <v>6757.1</v>
      </c>
      <c r="H421" s="304">
        <f>Tabla13[[#This Row],[Importe]]-Tabla13[[#This Row],[Pagado]]</f>
        <v>0</v>
      </c>
      <c r="I421" s="275" t="s">
        <v>15214</v>
      </c>
    </row>
    <row r="422" spans="1:9" x14ac:dyDescent="0.25">
      <c r="A422" s="299">
        <v>42951</v>
      </c>
      <c r="B422" s="302" t="s">
        <v>24215</v>
      </c>
      <c r="C422">
        <v>122394</v>
      </c>
      <c r="D422" s="236" t="s">
        <v>15332</v>
      </c>
      <c r="E422" s="301">
        <v>2957.4</v>
      </c>
      <c r="F422" s="303">
        <v>42951</v>
      </c>
      <c r="G422" s="301">
        <v>2957.4</v>
      </c>
      <c r="H422" s="304">
        <f>Tabla13[[#This Row],[Importe]]-Tabla13[[#This Row],[Pagado]]</f>
        <v>0</v>
      </c>
      <c r="I422" s="275" t="s">
        <v>15214</v>
      </c>
    </row>
    <row r="423" spans="1:9" x14ac:dyDescent="0.25">
      <c r="A423" s="299">
        <v>42951</v>
      </c>
      <c r="B423" s="302" t="s">
        <v>24216</v>
      </c>
      <c r="C423">
        <v>122395</v>
      </c>
      <c r="D423" s="236" t="s">
        <v>15280</v>
      </c>
      <c r="E423" s="301">
        <v>6805.5</v>
      </c>
      <c r="F423" s="303">
        <v>42951</v>
      </c>
      <c r="G423" s="301">
        <v>6805.5</v>
      </c>
      <c r="H423" s="304">
        <f>Tabla13[[#This Row],[Importe]]-Tabla13[[#This Row],[Pagado]]</f>
        <v>0</v>
      </c>
      <c r="I423" s="275" t="s">
        <v>15214</v>
      </c>
    </row>
    <row r="424" spans="1:9" x14ac:dyDescent="0.25">
      <c r="A424" s="299">
        <v>42951</v>
      </c>
      <c r="B424" s="302" t="s">
        <v>24217</v>
      </c>
      <c r="C424">
        <v>122396</v>
      </c>
      <c r="D424" s="236" t="s">
        <v>15369</v>
      </c>
      <c r="E424" s="301">
        <v>31121.200000000001</v>
      </c>
      <c r="F424" s="303">
        <v>42965</v>
      </c>
      <c r="G424" s="301">
        <v>31121.200000000001</v>
      </c>
      <c r="H424" s="304">
        <f>Tabla13[[#This Row],[Importe]]-Tabla13[[#This Row],[Pagado]]</f>
        <v>0</v>
      </c>
      <c r="I424" s="275" t="s">
        <v>15214</v>
      </c>
    </row>
    <row r="425" spans="1:9" x14ac:dyDescent="0.25">
      <c r="A425" s="299">
        <v>42951</v>
      </c>
      <c r="B425" s="302" t="s">
        <v>24218</v>
      </c>
      <c r="C425">
        <v>122397</v>
      </c>
      <c r="D425" s="236" t="s">
        <v>15344</v>
      </c>
      <c r="E425" s="301">
        <v>4394</v>
      </c>
      <c r="F425" s="303">
        <v>42951</v>
      </c>
      <c r="G425" s="301">
        <v>4394</v>
      </c>
      <c r="H425" s="304">
        <f>Tabla13[[#This Row],[Importe]]-Tabla13[[#This Row],[Pagado]]</f>
        <v>0</v>
      </c>
      <c r="I425" s="275" t="s">
        <v>15214</v>
      </c>
    </row>
    <row r="426" spans="1:9" x14ac:dyDescent="0.25">
      <c r="A426" s="299">
        <v>42951</v>
      </c>
      <c r="B426" s="302" t="s">
        <v>24219</v>
      </c>
      <c r="C426">
        <v>122398</v>
      </c>
      <c r="D426" s="236" t="s">
        <v>15526</v>
      </c>
      <c r="E426" s="301">
        <v>6888.6</v>
      </c>
      <c r="F426" s="303">
        <v>42951</v>
      </c>
      <c r="G426" s="301">
        <v>6888.6</v>
      </c>
      <c r="H426" s="304">
        <f>Tabla13[[#This Row],[Importe]]-Tabla13[[#This Row],[Pagado]]</f>
        <v>0</v>
      </c>
      <c r="I426" s="275" t="s">
        <v>15214</v>
      </c>
    </row>
    <row r="427" spans="1:9" ht="15.75" x14ac:dyDescent="0.25">
      <c r="A427" s="299">
        <v>42951</v>
      </c>
      <c r="B427" s="302" t="s">
        <v>24220</v>
      </c>
      <c r="C427">
        <v>122399</v>
      </c>
      <c r="D427" s="248" t="s">
        <v>95</v>
      </c>
      <c r="E427" s="301">
        <v>0</v>
      </c>
      <c r="F427" s="243" t="s">
        <v>95</v>
      </c>
      <c r="G427" s="301">
        <v>0</v>
      </c>
      <c r="H427" s="304">
        <f>Tabla13[[#This Row],[Importe]]-Tabla13[[#This Row],[Pagado]]</f>
        <v>0</v>
      </c>
      <c r="I427" s="275" t="s">
        <v>95</v>
      </c>
    </row>
    <row r="428" spans="1:9" ht="30" x14ac:dyDescent="0.25">
      <c r="A428" s="299">
        <v>42951</v>
      </c>
      <c r="B428" s="302" t="s">
        <v>24221</v>
      </c>
      <c r="C428">
        <v>122400</v>
      </c>
      <c r="D428" s="236" t="s">
        <v>15373</v>
      </c>
      <c r="E428" s="301">
        <v>14455</v>
      </c>
      <c r="F428" s="303" t="s">
        <v>24222</v>
      </c>
      <c r="G428" s="305">
        <f>2560+11895</f>
        <v>14455</v>
      </c>
      <c r="H428" s="304">
        <f>Tabla13[[#This Row],[Importe]]-Tabla13[[#This Row],[Pagado]]</f>
        <v>0</v>
      </c>
      <c r="I428" s="275" t="s">
        <v>15214</v>
      </c>
    </row>
    <row r="429" spans="1:9" x14ac:dyDescent="0.25">
      <c r="A429" s="299">
        <v>42951</v>
      </c>
      <c r="B429" s="302" t="s">
        <v>24223</v>
      </c>
      <c r="C429">
        <v>122401</v>
      </c>
      <c r="D429" s="236" t="s">
        <v>15373</v>
      </c>
      <c r="E429" s="301">
        <v>780</v>
      </c>
      <c r="F429" s="303">
        <v>42952</v>
      </c>
      <c r="G429" s="301">
        <v>780</v>
      </c>
      <c r="H429" s="304">
        <f>Tabla13[[#This Row],[Importe]]-Tabla13[[#This Row],[Pagado]]</f>
        <v>0</v>
      </c>
      <c r="I429" s="275" t="s">
        <v>15214</v>
      </c>
    </row>
    <row r="430" spans="1:9" x14ac:dyDescent="0.25">
      <c r="A430" s="299">
        <v>42951</v>
      </c>
      <c r="B430" s="302" t="s">
        <v>24224</v>
      </c>
      <c r="C430">
        <v>122402</v>
      </c>
      <c r="D430" s="236" t="s">
        <v>15367</v>
      </c>
      <c r="E430" s="301">
        <v>6000</v>
      </c>
      <c r="F430" s="303">
        <v>42952</v>
      </c>
      <c r="G430" s="301">
        <v>6000</v>
      </c>
      <c r="H430" s="304">
        <f>Tabla13[[#This Row],[Importe]]-Tabla13[[#This Row],[Pagado]]</f>
        <v>0</v>
      </c>
      <c r="I430" s="275" t="s">
        <v>15214</v>
      </c>
    </row>
    <row r="431" spans="1:9" x14ac:dyDescent="0.25">
      <c r="A431" s="299">
        <v>42951</v>
      </c>
      <c r="B431" s="302" t="s">
        <v>24225</v>
      </c>
      <c r="C431">
        <v>122403</v>
      </c>
      <c r="D431" s="236" t="s">
        <v>15380</v>
      </c>
      <c r="E431" s="301">
        <v>52941.5</v>
      </c>
      <c r="F431" s="303">
        <v>42965</v>
      </c>
      <c r="G431" s="301">
        <v>52941.5</v>
      </c>
      <c r="H431" s="304">
        <f>Tabla13[[#This Row],[Importe]]-Tabla13[[#This Row],[Pagado]]</f>
        <v>0</v>
      </c>
      <c r="I431" s="275" t="s">
        <v>15214</v>
      </c>
    </row>
    <row r="432" spans="1:9" x14ac:dyDescent="0.25">
      <c r="A432" s="299">
        <v>42951</v>
      </c>
      <c r="B432" s="302" t="s">
        <v>24226</v>
      </c>
      <c r="C432">
        <v>122404</v>
      </c>
      <c r="D432" s="236" t="s">
        <v>15382</v>
      </c>
      <c r="E432" s="301">
        <v>12123.2</v>
      </c>
      <c r="F432" s="303">
        <v>42960</v>
      </c>
      <c r="G432" s="301">
        <v>12123.2</v>
      </c>
      <c r="H432" s="304">
        <f>Tabla13[[#This Row],[Importe]]-Tabla13[[#This Row],[Pagado]]</f>
        <v>0</v>
      </c>
      <c r="I432" s="275" t="s">
        <v>15214</v>
      </c>
    </row>
    <row r="433" spans="1:9" x14ac:dyDescent="0.25">
      <c r="A433" s="299">
        <v>42951</v>
      </c>
      <c r="B433" s="302" t="s">
        <v>24227</v>
      </c>
      <c r="C433">
        <v>122405</v>
      </c>
      <c r="D433" s="236" t="s">
        <v>18544</v>
      </c>
      <c r="E433" s="301">
        <v>7028</v>
      </c>
      <c r="F433" s="303">
        <v>42951</v>
      </c>
      <c r="G433" s="301">
        <v>7028</v>
      </c>
      <c r="H433" s="304">
        <f>Tabla13[[#This Row],[Importe]]-Tabla13[[#This Row],[Pagado]]</f>
        <v>0</v>
      </c>
      <c r="I433" s="275" t="s">
        <v>15214</v>
      </c>
    </row>
    <row r="434" spans="1:9" x14ac:dyDescent="0.25">
      <c r="A434" s="299">
        <v>42951</v>
      </c>
      <c r="B434" s="302" t="s">
        <v>24228</v>
      </c>
      <c r="C434">
        <v>122406</v>
      </c>
      <c r="D434" s="236" t="s">
        <v>15315</v>
      </c>
      <c r="E434" s="301">
        <v>1366.8</v>
      </c>
      <c r="F434" s="303">
        <v>42951</v>
      </c>
      <c r="G434" s="301">
        <v>1366.8</v>
      </c>
      <c r="H434" s="304">
        <f>Tabla13[[#This Row],[Importe]]-Tabla13[[#This Row],[Pagado]]</f>
        <v>0</v>
      </c>
      <c r="I434" s="275" t="s">
        <v>15214</v>
      </c>
    </row>
    <row r="435" spans="1:9" ht="30" x14ac:dyDescent="0.25">
      <c r="A435" s="299">
        <v>42951</v>
      </c>
      <c r="B435" s="302" t="s">
        <v>24229</v>
      </c>
      <c r="C435">
        <v>122407</v>
      </c>
      <c r="D435" s="236" t="s">
        <v>15338</v>
      </c>
      <c r="E435" s="301">
        <v>12708</v>
      </c>
      <c r="F435" s="303" t="s">
        <v>24230</v>
      </c>
      <c r="G435" s="305">
        <f>2334+10374</f>
        <v>12708</v>
      </c>
      <c r="H435" s="304">
        <f>Tabla13[[#This Row],[Importe]]-Tabla13[[#This Row],[Pagado]]</f>
        <v>0</v>
      </c>
      <c r="I435" s="275" t="s">
        <v>15214</v>
      </c>
    </row>
    <row r="436" spans="1:9" x14ac:dyDescent="0.25">
      <c r="A436" s="299">
        <v>42951</v>
      </c>
      <c r="B436" s="302" t="s">
        <v>24231</v>
      </c>
      <c r="C436">
        <v>122408</v>
      </c>
      <c r="D436" s="236" t="s">
        <v>15499</v>
      </c>
      <c r="E436" s="301">
        <v>6931.4</v>
      </c>
      <c r="F436" s="303">
        <v>42951</v>
      </c>
      <c r="G436" s="301">
        <v>6931.4</v>
      </c>
      <c r="H436" s="304">
        <f>Tabla13[[#This Row],[Importe]]-Tabla13[[#This Row],[Pagado]]</f>
        <v>0</v>
      </c>
      <c r="I436" s="275" t="s">
        <v>15214</v>
      </c>
    </row>
    <row r="437" spans="1:9" x14ac:dyDescent="0.25">
      <c r="A437" s="299">
        <v>42951</v>
      </c>
      <c r="B437" s="302" t="s">
        <v>24232</v>
      </c>
      <c r="C437">
        <v>122409</v>
      </c>
      <c r="D437" s="236" t="s">
        <v>15315</v>
      </c>
      <c r="E437" s="301">
        <v>3763.8</v>
      </c>
      <c r="F437" s="303">
        <v>42951</v>
      </c>
      <c r="G437" s="301">
        <v>3763.8</v>
      </c>
      <c r="H437" s="304">
        <f>Tabla13[[#This Row],[Importe]]-Tabla13[[#This Row],[Pagado]]</f>
        <v>0</v>
      </c>
      <c r="I437" s="275" t="s">
        <v>15214</v>
      </c>
    </row>
    <row r="438" spans="1:9" x14ac:dyDescent="0.25">
      <c r="A438" s="299">
        <v>42951</v>
      </c>
      <c r="B438" s="302" t="s">
        <v>24233</v>
      </c>
      <c r="C438">
        <v>122410</v>
      </c>
      <c r="D438" s="236" t="s">
        <v>15315</v>
      </c>
      <c r="E438" s="301">
        <v>2726.7</v>
      </c>
      <c r="F438" s="303">
        <v>42951</v>
      </c>
      <c r="G438" s="301">
        <v>2726.7</v>
      </c>
      <c r="H438" s="304">
        <f>Tabla13[[#This Row],[Importe]]-Tabla13[[#This Row],[Pagado]]</f>
        <v>0</v>
      </c>
      <c r="I438" s="275" t="s">
        <v>15214</v>
      </c>
    </row>
    <row r="439" spans="1:9" x14ac:dyDescent="0.25">
      <c r="A439" s="299">
        <v>42951</v>
      </c>
      <c r="B439" s="302" t="s">
        <v>24234</v>
      </c>
      <c r="C439">
        <v>122411</v>
      </c>
      <c r="D439" s="236" t="s">
        <v>15278</v>
      </c>
      <c r="E439" s="301">
        <v>10297.200000000001</v>
      </c>
      <c r="F439" s="303">
        <v>42951</v>
      </c>
      <c r="G439" s="301">
        <v>10297.200000000001</v>
      </c>
      <c r="H439" s="304">
        <f>Tabla13[[#This Row],[Importe]]-Tabla13[[#This Row],[Pagado]]</f>
        <v>0</v>
      </c>
      <c r="I439" s="275" t="s">
        <v>15214</v>
      </c>
    </row>
    <row r="440" spans="1:9" x14ac:dyDescent="0.25">
      <c r="A440" s="299">
        <v>42951</v>
      </c>
      <c r="B440" s="302" t="s">
        <v>24235</v>
      </c>
      <c r="C440">
        <v>122412</v>
      </c>
      <c r="D440" s="236" t="s">
        <v>15278</v>
      </c>
      <c r="E440" s="301">
        <v>240</v>
      </c>
      <c r="F440" s="303">
        <v>42951</v>
      </c>
      <c r="G440" s="301">
        <v>240</v>
      </c>
      <c r="H440" s="304">
        <f>Tabla13[[#This Row],[Importe]]-Tabla13[[#This Row],[Pagado]]</f>
        <v>0</v>
      </c>
      <c r="I440" s="275" t="s">
        <v>15214</v>
      </c>
    </row>
    <row r="441" spans="1:9" x14ac:dyDescent="0.25">
      <c r="A441" s="299">
        <v>42951</v>
      </c>
      <c r="B441" s="302" t="s">
        <v>24236</v>
      </c>
      <c r="C441">
        <v>122413</v>
      </c>
      <c r="D441" s="236" t="s">
        <v>19768</v>
      </c>
      <c r="E441" s="301">
        <v>2000</v>
      </c>
      <c r="F441" s="303">
        <v>42951</v>
      </c>
      <c r="G441" s="301">
        <v>2000</v>
      </c>
      <c r="H441" s="304">
        <f>Tabla13[[#This Row],[Importe]]-Tabla13[[#This Row],[Pagado]]</f>
        <v>0</v>
      </c>
      <c r="I441" s="275" t="s">
        <v>15214</v>
      </c>
    </row>
    <row r="442" spans="1:9" x14ac:dyDescent="0.25">
      <c r="A442" s="299">
        <v>42951</v>
      </c>
      <c r="B442" s="302" t="s">
        <v>24237</v>
      </c>
      <c r="C442">
        <v>122414</v>
      </c>
      <c r="D442" s="236" t="s">
        <v>15389</v>
      </c>
      <c r="E442" s="301">
        <v>22693</v>
      </c>
      <c r="F442" s="303">
        <v>42960</v>
      </c>
      <c r="G442" s="301">
        <v>22693</v>
      </c>
      <c r="H442" s="304">
        <f>Tabla13[[#This Row],[Importe]]-Tabla13[[#This Row],[Pagado]]</f>
        <v>0</v>
      </c>
      <c r="I442" s="275" t="s">
        <v>15214</v>
      </c>
    </row>
    <row r="443" spans="1:9" x14ac:dyDescent="0.25">
      <c r="A443" s="299">
        <v>42951</v>
      </c>
      <c r="B443" s="302" t="s">
        <v>24238</v>
      </c>
      <c r="C443">
        <v>122415</v>
      </c>
      <c r="D443" s="236" t="s">
        <v>15716</v>
      </c>
      <c r="E443" s="301">
        <v>21585.75</v>
      </c>
      <c r="F443" s="303">
        <v>42951</v>
      </c>
      <c r="G443" s="301">
        <v>21585.75</v>
      </c>
      <c r="H443" s="304">
        <f>Tabla13[[#This Row],[Importe]]-Tabla13[[#This Row],[Pagado]]</f>
        <v>0</v>
      </c>
      <c r="I443" s="275" t="s">
        <v>15214</v>
      </c>
    </row>
    <row r="444" spans="1:9" x14ac:dyDescent="0.25">
      <c r="A444" s="299">
        <v>42951</v>
      </c>
      <c r="B444" s="302" t="s">
        <v>24239</v>
      </c>
      <c r="C444">
        <v>122416</v>
      </c>
      <c r="D444" s="236" t="s">
        <v>15261</v>
      </c>
      <c r="E444" s="301">
        <v>16277.95</v>
      </c>
      <c r="F444" s="303">
        <v>42951</v>
      </c>
      <c r="G444" s="301">
        <v>16277.95</v>
      </c>
      <c r="H444" s="304">
        <f>Tabla13[[#This Row],[Importe]]-Tabla13[[#This Row],[Pagado]]</f>
        <v>0</v>
      </c>
      <c r="I444" s="275" t="s">
        <v>15214</v>
      </c>
    </row>
    <row r="445" spans="1:9" ht="15.75" x14ac:dyDescent="0.25">
      <c r="A445" s="299">
        <v>42951</v>
      </c>
      <c r="B445" s="302" t="s">
        <v>24240</v>
      </c>
      <c r="C445">
        <v>122417</v>
      </c>
      <c r="D445" s="248" t="s">
        <v>95</v>
      </c>
      <c r="E445" s="301">
        <v>0</v>
      </c>
      <c r="F445" s="243" t="s">
        <v>95</v>
      </c>
      <c r="G445" s="301">
        <v>0</v>
      </c>
      <c r="H445" s="304">
        <f>Tabla13[[#This Row],[Importe]]-Tabla13[[#This Row],[Pagado]]</f>
        <v>0</v>
      </c>
      <c r="I445" s="275" t="s">
        <v>95</v>
      </c>
    </row>
    <row r="446" spans="1:9" x14ac:dyDescent="0.25">
      <c r="A446" s="299">
        <v>42951</v>
      </c>
      <c r="B446" s="302" t="s">
        <v>24241</v>
      </c>
      <c r="C446">
        <v>122418</v>
      </c>
      <c r="D446" s="236" t="s">
        <v>15577</v>
      </c>
      <c r="E446" s="301">
        <v>839.9</v>
      </c>
      <c r="F446" s="303">
        <v>42951</v>
      </c>
      <c r="G446" s="301">
        <v>839.9</v>
      </c>
      <c r="H446" s="304">
        <f>Tabla13[[#This Row],[Importe]]-Tabla13[[#This Row],[Pagado]]</f>
        <v>0</v>
      </c>
      <c r="I446" s="275" t="s">
        <v>15214</v>
      </c>
    </row>
    <row r="447" spans="1:9" x14ac:dyDescent="0.25">
      <c r="A447" s="299">
        <v>42951</v>
      </c>
      <c r="B447" s="302" t="s">
        <v>24242</v>
      </c>
      <c r="C447">
        <v>122419</v>
      </c>
      <c r="D447" s="236" t="s">
        <v>15284</v>
      </c>
      <c r="E447" s="301">
        <v>1179.2</v>
      </c>
      <c r="F447" s="303">
        <v>42951</v>
      </c>
      <c r="G447" s="301">
        <v>1179.2</v>
      </c>
      <c r="H447" s="304">
        <f>Tabla13[[#This Row],[Importe]]-Tabla13[[#This Row],[Pagado]]</f>
        <v>0</v>
      </c>
      <c r="I447" s="275" t="s">
        <v>15214</v>
      </c>
    </row>
    <row r="448" spans="1:9" x14ac:dyDescent="0.25">
      <c r="A448" s="299">
        <v>42951</v>
      </c>
      <c r="B448" s="302" t="s">
        <v>24243</v>
      </c>
      <c r="C448">
        <v>122420</v>
      </c>
      <c r="D448" s="236" t="s">
        <v>15248</v>
      </c>
      <c r="E448" s="301">
        <v>34762.9</v>
      </c>
      <c r="F448" s="303">
        <v>42951</v>
      </c>
      <c r="G448" s="301">
        <v>34762.9</v>
      </c>
      <c r="H448" s="304">
        <f>Tabla13[[#This Row],[Importe]]-Tabla13[[#This Row],[Pagado]]</f>
        <v>0</v>
      </c>
      <c r="I448" s="275" t="s">
        <v>15214</v>
      </c>
    </row>
    <row r="449" spans="1:9" x14ac:dyDescent="0.25">
      <c r="A449" s="299">
        <v>42951</v>
      </c>
      <c r="B449" s="302" t="s">
        <v>24244</v>
      </c>
      <c r="C449">
        <v>122421</v>
      </c>
      <c r="D449" s="236" t="s">
        <v>15716</v>
      </c>
      <c r="E449" s="301">
        <v>817</v>
      </c>
      <c r="F449" s="303">
        <v>42951</v>
      </c>
      <c r="G449" s="301">
        <v>817</v>
      </c>
      <c r="H449" s="304">
        <f>Tabla13[[#This Row],[Importe]]-Tabla13[[#This Row],[Pagado]]</f>
        <v>0</v>
      </c>
      <c r="I449" s="275" t="s">
        <v>15214</v>
      </c>
    </row>
    <row r="450" spans="1:9" x14ac:dyDescent="0.25">
      <c r="A450" s="299">
        <v>42951</v>
      </c>
      <c r="B450" s="302" t="s">
        <v>24245</v>
      </c>
      <c r="C450">
        <v>122422</v>
      </c>
      <c r="D450" s="236" t="s">
        <v>15315</v>
      </c>
      <c r="E450" s="301">
        <v>33901.25</v>
      </c>
      <c r="F450" s="303">
        <v>42956</v>
      </c>
      <c r="G450" s="301">
        <v>33901.25</v>
      </c>
      <c r="H450" s="304">
        <f>Tabla13[[#This Row],[Importe]]-Tabla13[[#This Row],[Pagado]]</f>
        <v>0</v>
      </c>
      <c r="I450" s="275" t="s">
        <v>15214</v>
      </c>
    </row>
    <row r="451" spans="1:9" x14ac:dyDescent="0.25">
      <c r="A451" s="299">
        <v>42951</v>
      </c>
      <c r="B451" s="302" t="s">
        <v>24246</v>
      </c>
      <c r="C451">
        <v>122423</v>
      </c>
      <c r="D451" s="236" t="s">
        <v>15324</v>
      </c>
      <c r="E451" s="301">
        <v>2890</v>
      </c>
      <c r="F451" s="303">
        <v>42952</v>
      </c>
      <c r="G451" s="301">
        <v>2890</v>
      </c>
      <c r="H451" s="304">
        <f>Tabla13[[#This Row],[Importe]]-Tabla13[[#This Row],[Pagado]]</f>
        <v>0</v>
      </c>
      <c r="I451" s="275" t="s">
        <v>15214</v>
      </c>
    </row>
    <row r="452" spans="1:9" x14ac:dyDescent="0.25">
      <c r="A452" s="299">
        <v>42951</v>
      </c>
      <c r="B452" s="302" t="s">
        <v>24247</v>
      </c>
      <c r="C452">
        <v>122424</v>
      </c>
      <c r="D452" s="236" t="s">
        <v>15307</v>
      </c>
      <c r="E452" s="301">
        <v>16121.5</v>
      </c>
      <c r="F452" s="303">
        <v>42951</v>
      </c>
      <c r="G452" s="301">
        <v>16121.5</v>
      </c>
      <c r="H452" s="304">
        <f>Tabla13[[#This Row],[Importe]]-Tabla13[[#This Row],[Pagado]]</f>
        <v>0</v>
      </c>
      <c r="I452" s="275" t="s">
        <v>15214</v>
      </c>
    </row>
    <row r="453" spans="1:9" x14ac:dyDescent="0.25">
      <c r="A453" s="299">
        <v>42951</v>
      </c>
      <c r="B453" s="302" t="s">
        <v>24248</v>
      </c>
      <c r="C453">
        <v>122425</v>
      </c>
      <c r="D453" s="236" t="s">
        <v>15248</v>
      </c>
      <c r="E453" s="301">
        <v>1042.8</v>
      </c>
      <c r="F453" s="303">
        <v>42951</v>
      </c>
      <c r="G453" s="301">
        <v>1042.8</v>
      </c>
      <c r="H453" s="304">
        <f>Tabla13[[#This Row],[Importe]]-Tabla13[[#This Row],[Pagado]]</f>
        <v>0</v>
      </c>
      <c r="I453" s="275" t="s">
        <v>15214</v>
      </c>
    </row>
    <row r="454" spans="1:9" ht="15.75" x14ac:dyDescent="0.25">
      <c r="A454" s="299">
        <v>42951</v>
      </c>
      <c r="B454" s="302" t="s">
        <v>24249</v>
      </c>
      <c r="C454">
        <v>122426</v>
      </c>
      <c r="D454" s="248" t="s">
        <v>95</v>
      </c>
      <c r="E454" s="301">
        <v>0</v>
      </c>
      <c r="F454" s="243" t="s">
        <v>95</v>
      </c>
      <c r="G454" s="301">
        <v>0</v>
      </c>
      <c r="H454" s="304">
        <f>Tabla13[[#This Row],[Importe]]-Tabla13[[#This Row],[Pagado]]</f>
        <v>0</v>
      </c>
      <c r="I454" s="275" t="s">
        <v>95</v>
      </c>
    </row>
    <row r="455" spans="1:9" x14ac:dyDescent="0.25">
      <c r="A455" s="299">
        <v>42951</v>
      </c>
      <c r="B455" s="302" t="s">
        <v>24250</v>
      </c>
      <c r="C455">
        <v>122427</v>
      </c>
      <c r="D455" s="236" t="s">
        <v>16126</v>
      </c>
      <c r="E455" s="301">
        <v>6167.05</v>
      </c>
      <c r="F455" s="303">
        <v>42951</v>
      </c>
      <c r="G455" s="301">
        <v>6167.05</v>
      </c>
      <c r="H455" s="304">
        <f>Tabla13[[#This Row],[Importe]]-Tabla13[[#This Row],[Pagado]]</f>
        <v>0</v>
      </c>
      <c r="I455" s="275" t="s">
        <v>15214</v>
      </c>
    </row>
    <row r="456" spans="1:9" x14ac:dyDescent="0.25">
      <c r="A456" s="299">
        <v>42951</v>
      </c>
      <c r="B456" s="302" t="s">
        <v>24251</v>
      </c>
      <c r="C456">
        <v>122428</v>
      </c>
      <c r="D456" s="236" t="s">
        <v>15596</v>
      </c>
      <c r="E456" s="301">
        <v>1000</v>
      </c>
      <c r="F456" s="303">
        <v>42951</v>
      </c>
      <c r="G456" s="301">
        <v>1000</v>
      </c>
      <c r="H456" s="304">
        <f>Tabla13[[#This Row],[Importe]]-Tabla13[[#This Row],[Pagado]]</f>
        <v>0</v>
      </c>
      <c r="I456" s="275" t="s">
        <v>15214</v>
      </c>
    </row>
    <row r="457" spans="1:9" x14ac:dyDescent="0.25">
      <c r="A457" s="299">
        <v>42951</v>
      </c>
      <c r="B457" s="302" t="s">
        <v>24252</v>
      </c>
      <c r="C457">
        <v>122429</v>
      </c>
      <c r="D457" s="236" t="s">
        <v>15276</v>
      </c>
      <c r="E457" s="301">
        <v>5000</v>
      </c>
      <c r="F457" s="303">
        <v>42952</v>
      </c>
      <c r="G457" s="301">
        <v>5000</v>
      </c>
      <c r="H457" s="304">
        <f>Tabla13[[#This Row],[Importe]]-Tabla13[[#This Row],[Pagado]]</f>
        <v>0</v>
      </c>
      <c r="I457" s="275" t="s">
        <v>15214</v>
      </c>
    </row>
    <row r="458" spans="1:9" x14ac:dyDescent="0.25">
      <c r="A458" s="299">
        <v>42951</v>
      </c>
      <c r="B458" s="302" t="s">
        <v>24253</v>
      </c>
      <c r="C458">
        <v>122430</v>
      </c>
      <c r="D458" s="236" t="s">
        <v>16126</v>
      </c>
      <c r="E458" s="301">
        <v>363</v>
      </c>
      <c r="F458" s="303">
        <v>42951</v>
      </c>
      <c r="G458" s="301">
        <v>363</v>
      </c>
      <c r="H458" s="304">
        <f>Tabla13[[#This Row],[Importe]]-Tabla13[[#This Row],[Pagado]]</f>
        <v>0</v>
      </c>
      <c r="I458" s="275" t="s">
        <v>15214</v>
      </c>
    </row>
    <row r="459" spans="1:9" x14ac:dyDescent="0.25">
      <c r="A459" s="299">
        <v>42951</v>
      </c>
      <c r="B459" s="302" t="s">
        <v>24254</v>
      </c>
      <c r="C459">
        <v>122431</v>
      </c>
      <c r="D459" s="236" t="s">
        <v>15415</v>
      </c>
      <c r="E459" s="301">
        <v>3065</v>
      </c>
      <c r="F459" s="303">
        <v>42952</v>
      </c>
      <c r="G459" s="301">
        <v>3065</v>
      </c>
      <c r="H459" s="304">
        <f>Tabla13[[#This Row],[Importe]]-Tabla13[[#This Row],[Pagado]]</f>
        <v>0</v>
      </c>
      <c r="I459" s="275" t="s">
        <v>15214</v>
      </c>
    </row>
    <row r="460" spans="1:9" x14ac:dyDescent="0.25">
      <c r="A460" s="299">
        <v>42951</v>
      </c>
      <c r="B460" s="302" t="s">
        <v>24255</v>
      </c>
      <c r="C460">
        <v>122432</v>
      </c>
      <c r="D460" s="236" t="s">
        <v>16217</v>
      </c>
      <c r="E460" s="301">
        <v>2730.2</v>
      </c>
      <c r="F460" s="303">
        <v>42951</v>
      </c>
      <c r="G460" s="301">
        <v>2730.2</v>
      </c>
      <c r="H460" s="304">
        <f>Tabla13[[#This Row],[Importe]]-Tabla13[[#This Row],[Pagado]]</f>
        <v>0</v>
      </c>
      <c r="I460" s="275" t="s">
        <v>15214</v>
      </c>
    </row>
    <row r="461" spans="1:9" x14ac:dyDescent="0.25">
      <c r="A461" s="299">
        <v>42951</v>
      </c>
      <c r="B461" s="302" t="s">
        <v>24256</v>
      </c>
      <c r="C461">
        <v>122433</v>
      </c>
      <c r="D461" s="236" t="s">
        <v>15706</v>
      </c>
      <c r="E461" s="301">
        <v>2079.8000000000002</v>
      </c>
      <c r="F461" s="303">
        <v>42951</v>
      </c>
      <c r="G461" s="301">
        <v>2079.8000000000002</v>
      </c>
      <c r="H461" s="304">
        <f>Tabla13[[#This Row],[Importe]]-Tabla13[[#This Row],[Pagado]]</f>
        <v>0</v>
      </c>
      <c r="I461" s="275" t="s">
        <v>15214</v>
      </c>
    </row>
    <row r="462" spans="1:9" x14ac:dyDescent="0.25">
      <c r="A462" s="299">
        <v>42951</v>
      </c>
      <c r="B462" s="302" t="s">
        <v>24257</v>
      </c>
      <c r="C462">
        <v>122434</v>
      </c>
      <c r="D462" s="236" t="s">
        <v>15311</v>
      </c>
      <c r="E462" s="301">
        <v>2009.4</v>
      </c>
      <c r="F462" s="303">
        <v>42951</v>
      </c>
      <c r="G462" s="301">
        <v>2009.4</v>
      </c>
      <c r="H462" s="304">
        <f>Tabla13[[#This Row],[Importe]]-Tabla13[[#This Row],[Pagado]]</f>
        <v>0</v>
      </c>
      <c r="I462" s="275" t="s">
        <v>15214</v>
      </c>
    </row>
    <row r="463" spans="1:9" x14ac:dyDescent="0.25">
      <c r="A463" s="299">
        <v>42951</v>
      </c>
      <c r="B463" s="302" t="s">
        <v>24258</v>
      </c>
      <c r="C463">
        <v>122435</v>
      </c>
      <c r="D463" s="236" t="s">
        <v>15291</v>
      </c>
      <c r="E463" s="301">
        <v>862.4</v>
      </c>
      <c r="F463" s="303">
        <v>42951</v>
      </c>
      <c r="G463" s="301">
        <v>862.4</v>
      </c>
      <c r="H463" s="304">
        <f>Tabla13[[#This Row],[Importe]]-Tabla13[[#This Row],[Pagado]]</f>
        <v>0</v>
      </c>
      <c r="I463" s="275" t="s">
        <v>15214</v>
      </c>
    </row>
    <row r="464" spans="1:9" x14ac:dyDescent="0.25">
      <c r="A464" s="299">
        <v>42951</v>
      </c>
      <c r="B464" s="302" t="s">
        <v>24259</v>
      </c>
      <c r="C464">
        <v>122436</v>
      </c>
      <c r="D464" s="236" t="s">
        <v>15398</v>
      </c>
      <c r="E464" s="301">
        <v>7448.15</v>
      </c>
      <c r="F464" s="303">
        <v>42954</v>
      </c>
      <c r="G464" s="301">
        <v>7448.15</v>
      </c>
      <c r="H464" s="304">
        <f>Tabla13[[#This Row],[Importe]]-Tabla13[[#This Row],[Pagado]]</f>
        <v>0</v>
      </c>
      <c r="I464" s="275" t="s">
        <v>15214</v>
      </c>
    </row>
    <row r="465" spans="1:9" x14ac:dyDescent="0.25">
      <c r="A465" s="299">
        <v>42951</v>
      </c>
      <c r="B465" s="302" t="s">
        <v>24260</v>
      </c>
      <c r="C465">
        <v>122437</v>
      </c>
      <c r="D465" s="236" t="s">
        <v>15559</v>
      </c>
      <c r="E465" s="301">
        <v>1605.9</v>
      </c>
      <c r="F465" s="303">
        <v>42956</v>
      </c>
      <c r="G465" s="301">
        <v>1605.9</v>
      </c>
      <c r="H465" s="304">
        <f>Tabla13[[#This Row],[Importe]]-Tabla13[[#This Row],[Pagado]]</f>
        <v>0</v>
      </c>
      <c r="I465" s="275" t="s">
        <v>15214</v>
      </c>
    </row>
    <row r="466" spans="1:9" x14ac:dyDescent="0.25">
      <c r="A466" s="299">
        <v>42951</v>
      </c>
      <c r="B466" s="302" t="s">
        <v>24261</v>
      </c>
      <c r="C466">
        <v>122438</v>
      </c>
      <c r="D466" s="236" t="s">
        <v>15539</v>
      </c>
      <c r="E466" s="301">
        <v>16683</v>
      </c>
      <c r="F466" s="303">
        <v>42956</v>
      </c>
      <c r="G466" s="301">
        <v>16683</v>
      </c>
      <c r="H466" s="304">
        <f>Tabla13[[#This Row],[Importe]]-Tabla13[[#This Row],[Pagado]]</f>
        <v>0</v>
      </c>
      <c r="I466" s="275" t="s">
        <v>15214</v>
      </c>
    </row>
    <row r="467" spans="1:9" x14ac:dyDescent="0.25">
      <c r="A467" s="299">
        <v>42951</v>
      </c>
      <c r="B467" s="302" t="s">
        <v>24262</v>
      </c>
      <c r="C467">
        <v>122439</v>
      </c>
      <c r="D467" s="236" t="s">
        <v>15309</v>
      </c>
      <c r="E467" s="301">
        <v>7143.9</v>
      </c>
      <c r="F467" s="303">
        <v>42952</v>
      </c>
      <c r="G467" s="301">
        <v>7143.9</v>
      </c>
      <c r="H467" s="304">
        <f>Tabla13[[#This Row],[Importe]]-Tabla13[[#This Row],[Pagado]]</f>
        <v>0</v>
      </c>
      <c r="I467" s="275" t="s">
        <v>15214</v>
      </c>
    </row>
    <row r="468" spans="1:9" x14ac:dyDescent="0.25">
      <c r="A468" s="299">
        <v>42951</v>
      </c>
      <c r="B468" s="302" t="s">
        <v>24263</v>
      </c>
      <c r="C468">
        <v>122440</v>
      </c>
      <c r="D468" s="236" t="s">
        <v>15274</v>
      </c>
      <c r="E468" s="301">
        <v>3352.8</v>
      </c>
      <c r="F468" s="303">
        <v>42951</v>
      </c>
      <c r="G468" s="301">
        <v>3352.8</v>
      </c>
      <c r="H468" s="304">
        <f>Tabla13[[#This Row],[Importe]]-Tabla13[[#This Row],[Pagado]]</f>
        <v>0</v>
      </c>
      <c r="I468" s="275" t="s">
        <v>15214</v>
      </c>
    </row>
    <row r="469" spans="1:9" x14ac:dyDescent="0.25">
      <c r="A469" s="299">
        <v>42951</v>
      </c>
      <c r="B469" s="302" t="s">
        <v>24264</v>
      </c>
      <c r="C469">
        <v>122441</v>
      </c>
      <c r="D469" s="236" t="s">
        <v>15537</v>
      </c>
      <c r="E469" s="301">
        <v>15677.4</v>
      </c>
      <c r="F469" s="303">
        <v>42956</v>
      </c>
      <c r="G469" s="301">
        <v>15677.4</v>
      </c>
      <c r="H469" s="304">
        <f>Tabla13[[#This Row],[Importe]]-Tabla13[[#This Row],[Pagado]]</f>
        <v>0</v>
      </c>
      <c r="I469" s="275" t="s">
        <v>15214</v>
      </c>
    </row>
    <row r="470" spans="1:9" x14ac:dyDescent="0.25">
      <c r="A470" s="299">
        <v>42951</v>
      </c>
      <c r="B470" s="302" t="s">
        <v>24265</v>
      </c>
      <c r="C470">
        <v>122442</v>
      </c>
      <c r="D470" s="236" t="s">
        <v>15315</v>
      </c>
      <c r="E470" s="301">
        <v>4996.6000000000004</v>
      </c>
      <c r="F470" s="303">
        <v>42956</v>
      </c>
      <c r="G470" s="301">
        <v>4996.6000000000004</v>
      </c>
      <c r="H470" s="304">
        <f>Tabla13[[#This Row],[Importe]]-Tabla13[[#This Row],[Pagado]]</f>
        <v>0</v>
      </c>
      <c r="I470" s="275" t="s">
        <v>15214</v>
      </c>
    </row>
    <row r="471" spans="1:9" x14ac:dyDescent="0.25">
      <c r="A471" s="299">
        <v>42951</v>
      </c>
      <c r="B471" s="302" t="s">
        <v>24266</v>
      </c>
      <c r="C471">
        <v>122443</v>
      </c>
      <c r="D471" s="236" t="s">
        <v>15544</v>
      </c>
      <c r="E471" s="301">
        <v>2172.1999999999998</v>
      </c>
      <c r="F471" s="303">
        <v>42956</v>
      </c>
      <c r="G471" s="301">
        <v>2172.1999999999998</v>
      </c>
      <c r="H471" s="304">
        <f>Tabla13[[#This Row],[Importe]]-Tabla13[[#This Row],[Pagado]]</f>
        <v>0</v>
      </c>
      <c r="I471" s="275" t="s">
        <v>15214</v>
      </c>
    </row>
    <row r="472" spans="1:9" x14ac:dyDescent="0.25">
      <c r="A472" s="299">
        <v>42951</v>
      </c>
      <c r="B472" s="302" t="s">
        <v>24267</v>
      </c>
      <c r="C472">
        <v>122444</v>
      </c>
      <c r="D472" s="236" t="s">
        <v>15305</v>
      </c>
      <c r="E472" s="301">
        <v>1909.7</v>
      </c>
      <c r="F472" s="303">
        <v>42952</v>
      </c>
      <c r="G472" s="301">
        <v>1909.7</v>
      </c>
      <c r="H472" s="304">
        <f>Tabla13[[#This Row],[Importe]]-Tabla13[[#This Row],[Pagado]]</f>
        <v>0</v>
      </c>
      <c r="I472" s="275" t="s">
        <v>15214</v>
      </c>
    </row>
    <row r="473" spans="1:9" x14ac:dyDescent="0.25">
      <c r="A473" s="299">
        <v>42951</v>
      </c>
      <c r="B473" s="302" t="s">
        <v>24268</v>
      </c>
      <c r="C473">
        <v>122445</v>
      </c>
      <c r="D473" s="236" t="s">
        <v>15317</v>
      </c>
      <c r="E473" s="301">
        <v>3726.4</v>
      </c>
      <c r="F473" s="303">
        <v>42955</v>
      </c>
      <c r="G473" s="301">
        <v>3726.4</v>
      </c>
      <c r="H473" s="304">
        <f>Tabla13[[#This Row],[Importe]]-Tabla13[[#This Row],[Pagado]]</f>
        <v>0</v>
      </c>
      <c r="I473" s="275" t="s">
        <v>15214</v>
      </c>
    </row>
    <row r="474" spans="1:9" ht="15.75" x14ac:dyDescent="0.25">
      <c r="A474" s="299">
        <v>42951</v>
      </c>
      <c r="B474" s="302" t="s">
        <v>24269</v>
      </c>
      <c r="C474">
        <v>122446</v>
      </c>
      <c r="D474" s="248" t="s">
        <v>95</v>
      </c>
      <c r="E474" s="301">
        <v>0</v>
      </c>
      <c r="F474" s="243" t="s">
        <v>95</v>
      </c>
      <c r="G474" s="301">
        <v>0</v>
      </c>
      <c r="H474" s="304">
        <f>Tabla13[[#This Row],[Importe]]-Tabla13[[#This Row],[Pagado]]</f>
        <v>0</v>
      </c>
      <c r="I474" s="275" t="s">
        <v>95</v>
      </c>
    </row>
    <row r="475" spans="1:9" x14ac:dyDescent="0.25">
      <c r="A475" s="299">
        <v>42951</v>
      </c>
      <c r="B475" s="302" t="s">
        <v>24270</v>
      </c>
      <c r="C475">
        <v>122447</v>
      </c>
      <c r="D475" s="236" t="s">
        <v>15417</v>
      </c>
      <c r="E475" s="301">
        <v>3905.3</v>
      </c>
      <c r="F475" s="303">
        <v>42952</v>
      </c>
      <c r="G475" s="301">
        <v>3905.3</v>
      </c>
      <c r="H475" s="304">
        <f>Tabla13[[#This Row],[Importe]]-Tabla13[[#This Row],[Pagado]]</f>
        <v>0</v>
      </c>
      <c r="I475" s="275" t="s">
        <v>15214</v>
      </c>
    </row>
    <row r="476" spans="1:9" x14ac:dyDescent="0.25">
      <c r="A476" s="299">
        <v>42951</v>
      </c>
      <c r="B476" s="302" t="s">
        <v>24271</v>
      </c>
      <c r="C476">
        <v>122448</v>
      </c>
      <c r="D476" s="236" t="s">
        <v>15315</v>
      </c>
      <c r="E476" s="301">
        <v>6155.6</v>
      </c>
      <c r="F476" s="303">
        <v>42958</v>
      </c>
      <c r="G476" s="301">
        <v>6155.6</v>
      </c>
      <c r="H476" s="304">
        <f>Tabla13[[#This Row],[Importe]]-Tabla13[[#This Row],[Pagado]]</f>
        <v>0</v>
      </c>
      <c r="I476" s="275" t="s">
        <v>15214</v>
      </c>
    </row>
    <row r="477" spans="1:9" x14ac:dyDescent="0.25">
      <c r="A477" s="299">
        <v>42951</v>
      </c>
      <c r="B477" s="302" t="s">
        <v>24272</v>
      </c>
      <c r="C477">
        <v>122449</v>
      </c>
      <c r="D477" s="236" t="s">
        <v>15315</v>
      </c>
      <c r="E477" s="301">
        <v>3469.4</v>
      </c>
      <c r="F477" s="303">
        <v>42956</v>
      </c>
      <c r="G477" s="301">
        <v>3469.4</v>
      </c>
      <c r="H477" s="304">
        <f>Tabla13[[#This Row],[Importe]]-Tabla13[[#This Row],[Pagado]]</f>
        <v>0</v>
      </c>
      <c r="I477" s="275" t="s">
        <v>15214</v>
      </c>
    </row>
    <row r="478" spans="1:9" x14ac:dyDescent="0.25">
      <c r="A478" s="299">
        <v>42951</v>
      </c>
      <c r="B478" s="302" t="s">
        <v>24273</v>
      </c>
      <c r="C478">
        <v>122450</v>
      </c>
      <c r="D478" s="236" t="s">
        <v>15396</v>
      </c>
      <c r="E478" s="301">
        <v>10954.76</v>
      </c>
      <c r="F478" s="303">
        <v>42951</v>
      </c>
      <c r="G478" s="301">
        <v>10954.76</v>
      </c>
      <c r="H478" s="304">
        <f>Tabla13[[#This Row],[Importe]]-Tabla13[[#This Row],[Pagado]]</f>
        <v>0</v>
      </c>
      <c r="I478" s="275" t="s">
        <v>15214</v>
      </c>
    </row>
    <row r="479" spans="1:9" x14ac:dyDescent="0.25">
      <c r="A479" s="299">
        <v>42951</v>
      </c>
      <c r="B479" s="302" t="s">
        <v>24274</v>
      </c>
      <c r="C479">
        <v>122451</v>
      </c>
      <c r="D479" s="236" t="s">
        <v>15326</v>
      </c>
      <c r="E479" s="301">
        <v>4273.3999999999996</v>
      </c>
      <c r="F479" s="303">
        <v>42951</v>
      </c>
      <c r="G479" s="301">
        <v>4273.3999999999996</v>
      </c>
      <c r="H479" s="304">
        <f>Tabla13[[#This Row],[Importe]]-Tabla13[[#This Row],[Pagado]]</f>
        <v>0</v>
      </c>
      <c r="I479" s="275" t="s">
        <v>15214</v>
      </c>
    </row>
    <row r="480" spans="1:9" x14ac:dyDescent="0.25">
      <c r="A480" s="299">
        <v>42951</v>
      </c>
      <c r="B480" s="302" t="s">
        <v>24275</v>
      </c>
      <c r="C480">
        <v>122452</v>
      </c>
      <c r="D480" s="236" t="s">
        <v>15246</v>
      </c>
      <c r="E480" s="301">
        <v>70834.960000000006</v>
      </c>
      <c r="F480" s="303">
        <v>42954</v>
      </c>
      <c r="G480" s="301">
        <v>70834.960000000006</v>
      </c>
      <c r="H480" s="304">
        <f>Tabla13[[#This Row],[Importe]]-Tabla13[[#This Row],[Pagado]]</f>
        <v>0</v>
      </c>
      <c r="I480" s="275" t="s">
        <v>15214</v>
      </c>
    </row>
    <row r="481" spans="1:9" ht="45" x14ac:dyDescent="0.25">
      <c r="A481" s="299">
        <v>42951</v>
      </c>
      <c r="B481" s="302" t="s">
        <v>24276</v>
      </c>
      <c r="C481">
        <v>122453</v>
      </c>
      <c r="D481" s="236" t="s">
        <v>15557</v>
      </c>
      <c r="E481" s="301">
        <v>26480.9</v>
      </c>
      <c r="F481" s="303" t="s">
        <v>27672</v>
      </c>
      <c r="G481" s="305">
        <f>18800+6500+1180.9</f>
        <v>26480.9</v>
      </c>
      <c r="H481" s="360">
        <f>Tabla13[[#This Row],[Importe]]-Tabla13[[#This Row],[Pagado]]</f>
        <v>0</v>
      </c>
      <c r="I481" s="275" t="s">
        <v>15214</v>
      </c>
    </row>
    <row r="482" spans="1:9" x14ac:dyDescent="0.25">
      <c r="A482" s="299">
        <v>42951</v>
      </c>
      <c r="B482" s="302" t="s">
        <v>24277</v>
      </c>
      <c r="C482">
        <v>122454</v>
      </c>
      <c r="D482" s="236" t="s">
        <v>15315</v>
      </c>
      <c r="E482" s="301">
        <v>6527.8</v>
      </c>
      <c r="F482" s="303">
        <v>42951</v>
      </c>
      <c r="G482" s="301">
        <v>6527.8</v>
      </c>
      <c r="H482" s="304">
        <f>Tabla13[[#This Row],[Importe]]-Tabla13[[#This Row],[Pagado]]</f>
        <v>0</v>
      </c>
      <c r="I482" s="275" t="s">
        <v>15214</v>
      </c>
    </row>
    <row r="483" spans="1:9" x14ac:dyDescent="0.25">
      <c r="A483" s="299">
        <v>42951</v>
      </c>
      <c r="B483" s="302" t="s">
        <v>24278</v>
      </c>
      <c r="C483">
        <v>122455</v>
      </c>
      <c r="D483" s="236" t="s">
        <v>15315</v>
      </c>
      <c r="E483" s="301">
        <v>2451</v>
      </c>
      <c r="F483" s="303">
        <v>42951</v>
      </c>
      <c r="G483" s="301">
        <v>2451</v>
      </c>
      <c r="H483" s="304">
        <f>Tabla13[[#This Row],[Importe]]-Tabla13[[#This Row],[Pagado]]</f>
        <v>0</v>
      </c>
      <c r="I483" s="275" t="s">
        <v>15214</v>
      </c>
    </row>
    <row r="484" spans="1:9" x14ac:dyDescent="0.25">
      <c r="A484" s="299">
        <v>42951</v>
      </c>
      <c r="B484" s="302" t="s">
        <v>24279</v>
      </c>
      <c r="C484">
        <v>122456</v>
      </c>
      <c r="D484" s="236" t="s">
        <v>15315</v>
      </c>
      <c r="E484" s="301">
        <v>1162.8</v>
      </c>
      <c r="F484" s="303">
        <v>42951</v>
      </c>
      <c r="G484" s="301">
        <v>1162.8</v>
      </c>
      <c r="H484" s="304">
        <f>Tabla13[[#This Row],[Importe]]-Tabla13[[#This Row],[Pagado]]</f>
        <v>0</v>
      </c>
      <c r="I484" s="275" t="s">
        <v>15214</v>
      </c>
    </row>
    <row r="485" spans="1:9" x14ac:dyDescent="0.25">
      <c r="A485" s="299">
        <v>42951</v>
      </c>
      <c r="B485" s="302" t="s">
        <v>24280</v>
      </c>
      <c r="C485">
        <v>122457</v>
      </c>
      <c r="D485" s="236" t="s">
        <v>15562</v>
      </c>
      <c r="E485" s="301">
        <v>3707.7</v>
      </c>
      <c r="F485" s="303">
        <v>42951</v>
      </c>
      <c r="G485" s="301">
        <v>3707.7</v>
      </c>
      <c r="H485" s="304">
        <f>Tabla13[[#This Row],[Importe]]-Tabla13[[#This Row],[Pagado]]</f>
        <v>0</v>
      </c>
      <c r="I485" s="275" t="s">
        <v>15214</v>
      </c>
    </row>
    <row r="486" spans="1:9" x14ac:dyDescent="0.25">
      <c r="A486" s="299">
        <v>42951</v>
      </c>
      <c r="B486" s="302" t="s">
        <v>24281</v>
      </c>
      <c r="C486">
        <v>122458</v>
      </c>
      <c r="D486" s="236" t="s">
        <v>15725</v>
      </c>
      <c r="E486" s="301">
        <v>23078.2</v>
      </c>
      <c r="F486" s="303">
        <v>42954</v>
      </c>
      <c r="G486" s="301">
        <v>23078.2</v>
      </c>
      <c r="H486" s="304">
        <f>Tabla13[[#This Row],[Importe]]-Tabla13[[#This Row],[Pagado]]</f>
        <v>0</v>
      </c>
      <c r="I486" s="275" t="s">
        <v>15214</v>
      </c>
    </row>
    <row r="487" spans="1:9" x14ac:dyDescent="0.25">
      <c r="A487" s="299">
        <v>42951</v>
      </c>
      <c r="B487" s="302" t="s">
        <v>24282</v>
      </c>
      <c r="C487">
        <v>122459</v>
      </c>
      <c r="D487" s="236" t="s">
        <v>16108</v>
      </c>
      <c r="E487" s="301">
        <v>2377.5</v>
      </c>
      <c r="F487" s="303">
        <v>42951</v>
      </c>
      <c r="G487" s="301">
        <v>2377.5</v>
      </c>
      <c r="H487" s="304">
        <f>Tabla13[[#This Row],[Importe]]-Tabla13[[#This Row],[Pagado]]</f>
        <v>0</v>
      </c>
      <c r="I487" s="275" t="s">
        <v>15214</v>
      </c>
    </row>
    <row r="488" spans="1:9" x14ac:dyDescent="0.25">
      <c r="A488" s="299">
        <v>42951</v>
      </c>
      <c r="B488" s="302" t="s">
        <v>24283</v>
      </c>
      <c r="C488">
        <v>122460</v>
      </c>
      <c r="D488" s="236" t="s">
        <v>15263</v>
      </c>
      <c r="E488" s="301">
        <v>2305.1999999999998</v>
      </c>
      <c r="F488" s="303">
        <v>42951</v>
      </c>
      <c r="G488" s="301">
        <v>2305.1999999999998</v>
      </c>
      <c r="H488" s="304">
        <f>Tabla13[[#This Row],[Importe]]-Tabla13[[#This Row],[Pagado]]</f>
        <v>0</v>
      </c>
      <c r="I488" s="275" t="s">
        <v>15214</v>
      </c>
    </row>
    <row r="489" spans="1:9" x14ac:dyDescent="0.25">
      <c r="A489" s="299">
        <v>42951</v>
      </c>
      <c r="B489" s="302" t="s">
        <v>24284</v>
      </c>
      <c r="C489">
        <v>122461</v>
      </c>
      <c r="D489" s="236" t="s">
        <v>15590</v>
      </c>
      <c r="E489" s="301">
        <v>16579.2</v>
      </c>
      <c r="F489" s="303">
        <v>42968</v>
      </c>
      <c r="G489" s="301">
        <v>16579.2</v>
      </c>
      <c r="H489" s="304">
        <f>Tabla13[[#This Row],[Importe]]-Tabla13[[#This Row],[Pagado]]</f>
        <v>0</v>
      </c>
      <c r="I489" s="275" t="s">
        <v>15214</v>
      </c>
    </row>
    <row r="490" spans="1:9" x14ac:dyDescent="0.25">
      <c r="A490" s="299">
        <v>42951</v>
      </c>
      <c r="B490" s="302" t="s">
        <v>24285</v>
      </c>
      <c r="C490">
        <v>122462</v>
      </c>
      <c r="D490" s="236" t="s">
        <v>15868</v>
      </c>
      <c r="E490" s="301">
        <v>4422.6000000000004</v>
      </c>
      <c r="F490" s="303">
        <v>42952</v>
      </c>
      <c r="G490" s="301">
        <v>4422.6000000000004</v>
      </c>
      <c r="H490" s="304">
        <f>Tabla13[[#This Row],[Importe]]-Tabla13[[#This Row],[Pagado]]</f>
        <v>0</v>
      </c>
      <c r="I490" s="275" t="s">
        <v>15214</v>
      </c>
    </row>
    <row r="491" spans="1:9" x14ac:dyDescent="0.25">
      <c r="A491" s="299">
        <v>42951</v>
      </c>
      <c r="B491" s="302" t="s">
        <v>24286</v>
      </c>
      <c r="C491">
        <v>122463</v>
      </c>
      <c r="D491" s="236" t="s">
        <v>15868</v>
      </c>
      <c r="E491" s="301">
        <v>7875.52</v>
      </c>
      <c r="F491" s="303">
        <v>42952</v>
      </c>
      <c r="G491" s="301">
        <v>7875.52</v>
      </c>
      <c r="H491" s="304">
        <f>Tabla13[[#This Row],[Importe]]-Tabla13[[#This Row],[Pagado]]</f>
        <v>0</v>
      </c>
      <c r="I491" s="275" t="s">
        <v>15214</v>
      </c>
    </row>
    <row r="492" spans="1:9" x14ac:dyDescent="0.25">
      <c r="A492" s="299">
        <v>42951</v>
      </c>
      <c r="B492" s="302" t="s">
        <v>24287</v>
      </c>
      <c r="C492">
        <v>122464</v>
      </c>
      <c r="D492" s="236" t="s">
        <v>15282</v>
      </c>
      <c r="E492" s="301">
        <v>2468.4</v>
      </c>
      <c r="F492" s="303">
        <v>42951</v>
      </c>
      <c r="G492" s="301">
        <v>2468.4</v>
      </c>
      <c r="H492" s="304">
        <f>Tabla13[[#This Row],[Importe]]-Tabla13[[#This Row],[Pagado]]</f>
        <v>0</v>
      </c>
      <c r="I492" s="275" t="s">
        <v>15214</v>
      </c>
    </row>
    <row r="493" spans="1:9" x14ac:dyDescent="0.25">
      <c r="A493" s="299">
        <v>42951</v>
      </c>
      <c r="B493" s="302" t="s">
        <v>24288</v>
      </c>
      <c r="C493">
        <v>122465</v>
      </c>
      <c r="D493" s="236" t="s">
        <v>15594</v>
      </c>
      <c r="E493" s="301">
        <v>1492.8</v>
      </c>
      <c r="F493" s="303">
        <v>42952</v>
      </c>
      <c r="G493" s="301">
        <v>1492.8</v>
      </c>
      <c r="H493" s="304">
        <f>Tabla13[[#This Row],[Importe]]-Tabla13[[#This Row],[Pagado]]</f>
        <v>0</v>
      </c>
      <c r="I493" s="275" t="s">
        <v>15214</v>
      </c>
    </row>
    <row r="494" spans="1:9" x14ac:dyDescent="0.25">
      <c r="A494" s="299">
        <v>42951</v>
      </c>
      <c r="B494" s="302" t="s">
        <v>24289</v>
      </c>
      <c r="C494">
        <v>122466</v>
      </c>
      <c r="D494" s="236" t="s">
        <v>15391</v>
      </c>
      <c r="E494" s="301">
        <v>12654</v>
      </c>
      <c r="F494" s="303">
        <v>42956</v>
      </c>
      <c r="G494" s="301">
        <v>12654</v>
      </c>
      <c r="H494" s="304">
        <f>Tabla13[[#This Row],[Importe]]-Tabla13[[#This Row],[Pagado]]</f>
        <v>0</v>
      </c>
      <c r="I494" s="275" t="s">
        <v>15214</v>
      </c>
    </row>
    <row r="495" spans="1:9" x14ac:dyDescent="0.25">
      <c r="A495" s="299">
        <v>42951</v>
      </c>
      <c r="B495" s="302" t="s">
        <v>24290</v>
      </c>
      <c r="C495">
        <v>122467</v>
      </c>
      <c r="D495" s="236" t="s">
        <v>16522</v>
      </c>
      <c r="E495" s="301">
        <v>2194.1999999999998</v>
      </c>
      <c r="F495" s="303">
        <v>43042</v>
      </c>
      <c r="G495" s="301">
        <v>2194.1999999999998</v>
      </c>
      <c r="H495" s="304">
        <f>Tabla13[[#This Row],[Importe]]-Tabla13[[#This Row],[Pagado]]</f>
        <v>0</v>
      </c>
      <c r="I495" s="275" t="s">
        <v>15214</v>
      </c>
    </row>
    <row r="496" spans="1:9" ht="30" x14ac:dyDescent="0.25">
      <c r="A496" s="299">
        <v>42951</v>
      </c>
      <c r="B496" s="302" t="s">
        <v>24291</v>
      </c>
      <c r="C496">
        <v>122468</v>
      </c>
      <c r="D496" s="236" t="s">
        <v>15232</v>
      </c>
      <c r="E496" s="301">
        <v>6028.6</v>
      </c>
      <c r="F496" s="303" t="s">
        <v>23764</v>
      </c>
      <c r="G496" s="301">
        <v>6028.6</v>
      </c>
      <c r="H496" s="304">
        <f>Tabla13[[#This Row],[Importe]]-Tabla13[[#This Row],[Pagado]]</f>
        <v>0</v>
      </c>
      <c r="I496" s="275" t="s">
        <v>15214</v>
      </c>
    </row>
    <row r="497" spans="1:9" x14ac:dyDescent="0.25">
      <c r="A497" s="299">
        <v>42951</v>
      </c>
      <c r="B497" s="302" t="s">
        <v>24292</v>
      </c>
      <c r="C497">
        <v>122469</v>
      </c>
      <c r="D497" s="236" t="s">
        <v>15810</v>
      </c>
      <c r="E497" s="301">
        <v>691.9</v>
      </c>
      <c r="F497" s="303">
        <v>42951</v>
      </c>
      <c r="G497" s="301">
        <v>691.9</v>
      </c>
      <c r="H497" s="304">
        <f>Tabla13[[#This Row],[Importe]]-Tabla13[[#This Row],[Pagado]]</f>
        <v>0</v>
      </c>
      <c r="I497" s="275" t="s">
        <v>15214</v>
      </c>
    </row>
    <row r="498" spans="1:9" x14ac:dyDescent="0.25">
      <c r="A498" s="299">
        <v>42951</v>
      </c>
      <c r="B498" s="302" t="s">
        <v>24293</v>
      </c>
      <c r="C498">
        <v>122470</v>
      </c>
      <c r="D498" s="236" t="s">
        <v>15363</v>
      </c>
      <c r="E498" s="301">
        <v>2784.6</v>
      </c>
      <c r="F498" s="303">
        <v>42952</v>
      </c>
      <c r="G498" s="301">
        <v>2784.6</v>
      </c>
      <c r="H498" s="304">
        <f>Tabla13[[#This Row],[Importe]]-Tabla13[[#This Row],[Pagado]]</f>
        <v>0</v>
      </c>
      <c r="I498" s="275" t="s">
        <v>15214</v>
      </c>
    </row>
    <row r="499" spans="1:9" x14ac:dyDescent="0.25">
      <c r="A499" s="299">
        <v>42951</v>
      </c>
      <c r="B499" s="302" t="s">
        <v>24294</v>
      </c>
      <c r="C499">
        <v>122471</v>
      </c>
      <c r="D499" s="236" t="s">
        <v>15581</v>
      </c>
      <c r="E499" s="301">
        <v>4756.2</v>
      </c>
      <c r="F499" s="303">
        <v>42956</v>
      </c>
      <c r="G499" s="301">
        <v>4756.2</v>
      </c>
      <c r="H499" s="304">
        <f>Tabla13[[#This Row],[Importe]]-Tabla13[[#This Row],[Pagado]]</f>
        <v>0</v>
      </c>
      <c r="I499" s="275" t="s">
        <v>15214</v>
      </c>
    </row>
    <row r="500" spans="1:9" x14ac:dyDescent="0.25">
      <c r="A500" s="299">
        <v>42951</v>
      </c>
      <c r="B500" s="302" t="s">
        <v>24295</v>
      </c>
      <c r="C500">
        <v>122472</v>
      </c>
      <c r="D500" s="236" t="s">
        <v>15315</v>
      </c>
      <c r="E500" s="301">
        <v>1054</v>
      </c>
      <c r="F500" s="303">
        <v>42951</v>
      </c>
      <c r="G500" s="301">
        <v>1054</v>
      </c>
      <c r="H500" s="304">
        <f>Tabla13[[#This Row],[Importe]]-Tabla13[[#This Row],[Pagado]]</f>
        <v>0</v>
      </c>
      <c r="I500" s="275" t="s">
        <v>15214</v>
      </c>
    </row>
    <row r="501" spans="1:9" x14ac:dyDescent="0.25">
      <c r="A501" s="299">
        <v>42951</v>
      </c>
      <c r="B501" s="302" t="s">
        <v>24296</v>
      </c>
      <c r="C501">
        <v>122473</v>
      </c>
      <c r="D501" s="236" t="s">
        <v>15387</v>
      </c>
      <c r="E501" s="301">
        <v>1844.34</v>
      </c>
      <c r="F501" s="303">
        <v>42952</v>
      </c>
      <c r="G501" s="301">
        <v>1844.34</v>
      </c>
      <c r="H501" s="304">
        <f>Tabla13[[#This Row],[Importe]]-Tabla13[[#This Row],[Pagado]]</f>
        <v>0</v>
      </c>
      <c r="I501" s="275" t="s">
        <v>15214</v>
      </c>
    </row>
    <row r="502" spans="1:9" x14ac:dyDescent="0.25">
      <c r="A502" s="299">
        <v>42951</v>
      </c>
      <c r="B502" s="302" t="s">
        <v>24297</v>
      </c>
      <c r="C502">
        <v>122474</v>
      </c>
      <c r="D502" s="236" t="s">
        <v>15590</v>
      </c>
      <c r="E502" s="301">
        <v>1009.4</v>
      </c>
      <c r="F502" s="303">
        <v>42968</v>
      </c>
      <c r="G502" s="301">
        <v>1009.4</v>
      </c>
      <c r="H502" s="304">
        <f>Tabla13[[#This Row],[Importe]]-Tabla13[[#This Row],[Pagado]]</f>
        <v>0</v>
      </c>
      <c r="I502" s="275" t="s">
        <v>15214</v>
      </c>
    </row>
    <row r="503" spans="1:9" x14ac:dyDescent="0.25">
      <c r="A503" s="299">
        <v>42951</v>
      </c>
      <c r="B503" s="302" t="s">
        <v>24298</v>
      </c>
      <c r="C503">
        <v>122475</v>
      </c>
      <c r="D503" s="236" t="s">
        <v>15568</v>
      </c>
      <c r="E503" s="301">
        <v>19147.099999999999</v>
      </c>
      <c r="F503" s="303">
        <v>42952</v>
      </c>
      <c r="G503" s="301">
        <v>19147.099999999999</v>
      </c>
      <c r="H503" s="304">
        <f>Tabla13[[#This Row],[Importe]]-Tabla13[[#This Row],[Pagado]]</f>
        <v>0</v>
      </c>
      <c r="I503" s="275" t="s">
        <v>15214</v>
      </c>
    </row>
    <row r="504" spans="1:9" x14ac:dyDescent="0.25">
      <c r="A504" s="299">
        <v>42951</v>
      </c>
      <c r="B504" s="302" t="s">
        <v>24299</v>
      </c>
      <c r="C504">
        <v>122476</v>
      </c>
      <c r="D504" s="236" t="s">
        <v>15725</v>
      </c>
      <c r="E504" s="301">
        <v>1048.8</v>
      </c>
      <c r="F504" s="303">
        <v>42954</v>
      </c>
      <c r="G504" s="301">
        <v>1048.8</v>
      </c>
      <c r="H504" s="304">
        <f>Tabla13[[#This Row],[Importe]]-Tabla13[[#This Row],[Pagado]]</f>
        <v>0</v>
      </c>
      <c r="I504" s="275" t="s">
        <v>15214</v>
      </c>
    </row>
    <row r="505" spans="1:9" x14ac:dyDescent="0.25">
      <c r="A505" s="299">
        <v>42951</v>
      </c>
      <c r="B505" s="302" t="s">
        <v>24300</v>
      </c>
      <c r="C505">
        <v>122477</v>
      </c>
      <c r="D505" s="236" t="s">
        <v>15665</v>
      </c>
      <c r="E505" s="301">
        <v>568.79999999999995</v>
      </c>
      <c r="F505" s="303">
        <v>42951</v>
      </c>
      <c r="G505" s="301">
        <v>568.79999999999995</v>
      </c>
      <c r="H505" s="304">
        <f>Tabla13[[#This Row],[Importe]]-Tabla13[[#This Row],[Pagado]]</f>
        <v>0</v>
      </c>
      <c r="I505" s="275" t="s">
        <v>15214</v>
      </c>
    </row>
    <row r="506" spans="1:9" x14ac:dyDescent="0.25">
      <c r="A506" s="299">
        <v>42951</v>
      </c>
      <c r="B506" s="302" t="s">
        <v>24301</v>
      </c>
      <c r="C506">
        <v>122478</v>
      </c>
      <c r="D506" s="236" t="s">
        <v>15315</v>
      </c>
      <c r="E506" s="301">
        <v>1174</v>
      </c>
      <c r="F506" s="303">
        <v>42951</v>
      </c>
      <c r="G506" s="301">
        <v>1174</v>
      </c>
      <c r="H506" s="304">
        <f>Tabla13[[#This Row],[Importe]]-Tabla13[[#This Row],[Pagado]]</f>
        <v>0</v>
      </c>
      <c r="I506" s="275" t="s">
        <v>15214</v>
      </c>
    </row>
    <row r="507" spans="1:9" x14ac:dyDescent="0.25">
      <c r="A507" s="299">
        <v>42951</v>
      </c>
      <c r="B507" s="302" t="s">
        <v>24302</v>
      </c>
      <c r="C507">
        <v>122479</v>
      </c>
      <c r="D507" s="236" t="s">
        <v>15442</v>
      </c>
      <c r="E507" s="301">
        <v>16294.9</v>
      </c>
      <c r="F507" s="303">
        <v>42968</v>
      </c>
      <c r="G507" s="301">
        <v>16294.9</v>
      </c>
      <c r="H507" s="304">
        <f>Tabla13[[#This Row],[Importe]]-Tabla13[[#This Row],[Pagado]]</f>
        <v>0</v>
      </c>
      <c r="I507" s="275" t="s">
        <v>15214</v>
      </c>
    </row>
    <row r="508" spans="1:9" x14ac:dyDescent="0.25">
      <c r="A508" s="299">
        <v>42951</v>
      </c>
      <c r="B508" s="302" t="s">
        <v>24303</v>
      </c>
      <c r="C508">
        <v>122480</v>
      </c>
      <c r="D508" s="236" t="s">
        <v>15378</v>
      </c>
      <c r="E508" s="301">
        <v>316.8</v>
      </c>
      <c r="F508" s="303">
        <v>42951</v>
      </c>
      <c r="G508" s="301">
        <v>316.8</v>
      </c>
      <c r="H508" s="304">
        <f>Tabla13[[#This Row],[Importe]]-Tabla13[[#This Row],[Pagado]]</f>
        <v>0</v>
      </c>
      <c r="I508" s="275" t="s">
        <v>15214</v>
      </c>
    </row>
    <row r="509" spans="1:9" x14ac:dyDescent="0.25">
      <c r="A509" s="299">
        <v>42951</v>
      </c>
      <c r="B509" s="302" t="s">
        <v>24304</v>
      </c>
      <c r="C509">
        <v>122481</v>
      </c>
      <c r="D509" s="236" t="s">
        <v>16313</v>
      </c>
      <c r="E509" s="301">
        <v>6159.6</v>
      </c>
      <c r="F509" s="303">
        <v>42951</v>
      </c>
      <c r="G509" s="301">
        <v>6159.6</v>
      </c>
      <c r="H509" s="304">
        <f>Tabla13[[#This Row],[Importe]]-Tabla13[[#This Row],[Pagado]]</f>
        <v>0</v>
      </c>
      <c r="I509" s="275" t="s">
        <v>15214</v>
      </c>
    </row>
    <row r="510" spans="1:9" x14ac:dyDescent="0.25">
      <c r="A510" s="299">
        <v>42951</v>
      </c>
      <c r="B510" s="302" t="s">
        <v>24305</v>
      </c>
      <c r="C510">
        <v>122482</v>
      </c>
      <c r="D510" s="236" t="s">
        <v>15246</v>
      </c>
      <c r="E510" s="301">
        <v>117925.1</v>
      </c>
      <c r="F510" s="303">
        <v>42954</v>
      </c>
      <c r="G510" s="301">
        <v>117925.1</v>
      </c>
      <c r="H510" s="304">
        <f>Tabla13[[#This Row],[Importe]]-Tabla13[[#This Row],[Pagado]]</f>
        <v>0</v>
      </c>
      <c r="I510" s="275" t="s">
        <v>15214</v>
      </c>
    </row>
    <row r="511" spans="1:9" x14ac:dyDescent="0.25">
      <c r="A511" s="299">
        <v>42951</v>
      </c>
      <c r="B511" s="302" t="s">
        <v>24306</v>
      </c>
      <c r="C511">
        <v>122483</v>
      </c>
      <c r="D511" s="236" t="s">
        <v>15284</v>
      </c>
      <c r="E511" s="301">
        <v>452.5</v>
      </c>
      <c r="F511" s="303">
        <v>42951</v>
      </c>
      <c r="G511" s="301">
        <v>452.5</v>
      </c>
      <c r="H511" s="304">
        <f>Tabla13[[#This Row],[Importe]]-Tabla13[[#This Row],[Pagado]]</f>
        <v>0</v>
      </c>
      <c r="I511" s="275" t="s">
        <v>15214</v>
      </c>
    </row>
    <row r="512" spans="1:9" x14ac:dyDescent="0.25">
      <c r="A512" s="299">
        <v>42951</v>
      </c>
      <c r="B512" s="302" t="s">
        <v>24307</v>
      </c>
      <c r="C512">
        <v>122484</v>
      </c>
      <c r="D512" s="236" t="s">
        <v>15315</v>
      </c>
      <c r="E512" s="301">
        <v>134.4</v>
      </c>
      <c r="F512" s="303">
        <v>42951</v>
      </c>
      <c r="G512" s="301">
        <v>134.4</v>
      </c>
      <c r="H512" s="304">
        <f>Tabla13[[#This Row],[Importe]]-Tabla13[[#This Row],[Pagado]]</f>
        <v>0</v>
      </c>
      <c r="I512" s="275" t="s">
        <v>15214</v>
      </c>
    </row>
    <row r="513" spans="1:9" x14ac:dyDescent="0.25">
      <c r="A513" s="299">
        <v>42951</v>
      </c>
      <c r="B513" s="302" t="s">
        <v>24308</v>
      </c>
      <c r="C513">
        <v>122485</v>
      </c>
      <c r="D513" s="236" t="s">
        <v>15284</v>
      </c>
      <c r="E513" s="301">
        <v>358.8</v>
      </c>
      <c r="F513" s="303">
        <v>42951</v>
      </c>
      <c r="G513" s="301">
        <v>358.8</v>
      </c>
      <c r="H513" s="304">
        <f>Tabla13[[#This Row],[Importe]]-Tabla13[[#This Row],[Pagado]]</f>
        <v>0</v>
      </c>
      <c r="I513" s="275" t="s">
        <v>15214</v>
      </c>
    </row>
    <row r="514" spans="1:9" x14ac:dyDescent="0.25">
      <c r="A514" s="299">
        <v>42951</v>
      </c>
      <c r="B514" s="302" t="s">
        <v>24309</v>
      </c>
      <c r="C514">
        <v>122486</v>
      </c>
      <c r="D514" s="236" t="s">
        <v>15419</v>
      </c>
      <c r="E514" s="301">
        <v>18522</v>
      </c>
      <c r="F514" s="303">
        <v>42961</v>
      </c>
      <c r="G514" s="301">
        <v>18522</v>
      </c>
      <c r="H514" s="304">
        <f>Tabla13[[#This Row],[Importe]]-Tabla13[[#This Row],[Pagado]]</f>
        <v>0</v>
      </c>
      <c r="I514" s="275" t="s">
        <v>15214</v>
      </c>
    </row>
    <row r="515" spans="1:9" x14ac:dyDescent="0.25">
      <c r="A515" s="299">
        <v>42951</v>
      </c>
      <c r="B515" s="302" t="s">
        <v>24310</v>
      </c>
      <c r="C515">
        <v>122487</v>
      </c>
      <c r="D515" s="236" t="s">
        <v>15246</v>
      </c>
      <c r="E515" s="301">
        <v>7745.2</v>
      </c>
      <c r="F515" s="303">
        <v>42957</v>
      </c>
      <c r="G515" s="301">
        <v>7745.2</v>
      </c>
      <c r="H515" s="304">
        <f>Tabla13[[#This Row],[Importe]]-Tabla13[[#This Row],[Pagado]]</f>
        <v>0</v>
      </c>
      <c r="I515" s="275" t="s">
        <v>15214</v>
      </c>
    </row>
    <row r="516" spans="1:9" x14ac:dyDescent="0.25">
      <c r="A516" s="299">
        <v>42951</v>
      </c>
      <c r="B516" s="302" t="s">
        <v>24311</v>
      </c>
      <c r="C516">
        <v>122488</v>
      </c>
      <c r="D516" s="236" t="s">
        <v>15322</v>
      </c>
      <c r="E516" s="301">
        <v>3026.4</v>
      </c>
      <c r="F516" s="303">
        <v>42951</v>
      </c>
      <c r="G516" s="301">
        <v>3026.4</v>
      </c>
      <c r="H516" s="304">
        <f>Tabla13[[#This Row],[Importe]]-Tabla13[[#This Row],[Pagado]]</f>
        <v>0</v>
      </c>
      <c r="I516" s="275" t="s">
        <v>15214</v>
      </c>
    </row>
    <row r="517" spans="1:9" x14ac:dyDescent="0.25">
      <c r="A517" s="299">
        <v>42951</v>
      </c>
      <c r="B517" s="302" t="s">
        <v>24312</v>
      </c>
      <c r="C517">
        <v>122489</v>
      </c>
      <c r="D517" s="236" t="s">
        <v>15315</v>
      </c>
      <c r="E517" s="301">
        <v>1102.4000000000001</v>
      </c>
      <c r="F517" s="303">
        <v>42951</v>
      </c>
      <c r="G517" s="301">
        <v>1102.4000000000001</v>
      </c>
      <c r="H517" s="304">
        <f>Tabla13[[#This Row],[Importe]]-Tabla13[[#This Row],[Pagado]]</f>
        <v>0</v>
      </c>
      <c r="I517" s="275" t="s">
        <v>15214</v>
      </c>
    </row>
    <row r="518" spans="1:9" x14ac:dyDescent="0.25">
      <c r="A518" s="299">
        <v>42951</v>
      </c>
      <c r="B518" s="302" t="s">
        <v>24313</v>
      </c>
      <c r="C518">
        <v>122490</v>
      </c>
      <c r="D518" s="236" t="s">
        <v>15433</v>
      </c>
      <c r="E518" s="301">
        <v>871.6</v>
      </c>
      <c r="F518" s="303">
        <v>42951</v>
      </c>
      <c r="G518" s="301">
        <v>871.6</v>
      </c>
      <c r="H518" s="304">
        <f>Tabla13[[#This Row],[Importe]]-Tabla13[[#This Row],[Pagado]]</f>
        <v>0</v>
      </c>
      <c r="I518" s="275" t="s">
        <v>15214</v>
      </c>
    </row>
    <row r="519" spans="1:9" x14ac:dyDescent="0.25">
      <c r="A519" s="299">
        <v>42951</v>
      </c>
      <c r="B519" s="302" t="s">
        <v>24314</v>
      </c>
      <c r="C519">
        <v>122491</v>
      </c>
      <c r="D519" s="236" t="s">
        <v>19699</v>
      </c>
      <c r="E519" s="301">
        <v>1000</v>
      </c>
      <c r="F519" s="303">
        <v>42951</v>
      </c>
      <c r="G519" s="301">
        <v>1000</v>
      </c>
      <c r="H519" s="304">
        <f>Tabla13[[#This Row],[Importe]]-Tabla13[[#This Row],[Pagado]]</f>
        <v>0</v>
      </c>
      <c r="I519" s="275" t="s">
        <v>15214</v>
      </c>
    </row>
    <row r="520" spans="1:9" x14ac:dyDescent="0.25">
      <c r="A520" s="299">
        <v>42951</v>
      </c>
      <c r="B520" s="302" t="s">
        <v>24315</v>
      </c>
      <c r="C520">
        <v>122492</v>
      </c>
      <c r="D520" s="236" t="s">
        <v>19699</v>
      </c>
      <c r="E520" s="301">
        <v>1750</v>
      </c>
      <c r="F520" s="303">
        <v>42951</v>
      </c>
      <c r="G520" s="301">
        <v>1750</v>
      </c>
      <c r="H520" s="304">
        <f>Tabla13[[#This Row],[Importe]]-Tabla13[[#This Row],[Pagado]]</f>
        <v>0</v>
      </c>
      <c r="I520" s="275" t="s">
        <v>15214</v>
      </c>
    </row>
    <row r="521" spans="1:9" x14ac:dyDescent="0.25">
      <c r="A521" s="299">
        <v>42951</v>
      </c>
      <c r="B521" s="302" t="s">
        <v>24316</v>
      </c>
      <c r="C521">
        <v>122493</v>
      </c>
      <c r="D521" s="236" t="s">
        <v>15644</v>
      </c>
      <c r="E521" s="301">
        <v>3442.4</v>
      </c>
      <c r="F521" s="303">
        <v>42952</v>
      </c>
      <c r="G521" s="301">
        <v>3442.4</v>
      </c>
      <c r="H521" s="304">
        <f>Tabla13[[#This Row],[Importe]]-Tabla13[[#This Row],[Pagado]]</f>
        <v>0</v>
      </c>
      <c r="I521" s="275" t="s">
        <v>15214</v>
      </c>
    </row>
    <row r="522" spans="1:9" x14ac:dyDescent="0.25">
      <c r="A522" s="299">
        <v>42951</v>
      </c>
      <c r="B522" s="302" t="s">
        <v>24317</v>
      </c>
      <c r="C522">
        <v>122494</v>
      </c>
      <c r="D522" s="236" t="s">
        <v>19699</v>
      </c>
      <c r="E522" s="301">
        <v>124.8</v>
      </c>
      <c r="F522" s="303">
        <v>42951</v>
      </c>
      <c r="G522" s="301">
        <v>124.8</v>
      </c>
      <c r="H522" s="304">
        <f>Tabla13[[#This Row],[Importe]]-Tabla13[[#This Row],[Pagado]]</f>
        <v>0</v>
      </c>
      <c r="I522" s="275" t="s">
        <v>15214</v>
      </c>
    </row>
    <row r="523" spans="1:9" x14ac:dyDescent="0.25">
      <c r="A523" s="299">
        <v>42951</v>
      </c>
      <c r="B523" s="302" t="s">
        <v>24318</v>
      </c>
      <c r="C523">
        <v>122495</v>
      </c>
      <c r="D523" s="236" t="s">
        <v>15444</v>
      </c>
      <c r="E523" s="301">
        <v>2997.4</v>
      </c>
      <c r="F523" s="303">
        <v>42952</v>
      </c>
      <c r="G523" s="301">
        <v>2997.4</v>
      </c>
      <c r="H523" s="304">
        <f>Tabla13[[#This Row],[Importe]]-Tabla13[[#This Row],[Pagado]]</f>
        <v>0</v>
      </c>
      <c r="I523" s="275" t="s">
        <v>15214</v>
      </c>
    </row>
    <row r="524" spans="1:9" x14ac:dyDescent="0.25">
      <c r="A524" s="299">
        <v>42951</v>
      </c>
      <c r="B524" s="302" t="s">
        <v>24319</v>
      </c>
      <c r="C524">
        <v>122496</v>
      </c>
      <c r="D524" s="236" t="s">
        <v>15415</v>
      </c>
      <c r="E524" s="301">
        <v>324.3</v>
      </c>
      <c r="F524" s="303">
        <v>42952</v>
      </c>
      <c r="G524" s="301">
        <v>324.3</v>
      </c>
      <c r="H524" s="304">
        <f>Tabla13[[#This Row],[Importe]]-Tabla13[[#This Row],[Pagado]]</f>
        <v>0</v>
      </c>
      <c r="I524" s="275" t="s">
        <v>15214</v>
      </c>
    </row>
    <row r="525" spans="1:9" x14ac:dyDescent="0.25">
      <c r="A525" s="299">
        <v>42951</v>
      </c>
      <c r="B525" s="302" t="s">
        <v>24320</v>
      </c>
      <c r="C525">
        <v>122497</v>
      </c>
      <c r="D525" s="236" t="s">
        <v>15213</v>
      </c>
      <c r="E525" s="301">
        <v>3249.45</v>
      </c>
      <c r="F525" s="303">
        <v>42952</v>
      </c>
      <c r="G525" s="301">
        <v>3249.45</v>
      </c>
      <c r="H525" s="304">
        <f>Tabla13[[#This Row],[Importe]]-Tabla13[[#This Row],[Pagado]]</f>
        <v>0</v>
      </c>
      <c r="I525" s="275" t="s">
        <v>15214</v>
      </c>
    </row>
    <row r="526" spans="1:9" x14ac:dyDescent="0.25">
      <c r="A526" s="299">
        <v>42951</v>
      </c>
      <c r="B526" s="302" t="s">
        <v>24321</v>
      </c>
      <c r="C526">
        <v>122498</v>
      </c>
      <c r="D526" s="236" t="s">
        <v>15541</v>
      </c>
      <c r="E526" s="301">
        <v>1680.7</v>
      </c>
      <c r="F526" s="303">
        <v>42952</v>
      </c>
      <c r="G526" s="301">
        <v>1680.7</v>
      </c>
      <c r="H526" s="304">
        <f>Tabla13[[#This Row],[Importe]]-Tabla13[[#This Row],[Pagado]]</f>
        <v>0</v>
      </c>
      <c r="I526" s="275" t="s">
        <v>15214</v>
      </c>
    </row>
    <row r="527" spans="1:9" x14ac:dyDescent="0.25">
      <c r="A527" s="299">
        <v>42951</v>
      </c>
      <c r="B527" s="302" t="s">
        <v>24322</v>
      </c>
      <c r="C527">
        <v>122499</v>
      </c>
      <c r="D527" s="236" t="s">
        <v>15267</v>
      </c>
      <c r="E527" s="301">
        <v>5400</v>
      </c>
      <c r="F527" s="266">
        <v>42980</v>
      </c>
      <c r="G527" s="35">
        <v>5400</v>
      </c>
      <c r="H527" s="304">
        <f>Tabla13[[#This Row],[Importe]]-Tabla13[[#This Row],[Pagado]]</f>
        <v>0</v>
      </c>
      <c r="I527" s="275" t="s">
        <v>15214</v>
      </c>
    </row>
    <row r="528" spans="1:9" x14ac:dyDescent="0.25">
      <c r="A528" s="299">
        <v>42951</v>
      </c>
      <c r="B528" s="302" t="s">
        <v>24323</v>
      </c>
      <c r="C528">
        <v>122500</v>
      </c>
      <c r="D528" s="236" t="s">
        <v>16129</v>
      </c>
      <c r="E528" s="301">
        <v>5940.8</v>
      </c>
      <c r="F528" s="303">
        <v>42958</v>
      </c>
      <c r="G528" s="301">
        <v>5940.8</v>
      </c>
      <c r="H528" s="304">
        <f>Tabla13[[#This Row],[Importe]]-Tabla13[[#This Row],[Pagado]]</f>
        <v>0</v>
      </c>
      <c r="I528" s="275" t="s">
        <v>15214</v>
      </c>
    </row>
    <row r="529" spans="1:9" x14ac:dyDescent="0.25">
      <c r="A529" s="299">
        <v>42951</v>
      </c>
      <c r="B529" s="302" t="s">
        <v>24324</v>
      </c>
      <c r="C529">
        <v>122501</v>
      </c>
      <c r="D529" s="236" t="s">
        <v>15681</v>
      </c>
      <c r="E529" s="301">
        <v>2092.8000000000002</v>
      </c>
      <c r="F529" s="303">
        <v>42951</v>
      </c>
      <c r="G529" s="301">
        <v>2092.8000000000002</v>
      </c>
      <c r="H529" s="304">
        <f>Tabla13[[#This Row],[Importe]]-Tabla13[[#This Row],[Pagado]]</f>
        <v>0</v>
      </c>
      <c r="I529" s="275" t="s">
        <v>15214</v>
      </c>
    </row>
    <row r="530" spans="1:9" x14ac:dyDescent="0.25">
      <c r="A530" s="299">
        <v>42951</v>
      </c>
      <c r="B530" s="302" t="s">
        <v>24325</v>
      </c>
      <c r="C530">
        <v>122502</v>
      </c>
      <c r="D530" s="236" t="s">
        <v>15250</v>
      </c>
      <c r="E530" s="301">
        <v>44797.22</v>
      </c>
      <c r="F530" s="303">
        <v>42961</v>
      </c>
      <c r="G530" s="301">
        <v>44797.22</v>
      </c>
      <c r="H530" s="304">
        <f>Tabla13[[#This Row],[Importe]]-Tabla13[[#This Row],[Pagado]]</f>
        <v>0</v>
      </c>
      <c r="I530" s="275" t="s">
        <v>15214</v>
      </c>
    </row>
    <row r="531" spans="1:9" x14ac:dyDescent="0.25">
      <c r="A531" s="299">
        <v>42951</v>
      </c>
      <c r="B531" s="302" t="s">
        <v>24326</v>
      </c>
      <c r="C531">
        <v>122503</v>
      </c>
      <c r="D531" s="236" t="s">
        <v>15423</v>
      </c>
      <c r="E531" s="301">
        <v>1555.5</v>
      </c>
      <c r="F531" s="303">
        <v>42951</v>
      </c>
      <c r="G531" s="301">
        <v>1555.5</v>
      </c>
      <c r="H531" s="304">
        <f>Tabla13[[#This Row],[Importe]]-Tabla13[[#This Row],[Pagado]]</f>
        <v>0</v>
      </c>
      <c r="I531" s="275" t="s">
        <v>15214</v>
      </c>
    </row>
    <row r="532" spans="1:9" x14ac:dyDescent="0.25">
      <c r="A532" s="299">
        <v>42951</v>
      </c>
      <c r="B532" s="302" t="s">
        <v>24327</v>
      </c>
      <c r="C532">
        <v>122504</v>
      </c>
      <c r="D532" s="236" t="s">
        <v>15250</v>
      </c>
      <c r="E532" s="301">
        <v>34824.400000000001</v>
      </c>
      <c r="F532" s="303">
        <v>42961</v>
      </c>
      <c r="G532" s="301">
        <v>34824.400000000001</v>
      </c>
      <c r="H532" s="304">
        <f>Tabla13[[#This Row],[Importe]]-Tabla13[[#This Row],[Pagado]]</f>
        <v>0</v>
      </c>
      <c r="I532" s="275" t="s">
        <v>15214</v>
      </c>
    </row>
    <row r="533" spans="1:9" x14ac:dyDescent="0.25">
      <c r="A533" s="299">
        <v>42951</v>
      </c>
      <c r="B533" s="302" t="s">
        <v>24328</v>
      </c>
      <c r="C533">
        <v>122505</v>
      </c>
      <c r="D533" s="236" t="s">
        <v>15246</v>
      </c>
      <c r="E533" s="301">
        <v>2744</v>
      </c>
      <c r="F533" s="303">
        <v>42954</v>
      </c>
      <c r="G533" s="301">
        <v>2744</v>
      </c>
      <c r="H533" s="304">
        <f>Tabla13[[#This Row],[Importe]]-Tabla13[[#This Row],[Pagado]]</f>
        <v>0</v>
      </c>
      <c r="I533" s="275" t="s">
        <v>15214</v>
      </c>
    </row>
    <row r="534" spans="1:9" x14ac:dyDescent="0.25">
      <c r="A534" s="299">
        <v>42951</v>
      </c>
      <c r="B534" s="302" t="s">
        <v>24329</v>
      </c>
      <c r="C534">
        <v>122506</v>
      </c>
      <c r="D534" s="236" t="s">
        <v>15642</v>
      </c>
      <c r="E534" s="301">
        <v>10535.7</v>
      </c>
      <c r="F534" s="303">
        <v>42951</v>
      </c>
      <c r="G534" s="301">
        <v>10535.7</v>
      </c>
      <c r="H534" s="304">
        <f>Tabla13[[#This Row],[Importe]]-Tabla13[[#This Row],[Pagado]]</f>
        <v>0</v>
      </c>
      <c r="I534" s="275" t="s">
        <v>15214</v>
      </c>
    </row>
    <row r="535" spans="1:9" ht="30" x14ac:dyDescent="0.25">
      <c r="A535" s="299">
        <v>42951</v>
      </c>
      <c r="B535" s="302" t="s">
        <v>24330</v>
      </c>
      <c r="C535">
        <v>122507</v>
      </c>
      <c r="D535" s="236" t="s">
        <v>15246</v>
      </c>
      <c r="E535" s="301">
        <v>292123.03999999998</v>
      </c>
      <c r="F535" s="303" t="s">
        <v>24331</v>
      </c>
      <c r="G535" s="305">
        <f>249115.51+43007.53</f>
        <v>292123.04000000004</v>
      </c>
      <c r="H535" s="304">
        <f>Tabla13[[#This Row],[Importe]]-Tabla13[[#This Row],[Pagado]]</f>
        <v>0</v>
      </c>
      <c r="I535" s="275" t="s">
        <v>15214</v>
      </c>
    </row>
    <row r="536" spans="1:9" x14ac:dyDescent="0.25">
      <c r="A536" s="299">
        <v>42951</v>
      </c>
      <c r="B536" s="302" t="s">
        <v>24332</v>
      </c>
      <c r="C536">
        <v>122508</v>
      </c>
      <c r="D536" s="236" t="s">
        <v>15590</v>
      </c>
      <c r="E536" s="301">
        <v>1900.8</v>
      </c>
      <c r="F536" s="303">
        <v>42951</v>
      </c>
      <c r="G536" s="301">
        <v>1900.8</v>
      </c>
      <c r="H536" s="304">
        <f>Tabla13[[#This Row],[Importe]]-Tabla13[[#This Row],[Pagado]]</f>
        <v>0</v>
      </c>
      <c r="I536" s="275" t="s">
        <v>15214</v>
      </c>
    </row>
    <row r="537" spans="1:9" x14ac:dyDescent="0.25">
      <c r="A537" s="299">
        <v>42951</v>
      </c>
      <c r="B537" s="302" t="s">
        <v>24333</v>
      </c>
      <c r="C537">
        <v>122509</v>
      </c>
      <c r="D537" s="236" t="s">
        <v>15365</v>
      </c>
      <c r="E537" s="301">
        <v>438744</v>
      </c>
      <c r="F537" s="303">
        <v>42953</v>
      </c>
      <c r="G537" s="301">
        <v>438744</v>
      </c>
      <c r="H537" s="304">
        <f>Tabla13[[#This Row],[Importe]]-Tabla13[[#This Row],[Pagado]]</f>
        <v>0</v>
      </c>
      <c r="I537" s="275" t="s">
        <v>15214</v>
      </c>
    </row>
    <row r="538" spans="1:9" x14ac:dyDescent="0.25">
      <c r="A538" s="299">
        <v>42951</v>
      </c>
      <c r="B538" s="302" t="s">
        <v>24334</v>
      </c>
      <c r="C538">
        <v>122510</v>
      </c>
      <c r="D538" s="236" t="s">
        <v>15435</v>
      </c>
      <c r="E538" s="301">
        <v>7770.6</v>
      </c>
      <c r="F538" s="303">
        <v>42951</v>
      </c>
      <c r="G538" s="301">
        <v>7770.6</v>
      </c>
      <c r="H538" s="304">
        <f>Tabla13[[#This Row],[Importe]]-Tabla13[[#This Row],[Pagado]]</f>
        <v>0</v>
      </c>
      <c r="I538" s="275" t="s">
        <v>15214</v>
      </c>
    </row>
    <row r="539" spans="1:9" x14ac:dyDescent="0.25">
      <c r="A539" s="299">
        <v>42951</v>
      </c>
      <c r="B539" s="302" t="s">
        <v>24335</v>
      </c>
      <c r="C539">
        <v>122511</v>
      </c>
      <c r="D539" s="236" t="s">
        <v>15284</v>
      </c>
      <c r="E539" s="301">
        <v>777.92</v>
      </c>
      <c r="F539" s="303">
        <v>42951</v>
      </c>
      <c r="G539" s="301">
        <v>777.92</v>
      </c>
      <c r="H539" s="304">
        <f>Tabla13[[#This Row],[Importe]]-Tabla13[[#This Row],[Pagado]]</f>
        <v>0</v>
      </c>
      <c r="I539" s="275" t="s">
        <v>15214</v>
      </c>
    </row>
    <row r="540" spans="1:9" x14ac:dyDescent="0.25">
      <c r="A540" s="299">
        <v>42952</v>
      </c>
      <c r="B540" s="302" t="s">
        <v>24336</v>
      </c>
      <c r="C540">
        <v>122512</v>
      </c>
      <c r="D540" s="236" t="s">
        <v>21386</v>
      </c>
      <c r="E540" s="301">
        <v>10344.5</v>
      </c>
      <c r="F540" s="303">
        <v>42954</v>
      </c>
      <c r="G540" s="301">
        <v>10344.5</v>
      </c>
      <c r="H540" s="304">
        <f>Tabla13[[#This Row],[Importe]]-Tabla13[[#This Row],[Pagado]]</f>
        <v>0</v>
      </c>
      <c r="I540" s="275" t="s">
        <v>15214</v>
      </c>
    </row>
    <row r="541" spans="1:9" x14ac:dyDescent="0.25">
      <c r="A541" s="299">
        <v>42952</v>
      </c>
      <c r="B541" s="302" t="s">
        <v>24337</v>
      </c>
      <c r="C541">
        <v>122513</v>
      </c>
      <c r="D541" s="236" t="s">
        <v>15213</v>
      </c>
      <c r="E541" s="301">
        <v>73259.95</v>
      </c>
      <c r="F541" s="303">
        <v>42954</v>
      </c>
      <c r="G541" s="301">
        <v>73259.95</v>
      </c>
      <c r="H541" s="304">
        <f>Tabla13[[#This Row],[Importe]]-Tabla13[[#This Row],[Pagado]]</f>
        <v>0</v>
      </c>
      <c r="I541" s="275" t="s">
        <v>15214</v>
      </c>
    </row>
    <row r="542" spans="1:9" ht="45" x14ac:dyDescent="0.25">
      <c r="A542" s="299">
        <v>42952</v>
      </c>
      <c r="B542" s="302" t="s">
        <v>24338</v>
      </c>
      <c r="C542">
        <v>122514</v>
      </c>
      <c r="D542" s="236" t="s">
        <v>15258</v>
      </c>
      <c r="E542" s="301">
        <v>28161.9</v>
      </c>
      <c r="F542" s="303" t="s">
        <v>24339</v>
      </c>
      <c r="G542" s="305">
        <f>10000+12000+6161.9</f>
        <v>28161.9</v>
      </c>
      <c r="H542" s="304">
        <f>Tabla13[[#This Row],[Importe]]-Tabla13[[#This Row],[Pagado]]</f>
        <v>0</v>
      </c>
      <c r="I542" s="275" t="s">
        <v>15214</v>
      </c>
    </row>
    <row r="543" spans="1:9" x14ac:dyDescent="0.25">
      <c r="A543" s="299">
        <v>42952</v>
      </c>
      <c r="B543" s="302" t="s">
        <v>24340</v>
      </c>
      <c r="C543">
        <v>122515</v>
      </c>
      <c r="D543" s="236" t="s">
        <v>15315</v>
      </c>
      <c r="E543" s="301">
        <v>818.4</v>
      </c>
      <c r="F543" s="303">
        <v>42952</v>
      </c>
      <c r="G543" s="301">
        <v>818.4</v>
      </c>
      <c r="H543" s="304">
        <f>Tabla13[[#This Row],[Importe]]-Tabla13[[#This Row],[Pagado]]</f>
        <v>0</v>
      </c>
      <c r="I543" s="275" t="s">
        <v>15214</v>
      </c>
    </row>
    <row r="544" spans="1:9" x14ac:dyDescent="0.25">
      <c r="A544" s="299">
        <v>42952</v>
      </c>
      <c r="B544" s="302" t="s">
        <v>24341</v>
      </c>
      <c r="C544">
        <v>122516</v>
      </c>
      <c r="D544" s="236" t="s">
        <v>15668</v>
      </c>
      <c r="E544" s="301">
        <v>19588</v>
      </c>
      <c r="F544" s="303">
        <v>42954</v>
      </c>
      <c r="G544" s="301">
        <v>19588</v>
      </c>
      <c r="H544" s="304">
        <f>Tabla13[[#This Row],[Importe]]-Tabla13[[#This Row],[Pagado]]</f>
        <v>0</v>
      </c>
      <c r="I544" s="275" t="s">
        <v>15214</v>
      </c>
    </row>
    <row r="545" spans="1:9" x14ac:dyDescent="0.25">
      <c r="A545" s="299">
        <v>42952</v>
      </c>
      <c r="B545" s="302" t="s">
        <v>24342</v>
      </c>
      <c r="C545">
        <v>122517</v>
      </c>
      <c r="D545" s="236" t="s">
        <v>15230</v>
      </c>
      <c r="E545" s="301">
        <v>30999.5</v>
      </c>
      <c r="F545" s="303">
        <v>42955</v>
      </c>
      <c r="G545" s="301">
        <v>30999.5</v>
      </c>
      <c r="H545" s="304">
        <f>Tabla13[[#This Row],[Importe]]-Tabla13[[#This Row],[Pagado]]</f>
        <v>0</v>
      </c>
      <c r="I545" s="275" t="s">
        <v>15214</v>
      </c>
    </row>
    <row r="546" spans="1:9" x14ac:dyDescent="0.25">
      <c r="A546" s="299">
        <v>42952</v>
      </c>
      <c r="B546" s="302" t="s">
        <v>24343</v>
      </c>
      <c r="C546">
        <v>122518</v>
      </c>
      <c r="D546" s="236" t="s">
        <v>15236</v>
      </c>
      <c r="E546" s="301">
        <v>10864.7</v>
      </c>
      <c r="F546" s="303">
        <v>42956</v>
      </c>
      <c r="G546" s="301">
        <v>10864.7</v>
      </c>
      <c r="H546" s="304">
        <f>Tabla13[[#This Row],[Importe]]-Tabla13[[#This Row],[Pagado]]</f>
        <v>0</v>
      </c>
      <c r="I546" s="275" t="s">
        <v>15214</v>
      </c>
    </row>
    <row r="547" spans="1:9" ht="30" x14ac:dyDescent="0.25">
      <c r="A547" s="299">
        <v>42952</v>
      </c>
      <c r="B547" s="302" t="s">
        <v>24344</v>
      </c>
      <c r="C547">
        <v>122519</v>
      </c>
      <c r="D547" s="236" t="s">
        <v>15234</v>
      </c>
      <c r="E547" s="301">
        <v>10864.7</v>
      </c>
      <c r="F547" s="303" t="s">
        <v>24345</v>
      </c>
      <c r="G547" s="305">
        <f>8500+2364.7</f>
        <v>10864.7</v>
      </c>
      <c r="H547" s="304">
        <f>Tabla13[[#This Row],[Importe]]-Tabla13[[#This Row],[Pagado]]</f>
        <v>0</v>
      </c>
      <c r="I547" s="275" t="s">
        <v>15214</v>
      </c>
    </row>
    <row r="548" spans="1:9" x14ac:dyDescent="0.25">
      <c r="A548" s="299">
        <v>42952</v>
      </c>
      <c r="B548" s="302" t="s">
        <v>24346</v>
      </c>
      <c r="C548">
        <v>122520</v>
      </c>
      <c r="D548" s="236" t="s">
        <v>15272</v>
      </c>
      <c r="E548" s="301">
        <v>32404.9</v>
      </c>
      <c r="F548" s="303">
        <v>42952</v>
      </c>
      <c r="G548" s="301">
        <v>32404.9</v>
      </c>
      <c r="H548" s="304">
        <f>Tabla13[[#This Row],[Importe]]-Tabla13[[#This Row],[Pagado]]</f>
        <v>0</v>
      </c>
      <c r="I548" s="275" t="s">
        <v>15214</v>
      </c>
    </row>
    <row r="549" spans="1:9" x14ac:dyDescent="0.25">
      <c r="A549" s="299">
        <v>42952</v>
      </c>
      <c r="B549" s="302" t="s">
        <v>24347</v>
      </c>
      <c r="C549">
        <v>122521</v>
      </c>
      <c r="D549" s="236" t="s">
        <v>15226</v>
      </c>
      <c r="E549" s="301">
        <v>2335.8000000000002</v>
      </c>
      <c r="F549" s="303">
        <v>42954</v>
      </c>
      <c r="G549" s="301">
        <v>2335.8000000000002</v>
      </c>
      <c r="H549" s="304">
        <f>Tabla13[[#This Row],[Importe]]-Tabla13[[#This Row],[Pagado]]</f>
        <v>0</v>
      </c>
      <c r="I549" s="275" t="s">
        <v>15214</v>
      </c>
    </row>
    <row r="550" spans="1:9" x14ac:dyDescent="0.25">
      <c r="A550" s="299">
        <v>42952</v>
      </c>
      <c r="B550" s="302" t="s">
        <v>24348</v>
      </c>
      <c r="C550">
        <v>122522</v>
      </c>
      <c r="D550" s="236" t="s">
        <v>15232</v>
      </c>
      <c r="E550" s="301">
        <v>15767.5</v>
      </c>
      <c r="F550" s="303">
        <v>42957</v>
      </c>
      <c r="G550" s="301">
        <v>15767.5</v>
      </c>
      <c r="H550" s="304">
        <f>Tabla13[[#This Row],[Importe]]-Tabla13[[#This Row],[Pagado]]</f>
        <v>0</v>
      </c>
      <c r="I550" s="275" t="s">
        <v>15214</v>
      </c>
    </row>
    <row r="551" spans="1:9" x14ac:dyDescent="0.25">
      <c r="A551" s="299">
        <v>42952</v>
      </c>
      <c r="B551" s="302" t="s">
        <v>24349</v>
      </c>
      <c r="C551">
        <v>122523</v>
      </c>
      <c r="D551" s="236" t="s">
        <v>15272</v>
      </c>
      <c r="E551" s="301">
        <v>2235.6</v>
      </c>
      <c r="F551" s="303">
        <v>42952</v>
      </c>
      <c r="G551" s="301">
        <v>2235.6</v>
      </c>
      <c r="H551" s="304">
        <f>Tabla13[[#This Row],[Importe]]-Tabla13[[#This Row],[Pagado]]</f>
        <v>0</v>
      </c>
      <c r="I551" s="275" t="s">
        <v>15214</v>
      </c>
    </row>
    <row r="552" spans="1:9" x14ac:dyDescent="0.25">
      <c r="A552" s="299">
        <v>42952</v>
      </c>
      <c r="B552" s="302" t="s">
        <v>24350</v>
      </c>
      <c r="C552">
        <v>122524</v>
      </c>
      <c r="D552" s="236" t="s">
        <v>15223</v>
      </c>
      <c r="E552" s="301">
        <v>54820.800000000003</v>
      </c>
      <c r="F552" s="303">
        <v>42976</v>
      </c>
      <c r="G552" s="301">
        <v>54820.800000000003</v>
      </c>
      <c r="H552" s="304">
        <f>Tabla13[[#This Row],[Importe]]-Tabla13[[#This Row],[Pagado]]</f>
        <v>0</v>
      </c>
      <c r="I552" s="275" t="s">
        <v>15214</v>
      </c>
    </row>
    <row r="553" spans="1:9" ht="45" x14ac:dyDescent="0.25">
      <c r="A553" s="299">
        <v>42952</v>
      </c>
      <c r="B553" s="302" t="s">
        <v>24351</v>
      </c>
      <c r="C553">
        <v>122525</v>
      </c>
      <c r="D553" s="236" t="s">
        <v>15480</v>
      </c>
      <c r="E553" s="301">
        <v>12332.8</v>
      </c>
      <c r="F553" s="303" t="s">
        <v>24352</v>
      </c>
      <c r="G553" s="305">
        <f>10000+2332.8</f>
        <v>12332.8</v>
      </c>
      <c r="H553" s="304">
        <f>Tabla13[[#This Row],[Importe]]-Tabla13[[#This Row],[Pagado]]</f>
        <v>0</v>
      </c>
      <c r="I553" s="275" t="s">
        <v>15214</v>
      </c>
    </row>
    <row r="554" spans="1:9" x14ac:dyDescent="0.25">
      <c r="A554" s="299">
        <v>42952</v>
      </c>
      <c r="B554" s="302" t="s">
        <v>24353</v>
      </c>
      <c r="C554">
        <v>122526</v>
      </c>
      <c r="D554" s="236" t="s">
        <v>5575</v>
      </c>
      <c r="E554" s="301">
        <v>699.2</v>
      </c>
      <c r="F554" s="303">
        <v>42954</v>
      </c>
      <c r="G554" s="301">
        <v>699.2</v>
      </c>
      <c r="H554" s="304">
        <f>Tabla13[[#This Row],[Importe]]-Tabla13[[#This Row],[Pagado]]</f>
        <v>0</v>
      </c>
      <c r="I554" s="275" t="s">
        <v>15214</v>
      </c>
    </row>
    <row r="555" spans="1:9" x14ac:dyDescent="0.25">
      <c r="A555" s="299">
        <v>42952</v>
      </c>
      <c r="B555" s="302" t="s">
        <v>24354</v>
      </c>
      <c r="C555">
        <v>122527</v>
      </c>
      <c r="D555" s="236" t="s">
        <v>15315</v>
      </c>
      <c r="E555" s="301">
        <v>316.8</v>
      </c>
      <c r="F555" s="303">
        <v>42955</v>
      </c>
      <c r="G555" s="301">
        <v>316.8</v>
      </c>
      <c r="H555" s="304">
        <f>Tabla13[[#This Row],[Importe]]-Tabla13[[#This Row],[Pagado]]</f>
        <v>0</v>
      </c>
      <c r="I555" s="275" t="s">
        <v>15214</v>
      </c>
    </row>
    <row r="556" spans="1:9" x14ac:dyDescent="0.25">
      <c r="A556" s="299">
        <v>42952</v>
      </c>
      <c r="B556" s="302" t="s">
        <v>24355</v>
      </c>
      <c r="C556">
        <v>122528</v>
      </c>
      <c r="D556" s="236" t="s">
        <v>15238</v>
      </c>
      <c r="E556" s="301">
        <v>13166.3</v>
      </c>
      <c r="F556" s="303">
        <v>42955</v>
      </c>
      <c r="G556" s="301">
        <v>13166.3</v>
      </c>
      <c r="H556" s="304">
        <f>Tabla13[[#This Row],[Importe]]-Tabla13[[#This Row],[Pagado]]</f>
        <v>0</v>
      </c>
      <c r="I556" s="275" t="s">
        <v>15214</v>
      </c>
    </row>
    <row r="557" spans="1:9" x14ac:dyDescent="0.25">
      <c r="A557" s="299">
        <v>42952</v>
      </c>
      <c r="B557" s="302" t="s">
        <v>24356</v>
      </c>
      <c r="C557">
        <v>122529</v>
      </c>
      <c r="D557" s="236" t="s">
        <v>15376</v>
      </c>
      <c r="E557" s="301">
        <v>12500</v>
      </c>
      <c r="F557" s="303">
        <v>42952</v>
      </c>
      <c r="G557" s="301">
        <v>12500</v>
      </c>
      <c r="H557" s="304">
        <f>Tabla13[[#This Row],[Importe]]-Tabla13[[#This Row],[Pagado]]</f>
        <v>0</v>
      </c>
      <c r="I557" s="275" t="s">
        <v>15214</v>
      </c>
    </row>
    <row r="558" spans="1:9" ht="30" x14ac:dyDescent="0.25">
      <c r="A558" s="299">
        <v>42952</v>
      </c>
      <c r="B558" s="302" t="s">
        <v>24357</v>
      </c>
      <c r="C558">
        <v>122530</v>
      </c>
      <c r="D558" s="236" t="s">
        <v>15256</v>
      </c>
      <c r="E558" s="301">
        <v>13805.7</v>
      </c>
      <c r="F558" s="303" t="s">
        <v>24358</v>
      </c>
      <c r="G558" s="305">
        <f>8900+4905.7</f>
        <v>13805.7</v>
      </c>
      <c r="H558" s="304">
        <f>Tabla13[[#This Row],[Importe]]-Tabla13[[#This Row],[Pagado]]</f>
        <v>0</v>
      </c>
      <c r="I558" s="275" t="s">
        <v>15214</v>
      </c>
    </row>
    <row r="559" spans="1:9" x14ac:dyDescent="0.25">
      <c r="A559" s="299">
        <v>42952</v>
      </c>
      <c r="B559" s="302" t="s">
        <v>24359</v>
      </c>
      <c r="C559">
        <v>122531</v>
      </c>
      <c r="D559" s="236" t="s">
        <v>17462</v>
      </c>
      <c r="E559" s="301">
        <v>5211</v>
      </c>
      <c r="F559" s="303">
        <v>42952</v>
      </c>
      <c r="G559" s="301">
        <v>5211</v>
      </c>
      <c r="H559" s="304">
        <f>Tabla13[[#This Row],[Importe]]-Tabla13[[#This Row],[Pagado]]</f>
        <v>0</v>
      </c>
      <c r="I559" s="275" t="s">
        <v>15214</v>
      </c>
    </row>
    <row r="560" spans="1:9" x14ac:dyDescent="0.25">
      <c r="A560" s="299">
        <v>42952</v>
      </c>
      <c r="B560" s="302" t="s">
        <v>24360</v>
      </c>
      <c r="C560">
        <v>122532</v>
      </c>
      <c r="D560" s="236" t="s">
        <v>15636</v>
      </c>
      <c r="E560" s="301">
        <v>23313.599999999999</v>
      </c>
      <c r="F560" s="303">
        <v>42952</v>
      </c>
      <c r="G560" s="301">
        <v>23313.599999999999</v>
      </c>
      <c r="H560" s="304">
        <f>Tabla13[[#This Row],[Importe]]-Tabla13[[#This Row],[Pagado]]</f>
        <v>0</v>
      </c>
      <c r="I560" s="275" t="s">
        <v>15214</v>
      </c>
    </row>
    <row r="561" spans="1:9" x14ac:dyDescent="0.25">
      <c r="A561" s="299">
        <v>42952</v>
      </c>
      <c r="B561" s="302" t="s">
        <v>24361</v>
      </c>
      <c r="C561">
        <v>122533</v>
      </c>
      <c r="D561" s="236" t="s">
        <v>15330</v>
      </c>
      <c r="E561" s="301">
        <v>4355.2</v>
      </c>
      <c r="F561" s="303">
        <v>42952</v>
      </c>
      <c r="G561" s="301">
        <v>4355.2</v>
      </c>
      <c r="H561" s="304">
        <f>Tabla13[[#This Row],[Importe]]-Tabla13[[#This Row],[Pagado]]</f>
        <v>0</v>
      </c>
      <c r="I561" s="275" t="s">
        <v>15214</v>
      </c>
    </row>
    <row r="562" spans="1:9" x14ac:dyDescent="0.25">
      <c r="A562" s="299">
        <v>42952</v>
      </c>
      <c r="B562" s="302" t="s">
        <v>24362</v>
      </c>
      <c r="C562">
        <v>122534</v>
      </c>
      <c r="D562" s="236" t="s">
        <v>16522</v>
      </c>
      <c r="E562" s="301">
        <v>13234</v>
      </c>
      <c r="F562" s="303">
        <v>43042</v>
      </c>
      <c r="G562" s="301">
        <v>13234</v>
      </c>
      <c r="H562" s="304">
        <f>Tabla13[[#This Row],[Importe]]-Tabla13[[#This Row],[Pagado]]</f>
        <v>0</v>
      </c>
      <c r="I562" s="275" t="s">
        <v>15214</v>
      </c>
    </row>
    <row r="563" spans="1:9" x14ac:dyDescent="0.25">
      <c r="A563" s="299">
        <v>42952</v>
      </c>
      <c r="B563" s="302" t="s">
        <v>24363</v>
      </c>
      <c r="C563">
        <v>122535</v>
      </c>
      <c r="D563" s="236" t="s">
        <v>15252</v>
      </c>
      <c r="E563" s="301">
        <v>6469</v>
      </c>
      <c r="F563" s="303">
        <v>42959</v>
      </c>
      <c r="G563" s="301">
        <v>6469</v>
      </c>
      <c r="H563" s="304">
        <f>Tabla13[[#This Row],[Importe]]-Tabla13[[#This Row],[Pagado]]</f>
        <v>0</v>
      </c>
      <c r="I563" s="275" t="s">
        <v>15214</v>
      </c>
    </row>
    <row r="564" spans="1:9" x14ac:dyDescent="0.25">
      <c r="A564" s="299">
        <v>42952</v>
      </c>
      <c r="B564" s="302" t="s">
        <v>24364</v>
      </c>
      <c r="C564">
        <v>122536</v>
      </c>
      <c r="D564" s="236" t="s">
        <v>15348</v>
      </c>
      <c r="E564" s="301">
        <v>3644.8</v>
      </c>
      <c r="F564" s="303">
        <v>42952</v>
      </c>
      <c r="G564" s="301">
        <v>3644.8</v>
      </c>
      <c r="H564" s="304">
        <f>Tabla13[[#This Row],[Importe]]-Tabla13[[#This Row],[Pagado]]</f>
        <v>0</v>
      </c>
      <c r="I564" s="275" t="s">
        <v>15214</v>
      </c>
    </row>
    <row r="565" spans="1:9" x14ac:dyDescent="0.25">
      <c r="A565" s="299">
        <v>42952</v>
      </c>
      <c r="B565" s="302" t="s">
        <v>24365</v>
      </c>
      <c r="C565">
        <v>122537</v>
      </c>
      <c r="D565" s="236" t="s">
        <v>15348</v>
      </c>
      <c r="E565" s="301">
        <v>932.8</v>
      </c>
      <c r="F565" s="303">
        <v>42954</v>
      </c>
      <c r="G565" s="301">
        <v>932.8</v>
      </c>
      <c r="H565" s="304">
        <f>Tabla13[[#This Row],[Importe]]-Tabla13[[#This Row],[Pagado]]</f>
        <v>0</v>
      </c>
      <c r="I565" s="275" t="s">
        <v>15214</v>
      </c>
    </row>
    <row r="566" spans="1:9" x14ac:dyDescent="0.25">
      <c r="A566" s="299">
        <v>42952</v>
      </c>
      <c r="B566" s="302" t="s">
        <v>24366</v>
      </c>
      <c r="C566">
        <v>122538</v>
      </c>
      <c r="D566" s="236" t="s">
        <v>23937</v>
      </c>
      <c r="E566" s="301">
        <v>3585</v>
      </c>
      <c r="F566" s="303">
        <v>42954</v>
      </c>
      <c r="G566" s="301">
        <v>3585</v>
      </c>
      <c r="H566" s="304">
        <f>Tabla13[[#This Row],[Importe]]-Tabla13[[#This Row],[Pagado]]</f>
        <v>0</v>
      </c>
      <c r="I566" s="275" t="s">
        <v>15214</v>
      </c>
    </row>
    <row r="567" spans="1:9" x14ac:dyDescent="0.25">
      <c r="A567" s="299">
        <v>42952</v>
      </c>
      <c r="B567" s="302" t="s">
        <v>24367</v>
      </c>
      <c r="C567">
        <v>122539</v>
      </c>
      <c r="D567" s="236" t="s">
        <v>15242</v>
      </c>
      <c r="E567" s="301">
        <v>10593.8</v>
      </c>
      <c r="F567" s="303">
        <v>42952</v>
      </c>
      <c r="G567" s="301">
        <v>10593.8</v>
      </c>
      <c r="H567" s="304">
        <f>Tabla13[[#This Row],[Importe]]-Tabla13[[#This Row],[Pagado]]</f>
        <v>0</v>
      </c>
      <c r="I567" s="275" t="s">
        <v>15214</v>
      </c>
    </row>
    <row r="568" spans="1:9" x14ac:dyDescent="0.25">
      <c r="A568" s="299">
        <v>42952</v>
      </c>
      <c r="B568" s="302" t="s">
        <v>24368</v>
      </c>
      <c r="C568">
        <v>122540</v>
      </c>
      <c r="D568" s="236" t="s">
        <v>23937</v>
      </c>
      <c r="E568" s="301">
        <v>374.4</v>
      </c>
      <c r="F568" s="303">
        <v>42954</v>
      </c>
      <c r="G568" s="301">
        <v>374.4</v>
      </c>
      <c r="H568" s="304">
        <f>Tabla13[[#This Row],[Importe]]-Tabla13[[#This Row],[Pagado]]</f>
        <v>0</v>
      </c>
      <c r="I568" s="275" t="s">
        <v>15214</v>
      </c>
    </row>
    <row r="569" spans="1:9" x14ac:dyDescent="0.25">
      <c r="A569" s="299">
        <v>42952</v>
      </c>
      <c r="B569" s="302" t="s">
        <v>24369</v>
      </c>
      <c r="C569">
        <v>122541</v>
      </c>
      <c r="D569" s="236" t="s">
        <v>15244</v>
      </c>
      <c r="E569" s="301">
        <v>15070.5</v>
      </c>
      <c r="F569" s="303">
        <v>42959</v>
      </c>
      <c r="G569" s="301">
        <v>15070.5</v>
      </c>
      <c r="H569" s="304">
        <f>Tabla13[[#This Row],[Importe]]-Tabla13[[#This Row],[Pagado]]</f>
        <v>0</v>
      </c>
      <c r="I569" s="275" t="s">
        <v>15214</v>
      </c>
    </row>
    <row r="570" spans="1:9" x14ac:dyDescent="0.25">
      <c r="A570" s="299">
        <v>42952</v>
      </c>
      <c r="B570" s="302" t="s">
        <v>24370</v>
      </c>
      <c r="C570">
        <v>122542</v>
      </c>
      <c r="D570" s="236" t="s">
        <v>15523</v>
      </c>
      <c r="E570" s="301">
        <v>5500</v>
      </c>
      <c r="F570" s="303">
        <v>42952</v>
      </c>
      <c r="G570" s="301">
        <v>5500</v>
      </c>
      <c r="H570" s="304">
        <f>Tabla13[[#This Row],[Importe]]-Tabla13[[#This Row],[Pagado]]</f>
        <v>0</v>
      </c>
      <c r="I570" s="275" t="s">
        <v>15214</v>
      </c>
    </row>
    <row r="571" spans="1:9" x14ac:dyDescent="0.25">
      <c r="A571" s="299">
        <v>42952</v>
      </c>
      <c r="B571" s="302" t="s">
        <v>24371</v>
      </c>
      <c r="C571">
        <v>122543</v>
      </c>
      <c r="D571" s="236" t="s">
        <v>15858</v>
      </c>
      <c r="E571" s="301">
        <v>3898.96</v>
      </c>
      <c r="F571" s="303">
        <v>42952</v>
      </c>
      <c r="G571" s="301">
        <v>3898.96</v>
      </c>
      <c r="H571" s="304">
        <f>Tabla13[[#This Row],[Importe]]-Tabla13[[#This Row],[Pagado]]</f>
        <v>0</v>
      </c>
      <c r="I571" s="275" t="s">
        <v>15214</v>
      </c>
    </row>
    <row r="572" spans="1:9" x14ac:dyDescent="0.25">
      <c r="A572" s="299">
        <v>42952</v>
      </c>
      <c r="B572" s="302" t="s">
        <v>24372</v>
      </c>
      <c r="C572">
        <v>122544</v>
      </c>
      <c r="D572" s="236" t="s">
        <v>15220</v>
      </c>
      <c r="E572" s="301">
        <v>5750</v>
      </c>
      <c r="F572" s="303">
        <v>42952</v>
      </c>
      <c r="G572" s="301">
        <v>5750</v>
      </c>
      <c r="H572" s="304">
        <f>Tabla13[[#This Row],[Importe]]-Tabla13[[#This Row],[Pagado]]</f>
        <v>0</v>
      </c>
      <c r="I572" s="275" t="s">
        <v>15214</v>
      </c>
    </row>
    <row r="573" spans="1:9" x14ac:dyDescent="0.25">
      <c r="A573" s="299">
        <v>42952</v>
      </c>
      <c r="B573" s="302" t="s">
        <v>24373</v>
      </c>
      <c r="C573">
        <v>122545</v>
      </c>
      <c r="D573" s="236" t="s">
        <v>15549</v>
      </c>
      <c r="E573" s="301">
        <v>9299.6</v>
      </c>
      <c r="F573" s="303">
        <v>42954</v>
      </c>
      <c r="G573" s="301">
        <v>9299.6</v>
      </c>
      <c r="H573" s="304">
        <f>Tabla13[[#This Row],[Importe]]-Tabla13[[#This Row],[Pagado]]</f>
        <v>0</v>
      </c>
      <c r="I573" s="275" t="s">
        <v>15214</v>
      </c>
    </row>
    <row r="574" spans="1:9" x14ac:dyDescent="0.25">
      <c r="A574" s="299">
        <v>42952</v>
      </c>
      <c r="B574" s="302" t="s">
        <v>24374</v>
      </c>
      <c r="C574">
        <v>122546</v>
      </c>
      <c r="D574" s="236" t="s">
        <v>19302</v>
      </c>
      <c r="E574" s="301">
        <v>750</v>
      </c>
      <c r="F574" s="303">
        <v>42952</v>
      </c>
      <c r="G574" s="301">
        <v>750</v>
      </c>
      <c r="H574" s="304">
        <f>Tabla13[[#This Row],[Importe]]-Tabla13[[#This Row],[Pagado]]</f>
        <v>0</v>
      </c>
      <c r="I574" s="275" t="s">
        <v>15214</v>
      </c>
    </row>
    <row r="575" spans="1:9" x14ac:dyDescent="0.25">
      <c r="A575" s="299">
        <v>42952</v>
      </c>
      <c r="B575" s="302" t="s">
        <v>24375</v>
      </c>
      <c r="C575">
        <v>122547</v>
      </c>
      <c r="D575" s="236" t="s">
        <v>15263</v>
      </c>
      <c r="E575" s="301">
        <v>2967</v>
      </c>
      <c r="F575" s="303">
        <v>42952</v>
      </c>
      <c r="G575" s="301">
        <v>2967</v>
      </c>
      <c r="H575" s="304">
        <f>Tabla13[[#This Row],[Importe]]-Tabla13[[#This Row],[Pagado]]</f>
        <v>0</v>
      </c>
      <c r="I575" s="275" t="s">
        <v>15214</v>
      </c>
    </row>
    <row r="576" spans="1:9" x14ac:dyDescent="0.25">
      <c r="A576" s="299">
        <v>42952</v>
      </c>
      <c r="B576" s="302" t="s">
        <v>24376</v>
      </c>
      <c r="C576">
        <v>122548</v>
      </c>
      <c r="D576" s="236" t="s">
        <v>19776</v>
      </c>
      <c r="E576" s="301">
        <v>14138.14</v>
      </c>
      <c r="F576" s="303">
        <v>42952</v>
      </c>
      <c r="G576" s="301">
        <v>14138.14</v>
      </c>
      <c r="H576" s="304">
        <f>Tabla13[[#This Row],[Importe]]-Tabla13[[#This Row],[Pagado]]</f>
        <v>0</v>
      </c>
      <c r="I576" s="275" t="s">
        <v>15214</v>
      </c>
    </row>
    <row r="577" spans="1:9" x14ac:dyDescent="0.25">
      <c r="A577" s="299">
        <v>42952</v>
      </c>
      <c r="B577" s="302" t="s">
        <v>24377</v>
      </c>
      <c r="C577">
        <v>122549</v>
      </c>
      <c r="D577" s="236" t="s">
        <v>15263</v>
      </c>
      <c r="E577" s="301">
        <v>471.2</v>
      </c>
      <c r="F577" s="303">
        <v>42952</v>
      </c>
      <c r="G577" s="301">
        <v>471.2</v>
      </c>
      <c r="H577" s="304">
        <f>Tabla13[[#This Row],[Importe]]-Tabla13[[#This Row],[Pagado]]</f>
        <v>0</v>
      </c>
      <c r="I577" s="275" t="s">
        <v>15214</v>
      </c>
    </row>
    <row r="578" spans="1:9" x14ac:dyDescent="0.25">
      <c r="A578" s="299">
        <v>42952</v>
      </c>
      <c r="B578" s="302" t="s">
        <v>24378</v>
      </c>
      <c r="C578">
        <v>122550</v>
      </c>
      <c r="D578" s="236" t="s">
        <v>5583</v>
      </c>
      <c r="E578" s="301">
        <v>2458.1999999999998</v>
      </c>
      <c r="F578" s="303">
        <v>42952</v>
      </c>
      <c r="G578" s="301">
        <v>2458.1999999999998</v>
      </c>
      <c r="H578" s="304">
        <f>Tabla13[[#This Row],[Importe]]-Tabla13[[#This Row],[Pagado]]</f>
        <v>0</v>
      </c>
      <c r="I578" s="275" t="s">
        <v>15214</v>
      </c>
    </row>
    <row r="579" spans="1:9" x14ac:dyDescent="0.25">
      <c r="A579" s="299">
        <v>42952</v>
      </c>
      <c r="B579" s="302" t="s">
        <v>24379</v>
      </c>
      <c r="C579">
        <v>122551</v>
      </c>
      <c r="D579" s="236" t="s">
        <v>15248</v>
      </c>
      <c r="E579" s="301">
        <v>35940</v>
      </c>
      <c r="F579" s="303">
        <v>42952</v>
      </c>
      <c r="G579" s="301">
        <v>35940</v>
      </c>
      <c r="H579" s="304">
        <f>Tabla13[[#This Row],[Importe]]-Tabla13[[#This Row],[Pagado]]</f>
        <v>0</v>
      </c>
      <c r="I579" s="275" t="s">
        <v>15214</v>
      </c>
    </row>
    <row r="580" spans="1:9" x14ac:dyDescent="0.25">
      <c r="A580" s="299">
        <v>42952</v>
      </c>
      <c r="B580" s="302" t="s">
        <v>24380</v>
      </c>
      <c r="C580">
        <v>122552</v>
      </c>
      <c r="D580" s="236" t="s">
        <v>15261</v>
      </c>
      <c r="E580" s="301">
        <v>5093.3999999999996</v>
      </c>
      <c r="F580" s="303">
        <v>42952</v>
      </c>
      <c r="G580" s="301">
        <v>5093.3999999999996</v>
      </c>
      <c r="H580" s="304">
        <f>Tabla13[[#This Row],[Importe]]-Tabla13[[#This Row],[Pagado]]</f>
        <v>0</v>
      </c>
      <c r="I580" s="275" t="s">
        <v>15214</v>
      </c>
    </row>
    <row r="581" spans="1:9" x14ac:dyDescent="0.25">
      <c r="A581" s="299">
        <v>42952</v>
      </c>
      <c r="B581" s="302" t="s">
        <v>24381</v>
      </c>
      <c r="C581">
        <v>122553</v>
      </c>
      <c r="D581" s="236" t="s">
        <v>15248</v>
      </c>
      <c r="E581" s="301">
        <v>195</v>
      </c>
      <c r="F581" s="303">
        <v>42952</v>
      </c>
      <c r="G581" s="301">
        <v>195</v>
      </c>
      <c r="H581" s="304">
        <f>Tabla13[[#This Row],[Importe]]-Tabla13[[#This Row],[Pagado]]</f>
        <v>0</v>
      </c>
      <c r="I581" s="275" t="s">
        <v>15214</v>
      </c>
    </row>
    <row r="582" spans="1:9" x14ac:dyDescent="0.25">
      <c r="A582" s="299">
        <v>42952</v>
      </c>
      <c r="B582" s="302" t="s">
        <v>24382</v>
      </c>
      <c r="C582">
        <v>122554</v>
      </c>
      <c r="D582" s="236" t="s">
        <v>19775</v>
      </c>
      <c r="E582" s="301">
        <v>7675</v>
      </c>
      <c r="F582" s="303">
        <v>42952</v>
      </c>
      <c r="G582" s="301">
        <v>7675</v>
      </c>
      <c r="H582" s="304">
        <f>Tabla13[[#This Row],[Importe]]-Tabla13[[#This Row],[Pagado]]</f>
        <v>0</v>
      </c>
      <c r="I582" s="275" t="s">
        <v>15214</v>
      </c>
    </row>
    <row r="583" spans="1:9" x14ac:dyDescent="0.25">
      <c r="A583" s="299">
        <v>42952</v>
      </c>
      <c r="B583" s="302" t="s">
        <v>24383</v>
      </c>
      <c r="C583">
        <v>122555</v>
      </c>
      <c r="D583" s="236" t="s">
        <v>15276</v>
      </c>
      <c r="E583" s="301">
        <v>5000</v>
      </c>
      <c r="F583" s="303">
        <v>42953</v>
      </c>
      <c r="G583" s="301">
        <v>5000</v>
      </c>
      <c r="H583" s="304">
        <f>Tabla13[[#This Row],[Importe]]-Tabla13[[#This Row],[Pagado]]</f>
        <v>0</v>
      </c>
      <c r="I583" s="275" t="s">
        <v>15214</v>
      </c>
    </row>
    <row r="584" spans="1:9" x14ac:dyDescent="0.25">
      <c r="A584" s="299">
        <v>42952</v>
      </c>
      <c r="B584" s="302" t="s">
        <v>24384</v>
      </c>
      <c r="C584">
        <v>122556</v>
      </c>
      <c r="D584" s="236" t="s">
        <v>15328</v>
      </c>
      <c r="E584" s="301">
        <v>82307.740000000005</v>
      </c>
      <c r="F584" s="303">
        <v>42959</v>
      </c>
      <c r="G584" s="301">
        <v>82307.740000000005</v>
      </c>
      <c r="H584" s="304">
        <f>Tabla13[[#This Row],[Importe]]-Tabla13[[#This Row],[Pagado]]</f>
        <v>0</v>
      </c>
      <c r="I584" s="275" t="s">
        <v>15214</v>
      </c>
    </row>
    <row r="585" spans="1:9" x14ac:dyDescent="0.25">
      <c r="A585" s="299">
        <v>42952</v>
      </c>
      <c r="B585" s="302" t="s">
        <v>24385</v>
      </c>
      <c r="C585">
        <v>122557</v>
      </c>
      <c r="D585" s="236" t="s">
        <v>15334</v>
      </c>
      <c r="E585" s="301">
        <v>3742</v>
      </c>
      <c r="F585" s="303">
        <v>42952</v>
      </c>
      <c r="G585" s="301">
        <v>3742</v>
      </c>
      <c r="H585" s="304">
        <f>Tabla13[[#This Row],[Importe]]-Tabla13[[#This Row],[Pagado]]</f>
        <v>0</v>
      </c>
      <c r="I585" s="275" t="s">
        <v>15214</v>
      </c>
    </row>
    <row r="586" spans="1:9" x14ac:dyDescent="0.25">
      <c r="A586" s="299">
        <v>42952</v>
      </c>
      <c r="B586" s="302" t="s">
        <v>24386</v>
      </c>
      <c r="C586">
        <v>122558</v>
      </c>
      <c r="D586" s="236" t="s">
        <v>17430</v>
      </c>
      <c r="E586" s="301">
        <v>3187.5</v>
      </c>
      <c r="F586" s="303">
        <v>42952</v>
      </c>
      <c r="G586" s="301">
        <v>3187.5</v>
      </c>
      <c r="H586" s="304">
        <f>Tabla13[[#This Row],[Importe]]-Tabla13[[#This Row],[Pagado]]</f>
        <v>0</v>
      </c>
      <c r="I586" s="275" t="s">
        <v>15214</v>
      </c>
    </row>
    <row r="587" spans="1:9" x14ac:dyDescent="0.25">
      <c r="A587" s="299">
        <v>42952</v>
      </c>
      <c r="B587" s="302" t="s">
        <v>24387</v>
      </c>
      <c r="C587">
        <v>122559</v>
      </c>
      <c r="D587" s="236" t="s">
        <v>15596</v>
      </c>
      <c r="E587" s="301">
        <v>1250</v>
      </c>
      <c r="F587" s="303">
        <v>42952</v>
      </c>
      <c r="G587" s="301">
        <v>1250</v>
      </c>
      <c r="H587" s="304">
        <f>Tabla13[[#This Row],[Importe]]-Tabla13[[#This Row],[Pagado]]</f>
        <v>0</v>
      </c>
      <c r="I587" s="275" t="s">
        <v>15214</v>
      </c>
    </row>
    <row r="588" spans="1:9" x14ac:dyDescent="0.25">
      <c r="A588" s="299">
        <v>42952</v>
      </c>
      <c r="B588" s="302" t="s">
        <v>24388</v>
      </c>
      <c r="C588">
        <v>122560</v>
      </c>
      <c r="D588" s="236" t="s">
        <v>15936</v>
      </c>
      <c r="E588" s="301">
        <v>35499.599999999999</v>
      </c>
      <c r="F588" s="303">
        <v>42952</v>
      </c>
      <c r="G588" s="301">
        <v>35499.599999999999</v>
      </c>
      <c r="H588" s="304">
        <f>Tabla13[[#This Row],[Importe]]-Tabla13[[#This Row],[Pagado]]</f>
        <v>0</v>
      </c>
      <c r="I588" s="275" t="s">
        <v>15214</v>
      </c>
    </row>
    <row r="589" spans="1:9" x14ac:dyDescent="0.25">
      <c r="A589" s="299">
        <v>42952</v>
      </c>
      <c r="B589" s="302" t="s">
        <v>24389</v>
      </c>
      <c r="C589">
        <v>122561</v>
      </c>
      <c r="D589" s="236" t="s">
        <v>15396</v>
      </c>
      <c r="E589" s="301">
        <v>9175.64</v>
      </c>
      <c r="F589" s="303">
        <v>42952</v>
      </c>
      <c r="G589" s="301">
        <v>9175.64</v>
      </c>
      <c r="H589" s="304">
        <f>Tabla13[[#This Row],[Importe]]-Tabla13[[#This Row],[Pagado]]</f>
        <v>0</v>
      </c>
      <c r="I589" s="275" t="s">
        <v>15214</v>
      </c>
    </row>
    <row r="590" spans="1:9" x14ac:dyDescent="0.25">
      <c r="A590" s="299">
        <v>42952</v>
      </c>
      <c r="B590" s="302" t="s">
        <v>24390</v>
      </c>
      <c r="C590">
        <v>122562</v>
      </c>
      <c r="D590" s="236" t="s">
        <v>15278</v>
      </c>
      <c r="E590" s="301">
        <v>3138.4</v>
      </c>
      <c r="F590" s="303">
        <v>42952</v>
      </c>
      <c r="G590" s="301">
        <v>3138.4</v>
      </c>
      <c r="H590" s="304">
        <f>Tabla13[[#This Row],[Importe]]-Tabla13[[#This Row],[Pagado]]</f>
        <v>0</v>
      </c>
      <c r="I590" s="275" t="s">
        <v>15214</v>
      </c>
    </row>
    <row r="591" spans="1:9" x14ac:dyDescent="0.25">
      <c r="A591" s="299">
        <v>42952</v>
      </c>
      <c r="B591" s="302" t="s">
        <v>24391</v>
      </c>
      <c r="C591">
        <v>122563</v>
      </c>
      <c r="D591" s="236" t="s">
        <v>17800</v>
      </c>
      <c r="E591" s="301">
        <v>456.5</v>
      </c>
      <c r="F591" s="303">
        <v>42952</v>
      </c>
      <c r="G591" s="301">
        <v>456.5</v>
      </c>
      <c r="H591" s="304">
        <f>Tabla13[[#This Row],[Importe]]-Tabla13[[#This Row],[Pagado]]</f>
        <v>0</v>
      </c>
      <c r="I591" s="275" t="s">
        <v>15214</v>
      </c>
    </row>
    <row r="592" spans="1:9" x14ac:dyDescent="0.25">
      <c r="A592" s="299">
        <v>42952</v>
      </c>
      <c r="B592" s="302" t="s">
        <v>24392</v>
      </c>
      <c r="C592">
        <v>122564</v>
      </c>
      <c r="D592" s="236" t="s">
        <v>15301</v>
      </c>
      <c r="E592" s="301">
        <v>3284.4</v>
      </c>
      <c r="F592" s="303">
        <v>42952</v>
      </c>
      <c r="G592" s="301">
        <v>3284.4</v>
      </c>
      <c r="H592" s="304">
        <f>Tabla13[[#This Row],[Importe]]-Tabla13[[#This Row],[Pagado]]</f>
        <v>0</v>
      </c>
      <c r="I592" s="275" t="s">
        <v>15214</v>
      </c>
    </row>
    <row r="593" spans="1:9" x14ac:dyDescent="0.25">
      <c r="A593" s="299">
        <v>42952</v>
      </c>
      <c r="B593" s="302" t="s">
        <v>24393</v>
      </c>
      <c r="C593">
        <v>122565</v>
      </c>
      <c r="D593" s="236" t="s">
        <v>15415</v>
      </c>
      <c r="E593" s="301">
        <v>1437.7</v>
      </c>
      <c r="F593" s="303">
        <v>42958</v>
      </c>
      <c r="G593" s="301">
        <v>1437.7</v>
      </c>
      <c r="H593" s="304">
        <f>Tabla13[[#This Row],[Importe]]-Tabla13[[#This Row],[Pagado]]</f>
        <v>0</v>
      </c>
      <c r="I593" s="275" t="s">
        <v>15214</v>
      </c>
    </row>
    <row r="594" spans="1:9" x14ac:dyDescent="0.25">
      <c r="A594" s="299">
        <v>42952</v>
      </c>
      <c r="B594" s="302" t="s">
        <v>24394</v>
      </c>
      <c r="C594">
        <v>122566</v>
      </c>
      <c r="D594" s="236" t="s">
        <v>17057</v>
      </c>
      <c r="E594" s="301">
        <v>488.8</v>
      </c>
      <c r="F594" s="303">
        <v>42952</v>
      </c>
      <c r="G594" s="301">
        <v>488.8</v>
      </c>
      <c r="H594" s="304">
        <f>Tabla13[[#This Row],[Importe]]-Tabla13[[#This Row],[Pagado]]</f>
        <v>0</v>
      </c>
      <c r="I594" s="275" t="s">
        <v>15214</v>
      </c>
    </row>
    <row r="595" spans="1:9" x14ac:dyDescent="0.25">
      <c r="A595" s="299">
        <v>42952</v>
      </c>
      <c r="B595" s="302" t="s">
        <v>24395</v>
      </c>
      <c r="C595">
        <v>122567</v>
      </c>
      <c r="D595" s="236" t="s">
        <v>17235</v>
      </c>
      <c r="E595" s="301">
        <v>2768.96</v>
      </c>
      <c r="F595" s="303">
        <v>42952</v>
      </c>
      <c r="G595" s="301">
        <v>2768.96</v>
      </c>
      <c r="H595" s="304">
        <f>Tabla13[[#This Row],[Importe]]-Tabla13[[#This Row],[Pagado]]</f>
        <v>0</v>
      </c>
      <c r="I595" s="275" t="s">
        <v>15214</v>
      </c>
    </row>
    <row r="596" spans="1:9" x14ac:dyDescent="0.25">
      <c r="A596" s="299">
        <v>42952</v>
      </c>
      <c r="B596" s="302" t="s">
        <v>24396</v>
      </c>
      <c r="C596">
        <v>122568</v>
      </c>
      <c r="D596" s="236" t="s">
        <v>15378</v>
      </c>
      <c r="E596" s="301">
        <v>3145.1</v>
      </c>
      <c r="F596" s="303">
        <v>42952</v>
      </c>
      <c r="G596" s="301">
        <v>3145.1</v>
      </c>
      <c r="H596" s="304">
        <f>Tabla13[[#This Row],[Importe]]-Tabla13[[#This Row],[Pagado]]</f>
        <v>0</v>
      </c>
      <c r="I596" s="275" t="s">
        <v>15214</v>
      </c>
    </row>
    <row r="597" spans="1:9" x14ac:dyDescent="0.25">
      <c r="A597" s="299">
        <v>42952</v>
      </c>
      <c r="B597" s="302" t="s">
        <v>24397</v>
      </c>
      <c r="C597">
        <v>122569</v>
      </c>
      <c r="D597" s="236" t="s">
        <v>15311</v>
      </c>
      <c r="E597" s="301">
        <v>3005.7</v>
      </c>
      <c r="F597" s="303">
        <v>42952</v>
      </c>
      <c r="G597" s="301">
        <v>3005.7</v>
      </c>
      <c r="H597" s="304">
        <f>Tabla13[[#This Row],[Importe]]-Tabla13[[#This Row],[Pagado]]</f>
        <v>0</v>
      </c>
      <c r="I597" s="275" t="s">
        <v>15214</v>
      </c>
    </row>
    <row r="598" spans="1:9" x14ac:dyDescent="0.25">
      <c r="A598" s="299">
        <v>42952</v>
      </c>
      <c r="B598" s="302" t="s">
        <v>24398</v>
      </c>
      <c r="C598">
        <v>122570</v>
      </c>
      <c r="D598" s="236" t="s">
        <v>15309</v>
      </c>
      <c r="E598" s="301">
        <v>4268</v>
      </c>
      <c r="F598" s="303">
        <v>42952</v>
      </c>
      <c r="G598" s="301">
        <v>4268</v>
      </c>
      <c r="H598" s="304">
        <f>Tabla13[[#This Row],[Importe]]-Tabla13[[#This Row],[Pagado]]</f>
        <v>0</v>
      </c>
      <c r="I598" s="275" t="s">
        <v>15214</v>
      </c>
    </row>
    <row r="599" spans="1:9" x14ac:dyDescent="0.25">
      <c r="A599" s="299">
        <v>42952</v>
      </c>
      <c r="B599" s="302" t="s">
        <v>24399</v>
      </c>
      <c r="C599">
        <v>122571</v>
      </c>
      <c r="D599" s="236" t="s">
        <v>15305</v>
      </c>
      <c r="E599" s="301">
        <v>580</v>
      </c>
      <c r="F599" s="303">
        <v>42952</v>
      </c>
      <c r="G599" s="301">
        <v>580</v>
      </c>
      <c r="H599" s="304">
        <f>Tabla13[[#This Row],[Importe]]-Tabla13[[#This Row],[Pagado]]</f>
        <v>0</v>
      </c>
      <c r="I599" s="275" t="s">
        <v>15214</v>
      </c>
    </row>
    <row r="600" spans="1:9" x14ac:dyDescent="0.25">
      <c r="A600" s="299">
        <v>42952</v>
      </c>
      <c r="B600" s="302" t="s">
        <v>24400</v>
      </c>
      <c r="C600">
        <v>122572</v>
      </c>
      <c r="D600" s="236" t="s">
        <v>15526</v>
      </c>
      <c r="E600" s="301">
        <v>4352.3999999999996</v>
      </c>
      <c r="F600" s="303">
        <v>42952</v>
      </c>
      <c r="G600" s="301">
        <v>4352.3999999999996</v>
      </c>
      <c r="H600" s="304">
        <f>Tabla13[[#This Row],[Importe]]-Tabla13[[#This Row],[Pagado]]</f>
        <v>0</v>
      </c>
      <c r="I600" s="275" t="s">
        <v>15214</v>
      </c>
    </row>
    <row r="601" spans="1:9" x14ac:dyDescent="0.25">
      <c r="A601" s="299">
        <v>42952</v>
      </c>
      <c r="B601" s="302" t="s">
        <v>24401</v>
      </c>
      <c r="C601">
        <v>122573</v>
      </c>
      <c r="D601" s="236" t="s">
        <v>15344</v>
      </c>
      <c r="E601" s="301">
        <v>4316</v>
      </c>
      <c r="F601" s="303">
        <v>42952</v>
      </c>
      <c r="G601" s="301">
        <v>4316</v>
      </c>
      <c r="H601" s="304">
        <f>Tabla13[[#This Row],[Importe]]-Tabla13[[#This Row],[Pagado]]</f>
        <v>0</v>
      </c>
      <c r="I601" s="275" t="s">
        <v>15214</v>
      </c>
    </row>
    <row r="602" spans="1:9" x14ac:dyDescent="0.25">
      <c r="A602" s="299">
        <v>42952</v>
      </c>
      <c r="B602" s="302" t="s">
        <v>24402</v>
      </c>
      <c r="C602">
        <v>122574</v>
      </c>
      <c r="D602" s="236" t="s">
        <v>15378</v>
      </c>
      <c r="E602" s="301">
        <v>530.4</v>
      </c>
      <c r="F602" s="303">
        <v>42952</v>
      </c>
      <c r="G602" s="301">
        <v>530.4</v>
      </c>
      <c r="H602" s="304">
        <f>Tabla13[[#This Row],[Importe]]-Tabla13[[#This Row],[Pagado]]</f>
        <v>0</v>
      </c>
      <c r="I602" s="275" t="s">
        <v>15214</v>
      </c>
    </row>
    <row r="603" spans="1:9" x14ac:dyDescent="0.25">
      <c r="A603" s="299">
        <v>42952</v>
      </c>
      <c r="B603" s="302" t="s">
        <v>24403</v>
      </c>
      <c r="C603">
        <v>122575</v>
      </c>
      <c r="D603" s="236" t="s">
        <v>15291</v>
      </c>
      <c r="E603" s="301">
        <v>600</v>
      </c>
      <c r="F603" s="303">
        <v>42952</v>
      </c>
      <c r="G603" s="301">
        <v>600</v>
      </c>
      <c r="H603" s="304">
        <f>Tabla13[[#This Row],[Importe]]-Tabla13[[#This Row],[Pagado]]</f>
        <v>0</v>
      </c>
      <c r="I603" s="275" t="s">
        <v>15214</v>
      </c>
    </row>
    <row r="604" spans="1:9" x14ac:dyDescent="0.25">
      <c r="A604" s="299">
        <v>42952</v>
      </c>
      <c r="B604" s="302" t="s">
        <v>24404</v>
      </c>
      <c r="C604">
        <v>122576</v>
      </c>
      <c r="D604" s="236" t="s">
        <v>15358</v>
      </c>
      <c r="E604" s="301">
        <v>1940.4</v>
      </c>
      <c r="F604" s="303">
        <v>42952</v>
      </c>
      <c r="G604" s="301">
        <v>1940.4</v>
      </c>
      <c r="H604" s="304">
        <f>Tabla13[[#This Row],[Importe]]-Tabla13[[#This Row],[Pagado]]</f>
        <v>0</v>
      </c>
      <c r="I604" s="275" t="s">
        <v>15214</v>
      </c>
    </row>
    <row r="605" spans="1:9" x14ac:dyDescent="0.25">
      <c r="A605" s="299">
        <v>42952</v>
      </c>
      <c r="B605" s="302" t="s">
        <v>24405</v>
      </c>
      <c r="C605">
        <v>122577</v>
      </c>
      <c r="D605" s="236" t="s">
        <v>15336</v>
      </c>
      <c r="E605" s="301">
        <v>10353.700000000001</v>
      </c>
      <c r="F605" s="303">
        <v>42952</v>
      </c>
      <c r="G605" s="301">
        <v>10353.700000000001</v>
      </c>
      <c r="H605" s="304">
        <f>Tabla13[[#This Row],[Importe]]-Tabla13[[#This Row],[Pagado]]</f>
        <v>0</v>
      </c>
      <c r="I605" s="275" t="s">
        <v>15214</v>
      </c>
    </row>
    <row r="606" spans="1:9" x14ac:dyDescent="0.25">
      <c r="A606" s="299">
        <v>42952</v>
      </c>
      <c r="B606" s="302" t="s">
        <v>24406</v>
      </c>
      <c r="C606">
        <v>122578</v>
      </c>
      <c r="D606" s="236" t="s">
        <v>15284</v>
      </c>
      <c r="E606" s="301">
        <v>1716.2</v>
      </c>
      <c r="F606" s="303">
        <v>42952</v>
      </c>
      <c r="G606" s="301">
        <v>1716.2</v>
      </c>
      <c r="H606" s="304">
        <f>Tabla13[[#This Row],[Importe]]-Tabla13[[#This Row],[Pagado]]</f>
        <v>0</v>
      </c>
      <c r="I606" s="275" t="s">
        <v>15214</v>
      </c>
    </row>
    <row r="607" spans="1:9" x14ac:dyDescent="0.25">
      <c r="A607" s="299">
        <v>42952</v>
      </c>
      <c r="B607" s="302" t="s">
        <v>24407</v>
      </c>
      <c r="C607">
        <v>122579</v>
      </c>
      <c r="D607" s="236" t="s">
        <v>15354</v>
      </c>
      <c r="E607" s="301">
        <v>2773.8</v>
      </c>
      <c r="F607" s="303">
        <v>42952</v>
      </c>
      <c r="G607" s="301">
        <v>2773.8</v>
      </c>
      <c r="H607" s="304">
        <f>Tabla13[[#This Row],[Importe]]-Tabla13[[#This Row],[Pagado]]</f>
        <v>0</v>
      </c>
      <c r="I607" s="275" t="s">
        <v>15214</v>
      </c>
    </row>
    <row r="608" spans="1:9" x14ac:dyDescent="0.25">
      <c r="A608" s="299">
        <v>42952</v>
      </c>
      <c r="B608" s="302" t="s">
        <v>24408</v>
      </c>
      <c r="C608">
        <v>122580</v>
      </c>
      <c r="D608" s="236" t="s">
        <v>15530</v>
      </c>
      <c r="E608" s="301">
        <v>9083.5499999999993</v>
      </c>
      <c r="F608" s="303">
        <v>42952</v>
      </c>
      <c r="G608" s="301">
        <v>9083.5499999999993</v>
      </c>
      <c r="H608" s="304">
        <f>Tabla13[[#This Row],[Importe]]-Tabla13[[#This Row],[Pagado]]</f>
        <v>0</v>
      </c>
      <c r="I608" s="275" t="s">
        <v>15214</v>
      </c>
    </row>
    <row r="609" spans="1:9" x14ac:dyDescent="0.25">
      <c r="A609" s="299">
        <v>42952</v>
      </c>
      <c r="B609" s="302" t="s">
        <v>24409</v>
      </c>
      <c r="C609">
        <v>122581</v>
      </c>
      <c r="D609" s="236" t="s">
        <v>15562</v>
      </c>
      <c r="E609" s="301">
        <v>4235.3999999999996</v>
      </c>
      <c r="F609" s="303">
        <v>42952</v>
      </c>
      <c r="G609" s="301">
        <v>4235.3999999999996</v>
      </c>
      <c r="H609" s="304">
        <f>Tabla13[[#This Row],[Importe]]-Tabla13[[#This Row],[Pagado]]</f>
        <v>0</v>
      </c>
      <c r="I609" s="275" t="s">
        <v>15214</v>
      </c>
    </row>
    <row r="610" spans="1:9" x14ac:dyDescent="0.25">
      <c r="A610" s="299">
        <v>42952</v>
      </c>
      <c r="B610" s="302" t="s">
        <v>24410</v>
      </c>
      <c r="C610">
        <v>122582</v>
      </c>
      <c r="D610" s="236" t="s">
        <v>15642</v>
      </c>
      <c r="E610" s="301">
        <v>2238.3000000000002</v>
      </c>
      <c r="F610" s="303">
        <v>42952</v>
      </c>
      <c r="G610" s="301">
        <v>2238.3000000000002</v>
      </c>
      <c r="H610" s="304">
        <f>Tabla13[[#This Row],[Importe]]-Tabla13[[#This Row],[Pagado]]</f>
        <v>0</v>
      </c>
      <c r="I610" s="275" t="s">
        <v>15214</v>
      </c>
    </row>
    <row r="611" spans="1:9" x14ac:dyDescent="0.25">
      <c r="A611" s="299">
        <v>42952</v>
      </c>
      <c r="B611" s="302" t="s">
        <v>24411</v>
      </c>
      <c r="C611">
        <v>122583</v>
      </c>
      <c r="D611" s="236" t="s">
        <v>15861</v>
      </c>
      <c r="E611" s="301">
        <v>2361.1999999999998</v>
      </c>
      <c r="F611" s="303">
        <v>42952</v>
      </c>
      <c r="G611" s="301">
        <v>2361.1999999999998</v>
      </c>
      <c r="H611" s="304">
        <f>Tabla13[[#This Row],[Importe]]-Tabla13[[#This Row],[Pagado]]</f>
        <v>0</v>
      </c>
      <c r="I611" s="275" t="s">
        <v>15214</v>
      </c>
    </row>
    <row r="612" spans="1:9" x14ac:dyDescent="0.25">
      <c r="A612" s="299">
        <v>42952</v>
      </c>
      <c r="B612" s="302" t="s">
        <v>24412</v>
      </c>
      <c r="C612">
        <v>122584</v>
      </c>
      <c r="D612" s="236" t="s">
        <v>15332</v>
      </c>
      <c r="E612" s="301">
        <v>4119.5</v>
      </c>
      <c r="F612" s="303">
        <v>42952</v>
      </c>
      <c r="G612" s="301">
        <v>4119.5</v>
      </c>
      <c r="H612" s="304">
        <f>Tabla13[[#This Row],[Importe]]-Tabla13[[#This Row],[Pagado]]</f>
        <v>0</v>
      </c>
      <c r="I612" s="275" t="s">
        <v>15214</v>
      </c>
    </row>
    <row r="613" spans="1:9" x14ac:dyDescent="0.25">
      <c r="A613" s="299">
        <v>42952</v>
      </c>
      <c r="B613" s="302" t="s">
        <v>24413</v>
      </c>
      <c r="C613">
        <v>122585</v>
      </c>
      <c r="D613" s="236" t="s">
        <v>15356</v>
      </c>
      <c r="E613" s="301">
        <v>3315</v>
      </c>
      <c r="F613" s="303">
        <v>42952</v>
      </c>
      <c r="G613" s="301">
        <v>3315</v>
      </c>
      <c r="H613" s="304">
        <f>Tabla13[[#This Row],[Importe]]-Tabla13[[#This Row],[Pagado]]</f>
        <v>0</v>
      </c>
      <c r="I613" s="275" t="s">
        <v>15214</v>
      </c>
    </row>
    <row r="614" spans="1:9" x14ac:dyDescent="0.25">
      <c r="A614" s="299">
        <v>42952</v>
      </c>
      <c r="B614" s="302" t="s">
        <v>24414</v>
      </c>
      <c r="C614">
        <v>122586</v>
      </c>
      <c r="D614" s="236" t="s">
        <v>15912</v>
      </c>
      <c r="E614" s="301">
        <v>1928.2</v>
      </c>
      <c r="F614" s="303">
        <v>42952</v>
      </c>
      <c r="G614" s="301">
        <v>1928.2</v>
      </c>
      <c r="H614" s="304">
        <f>Tabla13[[#This Row],[Importe]]-Tabla13[[#This Row],[Pagado]]</f>
        <v>0</v>
      </c>
      <c r="I614" s="275" t="s">
        <v>15214</v>
      </c>
    </row>
    <row r="615" spans="1:9" x14ac:dyDescent="0.25">
      <c r="A615" s="299">
        <v>42952</v>
      </c>
      <c r="B615" s="302" t="s">
        <v>24415</v>
      </c>
      <c r="C615">
        <v>122587</v>
      </c>
      <c r="D615" s="236" t="s">
        <v>15315</v>
      </c>
      <c r="E615" s="301">
        <v>1415.1</v>
      </c>
      <c r="F615" s="303">
        <v>42952</v>
      </c>
      <c r="G615" s="301">
        <v>1415.1</v>
      </c>
      <c r="H615" s="304">
        <f>Tabla13[[#This Row],[Importe]]-Tabla13[[#This Row],[Pagado]]</f>
        <v>0</v>
      </c>
      <c r="I615" s="275" t="s">
        <v>15214</v>
      </c>
    </row>
    <row r="616" spans="1:9" x14ac:dyDescent="0.25">
      <c r="A616" s="299">
        <v>42952</v>
      </c>
      <c r="B616" s="302" t="s">
        <v>24416</v>
      </c>
      <c r="C616">
        <v>122588</v>
      </c>
      <c r="D616" s="236" t="s">
        <v>16040</v>
      </c>
      <c r="E616" s="301">
        <v>13893.2</v>
      </c>
      <c r="F616" s="303">
        <v>42958</v>
      </c>
      <c r="G616" s="301">
        <v>13893.2</v>
      </c>
      <c r="H616" s="304">
        <f>Tabla13[[#This Row],[Importe]]-Tabla13[[#This Row],[Pagado]]</f>
        <v>0</v>
      </c>
      <c r="I616" s="275" t="s">
        <v>15214</v>
      </c>
    </row>
    <row r="617" spans="1:9" ht="15.75" x14ac:dyDescent="0.25">
      <c r="A617" s="299">
        <v>42952</v>
      </c>
      <c r="B617" s="302" t="s">
        <v>24417</v>
      </c>
      <c r="C617">
        <v>122589</v>
      </c>
      <c r="D617" s="248" t="s">
        <v>95</v>
      </c>
      <c r="E617" s="301">
        <v>0</v>
      </c>
      <c r="F617" s="243" t="s">
        <v>95</v>
      </c>
      <c r="G617" s="301">
        <v>0</v>
      </c>
      <c r="H617" s="304">
        <f>Tabla13[[#This Row],[Importe]]-Tabla13[[#This Row],[Pagado]]</f>
        <v>0</v>
      </c>
      <c r="I617" s="275" t="s">
        <v>95</v>
      </c>
    </row>
    <row r="618" spans="1:9" ht="15.75" x14ac:dyDescent="0.25">
      <c r="A618" s="299">
        <v>42952</v>
      </c>
      <c r="B618" s="302" t="s">
        <v>24418</v>
      </c>
      <c r="C618">
        <v>122590</v>
      </c>
      <c r="D618" s="248" t="s">
        <v>95</v>
      </c>
      <c r="E618" s="301">
        <v>0</v>
      </c>
      <c r="F618" s="243" t="s">
        <v>95</v>
      </c>
      <c r="G618" s="301">
        <v>0</v>
      </c>
      <c r="H618" s="304">
        <f>Tabla13[[#This Row],[Importe]]-Tabla13[[#This Row],[Pagado]]</f>
        <v>0</v>
      </c>
      <c r="I618" s="275" t="s">
        <v>95</v>
      </c>
    </row>
    <row r="619" spans="1:9" x14ac:dyDescent="0.25">
      <c r="A619" s="299">
        <v>42952</v>
      </c>
      <c r="B619" s="302" t="s">
        <v>24419</v>
      </c>
      <c r="C619">
        <v>122591</v>
      </c>
      <c r="D619" s="236" t="s">
        <v>15315</v>
      </c>
      <c r="E619" s="301">
        <v>314.60000000000002</v>
      </c>
      <c r="F619" s="303">
        <v>42952</v>
      </c>
      <c r="G619" s="301">
        <v>314.60000000000002</v>
      </c>
      <c r="H619" s="304">
        <f>Tabla13[[#This Row],[Importe]]-Tabla13[[#This Row],[Pagado]]</f>
        <v>0</v>
      </c>
      <c r="I619" s="275" t="s">
        <v>15214</v>
      </c>
    </row>
    <row r="620" spans="1:9" x14ac:dyDescent="0.25">
      <c r="A620" s="299">
        <v>42952</v>
      </c>
      <c r="B620" s="302" t="s">
        <v>24420</v>
      </c>
      <c r="C620">
        <v>122592</v>
      </c>
      <c r="D620" s="236" t="s">
        <v>15912</v>
      </c>
      <c r="E620" s="301">
        <v>692.78</v>
      </c>
      <c r="F620" s="303">
        <v>42952</v>
      </c>
      <c r="G620" s="301">
        <v>692.78</v>
      </c>
      <c r="H620" s="304">
        <f>Tabla13[[#This Row],[Importe]]-Tabla13[[#This Row],[Pagado]]</f>
        <v>0</v>
      </c>
      <c r="I620" s="275" t="s">
        <v>15214</v>
      </c>
    </row>
    <row r="621" spans="1:9" x14ac:dyDescent="0.25">
      <c r="A621" s="299">
        <v>42952</v>
      </c>
      <c r="B621" s="302" t="s">
        <v>24421</v>
      </c>
      <c r="C621">
        <v>122593</v>
      </c>
      <c r="D621" s="236" t="s">
        <v>15315</v>
      </c>
      <c r="E621" s="301">
        <v>2850.9</v>
      </c>
      <c r="F621" s="303">
        <v>42952</v>
      </c>
      <c r="G621" s="301">
        <v>2850.9</v>
      </c>
      <c r="H621" s="304">
        <f>Tabla13[[#This Row],[Importe]]-Tabla13[[#This Row],[Pagado]]</f>
        <v>0</v>
      </c>
      <c r="I621" s="275" t="s">
        <v>15214</v>
      </c>
    </row>
    <row r="622" spans="1:9" x14ac:dyDescent="0.25">
      <c r="A622" s="299">
        <v>42952</v>
      </c>
      <c r="B622" s="302" t="s">
        <v>24422</v>
      </c>
      <c r="C622">
        <v>122594</v>
      </c>
      <c r="D622" s="236" t="s">
        <v>15274</v>
      </c>
      <c r="E622" s="301">
        <v>2220</v>
      </c>
      <c r="F622" s="303">
        <v>42952</v>
      </c>
      <c r="G622" s="301">
        <v>2220</v>
      </c>
      <c r="H622" s="304">
        <f>Tabla13[[#This Row],[Importe]]-Tabla13[[#This Row],[Pagado]]</f>
        <v>0</v>
      </c>
      <c r="I622" s="275" t="s">
        <v>15214</v>
      </c>
    </row>
    <row r="623" spans="1:9" x14ac:dyDescent="0.25">
      <c r="A623" s="299">
        <v>42952</v>
      </c>
      <c r="B623" s="302" t="s">
        <v>24423</v>
      </c>
      <c r="C623">
        <v>122595</v>
      </c>
      <c r="D623" s="236" t="s">
        <v>15537</v>
      </c>
      <c r="E623" s="301">
        <v>16309.5</v>
      </c>
      <c r="F623" s="303">
        <v>42958</v>
      </c>
      <c r="G623" s="301">
        <v>16309.5</v>
      </c>
      <c r="H623" s="304">
        <f>Tabla13[[#This Row],[Importe]]-Tabla13[[#This Row],[Pagado]]</f>
        <v>0</v>
      </c>
      <c r="I623" s="275" t="s">
        <v>15214</v>
      </c>
    </row>
    <row r="624" spans="1:9" x14ac:dyDescent="0.25">
      <c r="A624" s="299">
        <v>42952</v>
      </c>
      <c r="B624" s="302" t="s">
        <v>24424</v>
      </c>
      <c r="C624">
        <v>122596</v>
      </c>
      <c r="D624" s="236" t="s">
        <v>15324</v>
      </c>
      <c r="E624" s="301">
        <v>2890</v>
      </c>
      <c r="F624" s="303">
        <v>42952</v>
      </c>
      <c r="G624" s="301">
        <v>2890</v>
      </c>
      <c r="H624" s="304">
        <f>Tabla13[[#This Row],[Importe]]-Tabla13[[#This Row],[Pagado]]</f>
        <v>0</v>
      </c>
      <c r="I624" s="275" t="s">
        <v>15214</v>
      </c>
    </row>
    <row r="625" spans="1:9" x14ac:dyDescent="0.25">
      <c r="A625" s="299">
        <v>42952</v>
      </c>
      <c r="B625" s="302" t="s">
        <v>24425</v>
      </c>
      <c r="C625">
        <v>122597</v>
      </c>
      <c r="D625" s="236" t="s">
        <v>15315</v>
      </c>
      <c r="E625" s="301">
        <v>9645.6</v>
      </c>
      <c r="F625" s="303">
        <v>42958</v>
      </c>
      <c r="G625" s="301">
        <v>9645.6</v>
      </c>
      <c r="H625" s="304">
        <f>Tabla13[[#This Row],[Importe]]-Tabla13[[#This Row],[Pagado]]</f>
        <v>0</v>
      </c>
      <c r="I625" s="275" t="s">
        <v>15214</v>
      </c>
    </row>
    <row r="626" spans="1:9" x14ac:dyDescent="0.25">
      <c r="A626" s="299">
        <v>42952</v>
      </c>
      <c r="B626" s="302" t="s">
        <v>24426</v>
      </c>
      <c r="C626">
        <v>122598</v>
      </c>
      <c r="D626" s="236" t="s">
        <v>15539</v>
      </c>
      <c r="E626" s="301">
        <v>16726.650000000001</v>
      </c>
      <c r="F626" s="303">
        <v>42956</v>
      </c>
      <c r="G626" s="301">
        <v>16726.650000000001</v>
      </c>
      <c r="H626" s="304">
        <f>Tabla13[[#This Row],[Importe]]-Tabla13[[#This Row],[Pagado]]</f>
        <v>0</v>
      </c>
      <c r="I626" s="275" t="s">
        <v>15214</v>
      </c>
    </row>
    <row r="627" spans="1:9" x14ac:dyDescent="0.25">
      <c r="A627" s="299">
        <v>42952</v>
      </c>
      <c r="B627" s="302" t="s">
        <v>24427</v>
      </c>
      <c r="C627">
        <v>122599</v>
      </c>
      <c r="D627" s="236" t="s">
        <v>15559</v>
      </c>
      <c r="E627" s="301">
        <v>12813.75</v>
      </c>
      <c r="F627" s="303">
        <v>42956</v>
      </c>
      <c r="G627" s="301">
        <v>12813.75</v>
      </c>
      <c r="H627" s="304">
        <f>Tabla13[[#This Row],[Importe]]-Tabla13[[#This Row],[Pagado]]</f>
        <v>0</v>
      </c>
      <c r="I627" s="275" t="s">
        <v>15214</v>
      </c>
    </row>
    <row r="628" spans="1:9" x14ac:dyDescent="0.25">
      <c r="A628" s="299">
        <v>42952</v>
      </c>
      <c r="B628" s="302" t="s">
        <v>24428</v>
      </c>
      <c r="C628">
        <v>122600</v>
      </c>
      <c r="D628" s="236" t="s">
        <v>15371</v>
      </c>
      <c r="E628" s="301">
        <v>2775.72</v>
      </c>
      <c r="F628" s="303">
        <v>42953</v>
      </c>
      <c r="G628" s="301">
        <v>2775.72</v>
      </c>
      <c r="H628" s="304">
        <f>Tabla13[[#This Row],[Importe]]-Tabla13[[#This Row],[Pagado]]</f>
        <v>0</v>
      </c>
      <c r="I628" s="275" t="s">
        <v>15214</v>
      </c>
    </row>
    <row r="629" spans="1:9" x14ac:dyDescent="0.25">
      <c r="A629" s="299">
        <v>42952</v>
      </c>
      <c r="B629" s="302" t="s">
        <v>24429</v>
      </c>
      <c r="C629">
        <v>122601</v>
      </c>
      <c r="D629" s="236" t="s">
        <v>15371</v>
      </c>
      <c r="E629" s="301">
        <v>144.4</v>
      </c>
      <c r="F629" s="303">
        <v>42953</v>
      </c>
      <c r="G629" s="301">
        <v>144.4</v>
      </c>
      <c r="H629" s="304">
        <f>Tabla13[[#This Row],[Importe]]-Tabla13[[#This Row],[Pagado]]</f>
        <v>0</v>
      </c>
      <c r="I629" s="275" t="s">
        <v>15214</v>
      </c>
    </row>
    <row r="630" spans="1:9" x14ac:dyDescent="0.25">
      <c r="A630" s="299">
        <v>42952</v>
      </c>
      <c r="B630" s="302" t="s">
        <v>24430</v>
      </c>
      <c r="C630">
        <v>122602</v>
      </c>
      <c r="D630" s="236" t="s">
        <v>15555</v>
      </c>
      <c r="E630" s="301">
        <v>3627</v>
      </c>
      <c r="F630" s="303">
        <v>42958</v>
      </c>
      <c r="G630" s="301">
        <v>3627</v>
      </c>
      <c r="H630" s="304">
        <f>Tabla13[[#This Row],[Importe]]-Tabla13[[#This Row],[Pagado]]</f>
        <v>0</v>
      </c>
      <c r="I630" s="275" t="s">
        <v>15214</v>
      </c>
    </row>
    <row r="631" spans="1:9" x14ac:dyDescent="0.25">
      <c r="A631" s="299">
        <v>42952</v>
      </c>
      <c r="B631" s="302" t="s">
        <v>24431</v>
      </c>
      <c r="C631">
        <v>122603</v>
      </c>
      <c r="D631" s="236" t="s">
        <v>15544</v>
      </c>
      <c r="E631" s="301">
        <v>8252</v>
      </c>
      <c r="F631" s="303">
        <v>42956</v>
      </c>
      <c r="G631" s="301">
        <v>8252</v>
      </c>
      <c r="H631" s="304">
        <f>Tabla13[[#This Row],[Importe]]-Tabla13[[#This Row],[Pagado]]</f>
        <v>0</v>
      </c>
      <c r="I631" s="275" t="s">
        <v>15214</v>
      </c>
    </row>
    <row r="632" spans="1:9" x14ac:dyDescent="0.25">
      <c r="A632" s="299">
        <v>42952</v>
      </c>
      <c r="B632" s="302" t="s">
        <v>24432</v>
      </c>
      <c r="C632">
        <v>122604</v>
      </c>
      <c r="D632" s="236" t="s">
        <v>15315</v>
      </c>
      <c r="E632" s="301">
        <v>4556.55</v>
      </c>
      <c r="F632" s="303">
        <v>42956</v>
      </c>
      <c r="G632" s="301">
        <v>4556.55</v>
      </c>
      <c r="H632" s="304">
        <f>Tabla13[[#This Row],[Importe]]-Tabla13[[#This Row],[Pagado]]</f>
        <v>0</v>
      </c>
      <c r="I632" s="275" t="s">
        <v>15214</v>
      </c>
    </row>
    <row r="633" spans="1:9" x14ac:dyDescent="0.25">
      <c r="A633" s="299">
        <v>42952</v>
      </c>
      <c r="B633" s="302" t="s">
        <v>24433</v>
      </c>
      <c r="C633">
        <v>122605</v>
      </c>
      <c r="D633" s="236" t="s">
        <v>15315</v>
      </c>
      <c r="E633" s="301">
        <v>1928.2</v>
      </c>
      <c r="F633" s="303">
        <v>42973</v>
      </c>
      <c r="G633" s="301">
        <v>1928.2</v>
      </c>
      <c r="H633" s="304">
        <f>Tabla13[[#This Row],[Importe]]-Tabla13[[#This Row],[Pagado]]</f>
        <v>0</v>
      </c>
      <c r="I633" s="275" t="s">
        <v>15214</v>
      </c>
    </row>
    <row r="634" spans="1:9" x14ac:dyDescent="0.25">
      <c r="A634" s="299">
        <v>42952</v>
      </c>
      <c r="B634" s="302" t="s">
        <v>24434</v>
      </c>
      <c r="C634">
        <v>122606</v>
      </c>
      <c r="D634" s="236" t="s">
        <v>15298</v>
      </c>
      <c r="E634" s="301">
        <v>390.4</v>
      </c>
      <c r="F634" s="303">
        <v>42952</v>
      </c>
      <c r="G634" s="301">
        <v>390.4</v>
      </c>
      <c r="H634" s="304">
        <f>Tabla13[[#This Row],[Importe]]-Tabla13[[#This Row],[Pagado]]</f>
        <v>0</v>
      </c>
      <c r="I634" s="275" t="s">
        <v>15214</v>
      </c>
    </row>
    <row r="635" spans="1:9" x14ac:dyDescent="0.25">
      <c r="A635" s="299">
        <v>42952</v>
      </c>
      <c r="B635" s="302" t="s">
        <v>24435</v>
      </c>
      <c r="C635">
        <v>122607</v>
      </c>
      <c r="D635" s="236" t="s">
        <v>15725</v>
      </c>
      <c r="E635" s="301">
        <v>28929.599999999999</v>
      </c>
      <c r="F635" s="303">
        <v>42954</v>
      </c>
      <c r="G635" s="301">
        <v>28929.599999999999</v>
      </c>
      <c r="H635" s="304">
        <f>Tabla13[[#This Row],[Importe]]-Tabla13[[#This Row],[Pagado]]</f>
        <v>0</v>
      </c>
      <c r="I635" s="275" t="s">
        <v>15214</v>
      </c>
    </row>
    <row r="636" spans="1:9" ht="15.75" x14ac:dyDescent="0.25">
      <c r="A636" s="299">
        <v>42952</v>
      </c>
      <c r="B636" s="302" t="s">
        <v>24436</v>
      </c>
      <c r="C636">
        <v>122608</v>
      </c>
      <c r="D636" s="248" t="s">
        <v>95</v>
      </c>
      <c r="E636" s="301">
        <v>0</v>
      </c>
      <c r="F636" s="243" t="s">
        <v>95</v>
      </c>
      <c r="G636" s="301">
        <v>0</v>
      </c>
      <c r="H636" s="304">
        <f>Tabla13[[#This Row],[Importe]]-Tabla13[[#This Row],[Pagado]]</f>
        <v>0</v>
      </c>
      <c r="I636" s="275" t="s">
        <v>95</v>
      </c>
    </row>
    <row r="637" spans="1:9" x14ac:dyDescent="0.25">
      <c r="A637" s="299">
        <v>42952</v>
      </c>
      <c r="B637" s="302" t="s">
        <v>24437</v>
      </c>
      <c r="C637">
        <v>122609</v>
      </c>
      <c r="D637" s="236" t="s">
        <v>16383</v>
      </c>
      <c r="E637" s="301">
        <v>9976.2000000000007</v>
      </c>
      <c r="F637" s="303">
        <v>42952</v>
      </c>
      <c r="G637" s="301">
        <v>9976.2000000000007</v>
      </c>
      <c r="H637" s="304">
        <f>Tabla13[[#This Row],[Importe]]-Tabla13[[#This Row],[Pagado]]</f>
        <v>0</v>
      </c>
      <c r="I637" s="275" t="s">
        <v>15214</v>
      </c>
    </row>
    <row r="638" spans="1:9" x14ac:dyDescent="0.25">
      <c r="A638" s="299">
        <v>42952</v>
      </c>
      <c r="B638" s="302" t="s">
        <v>24438</v>
      </c>
      <c r="C638">
        <v>122610</v>
      </c>
      <c r="D638" s="236" t="s">
        <v>15699</v>
      </c>
      <c r="E638" s="301">
        <v>11182.4</v>
      </c>
      <c r="F638" s="307">
        <v>43124</v>
      </c>
      <c r="G638" s="310">
        <v>11182.4</v>
      </c>
      <c r="H638" s="304">
        <f>Tabla13[[#This Row],[Importe]]-Tabla13[[#This Row],[Pagado]]</f>
        <v>0</v>
      </c>
      <c r="I638" s="275" t="s">
        <v>15214</v>
      </c>
    </row>
    <row r="639" spans="1:9" x14ac:dyDescent="0.25">
      <c r="A639" s="299">
        <v>42952</v>
      </c>
      <c r="B639" s="302" t="s">
        <v>24439</v>
      </c>
      <c r="C639">
        <v>122611</v>
      </c>
      <c r="D639" s="236" t="s">
        <v>15363</v>
      </c>
      <c r="E639" s="301">
        <v>4213</v>
      </c>
      <c r="F639" s="303">
        <v>42952</v>
      </c>
      <c r="G639" s="301">
        <v>4213</v>
      </c>
      <c r="H639" s="304">
        <f>Tabla13[[#This Row],[Importe]]-Tabla13[[#This Row],[Pagado]]</f>
        <v>0</v>
      </c>
      <c r="I639" s="275" t="s">
        <v>15214</v>
      </c>
    </row>
    <row r="640" spans="1:9" x14ac:dyDescent="0.25">
      <c r="A640" s="299">
        <v>42952</v>
      </c>
      <c r="B640" s="302" t="s">
        <v>24440</v>
      </c>
      <c r="C640">
        <v>122612</v>
      </c>
      <c r="D640" s="236" t="s">
        <v>15363</v>
      </c>
      <c r="E640" s="301">
        <v>317.5</v>
      </c>
      <c r="F640" s="303">
        <v>42952</v>
      </c>
      <c r="G640" s="301">
        <v>317.5</v>
      </c>
      <c r="H640" s="304">
        <f>Tabla13[[#This Row],[Importe]]-Tabla13[[#This Row],[Pagado]]</f>
        <v>0</v>
      </c>
      <c r="I640" s="275" t="s">
        <v>15214</v>
      </c>
    </row>
    <row r="641" spans="1:9" x14ac:dyDescent="0.25">
      <c r="A641" s="299">
        <v>42952</v>
      </c>
      <c r="B641" s="302" t="s">
        <v>24441</v>
      </c>
      <c r="C641">
        <v>122613</v>
      </c>
      <c r="D641" s="236" t="s">
        <v>15592</v>
      </c>
      <c r="E641" s="301">
        <v>3273.6</v>
      </c>
      <c r="F641" s="303">
        <v>42952</v>
      </c>
      <c r="G641" s="301">
        <v>3273.6</v>
      </c>
      <c r="H641" s="304">
        <f>Tabla13[[#This Row],[Importe]]-Tabla13[[#This Row],[Pagado]]</f>
        <v>0</v>
      </c>
      <c r="I641" s="275" t="s">
        <v>15214</v>
      </c>
    </row>
    <row r="642" spans="1:9" x14ac:dyDescent="0.25">
      <c r="A642" s="299">
        <v>42952</v>
      </c>
      <c r="B642" s="302" t="s">
        <v>24442</v>
      </c>
      <c r="C642">
        <v>122614</v>
      </c>
      <c r="D642" s="236" t="s">
        <v>15315</v>
      </c>
      <c r="E642" s="301">
        <v>743.2</v>
      </c>
      <c r="F642" s="303">
        <v>42952</v>
      </c>
      <c r="G642" s="301">
        <v>743.2</v>
      </c>
      <c r="H642" s="304">
        <f>Tabla13[[#This Row],[Importe]]-Tabla13[[#This Row],[Pagado]]</f>
        <v>0</v>
      </c>
      <c r="I642" s="275" t="s">
        <v>15214</v>
      </c>
    </row>
    <row r="643" spans="1:9" x14ac:dyDescent="0.25">
      <c r="A643" s="299">
        <v>42952</v>
      </c>
      <c r="B643" s="302" t="s">
        <v>24443</v>
      </c>
      <c r="C643">
        <v>122615</v>
      </c>
      <c r="D643" s="236" t="s">
        <v>16108</v>
      </c>
      <c r="E643" s="301">
        <v>4242.3999999999996</v>
      </c>
      <c r="F643" s="303">
        <v>42952</v>
      </c>
      <c r="G643" s="301">
        <v>4242.3999999999996</v>
      </c>
      <c r="H643" s="304">
        <f>Tabla13[[#This Row],[Importe]]-Tabla13[[#This Row],[Pagado]]</f>
        <v>0</v>
      </c>
      <c r="I643" s="275" t="s">
        <v>15214</v>
      </c>
    </row>
    <row r="644" spans="1:9" x14ac:dyDescent="0.25">
      <c r="A644" s="299">
        <v>42952</v>
      </c>
      <c r="B644" s="302" t="s">
        <v>24444</v>
      </c>
      <c r="C644">
        <v>122616</v>
      </c>
      <c r="D644" s="236" t="s">
        <v>15391</v>
      </c>
      <c r="E644" s="301">
        <v>12514</v>
      </c>
      <c r="F644" s="303">
        <v>42956</v>
      </c>
      <c r="G644" s="301">
        <v>12514</v>
      </c>
      <c r="H644" s="304">
        <f>Tabla13[[#This Row],[Importe]]-Tabla13[[#This Row],[Pagado]]</f>
        <v>0</v>
      </c>
      <c r="I644" s="275" t="s">
        <v>15214</v>
      </c>
    </row>
    <row r="645" spans="1:9" x14ac:dyDescent="0.25">
      <c r="A645" s="299">
        <v>42952</v>
      </c>
      <c r="B645" s="302" t="s">
        <v>24445</v>
      </c>
      <c r="C645">
        <v>122617</v>
      </c>
      <c r="D645" s="236" t="s">
        <v>15315</v>
      </c>
      <c r="E645" s="301">
        <v>153</v>
      </c>
      <c r="F645" s="303">
        <v>42952</v>
      </c>
      <c r="G645" s="301">
        <v>153</v>
      </c>
      <c r="H645" s="304">
        <f>Tabla13[[#This Row],[Importe]]-Tabla13[[#This Row],[Pagado]]</f>
        <v>0</v>
      </c>
      <c r="I645" s="275" t="s">
        <v>15214</v>
      </c>
    </row>
    <row r="646" spans="1:9" x14ac:dyDescent="0.25">
      <c r="A646" s="299">
        <v>42952</v>
      </c>
      <c r="B646" s="302" t="s">
        <v>24446</v>
      </c>
      <c r="C646">
        <v>122618</v>
      </c>
      <c r="D646" s="236" t="s">
        <v>15361</v>
      </c>
      <c r="E646" s="301">
        <v>6376.4</v>
      </c>
      <c r="F646" s="303">
        <v>42952</v>
      </c>
      <c r="G646" s="301">
        <v>6376.4</v>
      </c>
      <c r="H646" s="304">
        <f>Tabla13[[#This Row],[Importe]]-Tabla13[[#This Row],[Pagado]]</f>
        <v>0</v>
      </c>
      <c r="I646" s="275" t="s">
        <v>15214</v>
      </c>
    </row>
    <row r="647" spans="1:9" x14ac:dyDescent="0.25">
      <c r="A647" s="299">
        <v>42952</v>
      </c>
      <c r="B647" s="302" t="s">
        <v>24447</v>
      </c>
      <c r="C647">
        <v>122619</v>
      </c>
      <c r="D647" s="236" t="s">
        <v>15282</v>
      </c>
      <c r="E647" s="301">
        <v>5118.8999999999996</v>
      </c>
      <c r="F647" s="303">
        <v>42952</v>
      </c>
      <c r="G647" s="301">
        <v>5118.8999999999996</v>
      </c>
      <c r="H647" s="304">
        <f>Tabla13[[#This Row],[Importe]]-Tabla13[[#This Row],[Pagado]]</f>
        <v>0</v>
      </c>
      <c r="I647" s="275" t="s">
        <v>15214</v>
      </c>
    </row>
    <row r="648" spans="1:9" x14ac:dyDescent="0.25">
      <c r="A648" s="299">
        <v>42952</v>
      </c>
      <c r="B648" s="302" t="s">
        <v>24448</v>
      </c>
      <c r="C648">
        <v>122620</v>
      </c>
      <c r="D648" s="236" t="s">
        <v>15728</v>
      </c>
      <c r="E648" s="301">
        <v>14164.2</v>
      </c>
      <c r="F648" s="303">
        <v>42952</v>
      </c>
      <c r="G648" s="301">
        <v>14164.2</v>
      </c>
      <c r="H648" s="304">
        <f>Tabla13[[#This Row],[Importe]]-Tabla13[[#This Row],[Pagado]]</f>
        <v>0</v>
      </c>
      <c r="I648" s="275" t="s">
        <v>15214</v>
      </c>
    </row>
    <row r="649" spans="1:9" x14ac:dyDescent="0.25">
      <c r="A649" s="299">
        <v>42952</v>
      </c>
      <c r="B649" s="302" t="s">
        <v>24449</v>
      </c>
      <c r="C649">
        <v>122621</v>
      </c>
      <c r="D649" s="236" t="s">
        <v>15566</v>
      </c>
      <c r="E649" s="301">
        <v>3714.7</v>
      </c>
      <c r="F649" s="303">
        <v>42952</v>
      </c>
      <c r="G649" s="301">
        <v>3714.7</v>
      </c>
      <c r="H649" s="304">
        <f>Tabla13[[#This Row],[Importe]]-Tabla13[[#This Row],[Pagado]]</f>
        <v>0</v>
      </c>
      <c r="I649" s="275" t="s">
        <v>15214</v>
      </c>
    </row>
    <row r="650" spans="1:9" x14ac:dyDescent="0.25">
      <c r="A650" s="299">
        <v>42952</v>
      </c>
      <c r="B650" s="302" t="s">
        <v>24450</v>
      </c>
      <c r="C650">
        <v>122622</v>
      </c>
      <c r="D650" s="236" t="s">
        <v>15242</v>
      </c>
      <c r="E650" s="301">
        <v>19428.45</v>
      </c>
      <c r="F650" s="303">
        <v>42952</v>
      </c>
      <c r="G650" s="301">
        <v>19428.45</v>
      </c>
      <c r="H650" s="304">
        <f>Tabla13[[#This Row],[Importe]]-Tabla13[[#This Row],[Pagado]]</f>
        <v>0</v>
      </c>
      <c r="I650" s="275" t="s">
        <v>15214</v>
      </c>
    </row>
    <row r="651" spans="1:9" x14ac:dyDescent="0.25">
      <c r="A651" s="299">
        <v>42952</v>
      </c>
      <c r="B651" s="302" t="s">
        <v>24451</v>
      </c>
      <c r="C651">
        <v>122623</v>
      </c>
      <c r="D651" s="236" t="s">
        <v>15267</v>
      </c>
      <c r="E651" s="301">
        <v>5928</v>
      </c>
      <c r="F651" s="303">
        <v>42952</v>
      </c>
      <c r="G651" s="301">
        <v>5928</v>
      </c>
      <c r="H651" s="304">
        <f>Tabla13[[#This Row],[Importe]]-Tabla13[[#This Row],[Pagado]]</f>
        <v>0</v>
      </c>
      <c r="I651" s="275" t="s">
        <v>15214</v>
      </c>
    </row>
    <row r="652" spans="1:9" x14ac:dyDescent="0.25">
      <c r="A652" s="299">
        <v>42952</v>
      </c>
      <c r="B652" s="302" t="s">
        <v>24452</v>
      </c>
      <c r="C652">
        <v>122624</v>
      </c>
      <c r="D652" s="236" t="s">
        <v>15624</v>
      </c>
      <c r="E652" s="301">
        <v>3141.6</v>
      </c>
      <c r="F652" s="303">
        <v>42952</v>
      </c>
      <c r="G652" s="301">
        <v>3141.6</v>
      </c>
      <c r="H652" s="304">
        <f>Tabla13[[#This Row],[Importe]]-Tabla13[[#This Row],[Pagado]]</f>
        <v>0</v>
      </c>
      <c r="I652" s="275" t="s">
        <v>15214</v>
      </c>
    </row>
    <row r="653" spans="1:9" x14ac:dyDescent="0.25">
      <c r="A653" s="299">
        <v>42952</v>
      </c>
      <c r="B653" s="302" t="s">
        <v>24453</v>
      </c>
      <c r="C653">
        <v>122625</v>
      </c>
      <c r="D653" s="236" t="s">
        <v>15246</v>
      </c>
      <c r="E653" s="301">
        <v>208453.9</v>
      </c>
      <c r="F653" s="303">
        <v>42957</v>
      </c>
      <c r="G653" s="301">
        <v>208453.9</v>
      </c>
      <c r="H653" s="304">
        <f>Tabla13[[#This Row],[Importe]]-Tabla13[[#This Row],[Pagado]]</f>
        <v>0</v>
      </c>
      <c r="I653" s="275" t="s">
        <v>15214</v>
      </c>
    </row>
    <row r="654" spans="1:9" x14ac:dyDescent="0.25">
      <c r="A654" s="299">
        <v>42952</v>
      </c>
      <c r="B654" s="302" t="s">
        <v>24454</v>
      </c>
      <c r="C654">
        <v>122626</v>
      </c>
      <c r="D654" s="236" t="s">
        <v>19756</v>
      </c>
      <c r="E654" s="301">
        <v>1914.4</v>
      </c>
      <c r="F654" s="303">
        <v>42952</v>
      </c>
      <c r="G654" s="301">
        <v>1914.4</v>
      </c>
      <c r="H654" s="304">
        <f>Tabla13[[#This Row],[Importe]]-Tabla13[[#This Row],[Pagado]]</f>
        <v>0</v>
      </c>
      <c r="I654" s="275" t="s">
        <v>15214</v>
      </c>
    </row>
    <row r="655" spans="1:9" x14ac:dyDescent="0.25">
      <c r="A655" s="299">
        <v>42952</v>
      </c>
      <c r="B655" s="302" t="s">
        <v>24455</v>
      </c>
      <c r="C655">
        <v>122627</v>
      </c>
      <c r="D655" s="236" t="s">
        <v>15315</v>
      </c>
      <c r="E655" s="301">
        <v>862.4</v>
      </c>
      <c r="F655" s="303">
        <v>42952</v>
      </c>
      <c r="G655" s="301">
        <v>862.4</v>
      </c>
      <c r="H655" s="304">
        <f>Tabla13[[#This Row],[Importe]]-Tabla13[[#This Row],[Pagado]]</f>
        <v>0</v>
      </c>
      <c r="I655" s="275" t="s">
        <v>15214</v>
      </c>
    </row>
    <row r="656" spans="1:9" x14ac:dyDescent="0.25">
      <c r="A656" s="299">
        <v>42952</v>
      </c>
      <c r="B656" s="302" t="s">
        <v>24456</v>
      </c>
      <c r="C656">
        <v>122628</v>
      </c>
      <c r="D656" s="236" t="s">
        <v>15250</v>
      </c>
      <c r="E656" s="301">
        <v>34669.040000000001</v>
      </c>
      <c r="F656" s="303">
        <v>42961</v>
      </c>
      <c r="G656" s="301">
        <v>34669.040000000001</v>
      </c>
      <c r="H656" s="304">
        <f>Tabla13[[#This Row],[Importe]]-Tabla13[[#This Row],[Pagado]]</f>
        <v>0</v>
      </c>
      <c r="I656" s="275" t="s">
        <v>15214</v>
      </c>
    </row>
    <row r="657" spans="1:9" x14ac:dyDescent="0.25">
      <c r="A657" s="299">
        <v>42952</v>
      </c>
      <c r="B657" s="302" t="s">
        <v>24457</v>
      </c>
      <c r="C657">
        <v>122629</v>
      </c>
      <c r="D657" s="236" t="s">
        <v>15246</v>
      </c>
      <c r="E657" s="301">
        <v>137006.96</v>
      </c>
      <c r="F657" s="303">
        <v>42957</v>
      </c>
      <c r="G657" s="301">
        <v>137006.96</v>
      </c>
      <c r="H657" s="304">
        <f>Tabla13[[#This Row],[Importe]]-Tabla13[[#This Row],[Pagado]]</f>
        <v>0</v>
      </c>
      <c r="I657" s="275" t="s">
        <v>15214</v>
      </c>
    </row>
    <row r="658" spans="1:9" x14ac:dyDescent="0.25">
      <c r="A658" s="299">
        <v>42952</v>
      </c>
      <c r="B658" s="302" t="s">
        <v>24458</v>
      </c>
      <c r="C658">
        <v>122630</v>
      </c>
      <c r="D658" s="236" t="s">
        <v>15748</v>
      </c>
      <c r="E658" s="301">
        <v>768</v>
      </c>
      <c r="F658" s="303">
        <v>42952</v>
      </c>
      <c r="G658" s="301">
        <v>768</v>
      </c>
      <c r="H658" s="304">
        <f>Tabla13[[#This Row],[Importe]]-Tabla13[[#This Row],[Pagado]]</f>
        <v>0</v>
      </c>
      <c r="I658" s="275" t="s">
        <v>15214</v>
      </c>
    </row>
    <row r="659" spans="1:9" ht="15.75" x14ac:dyDescent="0.25">
      <c r="A659" s="299">
        <v>42952</v>
      </c>
      <c r="B659" s="302" t="s">
        <v>24459</v>
      </c>
      <c r="C659">
        <v>122631</v>
      </c>
      <c r="D659" s="248" t="s">
        <v>95</v>
      </c>
      <c r="E659" s="301">
        <v>0</v>
      </c>
      <c r="F659" s="243" t="s">
        <v>95</v>
      </c>
      <c r="G659" s="301">
        <v>0</v>
      </c>
      <c r="H659" s="304">
        <f>Tabla13[[#This Row],[Importe]]-Tabla13[[#This Row],[Pagado]]</f>
        <v>0</v>
      </c>
      <c r="I659" s="275" t="s">
        <v>95</v>
      </c>
    </row>
    <row r="660" spans="1:9" x14ac:dyDescent="0.25">
      <c r="A660" s="299">
        <v>42952</v>
      </c>
      <c r="B660" s="302" t="s">
        <v>24460</v>
      </c>
      <c r="C660">
        <v>122632</v>
      </c>
      <c r="D660" s="236" t="s">
        <v>15365</v>
      </c>
      <c r="E660" s="301">
        <v>34340.400000000001</v>
      </c>
      <c r="F660" s="303">
        <v>42960</v>
      </c>
      <c r="G660" s="301">
        <v>34340.400000000001</v>
      </c>
      <c r="H660" s="304">
        <f>Tabla13[[#This Row],[Importe]]-Tabla13[[#This Row],[Pagado]]</f>
        <v>0</v>
      </c>
      <c r="I660" s="275" t="s">
        <v>15214</v>
      </c>
    </row>
    <row r="661" spans="1:9" x14ac:dyDescent="0.25">
      <c r="A661" s="299">
        <v>42952</v>
      </c>
      <c r="B661" s="302" t="s">
        <v>24461</v>
      </c>
      <c r="C661">
        <v>122633</v>
      </c>
      <c r="D661" s="236" t="s">
        <v>15365</v>
      </c>
      <c r="E661" s="301">
        <v>422584</v>
      </c>
      <c r="F661" s="303">
        <v>42960</v>
      </c>
      <c r="G661" s="301">
        <v>422584</v>
      </c>
      <c r="H661" s="304">
        <f>Tabla13[[#This Row],[Importe]]-Tabla13[[#This Row],[Pagado]]</f>
        <v>0</v>
      </c>
      <c r="I661" s="275" t="s">
        <v>15214</v>
      </c>
    </row>
    <row r="662" spans="1:9" x14ac:dyDescent="0.25">
      <c r="A662" s="299">
        <v>42952</v>
      </c>
      <c r="B662" s="302" t="s">
        <v>24462</v>
      </c>
      <c r="C662">
        <v>122634</v>
      </c>
      <c r="D662" s="236" t="s">
        <v>15267</v>
      </c>
      <c r="E662" s="301">
        <v>97174.8</v>
      </c>
      <c r="F662" s="368">
        <v>42980</v>
      </c>
      <c r="G662" s="369">
        <v>97174.8</v>
      </c>
      <c r="H662" s="304">
        <f>Tabla13[[#This Row],[Importe]]-Tabla13[[#This Row],[Pagado]]</f>
        <v>0</v>
      </c>
      <c r="I662" s="275" t="s">
        <v>15214</v>
      </c>
    </row>
    <row r="663" spans="1:9" x14ac:dyDescent="0.25">
      <c r="A663" s="299">
        <v>42952</v>
      </c>
      <c r="B663" s="302" t="s">
        <v>24463</v>
      </c>
      <c r="C663">
        <v>122635</v>
      </c>
      <c r="D663" s="236" t="s">
        <v>15716</v>
      </c>
      <c r="E663" s="301">
        <v>10269.799999999999</v>
      </c>
      <c r="F663" s="303">
        <v>42952</v>
      </c>
      <c r="G663" s="301">
        <v>10269.799999999999</v>
      </c>
      <c r="H663" s="304">
        <f>Tabla13[[#This Row],[Importe]]-Tabla13[[#This Row],[Pagado]]</f>
        <v>0</v>
      </c>
      <c r="I663" s="275" t="s">
        <v>15214</v>
      </c>
    </row>
    <row r="664" spans="1:9" x14ac:dyDescent="0.25">
      <c r="A664" s="299">
        <v>42952</v>
      </c>
      <c r="B664" s="302" t="s">
        <v>24464</v>
      </c>
      <c r="C664">
        <v>122636</v>
      </c>
      <c r="D664" s="236" t="s">
        <v>15423</v>
      </c>
      <c r="E664" s="301">
        <v>450.8</v>
      </c>
      <c r="F664" s="303">
        <v>42952</v>
      </c>
      <c r="G664" s="301">
        <v>450.8</v>
      </c>
      <c r="H664" s="304">
        <f>Tabla13[[#This Row],[Importe]]-Tabla13[[#This Row],[Pagado]]</f>
        <v>0</v>
      </c>
      <c r="I664" s="275" t="s">
        <v>15214</v>
      </c>
    </row>
    <row r="665" spans="1:9" x14ac:dyDescent="0.25">
      <c r="A665" s="299">
        <v>42952</v>
      </c>
      <c r="B665" s="302" t="s">
        <v>24465</v>
      </c>
      <c r="C665">
        <v>122637</v>
      </c>
      <c r="D665" s="236" t="s">
        <v>15284</v>
      </c>
      <c r="E665" s="301">
        <v>924.8</v>
      </c>
      <c r="F665" s="303">
        <v>42952</v>
      </c>
      <c r="G665" s="301">
        <v>924.8</v>
      </c>
      <c r="H665" s="304">
        <f>Tabla13[[#This Row],[Importe]]-Tabla13[[#This Row],[Pagado]]</f>
        <v>0</v>
      </c>
      <c r="I665" s="275" t="s">
        <v>15214</v>
      </c>
    </row>
    <row r="666" spans="1:9" x14ac:dyDescent="0.25">
      <c r="A666" s="299">
        <v>42952</v>
      </c>
      <c r="B666" s="302" t="s">
        <v>24466</v>
      </c>
      <c r="C666">
        <v>122638</v>
      </c>
      <c r="D666" s="236" t="s">
        <v>15284</v>
      </c>
      <c r="E666" s="301">
        <v>42</v>
      </c>
      <c r="F666" s="303">
        <v>42952</v>
      </c>
      <c r="G666" s="301">
        <v>42</v>
      </c>
      <c r="H666" s="304">
        <f>Tabla13[[#This Row],[Importe]]-Tabla13[[#This Row],[Pagado]]</f>
        <v>0</v>
      </c>
      <c r="I666" s="275" t="s">
        <v>15214</v>
      </c>
    </row>
    <row r="667" spans="1:9" x14ac:dyDescent="0.25">
      <c r="A667" s="299">
        <v>42952</v>
      </c>
      <c r="B667" s="302" t="s">
        <v>24467</v>
      </c>
      <c r="C667">
        <v>122639</v>
      </c>
      <c r="D667" s="236" t="s">
        <v>15417</v>
      </c>
      <c r="E667" s="301">
        <v>5821.2</v>
      </c>
      <c r="F667" s="303">
        <v>42953</v>
      </c>
      <c r="G667" s="301">
        <v>5821.2</v>
      </c>
      <c r="H667" s="304">
        <f>Tabla13[[#This Row],[Importe]]-Tabla13[[#This Row],[Pagado]]</f>
        <v>0</v>
      </c>
      <c r="I667" s="275" t="s">
        <v>15214</v>
      </c>
    </row>
    <row r="668" spans="1:9" ht="15.75" x14ac:dyDescent="0.25">
      <c r="A668" s="299">
        <v>42952</v>
      </c>
      <c r="B668" s="302" t="s">
        <v>24468</v>
      </c>
      <c r="C668">
        <v>122640</v>
      </c>
      <c r="D668" s="248" t="s">
        <v>95</v>
      </c>
      <c r="E668" s="301">
        <v>0</v>
      </c>
      <c r="F668" s="243" t="s">
        <v>95</v>
      </c>
      <c r="G668" s="301">
        <v>0</v>
      </c>
      <c r="H668" s="304">
        <f>Tabla13[[#This Row],[Importe]]-Tabla13[[#This Row],[Pagado]]</f>
        <v>0</v>
      </c>
      <c r="I668" s="275" t="s">
        <v>95</v>
      </c>
    </row>
    <row r="669" spans="1:9" x14ac:dyDescent="0.25">
      <c r="A669" s="299">
        <v>42952</v>
      </c>
      <c r="B669" s="302" t="s">
        <v>24469</v>
      </c>
      <c r="C669">
        <v>122641</v>
      </c>
      <c r="D669" s="236" t="s">
        <v>15934</v>
      </c>
      <c r="E669" s="301">
        <v>1175.2</v>
      </c>
      <c r="F669" s="303">
        <v>42953</v>
      </c>
      <c r="G669" s="301">
        <v>1175.2</v>
      </c>
      <c r="H669" s="304">
        <f>Tabla13[[#This Row],[Importe]]-Tabla13[[#This Row],[Pagado]]</f>
        <v>0</v>
      </c>
      <c r="I669" s="275" t="s">
        <v>15214</v>
      </c>
    </row>
    <row r="670" spans="1:9" x14ac:dyDescent="0.25">
      <c r="A670" s="299">
        <v>42952</v>
      </c>
      <c r="B670" s="302" t="s">
        <v>24470</v>
      </c>
      <c r="C670">
        <v>122642</v>
      </c>
      <c r="D670" s="236" t="s">
        <v>15912</v>
      </c>
      <c r="E670" s="301">
        <v>700</v>
      </c>
      <c r="F670" s="303">
        <v>42953</v>
      </c>
      <c r="G670" s="301">
        <v>700</v>
      </c>
      <c r="H670" s="304">
        <f>Tabla13[[#This Row],[Importe]]-Tabla13[[#This Row],[Pagado]]</f>
        <v>0</v>
      </c>
      <c r="I670" s="275" t="s">
        <v>15214</v>
      </c>
    </row>
    <row r="671" spans="1:9" x14ac:dyDescent="0.25">
      <c r="A671" s="299">
        <v>42952</v>
      </c>
      <c r="B671" s="302" t="s">
        <v>24471</v>
      </c>
      <c r="C671">
        <v>122643</v>
      </c>
      <c r="D671" s="236" t="s">
        <v>15240</v>
      </c>
      <c r="E671" s="301">
        <v>3380</v>
      </c>
      <c r="F671" s="303">
        <v>42957</v>
      </c>
      <c r="G671" s="301">
        <v>3380</v>
      </c>
      <c r="H671" s="304">
        <f>Tabla13[[#This Row],[Importe]]-Tabla13[[#This Row],[Pagado]]</f>
        <v>0</v>
      </c>
      <c r="I671" s="275" t="s">
        <v>15214</v>
      </c>
    </row>
    <row r="672" spans="1:9" x14ac:dyDescent="0.25">
      <c r="A672" s="299">
        <v>42952</v>
      </c>
      <c r="B672" s="302" t="s">
        <v>24472</v>
      </c>
      <c r="C672">
        <v>122644</v>
      </c>
      <c r="D672" s="236" t="s">
        <v>15782</v>
      </c>
      <c r="E672" s="301">
        <v>1660.8</v>
      </c>
      <c r="F672" s="303">
        <v>42953</v>
      </c>
      <c r="G672" s="301">
        <v>1660.8</v>
      </c>
      <c r="H672" s="304">
        <f>Tabla13[[#This Row],[Importe]]-Tabla13[[#This Row],[Pagado]]</f>
        <v>0</v>
      </c>
      <c r="I672" s="275" t="s">
        <v>15214</v>
      </c>
    </row>
    <row r="673" spans="1:9" ht="30" x14ac:dyDescent="0.25">
      <c r="A673" s="299">
        <v>42952</v>
      </c>
      <c r="B673" s="302" t="s">
        <v>24473</v>
      </c>
      <c r="C673">
        <v>122645</v>
      </c>
      <c r="D673" s="236" t="s">
        <v>15510</v>
      </c>
      <c r="E673" s="301">
        <v>24215.25</v>
      </c>
      <c r="F673" s="303" t="s">
        <v>24474</v>
      </c>
      <c r="G673" s="305">
        <f>15000+9215.25</f>
        <v>24215.25</v>
      </c>
      <c r="H673" s="304">
        <f>Tabla13[[#This Row],[Importe]]-Tabla13[[#This Row],[Pagado]]</f>
        <v>0</v>
      </c>
      <c r="I673" s="275" t="s">
        <v>15214</v>
      </c>
    </row>
    <row r="674" spans="1:9" x14ac:dyDescent="0.25">
      <c r="A674" s="299">
        <v>42952</v>
      </c>
      <c r="B674" s="302" t="s">
        <v>24475</v>
      </c>
      <c r="C674">
        <v>122646</v>
      </c>
      <c r="D674" s="236" t="s">
        <v>15590</v>
      </c>
      <c r="E674" s="301">
        <v>1029</v>
      </c>
      <c r="F674" s="303">
        <v>42968</v>
      </c>
      <c r="G674" s="301">
        <v>1029</v>
      </c>
      <c r="H674" s="304">
        <f>Tabla13[[#This Row],[Importe]]-Tabla13[[#This Row],[Pagado]]</f>
        <v>0</v>
      </c>
      <c r="I674" s="275" t="s">
        <v>15214</v>
      </c>
    </row>
    <row r="675" spans="1:9" x14ac:dyDescent="0.25">
      <c r="A675" s="299">
        <v>42952</v>
      </c>
      <c r="B675" s="302" t="s">
        <v>24476</v>
      </c>
      <c r="C675">
        <v>122647</v>
      </c>
      <c r="D675" s="236" t="s">
        <v>17595</v>
      </c>
      <c r="E675" s="301">
        <v>8421</v>
      </c>
      <c r="F675" s="303">
        <v>42952</v>
      </c>
      <c r="G675" s="301">
        <v>8421</v>
      </c>
      <c r="H675" s="304">
        <f>Tabla13[[#This Row],[Importe]]-Tabla13[[#This Row],[Pagado]]</f>
        <v>0</v>
      </c>
      <c r="I675" s="275" t="s">
        <v>15214</v>
      </c>
    </row>
    <row r="676" spans="1:9" x14ac:dyDescent="0.25">
      <c r="A676" s="299">
        <v>42952</v>
      </c>
      <c r="B676" s="302" t="s">
        <v>24477</v>
      </c>
      <c r="C676">
        <v>122648</v>
      </c>
      <c r="D676" s="236" t="s">
        <v>17595</v>
      </c>
      <c r="E676" s="301">
        <v>357.6</v>
      </c>
      <c r="F676" s="303">
        <v>42952</v>
      </c>
      <c r="G676" s="301">
        <v>357.6</v>
      </c>
      <c r="H676" s="304">
        <f>Tabla13[[#This Row],[Importe]]-Tabla13[[#This Row],[Pagado]]</f>
        <v>0</v>
      </c>
      <c r="I676" s="275" t="s">
        <v>15214</v>
      </c>
    </row>
    <row r="677" spans="1:9" x14ac:dyDescent="0.25">
      <c r="A677" s="299">
        <v>42952</v>
      </c>
      <c r="B677" s="302" t="s">
        <v>24478</v>
      </c>
      <c r="C677">
        <v>122649</v>
      </c>
      <c r="D677" s="236" t="s">
        <v>15246</v>
      </c>
      <c r="E677" s="301">
        <v>48265.9</v>
      </c>
      <c r="F677" s="303">
        <v>42957</v>
      </c>
      <c r="G677" s="301">
        <v>48265.9</v>
      </c>
      <c r="H677" s="304">
        <f>Tabla13[[#This Row],[Importe]]-Tabla13[[#This Row],[Pagado]]</f>
        <v>0</v>
      </c>
      <c r="I677" s="275" t="s">
        <v>15214</v>
      </c>
    </row>
    <row r="678" spans="1:9" x14ac:dyDescent="0.25">
      <c r="A678" s="299">
        <v>42952</v>
      </c>
      <c r="B678" s="302" t="s">
        <v>24479</v>
      </c>
      <c r="C678">
        <v>122650</v>
      </c>
      <c r="D678" s="236" t="s">
        <v>17722</v>
      </c>
      <c r="E678" s="301">
        <v>2555</v>
      </c>
      <c r="F678" s="303">
        <v>42952</v>
      </c>
      <c r="G678" s="301">
        <v>2555</v>
      </c>
      <c r="H678" s="304">
        <f>Tabla13[[#This Row],[Importe]]-Tabla13[[#This Row],[Pagado]]</f>
        <v>0</v>
      </c>
      <c r="I678" s="275" t="s">
        <v>15214</v>
      </c>
    </row>
    <row r="679" spans="1:9" x14ac:dyDescent="0.25">
      <c r="A679" s="299">
        <v>42952</v>
      </c>
      <c r="B679" s="302" t="s">
        <v>24480</v>
      </c>
      <c r="C679">
        <v>122651</v>
      </c>
      <c r="D679" s="236" t="s">
        <v>15789</v>
      </c>
      <c r="E679" s="301">
        <v>28104</v>
      </c>
      <c r="F679" s="303">
        <v>42959</v>
      </c>
      <c r="G679" s="301">
        <v>28104</v>
      </c>
      <c r="H679" s="304">
        <f>Tabla13[[#This Row],[Importe]]-Tabla13[[#This Row],[Pagado]]</f>
        <v>0</v>
      </c>
      <c r="I679" s="275" t="s">
        <v>15214</v>
      </c>
    </row>
    <row r="680" spans="1:9" x14ac:dyDescent="0.25">
      <c r="A680" s="299">
        <v>42952</v>
      </c>
      <c r="B680" s="302" t="s">
        <v>24481</v>
      </c>
      <c r="C680">
        <v>122652</v>
      </c>
      <c r="D680" s="236" t="s">
        <v>15541</v>
      </c>
      <c r="E680" s="301">
        <v>1903.4</v>
      </c>
      <c r="F680" s="303">
        <v>42954</v>
      </c>
      <c r="G680" s="301">
        <v>1903.4</v>
      </c>
      <c r="H680" s="304">
        <f>Tabla13[[#This Row],[Importe]]-Tabla13[[#This Row],[Pagado]]</f>
        <v>0</v>
      </c>
      <c r="I680" s="275" t="s">
        <v>15214</v>
      </c>
    </row>
    <row r="681" spans="1:9" x14ac:dyDescent="0.25">
      <c r="A681" s="299">
        <v>42952</v>
      </c>
      <c r="B681" s="302" t="s">
        <v>24482</v>
      </c>
      <c r="C681">
        <v>122653</v>
      </c>
      <c r="D681" s="236" t="s">
        <v>15315</v>
      </c>
      <c r="E681" s="301">
        <v>6509.76</v>
      </c>
      <c r="F681" s="303">
        <v>42952</v>
      </c>
      <c r="G681" s="301">
        <v>6509.76</v>
      </c>
      <c r="H681" s="304">
        <f>Tabla13[[#This Row],[Importe]]-Tabla13[[#This Row],[Pagado]]</f>
        <v>0</v>
      </c>
      <c r="I681" s="275" t="s">
        <v>15214</v>
      </c>
    </row>
    <row r="682" spans="1:9" x14ac:dyDescent="0.25">
      <c r="A682" s="299">
        <v>42952</v>
      </c>
      <c r="B682" s="302" t="s">
        <v>24483</v>
      </c>
      <c r="C682">
        <v>122654</v>
      </c>
      <c r="D682" s="236" t="s">
        <v>15250</v>
      </c>
      <c r="E682" s="301">
        <v>33442.449999999997</v>
      </c>
      <c r="F682" s="303">
        <v>42961</v>
      </c>
      <c r="G682" s="301">
        <v>33442.449999999997</v>
      </c>
      <c r="H682" s="304">
        <f>Tabla13[[#This Row],[Importe]]-Tabla13[[#This Row],[Pagado]]</f>
        <v>0</v>
      </c>
      <c r="I682" s="275" t="s">
        <v>15214</v>
      </c>
    </row>
    <row r="683" spans="1:9" x14ac:dyDescent="0.25">
      <c r="A683" s="299">
        <v>42952</v>
      </c>
      <c r="B683" s="302" t="s">
        <v>24484</v>
      </c>
      <c r="C683">
        <v>122655</v>
      </c>
      <c r="D683" s="236" t="s">
        <v>15920</v>
      </c>
      <c r="E683" s="301">
        <v>11215.9</v>
      </c>
      <c r="F683" s="303">
        <v>42954</v>
      </c>
      <c r="G683" s="301">
        <v>11215.9</v>
      </c>
      <c r="H683" s="304">
        <f>Tabla13[[#This Row],[Importe]]-Tabla13[[#This Row],[Pagado]]</f>
        <v>0</v>
      </c>
      <c r="I683" s="275" t="s">
        <v>15214</v>
      </c>
    </row>
    <row r="684" spans="1:9" x14ac:dyDescent="0.25">
      <c r="A684" s="299">
        <v>42952</v>
      </c>
      <c r="B684" s="302" t="s">
        <v>24485</v>
      </c>
      <c r="C684">
        <v>122656</v>
      </c>
      <c r="D684" s="236" t="s">
        <v>17462</v>
      </c>
      <c r="E684" s="301">
        <v>792</v>
      </c>
      <c r="F684" s="303">
        <v>42952</v>
      </c>
      <c r="G684" s="301">
        <v>792</v>
      </c>
      <c r="H684" s="304">
        <f>Tabla13[[#This Row],[Importe]]-Tabla13[[#This Row],[Pagado]]</f>
        <v>0</v>
      </c>
      <c r="I684" s="275" t="s">
        <v>15214</v>
      </c>
    </row>
    <row r="685" spans="1:9" x14ac:dyDescent="0.25">
      <c r="A685" s="299">
        <v>42952</v>
      </c>
      <c r="B685" s="302" t="s">
        <v>24486</v>
      </c>
      <c r="C685">
        <v>122657</v>
      </c>
      <c r="D685" s="236" t="s">
        <v>15246</v>
      </c>
      <c r="E685" s="301">
        <v>165899.20000000001</v>
      </c>
      <c r="F685" s="303">
        <v>42957</v>
      </c>
      <c r="G685" s="301">
        <v>165899.20000000001</v>
      </c>
      <c r="H685" s="304">
        <f>Tabla13[[#This Row],[Importe]]-Tabla13[[#This Row],[Pagado]]</f>
        <v>0</v>
      </c>
      <c r="I685" s="275" t="s">
        <v>15214</v>
      </c>
    </row>
    <row r="686" spans="1:9" x14ac:dyDescent="0.25">
      <c r="A686" s="299">
        <v>42952</v>
      </c>
      <c r="B686" s="302" t="s">
        <v>24487</v>
      </c>
      <c r="C686">
        <v>122658</v>
      </c>
      <c r="D686" s="236" t="s">
        <v>15322</v>
      </c>
      <c r="E686" s="301">
        <v>3748.8</v>
      </c>
      <c r="F686" s="303">
        <v>42952</v>
      </c>
      <c r="G686" s="301">
        <v>3748.8</v>
      </c>
      <c r="H686" s="304">
        <f>Tabla13[[#This Row],[Importe]]-Tabla13[[#This Row],[Pagado]]</f>
        <v>0</v>
      </c>
      <c r="I686" s="275" t="s">
        <v>15214</v>
      </c>
    </row>
    <row r="687" spans="1:9" x14ac:dyDescent="0.25">
      <c r="A687" s="299">
        <v>42952</v>
      </c>
      <c r="B687" s="302" t="s">
        <v>24488</v>
      </c>
      <c r="C687">
        <v>122659</v>
      </c>
      <c r="D687" s="236" t="s">
        <v>15890</v>
      </c>
      <c r="E687" s="301">
        <v>1150.8</v>
      </c>
      <c r="F687" s="303">
        <v>42962</v>
      </c>
      <c r="G687" s="301">
        <v>1150.8</v>
      </c>
      <c r="H687" s="304">
        <f>Tabla13[[#This Row],[Importe]]-Tabla13[[#This Row],[Pagado]]</f>
        <v>0</v>
      </c>
      <c r="I687" s="275" t="s">
        <v>15214</v>
      </c>
    </row>
    <row r="688" spans="1:9" x14ac:dyDescent="0.25">
      <c r="A688" s="299">
        <v>42952</v>
      </c>
      <c r="B688" s="302" t="s">
        <v>24489</v>
      </c>
      <c r="C688">
        <v>122660</v>
      </c>
      <c r="D688" s="236" t="s">
        <v>19680</v>
      </c>
      <c r="E688" s="301">
        <v>165</v>
      </c>
      <c r="F688" s="303">
        <v>42952</v>
      </c>
      <c r="G688" s="301">
        <v>165</v>
      </c>
      <c r="H688" s="304">
        <f>Tabla13[[#This Row],[Importe]]-Tabla13[[#This Row],[Pagado]]</f>
        <v>0</v>
      </c>
      <c r="I688" s="275" t="s">
        <v>15214</v>
      </c>
    </row>
    <row r="689" spans="1:9" x14ac:dyDescent="0.25">
      <c r="A689" s="299">
        <v>42952</v>
      </c>
      <c r="B689" s="302" t="s">
        <v>24490</v>
      </c>
      <c r="C689">
        <v>122661</v>
      </c>
      <c r="D689" s="236" t="s">
        <v>15681</v>
      </c>
      <c r="E689" s="301">
        <v>2731.2</v>
      </c>
      <c r="F689" s="303">
        <v>42952</v>
      </c>
      <c r="G689" s="301">
        <v>2731.2</v>
      </c>
      <c r="H689" s="304">
        <f>Tabla13[[#This Row],[Importe]]-Tabla13[[#This Row],[Pagado]]</f>
        <v>0</v>
      </c>
      <c r="I689" s="275" t="s">
        <v>15214</v>
      </c>
    </row>
    <row r="690" spans="1:9" x14ac:dyDescent="0.25">
      <c r="A690" s="299">
        <v>42952</v>
      </c>
      <c r="B690" s="302" t="s">
        <v>24491</v>
      </c>
      <c r="C690">
        <v>122662</v>
      </c>
      <c r="D690" s="236" t="s">
        <v>15642</v>
      </c>
      <c r="E690" s="301">
        <v>11694.9</v>
      </c>
      <c r="F690" s="303">
        <v>42952</v>
      </c>
      <c r="G690" s="301">
        <v>11694.9</v>
      </c>
      <c r="H690" s="304">
        <f>Tabla13[[#This Row],[Importe]]-Tabla13[[#This Row],[Pagado]]</f>
        <v>0</v>
      </c>
      <c r="I690" s="275" t="s">
        <v>15214</v>
      </c>
    </row>
    <row r="691" spans="1:9" x14ac:dyDescent="0.25">
      <c r="A691" s="299">
        <v>42952</v>
      </c>
      <c r="B691" s="302" t="s">
        <v>24492</v>
      </c>
      <c r="C691">
        <v>122663</v>
      </c>
      <c r="D691" s="236" t="s">
        <v>15433</v>
      </c>
      <c r="E691" s="301">
        <v>622</v>
      </c>
      <c r="F691" s="303">
        <v>42952</v>
      </c>
      <c r="G691" s="301">
        <v>622</v>
      </c>
      <c r="H691" s="304">
        <f>Tabla13[[#This Row],[Importe]]-Tabla13[[#This Row],[Pagado]]</f>
        <v>0</v>
      </c>
      <c r="I691" s="275" t="s">
        <v>15214</v>
      </c>
    </row>
    <row r="692" spans="1:9" x14ac:dyDescent="0.25">
      <c r="A692" s="299">
        <v>42952</v>
      </c>
      <c r="B692" s="302" t="s">
        <v>24493</v>
      </c>
      <c r="C692">
        <v>122664</v>
      </c>
      <c r="D692" s="236" t="s">
        <v>19768</v>
      </c>
      <c r="E692" s="301">
        <v>1000</v>
      </c>
      <c r="F692" s="303">
        <v>42952</v>
      </c>
      <c r="G692" s="301">
        <v>1000</v>
      </c>
      <c r="H692" s="304">
        <f>Tabla13[[#This Row],[Importe]]-Tabla13[[#This Row],[Pagado]]</f>
        <v>0</v>
      </c>
      <c r="I692" s="275" t="s">
        <v>15214</v>
      </c>
    </row>
    <row r="693" spans="1:9" x14ac:dyDescent="0.25">
      <c r="A693" s="299">
        <v>42953</v>
      </c>
      <c r="B693" s="302" t="s">
        <v>24494</v>
      </c>
      <c r="C693">
        <v>122665</v>
      </c>
      <c r="D693" s="236" t="s">
        <v>15220</v>
      </c>
      <c r="E693" s="301">
        <v>5000</v>
      </c>
      <c r="F693" s="303">
        <v>42953</v>
      </c>
      <c r="G693" s="301">
        <v>5000</v>
      </c>
      <c r="H693" s="304">
        <f>Tabla13[[#This Row],[Importe]]-Tabla13[[#This Row],[Pagado]]</f>
        <v>0</v>
      </c>
      <c r="I693" s="275" t="s">
        <v>15214</v>
      </c>
    </row>
    <row r="694" spans="1:9" x14ac:dyDescent="0.25">
      <c r="A694" s="299">
        <v>42953</v>
      </c>
      <c r="B694" s="302" t="s">
        <v>24495</v>
      </c>
      <c r="C694">
        <v>122666</v>
      </c>
      <c r="D694" s="236" t="s">
        <v>21386</v>
      </c>
      <c r="E694" s="301">
        <v>9698.25</v>
      </c>
      <c r="F694" s="303">
        <v>42954</v>
      </c>
      <c r="G694" s="301">
        <v>9698.25</v>
      </c>
      <c r="H694" s="304">
        <f>Tabla13[[#This Row],[Importe]]-Tabla13[[#This Row],[Pagado]]</f>
        <v>0</v>
      </c>
      <c r="I694" s="275" t="s">
        <v>15214</v>
      </c>
    </row>
    <row r="695" spans="1:9" x14ac:dyDescent="0.25">
      <c r="A695" s="299">
        <v>42953</v>
      </c>
      <c r="B695" s="302" t="s">
        <v>24496</v>
      </c>
      <c r="C695">
        <v>122667</v>
      </c>
      <c r="D695" s="236" t="s">
        <v>15213</v>
      </c>
      <c r="E695" s="301">
        <v>37030.449999999997</v>
      </c>
      <c r="F695" s="303">
        <v>42954</v>
      </c>
      <c r="G695" s="301">
        <v>37030.449999999997</v>
      </c>
      <c r="H695" s="304">
        <f>Tabla13[[#This Row],[Importe]]-Tabla13[[#This Row],[Pagado]]</f>
        <v>0</v>
      </c>
      <c r="I695" s="275" t="s">
        <v>15214</v>
      </c>
    </row>
    <row r="696" spans="1:9" x14ac:dyDescent="0.25">
      <c r="A696" s="299">
        <v>42953</v>
      </c>
      <c r="B696" s="302" t="s">
        <v>24497</v>
      </c>
      <c r="C696">
        <v>122668</v>
      </c>
      <c r="D696" s="236" t="s">
        <v>15272</v>
      </c>
      <c r="E696" s="301">
        <v>26918.95</v>
      </c>
      <c r="F696" s="303">
        <v>42953</v>
      </c>
      <c r="G696" s="301">
        <v>26918.95</v>
      </c>
      <c r="H696" s="304">
        <f>Tabla13[[#This Row],[Importe]]-Tabla13[[#This Row],[Pagado]]</f>
        <v>0</v>
      </c>
      <c r="I696" s="275" t="s">
        <v>15214</v>
      </c>
    </row>
    <row r="697" spans="1:9" ht="30" x14ac:dyDescent="0.25">
      <c r="A697" s="299">
        <v>42953</v>
      </c>
      <c r="B697" s="302" t="s">
        <v>24498</v>
      </c>
      <c r="C697">
        <v>122669</v>
      </c>
      <c r="D697" s="236" t="s">
        <v>15242</v>
      </c>
      <c r="E697" s="301">
        <v>10321.200000000001</v>
      </c>
      <c r="F697" s="303" t="s">
        <v>23765</v>
      </c>
      <c r="G697" s="301">
        <v>10321.200000000001</v>
      </c>
      <c r="H697" s="304">
        <f>Tabla13[[#This Row],[Importe]]-Tabla13[[#This Row],[Pagado]]</f>
        <v>0</v>
      </c>
      <c r="I697" s="275" t="s">
        <v>15214</v>
      </c>
    </row>
    <row r="698" spans="1:9" x14ac:dyDescent="0.25">
      <c r="A698" s="299">
        <v>42953</v>
      </c>
      <c r="B698" s="302" t="s">
        <v>24499</v>
      </c>
      <c r="C698">
        <v>122670</v>
      </c>
      <c r="D698" s="236" t="s">
        <v>15223</v>
      </c>
      <c r="E698" s="301">
        <v>52468.7</v>
      </c>
      <c r="F698" s="303">
        <v>42976</v>
      </c>
      <c r="G698" s="301">
        <v>52468.7</v>
      </c>
      <c r="H698" s="304">
        <f>Tabla13[[#This Row],[Importe]]-Tabla13[[#This Row],[Pagado]]</f>
        <v>0</v>
      </c>
      <c r="I698" s="275" t="s">
        <v>15214</v>
      </c>
    </row>
    <row r="699" spans="1:9" x14ac:dyDescent="0.25">
      <c r="A699" s="299">
        <v>42953</v>
      </c>
      <c r="B699" s="302" t="s">
        <v>24500</v>
      </c>
      <c r="C699">
        <v>122671</v>
      </c>
      <c r="D699" s="236" t="s">
        <v>15668</v>
      </c>
      <c r="E699" s="301">
        <v>21271.25</v>
      </c>
      <c r="F699" s="303">
        <v>42953</v>
      </c>
      <c r="G699" s="301">
        <v>21271.25</v>
      </c>
      <c r="H699" s="304">
        <f>Tabla13[[#This Row],[Importe]]-Tabla13[[#This Row],[Pagado]]</f>
        <v>0</v>
      </c>
      <c r="I699" s="275" t="s">
        <v>15214</v>
      </c>
    </row>
    <row r="700" spans="1:9" x14ac:dyDescent="0.25">
      <c r="A700" s="299">
        <v>42953</v>
      </c>
      <c r="B700" s="302" t="s">
        <v>24501</v>
      </c>
      <c r="C700">
        <v>122672</v>
      </c>
      <c r="D700" s="236" t="s">
        <v>15261</v>
      </c>
      <c r="E700" s="301">
        <v>14252</v>
      </c>
      <c r="F700" s="303">
        <v>42953</v>
      </c>
      <c r="G700" s="301">
        <v>14252</v>
      </c>
      <c r="H700" s="304">
        <f>Tabla13[[#This Row],[Importe]]-Tabla13[[#This Row],[Pagado]]</f>
        <v>0</v>
      </c>
      <c r="I700" s="275" t="s">
        <v>15214</v>
      </c>
    </row>
    <row r="701" spans="1:9" x14ac:dyDescent="0.25">
      <c r="A701" s="299">
        <v>42953</v>
      </c>
      <c r="B701" s="302" t="s">
        <v>24502</v>
      </c>
      <c r="C701">
        <v>122673</v>
      </c>
      <c r="D701" s="236" t="s">
        <v>15258</v>
      </c>
      <c r="E701" s="301">
        <v>7399.45</v>
      </c>
      <c r="F701" s="303">
        <v>42957</v>
      </c>
      <c r="G701" s="301">
        <v>7399.45</v>
      </c>
      <c r="H701" s="304">
        <f>Tabla13[[#This Row],[Importe]]-Tabla13[[#This Row],[Pagado]]</f>
        <v>0</v>
      </c>
      <c r="I701" s="275" t="s">
        <v>15214</v>
      </c>
    </row>
    <row r="702" spans="1:9" x14ac:dyDescent="0.25">
      <c r="A702" s="299">
        <v>42953</v>
      </c>
      <c r="B702" s="302" t="s">
        <v>24503</v>
      </c>
      <c r="C702">
        <v>122674</v>
      </c>
      <c r="D702" s="236" t="s">
        <v>17462</v>
      </c>
      <c r="E702" s="301">
        <v>7274.8</v>
      </c>
      <c r="F702" s="303">
        <v>42953</v>
      </c>
      <c r="G702" s="301">
        <v>7274.8</v>
      </c>
      <c r="H702" s="304">
        <f>Tabla13[[#This Row],[Importe]]-Tabla13[[#This Row],[Pagado]]</f>
        <v>0</v>
      </c>
      <c r="I702" s="275" t="s">
        <v>15214</v>
      </c>
    </row>
    <row r="703" spans="1:9" x14ac:dyDescent="0.25">
      <c r="A703" s="299">
        <v>42953</v>
      </c>
      <c r="B703" s="302" t="s">
        <v>24504</v>
      </c>
      <c r="C703">
        <v>122675</v>
      </c>
      <c r="D703" s="236" t="s">
        <v>15332</v>
      </c>
      <c r="E703" s="301">
        <v>5231.1000000000004</v>
      </c>
      <c r="F703" s="303">
        <v>42953</v>
      </c>
      <c r="G703" s="301">
        <v>5231.1000000000004</v>
      </c>
      <c r="H703" s="304">
        <f>Tabla13[[#This Row],[Importe]]-Tabla13[[#This Row],[Pagado]]</f>
        <v>0</v>
      </c>
      <c r="I703" s="275" t="s">
        <v>15214</v>
      </c>
    </row>
    <row r="704" spans="1:9" x14ac:dyDescent="0.25">
      <c r="A704" s="299">
        <v>42953</v>
      </c>
      <c r="B704" s="302" t="s">
        <v>24505</v>
      </c>
      <c r="C704">
        <v>122676</v>
      </c>
      <c r="D704" s="236" t="s">
        <v>15523</v>
      </c>
      <c r="E704" s="301">
        <v>3500</v>
      </c>
      <c r="F704" s="303">
        <v>42953</v>
      </c>
      <c r="G704" s="301">
        <v>3500</v>
      </c>
      <c r="H704" s="304">
        <f>Tabla13[[#This Row],[Importe]]-Tabla13[[#This Row],[Pagado]]</f>
        <v>0</v>
      </c>
      <c r="I704" s="275" t="s">
        <v>15214</v>
      </c>
    </row>
    <row r="705" spans="1:9" x14ac:dyDescent="0.25">
      <c r="A705" s="299">
        <v>42953</v>
      </c>
      <c r="B705" s="302" t="s">
        <v>24506</v>
      </c>
      <c r="C705">
        <v>122677</v>
      </c>
      <c r="D705" s="236" t="s">
        <v>15344</v>
      </c>
      <c r="E705" s="301">
        <v>3936.4</v>
      </c>
      <c r="F705" s="303">
        <v>42953</v>
      </c>
      <c r="G705" s="301">
        <v>3936.4</v>
      </c>
      <c r="H705" s="304">
        <f>Tabla13[[#This Row],[Importe]]-Tabla13[[#This Row],[Pagado]]</f>
        <v>0</v>
      </c>
      <c r="I705" s="275" t="s">
        <v>15214</v>
      </c>
    </row>
    <row r="706" spans="1:9" x14ac:dyDescent="0.25">
      <c r="A706" s="299">
        <v>42953</v>
      </c>
      <c r="B706" s="302" t="s">
        <v>24507</v>
      </c>
      <c r="C706">
        <v>122678</v>
      </c>
      <c r="D706" s="236" t="s">
        <v>15745</v>
      </c>
      <c r="E706" s="301">
        <v>2948.56</v>
      </c>
      <c r="F706" s="303">
        <v>42953</v>
      </c>
      <c r="G706" s="301">
        <v>2948.56</v>
      </c>
      <c r="H706" s="304">
        <f>Tabla13[[#This Row],[Importe]]-Tabla13[[#This Row],[Pagado]]</f>
        <v>0</v>
      </c>
      <c r="I706" s="275" t="s">
        <v>15214</v>
      </c>
    </row>
    <row r="707" spans="1:9" x14ac:dyDescent="0.25">
      <c r="A707" s="299">
        <v>42953</v>
      </c>
      <c r="B707" s="302" t="s">
        <v>24508</v>
      </c>
      <c r="C707">
        <v>122679</v>
      </c>
      <c r="D707" s="236" t="s">
        <v>15311</v>
      </c>
      <c r="E707" s="301">
        <v>1621.8</v>
      </c>
      <c r="F707" s="303">
        <v>42953</v>
      </c>
      <c r="G707" s="301">
        <v>1621.8</v>
      </c>
      <c r="H707" s="304">
        <f>Tabla13[[#This Row],[Importe]]-Tabla13[[#This Row],[Pagado]]</f>
        <v>0</v>
      </c>
      <c r="I707" s="275" t="s">
        <v>15214</v>
      </c>
    </row>
    <row r="708" spans="1:9" x14ac:dyDescent="0.25">
      <c r="A708" s="299">
        <v>42953</v>
      </c>
      <c r="B708" s="302" t="s">
        <v>24509</v>
      </c>
      <c r="C708">
        <v>122680</v>
      </c>
      <c r="D708" s="236" t="s">
        <v>15358</v>
      </c>
      <c r="E708" s="301">
        <v>2058</v>
      </c>
      <c r="F708" s="303">
        <v>42953</v>
      </c>
      <c r="G708" s="301">
        <v>2058</v>
      </c>
      <c r="H708" s="304">
        <f>Tabla13[[#This Row],[Importe]]-Tabla13[[#This Row],[Pagado]]</f>
        <v>0</v>
      </c>
      <c r="I708" s="275" t="s">
        <v>15214</v>
      </c>
    </row>
    <row r="709" spans="1:9" x14ac:dyDescent="0.25">
      <c r="A709" s="299">
        <v>42953</v>
      </c>
      <c r="B709" s="302" t="s">
        <v>24510</v>
      </c>
      <c r="C709">
        <v>122681</v>
      </c>
      <c r="D709" s="236" t="s">
        <v>15526</v>
      </c>
      <c r="E709" s="301">
        <v>5450.2</v>
      </c>
      <c r="F709" s="303">
        <v>42954</v>
      </c>
      <c r="G709" s="301">
        <v>5450.2</v>
      </c>
      <c r="H709" s="304">
        <f>Tabla13[[#This Row],[Importe]]-Tabla13[[#This Row],[Pagado]]</f>
        <v>0</v>
      </c>
      <c r="I709" s="275" t="s">
        <v>15214</v>
      </c>
    </row>
    <row r="710" spans="1:9" x14ac:dyDescent="0.25">
      <c r="A710" s="299">
        <v>42953</v>
      </c>
      <c r="B710" s="302" t="s">
        <v>24511</v>
      </c>
      <c r="C710">
        <v>122682</v>
      </c>
      <c r="D710" s="236" t="s">
        <v>15315</v>
      </c>
      <c r="E710" s="301">
        <v>1056.5999999999999</v>
      </c>
      <c r="F710" s="303">
        <v>42953</v>
      </c>
      <c r="G710" s="301">
        <v>1056.5999999999999</v>
      </c>
      <c r="H710" s="304">
        <f>Tabla13[[#This Row],[Importe]]-Tabla13[[#This Row],[Pagado]]</f>
        <v>0</v>
      </c>
      <c r="I710" s="275" t="s">
        <v>15214</v>
      </c>
    </row>
    <row r="711" spans="1:9" x14ac:dyDescent="0.25">
      <c r="A711" s="299">
        <v>42953</v>
      </c>
      <c r="B711" s="302" t="s">
        <v>24512</v>
      </c>
      <c r="C711">
        <v>122683</v>
      </c>
      <c r="D711" s="236" t="s">
        <v>15340</v>
      </c>
      <c r="E711" s="301">
        <v>11400.4</v>
      </c>
      <c r="F711" s="303">
        <v>42953</v>
      </c>
      <c r="G711" s="301">
        <v>11400.4</v>
      </c>
      <c r="H711" s="304">
        <f>Tabla13[[#This Row],[Importe]]-Tabla13[[#This Row],[Pagado]]</f>
        <v>0</v>
      </c>
      <c r="I711" s="275" t="s">
        <v>15214</v>
      </c>
    </row>
    <row r="712" spans="1:9" x14ac:dyDescent="0.25">
      <c r="A712" s="299">
        <v>42953</v>
      </c>
      <c r="B712" s="302" t="s">
        <v>24513</v>
      </c>
      <c r="C712">
        <v>122684</v>
      </c>
      <c r="D712" s="236" t="s">
        <v>15286</v>
      </c>
      <c r="E712" s="301">
        <v>7286.4</v>
      </c>
      <c r="F712" s="303">
        <v>42953</v>
      </c>
      <c r="G712" s="301">
        <v>7286.4</v>
      </c>
      <c r="H712" s="304">
        <f>Tabla13[[#This Row],[Importe]]-Tabla13[[#This Row],[Pagado]]</f>
        <v>0</v>
      </c>
      <c r="I712" s="275" t="s">
        <v>15214</v>
      </c>
    </row>
    <row r="713" spans="1:9" x14ac:dyDescent="0.25">
      <c r="A713" s="299">
        <v>42953</v>
      </c>
      <c r="B713" s="302" t="s">
        <v>24514</v>
      </c>
      <c r="C713">
        <v>122685</v>
      </c>
      <c r="D713" s="236" t="s">
        <v>15352</v>
      </c>
      <c r="E713" s="301">
        <v>741</v>
      </c>
      <c r="F713" s="303">
        <v>42953</v>
      </c>
      <c r="G713" s="301">
        <v>741</v>
      </c>
      <c r="H713" s="304">
        <f>Tabla13[[#This Row],[Importe]]-Tabla13[[#This Row],[Pagado]]</f>
        <v>0</v>
      </c>
      <c r="I713" s="275" t="s">
        <v>15214</v>
      </c>
    </row>
    <row r="714" spans="1:9" x14ac:dyDescent="0.25">
      <c r="A714" s="299">
        <v>42953</v>
      </c>
      <c r="B714" s="302" t="s">
        <v>24515</v>
      </c>
      <c r="C714">
        <v>122686</v>
      </c>
      <c r="D714" s="236" t="s">
        <v>15371</v>
      </c>
      <c r="E714" s="301">
        <v>3112.2</v>
      </c>
      <c r="F714" s="303">
        <v>42954</v>
      </c>
      <c r="G714" s="301">
        <v>3112.2</v>
      </c>
      <c r="H714" s="304">
        <f>Tabla13[[#This Row],[Importe]]-Tabla13[[#This Row],[Pagado]]</f>
        <v>0</v>
      </c>
      <c r="I714" s="275" t="s">
        <v>15214</v>
      </c>
    </row>
    <row r="715" spans="1:9" x14ac:dyDescent="0.25">
      <c r="A715" s="299">
        <v>42953</v>
      </c>
      <c r="B715" s="302" t="s">
        <v>24516</v>
      </c>
      <c r="C715">
        <v>122687</v>
      </c>
      <c r="D715" s="236" t="s">
        <v>15282</v>
      </c>
      <c r="E715" s="301">
        <v>2896.8</v>
      </c>
      <c r="F715" s="312">
        <v>42953</v>
      </c>
      <c r="G715" s="301">
        <v>2896.8</v>
      </c>
      <c r="H715" s="304">
        <f>Tabla13[[#This Row],[Importe]]-Tabla13[[#This Row],[Pagado]]</f>
        <v>0</v>
      </c>
      <c r="I715" s="275" t="s">
        <v>15214</v>
      </c>
    </row>
    <row r="716" spans="1:9" x14ac:dyDescent="0.25">
      <c r="A716" s="299">
        <v>42953</v>
      </c>
      <c r="B716" s="302" t="s">
        <v>24517</v>
      </c>
      <c r="C716">
        <v>122688</v>
      </c>
      <c r="D716" s="236" t="s">
        <v>15248</v>
      </c>
      <c r="E716" s="301">
        <v>18366.22</v>
      </c>
      <c r="F716" s="303">
        <v>42953</v>
      </c>
      <c r="G716" s="301">
        <v>18366.22</v>
      </c>
      <c r="H716" s="304">
        <f>Tabla13[[#This Row],[Importe]]-Tabla13[[#This Row],[Pagado]]</f>
        <v>0</v>
      </c>
      <c r="I716" s="275" t="s">
        <v>15214</v>
      </c>
    </row>
    <row r="717" spans="1:9" x14ac:dyDescent="0.25">
      <c r="A717" s="299">
        <v>42953</v>
      </c>
      <c r="B717" s="302" t="s">
        <v>24518</v>
      </c>
      <c r="C717">
        <v>122689</v>
      </c>
      <c r="D717" s="236" t="s">
        <v>15324</v>
      </c>
      <c r="E717" s="301">
        <v>2312</v>
      </c>
      <c r="F717" s="303">
        <v>42953</v>
      </c>
      <c r="G717" s="301">
        <v>2312</v>
      </c>
      <c r="H717" s="304">
        <f>Tabla13[[#This Row],[Importe]]-Tabla13[[#This Row],[Pagado]]</f>
        <v>0</v>
      </c>
      <c r="I717" s="275" t="s">
        <v>15214</v>
      </c>
    </row>
    <row r="718" spans="1:9" x14ac:dyDescent="0.25">
      <c r="A718" s="299">
        <v>42953</v>
      </c>
      <c r="B718" s="302" t="s">
        <v>24519</v>
      </c>
      <c r="C718">
        <v>122690</v>
      </c>
      <c r="D718" s="236" t="s">
        <v>15263</v>
      </c>
      <c r="E718" s="301">
        <v>1173</v>
      </c>
      <c r="F718" s="303">
        <v>42953</v>
      </c>
      <c r="G718" s="301">
        <v>1173</v>
      </c>
      <c r="H718" s="304">
        <f>Tabla13[[#This Row],[Importe]]-Tabla13[[#This Row],[Pagado]]</f>
        <v>0</v>
      </c>
      <c r="I718" s="275" t="s">
        <v>15214</v>
      </c>
    </row>
    <row r="719" spans="1:9" x14ac:dyDescent="0.25">
      <c r="A719" s="299">
        <v>42953</v>
      </c>
      <c r="B719" s="302" t="s">
        <v>24520</v>
      </c>
      <c r="C719">
        <v>122691</v>
      </c>
      <c r="D719" s="236" t="s">
        <v>16023</v>
      </c>
      <c r="E719" s="301">
        <v>1923.1</v>
      </c>
      <c r="F719" s="303">
        <v>42953</v>
      </c>
      <c r="G719" s="301">
        <v>1923.1</v>
      </c>
      <c r="H719" s="304">
        <f>Tabla13[[#This Row],[Importe]]-Tabla13[[#This Row],[Pagado]]</f>
        <v>0</v>
      </c>
      <c r="I719" s="275" t="s">
        <v>15214</v>
      </c>
    </row>
    <row r="720" spans="1:9" x14ac:dyDescent="0.25">
      <c r="A720" s="299">
        <v>42953</v>
      </c>
      <c r="B720" s="302" t="s">
        <v>24521</v>
      </c>
      <c r="C720">
        <v>122692</v>
      </c>
      <c r="D720" s="236" t="s">
        <v>15280</v>
      </c>
      <c r="E720" s="301">
        <v>5456.8</v>
      </c>
      <c r="F720" s="303">
        <v>42953</v>
      </c>
      <c r="G720" s="301">
        <v>5456.8</v>
      </c>
      <c r="H720" s="304">
        <f>Tabla13[[#This Row],[Importe]]-Tabla13[[#This Row],[Pagado]]</f>
        <v>0</v>
      </c>
      <c r="I720" s="275" t="s">
        <v>15214</v>
      </c>
    </row>
    <row r="721" spans="1:9" x14ac:dyDescent="0.25">
      <c r="A721" s="299">
        <v>42953</v>
      </c>
      <c r="B721" s="302" t="s">
        <v>24522</v>
      </c>
      <c r="C721">
        <v>122693</v>
      </c>
      <c r="D721" s="236" t="s">
        <v>19768</v>
      </c>
      <c r="E721" s="301">
        <v>3500</v>
      </c>
      <c r="F721" s="303">
        <v>42953</v>
      </c>
      <c r="G721" s="301">
        <v>3500</v>
      </c>
      <c r="H721" s="304">
        <f>Tabla13[[#This Row],[Importe]]-Tabla13[[#This Row],[Pagado]]</f>
        <v>0</v>
      </c>
      <c r="I721" s="275" t="s">
        <v>15214</v>
      </c>
    </row>
    <row r="722" spans="1:9" ht="15.75" x14ac:dyDescent="0.25">
      <c r="A722" s="299">
        <v>42953</v>
      </c>
      <c r="B722" s="302" t="s">
        <v>24523</v>
      </c>
      <c r="C722">
        <v>122694</v>
      </c>
      <c r="D722" s="248" t="s">
        <v>95</v>
      </c>
      <c r="E722" s="301">
        <v>0</v>
      </c>
      <c r="F722" s="243" t="s">
        <v>95</v>
      </c>
      <c r="G722" s="301">
        <v>0</v>
      </c>
      <c r="H722" s="304">
        <f>Tabla13[[#This Row],[Importe]]-Tabla13[[#This Row],[Pagado]]</f>
        <v>0</v>
      </c>
      <c r="I722" s="275" t="s">
        <v>95</v>
      </c>
    </row>
    <row r="723" spans="1:9" x14ac:dyDescent="0.25">
      <c r="A723" s="299">
        <v>42953</v>
      </c>
      <c r="B723" s="302" t="s">
        <v>24524</v>
      </c>
      <c r="C723">
        <v>122695</v>
      </c>
      <c r="D723" s="236" t="s">
        <v>15246</v>
      </c>
      <c r="E723" s="301">
        <v>2127.5</v>
      </c>
      <c r="F723" s="303">
        <v>42957</v>
      </c>
      <c r="G723" s="301">
        <v>2127.5</v>
      </c>
      <c r="H723" s="304">
        <f>Tabla13[[#This Row],[Importe]]-Tabla13[[#This Row],[Pagado]]</f>
        <v>0</v>
      </c>
      <c r="I723" s="275" t="s">
        <v>15214</v>
      </c>
    </row>
    <row r="724" spans="1:9" x14ac:dyDescent="0.25">
      <c r="A724" s="299">
        <v>42953</v>
      </c>
      <c r="B724" s="302" t="s">
        <v>24525</v>
      </c>
      <c r="C724">
        <v>122696</v>
      </c>
      <c r="D724" s="236" t="s">
        <v>15624</v>
      </c>
      <c r="E724" s="301">
        <v>34521</v>
      </c>
      <c r="F724" s="303">
        <v>42955</v>
      </c>
      <c r="G724" s="301">
        <v>34521</v>
      </c>
      <c r="H724" s="304">
        <f>Tabla13[[#This Row],[Importe]]-Tabla13[[#This Row],[Pagado]]</f>
        <v>0</v>
      </c>
      <c r="I724" s="275" t="s">
        <v>15214</v>
      </c>
    </row>
    <row r="725" spans="1:9" x14ac:dyDescent="0.25">
      <c r="A725" s="299">
        <v>42953</v>
      </c>
      <c r="B725" s="302" t="s">
        <v>24526</v>
      </c>
      <c r="C725">
        <v>122697</v>
      </c>
      <c r="D725" s="236" t="s">
        <v>15378</v>
      </c>
      <c r="E725" s="301">
        <v>5909</v>
      </c>
      <c r="F725" s="303">
        <v>42953</v>
      </c>
      <c r="G725" s="301">
        <v>5909</v>
      </c>
      <c r="H725" s="304">
        <f>Tabla13[[#This Row],[Importe]]-Tabla13[[#This Row],[Pagado]]</f>
        <v>0</v>
      </c>
      <c r="I725" s="275" t="s">
        <v>15214</v>
      </c>
    </row>
    <row r="726" spans="1:9" x14ac:dyDescent="0.25">
      <c r="A726" s="299">
        <v>42953</v>
      </c>
      <c r="B726" s="302" t="s">
        <v>24527</v>
      </c>
      <c r="C726">
        <v>122698</v>
      </c>
      <c r="D726" s="236" t="s">
        <v>15315</v>
      </c>
      <c r="E726" s="301">
        <v>4560.5</v>
      </c>
      <c r="F726" s="303">
        <v>42953</v>
      </c>
      <c r="G726" s="301">
        <v>4560.5</v>
      </c>
      <c r="H726" s="304">
        <f>Tabla13[[#This Row],[Importe]]-Tabla13[[#This Row],[Pagado]]</f>
        <v>0</v>
      </c>
      <c r="I726" s="275" t="s">
        <v>15214</v>
      </c>
    </row>
    <row r="727" spans="1:9" x14ac:dyDescent="0.25">
      <c r="A727" s="299">
        <v>42953</v>
      </c>
      <c r="B727" s="302" t="s">
        <v>24528</v>
      </c>
      <c r="C727">
        <v>122699</v>
      </c>
      <c r="D727" s="236" t="s">
        <v>15284</v>
      </c>
      <c r="E727" s="301">
        <v>971.2</v>
      </c>
      <c r="F727" s="303">
        <v>42953</v>
      </c>
      <c r="G727" s="301">
        <v>971.2</v>
      </c>
      <c r="H727" s="304">
        <f>Tabla13[[#This Row],[Importe]]-Tabla13[[#This Row],[Pagado]]</f>
        <v>0</v>
      </c>
      <c r="I727" s="275" t="s">
        <v>15214</v>
      </c>
    </row>
    <row r="728" spans="1:9" ht="15.75" x14ac:dyDescent="0.25">
      <c r="A728" s="299">
        <v>42953</v>
      </c>
      <c r="B728" s="302" t="s">
        <v>24529</v>
      </c>
      <c r="C728">
        <v>122700</v>
      </c>
      <c r="D728" s="248" t="s">
        <v>95</v>
      </c>
      <c r="E728" s="301">
        <v>0</v>
      </c>
      <c r="F728" s="243" t="s">
        <v>95</v>
      </c>
      <c r="G728" s="301">
        <v>0</v>
      </c>
      <c r="H728" s="304">
        <f>Tabla13[[#This Row],[Importe]]-Tabla13[[#This Row],[Pagado]]</f>
        <v>0</v>
      </c>
      <c r="I728" s="275" t="s">
        <v>95</v>
      </c>
    </row>
    <row r="729" spans="1:9" x14ac:dyDescent="0.25">
      <c r="A729" s="299">
        <v>42953</v>
      </c>
      <c r="B729" s="302" t="s">
        <v>24530</v>
      </c>
      <c r="C729">
        <v>122701</v>
      </c>
      <c r="D729" s="236" t="s">
        <v>15252</v>
      </c>
      <c r="E729" s="301">
        <v>5483.1</v>
      </c>
      <c r="F729" s="303">
        <v>42959</v>
      </c>
      <c r="G729" s="301">
        <v>5483.1</v>
      </c>
      <c r="H729" s="304">
        <f>Tabla13[[#This Row],[Importe]]-Tabla13[[#This Row],[Pagado]]</f>
        <v>0</v>
      </c>
      <c r="I729" s="275" t="s">
        <v>15214</v>
      </c>
    </row>
    <row r="730" spans="1:9" x14ac:dyDescent="0.25">
      <c r="A730" s="299">
        <v>42953</v>
      </c>
      <c r="B730" s="302" t="s">
        <v>24531</v>
      </c>
      <c r="C730">
        <v>122702</v>
      </c>
      <c r="D730" s="236" t="s">
        <v>23937</v>
      </c>
      <c r="E730" s="301">
        <v>4031</v>
      </c>
      <c r="F730" s="303">
        <v>42953</v>
      </c>
      <c r="G730" s="301">
        <v>4031</v>
      </c>
      <c r="H730" s="304">
        <f>Tabla13[[#This Row],[Importe]]-Tabla13[[#This Row],[Pagado]]</f>
        <v>0</v>
      </c>
      <c r="I730" s="275" t="s">
        <v>15214</v>
      </c>
    </row>
    <row r="731" spans="1:9" x14ac:dyDescent="0.25">
      <c r="A731" s="299">
        <v>42953</v>
      </c>
      <c r="B731" s="302" t="s">
        <v>24532</v>
      </c>
      <c r="C731">
        <v>122703</v>
      </c>
      <c r="D731" s="236" t="s">
        <v>15244</v>
      </c>
      <c r="E731" s="301">
        <v>15364.25</v>
      </c>
      <c r="F731" s="303">
        <v>42959</v>
      </c>
      <c r="G731" s="301">
        <v>15364.25</v>
      </c>
      <c r="H731" s="304">
        <f>Tabla13[[#This Row],[Importe]]-Tabla13[[#This Row],[Pagado]]</f>
        <v>0</v>
      </c>
      <c r="I731" s="275" t="s">
        <v>15214</v>
      </c>
    </row>
    <row r="732" spans="1:9" x14ac:dyDescent="0.25">
      <c r="A732" s="299">
        <v>42953</v>
      </c>
      <c r="B732" s="302" t="s">
        <v>24533</v>
      </c>
      <c r="C732">
        <v>122704</v>
      </c>
      <c r="D732" s="236" t="s">
        <v>15706</v>
      </c>
      <c r="E732" s="301">
        <v>2374.1999999999998</v>
      </c>
      <c r="F732" s="303">
        <v>42953</v>
      </c>
      <c r="G732" s="301">
        <v>2374.1999999999998</v>
      </c>
      <c r="H732" s="304">
        <f>Tabla13[[#This Row],[Importe]]-Tabla13[[#This Row],[Pagado]]</f>
        <v>0</v>
      </c>
      <c r="I732" s="275" t="s">
        <v>15214</v>
      </c>
    </row>
    <row r="733" spans="1:9" x14ac:dyDescent="0.25">
      <c r="A733" s="299">
        <v>42953</v>
      </c>
      <c r="B733" s="302" t="s">
        <v>24534</v>
      </c>
      <c r="C733">
        <v>122705</v>
      </c>
      <c r="D733" s="236" t="s">
        <v>15398</v>
      </c>
      <c r="E733" s="301">
        <v>444.6</v>
      </c>
      <c r="F733" s="303">
        <v>42953</v>
      </c>
      <c r="G733" s="301">
        <v>444.6</v>
      </c>
      <c r="H733" s="304">
        <f>Tabla13[[#This Row],[Importe]]-Tabla13[[#This Row],[Pagado]]</f>
        <v>0</v>
      </c>
      <c r="I733" s="275" t="s">
        <v>15214</v>
      </c>
    </row>
    <row r="734" spans="1:9" x14ac:dyDescent="0.25">
      <c r="A734" s="299">
        <v>42953</v>
      </c>
      <c r="B734" s="302" t="s">
        <v>24535</v>
      </c>
      <c r="C734">
        <v>122706</v>
      </c>
      <c r="D734" s="236" t="s">
        <v>15987</v>
      </c>
      <c r="E734" s="301">
        <v>2926</v>
      </c>
      <c r="F734" s="303">
        <v>42953</v>
      </c>
      <c r="G734" s="301">
        <v>2926</v>
      </c>
      <c r="H734" s="304">
        <f>Tabla13[[#This Row],[Importe]]-Tabla13[[#This Row],[Pagado]]</f>
        <v>0</v>
      </c>
      <c r="I734" s="275" t="s">
        <v>15214</v>
      </c>
    </row>
    <row r="735" spans="1:9" x14ac:dyDescent="0.25">
      <c r="A735" s="299">
        <v>42953</v>
      </c>
      <c r="B735" s="302" t="s">
        <v>24536</v>
      </c>
      <c r="C735">
        <v>122707</v>
      </c>
      <c r="D735" s="236" t="s">
        <v>15326</v>
      </c>
      <c r="E735" s="301">
        <v>1317</v>
      </c>
      <c r="F735" s="303">
        <v>42953</v>
      </c>
      <c r="G735" s="301">
        <v>1317</v>
      </c>
      <c r="H735" s="304">
        <f>Tabla13[[#This Row],[Importe]]-Tabla13[[#This Row],[Pagado]]</f>
        <v>0</v>
      </c>
      <c r="I735" s="275" t="s">
        <v>15214</v>
      </c>
    </row>
    <row r="736" spans="1:9" x14ac:dyDescent="0.25">
      <c r="A736" s="299">
        <v>42953</v>
      </c>
      <c r="B736" s="302" t="s">
        <v>24537</v>
      </c>
      <c r="C736">
        <v>122708</v>
      </c>
      <c r="D736" s="236" t="s">
        <v>15274</v>
      </c>
      <c r="E736" s="301">
        <v>220</v>
      </c>
      <c r="F736" s="303">
        <v>42953</v>
      </c>
      <c r="G736" s="301">
        <v>220</v>
      </c>
      <c r="H736" s="304">
        <f>Tabla13[[#This Row],[Importe]]-Tabla13[[#This Row],[Pagado]]</f>
        <v>0</v>
      </c>
      <c r="I736" s="275" t="s">
        <v>15214</v>
      </c>
    </row>
    <row r="737" spans="1:9" x14ac:dyDescent="0.25">
      <c r="A737" s="299">
        <v>42953</v>
      </c>
      <c r="B737" s="302" t="s">
        <v>24538</v>
      </c>
      <c r="C737">
        <v>122709</v>
      </c>
      <c r="D737" s="236" t="s">
        <v>15315</v>
      </c>
      <c r="E737" s="301">
        <v>1750</v>
      </c>
      <c r="F737" s="303">
        <v>42953</v>
      </c>
      <c r="G737" s="301">
        <v>1750</v>
      </c>
      <c r="H737" s="304">
        <f>Tabla13[[#This Row],[Importe]]-Tabla13[[#This Row],[Pagado]]</f>
        <v>0</v>
      </c>
      <c r="I737" s="275" t="s">
        <v>15214</v>
      </c>
    </row>
    <row r="738" spans="1:9" x14ac:dyDescent="0.25">
      <c r="A738" s="299">
        <v>42953</v>
      </c>
      <c r="B738" s="302" t="s">
        <v>24539</v>
      </c>
      <c r="C738">
        <v>122710</v>
      </c>
      <c r="D738" s="236" t="s">
        <v>19699</v>
      </c>
      <c r="E738" s="301">
        <v>1500</v>
      </c>
      <c r="F738" s="303">
        <v>42953</v>
      </c>
      <c r="G738" s="301">
        <v>1500</v>
      </c>
      <c r="H738" s="304">
        <f>Tabla13[[#This Row],[Importe]]-Tabla13[[#This Row],[Pagado]]</f>
        <v>0</v>
      </c>
      <c r="I738" s="275" t="s">
        <v>15214</v>
      </c>
    </row>
    <row r="739" spans="1:9" x14ac:dyDescent="0.25">
      <c r="A739" s="299">
        <v>42953</v>
      </c>
      <c r="B739" s="302" t="s">
        <v>24540</v>
      </c>
      <c r="C739">
        <v>122711</v>
      </c>
      <c r="D739" s="236" t="s">
        <v>16126</v>
      </c>
      <c r="E739" s="301">
        <v>1567.8</v>
      </c>
      <c r="F739" s="303">
        <v>42953</v>
      </c>
      <c r="G739" s="301">
        <v>1567.8</v>
      </c>
      <c r="H739" s="304">
        <f>Tabla13[[#This Row],[Importe]]-Tabla13[[#This Row],[Pagado]]</f>
        <v>0</v>
      </c>
      <c r="I739" s="275" t="s">
        <v>15214</v>
      </c>
    </row>
    <row r="740" spans="1:9" x14ac:dyDescent="0.25">
      <c r="A740" s="299">
        <v>42953</v>
      </c>
      <c r="B740" s="302" t="s">
        <v>24541</v>
      </c>
      <c r="C740">
        <v>122712</v>
      </c>
      <c r="D740" s="236" t="s">
        <v>15213</v>
      </c>
      <c r="E740" s="301">
        <v>2687.7</v>
      </c>
      <c r="F740" s="303">
        <v>42954</v>
      </c>
      <c r="G740" s="301">
        <v>2687.7</v>
      </c>
      <c r="H740" s="304">
        <f>Tabla13[[#This Row],[Importe]]-Tabla13[[#This Row],[Pagado]]</f>
        <v>0</v>
      </c>
      <c r="I740" s="275" t="s">
        <v>15214</v>
      </c>
    </row>
    <row r="741" spans="1:9" x14ac:dyDescent="0.25">
      <c r="A741" s="299">
        <v>42953</v>
      </c>
      <c r="B741" s="302" t="s">
        <v>24542</v>
      </c>
      <c r="C741">
        <v>122713</v>
      </c>
      <c r="D741" s="236" t="s">
        <v>15810</v>
      </c>
      <c r="E741" s="301">
        <v>460.2</v>
      </c>
      <c r="F741" s="303">
        <v>42953</v>
      </c>
      <c r="G741" s="301">
        <v>460.2</v>
      </c>
      <c r="H741" s="304">
        <f>Tabla13[[#This Row],[Importe]]-Tabla13[[#This Row],[Pagado]]</f>
        <v>0</v>
      </c>
      <c r="I741" s="275" t="s">
        <v>15214</v>
      </c>
    </row>
    <row r="742" spans="1:9" x14ac:dyDescent="0.25">
      <c r="A742" s="299">
        <v>42953</v>
      </c>
      <c r="B742" s="302" t="s">
        <v>24543</v>
      </c>
      <c r="C742">
        <v>122714</v>
      </c>
      <c r="D742" s="236" t="s">
        <v>15566</v>
      </c>
      <c r="E742" s="301">
        <v>859.6</v>
      </c>
      <c r="F742" s="303">
        <v>42953</v>
      </c>
      <c r="G742" s="301">
        <v>859.6</v>
      </c>
      <c r="H742" s="304">
        <f>Tabla13[[#This Row],[Importe]]-Tabla13[[#This Row],[Pagado]]</f>
        <v>0</v>
      </c>
      <c r="I742" s="275" t="s">
        <v>15214</v>
      </c>
    </row>
    <row r="743" spans="1:9" x14ac:dyDescent="0.25">
      <c r="A743" s="299">
        <v>42953</v>
      </c>
      <c r="B743" s="302" t="s">
        <v>24544</v>
      </c>
      <c r="C743">
        <v>122715</v>
      </c>
      <c r="D743" s="236" t="s">
        <v>15315</v>
      </c>
      <c r="E743" s="301">
        <v>377.3</v>
      </c>
      <c r="F743" s="303">
        <v>42953</v>
      </c>
      <c r="G743" s="301">
        <v>377.3</v>
      </c>
      <c r="H743" s="304">
        <f>Tabla13[[#This Row],[Importe]]-Tabla13[[#This Row],[Pagado]]</f>
        <v>0</v>
      </c>
      <c r="I743" s="275" t="s">
        <v>15214</v>
      </c>
    </row>
    <row r="744" spans="1:9" x14ac:dyDescent="0.25">
      <c r="A744" s="299">
        <v>42953</v>
      </c>
      <c r="B744" s="302" t="s">
        <v>24545</v>
      </c>
      <c r="C744">
        <v>122716</v>
      </c>
      <c r="D744" s="236" t="s">
        <v>15385</v>
      </c>
      <c r="E744" s="301">
        <v>11108.2</v>
      </c>
      <c r="F744" s="303">
        <v>42954</v>
      </c>
      <c r="G744" s="301">
        <v>11108.2</v>
      </c>
      <c r="H744" s="304">
        <f>Tabla13[[#This Row],[Importe]]-Tabla13[[#This Row],[Pagado]]</f>
        <v>0</v>
      </c>
      <c r="I744" s="275" t="s">
        <v>15214</v>
      </c>
    </row>
    <row r="745" spans="1:9" x14ac:dyDescent="0.25">
      <c r="A745" s="299">
        <v>42953</v>
      </c>
      <c r="B745" s="302" t="s">
        <v>24546</v>
      </c>
      <c r="C745">
        <v>122717</v>
      </c>
      <c r="D745" s="236" t="s">
        <v>15725</v>
      </c>
      <c r="E745" s="301">
        <v>6422.4</v>
      </c>
      <c r="F745" s="303">
        <v>42960</v>
      </c>
      <c r="G745" s="301">
        <v>6422.4</v>
      </c>
      <c r="H745" s="304">
        <f>Tabla13[[#This Row],[Importe]]-Tabla13[[#This Row],[Pagado]]</f>
        <v>0</v>
      </c>
      <c r="I745" s="275" t="s">
        <v>15214</v>
      </c>
    </row>
    <row r="746" spans="1:9" x14ac:dyDescent="0.25">
      <c r="A746" s="299">
        <v>42953</v>
      </c>
      <c r="B746" s="302" t="s">
        <v>24547</v>
      </c>
      <c r="C746">
        <v>122718</v>
      </c>
      <c r="D746" s="236" t="s">
        <v>15592</v>
      </c>
      <c r="E746" s="301">
        <v>10565</v>
      </c>
      <c r="F746" s="303">
        <v>42954</v>
      </c>
      <c r="G746" s="301">
        <v>10565</v>
      </c>
      <c r="H746" s="304">
        <f>Tabla13[[#This Row],[Importe]]-Tabla13[[#This Row],[Pagado]]</f>
        <v>0</v>
      </c>
      <c r="I746" s="275" t="s">
        <v>15214</v>
      </c>
    </row>
    <row r="747" spans="1:9" x14ac:dyDescent="0.25">
      <c r="A747" s="299">
        <v>42953</v>
      </c>
      <c r="B747" s="302" t="s">
        <v>24548</v>
      </c>
      <c r="C747">
        <v>122719</v>
      </c>
      <c r="D747" s="236" t="s">
        <v>19776</v>
      </c>
      <c r="E747" s="301">
        <v>5880</v>
      </c>
      <c r="F747" s="303">
        <v>42954</v>
      </c>
      <c r="G747" s="301">
        <v>5880</v>
      </c>
      <c r="H747" s="304">
        <f>Tabla13[[#This Row],[Importe]]-Tabla13[[#This Row],[Pagado]]</f>
        <v>0</v>
      </c>
      <c r="I747" s="275" t="s">
        <v>15214</v>
      </c>
    </row>
    <row r="748" spans="1:9" x14ac:dyDescent="0.25">
      <c r="A748" s="299">
        <v>42953</v>
      </c>
      <c r="B748" s="302" t="s">
        <v>24549</v>
      </c>
      <c r="C748">
        <v>122720</v>
      </c>
      <c r="D748" s="236" t="s">
        <v>15391</v>
      </c>
      <c r="E748" s="301">
        <v>10047.200000000001</v>
      </c>
      <c r="F748" s="303">
        <v>42956</v>
      </c>
      <c r="G748" s="301">
        <v>10047.200000000001</v>
      </c>
      <c r="H748" s="304">
        <f>Tabla13[[#This Row],[Importe]]-Tabla13[[#This Row],[Pagado]]</f>
        <v>0</v>
      </c>
      <c r="I748" s="275" t="s">
        <v>15214</v>
      </c>
    </row>
    <row r="749" spans="1:9" x14ac:dyDescent="0.25">
      <c r="A749" s="299">
        <v>42953</v>
      </c>
      <c r="B749" s="302" t="s">
        <v>24550</v>
      </c>
      <c r="C749">
        <v>122721</v>
      </c>
      <c r="D749" s="236" t="s">
        <v>15442</v>
      </c>
      <c r="E749" s="301">
        <v>15491.2</v>
      </c>
      <c r="F749" s="303">
        <v>42968</v>
      </c>
      <c r="G749" s="301">
        <v>15491.2</v>
      </c>
      <c r="H749" s="304">
        <f>Tabla13[[#This Row],[Importe]]-Tabla13[[#This Row],[Pagado]]</f>
        <v>0</v>
      </c>
      <c r="I749" s="275" t="s">
        <v>15214</v>
      </c>
    </row>
    <row r="750" spans="1:9" x14ac:dyDescent="0.25">
      <c r="A750" s="299">
        <v>42953</v>
      </c>
      <c r="B750" s="302" t="s">
        <v>24551</v>
      </c>
      <c r="C750">
        <v>122722</v>
      </c>
      <c r="D750" s="236" t="s">
        <v>16129</v>
      </c>
      <c r="E750" s="301">
        <v>444.6</v>
      </c>
      <c r="F750" s="303">
        <v>42953</v>
      </c>
      <c r="G750" s="301">
        <v>444.6</v>
      </c>
      <c r="H750" s="304">
        <f>Tabla13[[#This Row],[Importe]]-Tabla13[[#This Row],[Pagado]]</f>
        <v>0</v>
      </c>
      <c r="I750" s="275" t="s">
        <v>15214</v>
      </c>
    </row>
    <row r="751" spans="1:9" x14ac:dyDescent="0.25">
      <c r="A751" s="299">
        <v>42953</v>
      </c>
      <c r="B751" s="302" t="s">
        <v>24552</v>
      </c>
      <c r="C751">
        <v>122723</v>
      </c>
      <c r="D751" s="236" t="s">
        <v>19700</v>
      </c>
      <c r="E751" s="301">
        <v>1337.7</v>
      </c>
      <c r="F751" s="303">
        <v>42953</v>
      </c>
      <c r="G751" s="301">
        <v>1337.7</v>
      </c>
      <c r="H751" s="304">
        <f>Tabla13[[#This Row],[Importe]]-Tabla13[[#This Row],[Pagado]]</f>
        <v>0</v>
      </c>
      <c r="I751" s="275" t="s">
        <v>15214</v>
      </c>
    </row>
    <row r="752" spans="1:9" x14ac:dyDescent="0.25">
      <c r="A752" s="299">
        <v>42953</v>
      </c>
      <c r="B752" s="302" t="s">
        <v>24553</v>
      </c>
      <c r="C752">
        <v>122724</v>
      </c>
      <c r="D752" s="236" t="s">
        <v>17462</v>
      </c>
      <c r="E752" s="301">
        <v>1404</v>
      </c>
      <c r="F752" s="303">
        <v>42953</v>
      </c>
      <c r="G752" s="301">
        <v>1404</v>
      </c>
      <c r="H752" s="304">
        <f>Tabla13[[#This Row],[Importe]]-Tabla13[[#This Row],[Pagado]]</f>
        <v>0</v>
      </c>
      <c r="I752" s="275" t="s">
        <v>15214</v>
      </c>
    </row>
    <row r="753" spans="1:9" x14ac:dyDescent="0.25">
      <c r="A753" s="299">
        <v>42953</v>
      </c>
      <c r="B753" s="302" t="s">
        <v>24554</v>
      </c>
      <c r="C753">
        <v>122725</v>
      </c>
      <c r="D753" s="236" t="s">
        <v>15541</v>
      </c>
      <c r="E753" s="301">
        <v>1788.6</v>
      </c>
      <c r="F753" s="303">
        <v>42956</v>
      </c>
      <c r="G753" s="301">
        <v>1788.6</v>
      </c>
      <c r="H753" s="304">
        <f>Tabla13[[#This Row],[Importe]]-Tabla13[[#This Row],[Pagado]]</f>
        <v>0</v>
      </c>
      <c r="I753" s="275" t="s">
        <v>15214</v>
      </c>
    </row>
    <row r="754" spans="1:9" x14ac:dyDescent="0.25">
      <c r="A754" s="299">
        <v>42953</v>
      </c>
      <c r="B754" s="302" t="s">
        <v>24555</v>
      </c>
      <c r="C754">
        <v>122726</v>
      </c>
      <c r="D754" s="236" t="s">
        <v>15315</v>
      </c>
      <c r="E754" s="301">
        <v>332</v>
      </c>
      <c r="F754" s="303">
        <v>42954</v>
      </c>
      <c r="G754" s="301">
        <v>332</v>
      </c>
      <c r="H754" s="304">
        <f>Tabla13[[#This Row],[Importe]]-Tabla13[[#This Row],[Pagado]]</f>
        <v>0</v>
      </c>
      <c r="I754" s="275" t="s">
        <v>15214</v>
      </c>
    </row>
    <row r="755" spans="1:9" x14ac:dyDescent="0.25">
      <c r="A755" s="299">
        <v>42953</v>
      </c>
      <c r="B755" s="302" t="s">
        <v>24556</v>
      </c>
      <c r="C755">
        <v>122727</v>
      </c>
      <c r="D755" s="236" t="s">
        <v>15332</v>
      </c>
      <c r="E755" s="301">
        <v>4282.3999999999996</v>
      </c>
      <c r="F755" s="303">
        <v>42954</v>
      </c>
      <c r="G755" s="301">
        <v>4282.3999999999996</v>
      </c>
      <c r="H755" s="304">
        <f>Tabla13[[#This Row],[Importe]]-Tabla13[[#This Row],[Pagado]]</f>
        <v>0</v>
      </c>
      <c r="I755" s="275" t="s">
        <v>15214</v>
      </c>
    </row>
    <row r="756" spans="1:9" x14ac:dyDescent="0.25">
      <c r="A756" s="299">
        <v>42954</v>
      </c>
      <c r="B756" s="302" t="s">
        <v>24557</v>
      </c>
      <c r="C756">
        <v>122728</v>
      </c>
      <c r="D756" s="236" t="s">
        <v>21386</v>
      </c>
      <c r="E756" s="301">
        <v>9966.25</v>
      </c>
      <c r="F756" s="303">
        <v>42957</v>
      </c>
      <c r="G756" s="301">
        <v>9966.25</v>
      </c>
      <c r="H756" s="304">
        <f>Tabla13[[#This Row],[Importe]]-Tabla13[[#This Row],[Pagado]]</f>
        <v>0</v>
      </c>
      <c r="I756" s="275" t="s">
        <v>15214</v>
      </c>
    </row>
    <row r="757" spans="1:9" x14ac:dyDescent="0.25">
      <c r="A757" s="299">
        <v>42954</v>
      </c>
      <c r="B757" s="302" t="s">
        <v>24558</v>
      </c>
      <c r="C757">
        <v>122729</v>
      </c>
      <c r="D757" s="236" t="s">
        <v>21386</v>
      </c>
      <c r="E757" s="301">
        <v>132</v>
      </c>
      <c r="F757" s="303">
        <v>42954</v>
      </c>
      <c r="G757" s="301">
        <v>132</v>
      </c>
      <c r="H757" s="304">
        <f>Tabla13[[#This Row],[Importe]]-Tabla13[[#This Row],[Pagado]]</f>
        <v>0</v>
      </c>
      <c r="I757" s="275" t="s">
        <v>15214</v>
      </c>
    </row>
    <row r="758" spans="1:9" x14ac:dyDescent="0.25">
      <c r="A758" s="299">
        <v>42954</v>
      </c>
      <c r="B758" s="302" t="s">
        <v>24559</v>
      </c>
      <c r="C758">
        <v>122730</v>
      </c>
      <c r="D758" s="236" t="s">
        <v>15213</v>
      </c>
      <c r="E758" s="301">
        <v>46314</v>
      </c>
      <c r="F758" s="303">
        <v>42955</v>
      </c>
      <c r="G758" s="301">
        <v>46314</v>
      </c>
      <c r="H758" s="304">
        <f>Tabla13[[#This Row],[Importe]]-Tabla13[[#This Row],[Pagado]]</f>
        <v>0</v>
      </c>
      <c r="I758" s="275" t="s">
        <v>15214</v>
      </c>
    </row>
    <row r="759" spans="1:9" x14ac:dyDescent="0.25">
      <c r="A759" s="299">
        <v>42954</v>
      </c>
      <c r="B759" s="302" t="s">
        <v>24560</v>
      </c>
      <c r="C759">
        <v>122731</v>
      </c>
      <c r="D759" s="236" t="s">
        <v>15220</v>
      </c>
      <c r="E759" s="301">
        <v>2500</v>
      </c>
      <c r="F759" s="303">
        <v>42954</v>
      </c>
      <c r="G759" s="301">
        <v>2500</v>
      </c>
      <c r="H759" s="304">
        <f>Tabla13[[#This Row],[Importe]]-Tabla13[[#This Row],[Pagado]]</f>
        <v>0</v>
      </c>
      <c r="I759" s="275" t="s">
        <v>15214</v>
      </c>
    </row>
    <row r="760" spans="1:9" x14ac:dyDescent="0.25">
      <c r="A760" s="299">
        <v>42954</v>
      </c>
      <c r="B760" s="302" t="s">
        <v>24561</v>
      </c>
      <c r="C760">
        <v>122732</v>
      </c>
      <c r="D760" s="236" t="s">
        <v>17235</v>
      </c>
      <c r="E760" s="301">
        <v>1000</v>
      </c>
      <c r="F760" s="303">
        <v>42954</v>
      </c>
      <c r="G760" s="301">
        <v>1000</v>
      </c>
      <c r="H760" s="304">
        <f>Tabla13[[#This Row],[Importe]]-Tabla13[[#This Row],[Pagado]]</f>
        <v>0</v>
      </c>
      <c r="I760" s="275" t="s">
        <v>15214</v>
      </c>
    </row>
    <row r="761" spans="1:9" x14ac:dyDescent="0.25">
      <c r="A761" s="299">
        <v>42954</v>
      </c>
      <c r="B761" s="302" t="s">
        <v>24562</v>
      </c>
      <c r="C761">
        <v>122733</v>
      </c>
      <c r="D761" s="236" t="s">
        <v>15250</v>
      </c>
      <c r="E761" s="301">
        <v>44382.76</v>
      </c>
      <c r="F761" s="303">
        <v>42961</v>
      </c>
      <c r="G761" s="301">
        <v>44382.76</v>
      </c>
      <c r="H761" s="304">
        <f>Tabla13[[#This Row],[Importe]]-Tabla13[[#This Row],[Pagado]]</f>
        <v>0</v>
      </c>
      <c r="I761" s="275" t="s">
        <v>15214</v>
      </c>
    </row>
    <row r="762" spans="1:9" x14ac:dyDescent="0.25">
      <c r="A762" s="299">
        <v>42954</v>
      </c>
      <c r="B762" s="302" t="s">
        <v>24563</v>
      </c>
      <c r="C762">
        <v>122734</v>
      </c>
      <c r="D762" s="236" t="s">
        <v>18544</v>
      </c>
      <c r="E762" s="301">
        <v>7221.6</v>
      </c>
      <c r="F762" s="303">
        <v>42954</v>
      </c>
      <c r="G762" s="301">
        <v>7221.6</v>
      </c>
      <c r="H762" s="304">
        <f>Tabla13[[#This Row],[Importe]]-Tabla13[[#This Row],[Pagado]]</f>
        <v>0</v>
      </c>
      <c r="I762" s="275" t="s">
        <v>15214</v>
      </c>
    </row>
    <row r="763" spans="1:9" x14ac:dyDescent="0.25">
      <c r="A763" s="299">
        <v>42954</v>
      </c>
      <c r="B763" s="302" t="s">
        <v>24564</v>
      </c>
      <c r="C763">
        <v>122735</v>
      </c>
      <c r="D763" s="236" t="s">
        <v>15230</v>
      </c>
      <c r="E763" s="301">
        <v>9503</v>
      </c>
      <c r="F763" s="303">
        <v>42957</v>
      </c>
      <c r="G763" s="301">
        <v>9503</v>
      </c>
      <c r="H763" s="304">
        <f>Tabla13[[#This Row],[Importe]]-Tabla13[[#This Row],[Pagado]]</f>
        <v>0</v>
      </c>
      <c r="I763" s="275" t="s">
        <v>15214</v>
      </c>
    </row>
    <row r="764" spans="1:9" x14ac:dyDescent="0.25">
      <c r="A764" s="299">
        <v>42954</v>
      </c>
      <c r="B764" s="302" t="s">
        <v>24565</v>
      </c>
      <c r="C764">
        <v>122736</v>
      </c>
      <c r="D764" s="236" t="s">
        <v>15232</v>
      </c>
      <c r="E764" s="301">
        <v>6145.5</v>
      </c>
      <c r="F764" s="303">
        <v>42957</v>
      </c>
      <c r="G764" s="301">
        <v>6145.5</v>
      </c>
      <c r="H764" s="304">
        <f>Tabla13[[#This Row],[Importe]]-Tabla13[[#This Row],[Pagado]]</f>
        <v>0</v>
      </c>
      <c r="I764" s="275" t="s">
        <v>15214</v>
      </c>
    </row>
    <row r="765" spans="1:9" x14ac:dyDescent="0.25">
      <c r="A765" s="299">
        <v>42954</v>
      </c>
      <c r="B765" s="302" t="s">
        <v>24566</v>
      </c>
      <c r="C765">
        <v>122737</v>
      </c>
      <c r="D765" s="236" t="s">
        <v>15234</v>
      </c>
      <c r="E765" s="301">
        <v>3237</v>
      </c>
      <c r="F765" s="303">
        <v>42957</v>
      </c>
      <c r="G765" s="301">
        <v>3237</v>
      </c>
      <c r="H765" s="304">
        <f>Tabla13[[#This Row],[Importe]]-Tabla13[[#This Row],[Pagado]]</f>
        <v>0</v>
      </c>
      <c r="I765" s="275" t="s">
        <v>15214</v>
      </c>
    </row>
    <row r="766" spans="1:9" x14ac:dyDescent="0.25">
      <c r="A766" s="299">
        <v>42954</v>
      </c>
      <c r="B766" s="302" t="s">
        <v>24567</v>
      </c>
      <c r="C766">
        <v>122738</v>
      </c>
      <c r="D766" s="236" t="s">
        <v>15668</v>
      </c>
      <c r="E766" s="301">
        <v>20542.5</v>
      </c>
      <c r="F766" s="303">
        <v>42956</v>
      </c>
      <c r="G766" s="301">
        <v>20542.5</v>
      </c>
      <c r="H766" s="304">
        <f>Tabla13[[#This Row],[Importe]]-Tabla13[[#This Row],[Pagado]]</f>
        <v>0</v>
      </c>
      <c r="I766" s="275" t="s">
        <v>15214</v>
      </c>
    </row>
    <row r="767" spans="1:9" x14ac:dyDescent="0.25">
      <c r="A767" s="299">
        <v>42954</v>
      </c>
      <c r="B767" s="302" t="s">
        <v>24568</v>
      </c>
      <c r="C767">
        <v>122739</v>
      </c>
      <c r="D767" s="236" t="s">
        <v>15240</v>
      </c>
      <c r="E767" s="301">
        <v>296</v>
      </c>
      <c r="F767" s="303">
        <v>42954</v>
      </c>
      <c r="G767" s="301">
        <v>296</v>
      </c>
      <c r="H767" s="304">
        <f>Tabla13[[#This Row],[Importe]]-Tabla13[[#This Row],[Pagado]]</f>
        <v>0</v>
      </c>
      <c r="I767" s="275" t="s">
        <v>15214</v>
      </c>
    </row>
    <row r="768" spans="1:9" x14ac:dyDescent="0.25">
      <c r="A768" s="299">
        <v>42954</v>
      </c>
      <c r="B768" s="302" t="s">
        <v>24569</v>
      </c>
      <c r="C768">
        <v>122740</v>
      </c>
      <c r="D768" s="236" t="s">
        <v>15348</v>
      </c>
      <c r="E768" s="301">
        <v>502.4</v>
      </c>
      <c r="F768" s="303">
        <v>42957</v>
      </c>
      <c r="G768" s="301">
        <v>502.4</v>
      </c>
      <c r="H768" s="304">
        <f>Tabla13[[#This Row],[Importe]]-Tabla13[[#This Row],[Pagado]]</f>
        <v>0</v>
      </c>
      <c r="I768" s="275" t="s">
        <v>15214</v>
      </c>
    </row>
    <row r="769" spans="1:9" x14ac:dyDescent="0.25">
      <c r="A769" s="299">
        <v>42954</v>
      </c>
      <c r="B769" s="302" t="s">
        <v>24570</v>
      </c>
      <c r="C769">
        <v>122741</v>
      </c>
      <c r="D769" s="236" t="s">
        <v>15244</v>
      </c>
      <c r="E769" s="301">
        <v>16020.15</v>
      </c>
      <c r="F769" s="303">
        <v>42959</v>
      </c>
      <c r="G769" s="301">
        <v>16020.15</v>
      </c>
      <c r="H769" s="304">
        <f>Tabla13[[#This Row],[Importe]]-Tabla13[[#This Row],[Pagado]]</f>
        <v>0</v>
      </c>
      <c r="I769" s="275" t="s">
        <v>15214</v>
      </c>
    </row>
    <row r="770" spans="1:9" x14ac:dyDescent="0.25">
      <c r="A770" s="299">
        <v>42954</v>
      </c>
      <c r="B770" s="302" t="s">
        <v>24571</v>
      </c>
      <c r="C770">
        <v>122742</v>
      </c>
      <c r="D770" s="236" t="s">
        <v>15242</v>
      </c>
      <c r="E770" s="301">
        <v>5574.2</v>
      </c>
      <c r="F770" s="303">
        <v>42954</v>
      </c>
      <c r="G770" s="301">
        <v>5574.2</v>
      </c>
      <c r="H770" s="304">
        <f>Tabla13[[#This Row],[Importe]]-Tabla13[[#This Row],[Pagado]]</f>
        <v>0</v>
      </c>
      <c r="I770" s="275" t="s">
        <v>15214</v>
      </c>
    </row>
    <row r="771" spans="1:9" x14ac:dyDescent="0.25">
      <c r="A771" s="299">
        <v>42954</v>
      </c>
      <c r="B771" s="302" t="s">
        <v>24572</v>
      </c>
      <c r="C771">
        <v>122743</v>
      </c>
      <c r="D771" s="236" t="s">
        <v>23937</v>
      </c>
      <c r="E771" s="301">
        <v>3445</v>
      </c>
      <c r="F771" s="303">
        <v>42954</v>
      </c>
      <c r="G771" s="301">
        <v>3445</v>
      </c>
      <c r="H771" s="304">
        <f>Tabla13[[#This Row],[Importe]]-Tabla13[[#This Row],[Pagado]]</f>
        <v>0</v>
      </c>
      <c r="I771" s="275" t="s">
        <v>15214</v>
      </c>
    </row>
    <row r="772" spans="1:9" x14ac:dyDescent="0.25">
      <c r="A772" s="299">
        <v>42954</v>
      </c>
      <c r="B772" s="302" t="s">
        <v>24573</v>
      </c>
      <c r="C772">
        <v>122744</v>
      </c>
      <c r="D772" s="236" t="s">
        <v>15226</v>
      </c>
      <c r="E772" s="301">
        <v>3182.4</v>
      </c>
      <c r="F772" s="303">
        <v>42961</v>
      </c>
      <c r="G772" s="301">
        <v>3182.4</v>
      </c>
      <c r="H772" s="304">
        <f>Tabla13[[#This Row],[Importe]]-Tabla13[[#This Row],[Pagado]]</f>
        <v>0</v>
      </c>
      <c r="I772" s="275" t="s">
        <v>15214</v>
      </c>
    </row>
    <row r="773" spans="1:9" x14ac:dyDescent="0.25">
      <c r="A773" s="299">
        <v>42954</v>
      </c>
      <c r="B773" s="302" t="s">
        <v>24574</v>
      </c>
      <c r="C773">
        <v>122745</v>
      </c>
      <c r="D773" s="236" t="s">
        <v>15258</v>
      </c>
      <c r="E773" s="301">
        <v>14334.1</v>
      </c>
      <c r="F773" s="303">
        <v>42959</v>
      </c>
      <c r="G773" s="301">
        <v>14334.1</v>
      </c>
      <c r="H773" s="304">
        <f>Tabla13[[#This Row],[Importe]]-Tabla13[[#This Row],[Pagado]]</f>
        <v>0</v>
      </c>
      <c r="I773" s="275" t="s">
        <v>15214</v>
      </c>
    </row>
    <row r="774" spans="1:9" x14ac:dyDescent="0.25">
      <c r="A774" s="299">
        <v>42954</v>
      </c>
      <c r="B774" s="302" t="s">
        <v>24575</v>
      </c>
      <c r="C774">
        <v>122746</v>
      </c>
      <c r="D774" s="236" t="s">
        <v>15272</v>
      </c>
      <c r="E774" s="301">
        <v>22209.4</v>
      </c>
      <c r="F774" s="303">
        <v>42954</v>
      </c>
      <c r="G774" s="301">
        <v>22209.4</v>
      </c>
      <c r="H774" s="304">
        <f>Tabla13[[#This Row],[Importe]]-Tabla13[[#This Row],[Pagado]]</f>
        <v>0</v>
      </c>
      <c r="I774" s="275" t="s">
        <v>15214</v>
      </c>
    </row>
    <row r="775" spans="1:9" x14ac:dyDescent="0.25">
      <c r="A775" s="299">
        <v>42954</v>
      </c>
      <c r="B775" s="302" t="s">
        <v>24576</v>
      </c>
      <c r="C775">
        <v>122747</v>
      </c>
      <c r="D775" s="236" t="s">
        <v>15480</v>
      </c>
      <c r="E775" s="301">
        <v>4105.6000000000004</v>
      </c>
      <c r="F775" s="303">
        <v>42955</v>
      </c>
      <c r="G775" s="301">
        <v>4105.6000000000004</v>
      </c>
      <c r="H775" s="304">
        <f>Tabla13[[#This Row],[Importe]]-Tabla13[[#This Row],[Pagado]]</f>
        <v>0</v>
      </c>
      <c r="I775" s="275" t="s">
        <v>15214</v>
      </c>
    </row>
    <row r="776" spans="1:9" x14ac:dyDescent="0.25">
      <c r="A776" s="299">
        <v>42954</v>
      </c>
      <c r="B776" s="302" t="s">
        <v>24577</v>
      </c>
      <c r="C776">
        <v>122748</v>
      </c>
      <c r="D776" s="236" t="s">
        <v>15252</v>
      </c>
      <c r="E776" s="301">
        <v>4855.75</v>
      </c>
      <c r="F776" s="303">
        <v>42963</v>
      </c>
      <c r="G776" s="301">
        <v>4855.75</v>
      </c>
      <c r="H776" s="304">
        <f>Tabla13[[#This Row],[Importe]]-Tabla13[[#This Row],[Pagado]]</f>
        <v>0</v>
      </c>
      <c r="I776" s="275" t="s">
        <v>15214</v>
      </c>
    </row>
    <row r="777" spans="1:9" x14ac:dyDescent="0.25">
      <c r="A777" s="299">
        <v>42954</v>
      </c>
      <c r="B777" s="302" t="s">
        <v>24578</v>
      </c>
      <c r="C777">
        <v>122749</v>
      </c>
      <c r="D777" s="236" t="s">
        <v>15338</v>
      </c>
      <c r="E777" s="301">
        <v>9764</v>
      </c>
      <c r="F777" s="303">
        <v>42956</v>
      </c>
      <c r="G777" s="301">
        <v>9764</v>
      </c>
      <c r="H777" s="304">
        <f>Tabla13[[#This Row],[Importe]]-Tabla13[[#This Row],[Pagado]]</f>
        <v>0</v>
      </c>
      <c r="I777" s="275" t="s">
        <v>15214</v>
      </c>
    </row>
    <row r="778" spans="1:9" x14ac:dyDescent="0.25">
      <c r="A778" s="299">
        <v>42954</v>
      </c>
      <c r="B778" s="302" t="s">
        <v>24579</v>
      </c>
      <c r="C778">
        <v>122750</v>
      </c>
      <c r="D778" s="236" t="s">
        <v>16484</v>
      </c>
      <c r="E778" s="301">
        <v>907.2</v>
      </c>
      <c r="F778" s="303">
        <v>42954</v>
      </c>
      <c r="G778" s="301">
        <v>907.2</v>
      </c>
      <c r="H778" s="304">
        <f>Tabla13[[#This Row],[Importe]]-Tabla13[[#This Row],[Pagado]]</f>
        <v>0</v>
      </c>
      <c r="I778" s="275" t="s">
        <v>15214</v>
      </c>
    </row>
    <row r="779" spans="1:9" x14ac:dyDescent="0.25">
      <c r="A779" s="299">
        <v>42954</v>
      </c>
      <c r="B779" s="302" t="s">
        <v>24580</v>
      </c>
      <c r="C779">
        <v>122751</v>
      </c>
      <c r="D779" s="236" t="s">
        <v>15254</v>
      </c>
      <c r="E779" s="301">
        <v>10692.4</v>
      </c>
      <c r="F779" s="303">
        <v>42963</v>
      </c>
      <c r="G779" s="301">
        <v>10692.4</v>
      </c>
      <c r="H779" s="304">
        <f>Tabla13[[#This Row],[Importe]]-Tabla13[[#This Row],[Pagado]]</f>
        <v>0</v>
      </c>
      <c r="I779" s="275" t="s">
        <v>15214</v>
      </c>
    </row>
    <row r="780" spans="1:9" x14ac:dyDescent="0.25">
      <c r="A780" s="299">
        <v>42954</v>
      </c>
      <c r="B780" s="302" t="s">
        <v>24581</v>
      </c>
      <c r="C780">
        <v>122752</v>
      </c>
      <c r="D780" s="236" t="s">
        <v>15263</v>
      </c>
      <c r="E780" s="301">
        <v>7224.3</v>
      </c>
      <c r="F780" s="303">
        <v>42954</v>
      </c>
      <c r="G780" s="301">
        <v>7224.3</v>
      </c>
      <c r="H780" s="304">
        <f>Tabla13[[#This Row],[Importe]]-Tabla13[[#This Row],[Pagado]]</f>
        <v>0</v>
      </c>
      <c r="I780" s="275" t="s">
        <v>15214</v>
      </c>
    </row>
    <row r="781" spans="1:9" x14ac:dyDescent="0.25">
      <c r="A781" s="299">
        <v>42954</v>
      </c>
      <c r="B781" s="302" t="s">
        <v>24582</v>
      </c>
      <c r="C781">
        <v>122753</v>
      </c>
      <c r="D781" s="236" t="s">
        <v>15330</v>
      </c>
      <c r="E781" s="301">
        <v>3990.7</v>
      </c>
      <c r="F781" s="303">
        <v>42954</v>
      </c>
      <c r="G781" s="301">
        <v>3990.7</v>
      </c>
      <c r="H781" s="304">
        <f>Tabla13[[#This Row],[Importe]]-Tabla13[[#This Row],[Pagado]]</f>
        <v>0</v>
      </c>
      <c r="I781" s="275" t="s">
        <v>15214</v>
      </c>
    </row>
    <row r="782" spans="1:9" x14ac:dyDescent="0.25">
      <c r="A782" s="299">
        <v>42954</v>
      </c>
      <c r="B782" s="302" t="s">
        <v>24583</v>
      </c>
      <c r="C782">
        <v>122754</v>
      </c>
      <c r="D782" s="236" t="s">
        <v>5575</v>
      </c>
      <c r="E782" s="301">
        <v>4154.8</v>
      </c>
      <c r="F782" s="303">
        <v>42955</v>
      </c>
      <c r="G782" s="301">
        <v>4154.8</v>
      </c>
      <c r="H782" s="304">
        <f>Tabla13[[#This Row],[Importe]]-Tabla13[[#This Row],[Pagado]]</f>
        <v>0</v>
      </c>
      <c r="I782" s="275" t="s">
        <v>15214</v>
      </c>
    </row>
    <row r="783" spans="1:9" x14ac:dyDescent="0.25">
      <c r="A783" s="299">
        <v>42954</v>
      </c>
      <c r="B783" s="302" t="s">
        <v>24584</v>
      </c>
      <c r="C783">
        <v>122755</v>
      </c>
      <c r="D783" s="236" t="s">
        <v>15238</v>
      </c>
      <c r="E783" s="301">
        <v>2986.8</v>
      </c>
      <c r="F783" s="303">
        <v>42956</v>
      </c>
      <c r="G783" s="301">
        <v>2986.8</v>
      </c>
      <c r="H783" s="304">
        <f>Tabla13[[#This Row],[Importe]]-Tabla13[[#This Row],[Pagado]]</f>
        <v>0</v>
      </c>
      <c r="I783" s="275" t="s">
        <v>15214</v>
      </c>
    </row>
    <row r="784" spans="1:9" ht="30" x14ac:dyDescent="0.25">
      <c r="A784" s="299">
        <v>42954</v>
      </c>
      <c r="B784" s="302" t="s">
        <v>24585</v>
      </c>
      <c r="C784">
        <v>122756</v>
      </c>
      <c r="D784" s="236" t="s">
        <v>15328</v>
      </c>
      <c r="E784" s="301">
        <v>70182.3</v>
      </c>
      <c r="F784" s="303" t="s">
        <v>24586</v>
      </c>
      <c r="G784" s="305">
        <f>43292.75+26889.55</f>
        <v>70182.3</v>
      </c>
      <c r="H784" s="304">
        <f>Tabla13[[#This Row],[Importe]]-Tabla13[[#This Row],[Pagado]]</f>
        <v>0</v>
      </c>
      <c r="I784" s="275" t="s">
        <v>15214</v>
      </c>
    </row>
    <row r="785" spans="1:9" ht="30" x14ac:dyDescent="0.25">
      <c r="A785" s="299">
        <v>42954</v>
      </c>
      <c r="B785" s="302" t="s">
        <v>24587</v>
      </c>
      <c r="C785">
        <v>122757</v>
      </c>
      <c r="D785" s="236" t="s">
        <v>15256</v>
      </c>
      <c r="E785" s="301">
        <v>3486</v>
      </c>
      <c r="F785" s="303" t="s">
        <v>24588</v>
      </c>
      <c r="G785" s="305">
        <f>600+2886</f>
        <v>3486</v>
      </c>
      <c r="H785" s="304">
        <f>Tabla13[[#This Row],[Importe]]-Tabla13[[#This Row],[Pagado]]</f>
        <v>0</v>
      </c>
      <c r="I785" s="275" t="s">
        <v>15214</v>
      </c>
    </row>
    <row r="786" spans="1:9" x14ac:dyDescent="0.25">
      <c r="A786" s="299">
        <v>42954</v>
      </c>
      <c r="B786" s="302" t="s">
        <v>24589</v>
      </c>
      <c r="C786">
        <v>122758</v>
      </c>
      <c r="D786" s="236" t="s">
        <v>17462</v>
      </c>
      <c r="E786" s="301">
        <v>7746.3</v>
      </c>
      <c r="F786" s="303">
        <v>42954</v>
      </c>
      <c r="G786" s="301">
        <v>7746.3</v>
      </c>
      <c r="H786" s="304">
        <f>Tabla13[[#This Row],[Importe]]-Tabla13[[#This Row],[Pagado]]</f>
        <v>0</v>
      </c>
      <c r="I786" s="275" t="s">
        <v>15214</v>
      </c>
    </row>
    <row r="787" spans="1:9" x14ac:dyDescent="0.25">
      <c r="A787" s="299">
        <v>42954</v>
      </c>
      <c r="B787" s="302" t="s">
        <v>24590</v>
      </c>
      <c r="C787">
        <v>122759</v>
      </c>
      <c r="D787" s="236" t="s">
        <v>15328</v>
      </c>
      <c r="E787" s="301">
        <v>3229.72</v>
      </c>
      <c r="F787" s="303">
        <v>42969</v>
      </c>
      <c r="G787" s="301">
        <v>3229.72</v>
      </c>
      <c r="H787" s="304">
        <f>Tabla13[[#This Row],[Importe]]-Tabla13[[#This Row],[Pagado]]</f>
        <v>0</v>
      </c>
      <c r="I787" s="275" t="s">
        <v>15214</v>
      </c>
    </row>
    <row r="788" spans="1:9" x14ac:dyDescent="0.25">
      <c r="A788" s="299">
        <v>42954</v>
      </c>
      <c r="B788" s="302" t="s">
        <v>24591</v>
      </c>
      <c r="C788">
        <v>122760</v>
      </c>
      <c r="D788" s="236" t="s">
        <v>15523</v>
      </c>
      <c r="E788" s="301">
        <v>2000</v>
      </c>
      <c r="F788" s="303">
        <v>42954</v>
      </c>
      <c r="G788" s="301">
        <v>2000</v>
      </c>
      <c r="H788" s="304">
        <f>Tabla13[[#This Row],[Importe]]-Tabla13[[#This Row],[Pagado]]</f>
        <v>0</v>
      </c>
      <c r="I788" s="275" t="s">
        <v>15214</v>
      </c>
    </row>
    <row r="789" spans="1:9" x14ac:dyDescent="0.25">
      <c r="A789" s="299">
        <v>42954</v>
      </c>
      <c r="B789" s="302" t="s">
        <v>24592</v>
      </c>
      <c r="C789">
        <v>122761</v>
      </c>
      <c r="D789" s="236" t="s">
        <v>15334</v>
      </c>
      <c r="E789" s="301">
        <v>1620</v>
      </c>
      <c r="F789" s="303">
        <v>42954</v>
      </c>
      <c r="G789" s="301">
        <v>1620</v>
      </c>
      <c r="H789" s="304">
        <f>Tabla13[[#This Row],[Importe]]-Tabla13[[#This Row],[Pagado]]</f>
        <v>0</v>
      </c>
      <c r="I789" s="275" t="s">
        <v>15214</v>
      </c>
    </row>
    <row r="790" spans="1:9" x14ac:dyDescent="0.25">
      <c r="A790" s="299">
        <v>42954</v>
      </c>
      <c r="B790" s="302" t="s">
        <v>24593</v>
      </c>
      <c r="C790">
        <v>122762</v>
      </c>
      <c r="D790" s="236" t="s">
        <v>15526</v>
      </c>
      <c r="E790" s="301">
        <v>3588</v>
      </c>
      <c r="F790" s="303">
        <v>42954</v>
      </c>
      <c r="G790" s="301">
        <v>3588</v>
      </c>
      <c r="H790" s="304">
        <f>Tabla13[[#This Row],[Importe]]-Tabla13[[#This Row],[Pagado]]</f>
        <v>0</v>
      </c>
      <c r="I790" s="275" t="s">
        <v>15214</v>
      </c>
    </row>
    <row r="791" spans="1:9" x14ac:dyDescent="0.25">
      <c r="A791" s="299">
        <v>42954</v>
      </c>
      <c r="B791" s="302" t="s">
        <v>24594</v>
      </c>
      <c r="C791">
        <v>122763</v>
      </c>
      <c r="D791" s="236" t="s">
        <v>15344</v>
      </c>
      <c r="E791" s="301">
        <v>4368</v>
      </c>
      <c r="F791" s="303">
        <v>42954</v>
      </c>
      <c r="G791" s="301">
        <v>4368</v>
      </c>
      <c r="H791" s="304">
        <f>Tabla13[[#This Row],[Importe]]-Tabla13[[#This Row],[Pagado]]</f>
        <v>0</v>
      </c>
      <c r="I791" s="275" t="s">
        <v>15214</v>
      </c>
    </row>
    <row r="792" spans="1:9" x14ac:dyDescent="0.25">
      <c r="A792" s="299">
        <v>42954</v>
      </c>
      <c r="B792" s="302" t="s">
        <v>24595</v>
      </c>
      <c r="C792">
        <v>122764</v>
      </c>
      <c r="D792" s="236" t="s">
        <v>15742</v>
      </c>
      <c r="E792" s="301">
        <v>2205.4</v>
      </c>
      <c r="F792" s="303">
        <v>42954</v>
      </c>
      <c r="G792" s="301">
        <v>2205.4</v>
      </c>
      <c r="H792" s="304">
        <f>Tabla13[[#This Row],[Importe]]-Tabla13[[#This Row],[Pagado]]</f>
        <v>0</v>
      </c>
      <c r="I792" s="275" t="s">
        <v>15214</v>
      </c>
    </row>
    <row r="793" spans="1:9" x14ac:dyDescent="0.25">
      <c r="A793" s="299">
        <v>42954</v>
      </c>
      <c r="B793" s="302" t="s">
        <v>24596</v>
      </c>
      <c r="C793">
        <v>122765</v>
      </c>
      <c r="D793" s="236" t="s">
        <v>15336</v>
      </c>
      <c r="E793" s="301">
        <v>2293.98</v>
      </c>
      <c r="F793" s="303">
        <v>42954</v>
      </c>
      <c r="G793" s="301">
        <v>2293.98</v>
      </c>
      <c r="H793" s="304">
        <f>Tabla13[[#This Row],[Importe]]-Tabla13[[#This Row],[Pagado]]</f>
        <v>0</v>
      </c>
      <c r="I793" s="275" t="s">
        <v>15214</v>
      </c>
    </row>
    <row r="794" spans="1:9" x14ac:dyDescent="0.25">
      <c r="A794" s="299">
        <v>42954</v>
      </c>
      <c r="B794" s="302" t="s">
        <v>24597</v>
      </c>
      <c r="C794">
        <v>122766</v>
      </c>
      <c r="D794" s="236" t="s">
        <v>15332</v>
      </c>
      <c r="E794" s="301">
        <v>1696</v>
      </c>
      <c r="F794" s="303">
        <v>42954</v>
      </c>
      <c r="G794" s="301">
        <v>1696</v>
      </c>
      <c r="H794" s="304">
        <f>Tabla13[[#This Row],[Importe]]-Tabla13[[#This Row],[Pagado]]</f>
        <v>0</v>
      </c>
      <c r="I794" s="275" t="s">
        <v>15214</v>
      </c>
    </row>
    <row r="795" spans="1:9" x14ac:dyDescent="0.25">
      <c r="A795" s="299">
        <v>42954</v>
      </c>
      <c r="B795" s="302" t="s">
        <v>24598</v>
      </c>
      <c r="C795">
        <v>122767</v>
      </c>
      <c r="D795" s="236" t="s">
        <v>15340</v>
      </c>
      <c r="E795" s="301">
        <v>2769.3</v>
      </c>
      <c r="F795" s="303">
        <v>42954</v>
      </c>
      <c r="G795" s="301">
        <v>2769.3</v>
      </c>
      <c r="H795" s="304">
        <f>Tabla13[[#This Row],[Importe]]-Tabla13[[#This Row],[Pagado]]</f>
        <v>0</v>
      </c>
      <c r="I795" s="275" t="s">
        <v>15214</v>
      </c>
    </row>
    <row r="796" spans="1:9" x14ac:dyDescent="0.25">
      <c r="A796" s="299">
        <v>42954</v>
      </c>
      <c r="B796" s="302" t="s">
        <v>24599</v>
      </c>
      <c r="C796">
        <v>122768</v>
      </c>
      <c r="D796" s="236" t="s">
        <v>15248</v>
      </c>
      <c r="E796" s="301">
        <v>19613.7</v>
      </c>
      <c r="F796" s="303">
        <v>42954</v>
      </c>
      <c r="G796" s="301">
        <v>19613.7</v>
      </c>
      <c r="H796" s="304">
        <f>Tabla13[[#This Row],[Importe]]-Tabla13[[#This Row],[Pagado]]</f>
        <v>0</v>
      </c>
      <c r="I796" s="275" t="s">
        <v>15214</v>
      </c>
    </row>
    <row r="797" spans="1:9" ht="15.75" x14ac:dyDescent="0.25">
      <c r="A797" s="299">
        <v>42954</v>
      </c>
      <c r="B797" s="302" t="s">
        <v>24600</v>
      </c>
      <c r="C797">
        <v>122769</v>
      </c>
      <c r="D797" s="248" t="s">
        <v>95</v>
      </c>
      <c r="E797" s="301">
        <v>0</v>
      </c>
      <c r="F797" s="243" t="s">
        <v>95</v>
      </c>
      <c r="G797" s="301">
        <v>0</v>
      </c>
      <c r="H797" s="304">
        <f>Tabla13[[#This Row],[Importe]]-Tabla13[[#This Row],[Pagado]]</f>
        <v>0</v>
      </c>
      <c r="I797" s="275" t="s">
        <v>95</v>
      </c>
    </row>
    <row r="798" spans="1:9" x14ac:dyDescent="0.25">
      <c r="A798" s="299">
        <v>42954</v>
      </c>
      <c r="B798" s="302" t="s">
        <v>24601</v>
      </c>
      <c r="C798">
        <v>122770</v>
      </c>
      <c r="D798" s="236" t="s">
        <v>15617</v>
      </c>
      <c r="E798" s="301">
        <v>30750</v>
      </c>
      <c r="F798" s="303">
        <v>42954</v>
      </c>
      <c r="G798" s="301">
        <v>30750</v>
      </c>
      <c r="H798" s="304">
        <f>Tabla13[[#This Row],[Importe]]-Tabla13[[#This Row],[Pagado]]</f>
        <v>0</v>
      </c>
      <c r="I798" s="275" t="s">
        <v>15214</v>
      </c>
    </row>
    <row r="799" spans="1:9" ht="15.75" x14ac:dyDescent="0.25">
      <c r="A799" s="299">
        <v>42954</v>
      </c>
      <c r="B799" s="302" t="s">
        <v>24602</v>
      </c>
      <c r="C799">
        <v>122771</v>
      </c>
      <c r="D799" s="248" t="s">
        <v>95</v>
      </c>
      <c r="E799" s="301">
        <v>0</v>
      </c>
      <c r="F799" s="243" t="s">
        <v>95</v>
      </c>
      <c r="G799" s="301">
        <v>0</v>
      </c>
      <c r="H799" s="304">
        <f>Tabla13[[#This Row],[Importe]]-Tabla13[[#This Row],[Pagado]]</f>
        <v>0</v>
      </c>
      <c r="I799" s="275" t="s">
        <v>95</v>
      </c>
    </row>
    <row r="800" spans="1:9" x14ac:dyDescent="0.25">
      <c r="A800" s="299">
        <v>42954</v>
      </c>
      <c r="B800" s="302" t="s">
        <v>24603</v>
      </c>
      <c r="C800">
        <v>122772</v>
      </c>
      <c r="D800" s="236" t="s">
        <v>15415</v>
      </c>
      <c r="E800" s="301">
        <v>1388.6</v>
      </c>
      <c r="F800" s="303">
        <v>42961</v>
      </c>
      <c r="G800" s="301">
        <v>1388.6</v>
      </c>
      <c r="H800" s="304">
        <f>Tabla13[[#This Row],[Importe]]-Tabla13[[#This Row],[Pagado]]</f>
        <v>0</v>
      </c>
      <c r="I800" s="275" t="s">
        <v>15214</v>
      </c>
    </row>
    <row r="801" spans="1:9" x14ac:dyDescent="0.25">
      <c r="A801" s="299">
        <v>42954</v>
      </c>
      <c r="B801" s="302" t="s">
        <v>24604</v>
      </c>
      <c r="C801">
        <v>122773</v>
      </c>
      <c r="D801" s="236" t="s">
        <v>15284</v>
      </c>
      <c r="E801" s="301">
        <v>1557</v>
      </c>
      <c r="F801" s="303">
        <v>42954</v>
      </c>
      <c r="G801" s="301">
        <v>1557</v>
      </c>
      <c r="H801" s="304">
        <f>Tabla13[[#This Row],[Importe]]-Tabla13[[#This Row],[Pagado]]</f>
        <v>0</v>
      </c>
      <c r="I801" s="275" t="s">
        <v>15214</v>
      </c>
    </row>
    <row r="802" spans="1:9" x14ac:dyDescent="0.25">
      <c r="A802" s="299">
        <v>42954</v>
      </c>
      <c r="B802" s="302" t="s">
        <v>24605</v>
      </c>
      <c r="C802">
        <v>122774</v>
      </c>
      <c r="D802" s="236" t="s">
        <v>15373</v>
      </c>
      <c r="E802" s="301">
        <v>10749.6</v>
      </c>
      <c r="F802" s="303">
        <v>42957</v>
      </c>
      <c r="G802" s="301">
        <v>10749.6</v>
      </c>
      <c r="H802" s="304">
        <f>Tabla13[[#This Row],[Importe]]-Tabla13[[#This Row],[Pagado]]</f>
        <v>0</v>
      </c>
      <c r="I802" s="275" t="s">
        <v>15214</v>
      </c>
    </row>
    <row r="803" spans="1:9" x14ac:dyDescent="0.25">
      <c r="A803" s="299">
        <v>42954</v>
      </c>
      <c r="B803" s="302" t="s">
        <v>24606</v>
      </c>
      <c r="C803">
        <v>122775</v>
      </c>
      <c r="D803" s="236" t="s">
        <v>15394</v>
      </c>
      <c r="E803" s="301">
        <v>14253.7</v>
      </c>
      <c r="F803" s="303">
        <v>42959</v>
      </c>
      <c r="G803" s="301">
        <v>14253.7</v>
      </c>
      <c r="H803" s="304">
        <f>Tabla13[[#This Row],[Importe]]-Tabla13[[#This Row],[Pagado]]</f>
        <v>0</v>
      </c>
      <c r="I803" s="275" t="s">
        <v>15214</v>
      </c>
    </row>
    <row r="804" spans="1:9" x14ac:dyDescent="0.25">
      <c r="A804" s="299">
        <v>42954</v>
      </c>
      <c r="B804" s="302" t="s">
        <v>24607</v>
      </c>
      <c r="C804">
        <v>122776</v>
      </c>
      <c r="D804" s="236" t="s">
        <v>19776</v>
      </c>
      <c r="E804" s="301">
        <v>33275.599999999999</v>
      </c>
      <c r="F804" s="303">
        <v>42955</v>
      </c>
      <c r="G804" s="301">
        <v>33275.599999999999</v>
      </c>
      <c r="H804" s="304">
        <f>Tabla13[[#This Row],[Importe]]-Tabla13[[#This Row],[Pagado]]</f>
        <v>0</v>
      </c>
      <c r="I804" s="275" t="s">
        <v>15214</v>
      </c>
    </row>
    <row r="805" spans="1:9" x14ac:dyDescent="0.25">
      <c r="A805" s="299">
        <v>42954</v>
      </c>
      <c r="B805" s="302" t="s">
        <v>24608</v>
      </c>
      <c r="C805">
        <v>122777</v>
      </c>
      <c r="D805" s="236" t="s">
        <v>15278</v>
      </c>
      <c r="E805" s="301">
        <v>6055.62</v>
      </c>
      <c r="F805" s="303">
        <v>42954</v>
      </c>
      <c r="G805" s="301">
        <v>6055.62</v>
      </c>
      <c r="H805" s="304">
        <f>Tabla13[[#This Row],[Importe]]-Tabla13[[#This Row],[Pagado]]</f>
        <v>0</v>
      </c>
      <c r="I805" s="275" t="s">
        <v>15214</v>
      </c>
    </row>
    <row r="806" spans="1:9" x14ac:dyDescent="0.25">
      <c r="A806" s="299">
        <v>42954</v>
      </c>
      <c r="B806" s="302" t="s">
        <v>24609</v>
      </c>
      <c r="C806">
        <v>122778</v>
      </c>
      <c r="D806" s="236" t="s">
        <v>18544</v>
      </c>
      <c r="E806" s="301">
        <v>852.8</v>
      </c>
      <c r="F806" s="303">
        <v>42954</v>
      </c>
      <c r="G806" s="301">
        <v>852.8</v>
      </c>
      <c r="H806" s="304">
        <f>Tabla13[[#This Row],[Importe]]-Tabla13[[#This Row],[Pagado]]</f>
        <v>0</v>
      </c>
      <c r="I806" s="275" t="s">
        <v>15214</v>
      </c>
    </row>
    <row r="807" spans="1:9" x14ac:dyDescent="0.25">
      <c r="A807" s="299">
        <v>42954</v>
      </c>
      <c r="B807" s="302" t="s">
        <v>24610</v>
      </c>
      <c r="C807">
        <v>122779</v>
      </c>
      <c r="D807" s="236" t="s">
        <v>15280</v>
      </c>
      <c r="E807" s="301">
        <v>4621.5</v>
      </c>
      <c r="F807" s="303">
        <v>42954</v>
      </c>
      <c r="G807" s="301">
        <v>4621.5</v>
      </c>
      <c r="H807" s="304">
        <f>Tabla13[[#This Row],[Importe]]-Tabla13[[#This Row],[Pagado]]</f>
        <v>0</v>
      </c>
      <c r="I807" s="275" t="s">
        <v>15214</v>
      </c>
    </row>
    <row r="808" spans="1:9" x14ac:dyDescent="0.25">
      <c r="A808" s="299">
        <v>42954</v>
      </c>
      <c r="B808" s="302" t="s">
        <v>24611</v>
      </c>
      <c r="C808">
        <v>122780</v>
      </c>
      <c r="D808" s="236" t="s">
        <v>15530</v>
      </c>
      <c r="E808" s="301">
        <v>2840.7</v>
      </c>
      <c r="F808" s="303">
        <v>42954</v>
      </c>
      <c r="G808" s="301">
        <v>2840.7</v>
      </c>
      <c r="H808" s="304">
        <f>Tabla13[[#This Row],[Importe]]-Tabla13[[#This Row],[Pagado]]</f>
        <v>0</v>
      </c>
      <c r="I808" s="275" t="s">
        <v>15214</v>
      </c>
    </row>
    <row r="809" spans="1:9" x14ac:dyDescent="0.25">
      <c r="A809" s="299">
        <v>42954</v>
      </c>
      <c r="B809" s="302" t="s">
        <v>24612</v>
      </c>
      <c r="C809">
        <v>122781</v>
      </c>
      <c r="D809" s="236" t="s">
        <v>15380</v>
      </c>
      <c r="E809" s="301">
        <v>45918.55</v>
      </c>
      <c r="F809" s="303">
        <v>42972</v>
      </c>
      <c r="G809" s="301">
        <v>45918.55</v>
      </c>
      <c r="H809" s="304">
        <f>Tabla13[[#This Row],[Importe]]-Tabla13[[#This Row],[Pagado]]</f>
        <v>0</v>
      </c>
      <c r="I809" s="275" t="s">
        <v>15214</v>
      </c>
    </row>
    <row r="810" spans="1:9" x14ac:dyDescent="0.25">
      <c r="A810" s="299">
        <v>42954</v>
      </c>
      <c r="B810" s="302" t="s">
        <v>24613</v>
      </c>
      <c r="C810">
        <v>122782</v>
      </c>
      <c r="D810" s="236" t="s">
        <v>15369</v>
      </c>
      <c r="E810" s="301">
        <v>28586.6</v>
      </c>
      <c r="F810" s="303">
        <v>42965</v>
      </c>
      <c r="G810" s="301">
        <v>28586.6</v>
      </c>
      <c r="H810" s="304">
        <f>Tabla13[[#This Row],[Importe]]-Tabla13[[#This Row],[Pagado]]</f>
        <v>0</v>
      </c>
      <c r="I810" s="275" t="s">
        <v>15214</v>
      </c>
    </row>
    <row r="811" spans="1:9" x14ac:dyDescent="0.25">
      <c r="A811" s="299">
        <v>42954</v>
      </c>
      <c r="B811" s="302" t="s">
        <v>24614</v>
      </c>
      <c r="C811">
        <v>122783</v>
      </c>
      <c r="D811" s="236" t="s">
        <v>15380</v>
      </c>
      <c r="E811" s="301">
        <v>3672</v>
      </c>
      <c r="F811" s="303">
        <v>42972</v>
      </c>
      <c r="G811" s="301">
        <v>3672</v>
      </c>
      <c r="H811" s="304">
        <f>Tabla13[[#This Row],[Importe]]-Tabla13[[#This Row],[Pagado]]</f>
        <v>0</v>
      </c>
      <c r="I811" s="275" t="s">
        <v>15214</v>
      </c>
    </row>
    <row r="812" spans="1:9" x14ac:dyDescent="0.25">
      <c r="A812" s="299">
        <v>42954</v>
      </c>
      <c r="B812" s="302" t="s">
        <v>24615</v>
      </c>
      <c r="C812">
        <v>122784</v>
      </c>
      <c r="D812" s="236" t="s">
        <v>15404</v>
      </c>
      <c r="E812" s="301">
        <v>12949</v>
      </c>
      <c r="F812" s="303">
        <v>42954</v>
      </c>
      <c r="G812" s="301">
        <v>12949</v>
      </c>
      <c r="H812" s="304">
        <f>Tabla13[[#This Row],[Importe]]-Tabla13[[#This Row],[Pagado]]</f>
        <v>0</v>
      </c>
      <c r="I812" s="275" t="s">
        <v>15214</v>
      </c>
    </row>
    <row r="813" spans="1:9" x14ac:dyDescent="0.25">
      <c r="A813" s="299">
        <v>42954</v>
      </c>
      <c r="B813" s="302" t="s">
        <v>24616</v>
      </c>
      <c r="C813">
        <v>122785</v>
      </c>
      <c r="D813" s="236" t="s">
        <v>16261</v>
      </c>
      <c r="E813" s="301">
        <v>8419.9500000000007</v>
      </c>
      <c r="F813" s="303">
        <v>42954</v>
      </c>
      <c r="G813" s="301">
        <v>8419.9500000000007</v>
      </c>
      <c r="H813" s="304">
        <f>Tabla13[[#This Row],[Importe]]-Tabla13[[#This Row],[Pagado]]</f>
        <v>0</v>
      </c>
      <c r="I813" s="275" t="s">
        <v>15214</v>
      </c>
    </row>
    <row r="814" spans="1:9" x14ac:dyDescent="0.25">
      <c r="A814" s="299">
        <v>42954</v>
      </c>
      <c r="B814" s="302" t="s">
        <v>24617</v>
      </c>
      <c r="C814">
        <v>122786</v>
      </c>
      <c r="D814" s="236" t="s">
        <v>15389</v>
      </c>
      <c r="E814" s="301">
        <v>15483</v>
      </c>
      <c r="F814" s="303">
        <v>42965</v>
      </c>
      <c r="G814" s="301">
        <v>15483</v>
      </c>
      <c r="H814" s="304">
        <f>Tabla13[[#This Row],[Importe]]-Tabla13[[#This Row],[Pagado]]</f>
        <v>0</v>
      </c>
      <c r="I814" s="275" t="s">
        <v>15214</v>
      </c>
    </row>
    <row r="815" spans="1:9" x14ac:dyDescent="0.25">
      <c r="A815" s="299">
        <v>42954</v>
      </c>
      <c r="B815" s="302" t="s">
        <v>24618</v>
      </c>
      <c r="C815">
        <v>122787</v>
      </c>
      <c r="D815" s="236" t="s">
        <v>15324</v>
      </c>
      <c r="E815" s="301">
        <v>2890</v>
      </c>
      <c r="F815" s="303">
        <v>42954</v>
      </c>
      <c r="G815" s="301">
        <v>2890</v>
      </c>
      <c r="H815" s="304">
        <f>Tabla13[[#This Row],[Importe]]-Tabla13[[#This Row],[Pagado]]</f>
        <v>0</v>
      </c>
      <c r="I815" s="275" t="s">
        <v>15214</v>
      </c>
    </row>
    <row r="816" spans="1:9" ht="30" x14ac:dyDescent="0.25">
      <c r="A816" s="299">
        <v>42954</v>
      </c>
      <c r="B816" s="302" t="s">
        <v>24619</v>
      </c>
      <c r="C816">
        <v>122788</v>
      </c>
      <c r="D816" s="236" t="s">
        <v>15382</v>
      </c>
      <c r="E816" s="301">
        <v>12574.8</v>
      </c>
      <c r="F816" s="303" t="s">
        <v>24620</v>
      </c>
      <c r="G816" s="305">
        <f>857.6+11717.2</f>
        <v>12574.800000000001</v>
      </c>
      <c r="H816" s="304">
        <f>Tabla13[[#This Row],[Importe]]-Tabla13[[#This Row],[Pagado]]</f>
        <v>0</v>
      </c>
      <c r="I816" s="275" t="s">
        <v>15214</v>
      </c>
    </row>
    <row r="817" spans="1:9" x14ac:dyDescent="0.25">
      <c r="A817" s="299">
        <v>42954</v>
      </c>
      <c r="B817" s="302" t="s">
        <v>24621</v>
      </c>
      <c r="C817">
        <v>122789</v>
      </c>
      <c r="D817" s="236" t="s">
        <v>15223</v>
      </c>
      <c r="E817" s="301">
        <v>51676.4</v>
      </c>
      <c r="F817" s="303">
        <v>42976</v>
      </c>
      <c r="G817" s="301">
        <v>51676.4</v>
      </c>
      <c r="H817" s="304">
        <f>Tabla13[[#This Row],[Importe]]-Tabla13[[#This Row],[Pagado]]</f>
        <v>0</v>
      </c>
      <c r="I817" s="275" t="s">
        <v>15214</v>
      </c>
    </row>
    <row r="818" spans="1:9" x14ac:dyDescent="0.25">
      <c r="A818" s="299">
        <v>42954</v>
      </c>
      <c r="B818" s="302" t="s">
        <v>24622</v>
      </c>
      <c r="C818">
        <v>122790</v>
      </c>
      <c r="D818" s="236" t="s">
        <v>15987</v>
      </c>
      <c r="E818" s="301">
        <v>451.2</v>
      </c>
      <c r="F818" s="303">
        <v>42954</v>
      </c>
      <c r="G818" s="301">
        <v>451.2</v>
      </c>
      <c r="H818" s="304">
        <f>Tabla13[[#This Row],[Importe]]-Tabla13[[#This Row],[Pagado]]</f>
        <v>0</v>
      </c>
      <c r="I818" s="275" t="s">
        <v>15214</v>
      </c>
    </row>
    <row r="819" spans="1:9" x14ac:dyDescent="0.25">
      <c r="A819" s="299">
        <v>42954</v>
      </c>
      <c r="B819" s="302" t="s">
        <v>24623</v>
      </c>
      <c r="C819">
        <v>122791</v>
      </c>
      <c r="D819" s="236" t="s">
        <v>15373</v>
      </c>
      <c r="E819" s="301">
        <v>288</v>
      </c>
      <c r="F819" s="303">
        <v>42955</v>
      </c>
      <c r="G819" s="301">
        <v>288</v>
      </c>
      <c r="H819" s="304">
        <f>Tabla13[[#This Row],[Importe]]-Tabla13[[#This Row],[Pagado]]</f>
        <v>0</v>
      </c>
      <c r="I819" s="275" t="s">
        <v>15214</v>
      </c>
    </row>
    <row r="820" spans="1:9" x14ac:dyDescent="0.25">
      <c r="A820" s="299">
        <v>42954</v>
      </c>
      <c r="B820" s="302" t="s">
        <v>24624</v>
      </c>
      <c r="C820">
        <v>122792</v>
      </c>
      <c r="D820" s="236" t="s">
        <v>15371</v>
      </c>
      <c r="E820" s="301">
        <v>3480.7</v>
      </c>
      <c r="F820" s="303">
        <v>42955</v>
      </c>
      <c r="G820" s="301">
        <v>3480.7</v>
      </c>
      <c r="H820" s="304">
        <f>Tabla13[[#This Row],[Importe]]-Tabla13[[#This Row],[Pagado]]</f>
        <v>0</v>
      </c>
      <c r="I820" s="275" t="s">
        <v>15214</v>
      </c>
    </row>
    <row r="821" spans="1:9" x14ac:dyDescent="0.25">
      <c r="A821" s="299">
        <v>42954</v>
      </c>
      <c r="B821" s="302" t="s">
        <v>24625</v>
      </c>
      <c r="C821">
        <v>122793</v>
      </c>
      <c r="D821" s="236" t="s">
        <v>15322</v>
      </c>
      <c r="E821" s="301">
        <v>745.8</v>
      </c>
      <c r="F821" s="303">
        <v>42954</v>
      </c>
      <c r="G821" s="301">
        <v>745.8</v>
      </c>
      <c r="H821" s="304">
        <f>Tabla13[[#This Row],[Importe]]-Tabla13[[#This Row],[Pagado]]</f>
        <v>0</v>
      </c>
      <c r="I821" s="275" t="s">
        <v>15214</v>
      </c>
    </row>
    <row r="822" spans="1:9" x14ac:dyDescent="0.25">
      <c r="A822" s="299">
        <v>42954</v>
      </c>
      <c r="B822" s="302" t="s">
        <v>24626</v>
      </c>
      <c r="C822">
        <v>122794</v>
      </c>
      <c r="D822" s="236" t="s">
        <v>5880</v>
      </c>
      <c r="E822" s="301">
        <v>55142.400000000001</v>
      </c>
      <c r="F822" s="303">
        <v>42956</v>
      </c>
      <c r="G822" s="301">
        <v>55142.400000000001</v>
      </c>
      <c r="H822" s="304">
        <f>Tabla13[[#This Row],[Importe]]-Tabla13[[#This Row],[Pagado]]</f>
        <v>0</v>
      </c>
      <c r="I822" s="275" t="s">
        <v>15214</v>
      </c>
    </row>
    <row r="823" spans="1:9" x14ac:dyDescent="0.25">
      <c r="A823" s="299">
        <v>42954</v>
      </c>
      <c r="B823" s="302" t="s">
        <v>24627</v>
      </c>
      <c r="C823">
        <v>122795</v>
      </c>
      <c r="D823" s="236" t="s">
        <v>15326</v>
      </c>
      <c r="E823" s="301">
        <v>2453.1999999999998</v>
      </c>
      <c r="F823" s="303">
        <v>42954</v>
      </c>
      <c r="G823" s="301">
        <v>2453.1999999999998</v>
      </c>
      <c r="H823" s="304">
        <f>Tabla13[[#This Row],[Importe]]-Tabla13[[#This Row],[Pagado]]</f>
        <v>0</v>
      </c>
      <c r="I823" s="275" t="s">
        <v>15214</v>
      </c>
    </row>
    <row r="824" spans="1:9" x14ac:dyDescent="0.25">
      <c r="A824" s="299">
        <v>42954</v>
      </c>
      <c r="B824" s="302" t="s">
        <v>24628</v>
      </c>
      <c r="C824">
        <v>122796</v>
      </c>
      <c r="D824" s="236" t="s">
        <v>15246</v>
      </c>
      <c r="E824" s="301">
        <v>5878.8</v>
      </c>
      <c r="F824" s="303">
        <v>42957</v>
      </c>
      <c r="G824" s="301">
        <v>5878.8</v>
      </c>
      <c r="H824" s="304">
        <f>Tabla13[[#This Row],[Importe]]-Tabla13[[#This Row],[Pagado]]</f>
        <v>0</v>
      </c>
      <c r="I824" s="275" t="s">
        <v>15214</v>
      </c>
    </row>
    <row r="825" spans="1:9" x14ac:dyDescent="0.25">
      <c r="A825" s="299">
        <v>42954</v>
      </c>
      <c r="B825" s="302" t="s">
        <v>24629</v>
      </c>
      <c r="C825">
        <v>122797</v>
      </c>
      <c r="D825" s="236" t="s">
        <v>15555</v>
      </c>
      <c r="E825" s="301">
        <v>36173.300000000003</v>
      </c>
      <c r="F825" s="303">
        <v>42964</v>
      </c>
      <c r="G825" s="301">
        <v>36173.300000000003</v>
      </c>
      <c r="H825" s="304">
        <f>Tabla13[[#This Row],[Importe]]-Tabla13[[#This Row],[Pagado]]</f>
        <v>0</v>
      </c>
      <c r="I825" s="275" t="s">
        <v>15214</v>
      </c>
    </row>
    <row r="826" spans="1:9" ht="30" x14ac:dyDescent="0.25">
      <c r="A826" s="299">
        <v>42954</v>
      </c>
      <c r="B826" s="302" t="s">
        <v>24630</v>
      </c>
      <c r="C826">
        <v>122798</v>
      </c>
      <c r="D826" s="236" t="s">
        <v>15537</v>
      </c>
      <c r="E826" s="301">
        <v>16052.2</v>
      </c>
      <c r="F826" s="303" t="s">
        <v>24631</v>
      </c>
      <c r="G826" s="305">
        <f>10500+5552.2</f>
        <v>16052.2</v>
      </c>
      <c r="H826" s="304">
        <f>Tabla13[[#This Row],[Importe]]-Tabla13[[#This Row],[Pagado]]</f>
        <v>0</v>
      </c>
      <c r="I826" s="275" t="s">
        <v>15214</v>
      </c>
    </row>
    <row r="827" spans="1:9" x14ac:dyDescent="0.25">
      <c r="A827" s="299">
        <v>42954</v>
      </c>
      <c r="B827" s="302" t="s">
        <v>24632</v>
      </c>
      <c r="C827">
        <v>122799</v>
      </c>
      <c r="D827" s="236" t="s">
        <v>15539</v>
      </c>
      <c r="E827" s="301">
        <v>16396.650000000001</v>
      </c>
      <c r="F827" s="303">
        <v>42958</v>
      </c>
      <c r="G827" s="301">
        <v>16396.650000000001</v>
      </c>
      <c r="H827" s="304">
        <f>Tabla13[[#This Row],[Importe]]-Tabla13[[#This Row],[Pagado]]</f>
        <v>0</v>
      </c>
      <c r="I827" s="275" t="s">
        <v>15214</v>
      </c>
    </row>
    <row r="828" spans="1:9" x14ac:dyDescent="0.25">
      <c r="A828" s="299">
        <v>42954</v>
      </c>
      <c r="B828" s="302" t="s">
        <v>24633</v>
      </c>
      <c r="C828">
        <v>122800</v>
      </c>
      <c r="D828" s="236" t="s">
        <v>15315</v>
      </c>
      <c r="E828" s="301">
        <v>2709.8</v>
      </c>
      <c r="F828" s="303">
        <v>42964</v>
      </c>
      <c r="G828" s="301">
        <v>2709.8</v>
      </c>
      <c r="H828" s="304">
        <f>Tabla13[[#This Row],[Importe]]-Tabla13[[#This Row],[Pagado]]</f>
        <v>0</v>
      </c>
      <c r="I828" s="275" t="s">
        <v>15214</v>
      </c>
    </row>
    <row r="829" spans="1:9" x14ac:dyDescent="0.25">
      <c r="A829" s="299">
        <v>42954</v>
      </c>
      <c r="B829" s="302" t="s">
        <v>24634</v>
      </c>
      <c r="C829">
        <v>122801</v>
      </c>
      <c r="D829" s="236" t="s">
        <v>15544</v>
      </c>
      <c r="E829" s="301">
        <v>339.2</v>
      </c>
      <c r="F829" s="303">
        <v>42956</v>
      </c>
      <c r="G829" s="301">
        <v>339.2</v>
      </c>
      <c r="H829" s="304">
        <f>Tabla13[[#This Row],[Importe]]-Tabla13[[#This Row],[Pagado]]</f>
        <v>0</v>
      </c>
      <c r="I829" s="275" t="s">
        <v>15214</v>
      </c>
    </row>
    <row r="830" spans="1:9" x14ac:dyDescent="0.25">
      <c r="A830" s="299">
        <v>42954</v>
      </c>
      <c r="B830" s="302" t="s">
        <v>24635</v>
      </c>
      <c r="C830">
        <v>122802</v>
      </c>
      <c r="D830" s="236" t="s">
        <v>15391</v>
      </c>
      <c r="E830" s="301">
        <v>9150.4</v>
      </c>
      <c r="F830" s="303">
        <v>42959</v>
      </c>
      <c r="G830" s="301">
        <v>9150.4</v>
      </c>
      <c r="H830" s="304">
        <f>Tabla13[[#This Row],[Importe]]-Tabla13[[#This Row],[Pagado]]</f>
        <v>0</v>
      </c>
      <c r="I830" s="275" t="s">
        <v>15214</v>
      </c>
    </row>
    <row r="831" spans="1:9" x14ac:dyDescent="0.25">
      <c r="A831" s="299">
        <v>42954</v>
      </c>
      <c r="B831" s="302" t="s">
        <v>24636</v>
      </c>
      <c r="C831">
        <v>122803</v>
      </c>
      <c r="D831" s="236" t="s">
        <v>15387</v>
      </c>
      <c r="E831" s="301">
        <v>1532.88</v>
      </c>
      <c r="F831" s="303">
        <v>42954</v>
      </c>
      <c r="G831" s="301">
        <v>1532.88</v>
      </c>
      <c r="H831" s="304">
        <f>Tabla13[[#This Row],[Importe]]-Tabla13[[#This Row],[Pagado]]</f>
        <v>0</v>
      </c>
      <c r="I831" s="275" t="s">
        <v>15214</v>
      </c>
    </row>
    <row r="832" spans="1:9" x14ac:dyDescent="0.25">
      <c r="A832" s="299">
        <v>42954</v>
      </c>
      <c r="B832" s="302" t="s">
        <v>24637</v>
      </c>
      <c r="C832">
        <v>122804</v>
      </c>
      <c r="D832" s="236" t="s">
        <v>15568</v>
      </c>
      <c r="E832" s="301">
        <v>13817.4</v>
      </c>
      <c r="F832" s="303">
        <v>42958</v>
      </c>
      <c r="G832" s="301">
        <v>13817.4</v>
      </c>
      <c r="H832" s="304">
        <f>Tabla13[[#This Row],[Importe]]-Tabla13[[#This Row],[Pagado]]</f>
        <v>0</v>
      </c>
      <c r="I832" s="275" t="s">
        <v>15214</v>
      </c>
    </row>
    <row r="833" spans="1:9" x14ac:dyDescent="0.25">
      <c r="A833" s="299">
        <v>42954</v>
      </c>
      <c r="B833" s="302" t="s">
        <v>24638</v>
      </c>
      <c r="C833">
        <v>122805</v>
      </c>
      <c r="D833" s="236" t="s">
        <v>15566</v>
      </c>
      <c r="E833" s="301">
        <v>851.2</v>
      </c>
      <c r="F833" s="303">
        <v>42954</v>
      </c>
      <c r="G833" s="301">
        <v>851.2</v>
      </c>
      <c r="H833" s="304">
        <f>Tabla13[[#This Row],[Importe]]-Tabla13[[#This Row],[Pagado]]</f>
        <v>0</v>
      </c>
      <c r="I833" s="275" t="s">
        <v>15214</v>
      </c>
    </row>
    <row r="834" spans="1:9" x14ac:dyDescent="0.25">
      <c r="A834" s="299">
        <v>42954</v>
      </c>
      <c r="B834" s="302" t="s">
        <v>24639</v>
      </c>
      <c r="C834">
        <v>122806</v>
      </c>
      <c r="D834" s="236" t="s">
        <v>15566</v>
      </c>
      <c r="E834" s="301">
        <v>2028.6</v>
      </c>
      <c r="F834" s="303">
        <v>42954</v>
      </c>
      <c r="G834" s="301">
        <v>2028.6</v>
      </c>
      <c r="H834" s="304">
        <f>Tabla13[[#This Row],[Importe]]-Tabla13[[#This Row],[Pagado]]</f>
        <v>0</v>
      </c>
      <c r="I834" s="275" t="s">
        <v>15214</v>
      </c>
    </row>
    <row r="835" spans="1:9" x14ac:dyDescent="0.25">
      <c r="A835" s="299">
        <v>42954</v>
      </c>
      <c r="B835" s="302" t="s">
        <v>24640</v>
      </c>
      <c r="C835">
        <v>122807</v>
      </c>
      <c r="D835" s="236" t="s">
        <v>15242</v>
      </c>
      <c r="E835" s="301">
        <v>9015.5</v>
      </c>
      <c r="F835" s="303">
        <v>42954</v>
      </c>
      <c r="G835" s="301">
        <v>9015.5</v>
      </c>
      <c r="H835" s="304">
        <f>Tabla13[[#This Row],[Importe]]-Tabla13[[#This Row],[Pagado]]</f>
        <v>0</v>
      </c>
      <c r="I835" s="275" t="s">
        <v>15214</v>
      </c>
    </row>
    <row r="836" spans="1:9" x14ac:dyDescent="0.25">
      <c r="A836" s="299">
        <v>42954</v>
      </c>
      <c r="B836" s="302" t="s">
        <v>24641</v>
      </c>
      <c r="C836">
        <v>122808</v>
      </c>
      <c r="D836" s="236" t="s">
        <v>15246</v>
      </c>
      <c r="E836" s="301">
        <v>1470.96</v>
      </c>
      <c r="F836" s="303">
        <v>42957</v>
      </c>
      <c r="G836" s="301">
        <v>1470.96</v>
      </c>
      <c r="H836" s="304">
        <f>Tabla13[[#This Row],[Importe]]-Tabla13[[#This Row],[Pagado]]</f>
        <v>0</v>
      </c>
      <c r="I836" s="275" t="s">
        <v>15214</v>
      </c>
    </row>
    <row r="837" spans="1:9" x14ac:dyDescent="0.25">
      <c r="A837" s="299">
        <v>42954</v>
      </c>
      <c r="B837" s="302" t="s">
        <v>24642</v>
      </c>
      <c r="C837">
        <v>122809</v>
      </c>
      <c r="D837" s="236" t="s">
        <v>15315</v>
      </c>
      <c r="E837" s="301">
        <v>15498.24</v>
      </c>
      <c r="F837" s="303">
        <v>42954</v>
      </c>
      <c r="G837" s="301">
        <v>15498.24</v>
      </c>
      <c r="H837" s="304">
        <f>Tabla13[[#This Row],[Importe]]-Tabla13[[#This Row],[Pagado]]</f>
        <v>0</v>
      </c>
      <c r="I837" s="275" t="s">
        <v>15214</v>
      </c>
    </row>
    <row r="838" spans="1:9" x14ac:dyDescent="0.25">
      <c r="A838" s="299">
        <v>42954</v>
      </c>
      <c r="B838" s="302" t="s">
        <v>24643</v>
      </c>
      <c r="C838">
        <v>122810</v>
      </c>
      <c r="D838" s="236" t="s">
        <v>15276</v>
      </c>
      <c r="E838" s="301">
        <v>1915.9</v>
      </c>
      <c r="F838" s="303">
        <v>42954</v>
      </c>
      <c r="G838" s="301">
        <v>1915.9</v>
      </c>
      <c r="H838" s="304">
        <f>Tabla13[[#This Row],[Importe]]-Tabla13[[#This Row],[Pagado]]</f>
        <v>0</v>
      </c>
      <c r="I838" s="275" t="s">
        <v>15214</v>
      </c>
    </row>
    <row r="839" spans="1:9" x14ac:dyDescent="0.25">
      <c r="A839" s="299">
        <v>42954</v>
      </c>
      <c r="B839" s="302" t="s">
        <v>24644</v>
      </c>
      <c r="C839">
        <v>122811</v>
      </c>
      <c r="D839" s="236" t="s">
        <v>15303</v>
      </c>
      <c r="E839" s="301">
        <v>3136.35</v>
      </c>
      <c r="F839" s="303">
        <v>42954</v>
      </c>
      <c r="G839" s="301">
        <v>3136.35</v>
      </c>
      <c r="H839" s="304">
        <f>Tabla13[[#This Row],[Importe]]-Tabla13[[#This Row],[Pagado]]</f>
        <v>0</v>
      </c>
      <c r="I839" s="275" t="s">
        <v>15214</v>
      </c>
    </row>
    <row r="840" spans="1:9" x14ac:dyDescent="0.25">
      <c r="A840" s="299">
        <v>42954</v>
      </c>
      <c r="B840" s="302" t="s">
        <v>24645</v>
      </c>
      <c r="C840">
        <v>122812</v>
      </c>
      <c r="D840" s="236" t="s">
        <v>15305</v>
      </c>
      <c r="E840" s="301">
        <v>1665.3</v>
      </c>
      <c r="F840" s="303">
        <v>42954</v>
      </c>
      <c r="G840" s="301">
        <v>1665.3</v>
      </c>
      <c r="H840" s="304">
        <f>Tabla13[[#This Row],[Importe]]-Tabla13[[#This Row],[Pagado]]</f>
        <v>0</v>
      </c>
      <c r="I840" s="275" t="s">
        <v>15214</v>
      </c>
    </row>
    <row r="841" spans="1:9" x14ac:dyDescent="0.25">
      <c r="A841" s="299">
        <v>42954</v>
      </c>
      <c r="B841" s="302" t="s">
        <v>24646</v>
      </c>
      <c r="C841">
        <v>122813</v>
      </c>
      <c r="D841" s="236" t="s">
        <v>15309</v>
      </c>
      <c r="E841" s="301">
        <v>6494.75</v>
      </c>
      <c r="F841" s="303">
        <v>42954</v>
      </c>
      <c r="G841" s="301">
        <v>6494.75</v>
      </c>
      <c r="H841" s="304">
        <f>Tabla13[[#This Row],[Importe]]-Tabla13[[#This Row],[Pagado]]</f>
        <v>0</v>
      </c>
      <c r="I841" s="275" t="s">
        <v>15214</v>
      </c>
    </row>
    <row r="842" spans="1:9" ht="30" x14ac:dyDescent="0.25">
      <c r="A842" s="299">
        <v>42954</v>
      </c>
      <c r="B842" s="302" t="s">
        <v>24647</v>
      </c>
      <c r="C842">
        <v>122814</v>
      </c>
      <c r="D842" s="236" t="s">
        <v>15600</v>
      </c>
      <c r="E842" s="301">
        <v>10100.4</v>
      </c>
      <c r="F842" s="303" t="s">
        <v>24180</v>
      </c>
      <c r="G842" s="305">
        <f>4000+6100.4</f>
        <v>10100.4</v>
      </c>
      <c r="H842" s="304">
        <f>Tabla13[[#This Row],[Importe]]-Tabla13[[#This Row],[Pagado]]</f>
        <v>0</v>
      </c>
      <c r="I842" s="275" t="s">
        <v>15214</v>
      </c>
    </row>
    <row r="843" spans="1:9" x14ac:dyDescent="0.25">
      <c r="A843" s="299">
        <v>42954</v>
      </c>
      <c r="B843" s="302" t="s">
        <v>24648</v>
      </c>
      <c r="C843">
        <v>122815</v>
      </c>
      <c r="D843" s="236" t="s">
        <v>15282</v>
      </c>
      <c r="E843" s="301">
        <v>930.6</v>
      </c>
      <c r="F843" s="303">
        <v>42954</v>
      </c>
      <c r="G843" s="301">
        <v>930.6</v>
      </c>
      <c r="H843" s="304">
        <f>Tabla13[[#This Row],[Importe]]-Tabla13[[#This Row],[Pagado]]</f>
        <v>0</v>
      </c>
      <c r="I843" s="275" t="s">
        <v>15214</v>
      </c>
    </row>
    <row r="844" spans="1:9" x14ac:dyDescent="0.25">
      <c r="A844" s="299">
        <v>42954</v>
      </c>
      <c r="B844" s="302" t="s">
        <v>24649</v>
      </c>
      <c r="C844">
        <v>122816</v>
      </c>
      <c r="D844" s="236" t="s">
        <v>15291</v>
      </c>
      <c r="E844" s="301">
        <v>1000</v>
      </c>
      <c r="F844" s="303">
        <v>42954</v>
      </c>
      <c r="G844" s="301">
        <v>1000</v>
      </c>
      <c r="H844" s="304">
        <f>Tabla13[[#This Row],[Importe]]-Tabla13[[#This Row],[Pagado]]</f>
        <v>0</v>
      </c>
      <c r="I844" s="275" t="s">
        <v>15214</v>
      </c>
    </row>
    <row r="845" spans="1:9" x14ac:dyDescent="0.25">
      <c r="A845" s="299">
        <v>42954</v>
      </c>
      <c r="B845" s="302" t="s">
        <v>24650</v>
      </c>
      <c r="C845">
        <v>122817</v>
      </c>
      <c r="D845" s="236" t="s">
        <v>15596</v>
      </c>
      <c r="E845" s="301">
        <v>1250</v>
      </c>
      <c r="F845" s="303">
        <v>42954</v>
      </c>
      <c r="G845" s="301">
        <v>1250</v>
      </c>
      <c r="H845" s="304">
        <f>Tabla13[[#This Row],[Importe]]-Tabla13[[#This Row],[Pagado]]</f>
        <v>0</v>
      </c>
      <c r="I845" s="275" t="s">
        <v>15214</v>
      </c>
    </row>
    <row r="846" spans="1:9" x14ac:dyDescent="0.25">
      <c r="A846" s="299">
        <v>42954</v>
      </c>
      <c r="B846" s="302" t="s">
        <v>24651</v>
      </c>
      <c r="C846">
        <v>122818</v>
      </c>
      <c r="D846" s="236" t="s">
        <v>15665</v>
      </c>
      <c r="E846" s="301">
        <v>454.8</v>
      </c>
      <c r="F846" s="303">
        <v>42954</v>
      </c>
      <c r="G846" s="301">
        <v>454.8</v>
      </c>
      <c r="H846" s="304">
        <f>Tabla13[[#This Row],[Importe]]-Tabla13[[#This Row],[Pagado]]</f>
        <v>0</v>
      </c>
      <c r="I846" s="275" t="s">
        <v>15214</v>
      </c>
    </row>
    <row r="847" spans="1:9" x14ac:dyDescent="0.25">
      <c r="A847" s="299">
        <v>42954</v>
      </c>
      <c r="B847" s="302" t="s">
        <v>24652</v>
      </c>
      <c r="C847">
        <v>122819</v>
      </c>
      <c r="D847" s="236" t="s">
        <v>15748</v>
      </c>
      <c r="E847" s="301">
        <v>1409.8</v>
      </c>
      <c r="F847" s="303">
        <v>42959</v>
      </c>
      <c r="G847" s="301">
        <v>1409.8</v>
      </c>
      <c r="H847" s="304">
        <f>Tabla13[[#This Row],[Importe]]-Tabla13[[#This Row],[Pagado]]</f>
        <v>0</v>
      </c>
      <c r="I847" s="275" t="s">
        <v>15214</v>
      </c>
    </row>
    <row r="848" spans="1:9" x14ac:dyDescent="0.25">
      <c r="A848" s="299">
        <v>42954</v>
      </c>
      <c r="B848" s="302" t="s">
        <v>24653</v>
      </c>
      <c r="C848">
        <v>122820</v>
      </c>
      <c r="D848" s="236" t="s">
        <v>15398</v>
      </c>
      <c r="E848" s="301">
        <v>8814.6</v>
      </c>
      <c r="F848" s="303">
        <v>42965</v>
      </c>
      <c r="G848" s="301">
        <v>8814.6</v>
      </c>
      <c r="H848" s="304">
        <f>Tabla13[[#This Row],[Importe]]-Tabla13[[#This Row],[Pagado]]</f>
        <v>0</v>
      </c>
      <c r="I848" s="275" t="s">
        <v>15214</v>
      </c>
    </row>
    <row r="849" spans="1:9" x14ac:dyDescent="0.25">
      <c r="A849" s="299">
        <v>42954</v>
      </c>
      <c r="B849" s="302" t="s">
        <v>24654</v>
      </c>
      <c r="C849">
        <v>122821</v>
      </c>
      <c r="D849" s="236" t="s">
        <v>15305</v>
      </c>
      <c r="E849" s="301">
        <v>1107.8</v>
      </c>
      <c r="F849" s="303">
        <v>42954</v>
      </c>
      <c r="G849" s="301">
        <v>1107.8</v>
      </c>
      <c r="H849" s="304">
        <f>Tabla13[[#This Row],[Importe]]-Tabla13[[#This Row],[Pagado]]</f>
        <v>0</v>
      </c>
      <c r="I849" s="275" t="s">
        <v>15214</v>
      </c>
    </row>
    <row r="850" spans="1:9" x14ac:dyDescent="0.25">
      <c r="A850" s="299">
        <v>42954</v>
      </c>
      <c r="B850" s="302" t="s">
        <v>24655</v>
      </c>
      <c r="C850">
        <v>122822</v>
      </c>
      <c r="D850" s="236" t="s">
        <v>15583</v>
      </c>
      <c r="E850" s="301">
        <v>1357.2</v>
      </c>
      <c r="F850" s="303">
        <v>42961</v>
      </c>
      <c r="G850" s="301">
        <v>1357.2</v>
      </c>
      <c r="H850" s="304">
        <f>Tabla13[[#This Row],[Importe]]-Tabla13[[#This Row],[Pagado]]</f>
        <v>0</v>
      </c>
      <c r="I850" s="275" t="s">
        <v>15214</v>
      </c>
    </row>
    <row r="851" spans="1:9" x14ac:dyDescent="0.25">
      <c r="A851" s="299">
        <v>42954</v>
      </c>
      <c r="B851" s="302" t="s">
        <v>24656</v>
      </c>
      <c r="C851">
        <v>122823</v>
      </c>
      <c r="D851" s="236" t="s">
        <v>15301</v>
      </c>
      <c r="E851" s="301">
        <v>3126.3</v>
      </c>
      <c r="F851" s="303">
        <v>42954</v>
      </c>
      <c r="G851" s="301">
        <v>3126.3</v>
      </c>
      <c r="H851" s="304">
        <f>Tabla13[[#This Row],[Importe]]-Tabla13[[#This Row],[Pagado]]</f>
        <v>0</v>
      </c>
      <c r="I851" s="275" t="s">
        <v>15214</v>
      </c>
    </row>
    <row r="852" spans="1:9" x14ac:dyDescent="0.25">
      <c r="A852" s="299">
        <v>42954</v>
      </c>
      <c r="B852" s="302" t="s">
        <v>24657</v>
      </c>
      <c r="C852">
        <v>122824</v>
      </c>
      <c r="D852" s="236" t="s">
        <v>15317</v>
      </c>
      <c r="E852" s="301">
        <v>611.79999999999995</v>
      </c>
      <c r="F852" s="303">
        <v>42955</v>
      </c>
      <c r="G852" s="301">
        <v>611.79999999999995</v>
      </c>
      <c r="H852" s="304">
        <f>Tabla13[[#This Row],[Importe]]-Tabla13[[#This Row],[Pagado]]</f>
        <v>0</v>
      </c>
      <c r="I852" s="275" t="s">
        <v>15214</v>
      </c>
    </row>
    <row r="853" spans="1:9" x14ac:dyDescent="0.25">
      <c r="A853" s="299">
        <v>42954</v>
      </c>
      <c r="B853" s="302" t="s">
        <v>24658</v>
      </c>
      <c r="C853">
        <v>122825</v>
      </c>
      <c r="D853" s="236" t="s">
        <v>15315</v>
      </c>
      <c r="E853" s="301">
        <v>27007.9</v>
      </c>
      <c r="F853" s="303">
        <v>42954</v>
      </c>
      <c r="G853" s="301">
        <v>27007.9</v>
      </c>
      <c r="H853" s="304">
        <f>Tabla13[[#This Row],[Importe]]-Tabla13[[#This Row],[Pagado]]</f>
        <v>0</v>
      </c>
      <c r="I853" s="275" t="s">
        <v>15214</v>
      </c>
    </row>
    <row r="854" spans="1:9" x14ac:dyDescent="0.25">
      <c r="A854" s="299">
        <v>42954</v>
      </c>
      <c r="B854" s="302" t="s">
        <v>24659</v>
      </c>
      <c r="C854">
        <v>122826</v>
      </c>
      <c r="D854" s="236" t="s">
        <v>19768</v>
      </c>
      <c r="E854" s="301">
        <v>1500</v>
      </c>
      <c r="F854" s="303">
        <v>42954</v>
      </c>
      <c r="G854" s="301">
        <v>1500</v>
      </c>
      <c r="H854" s="304">
        <f>Tabla13[[#This Row],[Importe]]-Tabla13[[#This Row],[Pagado]]</f>
        <v>0</v>
      </c>
      <c r="I854" s="275" t="s">
        <v>15214</v>
      </c>
    </row>
    <row r="855" spans="1:9" x14ac:dyDescent="0.25">
      <c r="A855" s="299">
        <v>42954</v>
      </c>
      <c r="B855" s="302" t="s">
        <v>24660</v>
      </c>
      <c r="C855">
        <v>122827</v>
      </c>
      <c r="D855" s="236" t="s">
        <v>15226</v>
      </c>
      <c r="E855" s="301">
        <v>1155</v>
      </c>
      <c r="F855" s="303">
        <v>42961</v>
      </c>
      <c r="G855" s="301">
        <v>1155</v>
      </c>
      <c r="H855" s="304">
        <f>Tabla13[[#This Row],[Importe]]-Tabla13[[#This Row],[Pagado]]</f>
        <v>0</v>
      </c>
      <c r="I855" s="275" t="s">
        <v>15214</v>
      </c>
    </row>
    <row r="856" spans="1:9" x14ac:dyDescent="0.25">
      <c r="A856" s="299">
        <v>42954</v>
      </c>
      <c r="B856" s="302" t="s">
        <v>24661</v>
      </c>
      <c r="C856">
        <v>122828</v>
      </c>
      <c r="D856" s="236" t="s">
        <v>15442</v>
      </c>
      <c r="E856" s="301">
        <v>11477.4</v>
      </c>
      <c r="F856" s="303">
        <v>42968</v>
      </c>
      <c r="G856" s="301">
        <v>11477.4</v>
      </c>
      <c r="H856" s="304">
        <f>Tabla13[[#This Row],[Importe]]-Tabla13[[#This Row],[Pagado]]</f>
        <v>0</v>
      </c>
      <c r="I856" s="275" t="s">
        <v>15214</v>
      </c>
    </row>
    <row r="857" spans="1:9" x14ac:dyDescent="0.25">
      <c r="A857" s="299">
        <v>42954</v>
      </c>
      <c r="B857" s="302" t="s">
        <v>24662</v>
      </c>
      <c r="C857">
        <v>122829</v>
      </c>
      <c r="D857" s="236" t="s">
        <v>15315</v>
      </c>
      <c r="E857" s="301">
        <v>8925</v>
      </c>
      <c r="F857" s="303">
        <v>42954</v>
      </c>
      <c r="G857" s="301">
        <v>8925</v>
      </c>
      <c r="H857" s="304">
        <f>Tabla13[[#This Row],[Importe]]-Tabla13[[#This Row],[Pagado]]</f>
        <v>0</v>
      </c>
      <c r="I857" s="275" t="s">
        <v>15214</v>
      </c>
    </row>
    <row r="858" spans="1:9" x14ac:dyDescent="0.25">
      <c r="A858" s="299">
        <v>42954</v>
      </c>
      <c r="B858" s="302" t="s">
        <v>24663</v>
      </c>
      <c r="C858">
        <v>122830</v>
      </c>
      <c r="D858" s="236" t="s">
        <v>15396</v>
      </c>
      <c r="E858" s="301">
        <v>6551.2</v>
      </c>
      <c r="F858" s="303">
        <v>42954</v>
      </c>
      <c r="G858" s="301">
        <v>6551.2</v>
      </c>
      <c r="H858" s="304">
        <f>Tabla13[[#This Row],[Importe]]-Tabla13[[#This Row],[Pagado]]</f>
        <v>0</v>
      </c>
      <c r="I858" s="275" t="s">
        <v>15214</v>
      </c>
    </row>
    <row r="859" spans="1:9" x14ac:dyDescent="0.25">
      <c r="A859" s="299">
        <v>42954</v>
      </c>
      <c r="B859" s="302" t="s">
        <v>24664</v>
      </c>
      <c r="C859">
        <v>122831</v>
      </c>
      <c r="D859" s="236" t="s">
        <v>15298</v>
      </c>
      <c r="E859" s="301">
        <v>21183.25</v>
      </c>
      <c r="F859" s="303">
        <v>42961</v>
      </c>
      <c r="G859" s="301">
        <v>21183.25</v>
      </c>
      <c r="H859" s="304">
        <f>Tabla13[[#This Row],[Importe]]-Tabla13[[#This Row],[Pagado]]</f>
        <v>0</v>
      </c>
      <c r="I859" s="275" t="s">
        <v>15214</v>
      </c>
    </row>
    <row r="860" spans="1:9" x14ac:dyDescent="0.25">
      <c r="A860" s="299">
        <v>42954</v>
      </c>
      <c r="B860" s="302" t="s">
        <v>24665</v>
      </c>
      <c r="C860">
        <v>122832</v>
      </c>
      <c r="D860" s="236" t="s">
        <v>5883</v>
      </c>
      <c r="E860" s="301">
        <v>8147.2</v>
      </c>
      <c r="F860" s="303">
        <v>42977</v>
      </c>
      <c r="G860" s="301">
        <v>8147.2</v>
      </c>
      <c r="H860" s="304">
        <f>Tabla13[[#This Row],[Importe]]-Tabla13[[#This Row],[Pagado]]</f>
        <v>0</v>
      </c>
      <c r="I860" s="275" t="s">
        <v>15214</v>
      </c>
    </row>
    <row r="861" spans="1:9" ht="45" x14ac:dyDescent="0.25">
      <c r="A861" s="299">
        <v>42954</v>
      </c>
      <c r="B861" s="302" t="s">
        <v>24666</v>
      </c>
      <c r="C861">
        <v>122833</v>
      </c>
      <c r="D861" s="236" t="s">
        <v>15628</v>
      </c>
      <c r="E861" s="301">
        <v>17022.2</v>
      </c>
      <c r="F861" s="303" t="s">
        <v>24667</v>
      </c>
      <c r="G861" s="305">
        <f>2500+900+2500+11122.2</f>
        <v>17022.2</v>
      </c>
      <c r="H861" s="304">
        <f>Tabla13[[#This Row],[Importe]]-Tabla13[[#This Row],[Pagado]]</f>
        <v>0</v>
      </c>
      <c r="I861" s="275" t="s">
        <v>15214</v>
      </c>
    </row>
    <row r="862" spans="1:9" x14ac:dyDescent="0.25">
      <c r="A862" s="299">
        <v>42954</v>
      </c>
      <c r="B862" s="302" t="s">
        <v>24668</v>
      </c>
      <c r="C862">
        <v>122834</v>
      </c>
      <c r="D862" s="236" t="s">
        <v>15728</v>
      </c>
      <c r="E862" s="301">
        <v>21668.400000000001</v>
      </c>
      <c r="F862" s="303">
        <v>42954</v>
      </c>
      <c r="G862" s="301">
        <v>21668.400000000001</v>
      </c>
      <c r="H862" s="304">
        <f>Tabla13[[#This Row],[Importe]]-Tabla13[[#This Row],[Pagado]]</f>
        <v>0</v>
      </c>
      <c r="I862" s="275" t="s">
        <v>15214</v>
      </c>
    </row>
    <row r="863" spans="1:9" x14ac:dyDescent="0.25">
      <c r="A863" s="299">
        <v>42954</v>
      </c>
      <c r="B863" s="302" t="s">
        <v>24669</v>
      </c>
      <c r="C863">
        <v>122835</v>
      </c>
      <c r="D863" s="236" t="s">
        <v>15378</v>
      </c>
      <c r="E863" s="301">
        <v>10375.4</v>
      </c>
      <c r="F863" s="303">
        <v>42961</v>
      </c>
      <c r="G863" s="301">
        <v>10375.4</v>
      </c>
      <c r="H863" s="304">
        <f>Tabla13[[#This Row],[Importe]]-Tabla13[[#This Row],[Pagado]]</f>
        <v>0</v>
      </c>
      <c r="I863" s="275" t="s">
        <v>15214</v>
      </c>
    </row>
    <row r="864" spans="1:9" x14ac:dyDescent="0.25">
      <c r="A864" s="299">
        <v>42954</v>
      </c>
      <c r="B864" s="302" t="s">
        <v>24670</v>
      </c>
      <c r="C864">
        <v>122836</v>
      </c>
      <c r="D864" s="236" t="s">
        <v>15250</v>
      </c>
      <c r="E864" s="301">
        <v>450</v>
      </c>
      <c r="F864" s="303">
        <v>42961</v>
      </c>
      <c r="G864" s="301">
        <v>450</v>
      </c>
      <c r="H864" s="304">
        <f>Tabla13[[#This Row],[Importe]]-Tabla13[[#This Row],[Pagado]]</f>
        <v>0</v>
      </c>
      <c r="I864" s="275" t="s">
        <v>15214</v>
      </c>
    </row>
    <row r="865" spans="1:9" x14ac:dyDescent="0.25">
      <c r="A865" s="299">
        <v>42954</v>
      </c>
      <c r="B865" s="302" t="s">
        <v>24671</v>
      </c>
      <c r="C865">
        <v>122837</v>
      </c>
      <c r="D865" s="236" t="s">
        <v>15444</v>
      </c>
      <c r="E865" s="301">
        <v>2530.6</v>
      </c>
      <c r="F865" s="303">
        <v>42955</v>
      </c>
      <c r="G865" s="301">
        <v>2530.6</v>
      </c>
      <c r="H865" s="304">
        <f>Tabla13[[#This Row],[Importe]]-Tabla13[[#This Row],[Pagado]]</f>
        <v>0</v>
      </c>
      <c r="I865" s="275" t="s">
        <v>15214</v>
      </c>
    </row>
    <row r="866" spans="1:9" x14ac:dyDescent="0.25">
      <c r="A866" s="299">
        <v>42954</v>
      </c>
      <c r="B866" s="302" t="s">
        <v>24672</v>
      </c>
      <c r="C866">
        <v>122838</v>
      </c>
      <c r="D866" s="236" t="s">
        <v>15480</v>
      </c>
      <c r="E866" s="301">
        <v>1329.4</v>
      </c>
      <c r="F866" s="303">
        <v>42955</v>
      </c>
      <c r="G866" s="301">
        <v>1329.4</v>
      </c>
      <c r="H866" s="304">
        <f>Tabla13[[#This Row],[Importe]]-Tabla13[[#This Row],[Pagado]]</f>
        <v>0</v>
      </c>
      <c r="I866" s="275" t="s">
        <v>15214</v>
      </c>
    </row>
    <row r="867" spans="1:9" x14ac:dyDescent="0.25">
      <c r="A867" s="299">
        <v>42954</v>
      </c>
      <c r="B867" s="302" t="s">
        <v>24673</v>
      </c>
      <c r="C867">
        <v>122839</v>
      </c>
      <c r="D867" s="236" t="s">
        <v>15284</v>
      </c>
      <c r="E867" s="301">
        <v>873.6</v>
      </c>
      <c r="F867" s="303">
        <v>42954</v>
      </c>
      <c r="G867" s="301">
        <v>873.6</v>
      </c>
      <c r="H867" s="304">
        <f>Tabla13[[#This Row],[Importe]]-Tabla13[[#This Row],[Pagado]]</f>
        <v>0</v>
      </c>
      <c r="I867" s="275" t="s">
        <v>15214</v>
      </c>
    </row>
    <row r="868" spans="1:9" x14ac:dyDescent="0.25">
      <c r="A868" s="299">
        <v>42954</v>
      </c>
      <c r="B868" s="302" t="s">
        <v>24674</v>
      </c>
      <c r="C868">
        <v>122840</v>
      </c>
      <c r="D868" s="236" t="s">
        <v>15246</v>
      </c>
      <c r="E868" s="301">
        <v>344079.9</v>
      </c>
      <c r="F868" s="303">
        <v>42957</v>
      </c>
      <c r="G868" s="301">
        <v>344079.9</v>
      </c>
      <c r="H868" s="304">
        <f>Tabla13[[#This Row],[Importe]]-Tabla13[[#This Row],[Pagado]]</f>
        <v>0</v>
      </c>
      <c r="I868" s="275" t="s">
        <v>15214</v>
      </c>
    </row>
    <row r="869" spans="1:9" x14ac:dyDescent="0.25">
      <c r="A869" s="299">
        <v>42954</v>
      </c>
      <c r="B869" s="302" t="s">
        <v>24675</v>
      </c>
      <c r="C869">
        <v>122841</v>
      </c>
      <c r="D869" s="236" t="s">
        <v>15433</v>
      </c>
      <c r="E869" s="301">
        <v>1214.5999999999999</v>
      </c>
      <c r="F869" s="303">
        <v>42954</v>
      </c>
      <c r="G869" s="301">
        <v>1214.5999999999999</v>
      </c>
      <c r="H869" s="304">
        <f>Tabla13[[#This Row],[Importe]]-Tabla13[[#This Row],[Pagado]]</f>
        <v>0</v>
      </c>
      <c r="I869" s="275" t="s">
        <v>15214</v>
      </c>
    </row>
    <row r="870" spans="1:9" x14ac:dyDescent="0.25">
      <c r="A870" s="299">
        <v>42954</v>
      </c>
      <c r="B870" s="302" t="s">
        <v>24676</v>
      </c>
      <c r="C870">
        <v>122842</v>
      </c>
      <c r="D870" s="236" t="s">
        <v>15423</v>
      </c>
      <c r="E870" s="301">
        <v>5882.2</v>
      </c>
      <c r="F870" s="303">
        <v>42954</v>
      </c>
      <c r="G870" s="301">
        <v>5882.2</v>
      </c>
      <c r="H870" s="304">
        <f>Tabla13[[#This Row],[Importe]]-Tabla13[[#This Row],[Pagado]]</f>
        <v>0</v>
      </c>
      <c r="I870" s="275" t="s">
        <v>15214</v>
      </c>
    </row>
    <row r="871" spans="1:9" x14ac:dyDescent="0.25">
      <c r="A871" s="299">
        <v>42954</v>
      </c>
      <c r="B871" s="302" t="s">
        <v>24677</v>
      </c>
      <c r="C871">
        <v>122843</v>
      </c>
      <c r="D871" s="236" t="s">
        <v>15365</v>
      </c>
      <c r="E871" s="301">
        <v>130248</v>
      </c>
      <c r="F871" s="303">
        <v>42960</v>
      </c>
      <c r="G871" s="301">
        <v>130248</v>
      </c>
      <c r="H871" s="304">
        <f>Tabla13[[#This Row],[Importe]]-Tabla13[[#This Row],[Pagado]]</f>
        <v>0</v>
      </c>
      <c r="I871" s="275" t="s">
        <v>15214</v>
      </c>
    </row>
    <row r="872" spans="1:9" x14ac:dyDescent="0.25">
      <c r="A872" s="299">
        <v>42954</v>
      </c>
      <c r="B872" s="302" t="s">
        <v>24678</v>
      </c>
      <c r="C872">
        <v>122844</v>
      </c>
      <c r="D872" s="236" t="s">
        <v>15246</v>
      </c>
      <c r="E872" s="301">
        <v>100698.85</v>
      </c>
      <c r="F872" s="303">
        <v>42957</v>
      </c>
      <c r="G872" s="301">
        <v>100698.85</v>
      </c>
      <c r="H872" s="304">
        <f>Tabla13[[#This Row],[Importe]]-Tabla13[[#This Row],[Pagado]]</f>
        <v>0</v>
      </c>
      <c r="I872" s="275" t="s">
        <v>15214</v>
      </c>
    </row>
    <row r="873" spans="1:9" x14ac:dyDescent="0.25">
      <c r="A873" s="299">
        <v>42954</v>
      </c>
      <c r="B873" s="302" t="s">
        <v>24679</v>
      </c>
      <c r="C873">
        <v>122845</v>
      </c>
      <c r="D873" s="236" t="s">
        <v>15246</v>
      </c>
      <c r="E873" s="301">
        <v>8532.2999999999993</v>
      </c>
      <c r="F873" s="303">
        <v>42957</v>
      </c>
      <c r="G873" s="301">
        <v>8532.2999999999993</v>
      </c>
      <c r="H873" s="304">
        <f>Tabla13[[#This Row],[Importe]]-Tabla13[[#This Row],[Pagado]]</f>
        <v>0</v>
      </c>
      <c r="I873" s="275" t="s">
        <v>15214</v>
      </c>
    </row>
    <row r="874" spans="1:9" x14ac:dyDescent="0.25">
      <c r="A874" s="299">
        <v>42954</v>
      </c>
      <c r="B874" s="302" t="s">
        <v>24680</v>
      </c>
      <c r="C874">
        <v>122846</v>
      </c>
      <c r="D874" s="236" t="s">
        <v>15315</v>
      </c>
      <c r="E874" s="301">
        <v>126</v>
      </c>
      <c r="F874" s="303">
        <v>42954</v>
      </c>
      <c r="G874" s="301">
        <v>126</v>
      </c>
      <c r="H874" s="304">
        <f>Tabla13[[#This Row],[Importe]]-Tabla13[[#This Row],[Pagado]]</f>
        <v>0</v>
      </c>
      <c r="I874" s="275" t="s">
        <v>15214</v>
      </c>
    </row>
    <row r="875" spans="1:9" x14ac:dyDescent="0.25">
      <c r="A875" s="299">
        <v>42954</v>
      </c>
      <c r="B875" s="302" t="s">
        <v>24681</v>
      </c>
      <c r="C875">
        <v>122847</v>
      </c>
      <c r="D875" s="236" t="s">
        <v>15644</v>
      </c>
      <c r="E875" s="301">
        <v>3728.4</v>
      </c>
      <c r="F875" s="303">
        <v>42956</v>
      </c>
      <c r="G875" s="301">
        <v>3728.4</v>
      </c>
      <c r="H875" s="304">
        <f>Tabla13[[#This Row],[Importe]]-Tabla13[[#This Row],[Pagado]]</f>
        <v>0</v>
      </c>
      <c r="I875" s="275" t="s">
        <v>15214</v>
      </c>
    </row>
    <row r="876" spans="1:9" x14ac:dyDescent="0.25">
      <c r="A876" s="299">
        <v>42954</v>
      </c>
      <c r="B876" s="302" t="s">
        <v>24682</v>
      </c>
      <c r="C876">
        <v>122848</v>
      </c>
      <c r="D876" s="236" t="s">
        <v>15553</v>
      </c>
      <c r="E876" s="301">
        <v>6297.5</v>
      </c>
      <c r="F876" s="303">
        <v>42956</v>
      </c>
      <c r="G876" s="301">
        <v>6297.5</v>
      </c>
      <c r="H876" s="304">
        <f>Tabla13[[#This Row],[Importe]]-Tabla13[[#This Row],[Pagado]]</f>
        <v>0</v>
      </c>
      <c r="I876" s="275" t="s">
        <v>15214</v>
      </c>
    </row>
    <row r="877" spans="1:9" x14ac:dyDescent="0.25">
      <c r="A877" s="299">
        <v>42954</v>
      </c>
      <c r="B877" s="302" t="s">
        <v>24683</v>
      </c>
      <c r="C877">
        <v>122849</v>
      </c>
      <c r="D877" s="236" t="s">
        <v>15890</v>
      </c>
      <c r="E877" s="301">
        <v>2578.8000000000002</v>
      </c>
      <c r="F877" s="303">
        <v>42962</v>
      </c>
      <c r="G877" s="301">
        <v>2578.8000000000002</v>
      </c>
      <c r="H877" s="304">
        <f>Tabla13[[#This Row],[Importe]]-Tabla13[[#This Row],[Pagado]]</f>
        <v>0</v>
      </c>
      <c r="I877" s="275" t="s">
        <v>15214</v>
      </c>
    </row>
    <row r="878" spans="1:9" x14ac:dyDescent="0.25">
      <c r="A878" s="299">
        <v>42954</v>
      </c>
      <c r="B878" s="302" t="s">
        <v>24684</v>
      </c>
      <c r="C878">
        <v>122850</v>
      </c>
      <c r="D878" s="236" t="s">
        <v>15435</v>
      </c>
      <c r="E878" s="301">
        <v>8254.7999999999993</v>
      </c>
      <c r="F878" s="303">
        <v>42954</v>
      </c>
      <c r="G878" s="301">
        <v>8254.7999999999993</v>
      </c>
      <c r="H878" s="304">
        <f>Tabla13[[#This Row],[Importe]]-Tabla13[[#This Row],[Pagado]]</f>
        <v>0</v>
      </c>
      <c r="I878" s="275" t="s">
        <v>15214</v>
      </c>
    </row>
    <row r="879" spans="1:9" x14ac:dyDescent="0.25">
      <c r="A879" s="299">
        <v>42954</v>
      </c>
      <c r="B879" s="302" t="s">
        <v>24685</v>
      </c>
      <c r="C879">
        <v>122851</v>
      </c>
      <c r="D879" s="236" t="s">
        <v>15818</v>
      </c>
      <c r="E879" s="301">
        <v>9442.7999999999993</v>
      </c>
      <c r="F879" s="303">
        <v>42954</v>
      </c>
      <c r="G879" s="301">
        <v>9442.7999999999993</v>
      </c>
      <c r="H879" s="304">
        <f>Tabla13[[#This Row],[Importe]]-Tabla13[[#This Row],[Pagado]]</f>
        <v>0</v>
      </c>
      <c r="I879" s="275" t="s">
        <v>15214</v>
      </c>
    </row>
    <row r="880" spans="1:9" x14ac:dyDescent="0.25">
      <c r="A880" s="299">
        <v>42955</v>
      </c>
      <c r="B880" s="302" t="s">
        <v>24686</v>
      </c>
      <c r="C880">
        <v>122852</v>
      </c>
      <c r="D880" s="236" t="s">
        <v>21386</v>
      </c>
      <c r="E880" s="301">
        <v>7266.25</v>
      </c>
      <c r="F880" s="303">
        <v>42956</v>
      </c>
      <c r="G880" s="301">
        <v>7266.25</v>
      </c>
      <c r="H880" s="304">
        <f>Tabla13[[#This Row],[Importe]]-Tabla13[[#This Row],[Pagado]]</f>
        <v>0</v>
      </c>
      <c r="I880" s="275" t="s">
        <v>15214</v>
      </c>
    </row>
    <row r="881" spans="1:9" ht="30" x14ac:dyDescent="0.25">
      <c r="A881" s="299">
        <v>42955</v>
      </c>
      <c r="B881" s="302" t="s">
        <v>24687</v>
      </c>
      <c r="C881">
        <v>122853</v>
      </c>
      <c r="D881" s="236" t="s">
        <v>15213</v>
      </c>
      <c r="E881" s="301">
        <v>36420.400000000001</v>
      </c>
      <c r="F881" s="303" t="s">
        <v>24588</v>
      </c>
      <c r="G881" s="305">
        <f>25000+11420.4</f>
        <v>36420.400000000001</v>
      </c>
      <c r="H881" s="304">
        <f>Tabla13[[#This Row],[Importe]]-Tabla13[[#This Row],[Pagado]]</f>
        <v>0</v>
      </c>
      <c r="I881" s="275" t="s">
        <v>15214</v>
      </c>
    </row>
    <row r="882" spans="1:9" x14ac:dyDescent="0.25">
      <c r="A882" s="299">
        <v>42955</v>
      </c>
      <c r="B882" s="302" t="s">
        <v>24688</v>
      </c>
      <c r="C882">
        <v>122854</v>
      </c>
      <c r="D882" s="236" t="s">
        <v>15232</v>
      </c>
      <c r="E882" s="301">
        <v>8704</v>
      </c>
      <c r="F882" s="303">
        <v>42957</v>
      </c>
      <c r="G882" s="301">
        <v>8704</v>
      </c>
      <c r="H882" s="304">
        <f>Tabla13[[#This Row],[Importe]]-Tabla13[[#This Row],[Pagado]]</f>
        <v>0</v>
      </c>
      <c r="I882" s="275" t="s">
        <v>15214</v>
      </c>
    </row>
    <row r="883" spans="1:9" x14ac:dyDescent="0.25">
      <c r="A883" s="299">
        <v>42955</v>
      </c>
      <c r="B883" s="302" t="s">
        <v>24689</v>
      </c>
      <c r="C883">
        <v>122855</v>
      </c>
      <c r="D883" s="236" t="s">
        <v>15232</v>
      </c>
      <c r="E883" s="301">
        <v>6655.5</v>
      </c>
      <c r="F883" s="303">
        <v>42964</v>
      </c>
      <c r="G883" s="301">
        <v>6655.5</v>
      </c>
      <c r="H883" s="304">
        <f>Tabla13[[#This Row],[Importe]]-Tabla13[[#This Row],[Pagado]]</f>
        <v>0</v>
      </c>
      <c r="I883" s="275" t="s">
        <v>15214</v>
      </c>
    </row>
    <row r="884" spans="1:9" x14ac:dyDescent="0.25">
      <c r="A884" s="299">
        <v>42955</v>
      </c>
      <c r="B884" s="302" t="s">
        <v>24690</v>
      </c>
      <c r="C884">
        <v>122856</v>
      </c>
      <c r="D884" s="236" t="s">
        <v>19754</v>
      </c>
      <c r="E884" s="301">
        <v>27738</v>
      </c>
      <c r="F884" s="303">
        <v>42955</v>
      </c>
      <c r="G884" s="301">
        <v>27738</v>
      </c>
      <c r="H884" s="304">
        <f>Tabla13[[#This Row],[Importe]]-Tabla13[[#This Row],[Pagado]]</f>
        <v>0</v>
      </c>
      <c r="I884" s="275" t="s">
        <v>15214</v>
      </c>
    </row>
    <row r="885" spans="1:9" x14ac:dyDescent="0.25">
      <c r="A885" s="299">
        <v>42955</v>
      </c>
      <c r="B885" s="302" t="s">
        <v>24691</v>
      </c>
      <c r="C885">
        <v>122857</v>
      </c>
      <c r="D885" s="236" t="s">
        <v>15220</v>
      </c>
      <c r="E885" s="301">
        <v>2750</v>
      </c>
      <c r="F885" s="303">
        <v>42955</v>
      </c>
      <c r="G885" s="301">
        <v>2750</v>
      </c>
      <c r="H885" s="304">
        <f>Tabla13[[#This Row],[Importe]]-Tabla13[[#This Row],[Pagado]]</f>
        <v>0</v>
      </c>
      <c r="I885" s="275" t="s">
        <v>15214</v>
      </c>
    </row>
    <row r="886" spans="1:9" x14ac:dyDescent="0.25">
      <c r="A886" s="299">
        <v>42955</v>
      </c>
      <c r="B886" s="302" t="s">
        <v>24692</v>
      </c>
      <c r="C886">
        <v>122858</v>
      </c>
      <c r="D886" s="236" t="s">
        <v>19302</v>
      </c>
      <c r="E886" s="301">
        <v>1250</v>
      </c>
      <c r="F886" s="303">
        <v>42955</v>
      </c>
      <c r="G886" s="301">
        <v>1250</v>
      </c>
      <c r="H886" s="304">
        <f>Tabla13[[#This Row],[Importe]]-Tabla13[[#This Row],[Pagado]]</f>
        <v>0</v>
      </c>
      <c r="I886" s="275" t="s">
        <v>15214</v>
      </c>
    </row>
    <row r="887" spans="1:9" ht="30" x14ac:dyDescent="0.25">
      <c r="A887" s="299">
        <v>42955</v>
      </c>
      <c r="B887" s="302" t="s">
        <v>24693</v>
      </c>
      <c r="C887">
        <v>122859</v>
      </c>
      <c r="D887" s="236" t="s">
        <v>15258</v>
      </c>
      <c r="E887" s="301">
        <v>14018.7</v>
      </c>
      <c r="F887" s="303" t="s">
        <v>24694</v>
      </c>
      <c r="G887" s="305">
        <f>3000+11018.7</f>
        <v>14018.7</v>
      </c>
      <c r="H887" s="304">
        <f>Tabla13[[#This Row],[Importe]]-Tabla13[[#This Row],[Pagado]]</f>
        <v>0</v>
      </c>
      <c r="I887" s="275" t="s">
        <v>15214</v>
      </c>
    </row>
    <row r="888" spans="1:9" x14ac:dyDescent="0.25">
      <c r="A888" s="299">
        <v>42955</v>
      </c>
      <c r="B888" s="302" t="s">
        <v>24695</v>
      </c>
      <c r="C888">
        <v>122860</v>
      </c>
      <c r="D888" s="236" t="s">
        <v>15223</v>
      </c>
      <c r="E888" s="301">
        <v>54097</v>
      </c>
      <c r="F888" s="303">
        <v>42976</v>
      </c>
      <c r="G888" s="301">
        <v>54097</v>
      </c>
      <c r="H888" s="304">
        <f>Tabla13[[#This Row],[Importe]]-Tabla13[[#This Row],[Pagado]]</f>
        <v>0</v>
      </c>
      <c r="I888" s="275" t="s">
        <v>15214</v>
      </c>
    </row>
    <row r="889" spans="1:9" x14ac:dyDescent="0.25">
      <c r="A889" s="299">
        <v>42955</v>
      </c>
      <c r="B889" s="302" t="s">
        <v>24696</v>
      </c>
      <c r="C889">
        <v>122861</v>
      </c>
      <c r="D889" s="236" t="s">
        <v>15263</v>
      </c>
      <c r="E889" s="301">
        <v>2402.1</v>
      </c>
      <c r="F889" s="303">
        <v>42955</v>
      </c>
      <c r="G889" s="301">
        <v>2402.1</v>
      </c>
      <c r="H889" s="304">
        <f>Tabla13[[#This Row],[Importe]]-Tabla13[[#This Row],[Pagado]]</f>
        <v>0</v>
      </c>
      <c r="I889" s="275" t="s">
        <v>15214</v>
      </c>
    </row>
    <row r="890" spans="1:9" x14ac:dyDescent="0.25">
      <c r="A890" s="299">
        <v>42955</v>
      </c>
      <c r="B890" s="302" t="s">
        <v>24697</v>
      </c>
      <c r="C890">
        <v>122862</v>
      </c>
      <c r="D890" s="236" t="s">
        <v>15668</v>
      </c>
      <c r="E890" s="301">
        <v>17405.099999999999</v>
      </c>
      <c r="F890" s="303">
        <v>42958</v>
      </c>
      <c r="G890" s="301">
        <v>17405.099999999999</v>
      </c>
      <c r="H890" s="304">
        <f>Tabla13[[#This Row],[Importe]]-Tabla13[[#This Row],[Pagado]]</f>
        <v>0</v>
      </c>
      <c r="I890" s="275" t="s">
        <v>15214</v>
      </c>
    </row>
    <row r="891" spans="1:9" x14ac:dyDescent="0.25">
      <c r="A891" s="299">
        <v>42955</v>
      </c>
      <c r="B891" s="302" t="s">
        <v>24698</v>
      </c>
      <c r="C891">
        <v>122863</v>
      </c>
      <c r="D891" s="236" t="s">
        <v>15226</v>
      </c>
      <c r="E891" s="301">
        <v>3446.1</v>
      </c>
      <c r="F891" s="303">
        <v>42961</v>
      </c>
      <c r="G891" s="301">
        <v>3446.1</v>
      </c>
      <c r="H891" s="304">
        <f>Tabla13[[#This Row],[Importe]]-Tabla13[[#This Row],[Pagado]]</f>
        <v>0</v>
      </c>
      <c r="I891" s="275" t="s">
        <v>15214</v>
      </c>
    </row>
    <row r="892" spans="1:9" ht="15.75" x14ac:dyDescent="0.25">
      <c r="A892" s="299">
        <v>42955</v>
      </c>
      <c r="B892" s="302" t="s">
        <v>24699</v>
      </c>
      <c r="C892">
        <v>122864</v>
      </c>
      <c r="D892" s="248" t="s">
        <v>95</v>
      </c>
      <c r="E892" s="301">
        <v>0</v>
      </c>
      <c r="F892" s="243" t="s">
        <v>95</v>
      </c>
      <c r="G892" s="301">
        <v>0</v>
      </c>
      <c r="H892" s="304">
        <f>Tabla13[[#This Row],[Importe]]-Tabla13[[#This Row],[Pagado]]</f>
        <v>0</v>
      </c>
      <c r="I892" s="282" t="s">
        <v>95</v>
      </c>
    </row>
    <row r="893" spans="1:9" x14ac:dyDescent="0.25">
      <c r="A893" s="299">
        <v>42955</v>
      </c>
      <c r="B893" s="302" t="s">
        <v>24700</v>
      </c>
      <c r="C893">
        <v>122865</v>
      </c>
      <c r="D893" s="236" t="s">
        <v>15248</v>
      </c>
      <c r="E893" s="301">
        <v>30004.1</v>
      </c>
      <c r="F893" s="303">
        <v>42955</v>
      </c>
      <c r="G893" s="301">
        <v>30004.1</v>
      </c>
      <c r="H893" s="304">
        <f>Tabla13[[#This Row],[Importe]]-Tabla13[[#This Row],[Pagado]]</f>
        <v>0</v>
      </c>
      <c r="I893" s="275" t="s">
        <v>15214</v>
      </c>
    </row>
    <row r="894" spans="1:9" x14ac:dyDescent="0.25">
      <c r="A894" s="299">
        <v>42955</v>
      </c>
      <c r="B894" s="302" t="s">
        <v>24701</v>
      </c>
      <c r="C894">
        <v>122866</v>
      </c>
      <c r="D894" s="236" t="s">
        <v>15234</v>
      </c>
      <c r="E894" s="301">
        <v>3394.7</v>
      </c>
      <c r="F894" s="303">
        <v>42959</v>
      </c>
      <c r="G894" s="301">
        <v>3394.7</v>
      </c>
      <c r="H894" s="304">
        <f>Tabla13[[#This Row],[Importe]]-Tabla13[[#This Row],[Pagado]]</f>
        <v>0</v>
      </c>
      <c r="I894" s="275" t="s">
        <v>15214</v>
      </c>
    </row>
    <row r="895" spans="1:9" ht="15.75" x14ac:dyDescent="0.25">
      <c r="A895" s="299">
        <v>42955</v>
      </c>
      <c r="B895" s="302" t="s">
        <v>24702</v>
      </c>
      <c r="C895">
        <v>122867</v>
      </c>
      <c r="D895" s="248" t="s">
        <v>95</v>
      </c>
      <c r="E895" s="301">
        <v>0</v>
      </c>
      <c r="F895" s="243" t="s">
        <v>95</v>
      </c>
      <c r="G895" s="301">
        <v>0</v>
      </c>
      <c r="H895" s="304">
        <f>Tabla13[[#This Row],[Importe]]-Tabla13[[#This Row],[Pagado]]</f>
        <v>0</v>
      </c>
      <c r="I895" s="275" t="s">
        <v>95</v>
      </c>
    </row>
    <row r="896" spans="1:9" ht="30" x14ac:dyDescent="0.25">
      <c r="A896" s="299">
        <v>42955</v>
      </c>
      <c r="B896" s="302" t="s">
        <v>24703</v>
      </c>
      <c r="C896">
        <v>122868</v>
      </c>
      <c r="D896" s="236" t="s">
        <v>15236</v>
      </c>
      <c r="E896" s="301">
        <v>3261.9</v>
      </c>
      <c r="F896" s="303" t="s">
        <v>24704</v>
      </c>
      <c r="G896" s="305">
        <f>2500+761.9</f>
        <v>3261.9</v>
      </c>
      <c r="H896" s="304">
        <f>Tabla13[[#This Row],[Importe]]-Tabla13[[#This Row],[Pagado]]</f>
        <v>0</v>
      </c>
      <c r="I896" s="275" t="s">
        <v>15214</v>
      </c>
    </row>
    <row r="897" spans="1:9" x14ac:dyDescent="0.25">
      <c r="A897" s="299">
        <v>42955</v>
      </c>
      <c r="B897" s="302" t="s">
        <v>24705</v>
      </c>
      <c r="C897">
        <v>122869</v>
      </c>
      <c r="D897" s="236" t="s">
        <v>15272</v>
      </c>
      <c r="E897" s="301">
        <v>18861.599999999999</v>
      </c>
      <c r="F897" s="303">
        <v>42955</v>
      </c>
      <c r="G897" s="301">
        <v>18861.599999999999</v>
      </c>
      <c r="H897" s="304">
        <f>Tabla13[[#This Row],[Importe]]-Tabla13[[#This Row],[Pagado]]</f>
        <v>0</v>
      </c>
      <c r="I897" s="275" t="s">
        <v>15214</v>
      </c>
    </row>
    <row r="898" spans="1:9" x14ac:dyDescent="0.25">
      <c r="A898" s="299">
        <v>42955</v>
      </c>
      <c r="B898" s="302" t="s">
        <v>24706</v>
      </c>
      <c r="C898">
        <v>122870</v>
      </c>
      <c r="D898" s="236" t="s">
        <v>15315</v>
      </c>
      <c r="E898" s="301">
        <v>1290.2</v>
      </c>
      <c r="F898" s="303">
        <v>42955</v>
      </c>
      <c r="G898" s="301">
        <v>1290.2</v>
      </c>
      <c r="H898" s="304">
        <f>Tabla13[[#This Row],[Importe]]-Tabla13[[#This Row],[Pagado]]</f>
        <v>0</v>
      </c>
      <c r="I898" s="275" t="s">
        <v>15214</v>
      </c>
    </row>
    <row r="899" spans="1:9" x14ac:dyDescent="0.25">
      <c r="A899" s="299">
        <v>42955</v>
      </c>
      <c r="B899" s="302" t="s">
        <v>24707</v>
      </c>
      <c r="C899">
        <v>122871</v>
      </c>
      <c r="D899" s="236" t="s">
        <v>15442</v>
      </c>
      <c r="E899" s="301">
        <v>22914.9</v>
      </c>
      <c r="F899" s="303">
        <v>42968</v>
      </c>
      <c r="G899" s="301">
        <v>22914.9</v>
      </c>
      <c r="H899" s="304">
        <f>Tabla13[[#This Row],[Importe]]-Tabla13[[#This Row],[Pagado]]</f>
        <v>0</v>
      </c>
      <c r="I899" s="275" t="s">
        <v>15214</v>
      </c>
    </row>
    <row r="900" spans="1:9" x14ac:dyDescent="0.25">
      <c r="A900" s="299">
        <v>42955</v>
      </c>
      <c r="B900" s="302" t="s">
        <v>24708</v>
      </c>
      <c r="C900">
        <v>122872</v>
      </c>
      <c r="D900" s="236" t="s">
        <v>15238</v>
      </c>
      <c r="E900" s="301">
        <v>3331.8</v>
      </c>
      <c r="F900" s="303">
        <v>42957</v>
      </c>
      <c r="G900" s="301">
        <v>3331.8</v>
      </c>
      <c r="H900" s="304">
        <f>Tabla13[[#This Row],[Importe]]-Tabla13[[#This Row],[Pagado]]</f>
        <v>0</v>
      </c>
      <c r="I900" s="275" t="s">
        <v>15214</v>
      </c>
    </row>
    <row r="901" spans="1:9" x14ac:dyDescent="0.25">
      <c r="A901" s="299">
        <v>42955</v>
      </c>
      <c r="B901" s="302" t="s">
        <v>24709</v>
      </c>
      <c r="C901">
        <v>122873</v>
      </c>
      <c r="D901" s="236" t="s">
        <v>15238</v>
      </c>
      <c r="E901" s="301">
        <v>3602.2</v>
      </c>
      <c r="F901" s="303">
        <v>42957</v>
      </c>
      <c r="G901" s="301">
        <v>3602.2</v>
      </c>
      <c r="H901" s="304">
        <f>Tabla13[[#This Row],[Importe]]-Tabla13[[#This Row],[Pagado]]</f>
        <v>0</v>
      </c>
      <c r="I901" s="275" t="s">
        <v>15214</v>
      </c>
    </row>
    <row r="902" spans="1:9" x14ac:dyDescent="0.25">
      <c r="A902" s="299">
        <v>42955</v>
      </c>
      <c r="B902" s="302" t="s">
        <v>24710</v>
      </c>
      <c r="C902">
        <v>122874</v>
      </c>
      <c r="D902" s="236" t="s">
        <v>15324</v>
      </c>
      <c r="E902" s="301">
        <v>2317</v>
      </c>
      <c r="F902" s="303">
        <v>42955</v>
      </c>
      <c r="G902" s="301">
        <v>2317</v>
      </c>
      <c r="H902" s="304">
        <f>Tabla13[[#This Row],[Importe]]-Tabla13[[#This Row],[Pagado]]</f>
        <v>0</v>
      </c>
      <c r="I902" s="275" t="s">
        <v>15214</v>
      </c>
    </row>
    <row r="903" spans="1:9" ht="30" x14ac:dyDescent="0.25">
      <c r="A903" s="299">
        <v>42955</v>
      </c>
      <c r="B903" s="302" t="s">
        <v>24711</v>
      </c>
      <c r="C903">
        <v>122875</v>
      </c>
      <c r="D903" s="236" t="s">
        <v>15480</v>
      </c>
      <c r="E903" s="301">
        <v>4432.3</v>
      </c>
      <c r="F903" s="303" t="s">
        <v>24712</v>
      </c>
      <c r="G903" s="305">
        <f>3000+1432.3</f>
        <v>4432.3</v>
      </c>
      <c r="H903" s="304">
        <f>Tabla13[[#This Row],[Importe]]-Tabla13[[#This Row],[Pagado]]</f>
        <v>0</v>
      </c>
      <c r="I903" s="275" t="s">
        <v>15214</v>
      </c>
    </row>
    <row r="904" spans="1:9" x14ac:dyDescent="0.25">
      <c r="A904" s="299">
        <v>42955</v>
      </c>
      <c r="B904" s="302" t="s">
        <v>24713</v>
      </c>
      <c r="C904">
        <v>122876</v>
      </c>
      <c r="D904" s="236" t="s">
        <v>15338</v>
      </c>
      <c r="E904" s="301">
        <v>10669.5</v>
      </c>
      <c r="F904" s="303">
        <v>42957</v>
      </c>
      <c r="G904" s="301">
        <v>10669.5</v>
      </c>
      <c r="H904" s="304">
        <f>Tabla13[[#This Row],[Importe]]-Tabla13[[#This Row],[Pagado]]</f>
        <v>0</v>
      </c>
      <c r="I904" s="275" t="s">
        <v>15214</v>
      </c>
    </row>
    <row r="905" spans="1:9" x14ac:dyDescent="0.25">
      <c r="A905" s="299">
        <v>42955</v>
      </c>
      <c r="B905" s="302" t="s">
        <v>24714</v>
      </c>
      <c r="C905">
        <v>122877</v>
      </c>
      <c r="D905" s="236" t="s">
        <v>15394</v>
      </c>
      <c r="E905" s="301">
        <v>857.6</v>
      </c>
      <c r="F905" s="303">
        <v>42959</v>
      </c>
      <c r="G905" s="301">
        <v>857.6</v>
      </c>
      <c r="H905" s="304">
        <f>Tabla13[[#This Row],[Importe]]-Tabla13[[#This Row],[Pagado]]</f>
        <v>0</v>
      </c>
      <c r="I905" s="275" t="s">
        <v>15214</v>
      </c>
    </row>
    <row r="906" spans="1:9" x14ac:dyDescent="0.25">
      <c r="A906" s="299">
        <v>42955</v>
      </c>
      <c r="B906" s="302" t="s">
        <v>24715</v>
      </c>
      <c r="C906">
        <v>122878</v>
      </c>
      <c r="D906" s="236" t="s">
        <v>17462</v>
      </c>
      <c r="E906" s="301">
        <v>5705.5</v>
      </c>
      <c r="F906" s="303">
        <v>42955</v>
      </c>
      <c r="G906" s="301">
        <v>5705.5</v>
      </c>
      <c r="H906" s="304">
        <f>Tabla13[[#This Row],[Importe]]-Tabla13[[#This Row],[Pagado]]</f>
        <v>0</v>
      </c>
      <c r="I906" s="275" t="s">
        <v>15214</v>
      </c>
    </row>
    <row r="907" spans="1:9" x14ac:dyDescent="0.25">
      <c r="A907" s="299">
        <v>42955</v>
      </c>
      <c r="B907" s="302" t="s">
        <v>24716</v>
      </c>
      <c r="C907">
        <v>122879</v>
      </c>
      <c r="D907" s="236" t="s">
        <v>15256</v>
      </c>
      <c r="E907" s="301">
        <v>3477.6</v>
      </c>
      <c r="F907" s="303">
        <v>42957</v>
      </c>
      <c r="G907" s="301">
        <v>3477.6</v>
      </c>
      <c r="H907" s="304">
        <f>Tabla13[[#This Row],[Importe]]-Tabla13[[#This Row],[Pagado]]</f>
        <v>0</v>
      </c>
      <c r="I907" s="275" t="s">
        <v>15214</v>
      </c>
    </row>
    <row r="908" spans="1:9" x14ac:dyDescent="0.25">
      <c r="A908" s="299">
        <v>42955</v>
      </c>
      <c r="B908" s="302" t="s">
        <v>24717</v>
      </c>
      <c r="C908">
        <v>122880</v>
      </c>
      <c r="D908" s="236" t="s">
        <v>15330</v>
      </c>
      <c r="E908" s="301">
        <v>1767</v>
      </c>
      <c r="F908" s="303">
        <v>42955</v>
      </c>
      <c r="G908" s="301">
        <v>1767</v>
      </c>
      <c r="H908" s="304">
        <f>Tabla13[[#This Row],[Importe]]-Tabla13[[#This Row],[Pagado]]</f>
        <v>0</v>
      </c>
      <c r="I908" s="275" t="s">
        <v>15214</v>
      </c>
    </row>
    <row r="909" spans="1:9" x14ac:dyDescent="0.25">
      <c r="A909" s="299">
        <v>42955</v>
      </c>
      <c r="B909" s="302" t="s">
        <v>24718</v>
      </c>
      <c r="C909">
        <v>122881</v>
      </c>
      <c r="D909" s="236" t="s">
        <v>15371</v>
      </c>
      <c r="E909" s="301">
        <v>6377.2</v>
      </c>
      <c r="F909" s="303">
        <v>42957</v>
      </c>
      <c r="G909" s="301">
        <v>6377.2</v>
      </c>
      <c r="H909" s="304">
        <f>Tabla13[[#This Row],[Importe]]-Tabla13[[#This Row],[Pagado]]</f>
        <v>0</v>
      </c>
      <c r="I909" s="275" t="s">
        <v>15214</v>
      </c>
    </row>
    <row r="910" spans="1:9" x14ac:dyDescent="0.25">
      <c r="A910" s="299">
        <v>42955</v>
      </c>
      <c r="B910" s="302" t="s">
        <v>24719</v>
      </c>
      <c r="C910">
        <v>122882</v>
      </c>
      <c r="D910" s="236" t="s">
        <v>15348</v>
      </c>
      <c r="E910" s="301">
        <v>2927.4</v>
      </c>
      <c r="F910" s="303">
        <v>42957</v>
      </c>
      <c r="G910" s="301">
        <v>2927.4</v>
      </c>
      <c r="H910" s="304">
        <f>Tabla13[[#This Row],[Importe]]-Tabla13[[#This Row],[Pagado]]</f>
        <v>0</v>
      </c>
      <c r="I910" s="275" t="s">
        <v>15214</v>
      </c>
    </row>
    <row r="911" spans="1:9" x14ac:dyDescent="0.25">
      <c r="A911" s="299">
        <v>42955</v>
      </c>
      <c r="B911" s="302" t="s">
        <v>24720</v>
      </c>
      <c r="C911">
        <v>122883</v>
      </c>
      <c r="D911" s="236" t="s">
        <v>15240</v>
      </c>
      <c r="E911" s="301">
        <v>2917.2</v>
      </c>
      <c r="F911" s="303">
        <v>42957</v>
      </c>
      <c r="G911" s="301">
        <v>2917.2</v>
      </c>
      <c r="H911" s="304">
        <f>Tabla13[[#This Row],[Importe]]-Tabla13[[#This Row],[Pagado]]</f>
        <v>0</v>
      </c>
      <c r="I911" s="275" t="s">
        <v>15214</v>
      </c>
    </row>
    <row r="912" spans="1:9" x14ac:dyDescent="0.25">
      <c r="A912" s="299">
        <v>42955</v>
      </c>
      <c r="B912" s="302" t="s">
        <v>24721</v>
      </c>
      <c r="C912">
        <v>122884</v>
      </c>
      <c r="D912" s="236" t="s">
        <v>15246</v>
      </c>
      <c r="E912" s="301">
        <v>29396.400000000001</v>
      </c>
      <c r="F912" s="303">
        <v>42957</v>
      </c>
      <c r="G912" s="301">
        <v>29396.400000000001</v>
      </c>
      <c r="H912" s="304">
        <f>Tabla13[[#This Row],[Importe]]-Tabla13[[#This Row],[Pagado]]</f>
        <v>0</v>
      </c>
      <c r="I912" s="275" t="s">
        <v>15214</v>
      </c>
    </row>
    <row r="913" spans="1:9" x14ac:dyDescent="0.25">
      <c r="A913" s="299">
        <v>42955</v>
      </c>
      <c r="B913" s="302" t="s">
        <v>24722</v>
      </c>
      <c r="C913">
        <v>122885</v>
      </c>
      <c r="D913" s="236" t="s">
        <v>15309</v>
      </c>
      <c r="E913" s="301">
        <v>23321.1</v>
      </c>
      <c r="F913" s="303">
        <v>42955</v>
      </c>
      <c r="G913" s="301">
        <v>23321.1</v>
      </c>
      <c r="H913" s="304">
        <f>Tabla13[[#This Row],[Importe]]-Tabla13[[#This Row],[Pagado]]</f>
        <v>0</v>
      </c>
      <c r="I913" s="275" t="s">
        <v>15214</v>
      </c>
    </row>
    <row r="914" spans="1:9" x14ac:dyDescent="0.25">
      <c r="A914" s="299">
        <v>42955</v>
      </c>
      <c r="B914" s="302" t="s">
        <v>24723</v>
      </c>
      <c r="C914">
        <v>122886</v>
      </c>
      <c r="D914" s="236" t="s">
        <v>15276</v>
      </c>
      <c r="E914" s="301">
        <v>2515</v>
      </c>
      <c r="F914" s="303">
        <v>42955</v>
      </c>
      <c r="G914" s="301">
        <v>2515</v>
      </c>
      <c r="H914" s="304">
        <f>Tabla13[[#This Row],[Importe]]-Tabla13[[#This Row],[Pagado]]</f>
        <v>0</v>
      </c>
      <c r="I914" s="275" t="s">
        <v>15214</v>
      </c>
    </row>
    <row r="915" spans="1:9" x14ac:dyDescent="0.25">
      <c r="A915" s="299">
        <v>42955</v>
      </c>
      <c r="B915" s="302" t="s">
        <v>24724</v>
      </c>
      <c r="C915">
        <v>122887</v>
      </c>
      <c r="D915" s="236" t="s">
        <v>15415</v>
      </c>
      <c r="E915" s="301">
        <v>3508.8</v>
      </c>
      <c r="F915" s="303">
        <v>42961</v>
      </c>
      <c r="G915" s="301">
        <v>3508.8</v>
      </c>
      <c r="H915" s="304">
        <f>Tabla13[[#This Row],[Importe]]-Tabla13[[#This Row],[Pagado]]</f>
        <v>0</v>
      </c>
      <c r="I915" s="275" t="s">
        <v>15214</v>
      </c>
    </row>
    <row r="916" spans="1:9" x14ac:dyDescent="0.25">
      <c r="A916" s="299">
        <v>42955</v>
      </c>
      <c r="B916" s="302" t="s">
        <v>24725</v>
      </c>
      <c r="C916">
        <v>122888</v>
      </c>
      <c r="D916" s="236" t="s">
        <v>15317</v>
      </c>
      <c r="E916" s="301">
        <v>3233.4</v>
      </c>
      <c r="F916" s="303">
        <v>42958</v>
      </c>
      <c r="G916" s="301">
        <v>3233.4</v>
      </c>
      <c r="H916" s="304">
        <f>Tabla13[[#This Row],[Importe]]-Tabla13[[#This Row],[Pagado]]</f>
        <v>0</v>
      </c>
      <c r="I916" s="275" t="s">
        <v>15214</v>
      </c>
    </row>
    <row r="917" spans="1:9" x14ac:dyDescent="0.25">
      <c r="A917" s="299">
        <v>42955</v>
      </c>
      <c r="B917" s="302" t="s">
        <v>24726</v>
      </c>
      <c r="C917">
        <v>122889</v>
      </c>
      <c r="D917" s="236" t="s">
        <v>15291</v>
      </c>
      <c r="E917" s="301">
        <v>900</v>
      </c>
      <c r="F917" s="303">
        <v>42955</v>
      </c>
      <c r="G917" s="301">
        <v>900</v>
      </c>
      <c r="H917" s="304">
        <f>Tabla13[[#This Row],[Importe]]-Tabla13[[#This Row],[Pagado]]</f>
        <v>0</v>
      </c>
      <c r="I917" s="275" t="s">
        <v>15214</v>
      </c>
    </row>
    <row r="918" spans="1:9" x14ac:dyDescent="0.25">
      <c r="A918" s="299">
        <v>42955</v>
      </c>
      <c r="B918" s="302" t="s">
        <v>24727</v>
      </c>
      <c r="C918">
        <v>122890</v>
      </c>
      <c r="D918" s="236" t="s">
        <v>15305</v>
      </c>
      <c r="E918" s="301">
        <v>1427.4</v>
      </c>
      <c r="F918" s="303">
        <v>42955</v>
      </c>
      <c r="G918" s="301">
        <v>1427.4</v>
      </c>
      <c r="H918" s="304">
        <f>Tabla13[[#This Row],[Importe]]-Tabla13[[#This Row],[Pagado]]</f>
        <v>0</v>
      </c>
      <c r="I918" s="275" t="s">
        <v>15214</v>
      </c>
    </row>
    <row r="919" spans="1:9" x14ac:dyDescent="0.25">
      <c r="A919" s="299">
        <v>42955</v>
      </c>
      <c r="B919" s="302" t="s">
        <v>24728</v>
      </c>
      <c r="C919">
        <v>122891</v>
      </c>
      <c r="D919" s="236" t="s">
        <v>15291</v>
      </c>
      <c r="E919" s="301">
        <v>110</v>
      </c>
      <c r="F919" s="303">
        <v>42955</v>
      </c>
      <c r="G919" s="301">
        <v>110</v>
      </c>
      <c r="H919" s="304">
        <f>Tabla13[[#This Row],[Importe]]-Tabla13[[#This Row],[Pagado]]</f>
        <v>0</v>
      </c>
      <c r="I919" s="275" t="s">
        <v>15214</v>
      </c>
    </row>
    <row r="920" spans="1:9" x14ac:dyDescent="0.25">
      <c r="A920" s="299">
        <v>42955</v>
      </c>
      <c r="B920" s="302" t="s">
        <v>24729</v>
      </c>
      <c r="C920">
        <v>122892</v>
      </c>
      <c r="D920" s="236" t="s">
        <v>15537</v>
      </c>
      <c r="E920" s="301">
        <v>15740.95</v>
      </c>
      <c r="F920" s="303">
        <v>42964</v>
      </c>
      <c r="G920" s="301">
        <v>15740.95</v>
      </c>
      <c r="H920" s="304">
        <f>Tabla13[[#This Row],[Importe]]-Tabla13[[#This Row],[Pagado]]</f>
        <v>0</v>
      </c>
      <c r="I920" s="275" t="s">
        <v>15214</v>
      </c>
    </row>
    <row r="921" spans="1:9" x14ac:dyDescent="0.25">
      <c r="A921" s="299">
        <v>42955</v>
      </c>
      <c r="B921" s="302" t="s">
        <v>24730</v>
      </c>
      <c r="C921">
        <v>122893</v>
      </c>
      <c r="D921" s="236" t="s">
        <v>15539</v>
      </c>
      <c r="E921" s="301">
        <v>16720.349999999999</v>
      </c>
      <c r="F921" s="303">
        <v>42964</v>
      </c>
      <c r="G921" s="301">
        <v>16720.349999999999</v>
      </c>
      <c r="H921" s="304">
        <f>Tabla13[[#This Row],[Importe]]-Tabla13[[#This Row],[Pagado]]</f>
        <v>0</v>
      </c>
      <c r="I921" s="275" t="s">
        <v>15214</v>
      </c>
    </row>
    <row r="922" spans="1:9" x14ac:dyDescent="0.25">
      <c r="A922" s="299">
        <v>42955</v>
      </c>
      <c r="B922" s="302" t="s">
        <v>24731</v>
      </c>
      <c r="C922">
        <v>122894</v>
      </c>
      <c r="D922" s="236" t="s">
        <v>15559</v>
      </c>
      <c r="E922" s="301">
        <v>10765.1</v>
      </c>
      <c r="F922" s="303">
        <v>42964</v>
      </c>
      <c r="G922" s="301">
        <v>10765.1</v>
      </c>
      <c r="H922" s="304">
        <f>Tabla13[[#This Row],[Importe]]-Tabla13[[#This Row],[Pagado]]</f>
        <v>0</v>
      </c>
      <c r="I922" s="275" t="s">
        <v>15214</v>
      </c>
    </row>
    <row r="923" spans="1:9" x14ac:dyDescent="0.25">
      <c r="A923" s="299">
        <v>42955</v>
      </c>
      <c r="B923" s="302" t="s">
        <v>24732</v>
      </c>
      <c r="C923">
        <v>122895</v>
      </c>
      <c r="D923" s="236" t="s">
        <v>15315</v>
      </c>
      <c r="E923" s="301">
        <v>10038.85</v>
      </c>
      <c r="F923" s="303">
        <v>42956</v>
      </c>
      <c r="G923" s="301">
        <v>10038.85</v>
      </c>
      <c r="H923" s="304">
        <f>Tabla13[[#This Row],[Importe]]-Tabla13[[#This Row],[Pagado]]</f>
        <v>0</v>
      </c>
      <c r="I923" s="275" t="s">
        <v>15214</v>
      </c>
    </row>
    <row r="924" spans="1:9" x14ac:dyDescent="0.25">
      <c r="A924" s="299">
        <v>42955</v>
      </c>
      <c r="B924" s="302" t="s">
        <v>24733</v>
      </c>
      <c r="C924">
        <v>122896</v>
      </c>
      <c r="D924" s="236" t="s">
        <v>15315</v>
      </c>
      <c r="E924" s="301">
        <v>3493.5</v>
      </c>
      <c r="F924" s="303">
        <v>42956</v>
      </c>
      <c r="G924" s="301">
        <v>3493.5</v>
      </c>
      <c r="H924" s="304">
        <f>Tabla13[[#This Row],[Importe]]-Tabla13[[#This Row],[Pagado]]</f>
        <v>0</v>
      </c>
      <c r="I924" s="275" t="s">
        <v>15214</v>
      </c>
    </row>
    <row r="925" spans="1:9" x14ac:dyDescent="0.25">
      <c r="A925" s="299">
        <v>42955</v>
      </c>
      <c r="B925" s="302" t="s">
        <v>24734</v>
      </c>
      <c r="C925">
        <v>122897</v>
      </c>
      <c r="D925" s="236" t="s">
        <v>15284</v>
      </c>
      <c r="E925" s="301">
        <v>1265.2</v>
      </c>
      <c r="F925" s="303">
        <v>42955</v>
      </c>
      <c r="G925" s="301">
        <v>1265.2</v>
      </c>
      <c r="H925" s="304">
        <f>Tabla13[[#This Row],[Importe]]-Tabla13[[#This Row],[Pagado]]</f>
        <v>0</v>
      </c>
      <c r="I925" s="275" t="s">
        <v>15214</v>
      </c>
    </row>
    <row r="926" spans="1:9" x14ac:dyDescent="0.25">
      <c r="A926" s="299">
        <v>42955</v>
      </c>
      <c r="B926" s="302" t="s">
        <v>24735</v>
      </c>
      <c r="C926">
        <v>122898</v>
      </c>
      <c r="D926" s="236" t="s">
        <v>15344</v>
      </c>
      <c r="E926" s="301">
        <v>4602</v>
      </c>
      <c r="F926" s="303">
        <v>42955</v>
      </c>
      <c r="G926" s="301">
        <v>4602</v>
      </c>
      <c r="H926" s="304">
        <f>Tabla13[[#This Row],[Importe]]-Tabla13[[#This Row],[Pagado]]</f>
        <v>0</v>
      </c>
      <c r="I926" s="275" t="s">
        <v>15214</v>
      </c>
    </row>
    <row r="927" spans="1:9" x14ac:dyDescent="0.25">
      <c r="A927" s="299">
        <v>42955</v>
      </c>
      <c r="B927" s="302" t="s">
        <v>24736</v>
      </c>
      <c r="C927">
        <v>122899</v>
      </c>
      <c r="D927" s="236" t="s">
        <v>15358</v>
      </c>
      <c r="E927" s="301">
        <v>2016</v>
      </c>
      <c r="F927" s="303">
        <v>42955</v>
      </c>
      <c r="G927" s="301">
        <v>2016</v>
      </c>
      <c r="H927" s="304">
        <f>Tabla13[[#This Row],[Importe]]-Tabla13[[#This Row],[Pagado]]</f>
        <v>0</v>
      </c>
      <c r="I927" s="275" t="s">
        <v>15214</v>
      </c>
    </row>
    <row r="928" spans="1:9" ht="15.75" x14ac:dyDescent="0.25">
      <c r="A928" s="299">
        <v>42955</v>
      </c>
      <c r="B928" s="302" t="s">
        <v>24737</v>
      </c>
      <c r="C928">
        <v>122900</v>
      </c>
      <c r="D928" s="248" t="s">
        <v>95</v>
      </c>
      <c r="E928" s="301">
        <v>0</v>
      </c>
      <c r="F928" s="243" t="s">
        <v>95</v>
      </c>
      <c r="G928" s="301">
        <v>0</v>
      </c>
      <c r="H928" s="304">
        <f>Tabla13[[#This Row],[Importe]]-Tabla13[[#This Row],[Pagado]]</f>
        <v>0</v>
      </c>
      <c r="I928" s="275" t="s">
        <v>95</v>
      </c>
    </row>
    <row r="929" spans="1:9" x14ac:dyDescent="0.25">
      <c r="A929" s="299">
        <v>42955</v>
      </c>
      <c r="B929" s="302" t="s">
        <v>24738</v>
      </c>
      <c r="C929">
        <v>122901</v>
      </c>
      <c r="D929" s="236" t="s">
        <v>15858</v>
      </c>
      <c r="E929" s="301">
        <v>385</v>
      </c>
      <c r="F929" s="303">
        <v>42955</v>
      </c>
      <c r="G929" s="301">
        <v>385</v>
      </c>
      <c r="H929" s="304">
        <f>Tabla13[[#This Row],[Importe]]-Tabla13[[#This Row],[Pagado]]</f>
        <v>0</v>
      </c>
      <c r="I929" s="275" t="s">
        <v>15214</v>
      </c>
    </row>
    <row r="930" spans="1:9" x14ac:dyDescent="0.25">
      <c r="A930" s="299">
        <v>42955</v>
      </c>
      <c r="B930" s="302" t="s">
        <v>24739</v>
      </c>
      <c r="C930">
        <v>122902</v>
      </c>
      <c r="D930" s="236" t="s">
        <v>16171</v>
      </c>
      <c r="E930" s="301">
        <v>616.79999999999995</v>
      </c>
      <c r="F930" s="303">
        <v>42955</v>
      </c>
      <c r="G930" s="301">
        <v>616.79999999999995</v>
      </c>
      <c r="H930" s="304">
        <f>Tabla13[[#This Row],[Importe]]-Tabla13[[#This Row],[Pagado]]</f>
        <v>0</v>
      </c>
      <c r="I930" s="275" t="s">
        <v>15214</v>
      </c>
    </row>
    <row r="931" spans="1:9" x14ac:dyDescent="0.25">
      <c r="A931" s="299">
        <v>42955</v>
      </c>
      <c r="B931" s="302" t="s">
        <v>24740</v>
      </c>
      <c r="C931">
        <v>122903</v>
      </c>
      <c r="D931" s="236" t="s">
        <v>15336</v>
      </c>
      <c r="E931" s="301">
        <v>6192</v>
      </c>
      <c r="F931" s="303">
        <v>42955</v>
      </c>
      <c r="G931" s="301">
        <v>6192</v>
      </c>
      <c r="H931" s="304">
        <f>Tabla13[[#This Row],[Importe]]-Tabla13[[#This Row],[Pagado]]</f>
        <v>0</v>
      </c>
      <c r="I931" s="275" t="s">
        <v>15214</v>
      </c>
    </row>
    <row r="932" spans="1:9" x14ac:dyDescent="0.25">
      <c r="A932" s="299">
        <v>42955</v>
      </c>
      <c r="B932" s="302" t="s">
        <v>24741</v>
      </c>
      <c r="C932">
        <v>122904</v>
      </c>
      <c r="D932" s="236" t="s">
        <v>15396</v>
      </c>
      <c r="E932" s="301">
        <v>4474.8999999999996</v>
      </c>
      <c r="F932" s="303">
        <v>42955</v>
      </c>
      <c r="G932" s="301">
        <v>4474.8999999999996</v>
      </c>
      <c r="H932" s="304">
        <f>Tabla13[[#This Row],[Importe]]-Tabla13[[#This Row],[Pagado]]</f>
        <v>0</v>
      </c>
      <c r="I932" s="275" t="s">
        <v>15214</v>
      </c>
    </row>
    <row r="933" spans="1:9" x14ac:dyDescent="0.25">
      <c r="A933" s="299">
        <v>42955</v>
      </c>
      <c r="B933" s="302" t="s">
        <v>24742</v>
      </c>
      <c r="C933">
        <v>122905</v>
      </c>
      <c r="D933" s="236" t="s">
        <v>15523</v>
      </c>
      <c r="E933" s="301">
        <v>1760</v>
      </c>
      <c r="F933" s="303">
        <v>42955</v>
      </c>
      <c r="G933" s="301">
        <v>1760</v>
      </c>
      <c r="H933" s="304">
        <f>Tabla13[[#This Row],[Importe]]-Tabla13[[#This Row],[Pagado]]</f>
        <v>0</v>
      </c>
      <c r="I933" s="275" t="s">
        <v>15214</v>
      </c>
    </row>
    <row r="934" spans="1:9" x14ac:dyDescent="0.25">
      <c r="A934" s="299">
        <v>42955</v>
      </c>
      <c r="B934" s="302" t="s">
        <v>24743</v>
      </c>
      <c r="C934">
        <v>122906</v>
      </c>
      <c r="D934" s="236" t="s">
        <v>15742</v>
      </c>
      <c r="E934" s="301">
        <v>2015</v>
      </c>
      <c r="F934" s="303">
        <v>42955</v>
      </c>
      <c r="G934" s="301">
        <v>2015</v>
      </c>
      <c r="H934" s="304">
        <f>Tabla13[[#This Row],[Importe]]-Tabla13[[#This Row],[Pagado]]</f>
        <v>0</v>
      </c>
      <c r="I934" s="275" t="s">
        <v>15214</v>
      </c>
    </row>
    <row r="935" spans="1:9" x14ac:dyDescent="0.25">
      <c r="A935" s="299">
        <v>42955</v>
      </c>
      <c r="B935" s="302" t="s">
        <v>24744</v>
      </c>
      <c r="C935">
        <v>122907</v>
      </c>
      <c r="D935" s="236" t="s">
        <v>15280</v>
      </c>
      <c r="E935" s="301">
        <v>6052.4</v>
      </c>
      <c r="F935" s="303">
        <v>42955</v>
      </c>
      <c r="G935" s="301">
        <v>6052.4</v>
      </c>
      <c r="H935" s="304">
        <f>Tabla13[[#This Row],[Importe]]-Tabla13[[#This Row],[Pagado]]</f>
        <v>0</v>
      </c>
      <c r="I935" s="275" t="s">
        <v>15214</v>
      </c>
    </row>
    <row r="936" spans="1:9" x14ac:dyDescent="0.25">
      <c r="A936" s="299">
        <v>42955</v>
      </c>
      <c r="B936" s="302" t="s">
        <v>24745</v>
      </c>
      <c r="C936">
        <v>122908</v>
      </c>
      <c r="D936" s="236" t="s">
        <v>15332</v>
      </c>
      <c r="E936" s="301">
        <v>3692.4</v>
      </c>
      <c r="F936" s="303">
        <v>42955</v>
      </c>
      <c r="G936" s="301">
        <v>3692.4</v>
      </c>
      <c r="H936" s="304">
        <f>Tabla13[[#This Row],[Importe]]-Tabla13[[#This Row],[Pagado]]</f>
        <v>0</v>
      </c>
      <c r="I936" s="275" t="s">
        <v>15214</v>
      </c>
    </row>
    <row r="937" spans="1:9" x14ac:dyDescent="0.25">
      <c r="A937" s="299">
        <v>42955</v>
      </c>
      <c r="B937" s="302" t="s">
        <v>24746</v>
      </c>
      <c r="C937">
        <v>122909</v>
      </c>
      <c r="D937" s="236" t="s">
        <v>23937</v>
      </c>
      <c r="E937" s="301">
        <v>4625.8</v>
      </c>
      <c r="F937" s="303">
        <v>42955</v>
      </c>
      <c r="G937" s="301">
        <v>4625.8</v>
      </c>
      <c r="H937" s="304">
        <f>Tabla13[[#This Row],[Importe]]-Tabla13[[#This Row],[Pagado]]</f>
        <v>0</v>
      </c>
      <c r="I937" s="275" t="s">
        <v>15214</v>
      </c>
    </row>
    <row r="938" spans="1:9" x14ac:dyDescent="0.25">
      <c r="A938" s="299">
        <v>42955</v>
      </c>
      <c r="B938" s="302" t="s">
        <v>24747</v>
      </c>
      <c r="C938">
        <v>122910</v>
      </c>
      <c r="D938" s="236" t="s">
        <v>15322</v>
      </c>
      <c r="E938" s="301">
        <v>1282.4000000000001</v>
      </c>
      <c r="F938" s="303">
        <v>42955</v>
      </c>
      <c r="G938" s="301">
        <v>1282.4000000000001</v>
      </c>
      <c r="H938" s="304">
        <f>Tabla13[[#This Row],[Importe]]-Tabla13[[#This Row],[Pagado]]</f>
        <v>0</v>
      </c>
      <c r="I938" s="275" t="s">
        <v>15214</v>
      </c>
    </row>
    <row r="939" spans="1:9" ht="30" x14ac:dyDescent="0.25">
      <c r="A939" s="299">
        <v>42955</v>
      </c>
      <c r="B939" s="302" t="s">
        <v>24748</v>
      </c>
      <c r="C939">
        <v>122911</v>
      </c>
      <c r="D939" s="236" t="s">
        <v>15315</v>
      </c>
      <c r="E939" s="301">
        <v>9578.4</v>
      </c>
      <c r="F939" s="303" t="s">
        <v>24749</v>
      </c>
      <c r="G939" s="305">
        <f>9087.2+491.2</f>
        <v>9578.4000000000015</v>
      </c>
      <c r="H939" s="304">
        <f>Tabla13[[#This Row],[Importe]]-Tabla13[[#This Row],[Pagado]]</f>
        <v>0</v>
      </c>
      <c r="I939" s="275" t="s">
        <v>15214</v>
      </c>
    </row>
    <row r="940" spans="1:9" x14ac:dyDescent="0.25">
      <c r="A940" s="299">
        <v>42955</v>
      </c>
      <c r="B940" s="302" t="s">
        <v>24750</v>
      </c>
      <c r="C940">
        <v>122912</v>
      </c>
      <c r="D940" s="236" t="s">
        <v>15244</v>
      </c>
      <c r="E940" s="301">
        <v>9323.9500000000007</v>
      </c>
      <c r="F940" s="303">
        <v>42955</v>
      </c>
      <c r="G940" s="301">
        <v>9323.9500000000007</v>
      </c>
      <c r="H940" s="304">
        <f>Tabla13[[#This Row],[Importe]]-Tabla13[[#This Row],[Pagado]]</f>
        <v>0</v>
      </c>
      <c r="I940" s="275" t="s">
        <v>15214</v>
      </c>
    </row>
    <row r="941" spans="1:9" x14ac:dyDescent="0.25">
      <c r="A941" s="299">
        <v>42955</v>
      </c>
      <c r="B941" s="302" t="s">
        <v>24751</v>
      </c>
      <c r="C941">
        <v>122913</v>
      </c>
      <c r="D941" s="236" t="s">
        <v>15782</v>
      </c>
      <c r="E941" s="301">
        <v>1541.6</v>
      </c>
      <c r="F941" s="303">
        <v>42955</v>
      </c>
      <c r="G941" s="301">
        <v>1541.6</v>
      </c>
      <c r="H941" s="304">
        <f>Tabla13[[#This Row],[Importe]]-Tabla13[[#This Row],[Pagado]]</f>
        <v>0</v>
      </c>
      <c r="I941" s="275" t="s">
        <v>15214</v>
      </c>
    </row>
    <row r="942" spans="1:9" x14ac:dyDescent="0.25">
      <c r="A942" s="299">
        <v>42955</v>
      </c>
      <c r="B942" s="302" t="s">
        <v>24752</v>
      </c>
      <c r="C942">
        <v>122914</v>
      </c>
      <c r="D942" s="236" t="s">
        <v>15252</v>
      </c>
      <c r="E942" s="301">
        <v>3632.85</v>
      </c>
      <c r="F942" s="303">
        <v>42963</v>
      </c>
      <c r="G942" s="301">
        <v>3632.85</v>
      </c>
      <c r="H942" s="304">
        <f>Tabla13[[#This Row],[Importe]]-Tabla13[[#This Row],[Pagado]]</f>
        <v>0</v>
      </c>
      <c r="I942" s="275" t="s">
        <v>15214</v>
      </c>
    </row>
    <row r="943" spans="1:9" x14ac:dyDescent="0.25">
      <c r="A943" s="299">
        <v>42955</v>
      </c>
      <c r="B943" s="302" t="s">
        <v>24753</v>
      </c>
      <c r="C943">
        <v>122915</v>
      </c>
      <c r="D943" s="236" t="s">
        <v>15254</v>
      </c>
      <c r="E943" s="301">
        <v>5889.4</v>
      </c>
      <c r="F943" s="303">
        <v>42963</v>
      </c>
      <c r="G943" s="301">
        <v>5889.4</v>
      </c>
      <c r="H943" s="304">
        <f>Tabla13[[#This Row],[Importe]]-Tabla13[[#This Row],[Pagado]]</f>
        <v>0</v>
      </c>
      <c r="I943" s="275" t="s">
        <v>15214</v>
      </c>
    </row>
    <row r="944" spans="1:9" x14ac:dyDescent="0.25">
      <c r="A944" s="299">
        <v>42955</v>
      </c>
      <c r="B944" s="302" t="s">
        <v>24754</v>
      </c>
      <c r="C944">
        <v>122916</v>
      </c>
      <c r="D944" s="236" t="s">
        <v>18544</v>
      </c>
      <c r="E944" s="301">
        <v>9323.7999999999993</v>
      </c>
      <c r="F944" s="303">
        <v>42955</v>
      </c>
      <c r="G944" s="301">
        <v>9323.7999999999993</v>
      </c>
      <c r="H944" s="304">
        <f>Tabla13[[#This Row],[Importe]]-Tabla13[[#This Row],[Pagado]]</f>
        <v>0</v>
      </c>
      <c r="I944" s="275" t="s">
        <v>15214</v>
      </c>
    </row>
    <row r="945" spans="1:9" x14ac:dyDescent="0.25">
      <c r="A945" s="299">
        <v>42955</v>
      </c>
      <c r="B945" s="302" t="s">
        <v>24755</v>
      </c>
      <c r="C945">
        <v>122917</v>
      </c>
      <c r="D945" s="236" t="s">
        <v>15315</v>
      </c>
      <c r="E945" s="301">
        <v>3619.2</v>
      </c>
      <c r="F945" s="303">
        <v>42964</v>
      </c>
      <c r="G945" s="301">
        <v>3619.2</v>
      </c>
      <c r="H945" s="304">
        <f>Tabla13[[#This Row],[Importe]]-Tabla13[[#This Row],[Pagado]]</f>
        <v>0</v>
      </c>
      <c r="I945" s="275" t="s">
        <v>15214</v>
      </c>
    </row>
    <row r="946" spans="1:9" x14ac:dyDescent="0.25">
      <c r="A946" s="299">
        <v>42955</v>
      </c>
      <c r="B946" s="302" t="s">
        <v>24756</v>
      </c>
      <c r="C946">
        <v>122918</v>
      </c>
      <c r="D946" s="236" t="s">
        <v>15315</v>
      </c>
      <c r="E946" s="301">
        <v>6867.4</v>
      </c>
      <c r="F946" s="303">
        <v>42958</v>
      </c>
      <c r="G946" s="301">
        <v>6867.4</v>
      </c>
      <c r="H946" s="304">
        <f>Tabla13[[#This Row],[Importe]]-Tabla13[[#This Row],[Pagado]]</f>
        <v>0</v>
      </c>
      <c r="I946" s="275" t="s">
        <v>15214</v>
      </c>
    </row>
    <row r="947" spans="1:9" ht="15.75" x14ac:dyDescent="0.25">
      <c r="A947" s="299">
        <v>42955</v>
      </c>
      <c r="B947" s="302" t="s">
        <v>24757</v>
      </c>
      <c r="C947">
        <v>122919</v>
      </c>
      <c r="D947" s="282" t="s">
        <v>95</v>
      </c>
      <c r="E947" s="301">
        <v>0</v>
      </c>
      <c r="F947" s="243" t="s">
        <v>95</v>
      </c>
      <c r="G947" s="301">
        <v>0</v>
      </c>
      <c r="H947" s="304">
        <f>Tabla13[[#This Row],[Importe]]-Tabla13[[#This Row],[Pagado]]</f>
        <v>0</v>
      </c>
      <c r="I947" s="275" t="s">
        <v>95</v>
      </c>
    </row>
    <row r="948" spans="1:9" x14ac:dyDescent="0.25">
      <c r="A948" s="299">
        <v>42955</v>
      </c>
      <c r="B948" s="302" t="s">
        <v>24758</v>
      </c>
      <c r="C948">
        <v>122920</v>
      </c>
      <c r="D948" s="236" t="s">
        <v>15530</v>
      </c>
      <c r="E948" s="301">
        <v>3157.8</v>
      </c>
      <c r="F948" s="303">
        <v>42955</v>
      </c>
      <c r="G948" s="301">
        <v>3157.8</v>
      </c>
      <c r="H948" s="304">
        <f>Tabla13[[#This Row],[Importe]]-Tabla13[[#This Row],[Pagado]]</f>
        <v>0</v>
      </c>
      <c r="I948" s="275" t="s">
        <v>15214</v>
      </c>
    </row>
    <row r="949" spans="1:9" x14ac:dyDescent="0.25">
      <c r="A949" s="299">
        <v>42955</v>
      </c>
      <c r="B949" s="302" t="s">
        <v>24759</v>
      </c>
      <c r="C949">
        <v>122921</v>
      </c>
      <c r="D949" s="236" t="s">
        <v>15562</v>
      </c>
      <c r="E949" s="301">
        <v>844.8</v>
      </c>
      <c r="F949" s="303">
        <v>42955</v>
      </c>
      <c r="G949" s="301">
        <v>844.8</v>
      </c>
      <c r="H949" s="304">
        <f>Tabla13[[#This Row],[Importe]]-Tabla13[[#This Row],[Pagado]]</f>
        <v>0</v>
      </c>
      <c r="I949" s="275" t="s">
        <v>15214</v>
      </c>
    </row>
    <row r="950" spans="1:9" x14ac:dyDescent="0.25">
      <c r="A950" s="299">
        <v>42955</v>
      </c>
      <c r="B950" s="302" t="s">
        <v>24760</v>
      </c>
      <c r="C950">
        <v>122922</v>
      </c>
      <c r="D950" s="236" t="s">
        <v>15391</v>
      </c>
      <c r="E950" s="301">
        <v>7220.6</v>
      </c>
      <c r="F950" s="303">
        <v>42959</v>
      </c>
      <c r="G950" s="301">
        <v>7220.6</v>
      </c>
      <c r="H950" s="304">
        <f>Tabla13[[#This Row],[Importe]]-Tabla13[[#This Row],[Pagado]]</f>
        <v>0</v>
      </c>
      <c r="I950" s="275" t="s">
        <v>15214</v>
      </c>
    </row>
    <row r="951" spans="1:9" x14ac:dyDescent="0.25">
      <c r="A951" s="299">
        <v>42955</v>
      </c>
      <c r="B951" s="302" t="s">
        <v>24761</v>
      </c>
      <c r="C951">
        <v>122923</v>
      </c>
      <c r="D951" s="236" t="s">
        <v>15903</v>
      </c>
      <c r="E951" s="301">
        <v>32432.400000000001</v>
      </c>
      <c r="F951" s="303">
        <v>42955</v>
      </c>
      <c r="G951" s="301">
        <v>32432.400000000001</v>
      </c>
      <c r="H951" s="304">
        <f>Tabla13[[#This Row],[Importe]]-Tabla13[[#This Row],[Pagado]]</f>
        <v>0</v>
      </c>
      <c r="I951" s="275" t="s">
        <v>15214</v>
      </c>
    </row>
    <row r="952" spans="1:9" x14ac:dyDescent="0.25">
      <c r="A952" s="299">
        <v>42955</v>
      </c>
      <c r="B952" s="302" t="s">
        <v>24762</v>
      </c>
      <c r="C952">
        <v>122924</v>
      </c>
      <c r="D952" s="236" t="s">
        <v>15363</v>
      </c>
      <c r="E952" s="301">
        <v>1519.2</v>
      </c>
      <c r="F952" s="303">
        <v>42955</v>
      </c>
      <c r="G952" s="301">
        <v>1519.2</v>
      </c>
      <c r="H952" s="304">
        <f>Tabla13[[#This Row],[Importe]]-Tabla13[[#This Row],[Pagado]]</f>
        <v>0</v>
      </c>
      <c r="I952" s="275" t="s">
        <v>15214</v>
      </c>
    </row>
    <row r="953" spans="1:9" x14ac:dyDescent="0.25">
      <c r="A953" s="299">
        <v>42955</v>
      </c>
      <c r="B953" s="302" t="s">
        <v>24763</v>
      </c>
      <c r="C953">
        <v>122925</v>
      </c>
      <c r="D953" s="236" t="s">
        <v>15361</v>
      </c>
      <c r="E953" s="301">
        <v>4699</v>
      </c>
      <c r="F953" s="303">
        <v>42955</v>
      </c>
      <c r="G953" s="301">
        <v>4699</v>
      </c>
      <c r="H953" s="304">
        <f>Tabla13[[#This Row],[Importe]]-Tabla13[[#This Row],[Pagado]]</f>
        <v>0</v>
      </c>
      <c r="I953" s="275" t="s">
        <v>15214</v>
      </c>
    </row>
    <row r="954" spans="1:9" x14ac:dyDescent="0.25">
      <c r="A954" s="299">
        <v>42955</v>
      </c>
      <c r="B954" s="302" t="s">
        <v>24764</v>
      </c>
      <c r="C954">
        <v>122926</v>
      </c>
      <c r="D954" s="236" t="s">
        <v>16383</v>
      </c>
      <c r="E954" s="301">
        <v>250</v>
      </c>
      <c r="F954" s="303">
        <v>42955</v>
      </c>
      <c r="G954" s="301">
        <v>250</v>
      </c>
      <c r="H954" s="304">
        <f>Tabla13[[#This Row],[Importe]]-Tabla13[[#This Row],[Pagado]]</f>
        <v>0</v>
      </c>
      <c r="I954" s="275" t="s">
        <v>15214</v>
      </c>
    </row>
    <row r="955" spans="1:9" ht="15.75" x14ac:dyDescent="0.25">
      <c r="A955" s="299">
        <v>42955</v>
      </c>
      <c r="B955" s="302" t="s">
        <v>24765</v>
      </c>
      <c r="C955">
        <v>122927</v>
      </c>
      <c r="D955" s="248" t="s">
        <v>95</v>
      </c>
      <c r="E955" s="301">
        <v>0</v>
      </c>
      <c r="F955" s="243" t="s">
        <v>95</v>
      </c>
      <c r="G955" s="301">
        <v>0</v>
      </c>
      <c r="H955" s="304">
        <f>Tabla13[[#This Row],[Importe]]-Tabla13[[#This Row],[Pagado]]</f>
        <v>0</v>
      </c>
      <c r="I955" s="275" t="s">
        <v>95</v>
      </c>
    </row>
    <row r="956" spans="1:9" ht="60" x14ac:dyDescent="0.25">
      <c r="A956" s="299">
        <v>42955</v>
      </c>
      <c r="B956" s="302" t="s">
        <v>24766</v>
      </c>
      <c r="C956">
        <v>122928</v>
      </c>
      <c r="D956" s="236" t="s">
        <v>15228</v>
      </c>
      <c r="E956" s="301">
        <v>32072.400000000001</v>
      </c>
      <c r="F956" s="303" t="s">
        <v>24767</v>
      </c>
      <c r="G956" s="305">
        <f>5000+5000+3500+12500+6072.4</f>
        <v>32072.400000000001</v>
      </c>
      <c r="H956" s="304">
        <f>Tabla13[[#This Row],[Importe]]-Tabla13[[#This Row],[Pagado]]</f>
        <v>0</v>
      </c>
      <c r="I956" s="275" t="s">
        <v>15214</v>
      </c>
    </row>
    <row r="957" spans="1:9" x14ac:dyDescent="0.25">
      <c r="A957" s="299">
        <v>42955</v>
      </c>
      <c r="B957" s="302" t="s">
        <v>24768</v>
      </c>
      <c r="C957">
        <v>122929</v>
      </c>
      <c r="D957" s="236" t="s">
        <v>15592</v>
      </c>
      <c r="E957" s="301">
        <v>7259.6</v>
      </c>
      <c r="F957" s="303">
        <v>42955</v>
      </c>
      <c r="G957" s="301">
        <v>7259.6</v>
      </c>
      <c r="H957" s="304">
        <f>Tabla13[[#This Row],[Importe]]-Tabla13[[#This Row],[Pagado]]</f>
        <v>0</v>
      </c>
      <c r="I957" s="275" t="s">
        <v>15214</v>
      </c>
    </row>
    <row r="958" spans="1:9" x14ac:dyDescent="0.25">
      <c r="A958" s="299">
        <v>42955</v>
      </c>
      <c r="B958" s="302" t="s">
        <v>24769</v>
      </c>
      <c r="C958">
        <v>122930</v>
      </c>
      <c r="D958" s="236" t="s">
        <v>19768</v>
      </c>
      <c r="E958" s="301">
        <v>1470</v>
      </c>
      <c r="F958" s="303">
        <v>42955</v>
      </c>
      <c r="G958" s="301">
        <v>1470</v>
      </c>
      <c r="H958" s="304">
        <f>Tabla13[[#This Row],[Importe]]-Tabla13[[#This Row],[Pagado]]</f>
        <v>0</v>
      </c>
      <c r="I958" s="275" t="s">
        <v>15214</v>
      </c>
    </row>
    <row r="959" spans="1:9" x14ac:dyDescent="0.25">
      <c r="A959" s="299">
        <v>42955</v>
      </c>
      <c r="B959" s="302" t="s">
        <v>24770</v>
      </c>
      <c r="C959">
        <v>122931</v>
      </c>
      <c r="D959" s="236" t="s">
        <v>15594</v>
      </c>
      <c r="E959" s="301">
        <v>2347.1999999999998</v>
      </c>
      <c r="F959" s="303">
        <v>42955</v>
      </c>
      <c r="G959" s="301">
        <v>2347.1999999999998</v>
      </c>
      <c r="H959" s="304">
        <f>Tabla13[[#This Row],[Importe]]-Tabla13[[#This Row],[Pagado]]</f>
        <v>0</v>
      </c>
      <c r="I959" s="275" t="s">
        <v>15214</v>
      </c>
    </row>
    <row r="960" spans="1:9" x14ac:dyDescent="0.25">
      <c r="A960" s="299">
        <v>42955</v>
      </c>
      <c r="B960" s="302" t="s">
        <v>24771</v>
      </c>
      <c r="C960">
        <v>122932</v>
      </c>
      <c r="D960" s="236" t="s">
        <v>15267</v>
      </c>
      <c r="E960" s="301">
        <v>5923.2</v>
      </c>
      <c r="F960" s="303">
        <v>42955</v>
      </c>
      <c r="G960" s="301">
        <v>5923.2</v>
      </c>
      <c r="H960" s="304">
        <f>Tabla13[[#This Row],[Importe]]-Tabla13[[#This Row],[Pagado]]</f>
        <v>0</v>
      </c>
      <c r="I960" s="275" t="s">
        <v>15214</v>
      </c>
    </row>
    <row r="961" spans="1:9" x14ac:dyDescent="0.25">
      <c r="A961" s="299">
        <v>42955</v>
      </c>
      <c r="B961" s="302" t="s">
        <v>24772</v>
      </c>
      <c r="C961">
        <v>122933</v>
      </c>
      <c r="D961" s="236" t="s">
        <v>15398</v>
      </c>
      <c r="E961" s="301">
        <v>4044.35</v>
      </c>
      <c r="F961" s="303">
        <v>42955</v>
      </c>
      <c r="G961" s="301">
        <v>4044.35</v>
      </c>
      <c r="H961" s="304">
        <f>Tabla13[[#This Row],[Importe]]-Tabla13[[#This Row],[Pagado]]</f>
        <v>0</v>
      </c>
      <c r="I961" s="275" t="s">
        <v>15214</v>
      </c>
    </row>
    <row r="962" spans="1:9" x14ac:dyDescent="0.25">
      <c r="A962" s="299">
        <v>42955</v>
      </c>
      <c r="B962" s="302" t="s">
        <v>24773</v>
      </c>
      <c r="C962">
        <v>122934</v>
      </c>
      <c r="D962" s="236" t="s">
        <v>15326</v>
      </c>
      <c r="E962" s="301">
        <v>12243</v>
      </c>
      <c r="F962" s="303">
        <v>42955</v>
      </c>
      <c r="G962" s="301">
        <v>12243</v>
      </c>
      <c r="H962" s="304">
        <f>Tabla13[[#This Row],[Importe]]-Tabla13[[#This Row],[Pagado]]</f>
        <v>0</v>
      </c>
      <c r="I962" s="275" t="s">
        <v>15214</v>
      </c>
    </row>
    <row r="963" spans="1:9" x14ac:dyDescent="0.25">
      <c r="A963" s="299">
        <v>42955</v>
      </c>
      <c r="B963" s="302" t="s">
        <v>24774</v>
      </c>
      <c r="C963">
        <v>122935</v>
      </c>
      <c r="D963" s="236" t="s">
        <v>15566</v>
      </c>
      <c r="E963" s="301">
        <v>2839</v>
      </c>
      <c r="F963" s="303">
        <v>42955</v>
      </c>
      <c r="G963" s="301">
        <v>2839</v>
      </c>
      <c r="H963" s="304">
        <f>Tabla13[[#This Row],[Importe]]-Tabla13[[#This Row],[Pagado]]</f>
        <v>0</v>
      </c>
      <c r="I963" s="275" t="s">
        <v>15214</v>
      </c>
    </row>
    <row r="964" spans="1:9" x14ac:dyDescent="0.25">
      <c r="A964" s="299">
        <v>42955</v>
      </c>
      <c r="B964" s="302" t="s">
        <v>24775</v>
      </c>
      <c r="C964">
        <v>122936</v>
      </c>
      <c r="D964" s="236" t="s">
        <v>15716</v>
      </c>
      <c r="E964" s="301">
        <v>12639.5</v>
      </c>
      <c r="F964" s="303">
        <v>42955</v>
      </c>
      <c r="G964" s="301">
        <v>12639.5</v>
      </c>
      <c r="H964" s="304">
        <f>Tabla13[[#This Row],[Importe]]-Tabla13[[#This Row],[Pagado]]</f>
        <v>0</v>
      </c>
      <c r="I964" s="275" t="s">
        <v>15214</v>
      </c>
    </row>
    <row r="965" spans="1:9" x14ac:dyDescent="0.25">
      <c r="A965" s="299">
        <v>42955</v>
      </c>
      <c r="B965" s="302" t="s">
        <v>24776</v>
      </c>
      <c r="C965">
        <v>122937</v>
      </c>
      <c r="D965" s="236" t="s">
        <v>15665</v>
      </c>
      <c r="E965" s="301">
        <v>316.8</v>
      </c>
      <c r="F965" s="303">
        <v>42955</v>
      </c>
      <c r="G965" s="301">
        <v>316.8</v>
      </c>
      <c r="H965" s="304">
        <f>Tabla13[[#This Row],[Importe]]-Tabla13[[#This Row],[Pagado]]</f>
        <v>0</v>
      </c>
      <c r="I965" s="275" t="s">
        <v>15214</v>
      </c>
    </row>
    <row r="966" spans="1:9" x14ac:dyDescent="0.25">
      <c r="A966" s="299">
        <v>42955</v>
      </c>
      <c r="B966" s="302" t="s">
        <v>24777</v>
      </c>
      <c r="C966">
        <v>122938</v>
      </c>
      <c r="D966" s="236" t="s">
        <v>15315</v>
      </c>
      <c r="E966" s="301">
        <v>1315.6</v>
      </c>
      <c r="F966" s="303">
        <v>42955</v>
      </c>
      <c r="G966" s="301">
        <v>1315.6</v>
      </c>
      <c r="H966" s="304">
        <f>Tabla13[[#This Row],[Importe]]-Tabla13[[#This Row],[Pagado]]</f>
        <v>0</v>
      </c>
      <c r="I966" s="275" t="s">
        <v>15214</v>
      </c>
    </row>
    <row r="967" spans="1:9" x14ac:dyDescent="0.25">
      <c r="A967" s="299">
        <v>42955</v>
      </c>
      <c r="B967" s="302" t="s">
        <v>24778</v>
      </c>
      <c r="C967">
        <v>122939</v>
      </c>
      <c r="D967" s="236" t="s">
        <v>15315</v>
      </c>
      <c r="E967" s="301">
        <v>397.8</v>
      </c>
      <c r="F967" s="303">
        <v>42955</v>
      </c>
      <c r="G967" s="301">
        <v>397.8</v>
      </c>
      <c r="H967" s="304">
        <f>Tabla13[[#This Row],[Importe]]-Tabla13[[#This Row],[Pagado]]</f>
        <v>0</v>
      </c>
      <c r="I967" s="275" t="s">
        <v>15214</v>
      </c>
    </row>
    <row r="968" spans="1:9" x14ac:dyDescent="0.25">
      <c r="A968" s="299">
        <v>42955</v>
      </c>
      <c r="B968" s="302" t="s">
        <v>24779</v>
      </c>
      <c r="C968">
        <v>122940</v>
      </c>
      <c r="D968" s="236" t="s">
        <v>15315</v>
      </c>
      <c r="E968" s="301">
        <v>432.9</v>
      </c>
      <c r="F968" s="303">
        <v>42955</v>
      </c>
      <c r="G968" s="301">
        <v>432.9</v>
      </c>
      <c r="H968" s="304">
        <f>Tabla13[[#This Row],[Importe]]-Tabla13[[#This Row],[Pagado]]</f>
        <v>0</v>
      </c>
      <c r="I968" s="275" t="s">
        <v>15214</v>
      </c>
    </row>
    <row r="969" spans="1:9" x14ac:dyDescent="0.25">
      <c r="A969" s="299">
        <v>42955</v>
      </c>
      <c r="B969" s="302" t="s">
        <v>24780</v>
      </c>
      <c r="C969">
        <v>122941</v>
      </c>
      <c r="D969" s="236" t="s">
        <v>15282</v>
      </c>
      <c r="E969" s="301">
        <v>3005</v>
      </c>
      <c r="F969" s="303">
        <v>42955</v>
      </c>
      <c r="G969" s="301">
        <v>3005</v>
      </c>
      <c r="H969" s="304">
        <f>Tabla13[[#This Row],[Importe]]-Tabla13[[#This Row],[Pagado]]</f>
        <v>0</v>
      </c>
      <c r="I969" s="275" t="s">
        <v>15214</v>
      </c>
    </row>
    <row r="970" spans="1:9" x14ac:dyDescent="0.25">
      <c r="A970" s="299">
        <v>42955</v>
      </c>
      <c r="B970" s="302" t="s">
        <v>24781</v>
      </c>
      <c r="C970">
        <v>122942</v>
      </c>
      <c r="D970" s="236" t="s">
        <v>15577</v>
      </c>
      <c r="E970" s="301">
        <v>455.4</v>
      </c>
      <c r="F970" s="303">
        <v>42955</v>
      </c>
      <c r="G970" s="301">
        <v>455.4</v>
      </c>
      <c r="H970" s="304">
        <f>Tabla13[[#This Row],[Importe]]-Tabla13[[#This Row],[Pagado]]</f>
        <v>0</v>
      </c>
      <c r="I970" s="275" t="s">
        <v>15214</v>
      </c>
    </row>
    <row r="971" spans="1:9" x14ac:dyDescent="0.25">
      <c r="A971" s="299">
        <v>42955</v>
      </c>
      <c r="B971" s="302" t="s">
        <v>24782</v>
      </c>
      <c r="C971">
        <v>122943</v>
      </c>
      <c r="D971" s="236" t="s">
        <v>19699</v>
      </c>
      <c r="E971" s="301">
        <v>1871</v>
      </c>
      <c r="F971" s="303">
        <v>42955</v>
      </c>
      <c r="G971" s="301">
        <v>1871</v>
      </c>
      <c r="H971" s="304">
        <f>Tabla13[[#This Row],[Importe]]-Tabla13[[#This Row],[Pagado]]</f>
        <v>0</v>
      </c>
      <c r="I971" s="275" t="s">
        <v>15214</v>
      </c>
    </row>
    <row r="972" spans="1:9" x14ac:dyDescent="0.25">
      <c r="A972" s="299">
        <v>42955</v>
      </c>
      <c r="B972" s="302" t="s">
        <v>24783</v>
      </c>
      <c r="C972">
        <v>122944</v>
      </c>
      <c r="D972" s="236" t="s">
        <v>15263</v>
      </c>
      <c r="E972" s="301">
        <v>775.4</v>
      </c>
      <c r="F972" s="303">
        <v>42955</v>
      </c>
      <c r="G972" s="301">
        <v>775.4</v>
      </c>
      <c r="H972" s="304">
        <f>Tabla13[[#This Row],[Importe]]-Tabla13[[#This Row],[Pagado]]</f>
        <v>0</v>
      </c>
      <c r="I972" s="275" t="s">
        <v>15214</v>
      </c>
    </row>
    <row r="973" spans="1:9" x14ac:dyDescent="0.25">
      <c r="A973" s="299">
        <v>42955</v>
      </c>
      <c r="B973" s="302" t="s">
        <v>24784</v>
      </c>
      <c r="C973">
        <v>122945</v>
      </c>
      <c r="D973" s="236" t="s">
        <v>19313</v>
      </c>
      <c r="E973" s="301">
        <v>1908</v>
      </c>
      <c r="F973" s="303">
        <v>42955</v>
      </c>
      <c r="G973" s="301">
        <v>1908</v>
      </c>
      <c r="H973" s="304">
        <f>Tabla13[[#This Row],[Importe]]-Tabla13[[#This Row],[Pagado]]</f>
        <v>0</v>
      </c>
      <c r="I973" s="275" t="s">
        <v>15214</v>
      </c>
    </row>
    <row r="974" spans="1:9" x14ac:dyDescent="0.25">
      <c r="A974" s="299">
        <v>42955</v>
      </c>
      <c r="B974" s="302" t="s">
        <v>24785</v>
      </c>
      <c r="C974">
        <v>122946</v>
      </c>
      <c r="D974" s="236" t="s">
        <v>5556</v>
      </c>
      <c r="E974" s="301">
        <v>4268</v>
      </c>
      <c r="F974" s="303">
        <v>42957</v>
      </c>
      <c r="G974" s="301">
        <v>4268</v>
      </c>
      <c r="H974" s="304">
        <f>Tabla13[[#This Row],[Importe]]-Tabla13[[#This Row],[Pagado]]</f>
        <v>0</v>
      </c>
      <c r="I974" s="275" t="s">
        <v>15214</v>
      </c>
    </row>
    <row r="975" spans="1:9" x14ac:dyDescent="0.25">
      <c r="A975" s="299">
        <v>42955</v>
      </c>
      <c r="B975" s="302" t="s">
        <v>24786</v>
      </c>
      <c r="C975">
        <v>122947</v>
      </c>
      <c r="D975" s="236" t="s">
        <v>19776</v>
      </c>
      <c r="E975" s="301">
        <v>28200</v>
      </c>
      <c r="F975" s="303">
        <v>42955</v>
      </c>
      <c r="G975" s="301">
        <v>28200</v>
      </c>
      <c r="H975" s="304">
        <f>Tabla13[[#This Row],[Importe]]-Tabla13[[#This Row],[Pagado]]</f>
        <v>0</v>
      </c>
      <c r="I975" s="275" t="s">
        <v>15214</v>
      </c>
    </row>
    <row r="976" spans="1:9" x14ac:dyDescent="0.25">
      <c r="A976" s="299">
        <v>42955</v>
      </c>
      <c r="B976" s="302" t="s">
        <v>24787</v>
      </c>
      <c r="C976">
        <v>122948</v>
      </c>
      <c r="D976" s="236" t="s">
        <v>15398</v>
      </c>
      <c r="E976" s="301">
        <v>740</v>
      </c>
      <c r="F976" s="303">
        <v>42955</v>
      </c>
      <c r="G976" s="301">
        <v>740</v>
      </c>
      <c r="H976" s="304">
        <f>Tabla13[[#This Row],[Importe]]-Tabla13[[#This Row],[Pagado]]</f>
        <v>0</v>
      </c>
      <c r="I976" s="275" t="s">
        <v>15214</v>
      </c>
    </row>
    <row r="977" spans="1:9" x14ac:dyDescent="0.25">
      <c r="A977" s="299">
        <v>42955</v>
      </c>
      <c r="B977" s="302" t="s">
        <v>24788</v>
      </c>
      <c r="C977">
        <v>122949</v>
      </c>
      <c r="D977" s="236" t="s">
        <v>15298</v>
      </c>
      <c r="E977" s="301">
        <v>650.4</v>
      </c>
      <c r="F977" s="303">
        <v>42955</v>
      </c>
      <c r="G977" s="301">
        <v>650.4</v>
      </c>
      <c r="H977" s="304">
        <f>Tabla13[[#This Row],[Importe]]-Tabla13[[#This Row],[Pagado]]</f>
        <v>0</v>
      </c>
      <c r="I977" s="275" t="s">
        <v>15214</v>
      </c>
    </row>
    <row r="978" spans="1:9" x14ac:dyDescent="0.25">
      <c r="A978" s="299">
        <v>42955</v>
      </c>
      <c r="B978" s="302" t="s">
        <v>24789</v>
      </c>
      <c r="C978">
        <v>122950</v>
      </c>
      <c r="D978" s="236" t="s">
        <v>15246</v>
      </c>
      <c r="E978" s="301">
        <v>148183.4</v>
      </c>
      <c r="F978" s="303">
        <v>42957</v>
      </c>
      <c r="G978" s="301">
        <v>148183.4</v>
      </c>
      <c r="H978" s="304">
        <f>Tabla13[[#This Row],[Importe]]-Tabla13[[#This Row],[Pagado]]</f>
        <v>0</v>
      </c>
      <c r="I978" s="275" t="s">
        <v>15214</v>
      </c>
    </row>
    <row r="979" spans="1:9" x14ac:dyDescent="0.25">
      <c r="A979" s="299">
        <v>42955</v>
      </c>
      <c r="B979" s="302" t="s">
        <v>24790</v>
      </c>
      <c r="C979">
        <v>122951</v>
      </c>
      <c r="D979" s="236" t="s">
        <v>15254</v>
      </c>
      <c r="E979" s="301">
        <v>9283.6</v>
      </c>
      <c r="F979" s="303">
        <v>42963</v>
      </c>
      <c r="G979" s="301">
        <v>9283.6</v>
      </c>
      <c r="H979" s="304">
        <f>Tabla13[[#This Row],[Importe]]-Tabla13[[#This Row],[Pagado]]</f>
        <v>0</v>
      </c>
      <c r="I979" s="275" t="s">
        <v>15214</v>
      </c>
    </row>
    <row r="980" spans="1:9" x14ac:dyDescent="0.25">
      <c r="A980" s="299">
        <v>42955</v>
      </c>
      <c r="B980" s="302" t="s">
        <v>24791</v>
      </c>
      <c r="C980">
        <v>122952</v>
      </c>
      <c r="D980" s="236" t="s">
        <v>15444</v>
      </c>
      <c r="E980" s="301">
        <v>3290.2</v>
      </c>
      <c r="F980" s="303">
        <v>42955</v>
      </c>
      <c r="G980" s="301">
        <v>3290.2</v>
      </c>
      <c r="H980" s="304">
        <f>Tabla13[[#This Row],[Importe]]-Tabla13[[#This Row],[Pagado]]</f>
        <v>0</v>
      </c>
      <c r="I980" s="275" t="s">
        <v>15214</v>
      </c>
    </row>
    <row r="981" spans="1:9" x14ac:dyDescent="0.25">
      <c r="A981" s="299">
        <v>42955</v>
      </c>
      <c r="B981" s="302" t="s">
        <v>24792</v>
      </c>
      <c r="C981">
        <v>122953</v>
      </c>
      <c r="D981" s="236" t="s">
        <v>15541</v>
      </c>
      <c r="E981" s="301">
        <v>889</v>
      </c>
      <c r="F981" s="303">
        <v>42955</v>
      </c>
      <c r="G981" s="301">
        <v>889</v>
      </c>
      <c r="H981" s="304">
        <f>Tabla13[[#This Row],[Importe]]-Tabla13[[#This Row],[Pagado]]</f>
        <v>0</v>
      </c>
      <c r="I981" s="275" t="s">
        <v>15214</v>
      </c>
    </row>
    <row r="982" spans="1:9" x14ac:dyDescent="0.25">
      <c r="A982" s="299">
        <v>42955</v>
      </c>
      <c r="B982" s="302" t="s">
        <v>24793</v>
      </c>
      <c r="C982">
        <v>122954</v>
      </c>
      <c r="D982" s="236" t="s">
        <v>19776</v>
      </c>
      <c r="E982" s="301">
        <v>228</v>
      </c>
      <c r="F982" s="303">
        <v>42955</v>
      </c>
      <c r="G982" s="301">
        <v>228</v>
      </c>
      <c r="H982" s="304">
        <f>Tabla13[[#This Row],[Importe]]-Tabla13[[#This Row],[Pagado]]</f>
        <v>0</v>
      </c>
      <c r="I982" s="275" t="s">
        <v>15214</v>
      </c>
    </row>
    <row r="983" spans="1:9" x14ac:dyDescent="0.25">
      <c r="A983" s="299">
        <v>42955</v>
      </c>
      <c r="B983" s="302" t="s">
        <v>24794</v>
      </c>
      <c r="C983">
        <v>122955</v>
      </c>
      <c r="D983" s="236" t="s">
        <v>15435</v>
      </c>
      <c r="E983" s="301">
        <v>8582.4</v>
      </c>
      <c r="F983" s="303">
        <v>42955</v>
      </c>
      <c r="G983" s="301">
        <v>8582.4</v>
      </c>
      <c r="H983" s="304">
        <f>Tabla13[[#This Row],[Importe]]-Tabla13[[#This Row],[Pagado]]</f>
        <v>0</v>
      </c>
      <c r="I983" s="275" t="s">
        <v>15214</v>
      </c>
    </row>
    <row r="984" spans="1:9" x14ac:dyDescent="0.25">
      <c r="A984" s="299">
        <v>42955</v>
      </c>
      <c r="B984" s="302" t="s">
        <v>24795</v>
      </c>
      <c r="C984">
        <v>122956</v>
      </c>
      <c r="D984" s="236" t="s">
        <v>15246</v>
      </c>
      <c r="E984" s="301">
        <v>97341.08</v>
      </c>
      <c r="F984" s="303">
        <v>42957</v>
      </c>
      <c r="G984" s="301">
        <v>97341.08</v>
      </c>
      <c r="H984" s="304">
        <f>Tabla13[[#This Row],[Importe]]-Tabla13[[#This Row],[Pagado]]</f>
        <v>0</v>
      </c>
      <c r="I984" s="275" t="s">
        <v>15214</v>
      </c>
    </row>
    <row r="985" spans="1:9" x14ac:dyDescent="0.25">
      <c r="A985" s="299">
        <v>42955</v>
      </c>
      <c r="B985" s="302" t="s">
        <v>24796</v>
      </c>
      <c r="C985">
        <v>122957</v>
      </c>
      <c r="D985" s="236" t="s">
        <v>15642</v>
      </c>
      <c r="E985" s="301">
        <v>2400.3000000000002</v>
      </c>
      <c r="F985" s="303">
        <v>42955</v>
      </c>
      <c r="G985" s="301">
        <v>2400.3000000000002</v>
      </c>
      <c r="H985" s="304">
        <f>Tabla13[[#This Row],[Importe]]-Tabla13[[#This Row],[Pagado]]</f>
        <v>0</v>
      </c>
      <c r="I985" s="275" t="s">
        <v>15214</v>
      </c>
    </row>
    <row r="986" spans="1:9" x14ac:dyDescent="0.25">
      <c r="A986" s="299">
        <v>42955</v>
      </c>
      <c r="B986" s="302" t="s">
        <v>24797</v>
      </c>
      <c r="C986">
        <v>122958</v>
      </c>
      <c r="D986" s="236" t="s">
        <v>15365</v>
      </c>
      <c r="E986" s="301">
        <v>271151</v>
      </c>
      <c r="F986" s="303">
        <v>42960</v>
      </c>
      <c r="G986" s="301">
        <v>271151</v>
      </c>
      <c r="H986" s="304">
        <f>Tabla13[[#This Row],[Importe]]-Tabla13[[#This Row],[Pagado]]</f>
        <v>0</v>
      </c>
      <c r="I986" s="275" t="s">
        <v>15214</v>
      </c>
    </row>
    <row r="987" spans="1:9" ht="15.75" x14ac:dyDescent="0.25">
      <c r="A987" s="299">
        <v>42956</v>
      </c>
      <c r="B987" s="302" t="s">
        <v>24798</v>
      </c>
      <c r="C987">
        <v>122959</v>
      </c>
      <c r="D987" s="248" t="s">
        <v>95</v>
      </c>
      <c r="E987" s="301">
        <v>0</v>
      </c>
      <c r="F987" s="243" t="s">
        <v>95</v>
      </c>
      <c r="G987" s="301">
        <v>0</v>
      </c>
      <c r="H987" s="304">
        <f>Tabla13[[#This Row],[Importe]]-Tabla13[[#This Row],[Pagado]]</f>
        <v>0</v>
      </c>
      <c r="I987" s="275" t="s">
        <v>95</v>
      </c>
    </row>
    <row r="988" spans="1:9" x14ac:dyDescent="0.25">
      <c r="A988" s="299">
        <v>42956</v>
      </c>
      <c r="B988" s="302" t="s">
        <v>24799</v>
      </c>
      <c r="C988">
        <v>122960</v>
      </c>
      <c r="D988" s="236" t="s">
        <v>15213</v>
      </c>
      <c r="E988" s="301">
        <v>34872.449999999997</v>
      </c>
      <c r="F988" s="303">
        <v>42957</v>
      </c>
      <c r="G988" s="301">
        <v>34872.449999999997</v>
      </c>
      <c r="H988" s="304">
        <f>Tabla13[[#This Row],[Importe]]-Tabla13[[#This Row],[Pagado]]</f>
        <v>0</v>
      </c>
      <c r="I988" s="275" t="s">
        <v>15214</v>
      </c>
    </row>
    <row r="989" spans="1:9" ht="30" x14ac:dyDescent="0.25">
      <c r="A989" s="299">
        <v>42956</v>
      </c>
      <c r="B989" s="302" t="s">
        <v>24800</v>
      </c>
      <c r="C989">
        <v>122961</v>
      </c>
      <c r="D989" s="236" t="s">
        <v>21386</v>
      </c>
      <c r="E989" s="301">
        <v>7220</v>
      </c>
      <c r="F989" s="303" t="s">
        <v>24704</v>
      </c>
      <c r="G989" s="305">
        <f>5000+2220</f>
        <v>7220</v>
      </c>
      <c r="H989" s="304">
        <f>Tabla13[[#This Row],[Importe]]-Tabla13[[#This Row],[Pagado]]</f>
        <v>0</v>
      </c>
      <c r="I989" s="275" t="s">
        <v>15214</v>
      </c>
    </row>
    <row r="990" spans="1:9" x14ac:dyDescent="0.25">
      <c r="A990" s="299">
        <v>42956</v>
      </c>
      <c r="B990" s="302" t="s">
        <v>24801</v>
      </c>
      <c r="C990">
        <v>122962</v>
      </c>
      <c r="D990" s="236" t="s">
        <v>15216</v>
      </c>
      <c r="E990" s="301">
        <v>1155</v>
      </c>
      <c r="F990" s="303">
        <v>42956</v>
      </c>
      <c r="G990" s="301">
        <v>1155</v>
      </c>
      <c r="H990" s="304">
        <f>Tabla13[[#This Row],[Importe]]-Tabla13[[#This Row],[Pagado]]</f>
        <v>0</v>
      </c>
      <c r="I990" s="275" t="s">
        <v>15214</v>
      </c>
    </row>
    <row r="991" spans="1:9" x14ac:dyDescent="0.25">
      <c r="A991" s="299">
        <v>42956</v>
      </c>
      <c r="B991" s="302" t="s">
        <v>24802</v>
      </c>
      <c r="C991">
        <v>122963</v>
      </c>
      <c r="D991" s="236" t="s">
        <v>17235</v>
      </c>
      <c r="E991" s="301">
        <v>980</v>
      </c>
      <c r="F991" s="303">
        <v>42956</v>
      </c>
      <c r="G991" s="301">
        <v>980</v>
      </c>
      <c r="H991" s="304">
        <f>Tabla13[[#This Row],[Importe]]-Tabla13[[#This Row],[Pagado]]</f>
        <v>0</v>
      </c>
      <c r="I991" s="275" t="s">
        <v>15214</v>
      </c>
    </row>
    <row r="992" spans="1:9" x14ac:dyDescent="0.25">
      <c r="A992" s="299">
        <v>42956</v>
      </c>
      <c r="B992" s="302" t="s">
        <v>24803</v>
      </c>
      <c r="C992">
        <v>122964</v>
      </c>
      <c r="D992" s="236" t="s">
        <v>15220</v>
      </c>
      <c r="E992" s="301">
        <v>2450</v>
      </c>
      <c r="F992" s="303">
        <v>42956</v>
      </c>
      <c r="G992" s="301">
        <v>2450</v>
      </c>
      <c r="H992" s="304">
        <f>Tabla13[[#This Row],[Importe]]-Tabla13[[#This Row],[Pagado]]</f>
        <v>0</v>
      </c>
      <c r="I992" s="275" t="s">
        <v>15214</v>
      </c>
    </row>
    <row r="993" spans="1:9" x14ac:dyDescent="0.25">
      <c r="A993" s="299">
        <v>42956</v>
      </c>
      <c r="B993" s="302" t="s">
        <v>24804</v>
      </c>
      <c r="C993">
        <v>122965</v>
      </c>
      <c r="D993" s="236" t="s">
        <v>15272</v>
      </c>
      <c r="E993" s="301">
        <v>16680.5</v>
      </c>
      <c r="F993" s="303">
        <v>42956</v>
      </c>
      <c r="G993" s="301">
        <v>16680.5</v>
      </c>
      <c r="H993" s="304">
        <f>Tabla13[[#This Row],[Importe]]-Tabla13[[#This Row],[Pagado]]</f>
        <v>0</v>
      </c>
      <c r="I993" s="275" t="s">
        <v>15214</v>
      </c>
    </row>
    <row r="994" spans="1:9" x14ac:dyDescent="0.25">
      <c r="A994" s="299">
        <v>42956</v>
      </c>
      <c r="B994" s="302" t="s">
        <v>24805</v>
      </c>
      <c r="C994">
        <v>122966</v>
      </c>
      <c r="D994" s="236" t="s">
        <v>15272</v>
      </c>
      <c r="E994" s="301">
        <v>292.8</v>
      </c>
      <c r="F994" s="303">
        <v>42956</v>
      </c>
      <c r="G994" s="301">
        <v>292.8</v>
      </c>
      <c r="H994" s="304">
        <f>Tabla13[[#This Row],[Importe]]-Tabla13[[#This Row],[Pagado]]</f>
        <v>0</v>
      </c>
      <c r="I994" s="275" t="s">
        <v>15214</v>
      </c>
    </row>
    <row r="995" spans="1:9" x14ac:dyDescent="0.25">
      <c r="A995" s="299">
        <v>42956</v>
      </c>
      <c r="B995" s="302" t="s">
        <v>24806</v>
      </c>
      <c r="C995">
        <v>122967</v>
      </c>
      <c r="D995" s="236" t="s">
        <v>15232</v>
      </c>
      <c r="E995" s="301">
        <v>7250.5</v>
      </c>
      <c r="F995" s="303">
        <v>42964</v>
      </c>
      <c r="G995" s="301">
        <v>7250.5</v>
      </c>
      <c r="H995" s="304">
        <f>Tabla13[[#This Row],[Importe]]-Tabla13[[#This Row],[Pagado]]</f>
        <v>0</v>
      </c>
      <c r="I995" s="275" t="s">
        <v>15214</v>
      </c>
    </row>
    <row r="996" spans="1:9" x14ac:dyDescent="0.25">
      <c r="A996" s="299">
        <v>42956</v>
      </c>
      <c r="B996" s="302" t="s">
        <v>24807</v>
      </c>
      <c r="C996">
        <v>122968</v>
      </c>
      <c r="D996" s="236" t="s">
        <v>15230</v>
      </c>
      <c r="E996" s="301">
        <v>9962</v>
      </c>
      <c r="F996" s="303">
        <v>44054</v>
      </c>
      <c r="G996" s="301">
        <v>9962</v>
      </c>
      <c r="H996" s="304">
        <f>Tabla13[[#This Row],[Importe]]-Tabla13[[#This Row],[Pagado]]</f>
        <v>0</v>
      </c>
      <c r="I996" s="275" t="s">
        <v>15214</v>
      </c>
    </row>
    <row r="997" spans="1:9" x14ac:dyDescent="0.25">
      <c r="A997" s="299">
        <v>42956</v>
      </c>
      <c r="B997" s="302" t="s">
        <v>24808</v>
      </c>
      <c r="C997">
        <v>122969</v>
      </c>
      <c r="D997" s="236" t="s">
        <v>15256</v>
      </c>
      <c r="E997" s="301">
        <v>3486</v>
      </c>
      <c r="F997" s="303">
        <v>42958</v>
      </c>
      <c r="G997" s="301">
        <v>3486</v>
      </c>
      <c r="H997" s="304">
        <f>Tabla13[[#This Row],[Importe]]-Tabla13[[#This Row],[Pagado]]</f>
        <v>0</v>
      </c>
      <c r="I997" s="275" t="s">
        <v>15214</v>
      </c>
    </row>
    <row r="998" spans="1:9" x14ac:dyDescent="0.25">
      <c r="A998" s="299">
        <v>42956</v>
      </c>
      <c r="B998" s="302" t="s">
        <v>24809</v>
      </c>
      <c r="C998">
        <v>122970</v>
      </c>
      <c r="D998" s="236" t="s">
        <v>15480</v>
      </c>
      <c r="E998" s="301">
        <v>3793.1</v>
      </c>
      <c r="F998" s="303">
        <v>42959</v>
      </c>
      <c r="G998" s="301">
        <v>3793.1</v>
      </c>
      <c r="H998" s="304">
        <f>Tabla13[[#This Row],[Importe]]-Tabla13[[#This Row],[Pagado]]</f>
        <v>0</v>
      </c>
      <c r="I998" s="275" t="s">
        <v>15214</v>
      </c>
    </row>
    <row r="999" spans="1:9" x14ac:dyDescent="0.25">
      <c r="A999" s="299">
        <v>42956</v>
      </c>
      <c r="B999" s="302" t="s">
        <v>24810</v>
      </c>
      <c r="C999">
        <v>122971</v>
      </c>
      <c r="D999" s="236" t="s">
        <v>5575</v>
      </c>
      <c r="E999" s="301">
        <v>3469.4</v>
      </c>
      <c r="F999" s="303">
        <v>42957</v>
      </c>
      <c r="G999" s="301">
        <v>3469.4</v>
      </c>
      <c r="H999" s="304">
        <f>Tabla13[[#This Row],[Importe]]-Tabla13[[#This Row],[Pagado]]</f>
        <v>0</v>
      </c>
      <c r="I999" s="275" t="s">
        <v>15214</v>
      </c>
    </row>
    <row r="1000" spans="1:9" x14ac:dyDescent="0.25">
      <c r="A1000" s="299">
        <v>42956</v>
      </c>
      <c r="B1000" s="302" t="s">
        <v>24811</v>
      </c>
      <c r="C1000">
        <v>122972</v>
      </c>
      <c r="D1000" s="236" t="s">
        <v>15324</v>
      </c>
      <c r="E1000" s="301">
        <v>2298</v>
      </c>
      <c r="F1000" s="303">
        <v>42956</v>
      </c>
      <c r="G1000" s="301">
        <v>2298</v>
      </c>
      <c r="H1000" s="304">
        <f>Tabla13[[#This Row],[Importe]]-Tabla13[[#This Row],[Pagado]]</f>
        <v>0</v>
      </c>
      <c r="I1000" s="275" t="s">
        <v>15214</v>
      </c>
    </row>
    <row r="1001" spans="1:9" x14ac:dyDescent="0.25">
      <c r="A1001" s="299">
        <v>42956</v>
      </c>
      <c r="B1001" s="302" t="s">
        <v>24812</v>
      </c>
      <c r="C1001">
        <v>122973</v>
      </c>
      <c r="D1001" s="236" t="s">
        <v>15568</v>
      </c>
      <c r="E1001" s="301">
        <v>16668.599999999999</v>
      </c>
      <c r="F1001" s="303">
        <v>42957</v>
      </c>
      <c r="G1001" s="301">
        <v>16668.599999999999</v>
      </c>
      <c r="H1001" s="304">
        <f>Tabla13[[#This Row],[Importe]]-Tabla13[[#This Row],[Pagado]]</f>
        <v>0</v>
      </c>
      <c r="I1001" s="275" t="s">
        <v>15214</v>
      </c>
    </row>
    <row r="1002" spans="1:9" x14ac:dyDescent="0.25">
      <c r="A1002" s="299">
        <v>42956</v>
      </c>
      <c r="B1002" s="302" t="s">
        <v>24813</v>
      </c>
      <c r="C1002">
        <v>122974</v>
      </c>
      <c r="D1002" s="236" t="s">
        <v>15391</v>
      </c>
      <c r="E1002" s="301">
        <v>7289</v>
      </c>
      <c r="F1002" s="303">
        <v>42959</v>
      </c>
      <c r="G1002" s="301">
        <v>7289</v>
      </c>
      <c r="H1002" s="304">
        <f>Tabla13[[#This Row],[Importe]]-Tabla13[[#This Row],[Pagado]]</f>
        <v>0</v>
      </c>
      <c r="I1002" s="275" t="s">
        <v>15214</v>
      </c>
    </row>
    <row r="1003" spans="1:9" x14ac:dyDescent="0.25">
      <c r="A1003" s="299">
        <v>42956</v>
      </c>
      <c r="B1003" s="302" t="s">
        <v>24814</v>
      </c>
      <c r="C1003">
        <v>122975</v>
      </c>
      <c r="D1003" s="236" t="s">
        <v>15223</v>
      </c>
      <c r="E1003" s="301">
        <v>49500</v>
      </c>
      <c r="F1003" s="303">
        <v>42976</v>
      </c>
      <c r="G1003" s="301">
        <v>49500</v>
      </c>
      <c r="H1003" s="304">
        <f>Tabla13[[#This Row],[Importe]]-Tabla13[[#This Row],[Pagado]]</f>
        <v>0</v>
      </c>
      <c r="I1003" s="275" t="s">
        <v>15214</v>
      </c>
    </row>
    <row r="1004" spans="1:9" ht="15.75" x14ac:dyDescent="0.25">
      <c r="A1004" s="299">
        <v>42956</v>
      </c>
      <c r="B1004" s="302" t="s">
        <v>24815</v>
      </c>
      <c r="C1004">
        <v>122976</v>
      </c>
      <c r="D1004" s="248" t="s">
        <v>95</v>
      </c>
      <c r="E1004" s="301">
        <v>0</v>
      </c>
      <c r="F1004" s="243" t="s">
        <v>95</v>
      </c>
      <c r="G1004" s="301">
        <v>0</v>
      </c>
      <c r="H1004" s="304">
        <f>Tabla13[[#This Row],[Importe]]-Tabla13[[#This Row],[Pagado]]</f>
        <v>0</v>
      </c>
      <c r="I1004" s="275" t="s">
        <v>95</v>
      </c>
    </row>
    <row r="1005" spans="1:9" x14ac:dyDescent="0.25">
      <c r="A1005" s="299">
        <v>42956</v>
      </c>
      <c r="B1005" s="302" t="s">
        <v>24816</v>
      </c>
      <c r="C1005">
        <v>122977</v>
      </c>
      <c r="D1005" s="236" t="s">
        <v>15242</v>
      </c>
      <c r="E1005" s="301">
        <v>9081.6</v>
      </c>
      <c r="F1005" s="303">
        <v>42956</v>
      </c>
      <c r="G1005" s="301">
        <v>9081.6</v>
      </c>
      <c r="H1005" s="304">
        <f>Tabla13[[#This Row],[Importe]]-Tabla13[[#This Row],[Pagado]]</f>
        <v>0</v>
      </c>
      <c r="I1005" s="275" t="s">
        <v>15214</v>
      </c>
    </row>
    <row r="1006" spans="1:9" x14ac:dyDescent="0.25">
      <c r="A1006" s="299">
        <v>42956</v>
      </c>
      <c r="B1006" s="302" t="s">
        <v>24817</v>
      </c>
      <c r="C1006">
        <v>122978</v>
      </c>
      <c r="D1006" s="236" t="s">
        <v>15234</v>
      </c>
      <c r="E1006" s="301">
        <v>4133.3999999999996</v>
      </c>
      <c r="F1006" s="303">
        <v>42959</v>
      </c>
      <c r="G1006" s="301">
        <v>4133.3999999999996</v>
      </c>
      <c r="H1006" s="304">
        <f>Tabla13[[#This Row],[Importe]]-Tabla13[[#This Row],[Pagado]]</f>
        <v>0</v>
      </c>
      <c r="I1006" s="275" t="s">
        <v>15214</v>
      </c>
    </row>
    <row r="1007" spans="1:9" x14ac:dyDescent="0.25">
      <c r="A1007" s="299">
        <v>42956</v>
      </c>
      <c r="B1007" s="302" t="s">
        <v>24818</v>
      </c>
      <c r="C1007">
        <v>122979</v>
      </c>
      <c r="D1007" s="236" t="s">
        <v>15348</v>
      </c>
      <c r="E1007" s="301">
        <v>2769.3</v>
      </c>
      <c r="F1007" s="303">
        <v>42957</v>
      </c>
      <c r="G1007" s="301">
        <v>2769.3</v>
      </c>
      <c r="H1007" s="304">
        <f>Tabla13[[#This Row],[Importe]]-Tabla13[[#This Row],[Pagado]]</f>
        <v>0</v>
      </c>
      <c r="I1007" s="275" t="s">
        <v>15214</v>
      </c>
    </row>
    <row r="1008" spans="1:9" x14ac:dyDescent="0.25">
      <c r="A1008" s="299">
        <v>42956</v>
      </c>
      <c r="B1008" s="302" t="s">
        <v>24819</v>
      </c>
      <c r="C1008">
        <v>122980</v>
      </c>
      <c r="D1008" s="236" t="s">
        <v>15240</v>
      </c>
      <c r="E1008" s="301">
        <v>3085.5</v>
      </c>
      <c r="F1008" s="303">
        <v>42957</v>
      </c>
      <c r="G1008" s="301">
        <v>3085.5</v>
      </c>
      <c r="H1008" s="304">
        <f>Tabla13[[#This Row],[Importe]]-Tabla13[[#This Row],[Pagado]]</f>
        <v>0</v>
      </c>
      <c r="I1008" s="275" t="s">
        <v>15214</v>
      </c>
    </row>
    <row r="1009" spans="1:9" ht="15.75" x14ac:dyDescent="0.25">
      <c r="A1009" s="299">
        <v>42956</v>
      </c>
      <c r="B1009" s="302" t="s">
        <v>24820</v>
      </c>
      <c r="C1009">
        <v>122981</v>
      </c>
      <c r="D1009" s="248" t="s">
        <v>95</v>
      </c>
      <c r="E1009" s="301">
        <v>0</v>
      </c>
      <c r="F1009" s="243" t="s">
        <v>95</v>
      </c>
      <c r="G1009" s="301">
        <v>0</v>
      </c>
      <c r="H1009" s="304">
        <f>Tabla13[[#This Row],[Importe]]-Tabla13[[#This Row],[Pagado]]</f>
        <v>0</v>
      </c>
      <c r="I1009" s="275" t="s">
        <v>95</v>
      </c>
    </row>
    <row r="1010" spans="1:9" x14ac:dyDescent="0.25">
      <c r="A1010" s="299">
        <v>42956</v>
      </c>
      <c r="B1010" s="302" t="s">
        <v>24821</v>
      </c>
      <c r="C1010">
        <v>122982</v>
      </c>
      <c r="D1010" s="236" t="s">
        <v>15332</v>
      </c>
      <c r="E1010" s="301">
        <v>4507.3999999999996</v>
      </c>
      <c r="F1010" s="303">
        <v>42956</v>
      </c>
      <c r="G1010" s="301">
        <v>4507.3999999999996</v>
      </c>
      <c r="H1010" s="304">
        <f>Tabla13[[#This Row],[Importe]]-Tabla13[[#This Row],[Pagado]]</f>
        <v>0</v>
      </c>
      <c r="I1010" s="275" t="s">
        <v>15214</v>
      </c>
    </row>
    <row r="1011" spans="1:9" x14ac:dyDescent="0.25">
      <c r="A1011" s="299">
        <v>42956</v>
      </c>
      <c r="B1011" s="302" t="s">
        <v>24822</v>
      </c>
      <c r="C1011">
        <v>122983</v>
      </c>
      <c r="D1011" s="236" t="s">
        <v>15681</v>
      </c>
      <c r="E1011" s="301">
        <v>2347.1999999999998</v>
      </c>
      <c r="F1011" s="303">
        <v>42956</v>
      </c>
      <c r="G1011" s="301">
        <v>2347.1999999999998</v>
      </c>
      <c r="H1011" s="304">
        <f>Tabla13[[#This Row],[Importe]]-Tabla13[[#This Row],[Pagado]]</f>
        <v>0</v>
      </c>
      <c r="I1011" s="275" t="s">
        <v>15214</v>
      </c>
    </row>
    <row r="1012" spans="1:9" x14ac:dyDescent="0.25">
      <c r="A1012" s="299">
        <v>42956</v>
      </c>
      <c r="B1012" s="302" t="s">
        <v>24823</v>
      </c>
      <c r="C1012">
        <v>122984</v>
      </c>
      <c r="D1012" s="236" t="s">
        <v>18544</v>
      </c>
      <c r="E1012" s="301">
        <v>8152.8</v>
      </c>
      <c r="F1012" s="303">
        <v>42956</v>
      </c>
      <c r="G1012" s="301">
        <v>8152.8</v>
      </c>
      <c r="H1012" s="304">
        <f>Tabla13[[#This Row],[Importe]]-Tabla13[[#This Row],[Pagado]]</f>
        <v>0</v>
      </c>
      <c r="I1012" s="275" t="s">
        <v>15214</v>
      </c>
    </row>
    <row r="1013" spans="1:9" x14ac:dyDescent="0.25">
      <c r="A1013" s="299">
        <v>42956</v>
      </c>
      <c r="B1013" s="302" t="s">
        <v>24824</v>
      </c>
      <c r="C1013">
        <v>122985</v>
      </c>
      <c r="D1013" s="236" t="s">
        <v>15238</v>
      </c>
      <c r="E1013" s="301">
        <v>1124.8</v>
      </c>
      <c r="F1013" s="303">
        <v>42958</v>
      </c>
      <c r="G1013" s="301">
        <v>1124.8</v>
      </c>
      <c r="H1013" s="304">
        <f>Tabla13[[#This Row],[Importe]]-Tabla13[[#This Row],[Pagado]]</f>
        <v>0</v>
      </c>
      <c r="I1013" s="275" t="s">
        <v>15214</v>
      </c>
    </row>
    <row r="1014" spans="1:9" x14ac:dyDescent="0.25">
      <c r="A1014" s="299">
        <v>42956</v>
      </c>
      <c r="B1014" s="302" t="s">
        <v>24825</v>
      </c>
      <c r="C1014">
        <v>122986</v>
      </c>
      <c r="D1014" s="236" t="s">
        <v>15385</v>
      </c>
      <c r="E1014" s="301">
        <v>412.5</v>
      </c>
      <c r="F1014" s="303">
        <v>42957</v>
      </c>
      <c r="G1014" s="301">
        <v>412.5</v>
      </c>
      <c r="H1014" s="304">
        <f>Tabla13[[#This Row],[Importe]]-Tabla13[[#This Row],[Pagado]]</f>
        <v>0</v>
      </c>
      <c r="I1014" s="275" t="s">
        <v>15214</v>
      </c>
    </row>
    <row r="1015" spans="1:9" ht="15.75" x14ac:dyDescent="0.25">
      <c r="A1015" s="299">
        <v>42956</v>
      </c>
      <c r="B1015" s="302" t="s">
        <v>24826</v>
      </c>
      <c r="C1015">
        <v>122987</v>
      </c>
      <c r="D1015" s="248" t="s">
        <v>95</v>
      </c>
      <c r="E1015" s="301">
        <v>0</v>
      </c>
      <c r="F1015" s="243" t="s">
        <v>95</v>
      </c>
      <c r="G1015" s="301">
        <v>0</v>
      </c>
      <c r="H1015" s="304">
        <f>Tabla13[[#This Row],[Importe]]-Tabla13[[#This Row],[Pagado]]</f>
        <v>0</v>
      </c>
      <c r="I1015" s="275" t="s">
        <v>95</v>
      </c>
    </row>
    <row r="1016" spans="1:9" ht="15.75" x14ac:dyDescent="0.25">
      <c r="A1016" s="299">
        <v>42956</v>
      </c>
      <c r="B1016" s="302" t="s">
        <v>24827</v>
      </c>
      <c r="C1016">
        <v>122988</v>
      </c>
      <c r="D1016" s="248" t="s">
        <v>95</v>
      </c>
      <c r="E1016" s="301">
        <v>0</v>
      </c>
      <c r="F1016" s="243" t="s">
        <v>95</v>
      </c>
      <c r="G1016" s="301">
        <v>0</v>
      </c>
      <c r="H1016" s="304">
        <f>Tabla13[[#This Row],[Importe]]-Tabla13[[#This Row],[Pagado]]</f>
        <v>0</v>
      </c>
      <c r="I1016" s="275" t="s">
        <v>95</v>
      </c>
    </row>
    <row r="1017" spans="1:9" x14ac:dyDescent="0.25">
      <c r="A1017" s="299">
        <v>42956</v>
      </c>
      <c r="B1017" s="302" t="s">
        <v>24828</v>
      </c>
      <c r="C1017">
        <v>122989</v>
      </c>
      <c r="D1017" s="236" t="s">
        <v>15861</v>
      </c>
      <c r="E1017" s="301">
        <v>2366.6</v>
      </c>
      <c r="F1017" s="303">
        <v>42956</v>
      </c>
      <c r="G1017" s="301">
        <v>2366.6</v>
      </c>
      <c r="H1017" s="304">
        <f>Tabla13[[#This Row],[Importe]]-Tabla13[[#This Row],[Pagado]]</f>
        <v>0</v>
      </c>
      <c r="I1017" s="275" t="s">
        <v>15214</v>
      </c>
    </row>
    <row r="1018" spans="1:9" x14ac:dyDescent="0.25">
      <c r="A1018" s="299">
        <v>42956</v>
      </c>
      <c r="B1018" s="302" t="s">
        <v>24829</v>
      </c>
      <c r="C1018">
        <v>122990</v>
      </c>
      <c r="D1018" s="236" t="s">
        <v>15330</v>
      </c>
      <c r="E1018" s="301">
        <v>3681.5</v>
      </c>
      <c r="F1018" s="303">
        <v>42956</v>
      </c>
      <c r="G1018" s="301">
        <v>3681.5</v>
      </c>
      <c r="H1018" s="304">
        <f>Tabla13[[#This Row],[Importe]]-Tabla13[[#This Row],[Pagado]]</f>
        <v>0</v>
      </c>
      <c r="I1018" s="275" t="s">
        <v>15214</v>
      </c>
    </row>
    <row r="1019" spans="1:9" x14ac:dyDescent="0.25">
      <c r="A1019" s="299">
        <v>42956</v>
      </c>
      <c r="B1019" s="302" t="s">
        <v>24830</v>
      </c>
      <c r="C1019">
        <v>122991</v>
      </c>
      <c r="D1019" s="236" t="s">
        <v>15480</v>
      </c>
      <c r="E1019" s="301">
        <v>210</v>
      </c>
      <c r="F1019" s="303">
        <v>42957</v>
      </c>
      <c r="G1019" s="301">
        <v>210</v>
      </c>
      <c r="H1019" s="304">
        <f>Tabla13[[#This Row],[Importe]]-Tabla13[[#This Row],[Pagado]]</f>
        <v>0</v>
      </c>
      <c r="I1019" s="275" t="s">
        <v>15214</v>
      </c>
    </row>
    <row r="1020" spans="1:9" x14ac:dyDescent="0.25">
      <c r="A1020" s="299">
        <v>42956</v>
      </c>
      <c r="B1020" s="302" t="s">
        <v>24831</v>
      </c>
      <c r="C1020">
        <v>122992</v>
      </c>
      <c r="D1020" s="236" t="s">
        <v>16732</v>
      </c>
      <c r="E1020" s="301">
        <v>33338.9</v>
      </c>
      <c r="F1020" s="303">
        <v>42957</v>
      </c>
      <c r="G1020" s="301">
        <v>33338.9</v>
      </c>
      <c r="H1020" s="304">
        <f>Tabla13[[#This Row],[Importe]]-Tabla13[[#This Row],[Pagado]]</f>
        <v>0</v>
      </c>
      <c r="I1020" s="275" t="s">
        <v>15214</v>
      </c>
    </row>
    <row r="1021" spans="1:9" x14ac:dyDescent="0.25">
      <c r="A1021" s="299">
        <v>42956</v>
      </c>
      <c r="B1021" s="302" t="s">
        <v>24832</v>
      </c>
      <c r="C1021">
        <v>122993</v>
      </c>
      <c r="D1021" s="236" t="s">
        <v>15568</v>
      </c>
      <c r="E1021" s="301">
        <v>3552.4</v>
      </c>
      <c r="F1021" s="303">
        <v>42957</v>
      </c>
      <c r="G1021" s="301">
        <v>3552.4</v>
      </c>
      <c r="H1021" s="304">
        <f>Tabla13[[#This Row],[Importe]]-Tabla13[[#This Row],[Pagado]]</f>
        <v>0</v>
      </c>
      <c r="I1021" s="275" t="s">
        <v>15214</v>
      </c>
    </row>
    <row r="1022" spans="1:9" x14ac:dyDescent="0.25">
      <c r="A1022" s="299">
        <v>42956</v>
      </c>
      <c r="B1022" s="302" t="s">
        <v>24833</v>
      </c>
      <c r="C1022">
        <v>122994</v>
      </c>
      <c r="D1022" s="236" t="s">
        <v>15385</v>
      </c>
      <c r="E1022" s="301">
        <v>15133.2</v>
      </c>
      <c r="F1022" s="303">
        <v>42957</v>
      </c>
      <c r="G1022" s="301">
        <v>15133.2</v>
      </c>
      <c r="H1022" s="304">
        <f>Tabla13[[#This Row],[Importe]]-Tabla13[[#This Row],[Pagado]]</f>
        <v>0</v>
      </c>
      <c r="I1022" s="275" t="s">
        <v>15214</v>
      </c>
    </row>
    <row r="1023" spans="1:9" ht="15.75" x14ac:dyDescent="0.25">
      <c r="A1023" s="299">
        <v>42956</v>
      </c>
      <c r="B1023" s="302" t="s">
        <v>24834</v>
      </c>
      <c r="C1023">
        <v>122995</v>
      </c>
      <c r="D1023" s="248" t="s">
        <v>95</v>
      </c>
      <c r="E1023" s="301">
        <v>0</v>
      </c>
      <c r="F1023" s="243" t="s">
        <v>95</v>
      </c>
      <c r="G1023" s="301">
        <v>0</v>
      </c>
      <c r="H1023" s="304">
        <f>Tabla13[[#This Row],[Importe]]-Tabla13[[#This Row],[Pagado]]</f>
        <v>0</v>
      </c>
      <c r="I1023" s="275" t="s">
        <v>95</v>
      </c>
    </row>
    <row r="1024" spans="1:9" x14ac:dyDescent="0.25">
      <c r="A1024" s="299">
        <v>42956</v>
      </c>
      <c r="B1024" s="302" t="s">
        <v>24835</v>
      </c>
      <c r="C1024">
        <v>122996</v>
      </c>
      <c r="D1024" s="236" t="s">
        <v>15537</v>
      </c>
      <c r="E1024" s="301">
        <v>22980.799999999999</v>
      </c>
      <c r="F1024" s="303">
        <v>42964</v>
      </c>
      <c r="G1024" s="301">
        <v>22980.799999999999</v>
      </c>
      <c r="H1024" s="304">
        <f>Tabla13[[#This Row],[Importe]]-Tabla13[[#This Row],[Pagado]]</f>
        <v>0</v>
      </c>
      <c r="I1024" s="275" t="s">
        <v>15214</v>
      </c>
    </row>
    <row r="1025" spans="1:9" x14ac:dyDescent="0.25">
      <c r="A1025" s="299">
        <v>42956</v>
      </c>
      <c r="B1025" s="302" t="s">
        <v>24836</v>
      </c>
      <c r="C1025">
        <v>122997</v>
      </c>
      <c r="D1025" s="236" t="s">
        <v>15539</v>
      </c>
      <c r="E1025" s="301">
        <v>21674.25</v>
      </c>
      <c r="F1025" s="303">
        <v>42964</v>
      </c>
      <c r="G1025" s="301">
        <v>21674.25</v>
      </c>
      <c r="H1025" s="304">
        <f>Tabla13[[#This Row],[Importe]]-Tabla13[[#This Row],[Pagado]]</f>
        <v>0</v>
      </c>
      <c r="I1025" s="275" t="s">
        <v>15214</v>
      </c>
    </row>
    <row r="1026" spans="1:9" x14ac:dyDescent="0.25">
      <c r="A1026" s="299">
        <v>42956</v>
      </c>
      <c r="B1026" s="302" t="s">
        <v>24837</v>
      </c>
      <c r="C1026">
        <v>122998</v>
      </c>
      <c r="D1026" s="236" t="s">
        <v>17462</v>
      </c>
      <c r="E1026" s="301">
        <v>5210.3999999999996</v>
      </c>
      <c r="F1026" s="303">
        <v>42956</v>
      </c>
      <c r="G1026" s="301">
        <v>5210.3999999999996</v>
      </c>
      <c r="H1026" s="304">
        <f>Tabla13[[#This Row],[Importe]]-Tabla13[[#This Row],[Pagado]]</f>
        <v>0</v>
      </c>
      <c r="I1026" s="275" t="s">
        <v>15214</v>
      </c>
    </row>
    <row r="1027" spans="1:9" x14ac:dyDescent="0.25">
      <c r="A1027" s="299">
        <v>42956</v>
      </c>
      <c r="B1027" s="302" t="s">
        <v>24838</v>
      </c>
      <c r="C1027">
        <v>122999</v>
      </c>
      <c r="D1027" s="236" t="s">
        <v>16383</v>
      </c>
      <c r="E1027" s="301">
        <v>9893.7999999999993</v>
      </c>
      <c r="F1027" s="303">
        <v>42956</v>
      </c>
      <c r="G1027" s="301">
        <v>9893.7999999999993</v>
      </c>
      <c r="H1027" s="304">
        <f>Tabla13[[#This Row],[Importe]]-Tabla13[[#This Row],[Pagado]]</f>
        <v>0</v>
      </c>
      <c r="I1027" s="275" t="s">
        <v>15214</v>
      </c>
    </row>
    <row r="1028" spans="1:9" x14ac:dyDescent="0.25">
      <c r="A1028" s="299">
        <v>42956</v>
      </c>
      <c r="B1028" s="302" t="s">
        <v>24839</v>
      </c>
      <c r="C1028">
        <v>123000</v>
      </c>
      <c r="D1028" s="236" t="s">
        <v>15544</v>
      </c>
      <c r="E1028" s="301">
        <v>3311.7</v>
      </c>
      <c r="F1028" s="303">
        <v>42964</v>
      </c>
      <c r="G1028" s="301">
        <v>3311.7</v>
      </c>
      <c r="H1028" s="304">
        <f>Tabla13[[#This Row],[Importe]]-Tabla13[[#This Row],[Pagado]]</f>
        <v>0</v>
      </c>
      <c r="I1028" s="275" t="s">
        <v>15214</v>
      </c>
    </row>
    <row r="1029" spans="1:9" x14ac:dyDescent="0.25">
      <c r="A1029" s="299">
        <v>42956</v>
      </c>
      <c r="B1029" s="302" t="s">
        <v>24840</v>
      </c>
      <c r="C1029">
        <v>123001</v>
      </c>
      <c r="D1029" s="236" t="s">
        <v>15581</v>
      </c>
      <c r="E1029" s="301">
        <v>12396.6</v>
      </c>
      <c r="F1029" s="303">
        <v>42962</v>
      </c>
      <c r="G1029" s="301">
        <v>12396.6</v>
      </c>
      <c r="H1029" s="304">
        <f>Tabla13[[#This Row],[Importe]]-Tabla13[[#This Row],[Pagado]]</f>
        <v>0</v>
      </c>
      <c r="I1029" s="275" t="s">
        <v>15214</v>
      </c>
    </row>
    <row r="1030" spans="1:9" ht="15.75" x14ac:dyDescent="0.25">
      <c r="A1030" s="299">
        <v>42956</v>
      </c>
      <c r="B1030" s="302" t="s">
        <v>24841</v>
      </c>
      <c r="C1030">
        <v>123002</v>
      </c>
      <c r="D1030" s="248" t="s">
        <v>95</v>
      </c>
      <c r="E1030" s="301">
        <v>0</v>
      </c>
      <c r="F1030" s="243" t="s">
        <v>95</v>
      </c>
      <c r="G1030" s="301">
        <v>0</v>
      </c>
      <c r="H1030" s="304">
        <f>Tabla13[[#This Row],[Importe]]-Tabla13[[#This Row],[Pagado]]</f>
        <v>0</v>
      </c>
      <c r="I1030" s="275" t="s">
        <v>95</v>
      </c>
    </row>
    <row r="1031" spans="1:9" x14ac:dyDescent="0.25">
      <c r="A1031" s="299">
        <v>42956</v>
      </c>
      <c r="B1031" s="302" t="s">
        <v>24842</v>
      </c>
      <c r="C1031">
        <v>123003</v>
      </c>
      <c r="D1031" s="236" t="s">
        <v>15250</v>
      </c>
      <c r="E1031" s="301">
        <v>37687.97</v>
      </c>
      <c r="F1031" s="303">
        <v>42961</v>
      </c>
      <c r="G1031" s="301">
        <v>37687.97</v>
      </c>
      <c r="H1031" s="304">
        <f>Tabla13[[#This Row],[Importe]]-Tabla13[[#This Row],[Pagado]]</f>
        <v>0</v>
      </c>
      <c r="I1031" s="275" t="s">
        <v>15214</v>
      </c>
    </row>
    <row r="1032" spans="1:9" x14ac:dyDescent="0.25">
      <c r="A1032" s="299">
        <v>42956</v>
      </c>
      <c r="B1032" s="302" t="s">
        <v>24843</v>
      </c>
      <c r="C1032">
        <v>123004</v>
      </c>
      <c r="D1032" s="236" t="s">
        <v>15315</v>
      </c>
      <c r="E1032" s="301">
        <v>5313.6</v>
      </c>
      <c r="F1032" s="303" t="s">
        <v>20085</v>
      </c>
      <c r="G1032" s="301">
        <v>5313.6</v>
      </c>
      <c r="H1032" s="304">
        <f>Tabla13[[#This Row],[Importe]]-Tabla13[[#This Row],[Pagado]]</f>
        <v>0</v>
      </c>
      <c r="I1032" s="275" t="s">
        <v>15214</v>
      </c>
    </row>
    <row r="1033" spans="1:9" x14ac:dyDescent="0.25">
      <c r="A1033" s="299">
        <v>42956</v>
      </c>
      <c r="B1033" s="302" t="s">
        <v>24844</v>
      </c>
      <c r="C1033">
        <v>123005</v>
      </c>
      <c r="D1033" s="236" t="s">
        <v>15549</v>
      </c>
      <c r="E1033" s="301">
        <v>8825.2000000000007</v>
      </c>
      <c r="F1033" s="303">
        <v>42956</v>
      </c>
      <c r="G1033" s="301">
        <v>8825.2000000000007</v>
      </c>
      <c r="H1033" s="304">
        <f>Tabla13[[#This Row],[Importe]]-Tabla13[[#This Row],[Pagado]]</f>
        <v>0</v>
      </c>
      <c r="I1033" s="275" t="s">
        <v>15214</v>
      </c>
    </row>
    <row r="1034" spans="1:9" x14ac:dyDescent="0.25">
      <c r="A1034" s="299">
        <v>42956</v>
      </c>
      <c r="B1034" s="302" t="s">
        <v>24845</v>
      </c>
      <c r="C1034">
        <v>123006</v>
      </c>
      <c r="D1034" s="236" t="s">
        <v>15252</v>
      </c>
      <c r="E1034" s="301">
        <v>8641.2000000000007</v>
      </c>
      <c r="F1034" s="303">
        <v>42963</v>
      </c>
      <c r="G1034" s="301">
        <v>8641.2000000000007</v>
      </c>
      <c r="H1034" s="304">
        <f>Tabla13[[#This Row],[Importe]]-Tabla13[[#This Row],[Pagado]]</f>
        <v>0</v>
      </c>
      <c r="I1034" s="275" t="s">
        <v>15214</v>
      </c>
    </row>
    <row r="1035" spans="1:9" x14ac:dyDescent="0.25">
      <c r="A1035" s="299">
        <v>42956</v>
      </c>
      <c r="B1035" s="302" t="s">
        <v>24846</v>
      </c>
      <c r="C1035">
        <v>123007</v>
      </c>
      <c r="D1035" s="236" t="s">
        <v>15244</v>
      </c>
      <c r="E1035" s="301">
        <v>10686.25</v>
      </c>
      <c r="F1035" s="303">
        <v>42963</v>
      </c>
      <c r="G1035" s="301">
        <v>10686.25</v>
      </c>
      <c r="H1035" s="304">
        <f>Tabla13[[#This Row],[Importe]]-Tabla13[[#This Row],[Pagado]]</f>
        <v>0</v>
      </c>
      <c r="I1035" s="275" t="s">
        <v>15214</v>
      </c>
    </row>
    <row r="1036" spans="1:9" x14ac:dyDescent="0.25">
      <c r="A1036" s="299">
        <v>42956</v>
      </c>
      <c r="B1036" s="302" t="s">
        <v>24847</v>
      </c>
      <c r="C1036">
        <v>123008</v>
      </c>
      <c r="D1036" s="236" t="s">
        <v>23937</v>
      </c>
      <c r="E1036" s="301">
        <v>3040</v>
      </c>
      <c r="F1036" s="303">
        <v>42956</v>
      </c>
      <c r="G1036" s="301">
        <v>3040</v>
      </c>
      <c r="H1036" s="304">
        <f>Tabla13[[#This Row],[Importe]]-Tabla13[[#This Row],[Pagado]]</f>
        <v>0</v>
      </c>
      <c r="I1036" s="275" t="s">
        <v>15214</v>
      </c>
    </row>
    <row r="1037" spans="1:9" x14ac:dyDescent="0.25">
      <c r="A1037" s="299">
        <v>42956</v>
      </c>
      <c r="B1037" s="302" t="s">
        <v>24848</v>
      </c>
      <c r="C1037">
        <v>123009</v>
      </c>
      <c r="D1037" s="236" t="s">
        <v>15263</v>
      </c>
      <c r="E1037" s="301">
        <v>3298.65</v>
      </c>
      <c r="F1037" s="303">
        <v>42956</v>
      </c>
      <c r="G1037" s="301">
        <v>3298.65</v>
      </c>
      <c r="H1037" s="304">
        <f>Tabla13[[#This Row],[Importe]]-Tabla13[[#This Row],[Pagado]]</f>
        <v>0</v>
      </c>
      <c r="I1037" s="275" t="s">
        <v>15214</v>
      </c>
    </row>
    <row r="1038" spans="1:9" x14ac:dyDescent="0.25">
      <c r="A1038" s="299">
        <v>42956</v>
      </c>
      <c r="B1038" s="302" t="s">
        <v>24849</v>
      </c>
      <c r="C1038">
        <v>123010</v>
      </c>
      <c r="D1038" s="236" t="s">
        <v>15278</v>
      </c>
      <c r="E1038" s="301">
        <v>6098.64</v>
      </c>
      <c r="F1038" s="303">
        <v>42956</v>
      </c>
      <c r="G1038" s="301">
        <v>6098.64</v>
      </c>
      <c r="H1038" s="304">
        <f>Tabla13[[#This Row],[Importe]]-Tabla13[[#This Row],[Pagado]]</f>
        <v>0</v>
      </c>
      <c r="I1038" s="275" t="s">
        <v>15214</v>
      </c>
    </row>
    <row r="1039" spans="1:9" x14ac:dyDescent="0.25">
      <c r="A1039" s="299">
        <v>42956</v>
      </c>
      <c r="B1039" s="302" t="s">
        <v>24850</v>
      </c>
      <c r="C1039">
        <v>123011</v>
      </c>
      <c r="D1039" s="236" t="s">
        <v>15555</v>
      </c>
      <c r="E1039" s="301">
        <v>1188.5999999999999</v>
      </c>
      <c r="F1039" s="303">
        <v>42964</v>
      </c>
      <c r="G1039" s="301">
        <v>1188.5999999999999</v>
      </c>
      <c r="H1039" s="304">
        <f>Tabla13[[#This Row],[Importe]]-Tabla13[[#This Row],[Pagado]]</f>
        <v>0</v>
      </c>
      <c r="I1039" s="275" t="s">
        <v>15214</v>
      </c>
    </row>
    <row r="1040" spans="1:9" x14ac:dyDescent="0.25">
      <c r="A1040" s="299">
        <v>42956</v>
      </c>
      <c r="B1040" s="302" t="s">
        <v>24851</v>
      </c>
      <c r="C1040">
        <v>123012</v>
      </c>
      <c r="D1040" s="236" t="s">
        <v>15315</v>
      </c>
      <c r="E1040" s="301">
        <v>3569</v>
      </c>
      <c r="F1040" s="303">
        <v>42973</v>
      </c>
      <c r="G1040" s="301">
        <v>3569</v>
      </c>
      <c r="H1040" s="304">
        <f>Tabla13[[#This Row],[Importe]]-Tabla13[[#This Row],[Pagado]]</f>
        <v>0</v>
      </c>
      <c r="I1040" s="275" t="s">
        <v>15214</v>
      </c>
    </row>
    <row r="1041" spans="1:9" x14ac:dyDescent="0.25">
      <c r="A1041" s="299">
        <v>42956</v>
      </c>
      <c r="B1041" s="302" t="s">
        <v>24852</v>
      </c>
      <c r="C1041">
        <v>123013</v>
      </c>
      <c r="D1041" s="236" t="s">
        <v>15315</v>
      </c>
      <c r="E1041" s="301">
        <v>3005</v>
      </c>
      <c r="F1041" s="303">
        <v>42958</v>
      </c>
      <c r="G1041" s="301">
        <v>3005</v>
      </c>
      <c r="H1041" s="304">
        <f>Tabla13[[#This Row],[Importe]]-Tabla13[[#This Row],[Pagado]]</f>
        <v>0</v>
      </c>
      <c r="I1041" s="275" t="s">
        <v>15214</v>
      </c>
    </row>
    <row r="1042" spans="1:9" x14ac:dyDescent="0.25">
      <c r="A1042" s="299">
        <v>42956</v>
      </c>
      <c r="B1042" s="302" t="s">
        <v>24853</v>
      </c>
      <c r="C1042">
        <v>123014</v>
      </c>
      <c r="D1042" s="236" t="s">
        <v>15315</v>
      </c>
      <c r="E1042" s="301">
        <v>326.39999999999998</v>
      </c>
      <c r="F1042" s="303">
        <v>42958</v>
      </c>
      <c r="G1042" s="301">
        <v>326.39999999999998</v>
      </c>
      <c r="H1042" s="304">
        <f>Tabla13[[#This Row],[Importe]]-Tabla13[[#This Row],[Pagado]]</f>
        <v>0</v>
      </c>
      <c r="I1042" s="275" t="s">
        <v>15214</v>
      </c>
    </row>
    <row r="1043" spans="1:9" x14ac:dyDescent="0.25">
      <c r="A1043" s="299">
        <v>42956</v>
      </c>
      <c r="B1043" s="302" t="s">
        <v>24854</v>
      </c>
      <c r="C1043">
        <v>123015</v>
      </c>
      <c r="D1043" s="236" t="s">
        <v>15315</v>
      </c>
      <c r="E1043" s="301">
        <v>6030.15</v>
      </c>
      <c r="F1043" s="303">
        <v>42958</v>
      </c>
      <c r="G1043" s="301">
        <v>6030.15</v>
      </c>
      <c r="H1043" s="304">
        <f>Tabla13[[#This Row],[Importe]]-Tabla13[[#This Row],[Pagado]]</f>
        <v>0</v>
      </c>
      <c r="I1043" s="275" t="s">
        <v>15214</v>
      </c>
    </row>
    <row r="1044" spans="1:9" x14ac:dyDescent="0.25">
      <c r="A1044" s="299">
        <v>42956</v>
      </c>
      <c r="B1044" s="302" t="s">
        <v>24855</v>
      </c>
      <c r="C1044">
        <v>123016</v>
      </c>
      <c r="D1044" s="236" t="s">
        <v>15315</v>
      </c>
      <c r="E1044" s="301">
        <v>3473.55</v>
      </c>
      <c r="F1044" s="303">
        <v>42977</v>
      </c>
      <c r="G1044" s="301">
        <v>3473.55</v>
      </c>
      <c r="H1044" s="304">
        <f>Tabla13[[#This Row],[Importe]]-Tabla13[[#This Row],[Pagado]]</f>
        <v>0</v>
      </c>
      <c r="I1044" s="275" t="s">
        <v>15214</v>
      </c>
    </row>
    <row r="1045" spans="1:9" x14ac:dyDescent="0.25">
      <c r="A1045" s="299">
        <v>42956</v>
      </c>
      <c r="B1045" s="302" t="s">
        <v>24856</v>
      </c>
      <c r="C1045">
        <v>123017</v>
      </c>
      <c r="D1045" s="236" t="s">
        <v>15322</v>
      </c>
      <c r="E1045" s="301">
        <v>402.6</v>
      </c>
      <c r="F1045" s="303">
        <v>42956</v>
      </c>
      <c r="G1045" s="301">
        <v>402.6</v>
      </c>
      <c r="H1045" s="304">
        <f>Tabla13[[#This Row],[Importe]]-Tabla13[[#This Row],[Pagado]]</f>
        <v>0</v>
      </c>
      <c r="I1045" s="275" t="s">
        <v>15214</v>
      </c>
    </row>
    <row r="1046" spans="1:9" x14ac:dyDescent="0.25">
      <c r="A1046" s="299">
        <v>42956</v>
      </c>
      <c r="B1046" s="302" t="s">
        <v>24857</v>
      </c>
      <c r="C1046">
        <v>123018</v>
      </c>
      <c r="D1046" s="236" t="s">
        <v>15280</v>
      </c>
      <c r="E1046" s="301">
        <v>5910</v>
      </c>
      <c r="F1046" s="303">
        <v>42956</v>
      </c>
      <c r="G1046" s="301">
        <v>5910</v>
      </c>
      <c r="H1046" s="304">
        <f>Tabla13[[#This Row],[Importe]]-Tabla13[[#This Row],[Pagado]]</f>
        <v>0</v>
      </c>
      <c r="I1046" s="275" t="s">
        <v>15214</v>
      </c>
    </row>
    <row r="1047" spans="1:9" x14ac:dyDescent="0.25">
      <c r="A1047" s="299">
        <v>42956</v>
      </c>
      <c r="B1047" s="302" t="s">
        <v>24858</v>
      </c>
      <c r="C1047">
        <v>123019</v>
      </c>
      <c r="D1047" s="236" t="s">
        <v>15373</v>
      </c>
      <c r="E1047" s="301">
        <v>9657.6</v>
      </c>
      <c r="F1047" s="303">
        <v>42959</v>
      </c>
      <c r="G1047" s="301">
        <v>9657.6</v>
      </c>
      <c r="H1047" s="304">
        <f>Tabla13[[#This Row],[Importe]]-Tabla13[[#This Row],[Pagado]]</f>
        <v>0</v>
      </c>
      <c r="I1047" s="275" t="s">
        <v>15214</v>
      </c>
    </row>
    <row r="1048" spans="1:9" x14ac:dyDescent="0.25">
      <c r="A1048" s="299">
        <v>42956</v>
      </c>
      <c r="B1048" s="302" t="s">
        <v>24859</v>
      </c>
      <c r="C1048">
        <v>123020</v>
      </c>
      <c r="D1048" s="236" t="s">
        <v>15328</v>
      </c>
      <c r="E1048" s="301">
        <v>35147.58</v>
      </c>
      <c r="F1048" s="303">
        <v>42969</v>
      </c>
      <c r="G1048" s="301">
        <v>35147.58</v>
      </c>
      <c r="H1048" s="304">
        <f>Tabla13[[#This Row],[Importe]]-Tabla13[[#This Row],[Pagado]]</f>
        <v>0</v>
      </c>
      <c r="I1048" s="275" t="s">
        <v>15214</v>
      </c>
    </row>
    <row r="1049" spans="1:9" x14ac:dyDescent="0.25">
      <c r="A1049" s="299">
        <v>42956</v>
      </c>
      <c r="B1049" s="302" t="s">
        <v>24860</v>
      </c>
      <c r="C1049">
        <v>123021</v>
      </c>
      <c r="D1049" s="236" t="s">
        <v>15369</v>
      </c>
      <c r="E1049" s="301">
        <v>25151.599999999999</v>
      </c>
      <c r="F1049" s="303">
        <v>42965</v>
      </c>
      <c r="G1049" s="301">
        <v>25151.599999999999</v>
      </c>
      <c r="H1049" s="304">
        <f>Tabla13[[#This Row],[Importe]]-Tabla13[[#This Row],[Pagado]]</f>
        <v>0</v>
      </c>
      <c r="I1049" s="275" t="s">
        <v>15214</v>
      </c>
    </row>
    <row r="1050" spans="1:9" x14ac:dyDescent="0.25">
      <c r="A1050" s="299">
        <v>42956</v>
      </c>
      <c r="B1050" s="302" t="s">
        <v>24861</v>
      </c>
      <c r="C1050">
        <v>123022</v>
      </c>
      <c r="D1050" s="236" t="s">
        <v>15246</v>
      </c>
      <c r="E1050" s="301">
        <v>700</v>
      </c>
      <c r="F1050" s="303">
        <v>42957</v>
      </c>
      <c r="G1050" s="301">
        <v>700</v>
      </c>
      <c r="H1050" s="304">
        <f>Tabla13[[#This Row],[Importe]]-Tabla13[[#This Row],[Pagado]]</f>
        <v>0</v>
      </c>
      <c r="I1050" s="275" t="s">
        <v>15214</v>
      </c>
    </row>
    <row r="1051" spans="1:9" x14ac:dyDescent="0.25">
      <c r="A1051" s="299">
        <v>42956</v>
      </c>
      <c r="B1051" s="302" t="s">
        <v>24862</v>
      </c>
      <c r="C1051">
        <v>123023</v>
      </c>
      <c r="D1051" s="236" t="s">
        <v>15380</v>
      </c>
      <c r="E1051" s="301">
        <v>37787.85</v>
      </c>
      <c r="F1051" s="303">
        <v>42972</v>
      </c>
      <c r="G1051" s="301">
        <v>37787.85</v>
      </c>
      <c r="H1051" s="304">
        <f>Tabla13[[#This Row],[Importe]]-Tabla13[[#This Row],[Pagado]]</f>
        <v>0</v>
      </c>
      <c r="I1051" s="275" t="s">
        <v>15214</v>
      </c>
    </row>
    <row r="1052" spans="1:9" x14ac:dyDescent="0.25">
      <c r="A1052" s="299">
        <v>42956</v>
      </c>
      <c r="B1052" s="302" t="s">
        <v>24863</v>
      </c>
      <c r="C1052">
        <v>123024</v>
      </c>
      <c r="D1052" s="236" t="s">
        <v>15326</v>
      </c>
      <c r="E1052" s="301">
        <v>2548.8000000000002</v>
      </c>
      <c r="F1052" s="303">
        <v>42956</v>
      </c>
      <c r="G1052" s="301">
        <v>2548.8000000000002</v>
      </c>
      <c r="H1052" s="304">
        <f>Tabla13[[#This Row],[Importe]]-Tabla13[[#This Row],[Pagado]]</f>
        <v>0</v>
      </c>
      <c r="I1052" s="275" t="s">
        <v>15214</v>
      </c>
    </row>
    <row r="1053" spans="1:9" x14ac:dyDescent="0.25">
      <c r="A1053" s="299">
        <v>42956</v>
      </c>
      <c r="B1053" s="302" t="s">
        <v>24864</v>
      </c>
      <c r="C1053">
        <v>123025</v>
      </c>
      <c r="D1053" s="236" t="s">
        <v>15389</v>
      </c>
      <c r="E1053" s="301">
        <v>10980.5</v>
      </c>
      <c r="F1053" s="303">
        <v>42965</v>
      </c>
      <c r="G1053" s="301">
        <v>10980.5</v>
      </c>
      <c r="H1053" s="304">
        <f>Tabla13[[#This Row],[Importe]]-Tabla13[[#This Row],[Pagado]]</f>
        <v>0</v>
      </c>
      <c r="I1053" s="275" t="s">
        <v>15214</v>
      </c>
    </row>
    <row r="1054" spans="1:9" x14ac:dyDescent="0.25">
      <c r="A1054" s="299">
        <v>42956</v>
      </c>
      <c r="B1054" s="302" t="s">
        <v>24865</v>
      </c>
      <c r="C1054">
        <v>123026</v>
      </c>
      <c r="D1054" s="236" t="s">
        <v>15328</v>
      </c>
      <c r="E1054" s="301">
        <v>30344.06</v>
      </c>
      <c r="F1054" s="303">
        <v>42969</v>
      </c>
      <c r="G1054" s="301">
        <v>30344.06</v>
      </c>
      <c r="H1054" s="304">
        <f>Tabla13[[#This Row],[Importe]]-Tabla13[[#This Row],[Pagado]]</f>
        <v>0</v>
      </c>
      <c r="I1054" s="275" t="s">
        <v>15214</v>
      </c>
    </row>
    <row r="1055" spans="1:9" x14ac:dyDescent="0.25">
      <c r="A1055" s="299">
        <v>42956</v>
      </c>
      <c r="B1055" s="302" t="s">
        <v>24866</v>
      </c>
      <c r="C1055">
        <v>123027</v>
      </c>
      <c r="D1055" s="236" t="s">
        <v>15382</v>
      </c>
      <c r="E1055" s="301">
        <v>9225</v>
      </c>
      <c r="F1055" s="303">
        <v>42965</v>
      </c>
      <c r="G1055" s="301">
        <v>9225</v>
      </c>
      <c r="H1055" s="304">
        <f>Tabla13[[#This Row],[Importe]]-Tabla13[[#This Row],[Pagado]]</f>
        <v>0</v>
      </c>
      <c r="I1055" s="275" t="s">
        <v>15214</v>
      </c>
    </row>
    <row r="1056" spans="1:9" x14ac:dyDescent="0.25">
      <c r="A1056" s="299">
        <v>42956</v>
      </c>
      <c r="B1056" s="302" t="s">
        <v>24867</v>
      </c>
      <c r="C1056">
        <v>123028</v>
      </c>
      <c r="D1056" s="236" t="s">
        <v>15378</v>
      </c>
      <c r="E1056" s="301">
        <v>1045.2</v>
      </c>
      <c r="F1056" s="303">
        <v>42956</v>
      </c>
      <c r="G1056" s="301">
        <v>1045.2</v>
      </c>
      <c r="H1056" s="304">
        <f>Tabla13[[#This Row],[Importe]]-Tabla13[[#This Row],[Pagado]]</f>
        <v>0</v>
      </c>
      <c r="I1056" s="275" t="s">
        <v>15214</v>
      </c>
    </row>
    <row r="1057" spans="1:9" x14ac:dyDescent="0.25">
      <c r="A1057" s="299">
        <v>42956</v>
      </c>
      <c r="B1057" s="302" t="s">
        <v>24868</v>
      </c>
      <c r="C1057">
        <v>123029</v>
      </c>
      <c r="D1057" s="236" t="s">
        <v>15371</v>
      </c>
      <c r="E1057" s="301">
        <v>3998.8</v>
      </c>
      <c r="F1057" s="303">
        <v>42956</v>
      </c>
      <c r="G1057" s="301">
        <v>3998.8</v>
      </c>
      <c r="H1057" s="304">
        <f>Tabla13[[#This Row],[Importe]]-Tabla13[[#This Row],[Pagado]]</f>
        <v>0</v>
      </c>
      <c r="I1057" s="275" t="s">
        <v>15214</v>
      </c>
    </row>
    <row r="1058" spans="1:9" x14ac:dyDescent="0.25">
      <c r="A1058" s="299">
        <v>42956</v>
      </c>
      <c r="B1058" s="302" t="s">
        <v>24869</v>
      </c>
      <c r="C1058">
        <v>123030</v>
      </c>
      <c r="D1058" s="236" t="s">
        <v>15296</v>
      </c>
      <c r="E1058" s="301">
        <v>61912.32</v>
      </c>
      <c r="F1058" s="303">
        <v>42966</v>
      </c>
      <c r="G1058" s="301">
        <v>61912.32</v>
      </c>
      <c r="H1058" s="304">
        <f>Tabla13[[#This Row],[Importe]]-Tabla13[[#This Row],[Pagado]]</f>
        <v>0</v>
      </c>
      <c r="I1058" s="275" t="s">
        <v>15214</v>
      </c>
    </row>
    <row r="1059" spans="1:9" x14ac:dyDescent="0.25">
      <c r="A1059" s="299">
        <v>42956</v>
      </c>
      <c r="B1059" s="302" t="s">
        <v>24870</v>
      </c>
      <c r="C1059">
        <v>123031</v>
      </c>
      <c r="D1059" s="236" t="s">
        <v>15665</v>
      </c>
      <c r="E1059" s="301">
        <v>329.7</v>
      </c>
      <c r="F1059" s="303">
        <v>42956</v>
      </c>
      <c r="G1059" s="301">
        <v>329.7</v>
      </c>
      <c r="H1059" s="304">
        <f>Tabla13[[#This Row],[Importe]]-Tabla13[[#This Row],[Pagado]]</f>
        <v>0</v>
      </c>
      <c r="I1059" s="275" t="s">
        <v>15214</v>
      </c>
    </row>
    <row r="1060" spans="1:9" x14ac:dyDescent="0.25">
      <c r="A1060" s="299">
        <v>42956</v>
      </c>
      <c r="B1060" s="302" t="s">
        <v>24871</v>
      </c>
      <c r="C1060">
        <v>123032</v>
      </c>
      <c r="D1060" s="236" t="s">
        <v>15389</v>
      </c>
      <c r="E1060" s="301">
        <v>250.8</v>
      </c>
      <c r="F1060" s="303">
        <v>42965</v>
      </c>
      <c r="G1060" s="301">
        <v>250.8</v>
      </c>
      <c r="H1060" s="304">
        <f>Tabla13[[#This Row],[Importe]]-Tabla13[[#This Row],[Pagado]]</f>
        <v>0</v>
      </c>
      <c r="I1060" s="275" t="s">
        <v>15214</v>
      </c>
    </row>
    <row r="1061" spans="1:9" x14ac:dyDescent="0.25">
      <c r="A1061" s="299">
        <v>42956</v>
      </c>
      <c r="B1061" s="302" t="s">
        <v>24872</v>
      </c>
      <c r="C1061">
        <v>123033</v>
      </c>
      <c r="D1061" s="236" t="s">
        <v>15530</v>
      </c>
      <c r="E1061" s="301">
        <v>2728.1</v>
      </c>
      <c r="F1061" s="303">
        <v>42956</v>
      </c>
      <c r="G1061" s="301">
        <v>2728.1</v>
      </c>
      <c r="H1061" s="304">
        <f>Tabla13[[#This Row],[Importe]]-Tabla13[[#This Row],[Pagado]]</f>
        <v>0</v>
      </c>
      <c r="I1061" s="275" t="s">
        <v>15214</v>
      </c>
    </row>
    <row r="1062" spans="1:9" x14ac:dyDescent="0.25">
      <c r="A1062" s="299">
        <v>42956</v>
      </c>
      <c r="B1062" s="302" t="s">
        <v>24873</v>
      </c>
      <c r="C1062">
        <v>123034</v>
      </c>
      <c r="D1062" s="236" t="s">
        <v>19773</v>
      </c>
      <c r="E1062" s="301">
        <v>4859.96</v>
      </c>
      <c r="F1062" s="303">
        <v>42959</v>
      </c>
      <c r="G1062" s="301">
        <v>4859.96</v>
      </c>
      <c r="H1062" s="304">
        <f>Tabla13[[#This Row],[Importe]]-Tabla13[[#This Row],[Pagado]]</f>
        <v>0</v>
      </c>
      <c r="I1062" s="275" t="s">
        <v>15214</v>
      </c>
    </row>
    <row r="1063" spans="1:9" x14ac:dyDescent="0.25">
      <c r="A1063" s="299">
        <v>42956</v>
      </c>
      <c r="B1063" s="302" t="s">
        <v>24874</v>
      </c>
      <c r="C1063">
        <v>123035</v>
      </c>
      <c r="D1063" s="236" t="s">
        <v>19705</v>
      </c>
      <c r="E1063" s="301">
        <v>21926.400000000001</v>
      </c>
      <c r="F1063" s="303">
        <v>42957</v>
      </c>
      <c r="G1063" s="301">
        <v>21926.400000000001</v>
      </c>
      <c r="H1063" s="304">
        <f>Tabla13[[#This Row],[Importe]]-Tabla13[[#This Row],[Pagado]]</f>
        <v>0</v>
      </c>
      <c r="I1063" s="275" t="s">
        <v>15214</v>
      </c>
    </row>
    <row r="1064" spans="1:9" x14ac:dyDescent="0.25">
      <c r="A1064" s="299">
        <v>42956</v>
      </c>
      <c r="B1064" s="302" t="s">
        <v>24875</v>
      </c>
      <c r="C1064">
        <v>123036</v>
      </c>
      <c r="D1064" s="236" t="s">
        <v>15315</v>
      </c>
      <c r="E1064" s="301">
        <v>2631.3</v>
      </c>
      <c r="F1064" s="303">
        <v>42956</v>
      </c>
      <c r="G1064" s="301">
        <v>2631.3</v>
      </c>
      <c r="H1064" s="304">
        <f>Tabla13[[#This Row],[Importe]]-Tabla13[[#This Row],[Pagado]]</f>
        <v>0</v>
      </c>
      <c r="I1064" s="275" t="s">
        <v>15214</v>
      </c>
    </row>
    <row r="1065" spans="1:9" x14ac:dyDescent="0.25">
      <c r="A1065" s="299">
        <v>42956</v>
      </c>
      <c r="B1065" s="302" t="s">
        <v>24876</v>
      </c>
      <c r="C1065">
        <v>123037</v>
      </c>
      <c r="D1065" s="236" t="s">
        <v>15689</v>
      </c>
      <c r="E1065" s="301">
        <v>13326.7</v>
      </c>
      <c r="F1065" s="303">
        <v>42956</v>
      </c>
      <c r="G1065" s="301">
        <v>13326.7</v>
      </c>
      <c r="H1065" s="304">
        <f>Tabla13[[#This Row],[Importe]]-Tabla13[[#This Row],[Pagado]]</f>
        <v>0</v>
      </c>
      <c r="I1065" s="275" t="s">
        <v>15214</v>
      </c>
    </row>
    <row r="1066" spans="1:9" x14ac:dyDescent="0.25">
      <c r="A1066" s="299">
        <v>42956</v>
      </c>
      <c r="B1066" s="302" t="s">
        <v>24877</v>
      </c>
      <c r="C1066">
        <v>123038</v>
      </c>
      <c r="D1066" s="236" t="s">
        <v>15987</v>
      </c>
      <c r="E1066" s="301">
        <v>888.8</v>
      </c>
      <c r="F1066" s="303">
        <v>42956</v>
      </c>
      <c r="G1066" s="301">
        <v>888.8</v>
      </c>
      <c r="H1066" s="304">
        <f>Tabla13[[#This Row],[Importe]]-Tabla13[[#This Row],[Pagado]]</f>
        <v>0</v>
      </c>
      <c r="I1066" s="275" t="s">
        <v>15214</v>
      </c>
    </row>
    <row r="1067" spans="1:9" x14ac:dyDescent="0.25">
      <c r="A1067" s="299">
        <v>42956</v>
      </c>
      <c r="B1067" s="302" t="s">
        <v>24878</v>
      </c>
      <c r="C1067">
        <v>123039</v>
      </c>
      <c r="D1067" s="236" t="s">
        <v>15417</v>
      </c>
      <c r="E1067" s="301">
        <v>1833</v>
      </c>
      <c r="F1067" s="303">
        <v>42957</v>
      </c>
      <c r="G1067" s="301">
        <v>1833</v>
      </c>
      <c r="H1067" s="304">
        <f>Tabla13[[#This Row],[Importe]]-Tabla13[[#This Row],[Pagado]]</f>
        <v>0</v>
      </c>
      <c r="I1067" s="275" t="s">
        <v>15214</v>
      </c>
    </row>
    <row r="1068" spans="1:9" x14ac:dyDescent="0.25">
      <c r="A1068" s="299">
        <v>42956</v>
      </c>
      <c r="B1068" s="302" t="s">
        <v>24879</v>
      </c>
      <c r="C1068">
        <v>123040</v>
      </c>
      <c r="D1068" s="236" t="s">
        <v>15284</v>
      </c>
      <c r="E1068" s="301">
        <v>1382</v>
      </c>
      <c r="F1068" s="303">
        <v>42956</v>
      </c>
      <c r="G1068" s="301">
        <v>1382</v>
      </c>
      <c r="H1068" s="304">
        <f>Tabla13[[#This Row],[Importe]]-Tabla13[[#This Row],[Pagado]]</f>
        <v>0</v>
      </c>
      <c r="I1068" s="275" t="s">
        <v>15214</v>
      </c>
    </row>
    <row r="1069" spans="1:9" x14ac:dyDescent="0.25">
      <c r="A1069" s="299">
        <v>42956</v>
      </c>
      <c r="B1069" s="302" t="s">
        <v>24880</v>
      </c>
      <c r="C1069">
        <v>123041</v>
      </c>
      <c r="D1069" s="236" t="s">
        <v>15858</v>
      </c>
      <c r="E1069" s="301">
        <v>2342.64</v>
      </c>
      <c r="F1069" s="303">
        <v>42956</v>
      </c>
      <c r="G1069" s="301">
        <v>2342.64</v>
      </c>
      <c r="H1069" s="304">
        <f>Tabla13[[#This Row],[Importe]]-Tabla13[[#This Row],[Pagado]]</f>
        <v>0</v>
      </c>
      <c r="I1069" s="275" t="s">
        <v>15214</v>
      </c>
    </row>
    <row r="1070" spans="1:9" x14ac:dyDescent="0.25">
      <c r="A1070" s="299">
        <v>42956</v>
      </c>
      <c r="B1070" s="302" t="s">
        <v>24881</v>
      </c>
      <c r="C1070">
        <v>123042</v>
      </c>
      <c r="D1070" s="236" t="s">
        <v>16171</v>
      </c>
      <c r="E1070" s="301">
        <v>1171.32</v>
      </c>
      <c r="F1070" s="303">
        <v>42956</v>
      </c>
      <c r="G1070" s="301">
        <v>1171.32</v>
      </c>
      <c r="H1070" s="304">
        <f>Tabla13[[#This Row],[Importe]]-Tabla13[[#This Row],[Pagado]]</f>
        <v>0</v>
      </c>
      <c r="I1070" s="275" t="s">
        <v>15214</v>
      </c>
    </row>
    <row r="1071" spans="1:9" x14ac:dyDescent="0.25">
      <c r="A1071" s="299">
        <v>42956</v>
      </c>
      <c r="B1071" s="302" t="s">
        <v>24882</v>
      </c>
      <c r="C1071">
        <v>123043</v>
      </c>
      <c r="D1071" s="236" t="s">
        <v>15276</v>
      </c>
      <c r="E1071" s="301">
        <v>2400</v>
      </c>
      <c r="F1071" s="303">
        <v>42957</v>
      </c>
      <c r="G1071" s="301">
        <v>2400</v>
      </c>
      <c r="H1071" s="304">
        <f>Tabla13[[#This Row],[Importe]]-Tabla13[[#This Row],[Pagado]]</f>
        <v>0</v>
      </c>
      <c r="I1071" s="275" t="s">
        <v>15214</v>
      </c>
    </row>
    <row r="1072" spans="1:9" x14ac:dyDescent="0.25">
      <c r="A1072" s="299">
        <v>42956</v>
      </c>
      <c r="B1072" s="302" t="s">
        <v>24883</v>
      </c>
      <c r="C1072">
        <v>123044</v>
      </c>
      <c r="D1072" s="236" t="s">
        <v>15642</v>
      </c>
      <c r="E1072" s="301">
        <v>326</v>
      </c>
      <c r="F1072" s="303">
        <v>42956</v>
      </c>
      <c r="G1072" s="301">
        <v>326</v>
      </c>
      <c r="H1072" s="304">
        <f>Tabla13[[#This Row],[Importe]]-Tabla13[[#This Row],[Pagado]]</f>
        <v>0</v>
      </c>
      <c r="I1072" s="275" t="s">
        <v>15214</v>
      </c>
    </row>
    <row r="1073" spans="1:9" x14ac:dyDescent="0.25">
      <c r="A1073" s="299">
        <v>42956</v>
      </c>
      <c r="B1073" s="302" t="s">
        <v>24884</v>
      </c>
      <c r="C1073">
        <v>123045</v>
      </c>
      <c r="D1073" s="236" t="s">
        <v>15291</v>
      </c>
      <c r="E1073" s="301">
        <v>888</v>
      </c>
      <c r="F1073" s="303">
        <v>42957</v>
      </c>
      <c r="G1073" s="301">
        <v>888</v>
      </c>
      <c r="H1073" s="304">
        <f>Tabla13[[#This Row],[Importe]]-Tabla13[[#This Row],[Pagado]]</f>
        <v>0</v>
      </c>
      <c r="I1073" s="275" t="s">
        <v>15214</v>
      </c>
    </row>
    <row r="1074" spans="1:9" x14ac:dyDescent="0.25">
      <c r="A1074" s="299">
        <v>42956</v>
      </c>
      <c r="B1074" s="302" t="s">
        <v>24885</v>
      </c>
      <c r="C1074">
        <v>123046</v>
      </c>
      <c r="D1074" s="236" t="s">
        <v>15553</v>
      </c>
      <c r="E1074" s="301">
        <v>3513.96</v>
      </c>
      <c r="F1074" s="303">
        <v>42956</v>
      </c>
      <c r="G1074" s="301">
        <v>3513.96</v>
      </c>
      <c r="H1074" s="304">
        <f>Tabla13[[#This Row],[Importe]]-Tabla13[[#This Row],[Pagado]]</f>
        <v>0</v>
      </c>
      <c r="I1074" s="275" t="s">
        <v>15214</v>
      </c>
    </row>
    <row r="1075" spans="1:9" x14ac:dyDescent="0.25">
      <c r="A1075" s="299">
        <v>42956</v>
      </c>
      <c r="B1075" s="302" t="s">
        <v>24886</v>
      </c>
      <c r="C1075">
        <v>123047</v>
      </c>
      <c r="D1075" s="236" t="s">
        <v>15311</v>
      </c>
      <c r="E1075" s="301">
        <v>1852.2</v>
      </c>
      <c r="F1075" s="303">
        <v>42957</v>
      </c>
      <c r="G1075" s="301">
        <v>1852.2</v>
      </c>
      <c r="H1075" s="304">
        <f>Tabla13[[#This Row],[Importe]]-Tabla13[[#This Row],[Pagado]]</f>
        <v>0</v>
      </c>
      <c r="I1075" s="275" t="s">
        <v>15214</v>
      </c>
    </row>
    <row r="1076" spans="1:9" x14ac:dyDescent="0.25">
      <c r="A1076" s="299">
        <v>42956</v>
      </c>
      <c r="B1076" s="302" t="s">
        <v>24887</v>
      </c>
      <c r="C1076">
        <v>123048</v>
      </c>
      <c r="D1076" s="236" t="s">
        <v>15759</v>
      </c>
      <c r="E1076" s="301">
        <v>2496.06</v>
      </c>
      <c r="F1076" s="303">
        <v>42957</v>
      </c>
      <c r="G1076" s="301">
        <v>2496.06</v>
      </c>
      <c r="H1076" s="304">
        <f>Tabla13[[#This Row],[Importe]]-Tabla13[[#This Row],[Pagado]]</f>
        <v>0</v>
      </c>
      <c r="I1076" s="275" t="s">
        <v>15214</v>
      </c>
    </row>
    <row r="1077" spans="1:9" x14ac:dyDescent="0.25">
      <c r="A1077" s="299">
        <v>42956</v>
      </c>
      <c r="B1077" s="302" t="s">
        <v>24888</v>
      </c>
      <c r="C1077">
        <v>123049</v>
      </c>
      <c r="D1077" s="236" t="s">
        <v>15301</v>
      </c>
      <c r="E1077" s="301">
        <v>3740.7</v>
      </c>
      <c r="F1077" s="303">
        <v>42957</v>
      </c>
      <c r="G1077" s="301">
        <v>3740.7</v>
      </c>
      <c r="H1077" s="304">
        <f>Tabla13[[#This Row],[Importe]]-Tabla13[[#This Row],[Pagado]]</f>
        <v>0</v>
      </c>
      <c r="I1077" s="275" t="s">
        <v>15214</v>
      </c>
    </row>
    <row r="1078" spans="1:9" x14ac:dyDescent="0.25">
      <c r="A1078" s="299">
        <v>42956</v>
      </c>
      <c r="B1078" s="302" t="s">
        <v>24889</v>
      </c>
      <c r="C1078">
        <v>123050</v>
      </c>
      <c r="D1078" s="236" t="s">
        <v>15309</v>
      </c>
      <c r="E1078" s="301">
        <v>9161.65</v>
      </c>
      <c r="F1078" s="303">
        <v>42957</v>
      </c>
      <c r="G1078" s="301">
        <v>9161.65</v>
      </c>
      <c r="H1078" s="304">
        <f>Tabla13[[#This Row],[Importe]]-Tabla13[[#This Row],[Pagado]]</f>
        <v>0</v>
      </c>
      <c r="I1078" s="275" t="s">
        <v>15214</v>
      </c>
    </row>
    <row r="1079" spans="1:9" x14ac:dyDescent="0.25">
      <c r="A1079" s="299">
        <v>42956</v>
      </c>
      <c r="B1079" s="302" t="s">
        <v>24890</v>
      </c>
      <c r="C1079">
        <v>123051</v>
      </c>
      <c r="D1079" s="236" t="s">
        <v>15358</v>
      </c>
      <c r="E1079" s="301">
        <v>1081</v>
      </c>
      <c r="F1079" s="303">
        <v>42956</v>
      </c>
      <c r="G1079" s="301">
        <v>1081</v>
      </c>
      <c r="H1079" s="304">
        <f>Tabla13[[#This Row],[Importe]]-Tabla13[[#This Row],[Pagado]]</f>
        <v>0</v>
      </c>
      <c r="I1079" s="275" t="s">
        <v>15214</v>
      </c>
    </row>
    <row r="1080" spans="1:9" x14ac:dyDescent="0.25">
      <c r="A1080" s="299">
        <v>42956</v>
      </c>
      <c r="B1080" s="302" t="s">
        <v>24891</v>
      </c>
      <c r="C1080">
        <v>123052</v>
      </c>
      <c r="D1080" s="236" t="s">
        <v>15742</v>
      </c>
      <c r="E1080" s="301">
        <v>2082.5</v>
      </c>
      <c r="F1080" s="303">
        <v>42956</v>
      </c>
      <c r="G1080" s="301">
        <v>2082.5</v>
      </c>
      <c r="H1080" s="304">
        <f>Tabla13[[#This Row],[Importe]]-Tabla13[[#This Row],[Pagado]]</f>
        <v>0</v>
      </c>
      <c r="I1080" s="275" t="s">
        <v>15214</v>
      </c>
    </row>
    <row r="1081" spans="1:9" x14ac:dyDescent="0.25">
      <c r="A1081" s="299">
        <v>42956</v>
      </c>
      <c r="B1081" s="302" t="s">
        <v>24892</v>
      </c>
      <c r="C1081">
        <v>123053</v>
      </c>
      <c r="D1081" s="236" t="s">
        <v>15248</v>
      </c>
      <c r="E1081" s="301">
        <v>21041.200000000001</v>
      </c>
      <c r="F1081" s="303">
        <v>42956</v>
      </c>
      <c r="G1081" s="301">
        <v>21041.200000000001</v>
      </c>
      <c r="H1081" s="304">
        <f>Tabla13[[#This Row],[Importe]]-Tabla13[[#This Row],[Pagado]]</f>
        <v>0</v>
      </c>
      <c r="I1081" s="275" t="s">
        <v>15214</v>
      </c>
    </row>
    <row r="1082" spans="1:9" x14ac:dyDescent="0.25">
      <c r="A1082" s="299">
        <v>42956</v>
      </c>
      <c r="B1082" s="302" t="s">
        <v>24893</v>
      </c>
      <c r="C1082">
        <v>123054</v>
      </c>
      <c r="D1082" s="236" t="s">
        <v>15614</v>
      </c>
      <c r="E1082" s="301">
        <v>6854.4</v>
      </c>
      <c r="F1082" s="303">
        <v>42963</v>
      </c>
      <c r="G1082" s="301">
        <v>6854.4</v>
      </c>
      <c r="H1082" s="304">
        <f>Tabla13[[#This Row],[Importe]]-Tabla13[[#This Row],[Pagado]]</f>
        <v>0</v>
      </c>
      <c r="I1082" s="275" t="s">
        <v>15214</v>
      </c>
    </row>
    <row r="1083" spans="1:9" x14ac:dyDescent="0.25">
      <c r="A1083" s="299">
        <v>42956</v>
      </c>
      <c r="B1083" s="302" t="s">
        <v>24894</v>
      </c>
      <c r="C1083">
        <v>123055</v>
      </c>
      <c r="D1083" s="236" t="s">
        <v>18544</v>
      </c>
      <c r="E1083" s="301">
        <v>960</v>
      </c>
      <c r="F1083" s="303">
        <v>42956</v>
      </c>
      <c r="G1083" s="301">
        <v>960</v>
      </c>
      <c r="H1083" s="304">
        <f>Tabla13[[#This Row],[Importe]]-Tabla13[[#This Row],[Pagado]]</f>
        <v>0</v>
      </c>
      <c r="I1083" s="275" t="s">
        <v>15214</v>
      </c>
    </row>
    <row r="1084" spans="1:9" x14ac:dyDescent="0.25">
      <c r="A1084" s="299">
        <v>42956</v>
      </c>
      <c r="B1084" s="302" t="s">
        <v>24895</v>
      </c>
      <c r="C1084">
        <v>123056</v>
      </c>
      <c r="D1084" s="236" t="s">
        <v>15344</v>
      </c>
      <c r="E1084" s="301">
        <v>3630</v>
      </c>
      <c r="F1084" s="303">
        <v>42956</v>
      </c>
      <c r="G1084" s="301">
        <v>3630</v>
      </c>
      <c r="H1084" s="304">
        <f>Tabla13[[#This Row],[Importe]]-Tabla13[[#This Row],[Pagado]]</f>
        <v>0</v>
      </c>
      <c r="I1084" s="275" t="s">
        <v>15214</v>
      </c>
    </row>
    <row r="1085" spans="1:9" x14ac:dyDescent="0.25">
      <c r="A1085" s="299">
        <v>42956</v>
      </c>
      <c r="B1085" s="302" t="s">
        <v>24896</v>
      </c>
      <c r="C1085">
        <v>123057</v>
      </c>
      <c r="D1085" s="236" t="s">
        <v>15315</v>
      </c>
      <c r="E1085" s="301">
        <v>690</v>
      </c>
      <c r="F1085" s="303">
        <v>42956</v>
      </c>
      <c r="G1085" s="301">
        <v>690</v>
      </c>
      <c r="H1085" s="304">
        <f>Tabla13[[#This Row],[Importe]]-Tabla13[[#This Row],[Pagado]]</f>
        <v>0</v>
      </c>
      <c r="I1085" s="275" t="s">
        <v>15214</v>
      </c>
    </row>
    <row r="1086" spans="1:9" x14ac:dyDescent="0.25">
      <c r="A1086" s="299">
        <v>42956</v>
      </c>
      <c r="B1086" s="302" t="s">
        <v>24897</v>
      </c>
      <c r="C1086">
        <v>123058</v>
      </c>
      <c r="D1086" s="236" t="s">
        <v>15526</v>
      </c>
      <c r="E1086" s="301">
        <v>4145</v>
      </c>
      <c r="F1086" s="303">
        <v>42956</v>
      </c>
      <c r="G1086" s="301">
        <v>4145</v>
      </c>
      <c r="H1086" s="304">
        <f>Tabla13[[#This Row],[Importe]]-Tabla13[[#This Row],[Pagado]]</f>
        <v>0</v>
      </c>
      <c r="I1086" s="275" t="s">
        <v>15214</v>
      </c>
    </row>
    <row r="1087" spans="1:9" x14ac:dyDescent="0.25">
      <c r="A1087" s="299">
        <v>42956</v>
      </c>
      <c r="B1087" s="302" t="s">
        <v>24898</v>
      </c>
      <c r="C1087">
        <v>123059</v>
      </c>
      <c r="D1087" s="236" t="s">
        <v>19768</v>
      </c>
      <c r="E1087" s="301">
        <v>1686.8</v>
      </c>
      <c r="F1087" s="303">
        <v>42956</v>
      </c>
      <c r="G1087" s="301">
        <v>1686.8</v>
      </c>
      <c r="H1087" s="304">
        <f>Tabla13[[#This Row],[Importe]]-Tabla13[[#This Row],[Pagado]]</f>
        <v>0</v>
      </c>
      <c r="I1087" s="275" t="s">
        <v>15214</v>
      </c>
    </row>
    <row r="1088" spans="1:9" x14ac:dyDescent="0.25">
      <c r="A1088" s="299">
        <v>42956</v>
      </c>
      <c r="B1088" s="302" t="s">
        <v>24899</v>
      </c>
      <c r="C1088">
        <v>123060</v>
      </c>
      <c r="D1088" s="236" t="s">
        <v>15725</v>
      </c>
      <c r="E1088" s="301">
        <v>21936.6</v>
      </c>
      <c r="F1088" s="303">
        <v>42960</v>
      </c>
      <c r="G1088" s="301">
        <v>21936.6</v>
      </c>
      <c r="H1088" s="304">
        <f>Tabla13[[#This Row],[Importe]]-Tabla13[[#This Row],[Pagado]]</f>
        <v>0</v>
      </c>
      <c r="I1088" s="275" t="s">
        <v>15214</v>
      </c>
    </row>
    <row r="1089" spans="1:9" x14ac:dyDescent="0.25">
      <c r="A1089" s="299">
        <v>42956</v>
      </c>
      <c r="B1089" s="302" t="s">
        <v>24900</v>
      </c>
      <c r="C1089">
        <v>123061</v>
      </c>
      <c r="D1089" s="236" t="s">
        <v>15732</v>
      </c>
      <c r="E1089" s="301">
        <v>3267.4</v>
      </c>
      <c r="F1089" s="303">
        <v>42956</v>
      </c>
      <c r="G1089" s="301">
        <v>3267.4</v>
      </c>
      <c r="H1089" s="304">
        <f>Tabla13[[#This Row],[Importe]]-Tabla13[[#This Row],[Pagado]]</f>
        <v>0</v>
      </c>
      <c r="I1089" s="275" t="s">
        <v>15214</v>
      </c>
    </row>
    <row r="1090" spans="1:9" x14ac:dyDescent="0.25">
      <c r="A1090" s="299">
        <v>42956</v>
      </c>
      <c r="B1090" s="302" t="s">
        <v>24901</v>
      </c>
      <c r="C1090">
        <v>123062</v>
      </c>
      <c r="D1090" s="236" t="s">
        <v>15336</v>
      </c>
      <c r="E1090" s="301">
        <v>107.5</v>
      </c>
      <c r="F1090" s="303">
        <v>42956</v>
      </c>
      <c r="G1090" s="301">
        <v>107.5</v>
      </c>
      <c r="H1090" s="304">
        <f>Tabla13[[#This Row],[Importe]]-Tabla13[[#This Row],[Pagado]]</f>
        <v>0</v>
      </c>
      <c r="I1090" s="275" t="s">
        <v>15214</v>
      </c>
    </row>
    <row r="1091" spans="1:9" x14ac:dyDescent="0.25">
      <c r="A1091" s="299">
        <v>42956</v>
      </c>
      <c r="B1091" s="302" t="s">
        <v>24902</v>
      </c>
      <c r="C1091">
        <v>123063</v>
      </c>
      <c r="D1091" s="236" t="s">
        <v>15315</v>
      </c>
      <c r="E1091" s="301">
        <v>336</v>
      </c>
      <c r="F1091" s="303">
        <v>42956</v>
      </c>
      <c r="G1091" s="301">
        <v>336</v>
      </c>
      <c r="H1091" s="304">
        <f>Tabla13[[#This Row],[Importe]]-Tabla13[[#This Row],[Pagado]]</f>
        <v>0</v>
      </c>
      <c r="I1091" s="275" t="s">
        <v>15214</v>
      </c>
    </row>
    <row r="1092" spans="1:9" x14ac:dyDescent="0.25">
      <c r="A1092" s="299">
        <v>42956</v>
      </c>
      <c r="B1092" s="302" t="s">
        <v>24903</v>
      </c>
      <c r="C1092">
        <v>123064</v>
      </c>
      <c r="D1092" s="236" t="s">
        <v>16686</v>
      </c>
      <c r="E1092" s="301">
        <v>31068.799999999999</v>
      </c>
      <c r="F1092" s="303">
        <v>42956</v>
      </c>
      <c r="G1092" s="301">
        <v>31068.799999999999</v>
      </c>
      <c r="H1092" s="304">
        <f>Tabla13[[#This Row],[Importe]]-Tabla13[[#This Row],[Pagado]]</f>
        <v>0</v>
      </c>
      <c r="I1092" s="275" t="s">
        <v>15214</v>
      </c>
    </row>
    <row r="1093" spans="1:9" x14ac:dyDescent="0.25">
      <c r="A1093" s="299">
        <v>42956</v>
      </c>
      <c r="B1093" s="302" t="s">
        <v>24904</v>
      </c>
      <c r="C1093">
        <v>123065</v>
      </c>
      <c r="D1093" s="236" t="s">
        <v>15282</v>
      </c>
      <c r="E1093" s="301">
        <v>3105.2</v>
      </c>
      <c r="F1093" s="303">
        <v>42956</v>
      </c>
      <c r="G1093" s="301">
        <v>3105.2</v>
      </c>
      <c r="H1093" s="304">
        <f>Tabla13[[#This Row],[Importe]]-Tabla13[[#This Row],[Pagado]]</f>
        <v>0</v>
      </c>
      <c r="I1093" s="275" t="s">
        <v>15214</v>
      </c>
    </row>
    <row r="1094" spans="1:9" x14ac:dyDescent="0.25">
      <c r="A1094" s="299">
        <v>42956</v>
      </c>
      <c r="B1094" s="302" t="s">
        <v>24905</v>
      </c>
      <c r="C1094">
        <v>123066</v>
      </c>
      <c r="D1094" s="236" t="s">
        <v>15254</v>
      </c>
      <c r="E1094" s="301">
        <v>25991.599999999999</v>
      </c>
      <c r="F1094" s="303">
        <v>42963</v>
      </c>
      <c r="G1094" s="301">
        <v>25991.599999999999</v>
      </c>
      <c r="H1094" s="304">
        <f>Tabla13[[#This Row],[Importe]]-Tabla13[[#This Row],[Pagado]]</f>
        <v>0</v>
      </c>
      <c r="I1094" s="275" t="s">
        <v>15214</v>
      </c>
    </row>
    <row r="1095" spans="1:9" x14ac:dyDescent="0.25">
      <c r="A1095" s="299">
        <v>42956</v>
      </c>
      <c r="B1095" s="302" t="s">
        <v>24906</v>
      </c>
      <c r="C1095">
        <v>123067</v>
      </c>
      <c r="D1095" s="236" t="s">
        <v>15334</v>
      </c>
      <c r="E1095" s="301">
        <v>912</v>
      </c>
      <c r="F1095" s="303">
        <v>42956</v>
      </c>
      <c r="G1095" s="301">
        <v>912</v>
      </c>
      <c r="H1095" s="304">
        <f>Tabla13[[#This Row],[Importe]]-Tabla13[[#This Row],[Pagado]]</f>
        <v>0</v>
      </c>
      <c r="I1095" s="275" t="s">
        <v>15214</v>
      </c>
    </row>
    <row r="1096" spans="1:9" x14ac:dyDescent="0.25">
      <c r="A1096" s="299">
        <v>42956</v>
      </c>
      <c r="B1096" s="302" t="s">
        <v>24907</v>
      </c>
      <c r="C1096">
        <v>123068</v>
      </c>
      <c r="D1096" s="236" t="s">
        <v>15334</v>
      </c>
      <c r="E1096" s="301">
        <v>1800</v>
      </c>
      <c r="F1096" s="303">
        <v>42956</v>
      </c>
      <c r="G1096" s="301">
        <v>1800</v>
      </c>
      <c r="H1096" s="304">
        <f>Tabla13[[#This Row],[Importe]]-Tabla13[[#This Row],[Pagado]]</f>
        <v>0</v>
      </c>
      <c r="I1096" s="275" t="s">
        <v>15214</v>
      </c>
    </row>
    <row r="1097" spans="1:9" x14ac:dyDescent="0.25">
      <c r="A1097" s="299">
        <v>42956</v>
      </c>
      <c r="B1097" s="302" t="s">
        <v>24908</v>
      </c>
      <c r="C1097">
        <v>123069</v>
      </c>
      <c r="D1097" s="236" t="s">
        <v>15332</v>
      </c>
      <c r="E1097" s="301">
        <v>210</v>
      </c>
      <c r="F1097" s="303">
        <v>42956</v>
      </c>
      <c r="G1097" s="301">
        <v>210</v>
      </c>
      <c r="H1097" s="304">
        <f>Tabla13[[#This Row],[Importe]]-Tabla13[[#This Row],[Pagado]]</f>
        <v>0</v>
      </c>
      <c r="I1097" s="275" t="s">
        <v>15214</v>
      </c>
    </row>
    <row r="1098" spans="1:9" x14ac:dyDescent="0.25">
      <c r="A1098" s="299">
        <v>42956</v>
      </c>
      <c r="B1098" s="302" t="s">
        <v>24909</v>
      </c>
      <c r="C1098">
        <v>123070</v>
      </c>
      <c r="D1098" s="236" t="s">
        <v>15338</v>
      </c>
      <c r="E1098" s="301">
        <v>10999.2</v>
      </c>
      <c r="F1098" s="303">
        <v>42958</v>
      </c>
      <c r="G1098" s="301">
        <v>10999.2</v>
      </c>
      <c r="H1098" s="304">
        <f>Tabla13[[#This Row],[Importe]]-Tabla13[[#This Row],[Pagado]]</f>
        <v>0</v>
      </c>
      <c r="I1098" s="275" t="s">
        <v>15214</v>
      </c>
    </row>
    <row r="1099" spans="1:9" x14ac:dyDescent="0.25">
      <c r="A1099" s="299">
        <v>42956</v>
      </c>
      <c r="B1099" s="302" t="s">
        <v>24910</v>
      </c>
      <c r="C1099">
        <v>123071</v>
      </c>
      <c r="D1099" s="236" t="s">
        <v>15340</v>
      </c>
      <c r="E1099" s="301">
        <v>2912</v>
      </c>
      <c r="F1099" s="303">
        <v>42956</v>
      </c>
      <c r="G1099" s="301">
        <v>2912</v>
      </c>
      <c r="H1099" s="304">
        <f>Tabla13[[#This Row],[Importe]]-Tabla13[[#This Row],[Pagado]]</f>
        <v>0</v>
      </c>
      <c r="I1099" s="275" t="s">
        <v>15214</v>
      </c>
    </row>
    <row r="1100" spans="1:9" x14ac:dyDescent="0.25">
      <c r="A1100" s="299">
        <v>42956</v>
      </c>
      <c r="B1100" s="302" t="s">
        <v>24911</v>
      </c>
      <c r="C1100">
        <v>123072</v>
      </c>
      <c r="D1100" s="236" t="s">
        <v>15890</v>
      </c>
      <c r="E1100" s="301">
        <v>6733.8</v>
      </c>
      <c r="F1100" s="303">
        <v>42962</v>
      </c>
      <c r="G1100" s="301">
        <v>6733.8</v>
      </c>
      <c r="H1100" s="304">
        <f>Tabla13[[#This Row],[Importe]]-Tabla13[[#This Row],[Pagado]]</f>
        <v>0</v>
      </c>
      <c r="I1100" s="275" t="s">
        <v>15214</v>
      </c>
    </row>
    <row r="1101" spans="1:9" x14ac:dyDescent="0.25">
      <c r="A1101" s="299">
        <v>42956</v>
      </c>
      <c r="B1101" s="302" t="s">
        <v>24912</v>
      </c>
      <c r="C1101">
        <v>123073</v>
      </c>
      <c r="D1101" s="236" t="s">
        <v>15213</v>
      </c>
      <c r="E1101" s="301">
        <v>3606.35</v>
      </c>
      <c r="F1101" s="303">
        <v>42957</v>
      </c>
      <c r="G1101" s="301">
        <v>3606.35</v>
      </c>
      <c r="H1101" s="304">
        <f>Tabla13[[#This Row],[Importe]]-Tabla13[[#This Row],[Pagado]]</f>
        <v>0</v>
      </c>
      <c r="I1101" s="275" t="s">
        <v>15214</v>
      </c>
    </row>
    <row r="1102" spans="1:9" x14ac:dyDescent="0.25">
      <c r="A1102" s="299">
        <v>42956</v>
      </c>
      <c r="B1102" s="302" t="s">
        <v>24913</v>
      </c>
      <c r="C1102">
        <v>123074</v>
      </c>
      <c r="D1102" s="236" t="s">
        <v>15566</v>
      </c>
      <c r="E1102" s="301">
        <v>3557.25</v>
      </c>
      <c r="F1102" s="303">
        <v>42956</v>
      </c>
      <c r="G1102" s="301">
        <v>3557.25</v>
      </c>
      <c r="H1102" s="304">
        <f>Tabla13[[#This Row],[Importe]]-Tabla13[[#This Row],[Pagado]]</f>
        <v>0</v>
      </c>
      <c r="I1102" s="275" t="s">
        <v>15214</v>
      </c>
    </row>
    <row r="1103" spans="1:9" x14ac:dyDescent="0.25">
      <c r="A1103" s="299">
        <v>42956</v>
      </c>
      <c r="B1103" s="302" t="s">
        <v>24914</v>
      </c>
      <c r="C1103">
        <v>123075</v>
      </c>
      <c r="D1103" s="236" t="s">
        <v>15226</v>
      </c>
      <c r="E1103" s="301">
        <v>1960</v>
      </c>
      <c r="F1103" s="303">
        <v>42961</v>
      </c>
      <c r="G1103" s="301">
        <v>1960</v>
      </c>
      <c r="H1103" s="304">
        <f>Tabla13[[#This Row],[Importe]]-Tabla13[[#This Row],[Pagado]]</f>
        <v>0</v>
      </c>
      <c r="I1103" s="275" t="s">
        <v>15214</v>
      </c>
    </row>
    <row r="1104" spans="1:9" x14ac:dyDescent="0.25">
      <c r="A1104" s="299">
        <v>42956</v>
      </c>
      <c r="B1104" s="302" t="s">
        <v>24915</v>
      </c>
      <c r="C1104">
        <v>123076</v>
      </c>
      <c r="D1104" s="236" t="s">
        <v>15716</v>
      </c>
      <c r="E1104" s="301">
        <v>6957.25</v>
      </c>
      <c r="F1104" s="303">
        <v>42956</v>
      </c>
      <c r="G1104" s="301">
        <v>6957.25</v>
      </c>
      <c r="H1104" s="304">
        <f>Tabla13[[#This Row],[Importe]]-Tabla13[[#This Row],[Pagado]]</f>
        <v>0</v>
      </c>
      <c r="I1104" s="275" t="s">
        <v>15214</v>
      </c>
    </row>
    <row r="1105" spans="1:9" x14ac:dyDescent="0.25">
      <c r="A1105" s="299">
        <v>42956</v>
      </c>
      <c r="B1105" s="302" t="s">
        <v>24916</v>
      </c>
      <c r="C1105">
        <v>123077</v>
      </c>
      <c r="D1105" s="236" t="s">
        <v>15716</v>
      </c>
      <c r="E1105" s="301">
        <v>1396.8</v>
      </c>
      <c r="F1105" s="303">
        <v>42956</v>
      </c>
      <c r="G1105" s="301">
        <v>1396.8</v>
      </c>
      <c r="H1105" s="304">
        <f>Tabla13[[#This Row],[Importe]]-Tabla13[[#This Row],[Pagado]]</f>
        <v>0</v>
      </c>
      <c r="I1105" s="275" t="s">
        <v>15214</v>
      </c>
    </row>
    <row r="1106" spans="1:9" x14ac:dyDescent="0.25">
      <c r="A1106" s="299">
        <v>42956</v>
      </c>
      <c r="B1106" s="302" t="s">
        <v>24917</v>
      </c>
      <c r="C1106">
        <v>123078</v>
      </c>
      <c r="D1106" s="236" t="s">
        <v>15728</v>
      </c>
      <c r="E1106" s="301">
        <v>21402</v>
      </c>
      <c r="F1106" s="303">
        <v>42956</v>
      </c>
      <c r="G1106" s="301">
        <v>21402</v>
      </c>
      <c r="H1106" s="304">
        <f>Tabla13[[#This Row],[Importe]]-Tabla13[[#This Row],[Pagado]]</f>
        <v>0</v>
      </c>
      <c r="I1106" s="275" t="s">
        <v>15214</v>
      </c>
    </row>
    <row r="1107" spans="1:9" x14ac:dyDescent="0.25">
      <c r="A1107" s="299">
        <v>42956</v>
      </c>
      <c r="B1107" s="302" t="s">
        <v>24918</v>
      </c>
      <c r="C1107">
        <v>123079</v>
      </c>
      <c r="D1107" s="236" t="s">
        <v>15328</v>
      </c>
      <c r="E1107" s="301">
        <v>592.84</v>
      </c>
      <c r="F1107" s="303">
        <v>42969</v>
      </c>
      <c r="G1107" s="301">
        <v>592.84</v>
      </c>
      <c r="H1107" s="304">
        <f>Tabla13[[#This Row],[Importe]]-Tabla13[[#This Row],[Pagado]]</f>
        <v>0</v>
      </c>
      <c r="I1107" s="275" t="s">
        <v>15214</v>
      </c>
    </row>
    <row r="1108" spans="1:9" x14ac:dyDescent="0.25">
      <c r="A1108" s="299">
        <v>42956</v>
      </c>
      <c r="B1108" s="302" t="s">
        <v>24919</v>
      </c>
      <c r="C1108">
        <v>123080</v>
      </c>
      <c r="D1108" s="236" t="s">
        <v>15409</v>
      </c>
      <c r="E1108" s="301">
        <v>12980</v>
      </c>
      <c r="F1108" s="303">
        <v>42956</v>
      </c>
      <c r="G1108" s="301">
        <v>12980</v>
      </c>
      <c r="H1108" s="304">
        <f>Tabla13[[#This Row],[Importe]]-Tabla13[[#This Row],[Pagado]]</f>
        <v>0</v>
      </c>
      <c r="I1108" s="275" t="s">
        <v>15214</v>
      </c>
    </row>
    <row r="1109" spans="1:9" x14ac:dyDescent="0.25">
      <c r="A1109" s="299">
        <v>42956</v>
      </c>
      <c r="B1109" s="302" t="s">
        <v>24920</v>
      </c>
      <c r="C1109">
        <v>123081</v>
      </c>
      <c r="D1109" s="236" t="s">
        <v>22563</v>
      </c>
      <c r="E1109" s="301">
        <v>8884.7999999999993</v>
      </c>
      <c r="F1109" s="303">
        <v>42957</v>
      </c>
      <c r="G1109" s="301">
        <v>8884.7999999999993</v>
      </c>
      <c r="H1109" s="304">
        <f>Tabla13[[#This Row],[Importe]]-Tabla13[[#This Row],[Pagado]]</f>
        <v>0</v>
      </c>
      <c r="I1109" s="275" t="s">
        <v>15214</v>
      </c>
    </row>
    <row r="1110" spans="1:9" x14ac:dyDescent="0.25">
      <c r="A1110" s="299">
        <v>42956</v>
      </c>
      <c r="B1110" s="302" t="s">
        <v>24921</v>
      </c>
      <c r="C1110">
        <v>123082</v>
      </c>
      <c r="D1110" s="236" t="s">
        <v>15284</v>
      </c>
      <c r="E1110" s="301">
        <v>547.79999999999995</v>
      </c>
      <c r="F1110" s="303">
        <v>42956</v>
      </c>
      <c r="G1110" s="301">
        <v>547.79999999999995</v>
      </c>
      <c r="H1110" s="304">
        <f>Tabla13[[#This Row],[Importe]]-Tabla13[[#This Row],[Pagado]]</f>
        <v>0</v>
      </c>
      <c r="I1110" s="275" t="s">
        <v>15214</v>
      </c>
    </row>
    <row r="1111" spans="1:9" x14ac:dyDescent="0.25">
      <c r="A1111" s="299">
        <v>42956</v>
      </c>
      <c r="B1111" s="302" t="s">
        <v>24922</v>
      </c>
      <c r="C1111">
        <v>123083</v>
      </c>
      <c r="D1111" s="236" t="s">
        <v>15284</v>
      </c>
      <c r="E1111" s="301">
        <v>750</v>
      </c>
      <c r="F1111" s="303">
        <v>42956</v>
      </c>
      <c r="G1111" s="301">
        <v>750</v>
      </c>
      <c r="H1111" s="304">
        <f>Tabla13[[#This Row],[Importe]]-Tabla13[[#This Row],[Pagado]]</f>
        <v>0</v>
      </c>
      <c r="I1111" s="275" t="s">
        <v>15214</v>
      </c>
    </row>
    <row r="1112" spans="1:9" x14ac:dyDescent="0.25">
      <c r="A1112" s="299">
        <v>42956</v>
      </c>
      <c r="B1112" s="302" t="s">
        <v>24923</v>
      </c>
      <c r="C1112">
        <v>123084</v>
      </c>
      <c r="D1112" s="236" t="s">
        <v>15298</v>
      </c>
      <c r="E1112" s="301">
        <v>192.4</v>
      </c>
      <c r="F1112" s="303">
        <v>42956</v>
      </c>
      <c r="G1112" s="301">
        <v>192.4</v>
      </c>
      <c r="H1112" s="304">
        <f>Tabla13[[#This Row],[Importe]]-Tabla13[[#This Row],[Pagado]]</f>
        <v>0</v>
      </c>
      <c r="I1112" s="275" t="s">
        <v>15214</v>
      </c>
    </row>
    <row r="1113" spans="1:9" x14ac:dyDescent="0.25">
      <c r="A1113" s="299">
        <v>42956</v>
      </c>
      <c r="B1113" s="302" t="s">
        <v>24924</v>
      </c>
      <c r="C1113">
        <v>123085</v>
      </c>
      <c r="D1113" s="236" t="s">
        <v>16116</v>
      </c>
      <c r="E1113" s="301">
        <v>22596.92</v>
      </c>
      <c r="F1113" s="303">
        <v>42956</v>
      </c>
      <c r="G1113" s="301">
        <v>22596.92</v>
      </c>
      <c r="H1113" s="304">
        <f>Tabla13[[#This Row],[Importe]]-Tabla13[[#This Row],[Pagado]]</f>
        <v>0</v>
      </c>
      <c r="I1113" s="275" t="s">
        <v>15214</v>
      </c>
    </row>
    <row r="1114" spans="1:9" x14ac:dyDescent="0.25">
      <c r="A1114" s="299">
        <v>42956</v>
      </c>
      <c r="B1114" s="302" t="s">
        <v>24925</v>
      </c>
      <c r="C1114">
        <v>123086</v>
      </c>
      <c r="D1114" s="236" t="s">
        <v>15444</v>
      </c>
      <c r="E1114" s="301">
        <v>3030.2</v>
      </c>
      <c r="F1114" s="303">
        <v>42957</v>
      </c>
      <c r="G1114" s="301">
        <v>3030.2</v>
      </c>
      <c r="H1114" s="304">
        <f>Tabla13[[#This Row],[Importe]]-Tabla13[[#This Row],[Pagado]]</f>
        <v>0</v>
      </c>
      <c r="I1114" s="275" t="s">
        <v>15214</v>
      </c>
    </row>
    <row r="1115" spans="1:9" x14ac:dyDescent="0.25">
      <c r="A1115" s="299">
        <v>42956</v>
      </c>
      <c r="B1115" s="302" t="s">
        <v>24926</v>
      </c>
      <c r="C1115">
        <v>123087</v>
      </c>
      <c r="D1115" s="236" t="s">
        <v>15365</v>
      </c>
      <c r="E1115" s="301">
        <v>484704</v>
      </c>
      <c r="F1115" s="303">
        <v>42960</v>
      </c>
      <c r="G1115" s="301">
        <v>484704</v>
      </c>
      <c r="H1115" s="304">
        <f>Tabla13[[#This Row],[Importe]]-Tabla13[[#This Row],[Pagado]]</f>
        <v>0</v>
      </c>
      <c r="I1115" s="275" t="s">
        <v>15214</v>
      </c>
    </row>
    <row r="1116" spans="1:9" x14ac:dyDescent="0.25">
      <c r="A1116" s="299">
        <v>42956</v>
      </c>
      <c r="B1116" s="302" t="s">
        <v>24927</v>
      </c>
      <c r="C1116">
        <v>123088</v>
      </c>
      <c r="D1116" s="236" t="s">
        <v>15628</v>
      </c>
      <c r="E1116" s="301">
        <v>1800</v>
      </c>
      <c r="F1116" s="303">
        <v>42956</v>
      </c>
      <c r="G1116" s="301">
        <v>1800</v>
      </c>
      <c r="H1116" s="304">
        <f>Tabla13[[#This Row],[Importe]]-Tabla13[[#This Row],[Pagado]]</f>
        <v>0</v>
      </c>
      <c r="I1116" s="275" t="s">
        <v>15214</v>
      </c>
    </row>
    <row r="1117" spans="1:9" x14ac:dyDescent="0.25">
      <c r="A1117" s="299">
        <v>42956</v>
      </c>
      <c r="B1117" s="302" t="s">
        <v>24928</v>
      </c>
      <c r="C1117">
        <v>123089</v>
      </c>
      <c r="D1117" s="236" t="s">
        <v>15338</v>
      </c>
      <c r="E1117" s="301">
        <v>367</v>
      </c>
      <c r="F1117" s="303">
        <v>42962</v>
      </c>
      <c r="G1117" s="301">
        <v>367</v>
      </c>
      <c r="H1117" s="304">
        <f>Tabla13[[#This Row],[Importe]]-Tabla13[[#This Row],[Pagado]]</f>
        <v>0</v>
      </c>
      <c r="I1117" s="275" t="s">
        <v>15214</v>
      </c>
    </row>
    <row r="1118" spans="1:9" x14ac:dyDescent="0.25">
      <c r="A1118" s="299">
        <v>42956</v>
      </c>
      <c r="B1118" s="302" t="s">
        <v>24929</v>
      </c>
      <c r="C1118">
        <v>123090</v>
      </c>
      <c r="D1118" s="236" t="s">
        <v>15330</v>
      </c>
      <c r="E1118" s="301">
        <v>1666.2</v>
      </c>
      <c r="F1118" s="303">
        <v>42956</v>
      </c>
      <c r="G1118" s="301">
        <v>1666.2</v>
      </c>
      <c r="H1118" s="304">
        <f>Tabla13[[#This Row],[Importe]]-Tabla13[[#This Row],[Pagado]]</f>
        <v>0</v>
      </c>
      <c r="I1118" s="275" t="s">
        <v>15214</v>
      </c>
    </row>
    <row r="1119" spans="1:9" x14ac:dyDescent="0.25">
      <c r="A1119" s="299">
        <v>42956</v>
      </c>
      <c r="B1119" s="302" t="s">
        <v>24930</v>
      </c>
      <c r="C1119">
        <v>123091</v>
      </c>
      <c r="D1119" s="236" t="s">
        <v>15789</v>
      </c>
      <c r="E1119" s="301">
        <v>26706.400000000001</v>
      </c>
      <c r="F1119" s="303">
        <v>42963</v>
      </c>
      <c r="G1119" s="301">
        <v>26706.400000000001</v>
      </c>
      <c r="H1119" s="304">
        <f>Tabla13[[#This Row],[Importe]]-Tabla13[[#This Row],[Pagado]]</f>
        <v>0</v>
      </c>
      <c r="I1119" s="275" t="s">
        <v>15214</v>
      </c>
    </row>
    <row r="1120" spans="1:9" ht="30" x14ac:dyDescent="0.25">
      <c r="A1120" s="299">
        <v>42956</v>
      </c>
      <c r="B1120" s="302" t="s">
        <v>24931</v>
      </c>
      <c r="C1120">
        <v>123092</v>
      </c>
      <c r="D1120" s="236" t="s">
        <v>15246</v>
      </c>
      <c r="E1120" s="301">
        <v>375059.78</v>
      </c>
      <c r="F1120" s="303" t="s">
        <v>24932</v>
      </c>
      <c r="G1120" s="305">
        <f>216386.68+158673.1</f>
        <v>375059.78</v>
      </c>
      <c r="H1120" s="304">
        <f>Tabla13[[#This Row],[Importe]]-Tabla13[[#This Row],[Pagado]]</f>
        <v>0</v>
      </c>
      <c r="I1120" s="275" t="s">
        <v>15214</v>
      </c>
    </row>
    <row r="1121" spans="1:9" x14ac:dyDescent="0.25">
      <c r="A1121" s="299">
        <v>42956</v>
      </c>
      <c r="B1121" s="302" t="s">
        <v>24933</v>
      </c>
      <c r="C1121">
        <v>123093</v>
      </c>
      <c r="D1121" s="236" t="s">
        <v>5757</v>
      </c>
      <c r="E1121" s="301">
        <v>4163</v>
      </c>
      <c r="F1121" s="303">
        <v>42956</v>
      </c>
      <c r="G1121" s="301">
        <v>4163</v>
      </c>
      <c r="H1121" s="304">
        <f>Tabla13[[#This Row],[Importe]]-Tabla13[[#This Row],[Pagado]]</f>
        <v>0</v>
      </c>
      <c r="I1121" s="275" t="s">
        <v>15214</v>
      </c>
    </row>
    <row r="1122" spans="1:9" x14ac:dyDescent="0.25">
      <c r="A1122" s="299">
        <v>42956</v>
      </c>
      <c r="B1122" s="302" t="s">
        <v>24934</v>
      </c>
      <c r="C1122">
        <v>123094</v>
      </c>
      <c r="D1122" s="236" t="s">
        <v>15246</v>
      </c>
      <c r="E1122" s="301">
        <v>17299</v>
      </c>
      <c r="F1122" s="303">
        <v>42961</v>
      </c>
      <c r="G1122" s="301">
        <v>17299</v>
      </c>
      <c r="H1122" s="304">
        <f>Tabla13[[#This Row],[Importe]]-Tabla13[[#This Row],[Pagado]]</f>
        <v>0</v>
      </c>
      <c r="I1122" s="275" t="s">
        <v>15214</v>
      </c>
    </row>
    <row r="1123" spans="1:9" x14ac:dyDescent="0.25">
      <c r="A1123" s="299">
        <v>42956</v>
      </c>
      <c r="B1123" s="302" t="s">
        <v>24935</v>
      </c>
      <c r="C1123">
        <v>123095</v>
      </c>
      <c r="D1123" s="236" t="s">
        <v>15435</v>
      </c>
      <c r="E1123" s="301">
        <v>8251.2000000000007</v>
      </c>
      <c r="F1123" s="303">
        <v>42956</v>
      </c>
      <c r="G1123" s="301">
        <v>8251.2000000000007</v>
      </c>
      <c r="H1123" s="304">
        <f>Tabla13[[#This Row],[Importe]]-Tabla13[[#This Row],[Pagado]]</f>
        <v>0</v>
      </c>
      <c r="I1123" s="275" t="s">
        <v>15214</v>
      </c>
    </row>
    <row r="1124" spans="1:9" ht="15.75" x14ac:dyDescent="0.25">
      <c r="A1124" s="299">
        <v>42956</v>
      </c>
      <c r="B1124" s="302" t="s">
        <v>24936</v>
      </c>
      <c r="C1124">
        <v>123096</v>
      </c>
      <c r="D1124" s="248" t="s">
        <v>95</v>
      </c>
      <c r="E1124" s="301">
        <v>0</v>
      </c>
      <c r="F1124" s="243" t="s">
        <v>95</v>
      </c>
      <c r="G1124" s="301">
        <v>0</v>
      </c>
      <c r="H1124" s="304">
        <f>Tabla13[[#This Row],[Importe]]-Tabla13[[#This Row],[Pagado]]</f>
        <v>0</v>
      </c>
      <c r="I1124" s="275" t="s">
        <v>95</v>
      </c>
    </row>
    <row r="1125" spans="1:9" x14ac:dyDescent="0.25">
      <c r="A1125" s="299">
        <v>42956</v>
      </c>
      <c r="B1125" s="302" t="s">
        <v>24937</v>
      </c>
      <c r="C1125">
        <v>123097</v>
      </c>
      <c r="D1125" s="236" t="s">
        <v>19680</v>
      </c>
      <c r="E1125" s="301">
        <v>154.5</v>
      </c>
      <c r="F1125" s="303">
        <v>42956</v>
      </c>
      <c r="G1125" s="301">
        <v>154.5</v>
      </c>
      <c r="H1125" s="304">
        <f>Tabla13[[#This Row],[Importe]]-Tabla13[[#This Row],[Pagado]]</f>
        <v>0</v>
      </c>
      <c r="I1125" s="275" t="s">
        <v>15214</v>
      </c>
    </row>
    <row r="1126" spans="1:9" x14ac:dyDescent="0.25">
      <c r="A1126" s="299">
        <v>42957</v>
      </c>
      <c r="B1126" s="302" t="s">
        <v>24938</v>
      </c>
      <c r="C1126">
        <v>123098</v>
      </c>
      <c r="D1126" s="236" t="s">
        <v>21386</v>
      </c>
      <c r="E1126" s="301">
        <v>6966.45</v>
      </c>
      <c r="F1126" s="303">
        <v>42958</v>
      </c>
      <c r="G1126" s="301">
        <v>6966.45</v>
      </c>
      <c r="H1126" s="304">
        <f>Tabla13[[#This Row],[Importe]]-Tabla13[[#This Row],[Pagado]]</f>
        <v>0</v>
      </c>
      <c r="I1126" s="275" t="s">
        <v>15214</v>
      </c>
    </row>
    <row r="1127" spans="1:9" ht="15.75" x14ac:dyDescent="0.25">
      <c r="A1127" s="299">
        <v>42957</v>
      </c>
      <c r="B1127" s="302" t="s">
        <v>24939</v>
      </c>
      <c r="C1127">
        <v>123099</v>
      </c>
      <c r="D1127" s="248" t="s">
        <v>95</v>
      </c>
      <c r="E1127" s="301">
        <v>0</v>
      </c>
      <c r="F1127" s="243" t="s">
        <v>95</v>
      </c>
      <c r="G1127" s="301">
        <v>0</v>
      </c>
      <c r="H1127" s="304">
        <f>Tabla13[[#This Row],[Importe]]-Tabla13[[#This Row],[Pagado]]</f>
        <v>0</v>
      </c>
      <c r="I1127" s="275" t="s">
        <v>95</v>
      </c>
    </row>
    <row r="1128" spans="1:9" x14ac:dyDescent="0.25">
      <c r="A1128" s="299">
        <v>42957</v>
      </c>
      <c r="B1128" s="302" t="s">
        <v>24940</v>
      </c>
      <c r="C1128">
        <v>123100</v>
      </c>
      <c r="D1128" s="236" t="s">
        <v>15213</v>
      </c>
      <c r="E1128" s="301">
        <v>43496.15</v>
      </c>
      <c r="F1128" s="303">
        <v>42958</v>
      </c>
      <c r="G1128" s="301">
        <v>43496.15</v>
      </c>
      <c r="H1128" s="304">
        <f>Tabla13[[#This Row],[Importe]]-Tabla13[[#This Row],[Pagado]]</f>
        <v>0</v>
      </c>
      <c r="I1128" s="275" t="s">
        <v>15214</v>
      </c>
    </row>
    <row r="1129" spans="1:9" x14ac:dyDescent="0.25">
      <c r="A1129" s="299">
        <v>42957</v>
      </c>
      <c r="B1129" s="302" t="s">
        <v>24941</v>
      </c>
      <c r="C1129">
        <v>123101</v>
      </c>
      <c r="D1129" s="236" t="s">
        <v>18544</v>
      </c>
      <c r="E1129" s="301">
        <v>6250.2</v>
      </c>
      <c r="F1129" s="303">
        <v>42957</v>
      </c>
      <c r="G1129" s="301">
        <v>6250.2</v>
      </c>
      <c r="H1129" s="304">
        <f>Tabla13[[#This Row],[Importe]]-Tabla13[[#This Row],[Pagado]]</f>
        <v>0</v>
      </c>
      <c r="I1129" s="275" t="s">
        <v>15214</v>
      </c>
    </row>
    <row r="1130" spans="1:9" x14ac:dyDescent="0.25">
      <c r="A1130" s="299">
        <v>42957</v>
      </c>
      <c r="B1130" s="302" t="s">
        <v>24942</v>
      </c>
      <c r="C1130">
        <v>123102</v>
      </c>
      <c r="D1130" s="236" t="s">
        <v>15330</v>
      </c>
      <c r="E1130" s="301">
        <v>5995.6</v>
      </c>
      <c r="F1130" s="303">
        <v>42957</v>
      </c>
      <c r="G1130" s="301">
        <v>5995.6</v>
      </c>
      <c r="H1130" s="304">
        <f>Tabla13[[#This Row],[Importe]]-Tabla13[[#This Row],[Pagado]]</f>
        <v>0</v>
      </c>
      <c r="I1130" s="275" t="s">
        <v>15214</v>
      </c>
    </row>
    <row r="1131" spans="1:9" x14ac:dyDescent="0.25">
      <c r="A1131" s="299">
        <v>42957</v>
      </c>
      <c r="B1131" s="302" t="s">
        <v>24943</v>
      </c>
      <c r="C1131">
        <v>123103</v>
      </c>
      <c r="D1131" s="236" t="s">
        <v>15442</v>
      </c>
      <c r="E1131" s="301">
        <v>17145</v>
      </c>
      <c r="F1131" s="303">
        <v>42968</v>
      </c>
      <c r="G1131" s="301">
        <v>17145</v>
      </c>
      <c r="H1131" s="304">
        <f>Tabla13[[#This Row],[Importe]]-Tabla13[[#This Row],[Pagado]]</f>
        <v>0</v>
      </c>
      <c r="I1131" s="275" t="s">
        <v>15214</v>
      </c>
    </row>
    <row r="1132" spans="1:9" x14ac:dyDescent="0.25">
      <c r="A1132" s="299">
        <v>42957</v>
      </c>
      <c r="B1132" s="302" t="s">
        <v>24944</v>
      </c>
      <c r="C1132">
        <v>123104</v>
      </c>
      <c r="D1132" s="236" t="s">
        <v>15242</v>
      </c>
      <c r="E1132" s="301">
        <v>10102.4</v>
      </c>
      <c r="F1132" s="303">
        <v>42957</v>
      </c>
      <c r="G1132" s="301">
        <v>10102.4</v>
      </c>
      <c r="H1132" s="304">
        <f>Tabla13[[#This Row],[Importe]]-Tabla13[[#This Row],[Pagado]]</f>
        <v>0</v>
      </c>
      <c r="I1132" s="275" t="s">
        <v>15214</v>
      </c>
    </row>
    <row r="1133" spans="1:9" ht="30" x14ac:dyDescent="0.25">
      <c r="A1133" s="299">
        <v>42957</v>
      </c>
      <c r="B1133" s="302" t="s">
        <v>24945</v>
      </c>
      <c r="C1133">
        <v>123105</v>
      </c>
      <c r="D1133" s="236" t="s">
        <v>15230</v>
      </c>
      <c r="E1133" s="301">
        <v>13795.5</v>
      </c>
      <c r="F1133" s="303" t="s">
        <v>24946</v>
      </c>
      <c r="G1133" s="305">
        <f>9000+4795.5</f>
        <v>13795.5</v>
      </c>
      <c r="H1133" s="304">
        <f>Tabla13[[#This Row],[Importe]]-Tabla13[[#This Row],[Pagado]]</f>
        <v>0</v>
      </c>
      <c r="I1133" s="275" t="s">
        <v>15214</v>
      </c>
    </row>
    <row r="1134" spans="1:9" x14ac:dyDescent="0.25">
      <c r="A1134" s="299">
        <v>42957</v>
      </c>
      <c r="B1134" s="302" t="s">
        <v>24947</v>
      </c>
      <c r="C1134">
        <v>123106</v>
      </c>
      <c r="D1134" s="236" t="s">
        <v>15232</v>
      </c>
      <c r="E1134" s="301">
        <v>7140</v>
      </c>
      <c r="F1134" s="303">
        <v>42964</v>
      </c>
      <c r="G1134" s="301">
        <v>7140</v>
      </c>
      <c r="H1134" s="304">
        <f>Tabla13[[#This Row],[Importe]]-Tabla13[[#This Row],[Pagado]]</f>
        <v>0</v>
      </c>
      <c r="I1134" s="275" t="s">
        <v>15214</v>
      </c>
    </row>
    <row r="1135" spans="1:9" x14ac:dyDescent="0.25">
      <c r="A1135" s="299">
        <v>42957</v>
      </c>
      <c r="B1135" s="302" t="s">
        <v>24948</v>
      </c>
      <c r="C1135">
        <v>123107</v>
      </c>
      <c r="D1135" s="236" t="s">
        <v>15240</v>
      </c>
      <c r="E1135" s="301">
        <v>3345.6</v>
      </c>
      <c r="F1135" s="303">
        <v>42961</v>
      </c>
      <c r="G1135" s="301">
        <v>3345.6</v>
      </c>
      <c r="H1135" s="304">
        <f>Tabla13[[#This Row],[Importe]]-Tabla13[[#This Row],[Pagado]]</f>
        <v>0</v>
      </c>
      <c r="I1135" s="275" t="s">
        <v>15214</v>
      </c>
    </row>
    <row r="1136" spans="1:9" x14ac:dyDescent="0.25">
      <c r="A1136" s="299">
        <v>42957</v>
      </c>
      <c r="B1136" s="302" t="s">
        <v>24949</v>
      </c>
      <c r="C1136">
        <v>123108</v>
      </c>
      <c r="D1136" s="236" t="s">
        <v>15348</v>
      </c>
      <c r="E1136" s="301">
        <v>327.60000000000002</v>
      </c>
      <c r="F1136" s="303">
        <v>42957</v>
      </c>
      <c r="G1136" s="301">
        <v>327.60000000000002</v>
      </c>
      <c r="H1136" s="304">
        <f>Tabla13[[#This Row],[Importe]]-Tabla13[[#This Row],[Pagado]]</f>
        <v>0</v>
      </c>
      <c r="I1136" s="275" t="s">
        <v>15214</v>
      </c>
    </row>
    <row r="1137" spans="1:9" x14ac:dyDescent="0.25">
      <c r="A1137" s="299">
        <v>42957</v>
      </c>
      <c r="B1137" s="302" t="s">
        <v>24950</v>
      </c>
      <c r="C1137">
        <v>123109</v>
      </c>
      <c r="D1137" s="236" t="s">
        <v>15480</v>
      </c>
      <c r="E1137" s="301">
        <v>4523.7</v>
      </c>
      <c r="F1137" s="303">
        <v>42962</v>
      </c>
      <c r="G1137" s="301">
        <v>4523.7</v>
      </c>
      <c r="H1137" s="304">
        <f>Tabla13[[#This Row],[Importe]]-Tabla13[[#This Row],[Pagado]]</f>
        <v>0</v>
      </c>
      <c r="I1137" s="275" t="s">
        <v>15214</v>
      </c>
    </row>
    <row r="1138" spans="1:9" ht="15.75" x14ac:dyDescent="0.25">
      <c r="A1138" s="299">
        <v>42957</v>
      </c>
      <c r="B1138" s="302" t="s">
        <v>24951</v>
      </c>
      <c r="C1138">
        <v>123110</v>
      </c>
      <c r="D1138" s="248" t="s">
        <v>95</v>
      </c>
      <c r="E1138" s="301">
        <v>0</v>
      </c>
      <c r="F1138" s="243" t="s">
        <v>95</v>
      </c>
      <c r="G1138" s="301">
        <v>0</v>
      </c>
      <c r="H1138" s="304">
        <f>Tabla13[[#This Row],[Importe]]-Tabla13[[#This Row],[Pagado]]</f>
        <v>0</v>
      </c>
      <c r="I1138" s="275" t="s">
        <v>95</v>
      </c>
    </row>
    <row r="1139" spans="1:9" x14ac:dyDescent="0.25">
      <c r="A1139" s="299">
        <v>42957</v>
      </c>
      <c r="B1139" s="302" t="s">
        <v>24952</v>
      </c>
      <c r="C1139">
        <v>123111</v>
      </c>
      <c r="D1139" s="236" t="s">
        <v>15238</v>
      </c>
      <c r="E1139" s="301">
        <v>1879.2</v>
      </c>
      <c r="F1139" s="303">
        <v>42959</v>
      </c>
      <c r="G1139" s="301">
        <v>1879.2</v>
      </c>
      <c r="H1139" s="304">
        <f>Tabla13[[#This Row],[Importe]]-Tabla13[[#This Row],[Pagado]]</f>
        <v>0</v>
      </c>
      <c r="I1139" s="275" t="s">
        <v>15214</v>
      </c>
    </row>
    <row r="1140" spans="1:9" x14ac:dyDescent="0.25">
      <c r="A1140" s="299">
        <v>42957</v>
      </c>
      <c r="B1140" s="302" t="s">
        <v>24953</v>
      </c>
      <c r="C1140">
        <v>123112</v>
      </c>
      <c r="D1140" s="236" t="s">
        <v>15256</v>
      </c>
      <c r="E1140" s="301">
        <v>3676.9</v>
      </c>
      <c r="F1140" s="303">
        <v>42959</v>
      </c>
      <c r="G1140" s="301">
        <v>3676.9</v>
      </c>
      <c r="H1140" s="304">
        <f>Tabla13[[#This Row],[Importe]]-Tabla13[[#This Row],[Pagado]]</f>
        <v>0</v>
      </c>
      <c r="I1140" s="275" t="s">
        <v>15214</v>
      </c>
    </row>
    <row r="1141" spans="1:9" x14ac:dyDescent="0.25">
      <c r="A1141" s="299">
        <v>42957</v>
      </c>
      <c r="B1141" s="302" t="s">
        <v>24954</v>
      </c>
      <c r="C1141">
        <v>123113</v>
      </c>
      <c r="D1141" s="236" t="s">
        <v>15267</v>
      </c>
      <c r="E1141" s="301">
        <v>2373.6</v>
      </c>
      <c r="F1141" s="303">
        <v>42958</v>
      </c>
      <c r="G1141" s="301">
        <v>2373.6</v>
      </c>
      <c r="H1141" s="304">
        <f>Tabla13[[#This Row],[Importe]]-Tabla13[[#This Row],[Pagado]]</f>
        <v>0</v>
      </c>
      <c r="I1141" s="275" t="s">
        <v>15214</v>
      </c>
    </row>
    <row r="1142" spans="1:9" x14ac:dyDescent="0.25">
      <c r="A1142" s="299">
        <v>42957</v>
      </c>
      <c r="B1142" s="302" t="s">
        <v>24955</v>
      </c>
      <c r="C1142">
        <v>123114</v>
      </c>
      <c r="D1142" s="236" t="s">
        <v>15234</v>
      </c>
      <c r="E1142" s="301">
        <v>3602.2</v>
      </c>
      <c r="F1142" s="303">
        <v>42961</v>
      </c>
      <c r="G1142" s="301">
        <v>3602.2</v>
      </c>
      <c r="H1142" s="304">
        <f>Tabla13[[#This Row],[Importe]]-Tabla13[[#This Row],[Pagado]]</f>
        <v>0</v>
      </c>
      <c r="I1142" s="275" t="s">
        <v>15214</v>
      </c>
    </row>
    <row r="1143" spans="1:9" x14ac:dyDescent="0.25">
      <c r="A1143" s="299">
        <v>42957</v>
      </c>
      <c r="B1143" s="302" t="s">
        <v>24956</v>
      </c>
      <c r="C1143">
        <v>123115</v>
      </c>
      <c r="D1143" s="236" t="s">
        <v>15352</v>
      </c>
      <c r="E1143" s="301">
        <v>350</v>
      </c>
      <c r="F1143" s="303">
        <v>42957</v>
      </c>
      <c r="G1143" s="301">
        <v>350</v>
      </c>
      <c r="H1143" s="304">
        <f>Tabla13[[#This Row],[Importe]]-Tabla13[[#This Row],[Pagado]]</f>
        <v>0</v>
      </c>
      <c r="I1143" s="275" t="s">
        <v>15214</v>
      </c>
    </row>
    <row r="1144" spans="1:9" x14ac:dyDescent="0.25">
      <c r="A1144" s="299">
        <v>42957</v>
      </c>
      <c r="B1144" s="302" t="s">
        <v>24957</v>
      </c>
      <c r="C1144">
        <v>123116</v>
      </c>
      <c r="D1144" s="236" t="s">
        <v>15668</v>
      </c>
      <c r="E1144" s="301">
        <v>7254.2</v>
      </c>
      <c r="F1144" s="303">
        <v>42958</v>
      </c>
      <c r="G1144" s="301">
        <v>7254.2</v>
      </c>
      <c r="H1144" s="304">
        <f>Tabla13[[#This Row],[Importe]]-Tabla13[[#This Row],[Pagado]]</f>
        <v>0</v>
      </c>
      <c r="I1144" s="275" t="s">
        <v>15214</v>
      </c>
    </row>
    <row r="1145" spans="1:9" x14ac:dyDescent="0.25">
      <c r="A1145" s="299">
        <v>42957</v>
      </c>
      <c r="B1145" s="302" t="s">
        <v>24958</v>
      </c>
      <c r="C1145">
        <v>123117</v>
      </c>
      <c r="D1145" s="236" t="s">
        <v>15250</v>
      </c>
      <c r="E1145" s="301">
        <v>62861.65</v>
      </c>
      <c r="F1145" s="303">
        <v>42970</v>
      </c>
      <c r="G1145" s="301">
        <v>62861.65</v>
      </c>
      <c r="H1145" s="304">
        <f>Tabla13[[#This Row],[Importe]]-Tabla13[[#This Row],[Pagado]]</f>
        <v>0</v>
      </c>
      <c r="I1145" s="275" t="s">
        <v>15214</v>
      </c>
    </row>
    <row r="1146" spans="1:9" x14ac:dyDescent="0.25">
      <c r="A1146" s="299">
        <v>42957</v>
      </c>
      <c r="B1146" s="302" t="s">
        <v>24959</v>
      </c>
      <c r="C1146">
        <v>123118</v>
      </c>
      <c r="D1146" s="236" t="s">
        <v>15256</v>
      </c>
      <c r="E1146" s="301">
        <v>2106</v>
      </c>
      <c r="F1146" s="303">
        <v>42961</v>
      </c>
      <c r="G1146" s="301">
        <v>2106</v>
      </c>
      <c r="H1146" s="304">
        <f>Tabla13[[#This Row],[Importe]]-Tabla13[[#This Row],[Pagado]]</f>
        <v>0</v>
      </c>
      <c r="I1146" s="275" t="s">
        <v>15214</v>
      </c>
    </row>
    <row r="1147" spans="1:9" ht="30" x14ac:dyDescent="0.25">
      <c r="A1147" s="299">
        <v>42957</v>
      </c>
      <c r="B1147" s="302" t="s">
        <v>24960</v>
      </c>
      <c r="C1147">
        <v>123119</v>
      </c>
      <c r="D1147" s="236" t="s">
        <v>15223</v>
      </c>
      <c r="E1147" s="301">
        <v>53721</v>
      </c>
      <c r="F1147" s="303" t="s">
        <v>27673</v>
      </c>
      <c r="G1147" s="305">
        <f>2834.6+50886.4</f>
        <v>53721</v>
      </c>
      <c r="H1147" s="360">
        <f>Tabla13[[#This Row],[Importe]]-Tabla13[[#This Row],[Pagado]]</f>
        <v>0</v>
      </c>
      <c r="I1147" s="275" t="s">
        <v>15214</v>
      </c>
    </row>
    <row r="1148" spans="1:9" x14ac:dyDescent="0.25">
      <c r="A1148" s="299">
        <v>42957</v>
      </c>
      <c r="B1148" s="302" t="s">
        <v>24961</v>
      </c>
      <c r="C1148">
        <v>123120</v>
      </c>
      <c r="D1148" s="236" t="s">
        <v>15220</v>
      </c>
      <c r="E1148" s="301">
        <v>2640</v>
      </c>
      <c r="F1148" s="303"/>
      <c r="G1148" s="301">
        <v>2640</v>
      </c>
      <c r="H1148" s="304">
        <f>Tabla13[[#This Row],[Importe]]-Tabla13[[#This Row],[Pagado]]</f>
        <v>0</v>
      </c>
      <c r="I1148" s="275" t="s">
        <v>15214</v>
      </c>
    </row>
    <row r="1149" spans="1:9" x14ac:dyDescent="0.25">
      <c r="A1149" s="299">
        <v>42957</v>
      </c>
      <c r="B1149" s="302" t="s">
        <v>24962</v>
      </c>
      <c r="C1149">
        <v>123121</v>
      </c>
      <c r="D1149" s="236" t="s">
        <v>15261</v>
      </c>
      <c r="E1149" s="301">
        <v>18933.099999999999</v>
      </c>
      <c r="F1149" s="303">
        <v>42957</v>
      </c>
      <c r="G1149" s="301">
        <v>18933.099999999999</v>
      </c>
      <c r="H1149" s="304">
        <f>Tabla13[[#This Row],[Importe]]-Tabla13[[#This Row],[Pagado]]</f>
        <v>0</v>
      </c>
      <c r="I1149" s="275" t="s">
        <v>15214</v>
      </c>
    </row>
    <row r="1150" spans="1:9" x14ac:dyDescent="0.25">
      <c r="A1150" s="299">
        <v>42957</v>
      </c>
      <c r="B1150" s="302" t="s">
        <v>24963</v>
      </c>
      <c r="C1150">
        <v>123122</v>
      </c>
      <c r="D1150" s="236" t="s">
        <v>17462</v>
      </c>
      <c r="E1150" s="301">
        <v>7326</v>
      </c>
      <c r="F1150" s="303">
        <v>42957</v>
      </c>
      <c r="G1150" s="301">
        <v>7326</v>
      </c>
      <c r="H1150" s="304">
        <f>Tabla13[[#This Row],[Importe]]-Tabla13[[#This Row],[Pagado]]</f>
        <v>0</v>
      </c>
      <c r="I1150" s="275" t="s">
        <v>15214</v>
      </c>
    </row>
    <row r="1151" spans="1:9" x14ac:dyDescent="0.25">
      <c r="A1151" s="299">
        <v>42957</v>
      </c>
      <c r="B1151" s="302" t="s">
        <v>24964</v>
      </c>
      <c r="C1151">
        <v>123123</v>
      </c>
      <c r="D1151" s="236" t="s">
        <v>15338</v>
      </c>
      <c r="E1151" s="301">
        <v>7406.4</v>
      </c>
      <c r="F1151" s="303">
        <v>42962</v>
      </c>
      <c r="G1151" s="301">
        <v>7406.4</v>
      </c>
      <c r="H1151" s="304">
        <f>Tabla13[[#This Row],[Importe]]-Tabla13[[#This Row],[Pagado]]</f>
        <v>0</v>
      </c>
      <c r="I1151" s="275" t="s">
        <v>15214</v>
      </c>
    </row>
    <row r="1152" spans="1:9" x14ac:dyDescent="0.25">
      <c r="A1152" s="299">
        <v>42957</v>
      </c>
      <c r="B1152" s="302" t="s">
        <v>24965</v>
      </c>
      <c r="C1152">
        <v>123124</v>
      </c>
      <c r="D1152" s="236" t="s">
        <v>15248</v>
      </c>
      <c r="E1152" s="301">
        <v>28893</v>
      </c>
      <c r="F1152" s="303">
        <v>42957</v>
      </c>
      <c r="G1152" s="301">
        <v>28893</v>
      </c>
      <c r="H1152" s="304">
        <f>Tabla13[[#This Row],[Importe]]-Tabla13[[#This Row],[Pagado]]</f>
        <v>0</v>
      </c>
      <c r="I1152" s="275" t="s">
        <v>15214</v>
      </c>
    </row>
    <row r="1153" spans="1:9" x14ac:dyDescent="0.25">
      <c r="A1153" s="299">
        <v>42957</v>
      </c>
      <c r="B1153" s="302" t="s">
        <v>24966</v>
      </c>
      <c r="C1153">
        <v>123125</v>
      </c>
      <c r="D1153" s="236" t="s">
        <v>15315</v>
      </c>
      <c r="E1153" s="301">
        <v>361.9</v>
      </c>
      <c r="F1153" s="303">
        <v>42957</v>
      </c>
      <c r="G1153" s="301">
        <v>361.9</v>
      </c>
      <c r="H1153" s="304">
        <f>Tabla13[[#This Row],[Importe]]-Tabla13[[#This Row],[Pagado]]</f>
        <v>0</v>
      </c>
      <c r="I1153" s="275" t="s">
        <v>15214</v>
      </c>
    </row>
    <row r="1154" spans="1:9" x14ac:dyDescent="0.25">
      <c r="A1154" s="299">
        <v>42957</v>
      </c>
      <c r="B1154" s="302" t="s">
        <v>24967</v>
      </c>
      <c r="C1154">
        <v>123126</v>
      </c>
      <c r="D1154" s="236" t="s">
        <v>18258</v>
      </c>
      <c r="E1154" s="301">
        <v>9226.7999999999993</v>
      </c>
      <c r="F1154" s="303">
        <v>42957</v>
      </c>
      <c r="G1154" s="301">
        <v>9226.7999999999993</v>
      </c>
      <c r="H1154" s="304">
        <f>Tabla13[[#This Row],[Importe]]-Tabla13[[#This Row],[Pagado]]</f>
        <v>0</v>
      </c>
      <c r="I1154" s="275" t="s">
        <v>15214</v>
      </c>
    </row>
    <row r="1155" spans="1:9" x14ac:dyDescent="0.25">
      <c r="A1155" s="299">
        <v>42957</v>
      </c>
      <c r="B1155" s="302" t="s">
        <v>24968</v>
      </c>
      <c r="C1155">
        <v>123127</v>
      </c>
      <c r="D1155" s="236" t="s">
        <v>16484</v>
      </c>
      <c r="E1155" s="301">
        <v>1243</v>
      </c>
      <c r="F1155" s="303">
        <v>42957</v>
      </c>
      <c r="G1155" s="301">
        <v>1243</v>
      </c>
      <c r="H1155" s="304">
        <f>Tabla13[[#This Row],[Importe]]-Tabla13[[#This Row],[Pagado]]</f>
        <v>0</v>
      </c>
      <c r="I1155" s="275" t="s">
        <v>15214</v>
      </c>
    </row>
    <row r="1156" spans="1:9" x14ac:dyDescent="0.25">
      <c r="A1156" s="299">
        <v>42957</v>
      </c>
      <c r="B1156" s="302" t="s">
        <v>24969</v>
      </c>
      <c r="C1156">
        <v>123128</v>
      </c>
      <c r="D1156" s="236" t="s">
        <v>15317</v>
      </c>
      <c r="E1156" s="301">
        <v>758.2</v>
      </c>
      <c r="F1156" s="303">
        <v>42957</v>
      </c>
      <c r="G1156" s="301">
        <v>758.2</v>
      </c>
      <c r="H1156" s="304">
        <f>Tabla13[[#This Row],[Importe]]-Tabla13[[#This Row],[Pagado]]</f>
        <v>0</v>
      </c>
      <c r="I1156" s="275" t="s">
        <v>15214</v>
      </c>
    </row>
    <row r="1157" spans="1:9" x14ac:dyDescent="0.25">
      <c r="A1157" s="299">
        <v>42957</v>
      </c>
      <c r="B1157" s="302" t="s">
        <v>24970</v>
      </c>
      <c r="C1157">
        <v>123129</v>
      </c>
      <c r="D1157" s="236" t="s">
        <v>15748</v>
      </c>
      <c r="E1157" s="301">
        <v>1390.4</v>
      </c>
      <c r="F1157" s="303">
        <v>42957</v>
      </c>
      <c r="G1157" s="301">
        <v>1390.4</v>
      </c>
      <c r="H1157" s="304">
        <f>Tabla13[[#This Row],[Importe]]-Tabla13[[#This Row],[Pagado]]</f>
        <v>0</v>
      </c>
      <c r="I1157" s="275" t="s">
        <v>15214</v>
      </c>
    </row>
    <row r="1158" spans="1:9" x14ac:dyDescent="0.25">
      <c r="A1158" s="299">
        <v>42957</v>
      </c>
      <c r="B1158" s="302" t="s">
        <v>24971</v>
      </c>
      <c r="C1158">
        <v>123130</v>
      </c>
      <c r="D1158" s="236" t="s">
        <v>15415</v>
      </c>
      <c r="E1158" s="301">
        <v>3386.4</v>
      </c>
      <c r="F1158" s="303">
        <v>42961</v>
      </c>
      <c r="G1158" s="301">
        <v>3386.4</v>
      </c>
      <c r="H1158" s="304">
        <f>Tabla13[[#This Row],[Importe]]-Tabla13[[#This Row],[Pagado]]</f>
        <v>0</v>
      </c>
      <c r="I1158" s="275" t="s">
        <v>15214</v>
      </c>
    </row>
    <row r="1159" spans="1:9" x14ac:dyDescent="0.25">
      <c r="A1159" s="299">
        <v>42957</v>
      </c>
      <c r="B1159" s="302" t="s">
        <v>24972</v>
      </c>
      <c r="C1159">
        <v>123131</v>
      </c>
      <c r="D1159" s="236" t="s">
        <v>17235</v>
      </c>
      <c r="E1159" s="301">
        <v>11505.2</v>
      </c>
      <c r="F1159" s="303">
        <v>42957</v>
      </c>
      <c r="G1159" s="301">
        <v>11505.2</v>
      </c>
      <c r="H1159" s="304">
        <f>Tabla13[[#This Row],[Importe]]-Tabla13[[#This Row],[Pagado]]</f>
        <v>0</v>
      </c>
      <c r="I1159" s="275" t="s">
        <v>15214</v>
      </c>
    </row>
    <row r="1160" spans="1:9" x14ac:dyDescent="0.25">
      <c r="A1160" s="299">
        <v>42957</v>
      </c>
      <c r="B1160" s="302" t="s">
        <v>24973</v>
      </c>
      <c r="C1160">
        <v>123132</v>
      </c>
      <c r="D1160" s="236" t="s">
        <v>15274</v>
      </c>
      <c r="E1160" s="301">
        <v>2820</v>
      </c>
      <c r="F1160" s="303">
        <v>42957</v>
      </c>
      <c r="G1160" s="301">
        <v>2820</v>
      </c>
      <c r="H1160" s="304">
        <f>Tabla13[[#This Row],[Importe]]-Tabla13[[#This Row],[Pagado]]</f>
        <v>0</v>
      </c>
      <c r="I1160" s="275" t="s">
        <v>15214</v>
      </c>
    </row>
    <row r="1161" spans="1:9" x14ac:dyDescent="0.25">
      <c r="A1161" s="299">
        <v>42957</v>
      </c>
      <c r="B1161" s="302" t="s">
        <v>24974</v>
      </c>
      <c r="C1161">
        <v>123133</v>
      </c>
      <c r="D1161" s="236" t="s">
        <v>15858</v>
      </c>
      <c r="E1161" s="301">
        <v>5455.28</v>
      </c>
      <c r="F1161" s="303">
        <v>42957</v>
      </c>
      <c r="G1161" s="301">
        <v>5455.28</v>
      </c>
      <c r="H1161" s="304">
        <f>Tabla13[[#This Row],[Importe]]-Tabla13[[#This Row],[Pagado]]</f>
        <v>0</v>
      </c>
      <c r="I1161" s="275" t="s">
        <v>15214</v>
      </c>
    </row>
    <row r="1162" spans="1:9" x14ac:dyDescent="0.25">
      <c r="A1162" s="299">
        <v>42957</v>
      </c>
      <c r="B1162" s="302" t="s">
        <v>24975</v>
      </c>
      <c r="C1162">
        <v>123134</v>
      </c>
      <c r="D1162" s="236" t="s">
        <v>15523</v>
      </c>
      <c r="E1162" s="301">
        <v>1680</v>
      </c>
      <c r="F1162" s="303">
        <v>42957</v>
      </c>
      <c r="G1162" s="301">
        <v>1680</v>
      </c>
      <c r="H1162" s="304">
        <f>Tabla13[[#This Row],[Importe]]-Tabla13[[#This Row],[Pagado]]</f>
        <v>0</v>
      </c>
      <c r="I1162" s="275" t="s">
        <v>15214</v>
      </c>
    </row>
    <row r="1163" spans="1:9" x14ac:dyDescent="0.25">
      <c r="A1163" s="299">
        <v>42957</v>
      </c>
      <c r="B1163" s="302" t="s">
        <v>24976</v>
      </c>
      <c r="C1163">
        <v>123135</v>
      </c>
      <c r="D1163" s="236" t="s">
        <v>15334</v>
      </c>
      <c r="E1163" s="301">
        <v>3048</v>
      </c>
      <c r="F1163" s="303">
        <v>42957</v>
      </c>
      <c r="G1163" s="301">
        <v>3048</v>
      </c>
      <c r="H1163" s="304">
        <f>Tabla13[[#This Row],[Importe]]-Tabla13[[#This Row],[Pagado]]</f>
        <v>0</v>
      </c>
      <c r="I1163" s="275" t="s">
        <v>15214</v>
      </c>
    </row>
    <row r="1164" spans="1:9" x14ac:dyDescent="0.25">
      <c r="A1164" s="299">
        <v>42957</v>
      </c>
      <c r="B1164" s="302" t="s">
        <v>24977</v>
      </c>
      <c r="C1164">
        <v>123136</v>
      </c>
      <c r="D1164" s="236" t="s">
        <v>15358</v>
      </c>
      <c r="E1164" s="301">
        <v>1757.8</v>
      </c>
      <c r="F1164" s="303">
        <v>42957</v>
      </c>
      <c r="G1164" s="301">
        <v>1757.8</v>
      </c>
      <c r="H1164" s="304">
        <f>Tabla13[[#This Row],[Importe]]-Tabla13[[#This Row],[Pagado]]</f>
        <v>0</v>
      </c>
      <c r="I1164" s="275" t="s">
        <v>15214</v>
      </c>
    </row>
    <row r="1165" spans="1:9" x14ac:dyDescent="0.25">
      <c r="A1165" s="299">
        <v>42957</v>
      </c>
      <c r="B1165" s="302" t="s">
        <v>24978</v>
      </c>
      <c r="C1165">
        <v>123137</v>
      </c>
      <c r="D1165" s="236" t="s">
        <v>15748</v>
      </c>
      <c r="E1165" s="301">
        <v>72</v>
      </c>
      <c r="F1165" s="303">
        <v>42957</v>
      </c>
      <c r="G1165" s="301">
        <v>72</v>
      </c>
      <c r="H1165" s="304">
        <f>Tabla13[[#This Row],[Importe]]-Tabla13[[#This Row],[Pagado]]</f>
        <v>0</v>
      </c>
      <c r="I1165" s="275" t="s">
        <v>15214</v>
      </c>
    </row>
    <row r="1166" spans="1:9" x14ac:dyDescent="0.25">
      <c r="A1166" s="299">
        <v>42957</v>
      </c>
      <c r="B1166" s="302" t="s">
        <v>24979</v>
      </c>
      <c r="C1166">
        <v>123138</v>
      </c>
      <c r="D1166" s="236" t="s">
        <v>17722</v>
      </c>
      <c r="E1166" s="301">
        <v>2738.7</v>
      </c>
      <c r="F1166" s="303">
        <v>42957</v>
      </c>
      <c r="G1166" s="301">
        <v>2738.7</v>
      </c>
      <c r="H1166" s="304">
        <f>Tabla13[[#This Row],[Importe]]-Tabla13[[#This Row],[Pagado]]</f>
        <v>0</v>
      </c>
      <c r="I1166" s="275" t="s">
        <v>15214</v>
      </c>
    </row>
    <row r="1167" spans="1:9" x14ac:dyDescent="0.25">
      <c r="A1167" s="299">
        <v>42957</v>
      </c>
      <c r="B1167" s="302" t="s">
        <v>24980</v>
      </c>
      <c r="C1167">
        <v>123139</v>
      </c>
      <c r="D1167" s="236" t="s">
        <v>15280</v>
      </c>
      <c r="E1167" s="301">
        <v>5101.8999999999996</v>
      </c>
      <c r="F1167" s="303">
        <v>42957</v>
      </c>
      <c r="G1167" s="301">
        <v>5101.8999999999996</v>
      </c>
      <c r="H1167" s="304">
        <f>Tabla13[[#This Row],[Importe]]-Tabla13[[#This Row],[Pagado]]</f>
        <v>0</v>
      </c>
      <c r="I1167" s="275" t="s">
        <v>15214</v>
      </c>
    </row>
    <row r="1168" spans="1:9" x14ac:dyDescent="0.25">
      <c r="A1168" s="299">
        <v>42957</v>
      </c>
      <c r="B1168" s="302" t="s">
        <v>24981</v>
      </c>
      <c r="C1168">
        <v>123140</v>
      </c>
      <c r="D1168" s="236" t="s">
        <v>15336</v>
      </c>
      <c r="E1168" s="301">
        <v>3017.4</v>
      </c>
      <c r="F1168" s="303">
        <v>42957</v>
      </c>
      <c r="G1168" s="301">
        <v>3017.4</v>
      </c>
      <c r="H1168" s="304">
        <f>Tabla13[[#This Row],[Importe]]-Tabla13[[#This Row],[Pagado]]</f>
        <v>0</v>
      </c>
      <c r="I1168" s="275" t="s">
        <v>15214</v>
      </c>
    </row>
    <row r="1169" spans="1:9" x14ac:dyDescent="0.25">
      <c r="A1169" s="299">
        <v>42957</v>
      </c>
      <c r="B1169" s="302" t="s">
        <v>24982</v>
      </c>
      <c r="C1169">
        <v>123141</v>
      </c>
      <c r="D1169" s="236" t="s">
        <v>15324</v>
      </c>
      <c r="E1169" s="301">
        <v>2344</v>
      </c>
      <c r="F1169" s="303">
        <v>42958</v>
      </c>
      <c r="G1169" s="301">
        <v>2344</v>
      </c>
      <c r="H1169" s="304">
        <f>Tabla13[[#This Row],[Importe]]-Tabla13[[#This Row],[Pagado]]</f>
        <v>0</v>
      </c>
      <c r="I1169" s="275" t="s">
        <v>15214</v>
      </c>
    </row>
    <row r="1170" spans="1:9" x14ac:dyDescent="0.25">
      <c r="A1170" s="299">
        <v>42957</v>
      </c>
      <c r="B1170" s="302" t="s">
        <v>24983</v>
      </c>
      <c r="C1170">
        <v>123142</v>
      </c>
      <c r="D1170" s="236" t="s">
        <v>23937</v>
      </c>
      <c r="E1170" s="301">
        <v>2865.2</v>
      </c>
      <c r="F1170" s="303">
        <v>42958</v>
      </c>
      <c r="G1170" s="301">
        <v>2865.2</v>
      </c>
      <c r="H1170" s="304">
        <f>Tabla13[[#This Row],[Importe]]-Tabla13[[#This Row],[Pagado]]</f>
        <v>0</v>
      </c>
      <c r="I1170" s="275" t="s">
        <v>15214</v>
      </c>
    </row>
    <row r="1171" spans="1:9" x14ac:dyDescent="0.25">
      <c r="A1171" s="299">
        <v>42957</v>
      </c>
      <c r="B1171" s="302" t="s">
        <v>24984</v>
      </c>
      <c r="C1171">
        <v>123143</v>
      </c>
      <c r="D1171" s="236" t="s">
        <v>15282</v>
      </c>
      <c r="E1171" s="301">
        <v>3006</v>
      </c>
      <c r="F1171" s="303">
        <v>42957</v>
      </c>
      <c r="G1171" s="301">
        <v>3006</v>
      </c>
      <c r="H1171" s="304">
        <f>Tabla13[[#This Row],[Importe]]-Tabla13[[#This Row],[Pagado]]</f>
        <v>0</v>
      </c>
      <c r="I1171" s="275" t="s">
        <v>15214</v>
      </c>
    </row>
    <row r="1172" spans="1:9" x14ac:dyDescent="0.25">
      <c r="A1172" s="299">
        <v>42957</v>
      </c>
      <c r="B1172" s="302" t="s">
        <v>24985</v>
      </c>
      <c r="C1172">
        <v>123144</v>
      </c>
      <c r="D1172" s="236" t="s">
        <v>15263</v>
      </c>
      <c r="E1172" s="301">
        <v>2272.4</v>
      </c>
      <c r="F1172" s="303">
        <v>42957</v>
      </c>
      <c r="G1172" s="301">
        <v>2272.4</v>
      </c>
      <c r="H1172" s="304">
        <f>Tabla13[[#This Row],[Importe]]-Tabla13[[#This Row],[Pagado]]</f>
        <v>0</v>
      </c>
      <c r="I1172" s="275" t="s">
        <v>15214</v>
      </c>
    </row>
    <row r="1173" spans="1:9" x14ac:dyDescent="0.25">
      <c r="A1173" s="299">
        <v>42957</v>
      </c>
      <c r="B1173" s="302" t="s">
        <v>24986</v>
      </c>
      <c r="C1173">
        <v>123145</v>
      </c>
      <c r="D1173" s="236" t="s">
        <v>15315</v>
      </c>
      <c r="E1173" s="301">
        <v>741.7</v>
      </c>
      <c r="F1173" s="303">
        <v>42957</v>
      </c>
      <c r="G1173" s="301">
        <v>741.7</v>
      </c>
      <c r="H1173" s="304">
        <f>Tabla13[[#This Row],[Importe]]-Tabla13[[#This Row],[Pagado]]</f>
        <v>0</v>
      </c>
      <c r="I1173" s="275" t="s">
        <v>15214</v>
      </c>
    </row>
    <row r="1174" spans="1:9" x14ac:dyDescent="0.25">
      <c r="A1174" s="299">
        <v>42957</v>
      </c>
      <c r="B1174" s="302" t="s">
        <v>24987</v>
      </c>
      <c r="C1174">
        <v>123146</v>
      </c>
      <c r="D1174" s="236" t="s">
        <v>15332</v>
      </c>
      <c r="E1174" s="301">
        <v>4483.5</v>
      </c>
      <c r="F1174" s="303">
        <v>42957</v>
      </c>
      <c r="G1174" s="301">
        <v>4483.5</v>
      </c>
      <c r="H1174" s="304">
        <f>Tabla13[[#This Row],[Importe]]-Tabla13[[#This Row],[Pagado]]</f>
        <v>0</v>
      </c>
      <c r="I1174" s="275" t="s">
        <v>15214</v>
      </c>
    </row>
    <row r="1175" spans="1:9" x14ac:dyDescent="0.25">
      <c r="A1175" s="299">
        <v>42957</v>
      </c>
      <c r="B1175" s="302" t="s">
        <v>24988</v>
      </c>
      <c r="C1175">
        <v>123147</v>
      </c>
      <c r="D1175" s="236" t="s">
        <v>15315</v>
      </c>
      <c r="E1175" s="301">
        <v>412</v>
      </c>
      <c r="F1175" s="303">
        <v>42957</v>
      </c>
      <c r="G1175" s="301">
        <v>412</v>
      </c>
      <c r="H1175" s="304">
        <f>Tabla13[[#This Row],[Importe]]-Tabla13[[#This Row],[Pagado]]</f>
        <v>0</v>
      </c>
      <c r="I1175" s="275" t="s">
        <v>15214</v>
      </c>
    </row>
    <row r="1176" spans="1:9" x14ac:dyDescent="0.25">
      <c r="A1176" s="299">
        <v>42957</v>
      </c>
      <c r="B1176" s="302" t="s">
        <v>24989</v>
      </c>
      <c r="C1176">
        <v>123148</v>
      </c>
      <c r="D1176" s="236" t="s">
        <v>15344</v>
      </c>
      <c r="E1176" s="301">
        <v>3420</v>
      </c>
      <c r="F1176" s="303">
        <v>42957</v>
      </c>
      <c r="G1176" s="301">
        <v>3420</v>
      </c>
      <c r="H1176" s="304">
        <f>Tabla13[[#This Row],[Importe]]-Tabla13[[#This Row],[Pagado]]</f>
        <v>0</v>
      </c>
      <c r="I1176" s="275" t="s">
        <v>15214</v>
      </c>
    </row>
    <row r="1177" spans="1:9" x14ac:dyDescent="0.25">
      <c r="A1177" s="299">
        <v>42957</v>
      </c>
      <c r="B1177" s="302" t="s">
        <v>24990</v>
      </c>
      <c r="C1177">
        <v>123149</v>
      </c>
      <c r="D1177" s="236" t="s">
        <v>15861</v>
      </c>
      <c r="E1177" s="301">
        <v>1058.4000000000001</v>
      </c>
      <c r="F1177" s="303">
        <v>42957</v>
      </c>
      <c r="G1177" s="301">
        <v>1058.4000000000001</v>
      </c>
      <c r="H1177" s="304">
        <f>Tabla13[[#This Row],[Importe]]-Tabla13[[#This Row],[Pagado]]</f>
        <v>0</v>
      </c>
      <c r="I1177" s="275" t="s">
        <v>15214</v>
      </c>
    </row>
    <row r="1178" spans="1:9" x14ac:dyDescent="0.25">
      <c r="A1178" s="299">
        <v>42957</v>
      </c>
      <c r="B1178" s="302" t="s">
        <v>24991</v>
      </c>
      <c r="C1178">
        <v>123150</v>
      </c>
      <c r="D1178" s="236" t="s">
        <v>15254</v>
      </c>
      <c r="E1178" s="301">
        <v>2164.8000000000002</v>
      </c>
      <c r="F1178" s="303">
        <v>42963</v>
      </c>
      <c r="G1178" s="301">
        <v>2164.8000000000002</v>
      </c>
      <c r="H1178" s="304">
        <f>Tabla13[[#This Row],[Importe]]-Tabla13[[#This Row],[Pagado]]</f>
        <v>0</v>
      </c>
      <c r="I1178" s="275" t="s">
        <v>15214</v>
      </c>
    </row>
    <row r="1179" spans="1:9" x14ac:dyDescent="0.25">
      <c r="A1179" s="299">
        <v>42957</v>
      </c>
      <c r="B1179" s="302" t="s">
        <v>24992</v>
      </c>
      <c r="C1179">
        <v>123151</v>
      </c>
      <c r="D1179" s="236" t="s">
        <v>15244</v>
      </c>
      <c r="E1179" s="301">
        <v>2620.8000000000002</v>
      </c>
      <c r="F1179" s="303">
        <v>42963</v>
      </c>
      <c r="G1179" s="301">
        <v>2620.8000000000002</v>
      </c>
      <c r="H1179" s="304">
        <f>Tabla13[[#This Row],[Importe]]-Tabla13[[#This Row],[Pagado]]</f>
        <v>0</v>
      </c>
      <c r="I1179" s="275" t="s">
        <v>15214</v>
      </c>
    </row>
    <row r="1180" spans="1:9" x14ac:dyDescent="0.25">
      <c r="A1180" s="299">
        <v>42957</v>
      </c>
      <c r="B1180" s="302" t="s">
        <v>24993</v>
      </c>
      <c r="C1180">
        <v>123152</v>
      </c>
      <c r="D1180" s="236" t="s">
        <v>23218</v>
      </c>
      <c r="E1180" s="301">
        <v>3440.8</v>
      </c>
      <c r="F1180" s="303">
        <v>42957</v>
      </c>
      <c r="G1180" s="301">
        <v>3440.8</v>
      </c>
      <c r="H1180" s="304">
        <f>Tabla13[[#This Row],[Importe]]-Tabla13[[#This Row],[Pagado]]</f>
        <v>0</v>
      </c>
      <c r="I1180" s="275" t="s">
        <v>15214</v>
      </c>
    </row>
    <row r="1181" spans="1:9" x14ac:dyDescent="0.25">
      <c r="A1181" s="299">
        <v>42957</v>
      </c>
      <c r="B1181" s="302" t="s">
        <v>24994</v>
      </c>
      <c r="C1181">
        <v>123153</v>
      </c>
      <c r="D1181" s="236" t="s">
        <v>15284</v>
      </c>
      <c r="E1181" s="301">
        <v>725</v>
      </c>
      <c r="F1181" s="303">
        <v>42957</v>
      </c>
      <c r="G1181" s="301">
        <v>725</v>
      </c>
      <c r="H1181" s="304">
        <f>Tabla13[[#This Row],[Importe]]-Tabla13[[#This Row],[Pagado]]</f>
        <v>0</v>
      </c>
      <c r="I1181" s="275" t="s">
        <v>15214</v>
      </c>
    </row>
    <row r="1182" spans="1:9" x14ac:dyDescent="0.25">
      <c r="A1182" s="299">
        <v>42957</v>
      </c>
      <c r="B1182" s="302" t="s">
        <v>24995</v>
      </c>
      <c r="C1182">
        <v>123154</v>
      </c>
      <c r="D1182" s="236" t="s">
        <v>23218</v>
      </c>
      <c r="E1182" s="301">
        <v>4884</v>
      </c>
      <c r="F1182" s="303">
        <v>42957</v>
      </c>
      <c r="G1182" s="301">
        <v>4884</v>
      </c>
      <c r="H1182" s="304">
        <f>Tabla13[[#This Row],[Importe]]-Tabla13[[#This Row],[Pagado]]</f>
        <v>0</v>
      </c>
      <c r="I1182" s="275" t="s">
        <v>15214</v>
      </c>
    </row>
    <row r="1183" spans="1:9" x14ac:dyDescent="0.25">
      <c r="A1183" s="299">
        <v>42957</v>
      </c>
      <c r="B1183" s="302" t="s">
        <v>24996</v>
      </c>
      <c r="C1183">
        <v>123155</v>
      </c>
      <c r="D1183" s="236" t="s">
        <v>15284</v>
      </c>
      <c r="E1183" s="301">
        <v>369.6</v>
      </c>
      <c r="F1183" s="303">
        <v>42957</v>
      </c>
      <c r="G1183" s="301">
        <v>369.6</v>
      </c>
      <c r="H1183" s="304">
        <f>Tabla13[[#This Row],[Importe]]-Tabla13[[#This Row],[Pagado]]</f>
        <v>0</v>
      </c>
      <c r="I1183" s="275" t="s">
        <v>15214</v>
      </c>
    </row>
    <row r="1184" spans="1:9" x14ac:dyDescent="0.25">
      <c r="A1184" s="299">
        <v>42957</v>
      </c>
      <c r="B1184" s="302" t="s">
        <v>24997</v>
      </c>
      <c r="C1184">
        <v>123156</v>
      </c>
      <c r="D1184" s="236" t="s">
        <v>23206</v>
      </c>
      <c r="E1184" s="301">
        <v>5425.1</v>
      </c>
      <c r="F1184" s="303">
        <v>42957</v>
      </c>
      <c r="G1184" s="301">
        <v>5425.1</v>
      </c>
      <c r="H1184" s="304">
        <f>Tabla13[[#This Row],[Importe]]-Tabla13[[#This Row],[Pagado]]</f>
        <v>0</v>
      </c>
      <c r="I1184" s="275" t="s">
        <v>15214</v>
      </c>
    </row>
    <row r="1185" spans="1:9" x14ac:dyDescent="0.25">
      <c r="A1185" s="299">
        <v>42957</v>
      </c>
      <c r="B1185" s="302" t="s">
        <v>24998</v>
      </c>
      <c r="C1185">
        <v>123157</v>
      </c>
      <c r="D1185" s="236" t="s">
        <v>15396</v>
      </c>
      <c r="E1185" s="301">
        <v>8110.28</v>
      </c>
      <c r="F1185" s="303">
        <v>42957</v>
      </c>
      <c r="G1185" s="301">
        <v>8110.28</v>
      </c>
      <c r="H1185" s="304">
        <f>Tabla13[[#This Row],[Importe]]-Tabla13[[#This Row],[Pagado]]</f>
        <v>0</v>
      </c>
      <c r="I1185" s="275" t="s">
        <v>15214</v>
      </c>
    </row>
    <row r="1186" spans="1:9" x14ac:dyDescent="0.25">
      <c r="A1186" s="299">
        <v>42957</v>
      </c>
      <c r="B1186" s="302" t="s">
        <v>24999</v>
      </c>
      <c r="C1186">
        <v>123158</v>
      </c>
      <c r="D1186" s="236" t="s">
        <v>15378</v>
      </c>
      <c r="E1186" s="301">
        <v>1278.5999999999999</v>
      </c>
      <c r="F1186" s="303">
        <v>42957</v>
      </c>
      <c r="G1186" s="301">
        <v>1278.5999999999999</v>
      </c>
      <c r="H1186" s="304">
        <f>Tabla13[[#This Row],[Importe]]-Tabla13[[#This Row],[Pagado]]</f>
        <v>0</v>
      </c>
      <c r="I1186" s="275" t="s">
        <v>15214</v>
      </c>
    </row>
    <row r="1187" spans="1:9" x14ac:dyDescent="0.25">
      <c r="A1187" s="299">
        <v>42957</v>
      </c>
      <c r="B1187" s="302" t="s">
        <v>25000</v>
      </c>
      <c r="C1187">
        <v>123159</v>
      </c>
      <c r="D1187" s="236" t="s">
        <v>15371</v>
      </c>
      <c r="E1187" s="301">
        <v>4253.8</v>
      </c>
      <c r="F1187" s="303">
        <v>42959</v>
      </c>
      <c r="G1187" s="301">
        <v>4253.8</v>
      </c>
      <c r="H1187" s="304">
        <f>Tabla13[[#This Row],[Importe]]-Tabla13[[#This Row],[Pagado]]</f>
        <v>0</v>
      </c>
      <c r="I1187" s="275" t="s">
        <v>15214</v>
      </c>
    </row>
    <row r="1188" spans="1:9" x14ac:dyDescent="0.25">
      <c r="A1188" s="299">
        <v>42957</v>
      </c>
      <c r="B1188" s="302" t="s">
        <v>25001</v>
      </c>
      <c r="C1188">
        <v>123160</v>
      </c>
      <c r="D1188" s="236" t="s">
        <v>15706</v>
      </c>
      <c r="E1188" s="301">
        <v>2771.9</v>
      </c>
      <c r="F1188" s="303">
        <v>42957</v>
      </c>
      <c r="G1188" s="301">
        <v>2771.9</v>
      </c>
      <c r="H1188" s="304">
        <f>Tabla13[[#This Row],[Importe]]-Tabla13[[#This Row],[Pagado]]</f>
        <v>0</v>
      </c>
      <c r="I1188" s="275" t="s">
        <v>15214</v>
      </c>
    </row>
    <row r="1189" spans="1:9" x14ac:dyDescent="0.25">
      <c r="A1189" s="299">
        <v>42957</v>
      </c>
      <c r="B1189" s="302" t="s">
        <v>25002</v>
      </c>
      <c r="C1189">
        <v>123161</v>
      </c>
      <c r="D1189" s="236" t="s">
        <v>15987</v>
      </c>
      <c r="E1189" s="301">
        <v>3369.6</v>
      </c>
      <c r="F1189" s="303">
        <v>42957</v>
      </c>
      <c r="G1189" s="301">
        <v>3369.6</v>
      </c>
      <c r="H1189" s="304">
        <f>Tabla13[[#This Row],[Importe]]-Tabla13[[#This Row],[Pagado]]</f>
        <v>0</v>
      </c>
      <c r="I1189" s="275" t="s">
        <v>15214</v>
      </c>
    </row>
    <row r="1190" spans="1:9" x14ac:dyDescent="0.25">
      <c r="A1190" s="299">
        <v>42957</v>
      </c>
      <c r="B1190" s="302" t="s">
        <v>25003</v>
      </c>
      <c r="C1190">
        <v>123162</v>
      </c>
      <c r="D1190" s="236" t="s">
        <v>15577</v>
      </c>
      <c r="E1190" s="301">
        <v>316.8</v>
      </c>
      <c r="F1190" s="303">
        <v>42957</v>
      </c>
      <c r="G1190" s="301">
        <v>316.8</v>
      </c>
      <c r="H1190" s="304">
        <f>Tabla13[[#This Row],[Importe]]-Tabla13[[#This Row],[Pagado]]</f>
        <v>0</v>
      </c>
      <c r="I1190" s="275" t="s">
        <v>15214</v>
      </c>
    </row>
    <row r="1191" spans="1:9" x14ac:dyDescent="0.25">
      <c r="A1191" s="299">
        <v>42957</v>
      </c>
      <c r="B1191" s="302" t="s">
        <v>25004</v>
      </c>
      <c r="C1191">
        <v>123163</v>
      </c>
      <c r="D1191" s="236" t="s">
        <v>15665</v>
      </c>
      <c r="E1191" s="301">
        <v>369.6</v>
      </c>
      <c r="F1191" s="303">
        <v>42957</v>
      </c>
      <c r="G1191" s="301">
        <v>369.6</v>
      </c>
      <c r="H1191" s="304">
        <f>Tabla13[[#This Row],[Importe]]-Tabla13[[#This Row],[Pagado]]</f>
        <v>0</v>
      </c>
      <c r="I1191" s="275" t="s">
        <v>15214</v>
      </c>
    </row>
    <row r="1192" spans="1:9" x14ac:dyDescent="0.25">
      <c r="A1192" s="299">
        <v>42957</v>
      </c>
      <c r="B1192" s="302" t="s">
        <v>25005</v>
      </c>
      <c r="C1192">
        <v>123164</v>
      </c>
      <c r="D1192" s="236" t="s">
        <v>15328</v>
      </c>
      <c r="E1192" s="301">
        <v>67361.34</v>
      </c>
      <c r="F1192" s="303">
        <v>42969</v>
      </c>
      <c r="G1192" s="301">
        <v>67361.34</v>
      </c>
      <c r="H1192" s="304">
        <f>Tabla13[[#This Row],[Importe]]-Tabla13[[#This Row],[Pagado]]</f>
        <v>0</v>
      </c>
      <c r="I1192" s="275" t="s">
        <v>15214</v>
      </c>
    </row>
    <row r="1193" spans="1:9" x14ac:dyDescent="0.25">
      <c r="A1193" s="299">
        <v>42957</v>
      </c>
      <c r="B1193" s="302" t="s">
        <v>25006</v>
      </c>
      <c r="C1193">
        <v>123165</v>
      </c>
      <c r="D1193" s="236" t="s">
        <v>19768</v>
      </c>
      <c r="E1193" s="301">
        <v>1440</v>
      </c>
      <c r="F1193" s="303">
        <v>42957</v>
      </c>
      <c r="G1193" s="301">
        <v>1440</v>
      </c>
      <c r="H1193" s="304">
        <f>Tabla13[[#This Row],[Importe]]-Tabla13[[#This Row],[Pagado]]</f>
        <v>0</v>
      </c>
      <c r="I1193" s="275" t="s">
        <v>15214</v>
      </c>
    </row>
    <row r="1194" spans="1:9" x14ac:dyDescent="0.25">
      <c r="A1194" s="299">
        <v>42957</v>
      </c>
      <c r="B1194" s="302" t="s">
        <v>25007</v>
      </c>
      <c r="C1194">
        <v>123166</v>
      </c>
      <c r="D1194" s="236" t="s">
        <v>15423</v>
      </c>
      <c r="E1194" s="301">
        <v>5130.5</v>
      </c>
      <c r="F1194" s="303">
        <v>42957</v>
      </c>
      <c r="G1194" s="301">
        <v>5130.5</v>
      </c>
      <c r="H1194" s="304">
        <f>Tabla13[[#This Row],[Importe]]-Tabla13[[#This Row],[Pagado]]</f>
        <v>0</v>
      </c>
      <c r="I1194" s="275" t="s">
        <v>15214</v>
      </c>
    </row>
    <row r="1195" spans="1:9" x14ac:dyDescent="0.25">
      <c r="A1195" s="299">
        <v>42957</v>
      </c>
      <c r="B1195" s="302" t="s">
        <v>25008</v>
      </c>
      <c r="C1195">
        <v>123167</v>
      </c>
      <c r="D1195" s="236" t="s">
        <v>19699</v>
      </c>
      <c r="E1195" s="301">
        <v>1680</v>
      </c>
      <c r="F1195" s="303">
        <v>42957</v>
      </c>
      <c r="G1195" s="301">
        <v>1680</v>
      </c>
      <c r="H1195" s="304">
        <f>Tabla13[[#This Row],[Importe]]-Tabla13[[#This Row],[Pagado]]</f>
        <v>0</v>
      </c>
      <c r="I1195" s="275" t="s">
        <v>15214</v>
      </c>
    </row>
    <row r="1196" spans="1:9" x14ac:dyDescent="0.25">
      <c r="A1196" s="299">
        <v>42957</v>
      </c>
      <c r="B1196" s="302" t="s">
        <v>25009</v>
      </c>
      <c r="C1196">
        <v>123168</v>
      </c>
      <c r="D1196" s="236" t="s">
        <v>15423</v>
      </c>
      <c r="E1196" s="301">
        <v>122.4</v>
      </c>
      <c r="F1196" s="303">
        <v>42957</v>
      </c>
      <c r="G1196" s="301">
        <v>122.4</v>
      </c>
      <c r="H1196" s="304">
        <f>Tabla13[[#This Row],[Importe]]-Tabla13[[#This Row],[Pagado]]</f>
        <v>0</v>
      </c>
      <c r="I1196" s="275" t="s">
        <v>15214</v>
      </c>
    </row>
    <row r="1197" spans="1:9" x14ac:dyDescent="0.25">
      <c r="A1197" s="299">
        <v>42957</v>
      </c>
      <c r="B1197" s="302" t="s">
        <v>25010</v>
      </c>
      <c r="C1197">
        <v>123169</v>
      </c>
      <c r="D1197" s="236" t="s">
        <v>15315</v>
      </c>
      <c r="E1197" s="301">
        <v>3935.8</v>
      </c>
      <c r="F1197" s="303">
        <v>42957</v>
      </c>
      <c r="G1197" s="301">
        <v>3935.8</v>
      </c>
      <c r="H1197" s="304">
        <f>Tabla13[[#This Row],[Importe]]-Tabla13[[#This Row],[Pagado]]</f>
        <v>0</v>
      </c>
      <c r="I1197" s="275" t="s">
        <v>15214</v>
      </c>
    </row>
    <row r="1198" spans="1:9" x14ac:dyDescent="0.25">
      <c r="A1198" s="299">
        <v>42957</v>
      </c>
      <c r="B1198" s="302" t="s">
        <v>25011</v>
      </c>
      <c r="C1198">
        <v>123170</v>
      </c>
      <c r="D1198" s="236" t="s">
        <v>15920</v>
      </c>
      <c r="E1198" s="301">
        <v>15905.2</v>
      </c>
      <c r="F1198" s="303">
        <v>42971</v>
      </c>
      <c r="G1198" s="301">
        <v>15905.2</v>
      </c>
      <c r="H1198" s="304">
        <f>Tabla13[[#This Row],[Importe]]-Tabla13[[#This Row],[Pagado]]</f>
        <v>0</v>
      </c>
      <c r="I1198" s="275" t="s">
        <v>15214</v>
      </c>
    </row>
    <row r="1199" spans="1:9" x14ac:dyDescent="0.25">
      <c r="A1199" s="299">
        <v>42957</v>
      </c>
      <c r="B1199" s="302" t="s">
        <v>25012</v>
      </c>
      <c r="C1199">
        <v>123171</v>
      </c>
      <c r="D1199" s="236" t="s">
        <v>15912</v>
      </c>
      <c r="E1199" s="301">
        <v>776.72</v>
      </c>
      <c r="F1199" s="303">
        <v>42958</v>
      </c>
      <c r="G1199" s="301">
        <v>776.72</v>
      </c>
      <c r="H1199" s="304">
        <f>Tabla13[[#This Row],[Importe]]-Tabla13[[#This Row],[Pagado]]</f>
        <v>0</v>
      </c>
      <c r="I1199" s="275" t="s">
        <v>15214</v>
      </c>
    </row>
    <row r="1200" spans="1:9" x14ac:dyDescent="0.25">
      <c r="A1200" s="299">
        <v>42957</v>
      </c>
      <c r="B1200" s="302" t="s">
        <v>25013</v>
      </c>
      <c r="C1200">
        <v>123172</v>
      </c>
      <c r="D1200" s="236" t="s">
        <v>19699</v>
      </c>
      <c r="E1200" s="301">
        <v>156</v>
      </c>
      <c r="F1200" s="303">
        <v>42957</v>
      </c>
      <c r="G1200" s="301">
        <v>156</v>
      </c>
      <c r="H1200" s="304">
        <f>Tabla13[[#This Row],[Importe]]-Tabla13[[#This Row],[Pagado]]</f>
        <v>0</v>
      </c>
      <c r="I1200" s="275" t="s">
        <v>15214</v>
      </c>
    </row>
    <row r="1201" spans="1:9" x14ac:dyDescent="0.25">
      <c r="A1201" s="299">
        <v>42957</v>
      </c>
      <c r="B1201" s="302" t="s">
        <v>25014</v>
      </c>
      <c r="C1201">
        <v>123173</v>
      </c>
      <c r="D1201" s="236" t="s">
        <v>15320</v>
      </c>
      <c r="E1201" s="301">
        <v>3290</v>
      </c>
      <c r="F1201" s="303">
        <v>42958</v>
      </c>
      <c r="G1201" s="301">
        <v>3290</v>
      </c>
      <c r="H1201" s="304">
        <f>Tabla13[[#This Row],[Importe]]-Tabla13[[#This Row],[Pagado]]</f>
        <v>0</v>
      </c>
      <c r="I1201" s="275" t="s">
        <v>15214</v>
      </c>
    </row>
    <row r="1202" spans="1:9" x14ac:dyDescent="0.25">
      <c r="A1202" s="299">
        <v>42957</v>
      </c>
      <c r="B1202" s="302" t="s">
        <v>25015</v>
      </c>
      <c r="C1202">
        <v>123174</v>
      </c>
      <c r="D1202" s="236" t="s">
        <v>15391</v>
      </c>
      <c r="E1202" s="301">
        <v>8553.6</v>
      </c>
      <c r="F1202" s="303">
        <v>42959</v>
      </c>
      <c r="G1202" s="301">
        <v>8553.6</v>
      </c>
      <c r="H1202" s="304">
        <f>Tabla13[[#This Row],[Importe]]-Tabla13[[#This Row],[Pagado]]</f>
        <v>0</v>
      </c>
      <c r="I1202" s="275" t="s">
        <v>15214</v>
      </c>
    </row>
    <row r="1203" spans="1:9" x14ac:dyDescent="0.25">
      <c r="A1203" s="299">
        <v>42957</v>
      </c>
      <c r="B1203" s="302" t="s">
        <v>25016</v>
      </c>
      <c r="C1203">
        <v>123175</v>
      </c>
      <c r="D1203" s="236" t="s">
        <v>15315</v>
      </c>
      <c r="E1203" s="301">
        <v>1560</v>
      </c>
      <c r="F1203" s="303">
        <v>42958</v>
      </c>
      <c r="G1203" s="301">
        <v>1560</v>
      </c>
      <c r="H1203" s="304">
        <f>Tabla13[[#This Row],[Importe]]-Tabla13[[#This Row],[Pagado]]</f>
        <v>0</v>
      </c>
      <c r="I1203" s="275" t="s">
        <v>15214</v>
      </c>
    </row>
    <row r="1204" spans="1:9" x14ac:dyDescent="0.25">
      <c r="A1204" s="299">
        <v>42957</v>
      </c>
      <c r="B1204" s="302" t="s">
        <v>25017</v>
      </c>
      <c r="C1204">
        <v>123176</v>
      </c>
      <c r="D1204" s="236" t="s">
        <v>17708</v>
      </c>
      <c r="E1204" s="301">
        <v>3039.6</v>
      </c>
      <c r="F1204" s="303">
        <v>42958</v>
      </c>
      <c r="G1204" s="301">
        <v>3039.6</v>
      </c>
      <c r="H1204" s="304">
        <f>Tabla13[[#This Row],[Importe]]-Tabla13[[#This Row],[Pagado]]</f>
        <v>0</v>
      </c>
      <c r="I1204" s="275" t="s">
        <v>15214</v>
      </c>
    </row>
    <row r="1205" spans="1:9" x14ac:dyDescent="0.25">
      <c r="A1205" s="299">
        <v>42957</v>
      </c>
      <c r="B1205" s="302" t="s">
        <v>25018</v>
      </c>
      <c r="C1205">
        <v>123177</v>
      </c>
      <c r="D1205" s="236" t="s">
        <v>15305</v>
      </c>
      <c r="E1205" s="301">
        <v>806.6</v>
      </c>
      <c r="F1205" s="303">
        <v>42958</v>
      </c>
      <c r="G1205" s="301">
        <v>806.6</v>
      </c>
      <c r="H1205" s="304">
        <f>Tabla13[[#This Row],[Importe]]-Tabla13[[#This Row],[Pagado]]</f>
        <v>0</v>
      </c>
      <c r="I1205" s="275" t="s">
        <v>15214</v>
      </c>
    </row>
    <row r="1206" spans="1:9" x14ac:dyDescent="0.25">
      <c r="A1206" s="299">
        <v>42957</v>
      </c>
      <c r="B1206" s="302" t="s">
        <v>25019</v>
      </c>
      <c r="C1206">
        <v>123178</v>
      </c>
      <c r="D1206" s="236" t="s">
        <v>15298</v>
      </c>
      <c r="E1206" s="301">
        <v>24529.55</v>
      </c>
      <c r="F1206" s="303">
        <v>42968</v>
      </c>
      <c r="G1206" s="301">
        <v>24529.55</v>
      </c>
      <c r="H1206" s="304">
        <f>Tabla13[[#This Row],[Importe]]-Tabla13[[#This Row],[Pagado]]</f>
        <v>0</v>
      </c>
      <c r="I1206" s="275" t="s">
        <v>15214</v>
      </c>
    </row>
    <row r="1207" spans="1:9" x14ac:dyDescent="0.25">
      <c r="A1207" s="299">
        <v>42957</v>
      </c>
      <c r="B1207" s="302" t="s">
        <v>25020</v>
      </c>
      <c r="C1207">
        <v>123179</v>
      </c>
      <c r="D1207" s="236" t="s">
        <v>15592</v>
      </c>
      <c r="E1207" s="301">
        <v>14489.2</v>
      </c>
      <c r="F1207" s="303">
        <v>42958</v>
      </c>
      <c r="G1207" s="301">
        <v>14489.2</v>
      </c>
      <c r="H1207" s="304">
        <f>Tabla13[[#This Row],[Importe]]-Tabla13[[#This Row],[Pagado]]</f>
        <v>0</v>
      </c>
      <c r="I1207" s="275" t="s">
        <v>15214</v>
      </c>
    </row>
    <row r="1208" spans="1:9" ht="15.75" x14ac:dyDescent="0.25">
      <c r="A1208" s="299">
        <v>42957</v>
      </c>
      <c r="B1208" s="302" t="s">
        <v>25021</v>
      </c>
      <c r="C1208">
        <v>123180</v>
      </c>
      <c r="D1208" s="248" t="s">
        <v>95</v>
      </c>
      <c r="E1208" s="301">
        <v>0</v>
      </c>
      <c r="F1208" s="243" t="s">
        <v>95</v>
      </c>
      <c r="G1208" s="301">
        <v>0</v>
      </c>
      <c r="H1208" s="304">
        <f>Tabla13[[#This Row],[Importe]]-Tabla13[[#This Row],[Pagado]]</f>
        <v>0</v>
      </c>
      <c r="I1208" s="275" t="s">
        <v>95</v>
      </c>
    </row>
    <row r="1209" spans="1:9" x14ac:dyDescent="0.25">
      <c r="A1209" s="299">
        <v>42957</v>
      </c>
      <c r="B1209" s="302" t="s">
        <v>25022</v>
      </c>
      <c r="C1209">
        <v>123181</v>
      </c>
      <c r="D1209" s="236" t="s">
        <v>15315</v>
      </c>
      <c r="E1209" s="301">
        <v>1225.8</v>
      </c>
      <c r="F1209" s="303">
        <v>42958</v>
      </c>
      <c r="G1209" s="301">
        <v>1225.8</v>
      </c>
      <c r="H1209" s="304">
        <f>Tabla13[[#This Row],[Importe]]-Tabla13[[#This Row],[Pagado]]</f>
        <v>0</v>
      </c>
      <c r="I1209" s="275" t="s">
        <v>15214</v>
      </c>
    </row>
    <row r="1210" spans="1:9" x14ac:dyDescent="0.25">
      <c r="A1210" s="299">
        <v>42957</v>
      </c>
      <c r="B1210" s="302" t="s">
        <v>25023</v>
      </c>
      <c r="C1210">
        <v>123182</v>
      </c>
      <c r="D1210" s="236" t="s">
        <v>15417</v>
      </c>
      <c r="E1210" s="301">
        <v>1823.6</v>
      </c>
      <c r="F1210" s="303">
        <v>42958</v>
      </c>
      <c r="G1210" s="301">
        <v>1823.6</v>
      </c>
      <c r="H1210" s="304">
        <f>Tabla13[[#This Row],[Importe]]-Tabla13[[#This Row],[Pagado]]</f>
        <v>0</v>
      </c>
      <c r="I1210" s="275" t="s">
        <v>15214</v>
      </c>
    </row>
    <row r="1211" spans="1:9" x14ac:dyDescent="0.25">
      <c r="A1211" s="299">
        <v>42957</v>
      </c>
      <c r="B1211" s="302" t="s">
        <v>25024</v>
      </c>
      <c r="C1211">
        <v>123183</v>
      </c>
      <c r="D1211" s="236" t="s">
        <v>19697</v>
      </c>
      <c r="E1211" s="301">
        <v>967.1</v>
      </c>
      <c r="F1211" s="303">
        <v>42958</v>
      </c>
      <c r="G1211" s="301">
        <v>967.1</v>
      </c>
      <c r="H1211" s="304">
        <f>Tabla13[[#This Row],[Importe]]-Tabla13[[#This Row],[Pagado]]</f>
        <v>0</v>
      </c>
      <c r="I1211" s="275" t="s">
        <v>15214</v>
      </c>
    </row>
    <row r="1212" spans="1:9" x14ac:dyDescent="0.25">
      <c r="A1212" s="299">
        <v>42957</v>
      </c>
      <c r="B1212" s="302" t="s">
        <v>25025</v>
      </c>
      <c r="C1212">
        <v>123184</v>
      </c>
      <c r="D1212" s="236" t="s">
        <v>15315</v>
      </c>
      <c r="E1212" s="301">
        <v>714.4</v>
      </c>
      <c r="F1212" s="303">
        <v>42958</v>
      </c>
      <c r="G1212" s="301">
        <v>714.4</v>
      </c>
      <c r="H1212" s="304">
        <f>Tabla13[[#This Row],[Importe]]-Tabla13[[#This Row],[Pagado]]</f>
        <v>0</v>
      </c>
      <c r="I1212" s="275" t="s">
        <v>15214</v>
      </c>
    </row>
    <row r="1213" spans="1:9" x14ac:dyDescent="0.25">
      <c r="A1213" s="299">
        <v>42957</v>
      </c>
      <c r="B1213" s="302" t="s">
        <v>25026</v>
      </c>
      <c r="C1213">
        <v>123185</v>
      </c>
      <c r="D1213" s="236" t="s">
        <v>15930</v>
      </c>
      <c r="E1213" s="301">
        <v>5934.8</v>
      </c>
      <c r="F1213" s="303">
        <v>42958</v>
      </c>
      <c r="G1213" s="301">
        <v>5934.8</v>
      </c>
      <c r="H1213" s="304">
        <f>Tabla13[[#This Row],[Importe]]-Tabla13[[#This Row],[Pagado]]</f>
        <v>0</v>
      </c>
      <c r="I1213" s="275" t="s">
        <v>15214</v>
      </c>
    </row>
    <row r="1214" spans="1:9" x14ac:dyDescent="0.25">
      <c r="A1214" s="299">
        <v>42957</v>
      </c>
      <c r="B1214" s="302" t="s">
        <v>25027</v>
      </c>
      <c r="C1214">
        <v>123186</v>
      </c>
      <c r="D1214" s="236" t="s">
        <v>15276</v>
      </c>
      <c r="E1214" s="301">
        <v>2400</v>
      </c>
      <c r="F1214" s="303">
        <v>42958</v>
      </c>
      <c r="G1214" s="301">
        <v>2400</v>
      </c>
      <c r="H1214" s="304">
        <f>Tabla13[[#This Row],[Importe]]-Tabla13[[#This Row],[Pagado]]</f>
        <v>0</v>
      </c>
      <c r="I1214" s="275" t="s">
        <v>15214</v>
      </c>
    </row>
    <row r="1215" spans="1:9" x14ac:dyDescent="0.25">
      <c r="A1215" s="299">
        <v>42957</v>
      </c>
      <c r="B1215" s="302" t="s">
        <v>25028</v>
      </c>
      <c r="C1215">
        <v>123187</v>
      </c>
      <c r="D1215" s="236" t="s">
        <v>18773</v>
      </c>
      <c r="E1215" s="301">
        <v>45322</v>
      </c>
      <c r="F1215" s="303">
        <v>42957</v>
      </c>
      <c r="G1215" s="301">
        <v>45322</v>
      </c>
      <c r="H1215" s="304">
        <f>Tabla13[[#This Row],[Importe]]-Tabla13[[#This Row],[Pagado]]</f>
        <v>0</v>
      </c>
      <c r="I1215" s="275" t="s">
        <v>15214</v>
      </c>
    </row>
    <row r="1216" spans="1:9" x14ac:dyDescent="0.25">
      <c r="A1216" s="299">
        <v>42957</v>
      </c>
      <c r="B1216" s="302" t="s">
        <v>25029</v>
      </c>
      <c r="C1216">
        <v>123188</v>
      </c>
      <c r="D1216" s="236" t="s">
        <v>21441</v>
      </c>
      <c r="E1216" s="301">
        <v>1056</v>
      </c>
      <c r="F1216" s="303">
        <v>42958</v>
      </c>
      <c r="G1216" s="301">
        <v>1056</v>
      </c>
      <c r="H1216" s="304">
        <f>Tabla13[[#This Row],[Importe]]-Tabla13[[#This Row],[Pagado]]</f>
        <v>0</v>
      </c>
      <c r="I1216" s="275" t="s">
        <v>15214</v>
      </c>
    </row>
    <row r="1217" spans="1:9" x14ac:dyDescent="0.25">
      <c r="A1217" s="299">
        <v>42957</v>
      </c>
      <c r="B1217" s="302" t="s">
        <v>25030</v>
      </c>
      <c r="C1217">
        <v>123189</v>
      </c>
      <c r="D1217" s="236" t="s">
        <v>16463</v>
      </c>
      <c r="E1217" s="301">
        <v>12009.6</v>
      </c>
      <c r="F1217" s="303">
        <v>42958</v>
      </c>
      <c r="G1217" s="301">
        <v>12009.6</v>
      </c>
      <c r="H1217" s="304">
        <f>Tabla13[[#This Row],[Importe]]-Tabla13[[#This Row],[Pagado]]</f>
        <v>0</v>
      </c>
      <c r="I1217" s="275" t="s">
        <v>15214</v>
      </c>
    </row>
    <row r="1218" spans="1:9" x14ac:dyDescent="0.25">
      <c r="A1218" s="299">
        <v>42957</v>
      </c>
      <c r="B1218" s="302" t="s">
        <v>25031</v>
      </c>
      <c r="C1218">
        <v>123190</v>
      </c>
      <c r="D1218" s="236" t="s">
        <v>15835</v>
      </c>
      <c r="E1218" s="301">
        <v>15324</v>
      </c>
      <c r="F1218" s="303">
        <v>42958</v>
      </c>
      <c r="G1218" s="301">
        <v>15324</v>
      </c>
      <c r="H1218" s="304">
        <f>Tabla13[[#This Row],[Importe]]-Tabla13[[#This Row],[Pagado]]</f>
        <v>0</v>
      </c>
      <c r="I1218" s="275" t="s">
        <v>15214</v>
      </c>
    </row>
    <row r="1219" spans="1:9" x14ac:dyDescent="0.25">
      <c r="A1219" s="299">
        <v>42957</v>
      </c>
      <c r="B1219" s="302" t="s">
        <v>25032</v>
      </c>
      <c r="C1219">
        <v>123191</v>
      </c>
      <c r="D1219" s="236" t="s">
        <v>15725</v>
      </c>
      <c r="E1219" s="301">
        <v>24403.599999999999</v>
      </c>
      <c r="F1219" s="303">
        <v>42960</v>
      </c>
      <c r="G1219" s="301">
        <v>24403.599999999999</v>
      </c>
      <c r="H1219" s="304">
        <f>Tabla13[[#This Row],[Importe]]-Tabla13[[#This Row],[Pagado]]</f>
        <v>0</v>
      </c>
      <c r="I1219" s="275" t="s">
        <v>15214</v>
      </c>
    </row>
    <row r="1220" spans="1:9" x14ac:dyDescent="0.25">
      <c r="A1220" s="299">
        <v>42957</v>
      </c>
      <c r="B1220" s="302" t="s">
        <v>25033</v>
      </c>
      <c r="C1220">
        <v>123192</v>
      </c>
      <c r="D1220" s="236" t="s">
        <v>15624</v>
      </c>
      <c r="E1220" s="301">
        <v>30839.02</v>
      </c>
      <c r="F1220" s="303">
        <v>42959</v>
      </c>
      <c r="G1220" s="301">
        <v>30839.02</v>
      </c>
      <c r="H1220" s="304">
        <f>Tabla13[[#This Row],[Importe]]-Tabla13[[#This Row],[Pagado]]</f>
        <v>0</v>
      </c>
      <c r="I1220" s="275" t="s">
        <v>15214</v>
      </c>
    </row>
    <row r="1221" spans="1:9" x14ac:dyDescent="0.25">
      <c r="A1221" s="299">
        <v>42957</v>
      </c>
      <c r="B1221" s="302" t="s">
        <v>25034</v>
      </c>
      <c r="C1221">
        <v>123193</v>
      </c>
      <c r="D1221" s="236" t="s">
        <v>15284</v>
      </c>
      <c r="E1221" s="301">
        <v>901.04</v>
      </c>
      <c r="F1221" s="303">
        <v>42957</v>
      </c>
      <c r="G1221" s="301">
        <v>901.04</v>
      </c>
      <c r="H1221" s="304">
        <f>Tabla13[[#This Row],[Importe]]-Tabla13[[#This Row],[Pagado]]</f>
        <v>0</v>
      </c>
      <c r="I1221" s="275" t="s">
        <v>15214</v>
      </c>
    </row>
    <row r="1222" spans="1:9" ht="15.75" x14ac:dyDescent="0.25">
      <c r="A1222" s="299">
        <v>42957</v>
      </c>
      <c r="B1222" s="302" t="s">
        <v>25035</v>
      </c>
      <c r="C1222">
        <v>123194</v>
      </c>
      <c r="D1222" s="236" t="s">
        <v>15223</v>
      </c>
      <c r="E1222" s="301">
        <v>522.5</v>
      </c>
      <c r="F1222" s="266">
        <v>42979</v>
      </c>
      <c r="G1222" s="226">
        <v>522.5</v>
      </c>
      <c r="H1222" s="304">
        <f>Tabla13[[#This Row],[Importe]]-Tabla13[[#This Row],[Pagado]]</f>
        <v>0</v>
      </c>
      <c r="I1222" s="275" t="s">
        <v>15214</v>
      </c>
    </row>
    <row r="1223" spans="1:9" x14ac:dyDescent="0.25">
      <c r="A1223" s="299">
        <v>42957</v>
      </c>
      <c r="B1223" s="302" t="s">
        <v>25036</v>
      </c>
      <c r="C1223">
        <v>123195</v>
      </c>
      <c r="D1223" s="236" t="s">
        <v>19773</v>
      </c>
      <c r="E1223" s="301">
        <v>3268.76</v>
      </c>
      <c r="F1223" s="266">
        <v>42993</v>
      </c>
      <c r="G1223" s="35">
        <v>3268.76</v>
      </c>
      <c r="H1223" s="304">
        <f>Tabla13[[#This Row],[Importe]]-Tabla13[[#This Row],[Pagado]]</f>
        <v>0</v>
      </c>
      <c r="I1223" s="275" t="s">
        <v>15214</v>
      </c>
    </row>
    <row r="1224" spans="1:9" x14ac:dyDescent="0.25">
      <c r="A1224" s="299">
        <v>42957</v>
      </c>
      <c r="B1224" s="302" t="s">
        <v>25037</v>
      </c>
      <c r="C1224">
        <v>123196</v>
      </c>
      <c r="D1224" s="236" t="s">
        <v>15246</v>
      </c>
      <c r="E1224" s="301">
        <v>59127.9</v>
      </c>
      <c r="F1224" s="303">
        <v>42961</v>
      </c>
      <c r="G1224" s="301">
        <v>59127.9</v>
      </c>
      <c r="H1224" s="304">
        <f>Tabla13[[#This Row],[Importe]]-Tabla13[[#This Row],[Pagado]]</f>
        <v>0</v>
      </c>
      <c r="I1224" s="275" t="s">
        <v>15214</v>
      </c>
    </row>
    <row r="1225" spans="1:9" x14ac:dyDescent="0.25">
      <c r="A1225" s="299">
        <v>42957</v>
      </c>
      <c r="B1225" s="302" t="s">
        <v>25038</v>
      </c>
      <c r="C1225">
        <v>123197</v>
      </c>
      <c r="D1225" s="236" t="s">
        <v>19756</v>
      </c>
      <c r="E1225" s="301">
        <v>840.5</v>
      </c>
      <c r="F1225" s="303">
        <v>42957</v>
      </c>
      <c r="G1225" s="301">
        <v>840.5</v>
      </c>
      <c r="H1225" s="304">
        <f>Tabla13[[#This Row],[Importe]]-Tabla13[[#This Row],[Pagado]]</f>
        <v>0</v>
      </c>
      <c r="I1225" s="275" t="s">
        <v>15214</v>
      </c>
    </row>
    <row r="1226" spans="1:9" x14ac:dyDescent="0.25">
      <c r="A1226" s="299">
        <v>42957</v>
      </c>
      <c r="B1226" s="302" t="s">
        <v>25039</v>
      </c>
      <c r="C1226">
        <v>123198</v>
      </c>
      <c r="D1226" s="236" t="s">
        <v>15246</v>
      </c>
      <c r="E1226" s="301">
        <v>10812.92</v>
      </c>
      <c r="F1226" s="303">
        <v>42961</v>
      </c>
      <c r="G1226" s="301">
        <v>10812.92</v>
      </c>
      <c r="H1226" s="304">
        <f>Tabla13[[#This Row],[Importe]]-Tabla13[[#This Row],[Pagado]]</f>
        <v>0</v>
      </c>
      <c r="I1226" s="275" t="s">
        <v>15214</v>
      </c>
    </row>
    <row r="1227" spans="1:9" x14ac:dyDescent="0.25">
      <c r="A1227" s="299">
        <v>42957</v>
      </c>
      <c r="B1227" s="302" t="s">
        <v>25040</v>
      </c>
      <c r="C1227">
        <v>123199</v>
      </c>
      <c r="D1227" s="236" t="s">
        <v>15246</v>
      </c>
      <c r="E1227" s="301">
        <v>230641.6</v>
      </c>
      <c r="F1227" s="303">
        <v>42961</v>
      </c>
      <c r="G1227" s="301">
        <v>230641.6</v>
      </c>
      <c r="H1227" s="304">
        <f>Tabla13[[#This Row],[Importe]]-Tabla13[[#This Row],[Pagado]]</f>
        <v>0</v>
      </c>
      <c r="I1227" s="275" t="s">
        <v>15214</v>
      </c>
    </row>
    <row r="1228" spans="1:9" x14ac:dyDescent="0.25">
      <c r="A1228" s="299">
        <v>42957</v>
      </c>
      <c r="B1228" s="302" t="s">
        <v>25041</v>
      </c>
      <c r="C1228">
        <v>123200</v>
      </c>
      <c r="D1228" s="236" t="s">
        <v>15444</v>
      </c>
      <c r="E1228" s="301">
        <v>1897.2</v>
      </c>
      <c r="F1228" s="303">
        <v>42957</v>
      </c>
      <c r="G1228" s="301">
        <v>1897.2</v>
      </c>
      <c r="H1228" s="304">
        <f>Tabla13[[#This Row],[Importe]]-Tabla13[[#This Row],[Pagado]]</f>
        <v>0</v>
      </c>
      <c r="I1228" s="275" t="s">
        <v>15214</v>
      </c>
    </row>
    <row r="1229" spans="1:9" x14ac:dyDescent="0.25">
      <c r="A1229" s="299">
        <v>42957</v>
      </c>
      <c r="B1229" s="302" t="s">
        <v>25042</v>
      </c>
      <c r="C1229">
        <v>123201</v>
      </c>
      <c r="D1229" s="236" t="s">
        <v>15433</v>
      </c>
      <c r="E1229" s="301">
        <v>1938.8</v>
      </c>
      <c r="F1229" s="303">
        <v>42957</v>
      </c>
      <c r="G1229" s="301">
        <v>1938.8</v>
      </c>
      <c r="H1229" s="304">
        <f>Tabla13[[#This Row],[Importe]]-Tabla13[[#This Row],[Pagado]]</f>
        <v>0</v>
      </c>
      <c r="I1229" s="275" t="s">
        <v>15214</v>
      </c>
    </row>
    <row r="1230" spans="1:9" x14ac:dyDescent="0.25">
      <c r="A1230" s="299">
        <v>42957</v>
      </c>
      <c r="B1230" s="302" t="s">
        <v>25043</v>
      </c>
      <c r="C1230">
        <v>123202</v>
      </c>
      <c r="D1230" s="236" t="s">
        <v>15328</v>
      </c>
      <c r="E1230" s="301">
        <v>630</v>
      </c>
      <c r="F1230" s="303">
        <v>42969</v>
      </c>
      <c r="G1230" s="301">
        <v>630</v>
      </c>
      <c r="H1230" s="304">
        <f>Tabla13[[#This Row],[Importe]]-Tabla13[[#This Row],[Pagado]]</f>
        <v>0</v>
      </c>
      <c r="I1230" s="275" t="s">
        <v>15214</v>
      </c>
    </row>
    <row r="1231" spans="1:9" x14ac:dyDescent="0.25">
      <c r="A1231" s="299">
        <v>42957</v>
      </c>
      <c r="B1231" s="302" t="s">
        <v>25044</v>
      </c>
      <c r="C1231">
        <v>123203</v>
      </c>
      <c r="D1231" s="236" t="s">
        <v>15541</v>
      </c>
      <c r="E1231" s="301">
        <v>1090.4000000000001</v>
      </c>
      <c r="F1231" s="303">
        <v>42958</v>
      </c>
      <c r="G1231" s="301">
        <v>1090.4000000000001</v>
      </c>
      <c r="H1231" s="304">
        <f>Tabla13[[#This Row],[Importe]]-Tabla13[[#This Row],[Pagado]]</f>
        <v>0</v>
      </c>
      <c r="I1231" s="275" t="s">
        <v>15214</v>
      </c>
    </row>
    <row r="1232" spans="1:9" x14ac:dyDescent="0.25">
      <c r="A1232" s="299">
        <v>42957</v>
      </c>
      <c r="B1232" s="302" t="s">
        <v>25045</v>
      </c>
      <c r="C1232">
        <v>123204</v>
      </c>
      <c r="D1232" s="236" t="s">
        <v>15284</v>
      </c>
      <c r="E1232" s="301">
        <v>690</v>
      </c>
      <c r="F1232" s="303">
        <v>42957</v>
      </c>
      <c r="G1232" s="301">
        <v>690</v>
      </c>
      <c r="H1232" s="304">
        <f>Tabla13[[#This Row],[Importe]]-Tabla13[[#This Row],[Pagado]]</f>
        <v>0</v>
      </c>
      <c r="I1232" s="275" t="s">
        <v>15214</v>
      </c>
    </row>
    <row r="1233" spans="1:9" x14ac:dyDescent="0.25">
      <c r="A1233" s="299">
        <v>42957</v>
      </c>
      <c r="B1233" s="302" t="s">
        <v>25046</v>
      </c>
      <c r="C1233">
        <v>123205</v>
      </c>
      <c r="D1233" s="236" t="s">
        <v>15246</v>
      </c>
      <c r="E1233" s="301">
        <v>49446.84</v>
      </c>
      <c r="F1233" s="303">
        <v>42961</v>
      </c>
      <c r="G1233" s="301">
        <v>49446.84</v>
      </c>
      <c r="H1233" s="304">
        <f>Tabla13[[#This Row],[Importe]]-Tabla13[[#This Row],[Pagado]]</f>
        <v>0</v>
      </c>
      <c r="I1233" s="275" t="s">
        <v>15214</v>
      </c>
    </row>
    <row r="1234" spans="1:9" x14ac:dyDescent="0.25">
      <c r="A1234" s="299">
        <v>42957</v>
      </c>
      <c r="B1234" s="302" t="s">
        <v>25047</v>
      </c>
      <c r="C1234">
        <v>123206</v>
      </c>
      <c r="D1234" s="236" t="s">
        <v>15435</v>
      </c>
      <c r="E1234" s="301">
        <v>8460</v>
      </c>
      <c r="F1234" s="303">
        <v>42957</v>
      </c>
      <c r="G1234" s="301">
        <v>8460</v>
      </c>
      <c r="H1234" s="304">
        <f>Tabla13[[#This Row],[Importe]]-Tabla13[[#This Row],[Pagado]]</f>
        <v>0</v>
      </c>
      <c r="I1234" s="275" t="s">
        <v>15214</v>
      </c>
    </row>
    <row r="1235" spans="1:9" x14ac:dyDescent="0.25">
      <c r="A1235" s="299">
        <v>42958</v>
      </c>
      <c r="B1235" s="302" t="s">
        <v>25048</v>
      </c>
      <c r="C1235">
        <v>123207</v>
      </c>
      <c r="D1235" s="236" t="s">
        <v>21386</v>
      </c>
      <c r="E1235" s="301">
        <v>10939.4</v>
      </c>
      <c r="F1235" s="303">
        <v>42961</v>
      </c>
      <c r="G1235" s="301">
        <v>10939.4</v>
      </c>
      <c r="H1235" s="304">
        <f>Tabla13[[#This Row],[Importe]]-Tabla13[[#This Row],[Pagado]]</f>
        <v>0</v>
      </c>
      <c r="I1235" s="275" t="s">
        <v>15214</v>
      </c>
    </row>
    <row r="1236" spans="1:9" ht="30" x14ac:dyDescent="0.25">
      <c r="A1236" s="299">
        <v>42958</v>
      </c>
      <c r="B1236" s="302" t="s">
        <v>25049</v>
      </c>
      <c r="C1236">
        <v>123208</v>
      </c>
      <c r="D1236" s="236" t="s">
        <v>15213</v>
      </c>
      <c r="E1236" s="301">
        <v>53709.3</v>
      </c>
      <c r="F1236" s="303" t="s">
        <v>25050</v>
      </c>
      <c r="G1236" s="305">
        <f>45000+8709.3</f>
        <v>53709.3</v>
      </c>
      <c r="H1236" s="304">
        <f>Tabla13[[#This Row],[Importe]]-Tabla13[[#This Row],[Pagado]]</f>
        <v>0</v>
      </c>
      <c r="I1236" s="275" t="s">
        <v>15214</v>
      </c>
    </row>
    <row r="1237" spans="1:9" x14ac:dyDescent="0.25">
      <c r="A1237" s="299">
        <v>42958</v>
      </c>
      <c r="B1237" s="302" t="s">
        <v>25051</v>
      </c>
      <c r="C1237">
        <v>123209</v>
      </c>
      <c r="D1237" s="236" t="s">
        <v>15240</v>
      </c>
      <c r="E1237" s="301">
        <v>754.1</v>
      </c>
      <c r="F1237" s="303">
        <v>42961</v>
      </c>
      <c r="G1237" s="301">
        <v>754.1</v>
      </c>
      <c r="H1237" s="304">
        <f>Tabla13[[#This Row],[Importe]]-Tabla13[[#This Row],[Pagado]]</f>
        <v>0</v>
      </c>
      <c r="I1237" s="275" t="s">
        <v>15214</v>
      </c>
    </row>
    <row r="1238" spans="1:9" x14ac:dyDescent="0.25">
      <c r="A1238" s="299">
        <v>42958</v>
      </c>
      <c r="B1238" s="302" t="s">
        <v>25052</v>
      </c>
      <c r="C1238">
        <v>123210</v>
      </c>
      <c r="D1238" s="236" t="s">
        <v>19302</v>
      </c>
      <c r="E1238" s="301">
        <v>940</v>
      </c>
      <c r="F1238" s="303">
        <v>42958</v>
      </c>
      <c r="G1238" s="301">
        <v>940</v>
      </c>
      <c r="H1238" s="304">
        <f>Tabla13[[#This Row],[Importe]]-Tabla13[[#This Row],[Pagado]]</f>
        <v>0</v>
      </c>
      <c r="I1238" s="275" t="s">
        <v>15214</v>
      </c>
    </row>
    <row r="1239" spans="1:9" x14ac:dyDescent="0.25">
      <c r="A1239" s="299">
        <v>42958</v>
      </c>
      <c r="B1239" s="302" t="s">
        <v>25053</v>
      </c>
      <c r="C1239">
        <v>123211</v>
      </c>
      <c r="D1239" s="236" t="s">
        <v>15230</v>
      </c>
      <c r="E1239" s="301">
        <v>17459</v>
      </c>
      <c r="F1239" s="303">
        <v>42961</v>
      </c>
      <c r="G1239" s="301">
        <v>17459</v>
      </c>
      <c r="H1239" s="304">
        <f>Tabla13[[#This Row],[Importe]]-Tabla13[[#This Row],[Pagado]]</f>
        <v>0</v>
      </c>
      <c r="I1239" s="275" t="s">
        <v>15214</v>
      </c>
    </row>
    <row r="1240" spans="1:9" x14ac:dyDescent="0.25">
      <c r="A1240" s="299">
        <v>42958</v>
      </c>
      <c r="B1240" s="302" t="s">
        <v>25054</v>
      </c>
      <c r="C1240">
        <v>123212</v>
      </c>
      <c r="D1240" s="236" t="s">
        <v>15220</v>
      </c>
      <c r="E1240" s="301">
        <v>2820</v>
      </c>
      <c r="F1240" s="303">
        <v>42958</v>
      </c>
      <c r="G1240" s="301">
        <v>2820</v>
      </c>
      <c r="H1240" s="304">
        <f>Tabla13[[#This Row],[Importe]]-Tabla13[[#This Row],[Pagado]]</f>
        <v>0</v>
      </c>
      <c r="I1240" s="275" t="s">
        <v>15214</v>
      </c>
    </row>
    <row r="1241" spans="1:9" x14ac:dyDescent="0.25">
      <c r="A1241" s="299">
        <v>42958</v>
      </c>
      <c r="B1241" s="302" t="s">
        <v>25055</v>
      </c>
      <c r="C1241">
        <v>123213</v>
      </c>
      <c r="D1241" s="236" t="s">
        <v>18544</v>
      </c>
      <c r="E1241" s="301">
        <v>5375</v>
      </c>
      <c r="F1241" s="303">
        <v>42958</v>
      </c>
      <c r="G1241" s="301">
        <v>5375</v>
      </c>
      <c r="H1241" s="304">
        <f>Tabla13[[#This Row],[Importe]]-Tabla13[[#This Row],[Pagado]]</f>
        <v>0</v>
      </c>
      <c r="I1241" s="275" t="s">
        <v>15214</v>
      </c>
    </row>
    <row r="1242" spans="1:9" x14ac:dyDescent="0.25">
      <c r="A1242" s="299">
        <v>42958</v>
      </c>
      <c r="B1242" s="302" t="s">
        <v>25056</v>
      </c>
      <c r="C1242">
        <v>123214</v>
      </c>
      <c r="D1242" s="236" t="s">
        <v>15216</v>
      </c>
      <c r="E1242" s="301">
        <v>6895</v>
      </c>
      <c r="F1242" s="303">
        <v>42958</v>
      </c>
      <c r="G1242" s="301">
        <v>6895</v>
      </c>
      <c r="H1242" s="304">
        <f>Tabla13[[#This Row],[Importe]]-Tabla13[[#This Row],[Pagado]]</f>
        <v>0</v>
      </c>
      <c r="I1242" s="275" t="s">
        <v>15214</v>
      </c>
    </row>
    <row r="1243" spans="1:9" x14ac:dyDescent="0.25">
      <c r="A1243" s="299">
        <v>42958</v>
      </c>
      <c r="B1243" s="302" t="s">
        <v>25057</v>
      </c>
      <c r="C1243">
        <v>123215</v>
      </c>
      <c r="D1243" s="236" t="s">
        <v>15348</v>
      </c>
      <c r="E1243" s="301">
        <v>3141.6</v>
      </c>
      <c r="F1243" s="303">
        <v>42961</v>
      </c>
      <c r="G1243" s="301">
        <v>3141.6</v>
      </c>
      <c r="H1243" s="304">
        <f>Tabla13[[#This Row],[Importe]]-Tabla13[[#This Row],[Pagado]]</f>
        <v>0</v>
      </c>
      <c r="I1243" s="275" t="s">
        <v>15214</v>
      </c>
    </row>
    <row r="1244" spans="1:9" x14ac:dyDescent="0.25">
      <c r="A1244" s="299">
        <v>42958</v>
      </c>
      <c r="B1244" s="302" t="s">
        <v>25058</v>
      </c>
      <c r="C1244">
        <v>123216</v>
      </c>
      <c r="D1244" s="236" t="s">
        <v>15242</v>
      </c>
      <c r="E1244" s="301">
        <v>22740.400000000001</v>
      </c>
      <c r="F1244" s="303">
        <v>42958</v>
      </c>
      <c r="G1244" s="301">
        <v>22740.400000000001</v>
      </c>
      <c r="H1244" s="304">
        <f>Tabla13[[#This Row],[Importe]]-Tabla13[[#This Row],[Pagado]]</f>
        <v>0</v>
      </c>
      <c r="I1244" s="275" t="s">
        <v>15214</v>
      </c>
    </row>
    <row r="1245" spans="1:9" ht="30" x14ac:dyDescent="0.25">
      <c r="A1245" s="299">
        <v>42958</v>
      </c>
      <c r="B1245" s="302" t="s">
        <v>25059</v>
      </c>
      <c r="C1245">
        <v>123217</v>
      </c>
      <c r="D1245" s="236" t="s">
        <v>15236</v>
      </c>
      <c r="E1245" s="301">
        <v>8158.9</v>
      </c>
      <c r="F1245" s="303" t="s">
        <v>24712</v>
      </c>
      <c r="G1245" s="305">
        <f>5000+3158.9</f>
        <v>8158.9</v>
      </c>
      <c r="H1245" s="304">
        <f>Tabla13[[#This Row],[Importe]]-Tabla13[[#This Row],[Pagado]]</f>
        <v>0</v>
      </c>
      <c r="I1245" s="275" t="s">
        <v>15214</v>
      </c>
    </row>
    <row r="1246" spans="1:9" x14ac:dyDescent="0.25">
      <c r="A1246" s="299">
        <v>42958</v>
      </c>
      <c r="B1246" s="302" t="s">
        <v>25060</v>
      </c>
      <c r="C1246">
        <v>123218</v>
      </c>
      <c r="D1246" s="236" t="s">
        <v>15256</v>
      </c>
      <c r="E1246" s="301">
        <v>3660.3</v>
      </c>
      <c r="F1246" s="303">
        <v>42961</v>
      </c>
      <c r="G1246" s="301">
        <v>3660.3</v>
      </c>
      <c r="H1246" s="304">
        <f>Tabla13[[#This Row],[Importe]]-Tabla13[[#This Row],[Pagado]]</f>
        <v>0</v>
      </c>
      <c r="I1246" s="275" t="s">
        <v>15214</v>
      </c>
    </row>
    <row r="1247" spans="1:9" x14ac:dyDescent="0.25">
      <c r="A1247" s="299">
        <v>42958</v>
      </c>
      <c r="B1247" s="302" t="s">
        <v>25061</v>
      </c>
      <c r="C1247">
        <v>123219</v>
      </c>
      <c r="D1247" s="236" t="s">
        <v>15234</v>
      </c>
      <c r="E1247" s="301">
        <v>3282.65</v>
      </c>
      <c r="F1247" s="303">
        <v>42963</v>
      </c>
      <c r="G1247" s="301">
        <v>3282.65</v>
      </c>
      <c r="H1247" s="304">
        <f>Tabla13[[#This Row],[Importe]]-Tabla13[[#This Row],[Pagado]]</f>
        <v>0</v>
      </c>
      <c r="I1247" s="275" t="s">
        <v>15214</v>
      </c>
    </row>
    <row r="1248" spans="1:9" x14ac:dyDescent="0.25">
      <c r="A1248" s="299">
        <v>42958</v>
      </c>
      <c r="B1248" s="302" t="s">
        <v>25062</v>
      </c>
      <c r="C1248">
        <v>123220</v>
      </c>
      <c r="D1248" s="236" t="s">
        <v>15223</v>
      </c>
      <c r="E1248" s="301">
        <v>58682.8</v>
      </c>
      <c r="F1248" s="266">
        <v>42979</v>
      </c>
      <c r="G1248" s="35">
        <v>58682.8</v>
      </c>
      <c r="H1248" s="304">
        <f>Tabla13[[#This Row],[Importe]]-Tabla13[[#This Row],[Pagado]]</f>
        <v>0</v>
      </c>
      <c r="I1248" s="275" t="s">
        <v>15214</v>
      </c>
    </row>
    <row r="1249" spans="1:9" x14ac:dyDescent="0.25">
      <c r="A1249" s="299">
        <v>42958</v>
      </c>
      <c r="B1249" s="302" t="s">
        <v>25063</v>
      </c>
      <c r="C1249">
        <v>123221</v>
      </c>
      <c r="D1249" s="236" t="s">
        <v>15668</v>
      </c>
      <c r="E1249" s="301">
        <v>11113.7</v>
      </c>
      <c r="F1249" s="303">
        <v>42958</v>
      </c>
      <c r="G1249" s="301">
        <v>11113.7</v>
      </c>
      <c r="H1249" s="304">
        <f>Tabla13[[#This Row],[Importe]]-Tabla13[[#This Row],[Pagado]]</f>
        <v>0</v>
      </c>
      <c r="I1249" s="275" t="s">
        <v>15214</v>
      </c>
    </row>
    <row r="1250" spans="1:9" ht="30" x14ac:dyDescent="0.25">
      <c r="A1250" s="299">
        <v>42958</v>
      </c>
      <c r="B1250" s="302" t="s">
        <v>25064</v>
      </c>
      <c r="C1250">
        <v>123222</v>
      </c>
      <c r="D1250" s="236" t="s">
        <v>15258</v>
      </c>
      <c r="E1250" s="301">
        <v>14267.7</v>
      </c>
      <c r="F1250" s="303" t="s">
        <v>25065</v>
      </c>
      <c r="G1250" s="305">
        <f>5000+9267.7</f>
        <v>14267.7</v>
      </c>
      <c r="H1250" s="304">
        <f>Tabla13[[#This Row],[Importe]]-Tabla13[[#This Row],[Pagado]]</f>
        <v>0</v>
      </c>
      <c r="I1250" s="275" t="s">
        <v>15214</v>
      </c>
    </row>
    <row r="1251" spans="1:9" x14ac:dyDescent="0.25">
      <c r="A1251" s="299">
        <v>42958</v>
      </c>
      <c r="B1251" s="302" t="s">
        <v>25066</v>
      </c>
      <c r="C1251">
        <v>123223</v>
      </c>
      <c r="D1251" s="236" t="s">
        <v>15272</v>
      </c>
      <c r="E1251" s="301">
        <v>16405.650000000001</v>
      </c>
      <c r="F1251" s="303">
        <v>42958</v>
      </c>
      <c r="G1251" s="301">
        <v>16405.650000000001</v>
      </c>
      <c r="H1251" s="304">
        <f>Tabla13[[#This Row],[Importe]]-Tabla13[[#This Row],[Pagado]]</f>
        <v>0</v>
      </c>
      <c r="I1251" s="275" t="s">
        <v>15214</v>
      </c>
    </row>
    <row r="1252" spans="1:9" x14ac:dyDescent="0.25">
      <c r="A1252" s="299">
        <v>42958</v>
      </c>
      <c r="B1252" s="302" t="s">
        <v>25067</v>
      </c>
      <c r="C1252">
        <v>123224</v>
      </c>
      <c r="D1252" s="236" t="s">
        <v>15315</v>
      </c>
      <c r="E1252" s="301">
        <v>7171.2</v>
      </c>
      <c r="F1252" s="303">
        <v>42958</v>
      </c>
      <c r="G1252" s="301">
        <v>7171.2</v>
      </c>
      <c r="H1252" s="304">
        <f>Tabla13[[#This Row],[Importe]]-Tabla13[[#This Row],[Pagado]]</f>
        <v>0</v>
      </c>
      <c r="I1252" s="275" t="s">
        <v>15214</v>
      </c>
    </row>
    <row r="1253" spans="1:9" ht="30" x14ac:dyDescent="0.25">
      <c r="A1253" s="299">
        <v>42958</v>
      </c>
      <c r="B1253" s="302" t="s">
        <v>25068</v>
      </c>
      <c r="C1253">
        <v>123225</v>
      </c>
      <c r="D1253" s="236" t="s">
        <v>15250</v>
      </c>
      <c r="E1253" s="301">
        <v>36099.199999999997</v>
      </c>
      <c r="F1253" s="303" t="s">
        <v>25069</v>
      </c>
      <c r="G1253" s="305">
        <f>6072.78+30026.42</f>
        <v>36099.199999999997</v>
      </c>
      <c r="H1253" s="304">
        <f>Tabla13[[#This Row],[Importe]]-Tabla13[[#This Row],[Pagado]]</f>
        <v>0</v>
      </c>
      <c r="I1253" s="275" t="s">
        <v>15214</v>
      </c>
    </row>
    <row r="1254" spans="1:9" x14ac:dyDescent="0.25">
      <c r="A1254" s="299">
        <v>42958</v>
      </c>
      <c r="B1254" s="302" t="s">
        <v>25070</v>
      </c>
      <c r="C1254">
        <v>123226</v>
      </c>
      <c r="D1254" s="236" t="s">
        <v>15338</v>
      </c>
      <c r="E1254" s="301">
        <v>11840.4</v>
      </c>
      <c r="F1254" s="303">
        <v>42962</v>
      </c>
      <c r="G1254" s="301">
        <v>11840.4</v>
      </c>
      <c r="H1254" s="304">
        <f>Tabla13[[#This Row],[Importe]]-Tabla13[[#This Row],[Pagado]]</f>
        <v>0</v>
      </c>
      <c r="I1254" s="275" t="s">
        <v>15214</v>
      </c>
    </row>
    <row r="1255" spans="1:9" x14ac:dyDescent="0.25">
      <c r="A1255" s="299">
        <v>42958</v>
      </c>
      <c r="B1255" s="302" t="s">
        <v>25071</v>
      </c>
      <c r="C1255">
        <v>123227</v>
      </c>
      <c r="D1255" s="236" t="s">
        <v>5575</v>
      </c>
      <c r="E1255" s="301">
        <v>7831.4</v>
      </c>
      <c r="F1255" s="303">
        <v>42959</v>
      </c>
      <c r="G1255" s="301">
        <v>7831.4</v>
      </c>
      <c r="H1255" s="304">
        <f>Tabla13[[#This Row],[Importe]]-Tabla13[[#This Row],[Pagado]]</f>
        <v>0</v>
      </c>
      <c r="I1255" s="275" t="s">
        <v>15214</v>
      </c>
    </row>
    <row r="1256" spans="1:9" x14ac:dyDescent="0.25">
      <c r="A1256" s="299">
        <v>42958</v>
      </c>
      <c r="B1256" s="302" t="s">
        <v>25072</v>
      </c>
      <c r="C1256">
        <v>123228</v>
      </c>
      <c r="D1256" s="236" t="s">
        <v>15334</v>
      </c>
      <c r="E1256" s="301">
        <v>1530</v>
      </c>
      <c r="F1256" s="303">
        <v>42958</v>
      </c>
      <c r="G1256" s="301">
        <v>1530</v>
      </c>
      <c r="H1256" s="304">
        <f>Tabla13[[#This Row],[Importe]]-Tabla13[[#This Row],[Pagado]]</f>
        <v>0</v>
      </c>
      <c r="I1256" s="275" t="s">
        <v>15214</v>
      </c>
    </row>
    <row r="1257" spans="1:9" x14ac:dyDescent="0.25">
      <c r="A1257" s="299">
        <v>42958</v>
      </c>
      <c r="B1257" s="302" t="s">
        <v>25073</v>
      </c>
      <c r="C1257">
        <v>123229</v>
      </c>
      <c r="D1257" s="236" t="s">
        <v>15523</v>
      </c>
      <c r="E1257" s="301">
        <v>2843.5</v>
      </c>
      <c r="F1257" s="303">
        <v>42958</v>
      </c>
      <c r="G1257" s="301">
        <v>2843.5</v>
      </c>
      <c r="H1257" s="304">
        <f>Tabla13[[#This Row],[Importe]]-Tabla13[[#This Row],[Pagado]]</f>
        <v>0</v>
      </c>
      <c r="I1257" s="275" t="s">
        <v>15214</v>
      </c>
    </row>
    <row r="1258" spans="1:9" x14ac:dyDescent="0.25">
      <c r="A1258" s="299">
        <v>42958</v>
      </c>
      <c r="B1258" s="302" t="s">
        <v>25074</v>
      </c>
      <c r="C1258">
        <v>123230</v>
      </c>
      <c r="D1258" s="236" t="s">
        <v>15858</v>
      </c>
      <c r="E1258" s="301">
        <v>4685.28</v>
      </c>
      <c r="F1258" s="303">
        <v>42958</v>
      </c>
      <c r="G1258" s="301">
        <v>4685.28</v>
      </c>
      <c r="H1258" s="304">
        <f>Tabla13[[#This Row],[Importe]]-Tabla13[[#This Row],[Pagado]]</f>
        <v>0</v>
      </c>
      <c r="I1258" s="275" t="s">
        <v>15214</v>
      </c>
    </row>
    <row r="1259" spans="1:9" x14ac:dyDescent="0.25">
      <c r="A1259" s="299">
        <v>42958</v>
      </c>
      <c r="B1259" s="302" t="s">
        <v>25075</v>
      </c>
      <c r="C1259">
        <v>123231</v>
      </c>
      <c r="D1259" s="236" t="s">
        <v>15344</v>
      </c>
      <c r="E1259" s="301">
        <v>3670.1</v>
      </c>
      <c r="F1259" s="303">
        <v>42958</v>
      </c>
      <c r="G1259" s="301">
        <v>3670.1</v>
      </c>
      <c r="H1259" s="304">
        <f>Tabla13[[#This Row],[Importe]]-Tabla13[[#This Row],[Pagado]]</f>
        <v>0</v>
      </c>
      <c r="I1259" s="275" t="s">
        <v>15214</v>
      </c>
    </row>
    <row r="1260" spans="1:9" x14ac:dyDescent="0.25">
      <c r="A1260" s="299">
        <v>42958</v>
      </c>
      <c r="B1260" s="302" t="s">
        <v>25076</v>
      </c>
      <c r="C1260">
        <v>123232</v>
      </c>
      <c r="D1260" s="236" t="s">
        <v>15238</v>
      </c>
      <c r="E1260" s="301">
        <v>6606.2</v>
      </c>
      <c r="F1260" s="303">
        <v>42961</v>
      </c>
      <c r="G1260" s="301">
        <v>6606.2</v>
      </c>
      <c r="H1260" s="304">
        <f>Tabla13[[#This Row],[Importe]]-Tabla13[[#This Row],[Pagado]]</f>
        <v>0</v>
      </c>
      <c r="I1260" s="275" t="s">
        <v>15214</v>
      </c>
    </row>
    <row r="1261" spans="1:9" x14ac:dyDescent="0.25">
      <c r="A1261" s="299">
        <v>42958</v>
      </c>
      <c r="B1261" s="302" t="s">
        <v>25077</v>
      </c>
      <c r="C1261">
        <v>123233</v>
      </c>
      <c r="D1261" s="236" t="s">
        <v>17462</v>
      </c>
      <c r="E1261" s="301">
        <v>7835.7</v>
      </c>
      <c r="F1261" s="303">
        <v>42958</v>
      </c>
      <c r="G1261" s="301">
        <v>7835.7</v>
      </c>
      <c r="H1261" s="304">
        <f>Tabla13[[#This Row],[Importe]]-Tabla13[[#This Row],[Pagado]]</f>
        <v>0</v>
      </c>
      <c r="I1261" s="275" t="s">
        <v>15214</v>
      </c>
    </row>
    <row r="1262" spans="1:9" x14ac:dyDescent="0.25">
      <c r="A1262" s="299">
        <v>42958</v>
      </c>
      <c r="B1262" s="302" t="s">
        <v>25078</v>
      </c>
      <c r="C1262">
        <v>123234</v>
      </c>
      <c r="D1262" s="236" t="s">
        <v>15248</v>
      </c>
      <c r="E1262" s="301">
        <v>26142.3</v>
      </c>
      <c r="F1262" s="303">
        <v>42958</v>
      </c>
      <c r="G1262" s="301">
        <v>26142.3</v>
      </c>
      <c r="H1262" s="304">
        <f>Tabla13[[#This Row],[Importe]]-Tabla13[[#This Row],[Pagado]]</f>
        <v>0</v>
      </c>
      <c r="I1262" s="275" t="s">
        <v>15214</v>
      </c>
    </row>
    <row r="1263" spans="1:9" x14ac:dyDescent="0.25">
      <c r="A1263" s="299">
        <v>42958</v>
      </c>
      <c r="B1263" s="302" t="s">
        <v>25079</v>
      </c>
      <c r="C1263">
        <v>123235</v>
      </c>
      <c r="D1263" s="236" t="s">
        <v>16023</v>
      </c>
      <c r="E1263" s="301">
        <v>2348.3000000000002</v>
      </c>
      <c r="F1263" s="303">
        <v>42958</v>
      </c>
      <c r="G1263" s="301">
        <v>2348.3000000000002</v>
      </c>
      <c r="H1263" s="304">
        <f>Tabla13[[#This Row],[Importe]]-Tabla13[[#This Row],[Pagado]]</f>
        <v>0</v>
      </c>
      <c r="I1263" s="275" t="s">
        <v>15214</v>
      </c>
    </row>
    <row r="1264" spans="1:9" x14ac:dyDescent="0.25">
      <c r="A1264" s="299">
        <v>42958</v>
      </c>
      <c r="B1264" s="302" t="s">
        <v>25080</v>
      </c>
      <c r="C1264">
        <v>123236</v>
      </c>
      <c r="D1264" s="236" t="s">
        <v>15861</v>
      </c>
      <c r="E1264" s="301">
        <v>3535.6</v>
      </c>
      <c r="F1264" s="303">
        <v>42958</v>
      </c>
      <c r="G1264" s="301">
        <v>3535.6</v>
      </c>
      <c r="H1264" s="304">
        <f>Tabla13[[#This Row],[Importe]]-Tabla13[[#This Row],[Pagado]]</f>
        <v>0</v>
      </c>
      <c r="I1264" s="275" t="s">
        <v>15214</v>
      </c>
    </row>
    <row r="1265" spans="1:9" x14ac:dyDescent="0.25">
      <c r="A1265" s="299">
        <v>42958</v>
      </c>
      <c r="B1265" s="302" t="s">
        <v>25081</v>
      </c>
      <c r="C1265">
        <v>123237</v>
      </c>
      <c r="D1265" s="236" t="s">
        <v>16023</v>
      </c>
      <c r="E1265" s="301">
        <v>291.60000000000002</v>
      </c>
      <c r="F1265" s="303">
        <v>42958</v>
      </c>
      <c r="G1265" s="301">
        <v>291.60000000000002</v>
      </c>
      <c r="H1265" s="304">
        <f>Tabla13[[#This Row],[Importe]]-Tabla13[[#This Row],[Pagado]]</f>
        <v>0</v>
      </c>
      <c r="I1265" s="275" t="s">
        <v>15214</v>
      </c>
    </row>
    <row r="1266" spans="1:9" x14ac:dyDescent="0.25">
      <c r="A1266" s="299">
        <v>42958</v>
      </c>
      <c r="B1266" s="302" t="s">
        <v>25082</v>
      </c>
      <c r="C1266">
        <v>123238</v>
      </c>
      <c r="D1266" s="236" t="s">
        <v>15358</v>
      </c>
      <c r="E1266" s="301">
        <v>2497.8000000000002</v>
      </c>
      <c r="F1266" s="303">
        <v>42958</v>
      </c>
      <c r="G1266" s="301">
        <v>2497.8000000000002</v>
      </c>
      <c r="H1266" s="304">
        <f>Tabla13[[#This Row],[Importe]]-Tabla13[[#This Row],[Pagado]]</f>
        <v>0</v>
      </c>
      <c r="I1266" s="275" t="s">
        <v>15214</v>
      </c>
    </row>
    <row r="1267" spans="1:9" x14ac:dyDescent="0.25">
      <c r="A1267" s="299">
        <v>42958</v>
      </c>
      <c r="B1267" s="302" t="s">
        <v>25083</v>
      </c>
      <c r="C1267">
        <v>123239</v>
      </c>
      <c r="D1267" s="236" t="s">
        <v>15336</v>
      </c>
      <c r="E1267" s="301">
        <v>8015</v>
      </c>
      <c r="F1267" s="303">
        <v>42958</v>
      </c>
      <c r="G1267" s="301">
        <v>8015</v>
      </c>
      <c r="H1267" s="304">
        <f>Tabla13[[#This Row],[Importe]]-Tabla13[[#This Row],[Pagado]]</f>
        <v>0</v>
      </c>
      <c r="I1267" s="275" t="s">
        <v>15214</v>
      </c>
    </row>
    <row r="1268" spans="1:9" x14ac:dyDescent="0.25">
      <c r="A1268" s="299">
        <v>42958</v>
      </c>
      <c r="B1268" s="302" t="s">
        <v>25084</v>
      </c>
      <c r="C1268">
        <v>123240</v>
      </c>
      <c r="D1268" s="236" t="s">
        <v>15232</v>
      </c>
      <c r="E1268" s="301">
        <v>4996.7</v>
      </c>
      <c r="F1268" s="303">
        <v>42964</v>
      </c>
      <c r="G1268" s="301">
        <v>4996.7</v>
      </c>
      <c r="H1268" s="304">
        <f>Tabla13[[#This Row],[Importe]]-Tabla13[[#This Row],[Pagado]]</f>
        <v>0</v>
      </c>
      <c r="I1268" s="275" t="s">
        <v>15214</v>
      </c>
    </row>
    <row r="1269" spans="1:9" x14ac:dyDescent="0.25">
      <c r="A1269" s="299">
        <v>42958</v>
      </c>
      <c r="B1269" s="302" t="s">
        <v>25085</v>
      </c>
      <c r="C1269">
        <v>123241</v>
      </c>
      <c r="D1269" s="236" t="s">
        <v>15526</v>
      </c>
      <c r="E1269" s="301">
        <v>3464.3</v>
      </c>
      <c r="F1269" s="303">
        <v>42958</v>
      </c>
      <c r="G1269" s="301">
        <v>3464.3</v>
      </c>
      <c r="H1269" s="304">
        <f>Tabla13[[#This Row],[Importe]]-Tabla13[[#This Row],[Pagado]]</f>
        <v>0</v>
      </c>
      <c r="I1269" s="275" t="s">
        <v>15214</v>
      </c>
    </row>
    <row r="1270" spans="1:9" x14ac:dyDescent="0.25">
      <c r="A1270" s="299">
        <v>42958</v>
      </c>
      <c r="B1270" s="302" t="s">
        <v>25086</v>
      </c>
      <c r="C1270">
        <v>123242</v>
      </c>
      <c r="D1270" s="236" t="s">
        <v>15577</v>
      </c>
      <c r="E1270" s="301">
        <v>504</v>
      </c>
      <c r="F1270" s="303">
        <v>42958</v>
      </c>
      <c r="G1270" s="301">
        <v>504</v>
      </c>
      <c r="H1270" s="304">
        <f>Tabla13[[#This Row],[Importe]]-Tabla13[[#This Row],[Pagado]]</f>
        <v>0</v>
      </c>
      <c r="I1270" s="275" t="s">
        <v>15214</v>
      </c>
    </row>
    <row r="1271" spans="1:9" x14ac:dyDescent="0.25">
      <c r="A1271" s="299">
        <v>42958</v>
      </c>
      <c r="B1271" s="302" t="s">
        <v>25087</v>
      </c>
      <c r="C1271">
        <v>123243</v>
      </c>
      <c r="D1271" s="236" t="s">
        <v>15332</v>
      </c>
      <c r="E1271" s="301">
        <v>3736.8</v>
      </c>
      <c r="F1271" s="303">
        <v>42958</v>
      </c>
      <c r="G1271" s="301">
        <v>3736.8</v>
      </c>
      <c r="H1271" s="304">
        <f>Tabla13[[#This Row],[Importe]]-Tabla13[[#This Row],[Pagado]]</f>
        <v>0</v>
      </c>
      <c r="I1271" s="275" t="s">
        <v>15214</v>
      </c>
    </row>
    <row r="1272" spans="1:9" x14ac:dyDescent="0.25">
      <c r="A1272" s="299">
        <v>42958</v>
      </c>
      <c r="B1272" s="302" t="s">
        <v>25088</v>
      </c>
      <c r="C1272">
        <v>123244</v>
      </c>
      <c r="D1272" s="236" t="s">
        <v>15714</v>
      </c>
      <c r="E1272" s="301">
        <v>390</v>
      </c>
      <c r="F1272" s="303">
        <v>42958</v>
      </c>
      <c r="G1272" s="301">
        <v>390</v>
      </c>
      <c r="H1272" s="304">
        <f>Tabla13[[#This Row],[Importe]]-Tabla13[[#This Row],[Pagado]]</f>
        <v>0</v>
      </c>
      <c r="I1272" s="275" t="s">
        <v>15214</v>
      </c>
    </row>
    <row r="1273" spans="1:9" x14ac:dyDescent="0.25">
      <c r="A1273" s="299">
        <v>42958</v>
      </c>
      <c r="B1273" s="302" t="s">
        <v>25089</v>
      </c>
      <c r="C1273">
        <v>123245</v>
      </c>
      <c r="D1273" s="236" t="s">
        <v>15417</v>
      </c>
      <c r="E1273" s="301">
        <v>1706.6</v>
      </c>
      <c r="F1273" s="303">
        <v>42958</v>
      </c>
      <c r="G1273" s="301">
        <v>1706.6</v>
      </c>
      <c r="H1273" s="304">
        <f>Tabla13[[#This Row],[Importe]]-Tabla13[[#This Row],[Pagado]]</f>
        <v>0</v>
      </c>
      <c r="I1273" s="275" t="s">
        <v>15214</v>
      </c>
    </row>
    <row r="1274" spans="1:9" x14ac:dyDescent="0.25">
      <c r="A1274" s="299">
        <v>42958</v>
      </c>
      <c r="B1274" s="302" t="s">
        <v>25090</v>
      </c>
      <c r="C1274">
        <v>123246</v>
      </c>
      <c r="D1274" s="236" t="s">
        <v>15291</v>
      </c>
      <c r="E1274" s="301">
        <v>954.1</v>
      </c>
      <c r="F1274" s="303">
        <v>42958</v>
      </c>
      <c r="G1274" s="301">
        <v>954.1</v>
      </c>
      <c r="H1274" s="304">
        <f>Tabla13[[#This Row],[Importe]]-Tabla13[[#This Row],[Pagado]]</f>
        <v>0</v>
      </c>
      <c r="I1274" s="275" t="s">
        <v>15214</v>
      </c>
    </row>
    <row r="1275" spans="1:9" x14ac:dyDescent="0.25">
      <c r="A1275" s="299">
        <v>42958</v>
      </c>
      <c r="B1275" s="302" t="s">
        <v>25091</v>
      </c>
      <c r="C1275">
        <v>123247</v>
      </c>
      <c r="D1275" s="236" t="s">
        <v>18258</v>
      </c>
      <c r="E1275" s="301">
        <v>4165</v>
      </c>
      <c r="F1275" s="303">
        <v>42958</v>
      </c>
      <c r="G1275" s="301">
        <v>4165</v>
      </c>
      <c r="H1275" s="304">
        <f>Tabla13[[#This Row],[Importe]]-Tabla13[[#This Row],[Pagado]]</f>
        <v>0</v>
      </c>
      <c r="I1275" s="275" t="s">
        <v>15214</v>
      </c>
    </row>
    <row r="1276" spans="1:9" x14ac:dyDescent="0.25">
      <c r="A1276" s="299">
        <v>42958</v>
      </c>
      <c r="B1276" s="302" t="s">
        <v>25092</v>
      </c>
      <c r="C1276">
        <v>123248</v>
      </c>
      <c r="D1276" s="236" t="s">
        <v>17057</v>
      </c>
      <c r="E1276" s="301">
        <v>1866.6</v>
      </c>
      <c r="F1276" s="303">
        <v>42958</v>
      </c>
      <c r="G1276" s="301">
        <v>1866.6</v>
      </c>
      <c r="H1276" s="304">
        <f>Tabla13[[#This Row],[Importe]]-Tabla13[[#This Row],[Pagado]]</f>
        <v>0</v>
      </c>
      <c r="I1276" s="275" t="s">
        <v>15214</v>
      </c>
    </row>
    <row r="1277" spans="1:9" x14ac:dyDescent="0.25">
      <c r="A1277" s="299">
        <v>42958</v>
      </c>
      <c r="B1277" s="302" t="s">
        <v>25093</v>
      </c>
      <c r="C1277">
        <v>123249</v>
      </c>
      <c r="D1277" s="236" t="s">
        <v>23137</v>
      </c>
      <c r="E1277" s="301">
        <v>3793.2</v>
      </c>
      <c r="F1277" s="303">
        <v>42959</v>
      </c>
      <c r="G1277" s="301">
        <v>3793.2</v>
      </c>
      <c r="H1277" s="304">
        <f>Tabla13[[#This Row],[Importe]]-Tabla13[[#This Row],[Pagado]]</f>
        <v>0</v>
      </c>
      <c r="I1277" s="275" t="s">
        <v>15214</v>
      </c>
    </row>
    <row r="1278" spans="1:9" x14ac:dyDescent="0.25">
      <c r="A1278" s="299">
        <v>42958</v>
      </c>
      <c r="B1278" s="302" t="s">
        <v>25094</v>
      </c>
      <c r="C1278">
        <v>123250</v>
      </c>
      <c r="D1278" s="236" t="s">
        <v>15320</v>
      </c>
      <c r="E1278" s="301">
        <v>3681</v>
      </c>
      <c r="F1278" s="303">
        <v>42958</v>
      </c>
      <c r="G1278" s="301">
        <v>3681</v>
      </c>
      <c r="H1278" s="304">
        <f>Tabla13[[#This Row],[Importe]]-Tabla13[[#This Row],[Pagado]]</f>
        <v>0</v>
      </c>
      <c r="I1278" s="275" t="s">
        <v>15214</v>
      </c>
    </row>
    <row r="1279" spans="1:9" x14ac:dyDescent="0.25">
      <c r="A1279" s="299">
        <v>42958</v>
      </c>
      <c r="B1279" s="302" t="s">
        <v>25095</v>
      </c>
      <c r="C1279">
        <v>123251</v>
      </c>
      <c r="D1279" s="236" t="s">
        <v>15587</v>
      </c>
      <c r="E1279" s="301">
        <v>882</v>
      </c>
      <c r="F1279" s="303">
        <v>42958</v>
      </c>
      <c r="G1279" s="301">
        <v>882</v>
      </c>
      <c r="H1279" s="304">
        <f>Tabla13[[#This Row],[Importe]]-Tabla13[[#This Row],[Pagado]]</f>
        <v>0</v>
      </c>
      <c r="I1279" s="275" t="s">
        <v>15214</v>
      </c>
    </row>
    <row r="1280" spans="1:9" x14ac:dyDescent="0.25">
      <c r="A1280" s="299">
        <v>42958</v>
      </c>
      <c r="B1280" s="302" t="s">
        <v>25096</v>
      </c>
      <c r="C1280">
        <v>123252</v>
      </c>
      <c r="D1280" s="236" t="s">
        <v>15587</v>
      </c>
      <c r="E1280" s="301">
        <v>46</v>
      </c>
      <c r="F1280" s="303">
        <v>42958</v>
      </c>
      <c r="G1280" s="301">
        <v>46</v>
      </c>
      <c r="H1280" s="304">
        <f>Tabla13[[#This Row],[Importe]]-Tabla13[[#This Row],[Pagado]]</f>
        <v>0</v>
      </c>
      <c r="I1280" s="275" t="s">
        <v>15214</v>
      </c>
    </row>
    <row r="1281" spans="1:9" x14ac:dyDescent="0.25">
      <c r="A1281" s="299">
        <v>42958</v>
      </c>
      <c r="B1281" s="302" t="s">
        <v>25097</v>
      </c>
      <c r="C1281">
        <v>123253</v>
      </c>
      <c r="D1281" s="236" t="s">
        <v>15415</v>
      </c>
      <c r="E1281" s="301">
        <v>2409.1999999999998</v>
      </c>
      <c r="F1281" s="303">
        <v>42962</v>
      </c>
      <c r="G1281" s="301">
        <v>2409.1999999999998</v>
      </c>
      <c r="H1281" s="304">
        <f>Tabla13[[#This Row],[Importe]]-Tabla13[[#This Row],[Pagado]]</f>
        <v>0</v>
      </c>
      <c r="I1281" s="275" t="s">
        <v>15214</v>
      </c>
    </row>
    <row r="1282" spans="1:9" x14ac:dyDescent="0.25">
      <c r="A1282" s="299">
        <v>42958</v>
      </c>
      <c r="B1282" s="302" t="s">
        <v>25098</v>
      </c>
      <c r="C1282">
        <v>123254</v>
      </c>
      <c r="D1282" s="236" t="s">
        <v>15324</v>
      </c>
      <c r="E1282" s="301">
        <v>3405</v>
      </c>
      <c r="F1282" s="303">
        <v>42958</v>
      </c>
      <c r="G1282" s="301">
        <v>3405</v>
      </c>
      <c r="H1282" s="304">
        <f>Tabla13[[#This Row],[Importe]]-Tabla13[[#This Row],[Pagado]]</f>
        <v>0</v>
      </c>
      <c r="I1282" s="275" t="s">
        <v>15214</v>
      </c>
    </row>
    <row r="1283" spans="1:9" x14ac:dyDescent="0.25">
      <c r="A1283" s="299">
        <v>42958</v>
      </c>
      <c r="B1283" s="302" t="s">
        <v>25099</v>
      </c>
      <c r="C1283">
        <v>123255</v>
      </c>
      <c r="D1283" s="236" t="s">
        <v>15252</v>
      </c>
      <c r="E1283" s="301">
        <v>1197.7</v>
      </c>
      <c r="F1283" s="303">
        <v>42963</v>
      </c>
      <c r="G1283" s="301">
        <v>1197.7</v>
      </c>
      <c r="H1283" s="304">
        <f>Tabla13[[#This Row],[Importe]]-Tabla13[[#This Row],[Pagado]]</f>
        <v>0</v>
      </c>
      <c r="I1283" s="275" t="s">
        <v>15214</v>
      </c>
    </row>
    <row r="1284" spans="1:9" ht="15.75" x14ac:dyDescent="0.25">
      <c r="A1284" s="299">
        <v>42958</v>
      </c>
      <c r="B1284" s="302" t="s">
        <v>25100</v>
      </c>
      <c r="C1284">
        <v>123256</v>
      </c>
      <c r="D1284" s="248" t="s">
        <v>95</v>
      </c>
      <c r="E1284" s="301">
        <v>0</v>
      </c>
      <c r="F1284" s="243" t="s">
        <v>95</v>
      </c>
      <c r="G1284" s="301">
        <v>0</v>
      </c>
      <c r="H1284" s="304">
        <f>Tabla13[[#This Row],[Importe]]-Tabla13[[#This Row],[Pagado]]</f>
        <v>0</v>
      </c>
      <c r="I1284" s="275" t="s">
        <v>95</v>
      </c>
    </row>
    <row r="1285" spans="1:9" ht="15.75" x14ac:dyDescent="0.25">
      <c r="A1285" s="299">
        <v>42958</v>
      </c>
      <c r="B1285" s="302" t="s">
        <v>25101</v>
      </c>
      <c r="C1285">
        <v>123257</v>
      </c>
      <c r="D1285" s="248" t="s">
        <v>95</v>
      </c>
      <c r="E1285" s="301">
        <v>0</v>
      </c>
      <c r="F1285" s="243" t="s">
        <v>95</v>
      </c>
      <c r="G1285" s="301">
        <v>0</v>
      </c>
      <c r="H1285" s="304">
        <f>Tabla13[[#This Row],[Importe]]-Tabla13[[#This Row],[Pagado]]</f>
        <v>0</v>
      </c>
      <c r="I1285" s="275" t="s">
        <v>95</v>
      </c>
    </row>
    <row r="1286" spans="1:9" x14ac:dyDescent="0.25">
      <c r="A1286" s="299">
        <v>42958</v>
      </c>
      <c r="B1286" s="302" t="s">
        <v>25102</v>
      </c>
      <c r="C1286">
        <v>123258</v>
      </c>
      <c r="D1286" s="236" t="s">
        <v>15263</v>
      </c>
      <c r="E1286" s="301">
        <v>1386.8</v>
      </c>
      <c r="F1286" s="303">
        <v>42958</v>
      </c>
      <c r="G1286" s="301">
        <v>1386.8</v>
      </c>
      <c r="H1286" s="304">
        <f>Tabla13[[#This Row],[Importe]]-Tabla13[[#This Row],[Pagado]]</f>
        <v>0</v>
      </c>
      <c r="I1286" s="275" t="s">
        <v>15214</v>
      </c>
    </row>
    <row r="1287" spans="1:9" x14ac:dyDescent="0.25">
      <c r="A1287" s="299">
        <v>42958</v>
      </c>
      <c r="B1287" s="302" t="s">
        <v>25103</v>
      </c>
      <c r="C1287">
        <v>123259</v>
      </c>
      <c r="D1287" s="236" t="s">
        <v>15309</v>
      </c>
      <c r="E1287" s="301">
        <v>10209</v>
      </c>
      <c r="F1287" s="303">
        <v>42961</v>
      </c>
      <c r="G1287" s="301">
        <v>10209</v>
      </c>
      <c r="H1287" s="304">
        <f>Tabla13[[#This Row],[Importe]]-Tabla13[[#This Row],[Pagado]]</f>
        <v>0</v>
      </c>
      <c r="I1287" s="275" t="s">
        <v>15214</v>
      </c>
    </row>
    <row r="1288" spans="1:9" x14ac:dyDescent="0.25">
      <c r="A1288" s="299">
        <v>42958</v>
      </c>
      <c r="B1288" s="302" t="s">
        <v>25104</v>
      </c>
      <c r="C1288">
        <v>123260</v>
      </c>
      <c r="D1288" s="236" t="s">
        <v>17235</v>
      </c>
      <c r="E1288" s="301">
        <v>1396.5</v>
      </c>
      <c r="F1288" s="303">
        <v>42958</v>
      </c>
      <c r="G1288" s="301">
        <v>1396.5</v>
      </c>
      <c r="H1288" s="304">
        <f>Tabla13[[#This Row],[Importe]]-Tabla13[[#This Row],[Pagado]]</f>
        <v>0</v>
      </c>
      <c r="I1288" s="275" t="s">
        <v>15214</v>
      </c>
    </row>
    <row r="1289" spans="1:9" x14ac:dyDescent="0.25">
      <c r="A1289" s="299">
        <v>42958</v>
      </c>
      <c r="B1289" s="302" t="s">
        <v>25105</v>
      </c>
      <c r="C1289">
        <v>123261</v>
      </c>
      <c r="D1289" s="236" t="s">
        <v>15317</v>
      </c>
      <c r="E1289" s="301">
        <v>3608.3</v>
      </c>
      <c r="F1289" s="303">
        <v>42961</v>
      </c>
      <c r="G1289" s="301">
        <v>3608.3</v>
      </c>
      <c r="H1289" s="304">
        <f>Tabla13[[#This Row],[Importe]]-Tabla13[[#This Row],[Pagado]]</f>
        <v>0</v>
      </c>
      <c r="I1289" s="275" t="s">
        <v>15214</v>
      </c>
    </row>
    <row r="1290" spans="1:9" ht="30" x14ac:dyDescent="0.25">
      <c r="A1290" s="299">
        <v>42958</v>
      </c>
      <c r="B1290" s="302" t="s">
        <v>25106</v>
      </c>
      <c r="C1290">
        <v>123262</v>
      </c>
      <c r="D1290" s="236" t="s">
        <v>15590</v>
      </c>
      <c r="E1290" s="301">
        <v>31985.5</v>
      </c>
      <c r="F1290" s="303" t="s">
        <v>25107</v>
      </c>
      <c r="G1290" s="305">
        <f>27940.89+4044.61</f>
        <v>31985.5</v>
      </c>
      <c r="H1290" s="304">
        <f>Tabla13[[#This Row],[Importe]]-Tabla13[[#This Row],[Pagado]]</f>
        <v>0</v>
      </c>
      <c r="I1290" s="275" t="s">
        <v>15214</v>
      </c>
    </row>
    <row r="1291" spans="1:9" x14ac:dyDescent="0.25">
      <c r="A1291" s="299">
        <v>42958</v>
      </c>
      <c r="B1291" s="302" t="s">
        <v>25108</v>
      </c>
      <c r="C1291">
        <v>123263</v>
      </c>
      <c r="D1291" s="236" t="s">
        <v>16064</v>
      </c>
      <c r="E1291" s="301">
        <v>4358.8</v>
      </c>
      <c r="F1291" s="303">
        <v>42958</v>
      </c>
      <c r="G1291" s="301">
        <v>4358.8</v>
      </c>
      <c r="H1291" s="304">
        <f>Tabla13[[#This Row],[Importe]]-Tabla13[[#This Row],[Pagado]]</f>
        <v>0</v>
      </c>
      <c r="I1291" s="275" t="s">
        <v>15214</v>
      </c>
    </row>
    <row r="1292" spans="1:9" x14ac:dyDescent="0.25">
      <c r="A1292" s="299">
        <v>42958</v>
      </c>
      <c r="B1292" s="302" t="s">
        <v>25109</v>
      </c>
      <c r="C1292">
        <v>123264</v>
      </c>
      <c r="D1292" s="236" t="s">
        <v>15748</v>
      </c>
      <c r="E1292" s="301">
        <v>2262.6</v>
      </c>
      <c r="F1292" s="303">
        <v>42963</v>
      </c>
      <c r="G1292" s="301">
        <v>2262.6</v>
      </c>
      <c r="H1292" s="304">
        <f>Tabla13[[#This Row],[Importe]]-Tabla13[[#This Row],[Pagado]]</f>
        <v>0</v>
      </c>
      <c r="I1292" s="275" t="s">
        <v>15214</v>
      </c>
    </row>
    <row r="1293" spans="1:9" x14ac:dyDescent="0.25">
      <c r="A1293" s="299">
        <v>42958</v>
      </c>
      <c r="B1293" s="302" t="s">
        <v>25110</v>
      </c>
      <c r="C1293">
        <v>123265</v>
      </c>
      <c r="D1293" s="236" t="s">
        <v>15301</v>
      </c>
      <c r="E1293" s="301">
        <v>3562</v>
      </c>
      <c r="F1293" s="303">
        <v>42958</v>
      </c>
      <c r="G1293" s="301">
        <v>3562</v>
      </c>
      <c r="H1293" s="304">
        <f>Tabla13[[#This Row],[Importe]]-Tabla13[[#This Row],[Pagado]]</f>
        <v>0</v>
      </c>
      <c r="I1293" s="275" t="s">
        <v>15214</v>
      </c>
    </row>
    <row r="1294" spans="1:9" x14ac:dyDescent="0.25">
      <c r="A1294" s="299">
        <v>42958</v>
      </c>
      <c r="B1294" s="302" t="s">
        <v>25111</v>
      </c>
      <c r="C1294">
        <v>123266</v>
      </c>
      <c r="D1294" s="236" t="s">
        <v>16277</v>
      </c>
      <c r="E1294" s="301">
        <v>547.5</v>
      </c>
      <c r="F1294" s="303">
        <v>42958</v>
      </c>
      <c r="G1294" s="301">
        <v>547.5</v>
      </c>
      <c r="H1294" s="304">
        <f>Tabla13[[#This Row],[Importe]]-Tabla13[[#This Row],[Pagado]]</f>
        <v>0</v>
      </c>
      <c r="I1294" s="275" t="s">
        <v>15214</v>
      </c>
    </row>
    <row r="1295" spans="1:9" x14ac:dyDescent="0.25">
      <c r="A1295" s="299">
        <v>42958</v>
      </c>
      <c r="B1295" s="302" t="s">
        <v>25112</v>
      </c>
      <c r="C1295">
        <v>123267</v>
      </c>
      <c r="D1295" s="236" t="s">
        <v>15276</v>
      </c>
      <c r="E1295" s="301">
        <v>4700</v>
      </c>
      <c r="F1295" s="303">
        <v>42958</v>
      </c>
      <c r="G1295" s="301">
        <v>4700</v>
      </c>
      <c r="H1295" s="304">
        <f>Tabla13[[#This Row],[Importe]]-Tabla13[[#This Row],[Pagado]]</f>
        <v>0</v>
      </c>
      <c r="I1295" s="275" t="s">
        <v>15214</v>
      </c>
    </row>
    <row r="1296" spans="1:9" x14ac:dyDescent="0.25">
      <c r="A1296" s="299">
        <v>42958</v>
      </c>
      <c r="B1296" s="302" t="s">
        <v>25113</v>
      </c>
      <c r="C1296">
        <v>123268</v>
      </c>
      <c r="D1296" s="236" t="s">
        <v>15541</v>
      </c>
      <c r="E1296" s="301">
        <v>1748</v>
      </c>
      <c r="F1296" s="303">
        <v>42959</v>
      </c>
      <c r="G1296" s="301">
        <v>1748</v>
      </c>
      <c r="H1296" s="304">
        <f>Tabla13[[#This Row],[Importe]]-Tabla13[[#This Row],[Pagado]]</f>
        <v>0</v>
      </c>
      <c r="I1296" s="275" t="s">
        <v>15214</v>
      </c>
    </row>
    <row r="1297" spans="1:9" x14ac:dyDescent="0.25">
      <c r="A1297" s="299">
        <v>42958</v>
      </c>
      <c r="B1297" s="302" t="s">
        <v>25114</v>
      </c>
      <c r="C1297">
        <v>123269</v>
      </c>
      <c r="D1297" s="236" t="s">
        <v>15280</v>
      </c>
      <c r="E1297" s="301">
        <v>6207.8</v>
      </c>
      <c r="F1297" s="303">
        <v>42958</v>
      </c>
      <c r="G1297" s="301">
        <v>6207.8</v>
      </c>
      <c r="H1297" s="304">
        <f>Tabla13[[#This Row],[Importe]]-Tabla13[[#This Row],[Pagado]]</f>
        <v>0</v>
      </c>
      <c r="I1297" s="275" t="s">
        <v>15214</v>
      </c>
    </row>
    <row r="1298" spans="1:9" x14ac:dyDescent="0.25">
      <c r="A1298" s="299">
        <v>42958</v>
      </c>
      <c r="B1298" s="302" t="s">
        <v>25115</v>
      </c>
      <c r="C1298">
        <v>123270</v>
      </c>
      <c r="D1298" s="236" t="s">
        <v>15278</v>
      </c>
      <c r="E1298" s="301">
        <v>7486.9</v>
      </c>
      <c r="F1298" s="303">
        <v>42958</v>
      </c>
      <c r="G1298" s="301">
        <v>7486.9</v>
      </c>
      <c r="H1298" s="304">
        <f>Tabla13[[#This Row],[Importe]]-Tabla13[[#This Row],[Pagado]]</f>
        <v>0</v>
      </c>
      <c r="I1298" s="275" t="s">
        <v>15214</v>
      </c>
    </row>
    <row r="1299" spans="1:9" x14ac:dyDescent="0.25">
      <c r="A1299" s="299">
        <v>42958</v>
      </c>
      <c r="B1299" s="302" t="s">
        <v>25116</v>
      </c>
      <c r="C1299">
        <v>123271</v>
      </c>
      <c r="D1299" s="236" t="s">
        <v>15537</v>
      </c>
      <c r="E1299" s="301">
        <v>16172.55</v>
      </c>
      <c r="F1299" s="303">
        <v>42964</v>
      </c>
      <c r="G1299" s="301">
        <v>16172.55</v>
      </c>
      <c r="H1299" s="304">
        <f>Tabla13[[#This Row],[Importe]]-Tabla13[[#This Row],[Pagado]]</f>
        <v>0</v>
      </c>
      <c r="I1299" s="275" t="s">
        <v>15214</v>
      </c>
    </row>
    <row r="1300" spans="1:9" x14ac:dyDescent="0.25">
      <c r="A1300" s="299">
        <v>42958</v>
      </c>
      <c r="B1300" s="302" t="s">
        <v>25117</v>
      </c>
      <c r="C1300">
        <v>123272</v>
      </c>
      <c r="D1300" s="236" t="s">
        <v>15539</v>
      </c>
      <c r="E1300" s="301">
        <v>16857.3</v>
      </c>
      <c r="F1300" s="303">
        <v>42964</v>
      </c>
      <c r="G1300" s="301">
        <v>16857.3</v>
      </c>
      <c r="H1300" s="304">
        <f>Tabla13[[#This Row],[Importe]]-Tabla13[[#This Row],[Pagado]]</f>
        <v>0</v>
      </c>
      <c r="I1300" s="275" t="s">
        <v>15214</v>
      </c>
    </row>
    <row r="1301" spans="1:9" x14ac:dyDescent="0.25">
      <c r="A1301" s="299">
        <v>42958</v>
      </c>
      <c r="B1301" s="302" t="s">
        <v>25118</v>
      </c>
      <c r="C1301">
        <v>123273</v>
      </c>
      <c r="D1301" s="236" t="s">
        <v>15315</v>
      </c>
      <c r="E1301" s="301">
        <v>38909.35</v>
      </c>
      <c r="F1301" s="303">
        <v>42964</v>
      </c>
      <c r="G1301" s="301">
        <v>38909.35</v>
      </c>
      <c r="H1301" s="304">
        <f>Tabla13[[#This Row],[Importe]]-Tabla13[[#This Row],[Pagado]]</f>
        <v>0</v>
      </c>
      <c r="I1301" s="275" t="s">
        <v>15214</v>
      </c>
    </row>
    <row r="1302" spans="1:9" x14ac:dyDescent="0.25">
      <c r="A1302" s="299">
        <v>42958</v>
      </c>
      <c r="B1302" s="302" t="s">
        <v>25119</v>
      </c>
      <c r="C1302">
        <v>123274</v>
      </c>
      <c r="D1302" s="236" t="s">
        <v>15544</v>
      </c>
      <c r="E1302" s="301">
        <v>3918.45</v>
      </c>
      <c r="F1302" s="303">
        <v>42964</v>
      </c>
      <c r="G1302" s="301">
        <v>3918.45</v>
      </c>
      <c r="H1302" s="304">
        <f>Tabla13[[#This Row],[Importe]]-Tabla13[[#This Row],[Pagado]]</f>
        <v>0</v>
      </c>
      <c r="I1302" s="275" t="s">
        <v>15214</v>
      </c>
    </row>
    <row r="1303" spans="1:9" x14ac:dyDescent="0.25">
      <c r="A1303" s="299">
        <v>42958</v>
      </c>
      <c r="B1303" s="302" t="s">
        <v>25120</v>
      </c>
      <c r="C1303">
        <v>123275</v>
      </c>
      <c r="D1303" s="236" t="s">
        <v>16040</v>
      </c>
      <c r="E1303" s="301">
        <v>11606</v>
      </c>
      <c r="F1303" s="303">
        <v>42964</v>
      </c>
      <c r="G1303" s="301">
        <v>11606</v>
      </c>
      <c r="H1303" s="304">
        <f>Tabla13[[#This Row],[Importe]]-Tabla13[[#This Row],[Pagado]]</f>
        <v>0</v>
      </c>
      <c r="I1303" s="275" t="s">
        <v>15214</v>
      </c>
    </row>
    <row r="1304" spans="1:9" x14ac:dyDescent="0.25">
      <c r="A1304" s="299">
        <v>42958</v>
      </c>
      <c r="B1304" s="302" t="s">
        <v>25121</v>
      </c>
      <c r="C1304">
        <v>123276</v>
      </c>
      <c r="D1304" s="236" t="s">
        <v>15555</v>
      </c>
      <c r="E1304" s="301">
        <v>5265.6</v>
      </c>
      <c r="F1304" s="303">
        <v>42973</v>
      </c>
      <c r="G1304" s="301">
        <v>5265.6</v>
      </c>
      <c r="H1304" s="304">
        <f>Tabla13[[#This Row],[Importe]]-Tabla13[[#This Row],[Pagado]]</f>
        <v>0</v>
      </c>
      <c r="I1304" s="275" t="s">
        <v>15214</v>
      </c>
    </row>
    <row r="1305" spans="1:9" x14ac:dyDescent="0.25">
      <c r="A1305" s="299">
        <v>42958</v>
      </c>
      <c r="B1305" s="302" t="s">
        <v>25122</v>
      </c>
      <c r="C1305">
        <v>123277</v>
      </c>
      <c r="D1305" s="236" t="s">
        <v>15394</v>
      </c>
      <c r="E1305" s="301">
        <v>14440</v>
      </c>
      <c r="F1305" s="303">
        <v>42964</v>
      </c>
      <c r="G1305" s="301">
        <v>14440</v>
      </c>
      <c r="H1305" s="304">
        <f>Tabla13[[#This Row],[Importe]]-Tabla13[[#This Row],[Pagado]]</f>
        <v>0</v>
      </c>
      <c r="I1305" s="275" t="s">
        <v>15214</v>
      </c>
    </row>
    <row r="1306" spans="1:9" x14ac:dyDescent="0.25">
      <c r="A1306" s="299">
        <v>42958</v>
      </c>
      <c r="B1306" s="302" t="s">
        <v>25123</v>
      </c>
      <c r="C1306">
        <v>123278</v>
      </c>
      <c r="D1306" s="236" t="s">
        <v>15378</v>
      </c>
      <c r="E1306" s="301">
        <v>1854.6</v>
      </c>
      <c r="F1306" s="303">
        <v>42958</v>
      </c>
      <c r="G1306" s="301">
        <v>1854.6</v>
      </c>
      <c r="H1306" s="304">
        <f>Tabla13[[#This Row],[Importe]]-Tabla13[[#This Row],[Pagado]]</f>
        <v>0</v>
      </c>
      <c r="I1306" s="275" t="s">
        <v>15214</v>
      </c>
    </row>
    <row r="1307" spans="1:9" x14ac:dyDescent="0.25">
      <c r="A1307" s="299">
        <v>42958</v>
      </c>
      <c r="B1307" s="302" t="s">
        <v>25124</v>
      </c>
      <c r="C1307">
        <v>123279</v>
      </c>
      <c r="D1307" s="236" t="s">
        <v>19768</v>
      </c>
      <c r="E1307" s="301">
        <v>1630</v>
      </c>
      <c r="F1307" s="303">
        <v>42958</v>
      </c>
      <c r="G1307" s="301">
        <v>1630</v>
      </c>
      <c r="H1307" s="304">
        <f>Tabla13[[#This Row],[Importe]]-Tabla13[[#This Row],[Pagado]]</f>
        <v>0</v>
      </c>
      <c r="I1307" s="275" t="s">
        <v>15214</v>
      </c>
    </row>
    <row r="1308" spans="1:9" x14ac:dyDescent="0.25">
      <c r="A1308" s="299">
        <v>42958</v>
      </c>
      <c r="B1308" s="302" t="s">
        <v>25125</v>
      </c>
      <c r="C1308">
        <v>123280</v>
      </c>
      <c r="D1308" s="236" t="s">
        <v>15315</v>
      </c>
      <c r="E1308" s="301">
        <v>9677</v>
      </c>
      <c r="F1308" s="303">
        <v>42964</v>
      </c>
      <c r="G1308" s="301">
        <v>9677</v>
      </c>
      <c r="H1308" s="304">
        <f>Tabla13[[#This Row],[Importe]]-Tabla13[[#This Row],[Pagado]]</f>
        <v>0</v>
      </c>
      <c r="I1308" s="275" t="s">
        <v>15214</v>
      </c>
    </row>
    <row r="1309" spans="1:9" ht="30" x14ac:dyDescent="0.25">
      <c r="A1309" s="299">
        <v>42958</v>
      </c>
      <c r="B1309" s="302" t="s">
        <v>25126</v>
      </c>
      <c r="C1309">
        <v>123281</v>
      </c>
      <c r="D1309" s="236" t="s">
        <v>15373</v>
      </c>
      <c r="E1309" s="301">
        <v>15422.8</v>
      </c>
      <c r="F1309" s="303" t="s">
        <v>25127</v>
      </c>
      <c r="G1309" s="305">
        <f>665+14757.8</f>
        <v>15422.8</v>
      </c>
      <c r="H1309" s="304">
        <f>Tabla13[[#This Row],[Importe]]-Tabla13[[#This Row],[Pagado]]</f>
        <v>0</v>
      </c>
      <c r="I1309" s="275" t="s">
        <v>15214</v>
      </c>
    </row>
    <row r="1310" spans="1:9" x14ac:dyDescent="0.25">
      <c r="A1310" s="299">
        <v>42958</v>
      </c>
      <c r="B1310" s="302" t="s">
        <v>25128</v>
      </c>
      <c r="C1310">
        <v>123282</v>
      </c>
      <c r="D1310" s="236" t="s">
        <v>15315</v>
      </c>
      <c r="E1310" s="301">
        <v>500.8</v>
      </c>
      <c r="F1310" s="303">
        <v>42958</v>
      </c>
      <c r="G1310" s="301">
        <v>500.8</v>
      </c>
      <c r="H1310" s="304">
        <f>Tabla13[[#This Row],[Importe]]-Tabla13[[#This Row],[Pagado]]</f>
        <v>0</v>
      </c>
      <c r="I1310" s="275" t="s">
        <v>15214</v>
      </c>
    </row>
    <row r="1311" spans="1:9" x14ac:dyDescent="0.25">
      <c r="A1311" s="299">
        <v>42958</v>
      </c>
      <c r="B1311" s="302" t="s">
        <v>25129</v>
      </c>
      <c r="C1311">
        <v>123283</v>
      </c>
      <c r="D1311" s="236" t="s">
        <v>15369</v>
      </c>
      <c r="E1311" s="301">
        <v>27475.8</v>
      </c>
      <c r="F1311" s="303">
        <v>42972</v>
      </c>
      <c r="G1311" s="301">
        <v>27475.8</v>
      </c>
      <c r="H1311" s="304">
        <f>Tabla13[[#This Row],[Importe]]-Tabla13[[#This Row],[Pagado]]</f>
        <v>0</v>
      </c>
      <c r="I1311" s="275" t="s">
        <v>15214</v>
      </c>
    </row>
    <row r="1312" spans="1:9" x14ac:dyDescent="0.25">
      <c r="A1312" s="299">
        <v>42958</v>
      </c>
      <c r="B1312" s="302" t="s">
        <v>25130</v>
      </c>
      <c r="C1312">
        <v>123284</v>
      </c>
      <c r="D1312" s="236" t="s">
        <v>15396</v>
      </c>
      <c r="E1312" s="301">
        <v>8191.26</v>
      </c>
      <c r="F1312" s="303">
        <v>42958</v>
      </c>
      <c r="G1312" s="301">
        <v>8191.26</v>
      </c>
      <c r="H1312" s="304">
        <f>Tabla13[[#This Row],[Importe]]-Tabla13[[#This Row],[Pagado]]</f>
        <v>0</v>
      </c>
      <c r="I1312" s="275" t="s">
        <v>15214</v>
      </c>
    </row>
    <row r="1313" spans="1:9" x14ac:dyDescent="0.25">
      <c r="A1313" s="299">
        <v>42958</v>
      </c>
      <c r="B1313" s="302" t="s">
        <v>25131</v>
      </c>
      <c r="C1313">
        <v>123285</v>
      </c>
      <c r="D1313" s="236" t="s">
        <v>15315</v>
      </c>
      <c r="E1313" s="301">
        <v>9774.7999999999993</v>
      </c>
      <c r="F1313" s="303">
        <v>42964</v>
      </c>
      <c r="G1313" s="301">
        <v>9774.7999999999993</v>
      </c>
      <c r="H1313" s="304">
        <f>Tabla13[[#This Row],[Importe]]-Tabla13[[#This Row],[Pagado]]</f>
        <v>0</v>
      </c>
      <c r="I1313" s="275" t="s">
        <v>15214</v>
      </c>
    </row>
    <row r="1314" spans="1:9" x14ac:dyDescent="0.25">
      <c r="A1314" s="299">
        <v>42958</v>
      </c>
      <c r="B1314" s="302" t="s">
        <v>25132</v>
      </c>
      <c r="C1314">
        <v>123286</v>
      </c>
      <c r="D1314" s="236" t="s">
        <v>15315</v>
      </c>
      <c r="E1314" s="301">
        <v>927</v>
      </c>
      <c r="F1314" s="303">
        <v>42964</v>
      </c>
      <c r="G1314" s="301">
        <v>927</v>
      </c>
      <c r="H1314" s="304">
        <f>Tabla13[[#This Row],[Importe]]-Tabla13[[#This Row],[Pagado]]</f>
        <v>0</v>
      </c>
      <c r="I1314" s="275" t="s">
        <v>15214</v>
      </c>
    </row>
    <row r="1315" spans="1:9" x14ac:dyDescent="0.25">
      <c r="A1315" s="299">
        <v>42958</v>
      </c>
      <c r="B1315" s="302" t="s">
        <v>25133</v>
      </c>
      <c r="C1315">
        <v>123287</v>
      </c>
      <c r="D1315" s="236" t="s">
        <v>15380</v>
      </c>
      <c r="E1315" s="301">
        <v>47609.75</v>
      </c>
      <c r="F1315" s="303">
        <v>42972</v>
      </c>
      <c r="G1315" s="301">
        <v>47609.75</v>
      </c>
      <c r="H1315" s="304">
        <f>Tabla13[[#This Row],[Importe]]-Tabla13[[#This Row],[Pagado]]</f>
        <v>0</v>
      </c>
      <c r="I1315" s="275" t="s">
        <v>15214</v>
      </c>
    </row>
    <row r="1316" spans="1:9" x14ac:dyDescent="0.25">
      <c r="A1316" s="299">
        <v>42958</v>
      </c>
      <c r="B1316" s="302" t="s">
        <v>25134</v>
      </c>
      <c r="C1316">
        <v>123288</v>
      </c>
      <c r="D1316" s="236" t="s">
        <v>15389</v>
      </c>
      <c r="E1316" s="301">
        <v>17534.7</v>
      </c>
      <c r="F1316" s="303">
        <v>42965</v>
      </c>
      <c r="G1316" s="301">
        <v>17534.7</v>
      </c>
      <c r="H1316" s="304">
        <f>Tabla13[[#This Row],[Importe]]-Tabla13[[#This Row],[Pagado]]</f>
        <v>0</v>
      </c>
      <c r="I1316" s="275" t="s">
        <v>15214</v>
      </c>
    </row>
    <row r="1317" spans="1:9" x14ac:dyDescent="0.25">
      <c r="A1317" s="299">
        <v>42958</v>
      </c>
      <c r="B1317" s="302" t="s">
        <v>25135</v>
      </c>
      <c r="C1317">
        <v>123289</v>
      </c>
      <c r="D1317" s="236" t="s">
        <v>15367</v>
      </c>
      <c r="E1317" s="301">
        <v>6000</v>
      </c>
      <c r="F1317" s="303">
        <v>42959</v>
      </c>
      <c r="G1317" s="301">
        <v>6000</v>
      </c>
      <c r="H1317" s="304">
        <f>Tabla13[[#This Row],[Importe]]-Tabla13[[#This Row],[Pagado]]</f>
        <v>0</v>
      </c>
      <c r="I1317" s="275" t="s">
        <v>15214</v>
      </c>
    </row>
    <row r="1318" spans="1:9" x14ac:dyDescent="0.25">
      <c r="A1318" s="299">
        <v>42958</v>
      </c>
      <c r="B1318" s="302" t="s">
        <v>25136</v>
      </c>
      <c r="C1318">
        <v>123290</v>
      </c>
      <c r="D1318" s="236" t="s">
        <v>15382</v>
      </c>
      <c r="E1318" s="301">
        <v>10537.5</v>
      </c>
      <c r="F1318" s="303">
        <v>42965</v>
      </c>
      <c r="G1318" s="301">
        <v>10537.5</v>
      </c>
      <c r="H1318" s="304">
        <f>Tabla13[[#This Row],[Importe]]-Tabla13[[#This Row],[Pagado]]</f>
        <v>0</v>
      </c>
      <c r="I1318" s="275" t="s">
        <v>15214</v>
      </c>
    </row>
    <row r="1319" spans="1:9" x14ac:dyDescent="0.25">
      <c r="A1319" s="299">
        <v>42958</v>
      </c>
      <c r="B1319" s="302" t="s">
        <v>25137</v>
      </c>
      <c r="C1319">
        <v>123291</v>
      </c>
      <c r="D1319" s="236" t="s">
        <v>15557</v>
      </c>
      <c r="E1319" s="301">
        <v>28684.5</v>
      </c>
      <c r="F1319" s="303">
        <v>42973</v>
      </c>
      <c r="G1319" s="301">
        <v>28684.5</v>
      </c>
      <c r="H1319" s="304">
        <f>Tabla13[[#This Row],[Importe]]-Tabla13[[#This Row],[Pagado]]</f>
        <v>0</v>
      </c>
      <c r="I1319" s="275" t="s">
        <v>15214</v>
      </c>
    </row>
    <row r="1320" spans="1:9" x14ac:dyDescent="0.25">
      <c r="A1320" s="299">
        <v>42958</v>
      </c>
      <c r="B1320" s="302" t="s">
        <v>25138</v>
      </c>
      <c r="C1320">
        <v>123292</v>
      </c>
      <c r="D1320" s="236" t="s">
        <v>15562</v>
      </c>
      <c r="E1320" s="301">
        <v>3452.8</v>
      </c>
      <c r="F1320" s="303">
        <v>42958</v>
      </c>
      <c r="G1320" s="301">
        <v>3452.8</v>
      </c>
      <c r="H1320" s="304">
        <f>Tabla13[[#This Row],[Importe]]-Tabla13[[#This Row],[Pagado]]</f>
        <v>0</v>
      </c>
      <c r="I1320" s="275" t="s">
        <v>15214</v>
      </c>
    </row>
    <row r="1321" spans="1:9" x14ac:dyDescent="0.25">
      <c r="A1321" s="299">
        <v>42958</v>
      </c>
      <c r="B1321" s="302" t="s">
        <v>25139</v>
      </c>
      <c r="C1321">
        <v>123293</v>
      </c>
      <c r="D1321" s="236" t="s">
        <v>15326</v>
      </c>
      <c r="E1321" s="301">
        <v>4811.7</v>
      </c>
      <c r="F1321" s="303">
        <v>42958</v>
      </c>
      <c r="G1321" s="301">
        <v>4811.7</v>
      </c>
      <c r="H1321" s="304">
        <f>Tabla13[[#This Row],[Importe]]-Tabla13[[#This Row],[Pagado]]</f>
        <v>0</v>
      </c>
      <c r="I1321" s="275" t="s">
        <v>15214</v>
      </c>
    </row>
    <row r="1322" spans="1:9" x14ac:dyDescent="0.25">
      <c r="A1322" s="299">
        <v>42958</v>
      </c>
      <c r="B1322" s="302" t="s">
        <v>25140</v>
      </c>
      <c r="C1322">
        <v>123294</v>
      </c>
      <c r="D1322" s="236" t="s">
        <v>15868</v>
      </c>
      <c r="E1322" s="301">
        <v>9819.6</v>
      </c>
      <c r="F1322" s="303">
        <v>42958</v>
      </c>
      <c r="G1322" s="301">
        <v>9819.6</v>
      </c>
      <c r="H1322" s="304">
        <f>Tabla13[[#This Row],[Importe]]-Tabla13[[#This Row],[Pagado]]</f>
        <v>0</v>
      </c>
      <c r="I1322" s="275" t="s">
        <v>15214</v>
      </c>
    </row>
    <row r="1323" spans="1:9" x14ac:dyDescent="0.25">
      <c r="A1323" s="299">
        <v>42958</v>
      </c>
      <c r="B1323" s="302" t="s">
        <v>25141</v>
      </c>
      <c r="C1323">
        <v>123295</v>
      </c>
      <c r="D1323" s="236" t="s">
        <v>15315</v>
      </c>
      <c r="E1323" s="301">
        <v>6520.4</v>
      </c>
      <c r="F1323" s="303">
        <v>42964</v>
      </c>
      <c r="G1323" s="301">
        <v>6520.4</v>
      </c>
      <c r="H1323" s="304">
        <f>Tabla13[[#This Row],[Importe]]-Tabla13[[#This Row],[Pagado]]</f>
        <v>0</v>
      </c>
      <c r="I1323" s="275" t="s">
        <v>15214</v>
      </c>
    </row>
    <row r="1324" spans="1:9" x14ac:dyDescent="0.25">
      <c r="A1324" s="299">
        <v>42958</v>
      </c>
      <c r="B1324" s="302" t="s">
        <v>25142</v>
      </c>
      <c r="C1324">
        <v>123296</v>
      </c>
      <c r="D1324" s="236" t="s">
        <v>15706</v>
      </c>
      <c r="E1324" s="301">
        <v>2201</v>
      </c>
      <c r="F1324" s="303">
        <v>42958</v>
      </c>
      <c r="G1324" s="301">
        <v>2201</v>
      </c>
      <c r="H1324" s="304">
        <f>Tabla13[[#This Row],[Importe]]-Tabla13[[#This Row],[Pagado]]</f>
        <v>0</v>
      </c>
      <c r="I1324" s="275" t="s">
        <v>15214</v>
      </c>
    </row>
    <row r="1325" spans="1:9" x14ac:dyDescent="0.25">
      <c r="A1325" s="299">
        <v>42958</v>
      </c>
      <c r="B1325" s="302" t="s">
        <v>25143</v>
      </c>
      <c r="C1325">
        <v>123297</v>
      </c>
      <c r="D1325" s="236" t="s">
        <v>15728</v>
      </c>
      <c r="E1325" s="301">
        <v>11098.8</v>
      </c>
      <c r="F1325" s="303">
        <v>42958</v>
      </c>
      <c r="G1325" s="301">
        <v>11098.8</v>
      </c>
      <c r="H1325" s="304">
        <f>Tabla13[[#This Row],[Importe]]-Tabla13[[#This Row],[Pagado]]</f>
        <v>0</v>
      </c>
      <c r="I1325" s="275" t="s">
        <v>15214</v>
      </c>
    </row>
    <row r="1326" spans="1:9" x14ac:dyDescent="0.25">
      <c r="A1326" s="299">
        <v>42958</v>
      </c>
      <c r="B1326" s="302" t="s">
        <v>25144</v>
      </c>
      <c r="C1326">
        <v>123298</v>
      </c>
      <c r="D1326" s="236" t="s">
        <v>15365</v>
      </c>
      <c r="E1326" s="301">
        <v>14567.1</v>
      </c>
      <c r="F1326" s="303">
        <v>42960</v>
      </c>
      <c r="G1326" s="301">
        <v>14567.1</v>
      </c>
      <c r="H1326" s="304">
        <f>Tabla13[[#This Row],[Importe]]-Tabla13[[#This Row],[Pagado]]</f>
        <v>0</v>
      </c>
      <c r="I1326" s="275" t="s">
        <v>15214</v>
      </c>
    </row>
    <row r="1327" spans="1:9" x14ac:dyDescent="0.25">
      <c r="A1327" s="299">
        <v>42958</v>
      </c>
      <c r="B1327" s="302" t="s">
        <v>25145</v>
      </c>
      <c r="C1327">
        <v>123299</v>
      </c>
      <c r="D1327" s="236" t="s">
        <v>15371</v>
      </c>
      <c r="E1327" s="301">
        <v>2373</v>
      </c>
      <c r="F1327" s="303">
        <v>42958</v>
      </c>
      <c r="G1327" s="301">
        <v>2373</v>
      </c>
      <c r="H1327" s="304">
        <f>Tabla13[[#This Row],[Importe]]-Tabla13[[#This Row],[Pagado]]</f>
        <v>0</v>
      </c>
      <c r="I1327" s="275" t="s">
        <v>15214</v>
      </c>
    </row>
    <row r="1328" spans="1:9" x14ac:dyDescent="0.25">
      <c r="A1328" s="299">
        <v>42958</v>
      </c>
      <c r="B1328" s="302" t="s">
        <v>25146</v>
      </c>
      <c r="C1328">
        <v>123300</v>
      </c>
      <c r="D1328" s="236" t="s">
        <v>15665</v>
      </c>
      <c r="E1328" s="301">
        <v>633.9</v>
      </c>
      <c r="F1328" s="303">
        <v>42958</v>
      </c>
      <c r="G1328" s="301">
        <v>633.9</v>
      </c>
      <c r="H1328" s="304">
        <f>Tabla13[[#This Row],[Importe]]-Tabla13[[#This Row],[Pagado]]</f>
        <v>0</v>
      </c>
      <c r="I1328" s="275" t="s">
        <v>15214</v>
      </c>
    </row>
    <row r="1329" spans="1:9" x14ac:dyDescent="0.25">
      <c r="A1329" s="299">
        <v>42958</v>
      </c>
      <c r="B1329" s="302" t="s">
        <v>25147</v>
      </c>
      <c r="C1329">
        <v>123301</v>
      </c>
      <c r="D1329" s="236" t="s">
        <v>15284</v>
      </c>
      <c r="E1329" s="301">
        <v>1028.4000000000001</v>
      </c>
      <c r="F1329" s="303">
        <v>42958</v>
      </c>
      <c r="G1329" s="301">
        <v>1028.4000000000001</v>
      </c>
      <c r="H1329" s="304">
        <f>Tabla13[[#This Row],[Importe]]-Tabla13[[#This Row],[Pagado]]</f>
        <v>0</v>
      </c>
      <c r="I1329" s="275" t="s">
        <v>15214</v>
      </c>
    </row>
    <row r="1330" spans="1:9" x14ac:dyDescent="0.25">
      <c r="A1330" s="299">
        <v>42958</v>
      </c>
      <c r="B1330" s="302" t="s">
        <v>25148</v>
      </c>
      <c r="C1330">
        <v>123302</v>
      </c>
      <c r="D1330" s="236" t="s">
        <v>15665</v>
      </c>
      <c r="E1330" s="301">
        <v>134.4</v>
      </c>
      <c r="F1330" s="303">
        <v>42958</v>
      </c>
      <c r="G1330" s="301">
        <v>134.4</v>
      </c>
      <c r="H1330" s="304">
        <f>Tabla13[[#This Row],[Importe]]-Tabla13[[#This Row],[Pagado]]</f>
        <v>0</v>
      </c>
      <c r="I1330" s="275" t="s">
        <v>15214</v>
      </c>
    </row>
    <row r="1331" spans="1:9" x14ac:dyDescent="0.25">
      <c r="A1331" s="299">
        <v>42958</v>
      </c>
      <c r="B1331" s="302" t="s">
        <v>25149</v>
      </c>
      <c r="C1331">
        <v>123303</v>
      </c>
      <c r="D1331" s="236" t="s">
        <v>15655</v>
      </c>
      <c r="E1331" s="301">
        <v>14893.5</v>
      </c>
      <c r="F1331" s="303">
        <v>42958</v>
      </c>
      <c r="G1331" s="301">
        <v>14893.5</v>
      </c>
      <c r="H1331" s="304">
        <f>Tabla13[[#This Row],[Importe]]-Tabla13[[#This Row],[Pagado]]</f>
        <v>0</v>
      </c>
      <c r="I1331" s="275" t="s">
        <v>15214</v>
      </c>
    </row>
    <row r="1332" spans="1:9" x14ac:dyDescent="0.25">
      <c r="A1332" s="299">
        <v>42958</v>
      </c>
      <c r="B1332" s="302" t="s">
        <v>25150</v>
      </c>
      <c r="C1332">
        <v>123304</v>
      </c>
      <c r="D1332" s="236" t="s">
        <v>15315</v>
      </c>
      <c r="E1332" s="301">
        <v>1548.9</v>
      </c>
      <c r="F1332" s="303">
        <v>42958</v>
      </c>
      <c r="G1332" s="301">
        <v>1548.9</v>
      </c>
      <c r="H1332" s="304">
        <f>Tabla13[[#This Row],[Importe]]-Tabla13[[#This Row],[Pagado]]</f>
        <v>0</v>
      </c>
      <c r="I1332" s="275" t="s">
        <v>15214</v>
      </c>
    </row>
    <row r="1333" spans="1:9" x14ac:dyDescent="0.25">
      <c r="A1333" s="299">
        <v>42958</v>
      </c>
      <c r="B1333" s="302" t="s">
        <v>25151</v>
      </c>
      <c r="C1333">
        <v>123305</v>
      </c>
      <c r="D1333" s="236" t="s">
        <v>15725</v>
      </c>
      <c r="E1333" s="301">
        <v>2673.6</v>
      </c>
      <c r="F1333" s="303">
        <v>42958</v>
      </c>
      <c r="G1333" s="301">
        <v>2673.6</v>
      </c>
      <c r="H1333" s="304">
        <f>Tabla13[[#This Row],[Importe]]-Tabla13[[#This Row],[Pagado]]</f>
        <v>0</v>
      </c>
      <c r="I1333" s="275" t="s">
        <v>15214</v>
      </c>
    </row>
    <row r="1334" spans="1:9" x14ac:dyDescent="0.25">
      <c r="A1334" s="299">
        <v>42958</v>
      </c>
      <c r="B1334" s="302" t="s">
        <v>25152</v>
      </c>
      <c r="C1334">
        <v>123306</v>
      </c>
      <c r="D1334" s="236" t="s">
        <v>15725</v>
      </c>
      <c r="E1334" s="301">
        <v>2285.1999999999998</v>
      </c>
      <c r="F1334" s="303">
        <v>42958</v>
      </c>
      <c r="G1334" s="301">
        <v>2285.1999999999998</v>
      </c>
      <c r="H1334" s="304">
        <f>Tabla13[[#This Row],[Importe]]-Tabla13[[#This Row],[Pagado]]</f>
        <v>0</v>
      </c>
      <c r="I1334" s="275" t="s">
        <v>15214</v>
      </c>
    </row>
    <row r="1335" spans="1:9" x14ac:dyDescent="0.25">
      <c r="A1335" s="299">
        <v>42958</v>
      </c>
      <c r="B1335" s="302" t="s">
        <v>25153</v>
      </c>
      <c r="C1335">
        <v>123307</v>
      </c>
      <c r="D1335" s="236" t="s">
        <v>15566</v>
      </c>
      <c r="E1335" s="301">
        <v>3581.1</v>
      </c>
      <c r="F1335" s="303">
        <v>42958</v>
      </c>
      <c r="G1335" s="301">
        <v>3581.1</v>
      </c>
      <c r="H1335" s="304">
        <f>Tabla13[[#This Row],[Importe]]-Tabla13[[#This Row],[Pagado]]</f>
        <v>0</v>
      </c>
      <c r="I1335" s="275" t="s">
        <v>15214</v>
      </c>
    </row>
    <row r="1336" spans="1:9" x14ac:dyDescent="0.25">
      <c r="A1336" s="299">
        <v>42958</v>
      </c>
      <c r="B1336" s="302" t="s">
        <v>25154</v>
      </c>
      <c r="C1336">
        <v>123308</v>
      </c>
      <c r="D1336" s="236" t="s">
        <v>15566</v>
      </c>
      <c r="E1336" s="301">
        <v>144.9</v>
      </c>
      <c r="F1336" s="303">
        <v>42958</v>
      </c>
      <c r="G1336" s="301">
        <v>144.9</v>
      </c>
      <c r="H1336" s="304">
        <f>Tabla13[[#This Row],[Importe]]-Tabla13[[#This Row],[Pagado]]</f>
        <v>0</v>
      </c>
      <c r="I1336" s="275" t="s">
        <v>15214</v>
      </c>
    </row>
    <row r="1337" spans="1:9" x14ac:dyDescent="0.25">
      <c r="A1337" s="299">
        <v>42958</v>
      </c>
      <c r="B1337" s="302" t="s">
        <v>25155</v>
      </c>
      <c r="C1337">
        <v>123309</v>
      </c>
      <c r="D1337" s="236" t="s">
        <v>15890</v>
      </c>
      <c r="E1337" s="301">
        <v>11243.8</v>
      </c>
      <c r="F1337" s="303">
        <v>42962</v>
      </c>
      <c r="G1337" s="301">
        <v>11243.8</v>
      </c>
      <c r="H1337" s="304">
        <f>Tabla13[[#This Row],[Importe]]-Tabla13[[#This Row],[Pagado]]</f>
        <v>0</v>
      </c>
      <c r="I1337" s="275" t="s">
        <v>15214</v>
      </c>
    </row>
    <row r="1338" spans="1:9" x14ac:dyDescent="0.25">
      <c r="A1338" s="299">
        <v>42958</v>
      </c>
      <c r="B1338" s="302" t="s">
        <v>25156</v>
      </c>
      <c r="C1338">
        <v>123310</v>
      </c>
      <c r="D1338" s="236" t="s">
        <v>15226</v>
      </c>
      <c r="E1338" s="301">
        <v>2928</v>
      </c>
      <c r="F1338" s="303">
        <v>42961</v>
      </c>
      <c r="G1338" s="301">
        <v>2928</v>
      </c>
      <c r="H1338" s="304">
        <f>Tabla13[[#This Row],[Importe]]-Tabla13[[#This Row],[Pagado]]</f>
        <v>0</v>
      </c>
      <c r="I1338" s="275" t="s">
        <v>15214</v>
      </c>
    </row>
    <row r="1339" spans="1:9" x14ac:dyDescent="0.25">
      <c r="A1339" s="299">
        <v>42958</v>
      </c>
      <c r="B1339" s="302" t="s">
        <v>25157</v>
      </c>
      <c r="C1339">
        <v>123311</v>
      </c>
      <c r="D1339" s="236" t="s">
        <v>15632</v>
      </c>
      <c r="E1339" s="301">
        <v>24175.200000000001</v>
      </c>
      <c r="F1339" s="303">
        <v>42962</v>
      </c>
      <c r="G1339" s="301">
        <v>24175.200000000001</v>
      </c>
      <c r="H1339" s="304">
        <f>Tabla13[[#This Row],[Importe]]-Tabla13[[#This Row],[Pagado]]</f>
        <v>0</v>
      </c>
      <c r="I1339" s="275" t="s">
        <v>15214</v>
      </c>
    </row>
    <row r="1340" spans="1:9" x14ac:dyDescent="0.25">
      <c r="A1340" s="299">
        <v>42958</v>
      </c>
      <c r="B1340" s="302" t="s">
        <v>25158</v>
      </c>
      <c r="C1340">
        <v>123312</v>
      </c>
      <c r="D1340" s="236" t="s">
        <v>15398</v>
      </c>
      <c r="E1340" s="301">
        <v>3230.25</v>
      </c>
      <c r="F1340" s="303">
        <v>42958</v>
      </c>
      <c r="G1340" s="301">
        <v>3230.25</v>
      </c>
      <c r="H1340" s="304">
        <f>Tabla13[[#This Row],[Importe]]-Tabla13[[#This Row],[Pagado]]</f>
        <v>0</v>
      </c>
      <c r="I1340" s="275" t="s">
        <v>15214</v>
      </c>
    </row>
    <row r="1341" spans="1:9" x14ac:dyDescent="0.25">
      <c r="A1341" s="299">
        <v>42958</v>
      </c>
      <c r="B1341" s="302" t="s">
        <v>25159</v>
      </c>
      <c r="C1341">
        <v>123313</v>
      </c>
      <c r="D1341" s="236" t="s">
        <v>15568</v>
      </c>
      <c r="E1341" s="301">
        <v>10217.299999999999</v>
      </c>
      <c r="F1341" s="303">
        <v>42958</v>
      </c>
      <c r="G1341" s="301">
        <v>10217.299999999999</v>
      </c>
      <c r="H1341" s="304">
        <f>Tabla13[[#This Row],[Importe]]-Tabla13[[#This Row],[Pagado]]</f>
        <v>0</v>
      </c>
      <c r="I1341" s="275" t="s">
        <v>15214</v>
      </c>
    </row>
    <row r="1342" spans="1:9" x14ac:dyDescent="0.25">
      <c r="A1342" s="299">
        <v>42958</v>
      </c>
      <c r="B1342" s="302" t="s">
        <v>25160</v>
      </c>
      <c r="C1342">
        <v>123314</v>
      </c>
      <c r="D1342" s="236" t="s">
        <v>15282</v>
      </c>
      <c r="E1342" s="301">
        <v>798.6</v>
      </c>
      <c r="F1342" s="303">
        <v>42958</v>
      </c>
      <c r="G1342" s="301">
        <v>798.6</v>
      </c>
      <c r="H1342" s="304">
        <f>Tabla13[[#This Row],[Importe]]-Tabla13[[#This Row],[Pagado]]</f>
        <v>0</v>
      </c>
      <c r="I1342" s="275" t="s">
        <v>15214</v>
      </c>
    </row>
    <row r="1343" spans="1:9" x14ac:dyDescent="0.25">
      <c r="A1343" s="299">
        <v>42958</v>
      </c>
      <c r="B1343" s="302" t="s">
        <v>25161</v>
      </c>
      <c r="C1343">
        <v>123315</v>
      </c>
      <c r="D1343" s="236" t="s">
        <v>15387</v>
      </c>
      <c r="E1343" s="301">
        <v>1006.18</v>
      </c>
      <c r="F1343" s="303">
        <v>42958</v>
      </c>
      <c r="G1343" s="301">
        <v>1006.18</v>
      </c>
      <c r="H1343" s="304">
        <f>Tabla13[[#This Row],[Importe]]-Tabla13[[#This Row],[Pagado]]</f>
        <v>0</v>
      </c>
      <c r="I1343" s="275" t="s">
        <v>15214</v>
      </c>
    </row>
    <row r="1344" spans="1:9" x14ac:dyDescent="0.25">
      <c r="A1344" s="299">
        <v>42958</v>
      </c>
      <c r="B1344" s="302" t="s">
        <v>25162</v>
      </c>
      <c r="C1344">
        <v>123316</v>
      </c>
      <c r="D1344" s="236" t="s">
        <v>23937</v>
      </c>
      <c r="E1344" s="301">
        <v>3140</v>
      </c>
      <c r="F1344" s="303">
        <v>42958</v>
      </c>
      <c r="G1344" s="301">
        <v>3140</v>
      </c>
      <c r="H1344" s="304">
        <f>Tabla13[[#This Row],[Importe]]-Tabla13[[#This Row],[Pagado]]</f>
        <v>0</v>
      </c>
      <c r="I1344" s="275" t="s">
        <v>15214</v>
      </c>
    </row>
    <row r="1345" spans="1:9" x14ac:dyDescent="0.25">
      <c r="A1345" s="299">
        <v>42958</v>
      </c>
      <c r="B1345" s="302" t="s">
        <v>25163</v>
      </c>
      <c r="C1345">
        <v>123317</v>
      </c>
      <c r="D1345" s="236" t="s">
        <v>15244</v>
      </c>
      <c r="E1345" s="301">
        <v>6123.9</v>
      </c>
      <c r="F1345" s="303">
        <v>42963</v>
      </c>
      <c r="G1345" s="301">
        <v>6123.9</v>
      </c>
      <c r="H1345" s="304">
        <f>Tabla13[[#This Row],[Importe]]-Tabla13[[#This Row],[Pagado]]</f>
        <v>0</v>
      </c>
      <c r="I1345" s="275" t="s">
        <v>15214</v>
      </c>
    </row>
    <row r="1346" spans="1:9" x14ac:dyDescent="0.25">
      <c r="A1346" s="299">
        <v>42958</v>
      </c>
      <c r="B1346" s="302" t="s">
        <v>25164</v>
      </c>
      <c r="C1346">
        <v>123318</v>
      </c>
      <c r="D1346" s="236" t="s">
        <v>15246</v>
      </c>
      <c r="E1346" s="301">
        <v>931.2</v>
      </c>
      <c r="F1346" s="303">
        <v>42961</v>
      </c>
      <c r="G1346" s="301">
        <v>931.2</v>
      </c>
      <c r="H1346" s="304">
        <f>Tabla13[[#This Row],[Importe]]-Tabla13[[#This Row],[Pagado]]</f>
        <v>0</v>
      </c>
      <c r="I1346" s="275" t="s">
        <v>15214</v>
      </c>
    </row>
    <row r="1347" spans="1:9" x14ac:dyDescent="0.25">
      <c r="A1347" s="299">
        <v>42958</v>
      </c>
      <c r="B1347" s="302" t="s">
        <v>25165</v>
      </c>
      <c r="C1347">
        <v>123319</v>
      </c>
      <c r="D1347" s="236" t="s">
        <v>15594</v>
      </c>
      <c r="E1347" s="301">
        <v>914.4</v>
      </c>
      <c r="F1347" s="303">
        <v>42958</v>
      </c>
      <c r="G1347" s="301">
        <v>914.4</v>
      </c>
      <c r="H1347" s="304">
        <f>Tabla13[[#This Row],[Importe]]-Tabla13[[#This Row],[Pagado]]</f>
        <v>0</v>
      </c>
      <c r="I1347" s="275" t="s">
        <v>15214</v>
      </c>
    </row>
    <row r="1348" spans="1:9" x14ac:dyDescent="0.25">
      <c r="A1348" s="299">
        <v>42958</v>
      </c>
      <c r="B1348" s="302" t="s">
        <v>25166</v>
      </c>
      <c r="C1348">
        <v>123320</v>
      </c>
      <c r="D1348" s="236" t="s">
        <v>15391</v>
      </c>
      <c r="E1348" s="301">
        <v>11410</v>
      </c>
      <c r="F1348" s="303">
        <v>42960</v>
      </c>
      <c r="G1348" s="301">
        <v>11410</v>
      </c>
      <c r="H1348" s="304">
        <f>Tabla13[[#This Row],[Importe]]-Tabla13[[#This Row],[Pagado]]</f>
        <v>0</v>
      </c>
      <c r="I1348" s="275" t="s">
        <v>15214</v>
      </c>
    </row>
    <row r="1349" spans="1:9" x14ac:dyDescent="0.25">
      <c r="A1349" s="299">
        <v>42958</v>
      </c>
      <c r="B1349" s="302" t="s">
        <v>25167</v>
      </c>
      <c r="C1349">
        <v>123321</v>
      </c>
      <c r="D1349" s="236" t="s">
        <v>15725</v>
      </c>
      <c r="E1349" s="301">
        <v>20764.8</v>
      </c>
      <c r="F1349" s="303">
        <v>42960</v>
      </c>
      <c r="G1349" s="301">
        <v>20764.8</v>
      </c>
      <c r="H1349" s="304">
        <f>Tabla13[[#This Row],[Importe]]-Tabla13[[#This Row],[Pagado]]</f>
        <v>0</v>
      </c>
      <c r="I1349" s="275" t="s">
        <v>15214</v>
      </c>
    </row>
    <row r="1350" spans="1:9" x14ac:dyDescent="0.25">
      <c r="A1350" s="299">
        <v>42958</v>
      </c>
      <c r="B1350" s="302" t="s">
        <v>25168</v>
      </c>
      <c r="C1350">
        <v>123322</v>
      </c>
      <c r="D1350" s="236" t="s">
        <v>15594</v>
      </c>
      <c r="E1350" s="301">
        <v>343</v>
      </c>
      <c r="F1350" s="303">
        <v>42958</v>
      </c>
      <c r="G1350" s="301">
        <v>343</v>
      </c>
      <c r="H1350" s="304">
        <f>Tabla13[[#This Row],[Importe]]-Tabla13[[#This Row],[Pagado]]</f>
        <v>0</v>
      </c>
      <c r="I1350" s="275" t="s">
        <v>15214</v>
      </c>
    </row>
    <row r="1351" spans="1:9" x14ac:dyDescent="0.25">
      <c r="A1351" s="299">
        <v>42958</v>
      </c>
      <c r="B1351" s="302" t="s">
        <v>25169</v>
      </c>
      <c r="C1351">
        <v>123323</v>
      </c>
      <c r="D1351" s="236" t="s">
        <v>15313</v>
      </c>
      <c r="E1351" s="301">
        <v>14544.7</v>
      </c>
      <c r="F1351" s="303">
        <v>42959</v>
      </c>
      <c r="G1351" s="301">
        <v>14544.7</v>
      </c>
      <c r="H1351" s="304">
        <f>Tabla13[[#This Row],[Importe]]-Tabla13[[#This Row],[Pagado]]</f>
        <v>0</v>
      </c>
      <c r="I1351" s="275" t="s">
        <v>15214</v>
      </c>
    </row>
    <row r="1352" spans="1:9" x14ac:dyDescent="0.25">
      <c r="A1352" s="299">
        <v>42958</v>
      </c>
      <c r="B1352" s="302" t="s">
        <v>25170</v>
      </c>
      <c r="C1352">
        <v>123324</v>
      </c>
      <c r="D1352" s="236" t="s">
        <v>21445</v>
      </c>
      <c r="E1352" s="301">
        <v>2520.98</v>
      </c>
      <c r="F1352" s="303">
        <v>42958</v>
      </c>
      <c r="G1352" s="301">
        <v>2520.98</v>
      </c>
      <c r="H1352" s="304">
        <f>Tabla13[[#This Row],[Importe]]-Tabla13[[#This Row],[Pagado]]</f>
        <v>0</v>
      </c>
      <c r="I1352" s="275" t="s">
        <v>15214</v>
      </c>
    </row>
    <row r="1353" spans="1:9" x14ac:dyDescent="0.25">
      <c r="A1353" s="299">
        <v>42958</v>
      </c>
      <c r="B1353" s="302" t="s">
        <v>25171</v>
      </c>
      <c r="C1353">
        <v>123325</v>
      </c>
      <c r="D1353" s="236" t="s">
        <v>15583</v>
      </c>
      <c r="E1353" s="301">
        <v>1568.8</v>
      </c>
      <c r="F1353" s="303">
        <v>42961</v>
      </c>
      <c r="G1353" s="301">
        <v>1568.8</v>
      </c>
      <c r="H1353" s="304">
        <f>Tabla13[[#This Row],[Importe]]-Tabla13[[#This Row],[Pagado]]</f>
        <v>0</v>
      </c>
      <c r="I1353" s="275" t="s">
        <v>15214</v>
      </c>
    </row>
    <row r="1354" spans="1:9" x14ac:dyDescent="0.25">
      <c r="A1354" s="299">
        <v>42958</v>
      </c>
      <c r="B1354" s="302" t="s">
        <v>25172</v>
      </c>
      <c r="C1354">
        <v>123326</v>
      </c>
      <c r="D1354" s="236" t="s">
        <v>15315</v>
      </c>
      <c r="E1354" s="301">
        <v>1809.5</v>
      </c>
      <c r="F1354" s="303">
        <v>42958</v>
      </c>
      <c r="G1354" s="301">
        <v>1809.5</v>
      </c>
      <c r="H1354" s="304">
        <f>Tabla13[[#This Row],[Importe]]-Tabla13[[#This Row],[Pagado]]</f>
        <v>0</v>
      </c>
      <c r="I1354" s="275" t="s">
        <v>15214</v>
      </c>
    </row>
    <row r="1355" spans="1:9" x14ac:dyDescent="0.25">
      <c r="A1355" s="299">
        <v>42958</v>
      </c>
      <c r="B1355" s="302" t="s">
        <v>25173</v>
      </c>
      <c r="C1355">
        <v>123327</v>
      </c>
      <c r="D1355" s="236" t="s">
        <v>15617</v>
      </c>
      <c r="E1355" s="301">
        <v>20694.8</v>
      </c>
      <c r="F1355" s="303">
        <v>42958</v>
      </c>
      <c r="G1355" s="301">
        <v>20694.8</v>
      </c>
      <c r="H1355" s="304">
        <f>Tabla13[[#This Row],[Importe]]-Tabla13[[#This Row],[Pagado]]</f>
        <v>0</v>
      </c>
      <c r="I1355" s="275" t="s">
        <v>15214</v>
      </c>
    </row>
    <row r="1356" spans="1:9" x14ac:dyDescent="0.25">
      <c r="A1356" s="299">
        <v>42958</v>
      </c>
      <c r="B1356" s="302" t="s">
        <v>25174</v>
      </c>
      <c r="C1356">
        <v>123328</v>
      </c>
      <c r="D1356" s="236" t="s">
        <v>15810</v>
      </c>
      <c r="E1356" s="301">
        <v>739.1</v>
      </c>
      <c r="F1356" s="303">
        <v>42958</v>
      </c>
      <c r="G1356" s="301">
        <v>739.1</v>
      </c>
      <c r="H1356" s="304">
        <f>Tabla13[[#This Row],[Importe]]-Tabla13[[#This Row],[Pagado]]</f>
        <v>0</v>
      </c>
      <c r="I1356" s="275" t="s">
        <v>15214</v>
      </c>
    </row>
    <row r="1357" spans="1:9" x14ac:dyDescent="0.25">
      <c r="A1357" s="299">
        <v>42958</v>
      </c>
      <c r="B1357" s="302" t="s">
        <v>25175</v>
      </c>
      <c r="C1357">
        <v>123329</v>
      </c>
      <c r="D1357" s="236" t="s">
        <v>15315</v>
      </c>
      <c r="E1357" s="301">
        <v>643.20000000000005</v>
      </c>
      <c r="F1357" s="303">
        <v>42958</v>
      </c>
      <c r="G1357" s="301">
        <v>643.20000000000005</v>
      </c>
      <c r="H1357" s="304">
        <f>Tabla13[[#This Row],[Importe]]-Tabla13[[#This Row],[Pagado]]</f>
        <v>0</v>
      </c>
      <c r="I1357" s="275" t="s">
        <v>15214</v>
      </c>
    </row>
    <row r="1358" spans="1:9" x14ac:dyDescent="0.25">
      <c r="A1358" s="299">
        <v>42958</v>
      </c>
      <c r="B1358" s="302" t="s">
        <v>25176</v>
      </c>
      <c r="C1358">
        <v>123330</v>
      </c>
      <c r="D1358" s="236" t="s">
        <v>15315</v>
      </c>
      <c r="E1358" s="301">
        <v>328.5</v>
      </c>
      <c r="F1358" s="303">
        <v>42958</v>
      </c>
      <c r="G1358" s="301">
        <v>328.5</v>
      </c>
      <c r="H1358" s="304">
        <f>Tabla13[[#This Row],[Importe]]-Tabla13[[#This Row],[Pagado]]</f>
        <v>0</v>
      </c>
      <c r="I1358" s="275" t="s">
        <v>15214</v>
      </c>
    </row>
    <row r="1359" spans="1:9" x14ac:dyDescent="0.25">
      <c r="A1359" s="299">
        <v>42958</v>
      </c>
      <c r="B1359" s="302" t="s">
        <v>25177</v>
      </c>
      <c r="C1359">
        <v>123331</v>
      </c>
      <c r="D1359" s="236" t="s">
        <v>17462</v>
      </c>
      <c r="E1359" s="301">
        <v>2343.6</v>
      </c>
      <c r="F1359" s="303">
        <v>42958</v>
      </c>
      <c r="G1359" s="301">
        <v>2343.6</v>
      </c>
      <c r="H1359" s="304">
        <f>Tabla13[[#This Row],[Importe]]-Tabla13[[#This Row],[Pagado]]</f>
        <v>0</v>
      </c>
      <c r="I1359" s="275" t="s">
        <v>15214</v>
      </c>
    </row>
    <row r="1360" spans="1:9" x14ac:dyDescent="0.25">
      <c r="A1360" s="299">
        <v>42958</v>
      </c>
      <c r="B1360" s="302" t="s">
        <v>25178</v>
      </c>
      <c r="C1360">
        <v>123332</v>
      </c>
      <c r="D1360" s="236" t="s">
        <v>15322</v>
      </c>
      <c r="E1360" s="301">
        <v>2527.1999999999998</v>
      </c>
      <c r="F1360" s="303">
        <v>42958</v>
      </c>
      <c r="G1360" s="301">
        <v>2527.1999999999998</v>
      </c>
      <c r="H1360" s="304">
        <f>Tabla13[[#This Row],[Importe]]-Tabla13[[#This Row],[Pagado]]</f>
        <v>0</v>
      </c>
      <c r="I1360" s="275" t="s">
        <v>15214</v>
      </c>
    </row>
    <row r="1361" spans="1:9" x14ac:dyDescent="0.25">
      <c r="A1361" s="299">
        <v>42958</v>
      </c>
      <c r="B1361" s="302" t="s">
        <v>25179</v>
      </c>
      <c r="C1361">
        <v>123333</v>
      </c>
      <c r="D1361" s="236" t="s">
        <v>16126</v>
      </c>
      <c r="E1361" s="301">
        <v>6502.3</v>
      </c>
      <c r="F1361" s="303">
        <v>42958</v>
      </c>
      <c r="G1361" s="301">
        <v>6502.3</v>
      </c>
      <c r="H1361" s="304">
        <f>Tabla13[[#This Row],[Importe]]-Tabla13[[#This Row],[Pagado]]</f>
        <v>0</v>
      </c>
      <c r="I1361" s="275" t="s">
        <v>15214</v>
      </c>
    </row>
    <row r="1362" spans="1:9" x14ac:dyDescent="0.25">
      <c r="A1362" s="299">
        <v>42958</v>
      </c>
      <c r="B1362" s="302" t="s">
        <v>25180</v>
      </c>
      <c r="C1362">
        <v>123334</v>
      </c>
      <c r="D1362" s="236" t="s">
        <v>15423</v>
      </c>
      <c r="E1362" s="301">
        <v>5503.7</v>
      </c>
      <c r="F1362" s="303">
        <v>42958</v>
      </c>
      <c r="G1362" s="301">
        <v>5503.7</v>
      </c>
      <c r="H1362" s="304">
        <f>Tabla13[[#This Row],[Importe]]-Tabla13[[#This Row],[Pagado]]</f>
        <v>0</v>
      </c>
      <c r="I1362" s="275" t="s">
        <v>15214</v>
      </c>
    </row>
    <row r="1363" spans="1:9" x14ac:dyDescent="0.25">
      <c r="A1363" s="299">
        <v>42958</v>
      </c>
      <c r="B1363" s="302" t="s">
        <v>25181</v>
      </c>
      <c r="C1363">
        <v>123335</v>
      </c>
      <c r="D1363" s="236" t="s">
        <v>15246</v>
      </c>
      <c r="E1363" s="301">
        <v>261192.64</v>
      </c>
      <c r="F1363" s="303">
        <v>42961</v>
      </c>
      <c r="G1363" s="301">
        <v>261192.64</v>
      </c>
      <c r="H1363" s="304">
        <f>Tabla13[[#This Row],[Importe]]-Tabla13[[#This Row],[Pagado]]</f>
        <v>0</v>
      </c>
      <c r="I1363" s="275" t="s">
        <v>15214</v>
      </c>
    </row>
    <row r="1364" spans="1:9" x14ac:dyDescent="0.25">
      <c r="A1364" s="299">
        <v>42958</v>
      </c>
      <c r="B1364" s="302" t="s">
        <v>25182</v>
      </c>
      <c r="C1364">
        <v>123336</v>
      </c>
      <c r="D1364" s="236" t="s">
        <v>15423</v>
      </c>
      <c r="E1364" s="301">
        <v>96.6</v>
      </c>
      <c r="F1364" s="303">
        <v>42958</v>
      </c>
      <c r="G1364" s="301">
        <v>96.6</v>
      </c>
      <c r="H1364" s="304">
        <f>Tabla13[[#This Row],[Importe]]-Tabla13[[#This Row],[Pagado]]</f>
        <v>0</v>
      </c>
      <c r="I1364" s="275" t="s">
        <v>15214</v>
      </c>
    </row>
    <row r="1365" spans="1:9" x14ac:dyDescent="0.25">
      <c r="A1365" s="299">
        <v>42958</v>
      </c>
      <c r="B1365" s="302" t="s">
        <v>25183</v>
      </c>
      <c r="C1365">
        <v>123337</v>
      </c>
      <c r="D1365" s="236" t="s">
        <v>15315</v>
      </c>
      <c r="E1365" s="301">
        <v>183.6</v>
      </c>
      <c r="F1365" s="303">
        <v>42958</v>
      </c>
      <c r="G1365" s="301">
        <v>183.6</v>
      </c>
      <c r="H1365" s="304">
        <f>Tabla13[[#This Row],[Importe]]-Tabla13[[#This Row],[Pagado]]</f>
        <v>0</v>
      </c>
      <c r="I1365" s="275" t="s">
        <v>15214</v>
      </c>
    </row>
    <row r="1366" spans="1:9" x14ac:dyDescent="0.25">
      <c r="A1366" s="299">
        <v>42958</v>
      </c>
      <c r="B1366" s="302" t="s">
        <v>25184</v>
      </c>
      <c r="C1366">
        <v>123338</v>
      </c>
      <c r="D1366" s="236" t="s">
        <v>15315</v>
      </c>
      <c r="E1366" s="301">
        <v>10397.5</v>
      </c>
      <c r="F1366" s="303">
        <v>42958</v>
      </c>
      <c r="G1366" s="301">
        <v>10397.5</v>
      </c>
      <c r="H1366" s="304">
        <f>Tabla13[[#This Row],[Importe]]-Tabla13[[#This Row],[Pagado]]</f>
        <v>0</v>
      </c>
      <c r="I1366" s="275" t="s">
        <v>15214</v>
      </c>
    </row>
    <row r="1367" spans="1:9" x14ac:dyDescent="0.25">
      <c r="A1367" s="299">
        <v>42958</v>
      </c>
      <c r="B1367" s="302" t="s">
        <v>25185</v>
      </c>
      <c r="C1367">
        <v>123339</v>
      </c>
      <c r="D1367" s="236" t="s">
        <v>16313</v>
      </c>
      <c r="E1367" s="301">
        <v>1242</v>
      </c>
      <c r="F1367" s="303">
        <v>42959</v>
      </c>
      <c r="G1367" s="301">
        <v>1242</v>
      </c>
      <c r="H1367" s="304">
        <f>Tabla13[[#This Row],[Importe]]-Tabla13[[#This Row],[Pagado]]</f>
        <v>0</v>
      </c>
      <c r="I1367" s="275" t="s">
        <v>15214</v>
      </c>
    </row>
    <row r="1368" spans="1:9" x14ac:dyDescent="0.25">
      <c r="A1368" s="299">
        <v>42958</v>
      </c>
      <c r="B1368" s="302" t="s">
        <v>25186</v>
      </c>
      <c r="C1368">
        <v>123340</v>
      </c>
      <c r="D1368" s="236" t="s">
        <v>15246</v>
      </c>
      <c r="E1368" s="301">
        <v>33223.699999999997</v>
      </c>
      <c r="F1368" s="303">
        <v>42961</v>
      </c>
      <c r="G1368" s="301">
        <v>33223.699999999997</v>
      </c>
      <c r="H1368" s="304">
        <f>Tabla13[[#This Row],[Importe]]-Tabla13[[#This Row],[Pagado]]</f>
        <v>0</v>
      </c>
      <c r="I1368" s="275" t="s">
        <v>15214</v>
      </c>
    </row>
    <row r="1369" spans="1:9" x14ac:dyDescent="0.25">
      <c r="A1369" s="299">
        <v>42958</v>
      </c>
      <c r="B1369" s="302" t="s">
        <v>25187</v>
      </c>
      <c r="C1369">
        <v>123341</v>
      </c>
      <c r="D1369" s="236" t="s">
        <v>15315</v>
      </c>
      <c r="E1369" s="301">
        <v>133.4</v>
      </c>
      <c r="F1369" s="303">
        <v>42958</v>
      </c>
      <c r="G1369" s="301">
        <v>133.4</v>
      </c>
      <c r="H1369" s="304">
        <f>Tabla13[[#This Row],[Importe]]-Tabla13[[#This Row],[Pagado]]</f>
        <v>0</v>
      </c>
      <c r="I1369" s="275" t="s">
        <v>15214</v>
      </c>
    </row>
    <row r="1370" spans="1:9" x14ac:dyDescent="0.25">
      <c r="A1370" s="299">
        <v>42958</v>
      </c>
      <c r="B1370" s="302" t="s">
        <v>25188</v>
      </c>
      <c r="C1370">
        <v>123342</v>
      </c>
      <c r="D1370" s="236" t="s">
        <v>15263</v>
      </c>
      <c r="E1370" s="301">
        <v>388.8</v>
      </c>
      <c r="F1370" s="303">
        <v>42958</v>
      </c>
      <c r="G1370" s="301">
        <v>388.8</v>
      </c>
      <c r="H1370" s="304">
        <f>Tabla13[[#This Row],[Importe]]-Tabla13[[#This Row],[Pagado]]</f>
        <v>0</v>
      </c>
      <c r="I1370" s="275" t="s">
        <v>15214</v>
      </c>
    </row>
    <row r="1371" spans="1:9" x14ac:dyDescent="0.25">
      <c r="A1371" s="299">
        <v>42958</v>
      </c>
      <c r="B1371" s="302" t="s">
        <v>25189</v>
      </c>
      <c r="C1371">
        <v>123343</v>
      </c>
      <c r="D1371" s="236" t="s">
        <v>19755</v>
      </c>
      <c r="E1371" s="301">
        <v>30438.16</v>
      </c>
      <c r="F1371" s="303">
        <v>42959</v>
      </c>
      <c r="G1371" s="301">
        <v>30438.16</v>
      </c>
      <c r="H1371" s="304">
        <f>Tabla13[[#This Row],[Importe]]-Tabla13[[#This Row],[Pagado]]</f>
        <v>0</v>
      </c>
      <c r="I1371" s="275" t="s">
        <v>15214</v>
      </c>
    </row>
    <row r="1372" spans="1:9" x14ac:dyDescent="0.25">
      <c r="A1372" s="299">
        <v>42958</v>
      </c>
      <c r="B1372" s="302" t="s">
        <v>25190</v>
      </c>
      <c r="C1372">
        <v>123344</v>
      </c>
      <c r="D1372" s="236" t="s">
        <v>16129</v>
      </c>
      <c r="E1372" s="301">
        <v>5752.8</v>
      </c>
      <c r="F1372" s="303">
        <v>42965</v>
      </c>
      <c r="G1372" s="301">
        <v>5752.8</v>
      </c>
      <c r="H1372" s="304">
        <f>Tabla13[[#This Row],[Importe]]-Tabla13[[#This Row],[Pagado]]</f>
        <v>0</v>
      </c>
      <c r="I1372" s="275" t="s">
        <v>15214</v>
      </c>
    </row>
    <row r="1373" spans="1:9" x14ac:dyDescent="0.25">
      <c r="A1373" s="299">
        <v>42958</v>
      </c>
      <c r="B1373" s="302" t="s">
        <v>25191</v>
      </c>
      <c r="C1373">
        <v>123345</v>
      </c>
      <c r="D1373" s="236" t="s">
        <v>15365</v>
      </c>
      <c r="E1373" s="301">
        <v>442733.5</v>
      </c>
      <c r="F1373" s="303">
        <v>42965</v>
      </c>
      <c r="G1373" s="301">
        <v>442733.5</v>
      </c>
      <c r="H1373" s="304">
        <f>Tabla13[[#This Row],[Importe]]-Tabla13[[#This Row],[Pagado]]</f>
        <v>0</v>
      </c>
      <c r="I1373" s="275" t="s">
        <v>15214</v>
      </c>
    </row>
    <row r="1374" spans="1:9" x14ac:dyDescent="0.25">
      <c r="A1374" s="299">
        <v>42958</v>
      </c>
      <c r="B1374" s="302" t="s">
        <v>25192</v>
      </c>
      <c r="C1374">
        <v>123346</v>
      </c>
      <c r="D1374" s="236" t="s">
        <v>15284</v>
      </c>
      <c r="E1374" s="301">
        <v>2264.8000000000002</v>
      </c>
      <c r="F1374" s="303">
        <v>42958</v>
      </c>
      <c r="G1374" s="301">
        <v>2264.8000000000002</v>
      </c>
      <c r="H1374" s="304">
        <f>Tabla13[[#This Row],[Importe]]-Tabla13[[#This Row],[Pagado]]</f>
        <v>0</v>
      </c>
      <c r="I1374" s="275" t="s">
        <v>15214</v>
      </c>
    </row>
    <row r="1375" spans="1:9" x14ac:dyDescent="0.25">
      <c r="A1375" s="299">
        <v>42958</v>
      </c>
      <c r="B1375" s="302" t="s">
        <v>25193</v>
      </c>
      <c r="C1375">
        <v>123347</v>
      </c>
      <c r="D1375" s="236" t="s">
        <v>15298</v>
      </c>
      <c r="E1375" s="301">
        <v>3220.4</v>
      </c>
      <c r="F1375" s="303">
        <v>42958</v>
      </c>
      <c r="G1375" s="301">
        <v>3220.4</v>
      </c>
      <c r="H1375" s="304">
        <f>Tabla13[[#This Row],[Importe]]-Tabla13[[#This Row],[Pagado]]</f>
        <v>0</v>
      </c>
      <c r="I1375" s="275" t="s">
        <v>15214</v>
      </c>
    </row>
    <row r="1376" spans="1:9" x14ac:dyDescent="0.25">
      <c r="A1376" s="299">
        <v>42958</v>
      </c>
      <c r="B1376" s="302" t="s">
        <v>25194</v>
      </c>
      <c r="C1376">
        <v>123348</v>
      </c>
      <c r="D1376" s="236" t="s">
        <v>19699</v>
      </c>
      <c r="E1376" s="301">
        <v>1410</v>
      </c>
      <c r="F1376" s="303">
        <v>42958</v>
      </c>
      <c r="G1376" s="301">
        <v>1410</v>
      </c>
      <c r="H1376" s="304">
        <f>Tabla13[[#This Row],[Importe]]-Tabla13[[#This Row],[Pagado]]</f>
        <v>0</v>
      </c>
      <c r="I1376" s="275" t="s">
        <v>15214</v>
      </c>
    </row>
    <row r="1377" spans="1:9" x14ac:dyDescent="0.25">
      <c r="A1377" s="299">
        <v>42958</v>
      </c>
      <c r="B1377" s="302" t="s">
        <v>25195</v>
      </c>
      <c r="C1377">
        <v>123349</v>
      </c>
      <c r="D1377" s="236" t="s">
        <v>19699</v>
      </c>
      <c r="E1377" s="301">
        <v>150.80000000000001</v>
      </c>
      <c r="F1377" s="303">
        <v>42958</v>
      </c>
      <c r="G1377" s="301">
        <v>150.80000000000001</v>
      </c>
      <c r="H1377" s="304">
        <f>Tabla13[[#This Row],[Importe]]-Tabla13[[#This Row],[Pagado]]</f>
        <v>0</v>
      </c>
      <c r="I1377" s="275" t="s">
        <v>15214</v>
      </c>
    </row>
    <row r="1378" spans="1:9" x14ac:dyDescent="0.25">
      <c r="A1378" s="299">
        <v>42958</v>
      </c>
      <c r="B1378" s="302" t="s">
        <v>25196</v>
      </c>
      <c r="C1378">
        <v>123350</v>
      </c>
      <c r="D1378" s="236" t="s">
        <v>15617</v>
      </c>
      <c r="E1378" s="301">
        <v>8986.4</v>
      </c>
      <c r="F1378" s="303">
        <v>42959</v>
      </c>
      <c r="G1378" s="301">
        <v>8986.4</v>
      </c>
      <c r="H1378" s="304">
        <f>Tabla13[[#This Row],[Importe]]-Tabla13[[#This Row],[Pagado]]</f>
        <v>0</v>
      </c>
      <c r="I1378" s="275" t="s">
        <v>15214</v>
      </c>
    </row>
    <row r="1379" spans="1:9" x14ac:dyDescent="0.25">
      <c r="A1379" s="299">
        <v>42958</v>
      </c>
      <c r="B1379" s="302" t="s">
        <v>25197</v>
      </c>
      <c r="C1379">
        <v>123351</v>
      </c>
      <c r="D1379" s="236" t="s">
        <v>15642</v>
      </c>
      <c r="E1379" s="301">
        <v>8990.1</v>
      </c>
      <c r="F1379" s="303">
        <v>42958</v>
      </c>
      <c r="G1379" s="301">
        <v>8990.1</v>
      </c>
      <c r="H1379" s="304">
        <f>Tabla13[[#This Row],[Importe]]-Tabla13[[#This Row],[Pagado]]</f>
        <v>0</v>
      </c>
      <c r="I1379" s="275" t="s">
        <v>15214</v>
      </c>
    </row>
    <row r="1380" spans="1:9" x14ac:dyDescent="0.25">
      <c r="A1380" s="299">
        <v>42958</v>
      </c>
      <c r="B1380" s="302" t="s">
        <v>25198</v>
      </c>
      <c r="C1380">
        <v>123352</v>
      </c>
      <c r="D1380" s="236" t="s">
        <v>15315</v>
      </c>
      <c r="E1380" s="301">
        <v>122.4</v>
      </c>
      <c r="F1380" s="303">
        <v>42958</v>
      </c>
      <c r="G1380" s="301">
        <v>122.4</v>
      </c>
      <c r="H1380" s="304">
        <f>Tabla13[[#This Row],[Importe]]-Tabla13[[#This Row],[Pagado]]</f>
        <v>0</v>
      </c>
      <c r="I1380" s="275" t="s">
        <v>15214</v>
      </c>
    </row>
    <row r="1381" spans="1:9" x14ac:dyDescent="0.25">
      <c r="A1381" s="299">
        <v>42958</v>
      </c>
      <c r="B1381" s="302" t="s">
        <v>25199</v>
      </c>
      <c r="C1381">
        <v>123353</v>
      </c>
      <c r="D1381" s="236" t="s">
        <v>15530</v>
      </c>
      <c r="E1381" s="301">
        <v>1003.2</v>
      </c>
      <c r="F1381" s="303">
        <v>42958</v>
      </c>
      <c r="G1381" s="301">
        <v>1003.2</v>
      </c>
      <c r="H1381" s="304">
        <f>Tabla13[[#This Row],[Importe]]-Tabla13[[#This Row],[Pagado]]</f>
        <v>0</v>
      </c>
      <c r="I1381" s="275" t="s">
        <v>15214</v>
      </c>
    </row>
    <row r="1382" spans="1:9" x14ac:dyDescent="0.25">
      <c r="A1382" s="299">
        <v>42958</v>
      </c>
      <c r="B1382" s="302" t="s">
        <v>25200</v>
      </c>
      <c r="C1382">
        <v>123354</v>
      </c>
      <c r="D1382" s="236" t="s">
        <v>18890</v>
      </c>
      <c r="E1382" s="301">
        <v>2893</v>
      </c>
      <c r="F1382" s="303">
        <v>42958</v>
      </c>
      <c r="G1382" s="301">
        <v>2893</v>
      </c>
      <c r="H1382" s="304">
        <f>Tabla13[[#This Row],[Importe]]-Tabla13[[#This Row],[Pagado]]</f>
        <v>0</v>
      </c>
      <c r="I1382" s="275" t="s">
        <v>15214</v>
      </c>
    </row>
    <row r="1383" spans="1:9" x14ac:dyDescent="0.25">
      <c r="A1383" s="299">
        <v>42958</v>
      </c>
      <c r="B1383" s="302" t="s">
        <v>25201</v>
      </c>
      <c r="C1383">
        <v>123355</v>
      </c>
      <c r="D1383" s="236" t="s">
        <v>15254</v>
      </c>
      <c r="E1383" s="301">
        <v>17204.400000000001</v>
      </c>
      <c r="F1383" s="303">
        <v>42963</v>
      </c>
      <c r="G1383" s="301">
        <v>17204.400000000001</v>
      </c>
      <c r="H1383" s="304">
        <f>Tabla13[[#This Row],[Importe]]-Tabla13[[#This Row],[Pagado]]</f>
        <v>0</v>
      </c>
      <c r="I1383" s="275" t="s">
        <v>15214</v>
      </c>
    </row>
    <row r="1384" spans="1:9" x14ac:dyDescent="0.25">
      <c r="A1384" s="299">
        <v>42958</v>
      </c>
      <c r="B1384" s="302" t="s">
        <v>25202</v>
      </c>
      <c r="C1384">
        <v>123356</v>
      </c>
      <c r="D1384" s="236" t="s">
        <v>15433</v>
      </c>
      <c r="E1384" s="301">
        <v>1074.2</v>
      </c>
      <c r="F1384" s="303">
        <v>42958</v>
      </c>
      <c r="G1384" s="301">
        <v>1074.2</v>
      </c>
      <c r="H1384" s="304">
        <f>Tabla13[[#This Row],[Importe]]-Tabla13[[#This Row],[Pagado]]</f>
        <v>0</v>
      </c>
      <c r="I1384" s="275" t="s">
        <v>15214</v>
      </c>
    </row>
    <row r="1385" spans="1:9" x14ac:dyDescent="0.25">
      <c r="A1385" s="299">
        <v>42958</v>
      </c>
      <c r="B1385" s="302" t="s">
        <v>25203</v>
      </c>
      <c r="C1385">
        <v>123357</v>
      </c>
      <c r="D1385" s="236" t="s">
        <v>15444</v>
      </c>
      <c r="E1385" s="301">
        <v>2602.8000000000002</v>
      </c>
      <c r="F1385" s="303">
        <v>42959</v>
      </c>
      <c r="G1385" s="301">
        <v>2602.8000000000002</v>
      </c>
      <c r="H1385" s="304">
        <f>Tabla13[[#This Row],[Importe]]-Tabla13[[#This Row],[Pagado]]</f>
        <v>0</v>
      </c>
      <c r="I1385" s="275" t="s">
        <v>15214</v>
      </c>
    </row>
    <row r="1386" spans="1:9" x14ac:dyDescent="0.25">
      <c r="A1386" s="299">
        <v>42958</v>
      </c>
      <c r="B1386" s="302" t="s">
        <v>25204</v>
      </c>
      <c r="C1386">
        <v>123358</v>
      </c>
      <c r="D1386" s="236" t="s">
        <v>15267</v>
      </c>
      <c r="E1386" s="301">
        <v>2156</v>
      </c>
      <c r="F1386" s="303">
        <v>42959</v>
      </c>
      <c r="G1386" s="301">
        <v>2156</v>
      </c>
      <c r="H1386" s="304">
        <f>Tabla13[[#This Row],[Importe]]-Tabla13[[#This Row],[Pagado]]</f>
        <v>0</v>
      </c>
      <c r="I1386" s="275" t="s">
        <v>15214</v>
      </c>
    </row>
    <row r="1387" spans="1:9" x14ac:dyDescent="0.25">
      <c r="A1387" s="299">
        <v>42958</v>
      </c>
      <c r="B1387" s="302" t="s">
        <v>25205</v>
      </c>
      <c r="C1387">
        <v>123359</v>
      </c>
      <c r="D1387" s="236" t="s">
        <v>15250</v>
      </c>
      <c r="E1387" s="301">
        <v>39050.22</v>
      </c>
      <c r="F1387" s="303">
        <v>42970</v>
      </c>
      <c r="G1387" s="301">
        <v>39050.22</v>
      </c>
      <c r="H1387" s="304">
        <f>Tabla13[[#This Row],[Importe]]-Tabla13[[#This Row],[Pagado]]</f>
        <v>0</v>
      </c>
      <c r="I1387" s="275" t="s">
        <v>15214</v>
      </c>
    </row>
    <row r="1388" spans="1:9" x14ac:dyDescent="0.25">
      <c r="A1388" s="299">
        <v>42958</v>
      </c>
      <c r="B1388" s="302" t="s">
        <v>25206</v>
      </c>
      <c r="C1388">
        <v>123360</v>
      </c>
      <c r="D1388" s="236" t="s">
        <v>15435</v>
      </c>
      <c r="E1388" s="301">
        <v>7822.8</v>
      </c>
      <c r="F1388" s="303">
        <v>42958</v>
      </c>
      <c r="G1388" s="301">
        <v>7822.8</v>
      </c>
      <c r="H1388" s="304">
        <f>Tabla13[[#This Row],[Importe]]-Tabla13[[#This Row],[Pagado]]</f>
        <v>0</v>
      </c>
      <c r="I1388" s="275" t="s">
        <v>15214</v>
      </c>
    </row>
    <row r="1389" spans="1:9" x14ac:dyDescent="0.25">
      <c r="A1389" s="299">
        <v>42958</v>
      </c>
      <c r="B1389" s="302" t="s">
        <v>25207</v>
      </c>
      <c r="C1389">
        <v>123361</v>
      </c>
      <c r="D1389" s="236" t="s">
        <v>15250</v>
      </c>
      <c r="E1389" s="301">
        <v>2419.1999999999998</v>
      </c>
      <c r="F1389" s="303">
        <v>42970</v>
      </c>
      <c r="G1389" s="301">
        <v>2419.1999999999998</v>
      </c>
      <c r="H1389" s="304">
        <f>Tabla13[[#This Row],[Importe]]-Tabla13[[#This Row],[Pagado]]</f>
        <v>0</v>
      </c>
      <c r="I1389" s="275" t="s">
        <v>15214</v>
      </c>
    </row>
    <row r="1390" spans="1:9" x14ac:dyDescent="0.25">
      <c r="A1390" s="299">
        <v>42958</v>
      </c>
      <c r="B1390" s="302" t="s">
        <v>25208</v>
      </c>
      <c r="C1390">
        <v>123362</v>
      </c>
      <c r="D1390" s="236" t="s">
        <v>15246</v>
      </c>
      <c r="E1390" s="301">
        <v>4426.5</v>
      </c>
      <c r="F1390" s="303">
        <v>42961</v>
      </c>
      <c r="G1390" s="301">
        <v>4426.5</v>
      </c>
      <c r="H1390" s="304">
        <f>Tabla13[[#This Row],[Importe]]-Tabla13[[#This Row],[Pagado]]</f>
        <v>0</v>
      </c>
      <c r="I1390" s="275" t="s">
        <v>15214</v>
      </c>
    </row>
    <row r="1391" spans="1:9" x14ac:dyDescent="0.25">
      <c r="A1391" s="299">
        <v>42958</v>
      </c>
      <c r="B1391" s="302" t="s">
        <v>25209</v>
      </c>
      <c r="C1391">
        <v>123363</v>
      </c>
      <c r="D1391" s="236" t="s">
        <v>15644</v>
      </c>
      <c r="E1391" s="301">
        <v>3332</v>
      </c>
      <c r="F1391" s="303">
        <v>42959</v>
      </c>
      <c r="G1391" s="301">
        <v>3332</v>
      </c>
      <c r="H1391" s="304">
        <f>Tabla13[[#This Row],[Importe]]-Tabla13[[#This Row],[Pagado]]</f>
        <v>0</v>
      </c>
      <c r="I1391" s="275" t="s">
        <v>15214</v>
      </c>
    </row>
    <row r="1392" spans="1:9" x14ac:dyDescent="0.25">
      <c r="A1392" s="299">
        <v>42958</v>
      </c>
      <c r="B1392" s="302" t="s">
        <v>25210</v>
      </c>
      <c r="C1392">
        <v>123364</v>
      </c>
      <c r="D1392" s="236" t="s">
        <v>19776</v>
      </c>
      <c r="E1392" s="301">
        <v>6578.3</v>
      </c>
      <c r="F1392" s="303">
        <v>42959</v>
      </c>
      <c r="G1392" s="301">
        <v>6578.3</v>
      </c>
      <c r="H1392" s="304">
        <f>Tabla13[[#This Row],[Importe]]-Tabla13[[#This Row],[Pagado]]</f>
        <v>0</v>
      </c>
      <c r="I1392" s="275" t="s">
        <v>15214</v>
      </c>
    </row>
    <row r="1393" spans="1:9" x14ac:dyDescent="0.25">
      <c r="A1393" s="299">
        <v>42959</v>
      </c>
      <c r="B1393" s="302" t="s">
        <v>25211</v>
      </c>
      <c r="C1393">
        <v>123365</v>
      </c>
      <c r="D1393" s="236" t="s">
        <v>21386</v>
      </c>
      <c r="E1393" s="301">
        <v>10640.6</v>
      </c>
      <c r="F1393" s="303">
        <v>42961</v>
      </c>
      <c r="G1393" s="301">
        <v>10640.6</v>
      </c>
      <c r="H1393" s="304">
        <f>Tabla13[[#This Row],[Importe]]-Tabla13[[#This Row],[Pagado]]</f>
        <v>0</v>
      </c>
      <c r="I1393" s="275" t="s">
        <v>15214</v>
      </c>
    </row>
    <row r="1394" spans="1:9" x14ac:dyDescent="0.25">
      <c r="A1394" s="299">
        <v>42959</v>
      </c>
      <c r="B1394" s="302" t="s">
        <v>25212</v>
      </c>
      <c r="C1394">
        <v>123366</v>
      </c>
      <c r="D1394" s="236" t="s">
        <v>15213</v>
      </c>
      <c r="E1394" s="301">
        <v>45691.5</v>
      </c>
      <c r="F1394" s="303">
        <v>42961</v>
      </c>
      <c r="G1394" s="301">
        <v>45691.5</v>
      </c>
      <c r="H1394" s="304">
        <f>Tabla13[[#This Row],[Importe]]-Tabla13[[#This Row],[Pagado]]</f>
        <v>0</v>
      </c>
      <c r="I1394" s="275" t="s">
        <v>15214</v>
      </c>
    </row>
    <row r="1395" spans="1:9" x14ac:dyDescent="0.25">
      <c r="A1395" s="299">
        <v>42959</v>
      </c>
      <c r="B1395" s="302" t="s">
        <v>25213</v>
      </c>
      <c r="C1395">
        <v>123367</v>
      </c>
      <c r="D1395" s="236" t="s">
        <v>15250</v>
      </c>
      <c r="E1395" s="301">
        <v>101045.86</v>
      </c>
      <c r="F1395" s="303">
        <v>42970</v>
      </c>
      <c r="G1395" s="301">
        <v>101045.86</v>
      </c>
      <c r="H1395" s="304">
        <f>Tabla13[[#This Row],[Importe]]-Tabla13[[#This Row],[Pagado]]</f>
        <v>0</v>
      </c>
      <c r="I1395" s="275" t="s">
        <v>15214</v>
      </c>
    </row>
    <row r="1396" spans="1:9" x14ac:dyDescent="0.25">
      <c r="A1396" s="299">
        <v>42959</v>
      </c>
      <c r="B1396" s="302" t="s">
        <v>25214</v>
      </c>
      <c r="C1396">
        <v>123368</v>
      </c>
      <c r="D1396" s="236" t="s">
        <v>16732</v>
      </c>
      <c r="E1396" s="301">
        <v>30777.48</v>
      </c>
      <c r="F1396" s="303">
        <v>42959</v>
      </c>
      <c r="G1396" s="301">
        <v>30777.48</v>
      </c>
      <c r="H1396" s="304">
        <f>Tabla13[[#This Row],[Importe]]-Tabla13[[#This Row],[Pagado]]</f>
        <v>0</v>
      </c>
      <c r="I1396" s="275" t="s">
        <v>15214</v>
      </c>
    </row>
    <row r="1397" spans="1:9" x14ac:dyDescent="0.25">
      <c r="A1397" s="299">
        <v>42959</v>
      </c>
      <c r="B1397" s="302" t="s">
        <v>25215</v>
      </c>
      <c r="C1397">
        <v>123369</v>
      </c>
      <c r="D1397" s="236" t="s">
        <v>15220</v>
      </c>
      <c r="E1397" s="301">
        <v>5405</v>
      </c>
      <c r="F1397" s="303">
        <v>42959</v>
      </c>
      <c r="G1397" s="301">
        <v>5405</v>
      </c>
      <c r="H1397" s="304">
        <f>Tabla13[[#This Row],[Importe]]-Tabla13[[#This Row],[Pagado]]</f>
        <v>0</v>
      </c>
      <c r="I1397" s="275" t="s">
        <v>15214</v>
      </c>
    </row>
    <row r="1398" spans="1:9" x14ac:dyDescent="0.25">
      <c r="A1398" s="299">
        <v>42959</v>
      </c>
      <c r="B1398" s="302" t="s">
        <v>25216</v>
      </c>
      <c r="C1398">
        <v>123370</v>
      </c>
      <c r="D1398" s="236" t="s">
        <v>19302</v>
      </c>
      <c r="E1398" s="301">
        <v>1175</v>
      </c>
      <c r="F1398" s="303">
        <v>42959</v>
      </c>
      <c r="G1398" s="301">
        <v>1175</v>
      </c>
      <c r="H1398" s="304">
        <f>Tabla13[[#This Row],[Importe]]-Tabla13[[#This Row],[Pagado]]</f>
        <v>0</v>
      </c>
      <c r="I1398" s="275" t="s">
        <v>15214</v>
      </c>
    </row>
    <row r="1399" spans="1:9" x14ac:dyDescent="0.25">
      <c r="A1399" s="299">
        <v>42959</v>
      </c>
      <c r="B1399" s="302" t="s">
        <v>25217</v>
      </c>
      <c r="C1399">
        <v>123371</v>
      </c>
      <c r="D1399" s="236" t="s">
        <v>15226</v>
      </c>
      <c r="E1399" s="301">
        <v>1708.8</v>
      </c>
      <c r="F1399" s="303">
        <v>42961</v>
      </c>
      <c r="G1399" s="301">
        <v>1708.8</v>
      </c>
      <c r="H1399" s="304">
        <f>Tabla13[[#This Row],[Importe]]-Tabla13[[#This Row],[Pagado]]</f>
        <v>0</v>
      </c>
      <c r="I1399" s="275" t="s">
        <v>15214</v>
      </c>
    </row>
    <row r="1400" spans="1:9" x14ac:dyDescent="0.25">
      <c r="A1400" s="299">
        <v>42959</v>
      </c>
      <c r="B1400" s="302" t="s">
        <v>25218</v>
      </c>
      <c r="C1400">
        <v>123372</v>
      </c>
      <c r="D1400" s="236" t="s">
        <v>15315</v>
      </c>
      <c r="E1400" s="301">
        <v>1788.3</v>
      </c>
      <c r="F1400" s="303">
        <v>42960</v>
      </c>
      <c r="G1400" s="301">
        <v>1788.3</v>
      </c>
      <c r="H1400" s="304">
        <f>Tabla13[[#This Row],[Importe]]-Tabla13[[#This Row],[Pagado]]</f>
        <v>0</v>
      </c>
      <c r="I1400" s="275" t="s">
        <v>15214</v>
      </c>
    </row>
    <row r="1401" spans="1:9" x14ac:dyDescent="0.25">
      <c r="A1401" s="299">
        <v>42959</v>
      </c>
      <c r="B1401" s="302" t="s">
        <v>25219</v>
      </c>
      <c r="C1401">
        <v>123373</v>
      </c>
      <c r="D1401" s="236" t="s">
        <v>15334</v>
      </c>
      <c r="E1401" s="301">
        <v>3576</v>
      </c>
      <c r="F1401" s="303">
        <v>42959</v>
      </c>
      <c r="G1401" s="301">
        <v>3576</v>
      </c>
      <c r="H1401" s="304">
        <f>Tabla13[[#This Row],[Importe]]-Tabla13[[#This Row],[Pagado]]</f>
        <v>0</v>
      </c>
      <c r="I1401" s="275" t="s">
        <v>15214</v>
      </c>
    </row>
    <row r="1402" spans="1:9" x14ac:dyDescent="0.25">
      <c r="A1402" s="299">
        <v>42959</v>
      </c>
      <c r="B1402" s="302" t="s">
        <v>25220</v>
      </c>
      <c r="C1402">
        <v>123374</v>
      </c>
      <c r="D1402" s="236" t="s">
        <v>15230</v>
      </c>
      <c r="E1402" s="301">
        <v>27013</v>
      </c>
      <c r="F1402" s="303">
        <v>42962</v>
      </c>
      <c r="G1402" s="301">
        <v>27013</v>
      </c>
      <c r="H1402" s="304">
        <f>Tabla13[[#This Row],[Importe]]-Tabla13[[#This Row],[Pagado]]</f>
        <v>0</v>
      </c>
      <c r="I1402" s="275" t="s">
        <v>15214</v>
      </c>
    </row>
    <row r="1403" spans="1:9" x14ac:dyDescent="0.25">
      <c r="A1403" s="299">
        <v>42959</v>
      </c>
      <c r="B1403" s="302" t="s">
        <v>25221</v>
      </c>
      <c r="C1403">
        <v>123375</v>
      </c>
      <c r="D1403" s="236" t="s">
        <v>15272</v>
      </c>
      <c r="E1403" s="301">
        <v>27647.5</v>
      </c>
      <c r="F1403" s="303">
        <v>42959</v>
      </c>
      <c r="G1403" s="301">
        <v>27647.5</v>
      </c>
      <c r="H1403" s="304">
        <f>Tabla13[[#This Row],[Importe]]-Tabla13[[#This Row],[Pagado]]</f>
        <v>0</v>
      </c>
      <c r="I1403" s="275" t="s">
        <v>15214</v>
      </c>
    </row>
    <row r="1404" spans="1:9" x14ac:dyDescent="0.25">
      <c r="A1404" s="299">
        <v>42959</v>
      </c>
      <c r="B1404" s="302" t="s">
        <v>25222</v>
      </c>
      <c r="C1404">
        <v>123376</v>
      </c>
      <c r="D1404" s="236" t="s">
        <v>15391</v>
      </c>
      <c r="E1404" s="301">
        <v>9576</v>
      </c>
      <c r="F1404" s="303">
        <v>42961</v>
      </c>
      <c r="G1404" s="301">
        <v>9576</v>
      </c>
      <c r="H1404" s="304">
        <f>Tabla13[[#This Row],[Importe]]-Tabla13[[#This Row],[Pagado]]</f>
        <v>0</v>
      </c>
      <c r="I1404" s="275" t="s">
        <v>15214</v>
      </c>
    </row>
    <row r="1405" spans="1:9" x14ac:dyDescent="0.25">
      <c r="A1405" s="299">
        <v>42959</v>
      </c>
      <c r="B1405" s="302" t="s">
        <v>25223</v>
      </c>
      <c r="C1405">
        <v>123377</v>
      </c>
      <c r="D1405" s="236" t="s">
        <v>15232</v>
      </c>
      <c r="E1405" s="301">
        <v>17497.25</v>
      </c>
      <c r="F1405" s="303">
        <v>42964</v>
      </c>
      <c r="G1405" s="301">
        <v>17497.25</v>
      </c>
      <c r="H1405" s="304">
        <f>Tabla13[[#This Row],[Importe]]-Tabla13[[#This Row],[Pagado]]</f>
        <v>0</v>
      </c>
      <c r="I1405" s="275" t="s">
        <v>15214</v>
      </c>
    </row>
    <row r="1406" spans="1:9" x14ac:dyDescent="0.25">
      <c r="A1406" s="299">
        <v>42959</v>
      </c>
      <c r="B1406" s="302" t="s">
        <v>25224</v>
      </c>
      <c r="C1406">
        <v>123378</v>
      </c>
      <c r="D1406" s="236" t="s">
        <v>15539</v>
      </c>
      <c r="E1406" s="301">
        <v>15637.2</v>
      </c>
      <c r="F1406" s="303">
        <v>42964</v>
      </c>
      <c r="G1406" s="301">
        <v>15637.2</v>
      </c>
      <c r="H1406" s="304">
        <f>Tabla13[[#This Row],[Importe]]-Tabla13[[#This Row],[Pagado]]</f>
        <v>0</v>
      </c>
      <c r="I1406" s="275" t="s">
        <v>15214</v>
      </c>
    </row>
    <row r="1407" spans="1:9" x14ac:dyDescent="0.25">
      <c r="A1407" s="299">
        <v>42959</v>
      </c>
      <c r="B1407" s="302" t="s">
        <v>25225</v>
      </c>
      <c r="C1407">
        <v>123379</v>
      </c>
      <c r="D1407" s="236" t="s">
        <v>15236</v>
      </c>
      <c r="E1407" s="301">
        <v>7013.5</v>
      </c>
      <c r="F1407" s="303">
        <v>42962</v>
      </c>
      <c r="G1407" s="301">
        <v>7013.5</v>
      </c>
      <c r="H1407" s="304">
        <f>Tabla13[[#This Row],[Importe]]-Tabla13[[#This Row],[Pagado]]</f>
        <v>0</v>
      </c>
      <c r="I1407" s="275" t="s">
        <v>15214</v>
      </c>
    </row>
    <row r="1408" spans="1:9" ht="45" x14ac:dyDescent="0.25">
      <c r="A1408" s="299">
        <v>42959</v>
      </c>
      <c r="B1408" s="302" t="s">
        <v>25226</v>
      </c>
      <c r="C1408">
        <v>123380</v>
      </c>
      <c r="D1408" s="236" t="s">
        <v>15480</v>
      </c>
      <c r="E1408" s="301">
        <v>11044.2</v>
      </c>
      <c r="F1408" s="303" t="s">
        <v>25227</v>
      </c>
      <c r="G1408" s="313">
        <f>3244+800+5500+1500.2</f>
        <v>11044.2</v>
      </c>
      <c r="H1408" s="314">
        <f>Tabla13[[#This Row],[Importe]]-Tabla13[[#This Row],[Pagado]]</f>
        <v>0</v>
      </c>
      <c r="I1408" s="275" t="s">
        <v>15214</v>
      </c>
    </row>
    <row r="1409" spans="1:9" x14ac:dyDescent="0.25">
      <c r="A1409" s="299">
        <v>42959</v>
      </c>
      <c r="B1409" s="302" t="s">
        <v>25228</v>
      </c>
      <c r="C1409">
        <v>123381</v>
      </c>
      <c r="D1409" s="236" t="s">
        <v>19776</v>
      </c>
      <c r="E1409" s="301">
        <v>5970.8</v>
      </c>
      <c r="F1409" s="303">
        <v>42959</v>
      </c>
      <c r="G1409" s="301">
        <v>5970.8</v>
      </c>
      <c r="H1409" s="304">
        <f>Tabla13[[#This Row],[Importe]]-Tabla13[[#This Row],[Pagado]]</f>
        <v>0</v>
      </c>
      <c r="I1409" s="275" t="s">
        <v>15214</v>
      </c>
    </row>
    <row r="1410" spans="1:9" x14ac:dyDescent="0.25">
      <c r="A1410" s="299">
        <v>42959</v>
      </c>
      <c r="B1410" s="302" t="s">
        <v>25229</v>
      </c>
      <c r="C1410">
        <v>123382</v>
      </c>
      <c r="D1410" s="236" t="s">
        <v>5575</v>
      </c>
      <c r="E1410" s="301">
        <v>8244.2999999999993</v>
      </c>
      <c r="F1410" s="303">
        <v>42961</v>
      </c>
      <c r="G1410" s="301">
        <v>8244.2999999999993</v>
      </c>
      <c r="H1410" s="304">
        <f>Tabla13[[#This Row],[Importe]]-Tabla13[[#This Row],[Pagado]]</f>
        <v>0</v>
      </c>
      <c r="I1410" s="275" t="s">
        <v>15214</v>
      </c>
    </row>
    <row r="1411" spans="1:9" x14ac:dyDescent="0.25">
      <c r="A1411" s="299">
        <v>42959</v>
      </c>
      <c r="B1411" s="302" t="s">
        <v>25230</v>
      </c>
      <c r="C1411">
        <v>123383</v>
      </c>
      <c r="D1411" s="236" t="s">
        <v>15681</v>
      </c>
      <c r="E1411" s="301">
        <v>1164</v>
      </c>
      <c r="F1411" s="303">
        <v>42959</v>
      </c>
      <c r="G1411" s="301">
        <v>1164</v>
      </c>
      <c r="H1411" s="304">
        <f>Tabla13[[#This Row],[Importe]]-Tabla13[[#This Row],[Pagado]]</f>
        <v>0</v>
      </c>
      <c r="I1411" s="275" t="s">
        <v>15214</v>
      </c>
    </row>
    <row r="1412" spans="1:9" x14ac:dyDescent="0.25">
      <c r="A1412" s="299">
        <v>42959</v>
      </c>
      <c r="B1412" s="302" t="s">
        <v>25231</v>
      </c>
      <c r="C1412">
        <v>123384</v>
      </c>
      <c r="D1412" s="236" t="s">
        <v>15315</v>
      </c>
      <c r="E1412" s="301">
        <v>3319.25</v>
      </c>
      <c r="F1412" s="303">
        <v>42964</v>
      </c>
      <c r="G1412" s="301">
        <v>3319.25</v>
      </c>
      <c r="H1412" s="304">
        <f>Tabla13[[#This Row],[Importe]]-Tabla13[[#This Row],[Pagado]]</f>
        <v>0</v>
      </c>
      <c r="I1412" s="275" t="s">
        <v>15214</v>
      </c>
    </row>
    <row r="1413" spans="1:9" x14ac:dyDescent="0.25">
      <c r="A1413" s="299">
        <v>42959</v>
      </c>
      <c r="B1413" s="302" t="s">
        <v>25232</v>
      </c>
      <c r="C1413">
        <v>123385</v>
      </c>
      <c r="D1413" s="236" t="s">
        <v>17462</v>
      </c>
      <c r="E1413" s="301">
        <v>9549.5</v>
      </c>
      <c r="F1413" s="303">
        <v>42959</v>
      </c>
      <c r="G1413" s="301">
        <v>9549.5</v>
      </c>
      <c r="H1413" s="304">
        <f>Tabla13[[#This Row],[Importe]]-Tabla13[[#This Row],[Pagado]]</f>
        <v>0</v>
      </c>
      <c r="I1413" s="275" t="s">
        <v>15214</v>
      </c>
    </row>
    <row r="1414" spans="1:9" x14ac:dyDescent="0.25">
      <c r="A1414" s="299">
        <v>42959</v>
      </c>
      <c r="B1414" s="302" t="s">
        <v>25233</v>
      </c>
      <c r="C1414">
        <v>123386</v>
      </c>
      <c r="D1414" s="236" t="s">
        <v>15328</v>
      </c>
      <c r="E1414" s="301">
        <v>84877.02</v>
      </c>
      <c r="F1414" s="303">
        <v>42969</v>
      </c>
      <c r="G1414" s="301">
        <v>84877.02</v>
      </c>
      <c r="H1414" s="304">
        <f>Tabla13[[#This Row],[Importe]]-Tabla13[[#This Row],[Pagado]]</f>
        <v>0</v>
      </c>
      <c r="I1414" s="275" t="s">
        <v>15214</v>
      </c>
    </row>
    <row r="1415" spans="1:9" ht="45" x14ac:dyDescent="0.25">
      <c r="A1415" s="299">
        <v>42959</v>
      </c>
      <c r="B1415" s="302" t="s">
        <v>25234</v>
      </c>
      <c r="C1415">
        <v>123387</v>
      </c>
      <c r="D1415" s="236" t="s">
        <v>15258</v>
      </c>
      <c r="E1415" s="301">
        <v>29802.9</v>
      </c>
      <c r="F1415" s="303" t="s">
        <v>25235</v>
      </c>
      <c r="G1415" s="305">
        <f>10000+5000+14802.9</f>
        <v>29802.9</v>
      </c>
      <c r="H1415" s="304">
        <f>Tabla13[[#This Row],[Importe]]-Tabla13[[#This Row],[Pagado]]</f>
        <v>0</v>
      </c>
      <c r="I1415" s="275" t="s">
        <v>15214</v>
      </c>
    </row>
    <row r="1416" spans="1:9" x14ac:dyDescent="0.25">
      <c r="A1416" s="299">
        <v>42959</v>
      </c>
      <c r="B1416" s="302" t="s">
        <v>25236</v>
      </c>
      <c r="C1416">
        <v>123388</v>
      </c>
      <c r="D1416" s="236" t="s">
        <v>15555</v>
      </c>
      <c r="E1416" s="301">
        <v>32501.15</v>
      </c>
      <c r="F1416" s="303" t="s">
        <v>25237</v>
      </c>
      <c r="G1416" s="301">
        <v>32501.15</v>
      </c>
      <c r="H1416" s="304">
        <f>Tabla13[[#This Row],[Importe]]-Tabla13[[#This Row],[Pagado]]</f>
        <v>0</v>
      </c>
      <c r="I1416" s="275" t="s">
        <v>15214</v>
      </c>
    </row>
    <row r="1417" spans="1:9" x14ac:dyDescent="0.25">
      <c r="A1417" s="299">
        <v>42959</v>
      </c>
      <c r="B1417" s="302" t="s">
        <v>25238</v>
      </c>
      <c r="C1417">
        <v>123389</v>
      </c>
      <c r="D1417" s="236" t="s">
        <v>15234</v>
      </c>
      <c r="E1417" s="301">
        <v>6947.1</v>
      </c>
      <c r="F1417" s="303">
        <v>42963</v>
      </c>
      <c r="G1417" s="301">
        <v>6947.1</v>
      </c>
      <c r="H1417" s="304">
        <f>Tabla13[[#This Row],[Importe]]-Tabla13[[#This Row],[Pagado]]</f>
        <v>0</v>
      </c>
      <c r="I1417" s="275" t="s">
        <v>15214</v>
      </c>
    </row>
    <row r="1418" spans="1:9" x14ac:dyDescent="0.25">
      <c r="A1418" s="299">
        <v>42959</v>
      </c>
      <c r="B1418" s="302" t="s">
        <v>25239</v>
      </c>
      <c r="C1418">
        <v>123390</v>
      </c>
      <c r="D1418" s="236" t="s">
        <v>15559</v>
      </c>
      <c r="E1418" s="301">
        <v>16186.73</v>
      </c>
      <c r="F1418" s="303">
        <v>42964</v>
      </c>
      <c r="G1418" s="301">
        <v>16186.73</v>
      </c>
      <c r="H1418" s="304">
        <f>Tabla13[[#This Row],[Importe]]-Tabla13[[#This Row],[Pagado]]</f>
        <v>0</v>
      </c>
      <c r="I1418" s="275" t="s">
        <v>15214</v>
      </c>
    </row>
    <row r="1419" spans="1:9" ht="39" x14ac:dyDescent="0.25">
      <c r="A1419" s="299">
        <v>42959</v>
      </c>
      <c r="B1419" s="302" t="s">
        <v>25240</v>
      </c>
      <c r="C1419">
        <v>123391</v>
      </c>
      <c r="D1419" s="236" t="s">
        <v>15228</v>
      </c>
      <c r="E1419" s="301">
        <v>32170.46</v>
      </c>
      <c r="F1419" s="315" t="s">
        <v>25241</v>
      </c>
      <c r="G1419" s="305">
        <f>8000+12000+6500+4500+1170.46</f>
        <v>32170.46</v>
      </c>
      <c r="H1419" s="304">
        <f>Tabla13[[#This Row],[Importe]]-Tabla13[[#This Row],[Pagado]]</f>
        <v>0</v>
      </c>
      <c r="I1419" s="275" t="s">
        <v>15214</v>
      </c>
    </row>
    <row r="1420" spans="1:9" x14ac:dyDescent="0.25">
      <c r="A1420" s="299">
        <v>42959</v>
      </c>
      <c r="B1420" s="302" t="s">
        <v>25242</v>
      </c>
      <c r="C1420">
        <v>123392</v>
      </c>
      <c r="D1420" s="236" t="s">
        <v>15537</v>
      </c>
      <c r="E1420" s="301">
        <v>21177.1</v>
      </c>
      <c r="F1420" s="303">
        <v>42966</v>
      </c>
      <c r="G1420" s="301">
        <v>21177.1</v>
      </c>
      <c r="H1420" s="304">
        <f>Tabla13[[#This Row],[Importe]]-Tabla13[[#This Row],[Pagado]]</f>
        <v>0</v>
      </c>
      <c r="I1420" s="275" t="s">
        <v>15214</v>
      </c>
    </row>
    <row r="1421" spans="1:9" x14ac:dyDescent="0.25">
      <c r="A1421" s="299">
        <v>42959</v>
      </c>
      <c r="B1421" s="302" t="s">
        <v>25243</v>
      </c>
      <c r="C1421">
        <v>123393</v>
      </c>
      <c r="D1421" s="236" t="s">
        <v>15668</v>
      </c>
      <c r="E1421" s="301">
        <v>13446</v>
      </c>
      <c r="F1421" s="303">
        <v>42961</v>
      </c>
      <c r="G1421" s="301">
        <v>13446</v>
      </c>
      <c r="H1421" s="304">
        <f>Tabla13[[#This Row],[Importe]]-Tabla13[[#This Row],[Pagado]]</f>
        <v>0</v>
      </c>
      <c r="I1421" s="275" t="s">
        <v>15214</v>
      </c>
    </row>
    <row r="1422" spans="1:9" ht="30" x14ac:dyDescent="0.25">
      <c r="A1422" s="299">
        <v>42959</v>
      </c>
      <c r="B1422" s="302" t="s">
        <v>25244</v>
      </c>
      <c r="C1422">
        <v>123394</v>
      </c>
      <c r="D1422" s="236" t="s">
        <v>15256</v>
      </c>
      <c r="E1422" s="301">
        <v>12077.5</v>
      </c>
      <c r="F1422" s="303" t="s">
        <v>25245</v>
      </c>
      <c r="G1422" s="305">
        <f>3000+9077.5</f>
        <v>12077.5</v>
      </c>
      <c r="H1422" s="304">
        <f>Tabla13[[#This Row],[Importe]]-Tabla13[[#This Row],[Pagado]]</f>
        <v>0</v>
      </c>
      <c r="I1422" s="275" t="s">
        <v>15214</v>
      </c>
    </row>
    <row r="1423" spans="1:9" x14ac:dyDescent="0.25">
      <c r="A1423" s="299">
        <v>42959</v>
      </c>
      <c r="B1423" s="302" t="s">
        <v>25246</v>
      </c>
      <c r="C1423">
        <v>123395</v>
      </c>
      <c r="D1423" s="236" t="s">
        <v>15716</v>
      </c>
      <c r="E1423" s="301">
        <v>20128</v>
      </c>
      <c r="F1423" s="303">
        <v>42959</v>
      </c>
      <c r="G1423" s="301">
        <v>20128</v>
      </c>
      <c r="H1423" s="304">
        <f>Tabla13[[#This Row],[Importe]]-Tabla13[[#This Row],[Pagado]]</f>
        <v>0</v>
      </c>
      <c r="I1423" s="275" t="s">
        <v>15214</v>
      </c>
    </row>
    <row r="1424" spans="1:9" x14ac:dyDescent="0.25">
      <c r="A1424" s="299">
        <v>42959</v>
      </c>
      <c r="B1424" s="302" t="s">
        <v>25247</v>
      </c>
      <c r="C1424">
        <v>123396</v>
      </c>
      <c r="D1424" s="236" t="s">
        <v>15240</v>
      </c>
      <c r="E1424" s="301">
        <v>3447.6</v>
      </c>
      <c r="F1424" s="303">
        <v>42961</v>
      </c>
      <c r="G1424" s="301">
        <v>3447.6</v>
      </c>
      <c r="H1424" s="304">
        <f>Tabla13[[#This Row],[Importe]]-Tabla13[[#This Row],[Pagado]]</f>
        <v>0</v>
      </c>
      <c r="I1424" s="275" t="s">
        <v>15214</v>
      </c>
    </row>
    <row r="1425" spans="1:9" x14ac:dyDescent="0.25">
      <c r="A1425" s="299">
        <v>42959</v>
      </c>
      <c r="B1425" s="302" t="s">
        <v>25248</v>
      </c>
      <c r="C1425">
        <v>123397</v>
      </c>
      <c r="D1425" s="236" t="s">
        <v>23937</v>
      </c>
      <c r="E1425" s="301">
        <v>3655</v>
      </c>
      <c r="F1425" s="303">
        <v>42959</v>
      </c>
      <c r="G1425" s="301">
        <v>3655</v>
      </c>
      <c r="H1425" s="304">
        <f>Tabla13[[#This Row],[Importe]]-Tabla13[[#This Row],[Pagado]]</f>
        <v>0</v>
      </c>
      <c r="I1425" s="275" t="s">
        <v>15214</v>
      </c>
    </row>
    <row r="1426" spans="1:9" x14ac:dyDescent="0.25">
      <c r="A1426" s="299">
        <v>42959</v>
      </c>
      <c r="B1426" s="302" t="s">
        <v>25249</v>
      </c>
      <c r="C1426">
        <v>123398</v>
      </c>
      <c r="D1426" s="236" t="s">
        <v>15315</v>
      </c>
      <c r="E1426" s="301">
        <v>12428.6</v>
      </c>
      <c r="F1426" s="303">
        <v>42973</v>
      </c>
      <c r="G1426" s="301">
        <v>12428.6</v>
      </c>
      <c r="H1426" s="304">
        <f>Tabla13[[#This Row],[Importe]]-Tabla13[[#This Row],[Pagado]]</f>
        <v>0</v>
      </c>
      <c r="I1426" s="275" t="s">
        <v>15214</v>
      </c>
    </row>
    <row r="1427" spans="1:9" x14ac:dyDescent="0.25">
      <c r="A1427" s="299">
        <v>42959</v>
      </c>
      <c r="B1427" s="302" t="s">
        <v>25250</v>
      </c>
      <c r="C1427">
        <v>123399</v>
      </c>
      <c r="D1427" s="236" t="s">
        <v>15238</v>
      </c>
      <c r="E1427" s="301">
        <v>13566.3</v>
      </c>
      <c r="F1427" s="303">
        <v>42962</v>
      </c>
      <c r="G1427" s="301">
        <v>13566.3</v>
      </c>
      <c r="H1427" s="304">
        <f>Tabla13[[#This Row],[Importe]]-Tabla13[[#This Row],[Pagado]]</f>
        <v>0</v>
      </c>
      <c r="I1427" s="275" t="s">
        <v>15214</v>
      </c>
    </row>
    <row r="1428" spans="1:9" x14ac:dyDescent="0.25">
      <c r="A1428" s="299">
        <v>42959</v>
      </c>
      <c r="B1428" s="302" t="s">
        <v>25251</v>
      </c>
      <c r="C1428">
        <v>123400</v>
      </c>
      <c r="D1428" s="236" t="s">
        <v>15523</v>
      </c>
      <c r="E1428" s="301">
        <v>4700</v>
      </c>
      <c r="F1428" s="303">
        <v>42959</v>
      </c>
      <c r="G1428" s="301">
        <v>4700</v>
      </c>
      <c r="H1428" s="304">
        <f>Tabla13[[#This Row],[Importe]]-Tabla13[[#This Row],[Pagado]]</f>
        <v>0</v>
      </c>
      <c r="I1428" s="275" t="s">
        <v>15214</v>
      </c>
    </row>
    <row r="1429" spans="1:9" x14ac:dyDescent="0.25">
      <c r="A1429" s="299">
        <v>42959</v>
      </c>
      <c r="B1429" s="302" t="s">
        <v>25252</v>
      </c>
      <c r="C1429">
        <v>123401</v>
      </c>
      <c r="D1429" s="236" t="s">
        <v>15324</v>
      </c>
      <c r="E1429" s="301">
        <v>2270</v>
      </c>
      <c r="F1429" s="303">
        <v>42959</v>
      </c>
      <c r="G1429" s="301">
        <v>2270</v>
      </c>
      <c r="H1429" s="304">
        <f>Tabla13[[#This Row],[Importe]]-Tabla13[[#This Row],[Pagado]]</f>
        <v>0</v>
      </c>
      <c r="I1429" s="275" t="s">
        <v>15214</v>
      </c>
    </row>
    <row r="1430" spans="1:9" x14ac:dyDescent="0.25">
      <c r="A1430" s="299">
        <v>42959</v>
      </c>
      <c r="B1430" s="302" t="s">
        <v>25253</v>
      </c>
      <c r="C1430">
        <v>123402</v>
      </c>
      <c r="D1430" s="236" t="s">
        <v>15553</v>
      </c>
      <c r="E1430" s="301">
        <v>5782.1</v>
      </c>
      <c r="F1430" s="303">
        <v>42959</v>
      </c>
      <c r="G1430" s="301">
        <v>5782.1</v>
      </c>
      <c r="H1430" s="304">
        <f>Tabla13[[#This Row],[Importe]]-Tabla13[[#This Row],[Pagado]]</f>
        <v>0</v>
      </c>
      <c r="I1430" s="275" t="s">
        <v>15214</v>
      </c>
    </row>
    <row r="1431" spans="1:9" x14ac:dyDescent="0.25">
      <c r="A1431" s="299">
        <v>42959</v>
      </c>
      <c r="B1431" s="302" t="s">
        <v>25254</v>
      </c>
      <c r="C1431">
        <v>123403</v>
      </c>
      <c r="D1431" s="236" t="s">
        <v>15315</v>
      </c>
      <c r="E1431" s="301">
        <v>19235.25</v>
      </c>
      <c r="F1431" s="303">
        <v>42964</v>
      </c>
      <c r="G1431" s="301">
        <v>19235.25</v>
      </c>
      <c r="H1431" s="304">
        <f>Tabla13[[#This Row],[Importe]]-Tabla13[[#This Row],[Pagado]]</f>
        <v>0</v>
      </c>
      <c r="I1431" s="275" t="s">
        <v>15214</v>
      </c>
    </row>
    <row r="1432" spans="1:9" x14ac:dyDescent="0.25">
      <c r="A1432" s="299">
        <v>42959</v>
      </c>
      <c r="B1432" s="302" t="s">
        <v>25255</v>
      </c>
      <c r="C1432">
        <v>123404</v>
      </c>
      <c r="D1432" s="236" t="s">
        <v>15246</v>
      </c>
      <c r="E1432" s="301">
        <v>61396.3</v>
      </c>
      <c r="F1432" s="303">
        <v>42961</v>
      </c>
      <c r="G1432" s="301">
        <v>61396.3</v>
      </c>
      <c r="H1432" s="304">
        <f>Tabla13[[#This Row],[Importe]]-Tabla13[[#This Row],[Pagado]]</f>
        <v>0</v>
      </c>
      <c r="I1432" s="275" t="s">
        <v>15214</v>
      </c>
    </row>
    <row r="1433" spans="1:9" x14ac:dyDescent="0.25">
      <c r="A1433" s="299">
        <v>42959</v>
      </c>
      <c r="B1433" s="302" t="s">
        <v>25256</v>
      </c>
      <c r="C1433">
        <v>123405</v>
      </c>
      <c r="D1433" s="236" t="s">
        <v>15330</v>
      </c>
      <c r="E1433" s="301">
        <v>4180.3</v>
      </c>
      <c r="F1433" s="303">
        <v>42959</v>
      </c>
      <c r="G1433" s="301">
        <v>4180.3</v>
      </c>
      <c r="H1433" s="304">
        <f>Tabla13[[#This Row],[Importe]]-Tabla13[[#This Row],[Pagado]]</f>
        <v>0</v>
      </c>
      <c r="I1433" s="275" t="s">
        <v>15214</v>
      </c>
    </row>
    <row r="1434" spans="1:9" x14ac:dyDescent="0.25">
      <c r="A1434" s="299">
        <v>42959</v>
      </c>
      <c r="B1434" s="302" t="s">
        <v>25257</v>
      </c>
      <c r="C1434">
        <v>123406</v>
      </c>
      <c r="D1434" s="236" t="s">
        <v>15315</v>
      </c>
      <c r="E1434" s="301">
        <v>1965.6</v>
      </c>
      <c r="F1434" s="303">
        <v>42964</v>
      </c>
      <c r="G1434" s="301">
        <v>1965.6</v>
      </c>
      <c r="H1434" s="304">
        <f>Tabla13[[#This Row],[Importe]]-Tabla13[[#This Row],[Pagado]]</f>
        <v>0</v>
      </c>
      <c r="I1434" s="275" t="s">
        <v>15214</v>
      </c>
    </row>
    <row r="1435" spans="1:9" x14ac:dyDescent="0.25">
      <c r="A1435" s="299">
        <v>42959</v>
      </c>
      <c r="B1435" s="302" t="s">
        <v>25258</v>
      </c>
      <c r="C1435">
        <v>123407</v>
      </c>
      <c r="D1435" s="236" t="s">
        <v>15261</v>
      </c>
      <c r="E1435" s="301">
        <v>21093.119999999999</v>
      </c>
      <c r="F1435" s="303">
        <v>42959</v>
      </c>
      <c r="G1435" s="301">
        <v>21093.119999999999</v>
      </c>
      <c r="H1435" s="304">
        <f>Tabla13[[#This Row],[Importe]]-Tabla13[[#This Row],[Pagado]]</f>
        <v>0</v>
      </c>
      <c r="I1435" s="275" t="s">
        <v>15214</v>
      </c>
    </row>
    <row r="1436" spans="1:9" x14ac:dyDescent="0.25">
      <c r="A1436" s="299">
        <v>42959</v>
      </c>
      <c r="B1436" s="302" t="s">
        <v>25259</v>
      </c>
      <c r="C1436">
        <v>123408</v>
      </c>
      <c r="D1436" s="236" t="s">
        <v>15263</v>
      </c>
      <c r="E1436" s="301">
        <v>2747.2</v>
      </c>
      <c r="F1436" s="303">
        <v>42959</v>
      </c>
      <c r="G1436" s="301">
        <v>2747.2</v>
      </c>
      <c r="H1436" s="304">
        <f>Tabla13[[#This Row],[Importe]]-Tabla13[[#This Row],[Pagado]]</f>
        <v>0</v>
      </c>
      <c r="I1436" s="275" t="s">
        <v>15214</v>
      </c>
    </row>
    <row r="1437" spans="1:9" x14ac:dyDescent="0.25">
      <c r="A1437" s="299">
        <v>42959</v>
      </c>
      <c r="B1437" s="302" t="s">
        <v>25260</v>
      </c>
      <c r="C1437">
        <v>123409</v>
      </c>
      <c r="D1437" s="236" t="s">
        <v>15596</v>
      </c>
      <c r="E1437" s="301">
        <v>1175</v>
      </c>
      <c r="F1437" s="303">
        <v>42959</v>
      </c>
      <c r="G1437" s="301">
        <v>1175</v>
      </c>
      <c r="H1437" s="304">
        <f>Tabla13[[#This Row],[Importe]]-Tabla13[[#This Row],[Pagado]]</f>
        <v>0</v>
      </c>
      <c r="I1437" s="275" t="s">
        <v>15214</v>
      </c>
    </row>
    <row r="1438" spans="1:9" x14ac:dyDescent="0.25">
      <c r="A1438" s="299">
        <v>42959</v>
      </c>
      <c r="B1438" s="302" t="s">
        <v>25261</v>
      </c>
      <c r="C1438">
        <v>123410</v>
      </c>
      <c r="D1438" s="236" t="s">
        <v>15274</v>
      </c>
      <c r="E1438" s="301">
        <v>4047.2</v>
      </c>
      <c r="F1438" s="303">
        <v>42959</v>
      </c>
      <c r="G1438" s="301">
        <v>4047.2</v>
      </c>
      <c r="H1438" s="304">
        <f>Tabla13[[#This Row],[Importe]]-Tabla13[[#This Row],[Pagado]]</f>
        <v>0</v>
      </c>
      <c r="I1438" s="275" t="s">
        <v>15214</v>
      </c>
    </row>
    <row r="1439" spans="1:9" x14ac:dyDescent="0.25">
      <c r="A1439" s="299">
        <v>42959</v>
      </c>
      <c r="B1439" s="302" t="s">
        <v>25262</v>
      </c>
      <c r="C1439">
        <v>123411</v>
      </c>
      <c r="D1439" s="236" t="s">
        <v>15315</v>
      </c>
      <c r="E1439" s="301">
        <v>2311.1999999999998</v>
      </c>
      <c r="F1439" s="303">
        <v>42964</v>
      </c>
      <c r="G1439" s="301">
        <v>2311.1999999999998</v>
      </c>
      <c r="H1439" s="304">
        <f>Tabla13[[#This Row],[Importe]]-Tabla13[[#This Row],[Pagado]]</f>
        <v>0</v>
      </c>
      <c r="I1439" s="275" t="s">
        <v>15214</v>
      </c>
    </row>
    <row r="1440" spans="1:9" x14ac:dyDescent="0.25">
      <c r="A1440" s="299">
        <v>42959</v>
      </c>
      <c r="B1440" s="302" t="s">
        <v>25263</v>
      </c>
      <c r="C1440">
        <v>123412</v>
      </c>
      <c r="D1440" s="236" t="s">
        <v>15415</v>
      </c>
      <c r="E1440" s="301">
        <v>3080.4</v>
      </c>
      <c r="F1440" s="303">
        <v>42962</v>
      </c>
      <c r="G1440" s="301">
        <v>3080.4</v>
      </c>
      <c r="H1440" s="304">
        <f>Tabla13[[#This Row],[Importe]]-Tabla13[[#This Row],[Pagado]]</f>
        <v>0</v>
      </c>
      <c r="I1440" s="275" t="s">
        <v>15214</v>
      </c>
    </row>
    <row r="1441" spans="1:9" x14ac:dyDescent="0.25">
      <c r="A1441" s="299">
        <v>42959</v>
      </c>
      <c r="B1441" s="302" t="s">
        <v>25264</v>
      </c>
      <c r="C1441">
        <v>123413</v>
      </c>
      <c r="D1441" s="236" t="s">
        <v>15291</v>
      </c>
      <c r="E1441" s="301">
        <v>752</v>
      </c>
      <c r="F1441" s="303">
        <v>42959</v>
      </c>
      <c r="G1441" s="301">
        <v>752</v>
      </c>
      <c r="H1441" s="304">
        <f>Tabla13[[#This Row],[Importe]]-Tabla13[[#This Row],[Pagado]]</f>
        <v>0</v>
      </c>
      <c r="I1441" s="275" t="s">
        <v>15214</v>
      </c>
    </row>
    <row r="1442" spans="1:9" ht="30" x14ac:dyDescent="0.25">
      <c r="A1442" s="299">
        <v>42959</v>
      </c>
      <c r="B1442" s="302" t="s">
        <v>25265</v>
      </c>
      <c r="C1442">
        <v>123414</v>
      </c>
      <c r="D1442" s="236" t="s">
        <v>15248</v>
      </c>
      <c r="E1442" s="301">
        <v>40964.620000000003</v>
      </c>
      <c r="F1442" s="303" t="s">
        <v>25266</v>
      </c>
      <c r="G1442" s="305">
        <f>30000+10964.62</f>
        <v>40964.620000000003</v>
      </c>
      <c r="H1442" s="304">
        <f>Tabla13[[#This Row],[Importe]]-Tabla13[[#This Row],[Pagado]]</f>
        <v>0</v>
      </c>
      <c r="I1442" s="275" t="s">
        <v>15214</v>
      </c>
    </row>
    <row r="1443" spans="1:9" x14ac:dyDescent="0.25">
      <c r="A1443" s="299">
        <v>42959</v>
      </c>
      <c r="B1443" s="302" t="s">
        <v>25267</v>
      </c>
      <c r="C1443">
        <v>123415</v>
      </c>
      <c r="D1443" s="236" t="s">
        <v>15320</v>
      </c>
      <c r="E1443" s="301">
        <v>2354.6999999999998</v>
      </c>
      <c r="F1443" s="303">
        <v>42959</v>
      </c>
      <c r="G1443" s="301">
        <v>2354.6999999999998</v>
      </c>
      <c r="H1443" s="304">
        <f>Tabla13[[#This Row],[Importe]]-Tabla13[[#This Row],[Pagado]]</f>
        <v>0</v>
      </c>
      <c r="I1443" s="275" t="s">
        <v>15214</v>
      </c>
    </row>
    <row r="1444" spans="1:9" x14ac:dyDescent="0.25">
      <c r="A1444" s="299">
        <v>42959</v>
      </c>
      <c r="B1444" s="302" t="s">
        <v>25268</v>
      </c>
      <c r="C1444">
        <v>123416</v>
      </c>
      <c r="D1444" s="236" t="s">
        <v>15549</v>
      </c>
      <c r="E1444" s="301">
        <v>8776.76</v>
      </c>
      <c r="F1444" s="303">
        <v>42959</v>
      </c>
      <c r="G1444" s="301">
        <v>8776.76</v>
      </c>
      <c r="H1444" s="304">
        <f>Tabla13[[#This Row],[Importe]]-Tabla13[[#This Row],[Pagado]]</f>
        <v>0</v>
      </c>
      <c r="I1444" s="275" t="s">
        <v>15214</v>
      </c>
    </row>
    <row r="1445" spans="1:9" x14ac:dyDescent="0.25">
      <c r="A1445" s="299">
        <v>42959</v>
      </c>
      <c r="B1445" s="302" t="s">
        <v>25269</v>
      </c>
      <c r="C1445">
        <v>123417</v>
      </c>
      <c r="D1445" s="236" t="s">
        <v>23937</v>
      </c>
      <c r="E1445" s="301">
        <v>276</v>
      </c>
      <c r="F1445" s="303">
        <v>42959</v>
      </c>
      <c r="G1445" s="301">
        <v>276</v>
      </c>
      <c r="H1445" s="304">
        <f>Tabla13[[#This Row],[Importe]]-Tabla13[[#This Row],[Pagado]]</f>
        <v>0</v>
      </c>
      <c r="I1445" s="275" t="s">
        <v>15214</v>
      </c>
    </row>
    <row r="1446" spans="1:9" x14ac:dyDescent="0.25">
      <c r="A1446" s="299">
        <v>42959</v>
      </c>
      <c r="B1446" s="302" t="s">
        <v>25270</v>
      </c>
      <c r="C1446">
        <v>123418</v>
      </c>
      <c r="D1446" s="236" t="s">
        <v>15246</v>
      </c>
      <c r="E1446" s="301">
        <v>3477.6</v>
      </c>
      <c r="F1446" s="303">
        <v>42961</v>
      </c>
      <c r="G1446" s="301">
        <v>3477.6</v>
      </c>
      <c r="H1446" s="304">
        <f>Tabla13[[#This Row],[Importe]]-Tabla13[[#This Row],[Pagado]]</f>
        <v>0</v>
      </c>
      <c r="I1446" s="275" t="s">
        <v>15214</v>
      </c>
    </row>
    <row r="1447" spans="1:9" x14ac:dyDescent="0.25">
      <c r="A1447" s="299">
        <v>42959</v>
      </c>
      <c r="B1447" s="302" t="s">
        <v>25271</v>
      </c>
      <c r="C1447">
        <v>123419</v>
      </c>
      <c r="D1447" s="236" t="s">
        <v>15252</v>
      </c>
      <c r="E1447" s="301">
        <v>9248.85</v>
      </c>
      <c r="F1447" s="303">
        <v>42963</v>
      </c>
      <c r="G1447" s="301">
        <v>9248.85</v>
      </c>
      <c r="H1447" s="304">
        <f>Tabla13[[#This Row],[Importe]]-Tabla13[[#This Row],[Pagado]]</f>
        <v>0</v>
      </c>
      <c r="I1447" s="275" t="s">
        <v>15214</v>
      </c>
    </row>
    <row r="1448" spans="1:9" x14ac:dyDescent="0.25">
      <c r="A1448" s="299">
        <v>42959</v>
      </c>
      <c r="B1448" s="302" t="s">
        <v>25272</v>
      </c>
      <c r="C1448">
        <v>123420</v>
      </c>
      <c r="D1448" s="236" t="s">
        <v>15307</v>
      </c>
      <c r="E1448" s="301">
        <v>3587</v>
      </c>
      <c r="F1448" s="303">
        <v>42959</v>
      </c>
      <c r="G1448" s="301">
        <v>3587</v>
      </c>
      <c r="H1448" s="304">
        <f>Tabla13[[#This Row],[Importe]]-Tabla13[[#This Row],[Pagado]]</f>
        <v>0</v>
      </c>
      <c r="I1448" s="275" t="s">
        <v>15214</v>
      </c>
    </row>
    <row r="1449" spans="1:9" x14ac:dyDescent="0.25">
      <c r="A1449" s="299">
        <v>42959</v>
      </c>
      <c r="B1449" s="302" t="s">
        <v>25273</v>
      </c>
      <c r="C1449">
        <v>123421</v>
      </c>
      <c r="D1449" s="236" t="s">
        <v>15244</v>
      </c>
      <c r="E1449" s="301">
        <v>19800.349999999999</v>
      </c>
      <c r="F1449" s="303">
        <v>42968</v>
      </c>
      <c r="G1449" s="301">
        <v>19800.349999999999</v>
      </c>
      <c r="H1449" s="304">
        <f>Tabla13[[#This Row],[Importe]]-Tabla13[[#This Row],[Pagado]]</f>
        <v>0</v>
      </c>
      <c r="I1449" s="275" t="s">
        <v>15214</v>
      </c>
    </row>
    <row r="1450" spans="1:9" x14ac:dyDescent="0.25">
      <c r="A1450" s="299">
        <v>42959</v>
      </c>
      <c r="B1450" s="302" t="s">
        <v>25274</v>
      </c>
      <c r="C1450">
        <v>123422</v>
      </c>
      <c r="D1450" s="236" t="s">
        <v>15315</v>
      </c>
      <c r="E1450" s="301">
        <v>2990.4</v>
      </c>
      <c r="F1450" s="303">
        <v>42959</v>
      </c>
      <c r="G1450" s="301">
        <v>2990.4</v>
      </c>
      <c r="H1450" s="304">
        <f>Tabla13[[#This Row],[Importe]]-Tabla13[[#This Row],[Pagado]]</f>
        <v>0</v>
      </c>
      <c r="I1450" s="275" t="s">
        <v>15214</v>
      </c>
    </row>
    <row r="1451" spans="1:9" x14ac:dyDescent="0.25">
      <c r="A1451" s="299">
        <v>42959</v>
      </c>
      <c r="B1451" s="302" t="s">
        <v>25275</v>
      </c>
      <c r="C1451">
        <v>123423</v>
      </c>
      <c r="D1451" s="236" t="s">
        <v>15242</v>
      </c>
      <c r="E1451" s="301">
        <v>9539.2000000000007</v>
      </c>
      <c r="F1451" s="303">
        <v>42959</v>
      </c>
      <c r="G1451" s="301">
        <v>9539.2000000000007</v>
      </c>
      <c r="H1451" s="304">
        <f>Tabla13[[#This Row],[Importe]]-Tabla13[[#This Row],[Pagado]]</f>
        <v>0</v>
      </c>
      <c r="I1451" s="275" t="s">
        <v>15214</v>
      </c>
    </row>
    <row r="1452" spans="1:9" x14ac:dyDescent="0.25">
      <c r="A1452" s="299">
        <v>42959</v>
      </c>
      <c r="B1452" s="302" t="s">
        <v>25276</v>
      </c>
      <c r="C1452">
        <v>123424</v>
      </c>
      <c r="D1452" s="236" t="s">
        <v>15315</v>
      </c>
      <c r="E1452" s="301">
        <v>1454.4</v>
      </c>
      <c r="F1452" s="303">
        <v>42959</v>
      </c>
      <c r="G1452" s="301">
        <v>1454.4</v>
      </c>
      <c r="H1452" s="304">
        <f>Tabla13[[#This Row],[Importe]]-Tabla13[[#This Row],[Pagado]]</f>
        <v>0</v>
      </c>
      <c r="I1452" s="275" t="s">
        <v>15214</v>
      </c>
    </row>
    <row r="1453" spans="1:9" x14ac:dyDescent="0.25">
      <c r="A1453" s="299">
        <v>42959</v>
      </c>
      <c r="B1453" s="302" t="s">
        <v>25277</v>
      </c>
      <c r="C1453">
        <v>123425</v>
      </c>
      <c r="D1453" s="236" t="s">
        <v>15526</v>
      </c>
      <c r="E1453" s="301">
        <v>4898.8999999999996</v>
      </c>
      <c r="F1453" s="303">
        <v>42959</v>
      </c>
      <c r="G1453" s="301">
        <v>4898.8999999999996</v>
      </c>
      <c r="H1453" s="304">
        <f>Tabla13[[#This Row],[Importe]]-Tabla13[[#This Row],[Pagado]]</f>
        <v>0</v>
      </c>
      <c r="I1453" s="275" t="s">
        <v>15214</v>
      </c>
    </row>
    <row r="1454" spans="1:9" x14ac:dyDescent="0.25">
      <c r="A1454" s="299">
        <v>42959</v>
      </c>
      <c r="B1454" s="302" t="s">
        <v>25278</v>
      </c>
      <c r="C1454">
        <v>123426</v>
      </c>
      <c r="D1454" s="236" t="s">
        <v>5583</v>
      </c>
      <c r="E1454" s="301">
        <v>2652.3</v>
      </c>
      <c r="F1454" s="303">
        <v>42959</v>
      </c>
      <c r="G1454" s="301">
        <v>2652.3</v>
      </c>
      <c r="H1454" s="304">
        <f>Tabla13[[#This Row],[Importe]]-Tabla13[[#This Row],[Pagado]]</f>
        <v>0</v>
      </c>
      <c r="I1454" s="275" t="s">
        <v>15214</v>
      </c>
    </row>
    <row r="1455" spans="1:9" x14ac:dyDescent="0.25">
      <c r="A1455" s="299">
        <v>42959</v>
      </c>
      <c r="B1455" s="302" t="s">
        <v>25279</v>
      </c>
      <c r="C1455">
        <v>123427</v>
      </c>
      <c r="D1455" s="236" t="s">
        <v>15742</v>
      </c>
      <c r="E1455" s="301">
        <v>2184</v>
      </c>
      <c r="F1455" s="303">
        <v>42959</v>
      </c>
      <c r="G1455" s="301">
        <v>2184</v>
      </c>
      <c r="H1455" s="304">
        <f>Tabla13[[#This Row],[Importe]]-Tabla13[[#This Row],[Pagado]]</f>
        <v>0</v>
      </c>
      <c r="I1455" s="275" t="s">
        <v>15214</v>
      </c>
    </row>
    <row r="1456" spans="1:9" x14ac:dyDescent="0.25">
      <c r="A1456" s="299">
        <v>42959</v>
      </c>
      <c r="B1456" s="302" t="s">
        <v>25280</v>
      </c>
      <c r="C1456">
        <v>123428</v>
      </c>
      <c r="D1456" s="236" t="s">
        <v>15315</v>
      </c>
      <c r="E1456" s="301">
        <v>1024.7</v>
      </c>
      <c r="F1456" s="266">
        <v>42983</v>
      </c>
      <c r="G1456" s="35">
        <v>1024.7</v>
      </c>
      <c r="H1456" s="304">
        <f>Tabla13[[#This Row],[Importe]]-Tabla13[[#This Row],[Pagado]]</f>
        <v>0</v>
      </c>
      <c r="I1456" s="275" t="s">
        <v>15214</v>
      </c>
    </row>
    <row r="1457" spans="1:9" x14ac:dyDescent="0.25">
      <c r="A1457" s="299">
        <v>42959</v>
      </c>
      <c r="B1457" s="302" t="s">
        <v>25281</v>
      </c>
      <c r="C1457">
        <v>123429</v>
      </c>
      <c r="D1457" s="236" t="s">
        <v>15541</v>
      </c>
      <c r="E1457" s="301">
        <v>2515.1999999999998</v>
      </c>
      <c r="F1457" s="303">
        <v>42959</v>
      </c>
      <c r="G1457" s="301">
        <v>2515.1999999999998</v>
      </c>
      <c r="H1457" s="304">
        <f>Tabla13[[#This Row],[Importe]]-Tabla13[[#This Row],[Pagado]]</f>
        <v>0</v>
      </c>
      <c r="I1457" s="275" t="s">
        <v>15214</v>
      </c>
    </row>
    <row r="1458" spans="1:9" x14ac:dyDescent="0.25">
      <c r="A1458" s="299">
        <v>42959</v>
      </c>
      <c r="B1458" s="302" t="s">
        <v>25282</v>
      </c>
      <c r="C1458">
        <v>123430</v>
      </c>
      <c r="D1458" s="236" t="s">
        <v>15328</v>
      </c>
      <c r="E1458" s="301">
        <v>989.7</v>
      </c>
      <c r="F1458" s="303">
        <v>42969</v>
      </c>
      <c r="G1458" s="301">
        <v>989.7</v>
      </c>
      <c r="H1458" s="304">
        <f>Tabla13[[#This Row],[Importe]]-Tabla13[[#This Row],[Pagado]]</f>
        <v>0</v>
      </c>
      <c r="I1458" s="275" t="s">
        <v>15214</v>
      </c>
    </row>
    <row r="1459" spans="1:9" x14ac:dyDescent="0.25">
      <c r="A1459" s="299">
        <v>42959</v>
      </c>
      <c r="B1459" s="302" t="s">
        <v>25283</v>
      </c>
      <c r="C1459">
        <v>123431</v>
      </c>
      <c r="D1459" s="236" t="s">
        <v>15358</v>
      </c>
      <c r="E1459" s="301">
        <v>2764.6</v>
      </c>
      <c r="F1459" s="303">
        <v>42959</v>
      </c>
      <c r="G1459" s="301">
        <v>2764.6</v>
      </c>
      <c r="H1459" s="304">
        <f>Tabla13[[#This Row],[Importe]]-Tabla13[[#This Row],[Pagado]]</f>
        <v>0</v>
      </c>
      <c r="I1459" s="275" t="s">
        <v>15214</v>
      </c>
    </row>
    <row r="1460" spans="1:9" x14ac:dyDescent="0.25">
      <c r="A1460" s="299">
        <v>42959</v>
      </c>
      <c r="B1460" s="302" t="s">
        <v>25284</v>
      </c>
      <c r="C1460">
        <v>123432</v>
      </c>
      <c r="D1460" s="236" t="s">
        <v>15303</v>
      </c>
      <c r="E1460" s="301">
        <v>3162.45</v>
      </c>
      <c r="F1460" s="303">
        <v>42959</v>
      </c>
      <c r="G1460" s="301">
        <v>3162.45</v>
      </c>
      <c r="H1460" s="304">
        <f>Tabla13[[#This Row],[Importe]]-Tabla13[[#This Row],[Pagado]]</f>
        <v>0</v>
      </c>
      <c r="I1460" s="275" t="s">
        <v>15214</v>
      </c>
    </row>
    <row r="1461" spans="1:9" x14ac:dyDescent="0.25">
      <c r="A1461" s="299">
        <v>42959</v>
      </c>
      <c r="B1461" s="302" t="s">
        <v>25285</v>
      </c>
      <c r="C1461">
        <v>123433</v>
      </c>
      <c r="D1461" s="236" t="s">
        <v>15278</v>
      </c>
      <c r="E1461" s="301">
        <v>4063.8</v>
      </c>
      <c r="F1461" s="303">
        <v>42959</v>
      </c>
      <c r="G1461" s="301">
        <v>4063.8</v>
      </c>
      <c r="H1461" s="304">
        <f>Tabla13[[#This Row],[Importe]]-Tabla13[[#This Row],[Pagado]]</f>
        <v>0</v>
      </c>
      <c r="I1461" s="275" t="s">
        <v>15214</v>
      </c>
    </row>
    <row r="1462" spans="1:9" x14ac:dyDescent="0.25">
      <c r="A1462" s="299">
        <v>42959</v>
      </c>
      <c r="B1462" s="302" t="s">
        <v>25286</v>
      </c>
      <c r="C1462">
        <v>123434</v>
      </c>
      <c r="D1462" s="236" t="s">
        <v>15336</v>
      </c>
      <c r="E1462" s="301">
        <v>10708.8</v>
      </c>
      <c r="F1462" s="303">
        <v>42959</v>
      </c>
      <c r="G1462" s="301">
        <v>10708.8</v>
      </c>
      <c r="H1462" s="304">
        <f>Tabla13[[#This Row],[Importe]]-Tabla13[[#This Row],[Pagado]]</f>
        <v>0</v>
      </c>
      <c r="I1462" s="275" t="s">
        <v>15214</v>
      </c>
    </row>
    <row r="1463" spans="1:9" x14ac:dyDescent="0.25">
      <c r="A1463" s="299">
        <v>42959</v>
      </c>
      <c r="B1463" s="302" t="s">
        <v>25287</v>
      </c>
      <c r="C1463">
        <v>123435</v>
      </c>
      <c r="D1463" s="236" t="s">
        <v>15861</v>
      </c>
      <c r="E1463" s="301">
        <v>1852.2</v>
      </c>
      <c r="F1463" s="303">
        <v>42959</v>
      </c>
      <c r="G1463" s="301">
        <v>1852.2</v>
      </c>
      <c r="H1463" s="304">
        <f>Tabla13[[#This Row],[Importe]]-Tabla13[[#This Row],[Pagado]]</f>
        <v>0</v>
      </c>
      <c r="I1463" s="275" t="s">
        <v>15214</v>
      </c>
    </row>
    <row r="1464" spans="1:9" x14ac:dyDescent="0.25">
      <c r="A1464" s="299">
        <v>42959</v>
      </c>
      <c r="B1464" s="302" t="s">
        <v>25288</v>
      </c>
      <c r="C1464">
        <v>123436</v>
      </c>
      <c r="D1464" s="236" t="s">
        <v>15332</v>
      </c>
      <c r="E1464" s="301">
        <v>5155.2</v>
      </c>
      <c r="F1464" s="303">
        <v>42959</v>
      </c>
      <c r="G1464" s="301">
        <v>5155.2</v>
      </c>
      <c r="H1464" s="304">
        <f>Tabla13[[#This Row],[Importe]]-Tabla13[[#This Row],[Pagado]]</f>
        <v>0</v>
      </c>
      <c r="I1464" s="275" t="s">
        <v>15214</v>
      </c>
    </row>
    <row r="1465" spans="1:9" x14ac:dyDescent="0.25">
      <c r="A1465" s="299">
        <v>42959</v>
      </c>
      <c r="B1465" s="302" t="s">
        <v>25289</v>
      </c>
      <c r="C1465">
        <v>123437</v>
      </c>
      <c r="D1465" s="236" t="s">
        <v>15280</v>
      </c>
      <c r="E1465" s="301">
        <v>6269</v>
      </c>
      <c r="F1465" s="303">
        <v>42959</v>
      </c>
      <c r="G1465" s="301">
        <v>6269</v>
      </c>
      <c r="H1465" s="304">
        <f>Tabla13[[#This Row],[Importe]]-Tabla13[[#This Row],[Pagado]]</f>
        <v>0</v>
      </c>
      <c r="I1465" s="275" t="s">
        <v>15214</v>
      </c>
    </row>
    <row r="1466" spans="1:9" x14ac:dyDescent="0.25">
      <c r="A1466" s="299">
        <v>42959</v>
      </c>
      <c r="B1466" s="302" t="s">
        <v>25290</v>
      </c>
      <c r="C1466">
        <v>123438</v>
      </c>
      <c r="D1466" s="236" t="s">
        <v>15354</v>
      </c>
      <c r="E1466" s="301">
        <v>3165</v>
      </c>
      <c r="F1466" s="303">
        <v>42959</v>
      </c>
      <c r="G1466" s="301">
        <v>3165</v>
      </c>
      <c r="H1466" s="304">
        <f>Tabla13[[#This Row],[Importe]]-Tabla13[[#This Row],[Pagado]]</f>
        <v>0</v>
      </c>
      <c r="I1466" s="275" t="s">
        <v>15214</v>
      </c>
    </row>
    <row r="1467" spans="1:9" x14ac:dyDescent="0.25">
      <c r="A1467" s="299">
        <v>42959</v>
      </c>
      <c r="B1467" s="302" t="s">
        <v>25291</v>
      </c>
      <c r="C1467">
        <v>123439</v>
      </c>
      <c r="D1467" s="236" t="s">
        <v>15305</v>
      </c>
      <c r="E1467" s="301">
        <v>2969.6</v>
      </c>
      <c r="F1467" s="303">
        <v>42959</v>
      </c>
      <c r="G1467" s="301">
        <v>2969.6</v>
      </c>
      <c r="H1467" s="304">
        <f>Tabla13[[#This Row],[Importe]]-Tabla13[[#This Row],[Pagado]]</f>
        <v>0</v>
      </c>
      <c r="I1467" s="275" t="s">
        <v>15214</v>
      </c>
    </row>
    <row r="1468" spans="1:9" ht="30" x14ac:dyDescent="0.25">
      <c r="A1468" s="299">
        <v>42959</v>
      </c>
      <c r="B1468" s="302" t="s">
        <v>25292</v>
      </c>
      <c r="C1468">
        <v>123440</v>
      </c>
      <c r="D1468" s="236" t="s">
        <v>15706</v>
      </c>
      <c r="E1468" s="301">
        <v>3220.4</v>
      </c>
      <c r="F1468" s="303" t="s">
        <v>25293</v>
      </c>
      <c r="G1468" s="305">
        <f>2900+320.4</f>
        <v>3220.4</v>
      </c>
      <c r="H1468" s="304">
        <f>Tabla13[[#This Row],[Importe]]-Tabla13[[#This Row],[Pagado]]</f>
        <v>0</v>
      </c>
      <c r="I1468" s="275" t="s">
        <v>15214</v>
      </c>
    </row>
    <row r="1469" spans="1:9" x14ac:dyDescent="0.25">
      <c r="A1469" s="299">
        <v>42959</v>
      </c>
      <c r="B1469" s="302" t="s">
        <v>25294</v>
      </c>
      <c r="C1469">
        <v>123441</v>
      </c>
      <c r="D1469" s="236" t="s">
        <v>15328</v>
      </c>
      <c r="E1469" s="301">
        <v>2128</v>
      </c>
      <c r="F1469" s="303">
        <v>42969</v>
      </c>
      <c r="G1469" s="301">
        <v>2128</v>
      </c>
      <c r="H1469" s="304">
        <f>Tabla13[[#This Row],[Importe]]-Tabla13[[#This Row],[Pagado]]</f>
        <v>0</v>
      </c>
      <c r="I1469" s="275" t="s">
        <v>15214</v>
      </c>
    </row>
    <row r="1470" spans="1:9" x14ac:dyDescent="0.25">
      <c r="A1470" s="299">
        <v>42959</v>
      </c>
      <c r="B1470" s="302" t="s">
        <v>25295</v>
      </c>
      <c r="C1470">
        <v>123442</v>
      </c>
      <c r="D1470" s="236" t="s">
        <v>15757</v>
      </c>
      <c r="E1470" s="301">
        <v>3331.2</v>
      </c>
      <c r="F1470" s="303">
        <v>42959</v>
      </c>
      <c r="G1470" s="301">
        <v>3331.2</v>
      </c>
      <c r="H1470" s="304">
        <f>Tabla13[[#This Row],[Importe]]-Tabla13[[#This Row],[Pagado]]</f>
        <v>0</v>
      </c>
      <c r="I1470" s="275" t="s">
        <v>15214</v>
      </c>
    </row>
    <row r="1471" spans="1:9" x14ac:dyDescent="0.25">
      <c r="A1471" s="299">
        <v>42959</v>
      </c>
      <c r="B1471" s="302" t="s">
        <v>25296</v>
      </c>
      <c r="C1471">
        <v>123443</v>
      </c>
      <c r="D1471" s="236" t="s">
        <v>16171</v>
      </c>
      <c r="E1471" s="301">
        <v>148.80000000000001</v>
      </c>
      <c r="F1471" s="303">
        <v>42959</v>
      </c>
      <c r="G1471" s="301">
        <v>148.80000000000001</v>
      </c>
      <c r="H1471" s="304">
        <f>Tabla13[[#This Row],[Importe]]-Tabla13[[#This Row],[Pagado]]</f>
        <v>0</v>
      </c>
      <c r="I1471" s="275" t="s">
        <v>15214</v>
      </c>
    </row>
    <row r="1472" spans="1:9" x14ac:dyDescent="0.25">
      <c r="A1472" s="299">
        <v>42959</v>
      </c>
      <c r="B1472" s="302" t="s">
        <v>25297</v>
      </c>
      <c r="C1472">
        <v>123444</v>
      </c>
      <c r="D1472" s="236" t="s">
        <v>15378</v>
      </c>
      <c r="E1472" s="301">
        <v>3326.8</v>
      </c>
      <c r="F1472" s="303">
        <v>42959</v>
      </c>
      <c r="G1472" s="301">
        <v>3326.8</v>
      </c>
      <c r="H1472" s="304">
        <f>Tabla13[[#This Row],[Importe]]-Tabla13[[#This Row],[Pagado]]</f>
        <v>0</v>
      </c>
      <c r="I1472" s="275" t="s">
        <v>15214</v>
      </c>
    </row>
    <row r="1473" spans="1:9" x14ac:dyDescent="0.25">
      <c r="A1473" s="299">
        <v>42959</v>
      </c>
      <c r="B1473" s="302" t="s">
        <v>25298</v>
      </c>
      <c r="C1473">
        <v>123445</v>
      </c>
      <c r="D1473" s="236" t="s">
        <v>15396</v>
      </c>
      <c r="E1473" s="301">
        <v>7669.04</v>
      </c>
      <c r="F1473" s="303">
        <v>42959</v>
      </c>
      <c r="G1473" s="301">
        <v>7669.04</v>
      </c>
      <c r="H1473" s="304">
        <f>Tabla13[[#This Row],[Importe]]-Tabla13[[#This Row],[Pagado]]</f>
        <v>0</v>
      </c>
      <c r="I1473" s="275" t="s">
        <v>15214</v>
      </c>
    </row>
    <row r="1474" spans="1:9" x14ac:dyDescent="0.25">
      <c r="A1474" s="299">
        <v>42959</v>
      </c>
      <c r="B1474" s="302" t="s">
        <v>25299</v>
      </c>
      <c r="C1474">
        <v>123446</v>
      </c>
      <c r="D1474" s="236" t="s">
        <v>15223</v>
      </c>
      <c r="E1474" s="301">
        <v>52716.4</v>
      </c>
      <c r="F1474" s="266">
        <v>42979</v>
      </c>
      <c r="G1474" s="35">
        <v>52716.4</v>
      </c>
      <c r="H1474" s="304">
        <f>Tabla13[[#This Row],[Importe]]-Tabla13[[#This Row],[Pagado]]</f>
        <v>0</v>
      </c>
      <c r="I1474" s="275" t="s">
        <v>15214</v>
      </c>
    </row>
    <row r="1475" spans="1:9" x14ac:dyDescent="0.25">
      <c r="A1475" s="299">
        <v>42959</v>
      </c>
      <c r="B1475" s="302" t="s">
        <v>25300</v>
      </c>
      <c r="C1475">
        <v>123447</v>
      </c>
      <c r="D1475" s="236" t="s">
        <v>15371</v>
      </c>
      <c r="E1475" s="301">
        <v>3862.8</v>
      </c>
      <c r="F1475" s="303">
        <v>42960</v>
      </c>
      <c r="G1475" s="301">
        <v>3862.8</v>
      </c>
      <c r="H1475" s="304">
        <f>Tabla13[[#This Row],[Importe]]-Tabla13[[#This Row],[Pagado]]</f>
        <v>0</v>
      </c>
      <c r="I1475" s="275" t="s">
        <v>15214</v>
      </c>
    </row>
    <row r="1476" spans="1:9" x14ac:dyDescent="0.25">
      <c r="A1476" s="299">
        <v>42959</v>
      </c>
      <c r="B1476" s="302" t="s">
        <v>25301</v>
      </c>
      <c r="C1476">
        <v>123448</v>
      </c>
      <c r="D1476" s="236" t="s">
        <v>15284</v>
      </c>
      <c r="E1476" s="301">
        <v>2083.6</v>
      </c>
      <c r="F1476" s="303">
        <v>42959</v>
      </c>
      <c r="G1476" s="301">
        <v>2083.6</v>
      </c>
      <c r="H1476" s="304">
        <f>Tabla13[[#This Row],[Importe]]-Tabla13[[#This Row],[Pagado]]</f>
        <v>0</v>
      </c>
      <c r="I1476" s="275" t="s">
        <v>15214</v>
      </c>
    </row>
    <row r="1477" spans="1:9" x14ac:dyDescent="0.25">
      <c r="A1477" s="299">
        <v>42959</v>
      </c>
      <c r="B1477" s="302" t="s">
        <v>25302</v>
      </c>
      <c r="C1477">
        <v>123449</v>
      </c>
      <c r="D1477" s="236" t="s">
        <v>15530</v>
      </c>
      <c r="E1477" s="301">
        <v>882</v>
      </c>
      <c r="F1477" s="303">
        <v>42959</v>
      </c>
      <c r="G1477" s="301">
        <v>882</v>
      </c>
      <c r="H1477" s="304">
        <f>Tabla13[[#This Row],[Importe]]-Tabla13[[#This Row],[Pagado]]</f>
        <v>0</v>
      </c>
      <c r="I1477" s="275" t="s">
        <v>15214</v>
      </c>
    </row>
    <row r="1478" spans="1:9" x14ac:dyDescent="0.25">
      <c r="A1478" s="299">
        <v>42959</v>
      </c>
      <c r="B1478" s="302" t="s">
        <v>25303</v>
      </c>
      <c r="C1478">
        <v>123450</v>
      </c>
      <c r="D1478" s="236" t="s">
        <v>15280</v>
      </c>
      <c r="E1478" s="301">
        <v>954</v>
      </c>
      <c r="F1478" s="303">
        <v>42959</v>
      </c>
      <c r="G1478" s="301">
        <v>954</v>
      </c>
      <c r="H1478" s="304">
        <f>Tabla13[[#This Row],[Importe]]-Tabla13[[#This Row],[Pagado]]</f>
        <v>0</v>
      </c>
      <c r="I1478" s="275" t="s">
        <v>15214</v>
      </c>
    </row>
    <row r="1479" spans="1:9" x14ac:dyDescent="0.25">
      <c r="A1479" s="299">
        <v>42959</v>
      </c>
      <c r="B1479" s="302" t="s">
        <v>25304</v>
      </c>
      <c r="C1479">
        <v>123451</v>
      </c>
      <c r="D1479" s="236" t="s">
        <v>15315</v>
      </c>
      <c r="E1479" s="301">
        <v>2524.8000000000002</v>
      </c>
      <c r="F1479" s="303">
        <v>42959</v>
      </c>
      <c r="G1479" s="301">
        <v>2524.8000000000002</v>
      </c>
      <c r="H1479" s="304">
        <f>Tabla13[[#This Row],[Importe]]-Tabla13[[#This Row],[Pagado]]</f>
        <v>0</v>
      </c>
      <c r="I1479" s="275" t="s">
        <v>15214</v>
      </c>
    </row>
    <row r="1480" spans="1:9" x14ac:dyDescent="0.25">
      <c r="A1480" s="299">
        <v>42959</v>
      </c>
      <c r="B1480" s="302" t="s">
        <v>25305</v>
      </c>
      <c r="C1480">
        <v>123452</v>
      </c>
      <c r="D1480" s="236" t="s">
        <v>15315</v>
      </c>
      <c r="E1480" s="301">
        <v>1025.2</v>
      </c>
      <c r="F1480" s="303">
        <v>42959</v>
      </c>
      <c r="G1480" s="301">
        <v>1025.2</v>
      </c>
      <c r="H1480" s="304">
        <f>Tabla13[[#This Row],[Importe]]-Tabla13[[#This Row],[Pagado]]</f>
        <v>0</v>
      </c>
      <c r="I1480" s="275" t="s">
        <v>15214</v>
      </c>
    </row>
    <row r="1481" spans="1:9" x14ac:dyDescent="0.25">
      <c r="A1481" s="299">
        <v>42959</v>
      </c>
      <c r="B1481" s="302" t="s">
        <v>25306</v>
      </c>
      <c r="C1481">
        <v>123453</v>
      </c>
      <c r="D1481" s="236" t="s">
        <v>18258</v>
      </c>
      <c r="E1481" s="301">
        <v>7922</v>
      </c>
      <c r="F1481" s="303">
        <v>42959</v>
      </c>
      <c r="G1481" s="301">
        <v>7922</v>
      </c>
      <c r="H1481" s="304">
        <f>Tabla13[[#This Row],[Importe]]-Tabla13[[#This Row],[Pagado]]</f>
        <v>0</v>
      </c>
      <c r="I1481" s="275" t="s">
        <v>15214</v>
      </c>
    </row>
    <row r="1482" spans="1:9" x14ac:dyDescent="0.25">
      <c r="A1482" s="299">
        <v>42959</v>
      </c>
      <c r="B1482" s="302" t="s">
        <v>25307</v>
      </c>
      <c r="C1482">
        <v>123454</v>
      </c>
      <c r="D1482" s="236" t="s">
        <v>15246</v>
      </c>
      <c r="E1482" s="301">
        <v>3529.04</v>
      </c>
      <c r="F1482" s="303">
        <v>42961</v>
      </c>
      <c r="G1482" s="301">
        <v>3529.04</v>
      </c>
      <c r="H1482" s="304">
        <f>Tabla13[[#This Row],[Importe]]-Tabla13[[#This Row],[Pagado]]</f>
        <v>0</v>
      </c>
      <c r="I1482" s="275" t="s">
        <v>15214</v>
      </c>
    </row>
    <row r="1483" spans="1:9" x14ac:dyDescent="0.25">
      <c r="A1483" s="299">
        <v>42959</v>
      </c>
      <c r="B1483" s="302" t="s">
        <v>25308</v>
      </c>
      <c r="C1483">
        <v>123455</v>
      </c>
      <c r="D1483" s="236" t="s">
        <v>16129</v>
      </c>
      <c r="E1483" s="301">
        <v>390</v>
      </c>
      <c r="F1483" s="303">
        <v>42959</v>
      </c>
      <c r="G1483" s="301">
        <v>390</v>
      </c>
      <c r="H1483" s="304">
        <f>Tabla13[[#This Row],[Importe]]-Tabla13[[#This Row],[Pagado]]</f>
        <v>0</v>
      </c>
      <c r="I1483" s="275" t="s">
        <v>15214</v>
      </c>
    </row>
    <row r="1484" spans="1:9" x14ac:dyDescent="0.25">
      <c r="A1484" s="299">
        <v>42959</v>
      </c>
      <c r="B1484" s="302" t="s">
        <v>25309</v>
      </c>
      <c r="C1484">
        <v>123456</v>
      </c>
      <c r="D1484" s="236" t="s">
        <v>21445</v>
      </c>
      <c r="E1484" s="301">
        <v>2474.8000000000002</v>
      </c>
      <c r="F1484" s="303">
        <v>42960</v>
      </c>
      <c r="G1484" s="301">
        <v>2474.8000000000002</v>
      </c>
      <c r="H1484" s="304">
        <f>Tabla13[[#This Row],[Importe]]-Tabla13[[#This Row],[Pagado]]</f>
        <v>0</v>
      </c>
      <c r="I1484" s="275" t="s">
        <v>15214</v>
      </c>
    </row>
    <row r="1485" spans="1:9" x14ac:dyDescent="0.25">
      <c r="A1485" s="299">
        <v>42959</v>
      </c>
      <c r="B1485" s="302" t="s">
        <v>25310</v>
      </c>
      <c r="C1485">
        <v>123457</v>
      </c>
      <c r="D1485" s="236" t="s">
        <v>17057</v>
      </c>
      <c r="E1485" s="301">
        <v>2932.5</v>
      </c>
      <c r="F1485" s="303">
        <v>42959</v>
      </c>
      <c r="G1485" s="301">
        <v>2932.5</v>
      </c>
      <c r="H1485" s="304">
        <f>Tabla13[[#This Row],[Importe]]-Tabla13[[#This Row],[Pagado]]</f>
        <v>0</v>
      </c>
      <c r="I1485" s="275" t="s">
        <v>15214</v>
      </c>
    </row>
    <row r="1486" spans="1:9" x14ac:dyDescent="0.25">
      <c r="A1486" s="299">
        <v>42959</v>
      </c>
      <c r="B1486" s="302" t="s">
        <v>25311</v>
      </c>
      <c r="C1486">
        <v>123458</v>
      </c>
      <c r="D1486" s="236" t="s">
        <v>15903</v>
      </c>
      <c r="E1486" s="301">
        <v>780</v>
      </c>
      <c r="F1486" s="303">
        <v>42959</v>
      </c>
      <c r="G1486" s="301">
        <v>780</v>
      </c>
      <c r="H1486" s="304">
        <f>Tabla13[[#This Row],[Importe]]-Tabla13[[#This Row],[Pagado]]</f>
        <v>0</v>
      </c>
      <c r="I1486" s="275" t="s">
        <v>15214</v>
      </c>
    </row>
    <row r="1487" spans="1:9" x14ac:dyDescent="0.25">
      <c r="A1487" s="299">
        <v>42959</v>
      </c>
      <c r="B1487" s="302" t="s">
        <v>25312</v>
      </c>
      <c r="C1487">
        <v>123459</v>
      </c>
      <c r="D1487" s="236" t="s">
        <v>15282</v>
      </c>
      <c r="E1487" s="301">
        <v>4358.3999999999996</v>
      </c>
      <c r="F1487" s="303">
        <v>42959</v>
      </c>
      <c r="G1487" s="301">
        <v>4358.3999999999996</v>
      </c>
      <c r="H1487" s="304">
        <f>Tabla13[[#This Row],[Importe]]-Tabla13[[#This Row],[Pagado]]</f>
        <v>0</v>
      </c>
      <c r="I1487" s="275" t="s">
        <v>15214</v>
      </c>
    </row>
    <row r="1488" spans="1:9" x14ac:dyDescent="0.25">
      <c r="A1488" s="299">
        <v>42959</v>
      </c>
      <c r="B1488" s="302" t="s">
        <v>25313</v>
      </c>
      <c r="C1488">
        <v>123460</v>
      </c>
      <c r="D1488" s="236" t="s">
        <v>15566</v>
      </c>
      <c r="E1488" s="301">
        <v>4408</v>
      </c>
      <c r="F1488" s="303">
        <v>42959</v>
      </c>
      <c r="G1488" s="301">
        <v>4408</v>
      </c>
      <c r="H1488" s="304">
        <f>Tabla13[[#This Row],[Importe]]-Tabla13[[#This Row],[Pagado]]</f>
        <v>0</v>
      </c>
      <c r="I1488" s="275" t="s">
        <v>15214</v>
      </c>
    </row>
    <row r="1489" spans="1:9" x14ac:dyDescent="0.25">
      <c r="A1489" s="299">
        <v>42959</v>
      </c>
      <c r="B1489" s="302" t="s">
        <v>25314</v>
      </c>
      <c r="C1489">
        <v>123461</v>
      </c>
      <c r="D1489" s="236" t="s">
        <v>15398</v>
      </c>
      <c r="E1489" s="301">
        <v>210</v>
      </c>
      <c r="F1489" s="303">
        <v>42959</v>
      </c>
      <c r="G1489" s="301">
        <v>210</v>
      </c>
      <c r="H1489" s="304">
        <f>Tabla13[[#This Row],[Importe]]-Tabla13[[#This Row],[Pagado]]</f>
        <v>0</v>
      </c>
      <c r="I1489" s="275" t="s">
        <v>15214</v>
      </c>
    </row>
    <row r="1490" spans="1:9" x14ac:dyDescent="0.25">
      <c r="A1490" s="299">
        <v>42959</v>
      </c>
      <c r="B1490" s="302" t="s">
        <v>25315</v>
      </c>
      <c r="C1490">
        <v>123462</v>
      </c>
      <c r="D1490" s="236" t="s">
        <v>15276</v>
      </c>
      <c r="E1490" s="301">
        <v>4700</v>
      </c>
      <c r="F1490" s="303">
        <v>42961</v>
      </c>
      <c r="G1490" s="301">
        <v>4700</v>
      </c>
      <c r="H1490" s="304">
        <f>Tabla13[[#This Row],[Importe]]-Tabla13[[#This Row],[Pagado]]</f>
        <v>0</v>
      </c>
      <c r="I1490" s="275" t="s">
        <v>15214</v>
      </c>
    </row>
    <row r="1491" spans="1:9" x14ac:dyDescent="0.25">
      <c r="A1491" s="299">
        <v>42959</v>
      </c>
      <c r="B1491" s="302" t="s">
        <v>25316</v>
      </c>
      <c r="C1491">
        <v>123463</v>
      </c>
      <c r="D1491" s="236" t="s">
        <v>15782</v>
      </c>
      <c r="E1491" s="301">
        <v>1575</v>
      </c>
      <c r="F1491" s="303">
        <v>42961</v>
      </c>
      <c r="G1491" s="301">
        <v>1575</v>
      </c>
      <c r="H1491" s="304">
        <f>Tabla13[[#This Row],[Importe]]-Tabla13[[#This Row],[Pagado]]</f>
        <v>0</v>
      </c>
      <c r="I1491" s="275" t="s">
        <v>15214</v>
      </c>
    </row>
    <row r="1492" spans="1:9" x14ac:dyDescent="0.25">
      <c r="A1492" s="299">
        <v>42959</v>
      </c>
      <c r="B1492" s="302" t="s">
        <v>25317</v>
      </c>
      <c r="C1492">
        <v>123464</v>
      </c>
      <c r="D1492" s="236" t="s">
        <v>19933</v>
      </c>
      <c r="E1492" s="301">
        <v>1663.2</v>
      </c>
      <c r="F1492" s="303">
        <v>42959</v>
      </c>
      <c r="G1492" s="301">
        <v>1663.2</v>
      </c>
      <c r="H1492" s="304">
        <f>Tabla13[[#This Row],[Importe]]-Tabla13[[#This Row],[Pagado]]</f>
        <v>0</v>
      </c>
      <c r="I1492" s="275" t="s">
        <v>15214</v>
      </c>
    </row>
    <row r="1493" spans="1:9" x14ac:dyDescent="0.25">
      <c r="A1493" s="299">
        <v>42959</v>
      </c>
      <c r="B1493" s="302" t="s">
        <v>25318</v>
      </c>
      <c r="C1493">
        <v>123465</v>
      </c>
      <c r="D1493" s="236" t="s">
        <v>16288</v>
      </c>
      <c r="E1493" s="301">
        <v>1189</v>
      </c>
      <c r="F1493" s="303">
        <v>42961</v>
      </c>
      <c r="G1493" s="301">
        <v>1189</v>
      </c>
      <c r="H1493" s="304">
        <f>Tabla13[[#This Row],[Importe]]-Tabla13[[#This Row],[Pagado]]</f>
        <v>0</v>
      </c>
      <c r="I1493" s="275" t="s">
        <v>15214</v>
      </c>
    </row>
    <row r="1494" spans="1:9" x14ac:dyDescent="0.25">
      <c r="A1494" s="299">
        <v>42959</v>
      </c>
      <c r="B1494" s="302" t="s">
        <v>25319</v>
      </c>
      <c r="C1494">
        <v>123466</v>
      </c>
      <c r="D1494" s="236" t="s">
        <v>15745</v>
      </c>
      <c r="E1494" s="301">
        <v>1912.56</v>
      </c>
      <c r="F1494" s="303">
        <v>42961</v>
      </c>
      <c r="G1494" s="301">
        <v>1912.56</v>
      </c>
      <c r="H1494" s="304">
        <f>Tabla13[[#This Row],[Importe]]-Tabla13[[#This Row],[Pagado]]</f>
        <v>0</v>
      </c>
      <c r="I1494" s="275" t="s">
        <v>15214</v>
      </c>
    </row>
    <row r="1495" spans="1:9" x14ac:dyDescent="0.25">
      <c r="A1495" s="299">
        <v>42959</v>
      </c>
      <c r="B1495" s="302" t="s">
        <v>25320</v>
      </c>
      <c r="C1495">
        <v>123467</v>
      </c>
      <c r="D1495" s="236" t="s">
        <v>15600</v>
      </c>
      <c r="E1495" s="301">
        <v>2465</v>
      </c>
      <c r="F1495" s="303">
        <v>42961</v>
      </c>
      <c r="G1495" s="301">
        <v>2465</v>
      </c>
      <c r="H1495" s="304">
        <f>Tabla13[[#This Row],[Importe]]-Tabla13[[#This Row],[Pagado]]</f>
        <v>0</v>
      </c>
      <c r="I1495" s="275" t="s">
        <v>15214</v>
      </c>
    </row>
    <row r="1496" spans="1:9" x14ac:dyDescent="0.25">
      <c r="A1496" s="299">
        <v>42959</v>
      </c>
      <c r="B1496" s="302" t="s">
        <v>25321</v>
      </c>
      <c r="C1496">
        <v>123468</v>
      </c>
      <c r="D1496" s="236" t="s">
        <v>17462</v>
      </c>
      <c r="E1496" s="301">
        <v>3556.8</v>
      </c>
      <c r="F1496" s="303">
        <v>42959</v>
      </c>
      <c r="G1496" s="301">
        <v>3556.8</v>
      </c>
      <c r="H1496" s="304">
        <f>Tabla13[[#This Row],[Importe]]-Tabla13[[#This Row],[Pagado]]</f>
        <v>0</v>
      </c>
      <c r="I1496" s="275" t="s">
        <v>15214</v>
      </c>
    </row>
    <row r="1497" spans="1:9" x14ac:dyDescent="0.25">
      <c r="A1497" s="299">
        <v>42959</v>
      </c>
      <c r="B1497" s="302" t="s">
        <v>25322</v>
      </c>
      <c r="C1497">
        <v>123469</v>
      </c>
      <c r="D1497" s="236" t="s">
        <v>19768</v>
      </c>
      <c r="E1497" s="301">
        <v>2350</v>
      </c>
      <c r="F1497" s="303">
        <v>42959</v>
      </c>
      <c r="G1497" s="301">
        <v>2350</v>
      </c>
      <c r="H1497" s="304">
        <f>Tabla13[[#This Row],[Importe]]-Tabla13[[#This Row],[Pagado]]</f>
        <v>0</v>
      </c>
      <c r="I1497" s="275" t="s">
        <v>15214</v>
      </c>
    </row>
    <row r="1498" spans="1:9" x14ac:dyDescent="0.25">
      <c r="A1498" s="299">
        <v>42959</v>
      </c>
      <c r="B1498" s="302" t="s">
        <v>25323</v>
      </c>
      <c r="C1498">
        <v>123470</v>
      </c>
      <c r="D1498" s="236" t="s">
        <v>15322</v>
      </c>
      <c r="E1498" s="301">
        <v>80</v>
      </c>
      <c r="F1498" s="303">
        <v>42959</v>
      </c>
      <c r="G1498" s="301">
        <v>80</v>
      </c>
      <c r="H1498" s="304">
        <f>Tabla13[[#This Row],[Importe]]-Tabla13[[#This Row],[Pagado]]</f>
        <v>0</v>
      </c>
      <c r="I1498" s="275" t="s">
        <v>15214</v>
      </c>
    </row>
    <row r="1499" spans="1:9" x14ac:dyDescent="0.25">
      <c r="A1499" s="299">
        <v>42959</v>
      </c>
      <c r="B1499" s="302" t="s">
        <v>25324</v>
      </c>
      <c r="C1499">
        <v>123471</v>
      </c>
      <c r="D1499" s="236" t="s">
        <v>5556</v>
      </c>
      <c r="E1499" s="301">
        <v>4329.6000000000004</v>
      </c>
      <c r="F1499" s="303">
        <v>42961</v>
      </c>
      <c r="G1499" s="301">
        <v>4329.6000000000004</v>
      </c>
      <c r="H1499" s="304">
        <f>Tabla13[[#This Row],[Importe]]-Tabla13[[#This Row],[Pagado]]</f>
        <v>0</v>
      </c>
      <c r="I1499" s="275" t="s">
        <v>15214</v>
      </c>
    </row>
    <row r="1500" spans="1:9" x14ac:dyDescent="0.25">
      <c r="A1500" s="299">
        <v>42959</v>
      </c>
      <c r="B1500" s="302" t="s">
        <v>25325</v>
      </c>
      <c r="C1500">
        <v>123472</v>
      </c>
      <c r="D1500" s="236" t="s">
        <v>17458</v>
      </c>
      <c r="E1500" s="301">
        <v>1087.8</v>
      </c>
      <c r="F1500" s="303">
        <v>42961</v>
      </c>
      <c r="G1500" s="301">
        <v>1087.8</v>
      </c>
      <c r="H1500" s="304">
        <f>Tabla13[[#This Row],[Importe]]-Tabla13[[#This Row],[Pagado]]</f>
        <v>0</v>
      </c>
      <c r="I1500" s="275" t="s">
        <v>15214</v>
      </c>
    </row>
    <row r="1501" spans="1:9" x14ac:dyDescent="0.25">
      <c r="A1501" s="299">
        <v>42959</v>
      </c>
      <c r="B1501" s="302" t="s">
        <v>25326</v>
      </c>
      <c r="C1501">
        <v>123473</v>
      </c>
      <c r="D1501" s="236" t="s">
        <v>15313</v>
      </c>
      <c r="E1501" s="301">
        <v>10474.200000000001</v>
      </c>
      <c r="F1501" s="303">
        <v>42966</v>
      </c>
      <c r="G1501" s="301">
        <v>10474.200000000001</v>
      </c>
      <c r="H1501" s="304">
        <f>Tabla13[[#This Row],[Importe]]-Tabla13[[#This Row],[Pagado]]</f>
        <v>0</v>
      </c>
      <c r="I1501" s="275" t="s">
        <v>15214</v>
      </c>
    </row>
    <row r="1502" spans="1:9" x14ac:dyDescent="0.25">
      <c r="A1502" s="299">
        <v>42959</v>
      </c>
      <c r="B1502" s="302" t="s">
        <v>25327</v>
      </c>
      <c r="C1502">
        <v>123474</v>
      </c>
      <c r="D1502" s="236" t="s">
        <v>15417</v>
      </c>
      <c r="E1502" s="301">
        <v>5561.4</v>
      </c>
      <c r="F1502" s="303">
        <v>42961</v>
      </c>
      <c r="G1502" s="301">
        <v>5561.4</v>
      </c>
      <c r="H1502" s="304">
        <f>Tabla13[[#This Row],[Importe]]-Tabla13[[#This Row],[Pagado]]</f>
        <v>0</v>
      </c>
      <c r="I1502" s="275" t="s">
        <v>15214</v>
      </c>
    </row>
    <row r="1503" spans="1:9" x14ac:dyDescent="0.25">
      <c r="A1503" s="299">
        <v>42959</v>
      </c>
      <c r="B1503" s="302" t="s">
        <v>25328</v>
      </c>
      <c r="C1503">
        <v>123475</v>
      </c>
      <c r="D1503" s="236" t="s">
        <v>15315</v>
      </c>
      <c r="E1503" s="301">
        <v>1550.4</v>
      </c>
      <c r="F1503" s="303">
        <v>42959</v>
      </c>
      <c r="G1503" s="301">
        <v>1550.4</v>
      </c>
      <c r="H1503" s="304">
        <f>Tabla13[[#This Row],[Importe]]-Tabla13[[#This Row],[Pagado]]</f>
        <v>0</v>
      </c>
      <c r="I1503" s="275" t="s">
        <v>15214</v>
      </c>
    </row>
    <row r="1504" spans="1:9" x14ac:dyDescent="0.25">
      <c r="A1504" s="299">
        <v>42959</v>
      </c>
      <c r="B1504" s="302" t="s">
        <v>25329</v>
      </c>
      <c r="C1504">
        <v>123476</v>
      </c>
      <c r="D1504" s="236" t="s">
        <v>15309</v>
      </c>
      <c r="E1504" s="301">
        <v>1974</v>
      </c>
      <c r="F1504" s="303">
        <v>42961</v>
      </c>
      <c r="G1504" s="301">
        <v>1974</v>
      </c>
      <c r="H1504" s="304">
        <f>Tabla13[[#This Row],[Importe]]-Tabla13[[#This Row],[Pagado]]</f>
        <v>0</v>
      </c>
      <c r="I1504" s="275" t="s">
        <v>15214</v>
      </c>
    </row>
    <row r="1505" spans="1:9" x14ac:dyDescent="0.25">
      <c r="A1505" s="299">
        <v>42959</v>
      </c>
      <c r="B1505" s="302" t="s">
        <v>25330</v>
      </c>
      <c r="C1505">
        <v>123477</v>
      </c>
      <c r="D1505" s="236" t="s">
        <v>17708</v>
      </c>
      <c r="E1505" s="301">
        <v>8919.7999999999993</v>
      </c>
      <c r="F1505" s="303">
        <v>42960</v>
      </c>
      <c r="G1505" s="301">
        <v>8919.7999999999993</v>
      </c>
      <c r="H1505" s="304">
        <f>Tabla13[[#This Row],[Importe]]-Tabla13[[#This Row],[Pagado]]</f>
        <v>0</v>
      </c>
      <c r="I1505" s="275" t="s">
        <v>15214</v>
      </c>
    </row>
    <row r="1506" spans="1:9" x14ac:dyDescent="0.25">
      <c r="A1506" s="299">
        <v>42959</v>
      </c>
      <c r="B1506" s="302" t="s">
        <v>25331</v>
      </c>
      <c r="C1506">
        <v>123478</v>
      </c>
      <c r="D1506" s="236" t="s">
        <v>15600</v>
      </c>
      <c r="E1506" s="301">
        <v>826.2</v>
      </c>
      <c r="F1506" s="303">
        <v>42961</v>
      </c>
      <c r="G1506" s="301">
        <v>826.2</v>
      </c>
      <c r="H1506" s="304">
        <f>Tabla13[[#This Row],[Importe]]-Tabla13[[#This Row],[Pagado]]</f>
        <v>0</v>
      </c>
      <c r="I1506" s="275" t="s">
        <v>15214</v>
      </c>
    </row>
    <row r="1507" spans="1:9" x14ac:dyDescent="0.25">
      <c r="A1507" s="299">
        <v>42959</v>
      </c>
      <c r="B1507" s="302" t="s">
        <v>25332</v>
      </c>
      <c r="C1507">
        <v>123479</v>
      </c>
      <c r="D1507" s="236" t="s">
        <v>15544</v>
      </c>
      <c r="E1507" s="301">
        <v>2082</v>
      </c>
      <c r="F1507" s="303">
        <v>42960</v>
      </c>
      <c r="G1507" s="301">
        <v>2082</v>
      </c>
      <c r="H1507" s="304">
        <f>Tabla13[[#This Row],[Importe]]-Tabla13[[#This Row],[Pagado]]</f>
        <v>0</v>
      </c>
      <c r="I1507" s="275" t="s">
        <v>15214</v>
      </c>
    </row>
    <row r="1508" spans="1:9" x14ac:dyDescent="0.25">
      <c r="A1508" s="299">
        <v>42959</v>
      </c>
      <c r="B1508" s="302" t="s">
        <v>25333</v>
      </c>
      <c r="C1508">
        <v>123480</v>
      </c>
      <c r="D1508" s="236" t="s">
        <v>15442</v>
      </c>
      <c r="E1508" s="301">
        <v>13486</v>
      </c>
      <c r="F1508" s="303">
        <v>42968</v>
      </c>
      <c r="G1508" s="301">
        <v>13486</v>
      </c>
      <c r="H1508" s="304">
        <f>Tabla13[[#This Row],[Importe]]-Tabla13[[#This Row],[Pagado]]</f>
        <v>0</v>
      </c>
      <c r="I1508" s="275" t="s">
        <v>15214</v>
      </c>
    </row>
    <row r="1509" spans="1:9" ht="15.75" x14ac:dyDescent="0.25">
      <c r="A1509" s="299">
        <v>42959</v>
      </c>
      <c r="B1509" s="302" t="s">
        <v>25334</v>
      </c>
      <c r="C1509">
        <v>123481</v>
      </c>
      <c r="D1509" s="248" t="s">
        <v>95</v>
      </c>
      <c r="E1509" s="301">
        <v>0</v>
      </c>
      <c r="F1509" s="243" t="s">
        <v>95</v>
      </c>
      <c r="G1509" s="301">
        <v>0</v>
      </c>
      <c r="H1509" s="304">
        <f>Tabla13[[#This Row],[Importe]]-Tabla13[[#This Row],[Pagado]]</f>
        <v>0</v>
      </c>
      <c r="I1509" s="275" t="s">
        <v>95</v>
      </c>
    </row>
    <row r="1510" spans="1:9" x14ac:dyDescent="0.25">
      <c r="A1510" s="299">
        <v>42959</v>
      </c>
      <c r="B1510" s="302" t="s">
        <v>25335</v>
      </c>
      <c r="C1510">
        <v>123482</v>
      </c>
      <c r="D1510" s="236" t="s">
        <v>15315</v>
      </c>
      <c r="E1510" s="301">
        <v>7725.8</v>
      </c>
      <c r="F1510" s="303">
        <v>42973</v>
      </c>
      <c r="G1510" s="301">
        <v>7725.8</v>
      </c>
      <c r="H1510" s="304">
        <f>Tabla13[[#This Row],[Importe]]-Tabla13[[#This Row],[Pagado]]</f>
        <v>0</v>
      </c>
      <c r="I1510" s="275" t="s">
        <v>15214</v>
      </c>
    </row>
    <row r="1511" spans="1:9" x14ac:dyDescent="0.25">
      <c r="A1511" s="299">
        <v>42959</v>
      </c>
      <c r="B1511" s="302" t="s">
        <v>25336</v>
      </c>
      <c r="C1511">
        <v>123483</v>
      </c>
      <c r="D1511" s="236" t="s">
        <v>15315</v>
      </c>
      <c r="E1511" s="301">
        <v>377.2</v>
      </c>
      <c r="F1511" s="303">
        <v>42959</v>
      </c>
      <c r="G1511" s="301">
        <v>377.2</v>
      </c>
      <c r="H1511" s="304">
        <f>Tabla13[[#This Row],[Importe]]-Tabla13[[#This Row],[Pagado]]</f>
        <v>0</v>
      </c>
      <c r="I1511" s="275" t="s">
        <v>15214</v>
      </c>
    </row>
    <row r="1512" spans="1:9" x14ac:dyDescent="0.25">
      <c r="A1512" s="299">
        <v>42959</v>
      </c>
      <c r="B1512" s="302" t="s">
        <v>25337</v>
      </c>
      <c r="C1512">
        <v>123484</v>
      </c>
      <c r="D1512" s="236" t="s">
        <v>15725</v>
      </c>
      <c r="E1512" s="301">
        <v>27937.4</v>
      </c>
      <c r="F1512" s="303">
        <v>42960</v>
      </c>
      <c r="G1512" s="301">
        <v>27937.4</v>
      </c>
      <c r="H1512" s="304">
        <f>Tabla13[[#This Row],[Importe]]-Tabla13[[#This Row],[Pagado]]</f>
        <v>0</v>
      </c>
      <c r="I1512" s="275" t="s">
        <v>15214</v>
      </c>
    </row>
    <row r="1513" spans="1:9" x14ac:dyDescent="0.25">
      <c r="A1513" s="299">
        <v>42959</v>
      </c>
      <c r="B1513" s="302" t="s">
        <v>25338</v>
      </c>
      <c r="C1513">
        <v>123485</v>
      </c>
      <c r="D1513" s="236" t="s">
        <v>15628</v>
      </c>
      <c r="E1513" s="301">
        <v>5773.2</v>
      </c>
      <c r="F1513" s="303">
        <v>42959</v>
      </c>
      <c r="G1513" s="301">
        <v>5773.2</v>
      </c>
      <c r="H1513" s="304">
        <f>Tabla13[[#This Row],[Importe]]-Tabla13[[#This Row],[Pagado]]</f>
        <v>0</v>
      </c>
      <c r="I1513" s="275" t="s">
        <v>15214</v>
      </c>
    </row>
    <row r="1514" spans="1:9" x14ac:dyDescent="0.25">
      <c r="A1514" s="299">
        <v>42959</v>
      </c>
      <c r="B1514" s="302" t="s">
        <v>25339</v>
      </c>
      <c r="C1514">
        <v>123486</v>
      </c>
      <c r="D1514" s="236" t="s">
        <v>19933</v>
      </c>
      <c r="E1514" s="301">
        <v>781.2</v>
      </c>
      <c r="F1514" s="303">
        <v>42959</v>
      </c>
      <c r="G1514" s="301">
        <v>781.2</v>
      </c>
      <c r="H1514" s="304">
        <f>Tabla13[[#This Row],[Importe]]-Tabla13[[#This Row],[Pagado]]</f>
        <v>0</v>
      </c>
      <c r="I1514" s="275" t="s">
        <v>15214</v>
      </c>
    </row>
    <row r="1515" spans="1:9" ht="30" x14ac:dyDescent="0.25">
      <c r="A1515" s="299">
        <v>42959</v>
      </c>
      <c r="B1515" s="302" t="s">
        <v>25340</v>
      </c>
      <c r="C1515">
        <v>123487</v>
      </c>
      <c r="D1515" s="236" t="s">
        <v>15246</v>
      </c>
      <c r="E1515" s="301">
        <v>421930.23999999999</v>
      </c>
      <c r="F1515" s="303" t="s">
        <v>25341</v>
      </c>
      <c r="G1515" s="305">
        <f>236130.74+185799.5</f>
        <v>421930.23999999999</v>
      </c>
      <c r="H1515" s="304">
        <f>Tabla13[[#This Row],[Importe]]-Tabla13[[#This Row],[Pagado]]</f>
        <v>0</v>
      </c>
      <c r="I1515" s="275" t="s">
        <v>15214</v>
      </c>
    </row>
    <row r="1516" spans="1:9" ht="15.75" x14ac:dyDescent="0.25">
      <c r="A1516" s="299">
        <v>42959</v>
      </c>
      <c r="B1516" s="302" t="s">
        <v>25342</v>
      </c>
      <c r="C1516">
        <v>123488</v>
      </c>
      <c r="D1516" s="248" t="s">
        <v>95</v>
      </c>
      <c r="E1516" s="301">
        <v>0</v>
      </c>
      <c r="F1516" s="243" t="s">
        <v>95</v>
      </c>
      <c r="G1516" s="301">
        <v>0</v>
      </c>
      <c r="H1516" s="304">
        <f>Tabla13[[#This Row],[Importe]]-Tabla13[[#This Row],[Pagado]]</f>
        <v>0</v>
      </c>
      <c r="I1516" s="275" t="s">
        <v>95</v>
      </c>
    </row>
    <row r="1517" spans="1:9" x14ac:dyDescent="0.25">
      <c r="A1517" s="299">
        <v>42959</v>
      </c>
      <c r="B1517" s="302" t="s">
        <v>25343</v>
      </c>
      <c r="C1517">
        <v>123489</v>
      </c>
      <c r="D1517" s="236" t="s">
        <v>15789</v>
      </c>
      <c r="E1517" s="301">
        <v>28230.5</v>
      </c>
      <c r="F1517" s="303">
        <v>42966</v>
      </c>
      <c r="G1517" s="301">
        <v>28230.5</v>
      </c>
      <c r="H1517" s="304">
        <f>Tabla13[[#This Row],[Importe]]-Tabla13[[#This Row],[Pagado]]</f>
        <v>0</v>
      </c>
      <c r="I1517" s="275" t="s">
        <v>15214</v>
      </c>
    </row>
    <row r="1518" spans="1:9" x14ac:dyDescent="0.25">
      <c r="A1518" s="299">
        <v>42959</v>
      </c>
      <c r="B1518" s="302" t="s">
        <v>25344</v>
      </c>
      <c r="C1518">
        <v>123490</v>
      </c>
      <c r="D1518" s="236" t="s">
        <v>15213</v>
      </c>
      <c r="E1518" s="301">
        <v>21866.35</v>
      </c>
      <c r="F1518" s="303">
        <v>42961</v>
      </c>
      <c r="G1518" s="301">
        <v>21866.35</v>
      </c>
      <c r="H1518" s="304">
        <f>Tabla13[[#This Row],[Importe]]-Tabla13[[#This Row],[Pagado]]</f>
        <v>0</v>
      </c>
      <c r="I1518" s="275" t="s">
        <v>15214</v>
      </c>
    </row>
    <row r="1519" spans="1:9" x14ac:dyDescent="0.25">
      <c r="A1519" s="299">
        <v>42959</v>
      </c>
      <c r="B1519" s="302" t="s">
        <v>25345</v>
      </c>
      <c r="C1519">
        <v>123491</v>
      </c>
      <c r="D1519" s="236" t="s">
        <v>15315</v>
      </c>
      <c r="E1519" s="301">
        <v>197.2</v>
      </c>
      <c r="F1519" s="303">
        <v>42959</v>
      </c>
      <c r="G1519" s="301">
        <v>197.2</v>
      </c>
      <c r="H1519" s="304">
        <f>Tabla13[[#This Row],[Importe]]-Tabla13[[#This Row],[Pagado]]</f>
        <v>0</v>
      </c>
      <c r="I1519" s="275" t="s">
        <v>15214</v>
      </c>
    </row>
    <row r="1520" spans="1:9" x14ac:dyDescent="0.25">
      <c r="A1520" s="299">
        <v>42959</v>
      </c>
      <c r="B1520" s="302" t="s">
        <v>25346</v>
      </c>
      <c r="C1520">
        <v>123492</v>
      </c>
      <c r="D1520" s="236" t="s">
        <v>15284</v>
      </c>
      <c r="E1520" s="301">
        <v>744.8</v>
      </c>
      <c r="F1520" s="303">
        <v>42959</v>
      </c>
      <c r="G1520" s="301">
        <v>744.8</v>
      </c>
      <c r="H1520" s="304">
        <f>Tabla13[[#This Row],[Importe]]-Tabla13[[#This Row],[Pagado]]</f>
        <v>0</v>
      </c>
      <c r="I1520" s="275" t="s">
        <v>15214</v>
      </c>
    </row>
    <row r="1521" spans="1:9" x14ac:dyDescent="0.25">
      <c r="A1521" s="299">
        <v>42959</v>
      </c>
      <c r="B1521" s="302" t="s">
        <v>25347</v>
      </c>
      <c r="C1521">
        <v>123493</v>
      </c>
      <c r="D1521" s="236" t="s">
        <v>5583</v>
      </c>
      <c r="E1521" s="301">
        <v>432</v>
      </c>
      <c r="F1521" s="303">
        <v>42959</v>
      </c>
      <c r="G1521" s="301">
        <v>432</v>
      </c>
      <c r="H1521" s="304">
        <f>Tabla13[[#This Row],[Importe]]-Tabla13[[#This Row],[Pagado]]</f>
        <v>0</v>
      </c>
      <c r="I1521" s="275" t="s">
        <v>15214</v>
      </c>
    </row>
    <row r="1522" spans="1:9" x14ac:dyDescent="0.25">
      <c r="A1522" s="299">
        <v>42959</v>
      </c>
      <c r="B1522" s="302" t="s">
        <v>25348</v>
      </c>
      <c r="C1522">
        <v>123494</v>
      </c>
      <c r="D1522" s="236" t="s">
        <v>15246</v>
      </c>
      <c r="E1522" s="301">
        <v>95235.95</v>
      </c>
      <c r="F1522" s="303">
        <v>42963</v>
      </c>
      <c r="G1522" s="301">
        <v>95235.95</v>
      </c>
      <c r="H1522" s="304">
        <f>Tabla13[[#This Row],[Importe]]-Tabla13[[#This Row],[Pagado]]</f>
        <v>0</v>
      </c>
      <c r="I1522" s="275" t="s">
        <v>15214</v>
      </c>
    </row>
    <row r="1523" spans="1:9" x14ac:dyDescent="0.25">
      <c r="A1523" s="299">
        <v>42959</v>
      </c>
      <c r="B1523" s="302" t="s">
        <v>25349</v>
      </c>
      <c r="C1523">
        <v>123495</v>
      </c>
      <c r="D1523" s="236" t="s">
        <v>15810</v>
      </c>
      <c r="E1523" s="301">
        <v>457.2</v>
      </c>
      <c r="F1523" s="303">
        <v>42959</v>
      </c>
      <c r="G1523" s="301">
        <v>457.2</v>
      </c>
      <c r="H1523" s="304">
        <f>Tabla13[[#This Row],[Importe]]-Tabla13[[#This Row],[Pagado]]</f>
        <v>0</v>
      </c>
      <c r="I1523" s="275" t="s">
        <v>15214</v>
      </c>
    </row>
    <row r="1524" spans="1:9" x14ac:dyDescent="0.25">
      <c r="A1524" s="299">
        <v>42959</v>
      </c>
      <c r="B1524" s="302" t="s">
        <v>25350</v>
      </c>
      <c r="C1524">
        <v>123496</v>
      </c>
      <c r="D1524" s="236" t="s">
        <v>15365</v>
      </c>
      <c r="E1524" s="301">
        <v>488744</v>
      </c>
      <c r="F1524" s="303">
        <v>42965</v>
      </c>
      <c r="G1524" s="301">
        <v>488744</v>
      </c>
      <c r="H1524" s="304">
        <f>Tabla13[[#This Row],[Importe]]-Tabla13[[#This Row],[Pagado]]</f>
        <v>0</v>
      </c>
      <c r="I1524" s="275" t="s">
        <v>15214</v>
      </c>
    </row>
    <row r="1525" spans="1:9" x14ac:dyDescent="0.25">
      <c r="A1525" s="299">
        <v>42959</v>
      </c>
      <c r="B1525" s="302" t="s">
        <v>25351</v>
      </c>
      <c r="C1525">
        <v>123497</v>
      </c>
      <c r="D1525" s="236" t="s">
        <v>15246</v>
      </c>
      <c r="E1525" s="301">
        <v>64297.599999999999</v>
      </c>
      <c r="F1525" s="303">
        <v>42963</v>
      </c>
      <c r="G1525" s="301">
        <v>64297.599999999999</v>
      </c>
      <c r="H1525" s="304">
        <f>Tabla13[[#This Row],[Importe]]-Tabla13[[#This Row],[Pagado]]</f>
        <v>0</v>
      </c>
      <c r="I1525" s="275" t="s">
        <v>15214</v>
      </c>
    </row>
    <row r="1526" spans="1:9" x14ac:dyDescent="0.25">
      <c r="A1526" s="299">
        <v>42959</v>
      </c>
      <c r="B1526" s="302" t="s">
        <v>25352</v>
      </c>
      <c r="C1526">
        <v>123498</v>
      </c>
      <c r="D1526" s="236" t="s">
        <v>19680</v>
      </c>
      <c r="E1526" s="301">
        <v>150</v>
      </c>
      <c r="F1526" s="303">
        <v>42959</v>
      </c>
      <c r="G1526" s="301">
        <v>150</v>
      </c>
      <c r="H1526" s="304">
        <f>Tabla13[[#This Row],[Importe]]-Tabla13[[#This Row],[Pagado]]</f>
        <v>0</v>
      </c>
      <c r="I1526" s="275" t="s">
        <v>15214</v>
      </c>
    </row>
    <row r="1527" spans="1:9" x14ac:dyDescent="0.25">
      <c r="A1527" s="299">
        <v>42959</v>
      </c>
      <c r="B1527" s="302" t="s">
        <v>25353</v>
      </c>
      <c r="C1527">
        <v>123499</v>
      </c>
      <c r="D1527" s="236" t="s">
        <v>15322</v>
      </c>
      <c r="E1527" s="301">
        <v>3912</v>
      </c>
      <c r="F1527" s="303">
        <v>42959</v>
      </c>
      <c r="G1527" s="301">
        <v>3912</v>
      </c>
      <c r="H1527" s="304">
        <f>Tabla13[[#This Row],[Importe]]-Tabla13[[#This Row],[Pagado]]</f>
        <v>0</v>
      </c>
      <c r="I1527" s="275" t="s">
        <v>15214</v>
      </c>
    </row>
    <row r="1528" spans="1:9" x14ac:dyDescent="0.25">
      <c r="A1528" s="299">
        <v>42959</v>
      </c>
      <c r="B1528" s="302" t="s">
        <v>25354</v>
      </c>
      <c r="C1528">
        <v>123500</v>
      </c>
      <c r="D1528" s="236" t="s">
        <v>15378</v>
      </c>
      <c r="E1528" s="301">
        <v>1058.0999999999999</v>
      </c>
      <c r="F1528" s="303">
        <v>42959</v>
      </c>
      <c r="G1528" s="301">
        <v>1058.0999999999999</v>
      </c>
      <c r="H1528" s="304">
        <f>Tabla13[[#This Row],[Importe]]-Tabla13[[#This Row],[Pagado]]</f>
        <v>0</v>
      </c>
      <c r="I1528" s="275" t="s">
        <v>15214</v>
      </c>
    </row>
    <row r="1529" spans="1:9" x14ac:dyDescent="0.25">
      <c r="A1529" s="299">
        <v>42959</v>
      </c>
      <c r="B1529" s="302" t="s">
        <v>25355</v>
      </c>
      <c r="C1529">
        <v>123501</v>
      </c>
      <c r="D1529" s="236" t="s">
        <v>15642</v>
      </c>
      <c r="E1529" s="301">
        <v>3174.08</v>
      </c>
      <c r="F1529" s="303">
        <v>42959</v>
      </c>
      <c r="G1529" s="301">
        <v>3174.08</v>
      </c>
      <c r="H1529" s="304">
        <f>Tabla13[[#This Row],[Importe]]-Tabla13[[#This Row],[Pagado]]</f>
        <v>0</v>
      </c>
      <c r="I1529" s="275" t="s">
        <v>15214</v>
      </c>
    </row>
    <row r="1530" spans="1:9" x14ac:dyDescent="0.25">
      <c r="A1530" s="299">
        <v>42959</v>
      </c>
      <c r="B1530" s="302" t="s">
        <v>25356</v>
      </c>
      <c r="C1530">
        <v>123502</v>
      </c>
      <c r="D1530" s="236" t="s">
        <v>15642</v>
      </c>
      <c r="E1530" s="301">
        <v>4302.8999999999996</v>
      </c>
      <c r="F1530" s="303">
        <v>42959</v>
      </c>
      <c r="G1530" s="301">
        <v>4302.8999999999996</v>
      </c>
      <c r="H1530" s="304">
        <f>Tabla13[[#This Row],[Importe]]-Tabla13[[#This Row],[Pagado]]</f>
        <v>0</v>
      </c>
      <c r="I1530" s="275" t="s">
        <v>15214</v>
      </c>
    </row>
    <row r="1531" spans="1:9" x14ac:dyDescent="0.25">
      <c r="A1531" s="299">
        <v>42959</v>
      </c>
      <c r="B1531" s="302" t="s">
        <v>25357</v>
      </c>
      <c r="C1531">
        <v>123503</v>
      </c>
      <c r="D1531" s="236" t="s">
        <v>15407</v>
      </c>
      <c r="E1531" s="301">
        <v>610.5</v>
      </c>
      <c r="F1531" s="303">
        <v>42960</v>
      </c>
      <c r="G1531" s="301">
        <v>610.5</v>
      </c>
      <c r="H1531" s="304">
        <f>Tabla13[[#This Row],[Importe]]-Tabla13[[#This Row],[Pagado]]</f>
        <v>0</v>
      </c>
      <c r="I1531" s="275" t="s">
        <v>15214</v>
      </c>
    </row>
    <row r="1532" spans="1:9" x14ac:dyDescent="0.25">
      <c r="A1532" s="299">
        <v>42959</v>
      </c>
      <c r="B1532" s="302" t="s">
        <v>25358</v>
      </c>
      <c r="C1532">
        <v>123504</v>
      </c>
      <c r="D1532" s="236" t="s">
        <v>15681</v>
      </c>
      <c r="E1532" s="301">
        <v>2433.6</v>
      </c>
      <c r="F1532" s="303">
        <v>42960</v>
      </c>
      <c r="G1532" s="301">
        <v>2433.6</v>
      </c>
      <c r="H1532" s="304">
        <f>Tabla13[[#This Row],[Importe]]-Tabla13[[#This Row],[Pagado]]</f>
        <v>0</v>
      </c>
      <c r="I1532" s="275" t="s">
        <v>15214</v>
      </c>
    </row>
    <row r="1533" spans="1:9" x14ac:dyDescent="0.25">
      <c r="A1533" s="299">
        <v>42959</v>
      </c>
      <c r="B1533" s="302" t="s">
        <v>25359</v>
      </c>
      <c r="C1533">
        <v>123505</v>
      </c>
      <c r="D1533" s="236" t="s">
        <v>16313</v>
      </c>
      <c r="E1533" s="301">
        <v>2671.2</v>
      </c>
      <c r="F1533" s="303">
        <v>42960</v>
      </c>
      <c r="G1533" s="301">
        <v>2671.2</v>
      </c>
      <c r="H1533" s="304">
        <f>Tabla13[[#This Row],[Importe]]-Tabla13[[#This Row],[Pagado]]</f>
        <v>0</v>
      </c>
      <c r="I1533" s="275" t="s">
        <v>15214</v>
      </c>
    </row>
    <row r="1534" spans="1:9" x14ac:dyDescent="0.25">
      <c r="A1534" s="299">
        <v>42960</v>
      </c>
      <c r="B1534" s="302" t="s">
        <v>25360</v>
      </c>
      <c r="C1534">
        <v>123506</v>
      </c>
      <c r="D1534" s="236" t="s">
        <v>21386</v>
      </c>
      <c r="E1534" s="301">
        <v>9430.75</v>
      </c>
      <c r="F1534" s="303">
        <v>42962</v>
      </c>
      <c r="G1534" s="301">
        <v>9430.75</v>
      </c>
      <c r="H1534" s="304">
        <f>Tabla13[[#This Row],[Importe]]-Tabla13[[#This Row],[Pagado]]</f>
        <v>0</v>
      </c>
      <c r="I1534" s="275" t="s">
        <v>15214</v>
      </c>
    </row>
    <row r="1535" spans="1:9" x14ac:dyDescent="0.25">
      <c r="A1535" s="299">
        <v>42960</v>
      </c>
      <c r="B1535" s="302" t="s">
        <v>25361</v>
      </c>
      <c r="C1535">
        <v>123507</v>
      </c>
      <c r="D1535" s="236" t="s">
        <v>15213</v>
      </c>
      <c r="E1535" s="301">
        <v>16977.650000000001</v>
      </c>
      <c r="F1535" s="303">
        <v>42961</v>
      </c>
      <c r="G1535" s="301">
        <v>16977.650000000001</v>
      </c>
      <c r="H1535" s="304">
        <f>Tabla13[[#This Row],[Importe]]-Tabla13[[#This Row],[Pagado]]</f>
        <v>0</v>
      </c>
      <c r="I1535" s="275" t="s">
        <v>15214</v>
      </c>
    </row>
    <row r="1536" spans="1:9" x14ac:dyDescent="0.25">
      <c r="A1536" s="299">
        <v>42960</v>
      </c>
      <c r="B1536" s="302" t="s">
        <v>25362</v>
      </c>
      <c r="C1536">
        <v>123508</v>
      </c>
      <c r="D1536" s="236" t="s">
        <v>15242</v>
      </c>
      <c r="E1536" s="301">
        <v>13807.2</v>
      </c>
      <c r="F1536" s="303">
        <v>42960</v>
      </c>
      <c r="G1536" s="301">
        <v>13807.2</v>
      </c>
      <c r="H1536" s="304">
        <f>Tabla13[[#This Row],[Importe]]-Tabla13[[#This Row],[Pagado]]</f>
        <v>0</v>
      </c>
      <c r="I1536" s="275" t="s">
        <v>15214</v>
      </c>
    </row>
    <row r="1537" spans="1:9" x14ac:dyDescent="0.25">
      <c r="A1537" s="299">
        <v>42960</v>
      </c>
      <c r="B1537" s="302" t="s">
        <v>25363</v>
      </c>
      <c r="C1537">
        <v>123509</v>
      </c>
      <c r="D1537" s="236" t="s">
        <v>17462</v>
      </c>
      <c r="E1537" s="301">
        <v>5792.9</v>
      </c>
      <c r="F1537" s="303">
        <v>42960</v>
      </c>
      <c r="G1537" s="301">
        <v>5792.9</v>
      </c>
      <c r="H1537" s="304">
        <f>Tabla13[[#This Row],[Importe]]-Tabla13[[#This Row],[Pagado]]</f>
        <v>0</v>
      </c>
      <c r="I1537" s="275" t="s">
        <v>15214</v>
      </c>
    </row>
    <row r="1538" spans="1:9" ht="15.75" x14ac:dyDescent="0.25">
      <c r="A1538" s="299">
        <v>42960</v>
      </c>
      <c r="B1538" s="302" t="s">
        <v>25364</v>
      </c>
      <c r="C1538">
        <v>123510</v>
      </c>
      <c r="D1538" s="248" t="s">
        <v>95</v>
      </c>
      <c r="E1538" s="301">
        <v>0</v>
      </c>
      <c r="F1538" s="243" t="s">
        <v>95</v>
      </c>
      <c r="G1538" s="301">
        <v>0</v>
      </c>
      <c r="H1538" s="304">
        <f>Tabla13[[#This Row],[Importe]]-Tabla13[[#This Row],[Pagado]]</f>
        <v>0</v>
      </c>
      <c r="I1538" s="275" t="s">
        <v>95</v>
      </c>
    </row>
    <row r="1539" spans="1:9" x14ac:dyDescent="0.25">
      <c r="A1539" s="299">
        <v>42960</v>
      </c>
      <c r="B1539" s="302" t="s">
        <v>25365</v>
      </c>
      <c r="C1539">
        <v>123511</v>
      </c>
      <c r="D1539" s="236" t="s">
        <v>15236</v>
      </c>
      <c r="E1539" s="301">
        <v>3436.2</v>
      </c>
      <c r="F1539" s="303">
        <v>42962</v>
      </c>
      <c r="G1539" s="301">
        <v>3436.2</v>
      </c>
      <c r="H1539" s="304">
        <f>Tabla13[[#This Row],[Importe]]-Tabla13[[#This Row],[Pagado]]</f>
        <v>0</v>
      </c>
      <c r="I1539" s="275" t="s">
        <v>15214</v>
      </c>
    </row>
    <row r="1540" spans="1:9" x14ac:dyDescent="0.25">
      <c r="A1540" s="299">
        <v>42960</v>
      </c>
      <c r="B1540" s="302" t="s">
        <v>25366</v>
      </c>
      <c r="C1540">
        <v>123512</v>
      </c>
      <c r="D1540" s="236" t="s">
        <v>15487</v>
      </c>
      <c r="E1540" s="301">
        <v>5855.2</v>
      </c>
      <c r="F1540" s="303">
        <v>42960</v>
      </c>
      <c r="G1540" s="301">
        <v>5855.2</v>
      </c>
      <c r="H1540" s="304">
        <f>Tabla13[[#This Row],[Importe]]-Tabla13[[#This Row],[Pagado]]</f>
        <v>0</v>
      </c>
      <c r="I1540" s="275" t="s">
        <v>15214</v>
      </c>
    </row>
    <row r="1541" spans="1:9" x14ac:dyDescent="0.25">
      <c r="A1541" s="299">
        <v>42960</v>
      </c>
      <c r="B1541" s="302" t="s">
        <v>25367</v>
      </c>
      <c r="C1541">
        <v>123513</v>
      </c>
      <c r="D1541" s="236" t="s">
        <v>15577</v>
      </c>
      <c r="E1541" s="301">
        <v>1008</v>
      </c>
      <c r="F1541" s="303">
        <v>42960</v>
      </c>
      <c r="G1541" s="301">
        <v>1008</v>
      </c>
      <c r="H1541" s="304">
        <f>Tabla13[[#This Row],[Importe]]-Tabla13[[#This Row],[Pagado]]</f>
        <v>0</v>
      </c>
      <c r="I1541" s="275" t="s">
        <v>15214</v>
      </c>
    </row>
    <row r="1542" spans="1:9" x14ac:dyDescent="0.25">
      <c r="A1542" s="299">
        <v>42960</v>
      </c>
      <c r="B1542" s="302" t="s">
        <v>25368</v>
      </c>
      <c r="C1542">
        <v>123514</v>
      </c>
      <c r="D1542" s="236" t="s">
        <v>15220</v>
      </c>
      <c r="E1542" s="301">
        <v>4935</v>
      </c>
      <c r="F1542" s="303">
        <v>42961</v>
      </c>
      <c r="G1542" s="301">
        <v>4935</v>
      </c>
      <c r="H1542" s="304">
        <f>Tabla13[[#This Row],[Importe]]-Tabla13[[#This Row],[Pagado]]</f>
        <v>0</v>
      </c>
      <c r="I1542" s="275" t="s">
        <v>15214</v>
      </c>
    </row>
    <row r="1543" spans="1:9" x14ac:dyDescent="0.25">
      <c r="A1543" s="299">
        <v>42960</v>
      </c>
      <c r="B1543" s="302" t="s">
        <v>25369</v>
      </c>
      <c r="C1543">
        <v>123515</v>
      </c>
      <c r="D1543" s="236" t="s">
        <v>19302</v>
      </c>
      <c r="E1543" s="301">
        <v>1175</v>
      </c>
      <c r="F1543" s="303">
        <v>42961</v>
      </c>
      <c r="G1543" s="301">
        <v>1175</v>
      </c>
      <c r="H1543" s="304">
        <f>Tabla13[[#This Row],[Importe]]-Tabla13[[#This Row],[Pagado]]</f>
        <v>0</v>
      </c>
      <c r="I1543" s="275" t="s">
        <v>15214</v>
      </c>
    </row>
    <row r="1544" spans="1:9" x14ac:dyDescent="0.25">
      <c r="A1544" s="299">
        <v>42960</v>
      </c>
      <c r="B1544" s="302" t="s">
        <v>25370</v>
      </c>
      <c r="C1544">
        <v>123516</v>
      </c>
      <c r="D1544" s="236" t="s">
        <v>15523</v>
      </c>
      <c r="E1544" s="301">
        <v>3760</v>
      </c>
      <c r="F1544" s="303">
        <v>42961</v>
      </c>
      <c r="G1544" s="301">
        <v>3760</v>
      </c>
      <c r="H1544" s="304">
        <f>Tabla13[[#This Row],[Importe]]-Tabla13[[#This Row],[Pagado]]</f>
        <v>0</v>
      </c>
      <c r="I1544" s="275" t="s">
        <v>15214</v>
      </c>
    </row>
    <row r="1545" spans="1:9" x14ac:dyDescent="0.25">
      <c r="A1545" s="299">
        <v>42960</v>
      </c>
      <c r="B1545" s="302" t="s">
        <v>25371</v>
      </c>
      <c r="C1545">
        <v>123517</v>
      </c>
      <c r="D1545" s="236" t="s">
        <v>15223</v>
      </c>
      <c r="E1545" s="301">
        <v>49073.2</v>
      </c>
      <c r="F1545" s="266">
        <v>42979</v>
      </c>
      <c r="G1545" s="35">
        <v>49073.2</v>
      </c>
      <c r="H1545" s="304">
        <f>Tabla13[[#This Row],[Importe]]-Tabla13[[#This Row],[Pagado]]</f>
        <v>0</v>
      </c>
      <c r="I1545" s="275" t="s">
        <v>15214</v>
      </c>
    </row>
    <row r="1546" spans="1:9" x14ac:dyDescent="0.25">
      <c r="A1546" s="299">
        <v>42960</v>
      </c>
      <c r="B1546" s="302" t="s">
        <v>25372</v>
      </c>
      <c r="C1546">
        <v>123518</v>
      </c>
      <c r="D1546" s="236" t="s">
        <v>15246</v>
      </c>
      <c r="E1546" s="301">
        <v>3442.4</v>
      </c>
      <c r="F1546" s="303">
        <v>42963</v>
      </c>
      <c r="G1546" s="301">
        <v>3442.4</v>
      </c>
      <c r="H1546" s="304">
        <f>Tabla13[[#This Row],[Importe]]-Tabla13[[#This Row],[Pagado]]</f>
        <v>0</v>
      </c>
      <c r="I1546" s="275" t="s">
        <v>15214</v>
      </c>
    </row>
    <row r="1547" spans="1:9" x14ac:dyDescent="0.25">
      <c r="A1547" s="299">
        <v>42960</v>
      </c>
      <c r="B1547" s="302" t="s">
        <v>25373</v>
      </c>
      <c r="C1547">
        <v>123519</v>
      </c>
      <c r="D1547" s="236" t="s">
        <v>15248</v>
      </c>
      <c r="E1547" s="301">
        <v>23435.7</v>
      </c>
      <c r="F1547" s="303">
        <v>42960</v>
      </c>
      <c r="G1547" s="301">
        <v>23435.7</v>
      </c>
      <c r="H1547" s="304">
        <f>Tabla13[[#This Row],[Importe]]-Tabla13[[#This Row],[Pagado]]</f>
        <v>0</v>
      </c>
      <c r="I1547" s="275" t="s">
        <v>15214</v>
      </c>
    </row>
    <row r="1548" spans="1:9" x14ac:dyDescent="0.25">
      <c r="A1548" s="299">
        <v>42960</v>
      </c>
      <c r="B1548" s="302" t="s">
        <v>25374</v>
      </c>
      <c r="C1548">
        <v>123520</v>
      </c>
      <c r="D1548" s="236" t="s">
        <v>16023</v>
      </c>
      <c r="E1548" s="301">
        <v>1556.4</v>
      </c>
      <c r="F1548" s="303">
        <v>42960</v>
      </c>
      <c r="G1548" s="301">
        <v>1556.4</v>
      </c>
      <c r="H1548" s="304">
        <f>Tabla13[[#This Row],[Importe]]-Tabla13[[#This Row],[Pagado]]</f>
        <v>0</v>
      </c>
      <c r="I1548" s="275" t="s">
        <v>15214</v>
      </c>
    </row>
    <row r="1549" spans="1:9" x14ac:dyDescent="0.25">
      <c r="A1549" s="299">
        <v>42960</v>
      </c>
      <c r="B1549" s="302" t="s">
        <v>25375</v>
      </c>
      <c r="C1549">
        <v>123521</v>
      </c>
      <c r="D1549" s="236" t="s">
        <v>16261</v>
      </c>
      <c r="E1549" s="301">
        <v>9984.4</v>
      </c>
      <c r="F1549" s="303">
        <v>42960</v>
      </c>
      <c r="G1549" s="301">
        <v>9984.4</v>
      </c>
      <c r="H1549" s="304">
        <f>Tabla13[[#This Row],[Importe]]-Tabla13[[#This Row],[Pagado]]</f>
        <v>0</v>
      </c>
      <c r="I1549" s="275" t="s">
        <v>15214</v>
      </c>
    </row>
    <row r="1550" spans="1:9" x14ac:dyDescent="0.25">
      <c r="A1550" s="299">
        <v>42960</v>
      </c>
      <c r="B1550" s="302" t="s">
        <v>25376</v>
      </c>
      <c r="C1550">
        <v>123522</v>
      </c>
      <c r="D1550" s="236" t="s">
        <v>15289</v>
      </c>
      <c r="E1550" s="301">
        <v>1837.5</v>
      </c>
      <c r="F1550" s="303">
        <v>42960</v>
      </c>
      <c r="G1550" s="301">
        <v>1837.5</v>
      </c>
      <c r="H1550" s="304">
        <f>Tabla13[[#This Row],[Importe]]-Tabla13[[#This Row],[Pagado]]</f>
        <v>0</v>
      </c>
      <c r="I1550" s="275" t="s">
        <v>15214</v>
      </c>
    </row>
    <row r="1551" spans="1:9" x14ac:dyDescent="0.25">
      <c r="A1551" s="299">
        <v>42960</v>
      </c>
      <c r="B1551" s="302" t="s">
        <v>25377</v>
      </c>
      <c r="C1551">
        <v>123523</v>
      </c>
      <c r="D1551" s="236" t="s">
        <v>15668</v>
      </c>
      <c r="E1551" s="301">
        <v>8524.1</v>
      </c>
      <c r="F1551" s="303">
        <v>42962</v>
      </c>
      <c r="G1551" s="301">
        <v>8524.1</v>
      </c>
      <c r="H1551" s="304">
        <f>Tabla13[[#This Row],[Importe]]-Tabla13[[#This Row],[Pagado]]</f>
        <v>0</v>
      </c>
      <c r="I1551" s="275" t="s">
        <v>15214</v>
      </c>
    </row>
    <row r="1552" spans="1:9" x14ac:dyDescent="0.25">
      <c r="A1552" s="299">
        <v>42960</v>
      </c>
      <c r="B1552" s="302" t="s">
        <v>25378</v>
      </c>
      <c r="C1552">
        <v>123524</v>
      </c>
      <c r="D1552" s="236" t="s">
        <v>15324</v>
      </c>
      <c r="E1552" s="301">
        <v>1702.5</v>
      </c>
      <c r="F1552" s="303">
        <v>42961</v>
      </c>
      <c r="G1552" s="301">
        <v>1702.5</v>
      </c>
      <c r="H1552" s="304">
        <f>Tabla13[[#This Row],[Importe]]-Tabla13[[#This Row],[Pagado]]</f>
        <v>0</v>
      </c>
      <c r="I1552" s="275" t="s">
        <v>15214</v>
      </c>
    </row>
    <row r="1553" spans="1:9" x14ac:dyDescent="0.25">
      <c r="A1553" s="299">
        <v>42960</v>
      </c>
      <c r="B1553" s="302" t="s">
        <v>25379</v>
      </c>
      <c r="C1553">
        <v>123525</v>
      </c>
      <c r="D1553" s="236" t="s">
        <v>15291</v>
      </c>
      <c r="E1553" s="301">
        <v>1034</v>
      </c>
      <c r="F1553" s="303">
        <v>42961</v>
      </c>
      <c r="G1553" s="301">
        <v>1034</v>
      </c>
      <c r="H1553" s="304">
        <f>Tabla13[[#This Row],[Importe]]-Tabla13[[#This Row],[Pagado]]</f>
        <v>0</v>
      </c>
      <c r="I1553" s="275" t="s">
        <v>15214</v>
      </c>
    </row>
    <row r="1554" spans="1:9" x14ac:dyDescent="0.25">
      <c r="A1554" s="299">
        <v>42960</v>
      </c>
      <c r="B1554" s="302" t="s">
        <v>25380</v>
      </c>
      <c r="C1554">
        <v>123526</v>
      </c>
      <c r="D1554" s="236" t="s">
        <v>15280</v>
      </c>
      <c r="E1554" s="301">
        <v>6996.2</v>
      </c>
      <c r="F1554" s="303">
        <v>42960</v>
      </c>
      <c r="G1554" s="301">
        <v>6996.2</v>
      </c>
      <c r="H1554" s="304">
        <f>Tabla13[[#This Row],[Importe]]-Tabla13[[#This Row],[Pagado]]</f>
        <v>0</v>
      </c>
      <c r="I1554" s="275" t="s">
        <v>15214</v>
      </c>
    </row>
    <row r="1555" spans="1:9" x14ac:dyDescent="0.25">
      <c r="A1555" s="299">
        <v>42960</v>
      </c>
      <c r="B1555" s="302" t="s">
        <v>25381</v>
      </c>
      <c r="C1555">
        <v>123527</v>
      </c>
      <c r="D1555" s="236" t="s">
        <v>15263</v>
      </c>
      <c r="E1555" s="301">
        <v>3842.9</v>
      </c>
      <c r="F1555" s="303">
        <v>42960</v>
      </c>
      <c r="G1555" s="301">
        <v>3842.9</v>
      </c>
      <c r="H1555" s="304">
        <f>Tabla13[[#This Row],[Importe]]-Tabla13[[#This Row],[Pagado]]</f>
        <v>0</v>
      </c>
      <c r="I1555" s="275" t="s">
        <v>15214</v>
      </c>
    </row>
    <row r="1556" spans="1:9" x14ac:dyDescent="0.25">
      <c r="A1556" s="299">
        <v>42960</v>
      </c>
      <c r="B1556" s="302" t="s">
        <v>25382</v>
      </c>
      <c r="C1556">
        <v>123528</v>
      </c>
      <c r="D1556" s="236" t="s">
        <v>15912</v>
      </c>
      <c r="E1556" s="301">
        <v>788.88</v>
      </c>
      <c r="F1556" s="303">
        <v>42961</v>
      </c>
      <c r="G1556" s="301">
        <v>788.88</v>
      </c>
      <c r="H1556" s="304">
        <f>Tabla13[[#This Row],[Importe]]-Tabla13[[#This Row],[Pagado]]</f>
        <v>0</v>
      </c>
      <c r="I1556" s="275" t="s">
        <v>15214</v>
      </c>
    </row>
    <row r="1557" spans="1:9" x14ac:dyDescent="0.25">
      <c r="A1557" s="299">
        <v>42960</v>
      </c>
      <c r="B1557" s="302" t="s">
        <v>25383</v>
      </c>
      <c r="C1557">
        <v>123529</v>
      </c>
      <c r="D1557" s="236" t="s">
        <v>15562</v>
      </c>
      <c r="E1557" s="301">
        <v>3276</v>
      </c>
      <c r="F1557" s="303">
        <v>42960</v>
      </c>
      <c r="G1557" s="301">
        <v>3276</v>
      </c>
      <c r="H1557" s="304">
        <f>Tabla13[[#This Row],[Importe]]-Tabla13[[#This Row],[Pagado]]</f>
        <v>0</v>
      </c>
      <c r="I1557" s="275" t="s">
        <v>15214</v>
      </c>
    </row>
    <row r="1558" spans="1:9" x14ac:dyDescent="0.25">
      <c r="A1558" s="299">
        <v>42960</v>
      </c>
      <c r="B1558" s="302" t="s">
        <v>25384</v>
      </c>
      <c r="C1558">
        <v>123530</v>
      </c>
      <c r="D1558" s="236" t="s">
        <v>15320</v>
      </c>
      <c r="E1558" s="301">
        <v>2677.5</v>
      </c>
      <c r="F1558" s="303">
        <v>42961</v>
      </c>
      <c r="G1558" s="301">
        <v>2677.5</v>
      </c>
      <c r="H1558" s="304">
        <f>Tabla13[[#This Row],[Importe]]-Tabla13[[#This Row],[Pagado]]</f>
        <v>0</v>
      </c>
      <c r="I1558" s="275" t="s">
        <v>15214</v>
      </c>
    </row>
    <row r="1559" spans="1:9" x14ac:dyDescent="0.25">
      <c r="A1559" s="299">
        <v>42960</v>
      </c>
      <c r="B1559" s="302" t="s">
        <v>25385</v>
      </c>
      <c r="C1559">
        <v>123531</v>
      </c>
      <c r="D1559" s="236" t="s">
        <v>15510</v>
      </c>
      <c r="E1559" s="301">
        <v>14299.75</v>
      </c>
      <c r="F1559" s="303">
        <v>42960</v>
      </c>
      <c r="G1559" s="301">
        <v>14299.75</v>
      </c>
      <c r="H1559" s="304">
        <f>Tabla13[[#This Row],[Importe]]-Tabla13[[#This Row],[Pagado]]</f>
        <v>0</v>
      </c>
      <c r="I1559" s="275" t="s">
        <v>15214</v>
      </c>
    </row>
    <row r="1560" spans="1:9" x14ac:dyDescent="0.25">
      <c r="A1560" s="299">
        <v>42960</v>
      </c>
      <c r="B1560" s="302" t="s">
        <v>25386</v>
      </c>
      <c r="C1560">
        <v>123532</v>
      </c>
      <c r="D1560" s="236" t="s">
        <v>15530</v>
      </c>
      <c r="E1560" s="301">
        <v>4848.3</v>
      </c>
      <c r="F1560" s="303">
        <v>42960</v>
      </c>
      <c r="G1560" s="301">
        <v>4848.3</v>
      </c>
      <c r="H1560" s="304">
        <f>Tabla13[[#This Row],[Importe]]-Tabla13[[#This Row],[Pagado]]</f>
        <v>0</v>
      </c>
      <c r="I1560" s="275" t="s">
        <v>15214</v>
      </c>
    </row>
    <row r="1561" spans="1:9" x14ac:dyDescent="0.25">
      <c r="A1561" s="299">
        <v>42960</v>
      </c>
      <c r="B1561" s="302" t="s">
        <v>25387</v>
      </c>
      <c r="C1561">
        <v>123533</v>
      </c>
      <c r="D1561" s="236" t="s">
        <v>15313</v>
      </c>
      <c r="E1561" s="301">
        <v>15857.28</v>
      </c>
      <c r="F1561" s="303">
        <v>42966</v>
      </c>
      <c r="G1561" s="301">
        <v>15857.28</v>
      </c>
      <c r="H1561" s="304">
        <f>Tabla13[[#This Row],[Importe]]-Tabla13[[#This Row],[Pagado]]</f>
        <v>0</v>
      </c>
      <c r="I1561" s="275" t="s">
        <v>15214</v>
      </c>
    </row>
    <row r="1562" spans="1:9" x14ac:dyDescent="0.25">
      <c r="A1562" s="299">
        <v>42960</v>
      </c>
      <c r="B1562" s="302" t="s">
        <v>25388</v>
      </c>
      <c r="C1562">
        <v>123534</v>
      </c>
      <c r="D1562" s="236" t="s">
        <v>15340</v>
      </c>
      <c r="E1562" s="301">
        <v>10772.4</v>
      </c>
      <c r="F1562" s="303">
        <v>42961</v>
      </c>
      <c r="G1562" s="301">
        <v>10772.4</v>
      </c>
      <c r="H1562" s="304">
        <f>Tabla13[[#This Row],[Importe]]-Tabla13[[#This Row],[Pagado]]</f>
        <v>0</v>
      </c>
      <c r="I1562" s="275" t="s">
        <v>15214</v>
      </c>
    </row>
    <row r="1563" spans="1:9" x14ac:dyDescent="0.25">
      <c r="A1563" s="299">
        <v>42960</v>
      </c>
      <c r="B1563" s="302" t="s">
        <v>25389</v>
      </c>
      <c r="C1563">
        <v>123535</v>
      </c>
      <c r="D1563" s="236" t="s">
        <v>15987</v>
      </c>
      <c r="E1563" s="301">
        <v>4394.2</v>
      </c>
      <c r="F1563" s="303">
        <v>42960</v>
      </c>
      <c r="G1563" s="301">
        <v>4394.2</v>
      </c>
      <c r="H1563" s="304">
        <f>Tabla13[[#This Row],[Importe]]-Tabla13[[#This Row],[Pagado]]</f>
        <v>0</v>
      </c>
      <c r="I1563" s="275" t="s">
        <v>15214</v>
      </c>
    </row>
    <row r="1564" spans="1:9" x14ac:dyDescent="0.25">
      <c r="A1564" s="299">
        <v>42960</v>
      </c>
      <c r="B1564" s="302" t="s">
        <v>25390</v>
      </c>
      <c r="C1564">
        <v>123536</v>
      </c>
      <c r="D1564" s="236" t="s">
        <v>15252</v>
      </c>
      <c r="E1564" s="301">
        <v>7362.1</v>
      </c>
      <c r="F1564" s="303">
        <v>42968</v>
      </c>
      <c r="G1564" s="301">
        <v>7362.1</v>
      </c>
      <c r="H1564" s="304">
        <f>Tabla13[[#This Row],[Importe]]-Tabla13[[#This Row],[Pagado]]</f>
        <v>0</v>
      </c>
      <c r="I1564" s="275" t="s">
        <v>15214</v>
      </c>
    </row>
    <row r="1565" spans="1:9" x14ac:dyDescent="0.25">
      <c r="A1565" s="299">
        <v>42960</v>
      </c>
      <c r="B1565" s="302" t="s">
        <v>25391</v>
      </c>
      <c r="C1565">
        <v>123537</v>
      </c>
      <c r="D1565" s="236" t="s">
        <v>15311</v>
      </c>
      <c r="E1565" s="301">
        <v>1943.2</v>
      </c>
      <c r="F1565" s="303">
        <v>42961</v>
      </c>
      <c r="G1565" s="301">
        <v>1943.2</v>
      </c>
      <c r="H1565" s="304">
        <f>Tabla13[[#This Row],[Importe]]-Tabla13[[#This Row],[Pagado]]</f>
        <v>0</v>
      </c>
      <c r="I1565" s="275" t="s">
        <v>15214</v>
      </c>
    </row>
    <row r="1566" spans="1:9" x14ac:dyDescent="0.25">
      <c r="A1566" s="299">
        <v>42960</v>
      </c>
      <c r="B1566" s="302" t="s">
        <v>25392</v>
      </c>
      <c r="C1566">
        <v>123538</v>
      </c>
      <c r="D1566" s="236" t="s">
        <v>23937</v>
      </c>
      <c r="E1566" s="301">
        <v>5508</v>
      </c>
      <c r="F1566" s="303">
        <v>42961</v>
      </c>
      <c r="G1566" s="301">
        <v>5508</v>
      </c>
      <c r="H1566" s="304">
        <f>Tabla13[[#This Row],[Importe]]-Tabla13[[#This Row],[Pagado]]</f>
        <v>0</v>
      </c>
      <c r="I1566" s="275" t="s">
        <v>15214</v>
      </c>
    </row>
    <row r="1567" spans="1:9" x14ac:dyDescent="0.25">
      <c r="A1567" s="299">
        <v>42960</v>
      </c>
      <c r="B1567" s="302" t="s">
        <v>25393</v>
      </c>
      <c r="C1567">
        <v>123539</v>
      </c>
      <c r="D1567" s="236" t="s">
        <v>15244</v>
      </c>
      <c r="E1567" s="301">
        <v>20066.2</v>
      </c>
      <c r="F1567" s="303">
        <v>42963</v>
      </c>
      <c r="G1567" s="301">
        <v>20066.2</v>
      </c>
      <c r="H1567" s="304">
        <f>Tabla13[[#This Row],[Importe]]-Tabla13[[#This Row],[Pagado]]</f>
        <v>0</v>
      </c>
      <c r="I1567" s="275" t="s">
        <v>15214</v>
      </c>
    </row>
    <row r="1568" spans="1:9" x14ac:dyDescent="0.25">
      <c r="A1568" s="299">
        <v>42960</v>
      </c>
      <c r="B1568" s="302" t="s">
        <v>25394</v>
      </c>
      <c r="C1568">
        <v>123540</v>
      </c>
      <c r="D1568" s="236" t="s">
        <v>15912</v>
      </c>
      <c r="E1568" s="301">
        <v>222.6</v>
      </c>
      <c r="F1568" s="303">
        <v>42961</v>
      </c>
      <c r="G1568" s="301">
        <v>222.6</v>
      </c>
      <c r="H1568" s="304">
        <f>Tabla13[[#This Row],[Importe]]-Tabla13[[#This Row],[Pagado]]</f>
        <v>0</v>
      </c>
      <c r="I1568" s="275" t="s">
        <v>15214</v>
      </c>
    </row>
    <row r="1569" spans="1:9" x14ac:dyDescent="0.25">
      <c r="A1569" s="299">
        <v>42960</v>
      </c>
      <c r="B1569" s="302" t="s">
        <v>25395</v>
      </c>
      <c r="C1569">
        <v>123541</v>
      </c>
      <c r="D1569" s="236" t="s">
        <v>15344</v>
      </c>
      <c r="E1569" s="301">
        <v>3856.3</v>
      </c>
      <c r="F1569" s="303">
        <v>42961</v>
      </c>
      <c r="G1569" s="301">
        <v>3856.3</v>
      </c>
      <c r="H1569" s="304">
        <f>Tabla13[[#This Row],[Importe]]-Tabla13[[#This Row],[Pagado]]</f>
        <v>0</v>
      </c>
      <c r="I1569" s="275" t="s">
        <v>15214</v>
      </c>
    </row>
    <row r="1570" spans="1:9" x14ac:dyDescent="0.25">
      <c r="A1570" s="299">
        <v>42960</v>
      </c>
      <c r="B1570" s="302" t="s">
        <v>25396</v>
      </c>
      <c r="C1570">
        <v>123542</v>
      </c>
      <c r="D1570" s="236" t="s">
        <v>15332</v>
      </c>
      <c r="E1570" s="301">
        <v>3624</v>
      </c>
      <c r="F1570" s="303">
        <v>42961</v>
      </c>
      <c r="G1570" s="301">
        <v>3624</v>
      </c>
      <c r="H1570" s="304">
        <f>Tabla13[[#This Row],[Importe]]-Tabla13[[#This Row],[Pagado]]</f>
        <v>0</v>
      </c>
      <c r="I1570" s="275" t="s">
        <v>15214</v>
      </c>
    </row>
    <row r="1571" spans="1:9" x14ac:dyDescent="0.25">
      <c r="A1571" s="299">
        <v>42960</v>
      </c>
      <c r="B1571" s="302" t="s">
        <v>25397</v>
      </c>
      <c r="C1571">
        <v>123543</v>
      </c>
      <c r="D1571" s="236" t="s">
        <v>15315</v>
      </c>
      <c r="E1571" s="301">
        <v>1268.4000000000001</v>
      </c>
      <c r="F1571" s="303">
        <v>42960</v>
      </c>
      <c r="G1571" s="301">
        <v>1268.4000000000001</v>
      </c>
      <c r="H1571" s="304">
        <f>Tabla13[[#This Row],[Importe]]-Tabla13[[#This Row],[Pagado]]</f>
        <v>0</v>
      </c>
      <c r="I1571" s="275" t="s">
        <v>15214</v>
      </c>
    </row>
    <row r="1572" spans="1:9" x14ac:dyDescent="0.25">
      <c r="A1572" s="299">
        <v>42960</v>
      </c>
      <c r="B1572" s="302" t="s">
        <v>25398</v>
      </c>
      <c r="C1572">
        <v>123544</v>
      </c>
      <c r="D1572" s="236" t="s">
        <v>15284</v>
      </c>
      <c r="E1572" s="301">
        <v>1646.7</v>
      </c>
      <c r="F1572" s="303">
        <v>42960</v>
      </c>
      <c r="G1572" s="301">
        <v>1646.7</v>
      </c>
      <c r="H1572" s="304">
        <f>Tabla13[[#This Row],[Importe]]-Tabla13[[#This Row],[Pagado]]</f>
        <v>0</v>
      </c>
      <c r="I1572" s="275" t="s">
        <v>15214</v>
      </c>
    </row>
    <row r="1573" spans="1:9" x14ac:dyDescent="0.25">
      <c r="A1573" s="299">
        <v>42960</v>
      </c>
      <c r="B1573" s="302" t="s">
        <v>25399</v>
      </c>
      <c r="C1573">
        <v>123545</v>
      </c>
      <c r="D1573" s="236" t="s">
        <v>15725</v>
      </c>
      <c r="E1573" s="301">
        <v>5684.4</v>
      </c>
      <c r="F1573" s="303">
        <v>42968</v>
      </c>
      <c r="G1573" s="301">
        <v>5684.4</v>
      </c>
      <c r="H1573" s="304">
        <f>Tabla13[[#This Row],[Importe]]-Tabla13[[#This Row],[Pagado]]</f>
        <v>0</v>
      </c>
      <c r="I1573" s="275" t="s">
        <v>15214</v>
      </c>
    </row>
    <row r="1574" spans="1:9" x14ac:dyDescent="0.25">
      <c r="A1574" s="299">
        <v>42960</v>
      </c>
      <c r="B1574" s="302" t="s">
        <v>25400</v>
      </c>
      <c r="C1574">
        <v>123546</v>
      </c>
      <c r="D1574" s="236" t="s">
        <v>15728</v>
      </c>
      <c r="E1574" s="301">
        <v>25596</v>
      </c>
      <c r="F1574" s="303">
        <v>42960</v>
      </c>
      <c r="G1574" s="301">
        <v>25596</v>
      </c>
      <c r="H1574" s="304">
        <f>Tabla13[[#This Row],[Importe]]-Tabla13[[#This Row],[Pagado]]</f>
        <v>0</v>
      </c>
      <c r="I1574" s="275" t="s">
        <v>15214</v>
      </c>
    </row>
    <row r="1575" spans="1:9" x14ac:dyDescent="0.25">
      <c r="A1575" s="299">
        <v>42960</v>
      </c>
      <c r="B1575" s="302" t="s">
        <v>25401</v>
      </c>
      <c r="C1575">
        <v>123547</v>
      </c>
      <c r="D1575" s="236" t="s">
        <v>15398</v>
      </c>
      <c r="E1575" s="301">
        <v>3506.85</v>
      </c>
      <c r="F1575" s="303">
        <v>42960</v>
      </c>
      <c r="G1575" s="301">
        <v>3506.85</v>
      </c>
      <c r="H1575" s="304">
        <f>Tabla13[[#This Row],[Importe]]-Tabla13[[#This Row],[Pagado]]</f>
        <v>0</v>
      </c>
      <c r="I1575" s="275" t="s">
        <v>15214</v>
      </c>
    </row>
    <row r="1576" spans="1:9" x14ac:dyDescent="0.25">
      <c r="A1576" s="299">
        <v>42960</v>
      </c>
      <c r="B1576" s="302" t="s">
        <v>25402</v>
      </c>
      <c r="C1576">
        <v>123548</v>
      </c>
      <c r="D1576" s="236" t="s">
        <v>15568</v>
      </c>
      <c r="E1576" s="301">
        <v>7910</v>
      </c>
      <c r="F1576" s="303">
        <v>42961</v>
      </c>
      <c r="G1576" s="301">
        <v>7910</v>
      </c>
      <c r="H1576" s="304">
        <f>Tabla13[[#This Row],[Importe]]-Tabla13[[#This Row],[Pagado]]</f>
        <v>0</v>
      </c>
      <c r="I1576" s="275" t="s">
        <v>15214</v>
      </c>
    </row>
    <row r="1577" spans="1:9" x14ac:dyDescent="0.25">
      <c r="A1577" s="299">
        <v>42960</v>
      </c>
      <c r="B1577" s="302" t="s">
        <v>25403</v>
      </c>
      <c r="C1577">
        <v>123549</v>
      </c>
      <c r="D1577" s="236" t="s">
        <v>21445</v>
      </c>
      <c r="E1577" s="301">
        <v>2129.1</v>
      </c>
      <c r="F1577" s="303">
        <v>42961</v>
      </c>
      <c r="G1577" s="301">
        <v>2129.1</v>
      </c>
      <c r="H1577" s="304">
        <f>Tabla13[[#This Row],[Importe]]-Tabla13[[#This Row],[Pagado]]</f>
        <v>0</v>
      </c>
      <c r="I1577" s="275" t="s">
        <v>15214</v>
      </c>
    </row>
    <row r="1578" spans="1:9" x14ac:dyDescent="0.25">
      <c r="A1578" s="299">
        <v>42960</v>
      </c>
      <c r="B1578" s="302" t="s">
        <v>25404</v>
      </c>
      <c r="C1578">
        <v>123550</v>
      </c>
      <c r="D1578" s="236" t="s">
        <v>15391</v>
      </c>
      <c r="E1578" s="301">
        <v>9976</v>
      </c>
      <c r="F1578" s="303">
        <v>42962</v>
      </c>
      <c r="G1578" s="301">
        <v>9976</v>
      </c>
      <c r="H1578" s="304">
        <f>Tabla13[[#This Row],[Importe]]-Tabla13[[#This Row],[Pagado]]</f>
        <v>0</v>
      </c>
      <c r="I1578" s="275" t="s">
        <v>15214</v>
      </c>
    </row>
    <row r="1579" spans="1:9" x14ac:dyDescent="0.25">
      <c r="A1579" s="299">
        <v>42960</v>
      </c>
      <c r="B1579" s="302" t="s">
        <v>25405</v>
      </c>
      <c r="C1579">
        <v>123551</v>
      </c>
      <c r="D1579" s="236" t="s">
        <v>15385</v>
      </c>
      <c r="E1579" s="301">
        <v>10378.200000000001</v>
      </c>
      <c r="F1579" s="303">
        <v>42961</v>
      </c>
      <c r="G1579" s="301">
        <v>10378.200000000001</v>
      </c>
      <c r="H1579" s="304">
        <f>Tabla13[[#This Row],[Importe]]-Tabla13[[#This Row],[Pagado]]</f>
        <v>0</v>
      </c>
      <c r="I1579" s="275" t="s">
        <v>15214</v>
      </c>
    </row>
    <row r="1580" spans="1:9" x14ac:dyDescent="0.25">
      <c r="A1580" s="299">
        <v>42960</v>
      </c>
      <c r="B1580" s="302" t="s">
        <v>25406</v>
      </c>
      <c r="C1580">
        <v>123552</v>
      </c>
      <c r="D1580" s="236" t="s">
        <v>19776</v>
      </c>
      <c r="E1580" s="301">
        <v>2773.8</v>
      </c>
      <c r="F1580" s="303">
        <v>42960</v>
      </c>
      <c r="G1580" s="301">
        <v>2773.8</v>
      </c>
      <c r="H1580" s="304">
        <f>Tabla13[[#This Row],[Importe]]-Tabla13[[#This Row],[Pagado]]</f>
        <v>0</v>
      </c>
      <c r="I1580" s="275" t="s">
        <v>15214</v>
      </c>
    </row>
    <row r="1581" spans="1:9" x14ac:dyDescent="0.25">
      <c r="A1581" s="299">
        <v>42960</v>
      </c>
      <c r="B1581" s="302" t="s">
        <v>25407</v>
      </c>
      <c r="C1581">
        <v>123553</v>
      </c>
      <c r="D1581" s="236" t="s">
        <v>19768</v>
      </c>
      <c r="E1581" s="301">
        <v>2350</v>
      </c>
      <c r="F1581" s="303">
        <v>42960</v>
      </c>
      <c r="G1581" s="301">
        <v>2350</v>
      </c>
      <c r="H1581" s="304">
        <f>Tabla13[[#This Row],[Importe]]-Tabla13[[#This Row],[Pagado]]</f>
        <v>0</v>
      </c>
      <c r="I1581" s="275" t="s">
        <v>15214</v>
      </c>
    </row>
    <row r="1582" spans="1:9" x14ac:dyDescent="0.25">
      <c r="A1582" s="299">
        <v>42960</v>
      </c>
      <c r="B1582" s="302" t="s">
        <v>25408</v>
      </c>
      <c r="C1582">
        <v>123554</v>
      </c>
      <c r="D1582" s="236" t="s">
        <v>15361</v>
      </c>
      <c r="E1582" s="301">
        <v>5523</v>
      </c>
      <c r="F1582" s="303">
        <v>42961</v>
      </c>
      <c r="G1582" s="301">
        <v>5523</v>
      </c>
      <c r="H1582" s="304">
        <f>Tabla13[[#This Row],[Importe]]-Tabla13[[#This Row],[Pagado]]</f>
        <v>0</v>
      </c>
      <c r="I1582" s="275" t="s">
        <v>15214</v>
      </c>
    </row>
    <row r="1583" spans="1:9" x14ac:dyDescent="0.25">
      <c r="A1583" s="299">
        <v>42960</v>
      </c>
      <c r="B1583" s="302" t="s">
        <v>25409</v>
      </c>
      <c r="C1583">
        <v>123555</v>
      </c>
      <c r="D1583" s="236" t="s">
        <v>15371</v>
      </c>
      <c r="E1583" s="301">
        <v>2604</v>
      </c>
      <c r="F1583" s="303">
        <v>42961</v>
      </c>
      <c r="G1583" s="301">
        <v>2604</v>
      </c>
      <c r="H1583" s="304">
        <f>Tabla13[[#This Row],[Importe]]-Tabla13[[#This Row],[Pagado]]</f>
        <v>0</v>
      </c>
      <c r="I1583" s="275" t="s">
        <v>15214</v>
      </c>
    </row>
    <row r="1584" spans="1:9" x14ac:dyDescent="0.25">
      <c r="A1584" s="299">
        <v>42960</v>
      </c>
      <c r="B1584" s="302" t="s">
        <v>25410</v>
      </c>
      <c r="C1584">
        <v>123556</v>
      </c>
      <c r="D1584" s="236" t="s">
        <v>15282</v>
      </c>
      <c r="E1584" s="301">
        <v>2400</v>
      </c>
      <c r="F1584" s="303">
        <v>42960</v>
      </c>
      <c r="G1584" s="301">
        <v>2400</v>
      </c>
      <c r="H1584" s="304">
        <f>Tabla13[[#This Row],[Importe]]-Tabla13[[#This Row],[Pagado]]</f>
        <v>0</v>
      </c>
      <c r="I1584" s="275" t="s">
        <v>15214</v>
      </c>
    </row>
    <row r="1585" spans="1:9" x14ac:dyDescent="0.25">
      <c r="A1585" s="299">
        <v>42960</v>
      </c>
      <c r="B1585" s="302" t="s">
        <v>25411</v>
      </c>
      <c r="C1585">
        <v>123557</v>
      </c>
      <c r="D1585" s="236" t="s">
        <v>15282</v>
      </c>
      <c r="E1585" s="301">
        <v>110</v>
      </c>
      <c r="F1585" s="303">
        <v>42960</v>
      </c>
      <c r="G1585" s="301">
        <v>110</v>
      </c>
      <c r="H1585" s="304">
        <f>Tabla13[[#This Row],[Importe]]-Tabla13[[#This Row],[Pagado]]</f>
        <v>0</v>
      </c>
      <c r="I1585" s="275" t="s">
        <v>15214</v>
      </c>
    </row>
    <row r="1586" spans="1:9" x14ac:dyDescent="0.25">
      <c r="A1586" s="299">
        <v>42960</v>
      </c>
      <c r="B1586" s="302" t="s">
        <v>25412</v>
      </c>
      <c r="C1586">
        <v>123558</v>
      </c>
      <c r="D1586" s="236" t="s">
        <v>15267</v>
      </c>
      <c r="E1586" s="301">
        <v>8338</v>
      </c>
      <c r="F1586" s="303">
        <v>42963</v>
      </c>
      <c r="G1586" s="301">
        <v>8338</v>
      </c>
      <c r="H1586" s="304">
        <f>Tabla13[[#This Row],[Importe]]-Tabla13[[#This Row],[Pagado]]</f>
        <v>0</v>
      </c>
      <c r="I1586" s="275" t="s">
        <v>15214</v>
      </c>
    </row>
    <row r="1587" spans="1:9" x14ac:dyDescent="0.25">
      <c r="A1587" s="299">
        <v>42960</v>
      </c>
      <c r="B1587" s="302" t="s">
        <v>25413</v>
      </c>
      <c r="C1587">
        <v>123559</v>
      </c>
      <c r="D1587" s="236" t="s">
        <v>15378</v>
      </c>
      <c r="E1587" s="301">
        <v>4056.9</v>
      </c>
      <c r="F1587" s="303">
        <v>42960</v>
      </c>
      <c r="G1587" s="301">
        <v>4056.9</v>
      </c>
      <c r="H1587" s="304">
        <f>Tabla13[[#This Row],[Importe]]-Tabla13[[#This Row],[Pagado]]</f>
        <v>0</v>
      </c>
      <c r="I1587" s="275" t="s">
        <v>15214</v>
      </c>
    </row>
    <row r="1588" spans="1:9" x14ac:dyDescent="0.25">
      <c r="A1588" s="299">
        <v>42960</v>
      </c>
      <c r="B1588" s="302" t="s">
        <v>25414</v>
      </c>
      <c r="C1588">
        <v>123560</v>
      </c>
      <c r="D1588" s="236" t="s">
        <v>15624</v>
      </c>
      <c r="E1588" s="301">
        <v>2979.6</v>
      </c>
      <c r="F1588" s="303">
        <v>42962</v>
      </c>
      <c r="G1588" s="301">
        <v>2979.6</v>
      </c>
      <c r="H1588" s="304">
        <f>Tabla13[[#This Row],[Importe]]-Tabla13[[#This Row],[Pagado]]</f>
        <v>0</v>
      </c>
      <c r="I1588" s="275" t="s">
        <v>15214</v>
      </c>
    </row>
    <row r="1589" spans="1:9" x14ac:dyDescent="0.25">
      <c r="A1589" s="299">
        <v>42960</v>
      </c>
      <c r="B1589" s="302" t="s">
        <v>25415</v>
      </c>
      <c r="C1589">
        <v>123561</v>
      </c>
      <c r="D1589" s="236" t="s">
        <v>15596</v>
      </c>
      <c r="E1589" s="301">
        <v>1175</v>
      </c>
      <c r="F1589" s="303">
        <v>42960</v>
      </c>
      <c r="G1589" s="301">
        <v>1175</v>
      </c>
      <c r="H1589" s="304">
        <f>Tabla13[[#This Row],[Importe]]-Tabla13[[#This Row],[Pagado]]</f>
        <v>0</v>
      </c>
      <c r="I1589" s="275" t="s">
        <v>15214</v>
      </c>
    </row>
    <row r="1590" spans="1:9" x14ac:dyDescent="0.25">
      <c r="A1590" s="299">
        <v>42960</v>
      </c>
      <c r="B1590" s="302" t="s">
        <v>25416</v>
      </c>
      <c r="C1590">
        <v>123562</v>
      </c>
      <c r="D1590" s="236" t="s">
        <v>15238</v>
      </c>
      <c r="E1590" s="301">
        <v>913.1</v>
      </c>
      <c r="F1590" s="303">
        <v>42960</v>
      </c>
      <c r="G1590" s="301">
        <v>913.1</v>
      </c>
      <c r="H1590" s="304">
        <f>Tabla13[[#This Row],[Importe]]-Tabla13[[#This Row],[Pagado]]</f>
        <v>0</v>
      </c>
      <c r="I1590" s="275" t="s">
        <v>15214</v>
      </c>
    </row>
    <row r="1591" spans="1:9" x14ac:dyDescent="0.25">
      <c r="A1591" s="299">
        <v>42960</v>
      </c>
      <c r="B1591" s="302" t="s">
        <v>25417</v>
      </c>
      <c r="C1591">
        <v>123563</v>
      </c>
      <c r="D1591" s="236" t="s">
        <v>15265</v>
      </c>
      <c r="E1591" s="301">
        <v>1786.5</v>
      </c>
      <c r="F1591" s="303">
        <v>42960</v>
      </c>
      <c r="G1591" s="301">
        <v>1786.5</v>
      </c>
      <c r="H1591" s="304">
        <f>Tabla13[[#This Row],[Importe]]-Tabla13[[#This Row],[Pagado]]</f>
        <v>0</v>
      </c>
      <c r="I1591" s="275" t="s">
        <v>15214</v>
      </c>
    </row>
    <row r="1592" spans="1:9" x14ac:dyDescent="0.25">
      <c r="A1592" s="299">
        <v>42960</v>
      </c>
      <c r="B1592" s="302" t="s">
        <v>25418</v>
      </c>
      <c r="C1592">
        <v>123564</v>
      </c>
      <c r="D1592" s="236" t="s">
        <v>16661</v>
      </c>
      <c r="E1592" s="301">
        <v>1910.4</v>
      </c>
      <c r="F1592" s="303">
        <v>42960</v>
      </c>
      <c r="G1592" s="301">
        <v>1910.4</v>
      </c>
      <c r="H1592" s="304">
        <f>Tabla13[[#This Row],[Importe]]-Tabla13[[#This Row],[Pagado]]</f>
        <v>0</v>
      </c>
      <c r="I1592" s="275" t="s">
        <v>15214</v>
      </c>
    </row>
    <row r="1593" spans="1:9" x14ac:dyDescent="0.25">
      <c r="A1593" s="299">
        <v>42960</v>
      </c>
      <c r="B1593" s="302" t="s">
        <v>25419</v>
      </c>
      <c r="C1593">
        <v>123565</v>
      </c>
      <c r="D1593" s="236" t="s">
        <v>19776</v>
      </c>
      <c r="E1593" s="301">
        <v>32200</v>
      </c>
      <c r="F1593" s="303">
        <v>42960</v>
      </c>
      <c r="G1593" s="301">
        <v>32200</v>
      </c>
      <c r="H1593" s="304">
        <f>Tabla13[[#This Row],[Importe]]-Tabla13[[#This Row],[Pagado]]</f>
        <v>0</v>
      </c>
      <c r="I1593" s="275" t="s">
        <v>15214</v>
      </c>
    </row>
    <row r="1594" spans="1:9" x14ac:dyDescent="0.25">
      <c r="A1594" s="299">
        <v>42960</v>
      </c>
      <c r="B1594" s="302" t="s">
        <v>25420</v>
      </c>
      <c r="C1594">
        <v>123566</v>
      </c>
      <c r="D1594" s="236" t="s">
        <v>19964</v>
      </c>
      <c r="E1594" s="301">
        <v>420</v>
      </c>
      <c r="F1594" s="303">
        <v>42960</v>
      </c>
      <c r="G1594" s="301">
        <v>420</v>
      </c>
      <c r="H1594" s="304">
        <f>Tabla13[[#This Row],[Importe]]-Tabla13[[#This Row],[Pagado]]</f>
        <v>0</v>
      </c>
      <c r="I1594" s="275" t="s">
        <v>15214</v>
      </c>
    </row>
    <row r="1595" spans="1:9" x14ac:dyDescent="0.25">
      <c r="A1595" s="299">
        <v>42960</v>
      </c>
      <c r="B1595" s="302" t="s">
        <v>25421</v>
      </c>
      <c r="C1595">
        <v>123567</v>
      </c>
      <c r="D1595" s="236" t="s">
        <v>19776</v>
      </c>
      <c r="E1595" s="301">
        <v>2695.68</v>
      </c>
      <c r="F1595" s="303">
        <v>42961</v>
      </c>
      <c r="G1595" s="301">
        <v>2695.68</v>
      </c>
      <c r="H1595" s="304">
        <f>Tabla13[[#This Row],[Importe]]-Tabla13[[#This Row],[Pagado]]</f>
        <v>0</v>
      </c>
      <c r="I1595" s="275" t="s">
        <v>15214</v>
      </c>
    </row>
    <row r="1596" spans="1:9" x14ac:dyDescent="0.25">
      <c r="A1596" s="299">
        <v>42960</v>
      </c>
      <c r="B1596" s="302" t="s">
        <v>25422</v>
      </c>
      <c r="C1596">
        <v>123568</v>
      </c>
      <c r="D1596" s="236" t="s">
        <v>15315</v>
      </c>
      <c r="E1596" s="301">
        <v>1410</v>
      </c>
      <c r="F1596" s="303">
        <v>42960</v>
      </c>
      <c r="G1596" s="301">
        <v>1410</v>
      </c>
      <c r="H1596" s="304">
        <f>Tabla13[[#This Row],[Importe]]-Tabla13[[#This Row],[Pagado]]</f>
        <v>0</v>
      </c>
      <c r="I1596" s="275" t="s">
        <v>15214</v>
      </c>
    </row>
    <row r="1597" spans="1:9" x14ac:dyDescent="0.25">
      <c r="A1597" s="299">
        <v>42960</v>
      </c>
      <c r="B1597" s="302" t="s">
        <v>25423</v>
      </c>
      <c r="C1597">
        <v>123569</v>
      </c>
      <c r="D1597" s="236" t="s">
        <v>15315</v>
      </c>
      <c r="E1597" s="301">
        <v>2419.6</v>
      </c>
      <c r="F1597" s="303">
        <v>42960</v>
      </c>
      <c r="G1597" s="301">
        <v>2419.6</v>
      </c>
      <c r="H1597" s="304">
        <f>Tabla13[[#This Row],[Importe]]-Tabla13[[#This Row],[Pagado]]</f>
        <v>0</v>
      </c>
      <c r="I1597" s="275" t="s">
        <v>15214</v>
      </c>
    </row>
    <row r="1598" spans="1:9" x14ac:dyDescent="0.25">
      <c r="A1598" s="299">
        <v>42960</v>
      </c>
      <c r="B1598" s="302" t="s">
        <v>25424</v>
      </c>
      <c r="C1598">
        <v>123570</v>
      </c>
      <c r="D1598" s="236" t="s">
        <v>15442</v>
      </c>
      <c r="E1598" s="301">
        <v>863.5</v>
      </c>
      <c r="F1598" s="303">
        <v>42960</v>
      </c>
      <c r="G1598" s="301">
        <v>863.5</v>
      </c>
      <c r="H1598" s="304">
        <f>Tabla13[[#This Row],[Importe]]-Tabla13[[#This Row],[Pagado]]</f>
        <v>0</v>
      </c>
      <c r="I1598" s="275" t="s">
        <v>15214</v>
      </c>
    </row>
    <row r="1599" spans="1:9" x14ac:dyDescent="0.25">
      <c r="A1599" s="299">
        <v>42960</v>
      </c>
      <c r="B1599" s="302" t="s">
        <v>25425</v>
      </c>
      <c r="C1599">
        <v>123571</v>
      </c>
      <c r="D1599" s="236" t="s">
        <v>17462</v>
      </c>
      <c r="E1599" s="301">
        <v>3387</v>
      </c>
      <c r="F1599" s="303">
        <v>42960</v>
      </c>
      <c r="G1599" s="301">
        <v>3387</v>
      </c>
      <c r="H1599" s="304">
        <f>Tabla13[[#This Row],[Importe]]-Tabla13[[#This Row],[Pagado]]</f>
        <v>0</v>
      </c>
      <c r="I1599" s="275" t="s">
        <v>15214</v>
      </c>
    </row>
    <row r="1600" spans="1:9" x14ac:dyDescent="0.25">
      <c r="A1600" s="299">
        <v>42960</v>
      </c>
      <c r="B1600" s="302" t="s">
        <v>25426</v>
      </c>
      <c r="C1600">
        <v>123572</v>
      </c>
      <c r="D1600" s="236" t="s">
        <v>15315</v>
      </c>
      <c r="E1600" s="301">
        <v>920</v>
      </c>
      <c r="F1600" s="303">
        <v>42960</v>
      </c>
      <c r="G1600" s="301">
        <v>920</v>
      </c>
      <c r="H1600" s="304">
        <f>Tabla13[[#This Row],[Importe]]-Tabla13[[#This Row],[Pagado]]</f>
        <v>0</v>
      </c>
      <c r="I1600" s="275" t="s">
        <v>15214</v>
      </c>
    </row>
    <row r="1601" spans="1:9" x14ac:dyDescent="0.25">
      <c r="A1601" s="299">
        <v>42960</v>
      </c>
      <c r="B1601" s="302" t="s">
        <v>25427</v>
      </c>
      <c r="C1601">
        <v>123573</v>
      </c>
      <c r="D1601" s="236" t="s">
        <v>15265</v>
      </c>
      <c r="E1601" s="301">
        <v>1174.5</v>
      </c>
      <c r="F1601" s="303">
        <v>42961</v>
      </c>
      <c r="G1601" s="301">
        <v>1174.5</v>
      </c>
      <c r="H1601" s="304">
        <f>Tabla13[[#This Row],[Importe]]-Tabla13[[#This Row],[Pagado]]</f>
        <v>0</v>
      </c>
      <c r="I1601" s="275" t="s">
        <v>15214</v>
      </c>
    </row>
    <row r="1602" spans="1:9" x14ac:dyDescent="0.25">
      <c r="A1602" s="299">
        <v>42960</v>
      </c>
      <c r="B1602" s="302" t="s">
        <v>25428</v>
      </c>
      <c r="C1602">
        <v>123574</v>
      </c>
      <c r="D1602" s="236" t="s">
        <v>15444</v>
      </c>
      <c r="E1602" s="301">
        <v>1668.6</v>
      </c>
      <c r="F1602" s="303">
        <v>42961</v>
      </c>
      <c r="G1602" s="301">
        <v>1668.6</v>
      </c>
      <c r="H1602" s="304">
        <f>Tabla13[[#This Row],[Importe]]-Tabla13[[#This Row],[Pagado]]</f>
        <v>0</v>
      </c>
      <c r="I1602" s="275" t="s">
        <v>15214</v>
      </c>
    </row>
    <row r="1603" spans="1:9" x14ac:dyDescent="0.25">
      <c r="A1603" s="299">
        <v>42960</v>
      </c>
      <c r="B1603" s="302" t="s">
        <v>25429</v>
      </c>
      <c r="C1603">
        <v>123575</v>
      </c>
      <c r="D1603" s="236" t="s">
        <v>15263</v>
      </c>
      <c r="E1603" s="301">
        <v>824</v>
      </c>
      <c r="F1603" s="303">
        <v>42960</v>
      </c>
      <c r="G1603" s="301">
        <v>824</v>
      </c>
      <c r="H1603" s="304">
        <f>Tabla13[[#This Row],[Importe]]-Tabla13[[#This Row],[Pagado]]</f>
        <v>0</v>
      </c>
      <c r="I1603" s="275" t="s">
        <v>15214</v>
      </c>
    </row>
    <row r="1604" spans="1:9" x14ac:dyDescent="0.25">
      <c r="A1604" s="299">
        <v>42960</v>
      </c>
      <c r="B1604" s="302" t="s">
        <v>25430</v>
      </c>
      <c r="C1604">
        <v>123576</v>
      </c>
      <c r="D1604" s="236" t="s">
        <v>15530</v>
      </c>
      <c r="E1604" s="301">
        <v>1102.5</v>
      </c>
      <c r="F1604" s="303">
        <v>42960</v>
      </c>
      <c r="G1604" s="301">
        <v>1102.5</v>
      </c>
      <c r="H1604" s="304">
        <f>Tabla13[[#This Row],[Importe]]-Tabla13[[#This Row],[Pagado]]</f>
        <v>0</v>
      </c>
      <c r="I1604" s="275" t="s">
        <v>15214</v>
      </c>
    </row>
    <row r="1605" spans="1:9" x14ac:dyDescent="0.25">
      <c r="A1605" s="299">
        <v>42960</v>
      </c>
      <c r="B1605" s="302" t="s">
        <v>25431</v>
      </c>
      <c r="C1605">
        <v>123577</v>
      </c>
      <c r="D1605" s="236" t="s">
        <v>18082</v>
      </c>
      <c r="E1605" s="301">
        <v>31586</v>
      </c>
      <c r="F1605" s="303">
        <v>42961</v>
      </c>
      <c r="G1605" s="301">
        <v>31586</v>
      </c>
      <c r="H1605" s="304">
        <f>Tabla13[[#This Row],[Importe]]-Tabla13[[#This Row],[Pagado]]</f>
        <v>0</v>
      </c>
      <c r="I1605" s="275" t="s">
        <v>15214</v>
      </c>
    </row>
    <row r="1606" spans="1:9" x14ac:dyDescent="0.25">
      <c r="A1606" s="299">
        <v>42960</v>
      </c>
      <c r="B1606" s="302" t="s">
        <v>25432</v>
      </c>
      <c r="C1606">
        <v>123578</v>
      </c>
      <c r="D1606" s="236" t="s">
        <v>15541</v>
      </c>
      <c r="E1606" s="301">
        <v>1711.2</v>
      </c>
      <c r="F1606" s="303">
        <v>42963</v>
      </c>
      <c r="G1606" s="301">
        <v>1711.2</v>
      </c>
      <c r="H1606" s="304">
        <f>Tabla13[[#This Row],[Importe]]-Tabla13[[#This Row],[Pagado]]</f>
        <v>0</v>
      </c>
      <c r="I1606" s="275" t="s">
        <v>15214</v>
      </c>
    </row>
    <row r="1607" spans="1:9" x14ac:dyDescent="0.25">
      <c r="A1607" s="299">
        <v>42960</v>
      </c>
      <c r="B1607" s="302" t="s">
        <v>25433</v>
      </c>
      <c r="C1607">
        <v>123579</v>
      </c>
      <c r="D1607" s="236" t="s">
        <v>15246</v>
      </c>
      <c r="E1607" s="301">
        <v>4690</v>
      </c>
      <c r="F1607" s="303">
        <v>42963</v>
      </c>
      <c r="G1607" s="301">
        <v>4690</v>
      </c>
      <c r="H1607" s="304">
        <f>Tabla13[[#This Row],[Importe]]-Tabla13[[#This Row],[Pagado]]</f>
        <v>0</v>
      </c>
      <c r="I1607" s="275" t="s">
        <v>15214</v>
      </c>
    </row>
    <row r="1608" spans="1:9" x14ac:dyDescent="0.25">
      <c r="A1608" s="299">
        <v>42960</v>
      </c>
      <c r="B1608" s="302" t="s">
        <v>25434</v>
      </c>
      <c r="C1608">
        <v>123580</v>
      </c>
      <c r="D1608" s="236" t="s">
        <v>19680</v>
      </c>
      <c r="E1608" s="301">
        <v>412</v>
      </c>
      <c r="F1608" s="303">
        <v>42960</v>
      </c>
      <c r="G1608" s="301">
        <v>412</v>
      </c>
      <c r="H1608" s="304">
        <f>Tabla13[[#This Row],[Importe]]-Tabla13[[#This Row],[Pagado]]</f>
        <v>0</v>
      </c>
      <c r="I1608" s="275" t="s">
        <v>15214</v>
      </c>
    </row>
    <row r="1609" spans="1:9" x14ac:dyDescent="0.25">
      <c r="A1609" s="299">
        <v>42960</v>
      </c>
      <c r="B1609" s="302" t="s">
        <v>25435</v>
      </c>
      <c r="C1609">
        <v>123581</v>
      </c>
      <c r="D1609" s="236" t="s">
        <v>15890</v>
      </c>
      <c r="E1609" s="301">
        <v>2881.2</v>
      </c>
      <c r="F1609" s="303">
        <v>42962</v>
      </c>
      <c r="G1609" s="301">
        <v>2881.2</v>
      </c>
      <c r="H1609" s="304">
        <f>Tabla13[[#This Row],[Importe]]-Tabla13[[#This Row],[Pagado]]</f>
        <v>0</v>
      </c>
      <c r="I1609" s="275" t="s">
        <v>15214</v>
      </c>
    </row>
    <row r="1610" spans="1:9" x14ac:dyDescent="0.25">
      <c r="A1610" s="299">
        <v>42960</v>
      </c>
      <c r="B1610" s="302" t="s">
        <v>25436</v>
      </c>
      <c r="C1610">
        <v>123582</v>
      </c>
      <c r="D1610" s="236" t="s">
        <v>15298</v>
      </c>
      <c r="E1610" s="301">
        <v>550.6</v>
      </c>
      <c r="F1610" s="303">
        <v>42960</v>
      </c>
      <c r="G1610" s="301">
        <v>550.6</v>
      </c>
      <c r="H1610" s="304">
        <f>Tabla13[[#This Row],[Importe]]-Tabla13[[#This Row],[Pagado]]</f>
        <v>0</v>
      </c>
      <c r="I1610" s="275" t="s">
        <v>15214</v>
      </c>
    </row>
    <row r="1611" spans="1:9" x14ac:dyDescent="0.25">
      <c r="A1611" s="299">
        <v>42960</v>
      </c>
      <c r="B1611" s="302" t="s">
        <v>25437</v>
      </c>
      <c r="C1611">
        <v>123583</v>
      </c>
      <c r="D1611" s="236" t="s">
        <v>16126</v>
      </c>
      <c r="E1611" s="301">
        <v>752.4</v>
      </c>
      <c r="F1611" s="303">
        <v>42961</v>
      </c>
      <c r="G1611" s="301">
        <v>752.4</v>
      </c>
      <c r="H1611" s="304">
        <f>Tabla13[[#This Row],[Importe]]-Tabla13[[#This Row],[Pagado]]</f>
        <v>0</v>
      </c>
      <c r="I1611" s="275" t="s">
        <v>15214</v>
      </c>
    </row>
    <row r="1612" spans="1:9" ht="15.75" x14ac:dyDescent="0.25">
      <c r="A1612" s="299">
        <v>42961</v>
      </c>
      <c r="B1612" s="302" t="s">
        <v>25438</v>
      </c>
      <c r="C1612">
        <v>123584</v>
      </c>
      <c r="D1612" s="248" t="s">
        <v>95</v>
      </c>
      <c r="E1612" s="301">
        <v>0</v>
      </c>
      <c r="F1612" s="243" t="s">
        <v>95</v>
      </c>
      <c r="G1612" s="301">
        <v>0</v>
      </c>
      <c r="H1612" s="304">
        <f>Tabla13[[#This Row],[Importe]]-Tabla13[[#This Row],[Pagado]]</f>
        <v>0</v>
      </c>
      <c r="I1612" s="275" t="s">
        <v>95</v>
      </c>
    </row>
    <row r="1613" spans="1:9" x14ac:dyDescent="0.25">
      <c r="A1613" s="299">
        <v>42961</v>
      </c>
      <c r="B1613" s="302" t="s">
        <v>25439</v>
      </c>
      <c r="C1613">
        <v>123585</v>
      </c>
      <c r="D1613" s="236" t="s">
        <v>21386</v>
      </c>
      <c r="E1613" s="301">
        <v>9879.4500000000007</v>
      </c>
      <c r="F1613" s="303">
        <v>42963</v>
      </c>
      <c r="G1613" s="301">
        <v>9879.4500000000007</v>
      </c>
      <c r="H1613" s="304">
        <f>Tabla13[[#This Row],[Importe]]-Tabla13[[#This Row],[Pagado]]</f>
        <v>0</v>
      </c>
      <c r="I1613" s="275" t="s">
        <v>15214</v>
      </c>
    </row>
    <row r="1614" spans="1:9" x14ac:dyDescent="0.25">
      <c r="A1614" s="299">
        <v>42961</v>
      </c>
      <c r="B1614" s="302" t="s">
        <v>25440</v>
      </c>
      <c r="C1614">
        <v>123586</v>
      </c>
      <c r="D1614" s="236" t="s">
        <v>15213</v>
      </c>
      <c r="E1614" s="301">
        <v>35399.5</v>
      </c>
      <c r="F1614" s="303">
        <v>42962</v>
      </c>
      <c r="G1614" s="301">
        <v>35399.5</v>
      </c>
      <c r="H1614" s="304">
        <f>Tabla13[[#This Row],[Importe]]-Tabla13[[#This Row],[Pagado]]</f>
        <v>0</v>
      </c>
      <c r="I1614" s="275" t="s">
        <v>15214</v>
      </c>
    </row>
    <row r="1615" spans="1:9" x14ac:dyDescent="0.25">
      <c r="A1615" s="299">
        <v>42961</v>
      </c>
      <c r="B1615" s="302" t="s">
        <v>25441</v>
      </c>
      <c r="C1615">
        <v>123587</v>
      </c>
      <c r="D1615" s="236" t="s">
        <v>19302</v>
      </c>
      <c r="E1615" s="301">
        <v>1175</v>
      </c>
      <c r="F1615" s="303">
        <v>42961</v>
      </c>
      <c r="G1615" s="301">
        <v>1175</v>
      </c>
      <c r="H1615" s="304">
        <f>Tabla13[[#This Row],[Importe]]-Tabla13[[#This Row],[Pagado]]</f>
        <v>0</v>
      </c>
      <c r="I1615" s="275" t="s">
        <v>15214</v>
      </c>
    </row>
    <row r="1616" spans="1:9" x14ac:dyDescent="0.25">
      <c r="A1616" s="299">
        <v>42961</v>
      </c>
      <c r="B1616" s="302" t="s">
        <v>25442</v>
      </c>
      <c r="C1616">
        <v>123588</v>
      </c>
      <c r="D1616" s="236" t="s">
        <v>15230</v>
      </c>
      <c r="E1616" s="301">
        <v>6851</v>
      </c>
      <c r="F1616" s="303">
        <v>42964</v>
      </c>
      <c r="G1616" s="301">
        <v>6851</v>
      </c>
      <c r="H1616" s="304">
        <f>Tabla13[[#This Row],[Importe]]-Tabla13[[#This Row],[Pagado]]</f>
        <v>0</v>
      </c>
      <c r="I1616" s="275" t="s">
        <v>15214</v>
      </c>
    </row>
    <row r="1617" spans="1:9" x14ac:dyDescent="0.25">
      <c r="A1617" s="299">
        <v>42961</v>
      </c>
      <c r="B1617" s="302" t="s">
        <v>25443</v>
      </c>
      <c r="C1617">
        <v>123589</v>
      </c>
      <c r="D1617" s="236" t="s">
        <v>15232</v>
      </c>
      <c r="E1617" s="301">
        <v>6885</v>
      </c>
      <c r="F1617" s="303">
        <v>42964</v>
      </c>
      <c r="G1617" s="301">
        <v>6885</v>
      </c>
      <c r="H1617" s="304">
        <f>Tabla13[[#This Row],[Importe]]-Tabla13[[#This Row],[Pagado]]</f>
        <v>0</v>
      </c>
      <c r="I1617" s="275" t="s">
        <v>15214</v>
      </c>
    </row>
    <row r="1618" spans="1:9" x14ac:dyDescent="0.25">
      <c r="A1618" s="299">
        <v>42961</v>
      </c>
      <c r="B1618" s="302" t="s">
        <v>25444</v>
      </c>
      <c r="C1618">
        <v>123590</v>
      </c>
      <c r="D1618" s="236" t="s">
        <v>15234</v>
      </c>
      <c r="E1618" s="301">
        <v>3668.6</v>
      </c>
      <c r="F1618" s="303">
        <v>42964</v>
      </c>
      <c r="G1618" s="301">
        <v>3668.6</v>
      </c>
      <c r="H1618" s="304">
        <f>Tabla13[[#This Row],[Importe]]-Tabla13[[#This Row],[Pagado]]</f>
        <v>0</v>
      </c>
      <c r="I1618" s="275" t="s">
        <v>15214</v>
      </c>
    </row>
    <row r="1619" spans="1:9" x14ac:dyDescent="0.25">
      <c r="A1619" s="299">
        <v>42961</v>
      </c>
      <c r="B1619" s="302" t="s">
        <v>25445</v>
      </c>
      <c r="C1619">
        <v>123591</v>
      </c>
      <c r="D1619" s="236" t="s">
        <v>5575</v>
      </c>
      <c r="E1619" s="301">
        <v>3771.7</v>
      </c>
      <c r="F1619" s="303">
        <v>42962</v>
      </c>
      <c r="G1619" s="301">
        <v>3771.7</v>
      </c>
      <c r="H1619" s="304">
        <f>Tabla13[[#This Row],[Importe]]-Tabla13[[#This Row],[Pagado]]</f>
        <v>0</v>
      </c>
      <c r="I1619" s="275" t="s">
        <v>15214</v>
      </c>
    </row>
    <row r="1620" spans="1:9" x14ac:dyDescent="0.25">
      <c r="A1620" s="299">
        <v>42961</v>
      </c>
      <c r="B1620" s="302" t="s">
        <v>25446</v>
      </c>
      <c r="C1620">
        <v>123592</v>
      </c>
      <c r="D1620" s="236" t="s">
        <v>15480</v>
      </c>
      <c r="E1620" s="301">
        <v>272.39999999999998</v>
      </c>
      <c r="F1620" s="303">
        <v>42962</v>
      </c>
      <c r="G1620" s="301">
        <v>272.39999999999998</v>
      </c>
      <c r="H1620" s="304">
        <f>Tabla13[[#This Row],[Importe]]-Tabla13[[#This Row],[Pagado]]</f>
        <v>0</v>
      </c>
      <c r="I1620" s="275" t="s">
        <v>15214</v>
      </c>
    </row>
    <row r="1621" spans="1:9" ht="30" x14ac:dyDescent="0.25">
      <c r="A1621" s="299">
        <v>42961</v>
      </c>
      <c r="B1621" s="302" t="s">
        <v>25447</v>
      </c>
      <c r="C1621">
        <v>123593</v>
      </c>
      <c r="D1621" s="236" t="s">
        <v>15258</v>
      </c>
      <c r="E1621" s="301">
        <v>14209.6</v>
      </c>
      <c r="F1621" s="303" t="s">
        <v>25448</v>
      </c>
      <c r="G1621" s="305">
        <f>4000+10209.6</f>
        <v>14209.6</v>
      </c>
      <c r="H1621" s="304">
        <f>Tabla13[[#This Row],[Importe]]-Tabla13[[#This Row],[Pagado]]</f>
        <v>0</v>
      </c>
      <c r="I1621" s="275" t="s">
        <v>15214</v>
      </c>
    </row>
    <row r="1622" spans="1:9" x14ac:dyDescent="0.25">
      <c r="A1622" s="299">
        <v>42961</v>
      </c>
      <c r="B1622" s="302" t="s">
        <v>25449</v>
      </c>
      <c r="C1622">
        <v>123594</v>
      </c>
      <c r="D1622" s="236" t="s">
        <v>15668</v>
      </c>
      <c r="E1622" s="301">
        <v>11429.1</v>
      </c>
      <c r="F1622" s="303">
        <v>42962</v>
      </c>
      <c r="G1622" s="301">
        <v>11429.1</v>
      </c>
      <c r="H1622" s="304">
        <f>Tabla13[[#This Row],[Importe]]-Tabla13[[#This Row],[Pagado]]</f>
        <v>0</v>
      </c>
      <c r="I1622" s="275" t="s">
        <v>15214</v>
      </c>
    </row>
    <row r="1623" spans="1:9" x14ac:dyDescent="0.25">
      <c r="A1623" s="299">
        <v>42961</v>
      </c>
      <c r="B1623" s="302" t="s">
        <v>25450</v>
      </c>
      <c r="C1623">
        <v>123595</v>
      </c>
      <c r="D1623" s="236" t="s">
        <v>15236</v>
      </c>
      <c r="E1623" s="301">
        <v>3652</v>
      </c>
      <c r="F1623" s="303">
        <v>42963</v>
      </c>
      <c r="G1623" s="301">
        <v>3652</v>
      </c>
      <c r="H1623" s="304">
        <f>Tabla13[[#This Row],[Importe]]-Tabla13[[#This Row],[Pagado]]</f>
        <v>0</v>
      </c>
      <c r="I1623" s="275" t="s">
        <v>15214</v>
      </c>
    </row>
    <row r="1624" spans="1:9" x14ac:dyDescent="0.25">
      <c r="A1624" s="299">
        <v>42961</v>
      </c>
      <c r="B1624" s="302" t="s">
        <v>25451</v>
      </c>
      <c r="C1624">
        <v>123596</v>
      </c>
      <c r="D1624" s="236" t="s">
        <v>15263</v>
      </c>
      <c r="E1624" s="301">
        <v>5367.4</v>
      </c>
      <c r="F1624" s="303">
        <v>42961</v>
      </c>
      <c r="G1624" s="301">
        <v>5367.4</v>
      </c>
      <c r="H1624" s="304">
        <f>Tabla13[[#This Row],[Importe]]-Tabla13[[#This Row],[Pagado]]</f>
        <v>0</v>
      </c>
      <c r="I1624" s="275" t="s">
        <v>15214</v>
      </c>
    </row>
    <row r="1625" spans="1:9" x14ac:dyDescent="0.25">
      <c r="A1625" s="299">
        <v>42961</v>
      </c>
      <c r="B1625" s="302" t="s">
        <v>25452</v>
      </c>
      <c r="C1625">
        <v>123597</v>
      </c>
      <c r="D1625" s="236" t="s">
        <v>15226</v>
      </c>
      <c r="E1625" s="301">
        <v>2092.8000000000002</v>
      </c>
      <c r="F1625" s="303">
        <v>42963</v>
      </c>
      <c r="G1625" s="301">
        <v>2092.8000000000002</v>
      </c>
      <c r="H1625" s="304">
        <f>Tabla13[[#This Row],[Importe]]-Tabla13[[#This Row],[Pagado]]</f>
        <v>0</v>
      </c>
      <c r="I1625" s="275" t="s">
        <v>15214</v>
      </c>
    </row>
    <row r="1626" spans="1:9" x14ac:dyDescent="0.25">
      <c r="A1626" s="299">
        <v>42961</v>
      </c>
      <c r="B1626" s="302" t="s">
        <v>25453</v>
      </c>
      <c r="C1626">
        <v>123598</v>
      </c>
      <c r="D1626" s="236" t="s">
        <v>15487</v>
      </c>
      <c r="E1626" s="301">
        <v>415.7</v>
      </c>
      <c r="F1626" s="303">
        <v>42961</v>
      </c>
      <c r="G1626" s="301">
        <v>415.7</v>
      </c>
      <c r="H1626" s="304">
        <f>Tabla13[[#This Row],[Importe]]-Tabla13[[#This Row],[Pagado]]</f>
        <v>0</v>
      </c>
      <c r="I1626" s="275" t="s">
        <v>15214</v>
      </c>
    </row>
    <row r="1627" spans="1:9" x14ac:dyDescent="0.25">
      <c r="A1627" s="299">
        <v>42961</v>
      </c>
      <c r="B1627" s="302" t="s">
        <v>25454</v>
      </c>
      <c r="C1627">
        <v>123599</v>
      </c>
      <c r="D1627" s="236" t="s">
        <v>15655</v>
      </c>
      <c r="E1627" s="301">
        <v>79753.7</v>
      </c>
      <c r="F1627" s="303" t="s">
        <v>25455</v>
      </c>
      <c r="G1627" s="301">
        <v>79753.7</v>
      </c>
      <c r="H1627" s="304">
        <f>Tabla13[[#This Row],[Importe]]-Tabla13[[#This Row],[Pagado]]</f>
        <v>0</v>
      </c>
      <c r="I1627" s="275" t="s">
        <v>15214</v>
      </c>
    </row>
    <row r="1628" spans="1:9" x14ac:dyDescent="0.25">
      <c r="A1628" s="299">
        <v>42961</v>
      </c>
      <c r="B1628" s="302" t="s">
        <v>25456</v>
      </c>
      <c r="C1628">
        <v>123600</v>
      </c>
      <c r="D1628" s="236" t="s">
        <v>15220</v>
      </c>
      <c r="E1628" s="301">
        <v>2350</v>
      </c>
      <c r="F1628" s="303">
        <v>42961</v>
      </c>
      <c r="G1628" s="301">
        <v>2350</v>
      </c>
      <c r="H1628" s="304">
        <f>Tabla13[[#This Row],[Importe]]-Tabla13[[#This Row],[Pagado]]</f>
        <v>0</v>
      </c>
      <c r="I1628" s="275" t="s">
        <v>15214</v>
      </c>
    </row>
    <row r="1629" spans="1:9" x14ac:dyDescent="0.25">
      <c r="A1629" s="299">
        <v>42961</v>
      </c>
      <c r="B1629" s="302" t="s">
        <v>25457</v>
      </c>
      <c r="C1629">
        <v>123601</v>
      </c>
      <c r="D1629" s="236" t="s">
        <v>15238</v>
      </c>
      <c r="E1629" s="301">
        <v>7234.6</v>
      </c>
      <c r="F1629" s="303">
        <v>42963</v>
      </c>
      <c r="G1629" s="301">
        <v>7234.6</v>
      </c>
      <c r="H1629" s="304">
        <f>Tabla13[[#This Row],[Importe]]-Tabla13[[#This Row],[Pagado]]</f>
        <v>0</v>
      </c>
      <c r="I1629" s="275" t="s">
        <v>15214</v>
      </c>
    </row>
    <row r="1630" spans="1:9" x14ac:dyDescent="0.25">
      <c r="A1630" s="299">
        <v>42961</v>
      </c>
      <c r="B1630" s="302" t="s">
        <v>25458</v>
      </c>
      <c r="C1630">
        <v>123602</v>
      </c>
      <c r="D1630" s="236" t="s">
        <v>15250</v>
      </c>
      <c r="E1630" s="301">
        <v>13948.48</v>
      </c>
      <c r="F1630" s="303">
        <v>42970</v>
      </c>
      <c r="G1630" s="301">
        <v>13948.48</v>
      </c>
      <c r="H1630" s="304">
        <f>Tabla13[[#This Row],[Importe]]-Tabla13[[#This Row],[Pagado]]</f>
        <v>0</v>
      </c>
      <c r="I1630" s="275" t="s">
        <v>15214</v>
      </c>
    </row>
    <row r="1631" spans="1:9" x14ac:dyDescent="0.25">
      <c r="A1631" s="299">
        <v>42961</v>
      </c>
      <c r="B1631" s="302" t="s">
        <v>25459</v>
      </c>
      <c r="C1631">
        <v>123603</v>
      </c>
      <c r="D1631" s="236" t="s">
        <v>15404</v>
      </c>
      <c r="E1631" s="301">
        <v>12029</v>
      </c>
      <c r="F1631" s="303">
        <v>42961</v>
      </c>
      <c r="G1631" s="301">
        <v>12029</v>
      </c>
      <c r="H1631" s="304">
        <f>Tabla13[[#This Row],[Importe]]-Tabla13[[#This Row],[Pagado]]</f>
        <v>0</v>
      </c>
      <c r="I1631" s="275" t="s">
        <v>15214</v>
      </c>
    </row>
    <row r="1632" spans="1:9" ht="30" x14ac:dyDescent="0.25">
      <c r="A1632" s="299">
        <v>42961</v>
      </c>
      <c r="B1632" s="302" t="s">
        <v>25460</v>
      </c>
      <c r="C1632">
        <v>123604</v>
      </c>
      <c r="D1632" s="236" t="s">
        <v>15223</v>
      </c>
      <c r="E1632" s="301">
        <v>47502.400000000001</v>
      </c>
      <c r="F1632" s="266" t="s">
        <v>27684</v>
      </c>
      <c r="G1632" s="107">
        <f>43078.7+4423.7</f>
        <v>47502.399999999994</v>
      </c>
      <c r="H1632" s="311">
        <f>Tabla13[[#This Row],[Importe]]-Tabla13[[#This Row],[Pagado]]</f>
        <v>0</v>
      </c>
      <c r="I1632" s="275" t="s">
        <v>15214</v>
      </c>
    </row>
    <row r="1633" spans="1:9" x14ac:dyDescent="0.25">
      <c r="A1633" s="299">
        <v>42961</v>
      </c>
      <c r="B1633" s="302" t="s">
        <v>25461</v>
      </c>
      <c r="C1633">
        <v>123605</v>
      </c>
      <c r="D1633" s="236" t="s">
        <v>15242</v>
      </c>
      <c r="E1633" s="301">
        <v>9882.4</v>
      </c>
      <c r="F1633" s="303">
        <v>42961</v>
      </c>
      <c r="G1633" s="301">
        <v>9882.4</v>
      </c>
      <c r="H1633" s="304">
        <f>Tabla13[[#This Row],[Importe]]-Tabla13[[#This Row],[Pagado]]</f>
        <v>0</v>
      </c>
      <c r="I1633" s="275" t="s">
        <v>15214</v>
      </c>
    </row>
    <row r="1634" spans="1:9" x14ac:dyDescent="0.25">
      <c r="A1634" s="299">
        <v>42961</v>
      </c>
      <c r="B1634" s="302" t="s">
        <v>25462</v>
      </c>
      <c r="C1634">
        <v>123606</v>
      </c>
      <c r="D1634" s="236" t="s">
        <v>15338</v>
      </c>
      <c r="E1634" s="301">
        <v>10820.1</v>
      </c>
      <c r="F1634" s="303">
        <v>42964</v>
      </c>
      <c r="G1634" s="301">
        <v>10820.1</v>
      </c>
      <c r="H1634" s="304">
        <f>Tabla13[[#This Row],[Importe]]-Tabla13[[#This Row],[Pagado]]</f>
        <v>0</v>
      </c>
      <c r="I1634" s="275" t="s">
        <v>15214</v>
      </c>
    </row>
    <row r="1635" spans="1:9" x14ac:dyDescent="0.25">
      <c r="A1635" s="299">
        <v>42961</v>
      </c>
      <c r="B1635" s="302" t="s">
        <v>25463</v>
      </c>
      <c r="C1635">
        <v>123607</v>
      </c>
      <c r="D1635" s="236" t="s">
        <v>15332</v>
      </c>
      <c r="E1635" s="301">
        <v>3782.4</v>
      </c>
      <c r="F1635" s="303">
        <v>42961</v>
      </c>
      <c r="G1635" s="301">
        <v>3782.4</v>
      </c>
      <c r="H1635" s="304">
        <f>Tabla13[[#This Row],[Importe]]-Tabla13[[#This Row],[Pagado]]</f>
        <v>0</v>
      </c>
      <c r="I1635" s="275" t="s">
        <v>15214</v>
      </c>
    </row>
    <row r="1636" spans="1:9" x14ac:dyDescent="0.25">
      <c r="A1636" s="299">
        <v>42961</v>
      </c>
      <c r="B1636" s="302" t="s">
        <v>25464</v>
      </c>
      <c r="C1636">
        <v>123608</v>
      </c>
      <c r="D1636" s="236" t="s">
        <v>15334</v>
      </c>
      <c r="E1636" s="301">
        <v>1765</v>
      </c>
      <c r="F1636" s="303">
        <v>42961</v>
      </c>
      <c r="G1636" s="301">
        <v>1765</v>
      </c>
      <c r="H1636" s="304">
        <f>Tabla13[[#This Row],[Importe]]-Tabla13[[#This Row],[Pagado]]</f>
        <v>0</v>
      </c>
      <c r="I1636" s="275" t="s">
        <v>15214</v>
      </c>
    </row>
    <row r="1637" spans="1:9" x14ac:dyDescent="0.25">
      <c r="A1637" s="299">
        <v>42961</v>
      </c>
      <c r="B1637" s="302" t="s">
        <v>25465</v>
      </c>
      <c r="C1637">
        <v>123609</v>
      </c>
      <c r="D1637" s="236" t="s">
        <v>18544</v>
      </c>
      <c r="E1637" s="301">
        <v>8088.4</v>
      </c>
      <c r="F1637" s="303">
        <v>42961</v>
      </c>
      <c r="G1637" s="301">
        <v>8088.4</v>
      </c>
      <c r="H1637" s="304">
        <f>Tabla13[[#This Row],[Importe]]-Tabla13[[#This Row],[Pagado]]</f>
        <v>0</v>
      </c>
      <c r="I1637" s="275" t="s">
        <v>15214</v>
      </c>
    </row>
    <row r="1638" spans="1:9" x14ac:dyDescent="0.25">
      <c r="A1638" s="299">
        <v>42961</v>
      </c>
      <c r="B1638" s="302" t="s">
        <v>25466</v>
      </c>
      <c r="C1638">
        <v>123610</v>
      </c>
      <c r="D1638" s="236" t="s">
        <v>15340</v>
      </c>
      <c r="E1638" s="301">
        <v>3317.6</v>
      </c>
      <c r="F1638" s="303">
        <v>42961</v>
      </c>
      <c r="G1638" s="301">
        <v>3317.6</v>
      </c>
      <c r="H1638" s="304">
        <f>Tabla13[[#This Row],[Importe]]-Tabla13[[#This Row],[Pagado]]</f>
        <v>0</v>
      </c>
      <c r="I1638" s="275" t="s">
        <v>15214</v>
      </c>
    </row>
    <row r="1639" spans="1:9" x14ac:dyDescent="0.25">
      <c r="A1639" s="299">
        <v>42961</v>
      </c>
      <c r="B1639" s="302" t="s">
        <v>25467</v>
      </c>
      <c r="C1639">
        <v>123611</v>
      </c>
      <c r="D1639" s="236" t="s">
        <v>15523</v>
      </c>
      <c r="E1639" s="301">
        <v>2115</v>
      </c>
      <c r="F1639" s="303">
        <v>42961</v>
      </c>
      <c r="G1639" s="301">
        <v>2115</v>
      </c>
      <c r="H1639" s="304">
        <f>Tabla13[[#This Row],[Importe]]-Tabla13[[#This Row],[Pagado]]</f>
        <v>0</v>
      </c>
      <c r="I1639" s="275" t="s">
        <v>15214</v>
      </c>
    </row>
    <row r="1640" spans="1:9" x14ac:dyDescent="0.25">
      <c r="A1640" s="299">
        <v>42961</v>
      </c>
      <c r="B1640" s="302" t="s">
        <v>25468</v>
      </c>
      <c r="C1640">
        <v>123612</v>
      </c>
      <c r="D1640" s="236" t="s">
        <v>15272</v>
      </c>
      <c r="E1640" s="301">
        <v>19443</v>
      </c>
      <c r="F1640" s="303">
        <v>42961</v>
      </c>
      <c r="G1640" s="301">
        <v>19443</v>
      </c>
      <c r="H1640" s="304">
        <f>Tabla13[[#This Row],[Importe]]-Tabla13[[#This Row],[Pagado]]</f>
        <v>0</v>
      </c>
      <c r="I1640" s="275" t="s">
        <v>15214</v>
      </c>
    </row>
    <row r="1641" spans="1:9" x14ac:dyDescent="0.25">
      <c r="A1641" s="299">
        <v>42961</v>
      </c>
      <c r="B1641" s="302" t="s">
        <v>25469</v>
      </c>
      <c r="C1641">
        <v>123613</v>
      </c>
      <c r="D1641" s="236" t="s">
        <v>15240</v>
      </c>
      <c r="E1641" s="301">
        <v>1874.5</v>
      </c>
      <c r="F1641" s="303">
        <v>42963</v>
      </c>
      <c r="G1641" s="301">
        <v>1874.5</v>
      </c>
      <c r="H1641" s="304">
        <f>Tabla13[[#This Row],[Importe]]-Tabla13[[#This Row],[Pagado]]</f>
        <v>0</v>
      </c>
      <c r="I1641" s="275" t="s">
        <v>15214</v>
      </c>
    </row>
    <row r="1642" spans="1:9" x14ac:dyDescent="0.25">
      <c r="A1642" s="299">
        <v>42961</v>
      </c>
      <c r="B1642" s="302" t="s">
        <v>25470</v>
      </c>
      <c r="C1642">
        <v>123614</v>
      </c>
      <c r="D1642" s="236" t="s">
        <v>16484</v>
      </c>
      <c r="E1642" s="301">
        <v>1391.5</v>
      </c>
      <c r="F1642" s="303">
        <v>42961</v>
      </c>
      <c r="G1642" s="301">
        <v>1391.5</v>
      </c>
      <c r="H1642" s="304">
        <f>Tabla13[[#This Row],[Importe]]-Tabla13[[#This Row],[Pagado]]</f>
        <v>0</v>
      </c>
      <c r="I1642" s="275" t="s">
        <v>15214</v>
      </c>
    </row>
    <row r="1643" spans="1:9" x14ac:dyDescent="0.25">
      <c r="A1643" s="299">
        <v>42961</v>
      </c>
      <c r="B1643" s="302" t="s">
        <v>25471</v>
      </c>
      <c r="C1643">
        <v>123615</v>
      </c>
      <c r="D1643" s="236" t="s">
        <v>15348</v>
      </c>
      <c r="E1643" s="301">
        <v>3376.2</v>
      </c>
      <c r="F1643" s="303">
        <v>42963</v>
      </c>
      <c r="G1643" s="301">
        <v>3376.2</v>
      </c>
      <c r="H1643" s="304">
        <f>Tabla13[[#This Row],[Importe]]-Tabla13[[#This Row],[Pagado]]</f>
        <v>0</v>
      </c>
      <c r="I1643" s="275" t="s">
        <v>15214</v>
      </c>
    </row>
    <row r="1644" spans="1:9" x14ac:dyDescent="0.25">
      <c r="A1644" s="299">
        <v>42961</v>
      </c>
      <c r="B1644" s="302" t="s">
        <v>25472</v>
      </c>
      <c r="C1644">
        <v>123616</v>
      </c>
      <c r="D1644" s="236" t="s">
        <v>15244</v>
      </c>
      <c r="E1644" s="301">
        <v>18921.7</v>
      </c>
      <c r="F1644" s="303">
        <v>42963</v>
      </c>
      <c r="G1644" s="301">
        <v>18921.7</v>
      </c>
      <c r="H1644" s="304">
        <f>Tabla13[[#This Row],[Importe]]-Tabla13[[#This Row],[Pagado]]</f>
        <v>0</v>
      </c>
      <c r="I1644" s="275" t="s">
        <v>15214</v>
      </c>
    </row>
    <row r="1645" spans="1:9" x14ac:dyDescent="0.25">
      <c r="A1645" s="299">
        <v>42961</v>
      </c>
      <c r="B1645" s="302" t="s">
        <v>25473</v>
      </c>
      <c r="C1645">
        <v>123617</v>
      </c>
      <c r="D1645" s="236" t="s">
        <v>15526</v>
      </c>
      <c r="E1645" s="301">
        <v>2527.8000000000002</v>
      </c>
      <c r="F1645" s="303">
        <v>42961</v>
      </c>
      <c r="G1645" s="301">
        <v>2527.8000000000002</v>
      </c>
      <c r="H1645" s="304">
        <f>Tabla13[[#This Row],[Importe]]-Tabla13[[#This Row],[Pagado]]</f>
        <v>0</v>
      </c>
      <c r="I1645" s="275" t="s">
        <v>15214</v>
      </c>
    </row>
    <row r="1646" spans="1:9" x14ac:dyDescent="0.25">
      <c r="A1646" s="299">
        <v>42961</v>
      </c>
      <c r="B1646" s="302" t="s">
        <v>25474</v>
      </c>
      <c r="C1646">
        <v>123618</v>
      </c>
      <c r="D1646" s="236" t="s">
        <v>16171</v>
      </c>
      <c r="E1646" s="301">
        <v>564</v>
      </c>
      <c r="F1646" s="303">
        <v>42961</v>
      </c>
      <c r="G1646" s="301">
        <v>564</v>
      </c>
      <c r="H1646" s="304">
        <f>Tabla13[[#This Row],[Importe]]-Tabla13[[#This Row],[Pagado]]</f>
        <v>0</v>
      </c>
      <c r="I1646" s="275" t="s">
        <v>15214</v>
      </c>
    </row>
    <row r="1647" spans="1:9" x14ac:dyDescent="0.25">
      <c r="A1647" s="299">
        <v>42961</v>
      </c>
      <c r="B1647" s="302" t="s">
        <v>25475</v>
      </c>
      <c r="C1647">
        <v>123619</v>
      </c>
      <c r="D1647" s="236" t="s">
        <v>15858</v>
      </c>
      <c r="E1647" s="301">
        <v>324</v>
      </c>
      <c r="F1647" s="303">
        <v>42961</v>
      </c>
      <c r="G1647" s="301">
        <v>324</v>
      </c>
      <c r="H1647" s="304">
        <f>Tabla13[[#This Row],[Importe]]-Tabla13[[#This Row],[Pagado]]</f>
        <v>0</v>
      </c>
      <c r="I1647" s="275" t="s">
        <v>15214</v>
      </c>
    </row>
    <row r="1648" spans="1:9" x14ac:dyDescent="0.25">
      <c r="A1648" s="299">
        <v>42961</v>
      </c>
      <c r="B1648" s="302" t="s">
        <v>25476</v>
      </c>
      <c r="C1648">
        <v>123620</v>
      </c>
      <c r="D1648" s="236" t="s">
        <v>15742</v>
      </c>
      <c r="E1648" s="301">
        <v>3116.8</v>
      </c>
      <c r="F1648" s="303">
        <v>42961</v>
      </c>
      <c r="G1648" s="301">
        <v>3116.8</v>
      </c>
      <c r="H1648" s="304">
        <f>Tabla13[[#This Row],[Importe]]-Tabla13[[#This Row],[Pagado]]</f>
        <v>0</v>
      </c>
      <c r="I1648" s="275" t="s">
        <v>15214</v>
      </c>
    </row>
    <row r="1649" spans="1:9" x14ac:dyDescent="0.25">
      <c r="A1649" s="299">
        <v>42961</v>
      </c>
      <c r="B1649" s="302" t="s">
        <v>25477</v>
      </c>
      <c r="C1649">
        <v>123621</v>
      </c>
      <c r="D1649" s="236" t="s">
        <v>15330</v>
      </c>
      <c r="E1649" s="301">
        <v>3629.7</v>
      </c>
      <c r="F1649" s="303">
        <v>42961</v>
      </c>
      <c r="G1649" s="301">
        <v>3629.7</v>
      </c>
      <c r="H1649" s="304">
        <f>Tabla13[[#This Row],[Importe]]-Tabla13[[#This Row],[Pagado]]</f>
        <v>0</v>
      </c>
      <c r="I1649" s="275" t="s">
        <v>15214</v>
      </c>
    </row>
    <row r="1650" spans="1:9" x14ac:dyDescent="0.25">
      <c r="A1650" s="299">
        <v>42961</v>
      </c>
      <c r="B1650" s="302" t="s">
        <v>25478</v>
      </c>
      <c r="C1650">
        <v>123622</v>
      </c>
      <c r="D1650" s="236" t="s">
        <v>15254</v>
      </c>
      <c r="E1650" s="301">
        <v>2464</v>
      </c>
      <c r="F1650" s="303">
        <v>42963</v>
      </c>
      <c r="G1650" s="301">
        <v>2464</v>
      </c>
      <c r="H1650" s="304">
        <f>Tabla13[[#This Row],[Importe]]-Tabla13[[#This Row],[Pagado]]</f>
        <v>0</v>
      </c>
      <c r="I1650" s="275" t="s">
        <v>15214</v>
      </c>
    </row>
    <row r="1651" spans="1:9" x14ac:dyDescent="0.25">
      <c r="A1651" s="299">
        <v>42961</v>
      </c>
      <c r="B1651" s="302" t="s">
        <v>25479</v>
      </c>
      <c r="C1651">
        <v>123623</v>
      </c>
      <c r="D1651" s="236" t="s">
        <v>15286</v>
      </c>
      <c r="E1651" s="301">
        <v>7248</v>
      </c>
      <c r="F1651" s="303">
        <v>42961</v>
      </c>
      <c r="G1651" s="301">
        <v>7248</v>
      </c>
      <c r="H1651" s="304">
        <f>Tabla13[[#This Row],[Importe]]-Tabla13[[#This Row],[Pagado]]</f>
        <v>0</v>
      </c>
      <c r="I1651" s="275" t="s">
        <v>15214</v>
      </c>
    </row>
    <row r="1652" spans="1:9" x14ac:dyDescent="0.25">
      <c r="A1652" s="299">
        <v>42961</v>
      </c>
      <c r="B1652" s="302" t="s">
        <v>25480</v>
      </c>
      <c r="C1652">
        <v>123624</v>
      </c>
      <c r="D1652" s="236" t="s">
        <v>17057</v>
      </c>
      <c r="E1652" s="301">
        <v>2400.4</v>
      </c>
      <c r="F1652" s="303">
        <v>42961</v>
      </c>
      <c r="G1652" s="301">
        <v>2400.4</v>
      </c>
      <c r="H1652" s="304">
        <f>Tabla13[[#This Row],[Importe]]-Tabla13[[#This Row],[Pagado]]</f>
        <v>0</v>
      </c>
      <c r="I1652" s="275" t="s">
        <v>15214</v>
      </c>
    </row>
    <row r="1653" spans="1:9" x14ac:dyDescent="0.25">
      <c r="A1653" s="299">
        <v>42961</v>
      </c>
      <c r="B1653" s="302" t="s">
        <v>25481</v>
      </c>
      <c r="C1653">
        <v>123625</v>
      </c>
      <c r="D1653" s="236" t="s">
        <v>15324</v>
      </c>
      <c r="E1653" s="301">
        <v>2270</v>
      </c>
      <c r="F1653" s="303">
        <v>42961</v>
      </c>
      <c r="G1653" s="301">
        <v>2270</v>
      </c>
      <c r="H1653" s="304">
        <f>Tabla13[[#This Row],[Importe]]-Tabla13[[#This Row],[Pagado]]</f>
        <v>0</v>
      </c>
      <c r="I1653" s="275" t="s">
        <v>15214</v>
      </c>
    </row>
    <row r="1654" spans="1:9" ht="15.75" x14ac:dyDescent="0.25">
      <c r="A1654" s="299">
        <v>42961</v>
      </c>
      <c r="B1654" s="302" t="s">
        <v>25482</v>
      </c>
      <c r="C1654">
        <v>123626</v>
      </c>
      <c r="D1654" s="248" t="s">
        <v>95</v>
      </c>
      <c r="E1654" s="301">
        <v>0</v>
      </c>
      <c r="F1654" s="243" t="s">
        <v>95</v>
      </c>
      <c r="G1654" s="301">
        <v>0</v>
      </c>
      <c r="H1654" s="304">
        <f>Tabla13[[#This Row],[Importe]]-Tabla13[[#This Row],[Pagado]]</f>
        <v>0</v>
      </c>
      <c r="I1654" s="275" t="s">
        <v>95</v>
      </c>
    </row>
    <row r="1655" spans="1:9" x14ac:dyDescent="0.25">
      <c r="A1655" s="299">
        <v>42961</v>
      </c>
      <c r="B1655" s="302" t="s">
        <v>25483</v>
      </c>
      <c r="C1655">
        <v>123627</v>
      </c>
      <c r="D1655" s="236" t="s">
        <v>15291</v>
      </c>
      <c r="E1655" s="301">
        <v>703.8</v>
      </c>
      <c r="F1655" s="303">
        <v>42961</v>
      </c>
      <c r="G1655" s="301">
        <v>703.8</v>
      </c>
      <c r="H1655" s="304">
        <f>Tabla13[[#This Row],[Importe]]-Tabla13[[#This Row],[Pagado]]</f>
        <v>0</v>
      </c>
      <c r="I1655" s="275" t="s">
        <v>15214</v>
      </c>
    </row>
    <row r="1656" spans="1:9" x14ac:dyDescent="0.25">
      <c r="A1656" s="299">
        <v>42961</v>
      </c>
      <c r="B1656" s="302" t="s">
        <v>25484</v>
      </c>
      <c r="C1656">
        <v>123628</v>
      </c>
      <c r="D1656" s="236" t="s">
        <v>15320</v>
      </c>
      <c r="E1656" s="301">
        <v>2362.5</v>
      </c>
      <c r="F1656" s="303">
        <v>42961</v>
      </c>
      <c r="G1656" s="301">
        <v>2362.5</v>
      </c>
      <c r="H1656" s="304">
        <f>Tabla13[[#This Row],[Importe]]-Tabla13[[#This Row],[Pagado]]</f>
        <v>0</v>
      </c>
      <c r="I1656" s="275" t="s">
        <v>15214</v>
      </c>
    </row>
    <row r="1657" spans="1:9" x14ac:dyDescent="0.25">
      <c r="A1657" s="299">
        <v>42961</v>
      </c>
      <c r="B1657" s="302" t="s">
        <v>25485</v>
      </c>
      <c r="C1657">
        <v>123629</v>
      </c>
      <c r="D1657" s="236" t="s">
        <v>15278</v>
      </c>
      <c r="E1657" s="301">
        <v>7755.22</v>
      </c>
      <c r="F1657" s="303">
        <v>42961</v>
      </c>
      <c r="G1657" s="301">
        <v>7755.22</v>
      </c>
      <c r="H1657" s="304">
        <f>Tabla13[[#This Row],[Importe]]-Tabla13[[#This Row],[Pagado]]</f>
        <v>0</v>
      </c>
      <c r="I1657" s="275" t="s">
        <v>15214</v>
      </c>
    </row>
    <row r="1658" spans="1:9" x14ac:dyDescent="0.25">
      <c r="A1658" s="299">
        <v>42961</v>
      </c>
      <c r="B1658" s="302" t="s">
        <v>25486</v>
      </c>
      <c r="C1658">
        <v>123630</v>
      </c>
      <c r="D1658" s="236" t="s">
        <v>15317</v>
      </c>
      <c r="E1658" s="301">
        <v>2902.8</v>
      </c>
      <c r="F1658" s="303">
        <v>42963</v>
      </c>
      <c r="G1658" s="301">
        <v>2902.8</v>
      </c>
      <c r="H1658" s="304">
        <f>Tabla13[[#This Row],[Importe]]-Tabla13[[#This Row],[Pagado]]</f>
        <v>0</v>
      </c>
      <c r="I1658" s="275" t="s">
        <v>15214</v>
      </c>
    </row>
    <row r="1659" spans="1:9" x14ac:dyDescent="0.25">
      <c r="A1659" s="299">
        <v>42961</v>
      </c>
      <c r="B1659" s="302" t="s">
        <v>25487</v>
      </c>
      <c r="C1659">
        <v>123631</v>
      </c>
      <c r="D1659" s="236" t="s">
        <v>16383</v>
      </c>
      <c r="E1659" s="301">
        <v>9999.85</v>
      </c>
      <c r="F1659" s="303">
        <v>42961</v>
      </c>
      <c r="G1659" s="301">
        <v>9999.85</v>
      </c>
      <c r="H1659" s="304">
        <f>Tabla13[[#This Row],[Importe]]-Tabla13[[#This Row],[Pagado]]</f>
        <v>0</v>
      </c>
      <c r="I1659" s="275" t="s">
        <v>15214</v>
      </c>
    </row>
    <row r="1660" spans="1:9" x14ac:dyDescent="0.25">
      <c r="A1660" s="299">
        <v>42961</v>
      </c>
      <c r="B1660" s="302" t="s">
        <v>25488</v>
      </c>
      <c r="C1660">
        <v>123632</v>
      </c>
      <c r="D1660" s="236" t="s">
        <v>15280</v>
      </c>
      <c r="E1660" s="301">
        <v>6089</v>
      </c>
      <c r="F1660" s="303">
        <v>42961</v>
      </c>
      <c r="G1660" s="301">
        <v>6089</v>
      </c>
      <c r="H1660" s="304">
        <f>Tabla13[[#This Row],[Importe]]-Tabla13[[#This Row],[Pagado]]</f>
        <v>0</v>
      </c>
      <c r="I1660" s="275" t="s">
        <v>15214</v>
      </c>
    </row>
    <row r="1661" spans="1:9" x14ac:dyDescent="0.25">
      <c r="A1661" s="299">
        <v>42961</v>
      </c>
      <c r="B1661" s="302" t="s">
        <v>25489</v>
      </c>
      <c r="C1661">
        <v>123633</v>
      </c>
      <c r="D1661" s="236" t="s">
        <v>15369</v>
      </c>
      <c r="E1661" s="301">
        <v>26975.599999999999</v>
      </c>
      <c r="F1661" s="303">
        <v>42972</v>
      </c>
      <c r="G1661" s="301">
        <v>26975.599999999999</v>
      </c>
      <c r="H1661" s="304">
        <f>Tabla13[[#This Row],[Importe]]-Tabla13[[#This Row],[Pagado]]</f>
        <v>0</v>
      </c>
      <c r="I1661" s="275" t="s">
        <v>15214</v>
      </c>
    </row>
    <row r="1662" spans="1:9" x14ac:dyDescent="0.25">
      <c r="A1662" s="299">
        <v>42961</v>
      </c>
      <c r="B1662" s="302" t="s">
        <v>25490</v>
      </c>
      <c r="C1662">
        <v>123634</v>
      </c>
      <c r="D1662" s="236" t="s">
        <v>15389</v>
      </c>
      <c r="E1662" s="301">
        <v>17669.400000000001</v>
      </c>
      <c r="F1662" s="303">
        <v>42972</v>
      </c>
      <c r="G1662" s="301">
        <v>17669.400000000001</v>
      </c>
      <c r="H1662" s="304">
        <f>Tabla13[[#This Row],[Importe]]-Tabla13[[#This Row],[Pagado]]</f>
        <v>0</v>
      </c>
      <c r="I1662" s="275" t="s">
        <v>15214</v>
      </c>
    </row>
    <row r="1663" spans="1:9" x14ac:dyDescent="0.25">
      <c r="A1663" s="299">
        <v>42961</v>
      </c>
      <c r="B1663" s="302" t="s">
        <v>25491</v>
      </c>
      <c r="C1663">
        <v>123635</v>
      </c>
      <c r="D1663" s="236" t="s">
        <v>15328</v>
      </c>
      <c r="E1663" s="301">
        <v>65321.440000000002</v>
      </c>
      <c r="F1663" s="303">
        <v>42969</v>
      </c>
      <c r="G1663" s="301">
        <v>65321.440000000002</v>
      </c>
      <c r="H1663" s="304">
        <f>Tabla13[[#This Row],[Importe]]-Tabla13[[#This Row],[Pagado]]</f>
        <v>0</v>
      </c>
      <c r="I1663" s="275" t="s">
        <v>15214</v>
      </c>
    </row>
    <row r="1664" spans="1:9" x14ac:dyDescent="0.25">
      <c r="A1664" s="299">
        <v>42961</v>
      </c>
      <c r="B1664" s="302" t="s">
        <v>25492</v>
      </c>
      <c r="C1664">
        <v>123636</v>
      </c>
      <c r="D1664" s="236" t="s">
        <v>15732</v>
      </c>
      <c r="E1664" s="301">
        <v>548.79999999999995</v>
      </c>
      <c r="F1664" s="303">
        <v>42961</v>
      </c>
      <c r="G1664" s="301">
        <v>548.79999999999995</v>
      </c>
      <c r="H1664" s="304">
        <f>Tabla13[[#This Row],[Importe]]-Tabla13[[#This Row],[Pagado]]</f>
        <v>0</v>
      </c>
      <c r="I1664" s="275" t="s">
        <v>15214</v>
      </c>
    </row>
    <row r="1665" spans="1:9" x14ac:dyDescent="0.25">
      <c r="A1665" s="299">
        <v>42961</v>
      </c>
      <c r="B1665" s="302" t="s">
        <v>25493</v>
      </c>
      <c r="C1665">
        <v>123637</v>
      </c>
      <c r="D1665" s="236" t="s">
        <v>15382</v>
      </c>
      <c r="E1665" s="301">
        <v>9293.9</v>
      </c>
      <c r="F1665" s="303">
        <v>42972</v>
      </c>
      <c r="G1665" s="301">
        <v>9293.9</v>
      </c>
      <c r="H1665" s="304">
        <f>Tabla13[[#This Row],[Importe]]-Tabla13[[#This Row],[Pagado]]</f>
        <v>0</v>
      </c>
      <c r="I1665" s="275" t="s">
        <v>15214</v>
      </c>
    </row>
    <row r="1666" spans="1:9" ht="30" x14ac:dyDescent="0.25">
      <c r="A1666" s="299">
        <v>42961</v>
      </c>
      <c r="B1666" s="302" t="s">
        <v>25494</v>
      </c>
      <c r="C1666">
        <v>123638</v>
      </c>
      <c r="D1666" s="236" t="s">
        <v>15373</v>
      </c>
      <c r="E1666" s="301">
        <v>12154.2</v>
      </c>
      <c r="F1666" s="303" t="s">
        <v>25495</v>
      </c>
      <c r="G1666" s="305">
        <f>808+11346.2</f>
        <v>12154.2</v>
      </c>
      <c r="H1666" s="304">
        <f>Tabla13[[#This Row],[Importe]]-Tabla13[[#This Row],[Pagado]]</f>
        <v>0</v>
      </c>
      <c r="I1666" s="275" t="s">
        <v>15214</v>
      </c>
    </row>
    <row r="1667" spans="1:9" x14ac:dyDescent="0.25">
      <c r="A1667" s="299">
        <v>42961</v>
      </c>
      <c r="B1667" s="302" t="s">
        <v>25496</v>
      </c>
      <c r="C1667">
        <v>123639</v>
      </c>
      <c r="D1667" s="236" t="s">
        <v>15380</v>
      </c>
      <c r="E1667" s="301">
        <v>46509.55</v>
      </c>
      <c r="F1667" s="266">
        <v>42980</v>
      </c>
      <c r="G1667" s="35">
        <v>46509.55</v>
      </c>
      <c r="H1667" s="304">
        <f>Tabla13[[#This Row],[Importe]]-Tabla13[[#This Row],[Pagado]]</f>
        <v>0</v>
      </c>
      <c r="I1667" s="275" t="s">
        <v>15214</v>
      </c>
    </row>
    <row r="1668" spans="1:9" x14ac:dyDescent="0.25">
      <c r="A1668" s="299">
        <v>42961</v>
      </c>
      <c r="B1668" s="302" t="s">
        <v>25497</v>
      </c>
      <c r="C1668">
        <v>123640</v>
      </c>
      <c r="D1668" s="236" t="s">
        <v>15284</v>
      </c>
      <c r="E1668" s="301">
        <v>1393.4</v>
      </c>
      <c r="F1668" s="303">
        <v>42961</v>
      </c>
      <c r="G1668" s="301">
        <v>1393.4</v>
      </c>
      <c r="H1668" s="304">
        <f>Tabla13[[#This Row],[Importe]]-Tabla13[[#This Row],[Pagado]]</f>
        <v>0</v>
      </c>
      <c r="I1668" s="275" t="s">
        <v>15214</v>
      </c>
    </row>
    <row r="1669" spans="1:9" x14ac:dyDescent="0.25">
      <c r="A1669" s="299">
        <v>42961</v>
      </c>
      <c r="B1669" s="302" t="s">
        <v>25498</v>
      </c>
      <c r="C1669">
        <v>123641</v>
      </c>
      <c r="D1669" s="236" t="s">
        <v>15309</v>
      </c>
      <c r="E1669" s="301">
        <v>9872.85</v>
      </c>
      <c r="F1669" s="303">
        <v>42961</v>
      </c>
      <c r="G1669" s="301">
        <v>9872.85</v>
      </c>
      <c r="H1669" s="304">
        <f>Tabla13[[#This Row],[Importe]]-Tabla13[[#This Row],[Pagado]]</f>
        <v>0</v>
      </c>
      <c r="I1669" s="275" t="s">
        <v>15214</v>
      </c>
    </row>
    <row r="1670" spans="1:9" ht="30" x14ac:dyDescent="0.25">
      <c r="A1670" s="299">
        <v>42961</v>
      </c>
      <c r="B1670" s="302" t="s">
        <v>25499</v>
      </c>
      <c r="C1670">
        <v>123642</v>
      </c>
      <c r="D1670" s="236" t="s">
        <v>15539</v>
      </c>
      <c r="E1670" s="301">
        <v>15691.15</v>
      </c>
      <c r="F1670" s="303" t="s">
        <v>25500</v>
      </c>
      <c r="G1670" s="305">
        <f>7822.9+7868.25</f>
        <v>15691.15</v>
      </c>
      <c r="H1670" s="304">
        <f>Tabla13[[#This Row],[Importe]]-Tabla13[[#This Row],[Pagado]]</f>
        <v>0</v>
      </c>
      <c r="I1670" s="275" t="s">
        <v>15214</v>
      </c>
    </row>
    <row r="1671" spans="1:9" x14ac:dyDescent="0.25">
      <c r="A1671" s="299">
        <v>42961</v>
      </c>
      <c r="B1671" s="302" t="s">
        <v>25501</v>
      </c>
      <c r="C1671">
        <v>123643</v>
      </c>
      <c r="D1671" s="236" t="s">
        <v>15530</v>
      </c>
      <c r="E1671" s="301">
        <v>4420</v>
      </c>
      <c r="F1671" s="303">
        <v>42961</v>
      </c>
      <c r="G1671" s="301">
        <v>4420</v>
      </c>
      <c r="H1671" s="304">
        <f>Tabla13[[#This Row],[Importe]]-Tabla13[[#This Row],[Pagado]]</f>
        <v>0</v>
      </c>
      <c r="I1671" s="275" t="s">
        <v>15214</v>
      </c>
    </row>
    <row r="1672" spans="1:9" ht="30" x14ac:dyDescent="0.25">
      <c r="A1672" s="299">
        <v>42961</v>
      </c>
      <c r="B1672" s="302" t="s">
        <v>25502</v>
      </c>
      <c r="C1672">
        <v>123644</v>
      </c>
      <c r="D1672" s="236" t="s">
        <v>15261</v>
      </c>
      <c r="E1672" s="301">
        <v>15280.1</v>
      </c>
      <c r="F1672" s="303" t="s">
        <v>25503</v>
      </c>
      <c r="G1672" s="305">
        <f>5280+10000.1</f>
        <v>15280.1</v>
      </c>
      <c r="H1672" s="304">
        <f>Tabla13[[#This Row],[Importe]]-Tabla13[[#This Row],[Pagado]]</f>
        <v>0</v>
      </c>
      <c r="I1672" s="275" t="s">
        <v>15214</v>
      </c>
    </row>
    <row r="1673" spans="1:9" x14ac:dyDescent="0.25">
      <c r="A1673" s="299">
        <v>42961</v>
      </c>
      <c r="B1673" s="302" t="s">
        <v>25504</v>
      </c>
      <c r="C1673">
        <v>123645</v>
      </c>
      <c r="D1673" s="236" t="s">
        <v>15499</v>
      </c>
      <c r="E1673" s="301">
        <v>8949.6</v>
      </c>
      <c r="F1673" s="303">
        <v>42961</v>
      </c>
      <c r="G1673" s="301">
        <v>8949.6</v>
      </c>
      <c r="H1673" s="304">
        <f>Tabla13[[#This Row],[Importe]]-Tabla13[[#This Row],[Pagado]]</f>
        <v>0</v>
      </c>
      <c r="I1673" s="275" t="s">
        <v>15214</v>
      </c>
    </row>
    <row r="1674" spans="1:9" x14ac:dyDescent="0.25">
      <c r="A1674" s="299">
        <v>42961</v>
      </c>
      <c r="B1674" s="302" t="s">
        <v>25505</v>
      </c>
      <c r="C1674">
        <v>123646</v>
      </c>
      <c r="D1674" s="236" t="s">
        <v>15305</v>
      </c>
      <c r="E1674" s="301">
        <v>2246.4</v>
      </c>
      <c r="F1674" s="303">
        <v>42961</v>
      </c>
      <c r="G1674" s="301">
        <v>2246.4</v>
      </c>
      <c r="H1674" s="304">
        <f>Tabla13[[#This Row],[Importe]]-Tabla13[[#This Row],[Pagado]]</f>
        <v>0</v>
      </c>
      <c r="I1674" s="275" t="s">
        <v>15214</v>
      </c>
    </row>
    <row r="1675" spans="1:9" x14ac:dyDescent="0.25">
      <c r="A1675" s="299">
        <v>42961</v>
      </c>
      <c r="B1675" s="302" t="s">
        <v>25506</v>
      </c>
      <c r="C1675">
        <v>123647</v>
      </c>
      <c r="D1675" s="236" t="s">
        <v>15322</v>
      </c>
      <c r="E1675" s="301">
        <v>451.2</v>
      </c>
      <c r="F1675" s="303">
        <v>42961</v>
      </c>
      <c r="G1675" s="301">
        <v>451.2</v>
      </c>
      <c r="H1675" s="304">
        <f>Tabla13[[#This Row],[Importe]]-Tabla13[[#This Row],[Pagado]]</f>
        <v>0</v>
      </c>
      <c r="I1675" s="275" t="s">
        <v>15214</v>
      </c>
    </row>
    <row r="1676" spans="1:9" x14ac:dyDescent="0.25">
      <c r="A1676" s="299">
        <v>42961</v>
      </c>
      <c r="B1676" s="302" t="s">
        <v>25507</v>
      </c>
      <c r="C1676">
        <v>123648</v>
      </c>
      <c r="D1676" s="236" t="s">
        <v>15261</v>
      </c>
      <c r="E1676" s="301">
        <v>1574.4</v>
      </c>
      <c r="F1676" s="303">
        <v>42961</v>
      </c>
      <c r="G1676" s="301">
        <v>1574.4</v>
      </c>
      <c r="H1676" s="304">
        <f>Tabla13[[#This Row],[Importe]]-Tabla13[[#This Row],[Pagado]]</f>
        <v>0</v>
      </c>
      <c r="I1676" s="275" t="s">
        <v>15214</v>
      </c>
    </row>
    <row r="1677" spans="1:9" ht="15.75" x14ac:dyDescent="0.25">
      <c r="A1677" s="299">
        <v>42961</v>
      </c>
      <c r="B1677" s="302" t="s">
        <v>25508</v>
      </c>
      <c r="C1677">
        <v>123649</v>
      </c>
      <c r="D1677" s="248" t="s">
        <v>95</v>
      </c>
      <c r="E1677" s="301">
        <v>0</v>
      </c>
      <c r="F1677" s="243" t="s">
        <v>95</v>
      </c>
      <c r="G1677" s="301">
        <v>0</v>
      </c>
      <c r="H1677" s="304">
        <f>Tabla13[[#This Row],[Importe]]-Tabla13[[#This Row],[Pagado]]</f>
        <v>0</v>
      </c>
      <c r="I1677" s="282" t="s">
        <v>23794</v>
      </c>
    </row>
    <row r="1678" spans="1:9" x14ac:dyDescent="0.25">
      <c r="A1678" s="299">
        <v>42961</v>
      </c>
      <c r="B1678" s="302" t="s">
        <v>25509</v>
      </c>
      <c r="C1678">
        <v>123650</v>
      </c>
      <c r="D1678" s="236" t="s">
        <v>15248</v>
      </c>
      <c r="E1678" s="301">
        <v>23115.82</v>
      </c>
      <c r="F1678" s="303">
        <v>42961</v>
      </c>
      <c r="G1678" s="301">
        <v>23115.82</v>
      </c>
      <c r="H1678" s="304">
        <f>Tabla13[[#This Row],[Importe]]-Tabla13[[#This Row],[Pagado]]</f>
        <v>0</v>
      </c>
      <c r="I1678" s="275" t="s">
        <v>15214</v>
      </c>
    </row>
    <row r="1679" spans="1:9" ht="30" x14ac:dyDescent="0.25">
      <c r="A1679" s="299">
        <v>42961</v>
      </c>
      <c r="B1679" s="302" t="s">
        <v>25510</v>
      </c>
      <c r="C1679">
        <v>123651</v>
      </c>
      <c r="D1679" s="236" t="s">
        <v>15371</v>
      </c>
      <c r="E1679" s="301">
        <v>4674.7</v>
      </c>
      <c r="F1679" s="303" t="s">
        <v>25511</v>
      </c>
      <c r="G1679" s="305">
        <f>3800+874.7</f>
        <v>4674.7</v>
      </c>
      <c r="H1679" s="304">
        <f>Tabla13[[#This Row],[Importe]]-Tabla13[[#This Row],[Pagado]]</f>
        <v>0</v>
      </c>
      <c r="I1679" s="275" t="s">
        <v>15214</v>
      </c>
    </row>
    <row r="1680" spans="1:9" x14ac:dyDescent="0.25">
      <c r="A1680" s="299">
        <v>42961</v>
      </c>
      <c r="B1680" s="302" t="s">
        <v>25512</v>
      </c>
      <c r="C1680">
        <v>123652</v>
      </c>
      <c r="D1680" s="236" t="s">
        <v>16286</v>
      </c>
      <c r="E1680" s="301">
        <v>4132.8</v>
      </c>
      <c r="F1680" s="303">
        <v>42961</v>
      </c>
      <c r="G1680" s="301">
        <v>4132.8</v>
      </c>
      <c r="H1680" s="304">
        <f>Tabla13[[#This Row],[Importe]]-Tabla13[[#This Row],[Pagado]]</f>
        <v>0</v>
      </c>
      <c r="I1680" s="275" t="s">
        <v>15214</v>
      </c>
    </row>
    <row r="1681" spans="1:9" x14ac:dyDescent="0.25">
      <c r="A1681" s="299">
        <v>42961</v>
      </c>
      <c r="B1681" s="302" t="s">
        <v>25513</v>
      </c>
      <c r="C1681">
        <v>123653</v>
      </c>
      <c r="D1681" s="236" t="s">
        <v>15537</v>
      </c>
      <c r="E1681" s="301">
        <v>19582.8</v>
      </c>
      <c r="F1681" s="303">
        <v>42970</v>
      </c>
      <c r="G1681" s="301">
        <v>19582.8</v>
      </c>
      <c r="H1681" s="304">
        <f>Tabla13[[#This Row],[Importe]]-Tabla13[[#This Row],[Pagado]]</f>
        <v>0</v>
      </c>
      <c r="I1681" s="275" t="s">
        <v>15214</v>
      </c>
    </row>
    <row r="1682" spans="1:9" x14ac:dyDescent="0.25">
      <c r="A1682" s="299">
        <v>42961</v>
      </c>
      <c r="B1682" s="302" t="s">
        <v>25514</v>
      </c>
      <c r="C1682">
        <v>123654</v>
      </c>
      <c r="D1682" s="236" t="s">
        <v>15559</v>
      </c>
      <c r="E1682" s="301">
        <v>4440.7</v>
      </c>
      <c r="F1682" s="303">
        <v>42970</v>
      </c>
      <c r="G1682" s="301">
        <v>4440.7</v>
      </c>
      <c r="H1682" s="304">
        <f>Tabla13[[#This Row],[Importe]]-Tabla13[[#This Row],[Pagado]]</f>
        <v>0</v>
      </c>
      <c r="I1682" s="275" t="s">
        <v>15214</v>
      </c>
    </row>
    <row r="1683" spans="1:9" x14ac:dyDescent="0.25">
      <c r="A1683" s="299">
        <v>42961</v>
      </c>
      <c r="B1683" s="302" t="s">
        <v>25515</v>
      </c>
      <c r="C1683">
        <v>123655</v>
      </c>
      <c r="D1683" s="236" t="s">
        <v>15555</v>
      </c>
      <c r="E1683" s="301">
        <v>2112</v>
      </c>
      <c r="F1683" s="303">
        <v>42964</v>
      </c>
      <c r="G1683" s="301">
        <v>2112</v>
      </c>
      <c r="H1683" s="304">
        <f>Tabla13[[#This Row],[Importe]]-Tabla13[[#This Row],[Pagado]]</f>
        <v>0</v>
      </c>
      <c r="I1683" s="275" t="s">
        <v>15214</v>
      </c>
    </row>
    <row r="1684" spans="1:9" x14ac:dyDescent="0.25">
      <c r="A1684" s="299">
        <v>42961</v>
      </c>
      <c r="B1684" s="302" t="s">
        <v>25516</v>
      </c>
      <c r="C1684">
        <v>123656</v>
      </c>
      <c r="D1684" s="236" t="s">
        <v>15315</v>
      </c>
      <c r="E1684" s="301">
        <v>3522.7</v>
      </c>
      <c r="F1684" s="303">
        <v>43015</v>
      </c>
      <c r="G1684" s="301">
        <v>3522.7</v>
      </c>
      <c r="H1684" s="304">
        <f>Tabla13[[#This Row],[Importe]]-Tabla13[[#This Row],[Pagado]]</f>
        <v>0</v>
      </c>
      <c r="I1684" s="275" t="s">
        <v>15214</v>
      </c>
    </row>
    <row r="1685" spans="1:9" x14ac:dyDescent="0.25">
      <c r="A1685" s="299">
        <v>42961</v>
      </c>
      <c r="B1685" s="302" t="s">
        <v>25517</v>
      </c>
      <c r="C1685">
        <v>123657</v>
      </c>
      <c r="D1685" s="236" t="s">
        <v>15246</v>
      </c>
      <c r="E1685" s="301">
        <v>6556.8</v>
      </c>
      <c r="F1685" s="303">
        <v>42963</v>
      </c>
      <c r="G1685" s="301">
        <v>6556.8</v>
      </c>
      <c r="H1685" s="304">
        <f>Tabla13[[#This Row],[Importe]]-Tabla13[[#This Row],[Pagado]]</f>
        <v>0</v>
      </c>
      <c r="I1685" s="275" t="s">
        <v>15214</v>
      </c>
    </row>
    <row r="1686" spans="1:9" x14ac:dyDescent="0.25">
      <c r="A1686" s="299">
        <v>42961</v>
      </c>
      <c r="B1686" s="302" t="s">
        <v>25518</v>
      </c>
      <c r="C1686">
        <v>123658</v>
      </c>
      <c r="D1686" s="236" t="s">
        <v>15706</v>
      </c>
      <c r="E1686" s="301">
        <v>3069.6</v>
      </c>
      <c r="F1686" s="303">
        <v>42961</v>
      </c>
      <c r="G1686" s="301">
        <v>3069.6</v>
      </c>
      <c r="H1686" s="304">
        <f>Tabla13[[#This Row],[Importe]]-Tabla13[[#This Row],[Pagado]]</f>
        <v>0</v>
      </c>
      <c r="I1686" s="275" t="s">
        <v>15214</v>
      </c>
    </row>
    <row r="1687" spans="1:9" x14ac:dyDescent="0.25">
      <c r="A1687" s="299">
        <v>42961</v>
      </c>
      <c r="B1687" s="302" t="s">
        <v>25519</v>
      </c>
      <c r="C1687">
        <v>123659</v>
      </c>
      <c r="D1687" s="236" t="s">
        <v>19768</v>
      </c>
      <c r="E1687" s="301">
        <v>1410</v>
      </c>
      <c r="F1687" s="303">
        <v>42961</v>
      </c>
      <c r="G1687" s="301">
        <v>1410</v>
      </c>
      <c r="H1687" s="304">
        <f>Tabla13[[#This Row],[Importe]]-Tabla13[[#This Row],[Pagado]]</f>
        <v>0</v>
      </c>
      <c r="I1687" s="275" t="s">
        <v>15214</v>
      </c>
    </row>
    <row r="1688" spans="1:9" x14ac:dyDescent="0.25">
      <c r="A1688" s="299">
        <v>42961</v>
      </c>
      <c r="B1688" s="302" t="s">
        <v>25520</v>
      </c>
      <c r="C1688">
        <v>123660</v>
      </c>
      <c r="D1688" s="236" t="s">
        <v>15748</v>
      </c>
      <c r="E1688" s="301">
        <v>3148.1</v>
      </c>
      <c r="F1688" s="303">
        <v>42961</v>
      </c>
      <c r="G1688" s="301">
        <v>3148.1</v>
      </c>
      <c r="H1688" s="304">
        <f>Tabla13[[#This Row],[Importe]]-Tabla13[[#This Row],[Pagado]]</f>
        <v>0</v>
      </c>
      <c r="I1688" s="275" t="s">
        <v>15214</v>
      </c>
    </row>
    <row r="1689" spans="1:9" x14ac:dyDescent="0.25">
      <c r="A1689" s="299">
        <v>42961</v>
      </c>
      <c r="B1689" s="302" t="s">
        <v>25521</v>
      </c>
      <c r="C1689">
        <v>123661</v>
      </c>
      <c r="D1689" s="236" t="s">
        <v>15748</v>
      </c>
      <c r="E1689" s="301">
        <v>1575</v>
      </c>
      <c r="F1689" s="303">
        <v>42961</v>
      </c>
      <c r="G1689" s="301">
        <v>1575</v>
      </c>
      <c r="H1689" s="304">
        <f>Tabla13[[#This Row],[Importe]]-Tabla13[[#This Row],[Pagado]]</f>
        <v>0</v>
      </c>
      <c r="I1689" s="275" t="s">
        <v>15214</v>
      </c>
    </row>
    <row r="1690" spans="1:9" x14ac:dyDescent="0.25">
      <c r="A1690" s="299">
        <v>42961</v>
      </c>
      <c r="B1690" s="302" t="s">
        <v>25522</v>
      </c>
      <c r="C1690">
        <v>123662</v>
      </c>
      <c r="D1690" s="236" t="s">
        <v>15665</v>
      </c>
      <c r="E1690" s="301">
        <v>172.5</v>
      </c>
      <c r="F1690" s="303">
        <v>42961</v>
      </c>
      <c r="G1690" s="301">
        <v>172.5</v>
      </c>
      <c r="H1690" s="304">
        <f>Tabla13[[#This Row],[Importe]]-Tabla13[[#This Row],[Pagado]]</f>
        <v>0</v>
      </c>
      <c r="I1690" s="275" t="s">
        <v>15214</v>
      </c>
    </row>
    <row r="1691" spans="1:9" x14ac:dyDescent="0.25">
      <c r="A1691" s="299">
        <v>42961</v>
      </c>
      <c r="B1691" s="302" t="s">
        <v>25523</v>
      </c>
      <c r="C1691">
        <v>123663</v>
      </c>
      <c r="D1691" s="236" t="s">
        <v>15326</v>
      </c>
      <c r="E1691" s="301">
        <v>3536.3</v>
      </c>
      <c r="F1691" s="303">
        <v>42961</v>
      </c>
      <c r="G1691" s="301">
        <v>3536.3</v>
      </c>
      <c r="H1691" s="304">
        <f>Tabla13[[#This Row],[Importe]]-Tabla13[[#This Row],[Pagado]]</f>
        <v>0</v>
      </c>
      <c r="I1691" s="275" t="s">
        <v>15214</v>
      </c>
    </row>
    <row r="1692" spans="1:9" x14ac:dyDescent="0.25">
      <c r="A1692" s="299">
        <v>42961</v>
      </c>
      <c r="B1692" s="302" t="s">
        <v>25524</v>
      </c>
      <c r="C1692">
        <v>123664</v>
      </c>
      <c r="D1692" s="236" t="s">
        <v>15274</v>
      </c>
      <c r="E1692" s="301">
        <v>2800</v>
      </c>
      <c r="F1692" s="303">
        <v>42962</v>
      </c>
      <c r="G1692" s="301">
        <v>2800</v>
      </c>
      <c r="H1692" s="304">
        <f>Tabla13[[#This Row],[Importe]]-Tabla13[[#This Row],[Pagado]]</f>
        <v>0</v>
      </c>
      <c r="I1692" s="275" t="s">
        <v>15214</v>
      </c>
    </row>
    <row r="1693" spans="1:9" x14ac:dyDescent="0.25">
      <c r="A1693" s="299">
        <v>42961</v>
      </c>
      <c r="B1693" s="302" t="s">
        <v>25525</v>
      </c>
      <c r="C1693">
        <v>123665</v>
      </c>
      <c r="D1693" s="236" t="s">
        <v>15315</v>
      </c>
      <c r="E1693" s="301">
        <v>3169.14</v>
      </c>
      <c r="F1693" s="303">
        <v>42962</v>
      </c>
      <c r="G1693" s="301">
        <v>3169.14</v>
      </c>
      <c r="H1693" s="304">
        <f>Tabla13[[#This Row],[Importe]]-Tabla13[[#This Row],[Pagado]]</f>
        <v>0</v>
      </c>
      <c r="I1693" s="275" t="s">
        <v>15214</v>
      </c>
    </row>
    <row r="1694" spans="1:9" x14ac:dyDescent="0.25">
      <c r="A1694" s="299">
        <v>42961</v>
      </c>
      <c r="B1694" s="302" t="s">
        <v>25526</v>
      </c>
      <c r="C1694">
        <v>123666</v>
      </c>
      <c r="D1694" s="236" t="s">
        <v>15421</v>
      </c>
      <c r="E1694" s="301">
        <v>600</v>
      </c>
      <c r="F1694" s="303">
        <v>42961</v>
      </c>
      <c r="G1694" s="301">
        <v>600</v>
      </c>
      <c r="H1694" s="304">
        <f>Tabla13[[#This Row],[Importe]]-Tabla13[[#This Row],[Pagado]]</f>
        <v>0</v>
      </c>
      <c r="I1694" s="275" t="s">
        <v>15214</v>
      </c>
    </row>
    <row r="1695" spans="1:9" x14ac:dyDescent="0.25">
      <c r="A1695" s="299">
        <v>42961</v>
      </c>
      <c r="B1695" s="302" t="s">
        <v>25527</v>
      </c>
      <c r="C1695">
        <v>123667</v>
      </c>
      <c r="D1695" s="236" t="s">
        <v>15421</v>
      </c>
      <c r="E1695" s="301">
        <v>210</v>
      </c>
      <c r="F1695" s="303">
        <v>42961</v>
      </c>
      <c r="G1695" s="301">
        <v>210</v>
      </c>
      <c r="H1695" s="304">
        <f>Tabla13[[#This Row],[Importe]]-Tabla13[[#This Row],[Pagado]]</f>
        <v>0</v>
      </c>
      <c r="I1695" s="275" t="s">
        <v>15214</v>
      </c>
    </row>
    <row r="1696" spans="1:9" x14ac:dyDescent="0.25">
      <c r="A1696" s="299">
        <v>42961</v>
      </c>
      <c r="B1696" s="302" t="s">
        <v>25528</v>
      </c>
      <c r="C1696">
        <v>123668</v>
      </c>
      <c r="D1696" s="236" t="s">
        <v>15254</v>
      </c>
      <c r="E1696" s="301">
        <v>6847.4</v>
      </c>
      <c r="F1696" s="303">
        <v>42963</v>
      </c>
      <c r="G1696" s="301">
        <v>6847.4</v>
      </c>
      <c r="H1696" s="304">
        <f>Tabla13[[#This Row],[Importe]]-Tabla13[[#This Row],[Pagado]]</f>
        <v>0</v>
      </c>
      <c r="I1696" s="275" t="s">
        <v>15214</v>
      </c>
    </row>
    <row r="1697" spans="1:9" x14ac:dyDescent="0.25">
      <c r="A1697" s="299">
        <v>42961</v>
      </c>
      <c r="B1697" s="302" t="s">
        <v>25529</v>
      </c>
      <c r="C1697">
        <v>123669</v>
      </c>
      <c r="D1697" s="236" t="s">
        <v>15920</v>
      </c>
      <c r="E1697" s="301">
        <v>5344.4</v>
      </c>
      <c r="F1697" s="303">
        <v>42962</v>
      </c>
      <c r="G1697" s="301">
        <v>5344.4</v>
      </c>
      <c r="H1697" s="304">
        <f>Tabla13[[#This Row],[Importe]]-Tabla13[[#This Row],[Pagado]]</f>
        <v>0</v>
      </c>
      <c r="I1697" s="275" t="s">
        <v>15214</v>
      </c>
    </row>
    <row r="1698" spans="1:9" x14ac:dyDescent="0.25">
      <c r="A1698" s="299">
        <v>42961</v>
      </c>
      <c r="B1698" s="302" t="s">
        <v>25530</v>
      </c>
      <c r="C1698">
        <v>123670</v>
      </c>
      <c r="D1698" s="236" t="s">
        <v>18890</v>
      </c>
      <c r="E1698" s="301">
        <v>7211.6</v>
      </c>
      <c r="F1698" s="303">
        <v>42973</v>
      </c>
      <c r="G1698" s="301">
        <v>7211.6</v>
      </c>
      <c r="H1698" s="304">
        <f>Tabla13[[#This Row],[Importe]]-Tabla13[[#This Row],[Pagado]]</f>
        <v>0</v>
      </c>
      <c r="I1698" s="275" t="s">
        <v>15214</v>
      </c>
    </row>
    <row r="1699" spans="1:9" x14ac:dyDescent="0.25">
      <c r="A1699" s="299">
        <v>42961</v>
      </c>
      <c r="B1699" s="302" t="s">
        <v>25531</v>
      </c>
      <c r="C1699">
        <v>123671</v>
      </c>
      <c r="D1699" s="236" t="s">
        <v>15378</v>
      </c>
      <c r="E1699" s="301">
        <v>2047.2</v>
      </c>
      <c r="F1699" s="303">
        <v>42961</v>
      </c>
      <c r="G1699" s="301">
        <v>2047.2</v>
      </c>
      <c r="H1699" s="304">
        <f>Tabla13[[#This Row],[Importe]]-Tabla13[[#This Row],[Pagado]]</f>
        <v>0</v>
      </c>
      <c r="I1699" s="275" t="s">
        <v>15214</v>
      </c>
    </row>
    <row r="1700" spans="1:9" x14ac:dyDescent="0.25">
      <c r="A1700" s="299">
        <v>42961</v>
      </c>
      <c r="B1700" s="302" t="s">
        <v>25532</v>
      </c>
      <c r="C1700">
        <v>123672</v>
      </c>
      <c r="D1700" s="236" t="s">
        <v>15276</v>
      </c>
      <c r="E1700" s="301">
        <v>1936.6</v>
      </c>
      <c r="F1700" s="303">
        <v>42962</v>
      </c>
      <c r="G1700" s="301">
        <v>1936.6</v>
      </c>
      <c r="H1700" s="304">
        <f>Tabla13[[#This Row],[Importe]]-Tabla13[[#This Row],[Pagado]]</f>
        <v>0</v>
      </c>
      <c r="I1700" s="275" t="s">
        <v>15214</v>
      </c>
    </row>
    <row r="1701" spans="1:9" x14ac:dyDescent="0.25">
      <c r="A1701" s="299">
        <v>42961</v>
      </c>
      <c r="B1701" s="302" t="s">
        <v>25533</v>
      </c>
      <c r="C1701">
        <v>123673</v>
      </c>
      <c r="D1701" s="236" t="s">
        <v>15315</v>
      </c>
      <c r="E1701" s="301">
        <v>1058.2</v>
      </c>
      <c r="F1701" s="303">
        <v>42961</v>
      </c>
      <c r="G1701" s="301">
        <v>1058.2</v>
      </c>
      <c r="H1701" s="304">
        <f>Tabla13[[#This Row],[Importe]]-Tabla13[[#This Row],[Pagado]]</f>
        <v>0</v>
      </c>
      <c r="I1701" s="275" t="s">
        <v>15214</v>
      </c>
    </row>
    <row r="1702" spans="1:9" x14ac:dyDescent="0.25">
      <c r="A1702" s="299">
        <v>42961</v>
      </c>
      <c r="B1702" s="302" t="s">
        <v>25534</v>
      </c>
      <c r="C1702">
        <v>123674</v>
      </c>
      <c r="D1702" s="236" t="s">
        <v>15315</v>
      </c>
      <c r="E1702" s="301">
        <v>395.2</v>
      </c>
      <c r="F1702" s="303">
        <v>42961</v>
      </c>
      <c r="G1702" s="301">
        <v>395.2</v>
      </c>
      <c r="H1702" s="304">
        <f>Tabla13[[#This Row],[Importe]]-Tabla13[[#This Row],[Pagado]]</f>
        <v>0</v>
      </c>
      <c r="I1702" s="275" t="s">
        <v>15214</v>
      </c>
    </row>
    <row r="1703" spans="1:9" x14ac:dyDescent="0.25">
      <c r="A1703" s="299">
        <v>42961</v>
      </c>
      <c r="B1703" s="302" t="s">
        <v>25535</v>
      </c>
      <c r="C1703">
        <v>123675</v>
      </c>
      <c r="D1703" s="236" t="s">
        <v>15387</v>
      </c>
      <c r="E1703" s="301">
        <v>3522.94</v>
      </c>
      <c r="F1703" s="303">
        <v>42962</v>
      </c>
      <c r="G1703" s="301">
        <v>3522.94</v>
      </c>
      <c r="H1703" s="304">
        <f>Tabla13[[#This Row],[Importe]]-Tabla13[[#This Row],[Pagado]]</f>
        <v>0</v>
      </c>
      <c r="I1703" s="275" t="s">
        <v>15214</v>
      </c>
    </row>
    <row r="1704" spans="1:9" x14ac:dyDescent="0.25">
      <c r="A1704" s="299">
        <v>42961</v>
      </c>
      <c r="B1704" s="302" t="s">
        <v>25536</v>
      </c>
      <c r="C1704">
        <v>123676</v>
      </c>
      <c r="D1704" s="236" t="s">
        <v>15282</v>
      </c>
      <c r="E1704" s="301">
        <v>904.2</v>
      </c>
      <c r="F1704" s="303">
        <v>42961</v>
      </c>
      <c r="G1704" s="301">
        <v>904.2</v>
      </c>
      <c r="H1704" s="304">
        <f>Tabla13[[#This Row],[Importe]]-Tabla13[[#This Row],[Pagado]]</f>
        <v>0</v>
      </c>
      <c r="I1704" s="275" t="s">
        <v>15214</v>
      </c>
    </row>
    <row r="1705" spans="1:9" x14ac:dyDescent="0.25">
      <c r="A1705" s="299">
        <v>42961</v>
      </c>
      <c r="B1705" s="302" t="s">
        <v>25537</v>
      </c>
      <c r="C1705">
        <v>123677</v>
      </c>
      <c r="D1705" s="236" t="s">
        <v>16732</v>
      </c>
      <c r="E1705" s="301">
        <v>30487.8</v>
      </c>
      <c r="F1705" s="303">
        <v>42962</v>
      </c>
      <c r="G1705" s="301">
        <v>30487.8</v>
      </c>
      <c r="H1705" s="304">
        <f>Tabla13[[#This Row],[Importe]]-Tabla13[[#This Row],[Pagado]]</f>
        <v>0</v>
      </c>
      <c r="I1705" s="275" t="s">
        <v>15214</v>
      </c>
    </row>
    <row r="1706" spans="1:9" x14ac:dyDescent="0.25">
      <c r="A1706" s="299">
        <v>42961</v>
      </c>
      <c r="B1706" s="302" t="s">
        <v>25538</v>
      </c>
      <c r="C1706">
        <v>123678</v>
      </c>
      <c r="D1706" s="236" t="s">
        <v>15315</v>
      </c>
      <c r="E1706" s="301">
        <v>477.9</v>
      </c>
      <c r="F1706" s="303">
        <v>42961</v>
      </c>
      <c r="G1706" s="301">
        <v>477.9</v>
      </c>
      <c r="H1706" s="304">
        <f>Tabla13[[#This Row],[Importe]]-Tabla13[[#This Row],[Pagado]]</f>
        <v>0</v>
      </c>
      <c r="I1706" s="275" t="s">
        <v>15214</v>
      </c>
    </row>
    <row r="1707" spans="1:9" x14ac:dyDescent="0.25">
      <c r="A1707" s="299">
        <v>42961</v>
      </c>
      <c r="B1707" s="302" t="s">
        <v>25539</v>
      </c>
      <c r="C1707">
        <v>123679</v>
      </c>
      <c r="D1707" s="236" t="s">
        <v>16383</v>
      </c>
      <c r="E1707" s="301">
        <v>185</v>
      </c>
      <c r="F1707" s="303">
        <v>42962</v>
      </c>
      <c r="G1707" s="301">
        <v>185</v>
      </c>
      <c r="H1707" s="304">
        <f>Tabla13[[#This Row],[Importe]]-Tabla13[[#This Row],[Pagado]]</f>
        <v>0</v>
      </c>
      <c r="I1707" s="275" t="s">
        <v>15214</v>
      </c>
    </row>
    <row r="1708" spans="1:9" x14ac:dyDescent="0.25">
      <c r="A1708" s="299">
        <v>42961</v>
      </c>
      <c r="B1708" s="302" t="s">
        <v>25540</v>
      </c>
      <c r="C1708">
        <v>123680</v>
      </c>
      <c r="D1708" s="236" t="s">
        <v>15568</v>
      </c>
      <c r="E1708" s="301">
        <v>6623.4</v>
      </c>
      <c r="F1708" s="303">
        <v>42962</v>
      </c>
      <c r="G1708" s="301">
        <v>6623.4</v>
      </c>
      <c r="H1708" s="304">
        <f>Tabla13[[#This Row],[Importe]]-Tabla13[[#This Row],[Pagado]]</f>
        <v>0</v>
      </c>
      <c r="I1708" s="275" t="s">
        <v>15214</v>
      </c>
    </row>
    <row r="1709" spans="1:9" x14ac:dyDescent="0.25">
      <c r="A1709" s="299">
        <v>42961</v>
      </c>
      <c r="B1709" s="302" t="s">
        <v>25541</v>
      </c>
      <c r="C1709">
        <v>123681</v>
      </c>
      <c r="D1709" s="236" t="s">
        <v>15433</v>
      </c>
      <c r="E1709" s="301">
        <v>1577.6</v>
      </c>
      <c r="F1709" s="303">
        <v>42961</v>
      </c>
      <c r="G1709" s="301">
        <v>1577.6</v>
      </c>
      <c r="H1709" s="304">
        <f>Tabla13[[#This Row],[Importe]]-Tabla13[[#This Row],[Pagado]]</f>
        <v>0</v>
      </c>
      <c r="I1709" s="275" t="s">
        <v>15214</v>
      </c>
    </row>
    <row r="1710" spans="1:9" x14ac:dyDescent="0.25">
      <c r="A1710" s="299">
        <v>42961</v>
      </c>
      <c r="B1710" s="302" t="s">
        <v>25542</v>
      </c>
      <c r="C1710">
        <v>123682</v>
      </c>
      <c r="D1710" s="236" t="s">
        <v>15566</v>
      </c>
      <c r="E1710" s="301">
        <v>777</v>
      </c>
      <c r="F1710" s="303">
        <v>42961</v>
      </c>
      <c r="G1710" s="301">
        <v>777</v>
      </c>
      <c r="H1710" s="304">
        <f>Tabla13[[#This Row],[Importe]]-Tabla13[[#This Row],[Pagado]]</f>
        <v>0</v>
      </c>
      <c r="I1710" s="275" t="s">
        <v>15214</v>
      </c>
    </row>
    <row r="1711" spans="1:9" x14ac:dyDescent="0.25">
      <c r="A1711" s="299">
        <v>42961</v>
      </c>
      <c r="B1711" s="302" t="s">
        <v>25543</v>
      </c>
      <c r="C1711">
        <v>123683</v>
      </c>
      <c r="D1711" s="236" t="s">
        <v>15396</v>
      </c>
      <c r="E1711" s="301">
        <v>6660.96</v>
      </c>
      <c r="F1711" s="303">
        <v>42961</v>
      </c>
      <c r="G1711" s="301">
        <v>6660.96</v>
      </c>
      <c r="H1711" s="304">
        <f>Tabla13[[#This Row],[Importe]]-Tabla13[[#This Row],[Pagado]]</f>
        <v>0</v>
      </c>
      <c r="I1711" s="275" t="s">
        <v>15214</v>
      </c>
    </row>
    <row r="1712" spans="1:9" x14ac:dyDescent="0.25">
      <c r="A1712" s="299">
        <v>42961</v>
      </c>
      <c r="B1712" s="302" t="s">
        <v>25544</v>
      </c>
      <c r="C1712">
        <v>123684</v>
      </c>
      <c r="D1712" s="236" t="s">
        <v>15363</v>
      </c>
      <c r="E1712" s="301">
        <v>3230.4</v>
      </c>
      <c r="F1712" s="303">
        <v>42962</v>
      </c>
      <c r="G1712" s="301">
        <v>3230.4</v>
      </c>
      <c r="H1712" s="304">
        <f>Tabla13[[#This Row],[Importe]]-Tabla13[[#This Row],[Pagado]]</f>
        <v>0</v>
      </c>
      <c r="I1712" s="275" t="s">
        <v>15214</v>
      </c>
    </row>
    <row r="1713" spans="1:9" x14ac:dyDescent="0.25">
      <c r="A1713" s="299">
        <v>42961</v>
      </c>
      <c r="B1713" s="302" t="s">
        <v>25545</v>
      </c>
      <c r="C1713">
        <v>123685</v>
      </c>
      <c r="D1713" s="236" t="s">
        <v>15391</v>
      </c>
      <c r="E1713" s="301">
        <v>6874</v>
      </c>
      <c r="F1713" s="303">
        <v>42963</v>
      </c>
      <c r="G1713" s="301">
        <v>6874</v>
      </c>
      <c r="H1713" s="304">
        <f>Tabla13[[#This Row],[Importe]]-Tabla13[[#This Row],[Pagado]]</f>
        <v>0</v>
      </c>
      <c r="I1713" s="275" t="s">
        <v>15214</v>
      </c>
    </row>
    <row r="1714" spans="1:9" x14ac:dyDescent="0.25">
      <c r="A1714" s="299">
        <v>42961</v>
      </c>
      <c r="B1714" s="302" t="s">
        <v>25546</v>
      </c>
      <c r="C1714">
        <v>123686</v>
      </c>
      <c r="D1714" s="236" t="s">
        <v>15594</v>
      </c>
      <c r="E1714" s="301">
        <v>2402.4</v>
      </c>
      <c r="F1714" s="303">
        <v>42962</v>
      </c>
      <c r="G1714" s="301">
        <v>2402.4</v>
      </c>
      <c r="H1714" s="304">
        <f>Tabla13[[#This Row],[Importe]]-Tabla13[[#This Row],[Pagado]]</f>
        <v>0</v>
      </c>
      <c r="I1714" s="275" t="s">
        <v>15214</v>
      </c>
    </row>
    <row r="1715" spans="1:9" ht="15.75" x14ac:dyDescent="0.25">
      <c r="A1715" s="299">
        <v>42961</v>
      </c>
      <c r="B1715" s="302" t="s">
        <v>25547</v>
      </c>
      <c r="C1715">
        <v>123687</v>
      </c>
      <c r="D1715" s="248" t="s">
        <v>95</v>
      </c>
      <c r="E1715" s="301">
        <v>0</v>
      </c>
      <c r="F1715" s="243" t="s">
        <v>95</v>
      </c>
      <c r="G1715" s="301">
        <v>0</v>
      </c>
      <c r="H1715" s="304">
        <f>Tabla13[[#This Row],[Importe]]-Tabla13[[#This Row],[Pagado]]</f>
        <v>0</v>
      </c>
      <c r="I1715" s="275" t="s">
        <v>95</v>
      </c>
    </row>
    <row r="1716" spans="1:9" x14ac:dyDescent="0.25">
      <c r="A1716" s="299">
        <v>42961</v>
      </c>
      <c r="B1716" s="302" t="s">
        <v>25548</v>
      </c>
      <c r="C1716">
        <v>123688</v>
      </c>
      <c r="D1716" s="236" t="s">
        <v>15568</v>
      </c>
      <c r="E1716" s="301">
        <v>4183.2</v>
      </c>
      <c r="F1716" s="303">
        <v>42962</v>
      </c>
      <c r="G1716" s="301">
        <v>4183.2</v>
      </c>
      <c r="H1716" s="304">
        <f>Tabla13[[#This Row],[Importe]]-Tabla13[[#This Row],[Pagado]]</f>
        <v>0</v>
      </c>
      <c r="I1716" s="275" t="s">
        <v>15214</v>
      </c>
    </row>
    <row r="1717" spans="1:9" x14ac:dyDescent="0.25">
      <c r="A1717" s="299">
        <v>42961</v>
      </c>
      <c r="B1717" s="302" t="s">
        <v>25549</v>
      </c>
      <c r="C1717">
        <v>123689</v>
      </c>
      <c r="D1717" s="236" t="s">
        <v>15296</v>
      </c>
      <c r="E1717" s="301">
        <v>60464.15</v>
      </c>
      <c r="F1717" s="303">
        <v>42966</v>
      </c>
      <c r="G1717" s="301">
        <v>60464.15</v>
      </c>
      <c r="H1717" s="304">
        <f>Tabla13[[#This Row],[Importe]]-Tabla13[[#This Row],[Pagado]]</f>
        <v>0</v>
      </c>
      <c r="I1717" s="275" t="s">
        <v>15214</v>
      </c>
    </row>
    <row r="1718" spans="1:9" x14ac:dyDescent="0.25">
      <c r="A1718" s="299">
        <v>42961</v>
      </c>
      <c r="B1718" s="302" t="s">
        <v>25550</v>
      </c>
      <c r="C1718">
        <v>123690</v>
      </c>
      <c r="D1718" s="236" t="s">
        <v>15365</v>
      </c>
      <c r="E1718" s="301">
        <v>236376</v>
      </c>
      <c r="F1718" s="303">
        <v>42965</v>
      </c>
      <c r="G1718" s="301">
        <v>236376</v>
      </c>
      <c r="H1718" s="304">
        <f>Tabla13[[#This Row],[Importe]]-Tabla13[[#This Row],[Pagado]]</f>
        <v>0</v>
      </c>
      <c r="I1718" s="275" t="s">
        <v>15214</v>
      </c>
    </row>
    <row r="1719" spans="1:9" x14ac:dyDescent="0.25">
      <c r="A1719" s="299">
        <v>42961</v>
      </c>
      <c r="B1719" s="302" t="s">
        <v>25551</v>
      </c>
      <c r="C1719">
        <v>123691</v>
      </c>
      <c r="D1719" s="236" t="s">
        <v>15442</v>
      </c>
      <c r="E1719" s="301">
        <v>22127.599999999999</v>
      </c>
      <c r="F1719" s="303">
        <v>42968</v>
      </c>
      <c r="G1719" s="301">
        <v>22127.599999999999</v>
      </c>
      <c r="H1719" s="304">
        <f>Tabla13[[#This Row],[Importe]]-Tabla13[[#This Row],[Pagado]]</f>
        <v>0</v>
      </c>
      <c r="I1719" s="275" t="s">
        <v>15214</v>
      </c>
    </row>
    <row r="1720" spans="1:9" x14ac:dyDescent="0.25">
      <c r="A1720" s="299">
        <v>42961</v>
      </c>
      <c r="B1720" s="302" t="s">
        <v>25552</v>
      </c>
      <c r="C1720">
        <v>123692</v>
      </c>
      <c r="D1720" s="236" t="s">
        <v>19754</v>
      </c>
      <c r="E1720" s="301">
        <v>15902.2</v>
      </c>
      <c r="F1720" s="303">
        <v>42963</v>
      </c>
      <c r="G1720" s="301">
        <v>15902.2</v>
      </c>
      <c r="H1720" s="304">
        <f>Tabla13[[#This Row],[Importe]]-Tabla13[[#This Row],[Pagado]]</f>
        <v>0</v>
      </c>
      <c r="I1720" s="275" t="s">
        <v>15214</v>
      </c>
    </row>
    <row r="1721" spans="1:9" x14ac:dyDescent="0.25">
      <c r="A1721" s="299">
        <v>42961</v>
      </c>
      <c r="B1721" s="302" t="s">
        <v>25553</v>
      </c>
      <c r="C1721">
        <v>123693</v>
      </c>
      <c r="D1721" s="236" t="s">
        <v>15480</v>
      </c>
      <c r="E1721" s="301">
        <v>276</v>
      </c>
      <c r="F1721" s="303">
        <v>42962</v>
      </c>
      <c r="G1721" s="301">
        <v>276</v>
      </c>
      <c r="H1721" s="304">
        <f>Tabla13[[#This Row],[Importe]]-Tabla13[[#This Row],[Pagado]]</f>
        <v>0</v>
      </c>
      <c r="I1721" s="275" t="s">
        <v>15214</v>
      </c>
    </row>
    <row r="1722" spans="1:9" x14ac:dyDescent="0.25">
      <c r="A1722" s="299">
        <v>42961</v>
      </c>
      <c r="B1722" s="302" t="s">
        <v>25554</v>
      </c>
      <c r="C1722">
        <v>123694</v>
      </c>
      <c r="D1722" s="236" t="s">
        <v>15378</v>
      </c>
      <c r="E1722" s="301">
        <v>10535.9</v>
      </c>
      <c r="F1722" s="303">
        <v>42968</v>
      </c>
      <c r="G1722" s="301">
        <v>10535.9</v>
      </c>
      <c r="H1722" s="304">
        <f>Tabla13[[#This Row],[Importe]]-Tabla13[[#This Row],[Pagado]]</f>
        <v>0</v>
      </c>
      <c r="I1722" s="275" t="s">
        <v>15214</v>
      </c>
    </row>
    <row r="1723" spans="1:9" x14ac:dyDescent="0.25">
      <c r="A1723" s="299">
        <v>42961</v>
      </c>
      <c r="B1723" s="302" t="s">
        <v>25555</v>
      </c>
      <c r="C1723">
        <v>123695</v>
      </c>
      <c r="D1723" s="236" t="s">
        <v>15256</v>
      </c>
      <c r="E1723" s="301">
        <v>6936.4</v>
      </c>
      <c r="F1723" s="303">
        <v>42963</v>
      </c>
      <c r="G1723" s="301">
        <v>6936.4</v>
      </c>
      <c r="H1723" s="304">
        <f>Tabla13[[#This Row],[Importe]]-Tabla13[[#This Row],[Pagado]]</f>
        <v>0</v>
      </c>
      <c r="I1723" s="275" t="s">
        <v>15214</v>
      </c>
    </row>
    <row r="1724" spans="1:9" x14ac:dyDescent="0.25">
      <c r="A1724" s="299">
        <v>42961</v>
      </c>
      <c r="B1724" s="302" t="s">
        <v>25556</v>
      </c>
      <c r="C1724">
        <v>123696</v>
      </c>
      <c r="D1724" s="236" t="s">
        <v>15444</v>
      </c>
      <c r="E1724" s="301">
        <v>2481.6</v>
      </c>
      <c r="F1724" s="303">
        <v>42962</v>
      </c>
      <c r="G1724" s="301">
        <v>2481.6</v>
      </c>
      <c r="H1724" s="304">
        <f>Tabla13[[#This Row],[Importe]]-Tabla13[[#This Row],[Pagado]]</f>
        <v>0</v>
      </c>
      <c r="I1724" s="275" t="s">
        <v>15214</v>
      </c>
    </row>
    <row r="1725" spans="1:9" x14ac:dyDescent="0.25">
      <c r="A1725" s="299">
        <v>42961</v>
      </c>
      <c r="B1725" s="302" t="s">
        <v>25557</v>
      </c>
      <c r="C1725">
        <v>123697</v>
      </c>
      <c r="D1725" s="236" t="s">
        <v>5880</v>
      </c>
      <c r="E1725" s="301">
        <v>43795.199999999997</v>
      </c>
      <c r="F1725" s="303">
        <v>42962</v>
      </c>
      <c r="G1725" s="301">
        <v>43795.199999999997</v>
      </c>
      <c r="H1725" s="304">
        <f>Tabla13[[#This Row],[Importe]]-Tabla13[[#This Row],[Pagado]]</f>
        <v>0</v>
      </c>
      <c r="I1725" s="275" t="s">
        <v>15214</v>
      </c>
    </row>
    <row r="1726" spans="1:9" x14ac:dyDescent="0.25">
      <c r="A1726" s="299">
        <v>42961</v>
      </c>
      <c r="B1726" s="302" t="s">
        <v>25558</v>
      </c>
      <c r="C1726">
        <v>123698</v>
      </c>
      <c r="D1726" s="236" t="s">
        <v>15818</v>
      </c>
      <c r="E1726" s="301">
        <v>5183</v>
      </c>
      <c r="F1726" s="303">
        <v>42961</v>
      </c>
      <c r="G1726" s="301">
        <v>5183</v>
      </c>
      <c r="H1726" s="304">
        <f>Tabla13[[#This Row],[Importe]]-Tabla13[[#This Row],[Pagado]]</f>
        <v>0</v>
      </c>
      <c r="I1726" s="275" t="s">
        <v>15214</v>
      </c>
    </row>
    <row r="1727" spans="1:9" x14ac:dyDescent="0.25">
      <c r="A1727" s="299">
        <v>42961</v>
      </c>
      <c r="B1727" s="302" t="s">
        <v>25559</v>
      </c>
      <c r="C1727">
        <v>123699</v>
      </c>
      <c r="D1727" s="236" t="s">
        <v>15936</v>
      </c>
      <c r="E1727" s="301">
        <v>37090.800000000003</v>
      </c>
      <c r="F1727" s="303">
        <v>42961</v>
      </c>
      <c r="G1727" s="301">
        <v>37090.800000000003</v>
      </c>
      <c r="H1727" s="304">
        <f>Tabla13[[#This Row],[Importe]]-Tabla13[[#This Row],[Pagado]]</f>
        <v>0</v>
      </c>
      <c r="I1727" s="275" t="s">
        <v>15214</v>
      </c>
    </row>
    <row r="1728" spans="1:9" x14ac:dyDescent="0.25">
      <c r="A1728" s="299">
        <v>42961</v>
      </c>
      <c r="B1728" s="302" t="s">
        <v>25560</v>
      </c>
      <c r="C1728">
        <v>123700</v>
      </c>
      <c r="D1728" s="236" t="s">
        <v>15644</v>
      </c>
      <c r="E1728" s="301">
        <v>3586.8</v>
      </c>
      <c r="F1728" s="303">
        <v>42961</v>
      </c>
      <c r="G1728" s="301">
        <v>3586.8</v>
      </c>
      <c r="H1728" s="304">
        <f>Tabla13[[#This Row],[Importe]]-Tabla13[[#This Row],[Pagado]]</f>
        <v>0</v>
      </c>
      <c r="I1728" s="275" t="s">
        <v>15214</v>
      </c>
    </row>
    <row r="1729" spans="1:9" x14ac:dyDescent="0.25">
      <c r="A1729" s="299">
        <v>42961</v>
      </c>
      <c r="B1729" s="302" t="s">
        <v>25561</v>
      </c>
      <c r="C1729">
        <v>123701</v>
      </c>
      <c r="D1729" s="236" t="s">
        <v>15624</v>
      </c>
      <c r="E1729" s="301">
        <v>31259.599999999999</v>
      </c>
      <c r="F1729" s="303">
        <v>42962</v>
      </c>
      <c r="G1729" s="301">
        <v>31259.599999999999</v>
      </c>
      <c r="H1729" s="304">
        <f>Tabla13[[#This Row],[Importe]]-Tabla13[[#This Row],[Pagado]]</f>
        <v>0</v>
      </c>
      <c r="I1729" s="275" t="s">
        <v>15214</v>
      </c>
    </row>
    <row r="1730" spans="1:9" ht="30" x14ac:dyDescent="0.25">
      <c r="A1730" s="299">
        <v>42961</v>
      </c>
      <c r="B1730" s="302" t="s">
        <v>25562</v>
      </c>
      <c r="C1730">
        <v>123702</v>
      </c>
      <c r="D1730" s="236" t="s">
        <v>15246</v>
      </c>
      <c r="E1730" s="301">
        <v>353119.78</v>
      </c>
      <c r="F1730" s="303" t="s">
        <v>25563</v>
      </c>
      <c r="G1730" s="305">
        <f>146421.45+206698.33</f>
        <v>353119.78</v>
      </c>
      <c r="H1730" s="304">
        <f>Tabla13[[#This Row],[Importe]]-Tabla13[[#This Row],[Pagado]]</f>
        <v>0</v>
      </c>
      <c r="I1730" s="275" t="s">
        <v>15214</v>
      </c>
    </row>
    <row r="1731" spans="1:9" x14ac:dyDescent="0.25">
      <c r="A1731" s="299">
        <v>42961</v>
      </c>
      <c r="B1731" s="302" t="s">
        <v>25564</v>
      </c>
      <c r="C1731">
        <v>123703</v>
      </c>
      <c r="D1731" s="236" t="s">
        <v>5883</v>
      </c>
      <c r="E1731" s="301">
        <v>9257.56</v>
      </c>
      <c r="F1731" s="303">
        <v>42977</v>
      </c>
      <c r="G1731" s="301">
        <v>9257.56</v>
      </c>
      <c r="H1731" s="304">
        <f>Tabla13[[#This Row],[Importe]]-Tabla13[[#This Row],[Pagado]]</f>
        <v>0</v>
      </c>
      <c r="I1731" s="275" t="s">
        <v>15214</v>
      </c>
    </row>
    <row r="1732" spans="1:9" x14ac:dyDescent="0.25">
      <c r="A1732" s="299">
        <v>42961</v>
      </c>
      <c r="B1732" s="302" t="s">
        <v>25565</v>
      </c>
      <c r="C1732">
        <v>123704</v>
      </c>
      <c r="D1732" s="236" t="s">
        <v>15298</v>
      </c>
      <c r="E1732" s="301">
        <v>22658.35</v>
      </c>
      <c r="F1732" s="303">
        <v>42964</v>
      </c>
      <c r="G1732" s="301">
        <v>22658.35</v>
      </c>
      <c r="H1732" s="304">
        <f>Tabla13[[#This Row],[Importe]]-Tabla13[[#This Row],[Pagado]]</f>
        <v>0</v>
      </c>
      <c r="I1732" s="275" t="s">
        <v>15214</v>
      </c>
    </row>
    <row r="1733" spans="1:9" x14ac:dyDescent="0.25">
      <c r="A1733" s="299">
        <v>42961</v>
      </c>
      <c r="B1733" s="302" t="s">
        <v>25566</v>
      </c>
      <c r="C1733">
        <v>123705</v>
      </c>
      <c r="D1733" s="236" t="s">
        <v>15419</v>
      </c>
      <c r="E1733" s="301">
        <v>29364.5</v>
      </c>
      <c r="F1733" s="303">
        <v>42965</v>
      </c>
      <c r="G1733" s="301">
        <v>29364.5</v>
      </c>
      <c r="H1733" s="304">
        <f>Tabla13[[#This Row],[Importe]]-Tabla13[[#This Row],[Pagado]]</f>
        <v>0</v>
      </c>
      <c r="I1733" s="275" t="s">
        <v>15214</v>
      </c>
    </row>
    <row r="1734" spans="1:9" x14ac:dyDescent="0.25">
      <c r="A1734" s="299">
        <v>42961</v>
      </c>
      <c r="B1734" s="302" t="s">
        <v>25567</v>
      </c>
      <c r="C1734">
        <v>123706</v>
      </c>
      <c r="D1734" s="236" t="s">
        <v>15423</v>
      </c>
      <c r="E1734" s="301">
        <v>6399.6</v>
      </c>
      <c r="F1734" s="303">
        <v>42961</v>
      </c>
      <c r="G1734" s="301">
        <v>6399.6</v>
      </c>
      <c r="H1734" s="304">
        <f>Tabla13[[#This Row],[Importe]]-Tabla13[[#This Row],[Pagado]]</f>
        <v>0</v>
      </c>
      <c r="I1734" s="275" t="s">
        <v>15214</v>
      </c>
    </row>
    <row r="1735" spans="1:9" ht="15.75" x14ac:dyDescent="0.25">
      <c r="A1735" s="299">
        <v>42961</v>
      </c>
      <c r="B1735" s="302" t="s">
        <v>25568</v>
      </c>
      <c r="C1735">
        <v>123707</v>
      </c>
      <c r="D1735" s="248" t="s">
        <v>95</v>
      </c>
      <c r="E1735" s="301">
        <v>0</v>
      </c>
      <c r="F1735" s="243" t="s">
        <v>95</v>
      </c>
      <c r="G1735" s="301">
        <v>0</v>
      </c>
      <c r="H1735" s="304">
        <f>Tabla13[[#This Row],[Importe]]-Tabla13[[#This Row],[Pagado]]</f>
        <v>0</v>
      </c>
      <c r="I1735" s="282" t="s">
        <v>23794</v>
      </c>
    </row>
    <row r="1736" spans="1:9" x14ac:dyDescent="0.25">
      <c r="A1736" s="299">
        <v>42961</v>
      </c>
      <c r="B1736" s="302" t="s">
        <v>25569</v>
      </c>
      <c r="C1736">
        <v>123708</v>
      </c>
      <c r="D1736" s="236" t="s">
        <v>15423</v>
      </c>
      <c r="E1736" s="301">
        <v>216</v>
      </c>
      <c r="F1736" s="303">
        <v>42961</v>
      </c>
      <c r="G1736" s="301">
        <v>216</v>
      </c>
      <c r="H1736" s="304">
        <f>Tabla13[[#This Row],[Importe]]-Tabla13[[#This Row],[Pagado]]</f>
        <v>0</v>
      </c>
      <c r="I1736" s="275" t="s">
        <v>15214</v>
      </c>
    </row>
    <row r="1737" spans="1:9" x14ac:dyDescent="0.25">
      <c r="A1737" s="299">
        <v>42961</v>
      </c>
      <c r="B1737" s="302" t="s">
        <v>25570</v>
      </c>
      <c r="C1737">
        <v>123709</v>
      </c>
      <c r="D1737" s="236" t="s">
        <v>15246</v>
      </c>
      <c r="E1737" s="301">
        <v>167371.5</v>
      </c>
      <c r="F1737" s="303">
        <v>42965</v>
      </c>
      <c r="G1737" s="301">
        <v>167371.5</v>
      </c>
      <c r="H1737" s="304">
        <f>Tabla13[[#This Row],[Importe]]-Tabla13[[#This Row],[Pagado]]</f>
        <v>0</v>
      </c>
      <c r="I1737" s="275" t="s">
        <v>15214</v>
      </c>
    </row>
    <row r="1738" spans="1:9" x14ac:dyDescent="0.25">
      <c r="A1738" s="299">
        <v>42961</v>
      </c>
      <c r="B1738" s="302" t="s">
        <v>25571</v>
      </c>
      <c r="C1738">
        <v>123710</v>
      </c>
      <c r="D1738" s="236" t="s">
        <v>19699</v>
      </c>
      <c r="E1738" s="301">
        <v>940</v>
      </c>
      <c r="F1738" s="303">
        <v>42961</v>
      </c>
      <c r="G1738" s="301">
        <v>940</v>
      </c>
      <c r="H1738" s="304">
        <f>Tabla13[[#This Row],[Importe]]-Tabla13[[#This Row],[Pagado]]</f>
        <v>0</v>
      </c>
      <c r="I1738" s="275" t="s">
        <v>15214</v>
      </c>
    </row>
    <row r="1739" spans="1:9" x14ac:dyDescent="0.25">
      <c r="A1739" s="299">
        <v>42961</v>
      </c>
      <c r="B1739" s="302" t="s">
        <v>25572</v>
      </c>
      <c r="C1739">
        <v>123711</v>
      </c>
      <c r="D1739" s="236" t="s">
        <v>19699</v>
      </c>
      <c r="E1739" s="301">
        <v>1410</v>
      </c>
      <c r="F1739" s="303">
        <v>42961</v>
      </c>
      <c r="G1739" s="301">
        <v>1410</v>
      </c>
      <c r="H1739" s="304">
        <f>Tabla13[[#This Row],[Importe]]-Tabla13[[#This Row],[Pagado]]</f>
        <v>0</v>
      </c>
      <c r="I1739" s="275" t="s">
        <v>15214</v>
      </c>
    </row>
    <row r="1740" spans="1:9" x14ac:dyDescent="0.25">
      <c r="A1740" s="299">
        <v>42961</v>
      </c>
      <c r="B1740" s="302" t="s">
        <v>25573</v>
      </c>
      <c r="C1740">
        <v>123712</v>
      </c>
      <c r="D1740" s="236" t="s">
        <v>15421</v>
      </c>
      <c r="E1740" s="301">
        <v>6936</v>
      </c>
      <c r="F1740" s="303">
        <v>42961</v>
      </c>
      <c r="G1740" s="301">
        <v>6936</v>
      </c>
      <c r="H1740" s="304">
        <f>Tabla13[[#This Row],[Importe]]-Tabla13[[#This Row],[Pagado]]</f>
        <v>0</v>
      </c>
      <c r="I1740" s="275" t="s">
        <v>15214</v>
      </c>
    </row>
    <row r="1741" spans="1:9" x14ac:dyDescent="0.25">
      <c r="A1741" s="299">
        <v>42961</v>
      </c>
      <c r="B1741" s="302" t="s">
        <v>25574</v>
      </c>
      <c r="C1741">
        <v>123713</v>
      </c>
      <c r="D1741" s="236" t="s">
        <v>15435</v>
      </c>
      <c r="E1741" s="301">
        <v>7740</v>
      </c>
      <c r="F1741" s="303">
        <v>42961</v>
      </c>
      <c r="G1741" s="301">
        <v>7740</v>
      </c>
      <c r="H1741" s="304">
        <f>Tabla13[[#This Row],[Importe]]-Tabla13[[#This Row],[Pagado]]</f>
        <v>0</v>
      </c>
      <c r="I1741" s="275" t="s">
        <v>15214</v>
      </c>
    </row>
    <row r="1742" spans="1:9" x14ac:dyDescent="0.25">
      <c r="A1742" s="299">
        <v>42962</v>
      </c>
      <c r="B1742" s="302" t="s">
        <v>25575</v>
      </c>
      <c r="C1742">
        <v>123714</v>
      </c>
      <c r="D1742" s="236" t="s">
        <v>15242</v>
      </c>
      <c r="E1742" s="301">
        <v>5425.2</v>
      </c>
      <c r="F1742" s="303">
        <v>42963</v>
      </c>
      <c r="G1742" s="301">
        <v>5425.2</v>
      </c>
      <c r="H1742" s="304">
        <f>Tabla13[[#This Row],[Importe]]-Tabla13[[#This Row],[Pagado]]</f>
        <v>0</v>
      </c>
      <c r="I1742" s="275" t="s">
        <v>15214</v>
      </c>
    </row>
    <row r="1743" spans="1:9" ht="15.75" x14ac:dyDescent="0.25">
      <c r="A1743" s="299">
        <v>42962</v>
      </c>
      <c r="B1743" s="302" t="s">
        <v>25576</v>
      </c>
      <c r="C1743">
        <v>123715</v>
      </c>
      <c r="D1743" s="248" t="s">
        <v>95</v>
      </c>
      <c r="E1743" s="301">
        <v>0</v>
      </c>
      <c r="F1743" s="243" t="s">
        <v>95</v>
      </c>
      <c r="G1743" s="301">
        <v>0</v>
      </c>
      <c r="H1743" s="304">
        <f>Tabla13[[#This Row],[Importe]]-Tabla13[[#This Row],[Pagado]]</f>
        <v>0</v>
      </c>
      <c r="I1743" s="275" t="s">
        <v>95</v>
      </c>
    </row>
    <row r="1744" spans="1:9" x14ac:dyDescent="0.25">
      <c r="A1744" s="299">
        <v>42962</v>
      </c>
      <c r="B1744" s="302" t="s">
        <v>25577</v>
      </c>
      <c r="C1744">
        <v>123716</v>
      </c>
      <c r="D1744" s="236" t="s">
        <v>21386</v>
      </c>
      <c r="E1744" s="301">
        <v>9363.2000000000007</v>
      </c>
      <c r="F1744" s="303">
        <v>42963</v>
      </c>
      <c r="G1744" s="301">
        <v>9363.2000000000007</v>
      </c>
      <c r="H1744" s="304">
        <f>Tabla13[[#This Row],[Importe]]-Tabla13[[#This Row],[Pagado]]</f>
        <v>0</v>
      </c>
      <c r="I1744" s="275" t="s">
        <v>15214</v>
      </c>
    </row>
    <row r="1745" spans="1:9" x14ac:dyDescent="0.25">
      <c r="A1745" s="299">
        <v>42962</v>
      </c>
      <c r="B1745" s="302" t="s">
        <v>25578</v>
      </c>
      <c r="C1745">
        <v>123717</v>
      </c>
      <c r="D1745" s="236" t="s">
        <v>15213</v>
      </c>
      <c r="E1745" s="301">
        <v>43529.35</v>
      </c>
      <c r="F1745" s="303">
        <v>42963</v>
      </c>
      <c r="G1745" s="301">
        <v>43529.35</v>
      </c>
      <c r="H1745" s="304">
        <f>Tabla13[[#This Row],[Importe]]-Tabla13[[#This Row],[Pagado]]</f>
        <v>0</v>
      </c>
      <c r="I1745" s="275" t="s">
        <v>15214</v>
      </c>
    </row>
    <row r="1746" spans="1:9" x14ac:dyDescent="0.25">
      <c r="A1746" s="299">
        <v>42962</v>
      </c>
      <c r="B1746" s="302" t="s">
        <v>25579</v>
      </c>
      <c r="C1746">
        <v>123718</v>
      </c>
      <c r="D1746" s="236" t="s">
        <v>15523</v>
      </c>
      <c r="E1746" s="301">
        <v>940</v>
      </c>
      <c r="F1746" s="303">
        <v>42962</v>
      </c>
      <c r="G1746" s="301">
        <v>940</v>
      </c>
      <c r="H1746" s="304">
        <f>Tabla13[[#This Row],[Importe]]-Tabla13[[#This Row],[Pagado]]</f>
        <v>0</v>
      </c>
      <c r="I1746" s="275" t="s">
        <v>15214</v>
      </c>
    </row>
    <row r="1747" spans="1:9" x14ac:dyDescent="0.25">
      <c r="A1747" s="299">
        <v>42962</v>
      </c>
      <c r="B1747" s="302" t="s">
        <v>25580</v>
      </c>
      <c r="C1747">
        <v>123719</v>
      </c>
      <c r="D1747" s="236" t="s">
        <v>15230</v>
      </c>
      <c r="E1747" s="301">
        <v>11050</v>
      </c>
      <c r="F1747" s="303">
        <v>42964</v>
      </c>
      <c r="G1747" s="301">
        <v>11050</v>
      </c>
      <c r="H1747" s="304">
        <f>Tabla13[[#This Row],[Importe]]-Tabla13[[#This Row],[Pagado]]</f>
        <v>0</v>
      </c>
      <c r="I1747" s="275" t="s">
        <v>15214</v>
      </c>
    </row>
    <row r="1748" spans="1:9" x14ac:dyDescent="0.25">
      <c r="A1748" s="299">
        <v>42962</v>
      </c>
      <c r="B1748" s="302" t="s">
        <v>25581</v>
      </c>
      <c r="C1748">
        <v>123720</v>
      </c>
      <c r="D1748" s="236" t="s">
        <v>15232</v>
      </c>
      <c r="E1748" s="301">
        <v>7463</v>
      </c>
      <c r="F1748" s="303">
        <v>42971</v>
      </c>
      <c r="G1748" s="301">
        <v>7463</v>
      </c>
      <c r="H1748" s="304">
        <f>Tabla13[[#This Row],[Importe]]-Tabla13[[#This Row],[Pagado]]</f>
        <v>0</v>
      </c>
      <c r="I1748" s="275" t="s">
        <v>15214</v>
      </c>
    </row>
    <row r="1749" spans="1:9" x14ac:dyDescent="0.25">
      <c r="A1749" s="299">
        <v>42962</v>
      </c>
      <c r="B1749" s="302" t="s">
        <v>25582</v>
      </c>
      <c r="C1749">
        <v>123721</v>
      </c>
      <c r="D1749" s="236" t="s">
        <v>15240</v>
      </c>
      <c r="E1749" s="301">
        <v>3080.4</v>
      </c>
      <c r="F1749" s="303">
        <v>42963</v>
      </c>
      <c r="G1749" s="301">
        <v>3080.4</v>
      </c>
      <c r="H1749" s="304">
        <f>Tabla13[[#This Row],[Importe]]-Tabla13[[#This Row],[Pagado]]</f>
        <v>0</v>
      </c>
      <c r="I1749" s="275" t="s">
        <v>15214</v>
      </c>
    </row>
    <row r="1750" spans="1:9" x14ac:dyDescent="0.25">
      <c r="A1750" s="299">
        <v>42962</v>
      </c>
      <c r="B1750" s="302" t="s">
        <v>25583</v>
      </c>
      <c r="C1750">
        <v>123722</v>
      </c>
      <c r="D1750" s="236" t="s">
        <v>15220</v>
      </c>
      <c r="E1750" s="301">
        <v>2350</v>
      </c>
      <c r="F1750" s="303">
        <v>42962</v>
      </c>
      <c r="G1750" s="301">
        <v>2350</v>
      </c>
      <c r="H1750" s="304">
        <f>Tabla13[[#This Row],[Importe]]-Tabla13[[#This Row],[Pagado]]</f>
        <v>0</v>
      </c>
      <c r="I1750" s="275" t="s">
        <v>15214</v>
      </c>
    </row>
    <row r="1751" spans="1:9" x14ac:dyDescent="0.25">
      <c r="A1751" s="299">
        <v>42962</v>
      </c>
      <c r="B1751" s="302" t="s">
        <v>25584</v>
      </c>
      <c r="C1751">
        <v>123723</v>
      </c>
      <c r="D1751" s="236" t="s">
        <v>19302</v>
      </c>
      <c r="E1751" s="301">
        <v>705</v>
      </c>
      <c r="F1751" s="303">
        <v>42962</v>
      </c>
      <c r="G1751" s="301">
        <v>705</v>
      </c>
      <c r="H1751" s="304">
        <f>Tabla13[[#This Row],[Importe]]-Tabla13[[#This Row],[Pagado]]</f>
        <v>0</v>
      </c>
      <c r="I1751" s="275" t="s">
        <v>15214</v>
      </c>
    </row>
    <row r="1752" spans="1:9" x14ac:dyDescent="0.25">
      <c r="A1752" s="299">
        <v>42962</v>
      </c>
      <c r="B1752" s="302" t="s">
        <v>25585</v>
      </c>
      <c r="C1752">
        <v>123724</v>
      </c>
      <c r="D1752" s="236" t="s">
        <v>15480</v>
      </c>
      <c r="E1752" s="301">
        <v>3851.2</v>
      </c>
      <c r="F1752" s="303">
        <v>42963</v>
      </c>
      <c r="G1752" s="301">
        <v>3851.2</v>
      </c>
      <c r="H1752" s="304">
        <f>Tabla13[[#This Row],[Importe]]-Tabla13[[#This Row],[Pagado]]</f>
        <v>0</v>
      </c>
      <c r="I1752" s="275" t="s">
        <v>15214</v>
      </c>
    </row>
    <row r="1753" spans="1:9" x14ac:dyDescent="0.25">
      <c r="A1753" s="299">
        <v>42962</v>
      </c>
      <c r="B1753" s="302" t="s">
        <v>25586</v>
      </c>
      <c r="C1753">
        <v>123725</v>
      </c>
      <c r="D1753" s="236" t="s">
        <v>15256</v>
      </c>
      <c r="E1753" s="301">
        <v>3390.2</v>
      </c>
      <c r="F1753" s="303">
        <v>42965</v>
      </c>
      <c r="G1753" s="301">
        <v>3390.2</v>
      </c>
      <c r="H1753" s="304">
        <f>Tabla13[[#This Row],[Importe]]-Tabla13[[#This Row],[Pagado]]</f>
        <v>0</v>
      </c>
      <c r="I1753" s="275" t="s">
        <v>15214</v>
      </c>
    </row>
    <row r="1754" spans="1:9" x14ac:dyDescent="0.25">
      <c r="A1754" s="299">
        <v>42962</v>
      </c>
      <c r="B1754" s="302" t="s">
        <v>25587</v>
      </c>
      <c r="C1754">
        <v>123726</v>
      </c>
      <c r="D1754" s="236" t="s">
        <v>15226</v>
      </c>
      <c r="E1754" s="301">
        <v>1747.2</v>
      </c>
      <c r="F1754" s="303">
        <v>42963</v>
      </c>
      <c r="G1754" s="301">
        <v>1747.2</v>
      </c>
      <c r="H1754" s="304">
        <f>Tabla13[[#This Row],[Importe]]-Tabla13[[#This Row],[Pagado]]</f>
        <v>0</v>
      </c>
      <c r="I1754" s="275" t="s">
        <v>15214</v>
      </c>
    </row>
    <row r="1755" spans="1:9" x14ac:dyDescent="0.25">
      <c r="A1755" s="299">
        <v>42962</v>
      </c>
      <c r="B1755" s="302" t="s">
        <v>25588</v>
      </c>
      <c r="C1755">
        <v>123727</v>
      </c>
      <c r="D1755" s="236" t="s">
        <v>15223</v>
      </c>
      <c r="E1755" s="301">
        <v>46384.800000000003</v>
      </c>
      <c r="F1755" s="303">
        <v>42984</v>
      </c>
      <c r="G1755" s="301">
        <v>46384.800000000003</v>
      </c>
      <c r="H1755" s="304">
        <f>Tabla13[[#This Row],[Importe]]-Tabla13[[#This Row],[Pagado]]</f>
        <v>0</v>
      </c>
      <c r="I1755" s="275" t="s">
        <v>15214</v>
      </c>
    </row>
    <row r="1756" spans="1:9" x14ac:dyDescent="0.25">
      <c r="A1756" s="299">
        <v>42962</v>
      </c>
      <c r="B1756" s="302" t="s">
        <v>25589</v>
      </c>
      <c r="C1756">
        <v>123728</v>
      </c>
      <c r="D1756" s="236" t="s">
        <v>15526</v>
      </c>
      <c r="E1756" s="301">
        <v>3885.7</v>
      </c>
      <c r="F1756" s="303">
        <v>42962</v>
      </c>
      <c r="G1756" s="301">
        <v>3885.7</v>
      </c>
      <c r="H1756" s="304">
        <f>Tabla13[[#This Row],[Importe]]-Tabla13[[#This Row],[Pagado]]</f>
        <v>0</v>
      </c>
      <c r="I1756" s="275" t="s">
        <v>15214</v>
      </c>
    </row>
    <row r="1757" spans="1:9" x14ac:dyDescent="0.25">
      <c r="A1757" s="299">
        <v>42962</v>
      </c>
      <c r="B1757" s="302" t="s">
        <v>25590</v>
      </c>
      <c r="C1757">
        <v>123729</v>
      </c>
      <c r="D1757" s="236" t="s">
        <v>15332</v>
      </c>
      <c r="E1757" s="301">
        <v>3868.8</v>
      </c>
      <c r="F1757" s="303">
        <v>42962</v>
      </c>
      <c r="G1757" s="301">
        <v>3868.8</v>
      </c>
      <c r="H1757" s="304">
        <f>Tabla13[[#This Row],[Importe]]-Tabla13[[#This Row],[Pagado]]</f>
        <v>0</v>
      </c>
      <c r="I1757" s="275" t="s">
        <v>15214</v>
      </c>
    </row>
    <row r="1758" spans="1:9" x14ac:dyDescent="0.25">
      <c r="A1758" s="299">
        <v>42962</v>
      </c>
      <c r="B1758" s="302" t="s">
        <v>25591</v>
      </c>
      <c r="C1758">
        <v>123730</v>
      </c>
      <c r="D1758" s="236" t="s">
        <v>15258</v>
      </c>
      <c r="E1758" s="301">
        <v>11180.1</v>
      </c>
      <c r="F1758" s="303">
        <v>42968</v>
      </c>
      <c r="G1758" s="301">
        <v>11180.1</v>
      </c>
      <c r="H1758" s="304">
        <f>Tabla13[[#This Row],[Importe]]-Tabla13[[#This Row],[Pagado]]</f>
        <v>0</v>
      </c>
      <c r="I1758" s="275" t="s">
        <v>15214</v>
      </c>
    </row>
    <row r="1759" spans="1:9" x14ac:dyDescent="0.25">
      <c r="A1759" s="299">
        <v>42962</v>
      </c>
      <c r="B1759" s="302" t="s">
        <v>25592</v>
      </c>
      <c r="C1759">
        <v>123731</v>
      </c>
      <c r="D1759" s="236" t="s">
        <v>15742</v>
      </c>
      <c r="E1759" s="301">
        <v>2568</v>
      </c>
      <c r="F1759" s="303">
        <v>42962</v>
      </c>
      <c r="G1759" s="301">
        <v>2568</v>
      </c>
      <c r="H1759" s="304">
        <f>Tabla13[[#This Row],[Importe]]-Tabla13[[#This Row],[Pagado]]</f>
        <v>0</v>
      </c>
      <c r="I1759" s="275" t="s">
        <v>15214</v>
      </c>
    </row>
    <row r="1760" spans="1:9" x14ac:dyDescent="0.25">
      <c r="A1760" s="299">
        <v>42962</v>
      </c>
      <c r="B1760" s="302" t="s">
        <v>25593</v>
      </c>
      <c r="C1760">
        <v>123732</v>
      </c>
      <c r="D1760" s="236" t="s">
        <v>15336</v>
      </c>
      <c r="E1760" s="301">
        <v>6292.8</v>
      </c>
      <c r="F1760" s="303">
        <v>42962</v>
      </c>
      <c r="G1760" s="301">
        <v>6292.8</v>
      </c>
      <c r="H1760" s="304">
        <f>Tabla13[[#This Row],[Importe]]-Tabla13[[#This Row],[Pagado]]</f>
        <v>0</v>
      </c>
      <c r="I1760" s="275" t="s">
        <v>15214</v>
      </c>
    </row>
    <row r="1761" spans="1:9" x14ac:dyDescent="0.25">
      <c r="A1761" s="299">
        <v>42962</v>
      </c>
      <c r="B1761" s="302" t="s">
        <v>25594</v>
      </c>
      <c r="C1761">
        <v>123733</v>
      </c>
      <c r="D1761" s="236" t="s">
        <v>5575</v>
      </c>
      <c r="E1761" s="301">
        <v>4067</v>
      </c>
      <c r="F1761" s="303">
        <v>42963</v>
      </c>
      <c r="G1761" s="301">
        <v>4067</v>
      </c>
      <c r="H1761" s="304">
        <f>Tabla13[[#This Row],[Importe]]-Tabla13[[#This Row],[Pagado]]</f>
        <v>0</v>
      </c>
      <c r="I1761" s="275" t="s">
        <v>15214</v>
      </c>
    </row>
    <row r="1762" spans="1:9" x14ac:dyDescent="0.25">
      <c r="A1762" s="299">
        <v>42962</v>
      </c>
      <c r="B1762" s="302" t="s">
        <v>25595</v>
      </c>
      <c r="C1762">
        <v>123734</v>
      </c>
      <c r="D1762" s="236" t="s">
        <v>15358</v>
      </c>
      <c r="E1762" s="301">
        <v>1513.4</v>
      </c>
      <c r="F1762" s="303">
        <v>42962</v>
      </c>
      <c r="G1762" s="301">
        <v>1513.4</v>
      </c>
      <c r="H1762" s="304">
        <f>Tabla13[[#This Row],[Importe]]-Tabla13[[#This Row],[Pagado]]</f>
        <v>0</v>
      </c>
      <c r="I1762" s="275" t="s">
        <v>15214</v>
      </c>
    </row>
    <row r="1763" spans="1:9" ht="15.75" x14ac:dyDescent="0.25">
      <c r="A1763" s="299">
        <v>42962</v>
      </c>
      <c r="B1763" s="302" t="s">
        <v>25596</v>
      </c>
      <c r="C1763">
        <v>123735</v>
      </c>
      <c r="D1763" s="248" t="s">
        <v>95</v>
      </c>
      <c r="E1763" s="301">
        <v>0</v>
      </c>
      <c r="F1763" s="243" t="s">
        <v>95</v>
      </c>
      <c r="G1763" s="301">
        <v>0</v>
      </c>
      <c r="H1763" s="304">
        <f>Tabla13[[#This Row],[Importe]]-Tabla13[[#This Row],[Pagado]]</f>
        <v>0</v>
      </c>
      <c r="I1763" s="275" t="s">
        <v>95</v>
      </c>
    </row>
    <row r="1764" spans="1:9" x14ac:dyDescent="0.25">
      <c r="A1764" s="299">
        <v>42962</v>
      </c>
      <c r="B1764" s="302" t="s">
        <v>25597</v>
      </c>
      <c r="C1764">
        <v>123736</v>
      </c>
      <c r="D1764" s="236" t="s">
        <v>18544</v>
      </c>
      <c r="E1764" s="301">
        <v>11721.4</v>
      </c>
      <c r="F1764" s="303">
        <v>42962</v>
      </c>
      <c r="G1764" s="301">
        <v>11721.4</v>
      </c>
      <c r="H1764" s="304">
        <f>Tabla13[[#This Row],[Importe]]-Tabla13[[#This Row],[Pagado]]</f>
        <v>0</v>
      </c>
      <c r="I1764" s="275" t="s">
        <v>15214</v>
      </c>
    </row>
    <row r="1765" spans="1:9" x14ac:dyDescent="0.25">
      <c r="A1765" s="299">
        <v>42962</v>
      </c>
      <c r="B1765" s="302" t="s">
        <v>25598</v>
      </c>
      <c r="C1765">
        <v>123737</v>
      </c>
      <c r="D1765" s="236" t="s">
        <v>15480</v>
      </c>
      <c r="E1765" s="301">
        <v>129</v>
      </c>
      <c r="F1765" s="303">
        <v>42963</v>
      </c>
      <c r="G1765" s="301">
        <v>129</v>
      </c>
      <c r="H1765" s="304">
        <f>Tabla13[[#This Row],[Importe]]-Tabla13[[#This Row],[Pagado]]</f>
        <v>0</v>
      </c>
      <c r="I1765" s="275" t="s">
        <v>15214</v>
      </c>
    </row>
    <row r="1766" spans="1:9" x14ac:dyDescent="0.25">
      <c r="A1766" s="299">
        <v>42962</v>
      </c>
      <c r="B1766" s="302" t="s">
        <v>25599</v>
      </c>
      <c r="C1766">
        <v>123738</v>
      </c>
      <c r="D1766" s="236" t="s">
        <v>5575</v>
      </c>
      <c r="E1766" s="301">
        <v>99.6</v>
      </c>
      <c r="F1766" s="303">
        <v>42963</v>
      </c>
      <c r="G1766" s="301">
        <v>99.6</v>
      </c>
      <c r="H1766" s="304">
        <f>Tabla13[[#This Row],[Importe]]-Tabla13[[#This Row],[Pagado]]</f>
        <v>0</v>
      </c>
      <c r="I1766" s="275" t="s">
        <v>15214</v>
      </c>
    </row>
    <row r="1767" spans="1:9" x14ac:dyDescent="0.25">
      <c r="A1767" s="299">
        <v>42962</v>
      </c>
      <c r="B1767" s="302" t="s">
        <v>25600</v>
      </c>
      <c r="C1767">
        <v>123739</v>
      </c>
      <c r="D1767" s="236" t="s">
        <v>15596</v>
      </c>
      <c r="E1767" s="301">
        <v>1175</v>
      </c>
      <c r="F1767" s="303">
        <v>42962</v>
      </c>
      <c r="G1767" s="301">
        <v>1175</v>
      </c>
      <c r="H1767" s="304">
        <f>Tabla13[[#This Row],[Importe]]-Tabla13[[#This Row],[Pagado]]</f>
        <v>0</v>
      </c>
      <c r="I1767" s="275" t="s">
        <v>15214</v>
      </c>
    </row>
    <row r="1768" spans="1:9" x14ac:dyDescent="0.25">
      <c r="A1768" s="299">
        <v>42962</v>
      </c>
      <c r="B1768" s="302" t="s">
        <v>25601</v>
      </c>
      <c r="C1768">
        <v>123740</v>
      </c>
      <c r="D1768" s="236" t="s">
        <v>15442</v>
      </c>
      <c r="E1768" s="301">
        <v>9422.7000000000007</v>
      </c>
      <c r="F1768" s="303">
        <v>42968</v>
      </c>
      <c r="G1768" s="301">
        <v>9422.7000000000007</v>
      </c>
      <c r="H1768" s="304">
        <f>Tabla13[[#This Row],[Importe]]-Tabla13[[#This Row],[Pagado]]</f>
        <v>0</v>
      </c>
      <c r="I1768" s="275" t="s">
        <v>15214</v>
      </c>
    </row>
    <row r="1769" spans="1:9" ht="15.75" x14ac:dyDescent="0.25">
      <c r="A1769" s="299">
        <v>42962</v>
      </c>
      <c r="B1769" s="302" t="s">
        <v>25602</v>
      </c>
      <c r="C1769">
        <v>123741</v>
      </c>
      <c r="D1769" s="248" t="s">
        <v>95</v>
      </c>
      <c r="E1769" s="301">
        <v>0</v>
      </c>
      <c r="F1769" s="243" t="s">
        <v>95</v>
      </c>
      <c r="G1769" s="301">
        <v>0</v>
      </c>
      <c r="H1769" s="304">
        <f>Tabla13[[#This Row],[Importe]]-Tabla13[[#This Row],[Pagado]]</f>
        <v>0</v>
      </c>
      <c r="I1769" s="275" t="s">
        <v>95</v>
      </c>
    </row>
    <row r="1770" spans="1:9" x14ac:dyDescent="0.25">
      <c r="A1770" s="299">
        <v>42962</v>
      </c>
      <c r="B1770" s="302" t="s">
        <v>25603</v>
      </c>
      <c r="C1770">
        <v>123742</v>
      </c>
      <c r="D1770" s="236" t="s">
        <v>15248</v>
      </c>
      <c r="E1770" s="301">
        <v>32623.7</v>
      </c>
      <c r="F1770" s="303">
        <v>42962</v>
      </c>
      <c r="G1770" s="301">
        <v>32623.7</v>
      </c>
      <c r="H1770" s="304">
        <f>Tabla13[[#This Row],[Importe]]-Tabla13[[#This Row],[Pagado]]</f>
        <v>0</v>
      </c>
      <c r="I1770" s="275" t="s">
        <v>15214</v>
      </c>
    </row>
    <row r="1771" spans="1:9" x14ac:dyDescent="0.25">
      <c r="A1771" s="299">
        <v>42962</v>
      </c>
      <c r="B1771" s="302" t="s">
        <v>25604</v>
      </c>
      <c r="C1771">
        <v>123743</v>
      </c>
      <c r="D1771" s="236" t="s">
        <v>15415</v>
      </c>
      <c r="E1771" s="301">
        <v>3340.5</v>
      </c>
      <c r="F1771" s="303">
        <v>42963</v>
      </c>
      <c r="G1771" s="301">
        <v>3340.5</v>
      </c>
      <c r="H1771" s="304">
        <f>Tabla13[[#This Row],[Importe]]-Tabla13[[#This Row],[Pagado]]</f>
        <v>0</v>
      </c>
      <c r="I1771" s="275" t="s">
        <v>15214</v>
      </c>
    </row>
    <row r="1772" spans="1:9" x14ac:dyDescent="0.25">
      <c r="A1772" s="299">
        <v>42962</v>
      </c>
      <c r="B1772" s="302" t="s">
        <v>25605</v>
      </c>
      <c r="C1772">
        <v>123744</v>
      </c>
      <c r="D1772" s="236" t="s">
        <v>15334</v>
      </c>
      <c r="E1772" s="301">
        <v>1295</v>
      </c>
      <c r="F1772" s="303">
        <v>42962</v>
      </c>
      <c r="G1772" s="301">
        <v>1295</v>
      </c>
      <c r="H1772" s="304">
        <f>Tabla13[[#This Row],[Importe]]-Tabla13[[#This Row],[Pagado]]</f>
        <v>0</v>
      </c>
      <c r="I1772" s="275" t="s">
        <v>15214</v>
      </c>
    </row>
    <row r="1773" spans="1:9" x14ac:dyDescent="0.25">
      <c r="A1773" s="299">
        <v>42962</v>
      </c>
      <c r="B1773" s="302" t="s">
        <v>25606</v>
      </c>
      <c r="C1773">
        <v>123745</v>
      </c>
      <c r="D1773" s="236" t="s">
        <v>15291</v>
      </c>
      <c r="E1773" s="301">
        <v>1050</v>
      </c>
      <c r="F1773" s="303">
        <v>42962</v>
      </c>
      <c r="G1773" s="301">
        <v>1050</v>
      </c>
      <c r="H1773" s="304">
        <f>Tabla13[[#This Row],[Importe]]-Tabla13[[#This Row],[Pagado]]</f>
        <v>0</v>
      </c>
      <c r="I1773" s="275" t="s">
        <v>15214</v>
      </c>
    </row>
    <row r="1774" spans="1:9" x14ac:dyDescent="0.25">
      <c r="A1774" s="299">
        <v>42962</v>
      </c>
      <c r="B1774" s="302" t="s">
        <v>25607</v>
      </c>
      <c r="C1774">
        <v>123746</v>
      </c>
      <c r="D1774" s="236" t="s">
        <v>18258</v>
      </c>
      <c r="E1774" s="301">
        <v>10441.5</v>
      </c>
      <c r="F1774" s="303">
        <v>42962</v>
      </c>
      <c r="G1774" s="301">
        <v>10441.5</v>
      </c>
      <c r="H1774" s="304">
        <f>Tabla13[[#This Row],[Importe]]-Tabla13[[#This Row],[Pagado]]</f>
        <v>0</v>
      </c>
      <c r="I1774" s="275" t="s">
        <v>15214</v>
      </c>
    </row>
    <row r="1775" spans="1:9" x14ac:dyDescent="0.25">
      <c r="A1775" s="299">
        <v>42962</v>
      </c>
      <c r="B1775" s="302" t="s">
        <v>25608</v>
      </c>
      <c r="C1775">
        <v>123747</v>
      </c>
      <c r="D1775" s="236" t="s">
        <v>15487</v>
      </c>
      <c r="E1775" s="301">
        <v>723.1</v>
      </c>
      <c r="F1775" s="303">
        <v>42962</v>
      </c>
      <c r="G1775" s="301">
        <v>723.1</v>
      </c>
      <c r="H1775" s="304">
        <f>Tabla13[[#This Row],[Importe]]-Tabla13[[#This Row],[Pagado]]</f>
        <v>0</v>
      </c>
      <c r="I1775" s="275" t="s">
        <v>15214</v>
      </c>
    </row>
    <row r="1776" spans="1:9" x14ac:dyDescent="0.25">
      <c r="A1776" s="299">
        <v>42962</v>
      </c>
      <c r="B1776" s="302" t="s">
        <v>25609</v>
      </c>
      <c r="C1776">
        <v>123748</v>
      </c>
      <c r="D1776" s="236" t="s">
        <v>15303</v>
      </c>
      <c r="E1776" s="301">
        <v>3314.7</v>
      </c>
      <c r="F1776" s="303">
        <v>42962</v>
      </c>
      <c r="G1776" s="301">
        <v>3314.7</v>
      </c>
      <c r="H1776" s="304">
        <f>Tabla13[[#This Row],[Importe]]-Tabla13[[#This Row],[Pagado]]</f>
        <v>0</v>
      </c>
      <c r="I1776" s="275" t="s">
        <v>15214</v>
      </c>
    </row>
    <row r="1777" spans="1:9" x14ac:dyDescent="0.25">
      <c r="A1777" s="299">
        <v>42962</v>
      </c>
      <c r="B1777" s="302" t="s">
        <v>25610</v>
      </c>
      <c r="C1777">
        <v>123749</v>
      </c>
      <c r="D1777" s="236" t="s">
        <v>15668</v>
      </c>
      <c r="E1777" s="301">
        <v>8122</v>
      </c>
      <c r="F1777" s="303">
        <v>42962</v>
      </c>
      <c r="G1777" s="301">
        <v>8122</v>
      </c>
      <c r="H1777" s="304">
        <f>Tabla13[[#This Row],[Importe]]-Tabla13[[#This Row],[Pagado]]</f>
        <v>0</v>
      </c>
      <c r="I1777" s="275" t="s">
        <v>15214</v>
      </c>
    </row>
    <row r="1778" spans="1:9" x14ac:dyDescent="0.25">
      <c r="A1778" s="299">
        <v>42962</v>
      </c>
      <c r="B1778" s="302" t="s">
        <v>25611</v>
      </c>
      <c r="C1778">
        <v>123750</v>
      </c>
      <c r="D1778" s="236" t="s">
        <v>15320</v>
      </c>
      <c r="E1778" s="301">
        <v>2578.5</v>
      </c>
      <c r="F1778" s="303">
        <v>42962</v>
      </c>
      <c r="G1778" s="301">
        <v>2578.5</v>
      </c>
      <c r="H1778" s="304">
        <f>Tabla13[[#This Row],[Importe]]-Tabla13[[#This Row],[Pagado]]</f>
        <v>0</v>
      </c>
      <c r="I1778" s="275" t="s">
        <v>15214</v>
      </c>
    </row>
    <row r="1779" spans="1:9" ht="30" x14ac:dyDescent="0.25">
      <c r="A1779" s="299">
        <v>42962</v>
      </c>
      <c r="B1779" s="302" t="s">
        <v>25612</v>
      </c>
      <c r="C1779">
        <v>123751</v>
      </c>
      <c r="D1779" s="236" t="s">
        <v>15238</v>
      </c>
      <c r="E1779" s="301">
        <v>5010.2</v>
      </c>
      <c r="F1779" s="303" t="s">
        <v>25613</v>
      </c>
      <c r="G1779" s="305">
        <f>3000+2010.2</f>
        <v>5010.2</v>
      </c>
      <c r="H1779" s="304">
        <f>Tabla13[[#This Row],[Importe]]-Tabla13[[#This Row],[Pagado]]</f>
        <v>0</v>
      </c>
      <c r="I1779" s="275" t="s">
        <v>15214</v>
      </c>
    </row>
    <row r="1780" spans="1:9" x14ac:dyDescent="0.25">
      <c r="A1780" s="299">
        <v>42962</v>
      </c>
      <c r="B1780" s="302" t="s">
        <v>25614</v>
      </c>
      <c r="C1780">
        <v>123752</v>
      </c>
      <c r="D1780" s="236" t="s">
        <v>15311</v>
      </c>
      <c r="E1780" s="301">
        <v>2081.04</v>
      </c>
      <c r="F1780" s="303">
        <v>42962</v>
      </c>
      <c r="G1780" s="301">
        <v>2081.04</v>
      </c>
      <c r="H1780" s="304">
        <f>Tabla13[[#This Row],[Importe]]-Tabla13[[#This Row],[Pagado]]</f>
        <v>0</v>
      </c>
      <c r="I1780" s="275" t="s">
        <v>15214</v>
      </c>
    </row>
    <row r="1781" spans="1:9" x14ac:dyDescent="0.25">
      <c r="A1781" s="299">
        <v>42962</v>
      </c>
      <c r="B1781" s="302" t="s">
        <v>25615</v>
      </c>
      <c r="C1781">
        <v>123753</v>
      </c>
      <c r="D1781" s="236" t="s">
        <v>15234</v>
      </c>
      <c r="E1781" s="301">
        <v>5017.2</v>
      </c>
      <c r="F1781" s="303">
        <v>42966</v>
      </c>
      <c r="G1781" s="301">
        <v>5017.2</v>
      </c>
      <c r="H1781" s="304">
        <f>Tabla13[[#This Row],[Importe]]-Tabla13[[#This Row],[Pagado]]</f>
        <v>0</v>
      </c>
      <c r="I1781" s="275" t="s">
        <v>15214</v>
      </c>
    </row>
    <row r="1782" spans="1:9" ht="30" x14ac:dyDescent="0.25">
      <c r="A1782" s="299">
        <v>42962</v>
      </c>
      <c r="B1782" s="302" t="s">
        <v>25616</v>
      </c>
      <c r="C1782">
        <v>123754</v>
      </c>
      <c r="D1782" s="236" t="s">
        <v>19780</v>
      </c>
      <c r="E1782" s="301">
        <v>10831.5</v>
      </c>
      <c r="F1782" s="303" t="s">
        <v>25617</v>
      </c>
      <c r="G1782" s="305">
        <f>5831.5+5000</f>
        <v>10831.5</v>
      </c>
      <c r="H1782" s="304">
        <f>Tabla13[[#This Row],[Importe]]-Tabla13[[#This Row],[Pagado]]</f>
        <v>0</v>
      </c>
      <c r="I1782" s="275" t="s">
        <v>15214</v>
      </c>
    </row>
    <row r="1783" spans="1:9" x14ac:dyDescent="0.25">
      <c r="A1783" s="299">
        <v>42962</v>
      </c>
      <c r="B1783" s="302" t="s">
        <v>25618</v>
      </c>
      <c r="C1783">
        <v>123755</v>
      </c>
      <c r="D1783" s="236" t="s">
        <v>23937</v>
      </c>
      <c r="E1783" s="301">
        <v>3986.4</v>
      </c>
      <c r="F1783" s="303">
        <v>42962</v>
      </c>
      <c r="G1783" s="301">
        <v>3986.4</v>
      </c>
      <c r="H1783" s="304">
        <f>Tabla13[[#This Row],[Importe]]-Tabla13[[#This Row],[Pagado]]</f>
        <v>0</v>
      </c>
      <c r="I1783" s="275" t="s">
        <v>15214</v>
      </c>
    </row>
    <row r="1784" spans="1:9" x14ac:dyDescent="0.25">
      <c r="A1784" s="299">
        <v>42962</v>
      </c>
      <c r="B1784" s="302" t="s">
        <v>25619</v>
      </c>
      <c r="C1784">
        <v>123756</v>
      </c>
      <c r="D1784" s="236" t="s">
        <v>15244</v>
      </c>
      <c r="E1784" s="301">
        <v>8782.75</v>
      </c>
      <c r="F1784" s="303">
        <v>42963</v>
      </c>
      <c r="G1784" s="301">
        <v>8782.75</v>
      </c>
      <c r="H1784" s="304">
        <f>Tabla13[[#This Row],[Importe]]-Tabla13[[#This Row],[Pagado]]</f>
        <v>0</v>
      </c>
      <c r="I1784" s="275" t="s">
        <v>15214</v>
      </c>
    </row>
    <row r="1785" spans="1:9" x14ac:dyDescent="0.25">
      <c r="A1785" s="299">
        <v>42962</v>
      </c>
      <c r="B1785" s="302" t="s">
        <v>25620</v>
      </c>
      <c r="C1785">
        <v>123757</v>
      </c>
      <c r="D1785" s="236" t="s">
        <v>15246</v>
      </c>
      <c r="E1785" s="301">
        <v>572</v>
      </c>
      <c r="F1785" s="303">
        <v>42965</v>
      </c>
      <c r="G1785" s="301">
        <v>572</v>
      </c>
      <c r="H1785" s="304">
        <f>Tabla13[[#This Row],[Importe]]-Tabla13[[#This Row],[Pagado]]</f>
        <v>0</v>
      </c>
      <c r="I1785" s="275" t="s">
        <v>15214</v>
      </c>
    </row>
    <row r="1786" spans="1:9" x14ac:dyDescent="0.25">
      <c r="A1786" s="299">
        <v>42962</v>
      </c>
      <c r="B1786" s="302" t="s">
        <v>25621</v>
      </c>
      <c r="C1786">
        <v>123758</v>
      </c>
      <c r="D1786" s="236" t="s">
        <v>15272</v>
      </c>
      <c r="E1786" s="301">
        <v>20321.55</v>
      </c>
      <c r="F1786" s="303">
        <v>42962</v>
      </c>
      <c r="G1786" s="301">
        <v>20321.55</v>
      </c>
      <c r="H1786" s="304">
        <f>Tabla13[[#This Row],[Importe]]-Tabla13[[#This Row],[Pagado]]</f>
        <v>0</v>
      </c>
      <c r="I1786" s="275" t="s">
        <v>15214</v>
      </c>
    </row>
    <row r="1787" spans="1:9" x14ac:dyDescent="0.25">
      <c r="A1787" s="299">
        <v>42962</v>
      </c>
      <c r="B1787" s="302" t="s">
        <v>25622</v>
      </c>
      <c r="C1787">
        <v>123759</v>
      </c>
      <c r="D1787" s="236" t="s">
        <v>17462</v>
      </c>
      <c r="E1787" s="301">
        <v>5503.3</v>
      </c>
      <c r="F1787" s="303">
        <v>42962</v>
      </c>
      <c r="G1787" s="301">
        <v>5503.3</v>
      </c>
      <c r="H1787" s="304">
        <f>Tabla13[[#This Row],[Importe]]-Tabla13[[#This Row],[Pagado]]</f>
        <v>0</v>
      </c>
      <c r="I1787" s="275" t="s">
        <v>15214</v>
      </c>
    </row>
    <row r="1788" spans="1:9" x14ac:dyDescent="0.25">
      <c r="A1788" s="299">
        <v>42962</v>
      </c>
      <c r="B1788" s="302" t="s">
        <v>25623</v>
      </c>
      <c r="C1788">
        <v>123760</v>
      </c>
      <c r="D1788" s="236" t="s">
        <v>15334</v>
      </c>
      <c r="E1788" s="301">
        <v>846</v>
      </c>
      <c r="F1788" s="303">
        <v>42962</v>
      </c>
      <c r="G1788" s="301">
        <v>846</v>
      </c>
      <c r="H1788" s="304">
        <f>Tabla13[[#This Row],[Importe]]-Tabla13[[#This Row],[Pagado]]</f>
        <v>0</v>
      </c>
      <c r="I1788" s="275" t="s">
        <v>15214</v>
      </c>
    </row>
    <row r="1789" spans="1:9" x14ac:dyDescent="0.25">
      <c r="A1789" s="299">
        <v>42962</v>
      </c>
      <c r="B1789" s="302" t="s">
        <v>25624</v>
      </c>
      <c r="C1789">
        <v>123761</v>
      </c>
      <c r="D1789" s="236" t="s">
        <v>15324</v>
      </c>
      <c r="E1789" s="301">
        <v>1702.5</v>
      </c>
      <c r="F1789" s="303">
        <v>42962</v>
      </c>
      <c r="G1789" s="301">
        <v>1702.5</v>
      </c>
      <c r="H1789" s="304">
        <f>Tabla13[[#This Row],[Importe]]-Tabla13[[#This Row],[Pagado]]</f>
        <v>0</v>
      </c>
      <c r="I1789" s="275" t="s">
        <v>15214</v>
      </c>
    </row>
    <row r="1790" spans="1:9" x14ac:dyDescent="0.25">
      <c r="A1790" s="299">
        <v>42962</v>
      </c>
      <c r="B1790" s="302" t="s">
        <v>25625</v>
      </c>
      <c r="C1790">
        <v>123762</v>
      </c>
      <c r="D1790" s="236" t="s">
        <v>15568</v>
      </c>
      <c r="E1790" s="301">
        <v>1237.5999999999999</v>
      </c>
      <c r="F1790" s="303">
        <v>42962</v>
      </c>
      <c r="G1790" s="301">
        <v>1237.5999999999999</v>
      </c>
      <c r="H1790" s="304">
        <f>Tabla13[[#This Row],[Importe]]-Tabla13[[#This Row],[Pagado]]</f>
        <v>0</v>
      </c>
      <c r="I1790" s="275" t="s">
        <v>15214</v>
      </c>
    </row>
    <row r="1791" spans="1:9" x14ac:dyDescent="0.25">
      <c r="A1791" s="299">
        <v>42962</v>
      </c>
      <c r="B1791" s="302" t="s">
        <v>25626</v>
      </c>
      <c r="C1791">
        <v>123763</v>
      </c>
      <c r="D1791" s="236" t="s">
        <v>15391</v>
      </c>
      <c r="E1791" s="301">
        <v>7812</v>
      </c>
      <c r="F1791" s="303">
        <v>42964</v>
      </c>
      <c r="G1791" s="301">
        <v>7812</v>
      </c>
      <c r="H1791" s="304">
        <f>Tabla13[[#This Row],[Importe]]-Tabla13[[#This Row],[Pagado]]</f>
        <v>0</v>
      </c>
      <c r="I1791" s="275" t="s">
        <v>15214</v>
      </c>
    </row>
    <row r="1792" spans="1:9" x14ac:dyDescent="0.25">
      <c r="A1792" s="299">
        <v>42962</v>
      </c>
      <c r="B1792" s="302" t="s">
        <v>25627</v>
      </c>
      <c r="C1792">
        <v>123764</v>
      </c>
      <c r="D1792" s="236" t="s">
        <v>15280</v>
      </c>
      <c r="E1792" s="301">
        <v>3830</v>
      </c>
      <c r="F1792" s="303">
        <v>42962</v>
      </c>
      <c r="G1792" s="301">
        <v>3830</v>
      </c>
      <c r="H1792" s="304">
        <f>Tabla13[[#This Row],[Importe]]-Tabla13[[#This Row],[Pagado]]</f>
        <v>0</v>
      </c>
      <c r="I1792" s="275" t="s">
        <v>15214</v>
      </c>
    </row>
    <row r="1793" spans="1:9" x14ac:dyDescent="0.25">
      <c r="A1793" s="299">
        <v>42962</v>
      </c>
      <c r="B1793" s="302" t="s">
        <v>25628</v>
      </c>
      <c r="C1793">
        <v>123765</v>
      </c>
      <c r="D1793" s="236" t="s">
        <v>15562</v>
      </c>
      <c r="E1793" s="301">
        <v>817.8</v>
      </c>
      <c r="F1793" s="303">
        <v>42962</v>
      </c>
      <c r="G1793" s="301">
        <v>817.8</v>
      </c>
      <c r="H1793" s="304">
        <f>Tabla13[[#This Row],[Importe]]-Tabla13[[#This Row],[Pagado]]</f>
        <v>0</v>
      </c>
      <c r="I1793" s="275" t="s">
        <v>15214</v>
      </c>
    </row>
    <row r="1794" spans="1:9" x14ac:dyDescent="0.25">
      <c r="A1794" s="299">
        <v>42962</v>
      </c>
      <c r="B1794" s="302" t="s">
        <v>25629</v>
      </c>
      <c r="C1794">
        <v>123766</v>
      </c>
      <c r="D1794" s="236" t="s">
        <v>15592</v>
      </c>
      <c r="E1794" s="301">
        <v>16514.599999999999</v>
      </c>
      <c r="F1794" s="303">
        <v>42962</v>
      </c>
      <c r="G1794" s="301">
        <v>16514.599999999999</v>
      </c>
      <c r="H1794" s="304">
        <f>Tabla13[[#This Row],[Importe]]-Tabla13[[#This Row],[Pagado]]</f>
        <v>0</v>
      </c>
      <c r="I1794" s="275" t="s">
        <v>15214</v>
      </c>
    </row>
    <row r="1795" spans="1:9" x14ac:dyDescent="0.25">
      <c r="A1795" s="299">
        <v>42962</v>
      </c>
      <c r="B1795" s="302" t="s">
        <v>25630</v>
      </c>
      <c r="C1795">
        <v>123767</v>
      </c>
      <c r="D1795" s="236" t="s">
        <v>15263</v>
      </c>
      <c r="E1795" s="301">
        <v>2151.1999999999998</v>
      </c>
      <c r="F1795" s="303">
        <v>42962</v>
      </c>
      <c r="G1795" s="301">
        <v>2151.1999999999998</v>
      </c>
      <c r="H1795" s="304">
        <f>Tabla13[[#This Row],[Importe]]-Tabla13[[#This Row],[Pagado]]</f>
        <v>0</v>
      </c>
      <c r="I1795" s="275" t="s">
        <v>15214</v>
      </c>
    </row>
    <row r="1796" spans="1:9" x14ac:dyDescent="0.25">
      <c r="A1796" s="299">
        <v>42962</v>
      </c>
      <c r="B1796" s="302" t="s">
        <v>25631</v>
      </c>
      <c r="C1796">
        <v>123768</v>
      </c>
      <c r="D1796" s="236" t="s">
        <v>19742</v>
      </c>
      <c r="E1796" s="301">
        <v>30889</v>
      </c>
      <c r="F1796" s="303">
        <v>42964</v>
      </c>
      <c r="G1796" s="301">
        <v>30889</v>
      </c>
      <c r="H1796" s="304">
        <f>Tabla13[[#This Row],[Importe]]-Tabla13[[#This Row],[Pagado]]</f>
        <v>0</v>
      </c>
      <c r="I1796" s="275" t="s">
        <v>15214</v>
      </c>
    </row>
    <row r="1797" spans="1:9" x14ac:dyDescent="0.25">
      <c r="A1797" s="299">
        <v>42962</v>
      </c>
      <c r="B1797" s="302" t="s">
        <v>25632</v>
      </c>
      <c r="C1797">
        <v>123769</v>
      </c>
      <c r="D1797" s="236" t="s">
        <v>15537</v>
      </c>
      <c r="E1797" s="301">
        <v>17786.900000000001</v>
      </c>
      <c r="F1797" s="303">
        <v>42970</v>
      </c>
      <c r="G1797" s="301">
        <v>17786.900000000001</v>
      </c>
      <c r="H1797" s="304">
        <f>Tabla13[[#This Row],[Importe]]-Tabla13[[#This Row],[Pagado]]</f>
        <v>0</v>
      </c>
      <c r="I1797" s="275" t="s">
        <v>15214</v>
      </c>
    </row>
    <row r="1798" spans="1:9" x14ac:dyDescent="0.25">
      <c r="A1798" s="299">
        <v>42962</v>
      </c>
      <c r="B1798" s="302" t="s">
        <v>25633</v>
      </c>
      <c r="C1798">
        <v>123770</v>
      </c>
      <c r="D1798" s="236" t="s">
        <v>15539</v>
      </c>
      <c r="E1798" s="301">
        <v>15828.1</v>
      </c>
      <c r="F1798" s="303">
        <v>42970</v>
      </c>
      <c r="G1798" s="301">
        <v>15828.1</v>
      </c>
      <c r="H1798" s="304">
        <f>Tabla13[[#This Row],[Importe]]-Tabla13[[#This Row],[Pagado]]</f>
        <v>0</v>
      </c>
      <c r="I1798" s="275" t="s">
        <v>15214</v>
      </c>
    </row>
    <row r="1799" spans="1:9" x14ac:dyDescent="0.25">
      <c r="A1799" s="299">
        <v>42962</v>
      </c>
      <c r="B1799" s="302" t="s">
        <v>25634</v>
      </c>
      <c r="C1799">
        <v>123771</v>
      </c>
      <c r="D1799" s="236" t="s">
        <v>15328</v>
      </c>
      <c r="E1799" s="301">
        <v>9813.2199999999993</v>
      </c>
      <c r="F1799" s="303">
        <v>42969</v>
      </c>
      <c r="G1799" s="301">
        <v>9813.2199999999993</v>
      </c>
      <c r="H1799" s="304">
        <f>Tabla13[[#This Row],[Importe]]-Tabla13[[#This Row],[Pagado]]</f>
        <v>0</v>
      </c>
      <c r="I1799" s="275" t="s">
        <v>15214</v>
      </c>
    </row>
    <row r="1800" spans="1:9" x14ac:dyDescent="0.25">
      <c r="A1800" s="299">
        <v>42962</v>
      </c>
      <c r="B1800" s="302" t="s">
        <v>25635</v>
      </c>
      <c r="C1800">
        <v>123772</v>
      </c>
      <c r="D1800" s="236" t="s">
        <v>15342</v>
      </c>
      <c r="E1800" s="301">
        <v>738</v>
      </c>
      <c r="F1800" s="303">
        <v>42962</v>
      </c>
      <c r="G1800" s="301">
        <v>738</v>
      </c>
      <c r="H1800" s="304">
        <f>Tabla13[[#This Row],[Importe]]-Tabla13[[#This Row],[Pagado]]</f>
        <v>0</v>
      </c>
      <c r="I1800" s="275" t="s">
        <v>15214</v>
      </c>
    </row>
    <row r="1801" spans="1:9" x14ac:dyDescent="0.25">
      <c r="A1801" s="299">
        <v>42962</v>
      </c>
      <c r="B1801" s="302" t="s">
        <v>25636</v>
      </c>
      <c r="C1801">
        <v>123773</v>
      </c>
      <c r="D1801" s="236" t="s">
        <v>15371</v>
      </c>
      <c r="E1801" s="301">
        <v>4848.8</v>
      </c>
      <c r="F1801" s="303">
        <v>42963</v>
      </c>
      <c r="G1801" s="301">
        <v>4848.8</v>
      </c>
      <c r="H1801" s="304">
        <f>Tabla13[[#This Row],[Importe]]-Tabla13[[#This Row],[Pagado]]</f>
        <v>0</v>
      </c>
      <c r="I1801" s="275" t="s">
        <v>15214</v>
      </c>
    </row>
    <row r="1802" spans="1:9" x14ac:dyDescent="0.25">
      <c r="A1802" s="299">
        <v>42962</v>
      </c>
      <c r="B1802" s="302" t="s">
        <v>25637</v>
      </c>
      <c r="C1802">
        <v>123774</v>
      </c>
      <c r="D1802" s="236" t="s">
        <v>17462</v>
      </c>
      <c r="E1802" s="301">
        <v>2035.8</v>
      </c>
      <c r="F1802" s="303">
        <v>42962</v>
      </c>
      <c r="G1802" s="301">
        <v>2035.8</v>
      </c>
      <c r="H1802" s="304">
        <f>Tabla13[[#This Row],[Importe]]-Tabla13[[#This Row],[Pagado]]</f>
        <v>0</v>
      </c>
      <c r="I1802" s="275" t="s">
        <v>15214</v>
      </c>
    </row>
    <row r="1803" spans="1:9" x14ac:dyDescent="0.25">
      <c r="A1803" s="299">
        <v>42962</v>
      </c>
      <c r="B1803" s="302" t="s">
        <v>25638</v>
      </c>
      <c r="C1803">
        <v>123775</v>
      </c>
      <c r="D1803" s="236" t="s">
        <v>15315</v>
      </c>
      <c r="E1803" s="301">
        <v>5733</v>
      </c>
      <c r="F1803" s="303">
        <v>42964</v>
      </c>
      <c r="G1803" s="301">
        <v>5733</v>
      </c>
      <c r="H1803" s="304">
        <f>Tabla13[[#This Row],[Importe]]-Tabla13[[#This Row],[Pagado]]</f>
        <v>0</v>
      </c>
      <c r="I1803" s="275" t="s">
        <v>15214</v>
      </c>
    </row>
    <row r="1804" spans="1:9" x14ac:dyDescent="0.25">
      <c r="A1804" s="299">
        <v>42962</v>
      </c>
      <c r="B1804" s="302" t="s">
        <v>25639</v>
      </c>
      <c r="C1804">
        <v>123776</v>
      </c>
      <c r="D1804" s="236" t="s">
        <v>15315</v>
      </c>
      <c r="E1804" s="301">
        <v>3606.4</v>
      </c>
      <c r="F1804" s="303">
        <v>42973</v>
      </c>
      <c r="G1804" s="301">
        <v>3606.4</v>
      </c>
      <c r="H1804" s="304">
        <f>Tabla13[[#This Row],[Importe]]-Tabla13[[#This Row],[Pagado]]</f>
        <v>0</v>
      </c>
      <c r="I1804" s="275" t="s">
        <v>15214</v>
      </c>
    </row>
    <row r="1805" spans="1:9" x14ac:dyDescent="0.25">
      <c r="A1805" s="299">
        <v>42962</v>
      </c>
      <c r="B1805" s="302" t="s">
        <v>25640</v>
      </c>
      <c r="C1805">
        <v>123777</v>
      </c>
      <c r="D1805" s="236" t="s">
        <v>15530</v>
      </c>
      <c r="E1805" s="301">
        <v>2782</v>
      </c>
      <c r="F1805" s="303">
        <v>42962</v>
      </c>
      <c r="G1805" s="301">
        <v>2782</v>
      </c>
      <c r="H1805" s="304">
        <f>Tabla13[[#This Row],[Importe]]-Tabla13[[#This Row],[Pagado]]</f>
        <v>0</v>
      </c>
      <c r="I1805" s="275" t="s">
        <v>15214</v>
      </c>
    </row>
    <row r="1806" spans="1:9" x14ac:dyDescent="0.25">
      <c r="A1806" s="299">
        <v>42962</v>
      </c>
      <c r="B1806" s="302" t="s">
        <v>25641</v>
      </c>
      <c r="C1806">
        <v>123778</v>
      </c>
      <c r="D1806" s="236" t="s">
        <v>15510</v>
      </c>
      <c r="E1806" s="301">
        <v>35963.5</v>
      </c>
      <c r="F1806" s="303">
        <v>42962</v>
      </c>
      <c r="G1806" s="301">
        <v>35963.5</v>
      </c>
      <c r="H1806" s="304">
        <f>Tabla13[[#This Row],[Importe]]-Tabla13[[#This Row],[Pagado]]</f>
        <v>0</v>
      </c>
      <c r="I1806" s="275" t="s">
        <v>15214</v>
      </c>
    </row>
    <row r="1807" spans="1:9" x14ac:dyDescent="0.25">
      <c r="A1807" s="299">
        <v>42962</v>
      </c>
      <c r="B1807" s="302" t="s">
        <v>25642</v>
      </c>
      <c r="C1807">
        <v>123779</v>
      </c>
      <c r="D1807" s="236" t="s">
        <v>15699</v>
      </c>
      <c r="E1807" s="301">
        <v>4990.1499999999996</v>
      </c>
      <c r="F1807" s="303">
        <v>42977</v>
      </c>
      <c r="G1807" s="301">
        <v>4990.1499999999996</v>
      </c>
      <c r="H1807" s="304">
        <f>Tabla13[[#This Row],[Importe]]-Tabla13[[#This Row],[Pagado]]</f>
        <v>0</v>
      </c>
      <c r="I1807" s="275" t="s">
        <v>15214</v>
      </c>
    </row>
    <row r="1808" spans="1:9" x14ac:dyDescent="0.25">
      <c r="A1808" s="299">
        <v>42962</v>
      </c>
      <c r="B1808" s="302" t="s">
        <v>25643</v>
      </c>
      <c r="C1808">
        <v>123780</v>
      </c>
      <c r="D1808" s="236" t="s">
        <v>15530</v>
      </c>
      <c r="E1808" s="301">
        <v>440.8</v>
      </c>
      <c r="F1808" s="303">
        <v>42962</v>
      </c>
      <c r="G1808" s="301">
        <v>440.8</v>
      </c>
      <c r="H1808" s="304">
        <f>Tabla13[[#This Row],[Importe]]-Tabla13[[#This Row],[Pagado]]</f>
        <v>0</v>
      </c>
      <c r="I1808" s="275" t="s">
        <v>15214</v>
      </c>
    </row>
    <row r="1809" spans="1:9" ht="15.75" x14ac:dyDescent="0.25">
      <c r="A1809" s="299">
        <v>42962</v>
      </c>
      <c r="B1809" s="302" t="s">
        <v>25644</v>
      </c>
      <c r="C1809">
        <v>123781</v>
      </c>
      <c r="D1809" s="248" t="s">
        <v>95</v>
      </c>
      <c r="E1809" s="301">
        <v>0</v>
      </c>
      <c r="F1809" s="243" t="s">
        <v>95</v>
      </c>
      <c r="G1809" s="301">
        <v>0</v>
      </c>
      <c r="H1809" s="304">
        <f>Tabla13[[#This Row],[Importe]]-Tabla13[[#This Row],[Pagado]]</f>
        <v>0</v>
      </c>
      <c r="I1809" s="275" t="s">
        <v>95</v>
      </c>
    </row>
    <row r="1810" spans="1:9" x14ac:dyDescent="0.25">
      <c r="A1810" s="299">
        <v>42962</v>
      </c>
      <c r="B1810" s="302" t="s">
        <v>25645</v>
      </c>
      <c r="C1810">
        <v>123782</v>
      </c>
      <c r="D1810" s="236" t="s">
        <v>15309</v>
      </c>
      <c r="E1810" s="301">
        <v>6723</v>
      </c>
      <c r="F1810" s="303">
        <v>42962</v>
      </c>
      <c r="G1810" s="301">
        <v>6723</v>
      </c>
      <c r="H1810" s="304">
        <f>Tabla13[[#This Row],[Importe]]-Tabla13[[#This Row],[Pagado]]</f>
        <v>0</v>
      </c>
      <c r="I1810" s="275" t="s">
        <v>15214</v>
      </c>
    </row>
    <row r="1811" spans="1:9" x14ac:dyDescent="0.25">
      <c r="A1811" s="299">
        <v>42962</v>
      </c>
      <c r="B1811" s="302" t="s">
        <v>25646</v>
      </c>
      <c r="C1811">
        <v>123783</v>
      </c>
      <c r="D1811" s="236" t="s">
        <v>15301</v>
      </c>
      <c r="E1811" s="301">
        <v>4098.7</v>
      </c>
      <c r="F1811" s="303">
        <v>42962</v>
      </c>
      <c r="G1811" s="301">
        <v>4098.7</v>
      </c>
      <c r="H1811" s="304">
        <f>Tabla13[[#This Row],[Importe]]-Tabla13[[#This Row],[Pagado]]</f>
        <v>0</v>
      </c>
      <c r="I1811" s="275" t="s">
        <v>15214</v>
      </c>
    </row>
    <row r="1812" spans="1:9" x14ac:dyDescent="0.25">
      <c r="A1812" s="299">
        <v>42962</v>
      </c>
      <c r="B1812" s="302" t="s">
        <v>25647</v>
      </c>
      <c r="C1812">
        <v>123784</v>
      </c>
      <c r="D1812" s="236" t="s">
        <v>15315</v>
      </c>
      <c r="E1812" s="301">
        <v>2722</v>
      </c>
      <c r="F1812" s="303">
        <v>42962</v>
      </c>
      <c r="G1812" s="301">
        <v>2722</v>
      </c>
      <c r="H1812" s="304">
        <f>Tabla13[[#This Row],[Importe]]-Tabla13[[#This Row],[Pagado]]</f>
        <v>0</v>
      </c>
      <c r="I1812" s="275" t="s">
        <v>15214</v>
      </c>
    </row>
    <row r="1813" spans="1:9" x14ac:dyDescent="0.25">
      <c r="A1813" s="299">
        <v>42962</v>
      </c>
      <c r="B1813" s="302" t="s">
        <v>25648</v>
      </c>
      <c r="C1813">
        <v>123785</v>
      </c>
      <c r="D1813" s="236" t="s">
        <v>15920</v>
      </c>
      <c r="E1813" s="301">
        <v>6805</v>
      </c>
      <c r="F1813" s="303">
        <v>42971</v>
      </c>
      <c r="G1813" s="301">
        <v>6805</v>
      </c>
      <c r="H1813" s="304">
        <f>Tabla13[[#This Row],[Importe]]-Tabla13[[#This Row],[Pagado]]</f>
        <v>0</v>
      </c>
      <c r="I1813" s="275" t="s">
        <v>15214</v>
      </c>
    </row>
    <row r="1814" spans="1:9" x14ac:dyDescent="0.25">
      <c r="A1814" s="299">
        <v>42962</v>
      </c>
      <c r="B1814" s="302" t="s">
        <v>25649</v>
      </c>
      <c r="C1814">
        <v>123786</v>
      </c>
      <c r="D1814" s="236" t="s">
        <v>15566</v>
      </c>
      <c r="E1814" s="301">
        <v>3111</v>
      </c>
      <c r="F1814" s="303">
        <v>42962</v>
      </c>
      <c r="G1814" s="301">
        <v>3111</v>
      </c>
      <c r="H1814" s="304">
        <f>Tabla13[[#This Row],[Importe]]-Tabla13[[#This Row],[Pagado]]</f>
        <v>0</v>
      </c>
      <c r="I1814" s="275" t="s">
        <v>15214</v>
      </c>
    </row>
    <row r="1815" spans="1:9" x14ac:dyDescent="0.25">
      <c r="A1815" s="299">
        <v>42962</v>
      </c>
      <c r="B1815" s="302" t="s">
        <v>25650</v>
      </c>
      <c r="C1815">
        <v>123787</v>
      </c>
      <c r="D1815" s="236" t="s">
        <v>15338</v>
      </c>
      <c r="E1815" s="301">
        <v>5030.3999999999996</v>
      </c>
      <c r="F1815" s="303">
        <v>42965</v>
      </c>
      <c r="G1815" s="301">
        <v>5030.3999999999996</v>
      </c>
      <c r="H1815" s="304">
        <f>Tabla13[[#This Row],[Importe]]-Tabla13[[#This Row],[Pagado]]</f>
        <v>0</v>
      </c>
      <c r="I1815" s="275" t="s">
        <v>15214</v>
      </c>
    </row>
    <row r="1816" spans="1:9" x14ac:dyDescent="0.25">
      <c r="A1816" s="299">
        <v>42962</v>
      </c>
      <c r="B1816" s="302" t="s">
        <v>25651</v>
      </c>
      <c r="C1816">
        <v>123788</v>
      </c>
      <c r="D1816" s="236" t="s">
        <v>15307</v>
      </c>
      <c r="E1816" s="301">
        <v>2574</v>
      </c>
      <c r="F1816" s="303">
        <v>42962</v>
      </c>
      <c r="G1816" s="301">
        <v>2574</v>
      </c>
      <c r="H1816" s="304">
        <f>Tabla13[[#This Row],[Importe]]-Tabla13[[#This Row],[Pagado]]</f>
        <v>0</v>
      </c>
      <c r="I1816" s="275" t="s">
        <v>15214</v>
      </c>
    </row>
    <row r="1817" spans="1:9" x14ac:dyDescent="0.25">
      <c r="A1817" s="299">
        <v>42962</v>
      </c>
      <c r="B1817" s="302" t="s">
        <v>25652</v>
      </c>
      <c r="C1817">
        <v>123789</v>
      </c>
      <c r="D1817" s="236" t="s">
        <v>15544</v>
      </c>
      <c r="E1817" s="301">
        <v>466.2</v>
      </c>
      <c r="F1817" s="303">
        <v>42964</v>
      </c>
      <c r="G1817" s="301">
        <v>466.2</v>
      </c>
      <c r="H1817" s="304">
        <f>Tabla13[[#This Row],[Importe]]-Tabla13[[#This Row],[Pagado]]</f>
        <v>0</v>
      </c>
      <c r="I1817" s="275" t="s">
        <v>15214</v>
      </c>
    </row>
    <row r="1818" spans="1:9" x14ac:dyDescent="0.25">
      <c r="A1818" s="299">
        <v>42962</v>
      </c>
      <c r="B1818" s="302" t="s">
        <v>25653</v>
      </c>
      <c r="C1818">
        <v>123790</v>
      </c>
      <c r="D1818" s="236" t="s">
        <v>15315</v>
      </c>
      <c r="E1818" s="301">
        <v>1081.2</v>
      </c>
      <c r="F1818" s="303">
        <v>42964</v>
      </c>
      <c r="G1818" s="301">
        <v>1081.2</v>
      </c>
      <c r="H1818" s="304">
        <f>Tabla13[[#This Row],[Importe]]-Tabla13[[#This Row],[Pagado]]</f>
        <v>0</v>
      </c>
      <c r="I1818" s="275" t="s">
        <v>15214</v>
      </c>
    </row>
    <row r="1819" spans="1:9" x14ac:dyDescent="0.25">
      <c r="A1819" s="299">
        <v>42962</v>
      </c>
      <c r="B1819" s="302" t="s">
        <v>25654</v>
      </c>
      <c r="C1819">
        <v>123791</v>
      </c>
      <c r="D1819" s="236" t="s">
        <v>15315</v>
      </c>
      <c r="E1819" s="301">
        <v>6163.2</v>
      </c>
      <c r="F1819" s="303">
        <v>42966</v>
      </c>
      <c r="G1819" s="301">
        <v>6163.2</v>
      </c>
      <c r="H1819" s="304">
        <f>Tabla13[[#This Row],[Importe]]-Tabla13[[#This Row],[Pagado]]</f>
        <v>0</v>
      </c>
      <c r="I1819" s="275" t="s">
        <v>15214</v>
      </c>
    </row>
    <row r="1820" spans="1:9" x14ac:dyDescent="0.25">
      <c r="A1820" s="299">
        <v>42962</v>
      </c>
      <c r="B1820" s="302" t="s">
        <v>25655</v>
      </c>
      <c r="C1820">
        <v>123792</v>
      </c>
      <c r="D1820" s="236" t="s">
        <v>15665</v>
      </c>
      <c r="E1820" s="301">
        <v>567.29999999999995</v>
      </c>
      <c r="F1820" s="303">
        <v>42962</v>
      </c>
      <c r="G1820" s="301">
        <v>567.29999999999995</v>
      </c>
      <c r="H1820" s="304">
        <f>Tabla13[[#This Row],[Importe]]-Tabla13[[#This Row],[Pagado]]</f>
        <v>0</v>
      </c>
      <c r="I1820" s="275" t="s">
        <v>15214</v>
      </c>
    </row>
    <row r="1821" spans="1:9" x14ac:dyDescent="0.25">
      <c r="A1821" s="299">
        <v>42962</v>
      </c>
      <c r="B1821" s="302" t="s">
        <v>25656</v>
      </c>
      <c r="C1821">
        <v>123793</v>
      </c>
      <c r="D1821" s="236" t="s">
        <v>15577</v>
      </c>
      <c r="E1821" s="301">
        <v>195</v>
      </c>
      <c r="F1821" s="303">
        <v>42962</v>
      </c>
      <c r="G1821" s="301">
        <v>195</v>
      </c>
      <c r="H1821" s="304">
        <f>Tabla13[[#This Row],[Importe]]-Tabla13[[#This Row],[Pagado]]</f>
        <v>0</v>
      </c>
      <c r="I1821" s="275" t="s">
        <v>15214</v>
      </c>
    </row>
    <row r="1822" spans="1:9" x14ac:dyDescent="0.25">
      <c r="A1822" s="299">
        <v>42962</v>
      </c>
      <c r="B1822" s="302" t="s">
        <v>25657</v>
      </c>
      <c r="C1822">
        <v>123794</v>
      </c>
      <c r="D1822" s="236" t="s">
        <v>15378</v>
      </c>
      <c r="E1822" s="301">
        <v>935.8</v>
      </c>
      <c r="F1822" s="303">
        <v>42962</v>
      </c>
      <c r="G1822" s="301">
        <v>935.8</v>
      </c>
      <c r="H1822" s="304">
        <f>Tabla13[[#This Row],[Importe]]-Tabla13[[#This Row],[Pagado]]</f>
        <v>0</v>
      </c>
      <c r="I1822" s="275" t="s">
        <v>15214</v>
      </c>
    </row>
    <row r="1823" spans="1:9" x14ac:dyDescent="0.25">
      <c r="A1823" s="299">
        <v>42962</v>
      </c>
      <c r="B1823" s="302" t="s">
        <v>25658</v>
      </c>
      <c r="C1823">
        <v>123795</v>
      </c>
      <c r="D1823" s="236" t="s">
        <v>15398</v>
      </c>
      <c r="E1823" s="301">
        <v>6120.8</v>
      </c>
      <c r="F1823" s="303">
        <v>42962</v>
      </c>
      <c r="G1823" s="301">
        <v>6120.8</v>
      </c>
      <c r="H1823" s="304">
        <f>Tabla13[[#This Row],[Importe]]-Tabla13[[#This Row],[Pagado]]</f>
        <v>0</v>
      </c>
      <c r="I1823" s="275" t="s">
        <v>15214</v>
      </c>
    </row>
    <row r="1824" spans="1:9" x14ac:dyDescent="0.25">
      <c r="A1824" s="299">
        <v>42962</v>
      </c>
      <c r="B1824" s="302" t="s">
        <v>25659</v>
      </c>
      <c r="C1824">
        <v>123796</v>
      </c>
      <c r="D1824" s="236" t="s">
        <v>15628</v>
      </c>
      <c r="E1824" s="301">
        <v>2745.6</v>
      </c>
      <c r="F1824" s="303">
        <v>42962</v>
      </c>
      <c r="G1824" s="301">
        <v>2745.6</v>
      </c>
      <c r="H1824" s="304">
        <f>Tabla13[[#This Row],[Importe]]-Tabla13[[#This Row],[Pagado]]</f>
        <v>0</v>
      </c>
      <c r="I1824" s="275" t="s">
        <v>15214</v>
      </c>
    </row>
    <row r="1825" spans="1:9" x14ac:dyDescent="0.25">
      <c r="A1825" s="299">
        <v>42962</v>
      </c>
      <c r="B1825" s="302" t="s">
        <v>25660</v>
      </c>
      <c r="C1825">
        <v>123797</v>
      </c>
      <c r="D1825" s="236" t="s">
        <v>15398</v>
      </c>
      <c r="E1825" s="301">
        <v>388</v>
      </c>
      <c r="F1825" s="303">
        <v>42962</v>
      </c>
      <c r="G1825" s="301">
        <v>388</v>
      </c>
      <c r="H1825" s="304">
        <f>Tabla13[[#This Row],[Importe]]-Tabla13[[#This Row],[Pagado]]</f>
        <v>0</v>
      </c>
      <c r="I1825" s="275" t="s">
        <v>15214</v>
      </c>
    </row>
    <row r="1826" spans="1:9" x14ac:dyDescent="0.25">
      <c r="A1826" s="299">
        <v>42962</v>
      </c>
      <c r="B1826" s="302" t="s">
        <v>25661</v>
      </c>
      <c r="C1826">
        <v>123798</v>
      </c>
      <c r="D1826" s="236" t="s">
        <v>15566</v>
      </c>
      <c r="E1826" s="301">
        <v>2845.8</v>
      </c>
      <c r="F1826" s="303">
        <v>42962</v>
      </c>
      <c r="G1826" s="301">
        <v>2845.8</v>
      </c>
      <c r="H1826" s="304">
        <f>Tabla13[[#This Row],[Importe]]-Tabla13[[#This Row],[Pagado]]</f>
        <v>0</v>
      </c>
      <c r="I1826" s="275" t="s">
        <v>15214</v>
      </c>
    </row>
    <row r="1827" spans="1:9" x14ac:dyDescent="0.25">
      <c r="A1827" s="299">
        <v>42962</v>
      </c>
      <c r="B1827" s="302" t="s">
        <v>25662</v>
      </c>
      <c r="C1827">
        <v>123799</v>
      </c>
      <c r="D1827" s="236" t="s">
        <v>15396</v>
      </c>
      <c r="E1827" s="301">
        <v>8232.48</v>
      </c>
      <c r="F1827" s="303">
        <v>42962</v>
      </c>
      <c r="G1827" s="301">
        <v>8232.48</v>
      </c>
      <c r="H1827" s="304">
        <f>Tabla13[[#This Row],[Importe]]-Tabla13[[#This Row],[Pagado]]</f>
        <v>0</v>
      </c>
      <c r="I1827" s="275" t="s">
        <v>15214</v>
      </c>
    </row>
    <row r="1828" spans="1:9" x14ac:dyDescent="0.25">
      <c r="A1828" s="299">
        <v>42962</v>
      </c>
      <c r="B1828" s="302" t="s">
        <v>25663</v>
      </c>
      <c r="C1828">
        <v>123800</v>
      </c>
      <c r="D1828" s="236" t="s">
        <v>15315</v>
      </c>
      <c r="E1828" s="301">
        <v>1482.8</v>
      </c>
      <c r="F1828" s="303">
        <v>42962</v>
      </c>
      <c r="G1828" s="301">
        <v>1482.8</v>
      </c>
      <c r="H1828" s="304">
        <f>Tabla13[[#This Row],[Importe]]-Tabla13[[#This Row],[Pagado]]</f>
        <v>0</v>
      </c>
      <c r="I1828" s="275" t="s">
        <v>15214</v>
      </c>
    </row>
    <row r="1829" spans="1:9" x14ac:dyDescent="0.25">
      <c r="A1829" s="299">
        <v>42962</v>
      </c>
      <c r="B1829" s="302" t="s">
        <v>25664</v>
      </c>
      <c r="C1829">
        <v>123801</v>
      </c>
      <c r="D1829" s="236" t="s">
        <v>15282</v>
      </c>
      <c r="E1829" s="301">
        <v>4304.3999999999996</v>
      </c>
      <c r="F1829" s="303">
        <v>42962</v>
      </c>
      <c r="G1829" s="301">
        <v>4304.3999999999996</v>
      </c>
      <c r="H1829" s="304">
        <f>Tabla13[[#This Row],[Importe]]-Tabla13[[#This Row],[Pagado]]</f>
        <v>0</v>
      </c>
      <c r="I1829" s="275" t="s">
        <v>15214</v>
      </c>
    </row>
    <row r="1830" spans="1:9" x14ac:dyDescent="0.25">
      <c r="A1830" s="299">
        <v>42962</v>
      </c>
      <c r="B1830" s="302" t="s">
        <v>25665</v>
      </c>
      <c r="C1830">
        <v>123802</v>
      </c>
      <c r="D1830" s="236" t="s">
        <v>19768</v>
      </c>
      <c r="E1830" s="301">
        <v>1630</v>
      </c>
      <c r="F1830" s="303">
        <v>42962</v>
      </c>
      <c r="G1830" s="301">
        <v>1630</v>
      </c>
      <c r="H1830" s="304">
        <f>Tabla13[[#This Row],[Importe]]-Tabla13[[#This Row],[Pagado]]</f>
        <v>0</v>
      </c>
      <c r="I1830" s="275" t="s">
        <v>15214</v>
      </c>
    </row>
    <row r="1831" spans="1:9" x14ac:dyDescent="0.25">
      <c r="A1831" s="299">
        <v>42962</v>
      </c>
      <c r="B1831" s="302" t="s">
        <v>25666</v>
      </c>
      <c r="C1831">
        <v>123803</v>
      </c>
      <c r="D1831" s="236" t="s">
        <v>15407</v>
      </c>
      <c r="E1831" s="301">
        <v>9831.4</v>
      </c>
      <c r="F1831" s="303">
        <v>42962</v>
      </c>
      <c r="G1831" s="301">
        <v>9831.4</v>
      </c>
      <c r="H1831" s="304">
        <f>Tabla13[[#This Row],[Importe]]-Tabla13[[#This Row],[Pagado]]</f>
        <v>0</v>
      </c>
      <c r="I1831" s="275" t="s">
        <v>15214</v>
      </c>
    </row>
    <row r="1832" spans="1:9" x14ac:dyDescent="0.25">
      <c r="A1832" s="299">
        <v>42962</v>
      </c>
      <c r="B1832" s="302" t="s">
        <v>25667</v>
      </c>
      <c r="C1832">
        <v>123804</v>
      </c>
      <c r="D1832" s="236" t="s">
        <v>15716</v>
      </c>
      <c r="E1832" s="301">
        <v>8478.4</v>
      </c>
      <c r="F1832" s="303">
        <v>42962</v>
      </c>
      <c r="G1832" s="301">
        <v>8478.4</v>
      </c>
      <c r="H1832" s="304">
        <f>Tabla13[[#This Row],[Importe]]-Tabla13[[#This Row],[Pagado]]</f>
        <v>0</v>
      </c>
      <c r="I1832" s="275" t="s">
        <v>15214</v>
      </c>
    </row>
    <row r="1833" spans="1:9" x14ac:dyDescent="0.25">
      <c r="A1833" s="299">
        <v>42962</v>
      </c>
      <c r="B1833" s="302" t="s">
        <v>25668</v>
      </c>
      <c r="C1833">
        <v>123805</v>
      </c>
      <c r="D1833" s="236" t="s">
        <v>15326</v>
      </c>
      <c r="E1833" s="301">
        <v>2611.6</v>
      </c>
      <c r="F1833" s="303">
        <v>42962</v>
      </c>
      <c r="G1833" s="301">
        <v>2611.6</v>
      </c>
      <c r="H1833" s="304">
        <f>Tabla13[[#This Row],[Importe]]-Tabla13[[#This Row],[Pagado]]</f>
        <v>0</v>
      </c>
      <c r="I1833" s="275" t="s">
        <v>15214</v>
      </c>
    </row>
    <row r="1834" spans="1:9" x14ac:dyDescent="0.25">
      <c r="A1834" s="299">
        <v>42962</v>
      </c>
      <c r="B1834" s="302" t="s">
        <v>25669</v>
      </c>
      <c r="C1834">
        <v>123806</v>
      </c>
      <c r="D1834" s="236" t="s">
        <v>15835</v>
      </c>
      <c r="E1834" s="301">
        <v>1271.5999999999999</v>
      </c>
      <c r="F1834" s="303">
        <v>42962</v>
      </c>
      <c r="G1834" s="301">
        <v>1271.5999999999999</v>
      </c>
      <c r="H1834" s="304">
        <f>Tabla13[[#This Row],[Importe]]-Tabla13[[#This Row],[Pagado]]</f>
        <v>0</v>
      </c>
      <c r="I1834" s="275" t="s">
        <v>15214</v>
      </c>
    </row>
    <row r="1835" spans="1:9" x14ac:dyDescent="0.25">
      <c r="A1835" s="299">
        <v>42962</v>
      </c>
      <c r="B1835" s="302" t="s">
        <v>25670</v>
      </c>
      <c r="C1835">
        <v>123807</v>
      </c>
      <c r="D1835" s="236" t="s">
        <v>15213</v>
      </c>
      <c r="E1835" s="301">
        <v>7208.55</v>
      </c>
      <c r="F1835" s="303">
        <v>42963</v>
      </c>
      <c r="G1835" s="301">
        <v>7208.55</v>
      </c>
      <c r="H1835" s="304">
        <f>Tabla13[[#This Row],[Importe]]-Tabla13[[#This Row],[Pagado]]</f>
        <v>0</v>
      </c>
      <c r="I1835" s="275" t="s">
        <v>15214</v>
      </c>
    </row>
    <row r="1836" spans="1:9" ht="15.75" x14ac:dyDescent="0.25">
      <c r="A1836" s="299">
        <v>42962</v>
      </c>
      <c r="B1836" s="302" t="s">
        <v>25671</v>
      </c>
      <c r="C1836">
        <v>123808</v>
      </c>
      <c r="D1836" s="248" t="s">
        <v>95</v>
      </c>
      <c r="E1836" s="301">
        <v>0</v>
      </c>
      <c r="F1836" s="243" t="s">
        <v>95</v>
      </c>
      <c r="G1836" s="301">
        <v>0</v>
      </c>
      <c r="H1836" s="304">
        <f>Tabla13[[#This Row],[Importe]]-Tabla13[[#This Row],[Pagado]]</f>
        <v>0</v>
      </c>
      <c r="I1836" s="275" t="s">
        <v>95</v>
      </c>
    </row>
    <row r="1837" spans="1:9" x14ac:dyDescent="0.25">
      <c r="A1837" s="299">
        <v>42962</v>
      </c>
      <c r="B1837" s="302" t="s">
        <v>25672</v>
      </c>
      <c r="C1837">
        <v>123809</v>
      </c>
      <c r="D1837" s="236" t="s">
        <v>15263</v>
      </c>
      <c r="E1837" s="301">
        <v>3215</v>
      </c>
      <c r="F1837" s="303">
        <v>42962</v>
      </c>
      <c r="G1837" s="301">
        <v>3215</v>
      </c>
      <c r="H1837" s="304">
        <f>Tabla13[[#This Row],[Importe]]-Tabla13[[#This Row],[Pagado]]</f>
        <v>0</v>
      </c>
      <c r="I1837" s="275" t="s">
        <v>15214</v>
      </c>
    </row>
    <row r="1838" spans="1:9" x14ac:dyDescent="0.25">
      <c r="A1838" s="299">
        <v>42962</v>
      </c>
      <c r="B1838" s="302" t="s">
        <v>25673</v>
      </c>
      <c r="C1838">
        <v>123810</v>
      </c>
      <c r="D1838" s="236" t="s">
        <v>19776</v>
      </c>
      <c r="E1838" s="301">
        <v>27600</v>
      </c>
      <c r="F1838" s="303">
        <v>42962</v>
      </c>
      <c r="G1838" s="301">
        <v>27600</v>
      </c>
      <c r="H1838" s="304">
        <f>Tabla13[[#This Row],[Importe]]-Tabla13[[#This Row],[Pagado]]</f>
        <v>0</v>
      </c>
      <c r="I1838" s="275" t="s">
        <v>15214</v>
      </c>
    </row>
    <row r="1839" spans="1:9" x14ac:dyDescent="0.25">
      <c r="A1839" s="299">
        <v>42962</v>
      </c>
      <c r="B1839" s="302" t="s">
        <v>25674</v>
      </c>
      <c r="C1839">
        <v>123811</v>
      </c>
      <c r="D1839" s="236" t="s">
        <v>15409</v>
      </c>
      <c r="E1839" s="301">
        <v>13310</v>
      </c>
      <c r="F1839" s="303">
        <v>42962</v>
      </c>
      <c r="G1839" s="301">
        <v>13310</v>
      </c>
      <c r="H1839" s="304">
        <f>Tabla13[[#This Row],[Importe]]-Tabla13[[#This Row],[Pagado]]</f>
        <v>0</v>
      </c>
      <c r="I1839" s="275" t="s">
        <v>15214</v>
      </c>
    </row>
    <row r="1840" spans="1:9" x14ac:dyDescent="0.25">
      <c r="A1840" s="299">
        <v>42962</v>
      </c>
      <c r="B1840" s="302" t="s">
        <v>25675</v>
      </c>
      <c r="C1840">
        <v>123812</v>
      </c>
      <c r="D1840" s="236" t="s">
        <v>15276</v>
      </c>
      <c r="E1840" s="301">
        <v>3760</v>
      </c>
      <c r="F1840" s="303">
        <v>42962</v>
      </c>
      <c r="G1840" s="301">
        <v>3760</v>
      </c>
      <c r="H1840" s="304">
        <f>Tabla13[[#This Row],[Importe]]-Tabla13[[#This Row],[Pagado]]</f>
        <v>0</v>
      </c>
      <c r="I1840" s="275" t="s">
        <v>15214</v>
      </c>
    </row>
    <row r="1841" spans="1:9" x14ac:dyDescent="0.25">
      <c r="A1841" s="299">
        <v>42962</v>
      </c>
      <c r="B1841" s="302" t="s">
        <v>25676</v>
      </c>
      <c r="C1841">
        <v>123813</v>
      </c>
      <c r="D1841" s="236" t="s">
        <v>15444</v>
      </c>
      <c r="E1841" s="301">
        <v>2754</v>
      </c>
      <c r="F1841" s="303">
        <v>42963</v>
      </c>
      <c r="G1841" s="301">
        <v>2754</v>
      </c>
      <c r="H1841" s="304">
        <f>Tabla13[[#This Row],[Importe]]-Tabla13[[#This Row],[Pagado]]</f>
        <v>0</v>
      </c>
      <c r="I1841" s="275" t="s">
        <v>15214</v>
      </c>
    </row>
    <row r="1842" spans="1:9" x14ac:dyDescent="0.25">
      <c r="A1842" s="299">
        <v>42962</v>
      </c>
      <c r="B1842" s="302" t="s">
        <v>25677</v>
      </c>
      <c r="C1842">
        <v>123814</v>
      </c>
      <c r="D1842" s="236" t="s">
        <v>15417</v>
      </c>
      <c r="E1842" s="301">
        <v>2175.8000000000002</v>
      </c>
      <c r="F1842" s="303">
        <v>42962</v>
      </c>
      <c r="G1842" s="301">
        <v>2175.8000000000002</v>
      </c>
      <c r="H1842" s="304">
        <f>Tabla13[[#This Row],[Importe]]-Tabla13[[#This Row],[Pagado]]</f>
        <v>0</v>
      </c>
      <c r="I1842" s="275" t="s">
        <v>15214</v>
      </c>
    </row>
    <row r="1843" spans="1:9" x14ac:dyDescent="0.25">
      <c r="A1843" s="299">
        <v>42962</v>
      </c>
      <c r="B1843" s="302" t="s">
        <v>25678</v>
      </c>
      <c r="C1843">
        <v>123815</v>
      </c>
      <c r="D1843" s="236" t="s">
        <v>15617</v>
      </c>
      <c r="E1843" s="301">
        <v>29422</v>
      </c>
      <c r="F1843" s="303">
        <v>42962</v>
      </c>
      <c r="G1843" s="301">
        <v>29422</v>
      </c>
      <c r="H1843" s="304">
        <f>Tabla13[[#This Row],[Importe]]-Tabla13[[#This Row],[Pagado]]</f>
        <v>0</v>
      </c>
      <c r="I1843" s="275" t="s">
        <v>15214</v>
      </c>
    </row>
    <row r="1844" spans="1:9" ht="15.75" x14ac:dyDescent="0.25">
      <c r="A1844" s="299">
        <v>42962</v>
      </c>
      <c r="B1844" s="302" t="s">
        <v>25679</v>
      </c>
      <c r="C1844">
        <v>123816</v>
      </c>
      <c r="D1844" s="248" t="s">
        <v>95</v>
      </c>
      <c r="E1844" s="301">
        <v>0</v>
      </c>
      <c r="F1844" s="243" t="s">
        <v>95</v>
      </c>
      <c r="G1844" s="301">
        <v>0</v>
      </c>
      <c r="H1844" s="304">
        <f>Tabla13[[#This Row],[Importe]]-Tabla13[[#This Row],[Pagado]]</f>
        <v>0</v>
      </c>
      <c r="I1844" s="275" t="s">
        <v>95</v>
      </c>
    </row>
    <row r="1845" spans="1:9" x14ac:dyDescent="0.25">
      <c r="A1845" s="299">
        <v>42962</v>
      </c>
      <c r="B1845" s="302" t="s">
        <v>25680</v>
      </c>
      <c r="C1845">
        <v>123817</v>
      </c>
      <c r="D1845" s="236" t="s">
        <v>15298</v>
      </c>
      <c r="E1845" s="301">
        <v>4439.6000000000004</v>
      </c>
      <c r="F1845" s="303">
        <v>42962</v>
      </c>
      <c r="G1845" s="301">
        <v>4439.6000000000004</v>
      </c>
      <c r="H1845" s="304">
        <f>Tabla13[[#This Row],[Importe]]-Tabla13[[#This Row],[Pagado]]</f>
        <v>0</v>
      </c>
      <c r="I1845" s="275" t="s">
        <v>15214</v>
      </c>
    </row>
    <row r="1846" spans="1:9" x14ac:dyDescent="0.25">
      <c r="A1846" s="299">
        <v>42962</v>
      </c>
      <c r="B1846" s="302" t="s">
        <v>25681</v>
      </c>
      <c r="C1846">
        <v>123818</v>
      </c>
      <c r="D1846" s="236" t="s">
        <v>15226</v>
      </c>
      <c r="E1846" s="301">
        <v>1265</v>
      </c>
      <c r="F1846" s="303">
        <v>42964</v>
      </c>
      <c r="G1846" s="301">
        <v>1265</v>
      </c>
      <c r="H1846" s="304">
        <f>Tabla13[[#This Row],[Importe]]-Tabla13[[#This Row],[Pagado]]</f>
        <v>0</v>
      </c>
      <c r="I1846" s="275" t="s">
        <v>15214</v>
      </c>
    </row>
    <row r="1847" spans="1:9" ht="30" x14ac:dyDescent="0.25">
      <c r="A1847" s="299">
        <v>42962</v>
      </c>
      <c r="B1847" s="302" t="s">
        <v>25682</v>
      </c>
      <c r="C1847">
        <v>123819</v>
      </c>
      <c r="D1847" s="236" t="s">
        <v>15246</v>
      </c>
      <c r="E1847" s="301">
        <v>43629.5</v>
      </c>
      <c r="F1847" s="303" t="s">
        <v>25683</v>
      </c>
      <c r="G1847" s="305">
        <f>34922.69+8706.81</f>
        <v>43629.5</v>
      </c>
      <c r="H1847" s="304">
        <f>Tabla13[[#This Row],[Importe]]-Tabla13[[#This Row],[Pagado]]</f>
        <v>0</v>
      </c>
      <c r="I1847" s="275" t="s">
        <v>15214</v>
      </c>
    </row>
    <row r="1848" spans="1:9" x14ac:dyDescent="0.25">
      <c r="A1848" s="299">
        <v>42962</v>
      </c>
      <c r="B1848" s="302" t="s">
        <v>25684</v>
      </c>
      <c r="C1848">
        <v>123820</v>
      </c>
      <c r="D1848" s="236" t="s">
        <v>15423</v>
      </c>
      <c r="E1848" s="301">
        <v>2584.8000000000002</v>
      </c>
      <c r="F1848" s="303">
        <v>42962</v>
      </c>
      <c r="G1848" s="301">
        <v>2584.8000000000002</v>
      </c>
      <c r="H1848" s="304">
        <f>Tabla13[[#This Row],[Importe]]-Tabla13[[#This Row],[Pagado]]</f>
        <v>0</v>
      </c>
      <c r="I1848" s="275" t="s">
        <v>15214</v>
      </c>
    </row>
    <row r="1849" spans="1:9" x14ac:dyDescent="0.25">
      <c r="A1849" s="299">
        <v>42962</v>
      </c>
      <c r="B1849" s="302" t="s">
        <v>25685</v>
      </c>
      <c r="C1849">
        <v>123821</v>
      </c>
      <c r="D1849" s="236" t="s">
        <v>15315</v>
      </c>
      <c r="E1849" s="301">
        <v>731</v>
      </c>
      <c r="F1849" s="303">
        <v>42962</v>
      </c>
      <c r="G1849" s="301">
        <v>731</v>
      </c>
      <c r="H1849" s="304">
        <f>Tabla13[[#This Row],[Importe]]-Tabla13[[#This Row],[Pagado]]</f>
        <v>0</v>
      </c>
      <c r="I1849" s="275" t="s">
        <v>15214</v>
      </c>
    </row>
    <row r="1850" spans="1:9" x14ac:dyDescent="0.25">
      <c r="A1850" s="299">
        <v>42962</v>
      </c>
      <c r="B1850" s="302" t="s">
        <v>25686</v>
      </c>
      <c r="C1850">
        <v>123822</v>
      </c>
      <c r="D1850" s="236" t="s">
        <v>15246</v>
      </c>
      <c r="E1850" s="301">
        <v>345759.76</v>
      </c>
      <c r="F1850" s="303">
        <v>42966</v>
      </c>
      <c r="G1850" s="301">
        <v>345759.76</v>
      </c>
      <c r="H1850" s="304">
        <f>Tabla13[[#This Row],[Importe]]-Tabla13[[#This Row],[Pagado]]</f>
        <v>0</v>
      </c>
      <c r="I1850" s="275" t="s">
        <v>15214</v>
      </c>
    </row>
    <row r="1851" spans="1:9" x14ac:dyDescent="0.25">
      <c r="A1851" s="299">
        <v>42962</v>
      </c>
      <c r="B1851" s="302" t="s">
        <v>25687</v>
      </c>
      <c r="C1851">
        <v>123823</v>
      </c>
      <c r="D1851" s="236" t="s">
        <v>15322</v>
      </c>
      <c r="E1851" s="301">
        <v>838.2</v>
      </c>
      <c r="F1851" s="303">
        <v>42962</v>
      </c>
      <c r="G1851" s="301">
        <v>838.2</v>
      </c>
      <c r="H1851" s="304">
        <f>Tabla13[[#This Row],[Importe]]-Tabla13[[#This Row],[Pagado]]</f>
        <v>0</v>
      </c>
      <c r="I1851" s="275" t="s">
        <v>15214</v>
      </c>
    </row>
    <row r="1852" spans="1:9" x14ac:dyDescent="0.25">
      <c r="A1852" s="299">
        <v>42962</v>
      </c>
      <c r="B1852" s="302" t="s">
        <v>25688</v>
      </c>
      <c r="C1852">
        <v>123824</v>
      </c>
      <c r="D1852" s="236" t="s">
        <v>15668</v>
      </c>
      <c r="E1852" s="301">
        <v>3309.6</v>
      </c>
      <c r="F1852" s="303">
        <v>42962</v>
      </c>
      <c r="G1852" s="301">
        <v>3309.6</v>
      </c>
      <c r="H1852" s="304">
        <f>Tabla13[[#This Row],[Importe]]-Tabla13[[#This Row],[Pagado]]</f>
        <v>0</v>
      </c>
      <c r="I1852" s="275" t="s">
        <v>15214</v>
      </c>
    </row>
    <row r="1853" spans="1:9" x14ac:dyDescent="0.25">
      <c r="A1853" s="299">
        <v>42962</v>
      </c>
      <c r="B1853" s="302" t="s">
        <v>25689</v>
      </c>
      <c r="C1853">
        <v>123825</v>
      </c>
      <c r="D1853" s="236" t="s">
        <v>5757</v>
      </c>
      <c r="E1853" s="301">
        <v>314</v>
      </c>
      <c r="F1853" s="303">
        <v>42963</v>
      </c>
      <c r="G1853" s="301">
        <v>314</v>
      </c>
      <c r="H1853" s="304">
        <f>Tabla13[[#This Row],[Importe]]-Tabla13[[#This Row],[Pagado]]</f>
        <v>0</v>
      </c>
      <c r="I1853" s="275" t="s">
        <v>15214</v>
      </c>
    </row>
    <row r="1854" spans="1:9" x14ac:dyDescent="0.25">
      <c r="A1854" s="299">
        <v>42962</v>
      </c>
      <c r="B1854" s="302" t="s">
        <v>25690</v>
      </c>
      <c r="C1854">
        <v>123826</v>
      </c>
      <c r="D1854" s="236" t="s">
        <v>15728</v>
      </c>
      <c r="E1854" s="301">
        <v>18360</v>
      </c>
      <c r="F1854" s="303">
        <v>42962</v>
      </c>
      <c r="G1854" s="301">
        <v>18360</v>
      </c>
      <c r="H1854" s="304">
        <f>Tabla13[[#This Row],[Importe]]-Tabla13[[#This Row],[Pagado]]</f>
        <v>0</v>
      </c>
      <c r="I1854" s="275" t="s">
        <v>15214</v>
      </c>
    </row>
    <row r="1855" spans="1:9" x14ac:dyDescent="0.25">
      <c r="A1855" s="299">
        <v>42962</v>
      </c>
      <c r="B1855" s="302" t="s">
        <v>25691</v>
      </c>
      <c r="C1855">
        <v>123827</v>
      </c>
      <c r="D1855" s="236" t="s">
        <v>15246</v>
      </c>
      <c r="E1855" s="301">
        <v>54389</v>
      </c>
      <c r="F1855" s="303">
        <v>42966</v>
      </c>
      <c r="G1855" s="301">
        <v>54389</v>
      </c>
      <c r="H1855" s="304">
        <f>Tabla13[[#This Row],[Importe]]-Tabla13[[#This Row],[Pagado]]</f>
        <v>0</v>
      </c>
      <c r="I1855" s="275" t="s">
        <v>15214</v>
      </c>
    </row>
    <row r="1856" spans="1:9" x14ac:dyDescent="0.25">
      <c r="A1856" s="299">
        <v>42962</v>
      </c>
      <c r="B1856" s="302" t="s">
        <v>25692</v>
      </c>
      <c r="C1856">
        <v>123828</v>
      </c>
      <c r="D1856" s="236" t="s">
        <v>15246</v>
      </c>
      <c r="E1856" s="301">
        <v>3340</v>
      </c>
      <c r="F1856" s="303">
        <v>42966</v>
      </c>
      <c r="G1856" s="301">
        <v>3340</v>
      </c>
      <c r="H1856" s="304">
        <f>Tabla13[[#This Row],[Importe]]-Tabla13[[#This Row],[Pagado]]</f>
        <v>0</v>
      </c>
      <c r="I1856" s="275" t="s">
        <v>15214</v>
      </c>
    </row>
    <row r="1857" spans="1:9" x14ac:dyDescent="0.25">
      <c r="A1857" s="299">
        <v>42962</v>
      </c>
      <c r="B1857" s="302" t="s">
        <v>25693</v>
      </c>
      <c r="C1857">
        <v>123829</v>
      </c>
      <c r="D1857" s="236" t="s">
        <v>15315</v>
      </c>
      <c r="E1857" s="301">
        <v>3048</v>
      </c>
      <c r="F1857" s="303">
        <v>42962</v>
      </c>
      <c r="G1857" s="301">
        <v>3048</v>
      </c>
      <c r="H1857" s="304">
        <f>Tabla13[[#This Row],[Importe]]-Tabla13[[#This Row],[Pagado]]</f>
        <v>0</v>
      </c>
      <c r="I1857" s="275" t="s">
        <v>15214</v>
      </c>
    </row>
    <row r="1858" spans="1:9" x14ac:dyDescent="0.25">
      <c r="A1858" s="299">
        <v>42962</v>
      </c>
      <c r="B1858" s="302" t="s">
        <v>25694</v>
      </c>
      <c r="C1858">
        <v>123830</v>
      </c>
      <c r="D1858" s="236" t="s">
        <v>15541</v>
      </c>
      <c r="E1858" s="301">
        <v>1702</v>
      </c>
      <c r="F1858" s="303">
        <v>42963</v>
      </c>
      <c r="G1858" s="301">
        <v>1702</v>
      </c>
      <c r="H1858" s="304">
        <f>Tabla13[[#This Row],[Importe]]-Tabla13[[#This Row],[Pagado]]</f>
        <v>0</v>
      </c>
      <c r="I1858" s="275" t="s">
        <v>15214</v>
      </c>
    </row>
    <row r="1859" spans="1:9" x14ac:dyDescent="0.25">
      <c r="A1859" s="299">
        <v>42962</v>
      </c>
      <c r="B1859" s="302" t="s">
        <v>25695</v>
      </c>
      <c r="C1859">
        <v>123831</v>
      </c>
      <c r="D1859" s="236" t="s">
        <v>5757</v>
      </c>
      <c r="E1859" s="301">
        <v>470</v>
      </c>
      <c r="F1859" s="303">
        <v>42962</v>
      </c>
      <c r="G1859" s="301">
        <v>470</v>
      </c>
      <c r="H1859" s="304">
        <f>Tabla13[[#This Row],[Importe]]-Tabla13[[#This Row],[Pagado]]</f>
        <v>0</v>
      </c>
      <c r="I1859" s="275" t="s">
        <v>15214</v>
      </c>
    </row>
    <row r="1860" spans="1:9" x14ac:dyDescent="0.25">
      <c r="A1860" s="299">
        <v>42962</v>
      </c>
      <c r="B1860" s="302" t="s">
        <v>25696</v>
      </c>
      <c r="C1860">
        <v>123832</v>
      </c>
      <c r="D1860" s="236" t="s">
        <v>15365</v>
      </c>
      <c r="E1860" s="301">
        <v>283024</v>
      </c>
      <c r="F1860" s="303">
        <v>42965</v>
      </c>
      <c r="G1860" s="301">
        <v>283024</v>
      </c>
      <c r="H1860" s="304">
        <f>Tabla13[[#This Row],[Importe]]-Tabla13[[#This Row],[Pagado]]</f>
        <v>0</v>
      </c>
      <c r="I1860" s="275" t="s">
        <v>15214</v>
      </c>
    </row>
    <row r="1861" spans="1:9" ht="30" x14ac:dyDescent="0.25">
      <c r="A1861" s="299">
        <v>44059</v>
      </c>
      <c r="B1861" s="302" t="s">
        <v>25697</v>
      </c>
      <c r="C1861">
        <v>123833</v>
      </c>
      <c r="D1861" s="236" t="s">
        <v>21386</v>
      </c>
      <c r="E1861" s="301">
        <v>10653.05</v>
      </c>
      <c r="F1861" s="303" t="s">
        <v>25698</v>
      </c>
      <c r="G1861" s="305">
        <f>10000+653.05</f>
        <v>10653.05</v>
      </c>
      <c r="H1861" s="304">
        <f>Tabla13[[#This Row],[Importe]]-Tabla13[[#This Row],[Pagado]]</f>
        <v>0</v>
      </c>
      <c r="I1861" s="275" t="s">
        <v>15214</v>
      </c>
    </row>
    <row r="1862" spans="1:9" x14ac:dyDescent="0.25">
      <c r="A1862" s="299">
        <v>44059</v>
      </c>
      <c r="B1862" s="302" t="s">
        <v>25699</v>
      </c>
      <c r="C1862">
        <v>123834</v>
      </c>
      <c r="D1862" s="236" t="s">
        <v>15213</v>
      </c>
      <c r="E1862" s="301">
        <v>41192.9</v>
      </c>
      <c r="F1862" s="303">
        <v>42964</v>
      </c>
      <c r="G1862" s="301">
        <v>41192.9</v>
      </c>
      <c r="H1862" s="304">
        <f>Tabla13[[#This Row],[Importe]]-Tabla13[[#This Row],[Pagado]]</f>
        <v>0</v>
      </c>
      <c r="I1862" s="275" t="s">
        <v>15214</v>
      </c>
    </row>
    <row r="1863" spans="1:9" x14ac:dyDescent="0.25">
      <c r="A1863" s="299">
        <v>44059</v>
      </c>
      <c r="B1863" s="302" t="s">
        <v>25700</v>
      </c>
      <c r="C1863">
        <v>123835</v>
      </c>
      <c r="D1863" s="236" t="s">
        <v>15330</v>
      </c>
      <c r="E1863" s="301">
        <v>4478.2</v>
      </c>
      <c r="F1863" s="303">
        <v>42963</v>
      </c>
      <c r="G1863" s="301">
        <v>4478.2</v>
      </c>
      <c r="H1863" s="304">
        <f>Tabla13[[#This Row],[Importe]]-Tabla13[[#This Row],[Pagado]]</f>
        <v>0</v>
      </c>
      <c r="I1863" s="275" t="s">
        <v>15214</v>
      </c>
    </row>
    <row r="1864" spans="1:9" ht="15.75" x14ac:dyDescent="0.25">
      <c r="A1864" s="299">
        <v>44059</v>
      </c>
      <c r="B1864" s="302" t="s">
        <v>25701</v>
      </c>
      <c r="C1864">
        <v>123836</v>
      </c>
      <c r="D1864" s="248" t="s">
        <v>95</v>
      </c>
      <c r="E1864" s="301">
        <v>0</v>
      </c>
      <c r="F1864" s="243" t="s">
        <v>95</v>
      </c>
      <c r="G1864" s="301">
        <v>0</v>
      </c>
      <c r="H1864" s="304">
        <f>Tabla13[[#This Row],[Importe]]-Tabla13[[#This Row],[Pagado]]</f>
        <v>0</v>
      </c>
      <c r="I1864" s="275" t="s">
        <v>95</v>
      </c>
    </row>
    <row r="1865" spans="1:9" x14ac:dyDescent="0.25">
      <c r="A1865" s="299">
        <v>44059</v>
      </c>
      <c r="B1865" s="302" t="s">
        <v>25702</v>
      </c>
      <c r="C1865">
        <v>123837</v>
      </c>
      <c r="D1865" s="236" t="s">
        <v>18544</v>
      </c>
      <c r="E1865" s="301">
        <v>8704.7999999999993</v>
      </c>
      <c r="F1865" s="303">
        <v>42963</v>
      </c>
      <c r="G1865" s="301">
        <v>8704.7999999999993</v>
      </c>
      <c r="H1865" s="304">
        <f>Tabla13[[#This Row],[Importe]]-Tabla13[[#This Row],[Pagado]]</f>
        <v>0</v>
      </c>
      <c r="I1865" s="275" t="s">
        <v>15214</v>
      </c>
    </row>
    <row r="1866" spans="1:9" x14ac:dyDescent="0.25">
      <c r="A1866" s="299">
        <v>44059</v>
      </c>
      <c r="B1866" s="302" t="s">
        <v>25703</v>
      </c>
      <c r="C1866">
        <v>123838</v>
      </c>
      <c r="D1866" s="236" t="s">
        <v>15242</v>
      </c>
      <c r="E1866" s="301">
        <v>4906.3</v>
      </c>
      <c r="F1866" s="303">
        <v>42963</v>
      </c>
      <c r="G1866" s="301">
        <v>4906.3</v>
      </c>
      <c r="H1866" s="304">
        <f>Tabla13[[#This Row],[Importe]]-Tabla13[[#This Row],[Pagado]]</f>
        <v>0</v>
      </c>
      <c r="I1866" s="275" t="s">
        <v>15214</v>
      </c>
    </row>
    <row r="1867" spans="1:9" x14ac:dyDescent="0.25">
      <c r="A1867" s="299">
        <v>44059</v>
      </c>
      <c r="B1867" s="302" t="s">
        <v>25704</v>
      </c>
      <c r="C1867">
        <v>123839</v>
      </c>
      <c r="D1867" s="236" t="s">
        <v>15230</v>
      </c>
      <c r="E1867" s="301">
        <v>10395.5</v>
      </c>
      <c r="F1867" s="303">
        <v>42965</v>
      </c>
      <c r="G1867" s="301">
        <v>10395.5</v>
      </c>
      <c r="H1867" s="304">
        <f>Tabla13[[#This Row],[Importe]]-Tabla13[[#This Row],[Pagado]]</f>
        <v>0</v>
      </c>
      <c r="I1867" s="275" t="s">
        <v>15214</v>
      </c>
    </row>
    <row r="1868" spans="1:9" x14ac:dyDescent="0.25">
      <c r="A1868" s="299">
        <v>44059</v>
      </c>
      <c r="B1868" s="302" t="s">
        <v>25705</v>
      </c>
      <c r="C1868">
        <v>123840</v>
      </c>
      <c r="D1868" s="236" t="s">
        <v>15232</v>
      </c>
      <c r="E1868" s="301">
        <v>3968.4</v>
      </c>
      <c r="F1868" s="303">
        <v>42971</v>
      </c>
      <c r="G1868" s="301">
        <v>3968.4</v>
      </c>
      <c r="H1868" s="304">
        <f>Tabla13[[#This Row],[Importe]]-Tabla13[[#This Row],[Pagado]]</f>
        <v>0</v>
      </c>
      <c r="I1868" s="275" t="s">
        <v>15214</v>
      </c>
    </row>
    <row r="1869" spans="1:9" x14ac:dyDescent="0.25">
      <c r="A1869" s="299">
        <v>44059</v>
      </c>
      <c r="B1869" s="302" t="s">
        <v>25706</v>
      </c>
      <c r="C1869">
        <v>123841</v>
      </c>
      <c r="D1869" s="236" t="s">
        <v>15272</v>
      </c>
      <c r="E1869" s="301">
        <v>16661</v>
      </c>
      <c r="F1869" s="303">
        <v>42963</v>
      </c>
      <c r="G1869" s="301">
        <v>16661</v>
      </c>
      <c r="H1869" s="304">
        <f>Tabla13[[#This Row],[Importe]]-Tabla13[[#This Row],[Pagado]]</f>
        <v>0</v>
      </c>
      <c r="I1869" s="275" t="s">
        <v>15214</v>
      </c>
    </row>
    <row r="1870" spans="1:9" x14ac:dyDescent="0.25">
      <c r="A1870" s="299">
        <v>44059</v>
      </c>
      <c r="B1870" s="302" t="s">
        <v>25707</v>
      </c>
      <c r="C1870">
        <v>123842</v>
      </c>
      <c r="D1870" s="236" t="s">
        <v>15226</v>
      </c>
      <c r="E1870" s="301">
        <v>2037.6</v>
      </c>
      <c r="F1870" s="303">
        <v>42968</v>
      </c>
      <c r="G1870" s="301">
        <v>2037.6</v>
      </c>
      <c r="H1870" s="304">
        <f>Tabla13[[#This Row],[Importe]]-Tabla13[[#This Row],[Pagado]]</f>
        <v>0</v>
      </c>
      <c r="I1870" s="275" t="s">
        <v>15214</v>
      </c>
    </row>
    <row r="1871" spans="1:9" x14ac:dyDescent="0.25">
      <c r="A1871" s="299">
        <v>44059</v>
      </c>
      <c r="B1871" s="302" t="s">
        <v>25708</v>
      </c>
      <c r="C1871">
        <v>123843</v>
      </c>
      <c r="D1871" s="236" t="s">
        <v>15220</v>
      </c>
      <c r="E1871" s="301">
        <v>2350</v>
      </c>
      <c r="F1871" s="303">
        <v>42963</v>
      </c>
      <c r="G1871" s="301">
        <v>2350</v>
      </c>
      <c r="H1871" s="304">
        <f>Tabla13[[#This Row],[Importe]]-Tabla13[[#This Row],[Pagado]]</f>
        <v>0</v>
      </c>
      <c r="I1871" s="275" t="s">
        <v>15214</v>
      </c>
    </row>
    <row r="1872" spans="1:9" x14ac:dyDescent="0.25">
      <c r="A1872" s="299">
        <v>44059</v>
      </c>
      <c r="B1872" s="302" t="s">
        <v>25709</v>
      </c>
      <c r="C1872">
        <v>123844</v>
      </c>
      <c r="D1872" s="236" t="s">
        <v>19302</v>
      </c>
      <c r="E1872" s="301">
        <v>940</v>
      </c>
      <c r="F1872" s="303">
        <v>42963</v>
      </c>
      <c r="G1872" s="301">
        <v>940</v>
      </c>
      <c r="H1872" s="304">
        <f>Tabla13[[#This Row],[Importe]]-Tabla13[[#This Row],[Pagado]]</f>
        <v>0</v>
      </c>
      <c r="I1872" s="275" t="s">
        <v>15214</v>
      </c>
    </row>
    <row r="1873" spans="1:9" x14ac:dyDescent="0.25">
      <c r="A1873" s="299">
        <v>44059</v>
      </c>
      <c r="B1873" s="302" t="s">
        <v>25710</v>
      </c>
      <c r="C1873">
        <v>123845</v>
      </c>
      <c r="D1873" s="236" t="s">
        <v>15523</v>
      </c>
      <c r="E1873" s="301">
        <v>2115</v>
      </c>
      <c r="F1873" s="303">
        <v>42963</v>
      </c>
      <c r="G1873" s="301">
        <v>2115</v>
      </c>
      <c r="H1873" s="304">
        <f>Tabla13[[#This Row],[Importe]]-Tabla13[[#This Row],[Pagado]]</f>
        <v>0</v>
      </c>
      <c r="I1873" s="275" t="s">
        <v>15214</v>
      </c>
    </row>
    <row r="1874" spans="1:9" x14ac:dyDescent="0.25">
      <c r="A1874" s="299">
        <v>44059</v>
      </c>
      <c r="B1874" s="302" t="s">
        <v>25711</v>
      </c>
      <c r="C1874">
        <v>123846</v>
      </c>
      <c r="D1874" s="236" t="s">
        <v>15858</v>
      </c>
      <c r="E1874" s="301">
        <v>3112.64</v>
      </c>
      <c r="F1874" s="303">
        <v>42963</v>
      </c>
      <c r="G1874" s="301">
        <v>3112.64</v>
      </c>
      <c r="H1874" s="304">
        <f>Tabla13[[#This Row],[Importe]]-Tabla13[[#This Row],[Pagado]]</f>
        <v>0</v>
      </c>
      <c r="I1874" s="275" t="s">
        <v>15214</v>
      </c>
    </row>
    <row r="1875" spans="1:9" x14ac:dyDescent="0.25">
      <c r="A1875" s="299">
        <v>44059</v>
      </c>
      <c r="B1875" s="302" t="s">
        <v>25712</v>
      </c>
      <c r="C1875">
        <v>123847</v>
      </c>
      <c r="D1875" s="236" t="s">
        <v>16171</v>
      </c>
      <c r="E1875" s="301">
        <v>1171.32</v>
      </c>
      <c r="F1875" s="303">
        <v>42963</v>
      </c>
      <c r="G1875" s="301">
        <v>1171.32</v>
      </c>
      <c r="H1875" s="304">
        <f>Tabla13[[#This Row],[Importe]]-Tabla13[[#This Row],[Pagado]]</f>
        <v>0</v>
      </c>
      <c r="I1875" s="275" t="s">
        <v>15214</v>
      </c>
    </row>
    <row r="1876" spans="1:9" x14ac:dyDescent="0.25">
      <c r="A1876" s="299">
        <v>44059</v>
      </c>
      <c r="B1876" s="302" t="s">
        <v>25713</v>
      </c>
      <c r="C1876">
        <v>123848</v>
      </c>
      <c r="D1876" s="236" t="s">
        <v>15234</v>
      </c>
      <c r="E1876" s="301">
        <v>3901</v>
      </c>
      <c r="F1876" s="303">
        <v>42966</v>
      </c>
      <c r="G1876" s="301">
        <v>3901</v>
      </c>
      <c r="H1876" s="304">
        <f>Tabla13[[#This Row],[Importe]]-Tabla13[[#This Row],[Pagado]]</f>
        <v>0</v>
      </c>
      <c r="I1876" s="275" t="s">
        <v>15214</v>
      </c>
    </row>
    <row r="1877" spans="1:9" ht="30" x14ac:dyDescent="0.25">
      <c r="A1877" s="299">
        <v>44059</v>
      </c>
      <c r="B1877" s="302" t="s">
        <v>25714</v>
      </c>
      <c r="C1877">
        <v>123849</v>
      </c>
      <c r="D1877" s="236" t="s">
        <v>15236</v>
      </c>
      <c r="E1877" s="301">
        <v>3776.5</v>
      </c>
      <c r="F1877" s="303" t="s">
        <v>25715</v>
      </c>
      <c r="G1877" s="305">
        <f>2000+1776.5</f>
        <v>3776.5</v>
      </c>
      <c r="H1877" s="304">
        <f>Tabla13[[#This Row],[Importe]]-Tabla13[[#This Row],[Pagado]]</f>
        <v>0</v>
      </c>
      <c r="I1877" s="275" t="s">
        <v>15214</v>
      </c>
    </row>
    <row r="1878" spans="1:9" ht="30" x14ac:dyDescent="0.25">
      <c r="A1878" s="299">
        <v>44059</v>
      </c>
      <c r="B1878" s="302" t="s">
        <v>25716</v>
      </c>
      <c r="C1878">
        <v>123850</v>
      </c>
      <c r="D1878" s="236" t="s">
        <v>15256</v>
      </c>
      <c r="E1878" s="301">
        <v>6751.2</v>
      </c>
      <c r="F1878" s="303" t="s">
        <v>25717</v>
      </c>
      <c r="G1878" s="305">
        <f>6024+727.2</f>
        <v>6751.2</v>
      </c>
      <c r="H1878" s="304">
        <f>Tabla13[[#This Row],[Importe]]-Tabla13[[#This Row],[Pagado]]</f>
        <v>0</v>
      </c>
      <c r="I1878" s="275" t="s">
        <v>15214</v>
      </c>
    </row>
    <row r="1879" spans="1:9" x14ac:dyDescent="0.25">
      <c r="A1879" s="299">
        <v>44059</v>
      </c>
      <c r="B1879" s="302" t="s">
        <v>25718</v>
      </c>
      <c r="C1879">
        <v>123851</v>
      </c>
      <c r="D1879" s="236" t="s">
        <v>5575</v>
      </c>
      <c r="E1879" s="301">
        <v>3618.8</v>
      </c>
      <c r="F1879" s="303">
        <v>42964</v>
      </c>
      <c r="G1879" s="301">
        <v>3618.8</v>
      </c>
      <c r="H1879" s="304">
        <f>Tabla13[[#This Row],[Importe]]-Tabla13[[#This Row],[Pagado]]</f>
        <v>0</v>
      </c>
      <c r="I1879" s="275" t="s">
        <v>15214</v>
      </c>
    </row>
    <row r="1880" spans="1:9" ht="30" x14ac:dyDescent="0.25">
      <c r="A1880" s="299">
        <v>44059</v>
      </c>
      <c r="B1880" s="302" t="s">
        <v>25719</v>
      </c>
      <c r="C1880">
        <v>123852</v>
      </c>
      <c r="D1880" s="236" t="s">
        <v>15480</v>
      </c>
      <c r="E1880" s="301">
        <v>3867.8</v>
      </c>
      <c r="F1880" s="303" t="s">
        <v>25717</v>
      </c>
      <c r="G1880" s="305">
        <f>2000+1867.8</f>
        <v>3867.8</v>
      </c>
      <c r="H1880" s="304">
        <f>Tabla13[[#This Row],[Importe]]-Tabla13[[#This Row],[Pagado]]</f>
        <v>0</v>
      </c>
      <c r="I1880" s="275" t="s">
        <v>15214</v>
      </c>
    </row>
    <row r="1881" spans="1:9" x14ac:dyDescent="0.25">
      <c r="A1881" s="299">
        <v>44059</v>
      </c>
      <c r="B1881" s="302" t="s">
        <v>25720</v>
      </c>
      <c r="C1881">
        <v>123853</v>
      </c>
      <c r="D1881" s="236" t="s">
        <v>15668</v>
      </c>
      <c r="E1881" s="301">
        <v>11678.1</v>
      </c>
      <c r="F1881" s="303">
        <v>42965</v>
      </c>
      <c r="G1881" s="301">
        <v>11678.1</v>
      </c>
      <c r="H1881" s="304">
        <f>Tabla13[[#This Row],[Importe]]-Tabla13[[#This Row],[Pagado]]</f>
        <v>0</v>
      </c>
      <c r="I1881" s="275" t="s">
        <v>15214</v>
      </c>
    </row>
    <row r="1882" spans="1:9" x14ac:dyDescent="0.25">
      <c r="A1882" s="299">
        <v>44059</v>
      </c>
      <c r="B1882" s="302" t="s">
        <v>25721</v>
      </c>
      <c r="C1882">
        <v>123854</v>
      </c>
      <c r="D1882" s="236" t="s">
        <v>15258</v>
      </c>
      <c r="E1882" s="301">
        <v>10765.1</v>
      </c>
      <c r="F1882" s="303">
        <v>42966</v>
      </c>
      <c r="G1882" s="301">
        <v>10765.1</v>
      </c>
      <c r="H1882" s="304">
        <f>Tabla13[[#This Row],[Importe]]-Tabla13[[#This Row],[Pagado]]</f>
        <v>0</v>
      </c>
      <c r="I1882" s="275" t="s">
        <v>15214</v>
      </c>
    </row>
    <row r="1883" spans="1:9" x14ac:dyDescent="0.25">
      <c r="A1883" s="299">
        <v>44059</v>
      </c>
      <c r="B1883" s="302" t="s">
        <v>25722</v>
      </c>
      <c r="C1883">
        <v>123855</v>
      </c>
      <c r="D1883" s="236" t="s">
        <v>15553</v>
      </c>
      <c r="E1883" s="301">
        <v>31029.57</v>
      </c>
      <c r="F1883" s="303">
        <v>42963</v>
      </c>
      <c r="G1883" s="301">
        <v>31029.57</v>
      </c>
      <c r="H1883" s="304">
        <f>Tabla13[[#This Row],[Importe]]-Tabla13[[#This Row],[Pagado]]</f>
        <v>0</v>
      </c>
      <c r="I1883" s="275" t="s">
        <v>15214</v>
      </c>
    </row>
    <row r="1884" spans="1:9" x14ac:dyDescent="0.25">
      <c r="A1884" s="299">
        <v>44059</v>
      </c>
      <c r="B1884" s="302" t="s">
        <v>25723</v>
      </c>
      <c r="C1884">
        <v>123856</v>
      </c>
      <c r="D1884" s="236" t="s">
        <v>15415</v>
      </c>
      <c r="E1884" s="301">
        <v>848</v>
      </c>
      <c r="F1884" s="303">
        <v>42964</v>
      </c>
      <c r="G1884" s="301">
        <v>848</v>
      </c>
      <c r="H1884" s="304">
        <f>Tabla13[[#This Row],[Importe]]-Tabla13[[#This Row],[Pagado]]</f>
        <v>0</v>
      </c>
      <c r="I1884" s="275" t="s">
        <v>15214</v>
      </c>
    </row>
    <row r="1885" spans="1:9" x14ac:dyDescent="0.25">
      <c r="A1885" s="299">
        <v>44059</v>
      </c>
      <c r="B1885" s="302" t="s">
        <v>25724</v>
      </c>
      <c r="C1885">
        <v>123857</v>
      </c>
      <c r="D1885" s="236" t="s">
        <v>15317</v>
      </c>
      <c r="E1885" s="301">
        <v>3313.8</v>
      </c>
      <c r="F1885" s="303">
        <v>42965</v>
      </c>
      <c r="G1885" s="301">
        <v>3313.8</v>
      </c>
      <c r="H1885" s="304">
        <f>Tabla13[[#This Row],[Importe]]-Tabla13[[#This Row],[Pagado]]</f>
        <v>0</v>
      </c>
      <c r="I1885" s="275" t="s">
        <v>15214</v>
      </c>
    </row>
    <row r="1886" spans="1:9" x14ac:dyDescent="0.25">
      <c r="A1886" s="299">
        <v>44059</v>
      </c>
      <c r="B1886" s="302" t="s">
        <v>25725</v>
      </c>
      <c r="C1886">
        <v>123858</v>
      </c>
      <c r="D1886" s="236" t="s">
        <v>15320</v>
      </c>
      <c r="E1886" s="301">
        <v>2596</v>
      </c>
      <c r="F1886" s="303">
        <v>42963</v>
      </c>
      <c r="G1886" s="301">
        <v>2596</v>
      </c>
      <c r="H1886" s="304">
        <f>Tabla13[[#This Row],[Importe]]-Tabla13[[#This Row],[Pagado]]</f>
        <v>0</v>
      </c>
      <c r="I1886" s="275" t="s">
        <v>15214</v>
      </c>
    </row>
    <row r="1887" spans="1:9" x14ac:dyDescent="0.25">
      <c r="A1887" s="299">
        <v>44059</v>
      </c>
      <c r="B1887" s="302" t="s">
        <v>25726</v>
      </c>
      <c r="C1887">
        <v>123859</v>
      </c>
      <c r="D1887" s="236" t="s">
        <v>15313</v>
      </c>
      <c r="E1887" s="301">
        <v>10934</v>
      </c>
      <c r="F1887" s="303">
        <v>42966</v>
      </c>
      <c r="G1887" s="301">
        <v>10934</v>
      </c>
      <c r="H1887" s="304">
        <f>Tabla13[[#This Row],[Importe]]-Tabla13[[#This Row],[Pagado]]</f>
        <v>0</v>
      </c>
      <c r="I1887" s="275" t="s">
        <v>15214</v>
      </c>
    </row>
    <row r="1888" spans="1:9" x14ac:dyDescent="0.25">
      <c r="A1888" s="299">
        <v>44059</v>
      </c>
      <c r="B1888" s="302" t="s">
        <v>25727</v>
      </c>
      <c r="C1888">
        <v>123860</v>
      </c>
      <c r="D1888" s="236" t="s">
        <v>15371</v>
      </c>
      <c r="E1888" s="301">
        <v>7146.8</v>
      </c>
      <c r="F1888" s="303">
        <v>42964</v>
      </c>
      <c r="G1888" s="301">
        <v>7146.8</v>
      </c>
      <c r="H1888" s="304">
        <f>Tabla13[[#This Row],[Importe]]-Tabla13[[#This Row],[Pagado]]</f>
        <v>0</v>
      </c>
      <c r="I1888" s="275" t="s">
        <v>15214</v>
      </c>
    </row>
    <row r="1889" spans="1:9" x14ac:dyDescent="0.25">
      <c r="A1889" s="299">
        <v>44059</v>
      </c>
      <c r="B1889" s="302" t="s">
        <v>25728</v>
      </c>
      <c r="C1889">
        <v>123861</v>
      </c>
      <c r="D1889" s="236" t="s">
        <v>15356</v>
      </c>
      <c r="E1889" s="301">
        <v>3601.8</v>
      </c>
      <c r="F1889" s="303" t="s">
        <v>25729</v>
      </c>
      <c r="G1889" s="301">
        <v>3601.8</v>
      </c>
      <c r="H1889" s="304">
        <f>Tabla13[[#This Row],[Importe]]-Tabla13[[#This Row],[Pagado]]</f>
        <v>0</v>
      </c>
      <c r="I1889" s="275" t="s">
        <v>15214</v>
      </c>
    </row>
    <row r="1890" spans="1:9" ht="15.75" x14ac:dyDescent="0.25">
      <c r="A1890" s="299">
        <v>44059</v>
      </c>
      <c r="B1890" s="302" t="s">
        <v>25730</v>
      </c>
      <c r="C1890">
        <v>123862</v>
      </c>
      <c r="D1890" s="248" t="s">
        <v>95</v>
      </c>
      <c r="E1890" s="301">
        <v>0</v>
      </c>
      <c r="F1890" s="243" t="s">
        <v>95</v>
      </c>
      <c r="G1890" s="301">
        <v>0</v>
      </c>
      <c r="H1890" s="304">
        <f>Tabla13[[#This Row],[Importe]]-Tabla13[[#This Row],[Pagado]]</f>
        <v>0</v>
      </c>
      <c r="I1890" s="275" t="s">
        <v>95</v>
      </c>
    </row>
    <row r="1891" spans="1:9" x14ac:dyDescent="0.25">
      <c r="A1891" s="299">
        <v>44059</v>
      </c>
      <c r="B1891" s="302" t="s">
        <v>25731</v>
      </c>
      <c r="C1891">
        <v>123863</v>
      </c>
      <c r="D1891" s="236" t="s">
        <v>15526</v>
      </c>
      <c r="E1891" s="301">
        <v>840</v>
      </c>
      <c r="F1891" s="303">
        <v>42963</v>
      </c>
      <c r="G1891" s="301">
        <v>840</v>
      </c>
      <c r="H1891" s="304">
        <f>Tabla13[[#This Row],[Importe]]-Tabla13[[#This Row],[Pagado]]</f>
        <v>0</v>
      </c>
      <c r="I1891" s="275" t="s">
        <v>15214</v>
      </c>
    </row>
    <row r="1892" spans="1:9" x14ac:dyDescent="0.25">
      <c r="A1892" s="299">
        <v>44059</v>
      </c>
      <c r="B1892" s="302" t="s">
        <v>25732</v>
      </c>
      <c r="C1892">
        <v>123864</v>
      </c>
      <c r="D1892" s="236" t="s">
        <v>15742</v>
      </c>
      <c r="E1892" s="301">
        <v>2143.1999999999998</v>
      </c>
      <c r="F1892" s="303">
        <v>42963</v>
      </c>
      <c r="G1892" s="301">
        <v>2143.1999999999998</v>
      </c>
      <c r="H1892" s="304">
        <f>Tabla13[[#This Row],[Importe]]-Tabla13[[#This Row],[Pagado]]</f>
        <v>0</v>
      </c>
      <c r="I1892" s="275" t="s">
        <v>15214</v>
      </c>
    </row>
    <row r="1893" spans="1:9" x14ac:dyDescent="0.25">
      <c r="A1893" s="299">
        <v>44059</v>
      </c>
      <c r="B1893" s="302" t="s">
        <v>25733</v>
      </c>
      <c r="C1893">
        <v>123865</v>
      </c>
      <c r="D1893" s="236" t="s">
        <v>15334</v>
      </c>
      <c r="E1893" s="301">
        <v>1765</v>
      </c>
      <c r="F1893" s="303">
        <v>42963</v>
      </c>
      <c r="G1893" s="301">
        <v>1765</v>
      </c>
      <c r="H1893" s="304">
        <f>Tabla13[[#This Row],[Importe]]-Tabla13[[#This Row],[Pagado]]</f>
        <v>0</v>
      </c>
      <c r="I1893" s="275" t="s">
        <v>15214</v>
      </c>
    </row>
    <row r="1894" spans="1:9" x14ac:dyDescent="0.25">
      <c r="A1894" s="299">
        <v>44059</v>
      </c>
      <c r="B1894" s="302" t="s">
        <v>25734</v>
      </c>
      <c r="C1894">
        <v>123866</v>
      </c>
      <c r="D1894" s="236" t="s">
        <v>15358</v>
      </c>
      <c r="E1894" s="301">
        <v>2106</v>
      </c>
      <c r="F1894" s="303">
        <v>42963</v>
      </c>
      <c r="G1894" s="301">
        <v>2106</v>
      </c>
      <c r="H1894" s="304">
        <f>Tabla13[[#This Row],[Importe]]-Tabla13[[#This Row],[Pagado]]</f>
        <v>0</v>
      </c>
      <c r="I1894" s="275" t="s">
        <v>15214</v>
      </c>
    </row>
    <row r="1895" spans="1:9" x14ac:dyDescent="0.25">
      <c r="A1895" s="299">
        <v>44059</v>
      </c>
      <c r="B1895" s="302" t="s">
        <v>25735</v>
      </c>
      <c r="C1895">
        <v>123867</v>
      </c>
      <c r="D1895" s="236" t="s">
        <v>16171</v>
      </c>
      <c r="E1895" s="301">
        <v>462.8</v>
      </c>
      <c r="F1895" s="303">
        <v>42963</v>
      </c>
      <c r="G1895" s="301">
        <v>462.8</v>
      </c>
      <c r="H1895" s="304">
        <f>Tabla13[[#This Row],[Importe]]-Tabla13[[#This Row],[Pagado]]</f>
        <v>0</v>
      </c>
      <c r="I1895" s="275" t="s">
        <v>15214</v>
      </c>
    </row>
    <row r="1896" spans="1:9" x14ac:dyDescent="0.25">
      <c r="A1896" s="299">
        <v>44059</v>
      </c>
      <c r="B1896" s="302" t="s">
        <v>25736</v>
      </c>
      <c r="C1896">
        <v>123868</v>
      </c>
      <c r="D1896" s="236" t="s">
        <v>15338</v>
      </c>
      <c r="E1896" s="301">
        <v>9038</v>
      </c>
      <c r="F1896" s="303">
        <v>42965</v>
      </c>
      <c r="G1896" s="301">
        <v>9038</v>
      </c>
      <c r="H1896" s="304">
        <f>Tabla13[[#This Row],[Importe]]-Tabla13[[#This Row],[Pagado]]</f>
        <v>0</v>
      </c>
      <c r="I1896" s="275" t="s">
        <v>15214</v>
      </c>
    </row>
    <row r="1897" spans="1:9" x14ac:dyDescent="0.25">
      <c r="A1897" s="299">
        <v>44059</v>
      </c>
      <c r="B1897" s="302" t="s">
        <v>25737</v>
      </c>
      <c r="C1897">
        <v>123869</v>
      </c>
      <c r="D1897" s="236" t="s">
        <v>15336</v>
      </c>
      <c r="E1897" s="301">
        <v>4347</v>
      </c>
      <c r="F1897" s="303">
        <v>42963</v>
      </c>
      <c r="G1897" s="301">
        <v>4347</v>
      </c>
      <c r="H1897" s="304">
        <f>Tabla13[[#This Row],[Importe]]-Tabla13[[#This Row],[Pagado]]</f>
        <v>0</v>
      </c>
      <c r="I1897" s="275" t="s">
        <v>15214</v>
      </c>
    </row>
    <row r="1898" spans="1:9" x14ac:dyDescent="0.25">
      <c r="A1898" s="299">
        <v>44059</v>
      </c>
      <c r="B1898" s="302" t="s">
        <v>25738</v>
      </c>
      <c r="C1898">
        <v>123870</v>
      </c>
      <c r="D1898" s="236" t="s">
        <v>15562</v>
      </c>
      <c r="E1898" s="301">
        <v>3650.4</v>
      </c>
      <c r="F1898" s="303">
        <v>42963</v>
      </c>
      <c r="G1898" s="301">
        <v>3650.4</v>
      </c>
      <c r="H1898" s="304">
        <f>Tabla13[[#This Row],[Importe]]-Tabla13[[#This Row],[Pagado]]</f>
        <v>0</v>
      </c>
      <c r="I1898" s="275" t="s">
        <v>15214</v>
      </c>
    </row>
    <row r="1899" spans="1:9" x14ac:dyDescent="0.25">
      <c r="A1899" s="299">
        <v>44059</v>
      </c>
      <c r="B1899" s="302" t="s">
        <v>25739</v>
      </c>
      <c r="C1899">
        <v>123871</v>
      </c>
      <c r="D1899" s="236" t="s">
        <v>15332</v>
      </c>
      <c r="E1899" s="301">
        <v>4361.6000000000004</v>
      </c>
      <c r="F1899" s="303">
        <v>42963</v>
      </c>
      <c r="G1899" s="301">
        <v>4361.6000000000004</v>
      </c>
      <c r="H1899" s="304">
        <f>Tabla13[[#This Row],[Importe]]-Tabla13[[#This Row],[Pagado]]</f>
        <v>0</v>
      </c>
      <c r="I1899" s="275" t="s">
        <v>15214</v>
      </c>
    </row>
    <row r="1900" spans="1:9" x14ac:dyDescent="0.25">
      <c r="A1900" s="299">
        <v>44059</v>
      </c>
      <c r="B1900" s="302" t="s">
        <v>25740</v>
      </c>
      <c r="C1900">
        <v>123872</v>
      </c>
      <c r="D1900" s="236" t="s">
        <v>15223</v>
      </c>
      <c r="E1900" s="301">
        <v>47575.199999999997</v>
      </c>
      <c r="F1900" s="266">
        <v>42984</v>
      </c>
      <c r="G1900" s="35">
        <v>47575.199999999997</v>
      </c>
      <c r="H1900" s="304">
        <f>Tabla13[[#This Row],[Importe]]-Tabla13[[#This Row],[Pagado]]</f>
        <v>0</v>
      </c>
      <c r="I1900" s="275" t="s">
        <v>15214</v>
      </c>
    </row>
    <row r="1901" spans="1:9" x14ac:dyDescent="0.25">
      <c r="A1901" s="299">
        <v>44059</v>
      </c>
      <c r="B1901" s="302" t="s">
        <v>25741</v>
      </c>
      <c r="C1901">
        <v>123873</v>
      </c>
      <c r="D1901" s="236" t="s">
        <v>15238</v>
      </c>
      <c r="E1901" s="301">
        <v>1060.8</v>
      </c>
      <c r="F1901" s="303">
        <v>42965</v>
      </c>
      <c r="G1901" s="301">
        <v>1060.8</v>
      </c>
      <c r="H1901" s="304">
        <f>Tabla13[[#This Row],[Importe]]-Tabla13[[#This Row],[Pagado]]</f>
        <v>0</v>
      </c>
      <c r="I1901" s="275" t="s">
        <v>15214</v>
      </c>
    </row>
    <row r="1902" spans="1:9" ht="15.75" x14ac:dyDescent="0.25">
      <c r="A1902" s="299">
        <v>44059</v>
      </c>
      <c r="B1902" s="302" t="s">
        <v>25742</v>
      </c>
      <c r="C1902">
        <v>123874</v>
      </c>
      <c r="D1902" s="248" t="s">
        <v>95</v>
      </c>
      <c r="E1902" s="301">
        <v>0</v>
      </c>
      <c r="F1902" s="243" t="s">
        <v>95</v>
      </c>
      <c r="G1902" s="301">
        <v>0</v>
      </c>
      <c r="H1902" s="304">
        <f>Tabla13[[#This Row],[Importe]]-Tabla13[[#This Row],[Pagado]]</f>
        <v>0</v>
      </c>
      <c r="I1902" s="275" t="s">
        <v>95</v>
      </c>
    </row>
    <row r="1903" spans="1:9" x14ac:dyDescent="0.25">
      <c r="A1903" s="299">
        <v>44059</v>
      </c>
      <c r="B1903" s="302" t="s">
        <v>25743</v>
      </c>
      <c r="C1903">
        <v>123875</v>
      </c>
      <c r="D1903" s="236" t="s">
        <v>17462</v>
      </c>
      <c r="E1903" s="301">
        <v>6065.2</v>
      </c>
      <c r="F1903" s="303">
        <v>42963</v>
      </c>
      <c r="G1903" s="301">
        <v>6065.2</v>
      </c>
      <c r="H1903" s="304">
        <f>Tabla13[[#This Row],[Importe]]-Tabla13[[#This Row],[Pagado]]</f>
        <v>0</v>
      </c>
      <c r="I1903" s="275" t="s">
        <v>15214</v>
      </c>
    </row>
    <row r="1904" spans="1:9" x14ac:dyDescent="0.25">
      <c r="A1904" s="299">
        <v>44059</v>
      </c>
      <c r="B1904" s="302" t="s">
        <v>25744</v>
      </c>
      <c r="C1904">
        <v>123876</v>
      </c>
      <c r="D1904" s="236" t="s">
        <v>5575</v>
      </c>
      <c r="E1904" s="301">
        <v>513.6</v>
      </c>
      <c r="F1904" s="303">
        <v>42965</v>
      </c>
      <c r="G1904" s="301">
        <v>513.6</v>
      </c>
      <c r="H1904" s="304">
        <f>Tabla13[[#This Row],[Importe]]-Tabla13[[#This Row],[Pagado]]</f>
        <v>0</v>
      </c>
      <c r="I1904" s="275" t="s">
        <v>15214</v>
      </c>
    </row>
    <row r="1905" spans="1:9" x14ac:dyDescent="0.25">
      <c r="A1905" s="299">
        <v>44059</v>
      </c>
      <c r="B1905" s="302" t="s">
        <v>25745</v>
      </c>
      <c r="C1905">
        <v>123877</v>
      </c>
      <c r="D1905" s="236" t="s">
        <v>16261</v>
      </c>
      <c r="E1905" s="301">
        <v>6577.35</v>
      </c>
      <c r="F1905" s="303">
        <v>42963</v>
      </c>
      <c r="G1905" s="301">
        <v>6577.35</v>
      </c>
      <c r="H1905" s="304">
        <f>Tabla13[[#This Row],[Importe]]-Tabla13[[#This Row],[Pagado]]</f>
        <v>0</v>
      </c>
      <c r="I1905" s="275" t="s">
        <v>15214</v>
      </c>
    </row>
    <row r="1906" spans="1:9" x14ac:dyDescent="0.25">
      <c r="A1906" s="299">
        <v>44059</v>
      </c>
      <c r="B1906" s="302" t="s">
        <v>25746</v>
      </c>
      <c r="C1906">
        <v>123878</v>
      </c>
      <c r="D1906" s="236" t="s">
        <v>15732</v>
      </c>
      <c r="E1906" s="301">
        <v>2608</v>
      </c>
      <c r="F1906" s="303">
        <v>42963</v>
      </c>
      <c r="G1906" s="301">
        <v>2608</v>
      </c>
      <c r="H1906" s="304">
        <f>Tabla13[[#This Row],[Importe]]-Tabla13[[#This Row],[Pagado]]</f>
        <v>0</v>
      </c>
      <c r="I1906" s="275" t="s">
        <v>15214</v>
      </c>
    </row>
    <row r="1907" spans="1:9" ht="45" x14ac:dyDescent="0.25">
      <c r="A1907" s="299">
        <v>44059</v>
      </c>
      <c r="B1907" s="302" t="s">
        <v>25747</v>
      </c>
      <c r="C1907">
        <v>123879</v>
      </c>
      <c r="D1907" s="236" t="s">
        <v>15228</v>
      </c>
      <c r="E1907" s="301">
        <v>32182.26</v>
      </c>
      <c r="F1907" s="303" t="s">
        <v>25748</v>
      </c>
      <c r="G1907" s="305">
        <f>3500+6500+12000+10182.26</f>
        <v>32182.260000000002</v>
      </c>
      <c r="H1907" s="304">
        <f>Tabla13[[#This Row],[Importe]]-Tabla13[[#This Row],[Pagado]]</f>
        <v>0</v>
      </c>
      <c r="I1907" s="275" t="s">
        <v>15214</v>
      </c>
    </row>
    <row r="1908" spans="1:9" x14ac:dyDescent="0.25">
      <c r="A1908" s="299">
        <v>44059</v>
      </c>
      <c r="B1908" s="302" t="s">
        <v>25749</v>
      </c>
      <c r="C1908">
        <v>123880</v>
      </c>
      <c r="D1908" s="236" t="s">
        <v>15348</v>
      </c>
      <c r="E1908" s="301">
        <v>964.6</v>
      </c>
      <c r="F1908" s="303">
        <v>42963</v>
      </c>
      <c r="G1908" s="301">
        <v>964.6</v>
      </c>
      <c r="H1908" s="304">
        <f>Tabla13[[#This Row],[Importe]]-Tabla13[[#This Row],[Pagado]]</f>
        <v>0</v>
      </c>
      <c r="I1908" s="275" t="s">
        <v>15214</v>
      </c>
    </row>
    <row r="1909" spans="1:9" x14ac:dyDescent="0.25">
      <c r="A1909" s="299">
        <v>44059</v>
      </c>
      <c r="B1909" s="302" t="s">
        <v>25750</v>
      </c>
      <c r="C1909">
        <v>123881</v>
      </c>
      <c r="D1909" s="236" t="s">
        <v>15315</v>
      </c>
      <c r="E1909" s="301">
        <v>7013.5</v>
      </c>
      <c r="F1909" s="303">
        <v>42963</v>
      </c>
      <c r="G1909" s="301">
        <v>7013.5</v>
      </c>
      <c r="H1909" s="304">
        <f>Tabla13[[#This Row],[Importe]]-Tabla13[[#This Row],[Pagado]]</f>
        <v>0</v>
      </c>
      <c r="I1909" s="275" t="s">
        <v>15214</v>
      </c>
    </row>
    <row r="1910" spans="1:9" x14ac:dyDescent="0.25">
      <c r="A1910" s="299">
        <v>44059</v>
      </c>
      <c r="B1910" s="302" t="s">
        <v>25751</v>
      </c>
      <c r="C1910">
        <v>123882</v>
      </c>
      <c r="D1910" s="236" t="s">
        <v>15240</v>
      </c>
      <c r="E1910" s="301">
        <v>3075.3</v>
      </c>
      <c r="F1910" s="303">
        <v>42964</v>
      </c>
      <c r="G1910" s="301">
        <v>3075.3</v>
      </c>
      <c r="H1910" s="304">
        <f>Tabla13[[#This Row],[Importe]]-Tabla13[[#This Row],[Pagado]]</f>
        <v>0</v>
      </c>
      <c r="I1910" s="275" t="s">
        <v>15214</v>
      </c>
    </row>
    <row r="1911" spans="1:9" x14ac:dyDescent="0.25">
      <c r="A1911" s="299">
        <v>44059</v>
      </c>
      <c r="B1911" s="302" t="s">
        <v>25752</v>
      </c>
      <c r="C1911">
        <v>123883</v>
      </c>
      <c r="D1911" s="236" t="s">
        <v>17210</v>
      </c>
      <c r="E1911" s="301">
        <v>3235.2</v>
      </c>
      <c r="F1911" s="303">
        <v>42963</v>
      </c>
      <c r="G1911" s="301">
        <v>3235.2</v>
      </c>
      <c r="H1911" s="304">
        <f>Tabla13[[#This Row],[Importe]]-Tabla13[[#This Row],[Pagado]]</f>
        <v>0</v>
      </c>
      <c r="I1911" s="275" t="s">
        <v>15214</v>
      </c>
    </row>
    <row r="1912" spans="1:9" x14ac:dyDescent="0.25">
      <c r="A1912" s="299">
        <v>44059</v>
      </c>
      <c r="B1912" s="302" t="s">
        <v>25753</v>
      </c>
      <c r="C1912">
        <v>123884</v>
      </c>
      <c r="D1912" s="236" t="s">
        <v>16116</v>
      </c>
      <c r="E1912" s="301">
        <v>26291.42</v>
      </c>
      <c r="F1912" s="303">
        <v>42963</v>
      </c>
      <c r="G1912" s="301">
        <v>26291.42</v>
      </c>
      <c r="H1912" s="304">
        <f>Tabla13[[#This Row],[Importe]]-Tabla13[[#This Row],[Pagado]]</f>
        <v>0</v>
      </c>
      <c r="I1912" s="275" t="s">
        <v>15214</v>
      </c>
    </row>
    <row r="1913" spans="1:9" x14ac:dyDescent="0.25">
      <c r="A1913" s="299">
        <v>44059</v>
      </c>
      <c r="B1913" s="302" t="s">
        <v>25754</v>
      </c>
      <c r="C1913">
        <v>123885</v>
      </c>
      <c r="D1913" s="236" t="s">
        <v>15248</v>
      </c>
      <c r="E1913" s="301">
        <v>16040</v>
      </c>
      <c r="F1913" s="303">
        <v>42963</v>
      </c>
      <c r="G1913" s="301">
        <v>16040</v>
      </c>
      <c r="H1913" s="304">
        <f>Tabla13[[#This Row],[Importe]]-Tabla13[[#This Row],[Pagado]]</f>
        <v>0</v>
      </c>
      <c r="I1913" s="275" t="s">
        <v>15214</v>
      </c>
    </row>
    <row r="1914" spans="1:9" x14ac:dyDescent="0.25">
      <c r="A1914" s="299">
        <v>44059</v>
      </c>
      <c r="B1914" s="302" t="s">
        <v>25755</v>
      </c>
      <c r="C1914">
        <v>123886</v>
      </c>
      <c r="D1914" s="236" t="s">
        <v>15539</v>
      </c>
      <c r="E1914" s="301">
        <v>17185.150000000001</v>
      </c>
      <c r="F1914" s="303">
        <v>42970</v>
      </c>
      <c r="G1914" s="301">
        <v>17185.150000000001</v>
      </c>
      <c r="H1914" s="304">
        <f>Tabla13[[#This Row],[Importe]]-Tabla13[[#This Row],[Pagado]]</f>
        <v>0</v>
      </c>
      <c r="I1914" s="275" t="s">
        <v>15214</v>
      </c>
    </row>
    <row r="1915" spans="1:9" x14ac:dyDescent="0.25">
      <c r="A1915" s="299">
        <v>44059</v>
      </c>
      <c r="B1915" s="302" t="s">
        <v>25756</v>
      </c>
      <c r="C1915">
        <v>123887</v>
      </c>
      <c r="D1915" s="236" t="s">
        <v>15324</v>
      </c>
      <c r="E1915" s="301">
        <v>2270</v>
      </c>
      <c r="F1915" s="303">
        <v>42963</v>
      </c>
      <c r="G1915" s="301">
        <v>2270</v>
      </c>
      <c r="H1915" s="304">
        <f>Tabla13[[#This Row],[Importe]]-Tabla13[[#This Row],[Pagado]]</f>
        <v>0</v>
      </c>
      <c r="I1915" s="275" t="s">
        <v>15214</v>
      </c>
    </row>
    <row r="1916" spans="1:9" x14ac:dyDescent="0.25">
      <c r="A1916" s="299">
        <v>44059</v>
      </c>
      <c r="B1916" s="302" t="s">
        <v>25757</v>
      </c>
      <c r="C1916">
        <v>123888</v>
      </c>
      <c r="D1916" s="236" t="s">
        <v>15537</v>
      </c>
      <c r="E1916" s="301">
        <v>17322.099999999999</v>
      </c>
      <c r="F1916" s="303">
        <v>42970</v>
      </c>
      <c r="G1916" s="301">
        <v>17322.099999999999</v>
      </c>
      <c r="H1916" s="304">
        <f>Tabla13[[#This Row],[Importe]]-Tabla13[[#This Row],[Pagado]]</f>
        <v>0</v>
      </c>
      <c r="I1916" s="275" t="s">
        <v>15214</v>
      </c>
    </row>
    <row r="1917" spans="1:9" x14ac:dyDescent="0.25">
      <c r="A1917" s="299">
        <v>44059</v>
      </c>
      <c r="B1917" s="302" t="s">
        <v>25758</v>
      </c>
      <c r="C1917">
        <v>123889</v>
      </c>
      <c r="D1917" s="236" t="s">
        <v>15544</v>
      </c>
      <c r="E1917" s="301">
        <v>3631.25</v>
      </c>
      <c r="F1917" s="303">
        <v>42970</v>
      </c>
      <c r="G1917" s="301">
        <v>3631.25</v>
      </c>
      <c r="H1917" s="304">
        <f>Tabla13[[#This Row],[Importe]]-Tabla13[[#This Row],[Pagado]]</f>
        <v>0</v>
      </c>
      <c r="I1917" s="275" t="s">
        <v>15214</v>
      </c>
    </row>
    <row r="1918" spans="1:9" x14ac:dyDescent="0.25">
      <c r="A1918" s="299">
        <v>44059</v>
      </c>
      <c r="B1918" s="302" t="s">
        <v>25759</v>
      </c>
      <c r="C1918">
        <v>123890</v>
      </c>
      <c r="D1918" s="236" t="s">
        <v>15315</v>
      </c>
      <c r="E1918" s="301">
        <v>3788.95</v>
      </c>
      <c r="F1918" s="303">
        <v>42964</v>
      </c>
      <c r="G1918" s="301">
        <v>3788.95</v>
      </c>
      <c r="H1918" s="304">
        <f>Tabla13[[#This Row],[Importe]]-Tabla13[[#This Row],[Pagado]]</f>
        <v>0</v>
      </c>
      <c r="I1918" s="275" t="s">
        <v>15214</v>
      </c>
    </row>
    <row r="1919" spans="1:9" ht="30" x14ac:dyDescent="0.25">
      <c r="A1919" s="299">
        <v>44059</v>
      </c>
      <c r="B1919" s="302" t="s">
        <v>25760</v>
      </c>
      <c r="C1919">
        <v>123891</v>
      </c>
      <c r="D1919" s="236" t="s">
        <v>15394</v>
      </c>
      <c r="E1919" s="301">
        <v>23982.400000000001</v>
      </c>
      <c r="F1919" s="303" t="s">
        <v>25761</v>
      </c>
      <c r="G1919" s="305">
        <f>7982.4+16000</f>
        <v>23982.400000000001</v>
      </c>
      <c r="H1919" s="304">
        <f>Tabla13[[#This Row],[Importe]]-Tabla13[[#This Row],[Pagado]]</f>
        <v>0</v>
      </c>
      <c r="I1919" s="275" t="s">
        <v>15214</v>
      </c>
    </row>
    <row r="1920" spans="1:9" x14ac:dyDescent="0.25">
      <c r="A1920" s="299">
        <v>44059</v>
      </c>
      <c r="B1920" s="302" t="s">
        <v>25762</v>
      </c>
      <c r="C1920">
        <v>123892</v>
      </c>
      <c r="D1920" s="236" t="s">
        <v>15373</v>
      </c>
      <c r="E1920" s="301">
        <v>10313.200000000001</v>
      </c>
      <c r="F1920" s="303">
        <v>42966</v>
      </c>
      <c r="G1920" s="301">
        <v>10313.200000000001</v>
      </c>
      <c r="H1920" s="304">
        <f>Tabla13[[#This Row],[Importe]]-Tabla13[[#This Row],[Pagado]]</f>
        <v>0</v>
      </c>
      <c r="I1920" s="275" t="s">
        <v>15214</v>
      </c>
    </row>
    <row r="1921" spans="1:9" x14ac:dyDescent="0.25">
      <c r="A1921" s="299">
        <v>44059</v>
      </c>
      <c r="B1921" s="302" t="s">
        <v>25763</v>
      </c>
      <c r="C1921">
        <v>123893</v>
      </c>
      <c r="D1921" s="236" t="s">
        <v>19684</v>
      </c>
      <c r="E1921" s="301">
        <v>6732</v>
      </c>
      <c r="F1921" s="303">
        <v>42966</v>
      </c>
      <c r="G1921" s="301">
        <v>6732</v>
      </c>
      <c r="H1921" s="304">
        <f>Tabla13[[#This Row],[Importe]]-Tabla13[[#This Row],[Pagado]]</f>
        <v>0</v>
      </c>
      <c r="I1921" s="275" t="s">
        <v>15214</v>
      </c>
    </row>
    <row r="1922" spans="1:9" x14ac:dyDescent="0.25">
      <c r="A1922" s="299">
        <v>44059</v>
      </c>
      <c r="B1922" s="302" t="s">
        <v>25764</v>
      </c>
      <c r="C1922">
        <v>123894</v>
      </c>
      <c r="D1922" s="236" t="s">
        <v>19775</v>
      </c>
      <c r="E1922" s="301">
        <v>6727.2</v>
      </c>
      <c r="F1922" s="303">
        <v>42963</v>
      </c>
      <c r="G1922" s="301">
        <v>6727.2</v>
      </c>
      <c r="H1922" s="304">
        <f>Tabla13[[#This Row],[Importe]]-Tabla13[[#This Row],[Pagado]]</f>
        <v>0</v>
      </c>
      <c r="I1922" s="275" t="s">
        <v>15214</v>
      </c>
    </row>
    <row r="1923" spans="1:9" ht="30" x14ac:dyDescent="0.25">
      <c r="A1923" s="299">
        <v>44059</v>
      </c>
      <c r="B1923" s="302" t="s">
        <v>25765</v>
      </c>
      <c r="C1923">
        <v>123895</v>
      </c>
      <c r="D1923" s="236" t="s">
        <v>15315</v>
      </c>
      <c r="E1923" s="301">
        <v>1021.2</v>
      </c>
      <c r="F1923" s="303" t="s">
        <v>25448</v>
      </c>
      <c r="G1923" s="305">
        <f>685.2+336</f>
        <v>1021.2</v>
      </c>
      <c r="H1923" s="304">
        <f>Tabla13[[#This Row],[Importe]]-Tabla13[[#This Row],[Pagado]]</f>
        <v>0</v>
      </c>
      <c r="I1923" s="275" t="s">
        <v>15214</v>
      </c>
    </row>
    <row r="1924" spans="1:9" x14ac:dyDescent="0.25">
      <c r="A1924" s="299">
        <v>44059</v>
      </c>
      <c r="B1924" s="302" t="s">
        <v>25766</v>
      </c>
      <c r="C1924">
        <v>123896</v>
      </c>
      <c r="D1924" s="236" t="s">
        <v>15555</v>
      </c>
      <c r="E1924" s="301">
        <v>5073.3999999999996</v>
      </c>
      <c r="F1924" s="303">
        <v>42977</v>
      </c>
      <c r="G1924" s="301">
        <v>5073.3999999999996</v>
      </c>
      <c r="H1924" s="304">
        <f>Tabla13[[#This Row],[Importe]]-Tabla13[[#This Row],[Pagado]]</f>
        <v>0</v>
      </c>
      <c r="I1924" s="275" t="s">
        <v>15214</v>
      </c>
    </row>
    <row r="1925" spans="1:9" x14ac:dyDescent="0.25">
      <c r="A1925" s="299">
        <v>44059</v>
      </c>
      <c r="B1925" s="302" t="s">
        <v>25767</v>
      </c>
      <c r="C1925">
        <v>123897</v>
      </c>
      <c r="D1925" s="236" t="s">
        <v>18258</v>
      </c>
      <c r="E1925" s="301">
        <v>7378</v>
      </c>
      <c r="F1925" s="303">
        <v>42963</v>
      </c>
      <c r="G1925" s="301">
        <v>7378</v>
      </c>
      <c r="H1925" s="304">
        <f>Tabla13[[#This Row],[Importe]]-Tabla13[[#This Row],[Pagado]]</f>
        <v>0</v>
      </c>
      <c r="I1925" s="275" t="s">
        <v>15214</v>
      </c>
    </row>
    <row r="1926" spans="1:9" x14ac:dyDescent="0.25">
      <c r="A1926" s="299">
        <v>44059</v>
      </c>
      <c r="B1926" s="302" t="s">
        <v>25768</v>
      </c>
      <c r="C1926">
        <v>123898</v>
      </c>
      <c r="D1926" s="236" t="s">
        <v>15549</v>
      </c>
      <c r="E1926" s="301">
        <v>9762</v>
      </c>
      <c r="F1926" s="303">
        <v>42965</v>
      </c>
      <c r="G1926" s="301">
        <v>9762</v>
      </c>
      <c r="H1926" s="304">
        <f>Tabla13[[#This Row],[Importe]]-Tabla13[[#This Row],[Pagado]]</f>
        <v>0</v>
      </c>
      <c r="I1926" s="275" t="s">
        <v>15214</v>
      </c>
    </row>
    <row r="1927" spans="1:9" x14ac:dyDescent="0.25">
      <c r="A1927" s="299">
        <v>44059</v>
      </c>
      <c r="B1927" s="302" t="s">
        <v>25769</v>
      </c>
      <c r="C1927">
        <v>123899</v>
      </c>
      <c r="D1927" s="236" t="s">
        <v>15252</v>
      </c>
      <c r="E1927" s="301">
        <v>4367.3</v>
      </c>
      <c r="F1927" s="303">
        <v>42968</v>
      </c>
      <c r="G1927" s="301">
        <v>4367.3</v>
      </c>
      <c r="H1927" s="304">
        <f>Tabla13[[#This Row],[Importe]]-Tabla13[[#This Row],[Pagado]]</f>
        <v>0</v>
      </c>
      <c r="I1927" s="275" t="s">
        <v>15214</v>
      </c>
    </row>
    <row r="1928" spans="1:9" x14ac:dyDescent="0.25">
      <c r="A1928" s="299">
        <v>44059</v>
      </c>
      <c r="B1928" s="302" t="s">
        <v>25770</v>
      </c>
      <c r="C1928">
        <v>123900</v>
      </c>
      <c r="D1928" s="236" t="s">
        <v>15655</v>
      </c>
      <c r="E1928" s="301">
        <v>7175.7</v>
      </c>
      <c r="F1928" s="303">
        <v>42963</v>
      </c>
      <c r="G1928" s="301">
        <v>7175.7</v>
      </c>
      <c r="H1928" s="304">
        <f>Tabla13[[#This Row],[Importe]]-Tabla13[[#This Row],[Pagado]]</f>
        <v>0</v>
      </c>
      <c r="I1928" s="275" t="s">
        <v>15214</v>
      </c>
    </row>
    <row r="1929" spans="1:9" x14ac:dyDescent="0.25">
      <c r="A1929" s="299">
        <v>44059</v>
      </c>
      <c r="B1929" s="302" t="s">
        <v>25771</v>
      </c>
      <c r="C1929">
        <v>123901</v>
      </c>
      <c r="D1929" s="236" t="s">
        <v>23937</v>
      </c>
      <c r="E1929" s="301">
        <v>3265</v>
      </c>
      <c r="F1929" s="303">
        <v>42965</v>
      </c>
      <c r="G1929" s="301">
        <v>3265</v>
      </c>
      <c r="H1929" s="304">
        <f>Tabla13[[#This Row],[Importe]]-Tabla13[[#This Row],[Pagado]]</f>
        <v>0</v>
      </c>
      <c r="I1929" s="275" t="s">
        <v>15214</v>
      </c>
    </row>
    <row r="1930" spans="1:9" x14ac:dyDescent="0.25">
      <c r="A1930" s="299">
        <v>44059</v>
      </c>
      <c r="B1930" s="302" t="s">
        <v>25772</v>
      </c>
      <c r="C1930">
        <v>123902</v>
      </c>
      <c r="D1930" s="236" t="s">
        <v>15549</v>
      </c>
      <c r="E1930" s="301">
        <v>174.8</v>
      </c>
      <c r="F1930" s="303">
        <v>42965</v>
      </c>
      <c r="G1930" s="301">
        <v>174.8</v>
      </c>
      <c r="H1930" s="304">
        <f>Tabla13[[#This Row],[Importe]]-Tabla13[[#This Row],[Pagado]]</f>
        <v>0</v>
      </c>
      <c r="I1930" s="275" t="s">
        <v>15214</v>
      </c>
    </row>
    <row r="1931" spans="1:9" x14ac:dyDescent="0.25">
      <c r="A1931" s="299">
        <v>44059</v>
      </c>
      <c r="B1931" s="302" t="s">
        <v>25773</v>
      </c>
      <c r="C1931">
        <v>123903</v>
      </c>
      <c r="D1931" s="236" t="s">
        <v>15244</v>
      </c>
      <c r="E1931" s="301">
        <v>7457.55</v>
      </c>
      <c r="F1931" s="303">
        <v>42963</v>
      </c>
      <c r="G1931" s="301">
        <v>7457.55</v>
      </c>
      <c r="H1931" s="304">
        <f>Tabla13[[#This Row],[Importe]]-Tabla13[[#This Row],[Pagado]]</f>
        <v>0</v>
      </c>
      <c r="I1931" s="275" t="s">
        <v>15214</v>
      </c>
    </row>
    <row r="1932" spans="1:9" x14ac:dyDescent="0.25">
      <c r="A1932" s="299">
        <v>44059</v>
      </c>
      <c r="B1932" s="302" t="s">
        <v>25774</v>
      </c>
      <c r="C1932">
        <v>123904</v>
      </c>
      <c r="D1932" s="236" t="s">
        <v>15444</v>
      </c>
      <c r="E1932" s="301">
        <v>3901.6</v>
      </c>
      <c r="F1932" s="303">
        <v>42963</v>
      </c>
      <c r="G1932" s="301">
        <v>3901.6</v>
      </c>
      <c r="H1932" s="304">
        <f>Tabla13[[#This Row],[Importe]]-Tabla13[[#This Row],[Pagado]]</f>
        <v>0</v>
      </c>
      <c r="I1932" s="275" t="s">
        <v>15214</v>
      </c>
    </row>
    <row r="1933" spans="1:9" x14ac:dyDescent="0.25">
      <c r="A1933" s="299">
        <v>44059</v>
      </c>
      <c r="B1933" s="302" t="s">
        <v>25775</v>
      </c>
      <c r="C1933">
        <v>123905</v>
      </c>
      <c r="D1933" s="236" t="s">
        <v>15254</v>
      </c>
      <c r="E1933" s="301">
        <v>21462.12</v>
      </c>
      <c r="F1933" s="303">
        <v>42963</v>
      </c>
      <c r="G1933" s="301">
        <v>21462.12</v>
      </c>
      <c r="H1933" s="304">
        <f>Tabla13[[#This Row],[Importe]]-Tabla13[[#This Row],[Pagado]]</f>
        <v>0</v>
      </c>
      <c r="I1933" s="275" t="s">
        <v>15214</v>
      </c>
    </row>
    <row r="1934" spans="1:9" x14ac:dyDescent="0.25">
      <c r="A1934" s="299">
        <v>44059</v>
      </c>
      <c r="B1934" s="302" t="s">
        <v>25776</v>
      </c>
      <c r="C1934">
        <v>123906</v>
      </c>
      <c r="D1934" s="236" t="s">
        <v>15380</v>
      </c>
      <c r="E1934" s="301">
        <v>33226.449999999997</v>
      </c>
      <c r="F1934" s="266">
        <v>42980</v>
      </c>
      <c r="G1934" s="35">
        <v>33226.449999999997</v>
      </c>
      <c r="H1934" s="304">
        <f>Tabla13[[#This Row],[Importe]]-Tabla13[[#This Row],[Pagado]]</f>
        <v>0</v>
      </c>
      <c r="I1934" s="275" t="s">
        <v>15214</v>
      </c>
    </row>
    <row r="1935" spans="1:9" ht="15.75" x14ac:dyDescent="0.25">
      <c r="A1935" s="299">
        <v>44059</v>
      </c>
      <c r="B1935" s="302" t="s">
        <v>25777</v>
      </c>
      <c r="C1935">
        <v>123907</v>
      </c>
      <c r="D1935" s="248" t="s">
        <v>95</v>
      </c>
      <c r="E1935" s="301">
        <v>0</v>
      </c>
      <c r="F1935" s="243" t="s">
        <v>95</v>
      </c>
      <c r="G1935" s="301">
        <v>0</v>
      </c>
      <c r="H1935" s="304">
        <f>Tabla13[[#This Row],[Importe]]-Tabla13[[#This Row],[Pagado]]</f>
        <v>0</v>
      </c>
      <c r="I1935" s="275" t="s">
        <v>95</v>
      </c>
    </row>
    <row r="1936" spans="1:9" x14ac:dyDescent="0.25">
      <c r="A1936" s="299">
        <v>44059</v>
      </c>
      <c r="B1936" s="302" t="s">
        <v>25778</v>
      </c>
      <c r="C1936">
        <v>123908</v>
      </c>
      <c r="D1936" s="236" t="s">
        <v>19773</v>
      </c>
      <c r="E1936" s="301">
        <v>4892.6000000000004</v>
      </c>
      <c r="F1936" s="266">
        <v>42993</v>
      </c>
      <c r="G1936" s="35">
        <v>4892.6000000000004</v>
      </c>
      <c r="H1936" s="304">
        <f>Tabla13[[#This Row],[Importe]]-Tabla13[[#This Row],[Pagado]]</f>
        <v>0</v>
      </c>
      <c r="I1936" s="275" t="s">
        <v>15214</v>
      </c>
    </row>
    <row r="1937" spans="1:9" x14ac:dyDescent="0.25">
      <c r="A1937" s="299">
        <v>44059</v>
      </c>
      <c r="B1937" s="302" t="s">
        <v>25779</v>
      </c>
      <c r="C1937">
        <v>123909</v>
      </c>
      <c r="D1937" s="236" t="s">
        <v>15389</v>
      </c>
      <c r="E1937" s="301">
        <v>5745.8</v>
      </c>
      <c r="F1937" s="303">
        <v>42972</v>
      </c>
      <c r="G1937" s="301">
        <v>5745.8</v>
      </c>
      <c r="H1937" s="304">
        <f>Tabla13[[#This Row],[Importe]]-Tabla13[[#This Row],[Pagado]]</f>
        <v>0</v>
      </c>
      <c r="I1937" s="275" t="s">
        <v>15214</v>
      </c>
    </row>
    <row r="1938" spans="1:9" x14ac:dyDescent="0.25">
      <c r="A1938" s="299">
        <v>44059</v>
      </c>
      <c r="B1938" s="302" t="s">
        <v>25780</v>
      </c>
      <c r="C1938">
        <v>123910</v>
      </c>
      <c r="D1938" s="236" t="s">
        <v>15530</v>
      </c>
      <c r="E1938" s="301">
        <v>3878.1</v>
      </c>
      <c r="F1938" s="303">
        <v>42963</v>
      </c>
      <c r="G1938" s="301">
        <v>3878.1</v>
      </c>
      <c r="H1938" s="304">
        <f>Tabla13[[#This Row],[Importe]]-Tabla13[[#This Row],[Pagado]]</f>
        <v>0</v>
      </c>
      <c r="I1938" s="275" t="s">
        <v>15214</v>
      </c>
    </row>
    <row r="1939" spans="1:9" x14ac:dyDescent="0.25">
      <c r="A1939" s="299">
        <v>44059</v>
      </c>
      <c r="B1939" s="302" t="s">
        <v>25781</v>
      </c>
      <c r="C1939">
        <v>123911</v>
      </c>
      <c r="D1939" s="236" t="s">
        <v>15530</v>
      </c>
      <c r="E1939" s="301">
        <v>399</v>
      </c>
      <c r="F1939" s="303">
        <v>42963</v>
      </c>
      <c r="G1939" s="301">
        <v>399</v>
      </c>
      <c r="H1939" s="304">
        <f>Tabla13[[#This Row],[Importe]]-Tabla13[[#This Row],[Pagado]]</f>
        <v>0</v>
      </c>
      <c r="I1939" s="275" t="s">
        <v>15214</v>
      </c>
    </row>
    <row r="1940" spans="1:9" x14ac:dyDescent="0.25">
      <c r="A1940" s="299">
        <v>44059</v>
      </c>
      <c r="B1940" s="302" t="s">
        <v>25782</v>
      </c>
      <c r="C1940">
        <v>123912</v>
      </c>
      <c r="D1940" s="236" t="s">
        <v>15510</v>
      </c>
      <c r="E1940" s="301">
        <v>17531.599999999999</v>
      </c>
      <c r="F1940" s="303">
        <v>42963</v>
      </c>
      <c r="G1940" s="301">
        <v>17531.599999999999</v>
      </c>
      <c r="H1940" s="304">
        <f>Tabla13[[#This Row],[Importe]]-Tabla13[[#This Row],[Pagado]]</f>
        <v>0</v>
      </c>
      <c r="I1940" s="275" t="s">
        <v>15214</v>
      </c>
    </row>
    <row r="1941" spans="1:9" x14ac:dyDescent="0.25">
      <c r="A1941" s="299">
        <v>44059</v>
      </c>
      <c r="B1941" s="302" t="s">
        <v>25783</v>
      </c>
      <c r="C1941">
        <v>123913</v>
      </c>
      <c r="D1941" s="236" t="s">
        <v>15382</v>
      </c>
      <c r="E1941" s="301">
        <v>11293.3</v>
      </c>
      <c r="F1941" s="303">
        <v>42972</v>
      </c>
      <c r="G1941" s="301">
        <v>11293.3</v>
      </c>
      <c r="H1941" s="304">
        <f>Tabla13[[#This Row],[Importe]]-Tabla13[[#This Row],[Pagado]]</f>
        <v>0</v>
      </c>
      <c r="I1941" s="275" t="s">
        <v>15214</v>
      </c>
    </row>
    <row r="1942" spans="1:9" x14ac:dyDescent="0.25">
      <c r="A1942" s="299">
        <v>44059</v>
      </c>
      <c r="B1942" s="302" t="s">
        <v>25784</v>
      </c>
      <c r="C1942">
        <v>123914</v>
      </c>
      <c r="D1942" s="236" t="s">
        <v>15378</v>
      </c>
      <c r="E1942" s="301">
        <v>1966.8</v>
      </c>
      <c r="F1942" s="303">
        <v>42963</v>
      </c>
      <c r="G1942" s="301">
        <v>1966.8</v>
      </c>
      <c r="H1942" s="304">
        <f>Tabla13[[#This Row],[Importe]]-Tabla13[[#This Row],[Pagado]]</f>
        <v>0</v>
      </c>
      <c r="I1942" s="275" t="s">
        <v>15214</v>
      </c>
    </row>
    <row r="1943" spans="1:9" x14ac:dyDescent="0.25">
      <c r="A1943" s="299">
        <v>44059</v>
      </c>
      <c r="B1943" s="302" t="s">
        <v>25785</v>
      </c>
      <c r="C1943">
        <v>123915</v>
      </c>
      <c r="D1943" s="236" t="s">
        <v>15315</v>
      </c>
      <c r="E1943" s="301">
        <v>1804.8</v>
      </c>
      <c r="F1943" s="303">
        <v>42963</v>
      </c>
      <c r="G1943" s="301">
        <v>1804.8</v>
      </c>
      <c r="H1943" s="304">
        <f>Tabla13[[#This Row],[Importe]]-Tabla13[[#This Row],[Pagado]]</f>
        <v>0</v>
      </c>
      <c r="I1943" s="275" t="s">
        <v>15214</v>
      </c>
    </row>
    <row r="1944" spans="1:9" x14ac:dyDescent="0.25">
      <c r="A1944" s="299">
        <v>44059</v>
      </c>
      <c r="B1944" s="302" t="s">
        <v>25786</v>
      </c>
      <c r="C1944">
        <v>123916</v>
      </c>
      <c r="D1944" s="236" t="s">
        <v>15369</v>
      </c>
      <c r="E1944" s="301">
        <v>19755.8</v>
      </c>
      <c r="F1944" s="303">
        <v>42972</v>
      </c>
      <c r="G1944" s="301">
        <v>19755.8</v>
      </c>
      <c r="H1944" s="304">
        <f>Tabla13[[#This Row],[Importe]]-Tabla13[[#This Row],[Pagado]]</f>
        <v>0</v>
      </c>
      <c r="I1944" s="275" t="s">
        <v>15214</v>
      </c>
    </row>
    <row r="1945" spans="1:9" x14ac:dyDescent="0.25">
      <c r="A1945" s="299">
        <v>44059</v>
      </c>
      <c r="B1945" s="302" t="s">
        <v>25787</v>
      </c>
      <c r="C1945">
        <v>123917</v>
      </c>
      <c r="D1945" s="236" t="s">
        <v>15665</v>
      </c>
      <c r="E1945" s="301">
        <v>687.6</v>
      </c>
      <c r="F1945" s="303">
        <v>42963</v>
      </c>
      <c r="G1945" s="301">
        <v>687.6</v>
      </c>
      <c r="H1945" s="304">
        <f>Tabla13[[#This Row],[Importe]]-Tabla13[[#This Row],[Pagado]]</f>
        <v>0</v>
      </c>
      <c r="I1945" s="275" t="s">
        <v>15214</v>
      </c>
    </row>
    <row r="1946" spans="1:9" x14ac:dyDescent="0.25">
      <c r="A1946" s="299">
        <v>44059</v>
      </c>
      <c r="B1946" s="302" t="s">
        <v>25788</v>
      </c>
      <c r="C1946">
        <v>123918</v>
      </c>
      <c r="D1946" s="236" t="s">
        <v>15315</v>
      </c>
      <c r="E1946" s="301">
        <v>358.4</v>
      </c>
      <c r="F1946" s="303">
        <v>42963</v>
      </c>
      <c r="G1946" s="301">
        <v>358.4</v>
      </c>
      <c r="H1946" s="304">
        <f>Tabla13[[#This Row],[Importe]]-Tabla13[[#This Row],[Pagado]]</f>
        <v>0</v>
      </c>
      <c r="I1946" s="275" t="s">
        <v>15214</v>
      </c>
    </row>
    <row r="1947" spans="1:9" x14ac:dyDescent="0.25">
      <c r="A1947" s="299">
        <v>44059</v>
      </c>
      <c r="B1947" s="302" t="s">
        <v>25789</v>
      </c>
      <c r="C1947">
        <v>123919</v>
      </c>
      <c r="D1947" s="236" t="s">
        <v>16064</v>
      </c>
      <c r="E1947" s="301">
        <v>2896.8</v>
      </c>
      <c r="F1947" s="303">
        <v>42963</v>
      </c>
      <c r="G1947" s="301">
        <v>2896.8</v>
      </c>
      <c r="H1947" s="304">
        <f>Tabla13[[#This Row],[Importe]]-Tabla13[[#This Row],[Pagado]]</f>
        <v>0</v>
      </c>
      <c r="I1947" s="275" t="s">
        <v>15214</v>
      </c>
    </row>
    <row r="1948" spans="1:9" x14ac:dyDescent="0.25">
      <c r="A1948" s="299">
        <v>44059</v>
      </c>
      <c r="B1948" s="302" t="s">
        <v>25790</v>
      </c>
      <c r="C1948">
        <v>123920</v>
      </c>
      <c r="D1948" s="236" t="s">
        <v>15291</v>
      </c>
      <c r="E1948" s="301">
        <v>846</v>
      </c>
      <c r="F1948" s="303">
        <v>42963</v>
      </c>
      <c r="G1948" s="301">
        <v>846</v>
      </c>
      <c r="H1948" s="304">
        <f>Tabla13[[#This Row],[Importe]]-Tabla13[[#This Row],[Pagado]]</f>
        <v>0</v>
      </c>
      <c r="I1948" s="275" t="s">
        <v>15214</v>
      </c>
    </row>
    <row r="1949" spans="1:9" x14ac:dyDescent="0.25">
      <c r="A1949" s="299">
        <v>44059</v>
      </c>
      <c r="B1949" s="302" t="s">
        <v>25791</v>
      </c>
      <c r="C1949">
        <v>123921</v>
      </c>
      <c r="D1949" s="236" t="s">
        <v>15309</v>
      </c>
      <c r="E1949" s="301">
        <v>1929.7</v>
      </c>
      <c r="F1949" s="303">
        <v>42963</v>
      </c>
      <c r="G1949" s="301">
        <v>1929.7</v>
      </c>
      <c r="H1949" s="304">
        <f>Tabla13[[#This Row],[Importe]]-Tabla13[[#This Row],[Pagado]]</f>
        <v>0</v>
      </c>
      <c r="I1949" s="275" t="s">
        <v>15214</v>
      </c>
    </row>
    <row r="1950" spans="1:9" x14ac:dyDescent="0.25">
      <c r="A1950" s="299">
        <v>44059</v>
      </c>
      <c r="B1950" s="302" t="s">
        <v>25792</v>
      </c>
      <c r="C1950">
        <v>123922</v>
      </c>
      <c r="D1950" s="236" t="s">
        <v>15305</v>
      </c>
      <c r="E1950" s="301">
        <v>1652</v>
      </c>
      <c r="F1950" s="303">
        <v>42963</v>
      </c>
      <c r="G1950" s="301">
        <v>1652</v>
      </c>
      <c r="H1950" s="304">
        <f>Tabla13[[#This Row],[Importe]]-Tabla13[[#This Row],[Pagado]]</f>
        <v>0</v>
      </c>
      <c r="I1950" s="275" t="s">
        <v>15214</v>
      </c>
    </row>
    <row r="1951" spans="1:9" x14ac:dyDescent="0.25">
      <c r="A1951" s="299">
        <v>44059</v>
      </c>
      <c r="B1951" s="302" t="s">
        <v>25793</v>
      </c>
      <c r="C1951">
        <v>123923</v>
      </c>
      <c r="D1951" s="236" t="s">
        <v>15307</v>
      </c>
      <c r="E1951" s="301">
        <v>2012.5</v>
      </c>
      <c r="F1951" s="303">
        <v>42963</v>
      </c>
      <c r="G1951" s="301">
        <v>2012.5</v>
      </c>
      <c r="H1951" s="304">
        <f>Tabla13[[#This Row],[Importe]]-Tabla13[[#This Row],[Pagado]]</f>
        <v>0</v>
      </c>
      <c r="I1951" s="275" t="s">
        <v>15214</v>
      </c>
    </row>
    <row r="1952" spans="1:9" x14ac:dyDescent="0.25">
      <c r="A1952" s="299">
        <v>44059</v>
      </c>
      <c r="B1952" s="302" t="s">
        <v>25794</v>
      </c>
      <c r="C1952">
        <v>123924</v>
      </c>
      <c r="D1952" s="236" t="s">
        <v>15725</v>
      </c>
      <c r="E1952" s="301">
        <v>22939.200000000001</v>
      </c>
      <c r="F1952" s="303">
        <v>42968</v>
      </c>
      <c r="G1952" s="301">
        <v>22939.200000000001</v>
      </c>
      <c r="H1952" s="304">
        <f>Tabla13[[#This Row],[Importe]]-Tabla13[[#This Row],[Pagado]]</f>
        <v>0</v>
      </c>
      <c r="I1952" s="275" t="s">
        <v>15214</v>
      </c>
    </row>
    <row r="1953" spans="1:9" x14ac:dyDescent="0.25">
      <c r="A1953" s="299">
        <v>44059</v>
      </c>
      <c r="B1953" s="302" t="s">
        <v>25795</v>
      </c>
      <c r="C1953">
        <v>123925</v>
      </c>
      <c r="D1953" s="236" t="s">
        <v>15315</v>
      </c>
      <c r="E1953" s="301">
        <v>789.3</v>
      </c>
      <c r="F1953" s="303">
        <v>42963</v>
      </c>
      <c r="G1953" s="301">
        <v>789.3</v>
      </c>
      <c r="H1953" s="304">
        <f>Tabla13[[#This Row],[Importe]]-Tabla13[[#This Row],[Pagado]]</f>
        <v>0</v>
      </c>
      <c r="I1953" s="275" t="s">
        <v>15214</v>
      </c>
    </row>
    <row r="1954" spans="1:9" x14ac:dyDescent="0.25">
      <c r="A1954" s="299">
        <v>44059</v>
      </c>
      <c r="B1954" s="302" t="s">
        <v>25796</v>
      </c>
      <c r="C1954">
        <v>123926</v>
      </c>
      <c r="D1954" s="236" t="s">
        <v>15242</v>
      </c>
      <c r="E1954" s="301">
        <v>11682.15</v>
      </c>
      <c r="F1954" s="303">
        <v>42963</v>
      </c>
      <c r="G1954" s="301">
        <v>11682.15</v>
      </c>
      <c r="H1954" s="304">
        <f>Tabla13[[#This Row],[Importe]]-Tabla13[[#This Row],[Pagado]]</f>
        <v>0</v>
      </c>
      <c r="I1954" s="275" t="s">
        <v>15214</v>
      </c>
    </row>
    <row r="1955" spans="1:9" x14ac:dyDescent="0.25">
      <c r="A1955" s="299">
        <v>44059</v>
      </c>
      <c r="B1955" s="302" t="s">
        <v>25797</v>
      </c>
      <c r="C1955">
        <v>123927</v>
      </c>
      <c r="D1955" s="236" t="s">
        <v>15398</v>
      </c>
      <c r="E1955" s="301">
        <v>4120.2</v>
      </c>
      <c r="F1955" s="303">
        <v>42963</v>
      </c>
      <c r="G1955" s="301">
        <v>4120.2</v>
      </c>
      <c r="H1955" s="304">
        <f>Tabla13[[#This Row],[Importe]]-Tabla13[[#This Row],[Pagado]]</f>
        <v>0</v>
      </c>
      <c r="I1955" s="275" t="s">
        <v>15214</v>
      </c>
    </row>
    <row r="1956" spans="1:9" x14ac:dyDescent="0.25">
      <c r="A1956" s="299">
        <v>44059</v>
      </c>
      <c r="B1956" s="302" t="s">
        <v>25798</v>
      </c>
      <c r="C1956">
        <v>123928</v>
      </c>
      <c r="D1956" s="236" t="s">
        <v>19768</v>
      </c>
      <c r="E1956" s="301">
        <v>1410</v>
      </c>
      <c r="F1956" s="303">
        <v>42963</v>
      </c>
      <c r="G1956" s="301">
        <v>1410</v>
      </c>
      <c r="H1956" s="304">
        <f>Tabla13[[#This Row],[Importe]]-Tabla13[[#This Row],[Pagado]]</f>
        <v>0</v>
      </c>
      <c r="I1956" s="275" t="s">
        <v>15214</v>
      </c>
    </row>
    <row r="1957" spans="1:9" x14ac:dyDescent="0.25">
      <c r="A1957" s="299">
        <v>44059</v>
      </c>
      <c r="B1957" s="302" t="s">
        <v>25799</v>
      </c>
      <c r="C1957">
        <v>123929</v>
      </c>
      <c r="D1957" s="236" t="s">
        <v>15282</v>
      </c>
      <c r="E1957" s="301">
        <v>2345.3000000000002</v>
      </c>
      <c r="F1957" s="303">
        <v>42963</v>
      </c>
      <c r="G1957" s="301">
        <v>2345.3000000000002</v>
      </c>
      <c r="H1957" s="304">
        <f>Tabla13[[#This Row],[Importe]]-Tabla13[[#This Row],[Pagado]]</f>
        <v>0</v>
      </c>
      <c r="I1957" s="275" t="s">
        <v>15214</v>
      </c>
    </row>
    <row r="1958" spans="1:9" x14ac:dyDescent="0.25">
      <c r="A1958" s="299">
        <v>44059</v>
      </c>
      <c r="B1958" s="302" t="s">
        <v>25800</v>
      </c>
      <c r="C1958">
        <v>123930</v>
      </c>
      <c r="D1958" s="236" t="s">
        <v>15326</v>
      </c>
      <c r="E1958" s="301">
        <v>2595.1</v>
      </c>
      <c r="F1958" s="303">
        <v>42963</v>
      </c>
      <c r="G1958" s="301">
        <v>2595.1</v>
      </c>
      <c r="H1958" s="304">
        <f>Tabla13[[#This Row],[Importe]]-Tabla13[[#This Row],[Pagado]]</f>
        <v>0</v>
      </c>
      <c r="I1958" s="275" t="s">
        <v>15214</v>
      </c>
    </row>
    <row r="1959" spans="1:9" x14ac:dyDescent="0.25">
      <c r="A1959" s="299">
        <v>44059</v>
      </c>
      <c r="B1959" s="302" t="s">
        <v>25801</v>
      </c>
      <c r="C1959">
        <v>123931</v>
      </c>
      <c r="D1959" s="236" t="s">
        <v>15568</v>
      </c>
      <c r="E1959" s="301">
        <v>11405.15</v>
      </c>
      <c r="F1959" s="303">
        <v>42965</v>
      </c>
      <c r="G1959" s="301">
        <v>11405.15</v>
      </c>
      <c r="H1959" s="304">
        <f>Tabla13[[#This Row],[Importe]]-Tabla13[[#This Row],[Pagado]]</f>
        <v>0</v>
      </c>
      <c r="I1959" s="275" t="s">
        <v>15214</v>
      </c>
    </row>
    <row r="1960" spans="1:9" x14ac:dyDescent="0.25">
      <c r="A1960" s="299">
        <v>44059</v>
      </c>
      <c r="B1960" s="302" t="s">
        <v>25802</v>
      </c>
      <c r="C1960">
        <v>123932</v>
      </c>
      <c r="D1960" s="236" t="s">
        <v>15361</v>
      </c>
      <c r="E1960" s="301">
        <v>2772.1</v>
      </c>
      <c r="F1960" s="303">
        <v>42965</v>
      </c>
      <c r="G1960" s="301">
        <v>2772.1</v>
      </c>
      <c r="H1960" s="304">
        <f>Tabla13[[#This Row],[Importe]]-Tabla13[[#This Row],[Pagado]]</f>
        <v>0</v>
      </c>
      <c r="I1960" s="275" t="s">
        <v>15214</v>
      </c>
    </row>
    <row r="1961" spans="1:9" x14ac:dyDescent="0.25">
      <c r="A1961" s="299">
        <v>44059</v>
      </c>
      <c r="B1961" s="302" t="s">
        <v>25803</v>
      </c>
      <c r="C1961">
        <v>123933</v>
      </c>
      <c r="D1961" s="236" t="s">
        <v>19776</v>
      </c>
      <c r="E1961" s="301">
        <v>156</v>
      </c>
      <c r="F1961" s="303">
        <v>42965</v>
      </c>
      <c r="G1961" s="301">
        <v>156</v>
      </c>
      <c r="H1961" s="304">
        <f>Tabla13[[#This Row],[Importe]]-Tabla13[[#This Row],[Pagado]]</f>
        <v>0</v>
      </c>
      <c r="I1961" s="275" t="s">
        <v>15214</v>
      </c>
    </row>
    <row r="1962" spans="1:9" ht="15.75" x14ac:dyDescent="0.25">
      <c r="A1962" s="299">
        <v>44059</v>
      </c>
      <c r="B1962" s="302" t="s">
        <v>25804</v>
      </c>
      <c r="C1962">
        <v>123934</v>
      </c>
      <c r="D1962" s="248" t="s">
        <v>95</v>
      </c>
      <c r="E1962" s="301">
        <v>0</v>
      </c>
      <c r="F1962" s="243" t="s">
        <v>95</v>
      </c>
      <c r="G1962" s="301">
        <v>0</v>
      </c>
      <c r="H1962" s="304">
        <f>Tabla13[[#This Row],[Importe]]-Tabla13[[#This Row],[Pagado]]</f>
        <v>0</v>
      </c>
      <c r="I1962" s="275" t="s">
        <v>95</v>
      </c>
    </row>
    <row r="1963" spans="1:9" x14ac:dyDescent="0.25">
      <c r="A1963" s="299">
        <v>44059</v>
      </c>
      <c r="B1963" s="302" t="s">
        <v>25805</v>
      </c>
      <c r="C1963">
        <v>123935</v>
      </c>
      <c r="D1963" s="236" t="s">
        <v>17708</v>
      </c>
      <c r="E1963" s="301">
        <v>3044.64</v>
      </c>
      <c r="F1963" s="303">
        <v>42965</v>
      </c>
      <c r="G1963" s="301">
        <v>3044.64</v>
      </c>
      <c r="H1963" s="304">
        <f>Tabla13[[#This Row],[Importe]]-Tabla13[[#This Row],[Pagado]]</f>
        <v>0</v>
      </c>
      <c r="I1963" s="275" t="s">
        <v>15214</v>
      </c>
    </row>
    <row r="1964" spans="1:9" ht="15.75" x14ac:dyDescent="0.25">
      <c r="A1964" s="299">
        <v>44059</v>
      </c>
      <c r="B1964" s="302" t="s">
        <v>25806</v>
      </c>
      <c r="C1964">
        <v>123936</v>
      </c>
      <c r="D1964" s="248" t="s">
        <v>95</v>
      </c>
      <c r="E1964" s="301">
        <v>0</v>
      </c>
      <c r="F1964" s="243" t="s">
        <v>95</v>
      </c>
      <c r="G1964" s="301">
        <v>0</v>
      </c>
      <c r="H1964" s="304">
        <f>Tabla13[[#This Row],[Importe]]-Tabla13[[#This Row],[Pagado]]</f>
        <v>0</v>
      </c>
      <c r="I1964" s="275" t="s">
        <v>95</v>
      </c>
    </row>
    <row r="1965" spans="1:9" x14ac:dyDescent="0.25">
      <c r="A1965" s="299">
        <v>44059</v>
      </c>
      <c r="B1965" s="302" t="s">
        <v>25807</v>
      </c>
      <c r="C1965">
        <v>123937</v>
      </c>
      <c r="D1965" s="236" t="s">
        <v>15391</v>
      </c>
      <c r="E1965" s="301">
        <v>7602.4</v>
      </c>
      <c r="F1965" s="303">
        <v>42965</v>
      </c>
      <c r="G1965" s="301">
        <v>7602.4</v>
      </c>
      <c r="H1965" s="304">
        <f>Tabla13[[#This Row],[Importe]]-Tabla13[[#This Row],[Pagado]]</f>
        <v>0</v>
      </c>
      <c r="I1965" s="275" t="s">
        <v>15214</v>
      </c>
    </row>
    <row r="1966" spans="1:9" x14ac:dyDescent="0.25">
      <c r="A1966" s="299">
        <v>44059</v>
      </c>
      <c r="B1966" s="302" t="s">
        <v>25808</v>
      </c>
      <c r="C1966">
        <v>123938</v>
      </c>
      <c r="D1966" s="236" t="s">
        <v>15315</v>
      </c>
      <c r="E1966" s="301">
        <v>529.79999999999995</v>
      </c>
      <c r="F1966" s="303">
        <v>42963</v>
      </c>
      <c r="G1966" s="301">
        <v>529.79999999999995</v>
      </c>
      <c r="H1966" s="304">
        <f>Tabla13[[#This Row],[Importe]]-Tabla13[[#This Row],[Pagado]]</f>
        <v>0</v>
      </c>
      <c r="I1966" s="275" t="s">
        <v>15214</v>
      </c>
    </row>
    <row r="1967" spans="1:9" x14ac:dyDescent="0.25">
      <c r="A1967" s="299">
        <v>44059</v>
      </c>
      <c r="B1967" s="302" t="s">
        <v>25809</v>
      </c>
      <c r="C1967">
        <v>123939</v>
      </c>
      <c r="D1967" s="236" t="s">
        <v>15581</v>
      </c>
      <c r="E1967" s="301">
        <v>10372.780000000001</v>
      </c>
      <c r="F1967" s="303">
        <v>42969</v>
      </c>
      <c r="G1967" s="301">
        <v>10372.780000000001</v>
      </c>
      <c r="H1967" s="304">
        <f>Tabla13[[#This Row],[Importe]]-Tabla13[[#This Row],[Pagado]]</f>
        <v>0</v>
      </c>
      <c r="I1967" s="275" t="s">
        <v>15214</v>
      </c>
    </row>
    <row r="1968" spans="1:9" x14ac:dyDescent="0.25">
      <c r="A1968" s="299">
        <v>44059</v>
      </c>
      <c r="B1968" s="302" t="s">
        <v>25810</v>
      </c>
      <c r="C1968">
        <v>123940</v>
      </c>
      <c r="D1968" s="236" t="s">
        <v>18544</v>
      </c>
      <c r="E1968" s="301">
        <v>1367.6</v>
      </c>
      <c r="F1968" s="303">
        <v>42963</v>
      </c>
      <c r="G1968" s="301">
        <v>1367.6</v>
      </c>
      <c r="H1968" s="304">
        <f>Tabla13[[#This Row],[Importe]]-Tabla13[[#This Row],[Pagado]]</f>
        <v>0</v>
      </c>
      <c r="I1968" s="275" t="s">
        <v>15214</v>
      </c>
    </row>
    <row r="1969" spans="1:9" x14ac:dyDescent="0.25">
      <c r="A1969" s="299">
        <v>44059</v>
      </c>
      <c r="B1969" s="302" t="s">
        <v>25811</v>
      </c>
      <c r="C1969">
        <v>123941</v>
      </c>
      <c r="D1969" s="236" t="s">
        <v>15263</v>
      </c>
      <c r="E1969" s="301">
        <v>3075.3</v>
      </c>
      <c r="F1969" s="303">
        <v>42963</v>
      </c>
      <c r="G1969" s="301">
        <v>3075.3</v>
      </c>
      <c r="H1969" s="304">
        <f>Tabla13[[#This Row],[Importe]]-Tabla13[[#This Row],[Pagado]]</f>
        <v>0</v>
      </c>
      <c r="I1969" s="275" t="s">
        <v>15214</v>
      </c>
    </row>
    <row r="1970" spans="1:9" x14ac:dyDescent="0.25">
      <c r="A1970" s="299">
        <v>44059</v>
      </c>
      <c r="B1970" s="302" t="s">
        <v>25812</v>
      </c>
      <c r="C1970">
        <v>123942</v>
      </c>
      <c r="D1970" s="236" t="s">
        <v>15987</v>
      </c>
      <c r="E1970" s="301">
        <v>835.2</v>
      </c>
      <c r="F1970" s="303">
        <v>42963</v>
      </c>
      <c r="G1970" s="301">
        <v>835.2</v>
      </c>
      <c r="H1970" s="304">
        <f>Tabla13[[#This Row],[Importe]]-Tabla13[[#This Row],[Pagado]]</f>
        <v>0</v>
      </c>
      <c r="I1970" s="275" t="s">
        <v>15214</v>
      </c>
    </row>
    <row r="1971" spans="1:9" x14ac:dyDescent="0.25">
      <c r="A1971" s="299">
        <v>44059</v>
      </c>
      <c r="B1971" s="302" t="s">
        <v>25813</v>
      </c>
      <c r="C1971">
        <v>123943</v>
      </c>
      <c r="D1971" s="236" t="s">
        <v>15890</v>
      </c>
      <c r="E1971" s="301">
        <v>7438.6</v>
      </c>
      <c r="F1971" s="303">
        <v>42969</v>
      </c>
      <c r="G1971" s="301">
        <v>7438.6</v>
      </c>
      <c r="H1971" s="304">
        <f>Tabla13[[#This Row],[Importe]]-Tabla13[[#This Row],[Pagado]]</f>
        <v>0</v>
      </c>
      <c r="I1971" s="275" t="s">
        <v>15214</v>
      </c>
    </row>
    <row r="1972" spans="1:9" x14ac:dyDescent="0.25">
      <c r="A1972" s="299">
        <v>44059</v>
      </c>
      <c r="B1972" s="302" t="s">
        <v>25814</v>
      </c>
      <c r="C1972">
        <v>123944</v>
      </c>
      <c r="D1972" s="236" t="s">
        <v>15628</v>
      </c>
      <c r="E1972" s="301">
        <v>9207.7999999999993</v>
      </c>
      <c r="F1972" s="303">
        <v>42963</v>
      </c>
      <c r="G1972" s="301">
        <v>9207.7999999999993</v>
      </c>
      <c r="H1972" s="304">
        <f>Tabla13[[#This Row],[Importe]]-Tabla13[[#This Row],[Pagado]]</f>
        <v>0</v>
      </c>
      <c r="I1972" s="275" t="s">
        <v>15214</v>
      </c>
    </row>
    <row r="1973" spans="1:9" x14ac:dyDescent="0.25">
      <c r="A1973" s="299">
        <v>44059</v>
      </c>
      <c r="B1973" s="302" t="s">
        <v>25815</v>
      </c>
      <c r="C1973">
        <v>123945</v>
      </c>
      <c r="D1973" s="236" t="s">
        <v>15668</v>
      </c>
      <c r="E1973" s="301">
        <v>1929.2</v>
      </c>
      <c r="F1973" s="303">
        <v>42965</v>
      </c>
      <c r="G1973" s="301">
        <v>1929.2</v>
      </c>
      <c r="H1973" s="304">
        <f>Tabla13[[#This Row],[Importe]]-Tabla13[[#This Row],[Pagado]]</f>
        <v>0</v>
      </c>
      <c r="I1973" s="275" t="s">
        <v>15214</v>
      </c>
    </row>
    <row r="1974" spans="1:9" x14ac:dyDescent="0.25">
      <c r="A1974" s="299">
        <v>44059</v>
      </c>
      <c r="B1974" s="302" t="s">
        <v>25816</v>
      </c>
      <c r="C1974">
        <v>123946</v>
      </c>
      <c r="D1974" s="236" t="s">
        <v>15276</v>
      </c>
      <c r="E1974" s="301">
        <v>2350</v>
      </c>
      <c r="F1974" s="303">
        <v>42964</v>
      </c>
      <c r="G1974" s="301">
        <v>2350</v>
      </c>
      <c r="H1974" s="304">
        <f>Tabla13[[#This Row],[Importe]]-Tabla13[[#This Row],[Pagado]]</f>
        <v>0</v>
      </c>
      <c r="I1974" s="275" t="s">
        <v>15214</v>
      </c>
    </row>
    <row r="1975" spans="1:9" x14ac:dyDescent="0.25">
      <c r="A1975" s="299">
        <v>44059</v>
      </c>
      <c r="B1975" s="302" t="s">
        <v>25817</v>
      </c>
      <c r="C1975">
        <v>123947</v>
      </c>
      <c r="D1975" s="236" t="s">
        <v>15614</v>
      </c>
      <c r="E1975" s="301">
        <v>5167.2</v>
      </c>
      <c r="F1975" s="303">
        <v>42969</v>
      </c>
      <c r="G1975" s="301">
        <v>5167.2</v>
      </c>
      <c r="H1975" s="304">
        <f>Tabla13[[#This Row],[Importe]]-Tabla13[[#This Row],[Pagado]]</f>
        <v>0</v>
      </c>
      <c r="I1975" s="275" t="s">
        <v>15214</v>
      </c>
    </row>
    <row r="1976" spans="1:9" x14ac:dyDescent="0.25">
      <c r="A1976" s="299">
        <v>44059</v>
      </c>
      <c r="B1976" s="302" t="s">
        <v>25818</v>
      </c>
      <c r="C1976">
        <v>123948</v>
      </c>
      <c r="D1976" s="236" t="s">
        <v>15417</v>
      </c>
      <c r="E1976" s="301">
        <v>1917</v>
      </c>
      <c r="F1976" s="303">
        <v>42964</v>
      </c>
      <c r="G1976" s="301">
        <v>1917</v>
      </c>
      <c r="H1976" s="304">
        <f>Tabla13[[#This Row],[Importe]]-Tabla13[[#This Row],[Pagado]]</f>
        <v>0</v>
      </c>
      <c r="I1976" s="275" t="s">
        <v>15214</v>
      </c>
    </row>
    <row r="1977" spans="1:9" x14ac:dyDescent="0.25">
      <c r="A1977" s="299">
        <v>44059</v>
      </c>
      <c r="B1977" s="302" t="s">
        <v>25819</v>
      </c>
      <c r="C1977">
        <v>123949</v>
      </c>
      <c r="D1977" s="236" t="s">
        <v>15759</v>
      </c>
      <c r="E1977" s="301">
        <v>2226.96</v>
      </c>
      <c r="F1977" s="303">
        <v>42964</v>
      </c>
      <c r="G1977" s="301">
        <v>2226.96</v>
      </c>
      <c r="H1977" s="304">
        <f>Tabla13[[#This Row],[Importe]]-Tabla13[[#This Row],[Pagado]]</f>
        <v>0</v>
      </c>
      <c r="I1977" s="275" t="s">
        <v>15214</v>
      </c>
    </row>
    <row r="1978" spans="1:9" ht="15.75" x14ac:dyDescent="0.25">
      <c r="A1978" s="299">
        <v>44059</v>
      </c>
      <c r="B1978" s="302" t="s">
        <v>25820</v>
      </c>
      <c r="C1978">
        <v>123950</v>
      </c>
      <c r="D1978" s="248" t="s">
        <v>95</v>
      </c>
      <c r="E1978" s="301">
        <v>0</v>
      </c>
      <c r="F1978" s="243" t="s">
        <v>95</v>
      </c>
      <c r="G1978" s="301">
        <v>0</v>
      </c>
      <c r="H1978" s="304">
        <f>Tabla13[[#This Row],[Importe]]-Tabla13[[#This Row],[Pagado]]</f>
        <v>0</v>
      </c>
      <c r="I1978" s="316" t="s">
        <v>23794</v>
      </c>
    </row>
    <row r="1979" spans="1:9" x14ac:dyDescent="0.25">
      <c r="A1979" s="299">
        <v>44059</v>
      </c>
      <c r="B1979" s="302" t="s">
        <v>25821</v>
      </c>
      <c r="C1979">
        <v>123951</v>
      </c>
      <c r="D1979" s="236" t="s">
        <v>15782</v>
      </c>
      <c r="E1979" s="301">
        <v>1540</v>
      </c>
      <c r="F1979" s="303">
        <v>42964</v>
      </c>
      <c r="G1979" s="301">
        <v>1540</v>
      </c>
      <c r="H1979" s="304">
        <f>Tabla13[[#This Row],[Importe]]-Tabla13[[#This Row],[Pagado]]</f>
        <v>0</v>
      </c>
      <c r="I1979" s="275" t="s">
        <v>15214</v>
      </c>
    </row>
    <row r="1980" spans="1:9" x14ac:dyDescent="0.25">
      <c r="A1980" s="299">
        <v>44059</v>
      </c>
      <c r="B1980" s="302" t="s">
        <v>25822</v>
      </c>
      <c r="C1980">
        <v>123952</v>
      </c>
      <c r="D1980" s="236" t="s">
        <v>15413</v>
      </c>
      <c r="E1980" s="301">
        <v>1840</v>
      </c>
      <c r="F1980" s="303">
        <v>42963</v>
      </c>
      <c r="G1980" s="301">
        <v>1840</v>
      </c>
      <c r="H1980" s="304">
        <f>Tabla13[[#This Row],[Importe]]-Tabla13[[#This Row],[Pagado]]</f>
        <v>0</v>
      </c>
      <c r="I1980" s="275" t="s">
        <v>15214</v>
      </c>
    </row>
    <row r="1981" spans="1:9" x14ac:dyDescent="0.25">
      <c r="A1981" s="299">
        <v>44059</v>
      </c>
      <c r="B1981" s="302" t="s">
        <v>25823</v>
      </c>
      <c r="C1981">
        <v>123953</v>
      </c>
      <c r="D1981" s="236" t="s">
        <v>17462</v>
      </c>
      <c r="E1981" s="301">
        <v>616</v>
      </c>
      <c r="F1981" s="303">
        <v>42963</v>
      </c>
      <c r="G1981" s="301">
        <v>616</v>
      </c>
      <c r="H1981" s="304">
        <f>Tabla13[[#This Row],[Importe]]-Tabla13[[#This Row],[Pagado]]</f>
        <v>0</v>
      </c>
      <c r="I1981" s="275" t="s">
        <v>15214</v>
      </c>
    </row>
    <row r="1982" spans="1:9" x14ac:dyDescent="0.25">
      <c r="A1982" s="299">
        <v>44059</v>
      </c>
      <c r="B1982" s="302" t="s">
        <v>25824</v>
      </c>
      <c r="C1982">
        <v>123954</v>
      </c>
      <c r="D1982" s="236" t="s">
        <v>15423</v>
      </c>
      <c r="E1982" s="301">
        <v>1993.4</v>
      </c>
      <c r="F1982" s="303">
        <v>42963</v>
      </c>
      <c r="G1982" s="301">
        <v>1993.4</v>
      </c>
      <c r="H1982" s="304">
        <f>Tabla13[[#This Row],[Importe]]-Tabla13[[#This Row],[Pagado]]</f>
        <v>0</v>
      </c>
      <c r="I1982" s="275" t="s">
        <v>15214</v>
      </c>
    </row>
    <row r="1983" spans="1:9" x14ac:dyDescent="0.25">
      <c r="A1983" s="299">
        <v>44059</v>
      </c>
      <c r="B1983" s="302" t="s">
        <v>25825</v>
      </c>
      <c r="C1983">
        <v>123955</v>
      </c>
      <c r="D1983" s="236" t="s">
        <v>15480</v>
      </c>
      <c r="E1983" s="301">
        <v>182.4</v>
      </c>
      <c r="F1983" s="303">
        <v>42964</v>
      </c>
      <c r="G1983" s="301">
        <v>182.4</v>
      </c>
      <c r="H1983" s="304">
        <f>Tabla13[[#This Row],[Importe]]-Tabla13[[#This Row],[Pagado]]</f>
        <v>0</v>
      </c>
      <c r="I1983" s="275" t="s">
        <v>15214</v>
      </c>
    </row>
    <row r="1984" spans="1:9" ht="15.75" x14ac:dyDescent="0.25">
      <c r="A1984" s="299">
        <v>44059</v>
      </c>
      <c r="B1984" s="302" t="s">
        <v>25826</v>
      </c>
      <c r="C1984">
        <v>123956</v>
      </c>
      <c r="D1984" s="248" t="s">
        <v>95</v>
      </c>
      <c r="E1984" s="301">
        <v>0</v>
      </c>
      <c r="F1984" s="243" t="s">
        <v>95</v>
      </c>
      <c r="G1984" s="301">
        <v>0</v>
      </c>
      <c r="H1984" s="304">
        <f>Tabla13[[#This Row],[Importe]]-Tabla13[[#This Row],[Pagado]]</f>
        <v>0</v>
      </c>
      <c r="I1984" s="275" t="s">
        <v>95</v>
      </c>
    </row>
    <row r="1985" spans="1:9" x14ac:dyDescent="0.25">
      <c r="A1985" s="299">
        <v>44059</v>
      </c>
      <c r="B1985" s="302" t="s">
        <v>25827</v>
      </c>
      <c r="C1985">
        <v>123957</v>
      </c>
      <c r="D1985" s="236" t="s">
        <v>15480</v>
      </c>
      <c r="E1985" s="301">
        <v>396</v>
      </c>
      <c r="F1985" s="303">
        <v>42964</v>
      </c>
      <c r="G1985" s="301">
        <v>396</v>
      </c>
      <c r="H1985" s="304">
        <f>Tabla13[[#This Row],[Importe]]-Tabla13[[#This Row],[Pagado]]</f>
        <v>0</v>
      </c>
      <c r="I1985" s="275" t="s">
        <v>15214</v>
      </c>
    </row>
    <row r="1986" spans="1:9" x14ac:dyDescent="0.25">
      <c r="A1986" s="299">
        <v>44059</v>
      </c>
      <c r="B1986" s="302" t="s">
        <v>25828</v>
      </c>
      <c r="C1986">
        <v>123958</v>
      </c>
      <c r="D1986" s="236" t="s">
        <v>18033</v>
      </c>
      <c r="E1986" s="301">
        <v>2067.1999999999998</v>
      </c>
      <c r="F1986" s="303">
        <v>42963</v>
      </c>
      <c r="G1986" s="301">
        <v>2067.1999999999998</v>
      </c>
      <c r="H1986" s="304">
        <f>Tabla13[[#This Row],[Importe]]-Tabla13[[#This Row],[Pagado]]</f>
        <v>0</v>
      </c>
      <c r="I1986" s="275" t="s">
        <v>15214</v>
      </c>
    </row>
    <row r="1987" spans="1:9" x14ac:dyDescent="0.25">
      <c r="A1987" s="299">
        <v>44059</v>
      </c>
      <c r="B1987" s="302" t="s">
        <v>25829</v>
      </c>
      <c r="C1987">
        <v>123959</v>
      </c>
      <c r="D1987" s="236" t="s">
        <v>15789</v>
      </c>
      <c r="E1987" s="301">
        <v>19761.599999999999</v>
      </c>
      <c r="F1987" s="303">
        <v>42969</v>
      </c>
      <c r="G1987" s="301">
        <v>19761.599999999999</v>
      </c>
      <c r="H1987" s="304">
        <f>Tabla13[[#This Row],[Importe]]-Tabla13[[#This Row],[Pagado]]</f>
        <v>0</v>
      </c>
      <c r="I1987" s="275" t="s">
        <v>15214</v>
      </c>
    </row>
    <row r="1988" spans="1:9" x14ac:dyDescent="0.25">
      <c r="A1988" s="299">
        <v>44059</v>
      </c>
      <c r="B1988" s="302" t="s">
        <v>25830</v>
      </c>
      <c r="C1988">
        <v>123960</v>
      </c>
      <c r="D1988" s="236" t="s">
        <v>19680</v>
      </c>
      <c r="E1988" s="301">
        <v>610</v>
      </c>
      <c r="F1988" s="303">
        <v>42963</v>
      </c>
      <c r="G1988" s="301">
        <v>610</v>
      </c>
      <c r="H1988" s="304">
        <f>Tabla13[[#This Row],[Importe]]-Tabla13[[#This Row],[Pagado]]</f>
        <v>0</v>
      </c>
      <c r="I1988" s="275" t="s">
        <v>15214</v>
      </c>
    </row>
    <row r="1989" spans="1:9" x14ac:dyDescent="0.25">
      <c r="A1989" s="299">
        <v>44059</v>
      </c>
      <c r="B1989" s="302" t="s">
        <v>25831</v>
      </c>
      <c r="C1989">
        <v>123961</v>
      </c>
      <c r="D1989" s="236" t="s">
        <v>15444</v>
      </c>
      <c r="E1989" s="301">
        <v>3671.2</v>
      </c>
      <c r="F1989" s="303">
        <v>42964</v>
      </c>
      <c r="G1989" s="301">
        <v>3671.2</v>
      </c>
      <c r="H1989" s="304">
        <f>Tabla13[[#This Row],[Importe]]-Tabla13[[#This Row],[Pagado]]</f>
        <v>0</v>
      </c>
      <c r="I1989" s="275" t="s">
        <v>15214</v>
      </c>
    </row>
    <row r="1990" spans="1:9" x14ac:dyDescent="0.25">
      <c r="A1990" s="299">
        <v>44059</v>
      </c>
      <c r="B1990" s="302" t="s">
        <v>25832</v>
      </c>
      <c r="C1990">
        <v>123962</v>
      </c>
      <c r="D1990" s="236" t="s">
        <v>15284</v>
      </c>
      <c r="E1990" s="301">
        <v>658.2</v>
      </c>
      <c r="F1990" s="303">
        <v>42963</v>
      </c>
      <c r="G1990" s="301">
        <v>658.2</v>
      </c>
      <c r="H1990" s="304">
        <f>Tabla13[[#This Row],[Importe]]-Tabla13[[#This Row],[Pagado]]</f>
        <v>0</v>
      </c>
      <c r="I1990" s="275" t="s">
        <v>15214</v>
      </c>
    </row>
    <row r="1991" spans="1:9" x14ac:dyDescent="0.25">
      <c r="A1991" s="299">
        <v>44059</v>
      </c>
      <c r="B1991" s="302" t="s">
        <v>25833</v>
      </c>
      <c r="C1991">
        <v>123963</v>
      </c>
      <c r="D1991" s="236" t="s">
        <v>15246</v>
      </c>
      <c r="E1991" s="301">
        <v>207938.85</v>
      </c>
      <c r="F1991" s="303">
        <v>42966</v>
      </c>
      <c r="G1991" s="301">
        <v>207938.85</v>
      </c>
      <c r="H1991" s="304">
        <f>Tabla13[[#This Row],[Importe]]-Tabla13[[#This Row],[Pagado]]</f>
        <v>0</v>
      </c>
      <c r="I1991" s="275" t="s">
        <v>15214</v>
      </c>
    </row>
    <row r="1992" spans="1:9" x14ac:dyDescent="0.25">
      <c r="A1992" s="299">
        <v>44059</v>
      </c>
      <c r="B1992" s="302" t="s">
        <v>25834</v>
      </c>
      <c r="C1992">
        <v>123964</v>
      </c>
      <c r="D1992" s="236" t="s">
        <v>15642</v>
      </c>
      <c r="E1992" s="301">
        <v>6279</v>
      </c>
      <c r="F1992" s="303">
        <v>42963</v>
      </c>
      <c r="G1992" s="301">
        <v>6279</v>
      </c>
      <c r="H1992" s="304">
        <f>Tabla13[[#This Row],[Importe]]-Tabla13[[#This Row],[Pagado]]</f>
        <v>0</v>
      </c>
      <c r="I1992" s="275" t="s">
        <v>15214</v>
      </c>
    </row>
    <row r="1993" spans="1:9" x14ac:dyDescent="0.25">
      <c r="A1993" s="299">
        <v>44059</v>
      </c>
      <c r="B1993" s="302" t="s">
        <v>25835</v>
      </c>
      <c r="C1993">
        <v>123965</v>
      </c>
      <c r="D1993" s="236" t="s">
        <v>15365</v>
      </c>
      <c r="E1993" s="301">
        <v>242029</v>
      </c>
      <c r="F1993" s="303">
        <v>42971</v>
      </c>
      <c r="G1993" s="301">
        <v>242029</v>
      </c>
      <c r="H1993" s="304">
        <f>Tabla13[[#This Row],[Importe]]-Tabla13[[#This Row],[Pagado]]</f>
        <v>0</v>
      </c>
      <c r="I1993" s="275" t="s">
        <v>15214</v>
      </c>
    </row>
    <row r="1994" spans="1:9" ht="15.75" x14ac:dyDescent="0.25">
      <c r="A1994" s="299">
        <v>44059</v>
      </c>
      <c r="B1994" s="302" t="s">
        <v>25836</v>
      </c>
      <c r="C1994">
        <v>123966</v>
      </c>
      <c r="D1994" s="248" t="s">
        <v>95</v>
      </c>
      <c r="E1994" s="301">
        <v>0</v>
      </c>
      <c r="F1994" s="243" t="s">
        <v>95</v>
      </c>
      <c r="G1994" s="301">
        <v>0</v>
      </c>
      <c r="H1994" s="304">
        <f>Tabla13[[#This Row],[Importe]]-Tabla13[[#This Row],[Pagado]]</f>
        <v>0</v>
      </c>
      <c r="I1994" s="275" t="s">
        <v>95</v>
      </c>
    </row>
    <row r="1995" spans="1:9" x14ac:dyDescent="0.25">
      <c r="A1995" s="299">
        <v>44059</v>
      </c>
      <c r="B1995" s="302" t="s">
        <v>25837</v>
      </c>
      <c r="C1995">
        <v>123967</v>
      </c>
      <c r="D1995" s="236" t="s">
        <v>5757</v>
      </c>
      <c r="E1995" s="301">
        <v>646</v>
      </c>
      <c r="F1995" s="303">
        <v>42963</v>
      </c>
      <c r="G1995" s="301">
        <v>646</v>
      </c>
      <c r="H1995" s="304">
        <f>Tabla13[[#This Row],[Importe]]-Tabla13[[#This Row],[Pagado]]</f>
        <v>0</v>
      </c>
      <c r="I1995" s="275" t="s">
        <v>15214</v>
      </c>
    </row>
    <row r="1996" spans="1:9" x14ac:dyDescent="0.25">
      <c r="A1996" s="299">
        <v>42963</v>
      </c>
      <c r="B1996" s="302" t="s">
        <v>25838</v>
      </c>
      <c r="C1996">
        <v>123968</v>
      </c>
      <c r="D1996" s="236" t="s">
        <v>15267</v>
      </c>
      <c r="E1996" s="301">
        <v>10590.8</v>
      </c>
      <c r="F1996" s="266">
        <v>42980</v>
      </c>
      <c r="G1996" s="35">
        <v>10590.8</v>
      </c>
      <c r="H1996" s="304">
        <f>Tabla13[[#This Row],[Importe]]-Tabla13[[#This Row],[Pagado]]</f>
        <v>0</v>
      </c>
      <c r="I1996" s="275" t="s">
        <v>15214</v>
      </c>
    </row>
    <row r="1997" spans="1:9" x14ac:dyDescent="0.25">
      <c r="A1997" s="299">
        <v>42964</v>
      </c>
      <c r="B1997" s="302" t="s">
        <v>25839</v>
      </c>
      <c r="C1997">
        <v>123969</v>
      </c>
      <c r="D1997" s="236" t="s">
        <v>15330</v>
      </c>
      <c r="E1997" s="301">
        <v>8642.6</v>
      </c>
      <c r="F1997" s="303">
        <v>42964</v>
      </c>
      <c r="G1997" s="301">
        <v>8642.6</v>
      </c>
      <c r="H1997" s="304">
        <f>Tabla13[[#This Row],[Importe]]-Tabla13[[#This Row],[Pagado]]</f>
        <v>0</v>
      </c>
      <c r="I1997" s="275" t="s">
        <v>15214</v>
      </c>
    </row>
    <row r="1998" spans="1:9" x14ac:dyDescent="0.25">
      <c r="A1998" s="299">
        <v>42964</v>
      </c>
      <c r="B1998" s="302" t="s">
        <v>25840</v>
      </c>
      <c r="C1998">
        <v>123970</v>
      </c>
      <c r="D1998" s="236" t="s">
        <v>21386</v>
      </c>
      <c r="E1998" s="301">
        <v>10370.85</v>
      </c>
      <c r="F1998" s="303">
        <v>42965</v>
      </c>
      <c r="G1998" s="301">
        <v>10370.85</v>
      </c>
      <c r="H1998" s="304">
        <f>Tabla13[[#This Row],[Importe]]-Tabla13[[#This Row],[Pagado]]</f>
        <v>0</v>
      </c>
      <c r="I1998" s="275" t="s">
        <v>15214</v>
      </c>
    </row>
    <row r="1999" spans="1:9" x14ac:dyDescent="0.25">
      <c r="A1999" s="299">
        <v>42964</v>
      </c>
      <c r="B1999" s="302" t="s">
        <v>25841</v>
      </c>
      <c r="C1999">
        <v>123971</v>
      </c>
      <c r="D1999" s="236" t="s">
        <v>15242</v>
      </c>
      <c r="E1999" s="301">
        <v>14224.4</v>
      </c>
      <c r="F1999" s="303">
        <v>42964</v>
      </c>
      <c r="G1999" s="301">
        <v>14224.4</v>
      </c>
      <c r="H1999" s="304">
        <f>Tabla13[[#This Row],[Importe]]-Tabla13[[#This Row],[Pagado]]</f>
        <v>0</v>
      </c>
      <c r="I1999" s="275" t="s">
        <v>15214</v>
      </c>
    </row>
    <row r="2000" spans="1:9" x14ac:dyDescent="0.25">
      <c r="A2000" s="299">
        <v>42964</v>
      </c>
      <c r="B2000" s="302" t="s">
        <v>25842</v>
      </c>
      <c r="C2000">
        <v>123972</v>
      </c>
      <c r="D2000" s="236" t="s">
        <v>15213</v>
      </c>
      <c r="E2000" s="301">
        <v>38098</v>
      </c>
      <c r="F2000" s="303">
        <v>42966</v>
      </c>
      <c r="G2000" s="301">
        <v>38098</v>
      </c>
      <c r="H2000" s="304">
        <f>Tabla13[[#This Row],[Importe]]-Tabla13[[#This Row],[Pagado]]</f>
        <v>0</v>
      </c>
      <c r="I2000" s="275" t="s">
        <v>15214</v>
      </c>
    </row>
    <row r="2001" spans="1:9" x14ac:dyDescent="0.25">
      <c r="A2001" s="299">
        <v>42964</v>
      </c>
      <c r="B2001" s="302" t="s">
        <v>25843</v>
      </c>
      <c r="C2001">
        <v>123973</v>
      </c>
      <c r="D2001" s="236" t="s">
        <v>15216</v>
      </c>
      <c r="E2001" s="301">
        <v>5485.2</v>
      </c>
      <c r="F2001" s="303">
        <v>42964</v>
      </c>
      <c r="G2001" s="301">
        <v>5485.2</v>
      </c>
      <c r="H2001" s="304">
        <f>Tabla13[[#This Row],[Importe]]-Tabla13[[#This Row],[Pagado]]</f>
        <v>0</v>
      </c>
      <c r="I2001" s="275" t="s">
        <v>15214</v>
      </c>
    </row>
    <row r="2002" spans="1:9" x14ac:dyDescent="0.25">
      <c r="A2002" s="299">
        <v>42964</v>
      </c>
      <c r="B2002" s="302" t="s">
        <v>25844</v>
      </c>
      <c r="C2002">
        <v>123974</v>
      </c>
      <c r="D2002" s="236" t="s">
        <v>15315</v>
      </c>
      <c r="E2002" s="301">
        <v>1127</v>
      </c>
      <c r="F2002" s="303">
        <v>42964</v>
      </c>
      <c r="G2002" s="301">
        <v>1127</v>
      </c>
      <c r="H2002" s="304">
        <f>Tabla13[[#This Row],[Importe]]-Tabla13[[#This Row],[Pagado]]</f>
        <v>0</v>
      </c>
      <c r="I2002" s="275" t="s">
        <v>15214</v>
      </c>
    </row>
    <row r="2003" spans="1:9" x14ac:dyDescent="0.25">
      <c r="A2003" s="299">
        <v>42964</v>
      </c>
      <c r="B2003" s="302" t="s">
        <v>25845</v>
      </c>
      <c r="C2003">
        <v>123975</v>
      </c>
      <c r="D2003" s="236" t="s">
        <v>15315</v>
      </c>
      <c r="E2003" s="301">
        <v>5977.4</v>
      </c>
      <c r="F2003" s="303">
        <v>42966</v>
      </c>
      <c r="G2003" s="301">
        <v>5977.4</v>
      </c>
      <c r="H2003" s="304">
        <f>Tabla13[[#This Row],[Importe]]-Tabla13[[#This Row],[Pagado]]</f>
        <v>0</v>
      </c>
      <c r="I2003" s="275" t="s">
        <v>15214</v>
      </c>
    </row>
    <row r="2004" spans="1:9" x14ac:dyDescent="0.25">
      <c r="A2004" s="299">
        <v>42964</v>
      </c>
      <c r="B2004" s="302" t="s">
        <v>25846</v>
      </c>
      <c r="C2004">
        <v>123976</v>
      </c>
      <c r="D2004" s="236" t="s">
        <v>15240</v>
      </c>
      <c r="E2004" s="301">
        <v>3585.3</v>
      </c>
      <c r="F2004" s="303">
        <v>42965</v>
      </c>
      <c r="G2004" s="301">
        <v>3585.3</v>
      </c>
      <c r="H2004" s="304">
        <f>Tabla13[[#This Row],[Importe]]-Tabla13[[#This Row],[Pagado]]</f>
        <v>0</v>
      </c>
      <c r="I2004" s="275" t="s">
        <v>15214</v>
      </c>
    </row>
    <row r="2005" spans="1:9" x14ac:dyDescent="0.25">
      <c r="A2005" s="299">
        <v>42964</v>
      </c>
      <c r="B2005" s="302" t="s">
        <v>25847</v>
      </c>
      <c r="C2005">
        <v>123977</v>
      </c>
      <c r="D2005" s="236" t="s">
        <v>15226</v>
      </c>
      <c r="E2005" s="301">
        <v>2143.1999999999998</v>
      </c>
      <c r="F2005" s="303">
        <v>42968</v>
      </c>
      <c r="G2005" s="301">
        <v>2143.1999999999998</v>
      </c>
      <c r="H2005" s="304">
        <f>Tabla13[[#This Row],[Importe]]-Tabla13[[#This Row],[Pagado]]</f>
        <v>0</v>
      </c>
      <c r="I2005" s="275" t="s">
        <v>15214</v>
      </c>
    </row>
    <row r="2006" spans="1:9" x14ac:dyDescent="0.25">
      <c r="A2006" s="299">
        <v>42964</v>
      </c>
      <c r="B2006" s="302" t="s">
        <v>25848</v>
      </c>
      <c r="C2006">
        <v>123978</v>
      </c>
      <c r="D2006" s="236" t="s">
        <v>18544</v>
      </c>
      <c r="E2006" s="301">
        <v>13367.8</v>
      </c>
      <c r="F2006" s="303">
        <v>42964</v>
      </c>
      <c r="G2006" s="301">
        <v>13367.8</v>
      </c>
      <c r="H2006" s="304">
        <f>Tabla13[[#This Row],[Importe]]-Tabla13[[#This Row],[Pagado]]</f>
        <v>0</v>
      </c>
      <c r="I2006" s="275" t="s">
        <v>15214</v>
      </c>
    </row>
    <row r="2007" spans="1:9" x14ac:dyDescent="0.25">
      <c r="A2007" s="299">
        <v>42964</v>
      </c>
      <c r="B2007" s="302" t="s">
        <v>25849</v>
      </c>
      <c r="C2007">
        <v>123979</v>
      </c>
      <c r="D2007" s="236" t="s">
        <v>15348</v>
      </c>
      <c r="E2007" s="301">
        <v>3489.3</v>
      </c>
      <c r="F2007" s="303">
        <v>42965</v>
      </c>
      <c r="G2007" s="301">
        <v>3489.3</v>
      </c>
      <c r="H2007" s="304">
        <f>Tabla13[[#This Row],[Importe]]-Tabla13[[#This Row],[Pagado]]</f>
        <v>0</v>
      </c>
      <c r="I2007" s="275" t="s">
        <v>15214</v>
      </c>
    </row>
    <row r="2008" spans="1:9" x14ac:dyDescent="0.25">
      <c r="A2008" s="299">
        <v>42964</v>
      </c>
      <c r="B2008" s="302" t="s">
        <v>25850</v>
      </c>
      <c r="C2008">
        <v>123980</v>
      </c>
      <c r="D2008" s="236" t="s">
        <v>15861</v>
      </c>
      <c r="E2008" s="301">
        <v>1515.6</v>
      </c>
      <c r="F2008" s="303">
        <v>42964</v>
      </c>
      <c r="G2008" s="301">
        <v>1515.6</v>
      </c>
      <c r="H2008" s="304">
        <f>Tabla13[[#This Row],[Importe]]-Tabla13[[#This Row],[Pagado]]</f>
        <v>0</v>
      </c>
      <c r="I2008" s="275" t="s">
        <v>15214</v>
      </c>
    </row>
    <row r="2009" spans="1:9" x14ac:dyDescent="0.25">
      <c r="A2009" s="299">
        <v>42964</v>
      </c>
      <c r="B2009" s="302" t="s">
        <v>25851</v>
      </c>
      <c r="C2009">
        <v>123981</v>
      </c>
      <c r="D2009" s="236" t="s">
        <v>18258</v>
      </c>
      <c r="E2009" s="301">
        <v>10952.8</v>
      </c>
      <c r="F2009" s="303">
        <v>42964</v>
      </c>
      <c r="G2009" s="301">
        <v>10952.8</v>
      </c>
      <c r="H2009" s="304">
        <f>Tabla13[[#This Row],[Importe]]-Tabla13[[#This Row],[Pagado]]</f>
        <v>0</v>
      </c>
      <c r="I2009" s="275" t="s">
        <v>15214</v>
      </c>
    </row>
    <row r="2010" spans="1:9" x14ac:dyDescent="0.25">
      <c r="A2010" s="299">
        <v>42964</v>
      </c>
      <c r="B2010" s="302" t="s">
        <v>25852</v>
      </c>
      <c r="C2010">
        <v>123982</v>
      </c>
      <c r="D2010" s="236" t="s">
        <v>15315</v>
      </c>
      <c r="E2010" s="301">
        <v>17311.099999999999</v>
      </c>
      <c r="F2010" s="303">
        <v>42966</v>
      </c>
      <c r="G2010" s="301">
        <v>17311.099999999999</v>
      </c>
      <c r="H2010" s="304">
        <f>Tabla13[[#This Row],[Importe]]-Tabla13[[#This Row],[Pagado]]</f>
        <v>0</v>
      </c>
      <c r="I2010" s="275" t="s">
        <v>15214</v>
      </c>
    </row>
    <row r="2011" spans="1:9" x14ac:dyDescent="0.25">
      <c r="A2011" s="299">
        <v>42964</v>
      </c>
      <c r="B2011" s="302" t="s">
        <v>25853</v>
      </c>
      <c r="C2011">
        <v>123983</v>
      </c>
      <c r="D2011" s="236" t="s">
        <v>15590</v>
      </c>
      <c r="E2011" s="301">
        <v>62628.06</v>
      </c>
      <c r="F2011" s="303">
        <v>42977</v>
      </c>
      <c r="G2011" s="301">
        <v>62628.06</v>
      </c>
      <c r="H2011" s="304">
        <f>Tabla13[[#This Row],[Importe]]-Tabla13[[#This Row],[Pagado]]</f>
        <v>0</v>
      </c>
      <c r="I2011" s="275" t="s">
        <v>15214</v>
      </c>
    </row>
    <row r="2012" spans="1:9" x14ac:dyDescent="0.25">
      <c r="A2012" s="299">
        <v>42964</v>
      </c>
      <c r="B2012" s="302" t="s">
        <v>25854</v>
      </c>
      <c r="C2012">
        <v>123984</v>
      </c>
      <c r="D2012" s="236" t="s">
        <v>15332</v>
      </c>
      <c r="E2012" s="301">
        <v>4667.1000000000004</v>
      </c>
      <c r="F2012" s="303">
        <v>42964</v>
      </c>
      <c r="G2012" s="301">
        <v>4667.1000000000004</v>
      </c>
      <c r="H2012" s="304">
        <f>Tabla13[[#This Row],[Importe]]-Tabla13[[#This Row],[Pagado]]</f>
        <v>0</v>
      </c>
      <c r="I2012" s="275" t="s">
        <v>15214</v>
      </c>
    </row>
    <row r="2013" spans="1:9" x14ac:dyDescent="0.25">
      <c r="A2013" s="299">
        <v>42964</v>
      </c>
      <c r="B2013" s="302" t="s">
        <v>25855</v>
      </c>
      <c r="C2013">
        <v>123985</v>
      </c>
      <c r="D2013" s="236" t="s">
        <v>15230</v>
      </c>
      <c r="E2013" s="301">
        <v>10837.5</v>
      </c>
      <c r="F2013" s="303">
        <v>42968</v>
      </c>
      <c r="G2013" s="301">
        <v>10837.5</v>
      </c>
      <c r="H2013" s="304">
        <f>Tabla13[[#This Row],[Importe]]-Tabla13[[#This Row],[Pagado]]</f>
        <v>0</v>
      </c>
      <c r="I2013" s="275" t="s">
        <v>15214</v>
      </c>
    </row>
    <row r="2014" spans="1:9" x14ac:dyDescent="0.25">
      <c r="A2014" s="299">
        <v>42964</v>
      </c>
      <c r="B2014" s="302" t="s">
        <v>25856</v>
      </c>
      <c r="C2014">
        <v>123986</v>
      </c>
      <c r="D2014" s="236" t="s">
        <v>15537</v>
      </c>
      <c r="E2014" s="301">
        <v>19248</v>
      </c>
      <c r="F2014" s="303">
        <v>42973</v>
      </c>
      <c r="G2014" s="301">
        <v>19248</v>
      </c>
      <c r="H2014" s="304">
        <f>Tabla13[[#This Row],[Importe]]-Tabla13[[#This Row],[Pagado]]</f>
        <v>0</v>
      </c>
      <c r="I2014" s="275" t="s">
        <v>15214</v>
      </c>
    </row>
    <row r="2015" spans="1:9" ht="30" x14ac:dyDescent="0.25">
      <c r="A2015" s="299">
        <v>42964</v>
      </c>
      <c r="B2015" s="302" t="s">
        <v>25857</v>
      </c>
      <c r="C2015">
        <v>123987</v>
      </c>
      <c r="D2015" s="236" t="s">
        <v>15530</v>
      </c>
      <c r="E2015" s="301">
        <v>5028.7</v>
      </c>
      <c r="F2015" s="303" t="s">
        <v>25858</v>
      </c>
      <c r="G2015" s="305">
        <f>4500+528.7</f>
        <v>5028.7</v>
      </c>
      <c r="H2015" s="304">
        <f>Tabla13[[#This Row],[Importe]]-Tabla13[[#This Row],[Pagado]]</f>
        <v>0</v>
      </c>
      <c r="I2015" s="275" t="s">
        <v>15214</v>
      </c>
    </row>
    <row r="2016" spans="1:9" ht="15.75" x14ac:dyDescent="0.25">
      <c r="A2016" s="299">
        <v>42964</v>
      </c>
      <c r="B2016" s="302" t="s">
        <v>25859</v>
      </c>
      <c r="C2016">
        <v>123988</v>
      </c>
      <c r="D2016" s="248" t="s">
        <v>95</v>
      </c>
      <c r="E2016" s="301">
        <v>0</v>
      </c>
      <c r="F2016" s="243" t="s">
        <v>95</v>
      </c>
      <c r="G2016" s="301">
        <v>0</v>
      </c>
      <c r="H2016" s="304">
        <f>Tabla13[[#This Row],[Importe]]-Tabla13[[#This Row],[Pagado]]</f>
        <v>0</v>
      </c>
      <c r="I2016" s="275" t="s">
        <v>22800</v>
      </c>
    </row>
    <row r="2017" spans="1:9" x14ac:dyDescent="0.25">
      <c r="A2017" s="299">
        <v>42964</v>
      </c>
      <c r="B2017" s="302" t="s">
        <v>25860</v>
      </c>
      <c r="C2017">
        <v>123989</v>
      </c>
      <c r="D2017" s="236" t="s">
        <v>15352</v>
      </c>
      <c r="E2017" s="301">
        <v>432</v>
      </c>
      <c r="F2017" s="303">
        <v>42964</v>
      </c>
      <c r="G2017" s="301">
        <v>432</v>
      </c>
      <c r="H2017" s="304">
        <f>Tabla13[[#This Row],[Importe]]-Tabla13[[#This Row],[Pagado]]</f>
        <v>0</v>
      </c>
      <c r="I2017" s="275" t="s">
        <v>15214</v>
      </c>
    </row>
    <row r="2018" spans="1:9" x14ac:dyDescent="0.25">
      <c r="A2018" s="299">
        <v>42964</v>
      </c>
      <c r="B2018" s="302" t="s">
        <v>25861</v>
      </c>
      <c r="C2018">
        <v>123990</v>
      </c>
      <c r="D2018" s="236" t="s">
        <v>15272</v>
      </c>
      <c r="E2018" s="301">
        <v>17878</v>
      </c>
      <c r="F2018" s="303">
        <v>42964</v>
      </c>
      <c r="G2018" s="301">
        <v>17878</v>
      </c>
      <c r="H2018" s="304">
        <f>Tabla13[[#This Row],[Importe]]-Tabla13[[#This Row],[Pagado]]</f>
        <v>0</v>
      </c>
      <c r="I2018" s="275" t="s">
        <v>15214</v>
      </c>
    </row>
    <row r="2019" spans="1:9" x14ac:dyDescent="0.25">
      <c r="A2019" s="299">
        <v>42964</v>
      </c>
      <c r="B2019" s="302" t="s">
        <v>25862</v>
      </c>
      <c r="C2019">
        <v>123991</v>
      </c>
      <c r="D2019" s="236" t="s">
        <v>15272</v>
      </c>
      <c r="E2019" s="301">
        <v>130</v>
      </c>
      <c r="F2019" s="303">
        <v>42964</v>
      </c>
      <c r="G2019" s="301">
        <v>130</v>
      </c>
      <c r="H2019" s="304">
        <f>Tabla13[[#This Row],[Importe]]-Tabla13[[#This Row],[Pagado]]</f>
        <v>0</v>
      </c>
      <c r="I2019" s="275" t="s">
        <v>15214</v>
      </c>
    </row>
    <row r="2020" spans="1:9" x14ac:dyDescent="0.25">
      <c r="A2020" s="299">
        <v>42964</v>
      </c>
      <c r="B2020" s="302" t="s">
        <v>25863</v>
      </c>
      <c r="C2020">
        <v>123992</v>
      </c>
      <c r="D2020" s="236" t="s">
        <v>17462</v>
      </c>
      <c r="E2020" s="301">
        <v>5801.12</v>
      </c>
      <c r="F2020" s="303">
        <v>42964</v>
      </c>
      <c r="G2020" s="301">
        <v>5801.12</v>
      </c>
      <c r="H2020" s="304">
        <f>Tabla13[[#This Row],[Importe]]-Tabla13[[#This Row],[Pagado]]</f>
        <v>0</v>
      </c>
      <c r="I2020" s="275" t="s">
        <v>15214</v>
      </c>
    </row>
    <row r="2021" spans="1:9" x14ac:dyDescent="0.25">
      <c r="A2021" s="299">
        <v>42964</v>
      </c>
      <c r="B2021" s="302" t="s">
        <v>25864</v>
      </c>
      <c r="C2021">
        <v>123993</v>
      </c>
      <c r="D2021" s="236" t="s">
        <v>15330</v>
      </c>
      <c r="E2021" s="301">
        <v>3307.2</v>
      </c>
      <c r="F2021" s="303">
        <v>42964</v>
      </c>
      <c r="G2021" s="301">
        <v>3307.2</v>
      </c>
      <c r="H2021" s="304">
        <f>Tabla13[[#This Row],[Importe]]-Tabla13[[#This Row],[Pagado]]</f>
        <v>0</v>
      </c>
      <c r="I2021" s="275" t="s">
        <v>15214</v>
      </c>
    </row>
    <row r="2022" spans="1:9" x14ac:dyDescent="0.25">
      <c r="A2022" s="299">
        <v>42964</v>
      </c>
      <c r="B2022" s="302" t="s">
        <v>25865</v>
      </c>
      <c r="C2022">
        <v>123994</v>
      </c>
      <c r="D2022" s="236" t="s">
        <v>15220</v>
      </c>
      <c r="E2022" s="301">
        <v>2350</v>
      </c>
      <c r="F2022" s="303">
        <v>42964</v>
      </c>
      <c r="G2022" s="301">
        <v>2350</v>
      </c>
      <c r="H2022" s="304">
        <f>Tabla13[[#This Row],[Importe]]-Tabla13[[#This Row],[Pagado]]</f>
        <v>0</v>
      </c>
      <c r="I2022" s="275" t="s">
        <v>15214</v>
      </c>
    </row>
    <row r="2023" spans="1:9" x14ac:dyDescent="0.25">
      <c r="A2023" s="299">
        <v>42964</v>
      </c>
      <c r="B2023" s="302" t="s">
        <v>25866</v>
      </c>
      <c r="C2023">
        <v>123995</v>
      </c>
      <c r="D2023" s="236" t="s">
        <v>16484</v>
      </c>
      <c r="E2023" s="301">
        <v>1225.8</v>
      </c>
      <c r="F2023" s="303">
        <v>42964</v>
      </c>
      <c r="G2023" s="301">
        <v>1225.8</v>
      </c>
      <c r="H2023" s="304">
        <f>Tabla13[[#This Row],[Importe]]-Tabla13[[#This Row],[Pagado]]</f>
        <v>0</v>
      </c>
      <c r="I2023" s="275" t="s">
        <v>15214</v>
      </c>
    </row>
    <row r="2024" spans="1:9" x14ac:dyDescent="0.25">
      <c r="A2024" s="299">
        <v>42964</v>
      </c>
      <c r="B2024" s="302" t="s">
        <v>25867</v>
      </c>
      <c r="C2024">
        <v>123996</v>
      </c>
      <c r="D2024" s="236" t="s">
        <v>15553</v>
      </c>
      <c r="E2024" s="301">
        <v>32428.22</v>
      </c>
      <c r="F2024" s="303">
        <v>42965</v>
      </c>
      <c r="G2024" s="301">
        <v>32428.22</v>
      </c>
      <c r="H2024" s="304">
        <f>Tabla13[[#This Row],[Importe]]-Tabla13[[#This Row],[Pagado]]</f>
        <v>0</v>
      </c>
      <c r="I2024" s="275" t="s">
        <v>15214</v>
      </c>
    </row>
    <row r="2025" spans="1:9" x14ac:dyDescent="0.25">
      <c r="A2025" s="299">
        <v>42964</v>
      </c>
      <c r="B2025" s="302" t="s">
        <v>25868</v>
      </c>
      <c r="C2025">
        <v>123997</v>
      </c>
      <c r="D2025" s="236" t="s">
        <v>15223</v>
      </c>
      <c r="E2025" s="301">
        <v>52322.400000000001</v>
      </c>
      <c r="F2025" s="266">
        <v>42984</v>
      </c>
      <c r="G2025" s="35">
        <v>52322.400000000001</v>
      </c>
      <c r="H2025" s="304">
        <f>Tabla13[[#This Row],[Importe]]-Tabla13[[#This Row],[Pagado]]</f>
        <v>0</v>
      </c>
      <c r="I2025" s="275" t="s">
        <v>15214</v>
      </c>
    </row>
    <row r="2026" spans="1:9" x14ac:dyDescent="0.25">
      <c r="A2026" s="299">
        <v>42964</v>
      </c>
      <c r="B2026" s="302" t="s">
        <v>25869</v>
      </c>
      <c r="C2026">
        <v>123998</v>
      </c>
      <c r="D2026" s="236" t="s">
        <v>15371</v>
      </c>
      <c r="E2026" s="301">
        <v>4761.2</v>
      </c>
      <c r="F2026" s="303">
        <v>42965</v>
      </c>
      <c r="G2026" s="301">
        <v>4761.2</v>
      </c>
      <c r="H2026" s="304">
        <f>Tabla13[[#This Row],[Importe]]-Tabla13[[#This Row],[Pagado]]</f>
        <v>0</v>
      </c>
      <c r="I2026" s="275" t="s">
        <v>15214</v>
      </c>
    </row>
    <row r="2027" spans="1:9" ht="30" x14ac:dyDescent="0.25">
      <c r="A2027" s="299">
        <v>42964</v>
      </c>
      <c r="B2027" s="302" t="s">
        <v>25870</v>
      </c>
      <c r="C2027">
        <v>123999</v>
      </c>
      <c r="D2027" s="236" t="s">
        <v>15555</v>
      </c>
      <c r="E2027" s="301">
        <v>30924.959999999999</v>
      </c>
      <c r="F2027" s="303" t="s">
        <v>25871</v>
      </c>
      <c r="G2027" s="305">
        <f>21603.65+9321.31</f>
        <v>30924.959999999999</v>
      </c>
      <c r="H2027" s="304">
        <f>Tabla13[[#This Row],[Importe]]-Tabla13[[#This Row],[Pagado]]</f>
        <v>0</v>
      </c>
      <c r="I2027" s="275" t="s">
        <v>15214</v>
      </c>
    </row>
    <row r="2028" spans="1:9" x14ac:dyDescent="0.25">
      <c r="A2028" s="299">
        <v>42964</v>
      </c>
      <c r="B2028" s="302" t="s">
        <v>25872</v>
      </c>
      <c r="C2028">
        <v>124000</v>
      </c>
      <c r="D2028" s="236" t="s">
        <v>15232</v>
      </c>
      <c r="E2028" s="301">
        <v>9664.1</v>
      </c>
      <c r="F2028" s="303">
        <v>42971</v>
      </c>
      <c r="G2028" s="301">
        <v>9664.1</v>
      </c>
      <c r="H2028" s="304">
        <f>Tabla13[[#This Row],[Importe]]-Tabla13[[#This Row],[Pagado]]</f>
        <v>0</v>
      </c>
      <c r="I2028" s="275" t="s">
        <v>15214</v>
      </c>
    </row>
    <row r="2029" spans="1:9" x14ac:dyDescent="0.25">
      <c r="A2029" s="299">
        <v>42964</v>
      </c>
      <c r="B2029" s="302" t="s">
        <v>25873</v>
      </c>
      <c r="C2029">
        <v>124001</v>
      </c>
      <c r="D2029" s="236" t="s">
        <v>15559</v>
      </c>
      <c r="E2029" s="301">
        <v>8791.25</v>
      </c>
      <c r="F2029" s="303">
        <v>42970</v>
      </c>
      <c r="G2029" s="301">
        <v>8791.25</v>
      </c>
      <c r="H2029" s="304">
        <f>Tabla13[[#This Row],[Importe]]-Tabla13[[#This Row],[Pagado]]</f>
        <v>0</v>
      </c>
      <c r="I2029" s="275" t="s">
        <v>15214</v>
      </c>
    </row>
    <row r="2030" spans="1:9" x14ac:dyDescent="0.25">
      <c r="A2030" s="299">
        <v>42964</v>
      </c>
      <c r="B2030" s="302" t="s">
        <v>25874</v>
      </c>
      <c r="C2030">
        <v>124002</v>
      </c>
      <c r="D2030" s="236" t="s">
        <v>15315</v>
      </c>
      <c r="E2030" s="301">
        <v>550.4</v>
      </c>
      <c r="F2030" s="303">
        <v>42973</v>
      </c>
      <c r="G2030" s="301">
        <v>550.4</v>
      </c>
      <c r="H2030" s="304">
        <f>Tabla13[[#This Row],[Importe]]-Tabla13[[#This Row],[Pagado]]</f>
        <v>0</v>
      </c>
      <c r="I2030" s="275" t="s">
        <v>15214</v>
      </c>
    </row>
    <row r="2031" spans="1:9" x14ac:dyDescent="0.25">
      <c r="A2031" s="299">
        <v>42964</v>
      </c>
      <c r="B2031" s="302" t="s">
        <v>25875</v>
      </c>
      <c r="C2031">
        <v>124003</v>
      </c>
      <c r="D2031" s="236" t="s">
        <v>15315</v>
      </c>
      <c r="E2031" s="301">
        <v>2534.4</v>
      </c>
      <c r="F2031" s="303">
        <v>42966</v>
      </c>
      <c r="G2031" s="301">
        <v>2534.4</v>
      </c>
      <c r="H2031" s="304">
        <f>Tabla13[[#This Row],[Importe]]-Tabla13[[#This Row],[Pagado]]</f>
        <v>0</v>
      </c>
      <c r="I2031" s="275" t="s">
        <v>15214</v>
      </c>
    </row>
    <row r="2032" spans="1:9" x14ac:dyDescent="0.25">
      <c r="A2032" s="299">
        <v>42964</v>
      </c>
      <c r="B2032" s="302" t="s">
        <v>25876</v>
      </c>
      <c r="C2032">
        <v>124004</v>
      </c>
      <c r="D2032" s="236" t="s">
        <v>15234</v>
      </c>
      <c r="E2032" s="301">
        <v>3685.2</v>
      </c>
      <c r="F2032" s="303">
        <v>42968</v>
      </c>
      <c r="G2032" s="301">
        <v>3685.2</v>
      </c>
      <c r="H2032" s="304">
        <f>Tabla13[[#This Row],[Importe]]-Tabla13[[#This Row],[Pagado]]</f>
        <v>0</v>
      </c>
      <c r="I2032" s="275" t="s">
        <v>15214</v>
      </c>
    </row>
    <row r="2033" spans="1:9" ht="30" x14ac:dyDescent="0.25">
      <c r="A2033" s="299">
        <v>42964</v>
      </c>
      <c r="B2033" s="302" t="s">
        <v>25877</v>
      </c>
      <c r="C2033">
        <v>124005</v>
      </c>
      <c r="D2033" s="236" t="s">
        <v>15256</v>
      </c>
      <c r="E2033" s="301">
        <v>6043</v>
      </c>
      <c r="F2033" s="303" t="s">
        <v>25878</v>
      </c>
      <c r="G2033" s="305">
        <f>3800+2243</f>
        <v>6043</v>
      </c>
      <c r="H2033" s="304">
        <f>Tabla13[[#This Row],[Importe]]-Tabla13[[#This Row],[Pagado]]</f>
        <v>0</v>
      </c>
      <c r="I2033" s="275" t="s">
        <v>15214</v>
      </c>
    </row>
    <row r="2034" spans="1:9" x14ac:dyDescent="0.25">
      <c r="A2034" s="299">
        <v>42964</v>
      </c>
      <c r="B2034" s="302" t="s">
        <v>25879</v>
      </c>
      <c r="C2034">
        <v>124006</v>
      </c>
      <c r="D2034" s="236" t="s">
        <v>15668</v>
      </c>
      <c r="E2034" s="301">
        <v>20989.200000000001</v>
      </c>
      <c r="F2034" s="303">
        <v>42965</v>
      </c>
      <c r="G2034" s="301">
        <v>20989.200000000001</v>
      </c>
      <c r="H2034" s="304">
        <f>Tabla13[[#This Row],[Importe]]-Tabla13[[#This Row],[Pagado]]</f>
        <v>0</v>
      </c>
      <c r="I2034" s="275" t="s">
        <v>15214</v>
      </c>
    </row>
    <row r="2035" spans="1:9" x14ac:dyDescent="0.25">
      <c r="A2035" s="299">
        <v>42964</v>
      </c>
      <c r="B2035" s="302" t="s">
        <v>25880</v>
      </c>
      <c r="C2035">
        <v>124007</v>
      </c>
      <c r="D2035" s="236" t="s">
        <v>5575</v>
      </c>
      <c r="E2035" s="301">
        <v>7146.3</v>
      </c>
      <c r="F2035" s="303">
        <v>42966</v>
      </c>
      <c r="G2035" s="301">
        <v>7146.3</v>
      </c>
      <c r="H2035" s="304">
        <f>Tabla13[[#This Row],[Importe]]-Tabla13[[#This Row],[Pagado]]</f>
        <v>0</v>
      </c>
      <c r="I2035" s="275" t="s">
        <v>15214</v>
      </c>
    </row>
    <row r="2036" spans="1:9" x14ac:dyDescent="0.25">
      <c r="A2036" s="299">
        <v>42964</v>
      </c>
      <c r="B2036" s="302" t="s">
        <v>25881</v>
      </c>
      <c r="C2036">
        <v>124008</v>
      </c>
      <c r="D2036" s="236" t="s">
        <v>15238</v>
      </c>
      <c r="E2036" s="301">
        <v>5874.8</v>
      </c>
      <c r="F2036" s="303">
        <v>42966</v>
      </c>
      <c r="G2036" s="301">
        <v>5874.8</v>
      </c>
      <c r="H2036" s="304">
        <f>Tabla13[[#This Row],[Importe]]-Tabla13[[#This Row],[Pagado]]</f>
        <v>0</v>
      </c>
      <c r="I2036" s="275" t="s">
        <v>15214</v>
      </c>
    </row>
    <row r="2037" spans="1:9" x14ac:dyDescent="0.25">
      <c r="A2037" s="299">
        <v>42964</v>
      </c>
      <c r="B2037" s="302" t="s">
        <v>25882</v>
      </c>
      <c r="C2037">
        <v>124009</v>
      </c>
      <c r="D2037" s="236" t="s">
        <v>15258</v>
      </c>
      <c r="E2037" s="301">
        <v>11180.1</v>
      </c>
      <c r="F2037" s="303">
        <v>42968</v>
      </c>
      <c r="G2037" s="301">
        <v>11180.1</v>
      </c>
      <c r="H2037" s="304">
        <f>Tabla13[[#This Row],[Importe]]-Tabla13[[#This Row],[Pagado]]</f>
        <v>0</v>
      </c>
      <c r="I2037" s="275" t="s">
        <v>15214</v>
      </c>
    </row>
    <row r="2038" spans="1:9" ht="30" x14ac:dyDescent="0.25">
      <c r="A2038" s="299">
        <v>42964</v>
      </c>
      <c r="B2038" s="302" t="s">
        <v>25883</v>
      </c>
      <c r="C2038">
        <v>124010</v>
      </c>
      <c r="D2038" s="236" t="s">
        <v>15480</v>
      </c>
      <c r="E2038" s="301">
        <v>3967.4</v>
      </c>
      <c r="F2038" s="303" t="s">
        <v>25884</v>
      </c>
      <c r="G2038" s="305">
        <f>1800+2167.4</f>
        <v>3967.4</v>
      </c>
      <c r="H2038" s="304">
        <f>Tabla13[[#This Row],[Importe]]-Tabla13[[#This Row],[Pagado]]</f>
        <v>0</v>
      </c>
      <c r="I2038" s="275" t="s">
        <v>15214</v>
      </c>
    </row>
    <row r="2039" spans="1:9" x14ac:dyDescent="0.25">
      <c r="A2039" s="299">
        <v>42964</v>
      </c>
      <c r="B2039" s="302" t="s">
        <v>25885</v>
      </c>
      <c r="C2039">
        <v>124011</v>
      </c>
      <c r="D2039" s="236" t="s">
        <v>15263</v>
      </c>
      <c r="E2039" s="301">
        <v>1453.2</v>
      </c>
      <c r="F2039" s="303">
        <v>42964</v>
      </c>
      <c r="G2039" s="301">
        <v>1453.2</v>
      </c>
      <c r="H2039" s="304">
        <f>Tabla13[[#This Row],[Importe]]-Tabla13[[#This Row],[Pagado]]</f>
        <v>0</v>
      </c>
      <c r="I2039" s="275" t="s">
        <v>15214</v>
      </c>
    </row>
    <row r="2040" spans="1:9" x14ac:dyDescent="0.25">
      <c r="A2040" s="299">
        <v>42964</v>
      </c>
      <c r="B2040" s="302" t="s">
        <v>25886</v>
      </c>
      <c r="C2040">
        <v>124012</v>
      </c>
      <c r="D2040" s="236" t="s">
        <v>15261</v>
      </c>
      <c r="E2040" s="301">
        <v>16562.41</v>
      </c>
      <c r="F2040" s="303">
        <v>42964</v>
      </c>
      <c r="G2040" s="301">
        <v>16562.41</v>
      </c>
      <c r="H2040" s="304">
        <f>Tabla13[[#This Row],[Importe]]-Tabla13[[#This Row],[Pagado]]</f>
        <v>0</v>
      </c>
      <c r="I2040" s="275" t="s">
        <v>15214</v>
      </c>
    </row>
    <row r="2041" spans="1:9" x14ac:dyDescent="0.25">
      <c r="A2041" s="299">
        <v>42964</v>
      </c>
      <c r="B2041" s="302" t="s">
        <v>25887</v>
      </c>
      <c r="C2041">
        <v>124013</v>
      </c>
      <c r="D2041" s="236" t="s">
        <v>15315</v>
      </c>
      <c r="E2041" s="301">
        <v>29931.99</v>
      </c>
      <c r="F2041" s="303">
        <v>42965</v>
      </c>
      <c r="G2041" s="301">
        <v>29931.99</v>
      </c>
      <c r="H2041" s="304">
        <f>Tabla13[[#This Row],[Importe]]-Tabla13[[#This Row],[Pagado]]</f>
        <v>0</v>
      </c>
      <c r="I2041" s="275" t="s">
        <v>15214</v>
      </c>
    </row>
    <row r="2042" spans="1:9" x14ac:dyDescent="0.25">
      <c r="A2042" s="299">
        <v>42964</v>
      </c>
      <c r="B2042" s="302" t="s">
        <v>25888</v>
      </c>
      <c r="C2042">
        <v>124014</v>
      </c>
      <c r="D2042" s="236" t="s">
        <v>15328</v>
      </c>
      <c r="E2042" s="301">
        <v>52022.94</v>
      </c>
      <c r="F2042" s="303">
        <v>42969</v>
      </c>
      <c r="G2042" s="301">
        <v>52022.94</v>
      </c>
      <c r="H2042" s="304">
        <f>Tabla13[[#This Row],[Importe]]-Tabla13[[#This Row],[Pagado]]</f>
        <v>0</v>
      </c>
      <c r="I2042" s="275" t="s">
        <v>15214</v>
      </c>
    </row>
    <row r="2043" spans="1:9" x14ac:dyDescent="0.25">
      <c r="A2043" s="299">
        <v>42964</v>
      </c>
      <c r="B2043" s="302" t="s">
        <v>25889</v>
      </c>
      <c r="C2043">
        <v>124015</v>
      </c>
      <c r="D2043" s="236" t="s">
        <v>15248</v>
      </c>
      <c r="E2043" s="301">
        <v>22119.52</v>
      </c>
      <c r="F2043" s="303">
        <v>42964</v>
      </c>
      <c r="G2043" s="301">
        <v>22119.52</v>
      </c>
      <c r="H2043" s="304">
        <f>Tabla13[[#This Row],[Importe]]-Tabla13[[#This Row],[Pagado]]</f>
        <v>0</v>
      </c>
      <c r="I2043" s="275" t="s">
        <v>15214</v>
      </c>
    </row>
    <row r="2044" spans="1:9" x14ac:dyDescent="0.25">
      <c r="A2044" s="299">
        <v>42964</v>
      </c>
      <c r="B2044" s="302" t="s">
        <v>25890</v>
      </c>
      <c r="C2044">
        <v>124016</v>
      </c>
      <c r="D2044" s="236" t="s">
        <v>15250</v>
      </c>
      <c r="E2044" s="301">
        <v>34542.89</v>
      </c>
      <c r="F2044" s="303">
        <v>42970</v>
      </c>
      <c r="G2044" s="301">
        <v>34542.89</v>
      </c>
      <c r="H2044" s="304">
        <f>Tabla13[[#This Row],[Importe]]-Tabla13[[#This Row],[Pagado]]</f>
        <v>0</v>
      </c>
      <c r="I2044" s="275" t="s">
        <v>15214</v>
      </c>
    </row>
    <row r="2045" spans="1:9" x14ac:dyDescent="0.25">
      <c r="A2045" s="299">
        <v>42964</v>
      </c>
      <c r="B2045" s="302" t="s">
        <v>25891</v>
      </c>
      <c r="C2045">
        <v>124017</v>
      </c>
      <c r="D2045" s="236" t="s">
        <v>15278</v>
      </c>
      <c r="E2045" s="301">
        <v>7315.7</v>
      </c>
      <c r="F2045" s="303">
        <v>42964</v>
      </c>
      <c r="G2045" s="301">
        <v>7315.7</v>
      </c>
      <c r="H2045" s="304">
        <f>Tabla13[[#This Row],[Importe]]-Tabla13[[#This Row],[Pagado]]</f>
        <v>0</v>
      </c>
      <c r="I2045" s="275" t="s">
        <v>15214</v>
      </c>
    </row>
    <row r="2046" spans="1:9" x14ac:dyDescent="0.25">
      <c r="A2046" s="299">
        <v>42964</v>
      </c>
      <c r="B2046" s="302" t="s">
        <v>25892</v>
      </c>
      <c r="C2046">
        <v>124018</v>
      </c>
      <c r="D2046" s="236" t="s">
        <v>15280</v>
      </c>
      <c r="E2046" s="301">
        <v>6338</v>
      </c>
      <c r="F2046" s="303">
        <v>42964</v>
      </c>
      <c r="G2046" s="301">
        <v>6338</v>
      </c>
      <c r="H2046" s="304">
        <f>Tabla13[[#This Row],[Importe]]-Tabla13[[#This Row],[Pagado]]</f>
        <v>0</v>
      </c>
      <c r="I2046" s="275" t="s">
        <v>15214</v>
      </c>
    </row>
    <row r="2047" spans="1:9" x14ac:dyDescent="0.25">
      <c r="A2047" s="299">
        <v>42964</v>
      </c>
      <c r="B2047" s="302" t="s">
        <v>25893</v>
      </c>
      <c r="C2047">
        <v>124019</v>
      </c>
      <c r="D2047" s="236" t="s">
        <v>15328</v>
      </c>
      <c r="E2047" s="301">
        <v>33576.47</v>
      </c>
      <c r="F2047" s="303">
        <v>42969</v>
      </c>
      <c r="G2047" s="301">
        <v>33576.47</v>
      </c>
      <c r="H2047" s="304">
        <f>Tabla13[[#This Row],[Importe]]-Tabla13[[#This Row],[Pagado]]</f>
        <v>0</v>
      </c>
      <c r="I2047" s="275" t="s">
        <v>15214</v>
      </c>
    </row>
    <row r="2048" spans="1:9" x14ac:dyDescent="0.25">
      <c r="A2048" s="299">
        <v>42964</v>
      </c>
      <c r="B2048" s="302" t="s">
        <v>25894</v>
      </c>
      <c r="C2048">
        <v>124020</v>
      </c>
      <c r="D2048" s="236" t="s">
        <v>15328</v>
      </c>
      <c r="E2048" s="301">
        <v>136</v>
      </c>
      <c r="F2048" s="303">
        <v>42969</v>
      </c>
      <c r="G2048" s="301">
        <v>136</v>
      </c>
      <c r="H2048" s="304">
        <f>Tabla13[[#This Row],[Importe]]-Tabla13[[#This Row],[Pagado]]</f>
        <v>0</v>
      </c>
      <c r="I2048" s="275" t="s">
        <v>15214</v>
      </c>
    </row>
    <row r="2049" spans="1:9" x14ac:dyDescent="0.25">
      <c r="A2049" s="299">
        <v>42964</v>
      </c>
      <c r="B2049" s="302" t="s">
        <v>25895</v>
      </c>
      <c r="C2049">
        <v>124021</v>
      </c>
      <c r="D2049" s="236" t="s">
        <v>15274</v>
      </c>
      <c r="E2049" s="301">
        <v>4863.6400000000003</v>
      </c>
      <c r="F2049" s="303">
        <v>42964</v>
      </c>
      <c r="G2049" s="301">
        <v>4863.6400000000003</v>
      </c>
      <c r="H2049" s="304">
        <f>Tabla13[[#This Row],[Importe]]-Tabla13[[#This Row],[Pagado]]</f>
        <v>0</v>
      </c>
      <c r="I2049" s="275" t="s">
        <v>15214</v>
      </c>
    </row>
    <row r="2050" spans="1:9" x14ac:dyDescent="0.25">
      <c r="A2050" s="299">
        <v>42964</v>
      </c>
      <c r="B2050" s="302" t="s">
        <v>25896</v>
      </c>
      <c r="C2050">
        <v>124022</v>
      </c>
      <c r="D2050" s="236" t="s">
        <v>15415</v>
      </c>
      <c r="E2050" s="301">
        <v>4185.1000000000004</v>
      </c>
      <c r="F2050" s="303">
        <v>42965</v>
      </c>
      <c r="G2050" s="301">
        <v>4185.1000000000004</v>
      </c>
      <c r="H2050" s="304">
        <f>Tabla13[[#This Row],[Importe]]-Tabla13[[#This Row],[Pagado]]</f>
        <v>0</v>
      </c>
      <c r="I2050" s="275" t="s">
        <v>15214</v>
      </c>
    </row>
    <row r="2051" spans="1:9" x14ac:dyDescent="0.25">
      <c r="A2051" s="299">
        <v>42964</v>
      </c>
      <c r="B2051" s="302" t="s">
        <v>25897</v>
      </c>
      <c r="C2051">
        <v>124023</v>
      </c>
      <c r="D2051" s="236" t="s">
        <v>15301</v>
      </c>
      <c r="E2051" s="301">
        <v>3655.6</v>
      </c>
      <c r="F2051" s="303">
        <v>42964</v>
      </c>
      <c r="G2051" s="301">
        <v>3655.6</v>
      </c>
      <c r="H2051" s="304">
        <f>Tabla13[[#This Row],[Importe]]-Tabla13[[#This Row],[Pagado]]</f>
        <v>0</v>
      </c>
      <c r="I2051" s="275" t="s">
        <v>15214</v>
      </c>
    </row>
    <row r="2052" spans="1:9" x14ac:dyDescent="0.25">
      <c r="A2052" s="299">
        <v>42964</v>
      </c>
      <c r="B2052" s="302" t="s">
        <v>25898</v>
      </c>
      <c r="C2052">
        <v>124024</v>
      </c>
      <c r="D2052" s="236" t="s">
        <v>15298</v>
      </c>
      <c r="E2052" s="301">
        <v>25636.6</v>
      </c>
      <c r="F2052" s="266">
        <v>42979</v>
      </c>
      <c r="G2052" s="35">
        <v>25636.6</v>
      </c>
      <c r="H2052" s="304">
        <f>Tabla13[[#This Row],[Importe]]-Tabla13[[#This Row],[Pagado]]</f>
        <v>0</v>
      </c>
      <c r="I2052" s="275" t="s">
        <v>15214</v>
      </c>
    </row>
    <row r="2053" spans="1:9" ht="15.75" x14ac:dyDescent="0.25">
      <c r="A2053" s="299">
        <v>42964</v>
      </c>
      <c r="B2053" s="302" t="s">
        <v>25899</v>
      </c>
      <c r="C2053">
        <v>124025</v>
      </c>
      <c r="D2053" s="248" t="s">
        <v>95</v>
      </c>
      <c r="E2053" s="301">
        <v>0</v>
      </c>
      <c r="F2053" s="243" t="s">
        <v>95</v>
      </c>
      <c r="G2053" s="301">
        <v>0</v>
      </c>
      <c r="H2053" s="304">
        <f>Tabla13[[#This Row],[Importe]]-Tabla13[[#This Row],[Pagado]]</f>
        <v>0</v>
      </c>
      <c r="I2053" s="275" t="s">
        <v>95</v>
      </c>
    </row>
    <row r="2054" spans="1:9" x14ac:dyDescent="0.25">
      <c r="A2054" s="299">
        <v>42964</v>
      </c>
      <c r="B2054" s="302" t="s">
        <v>25900</v>
      </c>
      <c r="C2054">
        <v>124026</v>
      </c>
      <c r="D2054" s="236" t="s">
        <v>15274</v>
      </c>
      <c r="E2054" s="301">
        <v>1175</v>
      </c>
      <c r="F2054" s="303">
        <v>42964</v>
      </c>
      <c r="G2054" s="301">
        <v>1175</v>
      </c>
      <c r="H2054" s="304">
        <f>Tabla13[[#This Row],[Importe]]-Tabla13[[#This Row],[Pagado]]</f>
        <v>0</v>
      </c>
      <c r="I2054" s="275" t="s">
        <v>15214</v>
      </c>
    </row>
    <row r="2055" spans="1:9" x14ac:dyDescent="0.25">
      <c r="A2055" s="299">
        <v>42964</v>
      </c>
      <c r="B2055" s="302" t="s">
        <v>25901</v>
      </c>
      <c r="C2055">
        <v>124027</v>
      </c>
      <c r="D2055" s="236" t="s">
        <v>15307</v>
      </c>
      <c r="E2055" s="301">
        <v>1585.5</v>
      </c>
      <c r="F2055" s="303">
        <v>42964</v>
      </c>
      <c r="G2055" s="301">
        <v>1585.5</v>
      </c>
      <c r="H2055" s="304">
        <f>Tabla13[[#This Row],[Importe]]-Tabla13[[#This Row],[Pagado]]</f>
        <v>0</v>
      </c>
      <c r="I2055" s="275" t="s">
        <v>15214</v>
      </c>
    </row>
    <row r="2056" spans="1:9" ht="15.75" x14ac:dyDescent="0.25">
      <c r="A2056" s="299">
        <v>42964</v>
      </c>
      <c r="B2056" s="302" t="s">
        <v>25902</v>
      </c>
      <c r="C2056">
        <v>124028</v>
      </c>
      <c r="D2056" s="248" t="s">
        <v>95</v>
      </c>
      <c r="E2056" s="301">
        <v>0</v>
      </c>
      <c r="F2056" s="243" t="s">
        <v>95</v>
      </c>
      <c r="G2056" s="301">
        <v>0</v>
      </c>
      <c r="H2056" s="304">
        <f>Tabla13[[#This Row],[Importe]]-Tabla13[[#This Row],[Pagado]]</f>
        <v>0</v>
      </c>
      <c r="I2056" s="275" t="s">
        <v>95</v>
      </c>
    </row>
    <row r="2057" spans="1:9" x14ac:dyDescent="0.25">
      <c r="A2057" s="299">
        <v>42964</v>
      </c>
      <c r="B2057" s="302" t="s">
        <v>25903</v>
      </c>
      <c r="C2057">
        <v>124029</v>
      </c>
      <c r="D2057" s="236" t="s">
        <v>15291</v>
      </c>
      <c r="E2057" s="301">
        <v>1190</v>
      </c>
      <c r="F2057" s="303">
        <v>42964</v>
      </c>
      <c r="G2057" s="301">
        <v>1190</v>
      </c>
      <c r="H2057" s="304">
        <f>Tabla13[[#This Row],[Importe]]-Tabla13[[#This Row],[Pagado]]</f>
        <v>0</v>
      </c>
      <c r="I2057" s="275" t="s">
        <v>15214</v>
      </c>
    </row>
    <row r="2058" spans="1:9" x14ac:dyDescent="0.25">
      <c r="A2058" s="299">
        <v>42964</v>
      </c>
      <c r="B2058" s="302" t="s">
        <v>25904</v>
      </c>
      <c r="C2058">
        <v>124030</v>
      </c>
      <c r="D2058" s="236" t="s">
        <v>15320</v>
      </c>
      <c r="E2058" s="301">
        <v>2934.8</v>
      </c>
      <c r="F2058" s="303">
        <v>42964</v>
      </c>
      <c r="G2058" s="301">
        <v>2934.8</v>
      </c>
      <c r="H2058" s="304">
        <f>Tabla13[[#This Row],[Importe]]-Tabla13[[#This Row],[Pagado]]</f>
        <v>0</v>
      </c>
      <c r="I2058" s="275" t="s">
        <v>15214</v>
      </c>
    </row>
    <row r="2059" spans="1:9" x14ac:dyDescent="0.25">
      <c r="A2059" s="299">
        <v>42964</v>
      </c>
      <c r="B2059" s="302" t="s">
        <v>25905</v>
      </c>
      <c r="C2059">
        <v>124031</v>
      </c>
      <c r="D2059" s="236" t="s">
        <v>15537</v>
      </c>
      <c r="E2059" s="301">
        <v>735.2</v>
      </c>
      <c r="F2059" s="303">
        <v>42973</v>
      </c>
      <c r="G2059" s="301">
        <v>735.2</v>
      </c>
      <c r="H2059" s="304">
        <f>Tabla13[[#This Row],[Importe]]-Tabla13[[#This Row],[Pagado]]</f>
        <v>0</v>
      </c>
      <c r="I2059" s="275" t="s">
        <v>15214</v>
      </c>
    </row>
    <row r="2060" spans="1:9" x14ac:dyDescent="0.25">
      <c r="A2060" s="299">
        <v>42964</v>
      </c>
      <c r="B2060" s="302" t="s">
        <v>25906</v>
      </c>
      <c r="C2060">
        <v>124032</v>
      </c>
      <c r="D2060" s="236" t="s">
        <v>15305</v>
      </c>
      <c r="E2060" s="301">
        <v>1475.45</v>
      </c>
      <c r="F2060" s="303">
        <v>42964</v>
      </c>
      <c r="G2060" s="301">
        <v>1475.45</v>
      </c>
      <c r="H2060" s="304">
        <f>Tabla13[[#This Row],[Importe]]-Tabla13[[#This Row],[Pagado]]</f>
        <v>0</v>
      </c>
      <c r="I2060" s="275" t="s">
        <v>15214</v>
      </c>
    </row>
    <row r="2061" spans="1:9" x14ac:dyDescent="0.25">
      <c r="A2061" s="299">
        <v>42964</v>
      </c>
      <c r="B2061" s="302" t="s">
        <v>25907</v>
      </c>
      <c r="C2061">
        <v>124033</v>
      </c>
      <c r="D2061" s="236" t="s">
        <v>15284</v>
      </c>
      <c r="E2061" s="301">
        <v>1929.4</v>
      </c>
      <c r="F2061" s="303">
        <v>42964</v>
      </c>
      <c r="G2061" s="301">
        <v>1929.4</v>
      </c>
      <c r="H2061" s="304">
        <f>Tabla13[[#This Row],[Importe]]-Tabla13[[#This Row],[Pagado]]</f>
        <v>0</v>
      </c>
      <c r="I2061" s="275" t="s">
        <v>15214</v>
      </c>
    </row>
    <row r="2062" spans="1:9" x14ac:dyDescent="0.25">
      <c r="A2062" s="299">
        <v>42964</v>
      </c>
      <c r="B2062" s="302" t="s">
        <v>25908</v>
      </c>
      <c r="C2062">
        <v>124034</v>
      </c>
      <c r="D2062" s="236" t="s">
        <v>15324</v>
      </c>
      <c r="E2062" s="301">
        <v>2837.5</v>
      </c>
      <c r="F2062" s="303">
        <v>42964</v>
      </c>
      <c r="G2062" s="301">
        <v>2837.5</v>
      </c>
      <c r="H2062" s="304">
        <f>Tabla13[[#This Row],[Importe]]-Tabla13[[#This Row],[Pagado]]</f>
        <v>0</v>
      </c>
      <c r="I2062" s="275" t="s">
        <v>15214</v>
      </c>
    </row>
    <row r="2063" spans="1:9" x14ac:dyDescent="0.25">
      <c r="A2063" s="299">
        <v>42964</v>
      </c>
      <c r="B2063" s="302" t="s">
        <v>25909</v>
      </c>
      <c r="C2063">
        <v>124035</v>
      </c>
      <c r="D2063" s="236" t="s">
        <v>23206</v>
      </c>
      <c r="E2063" s="301">
        <v>6396.4</v>
      </c>
      <c r="F2063" s="303">
        <v>42964</v>
      </c>
      <c r="G2063" s="301">
        <v>6396.4</v>
      </c>
      <c r="H2063" s="304">
        <f>Tabla13[[#This Row],[Importe]]-Tabla13[[#This Row],[Pagado]]</f>
        <v>0</v>
      </c>
      <c r="I2063" s="275" t="s">
        <v>15214</v>
      </c>
    </row>
    <row r="2064" spans="1:9" x14ac:dyDescent="0.25">
      <c r="A2064" s="299">
        <v>42964</v>
      </c>
      <c r="B2064" s="302" t="s">
        <v>25910</v>
      </c>
      <c r="C2064">
        <v>124036</v>
      </c>
      <c r="D2064" s="236" t="s">
        <v>15311</v>
      </c>
      <c r="E2064" s="301">
        <v>3072.6</v>
      </c>
      <c r="F2064" s="303">
        <v>42964</v>
      </c>
      <c r="G2064" s="301">
        <v>3072.6</v>
      </c>
      <c r="H2064" s="304">
        <f>Tabla13[[#This Row],[Importe]]-Tabla13[[#This Row],[Pagado]]</f>
        <v>0</v>
      </c>
      <c r="I2064" s="275" t="s">
        <v>15214</v>
      </c>
    </row>
    <row r="2065" spans="1:9" x14ac:dyDescent="0.25">
      <c r="A2065" s="299">
        <v>42964</v>
      </c>
      <c r="B2065" s="302" t="s">
        <v>25911</v>
      </c>
      <c r="C2065">
        <v>124037</v>
      </c>
      <c r="D2065" s="236" t="s">
        <v>15624</v>
      </c>
      <c r="E2065" s="301">
        <v>32993.800000000003</v>
      </c>
      <c r="F2065" s="303">
        <v>42966</v>
      </c>
      <c r="G2065" s="301">
        <v>32993.800000000003</v>
      </c>
      <c r="H2065" s="304">
        <f>Tabla13[[#This Row],[Importe]]-Tabla13[[#This Row],[Pagado]]</f>
        <v>0</v>
      </c>
      <c r="I2065" s="275" t="s">
        <v>15214</v>
      </c>
    </row>
    <row r="2066" spans="1:9" x14ac:dyDescent="0.25">
      <c r="A2066" s="299">
        <v>42964</v>
      </c>
      <c r="B2066" s="302" t="s">
        <v>25912</v>
      </c>
      <c r="C2066">
        <v>124038</v>
      </c>
      <c r="D2066" s="236" t="s">
        <v>15396</v>
      </c>
      <c r="E2066" s="301">
        <v>7817.4</v>
      </c>
      <c r="F2066" s="303">
        <v>42964</v>
      </c>
      <c r="G2066" s="301">
        <v>7817.4</v>
      </c>
      <c r="H2066" s="304">
        <f>Tabla13[[#This Row],[Importe]]-Tabla13[[#This Row],[Pagado]]</f>
        <v>0</v>
      </c>
      <c r="I2066" s="275" t="s">
        <v>15214</v>
      </c>
    </row>
    <row r="2067" spans="1:9" x14ac:dyDescent="0.25">
      <c r="A2067" s="299">
        <v>42964</v>
      </c>
      <c r="B2067" s="302" t="s">
        <v>25913</v>
      </c>
      <c r="C2067">
        <v>124039</v>
      </c>
      <c r="D2067" s="236" t="s">
        <v>23218</v>
      </c>
      <c r="E2067" s="301">
        <v>4878.3999999999996</v>
      </c>
      <c r="F2067" s="303">
        <v>42964</v>
      </c>
      <c r="G2067" s="301">
        <v>4878.3999999999996</v>
      </c>
      <c r="H2067" s="304">
        <f>Tabla13[[#This Row],[Importe]]-Tabla13[[#This Row],[Pagado]]</f>
        <v>0</v>
      </c>
      <c r="I2067" s="275" t="s">
        <v>15214</v>
      </c>
    </row>
    <row r="2068" spans="1:9" x14ac:dyDescent="0.25">
      <c r="A2068" s="299">
        <v>42964</v>
      </c>
      <c r="B2068" s="302" t="s">
        <v>25914</v>
      </c>
      <c r="C2068">
        <v>124040</v>
      </c>
      <c r="D2068" s="236" t="s">
        <v>15665</v>
      </c>
      <c r="E2068" s="301">
        <v>647.94000000000005</v>
      </c>
      <c r="F2068" s="303">
        <v>42964</v>
      </c>
      <c r="G2068" s="301">
        <v>647.94000000000005</v>
      </c>
      <c r="H2068" s="304">
        <f>Tabla13[[#This Row],[Importe]]-Tabla13[[#This Row],[Pagado]]</f>
        <v>0</v>
      </c>
      <c r="I2068" s="275" t="s">
        <v>15214</v>
      </c>
    </row>
    <row r="2069" spans="1:9" x14ac:dyDescent="0.25">
      <c r="A2069" s="299">
        <v>42964</v>
      </c>
      <c r="B2069" s="302" t="s">
        <v>25915</v>
      </c>
      <c r="C2069">
        <v>124041</v>
      </c>
      <c r="D2069" s="236" t="s">
        <v>15216</v>
      </c>
      <c r="E2069" s="301">
        <v>280</v>
      </c>
      <c r="F2069" s="303">
        <v>42964</v>
      </c>
      <c r="G2069" s="301">
        <v>280</v>
      </c>
      <c r="H2069" s="304">
        <f>Tabla13[[#This Row],[Importe]]-Tabla13[[#This Row],[Pagado]]</f>
        <v>0</v>
      </c>
      <c r="I2069" s="275" t="s">
        <v>15214</v>
      </c>
    </row>
    <row r="2070" spans="1:9" x14ac:dyDescent="0.25">
      <c r="A2070" s="299">
        <v>42964</v>
      </c>
      <c r="B2070" s="302" t="s">
        <v>25916</v>
      </c>
      <c r="C2070">
        <v>124042</v>
      </c>
      <c r="D2070" s="236" t="s">
        <v>15541</v>
      </c>
      <c r="E2070" s="301">
        <v>780.5</v>
      </c>
      <c r="F2070" s="303">
        <v>42964</v>
      </c>
      <c r="G2070" s="301">
        <v>780.5</v>
      </c>
      <c r="H2070" s="304">
        <f>Tabla13[[#This Row],[Importe]]-Tabla13[[#This Row],[Pagado]]</f>
        <v>0</v>
      </c>
      <c r="I2070" s="275" t="s">
        <v>15214</v>
      </c>
    </row>
    <row r="2071" spans="1:9" x14ac:dyDescent="0.25">
      <c r="A2071" s="299">
        <v>42964</v>
      </c>
      <c r="B2071" s="302" t="s">
        <v>25917</v>
      </c>
      <c r="C2071">
        <v>124043</v>
      </c>
      <c r="D2071" s="236" t="s">
        <v>15442</v>
      </c>
      <c r="E2071" s="301">
        <v>15781</v>
      </c>
      <c r="F2071" s="303">
        <v>42968</v>
      </c>
      <c r="G2071" s="301">
        <v>15781</v>
      </c>
      <c r="H2071" s="304">
        <f>Tabla13[[#This Row],[Importe]]-Tabla13[[#This Row],[Pagado]]</f>
        <v>0</v>
      </c>
      <c r="I2071" s="275" t="s">
        <v>15214</v>
      </c>
    </row>
    <row r="2072" spans="1:9" x14ac:dyDescent="0.25">
      <c r="A2072" s="299">
        <v>42964</v>
      </c>
      <c r="B2072" s="302" t="s">
        <v>25918</v>
      </c>
      <c r="C2072">
        <v>124044</v>
      </c>
      <c r="D2072" s="236" t="s">
        <v>15338</v>
      </c>
      <c r="E2072" s="301">
        <v>10336.5</v>
      </c>
      <c r="F2072" s="303">
        <v>42970</v>
      </c>
      <c r="G2072" s="301">
        <v>10336.5</v>
      </c>
      <c r="H2072" s="304">
        <f>Tabla13[[#This Row],[Importe]]-Tabla13[[#This Row],[Pagado]]</f>
        <v>0</v>
      </c>
      <c r="I2072" s="275" t="s">
        <v>15214</v>
      </c>
    </row>
    <row r="2073" spans="1:9" x14ac:dyDescent="0.25">
      <c r="A2073" s="299">
        <v>42964</v>
      </c>
      <c r="B2073" s="302" t="s">
        <v>25919</v>
      </c>
      <c r="C2073">
        <v>124045</v>
      </c>
      <c r="D2073" s="236" t="s">
        <v>15252</v>
      </c>
      <c r="E2073" s="301">
        <v>5958</v>
      </c>
      <c r="F2073" s="303">
        <v>42968</v>
      </c>
      <c r="G2073" s="301">
        <v>5958</v>
      </c>
      <c r="H2073" s="304">
        <f>Tabla13[[#This Row],[Importe]]-Tabla13[[#This Row],[Pagado]]</f>
        <v>0</v>
      </c>
      <c r="I2073" s="275" t="s">
        <v>15214</v>
      </c>
    </row>
    <row r="2074" spans="1:9" x14ac:dyDescent="0.25">
      <c r="A2074" s="299">
        <v>42964</v>
      </c>
      <c r="B2074" s="302" t="s">
        <v>25920</v>
      </c>
      <c r="C2074">
        <v>124046</v>
      </c>
      <c r="D2074" s="236" t="s">
        <v>15244</v>
      </c>
      <c r="E2074" s="301">
        <v>10228.549999999999</v>
      </c>
      <c r="F2074" s="303">
        <v>42974</v>
      </c>
      <c r="G2074" s="301">
        <v>10228.549999999999</v>
      </c>
      <c r="H2074" s="304">
        <f>Tabla13[[#This Row],[Importe]]-Tabla13[[#This Row],[Pagado]]</f>
        <v>0</v>
      </c>
      <c r="I2074" s="275" t="s">
        <v>15214</v>
      </c>
    </row>
    <row r="2075" spans="1:9" x14ac:dyDescent="0.25">
      <c r="A2075" s="299">
        <v>42964</v>
      </c>
      <c r="B2075" s="302" t="s">
        <v>25921</v>
      </c>
      <c r="C2075">
        <v>124047</v>
      </c>
      <c r="D2075" s="236" t="s">
        <v>17235</v>
      </c>
      <c r="E2075" s="301">
        <v>2155.1999999999998</v>
      </c>
      <c r="F2075" s="303">
        <v>42964</v>
      </c>
      <c r="G2075" s="301">
        <v>2155.1999999999998</v>
      </c>
      <c r="H2075" s="304">
        <f>Tabla13[[#This Row],[Importe]]-Tabla13[[#This Row],[Pagado]]</f>
        <v>0</v>
      </c>
      <c r="I2075" s="275" t="s">
        <v>15214</v>
      </c>
    </row>
    <row r="2076" spans="1:9" x14ac:dyDescent="0.25">
      <c r="A2076" s="299">
        <v>42964</v>
      </c>
      <c r="B2076" s="302" t="s">
        <v>25922</v>
      </c>
      <c r="C2076">
        <v>124048</v>
      </c>
      <c r="D2076" s="236" t="s">
        <v>15583</v>
      </c>
      <c r="E2076" s="301">
        <v>1749</v>
      </c>
      <c r="F2076" s="303">
        <v>42966</v>
      </c>
      <c r="G2076" s="301">
        <v>1749</v>
      </c>
      <c r="H2076" s="304">
        <f>Tabla13[[#This Row],[Importe]]-Tabla13[[#This Row],[Pagado]]</f>
        <v>0</v>
      </c>
      <c r="I2076" s="275" t="s">
        <v>15214</v>
      </c>
    </row>
    <row r="2077" spans="1:9" x14ac:dyDescent="0.25">
      <c r="A2077" s="299">
        <v>42964</v>
      </c>
      <c r="B2077" s="302" t="s">
        <v>25923</v>
      </c>
      <c r="C2077">
        <v>124049</v>
      </c>
      <c r="D2077" s="236" t="s">
        <v>15342</v>
      </c>
      <c r="E2077" s="301">
        <v>841.2</v>
      </c>
      <c r="F2077" s="303">
        <v>42964</v>
      </c>
      <c r="G2077" s="301">
        <v>841.2</v>
      </c>
      <c r="H2077" s="304">
        <f>Tabla13[[#This Row],[Importe]]-Tabla13[[#This Row],[Pagado]]</f>
        <v>0</v>
      </c>
      <c r="I2077" s="275" t="s">
        <v>15214</v>
      </c>
    </row>
    <row r="2078" spans="1:9" x14ac:dyDescent="0.25">
      <c r="A2078" s="299">
        <v>42964</v>
      </c>
      <c r="B2078" s="302" t="s">
        <v>25924</v>
      </c>
      <c r="C2078">
        <v>124050</v>
      </c>
      <c r="D2078" s="236" t="s">
        <v>15523</v>
      </c>
      <c r="E2078" s="301">
        <v>2115</v>
      </c>
      <c r="F2078" s="303">
        <v>42964</v>
      </c>
      <c r="G2078" s="301">
        <v>2115</v>
      </c>
      <c r="H2078" s="304">
        <f>Tabla13[[#This Row],[Importe]]-Tabla13[[#This Row],[Pagado]]</f>
        <v>0</v>
      </c>
      <c r="I2078" s="275" t="s">
        <v>15214</v>
      </c>
    </row>
    <row r="2079" spans="1:9" x14ac:dyDescent="0.25">
      <c r="A2079" s="299">
        <v>42964</v>
      </c>
      <c r="B2079" s="302" t="s">
        <v>25925</v>
      </c>
      <c r="C2079">
        <v>124051</v>
      </c>
      <c r="D2079" s="236" t="s">
        <v>15272</v>
      </c>
      <c r="E2079" s="301">
        <v>6166.95</v>
      </c>
      <c r="F2079" s="303">
        <v>42964</v>
      </c>
      <c r="G2079" s="301">
        <v>6166.95</v>
      </c>
      <c r="H2079" s="304">
        <f>Tabla13[[#This Row],[Importe]]-Tabla13[[#This Row],[Pagado]]</f>
        <v>0</v>
      </c>
      <c r="I2079" s="275" t="s">
        <v>15214</v>
      </c>
    </row>
    <row r="2080" spans="1:9" x14ac:dyDescent="0.25">
      <c r="A2080" s="299">
        <v>42964</v>
      </c>
      <c r="B2080" s="302" t="s">
        <v>25926</v>
      </c>
      <c r="C2080">
        <v>124052</v>
      </c>
      <c r="D2080" s="236" t="s">
        <v>15336</v>
      </c>
      <c r="E2080" s="301">
        <v>2025</v>
      </c>
      <c r="F2080" s="303">
        <v>42964</v>
      </c>
      <c r="G2080" s="301">
        <v>2025</v>
      </c>
      <c r="H2080" s="304">
        <f>Tabla13[[#This Row],[Importe]]-Tabla13[[#This Row],[Pagado]]</f>
        <v>0</v>
      </c>
      <c r="I2080" s="275" t="s">
        <v>15214</v>
      </c>
    </row>
    <row r="2081" spans="1:9" ht="15.75" x14ac:dyDescent="0.25">
      <c r="A2081" s="299">
        <v>42964</v>
      </c>
      <c r="B2081" s="302" t="s">
        <v>25927</v>
      </c>
      <c r="C2081">
        <v>124053</v>
      </c>
      <c r="D2081" s="248" t="s">
        <v>95</v>
      </c>
      <c r="E2081" s="301">
        <v>0</v>
      </c>
      <c r="F2081" s="254" t="s">
        <v>95</v>
      </c>
      <c r="G2081" s="301">
        <v>0</v>
      </c>
      <c r="H2081" s="304">
        <f>Tabla13[[#This Row],[Importe]]-Tabla13[[#This Row],[Pagado]]</f>
        <v>0</v>
      </c>
      <c r="I2081" s="275" t="s">
        <v>95</v>
      </c>
    </row>
    <row r="2082" spans="1:9" x14ac:dyDescent="0.25">
      <c r="A2082" s="299">
        <v>42964</v>
      </c>
      <c r="B2082" s="302" t="s">
        <v>25928</v>
      </c>
      <c r="C2082">
        <v>124054</v>
      </c>
      <c r="D2082" s="236" t="s">
        <v>15272</v>
      </c>
      <c r="E2082" s="301">
        <v>353.6</v>
      </c>
      <c r="F2082" s="303">
        <v>42964</v>
      </c>
      <c r="G2082" s="301">
        <v>353.6</v>
      </c>
      <c r="H2082" s="304">
        <f>Tabla13[[#This Row],[Importe]]-Tabla13[[#This Row],[Pagado]]</f>
        <v>0</v>
      </c>
      <c r="I2082" s="275" t="s">
        <v>15214</v>
      </c>
    </row>
    <row r="2083" spans="1:9" x14ac:dyDescent="0.25">
      <c r="A2083" s="299">
        <v>42964</v>
      </c>
      <c r="B2083" s="302" t="s">
        <v>25929</v>
      </c>
      <c r="C2083">
        <v>124055</v>
      </c>
      <c r="D2083" s="236" t="s">
        <v>15378</v>
      </c>
      <c r="E2083" s="301">
        <v>1604</v>
      </c>
      <c r="F2083" s="303">
        <v>42964</v>
      </c>
      <c r="G2083" s="301">
        <v>1604</v>
      </c>
      <c r="H2083" s="304">
        <f>Tabla13[[#This Row],[Importe]]-Tabla13[[#This Row],[Pagado]]</f>
        <v>0</v>
      </c>
      <c r="I2083" s="275" t="s">
        <v>15214</v>
      </c>
    </row>
    <row r="2084" spans="1:9" x14ac:dyDescent="0.25">
      <c r="A2084" s="299">
        <v>42964</v>
      </c>
      <c r="B2084" s="302" t="s">
        <v>25930</v>
      </c>
      <c r="C2084">
        <v>124056</v>
      </c>
      <c r="D2084" s="236" t="s">
        <v>15344</v>
      </c>
      <c r="E2084" s="301">
        <v>3696</v>
      </c>
      <c r="F2084" s="303">
        <v>42964</v>
      </c>
      <c r="G2084" s="301">
        <v>3696</v>
      </c>
      <c r="H2084" s="304">
        <f>Tabla13[[#This Row],[Importe]]-Tabla13[[#This Row],[Pagado]]</f>
        <v>0</v>
      </c>
      <c r="I2084" s="275" t="s">
        <v>15214</v>
      </c>
    </row>
    <row r="2085" spans="1:9" x14ac:dyDescent="0.25">
      <c r="A2085" s="299">
        <v>42964</v>
      </c>
      <c r="B2085" s="302" t="s">
        <v>25931</v>
      </c>
      <c r="C2085">
        <v>124057</v>
      </c>
      <c r="D2085" s="236" t="s">
        <v>15526</v>
      </c>
      <c r="E2085" s="301">
        <v>4464</v>
      </c>
      <c r="F2085" s="303">
        <v>42964</v>
      </c>
      <c r="G2085" s="301">
        <v>4464</v>
      </c>
      <c r="H2085" s="304">
        <f>Tabla13[[#This Row],[Importe]]-Tabla13[[#This Row],[Pagado]]</f>
        <v>0</v>
      </c>
      <c r="I2085" s="275" t="s">
        <v>15214</v>
      </c>
    </row>
    <row r="2086" spans="1:9" x14ac:dyDescent="0.25">
      <c r="A2086" s="299">
        <v>42964</v>
      </c>
      <c r="B2086" s="302" t="s">
        <v>25932</v>
      </c>
      <c r="C2086">
        <v>124058</v>
      </c>
      <c r="D2086" s="236" t="s">
        <v>15732</v>
      </c>
      <c r="E2086" s="301">
        <v>700.8</v>
      </c>
      <c r="F2086" s="303">
        <v>42964</v>
      </c>
      <c r="G2086" s="301">
        <v>700.8</v>
      </c>
      <c r="H2086" s="304">
        <f>Tabla13[[#This Row],[Importe]]-Tabla13[[#This Row],[Pagado]]</f>
        <v>0</v>
      </c>
      <c r="I2086" s="275" t="s">
        <v>15214</v>
      </c>
    </row>
    <row r="2087" spans="1:9" x14ac:dyDescent="0.25">
      <c r="A2087" s="299">
        <v>42964</v>
      </c>
      <c r="B2087" s="302" t="s">
        <v>25933</v>
      </c>
      <c r="C2087">
        <v>124059</v>
      </c>
      <c r="D2087" s="236" t="s">
        <v>19768</v>
      </c>
      <c r="E2087" s="301">
        <v>1880</v>
      </c>
      <c r="F2087" s="303">
        <v>42964</v>
      </c>
      <c r="G2087" s="301">
        <v>1880</v>
      </c>
      <c r="H2087" s="304">
        <f>Tabla13[[#This Row],[Importe]]-Tabla13[[#This Row],[Pagado]]</f>
        <v>0</v>
      </c>
      <c r="I2087" s="275" t="s">
        <v>15214</v>
      </c>
    </row>
    <row r="2088" spans="1:9" x14ac:dyDescent="0.25">
      <c r="A2088" s="299">
        <v>42964</v>
      </c>
      <c r="B2088" s="302" t="s">
        <v>25934</v>
      </c>
      <c r="C2088">
        <v>124060</v>
      </c>
      <c r="D2088" s="236" t="s">
        <v>15577</v>
      </c>
      <c r="E2088" s="301">
        <v>267.8</v>
      </c>
      <c r="F2088" s="303">
        <v>42964</v>
      </c>
      <c r="G2088" s="301">
        <v>267.8</v>
      </c>
      <c r="H2088" s="304">
        <f>Tabla13[[#This Row],[Importe]]-Tabla13[[#This Row],[Pagado]]</f>
        <v>0</v>
      </c>
      <c r="I2088" s="275" t="s">
        <v>15214</v>
      </c>
    </row>
    <row r="2089" spans="1:9" x14ac:dyDescent="0.25">
      <c r="A2089" s="299">
        <v>42964</v>
      </c>
      <c r="B2089" s="302" t="s">
        <v>25935</v>
      </c>
      <c r="C2089">
        <v>124061</v>
      </c>
      <c r="D2089" s="236" t="s">
        <v>15334</v>
      </c>
      <c r="E2089" s="301">
        <v>1779.4</v>
      </c>
      <c r="F2089" s="303">
        <v>42964</v>
      </c>
      <c r="G2089" s="301">
        <v>1779.4</v>
      </c>
      <c r="H2089" s="304">
        <f>Tabla13[[#This Row],[Importe]]-Tabla13[[#This Row],[Pagado]]</f>
        <v>0</v>
      </c>
      <c r="I2089" s="275" t="s">
        <v>15214</v>
      </c>
    </row>
    <row r="2090" spans="1:9" x14ac:dyDescent="0.25">
      <c r="A2090" s="299">
        <v>42964</v>
      </c>
      <c r="B2090" s="302" t="s">
        <v>25936</v>
      </c>
      <c r="C2090">
        <v>124062</v>
      </c>
      <c r="D2090" s="236" t="s">
        <v>15858</v>
      </c>
      <c r="E2090" s="301">
        <v>5856.6</v>
      </c>
      <c r="F2090" s="303">
        <v>42965</v>
      </c>
      <c r="G2090" s="301">
        <v>5856.6</v>
      </c>
      <c r="H2090" s="304">
        <f>Tabla13[[#This Row],[Importe]]-Tabla13[[#This Row],[Pagado]]</f>
        <v>0</v>
      </c>
      <c r="I2090" s="275" t="s">
        <v>15214</v>
      </c>
    </row>
    <row r="2091" spans="1:9" x14ac:dyDescent="0.25">
      <c r="A2091" s="299">
        <v>42964</v>
      </c>
      <c r="B2091" s="302" t="s">
        <v>25937</v>
      </c>
      <c r="C2091">
        <v>124063</v>
      </c>
      <c r="D2091" s="236" t="s">
        <v>15358</v>
      </c>
      <c r="E2091" s="301">
        <v>1372.5</v>
      </c>
      <c r="F2091" s="303">
        <v>42964</v>
      </c>
      <c r="G2091" s="301">
        <v>1372.5</v>
      </c>
      <c r="H2091" s="304">
        <f>Tabla13[[#This Row],[Importe]]-Tabla13[[#This Row],[Pagado]]</f>
        <v>0</v>
      </c>
      <c r="I2091" s="275" t="s">
        <v>15214</v>
      </c>
    </row>
    <row r="2092" spans="1:9" x14ac:dyDescent="0.25">
      <c r="A2092" s="299">
        <v>42964</v>
      </c>
      <c r="B2092" s="302" t="s">
        <v>25938</v>
      </c>
      <c r="C2092">
        <v>124064</v>
      </c>
      <c r="D2092" s="236" t="s">
        <v>15387</v>
      </c>
      <c r="E2092" s="301">
        <v>1447.2</v>
      </c>
      <c r="F2092" s="303">
        <v>42964</v>
      </c>
      <c r="G2092" s="301">
        <v>1447.2</v>
      </c>
      <c r="H2092" s="304">
        <f>Tabla13[[#This Row],[Importe]]-Tabla13[[#This Row],[Pagado]]</f>
        <v>0</v>
      </c>
      <c r="I2092" s="275" t="s">
        <v>15214</v>
      </c>
    </row>
    <row r="2093" spans="1:9" x14ac:dyDescent="0.25">
      <c r="A2093" s="299">
        <v>42964</v>
      </c>
      <c r="B2093" s="302" t="s">
        <v>25939</v>
      </c>
      <c r="C2093">
        <v>124065</v>
      </c>
      <c r="D2093" s="236" t="s">
        <v>21445</v>
      </c>
      <c r="E2093" s="301">
        <v>1877.4</v>
      </c>
      <c r="F2093" s="303">
        <v>42964</v>
      </c>
      <c r="G2093" s="301">
        <v>1877.4</v>
      </c>
      <c r="H2093" s="304">
        <f>Tabla13[[#This Row],[Importe]]-Tabla13[[#This Row],[Pagado]]</f>
        <v>0</v>
      </c>
      <c r="I2093" s="275" t="s">
        <v>15214</v>
      </c>
    </row>
    <row r="2094" spans="1:9" x14ac:dyDescent="0.25">
      <c r="A2094" s="299">
        <v>42964</v>
      </c>
      <c r="B2094" s="302" t="s">
        <v>25940</v>
      </c>
      <c r="C2094">
        <v>124066</v>
      </c>
      <c r="D2094" s="236" t="s">
        <v>15566</v>
      </c>
      <c r="E2094" s="301">
        <v>3306.5</v>
      </c>
      <c r="F2094" s="303">
        <v>42964</v>
      </c>
      <c r="G2094" s="301">
        <v>3306.5</v>
      </c>
      <c r="H2094" s="304">
        <f>Tabla13[[#This Row],[Importe]]-Tabla13[[#This Row],[Pagado]]</f>
        <v>0</v>
      </c>
      <c r="I2094" s="275" t="s">
        <v>15214</v>
      </c>
    </row>
    <row r="2095" spans="1:9" x14ac:dyDescent="0.25">
      <c r="A2095" s="299">
        <v>42964</v>
      </c>
      <c r="B2095" s="302" t="s">
        <v>25941</v>
      </c>
      <c r="C2095">
        <v>124067</v>
      </c>
      <c r="D2095" s="236" t="s">
        <v>15391</v>
      </c>
      <c r="E2095" s="301">
        <v>7922</v>
      </c>
      <c r="F2095" s="303">
        <v>42965</v>
      </c>
      <c r="G2095" s="301">
        <v>7922</v>
      </c>
      <c r="H2095" s="304">
        <f>Tabla13[[#This Row],[Importe]]-Tabla13[[#This Row],[Pagado]]</f>
        <v>0</v>
      </c>
      <c r="I2095" s="275" t="s">
        <v>15214</v>
      </c>
    </row>
    <row r="2096" spans="1:9" x14ac:dyDescent="0.25">
      <c r="A2096" s="299">
        <v>42964</v>
      </c>
      <c r="B2096" s="302" t="s">
        <v>25942</v>
      </c>
      <c r="C2096">
        <v>124068</v>
      </c>
      <c r="D2096" s="236" t="s">
        <v>15267</v>
      </c>
      <c r="E2096" s="301">
        <v>2248.4</v>
      </c>
      <c r="F2096" s="303">
        <v>42964</v>
      </c>
      <c r="G2096" s="301">
        <v>2248.4</v>
      </c>
      <c r="H2096" s="304">
        <f>Tabla13[[#This Row],[Importe]]-Tabla13[[#This Row],[Pagado]]</f>
        <v>0</v>
      </c>
      <c r="I2096" s="275" t="s">
        <v>15214</v>
      </c>
    </row>
    <row r="2097" spans="1:9" x14ac:dyDescent="0.25">
      <c r="A2097" s="299">
        <v>42964</v>
      </c>
      <c r="B2097" s="302" t="s">
        <v>25943</v>
      </c>
      <c r="C2097">
        <v>124069</v>
      </c>
      <c r="D2097" s="236" t="s">
        <v>15282</v>
      </c>
      <c r="E2097" s="301">
        <v>3569.3</v>
      </c>
      <c r="F2097" s="303">
        <v>42964</v>
      </c>
      <c r="G2097" s="301">
        <v>3569.3</v>
      </c>
      <c r="H2097" s="304">
        <f>Tabla13[[#This Row],[Importe]]-Tabla13[[#This Row],[Pagado]]</f>
        <v>0</v>
      </c>
      <c r="I2097" s="275" t="s">
        <v>15214</v>
      </c>
    </row>
    <row r="2098" spans="1:9" x14ac:dyDescent="0.25">
      <c r="A2098" s="299">
        <v>42964</v>
      </c>
      <c r="B2098" s="302" t="s">
        <v>25944</v>
      </c>
      <c r="C2098">
        <v>124070</v>
      </c>
      <c r="D2098" s="236" t="s">
        <v>15716</v>
      </c>
      <c r="E2098" s="301">
        <v>7779.2</v>
      </c>
      <c r="F2098" s="303">
        <v>42964</v>
      </c>
      <c r="G2098" s="301">
        <v>7779.2</v>
      </c>
      <c r="H2098" s="304">
        <f>Tabla13[[#This Row],[Importe]]-Tabla13[[#This Row],[Pagado]]</f>
        <v>0</v>
      </c>
      <c r="I2098" s="275" t="s">
        <v>15214</v>
      </c>
    </row>
    <row r="2099" spans="1:9" x14ac:dyDescent="0.25">
      <c r="A2099" s="299">
        <v>42964</v>
      </c>
      <c r="B2099" s="302" t="s">
        <v>25945</v>
      </c>
      <c r="C2099">
        <v>124071</v>
      </c>
      <c r="D2099" s="236" t="s">
        <v>15284</v>
      </c>
      <c r="E2099" s="301">
        <v>944.8</v>
      </c>
      <c r="F2099" s="303">
        <v>42964</v>
      </c>
      <c r="G2099" s="301">
        <v>944.8</v>
      </c>
      <c r="H2099" s="304">
        <f>Tabla13[[#This Row],[Importe]]-Tabla13[[#This Row],[Pagado]]</f>
        <v>0</v>
      </c>
      <c r="I2099" s="275" t="s">
        <v>15214</v>
      </c>
    </row>
    <row r="2100" spans="1:9" ht="15.75" x14ac:dyDescent="0.25">
      <c r="A2100" s="299">
        <v>42964</v>
      </c>
      <c r="B2100" s="302" t="s">
        <v>25946</v>
      </c>
      <c r="C2100">
        <v>124072</v>
      </c>
      <c r="D2100" s="248" t="s">
        <v>95</v>
      </c>
      <c r="E2100" s="301">
        <v>0</v>
      </c>
      <c r="F2100" s="243" t="s">
        <v>95</v>
      </c>
      <c r="G2100" s="301">
        <v>0</v>
      </c>
      <c r="H2100" s="304">
        <f>Tabla13[[#This Row],[Importe]]-Tabla13[[#This Row],[Pagado]]</f>
        <v>0</v>
      </c>
      <c r="I2100" s="275" t="s">
        <v>95</v>
      </c>
    </row>
    <row r="2101" spans="1:9" x14ac:dyDescent="0.25">
      <c r="A2101" s="299">
        <v>42964</v>
      </c>
      <c r="B2101" s="302" t="s">
        <v>25947</v>
      </c>
      <c r="C2101">
        <v>124073</v>
      </c>
      <c r="D2101" s="236" t="s">
        <v>15213</v>
      </c>
      <c r="E2101" s="301">
        <v>3735</v>
      </c>
      <c r="F2101" s="303">
        <v>42966</v>
      </c>
      <c r="G2101" s="301">
        <v>3735</v>
      </c>
      <c r="H2101" s="304">
        <f>Tabla13[[#This Row],[Importe]]-Tabla13[[#This Row],[Pagado]]</f>
        <v>0</v>
      </c>
      <c r="I2101" s="275" t="s">
        <v>15214</v>
      </c>
    </row>
    <row r="2102" spans="1:9" x14ac:dyDescent="0.25">
      <c r="A2102" s="299">
        <v>42964</v>
      </c>
      <c r="B2102" s="302" t="s">
        <v>25948</v>
      </c>
      <c r="C2102">
        <v>124074</v>
      </c>
      <c r="D2102" s="236" t="s">
        <v>15296</v>
      </c>
      <c r="E2102" s="301">
        <v>18532.8</v>
      </c>
      <c r="F2102" s="303">
        <v>42966</v>
      </c>
      <c r="G2102" s="301">
        <v>18532.8</v>
      </c>
      <c r="H2102" s="304">
        <f>Tabla13[[#This Row],[Importe]]-Tabla13[[#This Row],[Pagado]]</f>
        <v>0</v>
      </c>
      <c r="I2102" s="275" t="s">
        <v>15214</v>
      </c>
    </row>
    <row r="2103" spans="1:9" x14ac:dyDescent="0.25">
      <c r="A2103" s="299">
        <v>42964</v>
      </c>
      <c r="B2103" s="302" t="s">
        <v>25949</v>
      </c>
      <c r="C2103">
        <v>124075</v>
      </c>
      <c r="D2103" s="236" t="s">
        <v>15728</v>
      </c>
      <c r="E2103" s="301">
        <v>22550.400000000001</v>
      </c>
      <c r="F2103" s="303">
        <v>42964</v>
      </c>
      <c r="G2103" s="301">
        <v>22550.400000000001</v>
      </c>
      <c r="H2103" s="304">
        <f>Tabla13[[#This Row],[Importe]]-Tabla13[[#This Row],[Pagado]]</f>
        <v>0</v>
      </c>
      <c r="I2103" s="275" t="s">
        <v>15214</v>
      </c>
    </row>
    <row r="2104" spans="1:9" x14ac:dyDescent="0.25">
      <c r="A2104" s="299">
        <v>42964</v>
      </c>
      <c r="B2104" s="302" t="s">
        <v>25950</v>
      </c>
      <c r="C2104">
        <v>124076</v>
      </c>
      <c r="D2104" s="236" t="s">
        <v>15818</v>
      </c>
      <c r="E2104" s="301">
        <v>4711.6000000000004</v>
      </c>
      <c r="F2104" s="303">
        <v>42964</v>
      </c>
      <c r="G2104" s="301">
        <v>4711.6000000000004</v>
      </c>
      <c r="H2104" s="304">
        <f>Tabla13[[#This Row],[Importe]]-Tabla13[[#This Row],[Pagado]]</f>
        <v>0</v>
      </c>
      <c r="I2104" s="275" t="s">
        <v>15214</v>
      </c>
    </row>
    <row r="2105" spans="1:9" x14ac:dyDescent="0.25">
      <c r="A2105" s="299">
        <v>42964</v>
      </c>
      <c r="B2105" s="302" t="s">
        <v>25951</v>
      </c>
      <c r="C2105">
        <v>124077</v>
      </c>
      <c r="D2105" s="236" t="s">
        <v>15398</v>
      </c>
      <c r="E2105" s="301">
        <v>610.79999999999995</v>
      </c>
      <c r="F2105" s="303">
        <v>42964</v>
      </c>
      <c r="G2105" s="301">
        <v>610.79999999999995</v>
      </c>
      <c r="H2105" s="304">
        <f>Tabla13[[#This Row],[Importe]]-Tabla13[[#This Row],[Pagado]]</f>
        <v>0</v>
      </c>
      <c r="I2105" s="275" t="s">
        <v>15214</v>
      </c>
    </row>
    <row r="2106" spans="1:9" x14ac:dyDescent="0.25">
      <c r="A2106" s="299">
        <v>42964</v>
      </c>
      <c r="B2106" s="302" t="s">
        <v>25952</v>
      </c>
      <c r="C2106">
        <v>124078</v>
      </c>
      <c r="D2106" s="236" t="s">
        <v>15987</v>
      </c>
      <c r="E2106" s="301">
        <v>4290.8</v>
      </c>
      <c r="F2106" s="303">
        <v>42964</v>
      </c>
      <c r="G2106" s="301">
        <v>4290.8</v>
      </c>
      <c r="H2106" s="304">
        <f>Tabla13[[#This Row],[Importe]]-Tabla13[[#This Row],[Pagado]]</f>
        <v>0</v>
      </c>
      <c r="I2106" s="275" t="s">
        <v>15214</v>
      </c>
    </row>
    <row r="2107" spans="1:9" x14ac:dyDescent="0.25">
      <c r="A2107" s="299">
        <v>42964</v>
      </c>
      <c r="B2107" s="302" t="s">
        <v>25953</v>
      </c>
      <c r="C2107">
        <v>124079</v>
      </c>
      <c r="D2107" s="236" t="s">
        <v>18773</v>
      </c>
      <c r="E2107" s="301">
        <v>48602.400000000001</v>
      </c>
      <c r="F2107" s="303">
        <v>42964</v>
      </c>
      <c r="G2107" s="301">
        <v>48602.400000000001</v>
      </c>
      <c r="H2107" s="304">
        <f>Tabla13[[#This Row],[Importe]]-Tabla13[[#This Row],[Pagado]]</f>
        <v>0</v>
      </c>
      <c r="I2107" s="275" t="s">
        <v>15214</v>
      </c>
    </row>
    <row r="2108" spans="1:9" x14ac:dyDescent="0.25">
      <c r="A2108" s="299">
        <v>42964</v>
      </c>
      <c r="B2108" s="302" t="s">
        <v>25954</v>
      </c>
      <c r="C2108">
        <v>124080</v>
      </c>
      <c r="D2108" s="236" t="s">
        <v>19773</v>
      </c>
      <c r="E2108" s="301">
        <v>2694.84</v>
      </c>
      <c r="F2108" s="303">
        <v>42973</v>
      </c>
      <c r="G2108" s="301">
        <v>2694.84</v>
      </c>
      <c r="H2108" s="304">
        <f>Tabla13[[#This Row],[Importe]]-Tabla13[[#This Row],[Pagado]]</f>
        <v>0</v>
      </c>
      <c r="I2108" s="275" t="s">
        <v>15214</v>
      </c>
    </row>
    <row r="2109" spans="1:9" x14ac:dyDescent="0.25">
      <c r="A2109" s="299">
        <v>42964</v>
      </c>
      <c r="B2109" s="302" t="s">
        <v>25955</v>
      </c>
      <c r="C2109">
        <v>124081</v>
      </c>
      <c r="D2109" s="236" t="s">
        <v>15920</v>
      </c>
      <c r="E2109" s="301">
        <v>15584.8</v>
      </c>
      <c r="F2109" s="303">
        <v>42971</v>
      </c>
      <c r="G2109" s="301">
        <v>15584.8</v>
      </c>
      <c r="H2109" s="304">
        <f>Tabla13[[#This Row],[Importe]]-Tabla13[[#This Row],[Pagado]]</f>
        <v>0</v>
      </c>
      <c r="I2109" s="275" t="s">
        <v>15214</v>
      </c>
    </row>
    <row r="2110" spans="1:9" x14ac:dyDescent="0.25">
      <c r="A2110" s="299">
        <v>42964</v>
      </c>
      <c r="B2110" s="302" t="s">
        <v>25956</v>
      </c>
      <c r="C2110">
        <v>124082</v>
      </c>
      <c r="D2110" s="236" t="s">
        <v>16463</v>
      </c>
      <c r="E2110" s="301">
        <v>7233.6</v>
      </c>
      <c r="F2110" s="303">
        <v>42966</v>
      </c>
      <c r="G2110" s="301">
        <v>7233.6</v>
      </c>
      <c r="H2110" s="304">
        <f>Tabla13[[#This Row],[Importe]]-Tabla13[[#This Row],[Pagado]]</f>
        <v>0</v>
      </c>
      <c r="I2110" s="275" t="s">
        <v>15214</v>
      </c>
    </row>
    <row r="2111" spans="1:9" x14ac:dyDescent="0.25">
      <c r="A2111" s="299">
        <v>42964</v>
      </c>
      <c r="B2111" s="302" t="s">
        <v>25957</v>
      </c>
      <c r="C2111">
        <v>124083</v>
      </c>
      <c r="D2111" s="236" t="s">
        <v>15433</v>
      </c>
      <c r="E2111" s="301">
        <v>1924.4</v>
      </c>
      <c r="F2111" s="303">
        <v>42964</v>
      </c>
      <c r="G2111" s="301">
        <v>1924.4</v>
      </c>
      <c r="H2111" s="304">
        <f>Tabla13[[#This Row],[Importe]]-Tabla13[[#This Row],[Pagado]]</f>
        <v>0</v>
      </c>
      <c r="I2111" s="275" t="s">
        <v>15214</v>
      </c>
    </row>
    <row r="2112" spans="1:9" x14ac:dyDescent="0.25">
      <c r="A2112" s="299">
        <v>42964</v>
      </c>
      <c r="B2112" s="302" t="s">
        <v>25958</v>
      </c>
      <c r="C2112">
        <v>124084</v>
      </c>
      <c r="D2112" s="236" t="s">
        <v>15419</v>
      </c>
      <c r="E2112" s="301">
        <v>19250.400000000001</v>
      </c>
      <c r="F2112" s="303">
        <v>42969</v>
      </c>
      <c r="G2112" s="301">
        <v>19250.400000000001</v>
      </c>
      <c r="H2112" s="304">
        <f>Tabla13[[#This Row],[Importe]]-Tabla13[[#This Row],[Pagado]]</f>
        <v>0</v>
      </c>
      <c r="I2112" s="275" t="s">
        <v>15214</v>
      </c>
    </row>
    <row r="2113" spans="1:9" x14ac:dyDescent="0.25">
      <c r="A2113" s="299">
        <v>42964</v>
      </c>
      <c r="B2113" s="302" t="s">
        <v>25959</v>
      </c>
      <c r="C2113">
        <v>124085</v>
      </c>
      <c r="D2113" s="236" t="s">
        <v>15419</v>
      </c>
      <c r="E2113" s="301">
        <v>28686</v>
      </c>
      <c r="F2113" s="303">
        <v>42973</v>
      </c>
      <c r="G2113" s="301">
        <v>28686</v>
      </c>
      <c r="H2113" s="304">
        <f>Tabla13[[#This Row],[Importe]]-Tabla13[[#This Row],[Pagado]]</f>
        <v>0</v>
      </c>
      <c r="I2113" s="275" t="s">
        <v>15214</v>
      </c>
    </row>
    <row r="2114" spans="1:9" x14ac:dyDescent="0.25">
      <c r="A2114" s="299">
        <v>42964</v>
      </c>
      <c r="B2114" s="302" t="s">
        <v>25960</v>
      </c>
      <c r="C2114">
        <v>124086</v>
      </c>
      <c r="D2114" s="236" t="s">
        <v>15276</v>
      </c>
      <c r="E2114" s="301">
        <v>3290</v>
      </c>
      <c r="F2114" s="303">
        <v>42966</v>
      </c>
      <c r="G2114" s="301">
        <v>3290</v>
      </c>
      <c r="H2114" s="304">
        <f>Tabla13[[#This Row],[Importe]]-Tabla13[[#This Row],[Pagado]]</f>
        <v>0</v>
      </c>
      <c r="I2114" s="275" t="s">
        <v>15214</v>
      </c>
    </row>
    <row r="2115" spans="1:9" x14ac:dyDescent="0.25">
      <c r="A2115" s="299">
        <v>42964</v>
      </c>
      <c r="B2115" s="302" t="s">
        <v>25961</v>
      </c>
      <c r="C2115">
        <v>124087</v>
      </c>
      <c r="D2115" s="236" t="s">
        <v>15417</v>
      </c>
      <c r="E2115" s="301">
        <v>1876.5</v>
      </c>
      <c r="F2115" s="303">
        <v>42966</v>
      </c>
      <c r="G2115" s="301">
        <v>1876.5</v>
      </c>
      <c r="H2115" s="304">
        <f>Tabla13[[#This Row],[Importe]]-Tabla13[[#This Row],[Pagado]]</f>
        <v>0</v>
      </c>
      <c r="I2115" s="275" t="s">
        <v>15214</v>
      </c>
    </row>
    <row r="2116" spans="1:9" x14ac:dyDescent="0.25">
      <c r="A2116" s="299">
        <v>42964</v>
      </c>
      <c r="B2116" s="302" t="s">
        <v>25962</v>
      </c>
      <c r="C2116">
        <v>124088</v>
      </c>
      <c r="D2116" s="236" t="s">
        <v>22563</v>
      </c>
      <c r="E2116" s="301">
        <v>8758.4</v>
      </c>
      <c r="F2116" s="303">
        <v>42966</v>
      </c>
      <c r="G2116" s="301">
        <v>8758.4</v>
      </c>
      <c r="H2116" s="304">
        <f>Tabla13[[#This Row],[Importe]]-Tabla13[[#This Row],[Pagado]]</f>
        <v>0</v>
      </c>
      <c r="I2116" s="275" t="s">
        <v>15214</v>
      </c>
    </row>
    <row r="2117" spans="1:9" x14ac:dyDescent="0.25">
      <c r="A2117" s="299">
        <v>42964</v>
      </c>
      <c r="B2117" s="302" t="s">
        <v>25963</v>
      </c>
      <c r="C2117">
        <v>124089</v>
      </c>
      <c r="D2117" s="236" t="s">
        <v>15248</v>
      </c>
      <c r="E2117" s="301">
        <v>1146.8</v>
      </c>
      <c r="F2117" s="303">
        <v>42964</v>
      </c>
      <c r="G2117" s="301">
        <v>1146.8</v>
      </c>
      <c r="H2117" s="304">
        <f>Tabla13[[#This Row],[Importe]]-Tabla13[[#This Row],[Pagado]]</f>
        <v>0</v>
      </c>
      <c r="I2117" s="275" t="s">
        <v>15214</v>
      </c>
    </row>
    <row r="2118" spans="1:9" x14ac:dyDescent="0.25">
      <c r="A2118" s="299">
        <v>42964</v>
      </c>
      <c r="B2118" s="302" t="s">
        <v>25964</v>
      </c>
      <c r="C2118">
        <v>124090</v>
      </c>
      <c r="D2118" s="236" t="s">
        <v>15315</v>
      </c>
      <c r="E2118" s="301">
        <v>319.5</v>
      </c>
      <c r="F2118" s="303">
        <v>42964</v>
      </c>
      <c r="G2118" s="301">
        <v>319.5</v>
      </c>
      <c r="H2118" s="304">
        <f>Tabla13[[#This Row],[Importe]]-Tabla13[[#This Row],[Pagado]]</f>
        <v>0</v>
      </c>
      <c r="I2118" s="275" t="s">
        <v>15214</v>
      </c>
    </row>
    <row r="2119" spans="1:9" x14ac:dyDescent="0.25">
      <c r="A2119" s="299">
        <v>42964</v>
      </c>
      <c r="B2119" s="302" t="s">
        <v>25965</v>
      </c>
      <c r="C2119">
        <v>124091</v>
      </c>
      <c r="D2119" s="236" t="s">
        <v>15930</v>
      </c>
      <c r="E2119" s="301">
        <v>8043</v>
      </c>
      <c r="F2119" s="303">
        <v>42966</v>
      </c>
      <c r="G2119" s="301">
        <v>8043</v>
      </c>
      <c r="H2119" s="304">
        <f>Tabla13[[#This Row],[Importe]]-Tabla13[[#This Row],[Pagado]]</f>
        <v>0</v>
      </c>
      <c r="I2119" s="275" t="s">
        <v>15214</v>
      </c>
    </row>
    <row r="2120" spans="1:9" x14ac:dyDescent="0.25">
      <c r="A2120" s="299">
        <v>42964</v>
      </c>
      <c r="B2120" s="302" t="s">
        <v>25966</v>
      </c>
      <c r="C2120">
        <v>124092</v>
      </c>
      <c r="D2120" s="236" t="s">
        <v>15317</v>
      </c>
      <c r="E2120" s="301">
        <v>570</v>
      </c>
      <c r="F2120" s="303">
        <v>42966</v>
      </c>
      <c r="G2120" s="301">
        <v>570</v>
      </c>
      <c r="H2120" s="304">
        <f>Tabla13[[#This Row],[Importe]]-Tabla13[[#This Row],[Pagado]]</f>
        <v>0</v>
      </c>
      <c r="I2120" s="275" t="s">
        <v>15214</v>
      </c>
    </row>
    <row r="2121" spans="1:9" x14ac:dyDescent="0.25">
      <c r="A2121" s="299">
        <v>42964</v>
      </c>
      <c r="B2121" s="302" t="s">
        <v>25967</v>
      </c>
      <c r="C2121">
        <v>124093</v>
      </c>
      <c r="D2121" s="236" t="s">
        <v>15284</v>
      </c>
      <c r="E2121" s="301">
        <v>12.5</v>
      </c>
      <c r="F2121" s="303">
        <v>42964</v>
      </c>
      <c r="G2121" s="301">
        <v>12.5</v>
      </c>
      <c r="H2121" s="304">
        <f>Tabla13[[#This Row],[Importe]]-Tabla13[[#This Row],[Pagado]]</f>
        <v>0</v>
      </c>
      <c r="I2121" s="275" t="s">
        <v>15214</v>
      </c>
    </row>
    <row r="2122" spans="1:9" x14ac:dyDescent="0.25">
      <c r="A2122" s="299">
        <v>42964</v>
      </c>
      <c r="B2122" s="302" t="s">
        <v>25968</v>
      </c>
      <c r="C2122">
        <v>124094</v>
      </c>
      <c r="D2122" s="236" t="s">
        <v>15725</v>
      </c>
      <c r="E2122" s="301">
        <v>24543</v>
      </c>
      <c r="F2122" s="303">
        <v>42968</v>
      </c>
      <c r="G2122" s="301">
        <v>24543</v>
      </c>
      <c r="H2122" s="304">
        <f>Tabla13[[#This Row],[Importe]]-Tabla13[[#This Row],[Pagado]]</f>
        <v>0</v>
      </c>
      <c r="I2122" s="275" t="s">
        <v>15214</v>
      </c>
    </row>
    <row r="2123" spans="1:9" ht="15.75" x14ac:dyDescent="0.25">
      <c r="A2123" s="299">
        <v>42964</v>
      </c>
      <c r="B2123" s="302" t="s">
        <v>25969</v>
      </c>
      <c r="C2123">
        <v>124095</v>
      </c>
      <c r="D2123" s="248" t="s">
        <v>95</v>
      </c>
      <c r="E2123" s="301">
        <v>0</v>
      </c>
      <c r="F2123" s="243" t="s">
        <v>95</v>
      </c>
      <c r="G2123" s="301">
        <v>0</v>
      </c>
      <c r="H2123" s="304">
        <f>Tabla13[[#This Row],[Importe]]-Tabla13[[#This Row],[Pagado]]</f>
        <v>0</v>
      </c>
      <c r="I2123" s="275" t="s">
        <v>95</v>
      </c>
    </row>
    <row r="2124" spans="1:9" x14ac:dyDescent="0.25">
      <c r="A2124" s="299">
        <v>42964</v>
      </c>
      <c r="B2124" s="302" t="s">
        <v>25970</v>
      </c>
      <c r="C2124">
        <v>124096</v>
      </c>
      <c r="D2124" s="236" t="s">
        <v>19756</v>
      </c>
      <c r="E2124" s="301">
        <v>1701.6</v>
      </c>
      <c r="F2124" s="303">
        <v>42964</v>
      </c>
      <c r="G2124" s="301">
        <v>1701.6</v>
      </c>
      <c r="H2124" s="304">
        <f>Tabla13[[#This Row],[Importe]]-Tabla13[[#This Row],[Pagado]]</f>
        <v>0</v>
      </c>
      <c r="I2124" s="275" t="s">
        <v>15214</v>
      </c>
    </row>
    <row r="2125" spans="1:9" ht="30" x14ac:dyDescent="0.25">
      <c r="A2125" s="299">
        <v>42964</v>
      </c>
      <c r="B2125" s="302" t="s">
        <v>25971</v>
      </c>
      <c r="C2125">
        <v>124097</v>
      </c>
      <c r="D2125" s="236" t="s">
        <v>15246</v>
      </c>
      <c r="E2125" s="301">
        <v>261521.23</v>
      </c>
      <c r="F2125" s="303" t="s">
        <v>25972</v>
      </c>
      <c r="G2125" s="305">
        <f>14035.5+247485.73</f>
        <v>261521.23</v>
      </c>
      <c r="H2125" s="304">
        <f>Tabla13[[#This Row],[Importe]]-Tabla13[[#This Row],[Pagado]]</f>
        <v>0</v>
      </c>
      <c r="I2125" s="275" t="s">
        <v>15214</v>
      </c>
    </row>
    <row r="2126" spans="1:9" x14ac:dyDescent="0.25">
      <c r="A2126" s="299">
        <v>42964</v>
      </c>
      <c r="B2126" s="302" t="s">
        <v>25973</v>
      </c>
      <c r="C2126">
        <v>124098</v>
      </c>
      <c r="D2126" s="236" t="s">
        <v>15246</v>
      </c>
      <c r="E2126" s="301">
        <v>59789.599999999999</v>
      </c>
      <c r="F2126" s="303">
        <v>42968</v>
      </c>
      <c r="G2126" s="301">
        <v>59789.599999999999</v>
      </c>
      <c r="H2126" s="304">
        <f>Tabla13[[#This Row],[Importe]]-Tabla13[[#This Row],[Pagado]]</f>
        <v>0</v>
      </c>
      <c r="I2126" s="275" t="s">
        <v>15214</v>
      </c>
    </row>
    <row r="2127" spans="1:9" x14ac:dyDescent="0.25">
      <c r="A2127" s="299">
        <v>42964</v>
      </c>
      <c r="B2127" s="302" t="s">
        <v>25974</v>
      </c>
      <c r="C2127">
        <v>124099</v>
      </c>
      <c r="D2127" s="236" t="s">
        <v>15407</v>
      </c>
      <c r="E2127" s="301">
        <v>2325.6</v>
      </c>
      <c r="F2127" s="303">
        <v>42964</v>
      </c>
      <c r="G2127" s="301">
        <v>2325.6</v>
      </c>
      <c r="H2127" s="304">
        <f>Tabla13[[#This Row],[Importe]]-Tabla13[[#This Row],[Pagado]]</f>
        <v>0</v>
      </c>
      <c r="I2127" s="275" t="s">
        <v>15214</v>
      </c>
    </row>
    <row r="2128" spans="1:9" x14ac:dyDescent="0.25">
      <c r="A2128" s="299">
        <v>42964</v>
      </c>
      <c r="B2128" s="302" t="s">
        <v>25975</v>
      </c>
      <c r="C2128">
        <v>124100</v>
      </c>
      <c r="D2128" s="236" t="s">
        <v>16297</v>
      </c>
      <c r="E2128" s="301">
        <v>6619.8</v>
      </c>
      <c r="F2128" s="266">
        <v>42983</v>
      </c>
      <c r="G2128" s="35">
        <v>6619.8</v>
      </c>
      <c r="H2128" s="304">
        <f>Tabla13[[#This Row],[Importe]]-Tabla13[[#This Row],[Pagado]]</f>
        <v>0</v>
      </c>
      <c r="I2128" s="275" t="s">
        <v>15214</v>
      </c>
    </row>
    <row r="2129" spans="1:9" ht="30" x14ac:dyDescent="0.25">
      <c r="A2129" s="299">
        <v>42964</v>
      </c>
      <c r="B2129" s="302" t="s">
        <v>25976</v>
      </c>
      <c r="C2129">
        <v>124101</v>
      </c>
      <c r="D2129" s="236" t="s">
        <v>15267</v>
      </c>
      <c r="E2129" s="301">
        <v>7650</v>
      </c>
      <c r="F2129" s="266" t="s">
        <v>27699</v>
      </c>
      <c r="G2129" s="35">
        <f>5615.22+2034.78</f>
        <v>7650</v>
      </c>
      <c r="H2129" s="304">
        <f>Tabla13[[#This Row],[Importe]]-Tabla13[[#This Row],[Pagado]]</f>
        <v>0</v>
      </c>
      <c r="I2129" s="275" t="s">
        <v>15214</v>
      </c>
    </row>
    <row r="2130" spans="1:9" x14ac:dyDescent="0.25">
      <c r="A2130" s="299">
        <v>42964</v>
      </c>
      <c r="B2130" s="302" t="s">
        <v>25977</v>
      </c>
      <c r="C2130">
        <v>124102</v>
      </c>
      <c r="D2130" s="236" t="s">
        <v>15668</v>
      </c>
      <c r="E2130" s="301">
        <v>1054</v>
      </c>
      <c r="F2130" s="303">
        <v>42965</v>
      </c>
      <c r="G2130" s="301">
        <v>1054</v>
      </c>
      <c r="H2130" s="304">
        <f>Tabla13[[#This Row],[Importe]]-Tabla13[[#This Row],[Pagado]]</f>
        <v>0</v>
      </c>
      <c r="I2130" s="275" t="s">
        <v>15214</v>
      </c>
    </row>
    <row r="2131" spans="1:9" x14ac:dyDescent="0.25">
      <c r="A2131" s="299">
        <v>42964</v>
      </c>
      <c r="B2131" s="302" t="s">
        <v>25978</v>
      </c>
      <c r="C2131">
        <v>124103</v>
      </c>
      <c r="D2131" s="236" t="s">
        <v>15296</v>
      </c>
      <c r="E2131" s="301">
        <v>32152.23</v>
      </c>
      <c r="F2131" s="303">
        <v>42975</v>
      </c>
      <c r="G2131" s="301">
        <v>32152.23</v>
      </c>
      <c r="H2131" s="304">
        <f>Tabla13[[#This Row],[Importe]]-Tabla13[[#This Row],[Pagado]]</f>
        <v>0</v>
      </c>
      <c r="I2131" s="275" t="s">
        <v>15214</v>
      </c>
    </row>
    <row r="2132" spans="1:9" ht="15.75" x14ac:dyDescent="0.25">
      <c r="A2132" s="299">
        <v>42964</v>
      </c>
      <c r="B2132" s="302" t="s">
        <v>25979</v>
      </c>
      <c r="C2132">
        <v>124104</v>
      </c>
      <c r="D2132" s="248" t="s">
        <v>95</v>
      </c>
      <c r="E2132" s="301">
        <v>0</v>
      </c>
      <c r="F2132" s="243" t="s">
        <v>95</v>
      </c>
      <c r="G2132" s="301">
        <v>0</v>
      </c>
      <c r="H2132" s="304">
        <f>Tabla13[[#This Row],[Importe]]-Tabla13[[#This Row],[Pagado]]</f>
        <v>0</v>
      </c>
      <c r="I2132" s="275" t="s">
        <v>95</v>
      </c>
    </row>
    <row r="2133" spans="1:9" x14ac:dyDescent="0.25">
      <c r="A2133" s="299">
        <v>42964</v>
      </c>
      <c r="B2133" s="302" t="s">
        <v>25980</v>
      </c>
      <c r="C2133">
        <v>124105</v>
      </c>
      <c r="D2133" s="236" t="s">
        <v>15246</v>
      </c>
      <c r="E2133" s="301">
        <v>125462.06</v>
      </c>
      <c r="F2133" s="303">
        <v>42968</v>
      </c>
      <c r="G2133" s="301">
        <v>125462.06</v>
      </c>
      <c r="H2133" s="304">
        <f>Tabla13[[#This Row],[Importe]]-Tabla13[[#This Row],[Pagado]]</f>
        <v>0</v>
      </c>
      <c r="I2133" s="275" t="s">
        <v>15214</v>
      </c>
    </row>
    <row r="2134" spans="1:9" x14ac:dyDescent="0.25">
      <c r="A2134" s="299">
        <v>42964</v>
      </c>
      <c r="B2134" s="302" t="s">
        <v>25981</v>
      </c>
      <c r="C2134">
        <v>124106</v>
      </c>
      <c r="D2134" s="236" t="s">
        <v>15246</v>
      </c>
      <c r="E2134" s="301">
        <v>48792.5</v>
      </c>
      <c r="F2134" s="303">
        <v>42968</v>
      </c>
      <c r="G2134" s="301">
        <v>48792.5</v>
      </c>
      <c r="H2134" s="304">
        <f>Tabla13[[#This Row],[Importe]]-Tabla13[[#This Row],[Pagado]]</f>
        <v>0</v>
      </c>
      <c r="I2134" s="275" t="s">
        <v>15214</v>
      </c>
    </row>
    <row r="2135" spans="1:9" x14ac:dyDescent="0.25">
      <c r="A2135" s="299">
        <v>42964</v>
      </c>
      <c r="B2135" s="302" t="s">
        <v>25982</v>
      </c>
      <c r="C2135">
        <v>124107</v>
      </c>
      <c r="D2135" s="236" t="s">
        <v>15315</v>
      </c>
      <c r="E2135" s="301">
        <v>283.2</v>
      </c>
      <c r="F2135" s="303">
        <v>42964</v>
      </c>
      <c r="G2135" s="301">
        <v>283.2</v>
      </c>
      <c r="H2135" s="304">
        <f>Tabla13[[#This Row],[Importe]]-Tabla13[[#This Row],[Pagado]]</f>
        <v>0</v>
      </c>
      <c r="I2135" s="275" t="s">
        <v>15214</v>
      </c>
    </row>
    <row r="2136" spans="1:9" ht="15.75" x14ac:dyDescent="0.25">
      <c r="A2136" s="299">
        <v>42964</v>
      </c>
      <c r="B2136" s="302" t="s">
        <v>25983</v>
      </c>
      <c r="C2136">
        <v>124108</v>
      </c>
      <c r="D2136" s="248" t="s">
        <v>95</v>
      </c>
      <c r="E2136" s="301">
        <v>0</v>
      </c>
      <c r="F2136" s="243" t="s">
        <v>95</v>
      </c>
      <c r="G2136" s="301">
        <v>0</v>
      </c>
      <c r="H2136" s="304">
        <f>Tabla13[[#This Row],[Importe]]-Tabla13[[#This Row],[Pagado]]</f>
        <v>0</v>
      </c>
      <c r="I2136" s="275" t="s">
        <v>95</v>
      </c>
    </row>
    <row r="2137" spans="1:9" x14ac:dyDescent="0.25">
      <c r="A2137" s="299">
        <v>42964</v>
      </c>
      <c r="B2137" s="302" t="s">
        <v>25984</v>
      </c>
      <c r="C2137">
        <v>124109</v>
      </c>
      <c r="D2137" s="236" t="s">
        <v>15444</v>
      </c>
      <c r="E2137" s="301">
        <v>3718</v>
      </c>
      <c r="F2137" s="303">
        <v>42966</v>
      </c>
      <c r="G2137" s="301">
        <v>3718</v>
      </c>
      <c r="H2137" s="304">
        <f>Tabla13[[#This Row],[Importe]]-Tabla13[[#This Row],[Pagado]]</f>
        <v>0</v>
      </c>
      <c r="I2137" s="275" t="s">
        <v>15214</v>
      </c>
    </row>
    <row r="2138" spans="1:9" x14ac:dyDescent="0.25">
      <c r="A2138" s="299">
        <v>42964</v>
      </c>
      <c r="B2138" s="302" t="s">
        <v>25985</v>
      </c>
      <c r="C2138">
        <v>124110</v>
      </c>
      <c r="D2138" s="236" t="s">
        <v>15435</v>
      </c>
      <c r="E2138" s="301">
        <v>9100.7999999999993</v>
      </c>
      <c r="F2138" s="303">
        <v>42964</v>
      </c>
      <c r="G2138" s="301">
        <v>9100.7999999999993</v>
      </c>
      <c r="H2138" s="304">
        <f>Tabla13[[#This Row],[Importe]]-Tabla13[[#This Row],[Pagado]]</f>
        <v>0</v>
      </c>
      <c r="I2138" s="275" t="s">
        <v>15214</v>
      </c>
    </row>
    <row r="2139" spans="1:9" x14ac:dyDescent="0.25">
      <c r="A2139" s="299">
        <v>42964</v>
      </c>
      <c r="B2139" s="302" t="s">
        <v>25986</v>
      </c>
      <c r="C2139">
        <v>124111</v>
      </c>
      <c r="D2139" s="236" t="s">
        <v>19680</v>
      </c>
      <c r="E2139" s="301">
        <v>84</v>
      </c>
      <c r="F2139" s="303">
        <v>42965</v>
      </c>
      <c r="G2139" s="301">
        <v>84</v>
      </c>
      <c r="H2139" s="304">
        <f>Tabla13[[#This Row],[Importe]]-Tabla13[[#This Row],[Pagado]]</f>
        <v>0</v>
      </c>
      <c r="I2139" s="275" t="s">
        <v>15214</v>
      </c>
    </row>
    <row r="2140" spans="1:9" x14ac:dyDescent="0.25">
      <c r="A2140" s="299">
        <v>42964</v>
      </c>
      <c r="B2140" s="302" t="s">
        <v>25987</v>
      </c>
      <c r="C2140">
        <v>124112</v>
      </c>
      <c r="D2140" s="236" t="s">
        <v>15642</v>
      </c>
      <c r="E2140" s="301">
        <v>7184.1</v>
      </c>
      <c r="F2140" s="303">
        <v>42965</v>
      </c>
      <c r="G2140" s="301">
        <v>7184.1</v>
      </c>
      <c r="H2140" s="304">
        <f>Tabla13[[#This Row],[Importe]]-Tabla13[[#This Row],[Pagado]]</f>
        <v>0</v>
      </c>
      <c r="I2140" s="275" t="s">
        <v>15214</v>
      </c>
    </row>
    <row r="2141" spans="1:9" x14ac:dyDescent="0.25">
      <c r="A2141" s="299">
        <v>42965</v>
      </c>
      <c r="B2141" s="302" t="s">
        <v>25988</v>
      </c>
      <c r="C2141">
        <v>124113</v>
      </c>
      <c r="D2141" s="236" t="s">
        <v>21386</v>
      </c>
      <c r="E2141" s="301">
        <v>10881.3</v>
      </c>
      <c r="F2141" s="303" t="s">
        <v>25989</v>
      </c>
      <c r="G2141" s="301">
        <v>10881.3</v>
      </c>
      <c r="H2141" s="304">
        <f>Tabla13[[#This Row],[Importe]]-Tabla13[[#This Row],[Pagado]]</f>
        <v>0</v>
      </c>
      <c r="I2141" s="275" t="s">
        <v>15214</v>
      </c>
    </row>
    <row r="2142" spans="1:9" x14ac:dyDescent="0.25">
      <c r="A2142" s="299">
        <v>42965</v>
      </c>
      <c r="B2142" s="302" t="s">
        <v>25990</v>
      </c>
      <c r="C2142">
        <v>124114</v>
      </c>
      <c r="D2142" s="236" t="s">
        <v>15213</v>
      </c>
      <c r="E2142" s="301">
        <v>49546.85</v>
      </c>
      <c r="F2142" s="303">
        <v>42966</v>
      </c>
      <c r="G2142" s="301">
        <v>49546.85</v>
      </c>
      <c r="H2142" s="304">
        <f>Tabla13[[#This Row],[Importe]]-Tabla13[[#This Row],[Pagado]]</f>
        <v>0</v>
      </c>
      <c r="I2142" s="275" t="s">
        <v>15214</v>
      </c>
    </row>
    <row r="2143" spans="1:9" ht="15.75" x14ac:dyDescent="0.25">
      <c r="A2143" s="299">
        <v>42965</v>
      </c>
      <c r="B2143" s="302" t="s">
        <v>25991</v>
      </c>
      <c r="C2143">
        <v>124115</v>
      </c>
      <c r="D2143" s="282" t="s">
        <v>95</v>
      </c>
      <c r="E2143" s="301">
        <v>0</v>
      </c>
      <c r="F2143" s="243" t="s">
        <v>95</v>
      </c>
      <c r="G2143" s="301">
        <v>0</v>
      </c>
      <c r="H2143" s="304">
        <f>Tabla13[[#This Row],[Importe]]-Tabla13[[#This Row],[Pagado]]</f>
        <v>0</v>
      </c>
      <c r="I2143" s="275" t="s">
        <v>95</v>
      </c>
    </row>
    <row r="2144" spans="1:9" ht="15.75" x14ac:dyDescent="0.25">
      <c r="A2144" s="299">
        <v>42965</v>
      </c>
      <c r="B2144" s="302" t="s">
        <v>25992</v>
      </c>
      <c r="C2144">
        <v>124116</v>
      </c>
      <c r="D2144" s="282" t="s">
        <v>95</v>
      </c>
      <c r="E2144" s="301">
        <v>0</v>
      </c>
      <c r="F2144" s="243" t="s">
        <v>95</v>
      </c>
      <c r="G2144" s="301">
        <v>0</v>
      </c>
      <c r="H2144" s="304">
        <f>Tabla13[[#This Row],[Importe]]-Tabla13[[#This Row],[Pagado]]</f>
        <v>0</v>
      </c>
      <c r="I2144" s="275" t="s">
        <v>95</v>
      </c>
    </row>
    <row r="2145" spans="1:9" x14ac:dyDescent="0.25">
      <c r="A2145" s="299">
        <v>42965</v>
      </c>
      <c r="B2145" s="302" t="s">
        <v>25993</v>
      </c>
      <c r="C2145">
        <v>124117</v>
      </c>
      <c r="D2145" s="236" t="s">
        <v>15330</v>
      </c>
      <c r="E2145" s="301">
        <v>4110</v>
      </c>
      <c r="F2145" s="303">
        <v>42965</v>
      </c>
      <c r="G2145" s="301">
        <v>4110</v>
      </c>
      <c r="H2145" s="304">
        <f>Tabla13[[#This Row],[Importe]]-Tabla13[[#This Row],[Pagado]]</f>
        <v>0</v>
      </c>
      <c r="I2145" s="275" t="s">
        <v>15214</v>
      </c>
    </row>
    <row r="2146" spans="1:9" x14ac:dyDescent="0.25">
      <c r="A2146" s="299">
        <v>42965</v>
      </c>
      <c r="B2146" s="302" t="s">
        <v>25994</v>
      </c>
      <c r="C2146">
        <v>124118</v>
      </c>
      <c r="D2146" s="236" t="s">
        <v>15367</v>
      </c>
      <c r="E2146" s="301">
        <v>6000</v>
      </c>
      <c r="F2146" s="303">
        <v>42966</v>
      </c>
      <c r="G2146" s="301">
        <v>6000</v>
      </c>
      <c r="H2146" s="304">
        <f>Tabla13[[#This Row],[Importe]]-Tabla13[[#This Row],[Pagado]]</f>
        <v>0</v>
      </c>
      <c r="I2146" s="275" t="s">
        <v>15214</v>
      </c>
    </row>
    <row r="2147" spans="1:9" x14ac:dyDescent="0.25">
      <c r="A2147" s="299">
        <v>42965</v>
      </c>
      <c r="B2147" s="302" t="s">
        <v>25995</v>
      </c>
      <c r="C2147">
        <v>124119</v>
      </c>
      <c r="D2147" s="236" t="s">
        <v>15380</v>
      </c>
      <c r="E2147" s="301">
        <v>48560</v>
      </c>
      <c r="F2147" s="266">
        <v>42980</v>
      </c>
      <c r="G2147" s="35">
        <v>48560</v>
      </c>
      <c r="H2147" s="304">
        <f>Tabla13[[#This Row],[Importe]]-Tabla13[[#This Row],[Pagado]]</f>
        <v>0</v>
      </c>
      <c r="I2147" s="275" t="s">
        <v>15214</v>
      </c>
    </row>
    <row r="2148" spans="1:9" x14ac:dyDescent="0.25">
      <c r="A2148" s="299">
        <v>42965</v>
      </c>
      <c r="B2148" s="302" t="s">
        <v>25996</v>
      </c>
      <c r="C2148">
        <v>124120</v>
      </c>
      <c r="D2148" s="236" t="s">
        <v>15230</v>
      </c>
      <c r="E2148" s="301">
        <v>15087.5</v>
      </c>
      <c r="F2148" s="303">
        <v>42968</v>
      </c>
      <c r="G2148" s="301">
        <v>15087.5</v>
      </c>
      <c r="H2148" s="304">
        <f>Tabla13[[#This Row],[Importe]]-Tabla13[[#This Row],[Pagado]]</f>
        <v>0</v>
      </c>
      <c r="I2148" s="275" t="s">
        <v>15214</v>
      </c>
    </row>
    <row r="2149" spans="1:9" x14ac:dyDescent="0.25">
      <c r="A2149" s="299">
        <v>42965</v>
      </c>
      <c r="B2149" s="302" t="s">
        <v>25997</v>
      </c>
      <c r="C2149">
        <v>124121</v>
      </c>
      <c r="D2149" s="236" t="s">
        <v>15232</v>
      </c>
      <c r="E2149" s="301">
        <v>6196.5</v>
      </c>
      <c r="F2149" s="303">
        <v>42971</v>
      </c>
      <c r="G2149" s="301">
        <v>6196.5</v>
      </c>
      <c r="H2149" s="304">
        <f>Tabla13[[#This Row],[Importe]]-Tabla13[[#This Row],[Pagado]]</f>
        <v>0</v>
      </c>
      <c r="I2149" s="275" t="s">
        <v>15214</v>
      </c>
    </row>
    <row r="2150" spans="1:9" ht="30" x14ac:dyDescent="0.25">
      <c r="A2150" s="299">
        <v>42965</v>
      </c>
      <c r="B2150" s="302" t="s">
        <v>25998</v>
      </c>
      <c r="C2150">
        <v>124122</v>
      </c>
      <c r="D2150" s="236" t="s">
        <v>15236</v>
      </c>
      <c r="E2150" s="301">
        <v>3436.2</v>
      </c>
      <c r="F2150" s="303" t="s">
        <v>25972</v>
      </c>
      <c r="G2150" s="305">
        <f>3000+436.2</f>
        <v>3436.2</v>
      </c>
      <c r="H2150" s="304">
        <f>Tabla13[[#This Row],[Importe]]-Tabla13[[#This Row],[Pagado]]</f>
        <v>0</v>
      </c>
      <c r="I2150" s="275" t="s">
        <v>15214</v>
      </c>
    </row>
    <row r="2151" spans="1:9" x14ac:dyDescent="0.25">
      <c r="A2151" s="299">
        <v>42965</v>
      </c>
      <c r="B2151" s="302" t="s">
        <v>25999</v>
      </c>
      <c r="C2151">
        <v>124123</v>
      </c>
      <c r="D2151" s="236" t="s">
        <v>15448</v>
      </c>
      <c r="E2151" s="301">
        <v>187647.48</v>
      </c>
      <c r="F2151" s="303">
        <v>42966</v>
      </c>
      <c r="G2151" s="301">
        <v>187647.48</v>
      </c>
      <c r="H2151" s="304">
        <f>Tabla13[[#This Row],[Importe]]-Tabla13[[#This Row],[Pagado]]</f>
        <v>0</v>
      </c>
      <c r="I2151" s="275" t="s">
        <v>15214</v>
      </c>
    </row>
    <row r="2152" spans="1:9" x14ac:dyDescent="0.25">
      <c r="A2152" s="299">
        <v>42965</v>
      </c>
      <c r="B2152" s="302" t="s">
        <v>26000</v>
      </c>
      <c r="C2152">
        <v>124124</v>
      </c>
      <c r="D2152" s="236" t="s">
        <v>15382</v>
      </c>
      <c r="E2152" s="301">
        <v>11336</v>
      </c>
      <c r="F2152" s="303">
        <v>42972</v>
      </c>
      <c r="G2152" s="301">
        <v>11336</v>
      </c>
      <c r="H2152" s="304">
        <f>Tabla13[[#This Row],[Importe]]-Tabla13[[#This Row],[Pagado]]</f>
        <v>0</v>
      </c>
      <c r="I2152" s="275" t="s">
        <v>15214</v>
      </c>
    </row>
    <row r="2153" spans="1:9" x14ac:dyDescent="0.25">
      <c r="A2153" s="299">
        <v>42965</v>
      </c>
      <c r="B2153" s="302" t="s">
        <v>26001</v>
      </c>
      <c r="C2153">
        <v>124125</v>
      </c>
      <c r="D2153" s="236" t="s">
        <v>15389</v>
      </c>
      <c r="E2153" s="301">
        <v>21209.1</v>
      </c>
      <c r="F2153" s="303">
        <v>42972</v>
      </c>
      <c r="G2153" s="301">
        <v>21209.1</v>
      </c>
      <c r="H2153" s="304">
        <f>Tabla13[[#This Row],[Importe]]-Tabla13[[#This Row],[Pagado]]</f>
        <v>0</v>
      </c>
      <c r="I2153" s="275" t="s">
        <v>15214</v>
      </c>
    </row>
    <row r="2154" spans="1:9" ht="15.75" x14ac:dyDescent="0.25">
      <c r="A2154" s="299">
        <v>42965</v>
      </c>
      <c r="B2154" s="302" t="s">
        <v>26002</v>
      </c>
      <c r="C2154">
        <v>124126</v>
      </c>
      <c r="D2154" s="248" t="s">
        <v>95</v>
      </c>
      <c r="E2154" s="301">
        <v>0</v>
      </c>
      <c r="F2154" s="243" t="s">
        <v>95</v>
      </c>
      <c r="G2154" s="301">
        <v>0</v>
      </c>
      <c r="H2154" s="304">
        <f>Tabla13[[#This Row],[Importe]]-Tabla13[[#This Row],[Pagado]]</f>
        <v>0</v>
      </c>
      <c r="I2154" s="275" t="s">
        <v>95</v>
      </c>
    </row>
    <row r="2155" spans="1:9" x14ac:dyDescent="0.25">
      <c r="A2155" s="299">
        <v>42965</v>
      </c>
      <c r="B2155" s="302" t="s">
        <v>26003</v>
      </c>
      <c r="C2155">
        <v>124127</v>
      </c>
      <c r="D2155" s="236" t="s">
        <v>15373</v>
      </c>
      <c r="E2155" s="301">
        <v>16049.4</v>
      </c>
      <c r="F2155" s="303">
        <v>42969</v>
      </c>
      <c r="G2155" s="301">
        <v>16049.4</v>
      </c>
      <c r="H2155" s="304">
        <f>Tabla13[[#This Row],[Importe]]-Tabla13[[#This Row],[Pagado]]</f>
        <v>0</v>
      </c>
      <c r="I2155" s="275" t="s">
        <v>15214</v>
      </c>
    </row>
    <row r="2156" spans="1:9" x14ac:dyDescent="0.25">
      <c r="A2156" s="299">
        <v>42965</v>
      </c>
      <c r="B2156" s="302" t="s">
        <v>26004</v>
      </c>
      <c r="C2156">
        <v>124128</v>
      </c>
      <c r="D2156" s="236" t="s">
        <v>15242</v>
      </c>
      <c r="E2156" s="301">
        <v>5332</v>
      </c>
      <c r="F2156" s="303">
        <v>42965</v>
      </c>
      <c r="G2156" s="301">
        <v>5332</v>
      </c>
      <c r="H2156" s="304">
        <f>Tabla13[[#This Row],[Importe]]-Tabla13[[#This Row],[Pagado]]</f>
        <v>0</v>
      </c>
      <c r="I2156" s="275" t="s">
        <v>15214</v>
      </c>
    </row>
    <row r="2157" spans="1:9" x14ac:dyDescent="0.25">
      <c r="A2157" s="299">
        <v>42965</v>
      </c>
      <c r="B2157" s="302" t="s">
        <v>26005</v>
      </c>
      <c r="C2157">
        <v>124129</v>
      </c>
      <c r="D2157" s="236" t="s">
        <v>15369</v>
      </c>
      <c r="E2157" s="301">
        <v>28213.599999999999</v>
      </c>
      <c r="F2157" s="266">
        <v>42980</v>
      </c>
      <c r="G2157" s="35">
        <v>28213.599999999999</v>
      </c>
      <c r="H2157" s="304">
        <f>Tabla13[[#This Row],[Importe]]-Tabla13[[#This Row],[Pagado]]</f>
        <v>0</v>
      </c>
      <c r="I2157" s="275" t="s">
        <v>15214</v>
      </c>
    </row>
    <row r="2158" spans="1:9" x14ac:dyDescent="0.25">
      <c r="A2158" s="299">
        <v>42965</v>
      </c>
      <c r="B2158" s="302" t="s">
        <v>26006</v>
      </c>
      <c r="C2158">
        <v>124130</v>
      </c>
      <c r="D2158" s="236" t="s">
        <v>17462</v>
      </c>
      <c r="E2158" s="301">
        <v>5484.2</v>
      </c>
      <c r="F2158" s="303">
        <v>42965</v>
      </c>
      <c r="G2158" s="301">
        <v>5484.2</v>
      </c>
      <c r="H2158" s="304">
        <f>Tabla13[[#This Row],[Importe]]-Tabla13[[#This Row],[Pagado]]</f>
        <v>0</v>
      </c>
      <c r="I2158" s="275" t="s">
        <v>15214</v>
      </c>
    </row>
    <row r="2159" spans="1:9" x14ac:dyDescent="0.25">
      <c r="A2159" s="299">
        <v>42965</v>
      </c>
      <c r="B2159" s="302" t="s">
        <v>26007</v>
      </c>
      <c r="C2159">
        <v>124131</v>
      </c>
      <c r="D2159" s="236" t="s">
        <v>15373</v>
      </c>
      <c r="E2159" s="301">
        <v>2378.1999999999998</v>
      </c>
      <c r="F2159" s="303">
        <v>42969</v>
      </c>
      <c r="G2159" s="301">
        <v>2378.1999999999998</v>
      </c>
      <c r="H2159" s="304">
        <f>Tabla13[[#This Row],[Importe]]-Tabla13[[#This Row],[Pagado]]</f>
        <v>0</v>
      </c>
      <c r="I2159" s="275" t="s">
        <v>15214</v>
      </c>
    </row>
    <row r="2160" spans="1:9" x14ac:dyDescent="0.25">
      <c r="A2160" s="299">
        <v>42965</v>
      </c>
      <c r="B2160" s="302" t="s">
        <v>26008</v>
      </c>
      <c r="C2160">
        <v>124132</v>
      </c>
      <c r="D2160" s="236" t="s">
        <v>15258</v>
      </c>
      <c r="E2160" s="301">
        <v>3154</v>
      </c>
      <c r="F2160" s="303">
        <v>42971</v>
      </c>
      <c r="G2160" s="301">
        <v>3154</v>
      </c>
      <c r="H2160" s="304">
        <f>Tabla13[[#This Row],[Importe]]-Tabla13[[#This Row],[Pagado]]</f>
        <v>0</v>
      </c>
      <c r="I2160" s="275" t="s">
        <v>15214</v>
      </c>
    </row>
    <row r="2161" spans="1:9" x14ac:dyDescent="0.25">
      <c r="A2161" s="299">
        <v>42965</v>
      </c>
      <c r="B2161" s="302" t="s">
        <v>26009</v>
      </c>
      <c r="C2161">
        <v>124133</v>
      </c>
      <c r="D2161" s="236" t="s">
        <v>17462</v>
      </c>
      <c r="E2161" s="301">
        <v>2983.9</v>
      </c>
      <c r="F2161" s="303">
        <v>42965</v>
      </c>
      <c r="G2161" s="301">
        <v>2983.9</v>
      </c>
      <c r="H2161" s="304">
        <f>Tabla13[[#This Row],[Importe]]-Tabla13[[#This Row],[Pagado]]</f>
        <v>0</v>
      </c>
      <c r="I2161" s="275" t="s">
        <v>15214</v>
      </c>
    </row>
    <row r="2162" spans="1:9" x14ac:dyDescent="0.25">
      <c r="A2162" s="299">
        <v>42965</v>
      </c>
      <c r="B2162" s="302" t="s">
        <v>26010</v>
      </c>
      <c r="C2162">
        <v>124134</v>
      </c>
      <c r="D2162" s="236" t="s">
        <v>15220</v>
      </c>
      <c r="E2162" s="301">
        <v>3055</v>
      </c>
      <c r="F2162" s="303">
        <v>42965</v>
      </c>
      <c r="G2162" s="301">
        <v>3055</v>
      </c>
      <c r="H2162" s="304">
        <f>Tabla13[[#This Row],[Importe]]-Tabla13[[#This Row],[Pagado]]</f>
        <v>0</v>
      </c>
      <c r="I2162" s="275" t="s">
        <v>15214</v>
      </c>
    </row>
    <row r="2163" spans="1:9" x14ac:dyDescent="0.25">
      <c r="A2163" s="299">
        <v>42965</v>
      </c>
      <c r="B2163" s="302" t="s">
        <v>26011</v>
      </c>
      <c r="C2163">
        <v>124135</v>
      </c>
      <c r="D2163" s="236" t="s">
        <v>19302</v>
      </c>
      <c r="E2163" s="301">
        <v>705</v>
      </c>
      <c r="F2163" s="303">
        <v>42965</v>
      </c>
      <c r="G2163" s="301">
        <v>705</v>
      </c>
      <c r="H2163" s="304">
        <f>Tabla13[[#This Row],[Importe]]-Tabla13[[#This Row],[Pagado]]</f>
        <v>0</v>
      </c>
      <c r="I2163" s="275" t="s">
        <v>15214</v>
      </c>
    </row>
    <row r="2164" spans="1:9" x14ac:dyDescent="0.25">
      <c r="A2164" s="299">
        <v>42965</v>
      </c>
      <c r="B2164" s="302" t="s">
        <v>26012</v>
      </c>
      <c r="C2164">
        <v>124136</v>
      </c>
      <c r="D2164" s="236" t="s">
        <v>15272</v>
      </c>
      <c r="E2164" s="301">
        <v>25494.25</v>
      </c>
      <c r="F2164" s="303">
        <v>42965</v>
      </c>
      <c r="G2164" s="301">
        <v>25494.25</v>
      </c>
      <c r="H2164" s="304">
        <f>Tabla13[[#This Row],[Importe]]-Tabla13[[#This Row],[Pagado]]</f>
        <v>0</v>
      </c>
      <c r="I2164" s="275" t="s">
        <v>15214</v>
      </c>
    </row>
    <row r="2165" spans="1:9" x14ac:dyDescent="0.25">
      <c r="A2165" s="299">
        <v>42965</v>
      </c>
      <c r="B2165" s="302" t="s">
        <v>26013</v>
      </c>
      <c r="C2165">
        <v>124137</v>
      </c>
      <c r="D2165" s="236" t="s">
        <v>15373</v>
      </c>
      <c r="E2165" s="301">
        <v>7001.2</v>
      </c>
      <c r="F2165" s="303">
        <v>42966</v>
      </c>
      <c r="G2165" s="301">
        <v>7001.2</v>
      </c>
      <c r="H2165" s="304">
        <f>Tabla13[[#This Row],[Importe]]-Tabla13[[#This Row],[Pagado]]</f>
        <v>0</v>
      </c>
      <c r="I2165" s="275" t="s">
        <v>15214</v>
      </c>
    </row>
    <row r="2166" spans="1:9" x14ac:dyDescent="0.25">
      <c r="A2166" s="299">
        <v>42965</v>
      </c>
      <c r="B2166" s="302" t="s">
        <v>26014</v>
      </c>
      <c r="C2166">
        <v>124138</v>
      </c>
      <c r="D2166" s="236" t="s">
        <v>15668</v>
      </c>
      <c r="E2166" s="301">
        <v>14823.8</v>
      </c>
      <c r="F2166" s="303">
        <v>42968</v>
      </c>
      <c r="G2166" s="301">
        <v>14823.8</v>
      </c>
      <c r="H2166" s="304">
        <f>Tabla13[[#This Row],[Importe]]-Tabla13[[#This Row],[Pagado]]</f>
        <v>0</v>
      </c>
      <c r="I2166" s="275" t="s">
        <v>15214</v>
      </c>
    </row>
    <row r="2167" spans="1:9" x14ac:dyDescent="0.25">
      <c r="A2167" s="299">
        <v>42965</v>
      </c>
      <c r="B2167" s="302" t="s">
        <v>26015</v>
      </c>
      <c r="C2167">
        <v>124139</v>
      </c>
      <c r="D2167" s="236" t="s">
        <v>15371</v>
      </c>
      <c r="E2167" s="301">
        <v>3323</v>
      </c>
      <c r="F2167" s="303">
        <v>42966</v>
      </c>
      <c r="G2167" s="301">
        <v>3323</v>
      </c>
      <c r="H2167" s="304">
        <f>Tabla13[[#This Row],[Importe]]-Tabla13[[#This Row],[Pagado]]</f>
        <v>0</v>
      </c>
      <c r="I2167" s="275" t="s">
        <v>15214</v>
      </c>
    </row>
    <row r="2168" spans="1:9" x14ac:dyDescent="0.25">
      <c r="A2168" s="299">
        <v>42965</v>
      </c>
      <c r="B2168" s="302" t="s">
        <v>26016</v>
      </c>
      <c r="C2168">
        <v>124140</v>
      </c>
      <c r="D2168" s="236" t="s">
        <v>15338</v>
      </c>
      <c r="E2168" s="301">
        <v>13478.8</v>
      </c>
      <c r="F2168" s="303">
        <v>42969</v>
      </c>
      <c r="G2168" s="301">
        <v>13478.8</v>
      </c>
      <c r="H2168" s="304">
        <f>Tabla13[[#This Row],[Importe]]-Tabla13[[#This Row],[Pagado]]</f>
        <v>0</v>
      </c>
      <c r="I2168" s="275" t="s">
        <v>15214</v>
      </c>
    </row>
    <row r="2169" spans="1:9" x14ac:dyDescent="0.25">
      <c r="A2169" s="299">
        <v>42965</v>
      </c>
      <c r="B2169" s="302" t="s">
        <v>26017</v>
      </c>
      <c r="C2169">
        <v>124141</v>
      </c>
      <c r="D2169" s="236" t="s">
        <v>15250</v>
      </c>
      <c r="E2169" s="301">
        <v>64288.1</v>
      </c>
      <c r="F2169" s="303">
        <v>42970</v>
      </c>
      <c r="G2169" s="301">
        <v>64288.1</v>
      </c>
      <c r="H2169" s="304">
        <f>Tabla13[[#This Row],[Importe]]-Tabla13[[#This Row],[Pagado]]</f>
        <v>0</v>
      </c>
      <c r="I2169" s="275" t="s">
        <v>15214</v>
      </c>
    </row>
    <row r="2170" spans="1:9" x14ac:dyDescent="0.25">
      <c r="A2170" s="299">
        <v>42965</v>
      </c>
      <c r="B2170" s="302" t="s">
        <v>26018</v>
      </c>
      <c r="C2170">
        <v>124142</v>
      </c>
      <c r="D2170" s="236" t="s">
        <v>15668</v>
      </c>
      <c r="E2170" s="301">
        <v>31538.43</v>
      </c>
      <c r="F2170" s="303">
        <v>42968</v>
      </c>
      <c r="G2170" s="301">
        <v>31538.43</v>
      </c>
      <c r="H2170" s="304">
        <f>Tabla13[[#This Row],[Importe]]-Tabla13[[#This Row],[Pagado]]</f>
        <v>0</v>
      </c>
      <c r="I2170" s="275" t="s">
        <v>15214</v>
      </c>
    </row>
    <row r="2171" spans="1:9" x14ac:dyDescent="0.25">
      <c r="A2171" s="299">
        <v>42965</v>
      </c>
      <c r="B2171" s="302" t="s">
        <v>26019</v>
      </c>
      <c r="C2171">
        <v>124143</v>
      </c>
      <c r="D2171" s="236" t="s">
        <v>15226</v>
      </c>
      <c r="E2171" s="301">
        <v>1927</v>
      </c>
      <c r="F2171" s="303">
        <v>42968</v>
      </c>
      <c r="G2171" s="301">
        <v>1927</v>
      </c>
      <c r="H2171" s="304">
        <f>Tabla13[[#This Row],[Importe]]-Tabla13[[#This Row],[Pagado]]</f>
        <v>0</v>
      </c>
      <c r="I2171" s="275" t="s">
        <v>15214</v>
      </c>
    </row>
    <row r="2172" spans="1:9" x14ac:dyDescent="0.25">
      <c r="A2172" s="299">
        <v>42965</v>
      </c>
      <c r="B2172" s="302" t="s">
        <v>26020</v>
      </c>
      <c r="C2172">
        <v>124144</v>
      </c>
      <c r="D2172" s="236" t="s">
        <v>15394</v>
      </c>
      <c r="E2172" s="301">
        <v>6727.6</v>
      </c>
      <c r="F2172" s="303">
        <v>42966</v>
      </c>
      <c r="G2172" s="301">
        <v>6727.6</v>
      </c>
      <c r="H2172" s="304">
        <f>Tabla13[[#This Row],[Importe]]-Tabla13[[#This Row],[Pagado]]</f>
        <v>0</v>
      </c>
      <c r="I2172" s="275" t="s">
        <v>15214</v>
      </c>
    </row>
    <row r="2173" spans="1:9" x14ac:dyDescent="0.25">
      <c r="A2173" s="299">
        <v>42965</v>
      </c>
      <c r="B2173" s="302" t="s">
        <v>26021</v>
      </c>
      <c r="C2173">
        <v>124145</v>
      </c>
      <c r="D2173" s="236" t="s">
        <v>15234</v>
      </c>
      <c r="E2173" s="301">
        <v>3378.1</v>
      </c>
      <c r="F2173" s="303">
        <v>42969</v>
      </c>
      <c r="G2173" s="301">
        <v>3378.1</v>
      </c>
      <c r="H2173" s="304">
        <f>Tabla13[[#This Row],[Importe]]-Tabla13[[#This Row],[Pagado]]</f>
        <v>0</v>
      </c>
      <c r="I2173" s="275" t="s">
        <v>15214</v>
      </c>
    </row>
    <row r="2174" spans="1:9" x14ac:dyDescent="0.25">
      <c r="A2174" s="299">
        <v>42965</v>
      </c>
      <c r="B2174" s="302" t="s">
        <v>26022</v>
      </c>
      <c r="C2174">
        <v>124146</v>
      </c>
      <c r="D2174" s="236" t="s">
        <v>15238</v>
      </c>
      <c r="E2174" s="301">
        <v>5995.7</v>
      </c>
      <c r="F2174" s="303">
        <v>42968</v>
      </c>
      <c r="G2174" s="301">
        <v>5995.7</v>
      </c>
      <c r="H2174" s="304">
        <f>Tabla13[[#This Row],[Importe]]-Tabla13[[#This Row],[Pagado]]</f>
        <v>0</v>
      </c>
      <c r="I2174" s="275" t="s">
        <v>15214</v>
      </c>
    </row>
    <row r="2175" spans="1:9" x14ac:dyDescent="0.25">
      <c r="A2175" s="299">
        <v>42965</v>
      </c>
      <c r="B2175" s="302" t="s">
        <v>26023</v>
      </c>
      <c r="C2175">
        <v>124147</v>
      </c>
      <c r="D2175" s="236" t="s">
        <v>16023</v>
      </c>
      <c r="E2175" s="301">
        <v>2726.5</v>
      </c>
      <c r="F2175" s="303">
        <v>42965</v>
      </c>
      <c r="G2175" s="301">
        <v>2726.5</v>
      </c>
      <c r="H2175" s="304">
        <f>Tabla13[[#This Row],[Importe]]-Tabla13[[#This Row],[Pagado]]</f>
        <v>0</v>
      </c>
      <c r="I2175" s="275" t="s">
        <v>15214</v>
      </c>
    </row>
    <row r="2176" spans="1:9" x14ac:dyDescent="0.25">
      <c r="A2176" s="299">
        <v>42965</v>
      </c>
      <c r="B2176" s="302" t="s">
        <v>26024</v>
      </c>
      <c r="C2176">
        <v>124148</v>
      </c>
      <c r="D2176" s="236" t="s">
        <v>15365</v>
      </c>
      <c r="E2176" s="301">
        <v>34735.26</v>
      </c>
      <c r="F2176" s="303">
        <v>42971</v>
      </c>
      <c r="G2176" s="301">
        <v>34735.26</v>
      </c>
      <c r="H2176" s="304">
        <f>Tabla13[[#This Row],[Importe]]-Tabla13[[#This Row],[Pagado]]</f>
        <v>0</v>
      </c>
      <c r="I2176" s="275" t="s">
        <v>15214</v>
      </c>
    </row>
    <row r="2177" spans="1:9" x14ac:dyDescent="0.25">
      <c r="A2177" s="299">
        <v>42965</v>
      </c>
      <c r="B2177" s="302" t="s">
        <v>26025</v>
      </c>
      <c r="C2177">
        <v>124149</v>
      </c>
      <c r="D2177" s="236" t="s">
        <v>15544</v>
      </c>
      <c r="E2177" s="301">
        <v>3788.95</v>
      </c>
      <c r="F2177" s="303">
        <v>42966</v>
      </c>
      <c r="G2177" s="301">
        <v>3788.95</v>
      </c>
      <c r="H2177" s="304">
        <f>Tabla13[[#This Row],[Importe]]-Tabla13[[#This Row],[Pagado]]</f>
        <v>0</v>
      </c>
      <c r="I2177" s="275" t="s">
        <v>15214</v>
      </c>
    </row>
    <row r="2178" spans="1:9" x14ac:dyDescent="0.25">
      <c r="A2178" s="299">
        <v>42965</v>
      </c>
      <c r="B2178" s="302" t="s">
        <v>26026</v>
      </c>
      <c r="C2178">
        <v>124150</v>
      </c>
      <c r="D2178" s="236" t="s">
        <v>15315</v>
      </c>
      <c r="E2178" s="301">
        <v>16587.55</v>
      </c>
      <c r="F2178" s="303">
        <v>42970</v>
      </c>
      <c r="G2178" s="301">
        <v>16587.55</v>
      </c>
      <c r="H2178" s="304">
        <f>Tabla13[[#This Row],[Importe]]-Tabla13[[#This Row],[Pagado]]</f>
        <v>0</v>
      </c>
      <c r="I2178" s="275" t="s">
        <v>15214</v>
      </c>
    </row>
    <row r="2179" spans="1:9" x14ac:dyDescent="0.25">
      <c r="A2179" s="299">
        <v>42965</v>
      </c>
      <c r="B2179" s="302" t="s">
        <v>26027</v>
      </c>
      <c r="C2179">
        <v>124151</v>
      </c>
      <c r="D2179" s="236" t="s">
        <v>5575</v>
      </c>
      <c r="E2179" s="301">
        <v>3461.1</v>
      </c>
      <c r="F2179" s="303">
        <v>42966</v>
      </c>
      <c r="G2179" s="301">
        <v>3461.1</v>
      </c>
      <c r="H2179" s="304">
        <f>Tabla13[[#This Row],[Importe]]-Tabla13[[#This Row],[Pagado]]</f>
        <v>0</v>
      </c>
      <c r="I2179" s="275" t="s">
        <v>15214</v>
      </c>
    </row>
    <row r="2180" spans="1:9" x14ac:dyDescent="0.25">
      <c r="A2180" s="299">
        <v>42965</v>
      </c>
      <c r="B2180" s="302" t="s">
        <v>26028</v>
      </c>
      <c r="C2180">
        <v>124152</v>
      </c>
      <c r="D2180" s="236" t="s">
        <v>15480</v>
      </c>
      <c r="E2180" s="301">
        <v>3510.9</v>
      </c>
      <c r="F2180" s="303">
        <v>42968</v>
      </c>
      <c r="G2180" s="301">
        <v>3510.9</v>
      </c>
      <c r="H2180" s="304">
        <f>Tabla13[[#This Row],[Importe]]-Tabla13[[#This Row],[Pagado]]</f>
        <v>0</v>
      </c>
      <c r="I2180" s="275" t="s">
        <v>15214</v>
      </c>
    </row>
    <row r="2181" spans="1:9" x14ac:dyDescent="0.25">
      <c r="A2181" s="299">
        <v>42965</v>
      </c>
      <c r="B2181" s="302" t="s">
        <v>26029</v>
      </c>
      <c r="C2181">
        <v>124153</v>
      </c>
      <c r="D2181" s="236" t="s">
        <v>15555</v>
      </c>
      <c r="E2181" s="301">
        <v>2683.05</v>
      </c>
      <c r="F2181" s="303">
        <v>42973</v>
      </c>
      <c r="G2181" s="301">
        <v>2683.05</v>
      </c>
      <c r="H2181" s="304">
        <f>Tabla13[[#This Row],[Importe]]-Tabla13[[#This Row],[Pagado]]</f>
        <v>0</v>
      </c>
      <c r="I2181" s="275" t="s">
        <v>15214</v>
      </c>
    </row>
    <row r="2182" spans="1:9" x14ac:dyDescent="0.25">
      <c r="A2182" s="299">
        <v>42965</v>
      </c>
      <c r="B2182" s="302" t="s">
        <v>26030</v>
      </c>
      <c r="C2182">
        <v>124154</v>
      </c>
      <c r="D2182" s="236" t="s">
        <v>15334</v>
      </c>
      <c r="E2182" s="301">
        <v>3247</v>
      </c>
      <c r="F2182" s="303">
        <v>42965</v>
      </c>
      <c r="G2182" s="301">
        <v>3247</v>
      </c>
      <c r="H2182" s="304">
        <f>Tabla13[[#This Row],[Importe]]-Tabla13[[#This Row],[Pagado]]</f>
        <v>0</v>
      </c>
      <c r="I2182" s="275" t="s">
        <v>15214</v>
      </c>
    </row>
    <row r="2183" spans="1:9" ht="30" x14ac:dyDescent="0.25">
      <c r="A2183" s="299">
        <v>42965</v>
      </c>
      <c r="B2183" s="302" t="s">
        <v>26031</v>
      </c>
      <c r="C2183">
        <v>124155</v>
      </c>
      <c r="D2183" s="236" t="s">
        <v>15256</v>
      </c>
      <c r="E2183" s="301">
        <v>10038.6</v>
      </c>
      <c r="F2183" s="303" t="s">
        <v>26032</v>
      </c>
      <c r="G2183" s="305">
        <f>8300+1738.6</f>
        <v>10038.6</v>
      </c>
      <c r="H2183" s="304">
        <f>Tabla13[[#This Row],[Importe]]-Tabla13[[#This Row],[Pagado]]</f>
        <v>0</v>
      </c>
      <c r="I2183" s="275" t="s">
        <v>15214</v>
      </c>
    </row>
    <row r="2184" spans="1:9" x14ac:dyDescent="0.25">
      <c r="A2184" s="299">
        <v>42965</v>
      </c>
      <c r="B2184" s="302" t="s">
        <v>26033</v>
      </c>
      <c r="C2184">
        <v>124156</v>
      </c>
      <c r="D2184" s="236" t="s">
        <v>5575</v>
      </c>
      <c r="E2184" s="301">
        <v>145.19999999999999</v>
      </c>
      <c r="F2184" s="303">
        <v>42966</v>
      </c>
      <c r="G2184" s="301">
        <v>145.19999999999999</v>
      </c>
      <c r="H2184" s="304">
        <f>Tabla13[[#This Row],[Importe]]-Tabla13[[#This Row],[Pagado]]</f>
        <v>0</v>
      </c>
      <c r="I2184" s="275" t="s">
        <v>15214</v>
      </c>
    </row>
    <row r="2185" spans="1:9" x14ac:dyDescent="0.25">
      <c r="A2185" s="299">
        <v>42965</v>
      </c>
      <c r="B2185" s="302" t="s">
        <v>26034</v>
      </c>
      <c r="C2185">
        <v>124157</v>
      </c>
      <c r="D2185" s="236" t="s">
        <v>15480</v>
      </c>
      <c r="E2185" s="301">
        <v>90</v>
      </c>
      <c r="F2185" s="303">
        <v>42966</v>
      </c>
      <c r="G2185" s="301">
        <v>90</v>
      </c>
      <c r="H2185" s="304">
        <f>Tabla13[[#This Row],[Importe]]-Tabla13[[#This Row],[Pagado]]</f>
        <v>0</v>
      </c>
      <c r="I2185" s="275" t="s">
        <v>15214</v>
      </c>
    </row>
    <row r="2186" spans="1:9" x14ac:dyDescent="0.25">
      <c r="A2186" s="299">
        <v>42965</v>
      </c>
      <c r="B2186" s="302" t="s">
        <v>26035</v>
      </c>
      <c r="C2186">
        <v>124158</v>
      </c>
      <c r="D2186" s="236" t="s">
        <v>17057</v>
      </c>
      <c r="E2186" s="301">
        <v>2676.5</v>
      </c>
      <c r="F2186" s="303">
        <v>42965</v>
      </c>
      <c r="G2186" s="301">
        <v>2676.5</v>
      </c>
      <c r="H2186" s="304">
        <f>Tabla13[[#This Row],[Importe]]-Tabla13[[#This Row],[Pagado]]</f>
        <v>0</v>
      </c>
      <c r="I2186" s="275" t="s">
        <v>15214</v>
      </c>
    </row>
    <row r="2187" spans="1:9" x14ac:dyDescent="0.25">
      <c r="A2187" s="299">
        <v>42965</v>
      </c>
      <c r="B2187" s="302" t="s">
        <v>26036</v>
      </c>
      <c r="C2187">
        <v>124159</v>
      </c>
      <c r="D2187" s="236" t="s">
        <v>15537</v>
      </c>
      <c r="E2187" s="301">
        <v>5184.6000000000004</v>
      </c>
      <c r="F2187" s="303">
        <v>42970</v>
      </c>
      <c r="G2187" s="301">
        <v>5184.6000000000004</v>
      </c>
      <c r="H2187" s="304">
        <f>Tabla13[[#This Row],[Importe]]-Tabla13[[#This Row],[Pagado]]</f>
        <v>0</v>
      </c>
      <c r="I2187" s="275" t="s">
        <v>15214</v>
      </c>
    </row>
    <row r="2188" spans="1:9" ht="30" x14ac:dyDescent="0.25">
      <c r="A2188" s="299">
        <v>42965</v>
      </c>
      <c r="B2188" s="302" t="s">
        <v>26037</v>
      </c>
      <c r="C2188">
        <v>124160</v>
      </c>
      <c r="D2188" s="236" t="s">
        <v>15315</v>
      </c>
      <c r="E2188" s="301">
        <v>32720.799999999999</v>
      </c>
      <c r="F2188" s="266" t="s">
        <v>27685</v>
      </c>
      <c r="G2188" s="133">
        <f>25000+7720.8</f>
        <v>32720.799999999999</v>
      </c>
      <c r="H2188" s="360">
        <f>Tabla13[[#This Row],[Importe]]-Tabla13[[#This Row],[Pagado]]</f>
        <v>0</v>
      </c>
      <c r="I2188" s="275" t="s">
        <v>15214</v>
      </c>
    </row>
    <row r="2189" spans="1:9" x14ac:dyDescent="0.25">
      <c r="A2189" s="299">
        <v>42965</v>
      </c>
      <c r="B2189" s="302" t="s">
        <v>26038</v>
      </c>
      <c r="C2189">
        <v>124161</v>
      </c>
      <c r="D2189" s="236" t="s">
        <v>15315</v>
      </c>
      <c r="E2189" s="301">
        <v>13034</v>
      </c>
      <c r="F2189" s="303">
        <v>42970</v>
      </c>
      <c r="G2189" s="301">
        <v>13034</v>
      </c>
      <c r="H2189" s="304">
        <f>Tabla13[[#This Row],[Importe]]-Tabla13[[#This Row],[Pagado]]</f>
        <v>0</v>
      </c>
      <c r="I2189" s="275" t="s">
        <v>15214</v>
      </c>
    </row>
    <row r="2190" spans="1:9" x14ac:dyDescent="0.25">
      <c r="A2190" s="299">
        <v>42965</v>
      </c>
      <c r="B2190" s="302" t="s">
        <v>26039</v>
      </c>
      <c r="C2190">
        <v>124162</v>
      </c>
      <c r="D2190" s="236" t="s">
        <v>15523</v>
      </c>
      <c r="E2190" s="301">
        <v>2350</v>
      </c>
      <c r="F2190" s="303">
        <v>42965</v>
      </c>
      <c r="G2190" s="301">
        <v>2350</v>
      </c>
      <c r="H2190" s="304">
        <f>Tabla13[[#This Row],[Importe]]-Tabla13[[#This Row],[Pagado]]</f>
        <v>0</v>
      </c>
      <c r="I2190" s="275" t="s">
        <v>15214</v>
      </c>
    </row>
    <row r="2191" spans="1:9" x14ac:dyDescent="0.25">
      <c r="A2191" s="299">
        <v>42965</v>
      </c>
      <c r="B2191" s="302" t="s">
        <v>26040</v>
      </c>
      <c r="C2191">
        <v>124163</v>
      </c>
      <c r="D2191" s="236" t="s">
        <v>15263</v>
      </c>
      <c r="E2191" s="301">
        <v>2506.4</v>
      </c>
      <c r="F2191" s="303">
        <v>42965</v>
      </c>
      <c r="G2191" s="301">
        <v>2506.4</v>
      </c>
      <c r="H2191" s="304">
        <f>Tabla13[[#This Row],[Importe]]-Tabla13[[#This Row],[Pagado]]</f>
        <v>0</v>
      </c>
      <c r="I2191" s="275" t="s">
        <v>15214</v>
      </c>
    </row>
    <row r="2192" spans="1:9" x14ac:dyDescent="0.25">
      <c r="A2192" s="299">
        <v>42965</v>
      </c>
      <c r="B2192" s="302" t="s">
        <v>26041</v>
      </c>
      <c r="C2192">
        <v>124164</v>
      </c>
      <c r="D2192" s="236" t="s">
        <v>15557</v>
      </c>
      <c r="E2192" s="301">
        <v>28815.45</v>
      </c>
      <c r="F2192" s="266">
        <v>42979</v>
      </c>
      <c r="G2192" s="35">
        <v>28815.45</v>
      </c>
      <c r="H2192" s="304">
        <f>Tabla13[[#This Row],[Importe]]-Tabla13[[#This Row],[Pagado]]</f>
        <v>0</v>
      </c>
      <c r="I2192" s="275" t="s">
        <v>15214</v>
      </c>
    </row>
    <row r="2193" spans="1:9" x14ac:dyDescent="0.25">
      <c r="A2193" s="299">
        <v>42965</v>
      </c>
      <c r="B2193" s="302" t="s">
        <v>26042</v>
      </c>
      <c r="C2193">
        <v>124165</v>
      </c>
      <c r="D2193" s="236" t="s">
        <v>16383</v>
      </c>
      <c r="E2193" s="301">
        <v>9999.85</v>
      </c>
      <c r="F2193" s="303">
        <v>42965</v>
      </c>
      <c r="G2193" s="301">
        <v>9999.85</v>
      </c>
      <c r="H2193" s="304">
        <f>Tabla13[[#This Row],[Importe]]-Tabla13[[#This Row],[Pagado]]</f>
        <v>0</v>
      </c>
      <c r="I2193" s="275" t="s">
        <v>15214</v>
      </c>
    </row>
    <row r="2194" spans="1:9" x14ac:dyDescent="0.25">
      <c r="A2194" s="299">
        <v>42965</v>
      </c>
      <c r="B2194" s="302" t="s">
        <v>26043</v>
      </c>
      <c r="C2194">
        <v>124166</v>
      </c>
      <c r="D2194" s="236" t="s">
        <v>15655</v>
      </c>
      <c r="E2194" s="301">
        <v>4395.2</v>
      </c>
      <c r="F2194" s="303">
        <v>42965</v>
      </c>
      <c r="G2194" s="301">
        <v>4395.2</v>
      </c>
      <c r="H2194" s="304">
        <f>Tabla13[[#This Row],[Importe]]-Tabla13[[#This Row],[Pagado]]</f>
        <v>0</v>
      </c>
      <c r="I2194" s="275" t="s">
        <v>15214</v>
      </c>
    </row>
    <row r="2195" spans="1:9" x14ac:dyDescent="0.25">
      <c r="A2195" s="299">
        <v>42965</v>
      </c>
      <c r="B2195" s="302" t="s">
        <v>26044</v>
      </c>
      <c r="C2195">
        <v>124167</v>
      </c>
      <c r="D2195" s="236" t="s">
        <v>15544</v>
      </c>
      <c r="E2195" s="301">
        <v>770</v>
      </c>
      <c r="F2195" s="303">
        <v>42966</v>
      </c>
      <c r="G2195" s="301">
        <v>770</v>
      </c>
      <c r="H2195" s="304">
        <f>Tabla13[[#This Row],[Importe]]-Tabla13[[#This Row],[Pagado]]</f>
        <v>0</v>
      </c>
      <c r="I2195" s="275" t="s">
        <v>15214</v>
      </c>
    </row>
    <row r="2196" spans="1:9" x14ac:dyDescent="0.25">
      <c r="A2196" s="299">
        <v>42965</v>
      </c>
      <c r="B2196" s="302" t="s">
        <v>26045</v>
      </c>
      <c r="C2196">
        <v>124168</v>
      </c>
      <c r="D2196" s="236" t="s">
        <v>15315</v>
      </c>
      <c r="E2196" s="301">
        <v>911.7</v>
      </c>
      <c r="F2196" s="303">
        <v>42965</v>
      </c>
      <c r="G2196" s="301">
        <v>911.7</v>
      </c>
      <c r="H2196" s="304">
        <f>Tabla13[[#This Row],[Importe]]-Tabla13[[#This Row],[Pagado]]</f>
        <v>0</v>
      </c>
      <c r="I2196" s="275" t="s">
        <v>15214</v>
      </c>
    </row>
    <row r="2197" spans="1:9" x14ac:dyDescent="0.25">
      <c r="A2197" s="299">
        <v>42965</v>
      </c>
      <c r="B2197" s="302" t="s">
        <v>26046</v>
      </c>
      <c r="C2197">
        <v>124169</v>
      </c>
      <c r="D2197" s="236" t="s">
        <v>15858</v>
      </c>
      <c r="E2197" s="301">
        <v>2623.44</v>
      </c>
      <c r="F2197" s="303">
        <v>42965</v>
      </c>
      <c r="G2197" s="301">
        <v>2623.44</v>
      </c>
      <c r="H2197" s="304">
        <f>Tabla13[[#This Row],[Importe]]-Tabla13[[#This Row],[Pagado]]</f>
        <v>0</v>
      </c>
      <c r="I2197" s="275" t="s">
        <v>15214</v>
      </c>
    </row>
    <row r="2198" spans="1:9" x14ac:dyDescent="0.25">
      <c r="A2198" s="299">
        <v>42965</v>
      </c>
      <c r="B2198" s="302" t="s">
        <v>26047</v>
      </c>
      <c r="C2198">
        <v>124170</v>
      </c>
      <c r="D2198" s="236" t="s">
        <v>17708</v>
      </c>
      <c r="E2198" s="301">
        <v>2334.8000000000002</v>
      </c>
      <c r="F2198" s="303">
        <v>42966</v>
      </c>
      <c r="G2198" s="301">
        <v>2334.8000000000002</v>
      </c>
      <c r="H2198" s="304">
        <f>Tabla13[[#This Row],[Importe]]-Tabla13[[#This Row],[Pagado]]</f>
        <v>0</v>
      </c>
      <c r="I2198" s="275" t="s">
        <v>15214</v>
      </c>
    </row>
    <row r="2199" spans="1:9" x14ac:dyDescent="0.25">
      <c r="A2199" s="299">
        <v>42965</v>
      </c>
      <c r="B2199" s="302" t="s">
        <v>26048</v>
      </c>
      <c r="C2199">
        <v>124171</v>
      </c>
      <c r="D2199" s="236" t="s">
        <v>17210</v>
      </c>
      <c r="E2199" s="301">
        <v>3734.4</v>
      </c>
      <c r="F2199" s="303">
        <v>42965</v>
      </c>
      <c r="G2199" s="301">
        <v>3734.4</v>
      </c>
      <c r="H2199" s="304">
        <f>Tabla13[[#This Row],[Importe]]-Tabla13[[#This Row],[Pagado]]</f>
        <v>0</v>
      </c>
      <c r="I2199" s="275" t="s">
        <v>15214</v>
      </c>
    </row>
    <row r="2200" spans="1:9" x14ac:dyDescent="0.25">
      <c r="A2200" s="299">
        <v>42965</v>
      </c>
      <c r="B2200" s="302" t="s">
        <v>26049</v>
      </c>
      <c r="C2200">
        <v>124172</v>
      </c>
      <c r="D2200" s="236" t="s">
        <v>15861</v>
      </c>
      <c r="E2200" s="301">
        <v>3263.2</v>
      </c>
      <c r="F2200" s="303">
        <v>42965</v>
      </c>
      <c r="G2200" s="301">
        <v>3263.2</v>
      </c>
      <c r="H2200" s="304">
        <f>Tabla13[[#This Row],[Importe]]-Tabla13[[#This Row],[Pagado]]</f>
        <v>0</v>
      </c>
      <c r="I2200" s="275" t="s">
        <v>15214</v>
      </c>
    </row>
    <row r="2201" spans="1:9" x14ac:dyDescent="0.25">
      <c r="A2201" s="299">
        <v>42965</v>
      </c>
      <c r="B2201" s="302" t="s">
        <v>26050</v>
      </c>
      <c r="C2201">
        <v>124173</v>
      </c>
      <c r="D2201" s="236" t="s">
        <v>15280</v>
      </c>
      <c r="E2201" s="301">
        <v>6977.6</v>
      </c>
      <c r="F2201" s="303">
        <v>42965</v>
      </c>
      <c r="G2201" s="301">
        <v>6977.6</v>
      </c>
      <c r="H2201" s="304">
        <f>Tabla13[[#This Row],[Importe]]-Tabla13[[#This Row],[Pagado]]</f>
        <v>0</v>
      </c>
      <c r="I2201" s="275" t="s">
        <v>15214</v>
      </c>
    </row>
    <row r="2202" spans="1:9" x14ac:dyDescent="0.25">
      <c r="A2202" s="299">
        <v>42965</v>
      </c>
      <c r="B2202" s="302" t="s">
        <v>26051</v>
      </c>
      <c r="C2202">
        <v>124174</v>
      </c>
      <c r="D2202" s="236" t="s">
        <v>15278</v>
      </c>
      <c r="E2202" s="301">
        <v>6065.6</v>
      </c>
      <c r="F2202" s="303">
        <v>42965</v>
      </c>
      <c r="G2202" s="301">
        <v>6065.6</v>
      </c>
      <c r="H2202" s="304">
        <f>Tabla13[[#This Row],[Importe]]-Tabla13[[#This Row],[Pagado]]</f>
        <v>0</v>
      </c>
      <c r="I2202" s="275" t="s">
        <v>15214</v>
      </c>
    </row>
    <row r="2203" spans="1:9" x14ac:dyDescent="0.25">
      <c r="A2203" s="299">
        <v>42965</v>
      </c>
      <c r="B2203" s="302" t="s">
        <v>26052</v>
      </c>
      <c r="C2203">
        <v>124175</v>
      </c>
      <c r="D2203" s="236" t="s">
        <v>15530</v>
      </c>
      <c r="E2203" s="301">
        <v>480</v>
      </c>
      <c r="F2203" s="303">
        <v>42965</v>
      </c>
      <c r="G2203" s="301">
        <v>480</v>
      </c>
      <c r="H2203" s="304">
        <f>Tabla13[[#This Row],[Importe]]-Tabla13[[#This Row],[Pagado]]</f>
        <v>0</v>
      </c>
      <c r="I2203" s="275" t="s">
        <v>15214</v>
      </c>
    </row>
    <row r="2204" spans="1:9" x14ac:dyDescent="0.25">
      <c r="A2204" s="299">
        <v>42965</v>
      </c>
      <c r="B2204" s="302" t="s">
        <v>26053</v>
      </c>
      <c r="C2204">
        <v>124176</v>
      </c>
      <c r="D2204" s="236" t="s">
        <v>15526</v>
      </c>
      <c r="E2204" s="301">
        <v>2275</v>
      </c>
      <c r="F2204" s="303">
        <v>42965</v>
      </c>
      <c r="G2204" s="301">
        <v>2275</v>
      </c>
      <c r="H2204" s="304">
        <f>Tabla13[[#This Row],[Importe]]-Tabla13[[#This Row],[Pagado]]</f>
        <v>0</v>
      </c>
      <c r="I2204" s="275" t="s">
        <v>15214</v>
      </c>
    </row>
    <row r="2205" spans="1:9" x14ac:dyDescent="0.25">
      <c r="A2205" s="299">
        <v>42965</v>
      </c>
      <c r="B2205" s="302" t="s">
        <v>26054</v>
      </c>
      <c r="C2205">
        <v>124177</v>
      </c>
      <c r="D2205" s="236" t="s">
        <v>15358</v>
      </c>
      <c r="E2205" s="301">
        <v>2565</v>
      </c>
      <c r="F2205" s="303">
        <v>42965</v>
      </c>
      <c r="G2205" s="301">
        <v>2565</v>
      </c>
      <c r="H2205" s="304">
        <f>Tabla13[[#This Row],[Importe]]-Tabla13[[#This Row],[Pagado]]</f>
        <v>0</v>
      </c>
      <c r="I2205" s="275" t="s">
        <v>15214</v>
      </c>
    </row>
    <row r="2206" spans="1:9" ht="30" x14ac:dyDescent="0.25">
      <c r="A2206" s="299">
        <v>42965</v>
      </c>
      <c r="B2206" s="302" t="s">
        <v>26055</v>
      </c>
      <c r="C2206">
        <v>124178</v>
      </c>
      <c r="D2206" s="236" t="s">
        <v>17708</v>
      </c>
      <c r="E2206" s="301">
        <v>2401</v>
      </c>
      <c r="F2206" s="303" t="s">
        <v>26056</v>
      </c>
      <c r="G2206" s="305">
        <f>2112.5+288.5</f>
        <v>2401</v>
      </c>
      <c r="H2206" s="304">
        <f>Tabla13[[#This Row],[Importe]]-Tabla13[[#This Row],[Pagado]]</f>
        <v>0</v>
      </c>
      <c r="I2206" s="275" t="s">
        <v>15214</v>
      </c>
    </row>
    <row r="2207" spans="1:9" x14ac:dyDescent="0.25">
      <c r="A2207" s="299">
        <v>42965</v>
      </c>
      <c r="B2207" s="302" t="s">
        <v>26057</v>
      </c>
      <c r="C2207">
        <v>124179</v>
      </c>
      <c r="D2207" s="236" t="s">
        <v>15223</v>
      </c>
      <c r="E2207" s="301">
        <v>49656.4</v>
      </c>
      <c r="F2207" s="303">
        <v>42984</v>
      </c>
      <c r="G2207" s="301">
        <v>49656.4</v>
      </c>
      <c r="H2207" s="304">
        <f>Tabla13[[#This Row],[Importe]]-Tabla13[[#This Row],[Pagado]]</f>
        <v>0</v>
      </c>
      <c r="I2207" s="275" t="s">
        <v>15214</v>
      </c>
    </row>
    <row r="2208" spans="1:9" x14ac:dyDescent="0.25">
      <c r="A2208" s="299">
        <v>42965</v>
      </c>
      <c r="B2208" s="302" t="s">
        <v>26058</v>
      </c>
      <c r="C2208">
        <v>124180</v>
      </c>
      <c r="D2208" s="236" t="s">
        <v>15336</v>
      </c>
      <c r="E2208" s="301">
        <v>6164.1</v>
      </c>
      <c r="F2208" s="303">
        <v>42965</v>
      </c>
      <c r="G2208" s="301">
        <v>6164.1</v>
      </c>
      <c r="H2208" s="304">
        <f>Tabla13[[#This Row],[Importe]]-Tabla13[[#This Row],[Pagado]]</f>
        <v>0</v>
      </c>
      <c r="I2208" s="275" t="s">
        <v>15214</v>
      </c>
    </row>
    <row r="2209" spans="1:9" x14ac:dyDescent="0.25">
      <c r="A2209" s="299">
        <v>42965</v>
      </c>
      <c r="B2209" s="302" t="s">
        <v>26059</v>
      </c>
      <c r="C2209">
        <v>124181</v>
      </c>
      <c r="D2209" s="236" t="s">
        <v>15315</v>
      </c>
      <c r="E2209" s="301">
        <v>2936.75</v>
      </c>
      <c r="F2209" s="303">
        <v>42965</v>
      </c>
      <c r="G2209" s="301">
        <v>2936.75</v>
      </c>
      <c r="H2209" s="304">
        <f>Tabla13[[#This Row],[Importe]]-Tabla13[[#This Row],[Pagado]]</f>
        <v>0</v>
      </c>
      <c r="I2209" s="275" t="s">
        <v>15214</v>
      </c>
    </row>
    <row r="2210" spans="1:9" x14ac:dyDescent="0.25">
      <c r="A2210" s="299">
        <v>42965</v>
      </c>
      <c r="B2210" s="302" t="s">
        <v>26060</v>
      </c>
      <c r="C2210">
        <v>124182</v>
      </c>
      <c r="D2210" s="236" t="s">
        <v>15240</v>
      </c>
      <c r="E2210" s="301">
        <v>319.8</v>
      </c>
      <c r="F2210" s="303">
        <v>42965</v>
      </c>
      <c r="G2210" s="301">
        <v>319.8</v>
      </c>
      <c r="H2210" s="304">
        <f>Tabla13[[#This Row],[Importe]]-Tabla13[[#This Row],[Pagado]]</f>
        <v>0</v>
      </c>
      <c r="I2210" s="275" t="s">
        <v>15214</v>
      </c>
    </row>
    <row r="2211" spans="1:9" x14ac:dyDescent="0.25">
      <c r="A2211" s="299">
        <v>42965</v>
      </c>
      <c r="B2211" s="302" t="s">
        <v>26061</v>
      </c>
      <c r="C2211">
        <v>124183</v>
      </c>
      <c r="D2211" s="236" t="s">
        <v>15912</v>
      </c>
      <c r="E2211" s="301">
        <v>4153.2</v>
      </c>
      <c r="F2211" s="303">
        <v>42965</v>
      </c>
      <c r="G2211" s="301">
        <v>4153.2</v>
      </c>
      <c r="H2211" s="304">
        <f>Tabla13[[#This Row],[Importe]]-Tabla13[[#This Row],[Pagado]]</f>
        <v>0</v>
      </c>
      <c r="I2211" s="275" t="s">
        <v>15214</v>
      </c>
    </row>
    <row r="2212" spans="1:9" x14ac:dyDescent="0.25">
      <c r="A2212" s="299">
        <v>42965</v>
      </c>
      <c r="B2212" s="302" t="s">
        <v>26062</v>
      </c>
      <c r="C2212">
        <v>124184</v>
      </c>
      <c r="D2212" s="236" t="s">
        <v>18544</v>
      </c>
      <c r="E2212" s="301">
        <v>8058</v>
      </c>
      <c r="F2212" s="303">
        <v>42965</v>
      </c>
      <c r="G2212" s="301">
        <v>8058</v>
      </c>
      <c r="H2212" s="304">
        <f>Tabla13[[#This Row],[Importe]]-Tabla13[[#This Row],[Pagado]]</f>
        <v>0</v>
      </c>
      <c r="I2212" s="275" t="s">
        <v>15214</v>
      </c>
    </row>
    <row r="2213" spans="1:9" x14ac:dyDescent="0.25">
      <c r="A2213" s="299">
        <v>42965</v>
      </c>
      <c r="B2213" s="302" t="s">
        <v>26063</v>
      </c>
      <c r="C2213">
        <v>124185</v>
      </c>
      <c r="D2213" s="236" t="s">
        <v>15324</v>
      </c>
      <c r="E2213" s="301">
        <v>4025</v>
      </c>
      <c r="F2213" s="303">
        <v>42965</v>
      </c>
      <c r="G2213" s="301">
        <v>4025</v>
      </c>
      <c r="H2213" s="304">
        <f>Tabla13[[#This Row],[Importe]]-Tabla13[[#This Row],[Pagado]]</f>
        <v>0</v>
      </c>
      <c r="I2213" s="275" t="s">
        <v>15214</v>
      </c>
    </row>
    <row r="2214" spans="1:9" x14ac:dyDescent="0.25">
      <c r="A2214" s="299">
        <v>42965</v>
      </c>
      <c r="B2214" s="302" t="s">
        <v>26064</v>
      </c>
      <c r="C2214">
        <v>124186</v>
      </c>
      <c r="D2214" s="236" t="s">
        <v>15748</v>
      </c>
      <c r="E2214" s="301">
        <v>1483.2</v>
      </c>
      <c r="F2214" s="303">
        <v>42965</v>
      </c>
      <c r="G2214" s="301">
        <v>1483.2</v>
      </c>
      <c r="H2214" s="304">
        <f>Tabla13[[#This Row],[Importe]]-Tabla13[[#This Row],[Pagado]]</f>
        <v>0</v>
      </c>
      <c r="I2214" s="275" t="s">
        <v>15214</v>
      </c>
    </row>
    <row r="2215" spans="1:9" x14ac:dyDescent="0.25">
      <c r="A2215" s="299">
        <v>42965</v>
      </c>
      <c r="B2215" s="302" t="s">
        <v>26065</v>
      </c>
      <c r="C2215">
        <v>124187</v>
      </c>
      <c r="D2215" s="236" t="s">
        <v>15344</v>
      </c>
      <c r="E2215" s="301">
        <v>4598.3999999999996</v>
      </c>
      <c r="F2215" s="303">
        <v>42965</v>
      </c>
      <c r="G2215" s="301">
        <v>4598.3999999999996</v>
      </c>
      <c r="H2215" s="304">
        <f>Tabla13[[#This Row],[Importe]]-Tabla13[[#This Row],[Pagado]]</f>
        <v>0</v>
      </c>
      <c r="I2215" s="275" t="s">
        <v>15214</v>
      </c>
    </row>
    <row r="2216" spans="1:9" x14ac:dyDescent="0.25">
      <c r="A2216" s="299">
        <v>42965</v>
      </c>
      <c r="B2216" s="302" t="s">
        <v>26066</v>
      </c>
      <c r="C2216">
        <v>124188</v>
      </c>
      <c r="D2216" s="236" t="s">
        <v>15596</v>
      </c>
      <c r="E2216" s="301">
        <v>1880</v>
      </c>
      <c r="F2216" s="303">
        <v>42965</v>
      </c>
      <c r="G2216" s="301">
        <v>1880</v>
      </c>
      <c r="H2216" s="304">
        <f>Tabla13[[#This Row],[Importe]]-Tabla13[[#This Row],[Pagado]]</f>
        <v>0</v>
      </c>
      <c r="I2216" s="275" t="s">
        <v>15214</v>
      </c>
    </row>
    <row r="2217" spans="1:9" x14ac:dyDescent="0.25">
      <c r="A2217" s="299">
        <v>42965</v>
      </c>
      <c r="B2217" s="302" t="s">
        <v>26067</v>
      </c>
      <c r="C2217">
        <v>124189</v>
      </c>
      <c r="D2217" s="236" t="s">
        <v>15274</v>
      </c>
      <c r="E2217" s="301">
        <v>2870</v>
      </c>
      <c r="F2217" s="303">
        <v>42965</v>
      </c>
      <c r="G2217" s="301">
        <v>2870</v>
      </c>
      <c r="H2217" s="304">
        <f>Tabla13[[#This Row],[Importe]]-Tabla13[[#This Row],[Pagado]]</f>
        <v>0</v>
      </c>
      <c r="I2217" s="275" t="s">
        <v>15214</v>
      </c>
    </row>
    <row r="2218" spans="1:9" x14ac:dyDescent="0.25">
      <c r="A2218" s="299">
        <v>42965</v>
      </c>
      <c r="B2218" s="302" t="s">
        <v>26068</v>
      </c>
      <c r="C2218">
        <v>124190</v>
      </c>
      <c r="D2218" s="236" t="s">
        <v>15284</v>
      </c>
      <c r="E2218" s="301">
        <v>896.4</v>
      </c>
      <c r="F2218" s="303">
        <v>42965</v>
      </c>
      <c r="G2218" s="301">
        <v>896.4</v>
      </c>
      <c r="H2218" s="304">
        <f>Tabla13[[#This Row],[Importe]]-Tabla13[[#This Row],[Pagado]]</f>
        <v>0</v>
      </c>
      <c r="I2218" s="275" t="s">
        <v>15214</v>
      </c>
    </row>
    <row r="2219" spans="1:9" x14ac:dyDescent="0.25">
      <c r="A2219" s="299">
        <v>42965</v>
      </c>
      <c r="B2219" s="302" t="s">
        <v>26069</v>
      </c>
      <c r="C2219">
        <v>124191</v>
      </c>
      <c r="D2219" s="236" t="s">
        <v>15549</v>
      </c>
      <c r="E2219" s="301">
        <v>9695.36</v>
      </c>
      <c r="F2219" s="303">
        <v>42965</v>
      </c>
      <c r="G2219" s="301">
        <v>9695.36</v>
      </c>
      <c r="H2219" s="304">
        <f>Tabla13[[#This Row],[Importe]]-Tabla13[[#This Row],[Pagado]]</f>
        <v>0</v>
      </c>
      <c r="I2219" s="275" t="s">
        <v>15214</v>
      </c>
    </row>
    <row r="2220" spans="1:9" x14ac:dyDescent="0.25">
      <c r="A2220" s="299">
        <v>42965</v>
      </c>
      <c r="B2220" s="302" t="s">
        <v>26070</v>
      </c>
      <c r="C2220">
        <v>124192</v>
      </c>
      <c r="D2220" s="236" t="s">
        <v>15252</v>
      </c>
      <c r="E2220" s="301">
        <v>4538.2</v>
      </c>
      <c r="F2220" s="303">
        <v>42968</v>
      </c>
      <c r="G2220" s="301">
        <v>4538.2</v>
      </c>
      <c r="H2220" s="304">
        <f>Tabla13[[#This Row],[Importe]]-Tabla13[[#This Row],[Pagado]]</f>
        <v>0</v>
      </c>
      <c r="I2220" s="275" t="s">
        <v>15214</v>
      </c>
    </row>
    <row r="2221" spans="1:9" x14ac:dyDescent="0.25">
      <c r="A2221" s="299">
        <v>42965</v>
      </c>
      <c r="B2221" s="302" t="s">
        <v>26071</v>
      </c>
      <c r="C2221">
        <v>124193</v>
      </c>
      <c r="D2221" s="236" t="s">
        <v>15315</v>
      </c>
      <c r="E2221" s="301">
        <v>1191.5999999999999</v>
      </c>
      <c r="F2221" s="303">
        <v>42965</v>
      </c>
      <c r="G2221" s="301">
        <v>1191.5999999999999</v>
      </c>
      <c r="H2221" s="304">
        <f>Tabla13[[#This Row],[Importe]]-Tabla13[[#This Row],[Pagado]]</f>
        <v>0</v>
      </c>
      <c r="I2221" s="275" t="s">
        <v>15214</v>
      </c>
    </row>
    <row r="2222" spans="1:9" x14ac:dyDescent="0.25">
      <c r="A2222" s="299">
        <v>42965</v>
      </c>
      <c r="B2222" s="302" t="s">
        <v>26072</v>
      </c>
      <c r="C2222">
        <v>124194</v>
      </c>
      <c r="D2222" s="236" t="s">
        <v>15244</v>
      </c>
      <c r="E2222" s="301">
        <v>9355.25</v>
      </c>
      <c r="F2222" s="303">
        <v>42974</v>
      </c>
      <c r="G2222" s="301">
        <v>9355.25</v>
      </c>
      <c r="H2222" s="304">
        <f>Tabla13[[#This Row],[Importe]]-Tabla13[[#This Row],[Pagado]]</f>
        <v>0</v>
      </c>
      <c r="I2222" s="275" t="s">
        <v>15214</v>
      </c>
    </row>
    <row r="2223" spans="1:9" x14ac:dyDescent="0.25">
      <c r="A2223" s="299">
        <v>42965</v>
      </c>
      <c r="B2223" s="302" t="s">
        <v>26073</v>
      </c>
      <c r="C2223">
        <v>124195</v>
      </c>
      <c r="D2223" s="236" t="s">
        <v>15315</v>
      </c>
      <c r="E2223" s="301">
        <v>9792</v>
      </c>
      <c r="F2223" s="303">
        <v>42965</v>
      </c>
      <c r="G2223" s="301">
        <v>9792</v>
      </c>
      <c r="H2223" s="304">
        <f>Tabla13[[#This Row],[Importe]]-Tabla13[[#This Row],[Pagado]]</f>
        <v>0</v>
      </c>
      <c r="I2223" s="275" t="s">
        <v>15214</v>
      </c>
    </row>
    <row r="2224" spans="1:9" x14ac:dyDescent="0.25">
      <c r="A2224" s="299">
        <v>42965</v>
      </c>
      <c r="B2224" s="302" t="s">
        <v>26074</v>
      </c>
      <c r="C2224">
        <v>124196</v>
      </c>
      <c r="D2224" s="236" t="s">
        <v>23937</v>
      </c>
      <c r="E2224" s="301">
        <v>3865</v>
      </c>
      <c r="F2224" s="303">
        <v>42965</v>
      </c>
      <c r="G2224" s="301">
        <v>3865</v>
      </c>
      <c r="H2224" s="304">
        <f>Tabla13[[#This Row],[Importe]]-Tabla13[[#This Row],[Pagado]]</f>
        <v>0</v>
      </c>
      <c r="I2224" s="275" t="s">
        <v>15214</v>
      </c>
    </row>
    <row r="2225" spans="1:9" x14ac:dyDescent="0.25">
      <c r="A2225" s="299">
        <v>42965</v>
      </c>
      <c r="B2225" s="302" t="s">
        <v>26075</v>
      </c>
      <c r="C2225">
        <v>124197</v>
      </c>
      <c r="D2225" s="236" t="s">
        <v>15835</v>
      </c>
      <c r="E2225" s="301">
        <v>14983.4</v>
      </c>
      <c r="F2225" s="303">
        <v>42965</v>
      </c>
      <c r="G2225" s="301">
        <v>14983.4</v>
      </c>
      <c r="H2225" s="304">
        <f>Tabla13[[#This Row],[Importe]]-Tabla13[[#This Row],[Pagado]]</f>
        <v>0</v>
      </c>
      <c r="I2225" s="275" t="s">
        <v>15214</v>
      </c>
    </row>
    <row r="2226" spans="1:9" x14ac:dyDescent="0.25">
      <c r="A2226" s="299">
        <v>42965</v>
      </c>
      <c r="B2226" s="302" t="s">
        <v>26076</v>
      </c>
      <c r="C2226">
        <v>124198</v>
      </c>
      <c r="D2226" s="236" t="s">
        <v>17929</v>
      </c>
      <c r="E2226" s="301">
        <v>6021.6</v>
      </c>
      <c r="F2226" s="303">
        <v>42965</v>
      </c>
      <c r="G2226" s="301">
        <v>6021.6</v>
      </c>
      <c r="H2226" s="304">
        <f>Tabla13[[#This Row],[Importe]]-Tabla13[[#This Row],[Pagado]]</f>
        <v>0</v>
      </c>
      <c r="I2226" s="275" t="s">
        <v>15214</v>
      </c>
    </row>
    <row r="2227" spans="1:9" x14ac:dyDescent="0.25">
      <c r="A2227" s="299">
        <v>42965</v>
      </c>
      <c r="B2227" s="302" t="s">
        <v>26077</v>
      </c>
      <c r="C2227">
        <v>124199</v>
      </c>
      <c r="D2227" s="236" t="s">
        <v>15313</v>
      </c>
      <c r="E2227" s="301">
        <v>11539.6</v>
      </c>
      <c r="F2227" s="303">
        <v>42966</v>
      </c>
      <c r="G2227" s="301">
        <v>11539.6</v>
      </c>
      <c r="H2227" s="304">
        <f>Tabla13[[#This Row],[Importe]]-Tabla13[[#This Row],[Pagado]]</f>
        <v>0</v>
      </c>
      <c r="I2227" s="275" t="s">
        <v>15214</v>
      </c>
    </row>
    <row r="2228" spans="1:9" x14ac:dyDescent="0.25">
      <c r="A2228" s="299">
        <v>42965</v>
      </c>
      <c r="B2228" s="302" t="s">
        <v>26078</v>
      </c>
      <c r="C2228">
        <v>124200</v>
      </c>
      <c r="D2228" s="236" t="s">
        <v>15307</v>
      </c>
      <c r="E2228" s="301">
        <v>2787.5</v>
      </c>
      <c r="F2228" s="303">
        <v>42965</v>
      </c>
      <c r="G2228" s="301">
        <v>2787.5</v>
      </c>
      <c r="H2228" s="304">
        <f>Tabla13[[#This Row],[Importe]]-Tabla13[[#This Row],[Pagado]]</f>
        <v>0</v>
      </c>
      <c r="I2228" s="275" t="s">
        <v>15214</v>
      </c>
    </row>
    <row r="2229" spans="1:9" x14ac:dyDescent="0.25">
      <c r="A2229" s="299">
        <v>42965</v>
      </c>
      <c r="B2229" s="302" t="s">
        <v>26079</v>
      </c>
      <c r="C2229">
        <v>124201</v>
      </c>
      <c r="D2229" s="236" t="s">
        <v>15291</v>
      </c>
      <c r="E2229" s="301">
        <v>1242</v>
      </c>
      <c r="F2229" s="303">
        <v>42965</v>
      </c>
      <c r="G2229" s="301">
        <v>1242</v>
      </c>
      <c r="H2229" s="304">
        <f>Tabla13[[#This Row],[Importe]]-Tabla13[[#This Row],[Pagado]]</f>
        <v>0</v>
      </c>
      <c r="I2229" s="275" t="s">
        <v>15214</v>
      </c>
    </row>
    <row r="2230" spans="1:9" x14ac:dyDescent="0.25">
      <c r="A2230" s="299">
        <v>42965</v>
      </c>
      <c r="B2230" s="302" t="s">
        <v>26080</v>
      </c>
      <c r="C2230">
        <v>124202</v>
      </c>
      <c r="D2230" s="236" t="s">
        <v>15315</v>
      </c>
      <c r="E2230" s="301">
        <v>3766.5</v>
      </c>
      <c r="F2230" s="303">
        <v>42965</v>
      </c>
      <c r="G2230" s="301">
        <v>3766.5</v>
      </c>
      <c r="H2230" s="304">
        <f>Tabla13[[#This Row],[Importe]]-Tabla13[[#This Row],[Pagado]]</f>
        <v>0</v>
      </c>
      <c r="I2230" s="275" t="s">
        <v>15214</v>
      </c>
    </row>
    <row r="2231" spans="1:9" x14ac:dyDescent="0.25">
      <c r="A2231" s="299">
        <v>42965</v>
      </c>
      <c r="B2231" s="302" t="s">
        <v>26081</v>
      </c>
      <c r="C2231">
        <v>124203</v>
      </c>
      <c r="D2231" s="236" t="s">
        <v>17235</v>
      </c>
      <c r="E2231" s="301">
        <v>200</v>
      </c>
      <c r="F2231" s="303">
        <v>42965</v>
      </c>
      <c r="G2231" s="301">
        <v>200</v>
      </c>
      <c r="H2231" s="304">
        <f>Tabla13[[#This Row],[Importe]]-Tabla13[[#This Row],[Pagado]]</f>
        <v>0</v>
      </c>
      <c r="I2231" s="275" t="s">
        <v>15214</v>
      </c>
    </row>
    <row r="2232" spans="1:9" x14ac:dyDescent="0.25">
      <c r="A2232" s="299">
        <v>42965</v>
      </c>
      <c r="B2232" s="302" t="s">
        <v>26082</v>
      </c>
      <c r="C2232">
        <v>124204</v>
      </c>
      <c r="D2232" s="236" t="s">
        <v>15317</v>
      </c>
      <c r="E2232" s="301">
        <v>2184.8000000000002</v>
      </c>
      <c r="F2232" s="303">
        <v>42969</v>
      </c>
      <c r="G2232" s="301">
        <v>2184.8000000000002</v>
      </c>
      <c r="H2232" s="304">
        <f>Tabla13[[#This Row],[Importe]]-Tabla13[[#This Row],[Pagado]]</f>
        <v>0</v>
      </c>
      <c r="I2232" s="275" t="s">
        <v>15214</v>
      </c>
    </row>
    <row r="2233" spans="1:9" x14ac:dyDescent="0.25">
      <c r="A2233" s="299">
        <v>42965</v>
      </c>
      <c r="B2233" s="302" t="s">
        <v>26083</v>
      </c>
      <c r="C2233">
        <v>124205</v>
      </c>
      <c r="D2233" s="236" t="s">
        <v>15320</v>
      </c>
      <c r="E2233" s="301">
        <v>3414.4</v>
      </c>
      <c r="F2233" s="303">
        <v>42965</v>
      </c>
      <c r="G2233" s="301">
        <v>3414.4</v>
      </c>
      <c r="H2233" s="304">
        <f>Tabla13[[#This Row],[Importe]]-Tabla13[[#This Row],[Pagado]]</f>
        <v>0</v>
      </c>
      <c r="I2233" s="275" t="s">
        <v>15214</v>
      </c>
    </row>
    <row r="2234" spans="1:9" x14ac:dyDescent="0.25">
      <c r="A2234" s="299">
        <v>42965</v>
      </c>
      <c r="B2234" s="302" t="s">
        <v>26084</v>
      </c>
      <c r="C2234">
        <v>124206</v>
      </c>
      <c r="D2234" s="236" t="s">
        <v>18258</v>
      </c>
      <c r="E2234" s="301">
        <v>3862.4</v>
      </c>
      <c r="F2234" s="303">
        <v>42965</v>
      </c>
      <c r="G2234" s="301">
        <v>3862.4</v>
      </c>
      <c r="H2234" s="304">
        <f>Tabla13[[#This Row],[Importe]]-Tabla13[[#This Row],[Pagado]]</f>
        <v>0</v>
      </c>
      <c r="I2234" s="275" t="s">
        <v>15214</v>
      </c>
    </row>
    <row r="2235" spans="1:9" x14ac:dyDescent="0.25">
      <c r="A2235" s="299">
        <v>42965</v>
      </c>
      <c r="B2235" s="302" t="s">
        <v>26085</v>
      </c>
      <c r="C2235">
        <v>124207</v>
      </c>
      <c r="D2235" s="236" t="s">
        <v>15442</v>
      </c>
      <c r="E2235" s="301">
        <v>24069.7</v>
      </c>
      <c r="F2235" s="303">
        <v>42968</v>
      </c>
      <c r="G2235" s="301">
        <v>24069.7</v>
      </c>
      <c r="H2235" s="304">
        <f>Tabla13[[#This Row],[Importe]]-Tabla13[[#This Row],[Pagado]]</f>
        <v>0</v>
      </c>
      <c r="I2235" s="275" t="s">
        <v>15214</v>
      </c>
    </row>
    <row r="2236" spans="1:9" ht="15.75" x14ac:dyDescent="0.25">
      <c r="A2236" s="299">
        <v>42965</v>
      </c>
      <c r="B2236" s="302" t="s">
        <v>26086</v>
      </c>
      <c r="C2236">
        <v>124208</v>
      </c>
      <c r="D2236" s="248" t="s">
        <v>95</v>
      </c>
      <c r="E2236" s="301">
        <v>0</v>
      </c>
      <c r="F2236" s="243" t="s">
        <v>95</v>
      </c>
      <c r="G2236" s="301">
        <v>0</v>
      </c>
      <c r="H2236" s="304">
        <f>Tabla13[[#This Row],[Importe]]-Tabla13[[#This Row],[Pagado]]</f>
        <v>0</v>
      </c>
      <c r="I2236" s="275" t="s">
        <v>95</v>
      </c>
    </row>
    <row r="2237" spans="1:9" ht="15.75" x14ac:dyDescent="0.25">
      <c r="A2237" s="299">
        <v>42965</v>
      </c>
      <c r="B2237" s="302" t="s">
        <v>26087</v>
      </c>
      <c r="C2237">
        <v>124209</v>
      </c>
      <c r="D2237" s="248" t="s">
        <v>95</v>
      </c>
      <c r="E2237" s="301">
        <v>0</v>
      </c>
      <c r="F2237" s="243" t="s">
        <v>95</v>
      </c>
      <c r="G2237" s="301">
        <v>0</v>
      </c>
      <c r="H2237" s="304">
        <f>Tabla13[[#This Row],[Importe]]-Tabla13[[#This Row],[Pagado]]</f>
        <v>0</v>
      </c>
      <c r="I2237" s="275" t="s">
        <v>95</v>
      </c>
    </row>
    <row r="2238" spans="1:9" ht="30" x14ac:dyDescent="0.25">
      <c r="A2238" s="299">
        <v>42965</v>
      </c>
      <c r="B2238" s="302" t="s">
        <v>26088</v>
      </c>
      <c r="C2238">
        <v>124210</v>
      </c>
      <c r="D2238" s="236" t="s">
        <v>15246</v>
      </c>
      <c r="E2238" s="301">
        <v>15706.4</v>
      </c>
      <c r="F2238" s="303" t="s">
        <v>26089</v>
      </c>
      <c r="G2238" s="305">
        <f>13973.63+1732.77</f>
        <v>15706.4</v>
      </c>
      <c r="H2238" s="304">
        <f>Tabla13[[#This Row],[Importe]]-Tabla13[[#This Row],[Pagado]]</f>
        <v>0</v>
      </c>
      <c r="I2238" s="275" t="s">
        <v>15214</v>
      </c>
    </row>
    <row r="2239" spans="1:9" x14ac:dyDescent="0.25">
      <c r="A2239" s="299">
        <v>42965</v>
      </c>
      <c r="B2239" s="302" t="s">
        <v>26090</v>
      </c>
      <c r="C2239">
        <v>124211</v>
      </c>
      <c r="D2239" s="236" t="s">
        <v>15309</v>
      </c>
      <c r="E2239" s="301">
        <v>15694</v>
      </c>
      <c r="F2239" s="303">
        <v>42965</v>
      </c>
      <c r="G2239" s="301">
        <v>15694</v>
      </c>
      <c r="H2239" s="304">
        <f>Tabla13[[#This Row],[Importe]]-Tabla13[[#This Row],[Pagado]]</f>
        <v>0</v>
      </c>
      <c r="I2239" s="275" t="s">
        <v>15214</v>
      </c>
    </row>
    <row r="2240" spans="1:9" x14ac:dyDescent="0.25">
      <c r="A2240" s="299">
        <v>42965</v>
      </c>
      <c r="B2240" s="302" t="s">
        <v>26091</v>
      </c>
      <c r="C2240">
        <v>124212</v>
      </c>
      <c r="D2240" s="236" t="s">
        <v>15568</v>
      </c>
      <c r="E2240" s="301">
        <v>14489.25</v>
      </c>
      <c r="F2240" s="303">
        <v>42965</v>
      </c>
      <c r="G2240" s="301">
        <v>14489.25</v>
      </c>
      <c r="H2240" s="304">
        <f>Tabla13[[#This Row],[Importe]]-Tabla13[[#This Row],[Pagado]]</f>
        <v>0</v>
      </c>
      <c r="I2240" s="275" t="s">
        <v>15214</v>
      </c>
    </row>
    <row r="2241" spans="1:9" x14ac:dyDescent="0.25">
      <c r="A2241" s="299">
        <v>42965</v>
      </c>
      <c r="B2241" s="302" t="s">
        <v>26092</v>
      </c>
      <c r="C2241">
        <v>124213</v>
      </c>
      <c r="D2241" s="236" t="s">
        <v>15856</v>
      </c>
      <c r="E2241" s="301">
        <v>770</v>
      </c>
      <c r="F2241" s="303">
        <v>42965</v>
      </c>
      <c r="G2241" s="301">
        <v>770</v>
      </c>
      <c r="H2241" s="304">
        <f>Tabla13[[#This Row],[Importe]]-Tabla13[[#This Row],[Pagado]]</f>
        <v>0</v>
      </c>
      <c r="I2241" s="275" t="s">
        <v>15214</v>
      </c>
    </row>
    <row r="2242" spans="1:9" x14ac:dyDescent="0.25">
      <c r="A2242" s="299">
        <v>42965</v>
      </c>
      <c r="B2242" s="302" t="s">
        <v>26093</v>
      </c>
      <c r="C2242">
        <v>124214</v>
      </c>
      <c r="D2242" s="236" t="s">
        <v>15246</v>
      </c>
      <c r="E2242" s="301">
        <v>500</v>
      </c>
      <c r="F2242" s="303">
        <v>42969</v>
      </c>
      <c r="G2242" s="301">
        <v>500</v>
      </c>
      <c r="H2242" s="304">
        <f>Tabla13[[#This Row],[Importe]]-Tabla13[[#This Row],[Pagado]]</f>
        <v>0</v>
      </c>
      <c r="I2242" s="275" t="s">
        <v>15214</v>
      </c>
    </row>
    <row r="2243" spans="1:9" x14ac:dyDescent="0.25">
      <c r="A2243" s="299">
        <v>42965</v>
      </c>
      <c r="B2243" s="302" t="s">
        <v>26094</v>
      </c>
      <c r="C2243">
        <v>124215</v>
      </c>
      <c r="D2243" s="236" t="s">
        <v>19768</v>
      </c>
      <c r="E2243" s="301">
        <v>2300</v>
      </c>
      <c r="F2243" s="303">
        <v>42965</v>
      </c>
      <c r="G2243" s="301">
        <v>2300</v>
      </c>
      <c r="H2243" s="304">
        <f>Tabla13[[#This Row],[Importe]]-Tabla13[[#This Row],[Pagado]]</f>
        <v>0</v>
      </c>
      <c r="I2243" s="275" t="s">
        <v>15214</v>
      </c>
    </row>
    <row r="2244" spans="1:9" ht="15.75" x14ac:dyDescent="0.25">
      <c r="A2244" s="299">
        <v>42965</v>
      </c>
      <c r="B2244" s="302" t="s">
        <v>26095</v>
      </c>
      <c r="C2244">
        <v>124216</v>
      </c>
      <c r="D2244" s="248" t="s">
        <v>95</v>
      </c>
      <c r="E2244" s="301">
        <v>0</v>
      </c>
      <c r="F2244" s="243" t="s">
        <v>95</v>
      </c>
      <c r="G2244" s="301">
        <v>0</v>
      </c>
      <c r="H2244" s="304">
        <f>Tabla13[[#This Row],[Importe]]-Tabla13[[#This Row],[Pagado]]</f>
        <v>0</v>
      </c>
      <c r="I2244" s="275" t="s">
        <v>95</v>
      </c>
    </row>
    <row r="2245" spans="1:9" x14ac:dyDescent="0.25">
      <c r="A2245" s="299">
        <v>42965</v>
      </c>
      <c r="B2245" s="302" t="s">
        <v>26096</v>
      </c>
      <c r="C2245">
        <v>124217</v>
      </c>
      <c r="D2245" s="236" t="s">
        <v>15391</v>
      </c>
      <c r="E2245" s="301">
        <v>9880.4</v>
      </c>
      <c r="F2245" s="303">
        <v>42967</v>
      </c>
      <c r="G2245" s="301">
        <v>9880.4</v>
      </c>
      <c r="H2245" s="304">
        <f>Tabla13[[#This Row],[Importe]]-Tabla13[[#This Row],[Pagado]]</f>
        <v>0</v>
      </c>
      <c r="I2245" s="275" t="s">
        <v>15214</v>
      </c>
    </row>
    <row r="2246" spans="1:9" x14ac:dyDescent="0.25">
      <c r="A2246" s="299">
        <v>42965</v>
      </c>
      <c r="B2246" s="302" t="s">
        <v>26097</v>
      </c>
      <c r="C2246">
        <v>124218</v>
      </c>
      <c r="D2246" s="236" t="s">
        <v>16383</v>
      </c>
      <c r="E2246" s="301">
        <v>644.1</v>
      </c>
      <c r="F2246" s="303">
        <v>42965</v>
      </c>
      <c r="G2246" s="301">
        <v>644.1</v>
      </c>
      <c r="H2246" s="304">
        <f>Tabla13[[#This Row],[Importe]]-Tabla13[[#This Row],[Pagado]]</f>
        <v>0</v>
      </c>
      <c r="I2246" s="275" t="s">
        <v>15214</v>
      </c>
    </row>
    <row r="2247" spans="1:9" x14ac:dyDescent="0.25">
      <c r="A2247" s="299">
        <v>42965</v>
      </c>
      <c r="B2247" s="302" t="s">
        <v>26098</v>
      </c>
      <c r="C2247">
        <v>124219</v>
      </c>
      <c r="D2247" s="236" t="s">
        <v>21445</v>
      </c>
      <c r="E2247" s="301">
        <v>2050.6799999999998</v>
      </c>
      <c r="F2247" s="303">
        <v>42965</v>
      </c>
      <c r="G2247" s="301">
        <v>2050.6799999999998</v>
      </c>
      <c r="H2247" s="304">
        <f>Tabla13[[#This Row],[Importe]]-Tabla13[[#This Row],[Pagado]]</f>
        <v>0</v>
      </c>
      <c r="I2247" s="275" t="s">
        <v>15214</v>
      </c>
    </row>
    <row r="2248" spans="1:9" x14ac:dyDescent="0.25">
      <c r="A2248" s="299">
        <v>42965</v>
      </c>
      <c r="B2248" s="302" t="s">
        <v>26099</v>
      </c>
      <c r="C2248">
        <v>124220</v>
      </c>
      <c r="D2248" s="236" t="s">
        <v>21441</v>
      </c>
      <c r="E2248" s="301">
        <v>1300</v>
      </c>
      <c r="F2248" s="303">
        <v>42965</v>
      </c>
      <c r="G2248" s="301">
        <v>1300</v>
      </c>
      <c r="H2248" s="304">
        <f>Tabla13[[#This Row],[Importe]]-Tabla13[[#This Row],[Pagado]]</f>
        <v>0</v>
      </c>
      <c r="I2248" s="275" t="s">
        <v>15214</v>
      </c>
    </row>
    <row r="2249" spans="1:9" x14ac:dyDescent="0.25">
      <c r="A2249" s="299">
        <v>42965</v>
      </c>
      <c r="B2249" s="302" t="s">
        <v>26100</v>
      </c>
      <c r="C2249">
        <v>124221</v>
      </c>
      <c r="D2249" s="236" t="s">
        <v>15592</v>
      </c>
      <c r="E2249" s="301">
        <v>13503</v>
      </c>
      <c r="F2249" s="303">
        <v>42965</v>
      </c>
      <c r="G2249" s="301">
        <v>13503</v>
      </c>
      <c r="H2249" s="304">
        <f>Tabla13[[#This Row],[Importe]]-Tabla13[[#This Row],[Pagado]]</f>
        <v>0</v>
      </c>
      <c r="I2249" s="275" t="s">
        <v>15214</v>
      </c>
    </row>
    <row r="2250" spans="1:9" x14ac:dyDescent="0.25">
      <c r="A2250" s="299">
        <v>42965</v>
      </c>
      <c r="B2250" s="302" t="s">
        <v>26101</v>
      </c>
      <c r="C2250">
        <v>124222</v>
      </c>
      <c r="D2250" s="236" t="s">
        <v>15594</v>
      </c>
      <c r="E2250" s="301">
        <v>2184</v>
      </c>
      <c r="F2250" s="303">
        <v>42965</v>
      </c>
      <c r="G2250" s="301">
        <v>2184</v>
      </c>
      <c r="H2250" s="304">
        <f>Tabla13[[#This Row],[Importe]]-Tabla13[[#This Row],[Pagado]]</f>
        <v>0</v>
      </c>
      <c r="I2250" s="275" t="s">
        <v>15214</v>
      </c>
    </row>
    <row r="2251" spans="1:9" x14ac:dyDescent="0.25">
      <c r="A2251" s="299">
        <v>42965</v>
      </c>
      <c r="B2251" s="302" t="s">
        <v>26102</v>
      </c>
      <c r="C2251">
        <v>124223</v>
      </c>
      <c r="D2251" s="236" t="s">
        <v>15665</v>
      </c>
      <c r="E2251" s="301">
        <v>213.9</v>
      </c>
      <c r="F2251" s="303">
        <v>42965</v>
      </c>
      <c r="G2251" s="301">
        <v>213.9</v>
      </c>
      <c r="H2251" s="304">
        <f>Tabla13[[#This Row],[Importe]]-Tabla13[[#This Row],[Pagado]]</f>
        <v>0</v>
      </c>
      <c r="I2251" s="275" t="s">
        <v>15214</v>
      </c>
    </row>
    <row r="2252" spans="1:9" x14ac:dyDescent="0.25">
      <c r="A2252" s="299">
        <v>42965</v>
      </c>
      <c r="B2252" s="302" t="s">
        <v>26103</v>
      </c>
      <c r="C2252">
        <v>124224</v>
      </c>
      <c r="D2252" s="236" t="s">
        <v>16732</v>
      </c>
      <c r="E2252" s="301">
        <v>1171.32</v>
      </c>
      <c r="F2252" s="303">
        <v>42965</v>
      </c>
      <c r="G2252" s="301">
        <v>1171.32</v>
      </c>
      <c r="H2252" s="304">
        <f>Tabla13[[#This Row],[Importe]]-Tabla13[[#This Row],[Pagado]]</f>
        <v>0</v>
      </c>
      <c r="I2252" s="275" t="s">
        <v>15214</v>
      </c>
    </row>
    <row r="2253" spans="1:9" x14ac:dyDescent="0.25">
      <c r="A2253" s="299">
        <v>42965</v>
      </c>
      <c r="B2253" s="302" t="s">
        <v>26104</v>
      </c>
      <c r="C2253">
        <v>124225</v>
      </c>
      <c r="D2253" s="236" t="s">
        <v>15592</v>
      </c>
      <c r="E2253" s="301">
        <v>3078.4</v>
      </c>
      <c r="F2253" s="303">
        <v>42965</v>
      </c>
      <c r="G2253" s="301">
        <v>3078.4</v>
      </c>
      <c r="H2253" s="304">
        <f>Tabla13[[#This Row],[Importe]]-Tabla13[[#This Row],[Pagado]]</f>
        <v>0</v>
      </c>
      <c r="I2253" s="275" t="s">
        <v>15214</v>
      </c>
    </row>
    <row r="2254" spans="1:9" x14ac:dyDescent="0.25">
      <c r="A2254" s="299">
        <v>42965</v>
      </c>
      <c r="B2254" s="302" t="s">
        <v>26105</v>
      </c>
      <c r="C2254">
        <v>124226</v>
      </c>
      <c r="D2254" s="236" t="s">
        <v>15326</v>
      </c>
      <c r="E2254" s="301">
        <v>4603.5</v>
      </c>
      <c r="F2254" s="303">
        <v>42965</v>
      </c>
      <c r="G2254" s="301">
        <v>4603.5</v>
      </c>
      <c r="H2254" s="304">
        <f>Tabla13[[#This Row],[Importe]]-Tabla13[[#This Row],[Pagado]]</f>
        <v>0</v>
      </c>
      <c r="I2254" s="275" t="s">
        <v>15214</v>
      </c>
    </row>
    <row r="2255" spans="1:9" x14ac:dyDescent="0.25">
      <c r="A2255" s="299">
        <v>42965</v>
      </c>
      <c r="B2255" s="302" t="s">
        <v>26106</v>
      </c>
      <c r="C2255">
        <v>124227</v>
      </c>
      <c r="D2255" s="236" t="s">
        <v>15242</v>
      </c>
      <c r="E2255" s="301">
        <v>17569.3</v>
      </c>
      <c r="F2255" s="303">
        <v>42965</v>
      </c>
      <c r="G2255" s="301">
        <v>17569.3</v>
      </c>
      <c r="H2255" s="304">
        <f>Tabla13[[#This Row],[Importe]]-Tabla13[[#This Row],[Pagado]]</f>
        <v>0</v>
      </c>
      <c r="I2255" s="275" t="s">
        <v>15214</v>
      </c>
    </row>
    <row r="2256" spans="1:9" x14ac:dyDescent="0.25">
      <c r="A2256" s="299">
        <v>42965</v>
      </c>
      <c r="B2256" s="302" t="s">
        <v>26107</v>
      </c>
      <c r="C2256">
        <v>124228</v>
      </c>
      <c r="D2256" s="236" t="s">
        <v>15396</v>
      </c>
      <c r="E2256" s="301">
        <v>10868.88</v>
      </c>
      <c r="F2256" s="303">
        <v>42965</v>
      </c>
      <c r="G2256" s="301">
        <v>10868.88</v>
      </c>
      <c r="H2256" s="304">
        <f>Tabla13[[#This Row],[Importe]]-Tabla13[[#This Row],[Pagado]]</f>
        <v>0</v>
      </c>
      <c r="I2256" s="275" t="s">
        <v>15214</v>
      </c>
    </row>
    <row r="2257" spans="1:9" x14ac:dyDescent="0.25">
      <c r="A2257" s="299">
        <v>42965</v>
      </c>
      <c r="B2257" s="302" t="s">
        <v>26108</v>
      </c>
      <c r="C2257">
        <v>124229</v>
      </c>
      <c r="D2257" s="236" t="s">
        <v>5556</v>
      </c>
      <c r="E2257" s="301">
        <v>7700</v>
      </c>
      <c r="F2257" s="266">
        <v>42983</v>
      </c>
      <c r="G2257" s="35">
        <v>7700</v>
      </c>
      <c r="H2257" s="304">
        <f>Tabla13[[#This Row],[Importe]]-Tabla13[[#This Row],[Pagado]]</f>
        <v>0</v>
      </c>
      <c r="I2257" s="275" t="s">
        <v>15214</v>
      </c>
    </row>
    <row r="2258" spans="1:9" x14ac:dyDescent="0.25">
      <c r="A2258" s="299">
        <v>42965</v>
      </c>
      <c r="B2258" s="302" t="s">
        <v>26109</v>
      </c>
      <c r="C2258">
        <v>124230</v>
      </c>
      <c r="D2258" s="236" t="s">
        <v>15378</v>
      </c>
      <c r="E2258" s="301">
        <v>3406.9</v>
      </c>
      <c r="F2258" s="303">
        <v>42965</v>
      </c>
      <c r="G2258" s="301">
        <v>3406.9</v>
      </c>
      <c r="H2258" s="304">
        <f>Tabla13[[#This Row],[Importe]]-Tabla13[[#This Row],[Pagado]]</f>
        <v>0</v>
      </c>
      <c r="I2258" s="275" t="s">
        <v>15214</v>
      </c>
    </row>
    <row r="2259" spans="1:9" x14ac:dyDescent="0.25">
      <c r="A2259" s="299">
        <v>42965</v>
      </c>
      <c r="B2259" s="302" t="s">
        <v>26110</v>
      </c>
      <c r="C2259">
        <v>124231</v>
      </c>
      <c r="D2259" s="236" t="s">
        <v>15398</v>
      </c>
      <c r="E2259" s="301">
        <v>11566.3</v>
      </c>
      <c r="F2259" s="303">
        <v>42973</v>
      </c>
      <c r="G2259" s="301">
        <v>11566.3</v>
      </c>
      <c r="H2259" s="304">
        <f>Tabla13[[#This Row],[Importe]]-Tabla13[[#This Row],[Pagado]]</f>
        <v>0</v>
      </c>
      <c r="I2259" s="275" t="s">
        <v>15214</v>
      </c>
    </row>
    <row r="2260" spans="1:9" x14ac:dyDescent="0.25">
      <c r="A2260" s="299">
        <v>42965</v>
      </c>
      <c r="B2260" s="302" t="s">
        <v>26111</v>
      </c>
      <c r="C2260">
        <v>124232</v>
      </c>
      <c r="D2260" s="236" t="s">
        <v>15398</v>
      </c>
      <c r="E2260" s="301">
        <v>160</v>
      </c>
      <c r="F2260" s="303">
        <v>42967</v>
      </c>
      <c r="G2260" s="301">
        <v>160</v>
      </c>
      <c r="H2260" s="304">
        <f>Tabla13[[#This Row],[Importe]]-Tabla13[[#This Row],[Pagado]]</f>
        <v>0</v>
      </c>
      <c r="I2260" s="275" t="s">
        <v>15214</v>
      </c>
    </row>
    <row r="2261" spans="1:9" x14ac:dyDescent="0.25">
      <c r="A2261" s="299">
        <v>42965</v>
      </c>
      <c r="B2261" s="302" t="s">
        <v>26112</v>
      </c>
      <c r="C2261">
        <v>124233</v>
      </c>
      <c r="D2261" s="236" t="s">
        <v>15590</v>
      </c>
      <c r="E2261" s="301">
        <v>32659.29</v>
      </c>
      <c r="F2261" s="303">
        <v>42977</v>
      </c>
      <c r="G2261" s="301">
        <v>32659.29</v>
      </c>
      <c r="H2261" s="304">
        <f>Tabla13[[#This Row],[Importe]]-Tabla13[[#This Row],[Pagado]]</f>
        <v>0</v>
      </c>
      <c r="I2261" s="275" t="s">
        <v>15214</v>
      </c>
    </row>
    <row r="2262" spans="1:9" x14ac:dyDescent="0.25">
      <c r="A2262" s="299">
        <v>42965</v>
      </c>
      <c r="B2262" s="302" t="s">
        <v>26113</v>
      </c>
      <c r="C2262">
        <v>124234</v>
      </c>
      <c r="D2262" s="236" t="s">
        <v>15284</v>
      </c>
      <c r="E2262" s="301">
        <v>843</v>
      </c>
      <c r="F2262" s="303">
        <v>42965</v>
      </c>
      <c r="G2262" s="301">
        <v>843</v>
      </c>
      <c r="H2262" s="304">
        <f>Tabla13[[#This Row],[Importe]]-Tabla13[[#This Row],[Pagado]]</f>
        <v>0</v>
      </c>
      <c r="I2262" s="275" t="s">
        <v>15214</v>
      </c>
    </row>
    <row r="2263" spans="1:9" x14ac:dyDescent="0.25">
      <c r="A2263" s="299">
        <v>42965</v>
      </c>
      <c r="B2263" s="302" t="s">
        <v>26114</v>
      </c>
      <c r="C2263">
        <v>124235</v>
      </c>
      <c r="D2263" s="236" t="s">
        <v>15396</v>
      </c>
      <c r="E2263" s="301">
        <v>1757.5</v>
      </c>
      <c r="F2263" s="303">
        <v>42965</v>
      </c>
      <c r="G2263" s="301">
        <v>1757.5</v>
      </c>
      <c r="H2263" s="304">
        <f>Tabla13[[#This Row],[Importe]]-Tabla13[[#This Row],[Pagado]]</f>
        <v>0</v>
      </c>
      <c r="I2263" s="275" t="s">
        <v>15214</v>
      </c>
    </row>
    <row r="2264" spans="1:9" x14ac:dyDescent="0.25">
      <c r="A2264" s="299">
        <v>42965</v>
      </c>
      <c r="B2264" s="302" t="s">
        <v>26115</v>
      </c>
      <c r="C2264">
        <v>124236</v>
      </c>
      <c r="D2264" s="236" t="s">
        <v>15282</v>
      </c>
      <c r="E2264" s="301">
        <v>2870.3</v>
      </c>
      <c r="F2264" s="303">
        <v>42965</v>
      </c>
      <c r="G2264" s="301">
        <v>2870.3</v>
      </c>
      <c r="H2264" s="304">
        <f>Tabla13[[#This Row],[Importe]]-Tabla13[[#This Row],[Pagado]]</f>
        <v>0</v>
      </c>
      <c r="I2264" s="275" t="s">
        <v>15214</v>
      </c>
    </row>
    <row r="2265" spans="1:9" ht="15.75" x14ac:dyDescent="0.25">
      <c r="A2265" s="299">
        <v>42965</v>
      </c>
      <c r="B2265" s="302" t="s">
        <v>26116</v>
      </c>
      <c r="C2265">
        <v>124237</v>
      </c>
      <c r="D2265" s="248" t="s">
        <v>95</v>
      </c>
      <c r="E2265" s="301">
        <v>0</v>
      </c>
      <c r="F2265" s="243" t="s">
        <v>95</v>
      </c>
      <c r="G2265" s="301">
        <v>0</v>
      </c>
      <c r="H2265" s="304">
        <f>Tabla13[[#This Row],[Importe]]-Tabla13[[#This Row],[Pagado]]</f>
        <v>0</v>
      </c>
      <c r="I2265" s="275" t="s">
        <v>95</v>
      </c>
    </row>
    <row r="2266" spans="1:9" ht="15.75" x14ac:dyDescent="0.25">
      <c r="A2266" s="299">
        <v>42965</v>
      </c>
      <c r="B2266" s="302" t="s">
        <v>26117</v>
      </c>
      <c r="C2266">
        <v>124238</v>
      </c>
      <c r="D2266" s="248" t="s">
        <v>95</v>
      </c>
      <c r="E2266" s="301">
        <v>0</v>
      </c>
      <c r="F2266" s="243" t="s">
        <v>95</v>
      </c>
      <c r="G2266" s="301">
        <v>0</v>
      </c>
      <c r="H2266" s="304">
        <f>Tabla13[[#This Row],[Importe]]-Tabla13[[#This Row],[Pagado]]</f>
        <v>0</v>
      </c>
      <c r="I2266" s="275" t="s">
        <v>95</v>
      </c>
    </row>
    <row r="2267" spans="1:9" x14ac:dyDescent="0.25">
      <c r="A2267" s="299">
        <v>42965</v>
      </c>
      <c r="B2267" s="302" t="s">
        <v>26118</v>
      </c>
      <c r="C2267">
        <v>124239</v>
      </c>
      <c r="D2267" s="236" t="s">
        <v>15725</v>
      </c>
      <c r="E2267" s="301">
        <v>28186.400000000001</v>
      </c>
      <c r="F2267" s="303">
        <v>42968</v>
      </c>
      <c r="G2267" s="301">
        <v>28186.400000000001</v>
      </c>
      <c r="H2267" s="304">
        <f>Tabla13[[#This Row],[Importe]]-Tabla13[[#This Row],[Pagado]]</f>
        <v>0</v>
      </c>
      <c r="I2267" s="275" t="s">
        <v>15214</v>
      </c>
    </row>
    <row r="2268" spans="1:9" x14ac:dyDescent="0.25">
      <c r="A2268" s="299">
        <v>42965</v>
      </c>
      <c r="B2268" s="302" t="s">
        <v>26119</v>
      </c>
      <c r="C2268">
        <v>124240</v>
      </c>
      <c r="D2268" s="236" t="s">
        <v>19768</v>
      </c>
      <c r="E2268" s="301">
        <v>391.2</v>
      </c>
      <c r="F2268" s="303">
        <v>42965</v>
      </c>
      <c r="G2268" s="301">
        <v>391.2</v>
      </c>
      <c r="H2268" s="304">
        <f>Tabla13[[#This Row],[Importe]]-Tabla13[[#This Row],[Pagado]]</f>
        <v>0</v>
      </c>
      <c r="I2268" s="275" t="s">
        <v>15214</v>
      </c>
    </row>
    <row r="2269" spans="1:9" x14ac:dyDescent="0.25">
      <c r="A2269" s="299">
        <v>42965</v>
      </c>
      <c r="B2269" s="302" t="s">
        <v>26120</v>
      </c>
      <c r="C2269">
        <v>124241</v>
      </c>
      <c r="D2269" s="236" t="s">
        <v>16048</v>
      </c>
      <c r="E2269" s="301">
        <v>624</v>
      </c>
      <c r="F2269" s="303">
        <v>42965</v>
      </c>
      <c r="G2269" s="301">
        <v>624</v>
      </c>
      <c r="H2269" s="304">
        <f>Tabla13[[#This Row],[Importe]]-Tabla13[[#This Row],[Pagado]]</f>
        <v>0</v>
      </c>
      <c r="I2269" s="275" t="s">
        <v>15214</v>
      </c>
    </row>
    <row r="2270" spans="1:9" x14ac:dyDescent="0.25">
      <c r="A2270" s="299">
        <v>42965</v>
      </c>
      <c r="B2270" s="302" t="s">
        <v>26121</v>
      </c>
      <c r="C2270">
        <v>124242</v>
      </c>
      <c r="D2270" s="236" t="s">
        <v>15267</v>
      </c>
      <c r="E2270" s="301">
        <v>4543</v>
      </c>
      <c r="F2270" s="303">
        <v>42965</v>
      </c>
      <c r="G2270" s="301">
        <v>4543</v>
      </c>
      <c r="H2270" s="304">
        <f>Tabla13[[#This Row],[Importe]]-Tabla13[[#This Row],[Pagado]]</f>
        <v>0</v>
      </c>
      <c r="I2270" s="275" t="s">
        <v>15214</v>
      </c>
    </row>
    <row r="2271" spans="1:9" x14ac:dyDescent="0.25">
      <c r="A2271" s="299">
        <v>42965</v>
      </c>
      <c r="B2271" s="302" t="s">
        <v>26122</v>
      </c>
      <c r="C2271">
        <v>124243</v>
      </c>
      <c r="D2271" s="236" t="s">
        <v>15433</v>
      </c>
      <c r="E2271" s="301">
        <v>1831.3</v>
      </c>
      <c r="F2271" s="303">
        <v>42965</v>
      </c>
      <c r="G2271" s="301">
        <v>1831.3</v>
      </c>
      <c r="H2271" s="304">
        <f>Tabla13[[#This Row],[Importe]]-Tabla13[[#This Row],[Pagado]]</f>
        <v>0</v>
      </c>
      <c r="I2271" s="275" t="s">
        <v>15214</v>
      </c>
    </row>
    <row r="2272" spans="1:9" x14ac:dyDescent="0.25">
      <c r="A2272" s="299">
        <v>42965</v>
      </c>
      <c r="B2272" s="302" t="s">
        <v>26123</v>
      </c>
      <c r="C2272">
        <v>124244</v>
      </c>
      <c r="D2272" s="236" t="s">
        <v>15284</v>
      </c>
      <c r="E2272" s="301">
        <v>1158.7</v>
      </c>
      <c r="F2272" s="303">
        <v>42965</v>
      </c>
      <c r="G2272" s="301">
        <v>1158.7</v>
      </c>
      <c r="H2272" s="304">
        <f>Tabla13[[#This Row],[Importe]]-Tabla13[[#This Row],[Pagado]]</f>
        <v>0</v>
      </c>
      <c r="I2272" s="275" t="s">
        <v>15214</v>
      </c>
    </row>
    <row r="2273" spans="1:9" x14ac:dyDescent="0.25">
      <c r="A2273" s="299">
        <v>42965</v>
      </c>
      <c r="B2273" s="302" t="s">
        <v>26124</v>
      </c>
      <c r="C2273">
        <v>124245</v>
      </c>
      <c r="D2273" s="236" t="s">
        <v>16108</v>
      </c>
      <c r="E2273" s="301">
        <v>1319.7</v>
      </c>
      <c r="F2273" s="303">
        <v>42965</v>
      </c>
      <c r="G2273" s="301">
        <v>1319.7</v>
      </c>
      <c r="H2273" s="304">
        <f>Tabla13[[#This Row],[Importe]]-Tabla13[[#This Row],[Pagado]]</f>
        <v>0</v>
      </c>
      <c r="I2273" s="275" t="s">
        <v>15214</v>
      </c>
    </row>
    <row r="2274" spans="1:9" x14ac:dyDescent="0.25">
      <c r="A2274" s="299">
        <v>42965</v>
      </c>
      <c r="B2274" s="302" t="s">
        <v>26125</v>
      </c>
      <c r="C2274">
        <v>124246</v>
      </c>
      <c r="D2274" s="236" t="s">
        <v>15315</v>
      </c>
      <c r="E2274" s="301">
        <v>147.6</v>
      </c>
      <c r="F2274" s="303">
        <v>42965</v>
      </c>
      <c r="G2274" s="301">
        <v>147.6</v>
      </c>
      <c r="H2274" s="304">
        <f>Tabla13[[#This Row],[Importe]]-Tabla13[[#This Row],[Pagado]]</f>
        <v>0</v>
      </c>
      <c r="I2274" s="275" t="s">
        <v>15214</v>
      </c>
    </row>
    <row r="2275" spans="1:9" x14ac:dyDescent="0.25">
      <c r="A2275" s="299">
        <v>42965</v>
      </c>
      <c r="B2275" s="302" t="s">
        <v>26126</v>
      </c>
      <c r="C2275">
        <v>124247</v>
      </c>
      <c r="D2275" s="236" t="s">
        <v>15365</v>
      </c>
      <c r="E2275" s="301">
        <v>255976</v>
      </c>
      <c r="F2275" s="303">
        <v>42972</v>
      </c>
      <c r="G2275" s="301">
        <v>255976</v>
      </c>
      <c r="H2275" s="304">
        <f>Tabla13[[#This Row],[Importe]]-Tabla13[[#This Row],[Pagado]]</f>
        <v>0</v>
      </c>
      <c r="I2275" s="275" t="s">
        <v>15214</v>
      </c>
    </row>
    <row r="2276" spans="1:9" ht="15.75" x14ac:dyDescent="0.25">
      <c r="A2276" s="299">
        <v>42965</v>
      </c>
      <c r="B2276" s="302" t="s">
        <v>26127</v>
      </c>
      <c r="C2276">
        <v>124248</v>
      </c>
      <c r="D2276" s="248" t="s">
        <v>95</v>
      </c>
      <c r="E2276" s="301">
        <v>0</v>
      </c>
      <c r="F2276" s="243" t="s">
        <v>95</v>
      </c>
      <c r="G2276" s="301">
        <v>0</v>
      </c>
      <c r="H2276" s="304">
        <f>Tabla13[[#This Row],[Importe]]-Tabla13[[#This Row],[Pagado]]</f>
        <v>0</v>
      </c>
      <c r="I2276" s="275" t="s">
        <v>95</v>
      </c>
    </row>
    <row r="2277" spans="1:9" x14ac:dyDescent="0.25">
      <c r="A2277" s="299">
        <v>42965</v>
      </c>
      <c r="B2277" s="302" t="s">
        <v>26128</v>
      </c>
      <c r="C2277">
        <v>124249</v>
      </c>
      <c r="D2277" s="236" t="s">
        <v>15365</v>
      </c>
      <c r="E2277" s="301">
        <v>441392</v>
      </c>
      <c r="F2277" s="303">
        <v>42971</v>
      </c>
      <c r="G2277" s="301">
        <v>441392</v>
      </c>
      <c r="H2277" s="304">
        <f>Tabla13[[#This Row],[Importe]]-Tabla13[[#This Row],[Pagado]]</f>
        <v>0</v>
      </c>
      <c r="I2277" s="275" t="s">
        <v>15214</v>
      </c>
    </row>
    <row r="2278" spans="1:9" x14ac:dyDescent="0.25">
      <c r="A2278" s="299">
        <v>42965</v>
      </c>
      <c r="B2278" s="302" t="s">
        <v>26129</v>
      </c>
      <c r="C2278">
        <v>124250</v>
      </c>
      <c r="D2278" s="236" t="s">
        <v>21445</v>
      </c>
      <c r="E2278" s="301">
        <v>4655.2</v>
      </c>
      <c r="F2278" s="303">
        <v>42965</v>
      </c>
      <c r="G2278" s="301">
        <v>4655.2</v>
      </c>
      <c r="H2278" s="304">
        <f>Tabla13[[#This Row],[Importe]]-Tabla13[[#This Row],[Pagado]]</f>
        <v>0</v>
      </c>
      <c r="I2278" s="275" t="s">
        <v>15214</v>
      </c>
    </row>
    <row r="2279" spans="1:9" x14ac:dyDescent="0.25">
      <c r="A2279" s="299">
        <v>42965</v>
      </c>
      <c r="B2279" s="302" t="s">
        <v>26130</v>
      </c>
      <c r="C2279">
        <v>124251</v>
      </c>
      <c r="D2279" s="236" t="s">
        <v>15322</v>
      </c>
      <c r="E2279" s="301">
        <v>2484</v>
      </c>
      <c r="F2279" s="303">
        <v>42965</v>
      </c>
      <c r="G2279" s="301">
        <v>2484</v>
      </c>
      <c r="H2279" s="304">
        <f>Tabla13[[#This Row],[Importe]]-Tabla13[[#This Row],[Pagado]]</f>
        <v>0</v>
      </c>
      <c r="I2279" s="275" t="s">
        <v>15214</v>
      </c>
    </row>
    <row r="2280" spans="1:9" x14ac:dyDescent="0.25">
      <c r="A2280" s="299">
        <v>42965</v>
      </c>
      <c r="B2280" s="302" t="s">
        <v>26131</v>
      </c>
      <c r="C2280">
        <v>124252</v>
      </c>
      <c r="D2280" s="236" t="s">
        <v>15510</v>
      </c>
      <c r="E2280" s="301">
        <v>12065.75</v>
      </c>
      <c r="F2280" s="303">
        <v>42965</v>
      </c>
      <c r="G2280" s="301">
        <v>12065.75</v>
      </c>
      <c r="H2280" s="304">
        <f>Tabla13[[#This Row],[Importe]]-Tabla13[[#This Row],[Pagado]]</f>
        <v>0</v>
      </c>
      <c r="I2280" s="275" t="s">
        <v>15214</v>
      </c>
    </row>
    <row r="2281" spans="1:9" x14ac:dyDescent="0.25">
      <c r="A2281" s="299">
        <v>42965</v>
      </c>
      <c r="B2281" s="302" t="s">
        <v>26132</v>
      </c>
      <c r="C2281">
        <v>124253</v>
      </c>
      <c r="D2281" s="236" t="s">
        <v>16129</v>
      </c>
      <c r="E2281" s="301">
        <v>4867.8</v>
      </c>
      <c r="F2281" s="303">
        <v>42972</v>
      </c>
      <c r="G2281" s="301">
        <v>4867.8</v>
      </c>
      <c r="H2281" s="304">
        <f>Tabla13[[#This Row],[Importe]]-Tabla13[[#This Row],[Pagado]]</f>
        <v>0</v>
      </c>
      <c r="I2281" s="275" t="s">
        <v>15214</v>
      </c>
    </row>
    <row r="2282" spans="1:9" x14ac:dyDescent="0.25">
      <c r="A2282" s="299">
        <v>42965</v>
      </c>
      <c r="B2282" s="302" t="s">
        <v>26133</v>
      </c>
      <c r="C2282">
        <v>124254</v>
      </c>
      <c r="D2282" s="236" t="s">
        <v>19699</v>
      </c>
      <c r="E2282" s="301">
        <v>1380</v>
      </c>
      <c r="F2282" s="303">
        <v>42965</v>
      </c>
      <c r="G2282" s="301">
        <v>1380</v>
      </c>
      <c r="H2282" s="304">
        <f>Tabla13[[#This Row],[Importe]]-Tabla13[[#This Row],[Pagado]]</f>
        <v>0</v>
      </c>
      <c r="I2282" s="275" t="s">
        <v>15214</v>
      </c>
    </row>
    <row r="2283" spans="1:9" x14ac:dyDescent="0.25">
      <c r="A2283" s="299">
        <v>42965</v>
      </c>
      <c r="B2283" s="302" t="s">
        <v>26134</v>
      </c>
      <c r="C2283">
        <v>124255</v>
      </c>
      <c r="D2283" s="236" t="s">
        <v>19699</v>
      </c>
      <c r="E2283" s="301">
        <v>1766</v>
      </c>
      <c r="F2283" s="303">
        <v>42965</v>
      </c>
      <c r="G2283" s="301">
        <v>1766</v>
      </c>
      <c r="H2283" s="304">
        <f>Tabla13[[#This Row],[Importe]]-Tabla13[[#This Row],[Pagado]]</f>
        <v>0</v>
      </c>
      <c r="I2283" s="275" t="s">
        <v>15214</v>
      </c>
    </row>
    <row r="2284" spans="1:9" x14ac:dyDescent="0.25">
      <c r="A2284" s="299">
        <v>42965</v>
      </c>
      <c r="B2284" s="302" t="s">
        <v>26135</v>
      </c>
      <c r="C2284">
        <v>124256</v>
      </c>
      <c r="D2284" s="236" t="s">
        <v>15728</v>
      </c>
      <c r="E2284" s="301">
        <v>6012</v>
      </c>
      <c r="F2284" s="303">
        <v>42965</v>
      </c>
      <c r="G2284" s="301">
        <v>6012</v>
      </c>
      <c r="H2284" s="304">
        <f>Tabla13[[#This Row],[Importe]]-Tabla13[[#This Row],[Pagado]]</f>
        <v>0</v>
      </c>
      <c r="I2284" s="275" t="s">
        <v>15214</v>
      </c>
    </row>
    <row r="2285" spans="1:9" x14ac:dyDescent="0.25">
      <c r="A2285" s="299">
        <v>42965</v>
      </c>
      <c r="B2285" s="302" t="s">
        <v>26136</v>
      </c>
      <c r="C2285">
        <v>124257</v>
      </c>
      <c r="D2285" s="236" t="s">
        <v>15246</v>
      </c>
      <c r="E2285" s="301">
        <v>462474.1</v>
      </c>
      <c r="F2285" s="303">
        <v>42969</v>
      </c>
      <c r="G2285" s="301">
        <v>462474.1</v>
      </c>
      <c r="H2285" s="304">
        <f>Tabla13[[#This Row],[Importe]]-Tabla13[[#This Row],[Pagado]]</f>
        <v>0</v>
      </c>
      <c r="I2285" s="275" t="s">
        <v>15214</v>
      </c>
    </row>
    <row r="2286" spans="1:9" x14ac:dyDescent="0.25">
      <c r="A2286" s="299">
        <v>42965</v>
      </c>
      <c r="B2286" s="302" t="s">
        <v>26137</v>
      </c>
      <c r="C2286">
        <v>124258</v>
      </c>
      <c r="D2286" s="236" t="s">
        <v>15276</v>
      </c>
      <c r="E2286" s="301">
        <v>2760</v>
      </c>
      <c r="F2286" s="303">
        <v>42966</v>
      </c>
      <c r="G2286" s="301">
        <v>2760</v>
      </c>
      <c r="H2286" s="304">
        <f>Tabla13[[#This Row],[Importe]]-Tabla13[[#This Row],[Pagado]]</f>
        <v>0</v>
      </c>
      <c r="I2286" s="275" t="s">
        <v>15214</v>
      </c>
    </row>
    <row r="2287" spans="1:9" x14ac:dyDescent="0.25">
      <c r="A2287" s="299">
        <v>42965</v>
      </c>
      <c r="B2287" s="302" t="s">
        <v>26138</v>
      </c>
      <c r="C2287">
        <v>124259</v>
      </c>
      <c r="D2287" s="236" t="s">
        <v>15920</v>
      </c>
      <c r="E2287" s="301">
        <v>6805</v>
      </c>
      <c r="F2287" s="303">
        <v>42966</v>
      </c>
      <c r="G2287" s="301">
        <v>6805</v>
      </c>
      <c r="H2287" s="304">
        <f>Tabla13[[#This Row],[Importe]]-Tabla13[[#This Row],[Pagado]]</f>
        <v>0</v>
      </c>
      <c r="I2287" s="275" t="s">
        <v>15214</v>
      </c>
    </row>
    <row r="2288" spans="1:9" x14ac:dyDescent="0.25">
      <c r="A2288" s="299">
        <v>42965</v>
      </c>
      <c r="B2288" s="302" t="s">
        <v>26139</v>
      </c>
      <c r="C2288">
        <v>124260</v>
      </c>
      <c r="D2288" s="236" t="s">
        <v>15417</v>
      </c>
      <c r="E2288" s="301">
        <v>2740.5</v>
      </c>
      <c r="F2288" s="303">
        <v>42966</v>
      </c>
      <c r="G2288" s="301">
        <v>2740.5</v>
      </c>
      <c r="H2288" s="304">
        <f>Tabla13[[#This Row],[Importe]]-Tabla13[[#This Row],[Pagado]]</f>
        <v>0</v>
      </c>
      <c r="I2288" s="275" t="s">
        <v>15214</v>
      </c>
    </row>
    <row r="2289" spans="1:9" x14ac:dyDescent="0.25">
      <c r="A2289" s="299">
        <v>42965</v>
      </c>
      <c r="B2289" s="302" t="s">
        <v>26140</v>
      </c>
      <c r="C2289">
        <v>124261</v>
      </c>
      <c r="D2289" s="236" t="s">
        <v>15553</v>
      </c>
      <c r="E2289" s="301">
        <v>36746.699999999997</v>
      </c>
      <c r="F2289" s="303">
        <v>42966</v>
      </c>
      <c r="G2289" s="301">
        <v>36746.699999999997</v>
      </c>
      <c r="H2289" s="304">
        <f>Tabla13[[#This Row],[Importe]]-Tabla13[[#This Row],[Pagado]]</f>
        <v>0</v>
      </c>
      <c r="I2289" s="275" t="s">
        <v>15214</v>
      </c>
    </row>
    <row r="2290" spans="1:9" x14ac:dyDescent="0.25">
      <c r="A2290" s="299">
        <v>42965</v>
      </c>
      <c r="B2290" s="302" t="s">
        <v>26141</v>
      </c>
      <c r="C2290">
        <v>124262</v>
      </c>
      <c r="D2290" s="236" t="s">
        <v>15309</v>
      </c>
      <c r="E2290" s="301">
        <v>1859.2</v>
      </c>
      <c r="F2290" s="303">
        <v>42969</v>
      </c>
      <c r="G2290" s="301">
        <v>1859.2</v>
      </c>
      <c r="H2290" s="304">
        <f>Tabla13[[#This Row],[Importe]]-Tabla13[[#This Row],[Pagado]]</f>
        <v>0</v>
      </c>
      <c r="I2290" s="275" t="s">
        <v>15214</v>
      </c>
    </row>
    <row r="2291" spans="1:9" ht="30" x14ac:dyDescent="0.25">
      <c r="A2291" s="299">
        <v>42965</v>
      </c>
      <c r="B2291" s="302" t="s">
        <v>26142</v>
      </c>
      <c r="C2291">
        <v>124263</v>
      </c>
      <c r="D2291" s="236" t="s">
        <v>15246</v>
      </c>
      <c r="E2291" s="301">
        <v>83927.8</v>
      </c>
      <c r="F2291" s="303" t="s">
        <v>26143</v>
      </c>
      <c r="G2291" s="305">
        <f>52036.13+31891.67</f>
        <v>83927.799999999988</v>
      </c>
      <c r="H2291" s="304">
        <f>Tabla13[[#This Row],[Importe]]-Tabla13[[#This Row],[Pagado]]</f>
        <v>0</v>
      </c>
      <c r="I2291" s="275" t="s">
        <v>15214</v>
      </c>
    </row>
    <row r="2292" spans="1:9" x14ac:dyDescent="0.25">
      <c r="A2292" s="299">
        <v>42965</v>
      </c>
      <c r="B2292" s="302" t="s">
        <v>26144</v>
      </c>
      <c r="C2292">
        <v>124264</v>
      </c>
      <c r="D2292" s="236" t="s">
        <v>15246</v>
      </c>
      <c r="E2292" s="301">
        <v>23539.9</v>
      </c>
      <c r="F2292" s="303">
        <v>42970</v>
      </c>
      <c r="G2292" s="301">
        <v>23539.9</v>
      </c>
      <c r="H2292" s="304">
        <f>Tabla13[[#This Row],[Importe]]-Tabla13[[#This Row],[Pagado]]</f>
        <v>0</v>
      </c>
      <c r="I2292" s="275" t="s">
        <v>15214</v>
      </c>
    </row>
    <row r="2293" spans="1:9" x14ac:dyDescent="0.25">
      <c r="A2293" s="299">
        <v>42965</v>
      </c>
      <c r="B2293" s="302" t="s">
        <v>26145</v>
      </c>
      <c r="C2293">
        <v>124265</v>
      </c>
      <c r="D2293" s="236" t="s">
        <v>15238</v>
      </c>
      <c r="E2293" s="301">
        <v>2873.2</v>
      </c>
      <c r="F2293" s="303">
        <v>42968</v>
      </c>
      <c r="G2293" s="301">
        <v>2873.2</v>
      </c>
      <c r="H2293" s="304">
        <f>Tabla13[[#This Row],[Importe]]-Tabla13[[#This Row],[Pagado]]</f>
        <v>0</v>
      </c>
      <c r="I2293" s="275" t="s">
        <v>15214</v>
      </c>
    </row>
    <row r="2294" spans="1:9" x14ac:dyDescent="0.25">
      <c r="A2294" s="299">
        <v>42965</v>
      </c>
      <c r="B2294" s="302" t="s">
        <v>26146</v>
      </c>
      <c r="C2294">
        <v>124266</v>
      </c>
      <c r="D2294" s="236" t="s">
        <v>15284</v>
      </c>
      <c r="E2294" s="301">
        <v>1182</v>
      </c>
      <c r="F2294" s="303">
        <v>42965</v>
      </c>
      <c r="G2294" s="301">
        <v>1182</v>
      </c>
      <c r="H2294" s="304">
        <f>Tabla13[[#This Row],[Importe]]-Tabla13[[#This Row],[Pagado]]</f>
        <v>0</v>
      </c>
      <c r="I2294" s="275" t="s">
        <v>15214</v>
      </c>
    </row>
    <row r="2295" spans="1:9" x14ac:dyDescent="0.25">
      <c r="A2295" s="299">
        <v>42965</v>
      </c>
      <c r="B2295" s="302" t="s">
        <v>26147</v>
      </c>
      <c r="C2295">
        <v>124267</v>
      </c>
      <c r="D2295" s="236" t="s">
        <v>15642</v>
      </c>
      <c r="E2295" s="301">
        <v>7791</v>
      </c>
      <c r="F2295" s="303">
        <v>42965</v>
      </c>
      <c r="G2295" s="301">
        <v>7791</v>
      </c>
      <c r="H2295" s="304">
        <f>Tabla13[[#This Row],[Importe]]-Tabla13[[#This Row],[Pagado]]</f>
        <v>0</v>
      </c>
      <c r="I2295" s="275" t="s">
        <v>15214</v>
      </c>
    </row>
    <row r="2296" spans="1:9" ht="15.75" x14ac:dyDescent="0.25">
      <c r="A2296" s="299">
        <v>42965</v>
      </c>
      <c r="B2296" s="302" t="s">
        <v>26148</v>
      </c>
      <c r="C2296">
        <v>124268</v>
      </c>
      <c r="D2296" s="248" t="s">
        <v>95</v>
      </c>
      <c r="E2296" s="301">
        <v>0</v>
      </c>
      <c r="F2296" s="243" t="s">
        <v>95</v>
      </c>
      <c r="G2296" s="301">
        <v>0</v>
      </c>
      <c r="H2296" s="304">
        <f>Tabla13[[#This Row],[Importe]]-Tabla13[[#This Row],[Pagado]]</f>
        <v>0</v>
      </c>
      <c r="I2296" s="275" t="s">
        <v>95</v>
      </c>
    </row>
    <row r="2297" spans="1:9" x14ac:dyDescent="0.25">
      <c r="A2297" s="299">
        <v>42965</v>
      </c>
      <c r="B2297" s="302" t="s">
        <v>26149</v>
      </c>
      <c r="C2297">
        <v>124269</v>
      </c>
      <c r="D2297" s="236" t="s">
        <v>19776</v>
      </c>
      <c r="E2297" s="301">
        <v>5521.8</v>
      </c>
      <c r="F2297" s="303">
        <v>42966</v>
      </c>
      <c r="G2297" s="301">
        <v>5521.8</v>
      </c>
      <c r="H2297" s="304">
        <f>Tabla13[[#This Row],[Importe]]-Tabla13[[#This Row],[Pagado]]</f>
        <v>0</v>
      </c>
      <c r="I2297" s="275" t="s">
        <v>15214</v>
      </c>
    </row>
    <row r="2298" spans="1:9" x14ac:dyDescent="0.25">
      <c r="A2298" s="299">
        <v>42965</v>
      </c>
      <c r="B2298" s="302" t="s">
        <v>26150</v>
      </c>
      <c r="C2298">
        <v>124270</v>
      </c>
      <c r="D2298" s="236" t="s">
        <v>15423</v>
      </c>
      <c r="E2298" s="301">
        <v>5644.8</v>
      </c>
      <c r="F2298" s="303">
        <v>42965</v>
      </c>
      <c r="G2298" s="301">
        <v>5644.8</v>
      </c>
      <c r="H2298" s="304">
        <f>Tabla13[[#This Row],[Importe]]-Tabla13[[#This Row],[Pagado]]</f>
        <v>0</v>
      </c>
      <c r="I2298" s="275" t="s">
        <v>15214</v>
      </c>
    </row>
    <row r="2299" spans="1:9" x14ac:dyDescent="0.25">
      <c r="A2299" s="299">
        <v>42965</v>
      </c>
      <c r="B2299" s="302" t="s">
        <v>26151</v>
      </c>
      <c r="C2299">
        <v>124271</v>
      </c>
      <c r="D2299" s="236" t="s">
        <v>15681</v>
      </c>
      <c r="E2299" s="301">
        <v>2236.8000000000002</v>
      </c>
      <c r="F2299" s="303">
        <v>42965</v>
      </c>
      <c r="G2299" s="301">
        <v>2236.8000000000002</v>
      </c>
      <c r="H2299" s="304">
        <f>Tabla13[[#This Row],[Importe]]-Tabla13[[#This Row],[Pagado]]</f>
        <v>0</v>
      </c>
      <c r="I2299" s="275" t="s">
        <v>15214</v>
      </c>
    </row>
    <row r="2300" spans="1:9" x14ac:dyDescent="0.25">
      <c r="A2300" s="299">
        <v>42965</v>
      </c>
      <c r="B2300" s="302" t="s">
        <v>26152</v>
      </c>
      <c r="C2300">
        <v>124272</v>
      </c>
      <c r="D2300" s="236" t="s">
        <v>15890</v>
      </c>
      <c r="E2300" s="301">
        <v>12057</v>
      </c>
      <c r="F2300" s="303">
        <v>42969</v>
      </c>
      <c r="G2300" s="301">
        <v>12057</v>
      </c>
      <c r="H2300" s="304">
        <f>Tabla13[[#This Row],[Importe]]-Tabla13[[#This Row],[Pagado]]</f>
        <v>0</v>
      </c>
      <c r="I2300" s="275" t="s">
        <v>15214</v>
      </c>
    </row>
    <row r="2301" spans="1:9" ht="30" x14ac:dyDescent="0.25">
      <c r="A2301" s="299">
        <v>42965</v>
      </c>
      <c r="B2301" s="302" t="s">
        <v>26153</v>
      </c>
      <c r="C2301">
        <v>124273</v>
      </c>
      <c r="D2301" s="236" t="s">
        <v>15250</v>
      </c>
      <c r="E2301" s="301">
        <v>76346.559999999998</v>
      </c>
      <c r="F2301" s="303" t="s">
        <v>26154</v>
      </c>
      <c r="G2301" s="305">
        <f>9051.68+67294.88</f>
        <v>76346.559999999998</v>
      </c>
      <c r="H2301" s="304">
        <f>Tabla13[[#This Row],[Importe]]-Tabla13[[#This Row],[Pagado]]</f>
        <v>0</v>
      </c>
      <c r="I2301" s="275" t="s">
        <v>15214</v>
      </c>
    </row>
    <row r="2302" spans="1:9" x14ac:dyDescent="0.25">
      <c r="A2302" s="299">
        <v>42965</v>
      </c>
      <c r="B2302" s="302" t="s">
        <v>26155</v>
      </c>
      <c r="C2302">
        <v>124274</v>
      </c>
      <c r="D2302" s="236" t="s">
        <v>15435</v>
      </c>
      <c r="E2302" s="301">
        <v>8262</v>
      </c>
      <c r="F2302" s="303">
        <v>42965</v>
      </c>
      <c r="G2302" s="301">
        <v>8262</v>
      </c>
      <c r="H2302" s="304">
        <f>Tabla13[[#This Row],[Importe]]-Tabla13[[#This Row],[Pagado]]</f>
        <v>0</v>
      </c>
      <c r="I2302" s="275" t="s">
        <v>15214</v>
      </c>
    </row>
    <row r="2303" spans="1:9" x14ac:dyDescent="0.25">
      <c r="A2303" s="299">
        <v>42965</v>
      </c>
      <c r="B2303" s="302" t="s">
        <v>26156</v>
      </c>
      <c r="C2303">
        <v>124275</v>
      </c>
      <c r="D2303" s="236" t="s">
        <v>15541</v>
      </c>
      <c r="E2303" s="301">
        <v>1898.5</v>
      </c>
      <c r="F2303" s="303">
        <v>42966</v>
      </c>
      <c r="G2303" s="301">
        <v>1898.5</v>
      </c>
      <c r="H2303" s="304">
        <f>Tabla13[[#This Row],[Importe]]-Tabla13[[#This Row],[Pagado]]</f>
        <v>0</v>
      </c>
      <c r="I2303" s="275" t="s">
        <v>15214</v>
      </c>
    </row>
    <row r="2304" spans="1:9" x14ac:dyDescent="0.25">
      <c r="A2304" s="299">
        <v>42965</v>
      </c>
      <c r="B2304" s="302" t="s">
        <v>26157</v>
      </c>
      <c r="C2304">
        <v>124276</v>
      </c>
      <c r="D2304" s="236" t="s">
        <v>18076</v>
      </c>
      <c r="E2304" s="301">
        <v>3750</v>
      </c>
      <c r="F2304" s="303">
        <v>42965</v>
      </c>
      <c r="G2304" s="301">
        <v>3750</v>
      </c>
      <c r="H2304" s="304">
        <f>Tabla13[[#This Row],[Importe]]-Tabla13[[#This Row],[Pagado]]</f>
        <v>0</v>
      </c>
      <c r="I2304" s="275" t="s">
        <v>15214</v>
      </c>
    </row>
    <row r="2305" spans="1:9" x14ac:dyDescent="0.25">
      <c r="A2305" s="299">
        <v>42966</v>
      </c>
      <c r="B2305" s="302" t="s">
        <v>26158</v>
      </c>
      <c r="C2305">
        <v>124277</v>
      </c>
      <c r="D2305" s="236" t="s">
        <v>15213</v>
      </c>
      <c r="E2305" s="301">
        <v>47704.25</v>
      </c>
      <c r="F2305" s="303">
        <v>42968</v>
      </c>
      <c r="G2305" s="301">
        <v>47704.25</v>
      </c>
      <c r="H2305" s="304">
        <f>Tabla13[[#This Row],[Importe]]-Tabla13[[#This Row],[Pagado]]</f>
        <v>0</v>
      </c>
      <c r="I2305" s="275" t="s">
        <v>15214</v>
      </c>
    </row>
    <row r="2306" spans="1:9" x14ac:dyDescent="0.25">
      <c r="A2306" s="299">
        <v>42966</v>
      </c>
      <c r="B2306" s="302" t="s">
        <v>26159</v>
      </c>
      <c r="C2306">
        <v>124278</v>
      </c>
      <c r="D2306" s="236" t="s">
        <v>21386</v>
      </c>
      <c r="E2306" s="301">
        <v>11101.25</v>
      </c>
      <c r="F2306" s="303">
        <v>42968</v>
      </c>
      <c r="G2306" s="301">
        <v>11101.25</v>
      </c>
      <c r="H2306" s="304">
        <f>Tabla13[[#This Row],[Importe]]-Tabla13[[#This Row],[Pagado]]</f>
        <v>0</v>
      </c>
      <c r="I2306" s="275" t="s">
        <v>15214</v>
      </c>
    </row>
    <row r="2307" spans="1:9" x14ac:dyDescent="0.25">
      <c r="A2307" s="299">
        <v>42966</v>
      </c>
      <c r="B2307" s="302" t="s">
        <v>26160</v>
      </c>
      <c r="C2307">
        <v>124279</v>
      </c>
      <c r="D2307" s="236" t="s">
        <v>15240</v>
      </c>
      <c r="E2307" s="301">
        <v>3029.4</v>
      </c>
      <c r="F2307" s="303">
        <v>42969</v>
      </c>
      <c r="G2307" s="301">
        <v>3029.4</v>
      </c>
      <c r="H2307" s="304">
        <f>Tabla13[[#This Row],[Importe]]-Tabla13[[#This Row],[Pagado]]</f>
        <v>0</v>
      </c>
      <c r="I2307" s="275" t="s">
        <v>15214</v>
      </c>
    </row>
    <row r="2308" spans="1:9" x14ac:dyDescent="0.25">
      <c r="A2308" s="299">
        <v>42966</v>
      </c>
      <c r="B2308" s="302" t="s">
        <v>26161</v>
      </c>
      <c r="C2308">
        <v>124280</v>
      </c>
      <c r="D2308" s="236" t="s">
        <v>15272</v>
      </c>
      <c r="E2308" s="301">
        <v>33959.449999999997</v>
      </c>
      <c r="F2308" s="303">
        <v>42966</v>
      </c>
      <c r="G2308" s="301">
        <v>33959.449999999997</v>
      </c>
      <c r="H2308" s="304">
        <f>Tabla13[[#This Row],[Importe]]-Tabla13[[#This Row],[Pagado]]</f>
        <v>0</v>
      </c>
      <c r="I2308" s="275" t="s">
        <v>15214</v>
      </c>
    </row>
    <row r="2309" spans="1:9" x14ac:dyDescent="0.25">
      <c r="A2309" s="299">
        <v>42966</v>
      </c>
      <c r="B2309" s="302" t="s">
        <v>26162</v>
      </c>
      <c r="C2309">
        <v>124281</v>
      </c>
      <c r="D2309" s="236" t="s">
        <v>15348</v>
      </c>
      <c r="E2309" s="301">
        <v>1615.1</v>
      </c>
      <c r="F2309" s="303">
        <v>42968</v>
      </c>
      <c r="G2309" s="301">
        <v>1615.1</v>
      </c>
      <c r="H2309" s="304">
        <f>Tabla13[[#This Row],[Importe]]-Tabla13[[#This Row],[Pagado]]</f>
        <v>0</v>
      </c>
      <c r="I2309" s="275" t="s">
        <v>15214</v>
      </c>
    </row>
    <row r="2310" spans="1:9" x14ac:dyDescent="0.25">
      <c r="A2310" s="299">
        <v>42966</v>
      </c>
      <c r="B2310" s="302" t="s">
        <v>26163</v>
      </c>
      <c r="C2310">
        <v>124282</v>
      </c>
      <c r="D2310" s="236" t="s">
        <v>15242</v>
      </c>
      <c r="E2310" s="301">
        <v>4777.3</v>
      </c>
      <c r="F2310" s="303">
        <v>42966</v>
      </c>
      <c r="G2310" s="301">
        <v>4777.3</v>
      </c>
      <c r="H2310" s="304">
        <f>Tabla13[[#This Row],[Importe]]-Tabla13[[#This Row],[Pagado]]</f>
        <v>0</v>
      </c>
      <c r="I2310" s="275" t="s">
        <v>15214</v>
      </c>
    </row>
    <row r="2311" spans="1:9" x14ac:dyDescent="0.25">
      <c r="A2311" s="299">
        <v>42966</v>
      </c>
      <c r="B2311" s="302" t="s">
        <v>26164</v>
      </c>
      <c r="C2311">
        <v>124283</v>
      </c>
      <c r="D2311" s="236" t="s">
        <v>15230</v>
      </c>
      <c r="E2311" s="301">
        <v>24544.799999999999</v>
      </c>
      <c r="F2311" s="303">
        <v>42969</v>
      </c>
      <c r="G2311" s="301">
        <v>24544.799999999999</v>
      </c>
      <c r="H2311" s="304">
        <f>Tabla13[[#This Row],[Importe]]-Tabla13[[#This Row],[Pagado]]</f>
        <v>0</v>
      </c>
      <c r="I2311" s="275" t="s">
        <v>15214</v>
      </c>
    </row>
    <row r="2312" spans="1:9" x14ac:dyDescent="0.25">
      <c r="A2312" s="299">
        <v>42966</v>
      </c>
      <c r="B2312" s="302" t="s">
        <v>26165</v>
      </c>
      <c r="C2312">
        <v>124284</v>
      </c>
      <c r="D2312" s="236" t="s">
        <v>15324</v>
      </c>
      <c r="E2312" s="301">
        <v>2797</v>
      </c>
      <c r="F2312" s="303">
        <v>42966</v>
      </c>
      <c r="G2312" s="301">
        <v>2797</v>
      </c>
      <c r="H2312" s="304">
        <f>Tabla13[[#This Row],[Importe]]-Tabla13[[#This Row],[Pagado]]</f>
        <v>0</v>
      </c>
      <c r="I2312" s="275" t="s">
        <v>15214</v>
      </c>
    </row>
    <row r="2313" spans="1:9" x14ac:dyDescent="0.25">
      <c r="A2313" s="299">
        <v>42966</v>
      </c>
      <c r="B2313" s="302" t="s">
        <v>26166</v>
      </c>
      <c r="C2313">
        <v>124285</v>
      </c>
      <c r="D2313" s="236" t="s">
        <v>15220</v>
      </c>
      <c r="E2313" s="301">
        <v>5290</v>
      </c>
      <c r="F2313" s="303">
        <v>42966</v>
      </c>
      <c r="G2313" s="301">
        <v>5290</v>
      </c>
      <c r="H2313" s="304">
        <f>Tabla13[[#This Row],[Importe]]-Tabla13[[#This Row],[Pagado]]</f>
        <v>0</v>
      </c>
      <c r="I2313" s="275" t="s">
        <v>15214</v>
      </c>
    </row>
    <row r="2314" spans="1:9" x14ac:dyDescent="0.25">
      <c r="A2314" s="299">
        <v>42966</v>
      </c>
      <c r="B2314" s="302" t="s">
        <v>26167</v>
      </c>
      <c r="C2314">
        <v>124286</v>
      </c>
      <c r="D2314" s="236" t="s">
        <v>19302</v>
      </c>
      <c r="E2314" s="301">
        <v>920</v>
      </c>
      <c r="F2314" s="303">
        <v>42966</v>
      </c>
      <c r="G2314" s="301">
        <v>920</v>
      </c>
      <c r="H2314" s="304">
        <f>Tabla13[[#This Row],[Importe]]-Tabla13[[#This Row],[Pagado]]</f>
        <v>0</v>
      </c>
      <c r="I2314" s="275" t="s">
        <v>15214</v>
      </c>
    </row>
    <row r="2315" spans="1:9" x14ac:dyDescent="0.25">
      <c r="A2315" s="299">
        <v>42966</v>
      </c>
      <c r="B2315" s="302" t="s">
        <v>26168</v>
      </c>
      <c r="C2315">
        <v>124287</v>
      </c>
      <c r="D2315" s="236" t="s">
        <v>15356</v>
      </c>
      <c r="E2315" s="301">
        <v>3524.1</v>
      </c>
      <c r="F2315" s="303">
        <v>42968</v>
      </c>
      <c r="G2315" s="301">
        <v>3524.1</v>
      </c>
      <c r="H2315" s="304">
        <f>Tabla13[[#This Row],[Importe]]-Tabla13[[#This Row],[Pagado]]</f>
        <v>0</v>
      </c>
      <c r="I2315" s="275" t="s">
        <v>15214</v>
      </c>
    </row>
    <row r="2316" spans="1:9" x14ac:dyDescent="0.25">
      <c r="A2316" s="299">
        <v>42966</v>
      </c>
      <c r="B2316" s="302" t="s">
        <v>26169</v>
      </c>
      <c r="C2316">
        <v>124288</v>
      </c>
      <c r="D2316" s="236" t="s">
        <v>15510</v>
      </c>
      <c r="E2316" s="301">
        <v>37982.400000000001</v>
      </c>
      <c r="F2316" s="303">
        <v>42966</v>
      </c>
      <c r="G2316" s="301">
        <v>37982.400000000001</v>
      </c>
      <c r="H2316" s="304">
        <f>Tabla13[[#This Row],[Importe]]-Tabla13[[#This Row],[Pagado]]</f>
        <v>0</v>
      </c>
      <c r="I2316" s="275" t="s">
        <v>15214</v>
      </c>
    </row>
    <row r="2317" spans="1:9" x14ac:dyDescent="0.25">
      <c r="A2317" s="299">
        <v>42966</v>
      </c>
      <c r="B2317" s="302" t="s">
        <v>26170</v>
      </c>
      <c r="C2317">
        <v>124289</v>
      </c>
      <c r="D2317" s="236" t="s">
        <v>15232</v>
      </c>
      <c r="E2317" s="301">
        <v>15547.2</v>
      </c>
      <c r="F2317" s="303">
        <v>42971</v>
      </c>
      <c r="G2317" s="301">
        <v>15547.2</v>
      </c>
      <c r="H2317" s="304">
        <f>Tabla13[[#This Row],[Importe]]-Tabla13[[#This Row],[Pagado]]</f>
        <v>0</v>
      </c>
      <c r="I2317" s="275" t="s">
        <v>15214</v>
      </c>
    </row>
    <row r="2318" spans="1:9" x14ac:dyDescent="0.25">
      <c r="A2318" s="299">
        <v>42966</v>
      </c>
      <c r="B2318" s="302" t="s">
        <v>26171</v>
      </c>
      <c r="C2318">
        <v>124290</v>
      </c>
      <c r="D2318" s="236" t="s">
        <v>15480</v>
      </c>
      <c r="E2318" s="301">
        <v>14906.2</v>
      </c>
      <c r="F2318" s="303">
        <v>42971</v>
      </c>
      <c r="G2318" s="301">
        <v>14906.2</v>
      </c>
      <c r="H2318" s="304">
        <f>Tabla13[[#This Row],[Importe]]-Tabla13[[#This Row],[Pagado]]</f>
        <v>0</v>
      </c>
      <c r="I2318" s="275" t="s">
        <v>15214</v>
      </c>
    </row>
    <row r="2319" spans="1:9" x14ac:dyDescent="0.25">
      <c r="A2319" s="299">
        <v>42966</v>
      </c>
      <c r="B2319" s="302" t="s">
        <v>26172</v>
      </c>
      <c r="C2319">
        <v>124291</v>
      </c>
      <c r="D2319" s="236" t="s">
        <v>15510</v>
      </c>
      <c r="E2319" s="301">
        <v>605</v>
      </c>
      <c r="F2319" s="303">
        <v>42966</v>
      </c>
      <c r="G2319" s="301">
        <v>605</v>
      </c>
      <c r="H2319" s="304">
        <f>Tabla13[[#This Row],[Importe]]-Tabla13[[#This Row],[Pagado]]</f>
        <v>0</v>
      </c>
      <c r="I2319" s="275" t="s">
        <v>15214</v>
      </c>
    </row>
    <row r="2320" spans="1:9" x14ac:dyDescent="0.25">
      <c r="A2320" s="299">
        <v>42966</v>
      </c>
      <c r="B2320" s="302" t="s">
        <v>26173</v>
      </c>
      <c r="C2320">
        <v>124292</v>
      </c>
      <c r="D2320" s="236" t="s">
        <v>17462</v>
      </c>
      <c r="E2320" s="301">
        <v>9154</v>
      </c>
      <c r="F2320" s="303">
        <v>42966</v>
      </c>
      <c r="G2320" s="301">
        <v>9154</v>
      </c>
      <c r="H2320" s="304">
        <f>Tabla13[[#This Row],[Importe]]-Tabla13[[#This Row],[Pagado]]</f>
        <v>0</v>
      </c>
      <c r="I2320" s="275" t="s">
        <v>15214</v>
      </c>
    </row>
    <row r="2321" spans="1:9" x14ac:dyDescent="0.25">
      <c r="A2321" s="299">
        <v>42966</v>
      </c>
      <c r="B2321" s="302" t="s">
        <v>26174</v>
      </c>
      <c r="C2321">
        <v>124293</v>
      </c>
      <c r="D2321" s="236" t="s">
        <v>15216</v>
      </c>
      <c r="E2321" s="301">
        <v>1330</v>
      </c>
      <c r="F2321" s="303">
        <v>42966</v>
      </c>
      <c r="G2321" s="301">
        <v>1330</v>
      </c>
      <c r="H2321" s="304">
        <f>Tabla13[[#This Row],[Importe]]-Tabla13[[#This Row],[Pagado]]</f>
        <v>0</v>
      </c>
      <c r="I2321" s="275" t="s">
        <v>15214</v>
      </c>
    </row>
    <row r="2322" spans="1:9" ht="45" x14ac:dyDescent="0.25">
      <c r="A2322" s="299">
        <v>42966</v>
      </c>
      <c r="B2322" s="302" t="s">
        <v>26175</v>
      </c>
      <c r="C2322">
        <v>124294</v>
      </c>
      <c r="D2322" s="236" t="s">
        <v>15258</v>
      </c>
      <c r="E2322" s="301">
        <v>27342.6</v>
      </c>
      <c r="F2322" s="303" t="s">
        <v>26176</v>
      </c>
      <c r="G2322" s="305">
        <f>10000+5000+12342.6</f>
        <v>27342.6</v>
      </c>
      <c r="H2322" s="304">
        <f>Tabla13[[#This Row],[Importe]]-Tabla13[[#This Row],[Pagado]]</f>
        <v>0</v>
      </c>
      <c r="I2322" s="275" t="s">
        <v>15214</v>
      </c>
    </row>
    <row r="2323" spans="1:9" x14ac:dyDescent="0.25">
      <c r="A2323" s="299">
        <v>42966</v>
      </c>
      <c r="B2323" s="302" t="s">
        <v>26177</v>
      </c>
      <c r="C2323">
        <v>124295</v>
      </c>
      <c r="D2323" s="236" t="s">
        <v>15328</v>
      </c>
      <c r="E2323" s="301">
        <v>133276.70000000001</v>
      </c>
      <c r="F2323" s="303">
        <v>42969</v>
      </c>
      <c r="G2323" s="301">
        <v>133276.70000000001</v>
      </c>
      <c r="H2323" s="304">
        <f>Tabla13[[#This Row],[Importe]]-Tabla13[[#This Row],[Pagado]]</f>
        <v>0</v>
      </c>
      <c r="I2323" s="275" t="s">
        <v>15214</v>
      </c>
    </row>
    <row r="2324" spans="1:9" ht="30" x14ac:dyDescent="0.25">
      <c r="A2324" s="299">
        <v>42966</v>
      </c>
      <c r="B2324" s="302" t="s">
        <v>26178</v>
      </c>
      <c r="C2324">
        <v>124296</v>
      </c>
      <c r="D2324" s="236" t="s">
        <v>15234</v>
      </c>
      <c r="E2324" s="301">
        <v>10922.4</v>
      </c>
      <c r="F2324" s="303" t="s">
        <v>26179</v>
      </c>
      <c r="G2324" s="305">
        <f>7000+3922.4</f>
        <v>10922.4</v>
      </c>
      <c r="H2324" s="304">
        <f>Tabla13[[#This Row],[Importe]]-Tabla13[[#This Row],[Pagado]]</f>
        <v>0</v>
      </c>
      <c r="I2324" s="275" t="s">
        <v>15214</v>
      </c>
    </row>
    <row r="2325" spans="1:9" x14ac:dyDescent="0.25">
      <c r="A2325" s="299">
        <v>42966</v>
      </c>
      <c r="B2325" s="302" t="s">
        <v>26180</v>
      </c>
      <c r="C2325">
        <v>124297</v>
      </c>
      <c r="D2325" s="236" t="s">
        <v>15238</v>
      </c>
      <c r="E2325" s="301">
        <v>11794.4</v>
      </c>
      <c r="F2325" s="303">
        <v>42969</v>
      </c>
      <c r="G2325" s="301">
        <v>11794.4</v>
      </c>
      <c r="H2325" s="304">
        <f>Tabla13[[#This Row],[Importe]]-Tabla13[[#This Row],[Pagado]]</f>
        <v>0</v>
      </c>
      <c r="I2325" s="275" t="s">
        <v>15214</v>
      </c>
    </row>
    <row r="2326" spans="1:9" x14ac:dyDescent="0.25">
      <c r="A2326" s="299">
        <v>42966</v>
      </c>
      <c r="B2326" s="302" t="s">
        <v>26181</v>
      </c>
      <c r="C2326">
        <v>124298</v>
      </c>
      <c r="D2326" s="236" t="s">
        <v>17235</v>
      </c>
      <c r="E2326" s="301">
        <v>1198.56</v>
      </c>
      <c r="F2326" s="303">
        <v>42966</v>
      </c>
      <c r="G2326" s="301">
        <v>1198.56</v>
      </c>
      <c r="H2326" s="304">
        <f>Tabla13[[#This Row],[Importe]]-Tabla13[[#This Row],[Pagado]]</f>
        <v>0</v>
      </c>
      <c r="I2326" s="275" t="s">
        <v>15214</v>
      </c>
    </row>
    <row r="2327" spans="1:9" ht="30" x14ac:dyDescent="0.25">
      <c r="A2327" s="299">
        <v>42966</v>
      </c>
      <c r="B2327" s="302" t="s">
        <v>26182</v>
      </c>
      <c r="C2327">
        <v>124299</v>
      </c>
      <c r="D2327" s="236" t="s">
        <v>15328</v>
      </c>
      <c r="E2327" s="301">
        <v>21519.9</v>
      </c>
      <c r="F2327" s="303" t="s">
        <v>26183</v>
      </c>
      <c r="G2327" s="305">
        <f>9212.92+12306.98</f>
        <v>21519.9</v>
      </c>
      <c r="H2327" s="304">
        <f>Tabla13[[#This Row],[Importe]]-Tabla13[[#This Row],[Pagado]]</f>
        <v>0</v>
      </c>
      <c r="I2327" s="275" t="s">
        <v>15214</v>
      </c>
    </row>
    <row r="2328" spans="1:9" x14ac:dyDescent="0.25">
      <c r="A2328" s="299">
        <v>42966</v>
      </c>
      <c r="B2328" s="302" t="s">
        <v>26184</v>
      </c>
      <c r="C2328">
        <v>124300</v>
      </c>
      <c r="D2328" s="236" t="s">
        <v>5575</v>
      </c>
      <c r="E2328" s="301">
        <v>7117.6</v>
      </c>
      <c r="F2328" s="303">
        <v>42968</v>
      </c>
      <c r="G2328" s="301">
        <v>7117.6</v>
      </c>
      <c r="H2328" s="304">
        <f>Tabla13[[#This Row],[Importe]]-Tabla13[[#This Row],[Pagado]]</f>
        <v>0</v>
      </c>
      <c r="I2328" s="275" t="s">
        <v>15214</v>
      </c>
    </row>
    <row r="2329" spans="1:9" ht="30" x14ac:dyDescent="0.25">
      <c r="A2329" s="299">
        <v>42966</v>
      </c>
      <c r="B2329" s="302" t="s">
        <v>26185</v>
      </c>
      <c r="C2329">
        <v>124301</v>
      </c>
      <c r="D2329" s="236" t="s">
        <v>15236</v>
      </c>
      <c r="E2329" s="301">
        <v>8212.4</v>
      </c>
      <c r="F2329" s="303" t="s">
        <v>26032</v>
      </c>
      <c r="G2329" s="305">
        <f>5000+3212.4</f>
        <v>8212.4</v>
      </c>
      <c r="H2329" s="304">
        <f>Tabla13[[#This Row],[Importe]]-Tabla13[[#This Row],[Pagado]]</f>
        <v>0</v>
      </c>
      <c r="I2329" s="275" t="s">
        <v>15214</v>
      </c>
    </row>
    <row r="2330" spans="1:9" ht="30" x14ac:dyDescent="0.25">
      <c r="A2330" s="299">
        <v>42966</v>
      </c>
      <c r="B2330" s="302" t="s">
        <v>26186</v>
      </c>
      <c r="C2330">
        <v>124302</v>
      </c>
      <c r="D2330" s="236" t="s">
        <v>15256</v>
      </c>
      <c r="E2330" s="301">
        <v>10221.6</v>
      </c>
      <c r="F2330" s="303" t="s">
        <v>26187</v>
      </c>
      <c r="G2330" s="305">
        <f>6300+3921.6</f>
        <v>10221.6</v>
      </c>
      <c r="H2330" s="304">
        <f>Tabla13[[#This Row],[Importe]]-Tabla13[[#This Row],[Pagado]]</f>
        <v>0</v>
      </c>
      <c r="I2330" s="275" t="s">
        <v>15214</v>
      </c>
    </row>
    <row r="2331" spans="1:9" x14ac:dyDescent="0.25">
      <c r="A2331" s="299">
        <v>42966</v>
      </c>
      <c r="B2331" s="302" t="s">
        <v>26188</v>
      </c>
      <c r="C2331">
        <v>124303</v>
      </c>
      <c r="D2331" s="236" t="s">
        <v>15315</v>
      </c>
      <c r="E2331" s="301">
        <v>11542</v>
      </c>
      <c r="F2331" s="303">
        <v>42970</v>
      </c>
      <c r="G2331" s="301">
        <v>11542</v>
      </c>
      <c r="H2331" s="304">
        <f>Tabla13[[#This Row],[Importe]]-Tabla13[[#This Row],[Pagado]]</f>
        <v>0</v>
      </c>
      <c r="I2331" s="275" t="s">
        <v>15214</v>
      </c>
    </row>
    <row r="2332" spans="1:9" x14ac:dyDescent="0.25">
      <c r="A2332" s="299">
        <v>42966</v>
      </c>
      <c r="B2332" s="302" t="s">
        <v>26189</v>
      </c>
      <c r="C2332">
        <v>124304</v>
      </c>
      <c r="D2332" s="236" t="s">
        <v>16229</v>
      </c>
      <c r="E2332" s="301">
        <v>3122.64</v>
      </c>
      <c r="F2332" s="303">
        <v>42966</v>
      </c>
      <c r="G2332" s="301">
        <v>3122.64</v>
      </c>
      <c r="H2332" s="304">
        <f>Tabla13[[#This Row],[Importe]]-Tabla13[[#This Row],[Pagado]]</f>
        <v>0</v>
      </c>
      <c r="I2332" s="275" t="s">
        <v>15214</v>
      </c>
    </row>
    <row r="2333" spans="1:9" x14ac:dyDescent="0.25">
      <c r="A2333" s="299">
        <v>42966</v>
      </c>
      <c r="B2333" s="302" t="s">
        <v>26190</v>
      </c>
      <c r="C2333">
        <v>124305</v>
      </c>
      <c r="D2333" s="236" t="s">
        <v>15320</v>
      </c>
      <c r="E2333" s="301">
        <v>3234</v>
      </c>
      <c r="F2333" s="303">
        <v>42966</v>
      </c>
      <c r="G2333" s="301">
        <v>3234</v>
      </c>
      <c r="H2333" s="304">
        <f>Tabla13[[#This Row],[Importe]]-Tabla13[[#This Row],[Pagado]]</f>
        <v>0</v>
      </c>
      <c r="I2333" s="275" t="s">
        <v>15214</v>
      </c>
    </row>
    <row r="2334" spans="1:9" x14ac:dyDescent="0.25">
      <c r="A2334" s="299">
        <v>42966</v>
      </c>
      <c r="B2334" s="302" t="s">
        <v>26191</v>
      </c>
      <c r="C2334">
        <v>124306</v>
      </c>
      <c r="D2334" s="236" t="s">
        <v>15415</v>
      </c>
      <c r="E2334" s="301">
        <v>1197.8</v>
      </c>
      <c r="F2334" s="303">
        <v>42969</v>
      </c>
      <c r="G2334" s="301">
        <v>1197.8</v>
      </c>
      <c r="H2334" s="304">
        <f>Tabla13[[#This Row],[Importe]]-Tabla13[[#This Row],[Pagado]]</f>
        <v>0</v>
      </c>
      <c r="I2334" s="275" t="s">
        <v>15214</v>
      </c>
    </row>
    <row r="2335" spans="1:9" x14ac:dyDescent="0.25">
      <c r="A2335" s="299">
        <v>42966</v>
      </c>
      <c r="B2335" s="302" t="s">
        <v>26192</v>
      </c>
      <c r="C2335">
        <v>124307</v>
      </c>
      <c r="D2335" s="236" t="s">
        <v>15250</v>
      </c>
      <c r="E2335" s="301">
        <v>30723.1</v>
      </c>
      <c r="F2335" s="303">
        <v>42978</v>
      </c>
      <c r="G2335" s="301">
        <v>30723.1</v>
      </c>
      <c r="H2335" s="304">
        <f>Tabla13[[#This Row],[Importe]]-Tabla13[[#This Row],[Pagado]]</f>
        <v>0</v>
      </c>
      <c r="I2335" s="275" t="s">
        <v>15214</v>
      </c>
    </row>
    <row r="2336" spans="1:9" x14ac:dyDescent="0.25">
      <c r="A2336" s="299">
        <v>42966</v>
      </c>
      <c r="B2336" s="302" t="s">
        <v>26193</v>
      </c>
      <c r="C2336">
        <v>124308</v>
      </c>
      <c r="D2336" s="236" t="s">
        <v>15291</v>
      </c>
      <c r="E2336" s="301">
        <v>639</v>
      </c>
      <c r="F2336" s="303">
        <v>42966</v>
      </c>
      <c r="G2336" s="301">
        <v>639</v>
      </c>
      <c r="H2336" s="304">
        <f>Tabla13[[#This Row],[Importe]]-Tabla13[[#This Row],[Pagado]]</f>
        <v>0</v>
      </c>
      <c r="I2336" s="275" t="s">
        <v>15214</v>
      </c>
    </row>
    <row r="2337" spans="1:9" x14ac:dyDescent="0.25">
      <c r="A2337" s="299">
        <v>42966</v>
      </c>
      <c r="B2337" s="302" t="s">
        <v>26194</v>
      </c>
      <c r="C2337">
        <v>124309</v>
      </c>
      <c r="D2337" s="236" t="s">
        <v>15303</v>
      </c>
      <c r="E2337" s="301">
        <v>3999</v>
      </c>
      <c r="F2337" s="303">
        <v>42966</v>
      </c>
      <c r="G2337" s="301">
        <v>3999</v>
      </c>
      <c r="H2337" s="304">
        <f>Tabla13[[#This Row],[Importe]]-Tabla13[[#This Row],[Pagado]]</f>
        <v>0</v>
      </c>
      <c r="I2337" s="275" t="s">
        <v>15214</v>
      </c>
    </row>
    <row r="2338" spans="1:9" x14ac:dyDescent="0.25">
      <c r="A2338" s="299">
        <v>42966</v>
      </c>
      <c r="B2338" s="302" t="s">
        <v>26195</v>
      </c>
      <c r="C2338">
        <v>124310</v>
      </c>
      <c r="D2338" s="236" t="s">
        <v>15274</v>
      </c>
      <c r="E2338" s="301">
        <v>2780</v>
      </c>
      <c r="F2338" s="303">
        <v>42966</v>
      </c>
      <c r="G2338" s="301">
        <v>2780</v>
      </c>
      <c r="H2338" s="304">
        <f>Tabla13[[#This Row],[Importe]]-Tabla13[[#This Row],[Pagado]]</f>
        <v>0</v>
      </c>
      <c r="I2338" s="275" t="s">
        <v>15214</v>
      </c>
    </row>
    <row r="2339" spans="1:9" ht="30" x14ac:dyDescent="0.25">
      <c r="A2339" s="299">
        <v>42966</v>
      </c>
      <c r="B2339" s="302" t="s">
        <v>26196</v>
      </c>
      <c r="C2339">
        <v>124311</v>
      </c>
      <c r="D2339" s="236" t="s">
        <v>15223</v>
      </c>
      <c r="E2339" s="301">
        <v>48682.02</v>
      </c>
      <c r="F2339" s="266" t="s">
        <v>27696</v>
      </c>
      <c r="G2339" s="133">
        <f>16243.2+32438.82</f>
        <v>48682.020000000004</v>
      </c>
      <c r="H2339" s="360">
        <f>Tabla13[[#This Row],[Importe]]-Tabla13[[#This Row],[Pagado]]</f>
        <v>0</v>
      </c>
      <c r="I2339" s="275" t="s">
        <v>15214</v>
      </c>
    </row>
    <row r="2340" spans="1:9" x14ac:dyDescent="0.25">
      <c r="A2340" s="299">
        <v>42966</v>
      </c>
      <c r="B2340" s="302" t="s">
        <v>26197</v>
      </c>
      <c r="C2340">
        <v>124312</v>
      </c>
      <c r="D2340" s="236" t="s">
        <v>15596</v>
      </c>
      <c r="E2340" s="301">
        <v>1380</v>
      </c>
      <c r="F2340" s="303">
        <v>42966</v>
      </c>
      <c r="G2340" s="301">
        <v>1380</v>
      </c>
      <c r="H2340" s="304">
        <f>Tabla13[[#This Row],[Importe]]-Tabla13[[#This Row],[Pagado]]</f>
        <v>0</v>
      </c>
      <c r="I2340" s="275" t="s">
        <v>15214</v>
      </c>
    </row>
    <row r="2341" spans="1:9" x14ac:dyDescent="0.25">
      <c r="A2341" s="299">
        <v>42966</v>
      </c>
      <c r="B2341" s="302" t="s">
        <v>26198</v>
      </c>
      <c r="C2341">
        <v>124313</v>
      </c>
      <c r="D2341" s="236" t="s">
        <v>17950</v>
      </c>
      <c r="E2341" s="301">
        <v>9630.6</v>
      </c>
      <c r="F2341" s="303">
        <v>42966</v>
      </c>
      <c r="G2341" s="301">
        <v>9630.6</v>
      </c>
      <c r="H2341" s="304">
        <f>Tabla13[[#This Row],[Importe]]-Tabla13[[#This Row],[Pagado]]</f>
        <v>0</v>
      </c>
      <c r="I2341" s="275" t="s">
        <v>15214</v>
      </c>
    </row>
    <row r="2342" spans="1:9" x14ac:dyDescent="0.25">
      <c r="A2342" s="299">
        <v>42966</v>
      </c>
      <c r="B2342" s="302" t="s">
        <v>26199</v>
      </c>
      <c r="C2342">
        <v>124314</v>
      </c>
      <c r="D2342" s="236" t="s">
        <v>16261</v>
      </c>
      <c r="E2342" s="301">
        <v>8022</v>
      </c>
      <c r="F2342" s="303">
        <v>42966</v>
      </c>
      <c r="G2342" s="301">
        <v>8022</v>
      </c>
      <c r="H2342" s="304">
        <f>Tabla13[[#This Row],[Importe]]-Tabla13[[#This Row],[Pagado]]</f>
        <v>0</v>
      </c>
      <c r="I2342" s="275" t="s">
        <v>15214</v>
      </c>
    </row>
    <row r="2343" spans="1:9" x14ac:dyDescent="0.25">
      <c r="A2343" s="299">
        <v>42966</v>
      </c>
      <c r="B2343" s="302" t="s">
        <v>26200</v>
      </c>
      <c r="C2343">
        <v>124315</v>
      </c>
      <c r="D2343" s="236" t="s">
        <v>15261</v>
      </c>
      <c r="E2343" s="301">
        <v>10631.92</v>
      </c>
      <c r="F2343" s="303">
        <v>42966</v>
      </c>
      <c r="G2343" s="301">
        <v>10631.92</v>
      </c>
      <c r="H2343" s="304">
        <f>Tabla13[[#This Row],[Importe]]-Tabla13[[#This Row],[Pagado]]</f>
        <v>0</v>
      </c>
      <c r="I2343" s="275" t="s">
        <v>15214</v>
      </c>
    </row>
    <row r="2344" spans="1:9" ht="15.75" x14ac:dyDescent="0.25">
      <c r="A2344" s="299">
        <v>42966</v>
      </c>
      <c r="B2344" s="302" t="s">
        <v>26201</v>
      </c>
      <c r="C2344">
        <v>124316</v>
      </c>
      <c r="D2344" s="248" t="s">
        <v>95</v>
      </c>
      <c r="E2344" s="301">
        <v>0</v>
      </c>
      <c r="F2344" s="243" t="s">
        <v>95</v>
      </c>
      <c r="G2344" s="301">
        <v>0</v>
      </c>
      <c r="H2344" s="304">
        <f>Tabla13[[#This Row],[Importe]]-Tabla13[[#This Row],[Pagado]]</f>
        <v>0</v>
      </c>
      <c r="I2344" s="275" t="s">
        <v>95</v>
      </c>
    </row>
    <row r="2345" spans="1:9" x14ac:dyDescent="0.25">
      <c r="A2345" s="299">
        <v>42966</v>
      </c>
      <c r="B2345" s="302" t="s">
        <v>26202</v>
      </c>
      <c r="C2345">
        <v>124317</v>
      </c>
      <c r="D2345" s="236" t="s">
        <v>15510</v>
      </c>
      <c r="E2345" s="301">
        <v>2624</v>
      </c>
      <c r="F2345" s="303">
        <v>42966</v>
      </c>
      <c r="G2345" s="301">
        <v>2624</v>
      </c>
      <c r="H2345" s="304">
        <f>Tabla13[[#This Row],[Importe]]-Tabla13[[#This Row],[Pagado]]</f>
        <v>0</v>
      </c>
      <c r="I2345" s="275" t="s">
        <v>15214</v>
      </c>
    </row>
    <row r="2346" spans="1:9" x14ac:dyDescent="0.25">
      <c r="A2346" s="299">
        <v>42966</v>
      </c>
      <c r="B2346" s="302" t="s">
        <v>26203</v>
      </c>
      <c r="C2346">
        <v>124318</v>
      </c>
      <c r="D2346" s="236" t="s">
        <v>15668</v>
      </c>
      <c r="E2346" s="301">
        <v>12425.8</v>
      </c>
      <c r="F2346" s="303">
        <v>42968</v>
      </c>
      <c r="G2346" s="301">
        <v>12425.8</v>
      </c>
      <c r="H2346" s="304">
        <f>Tabla13[[#This Row],[Importe]]-Tabla13[[#This Row],[Pagado]]</f>
        <v>0</v>
      </c>
      <c r="I2346" s="275" t="s">
        <v>15214</v>
      </c>
    </row>
    <row r="2347" spans="1:9" x14ac:dyDescent="0.25">
      <c r="A2347" s="299">
        <v>42966</v>
      </c>
      <c r="B2347" s="302" t="s">
        <v>26204</v>
      </c>
      <c r="C2347">
        <v>124319</v>
      </c>
      <c r="D2347" s="236" t="s">
        <v>15248</v>
      </c>
      <c r="E2347" s="301">
        <v>21479.62</v>
      </c>
      <c r="F2347" s="303">
        <v>42966</v>
      </c>
      <c r="G2347" s="301">
        <v>21479.62</v>
      </c>
      <c r="H2347" s="304">
        <f>Tabla13[[#This Row],[Importe]]-Tabla13[[#This Row],[Pagado]]</f>
        <v>0</v>
      </c>
      <c r="I2347" s="275" t="s">
        <v>15214</v>
      </c>
    </row>
    <row r="2348" spans="1:9" x14ac:dyDescent="0.25">
      <c r="A2348" s="299">
        <v>42966</v>
      </c>
      <c r="B2348" s="302" t="s">
        <v>26205</v>
      </c>
      <c r="C2348">
        <v>124320</v>
      </c>
      <c r="D2348" s="236" t="s">
        <v>15438</v>
      </c>
      <c r="E2348" s="301">
        <v>2375</v>
      </c>
      <c r="F2348" s="303">
        <v>42966</v>
      </c>
      <c r="G2348" s="301">
        <v>2375</v>
      </c>
      <c r="H2348" s="304">
        <f>Tabla13[[#This Row],[Importe]]-Tabla13[[#This Row],[Pagado]]</f>
        <v>0</v>
      </c>
      <c r="I2348" s="275" t="s">
        <v>15214</v>
      </c>
    </row>
    <row r="2349" spans="1:9" x14ac:dyDescent="0.25">
      <c r="A2349" s="299">
        <v>42966</v>
      </c>
      <c r="B2349" s="302" t="s">
        <v>26206</v>
      </c>
      <c r="C2349">
        <v>124321</v>
      </c>
      <c r="D2349" s="236" t="s">
        <v>15438</v>
      </c>
      <c r="E2349" s="301">
        <v>380.8</v>
      </c>
      <c r="F2349" s="303">
        <v>42966</v>
      </c>
      <c r="G2349" s="301">
        <v>380.8</v>
      </c>
      <c r="H2349" s="304">
        <f>Tabla13[[#This Row],[Importe]]-Tabla13[[#This Row],[Pagado]]</f>
        <v>0</v>
      </c>
      <c r="I2349" s="275" t="s">
        <v>15214</v>
      </c>
    </row>
    <row r="2350" spans="1:9" x14ac:dyDescent="0.25">
      <c r="A2350" s="299">
        <v>42966</v>
      </c>
      <c r="B2350" s="302" t="s">
        <v>26207</v>
      </c>
      <c r="C2350">
        <v>124322</v>
      </c>
      <c r="D2350" s="236" t="s">
        <v>15539</v>
      </c>
      <c r="E2350" s="301">
        <v>17191.3</v>
      </c>
      <c r="F2350" s="303">
        <v>42973</v>
      </c>
      <c r="G2350" s="301">
        <v>17191.3</v>
      </c>
      <c r="H2350" s="304">
        <f>Tabla13[[#This Row],[Importe]]-Tabla13[[#This Row],[Pagado]]</f>
        <v>0</v>
      </c>
      <c r="I2350" s="275" t="s">
        <v>15214</v>
      </c>
    </row>
    <row r="2351" spans="1:9" x14ac:dyDescent="0.25">
      <c r="A2351" s="299">
        <v>42966</v>
      </c>
      <c r="B2351" s="302" t="s">
        <v>26208</v>
      </c>
      <c r="C2351">
        <v>124323</v>
      </c>
      <c r="D2351" s="236" t="s">
        <v>15748</v>
      </c>
      <c r="E2351" s="301">
        <v>8702.2800000000007</v>
      </c>
      <c r="F2351" s="303">
        <v>42971</v>
      </c>
      <c r="G2351" s="301">
        <v>8702.2800000000007</v>
      </c>
      <c r="H2351" s="304">
        <f>Tabla13[[#This Row],[Importe]]-Tabla13[[#This Row],[Pagado]]</f>
        <v>0</v>
      </c>
      <c r="I2351" s="275" t="s">
        <v>15214</v>
      </c>
    </row>
    <row r="2352" spans="1:9" x14ac:dyDescent="0.25">
      <c r="A2352" s="299">
        <v>42966</v>
      </c>
      <c r="B2352" s="302" t="s">
        <v>26209</v>
      </c>
      <c r="C2352">
        <v>124324</v>
      </c>
      <c r="D2352" s="236" t="s">
        <v>15315</v>
      </c>
      <c r="E2352" s="301">
        <v>3670.8</v>
      </c>
      <c r="F2352" s="266">
        <v>42979</v>
      </c>
      <c r="G2352" s="35">
        <v>3670.8</v>
      </c>
      <c r="H2352" s="304">
        <f>Tabla13[[#This Row],[Importe]]-Tabla13[[#This Row],[Pagado]]</f>
        <v>0</v>
      </c>
      <c r="I2352" s="275" t="s">
        <v>15214</v>
      </c>
    </row>
    <row r="2353" spans="1:9" x14ac:dyDescent="0.25">
      <c r="A2353" s="299">
        <v>42966</v>
      </c>
      <c r="B2353" s="302" t="s">
        <v>26210</v>
      </c>
      <c r="C2353">
        <v>124325</v>
      </c>
      <c r="D2353" s="236" t="s">
        <v>15537</v>
      </c>
      <c r="E2353" s="301">
        <v>20293.900000000001</v>
      </c>
      <c r="F2353" s="303">
        <v>42973</v>
      </c>
      <c r="G2353" s="301">
        <v>20293.900000000001</v>
      </c>
      <c r="H2353" s="304">
        <f>Tabla13[[#This Row],[Importe]]-Tabla13[[#This Row],[Pagado]]</f>
        <v>0</v>
      </c>
      <c r="I2353" s="275" t="s">
        <v>15214</v>
      </c>
    </row>
    <row r="2354" spans="1:9" x14ac:dyDescent="0.25">
      <c r="A2354" s="299">
        <v>42966</v>
      </c>
      <c r="B2354" s="302" t="s">
        <v>26211</v>
      </c>
      <c r="C2354">
        <v>124326</v>
      </c>
      <c r="D2354" s="236" t="s">
        <v>19775</v>
      </c>
      <c r="E2354" s="301">
        <v>8102.6</v>
      </c>
      <c r="F2354" s="303">
        <v>42966</v>
      </c>
      <c r="G2354" s="301">
        <v>8102.6</v>
      </c>
      <c r="H2354" s="304">
        <f>Tabla13[[#This Row],[Importe]]-Tabla13[[#This Row],[Pagado]]</f>
        <v>0</v>
      </c>
      <c r="I2354" s="275" t="s">
        <v>15214</v>
      </c>
    </row>
    <row r="2355" spans="1:9" x14ac:dyDescent="0.25">
      <c r="A2355" s="299">
        <v>42966</v>
      </c>
      <c r="B2355" s="302" t="s">
        <v>26212</v>
      </c>
      <c r="C2355">
        <v>124327</v>
      </c>
      <c r="D2355" s="236" t="s">
        <v>15555</v>
      </c>
      <c r="E2355" s="301">
        <v>4737.6000000000004</v>
      </c>
      <c r="F2355" s="303">
        <v>42977</v>
      </c>
      <c r="G2355" s="301">
        <v>4737.6000000000004</v>
      </c>
      <c r="H2355" s="304">
        <f>Tabla13[[#This Row],[Importe]]-Tabla13[[#This Row],[Pagado]]</f>
        <v>0</v>
      </c>
      <c r="I2355" s="275" t="s">
        <v>15214</v>
      </c>
    </row>
    <row r="2356" spans="1:9" ht="15.75" x14ac:dyDescent="0.25">
      <c r="A2356" s="299">
        <v>42966</v>
      </c>
      <c r="B2356" s="302" t="s">
        <v>26213</v>
      </c>
      <c r="C2356">
        <v>124328</v>
      </c>
      <c r="D2356" s="236" t="s">
        <v>15699</v>
      </c>
      <c r="E2356" s="301">
        <v>11823.9</v>
      </c>
      <c r="F2356" s="317">
        <v>43124</v>
      </c>
      <c r="G2356" s="310">
        <v>11823.9</v>
      </c>
      <c r="H2356" s="304">
        <f>Tabla13[[#This Row],[Importe]]-Tabla13[[#This Row],[Pagado]]</f>
        <v>0</v>
      </c>
      <c r="I2356" s="275" t="s">
        <v>15214</v>
      </c>
    </row>
    <row r="2357" spans="1:9" ht="15.75" x14ac:dyDescent="0.25">
      <c r="A2357" s="299">
        <v>42966</v>
      </c>
      <c r="B2357" s="302" t="s">
        <v>26214</v>
      </c>
      <c r="C2357">
        <v>124329</v>
      </c>
      <c r="D2357" s="248" t="s">
        <v>95</v>
      </c>
      <c r="E2357" s="301">
        <v>0</v>
      </c>
      <c r="F2357" s="254" t="s">
        <v>95</v>
      </c>
      <c r="G2357" s="301">
        <v>0</v>
      </c>
      <c r="H2357" s="304">
        <f>Tabla13[[#This Row],[Importe]]-Tabla13[[#This Row],[Pagado]]</f>
        <v>0</v>
      </c>
      <c r="I2357" s="275" t="s">
        <v>95</v>
      </c>
    </row>
    <row r="2358" spans="1:9" x14ac:dyDescent="0.25">
      <c r="A2358" s="299">
        <v>42966</v>
      </c>
      <c r="B2358" s="302" t="s">
        <v>26215</v>
      </c>
      <c r="C2358">
        <v>124330</v>
      </c>
      <c r="D2358" s="236" t="s">
        <v>15559</v>
      </c>
      <c r="E2358" s="301">
        <v>14595.6</v>
      </c>
      <c r="F2358" s="303">
        <v>42970</v>
      </c>
      <c r="G2358" s="301">
        <v>14595.6</v>
      </c>
      <c r="H2358" s="304">
        <f>Tabla13[[#This Row],[Importe]]-Tabla13[[#This Row],[Pagado]]</f>
        <v>0</v>
      </c>
      <c r="I2358" s="275" t="s">
        <v>15214</v>
      </c>
    </row>
    <row r="2359" spans="1:9" x14ac:dyDescent="0.25">
      <c r="A2359" s="299">
        <v>42966</v>
      </c>
      <c r="B2359" s="302" t="s">
        <v>26216</v>
      </c>
      <c r="C2359">
        <v>124331</v>
      </c>
      <c r="D2359" s="236" t="s">
        <v>15263</v>
      </c>
      <c r="E2359" s="301">
        <v>2735.2</v>
      </c>
      <c r="F2359" s="303">
        <v>42966</v>
      </c>
      <c r="G2359" s="301">
        <v>2735.2</v>
      </c>
      <c r="H2359" s="304">
        <f>Tabla13[[#This Row],[Importe]]-Tabla13[[#This Row],[Pagado]]</f>
        <v>0</v>
      </c>
      <c r="I2359" s="275" t="s">
        <v>15214</v>
      </c>
    </row>
    <row r="2360" spans="1:9" x14ac:dyDescent="0.25">
      <c r="A2360" s="299">
        <v>42966</v>
      </c>
      <c r="B2360" s="302" t="s">
        <v>26217</v>
      </c>
      <c r="C2360">
        <v>124332</v>
      </c>
      <c r="D2360" s="236" t="s">
        <v>5583</v>
      </c>
      <c r="E2360" s="301">
        <v>2436.6</v>
      </c>
      <c r="F2360" s="303">
        <v>42966</v>
      </c>
      <c r="G2360" s="301">
        <v>2436.6</v>
      </c>
      <c r="H2360" s="304">
        <f>Tabla13[[#This Row],[Importe]]-Tabla13[[#This Row],[Pagado]]</f>
        <v>0</v>
      </c>
      <c r="I2360" s="275" t="s">
        <v>15214</v>
      </c>
    </row>
    <row r="2361" spans="1:9" x14ac:dyDescent="0.25">
      <c r="A2361" s="299">
        <v>42966</v>
      </c>
      <c r="B2361" s="302" t="s">
        <v>26218</v>
      </c>
      <c r="C2361">
        <v>124333</v>
      </c>
      <c r="D2361" s="236" t="s">
        <v>15252</v>
      </c>
      <c r="E2361" s="301">
        <v>6897.8</v>
      </c>
      <c r="F2361" s="303">
        <v>42968</v>
      </c>
      <c r="G2361" s="301">
        <v>6897.8</v>
      </c>
      <c r="H2361" s="304">
        <f>Tabla13[[#This Row],[Importe]]-Tabla13[[#This Row],[Pagado]]</f>
        <v>0</v>
      </c>
      <c r="I2361" s="275" t="s">
        <v>15214</v>
      </c>
    </row>
    <row r="2362" spans="1:9" x14ac:dyDescent="0.25">
      <c r="A2362" s="299">
        <v>42966</v>
      </c>
      <c r="B2362" s="302" t="s">
        <v>26219</v>
      </c>
      <c r="C2362">
        <v>124334</v>
      </c>
      <c r="D2362" s="236" t="s">
        <v>15868</v>
      </c>
      <c r="E2362" s="301">
        <v>10051.200000000001</v>
      </c>
      <c r="F2362" s="303">
        <v>42966</v>
      </c>
      <c r="G2362" s="301">
        <v>10051.200000000001</v>
      </c>
      <c r="H2362" s="304">
        <f>Tabla13[[#This Row],[Importe]]-Tabla13[[#This Row],[Pagado]]</f>
        <v>0</v>
      </c>
      <c r="I2362" s="275" t="s">
        <v>15214</v>
      </c>
    </row>
    <row r="2363" spans="1:9" x14ac:dyDescent="0.25">
      <c r="A2363" s="299">
        <v>42966</v>
      </c>
      <c r="B2363" s="302" t="s">
        <v>26220</v>
      </c>
      <c r="C2363">
        <v>124335</v>
      </c>
      <c r="D2363" s="236" t="s">
        <v>15244</v>
      </c>
      <c r="E2363" s="301">
        <v>16825.7</v>
      </c>
      <c r="F2363" s="303">
        <v>42974</v>
      </c>
      <c r="G2363" s="301">
        <v>16825.7</v>
      </c>
      <c r="H2363" s="304">
        <f>Tabla13[[#This Row],[Importe]]-Tabla13[[#This Row],[Pagado]]</f>
        <v>0</v>
      </c>
      <c r="I2363" s="275" t="s">
        <v>15214</v>
      </c>
    </row>
    <row r="2364" spans="1:9" x14ac:dyDescent="0.25">
      <c r="A2364" s="299">
        <v>42966</v>
      </c>
      <c r="B2364" s="302" t="s">
        <v>26221</v>
      </c>
      <c r="C2364">
        <v>124336</v>
      </c>
      <c r="D2364" s="236" t="s">
        <v>23937</v>
      </c>
      <c r="E2364" s="301">
        <v>4035</v>
      </c>
      <c r="F2364" s="303">
        <v>42966</v>
      </c>
      <c r="G2364" s="301">
        <v>4035</v>
      </c>
      <c r="H2364" s="304">
        <f>Tabla13[[#This Row],[Importe]]-Tabla13[[#This Row],[Pagado]]</f>
        <v>0</v>
      </c>
      <c r="I2364" s="275" t="s">
        <v>15214</v>
      </c>
    </row>
    <row r="2365" spans="1:9" x14ac:dyDescent="0.25">
      <c r="A2365" s="299">
        <v>42966</v>
      </c>
      <c r="B2365" s="302" t="s">
        <v>26222</v>
      </c>
      <c r="C2365">
        <v>124337</v>
      </c>
      <c r="D2365" s="236" t="s">
        <v>15523</v>
      </c>
      <c r="E2365" s="301">
        <v>4600</v>
      </c>
      <c r="F2365" s="303">
        <v>42968</v>
      </c>
      <c r="G2365" s="301">
        <v>4600</v>
      </c>
      <c r="H2365" s="304">
        <f>Tabla13[[#This Row],[Importe]]-Tabla13[[#This Row],[Pagado]]</f>
        <v>0</v>
      </c>
      <c r="I2365" s="275" t="s">
        <v>15214</v>
      </c>
    </row>
    <row r="2366" spans="1:9" x14ac:dyDescent="0.25">
      <c r="A2366" s="299">
        <v>42966</v>
      </c>
      <c r="B2366" s="302" t="s">
        <v>26223</v>
      </c>
      <c r="C2366">
        <v>124338</v>
      </c>
      <c r="D2366" s="236" t="s">
        <v>15549</v>
      </c>
      <c r="E2366" s="301">
        <v>392</v>
      </c>
      <c r="F2366" s="303">
        <v>42966</v>
      </c>
      <c r="G2366" s="301">
        <v>392</v>
      </c>
      <c r="H2366" s="304">
        <f>Tabla13[[#This Row],[Importe]]-Tabla13[[#This Row],[Pagado]]</f>
        <v>0</v>
      </c>
      <c r="I2366" s="275" t="s">
        <v>15214</v>
      </c>
    </row>
    <row r="2367" spans="1:9" x14ac:dyDescent="0.25">
      <c r="A2367" s="299">
        <v>42966</v>
      </c>
      <c r="B2367" s="302" t="s">
        <v>26224</v>
      </c>
      <c r="C2367">
        <v>124339</v>
      </c>
      <c r="D2367" s="236" t="s">
        <v>15858</v>
      </c>
      <c r="E2367" s="301">
        <v>2342.64</v>
      </c>
      <c r="F2367" s="303">
        <v>42968</v>
      </c>
      <c r="G2367" s="301">
        <v>2342.64</v>
      </c>
      <c r="H2367" s="304">
        <f>Tabla13[[#This Row],[Importe]]-Tabla13[[#This Row],[Pagado]]</f>
        <v>0</v>
      </c>
      <c r="I2367" s="275" t="s">
        <v>15214</v>
      </c>
    </row>
    <row r="2368" spans="1:9" x14ac:dyDescent="0.25">
      <c r="A2368" s="299">
        <v>42966</v>
      </c>
      <c r="B2368" s="302" t="s">
        <v>26225</v>
      </c>
      <c r="C2368">
        <v>124340</v>
      </c>
      <c r="D2368" s="236" t="s">
        <v>15391</v>
      </c>
      <c r="E2368" s="301">
        <v>10948</v>
      </c>
      <c r="F2368" s="303">
        <v>42967</v>
      </c>
      <c r="G2368" s="301">
        <v>10948</v>
      </c>
      <c r="H2368" s="304">
        <f>Tabla13[[#This Row],[Importe]]-Tabla13[[#This Row],[Pagado]]</f>
        <v>0</v>
      </c>
      <c r="I2368" s="275" t="s">
        <v>15214</v>
      </c>
    </row>
    <row r="2369" spans="1:9" x14ac:dyDescent="0.25">
      <c r="A2369" s="299">
        <v>42966</v>
      </c>
      <c r="B2369" s="302" t="s">
        <v>26226</v>
      </c>
      <c r="C2369">
        <v>124341</v>
      </c>
      <c r="D2369" s="236" t="s">
        <v>15334</v>
      </c>
      <c r="E2369" s="301">
        <v>1290</v>
      </c>
      <c r="F2369" s="303">
        <v>42968</v>
      </c>
      <c r="G2369" s="301">
        <v>1290</v>
      </c>
      <c r="H2369" s="304">
        <f>Tabla13[[#This Row],[Importe]]-Tabla13[[#This Row],[Pagado]]</f>
        <v>0</v>
      </c>
      <c r="I2369" s="275" t="s">
        <v>15214</v>
      </c>
    </row>
    <row r="2370" spans="1:9" ht="30" x14ac:dyDescent="0.25">
      <c r="A2370" s="299">
        <v>42966</v>
      </c>
      <c r="B2370" s="302" t="s">
        <v>26227</v>
      </c>
      <c r="C2370">
        <v>124342</v>
      </c>
      <c r="D2370" s="236" t="s">
        <v>15371</v>
      </c>
      <c r="E2370" s="301">
        <v>4867.1000000000004</v>
      </c>
      <c r="F2370" s="303" t="s">
        <v>26228</v>
      </c>
      <c r="G2370" s="305">
        <f>3800+1067.1</f>
        <v>4867.1000000000004</v>
      </c>
      <c r="H2370" s="304">
        <f>Tabla13[[#This Row],[Importe]]-Tabla13[[#This Row],[Pagado]]</f>
        <v>0</v>
      </c>
      <c r="I2370" s="275" t="s">
        <v>15214</v>
      </c>
    </row>
    <row r="2371" spans="1:9" x14ac:dyDescent="0.25">
      <c r="A2371" s="299">
        <v>42966</v>
      </c>
      <c r="B2371" s="302" t="s">
        <v>26229</v>
      </c>
      <c r="C2371">
        <v>124343</v>
      </c>
      <c r="D2371" s="236" t="s">
        <v>21445</v>
      </c>
      <c r="E2371" s="301">
        <v>2097.6</v>
      </c>
      <c r="F2371" s="303">
        <v>42966</v>
      </c>
      <c r="G2371" s="301">
        <v>2097.6</v>
      </c>
      <c r="H2371" s="304">
        <f>Tabla13[[#This Row],[Importe]]-Tabla13[[#This Row],[Pagado]]</f>
        <v>0</v>
      </c>
      <c r="I2371" s="275" t="s">
        <v>15214</v>
      </c>
    </row>
    <row r="2372" spans="1:9" x14ac:dyDescent="0.25">
      <c r="A2372" s="299">
        <v>42966</v>
      </c>
      <c r="B2372" s="302" t="s">
        <v>26230</v>
      </c>
      <c r="C2372">
        <v>124344</v>
      </c>
      <c r="D2372" s="236" t="s">
        <v>15530</v>
      </c>
      <c r="E2372" s="301">
        <v>4071.6</v>
      </c>
      <c r="F2372" s="303">
        <v>42966</v>
      </c>
      <c r="G2372" s="301">
        <v>4071.6</v>
      </c>
      <c r="H2372" s="304">
        <f>Tabla13[[#This Row],[Importe]]-Tabla13[[#This Row],[Pagado]]</f>
        <v>0</v>
      </c>
      <c r="I2372" s="275" t="s">
        <v>15214</v>
      </c>
    </row>
    <row r="2373" spans="1:9" x14ac:dyDescent="0.25">
      <c r="A2373" s="299">
        <v>42966</v>
      </c>
      <c r="B2373" s="302" t="s">
        <v>26231</v>
      </c>
      <c r="C2373">
        <v>124345</v>
      </c>
      <c r="D2373" s="236" t="s">
        <v>16093</v>
      </c>
      <c r="E2373" s="301">
        <v>2371.6</v>
      </c>
      <c r="F2373" s="303">
        <v>42966</v>
      </c>
      <c r="G2373" s="301">
        <v>2371.6</v>
      </c>
      <c r="H2373" s="304">
        <f>Tabla13[[#This Row],[Importe]]-Tabla13[[#This Row],[Pagado]]</f>
        <v>0</v>
      </c>
      <c r="I2373" s="275" t="s">
        <v>15214</v>
      </c>
    </row>
    <row r="2374" spans="1:9" x14ac:dyDescent="0.25">
      <c r="A2374" s="299">
        <v>42966</v>
      </c>
      <c r="B2374" s="302" t="s">
        <v>26232</v>
      </c>
      <c r="C2374">
        <v>124346</v>
      </c>
      <c r="D2374" s="236" t="s">
        <v>15725</v>
      </c>
      <c r="E2374" s="301">
        <v>27262</v>
      </c>
      <c r="F2374" s="303">
        <v>42968</v>
      </c>
      <c r="G2374" s="301">
        <v>27262</v>
      </c>
      <c r="H2374" s="304">
        <f>Tabla13[[#This Row],[Importe]]-Tabla13[[#This Row],[Pagado]]</f>
        <v>0</v>
      </c>
      <c r="I2374" s="275" t="s">
        <v>15214</v>
      </c>
    </row>
    <row r="2375" spans="1:9" x14ac:dyDescent="0.25">
      <c r="A2375" s="299">
        <v>42966</v>
      </c>
      <c r="B2375" s="302" t="s">
        <v>26233</v>
      </c>
      <c r="C2375">
        <v>124347</v>
      </c>
      <c r="D2375" s="236" t="s">
        <v>15363</v>
      </c>
      <c r="E2375" s="301">
        <v>785.4</v>
      </c>
      <c r="F2375" s="303">
        <v>42966</v>
      </c>
      <c r="G2375" s="301">
        <v>785.4</v>
      </c>
      <c r="H2375" s="304">
        <f>Tabla13[[#This Row],[Importe]]-Tabla13[[#This Row],[Pagado]]</f>
        <v>0</v>
      </c>
      <c r="I2375" s="275" t="s">
        <v>15214</v>
      </c>
    </row>
    <row r="2376" spans="1:9" x14ac:dyDescent="0.25">
      <c r="A2376" s="299">
        <v>42966</v>
      </c>
      <c r="B2376" s="302" t="s">
        <v>26234</v>
      </c>
      <c r="C2376">
        <v>124348</v>
      </c>
      <c r="D2376" s="236" t="s">
        <v>15581</v>
      </c>
      <c r="E2376" s="301">
        <v>1414.4</v>
      </c>
      <c r="F2376" s="303">
        <v>42969</v>
      </c>
      <c r="G2376" s="301">
        <v>1414.4</v>
      </c>
      <c r="H2376" s="304">
        <f>Tabla13[[#This Row],[Importe]]-Tabla13[[#This Row],[Pagado]]</f>
        <v>0</v>
      </c>
      <c r="I2376" s="275" t="s">
        <v>15214</v>
      </c>
    </row>
    <row r="2377" spans="1:9" ht="15.75" x14ac:dyDescent="0.25">
      <c r="A2377" s="299">
        <v>42966</v>
      </c>
      <c r="B2377" s="302" t="s">
        <v>26235</v>
      </c>
      <c r="C2377">
        <v>124349</v>
      </c>
      <c r="D2377" s="248" t="s">
        <v>95</v>
      </c>
      <c r="E2377" s="301">
        <v>0</v>
      </c>
      <c r="F2377" s="243" t="s">
        <v>95</v>
      </c>
      <c r="G2377" s="301">
        <v>0</v>
      </c>
      <c r="H2377" s="304">
        <f>Tabla13[[#This Row],[Importe]]-Tabla13[[#This Row],[Pagado]]</f>
        <v>0</v>
      </c>
      <c r="I2377" s="275" t="s">
        <v>95</v>
      </c>
    </row>
    <row r="2378" spans="1:9" x14ac:dyDescent="0.25">
      <c r="A2378" s="299">
        <v>42966</v>
      </c>
      <c r="B2378" s="302" t="s">
        <v>26236</v>
      </c>
      <c r="C2378">
        <v>124350</v>
      </c>
      <c r="D2378" s="236" t="s">
        <v>15378</v>
      </c>
      <c r="E2378" s="301">
        <v>3340.1</v>
      </c>
      <c r="F2378" s="303">
        <v>42966</v>
      </c>
      <c r="G2378" s="301">
        <v>3340.1</v>
      </c>
      <c r="H2378" s="304">
        <f>Tabla13[[#This Row],[Importe]]-Tabla13[[#This Row],[Pagado]]</f>
        <v>0</v>
      </c>
      <c r="I2378" s="275" t="s">
        <v>15214</v>
      </c>
    </row>
    <row r="2379" spans="1:9" x14ac:dyDescent="0.25">
      <c r="A2379" s="299">
        <v>42966</v>
      </c>
      <c r="B2379" s="302" t="s">
        <v>26237</v>
      </c>
      <c r="C2379">
        <v>124351</v>
      </c>
      <c r="D2379" s="236" t="s">
        <v>15716</v>
      </c>
      <c r="E2379" s="301">
        <v>15251.6</v>
      </c>
      <c r="F2379" s="303">
        <v>42966</v>
      </c>
      <c r="G2379" s="301">
        <v>15251.6</v>
      </c>
      <c r="H2379" s="304">
        <f>Tabla13[[#This Row],[Importe]]-Tabla13[[#This Row],[Pagado]]</f>
        <v>0</v>
      </c>
      <c r="I2379" s="275" t="s">
        <v>15214</v>
      </c>
    </row>
    <row r="2380" spans="1:9" x14ac:dyDescent="0.25">
      <c r="A2380" s="299">
        <v>42966</v>
      </c>
      <c r="B2380" s="302" t="s">
        <v>26238</v>
      </c>
      <c r="C2380">
        <v>124352</v>
      </c>
      <c r="D2380" s="236" t="s">
        <v>15315</v>
      </c>
      <c r="E2380" s="301">
        <v>2072.6999999999998</v>
      </c>
      <c r="F2380" s="303">
        <v>42966</v>
      </c>
      <c r="G2380" s="301">
        <v>2072.6999999999998</v>
      </c>
      <c r="H2380" s="304">
        <f>Tabla13[[#This Row],[Importe]]-Tabla13[[#This Row],[Pagado]]</f>
        <v>0</v>
      </c>
      <c r="I2380" s="275" t="s">
        <v>15214</v>
      </c>
    </row>
    <row r="2381" spans="1:9" x14ac:dyDescent="0.25">
      <c r="A2381" s="299">
        <v>42966</v>
      </c>
      <c r="B2381" s="302" t="s">
        <v>26239</v>
      </c>
      <c r="C2381">
        <v>124353</v>
      </c>
      <c r="D2381" s="236" t="s">
        <v>16064</v>
      </c>
      <c r="E2381" s="301">
        <v>3923.6</v>
      </c>
      <c r="F2381" s="303">
        <v>42968</v>
      </c>
      <c r="G2381" s="301">
        <v>3923.6</v>
      </c>
      <c r="H2381" s="304">
        <f>Tabla13[[#This Row],[Importe]]-Tabla13[[#This Row],[Pagado]]</f>
        <v>0</v>
      </c>
      <c r="I2381" s="275" t="s">
        <v>15214</v>
      </c>
    </row>
    <row r="2382" spans="1:9" x14ac:dyDescent="0.25">
      <c r="A2382" s="299">
        <v>42966</v>
      </c>
      <c r="B2382" s="302" t="s">
        <v>26240</v>
      </c>
      <c r="C2382">
        <v>124354</v>
      </c>
      <c r="D2382" s="236" t="s">
        <v>17458</v>
      </c>
      <c r="E2382" s="301">
        <v>960</v>
      </c>
      <c r="F2382" s="303">
        <v>42968</v>
      </c>
      <c r="G2382" s="301">
        <v>960</v>
      </c>
      <c r="H2382" s="304">
        <f>Tabla13[[#This Row],[Importe]]-Tabla13[[#This Row],[Pagado]]</f>
        <v>0</v>
      </c>
      <c r="I2382" s="275" t="s">
        <v>15214</v>
      </c>
    </row>
    <row r="2383" spans="1:9" x14ac:dyDescent="0.25">
      <c r="A2383" s="299">
        <v>42966</v>
      </c>
      <c r="B2383" s="302" t="s">
        <v>26241</v>
      </c>
      <c r="C2383">
        <v>124355</v>
      </c>
      <c r="D2383" s="236" t="s">
        <v>15782</v>
      </c>
      <c r="E2383" s="301">
        <v>809.6</v>
      </c>
      <c r="F2383" s="303">
        <v>42968</v>
      </c>
      <c r="G2383" s="301">
        <v>809.6</v>
      </c>
      <c r="H2383" s="304">
        <f>Tabla13[[#This Row],[Importe]]-Tabla13[[#This Row],[Pagado]]</f>
        <v>0</v>
      </c>
      <c r="I2383" s="275" t="s">
        <v>15214</v>
      </c>
    </row>
    <row r="2384" spans="1:9" x14ac:dyDescent="0.25">
      <c r="A2384" s="299">
        <v>42966</v>
      </c>
      <c r="B2384" s="302" t="s">
        <v>26242</v>
      </c>
      <c r="C2384">
        <v>124356</v>
      </c>
      <c r="D2384" s="236" t="s">
        <v>15417</v>
      </c>
      <c r="E2384" s="301">
        <v>3600</v>
      </c>
      <c r="F2384" s="303">
        <v>42968</v>
      </c>
      <c r="G2384" s="301">
        <v>3600</v>
      </c>
      <c r="H2384" s="304">
        <f>Tabla13[[#This Row],[Importe]]-Tabla13[[#This Row],[Pagado]]</f>
        <v>0</v>
      </c>
      <c r="I2384" s="275" t="s">
        <v>15214</v>
      </c>
    </row>
    <row r="2385" spans="1:9" x14ac:dyDescent="0.25">
      <c r="A2385" s="299">
        <v>42966</v>
      </c>
      <c r="B2385" s="302" t="s">
        <v>26243</v>
      </c>
      <c r="C2385">
        <v>124357</v>
      </c>
      <c r="D2385" s="236" t="s">
        <v>15313</v>
      </c>
      <c r="E2385" s="301">
        <v>8517.6</v>
      </c>
      <c r="F2385" s="303">
        <v>42966</v>
      </c>
      <c r="G2385" s="301">
        <v>8517.6</v>
      </c>
      <c r="H2385" s="304">
        <f>Tabla13[[#This Row],[Importe]]-Tabla13[[#This Row],[Pagado]]</f>
        <v>0</v>
      </c>
      <c r="I2385" s="275" t="s">
        <v>15214</v>
      </c>
    </row>
    <row r="2386" spans="1:9" x14ac:dyDescent="0.25">
      <c r="A2386" s="299">
        <v>42966</v>
      </c>
      <c r="B2386" s="302" t="s">
        <v>26244</v>
      </c>
      <c r="C2386">
        <v>124358</v>
      </c>
      <c r="D2386" s="236" t="s">
        <v>15305</v>
      </c>
      <c r="E2386" s="301">
        <v>745.2</v>
      </c>
      <c r="F2386" s="303">
        <v>42968</v>
      </c>
      <c r="G2386" s="301">
        <v>745.2</v>
      </c>
      <c r="H2386" s="304">
        <f>Tabla13[[#This Row],[Importe]]-Tabla13[[#This Row],[Pagado]]</f>
        <v>0</v>
      </c>
      <c r="I2386" s="275" t="s">
        <v>15214</v>
      </c>
    </row>
    <row r="2387" spans="1:9" x14ac:dyDescent="0.25">
      <c r="A2387" s="299">
        <v>42966</v>
      </c>
      <c r="B2387" s="302" t="s">
        <v>26245</v>
      </c>
      <c r="C2387">
        <v>124359</v>
      </c>
      <c r="D2387" s="236" t="s">
        <v>15307</v>
      </c>
      <c r="E2387" s="301">
        <v>2823.6</v>
      </c>
      <c r="F2387" s="303">
        <v>42968</v>
      </c>
      <c r="G2387" s="301">
        <v>2823.6</v>
      </c>
      <c r="H2387" s="304">
        <f>Tabla13[[#This Row],[Importe]]-Tabla13[[#This Row],[Pagado]]</f>
        <v>0</v>
      </c>
      <c r="I2387" s="275" t="s">
        <v>15214</v>
      </c>
    </row>
    <row r="2388" spans="1:9" x14ac:dyDescent="0.25">
      <c r="A2388" s="299">
        <v>42966</v>
      </c>
      <c r="B2388" s="302" t="s">
        <v>26246</v>
      </c>
      <c r="C2388">
        <v>124360</v>
      </c>
      <c r="D2388" s="236" t="s">
        <v>15311</v>
      </c>
      <c r="E2388" s="301">
        <v>681.5</v>
      </c>
      <c r="F2388" s="303">
        <v>42968</v>
      </c>
      <c r="G2388" s="301">
        <v>681.5</v>
      </c>
      <c r="H2388" s="304">
        <f>Tabla13[[#This Row],[Importe]]-Tabla13[[#This Row],[Pagado]]</f>
        <v>0</v>
      </c>
      <c r="I2388" s="275" t="s">
        <v>15214</v>
      </c>
    </row>
    <row r="2389" spans="1:9" x14ac:dyDescent="0.25">
      <c r="A2389" s="299">
        <v>42966</v>
      </c>
      <c r="B2389" s="302" t="s">
        <v>26247</v>
      </c>
      <c r="C2389">
        <v>124361</v>
      </c>
      <c r="D2389" s="236" t="s">
        <v>15301</v>
      </c>
      <c r="E2389" s="301">
        <v>7171.5</v>
      </c>
      <c r="F2389" s="303">
        <v>42968</v>
      </c>
      <c r="G2389" s="301">
        <v>7171.5</v>
      </c>
      <c r="H2389" s="304">
        <f>Tabla13[[#This Row],[Importe]]-Tabla13[[#This Row],[Pagado]]</f>
        <v>0</v>
      </c>
      <c r="I2389" s="275" t="s">
        <v>15214</v>
      </c>
    </row>
    <row r="2390" spans="1:9" x14ac:dyDescent="0.25">
      <c r="A2390" s="299">
        <v>42966</v>
      </c>
      <c r="B2390" s="302" t="s">
        <v>26248</v>
      </c>
      <c r="C2390">
        <v>124362</v>
      </c>
      <c r="D2390" s="236" t="s">
        <v>15566</v>
      </c>
      <c r="E2390" s="301">
        <v>3427.2</v>
      </c>
      <c r="F2390" s="303">
        <v>42966</v>
      </c>
      <c r="G2390" s="301">
        <v>3427.2</v>
      </c>
      <c r="H2390" s="304">
        <f>Tabla13[[#This Row],[Importe]]-Tabla13[[#This Row],[Pagado]]</f>
        <v>0</v>
      </c>
      <c r="I2390" s="275" t="s">
        <v>15214</v>
      </c>
    </row>
    <row r="2391" spans="1:9" x14ac:dyDescent="0.25">
      <c r="A2391" s="299">
        <v>42966</v>
      </c>
      <c r="B2391" s="302" t="s">
        <v>26249</v>
      </c>
      <c r="C2391">
        <v>124363</v>
      </c>
      <c r="D2391" s="236" t="s">
        <v>15732</v>
      </c>
      <c r="E2391" s="301">
        <v>772.2</v>
      </c>
      <c r="F2391" s="303">
        <v>42968</v>
      </c>
      <c r="G2391" s="301">
        <v>772.2</v>
      </c>
      <c r="H2391" s="304">
        <f>Tabla13[[#This Row],[Importe]]-Tabla13[[#This Row],[Pagado]]</f>
        <v>0</v>
      </c>
      <c r="I2391" s="275" t="s">
        <v>15214</v>
      </c>
    </row>
    <row r="2392" spans="1:9" x14ac:dyDescent="0.25">
      <c r="A2392" s="299">
        <v>42966</v>
      </c>
      <c r="B2392" s="302" t="s">
        <v>26250</v>
      </c>
      <c r="C2392">
        <v>124364</v>
      </c>
      <c r="D2392" s="236" t="s">
        <v>15398</v>
      </c>
      <c r="E2392" s="301">
        <v>3225</v>
      </c>
      <c r="F2392" s="303">
        <v>42966</v>
      </c>
      <c r="G2392" s="301">
        <v>3225</v>
      </c>
      <c r="H2392" s="304">
        <f>Tabla13[[#This Row],[Importe]]-Tabla13[[#This Row],[Pagado]]</f>
        <v>0</v>
      </c>
      <c r="I2392" s="275" t="s">
        <v>15214</v>
      </c>
    </row>
    <row r="2393" spans="1:9" x14ac:dyDescent="0.25">
      <c r="A2393" s="299">
        <v>42966</v>
      </c>
      <c r="B2393" s="302" t="s">
        <v>26251</v>
      </c>
      <c r="C2393">
        <v>124365</v>
      </c>
      <c r="D2393" s="236" t="s">
        <v>15396</v>
      </c>
      <c r="E2393" s="301">
        <v>8982.68</v>
      </c>
      <c r="F2393" s="303">
        <v>42966</v>
      </c>
      <c r="G2393" s="301">
        <v>8982.68</v>
      </c>
      <c r="H2393" s="304">
        <f>Tabla13[[#This Row],[Importe]]-Tabla13[[#This Row],[Pagado]]</f>
        <v>0</v>
      </c>
      <c r="I2393" s="275" t="s">
        <v>15214</v>
      </c>
    </row>
    <row r="2394" spans="1:9" x14ac:dyDescent="0.25">
      <c r="A2394" s="299">
        <v>42966</v>
      </c>
      <c r="B2394" s="302" t="s">
        <v>26252</v>
      </c>
      <c r="C2394">
        <v>124366</v>
      </c>
      <c r="D2394" s="236" t="s">
        <v>15742</v>
      </c>
      <c r="E2394" s="301">
        <v>2340.6</v>
      </c>
      <c r="F2394" s="303">
        <v>42968</v>
      </c>
      <c r="G2394" s="301">
        <v>2340.6</v>
      </c>
      <c r="H2394" s="304">
        <f>Tabla13[[#This Row],[Importe]]-Tabla13[[#This Row],[Pagado]]</f>
        <v>0</v>
      </c>
      <c r="I2394" s="275" t="s">
        <v>15214</v>
      </c>
    </row>
    <row r="2395" spans="1:9" x14ac:dyDescent="0.25">
      <c r="A2395" s="299">
        <v>42966</v>
      </c>
      <c r="B2395" s="302" t="s">
        <v>26253</v>
      </c>
      <c r="C2395">
        <v>124367</v>
      </c>
      <c r="D2395" s="236" t="s">
        <v>15344</v>
      </c>
      <c r="E2395" s="301">
        <v>1987.2</v>
      </c>
      <c r="F2395" s="303">
        <v>42968</v>
      </c>
      <c r="G2395" s="301">
        <v>1987.2</v>
      </c>
      <c r="H2395" s="304">
        <f>Tabla13[[#This Row],[Importe]]-Tabla13[[#This Row],[Pagado]]</f>
        <v>0</v>
      </c>
      <c r="I2395" s="275" t="s">
        <v>15214</v>
      </c>
    </row>
    <row r="2396" spans="1:9" x14ac:dyDescent="0.25">
      <c r="A2396" s="299">
        <v>42966</v>
      </c>
      <c r="B2396" s="302" t="s">
        <v>26254</v>
      </c>
      <c r="C2396">
        <v>124368</v>
      </c>
      <c r="D2396" s="236" t="s">
        <v>15358</v>
      </c>
      <c r="E2396" s="301">
        <v>2992.5</v>
      </c>
      <c r="F2396" s="303">
        <v>42968</v>
      </c>
      <c r="G2396" s="301">
        <v>2992.5</v>
      </c>
      <c r="H2396" s="304">
        <f>Tabla13[[#This Row],[Importe]]-Tabla13[[#This Row],[Pagado]]</f>
        <v>0</v>
      </c>
      <c r="I2396" s="275" t="s">
        <v>15214</v>
      </c>
    </row>
    <row r="2397" spans="1:9" x14ac:dyDescent="0.25">
      <c r="A2397" s="299">
        <v>42966</v>
      </c>
      <c r="B2397" s="302" t="s">
        <v>26255</v>
      </c>
      <c r="C2397">
        <v>124369</v>
      </c>
      <c r="D2397" s="236" t="s">
        <v>15526</v>
      </c>
      <c r="E2397" s="301">
        <v>4070.4</v>
      </c>
      <c r="F2397" s="303">
        <v>42968</v>
      </c>
      <c r="G2397" s="301">
        <v>4070.4</v>
      </c>
      <c r="H2397" s="304">
        <f>Tabla13[[#This Row],[Importe]]-Tabla13[[#This Row],[Pagado]]</f>
        <v>0</v>
      </c>
      <c r="I2397" s="275" t="s">
        <v>15214</v>
      </c>
    </row>
    <row r="2398" spans="1:9" x14ac:dyDescent="0.25">
      <c r="A2398" s="299">
        <v>42966</v>
      </c>
      <c r="B2398" s="302" t="s">
        <v>26256</v>
      </c>
      <c r="C2398">
        <v>124370</v>
      </c>
      <c r="D2398" s="236" t="s">
        <v>15336</v>
      </c>
      <c r="E2398" s="301">
        <v>9171</v>
      </c>
      <c r="F2398" s="303">
        <v>42968</v>
      </c>
      <c r="G2398" s="301">
        <v>9171</v>
      </c>
      <c r="H2398" s="304">
        <f>Tabla13[[#This Row],[Importe]]-Tabla13[[#This Row],[Pagado]]</f>
        <v>0</v>
      </c>
      <c r="I2398" s="275" t="s">
        <v>15214</v>
      </c>
    </row>
    <row r="2399" spans="1:9" x14ac:dyDescent="0.25">
      <c r="A2399" s="299">
        <v>42966</v>
      </c>
      <c r="B2399" s="302" t="s">
        <v>26257</v>
      </c>
      <c r="C2399">
        <v>124371</v>
      </c>
      <c r="D2399" s="236" t="s">
        <v>15276</v>
      </c>
      <c r="E2399" s="301">
        <v>3680</v>
      </c>
      <c r="F2399" s="303">
        <v>42968</v>
      </c>
      <c r="G2399" s="301">
        <v>3680</v>
      </c>
      <c r="H2399" s="304">
        <f>Tabla13[[#This Row],[Importe]]-Tabla13[[#This Row],[Pagado]]</f>
        <v>0</v>
      </c>
      <c r="I2399" s="275" t="s">
        <v>15214</v>
      </c>
    </row>
    <row r="2400" spans="1:9" x14ac:dyDescent="0.25">
      <c r="A2400" s="299">
        <v>42966</v>
      </c>
      <c r="B2400" s="302" t="s">
        <v>26258</v>
      </c>
      <c r="C2400">
        <v>124372</v>
      </c>
      <c r="D2400" s="236" t="s">
        <v>15398</v>
      </c>
      <c r="E2400" s="301">
        <v>627.20000000000005</v>
      </c>
      <c r="F2400" s="303">
        <v>42966</v>
      </c>
      <c r="G2400" s="301">
        <v>627.20000000000005</v>
      </c>
      <c r="H2400" s="304">
        <f>Tabla13[[#This Row],[Importe]]-Tabla13[[#This Row],[Pagado]]</f>
        <v>0</v>
      </c>
      <c r="I2400" s="275" t="s">
        <v>15214</v>
      </c>
    </row>
    <row r="2401" spans="1:9" x14ac:dyDescent="0.25">
      <c r="A2401" s="299">
        <v>42966</v>
      </c>
      <c r="B2401" s="302" t="s">
        <v>26259</v>
      </c>
      <c r="C2401">
        <v>124373</v>
      </c>
      <c r="D2401" s="236" t="s">
        <v>15328</v>
      </c>
      <c r="E2401" s="301">
        <v>163.36000000000001</v>
      </c>
      <c r="F2401" s="303">
        <v>42976</v>
      </c>
      <c r="G2401" s="301">
        <v>163.36000000000001</v>
      </c>
      <c r="H2401" s="304">
        <f>Tabla13[[#This Row],[Importe]]-Tabla13[[#This Row],[Pagado]]</f>
        <v>0</v>
      </c>
      <c r="I2401" s="275" t="s">
        <v>15214</v>
      </c>
    </row>
    <row r="2402" spans="1:9" x14ac:dyDescent="0.25">
      <c r="A2402" s="299">
        <v>42966</v>
      </c>
      <c r="B2402" s="302" t="s">
        <v>26260</v>
      </c>
      <c r="C2402">
        <v>124374</v>
      </c>
      <c r="D2402" s="236" t="s">
        <v>15315</v>
      </c>
      <c r="E2402" s="301">
        <v>1072.8</v>
      </c>
      <c r="F2402" s="303">
        <v>42966</v>
      </c>
      <c r="G2402" s="301">
        <v>1072.8</v>
      </c>
      <c r="H2402" s="304">
        <f>Tabla13[[#This Row],[Importe]]-Tabla13[[#This Row],[Pagado]]</f>
        <v>0</v>
      </c>
      <c r="I2402" s="275" t="s">
        <v>15214</v>
      </c>
    </row>
    <row r="2403" spans="1:9" x14ac:dyDescent="0.25">
      <c r="A2403" s="299">
        <v>42966</v>
      </c>
      <c r="B2403" s="302" t="s">
        <v>26261</v>
      </c>
      <c r="C2403">
        <v>124375</v>
      </c>
      <c r="D2403" s="236" t="s">
        <v>15655</v>
      </c>
      <c r="E2403" s="301">
        <v>63447.4</v>
      </c>
      <c r="F2403" s="266">
        <v>42990</v>
      </c>
      <c r="G2403" s="35">
        <v>63447.4</v>
      </c>
      <c r="H2403" s="304">
        <f>Tabla13[[#This Row],[Importe]]-Tabla13[[#This Row],[Pagado]]</f>
        <v>0</v>
      </c>
      <c r="I2403" s="275" t="s">
        <v>15214</v>
      </c>
    </row>
    <row r="2404" spans="1:9" x14ac:dyDescent="0.25">
      <c r="A2404" s="299">
        <v>42966</v>
      </c>
      <c r="B2404" s="302" t="s">
        <v>26262</v>
      </c>
      <c r="C2404">
        <v>124376</v>
      </c>
      <c r="D2404" s="236" t="s">
        <v>17462</v>
      </c>
      <c r="E2404" s="301">
        <v>6929.8</v>
      </c>
      <c r="F2404" s="303">
        <v>42966</v>
      </c>
      <c r="G2404" s="301">
        <v>6929.8</v>
      </c>
      <c r="H2404" s="304">
        <f>Tabla13[[#This Row],[Importe]]-Tabla13[[#This Row],[Pagado]]</f>
        <v>0</v>
      </c>
      <c r="I2404" s="275" t="s">
        <v>15214</v>
      </c>
    </row>
    <row r="2405" spans="1:9" x14ac:dyDescent="0.25">
      <c r="A2405" s="299">
        <v>42966</v>
      </c>
      <c r="B2405" s="302" t="s">
        <v>26263</v>
      </c>
      <c r="C2405">
        <v>124377</v>
      </c>
      <c r="D2405" s="236" t="s">
        <v>17462</v>
      </c>
      <c r="E2405" s="301">
        <v>472.5</v>
      </c>
      <c r="F2405" s="303">
        <v>42966</v>
      </c>
      <c r="G2405" s="301">
        <v>472.5</v>
      </c>
      <c r="H2405" s="304">
        <f>Tabla13[[#This Row],[Importe]]-Tabla13[[#This Row],[Pagado]]</f>
        <v>0</v>
      </c>
      <c r="I2405" s="275" t="s">
        <v>15214</v>
      </c>
    </row>
    <row r="2406" spans="1:9" x14ac:dyDescent="0.25">
      <c r="A2406" s="299">
        <v>42966</v>
      </c>
      <c r="B2406" s="302" t="s">
        <v>26264</v>
      </c>
      <c r="C2406">
        <v>124378</v>
      </c>
      <c r="D2406" s="236" t="s">
        <v>15282</v>
      </c>
      <c r="E2406" s="301">
        <v>3384.9</v>
      </c>
      <c r="F2406" s="303">
        <v>42966</v>
      </c>
      <c r="G2406" s="301">
        <v>3384.9</v>
      </c>
      <c r="H2406" s="304">
        <f>Tabla13[[#This Row],[Importe]]-Tabla13[[#This Row],[Pagado]]</f>
        <v>0</v>
      </c>
      <c r="I2406" s="275" t="s">
        <v>15214</v>
      </c>
    </row>
    <row r="2407" spans="1:9" x14ac:dyDescent="0.25">
      <c r="A2407" s="299">
        <v>42966</v>
      </c>
      <c r="B2407" s="302" t="s">
        <v>26265</v>
      </c>
      <c r="C2407">
        <v>124379</v>
      </c>
      <c r="D2407" s="236" t="s">
        <v>19768</v>
      </c>
      <c r="E2407" s="301">
        <v>2304.6</v>
      </c>
      <c r="F2407" s="303">
        <v>42966</v>
      </c>
      <c r="G2407" s="301">
        <v>2304.6</v>
      </c>
      <c r="H2407" s="304">
        <f>Tabla13[[#This Row],[Importe]]-Tabla13[[#This Row],[Pagado]]</f>
        <v>0</v>
      </c>
      <c r="I2407" s="275" t="s">
        <v>15214</v>
      </c>
    </row>
    <row r="2408" spans="1:9" x14ac:dyDescent="0.25">
      <c r="A2408" s="299">
        <v>42966</v>
      </c>
      <c r="B2408" s="302" t="s">
        <v>26266</v>
      </c>
      <c r="C2408">
        <v>124380</v>
      </c>
      <c r="D2408" s="236" t="s">
        <v>15246</v>
      </c>
      <c r="E2408" s="301">
        <v>3326.4</v>
      </c>
      <c r="F2408" s="303">
        <v>42970</v>
      </c>
      <c r="G2408" s="301">
        <v>3326.4</v>
      </c>
      <c r="H2408" s="304">
        <f>Tabla13[[#This Row],[Importe]]-Tabla13[[#This Row],[Pagado]]</f>
        <v>0</v>
      </c>
      <c r="I2408" s="275" t="s">
        <v>15214</v>
      </c>
    </row>
    <row r="2409" spans="1:9" x14ac:dyDescent="0.25">
      <c r="A2409" s="299">
        <v>42966</v>
      </c>
      <c r="B2409" s="302" t="s">
        <v>26267</v>
      </c>
      <c r="C2409">
        <v>124381</v>
      </c>
      <c r="D2409" s="236" t="s">
        <v>15577</v>
      </c>
      <c r="E2409" s="301">
        <v>392.4</v>
      </c>
      <c r="F2409" s="303">
        <v>42966</v>
      </c>
      <c r="G2409" s="301">
        <v>392.4</v>
      </c>
      <c r="H2409" s="304">
        <f>Tabla13[[#This Row],[Importe]]-Tabla13[[#This Row],[Pagado]]</f>
        <v>0</v>
      </c>
      <c r="I2409" s="275" t="s">
        <v>15214</v>
      </c>
    </row>
    <row r="2410" spans="1:9" x14ac:dyDescent="0.25">
      <c r="A2410" s="299">
        <v>42966</v>
      </c>
      <c r="B2410" s="302" t="s">
        <v>26268</v>
      </c>
      <c r="C2410">
        <v>124382</v>
      </c>
      <c r="D2410" s="236" t="s">
        <v>15213</v>
      </c>
      <c r="E2410" s="301">
        <v>7289.8</v>
      </c>
      <c r="F2410" s="303">
        <v>42972</v>
      </c>
      <c r="G2410" s="301">
        <v>7289.8</v>
      </c>
      <c r="H2410" s="304">
        <f>Tabla13[[#This Row],[Importe]]-Tabla13[[#This Row],[Pagado]]</f>
        <v>0</v>
      </c>
      <c r="I2410" s="275" t="s">
        <v>15214</v>
      </c>
    </row>
    <row r="2411" spans="1:9" x14ac:dyDescent="0.25">
      <c r="A2411" s="299">
        <v>42966</v>
      </c>
      <c r="B2411" s="302" t="s">
        <v>26269</v>
      </c>
      <c r="C2411">
        <v>124383</v>
      </c>
      <c r="D2411" s="236" t="s">
        <v>15246</v>
      </c>
      <c r="E2411" s="301">
        <v>148381.5</v>
      </c>
      <c r="F2411" s="303">
        <v>42970</v>
      </c>
      <c r="G2411" s="301">
        <v>148381.5</v>
      </c>
      <c r="H2411" s="304">
        <f>Tabla13[[#This Row],[Importe]]-Tabla13[[#This Row],[Pagado]]</f>
        <v>0</v>
      </c>
      <c r="I2411" s="275" t="s">
        <v>15214</v>
      </c>
    </row>
    <row r="2412" spans="1:9" x14ac:dyDescent="0.25">
      <c r="A2412" s="299">
        <v>42966</v>
      </c>
      <c r="B2412" s="302" t="s">
        <v>26270</v>
      </c>
      <c r="C2412">
        <v>124384</v>
      </c>
      <c r="D2412" s="236" t="s">
        <v>15789</v>
      </c>
      <c r="E2412" s="301">
        <v>31134.400000000001</v>
      </c>
      <c r="F2412" s="303">
        <v>42973</v>
      </c>
      <c r="G2412" s="301">
        <v>31134.400000000001</v>
      </c>
      <c r="H2412" s="304">
        <f>Tabla13[[#This Row],[Importe]]-Tabla13[[#This Row],[Pagado]]</f>
        <v>0</v>
      </c>
      <c r="I2412" s="275" t="s">
        <v>15214</v>
      </c>
    </row>
    <row r="2413" spans="1:9" x14ac:dyDescent="0.25">
      <c r="A2413" s="299">
        <v>42966</v>
      </c>
      <c r="B2413" s="302" t="s">
        <v>26271</v>
      </c>
      <c r="C2413">
        <v>124385</v>
      </c>
      <c r="D2413" s="236" t="s">
        <v>15562</v>
      </c>
      <c r="E2413" s="301">
        <v>3816.8</v>
      </c>
      <c r="F2413" s="303">
        <v>42966</v>
      </c>
      <c r="G2413" s="301">
        <v>3816.8</v>
      </c>
      <c r="H2413" s="304">
        <f>Tabla13[[#This Row],[Importe]]-Tabla13[[#This Row],[Pagado]]</f>
        <v>0</v>
      </c>
      <c r="I2413" s="275" t="s">
        <v>15214</v>
      </c>
    </row>
    <row r="2414" spans="1:9" x14ac:dyDescent="0.25">
      <c r="A2414" s="299">
        <v>42966</v>
      </c>
      <c r="B2414" s="302" t="s">
        <v>26272</v>
      </c>
      <c r="C2414">
        <v>124386</v>
      </c>
      <c r="D2414" s="236" t="s">
        <v>15956</v>
      </c>
      <c r="E2414" s="301">
        <v>2000</v>
      </c>
      <c r="F2414" s="303">
        <v>42966</v>
      </c>
      <c r="G2414" s="301">
        <v>2000</v>
      </c>
      <c r="H2414" s="304">
        <f>Tabla13[[#This Row],[Importe]]-Tabla13[[#This Row],[Pagado]]</f>
        <v>0</v>
      </c>
      <c r="I2414" s="275" t="s">
        <v>15214</v>
      </c>
    </row>
    <row r="2415" spans="1:9" x14ac:dyDescent="0.25">
      <c r="A2415" s="299">
        <v>42966</v>
      </c>
      <c r="B2415" s="302" t="s">
        <v>26273</v>
      </c>
      <c r="C2415">
        <v>124387</v>
      </c>
      <c r="D2415" s="236" t="s">
        <v>15315</v>
      </c>
      <c r="E2415" s="301">
        <v>766.1</v>
      </c>
      <c r="F2415" s="303">
        <v>42966</v>
      </c>
      <c r="G2415" s="301">
        <v>766.1</v>
      </c>
      <c r="H2415" s="304">
        <f>Tabla13[[#This Row],[Importe]]-Tabla13[[#This Row],[Pagado]]</f>
        <v>0</v>
      </c>
      <c r="I2415" s="275" t="s">
        <v>15214</v>
      </c>
    </row>
    <row r="2416" spans="1:9" x14ac:dyDescent="0.25">
      <c r="A2416" s="299">
        <v>42966</v>
      </c>
      <c r="B2416" s="302" t="s">
        <v>26274</v>
      </c>
      <c r="C2416">
        <v>124388</v>
      </c>
      <c r="D2416" s="236" t="s">
        <v>15553</v>
      </c>
      <c r="E2416" s="301">
        <v>31307.200000000001</v>
      </c>
      <c r="F2416" s="303">
        <v>42968</v>
      </c>
      <c r="G2416" s="301">
        <v>31307.200000000001</v>
      </c>
      <c r="H2416" s="304">
        <f>Tabla13[[#This Row],[Importe]]-Tabla13[[#This Row],[Pagado]]</f>
        <v>0</v>
      </c>
      <c r="I2416" s="275" t="s">
        <v>15214</v>
      </c>
    </row>
    <row r="2417" spans="1:9" x14ac:dyDescent="0.25">
      <c r="A2417" s="299">
        <v>42966</v>
      </c>
      <c r="B2417" s="302" t="s">
        <v>26275</v>
      </c>
      <c r="C2417">
        <v>124389</v>
      </c>
      <c r="D2417" s="236" t="s">
        <v>15223</v>
      </c>
      <c r="E2417" s="301">
        <v>21809.599999999999</v>
      </c>
      <c r="F2417" s="266">
        <v>42991</v>
      </c>
      <c r="G2417" s="35">
        <v>21809.599999999999</v>
      </c>
      <c r="H2417" s="304">
        <f>Tabla13[[#This Row],[Importe]]-Tabla13[[#This Row],[Pagado]]</f>
        <v>0</v>
      </c>
      <c r="I2417" s="275" t="s">
        <v>15214</v>
      </c>
    </row>
    <row r="2418" spans="1:9" x14ac:dyDescent="0.25">
      <c r="A2418" s="299">
        <v>42966</v>
      </c>
      <c r="B2418" s="302" t="s">
        <v>26276</v>
      </c>
      <c r="C2418">
        <v>124390</v>
      </c>
      <c r="D2418" s="236" t="s">
        <v>15745</v>
      </c>
      <c r="E2418" s="301">
        <v>1932.76</v>
      </c>
      <c r="F2418" s="303">
        <v>42968</v>
      </c>
      <c r="G2418" s="301">
        <v>1932.76</v>
      </c>
      <c r="H2418" s="304">
        <f>Tabla13[[#This Row],[Importe]]-Tabla13[[#This Row],[Pagado]]</f>
        <v>0</v>
      </c>
      <c r="I2418" s="275" t="s">
        <v>15214</v>
      </c>
    </row>
    <row r="2419" spans="1:9" x14ac:dyDescent="0.25">
      <c r="A2419" s="299">
        <v>42966</v>
      </c>
      <c r="B2419" s="302" t="s">
        <v>26277</v>
      </c>
      <c r="C2419">
        <v>124391</v>
      </c>
      <c r="D2419" s="236" t="s">
        <v>15407</v>
      </c>
      <c r="E2419" s="301">
        <v>3194.3</v>
      </c>
      <c r="F2419" s="303">
        <v>42966</v>
      </c>
      <c r="G2419" s="301">
        <v>3194.3</v>
      </c>
      <c r="H2419" s="304">
        <f>Tabla13[[#This Row],[Importe]]-Tabla13[[#This Row],[Pagado]]</f>
        <v>0</v>
      </c>
      <c r="I2419" s="275" t="s">
        <v>15214</v>
      </c>
    </row>
    <row r="2420" spans="1:9" x14ac:dyDescent="0.25">
      <c r="A2420" s="299">
        <v>42966</v>
      </c>
      <c r="B2420" s="302" t="s">
        <v>26278</v>
      </c>
      <c r="C2420">
        <v>124392</v>
      </c>
      <c r="D2420" s="236" t="s">
        <v>15284</v>
      </c>
      <c r="E2420" s="301">
        <v>1192.2</v>
      </c>
      <c r="F2420" s="303">
        <v>42966</v>
      </c>
      <c r="G2420" s="301">
        <v>1192.2</v>
      </c>
      <c r="H2420" s="304">
        <f>Tabla13[[#This Row],[Importe]]-Tabla13[[#This Row],[Pagado]]</f>
        <v>0</v>
      </c>
      <c r="I2420" s="275" t="s">
        <v>15214</v>
      </c>
    </row>
    <row r="2421" spans="1:9" x14ac:dyDescent="0.25">
      <c r="A2421" s="299">
        <v>42966</v>
      </c>
      <c r="B2421" s="302" t="s">
        <v>26279</v>
      </c>
      <c r="C2421">
        <v>124393</v>
      </c>
      <c r="D2421" s="236" t="s">
        <v>15322</v>
      </c>
      <c r="E2421" s="301">
        <v>3988.8</v>
      </c>
      <c r="F2421" s="303">
        <v>42970</v>
      </c>
      <c r="G2421" s="301">
        <v>3988.8</v>
      </c>
      <c r="H2421" s="304">
        <f>Tabla13[[#This Row],[Importe]]-Tabla13[[#This Row],[Pagado]]</f>
        <v>0</v>
      </c>
      <c r="I2421" s="275" t="s">
        <v>15214</v>
      </c>
    </row>
    <row r="2422" spans="1:9" x14ac:dyDescent="0.25">
      <c r="A2422" s="299">
        <v>42966</v>
      </c>
      <c r="B2422" s="302" t="s">
        <v>26280</v>
      </c>
      <c r="C2422">
        <v>124394</v>
      </c>
      <c r="D2422" s="236" t="s">
        <v>15818</v>
      </c>
      <c r="E2422" s="301">
        <v>4358.3999999999996</v>
      </c>
      <c r="F2422" s="303">
        <v>42966</v>
      </c>
      <c r="G2422" s="301">
        <v>4358.3999999999996</v>
      </c>
      <c r="H2422" s="304">
        <f>Tabla13[[#This Row],[Importe]]-Tabla13[[#This Row],[Pagado]]</f>
        <v>0</v>
      </c>
      <c r="I2422" s="275" t="s">
        <v>15214</v>
      </c>
    </row>
    <row r="2423" spans="1:9" x14ac:dyDescent="0.25">
      <c r="A2423" s="299">
        <v>42966</v>
      </c>
      <c r="B2423" s="302" t="s">
        <v>26281</v>
      </c>
      <c r="C2423">
        <v>124395</v>
      </c>
      <c r="D2423" s="236" t="s">
        <v>17462</v>
      </c>
      <c r="E2423" s="301">
        <v>543.4</v>
      </c>
      <c r="F2423" s="303">
        <v>42966</v>
      </c>
      <c r="G2423" s="301">
        <v>543.4</v>
      </c>
      <c r="H2423" s="304">
        <f>Tabla13[[#This Row],[Importe]]-Tabla13[[#This Row],[Pagado]]</f>
        <v>0</v>
      </c>
      <c r="I2423" s="275" t="s">
        <v>15214</v>
      </c>
    </row>
    <row r="2424" spans="1:9" x14ac:dyDescent="0.25">
      <c r="A2424" s="299">
        <v>42966</v>
      </c>
      <c r="B2424" s="302" t="s">
        <v>26282</v>
      </c>
      <c r="C2424">
        <v>124396</v>
      </c>
      <c r="D2424" s="236" t="s">
        <v>15246</v>
      </c>
      <c r="E2424" s="301">
        <v>273496</v>
      </c>
      <c r="F2424" s="303">
        <v>42970</v>
      </c>
      <c r="G2424" s="301">
        <v>273496</v>
      </c>
      <c r="H2424" s="304">
        <f>Tabla13[[#This Row],[Importe]]-Tabla13[[#This Row],[Pagado]]</f>
        <v>0</v>
      </c>
      <c r="I2424" s="275" t="s">
        <v>15214</v>
      </c>
    </row>
    <row r="2425" spans="1:9" x14ac:dyDescent="0.25">
      <c r="A2425" s="299">
        <v>42966</v>
      </c>
      <c r="B2425" s="302" t="s">
        <v>26283</v>
      </c>
      <c r="C2425">
        <v>124397</v>
      </c>
      <c r="D2425" s="236" t="s">
        <v>15246</v>
      </c>
      <c r="E2425" s="301">
        <v>84894.34</v>
      </c>
      <c r="F2425" s="303">
        <v>42970</v>
      </c>
      <c r="G2425" s="301">
        <v>84894.34</v>
      </c>
      <c r="H2425" s="304">
        <f>Tabla13[[#This Row],[Importe]]-Tabla13[[#This Row],[Pagado]]</f>
        <v>0</v>
      </c>
      <c r="I2425" s="275" t="s">
        <v>15214</v>
      </c>
    </row>
    <row r="2426" spans="1:9" x14ac:dyDescent="0.25">
      <c r="A2426" s="299">
        <v>42966</v>
      </c>
      <c r="B2426" s="302" t="s">
        <v>26284</v>
      </c>
      <c r="C2426">
        <v>124398</v>
      </c>
      <c r="D2426" s="236" t="s">
        <v>15365</v>
      </c>
      <c r="E2426" s="301">
        <v>462952</v>
      </c>
      <c r="F2426" s="303">
        <v>42971</v>
      </c>
      <c r="G2426" s="301">
        <v>462952</v>
      </c>
      <c r="H2426" s="304">
        <f>Tabla13[[#This Row],[Importe]]-Tabla13[[#This Row],[Pagado]]</f>
        <v>0</v>
      </c>
      <c r="I2426" s="275" t="s">
        <v>15214</v>
      </c>
    </row>
    <row r="2427" spans="1:9" x14ac:dyDescent="0.25">
      <c r="A2427" s="299">
        <v>42966</v>
      </c>
      <c r="B2427" s="302" t="s">
        <v>26285</v>
      </c>
      <c r="C2427">
        <v>124399</v>
      </c>
      <c r="D2427" s="236" t="s">
        <v>15246</v>
      </c>
      <c r="E2427" s="301">
        <v>16529.2</v>
      </c>
      <c r="F2427" s="303">
        <v>42970</v>
      </c>
      <c r="G2427" s="301">
        <v>16529.2</v>
      </c>
      <c r="H2427" s="304">
        <f>Tabla13[[#This Row],[Importe]]-Tabla13[[#This Row],[Pagado]]</f>
        <v>0</v>
      </c>
      <c r="I2427" s="275" t="s">
        <v>15214</v>
      </c>
    </row>
    <row r="2428" spans="1:9" x14ac:dyDescent="0.25">
      <c r="A2428" s="299">
        <v>42966</v>
      </c>
      <c r="B2428" s="302" t="s">
        <v>26286</v>
      </c>
      <c r="C2428">
        <v>124400</v>
      </c>
      <c r="D2428" s="236" t="s">
        <v>19680</v>
      </c>
      <c r="E2428" s="301">
        <v>376</v>
      </c>
      <c r="F2428" s="303">
        <v>42966</v>
      </c>
      <c r="G2428" s="301">
        <v>376</v>
      </c>
      <c r="H2428" s="304">
        <f>Tabla13[[#This Row],[Importe]]-Tabla13[[#This Row],[Pagado]]</f>
        <v>0</v>
      </c>
      <c r="I2428" s="275" t="s">
        <v>15214</v>
      </c>
    </row>
    <row r="2429" spans="1:9" x14ac:dyDescent="0.25">
      <c r="A2429" s="299">
        <v>42966</v>
      </c>
      <c r="B2429" s="302" t="s">
        <v>26287</v>
      </c>
      <c r="C2429">
        <v>124401</v>
      </c>
      <c r="D2429" s="236" t="s">
        <v>15568</v>
      </c>
      <c r="E2429" s="301">
        <v>744</v>
      </c>
      <c r="F2429" s="303">
        <v>42966</v>
      </c>
      <c r="G2429" s="301">
        <v>744</v>
      </c>
      <c r="H2429" s="304">
        <f>Tabla13[[#This Row],[Importe]]-Tabla13[[#This Row],[Pagado]]</f>
        <v>0</v>
      </c>
      <c r="I2429" s="275" t="s">
        <v>15214</v>
      </c>
    </row>
    <row r="2430" spans="1:9" x14ac:dyDescent="0.25">
      <c r="A2430" s="299">
        <v>42966</v>
      </c>
      <c r="B2430" s="302" t="s">
        <v>26288</v>
      </c>
      <c r="C2430">
        <v>124402</v>
      </c>
      <c r="D2430" s="236" t="s">
        <v>15365</v>
      </c>
      <c r="E2430" s="301">
        <v>23170.400000000001</v>
      </c>
      <c r="F2430" s="303">
        <v>42972</v>
      </c>
      <c r="G2430" s="301">
        <v>23170.400000000001</v>
      </c>
      <c r="H2430" s="304">
        <f>Tabla13[[#This Row],[Importe]]-Tabla13[[#This Row],[Pagado]]</f>
        <v>0</v>
      </c>
      <c r="I2430" s="275" t="s">
        <v>15214</v>
      </c>
    </row>
    <row r="2431" spans="1:9" x14ac:dyDescent="0.25">
      <c r="A2431" s="299">
        <v>42966</v>
      </c>
      <c r="B2431" s="302" t="s">
        <v>26289</v>
      </c>
      <c r="C2431">
        <v>124403</v>
      </c>
      <c r="D2431" s="236" t="s">
        <v>15378</v>
      </c>
      <c r="E2431" s="301">
        <v>1411.3</v>
      </c>
      <c r="F2431" s="303">
        <v>42966</v>
      </c>
      <c r="G2431" s="301">
        <v>1411.3</v>
      </c>
      <c r="H2431" s="304">
        <f>Tabla13[[#This Row],[Importe]]-Tabla13[[#This Row],[Pagado]]</f>
        <v>0</v>
      </c>
      <c r="I2431" s="275" t="s">
        <v>15214</v>
      </c>
    </row>
    <row r="2432" spans="1:9" x14ac:dyDescent="0.25">
      <c r="A2432" s="299">
        <v>42966</v>
      </c>
      <c r="B2432" s="302" t="s">
        <v>26290</v>
      </c>
      <c r="C2432">
        <v>124404</v>
      </c>
      <c r="D2432" s="236" t="s">
        <v>15810</v>
      </c>
      <c r="E2432" s="301">
        <v>468</v>
      </c>
      <c r="F2432" s="303">
        <v>42966</v>
      </c>
      <c r="G2432" s="301">
        <v>468</v>
      </c>
      <c r="H2432" s="304">
        <f>Tabla13[[#This Row],[Importe]]-Tabla13[[#This Row],[Pagado]]</f>
        <v>0</v>
      </c>
      <c r="I2432" s="275" t="s">
        <v>15214</v>
      </c>
    </row>
    <row r="2433" spans="1:9" x14ac:dyDescent="0.25">
      <c r="A2433" s="299">
        <v>42966</v>
      </c>
      <c r="B2433" s="302" t="s">
        <v>26291</v>
      </c>
      <c r="C2433">
        <v>124405</v>
      </c>
      <c r="D2433" s="236" t="s">
        <v>15541</v>
      </c>
      <c r="E2433" s="301">
        <v>2241.06</v>
      </c>
      <c r="F2433" s="303">
        <v>42969</v>
      </c>
      <c r="G2433" s="301">
        <v>2241.06</v>
      </c>
      <c r="H2433" s="304">
        <f>Tabla13[[#This Row],[Importe]]-Tabla13[[#This Row],[Pagado]]</f>
        <v>0</v>
      </c>
      <c r="I2433" s="275" t="s">
        <v>15214</v>
      </c>
    </row>
    <row r="2434" spans="1:9" x14ac:dyDescent="0.25">
      <c r="A2434" s="299">
        <v>42966</v>
      </c>
      <c r="B2434" s="302" t="s">
        <v>26292</v>
      </c>
      <c r="C2434">
        <v>124406</v>
      </c>
      <c r="D2434" s="236" t="s">
        <v>15254</v>
      </c>
      <c r="E2434" s="301">
        <v>8260</v>
      </c>
      <c r="F2434" s="303">
        <v>42974</v>
      </c>
      <c r="G2434" s="301">
        <v>8260</v>
      </c>
      <c r="H2434" s="304">
        <f>Tabla13[[#This Row],[Importe]]-Tabla13[[#This Row],[Pagado]]</f>
        <v>0</v>
      </c>
      <c r="I2434" s="275" t="s">
        <v>15214</v>
      </c>
    </row>
    <row r="2435" spans="1:9" x14ac:dyDescent="0.25">
      <c r="A2435" s="299">
        <v>42966</v>
      </c>
      <c r="B2435" s="302" t="s">
        <v>26293</v>
      </c>
      <c r="C2435">
        <v>124407</v>
      </c>
      <c r="D2435" s="236" t="s">
        <v>17595</v>
      </c>
      <c r="E2435" s="301">
        <v>5098.8</v>
      </c>
      <c r="F2435" s="303">
        <v>42966</v>
      </c>
      <c r="G2435" s="301">
        <v>5098.8</v>
      </c>
      <c r="H2435" s="304">
        <f>Tabla13[[#This Row],[Importe]]-Tabla13[[#This Row],[Pagado]]</f>
        <v>0</v>
      </c>
      <c r="I2435" s="275" t="s">
        <v>15214</v>
      </c>
    </row>
    <row r="2436" spans="1:9" x14ac:dyDescent="0.25">
      <c r="A2436" s="299">
        <v>42966</v>
      </c>
      <c r="B2436" s="302" t="s">
        <v>26294</v>
      </c>
      <c r="C2436">
        <v>124408</v>
      </c>
      <c r="D2436" s="236" t="s">
        <v>15681</v>
      </c>
      <c r="E2436" s="301">
        <v>2505.6</v>
      </c>
      <c r="F2436" s="303">
        <v>42966</v>
      </c>
      <c r="G2436" s="301">
        <v>2505.6</v>
      </c>
      <c r="H2436" s="304">
        <f>Tabla13[[#This Row],[Importe]]-Tabla13[[#This Row],[Pagado]]</f>
        <v>0</v>
      </c>
      <c r="I2436" s="275" t="s">
        <v>15214</v>
      </c>
    </row>
    <row r="2437" spans="1:9" x14ac:dyDescent="0.25">
      <c r="A2437" s="299">
        <v>42966</v>
      </c>
      <c r="B2437" s="302" t="s">
        <v>26295</v>
      </c>
      <c r="C2437">
        <v>124409</v>
      </c>
      <c r="D2437" s="236" t="s">
        <v>16116</v>
      </c>
      <c r="E2437" s="301">
        <v>19841.599999999999</v>
      </c>
      <c r="F2437" s="303">
        <v>42966</v>
      </c>
      <c r="G2437" s="301">
        <v>19841.599999999999</v>
      </c>
      <c r="H2437" s="304">
        <f>Tabla13[[#This Row],[Importe]]-Tabla13[[#This Row],[Pagado]]</f>
        <v>0</v>
      </c>
      <c r="I2437" s="275" t="s">
        <v>15214</v>
      </c>
    </row>
    <row r="2438" spans="1:9" x14ac:dyDescent="0.25">
      <c r="A2438" s="299">
        <v>42966</v>
      </c>
      <c r="B2438" s="302" t="s">
        <v>26296</v>
      </c>
      <c r="C2438">
        <v>124410</v>
      </c>
      <c r="D2438" s="236" t="s">
        <v>15433</v>
      </c>
      <c r="E2438" s="301">
        <v>280</v>
      </c>
      <c r="F2438" s="303">
        <v>42966</v>
      </c>
      <c r="G2438" s="301">
        <v>280</v>
      </c>
      <c r="H2438" s="304">
        <f>Tabla13[[#This Row],[Importe]]-Tabla13[[#This Row],[Pagado]]</f>
        <v>0</v>
      </c>
      <c r="I2438" s="275" t="s">
        <v>15214</v>
      </c>
    </row>
    <row r="2439" spans="1:9" x14ac:dyDescent="0.25">
      <c r="A2439" s="299">
        <v>42966</v>
      </c>
      <c r="B2439" s="302" t="s">
        <v>26297</v>
      </c>
      <c r="C2439">
        <v>124411</v>
      </c>
      <c r="D2439" s="236" t="s">
        <v>15338</v>
      </c>
      <c r="E2439" s="301">
        <v>554.91999999999996</v>
      </c>
      <c r="F2439" s="303">
        <v>42967</v>
      </c>
      <c r="G2439" s="301">
        <v>554.91999999999996</v>
      </c>
      <c r="H2439" s="304">
        <f>Tabla13[[#This Row],[Importe]]-Tabla13[[#This Row],[Pagado]]</f>
        <v>0</v>
      </c>
      <c r="I2439" s="275" t="s">
        <v>15214</v>
      </c>
    </row>
    <row r="2440" spans="1:9" x14ac:dyDescent="0.25">
      <c r="A2440" s="299">
        <v>42966</v>
      </c>
      <c r="B2440" s="302" t="s">
        <v>26298</v>
      </c>
      <c r="C2440">
        <v>124412</v>
      </c>
      <c r="D2440" s="236" t="s">
        <v>15644</v>
      </c>
      <c r="E2440" s="301">
        <v>3446.4</v>
      </c>
      <c r="F2440" s="303">
        <v>42967</v>
      </c>
      <c r="G2440" s="301">
        <v>3446.4</v>
      </c>
      <c r="H2440" s="304">
        <f>Tabla13[[#This Row],[Importe]]-Tabla13[[#This Row],[Pagado]]</f>
        <v>0</v>
      </c>
      <c r="I2440" s="275" t="s">
        <v>15214</v>
      </c>
    </row>
    <row r="2441" spans="1:9" x14ac:dyDescent="0.25">
      <c r="A2441" s="299">
        <v>42966</v>
      </c>
      <c r="B2441" s="302" t="s">
        <v>26299</v>
      </c>
      <c r="C2441">
        <v>124413</v>
      </c>
      <c r="D2441" s="236" t="s">
        <v>15642</v>
      </c>
      <c r="E2441" s="301">
        <v>12087.6</v>
      </c>
      <c r="F2441" s="303">
        <v>42967</v>
      </c>
      <c r="G2441" s="301">
        <v>12087.6</v>
      </c>
      <c r="H2441" s="304">
        <f>Tabla13[[#This Row],[Importe]]-Tabla13[[#This Row],[Pagado]]</f>
        <v>0</v>
      </c>
      <c r="I2441" s="275" t="s">
        <v>15214</v>
      </c>
    </row>
    <row r="2442" spans="1:9" x14ac:dyDescent="0.25">
      <c r="A2442" s="299">
        <v>42967</v>
      </c>
      <c r="B2442" s="302" t="s">
        <v>26300</v>
      </c>
      <c r="C2442">
        <v>124414</v>
      </c>
      <c r="D2442" s="236" t="s">
        <v>21386</v>
      </c>
      <c r="E2442" s="301">
        <v>9950.7000000000007</v>
      </c>
      <c r="F2442" s="303">
        <v>42969</v>
      </c>
      <c r="G2442" s="301">
        <v>9950.7000000000007</v>
      </c>
      <c r="H2442" s="304">
        <f>Tabla13[[#This Row],[Importe]]-Tabla13[[#This Row],[Pagado]]</f>
        <v>0</v>
      </c>
      <c r="I2442" s="275" t="s">
        <v>15214</v>
      </c>
    </row>
    <row r="2443" spans="1:9" x14ac:dyDescent="0.25">
      <c r="A2443" s="299">
        <v>42967</v>
      </c>
      <c r="B2443" s="302" t="s">
        <v>26301</v>
      </c>
      <c r="C2443">
        <v>124415</v>
      </c>
      <c r="D2443" s="236" t="s">
        <v>15242</v>
      </c>
      <c r="E2443" s="301">
        <v>5091.2</v>
      </c>
      <c r="F2443" s="303">
        <v>42967</v>
      </c>
      <c r="G2443" s="301">
        <v>5091.2</v>
      </c>
      <c r="H2443" s="304">
        <f>Tabla13[[#This Row],[Importe]]-Tabla13[[#This Row],[Pagado]]</f>
        <v>0</v>
      </c>
      <c r="I2443" s="275" t="s">
        <v>15214</v>
      </c>
    </row>
    <row r="2444" spans="1:9" x14ac:dyDescent="0.25">
      <c r="A2444" s="299">
        <v>42967</v>
      </c>
      <c r="B2444" s="302" t="s">
        <v>26302</v>
      </c>
      <c r="C2444">
        <v>124416</v>
      </c>
      <c r="D2444" s="236" t="s">
        <v>15272</v>
      </c>
      <c r="E2444" s="301">
        <v>29563.200000000001</v>
      </c>
      <c r="F2444" s="303">
        <v>42967</v>
      </c>
      <c r="G2444" s="301">
        <v>29563.200000000001</v>
      </c>
      <c r="H2444" s="304">
        <f>Tabla13[[#This Row],[Importe]]-Tabla13[[#This Row],[Pagado]]</f>
        <v>0</v>
      </c>
      <c r="I2444" s="275" t="s">
        <v>15214</v>
      </c>
    </row>
    <row r="2445" spans="1:9" x14ac:dyDescent="0.25">
      <c r="A2445" s="299">
        <v>42967</v>
      </c>
      <c r="B2445" s="302" t="s">
        <v>26303</v>
      </c>
      <c r="C2445">
        <v>124417</v>
      </c>
      <c r="D2445" s="236" t="s">
        <v>15213</v>
      </c>
      <c r="E2445" s="301">
        <v>39781</v>
      </c>
      <c r="F2445" s="303">
        <v>42968</v>
      </c>
      <c r="G2445" s="301">
        <v>39781</v>
      </c>
      <c r="H2445" s="304">
        <f>Tabla13[[#This Row],[Importe]]-Tabla13[[#This Row],[Pagado]]</f>
        <v>0</v>
      </c>
      <c r="I2445" s="275" t="s">
        <v>15214</v>
      </c>
    </row>
    <row r="2446" spans="1:9" x14ac:dyDescent="0.25">
      <c r="A2446" s="299">
        <v>42967</v>
      </c>
      <c r="B2446" s="302" t="s">
        <v>26304</v>
      </c>
      <c r="C2446">
        <v>124418</v>
      </c>
      <c r="D2446" s="236" t="s">
        <v>15668</v>
      </c>
      <c r="E2446" s="301">
        <v>11020.8</v>
      </c>
      <c r="F2446" s="303">
        <v>42968</v>
      </c>
      <c r="G2446" s="301">
        <v>11020.8</v>
      </c>
      <c r="H2446" s="304">
        <f>Tabla13[[#This Row],[Importe]]-Tabla13[[#This Row],[Pagado]]</f>
        <v>0</v>
      </c>
      <c r="I2446" s="275" t="s">
        <v>15214</v>
      </c>
    </row>
    <row r="2447" spans="1:9" x14ac:dyDescent="0.25">
      <c r="A2447" s="299">
        <v>42967</v>
      </c>
      <c r="B2447" s="302" t="s">
        <v>26305</v>
      </c>
      <c r="C2447">
        <v>124419</v>
      </c>
      <c r="D2447" s="236" t="s">
        <v>17462</v>
      </c>
      <c r="E2447" s="301">
        <v>10009</v>
      </c>
      <c r="F2447" s="303">
        <v>42967</v>
      </c>
      <c r="G2447" s="301">
        <v>10009</v>
      </c>
      <c r="H2447" s="304">
        <f>Tabla13[[#This Row],[Importe]]-Tabla13[[#This Row],[Pagado]]</f>
        <v>0</v>
      </c>
      <c r="I2447" s="275" t="s">
        <v>15214</v>
      </c>
    </row>
    <row r="2448" spans="1:9" ht="48.75" x14ac:dyDescent="0.25">
      <c r="A2448" s="299">
        <v>42967</v>
      </c>
      <c r="B2448" s="302" t="s">
        <v>26306</v>
      </c>
      <c r="C2448">
        <v>124420</v>
      </c>
      <c r="D2448" s="236" t="s">
        <v>15228</v>
      </c>
      <c r="E2448" s="301">
        <v>32606</v>
      </c>
      <c r="F2448" s="309" t="s">
        <v>26307</v>
      </c>
      <c r="G2448" s="305">
        <f>11000+7000+4000+5000+3500+2106</f>
        <v>32606</v>
      </c>
      <c r="H2448" s="304">
        <f>Tabla13[[#This Row],[Importe]]-Tabla13[[#This Row],[Pagado]]</f>
        <v>0</v>
      </c>
      <c r="I2448" s="275" t="s">
        <v>15214</v>
      </c>
    </row>
    <row r="2449" spans="1:9" x14ac:dyDescent="0.25">
      <c r="A2449" s="299">
        <v>42967</v>
      </c>
      <c r="B2449" s="302" t="s">
        <v>26308</v>
      </c>
      <c r="C2449">
        <v>124421</v>
      </c>
      <c r="D2449" s="236" t="s">
        <v>15324</v>
      </c>
      <c r="E2449" s="301">
        <v>1692</v>
      </c>
      <c r="F2449" s="303">
        <v>42967</v>
      </c>
      <c r="G2449" s="301">
        <v>1692</v>
      </c>
      <c r="H2449" s="304">
        <f>Tabla13[[#This Row],[Importe]]-Tabla13[[#This Row],[Pagado]]</f>
        <v>0</v>
      </c>
      <c r="I2449" s="275" t="s">
        <v>15214</v>
      </c>
    </row>
    <row r="2450" spans="1:9" x14ac:dyDescent="0.25">
      <c r="A2450" s="299">
        <v>42967</v>
      </c>
      <c r="B2450" s="302" t="s">
        <v>26309</v>
      </c>
      <c r="C2450">
        <v>124422</v>
      </c>
      <c r="D2450" s="236" t="s">
        <v>15220</v>
      </c>
      <c r="E2450" s="301">
        <v>4830</v>
      </c>
      <c r="F2450" s="303">
        <v>42967</v>
      </c>
      <c r="G2450" s="301">
        <v>4830</v>
      </c>
      <c r="H2450" s="304">
        <f>Tabla13[[#This Row],[Importe]]-Tabla13[[#This Row],[Pagado]]</f>
        <v>0</v>
      </c>
      <c r="I2450" s="275" t="s">
        <v>15214</v>
      </c>
    </row>
    <row r="2451" spans="1:9" x14ac:dyDescent="0.25">
      <c r="A2451" s="299">
        <v>42967</v>
      </c>
      <c r="B2451" s="302" t="s">
        <v>26310</v>
      </c>
      <c r="C2451">
        <v>124423</v>
      </c>
      <c r="D2451" s="236" t="s">
        <v>19302</v>
      </c>
      <c r="E2451" s="301">
        <v>1380</v>
      </c>
      <c r="F2451" s="303">
        <v>42967</v>
      </c>
      <c r="G2451" s="301">
        <v>1380</v>
      </c>
      <c r="H2451" s="304">
        <f>Tabla13[[#This Row],[Importe]]-Tabla13[[#This Row],[Pagado]]</f>
        <v>0</v>
      </c>
      <c r="I2451" s="275" t="s">
        <v>15214</v>
      </c>
    </row>
    <row r="2452" spans="1:9" x14ac:dyDescent="0.25">
      <c r="A2452" s="299">
        <v>42967</v>
      </c>
      <c r="B2452" s="302" t="s">
        <v>26311</v>
      </c>
      <c r="C2452">
        <v>124424</v>
      </c>
      <c r="D2452" s="236" t="s">
        <v>15263</v>
      </c>
      <c r="E2452" s="301">
        <v>2664.6</v>
      </c>
      <c r="F2452" s="303">
        <v>42967</v>
      </c>
      <c r="G2452" s="301">
        <v>2664.6</v>
      </c>
      <c r="H2452" s="304">
        <f>Tabla13[[#This Row],[Importe]]-Tabla13[[#This Row],[Pagado]]</f>
        <v>0</v>
      </c>
      <c r="I2452" s="275" t="s">
        <v>15214</v>
      </c>
    </row>
    <row r="2453" spans="1:9" x14ac:dyDescent="0.25">
      <c r="A2453" s="299">
        <v>42967</v>
      </c>
      <c r="B2453" s="302" t="s">
        <v>26312</v>
      </c>
      <c r="C2453">
        <v>124425</v>
      </c>
      <c r="D2453" s="236" t="s">
        <v>15487</v>
      </c>
      <c r="E2453" s="301">
        <v>6167.2</v>
      </c>
      <c r="F2453" s="303">
        <v>42967</v>
      </c>
      <c r="G2453" s="301">
        <v>6167.2</v>
      </c>
      <c r="H2453" s="304">
        <f>Tabla13[[#This Row],[Importe]]-Tabla13[[#This Row],[Pagado]]</f>
        <v>0</v>
      </c>
      <c r="I2453" s="275" t="s">
        <v>15214</v>
      </c>
    </row>
    <row r="2454" spans="1:9" x14ac:dyDescent="0.25">
      <c r="A2454" s="299">
        <v>42967</v>
      </c>
      <c r="B2454" s="302" t="s">
        <v>26313</v>
      </c>
      <c r="C2454">
        <v>124426</v>
      </c>
      <c r="D2454" s="236" t="s">
        <v>15278</v>
      </c>
      <c r="E2454" s="301">
        <v>1473.72</v>
      </c>
      <c r="F2454" s="303">
        <v>42967</v>
      </c>
      <c r="G2454" s="301">
        <v>1473.72</v>
      </c>
      <c r="H2454" s="304">
        <f>Tabla13[[#This Row],[Importe]]-Tabla13[[#This Row],[Pagado]]</f>
        <v>0</v>
      </c>
      <c r="I2454" s="275" t="s">
        <v>15214</v>
      </c>
    </row>
    <row r="2455" spans="1:9" x14ac:dyDescent="0.25">
      <c r="A2455" s="299">
        <v>42967</v>
      </c>
      <c r="B2455" s="302" t="s">
        <v>26314</v>
      </c>
      <c r="C2455">
        <v>124427</v>
      </c>
      <c r="D2455" s="236" t="s">
        <v>15284</v>
      </c>
      <c r="E2455" s="301">
        <v>748.8</v>
      </c>
      <c r="F2455" s="303">
        <v>42967</v>
      </c>
      <c r="G2455" s="301">
        <v>748.8</v>
      </c>
      <c r="H2455" s="304">
        <f>Tabla13[[#This Row],[Importe]]-Tabla13[[#This Row],[Pagado]]</f>
        <v>0</v>
      </c>
      <c r="I2455" s="275" t="s">
        <v>15214</v>
      </c>
    </row>
    <row r="2456" spans="1:9" x14ac:dyDescent="0.25">
      <c r="A2456" s="299">
        <v>42967</v>
      </c>
      <c r="B2456" s="302" t="s">
        <v>26315</v>
      </c>
      <c r="C2456">
        <v>124428</v>
      </c>
      <c r="D2456" s="236" t="s">
        <v>15280</v>
      </c>
      <c r="E2456" s="301">
        <v>7918.8</v>
      </c>
      <c r="F2456" s="303">
        <v>42967</v>
      </c>
      <c r="G2456" s="301">
        <v>7918.8</v>
      </c>
      <c r="H2456" s="304">
        <f>Tabla13[[#This Row],[Importe]]-Tabla13[[#This Row],[Pagado]]</f>
        <v>0</v>
      </c>
      <c r="I2456" s="275" t="s">
        <v>15214</v>
      </c>
    </row>
    <row r="2457" spans="1:9" x14ac:dyDescent="0.25">
      <c r="A2457" s="299">
        <v>42967</v>
      </c>
      <c r="B2457" s="302" t="s">
        <v>26316</v>
      </c>
      <c r="C2457">
        <v>124429</v>
      </c>
      <c r="D2457" s="236" t="s">
        <v>17722</v>
      </c>
      <c r="E2457" s="301">
        <v>3140.8</v>
      </c>
      <c r="F2457" s="303">
        <v>42967</v>
      </c>
      <c r="G2457" s="301">
        <v>3140.8</v>
      </c>
      <c r="H2457" s="304">
        <f>Tabla13[[#This Row],[Importe]]-Tabla13[[#This Row],[Pagado]]</f>
        <v>0</v>
      </c>
      <c r="I2457" s="275" t="s">
        <v>15214</v>
      </c>
    </row>
    <row r="2458" spans="1:9" x14ac:dyDescent="0.25">
      <c r="A2458" s="299">
        <v>42967</v>
      </c>
      <c r="B2458" s="302" t="s">
        <v>26317</v>
      </c>
      <c r="C2458">
        <v>124430</v>
      </c>
      <c r="D2458" s="236" t="s">
        <v>15315</v>
      </c>
      <c r="E2458" s="301">
        <v>593.4</v>
      </c>
      <c r="F2458" s="303">
        <v>42967</v>
      </c>
      <c r="G2458" s="301">
        <v>593.4</v>
      </c>
      <c r="H2458" s="304">
        <f>Tabla13[[#This Row],[Importe]]-Tabla13[[#This Row],[Pagado]]</f>
        <v>0</v>
      </c>
      <c r="I2458" s="275" t="s">
        <v>15214</v>
      </c>
    </row>
    <row r="2459" spans="1:9" x14ac:dyDescent="0.25">
      <c r="A2459" s="299">
        <v>42967</v>
      </c>
      <c r="B2459" s="302" t="s">
        <v>26318</v>
      </c>
      <c r="C2459">
        <v>124431</v>
      </c>
      <c r="D2459" s="236" t="s">
        <v>15510</v>
      </c>
      <c r="E2459" s="301">
        <v>35364</v>
      </c>
      <c r="F2459" s="303">
        <v>42967</v>
      </c>
      <c r="G2459" s="301">
        <v>35364</v>
      </c>
      <c r="H2459" s="304">
        <f>Tabla13[[#This Row],[Importe]]-Tabla13[[#This Row],[Pagado]]</f>
        <v>0</v>
      </c>
      <c r="I2459" s="275" t="s">
        <v>15214</v>
      </c>
    </row>
    <row r="2460" spans="1:9" x14ac:dyDescent="0.25">
      <c r="A2460" s="299">
        <v>42967</v>
      </c>
      <c r="B2460" s="302" t="s">
        <v>26319</v>
      </c>
      <c r="C2460">
        <v>124432</v>
      </c>
      <c r="D2460" s="236" t="s">
        <v>15365</v>
      </c>
      <c r="E2460" s="301">
        <v>5413.6</v>
      </c>
      <c r="F2460" s="303">
        <v>42971</v>
      </c>
      <c r="G2460" s="301">
        <v>5413.6</v>
      </c>
      <c r="H2460" s="304">
        <f>Tabla13[[#This Row],[Importe]]-Tabla13[[#This Row],[Pagado]]</f>
        <v>0</v>
      </c>
      <c r="I2460" s="275" t="s">
        <v>15214</v>
      </c>
    </row>
    <row r="2461" spans="1:9" x14ac:dyDescent="0.25">
      <c r="A2461" s="299">
        <v>42967</v>
      </c>
      <c r="B2461" s="302" t="s">
        <v>26320</v>
      </c>
      <c r="C2461">
        <v>124433</v>
      </c>
      <c r="D2461" s="236" t="s">
        <v>15668</v>
      </c>
      <c r="E2461" s="301">
        <v>11111.8</v>
      </c>
      <c r="F2461" s="303">
        <v>42968</v>
      </c>
      <c r="G2461" s="301">
        <v>11111.8</v>
      </c>
      <c r="H2461" s="304">
        <f>Tabla13[[#This Row],[Importe]]-Tabla13[[#This Row],[Pagado]]</f>
        <v>0</v>
      </c>
      <c r="I2461" s="275" t="s">
        <v>15214</v>
      </c>
    </row>
    <row r="2462" spans="1:9" x14ac:dyDescent="0.25">
      <c r="A2462" s="299">
        <v>42967</v>
      </c>
      <c r="B2462" s="302" t="s">
        <v>26321</v>
      </c>
      <c r="C2462">
        <v>124434</v>
      </c>
      <c r="D2462" s="236" t="s">
        <v>16023</v>
      </c>
      <c r="E2462" s="301">
        <v>1548.2</v>
      </c>
      <c r="F2462" s="303">
        <v>42967</v>
      </c>
      <c r="G2462" s="301">
        <v>1548.2</v>
      </c>
      <c r="H2462" s="304">
        <f>Tabla13[[#This Row],[Importe]]-Tabla13[[#This Row],[Pagado]]</f>
        <v>0</v>
      </c>
      <c r="I2462" s="275" t="s">
        <v>15214</v>
      </c>
    </row>
    <row r="2463" spans="1:9" x14ac:dyDescent="0.25">
      <c r="A2463" s="299">
        <v>42967</v>
      </c>
      <c r="B2463" s="302" t="s">
        <v>26322</v>
      </c>
      <c r="C2463">
        <v>124435</v>
      </c>
      <c r="D2463" s="236" t="s">
        <v>15220</v>
      </c>
      <c r="E2463" s="301">
        <v>207</v>
      </c>
      <c r="F2463" s="303">
        <v>42967</v>
      </c>
      <c r="G2463" s="301">
        <v>207</v>
      </c>
      <c r="H2463" s="304">
        <f>Tabla13[[#This Row],[Importe]]-Tabla13[[#This Row],[Pagado]]</f>
        <v>0</v>
      </c>
      <c r="I2463" s="275" t="s">
        <v>15214</v>
      </c>
    </row>
    <row r="2464" spans="1:9" x14ac:dyDescent="0.25">
      <c r="A2464" s="299">
        <v>42967</v>
      </c>
      <c r="B2464" s="302" t="s">
        <v>26323</v>
      </c>
      <c r="C2464">
        <v>124436</v>
      </c>
      <c r="D2464" s="236" t="s">
        <v>15530</v>
      </c>
      <c r="E2464" s="301">
        <v>2516.4</v>
      </c>
      <c r="F2464" s="303">
        <v>42967</v>
      </c>
      <c r="G2464" s="301">
        <v>2516.4</v>
      </c>
      <c r="H2464" s="304">
        <f>Tabla13[[#This Row],[Importe]]-Tabla13[[#This Row],[Pagado]]</f>
        <v>0</v>
      </c>
      <c r="I2464" s="275" t="s">
        <v>15214</v>
      </c>
    </row>
    <row r="2465" spans="1:9" ht="30" x14ac:dyDescent="0.25">
      <c r="A2465" s="299">
        <v>42967</v>
      </c>
      <c r="B2465" s="302" t="s">
        <v>26324</v>
      </c>
      <c r="C2465">
        <v>124437</v>
      </c>
      <c r="D2465" s="236" t="s">
        <v>15624</v>
      </c>
      <c r="E2465" s="301">
        <v>30839.02</v>
      </c>
      <c r="F2465" s="303" t="s">
        <v>26325</v>
      </c>
      <c r="G2465" s="305">
        <f>25000+5839.02</f>
        <v>30839.02</v>
      </c>
      <c r="H2465" s="304">
        <f>Tabla13[[#This Row],[Importe]]-Tabla13[[#This Row],[Pagado]]</f>
        <v>0</v>
      </c>
      <c r="I2465" s="275" t="s">
        <v>15214</v>
      </c>
    </row>
    <row r="2466" spans="1:9" x14ac:dyDescent="0.25">
      <c r="A2466" s="299">
        <v>42967</v>
      </c>
      <c r="B2466" s="302" t="s">
        <v>26326</v>
      </c>
      <c r="C2466">
        <v>124438</v>
      </c>
      <c r="D2466" s="236" t="s">
        <v>16249</v>
      </c>
      <c r="E2466" s="301">
        <v>4497.6000000000004</v>
      </c>
      <c r="F2466" s="303">
        <v>42967</v>
      </c>
      <c r="G2466" s="301">
        <v>4497.6000000000004</v>
      </c>
      <c r="H2466" s="304">
        <f>Tabla13[[#This Row],[Importe]]-Tabla13[[#This Row],[Pagado]]</f>
        <v>0</v>
      </c>
      <c r="I2466" s="275" t="s">
        <v>15214</v>
      </c>
    </row>
    <row r="2467" spans="1:9" x14ac:dyDescent="0.25">
      <c r="A2467" s="299">
        <v>42967</v>
      </c>
      <c r="B2467" s="302" t="s">
        <v>26327</v>
      </c>
      <c r="C2467">
        <v>124439</v>
      </c>
      <c r="D2467" s="236" t="s">
        <v>15248</v>
      </c>
      <c r="E2467" s="301">
        <v>17278.32</v>
      </c>
      <c r="F2467" s="303">
        <v>42968</v>
      </c>
      <c r="G2467" s="301">
        <v>17278.32</v>
      </c>
      <c r="H2467" s="304">
        <f>Tabla13[[#This Row],[Importe]]-Tabla13[[#This Row],[Pagado]]</f>
        <v>0</v>
      </c>
      <c r="I2467" s="275" t="s">
        <v>15214</v>
      </c>
    </row>
    <row r="2468" spans="1:9" x14ac:dyDescent="0.25">
      <c r="A2468" s="299">
        <v>42967</v>
      </c>
      <c r="B2468" s="302" t="s">
        <v>26328</v>
      </c>
      <c r="C2468">
        <v>124440</v>
      </c>
      <c r="D2468" s="236" t="s">
        <v>15223</v>
      </c>
      <c r="E2468" s="301">
        <v>49953.1</v>
      </c>
      <c r="F2468" s="266">
        <v>42991</v>
      </c>
      <c r="G2468" s="35">
        <v>49953.1</v>
      </c>
      <c r="H2468" s="304">
        <f>Tabla13[[#This Row],[Importe]]-Tabla13[[#This Row],[Pagado]]</f>
        <v>0</v>
      </c>
      <c r="I2468" s="275" t="s">
        <v>15214</v>
      </c>
    </row>
    <row r="2469" spans="1:9" x14ac:dyDescent="0.25">
      <c r="A2469" s="299">
        <v>42967</v>
      </c>
      <c r="B2469" s="302" t="s">
        <v>26329</v>
      </c>
      <c r="C2469">
        <v>124441</v>
      </c>
      <c r="D2469" s="236" t="s">
        <v>15261</v>
      </c>
      <c r="E2469" s="301">
        <v>2278.4</v>
      </c>
      <c r="F2469" s="303">
        <v>42968</v>
      </c>
      <c r="G2469" s="301">
        <v>2278.4</v>
      </c>
      <c r="H2469" s="304">
        <f>Tabla13[[#This Row],[Importe]]-Tabla13[[#This Row],[Pagado]]</f>
        <v>0</v>
      </c>
      <c r="I2469" s="275" t="s">
        <v>15214</v>
      </c>
    </row>
    <row r="2470" spans="1:9" x14ac:dyDescent="0.25">
      <c r="A2470" s="299">
        <v>42967</v>
      </c>
      <c r="B2470" s="302" t="s">
        <v>26330</v>
      </c>
      <c r="C2470">
        <v>124442</v>
      </c>
      <c r="D2470" s="236" t="s">
        <v>15246</v>
      </c>
      <c r="E2470" s="301">
        <v>14025.7</v>
      </c>
      <c r="F2470" s="303">
        <v>42970</v>
      </c>
      <c r="G2470" s="301">
        <v>14025.7</v>
      </c>
      <c r="H2470" s="304">
        <f>Tabla13[[#This Row],[Importe]]-Tabla13[[#This Row],[Pagado]]</f>
        <v>0</v>
      </c>
      <c r="I2470" s="275" t="s">
        <v>15214</v>
      </c>
    </row>
    <row r="2471" spans="1:9" x14ac:dyDescent="0.25">
      <c r="A2471" s="299">
        <v>42967</v>
      </c>
      <c r="B2471" s="302" t="s">
        <v>26331</v>
      </c>
      <c r="C2471">
        <v>124443</v>
      </c>
      <c r="D2471" s="236" t="s">
        <v>15398</v>
      </c>
      <c r="E2471" s="301">
        <v>85.8</v>
      </c>
      <c r="F2471" s="303">
        <v>42967</v>
      </c>
      <c r="G2471" s="301">
        <v>85.8</v>
      </c>
      <c r="H2471" s="304">
        <f>Tabla13[[#This Row],[Importe]]-Tabla13[[#This Row],[Pagado]]</f>
        <v>0</v>
      </c>
      <c r="I2471" s="275" t="s">
        <v>15214</v>
      </c>
    </row>
    <row r="2472" spans="1:9" x14ac:dyDescent="0.25">
      <c r="A2472" s="299">
        <v>42967</v>
      </c>
      <c r="B2472" s="302" t="s">
        <v>26332</v>
      </c>
      <c r="C2472">
        <v>124444</v>
      </c>
      <c r="D2472" s="236" t="s">
        <v>15326</v>
      </c>
      <c r="E2472" s="301">
        <v>2558.6999999999998</v>
      </c>
      <c r="F2472" s="303">
        <v>42967</v>
      </c>
      <c r="G2472" s="301">
        <v>2558.6999999999998</v>
      </c>
      <c r="H2472" s="304">
        <f>Tabla13[[#This Row],[Importe]]-Tabla13[[#This Row],[Pagado]]</f>
        <v>0</v>
      </c>
      <c r="I2472" s="275" t="s">
        <v>15214</v>
      </c>
    </row>
    <row r="2473" spans="1:9" x14ac:dyDescent="0.25">
      <c r="A2473" s="299">
        <v>42967</v>
      </c>
      <c r="B2473" s="302" t="s">
        <v>26333</v>
      </c>
      <c r="C2473">
        <v>124445</v>
      </c>
      <c r="D2473" s="236" t="s">
        <v>15342</v>
      </c>
      <c r="E2473" s="301">
        <v>787.2</v>
      </c>
      <c r="F2473" s="303">
        <v>42968</v>
      </c>
      <c r="G2473" s="301">
        <v>787.2</v>
      </c>
      <c r="H2473" s="304">
        <f>Tabla13[[#This Row],[Importe]]-Tabla13[[#This Row],[Pagado]]</f>
        <v>0</v>
      </c>
      <c r="I2473" s="275" t="s">
        <v>15214</v>
      </c>
    </row>
    <row r="2474" spans="1:9" x14ac:dyDescent="0.25">
      <c r="A2474" s="299">
        <v>42967</v>
      </c>
      <c r="B2474" s="302" t="s">
        <v>26334</v>
      </c>
      <c r="C2474">
        <v>124446</v>
      </c>
      <c r="D2474" s="236" t="s">
        <v>15714</v>
      </c>
      <c r="E2474" s="301">
        <v>390</v>
      </c>
      <c r="F2474" s="303">
        <v>42968</v>
      </c>
      <c r="G2474" s="301">
        <v>390</v>
      </c>
      <c r="H2474" s="304">
        <f>Tabla13[[#This Row],[Importe]]-Tabla13[[#This Row],[Pagado]]</f>
        <v>0</v>
      </c>
      <c r="I2474" s="275" t="s">
        <v>15214</v>
      </c>
    </row>
    <row r="2475" spans="1:9" x14ac:dyDescent="0.25">
      <c r="A2475" s="299">
        <v>42967</v>
      </c>
      <c r="B2475" s="302" t="s">
        <v>26335</v>
      </c>
      <c r="C2475">
        <v>124447</v>
      </c>
      <c r="D2475" s="236" t="s">
        <v>23937</v>
      </c>
      <c r="E2475" s="301">
        <v>3814.8</v>
      </c>
      <c r="F2475" s="303">
        <v>42968</v>
      </c>
      <c r="G2475" s="301">
        <v>3814.8</v>
      </c>
      <c r="H2475" s="304">
        <f>Tabla13[[#This Row],[Importe]]-Tabla13[[#This Row],[Pagado]]</f>
        <v>0</v>
      </c>
      <c r="I2475" s="275" t="s">
        <v>15214</v>
      </c>
    </row>
    <row r="2476" spans="1:9" x14ac:dyDescent="0.25">
      <c r="A2476" s="299">
        <v>42967</v>
      </c>
      <c r="B2476" s="302" t="s">
        <v>26336</v>
      </c>
      <c r="C2476">
        <v>124448</v>
      </c>
      <c r="D2476" s="236" t="s">
        <v>15252</v>
      </c>
      <c r="E2476" s="301">
        <v>7744.9</v>
      </c>
      <c r="F2476" s="303">
        <v>42975</v>
      </c>
      <c r="G2476" s="301">
        <v>7744.9</v>
      </c>
      <c r="H2476" s="304">
        <f>Tabla13[[#This Row],[Importe]]-Tabla13[[#This Row],[Pagado]]</f>
        <v>0</v>
      </c>
      <c r="I2476" s="275" t="s">
        <v>15214</v>
      </c>
    </row>
    <row r="2477" spans="1:9" x14ac:dyDescent="0.25">
      <c r="A2477" s="299">
        <v>42967</v>
      </c>
      <c r="B2477" s="302" t="s">
        <v>26337</v>
      </c>
      <c r="C2477">
        <v>124449</v>
      </c>
      <c r="D2477" s="236" t="s">
        <v>15244</v>
      </c>
      <c r="E2477" s="301">
        <v>13853.1</v>
      </c>
      <c r="F2477" s="303">
        <v>42974</v>
      </c>
      <c r="G2477" s="301">
        <v>13853.1</v>
      </c>
      <c r="H2477" s="304">
        <f>Tabla13[[#This Row],[Importe]]-Tabla13[[#This Row],[Pagado]]</f>
        <v>0</v>
      </c>
      <c r="I2477" s="275" t="s">
        <v>15214</v>
      </c>
    </row>
    <row r="2478" spans="1:9" x14ac:dyDescent="0.25">
      <c r="A2478" s="299">
        <v>42967</v>
      </c>
      <c r="B2478" s="302" t="s">
        <v>26338</v>
      </c>
      <c r="C2478">
        <v>124450</v>
      </c>
      <c r="D2478" s="236" t="s">
        <v>15358</v>
      </c>
      <c r="E2478" s="301">
        <v>2691</v>
      </c>
      <c r="F2478" s="303">
        <v>42968</v>
      </c>
      <c r="G2478" s="301">
        <v>2691</v>
      </c>
      <c r="H2478" s="304">
        <f>Tabla13[[#This Row],[Importe]]-Tabla13[[#This Row],[Pagado]]</f>
        <v>0</v>
      </c>
      <c r="I2478" s="275" t="s">
        <v>15214</v>
      </c>
    </row>
    <row r="2479" spans="1:9" x14ac:dyDescent="0.25">
      <c r="A2479" s="299">
        <v>42967</v>
      </c>
      <c r="B2479" s="302" t="s">
        <v>26339</v>
      </c>
      <c r="C2479">
        <v>124451</v>
      </c>
      <c r="D2479" s="236" t="s">
        <v>15526</v>
      </c>
      <c r="E2479" s="301">
        <v>1530</v>
      </c>
      <c r="F2479" s="303">
        <v>42968</v>
      </c>
      <c r="G2479" s="301">
        <v>1530</v>
      </c>
      <c r="H2479" s="304">
        <f>Tabla13[[#This Row],[Importe]]-Tabla13[[#This Row],[Pagado]]</f>
        <v>0</v>
      </c>
      <c r="I2479" s="275" t="s">
        <v>15214</v>
      </c>
    </row>
    <row r="2480" spans="1:9" x14ac:dyDescent="0.25">
      <c r="A2480" s="299">
        <v>42967</v>
      </c>
      <c r="B2480" s="302" t="s">
        <v>26340</v>
      </c>
      <c r="C2480">
        <v>124452</v>
      </c>
      <c r="D2480" s="236" t="s">
        <v>17210</v>
      </c>
      <c r="E2480" s="301">
        <v>4248</v>
      </c>
      <c r="F2480" s="303">
        <v>42968</v>
      </c>
      <c r="G2480" s="301">
        <v>4248</v>
      </c>
      <c r="H2480" s="304">
        <f>Tabla13[[#This Row],[Importe]]-Tabla13[[#This Row],[Pagado]]</f>
        <v>0</v>
      </c>
      <c r="I2480" s="275" t="s">
        <v>15214</v>
      </c>
    </row>
    <row r="2481" spans="1:9" x14ac:dyDescent="0.25">
      <c r="A2481" s="299">
        <v>42967</v>
      </c>
      <c r="B2481" s="302" t="s">
        <v>26341</v>
      </c>
      <c r="C2481">
        <v>124453</v>
      </c>
      <c r="D2481" s="236" t="s">
        <v>15332</v>
      </c>
      <c r="E2481" s="301">
        <v>4803.3999999999996</v>
      </c>
      <c r="F2481" s="303">
        <v>42968</v>
      </c>
      <c r="G2481" s="301">
        <v>4803.3999999999996</v>
      </c>
      <c r="H2481" s="304">
        <f>Tabla13[[#This Row],[Importe]]-Tabla13[[#This Row],[Pagado]]</f>
        <v>0</v>
      </c>
      <c r="I2481" s="275" t="s">
        <v>15214</v>
      </c>
    </row>
    <row r="2482" spans="1:9" x14ac:dyDescent="0.25">
      <c r="A2482" s="299">
        <v>42967</v>
      </c>
      <c r="B2482" s="302" t="s">
        <v>26342</v>
      </c>
      <c r="C2482">
        <v>124454</v>
      </c>
      <c r="D2482" s="236" t="s">
        <v>15523</v>
      </c>
      <c r="E2482" s="301">
        <v>3680</v>
      </c>
      <c r="F2482" s="303">
        <v>42968</v>
      </c>
      <c r="G2482" s="301">
        <v>3680</v>
      </c>
      <c r="H2482" s="304">
        <f>Tabla13[[#This Row],[Importe]]-Tabla13[[#This Row],[Pagado]]</f>
        <v>0</v>
      </c>
      <c r="I2482" s="275" t="s">
        <v>15214</v>
      </c>
    </row>
    <row r="2483" spans="1:9" x14ac:dyDescent="0.25">
      <c r="A2483" s="299">
        <v>42967</v>
      </c>
      <c r="B2483" s="302" t="s">
        <v>26343</v>
      </c>
      <c r="C2483">
        <v>124455</v>
      </c>
      <c r="D2483" s="236" t="s">
        <v>15510</v>
      </c>
      <c r="E2483" s="301">
        <v>14256.8</v>
      </c>
      <c r="F2483" s="303">
        <v>42968</v>
      </c>
      <c r="G2483" s="301">
        <v>14256.8</v>
      </c>
      <c r="H2483" s="304">
        <f>Tabla13[[#This Row],[Importe]]-Tabla13[[#This Row],[Pagado]]</f>
        <v>0</v>
      </c>
      <c r="I2483" s="275" t="s">
        <v>15214</v>
      </c>
    </row>
    <row r="2484" spans="1:9" x14ac:dyDescent="0.25">
      <c r="A2484" s="299">
        <v>42967</v>
      </c>
      <c r="B2484" s="302" t="s">
        <v>26344</v>
      </c>
      <c r="C2484">
        <v>124456</v>
      </c>
      <c r="D2484" s="236" t="s">
        <v>15391</v>
      </c>
      <c r="E2484" s="301">
        <v>10318</v>
      </c>
      <c r="F2484" s="303">
        <v>42969</v>
      </c>
      <c r="G2484" s="301">
        <v>10318</v>
      </c>
      <c r="H2484" s="304">
        <f>Tabla13[[#This Row],[Importe]]-Tabla13[[#This Row],[Pagado]]</f>
        <v>0</v>
      </c>
      <c r="I2484" s="275" t="s">
        <v>15214</v>
      </c>
    </row>
    <row r="2485" spans="1:9" x14ac:dyDescent="0.25">
      <c r="A2485" s="299">
        <v>42967</v>
      </c>
      <c r="B2485" s="302" t="s">
        <v>26345</v>
      </c>
      <c r="C2485">
        <v>124457</v>
      </c>
      <c r="D2485" s="236" t="s">
        <v>15361</v>
      </c>
      <c r="E2485" s="301">
        <v>4746</v>
      </c>
      <c r="F2485" s="303">
        <v>42968</v>
      </c>
      <c r="G2485" s="301">
        <v>4746</v>
      </c>
      <c r="H2485" s="304">
        <f>Tabla13[[#This Row],[Importe]]-Tabla13[[#This Row],[Pagado]]</f>
        <v>0</v>
      </c>
      <c r="I2485" s="275" t="s">
        <v>15214</v>
      </c>
    </row>
    <row r="2486" spans="1:9" x14ac:dyDescent="0.25">
      <c r="A2486" s="299">
        <v>42967</v>
      </c>
      <c r="B2486" s="302" t="s">
        <v>26346</v>
      </c>
      <c r="C2486">
        <v>124458</v>
      </c>
      <c r="D2486" s="236" t="s">
        <v>15566</v>
      </c>
      <c r="E2486" s="301">
        <v>3347.4</v>
      </c>
      <c r="F2486" s="303">
        <v>42967</v>
      </c>
      <c r="G2486" s="301">
        <v>3347.4</v>
      </c>
      <c r="H2486" s="304">
        <f>Tabla13[[#This Row],[Importe]]-Tabla13[[#This Row],[Pagado]]</f>
        <v>0</v>
      </c>
      <c r="I2486" s="275" t="s">
        <v>15214</v>
      </c>
    </row>
    <row r="2487" spans="1:9" x14ac:dyDescent="0.25">
      <c r="A2487" s="299">
        <v>42967</v>
      </c>
      <c r="B2487" s="302" t="s">
        <v>26347</v>
      </c>
      <c r="C2487">
        <v>124459</v>
      </c>
      <c r="D2487" s="236" t="s">
        <v>15568</v>
      </c>
      <c r="E2487" s="301">
        <v>9197.2000000000007</v>
      </c>
      <c r="F2487" s="303">
        <v>42968</v>
      </c>
      <c r="G2487" s="301">
        <v>9197.2000000000007</v>
      </c>
      <c r="H2487" s="304">
        <f>Tabla13[[#This Row],[Importe]]-Tabla13[[#This Row],[Pagado]]</f>
        <v>0</v>
      </c>
      <c r="I2487" s="275" t="s">
        <v>15214</v>
      </c>
    </row>
    <row r="2488" spans="1:9" x14ac:dyDescent="0.25">
      <c r="A2488" s="299">
        <v>42967</v>
      </c>
      <c r="B2488" s="302" t="s">
        <v>26348</v>
      </c>
      <c r="C2488">
        <v>124460</v>
      </c>
      <c r="D2488" s="236" t="s">
        <v>15385</v>
      </c>
      <c r="E2488" s="301">
        <v>5480.4</v>
      </c>
      <c r="F2488" s="303">
        <v>42968</v>
      </c>
      <c r="G2488" s="301">
        <v>5480.4</v>
      </c>
      <c r="H2488" s="304">
        <f>Tabla13[[#This Row],[Importe]]-Tabla13[[#This Row],[Pagado]]</f>
        <v>0</v>
      </c>
      <c r="I2488" s="275" t="s">
        <v>15214</v>
      </c>
    </row>
    <row r="2489" spans="1:9" x14ac:dyDescent="0.25">
      <c r="A2489" s="299">
        <v>42967</v>
      </c>
      <c r="B2489" s="302" t="s">
        <v>26349</v>
      </c>
      <c r="C2489">
        <v>124461</v>
      </c>
      <c r="D2489" s="236" t="s">
        <v>19776</v>
      </c>
      <c r="E2489" s="301">
        <v>6075</v>
      </c>
      <c r="F2489" s="303">
        <v>42968</v>
      </c>
      <c r="G2489" s="301">
        <v>6075</v>
      </c>
      <c r="H2489" s="304">
        <f>Tabla13[[#This Row],[Importe]]-Tabla13[[#This Row],[Pagado]]</f>
        <v>0</v>
      </c>
      <c r="I2489" s="275" t="s">
        <v>15214</v>
      </c>
    </row>
    <row r="2490" spans="1:9" x14ac:dyDescent="0.25">
      <c r="A2490" s="299">
        <v>42967</v>
      </c>
      <c r="B2490" s="302" t="s">
        <v>26350</v>
      </c>
      <c r="C2490">
        <v>124462</v>
      </c>
      <c r="D2490" s="236" t="s">
        <v>15725</v>
      </c>
      <c r="E2490" s="301">
        <v>5490</v>
      </c>
      <c r="F2490" s="303">
        <v>42974</v>
      </c>
      <c r="G2490" s="301">
        <v>5490</v>
      </c>
      <c r="H2490" s="304">
        <f>Tabla13[[#This Row],[Importe]]-Tabla13[[#This Row],[Pagado]]</f>
        <v>0</v>
      </c>
      <c r="I2490" s="275" t="s">
        <v>15214</v>
      </c>
    </row>
    <row r="2491" spans="1:9" x14ac:dyDescent="0.25">
      <c r="A2491" s="299">
        <v>42967</v>
      </c>
      <c r="B2491" s="302" t="s">
        <v>26351</v>
      </c>
      <c r="C2491">
        <v>124463</v>
      </c>
      <c r="D2491" s="236" t="s">
        <v>15305</v>
      </c>
      <c r="E2491" s="301">
        <v>1738.8</v>
      </c>
      <c r="F2491" s="303">
        <v>42968</v>
      </c>
      <c r="G2491" s="301">
        <v>1738.8</v>
      </c>
      <c r="H2491" s="304">
        <f>Tabla13[[#This Row],[Importe]]-Tabla13[[#This Row],[Pagado]]</f>
        <v>0</v>
      </c>
      <c r="I2491" s="275" t="s">
        <v>15214</v>
      </c>
    </row>
    <row r="2492" spans="1:9" x14ac:dyDescent="0.25">
      <c r="A2492" s="299">
        <v>42967</v>
      </c>
      <c r="B2492" s="302" t="s">
        <v>26352</v>
      </c>
      <c r="C2492">
        <v>124464</v>
      </c>
      <c r="D2492" s="236" t="s">
        <v>15320</v>
      </c>
      <c r="E2492" s="301">
        <v>2204.4</v>
      </c>
      <c r="F2492" s="303">
        <v>42968</v>
      </c>
      <c r="G2492" s="301">
        <v>2204.4</v>
      </c>
      <c r="H2492" s="304">
        <f>Tabla13[[#This Row],[Importe]]-Tabla13[[#This Row],[Pagado]]</f>
        <v>0</v>
      </c>
      <c r="I2492" s="275" t="s">
        <v>15214</v>
      </c>
    </row>
    <row r="2493" spans="1:9" x14ac:dyDescent="0.25">
      <c r="A2493" s="299">
        <v>42967</v>
      </c>
      <c r="B2493" s="302" t="s">
        <v>26353</v>
      </c>
      <c r="C2493">
        <v>124465</v>
      </c>
      <c r="D2493" s="236" t="s">
        <v>15291</v>
      </c>
      <c r="E2493" s="301">
        <v>828</v>
      </c>
      <c r="F2493" s="303">
        <v>42968</v>
      </c>
      <c r="G2493" s="301">
        <v>828</v>
      </c>
      <c r="H2493" s="304">
        <f>Tabla13[[#This Row],[Importe]]-Tabla13[[#This Row],[Pagado]]</f>
        <v>0</v>
      </c>
      <c r="I2493" s="275" t="s">
        <v>15214</v>
      </c>
    </row>
    <row r="2494" spans="1:9" ht="15.75" x14ac:dyDescent="0.25">
      <c r="A2494" s="299">
        <v>42967</v>
      </c>
      <c r="B2494" s="302" t="s">
        <v>26354</v>
      </c>
      <c r="C2494">
        <v>124466</v>
      </c>
      <c r="D2494" s="248" t="s">
        <v>95</v>
      </c>
      <c r="E2494" s="301">
        <v>0</v>
      </c>
      <c r="F2494" s="243" t="s">
        <v>95</v>
      </c>
      <c r="G2494" s="301">
        <v>0</v>
      </c>
      <c r="H2494" s="304">
        <f>Tabla13[[#This Row],[Importe]]-Tabla13[[#This Row],[Pagado]]</f>
        <v>0</v>
      </c>
      <c r="I2494" s="275" t="s">
        <v>95</v>
      </c>
    </row>
    <row r="2495" spans="1:9" x14ac:dyDescent="0.25">
      <c r="A2495" s="299">
        <v>42967</v>
      </c>
      <c r="B2495" s="302" t="s">
        <v>26355</v>
      </c>
      <c r="C2495">
        <v>124467</v>
      </c>
      <c r="D2495" s="236" t="s">
        <v>15284</v>
      </c>
      <c r="E2495" s="301">
        <v>700.8</v>
      </c>
      <c r="F2495" s="303">
        <v>42967</v>
      </c>
      <c r="G2495" s="301">
        <v>700.8</v>
      </c>
      <c r="H2495" s="304">
        <f>Tabla13[[#This Row],[Importe]]-Tabla13[[#This Row],[Pagado]]</f>
        <v>0</v>
      </c>
      <c r="I2495" s="275" t="s">
        <v>15214</v>
      </c>
    </row>
    <row r="2496" spans="1:9" x14ac:dyDescent="0.25">
      <c r="A2496" s="299">
        <v>42967</v>
      </c>
      <c r="B2496" s="302" t="s">
        <v>26356</v>
      </c>
      <c r="C2496">
        <v>124468</v>
      </c>
      <c r="D2496" s="236" t="s">
        <v>15311</v>
      </c>
      <c r="E2496" s="301">
        <v>2470.44</v>
      </c>
      <c r="F2496" s="303">
        <v>42968</v>
      </c>
      <c r="G2496" s="301">
        <v>2470.44</v>
      </c>
      <c r="H2496" s="304">
        <f>Tabla13[[#This Row],[Importe]]-Tabla13[[#This Row],[Pagado]]</f>
        <v>0</v>
      </c>
      <c r="I2496" s="275" t="s">
        <v>15214</v>
      </c>
    </row>
    <row r="2497" spans="1:9" x14ac:dyDescent="0.25">
      <c r="A2497" s="299">
        <v>42967</v>
      </c>
      <c r="B2497" s="302" t="s">
        <v>26357</v>
      </c>
      <c r="C2497">
        <v>124469</v>
      </c>
      <c r="D2497" s="236" t="s">
        <v>15282</v>
      </c>
      <c r="E2497" s="301">
        <v>2665.4</v>
      </c>
      <c r="F2497" s="303">
        <v>42967</v>
      </c>
      <c r="G2497" s="301">
        <v>2665.4</v>
      </c>
      <c r="H2497" s="304">
        <f>Tabla13[[#This Row],[Importe]]-Tabla13[[#This Row],[Pagado]]</f>
        <v>0</v>
      </c>
      <c r="I2497" s="275" t="s">
        <v>15214</v>
      </c>
    </row>
    <row r="2498" spans="1:9" x14ac:dyDescent="0.25">
      <c r="A2498" s="299">
        <v>42967</v>
      </c>
      <c r="B2498" s="302" t="s">
        <v>26358</v>
      </c>
      <c r="C2498">
        <v>124470</v>
      </c>
      <c r="D2498" s="236" t="s">
        <v>15322</v>
      </c>
      <c r="E2498" s="301">
        <v>1161.5999999999999</v>
      </c>
      <c r="F2498" s="303">
        <v>42967</v>
      </c>
      <c r="G2498" s="301">
        <v>1161.5999999999999</v>
      </c>
      <c r="H2498" s="304">
        <f>Tabla13[[#This Row],[Importe]]-Tabla13[[#This Row],[Pagado]]</f>
        <v>0</v>
      </c>
      <c r="I2498" s="275" t="s">
        <v>15214</v>
      </c>
    </row>
    <row r="2499" spans="1:9" x14ac:dyDescent="0.25">
      <c r="A2499" s="299">
        <v>42967</v>
      </c>
      <c r="B2499" s="302" t="s">
        <v>26359</v>
      </c>
      <c r="C2499">
        <v>124471</v>
      </c>
      <c r="D2499" s="236" t="s">
        <v>19768</v>
      </c>
      <c r="E2499" s="301">
        <v>1840</v>
      </c>
      <c r="F2499" s="303">
        <v>42967</v>
      </c>
      <c r="G2499" s="301">
        <v>1840</v>
      </c>
      <c r="H2499" s="304">
        <f>Tabla13[[#This Row],[Importe]]-Tabla13[[#This Row],[Pagado]]</f>
        <v>0</v>
      </c>
      <c r="I2499" s="275" t="s">
        <v>15214</v>
      </c>
    </row>
    <row r="2500" spans="1:9" x14ac:dyDescent="0.25">
      <c r="A2500" s="299">
        <v>42967</v>
      </c>
      <c r="B2500" s="302" t="s">
        <v>26360</v>
      </c>
      <c r="C2500">
        <v>124472</v>
      </c>
      <c r="D2500" s="236" t="s">
        <v>15378</v>
      </c>
      <c r="E2500" s="301">
        <v>3735.1</v>
      </c>
      <c r="F2500" s="303">
        <v>42967</v>
      </c>
      <c r="G2500" s="301">
        <v>3735.1</v>
      </c>
      <c r="H2500" s="304">
        <f>Tabla13[[#This Row],[Importe]]-Tabla13[[#This Row],[Pagado]]</f>
        <v>0</v>
      </c>
      <c r="I2500" s="275" t="s">
        <v>15214</v>
      </c>
    </row>
    <row r="2501" spans="1:9" x14ac:dyDescent="0.25">
      <c r="A2501" s="299">
        <v>42967</v>
      </c>
      <c r="B2501" s="302" t="s">
        <v>26361</v>
      </c>
      <c r="C2501">
        <v>124473</v>
      </c>
      <c r="D2501" s="236" t="s">
        <v>15315</v>
      </c>
      <c r="E2501" s="301">
        <v>3744</v>
      </c>
      <c r="F2501" s="303">
        <v>42967</v>
      </c>
      <c r="G2501" s="301">
        <v>3744</v>
      </c>
      <c r="H2501" s="304">
        <f>Tabla13[[#This Row],[Importe]]-Tabla13[[#This Row],[Pagado]]</f>
        <v>0</v>
      </c>
      <c r="I2501" s="275" t="s">
        <v>15214</v>
      </c>
    </row>
    <row r="2502" spans="1:9" x14ac:dyDescent="0.25">
      <c r="A2502" s="299">
        <v>42967</v>
      </c>
      <c r="B2502" s="302" t="s">
        <v>26362</v>
      </c>
      <c r="C2502">
        <v>124474</v>
      </c>
      <c r="D2502" s="236" t="s">
        <v>15378</v>
      </c>
      <c r="E2502" s="301">
        <v>40</v>
      </c>
      <c r="F2502" s="303">
        <v>42967</v>
      </c>
      <c r="G2502" s="301">
        <v>40</v>
      </c>
      <c r="H2502" s="304">
        <f>Tabla13[[#This Row],[Importe]]-Tabla13[[#This Row],[Pagado]]</f>
        <v>0</v>
      </c>
      <c r="I2502" s="275" t="s">
        <v>15214</v>
      </c>
    </row>
    <row r="2503" spans="1:9" x14ac:dyDescent="0.25">
      <c r="A2503" s="299">
        <v>42967</v>
      </c>
      <c r="B2503" s="302" t="s">
        <v>26363</v>
      </c>
      <c r="C2503">
        <v>124475</v>
      </c>
      <c r="D2503" s="236" t="s">
        <v>15987</v>
      </c>
      <c r="E2503" s="301">
        <v>1263.7</v>
      </c>
      <c r="F2503" s="303">
        <v>42967</v>
      </c>
      <c r="G2503" s="301">
        <v>1263.7</v>
      </c>
      <c r="H2503" s="304">
        <f>Tabla13[[#This Row],[Importe]]-Tabla13[[#This Row],[Pagado]]</f>
        <v>0</v>
      </c>
      <c r="I2503" s="275" t="s">
        <v>15214</v>
      </c>
    </row>
    <row r="2504" spans="1:9" x14ac:dyDescent="0.25">
      <c r="A2504" s="299">
        <v>42967</v>
      </c>
      <c r="B2504" s="302" t="s">
        <v>26364</v>
      </c>
      <c r="C2504">
        <v>124476</v>
      </c>
      <c r="D2504" s="236" t="s">
        <v>15315</v>
      </c>
      <c r="E2504" s="301">
        <v>488.5</v>
      </c>
      <c r="F2504" s="303">
        <v>42967</v>
      </c>
      <c r="G2504" s="301">
        <v>488.5</v>
      </c>
      <c r="H2504" s="304">
        <f>Tabla13[[#This Row],[Importe]]-Tabla13[[#This Row],[Pagado]]</f>
        <v>0</v>
      </c>
      <c r="I2504" s="275" t="s">
        <v>15214</v>
      </c>
    </row>
    <row r="2505" spans="1:9" x14ac:dyDescent="0.25">
      <c r="A2505" s="299">
        <v>42967</v>
      </c>
      <c r="B2505" s="302" t="s">
        <v>26365</v>
      </c>
      <c r="C2505">
        <v>124477</v>
      </c>
      <c r="D2505" s="236" t="s">
        <v>15541</v>
      </c>
      <c r="E2505" s="301">
        <v>1894.5</v>
      </c>
      <c r="F2505" s="303">
        <v>42968</v>
      </c>
      <c r="G2505" s="301">
        <v>1894.5</v>
      </c>
      <c r="H2505" s="304">
        <f>Tabla13[[#This Row],[Importe]]-Tabla13[[#This Row],[Pagado]]</f>
        <v>0</v>
      </c>
      <c r="I2505" s="275" t="s">
        <v>15214</v>
      </c>
    </row>
    <row r="2506" spans="1:9" x14ac:dyDescent="0.25">
      <c r="A2506" s="299">
        <v>42967</v>
      </c>
      <c r="B2506" s="302" t="s">
        <v>26366</v>
      </c>
      <c r="C2506">
        <v>124478</v>
      </c>
      <c r="D2506" s="236" t="s">
        <v>15394</v>
      </c>
      <c r="E2506" s="301">
        <v>8147.6</v>
      </c>
      <c r="F2506" s="303">
        <v>42967</v>
      </c>
      <c r="G2506" s="301">
        <v>8147.6</v>
      </c>
      <c r="H2506" s="304">
        <f>Tabla13[[#This Row],[Importe]]-Tabla13[[#This Row],[Pagado]]</f>
        <v>0</v>
      </c>
      <c r="I2506" s="275" t="s">
        <v>15214</v>
      </c>
    </row>
    <row r="2507" spans="1:9" x14ac:dyDescent="0.25">
      <c r="A2507" s="299">
        <v>42967</v>
      </c>
      <c r="B2507" s="302" t="s">
        <v>26367</v>
      </c>
      <c r="C2507">
        <v>124479</v>
      </c>
      <c r="D2507" s="236" t="s">
        <v>15267</v>
      </c>
      <c r="E2507" s="301">
        <v>10420.4</v>
      </c>
      <c r="F2507" s="303">
        <v>42968</v>
      </c>
      <c r="G2507" s="301">
        <v>10420.4</v>
      </c>
      <c r="H2507" s="304">
        <f>Tabla13[[#This Row],[Importe]]-Tabla13[[#This Row],[Pagado]]</f>
        <v>0</v>
      </c>
      <c r="I2507" s="275" t="s">
        <v>15214</v>
      </c>
    </row>
    <row r="2508" spans="1:9" x14ac:dyDescent="0.25">
      <c r="A2508" s="299">
        <v>42967</v>
      </c>
      <c r="B2508" s="302" t="s">
        <v>26368</v>
      </c>
      <c r="C2508">
        <v>124480</v>
      </c>
      <c r="D2508" s="236" t="s">
        <v>15298</v>
      </c>
      <c r="E2508" s="301">
        <v>402.8</v>
      </c>
      <c r="F2508" s="303">
        <v>42967</v>
      </c>
      <c r="G2508" s="301">
        <v>402.8</v>
      </c>
      <c r="H2508" s="304">
        <f>Tabla13[[#This Row],[Importe]]-Tabla13[[#This Row],[Pagado]]</f>
        <v>0</v>
      </c>
      <c r="I2508" s="275" t="s">
        <v>15214</v>
      </c>
    </row>
    <row r="2509" spans="1:9" x14ac:dyDescent="0.25">
      <c r="A2509" s="299">
        <v>42967</v>
      </c>
      <c r="B2509" s="302" t="s">
        <v>26369</v>
      </c>
      <c r="C2509">
        <v>124481</v>
      </c>
      <c r="D2509" s="236" t="s">
        <v>15284</v>
      </c>
      <c r="E2509" s="301">
        <v>777.6</v>
      </c>
      <c r="F2509" s="303">
        <v>42967</v>
      </c>
      <c r="G2509" s="301">
        <v>777.6</v>
      </c>
      <c r="H2509" s="304">
        <f>Tabla13[[#This Row],[Importe]]-Tabla13[[#This Row],[Pagado]]</f>
        <v>0</v>
      </c>
      <c r="I2509" s="275" t="s">
        <v>15214</v>
      </c>
    </row>
    <row r="2510" spans="1:9" x14ac:dyDescent="0.25">
      <c r="A2510" s="299">
        <v>42967</v>
      </c>
      <c r="B2510" s="302" t="s">
        <v>26370</v>
      </c>
      <c r="C2510">
        <v>124482</v>
      </c>
      <c r="D2510" s="236" t="s">
        <v>16126</v>
      </c>
      <c r="E2510" s="301">
        <v>831.6</v>
      </c>
      <c r="F2510" s="303">
        <v>42967</v>
      </c>
      <c r="G2510" s="301">
        <v>831.6</v>
      </c>
      <c r="H2510" s="304">
        <f>Tabla13[[#This Row],[Importe]]-Tabla13[[#This Row],[Pagado]]</f>
        <v>0</v>
      </c>
      <c r="I2510" s="275" t="s">
        <v>15214</v>
      </c>
    </row>
    <row r="2511" spans="1:9" x14ac:dyDescent="0.25">
      <c r="A2511" s="299">
        <v>42967</v>
      </c>
      <c r="B2511" s="302" t="s">
        <v>26371</v>
      </c>
      <c r="C2511">
        <v>124483</v>
      </c>
      <c r="D2511" s="236" t="s">
        <v>15398</v>
      </c>
      <c r="E2511" s="301">
        <v>2995.2</v>
      </c>
      <c r="F2511" s="303">
        <v>42967</v>
      </c>
      <c r="G2511" s="301">
        <v>2995.2</v>
      </c>
      <c r="H2511" s="304">
        <f>Tabla13[[#This Row],[Importe]]-Tabla13[[#This Row],[Pagado]]</f>
        <v>0</v>
      </c>
      <c r="I2511" s="275" t="s">
        <v>15214</v>
      </c>
    </row>
    <row r="2512" spans="1:9" x14ac:dyDescent="0.25">
      <c r="A2512" s="299">
        <v>42967</v>
      </c>
      <c r="B2512" s="302" t="s">
        <v>26372</v>
      </c>
      <c r="C2512">
        <v>124484</v>
      </c>
      <c r="D2512" s="236" t="s">
        <v>17462</v>
      </c>
      <c r="E2512" s="301">
        <v>3224</v>
      </c>
      <c r="F2512" s="303">
        <v>42967</v>
      </c>
      <c r="G2512" s="301">
        <v>3224</v>
      </c>
      <c r="H2512" s="304">
        <f>Tabla13[[#This Row],[Importe]]-Tabla13[[#This Row],[Pagado]]</f>
        <v>0</v>
      </c>
      <c r="I2512" s="275" t="s">
        <v>15214</v>
      </c>
    </row>
    <row r="2513" spans="1:9" x14ac:dyDescent="0.25">
      <c r="A2513" s="299">
        <v>42967</v>
      </c>
      <c r="B2513" s="302" t="s">
        <v>26373</v>
      </c>
      <c r="C2513">
        <v>124485</v>
      </c>
      <c r="D2513" s="236" t="s">
        <v>15706</v>
      </c>
      <c r="E2513" s="301">
        <v>1068.8</v>
      </c>
      <c r="F2513" s="303">
        <v>42968</v>
      </c>
      <c r="G2513" s="301">
        <v>1068.8</v>
      </c>
      <c r="H2513" s="304">
        <f>Tabla13[[#This Row],[Importe]]-Tabla13[[#This Row],[Pagado]]</f>
        <v>0</v>
      </c>
      <c r="I2513" s="275" t="s">
        <v>15214</v>
      </c>
    </row>
    <row r="2514" spans="1:9" x14ac:dyDescent="0.25">
      <c r="A2514" s="299">
        <v>42967</v>
      </c>
      <c r="B2514" s="302" t="s">
        <v>26374</v>
      </c>
      <c r="C2514">
        <v>124486</v>
      </c>
      <c r="D2514" s="236" t="s">
        <v>15810</v>
      </c>
      <c r="E2514" s="301">
        <v>516</v>
      </c>
      <c r="F2514" s="303">
        <v>42967</v>
      </c>
      <c r="G2514" s="301">
        <v>516</v>
      </c>
      <c r="H2514" s="304">
        <f>Tabla13[[#This Row],[Importe]]-Tabla13[[#This Row],[Pagado]]</f>
        <v>0</v>
      </c>
      <c r="I2514" s="275" t="s">
        <v>15214</v>
      </c>
    </row>
    <row r="2515" spans="1:9" x14ac:dyDescent="0.25">
      <c r="A2515" s="299">
        <v>42967</v>
      </c>
      <c r="B2515" s="302" t="s">
        <v>26375</v>
      </c>
      <c r="C2515">
        <v>124487</v>
      </c>
      <c r="D2515" s="236" t="s">
        <v>15728</v>
      </c>
      <c r="E2515" s="301">
        <v>12049.2</v>
      </c>
      <c r="F2515" s="303">
        <v>42967</v>
      </c>
      <c r="G2515" s="301">
        <v>12049.2</v>
      </c>
      <c r="H2515" s="304">
        <f>Tabla13[[#This Row],[Importe]]-Tabla13[[#This Row],[Pagado]]</f>
        <v>0</v>
      </c>
      <c r="I2515" s="275" t="s">
        <v>15214</v>
      </c>
    </row>
    <row r="2516" spans="1:9" x14ac:dyDescent="0.25">
      <c r="A2516" s="299">
        <v>42967</v>
      </c>
      <c r="B2516" s="302" t="s">
        <v>26376</v>
      </c>
      <c r="C2516">
        <v>124488</v>
      </c>
      <c r="D2516" s="236" t="s">
        <v>15642</v>
      </c>
      <c r="E2516" s="301">
        <v>4210.5</v>
      </c>
      <c r="F2516" s="303">
        <v>42968</v>
      </c>
      <c r="G2516" s="301">
        <v>4210.5</v>
      </c>
      <c r="H2516" s="304">
        <f>Tabla13[[#This Row],[Importe]]-Tabla13[[#This Row],[Pagado]]</f>
        <v>0</v>
      </c>
      <c r="I2516" s="275" t="s">
        <v>15214</v>
      </c>
    </row>
    <row r="2517" spans="1:9" x14ac:dyDescent="0.25">
      <c r="A2517" s="299">
        <v>42968</v>
      </c>
      <c r="B2517" s="302" t="s">
        <v>26377</v>
      </c>
      <c r="C2517">
        <v>124489</v>
      </c>
      <c r="D2517" s="236" t="s">
        <v>15213</v>
      </c>
      <c r="E2517" s="301">
        <v>48380</v>
      </c>
      <c r="F2517" s="303">
        <v>42972</v>
      </c>
      <c r="G2517" s="301">
        <v>48380</v>
      </c>
      <c r="H2517" s="304">
        <f>Tabla13[[#This Row],[Importe]]-Tabla13[[#This Row],[Pagado]]</f>
        <v>0</v>
      </c>
      <c r="I2517" s="275" t="s">
        <v>15214</v>
      </c>
    </row>
    <row r="2518" spans="1:9" x14ac:dyDescent="0.25">
      <c r="A2518" s="299">
        <v>42968</v>
      </c>
      <c r="B2518" s="302" t="s">
        <v>26378</v>
      </c>
      <c r="C2518">
        <v>124490</v>
      </c>
      <c r="D2518" s="236" t="s">
        <v>21386</v>
      </c>
      <c r="E2518" s="301">
        <v>11418.5</v>
      </c>
      <c r="F2518" s="303">
        <v>42970</v>
      </c>
      <c r="G2518" s="301">
        <v>11418.5</v>
      </c>
      <c r="H2518" s="304">
        <f>Tabla13[[#This Row],[Importe]]-Tabla13[[#This Row],[Pagado]]</f>
        <v>0</v>
      </c>
      <c r="I2518" s="275" t="s">
        <v>15214</v>
      </c>
    </row>
    <row r="2519" spans="1:9" x14ac:dyDescent="0.25">
      <c r="A2519" s="299">
        <v>42968</v>
      </c>
      <c r="B2519" s="302" t="s">
        <v>26379</v>
      </c>
      <c r="C2519">
        <v>124491</v>
      </c>
      <c r="D2519" s="236" t="s">
        <v>15230</v>
      </c>
      <c r="E2519" s="301">
        <v>6420.6</v>
      </c>
      <c r="F2519" s="303">
        <v>42971</v>
      </c>
      <c r="G2519" s="301">
        <v>6420.6</v>
      </c>
      <c r="H2519" s="304">
        <f>Tabla13[[#This Row],[Importe]]-Tabla13[[#This Row],[Pagado]]</f>
        <v>0</v>
      </c>
      <c r="I2519" s="275" t="s">
        <v>15214</v>
      </c>
    </row>
    <row r="2520" spans="1:9" x14ac:dyDescent="0.25">
      <c r="A2520" s="299">
        <v>42968</v>
      </c>
      <c r="B2520" s="302" t="s">
        <v>26380</v>
      </c>
      <c r="C2520">
        <v>124492</v>
      </c>
      <c r="D2520" s="236" t="s">
        <v>15232</v>
      </c>
      <c r="E2520" s="301">
        <v>7117.6</v>
      </c>
      <c r="F2520" s="303">
        <v>42971</v>
      </c>
      <c r="G2520" s="301">
        <v>7117.6</v>
      </c>
      <c r="H2520" s="304">
        <f>Tabla13[[#This Row],[Importe]]-Tabla13[[#This Row],[Pagado]]</f>
        <v>0</v>
      </c>
      <c r="I2520" s="275" t="s">
        <v>15214</v>
      </c>
    </row>
    <row r="2521" spans="1:9" ht="15.75" x14ac:dyDescent="0.25">
      <c r="A2521" s="299">
        <v>42968</v>
      </c>
      <c r="B2521" s="302" t="s">
        <v>26381</v>
      </c>
      <c r="C2521">
        <v>124493</v>
      </c>
      <c r="D2521" s="248" t="s">
        <v>95</v>
      </c>
      <c r="E2521" s="301">
        <v>0</v>
      </c>
      <c r="F2521" s="243" t="s">
        <v>95</v>
      </c>
      <c r="G2521" s="301">
        <v>0</v>
      </c>
      <c r="H2521" s="304">
        <f>Tabla13[[#This Row],[Importe]]-Tabla13[[#This Row],[Pagado]]</f>
        <v>0</v>
      </c>
      <c r="I2521" s="275" t="s">
        <v>95</v>
      </c>
    </row>
    <row r="2522" spans="1:9" x14ac:dyDescent="0.25">
      <c r="A2522" s="299">
        <v>42968</v>
      </c>
      <c r="B2522" s="302" t="s">
        <v>26382</v>
      </c>
      <c r="C2522">
        <v>124494</v>
      </c>
      <c r="D2522" s="236" t="s">
        <v>15330</v>
      </c>
      <c r="E2522" s="301">
        <v>3259.6</v>
      </c>
      <c r="F2522" s="303">
        <v>42968</v>
      </c>
      <c r="G2522" s="301">
        <v>3259.6</v>
      </c>
      <c r="H2522" s="304">
        <f>Tabla13[[#This Row],[Importe]]-Tabla13[[#This Row],[Pagado]]</f>
        <v>0</v>
      </c>
      <c r="I2522" s="275" t="s">
        <v>15214</v>
      </c>
    </row>
    <row r="2523" spans="1:9" x14ac:dyDescent="0.25">
      <c r="A2523" s="299">
        <v>42968</v>
      </c>
      <c r="B2523" s="302" t="s">
        <v>26383</v>
      </c>
      <c r="C2523">
        <v>124495</v>
      </c>
      <c r="D2523" s="236" t="s">
        <v>15256</v>
      </c>
      <c r="E2523" s="301">
        <v>3556.8</v>
      </c>
      <c r="F2523" s="303">
        <v>42971</v>
      </c>
      <c r="G2523" s="301">
        <v>3556.8</v>
      </c>
      <c r="H2523" s="304">
        <f>Tabla13[[#This Row],[Importe]]-Tabla13[[#This Row],[Pagado]]</f>
        <v>0</v>
      </c>
      <c r="I2523" s="275" t="s">
        <v>15214</v>
      </c>
    </row>
    <row r="2524" spans="1:9" x14ac:dyDescent="0.25">
      <c r="A2524" s="299">
        <v>42968</v>
      </c>
      <c r="B2524" s="302" t="s">
        <v>26384</v>
      </c>
      <c r="C2524">
        <v>124496</v>
      </c>
      <c r="D2524" s="236" t="s">
        <v>15258</v>
      </c>
      <c r="E2524" s="301">
        <v>11291.4</v>
      </c>
      <c r="F2524" s="303">
        <v>42969</v>
      </c>
      <c r="G2524" s="301">
        <v>11291.4</v>
      </c>
      <c r="H2524" s="304">
        <f>Tabla13[[#This Row],[Importe]]-Tabla13[[#This Row],[Pagado]]</f>
        <v>0</v>
      </c>
      <c r="I2524" s="275" t="s">
        <v>15214</v>
      </c>
    </row>
    <row r="2525" spans="1:9" x14ac:dyDescent="0.25">
      <c r="A2525" s="299">
        <v>42968</v>
      </c>
      <c r="B2525" s="302" t="s">
        <v>26385</v>
      </c>
      <c r="C2525">
        <v>124497</v>
      </c>
      <c r="D2525" s="236" t="s">
        <v>15236</v>
      </c>
      <c r="E2525" s="301">
        <v>3312.8</v>
      </c>
      <c r="F2525" s="303">
        <v>42971</v>
      </c>
      <c r="G2525" s="301">
        <v>3312.8</v>
      </c>
      <c r="H2525" s="304">
        <f>Tabla13[[#This Row],[Importe]]-Tabla13[[#This Row],[Pagado]]</f>
        <v>0</v>
      </c>
      <c r="I2525" s="275" t="s">
        <v>15214</v>
      </c>
    </row>
    <row r="2526" spans="1:9" x14ac:dyDescent="0.25">
      <c r="A2526" s="299">
        <v>42968</v>
      </c>
      <c r="B2526" s="302" t="s">
        <v>26386</v>
      </c>
      <c r="C2526">
        <v>124498</v>
      </c>
      <c r="D2526" s="236" t="s">
        <v>15448</v>
      </c>
      <c r="E2526" s="301">
        <v>329566.62</v>
      </c>
      <c r="F2526" s="303">
        <v>42969</v>
      </c>
      <c r="G2526" s="301">
        <v>329566.62</v>
      </c>
      <c r="H2526" s="304">
        <f>Tabla13[[#This Row],[Importe]]-Tabla13[[#This Row],[Pagado]]</f>
        <v>0</v>
      </c>
      <c r="I2526" s="275" t="s">
        <v>15214</v>
      </c>
    </row>
    <row r="2527" spans="1:9" x14ac:dyDescent="0.25">
      <c r="A2527" s="299">
        <v>42968</v>
      </c>
      <c r="B2527" s="302" t="s">
        <v>26387</v>
      </c>
      <c r="C2527">
        <v>124499</v>
      </c>
      <c r="D2527" s="236" t="s">
        <v>17235</v>
      </c>
      <c r="E2527" s="301">
        <v>920</v>
      </c>
      <c r="F2527" s="303">
        <v>42968</v>
      </c>
      <c r="G2527" s="301">
        <v>920</v>
      </c>
      <c r="H2527" s="304">
        <f>Tabla13[[#This Row],[Importe]]-Tabla13[[#This Row],[Pagado]]</f>
        <v>0</v>
      </c>
      <c r="I2527" s="275" t="s">
        <v>15214</v>
      </c>
    </row>
    <row r="2528" spans="1:9" x14ac:dyDescent="0.25">
      <c r="A2528" s="299">
        <v>42968</v>
      </c>
      <c r="B2528" s="302" t="s">
        <v>26388</v>
      </c>
      <c r="C2528">
        <v>124500</v>
      </c>
      <c r="D2528" s="236" t="s">
        <v>15220</v>
      </c>
      <c r="E2528" s="301">
        <v>2300</v>
      </c>
      <c r="F2528" s="303">
        <v>42968</v>
      </c>
      <c r="G2528" s="301">
        <v>2300</v>
      </c>
      <c r="H2528" s="304">
        <f>Tabla13[[#This Row],[Importe]]-Tabla13[[#This Row],[Pagado]]</f>
        <v>0</v>
      </c>
      <c r="I2528" s="275" t="s">
        <v>15214</v>
      </c>
    </row>
    <row r="2529" spans="1:9" x14ac:dyDescent="0.25">
      <c r="A2529" s="299">
        <v>42968</v>
      </c>
      <c r="B2529" s="302" t="s">
        <v>26389</v>
      </c>
      <c r="C2529">
        <v>124501</v>
      </c>
      <c r="D2529" s="236" t="s">
        <v>15226</v>
      </c>
      <c r="E2529" s="301">
        <v>2382.9</v>
      </c>
      <c r="F2529" s="303">
        <v>42972</v>
      </c>
      <c r="G2529" s="301">
        <v>2382.9</v>
      </c>
      <c r="H2529" s="304">
        <f>Tabla13[[#This Row],[Importe]]-Tabla13[[#This Row],[Pagado]]</f>
        <v>0</v>
      </c>
      <c r="I2529" s="275" t="s">
        <v>15214</v>
      </c>
    </row>
    <row r="2530" spans="1:9" x14ac:dyDescent="0.25">
      <c r="A2530" s="299">
        <v>42968</v>
      </c>
      <c r="B2530" s="302" t="s">
        <v>26390</v>
      </c>
      <c r="C2530">
        <v>124502</v>
      </c>
      <c r="D2530" s="236" t="s">
        <v>15487</v>
      </c>
      <c r="E2530" s="301">
        <v>1209.8</v>
      </c>
      <c r="F2530" s="303">
        <v>42968</v>
      </c>
      <c r="G2530" s="301">
        <v>1209.8</v>
      </c>
      <c r="H2530" s="304">
        <f>Tabla13[[#This Row],[Importe]]-Tabla13[[#This Row],[Pagado]]</f>
        <v>0</v>
      </c>
      <c r="I2530" s="275" t="s">
        <v>15214</v>
      </c>
    </row>
    <row r="2531" spans="1:9" x14ac:dyDescent="0.25">
      <c r="A2531" s="299">
        <v>42968</v>
      </c>
      <c r="B2531" s="302" t="s">
        <v>26391</v>
      </c>
      <c r="C2531">
        <v>124503</v>
      </c>
      <c r="D2531" s="236" t="s">
        <v>15324</v>
      </c>
      <c r="E2531" s="301">
        <v>2480</v>
      </c>
      <c r="F2531" s="303">
        <v>42968</v>
      </c>
      <c r="G2531" s="301">
        <v>2480</v>
      </c>
      <c r="H2531" s="304">
        <f>Tabla13[[#This Row],[Importe]]-Tabla13[[#This Row],[Pagado]]</f>
        <v>0</v>
      </c>
      <c r="I2531" s="275" t="s">
        <v>15214</v>
      </c>
    </row>
    <row r="2532" spans="1:9" x14ac:dyDescent="0.25">
      <c r="A2532" s="299">
        <v>42968</v>
      </c>
      <c r="B2532" s="302" t="s">
        <v>26392</v>
      </c>
      <c r="C2532">
        <v>124504</v>
      </c>
      <c r="D2532" s="236" t="s">
        <v>15272</v>
      </c>
      <c r="E2532" s="301">
        <v>16250.7</v>
      </c>
      <c r="F2532" s="303">
        <v>42968</v>
      </c>
      <c r="G2532" s="301">
        <v>16250.7</v>
      </c>
      <c r="H2532" s="304">
        <f>Tabla13[[#This Row],[Importe]]-Tabla13[[#This Row],[Pagado]]</f>
        <v>0</v>
      </c>
      <c r="I2532" s="275" t="s">
        <v>15214</v>
      </c>
    </row>
    <row r="2533" spans="1:9" ht="30" x14ac:dyDescent="0.25">
      <c r="A2533" s="299">
        <v>42968</v>
      </c>
      <c r="B2533" s="302" t="s">
        <v>26393</v>
      </c>
      <c r="C2533">
        <v>124505</v>
      </c>
      <c r="D2533" s="236" t="s">
        <v>5575</v>
      </c>
      <c r="E2533" s="301">
        <v>7307.4</v>
      </c>
      <c r="F2533" s="303" t="s">
        <v>26394</v>
      </c>
      <c r="G2533" s="305">
        <f>3386.6+3920.8</f>
        <v>7307.4</v>
      </c>
      <c r="H2533" s="304">
        <f>Tabla13[[#This Row],[Importe]]-Tabla13[[#This Row],[Pagado]]</f>
        <v>0</v>
      </c>
      <c r="I2533" s="275" t="s">
        <v>15214</v>
      </c>
    </row>
    <row r="2534" spans="1:9" x14ac:dyDescent="0.25">
      <c r="A2534" s="299">
        <v>42968</v>
      </c>
      <c r="B2534" s="302" t="s">
        <v>26395</v>
      </c>
      <c r="C2534">
        <v>124506</v>
      </c>
      <c r="D2534" s="236" t="s">
        <v>15250</v>
      </c>
      <c r="E2534" s="301">
        <v>29593.599999999999</v>
      </c>
      <c r="F2534" s="303">
        <v>42978</v>
      </c>
      <c r="G2534" s="301">
        <v>29593.599999999999</v>
      </c>
      <c r="H2534" s="304">
        <f>Tabla13[[#This Row],[Importe]]-Tabla13[[#This Row],[Pagado]]</f>
        <v>0</v>
      </c>
      <c r="I2534" s="275" t="s">
        <v>15214</v>
      </c>
    </row>
    <row r="2535" spans="1:9" x14ac:dyDescent="0.25">
      <c r="A2535" s="299">
        <v>42968</v>
      </c>
      <c r="B2535" s="302" t="s">
        <v>26396</v>
      </c>
      <c r="C2535">
        <v>124507</v>
      </c>
      <c r="D2535" s="236" t="s">
        <v>15668</v>
      </c>
      <c r="E2535" s="301">
        <v>13554.6</v>
      </c>
      <c r="F2535" s="303">
        <v>42972</v>
      </c>
      <c r="G2535" s="301">
        <v>13554.6</v>
      </c>
      <c r="H2535" s="304">
        <f>Tabla13[[#This Row],[Importe]]-Tabla13[[#This Row],[Pagado]]</f>
        <v>0</v>
      </c>
      <c r="I2535" s="275" t="s">
        <v>15214</v>
      </c>
    </row>
    <row r="2536" spans="1:9" x14ac:dyDescent="0.25">
      <c r="A2536" s="299">
        <v>42968</v>
      </c>
      <c r="B2536" s="302" t="s">
        <v>26397</v>
      </c>
      <c r="C2536">
        <v>124508</v>
      </c>
      <c r="D2536" s="236" t="s">
        <v>15284</v>
      </c>
      <c r="E2536" s="301">
        <v>257.2</v>
      </c>
      <c r="F2536" s="303">
        <v>42968</v>
      </c>
      <c r="G2536" s="301">
        <v>257.2</v>
      </c>
      <c r="H2536" s="304">
        <f>Tabla13[[#This Row],[Importe]]-Tabla13[[#This Row],[Pagado]]</f>
        <v>0</v>
      </c>
      <c r="I2536" s="275" t="s">
        <v>15214</v>
      </c>
    </row>
    <row r="2537" spans="1:9" x14ac:dyDescent="0.25">
      <c r="A2537" s="299">
        <v>42968</v>
      </c>
      <c r="B2537" s="302" t="s">
        <v>26398</v>
      </c>
      <c r="C2537">
        <v>124509</v>
      </c>
      <c r="D2537" s="236" t="s">
        <v>15378</v>
      </c>
      <c r="E2537" s="301">
        <v>10838.8</v>
      </c>
      <c r="F2537" s="303">
        <v>42977</v>
      </c>
      <c r="G2537" s="301">
        <v>10838.8</v>
      </c>
      <c r="H2537" s="304">
        <f>Tabla13[[#This Row],[Importe]]-Tabla13[[#This Row],[Pagado]]</f>
        <v>0</v>
      </c>
      <c r="I2537" s="275" t="s">
        <v>15214</v>
      </c>
    </row>
    <row r="2538" spans="1:9" x14ac:dyDescent="0.25">
      <c r="A2538" s="299">
        <v>42968</v>
      </c>
      <c r="B2538" s="302" t="s">
        <v>26399</v>
      </c>
      <c r="C2538">
        <v>124510</v>
      </c>
      <c r="D2538" s="236" t="s">
        <v>15328</v>
      </c>
      <c r="E2538" s="301">
        <v>62191.199999999997</v>
      </c>
      <c r="F2538" s="303">
        <v>42976</v>
      </c>
      <c r="G2538" s="301">
        <v>62191.199999999997</v>
      </c>
      <c r="H2538" s="304">
        <f>Tabla13[[#This Row],[Importe]]-Tabla13[[#This Row],[Pagado]]</f>
        <v>0</v>
      </c>
      <c r="I2538" s="275" t="s">
        <v>15214</v>
      </c>
    </row>
    <row r="2539" spans="1:9" x14ac:dyDescent="0.25">
      <c r="A2539" s="299">
        <v>42968</v>
      </c>
      <c r="B2539" s="302" t="s">
        <v>26400</v>
      </c>
      <c r="C2539">
        <v>124511</v>
      </c>
      <c r="D2539" s="236" t="s">
        <v>17462</v>
      </c>
      <c r="E2539" s="301">
        <v>3135.6</v>
      </c>
      <c r="F2539" s="303">
        <v>42968</v>
      </c>
      <c r="G2539" s="301">
        <v>3135.6</v>
      </c>
      <c r="H2539" s="304">
        <f>Tabla13[[#This Row],[Importe]]-Tabla13[[#This Row],[Pagado]]</f>
        <v>0</v>
      </c>
      <c r="I2539" s="275" t="s">
        <v>15214</v>
      </c>
    </row>
    <row r="2540" spans="1:9" x14ac:dyDescent="0.25">
      <c r="A2540" s="299">
        <v>42968</v>
      </c>
      <c r="B2540" s="302" t="s">
        <v>26401</v>
      </c>
      <c r="C2540">
        <v>124512</v>
      </c>
      <c r="D2540" s="236" t="s">
        <v>15263</v>
      </c>
      <c r="E2540" s="301">
        <v>4580.5</v>
      </c>
      <c r="F2540" s="303">
        <v>42968</v>
      </c>
      <c r="G2540" s="301">
        <v>4580.5</v>
      </c>
      <c r="H2540" s="304">
        <f>Tabla13[[#This Row],[Importe]]-Tabla13[[#This Row],[Pagado]]</f>
        <v>0</v>
      </c>
      <c r="I2540" s="275" t="s">
        <v>15214</v>
      </c>
    </row>
    <row r="2541" spans="1:9" x14ac:dyDescent="0.25">
      <c r="A2541" s="299">
        <v>42968</v>
      </c>
      <c r="B2541" s="302" t="s">
        <v>26402</v>
      </c>
      <c r="C2541">
        <v>124513</v>
      </c>
      <c r="D2541" s="236" t="s">
        <v>15256</v>
      </c>
      <c r="E2541" s="301">
        <v>4308.6000000000004</v>
      </c>
      <c r="F2541" s="303">
        <v>42971</v>
      </c>
      <c r="G2541" s="301">
        <v>4308.6000000000004</v>
      </c>
      <c r="H2541" s="304">
        <f>Tabla13[[#This Row],[Importe]]-Tabla13[[#This Row],[Pagado]]</f>
        <v>0</v>
      </c>
      <c r="I2541" s="275" t="s">
        <v>15214</v>
      </c>
    </row>
    <row r="2542" spans="1:9" x14ac:dyDescent="0.25">
      <c r="A2542" s="299">
        <v>42968</v>
      </c>
      <c r="B2542" s="302" t="s">
        <v>26403</v>
      </c>
      <c r="C2542">
        <v>124514</v>
      </c>
      <c r="D2542" s="236" t="s">
        <v>15261</v>
      </c>
      <c r="E2542" s="301">
        <v>21933.8</v>
      </c>
      <c r="F2542" s="303">
        <v>42968</v>
      </c>
      <c r="G2542" s="301">
        <v>21933.8</v>
      </c>
      <c r="H2542" s="304">
        <f>Tabla13[[#This Row],[Importe]]-Tabla13[[#This Row],[Pagado]]</f>
        <v>0</v>
      </c>
      <c r="I2542" s="275" t="s">
        <v>15214</v>
      </c>
    </row>
    <row r="2543" spans="1:9" x14ac:dyDescent="0.25">
      <c r="A2543" s="299">
        <v>42968</v>
      </c>
      <c r="B2543" s="302" t="s">
        <v>26404</v>
      </c>
      <c r="C2543">
        <v>124515</v>
      </c>
      <c r="D2543" s="236" t="s">
        <v>15315</v>
      </c>
      <c r="E2543" s="301">
        <v>6652.8</v>
      </c>
      <c r="F2543" s="303">
        <v>42968</v>
      </c>
      <c r="G2543" s="301">
        <v>6652.8</v>
      </c>
      <c r="H2543" s="304">
        <f>Tabla13[[#This Row],[Importe]]-Tabla13[[#This Row],[Pagado]]</f>
        <v>0</v>
      </c>
      <c r="I2543" s="275" t="s">
        <v>15214</v>
      </c>
    </row>
    <row r="2544" spans="1:9" x14ac:dyDescent="0.25">
      <c r="A2544" s="299">
        <v>42968</v>
      </c>
      <c r="B2544" s="302" t="s">
        <v>26405</v>
      </c>
      <c r="C2544">
        <v>124516</v>
      </c>
      <c r="D2544" s="236" t="s">
        <v>15234</v>
      </c>
      <c r="E2544" s="301">
        <v>4988.6000000000004</v>
      </c>
      <c r="F2544" s="303">
        <v>42971</v>
      </c>
      <c r="G2544" s="301">
        <v>4988.6000000000004</v>
      </c>
      <c r="H2544" s="304">
        <f>Tabla13[[#This Row],[Importe]]-Tabla13[[#This Row],[Pagado]]</f>
        <v>0</v>
      </c>
      <c r="I2544" s="275" t="s">
        <v>15214</v>
      </c>
    </row>
    <row r="2545" spans="1:9" x14ac:dyDescent="0.25">
      <c r="A2545" s="299">
        <v>42968</v>
      </c>
      <c r="B2545" s="302" t="s">
        <v>26406</v>
      </c>
      <c r="C2545">
        <v>124517</v>
      </c>
      <c r="D2545" s="236" t="s">
        <v>15315</v>
      </c>
      <c r="E2545" s="301">
        <v>3131.4</v>
      </c>
      <c r="F2545" s="303">
        <v>42968</v>
      </c>
      <c r="G2545" s="301">
        <v>3131.4</v>
      </c>
      <c r="H2545" s="304">
        <f>Tabla13[[#This Row],[Importe]]-Tabla13[[#This Row],[Pagado]]</f>
        <v>0</v>
      </c>
      <c r="I2545" s="275" t="s">
        <v>15214</v>
      </c>
    </row>
    <row r="2546" spans="1:9" x14ac:dyDescent="0.25">
      <c r="A2546" s="299">
        <v>42968</v>
      </c>
      <c r="B2546" s="302" t="s">
        <v>26407</v>
      </c>
      <c r="C2546">
        <v>124518</v>
      </c>
      <c r="D2546" s="236" t="s">
        <v>15238</v>
      </c>
      <c r="E2546" s="301">
        <v>2424.8000000000002</v>
      </c>
      <c r="F2546" s="303">
        <v>42971</v>
      </c>
      <c r="G2546" s="301">
        <v>2424.8000000000002</v>
      </c>
      <c r="H2546" s="304">
        <f>Tabla13[[#This Row],[Importe]]-Tabla13[[#This Row],[Pagado]]</f>
        <v>0</v>
      </c>
      <c r="I2546" s="275" t="s">
        <v>15214</v>
      </c>
    </row>
    <row r="2547" spans="1:9" x14ac:dyDescent="0.25">
      <c r="A2547" s="299">
        <v>42968</v>
      </c>
      <c r="B2547" s="302" t="s">
        <v>26408</v>
      </c>
      <c r="C2547">
        <v>124519</v>
      </c>
      <c r="D2547" s="236" t="s">
        <v>16383</v>
      </c>
      <c r="E2547" s="301">
        <v>10281.6</v>
      </c>
      <c r="F2547" s="303">
        <v>42968</v>
      </c>
      <c r="G2547" s="301">
        <v>10281.6</v>
      </c>
      <c r="H2547" s="304">
        <f>Tabla13[[#This Row],[Importe]]-Tabla13[[#This Row],[Pagado]]</f>
        <v>0</v>
      </c>
      <c r="I2547" s="275" t="s">
        <v>15214</v>
      </c>
    </row>
    <row r="2548" spans="1:9" x14ac:dyDescent="0.25">
      <c r="A2548" s="299">
        <v>42968</v>
      </c>
      <c r="B2548" s="302" t="s">
        <v>26409</v>
      </c>
      <c r="C2548">
        <v>124520</v>
      </c>
      <c r="D2548" s="236" t="s">
        <v>16732</v>
      </c>
      <c r="E2548" s="301">
        <v>30145.08</v>
      </c>
      <c r="F2548" s="303">
        <v>42968</v>
      </c>
      <c r="G2548" s="301">
        <v>30145.08</v>
      </c>
      <c r="H2548" s="304">
        <f>Tabla13[[#This Row],[Importe]]-Tabla13[[#This Row],[Pagado]]</f>
        <v>0</v>
      </c>
      <c r="I2548" s="275" t="s">
        <v>15214</v>
      </c>
    </row>
    <row r="2549" spans="1:9" x14ac:dyDescent="0.25">
      <c r="A2549" s="299">
        <v>42968</v>
      </c>
      <c r="B2549" s="302" t="s">
        <v>26410</v>
      </c>
      <c r="C2549">
        <v>124521</v>
      </c>
      <c r="D2549" s="236" t="s">
        <v>15248</v>
      </c>
      <c r="E2549" s="301">
        <v>15167.6</v>
      </c>
      <c r="F2549" s="303">
        <v>42968</v>
      </c>
      <c r="G2549" s="301">
        <v>15167.6</v>
      </c>
      <c r="H2549" s="304">
        <f>Tabla13[[#This Row],[Importe]]-Tabla13[[#This Row],[Pagado]]</f>
        <v>0</v>
      </c>
      <c r="I2549" s="275" t="s">
        <v>15214</v>
      </c>
    </row>
    <row r="2550" spans="1:9" x14ac:dyDescent="0.25">
      <c r="A2550" s="299">
        <v>42968</v>
      </c>
      <c r="B2550" s="302" t="s">
        <v>26411</v>
      </c>
      <c r="C2550">
        <v>124522</v>
      </c>
      <c r="D2550" s="236" t="s">
        <v>15315</v>
      </c>
      <c r="E2550" s="301">
        <v>3512.1</v>
      </c>
      <c r="F2550" s="303">
        <v>42968</v>
      </c>
      <c r="G2550" s="301">
        <v>3512.1</v>
      </c>
      <c r="H2550" s="304">
        <f>Tabla13[[#This Row],[Importe]]-Tabla13[[#This Row],[Pagado]]</f>
        <v>0</v>
      </c>
      <c r="I2550" s="275" t="s">
        <v>15214</v>
      </c>
    </row>
    <row r="2551" spans="1:9" ht="15.75" x14ac:dyDescent="0.25">
      <c r="A2551" s="299">
        <v>42968</v>
      </c>
      <c r="B2551" s="302" t="s">
        <v>26412</v>
      </c>
      <c r="C2551">
        <v>124523</v>
      </c>
      <c r="D2551" s="248" t="s">
        <v>95</v>
      </c>
      <c r="E2551" s="301">
        <v>0</v>
      </c>
      <c r="F2551" s="243" t="s">
        <v>95</v>
      </c>
      <c r="G2551" s="301">
        <v>0</v>
      </c>
      <c r="H2551" s="304">
        <f>Tabla13[[#This Row],[Importe]]-Tabla13[[#This Row],[Pagado]]</f>
        <v>0</v>
      </c>
      <c r="I2551" s="275" t="s">
        <v>95</v>
      </c>
    </row>
    <row r="2552" spans="1:9" x14ac:dyDescent="0.25">
      <c r="A2552" s="299">
        <v>42968</v>
      </c>
      <c r="B2552" s="302" t="s">
        <v>26413</v>
      </c>
      <c r="C2552">
        <v>124524</v>
      </c>
      <c r="D2552" s="236" t="s">
        <v>15568</v>
      </c>
      <c r="E2552" s="301">
        <v>7019.2</v>
      </c>
      <c r="F2552" s="303">
        <v>42968</v>
      </c>
      <c r="G2552" s="301">
        <v>7019.2</v>
      </c>
      <c r="H2552" s="304">
        <f>Tabla13[[#This Row],[Importe]]-Tabla13[[#This Row],[Pagado]]</f>
        <v>0</v>
      </c>
      <c r="I2552" s="275" t="s">
        <v>15214</v>
      </c>
    </row>
    <row r="2553" spans="1:9" x14ac:dyDescent="0.25">
      <c r="A2553" s="299">
        <v>42968</v>
      </c>
      <c r="B2553" s="302" t="s">
        <v>26414</v>
      </c>
      <c r="C2553">
        <v>124525</v>
      </c>
      <c r="D2553" s="236" t="s">
        <v>15320</v>
      </c>
      <c r="E2553" s="301">
        <v>2208.8000000000002</v>
      </c>
      <c r="F2553" s="303">
        <v>42969</v>
      </c>
      <c r="G2553" s="301">
        <v>2208.8000000000002</v>
      </c>
      <c r="H2553" s="304">
        <f>Tabla13[[#This Row],[Importe]]-Tabla13[[#This Row],[Pagado]]</f>
        <v>0</v>
      </c>
      <c r="I2553" s="275" t="s">
        <v>15214</v>
      </c>
    </row>
    <row r="2554" spans="1:9" x14ac:dyDescent="0.25">
      <c r="A2554" s="299">
        <v>42968</v>
      </c>
      <c r="B2554" s="302" t="s">
        <v>26415</v>
      </c>
      <c r="C2554">
        <v>124526</v>
      </c>
      <c r="D2554" s="236" t="s">
        <v>15568</v>
      </c>
      <c r="E2554" s="301">
        <v>3903.2</v>
      </c>
      <c r="F2554" s="303">
        <v>42968</v>
      </c>
      <c r="G2554" s="301">
        <v>3903.2</v>
      </c>
      <c r="H2554" s="304">
        <f>Tabla13[[#This Row],[Importe]]-Tabla13[[#This Row],[Pagado]]</f>
        <v>0</v>
      </c>
      <c r="I2554" s="275" t="s">
        <v>15214</v>
      </c>
    </row>
    <row r="2555" spans="1:9" x14ac:dyDescent="0.25">
      <c r="A2555" s="299">
        <v>42968</v>
      </c>
      <c r="B2555" s="302" t="s">
        <v>26416</v>
      </c>
      <c r="C2555">
        <v>124527</v>
      </c>
      <c r="D2555" s="236" t="s">
        <v>15596</v>
      </c>
      <c r="E2555" s="301">
        <v>1150</v>
      </c>
      <c r="F2555" s="303">
        <v>42969</v>
      </c>
      <c r="G2555" s="301">
        <v>1150</v>
      </c>
      <c r="H2555" s="304">
        <f>Tabla13[[#This Row],[Importe]]-Tabla13[[#This Row],[Pagado]]</f>
        <v>0</v>
      </c>
      <c r="I2555" s="275" t="s">
        <v>15214</v>
      </c>
    </row>
    <row r="2556" spans="1:9" x14ac:dyDescent="0.25">
      <c r="A2556" s="299">
        <v>42968</v>
      </c>
      <c r="B2556" s="302" t="s">
        <v>26417</v>
      </c>
      <c r="C2556">
        <v>124528</v>
      </c>
      <c r="D2556" s="236" t="s">
        <v>15391</v>
      </c>
      <c r="E2556" s="301">
        <v>6489</v>
      </c>
      <c r="F2556" s="303">
        <v>42969</v>
      </c>
      <c r="G2556" s="301">
        <v>6489</v>
      </c>
      <c r="H2556" s="304">
        <f>Tabla13[[#This Row],[Importe]]-Tabla13[[#This Row],[Pagado]]</f>
        <v>0</v>
      </c>
      <c r="I2556" s="275" t="s">
        <v>15214</v>
      </c>
    </row>
    <row r="2557" spans="1:9" x14ac:dyDescent="0.25">
      <c r="A2557" s="299">
        <v>42968</v>
      </c>
      <c r="B2557" s="302" t="s">
        <v>26418</v>
      </c>
      <c r="C2557">
        <v>124529</v>
      </c>
      <c r="D2557" s="236" t="s">
        <v>15274</v>
      </c>
      <c r="E2557" s="301">
        <v>920</v>
      </c>
      <c r="F2557" s="303">
        <v>42969</v>
      </c>
      <c r="G2557" s="301">
        <v>920</v>
      </c>
      <c r="H2557" s="304">
        <f>Tabla13[[#This Row],[Importe]]-Tabla13[[#This Row],[Pagado]]</f>
        <v>0</v>
      </c>
      <c r="I2557" s="275" t="s">
        <v>15214</v>
      </c>
    </row>
    <row r="2558" spans="1:9" x14ac:dyDescent="0.25">
      <c r="A2558" s="299">
        <v>42968</v>
      </c>
      <c r="B2558" s="302" t="s">
        <v>26419</v>
      </c>
      <c r="C2558">
        <v>124530</v>
      </c>
      <c r="D2558" s="236" t="s">
        <v>15291</v>
      </c>
      <c r="E2558" s="301">
        <v>736</v>
      </c>
      <c r="F2558" s="303">
        <v>42969</v>
      </c>
      <c r="G2558" s="301">
        <v>736</v>
      </c>
      <c r="H2558" s="304">
        <f>Tabla13[[#This Row],[Importe]]-Tabla13[[#This Row],[Pagado]]</f>
        <v>0</v>
      </c>
      <c r="I2558" s="275" t="s">
        <v>15214</v>
      </c>
    </row>
    <row r="2559" spans="1:9" x14ac:dyDescent="0.25">
      <c r="A2559" s="299">
        <v>42968</v>
      </c>
      <c r="B2559" s="302" t="s">
        <v>26420</v>
      </c>
      <c r="C2559">
        <v>124531</v>
      </c>
      <c r="D2559" s="236" t="s">
        <v>15286</v>
      </c>
      <c r="E2559" s="301">
        <v>7334.4</v>
      </c>
      <c r="F2559" s="303">
        <v>42969</v>
      </c>
      <c r="G2559" s="301">
        <v>7334.4</v>
      </c>
      <c r="H2559" s="304">
        <f>Tabla13[[#This Row],[Importe]]-Tabla13[[#This Row],[Pagado]]</f>
        <v>0</v>
      </c>
      <c r="I2559" s="275" t="s">
        <v>15214</v>
      </c>
    </row>
    <row r="2560" spans="1:9" x14ac:dyDescent="0.25">
      <c r="A2560" s="299">
        <v>42968</v>
      </c>
      <c r="B2560" s="302" t="s">
        <v>26421</v>
      </c>
      <c r="C2560">
        <v>124532</v>
      </c>
      <c r="D2560" s="236" t="s">
        <v>15510</v>
      </c>
      <c r="E2560" s="301">
        <v>36821.4</v>
      </c>
      <c r="F2560" s="303">
        <v>42969</v>
      </c>
      <c r="G2560" s="301">
        <v>36821.4</v>
      </c>
      <c r="H2560" s="304">
        <f>Tabla13[[#This Row],[Importe]]-Tabla13[[#This Row],[Pagado]]</f>
        <v>0</v>
      </c>
      <c r="I2560" s="275" t="s">
        <v>15214</v>
      </c>
    </row>
    <row r="2561" spans="1:9" x14ac:dyDescent="0.25">
      <c r="A2561" s="299">
        <v>42968</v>
      </c>
      <c r="B2561" s="302" t="s">
        <v>26422</v>
      </c>
      <c r="C2561">
        <v>124533</v>
      </c>
      <c r="D2561" s="236" t="s">
        <v>15317</v>
      </c>
      <c r="E2561" s="301">
        <v>3264</v>
      </c>
      <c r="F2561" s="303">
        <v>42971</v>
      </c>
      <c r="G2561" s="301">
        <v>3264</v>
      </c>
      <c r="H2561" s="304">
        <f>Tabla13[[#This Row],[Importe]]-Tabla13[[#This Row],[Pagado]]</f>
        <v>0</v>
      </c>
      <c r="I2561" s="275" t="s">
        <v>15214</v>
      </c>
    </row>
    <row r="2562" spans="1:9" x14ac:dyDescent="0.25">
      <c r="A2562" s="299">
        <v>42968</v>
      </c>
      <c r="B2562" s="302" t="s">
        <v>26423</v>
      </c>
      <c r="C2562">
        <v>124534</v>
      </c>
      <c r="D2562" s="236" t="s">
        <v>15348</v>
      </c>
      <c r="E2562" s="301">
        <v>3126.3</v>
      </c>
      <c r="F2562" s="303">
        <v>42969</v>
      </c>
      <c r="G2562" s="301">
        <v>3126.3</v>
      </c>
      <c r="H2562" s="304">
        <f>Tabla13[[#This Row],[Importe]]-Tabla13[[#This Row],[Pagado]]</f>
        <v>0</v>
      </c>
      <c r="I2562" s="275" t="s">
        <v>15214</v>
      </c>
    </row>
    <row r="2563" spans="1:9" x14ac:dyDescent="0.25">
      <c r="A2563" s="299">
        <v>42968</v>
      </c>
      <c r="B2563" s="302" t="s">
        <v>26424</v>
      </c>
      <c r="C2563">
        <v>124535</v>
      </c>
      <c r="D2563" s="236" t="s">
        <v>15415</v>
      </c>
      <c r="E2563" s="301">
        <v>4113</v>
      </c>
      <c r="F2563" s="303">
        <v>42971</v>
      </c>
      <c r="G2563" s="301">
        <v>4113</v>
      </c>
      <c r="H2563" s="304">
        <f>Tabla13[[#This Row],[Importe]]-Tabla13[[#This Row],[Pagado]]</f>
        <v>0</v>
      </c>
      <c r="I2563" s="275" t="s">
        <v>15214</v>
      </c>
    </row>
    <row r="2564" spans="1:9" x14ac:dyDescent="0.25">
      <c r="A2564" s="299">
        <v>42968</v>
      </c>
      <c r="B2564" s="302" t="s">
        <v>26425</v>
      </c>
      <c r="C2564">
        <v>124536</v>
      </c>
      <c r="D2564" s="236" t="s">
        <v>15387</v>
      </c>
      <c r="E2564" s="301">
        <v>3385.54</v>
      </c>
      <c r="F2564" s="303">
        <v>42968</v>
      </c>
      <c r="G2564" s="301">
        <v>3385.54</v>
      </c>
      <c r="H2564" s="304">
        <f>Tabla13[[#This Row],[Importe]]-Tabla13[[#This Row],[Pagado]]</f>
        <v>0</v>
      </c>
      <c r="I2564" s="275" t="s">
        <v>15214</v>
      </c>
    </row>
    <row r="2565" spans="1:9" x14ac:dyDescent="0.25">
      <c r="A2565" s="299">
        <v>42968</v>
      </c>
      <c r="B2565" s="302" t="s">
        <v>26426</v>
      </c>
      <c r="C2565">
        <v>124537</v>
      </c>
      <c r="D2565" s="236" t="s">
        <v>15526</v>
      </c>
      <c r="E2565" s="301">
        <v>2805</v>
      </c>
      <c r="F2565" s="303">
        <v>42968</v>
      </c>
      <c r="G2565" s="301">
        <v>2805</v>
      </c>
      <c r="H2565" s="304">
        <f>Tabla13[[#This Row],[Importe]]-Tabla13[[#This Row],[Pagado]]</f>
        <v>0</v>
      </c>
      <c r="I2565" s="275" t="s">
        <v>15214</v>
      </c>
    </row>
    <row r="2566" spans="1:9" x14ac:dyDescent="0.25">
      <c r="A2566" s="299">
        <v>42968</v>
      </c>
      <c r="B2566" s="302" t="s">
        <v>26427</v>
      </c>
      <c r="C2566">
        <v>124538</v>
      </c>
      <c r="D2566" s="236" t="s">
        <v>15289</v>
      </c>
      <c r="E2566" s="301">
        <v>583</v>
      </c>
      <c r="F2566" s="303">
        <v>42968</v>
      </c>
      <c r="G2566" s="301">
        <v>583</v>
      </c>
      <c r="H2566" s="304">
        <f>Tabla13[[#This Row],[Importe]]-Tabla13[[#This Row],[Pagado]]</f>
        <v>0</v>
      </c>
      <c r="I2566" s="275" t="s">
        <v>15214</v>
      </c>
    </row>
    <row r="2567" spans="1:9" x14ac:dyDescent="0.25">
      <c r="A2567" s="299">
        <v>42968</v>
      </c>
      <c r="B2567" s="302" t="s">
        <v>26428</v>
      </c>
      <c r="C2567">
        <v>124539</v>
      </c>
      <c r="D2567" s="236" t="s">
        <v>18544</v>
      </c>
      <c r="E2567" s="301">
        <v>13756.4</v>
      </c>
      <c r="F2567" s="303">
        <v>42968</v>
      </c>
      <c r="G2567" s="301">
        <v>13756.4</v>
      </c>
      <c r="H2567" s="304">
        <f>Tabla13[[#This Row],[Importe]]-Tabla13[[#This Row],[Pagado]]</f>
        <v>0</v>
      </c>
      <c r="I2567" s="275" t="s">
        <v>15214</v>
      </c>
    </row>
    <row r="2568" spans="1:9" x14ac:dyDescent="0.25">
      <c r="A2568" s="299">
        <v>42968</v>
      </c>
      <c r="B2568" s="302" t="s">
        <v>26429</v>
      </c>
      <c r="C2568">
        <v>124540</v>
      </c>
      <c r="D2568" s="236" t="s">
        <v>15354</v>
      </c>
      <c r="E2568" s="301">
        <v>2449.5</v>
      </c>
      <c r="F2568" s="303">
        <v>42968</v>
      </c>
      <c r="G2568" s="301">
        <v>2449.5</v>
      </c>
      <c r="H2568" s="304">
        <f>Tabla13[[#This Row],[Importe]]-Tabla13[[#This Row],[Pagado]]</f>
        <v>0</v>
      </c>
      <c r="I2568" s="275" t="s">
        <v>15214</v>
      </c>
    </row>
    <row r="2569" spans="1:9" x14ac:dyDescent="0.25">
      <c r="A2569" s="299">
        <v>42968</v>
      </c>
      <c r="B2569" s="302" t="s">
        <v>26430</v>
      </c>
      <c r="C2569">
        <v>124541</v>
      </c>
      <c r="D2569" s="236" t="s">
        <v>15378</v>
      </c>
      <c r="E2569" s="301">
        <v>5486.9</v>
      </c>
      <c r="F2569" s="303">
        <v>42968</v>
      </c>
      <c r="G2569" s="301">
        <v>5486.9</v>
      </c>
      <c r="H2569" s="304">
        <f>Tabla13[[#This Row],[Importe]]-Tabla13[[#This Row],[Pagado]]</f>
        <v>0</v>
      </c>
      <c r="I2569" s="275" t="s">
        <v>15214</v>
      </c>
    </row>
    <row r="2570" spans="1:9" x14ac:dyDescent="0.25">
      <c r="A2570" s="299">
        <v>42968</v>
      </c>
      <c r="B2570" s="302" t="s">
        <v>26431</v>
      </c>
      <c r="C2570">
        <v>124542</v>
      </c>
      <c r="D2570" s="236" t="s">
        <v>15742</v>
      </c>
      <c r="E2570" s="301">
        <v>1905.6</v>
      </c>
      <c r="F2570" s="303">
        <v>42968</v>
      </c>
      <c r="G2570" s="301">
        <v>1905.6</v>
      </c>
      <c r="H2570" s="304">
        <f>Tabla13[[#This Row],[Importe]]-Tabla13[[#This Row],[Pagado]]</f>
        <v>0</v>
      </c>
      <c r="I2570" s="275" t="s">
        <v>15214</v>
      </c>
    </row>
    <row r="2571" spans="1:9" x14ac:dyDescent="0.25">
      <c r="A2571" s="299">
        <v>42968</v>
      </c>
      <c r="B2571" s="302" t="s">
        <v>26432</v>
      </c>
      <c r="C2571">
        <v>124543</v>
      </c>
      <c r="D2571" s="236" t="s">
        <v>15742</v>
      </c>
      <c r="E2571" s="301">
        <v>1345.4</v>
      </c>
      <c r="F2571" s="303">
        <v>42968</v>
      </c>
      <c r="G2571" s="301">
        <v>1345.4</v>
      </c>
      <c r="H2571" s="304">
        <f>Tabla13[[#This Row],[Importe]]-Tabla13[[#This Row],[Pagado]]</f>
        <v>0</v>
      </c>
      <c r="I2571" s="275" t="s">
        <v>15214</v>
      </c>
    </row>
    <row r="2572" spans="1:9" x14ac:dyDescent="0.25">
      <c r="A2572" s="299">
        <v>42968</v>
      </c>
      <c r="B2572" s="302" t="s">
        <v>26433</v>
      </c>
      <c r="C2572">
        <v>124544</v>
      </c>
      <c r="D2572" s="236" t="s">
        <v>15344</v>
      </c>
      <c r="E2572" s="301">
        <v>2721.6</v>
      </c>
      <c r="F2572" s="303">
        <v>42968</v>
      </c>
      <c r="G2572" s="301">
        <v>2721.6</v>
      </c>
      <c r="H2572" s="304">
        <f>Tabla13[[#This Row],[Importe]]-Tabla13[[#This Row],[Pagado]]</f>
        <v>0</v>
      </c>
      <c r="I2572" s="275" t="s">
        <v>15214</v>
      </c>
    </row>
    <row r="2573" spans="1:9" x14ac:dyDescent="0.25">
      <c r="A2573" s="299">
        <v>42968</v>
      </c>
      <c r="B2573" s="302" t="s">
        <v>26434</v>
      </c>
      <c r="C2573">
        <v>124545</v>
      </c>
      <c r="D2573" s="236" t="s">
        <v>16171</v>
      </c>
      <c r="E2573" s="301">
        <v>469.8</v>
      </c>
      <c r="F2573" s="303">
        <v>42968</v>
      </c>
      <c r="G2573" s="301">
        <v>469.8</v>
      </c>
      <c r="H2573" s="304">
        <f>Tabla13[[#This Row],[Importe]]-Tabla13[[#This Row],[Pagado]]</f>
        <v>0</v>
      </c>
      <c r="I2573" s="275" t="s">
        <v>15214</v>
      </c>
    </row>
    <row r="2574" spans="1:9" x14ac:dyDescent="0.25">
      <c r="A2574" s="299">
        <v>42968</v>
      </c>
      <c r="B2574" s="302" t="s">
        <v>26435</v>
      </c>
      <c r="C2574">
        <v>124546</v>
      </c>
      <c r="D2574" s="236" t="s">
        <v>15858</v>
      </c>
      <c r="E2574" s="301">
        <v>145.80000000000001</v>
      </c>
      <c r="F2574" s="303">
        <v>42968</v>
      </c>
      <c r="G2574" s="301">
        <v>145.80000000000001</v>
      </c>
      <c r="H2574" s="304">
        <f>Tabla13[[#This Row],[Importe]]-Tabla13[[#This Row],[Pagado]]</f>
        <v>0</v>
      </c>
      <c r="I2574" s="275" t="s">
        <v>15214</v>
      </c>
    </row>
    <row r="2575" spans="1:9" x14ac:dyDescent="0.25">
      <c r="A2575" s="299">
        <v>42968</v>
      </c>
      <c r="B2575" s="302" t="s">
        <v>26436</v>
      </c>
      <c r="C2575">
        <v>124547</v>
      </c>
      <c r="D2575" s="236" t="s">
        <v>15358</v>
      </c>
      <c r="E2575" s="301">
        <v>778.5</v>
      </c>
      <c r="F2575" s="303">
        <v>42968</v>
      </c>
      <c r="G2575" s="301">
        <v>778.5</v>
      </c>
      <c r="H2575" s="304">
        <f>Tabla13[[#This Row],[Importe]]-Tabla13[[#This Row],[Pagado]]</f>
        <v>0</v>
      </c>
      <c r="I2575" s="275" t="s">
        <v>15214</v>
      </c>
    </row>
    <row r="2576" spans="1:9" x14ac:dyDescent="0.25">
      <c r="A2576" s="299">
        <v>42968</v>
      </c>
      <c r="B2576" s="302" t="s">
        <v>26437</v>
      </c>
      <c r="C2576">
        <v>124548</v>
      </c>
      <c r="D2576" s="236" t="s">
        <v>15336</v>
      </c>
      <c r="E2576" s="301">
        <v>5458.5</v>
      </c>
      <c r="F2576" s="303">
        <v>42968</v>
      </c>
      <c r="G2576" s="301">
        <v>5458.5</v>
      </c>
      <c r="H2576" s="304">
        <f>Tabla13[[#This Row],[Importe]]-Tabla13[[#This Row],[Pagado]]</f>
        <v>0</v>
      </c>
      <c r="I2576" s="275" t="s">
        <v>15214</v>
      </c>
    </row>
    <row r="2577" spans="1:9" x14ac:dyDescent="0.25">
      <c r="A2577" s="299">
        <v>42968</v>
      </c>
      <c r="B2577" s="302" t="s">
        <v>26438</v>
      </c>
      <c r="C2577">
        <v>124549</v>
      </c>
      <c r="D2577" s="236" t="s">
        <v>15336</v>
      </c>
      <c r="E2577" s="301">
        <v>1346.4</v>
      </c>
      <c r="F2577" s="303">
        <v>42968</v>
      </c>
      <c r="G2577" s="301">
        <v>1346.4</v>
      </c>
      <c r="H2577" s="304">
        <f>Tabla13[[#This Row],[Importe]]-Tabla13[[#This Row],[Pagado]]</f>
        <v>0</v>
      </c>
      <c r="I2577" s="275" t="s">
        <v>15214</v>
      </c>
    </row>
    <row r="2578" spans="1:9" x14ac:dyDescent="0.25">
      <c r="A2578" s="299">
        <v>42968</v>
      </c>
      <c r="B2578" s="302" t="s">
        <v>26439</v>
      </c>
      <c r="C2578">
        <v>124550</v>
      </c>
      <c r="D2578" s="236" t="s">
        <v>15328</v>
      </c>
      <c r="E2578" s="301">
        <v>422.68</v>
      </c>
      <c r="F2578" s="303">
        <v>42976</v>
      </c>
      <c r="G2578" s="301">
        <v>422.68</v>
      </c>
      <c r="H2578" s="304">
        <f>Tabla13[[#This Row],[Importe]]-Tabla13[[#This Row],[Pagado]]</f>
        <v>0</v>
      </c>
      <c r="I2578" s="275" t="s">
        <v>15214</v>
      </c>
    </row>
    <row r="2579" spans="1:9" x14ac:dyDescent="0.25">
      <c r="A2579" s="299">
        <v>42968</v>
      </c>
      <c r="B2579" s="302" t="s">
        <v>26440</v>
      </c>
      <c r="C2579">
        <v>124551</v>
      </c>
      <c r="D2579" s="236" t="s">
        <v>15394</v>
      </c>
      <c r="E2579" s="301">
        <v>19951.8</v>
      </c>
      <c r="F2579" s="303">
        <v>42973</v>
      </c>
      <c r="G2579" s="301">
        <v>19951.8</v>
      </c>
      <c r="H2579" s="304">
        <f>Tabla13[[#This Row],[Importe]]-Tabla13[[#This Row],[Pagado]]</f>
        <v>0</v>
      </c>
      <c r="I2579" s="275" t="s">
        <v>15214</v>
      </c>
    </row>
    <row r="2580" spans="1:9" ht="15.75" x14ac:dyDescent="0.25">
      <c r="A2580" s="299">
        <v>42968</v>
      </c>
      <c r="B2580" s="302" t="s">
        <v>26441</v>
      </c>
      <c r="C2580">
        <v>124552</v>
      </c>
      <c r="D2580" s="248" t="s">
        <v>95</v>
      </c>
      <c r="E2580" s="301">
        <v>0</v>
      </c>
      <c r="F2580" s="243" t="s">
        <v>95</v>
      </c>
      <c r="G2580" s="301">
        <v>0</v>
      </c>
      <c r="H2580" s="304">
        <f>Tabla13[[#This Row],[Importe]]-Tabla13[[#This Row],[Pagado]]</f>
        <v>0</v>
      </c>
      <c r="I2580" s="275" t="s">
        <v>95</v>
      </c>
    </row>
    <row r="2581" spans="1:9" x14ac:dyDescent="0.25">
      <c r="A2581" s="299">
        <v>42968</v>
      </c>
      <c r="B2581" s="302" t="s">
        <v>26442</v>
      </c>
      <c r="C2581">
        <v>124553</v>
      </c>
      <c r="D2581" s="236" t="s">
        <v>15530</v>
      </c>
      <c r="E2581" s="301">
        <v>3244.8</v>
      </c>
      <c r="F2581" s="303">
        <v>42968</v>
      </c>
      <c r="G2581" s="301">
        <v>3244.8</v>
      </c>
      <c r="H2581" s="304">
        <f>Tabla13[[#This Row],[Importe]]-Tabla13[[#This Row],[Pagado]]</f>
        <v>0</v>
      </c>
      <c r="I2581" s="275" t="s">
        <v>15214</v>
      </c>
    </row>
    <row r="2582" spans="1:9" x14ac:dyDescent="0.25">
      <c r="A2582" s="299">
        <v>42968</v>
      </c>
      <c r="B2582" s="302" t="s">
        <v>26443</v>
      </c>
      <c r="C2582">
        <v>124554</v>
      </c>
      <c r="D2582" s="236" t="s">
        <v>15322</v>
      </c>
      <c r="E2582" s="301">
        <v>970.2</v>
      </c>
      <c r="F2582" s="303">
        <v>42968</v>
      </c>
      <c r="G2582" s="301">
        <v>970.2</v>
      </c>
      <c r="H2582" s="304">
        <f>Tabla13[[#This Row],[Importe]]-Tabla13[[#This Row],[Pagado]]</f>
        <v>0</v>
      </c>
      <c r="I2582" s="275" t="s">
        <v>15214</v>
      </c>
    </row>
    <row r="2583" spans="1:9" x14ac:dyDescent="0.25">
      <c r="A2583" s="299">
        <v>42968</v>
      </c>
      <c r="B2583" s="302" t="s">
        <v>26444</v>
      </c>
      <c r="C2583">
        <v>124555</v>
      </c>
      <c r="D2583" s="236" t="s">
        <v>23937</v>
      </c>
      <c r="E2583" s="301">
        <v>3810</v>
      </c>
      <c r="F2583" s="303">
        <v>42968</v>
      </c>
      <c r="G2583" s="301">
        <v>3810</v>
      </c>
      <c r="H2583" s="304">
        <f>Tabla13[[#This Row],[Importe]]-Tabla13[[#This Row],[Pagado]]</f>
        <v>0</v>
      </c>
      <c r="I2583" s="275" t="s">
        <v>15214</v>
      </c>
    </row>
    <row r="2584" spans="1:9" x14ac:dyDescent="0.25">
      <c r="A2584" s="299">
        <v>42968</v>
      </c>
      <c r="B2584" s="302" t="s">
        <v>26445</v>
      </c>
      <c r="C2584">
        <v>124556</v>
      </c>
      <c r="D2584" s="236" t="s">
        <v>15252</v>
      </c>
      <c r="E2584" s="301">
        <v>5027.8999999999996</v>
      </c>
      <c r="F2584" s="303">
        <v>42975</v>
      </c>
      <c r="G2584" s="301">
        <v>5027.8999999999996</v>
      </c>
      <c r="H2584" s="304">
        <f>Tabla13[[#This Row],[Importe]]-Tabla13[[#This Row],[Pagado]]</f>
        <v>0</v>
      </c>
      <c r="I2584" s="275" t="s">
        <v>15214</v>
      </c>
    </row>
    <row r="2585" spans="1:9" x14ac:dyDescent="0.25">
      <c r="A2585" s="299">
        <v>42968</v>
      </c>
      <c r="B2585" s="302" t="s">
        <v>26446</v>
      </c>
      <c r="C2585">
        <v>124557</v>
      </c>
      <c r="D2585" s="236" t="s">
        <v>15373</v>
      </c>
      <c r="E2585" s="301">
        <v>14306</v>
      </c>
      <c r="F2585" s="303">
        <v>42971</v>
      </c>
      <c r="G2585" s="301">
        <v>14306</v>
      </c>
      <c r="H2585" s="304">
        <f>Tabla13[[#This Row],[Importe]]-Tabla13[[#This Row],[Pagado]]</f>
        <v>0</v>
      </c>
      <c r="I2585" s="275" t="s">
        <v>15214</v>
      </c>
    </row>
    <row r="2586" spans="1:9" x14ac:dyDescent="0.25">
      <c r="A2586" s="299">
        <v>42968</v>
      </c>
      <c r="B2586" s="302" t="s">
        <v>26447</v>
      </c>
      <c r="C2586">
        <v>124558</v>
      </c>
      <c r="D2586" s="236" t="s">
        <v>15244</v>
      </c>
      <c r="E2586" s="301">
        <v>15668.3</v>
      </c>
      <c r="F2586" s="303">
        <v>42977</v>
      </c>
      <c r="G2586" s="301">
        <v>15668.3</v>
      </c>
      <c r="H2586" s="304">
        <f>Tabla13[[#This Row],[Importe]]-Tabla13[[#This Row],[Pagado]]</f>
        <v>0</v>
      </c>
      <c r="I2586" s="275" t="s">
        <v>15214</v>
      </c>
    </row>
    <row r="2587" spans="1:9" x14ac:dyDescent="0.25">
      <c r="A2587" s="299">
        <v>42968</v>
      </c>
      <c r="B2587" s="302" t="s">
        <v>26448</v>
      </c>
      <c r="C2587">
        <v>124559</v>
      </c>
      <c r="D2587" s="236" t="s">
        <v>15380</v>
      </c>
      <c r="E2587" s="301">
        <v>53721.599999999999</v>
      </c>
      <c r="F2587" s="266">
        <v>42986</v>
      </c>
      <c r="G2587" s="35">
        <v>53721.599999999999</v>
      </c>
      <c r="H2587" s="304">
        <f>Tabla13[[#This Row],[Importe]]-Tabla13[[#This Row],[Pagado]]</f>
        <v>0</v>
      </c>
      <c r="I2587" s="275" t="s">
        <v>15214</v>
      </c>
    </row>
    <row r="2588" spans="1:9" x14ac:dyDescent="0.25">
      <c r="A2588" s="299">
        <v>42968</v>
      </c>
      <c r="B2588" s="302" t="s">
        <v>26449</v>
      </c>
      <c r="C2588">
        <v>124560</v>
      </c>
      <c r="D2588" s="236" t="s">
        <v>15382</v>
      </c>
      <c r="E2588" s="301">
        <v>12265.5</v>
      </c>
      <c r="F2588" s="266">
        <v>42980</v>
      </c>
      <c r="G2588" s="35">
        <v>12265.5</v>
      </c>
      <c r="H2588" s="304">
        <f>Tabla13[[#This Row],[Importe]]-Tabla13[[#This Row],[Pagado]]</f>
        <v>0</v>
      </c>
      <c r="I2588" s="275" t="s">
        <v>15214</v>
      </c>
    </row>
    <row r="2589" spans="1:9" x14ac:dyDescent="0.25">
      <c r="A2589" s="299">
        <v>42968</v>
      </c>
      <c r="B2589" s="302" t="s">
        <v>26450</v>
      </c>
      <c r="C2589">
        <v>124561</v>
      </c>
      <c r="D2589" s="236" t="s">
        <v>15389</v>
      </c>
      <c r="E2589" s="301">
        <v>15792.8</v>
      </c>
      <c r="F2589" s="266">
        <v>42980</v>
      </c>
      <c r="G2589" s="35">
        <v>15792.8</v>
      </c>
      <c r="H2589" s="304">
        <f>Tabla13[[#This Row],[Importe]]-Tabla13[[#This Row],[Pagado]]</f>
        <v>0</v>
      </c>
      <c r="I2589" s="275" t="s">
        <v>15214</v>
      </c>
    </row>
    <row r="2590" spans="1:9" x14ac:dyDescent="0.25">
      <c r="A2590" s="299">
        <v>42968</v>
      </c>
      <c r="B2590" s="302" t="s">
        <v>26451</v>
      </c>
      <c r="C2590">
        <v>124562</v>
      </c>
      <c r="D2590" s="236" t="s">
        <v>15369</v>
      </c>
      <c r="E2590" s="301">
        <v>25764.2</v>
      </c>
      <c r="F2590" s="266">
        <v>42980</v>
      </c>
      <c r="G2590" s="35">
        <v>25764.2</v>
      </c>
      <c r="H2590" s="304">
        <f>Tabla13[[#This Row],[Importe]]-Tabla13[[#This Row],[Pagado]]</f>
        <v>0</v>
      </c>
      <c r="I2590" s="275" t="s">
        <v>15214</v>
      </c>
    </row>
    <row r="2591" spans="1:9" x14ac:dyDescent="0.25">
      <c r="A2591" s="299">
        <v>42968</v>
      </c>
      <c r="B2591" s="302" t="s">
        <v>26452</v>
      </c>
      <c r="C2591">
        <v>124563</v>
      </c>
      <c r="D2591" s="236" t="s">
        <v>15223</v>
      </c>
      <c r="E2591" s="301">
        <v>46280.9</v>
      </c>
      <c r="F2591" s="266">
        <v>42991</v>
      </c>
      <c r="G2591" s="35">
        <v>46280.9</v>
      </c>
      <c r="H2591" s="304">
        <f>Tabla13[[#This Row],[Importe]]-Tabla13[[#This Row],[Pagado]]</f>
        <v>0</v>
      </c>
      <c r="I2591" s="275" t="s">
        <v>15214</v>
      </c>
    </row>
    <row r="2592" spans="1:9" x14ac:dyDescent="0.25">
      <c r="A2592" s="299">
        <v>42968</v>
      </c>
      <c r="B2592" s="302" t="s">
        <v>26453</v>
      </c>
      <c r="C2592">
        <v>124564</v>
      </c>
      <c r="D2592" s="236" t="s">
        <v>15240</v>
      </c>
      <c r="E2592" s="301">
        <v>3131.4</v>
      </c>
      <c r="F2592" s="303">
        <v>42970</v>
      </c>
      <c r="G2592" s="301">
        <v>3131.4</v>
      </c>
      <c r="H2592" s="304">
        <f>Tabla13[[#This Row],[Importe]]-Tabla13[[#This Row],[Pagado]]</f>
        <v>0</v>
      </c>
      <c r="I2592" s="275" t="s">
        <v>15214</v>
      </c>
    </row>
    <row r="2593" spans="1:9" ht="15.75" x14ac:dyDescent="0.25">
      <c r="A2593" s="299">
        <v>42968</v>
      </c>
      <c r="B2593" s="302" t="s">
        <v>26454</v>
      </c>
      <c r="C2593">
        <v>124565</v>
      </c>
      <c r="D2593" s="248" t="s">
        <v>95</v>
      </c>
      <c r="E2593" s="301">
        <v>0</v>
      </c>
      <c r="F2593" s="243" t="s">
        <v>95</v>
      </c>
      <c r="G2593" s="301">
        <v>0</v>
      </c>
      <c r="H2593" s="304">
        <f>Tabla13[[#This Row],[Importe]]-Tabla13[[#This Row],[Pagado]]</f>
        <v>0</v>
      </c>
      <c r="I2593" s="275" t="s">
        <v>95</v>
      </c>
    </row>
    <row r="2594" spans="1:9" x14ac:dyDescent="0.25">
      <c r="A2594" s="299">
        <v>42968</v>
      </c>
      <c r="B2594" s="302" t="s">
        <v>26455</v>
      </c>
      <c r="C2594">
        <v>124566</v>
      </c>
      <c r="D2594" s="236" t="s">
        <v>15396</v>
      </c>
      <c r="E2594" s="301">
        <v>4834.8</v>
      </c>
      <c r="F2594" s="303">
        <v>42968</v>
      </c>
      <c r="G2594" s="301">
        <v>4834.8</v>
      </c>
      <c r="H2594" s="304">
        <f>Tabla13[[#This Row],[Importe]]-Tabla13[[#This Row],[Pagado]]</f>
        <v>0</v>
      </c>
      <c r="I2594" s="275" t="s">
        <v>15214</v>
      </c>
    </row>
    <row r="2595" spans="1:9" x14ac:dyDescent="0.25">
      <c r="A2595" s="299">
        <v>42968</v>
      </c>
      <c r="B2595" s="302" t="s">
        <v>26456</v>
      </c>
      <c r="C2595">
        <v>124567</v>
      </c>
      <c r="D2595" s="236" t="s">
        <v>15315</v>
      </c>
      <c r="E2595" s="301">
        <v>31616.6</v>
      </c>
      <c r="F2595" s="303">
        <v>42970</v>
      </c>
      <c r="G2595" s="301">
        <v>31616.6</v>
      </c>
      <c r="H2595" s="304">
        <f>Tabla13[[#This Row],[Importe]]-Tabla13[[#This Row],[Pagado]]</f>
        <v>0</v>
      </c>
      <c r="I2595" s="275" t="s">
        <v>15214</v>
      </c>
    </row>
    <row r="2596" spans="1:9" ht="45" x14ac:dyDescent="0.25">
      <c r="A2596" s="299">
        <v>42968</v>
      </c>
      <c r="B2596" s="302" t="s">
        <v>26457</v>
      </c>
      <c r="C2596">
        <v>124568</v>
      </c>
      <c r="D2596" s="236" t="s">
        <v>15555</v>
      </c>
      <c r="E2596" s="301">
        <v>32572</v>
      </c>
      <c r="F2596" s="266" t="s">
        <v>27686</v>
      </c>
      <c r="G2596" s="133">
        <f>17689+13000+1883</f>
        <v>32572</v>
      </c>
      <c r="H2596" s="360">
        <f>Tabla13[[#This Row],[Importe]]-Tabla13[[#This Row],[Pagado]]</f>
        <v>0</v>
      </c>
      <c r="I2596" s="275" t="s">
        <v>15214</v>
      </c>
    </row>
    <row r="2597" spans="1:9" x14ac:dyDescent="0.25">
      <c r="A2597" s="299">
        <v>42968</v>
      </c>
      <c r="B2597" s="302" t="s">
        <v>26458</v>
      </c>
      <c r="C2597">
        <v>124569</v>
      </c>
      <c r="D2597" s="236" t="s">
        <v>15539</v>
      </c>
      <c r="E2597" s="301">
        <v>17302</v>
      </c>
      <c r="F2597" s="303">
        <v>42977</v>
      </c>
      <c r="G2597" s="301">
        <v>17302</v>
      </c>
      <c r="H2597" s="304">
        <f>Tabla13[[#This Row],[Importe]]-Tabla13[[#This Row],[Pagado]]</f>
        <v>0</v>
      </c>
      <c r="I2597" s="275" t="s">
        <v>15214</v>
      </c>
    </row>
    <row r="2598" spans="1:9" x14ac:dyDescent="0.25">
      <c r="A2598" s="299">
        <v>42968</v>
      </c>
      <c r="B2598" s="302" t="s">
        <v>26459</v>
      </c>
      <c r="C2598">
        <v>124570</v>
      </c>
      <c r="D2598" s="236" t="s">
        <v>15537</v>
      </c>
      <c r="E2598" s="301">
        <v>25182.2</v>
      </c>
      <c r="F2598" s="303">
        <v>42973</v>
      </c>
      <c r="G2598" s="301">
        <v>25182.2</v>
      </c>
      <c r="H2598" s="304">
        <f>Tabla13[[#This Row],[Importe]]-Tabla13[[#This Row],[Pagado]]</f>
        <v>0</v>
      </c>
      <c r="I2598" s="275" t="s">
        <v>15214</v>
      </c>
    </row>
    <row r="2599" spans="1:9" x14ac:dyDescent="0.25">
      <c r="A2599" s="299">
        <v>42968</v>
      </c>
      <c r="B2599" s="302" t="s">
        <v>26460</v>
      </c>
      <c r="C2599">
        <v>124571</v>
      </c>
      <c r="D2599" s="236" t="s">
        <v>15256</v>
      </c>
      <c r="E2599" s="301">
        <v>3406.2</v>
      </c>
      <c r="F2599" s="303">
        <v>42972</v>
      </c>
      <c r="G2599" s="301">
        <v>3406.2</v>
      </c>
      <c r="H2599" s="304">
        <f>Tabla13[[#This Row],[Importe]]-Tabla13[[#This Row],[Pagado]]</f>
        <v>0</v>
      </c>
      <c r="I2599" s="275" t="s">
        <v>15214</v>
      </c>
    </row>
    <row r="2600" spans="1:9" x14ac:dyDescent="0.25">
      <c r="A2600" s="299">
        <v>42968</v>
      </c>
      <c r="B2600" s="302" t="s">
        <v>26461</v>
      </c>
      <c r="C2600">
        <v>124572</v>
      </c>
      <c r="D2600" s="236" t="s">
        <v>15706</v>
      </c>
      <c r="E2600" s="301">
        <v>2337.4</v>
      </c>
      <c r="F2600" s="303">
        <v>42968</v>
      </c>
      <c r="G2600" s="301">
        <v>2337.4</v>
      </c>
      <c r="H2600" s="304">
        <f>Tabla13[[#This Row],[Importe]]-Tabla13[[#This Row],[Pagado]]</f>
        <v>0</v>
      </c>
      <c r="I2600" s="275" t="s">
        <v>15214</v>
      </c>
    </row>
    <row r="2601" spans="1:9" x14ac:dyDescent="0.25">
      <c r="A2601" s="299">
        <v>42968</v>
      </c>
      <c r="B2601" s="302" t="s">
        <v>26462</v>
      </c>
      <c r="C2601">
        <v>124573</v>
      </c>
      <c r="D2601" s="236" t="s">
        <v>15282</v>
      </c>
      <c r="E2601" s="301">
        <v>780</v>
      </c>
      <c r="F2601" s="303">
        <v>42968</v>
      </c>
      <c r="G2601" s="301">
        <v>780</v>
      </c>
      <c r="H2601" s="304">
        <f>Tabla13[[#This Row],[Importe]]-Tabla13[[#This Row],[Pagado]]</f>
        <v>0</v>
      </c>
      <c r="I2601" s="275" t="s">
        <v>15214</v>
      </c>
    </row>
    <row r="2602" spans="1:9" x14ac:dyDescent="0.25">
      <c r="A2602" s="299">
        <v>42968</v>
      </c>
      <c r="B2602" s="302" t="s">
        <v>26463</v>
      </c>
      <c r="C2602">
        <v>124574</v>
      </c>
      <c r="D2602" s="236" t="s">
        <v>15338</v>
      </c>
      <c r="E2602" s="301">
        <v>10089.5</v>
      </c>
      <c r="F2602" s="303">
        <v>42970</v>
      </c>
      <c r="G2602" s="301">
        <v>10089.5</v>
      </c>
      <c r="H2602" s="304">
        <f>Tabla13[[#This Row],[Importe]]-Tabla13[[#This Row],[Pagado]]</f>
        <v>0</v>
      </c>
      <c r="I2602" s="275" t="s">
        <v>15214</v>
      </c>
    </row>
    <row r="2603" spans="1:9" x14ac:dyDescent="0.25">
      <c r="A2603" s="299">
        <v>42968</v>
      </c>
      <c r="B2603" s="302" t="s">
        <v>26464</v>
      </c>
      <c r="C2603">
        <v>124575</v>
      </c>
      <c r="D2603" s="236" t="s">
        <v>15442</v>
      </c>
      <c r="E2603" s="301">
        <v>17372</v>
      </c>
      <c r="F2603" s="303">
        <v>42977</v>
      </c>
      <c r="G2603" s="301">
        <v>17372</v>
      </c>
      <c r="H2603" s="304">
        <f>Tabla13[[#This Row],[Importe]]-Tabla13[[#This Row],[Pagado]]</f>
        <v>0</v>
      </c>
      <c r="I2603" s="275" t="s">
        <v>15214</v>
      </c>
    </row>
    <row r="2604" spans="1:9" x14ac:dyDescent="0.25">
      <c r="A2604" s="299">
        <v>42968</v>
      </c>
      <c r="B2604" s="302" t="s">
        <v>26465</v>
      </c>
      <c r="C2604">
        <v>124576</v>
      </c>
      <c r="D2604" s="236" t="s">
        <v>15566</v>
      </c>
      <c r="E2604" s="301">
        <v>780.5</v>
      </c>
      <c r="F2604" s="303">
        <v>42968</v>
      </c>
      <c r="G2604" s="301">
        <v>780.5</v>
      </c>
      <c r="H2604" s="304">
        <f>Tabla13[[#This Row],[Importe]]-Tabla13[[#This Row],[Pagado]]</f>
        <v>0</v>
      </c>
      <c r="I2604" s="275" t="s">
        <v>15214</v>
      </c>
    </row>
    <row r="2605" spans="1:9" x14ac:dyDescent="0.25">
      <c r="A2605" s="299">
        <v>42968</v>
      </c>
      <c r="B2605" s="302" t="s">
        <v>26466</v>
      </c>
      <c r="C2605">
        <v>124577</v>
      </c>
      <c r="D2605" s="236" t="s">
        <v>15284</v>
      </c>
      <c r="E2605" s="301">
        <v>1036.8</v>
      </c>
      <c r="F2605" s="303">
        <v>42968</v>
      </c>
      <c r="G2605" s="301">
        <v>1036.8</v>
      </c>
      <c r="H2605" s="304">
        <f>Tabla13[[#This Row],[Importe]]-Tabla13[[#This Row],[Pagado]]</f>
        <v>0</v>
      </c>
      <c r="I2605" s="275" t="s">
        <v>15214</v>
      </c>
    </row>
    <row r="2606" spans="1:9" x14ac:dyDescent="0.25">
      <c r="A2606" s="299">
        <v>42968</v>
      </c>
      <c r="B2606" s="302" t="s">
        <v>26467</v>
      </c>
      <c r="C2606">
        <v>124578</v>
      </c>
      <c r="D2606" s="236" t="s">
        <v>15987</v>
      </c>
      <c r="E2606" s="301">
        <v>3404</v>
      </c>
      <c r="F2606" s="303">
        <v>42968</v>
      </c>
      <c r="G2606" s="301">
        <v>3404</v>
      </c>
      <c r="H2606" s="304">
        <f>Tabla13[[#This Row],[Importe]]-Tabla13[[#This Row],[Pagado]]</f>
        <v>0</v>
      </c>
      <c r="I2606" s="275" t="s">
        <v>15214</v>
      </c>
    </row>
    <row r="2607" spans="1:9" x14ac:dyDescent="0.25">
      <c r="A2607" s="299">
        <v>42968</v>
      </c>
      <c r="B2607" s="302" t="s">
        <v>26468</v>
      </c>
      <c r="C2607">
        <v>124579</v>
      </c>
      <c r="D2607" s="236" t="s">
        <v>15309</v>
      </c>
      <c r="E2607" s="301">
        <v>13002.7</v>
      </c>
      <c r="F2607" s="303">
        <v>42969</v>
      </c>
      <c r="G2607" s="301">
        <v>13002.7</v>
      </c>
      <c r="H2607" s="304">
        <f>Tabla13[[#This Row],[Importe]]-Tabla13[[#This Row],[Pagado]]</f>
        <v>0</v>
      </c>
      <c r="I2607" s="275" t="s">
        <v>15214</v>
      </c>
    </row>
    <row r="2608" spans="1:9" x14ac:dyDescent="0.25">
      <c r="A2608" s="299">
        <v>42968</v>
      </c>
      <c r="B2608" s="302" t="s">
        <v>26469</v>
      </c>
      <c r="C2608">
        <v>124580</v>
      </c>
      <c r="D2608" s="236" t="s">
        <v>15313</v>
      </c>
      <c r="E2608" s="301">
        <v>9698.4</v>
      </c>
      <c r="F2608" s="303">
        <v>42977</v>
      </c>
      <c r="G2608" s="301">
        <v>9698.4</v>
      </c>
      <c r="H2608" s="304">
        <f>Tabla13[[#This Row],[Importe]]-Tabla13[[#This Row],[Pagado]]</f>
        <v>0</v>
      </c>
      <c r="I2608" s="275" t="s">
        <v>15214</v>
      </c>
    </row>
    <row r="2609" spans="1:9" x14ac:dyDescent="0.25">
      <c r="A2609" s="299">
        <v>42968</v>
      </c>
      <c r="B2609" s="302" t="s">
        <v>26470</v>
      </c>
      <c r="C2609">
        <v>124581</v>
      </c>
      <c r="D2609" s="236" t="s">
        <v>15417</v>
      </c>
      <c r="E2609" s="301">
        <v>1971</v>
      </c>
      <c r="F2609" s="303">
        <v>42969</v>
      </c>
      <c r="G2609" s="301">
        <v>1971</v>
      </c>
      <c r="H2609" s="304">
        <f>Tabla13[[#This Row],[Importe]]-Tabla13[[#This Row],[Pagado]]</f>
        <v>0</v>
      </c>
      <c r="I2609" s="275" t="s">
        <v>15214</v>
      </c>
    </row>
    <row r="2610" spans="1:9" x14ac:dyDescent="0.25">
      <c r="A2610" s="299">
        <v>42968</v>
      </c>
      <c r="B2610" s="302" t="s">
        <v>26471</v>
      </c>
      <c r="C2610">
        <v>124582</v>
      </c>
      <c r="D2610" s="236" t="s">
        <v>15782</v>
      </c>
      <c r="E2610" s="301">
        <v>1491.6</v>
      </c>
      <c r="F2610" s="303">
        <v>42969</v>
      </c>
      <c r="G2610" s="301">
        <v>1491.6</v>
      </c>
      <c r="H2610" s="304">
        <f>Tabla13[[#This Row],[Importe]]-Tabla13[[#This Row],[Pagado]]</f>
        <v>0</v>
      </c>
      <c r="I2610" s="275" t="s">
        <v>15214</v>
      </c>
    </row>
    <row r="2611" spans="1:9" x14ac:dyDescent="0.25">
      <c r="A2611" s="299">
        <v>42968</v>
      </c>
      <c r="B2611" s="302" t="s">
        <v>26472</v>
      </c>
      <c r="C2611">
        <v>124583</v>
      </c>
      <c r="D2611" s="236" t="s">
        <v>15276</v>
      </c>
      <c r="E2611" s="301">
        <v>2300</v>
      </c>
      <c r="F2611" s="303">
        <v>42969</v>
      </c>
      <c r="G2611" s="301">
        <v>2300</v>
      </c>
      <c r="H2611" s="304">
        <f>Tabla13[[#This Row],[Importe]]-Tabla13[[#This Row],[Pagado]]</f>
        <v>0</v>
      </c>
      <c r="I2611" s="275" t="s">
        <v>15214</v>
      </c>
    </row>
    <row r="2612" spans="1:9" x14ac:dyDescent="0.25">
      <c r="A2612" s="299">
        <v>42968</v>
      </c>
      <c r="B2612" s="302" t="s">
        <v>26473</v>
      </c>
      <c r="C2612">
        <v>124584</v>
      </c>
      <c r="D2612" s="236" t="s">
        <v>22563</v>
      </c>
      <c r="E2612" s="301">
        <v>7436</v>
      </c>
      <c r="F2612" s="303">
        <v>42969</v>
      </c>
      <c r="G2612" s="301">
        <v>7436</v>
      </c>
      <c r="H2612" s="304">
        <f>Tabla13[[#This Row],[Importe]]-Tabla13[[#This Row],[Pagado]]</f>
        <v>0</v>
      </c>
      <c r="I2612" s="275" t="s">
        <v>15214</v>
      </c>
    </row>
    <row r="2613" spans="1:9" x14ac:dyDescent="0.25">
      <c r="A2613" s="299">
        <v>42968</v>
      </c>
      <c r="B2613" s="302" t="s">
        <v>26474</v>
      </c>
      <c r="C2613">
        <v>124585</v>
      </c>
      <c r="D2613" s="236" t="s">
        <v>23206</v>
      </c>
      <c r="E2613" s="301">
        <v>2419.1999999999998</v>
      </c>
      <c r="F2613" s="303">
        <v>42969</v>
      </c>
      <c r="G2613" s="301">
        <v>2419.1999999999998</v>
      </c>
      <c r="H2613" s="304">
        <f>Tabla13[[#This Row],[Importe]]-Tabla13[[#This Row],[Pagado]]</f>
        <v>0</v>
      </c>
      <c r="I2613" s="275" t="s">
        <v>15214</v>
      </c>
    </row>
    <row r="2614" spans="1:9" x14ac:dyDescent="0.25">
      <c r="A2614" s="299">
        <v>42968</v>
      </c>
      <c r="B2614" s="302" t="s">
        <v>26475</v>
      </c>
      <c r="C2614">
        <v>124586</v>
      </c>
      <c r="D2614" s="236" t="s">
        <v>15398</v>
      </c>
      <c r="E2614" s="301">
        <v>1304.8</v>
      </c>
      <c r="F2614" s="303">
        <v>42968</v>
      </c>
      <c r="G2614" s="301">
        <v>1304.8</v>
      </c>
      <c r="H2614" s="304">
        <f>Tabla13[[#This Row],[Importe]]-Tabla13[[#This Row],[Pagado]]</f>
        <v>0</v>
      </c>
      <c r="I2614" s="275" t="s">
        <v>15214</v>
      </c>
    </row>
    <row r="2615" spans="1:9" x14ac:dyDescent="0.25">
      <c r="A2615" s="299">
        <v>42968</v>
      </c>
      <c r="B2615" s="302" t="s">
        <v>26476</v>
      </c>
      <c r="C2615">
        <v>124587</v>
      </c>
      <c r="D2615" s="236" t="s">
        <v>15213</v>
      </c>
      <c r="E2615" s="301">
        <v>4013.9</v>
      </c>
      <c r="F2615" s="303">
        <v>42970</v>
      </c>
      <c r="G2615" s="301">
        <v>4013.9</v>
      </c>
      <c r="H2615" s="304">
        <f>Tabla13[[#This Row],[Importe]]-Tabla13[[#This Row],[Pagado]]</f>
        <v>0</v>
      </c>
      <c r="I2615" s="275" t="s">
        <v>15214</v>
      </c>
    </row>
    <row r="2616" spans="1:9" x14ac:dyDescent="0.25">
      <c r="A2616" s="299">
        <v>42968</v>
      </c>
      <c r="B2616" s="302" t="s">
        <v>26477</v>
      </c>
      <c r="C2616">
        <v>124588</v>
      </c>
      <c r="D2616" s="236" t="s">
        <v>15617</v>
      </c>
      <c r="E2616" s="301">
        <v>27774.799999999999</v>
      </c>
      <c r="F2616" s="303">
        <v>42969</v>
      </c>
      <c r="G2616" s="301">
        <v>27774.799999999999</v>
      </c>
      <c r="H2616" s="304">
        <f>Tabla13[[#This Row],[Importe]]-Tabla13[[#This Row],[Pagado]]</f>
        <v>0</v>
      </c>
      <c r="I2616" s="275" t="s">
        <v>15214</v>
      </c>
    </row>
    <row r="2617" spans="1:9" x14ac:dyDescent="0.25">
      <c r="A2617" s="299">
        <v>42968</v>
      </c>
      <c r="B2617" s="302" t="s">
        <v>26478</v>
      </c>
      <c r="C2617">
        <v>124589</v>
      </c>
      <c r="D2617" s="236" t="s">
        <v>19768</v>
      </c>
      <c r="E2617" s="301">
        <v>1380</v>
      </c>
      <c r="F2617" s="303">
        <v>42968</v>
      </c>
      <c r="G2617" s="301">
        <v>1380</v>
      </c>
      <c r="H2617" s="304">
        <f>Tabla13[[#This Row],[Importe]]-Tabla13[[#This Row],[Pagado]]</f>
        <v>0</v>
      </c>
      <c r="I2617" s="275" t="s">
        <v>15214</v>
      </c>
    </row>
    <row r="2618" spans="1:9" x14ac:dyDescent="0.25">
      <c r="A2618" s="299">
        <v>42968</v>
      </c>
      <c r="B2618" s="302" t="s">
        <v>26479</v>
      </c>
      <c r="C2618">
        <v>124590</v>
      </c>
      <c r="D2618" s="236" t="s">
        <v>19699</v>
      </c>
      <c r="E2618" s="301">
        <v>1645</v>
      </c>
      <c r="F2618" s="303">
        <v>42968</v>
      </c>
      <c r="G2618" s="301">
        <v>1645</v>
      </c>
      <c r="H2618" s="304">
        <f>Tabla13[[#This Row],[Importe]]-Tabla13[[#This Row],[Pagado]]</f>
        <v>0</v>
      </c>
      <c r="I2618" s="275" t="s">
        <v>15214</v>
      </c>
    </row>
    <row r="2619" spans="1:9" x14ac:dyDescent="0.25">
      <c r="A2619" s="299">
        <v>42968</v>
      </c>
      <c r="B2619" s="302" t="s">
        <v>26480</v>
      </c>
      <c r="C2619">
        <v>124591</v>
      </c>
      <c r="D2619" s="236" t="s">
        <v>19699</v>
      </c>
      <c r="E2619" s="301">
        <v>1566</v>
      </c>
      <c r="F2619" s="303">
        <v>42968</v>
      </c>
      <c r="G2619" s="301">
        <v>1566</v>
      </c>
      <c r="H2619" s="304">
        <f>Tabla13[[#This Row],[Importe]]-Tabla13[[#This Row],[Pagado]]</f>
        <v>0</v>
      </c>
      <c r="I2619" s="275" t="s">
        <v>15214</v>
      </c>
    </row>
    <row r="2620" spans="1:9" x14ac:dyDescent="0.25">
      <c r="A2620" s="299">
        <v>42968</v>
      </c>
      <c r="B2620" s="302" t="s">
        <v>26481</v>
      </c>
      <c r="C2620">
        <v>124592</v>
      </c>
      <c r="D2620" s="236" t="s">
        <v>5880</v>
      </c>
      <c r="E2620" s="301">
        <v>34418.199999999997</v>
      </c>
      <c r="F2620" s="303">
        <v>42970</v>
      </c>
      <c r="G2620" s="301">
        <v>34418.199999999997</v>
      </c>
      <c r="H2620" s="304">
        <f>Tabla13[[#This Row],[Importe]]-Tabla13[[#This Row],[Pagado]]</f>
        <v>0</v>
      </c>
      <c r="I2620" s="275" t="s">
        <v>15214</v>
      </c>
    </row>
    <row r="2621" spans="1:9" x14ac:dyDescent="0.25">
      <c r="A2621" s="299">
        <v>42968</v>
      </c>
      <c r="B2621" s="302" t="s">
        <v>26482</v>
      </c>
      <c r="C2621">
        <v>124593</v>
      </c>
      <c r="D2621" s="236" t="s">
        <v>15246</v>
      </c>
      <c r="E2621" s="301">
        <v>162161</v>
      </c>
      <c r="F2621" s="303">
        <v>42972</v>
      </c>
      <c r="G2621" s="301">
        <v>162161</v>
      </c>
      <c r="H2621" s="304">
        <f>Tabla13[[#This Row],[Importe]]-Tabla13[[#This Row],[Pagado]]</f>
        <v>0</v>
      </c>
      <c r="I2621" s="275" t="s">
        <v>15214</v>
      </c>
    </row>
    <row r="2622" spans="1:9" ht="30" x14ac:dyDescent="0.25">
      <c r="A2622" s="299">
        <v>42968</v>
      </c>
      <c r="B2622" s="302" t="s">
        <v>26483</v>
      </c>
      <c r="C2622">
        <v>124594</v>
      </c>
      <c r="D2622" s="236" t="s">
        <v>15246</v>
      </c>
      <c r="E2622" s="301">
        <v>300785.12</v>
      </c>
      <c r="F2622" s="303" t="s">
        <v>26484</v>
      </c>
      <c r="G2622" s="305">
        <f>172275.29+128509.83</f>
        <v>300785.12</v>
      </c>
      <c r="H2622" s="304">
        <f>Tabla13[[#This Row],[Importe]]-Tabla13[[#This Row],[Pagado]]</f>
        <v>0</v>
      </c>
      <c r="I2622" s="275" t="s">
        <v>15214</v>
      </c>
    </row>
    <row r="2623" spans="1:9" x14ac:dyDescent="0.25">
      <c r="A2623" s="299">
        <v>42968</v>
      </c>
      <c r="B2623" s="302" t="s">
        <v>26485</v>
      </c>
      <c r="C2623">
        <v>124595</v>
      </c>
      <c r="D2623" s="236" t="s">
        <v>15398</v>
      </c>
      <c r="E2623" s="301">
        <v>4170.6000000000004</v>
      </c>
      <c r="F2623" s="303">
        <v>42968</v>
      </c>
      <c r="G2623" s="301">
        <v>4170.6000000000004</v>
      </c>
      <c r="H2623" s="304">
        <f>Tabla13[[#This Row],[Importe]]-Tabla13[[#This Row],[Pagado]]</f>
        <v>0</v>
      </c>
      <c r="I2623" s="275" t="s">
        <v>15214</v>
      </c>
    </row>
    <row r="2624" spans="1:9" x14ac:dyDescent="0.25">
      <c r="A2624" s="299">
        <v>42968</v>
      </c>
      <c r="B2624" s="302" t="s">
        <v>26486</v>
      </c>
      <c r="C2624">
        <v>124596</v>
      </c>
      <c r="D2624" s="236" t="s">
        <v>5883</v>
      </c>
      <c r="E2624" s="301">
        <v>8875.2800000000007</v>
      </c>
      <c r="F2624" s="266">
        <v>42993</v>
      </c>
      <c r="G2624" s="35">
        <v>8875.2800000000007</v>
      </c>
      <c r="H2624" s="304">
        <f>Tabla13[[#This Row],[Importe]]-Tabla13[[#This Row],[Pagado]]</f>
        <v>0</v>
      </c>
      <c r="I2624" s="275" t="s">
        <v>15214</v>
      </c>
    </row>
    <row r="2625" spans="1:9" x14ac:dyDescent="0.25">
      <c r="A2625" s="299">
        <v>42968</v>
      </c>
      <c r="B2625" s="302" t="s">
        <v>26487</v>
      </c>
      <c r="C2625">
        <v>124597</v>
      </c>
      <c r="D2625" s="236" t="s">
        <v>15409</v>
      </c>
      <c r="E2625" s="301">
        <v>13310</v>
      </c>
      <c r="F2625" s="303">
        <v>42968</v>
      </c>
      <c r="G2625" s="301">
        <v>13310</v>
      </c>
      <c r="H2625" s="304">
        <f>Tabla13[[#This Row],[Importe]]-Tabla13[[#This Row],[Pagado]]</f>
        <v>0</v>
      </c>
      <c r="I2625" s="275" t="s">
        <v>15214</v>
      </c>
    </row>
    <row r="2626" spans="1:9" ht="15.75" x14ac:dyDescent="0.25">
      <c r="A2626" s="299">
        <v>42968</v>
      </c>
      <c r="B2626" s="302" t="s">
        <v>26488</v>
      </c>
      <c r="C2626">
        <v>124598</v>
      </c>
      <c r="D2626" s="248" t="s">
        <v>95</v>
      </c>
      <c r="E2626" s="301">
        <v>0</v>
      </c>
      <c r="F2626" s="243" t="s">
        <v>95</v>
      </c>
      <c r="G2626" s="301">
        <v>0</v>
      </c>
      <c r="H2626" s="304">
        <f>Tabla13[[#This Row],[Importe]]-Tabla13[[#This Row],[Pagado]]</f>
        <v>0</v>
      </c>
      <c r="I2626" s="275" t="s">
        <v>95</v>
      </c>
    </row>
    <row r="2627" spans="1:9" x14ac:dyDescent="0.25">
      <c r="A2627" s="299">
        <v>42968</v>
      </c>
      <c r="B2627" s="302" t="s">
        <v>26489</v>
      </c>
      <c r="C2627">
        <v>124599</v>
      </c>
      <c r="D2627" s="236" t="s">
        <v>15903</v>
      </c>
      <c r="E2627" s="301">
        <v>20073.900000000001</v>
      </c>
      <c r="F2627" s="303">
        <v>42968</v>
      </c>
      <c r="G2627" s="301">
        <v>20073.900000000001</v>
      </c>
      <c r="H2627" s="304">
        <f>Tabla13[[#This Row],[Importe]]-Tabla13[[#This Row],[Pagado]]</f>
        <v>0</v>
      </c>
      <c r="I2627" s="275" t="s">
        <v>15214</v>
      </c>
    </row>
    <row r="2628" spans="1:9" x14ac:dyDescent="0.25">
      <c r="A2628" s="299">
        <v>42968</v>
      </c>
      <c r="B2628" s="302" t="s">
        <v>26490</v>
      </c>
      <c r="C2628">
        <v>124600</v>
      </c>
      <c r="D2628" s="236" t="s">
        <v>15250</v>
      </c>
      <c r="E2628" s="301">
        <v>30984.2</v>
      </c>
      <c r="F2628" s="303">
        <v>42978</v>
      </c>
      <c r="G2628" s="301">
        <v>30984.2</v>
      </c>
      <c r="H2628" s="304">
        <f>Tabla13[[#This Row],[Importe]]-Tabla13[[#This Row],[Pagado]]</f>
        <v>0</v>
      </c>
      <c r="I2628" s="275" t="s">
        <v>15214</v>
      </c>
    </row>
    <row r="2629" spans="1:9" x14ac:dyDescent="0.25">
      <c r="A2629" s="299">
        <v>42968</v>
      </c>
      <c r="B2629" s="302" t="s">
        <v>26491</v>
      </c>
      <c r="C2629">
        <v>124601</v>
      </c>
      <c r="D2629" s="236" t="s">
        <v>15298</v>
      </c>
      <c r="E2629" s="301">
        <v>21662.5</v>
      </c>
      <c r="F2629" s="303">
        <v>42975</v>
      </c>
      <c r="G2629" s="301">
        <v>21662.5</v>
      </c>
      <c r="H2629" s="304">
        <f>Tabla13[[#This Row],[Importe]]-Tabla13[[#This Row],[Pagado]]</f>
        <v>0</v>
      </c>
      <c r="I2629" s="275" t="s">
        <v>15214</v>
      </c>
    </row>
    <row r="2630" spans="1:9" x14ac:dyDescent="0.25">
      <c r="A2630" s="299">
        <v>42968</v>
      </c>
      <c r="B2630" s="302" t="s">
        <v>26492</v>
      </c>
      <c r="C2630">
        <v>124602</v>
      </c>
      <c r="D2630" s="236" t="s">
        <v>16313</v>
      </c>
      <c r="E2630" s="301">
        <v>3614.4</v>
      </c>
      <c r="F2630" s="303">
        <v>42968</v>
      </c>
      <c r="G2630" s="301">
        <v>3614.4</v>
      </c>
      <c r="H2630" s="304">
        <f>Tabla13[[#This Row],[Importe]]-Tabla13[[#This Row],[Pagado]]</f>
        <v>0</v>
      </c>
      <c r="I2630" s="275" t="s">
        <v>15214</v>
      </c>
    </row>
    <row r="2631" spans="1:9" x14ac:dyDescent="0.25">
      <c r="A2631" s="299">
        <v>42968</v>
      </c>
      <c r="B2631" s="302" t="s">
        <v>26493</v>
      </c>
      <c r="C2631">
        <v>124603</v>
      </c>
      <c r="D2631" s="236" t="s">
        <v>15890</v>
      </c>
      <c r="E2631" s="301">
        <v>1688.4</v>
      </c>
      <c r="F2631" s="303">
        <v>42969</v>
      </c>
      <c r="G2631" s="301">
        <v>1688.4</v>
      </c>
      <c r="H2631" s="304">
        <f>Tabla13[[#This Row],[Importe]]-Tabla13[[#This Row],[Pagado]]</f>
        <v>0</v>
      </c>
      <c r="I2631" s="275" t="s">
        <v>15214</v>
      </c>
    </row>
    <row r="2632" spans="1:9" x14ac:dyDescent="0.25">
      <c r="A2632" s="299">
        <v>42968</v>
      </c>
      <c r="B2632" s="302" t="s">
        <v>26494</v>
      </c>
      <c r="C2632">
        <v>124604</v>
      </c>
      <c r="D2632" s="236" t="s">
        <v>15444</v>
      </c>
      <c r="E2632" s="301">
        <v>2841.4</v>
      </c>
      <c r="F2632" s="303">
        <v>42969</v>
      </c>
      <c r="G2632" s="301">
        <v>2841.4</v>
      </c>
      <c r="H2632" s="304">
        <f>Tabla13[[#This Row],[Importe]]-Tabla13[[#This Row],[Pagado]]</f>
        <v>0</v>
      </c>
      <c r="I2632" s="275" t="s">
        <v>15214</v>
      </c>
    </row>
    <row r="2633" spans="1:9" x14ac:dyDescent="0.25">
      <c r="A2633" s="299">
        <v>42968</v>
      </c>
      <c r="B2633" s="302" t="s">
        <v>26495</v>
      </c>
      <c r="C2633">
        <v>124605</v>
      </c>
      <c r="D2633" s="236" t="s">
        <v>15284</v>
      </c>
      <c r="E2633" s="301">
        <v>1585.6</v>
      </c>
      <c r="F2633" s="303">
        <v>42968</v>
      </c>
      <c r="G2633" s="301">
        <v>1585.6</v>
      </c>
      <c r="H2633" s="304">
        <f>Tabla13[[#This Row],[Importe]]-Tabla13[[#This Row],[Pagado]]</f>
        <v>0</v>
      </c>
      <c r="I2633" s="275" t="s">
        <v>15214</v>
      </c>
    </row>
    <row r="2634" spans="1:9" x14ac:dyDescent="0.25">
      <c r="A2634" s="299">
        <v>42968</v>
      </c>
      <c r="B2634" s="302" t="s">
        <v>26496</v>
      </c>
      <c r="C2634">
        <v>124606</v>
      </c>
      <c r="D2634" s="236" t="s">
        <v>15592</v>
      </c>
      <c r="E2634" s="301">
        <v>1945.8</v>
      </c>
      <c r="F2634" s="303">
        <v>42968</v>
      </c>
      <c r="G2634" s="301">
        <v>1945.8</v>
      </c>
      <c r="H2634" s="304">
        <f>Tabla13[[#This Row],[Importe]]-Tabla13[[#This Row],[Pagado]]</f>
        <v>0</v>
      </c>
      <c r="I2634" s="275" t="s">
        <v>15214</v>
      </c>
    </row>
    <row r="2635" spans="1:9" x14ac:dyDescent="0.25">
      <c r="A2635" s="299">
        <v>42968</v>
      </c>
      <c r="B2635" s="302" t="s">
        <v>26497</v>
      </c>
      <c r="C2635">
        <v>124607</v>
      </c>
      <c r="D2635" s="236" t="s">
        <v>15365</v>
      </c>
      <c r="E2635" s="301">
        <v>253330</v>
      </c>
      <c r="F2635" s="266">
        <v>42980</v>
      </c>
      <c r="G2635" s="35">
        <v>253330</v>
      </c>
      <c r="H2635" s="304">
        <f>Tabla13[[#This Row],[Importe]]-Tabla13[[#This Row],[Pagado]]</f>
        <v>0</v>
      </c>
      <c r="I2635" s="275" t="s">
        <v>15214</v>
      </c>
    </row>
    <row r="2636" spans="1:9" x14ac:dyDescent="0.25">
      <c r="A2636" s="299">
        <v>42968</v>
      </c>
      <c r="B2636" s="302" t="s">
        <v>26498</v>
      </c>
      <c r="C2636">
        <v>124608</v>
      </c>
      <c r="D2636" s="236" t="s">
        <v>15435</v>
      </c>
      <c r="E2636" s="301">
        <v>9428.4</v>
      </c>
      <c r="F2636" s="303">
        <v>42968</v>
      </c>
      <c r="G2636" s="301">
        <v>9428.4</v>
      </c>
      <c r="H2636" s="304">
        <f>Tabla13[[#This Row],[Importe]]-Tabla13[[#This Row],[Pagado]]</f>
        <v>0</v>
      </c>
      <c r="I2636" s="275" t="s">
        <v>15214</v>
      </c>
    </row>
    <row r="2637" spans="1:9" x14ac:dyDescent="0.25">
      <c r="A2637" s="299">
        <v>42968</v>
      </c>
      <c r="B2637" s="302" t="s">
        <v>26499</v>
      </c>
      <c r="C2637">
        <v>124609</v>
      </c>
      <c r="D2637" s="236" t="s">
        <v>15642</v>
      </c>
      <c r="E2637" s="301">
        <v>4323.8999999999996</v>
      </c>
      <c r="F2637" s="303">
        <v>42968</v>
      </c>
      <c r="G2637" s="301">
        <v>4323.8999999999996</v>
      </c>
      <c r="H2637" s="304">
        <f>Tabla13[[#This Row],[Importe]]-Tabla13[[#This Row],[Pagado]]</f>
        <v>0</v>
      </c>
      <c r="I2637" s="275" t="s">
        <v>15214</v>
      </c>
    </row>
    <row r="2638" spans="1:9" x14ac:dyDescent="0.25">
      <c r="A2638" s="299">
        <v>42968</v>
      </c>
      <c r="B2638" s="302" t="s">
        <v>26500</v>
      </c>
      <c r="C2638">
        <v>124610</v>
      </c>
      <c r="D2638" s="236" t="s">
        <v>16383</v>
      </c>
      <c r="E2638" s="301">
        <v>9813.6</v>
      </c>
      <c r="F2638" s="303">
        <v>42968</v>
      </c>
      <c r="G2638" s="301">
        <v>9813.6</v>
      </c>
      <c r="H2638" s="304">
        <f>Tabla13[[#This Row],[Importe]]-Tabla13[[#This Row],[Pagado]]</f>
        <v>0</v>
      </c>
      <c r="I2638" s="275" t="s">
        <v>15214</v>
      </c>
    </row>
    <row r="2639" spans="1:9" x14ac:dyDescent="0.25">
      <c r="A2639" s="299">
        <v>42969</v>
      </c>
      <c r="B2639" s="302" t="s">
        <v>26501</v>
      </c>
      <c r="C2639">
        <v>124611</v>
      </c>
      <c r="D2639" s="236" t="s">
        <v>21386</v>
      </c>
      <c r="E2639" s="301">
        <v>10942.9</v>
      </c>
      <c r="F2639" s="303">
        <v>42971</v>
      </c>
      <c r="G2639" s="301">
        <v>10942.9</v>
      </c>
      <c r="H2639" s="304">
        <f>Tabla13[[#This Row],[Importe]]-Tabla13[[#This Row],[Pagado]]</f>
        <v>0</v>
      </c>
      <c r="I2639" s="275" t="s">
        <v>15214</v>
      </c>
    </row>
    <row r="2640" spans="1:9" x14ac:dyDescent="0.25">
      <c r="A2640" s="299">
        <v>42969</v>
      </c>
      <c r="B2640" s="302" t="s">
        <v>26502</v>
      </c>
      <c r="C2640">
        <v>124612</v>
      </c>
      <c r="D2640" s="236" t="s">
        <v>15213</v>
      </c>
      <c r="E2640" s="301">
        <v>34653.199999999997</v>
      </c>
      <c r="F2640" s="303">
        <v>42970</v>
      </c>
      <c r="G2640" s="301">
        <v>34653.199999999997</v>
      </c>
      <c r="H2640" s="304">
        <f>Tabla13[[#This Row],[Importe]]-Tabla13[[#This Row],[Pagado]]</f>
        <v>0</v>
      </c>
      <c r="I2640" s="275" t="s">
        <v>15214</v>
      </c>
    </row>
    <row r="2641" spans="1:9" x14ac:dyDescent="0.25">
      <c r="A2641" s="299">
        <v>42969</v>
      </c>
      <c r="B2641" s="302" t="s">
        <v>26503</v>
      </c>
      <c r="C2641">
        <v>124613</v>
      </c>
      <c r="D2641" s="236" t="s">
        <v>15330</v>
      </c>
      <c r="E2641" s="301">
        <v>4679.2</v>
      </c>
      <c r="F2641" s="303">
        <v>42969</v>
      </c>
      <c r="G2641" s="301">
        <v>4679.2</v>
      </c>
      <c r="H2641" s="304">
        <f>Tabla13[[#This Row],[Importe]]-Tabla13[[#This Row],[Pagado]]</f>
        <v>0</v>
      </c>
      <c r="I2641" s="275" t="s">
        <v>15214</v>
      </c>
    </row>
    <row r="2642" spans="1:9" x14ac:dyDescent="0.25">
      <c r="A2642" s="299">
        <v>42969</v>
      </c>
      <c r="B2642" s="302" t="s">
        <v>26504</v>
      </c>
      <c r="C2642">
        <v>124614</v>
      </c>
      <c r="D2642" s="236" t="s">
        <v>19302</v>
      </c>
      <c r="E2642" s="301">
        <v>705</v>
      </c>
      <c r="F2642" s="303">
        <v>42969</v>
      </c>
      <c r="G2642" s="301">
        <v>705</v>
      </c>
      <c r="H2642" s="304">
        <f>Tabla13[[#This Row],[Importe]]-Tabla13[[#This Row],[Pagado]]</f>
        <v>0</v>
      </c>
      <c r="I2642" s="275" t="s">
        <v>15214</v>
      </c>
    </row>
    <row r="2643" spans="1:9" x14ac:dyDescent="0.25">
      <c r="A2643" s="299">
        <v>42969</v>
      </c>
      <c r="B2643" s="302" t="s">
        <v>26505</v>
      </c>
      <c r="C2643">
        <v>124615</v>
      </c>
      <c r="D2643" s="236" t="s">
        <v>15220</v>
      </c>
      <c r="E2643" s="301">
        <v>2070</v>
      </c>
      <c r="F2643" s="303">
        <v>42969</v>
      </c>
      <c r="G2643" s="301">
        <v>2070</v>
      </c>
      <c r="H2643" s="304">
        <f>Tabla13[[#This Row],[Importe]]-Tabla13[[#This Row],[Pagado]]</f>
        <v>0</v>
      </c>
      <c r="I2643" s="275" t="s">
        <v>15214</v>
      </c>
    </row>
    <row r="2644" spans="1:9" x14ac:dyDescent="0.25">
      <c r="A2644" s="299">
        <v>42969</v>
      </c>
      <c r="B2644" s="302" t="s">
        <v>26506</v>
      </c>
      <c r="C2644">
        <v>124616</v>
      </c>
      <c r="D2644" s="236" t="s">
        <v>15324</v>
      </c>
      <c r="E2644" s="301">
        <v>2837.5</v>
      </c>
      <c r="F2644" s="303">
        <v>42969</v>
      </c>
      <c r="G2644" s="301">
        <v>2837.5</v>
      </c>
      <c r="H2644" s="304">
        <f>Tabla13[[#This Row],[Importe]]-Tabla13[[#This Row],[Pagado]]</f>
        <v>0</v>
      </c>
      <c r="I2644" s="275" t="s">
        <v>15214</v>
      </c>
    </row>
    <row r="2645" spans="1:9" x14ac:dyDescent="0.25">
      <c r="A2645" s="299">
        <v>42969</v>
      </c>
      <c r="B2645" s="302" t="s">
        <v>26507</v>
      </c>
      <c r="C2645">
        <v>124617</v>
      </c>
      <c r="D2645" s="236" t="s">
        <v>15665</v>
      </c>
      <c r="E2645" s="301">
        <v>662.1</v>
      </c>
      <c r="F2645" s="303">
        <v>42969</v>
      </c>
      <c r="G2645" s="301">
        <v>662.1</v>
      </c>
      <c r="H2645" s="304">
        <f>Tabla13[[#This Row],[Importe]]-Tabla13[[#This Row],[Pagado]]</f>
        <v>0</v>
      </c>
      <c r="I2645" s="275" t="s">
        <v>15214</v>
      </c>
    </row>
    <row r="2646" spans="1:9" x14ac:dyDescent="0.25">
      <c r="A2646" s="299">
        <v>42969</v>
      </c>
      <c r="B2646" s="302" t="s">
        <v>26508</v>
      </c>
      <c r="C2646">
        <v>124618</v>
      </c>
      <c r="D2646" s="236" t="s">
        <v>15230</v>
      </c>
      <c r="E2646" s="301">
        <v>6762</v>
      </c>
      <c r="F2646" s="303">
        <v>42971</v>
      </c>
      <c r="G2646" s="301">
        <v>6762</v>
      </c>
      <c r="H2646" s="304">
        <f>Tabla13[[#This Row],[Importe]]-Tabla13[[#This Row],[Pagado]]</f>
        <v>0</v>
      </c>
      <c r="I2646" s="275" t="s">
        <v>15214</v>
      </c>
    </row>
    <row r="2647" spans="1:9" x14ac:dyDescent="0.25">
      <c r="A2647" s="299">
        <v>42969</v>
      </c>
      <c r="B2647" s="302" t="s">
        <v>26509</v>
      </c>
      <c r="C2647">
        <v>124619</v>
      </c>
      <c r="D2647" s="236" t="s">
        <v>17462</v>
      </c>
      <c r="E2647" s="301">
        <v>6326.8</v>
      </c>
      <c r="F2647" s="303">
        <v>42969</v>
      </c>
      <c r="G2647" s="301">
        <v>6326.8</v>
      </c>
      <c r="H2647" s="304">
        <f>Tabla13[[#This Row],[Importe]]-Tabla13[[#This Row],[Pagado]]</f>
        <v>0</v>
      </c>
      <c r="I2647" s="275" t="s">
        <v>15214</v>
      </c>
    </row>
    <row r="2648" spans="1:9" x14ac:dyDescent="0.25">
      <c r="A2648" s="299">
        <v>42969</v>
      </c>
      <c r="B2648" s="302" t="s">
        <v>26510</v>
      </c>
      <c r="C2648">
        <v>124620</v>
      </c>
      <c r="D2648" s="236" t="s">
        <v>15234</v>
      </c>
      <c r="E2648" s="301">
        <v>3296.4</v>
      </c>
      <c r="F2648" s="303">
        <v>42971</v>
      </c>
      <c r="G2648" s="301">
        <v>3296.4</v>
      </c>
      <c r="H2648" s="304">
        <f>Tabla13[[#This Row],[Importe]]-Tabla13[[#This Row],[Pagado]]</f>
        <v>0</v>
      </c>
      <c r="I2648" s="275" t="s">
        <v>15214</v>
      </c>
    </row>
    <row r="2649" spans="1:9" x14ac:dyDescent="0.25">
      <c r="A2649" s="299">
        <v>42969</v>
      </c>
      <c r="B2649" s="302" t="s">
        <v>26511</v>
      </c>
      <c r="C2649">
        <v>124621</v>
      </c>
      <c r="D2649" s="236" t="s">
        <v>5575</v>
      </c>
      <c r="E2649" s="301">
        <v>3460.4</v>
      </c>
      <c r="F2649" s="303">
        <v>42971</v>
      </c>
      <c r="G2649" s="301">
        <v>3460.4</v>
      </c>
      <c r="H2649" s="304">
        <f>Tabla13[[#This Row],[Importe]]-Tabla13[[#This Row],[Pagado]]</f>
        <v>0</v>
      </c>
      <c r="I2649" s="275" t="s">
        <v>15214</v>
      </c>
    </row>
    <row r="2650" spans="1:9" x14ac:dyDescent="0.25">
      <c r="A2650" s="299">
        <v>42969</v>
      </c>
      <c r="B2650" s="302" t="s">
        <v>26512</v>
      </c>
      <c r="C2650">
        <v>124622</v>
      </c>
      <c r="D2650" s="236" t="s">
        <v>15258</v>
      </c>
      <c r="E2650" s="301">
        <v>10914.2</v>
      </c>
      <c r="F2650" s="303">
        <v>42973</v>
      </c>
      <c r="G2650" s="301">
        <v>10914.2</v>
      </c>
      <c r="H2650" s="304">
        <f>Tabla13[[#This Row],[Importe]]-Tabla13[[#This Row],[Pagado]]</f>
        <v>0</v>
      </c>
      <c r="I2650" s="275" t="s">
        <v>15214</v>
      </c>
    </row>
    <row r="2651" spans="1:9" x14ac:dyDescent="0.25">
      <c r="A2651" s="299">
        <v>42969</v>
      </c>
      <c r="B2651" s="302" t="s">
        <v>26513</v>
      </c>
      <c r="C2651">
        <v>124623</v>
      </c>
      <c r="D2651" s="236" t="s">
        <v>15338</v>
      </c>
      <c r="E2651" s="301">
        <v>10497</v>
      </c>
      <c r="F2651" s="303">
        <v>42971</v>
      </c>
      <c r="G2651" s="301">
        <v>10497</v>
      </c>
      <c r="H2651" s="304">
        <f>Tabla13[[#This Row],[Importe]]-Tabla13[[#This Row],[Pagado]]</f>
        <v>0</v>
      </c>
      <c r="I2651" s="275" t="s">
        <v>15214</v>
      </c>
    </row>
    <row r="2652" spans="1:9" x14ac:dyDescent="0.25">
      <c r="A2652" s="299">
        <v>42969</v>
      </c>
      <c r="B2652" s="302" t="s">
        <v>26514</v>
      </c>
      <c r="C2652">
        <v>124624</v>
      </c>
      <c r="D2652" s="236" t="s">
        <v>15442</v>
      </c>
      <c r="E2652" s="301">
        <v>19043.2</v>
      </c>
      <c r="F2652" s="303">
        <v>42977</v>
      </c>
      <c r="G2652" s="301">
        <v>19043.2</v>
      </c>
      <c r="H2652" s="304">
        <f>Tabla13[[#This Row],[Importe]]-Tabla13[[#This Row],[Pagado]]</f>
        <v>0</v>
      </c>
      <c r="I2652" s="275" t="s">
        <v>15214</v>
      </c>
    </row>
    <row r="2653" spans="1:9" x14ac:dyDescent="0.25">
      <c r="A2653" s="299">
        <v>42969</v>
      </c>
      <c r="B2653" s="302" t="s">
        <v>26515</v>
      </c>
      <c r="C2653">
        <v>124625</v>
      </c>
      <c r="D2653" s="236" t="s">
        <v>15272</v>
      </c>
      <c r="E2653" s="301">
        <v>18431.599999999999</v>
      </c>
      <c r="F2653" s="303">
        <v>42969</v>
      </c>
      <c r="G2653" s="301">
        <v>18431.599999999999</v>
      </c>
      <c r="H2653" s="304">
        <f>Tabla13[[#This Row],[Importe]]-Tabla13[[#This Row],[Pagado]]</f>
        <v>0</v>
      </c>
      <c r="I2653" s="275" t="s">
        <v>15214</v>
      </c>
    </row>
    <row r="2654" spans="1:9" x14ac:dyDescent="0.25">
      <c r="A2654" s="299">
        <v>42969</v>
      </c>
      <c r="B2654" s="302" t="s">
        <v>26516</v>
      </c>
      <c r="C2654">
        <v>124626</v>
      </c>
      <c r="D2654" s="236" t="s">
        <v>15226</v>
      </c>
      <c r="E2654" s="301">
        <v>3067.2</v>
      </c>
      <c r="F2654" s="303">
        <v>42971</v>
      </c>
      <c r="G2654" s="301">
        <v>3067.2</v>
      </c>
      <c r="H2654" s="304">
        <f>Tabla13[[#This Row],[Importe]]-Tabla13[[#This Row],[Pagado]]</f>
        <v>0</v>
      </c>
      <c r="I2654" s="275" t="s">
        <v>15214</v>
      </c>
    </row>
    <row r="2655" spans="1:9" ht="15.75" x14ac:dyDescent="0.25">
      <c r="A2655" s="299">
        <v>42969</v>
      </c>
      <c r="B2655" s="302" t="s">
        <v>26517</v>
      </c>
      <c r="C2655">
        <v>124627</v>
      </c>
      <c r="D2655" s="248" t="s">
        <v>95</v>
      </c>
      <c r="E2655" s="301">
        <v>0</v>
      </c>
      <c r="F2655" s="243" t="s">
        <v>95</v>
      </c>
      <c r="G2655" s="301">
        <v>0</v>
      </c>
      <c r="H2655" s="304">
        <f>Tabla13[[#This Row],[Importe]]-Tabla13[[#This Row],[Pagado]]</f>
        <v>0</v>
      </c>
      <c r="I2655" s="275" t="s">
        <v>95</v>
      </c>
    </row>
    <row r="2656" spans="1:9" x14ac:dyDescent="0.25">
      <c r="A2656" s="299">
        <v>42969</v>
      </c>
      <c r="B2656" s="302" t="s">
        <v>26518</v>
      </c>
      <c r="C2656">
        <v>124628</v>
      </c>
      <c r="D2656" s="236" t="s">
        <v>15668</v>
      </c>
      <c r="E2656" s="301">
        <v>10963.4</v>
      </c>
      <c r="F2656" s="303">
        <v>42972</v>
      </c>
      <c r="G2656" s="301">
        <v>10963.4</v>
      </c>
      <c r="H2656" s="304">
        <f>Tabla13[[#This Row],[Importe]]-Tabla13[[#This Row],[Pagado]]</f>
        <v>0</v>
      </c>
      <c r="I2656" s="275" t="s">
        <v>15214</v>
      </c>
    </row>
    <row r="2657" spans="1:9" x14ac:dyDescent="0.25">
      <c r="A2657" s="299">
        <v>42969</v>
      </c>
      <c r="B2657" s="302" t="s">
        <v>26519</v>
      </c>
      <c r="C2657">
        <v>124629</v>
      </c>
      <c r="D2657" s="236" t="s">
        <v>15240</v>
      </c>
      <c r="E2657" s="301">
        <v>3248.7</v>
      </c>
      <c r="F2657" s="303">
        <v>42970</v>
      </c>
      <c r="G2657" s="301">
        <v>3248.7</v>
      </c>
      <c r="H2657" s="304">
        <f>Tabla13[[#This Row],[Importe]]-Tabla13[[#This Row],[Pagado]]</f>
        <v>0</v>
      </c>
      <c r="I2657" s="275" t="s">
        <v>15214</v>
      </c>
    </row>
    <row r="2658" spans="1:9" x14ac:dyDescent="0.25">
      <c r="A2658" s="299">
        <v>42969</v>
      </c>
      <c r="B2658" s="302" t="s">
        <v>26520</v>
      </c>
      <c r="C2658">
        <v>124630</v>
      </c>
      <c r="D2658" s="236" t="s">
        <v>15315</v>
      </c>
      <c r="E2658" s="301">
        <v>1694.4</v>
      </c>
      <c r="F2658" s="303">
        <v>42969</v>
      </c>
      <c r="G2658" s="301">
        <v>1694.4</v>
      </c>
      <c r="H2658" s="304">
        <f>Tabla13[[#This Row],[Importe]]-Tabla13[[#This Row],[Pagado]]</f>
        <v>0</v>
      </c>
      <c r="I2658" s="275" t="s">
        <v>15214</v>
      </c>
    </row>
    <row r="2659" spans="1:9" x14ac:dyDescent="0.25">
      <c r="A2659" s="299">
        <v>42969</v>
      </c>
      <c r="B2659" s="302" t="s">
        <v>26521</v>
      </c>
      <c r="C2659">
        <v>124631</v>
      </c>
      <c r="D2659" s="236" t="s">
        <v>15334</v>
      </c>
      <c r="E2659" s="301">
        <v>1928</v>
      </c>
      <c r="F2659" s="303">
        <v>42969</v>
      </c>
      <c r="G2659" s="301">
        <v>1928</v>
      </c>
      <c r="H2659" s="304">
        <f>Tabla13[[#This Row],[Importe]]-Tabla13[[#This Row],[Pagado]]</f>
        <v>0</v>
      </c>
      <c r="I2659" s="275" t="s">
        <v>15214</v>
      </c>
    </row>
    <row r="2660" spans="1:9" x14ac:dyDescent="0.25">
      <c r="A2660" s="299">
        <v>42969</v>
      </c>
      <c r="B2660" s="302" t="s">
        <v>26522</v>
      </c>
      <c r="C2660">
        <v>124632</v>
      </c>
      <c r="D2660" s="236" t="s">
        <v>15523</v>
      </c>
      <c r="E2660" s="301">
        <v>2115</v>
      </c>
      <c r="F2660" s="303">
        <v>42969</v>
      </c>
      <c r="G2660" s="301">
        <v>2115</v>
      </c>
      <c r="H2660" s="304">
        <f>Tabla13[[#This Row],[Importe]]-Tabla13[[#This Row],[Pagado]]</f>
        <v>0</v>
      </c>
      <c r="I2660" s="275" t="s">
        <v>15214</v>
      </c>
    </row>
    <row r="2661" spans="1:9" ht="15.75" x14ac:dyDescent="0.25">
      <c r="A2661" s="299">
        <v>42969</v>
      </c>
      <c r="B2661" s="302" t="s">
        <v>26523</v>
      </c>
      <c r="C2661">
        <v>124633</v>
      </c>
      <c r="D2661" s="248" t="s">
        <v>95</v>
      </c>
      <c r="E2661" s="301">
        <v>0</v>
      </c>
      <c r="F2661" s="243" t="s">
        <v>95</v>
      </c>
      <c r="G2661" s="301">
        <v>0</v>
      </c>
      <c r="H2661" s="304">
        <f>Tabla13[[#This Row],[Importe]]-Tabla13[[#This Row],[Pagado]]</f>
        <v>0</v>
      </c>
      <c r="I2661" s="275" t="s">
        <v>95</v>
      </c>
    </row>
    <row r="2662" spans="1:9" x14ac:dyDescent="0.25">
      <c r="A2662" s="299">
        <v>42969</v>
      </c>
      <c r="B2662" s="302" t="s">
        <v>26524</v>
      </c>
      <c r="C2662">
        <v>124634</v>
      </c>
      <c r="D2662" s="236" t="s">
        <v>15258</v>
      </c>
      <c r="E2662" s="301">
        <v>3255.4</v>
      </c>
      <c r="F2662" s="303">
        <v>42971</v>
      </c>
      <c r="G2662" s="301">
        <v>3255.4</v>
      </c>
      <c r="H2662" s="304">
        <f>Tabla13[[#This Row],[Importe]]-Tabla13[[#This Row],[Pagado]]</f>
        <v>0</v>
      </c>
      <c r="I2662" s="275" t="s">
        <v>15214</v>
      </c>
    </row>
    <row r="2663" spans="1:9" x14ac:dyDescent="0.25">
      <c r="A2663" s="299">
        <v>42969</v>
      </c>
      <c r="B2663" s="302" t="s">
        <v>26525</v>
      </c>
      <c r="C2663">
        <v>124635</v>
      </c>
      <c r="D2663" s="236" t="s">
        <v>15246</v>
      </c>
      <c r="E2663" s="301">
        <v>780</v>
      </c>
      <c r="F2663" s="303">
        <v>42972</v>
      </c>
      <c r="G2663" s="301">
        <v>780</v>
      </c>
      <c r="H2663" s="304">
        <f>Tabla13[[#This Row],[Importe]]-Tabla13[[#This Row],[Pagado]]</f>
        <v>0</v>
      </c>
      <c r="I2663" s="275" t="s">
        <v>15214</v>
      </c>
    </row>
    <row r="2664" spans="1:9" x14ac:dyDescent="0.25">
      <c r="A2664" s="299">
        <v>42969</v>
      </c>
      <c r="B2664" s="302" t="s">
        <v>26526</v>
      </c>
      <c r="C2664">
        <v>124636</v>
      </c>
      <c r="D2664" s="236" t="s">
        <v>15223</v>
      </c>
      <c r="E2664" s="301">
        <v>47559.6</v>
      </c>
      <c r="F2664" s="266">
        <v>42991</v>
      </c>
      <c r="G2664" s="35">
        <v>47559.6</v>
      </c>
      <c r="H2664" s="304">
        <f>Tabla13[[#This Row],[Importe]]-Tabla13[[#This Row],[Pagado]]</f>
        <v>0</v>
      </c>
      <c r="I2664" s="275" t="s">
        <v>15214</v>
      </c>
    </row>
    <row r="2665" spans="1:9" ht="30" x14ac:dyDescent="0.25">
      <c r="A2665" s="299">
        <v>42969</v>
      </c>
      <c r="B2665" s="302" t="s">
        <v>26527</v>
      </c>
      <c r="C2665">
        <v>124637</v>
      </c>
      <c r="D2665" s="236" t="s">
        <v>15510</v>
      </c>
      <c r="E2665" s="301">
        <v>35629</v>
      </c>
      <c r="F2665" s="303" t="s">
        <v>26394</v>
      </c>
      <c r="G2665" s="305">
        <f>31835+3794</f>
        <v>35629</v>
      </c>
      <c r="H2665" s="304">
        <f>Tabla13[[#This Row],[Importe]]-Tabla13[[#This Row],[Pagado]]</f>
        <v>0</v>
      </c>
      <c r="I2665" s="275" t="s">
        <v>15214</v>
      </c>
    </row>
    <row r="2666" spans="1:9" x14ac:dyDescent="0.25">
      <c r="A2666" s="299">
        <v>42969</v>
      </c>
      <c r="B2666" s="302" t="s">
        <v>26528</v>
      </c>
      <c r="C2666">
        <v>124638</v>
      </c>
      <c r="D2666" s="236" t="s">
        <v>15232</v>
      </c>
      <c r="E2666" s="301">
        <v>6600</v>
      </c>
      <c r="F2666" s="303">
        <v>42978</v>
      </c>
      <c r="G2666" s="301">
        <v>6600</v>
      </c>
      <c r="H2666" s="304">
        <f>Tabla13[[#This Row],[Importe]]-Tabla13[[#This Row],[Pagado]]</f>
        <v>0</v>
      </c>
      <c r="I2666" s="275" t="s">
        <v>15214</v>
      </c>
    </row>
    <row r="2667" spans="1:9" x14ac:dyDescent="0.25">
      <c r="A2667" s="299">
        <v>42969</v>
      </c>
      <c r="B2667" s="302" t="s">
        <v>26529</v>
      </c>
      <c r="C2667">
        <v>124639</v>
      </c>
      <c r="D2667" s="236" t="s">
        <v>15230</v>
      </c>
      <c r="E2667" s="301">
        <v>1728</v>
      </c>
      <c r="F2667" s="303">
        <v>42971</v>
      </c>
      <c r="G2667" s="301">
        <v>1728</v>
      </c>
      <c r="H2667" s="304">
        <f>Tabla13[[#This Row],[Importe]]-Tabla13[[#This Row],[Pagado]]</f>
        <v>0</v>
      </c>
      <c r="I2667" s="275" t="s">
        <v>15214</v>
      </c>
    </row>
    <row r="2668" spans="1:9" ht="15.75" x14ac:dyDescent="0.25">
      <c r="A2668" s="299">
        <v>42969</v>
      </c>
      <c r="B2668" s="302" t="s">
        <v>26530</v>
      </c>
      <c r="C2668">
        <v>124640</v>
      </c>
      <c r="D2668" s="248" t="s">
        <v>95</v>
      </c>
      <c r="E2668" s="301">
        <v>0</v>
      </c>
      <c r="F2668" s="243" t="s">
        <v>95</v>
      </c>
      <c r="G2668" s="301">
        <v>0</v>
      </c>
      <c r="H2668" s="304">
        <f>Tabla13[[#This Row],[Importe]]-Tabla13[[#This Row],[Pagado]]</f>
        <v>0</v>
      </c>
      <c r="I2668" s="275" t="s">
        <v>95</v>
      </c>
    </row>
    <row r="2669" spans="1:9" x14ac:dyDescent="0.25">
      <c r="A2669" s="299">
        <v>42969</v>
      </c>
      <c r="B2669" s="302" t="s">
        <v>26531</v>
      </c>
      <c r="C2669">
        <v>124641</v>
      </c>
      <c r="D2669" s="236" t="s">
        <v>15284</v>
      </c>
      <c r="E2669" s="301">
        <v>1909.8</v>
      </c>
      <c r="F2669" s="303">
        <v>42969</v>
      </c>
      <c r="G2669" s="301">
        <v>1909.8</v>
      </c>
      <c r="H2669" s="304">
        <f>Tabla13[[#This Row],[Importe]]-Tabla13[[#This Row],[Pagado]]</f>
        <v>0</v>
      </c>
      <c r="I2669" s="275" t="s">
        <v>15214</v>
      </c>
    </row>
    <row r="2670" spans="1:9" x14ac:dyDescent="0.25">
      <c r="A2670" s="299">
        <v>42969</v>
      </c>
      <c r="B2670" s="302" t="s">
        <v>26532</v>
      </c>
      <c r="C2670">
        <v>124642</v>
      </c>
      <c r="D2670" s="236" t="s">
        <v>15348</v>
      </c>
      <c r="E2670" s="301">
        <v>3845.6</v>
      </c>
      <c r="F2670" s="303">
        <v>42971</v>
      </c>
      <c r="G2670" s="301">
        <v>3845.6</v>
      </c>
      <c r="H2670" s="304">
        <f>Tabla13[[#This Row],[Importe]]-Tabla13[[#This Row],[Pagado]]</f>
        <v>0</v>
      </c>
      <c r="I2670" s="275" t="s">
        <v>15214</v>
      </c>
    </row>
    <row r="2671" spans="1:9" x14ac:dyDescent="0.25">
      <c r="A2671" s="299">
        <v>42969</v>
      </c>
      <c r="B2671" s="302" t="s">
        <v>26533</v>
      </c>
      <c r="C2671">
        <v>124643</v>
      </c>
      <c r="D2671" s="236" t="s">
        <v>15344</v>
      </c>
      <c r="E2671" s="301">
        <v>4101.3</v>
      </c>
      <c r="F2671" s="303">
        <v>42969</v>
      </c>
      <c r="G2671" s="301">
        <v>4101.3</v>
      </c>
      <c r="H2671" s="304">
        <f>Tabla13[[#This Row],[Importe]]-Tabla13[[#This Row],[Pagado]]</f>
        <v>0</v>
      </c>
      <c r="I2671" s="275" t="s">
        <v>15214</v>
      </c>
    </row>
    <row r="2672" spans="1:9" x14ac:dyDescent="0.25">
      <c r="A2672" s="299">
        <v>42969</v>
      </c>
      <c r="B2672" s="302" t="s">
        <v>26534</v>
      </c>
      <c r="C2672">
        <v>124644</v>
      </c>
      <c r="D2672" s="236" t="s">
        <v>15526</v>
      </c>
      <c r="E2672" s="301">
        <v>3810.4</v>
      </c>
      <c r="F2672" s="303">
        <v>42969</v>
      </c>
      <c r="G2672" s="301">
        <v>3810.4</v>
      </c>
      <c r="H2672" s="304">
        <f>Tabla13[[#This Row],[Importe]]-Tabla13[[#This Row],[Pagado]]</f>
        <v>0</v>
      </c>
      <c r="I2672" s="275" t="s">
        <v>15214</v>
      </c>
    </row>
    <row r="2673" spans="1:9" x14ac:dyDescent="0.25">
      <c r="A2673" s="299">
        <v>42969</v>
      </c>
      <c r="B2673" s="302" t="s">
        <v>26535</v>
      </c>
      <c r="C2673">
        <v>124645</v>
      </c>
      <c r="D2673" s="236" t="s">
        <v>15332</v>
      </c>
      <c r="E2673" s="301">
        <v>4027.2</v>
      </c>
      <c r="F2673" s="303">
        <v>42969</v>
      </c>
      <c r="G2673" s="301">
        <v>4027.2</v>
      </c>
      <c r="H2673" s="304">
        <f>Tabla13[[#This Row],[Importe]]-Tabla13[[#This Row],[Pagado]]</f>
        <v>0</v>
      </c>
      <c r="I2673" s="275" t="s">
        <v>15214</v>
      </c>
    </row>
    <row r="2674" spans="1:9" x14ac:dyDescent="0.25">
      <c r="A2674" s="299">
        <v>42969</v>
      </c>
      <c r="B2674" s="302" t="s">
        <v>26536</v>
      </c>
      <c r="C2674">
        <v>124646</v>
      </c>
      <c r="D2674" s="236" t="s">
        <v>15332</v>
      </c>
      <c r="E2674" s="301">
        <v>210</v>
      </c>
      <c r="F2674" s="303">
        <v>42969</v>
      </c>
      <c r="G2674" s="301">
        <v>210</v>
      </c>
      <c r="H2674" s="304">
        <f>Tabla13[[#This Row],[Importe]]-Tabla13[[#This Row],[Pagado]]</f>
        <v>0</v>
      </c>
      <c r="I2674" s="275" t="s">
        <v>15214</v>
      </c>
    </row>
    <row r="2675" spans="1:9" x14ac:dyDescent="0.25">
      <c r="A2675" s="299">
        <v>42969</v>
      </c>
      <c r="B2675" s="302" t="s">
        <v>26537</v>
      </c>
      <c r="C2675">
        <v>124647</v>
      </c>
      <c r="D2675" s="236" t="s">
        <v>15358</v>
      </c>
      <c r="E2675" s="301">
        <v>800.4</v>
      </c>
      <c r="F2675" s="303">
        <v>42969</v>
      </c>
      <c r="G2675" s="301">
        <v>800.4</v>
      </c>
      <c r="H2675" s="304">
        <f>Tabla13[[#This Row],[Importe]]-Tabla13[[#This Row],[Pagado]]</f>
        <v>0</v>
      </c>
      <c r="I2675" s="275" t="s">
        <v>15214</v>
      </c>
    </row>
    <row r="2676" spans="1:9" x14ac:dyDescent="0.25">
      <c r="A2676" s="299">
        <v>42969</v>
      </c>
      <c r="B2676" s="302" t="s">
        <v>26538</v>
      </c>
      <c r="C2676">
        <v>124648</v>
      </c>
      <c r="D2676" s="236" t="s">
        <v>15742</v>
      </c>
      <c r="E2676" s="301">
        <v>2664</v>
      </c>
      <c r="F2676" s="303">
        <v>42969</v>
      </c>
      <c r="G2676" s="301">
        <v>2664</v>
      </c>
      <c r="H2676" s="304">
        <f>Tabla13[[#This Row],[Importe]]-Tabla13[[#This Row],[Pagado]]</f>
        <v>0</v>
      </c>
      <c r="I2676" s="275" t="s">
        <v>15214</v>
      </c>
    </row>
    <row r="2677" spans="1:9" x14ac:dyDescent="0.25">
      <c r="A2677" s="299">
        <v>42969</v>
      </c>
      <c r="B2677" s="302" t="s">
        <v>26539</v>
      </c>
      <c r="C2677">
        <v>124649</v>
      </c>
      <c r="D2677" s="236" t="s">
        <v>15263</v>
      </c>
      <c r="E2677" s="301">
        <v>3236.4</v>
      </c>
      <c r="F2677" s="303">
        <v>42969</v>
      </c>
      <c r="G2677" s="301">
        <v>3236.4</v>
      </c>
      <c r="H2677" s="304">
        <f>Tabla13[[#This Row],[Importe]]-Tabla13[[#This Row],[Pagado]]</f>
        <v>0</v>
      </c>
      <c r="I2677" s="275" t="s">
        <v>15214</v>
      </c>
    </row>
    <row r="2678" spans="1:9" x14ac:dyDescent="0.25">
      <c r="A2678" s="299">
        <v>42969</v>
      </c>
      <c r="B2678" s="302" t="s">
        <v>26540</v>
      </c>
      <c r="C2678">
        <v>124650</v>
      </c>
      <c r="D2678" s="236" t="s">
        <v>19754</v>
      </c>
      <c r="E2678" s="301">
        <v>25185</v>
      </c>
      <c r="F2678" s="303">
        <v>42969</v>
      </c>
      <c r="G2678" s="301">
        <v>25185</v>
      </c>
      <c r="H2678" s="304">
        <f>Tabla13[[#This Row],[Importe]]-Tabla13[[#This Row],[Pagado]]</f>
        <v>0</v>
      </c>
      <c r="I2678" s="275" t="s">
        <v>15214</v>
      </c>
    </row>
    <row r="2679" spans="1:9" x14ac:dyDescent="0.25">
      <c r="A2679" s="299">
        <v>42969</v>
      </c>
      <c r="B2679" s="302" t="s">
        <v>26541</v>
      </c>
      <c r="C2679">
        <v>124651</v>
      </c>
      <c r="D2679" s="236" t="s">
        <v>15530</v>
      </c>
      <c r="E2679" s="301">
        <v>3585</v>
      </c>
      <c r="F2679" s="303">
        <v>42969</v>
      </c>
      <c r="G2679" s="301">
        <v>3585</v>
      </c>
      <c r="H2679" s="304">
        <f>Tabla13[[#This Row],[Importe]]-Tabla13[[#This Row],[Pagado]]</f>
        <v>0</v>
      </c>
      <c r="I2679" s="275" t="s">
        <v>15214</v>
      </c>
    </row>
    <row r="2680" spans="1:9" x14ac:dyDescent="0.25">
      <c r="A2680" s="299">
        <v>42969</v>
      </c>
      <c r="B2680" s="302" t="s">
        <v>26542</v>
      </c>
      <c r="C2680">
        <v>124652</v>
      </c>
      <c r="D2680" s="236" t="s">
        <v>15315</v>
      </c>
      <c r="E2680" s="301">
        <v>7322.6</v>
      </c>
      <c r="F2680" s="303">
        <v>42969</v>
      </c>
      <c r="G2680" s="301">
        <v>7322.6</v>
      </c>
      <c r="H2680" s="304">
        <f>Tabla13[[#This Row],[Importe]]-Tabla13[[#This Row],[Pagado]]</f>
        <v>0</v>
      </c>
      <c r="I2680" s="275" t="s">
        <v>15214</v>
      </c>
    </row>
    <row r="2681" spans="1:9" x14ac:dyDescent="0.25">
      <c r="A2681" s="299">
        <v>42969</v>
      </c>
      <c r="B2681" s="302" t="s">
        <v>26543</v>
      </c>
      <c r="C2681">
        <v>124653</v>
      </c>
      <c r="D2681" s="236" t="s">
        <v>15326</v>
      </c>
      <c r="E2681" s="301">
        <v>1248.8</v>
      </c>
      <c r="F2681" s="303">
        <v>42969</v>
      </c>
      <c r="G2681" s="301">
        <v>1248.8</v>
      </c>
      <c r="H2681" s="304">
        <f>Tabla13[[#This Row],[Importe]]-Tabla13[[#This Row],[Pagado]]</f>
        <v>0</v>
      </c>
      <c r="I2681" s="275" t="s">
        <v>15214</v>
      </c>
    </row>
    <row r="2682" spans="1:9" x14ac:dyDescent="0.25">
      <c r="A2682" s="299">
        <v>42969</v>
      </c>
      <c r="B2682" s="302" t="s">
        <v>26544</v>
      </c>
      <c r="C2682">
        <v>124654</v>
      </c>
      <c r="D2682" s="236" t="s">
        <v>15326</v>
      </c>
      <c r="E2682" s="301">
        <v>2848.4</v>
      </c>
      <c r="F2682" s="303">
        <v>42969</v>
      </c>
      <c r="G2682" s="301">
        <v>2848.4</v>
      </c>
      <c r="H2682" s="304">
        <f>Tabla13[[#This Row],[Importe]]-Tabla13[[#This Row],[Pagado]]</f>
        <v>0</v>
      </c>
      <c r="I2682" s="275" t="s">
        <v>15214</v>
      </c>
    </row>
    <row r="2683" spans="1:9" x14ac:dyDescent="0.25">
      <c r="A2683" s="299">
        <v>42969</v>
      </c>
      <c r="B2683" s="302" t="s">
        <v>26545</v>
      </c>
      <c r="C2683">
        <v>124655</v>
      </c>
      <c r="D2683" s="236" t="s">
        <v>18544</v>
      </c>
      <c r="E2683" s="301">
        <v>13699.6</v>
      </c>
      <c r="F2683" s="303">
        <v>42969</v>
      </c>
      <c r="G2683" s="301">
        <v>13699.6</v>
      </c>
      <c r="H2683" s="304">
        <f>Tabla13[[#This Row],[Importe]]-Tabla13[[#This Row],[Pagado]]</f>
        <v>0</v>
      </c>
      <c r="I2683" s="275" t="s">
        <v>15214</v>
      </c>
    </row>
    <row r="2684" spans="1:9" x14ac:dyDescent="0.25">
      <c r="A2684" s="299">
        <v>42969</v>
      </c>
      <c r="B2684" s="302" t="s">
        <v>26546</v>
      </c>
      <c r="C2684">
        <v>124656</v>
      </c>
      <c r="D2684" s="236" t="s">
        <v>15404</v>
      </c>
      <c r="E2684" s="301">
        <v>12226.8</v>
      </c>
      <c r="F2684" s="303">
        <v>42969</v>
      </c>
      <c r="G2684" s="301">
        <v>12226.8</v>
      </c>
      <c r="H2684" s="304">
        <f>Tabla13[[#This Row],[Importe]]-Tabla13[[#This Row],[Pagado]]</f>
        <v>0</v>
      </c>
      <c r="I2684" s="275" t="s">
        <v>15214</v>
      </c>
    </row>
    <row r="2685" spans="1:9" x14ac:dyDescent="0.25">
      <c r="A2685" s="299">
        <v>42969</v>
      </c>
      <c r="B2685" s="302" t="s">
        <v>26547</v>
      </c>
      <c r="C2685">
        <v>124657</v>
      </c>
      <c r="D2685" s="236" t="s">
        <v>15248</v>
      </c>
      <c r="E2685" s="301">
        <v>23597.5</v>
      </c>
      <c r="F2685" s="303">
        <v>42969</v>
      </c>
      <c r="G2685" s="301">
        <v>23597.5</v>
      </c>
      <c r="H2685" s="304">
        <f>Tabla13[[#This Row],[Importe]]-Tabla13[[#This Row],[Pagado]]</f>
        <v>0</v>
      </c>
      <c r="I2685" s="275" t="s">
        <v>15214</v>
      </c>
    </row>
    <row r="2686" spans="1:9" x14ac:dyDescent="0.25">
      <c r="A2686" s="299">
        <v>42969</v>
      </c>
      <c r="B2686" s="302" t="s">
        <v>26548</v>
      </c>
      <c r="C2686">
        <v>124658</v>
      </c>
      <c r="D2686" s="236" t="s">
        <v>15280</v>
      </c>
      <c r="E2686" s="301">
        <v>3811.2</v>
      </c>
      <c r="F2686" s="303">
        <v>42969</v>
      </c>
      <c r="G2686" s="301">
        <v>3811.2</v>
      </c>
      <c r="H2686" s="304">
        <f>Tabla13[[#This Row],[Importe]]-Tabla13[[#This Row],[Pagado]]</f>
        <v>0</v>
      </c>
      <c r="I2686" s="275" t="s">
        <v>15214</v>
      </c>
    </row>
    <row r="2687" spans="1:9" x14ac:dyDescent="0.25">
      <c r="A2687" s="299">
        <v>42969</v>
      </c>
      <c r="B2687" s="302" t="s">
        <v>26549</v>
      </c>
      <c r="C2687">
        <v>124659</v>
      </c>
      <c r="D2687" s="236" t="s">
        <v>15328</v>
      </c>
      <c r="E2687" s="301">
        <v>69818.600000000006</v>
      </c>
      <c r="F2687" s="303">
        <v>42976</v>
      </c>
      <c r="G2687" s="301">
        <v>69818.600000000006</v>
      </c>
      <c r="H2687" s="304">
        <f>Tabla13[[#This Row],[Importe]]-Tabla13[[#This Row],[Pagado]]</f>
        <v>0</v>
      </c>
      <c r="I2687" s="275" t="s">
        <v>15214</v>
      </c>
    </row>
    <row r="2688" spans="1:9" x14ac:dyDescent="0.25">
      <c r="A2688" s="299">
        <v>42969</v>
      </c>
      <c r="B2688" s="302" t="s">
        <v>26550</v>
      </c>
      <c r="C2688">
        <v>124660</v>
      </c>
      <c r="D2688" s="236" t="s">
        <v>15499</v>
      </c>
      <c r="E2688" s="301">
        <v>7299.4</v>
      </c>
      <c r="F2688" s="303">
        <v>42969</v>
      </c>
      <c r="G2688" s="301">
        <v>7299.4</v>
      </c>
      <c r="H2688" s="304">
        <f>Tabla13[[#This Row],[Importe]]-Tabla13[[#This Row],[Pagado]]</f>
        <v>0</v>
      </c>
      <c r="I2688" s="275" t="s">
        <v>15214</v>
      </c>
    </row>
    <row r="2689" spans="1:9" x14ac:dyDescent="0.25">
      <c r="A2689" s="299">
        <v>42969</v>
      </c>
      <c r="B2689" s="302" t="s">
        <v>26551</v>
      </c>
      <c r="C2689">
        <v>124661</v>
      </c>
      <c r="D2689" s="236" t="s">
        <v>15252</v>
      </c>
      <c r="E2689" s="301">
        <v>4564.2</v>
      </c>
      <c r="F2689" s="303">
        <v>42975</v>
      </c>
      <c r="G2689" s="301">
        <v>4564.2</v>
      </c>
      <c r="H2689" s="304">
        <f>Tabla13[[#This Row],[Importe]]-Tabla13[[#This Row],[Pagado]]</f>
        <v>0</v>
      </c>
      <c r="I2689" s="275" t="s">
        <v>15214</v>
      </c>
    </row>
    <row r="2690" spans="1:9" x14ac:dyDescent="0.25">
      <c r="A2690" s="299">
        <v>42969</v>
      </c>
      <c r="B2690" s="302" t="s">
        <v>26552</v>
      </c>
      <c r="C2690">
        <v>124662</v>
      </c>
      <c r="D2690" s="236" t="s">
        <v>23937</v>
      </c>
      <c r="E2690" s="301">
        <v>4026.9</v>
      </c>
      <c r="F2690" s="303">
        <v>42970</v>
      </c>
      <c r="G2690" s="301">
        <v>4026.9</v>
      </c>
      <c r="H2690" s="304">
        <f>Tabla13[[#This Row],[Importe]]-Tabla13[[#This Row],[Pagado]]</f>
        <v>0</v>
      </c>
      <c r="I2690" s="275" t="s">
        <v>15214</v>
      </c>
    </row>
    <row r="2691" spans="1:9" x14ac:dyDescent="0.25">
      <c r="A2691" s="299">
        <v>42969</v>
      </c>
      <c r="B2691" s="302" t="s">
        <v>26553</v>
      </c>
      <c r="C2691">
        <v>124663</v>
      </c>
      <c r="D2691" s="236" t="s">
        <v>15244</v>
      </c>
      <c r="E2691" s="301">
        <v>8016.9</v>
      </c>
      <c r="F2691" s="303">
        <v>42974</v>
      </c>
      <c r="G2691" s="301">
        <v>8016.9</v>
      </c>
      <c r="H2691" s="304">
        <f>Tabla13[[#This Row],[Importe]]-Tabla13[[#This Row],[Pagado]]</f>
        <v>0</v>
      </c>
      <c r="I2691" s="275" t="s">
        <v>15214</v>
      </c>
    </row>
    <row r="2692" spans="1:9" x14ac:dyDescent="0.25">
      <c r="A2692" s="299">
        <v>42969</v>
      </c>
      <c r="B2692" s="302" t="s">
        <v>26554</v>
      </c>
      <c r="C2692">
        <v>124664</v>
      </c>
      <c r="D2692" s="236" t="s">
        <v>15706</v>
      </c>
      <c r="E2692" s="301">
        <v>2104.1</v>
      </c>
      <c r="F2692" s="303">
        <v>42969</v>
      </c>
      <c r="G2692" s="301">
        <v>2104.1</v>
      </c>
      <c r="H2692" s="304">
        <f>Tabla13[[#This Row],[Importe]]-Tabla13[[#This Row],[Pagado]]</f>
        <v>0</v>
      </c>
      <c r="I2692" s="275" t="s">
        <v>15214</v>
      </c>
    </row>
    <row r="2693" spans="1:9" x14ac:dyDescent="0.25">
      <c r="A2693" s="299">
        <v>42969</v>
      </c>
      <c r="B2693" s="302" t="s">
        <v>26555</v>
      </c>
      <c r="C2693">
        <v>124665</v>
      </c>
      <c r="D2693" s="236" t="s">
        <v>15789</v>
      </c>
      <c r="E2693" s="301">
        <v>8377.14</v>
      </c>
      <c r="F2693" s="303">
        <v>42969</v>
      </c>
      <c r="G2693" s="301">
        <v>8377.14</v>
      </c>
      <c r="H2693" s="304">
        <f>Tabla13[[#This Row],[Importe]]-Tabla13[[#This Row],[Pagado]]</f>
        <v>0</v>
      </c>
      <c r="I2693" s="275" t="s">
        <v>15214</v>
      </c>
    </row>
    <row r="2694" spans="1:9" x14ac:dyDescent="0.25">
      <c r="A2694" s="299">
        <v>42969</v>
      </c>
      <c r="B2694" s="302" t="s">
        <v>26556</v>
      </c>
      <c r="C2694">
        <v>124666</v>
      </c>
      <c r="D2694" s="236" t="s">
        <v>15706</v>
      </c>
      <c r="E2694" s="301">
        <v>468.6</v>
      </c>
      <c r="F2694" s="303">
        <v>42969</v>
      </c>
      <c r="G2694" s="301">
        <v>468.6</v>
      </c>
      <c r="H2694" s="304">
        <f>Tabla13[[#This Row],[Importe]]-Tabla13[[#This Row],[Pagado]]</f>
        <v>0</v>
      </c>
      <c r="I2694" s="275" t="s">
        <v>15214</v>
      </c>
    </row>
    <row r="2695" spans="1:9" x14ac:dyDescent="0.25">
      <c r="A2695" s="299">
        <v>42969</v>
      </c>
      <c r="B2695" s="302" t="s">
        <v>26557</v>
      </c>
      <c r="C2695">
        <v>124667</v>
      </c>
      <c r="D2695" s="236" t="s">
        <v>15315</v>
      </c>
      <c r="E2695" s="301">
        <v>2241.6</v>
      </c>
      <c r="F2695" s="303">
        <v>42969</v>
      </c>
      <c r="G2695" s="301">
        <v>2241.6</v>
      </c>
      <c r="H2695" s="304">
        <f>Tabla13[[#This Row],[Importe]]-Tabla13[[#This Row],[Pagado]]</f>
        <v>0</v>
      </c>
      <c r="I2695" s="275" t="s">
        <v>15214</v>
      </c>
    </row>
    <row r="2696" spans="1:9" x14ac:dyDescent="0.25">
      <c r="A2696" s="299">
        <v>42969</v>
      </c>
      <c r="B2696" s="302" t="s">
        <v>26558</v>
      </c>
      <c r="C2696">
        <v>124668</v>
      </c>
      <c r="D2696" s="236" t="s">
        <v>15254</v>
      </c>
      <c r="E2696" s="301">
        <v>17323.2</v>
      </c>
      <c r="F2696" s="303">
        <v>42974</v>
      </c>
      <c r="G2696" s="301">
        <v>17323.2</v>
      </c>
      <c r="H2696" s="304">
        <f>Tabla13[[#This Row],[Importe]]-Tabla13[[#This Row],[Pagado]]</f>
        <v>0</v>
      </c>
      <c r="I2696" s="275" t="s">
        <v>15214</v>
      </c>
    </row>
    <row r="2697" spans="1:9" x14ac:dyDescent="0.25">
      <c r="A2697" s="299">
        <v>42969</v>
      </c>
      <c r="B2697" s="302" t="s">
        <v>26559</v>
      </c>
      <c r="C2697">
        <v>124669</v>
      </c>
      <c r="D2697" s="236" t="s">
        <v>15396</v>
      </c>
      <c r="E2697" s="301">
        <v>4031.3</v>
      </c>
      <c r="F2697" s="303">
        <v>42969</v>
      </c>
      <c r="G2697" s="301">
        <v>4031.3</v>
      </c>
      <c r="H2697" s="304">
        <f>Tabla13[[#This Row],[Importe]]-Tabla13[[#This Row],[Pagado]]</f>
        <v>0</v>
      </c>
      <c r="I2697" s="275" t="s">
        <v>15214</v>
      </c>
    </row>
    <row r="2698" spans="1:9" x14ac:dyDescent="0.25">
      <c r="A2698" s="299">
        <v>42969</v>
      </c>
      <c r="B2698" s="302" t="s">
        <v>26560</v>
      </c>
      <c r="C2698">
        <v>124670</v>
      </c>
      <c r="D2698" s="236" t="s">
        <v>15315</v>
      </c>
      <c r="E2698" s="301">
        <v>2724</v>
      </c>
      <c r="F2698" s="303">
        <v>42969</v>
      </c>
      <c r="G2698" s="301">
        <v>2724</v>
      </c>
      <c r="H2698" s="304">
        <f>Tabla13[[#This Row],[Importe]]-Tabla13[[#This Row],[Pagado]]</f>
        <v>0</v>
      </c>
      <c r="I2698" s="275" t="s">
        <v>15214</v>
      </c>
    </row>
    <row r="2699" spans="1:9" x14ac:dyDescent="0.25">
      <c r="A2699" s="299">
        <v>42969</v>
      </c>
      <c r="B2699" s="302" t="s">
        <v>26561</v>
      </c>
      <c r="C2699">
        <v>124671</v>
      </c>
      <c r="D2699" s="236" t="s">
        <v>15378</v>
      </c>
      <c r="E2699" s="301">
        <v>667.2</v>
      </c>
      <c r="F2699" s="303">
        <v>42969</v>
      </c>
      <c r="G2699" s="301">
        <v>667.2</v>
      </c>
      <c r="H2699" s="304">
        <f>Tabla13[[#This Row],[Importe]]-Tabla13[[#This Row],[Pagado]]</f>
        <v>0</v>
      </c>
      <c r="I2699" s="275" t="s">
        <v>15214</v>
      </c>
    </row>
    <row r="2700" spans="1:9" x14ac:dyDescent="0.25">
      <c r="A2700" s="299">
        <v>42969</v>
      </c>
      <c r="B2700" s="302" t="s">
        <v>26562</v>
      </c>
      <c r="C2700">
        <v>124672</v>
      </c>
      <c r="D2700" s="236" t="s">
        <v>15716</v>
      </c>
      <c r="E2700" s="301">
        <v>6006</v>
      </c>
      <c r="F2700" s="303">
        <v>42969</v>
      </c>
      <c r="G2700" s="301">
        <v>6006</v>
      </c>
      <c r="H2700" s="304">
        <f>Tabla13[[#This Row],[Importe]]-Tabla13[[#This Row],[Pagado]]</f>
        <v>0</v>
      </c>
      <c r="I2700" s="275" t="s">
        <v>15214</v>
      </c>
    </row>
    <row r="2701" spans="1:9" x14ac:dyDescent="0.25">
      <c r="A2701" s="299">
        <v>42969</v>
      </c>
      <c r="B2701" s="302" t="s">
        <v>26563</v>
      </c>
      <c r="C2701">
        <v>124673</v>
      </c>
      <c r="D2701" s="236" t="s">
        <v>15716</v>
      </c>
      <c r="E2701" s="301">
        <v>129.6</v>
      </c>
      <c r="F2701" s="303">
        <v>42969</v>
      </c>
      <c r="G2701" s="301">
        <v>129.6</v>
      </c>
      <c r="H2701" s="304">
        <f>Tabla13[[#This Row],[Importe]]-Tabla13[[#This Row],[Pagado]]</f>
        <v>0</v>
      </c>
      <c r="I2701" s="275" t="s">
        <v>15214</v>
      </c>
    </row>
    <row r="2702" spans="1:9" x14ac:dyDescent="0.25">
      <c r="A2702" s="299">
        <v>42969</v>
      </c>
      <c r="B2702" s="302" t="s">
        <v>26564</v>
      </c>
      <c r="C2702">
        <v>124674</v>
      </c>
      <c r="D2702" s="236" t="s">
        <v>15696</v>
      </c>
      <c r="E2702" s="301">
        <v>6286.4</v>
      </c>
      <c r="F2702" s="303">
        <v>42977</v>
      </c>
      <c r="G2702" s="301">
        <v>6286.4</v>
      </c>
      <c r="H2702" s="304">
        <f>Tabla13[[#This Row],[Importe]]-Tabla13[[#This Row],[Pagado]]</f>
        <v>0</v>
      </c>
      <c r="I2702" s="275" t="s">
        <v>15214</v>
      </c>
    </row>
    <row r="2703" spans="1:9" x14ac:dyDescent="0.25">
      <c r="A2703" s="299">
        <v>42969</v>
      </c>
      <c r="B2703" s="302" t="s">
        <v>26565</v>
      </c>
      <c r="C2703">
        <v>124675</v>
      </c>
      <c r="D2703" s="236" t="s">
        <v>15577</v>
      </c>
      <c r="E2703" s="301">
        <v>1059.5999999999999</v>
      </c>
      <c r="F2703" s="303">
        <v>42969</v>
      </c>
      <c r="G2703" s="301">
        <v>1059.5999999999999</v>
      </c>
      <c r="H2703" s="304">
        <f>Tabla13[[#This Row],[Importe]]-Tabla13[[#This Row],[Pagado]]</f>
        <v>0</v>
      </c>
      <c r="I2703" s="275" t="s">
        <v>15214</v>
      </c>
    </row>
    <row r="2704" spans="1:9" x14ac:dyDescent="0.25">
      <c r="A2704" s="299">
        <v>42969</v>
      </c>
      <c r="B2704" s="302" t="s">
        <v>26566</v>
      </c>
      <c r="C2704">
        <v>124676</v>
      </c>
      <c r="D2704" s="236" t="s">
        <v>15537</v>
      </c>
      <c r="E2704" s="301">
        <v>18007.2</v>
      </c>
      <c r="F2704" s="303">
        <v>42977</v>
      </c>
      <c r="G2704" s="301">
        <v>18007.2</v>
      </c>
      <c r="H2704" s="304">
        <f>Tabla13[[#This Row],[Importe]]-Tabla13[[#This Row],[Pagado]]</f>
        <v>0</v>
      </c>
      <c r="I2704" s="275" t="s">
        <v>15214</v>
      </c>
    </row>
    <row r="2705" spans="1:9" x14ac:dyDescent="0.25">
      <c r="A2705" s="299">
        <v>42969</v>
      </c>
      <c r="B2705" s="302" t="s">
        <v>26567</v>
      </c>
      <c r="C2705">
        <v>124677</v>
      </c>
      <c r="D2705" s="236" t="s">
        <v>15315</v>
      </c>
      <c r="E2705" s="301">
        <v>3505.5</v>
      </c>
      <c r="F2705" s="303">
        <v>42970</v>
      </c>
      <c r="G2705" s="301">
        <v>3505.5</v>
      </c>
      <c r="H2705" s="304">
        <f>Tabla13[[#This Row],[Importe]]-Tabla13[[#This Row],[Pagado]]</f>
        <v>0</v>
      </c>
      <c r="I2705" s="275" t="s">
        <v>15214</v>
      </c>
    </row>
    <row r="2706" spans="1:9" ht="15.75" x14ac:dyDescent="0.25">
      <c r="A2706" s="299">
        <v>42969</v>
      </c>
      <c r="B2706" s="302" t="s">
        <v>26568</v>
      </c>
      <c r="C2706">
        <v>124678</v>
      </c>
      <c r="D2706" s="248" t="s">
        <v>95</v>
      </c>
      <c r="E2706" s="301">
        <v>0</v>
      </c>
      <c r="F2706" s="243" t="s">
        <v>95</v>
      </c>
      <c r="G2706" s="301">
        <v>0</v>
      </c>
      <c r="H2706" s="304">
        <f>Tabla13[[#This Row],[Importe]]-Tabla13[[#This Row],[Pagado]]</f>
        <v>0</v>
      </c>
      <c r="I2706" s="275" t="s">
        <v>95</v>
      </c>
    </row>
    <row r="2707" spans="1:9" x14ac:dyDescent="0.25">
      <c r="A2707" s="299">
        <v>42969</v>
      </c>
      <c r="B2707" s="302" t="s">
        <v>26569</v>
      </c>
      <c r="C2707">
        <v>124679</v>
      </c>
      <c r="D2707" s="236" t="s">
        <v>15566</v>
      </c>
      <c r="E2707" s="301">
        <v>3234</v>
      </c>
      <c r="F2707" s="303">
        <v>42969</v>
      </c>
      <c r="G2707" s="301">
        <v>3234</v>
      </c>
      <c r="H2707" s="304">
        <f>Tabla13[[#This Row],[Importe]]-Tabla13[[#This Row],[Pagado]]</f>
        <v>0</v>
      </c>
      <c r="I2707" s="275" t="s">
        <v>15214</v>
      </c>
    </row>
    <row r="2708" spans="1:9" ht="15.75" x14ac:dyDescent="0.25">
      <c r="A2708" s="299">
        <v>42969</v>
      </c>
      <c r="B2708" s="302" t="s">
        <v>26570</v>
      </c>
      <c r="C2708">
        <v>124680</v>
      </c>
      <c r="D2708" s="236" t="s">
        <v>15315</v>
      </c>
      <c r="E2708" s="301">
        <v>1029.2</v>
      </c>
      <c r="F2708" s="318" t="s">
        <v>20085</v>
      </c>
      <c r="G2708" s="301">
        <v>1029.2</v>
      </c>
      <c r="H2708" s="304">
        <f>Tabla13[[#This Row],[Importe]]-Tabla13[[#This Row],[Pagado]]</f>
        <v>0</v>
      </c>
      <c r="I2708" s="275" t="s">
        <v>15214</v>
      </c>
    </row>
    <row r="2709" spans="1:9" x14ac:dyDescent="0.25">
      <c r="A2709" s="299">
        <v>42969</v>
      </c>
      <c r="B2709" s="302" t="s">
        <v>26571</v>
      </c>
      <c r="C2709">
        <v>124681</v>
      </c>
      <c r="D2709" s="236" t="s">
        <v>15315</v>
      </c>
      <c r="E2709" s="301">
        <v>31429.599999999999</v>
      </c>
      <c r="F2709" s="303">
        <v>42969</v>
      </c>
      <c r="G2709" s="301">
        <v>31429.599999999999</v>
      </c>
      <c r="H2709" s="304">
        <f>Tabla13[[#This Row],[Importe]]-Tabla13[[#This Row],[Pagado]]</f>
        <v>0</v>
      </c>
      <c r="I2709" s="275" t="s">
        <v>15214</v>
      </c>
    </row>
    <row r="2710" spans="1:9" x14ac:dyDescent="0.25">
      <c r="A2710" s="299">
        <v>42969</v>
      </c>
      <c r="B2710" s="302" t="s">
        <v>26572</v>
      </c>
      <c r="C2710">
        <v>124682</v>
      </c>
      <c r="D2710" s="236" t="s">
        <v>15600</v>
      </c>
      <c r="E2710" s="301">
        <v>10681.1</v>
      </c>
      <c r="F2710" s="303">
        <v>42971</v>
      </c>
      <c r="G2710" s="301">
        <v>10681.1</v>
      </c>
      <c r="H2710" s="304">
        <f>Tabla13[[#This Row],[Importe]]-Tabla13[[#This Row],[Pagado]]</f>
        <v>0</v>
      </c>
      <c r="I2710" s="275" t="s">
        <v>15214</v>
      </c>
    </row>
    <row r="2711" spans="1:9" x14ac:dyDescent="0.25">
      <c r="A2711" s="299">
        <v>42969</v>
      </c>
      <c r="B2711" s="302" t="s">
        <v>26573</v>
      </c>
      <c r="C2711">
        <v>124683</v>
      </c>
      <c r="D2711" s="236" t="s">
        <v>16288</v>
      </c>
      <c r="E2711" s="301">
        <v>1247</v>
      </c>
      <c r="F2711" s="303">
        <v>42970</v>
      </c>
      <c r="G2711" s="301">
        <v>1247</v>
      </c>
      <c r="H2711" s="304">
        <f>Tabla13[[#This Row],[Importe]]-Tabla13[[#This Row],[Pagado]]</f>
        <v>0</v>
      </c>
      <c r="I2711" s="275" t="s">
        <v>15214</v>
      </c>
    </row>
    <row r="2712" spans="1:9" x14ac:dyDescent="0.25">
      <c r="A2712" s="299">
        <v>42969</v>
      </c>
      <c r="B2712" s="302" t="s">
        <v>26574</v>
      </c>
      <c r="C2712">
        <v>124684</v>
      </c>
      <c r="D2712" s="236" t="s">
        <v>15417</v>
      </c>
      <c r="E2712" s="301">
        <v>2065.4</v>
      </c>
      <c r="F2712" s="303">
        <v>42970</v>
      </c>
      <c r="G2712" s="301">
        <v>2065.4</v>
      </c>
      <c r="H2712" s="304">
        <f>Tabla13[[#This Row],[Importe]]-Tabla13[[#This Row],[Pagado]]</f>
        <v>0</v>
      </c>
      <c r="I2712" s="275" t="s">
        <v>15214</v>
      </c>
    </row>
    <row r="2713" spans="1:9" x14ac:dyDescent="0.25">
      <c r="A2713" s="299">
        <v>42969</v>
      </c>
      <c r="B2713" s="302" t="s">
        <v>26575</v>
      </c>
      <c r="C2713">
        <v>124685</v>
      </c>
      <c r="D2713" s="236" t="s">
        <v>15276</v>
      </c>
      <c r="E2713" s="301">
        <v>1880</v>
      </c>
      <c r="F2713" s="303">
        <v>42970</v>
      </c>
      <c r="G2713" s="301">
        <v>1880</v>
      </c>
      <c r="H2713" s="304">
        <f>Tabla13[[#This Row],[Importe]]-Tabla13[[#This Row],[Pagado]]</f>
        <v>0</v>
      </c>
      <c r="I2713" s="275" t="s">
        <v>15214</v>
      </c>
    </row>
    <row r="2714" spans="1:9" x14ac:dyDescent="0.25">
      <c r="A2714" s="299">
        <v>42969</v>
      </c>
      <c r="B2714" s="302" t="s">
        <v>26576</v>
      </c>
      <c r="C2714">
        <v>124686</v>
      </c>
      <c r="D2714" s="236" t="s">
        <v>15320</v>
      </c>
      <c r="E2714" s="301">
        <v>810</v>
      </c>
      <c r="F2714" s="303">
        <v>42970</v>
      </c>
      <c r="G2714" s="301">
        <v>810</v>
      </c>
      <c r="H2714" s="304">
        <f>Tabla13[[#This Row],[Importe]]-Tabla13[[#This Row],[Pagado]]</f>
        <v>0</v>
      </c>
      <c r="I2714" s="275" t="s">
        <v>15214</v>
      </c>
    </row>
    <row r="2715" spans="1:9" x14ac:dyDescent="0.25">
      <c r="A2715" s="299">
        <v>42969</v>
      </c>
      <c r="B2715" s="302" t="s">
        <v>26577</v>
      </c>
      <c r="C2715">
        <v>124687</v>
      </c>
      <c r="D2715" s="236" t="s">
        <v>15307</v>
      </c>
      <c r="E2715" s="301">
        <v>1920.2</v>
      </c>
      <c r="F2715" s="303">
        <v>42971</v>
      </c>
      <c r="G2715" s="301">
        <v>1920.2</v>
      </c>
      <c r="H2715" s="304">
        <f>Tabla13[[#This Row],[Importe]]-Tabla13[[#This Row],[Pagado]]</f>
        <v>0</v>
      </c>
      <c r="I2715" s="275" t="s">
        <v>15214</v>
      </c>
    </row>
    <row r="2716" spans="1:9" x14ac:dyDescent="0.25">
      <c r="A2716" s="299">
        <v>42969</v>
      </c>
      <c r="B2716" s="302" t="s">
        <v>26578</v>
      </c>
      <c r="C2716">
        <v>124688</v>
      </c>
      <c r="D2716" s="236" t="s">
        <v>15301</v>
      </c>
      <c r="E2716" s="301">
        <v>3291.6</v>
      </c>
      <c r="F2716" s="303">
        <v>42970</v>
      </c>
      <c r="G2716" s="301">
        <v>3291.6</v>
      </c>
      <c r="H2716" s="304">
        <f>Tabla13[[#This Row],[Importe]]-Tabla13[[#This Row],[Pagado]]</f>
        <v>0</v>
      </c>
      <c r="I2716" s="275" t="s">
        <v>15214</v>
      </c>
    </row>
    <row r="2717" spans="1:9" x14ac:dyDescent="0.25">
      <c r="A2717" s="299">
        <v>42969</v>
      </c>
      <c r="B2717" s="302" t="s">
        <v>26579</v>
      </c>
      <c r="C2717">
        <v>124689</v>
      </c>
      <c r="D2717" s="236" t="s">
        <v>15309</v>
      </c>
      <c r="E2717" s="301">
        <v>4438.8</v>
      </c>
      <c r="F2717" s="303">
        <v>42970</v>
      </c>
      <c r="G2717" s="301">
        <v>4438.8</v>
      </c>
      <c r="H2717" s="304">
        <f>Tabla13[[#This Row],[Importe]]-Tabla13[[#This Row],[Pagado]]</f>
        <v>0</v>
      </c>
      <c r="I2717" s="275" t="s">
        <v>15214</v>
      </c>
    </row>
    <row r="2718" spans="1:9" x14ac:dyDescent="0.25">
      <c r="A2718" s="299">
        <v>42969</v>
      </c>
      <c r="B2718" s="302" t="s">
        <v>26580</v>
      </c>
      <c r="C2718">
        <v>124690</v>
      </c>
      <c r="D2718" s="236" t="s">
        <v>17800</v>
      </c>
      <c r="E2718" s="301">
        <v>4265.6000000000004</v>
      </c>
      <c r="F2718" s="303">
        <v>42970</v>
      </c>
      <c r="G2718" s="301">
        <v>4265.6000000000004</v>
      </c>
      <c r="H2718" s="304">
        <f>Tabla13[[#This Row],[Importe]]-Tabla13[[#This Row],[Pagado]]</f>
        <v>0</v>
      </c>
      <c r="I2718" s="275" t="s">
        <v>15214</v>
      </c>
    </row>
    <row r="2719" spans="1:9" x14ac:dyDescent="0.25">
      <c r="A2719" s="299">
        <v>42969</v>
      </c>
      <c r="B2719" s="302" t="s">
        <v>26581</v>
      </c>
      <c r="C2719">
        <v>124691</v>
      </c>
      <c r="D2719" s="236" t="s">
        <v>15313</v>
      </c>
      <c r="E2719" s="301">
        <v>5936</v>
      </c>
      <c r="F2719" s="303">
        <v>42977</v>
      </c>
      <c r="G2719" s="301">
        <v>5936</v>
      </c>
      <c r="H2719" s="304">
        <f>Tabla13[[#This Row],[Importe]]-Tabla13[[#This Row],[Pagado]]</f>
        <v>0</v>
      </c>
      <c r="I2719" s="275" t="s">
        <v>15214</v>
      </c>
    </row>
    <row r="2720" spans="1:9" x14ac:dyDescent="0.25">
      <c r="A2720" s="299">
        <v>42969</v>
      </c>
      <c r="B2720" s="302" t="s">
        <v>26582</v>
      </c>
      <c r="C2720">
        <v>124692</v>
      </c>
      <c r="D2720" s="236" t="s">
        <v>15510</v>
      </c>
      <c r="E2720" s="301">
        <v>1165</v>
      </c>
      <c r="F2720" s="303">
        <v>42970</v>
      </c>
      <c r="G2720" s="301">
        <v>1165</v>
      </c>
      <c r="H2720" s="304">
        <f>Tabla13[[#This Row],[Importe]]-Tabla13[[#This Row],[Pagado]]</f>
        <v>0</v>
      </c>
      <c r="I2720" s="275" t="s">
        <v>15214</v>
      </c>
    </row>
    <row r="2721" spans="1:9" x14ac:dyDescent="0.25">
      <c r="A2721" s="299">
        <v>42969</v>
      </c>
      <c r="B2721" s="302" t="s">
        <v>26583</v>
      </c>
      <c r="C2721">
        <v>124693</v>
      </c>
      <c r="D2721" s="236" t="s">
        <v>15274</v>
      </c>
      <c r="E2721" s="301">
        <v>2800</v>
      </c>
      <c r="F2721" s="303">
        <v>42970</v>
      </c>
      <c r="G2721" s="301">
        <v>2800</v>
      </c>
      <c r="H2721" s="304">
        <f>Tabla13[[#This Row],[Importe]]-Tabla13[[#This Row],[Pagado]]</f>
        <v>0</v>
      </c>
      <c r="I2721" s="275" t="s">
        <v>15214</v>
      </c>
    </row>
    <row r="2722" spans="1:9" x14ac:dyDescent="0.25">
      <c r="A2722" s="299">
        <v>42969</v>
      </c>
      <c r="B2722" s="302" t="s">
        <v>26584</v>
      </c>
      <c r="C2722">
        <v>124694</v>
      </c>
      <c r="D2722" s="236" t="s">
        <v>15274</v>
      </c>
      <c r="E2722" s="301">
        <v>705</v>
      </c>
      <c r="F2722" s="303">
        <v>42970</v>
      </c>
      <c r="G2722" s="301">
        <v>705</v>
      </c>
      <c r="H2722" s="304">
        <f>Tabla13[[#This Row],[Importe]]-Tabla13[[#This Row],[Pagado]]</f>
        <v>0</v>
      </c>
      <c r="I2722" s="275" t="s">
        <v>15214</v>
      </c>
    </row>
    <row r="2723" spans="1:9" x14ac:dyDescent="0.25">
      <c r="A2723" s="299">
        <v>42969</v>
      </c>
      <c r="B2723" s="302" t="s">
        <v>26585</v>
      </c>
      <c r="C2723">
        <v>124695</v>
      </c>
      <c r="D2723" s="236" t="s">
        <v>15291</v>
      </c>
      <c r="E2723" s="301">
        <v>752</v>
      </c>
      <c r="F2723" s="303">
        <v>42970</v>
      </c>
      <c r="G2723" s="301">
        <v>752</v>
      </c>
      <c r="H2723" s="304">
        <f>Tabla13[[#This Row],[Importe]]-Tabla13[[#This Row],[Pagado]]</f>
        <v>0</v>
      </c>
      <c r="I2723" s="275" t="s">
        <v>15214</v>
      </c>
    </row>
    <row r="2724" spans="1:9" x14ac:dyDescent="0.25">
      <c r="A2724" s="299">
        <v>42969</v>
      </c>
      <c r="B2724" s="302" t="s">
        <v>26586</v>
      </c>
      <c r="C2724">
        <v>124696</v>
      </c>
      <c r="D2724" s="236" t="s">
        <v>15282</v>
      </c>
      <c r="E2724" s="301">
        <v>3595</v>
      </c>
      <c r="F2724" s="303">
        <v>42969</v>
      </c>
      <c r="G2724" s="301">
        <v>3595</v>
      </c>
      <c r="H2724" s="304">
        <f>Tabla13[[#This Row],[Importe]]-Tabla13[[#This Row],[Pagado]]</f>
        <v>0</v>
      </c>
      <c r="I2724" s="275" t="s">
        <v>15214</v>
      </c>
    </row>
    <row r="2725" spans="1:9" x14ac:dyDescent="0.25">
      <c r="A2725" s="299">
        <v>42969</v>
      </c>
      <c r="B2725" s="302" t="s">
        <v>26587</v>
      </c>
      <c r="C2725">
        <v>124697</v>
      </c>
      <c r="D2725" s="236" t="s">
        <v>15315</v>
      </c>
      <c r="E2725" s="301">
        <v>1001</v>
      </c>
      <c r="F2725" s="303">
        <v>42969</v>
      </c>
      <c r="G2725" s="301">
        <v>1001</v>
      </c>
      <c r="H2725" s="304">
        <f>Tabla13[[#This Row],[Importe]]-Tabla13[[#This Row],[Pagado]]</f>
        <v>0</v>
      </c>
      <c r="I2725" s="275" t="s">
        <v>15214</v>
      </c>
    </row>
    <row r="2726" spans="1:9" x14ac:dyDescent="0.25">
      <c r="A2726" s="299">
        <v>42969</v>
      </c>
      <c r="B2726" s="302" t="s">
        <v>26588</v>
      </c>
      <c r="C2726">
        <v>124698</v>
      </c>
      <c r="D2726" s="236" t="s">
        <v>15391</v>
      </c>
      <c r="E2726" s="301">
        <v>7497</v>
      </c>
      <c r="F2726" s="303">
        <v>42970</v>
      </c>
      <c r="G2726" s="301">
        <v>7497</v>
      </c>
      <c r="H2726" s="304">
        <f>Tabla13[[#This Row],[Importe]]-Tabla13[[#This Row],[Pagado]]</f>
        <v>0</v>
      </c>
      <c r="I2726" s="275" t="s">
        <v>15214</v>
      </c>
    </row>
    <row r="2727" spans="1:9" x14ac:dyDescent="0.25">
      <c r="A2727" s="299">
        <v>42969</v>
      </c>
      <c r="B2727" s="302" t="s">
        <v>26589</v>
      </c>
      <c r="C2727">
        <v>124699</v>
      </c>
      <c r="D2727" s="236" t="s">
        <v>17462</v>
      </c>
      <c r="E2727" s="301">
        <v>2927.6</v>
      </c>
      <c r="F2727" s="303">
        <v>42969</v>
      </c>
      <c r="G2727" s="301">
        <v>2927.6</v>
      </c>
      <c r="H2727" s="304">
        <f>Tabla13[[#This Row],[Importe]]-Tabla13[[#This Row],[Pagado]]</f>
        <v>0</v>
      </c>
      <c r="I2727" s="275" t="s">
        <v>15214</v>
      </c>
    </row>
    <row r="2728" spans="1:9" ht="15.75" x14ac:dyDescent="0.25">
      <c r="A2728" s="299">
        <v>42969</v>
      </c>
      <c r="B2728" s="302" t="s">
        <v>26590</v>
      </c>
      <c r="C2728">
        <v>124700</v>
      </c>
      <c r="D2728" s="248" t="s">
        <v>95</v>
      </c>
      <c r="E2728" s="301">
        <v>0</v>
      </c>
      <c r="F2728" s="243" t="s">
        <v>95</v>
      </c>
      <c r="G2728" s="301">
        <v>0</v>
      </c>
      <c r="H2728" s="304">
        <f>Tabla13[[#This Row],[Importe]]-Tabla13[[#This Row],[Pagado]]</f>
        <v>0</v>
      </c>
      <c r="I2728" s="275" t="s">
        <v>95</v>
      </c>
    </row>
    <row r="2729" spans="1:9" x14ac:dyDescent="0.25">
      <c r="A2729" s="299">
        <v>42969</v>
      </c>
      <c r="B2729" s="302" t="s">
        <v>26591</v>
      </c>
      <c r="C2729">
        <v>124701</v>
      </c>
      <c r="D2729" s="236" t="s">
        <v>15594</v>
      </c>
      <c r="E2729" s="301">
        <v>2510.4</v>
      </c>
      <c r="F2729" s="303">
        <v>42969</v>
      </c>
      <c r="G2729" s="301">
        <v>2510.4</v>
      </c>
      <c r="H2729" s="304">
        <f>Tabla13[[#This Row],[Importe]]-Tabla13[[#This Row],[Pagado]]</f>
        <v>0</v>
      </c>
      <c r="I2729" s="275" t="s">
        <v>15214</v>
      </c>
    </row>
    <row r="2730" spans="1:9" x14ac:dyDescent="0.25">
      <c r="A2730" s="299">
        <v>42969</v>
      </c>
      <c r="B2730" s="302" t="s">
        <v>26592</v>
      </c>
      <c r="C2730">
        <v>124702</v>
      </c>
      <c r="D2730" s="236" t="s">
        <v>15568</v>
      </c>
      <c r="E2730" s="301">
        <v>3534.2</v>
      </c>
      <c r="F2730" s="303">
        <v>42969</v>
      </c>
      <c r="G2730" s="301">
        <v>3534.2</v>
      </c>
      <c r="H2730" s="304">
        <f>Tabla13[[#This Row],[Importe]]-Tabla13[[#This Row],[Pagado]]</f>
        <v>0</v>
      </c>
      <c r="I2730" s="275" t="s">
        <v>15214</v>
      </c>
    </row>
    <row r="2731" spans="1:9" x14ac:dyDescent="0.25">
      <c r="A2731" s="299">
        <v>42969</v>
      </c>
      <c r="B2731" s="302" t="s">
        <v>26593</v>
      </c>
      <c r="C2731">
        <v>124703</v>
      </c>
      <c r="D2731" s="236" t="s">
        <v>19697</v>
      </c>
      <c r="E2731" s="301">
        <v>1052.5999999999999</v>
      </c>
      <c r="F2731" s="303">
        <v>42969</v>
      </c>
      <c r="G2731" s="301">
        <v>1052.5999999999999</v>
      </c>
      <c r="H2731" s="304">
        <f>Tabla13[[#This Row],[Importe]]-Tabla13[[#This Row],[Pagado]]</f>
        <v>0</v>
      </c>
      <c r="I2731" s="275" t="s">
        <v>15214</v>
      </c>
    </row>
    <row r="2732" spans="1:9" x14ac:dyDescent="0.25">
      <c r="A2732" s="299">
        <v>42969</v>
      </c>
      <c r="B2732" s="302" t="s">
        <v>26594</v>
      </c>
      <c r="C2732">
        <v>124704</v>
      </c>
      <c r="D2732" s="236" t="s">
        <v>15315</v>
      </c>
      <c r="E2732" s="301">
        <v>1029.5999999999999</v>
      </c>
      <c r="F2732" s="303">
        <v>42969</v>
      </c>
      <c r="G2732" s="301">
        <v>1029.5999999999999</v>
      </c>
      <c r="H2732" s="304">
        <f>Tabla13[[#This Row],[Importe]]-Tabla13[[#This Row],[Pagado]]</f>
        <v>0</v>
      </c>
      <c r="I2732" s="275" t="s">
        <v>15214</v>
      </c>
    </row>
    <row r="2733" spans="1:9" x14ac:dyDescent="0.25">
      <c r="A2733" s="299">
        <v>42969</v>
      </c>
      <c r="B2733" s="302" t="s">
        <v>26595</v>
      </c>
      <c r="C2733">
        <v>124705</v>
      </c>
      <c r="D2733" s="236" t="s">
        <v>15315</v>
      </c>
      <c r="E2733" s="301">
        <v>390</v>
      </c>
      <c r="F2733" s="303">
        <v>42969</v>
      </c>
      <c r="G2733" s="301">
        <v>390</v>
      </c>
      <c r="H2733" s="304">
        <f>Tabla13[[#This Row],[Importe]]-Tabla13[[#This Row],[Pagado]]</f>
        <v>0</v>
      </c>
      <c r="I2733" s="275" t="s">
        <v>15214</v>
      </c>
    </row>
    <row r="2734" spans="1:9" x14ac:dyDescent="0.25">
      <c r="A2734" s="299">
        <v>42969</v>
      </c>
      <c r="B2734" s="302" t="s">
        <v>26596</v>
      </c>
      <c r="C2734">
        <v>124706</v>
      </c>
      <c r="D2734" s="236" t="s">
        <v>15226</v>
      </c>
      <c r="E2734" s="301">
        <v>1382.4</v>
      </c>
      <c r="F2734" s="303">
        <v>42975</v>
      </c>
      <c r="G2734" s="301">
        <v>1382.4</v>
      </c>
      <c r="H2734" s="304">
        <f>Tabla13[[#This Row],[Importe]]-Tabla13[[#This Row],[Pagado]]</f>
        <v>0</v>
      </c>
      <c r="I2734" s="275" t="s">
        <v>15214</v>
      </c>
    </row>
    <row r="2735" spans="1:9" x14ac:dyDescent="0.25">
      <c r="A2735" s="299">
        <v>42969</v>
      </c>
      <c r="B2735" s="302" t="s">
        <v>26597</v>
      </c>
      <c r="C2735">
        <v>124707</v>
      </c>
      <c r="D2735" s="236" t="s">
        <v>19768</v>
      </c>
      <c r="E2735" s="301">
        <v>1410</v>
      </c>
      <c r="F2735" s="303">
        <v>42969</v>
      </c>
      <c r="G2735" s="301">
        <v>1410</v>
      </c>
      <c r="H2735" s="304">
        <f>Tabla13[[#This Row],[Importe]]-Tabla13[[#This Row],[Pagado]]</f>
        <v>0</v>
      </c>
      <c r="I2735" s="275" t="s">
        <v>15214</v>
      </c>
    </row>
    <row r="2736" spans="1:9" x14ac:dyDescent="0.25">
      <c r="A2736" s="299">
        <v>42969</v>
      </c>
      <c r="B2736" s="302" t="s">
        <v>26598</v>
      </c>
      <c r="C2736">
        <v>124708</v>
      </c>
      <c r="D2736" s="236" t="s">
        <v>15590</v>
      </c>
      <c r="E2736" s="301">
        <v>15822</v>
      </c>
      <c r="F2736" s="303">
        <v>42977</v>
      </c>
      <c r="G2736" s="301">
        <v>15822</v>
      </c>
      <c r="H2736" s="304">
        <f>Tabla13[[#This Row],[Importe]]-Tabla13[[#This Row],[Pagado]]</f>
        <v>0</v>
      </c>
      <c r="I2736" s="275" t="s">
        <v>15214</v>
      </c>
    </row>
    <row r="2737" spans="1:9" x14ac:dyDescent="0.25">
      <c r="A2737" s="299">
        <v>42969</v>
      </c>
      <c r="B2737" s="302" t="s">
        <v>26599</v>
      </c>
      <c r="C2737">
        <v>124709</v>
      </c>
      <c r="D2737" s="236" t="s">
        <v>21445</v>
      </c>
      <c r="E2737" s="301">
        <v>2246.8000000000002</v>
      </c>
      <c r="F2737" s="303">
        <v>42969</v>
      </c>
      <c r="G2737" s="301">
        <v>2246.8000000000002</v>
      </c>
      <c r="H2737" s="304">
        <f>Tabla13[[#This Row],[Importe]]-Tabla13[[#This Row],[Pagado]]</f>
        <v>0</v>
      </c>
      <c r="I2737" s="275" t="s">
        <v>15214</v>
      </c>
    </row>
    <row r="2738" spans="1:9" x14ac:dyDescent="0.25">
      <c r="A2738" s="299">
        <v>42969</v>
      </c>
      <c r="B2738" s="302" t="s">
        <v>26600</v>
      </c>
      <c r="C2738">
        <v>124710</v>
      </c>
      <c r="D2738" s="236" t="s">
        <v>15322</v>
      </c>
      <c r="E2738" s="301">
        <v>695.8</v>
      </c>
      <c r="F2738" s="303">
        <v>42969</v>
      </c>
      <c r="G2738" s="301">
        <v>695.8</v>
      </c>
      <c r="H2738" s="304">
        <f>Tabla13[[#This Row],[Importe]]-Tabla13[[#This Row],[Pagado]]</f>
        <v>0</v>
      </c>
      <c r="I2738" s="275" t="s">
        <v>15214</v>
      </c>
    </row>
    <row r="2739" spans="1:9" x14ac:dyDescent="0.25">
      <c r="A2739" s="299">
        <v>42969</v>
      </c>
      <c r="B2739" s="302" t="s">
        <v>26601</v>
      </c>
      <c r="C2739">
        <v>124711</v>
      </c>
      <c r="D2739" s="236" t="s">
        <v>15566</v>
      </c>
      <c r="E2739" s="301">
        <v>2847.4</v>
      </c>
      <c r="F2739" s="303">
        <v>42969</v>
      </c>
      <c r="G2739" s="301">
        <v>2847.4</v>
      </c>
      <c r="H2739" s="304">
        <f>Tabla13[[#This Row],[Importe]]-Tabla13[[#This Row],[Pagado]]</f>
        <v>0</v>
      </c>
      <c r="I2739" s="275" t="s">
        <v>15214</v>
      </c>
    </row>
    <row r="2740" spans="1:9" x14ac:dyDescent="0.25">
      <c r="A2740" s="299">
        <v>42969</v>
      </c>
      <c r="B2740" s="302" t="s">
        <v>26602</v>
      </c>
      <c r="C2740">
        <v>124712</v>
      </c>
      <c r="D2740" s="236" t="s">
        <v>15987</v>
      </c>
      <c r="E2740" s="301">
        <v>984</v>
      </c>
      <c r="F2740" s="303">
        <v>42969</v>
      </c>
      <c r="G2740" s="301">
        <v>984</v>
      </c>
      <c r="H2740" s="304">
        <f>Tabla13[[#This Row],[Importe]]-Tabla13[[#This Row],[Pagado]]</f>
        <v>0</v>
      </c>
      <c r="I2740" s="275" t="s">
        <v>15214</v>
      </c>
    </row>
    <row r="2741" spans="1:9" x14ac:dyDescent="0.25">
      <c r="A2741" s="299">
        <v>42969</v>
      </c>
      <c r="B2741" s="302" t="s">
        <v>26603</v>
      </c>
      <c r="C2741">
        <v>124713</v>
      </c>
      <c r="D2741" s="236" t="s">
        <v>15398</v>
      </c>
      <c r="E2741" s="301">
        <v>3130.4</v>
      </c>
      <c r="F2741" s="303">
        <v>42969</v>
      </c>
      <c r="G2741" s="301">
        <v>3130.4</v>
      </c>
      <c r="H2741" s="304">
        <f>Tabla13[[#This Row],[Importe]]-Tabla13[[#This Row],[Pagado]]</f>
        <v>0</v>
      </c>
      <c r="I2741" s="275" t="s">
        <v>15214</v>
      </c>
    </row>
    <row r="2742" spans="1:9" x14ac:dyDescent="0.25">
      <c r="A2742" s="299">
        <v>42969</v>
      </c>
      <c r="B2742" s="302" t="s">
        <v>26604</v>
      </c>
      <c r="C2742">
        <v>124714</v>
      </c>
      <c r="D2742" s="236" t="s">
        <v>15856</v>
      </c>
      <c r="E2742" s="301">
        <v>2656</v>
      </c>
      <c r="F2742" s="303">
        <v>42969</v>
      </c>
      <c r="G2742" s="301">
        <v>2656</v>
      </c>
      <c r="H2742" s="304">
        <f>Tabla13[[#This Row],[Importe]]-Tabla13[[#This Row],[Pagado]]</f>
        <v>0</v>
      </c>
      <c r="I2742" s="275" t="s">
        <v>15214</v>
      </c>
    </row>
    <row r="2743" spans="1:9" x14ac:dyDescent="0.25">
      <c r="A2743" s="299">
        <v>42969</v>
      </c>
      <c r="B2743" s="302" t="s">
        <v>26605</v>
      </c>
      <c r="C2743">
        <v>124715</v>
      </c>
      <c r="D2743" s="236" t="s">
        <v>15315</v>
      </c>
      <c r="E2743" s="301">
        <v>6395.4</v>
      </c>
      <c r="F2743" s="303">
        <v>42969</v>
      </c>
      <c r="G2743" s="301">
        <v>6395.4</v>
      </c>
      <c r="H2743" s="304">
        <f>Tabla13[[#This Row],[Importe]]-Tabla13[[#This Row],[Pagado]]</f>
        <v>0</v>
      </c>
      <c r="I2743" s="275" t="s">
        <v>15214</v>
      </c>
    </row>
    <row r="2744" spans="1:9" x14ac:dyDescent="0.25">
      <c r="A2744" s="299">
        <v>42969</v>
      </c>
      <c r="B2744" s="302" t="s">
        <v>26606</v>
      </c>
      <c r="C2744">
        <v>124716</v>
      </c>
      <c r="D2744" s="236" t="s">
        <v>17950</v>
      </c>
      <c r="E2744" s="301">
        <v>4701</v>
      </c>
      <c r="F2744" s="303">
        <v>42969</v>
      </c>
      <c r="G2744" s="301">
        <v>4701</v>
      </c>
      <c r="H2744" s="304">
        <f>Tabla13[[#This Row],[Importe]]-Tabla13[[#This Row],[Pagado]]</f>
        <v>0</v>
      </c>
      <c r="I2744" s="275" t="s">
        <v>15214</v>
      </c>
    </row>
    <row r="2745" spans="1:9" x14ac:dyDescent="0.25">
      <c r="A2745" s="299">
        <v>42969</v>
      </c>
      <c r="B2745" s="302" t="s">
        <v>26607</v>
      </c>
      <c r="C2745">
        <v>124717</v>
      </c>
      <c r="D2745" s="236" t="s">
        <v>15423</v>
      </c>
      <c r="E2745" s="301">
        <v>2702.4</v>
      </c>
      <c r="F2745" s="303">
        <v>42969</v>
      </c>
      <c r="G2745" s="301">
        <v>2702.4</v>
      </c>
      <c r="H2745" s="304">
        <f>Tabla13[[#This Row],[Importe]]-Tabla13[[#This Row],[Pagado]]</f>
        <v>0</v>
      </c>
      <c r="I2745" s="275" t="s">
        <v>15214</v>
      </c>
    </row>
    <row r="2746" spans="1:9" x14ac:dyDescent="0.25">
      <c r="A2746" s="299">
        <v>42969</v>
      </c>
      <c r="B2746" s="302" t="s">
        <v>26608</v>
      </c>
      <c r="C2746">
        <v>124718</v>
      </c>
      <c r="D2746" s="236" t="s">
        <v>15562</v>
      </c>
      <c r="E2746" s="301">
        <v>3338.4</v>
      </c>
      <c r="F2746" s="303">
        <v>42969</v>
      </c>
      <c r="G2746" s="301">
        <v>3338.4</v>
      </c>
      <c r="H2746" s="304">
        <f>Tabla13[[#This Row],[Importe]]-Tabla13[[#This Row],[Pagado]]</f>
        <v>0</v>
      </c>
      <c r="I2746" s="275" t="s">
        <v>15214</v>
      </c>
    </row>
    <row r="2747" spans="1:9" ht="15.75" x14ac:dyDescent="0.25">
      <c r="A2747" s="299">
        <v>42969</v>
      </c>
      <c r="B2747" s="302" t="s">
        <v>26609</v>
      </c>
      <c r="C2747">
        <v>124719</v>
      </c>
      <c r="D2747" s="248" t="s">
        <v>95</v>
      </c>
      <c r="E2747" s="301">
        <v>0</v>
      </c>
      <c r="F2747" s="243" t="s">
        <v>95</v>
      </c>
      <c r="G2747" s="301">
        <v>0</v>
      </c>
      <c r="H2747" s="304">
        <f>Tabla13[[#This Row],[Importe]]-Tabla13[[#This Row],[Pagado]]</f>
        <v>0</v>
      </c>
      <c r="I2747" s="275" t="s">
        <v>95</v>
      </c>
    </row>
    <row r="2748" spans="1:9" ht="30" x14ac:dyDescent="0.25">
      <c r="A2748" s="299">
        <v>42969</v>
      </c>
      <c r="B2748" s="302" t="s">
        <v>26610</v>
      </c>
      <c r="C2748">
        <v>124720</v>
      </c>
      <c r="D2748" s="236" t="s">
        <v>15624</v>
      </c>
      <c r="E2748" s="301">
        <v>30657.8</v>
      </c>
      <c r="F2748" s="303" t="s">
        <v>26611</v>
      </c>
      <c r="G2748" s="305">
        <f>10657.8+20000</f>
        <v>30657.8</v>
      </c>
      <c r="H2748" s="304">
        <f>Tabla13[[#This Row],[Importe]]-Tabla13[[#This Row],[Pagado]]</f>
        <v>0</v>
      </c>
      <c r="I2748" s="275" t="s">
        <v>15214</v>
      </c>
    </row>
    <row r="2749" spans="1:9" x14ac:dyDescent="0.25">
      <c r="A2749" s="299">
        <v>42969</v>
      </c>
      <c r="B2749" s="302" t="s">
        <v>26612</v>
      </c>
      <c r="C2749">
        <v>124721</v>
      </c>
      <c r="D2749" s="236" t="s">
        <v>15250</v>
      </c>
      <c r="E2749" s="301">
        <v>40536.94</v>
      </c>
      <c r="F2749" s="303">
        <v>42978</v>
      </c>
      <c r="G2749" s="301">
        <v>40536.94</v>
      </c>
      <c r="H2749" s="304">
        <f>Tabla13[[#This Row],[Importe]]-Tabla13[[#This Row],[Pagado]]</f>
        <v>0</v>
      </c>
      <c r="I2749" s="275" t="s">
        <v>15214</v>
      </c>
    </row>
    <row r="2750" spans="1:9" x14ac:dyDescent="0.25">
      <c r="A2750" s="299">
        <v>42969</v>
      </c>
      <c r="B2750" s="302" t="s">
        <v>26613</v>
      </c>
      <c r="C2750">
        <v>124722</v>
      </c>
      <c r="D2750" s="236" t="s">
        <v>15246</v>
      </c>
      <c r="E2750" s="301">
        <v>145935.44</v>
      </c>
      <c r="F2750" s="303">
        <v>42972</v>
      </c>
      <c r="G2750" s="301">
        <v>145935.44</v>
      </c>
      <c r="H2750" s="304">
        <f>Tabla13[[#This Row],[Importe]]-Tabla13[[#This Row],[Pagado]]</f>
        <v>0</v>
      </c>
      <c r="I2750" s="275" t="s">
        <v>15214</v>
      </c>
    </row>
    <row r="2751" spans="1:9" x14ac:dyDescent="0.25">
      <c r="A2751" s="299">
        <v>42969</v>
      </c>
      <c r="B2751" s="302" t="s">
        <v>26614</v>
      </c>
      <c r="C2751">
        <v>124723</v>
      </c>
      <c r="D2751" s="236" t="s">
        <v>15267</v>
      </c>
      <c r="E2751" s="301">
        <v>7776</v>
      </c>
      <c r="F2751" s="303">
        <v>42969</v>
      </c>
      <c r="G2751" s="301">
        <v>7776</v>
      </c>
      <c r="H2751" s="304">
        <f>Tabla13[[#This Row],[Importe]]-Tabla13[[#This Row],[Pagado]]</f>
        <v>0</v>
      </c>
      <c r="I2751" s="275" t="s">
        <v>15214</v>
      </c>
    </row>
    <row r="2752" spans="1:9" x14ac:dyDescent="0.25">
      <c r="A2752" s="299">
        <v>42969</v>
      </c>
      <c r="B2752" s="302" t="s">
        <v>26615</v>
      </c>
      <c r="C2752">
        <v>124724</v>
      </c>
      <c r="D2752" s="236" t="s">
        <v>15365</v>
      </c>
      <c r="E2752" s="301">
        <v>270015</v>
      </c>
      <c r="F2752" s="303">
        <v>42972</v>
      </c>
      <c r="G2752" s="301">
        <v>270015</v>
      </c>
      <c r="H2752" s="304">
        <f>Tabla13[[#This Row],[Importe]]-Tabla13[[#This Row],[Pagado]]</f>
        <v>0</v>
      </c>
      <c r="I2752" s="275" t="s">
        <v>15214</v>
      </c>
    </row>
    <row r="2753" spans="1:9" x14ac:dyDescent="0.25">
      <c r="A2753" s="299">
        <v>42969</v>
      </c>
      <c r="B2753" s="302" t="s">
        <v>26616</v>
      </c>
      <c r="C2753">
        <v>124725</v>
      </c>
      <c r="D2753" s="236" t="s">
        <v>15444</v>
      </c>
      <c r="E2753" s="301">
        <v>2991</v>
      </c>
      <c r="F2753" s="303">
        <v>42971</v>
      </c>
      <c r="G2753" s="301">
        <v>2991</v>
      </c>
      <c r="H2753" s="304">
        <f>Tabla13[[#This Row],[Importe]]-Tabla13[[#This Row],[Pagado]]</f>
        <v>0</v>
      </c>
      <c r="I2753" s="275" t="s">
        <v>15214</v>
      </c>
    </row>
    <row r="2754" spans="1:9" x14ac:dyDescent="0.25">
      <c r="A2754" s="299">
        <v>42969</v>
      </c>
      <c r="B2754" s="302" t="s">
        <v>26617</v>
      </c>
      <c r="C2754">
        <v>124726</v>
      </c>
      <c r="D2754" s="236" t="s">
        <v>15315</v>
      </c>
      <c r="E2754" s="301">
        <v>2380.44</v>
      </c>
      <c r="F2754" s="303">
        <v>42969</v>
      </c>
      <c r="G2754" s="301">
        <v>2380.44</v>
      </c>
      <c r="H2754" s="304">
        <f>Tabla13[[#This Row],[Importe]]-Tabla13[[#This Row],[Pagado]]</f>
        <v>0</v>
      </c>
      <c r="I2754" s="275" t="s">
        <v>15214</v>
      </c>
    </row>
    <row r="2755" spans="1:9" x14ac:dyDescent="0.25">
      <c r="A2755" s="299">
        <v>42969</v>
      </c>
      <c r="B2755" s="302" t="s">
        <v>26618</v>
      </c>
      <c r="C2755">
        <v>124727</v>
      </c>
      <c r="D2755" s="236" t="s">
        <v>15246</v>
      </c>
      <c r="E2755" s="301">
        <v>61333.3</v>
      </c>
      <c r="F2755" s="303">
        <v>42972</v>
      </c>
      <c r="G2755" s="301">
        <v>61333.3</v>
      </c>
      <c r="H2755" s="304">
        <f>Tabla13[[#This Row],[Importe]]-Tabla13[[#This Row],[Pagado]]</f>
        <v>0</v>
      </c>
      <c r="I2755" s="275" t="s">
        <v>15214</v>
      </c>
    </row>
    <row r="2756" spans="1:9" x14ac:dyDescent="0.25">
      <c r="A2756" s="299">
        <v>42969</v>
      </c>
      <c r="B2756" s="302" t="s">
        <v>26619</v>
      </c>
      <c r="C2756">
        <v>124728</v>
      </c>
      <c r="D2756" s="236" t="s">
        <v>15728</v>
      </c>
      <c r="E2756" s="301">
        <v>17931.599999999999</v>
      </c>
      <c r="F2756" s="303">
        <v>42969</v>
      </c>
      <c r="G2756" s="301">
        <v>17931.599999999999</v>
      </c>
      <c r="H2756" s="304">
        <f>Tabla13[[#This Row],[Importe]]-Tabla13[[#This Row],[Pagado]]</f>
        <v>0</v>
      </c>
      <c r="I2756" s="275" t="s">
        <v>15214</v>
      </c>
    </row>
    <row r="2757" spans="1:9" x14ac:dyDescent="0.25">
      <c r="A2757" s="299">
        <v>42969</v>
      </c>
      <c r="B2757" s="302" t="s">
        <v>26620</v>
      </c>
      <c r="C2757">
        <v>124729</v>
      </c>
      <c r="D2757" s="236" t="s">
        <v>15407</v>
      </c>
      <c r="E2757" s="301">
        <v>1188</v>
      </c>
      <c r="F2757" s="303">
        <v>42969</v>
      </c>
      <c r="G2757" s="301">
        <v>1188</v>
      </c>
      <c r="H2757" s="304">
        <f>Tabla13[[#This Row],[Importe]]-Tabla13[[#This Row],[Pagado]]</f>
        <v>0</v>
      </c>
      <c r="I2757" s="275" t="s">
        <v>15214</v>
      </c>
    </row>
    <row r="2758" spans="1:9" x14ac:dyDescent="0.25">
      <c r="A2758" s="299">
        <v>42969</v>
      </c>
      <c r="B2758" s="302" t="s">
        <v>26621</v>
      </c>
      <c r="C2758">
        <v>124730</v>
      </c>
      <c r="D2758" s="236" t="s">
        <v>15435</v>
      </c>
      <c r="E2758" s="301">
        <v>8308.7999999999993</v>
      </c>
      <c r="F2758" s="303">
        <v>42969</v>
      </c>
      <c r="G2758" s="301">
        <v>8308.7999999999993</v>
      </c>
      <c r="H2758" s="304">
        <f>Tabla13[[#This Row],[Importe]]-Tabla13[[#This Row],[Pagado]]</f>
        <v>0</v>
      </c>
      <c r="I2758" s="275" t="s">
        <v>15214</v>
      </c>
    </row>
    <row r="2759" spans="1:9" x14ac:dyDescent="0.25">
      <c r="A2759" s="299">
        <v>42969</v>
      </c>
      <c r="B2759" s="302" t="s">
        <v>26622</v>
      </c>
      <c r="C2759">
        <v>124731</v>
      </c>
      <c r="D2759" s="236" t="s">
        <v>15642</v>
      </c>
      <c r="E2759" s="301">
        <v>4882.5</v>
      </c>
      <c r="F2759" s="303">
        <v>42969</v>
      </c>
      <c r="G2759" s="301">
        <v>4882.5</v>
      </c>
      <c r="H2759" s="304">
        <f>Tabla13[[#This Row],[Importe]]-Tabla13[[#This Row],[Pagado]]</f>
        <v>0</v>
      </c>
      <c r="I2759" s="275" t="s">
        <v>15214</v>
      </c>
    </row>
    <row r="2760" spans="1:9" ht="30" x14ac:dyDescent="0.25">
      <c r="A2760" s="299">
        <v>42969</v>
      </c>
      <c r="B2760" s="302" t="s">
        <v>26623</v>
      </c>
      <c r="C2760">
        <v>124732</v>
      </c>
      <c r="D2760" s="236" t="s">
        <v>15246</v>
      </c>
      <c r="E2760" s="301">
        <v>181440.66</v>
      </c>
      <c r="F2760" s="303" t="s">
        <v>26624</v>
      </c>
      <c r="G2760" s="305">
        <f>2182.25+179258.41</f>
        <v>181440.66</v>
      </c>
      <c r="H2760" s="304">
        <f>Tabla13[[#This Row],[Importe]]-Tabla13[[#This Row],[Pagado]]</f>
        <v>0</v>
      </c>
      <c r="I2760" s="275" t="s">
        <v>15214</v>
      </c>
    </row>
    <row r="2761" spans="1:9" x14ac:dyDescent="0.25">
      <c r="A2761" s="299">
        <v>42970</v>
      </c>
      <c r="B2761" s="302" t="s">
        <v>26625</v>
      </c>
      <c r="C2761">
        <v>124733</v>
      </c>
      <c r="D2761" s="236" t="s">
        <v>19302</v>
      </c>
      <c r="E2761" s="301">
        <v>470</v>
      </c>
      <c r="F2761" s="303">
        <v>42970</v>
      </c>
      <c r="G2761" s="301">
        <v>470</v>
      </c>
      <c r="H2761" s="304">
        <f>Tabla13[[#This Row],[Importe]]-Tabla13[[#This Row],[Pagado]]</f>
        <v>0</v>
      </c>
      <c r="I2761" s="275" t="s">
        <v>15214</v>
      </c>
    </row>
    <row r="2762" spans="1:9" x14ac:dyDescent="0.25">
      <c r="A2762" s="299">
        <v>42970</v>
      </c>
      <c r="B2762" s="302" t="s">
        <v>26626</v>
      </c>
      <c r="C2762">
        <v>124734</v>
      </c>
      <c r="D2762" s="236" t="s">
        <v>21386</v>
      </c>
      <c r="E2762" s="301">
        <v>9895.2000000000007</v>
      </c>
      <c r="F2762" s="303">
        <v>42971</v>
      </c>
      <c r="G2762" s="301">
        <v>9895.2000000000007</v>
      </c>
      <c r="H2762" s="304">
        <f>Tabla13[[#This Row],[Importe]]-Tabla13[[#This Row],[Pagado]]</f>
        <v>0</v>
      </c>
      <c r="I2762" s="275" t="s">
        <v>15214</v>
      </c>
    </row>
    <row r="2763" spans="1:9" x14ac:dyDescent="0.25">
      <c r="A2763" s="299">
        <v>42970</v>
      </c>
      <c r="B2763" s="302" t="s">
        <v>26627</v>
      </c>
      <c r="C2763">
        <v>124735</v>
      </c>
      <c r="D2763" s="236" t="s">
        <v>15213</v>
      </c>
      <c r="E2763" s="301">
        <v>43806</v>
      </c>
      <c r="F2763" s="303">
        <v>42971</v>
      </c>
      <c r="G2763" s="301">
        <v>43806</v>
      </c>
      <c r="H2763" s="304">
        <f>Tabla13[[#This Row],[Importe]]-Tabla13[[#This Row],[Pagado]]</f>
        <v>0</v>
      </c>
      <c r="I2763" s="275" t="s">
        <v>15214</v>
      </c>
    </row>
    <row r="2764" spans="1:9" x14ac:dyDescent="0.25">
      <c r="A2764" s="299">
        <v>42970</v>
      </c>
      <c r="B2764" s="302" t="s">
        <v>26628</v>
      </c>
      <c r="C2764">
        <v>124736</v>
      </c>
      <c r="D2764" s="236" t="s">
        <v>15330</v>
      </c>
      <c r="E2764" s="301">
        <v>3406</v>
      </c>
      <c r="F2764" s="303">
        <v>42970</v>
      </c>
      <c r="G2764" s="301">
        <v>3406</v>
      </c>
      <c r="H2764" s="304">
        <f>Tabla13[[#This Row],[Importe]]-Tabla13[[#This Row],[Pagado]]</f>
        <v>0</v>
      </c>
      <c r="I2764" s="275" t="s">
        <v>15214</v>
      </c>
    </row>
    <row r="2765" spans="1:9" x14ac:dyDescent="0.25">
      <c r="A2765" s="299">
        <v>42970</v>
      </c>
      <c r="B2765" s="302" t="s">
        <v>26629</v>
      </c>
      <c r="C2765">
        <v>124737</v>
      </c>
      <c r="D2765" s="236" t="s">
        <v>15665</v>
      </c>
      <c r="E2765" s="301">
        <v>627.9</v>
      </c>
      <c r="F2765" s="303">
        <v>42970</v>
      </c>
      <c r="G2765" s="301">
        <v>627.9</v>
      </c>
      <c r="H2765" s="304">
        <f>Tabla13[[#This Row],[Importe]]-Tabla13[[#This Row],[Pagado]]</f>
        <v>0</v>
      </c>
      <c r="I2765" s="275" t="s">
        <v>15214</v>
      </c>
    </row>
    <row r="2766" spans="1:9" x14ac:dyDescent="0.25">
      <c r="A2766" s="299">
        <v>42970</v>
      </c>
      <c r="B2766" s="302" t="s">
        <v>26630</v>
      </c>
      <c r="C2766">
        <v>124738</v>
      </c>
      <c r="D2766" s="236" t="s">
        <v>15216</v>
      </c>
      <c r="E2766" s="301">
        <v>1023.3</v>
      </c>
      <c r="F2766" s="303">
        <v>42970</v>
      </c>
      <c r="G2766" s="301">
        <v>1023.3</v>
      </c>
      <c r="H2766" s="304">
        <f>Tabla13[[#This Row],[Importe]]-Tabla13[[#This Row],[Pagado]]</f>
        <v>0</v>
      </c>
      <c r="I2766" s="275" t="s">
        <v>15214</v>
      </c>
    </row>
    <row r="2767" spans="1:9" x14ac:dyDescent="0.25">
      <c r="A2767" s="299">
        <v>42970</v>
      </c>
      <c r="B2767" s="302" t="s">
        <v>26631</v>
      </c>
      <c r="C2767">
        <v>124739</v>
      </c>
      <c r="D2767" s="236" t="s">
        <v>15272</v>
      </c>
      <c r="E2767" s="301">
        <v>21840.6</v>
      </c>
      <c r="F2767" s="303">
        <v>42970</v>
      </c>
      <c r="G2767" s="301">
        <v>21840.6</v>
      </c>
      <c r="H2767" s="304">
        <f>Tabla13[[#This Row],[Importe]]-Tabla13[[#This Row],[Pagado]]</f>
        <v>0</v>
      </c>
      <c r="I2767" s="275" t="s">
        <v>15214</v>
      </c>
    </row>
    <row r="2768" spans="1:9" x14ac:dyDescent="0.25">
      <c r="A2768" s="299">
        <v>42970</v>
      </c>
      <c r="B2768" s="302" t="s">
        <v>26632</v>
      </c>
      <c r="C2768">
        <v>124740</v>
      </c>
      <c r="D2768" s="236" t="s">
        <v>15668</v>
      </c>
      <c r="E2768" s="301">
        <v>10455</v>
      </c>
      <c r="F2768" s="303">
        <v>42972</v>
      </c>
      <c r="G2768" s="301">
        <v>10455</v>
      </c>
      <c r="H2768" s="304">
        <f>Tabla13[[#This Row],[Importe]]-Tabla13[[#This Row],[Pagado]]</f>
        <v>0</v>
      </c>
      <c r="I2768" s="275" t="s">
        <v>15214</v>
      </c>
    </row>
    <row r="2769" spans="1:9" x14ac:dyDescent="0.25">
      <c r="A2769" s="299">
        <v>42970</v>
      </c>
      <c r="B2769" s="302" t="s">
        <v>26633</v>
      </c>
      <c r="C2769">
        <v>124741</v>
      </c>
      <c r="D2769" s="236" t="s">
        <v>15230</v>
      </c>
      <c r="E2769" s="301">
        <v>6980.4</v>
      </c>
      <c r="F2769" s="303">
        <v>42973</v>
      </c>
      <c r="G2769" s="301">
        <v>6980.4</v>
      </c>
      <c r="H2769" s="304">
        <f>Tabla13[[#This Row],[Importe]]-Tabla13[[#This Row],[Pagado]]</f>
        <v>0</v>
      </c>
      <c r="I2769" s="275" t="s">
        <v>15214</v>
      </c>
    </row>
    <row r="2770" spans="1:9" x14ac:dyDescent="0.25">
      <c r="A2770" s="299">
        <v>42970</v>
      </c>
      <c r="B2770" s="302" t="s">
        <v>26634</v>
      </c>
      <c r="C2770">
        <v>124742</v>
      </c>
      <c r="D2770" s="236" t="s">
        <v>15220</v>
      </c>
      <c r="E2770" s="301">
        <v>1175</v>
      </c>
      <c r="F2770" s="303">
        <v>42970</v>
      </c>
      <c r="G2770" s="301">
        <v>1175</v>
      </c>
      <c r="H2770" s="304">
        <f>Tabla13[[#This Row],[Importe]]-Tabla13[[#This Row],[Pagado]]</f>
        <v>0</v>
      </c>
      <c r="I2770" s="275" t="s">
        <v>15214</v>
      </c>
    </row>
    <row r="2771" spans="1:9" x14ac:dyDescent="0.25">
      <c r="A2771" s="299">
        <v>42970</v>
      </c>
      <c r="B2771" s="302" t="s">
        <v>26635</v>
      </c>
      <c r="C2771">
        <v>124743</v>
      </c>
      <c r="D2771" s="236" t="s">
        <v>17462</v>
      </c>
      <c r="E2771" s="301">
        <v>5881.2</v>
      </c>
      <c r="F2771" s="303">
        <v>42970</v>
      </c>
      <c r="G2771" s="301">
        <v>5881.2</v>
      </c>
      <c r="H2771" s="304">
        <f>Tabla13[[#This Row],[Importe]]-Tabla13[[#This Row],[Pagado]]</f>
        <v>0</v>
      </c>
      <c r="I2771" s="275" t="s">
        <v>15214</v>
      </c>
    </row>
    <row r="2772" spans="1:9" x14ac:dyDescent="0.25">
      <c r="A2772" s="299">
        <v>42970</v>
      </c>
      <c r="B2772" s="302" t="s">
        <v>26636</v>
      </c>
      <c r="C2772">
        <v>124744</v>
      </c>
      <c r="D2772" s="236" t="s">
        <v>15378</v>
      </c>
      <c r="E2772" s="301">
        <v>1068.2</v>
      </c>
      <c r="F2772" s="303">
        <v>42970</v>
      </c>
      <c r="G2772" s="301">
        <v>1068.2</v>
      </c>
      <c r="H2772" s="304">
        <f>Tabla13[[#This Row],[Importe]]-Tabla13[[#This Row],[Pagado]]</f>
        <v>0</v>
      </c>
      <c r="I2772" s="275" t="s">
        <v>15214</v>
      </c>
    </row>
    <row r="2773" spans="1:9" x14ac:dyDescent="0.25">
      <c r="A2773" s="299">
        <v>42970</v>
      </c>
      <c r="B2773" s="302" t="s">
        <v>26637</v>
      </c>
      <c r="C2773">
        <v>124745</v>
      </c>
      <c r="D2773" s="236" t="s">
        <v>15240</v>
      </c>
      <c r="E2773" s="301">
        <v>3869.1</v>
      </c>
      <c r="F2773" s="303">
        <v>42972</v>
      </c>
      <c r="G2773" s="301">
        <v>3869.1</v>
      </c>
      <c r="H2773" s="304">
        <f>Tabla13[[#This Row],[Importe]]-Tabla13[[#This Row],[Pagado]]</f>
        <v>0</v>
      </c>
      <c r="I2773" s="275" t="s">
        <v>15214</v>
      </c>
    </row>
    <row r="2774" spans="1:9" x14ac:dyDescent="0.25">
      <c r="A2774" s="299">
        <v>42970</v>
      </c>
      <c r="B2774" s="302" t="s">
        <v>26638</v>
      </c>
      <c r="C2774">
        <v>124746</v>
      </c>
      <c r="D2774" s="236" t="s">
        <v>15352</v>
      </c>
      <c r="E2774" s="301">
        <v>624.20000000000005</v>
      </c>
      <c r="F2774" s="303">
        <v>42970</v>
      </c>
      <c r="G2774" s="301">
        <v>624.20000000000005</v>
      </c>
      <c r="H2774" s="304">
        <f>Tabla13[[#This Row],[Importe]]-Tabla13[[#This Row],[Pagado]]</f>
        <v>0</v>
      </c>
      <c r="I2774" s="275" t="s">
        <v>15214</v>
      </c>
    </row>
    <row r="2775" spans="1:9" x14ac:dyDescent="0.25">
      <c r="A2775" s="299">
        <v>42970</v>
      </c>
      <c r="B2775" s="302" t="s">
        <v>26639</v>
      </c>
      <c r="C2775">
        <v>124747</v>
      </c>
      <c r="D2775" s="236" t="s">
        <v>15553</v>
      </c>
      <c r="E2775" s="301">
        <v>30268.5</v>
      </c>
      <c r="F2775" s="303">
        <v>42970</v>
      </c>
      <c r="G2775" s="301">
        <v>30268.5</v>
      </c>
      <c r="H2775" s="304">
        <f>Tabla13[[#This Row],[Importe]]-Tabla13[[#This Row],[Pagado]]</f>
        <v>0</v>
      </c>
      <c r="I2775" s="275" t="s">
        <v>15214</v>
      </c>
    </row>
    <row r="2776" spans="1:9" x14ac:dyDescent="0.25">
      <c r="A2776" s="299">
        <v>42970</v>
      </c>
      <c r="B2776" s="302" t="s">
        <v>26640</v>
      </c>
      <c r="C2776">
        <v>124748</v>
      </c>
      <c r="D2776" s="236" t="s">
        <v>15258</v>
      </c>
      <c r="E2776" s="301">
        <v>7052</v>
      </c>
      <c r="F2776" s="303">
        <v>42971</v>
      </c>
      <c r="G2776" s="301">
        <v>7052</v>
      </c>
      <c r="H2776" s="304">
        <f>Tabla13[[#This Row],[Importe]]-Tabla13[[#This Row],[Pagado]]</f>
        <v>0</v>
      </c>
      <c r="I2776" s="275" t="s">
        <v>15214</v>
      </c>
    </row>
    <row r="2777" spans="1:9" ht="30" x14ac:dyDescent="0.25">
      <c r="A2777" s="299">
        <v>42970</v>
      </c>
      <c r="B2777" s="302" t="s">
        <v>26641</v>
      </c>
      <c r="C2777">
        <v>124749</v>
      </c>
      <c r="D2777" s="236" t="s">
        <v>15236</v>
      </c>
      <c r="E2777" s="301">
        <v>3362</v>
      </c>
      <c r="F2777" s="303" t="s">
        <v>26642</v>
      </c>
      <c r="G2777" s="305">
        <f>3000+362</f>
        <v>3362</v>
      </c>
      <c r="H2777" s="304">
        <f>Tabla13[[#This Row],[Importe]]-Tabla13[[#This Row],[Pagado]]</f>
        <v>0</v>
      </c>
      <c r="I2777" s="275" t="s">
        <v>15214</v>
      </c>
    </row>
    <row r="2778" spans="1:9" x14ac:dyDescent="0.25">
      <c r="A2778" s="299">
        <v>42970</v>
      </c>
      <c r="B2778" s="302" t="s">
        <v>26643</v>
      </c>
      <c r="C2778">
        <v>124750</v>
      </c>
      <c r="D2778" s="236" t="s">
        <v>15234</v>
      </c>
      <c r="E2778" s="301">
        <v>3911.4</v>
      </c>
      <c r="F2778" s="303">
        <v>42977</v>
      </c>
      <c r="G2778" s="301">
        <v>3911.4</v>
      </c>
      <c r="H2778" s="304">
        <f>Tabla13[[#This Row],[Importe]]-Tabla13[[#This Row],[Pagado]]</f>
        <v>0</v>
      </c>
      <c r="I2778" s="275" t="s">
        <v>15214</v>
      </c>
    </row>
    <row r="2779" spans="1:9" x14ac:dyDescent="0.25">
      <c r="A2779" s="299">
        <v>42970</v>
      </c>
      <c r="B2779" s="302" t="s">
        <v>26644</v>
      </c>
      <c r="C2779">
        <v>124751</v>
      </c>
      <c r="D2779" s="236" t="s">
        <v>15334</v>
      </c>
      <c r="E2779" s="301">
        <v>2000</v>
      </c>
      <c r="F2779" s="303">
        <v>42970</v>
      </c>
      <c r="G2779" s="301">
        <v>2000</v>
      </c>
      <c r="H2779" s="304">
        <f>Tabla13[[#This Row],[Importe]]-Tabla13[[#This Row],[Pagado]]</f>
        <v>0</v>
      </c>
      <c r="I2779" s="275" t="s">
        <v>15214</v>
      </c>
    </row>
    <row r="2780" spans="1:9" ht="15.75" x14ac:dyDescent="0.25">
      <c r="A2780" s="299">
        <v>42970</v>
      </c>
      <c r="B2780" s="302" t="s">
        <v>26645</v>
      </c>
      <c r="C2780">
        <v>124752</v>
      </c>
      <c r="D2780" s="248" t="s">
        <v>95</v>
      </c>
      <c r="E2780" s="301">
        <v>0</v>
      </c>
      <c r="F2780" s="243" t="s">
        <v>95</v>
      </c>
      <c r="G2780" s="301">
        <v>0</v>
      </c>
      <c r="H2780" s="304">
        <f>Tabla13[[#This Row],[Importe]]-Tabla13[[#This Row],[Pagado]]</f>
        <v>0</v>
      </c>
      <c r="I2780" s="275" t="s">
        <v>95</v>
      </c>
    </row>
    <row r="2781" spans="1:9" x14ac:dyDescent="0.25">
      <c r="A2781" s="299">
        <v>42970</v>
      </c>
      <c r="B2781" s="302" t="s">
        <v>26646</v>
      </c>
      <c r="C2781">
        <v>124753</v>
      </c>
      <c r="D2781" s="236" t="s">
        <v>15342</v>
      </c>
      <c r="E2781" s="301">
        <v>1077.5999999999999</v>
      </c>
      <c r="F2781" s="303">
        <v>42970</v>
      </c>
      <c r="G2781" s="301">
        <v>1077.5999999999999</v>
      </c>
      <c r="H2781" s="304">
        <f>Tabla13[[#This Row],[Importe]]-Tabla13[[#This Row],[Pagado]]</f>
        <v>0</v>
      </c>
      <c r="I2781" s="275" t="s">
        <v>15214</v>
      </c>
    </row>
    <row r="2782" spans="1:9" x14ac:dyDescent="0.25">
      <c r="A2782" s="299">
        <v>42970</v>
      </c>
      <c r="B2782" s="302" t="s">
        <v>26647</v>
      </c>
      <c r="C2782">
        <v>124754</v>
      </c>
      <c r="D2782" s="236" t="s">
        <v>15263</v>
      </c>
      <c r="E2782" s="301">
        <v>2860</v>
      </c>
      <c r="F2782" s="303">
        <v>42970</v>
      </c>
      <c r="G2782" s="301">
        <v>2860</v>
      </c>
      <c r="H2782" s="304">
        <f>Tabla13[[#This Row],[Importe]]-Tabla13[[#This Row],[Pagado]]</f>
        <v>0</v>
      </c>
      <c r="I2782" s="275" t="s">
        <v>15214</v>
      </c>
    </row>
    <row r="2783" spans="1:9" ht="30" x14ac:dyDescent="0.25">
      <c r="A2783" s="299">
        <v>42970</v>
      </c>
      <c r="B2783" s="302" t="s">
        <v>26648</v>
      </c>
      <c r="C2783">
        <v>124755</v>
      </c>
      <c r="D2783" s="236" t="s">
        <v>15256</v>
      </c>
      <c r="E2783" s="301">
        <v>4208</v>
      </c>
      <c r="F2783" s="303" t="s">
        <v>26649</v>
      </c>
      <c r="G2783" s="305">
        <f>300+3908</f>
        <v>4208</v>
      </c>
      <c r="H2783" s="304">
        <f>Tabla13[[#This Row],[Importe]]-Tabla13[[#This Row],[Pagado]]</f>
        <v>0</v>
      </c>
      <c r="I2783" s="275" t="s">
        <v>15214</v>
      </c>
    </row>
    <row r="2784" spans="1:9" x14ac:dyDescent="0.25">
      <c r="A2784" s="299">
        <v>42970</v>
      </c>
      <c r="B2784" s="302" t="s">
        <v>26650</v>
      </c>
      <c r="C2784">
        <v>124756</v>
      </c>
      <c r="D2784" s="236" t="s">
        <v>15328</v>
      </c>
      <c r="E2784" s="301">
        <v>5476.16</v>
      </c>
      <c r="F2784" s="303">
        <v>42976</v>
      </c>
      <c r="G2784" s="301">
        <v>5476.16</v>
      </c>
      <c r="H2784" s="304">
        <f>Tabla13[[#This Row],[Importe]]-Tabla13[[#This Row],[Pagado]]</f>
        <v>0</v>
      </c>
      <c r="I2784" s="275" t="s">
        <v>15214</v>
      </c>
    </row>
    <row r="2785" spans="1:9" ht="30" x14ac:dyDescent="0.25">
      <c r="A2785" s="299">
        <v>42970</v>
      </c>
      <c r="B2785" s="302" t="s">
        <v>26651</v>
      </c>
      <c r="C2785">
        <v>124757</v>
      </c>
      <c r="D2785" s="236" t="s">
        <v>15238</v>
      </c>
      <c r="E2785" s="301">
        <v>5912.4</v>
      </c>
      <c r="F2785" s="303" t="s">
        <v>26642</v>
      </c>
      <c r="G2785" s="305">
        <f>2000+3912.4</f>
        <v>5912.4</v>
      </c>
      <c r="H2785" s="304">
        <f>Tabla13[[#This Row],[Importe]]-Tabla13[[#This Row],[Pagado]]</f>
        <v>0</v>
      </c>
      <c r="I2785" s="275" t="s">
        <v>15214</v>
      </c>
    </row>
    <row r="2786" spans="1:9" x14ac:dyDescent="0.25">
      <c r="A2786" s="299">
        <v>42970</v>
      </c>
      <c r="B2786" s="302" t="s">
        <v>26652</v>
      </c>
      <c r="C2786">
        <v>124758</v>
      </c>
      <c r="D2786" s="236" t="s">
        <v>15226</v>
      </c>
      <c r="E2786" s="301">
        <v>2049.6</v>
      </c>
      <c r="F2786" s="303">
        <v>42972</v>
      </c>
      <c r="G2786" s="301">
        <v>2049.6</v>
      </c>
      <c r="H2786" s="304">
        <f>Tabla13[[#This Row],[Importe]]-Tabla13[[#This Row],[Pagado]]</f>
        <v>0</v>
      </c>
      <c r="I2786" s="275" t="s">
        <v>15214</v>
      </c>
    </row>
    <row r="2787" spans="1:9" x14ac:dyDescent="0.25">
      <c r="A2787" s="299">
        <v>42970</v>
      </c>
      <c r="B2787" s="302" t="s">
        <v>26653</v>
      </c>
      <c r="C2787">
        <v>124759</v>
      </c>
      <c r="D2787" s="236" t="s">
        <v>15681</v>
      </c>
      <c r="E2787" s="301">
        <v>2217.6</v>
      </c>
      <c r="F2787" s="303">
        <v>42970</v>
      </c>
      <c r="G2787" s="301">
        <v>2217.6</v>
      </c>
      <c r="H2787" s="304">
        <f>Tabla13[[#This Row],[Importe]]-Tabla13[[#This Row],[Pagado]]</f>
        <v>0</v>
      </c>
      <c r="I2787" s="275" t="s">
        <v>15214</v>
      </c>
    </row>
    <row r="2788" spans="1:9" x14ac:dyDescent="0.25">
      <c r="A2788" s="299">
        <v>42970</v>
      </c>
      <c r="B2788" s="302" t="s">
        <v>26654</v>
      </c>
      <c r="C2788">
        <v>124760</v>
      </c>
      <c r="D2788" s="236" t="s">
        <v>15223</v>
      </c>
      <c r="E2788" s="301">
        <v>50001.599999999999</v>
      </c>
      <c r="F2788" s="266">
        <v>42991</v>
      </c>
      <c r="G2788" s="35">
        <v>50001.599999999999</v>
      </c>
      <c r="H2788" s="304">
        <f>Tabla13[[#This Row],[Importe]]-Tabla13[[#This Row],[Pagado]]</f>
        <v>0</v>
      </c>
      <c r="I2788" s="275" t="s">
        <v>15214</v>
      </c>
    </row>
    <row r="2789" spans="1:9" x14ac:dyDescent="0.25">
      <c r="A2789" s="299">
        <v>42970</v>
      </c>
      <c r="B2789" s="302" t="s">
        <v>26655</v>
      </c>
      <c r="C2789">
        <v>124761</v>
      </c>
      <c r="D2789" s="236" t="s">
        <v>15232</v>
      </c>
      <c r="E2789" s="301">
        <v>6201.7</v>
      </c>
      <c r="F2789" s="303">
        <v>42978</v>
      </c>
      <c r="G2789" s="301">
        <v>6201.7</v>
      </c>
      <c r="H2789" s="304">
        <f>Tabla13[[#This Row],[Importe]]-Tabla13[[#This Row],[Pagado]]</f>
        <v>0</v>
      </c>
      <c r="I2789" s="275" t="s">
        <v>15214</v>
      </c>
    </row>
    <row r="2790" spans="1:9" x14ac:dyDescent="0.25">
      <c r="A2790" s="299">
        <v>42970</v>
      </c>
      <c r="B2790" s="302" t="s">
        <v>26656</v>
      </c>
      <c r="C2790">
        <v>124762</v>
      </c>
      <c r="D2790" s="236" t="s">
        <v>15250</v>
      </c>
      <c r="E2790" s="301">
        <v>65823.44</v>
      </c>
      <c r="F2790" s="303">
        <v>42978</v>
      </c>
      <c r="G2790" s="301">
        <v>65823.44</v>
      </c>
      <c r="H2790" s="304">
        <f>Tabla13[[#This Row],[Importe]]-Tabla13[[#This Row],[Pagado]]</f>
        <v>0</v>
      </c>
      <c r="I2790" s="275" t="s">
        <v>15214</v>
      </c>
    </row>
    <row r="2791" spans="1:9" x14ac:dyDescent="0.25">
      <c r="A2791" s="299">
        <v>42970</v>
      </c>
      <c r="B2791" s="302" t="s">
        <v>26657</v>
      </c>
      <c r="C2791">
        <v>124763</v>
      </c>
      <c r="D2791" s="236" t="s">
        <v>15261</v>
      </c>
      <c r="E2791" s="301">
        <v>15736.3</v>
      </c>
      <c r="F2791" s="303">
        <v>42970</v>
      </c>
      <c r="G2791" s="301">
        <v>15736.3</v>
      </c>
      <c r="H2791" s="304">
        <f>Tabla13[[#This Row],[Importe]]-Tabla13[[#This Row],[Pagado]]</f>
        <v>0</v>
      </c>
      <c r="I2791" s="275" t="s">
        <v>15214</v>
      </c>
    </row>
    <row r="2792" spans="1:9" x14ac:dyDescent="0.25">
      <c r="A2792" s="299">
        <v>42970</v>
      </c>
      <c r="B2792" s="302" t="s">
        <v>26658</v>
      </c>
      <c r="C2792">
        <v>124764</v>
      </c>
      <c r="D2792" s="236" t="s">
        <v>15284</v>
      </c>
      <c r="E2792" s="301">
        <v>1795.08</v>
      </c>
      <c r="F2792" s="303">
        <v>42970</v>
      </c>
      <c r="G2792" s="301">
        <v>1795.08</v>
      </c>
      <c r="H2792" s="304">
        <f>Tabla13[[#This Row],[Importe]]-Tabla13[[#This Row],[Pagado]]</f>
        <v>0</v>
      </c>
      <c r="I2792" s="275" t="s">
        <v>15214</v>
      </c>
    </row>
    <row r="2793" spans="1:9" x14ac:dyDescent="0.25">
      <c r="A2793" s="299">
        <v>42970</v>
      </c>
      <c r="B2793" s="302" t="s">
        <v>26659</v>
      </c>
      <c r="C2793">
        <v>124765</v>
      </c>
      <c r="D2793" s="236" t="s">
        <v>15530</v>
      </c>
      <c r="E2793" s="301">
        <v>1565</v>
      </c>
      <c r="F2793" s="303">
        <v>42970</v>
      </c>
      <c r="G2793" s="301">
        <v>1565</v>
      </c>
      <c r="H2793" s="304">
        <f>Tabla13[[#This Row],[Importe]]-Tabla13[[#This Row],[Pagado]]</f>
        <v>0</v>
      </c>
      <c r="I2793" s="275" t="s">
        <v>15214</v>
      </c>
    </row>
    <row r="2794" spans="1:9" x14ac:dyDescent="0.25">
      <c r="A2794" s="299">
        <v>42970</v>
      </c>
      <c r="B2794" s="302" t="s">
        <v>26660</v>
      </c>
      <c r="C2794">
        <v>124766</v>
      </c>
      <c r="D2794" s="236" t="s">
        <v>15340</v>
      </c>
      <c r="E2794" s="301">
        <v>6474</v>
      </c>
      <c r="F2794" s="303">
        <v>42970</v>
      </c>
      <c r="G2794" s="301">
        <v>6474</v>
      </c>
      <c r="H2794" s="304">
        <f>Tabla13[[#This Row],[Importe]]-Tabla13[[#This Row],[Pagado]]</f>
        <v>0</v>
      </c>
      <c r="I2794" s="275" t="s">
        <v>15214</v>
      </c>
    </row>
    <row r="2795" spans="1:9" x14ac:dyDescent="0.25">
      <c r="A2795" s="299">
        <v>42970</v>
      </c>
      <c r="B2795" s="302" t="s">
        <v>26661</v>
      </c>
      <c r="C2795">
        <v>124767</v>
      </c>
      <c r="D2795" s="236" t="s">
        <v>5880</v>
      </c>
      <c r="E2795" s="301">
        <v>12329.6</v>
      </c>
      <c r="F2795" s="303">
        <v>42976</v>
      </c>
      <c r="G2795" s="301">
        <v>12329.6</v>
      </c>
      <c r="H2795" s="304">
        <f>Tabla13[[#This Row],[Importe]]-Tabla13[[#This Row],[Pagado]]</f>
        <v>0</v>
      </c>
      <c r="I2795" s="275" t="s">
        <v>15214</v>
      </c>
    </row>
    <row r="2796" spans="1:9" x14ac:dyDescent="0.25">
      <c r="A2796" s="299">
        <v>42970</v>
      </c>
      <c r="B2796" s="302" t="s">
        <v>26662</v>
      </c>
      <c r="C2796">
        <v>124768</v>
      </c>
      <c r="D2796" s="236" t="s">
        <v>15577</v>
      </c>
      <c r="E2796" s="301">
        <v>424.8</v>
      </c>
      <c r="F2796" s="303">
        <v>42970</v>
      </c>
      <c r="G2796" s="301">
        <v>424.8</v>
      </c>
      <c r="H2796" s="304">
        <f>Tabla13[[#This Row],[Importe]]-Tabla13[[#This Row],[Pagado]]</f>
        <v>0</v>
      </c>
      <c r="I2796" s="275" t="s">
        <v>15214</v>
      </c>
    </row>
    <row r="2797" spans="1:9" ht="15.75" x14ac:dyDescent="0.25">
      <c r="A2797" s="299">
        <v>42970</v>
      </c>
      <c r="B2797" s="302" t="s">
        <v>26663</v>
      </c>
      <c r="C2797">
        <v>124769</v>
      </c>
      <c r="D2797" s="248" t="s">
        <v>95</v>
      </c>
      <c r="E2797" s="301">
        <v>0</v>
      </c>
      <c r="F2797" s="243" t="s">
        <v>95</v>
      </c>
      <c r="G2797" s="301">
        <v>0</v>
      </c>
      <c r="H2797" s="304">
        <f>Tabla13[[#This Row],[Importe]]-Tabla13[[#This Row],[Pagado]]</f>
        <v>0</v>
      </c>
      <c r="I2797" s="275" t="s">
        <v>95</v>
      </c>
    </row>
    <row r="2798" spans="1:9" x14ac:dyDescent="0.25">
      <c r="A2798" s="299">
        <v>42970</v>
      </c>
      <c r="B2798" s="302" t="s">
        <v>26664</v>
      </c>
      <c r="C2798">
        <v>124770</v>
      </c>
      <c r="D2798" s="236" t="s">
        <v>15421</v>
      </c>
      <c r="E2798" s="301">
        <v>1591.2</v>
      </c>
      <c r="F2798" s="303">
        <v>42970</v>
      </c>
      <c r="G2798" s="301">
        <v>1591.2</v>
      </c>
      <c r="H2798" s="304">
        <f>Tabla13[[#This Row],[Importe]]-Tabla13[[#This Row],[Pagado]]</f>
        <v>0</v>
      </c>
      <c r="I2798" s="275" t="s">
        <v>15214</v>
      </c>
    </row>
    <row r="2799" spans="1:9" x14ac:dyDescent="0.25">
      <c r="A2799" s="299">
        <v>42970</v>
      </c>
      <c r="B2799" s="302" t="s">
        <v>26665</v>
      </c>
      <c r="C2799">
        <v>124771</v>
      </c>
      <c r="D2799" s="236" t="s">
        <v>15373</v>
      </c>
      <c r="E2799" s="301">
        <v>16866</v>
      </c>
      <c r="F2799" s="303">
        <v>42973</v>
      </c>
      <c r="G2799" s="301">
        <v>16866</v>
      </c>
      <c r="H2799" s="304">
        <f>Tabla13[[#This Row],[Importe]]-Tabla13[[#This Row],[Pagado]]</f>
        <v>0</v>
      </c>
      <c r="I2799" s="275" t="s">
        <v>15214</v>
      </c>
    </row>
    <row r="2800" spans="1:9" x14ac:dyDescent="0.25">
      <c r="A2800" s="299">
        <v>42970</v>
      </c>
      <c r="B2800" s="302" t="s">
        <v>26666</v>
      </c>
      <c r="C2800">
        <v>124772</v>
      </c>
      <c r="D2800" s="236" t="s">
        <v>15280</v>
      </c>
      <c r="E2800" s="301">
        <v>7072.6</v>
      </c>
      <c r="F2800" s="303">
        <v>42970</v>
      </c>
      <c r="G2800" s="301">
        <v>7072.6</v>
      </c>
      <c r="H2800" s="304">
        <f>Tabla13[[#This Row],[Importe]]-Tabla13[[#This Row],[Pagado]]</f>
        <v>0</v>
      </c>
      <c r="I2800" s="275" t="s">
        <v>15214</v>
      </c>
    </row>
    <row r="2801" spans="1:9" x14ac:dyDescent="0.25">
      <c r="A2801" s="299">
        <v>42970</v>
      </c>
      <c r="B2801" s="302" t="s">
        <v>26667</v>
      </c>
      <c r="C2801">
        <v>124773</v>
      </c>
      <c r="D2801" s="236" t="s">
        <v>15380</v>
      </c>
      <c r="E2801" s="301">
        <v>23770.6</v>
      </c>
      <c r="F2801" s="303">
        <v>42986</v>
      </c>
      <c r="G2801" s="301">
        <v>23770.6</v>
      </c>
      <c r="H2801" s="304">
        <f>Tabla13[[#This Row],[Importe]]-Tabla13[[#This Row],[Pagado]]</f>
        <v>0</v>
      </c>
      <c r="I2801" s="275" t="s">
        <v>15214</v>
      </c>
    </row>
    <row r="2802" spans="1:9" x14ac:dyDescent="0.25">
      <c r="A2802" s="299">
        <v>42970</v>
      </c>
      <c r="B2802" s="302" t="s">
        <v>26668</v>
      </c>
      <c r="C2802">
        <v>124774</v>
      </c>
      <c r="D2802" s="236" t="s">
        <v>15389</v>
      </c>
      <c r="E2802" s="301">
        <v>12149.9</v>
      </c>
      <c r="F2802" s="266">
        <v>42980</v>
      </c>
      <c r="G2802" s="35">
        <v>12149.9</v>
      </c>
      <c r="H2802" s="304">
        <f>Tabla13[[#This Row],[Importe]]-Tabla13[[#This Row],[Pagado]]</f>
        <v>0</v>
      </c>
      <c r="I2802" s="275" t="s">
        <v>15214</v>
      </c>
    </row>
    <row r="2803" spans="1:9" x14ac:dyDescent="0.25">
      <c r="A2803" s="299">
        <v>42970</v>
      </c>
      <c r="B2803" s="302" t="s">
        <v>26669</v>
      </c>
      <c r="C2803">
        <v>124775</v>
      </c>
      <c r="D2803" s="236" t="s">
        <v>15382</v>
      </c>
      <c r="E2803" s="301">
        <v>11755.8</v>
      </c>
      <c r="F2803" s="266">
        <v>42980</v>
      </c>
      <c r="G2803" s="35">
        <v>11755.8</v>
      </c>
      <c r="H2803" s="304">
        <f>Tabla13[[#This Row],[Importe]]-Tabla13[[#This Row],[Pagado]]</f>
        <v>0</v>
      </c>
      <c r="I2803" s="275" t="s">
        <v>15214</v>
      </c>
    </row>
    <row r="2804" spans="1:9" x14ac:dyDescent="0.25">
      <c r="A2804" s="299">
        <v>42970</v>
      </c>
      <c r="B2804" s="302" t="s">
        <v>26670</v>
      </c>
      <c r="C2804">
        <v>124776</v>
      </c>
      <c r="D2804" s="236" t="s">
        <v>15369</v>
      </c>
      <c r="E2804" s="301">
        <v>23982.6</v>
      </c>
      <c r="F2804" s="266">
        <v>42980</v>
      </c>
      <c r="G2804" s="35">
        <v>23982.6</v>
      </c>
      <c r="H2804" s="304">
        <f>Tabla13[[#This Row],[Importe]]-Tabla13[[#This Row],[Pagado]]</f>
        <v>0</v>
      </c>
      <c r="I2804" s="275" t="s">
        <v>15214</v>
      </c>
    </row>
    <row r="2805" spans="1:9" x14ac:dyDescent="0.25">
      <c r="A2805" s="299">
        <v>42970</v>
      </c>
      <c r="B2805" s="302" t="s">
        <v>26671</v>
      </c>
      <c r="C2805">
        <v>124777</v>
      </c>
      <c r="D2805" s="236" t="s">
        <v>15278</v>
      </c>
      <c r="E2805" s="301">
        <v>5842.3</v>
      </c>
      <c r="F2805" s="303">
        <v>42970</v>
      </c>
      <c r="G2805" s="301">
        <v>5842.3</v>
      </c>
      <c r="H2805" s="304">
        <f>Tabla13[[#This Row],[Importe]]-Tabla13[[#This Row],[Pagado]]</f>
        <v>0</v>
      </c>
      <c r="I2805" s="275" t="s">
        <v>15214</v>
      </c>
    </row>
    <row r="2806" spans="1:9" x14ac:dyDescent="0.25">
      <c r="A2806" s="299">
        <v>42970</v>
      </c>
      <c r="B2806" s="302" t="s">
        <v>26672</v>
      </c>
      <c r="C2806">
        <v>124778</v>
      </c>
      <c r="D2806" s="236" t="s">
        <v>18544</v>
      </c>
      <c r="E2806" s="301">
        <v>16947.400000000001</v>
      </c>
      <c r="F2806" s="303">
        <v>42970</v>
      </c>
      <c r="G2806" s="301">
        <v>16947.400000000001</v>
      </c>
      <c r="H2806" s="304">
        <f>Tabla13[[#This Row],[Importe]]-Tabla13[[#This Row],[Pagado]]</f>
        <v>0</v>
      </c>
      <c r="I2806" s="275" t="s">
        <v>15214</v>
      </c>
    </row>
    <row r="2807" spans="1:9" x14ac:dyDescent="0.25">
      <c r="A2807" s="299">
        <v>42970</v>
      </c>
      <c r="B2807" s="302" t="s">
        <v>26673</v>
      </c>
      <c r="C2807">
        <v>124779</v>
      </c>
      <c r="D2807" s="236" t="s">
        <v>15380</v>
      </c>
      <c r="E2807" s="301">
        <v>4488</v>
      </c>
      <c r="F2807" s="303">
        <v>42986</v>
      </c>
      <c r="G2807" s="301">
        <v>4488</v>
      </c>
      <c r="H2807" s="304">
        <f>Tabla13[[#This Row],[Importe]]-Tabla13[[#This Row],[Pagado]]</f>
        <v>0</v>
      </c>
      <c r="I2807" s="275" t="s">
        <v>15214</v>
      </c>
    </row>
    <row r="2808" spans="1:9" x14ac:dyDescent="0.25">
      <c r="A2808" s="299">
        <v>42970</v>
      </c>
      <c r="B2808" s="302" t="s">
        <v>26674</v>
      </c>
      <c r="C2808">
        <v>124780</v>
      </c>
      <c r="D2808" s="236" t="s">
        <v>21088</v>
      </c>
      <c r="E2808" s="301">
        <v>7165.5</v>
      </c>
      <c r="F2808" s="303">
        <v>42970</v>
      </c>
      <c r="G2808" s="301">
        <v>7165.5</v>
      </c>
      <c r="H2808" s="304">
        <f>Tabla13[[#This Row],[Importe]]-Tabla13[[#This Row],[Pagado]]</f>
        <v>0</v>
      </c>
      <c r="I2808" s="275" t="s">
        <v>15214</v>
      </c>
    </row>
    <row r="2809" spans="1:9" x14ac:dyDescent="0.25">
      <c r="A2809" s="299">
        <v>42970</v>
      </c>
      <c r="B2809" s="302" t="s">
        <v>26675</v>
      </c>
      <c r="C2809">
        <v>124781</v>
      </c>
      <c r="D2809" s="236" t="s">
        <v>15523</v>
      </c>
      <c r="E2809" s="301">
        <v>2115</v>
      </c>
      <c r="F2809" s="303">
        <v>42970</v>
      </c>
      <c r="G2809" s="301">
        <v>2115</v>
      </c>
      <c r="H2809" s="304">
        <f>Tabla13[[#This Row],[Importe]]-Tabla13[[#This Row],[Pagado]]</f>
        <v>0</v>
      </c>
      <c r="I2809" s="275" t="s">
        <v>15214</v>
      </c>
    </row>
    <row r="2810" spans="1:9" x14ac:dyDescent="0.25">
      <c r="A2810" s="299">
        <v>42970</v>
      </c>
      <c r="B2810" s="302" t="s">
        <v>26676</v>
      </c>
      <c r="C2810">
        <v>124782</v>
      </c>
      <c r="D2810" s="236" t="s">
        <v>15858</v>
      </c>
      <c r="E2810" s="301">
        <v>1556.32</v>
      </c>
      <c r="F2810" s="303">
        <v>42970</v>
      </c>
      <c r="G2810" s="301">
        <v>1556.32</v>
      </c>
      <c r="H2810" s="304">
        <f>Tabla13[[#This Row],[Importe]]-Tabla13[[#This Row],[Pagado]]</f>
        <v>0</v>
      </c>
      <c r="I2810" s="275" t="s">
        <v>15214</v>
      </c>
    </row>
    <row r="2811" spans="1:9" x14ac:dyDescent="0.25">
      <c r="A2811" s="299">
        <v>42970</v>
      </c>
      <c r="B2811" s="302" t="s">
        <v>26677</v>
      </c>
      <c r="C2811">
        <v>124783</v>
      </c>
      <c r="D2811" s="236" t="s">
        <v>15415</v>
      </c>
      <c r="E2811" s="301">
        <v>3100.8</v>
      </c>
      <c r="F2811" s="303">
        <v>42973</v>
      </c>
      <c r="G2811" s="301">
        <v>3100.8</v>
      </c>
      <c r="H2811" s="304">
        <f>Tabla13[[#This Row],[Importe]]-Tabla13[[#This Row],[Pagado]]</f>
        <v>0</v>
      </c>
      <c r="I2811" s="275" t="s">
        <v>15214</v>
      </c>
    </row>
    <row r="2812" spans="1:9" x14ac:dyDescent="0.25">
      <c r="A2812" s="299">
        <v>42970</v>
      </c>
      <c r="B2812" s="302" t="s">
        <v>26678</v>
      </c>
      <c r="C2812">
        <v>124784</v>
      </c>
      <c r="D2812" s="236" t="s">
        <v>15274</v>
      </c>
      <c r="E2812" s="301">
        <v>940</v>
      </c>
      <c r="F2812" s="303">
        <v>42971</v>
      </c>
      <c r="G2812" s="301">
        <v>940</v>
      </c>
      <c r="H2812" s="304">
        <f>Tabla13[[#This Row],[Importe]]-Tabla13[[#This Row],[Pagado]]</f>
        <v>0</v>
      </c>
      <c r="I2812" s="275" t="s">
        <v>15214</v>
      </c>
    </row>
    <row r="2813" spans="1:9" x14ac:dyDescent="0.25">
      <c r="A2813" s="299">
        <v>42970</v>
      </c>
      <c r="B2813" s="302" t="s">
        <v>26679</v>
      </c>
      <c r="C2813">
        <v>124785</v>
      </c>
      <c r="D2813" s="236" t="s">
        <v>15614</v>
      </c>
      <c r="E2813" s="301">
        <v>7265.2</v>
      </c>
      <c r="F2813" s="303">
        <v>42976</v>
      </c>
      <c r="G2813" s="301">
        <v>7265.2</v>
      </c>
      <c r="H2813" s="304">
        <f>Tabla13[[#This Row],[Importe]]-Tabla13[[#This Row],[Pagado]]</f>
        <v>0</v>
      </c>
      <c r="I2813" s="275" t="s">
        <v>15214</v>
      </c>
    </row>
    <row r="2814" spans="1:9" x14ac:dyDescent="0.25">
      <c r="A2814" s="299">
        <v>42970</v>
      </c>
      <c r="B2814" s="302" t="s">
        <v>26680</v>
      </c>
      <c r="C2814">
        <v>124786</v>
      </c>
      <c r="D2814" s="236" t="s">
        <v>19461</v>
      </c>
      <c r="E2814" s="301">
        <v>1830.6</v>
      </c>
      <c r="F2814" s="303">
        <v>42970</v>
      </c>
      <c r="G2814" s="301">
        <v>1830.6</v>
      </c>
      <c r="H2814" s="304">
        <f>Tabla13[[#This Row],[Importe]]-Tabla13[[#This Row],[Pagado]]</f>
        <v>0</v>
      </c>
      <c r="I2814" s="275" t="s">
        <v>15214</v>
      </c>
    </row>
    <row r="2815" spans="1:9" x14ac:dyDescent="0.25">
      <c r="A2815" s="299">
        <v>42970</v>
      </c>
      <c r="B2815" s="302" t="s">
        <v>26681</v>
      </c>
      <c r="C2815">
        <v>124787</v>
      </c>
      <c r="D2815" s="236" t="s">
        <v>15549</v>
      </c>
      <c r="E2815" s="301">
        <v>6289.04</v>
      </c>
      <c r="F2815" s="303">
        <v>42970</v>
      </c>
      <c r="G2815" s="301">
        <v>6289.04</v>
      </c>
      <c r="H2815" s="304">
        <f>Tabla13[[#This Row],[Importe]]-Tabla13[[#This Row],[Pagado]]</f>
        <v>0</v>
      </c>
      <c r="I2815" s="275" t="s">
        <v>15214</v>
      </c>
    </row>
    <row r="2816" spans="1:9" x14ac:dyDescent="0.25">
      <c r="A2816" s="299">
        <v>42970</v>
      </c>
      <c r="B2816" s="302" t="s">
        <v>26682</v>
      </c>
      <c r="C2816">
        <v>124788</v>
      </c>
      <c r="D2816" s="236" t="s">
        <v>17458</v>
      </c>
      <c r="E2816" s="301">
        <v>1337.7</v>
      </c>
      <c r="F2816" s="303">
        <v>42971</v>
      </c>
      <c r="G2816" s="301">
        <v>1337.7</v>
      </c>
      <c r="H2816" s="304">
        <f>Tabla13[[#This Row],[Importe]]-Tabla13[[#This Row],[Pagado]]</f>
        <v>0</v>
      </c>
      <c r="I2816" s="275" t="s">
        <v>15214</v>
      </c>
    </row>
    <row r="2817" spans="1:9" x14ac:dyDescent="0.25">
      <c r="A2817" s="299">
        <v>42970</v>
      </c>
      <c r="B2817" s="302" t="s">
        <v>26683</v>
      </c>
      <c r="C2817">
        <v>124789</v>
      </c>
      <c r="D2817" s="236" t="s">
        <v>15600</v>
      </c>
      <c r="E2817" s="301">
        <v>880.2</v>
      </c>
      <c r="F2817" s="303">
        <v>42971</v>
      </c>
      <c r="G2817" s="301">
        <v>880.2</v>
      </c>
      <c r="H2817" s="304">
        <f>Tabla13[[#This Row],[Importe]]-Tabla13[[#This Row],[Pagado]]</f>
        <v>0</v>
      </c>
      <c r="I2817" s="275" t="s">
        <v>15214</v>
      </c>
    </row>
    <row r="2818" spans="1:9" x14ac:dyDescent="0.25">
      <c r="A2818" s="299">
        <v>42970</v>
      </c>
      <c r="B2818" s="302" t="s">
        <v>26684</v>
      </c>
      <c r="C2818">
        <v>124790</v>
      </c>
      <c r="D2818" s="236" t="s">
        <v>15305</v>
      </c>
      <c r="E2818" s="301">
        <v>885.6</v>
      </c>
      <c r="F2818" s="303">
        <v>42971</v>
      </c>
      <c r="G2818" s="301">
        <v>885.6</v>
      </c>
      <c r="H2818" s="304">
        <f>Tabla13[[#This Row],[Importe]]-Tabla13[[#This Row],[Pagado]]</f>
        <v>0</v>
      </c>
      <c r="I2818" s="275" t="s">
        <v>15214</v>
      </c>
    </row>
    <row r="2819" spans="1:9" x14ac:dyDescent="0.25">
      <c r="A2819" s="299">
        <v>42970</v>
      </c>
      <c r="B2819" s="302" t="s">
        <v>26685</v>
      </c>
      <c r="C2819">
        <v>124791</v>
      </c>
      <c r="D2819" s="236" t="s">
        <v>15307</v>
      </c>
      <c r="E2819" s="301">
        <v>2210.4</v>
      </c>
      <c r="F2819" s="303">
        <v>42971</v>
      </c>
      <c r="G2819" s="301">
        <v>2210.4</v>
      </c>
      <c r="H2819" s="304">
        <f>Tabla13[[#This Row],[Importe]]-Tabla13[[#This Row],[Pagado]]</f>
        <v>0</v>
      </c>
      <c r="I2819" s="275" t="s">
        <v>15214</v>
      </c>
    </row>
    <row r="2820" spans="1:9" ht="15.75" x14ac:dyDescent="0.25">
      <c r="A2820" s="299">
        <v>42970</v>
      </c>
      <c r="B2820" s="302" t="s">
        <v>26686</v>
      </c>
      <c r="C2820">
        <v>124792</v>
      </c>
      <c r="D2820" s="248" t="s">
        <v>95</v>
      </c>
      <c r="E2820" s="301">
        <v>0</v>
      </c>
      <c r="F2820" s="243" t="s">
        <v>95</v>
      </c>
      <c r="G2820" s="301">
        <v>0</v>
      </c>
      <c r="H2820" s="304">
        <f>Tabla13[[#This Row],[Importe]]-Tabla13[[#This Row],[Pagado]]</f>
        <v>0</v>
      </c>
      <c r="I2820" s="275" t="s">
        <v>95</v>
      </c>
    </row>
    <row r="2821" spans="1:9" x14ac:dyDescent="0.25">
      <c r="A2821" s="299">
        <v>42970</v>
      </c>
      <c r="B2821" s="302" t="s">
        <v>26687</v>
      </c>
      <c r="C2821">
        <v>124793</v>
      </c>
      <c r="D2821" s="236" t="s">
        <v>15320</v>
      </c>
      <c r="E2821" s="301">
        <v>2196</v>
      </c>
      <c r="F2821" s="303">
        <v>42971</v>
      </c>
      <c r="G2821" s="301">
        <v>2196</v>
      </c>
      <c r="H2821" s="304">
        <f>Tabla13[[#This Row],[Importe]]-Tabla13[[#This Row],[Pagado]]</f>
        <v>0</v>
      </c>
      <c r="I2821" s="275" t="s">
        <v>15214</v>
      </c>
    </row>
    <row r="2822" spans="1:9" x14ac:dyDescent="0.25">
      <c r="A2822" s="299">
        <v>42970</v>
      </c>
      <c r="B2822" s="302" t="s">
        <v>26688</v>
      </c>
      <c r="C2822">
        <v>124794</v>
      </c>
      <c r="D2822" s="236" t="s">
        <v>15244</v>
      </c>
      <c r="E2822" s="301">
        <v>3941</v>
      </c>
      <c r="F2822" s="303">
        <v>42974</v>
      </c>
      <c r="G2822" s="301">
        <v>3941</v>
      </c>
      <c r="H2822" s="304">
        <f>Tabla13[[#This Row],[Importe]]-Tabla13[[#This Row],[Pagado]]</f>
        <v>0</v>
      </c>
      <c r="I2822" s="275" t="s">
        <v>15214</v>
      </c>
    </row>
    <row r="2823" spans="1:9" x14ac:dyDescent="0.25">
      <c r="A2823" s="299">
        <v>42970</v>
      </c>
      <c r="B2823" s="302" t="s">
        <v>26689</v>
      </c>
      <c r="C2823">
        <v>124795</v>
      </c>
      <c r="D2823" s="236" t="s">
        <v>26690</v>
      </c>
      <c r="E2823" s="301">
        <v>4042</v>
      </c>
      <c r="F2823" s="303">
        <v>42971</v>
      </c>
      <c r="G2823" s="301">
        <v>4042</v>
      </c>
      <c r="H2823" s="304">
        <f>Tabla13[[#This Row],[Importe]]-Tabla13[[#This Row],[Pagado]]</f>
        <v>0</v>
      </c>
      <c r="I2823" s="275" t="s">
        <v>15214</v>
      </c>
    </row>
    <row r="2824" spans="1:9" x14ac:dyDescent="0.25">
      <c r="A2824" s="299">
        <v>42970</v>
      </c>
      <c r="B2824" s="302" t="s">
        <v>26691</v>
      </c>
      <c r="C2824">
        <v>124796</v>
      </c>
      <c r="D2824" s="236" t="s">
        <v>15322</v>
      </c>
      <c r="E2824" s="301">
        <v>686.4</v>
      </c>
      <c r="F2824" s="303">
        <v>42970</v>
      </c>
      <c r="G2824" s="301">
        <v>686.4</v>
      </c>
      <c r="H2824" s="304">
        <f>Tabla13[[#This Row],[Importe]]-Tabla13[[#This Row],[Pagado]]</f>
        <v>0</v>
      </c>
      <c r="I2824" s="275" t="s">
        <v>15214</v>
      </c>
    </row>
    <row r="2825" spans="1:9" x14ac:dyDescent="0.25">
      <c r="A2825" s="299">
        <v>42970</v>
      </c>
      <c r="B2825" s="302" t="s">
        <v>26692</v>
      </c>
      <c r="C2825">
        <v>124797</v>
      </c>
      <c r="D2825" s="236" t="s">
        <v>15884</v>
      </c>
      <c r="E2825" s="301">
        <v>2223.4</v>
      </c>
      <c r="F2825" s="303">
        <v>42970</v>
      </c>
      <c r="G2825" s="301">
        <v>2223.4</v>
      </c>
      <c r="H2825" s="304">
        <f>Tabla13[[#This Row],[Importe]]-Tabla13[[#This Row],[Pagado]]</f>
        <v>0</v>
      </c>
      <c r="I2825" s="275" t="s">
        <v>15214</v>
      </c>
    </row>
    <row r="2826" spans="1:9" x14ac:dyDescent="0.25">
      <c r="A2826" s="299">
        <v>42970</v>
      </c>
      <c r="B2826" s="302" t="s">
        <v>26693</v>
      </c>
      <c r="C2826">
        <v>124798</v>
      </c>
      <c r="D2826" s="236" t="s">
        <v>15309</v>
      </c>
      <c r="E2826" s="301">
        <v>2986.6</v>
      </c>
      <c r="F2826" s="303">
        <v>42971</v>
      </c>
      <c r="G2826" s="301">
        <v>2986.6</v>
      </c>
      <c r="H2826" s="304">
        <f>Tabla13[[#This Row],[Importe]]-Tabla13[[#This Row],[Pagado]]</f>
        <v>0</v>
      </c>
      <c r="I2826" s="275" t="s">
        <v>15214</v>
      </c>
    </row>
    <row r="2827" spans="1:9" x14ac:dyDescent="0.25">
      <c r="A2827" s="299">
        <v>42970</v>
      </c>
      <c r="B2827" s="302" t="s">
        <v>26694</v>
      </c>
      <c r="C2827">
        <v>124799</v>
      </c>
      <c r="D2827" s="236" t="s">
        <v>15338</v>
      </c>
      <c r="E2827" s="301">
        <v>11683</v>
      </c>
      <c r="F2827" s="303">
        <v>42972</v>
      </c>
      <c r="G2827" s="301">
        <v>11683</v>
      </c>
      <c r="H2827" s="304">
        <f>Tabla13[[#This Row],[Importe]]-Tabla13[[#This Row],[Pagado]]</f>
        <v>0</v>
      </c>
      <c r="I2827" s="275" t="s">
        <v>15214</v>
      </c>
    </row>
    <row r="2828" spans="1:9" x14ac:dyDescent="0.25">
      <c r="A2828" s="299">
        <v>42970</v>
      </c>
      <c r="B2828" s="302" t="s">
        <v>26695</v>
      </c>
      <c r="C2828">
        <v>124800</v>
      </c>
      <c r="D2828" s="236" t="s">
        <v>15291</v>
      </c>
      <c r="E2828" s="301">
        <v>846</v>
      </c>
      <c r="F2828" s="303">
        <v>42971</v>
      </c>
      <c r="G2828" s="301">
        <v>846</v>
      </c>
      <c r="H2828" s="304">
        <f>Tabla13[[#This Row],[Importe]]-Tabla13[[#This Row],[Pagado]]</f>
        <v>0</v>
      </c>
      <c r="I2828" s="275" t="s">
        <v>15214</v>
      </c>
    </row>
    <row r="2829" spans="1:9" x14ac:dyDescent="0.25">
      <c r="A2829" s="299">
        <v>42970</v>
      </c>
      <c r="B2829" s="302" t="s">
        <v>26696</v>
      </c>
      <c r="C2829">
        <v>124801</v>
      </c>
      <c r="D2829" s="236" t="s">
        <v>15317</v>
      </c>
      <c r="E2829" s="301">
        <v>1629.3</v>
      </c>
      <c r="F2829" s="303">
        <v>42971</v>
      </c>
      <c r="G2829" s="301">
        <v>1629.3</v>
      </c>
      <c r="H2829" s="304">
        <f>Tabla13[[#This Row],[Importe]]-Tabla13[[#This Row],[Pagado]]</f>
        <v>0</v>
      </c>
      <c r="I2829" s="275" t="s">
        <v>15214</v>
      </c>
    </row>
    <row r="2830" spans="1:9" x14ac:dyDescent="0.25">
      <c r="A2830" s="299">
        <v>42970</v>
      </c>
      <c r="B2830" s="302" t="s">
        <v>26697</v>
      </c>
      <c r="C2830">
        <v>124802</v>
      </c>
      <c r="D2830" s="236" t="s">
        <v>15510</v>
      </c>
      <c r="E2830" s="301">
        <v>28753.200000000001</v>
      </c>
      <c r="F2830" s="303">
        <v>42971</v>
      </c>
      <c r="G2830" s="301">
        <v>28753.200000000001</v>
      </c>
      <c r="H2830" s="304">
        <f>Tabla13[[#This Row],[Importe]]-Tabla13[[#This Row],[Pagado]]</f>
        <v>0</v>
      </c>
      <c r="I2830" s="275" t="s">
        <v>15214</v>
      </c>
    </row>
    <row r="2831" spans="1:9" x14ac:dyDescent="0.25">
      <c r="A2831" s="299">
        <v>42970</v>
      </c>
      <c r="B2831" s="302" t="s">
        <v>26698</v>
      </c>
      <c r="C2831">
        <v>124803</v>
      </c>
      <c r="D2831" s="236" t="s">
        <v>15581</v>
      </c>
      <c r="E2831" s="301">
        <v>5386.12</v>
      </c>
      <c r="F2831" s="303">
        <v>42976</v>
      </c>
      <c r="G2831" s="301">
        <v>5386.12</v>
      </c>
      <c r="H2831" s="304">
        <f>Tabla13[[#This Row],[Importe]]-Tabla13[[#This Row],[Pagado]]</f>
        <v>0</v>
      </c>
      <c r="I2831" s="275" t="s">
        <v>15214</v>
      </c>
    </row>
    <row r="2832" spans="1:9" ht="15.75" x14ac:dyDescent="0.25">
      <c r="A2832" s="299">
        <v>42970</v>
      </c>
      <c r="B2832" s="302" t="s">
        <v>26699</v>
      </c>
      <c r="C2832">
        <v>124804</v>
      </c>
      <c r="D2832" s="248" t="s">
        <v>95</v>
      </c>
      <c r="E2832" s="301">
        <v>0</v>
      </c>
      <c r="F2832" s="243" t="s">
        <v>95</v>
      </c>
      <c r="G2832" s="301">
        <v>0</v>
      </c>
      <c r="H2832" s="304">
        <f>Tabla13[[#This Row],[Importe]]-Tabla13[[#This Row],[Pagado]]</f>
        <v>0</v>
      </c>
      <c r="I2832" s="275" t="s">
        <v>95</v>
      </c>
    </row>
    <row r="2833" spans="1:9" x14ac:dyDescent="0.25">
      <c r="A2833" s="299">
        <v>42970</v>
      </c>
      <c r="B2833" s="302" t="s">
        <v>26700</v>
      </c>
      <c r="C2833">
        <v>124805</v>
      </c>
      <c r="D2833" s="236" t="s">
        <v>15581</v>
      </c>
      <c r="E2833" s="301">
        <v>12629.4</v>
      </c>
      <c r="F2833" s="303">
        <v>42977</v>
      </c>
      <c r="G2833" s="301">
        <v>12629.4</v>
      </c>
      <c r="H2833" s="304">
        <f>Tabla13[[#This Row],[Importe]]-Tabla13[[#This Row],[Pagado]]</f>
        <v>0</v>
      </c>
      <c r="I2833" s="275" t="s">
        <v>15214</v>
      </c>
    </row>
    <row r="2834" spans="1:9" x14ac:dyDescent="0.25">
      <c r="A2834" s="299">
        <v>42970</v>
      </c>
      <c r="B2834" s="302" t="s">
        <v>26701</v>
      </c>
      <c r="C2834">
        <v>124806</v>
      </c>
      <c r="D2834" s="236" t="s">
        <v>15568</v>
      </c>
      <c r="E2834" s="301">
        <v>13504.2</v>
      </c>
      <c r="F2834" s="303">
        <v>42970</v>
      </c>
      <c r="G2834" s="301">
        <v>13504.2</v>
      </c>
      <c r="H2834" s="304">
        <f>Tabla13[[#This Row],[Importe]]-Tabla13[[#This Row],[Pagado]]</f>
        <v>0</v>
      </c>
      <c r="I2834" s="275" t="s">
        <v>15214</v>
      </c>
    </row>
    <row r="2835" spans="1:9" x14ac:dyDescent="0.25">
      <c r="A2835" s="299">
        <v>42970</v>
      </c>
      <c r="B2835" s="302" t="s">
        <v>26702</v>
      </c>
      <c r="C2835">
        <v>124807</v>
      </c>
      <c r="D2835" s="236" t="s">
        <v>15706</v>
      </c>
      <c r="E2835" s="301">
        <v>1841.4</v>
      </c>
      <c r="F2835" s="303">
        <v>42970</v>
      </c>
      <c r="G2835" s="301">
        <v>1841.4</v>
      </c>
      <c r="H2835" s="304">
        <f>Tabla13[[#This Row],[Importe]]-Tabla13[[#This Row],[Pagado]]</f>
        <v>0</v>
      </c>
      <c r="I2835" s="275" t="s">
        <v>15214</v>
      </c>
    </row>
    <row r="2836" spans="1:9" x14ac:dyDescent="0.25">
      <c r="A2836" s="299">
        <v>42970</v>
      </c>
      <c r="B2836" s="302" t="s">
        <v>26703</v>
      </c>
      <c r="C2836">
        <v>124808</v>
      </c>
      <c r="D2836" s="236" t="s">
        <v>19773</v>
      </c>
      <c r="E2836" s="301">
        <v>4697.4399999999996</v>
      </c>
      <c r="F2836" s="303">
        <v>42973</v>
      </c>
      <c r="G2836" s="301">
        <v>4697.4399999999996</v>
      </c>
      <c r="H2836" s="304">
        <f>Tabla13[[#This Row],[Importe]]-Tabla13[[#This Row],[Pagado]]</f>
        <v>0</v>
      </c>
      <c r="I2836" s="275" t="s">
        <v>15214</v>
      </c>
    </row>
    <row r="2837" spans="1:9" x14ac:dyDescent="0.25">
      <c r="A2837" s="299">
        <v>42970</v>
      </c>
      <c r="B2837" s="302" t="s">
        <v>26704</v>
      </c>
      <c r="C2837">
        <v>124809</v>
      </c>
      <c r="D2837" s="236" t="s">
        <v>15315</v>
      </c>
      <c r="E2837" s="301">
        <v>736.4</v>
      </c>
      <c r="F2837" s="303">
        <v>42970</v>
      </c>
      <c r="G2837" s="301">
        <v>736.4</v>
      </c>
      <c r="H2837" s="304">
        <f>Tabla13[[#This Row],[Importe]]-Tabla13[[#This Row],[Pagado]]</f>
        <v>0</v>
      </c>
      <c r="I2837" s="275" t="s">
        <v>15214</v>
      </c>
    </row>
    <row r="2838" spans="1:9" x14ac:dyDescent="0.25">
      <c r="A2838" s="299">
        <v>42970</v>
      </c>
      <c r="B2838" s="302" t="s">
        <v>26705</v>
      </c>
      <c r="C2838">
        <v>124810</v>
      </c>
      <c r="D2838" s="236" t="s">
        <v>15890</v>
      </c>
      <c r="E2838" s="301">
        <v>1112</v>
      </c>
      <c r="F2838" s="303">
        <v>42977</v>
      </c>
      <c r="G2838" s="301">
        <v>1112</v>
      </c>
      <c r="H2838" s="304">
        <f>Tabla13[[#This Row],[Importe]]-Tabla13[[#This Row],[Pagado]]</f>
        <v>0</v>
      </c>
      <c r="I2838" s="275" t="s">
        <v>15214</v>
      </c>
    </row>
    <row r="2839" spans="1:9" x14ac:dyDescent="0.25">
      <c r="A2839" s="299">
        <v>42970</v>
      </c>
      <c r="B2839" s="302" t="s">
        <v>26706</v>
      </c>
      <c r="C2839">
        <v>124811</v>
      </c>
      <c r="D2839" s="236" t="s">
        <v>15391</v>
      </c>
      <c r="E2839" s="301">
        <v>6433</v>
      </c>
      <c r="F2839" s="303">
        <v>42972</v>
      </c>
      <c r="G2839" s="301">
        <v>6433</v>
      </c>
      <c r="H2839" s="304">
        <f>Tabla13[[#This Row],[Importe]]-Tabla13[[#This Row],[Pagado]]</f>
        <v>0</v>
      </c>
      <c r="I2839" s="275" t="s">
        <v>15214</v>
      </c>
    </row>
    <row r="2840" spans="1:9" x14ac:dyDescent="0.25">
      <c r="A2840" s="299">
        <v>42970</v>
      </c>
      <c r="B2840" s="302" t="s">
        <v>26707</v>
      </c>
      <c r="C2840">
        <v>124812</v>
      </c>
      <c r="D2840" s="236" t="s">
        <v>17862</v>
      </c>
      <c r="E2840" s="301">
        <v>3633.6</v>
      </c>
      <c r="F2840" s="303">
        <v>42970</v>
      </c>
      <c r="G2840" s="301">
        <v>3633.6</v>
      </c>
      <c r="H2840" s="304">
        <f>Tabla13[[#This Row],[Importe]]-Tabla13[[#This Row],[Pagado]]</f>
        <v>0</v>
      </c>
      <c r="I2840" s="275" t="s">
        <v>15214</v>
      </c>
    </row>
    <row r="2841" spans="1:9" x14ac:dyDescent="0.25">
      <c r="A2841" s="299">
        <v>42970</v>
      </c>
      <c r="B2841" s="302" t="s">
        <v>26708</v>
      </c>
      <c r="C2841">
        <v>124813</v>
      </c>
      <c r="D2841" s="236" t="s">
        <v>15732</v>
      </c>
      <c r="E2841" s="301">
        <v>2078.3000000000002</v>
      </c>
      <c r="F2841" s="303">
        <v>42970</v>
      </c>
      <c r="G2841" s="301">
        <v>2078.3000000000002</v>
      </c>
      <c r="H2841" s="304">
        <f>Tabla13[[#This Row],[Importe]]-Tabla13[[#This Row],[Pagado]]</f>
        <v>0</v>
      </c>
      <c r="I2841" s="275" t="s">
        <v>15214</v>
      </c>
    </row>
    <row r="2842" spans="1:9" x14ac:dyDescent="0.25">
      <c r="A2842" s="299">
        <v>42970</v>
      </c>
      <c r="B2842" s="302" t="s">
        <v>26709</v>
      </c>
      <c r="C2842">
        <v>124814</v>
      </c>
      <c r="D2842" s="236" t="s">
        <v>15861</v>
      </c>
      <c r="E2842" s="301">
        <v>1784.4</v>
      </c>
      <c r="F2842" s="303">
        <v>42970</v>
      </c>
      <c r="G2842" s="301">
        <v>1784.4</v>
      </c>
      <c r="H2842" s="304">
        <f>Tabla13[[#This Row],[Importe]]-Tabla13[[#This Row],[Pagado]]</f>
        <v>0</v>
      </c>
      <c r="I2842" s="275" t="s">
        <v>15214</v>
      </c>
    </row>
    <row r="2843" spans="1:9" x14ac:dyDescent="0.25">
      <c r="A2843" s="299">
        <v>42970</v>
      </c>
      <c r="B2843" s="302" t="s">
        <v>26710</v>
      </c>
      <c r="C2843">
        <v>124815</v>
      </c>
      <c r="D2843" s="236" t="s">
        <v>15526</v>
      </c>
      <c r="E2843" s="301">
        <v>3577</v>
      </c>
      <c r="F2843" s="303">
        <v>42970</v>
      </c>
      <c r="G2843" s="301">
        <v>3577</v>
      </c>
      <c r="H2843" s="304">
        <f>Tabla13[[#This Row],[Importe]]-Tabla13[[#This Row],[Pagado]]</f>
        <v>0</v>
      </c>
      <c r="I2843" s="275" t="s">
        <v>15214</v>
      </c>
    </row>
    <row r="2844" spans="1:9" x14ac:dyDescent="0.25">
      <c r="A2844" s="299">
        <v>42970</v>
      </c>
      <c r="B2844" s="302" t="s">
        <v>26711</v>
      </c>
      <c r="C2844">
        <v>124816</v>
      </c>
      <c r="D2844" s="236" t="s">
        <v>15759</v>
      </c>
      <c r="E2844" s="301">
        <v>2131.36</v>
      </c>
      <c r="F2844" s="303">
        <v>42970</v>
      </c>
      <c r="G2844" s="301">
        <v>2131.36</v>
      </c>
      <c r="H2844" s="304">
        <f>Tabla13[[#This Row],[Importe]]-Tabla13[[#This Row],[Pagado]]</f>
        <v>0</v>
      </c>
      <c r="I2844" s="275" t="s">
        <v>15214</v>
      </c>
    </row>
    <row r="2845" spans="1:9" x14ac:dyDescent="0.25">
      <c r="A2845" s="299">
        <v>42970</v>
      </c>
      <c r="B2845" s="302" t="s">
        <v>26712</v>
      </c>
      <c r="C2845">
        <v>124817</v>
      </c>
      <c r="D2845" s="236" t="s">
        <v>15336</v>
      </c>
      <c r="E2845" s="301">
        <v>4816.2</v>
      </c>
      <c r="F2845" s="303">
        <v>42970</v>
      </c>
      <c r="G2845" s="301">
        <v>4816.2</v>
      </c>
      <c r="H2845" s="304">
        <f>Tabla13[[#This Row],[Importe]]-Tabla13[[#This Row],[Pagado]]</f>
        <v>0</v>
      </c>
      <c r="I2845" s="275" t="s">
        <v>15214</v>
      </c>
    </row>
    <row r="2846" spans="1:9" x14ac:dyDescent="0.25">
      <c r="A2846" s="299">
        <v>42970</v>
      </c>
      <c r="B2846" s="302" t="s">
        <v>26713</v>
      </c>
      <c r="C2846">
        <v>124818</v>
      </c>
      <c r="D2846" s="236" t="s">
        <v>15716</v>
      </c>
      <c r="E2846" s="301">
        <v>10731</v>
      </c>
      <c r="F2846" s="303">
        <v>42970</v>
      </c>
      <c r="G2846" s="301">
        <v>10731</v>
      </c>
      <c r="H2846" s="304">
        <f>Tabla13[[#This Row],[Importe]]-Tabla13[[#This Row],[Pagado]]</f>
        <v>0</v>
      </c>
      <c r="I2846" s="275" t="s">
        <v>15214</v>
      </c>
    </row>
    <row r="2847" spans="1:9" x14ac:dyDescent="0.25">
      <c r="A2847" s="299">
        <v>42970</v>
      </c>
      <c r="B2847" s="302" t="s">
        <v>26714</v>
      </c>
      <c r="C2847">
        <v>124819</v>
      </c>
      <c r="D2847" s="236" t="s">
        <v>15699</v>
      </c>
      <c r="E2847" s="301">
        <v>3632.6</v>
      </c>
      <c r="F2847" s="303">
        <v>42977</v>
      </c>
      <c r="G2847" s="301">
        <v>3632.6</v>
      </c>
      <c r="H2847" s="304">
        <f>Tabla13[[#This Row],[Importe]]-Tabla13[[#This Row],[Pagado]]</f>
        <v>0</v>
      </c>
      <c r="I2847" s="275" t="s">
        <v>15214</v>
      </c>
    </row>
    <row r="2848" spans="1:9" x14ac:dyDescent="0.25">
      <c r="A2848" s="299">
        <v>42970</v>
      </c>
      <c r="B2848" s="302" t="s">
        <v>26715</v>
      </c>
      <c r="C2848">
        <v>124820</v>
      </c>
      <c r="D2848" s="236" t="s">
        <v>15920</v>
      </c>
      <c r="E2848" s="301">
        <v>36636.949999999997</v>
      </c>
      <c r="F2848" s="303">
        <v>42971</v>
      </c>
      <c r="G2848" s="301">
        <v>36636.949999999997</v>
      </c>
      <c r="H2848" s="304">
        <f>Tabla13[[#This Row],[Importe]]-Tabla13[[#This Row],[Pagado]]</f>
        <v>0</v>
      </c>
      <c r="I2848" s="275" t="s">
        <v>15214</v>
      </c>
    </row>
    <row r="2849" spans="1:9" x14ac:dyDescent="0.25">
      <c r="A2849" s="299">
        <v>42970</v>
      </c>
      <c r="B2849" s="302" t="s">
        <v>26716</v>
      </c>
      <c r="C2849">
        <v>124821</v>
      </c>
      <c r="D2849" s="236" t="s">
        <v>15559</v>
      </c>
      <c r="E2849" s="301">
        <v>8650.4</v>
      </c>
      <c r="F2849" s="303">
        <v>42978</v>
      </c>
      <c r="G2849" s="301">
        <v>8650.4</v>
      </c>
      <c r="H2849" s="304">
        <f>Tabla13[[#This Row],[Importe]]-Tabla13[[#This Row],[Pagado]]</f>
        <v>0</v>
      </c>
      <c r="I2849" s="275" t="s">
        <v>15214</v>
      </c>
    </row>
    <row r="2850" spans="1:9" x14ac:dyDescent="0.25">
      <c r="A2850" s="299">
        <v>42970</v>
      </c>
      <c r="B2850" s="302" t="s">
        <v>26717</v>
      </c>
      <c r="C2850">
        <v>124822</v>
      </c>
      <c r="D2850" s="236" t="s">
        <v>15725</v>
      </c>
      <c r="E2850" s="301">
        <v>20770.400000000001</v>
      </c>
      <c r="F2850" s="303">
        <v>42974</v>
      </c>
      <c r="G2850" s="301">
        <v>20770.400000000001</v>
      </c>
      <c r="H2850" s="304">
        <f>Tabla13[[#This Row],[Importe]]-Tabla13[[#This Row],[Pagado]]</f>
        <v>0</v>
      </c>
      <c r="I2850" s="275" t="s">
        <v>15214</v>
      </c>
    </row>
    <row r="2851" spans="1:9" x14ac:dyDescent="0.25">
      <c r="A2851" s="299">
        <v>42970</v>
      </c>
      <c r="B2851" s="302" t="s">
        <v>26718</v>
      </c>
      <c r="C2851">
        <v>124823</v>
      </c>
      <c r="D2851" s="236" t="s">
        <v>15537</v>
      </c>
      <c r="E2851" s="301">
        <v>15727.6</v>
      </c>
      <c r="F2851" s="303">
        <v>42977</v>
      </c>
      <c r="G2851" s="301">
        <v>15727.6</v>
      </c>
      <c r="H2851" s="304">
        <f>Tabla13[[#This Row],[Importe]]-Tabla13[[#This Row],[Pagado]]</f>
        <v>0</v>
      </c>
      <c r="I2851" s="275" t="s">
        <v>15214</v>
      </c>
    </row>
    <row r="2852" spans="1:9" x14ac:dyDescent="0.25">
      <c r="A2852" s="299">
        <v>42970</v>
      </c>
      <c r="B2852" s="302" t="s">
        <v>26719</v>
      </c>
      <c r="C2852">
        <v>124824</v>
      </c>
      <c r="D2852" s="236" t="s">
        <v>15555</v>
      </c>
      <c r="E2852" s="301">
        <v>4325.3999999999996</v>
      </c>
      <c r="F2852" s="266">
        <v>42990</v>
      </c>
      <c r="G2852" s="35">
        <v>4325.3999999999996</v>
      </c>
      <c r="H2852" s="304">
        <f>Tabla13[[#This Row],[Importe]]-Tabla13[[#This Row],[Pagado]]</f>
        <v>0</v>
      </c>
      <c r="I2852" s="275" t="s">
        <v>15214</v>
      </c>
    </row>
    <row r="2853" spans="1:9" x14ac:dyDescent="0.25">
      <c r="A2853" s="299">
        <v>42970</v>
      </c>
      <c r="B2853" s="302" t="s">
        <v>26720</v>
      </c>
      <c r="C2853">
        <v>124825</v>
      </c>
      <c r="D2853" s="236" t="s">
        <v>19776</v>
      </c>
      <c r="E2853" s="301">
        <v>8870</v>
      </c>
      <c r="F2853" s="303">
        <v>42970</v>
      </c>
      <c r="G2853" s="301">
        <v>8870</v>
      </c>
      <c r="H2853" s="304">
        <f>Tabla13[[#This Row],[Importe]]-Tabla13[[#This Row],[Pagado]]</f>
        <v>0</v>
      </c>
      <c r="I2853" s="275" t="s">
        <v>15214</v>
      </c>
    </row>
    <row r="2854" spans="1:9" ht="15.75" x14ac:dyDescent="0.25">
      <c r="A2854" s="299">
        <v>42970</v>
      </c>
      <c r="B2854" s="302" t="s">
        <v>26721</v>
      </c>
      <c r="C2854">
        <v>124826</v>
      </c>
      <c r="D2854" s="248" t="s">
        <v>95</v>
      </c>
      <c r="E2854" s="301">
        <v>0</v>
      </c>
      <c r="F2854" s="243" t="s">
        <v>95</v>
      </c>
      <c r="G2854" s="301">
        <v>0</v>
      </c>
      <c r="H2854" s="304">
        <f>Tabla13[[#This Row],[Importe]]-Tabla13[[#This Row],[Pagado]]</f>
        <v>0</v>
      </c>
      <c r="I2854" s="275" t="s">
        <v>95</v>
      </c>
    </row>
    <row r="2855" spans="1:9" x14ac:dyDescent="0.25">
      <c r="A2855" s="299">
        <v>42970</v>
      </c>
      <c r="B2855" s="302" t="s">
        <v>26722</v>
      </c>
      <c r="C2855">
        <v>124827</v>
      </c>
      <c r="D2855" s="236" t="s">
        <v>15282</v>
      </c>
      <c r="E2855" s="301">
        <v>2366.4</v>
      </c>
      <c r="F2855" s="303">
        <v>42970</v>
      </c>
      <c r="G2855" s="301">
        <v>2366.4</v>
      </c>
      <c r="H2855" s="304">
        <f>Tabla13[[#This Row],[Importe]]-Tabla13[[#This Row],[Pagado]]</f>
        <v>0</v>
      </c>
      <c r="I2855" s="275" t="s">
        <v>15214</v>
      </c>
    </row>
    <row r="2856" spans="1:9" x14ac:dyDescent="0.25">
      <c r="A2856" s="299">
        <v>42970</v>
      </c>
      <c r="B2856" s="302" t="s">
        <v>26723</v>
      </c>
      <c r="C2856">
        <v>124828</v>
      </c>
      <c r="D2856" s="236" t="s">
        <v>15254</v>
      </c>
      <c r="E2856" s="301">
        <v>2526.4</v>
      </c>
      <c r="F2856" s="303">
        <v>42974</v>
      </c>
      <c r="G2856" s="301">
        <v>2526.4</v>
      </c>
      <c r="H2856" s="304">
        <f>Tabla13[[#This Row],[Importe]]-Tabla13[[#This Row],[Pagado]]</f>
        <v>0</v>
      </c>
      <c r="I2856" s="275" t="s">
        <v>15214</v>
      </c>
    </row>
    <row r="2857" spans="1:9" x14ac:dyDescent="0.25">
      <c r="A2857" s="299">
        <v>42970</v>
      </c>
      <c r="B2857" s="302" t="s">
        <v>26724</v>
      </c>
      <c r="C2857">
        <v>124829</v>
      </c>
      <c r="D2857" s="236" t="s">
        <v>19768</v>
      </c>
      <c r="E2857" s="301">
        <v>1410</v>
      </c>
      <c r="F2857" s="303">
        <v>42970</v>
      </c>
      <c r="G2857" s="301">
        <v>1410</v>
      </c>
      <c r="H2857" s="304">
        <f>Tabla13[[#This Row],[Importe]]-Tabla13[[#This Row],[Pagado]]</f>
        <v>0</v>
      </c>
      <c r="I2857" s="275" t="s">
        <v>15214</v>
      </c>
    </row>
    <row r="2858" spans="1:9" x14ac:dyDescent="0.25">
      <c r="A2858" s="299">
        <v>42970</v>
      </c>
      <c r="B2858" s="302" t="s">
        <v>26725</v>
      </c>
      <c r="C2858">
        <v>124830</v>
      </c>
      <c r="D2858" s="236" t="s">
        <v>19699</v>
      </c>
      <c r="E2858" s="301">
        <v>2585</v>
      </c>
      <c r="F2858" s="303">
        <v>42970</v>
      </c>
      <c r="G2858" s="301">
        <v>2585</v>
      </c>
      <c r="H2858" s="304">
        <f>Tabla13[[#This Row],[Importe]]-Tabla13[[#This Row],[Pagado]]</f>
        <v>0</v>
      </c>
      <c r="I2858" s="275" t="s">
        <v>15214</v>
      </c>
    </row>
    <row r="2859" spans="1:9" x14ac:dyDescent="0.25">
      <c r="A2859" s="299">
        <v>42970</v>
      </c>
      <c r="B2859" s="302" t="s">
        <v>26726</v>
      </c>
      <c r="C2859">
        <v>124831</v>
      </c>
      <c r="D2859" s="236" t="s">
        <v>15706</v>
      </c>
      <c r="E2859" s="301">
        <v>605</v>
      </c>
      <c r="F2859" s="303">
        <v>42970</v>
      </c>
      <c r="G2859" s="301">
        <v>605</v>
      </c>
      <c r="H2859" s="304">
        <f>Tabla13[[#This Row],[Importe]]-Tabla13[[#This Row],[Pagado]]</f>
        <v>0</v>
      </c>
      <c r="I2859" s="275" t="s">
        <v>15214</v>
      </c>
    </row>
    <row r="2860" spans="1:9" x14ac:dyDescent="0.25">
      <c r="A2860" s="299">
        <v>42970</v>
      </c>
      <c r="B2860" s="302" t="s">
        <v>26727</v>
      </c>
      <c r="C2860">
        <v>124832</v>
      </c>
      <c r="D2860" s="236" t="s">
        <v>15226</v>
      </c>
      <c r="E2860" s="301">
        <v>1723.2</v>
      </c>
      <c r="F2860" s="303">
        <v>42975</v>
      </c>
      <c r="G2860" s="301">
        <v>1723.2</v>
      </c>
      <c r="H2860" s="304">
        <f>Tabla13[[#This Row],[Importe]]-Tabla13[[#This Row],[Pagado]]</f>
        <v>0</v>
      </c>
      <c r="I2860" s="275" t="s">
        <v>15214</v>
      </c>
    </row>
    <row r="2861" spans="1:9" x14ac:dyDescent="0.25">
      <c r="A2861" s="299">
        <v>42970</v>
      </c>
      <c r="B2861" s="302" t="s">
        <v>26728</v>
      </c>
      <c r="C2861">
        <v>124833</v>
      </c>
      <c r="D2861" s="236" t="s">
        <v>15398</v>
      </c>
      <c r="E2861" s="301">
        <v>859.8</v>
      </c>
      <c r="F2861" s="303">
        <v>42970</v>
      </c>
      <c r="G2861" s="301">
        <v>859.8</v>
      </c>
      <c r="H2861" s="304">
        <f>Tabla13[[#This Row],[Importe]]-Tabla13[[#This Row],[Pagado]]</f>
        <v>0</v>
      </c>
      <c r="I2861" s="275" t="s">
        <v>15214</v>
      </c>
    </row>
    <row r="2862" spans="1:9" x14ac:dyDescent="0.25">
      <c r="A2862" s="299">
        <v>42970</v>
      </c>
      <c r="B2862" s="302" t="s">
        <v>26729</v>
      </c>
      <c r="C2862">
        <v>124834</v>
      </c>
      <c r="D2862" s="236" t="s">
        <v>15213</v>
      </c>
      <c r="E2862" s="301">
        <v>6686.4</v>
      </c>
      <c r="F2862" s="303">
        <v>42972</v>
      </c>
      <c r="G2862" s="301">
        <v>6686.4</v>
      </c>
      <c r="H2862" s="304">
        <f>Tabla13[[#This Row],[Importe]]-Tabla13[[#This Row],[Pagado]]</f>
        <v>0</v>
      </c>
      <c r="I2862" s="275" t="s">
        <v>15214</v>
      </c>
    </row>
    <row r="2863" spans="1:9" x14ac:dyDescent="0.25">
      <c r="A2863" s="299">
        <v>42970</v>
      </c>
      <c r="B2863" s="302" t="s">
        <v>26730</v>
      </c>
      <c r="C2863">
        <v>124835</v>
      </c>
      <c r="D2863" s="236" t="s">
        <v>15284</v>
      </c>
      <c r="E2863" s="301">
        <v>597.79999999999995</v>
      </c>
      <c r="F2863" s="303">
        <v>42970</v>
      </c>
      <c r="G2863" s="301">
        <v>597.79999999999995</v>
      </c>
      <c r="H2863" s="304">
        <f>Tabla13[[#This Row],[Importe]]-Tabla13[[#This Row],[Pagado]]</f>
        <v>0</v>
      </c>
      <c r="I2863" s="275" t="s">
        <v>15214</v>
      </c>
    </row>
    <row r="2864" spans="1:9" x14ac:dyDescent="0.25">
      <c r="A2864" s="299">
        <v>42970</v>
      </c>
      <c r="B2864" s="302" t="s">
        <v>26731</v>
      </c>
      <c r="C2864">
        <v>124836</v>
      </c>
      <c r="D2864" s="236" t="s">
        <v>15423</v>
      </c>
      <c r="E2864" s="301">
        <v>2700</v>
      </c>
      <c r="F2864" s="303">
        <v>42970</v>
      </c>
      <c r="G2864" s="301">
        <v>2700</v>
      </c>
      <c r="H2864" s="304">
        <f>Tabla13[[#This Row],[Importe]]-Tabla13[[#This Row],[Pagado]]</f>
        <v>0</v>
      </c>
      <c r="I2864" s="275" t="s">
        <v>15214</v>
      </c>
    </row>
    <row r="2865" spans="1:9" x14ac:dyDescent="0.25">
      <c r="A2865" s="299">
        <v>42970</v>
      </c>
      <c r="B2865" s="302" t="s">
        <v>26732</v>
      </c>
      <c r="C2865">
        <v>124837</v>
      </c>
      <c r="D2865" s="236" t="s">
        <v>15566</v>
      </c>
      <c r="E2865" s="301">
        <v>819.1</v>
      </c>
      <c r="F2865" s="303">
        <v>42970</v>
      </c>
      <c r="G2865" s="301">
        <v>819.1</v>
      </c>
      <c r="H2865" s="304">
        <f>Tabla13[[#This Row],[Importe]]-Tabla13[[#This Row],[Pagado]]</f>
        <v>0</v>
      </c>
      <c r="I2865" s="275" t="s">
        <v>15214</v>
      </c>
    </row>
    <row r="2866" spans="1:9" x14ac:dyDescent="0.25">
      <c r="A2866" s="299">
        <v>42970</v>
      </c>
      <c r="B2866" s="302" t="s">
        <v>26733</v>
      </c>
      <c r="C2866">
        <v>124838</v>
      </c>
      <c r="D2866" s="236" t="s">
        <v>15890</v>
      </c>
      <c r="E2866" s="301">
        <v>5826.6</v>
      </c>
      <c r="F2866" s="303">
        <v>42977</v>
      </c>
      <c r="G2866" s="301">
        <v>5826.6</v>
      </c>
      <c r="H2866" s="304">
        <f>Tabla13[[#This Row],[Importe]]-Tabla13[[#This Row],[Pagado]]</f>
        <v>0</v>
      </c>
      <c r="I2866" s="275" t="s">
        <v>15214</v>
      </c>
    </row>
    <row r="2867" spans="1:9" x14ac:dyDescent="0.25">
      <c r="A2867" s="299">
        <v>42970</v>
      </c>
      <c r="B2867" s="302" t="s">
        <v>26734</v>
      </c>
      <c r="C2867">
        <v>124839</v>
      </c>
      <c r="D2867" s="236" t="s">
        <v>15644</v>
      </c>
      <c r="E2867" s="301">
        <v>3028.2</v>
      </c>
      <c r="F2867" s="303">
        <v>42970</v>
      </c>
      <c r="G2867" s="301">
        <v>3028.2</v>
      </c>
      <c r="H2867" s="304">
        <f>Tabla13[[#This Row],[Importe]]-Tabla13[[#This Row],[Pagado]]</f>
        <v>0</v>
      </c>
      <c r="I2867" s="275" t="s">
        <v>15214</v>
      </c>
    </row>
    <row r="2868" spans="1:9" x14ac:dyDescent="0.25">
      <c r="A2868" s="299">
        <v>42970</v>
      </c>
      <c r="B2868" s="302" t="s">
        <v>26735</v>
      </c>
      <c r="C2868">
        <v>124840</v>
      </c>
      <c r="D2868" s="236" t="s">
        <v>15628</v>
      </c>
      <c r="E2868" s="301">
        <v>3887.6</v>
      </c>
      <c r="F2868" s="303">
        <v>42970</v>
      </c>
      <c r="G2868" s="301">
        <v>3887.6</v>
      </c>
      <c r="H2868" s="304">
        <f>Tabla13[[#This Row],[Importe]]-Tabla13[[#This Row],[Pagado]]</f>
        <v>0</v>
      </c>
      <c r="I2868" s="275" t="s">
        <v>15214</v>
      </c>
    </row>
    <row r="2869" spans="1:9" x14ac:dyDescent="0.25">
      <c r="A2869" s="299">
        <v>42970</v>
      </c>
      <c r="B2869" s="302" t="s">
        <v>26736</v>
      </c>
      <c r="C2869">
        <v>124841</v>
      </c>
      <c r="D2869" s="236" t="s">
        <v>15365</v>
      </c>
      <c r="E2869" s="301">
        <v>235378.5</v>
      </c>
      <c r="F2869" s="266">
        <v>42980</v>
      </c>
      <c r="G2869" s="35">
        <v>235378.5</v>
      </c>
      <c r="H2869" s="304">
        <f>Tabla13[[#This Row],[Importe]]-Tabla13[[#This Row],[Pagado]]</f>
        <v>0</v>
      </c>
      <c r="I2869" s="275" t="s">
        <v>15214</v>
      </c>
    </row>
    <row r="2870" spans="1:9" x14ac:dyDescent="0.25">
      <c r="A2870" s="299">
        <v>42970</v>
      </c>
      <c r="B2870" s="302" t="s">
        <v>26737</v>
      </c>
      <c r="C2870">
        <v>124842</v>
      </c>
      <c r="D2870" s="236" t="s">
        <v>15407</v>
      </c>
      <c r="E2870" s="301">
        <v>1347.5</v>
      </c>
      <c r="F2870" s="303">
        <v>42970</v>
      </c>
      <c r="G2870" s="301">
        <v>1347.5</v>
      </c>
      <c r="H2870" s="304">
        <f>Tabla13[[#This Row],[Importe]]-Tabla13[[#This Row],[Pagado]]</f>
        <v>0</v>
      </c>
      <c r="I2870" s="275" t="s">
        <v>15214</v>
      </c>
    </row>
    <row r="2871" spans="1:9" x14ac:dyDescent="0.25">
      <c r="A2871" s="299">
        <v>42970</v>
      </c>
      <c r="B2871" s="302" t="s">
        <v>26738</v>
      </c>
      <c r="C2871">
        <v>124843</v>
      </c>
      <c r="D2871" s="236" t="s">
        <v>19933</v>
      </c>
      <c r="E2871" s="301">
        <v>382.8</v>
      </c>
      <c r="F2871" s="303">
        <v>42970</v>
      </c>
      <c r="G2871" s="301">
        <v>382.8</v>
      </c>
      <c r="H2871" s="304">
        <f>Tabla13[[#This Row],[Importe]]-Tabla13[[#This Row],[Pagado]]</f>
        <v>0</v>
      </c>
      <c r="I2871" s="275" t="s">
        <v>15214</v>
      </c>
    </row>
    <row r="2872" spans="1:9" x14ac:dyDescent="0.25">
      <c r="A2872" s="299">
        <v>42970</v>
      </c>
      <c r="B2872" s="302" t="s">
        <v>26739</v>
      </c>
      <c r="C2872">
        <v>124844</v>
      </c>
      <c r="D2872" s="236" t="s">
        <v>15284</v>
      </c>
      <c r="E2872" s="301">
        <v>795.2</v>
      </c>
      <c r="F2872" s="303">
        <v>42970</v>
      </c>
      <c r="G2872" s="301">
        <v>795.2</v>
      </c>
      <c r="H2872" s="304">
        <f>Tabla13[[#This Row],[Importe]]-Tabla13[[#This Row],[Pagado]]</f>
        <v>0</v>
      </c>
      <c r="I2872" s="275" t="s">
        <v>15214</v>
      </c>
    </row>
    <row r="2873" spans="1:9" x14ac:dyDescent="0.25">
      <c r="A2873" s="299">
        <v>42970</v>
      </c>
      <c r="B2873" s="302" t="s">
        <v>26740</v>
      </c>
      <c r="C2873">
        <v>124845</v>
      </c>
      <c r="D2873" s="236" t="s">
        <v>16686</v>
      </c>
      <c r="E2873" s="301">
        <v>37044</v>
      </c>
      <c r="F2873" s="303">
        <v>42970</v>
      </c>
      <c r="G2873" s="301">
        <v>37044</v>
      </c>
      <c r="H2873" s="304">
        <f>Tabla13[[#This Row],[Importe]]-Tabla13[[#This Row],[Pagado]]</f>
        <v>0</v>
      </c>
      <c r="I2873" s="275" t="s">
        <v>15214</v>
      </c>
    </row>
    <row r="2874" spans="1:9" x14ac:dyDescent="0.25">
      <c r="A2874" s="299">
        <v>42970</v>
      </c>
      <c r="B2874" s="302" t="s">
        <v>26741</v>
      </c>
      <c r="C2874">
        <v>124846</v>
      </c>
      <c r="D2874" s="236" t="s">
        <v>15818</v>
      </c>
      <c r="E2874" s="301">
        <v>1759.3</v>
      </c>
      <c r="F2874" s="303">
        <v>42973</v>
      </c>
      <c r="G2874" s="301">
        <v>1759.3</v>
      </c>
      <c r="H2874" s="304">
        <f>Tabla13[[#This Row],[Importe]]-Tabla13[[#This Row],[Pagado]]</f>
        <v>0</v>
      </c>
      <c r="I2874" s="275" t="s">
        <v>15214</v>
      </c>
    </row>
    <row r="2875" spans="1:9" x14ac:dyDescent="0.25">
      <c r="A2875" s="299">
        <v>42970</v>
      </c>
      <c r="B2875" s="302" t="s">
        <v>26742</v>
      </c>
      <c r="C2875">
        <v>124847</v>
      </c>
      <c r="D2875" s="236" t="s">
        <v>15789</v>
      </c>
      <c r="E2875" s="301">
        <v>17742.2</v>
      </c>
      <c r="F2875" s="303">
        <v>42977</v>
      </c>
      <c r="G2875" s="301">
        <v>17742.2</v>
      </c>
      <c r="H2875" s="304">
        <f>Tabla13[[#This Row],[Importe]]-Tabla13[[#This Row],[Pagado]]</f>
        <v>0</v>
      </c>
      <c r="I2875" s="275" t="s">
        <v>15214</v>
      </c>
    </row>
    <row r="2876" spans="1:9" x14ac:dyDescent="0.25">
      <c r="A2876" s="299">
        <v>42970</v>
      </c>
      <c r="B2876" s="302" t="s">
        <v>26743</v>
      </c>
      <c r="C2876">
        <v>124848</v>
      </c>
      <c r="D2876" s="236" t="s">
        <v>15246</v>
      </c>
      <c r="E2876" s="301">
        <v>380832.35</v>
      </c>
      <c r="F2876" s="303">
        <v>42976</v>
      </c>
      <c r="G2876" s="301">
        <v>380832.35</v>
      </c>
      <c r="H2876" s="304">
        <f>Tabla13[[#This Row],[Importe]]-Tabla13[[#This Row],[Pagado]]</f>
        <v>0</v>
      </c>
      <c r="I2876" s="275" t="s">
        <v>15214</v>
      </c>
    </row>
    <row r="2877" spans="1:9" ht="30" x14ac:dyDescent="0.25">
      <c r="A2877" s="299">
        <v>42970</v>
      </c>
      <c r="B2877" s="302" t="s">
        <v>26744</v>
      </c>
      <c r="C2877">
        <v>124849</v>
      </c>
      <c r="D2877" s="236" t="s">
        <v>15246</v>
      </c>
      <c r="E2877" s="301">
        <v>103390.32</v>
      </c>
      <c r="F2877" s="303" t="s">
        <v>26745</v>
      </c>
      <c r="G2877" s="305">
        <f>13119.24+90271.08</f>
        <v>103390.32</v>
      </c>
      <c r="H2877" s="304">
        <f>Tabla13[[#This Row],[Importe]]-Tabla13[[#This Row],[Pagado]]</f>
        <v>0</v>
      </c>
      <c r="I2877" s="275" t="s">
        <v>15214</v>
      </c>
    </row>
    <row r="2878" spans="1:9" x14ac:dyDescent="0.25">
      <c r="A2878" s="299">
        <v>42970</v>
      </c>
      <c r="B2878" s="302" t="s">
        <v>26746</v>
      </c>
      <c r="C2878">
        <v>124850</v>
      </c>
      <c r="D2878" s="236" t="s">
        <v>15435</v>
      </c>
      <c r="E2878" s="301">
        <v>7822.8</v>
      </c>
      <c r="F2878" s="303">
        <v>42970</v>
      </c>
      <c r="G2878" s="301">
        <v>7822.8</v>
      </c>
      <c r="H2878" s="304">
        <f>Tabla13[[#This Row],[Importe]]-Tabla13[[#This Row],[Pagado]]</f>
        <v>0</v>
      </c>
      <c r="I2878" s="275" t="s">
        <v>15214</v>
      </c>
    </row>
    <row r="2879" spans="1:9" x14ac:dyDescent="0.25">
      <c r="A2879" s="299">
        <v>42970</v>
      </c>
      <c r="B2879" s="302" t="s">
        <v>26747</v>
      </c>
      <c r="C2879">
        <v>124851</v>
      </c>
      <c r="D2879" s="236" t="s">
        <v>15642</v>
      </c>
      <c r="E2879" s="301">
        <v>6394.5</v>
      </c>
      <c r="F2879" s="303">
        <v>42971</v>
      </c>
      <c r="G2879" s="301">
        <v>6394.5</v>
      </c>
      <c r="H2879" s="304">
        <f>Tabla13[[#This Row],[Importe]]-Tabla13[[#This Row],[Pagado]]</f>
        <v>0</v>
      </c>
      <c r="I2879" s="275" t="s">
        <v>15214</v>
      </c>
    </row>
    <row r="2880" spans="1:9" x14ac:dyDescent="0.25">
      <c r="A2880" s="299">
        <v>42971</v>
      </c>
      <c r="B2880" s="302" t="s">
        <v>26748</v>
      </c>
      <c r="C2880">
        <v>124852</v>
      </c>
      <c r="D2880" s="236" t="s">
        <v>21386</v>
      </c>
      <c r="E2880" s="301">
        <v>9823.7999999999993</v>
      </c>
      <c r="F2880" s="303">
        <v>42971</v>
      </c>
      <c r="G2880" s="301">
        <v>9823.7999999999993</v>
      </c>
      <c r="H2880" s="304">
        <f>Tabla13[[#This Row],[Importe]]-Tabla13[[#This Row],[Pagado]]</f>
        <v>0</v>
      </c>
      <c r="I2880" s="275" t="s">
        <v>15214</v>
      </c>
    </row>
    <row r="2881" spans="1:9" ht="15.75" x14ac:dyDescent="0.25">
      <c r="A2881" s="299">
        <v>42971</v>
      </c>
      <c r="B2881" s="302" t="s">
        <v>26749</v>
      </c>
      <c r="C2881">
        <v>124853</v>
      </c>
      <c r="D2881" s="248" t="s">
        <v>95</v>
      </c>
      <c r="E2881" s="301">
        <v>0</v>
      </c>
      <c r="F2881" s="254" t="s">
        <v>95</v>
      </c>
      <c r="G2881" s="301">
        <v>0</v>
      </c>
      <c r="H2881" s="304">
        <f>Tabla13[[#This Row],[Importe]]-Tabla13[[#This Row],[Pagado]]</f>
        <v>0</v>
      </c>
      <c r="I2881" s="282" t="s">
        <v>22800</v>
      </c>
    </row>
    <row r="2882" spans="1:9" x14ac:dyDescent="0.25">
      <c r="A2882" s="299">
        <v>42971</v>
      </c>
      <c r="B2882" s="302" t="s">
        <v>26750</v>
      </c>
      <c r="C2882">
        <v>124854</v>
      </c>
      <c r="D2882" s="236" t="s">
        <v>15213</v>
      </c>
      <c r="E2882" s="301">
        <v>45522.3</v>
      </c>
      <c r="F2882" s="303">
        <v>42972</v>
      </c>
      <c r="G2882" s="301">
        <v>45522.3</v>
      </c>
      <c r="H2882" s="304">
        <f>Tabla13[[#This Row],[Importe]]-Tabla13[[#This Row],[Pagado]]</f>
        <v>0</v>
      </c>
      <c r="I2882" s="275" t="s">
        <v>15214</v>
      </c>
    </row>
    <row r="2883" spans="1:9" x14ac:dyDescent="0.25">
      <c r="A2883" s="299">
        <v>42971</v>
      </c>
      <c r="B2883" s="302" t="s">
        <v>26751</v>
      </c>
      <c r="C2883">
        <v>124855</v>
      </c>
      <c r="D2883" s="236" t="s">
        <v>15665</v>
      </c>
      <c r="E2883" s="301">
        <v>663.6</v>
      </c>
      <c r="F2883" s="303">
        <v>42971</v>
      </c>
      <c r="G2883" s="301">
        <v>663.6</v>
      </c>
      <c r="H2883" s="304">
        <f>Tabla13[[#This Row],[Importe]]-Tabla13[[#This Row],[Pagado]]</f>
        <v>0</v>
      </c>
      <c r="I2883" s="275" t="s">
        <v>15214</v>
      </c>
    </row>
    <row r="2884" spans="1:9" x14ac:dyDescent="0.25">
      <c r="A2884" s="299">
        <v>42971</v>
      </c>
      <c r="B2884" s="302" t="s">
        <v>26752</v>
      </c>
      <c r="C2884">
        <v>124856</v>
      </c>
      <c r="D2884" s="236" t="s">
        <v>15226</v>
      </c>
      <c r="E2884" s="301">
        <v>2227.1999999999998</v>
      </c>
      <c r="F2884" s="303">
        <v>42972</v>
      </c>
      <c r="G2884" s="301">
        <v>2227.1999999999998</v>
      </c>
      <c r="H2884" s="304">
        <f>Tabla13[[#This Row],[Importe]]-Tabla13[[#This Row],[Pagado]]</f>
        <v>0</v>
      </c>
      <c r="I2884" s="275" t="s">
        <v>15214</v>
      </c>
    </row>
    <row r="2885" spans="1:9" x14ac:dyDescent="0.25">
      <c r="A2885" s="299">
        <v>42971</v>
      </c>
      <c r="B2885" s="302" t="s">
        <v>26753</v>
      </c>
      <c r="C2885">
        <v>124857</v>
      </c>
      <c r="D2885" s="236" t="s">
        <v>15220</v>
      </c>
      <c r="E2885" s="301">
        <v>2350</v>
      </c>
      <c r="F2885" s="303">
        <v>42971</v>
      </c>
      <c r="G2885" s="301">
        <v>2350</v>
      </c>
      <c r="H2885" s="304">
        <f>Tabla13[[#This Row],[Importe]]-Tabla13[[#This Row],[Pagado]]</f>
        <v>0</v>
      </c>
      <c r="I2885" s="275" t="s">
        <v>15214</v>
      </c>
    </row>
    <row r="2886" spans="1:9" x14ac:dyDescent="0.25">
      <c r="A2886" s="299">
        <v>42971</v>
      </c>
      <c r="B2886" s="302" t="s">
        <v>26754</v>
      </c>
      <c r="C2886">
        <v>124858</v>
      </c>
      <c r="D2886" s="236" t="s">
        <v>15668</v>
      </c>
      <c r="E2886" s="301">
        <v>18373.2</v>
      </c>
      <c r="F2886" s="303">
        <v>42975</v>
      </c>
      <c r="G2886" s="301">
        <v>18373.2</v>
      </c>
      <c r="H2886" s="304">
        <f>Tabla13[[#This Row],[Importe]]-Tabla13[[#This Row],[Pagado]]</f>
        <v>0</v>
      </c>
      <c r="I2886" s="275" t="s">
        <v>15214</v>
      </c>
    </row>
    <row r="2887" spans="1:9" x14ac:dyDescent="0.25">
      <c r="A2887" s="299">
        <v>42971</v>
      </c>
      <c r="B2887" s="302" t="s">
        <v>26755</v>
      </c>
      <c r="C2887">
        <v>124859</v>
      </c>
      <c r="D2887" s="236" t="s">
        <v>15230</v>
      </c>
      <c r="E2887" s="301">
        <v>6549.6</v>
      </c>
      <c r="F2887" s="303">
        <v>42973</v>
      </c>
      <c r="G2887" s="301">
        <v>6549.6</v>
      </c>
      <c r="H2887" s="304">
        <f>Tabla13[[#This Row],[Importe]]-Tabla13[[#This Row],[Pagado]]</f>
        <v>0</v>
      </c>
      <c r="I2887" s="275" t="s">
        <v>15214</v>
      </c>
    </row>
    <row r="2888" spans="1:9" x14ac:dyDescent="0.25">
      <c r="A2888" s="299">
        <v>42971</v>
      </c>
      <c r="B2888" s="302" t="s">
        <v>26756</v>
      </c>
      <c r="C2888">
        <v>124860</v>
      </c>
      <c r="D2888" s="236" t="s">
        <v>18544</v>
      </c>
      <c r="E2888" s="301">
        <v>13795.8</v>
      </c>
      <c r="F2888" s="303">
        <v>42971</v>
      </c>
      <c r="G2888" s="301">
        <v>13795.8</v>
      </c>
      <c r="H2888" s="304">
        <f>Tabla13[[#This Row],[Importe]]-Tabla13[[#This Row],[Pagado]]</f>
        <v>0</v>
      </c>
      <c r="I2888" s="275" t="s">
        <v>15214</v>
      </c>
    </row>
    <row r="2889" spans="1:9" x14ac:dyDescent="0.25">
      <c r="A2889" s="299">
        <v>42971</v>
      </c>
      <c r="B2889" s="302" t="s">
        <v>26757</v>
      </c>
      <c r="C2889">
        <v>124861</v>
      </c>
      <c r="D2889" s="236" t="s">
        <v>15232</v>
      </c>
      <c r="E2889" s="301">
        <v>6963.6</v>
      </c>
      <c r="F2889" s="303">
        <v>42978</v>
      </c>
      <c r="G2889" s="301">
        <v>6963.6</v>
      </c>
      <c r="H2889" s="304">
        <f>Tabla13[[#This Row],[Importe]]-Tabla13[[#This Row],[Pagado]]</f>
        <v>0</v>
      </c>
      <c r="I2889" s="275" t="s">
        <v>15214</v>
      </c>
    </row>
    <row r="2890" spans="1:9" x14ac:dyDescent="0.25">
      <c r="A2890" s="299">
        <v>42971</v>
      </c>
      <c r="B2890" s="302" t="s">
        <v>26758</v>
      </c>
      <c r="C2890">
        <v>124862</v>
      </c>
      <c r="D2890" s="236" t="s">
        <v>15348</v>
      </c>
      <c r="E2890" s="301">
        <v>3420.9</v>
      </c>
      <c r="F2890" s="303">
        <v>42973</v>
      </c>
      <c r="G2890" s="301">
        <v>3420.9</v>
      </c>
      <c r="H2890" s="304">
        <f>Tabla13[[#This Row],[Importe]]-Tabla13[[#This Row],[Pagado]]</f>
        <v>0</v>
      </c>
      <c r="I2890" s="275" t="s">
        <v>15214</v>
      </c>
    </row>
    <row r="2891" spans="1:9" x14ac:dyDescent="0.25">
      <c r="A2891" s="299">
        <v>42971</v>
      </c>
      <c r="B2891" s="302" t="s">
        <v>26759</v>
      </c>
      <c r="C2891">
        <v>124863</v>
      </c>
      <c r="D2891" s="236" t="s">
        <v>15240</v>
      </c>
      <c r="E2891" s="301">
        <v>3406.8</v>
      </c>
      <c r="F2891" s="303">
        <v>42972</v>
      </c>
      <c r="G2891" s="301">
        <v>3406.8</v>
      </c>
      <c r="H2891" s="304">
        <f>Tabla13[[#This Row],[Importe]]-Tabla13[[#This Row],[Pagado]]</f>
        <v>0</v>
      </c>
      <c r="I2891" s="275" t="s">
        <v>15214</v>
      </c>
    </row>
    <row r="2892" spans="1:9" ht="15.75" x14ac:dyDescent="0.25">
      <c r="A2892" s="299">
        <v>42971</v>
      </c>
      <c r="B2892" s="302" t="s">
        <v>26760</v>
      </c>
      <c r="C2892">
        <v>124864</v>
      </c>
      <c r="D2892" s="248" t="s">
        <v>95</v>
      </c>
      <c r="E2892" s="301">
        <v>0</v>
      </c>
      <c r="F2892" s="243" t="s">
        <v>95</v>
      </c>
      <c r="G2892" s="301">
        <v>0</v>
      </c>
      <c r="H2892" s="304">
        <f>Tabla13[[#This Row],[Importe]]-Tabla13[[#This Row],[Pagado]]</f>
        <v>0</v>
      </c>
      <c r="I2892" s="275" t="s">
        <v>95</v>
      </c>
    </row>
    <row r="2893" spans="1:9" x14ac:dyDescent="0.25">
      <c r="A2893" s="299">
        <v>42971</v>
      </c>
      <c r="B2893" s="302" t="s">
        <v>26761</v>
      </c>
      <c r="C2893">
        <v>124865</v>
      </c>
      <c r="D2893" s="236" t="s">
        <v>15272</v>
      </c>
      <c r="E2893" s="301">
        <v>15927.6</v>
      </c>
      <c r="F2893" s="303">
        <v>42971</v>
      </c>
      <c r="G2893" s="301">
        <v>15927.6</v>
      </c>
      <c r="H2893" s="304">
        <f>Tabla13[[#This Row],[Importe]]-Tabla13[[#This Row],[Pagado]]</f>
        <v>0</v>
      </c>
      <c r="I2893" s="275" t="s">
        <v>15214</v>
      </c>
    </row>
    <row r="2894" spans="1:9" x14ac:dyDescent="0.25">
      <c r="A2894" s="299">
        <v>42971</v>
      </c>
      <c r="B2894" s="302" t="s">
        <v>26762</v>
      </c>
      <c r="C2894">
        <v>124866</v>
      </c>
      <c r="D2894" s="236" t="s">
        <v>15442</v>
      </c>
      <c r="E2894" s="301">
        <v>28089.599999999999</v>
      </c>
      <c r="F2894" s="303">
        <v>42977</v>
      </c>
      <c r="G2894" s="301">
        <v>28089.599999999999</v>
      </c>
      <c r="H2894" s="304">
        <f>Tabla13[[#This Row],[Importe]]-Tabla13[[#This Row],[Pagado]]</f>
        <v>0</v>
      </c>
      <c r="I2894" s="275" t="s">
        <v>15214</v>
      </c>
    </row>
    <row r="2895" spans="1:9" ht="15.75" x14ac:dyDescent="0.25">
      <c r="A2895" s="299">
        <v>42971</v>
      </c>
      <c r="B2895" s="302" t="s">
        <v>26763</v>
      </c>
      <c r="C2895">
        <v>124867</v>
      </c>
      <c r="D2895" s="248" t="s">
        <v>95</v>
      </c>
      <c r="E2895" s="301">
        <v>0</v>
      </c>
      <c r="F2895" s="243" t="s">
        <v>95</v>
      </c>
      <c r="G2895" s="301">
        <v>0</v>
      </c>
      <c r="H2895" s="304">
        <f>Tabla13[[#This Row],[Importe]]-Tabla13[[#This Row],[Pagado]]</f>
        <v>0</v>
      </c>
      <c r="I2895" s="275" t="s">
        <v>95</v>
      </c>
    </row>
    <row r="2896" spans="1:9" x14ac:dyDescent="0.25">
      <c r="A2896" s="299">
        <v>42971</v>
      </c>
      <c r="B2896" s="302" t="s">
        <v>26764</v>
      </c>
      <c r="C2896">
        <v>124868</v>
      </c>
      <c r="D2896" s="236" t="s">
        <v>15250</v>
      </c>
      <c r="E2896" s="301">
        <v>37882.5</v>
      </c>
      <c r="F2896" s="303">
        <v>42978</v>
      </c>
      <c r="G2896" s="301">
        <v>37882.5</v>
      </c>
      <c r="H2896" s="304">
        <f>Tabla13[[#This Row],[Importe]]-Tabla13[[#This Row],[Pagado]]</f>
        <v>0</v>
      </c>
      <c r="I2896" s="275" t="s">
        <v>15214</v>
      </c>
    </row>
    <row r="2897" spans="1:9" x14ac:dyDescent="0.25">
      <c r="A2897" s="299">
        <v>42971</v>
      </c>
      <c r="B2897" s="302" t="s">
        <v>26765</v>
      </c>
      <c r="C2897">
        <v>124869</v>
      </c>
      <c r="D2897" s="236" t="s">
        <v>15236</v>
      </c>
      <c r="E2897" s="301">
        <v>3419.4</v>
      </c>
      <c r="F2897" s="303">
        <v>42972</v>
      </c>
      <c r="G2897" s="301">
        <v>3419.4</v>
      </c>
      <c r="H2897" s="304">
        <f>Tabla13[[#This Row],[Importe]]-Tabla13[[#This Row],[Pagado]]</f>
        <v>0</v>
      </c>
      <c r="I2897" s="275" t="s">
        <v>15214</v>
      </c>
    </row>
    <row r="2898" spans="1:9" x14ac:dyDescent="0.25">
      <c r="A2898" s="299">
        <v>42971</v>
      </c>
      <c r="B2898" s="302" t="s">
        <v>26766</v>
      </c>
      <c r="C2898">
        <v>124870</v>
      </c>
      <c r="D2898" s="236" t="s">
        <v>15234</v>
      </c>
      <c r="E2898" s="301">
        <v>3353.8</v>
      </c>
      <c r="F2898" s="303">
        <v>42973</v>
      </c>
      <c r="G2898" s="301">
        <v>3353.8</v>
      </c>
      <c r="H2898" s="304">
        <f>Tabla13[[#This Row],[Importe]]-Tabla13[[#This Row],[Pagado]]</f>
        <v>0</v>
      </c>
      <c r="I2898" s="275" t="s">
        <v>15214</v>
      </c>
    </row>
    <row r="2899" spans="1:9" x14ac:dyDescent="0.25">
      <c r="A2899" s="299">
        <v>42971</v>
      </c>
      <c r="B2899" s="302" t="s">
        <v>26767</v>
      </c>
      <c r="C2899">
        <v>124871</v>
      </c>
      <c r="D2899" s="236" t="s">
        <v>5575</v>
      </c>
      <c r="E2899" s="301">
        <v>7565.52</v>
      </c>
      <c r="F2899" s="303">
        <v>42972</v>
      </c>
      <c r="G2899" s="301">
        <v>7565.52</v>
      </c>
      <c r="H2899" s="304">
        <f>Tabla13[[#This Row],[Importe]]-Tabla13[[#This Row],[Pagado]]</f>
        <v>0</v>
      </c>
      <c r="I2899" s="275" t="s">
        <v>15214</v>
      </c>
    </row>
    <row r="2900" spans="1:9" x14ac:dyDescent="0.25">
      <c r="A2900" s="299">
        <v>42971</v>
      </c>
      <c r="B2900" s="302" t="s">
        <v>26768</v>
      </c>
      <c r="C2900">
        <v>124872</v>
      </c>
      <c r="D2900" s="236" t="s">
        <v>15596</v>
      </c>
      <c r="E2900" s="301">
        <v>940</v>
      </c>
      <c r="F2900" s="303">
        <v>42971</v>
      </c>
      <c r="G2900" s="301">
        <v>940</v>
      </c>
      <c r="H2900" s="304">
        <f>Tabla13[[#This Row],[Importe]]-Tabla13[[#This Row],[Pagado]]</f>
        <v>0</v>
      </c>
      <c r="I2900" s="275" t="s">
        <v>15214</v>
      </c>
    </row>
    <row r="2901" spans="1:9" x14ac:dyDescent="0.25">
      <c r="A2901" s="299">
        <v>42971</v>
      </c>
      <c r="B2901" s="302" t="s">
        <v>26769</v>
      </c>
      <c r="C2901">
        <v>124873</v>
      </c>
      <c r="D2901" s="236" t="s">
        <v>15835</v>
      </c>
      <c r="E2901" s="301">
        <v>13300.8</v>
      </c>
      <c r="F2901" s="303">
        <v>42971</v>
      </c>
      <c r="G2901" s="301">
        <v>13300.8</v>
      </c>
      <c r="H2901" s="304">
        <f>Tabla13[[#This Row],[Importe]]-Tabla13[[#This Row],[Pagado]]</f>
        <v>0</v>
      </c>
      <c r="I2901" s="275" t="s">
        <v>15214</v>
      </c>
    </row>
    <row r="2902" spans="1:9" x14ac:dyDescent="0.25">
      <c r="A2902" s="299">
        <v>42971</v>
      </c>
      <c r="B2902" s="302" t="s">
        <v>26770</v>
      </c>
      <c r="C2902">
        <v>124874</v>
      </c>
      <c r="D2902" s="236" t="s">
        <v>15258</v>
      </c>
      <c r="E2902" s="301">
        <v>11340.6</v>
      </c>
      <c r="F2902" s="303">
        <v>42975</v>
      </c>
      <c r="G2902" s="301">
        <v>11340.6</v>
      </c>
      <c r="H2902" s="304">
        <f>Tabla13[[#This Row],[Importe]]-Tabla13[[#This Row],[Pagado]]</f>
        <v>0</v>
      </c>
      <c r="I2902" s="275" t="s">
        <v>15214</v>
      </c>
    </row>
    <row r="2903" spans="1:9" x14ac:dyDescent="0.25">
      <c r="A2903" s="299">
        <v>42971</v>
      </c>
      <c r="B2903" s="302" t="s">
        <v>26771</v>
      </c>
      <c r="C2903">
        <v>124875</v>
      </c>
      <c r="D2903" s="236" t="s">
        <v>15315</v>
      </c>
      <c r="E2903" s="301">
        <v>11848.4</v>
      </c>
      <c r="F2903" s="303">
        <v>42977</v>
      </c>
      <c r="G2903" s="301">
        <v>11848.4</v>
      </c>
      <c r="H2903" s="304">
        <f>Tabla13[[#This Row],[Importe]]-Tabla13[[#This Row],[Pagado]]</f>
        <v>0</v>
      </c>
      <c r="I2903" s="275" t="s">
        <v>15214</v>
      </c>
    </row>
    <row r="2904" spans="1:9" ht="30" x14ac:dyDescent="0.25">
      <c r="A2904" s="299">
        <v>42971</v>
      </c>
      <c r="B2904" s="302" t="s">
        <v>26772</v>
      </c>
      <c r="C2904">
        <v>124876</v>
      </c>
      <c r="D2904" s="236" t="s">
        <v>15223</v>
      </c>
      <c r="E2904" s="301">
        <v>47982</v>
      </c>
      <c r="F2904" s="266" t="s">
        <v>27698</v>
      </c>
      <c r="G2904" s="133">
        <f>26791.78+21190.22</f>
        <v>47982</v>
      </c>
      <c r="H2904" s="360">
        <f>Tabla13[[#This Row],[Importe]]-Tabla13[[#This Row],[Pagado]]</f>
        <v>0</v>
      </c>
      <c r="I2904" s="275" t="s">
        <v>15214</v>
      </c>
    </row>
    <row r="2905" spans="1:9" x14ac:dyDescent="0.25">
      <c r="A2905" s="299">
        <v>42971</v>
      </c>
      <c r="B2905" s="302" t="s">
        <v>26773</v>
      </c>
      <c r="C2905">
        <v>124877</v>
      </c>
      <c r="D2905" s="236" t="s">
        <v>15338</v>
      </c>
      <c r="E2905" s="301">
        <v>13359.8</v>
      </c>
      <c r="F2905" s="303">
        <v>42973</v>
      </c>
      <c r="G2905" s="301">
        <v>13359.8</v>
      </c>
      <c r="H2905" s="304">
        <f>Tabla13[[#This Row],[Importe]]-Tabla13[[#This Row],[Pagado]]</f>
        <v>0</v>
      </c>
      <c r="I2905" s="275" t="s">
        <v>15214</v>
      </c>
    </row>
    <row r="2906" spans="1:9" x14ac:dyDescent="0.25">
      <c r="A2906" s="299">
        <v>42971</v>
      </c>
      <c r="B2906" s="302" t="s">
        <v>26774</v>
      </c>
      <c r="C2906">
        <v>124878</v>
      </c>
      <c r="D2906" s="236" t="s">
        <v>15407</v>
      </c>
      <c r="E2906" s="301">
        <v>7080</v>
      </c>
      <c r="F2906" s="303">
        <v>42971</v>
      </c>
      <c r="G2906" s="301">
        <v>7080</v>
      </c>
      <c r="H2906" s="304">
        <f>Tabla13[[#This Row],[Importe]]-Tabla13[[#This Row],[Pagado]]</f>
        <v>0</v>
      </c>
      <c r="I2906" s="275" t="s">
        <v>15214</v>
      </c>
    </row>
    <row r="2907" spans="1:9" ht="15.75" x14ac:dyDescent="0.25">
      <c r="A2907" s="299">
        <v>42971</v>
      </c>
      <c r="B2907" s="302" t="s">
        <v>26775</v>
      </c>
      <c r="C2907">
        <v>124879</v>
      </c>
      <c r="D2907" s="248" t="s">
        <v>95</v>
      </c>
      <c r="E2907" s="301">
        <v>0</v>
      </c>
      <c r="F2907" s="243" t="s">
        <v>95</v>
      </c>
      <c r="G2907" s="301">
        <v>0</v>
      </c>
      <c r="H2907" s="304">
        <f>Tabla13[[#This Row],[Importe]]-Tabla13[[#This Row],[Pagado]]</f>
        <v>0</v>
      </c>
      <c r="I2907" s="275" t="s">
        <v>95</v>
      </c>
    </row>
    <row r="2908" spans="1:9" x14ac:dyDescent="0.25">
      <c r="A2908" s="299">
        <v>42971</v>
      </c>
      <c r="B2908" s="302" t="s">
        <v>26776</v>
      </c>
      <c r="C2908">
        <v>124880</v>
      </c>
      <c r="D2908" s="236" t="s">
        <v>15328</v>
      </c>
      <c r="E2908" s="301">
        <v>37063.21</v>
      </c>
      <c r="F2908" s="303">
        <v>42976</v>
      </c>
      <c r="G2908" s="301">
        <v>37063.21</v>
      </c>
      <c r="H2908" s="304">
        <f>Tabla13[[#This Row],[Importe]]-Tabla13[[#This Row],[Pagado]]</f>
        <v>0</v>
      </c>
      <c r="I2908" s="275" t="s">
        <v>15214</v>
      </c>
    </row>
    <row r="2909" spans="1:9" x14ac:dyDescent="0.25">
      <c r="A2909" s="299">
        <v>42971</v>
      </c>
      <c r="B2909" s="302" t="s">
        <v>26777</v>
      </c>
      <c r="C2909">
        <v>124881</v>
      </c>
      <c r="D2909" s="236" t="s">
        <v>15562</v>
      </c>
      <c r="E2909" s="301">
        <v>3400.8</v>
      </c>
      <c r="F2909" s="303">
        <v>42971</v>
      </c>
      <c r="G2909" s="301">
        <v>3400.8</v>
      </c>
      <c r="H2909" s="304">
        <f>Tabla13[[#This Row],[Importe]]-Tabla13[[#This Row],[Pagado]]</f>
        <v>0</v>
      </c>
      <c r="I2909" s="275" t="s">
        <v>15214</v>
      </c>
    </row>
    <row r="2910" spans="1:9" x14ac:dyDescent="0.25">
      <c r="A2910" s="299">
        <v>42971</v>
      </c>
      <c r="B2910" s="302" t="s">
        <v>26778</v>
      </c>
      <c r="C2910">
        <v>124882</v>
      </c>
      <c r="D2910" s="236" t="s">
        <v>15284</v>
      </c>
      <c r="E2910" s="301">
        <v>1063.3</v>
      </c>
      <c r="F2910" s="303">
        <v>42971</v>
      </c>
      <c r="G2910" s="301">
        <v>1063.3</v>
      </c>
      <c r="H2910" s="304">
        <f>Tabla13[[#This Row],[Importe]]-Tabla13[[#This Row],[Pagado]]</f>
        <v>0</v>
      </c>
      <c r="I2910" s="275" t="s">
        <v>15214</v>
      </c>
    </row>
    <row r="2911" spans="1:9" x14ac:dyDescent="0.25">
      <c r="A2911" s="299">
        <v>42971</v>
      </c>
      <c r="B2911" s="302" t="s">
        <v>26779</v>
      </c>
      <c r="C2911">
        <v>124883</v>
      </c>
      <c r="D2911" s="236" t="s">
        <v>15354</v>
      </c>
      <c r="E2911" s="301">
        <v>3498</v>
      </c>
      <c r="F2911" s="303">
        <v>42971</v>
      </c>
      <c r="G2911" s="301">
        <v>3498</v>
      </c>
      <c r="H2911" s="304">
        <f>Tabla13[[#This Row],[Importe]]-Tabla13[[#This Row],[Pagado]]</f>
        <v>0</v>
      </c>
      <c r="I2911" s="275" t="s">
        <v>15214</v>
      </c>
    </row>
    <row r="2912" spans="1:9" x14ac:dyDescent="0.25">
      <c r="A2912" s="299">
        <v>42971</v>
      </c>
      <c r="B2912" s="302" t="s">
        <v>26780</v>
      </c>
      <c r="C2912">
        <v>124884</v>
      </c>
      <c r="D2912" s="236" t="s">
        <v>15530</v>
      </c>
      <c r="E2912" s="301">
        <v>4528.6000000000004</v>
      </c>
      <c r="F2912" s="303">
        <v>42971</v>
      </c>
      <c r="G2912" s="301">
        <v>4528.6000000000004</v>
      </c>
      <c r="H2912" s="304">
        <f>Tabla13[[#This Row],[Importe]]-Tabla13[[#This Row],[Pagado]]</f>
        <v>0</v>
      </c>
      <c r="I2912" s="275" t="s">
        <v>15214</v>
      </c>
    </row>
    <row r="2913" spans="1:9" x14ac:dyDescent="0.25">
      <c r="A2913" s="299">
        <v>42971</v>
      </c>
      <c r="B2913" s="302" t="s">
        <v>26781</v>
      </c>
      <c r="C2913">
        <v>124885</v>
      </c>
      <c r="D2913" s="236" t="s">
        <v>15326</v>
      </c>
      <c r="E2913" s="301">
        <v>2661.6</v>
      </c>
      <c r="F2913" s="303">
        <v>42971</v>
      </c>
      <c r="G2913" s="301">
        <v>2661.6</v>
      </c>
      <c r="H2913" s="304">
        <f>Tabla13[[#This Row],[Importe]]-Tabla13[[#This Row],[Pagado]]</f>
        <v>0</v>
      </c>
      <c r="I2913" s="275" t="s">
        <v>15214</v>
      </c>
    </row>
    <row r="2914" spans="1:9" x14ac:dyDescent="0.25">
      <c r="A2914" s="299">
        <v>42971</v>
      </c>
      <c r="B2914" s="302" t="s">
        <v>26782</v>
      </c>
      <c r="C2914">
        <v>124886</v>
      </c>
      <c r="D2914" s="236" t="s">
        <v>15334</v>
      </c>
      <c r="E2914" s="301">
        <v>2470</v>
      </c>
      <c r="F2914" s="303">
        <v>42971</v>
      </c>
      <c r="G2914" s="301">
        <v>2470</v>
      </c>
      <c r="H2914" s="304">
        <f>Tabla13[[#This Row],[Importe]]-Tabla13[[#This Row],[Pagado]]</f>
        <v>0</v>
      </c>
      <c r="I2914" s="275" t="s">
        <v>15214</v>
      </c>
    </row>
    <row r="2915" spans="1:9" x14ac:dyDescent="0.25">
      <c r="A2915" s="299">
        <v>42971</v>
      </c>
      <c r="B2915" s="302" t="s">
        <v>26783</v>
      </c>
      <c r="C2915">
        <v>124887</v>
      </c>
      <c r="D2915" s="236" t="s">
        <v>15246</v>
      </c>
      <c r="E2915" s="301">
        <v>7568.8</v>
      </c>
      <c r="F2915" s="303">
        <v>42977</v>
      </c>
      <c r="G2915" s="301">
        <v>7568.8</v>
      </c>
      <c r="H2915" s="304">
        <f>Tabla13[[#This Row],[Importe]]-Tabla13[[#This Row],[Pagado]]</f>
        <v>0</v>
      </c>
      <c r="I2915" s="275" t="s">
        <v>15214</v>
      </c>
    </row>
    <row r="2916" spans="1:9" ht="15.75" x14ac:dyDescent="0.25">
      <c r="A2916" s="299">
        <v>42971</v>
      </c>
      <c r="B2916" s="302" t="s">
        <v>26784</v>
      </c>
      <c r="C2916">
        <v>124888</v>
      </c>
      <c r="D2916" s="248" t="s">
        <v>95</v>
      </c>
      <c r="E2916" s="301">
        <v>0</v>
      </c>
      <c r="F2916" s="243" t="s">
        <v>95</v>
      </c>
      <c r="G2916" s="301">
        <v>0</v>
      </c>
      <c r="H2916" s="304">
        <f>Tabla13[[#This Row],[Importe]]-Tabla13[[#This Row],[Pagado]]</f>
        <v>0</v>
      </c>
      <c r="I2916" s="275" t="s">
        <v>95</v>
      </c>
    </row>
    <row r="2917" spans="1:9" x14ac:dyDescent="0.25">
      <c r="A2917" s="299">
        <v>42971</v>
      </c>
      <c r="B2917" s="302" t="s">
        <v>26785</v>
      </c>
      <c r="C2917">
        <v>124889</v>
      </c>
      <c r="D2917" s="236" t="s">
        <v>15415</v>
      </c>
      <c r="E2917" s="301">
        <v>3386.4</v>
      </c>
      <c r="F2917" s="303">
        <v>42971</v>
      </c>
      <c r="G2917" s="301">
        <v>3386.4</v>
      </c>
      <c r="H2917" s="304">
        <f>Tabla13[[#This Row],[Importe]]-Tabla13[[#This Row],[Pagado]]</f>
        <v>0</v>
      </c>
      <c r="I2917" s="275" t="s">
        <v>15214</v>
      </c>
    </row>
    <row r="2918" spans="1:9" x14ac:dyDescent="0.25">
      <c r="A2918" s="299">
        <v>42971</v>
      </c>
      <c r="B2918" s="302" t="s">
        <v>26786</v>
      </c>
      <c r="C2918">
        <v>124890</v>
      </c>
      <c r="D2918" s="236" t="s">
        <v>15541</v>
      </c>
      <c r="E2918" s="301">
        <v>1296.5999999999999</v>
      </c>
      <c r="F2918" s="303">
        <v>42971</v>
      </c>
      <c r="G2918" s="301">
        <v>1296.5999999999999</v>
      </c>
      <c r="H2918" s="304">
        <f>Tabla13[[#This Row],[Importe]]-Tabla13[[#This Row],[Pagado]]</f>
        <v>0</v>
      </c>
      <c r="I2918" s="275" t="s">
        <v>15214</v>
      </c>
    </row>
    <row r="2919" spans="1:9" x14ac:dyDescent="0.25">
      <c r="A2919" s="299">
        <v>42971</v>
      </c>
      <c r="B2919" s="302" t="s">
        <v>26787</v>
      </c>
      <c r="C2919">
        <v>124891</v>
      </c>
      <c r="D2919" s="236" t="s">
        <v>23937</v>
      </c>
      <c r="E2919" s="301">
        <v>4229</v>
      </c>
      <c r="F2919" s="303">
        <v>42971</v>
      </c>
      <c r="G2919" s="301">
        <v>4229</v>
      </c>
      <c r="H2919" s="304">
        <f>Tabla13[[#This Row],[Importe]]-Tabla13[[#This Row],[Pagado]]</f>
        <v>0</v>
      </c>
      <c r="I2919" s="275" t="s">
        <v>15214</v>
      </c>
    </row>
    <row r="2920" spans="1:9" x14ac:dyDescent="0.25">
      <c r="A2920" s="299">
        <v>42971</v>
      </c>
      <c r="B2920" s="302" t="s">
        <v>26788</v>
      </c>
      <c r="C2920">
        <v>124892</v>
      </c>
      <c r="D2920" s="236" t="s">
        <v>15317</v>
      </c>
      <c r="E2920" s="301">
        <v>3860.8</v>
      </c>
      <c r="F2920" s="303">
        <v>42976</v>
      </c>
      <c r="G2920" s="301">
        <v>3860.8</v>
      </c>
      <c r="H2920" s="304">
        <f>Tabla13[[#This Row],[Importe]]-Tabla13[[#This Row],[Pagado]]</f>
        <v>0</v>
      </c>
      <c r="I2920" s="275" t="s">
        <v>15214</v>
      </c>
    </row>
    <row r="2921" spans="1:9" x14ac:dyDescent="0.25">
      <c r="A2921" s="299">
        <v>42971</v>
      </c>
      <c r="B2921" s="302" t="s">
        <v>26789</v>
      </c>
      <c r="C2921">
        <v>124893</v>
      </c>
      <c r="D2921" s="236" t="s">
        <v>15320</v>
      </c>
      <c r="E2921" s="301">
        <v>2223</v>
      </c>
      <c r="F2921" s="303">
        <v>42971</v>
      </c>
      <c r="G2921" s="301">
        <v>2223</v>
      </c>
      <c r="H2921" s="304">
        <f>Tabla13[[#This Row],[Importe]]-Tabla13[[#This Row],[Pagado]]</f>
        <v>0</v>
      </c>
      <c r="I2921" s="275" t="s">
        <v>15214</v>
      </c>
    </row>
    <row r="2922" spans="1:9" x14ac:dyDescent="0.25">
      <c r="A2922" s="299">
        <v>42971</v>
      </c>
      <c r="B2922" s="302" t="s">
        <v>26790</v>
      </c>
      <c r="C2922">
        <v>124894</v>
      </c>
      <c r="D2922" s="236" t="s">
        <v>15252</v>
      </c>
      <c r="E2922" s="301">
        <v>6077.7</v>
      </c>
      <c r="F2922" s="303">
        <v>42975</v>
      </c>
      <c r="G2922" s="301">
        <v>6077.7</v>
      </c>
      <c r="H2922" s="304">
        <f>Tabla13[[#This Row],[Importe]]-Tabla13[[#This Row],[Pagado]]</f>
        <v>0</v>
      </c>
      <c r="I2922" s="275" t="s">
        <v>15214</v>
      </c>
    </row>
    <row r="2923" spans="1:9" x14ac:dyDescent="0.25">
      <c r="A2923" s="299">
        <v>42971</v>
      </c>
      <c r="B2923" s="302" t="s">
        <v>26791</v>
      </c>
      <c r="C2923">
        <v>124895</v>
      </c>
      <c r="D2923" s="236" t="s">
        <v>15583</v>
      </c>
      <c r="E2923" s="301">
        <v>1462.8</v>
      </c>
      <c r="F2923" s="303">
        <v>42974</v>
      </c>
      <c r="G2923" s="301">
        <v>1462.8</v>
      </c>
      <c r="H2923" s="304">
        <f>Tabla13[[#This Row],[Importe]]-Tabla13[[#This Row],[Pagado]]</f>
        <v>0</v>
      </c>
      <c r="I2923" s="275" t="s">
        <v>15214</v>
      </c>
    </row>
    <row r="2924" spans="1:9" x14ac:dyDescent="0.25">
      <c r="A2924" s="299">
        <v>42971</v>
      </c>
      <c r="B2924" s="302" t="s">
        <v>26792</v>
      </c>
      <c r="C2924">
        <v>124896</v>
      </c>
      <c r="D2924" s="236" t="s">
        <v>15307</v>
      </c>
      <c r="E2924" s="301">
        <v>3310.2</v>
      </c>
      <c r="F2924" s="303">
        <v>42971</v>
      </c>
      <c r="G2924" s="301">
        <v>3310.2</v>
      </c>
      <c r="H2924" s="304">
        <f>Tabla13[[#This Row],[Importe]]-Tabla13[[#This Row],[Pagado]]</f>
        <v>0</v>
      </c>
      <c r="I2924" s="275" t="s">
        <v>15214</v>
      </c>
    </row>
    <row r="2925" spans="1:9" x14ac:dyDescent="0.25">
      <c r="A2925" s="299">
        <v>42971</v>
      </c>
      <c r="B2925" s="302" t="s">
        <v>26793</v>
      </c>
      <c r="C2925">
        <v>124897</v>
      </c>
      <c r="D2925" s="236" t="s">
        <v>15254</v>
      </c>
      <c r="E2925" s="301">
        <v>2242.6999999999998</v>
      </c>
      <c r="F2925" s="303">
        <v>42974</v>
      </c>
      <c r="G2925" s="301">
        <v>2242.6999999999998</v>
      </c>
      <c r="H2925" s="304">
        <f>Tabla13[[#This Row],[Importe]]-Tabla13[[#This Row],[Pagado]]</f>
        <v>0</v>
      </c>
      <c r="I2925" s="275" t="s">
        <v>15214</v>
      </c>
    </row>
    <row r="2926" spans="1:9" x14ac:dyDescent="0.25">
      <c r="A2926" s="299">
        <v>42971</v>
      </c>
      <c r="B2926" s="302" t="s">
        <v>26794</v>
      </c>
      <c r="C2926">
        <v>124898</v>
      </c>
      <c r="D2926" s="236" t="s">
        <v>15291</v>
      </c>
      <c r="E2926" s="301">
        <v>1264.3</v>
      </c>
      <c r="F2926" s="303">
        <v>42971</v>
      </c>
      <c r="G2926" s="301">
        <v>1264.3</v>
      </c>
      <c r="H2926" s="304">
        <f>Tabla13[[#This Row],[Importe]]-Tabla13[[#This Row],[Pagado]]</f>
        <v>0</v>
      </c>
      <c r="I2926" s="275" t="s">
        <v>15214</v>
      </c>
    </row>
    <row r="2927" spans="1:9" x14ac:dyDescent="0.25">
      <c r="A2927" s="299">
        <v>42971</v>
      </c>
      <c r="B2927" s="302" t="s">
        <v>26795</v>
      </c>
      <c r="C2927">
        <v>124899</v>
      </c>
      <c r="D2927" s="236" t="s">
        <v>15244</v>
      </c>
      <c r="E2927" s="301">
        <v>4420.8</v>
      </c>
      <c r="F2927" s="303">
        <v>42974</v>
      </c>
      <c r="G2927" s="301">
        <v>4420.8</v>
      </c>
      <c r="H2927" s="304">
        <f>Tabla13[[#This Row],[Importe]]-Tabla13[[#This Row],[Pagado]]</f>
        <v>0</v>
      </c>
      <c r="I2927" s="275" t="s">
        <v>15214</v>
      </c>
    </row>
    <row r="2928" spans="1:9" x14ac:dyDescent="0.25">
      <c r="A2928" s="299">
        <v>42971</v>
      </c>
      <c r="B2928" s="302" t="s">
        <v>26796</v>
      </c>
      <c r="C2928">
        <v>124900</v>
      </c>
      <c r="D2928" s="236" t="s">
        <v>15296</v>
      </c>
      <c r="E2928" s="301">
        <v>64058.400000000001</v>
      </c>
      <c r="F2928" s="303">
        <v>42978</v>
      </c>
      <c r="G2928" s="301">
        <v>64058.400000000001</v>
      </c>
      <c r="H2928" s="304">
        <f>Tabla13[[#This Row],[Importe]]-Tabla13[[#This Row],[Pagado]]</f>
        <v>0</v>
      </c>
      <c r="I2928" s="275" t="s">
        <v>15214</v>
      </c>
    </row>
    <row r="2929" spans="1:9" x14ac:dyDescent="0.25">
      <c r="A2929" s="299">
        <v>42971</v>
      </c>
      <c r="B2929" s="302" t="s">
        <v>26797</v>
      </c>
      <c r="C2929">
        <v>124901</v>
      </c>
      <c r="D2929" s="236" t="s">
        <v>16522</v>
      </c>
      <c r="E2929" s="301">
        <v>1029.5999999999999</v>
      </c>
      <c r="F2929" s="303">
        <v>43042</v>
      </c>
      <c r="G2929" s="301">
        <v>1029.5999999999999</v>
      </c>
      <c r="H2929" s="304">
        <f>Tabla13[[#This Row],[Importe]]-Tabla13[[#This Row],[Pagado]]</f>
        <v>0</v>
      </c>
      <c r="I2929" s="275" t="s">
        <v>15214</v>
      </c>
    </row>
    <row r="2930" spans="1:9" x14ac:dyDescent="0.25">
      <c r="A2930" s="299">
        <v>42971</v>
      </c>
      <c r="B2930" s="302" t="s">
        <v>26798</v>
      </c>
      <c r="C2930">
        <v>124902</v>
      </c>
      <c r="D2930" s="236" t="s">
        <v>17235</v>
      </c>
      <c r="E2930" s="301">
        <v>1519</v>
      </c>
      <c r="F2930" s="303">
        <v>42971</v>
      </c>
      <c r="G2930" s="301">
        <v>1519</v>
      </c>
      <c r="H2930" s="304">
        <f>Tabla13[[#This Row],[Importe]]-Tabla13[[#This Row],[Pagado]]</f>
        <v>0</v>
      </c>
      <c r="I2930" s="275" t="s">
        <v>15214</v>
      </c>
    </row>
    <row r="2931" spans="1:9" x14ac:dyDescent="0.25">
      <c r="A2931" s="299">
        <v>42971</v>
      </c>
      <c r="B2931" s="302" t="s">
        <v>26799</v>
      </c>
      <c r="C2931">
        <v>124903</v>
      </c>
      <c r="D2931" s="236" t="s">
        <v>15280</v>
      </c>
      <c r="E2931" s="301">
        <v>6552.4</v>
      </c>
      <c r="F2931" s="303">
        <v>42971</v>
      </c>
      <c r="G2931" s="301">
        <v>6552.4</v>
      </c>
      <c r="H2931" s="304">
        <f>Tabla13[[#This Row],[Importe]]-Tabla13[[#This Row],[Pagado]]</f>
        <v>0</v>
      </c>
      <c r="I2931" s="275" t="s">
        <v>15214</v>
      </c>
    </row>
    <row r="2932" spans="1:9" x14ac:dyDescent="0.25">
      <c r="A2932" s="299">
        <v>42971</v>
      </c>
      <c r="B2932" s="302" t="s">
        <v>26800</v>
      </c>
      <c r="C2932">
        <v>124904</v>
      </c>
      <c r="D2932" s="236" t="s">
        <v>15309</v>
      </c>
      <c r="E2932" s="301">
        <v>16280.6</v>
      </c>
      <c r="F2932" s="303">
        <v>42971</v>
      </c>
      <c r="G2932" s="301">
        <v>16280.6</v>
      </c>
      <c r="H2932" s="304">
        <f>Tabla13[[#This Row],[Importe]]-Tabla13[[#This Row],[Pagado]]</f>
        <v>0</v>
      </c>
      <c r="I2932" s="275" t="s">
        <v>15214</v>
      </c>
    </row>
    <row r="2933" spans="1:9" x14ac:dyDescent="0.25">
      <c r="A2933" s="299">
        <v>42971</v>
      </c>
      <c r="B2933" s="302" t="s">
        <v>26801</v>
      </c>
      <c r="C2933">
        <v>124905</v>
      </c>
      <c r="D2933" s="236" t="s">
        <v>15415</v>
      </c>
      <c r="E2933" s="301">
        <v>1869.8</v>
      </c>
      <c r="F2933" s="303">
        <v>42971</v>
      </c>
      <c r="G2933" s="301">
        <v>1869.8</v>
      </c>
      <c r="H2933" s="304">
        <f>Tabla13[[#This Row],[Importe]]-Tabla13[[#This Row],[Pagado]]</f>
        <v>0</v>
      </c>
      <c r="I2933" s="275" t="s">
        <v>15214</v>
      </c>
    </row>
    <row r="2934" spans="1:9" x14ac:dyDescent="0.25">
      <c r="A2934" s="299">
        <v>42971</v>
      </c>
      <c r="B2934" s="302" t="s">
        <v>26802</v>
      </c>
      <c r="C2934">
        <v>124906</v>
      </c>
      <c r="D2934" s="236" t="s">
        <v>15305</v>
      </c>
      <c r="E2934" s="301">
        <v>858.4</v>
      </c>
      <c r="F2934" s="303">
        <v>42971</v>
      </c>
      <c r="G2934" s="301">
        <v>858.4</v>
      </c>
      <c r="H2934" s="304">
        <f>Tabla13[[#This Row],[Importe]]-Tabla13[[#This Row],[Pagado]]</f>
        <v>0</v>
      </c>
      <c r="I2934" s="275" t="s">
        <v>15214</v>
      </c>
    </row>
    <row r="2935" spans="1:9" x14ac:dyDescent="0.25">
      <c r="A2935" s="299">
        <v>42971</v>
      </c>
      <c r="B2935" s="302" t="s">
        <v>26803</v>
      </c>
      <c r="C2935">
        <v>124907</v>
      </c>
      <c r="D2935" s="236" t="s">
        <v>15748</v>
      </c>
      <c r="E2935" s="301">
        <v>1454.4</v>
      </c>
      <c r="F2935" s="303">
        <v>42977</v>
      </c>
      <c r="G2935" s="301">
        <v>1454.4</v>
      </c>
      <c r="H2935" s="304">
        <f>Tabla13[[#This Row],[Importe]]-Tabla13[[#This Row],[Pagado]]</f>
        <v>0</v>
      </c>
      <c r="I2935" s="275" t="s">
        <v>15214</v>
      </c>
    </row>
    <row r="2936" spans="1:9" x14ac:dyDescent="0.25">
      <c r="A2936" s="299">
        <v>42971</v>
      </c>
      <c r="B2936" s="302" t="s">
        <v>26804</v>
      </c>
      <c r="C2936">
        <v>124908</v>
      </c>
      <c r="D2936" s="236" t="s">
        <v>15748</v>
      </c>
      <c r="E2936" s="301">
        <v>1254.4000000000001</v>
      </c>
      <c r="F2936" s="303">
        <v>42971</v>
      </c>
      <c r="G2936" s="301">
        <v>1254.4000000000001</v>
      </c>
      <c r="H2936" s="304">
        <f>Tabla13[[#This Row],[Importe]]-Tabla13[[#This Row],[Pagado]]</f>
        <v>0</v>
      </c>
      <c r="I2936" s="275" t="s">
        <v>15214</v>
      </c>
    </row>
    <row r="2937" spans="1:9" x14ac:dyDescent="0.25">
      <c r="A2937" s="299">
        <v>42971</v>
      </c>
      <c r="B2937" s="302" t="s">
        <v>26805</v>
      </c>
      <c r="C2937">
        <v>124909</v>
      </c>
      <c r="D2937" s="236" t="s">
        <v>15311</v>
      </c>
      <c r="E2937" s="301">
        <v>1965.6</v>
      </c>
      <c r="F2937" s="303">
        <v>42971</v>
      </c>
      <c r="G2937" s="301">
        <v>1965.6</v>
      </c>
      <c r="H2937" s="304">
        <f>Tabla13[[#This Row],[Importe]]-Tabla13[[#This Row],[Pagado]]</f>
        <v>0</v>
      </c>
      <c r="I2937" s="275" t="s">
        <v>15214</v>
      </c>
    </row>
    <row r="2938" spans="1:9" x14ac:dyDescent="0.25">
      <c r="A2938" s="299">
        <v>42971</v>
      </c>
      <c r="B2938" s="302" t="s">
        <v>26806</v>
      </c>
      <c r="C2938">
        <v>124910</v>
      </c>
      <c r="D2938" s="236" t="s">
        <v>23206</v>
      </c>
      <c r="E2938" s="301">
        <v>6696</v>
      </c>
      <c r="F2938" s="303">
        <v>42971</v>
      </c>
      <c r="G2938" s="301">
        <v>6696</v>
      </c>
      <c r="H2938" s="304">
        <f>Tabla13[[#This Row],[Importe]]-Tabla13[[#This Row],[Pagado]]</f>
        <v>0</v>
      </c>
      <c r="I2938" s="275" t="s">
        <v>15214</v>
      </c>
    </row>
    <row r="2939" spans="1:9" x14ac:dyDescent="0.25">
      <c r="A2939" s="299">
        <v>42971</v>
      </c>
      <c r="B2939" s="302" t="s">
        <v>26807</v>
      </c>
      <c r="C2939">
        <v>124911</v>
      </c>
      <c r="D2939" s="236" t="s">
        <v>23218</v>
      </c>
      <c r="E2939" s="301">
        <v>3489</v>
      </c>
      <c r="F2939" s="303">
        <v>42971</v>
      </c>
      <c r="G2939" s="301">
        <v>3489</v>
      </c>
      <c r="H2939" s="304">
        <f>Tabla13[[#This Row],[Importe]]-Tabla13[[#This Row],[Pagado]]</f>
        <v>0</v>
      </c>
      <c r="I2939" s="275" t="s">
        <v>15214</v>
      </c>
    </row>
    <row r="2940" spans="1:9" x14ac:dyDescent="0.25">
      <c r="A2940" s="299">
        <v>42971</v>
      </c>
      <c r="B2940" s="302" t="s">
        <v>26808</v>
      </c>
      <c r="C2940">
        <v>124912</v>
      </c>
      <c r="D2940" s="236" t="s">
        <v>17462</v>
      </c>
      <c r="E2940" s="301">
        <v>266</v>
      </c>
      <c r="F2940" s="303">
        <v>42971</v>
      </c>
      <c r="G2940" s="301">
        <v>266</v>
      </c>
      <c r="H2940" s="304">
        <f>Tabla13[[#This Row],[Importe]]-Tabla13[[#This Row],[Pagado]]</f>
        <v>0</v>
      </c>
      <c r="I2940" s="275" t="s">
        <v>15214</v>
      </c>
    </row>
    <row r="2941" spans="1:9" x14ac:dyDescent="0.25">
      <c r="A2941" s="299">
        <v>42971</v>
      </c>
      <c r="B2941" s="302" t="s">
        <v>26809</v>
      </c>
      <c r="C2941">
        <v>124913</v>
      </c>
      <c r="D2941" s="236" t="s">
        <v>23215</v>
      </c>
      <c r="E2941" s="301">
        <v>4496.8</v>
      </c>
      <c r="F2941" s="303">
        <v>42971</v>
      </c>
      <c r="G2941" s="301">
        <v>4496.8</v>
      </c>
      <c r="H2941" s="304">
        <f>Tabla13[[#This Row],[Importe]]-Tabla13[[#This Row],[Pagado]]</f>
        <v>0</v>
      </c>
      <c r="I2941" s="275" t="s">
        <v>15214</v>
      </c>
    </row>
    <row r="2942" spans="1:9" x14ac:dyDescent="0.25">
      <c r="A2942" s="299">
        <v>42971</v>
      </c>
      <c r="B2942" s="302" t="s">
        <v>26810</v>
      </c>
      <c r="C2942">
        <v>124914</v>
      </c>
      <c r="D2942" s="236" t="s">
        <v>15987</v>
      </c>
      <c r="E2942" s="301">
        <v>864</v>
      </c>
      <c r="F2942" s="303">
        <v>42971</v>
      </c>
      <c r="G2942" s="301">
        <v>864</v>
      </c>
      <c r="H2942" s="304">
        <f>Tabla13[[#This Row],[Importe]]-Tabla13[[#This Row],[Pagado]]</f>
        <v>0</v>
      </c>
      <c r="I2942" s="275" t="s">
        <v>15214</v>
      </c>
    </row>
    <row r="2943" spans="1:9" x14ac:dyDescent="0.25">
      <c r="A2943" s="299">
        <v>42971</v>
      </c>
      <c r="B2943" s="302" t="s">
        <v>26811</v>
      </c>
      <c r="C2943">
        <v>124915</v>
      </c>
      <c r="D2943" s="236" t="s">
        <v>15378</v>
      </c>
      <c r="E2943" s="301">
        <v>1029.4000000000001</v>
      </c>
      <c r="F2943" s="303">
        <v>42971</v>
      </c>
      <c r="G2943" s="301">
        <v>1029.4000000000001</v>
      </c>
      <c r="H2943" s="304">
        <f>Tabla13[[#This Row],[Importe]]-Tabla13[[#This Row],[Pagado]]</f>
        <v>0</v>
      </c>
      <c r="I2943" s="275" t="s">
        <v>15214</v>
      </c>
    </row>
    <row r="2944" spans="1:9" ht="30" x14ac:dyDescent="0.25">
      <c r="A2944" s="299">
        <v>42971</v>
      </c>
      <c r="B2944" s="302" t="s">
        <v>26812</v>
      </c>
      <c r="C2944">
        <v>124916</v>
      </c>
      <c r="D2944" s="236" t="s">
        <v>16126</v>
      </c>
      <c r="E2944" s="301">
        <v>6380.3</v>
      </c>
      <c r="F2944" s="303" t="s">
        <v>26813</v>
      </c>
      <c r="G2944" s="305">
        <f>6270.3+110</f>
        <v>6380.3</v>
      </c>
      <c r="H2944" s="304">
        <f>Tabla13[[#This Row],[Importe]]-Tabla13[[#This Row],[Pagado]]</f>
        <v>0</v>
      </c>
      <c r="I2944" s="275" t="s">
        <v>15214</v>
      </c>
    </row>
    <row r="2945" spans="1:9" x14ac:dyDescent="0.25">
      <c r="A2945" s="299">
        <v>42971</v>
      </c>
      <c r="B2945" s="302" t="s">
        <v>26814</v>
      </c>
      <c r="C2945">
        <v>124917</v>
      </c>
      <c r="D2945" s="236" t="s">
        <v>15284</v>
      </c>
      <c r="E2945" s="301">
        <v>1021.4</v>
      </c>
      <c r="F2945" s="303">
        <v>42971</v>
      </c>
      <c r="G2945" s="301">
        <v>1021.4</v>
      </c>
      <c r="H2945" s="304">
        <f>Tabla13[[#This Row],[Importe]]-Tabla13[[#This Row],[Pagado]]</f>
        <v>0</v>
      </c>
      <c r="I2945" s="275" t="s">
        <v>15214</v>
      </c>
    </row>
    <row r="2946" spans="1:9" x14ac:dyDescent="0.25">
      <c r="A2946" s="299">
        <v>42971</v>
      </c>
      <c r="B2946" s="302" t="s">
        <v>26815</v>
      </c>
      <c r="C2946">
        <v>124918</v>
      </c>
      <c r="D2946" s="236" t="s">
        <v>15523</v>
      </c>
      <c r="E2946" s="301">
        <v>1410</v>
      </c>
      <c r="F2946" s="303">
        <v>42971</v>
      </c>
      <c r="G2946" s="301">
        <v>1410</v>
      </c>
      <c r="H2946" s="304">
        <f>Tabla13[[#This Row],[Importe]]-Tabla13[[#This Row],[Pagado]]</f>
        <v>0</v>
      </c>
      <c r="I2946" s="275" t="s">
        <v>15214</v>
      </c>
    </row>
    <row r="2947" spans="1:9" x14ac:dyDescent="0.25">
      <c r="A2947" s="299">
        <v>42971</v>
      </c>
      <c r="B2947" s="302" t="s">
        <v>26816</v>
      </c>
      <c r="C2947">
        <v>124919</v>
      </c>
      <c r="D2947" s="236" t="s">
        <v>15326</v>
      </c>
      <c r="E2947" s="301">
        <v>5219.3</v>
      </c>
      <c r="F2947" s="303">
        <v>42971</v>
      </c>
      <c r="G2947" s="301">
        <v>5219.3</v>
      </c>
      <c r="H2947" s="304">
        <f>Tabla13[[#This Row],[Importe]]-Tabla13[[#This Row],[Pagado]]</f>
        <v>0</v>
      </c>
      <c r="I2947" s="275" t="s">
        <v>15214</v>
      </c>
    </row>
    <row r="2948" spans="1:9" x14ac:dyDescent="0.25">
      <c r="A2948" s="299">
        <v>42971</v>
      </c>
      <c r="B2948" s="302" t="s">
        <v>26817</v>
      </c>
      <c r="C2948">
        <v>124920</v>
      </c>
      <c r="D2948" s="236" t="s">
        <v>15387</v>
      </c>
      <c r="E2948" s="301">
        <v>1444.32</v>
      </c>
      <c r="F2948" s="303">
        <v>42971</v>
      </c>
      <c r="G2948" s="301">
        <v>1444.32</v>
      </c>
      <c r="H2948" s="304">
        <f>Tabla13[[#This Row],[Importe]]-Tabla13[[#This Row],[Pagado]]</f>
        <v>0</v>
      </c>
      <c r="I2948" s="275" t="s">
        <v>15214</v>
      </c>
    </row>
    <row r="2949" spans="1:9" x14ac:dyDescent="0.25">
      <c r="A2949" s="299">
        <v>42971</v>
      </c>
      <c r="B2949" s="302" t="s">
        <v>26818</v>
      </c>
      <c r="C2949">
        <v>124921</v>
      </c>
      <c r="D2949" s="236" t="s">
        <v>16338</v>
      </c>
      <c r="E2949" s="301">
        <v>49982.400000000001</v>
      </c>
      <c r="F2949" s="303">
        <v>42971</v>
      </c>
      <c r="G2949" s="301">
        <v>49982.400000000001</v>
      </c>
      <c r="H2949" s="304">
        <f>Tabla13[[#This Row],[Importe]]-Tabla13[[#This Row],[Pagado]]</f>
        <v>0</v>
      </c>
      <c r="I2949" s="275" t="s">
        <v>15214</v>
      </c>
    </row>
    <row r="2950" spans="1:9" x14ac:dyDescent="0.25">
      <c r="A2950" s="299">
        <v>42971</v>
      </c>
      <c r="B2950" s="302" t="s">
        <v>26819</v>
      </c>
      <c r="C2950">
        <v>124922</v>
      </c>
      <c r="D2950" s="236" t="s">
        <v>16171</v>
      </c>
      <c r="E2950" s="301">
        <v>1171.32</v>
      </c>
      <c r="F2950" s="303">
        <v>42971</v>
      </c>
      <c r="G2950" s="301">
        <v>1171.32</v>
      </c>
      <c r="H2950" s="304">
        <f>Tabla13[[#This Row],[Importe]]-Tabla13[[#This Row],[Pagado]]</f>
        <v>0</v>
      </c>
      <c r="I2950" s="275" t="s">
        <v>15214</v>
      </c>
    </row>
    <row r="2951" spans="1:9" x14ac:dyDescent="0.25">
      <c r="A2951" s="299">
        <v>42971</v>
      </c>
      <c r="B2951" s="302" t="s">
        <v>26820</v>
      </c>
      <c r="C2951">
        <v>124923</v>
      </c>
      <c r="D2951" s="236" t="s">
        <v>15858</v>
      </c>
      <c r="E2951" s="301">
        <v>4685.28</v>
      </c>
      <c r="F2951" s="303">
        <v>42971</v>
      </c>
      <c r="G2951" s="301">
        <v>4685.28</v>
      </c>
      <c r="H2951" s="304">
        <f>Tabla13[[#This Row],[Importe]]-Tabla13[[#This Row],[Pagado]]</f>
        <v>0</v>
      </c>
      <c r="I2951" s="275" t="s">
        <v>15214</v>
      </c>
    </row>
    <row r="2952" spans="1:9" x14ac:dyDescent="0.25">
      <c r="A2952" s="299">
        <v>42971</v>
      </c>
      <c r="B2952" s="302" t="s">
        <v>26821</v>
      </c>
      <c r="C2952">
        <v>124924</v>
      </c>
      <c r="D2952" s="236" t="s">
        <v>15861</v>
      </c>
      <c r="E2952" s="301">
        <v>3038.2</v>
      </c>
      <c r="F2952" s="303">
        <v>42971</v>
      </c>
      <c r="G2952" s="301">
        <v>3038.2</v>
      </c>
      <c r="H2952" s="304">
        <f>Tabla13[[#This Row],[Importe]]-Tabla13[[#This Row],[Pagado]]</f>
        <v>0</v>
      </c>
      <c r="I2952" s="275" t="s">
        <v>15214</v>
      </c>
    </row>
    <row r="2953" spans="1:9" x14ac:dyDescent="0.25">
      <c r="A2953" s="299">
        <v>42971</v>
      </c>
      <c r="B2953" s="302" t="s">
        <v>26822</v>
      </c>
      <c r="C2953">
        <v>124925</v>
      </c>
      <c r="D2953" s="236" t="s">
        <v>15577</v>
      </c>
      <c r="E2953" s="301">
        <v>903</v>
      </c>
      <c r="F2953" s="303">
        <v>42971</v>
      </c>
      <c r="G2953" s="301">
        <v>903</v>
      </c>
      <c r="H2953" s="304">
        <f>Tabla13[[#This Row],[Importe]]-Tabla13[[#This Row],[Pagado]]</f>
        <v>0</v>
      </c>
      <c r="I2953" s="275" t="s">
        <v>15214</v>
      </c>
    </row>
    <row r="2954" spans="1:9" x14ac:dyDescent="0.25">
      <c r="A2954" s="299">
        <v>42971</v>
      </c>
      <c r="B2954" s="302" t="s">
        <v>26823</v>
      </c>
      <c r="C2954">
        <v>124926</v>
      </c>
      <c r="D2954" s="236" t="s">
        <v>15358</v>
      </c>
      <c r="E2954" s="301">
        <v>1826.2</v>
      </c>
      <c r="F2954" s="303">
        <v>42971</v>
      </c>
      <c r="G2954" s="301">
        <v>1826.2</v>
      </c>
      <c r="H2954" s="304">
        <f>Tabla13[[#This Row],[Importe]]-Tabla13[[#This Row],[Pagado]]</f>
        <v>0</v>
      </c>
      <c r="I2954" s="275" t="s">
        <v>15214</v>
      </c>
    </row>
    <row r="2955" spans="1:9" x14ac:dyDescent="0.25">
      <c r="A2955" s="299">
        <v>42971</v>
      </c>
      <c r="B2955" s="302" t="s">
        <v>26824</v>
      </c>
      <c r="C2955">
        <v>124927</v>
      </c>
      <c r="D2955" s="236" t="s">
        <v>17210</v>
      </c>
      <c r="E2955" s="301">
        <v>4929.3999999999996</v>
      </c>
      <c r="F2955" s="303">
        <v>42971</v>
      </c>
      <c r="G2955" s="301">
        <v>4929.3999999999996</v>
      </c>
      <c r="H2955" s="304">
        <f>Tabla13[[#This Row],[Importe]]-Tabla13[[#This Row],[Pagado]]</f>
        <v>0</v>
      </c>
      <c r="I2955" s="275" t="s">
        <v>15214</v>
      </c>
    </row>
    <row r="2956" spans="1:9" x14ac:dyDescent="0.25">
      <c r="A2956" s="299">
        <v>42971</v>
      </c>
      <c r="B2956" s="302" t="s">
        <v>26825</v>
      </c>
      <c r="C2956">
        <v>124928</v>
      </c>
      <c r="D2956" s="236" t="s">
        <v>15526</v>
      </c>
      <c r="E2956" s="301">
        <v>4008.2</v>
      </c>
      <c r="F2956" s="303">
        <v>42971</v>
      </c>
      <c r="G2956" s="301">
        <v>4008.2</v>
      </c>
      <c r="H2956" s="304">
        <f>Tabla13[[#This Row],[Importe]]-Tabla13[[#This Row],[Pagado]]</f>
        <v>0</v>
      </c>
      <c r="I2956" s="275" t="s">
        <v>15214</v>
      </c>
    </row>
    <row r="2957" spans="1:9" x14ac:dyDescent="0.25">
      <c r="A2957" s="299">
        <v>42971</v>
      </c>
      <c r="B2957" s="302" t="s">
        <v>26826</v>
      </c>
      <c r="C2957">
        <v>124929</v>
      </c>
      <c r="D2957" s="236" t="s">
        <v>15725</v>
      </c>
      <c r="E2957" s="301">
        <v>26107.4</v>
      </c>
      <c r="F2957" s="303">
        <v>42974</v>
      </c>
      <c r="G2957" s="301">
        <v>26107.4</v>
      </c>
      <c r="H2957" s="304">
        <f>Tabla13[[#This Row],[Importe]]-Tabla13[[#This Row],[Pagado]]</f>
        <v>0</v>
      </c>
      <c r="I2957" s="275" t="s">
        <v>15214</v>
      </c>
    </row>
    <row r="2958" spans="1:9" x14ac:dyDescent="0.25">
      <c r="A2958" s="299">
        <v>42971</v>
      </c>
      <c r="B2958" s="302" t="s">
        <v>26827</v>
      </c>
      <c r="C2958">
        <v>124930</v>
      </c>
      <c r="D2958" s="236" t="s">
        <v>15267</v>
      </c>
      <c r="E2958" s="301">
        <v>3744</v>
      </c>
      <c r="F2958" s="303">
        <v>42971</v>
      </c>
      <c r="G2958" s="301">
        <v>3744</v>
      </c>
      <c r="H2958" s="304">
        <f>Tabla13[[#This Row],[Importe]]-Tabla13[[#This Row],[Pagado]]</f>
        <v>0</v>
      </c>
      <c r="I2958" s="275" t="s">
        <v>15214</v>
      </c>
    </row>
    <row r="2959" spans="1:9" x14ac:dyDescent="0.25">
      <c r="A2959" s="299">
        <v>42971</v>
      </c>
      <c r="B2959" s="302" t="s">
        <v>26828</v>
      </c>
      <c r="C2959">
        <v>124931</v>
      </c>
      <c r="D2959" s="236" t="s">
        <v>15344</v>
      </c>
      <c r="E2959" s="301">
        <v>3234</v>
      </c>
      <c r="F2959" s="303">
        <v>42971</v>
      </c>
      <c r="G2959" s="301">
        <v>3234</v>
      </c>
      <c r="H2959" s="304">
        <f>Tabla13[[#This Row],[Importe]]-Tabla13[[#This Row],[Pagado]]</f>
        <v>0</v>
      </c>
      <c r="I2959" s="275" t="s">
        <v>15214</v>
      </c>
    </row>
    <row r="2960" spans="1:9" x14ac:dyDescent="0.25">
      <c r="A2960" s="299">
        <v>42971</v>
      </c>
      <c r="B2960" s="302" t="s">
        <v>26829</v>
      </c>
      <c r="C2960">
        <v>124932</v>
      </c>
      <c r="D2960" s="236" t="s">
        <v>15324</v>
      </c>
      <c r="E2960" s="301">
        <v>1671.5</v>
      </c>
      <c r="F2960" s="303">
        <v>42971</v>
      </c>
      <c r="G2960" s="301">
        <v>1671.5</v>
      </c>
      <c r="H2960" s="304">
        <f>Tabla13[[#This Row],[Importe]]-Tabla13[[#This Row],[Pagado]]</f>
        <v>0</v>
      </c>
      <c r="I2960" s="275" t="s">
        <v>15214</v>
      </c>
    </row>
    <row r="2961" spans="1:9" x14ac:dyDescent="0.25">
      <c r="A2961" s="299">
        <v>42971</v>
      </c>
      <c r="B2961" s="302" t="s">
        <v>26830</v>
      </c>
      <c r="C2961">
        <v>124933</v>
      </c>
      <c r="D2961" s="236" t="s">
        <v>15332</v>
      </c>
      <c r="E2961" s="301">
        <v>4320</v>
      </c>
      <c r="F2961" s="303">
        <v>42971</v>
      </c>
      <c r="G2961" s="301">
        <v>4320</v>
      </c>
      <c r="H2961" s="304">
        <f>Tabla13[[#This Row],[Importe]]-Tabla13[[#This Row],[Pagado]]</f>
        <v>0</v>
      </c>
      <c r="I2961" s="275" t="s">
        <v>15214</v>
      </c>
    </row>
    <row r="2962" spans="1:9" x14ac:dyDescent="0.25">
      <c r="A2962" s="299">
        <v>42971</v>
      </c>
      <c r="B2962" s="302" t="s">
        <v>26831</v>
      </c>
      <c r="C2962">
        <v>124934</v>
      </c>
      <c r="D2962" s="236" t="s">
        <v>17708</v>
      </c>
      <c r="E2962" s="301">
        <v>3896.94</v>
      </c>
      <c r="F2962" s="303">
        <v>42971</v>
      </c>
      <c r="G2962" s="301">
        <v>3896.94</v>
      </c>
      <c r="H2962" s="304">
        <f>Tabla13[[#This Row],[Importe]]-Tabla13[[#This Row],[Pagado]]</f>
        <v>0</v>
      </c>
      <c r="I2962" s="275" t="s">
        <v>15214</v>
      </c>
    </row>
    <row r="2963" spans="1:9" ht="15.75" x14ac:dyDescent="0.25">
      <c r="A2963" s="299">
        <v>42971</v>
      </c>
      <c r="B2963" s="302" t="s">
        <v>26832</v>
      </c>
      <c r="C2963">
        <v>124935</v>
      </c>
      <c r="D2963" s="248" t="s">
        <v>95</v>
      </c>
      <c r="E2963" s="301">
        <v>0</v>
      </c>
      <c r="F2963" s="243" t="s">
        <v>95</v>
      </c>
      <c r="G2963" s="301">
        <v>0</v>
      </c>
      <c r="H2963" s="304">
        <f>Tabla13[[#This Row],[Importe]]-Tabla13[[#This Row],[Pagado]]</f>
        <v>0</v>
      </c>
      <c r="I2963" s="275" t="s">
        <v>95</v>
      </c>
    </row>
    <row r="2964" spans="1:9" x14ac:dyDescent="0.25">
      <c r="A2964" s="299">
        <v>42971</v>
      </c>
      <c r="B2964" s="302" t="s">
        <v>26833</v>
      </c>
      <c r="C2964">
        <v>124936</v>
      </c>
      <c r="D2964" s="236" t="s">
        <v>19768</v>
      </c>
      <c r="E2964" s="301">
        <v>1630</v>
      </c>
      <c r="F2964" s="303">
        <v>42971</v>
      </c>
      <c r="G2964" s="301">
        <v>1630</v>
      </c>
      <c r="H2964" s="304">
        <f>Tabla13[[#This Row],[Importe]]-Tabla13[[#This Row],[Pagado]]</f>
        <v>0</v>
      </c>
      <c r="I2964" s="275" t="s">
        <v>15214</v>
      </c>
    </row>
    <row r="2965" spans="1:9" x14ac:dyDescent="0.25">
      <c r="A2965" s="299">
        <v>42971</v>
      </c>
      <c r="B2965" s="302" t="s">
        <v>26834</v>
      </c>
      <c r="C2965">
        <v>124937</v>
      </c>
      <c r="D2965" s="236" t="s">
        <v>16463</v>
      </c>
      <c r="E2965" s="301">
        <v>14404.8</v>
      </c>
      <c r="F2965" s="303">
        <v>42971</v>
      </c>
      <c r="G2965" s="301">
        <v>14404.8</v>
      </c>
      <c r="H2965" s="304">
        <f>Tabla13[[#This Row],[Importe]]-Tabla13[[#This Row],[Pagado]]</f>
        <v>0</v>
      </c>
      <c r="I2965" s="275" t="s">
        <v>15214</v>
      </c>
    </row>
    <row r="2966" spans="1:9" x14ac:dyDescent="0.25">
      <c r="A2966" s="299">
        <v>42971</v>
      </c>
      <c r="B2966" s="302" t="s">
        <v>26835</v>
      </c>
      <c r="C2966">
        <v>124938</v>
      </c>
      <c r="D2966" s="236" t="s">
        <v>15315</v>
      </c>
      <c r="E2966" s="301">
        <v>840.4</v>
      </c>
      <c r="F2966" s="303">
        <v>42971</v>
      </c>
      <c r="G2966" s="301">
        <v>840.4</v>
      </c>
      <c r="H2966" s="304">
        <f>Tabla13[[#This Row],[Importe]]-Tabla13[[#This Row],[Pagado]]</f>
        <v>0</v>
      </c>
      <c r="I2966" s="275" t="s">
        <v>15214</v>
      </c>
    </row>
    <row r="2967" spans="1:9" x14ac:dyDescent="0.25">
      <c r="A2967" s="299">
        <v>42971</v>
      </c>
      <c r="B2967" s="302" t="s">
        <v>26836</v>
      </c>
      <c r="C2967">
        <v>124939</v>
      </c>
      <c r="D2967" s="236" t="s">
        <v>15315</v>
      </c>
      <c r="E2967" s="301">
        <v>79.2</v>
      </c>
      <c r="F2967" s="303">
        <v>42985</v>
      </c>
      <c r="G2967" s="301">
        <v>79.2</v>
      </c>
      <c r="H2967" s="304">
        <f>Tabla13[[#This Row],[Importe]]-Tabla13[[#This Row],[Pagado]]</f>
        <v>0</v>
      </c>
      <c r="I2967" s="275" t="s">
        <v>15214</v>
      </c>
    </row>
    <row r="2968" spans="1:9" x14ac:dyDescent="0.25">
      <c r="A2968" s="299">
        <v>42971</v>
      </c>
      <c r="B2968" s="302" t="s">
        <v>26837</v>
      </c>
      <c r="C2968">
        <v>124940</v>
      </c>
      <c r="D2968" s="236" t="s">
        <v>15282</v>
      </c>
      <c r="E2968" s="301">
        <v>2382</v>
      </c>
      <c r="F2968" s="303">
        <v>42971</v>
      </c>
      <c r="G2968" s="301">
        <v>2382</v>
      </c>
      <c r="H2968" s="304">
        <f>Tabla13[[#This Row],[Importe]]-Tabla13[[#This Row],[Pagado]]</f>
        <v>0</v>
      </c>
      <c r="I2968" s="275" t="s">
        <v>15214</v>
      </c>
    </row>
    <row r="2969" spans="1:9" x14ac:dyDescent="0.25">
      <c r="A2969" s="299">
        <v>42971</v>
      </c>
      <c r="B2969" s="302" t="s">
        <v>26838</v>
      </c>
      <c r="C2969">
        <v>124941</v>
      </c>
      <c r="D2969" s="236" t="s">
        <v>15246</v>
      </c>
      <c r="E2969" s="301">
        <v>3751.2</v>
      </c>
      <c r="F2969" s="303">
        <v>42977</v>
      </c>
      <c r="G2969" s="301">
        <v>3751.2</v>
      </c>
      <c r="H2969" s="304">
        <f>Tabla13[[#This Row],[Importe]]-Tabla13[[#This Row],[Pagado]]</f>
        <v>0</v>
      </c>
      <c r="I2969" s="275" t="s">
        <v>15214</v>
      </c>
    </row>
    <row r="2970" spans="1:9" x14ac:dyDescent="0.25">
      <c r="A2970" s="299">
        <v>42971</v>
      </c>
      <c r="B2970" s="302" t="s">
        <v>26839</v>
      </c>
      <c r="C2970">
        <v>124942</v>
      </c>
      <c r="D2970" s="236" t="s">
        <v>15537</v>
      </c>
      <c r="E2970" s="301">
        <v>14034.3</v>
      </c>
      <c r="F2970" s="303">
        <v>42977</v>
      </c>
      <c r="G2970" s="301">
        <v>14034.3</v>
      </c>
      <c r="H2970" s="304">
        <f>Tabla13[[#This Row],[Importe]]-Tabla13[[#This Row],[Pagado]]</f>
        <v>0</v>
      </c>
      <c r="I2970" s="275" t="s">
        <v>15214</v>
      </c>
    </row>
    <row r="2971" spans="1:9" x14ac:dyDescent="0.25">
      <c r="A2971" s="299">
        <v>42971</v>
      </c>
      <c r="B2971" s="302" t="s">
        <v>26840</v>
      </c>
      <c r="C2971">
        <v>124943</v>
      </c>
      <c r="D2971" s="236" t="s">
        <v>15539</v>
      </c>
      <c r="E2971" s="301">
        <v>11494</v>
      </c>
      <c r="F2971" s="303">
        <v>42977</v>
      </c>
      <c r="G2971" s="301">
        <v>11494</v>
      </c>
      <c r="H2971" s="304">
        <f>Tabla13[[#This Row],[Importe]]-Tabla13[[#This Row],[Pagado]]</f>
        <v>0</v>
      </c>
      <c r="I2971" s="275" t="s">
        <v>15214</v>
      </c>
    </row>
    <row r="2972" spans="1:9" x14ac:dyDescent="0.25">
      <c r="A2972" s="299">
        <v>42971</v>
      </c>
      <c r="B2972" s="302" t="s">
        <v>26841</v>
      </c>
      <c r="C2972">
        <v>124944</v>
      </c>
      <c r="D2972" s="236" t="s">
        <v>15315</v>
      </c>
      <c r="E2972" s="301">
        <v>3472.7</v>
      </c>
      <c r="F2972" s="266">
        <v>42990</v>
      </c>
      <c r="G2972" s="35">
        <v>3472.7</v>
      </c>
      <c r="H2972" s="304">
        <f>Tabla13[[#This Row],[Importe]]-Tabla13[[#This Row],[Pagado]]</f>
        <v>0</v>
      </c>
      <c r="I2972" s="275" t="s">
        <v>15214</v>
      </c>
    </row>
    <row r="2973" spans="1:9" x14ac:dyDescent="0.25">
      <c r="A2973" s="299">
        <v>42971</v>
      </c>
      <c r="B2973" s="302" t="s">
        <v>26842</v>
      </c>
      <c r="C2973">
        <v>124945</v>
      </c>
      <c r="D2973" s="236" t="s">
        <v>15391</v>
      </c>
      <c r="E2973" s="301">
        <v>5601.6</v>
      </c>
      <c r="F2973" s="303">
        <v>42972</v>
      </c>
      <c r="G2973" s="301">
        <v>5601.6</v>
      </c>
      <c r="H2973" s="304">
        <f>Tabla13[[#This Row],[Importe]]-Tabla13[[#This Row],[Pagado]]</f>
        <v>0</v>
      </c>
      <c r="I2973" s="275" t="s">
        <v>15214</v>
      </c>
    </row>
    <row r="2974" spans="1:9" ht="15.75" x14ac:dyDescent="0.25">
      <c r="A2974" s="299">
        <v>42971</v>
      </c>
      <c r="B2974" s="302" t="s">
        <v>26843</v>
      </c>
      <c r="C2974">
        <v>124946</v>
      </c>
      <c r="D2974" s="248" t="s">
        <v>95</v>
      </c>
      <c r="E2974" s="301">
        <v>0</v>
      </c>
      <c r="F2974" s="243" t="s">
        <v>95</v>
      </c>
      <c r="G2974" s="301">
        <v>0</v>
      </c>
      <c r="H2974" s="304">
        <f>Tabla13[[#This Row],[Importe]]-Tabla13[[#This Row],[Pagado]]</f>
        <v>0</v>
      </c>
      <c r="I2974" s="275" t="s">
        <v>95</v>
      </c>
    </row>
    <row r="2975" spans="1:9" x14ac:dyDescent="0.25">
      <c r="A2975" s="299">
        <v>42971</v>
      </c>
      <c r="B2975" s="302" t="s">
        <v>26844</v>
      </c>
      <c r="C2975">
        <v>124947</v>
      </c>
      <c r="D2975" s="236" t="s">
        <v>15398</v>
      </c>
      <c r="E2975" s="301">
        <v>3717.9</v>
      </c>
      <c r="F2975" s="303">
        <v>42971</v>
      </c>
      <c r="G2975" s="301">
        <v>3717.9</v>
      </c>
      <c r="H2975" s="304">
        <f>Tabla13[[#This Row],[Importe]]-Tabla13[[#This Row],[Pagado]]</f>
        <v>0</v>
      </c>
      <c r="I2975" s="275" t="s">
        <v>15214</v>
      </c>
    </row>
    <row r="2976" spans="1:9" x14ac:dyDescent="0.25">
      <c r="A2976" s="299">
        <v>42971</v>
      </c>
      <c r="B2976" s="302" t="s">
        <v>26845</v>
      </c>
      <c r="C2976">
        <v>124948</v>
      </c>
      <c r="D2976" s="236" t="s">
        <v>15248</v>
      </c>
      <c r="E2976" s="301">
        <v>21613.9</v>
      </c>
      <c r="F2976" s="303">
        <v>42971</v>
      </c>
      <c r="G2976" s="301">
        <v>21613.9</v>
      </c>
      <c r="H2976" s="304">
        <f>Tabla13[[#This Row],[Importe]]-Tabla13[[#This Row],[Pagado]]</f>
        <v>0</v>
      </c>
      <c r="I2976" s="275" t="s">
        <v>15214</v>
      </c>
    </row>
    <row r="2977" spans="1:9" x14ac:dyDescent="0.25">
      <c r="A2977" s="299">
        <v>42971</v>
      </c>
      <c r="B2977" s="302" t="s">
        <v>26846</v>
      </c>
      <c r="C2977">
        <v>124949</v>
      </c>
      <c r="D2977" s="236" t="s">
        <v>15298</v>
      </c>
      <c r="E2977" s="301">
        <v>2476.1999999999998</v>
      </c>
      <c r="F2977" s="303">
        <v>42971</v>
      </c>
      <c r="G2977" s="301">
        <v>2476.1999999999998</v>
      </c>
      <c r="H2977" s="304">
        <f>Tabla13[[#This Row],[Importe]]-Tabla13[[#This Row],[Pagado]]</f>
        <v>0</v>
      </c>
      <c r="I2977" s="275" t="s">
        <v>15214</v>
      </c>
    </row>
    <row r="2978" spans="1:9" x14ac:dyDescent="0.25">
      <c r="A2978" s="299">
        <v>42971</v>
      </c>
      <c r="B2978" s="302" t="s">
        <v>26847</v>
      </c>
      <c r="C2978">
        <v>124950</v>
      </c>
      <c r="D2978" s="236" t="s">
        <v>15263</v>
      </c>
      <c r="E2978" s="301">
        <v>1051.2</v>
      </c>
      <c r="F2978" s="303">
        <v>42971</v>
      </c>
      <c r="G2978" s="301">
        <v>1051.2</v>
      </c>
      <c r="H2978" s="304">
        <f>Tabla13[[#This Row],[Importe]]-Tabla13[[#This Row],[Pagado]]</f>
        <v>0</v>
      </c>
      <c r="I2978" s="275" t="s">
        <v>15214</v>
      </c>
    </row>
    <row r="2979" spans="1:9" x14ac:dyDescent="0.25">
      <c r="A2979" s="299">
        <v>42971</v>
      </c>
      <c r="B2979" s="302" t="s">
        <v>26848</v>
      </c>
      <c r="C2979">
        <v>124951</v>
      </c>
      <c r="D2979" s="236" t="s">
        <v>18773</v>
      </c>
      <c r="E2979" s="301">
        <v>25951.200000000001</v>
      </c>
      <c r="F2979" s="303">
        <v>42971</v>
      </c>
      <c r="G2979" s="301">
        <v>25951.200000000001</v>
      </c>
      <c r="H2979" s="304">
        <f>Tabla13[[#This Row],[Importe]]-Tabla13[[#This Row],[Pagado]]</f>
        <v>0</v>
      </c>
      <c r="I2979" s="275" t="s">
        <v>15214</v>
      </c>
    </row>
    <row r="2980" spans="1:9" x14ac:dyDescent="0.25">
      <c r="A2980" s="299">
        <v>42971</v>
      </c>
      <c r="B2980" s="302" t="s">
        <v>26849</v>
      </c>
      <c r="C2980">
        <v>124952</v>
      </c>
      <c r="D2980" s="236" t="s">
        <v>19773</v>
      </c>
      <c r="E2980" s="301">
        <v>2361.64</v>
      </c>
      <c r="F2980" s="303">
        <v>42973</v>
      </c>
      <c r="G2980" s="301">
        <v>2361.64</v>
      </c>
      <c r="H2980" s="304">
        <f>Tabla13[[#This Row],[Importe]]-Tabla13[[#This Row],[Pagado]]</f>
        <v>0</v>
      </c>
      <c r="I2980" s="275" t="s">
        <v>15214</v>
      </c>
    </row>
    <row r="2981" spans="1:9" x14ac:dyDescent="0.25">
      <c r="A2981" s="299">
        <v>42971</v>
      </c>
      <c r="B2981" s="302" t="s">
        <v>26850</v>
      </c>
      <c r="C2981">
        <v>124953</v>
      </c>
      <c r="D2981" s="236" t="s">
        <v>15444</v>
      </c>
      <c r="E2981" s="301">
        <v>2032</v>
      </c>
      <c r="F2981" s="303">
        <v>42972</v>
      </c>
      <c r="G2981" s="301">
        <v>2032</v>
      </c>
      <c r="H2981" s="304">
        <f>Tabla13[[#This Row],[Importe]]-Tabla13[[#This Row],[Pagado]]</f>
        <v>0</v>
      </c>
      <c r="I2981" s="275" t="s">
        <v>15214</v>
      </c>
    </row>
    <row r="2982" spans="1:9" x14ac:dyDescent="0.25">
      <c r="A2982" s="299">
        <v>42971</v>
      </c>
      <c r="B2982" s="302" t="s">
        <v>26851</v>
      </c>
      <c r="C2982">
        <v>124954</v>
      </c>
      <c r="D2982" s="236" t="s">
        <v>15246</v>
      </c>
      <c r="E2982" s="301">
        <v>59942</v>
      </c>
      <c r="F2982" s="303">
        <v>42977</v>
      </c>
      <c r="G2982" s="301">
        <v>59942</v>
      </c>
      <c r="H2982" s="304">
        <f>Tabla13[[#This Row],[Importe]]-Tabla13[[#This Row],[Pagado]]</f>
        <v>0</v>
      </c>
      <c r="I2982" s="275" t="s">
        <v>15214</v>
      </c>
    </row>
    <row r="2983" spans="1:9" x14ac:dyDescent="0.25">
      <c r="A2983" s="299">
        <v>42971</v>
      </c>
      <c r="B2983" s="302" t="s">
        <v>26852</v>
      </c>
      <c r="C2983">
        <v>124955</v>
      </c>
      <c r="D2983" s="236" t="s">
        <v>22563</v>
      </c>
      <c r="E2983" s="301">
        <v>7180.8</v>
      </c>
      <c r="F2983" s="303">
        <v>42972</v>
      </c>
      <c r="G2983" s="301">
        <v>7180.8</v>
      </c>
      <c r="H2983" s="304">
        <f>Tabla13[[#This Row],[Importe]]-Tabla13[[#This Row],[Pagado]]</f>
        <v>0</v>
      </c>
      <c r="I2983" s="275" t="s">
        <v>15214</v>
      </c>
    </row>
    <row r="2984" spans="1:9" x14ac:dyDescent="0.25">
      <c r="A2984" s="299">
        <v>42971</v>
      </c>
      <c r="B2984" s="302" t="s">
        <v>26853</v>
      </c>
      <c r="C2984">
        <v>124956</v>
      </c>
      <c r="D2984" s="236" t="s">
        <v>15407</v>
      </c>
      <c r="E2984" s="301">
        <v>2508</v>
      </c>
      <c r="F2984" s="303">
        <v>42971</v>
      </c>
      <c r="G2984" s="301">
        <v>2508</v>
      </c>
      <c r="H2984" s="304">
        <f>Tabla13[[#This Row],[Importe]]-Tabla13[[#This Row],[Pagado]]</f>
        <v>0</v>
      </c>
      <c r="I2984" s="275" t="s">
        <v>15214</v>
      </c>
    </row>
    <row r="2985" spans="1:9" x14ac:dyDescent="0.25">
      <c r="A2985" s="299">
        <v>42971</v>
      </c>
      <c r="B2985" s="302" t="s">
        <v>26854</v>
      </c>
      <c r="C2985">
        <v>124957</v>
      </c>
      <c r="D2985" s="236" t="s">
        <v>15920</v>
      </c>
      <c r="E2985" s="301">
        <v>10888</v>
      </c>
      <c r="F2985" s="303">
        <v>42971</v>
      </c>
      <c r="G2985" s="301">
        <v>10888</v>
      </c>
      <c r="H2985" s="304">
        <f>Tabla13[[#This Row],[Importe]]-Tabla13[[#This Row],[Pagado]]</f>
        <v>0</v>
      </c>
      <c r="I2985" s="275" t="s">
        <v>15214</v>
      </c>
    </row>
    <row r="2986" spans="1:9" x14ac:dyDescent="0.25">
      <c r="A2986" s="299">
        <v>42971</v>
      </c>
      <c r="B2986" s="302" t="s">
        <v>26855</v>
      </c>
      <c r="C2986">
        <v>124958</v>
      </c>
      <c r="D2986" s="236" t="s">
        <v>15417</v>
      </c>
      <c r="E2986" s="301">
        <v>1876.8</v>
      </c>
      <c r="F2986" s="303">
        <v>42972</v>
      </c>
      <c r="G2986" s="301">
        <v>1876.8</v>
      </c>
      <c r="H2986" s="304">
        <f>Tabla13[[#This Row],[Importe]]-Tabla13[[#This Row],[Pagado]]</f>
        <v>0</v>
      </c>
      <c r="I2986" s="275" t="s">
        <v>15214</v>
      </c>
    </row>
    <row r="2987" spans="1:9" x14ac:dyDescent="0.25">
      <c r="A2987" s="299">
        <v>42971</v>
      </c>
      <c r="B2987" s="302" t="s">
        <v>26856</v>
      </c>
      <c r="C2987">
        <v>124959</v>
      </c>
      <c r="D2987" s="236" t="s">
        <v>15276</v>
      </c>
      <c r="E2987" s="301">
        <v>2350</v>
      </c>
      <c r="F2987" s="303">
        <v>42972</v>
      </c>
      <c r="G2987" s="301">
        <v>2350</v>
      </c>
      <c r="H2987" s="304">
        <f>Tabla13[[#This Row],[Importe]]-Tabla13[[#This Row],[Pagado]]</f>
        <v>0</v>
      </c>
      <c r="I2987" s="275" t="s">
        <v>15214</v>
      </c>
    </row>
    <row r="2988" spans="1:9" x14ac:dyDescent="0.25">
      <c r="A2988" s="299">
        <v>42971</v>
      </c>
      <c r="B2988" s="302" t="s">
        <v>26857</v>
      </c>
      <c r="C2988">
        <v>124960</v>
      </c>
      <c r="D2988" s="236" t="s">
        <v>15617</v>
      </c>
      <c r="E2988" s="301">
        <v>28345.7</v>
      </c>
      <c r="F2988" s="303">
        <v>42972</v>
      </c>
      <c r="G2988" s="301">
        <v>28345.7</v>
      </c>
      <c r="H2988" s="304">
        <f>Tabla13[[#This Row],[Importe]]-Tabla13[[#This Row],[Pagado]]</f>
        <v>0</v>
      </c>
      <c r="I2988" s="275" t="s">
        <v>15214</v>
      </c>
    </row>
    <row r="2989" spans="1:9" x14ac:dyDescent="0.25">
      <c r="A2989" s="299">
        <v>42971</v>
      </c>
      <c r="B2989" s="302" t="s">
        <v>26858</v>
      </c>
      <c r="C2989">
        <v>124961</v>
      </c>
      <c r="D2989" s="236" t="s">
        <v>15903</v>
      </c>
      <c r="E2989" s="301">
        <v>16727.7</v>
      </c>
      <c r="F2989" s="303">
        <v>42971</v>
      </c>
      <c r="G2989" s="301">
        <v>16727.7</v>
      </c>
      <c r="H2989" s="304">
        <f>Tabla13[[#This Row],[Importe]]-Tabla13[[#This Row],[Pagado]]</f>
        <v>0</v>
      </c>
      <c r="I2989" s="275" t="s">
        <v>15214</v>
      </c>
    </row>
    <row r="2990" spans="1:9" x14ac:dyDescent="0.25">
      <c r="A2990" s="299">
        <v>42971</v>
      </c>
      <c r="B2990" s="302" t="s">
        <v>26859</v>
      </c>
      <c r="C2990">
        <v>124962</v>
      </c>
      <c r="D2990" s="236" t="s">
        <v>15267</v>
      </c>
      <c r="E2990" s="301">
        <v>7944</v>
      </c>
      <c r="F2990" s="303">
        <v>42971</v>
      </c>
      <c r="G2990" s="301">
        <v>7944</v>
      </c>
      <c r="H2990" s="304">
        <f>Tabla13[[#This Row],[Importe]]-Tabla13[[#This Row],[Pagado]]</f>
        <v>0</v>
      </c>
      <c r="I2990" s="275" t="s">
        <v>15214</v>
      </c>
    </row>
    <row r="2991" spans="1:9" x14ac:dyDescent="0.25">
      <c r="A2991" s="299">
        <v>42971</v>
      </c>
      <c r="B2991" s="302" t="s">
        <v>26860</v>
      </c>
      <c r="C2991">
        <v>124963</v>
      </c>
      <c r="D2991" s="236" t="s">
        <v>15480</v>
      </c>
      <c r="E2991" s="301">
        <v>421.8</v>
      </c>
      <c r="F2991" s="303">
        <v>42971</v>
      </c>
      <c r="G2991" s="301">
        <v>421.8</v>
      </c>
      <c r="H2991" s="304">
        <f>Tabla13[[#This Row],[Importe]]-Tabla13[[#This Row],[Pagado]]</f>
        <v>0</v>
      </c>
      <c r="I2991" s="275" t="s">
        <v>15214</v>
      </c>
    </row>
    <row r="2992" spans="1:9" x14ac:dyDescent="0.25">
      <c r="A2992" s="299">
        <v>42971</v>
      </c>
      <c r="B2992" s="302" t="s">
        <v>26861</v>
      </c>
      <c r="C2992">
        <v>124964</v>
      </c>
      <c r="D2992" s="236" t="s">
        <v>15246</v>
      </c>
      <c r="E2992" s="301">
        <v>166683.79999999999</v>
      </c>
      <c r="F2992" s="303">
        <v>42977</v>
      </c>
      <c r="G2992" s="301">
        <v>166683.79999999999</v>
      </c>
      <c r="H2992" s="304">
        <f>Tabla13[[#This Row],[Importe]]-Tabla13[[#This Row],[Pagado]]</f>
        <v>0</v>
      </c>
      <c r="I2992" s="275" t="s">
        <v>15214</v>
      </c>
    </row>
    <row r="2993" spans="1:9" x14ac:dyDescent="0.25">
      <c r="A2993" s="299">
        <v>42971</v>
      </c>
      <c r="B2993" s="302" t="s">
        <v>26862</v>
      </c>
      <c r="C2993">
        <v>124965</v>
      </c>
      <c r="D2993" s="236" t="s">
        <v>15246</v>
      </c>
      <c r="E2993" s="301">
        <v>4159.3999999999996</v>
      </c>
      <c r="F2993" s="303">
        <v>42977</v>
      </c>
      <c r="G2993" s="301">
        <v>4159.3999999999996</v>
      </c>
      <c r="H2993" s="304">
        <f>Tabla13[[#This Row],[Importe]]-Tabla13[[#This Row],[Pagado]]</f>
        <v>0</v>
      </c>
      <c r="I2993" s="275" t="s">
        <v>15214</v>
      </c>
    </row>
    <row r="2994" spans="1:9" x14ac:dyDescent="0.25">
      <c r="A2994" s="299">
        <v>42971</v>
      </c>
      <c r="B2994" s="302" t="s">
        <v>26863</v>
      </c>
      <c r="C2994">
        <v>124966</v>
      </c>
      <c r="D2994" s="236" t="s">
        <v>15421</v>
      </c>
      <c r="E2994" s="301">
        <v>609.6</v>
      </c>
      <c r="F2994" s="303">
        <v>42971</v>
      </c>
      <c r="G2994" s="301">
        <v>609.6</v>
      </c>
      <c r="H2994" s="304">
        <f>Tabla13[[#This Row],[Importe]]-Tabla13[[#This Row],[Pagado]]</f>
        <v>0</v>
      </c>
      <c r="I2994" s="275" t="s">
        <v>15214</v>
      </c>
    </row>
    <row r="2995" spans="1:9" x14ac:dyDescent="0.25">
      <c r="A2995" s="299">
        <v>42971</v>
      </c>
      <c r="B2995" s="302" t="s">
        <v>26864</v>
      </c>
      <c r="C2995">
        <v>124967</v>
      </c>
      <c r="D2995" s="236" t="s">
        <v>16093</v>
      </c>
      <c r="E2995" s="301">
        <v>420</v>
      </c>
      <c r="F2995" s="303">
        <v>42971</v>
      </c>
      <c r="G2995" s="301">
        <v>420</v>
      </c>
      <c r="H2995" s="304">
        <f>Tabla13[[#This Row],[Importe]]-Tabla13[[#This Row],[Pagado]]</f>
        <v>0</v>
      </c>
      <c r="I2995" s="275" t="s">
        <v>15214</v>
      </c>
    </row>
    <row r="2996" spans="1:9" x14ac:dyDescent="0.25">
      <c r="A2996" s="299">
        <v>42971</v>
      </c>
      <c r="B2996" s="302" t="s">
        <v>26865</v>
      </c>
      <c r="C2996">
        <v>124968</v>
      </c>
      <c r="D2996" s="236" t="s">
        <v>15246</v>
      </c>
      <c r="E2996" s="301">
        <v>108838.2</v>
      </c>
      <c r="F2996" s="303">
        <v>42977</v>
      </c>
      <c r="G2996" s="301">
        <v>108838.2</v>
      </c>
      <c r="H2996" s="304">
        <f>Tabla13[[#This Row],[Importe]]-Tabla13[[#This Row],[Pagado]]</f>
        <v>0</v>
      </c>
      <c r="I2996" s="275" t="s">
        <v>15214</v>
      </c>
    </row>
    <row r="2997" spans="1:9" x14ac:dyDescent="0.25">
      <c r="A2997" s="299">
        <v>42971</v>
      </c>
      <c r="B2997" s="302" t="s">
        <v>26866</v>
      </c>
      <c r="C2997">
        <v>124969</v>
      </c>
      <c r="D2997" s="236" t="s">
        <v>15396</v>
      </c>
      <c r="E2997" s="301">
        <v>9476.8799999999992</v>
      </c>
      <c r="F2997" s="303">
        <v>42971</v>
      </c>
      <c r="G2997" s="301">
        <v>9476.8799999999992</v>
      </c>
      <c r="H2997" s="304">
        <f>Tabla13[[#This Row],[Importe]]-Tabla13[[#This Row],[Pagado]]</f>
        <v>0</v>
      </c>
      <c r="I2997" s="275" t="s">
        <v>15214</v>
      </c>
    </row>
    <row r="2998" spans="1:9" x14ac:dyDescent="0.25">
      <c r="A2998" s="299">
        <v>42971</v>
      </c>
      <c r="B2998" s="302" t="s">
        <v>26867</v>
      </c>
      <c r="C2998">
        <v>124970</v>
      </c>
      <c r="D2998" s="236" t="s">
        <v>15398</v>
      </c>
      <c r="E2998" s="301">
        <v>2162.8000000000002</v>
      </c>
      <c r="F2998" s="303">
        <v>42971</v>
      </c>
      <c r="G2998" s="301">
        <v>2162.8000000000002</v>
      </c>
      <c r="H2998" s="304">
        <f>Tabla13[[#This Row],[Importe]]-Tabla13[[#This Row],[Pagado]]</f>
        <v>0</v>
      </c>
      <c r="I2998" s="275" t="s">
        <v>15214</v>
      </c>
    </row>
    <row r="2999" spans="1:9" x14ac:dyDescent="0.25">
      <c r="A2999" s="299">
        <v>42971</v>
      </c>
      <c r="B2999" s="302" t="s">
        <v>26868</v>
      </c>
      <c r="C2999">
        <v>124971</v>
      </c>
      <c r="D2999" s="236" t="s">
        <v>15396</v>
      </c>
      <c r="E2999" s="301">
        <v>1121</v>
      </c>
      <c r="F2999" s="303">
        <v>42971</v>
      </c>
      <c r="G2999" s="301">
        <v>1121</v>
      </c>
      <c r="H2999" s="304">
        <f>Tabla13[[#This Row],[Importe]]-Tabla13[[#This Row],[Pagado]]</f>
        <v>0</v>
      </c>
      <c r="I2999" s="275" t="s">
        <v>15214</v>
      </c>
    </row>
    <row r="3000" spans="1:9" x14ac:dyDescent="0.25">
      <c r="A3000" s="299">
        <v>42971</v>
      </c>
      <c r="B3000" s="302" t="s">
        <v>26869</v>
      </c>
      <c r="C3000">
        <v>124972</v>
      </c>
      <c r="D3000" s="236" t="s">
        <v>15435</v>
      </c>
      <c r="E3000" s="301">
        <v>8827.2000000000007</v>
      </c>
      <c r="F3000" s="303">
        <v>42971</v>
      </c>
      <c r="G3000" s="301">
        <v>8827.2000000000007</v>
      </c>
      <c r="H3000" s="304">
        <f>Tabla13[[#This Row],[Importe]]-Tabla13[[#This Row],[Pagado]]</f>
        <v>0</v>
      </c>
      <c r="I3000" s="275" t="s">
        <v>15214</v>
      </c>
    </row>
    <row r="3001" spans="1:9" x14ac:dyDescent="0.25">
      <c r="A3001" s="299">
        <v>42971</v>
      </c>
      <c r="B3001" s="302" t="s">
        <v>26870</v>
      </c>
      <c r="C3001">
        <v>124973</v>
      </c>
      <c r="D3001" s="236" t="s">
        <v>15642</v>
      </c>
      <c r="E3001" s="301">
        <v>6241.2</v>
      </c>
      <c r="F3001" s="303">
        <v>42972</v>
      </c>
      <c r="G3001" s="301">
        <v>6241.2</v>
      </c>
      <c r="H3001" s="304">
        <f>Tabla13[[#This Row],[Importe]]-Tabla13[[#This Row],[Pagado]]</f>
        <v>0</v>
      </c>
      <c r="I3001" s="275" t="s">
        <v>15214</v>
      </c>
    </row>
    <row r="3002" spans="1:9" x14ac:dyDescent="0.25">
      <c r="A3002" s="299">
        <v>42971</v>
      </c>
      <c r="B3002" s="302" t="s">
        <v>26871</v>
      </c>
      <c r="C3002">
        <v>124974</v>
      </c>
      <c r="D3002" s="236" t="s">
        <v>16116</v>
      </c>
      <c r="E3002" s="301">
        <v>22788.720000000001</v>
      </c>
      <c r="F3002" s="303">
        <v>42972</v>
      </c>
      <c r="G3002" s="301">
        <v>22788.720000000001</v>
      </c>
      <c r="H3002" s="304">
        <f>Tabla13[[#This Row],[Importe]]-Tabla13[[#This Row],[Pagado]]</f>
        <v>0</v>
      </c>
      <c r="I3002" s="275" t="s">
        <v>15214</v>
      </c>
    </row>
    <row r="3003" spans="1:9" x14ac:dyDescent="0.25">
      <c r="A3003" s="299">
        <v>42971</v>
      </c>
      <c r="B3003" s="302" t="s">
        <v>26872</v>
      </c>
      <c r="C3003">
        <v>124975</v>
      </c>
      <c r="D3003" s="236" t="s">
        <v>15246</v>
      </c>
      <c r="E3003" s="301">
        <v>7886.4</v>
      </c>
      <c r="F3003" s="303">
        <v>42977</v>
      </c>
      <c r="G3003" s="301">
        <v>7886.4</v>
      </c>
      <c r="H3003" s="304">
        <f>Tabla13[[#This Row],[Importe]]-Tabla13[[#This Row],[Pagado]]</f>
        <v>0</v>
      </c>
      <c r="I3003" s="275" t="s">
        <v>15214</v>
      </c>
    </row>
    <row r="3004" spans="1:9" x14ac:dyDescent="0.25">
      <c r="A3004" s="299">
        <v>42972</v>
      </c>
      <c r="B3004" s="302" t="s">
        <v>26873</v>
      </c>
      <c r="C3004">
        <v>124976</v>
      </c>
      <c r="D3004" s="236" t="s">
        <v>15213</v>
      </c>
      <c r="E3004" s="301">
        <v>49060.6</v>
      </c>
      <c r="F3004" s="303">
        <v>42973</v>
      </c>
      <c r="G3004" s="301">
        <v>49060.6</v>
      </c>
      <c r="H3004" s="304">
        <f>Tabla13[[#This Row],[Importe]]-Tabla13[[#This Row],[Pagado]]</f>
        <v>0</v>
      </c>
      <c r="I3004" s="275" t="s">
        <v>15214</v>
      </c>
    </row>
    <row r="3005" spans="1:9" x14ac:dyDescent="0.25">
      <c r="A3005" s="299">
        <v>42972</v>
      </c>
      <c r="B3005" s="302" t="s">
        <v>26874</v>
      </c>
      <c r="C3005">
        <v>124977</v>
      </c>
      <c r="D3005" s="236" t="s">
        <v>21386</v>
      </c>
      <c r="E3005" s="301">
        <v>11577.8</v>
      </c>
      <c r="F3005" s="303">
        <v>42974</v>
      </c>
      <c r="G3005" s="301">
        <v>11577.8</v>
      </c>
      <c r="H3005" s="304">
        <f>Tabla13[[#This Row],[Importe]]-Tabla13[[#This Row],[Pagado]]</f>
        <v>0</v>
      </c>
      <c r="I3005" s="275" t="s">
        <v>15214</v>
      </c>
    </row>
    <row r="3006" spans="1:9" x14ac:dyDescent="0.25">
      <c r="A3006" s="299">
        <v>42972</v>
      </c>
      <c r="B3006" s="302" t="s">
        <v>26875</v>
      </c>
      <c r="C3006">
        <v>124978</v>
      </c>
      <c r="D3006" s="236" t="s">
        <v>15220</v>
      </c>
      <c r="E3006" s="301">
        <v>2350</v>
      </c>
      <c r="F3006" s="303">
        <v>42972</v>
      </c>
      <c r="G3006" s="301">
        <v>2350</v>
      </c>
      <c r="H3006" s="304">
        <f>Tabla13[[#This Row],[Importe]]-Tabla13[[#This Row],[Pagado]]</f>
        <v>0</v>
      </c>
      <c r="I3006" s="275" t="s">
        <v>15214</v>
      </c>
    </row>
    <row r="3007" spans="1:9" x14ac:dyDescent="0.25">
      <c r="A3007" s="299">
        <v>42972</v>
      </c>
      <c r="B3007" s="302" t="s">
        <v>26876</v>
      </c>
      <c r="C3007">
        <v>124979</v>
      </c>
      <c r="D3007" s="236" t="s">
        <v>17235</v>
      </c>
      <c r="E3007" s="301">
        <v>940</v>
      </c>
      <c r="F3007" s="303">
        <v>42972</v>
      </c>
      <c r="G3007" s="301">
        <v>940</v>
      </c>
      <c r="H3007" s="304">
        <f>Tabla13[[#This Row],[Importe]]-Tabla13[[#This Row],[Pagado]]</f>
        <v>0</v>
      </c>
      <c r="I3007" s="275" t="s">
        <v>15214</v>
      </c>
    </row>
    <row r="3008" spans="1:9" x14ac:dyDescent="0.25">
      <c r="A3008" s="299">
        <v>42972</v>
      </c>
      <c r="B3008" s="302" t="s">
        <v>26877</v>
      </c>
      <c r="C3008">
        <v>124980</v>
      </c>
      <c r="D3008" s="236" t="s">
        <v>15330</v>
      </c>
      <c r="E3008" s="301">
        <v>3498.4</v>
      </c>
      <c r="F3008" s="303">
        <v>42972</v>
      </c>
      <c r="G3008" s="301">
        <v>3498.4</v>
      </c>
      <c r="H3008" s="304">
        <f>Tabla13[[#This Row],[Importe]]-Tabla13[[#This Row],[Pagado]]</f>
        <v>0</v>
      </c>
      <c r="I3008" s="275" t="s">
        <v>15214</v>
      </c>
    </row>
    <row r="3009" spans="1:9" x14ac:dyDescent="0.25">
      <c r="A3009" s="299">
        <v>42972</v>
      </c>
      <c r="B3009" s="302" t="s">
        <v>26878</v>
      </c>
      <c r="C3009">
        <v>124981</v>
      </c>
      <c r="D3009" s="236" t="s">
        <v>15668</v>
      </c>
      <c r="E3009" s="301">
        <v>17589</v>
      </c>
      <c r="F3009" s="303">
        <v>42975</v>
      </c>
      <c r="G3009" s="301">
        <v>17589</v>
      </c>
      <c r="H3009" s="304">
        <f>Tabla13[[#This Row],[Importe]]-Tabla13[[#This Row],[Pagado]]</f>
        <v>0</v>
      </c>
      <c r="I3009" s="275" t="s">
        <v>15214</v>
      </c>
    </row>
    <row r="3010" spans="1:9" x14ac:dyDescent="0.25">
      <c r="A3010" s="299">
        <v>42972</v>
      </c>
      <c r="B3010" s="302" t="s">
        <v>26879</v>
      </c>
      <c r="C3010">
        <v>124982</v>
      </c>
      <c r="D3010" s="236" t="s">
        <v>15216</v>
      </c>
      <c r="E3010" s="301">
        <v>7093.8</v>
      </c>
      <c r="F3010" s="303">
        <v>42972</v>
      </c>
      <c r="G3010" s="301">
        <v>7093.8</v>
      </c>
      <c r="H3010" s="304">
        <f>Tabla13[[#This Row],[Importe]]-Tabla13[[#This Row],[Pagado]]</f>
        <v>0</v>
      </c>
      <c r="I3010" s="275" t="s">
        <v>15214</v>
      </c>
    </row>
    <row r="3011" spans="1:9" ht="30" x14ac:dyDescent="0.25">
      <c r="A3011" s="299">
        <v>42972</v>
      </c>
      <c r="B3011" s="302" t="s">
        <v>26880</v>
      </c>
      <c r="C3011">
        <v>124983</v>
      </c>
      <c r="D3011" s="236" t="s">
        <v>15230</v>
      </c>
      <c r="E3011" s="301">
        <v>13423.2</v>
      </c>
      <c r="F3011" s="303" t="s">
        <v>27689</v>
      </c>
      <c r="G3011" s="305">
        <f>9000+4423.2</f>
        <v>13423.2</v>
      </c>
      <c r="H3011" s="360">
        <f>Tabla13[[#This Row],[Importe]]-Tabla13[[#This Row],[Pagado]]</f>
        <v>0</v>
      </c>
      <c r="I3011" s="275" t="s">
        <v>15214</v>
      </c>
    </row>
    <row r="3012" spans="1:9" x14ac:dyDescent="0.25">
      <c r="A3012" s="299">
        <v>42972</v>
      </c>
      <c r="B3012" s="302" t="s">
        <v>26881</v>
      </c>
      <c r="C3012">
        <v>124984</v>
      </c>
      <c r="D3012" s="236" t="s">
        <v>15232</v>
      </c>
      <c r="E3012" s="301">
        <v>6350.4</v>
      </c>
      <c r="F3012" s="303">
        <v>42978</v>
      </c>
      <c r="G3012" s="301">
        <v>6350.4</v>
      </c>
      <c r="H3012" s="304">
        <f>Tabla13[[#This Row],[Importe]]-Tabla13[[#This Row],[Pagado]]</f>
        <v>0</v>
      </c>
      <c r="I3012" s="275" t="s">
        <v>15214</v>
      </c>
    </row>
    <row r="3013" spans="1:9" x14ac:dyDescent="0.25">
      <c r="A3013" s="299">
        <v>42972</v>
      </c>
      <c r="B3013" s="302" t="s">
        <v>26882</v>
      </c>
      <c r="C3013">
        <v>124985</v>
      </c>
      <c r="D3013" s="236" t="s">
        <v>15448</v>
      </c>
      <c r="E3013" s="301">
        <v>343185.05</v>
      </c>
      <c r="F3013" s="303">
        <v>42973</v>
      </c>
      <c r="G3013" s="301">
        <v>343185.05</v>
      </c>
      <c r="H3013" s="304">
        <f>Tabla13[[#This Row],[Importe]]-Tabla13[[#This Row],[Pagado]]</f>
        <v>0</v>
      </c>
      <c r="I3013" s="275" t="s">
        <v>15214</v>
      </c>
    </row>
    <row r="3014" spans="1:9" x14ac:dyDescent="0.25">
      <c r="A3014" s="299">
        <v>42972</v>
      </c>
      <c r="B3014" s="302" t="s">
        <v>26883</v>
      </c>
      <c r="C3014">
        <v>124986</v>
      </c>
      <c r="D3014" s="236" t="s">
        <v>15258</v>
      </c>
      <c r="E3014" s="301">
        <v>10184.4</v>
      </c>
      <c r="F3014" s="303">
        <v>42976</v>
      </c>
      <c r="G3014" s="301">
        <v>10184.4</v>
      </c>
      <c r="H3014" s="304">
        <f>Tabla13[[#This Row],[Importe]]-Tabla13[[#This Row],[Pagado]]</f>
        <v>0</v>
      </c>
      <c r="I3014" s="275" t="s">
        <v>15214</v>
      </c>
    </row>
    <row r="3015" spans="1:9" x14ac:dyDescent="0.25">
      <c r="A3015" s="299">
        <v>42972</v>
      </c>
      <c r="B3015" s="302" t="s">
        <v>26884</v>
      </c>
      <c r="C3015">
        <v>124987</v>
      </c>
      <c r="D3015" s="236" t="s">
        <v>17462</v>
      </c>
      <c r="E3015" s="301">
        <v>7070.2</v>
      </c>
      <c r="F3015" s="303">
        <v>42972</v>
      </c>
      <c r="G3015" s="301">
        <v>7070.2</v>
      </c>
      <c r="H3015" s="304">
        <f>Tabla13[[#This Row],[Importe]]-Tabla13[[#This Row],[Pagado]]</f>
        <v>0</v>
      </c>
      <c r="I3015" s="275" t="s">
        <v>15214</v>
      </c>
    </row>
    <row r="3016" spans="1:9" x14ac:dyDescent="0.25">
      <c r="A3016" s="299">
        <v>42972</v>
      </c>
      <c r="B3016" s="302" t="s">
        <v>26885</v>
      </c>
      <c r="C3016">
        <v>124988</v>
      </c>
      <c r="D3016" s="236" t="s">
        <v>15681</v>
      </c>
      <c r="E3016" s="301">
        <v>1756.8</v>
      </c>
      <c r="F3016" s="303">
        <v>42972</v>
      </c>
      <c r="G3016" s="301">
        <v>1756.8</v>
      </c>
      <c r="H3016" s="304">
        <f>Tabla13[[#This Row],[Importe]]-Tabla13[[#This Row],[Pagado]]</f>
        <v>0</v>
      </c>
      <c r="I3016" s="275" t="s">
        <v>15214</v>
      </c>
    </row>
    <row r="3017" spans="1:9" x14ac:dyDescent="0.25">
      <c r="A3017" s="299">
        <v>42972</v>
      </c>
      <c r="B3017" s="302" t="s">
        <v>26886</v>
      </c>
      <c r="C3017">
        <v>124989</v>
      </c>
      <c r="D3017" s="236" t="s">
        <v>15272</v>
      </c>
      <c r="E3017" s="301">
        <v>23683.9</v>
      </c>
      <c r="F3017" s="303">
        <v>42972</v>
      </c>
      <c r="G3017" s="301">
        <v>23683.9</v>
      </c>
      <c r="H3017" s="304">
        <f>Tabla13[[#This Row],[Importe]]-Tabla13[[#This Row],[Pagado]]</f>
        <v>0</v>
      </c>
      <c r="I3017" s="275" t="s">
        <v>15214</v>
      </c>
    </row>
    <row r="3018" spans="1:9" ht="15.75" x14ac:dyDescent="0.25">
      <c r="A3018" s="299">
        <v>42972</v>
      </c>
      <c r="B3018" s="302" t="s">
        <v>26887</v>
      </c>
      <c r="C3018">
        <v>124990</v>
      </c>
      <c r="D3018" s="248" t="s">
        <v>95</v>
      </c>
      <c r="E3018" s="301">
        <v>0</v>
      </c>
      <c r="F3018" s="243" t="s">
        <v>95</v>
      </c>
      <c r="G3018" s="301">
        <v>0</v>
      </c>
      <c r="H3018" s="304">
        <f>Tabla13[[#This Row],[Importe]]-Tabla13[[#This Row],[Pagado]]</f>
        <v>0</v>
      </c>
      <c r="I3018" s="275" t="s">
        <v>95</v>
      </c>
    </row>
    <row r="3019" spans="1:9" x14ac:dyDescent="0.25">
      <c r="A3019" s="299">
        <v>42972</v>
      </c>
      <c r="B3019" s="302" t="s">
        <v>26888</v>
      </c>
      <c r="C3019">
        <v>124991</v>
      </c>
      <c r="D3019" s="236" t="s">
        <v>15263</v>
      </c>
      <c r="E3019" s="301">
        <v>3843.5</v>
      </c>
      <c r="F3019" s="303">
        <v>42972</v>
      </c>
      <c r="G3019" s="301">
        <v>3843.5</v>
      </c>
      <c r="H3019" s="304">
        <f>Tabla13[[#This Row],[Importe]]-Tabla13[[#This Row],[Pagado]]</f>
        <v>0</v>
      </c>
      <c r="I3019" s="275" t="s">
        <v>15214</v>
      </c>
    </row>
    <row r="3020" spans="1:9" x14ac:dyDescent="0.25">
      <c r="A3020" s="299">
        <v>42972</v>
      </c>
      <c r="B3020" s="302" t="s">
        <v>26889</v>
      </c>
      <c r="C3020">
        <v>124992</v>
      </c>
      <c r="D3020" s="236" t="s">
        <v>15334</v>
      </c>
      <c r="E3020" s="301">
        <v>1765</v>
      </c>
      <c r="F3020" s="303">
        <v>42972</v>
      </c>
      <c r="G3020" s="301">
        <v>1765</v>
      </c>
      <c r="H3020" s="304">
        <f>Tabla13[[#This Row],[Importe]]-Tabla13[[#This Row],[Pagado]]</f>
        <v>0</v>
      </c>
      <c r="I3020" s="275" t="s">
        <v>15214</v>
      </c>
    </row>
    <row r="3021" spans="1:9" x14ac:dyDescent="0.25">
      <c r="A3021" s="299">
        <v>42972</v>
      </c>
      <c r="B3021" s="302" t="s">
        <v>26890</v>
      </c>
      <c r="C3021">
        <v>124993</v>
      </c>
      <c r="D3021" s="236" t="s">
        <v>15240</v>
      </c>
      <c r="E3021" s="301">
        <v>3070.2</v>
      </c>
      <c r="F3021" s="303">
        <v>42973</v>
      </c>
      <c r="G3021" s="301">
        <v>3070.2</v>
      </c>
      <c r="H3021" s="304">
        <f>Tabla13[[#This Row],[Importe]]-Tabla13[[#This Row],[Pagado]]</f>
        <v>0</v>
      </c>
      <c r="I3021" s="275" t="s">
        <v>15214</v>
      </c>
    </row>
    <row r="3022" spans="1:9" x14ac:dyDescent="0.25">
      <c r="A3022" s="299">
        <v>42972</v>
      </c>
      <c r="B3022" s="302" t="s">
        <v>26891</v>
      </c>
      <c r="C3022">
        <v>124994</v>
      </c>
      <c r="D3022" s="236" t="s">
        <v>16484</v>
      </c>
      <c r="E3022" s="301">
        <v>1490.4</v>
      </c>
      <c r="F3022" s="303">
        <v>42972</v>
      </c>
      <c r="G3022" s="301">
        <v>1490.4</v>
      </c>
      <c r="H3022" s="304">
        <f>Tabla13[[#This Row],[Importe]]-Tabla13[[#This Row],[Pagado]]</f>
        <v>0</v>
      </c>
      <c r="I3022" s="275" t="s">
        <v>15214</v>
      </c>
    </row>
    <row r="3023" spans="1:9" x14ac:dyDescent="0.25">
      <c r="A3023" s="299">
        <v>42972</v>
      </c>
      <c r="B3023" s="302" t="s">
        <v>26892</v>
      </c>
      <c r="C3023">
        <v>124995</v>
      </c>
      <c r="D3023" s="236" t="s">
        <v>15338</v>
      </c>
      <c r="E3023" s="301">
        <v>8091.6</v>
      </c>
      <c r="F3023" s="303">
        <v>42976</v>
      </c>
      <c r="G3023" s="301">
        <v>8091.6</v>
      </c>
      <c r="H3023" s="304">
        <f>Tabla13[[#This Row],[Importe]]-Tabla13[[#This Row],[Pagado]]</f>
        <v>0</v>
      </c>
      <c r="I3023" s="275" t="s">
        <v>15214</v>
      </c>
    </row>
    <row r="3024" spans="1:9" x14ac:dyDescent="0.25">
      <c r="A3024" s="299">
        <v>42972</v>
      </c>
      <c r="B3024" s="302" t="s">
        <v>26893</v>
      </c>
      <c r="C3024">
        <v>124996</v>
      </c>
      <c r="D3024" s="236" t="s">
        <v>15987</v>
      </c>
      <c r="E3024" s="301">
        <v>3794.4</v>
      </c>
      <c r="F3024" s="303">
        <v>42972</v>
      </c>
      <c r="G3024" s="301">
        <v>3794.4</v>
      </c>
      <c r="H3024" s="304">
        <f>Tabla13[[#This Row],[Importe]]-Tabla13[[#This Row],[Pagado]]</f>
        <v>0</v>
      </c>
      <c r="I3024" s="275" t="s">
        <v>15214</v>
      </c>
    </row>
    <row r="3025" spans="1:9" x14ac:dyDescent="0.25">
      <c r="A3025" s="299">
        <v>42972</v>
      </c>
      <c r="B3025" s="302" t="s">
        <v>26894</v>
      </c>
      <c r="C3025">
        <v>124997</v>
      </c>
      <c r="D3025" s="236" t="s">
        <v>15523</v>
      </c>
      <c r="E3025" s="301">
        <v>2820</v>
      </c>
      <c r="F3025" s="303">
        <v>42972</v>
      </c>
      <c r="G3025" s="301">
        <v>2820</v>
      </c>
      <c r="H3025" s="304">
        <f>Tabla13[[#This Row],[Importe]]-Tabla13[[#This Row],[Pagado]]</f>
        <v>0</v>
      </c>
      <c r="I3025" s="275" t="s">
        <v>15214</v>
      </c>
    </row>
    <row r="3026" spans="1:9" x14ac:dyDescent="0.25">
      <c r="A3026" s="299">
        <v>42972</v>
      </c>
      <c r="B3026" s="302" t="s">
        <v>26895</v>
      </c>
      <c r="C3026">
        <v>124998</v>
      </c>
      <c r="D3026" s="236" t="s">
        <v>18544</v>
      </c>
      <c r="E3026" s="301">
        <v>3493.8</v>
      </c>
      <c r="F3026" s="303">
        <v>42972</v>
      </c>
      <c r="G3026" s="301">
        <v>3493.8</v>
      </c>
      <c r="H3026" s="304">
        <f>Tabla13[[#This Row],[Importe]]-Tabla13[[#This Row],[Pagado]]</f>
        <v>0</v>
      </c>
      <c r="I3026" s="275" t="s">
        <v>15214</v>
      </c>
    </row>
    <row r="3027" spans="1:9" x14ac:dyDescent="0.25">
      <c r="A3027" s="299">
        <v>42972</v>
      </c>
      <c r="B3027" s="302" t="s">
        <v>26896</v>
      </c>
      <c r="C3027">
        <v>124999</v>
      </c>
      <c r="D3027" s="236" t="s">
        <v>15223</v>
      </c>
      <c r="E3027" s="301">
        <v>51246</v>
      </c>
      <c r="F3027" s="303">
        <v>42994</v>
      </c>
      <c r="G3027" s="301">
        <v>51246</v>
      </c>
      <c r="H3027" s="304">
        <f>Tabla13[[#This Row],[Importe]]-Tabla13[[#This Row],[Pagado]]</f>
        <v>0</v>
      </c>
      <c r="I3027" s="275" t="s">
        <v>15214</v>
      </c>
    </row>
    <row r="3028" spans="1:9" ht="30" x14ac:dyDescent="0.25">
      <c r="A3028" s="299">
        <v>42972</v>
      </c>
      <c r="B3028" s="302" t="s">
        <v>26897</v>
      </c>
      <c r="C3028">
        <v>125000</v>
      </c>
      <c r="D3028" s="236" t="s">
        <v>15250</v>
      </c>
      <c r="E3028" s="301">
        <v>80391.08</v>
      </c>
      <c r="F3028" s="303" t="s">
        <v>27690</v>
      </c>
      <c r="G3028" s="305">
        <f>69455.34+10935.74</f>
        <v>80391.08</v>
      </c>
      <c r="H3028" s="360">
        <f>Tabla13[[#This Row],[Importe]]-Tabla13[[#This Row],[Pagado]]</f>
        <v>0</v>
      </c>
      <c r="I3028" s="275" t="s">
        <v>15214</v>
      </c>
    </row>
    <row r="3029" spans="1:9" x14ac:dyDescent="0.25">
      <c r="A3029" s="319">
        <v>42972</v>
      </c>
      <c r="B3029" s="320" t="s">
        <v>26898</v>
      </c>
      <c r="C3029" s="321">
        <v>125001</v>
      </c>
      <c r="D3029" s="142" t="s">
        <v>15858</v>
      </c>
      <c r="E3029" s="322">
        <v>4075.56</v>
      </c>
      <c r="F3029" s="323">
        <v>42972</v>
      </c>
      <c r="G3029" s="322">
        <v>4075.56</v>
      </c>
      <c r="H3029" s="324">
        <f>Tabla13[[#This Row],[Importe]]-Tabla13[[#This Row],[Pagado]]</f>
        <v>0</v>
      </c>
      <c r="I3029" s="325" t="s">
        <v>15214</v>
      </c>
    </row>
    <row r="3030" spans="1:9" x14ac:dyDescent="0.25">
      <c r="A3030" s="299">
        <v>42972</v>
      </c>
      <c r="B3030" s="326" t="s">
        <v>26899</v>
      </c>
      <c r="C3030" s="327">
        <v>125002</v>
      </c>
      <c r="D3030" s="136" t="s">
        <v>15526</v>
      </c>
      <c r="E3030" s="328">
        <v>4201.8999999999996</v>
      </c>
      <c r="F3030" s="329">
        <v>42972</v>
      </c>
      <c r="G3030" s="328">
        <v>4201.8999999999996</v>
      </c>
      <c r="H3030" s="330">
        <f>Tabla13[[#This Row],[Importe]]-Tabla13[[#This Row],[Pagado]]</f>
        <v>0</v>
      </c>
      <c r="I3030" s="331" t="s">
        <v>15214</v>
      </c>
    </row>
    <row r="3031" spans="1:9" ht="15.75" x14ac:dyDescent="0.25">
      <c r="A3031" s="319">
        <v>42972</v>
      </c>
      <c r="B3031" s="320" t="s">
        <v>26900</v>
      </c>
      <c r="C3031" s="321">
        <v>125003</v>
      </c>
      <c r="D3031" s="332" t="s">
        <v>95</v>
      </c>
      <c r="E3031" s="322">
        <v>0</v>
      </c>
      <c r="F3031" s="333" t="s">
        <v>95</v>
      </c>
      <c r="G3031" s="322">
        <v>0</v>
      </c>
      <c r="H3031" s="324">
        <f>Tabla13[[#This Row],[Importe]]-Tabla13[[#This Row],[Pagado]]</f>
        <v>0</v>
      </c>
      <c r="I3031" s="325" t="s">
        <v>95</v>
      </c>
    </row>
    <row r="3032" spans="1:9" x14ac:dyDescent="0.25">
      <c r="A3032" s="299">
        <v>42972</v>
      </c>
      <c r="B3032" s="326" t="s">
        <v>26901</v>
      </c>
      <c r="C3032" s="327">
        <v>125004</v>
      </c>
      <c r="D3032" s="136" t="s">
        <v>16023</v>
      </c>
      <c r="E3032" s="328">
        <v>2394.8000000000002</v>
      </c>
      <c r="F3032" s="329">
        <v>42972</v>
      </c>
      <c r="G3032" s="328">
        <v>2394.8000000000002</v>
      </c>
      <c r="H3032" s="330">
        <f>Tabla13[[#This Row],[Importe]]-Tabla13[[#This Row],[Pagado]]</f>
        <v>0</v>
      </c>
      <c r="I3032" s="331" t="s">
        <v>15214</v>
      </c>
    </row>
    <row r="3033" spans="1:9" x14ac:dyDescent="0.25">
      <c r="A3033" s="319">
        <v>42972</v>
      </c>
      <c r="B3033" s="320" t="s">
        <v>26902</v>
      </c>
      <c r="C3033" s="321">
        <v>125005</v>
      </c>
      <c r="D3033" s="142" t="s">
        <v>15344</v>
      </c>
      <c r="E3033" s="322">
        <v>2445.1</v>
      </c>
      <c r="F3033" s="323">
        <v>42972</v>
      </c>
      <c r="G3033" s="322">
        <v>2445.1</v>
      </c>
      <c r="H3033" s="324">
        <f>Tabla13[[#This Row],[Importe]]-Tabla13[[#This Row],[Pagado]]</f>
        <v>0</v>
      </c>
      <c r="I3033" s="325" t="s">
        <v>15214</v>
      </c>
    </row>
    <row r="3034" spans="1:9" x14ac:dyDescent="0.25">
      <c r="A3034" s="299">
        <v>42972</v>
      </c>
      <c r="B3034" s="326" t="s">
        <v>26903</v>
      </c>
      <c r="C3034" s="327">
        <v>125006</v>
      </c>
      <c r="D3034" s="136" t="s">
        <v>15596</v>
      </c>
      <c r="E3034" s="328">
        <v>940</v>
      </c>
      <c r="F3034" s="329">
        <v>42972</v>
      </c>
      <c r="G3034" s="328">
        <v>940</v>
      </c>
      <c r="H3034" s="330">
        <f>Tabla13[[#This Row],[Importe]]-Tabla13[[#This Row],[Pagado]]</f>
        <v>0</v>
      </c>
      <c r="I3034" s="331" t="s">
        <v>15214</v>
      </c>
    </row>
    <row r="3035" spans="1:9" ht="30" x14ac:dyDescent="0.25">
      <c r="A3035" s="319">
        <v>42972</v>
      </c>
      <c r="B3035" s="320" t="s">
        <v>26904</v>
      </c>
      <c r="C3035" s="321">
        <v>125007</v>
      </c>
      <c r="D3035" s="142" t="s">
        <v>15234</v>
      </c>
      <c r="E3035" s="322">
        <v>10627.4</v>
      </c>
      <c r="F3035" s="323" t="s">
        <v>26905</v>
      </c>
      <c r="G3035" s="334">
        <f>5000+5627.4</f>
        <v>10627.4</v>
      </c>
      <c r="H3035" s="324">
        <f>Tabla13[[#This Row],[Importe]]-Tabla13[[#This Row],[Pagado]]</f>
        <v>0</v>
      </c>
      <c r="I3035" s="325" t="s">
        <v>15214</v>
      </c>
    </row>
    <row r="3036" spans="1:9" x14ac:dyDescent="0.25">
      <c r="A3036" s="299">
        <v>42972</v>
      </c>
      <c r="B3036" s="326" t="s">
        <v>26906</v>
      </c>
      <c r="C3036" s="327">
        <v>125008</v>
      </c>
      <c r="D3036" s="136" t="s">
        <v>15274</v>
      </c>
      <c r="E3036" s="328">
        <v>940</v>
      </c>
      <c r="F3036" s="329">
        <v>42972</v>
      </c>
      <c r="G3036" s="328">
        <v>940</v>
      </c>
      <c r="H3036" s="330">
        <f>Tabla13[[#This Row],[Importe]]-Tabla13[[#This Row],[Pagado]]</f>
        <v>0</v>
      </c>
      <c r="I3036" s="331" t="s">
        <v>15214</v>
      </c>
    </row>
    <row r="3037" spans="1:9" ht="30" x14ac:dyDescent="0.25">
      <c r="A3037" s="319">
        <v>42972</v>
      </c>
      <c r="B3037" s="320" t="s">
        <v>26907</v>
      </c>
      <c r="C3037" s="321">
        <v>125009</v>
      </c>
      <c r="D3037" s="142" t="s">
        <v>15256</v>
      </c>
      <c r="E3037" s="322">
        <v>8823.6</v>
      </c>
      <c r="F3037" s="323" t="s">
        <v>26908</v>
      </c>
      <c r="G3037" s="334">
        <f>500+8323.6</f>
        <v>8823.6</v>
      </c>
      <c r="H3037" s="324">
        <f>Tabla13[[#This Row],[Importe]]-Tabla13[[#This Row],[Pagado]]</f>
        <v>0</v>
      </c>
      <c r="I3037" s="325" t="s">
        <v>15214</v>
      </c>
    </row>
    <row r="3038" spans="1:9" x14ac:dyDescent="0.25">
      <c r="A3038" s="299">
        <v>42972</v>
      </c>
      <c r="B3038" s="326" t="s">
        <v>26909</v>
      </c>
      <c r="C3038" s="327">
        <v>125010</v>
      </c>
      <c r="D3038" s="136" t="s">
        <v>15315</v>
      </c>
      <c r="E3038" s="328">
        <v>3124.8</v>
      </c>
      <c r="F3038" s="329">
        <v>42972</v>
      </c>
      <c r="G3038" s="328">
        <v>3124.8</v>
      </c>
      <c r="H3038" s="330">
        <f>Tabla13[[#This Row],[Importe]]-Tabla13[[#This Row],[Pagado]]</f>
        <v>0</v>
      </c>
      <c r="I3038" s="331" t="s">
        <v>15214</v>
      </c>
    </row>
    <row r="3039" spans="1:9" x14ac:dyDescent="0.25">
      <c r="A3039" s="319">
        <v>42972</v>
      </c>
      <c r="B3039" s="320" t="s">
        <v>26910</v>
      </c>
      <c r="C3039" s="321">
        <v>125011</v>
      </c>
      <c r="D3039" s="142" t="s">
        <v>15238</v>
      </c>
      <c r="E3039" s="322">
        <v>8112.2</v>
      </c>
      <c r="F3039" s="323">
        <v>42975</v>
      </c>
      <c r="G3039" s="322">
        <v>8112.2</v>
      </c>
      <c r="H3039" s="324">
        <f>Tabla13[[#This Row],[Importe]]-Tabla13[[#This Row],[Pagado]]</f>
        <v>0</v>
      </c>
      <c r="I3039" s="325" t="s">
        <v>15214</v>
      </c>
    </row>
    <row r="3040" spans="1:9" x14ac:dyDescent="0.25">
      <c r="A3040" s="299">
        <v>42972</v>
      </c>
      <c r="B3040" s="326" t="s">
        <v>26911</v>
      </c>
      <c r="C3040" s="327">
        <v>125012</v>
      </c>
      <c r="D3040" s="136" t="s">
        <v>15358</v>
      </c>
      <c r="E3040" s="328">
        <v>2741.6</v>
      </c>
      <c r="F3040" s="329">
        <v>42972</v>
      </c>
      <c r="G3040" s="328">
        <v>2741.6</v>
      </c>
      <c r="H3040" s="330">
        <f>Tabla13[[#This Row],[Importe]]-Tabla13[[#This Row],[Pagado]]</f>
        <v>0</v>
      </c>
      <c r="I3040" s="331" t="s">
        <v>15214</v>
      </c>
    </row>
    <row r="3041" spans="1:9" x14ac:dyDescent="0.25">
      <c r="A3041" s="319">
        <v>42972</v>
      </c>
      <c r="B3041" s="320" t="s">
        <v>26912</v>
      </c>
      <c r="C3041" s="321">
        <v>125013</v>
      </c>
      <c r="D3041" s="142" t="s">
        <v>17929</v>
      </c>
      <c r="E3041" s="322">
        <v>1514.1</v>
      </c>
      <c r="F3041" s="323">
        <v>42972</v>
      </c>
      <c r="G3041" s="322">
        <v>1514.1</v>
      </c>
      <c r="H3041" s="324">
        <f>Tabla13[[#This Row],[Importe]]-Tabla13[[#This Row],[Pagado]]</f>
        <v>0</v>
      </c>
      <c r="I3041" s="325" t="s">
        <v>15214</v>
      </c>
    </row>
    <row r="3042" spans="1:9" x14ac:dyDescent="0.25">
      <c r="A3042" s="299">
        <v>42972</v>
      </c>
      <c r="B3042" s="326" t="s">
        <v>26913</v>
      </c>
      <c r="C3042" s="327">
        <v>125014</v>
      </c>
      <c r="D3042" s="136" t="s">
        <v>15274</v>
      </c>
      <c r="E3042" s="328">
        <v>3496.8</v>
      </c>
      <c r="F3042" s="323">
        <v>42972</v>
      </c>
      <c r="G3042" s="328">
        <v>3496.8</v>
      </c>
      <c r="H3042" s="330">
        <f>Tabla13[[#This Row],[Importe]]-Tabla13[[#This Row],[Pagado]]</f>
        <v>0</v>
      </c>
      <c r="I3042" s="331" t="s">
        <v>15214</v>
      </c>
    </row>
    <row r="3043" spans="1:9" x14ac:dyDescent="0.25">
      <c r="A3043" s="319">
        <v>42972</v>
      </c>
      <c r="B3043" s="320" t="s">
        <v>26914</v>
      </c>
      <c r="C3043" s="321">
        <v>125015</v>
      </c>
      <c r="D3043" s="142" t="s">
        <v>15226</v>
      </c>
      <c r="E3043" s="322">
        <v>2875.2</v>
      </c>
      <c r="F3043" s="323">
        <v>42975</v>
      </c>
      <c r="G3043" s="322">
        <v>2875.2</v>
      </c>
      <c r="H3043" s="324">
        <f>Tabla13[[#This Row],[Importe]]-Tabla13[[#This Row],[Pagado]]</f>
        <v>0</v>
      </c>
      <c r="I3043" s="325" t="s">
        <v>15214</v>
      </c>
    </row>
    <row r="3044" spans="1:9" x14ac:dyDescent="0.25">
      <c r="A3044" s="299">
        <v>42972</v>
      </c>
      <c r="B3044" s="326" t="s">
        <v>26915</v>
      </c>
      <c r="C3044" s="327">
        <v>125016</v>
      </c>
      <c r="D3044" s="136" t="s">
        <v>15530</v>
      </c>
      <c r="E3044" s="328">
        <v>907.2</v>
      </c>
      <c r="F3044" s="323">
        <v>42972</v>
      </c>
      <c r="G3044" s="328">
        <v>907.2</v>
      </c>
      <c r="H3044" s="330">
        <f>Tabla13[[#This Row],[Importe]]-Tabla13[[#This Row],[Pagado]]</f>
        <v>0</v>
      </c>
      <c r="I3044" s="331" t="s">
        <v>15214</v>
      </c>
    </row>
    <row r="3045" spans="1:9" ht="45" x14ac:dyDescent="0.25">
      <c r="A3045" s="319">
        <v>42972</v>
      </c>
      <c r="B3045" s="320" t="s">
        <v>26916</v>
      </c>
      <c r="C3045" s="321">
        <v>125017</v>
      </c>
      <c r="D3045" s="142" t="s">
        <v>15228</v>
      </c>
      <c r="E3045" s="322">
        <v>32767.35</v>
      </c>
      <c r="F3045" s="323" t="s">
        <v>26917</v>
      </c>
      <c r="G3045" s="334">
        <f>7900+16000+4500+4367.35</f>
        <v>32767.35</v>
      </c>
      <c r="H3045" s="324">
        <f>Tabla13[[#This Row],[Importe]]-Tabla13[[#This Row],[Pagado]]</f>
        <v>0</v>
      </c>
      <c r="I3045" s="325" t="s">
        <v>15214</v>
      </c>
    </row>
    <row r="3046" spans="1:9" x14ac:dyDescent="0.25">
      <c r="A3046" s="299">
        <v>42972</v>
      </c>
      <c r="B3046" s="326" t="s">
        <v>26918</v>
      </c>
      <c r="C3046" s="327">
        <v>125018</v>
      </c>
      <c r="D3046" s="136" t="s">
        <v>15748</v>
      </c>
      <c r="E3046" s="328">
        <v>5085.72</v>
      </c>
      <c r="F3046" s="323">
        <v>42972</v>
      </c>
      <c r="G3046" s="328">
        <v>5085.72</v>
      </c>
      <c r="H3046" s="330">
        <f>Tabla13[[#This Row],[Importe]]-Tabla13[[#This Row],[Pagado]]</f>
        <v>0</v>
      </c>
      <c r="I3046" s="331" t="s">
        <v>15214</v>
      </c>
    </row>
    <row r="3047" spans="1:9" x14ac:dyDescent="0.25">
      <c r="A3047" s="319">
        <v>42972</v>
      </c>
      <c r="B3047" s="320" t="s">
        <v>26919</v>
      </c>
      <c r="C3047" s="321">
        <v>125019</v>
      </c>
      <c r="D3047" s="142" t="s">
        <v>15284</v>
      </c>
      <c r="E3047" s="322">
        <v>1582.5</v>
      </c>
      <c r="F3047" s="323">
        <v>42972</v>
      </c>
      <c r="G3047" s="322">
        <v>1582.5</v>
      </c>
      <c r="H3047" s="324">
        <f>Tabla13[[#This Row],[Importe]]-Tabla13[[#This Row],[Pagado]]</f>
        <v>0</v>
      </c>
      <c r="I3047" s="325" t="s">
        <v>15214</v>
      </c>
    </row>
    <row r="3048" spans="1:9" x14ac:dyDescent="0.25">
      <c r="A3048" s="299">
        <v>42972</v>
      </c>
      <c r="B3048" s="320" t="s">
        <v>26920</v>
      </c>
      <c r="C3048" s="321">
        <v>125020</v>
      </c>
      <c r="D3048" s="142" t="s">
        <v>15336</v>
      </c>
      <c r="E3048" s="322">
        <v>6318.8</v>
      </c>
      <c r="F3048" s="323">
        <v>42972</v>
      </c>
      <c r="G3048" s="322">
        <v>6318.8</v>
      </c>
      <c r="H3048" s="324">
        <f>Tabla13[[#This Row],[Importe]]-Tabla13[[#This Row],[Pagado]]</f>
        <v>0</v>
      </c>
      <c r="I3048" s="325" t="s">
        <v>15214</v>
      </c>
    </row>
    <row r="3049" spans="1:9" x14ac:dyDescent="0.25">
      <c r="A3049" s="335">
        <v>42972</v>
      </c>
      <c r="B3049" s="336" t="s">
        <v>26921</v>
      </c>
      <c r="C3049" s="337">
        <v>125021</v>
      </c>
      <c r="D3049" s="338" t="s">
        <v>15223</v>
      </c>
      <c r="E3049" s="339">
        <v>390.5</v>
      </c>
      <c r="F3049" s="340">
        <v>42973</v>
      </c>
      <c r="G3049" s="339">
        <v>390.5</v>
      </c>
      <c r="H3049" s="341">
        <f>Tabla13[[#This Row],[Importe]]-Tabla13[[#This Row],[Pagado]]</f>
        <v>0</v>
      </c>
      <c r="I3049" s="342" t="s">
        <v>15214</v>
      </c>
    </row>
    <row r="3050" spans="1:9" x14ac:dyDescent="0.25">
      <c r="A3050" s="299">
        <v>42972</v>
      </c>
      <c r="B3050" s="320" t="s">
        <v>26922</v>
      </c>
      <c r="C3050" s="321">
        <v>125022</v>
      </c>
      <c r="D3050" s="142" t="s">
        <v>17210</v>
      </c>
      <c r="E3050" s="322">
        <v>4728.6000000000004</v>
      </c>
      <c r="F3050" s="323">
        <v>42972</v>
      </c>
      <c r="G3050" s="322">
        <v>4728.6000000000004</v>
      </c>
      <c r="H3050" s="324">
        <f>Tabla13[[#This Row],[Importe]]-Tabla13[[#This Row],[Pagado]]</f>
        <v>0</v>
      </c>
      <c r="I3050" s="325" t="s">
        <v>15214</v>
      </c>
    </row>
    <row r="3051" spans="1:9" x14ac:dyDescent="0.25">
      <c r="A3051" s="335">
        <v>42972</v>
      </c>
      <c r="B3051" s="336" t="s">
        <v>26923</v>
      </c>
      <c r="C3051" s="337">
        <v>125023</v>
      </c>
      <c r="D3051" s="338" t="s">
        <v>15248</v>
      </c>
      <c r="E3051" s="339">
        <v>19597.22</v>
      </c>
      <c r="F3051" s="340">
        <v>42973</v>
      </c>
      <c r="G3051" s="339">
        <v>19597.22</v>
      </c>
      <c r="H3051" s="341">
        <f>Tabla13[[#This Row],[Importe]]-Tabla13[[#This Row],[Pagado]]</f>
        <v>0</v>
      </c>
      <c r="I3051" s="342" t="s">
        <v>15214</v>
      </c>
    </row>
    <row r="3052" spans="1:9" x14ac:dyDescent="0.25">
      <c r="A3052" s="299">
        <v>42972</v>
      </c>
      <c r="B3052" s="320" t="s">
        <v>26924</v>
      </c>
      <c r="C3052" s="321">
        <v>125024</v>
      </c>
      <c r="D3052" s="142" t="s">
        <v>15315</v>
      </c>
      <c r="E3052" s="322">
        <v>2469.6</v>
      </c>
      <c r="F3052" s="323">
        <v>42972</v>
      </c>
      <c r="G3052" s="322">
        <v>2469.6</v>
      </c>
      <c r="H3052" s="324">
        <f>Tabla13[[#This Row],[Importe]]-Tabla13[[#This Row],[Pagado]]</f>
        <v>0</v>
      </c>
      <c r="I3052" s="325" t="s">
        <v>15214</v>
      </c>
    </row>
    <row r="3053" spans="1:9" x14ac:dyDescent="0.25">
      <c r="A3053" s="335">
        <v>42972</v>
      </c>
      <c r="B3053" s="336" t="s">
        <v>26925</v>
      </c>
      <c r="C3053" s="337">
        <v>125025</v>
      </c>
      <c r="D3053" s="338" t="s">
        <v>15861</v>
      </c>
      <c r="E3053" s="339">
        <v>1474.2</v>
      </c>
      <c r="F3053" s="343">
        <v>42972</v>
      </c>
      <c r="G3053" s="339">
        <v>1474.2</v>
      </c>
      <c r="H3053" s="341">
        <f>Tabla13[[#This Row],[Importe]]-Tabla13[[#This Row],[Pagado]]</f>
        <v>0</v>
      </c>
      <c r="I3053" s="342" t="s">
        <v>15214</v>
      </c>
    </row>
    <row r="3054" spans="1:9" ht="30" x14ac:dyDescent="0.25">
      <c r="A3054" s="299">
        <v>42972</v>
      </c>
      <c r="B3054" s="320" t="s">
        <v>26926</v>
      </c>
      <c r="C3054" s="321">
        <v>125026</v>
      </c>
      <c r="D3054" s="142" t="s">
        <v>15624</v>
      </c>
      <c r="E3054" s="322">
        <v>34132.699999999997</v>
      </c>
      <c r="F3054" s="323" t="s">
        <v>26927</v>
      </c>
      <c r="G3054" s="334">
        <f>10000+24132.7</f>
        <v>34132.699999999997</v>
      </c>
      <c r="H3054" s="324">
        <f>Tabla13[[#This Row],[Importe]]-Tabla13[[#This Row],[Pagado]]</f>
        <v>0</v>
      </c>
      <c r="I3054" s="325" t="s">
        <v>15214</v>
      </c>
    </row>
    <row r="3055" spans="1:9" x14ac:dyDescent="0.25">
      <c r="A3055" s="335">
        <v>42972</v>
      </c>
      <c r="B3055" s="336" t="s">
        <v>26928</v>
      </c>
      <c r="C3055" s="337">
        <v>125027</v>
      </c>
      <c r="D3055" s="338" t="s">
        <v>15303</v>
      </c>
      <c r="E3055" s="339">
        <v>3173.4</v>
      </c>
      <c r="F3055" s="340">
        <v>42973</v>
      </c>
      <c r="G3055" s="339">
        <v>3173.4</v>
      </c>
      <c r="H3055" s="341">
        <f>Tabla13[[#This Row],[Importe]]-Tabla13[[#This Row],[Pagado]]</f>
        <v>0</v>
      </c>
      <c r="I3055" s="342" t="s">
        <v>15214</v>
      </c>
    </row>
    <row r="3056" spans="1:9" x14ac:dyDescent="0.25">
      <c r="A3056" s="299">
        <v>42972</v>
      </c>
      <c r="B3056" s="320" t="s">
        <v>26929</v>
      </c>
      <c r="C3056" s="321">
        <v>125028</v>
      </c>
      <c r="D3056" s="142" t="s">
        <v>15309</v>
      </c>
      <c r="E3056" s="322">
        <v>4992.3999999999996</v>
      </c>
      <c r="F3056" s="323">
        <v>42973</v>
      </c>
      <c r="G3056" s="322">
        <v>4992.3999999999996</v>
      </c>
      <c r="H3056" s="324">
        <f>Tabla13[[#This Row],[Importe]]-Tabla13[[#This Row],[Pagado]]</f>
        <v>0</v>
      </c>
      <c r="I3056" s="325" t="s">
        <v>15214</v>
      </c>
    </row>
    <row r="3057" spans="1:9" x14ac:dyDescent="0.25">
      <c r="A3057" s="335">
        <v>42972</v>
      </c>
      <c r="B3057" s="336" t="s">
        <v>26930</v>
      </c>
      <c r="C3057" s="337">
        <v>125029</v>
      </c>
      <c r="D3057" s="338" t="s">
        <v>15291</v>
      </c>
      <c r="E3057" s="339">
        <v>1222</v>
      </c>
      <c r="F3057" s="340">
        <v>42973</v>
      </c>
      <c r="G3057" s="339">
        <v>1222</v>
      </c>
      <c r="H3057" s="341">
        <f>Tabla13[[#This Row],[Importe]]-Tabla13[[#This Row],[Pagado]]</f>
        <v>0</v>
      </c>
      <c r="I3057" s="342" t="s">
        <v>15214</v>
      </c>
    </row>
    <row r="3058" spans="1:9" x14ac:dyDescent="0.25">
      <c r="A3058" s="299">
        <v>42972</v>
      </c>
      <c r="B3058" s="326" t="s">
        <v>26931</v>
      </c>
      <c r="C3058" s="327">
        <v>125030</v>
      </c>
      <c r="D3058" s="136" t="s">
        <v>15415</v>
      </c>
      <c r="E3058" s="328">
        <v>3565.1</v>
      </c>
      <c r="F3058" s="329">
        <v>42976</v>
      </c>
      <c r="G3058" s="328">
        <v>3565.1</v>
      </c>
      <c r="H3058" s="330">
        <f>Tabla13[[#This Row],[Importe]]-Tabla13[[#This Row],[Pagado]]</f>
        <v>0</v>
      </c>
      <c r="I3058" s="331" t="s">
        <v>15214</v>
      </c>
    </row>
    <row r="3059" spans="1:9" x14ac:dyDescent="0.25">
      <c r="A3059" s="319">
        <v>42972</v>
      </c>
      <c r="B3059" s="320" t="s">
        <v>26932</v>
      </c>
      <c r="C3059" s="321">
        <v>125031</v>
      </c>
      <c r="D3059" s="142" t="s">
        <v>15861</v>
      </c>
      <c r="E3059" s="322">
        <v>110</v>
      </c>
      <c r="F3059" s="323">
        <v>42972</v>
      </c>
      <c r="G3059" s="322">
        <v>110</v>
      </c>
      <c r="H3059" s="324">
        <f>Tabla13[[#This Row],[Importe]]-Tabla13[[#This Row],[Pagado]]</f>
        <v>0</v>
      </c>
      <c r="I3059" s="325" t="s">
        <v>15214</v>
      </c>
    </row>
    <row r="3060" spans="1:9" x14ac:dyDescent="0.25">
      <c r="A3060" s="299">
        <v>42972</v>
      </c>
      <c r="B3060" s="326" t="s">
        <v>26933</v>
      </c>
      <c r="C3060" s="327">
        <v>125032</v>
      </c>
      <c r="D3060" s="136" t="s">
        <v>15577</v>
      </c>
      <c r="E3060" s="328">
        <v>909.6</v>
      </c>
      <c r="F3060" s="323">
        <v>42972</v>
      </c>
      <c r="G3060" s="328">
        <v>909.6</v>
      </c>
      <c r="H3060" s="330">
        <f>Tabla13[[#This Row],[Importe]]-Tabla13[[#This Row],[Pagado]]</f>
        <v>0</v>
      </c>
      <c r="I3060" s="331" t="s">
        <v>15214</v>
      </c>
    </row>
    <row r="3061" spans="1:9" x14ac:dyDescent="0.25">
      <c r="A3061" s="319">
        <v>42972</v>
      </c>
      <c r="B3061" s="320" t="s">
        <v>26934</v>
      </c>
      <c r="C3061" s="321">
        <v>125033</v>
      </c>
      <c r="D3061" s="142" t="s">
        <v>15278</v>
      </c>
      <c r="E3061" s="322">
        <v>8783.4</v>
      </c>
      <c r="F3061" s="323">
        <v>42972</v>
      </c>
      <c r="G3061" s="322">
        <v>8783.4</v>
      </c>
      <c r="H3061" s="324">
        <f>Tabla13[[#This Row],[Importe]]-Tabla13[[#This Row],[Pagado]]</f>
        <v>0</v>
      </c>
      <c r="I3061" s="325" t="s">
        <v>15214</v>
      </c>
    </row>
    <row r="3062" spans="1:9" x14ac:dyDescent="0.25">
      <c r="A3062" s="299">
        <v>42972</v>
      </c>
      <c r="B3062" s="326" t="s">
        <v>26935</v>
      </c>
      <c r="C3062" s="327">
        <v>125034</v>
      </c>
      <c r="D3062" s="136" t="s">
        <v>17800</v>
      </c>
      <c r="E3062" s="328">
        <v>5192</v>
      </c>
      <c r="F3062" s="329">
        <v>42973</v>
      </c>
      <c r="G3062" s="328">
        <v>5192</v>
      </c>
      <c r="H3062" s="330">
        <f>Tabla13[[#This Row],[Importe]]-Tabla13[[#This Row],[Pagado]]</f>
        <v>0</v>
      </c>
      <c r="I3062" s="331" t="s">
        <v>15214</v>
      </c>
    </row>
    <row r="3063" spans="1:9" ht="15.75" x14ac:dyDescent="0.25">
      <c r="A3063" s="319">
        <v>42972</v>
      </c>
      <c r="B3063" s="320" t="s">
        <v>26936</v>
      </c>
      <c r="C3063" s="321">
        <v>125035</v>
      </c>
      <c r="D3063" s="332" t="s">
        <v>95</v>
      </c>
      <c r="E3063" s="322">
        <v>0</v>
      </c>
      <c r="F3063" s="333" t="s">
        <v>95</v>
      </c>
      <c r="G3063" s="322">
        <v>0</v>
      </c>
      <c r="H3063" s="324">
        <f>Tabla13[[#This Row],[Importe]]-Tabla13[[#This Row],[Pagado]]</f>
        <v>0</v>
      </c>
      <c r="I3063" s="344" t="s">
        <v>22800</v>
      </c>
    </row>
    <row r="3064" spans="1:9" ht="15.75" x14ac:dyDescent="0.25">
      <c r="A3064" s="299">
        <v>42972</v>
      </c>
      <c r="B3064" s="326" t="s">
        <v>26937</v>
      </c>
      <c r="C3064" s="327">
        <v>125036</v>
      </c>
      <c r="D3064" s="345" t="s">
        <v>95</v>
      </c>
      <c r="E3064" s="328">
        <v>0</v>
      </c>
      <c r="F3064" s="346" t="s">
        <v>95</v>
      </c>
      <c r="G3064" s="328">
        <v>0</v>
      </c>
      <c r="H3064" s="330">
        <f>Tabla13[[#This Row],[Importe]]-Tabla13[[#This Row],[Pagado]]</f>
        <v>0</v>
      </c>
      <c r="I3064" s="331" t="s">
        <v>95</v>
      </c>
    </row>
    <row r="3065" spans="1:9" x14ac:dyDescent="0.25">
      <c r="A3065" s="319">
        <v>42972</v>
      </c>
      <c r="B3065" s="320" t="s">
        <v>26938</v>
      </c>
      <c r="C3065" s="321">
        <v>125037</v>
      </c>
      <c r="D3065" s="142" t="s">
        <v>15311</v>
      </c>
      <c r="E3065" s="322">
        <v>1924</v>
      </c>
      <c r="F3065" s="323">
        <v>42973</v>
      </c>
      <c r="G3065" s="322">
        <v>1924</v>
      </c>
      <c r="H3065" s="324">
        <f>Tabla13[[#This Row],[Importe]]-Tabla13[[#This Row],[Pagado]]</f>
        <v>0</v>
      </c>
      <c r="I3065" s="325" t="s">
        <v>15214</v>
      </c>
    </row>
    <row r="3066" spans="1:9" x14ac:dyDescent="0.25">
      <c r="A3066" s="299">
        <v>42972</v>
      </c>
      <c r="B3066" s="326" t="s">
        <v>26939</v>
      </c>
      <c r="C3066" s="327">
        <v>125038</v>
      </c>
      <c r="D3066" s="136" t="s">
        <v>15246</v>
      </c>
      <c r="E3066" s="328">
        <v>1987</v>
      </c>
      <c r="F3066" s="329">
        <v>42977</v>
      </c>
      <c r="G3066" s="328">
        <v>1987</v>
      </c>
      <c r="H3066" s="330">
        <f>Tabla13[[#This Row],[Importe]]-Tabla13[[#This Row],[Pagado]]</f>
        <v>0</v>
      </c>
      <c r="I3066" s="331" t="s">
        <v>15214</v>
      </c>
    </row>
    <row r="3067" spans="1:9" x14ac:dyDescent="0.25">
      <c r="A3067" s="319">
        <v>42972</v>
      </c>
      <c r="B3067" s="320" t="s">
        <v>26940</v>
      </c>
      <c r="C3067" s="321">
        <v>125039</v>
      </c>
      <c r="D3067" s="142" t="s">
        <v>15280</v>
      </c>
      <c r="E3067" s="322">
        <v>7217.6</v>
      </c>
      <c r="F3067" s="323">
        <v>42972</v>
      </c>
      <c r="G3067" s="322">
        <v>7217.6</v>
      </c>
      <c r="H3067" s="324">
        <f>Tabla13[[#This Row],[Importe]]-Tabla13[[#This Row],[Pagado]]</f>
        <v>0</v>
      </c>
      <c r="I3067" s="325" t="s">
        <v>15214</v>
      </c>
    </row>
    <row r="3068" spans="1:9" x14ac:dyDescent="0.25">
      <c r="A3068" s="299">
        <v>42972</v>
      </c>
      <c r="B3068" s="320" t="s">
        <v>26941</v>
      </c>
      <c r="C3068" s="321">
        <v>125040</v>
      </c>
      <c r="D3068" s="142" t="s">
        <v>15367</v>
      </c>
      <c r="E3068" s="322">
        <v>6200</v>
      </c>
      <c r="F3068" s="323">
        <v>42973</v>
      </c>
      <c r="G3068" s="322">
        <v>6200</v>
      </c>
      <c r="H3068" s="324">
        <f>Tabla13[[#This Row],[Importe]]-Tabla13[[#This Row],[Pagado]]</f>
        <v>0</v>
      </c>
      <c r="I3068" s="325" t="s">
        <v>15214</v>
      </c>
    </row>
    <row r="3069" spans="1:9" ht="45" x14ac:dyDescent="0.25">
      <c r="A3069" s="319">
        <v>42972</v>
      </c>
      <c r="B3069" s="326" t="s">
        <v>26942</v>
      </c>
      <c r="C3069" s="327">
        <v>125041</v>
      </c>
      <c r="D3069" s="136" t="s">
        <v>15373</v>
      </c>
      <c r="E3069" s="328">
        <v>23229.200000000001</v>
      </c>
      <c r="F3069" s="329" t="s">
        <v>26943</v>
      </c>
      <c r="G3069" s="347">
        <f>3543+17000+2686.2</f>
        <v>23229.200000000001</v>
      </c>
      <c r="H3069" s="348">
        <f>Tabla13[[#This Row],[Importe]]-Tabla13[[#This Row],[Pagado]]</f>
        <v>0</v>
      </c>
      <c r="I3069" s="331" t="s">
        <v>15214</v>
      </c>
    </row>
    <row r="3070" spans="1:9" x14ac:dyDescent="0.25">
      <c r="A3070" s="299">
        <v>42972</v>
      </c>
      <c r="B3070" s="320" t="s">
        <v>26944</v>
      </c>
      <c r="C3070" s="321">
        <v>125042</v>
      </c>
      <c r="D3070" s="142" t="s">
        <v>15394</v>
      </c>
      <c r="E3070" s="322">
        <v>22317.599999999999</v>
      </c>
      <c r="F3070" s="323">
        <v>42978</v>
      </c>
      <c r="G3070" s="322">
        <v>22317.599999999999</v>
      </c>
      <c r="H3070" s="324">
        <f>Tabla13[[#This Row],[Importe]]-Tabla13[[#This Row],[Pagado]]</f>
        <v>0</v>
      </c>
      <c r="I3070" s="325" t="s">
        <v>15214</v>
      </c>
    </row>
    <row r="3071" spans="1:9" x14ac:dyDescent="0.25">
      <c r="A3071" s="319">
        <v>42972</v>
      </c>
      <c r="B3071" s="326" t="s">
        <v>26945</v>
      </c>
      <c r="C3071" s="327">
        <v>125043</v>
      </c>
      <c r="D3071" s="136" t="s">
        <v>15632</v>
      </c>
      <c r="E3071" s="328">
        <v>5578.4</v>
      </c>
      <c r="F3071" s="349">
        <v>42972</v>
      </c>
      <c r="G3071" s="328">
        <v>5578.4</v>
      </c>
      <c r="H3071" s="330">
        <f>Tabla13[[#This Row],[Importe]]-Tabla13[[#This Row],[Pagado]]</f>
        <v>0</v>
      </c>
      <c r="I3071" s="331" t="s">
        <v>15214</v>
      </c>
    </row>
    <row r="3072" spans="1:9" x14ac:dyDescent="0.25">
      <c r="A3072" s="299">
        <v>42972</v>
      </c>
      <c r="B3072" s="320" t="s">
        <v>26946</v>
      </c>
      <c r="C3072" s="321">
        <v>125044</v>
      </c>
      <c r="D3072" s="142" t="s">
        <v>15369</v>
      </c>
      <c r="E3072" s="322">
        <v>30157.3</v>
      </c>
      <c r="F3072" s="363">
        <v>42980</v>
      </c>
      <c r="G3072" s="155">
        <v>30157.3</v>
      </c>
      <c r="H3072" s="324">
        <f>Tabla13[[#This Row],[Importe]]-Tabla13[[#This Row],[Pagado]]</f>
        <v>0</v>
      </c>
      <c r="I3072" s="325" t="s">
        <v>15214</v>
      </c>
    </row>
    <row r="3073" spans="1:9" x14ac:dyDescent="0.25">
      <c r="A3073" s="335">
        <v>42972</v>
      </c>
      <c r="B3073" s="336" t="s">
        <v>26947</v>
      </c>
      <c r="C3073" s="337">
        <v>125045</v>
      </c>
      <c r="D3073" s="338" t="s">
        <v>15315</v>
      </c>
      <c r="E3073" s="339">
        <v>2222.4</v>
      </c>
      <c r="F3073" s="343">
        <v>42972</v>
      </c>
      <c r="G3073" s="339">
        <v>2222.4</v>
      </c>
      <c r="H3073" s="341">
        <f>Tabla13[[#This Row],[Importe]]-Tabla13[[#This Row],[Pagado]]</f>
        <v>0</v>
      </c>
      <c r="I3073" s="342" t="s">
        <v>15214</v>
      </c>
    </row>
    <row r="3074" spans="1:9" x14ac:dyDescent="0.25">
      <c r="A3074" s="299">
        <v>42972</v>
      </c>
      <c r="B3074" s="320" t="s">
        <v>26948</v>
      </c>
      <c r="C3074" s="321">
        <v>125046</v>
      </c>
      <c r="D3074" s="142" t="s">
        <v>15389</v>
      </c>
      <c r="E3074" s="322">
        <v>17106</v>
      </c>
      <c r="F3074" s="363">
        <v>42980</v>
      </c>
      <c r="G3074" s="155">
        <v>17106</v>
      </c>
      <c r="H3074" s="324">
        <f>Tabla13[[#This Row],[Importe]]-Tabla13[[#This Row],[Pagado]]</f>
        <v>0</v>
      </c>
      <c r="I3074" s="325" t="s">
        <v>15214</v>
      </c>
    </row>
    <row r="3075" spans="1:9" x14ac:dyDescent="0.25">
      <c r="A3075" s="319">
        <v>42972</v>
      </c>
      <c r="B3075" s="336" t="s">
        <v>26949</v>
      </c>
      <c r="C3075" s="337">
        <v>125047</v>
      </c>
      <c r="D3075" s="338" t="s">
        <v>15382</v>
      </c>
      <c r="E3075" s="339">
        <v>13382.1</v>
      </c>
      <c r="F3075" s="370">
        <v>42980</v>
      </c>
      <c r="G3075" s="371">
        <v>13382.1</v>
      </c>
      <c r="H3075" s="341">
        <f>Tabla13[[#This Row],[Importe]]-Tabla13[[#This Row],[Pagado]]</f>
        <v>0</v>
      </c>
      <c r="I3075" s="342" t="s">
        <v>15214</v>
      </c>
    </row>
    <row r="3076" spans="1:9" x14ac:dyDescent="0.25">
      <c r="A3076" s="299">
        <v>42972</v>
      </c>
      <c r="B3076" s="320" t="s">
        <v>26950</v>
      </c>
      <c r="C3076" s="321">
        <v>125048</v>
      </c>
      <c r="D3076" s="142" t="s">
        <v>15380</v>
      </c>
      <c r="E3076" s="322">
        <v>22310.400000000001</v>
      </c>
      <c r="F3076" s="363">
        <v>42986</v>
      </c>
      <c r="G3076" s="155">
        <v>22310.400000000001</v>
      </c>
      <c r="H3076" s="324">
        <f>Tabla13[[#This Row],[Importe]]-Tabla13[[#This Row],[Pagado]]</f>
        <v>0</v>
      </c>
      <c r="I3076" s="325" t="s">
        <v>15214</v>
      </c>
    </row>
    <row r="3077" spans="1:9" x14ac:dyDescent="0.25">
      <c r="A3077" s="319">
        <v>42972</v>
      </c>
      <c r="B3077" s="326" t="s">
        <v>26951</v>
      </c>
      <c r="C3077" s="327">
        <v>125049</v>
      </c>
      <c r="D3077" s="136" t="s">
        <v>15328</v>
      </c>
      <c r="E3077" s="328">
        <v>104538.25</v>
      </c>
      <c r="F3077" s="329">
        <v>42976</v>
      </c>
      <c r="G3077" s="328">
        <v>104538.25</v>
      </c>
      <c r="H3077" s="330">
        <f>Tabla13[[#This Row],[Importe]]-Tabla13[[#This Row],[Pagado]]</f>
        <v>0</v>
      </c>
      <c r="I3077" s="331" t="s">
        <v>15214</v>
      </c>
    </row>
    <row r="3078" spans="1:9" x14ac:dyDescent="0.25">
      <c r="A3078" s="299">
        <v>42972</v>
      </c>
      <c r="B3078" s="326" t="s">
        <v>26952</v>
      </c>
      <c r="C3078" s="327">
        <v>125050</v>
      </c>
      <c r="D3078" s="136" t="s">
        <v>15541</v>
      </c>
      <c r="E3078" s="328">
        <v>1383.8</v>
      </c>
      <c r="F3078" s="361">
        <v>42979</v>
      </c>
      <c r="G3078" s="362">
        <v>1383.8</v>
      </c>
      <c r="H3078" s="330">
        <f>Tabla13[[#This Row],[Importe]]-Tabla13[[#This Row],[Pagado]]</f>
        <v>0</v>
      </c>
      <c r="I3078" s="331" t="s">
        <v>15214</v>
      </c>
    </row>
    <row r="3079" spans="1:9" x14ac:dyDescent="0.25">
      <c r="A3079" s="319">
        <v>42972</v>
      </c>
      <c r="B3079" s="320" t="s">
        <v>26953</v>
      </c>
      <c r="C3079" s="321">
        <v>125051</v>
      </c>
      <c r="D3079" s="142" t="s">
        <v>23937</v>
      </c>
      <c r="E3079" s="322">
        <v>3684.8</v>
      </c>
      <c r="F3079" s="323">
        <v>42973</v>
      </c>
      <c r="G3079" s="322">
        <v>3684.8</v>
      </c>
      <c r="H3079" s="324">
        <f>Tabla13[[#This Row],[Importe]]-Tabla13[[#This Row],[Pagado]]</f>
        <v>0</v>
      </c>
      <c r="I3079" s="325" t="s">
        <v>15214</v>
      </c>
    </row>
    <row r="3080" spans="1:9" x14ac:dyDescent="0.25">
      <c r="A3080" s="299">
        <v>42972</v>
      </c>
      <c r="B3080" s="326" t="s">
        <v>26954</v>
      </c>
      <c r="C3080" s="327">
        <v>125052</v>
      </c>
      <c r="D3080" s="136" t="s">
        <v>15244</v>
      </c>
      <c r="E3080" s="328">
        <v>12098.1</v>
      </c>
      <c r="F3080" s="329">
        <v>42975</v>
      </c>
      <c r="G3080" s="328">
        <v>12098.1</v>
      </c>
      <c r="H3080" s="330">
        <f>Tabla13[[#This Row],[Importe]]-Tabla13[[#This Row],[Pagado]]</f>
        <v>0</v>
      </c>
      <c r="I3080" s="331" t="s">
        <v>15214</v>
      </c>
    </row>
    <row r="3081" spans="1:9" x14ac:dyDescent="0.25">
      <c r="A3081" s="319">
        <v>42972</v>
      </c>
      <c r="B3081" s="320" t="s">
        <v>26955</v>
      </c>
      <c r="C3081" s="321">
        <v>125053</v>
      </c>
      <c r="D3081" s="142" t="s">
        <v>15252</v>
      </c>
      <c r="E3081" s="322">
        <v>2572.1</v>
      </c>
      <c r="F3081" s="323">
        <v>42975</v>
      </c>
      <c r="G3081" s="322">
        <v>2572.1</v>
      </c>
      <c r="H3081" s="324">
        <f>Tabla13[[#This Row],[Importe]]-Tabla13[[#This Row],[Pagado]]</f>
        <v>0</v>
      </c>
      <c r="I3081" s="325" t="s">
        <v>15214</v>
      </c>
    </row>
    <row r="3082" spans="1:9" ht="15.75" x14ac:dyDescent="0.25">
      <c r="A3082" s="299">
        <v>42972</v>
      </c>
      <c r="B3082" s="326" t="s">
        <v>26956</v>
      </c>
      <c r="C3082" s="327">
        <v>125054</v>
      </c>
      <c r="D3082" s="345" t="s">
        <v>95</v>
      </c>
      <c r="E3082" s="328">
        <v>0</v>
      </c>
      <c r="F3082" s="346" t="s">
        <v>95</v>
      </c>
      <c r="G3082" s="328">
        <v>0</v>
      </c>
      <c r="H3082" s="330">
        <f>Tabla13[[#This Row],[Importe]]-Tabla13[[#This Row],[Pagado]]</f>
        <v>0</v>
      </c>
      <c r="I3082" s="331" t="s">
        <v>95</v>
      </c>
    </row>
    <row r="3083" spans="1:9" x14ac:dyDescent="0.25">
      <c r="A3083" s="319">
        <v>42972</v>
      </c>
      <c r="B3083" s="320" t="s">
        <v>26957</v>
      </c>
      <c r="C3083" s="321">
        <v>125055</v>
      </c>
      <c r="D3083" s="142" t="s">
        <v>15541</v>
      </c>
      <c r="E3083" s="322">
        <v>377.2</v>
      </c>
      <c r="F3083" s="323">
        <v>42973</v>
      </c>
      <c r="G3083" s="322">
        <v>377.2</v>
      </c>
      <c r="H3083" s="324">
        <f>Tabla13[[#This Row],[Importe]]-Tabla13[[#This Row],[Pagado]]</f>
        <v>0</v>
      </c>
      <c r="I3083" s="325" t="s">
        <v>15214</v>
      </c>
    </row>
    <row r="3084" spans="1:9" x14ac:dyDescent="0.25">
      <c r="A3084" s="299">
        <v>42972</v>
      </c>
      <c r="B3084" s="326" t="s">
        <v>26958</v>
      </c>
      <c r="C3084" s="327">
        <v>125056</v>
      </c>
      <c r="D3084" s="136" t="s">
        <v>15553</v>
      </c>
      <c r="E3084" s="328">
        <v>2773.8</v>
      </c>
      <c r="F3084" s="329">
        <v>42975</v>
      </c>
      <c r="G3084" s="328">
        <v>2773.8</v>
      </c>
      <c r="H3084" s="330">
        <f>Tabla13[[#This Row],[Importe]]-Tabla13[[#This Row],[Pagado]]</f>
        <v>0</v>
      </c>
      <c r="I3084" s="331" t="s">
        <v>15214</v>
      </c>
    </row>
    <row r="3085" spans="1:9" x14ac:dyDescent="0.25">
      <c r="A3085" s="319">
        <v>42972</v>
      </c>
      <c r="B3085" s="320" t="s">
        <v>26959</v>
      </c>
      <c r="C3085" s="321">
        <v>125057</v>
      </c>
      <c r="D3085" s="142" t="s">
        <v>15442</v>
      </c>
      <c r="E3085" s="322">
        <v>18062</v>
      </c>
      <c r="F3085" s="323">
        <v>42977</v>
      </c>
      <c r="G3085" s="322">
        <v>18062</v>
      </c>
      <c r="H3085" s="324">
        <f>Tabla13[[#This Row],[Importe]]-Tabla13[[#This Row],[Pagado]]</f>
        <v>0</v>
      </c>
      <c r="I3085" s="325" t="s">
        <v>15214</v>
      </c>
    </row>
    <row r="3086" spans="1:9" x14ac:dyDescent="0.25">
      <c r="A3086" s="299">
        <v>42972</v>
      </c>
      <c r="B3086" s="326" t="s">
        <v>26960</v>
      </c>
      <c r="C3086" s="327">
        <v>125058</v>
      </c>
      <c r="D3086" s="136" t="s">
        <v>15324</v>
      </c>
      <c r="E3086" s="328">
        <v>3405</v>
      </c>
      <c r="F3086" s="323">
        <v>42972</v>
      </c>
      <c r="G3086" s="328">
        <v>3405</v>
      </c>
      <c r="H3086" s="330">
        <f>Tabla13[[#This Row],[Importe]]-Tabla13[[#This Row],[Pagado]]</f>
        <v>0</v>
      </c>
      <c r="I3086" s="331" t="s">
        <v>15214</v>
      </c>
    </row>
    <row r="3087" spans="1:9" x14ac:dyDescent="0.25">
      <c r="A3087" s="319">
        <v>42972</v>
      </c>
      <c r="B3087" s="320" t="s">
        <v>26961</v>
      </c>
      <c r="C3087" s="321">
        <v>125059</v>
      </c>
      <c r="D3087" s="142" t="s">
        <v>15322</v>
      </c>
      <c r="E3087" s="322">
        <v>2678.4</v>
      </c>
      <c r="F3087" s="323">
        <v>42972</v>
      </c>
      <c r="G3087" s="322">
        <v>2678.4</v>
      </c>
      <c r="H3087" s="324">
        <f>Tabla13[[#This Row],[Importe]]-Tabla13[[#This Row],[Pagado]]</f>
        <v>0</v>
      </c>
      <c r="I3087" s="325" t="s">
        <v>15214</v>
      </c>
    </row>
    <row r="3088" spans="1:9" x14ac:dyDescent="0.25">
      <c r="A3088" s="299">
        <v>42972</v>
      </c>
      <c r="B3088" s="320" t="s">
        <v>26962</v>
      </c>
      <c r="C3088" s="321">
        <v>125060</v>
      </c>
      <c r="D3088" s="142" t="s">
        <v>15246</v>
      </c>
      <c r="E3088" s="322">
        <v>3083.6</v>
      </c>
      <c r="F3088" s="323">
        <v>42977</v>
      </c>
      <c r="G3088" s="322">
        <v>3083.6</v>
      </c>
      <c r="H3088" s="324">
        <f>Tabla13[[#This Row],[Importe]]-Tabla13[[#This Row],[Pagado]]</f>
        <v>0</v>
      </c>
      <c r="I3088" s="325" t="s">
        <v>15214</v>
      </c>
    </row>
    <row r="3089" spans="1:9" x14ac:dyDescent="0.25">
      <c r="A3089" s="319">
        <v>42972</v>
      </c>
      <c r="B3089" s="326" t="s">
        <v>26963</v>
      </c>
      <c r="C3089" s="327">
        <v>125061</v>
      </c>
      <c r="D3089" s="136" t="s">
        <v>19742</v>
      </c>
      <c r="E3089" s="328">
        <v>34005.65</v>
      </c>
      <c r="F3089" s="329">
        <v>42973</v>
      </c>
      <c r="G3089" s="328">
        <v>34005.65</v>
      </c>
      <c r="H3089" s="330">
        <f>Tabla13[[#This Row],[Importe]]-Tabla13[[#This Row],[Pagado]]</f>
        <v>0</v>
      </c>
      <c r="I3089" s="331" t="s">
        <v>15214</v>
      </c>
    </row>
    <row r="3090" spans="1:9" x14ac:dyDescent="0.25">
      <c r="A3090" s="299">
        <v>42972</v>
      </c>
      <c r="B3090" s="320" t="s">
        <v>26964</v>
      </c>
      <c r="C3090" s="321">
        <v>125062</v>
      </c>
      <c r="D3090" s="142" t="s">
        <v>15315</v>
      </c>
      <c r="E3090" s="322">
        <v>1883.2</v>
      </c>
      <c r="F3090" s="323">
        <v>42972</v>
      </c>
      <c r="G3090" s="322">
        <v>1883.2</v>
      </c>
      <c r="H3090" s="324">
        <f>Tabla13[[#This Row],[Importe]]-Tabla13[[#This Row],[Pagado]]</f>
        <v>0</v>
      </c>
      <c r="I3090" s="325" t="s">
        <v>15214</v>
      </c>
    </row>
    <row r="3091" spans="1:9" x14ac:dyDescent="0.25">
      <c r="A3091" s="319">
        <v>42972</v>
      </c>
      <c r="B3091" s="326" t="s">
        <v>26965</v>
      </c>
      <c r="C3091" s="327">
        <v>125063</v>
      </c>
      <c r="D3091" s="136" t="s">
        <v>15480</v>
      </c>
      <c r="E3091" s="328">
        <v>492</v>
      </c>
      <c r="F3091" s="349">
        <v>42972</v>
      </c>
      <c r="G3091" s="328">
        <v>492</v>
      </c>
      <c r="H3091" s="330">
        <f>Tabla13[[#This Row],[Importe]]-Tabla13[[#This Row],[Pagado]]</f>
        <v>0</v>
      </c>
      <c r="I3091" s="331" t="s">
        <v>15214</v>
      </c>
    </row>
    <row r="3092" spans="1:9" x14ac:dyDescent="0.25">
      <c r="A3092" s="299">
        <v>42972</v>
      </c>
      <c r="B3092" s="320" t="s">
        <v>26966</v>
      </c>
      <c r="C3092" s="321">
        <v>125064</v>
      </c>
      <c r="D3092" s="142" t="s">
        <v>15315</v>
      </c>
      <c r="E3092" s="322">
        <v>1618.5</v>
      </c>
      <c r="F3092" s="323">
        <v>42972</v>
      </c>
      <c r="G3092" s="322">
        <v>1618.5</v>
      </c>
      <c r="H3092" s="324">
        <f>Tabla13[[#This Row],[Importe]]-Tabla13[[#This Row],[Pagado]]</f>
        <v>0</v>
      </c>
      <c r="I3092" s="325" t="s">
        <v>15214</v>
      </c>
    </row>
    <row r="3093" spans="1:9" x14ac:dyDescent="0.25">
      <c r="A3093" s="319">
        <v>42972</v>
      </c>
      <c r="B3093" s="326" t="s">
        <v>26967</v>
      </c>
      <c r="C3093" s="327">
        <v>125065</v>
      </c>
      <c r="D3093" s="136" t="s">
        <v>15544</v>
      </c>
      <c r="E3093" s="328">
        <v>6908.5</v>
      </c>
      <c r="F3093" s="329">
        <v>42977</v>
      </c>
      <c r="G3093" s="328">
        <v>6908.5</v>
      </c>
      <c r="H3093" s="330">
        <f>Tabla13[[#This Row],[Importe]]-Tabla13[[#This Row],[Pagado]]</f>
        <v>0</v>
      </c>
      <c r="I3093" s="331" t="s">
        <v>15214</v>
      </c>
    </row>
    <row r="3094" spans="1:9" x14ac:dyDescent="0.25">
      <c r="A3094" s="299">
        <v>42972</v>
      </c>
      <c r="B3094" s="320" t="s">
        <v>26968</v>
      </c>
      <c r="C3094" s="321">
        <v>125066</v>
      </c>
      <c r="D3094" s="142" t="s">
        <v>15315</v>
      </c>
      <c r="E3094" s="322">
        <v>3517.8</v>
      </c>
      <c r="F3094" s="323">
        <v>42977</v>
      </c>
      <c r="G3094" s="322">
        <v>3517.8</v>
      </c>
      <c r="H3094" s="324">
        <f>Tabla13[[#This Row],[Importe]]-Tabla13[[#This Row],[Pagado]]</f>
        <v>0</v>
      </c>
      <c r="I3094" s="325" t="s">
        <v>15214</v>
      </c>
    </row>
    <row r="3095" spans="1:9" ht="45" x14ac:dyDescent="0.25">
      <c r="A3095" s="319">
        <v>42972</v>
      </c>
      <c r="B3095" s="326" t="s">
        <v>26969</v>
      </c>
      <c r="C3095" s="327">
        <v>125067</v>
      </c>
      <c r="D3095" s="136" t="s">
        <v>15315</v>
      </c>
      <c r="E3095" s="328">
        <v>42503.75</v>
      </c>
      <c r="F3095" s="329" t="s">
        <v>31618</v>
      </c>
      <c r="G3095" s="347">
        <f>30000+11500+1003.75</f>
        <v>42503.75</v>
      </c>
      <c r="H3095" s="348">
        <f>Tabla13[[#This Row],[Importe]]-Tabla13[[#This Row],[Pagado]]</f>
        <v>0</v>
      </c>
      <c r="I3095" s="331" t="s">
        <v>15214</v>
      </c>
    </row>
    <row r="3096" spans="1:9" x14ac:dyDescent="0.25">
      <c r="A3096" s="299">
        <v>42972</v>
      </c>
      <c r="B3096" s="320" t="s">
        <v>26970</v>
      </c>
      <c r="C3096" s="321">
        <v>125068</v>
      </c>
      <c r="D3096" s="142" t="s">
        <v>15537</v>
      </c>
      <c r="E3096" s="322">
        <v>34265.5</v>
      </c>
      <c r="F3096" s="363">
        <v>42979</v>
      </c>
      <c r="G3096" s="155">
        <v>34265.5</v>
      </c>
      <c r="H3096" s="324">
        <f>Tabla13[[#This Row],[Importe]]-Tabla13[[#This Row],[Pagado]]</f>
        <v>0</v>
      </c>
      <c r="I3096" s="325" t="s">
        <v>15214</v>
      </c>
    </row>
    <row r="3097" spans="1:9" x14ac:dyDescent="0.25">
      <c r="A3097" s="319">
        <v>42972</v>
      </c>
      <c r="B3097" s="326" t="s">
        <v>26971</v>
      </c>
      <c r="C3097" s="327">
        <v>125069</v>
      </c>
      <c r="D3097" s="136" t="s">
        <v>15555</v>
      </c>
      <c r="E3097" s="328">
        <v>5000.53</v>
      </c>
      <c r="F3097" s="361">
        <v>42990</v>
      </c>
      <c r="G3097" s="362">
        <v>5000.53</v>
      </c>
      <c r="H3097" s="330">
        <f>Tabla13[[#This Row],[Importe]]-Tabla13[[#This Row],[Pagado]]</f>
        <v>0</v>
      </c>
      <c r="I3097" s="331" t="s">
        <v>15214</v>
      </c>
    </row>
    <row r="3098" spans="1:9" x14ac:dyDescent="0.25">
      <c r="A3098" s="299">
        <v>42972</v>
      </c>
      <c r="B3098" s="326" t="s">
        <v>26972</v>
      </c>
      <c r="C3098" s="327">
        <v>125070</v>
      </c>
      <c r="D3098" s="136" t="s">
        <v>17708</v>
      </c>
      <c r="E3098" s="328">
        <v>3979.8</v>
      </c>
      <c r="F3098" s="329">
        <v>42973</v>
      </c>
      <c r="G3098" s="328">
        <v>3979.8</v>
      </c>
      <c r="H3098" s="330">
        <f>Tabla13[[#This Row],[Importe]]-Tabla13[[#This Row],[Pagado]]</f>
        <v>0</v>
      </c>
      <c r="I3098" s="331" t="s">
        <v>15214</v>
      </c>
    </row>
    <row r="3099" spans="1:9" x14ac:dyDescent="0.25">
      <c r="A3099" s="319">
        <v>42972</v>
      </c>
      <c r="B3099" s="320" t="s">
        <v>26973</v>
      </c>
      <c r="C3099" s="321">
        <v>125071</v>
      </c>
      <c r="D3099" s="142" t="s">
        <v>15378</v>
      </c>
      <c r="E3099" s="322">
        <v>2665.2</v>
      </c>
      <c r="F3099" s="323">
        <v>42972</v>
      </c>
      <c r="G3099" s="322">
        <v>2665.2</v>
      </c>
      <c r="H3099" s="324">
        <f>Tabla13[[#This Row],[Importe]]-Tabla13[[#This Row],[Pagado]]</f>
        <v>0</v>
      </c>
      <c r="I3099" s="325" t="s">
        <v>15214</v>
      </c>
    </row>
    <row r="3100" spans="1:9" x14ac:dyDescent="0.25">
      <c r="A3100" s="299">
        <v>42972</v>
      </c>
      <c r="B3100" s="326" t="s">
        <v>26974</v>
      </c>
      <c r="C3100" s="327">
        <v>125072</v>
      </c>
      <c r="D3100" s="136" t="s">
        <v>15566</v>
      </c>
      <c r="E3100" s="328">
        <v>3439.8</v>
      </c>
      <c r="F3100" s="323">
        <v>42972</v>
      </c>
      <c r="G3100" s="328">
        <v>3439.8</v>
      </c>
      <c r="H3100" s="330">
        <f>Tabla13[[#This Row],[Importe]]-Tabla13[[#This Row],[Pagado]]</f>
        <v>0</v>
      </c>
      <c r="I3100" s="331" t="s">
        <v>15214</v>
      </c>
    </row>
    <row r="3101" spans="1:9" x14ac:dyDescent="0.25">
      <c r="A3101" s="319">
        <v>42972</v>
      </c>
      <c r="B3101" s="320" t="s">
        <v>26975</v>
      </c>
      <c r="C3101" s="321">
        <v>125073</v>
      </c>
      <c r="D3101" s="142" t="s">
        <v>15282</v>
      </c>
      <c r="E3101" s="322">
        <v>2697.6</v>
      </c>
      <c r="F3101" s="323">
        <v>42972</v>
      </c>
      <c r="G3101" s="322">
        <v>2697.6</v>
      </c>
      <c r="H3101" s="324">
        <f>Tabla13[[#This Row],[Importe]]-Tabla13[[#This Row],[Pagado]]</f>
        <v>0</v>
      </c>
      <c r="I3101" s="325" t="s">
        <v>15214</v>
      </c>
    </row>
    <row r="3102" spans="1:9" x14ac:dyDescent="0.25">
      <c r="A3102" s="299">
        <v>42972</v>
      </c>
      <c r="B3102" s="326" t="s">
        <v>26976</v>
      </c>
      <c r="C3102" s="327">
        <v>125074</v>
      </c>
      <c r="D3102" s="136" t="s">
        <v>15539</v>
      </c>
      <c r="E3102" s="328">
        <v>1022.4</v>
      </c>
      <c r="F3102" s="329">
        <v>42977</v>
      </c>
      <c r="G3102" s="328">
        <v>1022.4</v>
      </c>
      <c r="H3102" s="330">
        <f>Tabla13[[#This Row],[Importe]]-Tabla13[[#This Row],[Pagado]]</f>
        <v>0</v>
      </c>
      <c r="I3102" s="331" t="s">
        <v>15214</v>
      </c>
    </row>
    <row r="3103" spans="1:9" x14ac:dyDescent="0.25">
      <c r="A3103" s="319">
        <v>42972</v>
      </c>
      <c r="B3103" s="320" t="s">
        <v>26977</v>
      </c>
      <c r="C3103" s="321">
        <v>125075</v>
      </c>
      <c r="D3103" s="142" t="s">
        <v>15298</v>
      </c>
      <c r="E3103" s="322">
        <v>4682.8</v>
      </c>
      <c r="F3103" s="323">
        <v>42972</v>
      </c>
      <c r="G3103" s="322">
        <v>4682.8</v>
      </c>
      <c r="H3103" s="324">
        <f>Tabla13[[#This Row],[Importe]]-Tabla13[[#This Row],[Pagado]]</f>
        <v>0</v>
      </c>
      <c r="I3103" s="325" t="s">
        <v>15214</v>
      </c>
    </row>
    <row r="3104" spans="1:9" x14ac:dyDescent="0.25">
      <c r="A3104" s="299">
        <v>42972</v>
      </c>
      <c r="B3104" s="326" t="s">
        <v>26978</v>
      </c>
      <c r="C3104" s="327">
        <v>125076</v>
      </c>
      <c r="D3104" s="136" t="s">
        <v>16108</v>
      </c>
      <c r="E3104" s="328">
        <v>1287.2</v>
      </c>
      <c r="F3104" s="323">
        <v>42972</v>
      </c>
      <c r="G3104" s="328">
        <v>1287.2</v>
      </c>
      <c r="H3104" s="330">
        <f>Tabla13[[#This Row],[Importe]]-Tabla13[[#This Row],[Pagado]]</f>
        <v>0</v>
      </c>
      <c r="I3104" s="331" t="s">
        <v>15214</v>
      </c>
    </row>
    <row r="3105" spans="1:9" ht="30" x14ac:dyDescent="0.25">
      <c r="A3105" s="319">
        <v>42972</v>
      </c>
      <c r="B3105" s="320" t="s">
        <v>26979</v>
      </c>
      <c r="C3105" s="321">
        <v>125077</v>
      </c>
      <c r="D3105" s="142" t="s">
        <v>15557</v>
      </c>
      <c r="E3105" s="322">
        <v>26325.9</v>
      </c>
      <c r="F3105" s="363" t="s">
        <v>27692</v>
      </c>
      <c r="G3105" s="364">
        <f>15500+10825.9</f>
        <v>26325.9</v>
      </c>
      <c r="H3105" s="365">
        <f>Tabla13[[#This Row],[Importe]]-Tabla13[[#This Row],[Pagado]]</f>
        <v>0</v>
      </c>
      <c r="I3105" s="325" t="s">
        <v>15214</v>
      </c>
    </row>
    <row r="3106" spans="1:9" ht="15.75" x14ac:dyDescent="0.25">
      <c r="A3106" s="299">
        <v>42972</v>
      </c>
      <c r="B3106" s="326" t="s">
        <v>26980</v>
      </c>
      <c r="C3106" s="327">
        <v>125078</v>
      </c>
      <c r="D3106" s="345" t="s">
        <v>95</v>
      </c>
      <c r="E3106" s="328">
        <v>0</v>
      </c>
      <c r="F3106" s="346" t="s">
        <v>95</v>
      </c>
      <c r="G3106" s="328">
        <v>0</v>
      </c>
      <c r="H3106" s="330">
        <f>Tabla13[[#This Row],[Importe]]-Tabla13[[#This Row],[Pagado]]</f>
        <v>0</v>
      </c>
      <c r="I3106" s="331" t="s">
        <v>95</v>
      </c>
    </row>
    <row r="3107" spans="1:9" x14ac:dyDescent="0.25">
      <c r="A3107" s="319">
        <v>42972</v>
      </c>
      <c r="B3107" s="320" t="s">
        <v>26981</v>
      </c>
      <c r="C3107" s="321">
        <v>125079</v>
      </c>
      <c r="D3107" s="142" t="s">
        <v>15246</v>
      </c>
      <c r="E3107" s="322">
        <v>28847.7</v>
      </c>
      <c r="F3107" s="323">
        <v>42977</v>
      </c>
      <c r="G3107" s="322">
        <v>28847.7</v>
      </c>
      <c r="H3107" s="324">
        <f>Tabla13[[#This Row],[Importe]]-Tabla13[[#This Row],[Pagado]]</f>
        <v>0</v>
      </c>
      <c r="I3107" s="325" t="s">
        <v>15214</v>
      </c>
    </row>
    <row r="3108" spans="1:9" x14ac:dyDescent="0.25">
      <c r="A3108" s="299">
        <v>42972</v>
      </c>
      <c r="B3108" s="320" t="s">
        <v>26982</v>
      </c>
      <c r="C3108" s="321">
        <v>125080</v>
      </c>
      <c r="D3108" s="142" t="s">
        <v>16048</v>
      </c>
      <c r="E3108" s="322">
        <v>588.79999999999995</v>
      </c>
      <c r="F3108" s="323">
        <v>42972</v>
      </c>
      <c r="G3108" s="322">
        <v>588.79999999999995</v>
      </c>
      <c r="H3108" s="324">
        <f>Tabla13[[#This Row],[Importe]]-Tabla13[[#This Row],[Pagado]]</f>
        <v>0</v>
      </c>
      <c r="I3108" s="325" t="s">
        <v>15214</v>
      </c>
    </row>
    <row r="3109" spans="1:9" x14ac:dyDescent="0.25">
      <c r="A3109" s="319">
        <v>42972</v>
      </c>
      <c r="B3109" s="336" t="s">
        <v>26983</v>
      </c>
      <c r="C3109" s="337">
        <v>125081</v>
      </c>
      <c r="D3109" s="338" t="s">
        <v>19768</v>
      </c>
      <c r="E3109" s="339">
        <v>1410</v>
      </c>
      <c r="F3109" s="343">
        <v>42972</v>
      </c>
      <c r="G3109" s="339">
        <v>1410</v>
      </c>
      <c r="H3109" s="341">
        <f>Tabla13[[#This Row],[Importe]]-Tabla13[[#This Row],[Pagado]]</f>
        <v>0</v>
      </c>
      <c r="I3109" s="342" t="s">
        <v>15214</v>
      </c>
    </row>
    <row r="3110" spans="1:9" x14ac:dyDescent="0.25">
      <c r="A3110" s="299">
        <v>42972</v>
      </c>
      <c r="B3110" s="320" t="s">
        <v>26984</v>
      </c>
      <c r="C3110" s="321">
        <v>125082</v>
      </c>
      <c r="D3110" s="142" t="s">
        <v>17462</v>
      </c>
      <c r="E3110" s="322">
        <v>2402.4</v>
      </c>
      <c r="F3110" s="323">
        <v>42972</v>
      </c>
      <c r="G3110" s="322">
        <v>2402.4</v>
      </c>
      <c r="H3110" s="324">
        <f>Tabla13[[#This Row],[Importe]]-Tabla13[[#This Row],[Pagado]]</f>
        <v>0</v>
      </c>
      <c r="I3110" s="325" t="s">
        <v>15214</v>
      </c>
    </row>
    <row r="3111" spans="1:9" x14ac:dyDescent="0.25">
      <c r="A3111" s="319">
        <v>42972</v>
      </c>
      <c r="B3111" s="336" t="s">
        <v>26985</v>
      </c>
      <c r="C3111" s="337">
        <v>125083</v>
      </c>
      <c r="D3111" s="338" t="s">
        <v>15315</v>
      </c>
      <c r="E3111" s="339">
        <v>816</v>
      </c>
      <c r="F3111" s="343">
        <v>42972</v>
      </c>
      <c r="G3111" s="339">
        <v>816</v>
      </c>
      <c r="H3111" s="341">
        <f>Tabla13[[#This Row],[Importe]]-Tabla13[[#This Row],[Pagado]]</f>
        <v>0</v>
      </c>
      <c r="I3111" s="342" t="s">
        <v>15214</v>
      </c>
    </row>
    <row r="3112" spans="1:9" x14ac:dyDescent="0.25">
      <c r="A3112" s="299">
        <v>42972</v>
      </c>
      <c r="B3112" s="320" t="s">
        <v>26986</v>
      </c>
      <c r="C3112" s="321">
        <v>125084</v>
      </c>
      <c r="D3112" s="142" t="s">
        <v>15728</v>
      </c>
      <c r="E3112" s="322">
        <v>9126</v>
      </c>
      <c r="F3112" s="323">
        <v>42972</v>
      </c>
      <c r="G3112" s="322">
        <v>9126</v>
      </c>
      <c r="H3112" s="324">
        <f>Tabla13[[#This Row],[Importe]]-Tabla13[[#This Row],[Pagado]]</f>
        <v>0</v>
      </c>
      <c r="I3112" s="325" t="s">
        <v>15214</v>
      </c>
    </row>
    <row r="3113" spans="1:9" x14ac:dyDescent="0.25">
      <c r="A3113" s="335">
        <v>42972</v>
      </c>
      <c r="B3113" s="336" t="s">
        <v>26987</v>
      </c>
      <c r="C3113" s="337">
        <v>125085</v>
      </c>
      <c r="D3113" s="338" t="s">
        <v>15725</v>
      </c>
      <c r="E3113" s="339">
        <v>26480.6</v>
      </c>
      <c r="F3113" s="340">
        <v>42974</v>
      </c>
      <c r="G3113" s="339">
        <v>26480.6</v>
      </c>
      <c r="H3113" s="341">
        <f>Tabla13[[#This Row],[Importe]]-Tabla13[[#This Row],[Pagado]]</f>
        <v>0</v>
      </c>
      <c r="I3113" s="342" t="s">
        <v>15214</v>
      </c>
    </row>
    <row r="3114" spans="1:9" x14ac:dyDescent="0.25">
      <c r="A3114" s="299">
        <v>42972</v>
      </c>
      <c r="B3114" s="320" t="s">
        <v>26988</v>
      </c>
      <c r="C3114" s="321">
        <v>125086</v>
      </c>
      <c r="D3114" s="142" t="s">
        <v>15391</v>
      </c>
      <c r="E3114" s="322">
        <v>10540.8</v>
      </c>
      <c r="F3114" s="323">
        <v>42975</v>
      </c>
      <c r="G3114" s="322">
        <v>10540.8</v>
      </c>
      <c r="H3114" s="324">
        <f>Tabla13[[#This Row],[Importe]]-Tabla13[[#This Row],[Pagado]]</f>
        <v>0</v>
      </c>
      <c r="I3114" s="325" t="s">
        <v>15214</v>
      </c>
    </row>
    <row r="3115" spans="1:9" ht="15.75" x14ac:dyDescent="0.25">
      <c r="A3115" s="319">
        <v>42972</v>
      </c>
      <c r="B3115" s="336" t="s">
        <v>26989</v>
      </c>
      <c r="C3115" s="337">
        <v>125087</v>
      </c>
      <c r="D3115" s="351" t="s">
        <v>95</v>
      </c>
      <c r="E3115" s="339">
        <v>0</v>
      </c>
      <c r="F3115" s="352" t="s">
        <v>95</v>
      </c>
      <c r="G3115" s="339">
        <v>0</v>
      </c>
      <c r="H3115" s="341">
        <f>Tabla13[[#This Row],[Importe]]-Tabla13[[#This Row],[Pagado]]</f>
        <v>0</v>
      </c>
      <c r="I3115" s="342" t="s">
        <v>95</v>
      </c>
    </row>
    <row r="3116" spans="1:9" x14ac:dyDescent="0.25">
      <c r="A3116" s="299">
        <v>42972</v>
      </c>
      <c r="B3116" s="320" t="s">
        <v>26990</v>
      </c>
      <c r="C3116" s="321">
        <v>125088</v>
      </c>
      <c r="D3116" s="142" t="s">
        <v>21441</v>
      </c>
      <c r="E3116" s="322">
        <v>1307.5</v>
      </c>
      <c r="F3116" s="323">
        <v>42973</v>
      </c>
      <c r="G3116" s="322">
        <v>1307.5</v>
      </c>
      <c r="H3116" s="324">
        <f>Tabla13[[#This Row],[Importe]]-Tabla13[[#This Row],[Pagado]]</f>
        <v>0</v>
      </c>
      <c r="I3116" s="325" t="s">
        <v>15214</v>
      </c>
    </row>
    <row r="3117" spans="1:9" x14ac:dyDescent="0.25">
      <c r="A3117" s="335">
        <v>42972</v>
      </c>
      <c r="B3117" s="336" t="s">
        <v>26991</v>
      </c>
      <c r="C3117" s="337">
        <v>125089</v>
      </c>
      <c r="D3117" s="338" t="s">
        <v>15568</v>
      </c>
      <c r="E3117" s="339">
        <v>20947.919999999998</v>
      </c>
      <c r="F3117" s="340">
        <v>42973</v>
      </c>
      <c r="G3117" s="339">
        <v>20947.919999999998</v>
      </c>
      <c r="H3117" s="341">
        <f>Tabla13[[#This Row],[Importe]]-Tabla13[[#This Row],[Pagado]]</f>
        <v>0</v>
      </c>
      <c r="I3117" s="342" t="s">
        <v>15214</v>
      </c>
    </row>
    <row r="3118" spans="1:9" ht="15.75" x14ac:dyDescent="0.25">
      <c r="A3118" s="299">
        <v>42972</v>
      </c>
      <c r="B3118" s="326" t="s">
        <v>26992</v>
      </c>
      <c r="C3118" s="327">
        <v>125090</v>
      </c>
      <c r="D3118" s="345" t="s">
        <v>95</v>
      </c>
      <c r="E3118" s="328">
        <v>0</v>
      </c>
      <c r="F3118" s="346" t="s">
        <v>95</v>
      </c>
      <c r="G3118" s="328">
        <v>0</v>
      </c>
      <c r="H3118" s="330">
        <f>Tabla13[[#This Row],[Importe]]-Tabla13[[#This Row],[Pagado]]</f>
        <v>0</v>
      </c>
      <c r="I3118" s="331" t="s">
        <v>95</v>
      </c>
    </row>
    <row r="3119" spans="1:9" x14ac:dyDescent="0.25">
      <c r="A3119" s="319">
        <v>42972</v>
      </c>
      <c r="B3119" s="320" t="s">
        <v>26993</v>
      </c>
      <c r="C3119" s="321">
        <v>125091</v>
      </c>
      <c r="D3119" s="142" t="s">
        <v>15594</v>
      </c>
      <c r="E3119" s="322">
        <v>1317.5</v>
      </c>
      <c r="F3119" s="323">
        <v>42973</v>
      </c>
      <c r="G3119" s="322">
        <v>1317.5</v>
      </c>
      <c r="H3119" s="324">
        <f>Tabla13[[#This Row],[Importe]]-Tabla13[[#This Row],[Pagado]]</f>
        <v>0</v>
      </c>
      <c r="I3119" s="325" t="s">
        <v>15214</v>
      </c>
    </row>
    <row r="3120" spans="1:9" x14ac:dyDescent="0.25">
      <c r="A3120" s="299">
        <v>42972</v>
      </c>
      <c r="B3120" s="326" t="s">
        <v>26994</v>
      </c>
      <c r="C3120" s="327">
        <v>125092</v>
      </c>
      <c r="D3120" s="136" t="s">
        <v>15298</v>
      </c>
      <c r="E3120" s="328">
        <v>3348.3</v>
      </c>
      <c r="F3120" s="323">
        <v>42972</v>
      </c>
      <c r="G3120" s="328">
        <v>3348.3</v>
      </c>
      <c r="H3120" s="330">
        <f>Tabla13[[#This Row],[Importe]]-Tabla13[[#This Row],[Pagado]]</f>
        <v>0</v>
      </c>
      <c r="I3120" s="331" t="s">
        <v>15214</v>
      </c>
    </row>
    <row r="3121" spans="1:9" x14ac:dyDescent="0.25">
      <c r="A3121" s="319">
        <v>42972</v>
      </c>
      <c r="B3121" s="320" t="s">
        <v>26995</v>
      </c>
      <c r="C3121" s="321">
        <v>125093</v>
      </c>
      <c r="D3121" s="142" t="s">
        <v>15276</v>
      </c>
      <c r="E3121" s="322">
        <v>3760</v>
      </c>
      <c r="F3121" s="323">
        <v>42973</v>
      </c>
      <c r="G3121" s="322">
        <v>3760</v>
      </c>
      <c r="H3121" s="324">
        <f>Tabla13[[#This Row],[Importe]]-Tabla13[[#This Row],[Pagado]]</f>
        <v>0</v>
      </c>
      <c r="I3121" s="325" t="s">
        <v>15214</v>
      </c>
    </row>
    <row r="3122" spans="1:9" x14ac:dyDescent="0.25">
      <c r="A3122" s="299">
        <v>42972</v>
      </c>
      <c r="B3122" s="326" t="s">
        <v>26996</v>
      </c>
      <c r="C3122" s="327">
        <v>125094</v>
      </c>
      <c r="D3122" s="136" t="s">
        <v>15313</v>
      </c>
      <c r="E3122" s="328">
        <v>9828</v>
      </c>
      <c r="F3122" s="329">
        <v>42977</v>
      </c>
      <c r="G3122" s="328">
        <v>9828</v>
      </c>
      <c r="H3122" s="330">
        <f>Tabla13[[#This Row],[Importe]]-Tabla13[[#This Row],[Pagado]]</f>
        <v>0</v>
      </c>
      <c r="I3122" s="331" t="s">
        <v>15214</v>
      </c>
    </row>
    <row r="3123" spans="1:9" x14ac:dyDescent="0.25">
      <c r="A3123" s="319">
        <v>42972</v>
      </c>
      <c r="B3123" s="320" t="s">
        <v>26997</v>
      </c>
      <c r="C3123" s="321">
        <v>125095</v>
      </c>
      <c r="D3123" s="142" t="s">
        <v>15417</v>
      </c>
      <c r="E3123" s="322">
        <v>1881.4</v>
      </c>
      <c r="F3123" s="323">
        <v>42973</v>
      </c>
      <c r="G3123" s="322">
        <v>1881.4</v>
      </c>
      <c r="H3123" s="324">
        <f>Tabla13[[#This Row],[Importe]]-Tabla13[[#This Row],[Pagado]]</f>
        <v>0</v>
      </c>
      <c r="I3123" s="325" t="s">
        <v>15214</v>
      </c>
    </row>
    <row r="3124" spans="1:9" x14ac:dyDescent="0.25">
      <c r="A3124" s="299">
        <v>42972</v>
      </c>
      <c r="B3124" s="326" t="s">
        <v>26998</v>
      </c>
      <c r="C3124" s="327">
        <v>125096</v>
      </c>
      <c r="D3124" s="136" t="s">
        <v>15912</v>
      </c>
      <c r="E3124" s="328">
        <v>2610.1999999999998</v>
      </c>
      <c r="F3124" s="329">
        <v>42973</v>
      </c>
      <c r="G3124" s="328">
        <v>2610.1999999999998</v>
      </c>
      <c r="H3124" s="330">
        <f>Tabla13[[#This Row],[Importe]]-Tabla13[[#This Row],[Pagado]]</f>
        <v>0</v>
      </c>
      <c r="I3124" s="331" t="s">
        <v>15214</v>
      </c>
    </row>
    <row r="3125" spans="1:9" x14ac:dyDescent="0.25">
      <c r="A3125" s="319">
        <v>42972</v>
      </c>
      <c r="B3125" s="320" t="s">
        <v>26999</v>
      </c>
      <c r="C3125" s="321">
        <v>125097</v>
      </c>
      <c r="D3125" s="142" t="s">
        <v>15320</v>
      </c>
      <c r="E3125" s="322">
        <v>2227.5</v>
      </c>
      <c r="F3125" s="323">
        <v>42973</v>
      </c>
      <c r="G3125" s="322">
        <v>2227.5</v>
      </c>
      <c r="H3125" s="324">
        <f>Tabla13[[#This Row],[Importe]]-Tabla13[[#This Row],[Pagado]]</f>
        <v>0</v>
      </c>
      <c r="I3125" s="325" t="s">
        <v>15214</v>
      </c>
    </row>
    <row r="3126" spans="1:9" x14ac:dyDescent="0.25">
      <c r="A3126" s="299">
        <v>42972</v>
      </c>
      <c r="B3126" s="326" t="s">
        <v>27000</v>
      </c>
      <c r="C3126" s="327">
        <v>125098</v>
      </c>
      <c r="D3126" s="136" t="s">
        <v>15782</v>
      </c>
      <c r="E3126" s="328">
        <v>1093.5</v>
      </c>
      <c r="F3126" s="329">
        <v>42973</v>
      </c>
      <c r="G3126" s="328">
        <v>1093.5</v>
      </c>
      <c r="H3126" s="330">
        <f>Tabla13[[#This Row],[Importe]]-Tabla13[[#This Row],[Pagado]]</f>
        <v>0</v>
      </c>
      <c r="I3126" s="331" t="s">
        <v>15214</v>
      </c>
    </row>
    <row r="3127" spans="1:9" x14ac:dyDescent="0.25">
      <c r="A3127" s="319">
        <v>42972</v>
      </c>
      <c r="B3127" s="320" t="s">
        <v>27001</v>
      </c>
      <c r="C3127" s="321">
        <v>125099</v>
      </c>
      <c r="D3127" s="142" t="s">
        <v>15423</v>
      </c>
      <c r="E3127" s="322">
        <v>1720.8</v>
      </c>
      <c r="F3127" s="323">
        <v>42972</v>
      </c>
      <c r="G3127" s="322">
        <v>1720.8</v>
      </c>
      <c r="H3127" s="321">
        <v>0</v>
      </c>
      <c r="I3127" s="325" t="s">
        <v>15214</v>
      </c>
    </row>
    <row r="3128" spans="1:9" x14ac:dyDescent="0.25">
      <c r="A3128" s="299">
        <v>42972</v>
      </c>
      <c r="B3128" s="320" t="s">
        <v>27002</v>
      </c>
      <c r="C3128" s="321">
        <v>125100</v>
      </c>
      <c r="D3128" s="142" t="s">
        <v>15716</v>
      </c>
      <c r="E3128" s="322">
        <v>9379</v>
      </c>
      <c r="F3128" s="323">
        <v>42972</v>
      </c>
      <c r="G3128" s="322">
        <v>9379</v>
      </c>
      <c r="H3128" s="324">
        <f>Tabla13[[#This Row],[Importe]]-Tabla13[[#This Row],[Pagado]]</f>
        <v>0</v>
      </c>
      <c r="I3128" s="325" t="s">
        <v>15214</v>
      </c>
    </row>
    <row r="3129" spans="1:9" x14ac:dyDescent="0.25">
      <c r="A3129" s="319">
        <v>42972</v>
      </c>
      <c r="B3129" s="336" t="s">
        <v>27003</v>
      </c>
      <c r="C3129" s="337">
        <v>125101</v>
      </c>
      <c r="D3129" s="338" t="s">
        <v>15365</v>
      </c>
      <c r="E3129" s="339">
        <v>235683</v>
      </c>
      <c r="F3129" s="372">
        <v>42980</v>
      </c>
      <c r="G3129" s="371">
        <v>235683</v>
      </c>
      <c r="H3129" s="341">
        <f>Tabla13[[#This Row],[Importe]]-Tabla13[[#This Row],[Pagado]]</f>
        <v>0</v>
      </c>
      <c r="I3129" s="342" t="s">
        <v>15214</v>
      </c>
    </row>
    <row r="3130" spans="1:9" x14ac:dyDescent="0.25">
      <c r="A3130" s="299">
        <v>42972</v>
      </c>
      <c r="B3130" s="320" t="s">
        <v>27004</v>
      </c>
      <c r="C3130" s="321">
        <v>125102</v>
      </c>
      <c r="D3130" s="142" t="s">
        <v>15365</v>
      </c>
      <c r="E3130" s="322">
        <v>458535</v>
      </c>
      <c r="F3130" s="363">
        <v>42980</v>
      </c>
      <c r="G3130" s="155">
        <v>458535</v>
      </c>
      <c r="H3130" s="324">
        <f>Tabla13[[#This Row],[Importe]]-Tabla13[[#This Row],[Pagado]]</f>
        <v>0</v>
      </c>
      <c r="I3130" s="325" t="s">
        <v>15214</v>
      </c>
    </row>
    <row r="3131" spans="1:9" x14ac:dyDescent="0.25">
      <c r="A3131" s="319">
        <v>42972</v>
      </c>
      <c r="B3131" s="336" t="s">
        <v>27005</v>
      </c>
      <c r="C3131" s="337">
        <v>125103</v>
      </c>
      <c r="D3131" s="338" t="s">
        <v>15936</v>
      </c>
      <c r="E3131" s="339">
        <v>19148.400000000001</v>
      </c>
      <c r="F3131" s="340">
        <v>42972</v>
      </c>
      <c r="G3131" s="339">
        <v>19148.400000000001</v>
      </c>
      <c r="H3131" s="341">
        <f>Tabla13[[#This Row],[Importe]]-Tabla13[[#This Row],[Pagado]]</f>
        <v>0</v>
      </c>
      <c r="I3131" s="342" t="s">
        <v>15214</v>
      </c>
    </row>
    <row r="3132" spans="1:9" x14ac:dyDescent="0.25">
      <c r="A3132" s="299">
        <v>42972</v>
      </c>
      <c r="B3132" s="320" t="s">
        <v>27006</v>
      </c>
      <c r="C3132" s="321">
        <v>125104</v>
      </c>
      <c r="D3132" s="142" t="s">
        <v>15213</v>
      </c>
      <c r="E3132" s="322">
        <v>3378.4</v>
      </c>
      <c r="F3132" s="323">
        <v>42975</v>
      </c>
      <c r="G3132" s="322">
        <v>3378.4</v>
      </c>
      <c r="H3132" s="324">
        <f>Tabla13[[#This Row],[Importe]]-Tabla13[[#This Row],[Pagado]]</f>
        <v>0</v>
      </c>
      <c r="I3132" s="325" t="s">
        <v>15214</v>
      </c>
    </row>
    <row r="3133" spans="1:9" x14ac:dyDescent="0.25">
      <c r="A3133" s="319">
        <v>42972</v>
      </c>
      <c r="B3133" s="336" t="s">
        <v>27007</v>
      </c>
      <c r="C3133" s="337">
        <v>125105</v>
      </c>
      <c r="D3133" s="338" t="s">
        <v>15315</v>
      </c>
      <c r="E3133" s="339">
        <v>146.4</v>
      </c>
      <c r="F3133" s="340">
        <v>42972</v>
      </c>
      <c r="G3133" s="339">
        <v>146.4</v>
      </c>
      <c r="H3133" s="341">
        <f>Tabla13[[#This Row],[Importe]]-Tabla13[[#This Row],[Pagado]]</f>
        <v>0</v>
      </c>
      <c r="I3133" s="342" t="s">
        <v>15214</v>
      </c>
    </row>
    <row r="3134" spans="1:9" x14ac:dyDescent="0.25">
      <c r="A3134" s="299">
        <v>42972</v>
      </c>
      <c r="B3134" s="320" t="s">
        <v>27008</v>
      </c>
      <c r="C3134" s="321">
        <v>125106</v>
      </c>
      <c r="D3134" s="142" t="s">
        <v>15632</v>
      </c>
      <c r="E3134" s="322">
        <v>21190.799999999999</v>
      </c>
      <c r="F3134" s="323">
        <v>42973</v>
      </c>
      <c r="G3134" s="322">
        <v>21190.799999999999</v>
      </c>
      <c r="H3134" s="324">
        <f>Tabla13[[#This Row],[Importe]]-Tabla13[[#This Row],[Pagado]]</f>
        <v>0</v>
      </c>
      <c r="I3134" s="325" t="s">
        <v>15214</v>
      </c>
    </row>
    <row r="3135" spans="1:9" x14ac:dyDescent="0.25">
      <c r="A3135" s="319">
        <v>42972</v>
      </c>
      <c r="B3135" s="336" t="s">
        <v>27009</v>
      </c>
      <c r="C3135" s="337">
        <v>125107</v>
      </c>
      <c r="D3135" s="338" t="s">
        <v>15267</v>
      </c>
      <c r="E3135" s="339">
        <v>20569.8</v>
      </c>
      <c r="F3135" s="340">
        <v>42973</v>
      </c>
      <c r="G3135" s="339">
        <v>20569.8</v>
      </c>
      <c r="H3135" s="341">
        <f>Tabla13[[#This Row],[Importe]]-Tabla13[[#This Row],[Pagado]]</f>
        <v>0</v>
      </c>
      <c r="I3135" s="342" t="s">
        <v>15214</v>
      </c>
    </row>
    <row r="3136" spans="1:9" x14ac:dyDescent="0.25">
      <c r="A3136" s="299">
        <v>42972</v>
      </c>
      <c r="B3136" s="320" t="s">
        <v>27010</v>
      </c>
      <c r="C3136" s="321">
        <v>125108</v>
      </c>
      <c r="D3136" s="142" t="s">
        <v>16129</v>
      </c>
      <c r="E3136" s="322">
        <v>4976.2</v>
      </c>
      <c r="F3136" s="363">
        <v>42979</v>
      </c>
      <c r="G3136" s="155">
        <v>4976.2</v>
      </c>
      <c r="H3136" s="324">
        <f>Tabla13[[#This Row],[Importe]]-Tabla13[[#This Row],[Pagado]]</f>
        <v>0</v>
      </c>
      <c r="I3136" s="325" t="s">
        <v>15214</v>
      </c>
    </row>
    <row r="3137" spans="1:9" x14ac:dyDescent="0.25">
      <c r="A3137" s="319">
        <v>42972</v>
      </c>
      <c r="B3137" s="336" t="s">
        <v>27011</v>
      </c>
      <c r="C3137" s="337">
        <v>125109</v>
      </c>
      <c r="D3137" s="338" t="s">
        <v>15642</v>
      </c>
      <c r="E3137" s="339">
        <v>4372.2</v>
      </c>
      <c r="F3137" s="340">
        <v>42972</v>
      </c>
      <c r="G3137" s="339">
        <v>4372.2</v>
      </c>
      <c r="H3137" s="341">
        <f>Tabla13[[#This Row],[Importe]]-Tabla13[[#This Row],[Pagado]]</f>
        <v>0</v>
      </c>
      <c r="I3137" s="342" t="s">
        <v>15214</v>
      </c>
    </row>
    <row r="3138" spans="1:9" x14ac:dyDescent="0.25">
      <c r="A3138" s="299">
        <v>42972</v>
      </c>
      <c r="B3138" s="326" t="s">
        <v>27012</v>
      </c>
      <c r="C3138" s="327">
        <v>125110</v>
      </c>
      <c r="D3138" s="136" t="s">
        <v>15246</v>
      </c>
      <c r="E3138" s="328">
        <v>300362.84000000003</v>
      </c>
      <c r="F3138" s="329">
        <v>42977</v>
      </c>
      <c r="G3138" s="328">
        <v>300362.84000000003</v>
      </c>
      <c r="H3138" s="330">
        <f>Tabla13[[#This Row],[Importe]]-Tabla13[[#This Row],[Pagado]]</f>
        <v>0</v>
      </c>
      <c r="I3138" s="331" t="s">
        <v>15214</v>
      </c>
    </row>
    <row r="3139" spans="1:9" x14ac:dyDescent="0.25">
      <c r="A3139" s="319">
        <v>42972</v>
      </c>
      <c r="B3139" s="320" t="s">
        <v>27013</v>
      </c>
      <c r="C3139" s="321">
        <v>125111</v>
      </c>
      <c r="D3139" s="142" t="s">
        <v>15246</v>
      </c>
      <c r="E3139" s="322">
        <v>18160.2</v>
      </c>
      <c r="F3139" s="323">
        <v>42977</v>
      </c>
      <c r="G3139" s="322">
        <v>18160.2</v>
      </c>
      <c r="H3139" s="324">
        <f>Tabla13[[#This Row],[Importe]]-Tabla13[[#This Row],[Pagado]]</f>
        <v>0</v>
      </c>
      <c r="I3139" s="325" t="s">
        <v>15214</v>
      </c>
    </row>
    <row r="3140" spans="1:9" x14ac:dyDescent="0.25">
      <c r="A3140" s="299">
        <v>42972</v>
      </c>
      <c r="B3140" s="326" t="s">
        <v>27014</v>
      </c>
      <c r="C3140" s="327">
        <v>125112</v>
      </c>
      <c r="D3140" s="136" t="s">
        <v>15246</v>
      </c>
      <c r="E3140" s="328">
        <v>95485.6</v>
      </c>
      <c r="F3140" s="329">
        <v>42977</v>
      </c>
      <c r="G3140" s="328">
        <v>95485.6</v>
      </c>
      <c r="H3140" s="330">
        <f>Tabla13[[#This Row],[Importe]]-Tabla13[[#This Row],[Pagado]]</f>
        <v>0</v>
      </c>
      <c r="I3140" s="331" t="s">
        <v>15214</v>
      </c>
    </row>
    <row r="3141" spans="1:9" x14ac:dyDescent="0.25">
      <c r="A3141" s="319">
        <v>42972</v>
      </c>
      <c r="B3141" s="320" t="s">
        <v>27015</v>
      </c>
      <c r="C3141" s="321">
        <v>125113</v>
      </c>
      <c r="D3141" s="142" t="s">
        <v>5757</v>
      </c>
      <c r="E3141" s="322">
        <v>1070</v>
      </c>
      <c r="F3141" s="323">
        <v>42973</v>
      </c>
      <c r="G3141" s="322">
        <v>1070</v>
      </c>
      <c r="H3141" s="324">
        <f>Tabla13[[#This Row],[Importe]]-Tabla13[[#This Row],[Pagado]]</f>
        <v>0</v>
      </c>
      <c r="I3141" s="325" t="s">
        <v>15214</v>
      </c>
    </row>
    <row r="3142" spans="1:9" x14ac:dyDescent="0.25">
      <c r="A3142" s="299">
        <v>42972</v>
      </c>
      <c r="B3142" s="326" t="s">
        <v>27016</v>
      </c>
      <c r="C3142" s="327">
        <v>125114</v>
      </c>
      <c r="D3142" s="136" t="s">
        <v>19680</v>
      </c>
      <c r="E3142" s="328">
        <v>120</v>
      </c>
      <c r="F3142" s="329">
        <v>42973</v>
      </c>
      <c r="G3142" s="328">
        <v>120</v>
      </c>
      <c r="H3142" s="330">
        <f>Tabla13[[#This Row],[Importe]]-Tabla13[[#This Row],[Pagado]]</f>
        <v>0</v>
      </c>
      <c r="I3142" s="331" t="s">
        <v>15214</v>
      </c>
    </row>
    <row r="3143" spans="1:9" x14ac:dyDescent="0.25">
      <c r="A3143" s="319">
        <v>42972</v>
      </c>
      <c r="B3143" s="320" t="s">
        <v>27017</v>
      </c>
      <c r="C3143" s="321">
        <v>125115</v>
      </c>
      <c r="D3143" s="142" t="s">
        <v>15435</v>
      </c>
      <c r="E3143" s="322">
        <v>8179.2</v>
      </c>
      <c r="F3143" s="323">
        <v>42972</v>
      </c>
      <c r="G3143" s="322">
        <v>8179.2</v>
      </c>
      <c r="H3143" s="324">
        <f>Tabla13[[#This Row],[Importe]]-Tabla13[[#This Row],[Pagado]]</f>
        <v>0</v>
      </c>
      <c r="I3143" s="325" t="s">
        <v>15214</v>
      </c>
    </row>
    <row r="3144" spans="1:9" x14ac:dyDescent="0.25">
      <c r="A3144" s="299">
        <v>42972</v>
      </c>
      <c r="B3144" s="326" t="s">
        <v>27018</v>
      </c>
      <c r="C3144" s="327">
        <v>125116</v>
      </c>
      <c r="D3144" s="136" t="s">
        <v>15681</v>
      </c>
      <c r="E3144" s="328">
        <v>1963.2</v>
      </c>
      <c r="F3144" s="329">
        <v>42972</v>
      </c>
      <c r="G3144" s="328">
        <v>1963.2</v>
      </c>
      <c r="H3144" s="330">
        <f>Tabla13[[#This Row],[Importe]]-Tabla13[[#This Row],[Pagado]]</f>
        <v>0</v>
      </c>
      <c r="I3144" s="331" t="s">
        <v>15214</v>
      </c>
    </row>
    <row r="3145" spans="1:9" x14ac:dyDescent="0.25">
      <c r="A3145" s="319">
        <v>42972</v>
      </c>
      <c r="B3145" s="320" t="s">
        <v>27019</v>
      </c>
      <c r="C3145" s="321">
        <v>125117</v>
      </c>
      <c r="D3145" s="142" t="s">
        <v>15642</v>
      </c>
      <c r="E3145" s="322">
        <v>6711.6</v>
      </c>
      <c r="F3145" s="323">
        <v>42973</v>
      </c>
      <c r="G3145" s="322">
        <v>6711.6</v>
      </c>
      <c r="H3145" s="324">
        <f>Tabla13[[#This Row],[Importe]]-Tabla13[[#This Row],[Pagado]]</f>
        <v>0</v>
      </c>
      <c r="I3145" s="325" t="s">
        <v>15214</v>
      </c>
    </row>
    <row r="3146" spans="1:9" x14ac:dyDescent="0.25">
      <c r="A3146" s="299">
        <v>42972</v>
      </c>
      <c r="B3146" s="326" t="s">
        <v>27020</v>
      </c>
      <c r="C3146" s="327">
        <v>125118</v>
      </c>
      <c r="D3146" s="136" t="s">
        <v>15236</v>
      </c>
      <c r="E3146" s="328">
        <v>7617.8</v>
      </c>
      <c r="F3146" s="329">
        <v>42976</v>
      </c>
      <c r="G3146" s="328">
        <v>7617.8</v>
      </c>
      <c r="H3146" s="330">
        <f>Tabla13[[#This Row],[Importe]]-Tabla13[[#This Row],[Pagado]]</f>
        <v>0</v>
      </c>
      <c r="I3146" s="331" t="s">
        <v>15214</v>
      </c>
    </row>
    <row r="3147" spans="1:9" x14ac:dyDescent="0.25">
      <c r="A3147" s="319">
        <v>42972</v>
      </c>
      <c r="B3147" s="320" t="s">
        <v>27021</v>
      </c>
      <c r="C3147" s="321">
        <v>125119</v>
      </c>
      <c r="D3147" s="142" t="s">
        <v>21386</v>
      </c>
      <c r="E3147" s="322">
        <v>10869.1</v>
      </c>
      <c r="F3147" s="323">
        <v>42974</v>
      </c>
      <c r="G3147" s="322">
        <v>10869.1</v>
      </c>
      <c r="H3147" s="324">
        <f>Tabla13[[#This Row],[Importe]]-Tabla13[[#This Row],[Pagado]]</f>
        <v>0</v>
      </c>
      <c r="I3147" s="325" t="s">
        <v>15214</v>
      </c>
    </row>
    <row r="3148" spans="1:9" x14ac:dyDescent="0.25">
      <c r="A3148" s="319">
        <v>42973</v>
      </c>
      <c r="B3148" s="320" t="s">
        <v>27022</v>
      </c>
      <c r="C3148" s="321">
        <v>125120</v>
      </c>
      <c r="D3148" s="142" t="s">
        <v>15213</v>
      </c>
      <c r="E3148" s="322">
        <v>47250</v>
      </c>
      <c r="F3148" s="323">
        <v>42975</v>
      </c>
      <c r="G3148" s="322">
        <v>47250</v>
      </c>
      <c r="H3148" s="324">
        <f>Tabla13[[#This Row],[Importe]]-Tabla13[[#This Row],[Pagado]]</f>
        <v>0</v>
      </c>
      <c r="I3148" s="325" t="s">
        <v>15214</v>
      </c>
    </row>
    <row r="3149" spans="1:9" x14ac:dyDescent="0.25">
      <c r="A3149" s="353">
        <v>42973</v>
      </c>
      <c r="B3149" s="336" t="s">
        <v>27023</v>
      </c>
      <c r="C3149" s="337">
        <v>125121</v>
      </c>
      <c r="D3149" s="338" t="s">
        <v>15668</v>
      </c>
      <c r="E3149" s="339">
        <v>19983.2</v>
      </c>
      <c r="F3149" s="340">
        <v>42975</v>
      </c>
      <c r="G3149" s="339">
        <v>19983.2</v>
      </c>
      <c r="H3149" s="341">
        <f>Tabla13[[#This Row],[Importe]]-Tabla13[[#This Row],[Pagado]]</f>
        <v>0</v>
      </c>
      <c r="I3149" s="342" t="s">
        <v>15214</v>
      </c>
    </row>
    <row r="3150" spans="1:9" x14ac:dyDescent="0.25">
      <c r="A3150" s="319">
        <v>42973</v>
      </c>
      <c r="B3150" s="320" t="s">
        <v>27024</v>
      </c>
      <c r="C3150" s="321">
        <v>125122</v>
      </c>
      <c r="D3150" s="142" t="s">
        <v>15330</v>
      </c>
      <c r="E3150" s="322">
        <v>3820.1</v>
      </c>
      <c r="F3150" s="323">
        <v>42973</v>
      </c>
      <c r="G3150" s="322">
        <v>3820.1</v>
      </c>
      <c r="H3150" s="324">
        <f>Tabla13[[#This Row],[Importe]]-Tabla13[[#This Row],[Pagado]]</f>
        <v>0</v>
      </c>
      <c r="I3150" s="325" t="s">
        <v>15214</v>
      </c>
    </row>
    <row r="3151" spans="1:9" x14ac:dyDescent="0.25">
      <c r="A3151" s="353">
        <v>42973</v>
      </c>
      <c r="B3151" s="336" t="s">
        <v>27025</v>
      </c>
      <c r="C3151" s="337">
        <v>125123</v>
      </c>
      <c r="D3151" s="338" t="s">
        <v>17235</v>
      </c>
      <c r="E3151" s="339">
        <v>1410</v>
      </c>
      <c r="F3151" s="343">
        <v>42973</v>
      </c>
      <c r="G3151" s="339">
        <v>1410</v>
      </c>
      <c r="H3151" s="341">
        <f>Tabla13[[#This Row],[Importe]]-Tabla13[[#This Row],[Pagado]]</f>
        <v>0</v>
      </c>
      <c r="I3151" s="342" t="s">
        <v>15214</v>
      </c>
    </row>
    <row r="3152" spans="1:9" x14ac:dyDescent="0.25">
      <c r="A3152" s="319">
        <v>42973</v>
      </c>
      <c r="B3152" s="320" t="s">
        <v>27026</v>
      </c>
      <c r="C3152" s="321">
        <v>125124</v>
      </c>
      <c r="D3152" s="142" t="s">
        <v>15220</v>
      </c>
      <c r="E3152" s="322">
        <v>5405</v>
      </c>
      <c r="F3152" s="323">
        <v>42973</v>
      </c>
      <c r="G3152" s="322">
        <v>5405</v>
      </c>
      <c r="H3152" s="324">
        <f>Tabla13[[#This Row],[Importe]]-Tabla13[[#This Row],[Pagado]]</f>
        <v>0</v>
      </c>
      <c r="I3152" s="325" t="s">
        <v>15214</v>
      </c>
    </row>
    <row r="3153" spans="1:9" x14ac:dyDescent="0.25">
      <c r="A3153" s="353">
        <v>42973</v>
      </c>
      <c r="B3153" s="336" t="s">
        <v>27027</v>
      </c>
      <c r="C3153" s="337">
        <v>125125</v>
      </c>
      <c r="D3153" s="338" t="s">
        <v>15272</v>
      </c>
      <c r="E3153" s="339">
        <v>31768</v>
      </c>
      <c r="F3153" s="343">
        <v>42973</v>
      </c>
      <c r="G3153" s="339">
        <v>31768</v>
      </c>
      <c r="H3153" s="341">
        <f>Tabla13[[#This Row],[Importe]]-Tabla13[[#This Row],[Pagado]]</f>
        <v>0</v>
      </c>
      <c r="I3153" s="342" t="s">
        <v>15214</v>
      </c>
    </row>
    <row r="3154" spans="1:9" x14ac:dyDescent="0.25">
      <c r="A3154" s="319">
        <v>42973</v>
      </c>
      <c r="B3154" s="320" t="s">
        <v>27028</v>
      </c>
      <c r="C3154" s="321">
        <v>125126</v>
      </c>
      <c r="D3154" s="142" t="s">
        <v>15232</v>
      </c>
      <c r="E3154" s="322">
        <v>14187.6</v>
      </c>
      <c r="F3154" s="323">
        <v>42978</v>
      </c>
      <c r="G3154" s="322">
        <v>14187.6</v>
      </c>
      <c r="H3154" s="324">
        <f>Tabla13[[#This Row],[Importe]]-Tabla13[[#This Row],[Pagado]]</f>
        <v>0</v>
      </c>
      <c r="I3154" s="325" t="s">
        <v>15214</v>
      </c>
    </row>
    <row r="3155" spans="1:9" x14ac:dyDescent="0.25">
      <c r="A3155" s="353">
        <v>42973</v>
      </c>
      <c r="B3155" s="336" t="s">
        <v>27029</v>
      </c>
      <c r="C3155" s="337">
        <v>125127</v>
      </c>
      <c r="D3155" s="338" t="s">
        <v>15596</v>
      </c>
      <c r="E3155" s="339">
        <v>1175</v>
      </c>
      <c r="F3155" s="343">
        <v>42973</v>
      </c>
      <c r="G3155" s="339">
        <v>1175</v>
      </c>
      <c r="H3155" s="341">
        <f>Tabla13[[#This Row],[Importe]]-Tabla13[[#This Row],[Pagado]]</f>
        <v>0</v>
      </c>
      <c r="I3155" s="342" t="s">
        <v>15214</v>
      </c>
    </row>
    <row r="3156" spans="1:9" x14ac:dyDescent="0.25">
      <c r="A3156" s="319">
        <v>42973</v>
      </c>
      <c r="B3156" s="320" t="s">
        <v>27030</v>
      </c>
      <c r="C3156" s="321">
        <v>125128</v>
      </c>
      <c r="D3156" s="142" t="s">
        <v>15415</v>
      </c>
      <c r="E3156" s="322">
        <v>1028.2</v>
      </c>
      <c r="F3156" s="323">
        <v>42973</v>
      </c>
      <c r="G3156" s="322">
        <v>1028.2</v>
      </c>
      <c r="H3156" s="324">
        <f>Tabla13[[#This Row],[Importe]]-Tabla13[[#This Row],[Pagado]]</f>
        <v>0</v>
      </c>
      <c r="I3156" s="325" t="s">
        <v>15214</v>
      </c>
    </row>
    <row r="3157" spans="1:9" ht="30" x14ac:dyDescent="0.25">
      <c r="A3157" s="353">
        <v>42973</v>
      </c>
      <c r="B3157" s="336" t="s">
        <v>27031</v>
      </c>
      <c r="C3157" s="337">
        <v>125129</v>
      </c>
      <c r="D3157" s="338" t="s">
        <v>15234</v>
      </c>
      <c r="E3157" s="339">
        <v>7904.8</v>
      </c>
      <c r="F3157" s="372" t="s">
        <v>27687</v>
      </c>
      <c r="G3157" s="364">
        <f>3500+4404.8</f>
        <v>7904.8</v>
      </c>
      <c r="H3157" s="365">
        <f>Tabla13[[#This Row],[Importe]]-Tabla13[[#This Row],[Pagado]]</f>
        <v>0</v>
      </c>
      <c r="I3157" s="342" t="s">
        <v>15214</v>
      </c>
    </row>
    <row r="3158" spans="1:9" ht="45" x14ac:dyDescent="0.25">
      <c r="A3158" s="319">
        <v>42973</v>
      </c>
      <c r="B3158" s="326" t="s">
        <v>27032</v>
      </c>
      <c r="C3158" s="327">
        <v>125130</v>
      </c>
      <c r="D3158" s="136" t="s">
        <v>15258</v>
      </c>
      <c r="E3158" s="328">
        <v>25953</v>
      </c>
      <c r="F3158" s="329" t="s">
        <v>27033</v>
      </c>
      <c r="G3158" s="334">
        <f>6000+11000+8953</f>
        <v>25953</v>
      </c>
      <c r="H3158" s="324">
        <f>Tabla13[[#This Row],[Importe]]-Tabla13[[#This Row],[Pagado]]</f>
        <v>0</v>
      </c>
      <c r="I3158" s="331" t="s">
        <v>15214</v>
      </c>
    </row>
    <row r="3159" spans="1:9" x14ac:dyDescent="0.25">
      <c r="A3159" s="353">
        <v>42973</v>
      </c>
      <c r="B3159" s="320" t="s">
        <v>27034</v>
      </c>
      <c r="C3159" s="321">
        <v>125131</v>
      </c>
      <c r="D3159" s="142" t="s">
        <v>15317</v>
      </c>
      <c r="E3159" s="322">
        <v>3498.6</v>
      </c>
      <c r="F3159" s="323">
        <v>42976</v>
      </c>
      <c r="G3159" s="322">
        <v>3498.6</v>
      </c>
      <c r="H3159" s="324">
        <f>Tabla13[[#This Row],[Importe]]-Tabla13[[#This Row],[Pagado]]</f>
        <v>0</v>
      </c>
      <c r="I3159" s="325" t="s">
        <v>15214</v>
      </c>
    </row>
    <row r="3160" spans="1:9" x14ac:dyDescent="0.25">
      <c r="A3160" s="319">
        <v>42973</v>
      </c>
      <c r="B3160" s="326" t="s">
        <v>27035</v>
      </c>
      <c r="C3160" s="327">
        <v>125132</v>
      </c>
      <c r="D3160" s="136" t="s">
        <v>15240</v>
      </c>
      <c r="E3160" s="328">
        <v>1232</v>
      </c>
      <c r="F3160" s="329">
        <v>42976</v>
      </c>
      <c r="G3160" s="328">
        <v>1232</v>
      </c>
      <c r="H3160" s="330">
        <f>Tabla13[[#This Row],[Importe]]-Tabla13[[#This Row],[Pagado]]</f>
        <v>0</v>
      </c>
      <c r="I3160" s="331" t="s">
        <v>15214</v>
      </c>
    </row>
    <row r="3161" spans="1:9" x14ac:dyDescent="0.25">
      <c r="A3161" s="353">
        <v>42973</v>
      </c>
      <c r="B3161" s="320" t="s">
        <v>27036</v>
      </c>
      <c r="C3161" s="321">
        <v>125133</v>
      </c>
      <c r="D3161" s="142" t="s">
        <v>15236</v>
      </c>
      <c r="E3161" s="322">
        <v>6912.6</v>
      </c>
      <c r="F3161" s="323">
        <v>42975</v>
      </c>
      <c r="G3161" s="322">
        <v>6912.6</v>
      </c>
      <c r="H3161" s="324">
        <f>Tabla13[[#This Row],[Importe]]-Tabla13[[#This Row],[Pagado]]</f>
        <v>0</v>
      </c>
      <c r="I3161" s="325" t="s">
        <v>15214</v>
      </c>
    </row>
    <row r="3162" spans="1:9" x14ac:dyDescent="0.25">
      <c r="A3162" s="319">
        <v>42973</v>
      </c>
      <c r="B3162" s="326" t="s">
        <v>27037</v>
      </c>
      <c r="C3162" s="327">
        <v>125134</v>
      </c>
      <c r="D3162" s="136" t="s">
        <v>16171</v>
      </c>
      <c r="E3162" s="328">
        <v>820.8</v>
      </c>
      <c r="F3162" s="323">
        <v>42973</v>
      </c>
      <c r="G3162" s="328">
        <v>820.8</v>
      </c>
      <c r="H3162" s="330">
        <f>Tabla13[[#This Row],[Importe]]-Tabla13[[#This Row],[Pagado]]</f>
        <v>0</v>
      </c>
      <c r="I3162" s="331" t="s">
        <v>15214</v>
      </c>
    </row>
    <row r="3163" spans="1:9" x14ac:dyDescent="0.25">
      <c r="A3163" s="353">
        <v>42973</v>
      </c>
      <c r="B3163" s="320" t="s">
        <v>27038</v>
      </c>
      <c r="C3163" s="321">
        <v>125135</v>
      </c>
      <c r="D3163" s="142" t="s">
        <v>15232</v>
      </c>
      <c r="E3163" s="322">
        <v>2227.1999999999998</v>
      </c>
      <c r="F3163" s="323">
        <v>42978</v>
      </c>
      <c r="G3163" s="322">
        <v>2227.1999999999998</v>
      </c>
      <c r="H3163" s="324">
        <f>Tabla13[[#This Row],[Importe]]-Tabla13[[#This Row],[Pagado]]</f>
        <v>0</v>
      </c>
      <c r="I3163" s="325" t="s">
        <v>15214</v>
      </c>
    </row>
    <row r="3164" spans="1:9" x14ac:dyDescent="0.25">
      <c r="A3164" s="319">
        <v>42973</v>
      </c>
      <c r="B3164" s="326" t="s">
        <v>27039</v>
      </c>
      <c r="C3164" s="327">
        <v>125136</v>
      </c>
      <c r="D3164" s="136" t="s">
        <v>15858</v>
      </c>
      <c r="E3164" s="328">
        <v>275.39999999999998</v>
      </c>
      <c r="F3164" s="323">
        <v>42973</v>
      </c>
      <c r="G3164" s="328">
        <v>275.39999999999998</v>
      </c>
      <c r="H3164" s="330">
        <f>Tabla13[[#This Row],[Importe]]-Tabla13[[#This Row],[Pagado]]</f>
        <v>0</v>
      </c>
      <c r="I3164" s="331" t="s">
        <v>15214</v>
      </c>
    </row>
    <row r="3165" spans="1:9" x14ac:dyDescent="0.25">
      <c r="A3165" s="353">
        <v>42973</v>
      </c>
      <c r="B3165" s="320" t="s">
        <v>27040</v>
      </c>
      <c r="C3165" s="321">
        <v>125137</v>
      </c>
      <c r="D3165" s="142" t="s">
        <v>15861</v>
      </c>
      <c r="E3165" s="322">
        <v>2222.8000000000002</v>
      </c>
      <c r="F3165" s="323">
        <v>42973</v>
      </c>
      <c r="G3165" s="322">
        <v>2222.8000000000002</v>
      </c>
      <c r="H3165" s="324">
        <f>Tabla13[[#This Row],[Importe]]-Tabla13[[#This Row],[Pagado]]</f>
        <v>0</v>
      </c>
      <c r="I3165" s="325" t="s">
        <v>15214</v>
      </c>
    </row>
    <row r="3166" spans="1:9" x14ac:dyDescent="0.25">
      <c r="A3166" s="319">
        <v>42973</v>
      </c>
      <c r="B3166" s="326" t="s">
        <v>27041</v>
      </c>
      <c r="C3166" s="327">
        <v>125138</v>
      </c>
      <c r="D3166" s="136" t="s">
        <v>15523</v>
      </c>
      <c r="E3166" s="328">
        <v>4230</v>
      </c>
      <c r="F3166" s="323">
        <v>42973</v>
      </c>
      <c r="G3166" s="328">
        <v>4230</v>
      </c>
      <c r="H3166" s="330">
        <f>Tabla13[[#This Row],[Importe]]-Tabla13[[#This Row],[Pagado]]</f>
        <v>0</v>
      </c>
      <c r="I3166" s="331" t="s">
        <v>15214</v>
      </c>
    </row>
    <row r="3167" spans="1:9" x14ac:dyDescent="0.25">
      <c r="A3167" s="353">
        <v>42973</v>
      </c>
      <c r="B3167" s="320" t="s">
        <v>27042</v>
      </c>
      <c r="C3167" s="321">
        <v>125139</v>
      </c>
      <c r="D3167" s="142" t="s">
        <v>15232</v>
      </c>
      <c r="E3167" s="322">
        <v>1922.4</v>
      </c>
      <c r="F3167" s="323">
        <v>42978</v>
      </c>
      <c r="G3167" s="322">
        <v>1922.4</v>
      </c>
      <c r="H3167" s="324">
        <f>Tabla13[[#This Row],[Importe]]-Tabla13[[#This Row],[Pagado]]</f>
        <v>0</v>
      </c>
      <c r="I3167" s="325" t="s">
        <v>15214</v>
      </c>
    </row>
    <row r="3168" spans="1:9" x14ac:dyDescent="0.25">
      <c r="A3168" s="319">
        <v>42973</v>
      </c>
      <c r="B3168" s="320" t="s">
        <v>27043</v>
      </c>
      <c r="C3168" s="321">
        <v>125140</v>
      </c>
      <c r="D3168" s="142" t="s">
        <v>15358</v>
      </c>
      <c r="E3168" s="322">
        <v>3134.9</v>
      </c>
      <c r="F3168" s="323">
        <v>42973</v>
      </c>
      <c r="G3168" s="322">
        <v>3134.9</v>
      </c>
      <c r="H3168" s="324">
        <f>Tabla13[[#This Row],[Importe]]-Tabla13[[#This Row],[Pagado]]</f>
        <v>0</v>
      </c>
      <c r="I3168" s="325" t="s">
        <v>15214</v>
      </c>
    </row>
    <row r="3169" spans="1:9" x14ac:dyDescent="0.25">
      <c r="A3169" s="353">
        <v>42973</v>
      </c>
      <c r="B3169" s="326" t="s">
        <v>27044</v>
      </c>
      <c r="C3169" s="327">
        <v>125141</v>
      </c>
      <c r="D3169" s="136" t="s">
        <v>15246</v>
      </c>
      <c r="E3169" s="328">
        <v>3198.2</v>
      </c>
      <c r="F3169" s="361">
        <v>42980</v>
      </c>
      <c r="G3169" s="362">
        <v>3198.2</v>
      </c>
      <c r="H3169" s="330">
        <f>Tabla13[[#This Row],[Importe]]-Tabla13[[#This Row],[Pagado]]</f>
        <v>0</v>
      </c>
      <c r="I3169" s="331" t="s">
        <v>15214</v>
      </c>
    </row>
    <row r="3170" spans="1:9" x14ac:dyDescent="0.25">
      <c r="A3170" s="319">
        <v>42973</v>
      </c>
      <c r="B3170" s="320" t="s">
        <v>27045</v>
      </c>
      <c r="C3170" s="321">
        <v>125142</v>
      </c>
      <c r="D3170" s="142" t="s">
        <v>15246</v>
      </c>
      <c r="E3170" s="322">
        <v>600</v>
      </c>
      <c r="F3170" s="363">
        <v>42980</v>
      </c>
      <c r="G3170" s="155">
        <v>600</v>
      </c>
      <c r="H3170" s="324">
        <f>Tabla13[[#This Row],[Importe]]-Tabla13[[#This Row],[Pagado]]</f>
        <v>0</v>
      </c>
      <c r="I3170" s="325" t="s">
        <v>15214</v>
      </c>
    </row>
    <row r="3171" spans="1:9" x14ac:dyDescent="0.25">
      <c r="A3171" s="353">
        <v>42973</v>
      </c>
      <c r="B3171" s="326" t="s">
        <v>27046</v>
      </c>
      <c r="C3171" s="327">
        <v>125143</v>
      </c>
      <c r="D3171" s="136" t="s">
        <v>15344</v>
      </c>
      <c r="E3171" s="328">
        <v>2560</v>
      </c>
      <c r="F3171" s="323">
        <v>42973</v>
      </c>
      <c r="G3171" s="339">
        <v>2560</v>
      </c>
      <c r="H3171" s="330">
        <f>Tabla13[[#This Row],[Importe]]-Tabla13[[#This Row],[Pagado]]</f>
        <v>0</v>
      </c>
      <c r="I3171" s="331" t="s">
        <v>15214</v>
      </c>
    </row>
    <row r="3172" spans="1:9" x14ac:dyDescent="0.25">
      <c r="A3172" s="319">
        <v>42973</v>
      </c>
      <c r="B3172" s="320" t="s">
        <v>27047</v>
      </c>
      <c r="C3172" s="321">
        <v>125144</v>
      </c>
      <c r="D3172" s="142" t="s">
        <v>15336</v>
      </c>
      <c r="E3172" s="322">
        <v>10537.4</v>
      </c>
      <c r="F3172" s="323">
        <v>42973</v>
      </c>
      <c r="G3172" s="322">
        <v>10537.4</v>
      </c>
      <c r="H3172" s="324">
        <f>Tabla13[[#This Row],[Importe]]-Tabla13[[#This Row],[Pagado]]</f>
        <v>0</v>
      </c>
      <c r="I3172" s="325" t="s">
        <v>15214</v>
      </c>
    </row>
    <row r="3173" spans="1:9" x14ac:dyDescent="0.25">
      <c r="A3173" s="353">
        <v>42973</v>
      </c>
      <c r="B3173" s="326" t="s">
        <v>27048</v>
      </c>
      <c r="C3173" s="327">
        <v>125145</v>
      </c>
      <c r="D3173" s="136" t="s">
        <v>17210</v>
      </c>
      <c r="E3173" s="328">
        <v>3600</v>
      </c>
      <c r="F3173" s="323">
        <v>42973</v>
      </c>
      <c r="G3173" s="339">
        <v>3600</v>
      </c>
      <c r="H3173" s="330">
        <f>Tabla13[[#This Row],[Importe]]-Tabla13[[#This Row],[Pagado]]</f>
        <v>0</v>
      </c>
      <c r="I3173" s="331" t="s">
        <v>15214</v>
      </c>
    </row>
    <row r="3174" spans="1:9" x14ac:dyDescent="0.25">
      <c r="A3174" s="319">
        <v>42973</v>
      </c>
      <c r="B3174" s="320" t="s">
        <v>27049</v>
      </c>
      <c r="C3174" s="321">
        <v>125146</v>
      </c>
      <c r="D3174" s="142" t="s">
        <v>15223</v>
      </c>
      <c r="E3174" s="322">
        <v>59229</v>
      </c>
      <c r="F3174" s="323">
        <v>42994</v>
      </c>
      <c r="G3174" s="322">
        <v>59229</v>
      </c>
      <c r="H3174" s="324">
        <f>Tabla13[[#This Row],[Importe]]-Tabla13[[#This Row],[Pagado]]</f>
        <v>0</v>
      </c>
      <c r="I3174" s="325" t="s">
        <v>15214</v>
      </c>
    </row>
    <row r="3175" spans="1:9" x14ac:dyDescent="0.25">
      <c r="A3175" s="353">
        <v>42973</v>
      </c>
      <c r="B3175" s="326" t="s">
        <v>27050</v>
      </c>
      <c r="C3175" s="327">
        <v>125147</v>
      </c>
      <c r="D3175" s="136" t="s">
        <v>15526</v>
      </c>
      <c r="E3175" s="328">
        <v>5385</v>
      </c>
      <c r="F3175" s="323">
        <v>42973</v>
      </c>
      <c r="G3175" s="328">
        <v>5385</v>
      </c>
      <c r="H3175" s="330">
        <f>Tabla13[[#This Row],[Importe]]-Tabla13[[#This Row],[Pagado]]</f>
        <v>0</v>
      </c>
      <c r="I3175" s="331" t="s">
        <v>15214</v>
      </c>
    </row>
    <row r="3176" spans="1:9" x14ac:dyDescent="0.25">
      <c r="A3176" s="319">
        <v>42973</v>
      </c>
      <c r="B3176" s="320" t="s">
        <v>27051</v>
      </c>
      <c r="C3176" s="321">
        <v>125148</v>
      </c>
      <c r="D3176" s="142" t="s">
        <v>15226</v>
      </c>
      <c r="E3176" s="322">
        <v>2185.4</v>
      </c>
      <c r="F3176" s="323">
        <v>42975</v>
      </c>
      <c r="G3176" s="322">
        <v>2185.4</v>
      </c>
      <c r="H3176" s="324">
        <f>Tabla13[[#This Row],[Importe]]-Tabla13[[#This Row],[Pagado]]</f>
        <v>0</v>
      </c>
      <c r="I3176" s="325" t="s">
        <v>15214</v>
      </c>
    </row>
    <row r="3177" spans="1:9" x14ac:dyDescent="0.25">
      <c r="A3177" s="353">
        <v>42973</v>
      </c>
      <c r="B3177" s="326" t="s">
        <v>27052</v>
      </c>
      <c r="C3177" s="327">
        <v>125149</v>
      </c>
      <c r="D3177" s="136" t="s">
        <v>15348</v>
      </c>
      <c r="E3177" s="328">
        <v>3733.2</v>
      </c>
      <c r="F3177" s="329">
        <v>42976</v>
      </c>
      <c r="G3177" s="328">
        <v>3733.2</v>
      </c>
      <c r="H3177" s="330">
        <f>Tabla13[[#This Row],[Importe]]-Tabla13[[#This Row],[Pagado]]</f>
        <v>0</v>
      </c>
      <c r="I3177" s="331" t="s">
        <v>15214</v>
      </c>
    </row>
    <row r="3178" spans="1:9" x14ac:dyDescent="0.25">
      <c r="A3178" s="319">
        <v>42973</v>
      </c>
      <c r="B3178" s="326" t="s">
        <v>27053</v>
      </c>
      <c r="C3178" s="327">
        <v>125150</v>
      </c>
      <c r="D3178" s="136" t="s">
        <v>15407</v>
      </c>
      <c r="E3178" s="328">
        <v>1875</v>
      </c>
      <c r="F3178" s="323">
        <v>42973</v>
      </c>
      <c r="G3178" s="328">
        <v>1875</v>
      </c>
      <c r="H3178" s="330">
        <f>Tabla13[[#This Row],[Importe]]-Tabla13[[#This Row],[Pagado]]</f>
        <v>0</v>
      </c>
      <c r="I3178" s="331" t="s">
        <v>15214</v>
      </c>
    </row>
    <row r="3179" spans="1:9" x14ac:dyDescent="0.25">
      <c r="A3179" s="353">
        <v>42973</v>
      </c>
      <c r="B3179" s="320" t="s">
        <v>27054</v>
      </c>
      <c r="C3179" s="321">
        <v>125151</v>
      </c>
      <c r="D3179" s="142" t="s">
        <v>15238</v>
      </c>
      <c r="E3179" s="322">
        <v>9731.7999999999993</v>
      </c>
      <c r="F3179" s="323">
        <v>42976</v>
      </c>
      <c r="G3179" s="322">
        <v>9731.7999999999993</v>
      </c>
      <c r="H3179" s="324">
        <f>Tabla13[[#This Row],[Importe]]-Tabla13[[#This Row],[Pagado]]</f>
        <v>0</v>
      </c>
      <c r="I3179" s="325" t="s">
        <v>15214</v>
      </c>
    </row>
    <row r="3180" spans="1:9" x14ac:dyDescent="0.25">
      <c r="A3180" s="319">
        <v>42973</v>
      </c>
      <c r="B3180" s="326" t="s">
        <v>27055</v>
      </c>
      <c r="C3180" s="327">
        <v>125152</v>
      </c>
      <c r="D3180" s="136" t="s">
        <v>15256</v>
      </c>
      <c r="E3180" s="328">
        <v>15497.8</v>
      </c>
      <c r="F3180" s="329">
        <v>42976</v>
      </c>
      <c r="G3180" s="328">
        <v>15497.8</v>
      </c>
      <c r="H3180" s="330">
        <f>Tabla13[[#This Row],[Importe]]-Tabla13[[#This Row],[Pagado]]</f>
        <v>0</v>
      </c>
      <c r="I3180" s="331" t="s">
        <v>15214</v>
      </c>
    </row>
    <row r="3181" spans="1:9" x14ac:dyDescent="0.25">
      <c r="A3181" s="353">
        <v>42973</v>
      </c>
      <c r="B3181" s="320" t="s">
        <v>27056</v>
      </c>
      <c r="C3181" s="321">
        <v>125153</v>
      </c>
      <c r="D3181" s="142" t="s">
        <v>5575</v>
      </c>
      <c r="E3181" s="322">
        <v>7690.2</v>
      </c>
      <c r="F3181" s="323">
        <v>42975</v>
      </c>
      <c r="G3181" s="322">
        <v>7690.2</v>
      </c>
      <c r="H3181" s="324">
        <f>Tabla13[[#This Row],[Importe]]-Tabla13[[#This Row],[Pagado]]</f>
        <v>0</v>
      </c>
      <c r="I3181" s="325" t="s">
        <v>15214</v>
      </c>
    </row>
    <row r="3182" spans="1:9" x14ac:dyDescent="0.25">
      <c r="A3182" s="319">
        <v>42973</v>
      </c>
      <c r="B3182" s="326" t="s">
        <v>27057</v>
      </c>
      <c r="C3182" s="327">
        <v>125154</v>
      </c>
      <c r="D3182" s="136" t="s">
        <v>15315</v>
      </c>
      <c r="E3182" s="328">
        <v>960</v>
      </c>
      <c r="F3182" s="361">
        <v>42983</v>
      </c>
      <c r="G3182" s="362">
        <v>960</v>
      </c>
      <c r="H3182" s="330">
        <f>Tabla13[[#This Row],[Importe]]-Tabla13[[#This Row],[Pagado]]</f>
        <v>0</v>
      </c>
      <c r="I3182" s="331" t="s">
        <v>15214</v>
      </c>
    </row>
    <row r="3183" spans="1:9" ht="15.75" x14ac:dyDescent="0.25">
      <c r="A3183" s="353">
        <v>42973</v>
      </c>
      <c r="B3183" s="320" t="s">
        <v>27058</v>
      </c>
      <c r="C3183" s="321">
        <v>125155</v>
      </c>
      <c r="D3183" s="332" t="s">
        <v>95</v>
      </c>
      <c r="E3183" s="322">
        <v>0</v>
      </c>
      <c r="F3183" s="333" t="s">
        <v>95</v>
      </c>
      <c r="G3183" s="322">
        <v>0</v>
      </c>
      <c r="H3183" s="324">
        <f>Tabla13[[#This Row],[Importe]]-Tabla13[[#This Row],[Pagado]]</f>
        <v>0</v>
      </c>
      <c r="I3183" s="325" t="s">
        <v>95</v>
      </c>
    </row>
    <row r="3184" spans="1:9" ht="30" x14ac:dyDescent="0.25">
      <c r="A3184" s="319">
        <v>42973</v>
      </c>
      <c r="B3184" s="326" t="s">
        <v>27059</v>
      </c>
      <c r="C3184" s="327">
        <v>125156</v>
      </c>
      <c r="D3184" s="136" t="s">
        <v>15555</v>
      </c>
      <c r="E3184" s="328">
        <v>31132.5</v>
      </c>
      <c r="F3184" s="361" t="s">
        <v>27692</v>
      </c>
      <c r="G3184" s="364">
        <f>22000+9132.5</f>
        <v>31132.5</v>
      </c>
      <c r="H3184" s="365">
        <f>Tabla13[[#This Row],[Importe]]-Tabla13[[#This Row],[Pagado]]</f>
        <v>0</v>
      </c>
      <c r="I3184" s="331" t="s">
        <v>15214</v>
      </c>
    </row>
    <row r="3185" spans="1:9" x14ac:dyDescent="0.25">
      <c r="A3185" s="353">
        <v>42973</v>
      </c>
      <c r="B3185" s="320" t="s">
        <v>27060</v>
      </c>
      <c r="C3185" s="321">
        <v>125157</v>
      </c>
      <c r="D3185" s="142" t="s">
        <v>15537</v>
      </c>
      <c r="E3185" s="322">
        <v>16564</v>
      </c>
      <c r="F3185" s="363">
        <v>42979</v>
      </c>
      <c r="G3185" s="155">
        <v>16564</v>
      </c>
      <c r="H3185" s="324">
        <f>Tabla13[[#This Row],[Importe]]-Tabla13[[#This Row],[Pagado]]</f>
        <v>0</v>
      </c>
      <c r="I3185" s="325" t="s">
        <v>15214</v>
      </c>
    </row>
    <row r="3186" spans="1:9" x14ac:dyDescent="0.25">
      <c r="A3186" s="319">
        <v>42973</v>
      </c>
      <c r="B3186" s="326" t="s">
        <v>27061</v>
      </c>
      <c r="C3186" s="327">
        <v>125158</v>
      </c>
      <c r="D3186" s="136" t="s">
        <v>15539</v>
      </c>
      <c r="E3186" s="328">
        <v>16596.8</v>
      </c>
      <c r="F3186" s="361">
        <v>42984</v>
      </c>
      <c r="G3186" s="362">
        <v>16596.8</v>
      </c>
      <c r="H3186" s="330">
        <f>Tabla13[[#This Row],[Importe]]-Tabla13[[#This Row],[Pagado]]</f>
        <v>0</v>
      </c>
      <c r="I3186" s="331" t="s">
        <v>15214</v>
      </c>
    </row>
    <row r="3187" spans="1:9" x14ac:dyDescent="0.25">
      <c r="A3187" s="353">
        <v>42973</v>
      </c>
      <c r="B3187" s="320" t="s">
        <v>27062</v>
      </c>
      <c r="C3187" s="321">
        <v>125159</v>
      </c>
      <c r="D3187" s="142" t="s">
        <v>15334</v>
      </c>
      <c r="E3187" s="322">
        <v>3012</v>
      </c>
      <c r="F3187" s="323">
        <v>42973</v>
      </c>
      <c r="G3187" s="322">
        <v>3012</v>
      </c>
      <c r="H3187" s="324">
        <f>Tabla13[[#This Row],[Importe]]-Tabla13[[#This Row],[Pagado]]</f>
        <v>0</v>
      </c>
      <c r="I3187" s="325" t="s">
        <v>15214</v>
      </c>
    </row>
    <row r="3188" spans="1:9" x14ac:dyDescent="0.25">
      <c r="A3188" s="319">
        <v>42973</v>
      </c>
      <c r="B3188" s="320" t="s">
        <v>27063</v>
      </c>
      <c r="C3188" s="321">
        <v>125160</v>
      </c>
      <c r="D3188" s="142" t="s">
        <v>15338</v>
      </c>
      <c r="E3188" s="322">
        <v>3854.4</v>
      </c>
      <c r="F3188" s="363">
        <v>42979</v>
      </c>
      <c r="G3188" s="155">
        <v>3854.4</v>
      </c>
      <c r="H3188" s="324">
        <f>Tabla13[[#This Row],[Importe]]-Tabla13[[#This Row],[Pagado]]</f>
        <v>0</v>
      </c>
      <c r="I3188" s="325" t="s">
        <v>15214</v>
      </c>
    </row>
    <row r="3189" spans="1:9" x14ac:dyDescent="0.25">
      <c r="A3189" s="353">
        <v>42973</v>
      </c>
      <c r="B3189" s="326" t="s">
        <v>27064</v>
      </c>
      <c r="C3189" s="327">
        <v>125161</v>
      </c>
      <c r="D3189" s="136" t="s">
        <v>15324</v>
      </c>
      <c r="E3189" s="328">
        <v>2270</v>
      </c>
      <c r="F3189" s="323">
        <v>42973</v>
      </c>
      <c r="G3189" s="339">
        <v>2270</v>
      </c>
      <c r="H3189" s="330">
        <f>Tabla13[[#This Row],[Importe]]-Tabla13[[#This Row],[Pagado]]</f>
        <v>0</v>
      </c>
      <c r="I3189" s="331" t="s">
        <v>15214</v>
      </c>
    </row>
    <row r="3190" spans="1:9" x14ac:dyDescent="0.25">
      <c r="A3190" s="319">
        <v>42973</v>
      </c>
      <c r="B3190" s="320" t="s">
        <v>27065</v>
      </c>
      <c r="C3190" s="321">
        <v>125162</v>
      </c>
      <c r="D3190" s="142" t="s">
        <v>15250</v>
      </c>
      <c r="E3190" s="322">
        <v>74369.600000000006</v>
      </c>
      <c r="F3190" s="380">
        <v>42987</v>
      </c>
      <c r="G3190" s="149">
        <v>74369.600000000006</v>
      </c>
      <c r="H3190" s="324">
        <f>Tabla13[[#This Row],[Importe]]-Tabla13[[#This Row],[Pagado]]</f>
        <v>0</v>
      </c>
      <c r="I3190" s="325" t="s">
        <v>15214</v>
      </c>
    </row>
    <row r="3191" spans="1:9" x14ac:dyDescent="0.25">
      <c r="A3191" s="353">
        <v>42973</v>
      </c>
      <c r="B3191" s="326" t="s">
        <v>27066</v>
      </c>
      <c r="C3191" s="327">
        <v>125163</v>
      </c>
      <c r="D3191" s="136" t="s">
        <v>15328</v>
      </c>
      <c r="E3191" s="328">
        <v>2600.98</v>
      </c>
      <c r="F3191" s="329">
        <v>42976</v>
      </c>
      <c r="G3191" s="328">
        <v>2600.98</v>
      </c>
      <c r="H3191" s="330">
        <f>Tabla13[[#This Row],[Importe]]-Tabla13[[#This Row],[Pagado]]</f>
        <v>0</v>
      </c>
      <c r="I3191" s="331" t="s">
        <v>15214</v>
      </c>
    </row>
    <row r="3192" spans="1:9" x14ac:dyDescent="0.25">
      <c r="A3192" s="319">
        <v>42973</v>
      </c>
      <c r="B3192" s="320" t="s">
        <v>27067</v>
      </c>
      <c r="C3192" s="321">
        <v>125164</v>
      </c>
      <c r="D3192" s="142" t="s">
        <v>15315</v>
      </c>
      <c r="E3192" s="322">
        <v>9092.2999999999993</v>
      </c>
      <c r="F3192" s="323">
        <v>42977</v>
      </c>
      <c r="G3192" s="322">
        <v>9092.2999999999993</v>
      </c>
      <c r="H3192" s="324">
        <f>Tabla13[[#This Row],[Importe]]-Tabla13[[#This Row],[Pagado]]</f>
        <v>0</v>
      </c>
      <c r="I3192" s="325" t="s">
        <v>15214</v>
      </c>
    </row>
    <row r="3193" spans="1:9" x14ac:dyDescent="0.25">
      <c r="A3193" s="353">
        <v>42973</v>
      </c>
      <c r="B3193" s="326" t="s">
        <v>27068</v>
      </c>
      <c r="C3193" s="327">
        <v>125165</v>
      </c>
      <c r="D3193" s="136" t="s">
        <v>15261</v>
      </c>
      <c r="E3193" s="328">
        <v>19055.72</v>
      </c>
      <c r="F3193" s="323">
        <v>42973</v>
      </c>
      <c r="G3193" s="339">
        <v>19055.72</v>
      </c>
      <c r="H3193" s="330">
        <f>Tabla13[[#This Row],[Importe]]-Tabla13[[#This Row],[Pagado]]</f>
        <v>0</v>
      </c>
      <c r="I3193" s="331" t="s">
        <v>15214</v>
      </c>
    </row>
    <row r="3194" spans="1:9" x14ac:dyDescent="0.25">
      <c r="A3194" s="319">
        <v>42973</v>
      </c>
      <c r="B3194" s="320" t="s">
        <v>27069</v>
      </c>
      <c r="C3194" s="321">
        <v>125166</v>
      </c>
      <c r="D3194" s="142" t="s">
        <v>5583</v>
      </c>
      <c r="E3194" s="322">
        <v>2836.1</v>
      </c>
      <c r="F3194" s="323">
        <v>42973</v>
      </c>
      <c r="G3194" s="322">
        <v>2836.1</v>
      </c>
      <c r="H3194" s="324">
        <f>Tabla13[[#This Row],[Importe]]-Tabla13[[#This Row],[Pagado]]</f>
        <v>0</v>
      </c>
      <c r="I3194" s="325" t="s">
        <v>15214</v>
      </c>
    </row>
    <row r="3195" spans="1:9" x14ac:dyDescent="0.25">
      <c r="A3195" s="353">
        <v>42973</v>
      </c>
      <c r="B3195" s="326" t="s">
        <v>27070</v>
      </c>
      <c r="C3195" s="327">
        <v>125167</v>
      </c>
      <c r="D3195" s="136" t="s">
        <v>15261</v>
      </c>
      <c r="E3195" s="328">
        <v>7697.1</v>
      </c>
      <c r="F3195" s="323">
        <v>42973</v>
      </c>
      <c r="G3195" s="339">
        <v>7697.1</v>
      </c>
      <c r="H3195" s="330">
        <f>Tabla13[[#This Row],[Importe]]-Tabla13[[#This Row],[Pagado]]</f>
        <v>0</v>
      </c>
      <c r="I3195" s="331" t="s">
        <v>15214</v>
      </c>
    </row>
    <row r="3196" spans="1:9" x14ac:dyDescent="0.25">
      <c r="A3196" s="319">
        <v>42973</v>
      </c>
      <c r="B3196" s="320" t="s">
        <v>27071</v>
      </c>
      <c r="C3196" s="321">
        <v>125168</v>
      </c>
      <c r="D3196" s="142" t="s">
        <v>15537</v>
      </c>
      <c r="E3196" s="322">
        <v>2507</v>
      </c>
      <c r="F3196" s="363">
        <v>42979</v>
      </c>
      <c r="G3196" s="155">
        <v>2507</v>
      </c>
      <c r="H3196" s="324">
        <f>Tabla13[[#This Row],[Importe]]-Tabla13[[#This Row],[Pagado]]</f>
        <v>0</v>
      </c>
      <c r="I3196" s="325" t="s">
        <v>15214</v>
      </c>
    </row>
    <row r="3197" spans="1:9" x14ac:dyDescent="0.25">
      <c r="A3197" s="353">
        <v>42973</v>
      </c>
      <c r="B3197" s="326" t="s">
        <v>27072</v>
      </c>
      <c r="C3197" s="327">
        <v>125169</v>
      </c>
      <c r="D3197" s="136" t="s">
        <v>15248</v>
      </c>
      <c r="E3197" s="328">
        <v>19367.62</v>
      </c>
      <c r="F3197" s="323">
        <v>42973</v>
      </c>
      <c r="G3197" s="339">
        <v>19367.62</v>
      </c>
      <c r="H3197" s="330">
        <f>Tabla13[[#This Row],[Importe]]-Tabla13[[#This Row],[Pagado]]</f>
        <v>0</v>
      </c>
      <c r="I3197" s="331" t="s">
        <v>15214</v>
      </c>
    </row>
    <row r="3198" spans="1:9" x14ac:dyDescent="0.25">
      <c r="A3198" s="319">
        <v>42973</v>
      </c>
      <c r="B3198" s="326" t="s">
        <v>27073</v>
      </c>
      <c r="C3198" s="327">
        <v>125170</v>
      </c>
      <c r="D3198" s="136" t="s">
        <v>15559</v>
      </c>
      <c r="E3198" s="328">
        <v>9668.93</v>
      </c>
      <c r="F3198" s="329">
        <v>42978</v>
      </c>
      <c r="G3198" s="328">
        <v>9668.93</v>
      </c>
      <c r="H3198" s="330">
        <f>Tabla13[[#This Row],[Importe]]-Tabla13[[#This Row],[Pagado]]</f>
        <v>0</v>
      </c>
      <c r="I3198" s="331" t="s">
        <v>15214</v>
      </c>
    </row>
    <row r="3199" spans="1:9" x14ac:dyDescent="0.25">
      <c r="A3199" s="353">
        <v>42973</v>
      </c>
      <c r="B3199" s="320" t="s">
        <v>27074</v>
      </c>
      <c r="C3199" s="321">
        <v>125171</v>
      </c>
      <c r="D3199" s="142" t="s">
        <v>15544</v>
      </c>
      <c r="E3199" s="322">
        <v>5494.4</v>
      </c>
      <c r="F3199" s="323">
        <v>42977</v>
      </c>
      <c r="G3199" s="322">
        <v>5494.4</v>
      </c>
      <c r="H3199" s="324">
        <f>Tabla13[[#This Row],[Importe]]-Tabla13[[#This Row],[Pagado]]</f>
        <v>0</v>
      </c>
      <c r="I3199" s="325" t="s">
        <v>15214</v>
      </c>
    </row>
    <row r="3200" spans="1:9" x14ac:dyDescent="0.25">
      <c r="A3200" s="319">
        <v>42973</v>
      </c>
      <c r="B3200" s="326" t="s">
        <v>27075</v>
      </c>
      <c r="C3200" s="327">
        <v>125172</v>
      </c>
      <c r="D3200" s="136" t="s">
        <v>15699</v>
      </c>
      <c r="E3200" s="328">
        <v>3883.1</v>
      </c>
      <c r="F3200" s="361">
        <v>42984</v>
      </c>
      <c r="G3200" s="362">
        <v>3883.1</v>
      </c>
      <c r="H3200" s="330">
        <f>Tabla13[[#This Row],[Importe]]-Tabla13[[#This Row],[Pagado]]</f>
        <v>0</v>
      </c>
      <c r="I3200" s="331" t="s">
        <v>15214</v>
      </c>
    </row>
    <row r="3201" spans="1:9" x14ac:dyDescent="0.25">
      <c r="A3201" s="353">
        <v>42973</v>
      </c>
      <c r="B3201" s="320" t="s">
        <v>27076</v>
      </c>
      <c r="C3201" s="321">
        <v>125173</v>
      </c>
      <c r="D3201" s="142" t="s">
        <v>15699</v>
      </c>
      <c r="E3201" s="322">
        <v>4529.2</v>
      </c>
      <c r="F3201" s="323" t="s">
        <v>22723</v>
      </c>
      <c r="G3201" s="322">
        <v>4529.2</v>
      </c>
      <c r="H3201" s="324">
        <f>Tabla13[[#This Row],[Importe]]-Tabla13[[#This Row],[Pagado]]</f>
        <v>0</v>
      </c>
      <c r="I3201" s="325" t="s">
        <v>15214</v>
      </c>
    </row>
    <row r="3202" spans="1:9" x14ac:dyDescent="0.25">
      <c r="A3202" s="319">
        <v>42973</v>
      </c>
      <c r="B3202" s="326" t="s">
        <v>27077</v>
      </c>
      <c r="C3202" s="327">
        <v>125174</v>
      </c>
      <c r="D3202" s="136" t="s">
        <v>15252</v>
      </c>
      <c r="E3202" s="328">
        <v>8691.6</v>
      </c>
      <c r="F3202" s="329">
        <v>42975</v>
      </c>
      <c r="G3202" s="328">
        <v>8691.6</v>
      </c>
      <c r="H3202" s="330">
        <f>Tabla13[[#This Row],[Importe]]-Tabla13[[#This Row],[Pagado]]</f>
        <v>0</v>
      </c>
      <c r="I3202" s="331" t="s">
        <v>15214</v>
      </c>
    </row>
    <row r="3203" spans="1:9" x14ac:dyDescent="0.25">
      <c r="A3203" s="353">
        <v>42973</v>
      </c>
      <c r="B3203" s="320" t="s">
        <v>27078</v>
      </c>
      <c r="C3203" s="321">
        <v>125175</v>
      </c>
      <c r="D3203" s="142" t="s">
        <v>15244</v>
      </c>
      <c r="E3203" s="322">
        <v>12442.8</v>
      </c>
      <c r="F3203" s="323">
        <v>42977</v>
      </c>
      <c r="G3203" s="322">
        <v>12442.8</v>
      </c>
      <c r="H3203" s="324">
        <f>Tabla13[[#This Row],[Importe]]-Tabla13[[#This Row],[Pagado]]</f>
        <v>0</v>
      </c>
      <c r="I3203" s="325" t="s">
        <v>15214</v>
      </c>
    </row>
    <row r="3204" spans="1:9" x14ac:dyDescent="0.25">
      <c r="A3204" s="319">
        <v>42973</v>
      </c>
      <c r="B3204" s="326" t="s">
        <v>27079</v>
      </c>
      <c r="C3204" s="327">
        <v>125176</v>
      </c>
      <c r="D3204" s="136" t="s">
        <v>15280</v>
      </c>
      <c r="E3204" s="328">
        <v>5796</v>
      </c>
      <c r="F3204" s="323">
        <v>42973</v>
      </c>
      <c r="G3204" s="328">
        <v>5796</v>
      </c>
      <c r="H3204" s="330">
        <f>Tabla13[[#This Row],[Importe]]-Tabla13[[#This Row],[Pagado]]</f>
        <v>0</v>
      </c>
      <c r="I3204" s="331" t="s">
        <v>15214</v>
      </c>
    </row>
    <row r="3205" spans="1:9" x14ac:dyDescent="0.25">
      <c r="A3205" s="353">
        <v>42973</v>
      </c>
      <c r="B3205" s="320" t="s">
        <v>27080</v>
      </c>
      <c r="C3205" s="321">
        <v>125177</v>
      </c>
      <c r="D3205" s="142" t="s">
        <v>15541</v>
      </c>
      <c r="E3205" s="322">
        <v>1695.1</v>
      </c>
      <c r="F3205" s="323">
        <v>42973</v>
      </c>
      <c r="G3205" s="322">
        <v>1695.1</v>
      </c>
      <c r="H3205" s="324">
        <f>Tabla13[[#This Row],[Importe]]-Tabla13[[#This Row],[Pagado]]</f>
        <v>0</v>
      </c>
      <c r="I3205" s="325" t="s">
        <v>15214</v>
      </c>
    </row>
    <row r="3206" spans="1:9" x14ac:dyDescent="0.25">
      <c r="A3206" s="319">
        <v>42973</v>
      </c>
      <c r="B3206" s="326" t="s">
        <v>27081</v>
      </c>
      <c r="C3206" s="327">
        <v>125178</v>
      </c>
      <c r="D3206" s="136" t="s">
        <v>15263</v>
      </c>
      <c r="E3206" s="328">
        <v>2123.3000000000002</v>
      </c>
      <c r="F3206" s="323">
        <v>42973</v>
      </c>
      <c r="G3206" s="328">
        <v>2123.3000000000002</v>
      </c>
      <c r="H3206" s="330">
        <f>Tabla13[[#This Row],[Importe]]-Tabla13[[#This Row],[Pagado]]</f>
        <v>0</v>
      </c>
      <c r="I3206" s="331" t="s">
        <v>15214</v>
      </c>
    </row>
    <row r="3207" spans="1:9" x14ac:dyDescent="0.25">
      <c r="A3207" s="353">
        <v>42973</v>
      </c>
      <c r="B3207" s="320" t="s">
        <v>27082</v>
      </c>
      <c r="C3207" s="321">
        <v>125179</v>
      </c>
      <c r="D3207" s="142" t="s">
        <v>17057</v>
      </c>
      <c r="E3207" s="322">
        <v>2237.4</v>
      </c>
      <c r="F3207" s="323">
        <v>42973</v>
      </c>
      <c r="G3207" s="322">
        <v>2237.4</v>
      </c>
      <c r="H3207" s="324">
        <f>Tabla13[[#This Row],[Importe]]-Tabla13[[#This Row],[Pagado]]</f>
        <v>0</v>
      </c>
      <c r="I3207" s="325" t="s">
        <v>15214</v>
      </c>
    </row>
    <row r="3208" spans="1:9" x14ac:dyDescent="0.25">
      <c r="A3208" s="319">
        <v>42973</v>
      </c>
      <c r="B3208" s="320" t="s">
        <v>27083</v>
      </c>
      <c r="C3208" s="321">
        <v>125180</v>
      </c>
      <c r="D3208" s="142" t="s">
        <v>15284</v>
      </c>
      <c r="E3208" s="322">
        <v>2360.6</v>
      </c>
      <c r="F3208" s="323">
        <v>42973</v>
      </c>
      <c r="G3208" s="322">
        <v>2360.6</v>
      </c>
      <c r="H3208" s="324">
        <f>Tabla13[[#This Row],[Importe]]-Tabla13[[#This Row],[Pagado]]</f>
        <v>0</v>
      </c>
      <c r="I3208" s="325" t="s">
        <v>15214</v>
      </c>
    </row>
    <row r="3209" spans="1:9" x14ac:dyDescent="0.25">
      <c r="A3209" s="353">
        <v>42973</v>
      </c>
      <c r="B3209" s="326" t="s">
        <v>27084</v>
      </c>
      <c r="C3209" s="327">
        <v>125181</v>
      </c>
      <c r="D3209" s="136" t="s">
        <v>15284</v>
      </c>
      <c r="E3209" s="328">
        <v>46</v>
      </c>
      <c r="F3209" s="323">
        <v>42973</v>
      </c>
      <c r="G3209" s="339">
        <v>46</v>
      </c>
      <c r="H3209" s="330">
        <f>Tabla13[[#This Row],[Importe]]-Tabla13[[#This Row],[Pagado]]</f>
        <v>0</v>
      </c>
      <c r="I3209" s="331" t="s">
        <v>15214</v>
      </c>
    </row>
    <row r="3210" spans="1:9" x14ac:dyDescent="0.25">
      <c r="A3210" s="319">
        <v>42973</v>
      </c>
      <c r="B3210" s="320" t="s">
        <v>27085</v>
      </c>
      <c r="C3210" s="321">
        <v>125182</v>
      </c>
      <c r="D3210" s="142" t="s">
        <v>15396</v>
      </c>
      <c r="E3210" s="322">
        <v>8356.64</v>
      </c>
      <c r="F3210" s="323">
        <v>42973</v>
      </c>
      <c r="G3210" s="322">
        <v>8356.64</v>
      </c>
      <c r="H3210" s="324">
        <f>Tabla13[[#This Row],[Importe]]-Tabla13[[#This Row],[Pagado]]</f>
        <v>0</v>
      </c>
      <c r="I3210" s="325" t="s">
        <v>15214</v>
      </c>
    </row>
    <row r="3211" spans="1:9" x14ac:dyDescent="0.25">
      <c r="A3211" s="353">
        <v>42973</v>
      </c>
      <c r="B3211" s="326" t="s">
        <v>27086</v>
      </c>
      <c r="C3211" s="327">
        <v>125183</v>
      </c>
      <c r="D3211" s="136" t="s">
        <v>15326</v>
      </c>
      <c r="E3211" s="328">
        <v>4172.9799999999996</v>
      </c>
      <c r="F3211" s="323">
        <v>42973</v>
      </c>
      <c r="G3211" s="339">
        <v>4172.9799999999996</v>
      </c>
      <c r="H3211" s="330">
        <f>Tabla13[[#This Row],[Importe]]-Tabla13[[#This Row],[Pagado]]</f>
        <v>0</v>
      </c>
      <c r="I3211" s="331" t="s">
        <v>15214</v>
      </c>
    </row>
    <row r="3212" spans="1:9" x14ac:dyDescent="0.25">
      <c r="A3212" s="319">
        <v>42973</v>
      </c>
      <c r="B3212" s="320" t="s">
        <v>27087</v>
      </c>
      <c r="C3212" s="321">
        <v>125184</v>
      </c>
      <c r="D3212" s="142" t="s">
        <v>15326</v>
      </c>
      <c r="E3212" s="322">
        <v>2272.4</v>
      </c>
      <c r="F3212" s="323">
        <v>42973</v>
      </c>
      <c r="G3212" s="322">
        <v>2272.4</v>
      </c>
      <c r="H3212" s="324">
        <f>Tabla13[[#This Row],[Importe]]-Tabla13[[#This Row],[Pagado]]</f>
        <v>0</v>
      </c>
      <c r="I3212" s="325" t="s">
        <v>15214</v>
      </c>
    </row>
    <row r="3213" spans="1:9" x14ac:dyDescent="0.25">
      <c r="A3213" s="353">
        <v>42973</v>
      </c>
      <c r="B3213" s="326" t="s">
        <v>27088</v>
      </c>
      <c r="C3213" s="327">
        <v>125185</v>
      </c>
      <c r="D3213" s="136" t="s">
        <v>18076</v>
      </c>
      <c r="E3213" s="328">
        <v>1650</v>
      </c>
      <c r="F3213" s="323">
        <v>42973</v>
      </c>
      <c r="G3213" s="339">
        <v>1650</v>
      </c>
      <c r="H3213" s="330">
        <f>Tabla13[[#This Row],[Importe]]-Tabla13[[#This Row],[Pagado]]</f>
        <v>0</v>
      </c>
      <c r="I3213" s="331" t="s">
        <v>15214</v>
      </c>
    </row>
    <row r="3214" spans="1:9" x14ac:dyDescent="0.25">
      <c r="A3214" s="319">
        <v>42973</v>
      </c>
      <c r="B3214" s="320" t="s">
        <v>27089</v>
      </c>
      <c r="C3214" s="321">
        <v>125186</v>
      </c>
      <c r="D3214" s="142" t="s">
        <v>15378</v>
      </c>
      <c r="E3214" s="322">
        <v>4246.8999999999996</v>
      </c>
      <c r="F3214" s="323">
        <v>42973</v>
      </c>
      <c r="G3214" s="322">
        <v>4246.8999999999996</v>
      </c>
      <c r="H3214" s="324">
        <f>Tabla13[[#This Row],[Importe]]-Tabla13[[#This Row],[Pagado]]</f>
        <v>0</v>
      </c>
      <c r="I3214" s="325" t="s">
        <v>15214</v>
      </c>
    </row>
    <row r="3215" spans="1:9" x14ac:dyDescent="0.25">
      <c r="A3215" s="353">
        <v>42973</v>
      </c>
      <c r="B3215" s="326" t="s">
        <v>27090</v>
      </c>
      <c r="C3215" s="327">
        <v>125187</v>
      </c>
      <c r="D3215" s="136" t="s">
        <v>16108</v>
      </c>
      <c r="E3215" s="328">
        <v>2841.1</v>
      </c>
      <c r="F3215" s="323">
        <v>42973</v>
      </c>
      <c r="G3215" s="339">
        <v>2841.1</v>
      </c>
      <c r="H3215" s="330">
        <f>Tabla13[[#This Row],[Importe]]-Tabla13[[#This Row],[Pagado]]</f>
        <v>0</v>
      </c>
      <c r="I3215" s="331" t="s">
        <v>15214</v>
      </c>
    </row>
    <row r="3216" spans="1:9" x14ac:dyDescent="0.25">
      <c r="A3216" s="319">
        <v>42973</v>
      </c>
      <c r="B3216" s="320" t="s">
        <v>27091</v>
      </c>
      <c r="C3216" s="321">
        <v>125188</v>
      </c>
      <c r="D3216" s="142" t="s">
        <v>15315</v>
      </c>
      <c r="E3216" s="322">
        <v>3628.6</v>
      </c>
      <c r="F3216" s="323">
        <v>42973</v>
      </c>
      <c r="G3216" s="322">
        <v>3628.6</v>
      </c>
      <c r="H3216" s="324">
        <f>Tabla13[[#This Row],[Importe]]-Tabla13[[#This Row],[Pagado]]</f>
        <v>0</v>
      </c>
      <c r="I3216" s="325" t="s">
        <v>15214</v>
      </c>
    </row>
    <row r="3217" spans="1:9" x14ac:dyDescent="0.25">
      <c r="A3217" s="353">
        <v>42973</v>
      </c>
      <c r="B3217" s="326" t="s">
        <v>27092</v>
      </c>
      <c r="C3217" s="327">
        <v>125189</v>
      </c>
      <c r="D3217" s="136" t="s">
        <v>15530</v>
      </c>
      <c r="E3217" s="328">
        <v>3007.9</v>
      </c>
      <c r="F3217" s="323">
        <v>42973</v>
      </c>
      <c r="G3217" s="339">
        <v>3007.9</v>
      </c>
      <c r="H3217" s="330">
        <f>Tabla13[[#This Row],[Importe]]-Tabla13[[#This Row],[Pagado]]</f>
        <v>0</v>
      </c>
      <c r="I3217" s="331" t="s">
        <v>15214</v>
      </c>
    </row>
    <row r="3218" spans="1:9" x14ac:dyDescent="0.25">
      <c r="A3218" s="319">
        <v>42973</v>
      </c>
      <c r="B3218" s="326" t="s">
        <v>27093</v>
      </c>
      <c r="C3218" s="327">
        <v>125190</v>
      </c>
      <c r="D3218" s="136" t="s">
        <v>15398</v>
      </c>
      <c r="E3218" s="328">
        <v>7321.2</v>
      </c>
      <c r="F3218" s="361">
        <v>42987</v>
      </c>
      <c r="G3218" s="362">
        <v>7321.2</v>
      </c>
      <c r="H3218" s="330">
        <f>Tabla13[[#This Row],[Importe]]-Tabla13[[#This Row],[Pagado]]</f>
        <v>0</v>
      </c>
      <c r="I3218" s="331" t="s">
        <v>15214</v>
      </c>
    </row>
    <row r="3219" spans="1:9" x14ac:dyDescent="0.25">
      <c r="A3219" s="353">
        <v>42973</v>
      </c>
      <c r="B3219" s="320" t="s">
        <v>27094</v>
      </c>
      <c r="C3219" s="321">
        <v>125191</v>
      </c>
      <c r="D3219" s="142" t="s">
        <v>15398</v>
      </c>
      <c r="E3219" s="322">
        <v>4406.3999999999996</v>
      </c>
      <c r="F3219" s="363">
        <v>42982</v>
      </c>
      <c r="G3219" s="155">
        <v>4406.3999999999996</v>
      </c>
      <c r="H3219" s="324">
        <f>Tabla13[[#This Row],[Importe]]-Tabla13[[#This Row],[Pagado]]</f>
        <v>0</v>
      </c>
      <c r="I3219" s="325" t="s">
        <v>15214</v>
      </c>
    </row>
    <row r="3220" spans="1:9" x14ac:dyDescent="0.25">
      <c r="A3220" s="319">
        <v>42973</v>
      </c>
      <c r="B3220" s="326" t="s">
        <v>27095</v>
      </c>
      <c r="C3220" s="327">
        <v>125192</v>
      </c>
      <c r="D3220" s="136" t="s">
        <v>15242</v>
      </c>
      <c r="E3220" s="328">
        <v>8627.9</v>
      </c>
      <c r="F3220" s="329">
        <v>42973</v>
      </c>
      <c r="G3220" s="328">
        <v>8627.9</v>
      </c>
      <c r="H3220" s="330">
        <f>Tabla13[[#This Row],[Importe]]-Tabla13[[#This Row],[Pagado]]</f>
        <v>0</v>
      </c>
      <c r="I3220" s="331" t="s">
        <v>15214</v>
      </c>
    </row>
    <row r="3221" spans="1:9" x14ac:dyDescent="0.25">
      <c r="A3221" s="353">
        <v>42973</v>
      </c>
      <c r="B3221" s="320" t="s">
        <v>27096</v>
      </c>
      <c r="C3221" s="321">
        <v>125193</v>
      </c>
      <c r="D3221" s="142" t="s">
        <v>15298</v>
      </c>
      <c r="E3221" s="322">
        <v>5395.6</v>
      </c>
      <c r="F3221" s="340">
        <v>42973</v>
      </c>
      <c r="G3221" s="322">
        <v>5395.6</v>
      </c>
      <c r="H3221" s="324">
        <f>Tabla13[[#This Row],[Importe]]-Tabla13[[#This Row],[Pagado]]</f>
        <v>0</v>
      </c>
      <c r="I3221" s="325" t="s">
        <v>15214</v>
      </c>
    </row>
    <row r="3222" spans="1:9" x14ac:dyDescent="0.25">
      <c r="A3222" s="319">
        <v>42973</v>
      </c>
      <c r="B3222" s="326" t="s">
        <v>27097</v>
      </c>
      <c r="C3222" s="327">
        <v>125194</v>
      </c>
      <c r="D3222" s="136" t="s">
        <v>5556</v>
      </c>
      <c r="E3222" s="328">
        <v>2419.6</v>
      </c>
      <c r="F3222" s="329">
        <v>42976</v>
      </c>
      <c r="G3222" s="328">
        <v>2419.6</v>
      </c>
      <c r="H3222" s="330">
        <f>Tabla13[[#This Row],[Importe]]-Tabla13[[#This Row],[Pagado]]</f>
        <v>0</v>
      </c>
      <c r="I3222" s="331" t="s">
        <v>15214</v>
      </c>
    </row>
    <row r="3223" spans="1:9" x14ac:dyDescent="0.25">
      <c r="A3223" s="353">
        <v>42973</v>
      </c>
      <c r="B3223" s="320" t="s">
        <v>27098</v>
      </c>
      <c r="C3223" s="321">
        <v>125195</v>
      </c>
      <c r="D3223" s="142" t="s">
        <v>15298</v>
      </c>
      <c r="E3223" s="322">
        <v>1058.4000000000001</v>
      </c>
      <c r="F3223" s="340">
        <v>42973</v>
      </c>
      <c r="G3223" s="322">
        <v>1058.4000000000001</v>
      </c>
      <c r="H3223" s="324">
        <f>Tabla13[[#This Row],[Importe]]-Tabla13[[#This Row],[Pagado]]</f>
        <v>0</v>
      </c>
      <c r="I3223" s="325" t="s">
        <v>15214</v>
      </c>
    </row>
    <row r="3224" spans="1:9" x14ac:dyDescent="0.25">
      <c r="A3224" s="319">
        <v>42973</v>
      </c>
      <c r="B3224" s="326" t="s">
        <v>27099</v>
      </c>
      <c r="C3224" s="327">
        <v>125196</v>
      </c>
      <c r="D3224" s="136" t="s">
        <v>15419</v>
      </c>
      <c r="E3224" s="328">
        <v>36927.1</v>
      </c>
      <c r="F3224" s="361">
        <v>42983</v>
      </c>
      <c r="G3224" s="362">
        <v>36927.1</v>
      </c>
      <c r="H3224" s="330">
        <f>Tabla13[[#This Row],[Importe]]-Tabla13[[#This Row],[Pagado]]</f>
        <v>0</v>
      </c>
      <c r="I3224" s="331" t="s">
        <v>15214</v>
      </c>
    </row>
    <row r="3225" spans="1:9" x14ac:dyDescent="0.25">
      <c r="A3225" s="353">
        <v>42973</v>
      </c>
      <c r="B3225" s="320" t="s">
        <v>27100</v>
      </c>
      <c r="C3225" s="321">
        <v>125197</v>
      </c>
      <c r="D3225" s="142" t="s">
        <v>15419</v>
      </c>
      <c r="E3225" s="322">
        <v>39480</v>
      </c>
      <c r="F3225" s="363">
        <v>42987</v>
      </c>
      <c r="G3225" s="155">
        <v>39480</v>
      </c>
      <c r="H3225" s="324">
        <f>Tabla13[[#This Row],[Importe]]-Tabla13[[#This Row],[Pagado]]</f>
        <v>0</v>
      </c>
      <c r="I3225" s="325" t="s">
        <v>15214</v>
      </c>
    </row>
    <row r="3226" spans="1:9" ht="15.75" x14ac:dyDescent="0.25">
      <c r="A3226" s="319">
        <v>42973</v>
      </c>
      <c r="B3226" s="326" t="s">
        <v>27101</v>
      </c>
      <c r="C3226" s="327">
        <v>125198</v>
      </c>
      <c r="D3226" s="345" t="s">
        <v>95</v>
      </c>
      <c r="E3226" s="328">
        <v>0</v>
      </c>
      <c r="F3226" s="346" t="s">
        <v>95</v>
      </c>
      <c r="G3226" s="328">
        <v>0</v>
      </c>
      <c r="H3226" s="330">
        <f>Tabla13[[#This Row],[Importe]]-Tabla13[[#This Row],[Pagado]]</f>
        <v>0</v>
      </c>
      <c r="I3226" s="331" t="s">
        <v>95</v>
      </c>
    </row>
    <row r="3227" spans="1:9" x14ac:dyDescent="0.25">
      <c r="A3227" s="353">
        <v>42973</v>
      </c>
      <c r="B3227" s="320" t="s">
        <v>27102</v>
      </c>
      <c r="C3227" s="321">
        <v>125199</v>
      </c>
      <c r="D3227" s="142" t="s">
        <v>15291</v>
      </c>
      <c r="E3227" s="322">
        <v>582.79999999999995</v>
      </c>
      <c r="F3227" s="323">
        <v>42974</v>
      </c>
      <c r="G3227" s="322">
        <v>582.79999999999995</v>
      </c>
      <c r="H3227" s="324">
        <f>Tabla13[[#This Row],[Importe]]-Tabla13[[#This Row],[Pagado]]</f>
        <v>0</v>
      </c>
      <c r="I3227" s="325" t="s">
        <v>15214</v>
      </c>
    </row>
    <row r="3228" spans="1:9" x14ac:dyDescent="0.25">
      <c r="A3228" s="319">
        <v>42973</v>
      </c>
      <c r="B3228" s="326" t="s">
        <v>27103</v>
      </c>
      <c r="C3228" s="327">
        <v>125200</v>
      </c>
      <c r="D3228" s="136" t="s">
        <v>15307</v>
      </c>
      <c r="E3228" s="328">
        <v>3185.52</v>
      </c>
      <c r="F3228" s="329">
        <v>42974</v>
      </c>
      <c r="G3228" s="328">
        <v>3185.52</v>
      </c>
      <c r="H3228" s="330">
        <f>Tabla13[[#This Row],[Importe]]-Tabla13[[#This Row],[Pagado]]</f>
        <v>0</v>
      </c>
      <c r="I3228" s="331" t="s">
        <v>15214</v>
      </c>
    </row>
    <row r="3229" spans="1:9" x14ac:dyDescent="0.25">
      <c r="A3229" s="353">
        <v>42973</v>
      </c>
      <c r="B3229" s="320" t="s">
        <v>27104</v>
      </c>
      <c r="C3229" s="321">
        <v>125201</v>
      </c>
      <c r="D3229" s="142" t="s">
        <v>15315</v>
      </c>
      <c r="E3229" s="322">
        <v>1012.5</v>
      </c>
      <c r="F3229" s="340">
        <v>42973</v>
      </c>
      <c r="G3229" s="322">
        <v>1012.5</v>
      </c>
      <c r="H3229" s="324">
        <f>Tabla13[[#This Row],[Importe]]-Tabla13[[#This Row],[Pagado]]</f>
        <v>0</v>
      </c>
      <c r="I3229" s="325" t="s">
        <v>15214</v>
      </c>
    </row>
    <row r="3230" spans="1:9" x14ac:dyDescent="0.25">
      <c r="A3230" s="319">
        <v>42973</v>
      </c>
      <c r="B3230" s="326" t="s">
        <v>27105</v>
      </c>
      <c r="C3230" s="327">
        <v>125202</v>
      </c>
      <c r="D3230" s="136" t="s">
        <v>15417</v>
      </c>
      <c r="E3230" s="328">
        <v>3839.9</v>
      </c>
      <c r="F3230" s="329">
        <v>42974</v>
      </c>
      <c r="G3230" s="328">
        <v>3839.9</v>
      </c>
      <c r="H3230" s="330">
        <f>Tabla13[[#This Row],[Importe]]-Tabla13[[#This Row],[Pagado]]</f>
        <v>0</v>
      </c>
      <c r="I3230" s="331" t="s">
        <v>15214</v>
      </c>
    </row>
    <row r="3231" spans="1:9" x14ac:dyDescent="0.25">
      <c r="A3231" s="353">
        <v>42973</v>
      </c>
      <c r="B3231" s="320" t="s">
        <v>27106</v>
      </c>
      <c r="C3231" s="321">
        <v>125203</v>
      </c>
      <c r="D3231" s="142" t="s">
        <v>17452</v>
      </c>
      <c r="E3231" s="322">
        <v>1880</v>
      </c>
      <c r="F3231" s="340">
        <v>42974</v>
      </c>
      <c r="G3231" s="322">
        <v>1880</v>
      </c>
      <c r="H3231" s="324">
        <f>Tabla13[[#This Row],[Importe]]-Tabla13[[#This Row],[Pagado]]</f>
        <v>0</v>
      </c>
      <c r="I3231" s="325" t="s">
        <v>15214</v>
      </c>
    </row>
    <row r="3232" spans="1:9" x14ac:dyDescent="0.25">
      <c r="A3232" s="319">
        <v>42973</v>
      </c>
      <c r="B3232" s="326" t="s">
        <v>27107</v>
      </c>
      <c r="C3232" s="327">
        <v>125204</v>
      </c>
      <c r="D3232" s="136" t="s">
        <v>17235</v>
      </c>
      <c r="E3232" s="328">
        <v>3420</v>
      </c>
      <c r="F3232" s="329">
        <v>42974</v>
      </c>
      <c r="G3232" s="328">
        <v>3420</v>
      </c>
      <c r="H3232" s="330">
        <f>Tabla13[[#This Row],[Importe]]-Tabla13[[#This Row],[Pagado]]</f>
        <v>0</v>
      </c>
      <c r="I3232" s="331" t="s">
        <v>15214</v>
      </c>
    </row>
    <row r="3233" spans="1:9" x14ac:dyDescent="0.25">
      <c r="A3233" s="353">
        <v>42973</v>
      </c>
      <c r="B3233" s="320" t="s">
        <v>27108</v>
      </c>
      <c r="C3233" s="321">
        <v>125205</v>
      </c>
      <c r="D3233" s="142" t="s">
        <v>15282</v>
      </c>
      <c r="E3233" s="322">
        <v>2620.4</v>
      </c>
      <c r="F3233" s="340">
        <v>42973</v>
      </c>
      <c r="G3233" s="322">
        <v>2620.4</v>
      </c>
      <c r="H3233" s="324">
        <f>Tabla13[[#This Row],[Importe]]-Tabla13[[#This Row],[Pagado]]</f>
        <v>0</v>
      </c>
      <c r="I3233" s="325" t="s">
        <v>15214</v>
      </c>
    </row>
    <row r="3234" spans="1:9" x14ac:dyDescent="0.25">
      <c r="A3234" s="319">
        <v>42973</v>
      </c>
      <c r="B3234" s="326" t="s">
        <v>27109</v>
      </c>
      <c r="C3234" s="327">
        <v>125206</v>
      </c>
      <c r="D3234" s="136" t="s">
        <v>15301</v>
      </c>
      <c r="E3234" s="328">
        <v>3735</v>
      </c>
      <c r="F3234" s="329">
        <v>42975</v>
      </c>
      <c r="G3234" s="328">
        <v>3735</v>
      </c>
      <c r="H3234" s="330">
        <f>Tabla13[[#This Row],[Importe]]-Tabla13[[#This Row],[Pagado]]</f>
        <v>0</v>
      </c>
      <c r="I3234" s="331" t="s">
        <v>15214</v>
      </c>
    </row>
    <row r="3235" spans="1:9" x14ac:dyDescent="0.25">
      <c r="A3235" s="353">
        <v>42973</v>
      </c>
      <c r="B3235" s="320" t="s">
        <v>27110</v>
      </c>
      <c r="C3235" s="321">
        <v>125207</v>
      </c>
      <c r="D3235" s="142" t="s">
        <v>15320</v>
      </c>
      <c r="E3235" s="322">
        <v>2769.2</v>
      </c>
      <c r="F3235" s="340">
        <v>42974</v>
      </c>
      <c r="G3235" s="322">
        <v>2769.2</v>
      </c>
      <c r="H3235" s="324">
        <f>Tabla13[[#This Row],[Importe]]-Tabla13[[#This Row],[Pagado]]</f>
        <v>0</v>
      </c>
      <c r="I3235" s="325" t="s">
        <v>15214</v>
      </c>
    </row>
    <row r="3236" spans="1:9" x14ac:dyDescent="0.25">
      <c r="A3236" s="319">
        <v>42973</v>
      </c>
      <c r="B3236" s="326" t="s">
        <v>27111</v>
      </c>
      <c r="C3236" s="327">
        <v>125208</v>
      </c>
      <c r="D3236" s="136" t="s">
        <v>17800</v>
      </c>
      <c r="E3236" s="328">
        <v>6160</v>
      </c>
      <c r="F3236" s="329">
        <v>42974</v>
      </c>
      <c r="G3236" s="328">
        <v>6160</v>
      </c>
      <c r="H3236" s="330">
        <f>Tabla13[[#This Row],[Importe]]-Tabla13[[#This Row],[Pagado]]</f>
        <v>0</v>
      </c>
      <c r="I3236" s="331" t="s">
        <v>15214</v>
      </c>
    </row>
    <row r="3237" spans="1:9" x14ac:dyDescent="0.25">
      <c r="A3237" s="353">
        <v>42973</v>
      </c>
      <c r="B3237" s="320" t="s">
        <v>27112</v>
      </c>
      <c r="C3237" s="321">
        <v>125209</v>
      </c>
      <c r="D3237" s="142" t="s">
        <v>15311</v>
      </c>
      <c r="E3237" s="322">
        <v>1580.7</v>
      </c>
      <c r="F3237" s="340">
        <v>42974</v>
      </c>
      <c r="G3237" s="322">
        <v>1580.7</v>
      </c>
      <c r="H3237" s="324">
        <f>Tabla13[[#This Row],[Importe]]-Tabla13[[#This Row],[Pagado]]</f>
        <v>0</v>
      </c>
      <c r="I3237" s="325" t="s">
        <v>15214</v>
      </c>
    </row>
    <row r="3238" spans="1:9" x14ac:dyDescent="0.25">
      <c r="A3238" s="319">
        <v>42973</v>
      </c>
      <c r="B3238" s="320" t="s">
        <v>27113</v>
      </c>
      <c r="C3238" s="321">
        <v>125210</v>
      </c>
      <c r="D3238" s="142" t="s">
        <v>15276</v>
      </c>
      <c r="E3238" s="322">
        <v>3760</v>
      </c>
      <c r="F3238" s="329">
        <v>42974</v>
      </c>
      <c r="G3238" s="322">
        <v>3760</v>
      </c>
      <c r="H3238" s="324">
        <f>Tabla13[[#This Row],[Importe]]-Tabla13[[#This Row],[Pagado]]</f>
        <v>0</v>
      </c>
      <c r="I3238" s="325" t="s">
        <v>15214</v>
      </c>
    </row>
    <row r="3239" spans="1:9" x14ac:dyDescent="0.25">
      <c r="A3239" s="353">
        <v>42973</v>
      </c>
      <c r="B3239" s="326" t="s">
        <v>27114</v>
      </c>
      <c r="C3239" s="327">
        <v>125211</v>
      </c>
      <c r="D3239" s="136" t="s">
        <v>17462</v>
      </c>
      <c r="E3239" s="339">
        <v>5544.3</v>
      </c>
      <c r="F3239" s="340">
        <v>42973</v>
      </c>
      <c r="G3239" s="339">
        <v>5544.3</v>
      </c>
      <c r="H3239" s="341">
        <f>Tabla13[[#This Row],[Importe]]-Tabla13[[#This Row],[Pagado]]</f>
        <v>0</v>
      </c>
      <c r="I3239" s="342" t="s">
        <v>15214</v>
      </c>
    </row>
    <row r="3240" spans="1:9" x14ac:dyDescent="0.25">
      <c r="A3240" s="319">
        <v>42973</v>
      </c>
      <c r="B3240" s="320" t="s">
        <v>27115</v>
      </c>
      <c r="C3240" s="321">
        <v>125212</v>
      </c>
      <c r="D3240" s="142" t="s">
        <v>16229</v>
      </c>
      <c r="E3240" s="322">
        <v>2334.6999999999998</v>
      </c>
      <c r="F3240" s="323">
        <v>42974</v>
      </c>
      <c r="G3240" s="322">
        <v>2334.6999999999998</v>
      </c>
      <c r="H3240" s="324">
        <f>Tabla13[[#This Row],[Importe]]-Tabla13[[#This Row],[Pagado]]</f>
        <v>0</v>
      </c>
      <c r="I3240" s="325" t="s">
        <v>15214</v>
      </c>
    </row>
    <row r="3241" spans="1:9" x14ac:dyDescent="0.25">
      <c r="A3241" s="353">
        <v>42973</v>
      </c>
      <c r="B3241" s="326" t="s">
        <v>27116</v>
      </c>
      <c r="C3241" s="327">
        <v>125213</v>
      </c>
      <c r="D3241" s="136" t="s">
        <v>15728</v>
      </c>
      <c r="E3241" s="339">
        <v>9900</v>
      </c>
      <c r="F3241" s="340">
        <v>42973</v>
      </c>
      <c r="G3241" s="339">
        <v>9900</v>
      </c>
      <c r="H3241" s="341">
        <f>Tabla13[[#This Row],[Importe]]-Tabla13[[#This Row],[Pagado]]</f>
        <v>0</v>
      </c>
      <c r="I3241" s="342" t="s">
        <v>15214</v>
      </c>
    </row>
    <row r="3242" spans="1:9" x14ac:dyDescent="0.25">
      <c r="A3242" s="319">
        <v>42973</v>
      </c>
      <c r="B3242" s="320" t="s">
        <v>27117</v>
      </c>
      <c r="C3242" s="321">
        <v>125214</v>
      </c>
      <c r="D3242" s="142" t="s">
        <v>17235</v>
      </c>
      <c r="E3242" s="322">
        <v>210</v>
      </c>
      <c r="F3242" s="323">
        <v>42974</v>
      </c>
      <c r="G3242" s="322">
        <v>210</v>
      </c>
      <c r="H3242" s="324">
        <f>Tabla13[[#This Row],[Importe]]-Tabla13[[#This Row],[Pagado]]</f>
        <v>0</v>
      </c>
      <c r="I3242" s="325" t="s">
        <v>15214</v>
      </c>
    </row>
    <row r="3243" spans="1:9" x14ac:dyDescent="0.25">
      <c r="A3243" s="353">
        <v>42973</v>
      </c>
      <c r="B3243" s="326" t="s">
        <v>27118</v>
      </c>
      <c r="C3243" s="327">
        <v>125215</v>
      </c>
      <c r="D3243" s="136" t="s">
        <v>19768</v>
      </c>
      <c r="E3243" s="339">
        <v>1630</v>
      </c>
      <c r="F3243" s="340">
        <v>42973</v>
      </c>
      <c r="G3243" s="339">
        <v>1630</v>
      </c>
      <c r="H3243" s="341">
        <f>Tabla13[[#This Row],[Importe]]-Tabla13[[#This Row],[Pagado]]</f>
        <v>0</v>
      </c>
      <c r="I3243" s="342" t="s">
        <v>15214</v>
      </c>
    </row>
    <row r="3244" spans="1:9" x14ac:dyDescent="0.25">
      <c r="A3244" s="319">
        <v>42973</v>
      </c>
      <c r="B3244" s="320" t="s">
        <v>27119</v>
      </c>
      <c r="C3244" s="321">
        <v>125216</v>
      </c>
      <c r="D3244" s="142" t="s">
        <v>15378</v>
      </c>
      <c r="E3244" s="322">
        <v>215</v>
      </c>
      <c r="F3244" s="329">
        <v>42973</v>
      </c>
      <c r="G3244" s="322">
        <v>215</v>
      </c>
      <c r="H3244" s="324">
        <f>Tabla13[[#This Row],[Importe]]-Tabla13[[#This Row],[Pagado]]</f>
        <v>0</v>
      </c>
      <c r="I3244" s="325" t="s">
        <v>15214</v>
      </c>
    </row>
    <row r="3245" spans="1:9" x14ac:dyDescent="0.25">
      <c r="A3245" s="353">
        <v>42973</v>
      </c>
      <c r="B3245" s="326" t="s">
        <v>27120</v>
      </c>
      <c r="C3245" s="327">
        <v>125217</v>
      </c>
      <c r="D3245" s="136" t="s">
        <v>19768</v>
      </c>
      <c r="E3245" s="339">
        <v>470</v>
      </c>
      <c r="F3245" s="340">
        <v>42973</v>
      </c>
      <c r="G3245" s="339">
        <v>470</v>
      </c>
      <c r="H3245" s="341">
        <f>Tabla13[[#This Row],[Importe]]-Tabla13[[#This Row],[Pagado]]</f>
        <v>0</v>
      </c>
      <c r="I3245" s="342" t="s">
        <v>15214</v>
      </c>
    </row>
    <row r="3246" spans="1:9" x14ac:dyDescent="0.25">
      <c r="A3246" s="319">
        <v>42973</v>
      </c>
      <c r="B3246" s="320" t="s">
        <v>27121</v>
      </c>
      <c r="C3246" s="321">
        <v>125218</v>
      </c>
      <c r="D3246" s="142" t="s">
        <v>15315</v>
      </c>
      <c r="E3246" s="322">
        <v>30908.5</v>
      </c>
      <c r="F3246" s="323">
        <v>42975</v>
      </c>
      <c r="G3246" s="322">
        <v>30908.5</v>
      </c>
      <c r="H3246" s="324">
        <f>Tabla13[[#This Row],[Importe]]-Tabla13[[#This Row],[Pagado]]</f>
        <v>0</v>
      </c>
      <c r="I3246" s="325" t="s">
        <v>15214</v>
      </c>
    </row>
    <row r="3247" spans="1:9" x14ac:dyDescent="0.25">
      <c r="A3247" s="353">
        <v>42973</v>
      </c>
      <c r="B3247" s="326" t="s">
        <v>27122</v>
      </c>
      <c r="C3247" s="327">
        <v>125219</v>
      </c>
      <c r="D3247" s="136" t="s">
        <v>15818</v>
      </c>
      <c r="E3247" s="339">
        <v>5011.8</v>
      </c>
      <c r="F3247" s="340">
        <v>42973</v>
      </c>
      <c r="G3247" s="339">
        <v>5011.8</v>
      </c>
      <c r="H3247" s="341">
        <f>Tabla13[[#This Row],[Importe]]-Tabla13[[#This Row],[Pagado]]</f>
        <v>0</v>
      </c>
      <c r="I3247" s="342" t="s">
        <v>15214</v>
      </c>
    </row>
    <row r="3248" spans="1:9" x14ac:dyDescent="0.25">
      <c r="A3248" s="319">
        <v>42973</v>
      </c>
      <c r="B3248" s="326" t="s">
        <v>27123</v>
      </c>
      <c r="C3248" s="327">
        <v>125220</v>
      </c>
      <c r="D3248" s="136" t="s">
        <v>16313</v>
      </c>
      <c r="E3248" s="328">
        <v>4953.6000000000004</v>
      </c>
      <c r="F3248" s="329">
        <v>42975</v>
      </c>
      <c r="G3248" s="328">
        <v>4953.6000000000004</v>
      </c>
      <c r="H3248" s="330">
        <f>Tabla13[[#This Row],[Importe]]-Tabla13[[#This Row],[Pagado]]</f>
        <v>0</v>
      </c>
      <c r="I3248" s="331" t="s">
        <v>15214</v>
      </c>
    </row>
    <row r="3249" spans="1:9" x14ac:dyDescent="0.25">
      <c r="A3249" s="353">
        <v>42973</v>
      </c>
      <c r="B3249" s="320" t="s">
        <v>27124</v>
      </c>
      <c r="C3249" s="321">
        <v>125221</v>
      </c>
      <c r="D3249" s="142" t="s">
        <v>16383</v>
      </c>
      <c r="E3249" s="322">
        <v>9960.4</v>
      </c>
      <c r="F3249" s="340">
        <v>42974</v>
      </c>
      <c r="G3249" s="322">
        <v>9960.4</v>
      </c>
      <c r="H3249" s="324">
        <f>Tabla13[[#This Row],[Importe]]-Tabla13[[#This Row],[Pagado]]</f>
        <v>0</v>
      </c>
      <c r="I3249" s="325" t="s">
        <v>15214</v>
      </c>
    </row>
    <row r="3250" spans="1:9" x14ac:dyDescent="0.25">
      <c r="A3250" s="319">
        <v>42973</v>
      </c>
      <c r="B3250" s="326" t="s">
        <v>27125</v>
      </c>
      <c r="C3250" s="327">
        <v>125222</v>
      </c>
      <c r="D3250" s="136" t="s">
        <v>19964</v>
      </c>
      <c r="E3250" s="328">
        <v>491.4</v>
      </c>
      <c r="F3250" s="329">
        <v>42973</v>
      </c>
      <c r="G3250" s="328">
        <v>491.4</v>
      </c>
      <c r="H3250" s="330">
        <f>Tabla13[[#This Row],[Importe]]-Tabla13[[#This Row],[Pagado]]</f>
        <v>0</v>
      </c>
      <c r="I3250" s="331" t="s">
        <v>15214</v>
      </c>
    </row>
    <row r="3251" spans="1:9" ht="15.75" x14ac:dyDescent="0.25">
      <c r="A3251" s="353">
        <v>42973</v>
      </c>
      <c r="B3251" s="320" t="s">
        <v>27126</v>
      </c>
      <c r="C3251" s="321">
        <v>125223</v>
      </c>
      <c r="D3251" s="332" t="s">
        <v>95</v>
      </c>
      <c r="E3251" s="322">
        <v>0</v>
      </c>
      <c r="F3251" s="333" t="s">
        <v>95</v>
      </c>
      <c r="G3251" s="322">
        <v>0</v>
      </c>
      <c r="H3251" s="324">
        <f>Tabla13[[#This Row],[Importe]]-Tabla13[[#This Row],[Pagado]]</f>
        <v>0</v>
      </c>
      <c r="I3251" s="325" t="s">
        <v>95</v>
      </c>
    </row>
    <row r="3252" spans="1:9" x14ac:dyDescent="0.25">
      <c r="A3252" s="319">
        <v>42973</v>
      </c>
      <c r="B3252" s="326" t="s">
        <v>27127</v>
      </c>
      <c r="C3252" s="327">
        <v>125224</v>
      </c>
      <c r="D3252" s="136" t="s">
        <v>15856</v>
      </c>
      <c r="E3252" s="328">
        <v>770</v>
      </c>
      <c r="F3252" s="329">
        <v>42974</v>
      </c>
      <c r="G3252" s="328">
        <v>770</v>
      </c>
      <c r="H3252" s="330">
        <f>Tabla13[[#This Row],[Importe]]-Tabla13[[#This Row],[Pagado]]</f>
        <v>0</v>
      </c>
      <c r="I3252" s="331" t="s">
        <v>15214</v>
      </c>
    </row>
    <row r="3253" spans="1:9" x14ac:dyDescent="0.25">
      <c r="A3253" s="353">
        <v>42973</v>
      </c>
      <c r="B3253" s="320" t="s">
        <v>27128</v>
      </c>
      <c r="C3253" s="321">
        <v>125225</v>
      </c>
      <c r="D3253" s="142" t="s">
        <v>15361</v>
      </c>
      <c r="E3253" s="322">
        <v>5961.6</v>
      </c>
      <c r="F3253" s="323">
        <v>42974</v>
      </c>
      <c r="G3253" s="322">
        <v>5961.6</v>
      </c>
      <c r="H3253" s="324">
        <f>Tabla13[[#This Row],[Importe]]-Tabla13[[#This Row],[Pagado]]</f>
        <v>0</v>
      </c>
      <c r="I3253" s="325" t="s">
        <v>15214</v>
      </c>
    </row>
    <row r="3254" spans="1:9" x14ac:dyDescent="0.25">
      <c r="A3254" s="319">
        <v>42973</v>
      </c>
      <c r="B3254" s="326" t="s">
        <v>27129</v>
      </c>
      <c r="C3254" s="327">
        <v>125226</v>
      </c>
      <c r="D3254" s="136" t="s">
        <v>15391</v>
      </c>
      <c r="E3254" s="328">
        <v>11534.4</v>
      </c>
      <c r="F3254" s="329">
        <v>42975</v>
      </c>
      <c r="G3254" s="328">
        <v>11534.4</v>
      </c>
      <c r="H3254" s="330">
        <f>Tabla13[[#This Row],[Importe]]-Tabla13[[#This Row],[Pagado]]</f>
        <v>0</v>
      </c>
      <c r="I3254" s="331" t="s">
        <v>15214</v>
      </c>
    </row>
    <row r="3255" spans="1:9" x14ac:dyDescent="0.25">
      <c r="A3255" s="353">
        <v>42973</v>
      </c>
      <c r="B3255" s="320" t="s">
        <v>27130</v>
      </c>
      <c r="C3255" s="321">
        <v>125227</v>
      </c>
      <c r="D3255" s="142" t="s">
        <v>15725</v>
      </c>
      <c r="E3255" s="322">
        <v>25002.2</v>
      </c>
      <c r="F3255" s="323">
        <v>42974</v>
      </c>
      <c r="G3255" s="322">
        <v>25002.2</v>
      </c>
      <c r="H3255" s="324">
        <f>Tabla13[[#This Row],[Importe]]-Tabla13[[#This Row],[Pagado]]</f>
        <v>0</v>
      </c>
      <c r="I3255" s="325" t="s">
        <v>15214</v>
      </c>
    </row>
    <row r="3256" spans="1:9" x14ac:dyDescent="0.25">
      <c r="A3256" s="319">
        <v>42973</v>
      </c>
      <c r="B3256" s="326" t="s">
        <v>27131</v>
      </c>
      <c r="C3256" s="327">
        <v>125228</v>
      </c>
      <c r="D3256" s="136" t="s">
        <v>16383</v>
      </c>
      <c r="E3256" s="328">
        <v>201.6</v>
      </c>
      <c r="F3256" s="329">
        <v>42974</v>
      </c>
      <c r="G3256" s="328">
        <v>201.6</v>
      </c>
      <c r="H3256" s="330">
        <f>Tabla13[[#This Row],[Importe]]-Tabla13[[#This Row],[Pagado]]</f>
        <v>0</v>
      </c>
      <c r="I3256" s="331" t="s">
        <v>15214</v>
      </c>
    </row>
    <row r="3257" spans="1:9" x14ac:dyDescent="0.25">
      <c r="A3257" s="353">
        <v>42973</v>
      </c>
      <c r="B3257" s="320" t="s">
        <v>27132</v>
      </c>
      <c r="C3257" s="321">
        <v>125229</v>
      </c>
      <c r="D3257" s="142" t="s">
        <v>15246</v>
      </c>
      <c r="E3257" s="322">
        <v>3893.6</v>
      </c>
      <c r="F3257" s="323">
        <v>42977</v>
      </c>
      <c r="G3257" s="322">
        <v>3893.6</v>
      </c>
      <c r="H3257" s="324">
        <f>Tabla13[[#This Row],[Importe]]-Tabla13[[#This Row],[Pagado]]</f>
        <v>0</v>
      </c>
      <c r="I3257" s="325" t="s">
        <v>15214</v>
      </c>
    </row>
    <row r="3258" spans="1:9" x14ac:dyDescent="0.25">
      <c r="A3258" s="319">
        <v>42973</v>
      </c>
      <c r="B3258" s="320" t="s">
        <v>27133</v>
      </c>
      <c r="C3258" s="321">
        <v>125230</v>
      </c>
      <c r="D3258" s="142" t="s">
        <v>15378</v>
      </c>
      <c r="E3258" s="322">
        <v>1310.7</v>
      </c>
      <c r="F3258" s="323">
        <v>42973</v>
      </c>
      <c r="G3258" s="322">
        <v>1310.7</v>
      </c>
      <c r="H3258" s="324">
        <f>Tabla13[[#This Row],[Importe]]-Tabla13[[#This Row],[Pagado]]</f>
        <v>0</v>
      </c>
      <c r="I3258" s="325" t="s">
        <v>15214</v>
      </c>
    </row>
    <row r="3259" spans="1:9" x14ac:dyDescent="0.25">
      <c r="A3259" s="353">
        <v>42973</v>
      </c>
      <c r="B3259" s="336" t="s">
        <v>27134</v>
      </c>
      <c r="C3259" s="337">
        <v>125231</v>
      </c>
      <c r="D3259" s="338" t="s">
        <v>15725</v>
      </c>
      <c r="E3259" s="339">
        <v>1125</v>
      </c>
      <c r="F3259" s="340">
        <v>42974</v>
      </c>
      <c r="G3259" s="339">
        <v>1125</v>
      </c>
      <c r="H3259" s="341">
        <f>Tabla13[[#This Row],[Importe]]-Tabla13[[#This Row],[Pagado]]</f>
        <v>0</v>
      </c>
      <c r="I3259" s="342" t="s">
        <v>15214</v>
      </c>
    </row>
    <row r="3260" spans="1:9" ht="15.75" x14ac:dyDescent="0.25">
      <c r="A3260" s="319">
        <v>42973</v>
      </c>
      <c r="B3260" s="320" t="s">
        <v>27135</v>
      </c>
      <c r="C3260" s="321">
        <v>125232</v>
      </c>
      <c r="D3260" s="332" t="s">
        <v>95</v>
      </c>
      <c r="E3260" s="322">
        <v>0</v>
      </c>
      <c r="F3260" s="333" t="s">
        <v>95</v>
      </c>
      <c r="G3260" s="322">
        <v>0</v>
      </c>
      <c r="H3260" s="324">
        <f>Tabla13[[#This Row],[Importe]]-Tabla13[[#This Row],[Pagado]]</f>
        <v>0</v>
      </c>
      <c r="I3260" s="325" t="s">
        <v>95</v>
      </c>
    </row>
    <row r="3261" spans="1:9" x14ac:dyDescent="0.25">
      <c r="A3261" s="353">
        <v>42973</v>
      </c>
      <c r="B3261" s="336" t="s">
        <v>27136</v>
      </c>
      <c r="C3261" s="337">
        <v>125233</v>
      </c>
      <c r="D3261" s="338" t="s">
        <v>19756</v>
      </c>
      <c r="E3261" s="339">
        <v>1783</v>
      </c>
      <c r="F3261" s="340">
        <v>42973</v>
      </c>
      <c r="G3261" s="339">
        <v>1783</v>
      </c>
      <c r="H3261" s="341">
        <f>Tabla13[[#This Row],[Importe]]-Tabla13[[#This Row],[Pagado]]</f>
        <v>0</v>
      </c>
      <c r="I3261" s="342" t="s">
        <v>15214</v>
      </c>
    </row>
    <row r="3262" spans="1:9" ht="15.75" x14ac:dyDescent="0.25">
      <c r="A3262" s="319">
        <v>42973</v>
      </c>
      <c r="B3262" s="320" t="s">
        <v>27137</v>
      </c>
      <c r="C3262" s="321">
        <v>125234</v>
      </c>
      <c r="D3262" s="332" t="s">
        <v>95</v>
      </c>
      <c r="E3262" s="322">
        <v>0</v>
      </c>
      <c r="F3262" s="333" t="s">
        <v>95</v>
      </c>
      <c r="G3262" s="322">
        <v>0</v>
      </c>
      <c r="H3262" s="324">
        <f>Tabla13[[#This Row],[Importe]]-Tabla13[[#This Row],[Pagado]]</f>
        <v>0</v>
      </c>
      <c r="I3262" s="325" t="s">
        <v>95</v>
      </c>
    </row>
    <row r="3263" spans="1:9" ht="30" x14ac:dyDescent="0.25">
      <c r="A3263" s="353">
        <v>42973</v>
      </c>
      <c r="B3263" s="336" t="s">
        <v>27138</v>
      </c>
      <c r="C3263" s="337">
        <v>125235</v>
      </c>
      <c r="D3263" s="338" t="s">
        <v>15628</v>
      </c>
      <c r="E3263" s="339">
        <v>17249.02</v>
      </c>
      <c r="F3263" s="373" t="s">
        <v>27693</v>
      </c>
      <c r="G3263" s="364">
        <f>11300+5949.02</f>
        <v>17249.02</v>
      </c>
      <c r="H3263" s="365">
        <f>Tabla13[[#This Row],[Importe]]-Tabla13[[#This Row],[Pagado]]</f>
        <v>0</v>
      </c>
      <c r="I3263" s="342" t="s">
        <v>15214</v>
      </c>
    </row>
    <row r="3264" spans="1:9" ht="30" x14ac:dyDescent="0.25">
      <c r="A3264" s="319">
        <v>42973</v>
      </c>
      <c r="B3264" s="320" t="s">
        <v>27139</v>
      </c>
      <c r="C3264" s="321">
        <v>125236</v>
      </c>
      <c r="D3264" s="142" t="s">
        <v>15246</v>
      </c>
      <c r="E3264" s="322">
        <v>42182.8</v>
      </c>
      <c r="F3264" s="363" t="s">
        <v>27677</v>
      </c>
      <c r="G3264" s="364">
        <f>17193.58+24989.22</f>
        <v>42182.8</v>
      </c>
      <c r="H3264" s="365">
        <f>Tabla13[[#This Row],[Importe]]-Tabla13[[#This Row],[Pagado]]</f>
        <v>0</v>
      </c>
      <c r="I3264" s="325" t="s">
        <v>15214</v>
      </c>
    </row>
    <row r="3265" spans="1:9" x14ac:dyDescent="0.25">
      <c r="A3265" s="353">
        <v>42973</v>
      </c>
      <c r="B3265" s="336" t="s">
        <v>27140</v>
      </c>
      <c r="C3265" s="337">
        <v>125237</v>
      </c>
      <c r="D3265" s="338" t="s">
        <v>15230</v>
      </c>
      <c r="E3265" s="339">
        <v>25298.400000000001</v>
      </c>
      <c r="F3265" s="340">
        <v>42977</v>
      </c>
      <c r="G3265" s="339">
        <v>25298.400000000001</v>
      </c>
      <c r="H3265" s="341">
        <f>Tabla13[[#This Row],[Importe]]-Tabla13[[#This Row],[Pagado]]</f>
        <v>0</v>
      </c>
      <c r="I3265" s="342" t="s">
        <v>15214</v>
      </c>
    </row>
    <row r="3266" spans="1:9" x14ac:dyDescent="0.25">
      <c r="A3266" s="319">
        <v>42973</v>
      </c>
      <c r="B3266" s="320" t="s">
        <v>27141</v>
      </c>
      <c r="C3266" s="321">
        <v>125238</v>
      </c>
      <c r="D3266" s="142" t="s">
        <v>15246</v>
      </c>
      <c r="E3266" s="322">
        <v>339186.48</v>
      </c>
      <c r="F3266" s="363">
        <v>42980</v>
      </c>
      <c r="G3266" s="155">
        <v>339186.48</v>
      </c>
      <c r="H3266" s="324">
        <f>Tabla13[[#This Row],[Importe]]-Tabla13[[#This Row],[Pagado]]</f>
        <v>0</v>
      </c>
      <c r="I3266" s="325" t="s">
        <v>15214</v>
      </c>
    </row>
    <row r="3267" spans="1:9" x14ac:dyDescent="0.25">
      <c r="A3267" s="353">
        <v>42973</v>
      </c>
      <c r="B3267" s="336" t="s">
        <v>27142</v>
      </c>
      <c r="C3267" s="337">
        <v>125239</v>
      </c>
      <c r="D3267" s="338" t="s">
        <v>15789</v>
      </c>
      <c r="E3267" s="339">
        <v>31577.4</v>
      </c>
      <c r="F3267" s="372">
        <v>42980</v>
      </c>
      <c r="G3267" s="371">
        <v>31577.4</v>
      </c>
      <c r="H3267" s="341">
        <f>Tabla13[[#This Row],[Importe]]-Tabla13[[#This Row],[Pagado]]</f>
        <v>0</v>
      </c>
      <c r="I3267" s="342" t="s">
        <v>15214</v>
      </c>
    </row>
    <row r="3268" spans="1:9" x14ac:dyDescent="0.25">
      <c r="A3268" s="319">
        <v>42973</v>
      </c>
      <c r="B3268" s="326" t="s">
        <v>27143</v>
      </c>
      <c r="C3268" s="327">
        <v>125240</v>
      </c>
      <c r="D3268" s="136" t="s">
        <v>15365</v>
      </c>
      <c r="E3268" s="328">
        <v>452790</v>
      </c>
      <c r="F3268" s="361">
        <v>42980</v>
      </c>
      <c r="G3268" s="362">
        <v>452790</v>
      </c>
      <c r="H3268" s="330">
        <f>Tabla13[[#This Row],[Importe]]-Tabla13[[#This Row],[Pagado]]</f>
        <v>0</v>
      </c>
      <c r="I3268" s="331" t="s">
        <v>15214</v>
      </c>
    </row>
    <row r="3269" spans="1:9" x14ac:dyDescent="0.25">
      <c r="A3269" s="353">
        <v>42973</v>
      </c>
      <c r="B3269" s="320" t="s">
        <v>27144</v>
      </c>
      <c r="C3269" s="321">
        <v>125241</v>
      </c>
      <c r="D3269" s="142" t="s">
        <v>15315</v>
      </c>
      <c r="E3269" s="322">
        <v>573.47</v>
      </c>
      <c r="F3269" s="323">
        <v>42974</v>
      </c>
      <c r="G3269" s="322">
        <v>573.47</v>
      </c>
      <c r="H3269" s="324">
        <f>Tabla13[[#This Row],[Importe]]-Tabla13[[#This Row],[Pagado]]</f>
        <v>0</v>
      </c>
      <c r="I3269" s="325" t="s">
        <v>15214</v>
      </c>
    </row>
    <row r="3270" spans="1:9" x14ac:dyDescent="0.25">
      <c r="A3270" s="319">
        <v>42973</v>
      </c>
      <c r="B3270" s="326" t="s">
        <v>27145</v>
      </c>
      <c r="C3270" s="327">
        <v>125242</v>
      </c>
      <c r="D3270" s="136" t="s">
        <v>17595</v>
      </c>
      <c r="E3270" s="328">
        <v>12162.4</v>
      </c>
      <c r="F3270" s="329">
        <v>42973</v>
      </c>
      <c r="G3270" s="328">
        <v>12162.4</v>
      </c>
      <c r="H3270" s="330">
        <f>Tabla13[[#This Row],[Importe]]-Tabla13[[#This Row],[Pagado]]</f>
        <v>0</v>
      </c>
      <c r="I3270" s="331" t="s">
        <v>15214</v>
      </c>
    </row>
    <row r="3271" spans="1:9" x14ac:dyDescent="0.25">
      <c r="A3271" s="353">
        <v>42973</v>
      </c>
      <c r="B3271" s="320" t="s">
        <v>27146</v>
      </c>
      <c r="C3271" s="321">
        <v>125243</v>
      </c>
      <c r="D3271" s="142" t="s">
        <v>15315</v>
      </c>
      <c r="E3271" s="322">
        <v>1199</v>
      </c>
      <c r="F3271" s="323">
        <v>42975</v>
      </c>
      <c r="G3271" s="322">
        <v>1199</v>
      </c>
      <c r="H3271" s="324">
        <f>Tabla13[[#This Row],[Importe]]-Tabla13[[#This Row],[Pagado]]</f>
        <v>0</v>
      </c>
      <c r="I3271" s="325" t="s">
        <v>15214</v>
      </c>
    </row>
    <row r="3272" spans="1:9" ht="45" x14ac:dyDescent="0.25">
      <c r="A3272" s="319">
        <v>42973</v>
      </c>
      <c r="B3272" s="326" t="s">
        <v>27147</v>
      </c>
      <c r="C3272" s="327">
        <v>125244</v>
      </c>
      <c r="D3272" s="136" t="s">
        <v>15920</v>
      </c>
      <c r="E3272" s="328">
        <v>40623.360000000001</v>
      </c>
      <c r="F3272" s="361" t="s">
        <v>27694</v>
      </c>
      <c r="G3272" s="364">
        <f>11000+8500+21123.36</f>
        <v>40623.360000000001</v>
      </c>
      <c r="H3272" s="365">
        <f>Tabla13[[#This Row],[Importe]]-Tabla13[[#This Row],[Pagado]]</f>
        <v>0</v>
      </c>
      <c r="I3272" s="331" t="s">
        <v>15214</v>
      </c>
    </row>
    <row r="3273" spans="1:9" x14ac:dyDescent="0.25">
      <c r="A3273" s="353">
        <v>42973</v>
      </c>
      <c r="B3273" s="320" t="s">
        <v>27148</v>
      </c>
      <c r="C3273" s="321">
        <v>125245</v>
      </c>
      <c r="D3273" s="142" t="s">
        <v>15322</v>
      </c>
      <c r="E3273" s="322">
        <v>4756.8</v>
      </c>
      <c r="F3273" s="363">
        <v>42979</v>
      </c>
      <c r="G3273" s="155">
        <v>4756.8</v>
      </c>
      <c r="H3273" s="324">
        <f>Tabla13[[#This Row],[Importe]]-Tabla13[[#This Row],[Pagado]]</f>
        <v>0</v>
      </c>
      <c r="I3273" s="325" t="s">
        <v>15214</v>
      </c>
    </row>
    <row r="3274" spans="1:9" x14ac:dyDescent="0.25">
      <c r="A3274" s="319">
        <v>42973</v>
      </c>
      <c r="B3274" s="326" t="s">
        <v>27149</v>
      </c>
      <c r="C3274" s="327">
        <v>125246</v>
      </c>
      <c r="D3274" s="136" t="s">
        <v>15246</v>
      </c>
      <c r="E3274" s="328">
        <v>62516.38</v>
      </c>
      <c r="F3274" s="361">
        <v>42980</v>
      </c>
      <c r="G3274" s="362">
        <v>62516.38</v>
      </c>
      <c r="H3274" s="330">
        <f>Tabla13[[#This Row],[Importe]]-Tabla13[[#This Row],[Pagado]]</f>
        <v>0</v>
      </c>
      <c r="I3274" s="331" t="s">
        <v>15214</v>
      </c>
    </row>
    <row r="3275" spans="1:9" x14ac:dyDescent="0.25">
      <c r="A3275" s="353">
        <v>42973</v>
      </c>
      <c r="B3275" s="320" t="s">
        <v>27150</v>
      </c>
      <c r="C3275" s="321">
        <v>125247</v>
      </c>
      <c r="D3275" s="142" t="s">
        <v>15267</v>
      </c>
      <c r="E3275" s="322">
        <v>6259.2</v>
      </c>
      <c r="F3275" s="323">
        <v>42974</v>
      </c>
      <c r="G3275" s="322">
        <v>6259.2</v>
      </c>
      <c r="H3275" s="324">
        <f>Tabla13[[#This Row],[Importe]]-Tabla13[[#This Row],[Pagado]]</f>
        <v>0</v>
      </c>
      <c r="I3275" s="325" t="s">
        <v>15214</v>
      </c>
    </row>
    <row r="3276" spans="1:9" x14ac:dyDescent="0.25">
      <c r="A3276" s="319">
        <v>42973</v>
      </c>
      <c r="B3276" s="326" t="s">
        <v>27151</v>
      </c>
      <c r="C3276" s="327">
        <v>125248</v>
      </c>
      <c r="D3276" s="136" t="s">
        <v>15213</v>
      </c>
      <c r="E3276" s="328">
        <v>10463.200000000001</v>
      </c>
      <c r="F3276" s="329">
        <v>42975</v>
      </c>
      <c r="G3276" s="328">
        <v>10463.200000000001</v>
      </c>
      <c r="H3276" s="330">
        <f>Tabla13[[#This Row],[Importe]]-Tabla13[[#This Row],[Pagado]]</f>
        <v>0</v>
      </c>
      <c r="I3276" s="331" t="s">
        <v>15214</v>
      </c>
    </row>
    <row r="3277" spans="1:9" x14ac:dyDescent="0.25">
      <c r="A3277" s="353">
        <v>42973</v>
      </c>
      <c r="B3277" s="320" t="s">
        <v>27152</v>
      </c>
      <c r="C3277" s="321">
        <v>125249</v>
      </c>
      <c r="D3277" s="142" t="s">
        <v>15226</v>
      </c>
      <c r="E3277" s="322">
        <v>1808.1</v>
      </c>
      <c r="F3277" s="323">
        <v>42976</v>
      </c>
      <c r="G3277" s="322">
        <v>1808.1</v>
      </c>
      <c r="H3277" s="324">
        <f>Tabla13[[#This Row],[Importe]]-Tabla13[[#This Row],[Pagado]]</f>
        <v>0</v>
      </c>
      <c r="I3277" s="325" t="s">
        <v>15214</v>
      </c>
    </row>
    <row r="3278" spans="1:9" x14ac:dyDescent="0.25">
      <c r="A3278" s="319">
        <v>42973</v>
      </c>
      <c r="B3278" s="320" t="s">
        <v>27153</v>
      </c>
      <c r="C3278" s="321">
        <v>125250</v>
      </c>
      <c r="D3278" s="142" t="s">
        <v>15246</v>
      </c>
      <c r="E3278" s="322">
        <v>60768</v>
      </c>
      <c r="F3278" s="363">
        <v>42980</v>
      </c>
      <c r="G3278" s="155">
        <v>60768</v>
      </c>
      <c r="H3278" s="324">
        <f>Tabla13[[#This Row],[Importe]]-Tabla13[[#This Row],[Pagado]]</f>
        <v>0</v>
      </c>
      <c r="I3278" s="325" t="s">
        <v>15214</v>
      </c>
    </row>
    <row r="3279" spans="1:9" x14ac:dyDescent="0.25">
      <c r="A3279" s="353">
        <v>42973</v>
      </c>
      <c r="B3279" s="336" t="s">
        <v>27154</v>
      </c>
      <c r="C3279" s="337">
        <v>125251</v>
      </c>
      <c r="D3279" s="338" t="s">
        <v>15365</v>
      </c>
      <c r="E3279" s="339">
        <v>49016.1</v>
      </c>
      <c r="F3279" s="372">
        <v>42980</v>
      </c>
      <c r="G3279" s="371">
        <v>49016.1</v>
      </c>
      <c r="H3279" s="341">
        <f>Tabla13[[#This Row],[Importe]]-Tabla13[[#This Row],[Pagado]]</f>
        <v>0</v>
      </c>
      <c r="I3279" s="342" t="s">
        <v>15214</v>
      </c>
    </row>
    <row r="3280" spans="1:9" x14ac:dyDescent="0.25">
      <c r="A3280" s="319">
        <v>42973</v>
      </c>
      <c r="B3280" s="320" t="s">
        <v>27155</v>
      </c>
      <c r="C3280" s="321">
        <v>125252</v>
      </c>
      <c r="D3280" s="142" t="s">
        <v>15642</v>
      </c>
      <c r="E3280" s="322">
        <v>8345.4</v>
      </c>
      <c r="F3280" s="323">
        <v>42974</v>
      </c>
      <c r="G3280" s="322">
        <v>8345.4</v>
      </c>
      <c r="H3280" s="324">
        <f>Tabla13[[#This Row],[Importe]]-Tabla13[[#This Row],[Pagado]]</f>
        <v>0</v>
      </c>
      <c r="I3280" s="325" t="s">
        <v>15214</v>
      </c>
    </row>
    <row r="3281" spans="1:9" x14ac:dyDescent="0.25">
      <c r="A3281" s="353">
        <v>42973</v>
      </c>
      <c r="B3281" s="336" t="s">
        <v>27156</v>
      </c>
      <c r="C3281" s="337">
        <v>125253</v>
      </c>
      <c r="D3281" s="338" t="s">
        <v>15642</v>
      </c>
      <c r="E3281" s="339">
        <v>4487.7</v>
      </c>
      <c r="F3281" s="323">
        <v>42974</v>
      </c>
      <c r="G3281" s="339">
        <v>4487.7</v>
      </c>
      <c r="H3281" s="341">
        <f>Tabla13[[#This Row],[Importe]]-Tabla13[[#This Row],[Pagado]]</f>
        <v>0</v>
      </c>
      <c r="I3281" s="342" t="s">
        <v>15214</v>
      </c>
    </row>
    <row r="3282" spans="1:9" x14ac:dyDescent="0.25">
      <c r="A3282" s="319">
        <v>42973</v>
      </c>
      <c r="B3282" s="320" t="s">
        <v>27157</v>
      </c>
      <c r="C3282" s="321">
        <v>125254</v>
      </c>
      <c r="D3282" s="142" t="s">
        <v>15681</v>
      </c>
      <c r="E3282" s="322">
        <v>2448</v>
      </c>
      <c r="F3282" s="323">
        <v>42974</v>
      </c>
      <c r="G3282" s="322">
        <v>2448</v>
      </c>
      <c r="H3282" s="324">
        <f>Tabla13[[#This Row],[Importe]]-Tabla13[[#This Row],[Pagado]]</f>
        <v>0</v>
      </c>
      <c r="I3282" s="325" t="s">
        <v>15214</v>
      </c>
    </row>
    <row r="3283" spans="1:9" x14ac:dyDescent="0.25">
      <c r="A3283" s="353">
        <v>42973</v>
      </c>
      <c r="B3283" s="336" t="s">
        <v>27158</v>
      </c>
      <c r="C3283" s="337">
        <v>125255</v>
      </c>
      <c r="D3283" s="338" t="s">
        <v>15681</v>
      </c>
      <c r="E3283" s="339">
        <v>80</v>
      </c>
      <c r="F3283" s="323">
        <v>42974</v>
      </c>
      <c r="G3283" s="339">
        <v>80</v>
      </c>
      <c r="H3283" s="341">
        <f>Tabla13[[#This Row],[Importe]]-Tabla13[[#This Row],[Pagado]]</f>
        <v>0</v>
      </c>
      <c r="I3283" s="342" t="s">
        <v>15214</v>
      </c>
    </row>
    <row r="3284" spans="1:9" ht="30" x14ac:dyDescent="0.25">
      <c r="A3284" s="319">
        <v>42974</v>
      </c>
      <c r="B3284" s="320" t="s">
        <v>27159</v>
      </c>
      <c r="C3284" s="321">
        <v>125256</v>
      </c>
      <c r="D3284" s="142" t="s">
        <v>21386</v>
      </c>
      <c r="E3284" s="322">
        <v>11201.2</v>
      </c>
      <c r="F3284" s="323" t="s">
        <v>27160</v>
      </c>
      <c r="G3284" s="334">
        <f>10000+1201.2</f>
        <v>11201.2</v>
      </c>
      <c r="H3284" s="324">
        <f>Tabla13[[#This Row],[Importe]]-Tabla13[[#This Row],[Pagado]]</f>
        <v>0</v>
      </c>
      <c r="I3284" s="325" t="s">
        <v>15214</v>
      </c>
    </row>
    <row r="3285" spans="1:9" x14ac:dyDescent="0.25">
      <c r="A3285" s="353">
        <v>42974</v>
      </c>
      <c r="B3285" s="336" t="s">
        <v>27161</v>
      </c>
      <c r="C3285" s="337">
        <v>125257</v>
      </c>
      <c r="D3285" s="338" t="s">
        <v>15213</v>
      </c>
      <c r="E3285" s="339">
        <v>35357.800000000003</v>
      </c>
      <c r="F3285" s="340">
        <v>42975</v>
      </c>
      <c r="G3285" s="339">
        <v>35357.800000000003</v>
      </c>
      <c r="H3285" s="341">
        <f>Tabla13[[#This Row],[Importe]]-Tabla13[[#This Row],[Pagado]]</f>
        <v>0</v>
      </c>
      <c r="I3285" s="342" t="s">
        <v>15214</v>
      </c>
    </row>
    <row r="3286" spans="1:9" x14ac:dyDescent="0.25">
      <c r="A3286" s="319">
        <v>42974</v>
      </c>
      <c r="B3286" s="320" t="s">
        <v>27162</v>
      </c>
      <c r="C3286" s="321">
        <v>125258</v>
      </c>
      <c r="D3286" s="142" t="s">
        <v>5575</v>
      </c>
      <c r="E3286" s="322">
        <v>718.2</v>
      </c>
      <c r="F3286" s="323">
        <v>42974</v>
      </c>
      <c r="G3286" s="322">
        <v>718.2</v>
      </c>
      <c r="H3286" s="324">
        <f>Tabla13[[#This Row],[Importe]]-Tabla13[[#This Row],[Pagado]]</f>
        <v>0</v>
      </c>
      <c r="I3286" s="325" t="s">
        <v>15214</v>
      </c>
    </row>
    <row r="3287" spans="1:9" x14ac:dyDescent="0.25">
      <c r="A3287" s="353">
        <v>42974</v>
      </c>
      <c r="B3287" s="336" t="s">
        <v>27163</v>
      </c>
      <c r="C3287" s="337">
        <v>125259</v>
      </c>
      <c r="D3287" s="338" t="s">
        <v>15480</v>
      </c>
      <c r="E3287" s="339">
        <v>283.2</v>
      </c>
      <c r="F3287" s="323">
        <v>42974</v>
      </c>
      <c r="G3287" s="339">
        <v>283.2</v>
      </c>
      <c r="H3287" s="341">
        <f>Tabla13[[#This Row],[Importe]]-Tabla13[[#This Row],[Pagado]]</f>
        <v>0</v>
      </c>
      <c r="I3287" s="342" t="s">
        <v>15214</v>
      </c>
    </row>
    <row r="3288" spans="1:9" x14ac:dyDescent="0.25">
      <c r="A3288" s="319">
        <v>42974</v>
      </c>
      <c r="B3288" s="326" t="s">
        <v>27164</v>
      </c>
      <c r="C3288" s="327">
        <v>125260</v>
      </c>
      <c r="D3288" s="136" t="s">
        <v>15668</v>
      </c>
      <c r="E3288" s="328">
        <v>19680</v>
      </c>
      <c r="F3288" s="329">
        <v>42975</v>
      </c>
      <c r="G3288" s="328">
        <v>19680</v>
      </c>
      <c r="H3288" s="330">
        <f>Tabla13[[#This Row],[Importe]]-Tabla13[[#This Row],[Pagado]]</f>
        <v>0</v>
      </c>
      <c r="I3288" s="331" t="s">
        <v>15214</v>
      </c>
    </row>
    <row r="3289" spans="1:9" x14ac:dyDescent="0.25">
      <c r="A3289" s="353">
        <v>42974</v>
      </c>
      <c r="B3289" s="320" t="s">
        <v>27165</v>
      </c>
      <c r="C3289" s="321">
        <v>125261</v>
      </c>
      <c r="D3289" s="142" t="s">
        <v>15272</v>
      </c>
      <c r="E3289" s="322">
        <v>32657</v>
      </c>
      <c r="F3289" s="323">
        <v>42974</v>
      </c>
      <c r="G3289" s="322">
        <v>32657</v>
      </c>
      <c r="H3289" s="324">
        <f>Tabla13[[#This Row],[Importe]]-Tabla13[[#This Row],[Pagado]]</f>
        <v>0</v>
      </c>
      <c r="I3289" s="325" t="s">
        <v>15214</v>
      </c>
    </row>
    <row r="3290" spans="1:9" x14ac:dyDescent="0.25">
      <c r="A3290" s="319">
        <v>42974</v>
      </c>
      <c r="B3290" s="326" t="s">
        <v>27166</v>
      </c>
      <c r="C3290" s="327">
        <v>125262</v>
      </c>
      <c r="D3290" s="136" t="s">
        <v>15365</v>
      </c>
      <c r="E3290" s="328">
        <v>23805</v>
      </c>
      <c r="F3290" s="361">
        <v>42980</v>
      </c>
      <c r="G3290" s="362">
        <v>23805</v>
      </c>
      <c r="H3290" s="330">
        <f>Tabla13[[#This Row],[Importe]]-Tabla13[[#This Row],[Pagado]]</f>
        <v>0</v>
      </c>
      <c r="I3290" s="331" t="s">
        <v>15214</v>
      </c>
    </row>
    <row r="3291" spans="1:9" x14ac:dyDescent="0.25">
      <c r="A3291" s="353">
        <v>42974</v>
      </c>
      <c r="B3291" s="320" t="s">
        <v>27167</v>
      </c>
      <c r="C3291" s="321">
        <v>125263</v>
      </c>
      <c r="D3291" s="142" t="s">
        <v>17462</v>
      </c>
      <c r="E3291" s="322">
        <v>8134.5</v>
      </c>
      <c r="F3291" s="323">
        <v>42974</v>
      </c>
      <c r="G3291" s="322">
        <v>8134.5</v>
      </c>
      <c r="H3291" s="324">
        <f>Tabla13[[#This Row],[Importe]]-Tabla13[[#This Row],[Pagado]]</f>
        <v>0</v>
      </c>
      <c r="I3291" s="325" t="s">
        <v>15214</v>
      </c>
    </row>
    <row r="3292" spans="1:9" x14ac:dyDescent="0.25">
      <c r="A3292" s="319">
        <v>42974</v>
      </c>
      <c r="B3292" s="326" t="s">
        <v>27168</v>
      </c>
      <c r="C3292" s="327">
        <v>125264</v>
      </c>
      <c r="D3292" s="136" t="s">
        <v>15352</v>
      </c>
      <c r="E3292" s="328">
        <v>683.4</v>
      </c>
      <c r="F3292" s="323">
        <v>42974</v>
      </c>
      <c r="G3292" s="328">
        <v>683.4</v>
      </c>
      <c r="H3292" s="330">
        <f>Tabla13[[#This Row],[Importe]]-Tabla13[[#This Row],[Pagado]]</f>
        <v>0</v>
      </c>
      <c r="I3292" s="331" t="s">
        <v>15214</v>
      </c>
    </row>
    <row r="3293" spans="1:9" x14ac:dyDescent="0.25">
      <c r="A3293" s="353">
        <v>42974</v>
      </c>
      <c r="B3293" s="320" t="s">
        <v>27169</v>
      </c>
      <c r="C3293" s="321">
        <v>125265</v>
      </c>
      <c r="D3293" s="142" t="s">
        <v>15267</v>
      </c>
      <c r="E3293" s="322">
        <v>7081.9</v>
      </c>
      <c r="F3293" s="323">
        <v>42974</v>
      </c>
      <c r="G3293" s="322">
        <v>7081.9</v>
      </c>
      <c r="H3293" s="324">
        <f>Tabla13[[#This Row],[Importe]]-Tabla13[[#This Row],[Pagado]]</f>
        <v>0</v>
      </c>
      <c r="I3293" s="325" t="s">
        <v>15214</v>
      </c>
    </row>
    <row r="3294" spans="1:9" x14ac:dyDescent="0.25">
      <c r="A3294" s="319">
        <v>42974</v>
      </c>
      <c r="B3294" s="326" t="s">
        <v>27170</v>
      </c>
      <c r="C3294" s="327">
        <v>125266</v>
      </c>
      <c r="D3294" s="136" t="s">
        <v>15577</v>
      </c>
      <c r="E3294" s="328">
        <v>649.20000000000005</v>
      </c>
      <c r="F3294" s="323">
        <v>42974</v>
      </c>
      <c r="G3294" s="328">
        <v>649.20000000000005</v>
      </c>
      <c r="H3294" s="330">
        <f>Tabla13[[#This Row],[Importe]]-Tabla13[[#This Row],[Pagado]]</f>
        <v>0</v>
      </c>
      <c r="I3294" s="331" t="s">
        <v>15214</v>
      </c>
    </row>
    <row r="3295" spans="1:9" x14ac:dyDescent="0.25">
      <c r="A3295" s="353">
        <v>42974</v>
      </c>
      <c r="B3295" s="320" t="s">
        <v>27171</v>
      </c>
      <c r="C3295" s="321">
        <v>125267</v>
      </c>
      <c r="D3295" s="142" t="s">
        <v>15365</v>
      </c>
      <c r="E3295" s="322">
        <v>11157.3</v>
      </c>
      <c r="F3295" s="363">
        <v>42980</v>
      </c>
      <c r="G3295" s="155">
        <v>11157.3</v>
      </c>
      <c r="H3295" s="324">
        <f>Tabla13[[#This Row],[Importe]]-Tabla13[[#This Row],[Pagado]]</f>
        <v>0</v>
      </c>
      <c r="I3295" s="325" t="s">
        <v>15214</v>
      </c>
    </row>
    <row r="3296" spans="1:9" x14ac:dyDescent="0.25">
      <c r="A3296" s="319">
        <v>42974</v>
      </c>
      <c r="B3296" s="326" t="s">
        <v>27172</v>
      </c>
      <c r="C3296" s="327">
        <v>125268</v>
      </c>
      <c r="D3296" s="136" t="s">
        <v>17277</v>
      </c>
      <c r="E3296" s="328">
        <v>1332</v>
      </c>
      <c r="F3296" s="323">
        <v>42974</v>
      </c>
      <c r="G3296" s="328">
        <v>1332</v>
      </c>
      <c r="H3296" s="330">
        <f>Tabla13[[#This Row],[Importe]]-Tabla13[[#This Row],[Pagado]]</f>
        <v>0</v>
      </c>
      <c r="I3296" s="331" t="s">
        <v>15214</v>
      </c>
    </row>
    <row r="3297" spans="1:9" x14ac:dyDescent="0.25">
      <c r="A3297" s="353">
        <v>42974</v>
      </c>
      <c r="B3297" s="320" t="s">
        <v>27173</v>
      </c>
      <c r="C3297" s="321">
        <v>125269</v>
      </c>
      <c r="D3297" s="142" t="s">
        <v>16023</v>
      </c>
      <c r="E3297" s="322">
        <v>1606.1</v>
      </c>
      <c r="F3297" s="323">
        <v>42974</v>
      </c>
      <c r="G3297" s="322">
        <v>1606.1</v>
      </c>
      <c r="H3297" s="324">
        <f>Tabla13[[#This Row],[Importe]]-Tabla13[[#This Row],[Pagado]]</f>
        <v>0</v>
      </c>
      <c r="I3297" s="325" t="s">
        <v>15214</v>
      </c>
    </row>
    <row r="3298" spans="1:9" x14ac:dyDescent="0.25">
      <c r="A3298" s="319">
        <v>42974</v>
      </c>
      <c r="B3298" s="320" t="s">
        <v>27174</v>
      </c>
      <c r="C3298" s="321">
        <v>125270</v>
      </c>
      <c r="D3298" s="142" t="s">
        <v>15263</v>
      </c>
      <c r="E3298" s="322">
        <v>2355</v>
      </c>
      <c r="F3298" s="323">
        <v>42974</v>
      </c>
      <c r="G3298" s="322">
        <v>2355</v>
      </c>
      <c r="H3298" s="324">
        <f>Tabla13[[#This Row],[Importe]]-Tabla13[[#This Row],[Pagado]]</f>
        <v>0</v>
      </c>
      <c r="I3298" s="325" t="s">
        <v>15214</v>
      </c>
    </row>
    <row r="3299" spans="1:9" x14ac:dyDescent="0.25">
      <c r="A3299" s="353">
        <v>42974</v>
      </c>
      <c r="B3299" s="326" t="s">
        <v>27175</v>
      </c>
      <c r="C3299" s="327">
        <v>125271</v>
      </c>
      <c r="D3299" s="136" t="s">
        <v>15378</v>
      </c>
      <c r="E3299" s="328">
        <v>2812.4</v>
      </c>
      <c r="F3299" s="323">
        <v>42974</v>
      </c>
      <c r="G3299" s="339">
        <v>2812.4</v>
      </c>
      <c r="H3299" s="341">
        <f>Tabla13[[#This Row],[Importe]]-Tabla13[[#This Row],[Pagado]]</f>
        <v>0</v>
      </c>
      <c r="I3299" s="342" t="s">
        <v>15214</v>
      </c>
    </row>
    <row r="3300" spans="1:9" x14ac:dyDescent="0.25">
      <c r="A3300" s="319">
        <v>42974</v>
      </c>
      <c r="B3300" s="320" t="s">
        <v>27176</v>
      </c>
      <c r="C3300" s="321">
        <v>125272</v>
      </c>
      <c r="D3300" s="142" t="s">
        <v>15378</v>
      </c>
      <c r="E3300" s="322">
        <v>924.4</v>
      </c>
      <c r="F3300" s="323">
        <v>42974</v>
      </c>
      <c r="G3300" s="322">
        <v>924.4</v>
      </c>
      <c r="H3300" s="324">
        <f>Tabla13[[#This Row],[Importe]]-Tabla13[[#This Row],[Pagado]]</f>
        <v>0</v>
      </c>
      <c r="I3300" s="325" t="s">
        <v>15214</v>
      </c>
    </row>
    <row r="3301" spans="1:9" x14ac:dyDescent="0.25">
      <c r="A3301" s="353">
        <v>42974</v>
      </c>
      <c r="B3301" s="326" t="s">
        <v>27177</v>
      </c>
      <c r="C3301" s="327">
        <v>125273</v>
      </c>
      <c r="D3301" s="136" t="s">
        <v>15378</v>
      </c>
      <c r="E3301" s="328">
        <v>252</v>
      </c>
      <c r="F3301" s="323">
        <v>42974</v>
      </c>
      <c r="G3301" s="339">
        <v>252</v>
      </c>
      <c r="H3301" s="341">
        <f>Tabla13[[#This Row],[Importe]]-Tabla13[[#This Row],[Pagado]]</f>
        <v>0</v>
      </c>
      <c r="I3301" s="342" t="s">
        <v>15214</v>
      </c>
    </row>
    <row r="3302" spans="1:9" ht="30" x14ac:dyDescent="0.25">
      <c r="A3302" s="319">
        <v>42974</v>
      </c>
      <c r="B3302" s="320" t="s">
        <v>27178</v>
      </c>
      <c r="C3302" s="321">
        <v>125274</v>
      </c>
      <c r="D3302" s="142" t="s">
        <v>15530</v>
      </c>
      <c r="E3302" s="322">
        <v>6338.5</v>
      </c>
      <c r="F3302" s="323" t="s">
        <v>27179</v>
      </c>
      <c r="G3302" s="334">
        <f>5600+738.5</f>
        <v>6338.5</v>
      </c>
      <c r="H3302" s="324">
        <f>Tabla13[[#This Row],[Importe]]-Tabla13[[#This Row],[Pagado]]</f>
        <v>0</v>
      </c>
      <c r="I3302" s="325" t="s">
        <v>15214</v>
      </c>
    </row>
    <row r="3303" spans="1:9" x14ac:dyDescent="0.25">
      <c r="A3303" s="353">
        <v>42974</v>
      </c>
      <c r="B3303" s="326" t="s">
        <v>27180</v>
      </c>
      <c r="C3303" s="327">
        <v>125275</v>
      </c>
      <c r="D3303" s="136" t="s">
        <v>15220</v>
      </c>
      <c r="E3303" s="328">
        <v>5170</v>
      </c>
      <c r="F3303" s="329">
        <v>42975</v>
      </c>
      <c r="G3303" s="328">
        <v>5170</v>
      </c>
      <c r="H3303" s="330">
        <f>Tabla13[[#This Row],[Importe]]-Tabla13[[#This Row],[Pagado]]</f>
        <v>0</v>
      </c>
      <c r="I3303" s="331" t="s">
        <v>15214</v>
      </c>
    </row>
    <row r="3304" spans="1:9" x14ac:dyDescent="0.25">
      <c r="A3304" s="319">
        <v>42974</v>
      </c>
      <c r="B3304" s="320" t="s">
        <v>27181</v>
      </c>
      <c r="C3304" s="321">
        <v>125276</v>
      </c>
      <c r="D3304" s="142" t="s">
        <v>15324</v>
      </c>
      <c r="E3304" s="322">
        <v>1702.5</v>
      </c>
      <c r="F3304" s="329">
        <v>42975</v>
      </c>
      <c r="G3304" s="322">
        <v>1702.5</v>
      </c>
      <c r="H3304" s="324">
        <f>Tabla13[[#This Row],[Importe]]-Tabla13[[#This Row],[Pagado]]</f>
        <v>0</v>
      </c>
      <c r="I3304" s="325" t="s">
        <v>15214</v>
      </c>
    </row>
    <row r="3305" spans="1:9" x14ac:dyDescent="0.25">
      <c r="A3305" s="353">
        <v>42974</v>
      </c>
      <c r="B3305" s="326" t="s">
        <v>27182</v>
      </c>
      <c r="C3305" s="327">
        <v>125277</v>
      </c>
      <c r="D3305" s="136" t="s">
        <v>19302</v>
      </c>
      <c r="E3305" s="328">
        <v>1175</v>
      </c>
      <c r="F3305" s="329">
        <v>42975</v>
      </c>
      <c r="G3305" s="328">
        <v>1175</v>
      </c>
      <c r="H3305" s="330">
        <f>Tabla13[[#This Row],[Importe]]-Tabla13[[#This Row],[Pagado]]</f>
        <v>0</v>
      </c>
      <c r="I3305" s="331" t="s">
        <v>15214</v>
      </c>
    </row>
    <row r="3306" spans="1:9" x14ac:dyDescent="0.25">
      <c r="A3306" s="319">
        <v>42974</v>
      </c>
      <c r="B3306" s="320" t="s">
        <v>27183</v>
      </c>
      <c r="C3306" s="321">
        <v>125278</v>
      </c>
      <c r="D3306" s="142" t="s">
        <v>15246</v>
      </c>
      <c r="E3306" s="322">
        <v>95</v>
      </c>
      <c r="F3306" s="363">
        <v>42980</v>
      </c>
      <c r="G3306" s="155">
        <v>95</v>
      </c>
      <c r="H3306" s="324">
        <f>Tabla13[[#This Row],[Importe]]-Tabla13[[#This Row],[Pagado]]</f>
        <v>0</v>
      </c>
      <c r="I3306" s="325" t="s">
        <v>15214</v>
      </c>
    </row>
    <row r="3307" spans="1:9" ht="30" x14ac:dyDescent="0.25">
      <c r="A3307" s="353">
        <v>42974</v>
      </c>
      <c r="B3307" s="381" t="s">
        <v>27184</v>
      </c>
      <c r="C3307" s="382">
        <v>125279</v>
      </c>
      <c r="D3307" s="383" t="s">
        <v>15223</v>
      </c>
      <c r="E3307" s="334">
        <v>49783.5</v>
      </c>
      <c r="F3307" s="373" t="s">
        <v>27700</v>
      </c>
      <c r="G3307" s="364">
        <f>19943.78+29839.72</f>
        <v>49783.5</v>
      </c>
      <c r="H3307" s="365">
        <f>Tabla13[[#This Row],[Importe]]-Tabla13[[#This Row],[Pagado]]</f>
        <v>0</v>
      </c>
      <c r="I3307" s="384" t="s">
        <v>15214</v>
      </c>
    </row>
    <row r="3308" spans="1:9" x14ac:dyDescent="0.25">
      <c r="A3308" s="319">
        <v>42974</v>
      </c>
      <c r="B3308" s="326" t="s">
        <v>27185</v>
      </c>
      <c r="C3308" s="327">
        <v>125280</v>
      </c>
      <c r="D3308" s="136" t="s">
        <v>15541</v>
      </c>
      <c r="E3308" s="328">
        <v>1372.4</v>
      </c>
      <c r="F3308" s="329">
        <v>42974</v>
      </c>
      <c r="G3308" s="328">
        <v>1372.4</v>
      </c>
      <c r="H3308" s="330">
        <f>Tabla13[[#This Row],[Importe]]-Tabla13[[#This Row],[Pagado]]</f>
        <v>0</v>
      </c>
      <c r="I3308" s="331" t="s">
        <v>15214</v>
      </c>
    </row>
    <row r="3309" spans="1:9" x14ac:dyDescent="0.25">
      <c r="A3309" s="353">
        <v>42974</v>
      </c>
      <c r="B3309" s="320" t="s">
        <v>27186</v>
      </c>
      <c r="C3309" s="321">
        <v>125281</v>
      </c>
      <c r="D3309" s="142" t="s">
        <v>15280</v>
      </c>
      <c r="E3309" s="322">
        <v>5991.4</v>
      </c>
      <c r="F3309" s="340">
        <v>42974</v>
      </c>
      <c r="G3309" s="322">
        <v>5991.4</v>
      </c>
      <c r="H3309" s="324">
        <f>Tabla13[[#This Row],[Importe]]-Tabla13[[#This Row],[Pagado]]</f>
        <v>0</v>
      </c>
      <c r="I3309" s="325" t="s">
        <v>15214</v>
      </c>
    </row>
    <row r="3310" spans="1:9" x14ac:dyDescent="0.25">
      <c r="A3310" s="319">
        <v>42974</v>
      </c>
      <c r="B3310" s="326" t="s">
        <v>27187</v>
      </c>
      <c r="C3310" s="327">
        <v>125282</v>
      </c>
      <c r="D3310" s="136" t="s">
        <v>19776</v>
      </c>
      <c r="E3310" s="328">
        <v>9400</v>
      </c>
      <c r="F3310" s="329">
        <v>42974</v>
      </c>
      <c r="G3310" s="328">
        <v>9400</v>
      </c>
      <c r="H3310" s="330">
        <f>Tabla13[[#This Row],[Importe]]-Tabla13[[#This Row],[Pagado]]</f>
        <v>0</v>
      </c>
      <c r="I3310" s="331" t="s">
        <v>15214</v>
      </c>
    </row>
    <row r="3311" spans="1:9" x14ac:dyDescent="0.25">
      <c r="A3311" s="353">
        <v>42974</v>
      </c>
      <c r="B3311" s="320" t="s">
        <v>27188</v>
      </c>
      <c r="C3311" s="321">
        <v>125283</v>
      </c>
      <c r="D3311" s="142" t="s">
        <v>15442</v>
      </c>
      <c r="E3311" s="322">
        <v>24422.400000000001</v>
      </c>
      <c r="F3311" s="323">
        <v>42977</v>
      </c>
      <c r="G3311" s="322">
        <v>24422.400000000001</v>
      </c>
      <c r="H3311" s="324">
        <f>Tabla13[[#This Row],[Importe]]-Tabla13[[#This Row],[Pagado]]</f>
        <v>0</v>
      </c>
      <c r="I3311" s="325" t="s">
        <v>15214</v>
      </c>
    </row>
    <row r="3312" spans="1:9" x14ac:dyDescent="0.25">
      <c r="A3312" s="319">
        <v>42974</v>
      </c>
      <c r="B3312" s="326" t="s">
        <v>27189</v>
      </c>
      <c r="C3312" s="327">
        <v>125284</v>
      </c>
      <c r="D3312" s="136" t="s">
        <v>15562</v>
      </c>
      <c r="E3312" s="328">
        <v>3400</v>
      </c>
      <c r="F3312" s="329">
        <v>42974</v>
      </c>
      <c r="G3312" s="328">
        <v>3400</v>
      </c>
      <c r="H3312" s="330">
        <f>Tabla13[[#This Row],[Importe]]-Tabla13[[#This Row],[Pagado]]</f>
        <v>0</v>
      </c>
      <c r="I3312" s="331" t="s">
        <v>15214</v>
      </c>
    </row>
    <row r="3313" spans="1:9" ht="15.75" x14ac:dyDescent="0.25">
      <c r="A3313" s="353">
        <v>42974</v>
      </c>
      <c r="B3313" s="320" t="s">
        <v>27190</v>
      </c>
      <c r="C3313" s="321">
        <v>125285</v>
      </c>
      <c r="D3313" s="332" t="s">
        <v>95</v>
      </c>
      <c r="E3313" s="322">
        <v>0</v>
      </c>
      <c r="F3313" s="333" t="s">
        <v>95</v>
      </c>
      <c r="G3313" s="322">
        <v>0</v>
      </c>
      <c r="H3313" s="324">
        <f>Tabla13[[#This Row],[Importe]]-Tabla13[[#This Row],[Pagado]]</f>
        <v>0</v>
      </c>
      <c r="I3313" s="325" t="s">
        <v>95</v>
      </c>
    </row>
    <row r="3314" spans="1:9" x14ac:dyDescent="0.25">
      <c r="A3314" s="319">
        <v>42974</v>
      </c>
      <c r="B3314" s="326" t="s">
        <v>27191</v>
      </c>
      <c r="C3314" s="327">
        <v>125286</v>
      </c>
      <c r="D3314" s="136" t="s">
        <v>15523</v>
      </c>
      <c r="E3314" s="328">
        <v>2820</v>
      </c>
      <c r="F3314" s="329">
        <v>42975</v>
      </c>
      <c r="G3314" s="328">
        <v>2820</v>
      </c>
      <c r="H3314" s="330">
        <f>Tabla13[[#This Row],[Importe]]-Tabla13[[#This Row],[Pagado]]</f>
        <v>0</v>
      </c>
      <c r="I3314" s="331" t="s">
        <v>15214</v>
      </c>
    </row>
    <row r="3315" spans="1:9" x14ac:dyDescent="0.25">
      <c r="A3315" s="353">
        <v>42974</v>
      </c>
      <c r="B3315" s="320" t="s">
        <v>27192</v>
      </c>
      <c r="C3315" s="321">
        <v>125287</v>
      </c>
      <c r="D3315" s="142" t="s">
        <v>15291</v>
      </c>
      <c r="E3315" s="322">
        <v>1175</v>
      </c>
      <c r="F3315" s="340">
        <v>42975</v>
      </c>
      <c r="G3315" s="322">
        <v>1175</v>
      </c>
      <c r="H3315" s="324">
        <f>Tabla13[[#This Row],[Importe]]-Tabla13[[#This Row],[Pagado]]</f>
        <v>0</v>
      </c>
      <c r="I3315" s="325" t="s">
        <v>15214</v>
      </c>
    </row>
    <row r="3316" spans="1:9" x14ac:dyDescent="0.25">
      <c r="A3316" s="319">
        <v>42974</v>
      </c>
      <c r="B3316" s="326" t="s">
        <v>27193</v>
      </c>
      <c r="C3316" s="327">
        <v>125288</v>
      </c>
      <c r="D3316" s="136" t="s">
        <v>15320</v>
      </c>
      <c r="E3316" s="328">
        <v>2732.4</v>
      </c>
      <c r="F3316" s="329">
        <v>42975</v>
      </c>
      <c r="G3316" s="328">
        <v>2732.4</v>
      </c>
      <c r="H3316" s="330">
        <f>Tabla13[[#This Row],[Importe]]-Tabla13[[#This Row],[Pagado]]</f>
        <v>0</v>
      </c>
      <c r="I3316" s="331" t="s">
        <v>15214</v>
      </c>
    </row>
    <row r="3317" spans="1:9" x14ac:dyDescent="0.25">
      <c r="A3317" s="353">
        <v>42974</v>
      </c>
      <c r="B3317" s="320" t="s">
        <v>27194</v>
      </c>
      <c r="C3317" s="321">
        <v>125289</v>
      </c>
      <c r="D3317" s="142" t="s">
        <v>15358</v>
      </c>
      <c r="E3317" s="322">
        <v>2199.6</v>
      </c>
      <c r="F3317" s="340">
        <v>42975</v>
      </c>
      <c r="G3317" s="322">
        <v>2199.6</v>
      </c>
      <c r="H3317" s="324">
        <f>Tabla13[[#This Row],[Importe]]-Tabla13[[#This Row],[Pagado]]</f>
        <v>0</v>
      </c>
      <c r="I3317" s="325" t="s">
        <v>15214</v>
      </c>
    </row>
    <row r="3318" spans="1:9" x14ac:dyDescent="0.25">
      <c r="A3318" s="319">
        <v>42974</v>
      </c>
      <c r="B3318" s="320" t="s">
        <v>27195</v>
      </c>
      <c r="C3318" s="321">
        <v>125290</v>
      </c>
      <c r="D3318" s="142" t="s">
        <v>15336</v>
      </c>
      <c r="E3318" s="322">
        <v>1207.9000000000001</v>
      </c>
      <c r="F3318" s="329">
        <v>42975</v>
      </c>
      <c r="G3318" s="322">
        <v>1207.9000000000001</v>
      </c>
      <c r="H3318" s="324">
        <f>Tabla13[[#This Row],[Importe]]-Tabla13[[#This Row],[Pagado]]</f>
        <v>0</v>
      </c>
      <c r="I3318" s="325" t="s">
        <v>15214</v>
      </c>
    </row>
    <row r="3319" spans="1:9" x14ac:dyDescent="0.25">
      <c r="A3319" s="353">
        <v>42974</v>
      </c>
      <c r="B3319" s="336" t="s">
        <v>27196</v>
      </c>
      <c r="C3319" s="337">
        <v>125291</v>
      </c>
      <c r="D3319" s="338" t="s">
        <v>15526</v>
      </c>
      <c r="E3319" s="339">
        <v>3715</v>
      </c>
      <c r="F3319" s="340">
        <v>42975</v>
      </c>
      <c r="G3319" s="339">
        <v>3715</v>
      </c>
      <c r="H3319" s="341">
        <f>Tabla13[[#This Row],[Importe]]-Tabla13[[#This Row],[Pagado]]</f>
        <v>0</v>
      </c>
      <c r="I3319" s="342" t="s">
        <v>15214</v>
      </c>
    </row>
    <row r="3320" spans="1:9" x14ac:dyDescent="0.25">
      <c r="A3320" s="319">
        <v>42974</v>
      </c>
      <c r="B3320" s="320" t="s">
        <v>27197</v>
      </c>
      <c r="C3320" s="321">
        <v>125292</v>
      </c>
      <c r="D3320" s="142" t="s">
        <v>15332</v>
      </c>
      <c r="E3320" s="322">
        <v>3821.3</v>
      </c>
      <c r="F3320" s="329">
        <v>42975</v>
      </c>
      <c r="G3320" s="322">
        <v>3821.3</v>
      </c>
      <c r="H3320" s="324">
        <f>Tabla13[[#This Row],[Importe]]-Tabla13[[#This Row],[Pagado]]</f>
        <v>0</v>
      </c>
      <c r="I3320" s="325" t="s">
        <v>15214</v>
      </c>
    </row>
    <row r="3321" spans="1:9" x14ac:dyDescent="0.25">
      <c r="A3321" s="353">
        <v>42974</v>
      </c>
      <c r="B3321" s="336" t="s">
        <v>27198</v>
      </c>
      <c r="C3321" s="337">
        <v>125293</v>
      </c>
      <c r="D3321" s="338" t="s">
        <v>15342</v>
      </c>
      <c r="E3321" s="339">
        <v>783.6</v>
      </c>
      <c r="F3321" s="340">
        <v>42975</v>
      </c>
      <c r="G3321" s="339">
        <v>783.6</v>
      </c>
      <c r="H3321" s="341">
        <f>Tabla13[[#This Row],[Importe]]-Tabla13[[#This Row],[Pagado]]</f>
        <v>0</v>
      </c>
      <c r="I3321" s="342" t="s">
        <v>15214</v>
      </c>
    </row>
    <row r="3322" spans="1:9" x14ac:dyDescent="0.25">
      <c r="A3322" s="319">
        <v>42974</v>
      </c>
      <c r="B3322" s="320" t="s">
        <v>27199</v>
      </c>
      <c r="C3322" s="321">
        <v>125294</v>
      </c>
      <c r="D3322" s="142" t="s">
        <v>15344</v>
      </c>
      <c r="E3322" s="322">
        <v>2305</v>
      </c>
      <c r="F3322" s="329">
        <v>42975</v>
      </c>
      <c r="G3322" s="322">
        <v>2305</v>
      </c>
      <c r="H3322" s="324">
        <f>Tabla13[[#This Row],[Importe]]-Tabla13[[#This Row],[Pagado]]</f>
        <v>0</v>
      </c>
      <c r="I3322" s="325" t="s">
        <v>15214</v>
      </c>
    </row>
    <row r="3323" spans="1:9" x14ac:dyDescent="0.25">
      <c r="A3323" s="353">
        <v>42974</v>
      </c>
      <c r="B3323" s="336" t="s">
        <v>27200</v>
      </c>
      <c r="C3323" s="337">
        <v>125295</v>
      </c>
      <c r="D3323" s="338" t="s">
        <v>15311</v>
      </c>
      <c r="E3323" s="339">
        <v>1970.1</v>
      </c>
      <c r="F3323" s="340">
        <v>42975</v>
      </c>
      <c r="G3323" s="339">
        <v>1970.1</v>
      </c>
      <c r="H3323" s="341">
        <f>Tabla13[[#This Row],[Importe]]-Tabla13[[#This Row],[Pagado]]</f>
        <v>0</v>
      </c>
      <c r="I3323" s="342" t="s">
        <v>15214</v>
      </c>
    </row>
    <row r="3324" spans="1:9" x14ac:dyDescent="0.25">
      <c r="A3324" s="319">
        <v>42974</v>
      </c>
      <c r="B3324" s="320" t="s">
        <v>27201</v>
      </c>
      <c r="C3324" s="321">
        <v>125296</v>
      </c>
      <c r="D3324" s="142" t="s">
        <v>15987</v>
      </c>
      <c r="E3324" s="322">
        <v>4363.2</v>
      </c>
      <c r="F3324" s="329">
        <v>42974</v>
      </c>
      <c r="G3324" s="322">
        <v>4363.2</v>
      </c>
      <c r="H3324" s="324">
        <f>Tabla13[[#This Row],[Importe]]-Tabla13[[#This Row],[Pagado]]</f>
        <v>0</v>
      </c>
      <c r="I3324" s="325" t="s">
        <v>15214</v>
      </c>
    </row>
    <row r="3325" spans="1:9" x14ac:dyDescent="0.25">
      <c r="A3325" s="353">
        <v>42974</v>
      </c>
      <c r="B3325" s="336" t="s">
        <v>27202</v>
      </c>
      <c r="C3325" s="337">
        <v>125297</v>
      </c>
      <c r="D3325" s="338" t="s">
        <v>15340</v>
      </c>
      <c r="E3325" s="339">
        <v>10874.4</v>
      </c>
      <c r="F3325" s="340">
        <v>42975</v>
      </c>
      <c r="G3325" s="339">
        <v>10874.4</v>
      </c>
      <c r="H3325" s="341">
        <f>Tabla13[[#This Row],[Importe]]-Tabla13[[#This Row],[Pagado]]</f>
        <v>0</v>
      </c>
      <c r="I3325" s="342" t="s">
        <v>15214</v>
      </c>
    </row>
    <row r="3326" spans="1:9" ht="15.75" x14ac:dyDescent="0.25">
      <c r="A3326" s="319">
        <v>42974</v>
      </c>
      <c r="B3326" s="320" t="s">
        <v>27203</v>
      </c>
      <c r="C3326" s="321">
        <v>125298</v>
      </c>
      <c r="D3326" s="332" t="s">
        <v>95</v>
      </c>
      <c r="E3326" s="322">
        <v>0</v>
      </c>
      <c r="F3326" s="333" t="s">
        <v>95</v>
      </c>
      <c r="G3326" s="322">
        <v>0</v>
      </c>
      <c r="H3326" s="324">
        <f>Tabla13[[#This Row],[Importe]]-Tabla13[[#This Row],[Pagado]]</f>
        <v>0</v>
      </c>
      <c r="I3326" s="325" t="s">
        <v>95</v>
      </c>
    </row>
    <row r="3327" spans="1:9" x14ac:dyDescent="0.25">
      <c r="A3327" s="353">
        <v>42974</v>
      </c>
      <c r="B3327" s="336" t="s">
        <v>27204</v>
      </c>
      <c r="C3327" s="337">
        <v>125299</v>
      </c>
      <c r="D3327" s="338" t="s">
        <v>15244</v>
      </c>
      <c r="E3327" s="339">
        <v>14853</v>
      </c>
      <c r="F3327" s="340">
        <v>42977</v>
      </c>
      <c r="G3327" s="339">
        <v>14853</v>
      </c>
      <c r="H3327" s="341">
        <f>Tabla13[[#This Row],[Importe]]-Tabla13[[#This Row],[Pagado]]</f>
        <v>0</v>
      </c>
      <c r="I3327" s="342" t="s">
        <v>15214</v>
      </c>
    </row>
    <row r="3328" spans="1:9" x14ac:dyDescent="0.25">
      <c r="A3328" s="319">
        <v>42974</v>
      </c>
      <c r="B3328" s="320" t="s">
        <v>27205</v>
      </c>
      <c r="C3328" s="321">
        <v>125300</v>
      </c>
      <c r="D3328" s="142" t="s">
        <v>15254</v>
      </c>
      <c r="E3328" s="322">
        <v>7684.8</v>
      </c>
      <c r="F3328" s="323">
        <v>42975</v>
      </c>
      <c r="G3328" s="322">
        <v>7684.8</v>
      </c>
      <c r="H3328" s="324">
        <f>Tabla13[[#This Row],[Importe]]-Tabla13[[#This Row],[Pagado]]</f>
        <v>0</v>
      </c>
      <c r="I3328" s="325" t="s">
        <v>15214</v>
      </c>
    </row>
    <row r="3329" spans="1:9" x14ac:dyDescent="0.25">
      <c r="A3329" s="353">
        <v>42974</v>
      </c>
      <c r="B3329" s="336" t="s">
        <v>27206</v>
      </c>
      <c r="C3329" s="337">
        <v>125301</v>
      </c>
      <c r="D3329" s="338" t="s">
        <v>15252</v>
      </c>
      <c r="E3329" s="339">
        <v>4712</v>
      </c>
      <c r="F3329" s="340">
        <v>42977</v>
      </c>
      <c r="G3329" s="339">
        <v>4712</v>
      </c>
      <c r="H3329" s="341">
        <f>Tabla13[[#This Row],[Importe]]-Tabla13[[#This Row],[Pagado]]</f>
        <v>0</v>
      </c>
      <c r="I3329" s="342" t="s">
        <v>15214</v>
      </c>
    </row>
    <row r="3330" spans="1:9" x14ac:dyDescent="0.25">
      <c r="A3330" s="319">
        <v>42974</v>
      </c>
      <c r="B3330" s="320" t="s">
        <v>27207</v>
      </c>
      <c r="C3330" s="321">
        <v>125302</v>
      </c>
      <c r="D3330" s="142" t="s">
        <v>15298</v>
      </c>
      <c r="E3330" s="322">
        <v>381.6</v>
      </c>
      <c r="F3330" s="323">
        <v>42974</v>
      </c>
      <c r="G3330" s="322">
        <v>381.6</v>
      </c>
      <c r="H3330" s="324">
        <f>Tabla13[[#This Row],[Importe]]-Tabla13[[#This Row],[Pagado]]</f>
        <v>0</v>
      </c>
      <c r="I3330" s="325" t="s">
        <v>15214</v>
      </c>
    </row>
    <row r="3331" spans="1:9" x14ac:dyDescent="0.25">
      <c r="A3331" s="353">
        <v>42974</v>
      </c>
      <c r="B3331" s="336" t="s">
        <v>27208</v>
      </c>
      <c r="C3331" s="337">
        <v>125303</v>
      </c>
      <c r="D3331" s="338" t="s">
        <v>16126</v>
      </c>
      <c r="E3331" s="339">
        <v>1243.2</v>
      </c>
      <c r="F3331" s="340">
        <v>42975</v>
      </c>
      <c r="G3331" s="339">
        <v>1243.2</v>
      </c>
      <c r="H3331" s="341">
        <f>Tabla13[[#This Row],[Importe]]-Tabla13[[#This Row],[Pagado]]</f>
        <v>0</v>
      </c>
      <c r="I3331" s="342" t="s">
        <v>15214</v>
      </c>
    </row>
    <row r="3332" spans="1:9" x14ac:dyDescent="0.25">
      <c r="A3332" s="319">
        <v>42974</v>
      </c>
      <c r="B3332" s="320" t="s">
        <v>27209</v>
      </c>
      <c r="C3332" s="321">
        <v>125304</v>
      </c>
      <c r="D3332" s="142" t="s">
        <v>15213</v>
      </c>
      <c r="E3332" s="322">
        <v>4953.8</v>
      </c>
      <c r="F3332" s="323">
        <v>42975</v>
      </c>
      <c r="G3332" s="322">
        <v>4953.8</v>
      </c>
      <c r="H3332" s="324">
        <f>Tabla13[[#This Row],[Importe]]-Tabla13[[#This Row],[Pagado]]</f>
        <v>0</v>
      </c>
      <c r="I3332" s="325" t="s">
        <v>15214</v>
      </c>
    </row>
    <row r="3333" spans="1:9" x14ac:dyDescent="0.25">
      <c r="A3333" s="353">
        <v>42974</v>
      </c>
      <c r="B3333" s="336" t="s">
        <v>27210</v>
      </c>
      <c r="C3333" s="337">
        <v>125305</v>
      </c>
      <c r="D3333" s="338" t="s">
        <v>15228</v>
      </c>
      <c r="E3333" s="339">
        <v>7645</v>
      </c>
      <c r="F3333" s="340">
        <v>42974</v>
      </c>
      <c r="G3333" s="339">
        <v>7645</v>
      </c>
      <c r="H3333" s="341">
        <f>Tabla13[[#This Row],[Importe]]-Tabla13[[#This Row],[Pagado]]</f>
        <v>0</v>
      </c>
      <c r="I3333" s="342" t="s">
        <v>15214</v>
      </c>
    </row>
    <row r="3334" spans="1:9" x14ac:dyDescent="0.25">
      <c r="A3334" s="319">
        <v>42974</v>
      </c>
      <c r="B3334" s="320" t="s">
        <v>27211</v>
      </c>
      <c r="C3334" s="321">
        <v>125306</v>
      </c>
      <c r="D3334" s="142" t="s">
        <v>15282</v>
      </c>
      <c r="E3334" s="322">
        <v>3221.4</v>
      </c>
      <c r="F3334" s="329">
        <v>42974</v>
      </c>
      <c r="G3334" s="322">
        <v>3221.4</v>
      </c>
      <c r="H3334" s="324">
        <f>Tabla13[[#This Row],[Importe]]-Tabla13[[#This Row],[Pagado]]</f>
        <v>0</v>
      </c>
      <c r="I3334" s="325" t="s">
        <v>15214</v>
      </c>
    </row>
    <row r="3335" spans="1:9" x14ac:dyDescent="0.25">
      <c r="A3335" s="353">
        <v>42974</v>
      </c>
      <c r="B3335" s="336" t="s">
        <v>27212</v>
      </c>
      <c r="C3335" s="337">
        <v>125307</v>
      </c>
      <c r="D3335" s="338" t="s">
        <v>19768</v>
      </c>
      <c r="E3335" s="339">
        <v>1410</v>
      </c>
      <c r="F3335" s="340">
        <v>42974</v>
      </c>
      <c r="G3335" s="339">
        <v>1410</v>
      </c>
      <c r="H3335" s="341">
        <f>Tabla13[[#This Row],[Importe]]-Tabla13[[#This Row],[Pagado]]</f>
        <v>0</v>
      </c>
      <c r="I3335" s="342" t="s">
        <v>15214</v>
      </c>
    </row>
    <row r="3336" spans="1:9" x14ac:dyDescent="0.25">
      <c r="A3336" s="319">
        <v>42974</v>
      </c>
      <c r="B3336" s="320" t="s">
        <v>27213</v>
      </c>
      <c r="C3336" s="321">
        <v>125308</v>
      </c>
      <c r="D3336" s="142" t="s">
        <v>15315</v>
      </c>
      <c r="E3336" s="322">
        <v>420.2</v>
      </c>
      <c r="F3336" s="329">
        <v>42974</v>
      </c>
      <c r="G3336" s="322">
        <v>420.2</v>
      </c>
      <c r="H3336" s="324">
        <f>Tabla13[[#This Row],[Importe]]-Tabla13[[#This Row],[Pagado]]</f>
        <v>0</v>
      </c>
      <c r="I3336" s="325" t="s">
        <v>15214</v>
      </c>
    </row>
    <row r="3337" spans="1:9" ht="15.75" x14ac:dyDescent="0.25">
      <c r="A3337" s="353">
        <v>42974</v>
      </c>
      <c r="B3337" s="326" t="s">
        <v>27214</v>
      </c>
      <c r="C3337" s="327">
        <v>125309</v>
      </c>
      <c r="D3337" s="345" t="s">
        <v>95</v>
      </c>
      <c r="E3337" s="328">
        <v>0</v>
      </c>
      <c r="F3337" s="346" t="s">
        <v>95</v>
      </c>
      <c r="G3337" s="328">
        <v>0</v>
      </c>
      <c r="H3337" s="330">
        <f>Tabla13[[#This Row],[Importe]]-Tabla13[[#This Row],[Pagado]]</f>
        <v>0</v>
      </c>
      <c r="I3337" s="331" t="s">
        <v>95</v>
      </c>
    </row>
    <row r="3338" spans="1:9" x14ac:dyDescent="0.25">
      <c r="A3338" s="319">
        <v>42974</v>
      </c>
      <c r="B3338" s="326" t="s">
        <v>27215</v>
      </c>
      <c r="C3338" s="327">
        <v>125310</v>
      </c>
      <c r="D3338" s="136" t="s">
        <v>15385</v>
      </c>
      <c r="E3338" s="328">
        <v>4952.3999999999996</v>
      </c>
      <c r="F3338" s="329">
        <v>42975</v>
      </c>
      <c r="G3338" s="328">
        <v>4952.3999999999996</v>
      </c>
      <c r="H3338" s="330">
        <f>Tabla13[[#This Row],[Importe]]-Tabla13[[#This Row],[Pagado]]</f>
        <v>0</v>
      </c>
      <c r="I3338" s="331" t="s">
        <v>15214</v>
      </c>
    </row>
    <row r="3339" spans="1:9" x14ac:dyDescent="0.25">
      <c r="A3339" s="353">
        <v>42974</v>
      </c>
      <c r="B3339" s="320" t="s">
        <v>27216</v>
      </c>
      <c r="C3339" s="321">
        <v>125311</v>
      </c>
      <c r="D3339" s="142" t="s">
        <v>15391</v>
      </c>
      <c r="E3339" s="322">
        <v>7963.2</v>
      </c>
      <c r="F3339" s="323">
        <v>42975</v>
      </c>
      <c r="G3339" s="322">
        <v>7963.2</v>
      </c>
      <c r="H3339" s="324">
        <f>Tabla13[[#This Row],[Importe]]-Tabla13[[#This Row],[Pagado]]</f>
        <v>0</v>
      </c>
      <c r="I3339" s="325" t="s">
        <v>15214</v>
      </c>
    </row>
    <row r="3340" spans="1:9" x14ac:dyDescent="0.25">
      <c r="A3340" s="319">
        <v>42974</v>
      </c>
      <c r="B3340" s="326" t="s">
        <v>27217</v>
      </c>
      <c r="C3340" s="327">
        <v>125312</v>
      </c>
      <c r="D3340" s="136" t="s">
        <v>15725</v>
      </c>
      <c r="E3340" s="328">
        <v>5911.2</v>
      </c>
      <c r="F3340" s="361">
        <v>42981</v>
      </c>
      <c r="G3340" s="362">
        <v>5911.2</v>
      </c>
      <c r="H3340" s="330">
        <f>Tabla13[[#This Row],[Importe]]-Tabla13[[#This Row],[Pagado]]</f>
        <v>0</v>
      </c>
      <c r="I3340" s="331" t="s">
        <v>15214</v>
      </c>
    </row>
    <row r="3341" spans="1:9" ht="15.75" x14ac:dyDescent="0.25">
      <c r="A3341" s="353">
        <v>42974</v>
      </c>
      <c r="B3341" s="320" t="s">
        <v>27218</v>
      </c>
      <c r="C3341" s="321">
        <v>125313</v>
      </c>
      <c r="D3341" s="332" t="s">
        <v>95</v>
      </c>
      <c r="E3341" s="322">
        <v>0</v>
      </c>
      <c r="F3341" s="333" t="s">
        <v>95</v>
      </c>
      <c r="G3341" s="322">
        <v>0</v>
      </c>
      <c r="H3341" s="324">
        <f>Tabla13[[#This Row],[Importe]]-Tabla13[[#This Row],[Pagado]]</f>
        <v>0</v>
      </c>
      <c r="I3341" s="325" t="s">
        <v>95</v>
      </c>
    </row>
    <row r="3342" spans="1:9" x14ac:dyDescent="0.25">
      <c r="A3342" s="319">
        <v>42974</v>
      </c>
      <c r="B3342" s="326" t="s">
        <v>27219</v>
      </c>
      <c r="C3342" s="327">
        <v>125314</v>
      </c>
      <c r="D3342" s="136" t="s">
        <v>15868</v>
      </c>
      <c r="E3342" s="328">
        <v>10978.16</v>
      </c>
      <c r="F3342" s="329">
        <v>42975</v>
      </c>
      <c r="G3342" s="328">
        <v>10978.16</v>
      </c>
      <c r="H3342" s="330">
        <f>Tabla13[[#This Row],[Importe]]-Tabla13[[#This Row],[Pagado]]</f>
        <v>0</v>
      </c>
      <c r="I3342" s="331" t="s">
        <v>15214</v>
      </c>
    </row>
    <row r="3343" spans="1:9" x14ac:dyDescent="0.25">
      <c r="A3343" s="353">
        <v>42974</v>
      </c>
      <c r="B3343" s="320" t="s">
        <v>27220</v>
      </c>
      <c r="C3343" s="321">
        <v>125315</v>
      </c>
      <c r="D3343" s="142" t="s">
        <v>15315</v>
      </c>
      <c r="E3343" s="322">
        <v>1677.9</v>
      </c>
      <c r="F3343" s="329">
        <v>42974</v>
      </c>
      <c r="G3343" s="322">
        <v>1677.9</v>
      </c>
      <c r="H3343" s="324">
        <f>Tabla13[[#This Row],[Importe]]-Tabla13[[#This Row],[Pagado]]</f>
        <v>0</v>
      </c>
      <c r="I3343" s="325" t="s">
        <v>15214</v>
      </c>
    </row>
    <row r="3344" spans="1:9" x14ac:dyDescent="0.25">
      <c r="A3344" s="319">
        <v>42974</v>
      </c>
      <c r="B3344" s="326" t="s">
        <v>27221</v>
      </c>
      <c r="C3344" s="327">
        <v>125316</v>
      </c>
      <c r="D3344" s="136" t="s">
        <v>15315</v>
      </c>
      <c r="E3344" s="328">
        <v>3003.9</v>
      </c>
      <c r="F3344" s="329">
        <v>42974</v>
      </c>
      <c r="G3344" s="328">
        <v>3003.9</v>
      </c>
      <c r="H3344" s="330">
        <f>Tabla13[[#This Row],[Importe]]-Tabla13[[#This Row],[Pagado]]</f>
        <v>0</v>
      </c>
      <c r="I3344" s="331" t="s">
        <v>15214</v>
      </c>
    </row>
    <row r="3345" spans="1:9" x14ac:dyDescent="0.25">
      <c r="A3345" s="353">
        <v>42974</v>
      </c>
      <c r="B3345" s="320" t="s">
        <v>27222</v>
      </c>
      <c r="C3345" s="321">
        <v>125317</v>
      </c>
      <c r="D3345" s="142" t="s">
        <v>15644</v>
      </c>
      <c r="E3345" s="322">
        <v>3260</v>
      </c>
      <c r="F3345" s="323">
        <v>42975</v>
      </c>
      <c r="G3345" s="322">
        <v>3260</v>
      </c>
      <c r="H3345" s="324">
        <f>Tabla13[[#This Row],[Importe]]-Tabla13[[#This Row],[Pagado]]</f>
        <v>0</v>
      </c>
      <c r="I3345" s="325" t="s">
        <v>15214</v>
      </c>
    </row>
    <row r="3346" spans="1:9" x14ac:dyDescent="0.25">
      <c r="A3346" s="319">
        <v>42974</v>
      </c>
      <c r="B3346" s="326" t="s">
        <v>27223</v>
      </c>
      <c r="C3346" s="327">
        <v>125318</v>
      </c>
      <c r="D3346" s="136" t="s">
        <v>27224</v>
      </c>
      <c r="E3346" s="328">
        <v>7554.4</v>
      </c>
      <c r="F3346" s="329">
        <v>42974</v>
      </c>
      <c r="G3346" s="328">
        <v>7554.4</v>
      </c>
      <c r="H3346" s="330">
        <f>Tabla13[[#This Row],[Importe]]-Tabla13[[#This Row],[Pagado]]</f>
        <v>0</v>
      </c>
      <c r="I3346" s="331" t="s">
        <v>15214</v>
      </c>
    </row>
    <row r="3347" spans="1:9" x14ac:dyDescent="0.25">
      <c r="A3347" s="353">
        <v>42974</v>
      </c>
      <c r="B3347" s="320" t="s">
        <v>27225</v>
      </c>
      <c r="C3347" s="321">
        <v>125319</v>
      </c>
      <c r="D3347" s="142" t="s">
        <v>15642</v>
      </c>
      <c r="E3347" s="322">
        <v>4132.8</v>
      </c>
      <c r="F3347" s="323">
        <v>42975</v>
      </c>
      <c r="G3347" s="322">
        <v>4132.8</v>
      </c>
      <c r="H3347" s="324">
        <f>Tabla13[[#This Row],[Importe]]-Tabla13[[#This Row],[Pagado]]</f>
        <v>0</v>
      </c>
      <c r="I3347" s="325" t="s">
        <v>15214</v>
      </c>
    </row>
    <row r="3348" spans="1:9" x14ac:dyDescent="0.25">
      <c r="A3348" s="319">
        <v>42975</v>
      </c>
      <c r="B3348" s="320" t="s">
        <v>27226</v>
      </c>
      <c r="C3348" s="321">
        <v>125320</v>
      </c>
      <c r="D3348" s="142" t="s">
        <v>21386</v>
      </c>
      <c r="E3348" s="322">
        <v>10262.299999999999</v>
      </c>
      <c r="F3348" s="323">
        <v>42976</v>
      </c>
      <c r="G3348" s="322">
        <v>10262.299999999999</v>
      </c>
      <c r="H3348" s="324">
        <f>Tabla13[[#This Row],[Importe]]-Tabla13[[#This Row],[Pagado]]</f>
        <v>0</v>
      </c>
      <c r="I3348" s="325" t="s">
        <v>15214</v>
      </c>
    </row>
    <row r="3349" spans="1:9" x14ac:dyDescent="0.25">
      <c r="A3349" s="353">
        <v>42975</v>
      </c>
      <c r="B3349" s="326" t="s">
        <v>27227</v>
      </c>
      <c r="C3349" s="327">
        <v>125321</v>
      </c>
      <c r="D3349" s="136" t="s">
        <v>15213</v>
      </c>
      <c r="E3349" s="328">
        <v>41206.199999999997</v>
      </c>
      <c r="F3349" s="361">
        <v>42979</v>
      </c>
      <c r="G3349" s="362">
        <v>41206.199999999997</v>
      </c>
      <c r="H3349" s="330">
        <f>Tabla13[[#This Row],[Importe]]-Tabla13[[#This Row],[Pagado]]</f>
        <v>0</v>
      </c>
      <c r="I3349" s="331" t="s">
        <v>15214</v>
      </c>
    </row>
    <row r="3350" spans="1:9" x14ac:dyDescent="0.25">
      <c r="A3350" s="319">
        <v>42975</v>
      </c>
      <c r="B3350" s="320" t="s">
        <v>27228</v>
      </c>
      <c r="C3350" s="321">
        <v>125322</v>
      </c>
      <c r="D3350" s="142" t="s">
        <v>15448</v>
      </c>
      <c r="E3350" s="322">
        <v>262553.3</v>
      </c>
      <c r="F3350" s="323">
        <v>42976</v>
      </c>
      <c r="G3350" s="322">
        <v>262553.3</v>
      </c>
      <c r="H3350" s="324">
        <f>Tabla13[[#This Row],[Importe]]-Tabla13[[#This Row],[Pagado]]</f>
        <v>0</v>
      </c>
      <c r="I3350" s="325" t="s">
        <v>15214</v>
      </c>
    </row>
    <row r="3351" spans="1:9" x14ac:dyDescent="0.25">
      <c r="A3351" s="353">
        <v>42975</v>
      </c>
      <c r="B3351" s="326" t="s">
        <v>27229</v>
      </c>
      <c r="C3351" s="327">
        <v>125323</v>
      </c>
      <c r="D3351" s="136" t="s">
        <v>15330</v>
      </c>
      <c r="E3351" s="328">
        <v>142.5</v>
      </c>
      <c r="F3351" s="329">
        <v>42975</v>
      </c>
      <c r="G3351" s="328">
        <v>142.5</v>
      </c>
      <c r="H3351" s="330">
        <f>Tabla13[[#This Row],[Importe]]-Tabla13[[#This Row],[Pagado]]</f>
        <v>0</v>
      </c>
      <c r="I3351" s="331" t="s">
        <v>15214</v>
      </c>
    </row>
    <row r="3352" spans="1:9" x14ac:dyDescent="0.25">
      <c r="A3352" s="319">
        <v>42975</v>
      </c>
      <c r="B3352" s="320" t="s">
        <v>27230</v>
      </c>
      <c r="C3352" s="321">
        <v>125324</v>
      </c>
      <c r="D3352" s="142" t="s">
        <v>15234</v>
      </c>
      <c r="E3352" s="322">
        <v>3895</v>
      </c>
      <c r="F3352" s="323">
        <v>42977</v>
      </c>
      <c r="G3352" s="322">
        <v>3895</v>
      </c>
      <c r="H3352" s="324">
        <f>Tabla13[[#This Row],[Importe]]-Tabla13[[#This Row],[Pagado]]</f>
        <v>0</v>
      </c>
      <c r="I3352" s="325" t="s">
        <v>15214</v>
      </c>
    </row>
    <row r="3353" spans="1:9" x14ac:dyDescent="0.25">
      <c r="A3353" s="353">
        <v>42975</v>
      </c>
      <c r="B3353" s="326" t="s">
        <v>27231</v>
      </c>
      <c r="C3353" s="327">
        <v>125325</v>
      </c>
      <c r="D3353" s="136" t="s">
        <v>15230</v>
      </c>
      <c r="E3353" s="328">
        <v>6854.4</v>
      </c>
      <c r="F3353" s="329">
        <v>42977</v>
      </c>
      <c r="G3353" s="328">
        <v>6854.4</v>
      </c>
      <c r="H3353" s="330">
        <f>Tabla13[[#This Row],[Importe]]-Tabla13[[#This Row],[Pagado]]</f>
        <v>0</v>
      </c>
      <c r="I3353" s="331" t="s">
        <v>15214</v>
      </c>
    </row>
    <row r="3354" spans="1:9" x14ac:dyDescent="0.25">
      <c r="A3354" s="319">
        <v>42975</v>
      </c>
      <c r="B3354" s="320" t="s">
        <v>27232</v>
      </c>
      <c r="C3354" s="321">
        <v>125326</v>
      </c>
      <c r="D3354" s="142" t="s">
        <v>15272</v>
      </c>
      <c r="E3354" s="322">
        <v>22967.8</v>
      </c>
      <c r="F3354" s="323">
        <v>42975</v>
      </c>
      <c r="G3354" s="322">
        <v>22967.8</v>
      </c>
      <c r="H3354" s="324">
        <f>Tabla13[[#This Row],[Importe]]-Tabla13[[#This Row],[Pagado]]</f>
        <v>0</v>
      </c>
      <c r="I3354" s="325" t="s">
        <v>15214</v>
      </c>
    </row>
    <row r="3355" spans="1:9" x14ac:dyDescent="0.25">
      <c r="A3355" s="353">
        <v>42975</v>
      </c>
      <c r="B3355" s="326" t="s">
        <v>27233</v>
      </c>
      <c r="C3355" s="327">
        <v>125327</v>
      </c>
      <c r="D3355" s="136" t="s">
        <v>15232</v>
      </c>
      <c r="E3355" s="328">
        <v>6728.4</v>
      </c>
      <c r="F3355" s="329">
        <v>42978</v>
      </c>
      <c r="G3355" s="328">
        <v>6728.4</v>
      </c>
      <c r="H3355" s="330">
        <f>Tabla13[[#This Row],[Importe]]-Tabla13[[#This Row],[Pagado]]</f>
        <v>0</v>
      </c>
      <c r="I3355" s="331" t="s">
        <v>15214</v>
      </c>
    </row>
    <row r="3356" spans="1:9" ht="30" x14ac:dyDescent="0.25">
      <c r="A3356" s="319">
        <v>42975</v>
      </c>
      <c r="B3356" s="320" t="s">
        <v>27234</v>
      </c>
      <c r="C3356" s="321">
        <v>125328</v>
      </c>
      <c r="D3356" s="142" t="s">
        <v>15258</v>
      </c>
      <c r="E3356" s="322">
        <v>14046.6</v>
      </c>
      <c r="F3356" s="363" t="s">
        <v>27674</v>
      </c>
      <c r="G3356" s="364">
        <f>5000+9046.6</f>
        <v>14046.6</v>
      </c>
      <c r="H3356" s="365">
        <f>Tabla13[[#This Row],[Importe]]-Tabla13[[#This Row],[Pagado]]</f>
        <v>0</v>
      </c>
      <c r="I3356" s="325" t="s">
        <v>15214</v>
      </c>
    </row>
    <row r="3357" spans="1:9" x14ac:dyDescent="0.25">
      <c r="A3357" s="353">
        <v>42975</v>
      </c>
      <c r="B3357" s="326" t="s">
        <v>27235</v>
      </c>
      <c r="C3357" s="327">
        <v>125329</v>
      </c>
      <c r="D3357" s="136" t="s">
        <v>15236</v>
      </c>
      <c r="E3357" s="328">
        <v>3526</v>
      </c>
      <c r="F3357" s="329">
        <v>42977</v>
      </c>
      <c r="G3357" s="328">
        <v>3526</v>
      </c>
      <c r="H3357" s="330">
        <f>Tabla13[[#This Row],[Importe]]-Tabla13[[#This Row],[Pagado]]</f>
        <v>0</v>
      </c>
      <c r="I3357" s="331" t="s">
        <v>15214</v>
      </c>
    </row>
    <row r="3358" spans="1:9" x14ac:dyDescent="0.25">
      <c r="A3358" s="319">
        <v>42975</v>
      </c>
      <c r="B3358" s="326" t="s">
        <v>27236</v>
      </c>
      <c r="C3358" s="327">
        <v>125330</v>
      </c>
      <c r="D3358" s="136" t="s">
        <v>15665</v>
      </c>
      <c r="E3358" s="328">
        <v>694.2</v>
      </c>
      <c r="F3358" s="329">
        <v>37131</v>
      </c>
      <c r="G3358" s="328">
        <v>694.2</v>
      </c>
      <c r="H3358" s="330">
        <f>Tabla13[[#This Row],[Importe]]-Tabla13[[#This Row],[Pagado]]</f>
        <v>0</v>
      </c>
      <c r="I3358" s="331" t="s">
        <v>15214</v>
      </c>
    </row>
    <row r="3359" spans="1:9" x14ac:dyDescent="0.25">
      <c r="A3359" s="319">
        <v>42975</v>
      </c>
      <c r="B3359" s="320" t="s">
        <v>27237</v>
      </c>
      <c r="C3359" s="321">
        <v>125331</v>
      </c>
      <c r="D3359" s="142" t="s">
        <v>15553</v>
      </c>
      <c r="E3359" s="322">
        <v>31746.05</v>
      </c>
      <c r="F3359" s="323">
        <v>42976</v>
      </c>
      <c r="G3359" s="322">
        <v>31746.05</v>
      </c>
      <c r="H3359" s="324">
        <f>Tabla13[[#This Row],[Importe]]-Tabla13[[#This Row],[Pagado]]</f>
        <v>0</v>
      </c>
      <c r="I3359" s="325" t="s">
        <v>15214</v>
      </c>
    </row>
    <row r="3360" spans="1:9" x14ac:dyDescent="0.25">
      <c r="A3360" s="353">
        <v>42975</v>
      </c>
      <c r="B3360" s="326" t="s">
        <v>27238</v>
      </c>
      <c r="C3360" s="327">
        <v>125332</v>
      </c>
      <c r="D3360" s="136" t="s">
        <v>15577</v>
      </c>
      <c r="E3360" s="328">
        <v>1274.3</v>
      </c>
      <c r="F3360" s="329" t="s">
        <v>27239</v>
      </c>
      <c r="G3360" s="328">
        <v>1274.3</v>
      </c>
      <c r="H3360" s="330">
        <f>Tabla13[[#This Row],[Importe]]-Tabla13[[#This Row],[Pagado]]</f>
        <v>0</v>
      </c>
      <c r="I3360" s="331" t="s">
        <v>15214</v>
      </c>
    </row>
    <row r="3361" spans="1:9" x14ac:dyDescent="0.25">
      <c r="A3361" s="319">
        <v>42975</v>
      </c>
      <c r="B3361" s="320" t="s">
        <v>27240</v>
      </c>
      <c r="C3361" s="321">
        <v>125333</v>
      </c>
      <c r="D3361" s="142" t="s">
        <v>18544</v>
      </c>
      <c r="E3361" s="322">
        <v>8044.2</v>
      </c>
      <c r="F3361" s="323">
        <v>42976</v>
      </c>
      <c r="G3361" s="322">
        <v>8044.2</v>
      </c>
      <c r="H3361" s="324">
        <f>Tabla13[[#This Row],[Importe]]-Tabla13[[#This Row],[Pagado]]</f>
        <v>0</v>
      </c>
      <c r="I3361" s="325" t="s">
        <v>15214</v>
      </c>
    </row>
    <row r="3362" spans="1:9" x14ac:dyDescent="0.25">
      <c r="A3362" s="353">
        <v>42975</v>
      </c>
      <c r="B3362" s="326" t="s">
        <v>27241</v>
      </c>
      <c r="C3362" s="327">
        <v>125334</v>
      </c>
      <c r="D3362" s="136" t="s">
        <v>15340</v>
      </c>
      <c r="E3362" s="328">
        <v>3200</v>
      </c>
      <c r="F3362" s="329">
        <v>42976</v>
      </c>
      <c r="G3362" s="328">
        <v>3200</v>
      </c>
      <c r="H3362" s="330">
        <f>Tabla13[[#This Row],[Importe]]-Tabla13[[#This Row],[Pagado]]</f>
        <v>0</v>
      </c>
      <c r="I3362" s="331" t="s">
        <v>15214</v>
      </c>
    </row>
    <row r="3363" spans="1:9" x14ac:dyDescent="0.25">
      <c r="A3363" s="319">
        <v>42975</v>
      </c>
      <c r="B3363" s="320" t="s">
        <v>27242</v>
      </c>
      <c r="C3363" s="321">
        <v>125335</v>
      </c>
      <c r="D3363" s="142" t="s">
        <v>15240</v>
      </c>
      <c r="E3363" s="322">
        <v>3238.9</v>
      </c>
      <c r="F3363" s="323">
        <v>42976</v>
      </c>
      <c r="G3363" s="322">
        <v>3238.9</v>
      </c>
      <c r="H3363" s="324">
        <f>Tabla13[[#This Row],[Importe]]-Tabla13[[#This Row],[Pagado]]</f>
        <v>0</v>
      </c>
      <c r="I3363" s="325" t="s">
        <v>15214</v>
      </c>
    </row>
    <row r="3364" spans="1:9" x14ac:dyDescent="0.25">
      <c r="A3364" s="353">
        <v>42975</v>
      </c>
      <c r="B3364" s="326" t="s">
        <v>27243</v>
      </c>
      <c r="C3364" s="327">
        <v>125336</v>
      </c>
      <c r="D3364" s="136" t="s">
        <v>15668</v>
      </c>
      <c r="E3364" s="328">
        <v>14091.7</v>
      </c>
      <c r="F3364" s="329">
        <v>42977</v>
      </c>
      <c r="G3364" s="328">
        <v>14091.7</v>
      </c>
      <c r="H3364" s="330">
        <f>Tabla13[[#This Row],[Importe]]-Tabla13[[#This Row],[Pagado]]</f>
        <v>0</v>
      </c>
      <c r="I3364" s="331" t="s">
        <v>15214</v>
      </c>
    </row>
    <row r="3365" spans="1:9" x14ac:dyDescent="0.25">
      <c r="A3365" s="319">
        <v>42975</v>
      </c>
      <c r="B3365" s="320" t="s">
        <v>27244</v>
      </c>
      <c r="C3365" s="321">
        <v>125337</v>
      </c>
      <c r="D3365" s="142" t="s">
        <v>15240</v>
      </c>
      <c r="E3365" s="322">
        <v>508.8</v>
      </c>
      <c r="F3365" s="323">
        <v>42976</v>
      </c>
      <c r="G3365" s="322">
        <v>508.8</v>
      </c>
      <c r="H3365" s="324">
        <f>Tabla13[[#This Row],[Importe]]-Tabla13[[#This Row],[Pagado]]</f>
        <v>0</v>
      </c>
      <c r="I3365" s="325" t="s">
        <v>15214</v>
      </c>
    </row>
    <row r="3366" spans="1:9" ht="15.75" x14ac:dyDescent="0.25">
      <c r="A3366" s="353">
        <v>42975</v>
      </c>
      <c r="B3366" s="326" t="s">
        <v>27245</v>
      </c>
      <c r="C3366" s="327">
        <v>125338</v>
      </c>
      <c r="D3366" s="345" t="s">
        <v>95</v>
      </c>
      <c r="E3366" s="328">
        <v>0</v>
      </c>
      <c r="F3366" s="346" t="s">
        <v>95</v>
      </c>
      <c r="G3366" s="328">
        <v>0</v>
      </c>
      <c r="H3366" s="330">
        <f>Tabla13[[#This Row],[Importe]]-Tabla13[[#This Row],[Pagado]]</f>
        <v>0</v>
      </c>
      <c r="I3366" s="331" t="s">
        <v>95</v>
      </c>
    </row>
    <row r="3367" spans="1:9" x14ac:dyDescent="0.25">
      <c r="A3367" s="319">
        <v>42975</v>
      </c>
      <c r="B3367" s="320" t="s">
        <v>27246</v>
      </c>
      <c r="C3367" s="321">
        <v>125339</v>
      </c>
      <c r="D3367" s="142" t="s">
        <v>5575</v>
      </c>
      <c r="E3367" s="322">
        <v>7757.2</v>
      </c>
      <c r="F3367" s="323">
        <v>42976</v>
      </c>
      <c r="G3367" s="322">
        <v>7757.2</v>
      </c>
      <c r="H3367" s="324">
        <f>Tabla13[[#This Row],[Importe]]-Tabla13[[#This Row],[Pagado]]</f>
        <v>0</v>
      </c>
      <c r="I3367" s="325" t="s">
        <v>15214</v>
      </c>
    </row>
    <row r="3368" spans="1:9" x14ac:dyDescent="0.25">
      <c r="A3368" s="353">
        <v>42975</v>
      </c>
      <c r="B3368" s="320" t="s">
        <v>27247</v>
      </c>
      <c r="C3368" s="321">
        <v>125340</v>
      </c>
      <c r="D3368" s="142" t="s">
        <v>15256</v>
      </c>
      <c r="E3368" s="322">
        <v>5342.4</v>
      </c>
      <c r="F3368" s="323">
        <v>42978</v>
      </c>
      <c r="G3368" s="322">
        <v>5342.4</v>
      </c>
      <c r="H3368" s="324">
        <f>Tabla13[[#This Row],[Importe]]-Tabla13[[#This Row],[Pagado]]</f>
        <v>0</v>
      </c>
      <c r="I3368" s="325" t="s">
        <v>15214</v>
      </c>
    </row>
    <row r="3369" spans="1:9" x14ac:dyDescent="0.25">
      <c r="A3369" s="319">
        <v>42975</v>
      </c>
      <c r="B3369" s="326" t="s">
        <v>27248</v>
      </c>
      <c r="C3369" s="327">
        <v>125341</v>
      </c>
      <c r="D3369" s="136" t="s">
        <v>15380</v>
      </c>
      <c r="E3369" s="328">
        <v>25595.1</v>
      </c>
      <c r="F3369" s="361">
        <v>42986</v>
      </c>
      <c r="G3369" s="362">
        <v>25595.1</v>
      </c>
      <c r="H3369" s="330">
        <f>Tabla13[[#This Row],[Importe]]-Tabla13[[#This Row],[Pagado]]</f>
        <v>0</v>
      </c>
      <c r="I3369" s="331" t="s">
        <v>15214</v>
      </c>
    </row>
    <row r="3370" spans="1:9" x14ac:dyDescent="0.25">
      <c r="A3370" s="319">
        <v>42975</v>
      </c>
      <c r="B3370" s="320" t="s">
        <v>27249</v>
      </c>
      <c r="C3370" s="321">
        <v>125342</v>
      </c>
      <c r="D3370" s="142" t="s">
        <v>15226</v>
      </c>
      <c r="E3370" s="322">
        <v>3278.1</v>
      </c>
      <c r="F3370" s="323">
        <v>42977</v>
      </c>
      <c r="G3370" s="322">
        <v>3278.1</v>
      </c>
      <c r="H3370" s="324">
        <f>Tabla13[[#This Row],[Importe]]-Tabla13[[#This Row],[Pagado]]</f>
        <v>0</v>
      </c>
      <c r="I3370" s="325" t="s">
        <v>15214</v>
      </c>
    </row>
    <row r="3371" spans="1:9" x14ac:dyDescent="0.25">
      <c r="A3371" s="353">
        <v>42975</v>
      </c>
      <c r="B3371" s="326" t="s">
        <v>27250</v>
      </c>
      <c r="C3371" s="327">
        <v>125343</v>
      </c>
      <c r="D3371" s="136" t="s">
        <v>15369</v>
      </c>
      <c r="E3371" s="328">
        <v>31877.9</v>
      </c>
      <c r="F3371" s="361">
        <v>42986</v>
      </c>
      <c r="G3371" s="362">
        <v>31877.9</v>
      </c>
      <c r="H3371" s="330">
        <f>Tabla13[[#This Row],[Importe]]-Tabla13[[#This Row],[Pagado]]</f>
        <v>0</v>
      </c>
      <c r="I3371" s="331" t="s">
        <v>15214</v>
      </c>
    </row>
    <row r="3372" spans="1:9" ht="15.75" x14ac:dyDescent="0.25">
      <c r="A3372" s="319">
        <v>42975</v>
      </c>
      <c r="B3372" s="320" t="s">
        <v>27251</v>
      </c>
      <c r="C3372" s="321">
        <v>125344</v>
      </c>
      <c r="D3372" s="332" t="s">
        <v>95</v>
      </c>
      <c r="E3372" s="322">
        <v>0</v>
      </c>
      <c r="F3372" s="333" t="s">
        <v>95</v>
      </c>
      <c r="G3372" s="322">
        <v>0</v>
      </c>
      <c r="H3372" s="324">
        <f>Tabla13[[#This Row],[Importe]]-Tabla13[[#This Row],[Pagado]]</f>
        <v>0</v>
      </c>
      <c r="I3372" s="344" t="s">
        <v>23794</v>
      </c>
    </row>
    <row r="3373" spans="1:9" x14ac:dyDescent="0.25">
      <c r="A3373" s="353">
        <v>42975</v>
      </c>
      <c r="B3373" s="326" t="s">
        <v>27252</v>
      </c>
      <c r="C3373" s="327">
        <v>125345</v>
      </c>
      <c r="D3373" s="136" t="s">
        <v>15263</v>
      </c>
      <c r="E3373" s="328">
        <v>5868</v>
      </c>
      <c r="F3373" s="329">
        <v>42975</v>
      </c>
      <c r="G3373" s="328">
        <v>5868</v>
      </c>
      <c r="H3373" s="330">
        <f>Tabla13[[#This Row],[Importe]]-Tabla13[[#This Row],[Pagado]]</f>
        <v>0</v>
      </c>
      <c r="I3373" s="331" t="s">
        <v>15214</v>
      </c>
    </row>
    <row r="3374" spans="1:9" x14ac:dyDescent="0.25">
      <c r="A3374" s="319">
        <v>42975</v>
      </c>
      <c r="B3374" s="320" t="s">
        <v>27253</v>
      </c>
      <c r="C3374" s="321">
        <v>125346</v>
      </c>
      <c r="D3374" s="142" t="s">
        <v>17462</v>
      </c>
      <c r="E3374" s="322">
        <v>5339.7</v>
      </c>
      <c r="F3374" s="329">
        <v>42975</v>
      </c>
      <c r="G3374" s="322">
        <v>5339.7</v>
      </c>
      <c r="H3374" s="324">
        <f>Tabla13[[#This Row],[Importe]]-Tabla13[[#This Row],[Pagado]]</f>
        <v>0</v>
      </c>
      <c r="I3374" s="325" t="s">
        <v>15214</v>
      </c>
    </row>
    <row r="3375" spans="1:9" x14ac:dyDescent="0.25">
      <c r="A3375" s="353">
        <v>42975</v>
      </c>
      <c r="B3375" s="326" t="s">
        <v>27254</v>
      </c>
      <c r="C3375" s="327">
        <v>125347</v>
      </c>
      <c r="D3375" s="136" t="s">
        <v>15220</v>
      </c>
      <c r="E3375" s="328">
        <v>2115</v>
      </c>
      <c r="F3375" s="329">
        <v>42976</v>
      </c>
      <c r="G3375" s="328">
        <v>2115</v>
      </c>
      <c r="H3375" s="330">
        <f>Tabla13[[#This Row],[Importe]]-Tabla13[[#This Row],[Pagado]]</f>
        <v>0</v>
      </c>
      <c r="I3375" s="331" t="s">
        <v>15214</v>
      </c>
    </row>
    <row r="3376" spans="1:9" x14ac:dyDescent="0.25">
      <c r="A3376" s="319">
        <v>42975</v>
      </c>
      <c r="B3376" s="320" t="s">
        <v>27255</v>
      </c>
      <c r="C3376" s="321">
        <v>125348</v>
      </c>
      <c r="D3376" s="142" t="s">
        <v>17235</v>
      </c>
      <c r="E3376" s="322">
        <v>1175</v>
      </c>
      <c r="F3376" s="323">
        <v>42976</v>
      </c>
      <c r="G3376" s="322">
        <v>1175</v>
      </c>
      <c r="H3376" s="324">
        <f>Tabla13[[#This Row],[Importe]]-Tabla13[[#This Row],[Pagado]]</f>
        <v>0</v>
      </c>
      <c r="I3376" s="325" t="s">
        <v>15214</v>
      </c>
    </row>
    <row r="3377" spans="1:9" x14ac:dyDescent="0.25">
      <c r="A3377" s="353">
        <v>42975</v>
      </c>
      <c r="B3377" s="326" t="s">
        <v>27256</v>
      </c>
      <c r="C3377" s="327">
        <v>125349</v>
      </c>
      <c r="D3377" s="136" t="s">
        <v>15389</v>
      </c>
      <c r="E3377" s="328">
        <v>16536.5</v>
      </c>
      <c r="F3377" s="361">
        <v>42986</v>
      </c>
      <c r="G3377" s="362">
        <v>16536.5</v>
      </c>
      <c r="H3377" s="330">
        <f>Tabla13[[#This Row],[Importe]]-Tabla13[[#This Row],[Pagado]]</f>
        <v>0</v>
      </c>
      <c r="I3377" s="331" t="s">
        <v>15214</v>
      </c>
    </row>
    <row r="3378" spans="1:9" ht="30" x14ac:dyDescent="0.25">
      <c r="A3378" s="319">
        <v>42975</v>
      </c>
      <c r="B3378" s="326" t="s">
        <v>27257</v>
      </c>
      <c r="C3378" s="327">
        <v>125350</v>
      </c>
      <c r="D3378" s="136" t="s">
        <v>15238</v>
      </c>
      <c r="E3378" s="328">
        <v>12564.4</v>
      </c>
      <c r="F3378" s="329" t="s">
        <v>27258</v>
      </c>
      <c r="G3378" s="334">
        <f>6000+6564.4</f>
        <v>12564.4</v>
      </c>
      <c r="H3378" s="324">
        <f>Tabla13[[#This Row],[Importe]]-Tabla13[[#This Row],[Pagado]]</f>
        <v>0</v>
      </c>
      <c r="I3378" s="331" t="s">
        <v>15214</v>
      </c>
    </row>
    <row r="3379" spans="1:9" x14ac:dyDescent="0.25">
      <c r="A3379" s="353">
        <v>42975</v>
      </c>
      <c r="B3379" s="320" t="s">
        <v>27259</v>
      </c>
      <c r="C3379" s="321">
        <v>125351</v>
      </c>
      <c r="D3379" s="142" t="s">
        <v>15382</v>
      </c>
      <c r="E3379" s="322">
        <v>11034.8</v>
      </c>
      <c r="F3379" s="363">
        <v>42986</v>
      </c>
      <c r="G3379" s="155">
        <v>11034.8</v>
      </c>
      <c r="H3379" s="324">
        <f>Tabla13[[#This Row],[Importe]]-Tabla13[[#This Row],[Pagado]]</f>
        <v>0</v>
      </c>
      <c r="I3379" s="325" t="s">
        <v>15214</v>
      </c>
    </row>
    <row r="3380" spans="1:9" x14ac:dyDescent="0.25">
      <c r="A3380" s="319">
        <v>42975</v>
      </c>
      <c r="B3380" s="326" t="s">
        <v>27260</v>
      </c>
      <c r="C3380" s="327">
        <v>125352</v>
      </c>
      <c r="D3380" s="136" t="s">
        <v>15373</v>
      </c>
      <c r="E3380" s="328">
        <v>18988.8</v>
      </c>
      <c r="F3380" s="329">
        <v>42978</v>
      </c>
      <c r="G3380" s="328">
        <v>18988.8</v>
      </c>
      <c r="H3380" s="330">
        <f>Tabla13[[#This Row],[Importe]]-Tabla13[[#This Row],[Pagado]]</f>
        <v>0</v>
      </c>
      <c r="I3380" s="331" t="s">
        <v>15214</v>
      </c>
    </row>
    <row r="3381" spans="1:9" x14ac:dyDescent="0.25">
      <c r="A3381" s="319">
        <v>42975</v>
      </c>
      <c r="B3381" s="320" t="s">
        <v>27261</v>
      </c>
      <c r="C3381" s="321">
        <v>125353</v>
      </c>
      <c r="D3381" s="142" t="s">
        <v>15326</v>
      </c>
      <c r="E3381" s="322">
        <v>3302.7</v>
      </c>
      <c r="F3381" s="340">
        <v>42975</v>
      </c>
      <c r="G3381" s="322">
        <v>3302.7</v>
      </c>
      <c r="H3381" s="324">
        <f>Tabla13[[#This Row],[Importe]]-Tabla13[[#This Row],[Pagado]]</f>
        <v>0</v>
      </c>
      <c r="I3381" s="325" t="s">
        <v>15214</v>
      </c>
    </row>
    <row r="3382" spans="1:9" x14ac:dyDescent="0.25">
      <c r="A3382" s="353">
        <v>42975</v>
      </c>
      <c r="B3382" s="326" t="s">
        <v>27262</v>
      </c>
      <c r="C3382" s="327">
        <v>125354</v>
      </c>
      <c r="D3382" s="136" t="s">
        <v>15250</v>
      </c>
      <c r="E3382" s="328">
        <v>77338.5</v>
      </c>
      <c r="F3382" s="361">
        <v>42987</v>
      </c>
      <c r="G3382" s="362">
        <v>77338.5</v>
      </c>
      <c r="H3382" s="330">
        <f>Tabla13[[#This Row],[Importe]]-Tabla13[[#This Row],[Pagado]]</f>
        <v>0</v>
      </c>
      <c r="I3382" s="331" t="s">
        <v>15214</v>
      </c>
    </row>
    <row r="3383" spans="1:9" x14ac:dyDescent="0.25">
      <c r="A3383" s="319">
        <v>42975</v>
      </c>
      <c r="B3383" s="320" t="s">
        <v>27263</v>
      </c>
      <c r="C3383" s="321">
        <v>125355</v>
      </c>
      <c r="D3383" s="142" t="s">
        <v>15324</v>
      </c>
      <c r="E3383" s="322">
        <v>2270</v>
      </c>
      <c r="F3383" s="340">
        <v>42975</v>
      </c>
      <c r="G3383" s="322">
        <v>2270</v>
      </c>
      <c r="H3383" s="324">
        <f>Tabla13[[#This Row],[Importe]]-Tabla13[[#This Row],[Pagado]]</f>
        <v>0</v>
      </c>
      <c r="I3383" s="325" t="s">
        <v>15214</v>
      </c>
    </row>
    <row r="3384" spans="1:9" x14ac:dyDescent="0.25">
      <c r="A3384" s="353">
        <v>42975</v>
      </c>
      <c r="B3384" s="326" t="s">
        <v>27264</v>
      </c>
      <c r="C3384" s="327">
        <v>125356</v>
      </c>
      <c r="D3384" s="136" t="s">
        <v>15330</v>
      </c>
      <c r="E3384" s="328">
        <v>4098</v>
      </c>
      <c r="F3384" s="329">
        <v>42975</v>
      </c>
      <c r="G3384" s="328">
        <v>4098</v>
      </c>
      <c r="H3384" s="330">
        <f>Tabla13[[#This Row],[Importe]]-Tabla13[[#This Row],[Pagado]]</f>
        <v>0</v>
      </c>
      <c r="I3384" s="331" t="s">
        <v>15214</v>
      </c>
    </row>
    <row r="3385" spans="1:9" x14ac:dyDescent="0.25">
      <c r="A3385" s="319">
        <v>42975</v>
      </c>
      <c r="B3385" s="320" t="s">
        <v>27265</v>
      </c>
      <c r="C3385" s="321">
        <v>125357</v>
      </c>
      <c r="D3385" s="142" t="s">
        <v>5880</v>
      </c>
      <c r="E3385" s="322">
        <v>28780.799999999999</v>
      </c>
      <c r="F3385" s="323">
        <v>42976</v>
      </c>
      <c r="G3385" s="322">
        <v>28780.799999999999</v>
      </c>
      <c r="H3385" s="324">
        <f>Tabla13[[#This Row],[Importe]]-Tabla13[[#This Row],[Pagado]]</f>
        <v>0</v>
      </c>
      <c r="I3385" s="325" t="s">
        <v>15214</v>
      </c>
    </row>
    <row r="3386" spans="1:9" x14ac:dyDescent="0.25">
      <c r="A3386" s="353">
        <v>42975</v>
      </c>
      <c r="B3386" s="326" t="s">
        <v>27266</v>
      </c>
      <c r="C3386" s="327">
        <v>125358</v>
      </c>
      <c r="D3386" s="136" t="s">
        <v>15280</v>
      </c>
      <c r="E3386" s="328">
        <v>5795.2</v>
      </c>
      <c r="F3386" s="329">
        <v>42975</v>
      </c>
      <c r="G3386" s="328">
        <v>5795.2</v>
      </c>
      <c r="H3386" s="330">
        <f>Tabla13[[#This Row],[Importe]]-Tabla13[[#This Row],[Pagado]]</f>
        <v>0</v>
      </c>
      <c r="I3386" s="331" t="s">
        <v>15214</v>
      </c>
    </row>
    <row r="3387" spans="1:9" x14ac:dyDescent="0.25">
      <c r="A3387" s="319">
        <v>42975</v>
      </c>
      <c r="B3387" s="320" t="s">
        <v>27267</v>
      </c>
      <c r="C3387" s="321">
        <v>125359</v>
      </c>
      <c r="D3387" s="142" t="s">
        <v>23937</v>
      </c>
      <c r="E3387" s="322">
        <v>3488.8</v>
      </c>
      <c r="F3387" s="340">
        <v>42975</v>
      </c>
      <c r="G3387" s="322">
        <v>3488.8</v>
      </c>
      <c r="H3387" s="324">
        <f>Tabla13[[#This Row],[Importe]]-Tabla13[[#This Row],[Pagado]]</f>
        <v>0</v>
      </c>
      <c r="I3387" s="325" t="s">
        <v>15214</v>
      </c>
    </row>
    <row r="3388" spans="1:9" x14ac:dyDescent="0.25">
      <c r="A3388" s="353">
        <v>42975</v>
      </c>
      <c r="B3388" s="320" t="s">
        <v>27268</v>
      </c>
      <c r="C3388" s="321">
        <v>125360</v>
      </c>
      <c r="D3388" s="142" t="s">
        <v>15254</v>
      </c>
      <c r="E3388" s="322">
        <v>10050</v>
      </c>
      <c r="F3388" s="329">
        <v>42975</v>
      </c>
      <c r="G3388" s="322">
        <v>10050</v>
      </c>
      <c r="H3388" s="324">
        <f>Tabla13[[#This Row],[Importe]]-Tabla13[[#This Row],[Pagado]]</f>
        <v>0</v>
      </c>
      <c r="I3388" s="325" t="s">
        <v>15214</v>
      </c>
    </row>
    <row r="3389" spans="1:9" x14ac:dyDescent="0.25">
      <c r="A3389" s="319">
        <v>42975</v>
      </c>
      <c r="B3389" s="336" t="s">
        <v>27269</v>
      </c>
      <c r="C3389" s="337">
        <v>125361</v>
      </c>
      <c r="D3389" s="338" t="s">
        <v>15244</v>
      </c>
      <c r="E3389" s="339">
        <v>15080.5</v>
      </c>
      <c r="F3389" s="340">
        <v>42975</v>
      </c>
      <c r="G3389" s="339">
        <v>15080.5</v>
      </c>
      <c r="H3389" s="341">
        <f>Tabla13[[#This Row],[Importe]]-Tabla13[[#This Row],[Pagado]]</f>
        <v>0</v>
      </c>
      <c r="I3389" s="342" t="s">
        <v>15214</v>
      </c>
    </row>
    <row r="3390" spans="1:9" x14ac:dyDescent="0.25">
      <c r="A3390" s="353">
        <v>42975</v>
      </c>
      <c r="B3390" s="320" t="s">
        <v>27270</v>
      </c>
      <c r="C3390" s="321">
        <v>125362</v>
      </c>
      <c r="D3390" s="142" t="s">
        <v>15252</v>
      </c>
      <c r="E3390" s="322">
        <v>4713.3</v>
      </c>
      <c r="F3390" s="323">
        <v>42977</v>
      </c>
      <c r="G3390" s="322">
        <v>4713.3</v>
      </c>
      <c r="H3390" s="324">
        <f>Tabla13[[#This Row],[Importe]]-Tabla13[[#This Row],[Pagado]]</f>
        <v>0</v>
      </c>
      <c r="I3390" s="325" t="s">
        <v>15214</v>
      </c>
    </row>
    <row r="3391" spans="1:9" x14ac:dyDescent="0.25">
      <c r="A3391" s="319">
        <v>42975</v>
      </c>
      <c r="B3391" s="326" t="s">
        <v>27271</v>
      </c>
      <c r="C3391" s="327">
        <v>125363</v>
      </c>
      <c r="D3391" s="136" t="s">
        <v>15396</v>
      </c>
      <c r="E3391" s="328">
        <v>8510.0400000000009</v>
      </c>
      <c r="F3391" s="329">
        <v>42975</v>
      </c>
      <c r="G3391" s="328">
        <v>8510.0400000000009</v>
      </c>
      <c r="H3391" s="330">
        <f>Tabla13[[#This Row],[Importe]]-Tabla13[[#This Row],[Pagado]]</f>
        <v>0</v>
      </c>
      <c r="I3391" s="331" t="s">
        <v>15214</v>
      </c>
    </row>
    <row r="3392" spans="1:9" ht="30" x14ac:dyDescent="0.25">
      <c r="A3392" s="319">
        <v>42975</v>
      </c>
      <c r="B3392" s="320" t="s">
        <v>27272</v>
      </c>
      <c r="C3392" s="321">
        <v>125364</v>
      </c>
      <c r="D3392" s="142" t="s">
        <v>15624</v>
      </c>
      <c r="E3392" s="322">
        <v>33705</v>
      </c>
      <c r="F3392" s="363" t="s">
        <v>27677</v>
      </c>
      <c r="G3392" s="364">
        <f>23705+10000</f>
        <v>33705</v>
      </c>
      <c r="H3392" s="365">
        <f>Tabla13[[#This Row],[Importe]]-Tabla13[[#This Row],[Pagado]]</f>
        <v>0</v>
      </c>
      <c r="I3392" s="325" t="s">
        <v>15214</v>
      </c>
    </row>
    <row r="3393" spans="1:9" x14ac:dyDescent="0.25">
      <c r="A3393" s="353">
        <v>42975</v>
      </c>
      <c r="B3393" s="326" t="s">
        <v>27273</v>
      </c>
      <c r="C3393" s="327">
        <v>125365</v>
      </c>
      <c r="D3393" s="136" t="s">
        <v>15387</v>
      </c>
      <c r="E3393" s="328">
        <v>1178</v>
      </c>
      <c r="F3393" s="329">
        <v>42976</v>
      </c>
      <c r="G3393" s="328">
        <v>1178</v>
      </c>
      <c r="H3393" s="330">
        <f>Tabla13[[#This Row],[Importe]]-Tabla13[[#This Row],[Pagado]]</f>
        <v>0</v>
      </c>
      <c r="I3393" s="331" t="s">
        <v>15214</v>
      </c>
    </row>
    <row r="3394" spans="1:9" x14ac:dyDescent="0.25">
      <c r="A3394" s="319">
        <v>42975</v>
      </c>
      <c r="B3394" s="320" t="s">
        <v>27274</v>
      </c>
      <c r="C3394" s="321">
        <v>125366</v>
      </c>
      <c r="D3394" s="142" t="s">
        <v>15315</v>
      </c>
      <c r="E3394" s="322">
        <v>943.7</v>
      </c>
      <c r="F3394" s="329">
        <v>42975</v>
      </c>
      <c r="G3394" s="322">
        <v>943.7</v>
      </c>
      <c r="H3394" s="324">
        <f>Tabla13[[#This Row],[Importe]]-Tabla13[[#This Row],[Pagado]]</f>
        <v>0</v>
      </c>
      <c r="I3394" s="325" t="s">
        <v>15214</v>
      </c>
    </row>
    <row r="3395" spans="1:9" x14ac:dyDescent="0.25">
      <c r="A3395" s="353">
        <v>42975</v>
      </c>
      <c r="B3395" s="326" t="s">
        <v>27275</v>
      </c>
      <c r="C3395" s="327">
        <v>125367</v>
      </c>
      <c r="D3395" s="136" t="s">
        <v>15338</v>
      </c>
      <c r="E3395" s="328">
        <v>3936</v>
      </c>
      <c r="F3395" s="329">
        <v>42976</v>
      </c>
      <c r="G3395" s="328">
        <v>3936</v>
      </c>
      <c r="H3395" s="330">
        <f>Tabla13[[#This Row],[Importe]]-Tabla13[[#This Row],[Pagado]]</f>
        <v>0</v>
      </c>
      <c r="I3395" s="331" t="s">
        <v>15214</v>
      </c>
    </row>
    <row r="3396" spans="1:9" x14ac:dyDescent="0.25">
      <c r="A3396" s="319">
        <v>42975</v>
      </c>
      <c r="B3396" s="320" t="s">
        <v>27276</v>
      </c>
      <c r="C3396" s="321">
        <v>125368</v>
      </c>
      <c r="D3396" s="142" t="s">
        <v>15530</v>
      </c>
      <c r="E3396" s="322">
        <v>3540</v>
      </c>
      <c r="F3396" s="329">
        <v>42975</v>
      </c>
      <c r="G3396" s="322">
        <v>3540</v>
      </c>
      <c r="H3396" s="324">
        <f>Tabla13[[#This Row],[Importe]]-Tabla13[[#This Row],[Pagado]]</f>
        <v>0</v>
      </c>
      <c r="I3396" s="325" t="s">
        <v>15214</v>
      </c>
    </row>
    <row r="3397" spans="1:9" x14ac:dyDescent="0.25">
      <c r="A3397" s="353">
        <v>42975</v>
      </c>
      <c r="B3397" s="326" t="s">
        <v>27277</v>
      </c>
      <c r="C3397" s="327">
        <v>125369</v>
      </c>
      <c r="D3397" s="136" t="s">
        <v>15317</v>
      </c>
      <c r="E3397" s="328">
        <v>3003.7</v>
      </c>
      <c r="F3397" s="329">
        <v>42976</v>
      </c>
      <c r="G3397" s="328">
        <v>3003.7</v>
      </c>
      <c r="H3397" s="330">
        <f>Tabla13[[#This Row],[Importe]]-Tabla13[[#This Row],[Pagado]]</f>
        <v>0</v>
      </c>
      <c r="I3397" s="331" t="s">
        <v>15214</v>
      </c>
    </row>
    <row r="3398" spans="1:9" x14ac:dyDescent="0.25">
      <c r="A3398" s="319">
        <v>42975</v>
      </c>
      <c r="B3398" s="326" t="s">
        <v>27278</v>
      </c>
      <c r="C3398" s="327">
        <v>125370</v>
      </c>
      <c r="D3398" s="136" t="s">
        <v>15309</v>
      </c>
      <c r="E3398" s="328">
        <v>30942.5</v>
      </c>
      <c r="F3398" s="329">
        <v>42976</v>
      </c>
      <c r="G3398" s="328">
        <v>30942.5</v>
      </c>
      <c r="H3398" s="330">
        <f>Tabla13[[#This Row],[Importe]]-Tabla13[[#This Row],[Pagado]]</f>
        <v>0</v>
      </c>
      <c r="I3398" s="331" t="s">
        <v>15214</v>
      </c>
    </row>
    <row r="3399" spans="1:9" x14ac:dyDescent="0.25">
      <c r="A3399" s="353">
        <v>42975</v>
      </c>
      <c r="B3399" s="320" t="s">
        <v>27279</v>
      </c>
      <c r="C3399" s="321">
        <v>125371</v>
      </c>
      <c r="D3399" s="142" t="s">
        <v>15261</v>
      </c>
      <c r="E3399" s="322">
        <v>6652.8</v>
      </c>
      <c r="F3399" s="340">
        <v>42975</v>
      </c>
      <c r="G3399" s="322">
        <v>6652.8</v>
      </c>
      <c r="H3399" s="324">
        <f>Tabla13[[#This Row],[Importe]]-Tabla13[[#This Row],[Pagado]]</f>
        <v>0</v>
      </c>
      <c r="I3399" s="325" t="s">
        <v>15214</v>
      </c>
    </row>
    <row r="3400" spans="1:9" x14ac:dyDescent="0.25">
      <c r="A3400" s="319">
        <v>42975</v>
      </c>
      <c r="B3400" s="326" t="s">
        <v>27280</v>
      </c>
      <c r="C3400" s="327">
        <v>125372</v>
      </c>
      <c r="D3400" s="136" t="s">
        <v>15583</v>
      </c>
      <c r="E3400" s="328">
        <v>1534</v>
      </c>
      <c r="F3400" s="361">
        <v>42980</v>
      </c>
      <c r="G3400" s="362">
        <v>1534</v>
      </c>
      <c r="H3400" s="330">
        <f>Tabla13[[#This Row],[Importe]]-Tabla13[[#This Row],[Pagado]]</f>
        <v>0</v>
      </c>
      <c r="I3400" s="331" t="s">
        <v>15214</v>
      </c>
    </row>
    <row r="3401" spans="1:9" x14ac:dyDescent="0.25">
      <c r="A3401" s="353">
        <v>42975</v>
      </c>
      <c r="B3401" s="320" t="s">
        <v>27281</v>
      </c>
      <c r="C3401" s="321">
        <v>125373</v>
      </c>
      <c r="D3401" s="142" t="s">
        <v>15261</v>
      </c>
      <c r="E3401" s="322">
        <v>20536.2</v>
      </c>
      <c r="F3401" s="340">
        <v>42975</v>
      </c>
      <c r="G3401" s="322">
        <v>20536.2</v>
      </c>
      <c r="H3401" s="324">
        <f>Tabla13[[#This Row],[Importe]]-Tabla13[[#This Row],[Pagado]]</f>
        <v>0</v>
      </c>
      <c r="I3401" s="325" t="s">
        <v>15214</v>
      </c>
    </row>
    <row r="3402" spans="1:9" x14ac:dyDescent="0.25">
      <c r="A3402" s="319">
        <v>42975</v>
      </c>
      <c r="B3402" s="326" t="s">
        <v>27282</v>
      </c>
      <c r="C3402" s="327">
        <v>125374</v>
      </c>
      <c r="D3402" s="136" t="s">
        <v>15248</v>
      </c>
      <c r="E3402" s="328">
        <v>38249.599999999999</v>
      </c>
      <c r="F3402" s="329">
        <v>42975</v>
      </c>
      <c r="G3402" s="328">
        <v>38249.599999999999</v>
      </c>
      <c r="H3402" s="330">
        <f>Tabla13[[#This Row],[Importe]]-Tabla13[[#This Row],[Pagado]]</f>
        <v>0</v>
      </c>
      <c r="I3402" s="331" t="s">
        <v>15214</v>
      </c>
    </row>
    <row r="3403" spans="1:9" x14ac:dyDescent="0.25">
      <c r="A3403" s="319">
        <v>42975</v>
      </c>
      <c r="B3403" s="320" t="s">
        <v>27283</v>
      </c>
      <c r="C3403" s="321">
        <v>125375</v>
      </c>
      <c r="D3403" s="142" t="s">
        <v>16286</v>
      </c>
      <c r="E3403" s="322">
        <v>3864</v>
      </c>
      <c r="F3403" s="340">
        <v>42975</v>
      </c>
      <c r="G3403" s="322">
        <v>3864</v>
      </c>
      <c r="H3403" s="324">
        <f>Tabla13[[#This Row],[Importe]]-Tabla13[[#This Row],[Pagado]]</f>
        <v>0</v>
      </c>
      <c r="I3403" s="325" t="s">
        <v>15214</v>
      </c>
    </row>
    <row r="3404" spans="1:9" ht="15.75" x14ac:dyDescent="0.25">
      <c r="A3404" s="353">
        <v>42975</v>
      </c>
      <c r="B3404" s="326" t="s">
        <v>27284</v>
      </c>
      <c r="C3404" s="327">
        <v>125376</v>
      </c>
      <c r="D3404" s="345" t="s">
        <v>95</v>
      </c>
      <c r="E3404" s="328">
        <v>0</v>
      </c>
      <c r="F3404" s="346" t="s">
        <v>95</v>
      </c>
      <c r="G3404" s="328">
        <v>0</v>
      </c>
      <c r="H3404" s="330">
        <f>Tabla13[[#This Row],[Importe]]-Tabla13[[#This Row],[Pagado]]</f>
        <v>0</v>
      </c>
      <c r="I3404" s="331" t="s">
        <v>95</v>
      </c>
    </row>
    <row r="3405" spans="1:9" x14ac:dyDescent="0.25">
      <c r="A3405" s="319">
        <v>42975</v>
      </c>
      <c r="B3405" s="320" t="s">
        <v>27285</v>
      </c>
      <c r="C3405" s="321">
        <v>125377</v>
      </c>
      <c r="D3405" s="142" t="s">
        <v>15307</v>
      </c>
      <c r="E3405" s="322">
        <v>921.3</v>
      </c>
      <c r="F3405" s="323">
        <v>42976</v>
      </c>
      <c r="G3405" s="322">
        <v>921.3</v>
      </c>
      <c r="H3405" s="324">
        <f>Tabla13[[#This Row],[Importe]]-Tabla13[[#This Row],[Pagado]]</f>
        <v>0</v>
      </c>
      <c r="I3405" s="325" t="s">
        <v>15214</v>
      </c>
    </row>
    <row r="3406" spans="1:9" x14ac:dyDescent="0.25">
      <c r="A3406" s="353">
        <v>42975</v>
      </c>
      <c r="B3406" s="326" t="s">
        <v>27286</v>
      </c>
      <c r="C3406" s="327">
        <v>125378</v>
      </c>
      <c r="D3406" s="136" t="s">
        <v>15315</v>
      </c>
      <c r="E3406" s="328">
        <v>3760</v>
      </c>
      <c r="F3406" s="329">
        <v>42976</v>
      </c>
      <c r="G3406" s="328">
        <v>3760</v>
      </c>
      <c r="H3406" s="330">
        <f>Tabla13[[#This Row],[Importe]]-Tabla13[[#This Row],[Pagado]]</f>
        <v>0</v>
      </c>
      <c r="I3406" s="331" t="s">
        <v>15214</v>
      </c>
    </row>
    <row r="3407" spans="1:9" x14ac:dyDescent="0.25">
      <c r="A3407" s="319">
        <v>42975</v>
      </c>
      <c r="B3407" s="320" t="s">
        <v>27287</v>
      </c>
      <c r="C3407" s="321">
        <v>125379</v>
      </c>
      <c r="D3407" s="142" t="s">
        <v>15223</v>
      </c>
      <c r="E3407" s="322">
        <v>57843</v>
      </c>
      <c r="F3407" s="323">
        <v>43000</v>
      </c>
      <c r="G3407" s="322">
        <v>57843</v>
      </c>
      <c r="H3407" s="324">
        <f>Tabla13[[#This Row],[Importe]]-Tabla13[[#This Row],[Pagado]]</f>
        <v>0</v>
      </c>
      <c r="I3407" s="325" t="s">
        <v>15214</v>
      </c>
    </row>
    <row r="3408" spans="1:9" x14ac:dyDescent="0.25">
      <c r="A3408" s="353">
        <v>42975</v>
      </c>
      <c r="B3408" s="320" t="s">
        <v>27288</v>
      </c>
      <c r="C3408" s="321">
        <v>125380</v>
      </c>
      <c r="D3408" s="142" t="s">
        <v>15313</v>
      </c>
      <c r="E3408" s="322">
        <v>5227.2</v>
      </c>
      <c r="F3408" s="323">
        <v>42977</v>
      </c>
      <c r="G3408" s="322">
        <v>5227.2</v>
      </c>
      <c r="H3408" s="324">
        <f>Tabla13[[#This Row],[Importe]]-Tabla13[[#This Row],[Pagado]]</f>
        <v>0</v>
      </c>
      <c r="I3408" s="325" t="s">
        <v>15214</v>
      </c>
    </row>
    <row r="3409" spans="1:9" x14ac:dyDescent="0.25">
      <c r="A3409" s="319">
        <v>42975</v>
      </c>
      <c r="B3409" s="326" t="s">
        <v>27289</v>
      </c>
      <c r="C3409" s="327">
        <v>125381</v>
      </c>
      <c r="D3409" s="136" t="s">
        <v>15417</v>
      </c>
      <c r="E3409" s="328">
        <v>2100.9</v>
      </c>
      <c r="F3409" s="329">
        <v>42976</v>
      </c>
      <c r="G3409" s="328">
        <v>2100.9</v>
      </c>
      <c r="H3409" s="330">
        <f>Tabla13[[#This Row],[Importe]]-Tabla13[[#This Row],[Pagado]]</f>
        <v>0</v>
      </c>
      <c r="I3409" s="331" t="s">
        <v>15214</v>
      </c>
    </row>
    <row r="3410" spans="1:9" x14ac:dyDescent="0.25">
      <c r="A3410" s="353">
        <v>42975</v>
      </c>
      <c r="B3410" s="320" t="s">
        <v>27290</v>
      </c>
      <c r="C3410" s="321">
        <v>125382</v>
      </c>
      <c r="D3410" s="142" t="s">
        <v>15320</v>
      </c>
      <c r="E3410" s="322">
        <v>2332.1999999999998</v>
      </c>
      <c r="F3410" s="329">
        <v>42976</v>
      </c>
      <c r="G3410" s="322">
        <v>2332.1999999999998</v>
      </c>
      <c r="H3410" s="324">
        <f>Tabla13[[#This Row],[Importe]]-Tabla13[[#This Row],[Pagado]]</f>
        <v>0</v>
      </c>
      <c r="I3410" s="325" t="s">
        <v>15214</v>
      </c>
    </row>
    <row r="3411" spans="1:9" x14ac:dyDescent="0.25">
      <c r="A3411" s="319">
        <v>42975</v>
      </c>
      <c r="B3411" s="326" t="s">
        <v>27291</v>
      </c>
      <c r="C3411" s="327">
        <v>125383</v>
      </c>
      <c r="D3411" s="136" t="s">
        <v>15274</v>
      </c>
      <c r="E3411" s="328">
        <v>2800</v>
      </c>
      <c r="F3411" s="329">
        <v>42976</v>
      </c>
      <c r="G3411" s="328">
        <v>2800</v>
      </c>
      <c r="H3411" s="330">
        <f>Tabla13[[#This Row],[Importe]]-Tabla13[[#This Row],[Pagado]]</f>
        <v>0</v>
      </c>
      <c r="I3411" s="331" t="s">
        <v>15214</v>
      </c>
    </row>
    <row r="3412" spans="1:9" x14ac:dyDescent="0.25">
      <c r="A3412" s="353">
        <v>42975</v>
      </c>
      <c r="B3412" s="320" t="s">
        <v>27292</v>
      </c>
      <c r="C3412" s="321">
        <v>125384</v>
      </c>
      <c r="D3412" s="142" t="s">
        <v>15276</v>
      </c>
      <c r="E3412" s="322">
        <v>3290</v>
      </c>
      <c r="F3412" s="329">
        <v>42976</v>
      </c>
      <c r="G3412" s="322">
        <v>3290</v>
      </c>
      <c r="H3412" s="324">
        <f>Tabla13[[#This Row],[Importe]]-Tabla13[[#This Row],[Pagado]]</f>
        <v>0</v>
      </c>
      <c r="I3412" s="325" t="s">
        <v>15214</v>
      </c>
    </row>
    <row r="3413" spans="1:9" x14ac:dyDescent="0.25">
      <c r="A3413" s="319">
        <v>42975</v>
      </c>
      <c r="B3413" s="326" t="s">
        <v>27293</v>
      </c>
      <c r="C3413" s="327">
        <v>125385</v>
      </c>
      <c r="D3413" s="136" t="s">
        <v>15782</v>
      </c>
      <c r="E3413" s="328">
        <v>1177.5999999999999</v>
      </c>
      <c r="F3413" s="329">
        <v>42976</v>
      </c>
      <c r="G3413" s="328">
        <v>1177.5999999999999</v>
      </c>
      <c r="H3413" s="330">
        <f>Tabla13[[#This Row],[Importe]]-Tabla13[[#This Row],[Pagado]]</f>
        <v>0</v>
      </c>
      <c r="I3413" s="331" t="s">
        <v>15214</v>
      </c>
    </row>
    <row r="3414" spans="1:9" x14ac:dyDescent="0.25">
      <c r="A3414" s="319">
        <v>42975</v>
      </c>
      <c r="B3414" s="320" t="s">
        <v>27294</v>
      </c>
      <c r="C3414" s="321">
        <v>125386</v>
      </c>
      <c r="D3414" s="142" t="s">
        <v>15311</v>
      </c>
      <c r="E3414" s="322">
        <v>1530</v>
      </c>
      <c r="F3414" s="329">
        <v>42976</v>
      </c>
      <c r="G3414" s="322">
        <v>1530</v>
      </c>
      <c r="H3414" s="324">
        <f>Tabla13[[#This Row],[Importe]]-Tabla13[[#This Row],[Pagado]]</f>
        <v>0</v>
      </c>
      <c r="I3414" s="325" t="s">
        <v>15214</v>
      </c>
    </row>
    <row r="3415" spans="1:9" x14ac:dyDescent="0.25">
      <c r="A3415" s="353">
        <v>42975</v>
      </c>
      <c r="B3415" s="326" t="s">
        <v>27295</v>
      </c>
      <c r="C3415" s="327">
        <v>125387</v>
      </c>
      <c r="D3415" s="136" t="s">
        <v>15566</v>
      </c>
      <c r="E3415" s="328">
        <v>3284.4</v>
      </c>
      <c r="F3415" s="329">
        <v>42975</v>
      </c>
      <c r="G3415" s="328">
        <v>3284.4</v>
      </c>
      <c r="H3415" s="330">
        <f>Tabla13[[#This Row],[Importe]]-Tabla13[[#This Row],[Pagado]]</f>
        <v>0</v>
      </c>
      <c r="I3415" s="331" t="s">
        <v>15214</v>
      </c>
    </row>
    <row r="3416" spans="1:9" ht="15.75" x14ac:dyDescent="0.25">
      <c r="A3416" s="319">
        <v>42975</v>
      </c>
      <c r="B3416" s="320" t="s">
        <v>27296</v>
      </c>
      <c r="C3416" s="321">
        <v>125388</v>
      </c>
      <c r="D3416" s="332" t="s">
        <v>95</v>
      </c>
      <c r="E3416" s="322">
        <v>0</v>
      </c>
      <c r="F3416" s="333" t="s">
        <v>95</v>
      </c>
      <c r="G3416" s="322">
        <v>0</v>
      </c>
      <c r="H3416" s="324">
        <f>Tabla13[[#This Row],[Importe]]-Tabla13[[#This Row],[Pagado]]</f>
        <v>0</v>
      </c>
      <c r="I3416" s="325" t="s">
        <v>95</v>
      </c>
    </row>
    <row r="3417" spans="1:9" x14ac:dyDescent="0.25">
      <c r="A3417" s="353">
        <v>42975</v>
      </c>
      <c r="B3417" s="326" t="s">
        <v>27297</v>
      </c>
      <c r="C3417" s="327">
        <v>125389</v>
      </c>
      <c r="D3417" s="136" t="s">
        <v>15315</v>
      </c>
      <c r="E3417" s="328">
        <v>1102.4000000000001</v>
      </c>
      <c r="F3417" s="329">
        <v>42975</v>
      </c>
      <c r="G3417" s="328">
        <v>1102.4000000000001</v>
      </c>
      <c r="H3417" s="330">
        <f>Tabla13[[#This Row],[Importe]]-Tabla13[[#This Row],[Pagado]]</f>
        <v>0</v>
      </c>
      <c r="I3417" s="331" t="s">
        <v>15214</v>
      </c>
    </row>
    <row r="3418" spans="1:9" x14ac:dyDescent="0.25">
      <c r="A3418" s="319">
        <v>42975</v>
      </c>
      <c r="B3418" s="326" t="s">
        <v>27298</v>
      </c>
      <c r="C3418" s="327">
        <v>125390</v>
      </c>
      <c r="D3418" s="136" t="s">
        <v>19768</v>
      </c>
      <c r="E3418" s="328">
        <v>2160</v>
      </c>
      <c r="F3418" s="329">
        <v>42975</v>
      </c>
      <c r="G3418" s="328">
        <v>2160</v>
      </c>
      <c r="H3418" s="330">
        <f>Tabla13[[#This Row],[Importe]]-Tabla13[[#This Row],[Pagado]]</f>
        <v>0</v>
      </c>
      <c r="I3418" s="331" t="s">
        <v>15214</v>
      </c>
    </row>
    <row r="3419" spans="1:9" x14ac:dyDescent="0.25">
      <c r="A3419" s="353">
        <v>42975</v>
      </c>
      <c r="B3419" s="320" t="s">
        <v>27299</v>
      </c>
      <c r="C3419" s="321">
        <v>125391</v>
      </c>
      <c r="D3419" s="142" t="s">
        <v>15315</v>
      </c>
      <c r="E3419" s="322">
        <v>390</v>
      </c>
      <c r="F3419" s="323">
        <v>42975</v>
      </c>
      <c r="G3419" s="322">
        <v>390</v>
      </c>
      <c r="H3419" s="324">
        <f>Tabla13[[#This Row],[Importe]]-Tabla13[[#This Row],[Pagado]]</f>
        <v>0</v>
      </c>
      <c r="I3419" s="325" t="s">
        <v>15214</v>
      </c>
    </row>
    <row r="3420" spans="1:9" x14ac:dyDescent="0.25">
      <c r="A3420" s="319">
        <v>42975</v>
      </c>
      <c r="B3420" s="326" t="s">
        <v>27300</v>
      </c>
      <c r="C3420" s="327">
        <v>125392</v>
      </c>
      <c r="D3420" s="136" t="s">
        <v>15404</v>
      </c>
      <c r="E3420" s="328">
        <v>11707</v>
      </c>
      <c r="F3420" s="329">
        <v>42975</v>
      </c>
      <c r="G3420" s="328">
        <v>11707</v>
      </c>
      <c r="H3420" s="330">
        <f>Tabla13[[#This Row],[Importe]]-Tabla13[[#This Row],[Pagado]]</f>
        <v>0</v>
      </c>
      <c r="I3420" s="331" t="s">
        <v>15214</v>
      </c>
    </row>
    <row r="3421" spans="1:9" ht="15.75" x14ac:dyDescent="0.25">
      <c r="A3421" s="353">
        <v>42975</v>
      </c>
      <c r="B3421" s="320" t="s">
        <v>27301</v>
      </c>
      <c r="C3421" s="321">
        <v>125393</v>
      </c>
      <c r="D3421" s="332" t="s">
        <v>95</v>
      </c>
      <c r="E3421" s="322">
        <v>0</v>
      </c>
      <c r="F3421" s="333" t="s">
        <v>95</v>
      </c>
      <c r="G3421" s="322">
        <v>0</v>
      </c>
      <c r="H3421" s="324">
        <f>Tabla13[[#This Row],[Importe]]-Tabla13[[#This Row],[Pagado]]</f>
        <v>0</v>
      </c>
      <c r="I3421" s="325" t="s">
        <v>95</v>
      </c>
    </row>
    <row r="3422" spans="1:9" x14ac:dyDescent="0.25">
      <c r="A3422" s="319">
        <v>42975</v>
      </c>
      <c r="B3422" s="326" t="s">
        <v>27302</v>
      </c>
      <c r="C3422" s="327">
        <v>125394</v>
      </c>
      <c r="D3422" s="136" t="s">
        <v>15617</v>
      </c>
      <c r="E3422" s="328">
        <v>28388</v>
      </c>
      <c r="F3422" s="329">
        <v>42976</v>
      </c>
      <c r="G3422" s="328">
        <v>28388</v>
      </c>
      <c r="H3422" s="330">
        <f>Tabla13[[#This Row],[Importe]]-Tabla13[[#This Row],[Pagado]]</f>
        <v>0</v>
      </c>
      <c r="I3422" s="331" t="s">
        <v>15214</v>
      </c>
    </row>
    <row r="3423" spans="1:9" x14ac:dyDescent="0.25">
      <c r="A3423" s="353">
        <v>42975</v>
      </c>
      <c r="B3423" s="320" t="s">
        <v>27303</v>
      </c>
      <c r="C3423" s="321">
        <v>125395</v>
      </c>
      <c r="D3423" s="142" t="s">
        <v>15444</v>
      </c>
      <c r="E3423" s="322">
        <v>2360.6</v>
      </c>
      <c r="F3423" s="323">
        <v>42975</v>
      </c>
      <c r="G3423" s="322">
        <v>2360.6</v>
      </c>
      <c r="H3423" s="324">
        <f>Tabla13[[#This Row],[Importe]]-Tabla13[[#This Row],[Pagado]]</f>
        <v>0</v>
      </c>
      <c r="I3423" s="325" t="s">
        <v>15214</v>
      </c>
    </row>
    <row r="3424" spans="1:9" x14ac:dyDescent="0.25">
      <c r="A3424" s="319">
        <v>42975</v>
      </c>
      <c r="B3424" s="326" t="s">
        <v>27304</v>
      </c>
      <c r="C3424" s="327">
        <v>125396</v>
      </c>
      <c r="D3424" s="136" t="s">
        <v>15378</v>
      </c>
      <c r="E3424" s="328">
        <v>4048.8</v>
      </c>
      <c r="F3424" s="329">
        <v>42975</v>
      </c>
      <c r="G3424" s="328">
        <v>4048.8</v>
      </c>
      <c r="H3424" s="330">
        <f>Tabla13[[#This Row],[Importe]]-Tabla13[[#This Row],[Pagado]]</f>
        <v>0</v>
      </c>
      <c r="I3424" s="331" t="s">
        <v>15214</v>
      </c>
    </row>
    <row r="3425" spans="1:9" x14ac:dyDescent="0.25">
      <c r="A3425" s="319">
        <v>42975</v>
      </c>
      <c r="B3425" s="320" t="s">
        <v>27305</v>
      </c>
      <c r="C3425" s="321">
        <v>125397</v>
      </c>
      <c r="D3425" s="142" t="s">
        <v>15537</v>
      </c>
      <c r="E3425" s="322">
        <v>16855.099999999999</v>
      </c>
      <c r="F3425" s="363">
        <v>42984</v>
      </c>
      <c r="G3425" s="155">
        <v>16855.099999999999</v>
      </c>
      <c r="H3425" s="324">
        <f>Tabla13[[#This Row],[Importe]]-Tabla13[[#This Row],[Pagado]]</f>
        <v>0</v>
      </c>
      <c r="I3425" s="325" t="s">
        <v>15214</v>
      </c>
    </row>
    <row r="3426" spans="1:9" x14ac:dyDescent="0.25">
      <c r="A3426" s="353">
        <v>42975</v>
      </c>
      <c r="B3426" s="326" t="s">
        <v>27306</v>
      </c>
      <c r="C3426" s="327">
        <v>125398</v>
      </c>
      <c r="D3426" s="136" t="s">
        <v>15539</v>
      </c>
      <c r="E3426" s="328">
        <v>17363.5</v>
      </c>
      <c r="F3426" s="361">
        <v>42984</v>
      </c>
      <c r="G3426" s="362">
        <v>17363.5</v>
      </c>
      <c r="H3426" s="330">
        <f>Tabla13[[#This Row],[Importe]]-Tabla13[[#This Row],[Pagado]]</f>
        <v>0</v>
      </c>
      <c r="I3426" s="331" t="s">
        <v>15214</v>
      </c>
    </row>
    <row r="3427" spans="1:9" ht="15.75" x14ac:dyDescent="0.25">
      <c r="A3427" s="319">
        <v>42975</v>
      </c>
      <c r="B3427" s="320" t="s">
        <v>27307</v>
      </c>
      <c r="C3427" s="321">
        <v>125399</v>
      </c>
      <c r="D3427" s="142" t="s">
        <v>15315</v>
      </c>
      <c r="E3427" s="322">
        <v>210</v>
      </c>
      <c r="F3427" s="354" t="s">
        <v>20085</v>
      </c>
      <c r="G3427" s="322">
        <v>210</v>
      </c>
      <c r="H3427" s="324">
        <f>Tabla13[[#This Row],[Importe]]-Tabla13[[#This Row],[Pagado]]</f>
        <v>0</v>
      </c>
      <c r="I3427" s="325" t="s">
        <v>15214</v>
      </c>
    </row>
    <row r="3428" spans="1:9" x14ac:dyDescent="0.25">
      <c r="A3428" s="353">
        <v>42975</v>
      </c>
      <c r="B3428" s="326" t="s">
        <v>27308</v>
      </c>
      <c r="C3428" s="327">
        <v>125400</v>
      </c>
      <c r="D3428" s="136" t="s">
        <v>15282</v>
      </c>
      <c r="E3428" s="328">
        <v>2671.9</v>
      </c>
      <c r="F3428" s="329">
        <v>42975</v>
      </c>
      <c r="G3428" s="328">
        <v>2671.9</v>
      </c>
      <c r="H3428" s="330">
        <f>Tabla13[[#This Row],[Importe]]-Tabla13[[#This Row],[Pagado]]</f>
        <v>0</v>
      </c>
      <c r="I3428" s="331" t="s">
        <v>15214</v>
      </c>
    </row>
    <row r="3429" spans="1:9" x14ac:dyDescent="0.25">
      <c r="A3429" s="319">
        <v>42975</v>
      </c>
      <c r="B3429" s="320" t="s">
        <v>27309</v>
      </c>
      <c r="C3429" s="321">
        <v>125401</v>
      </c>
      <c r="D3429" s="142" t="s">
        <v>15246</v>
      </c>
      <c r="E3429" s="322">
        <v>221367.06</v>
      </c>
      <c r="F3429" s="363">
        <v>42980</v>
      </c>
      <c r="G3429" s="155">
        <v>221367.06</v>
      </c>
      <c r="H3429" s="324">
        <f>Tabla13[[#This Row],[Importe]]-Tabla13[[#This Row],[Pagado]]</f>
        <v>0</v>
      </c>
      <c r="I3429" s="325" t="s">
        <v>15214</v>
      </c>
    </row>
    <row r="3430" spans="1:9" x14ac:dyDescent="0.25">
      <c r="A3430" s="353">
        <v>42975</v>
      </c>
      <c r="B3430" s="326" t="s">
        <v>27310</v>
      </c>
      <c r="C3430" s="327">
        <v>125402</v>
      </c>
      <c r="D3430" s="136" t="s">
        <v>15398</v>
      </c>
      <c r="E3430" s="328">
        <v>4124.5</v>
      </c>
      <c r="F3430" s="329">
        <v>42975</v>
      </c>
      <c r="G3430" s="328">
        <v>4124.5</v>
      </c>
      <c r="H3430" s="330">
        <f>Tabla13[[#This Row],[Importe]]-Tabla13[[#This Row],[Pagado]]</f>
        <v>0</v>
      </c>
      <c r="I3430" s="331" t="s">
        <v>15214</v>
      </c>
    </row>
    <row r="3431" spans="1:9" x14ac:dyDescent="0.25">
      <c r="A3431" s="319">
        <v>42975</v>
      </c>
      <c r="B3431" s="320" t="s">
        <v>27311</v>
      </c>
      <c r="C3431" s="321">
        <v>125403</v>
      </c>
      <c r="D3431" s="142" t="s">
        <v>15334</v>
      </c>
      <c r="E3431" s="322">
        <v>1920</v>
      </c>
      <c r="F3431" s="323">
        <v>42976</v>
      </c>
      <c r="G3431" s="322">
        <v>1920</v>
      </c>
      <c r="H3431" s="324">
        <f>Tabla13[[#This Row],[Importe]]-Tabla13[[#This Row],[Pagado]]</f>
        <v>0</v>
      </c>
      <c r="I3431" s="325" t="s">
        <v>15214</v>
      </c>
    </row>
    <row r="3432" spans="1:9" x14ac:dyDescent="0.25">
      <c r="A3432" s="353">
        <v>42975</v>
      </c>
      <c r="B3432" s="326" t="s">
        <v>27312</v>
      </c>
      <c r="C3432" s="327">
        <v>125404</v>
      </c>
      <c r="D3432" s="136" t="s">
        <v>15334</v>
      </c>
      <c r="E3432" s="328">
        <v>1800</v>
      </c>
      <c r="F3432" s="323">
        <v>42976</v>
      </c>
      <c r="G3432" s="328">
        <v>1800</v>
      </c>
      <c r="H3432" s="330">
        <f>Tabla13[[#This Row],[Importe]]-Tabla13[[#This Row],[Pagado]]</f>
        <v>0</v>
      </c>
      <c r="I3432" s="331" t="s">
        <v>15214</v>
      </c>
    </row>
    <row r="3433" spans="1:9" x14ac:dyDescent="0.25">
      <c r="A3433" s="319">
        <v>42975</v>
      </c>
      <c r="B3433" s="320" t="s">
        <v>27313</v>
      </c>
      <c r="C3433" s="321">
        <v>125405</v>
      </c>
      <c r="D3433" s="142" t="s">
        <v>15358</v>
      </c>
      <c r="E3433" s="322">
        <v>1217.3</v>
      </c>
      <c r="F3433" s="323">
        <v>42976</v>
      </c>
      <c r="G3433" s="322">
        <v>1217.3</v>
      </c>
      <c r="H3433" s="324">
        <f>Tabla13[[#This Row],[Importe]]-Tabla13[[#This Row],[Pagado]]</f>
        <v>0</v>
      </c>
      <c r="I3433" s="325" t="s">
        <v>15214</v>
      </c>
    </row>
    <row r="3434" spans="1:9" x14ac:dyDescent="0.25">
      <c r="A3434" s="353">
        <v>42975</v>
      </c>
      <c r="B3434" s="326" t="s">
        <v>27314</v>
      </c>
      <c r="C3434" s="327">
        <v>125406</v>
      </c>
      <c r="D3434" s="136" t="s">
        <v>15526</v>
      </c>
      <c r="E3434" s="328">
        <v>3293.4</v>
      </c>
      <c r="F3434" s="323">
        <v>42976</v>
      </c>
      <c r="G3434" s="328">
        <v>3293.4</v>
      </c>
      <c r="H3434" s="330">
        <f>Tabla13[[#This Row],[Importe]]-Tabla13[[#This Row],[Pagado]]</f>
        <v>0</v>
      </c>
      <c r="I3434" s="331" t="s">
        <v>15214</v>
      </c>
    </row>
    <row r="3435" spans="1:9" x14ac:dyDescent="0.25">
      <c r="A3435" s="319">
        <v>42975</v>
      </c>
      <c r="B3435" s="320" t="s">
        <v>27315</v>
      </c>
      <c r="C3435" s="321">
        <v>125407</v>
      </c>
      <c r="D3435" s="142" t="s">
        <v>17950</v>
      </c>
      <c r="E3435" s="322">
        <v>3969</v>
      </c>
      <c r="F3435" s="323">
        <v>42976</v>
      </c>
      <c r="G3435" s="322">
        <v>3969</v>
      </c>
      <c r="H3435" s="324">
        <f>Tabla13[[#This Row],[Importe]]-Tabla13[[#This Row],[Pagado]]</f>
        <v>0</v>
      </c>
      <c r="I3435" s="325" t="s">
        <v>15214</v>
      </c>
    </row>
    <row r="3436" spans="1:9" x14ac:dyDescent="0.25">
      <c r="A3436" s="319">
        <v>42975</v>
      </c>
      <c r="B3436" s="326" t="s">
        <v>27316</v>
      </c>
      <c r="C3436" s="327">
        <v>125408</v>
      </c>
      <c r="D3436" s="136" t="s">
        <v>17950</v>
      </c>
      <c r="E3436" s="328">
        <v>2585.4</v>
      </c>
      <c r="F3436" s="323">
        <v>42976</v>
      </c>
      <c r="G3436" s="328">
        <v>2585.4</v>
      </c>
      <c r="H3436" s="330">
        <f>Tabla13[[#This Row],[Importe]]-Tabla13[[#This Row],[Pagado]]</f>
        <v>0</v>
      </c>
      <c r="I3436" s="331" t="s">
        <v>15214</v>
      </c>
    </row>
    <row r="3437" spans="1:9" x14ac:dyDescent="0.25">
      <c r="A3437" s="353">
        <v>42975</v>
      </c>
      <c r="B3437" s="320" t="s">
        <v>27317</v>
      </c>
      <c r="C3437" s="321">
        <v>125409</v>
      </c>
      <c r="D3437" s="142" t="s">
        <v>15728</v>
      </c>
      <c r="E3437" s="322">
        <v>18921.599999999999</v>
      </c>
      <c r="F3437" s="323">
        <v>42975</v>
      </c>
      <c r="G3437" s="322">
        <v>18921.599999999999</v>
      </c>
      <c r="H3437" s="324">
        <f>Tabla13[[#This Row],[Importe]]-Tabla13[[#This Row],[Pagado]]</f>
        <v>0</v>
      </c>
      <c r="I3437" s="325" t="s">
        <v>15214</v>
      </c>
    </row>
    <row r="3438" spans="1:9" x14ac:dyDescent="0.25">
      <c r="A3438" s="319">
        <v>42975</v>
      </c>
      <c r="B3438" s="320" t="s">
        <v>27318</v>
      </c>
      <c r="C3438" s="321">
        <v>125410</v>
      </c>
      <c r="D3438" s="142" t="s">
        <v>15858</v>
      </c>
      <c r="E3438" s="322">
        <v>2727.64</v>
      </c>
      <c r="F3438" s="323">
        <v>42976</v>
      </c>
      <c r="G3438" s="322">
        <v>2727.64</v>
      </c>
      <c r="H3438" s="324">
        <f>Tabla13[[#This Row],[Importe]]-Tabla13[[#This Row],[Pagado]]</f>
        <v>0</v>
      </c>
      <c r="I3438" s="325" t="s">
        <v>15214</v>
      </c>
    </row>
    <row r="3439" spans="1:9" x14ac:dyDescent="0.25">
      <c r="A3439" s="353">
        <v>42975</v>
      </c>
      <c r="B3439" s="326" t="s">
        <v>27319</v>
      </c>
      <c r="C3439" s="327">
        <v>125411</v>
      </c>
      <c r="D3439" s="136" t="s">
        <v>15742</v>
      </c>
      <c r="E3439" s="328">
        <v>3211.7</v>
      </c>
      <c r="F3439" s="323">
        <v>42976</v>
      </c>
      <c r="G3439" s="328">
        <v>3211.7</v>
      </c>
      <c r="H3439" s="330">
        <f>Tabla13[[#This Row],[Importe]]-Tabla13[[#This Row],[Pagado]]</f>
        <v>0</v>
      </c>
      <c r="I3439" s="331" t="s">
        <v>15214</v>
      </c>
    </row>
    <row r="3440" spans="1:9" x14ac:dyDescent="0.25">
      <c r="A3440" s="319">
        <v>42975</v>
      </c>
      <c r="B3440" s="320" t="s">
        <v>27320</v>
      </c>
      <c r="C3440" s="321">
        <v>125412</v>
      </c>
      <c r="D3440" s="142" t="s">
        <v>15354</v>
      </c>
      <c r="E3440" s="322">
        <v>3041.4</v>
      </c>
      <c r="F3440" s="323">
        <v>42976</v>
      </c>
      <c r="G3440" s="322">
        <v>3041.4</v>
      </c>
      <c r="H3440" s="324">
        <f>Tabla13[[#This Row],[Importe]]-Tabla13[[#This Row],[Pagado]]</f>
        <v>0</v>
      </c>
      <c r="I3440" s="325" t="s">
        <v>15214</v>
      </c>
    </row>
    <row r="3441" spans="1:9" x14ac:dyDescent="0.25">
      <c r="A3441" s="353">
        <v>42975</v>
      </c>
      <c r="B3441" s="326" t="s">
        <v>27321</v>
      </c>
      <c r="C3441" s="327">
        <v>125413</v>
      </c>
      <c r="D3441" s="136" t="s">
        <v>15423</v>
      </c>
      <c r="E3441" s="328">
        <v>3583.9</v>
      </c>
      <c r="F3441" s="329">
        <v>42975</v>
      </c>
      <c r="G3441" s="328">
        <v>3583.9</v>
      </c>
      <c r="H3441" s="330">
        <f>Tabla13[[#This Row],[Importe]]-Tabla13[[#This Row],[Pagado]]</f>
        <v>0</v>
      </c>
      <c r="I3441" s="331" t="s">
        <v>15214</v>
      </c>
    </row>
    <row r="3442" spans="1:9" ht="30" x14ac:dyDescent="0.25">
      <c r="A3442" s="319">
        <v>42975</v>
      </c>
      <c r="B3442" s="320" t="s">
        <v>27322</v>
      </c>
      <c r="C3442" s="321">
        <v>125414</v>
      </c>
      <c r="D3442" s="142" t="s">
        <v>15328</v>
      </c>
      <c r="E3442" s="322">
        <v>49961.68</v>
      </c>
      <c r="F3442" s="363" t="s">
        <v>27691</v>
      </c>
      <c r="G3442" s="364">
        <f>30130+19831.68</f>
        <v>49961.68</v>
      </c>
      <c r="H3442" s="365">
        <f>Tabla13[[#This Row],[Importe]]-Tabla13[[#This Row],[Pagado]]</f>
        <v>0</v>
      </c>
      <c r="I3442" s="325" t="s">
        <v>15214</v>
      </c>
    </row>
    <row r="3443" spans="1:9" x14ac:dyDescent="0.25">
      <c r="A3443" s="353">
        <v>42975</v>
      </c>
      <c r="B3443" s="326" t="s">
        <v>27323</v>
      </c>
      <c r="C3443" s="327">
        <v>125415</v>
      </c>
      <c r="D3443" s="136" t="s">
        <v>15376</v>
      </c>
      <c r="E3443" s="328">
        <v>2080</v>
      </c>
      <c r="F3443" s="323">
        <v>42976</v>
      </c>
      <c r="G3443" s="328">
        <v>2080</v>
      </c>
      <c r="H3443" s="330">
        <f>Tabla13[[#This Row],[Importe]]-Tabla13[[#This Row],[Pagado]]</f>
        <v>0</v>
      </c>
      <c r="I3443" s="331" t="s">
        <v>15214</v>
      </c>
    </row>
    <row r="3444" spans="1:9" x14ac:dyDescent="0.25">
      <c r="A3444" s="319">
        <v>42975</v>
      </c>
      <c r="B3444" s="320" t="s">
        <v>27324</v>
      </c>
      <c r="C3444" s="321">
        <v>125416</v>
      </c>
      <c r="D3444" s="142" t="s">
        <v>19697</v>
      </c>
      <c r="E3444" s="322">
        <v>1045</v>
      </c>
      <c r="F3444" s="323">
        <v>42976</v>
      </c>
      <c r="G3444" s="322">
        <v>1045</v>
      </c>
      <c r="H3444" s="324">
        <f>Tabla13[[#This Row],[Importe]]-Tabla13[[#This Row],[Pagado]]</f>
        <v>0</v>
      </c>
      <c r="I3444" s="325" t="s">
        <v>15214</v>
      </c>
    </row>
    <row r="3445" spans="1:9" x14ac:dyDescent="0.25">
      <c r="A3445" s="353">
        <v>42975</v>
      </c>
      <c r="B3445" s="326" t="s">
        <v>27325</v>
      </c>
      <c r="C3445" s="327">
        <v>125417</v>
      </c>
      <c r="D3445" s="136" t="s">
        <v>15336</v>
      </c>
      <c r="E3445" s="328">
        <v>7417.6</v>
      </c>
      <c r="F3445" s="323">
        <v>42976</v>
      </c>
      <c r="G3445" s="328">
        <v>7417.6</v>
      </c>
      <c r="H3445" s="330">
        <f>Tabla13[[#This Row],[Importe]]-Tabla13[[#This Row],[Pagado]]</f>
        <v>0</v>
      </c>
      <c r="I3445" s="331" t="s">
        <v>15214</v>
      </c>
    </row>
    <row r="3446" spans="1:9" ht="15.75" x14ac:dyDescent="0.25">
      <c r="A3446" s="319">
        <v>42975</v>
      </c>
      <c r="B3446" s="320" t="s">
        <v>27326</v>
      </c>
      <c r="C3446" s="321">
        <v>125418</v>
      </c>
      <c r="D3446" s="332" t="s">
        <v>95</v>
      </c>
      <c r="E3446" s="322">
        <v>0</v>
      </c>
      <c r="F3446" s="333" t="s">
        <v>95</v>
      </c>
      <c r="G3446" s="322">
        <v>0</v>
      </c>
      <c r="H3446" s="324">
        <f>Tabla13[[#This Row],[Importe]]-Tabla13[[#This Row],[Pagado]]</f>
        <v>0</v>
      </c>
      <c r="I3446" s="325" t="s">
        <v>95</v>
      </c>
    </row>
    <row r="3447" spans="1:9" x14ac:dyDescent="0.25">
      <c r="A3447" s="319">
        <v>42975</v>
      </c>
      <c r="B3447" s="326" t="s">
        <v>27327</v>
      </c>
      <c r="C3447" s="327">
        <v>125419</v>
      </c>
      <c r="D3447" s="136" t="s">
        <v>16522</v>
      </c>
      <c r="E3447" s="328">
        <v>12624</v>
      </c>
      <c r="F3447" s="329">
        <v>43042</v>
      </c>
      <c r="G3447" s="328">
        <v>12624</v>
      </c>
      <c r="H3447" s="330">
        <f>Tabla13[[#This Row],[Importe]]-Tabla13[[#This Row],[Pagado]]</f>
        <v>0</v>
      </c>
      <c r="I3447" s="331" t="s">
        <v>15214</v>
      </c>
    </row>
    <row r="3448" spans="1:9" x14ac:dyDescent="0.25">
      <c r="A3448" s="353">
        <v>42975</v>
      </c>
      <c r="B3448" s="326" t="s">
        <v>27328</v>
      </c>
      <c r="C3448" s="327">
        <v>125420</v>
      </c>
      <c r="D3448" s="136" t="s">
        <v>15433</v>
      </c>
      <c r="E3448" s="328">
        <v>1256.4000000000001</v>
      </c>
      <c r="F3448" s="329">
        <v>42975</v>
      </c>
      <c r="G3448" s="328">
        <v>1256.4000000000001</v>
      </c>
      <c r="H3448" s="330">
        <f>Tabla13[[#This Row],[Importe]]-Tabla13[[#This Row],[Pagado]]</f>
        <v>0</v>
      </c>
      <c r="I3448" s="331" t="s">
        <v>15214</v>
      </c>
    </row>
    <row r="3449" spans="1:9" x14ac:dyDescent="0.25">
      <c r="A3449" s="319">
        <v>42975</v>
      </c>
      <c r="B3449" s="320" t="s">
        <v>27329</v>
      </c>
      <c r="C3449" s="321">
        <v>125421</v>
      </c>
      <c r="D3449" s="142" t="s">
        <v>15890</v>
      </c>
      <c r="E3449" s="322">
        <v>11017.12</v>
      </c>
      <c r="F3449" s="323">
        <v>42977</v>
      </c>
      <c r="G3449" s="322">
        <v>11017.12</v>
      </c>
      <c r="H3449" s="324">
        <f>Tabla13[[#This Row],[Importe]]-Tabla13[[#This Row],[Pagado]]</f>
        <v>0</v>
      </c>
      <c r="I3449" s="325" t="s">
        <v>15214</v>
      </c>
    </row>
    <row r="3450" spans="1:9" x14ac:dyDescent="0.25">
      <c r="A3450" s="353">
        <v>42975</v>
      </c>
      <c r="B3450" s="326" t="s">
        <v>27330</v>
      </c>
      <c r="C3450" s="327">
        <v>125422</v>
      </c>
      <c r="D3450" s="136" t="s">
        <v>19461</v>
      </c>
      <c r="E3450" s="328">
        <v>1954.8</v>
      </c>
      <c r="F3450" s="329">
        <v>42977</v>
      </c>
      <c r="G3450" s="328">
        <v>1954.8</v>
      </c>
      <c r="H3450" s="330">
        <f>Tabla13[[#This Row],[Importe]]-Tabla13[[#This Row],[Pagado]]</f>
        <v>0</v>
      </c>
      <c r="I3450" s="331" t="s">
        <v>15214</v>
      </c>
    </row>
    <row r="3451" spans="1:9" x14ac:dyDescent="0.25">
      <c r="A3451" s="319">
        <v>42975</v>
      </c>
      <c r="B3451" s="320" t="s">
        <v>27331</v>
      </c>
      <c r="C3451" s="321">
        <v>125423</v>
      </c>
      <c r="D3451" s="142" t="s">
        <v>5883</v>
      </c>
      <c r="E3451" s="322">
        <v>5384.22</v>
      </c>
      <c r="F3451" s="363">
        <v>42993</v>
      </c>
      <c r="G3451" s="155">
        <v>5384.22</v>
      </c>
      <c r="H3451" s="324">
        <f>Tabla13[[#This Row],[Importe]]-Tabla13[[#This Row],[Pagado]]</f>
        <v>0</v>
      </c>
      <c r="I3451" s="325" t="s">
        <v>15214</v>
      </c>
    </row>
    <row r="3452" spans="1:9" ht="30" x14ac:dyDescent="0.25">
      <c r="A3452" s="353">
        <v>42975</v>
      </c>
      <c r="B3452" s="326" t="s">
        <v>27332</v>
      </c>
      <c r="C3452" s="327">
        <v>125424</v>
      </c>
      <c r="D3452" s="136" t="s">
        <v>15267</v>
      </c>
      <c r="E3452" s="328">
        <v>32041.200000000001</v>
      </c>
      <c r="F3452" s="361" t="s">
        <v>27699</v>
      </c>
      <c r="G3452" s="362">
        <f>1284+30757.2</f>
        <v>32041.200000000001</v>
      </c>
      <c r="H3452" s="330">
        <f>Tabla13[[#This Row],[Importe]]-Tabla13[[#This Row],[Pagado]]</f>
        <v>0</v>
      </c>
      <c r="I3452" s="331" t="s">
        <v>15214</v>
      </c>
    </row>
    <row r="3453" spans="1:9" x14ac:dyDescent="0.25">
      <c r="A3453" s="319">
        <v>42975</v>
      </c>
      <c r="B3453" s="320" t="s">
        <v>27333</v>
      </c>
      <c r="C3453" s="321">
        <v>125425</v>
      </c>
      <c r="D3453" s="142" t="s">
        <v>15322</v>
      </c>
      <c r="E3453" s="322">
        <v>631.20000000000005</v>
      </c>
      <c r="F3453" s="323">
        <v>42975</v>
      </c>
      <c r="G3453" s="322">
        <v>631.20000000000005</v>
      </c>
      <c r="H3453" s="324">
        <f>Tabla13[[#This Row],[Importe]]-Tabla13[[#This Row],[Pagado]]</f>
        <v>0</v>
      </c>
      <c r="I3453" s="325" t="s">
        <v>15214</v>
      </c>
    </row>
    <row r="3454" spans="1:9" x14ac:dyDescent="0.25">
      <c r="A3454" s="353">
        <v>42975</v>
      </c>
      <c r="B3454" s="326" t="s">
        <v>27334</v>
      </c>
      <c r="C3454" s="327">
        <v>125426</v>
      </c>
      <c r="D3454" s="136" t="s">
        <v>15246</v>
      </c>
      <c r="E3454" s="328">
        <v>140980</v>
      </c>
      <c r="F3454" s="361">
        <v>42980</v>
      </c>
      <c r="G3454" s="362">
        <v>140980</v>
      </c>
      <c r="H3454" s="330">
        <f>Tabla13[[#This Row],[Importe]]-Tabla13[[#This Row],[Pagado]]</f>
        <v>0</v>
      </c>
      <c r="I3454" s="331" t="s">
        <v>15214</v>
      </c>
    </row>
    <row r="3455" spans="1:9" x14ac:dyDescent="0.25">
      <c r="A3455" s="319">
        <v>42975</v>
      </c>
      <c r="B3455" s="320" t="s">
        <v>27335</v>
      </c>
      <c r="C3455" s="321">
        <v>125427</v>
      </c>
      <c r="D3455" s="142" t="s">
        <v>15365</v>
      </c>
      <c r="E3455" s="322">
        <v>464439</v>
      </c>
      <c r="F3455" s="363">
        <v>42980</v>
      </c>
      <c r="G3455" s="155">
        <v>464439</v>
      </c>
      <c r="H3455" s="324">
        <f>Tabla13[[#This Row],[Importe]]-Tabla13[[#This Row],[Pagado]]</f>
        <v>0</v>
      </c>
      <c r="I3455" s="325" t="s">
        <v>15214</v>
      </c>
    </row>
    <row r="3456" spans="1:9" x14ac:dyDescent="0.25">
      <c r="A3456" s="353">
        <v>42975</v>
      </c>
      <c r="B3456" s="326" t="s">
        <v>27336</v>
      </c>
      <c r="C3456" s="327">
        <v>125428</v>
      </c>
      <c r="D3456" s="136" t="s">
        <v>15298</v>
      </c>
      <c r="E3456" s="328">
        <v>28935.5</v>
      </c>
      <c r="F3456" s="361">
        <v>42989</v>
      </c>
      <c r="G3456" s="362">
        <v>28935.5</v>
      </c>
      <c r="H3456" s="330">
        <f>Tabla13[[#This Row],[Importe]]-Tabla13[[#This Row],[Pagado]]</f>
        <v>0</v>
      </c>
      <c r="I3456" s="331" t="s">
        <v>15214</v>
      </c>
    </row>
    <row r="3457" spans="1:9" x14ac:dyDescent="0.25">
      <c r="A3457" s="319">
        <v>42975</v>
      </c>
      <c r="B3457" s="320" t="s">
        <v>27337</v>
      </c>
      <c r="C3457" s="321">
        <v>125429</v>
      </c>
      <c r="D3457" s="142" t="s">
        <v>15444</v>
      </c>
      <c r="E3457" s="322">
        <v>3070.4</v>
      </c>
      <c r="F3457" s="323">
        <v>42976</v>
      </c>
      <c r="G3457" s="322">
        <v>3070.4</v>
      </c>
      <c r="H3457" s="324">
        <f>Tabla13[[#This Row],[Importe]]-Tabla13[[#This Row],[Pagado]]</f>
        <v>0</v>
      </c>
      <c r="I3457" s="325" t="s">
        <v>15214</v>
      </c>
    </row>
    <row r="3458" spans="1:9" x14ac:dyDescent="0.25">
      <c r="A3458" s="319">
        <v>42975</v>
      </c>
      <c r="B3458" s="320" t="s">
        <v>27338</v>
      </c>
      <c r="C3458" s="321">
        <v>125430</v>
      </c>
      <c r="D3458" s="142" t="s">
        <v>15342</v>
      </c>
      <c r="E3458" s="322">
        <v>630</v>
      </c>
      <c r="F3458" s="323">
        <v>42976</v>
      </c>
      <c r="G3458" s="322">
        <v>630</v>
      </c>
      <c r="H3458" s="324">
        <f>Tabla13[[#This Row],[Importe]]-Tabla13[[#This Row],[Pagado]]</f>
        <v>0</v>
      </c>
      <c r="I3458" s="325" t="s">
        <v>15214</v>
      </c>
    </row>
    <row r="3459" spans="1:9" x14ac:dyDescent="0.25">
      <c r="A3459" s="353">
        <v>42975</v>
      </c>
      <c r="B3459" s="326" t="s">
        <v>27339</v>
      </c>
      <c r="C3459" s="327">
        <v>125431</v>
      </c>
      <c r="D3459" s="136" t="s">
        <v>15267</v>
      </c>
      <c r="E3459" s="328">
        <v>10936.5</v>
      </c>
      <c r="F3459" s="329">
        <v>42975</v>
      </c>
      <c r="G3459" s="328">
        <v>10936.5</v>
      </c>
      <c r="H3459" s="330">
        <f>Tabla13[[#This Row],[Importe]]-Tabla13[[#This Row],[Pagado]]</f>
        <v>0</v>
      </c>
      <c r="I3459" s="331" t="s">
        <v>15214</v>
      </c>
    </row>
    <row r="3460" spans="1:9" ht="15.75" x14ac:dyDescent="0.25">
      <c r="A3460" s="319">
        <v>42975</v>
      </c>
      <c r="B3460" s="320" t="s">
        <v>27340</v>
      </c>
      <c r="C3460" s="321">
        <v>125432</v>
      </c>
      <c r="D3460" s="332" t="s">
        <v>95</v>
      </c>
      <c r="E3460" s="322">
        <v>0</v>
      </c>
      <c r="F3460" s="333" t="s">
        <v>95</v>
      </c>
      <c r="G3460" s="322">
        <v>0</v>
      </c>
      <c r="H3460" s="324">
        <f>Tabla13[[#This Row],[Importe]]-Tabla13[[#This Row],[Pagado]]</f>
        <v>0</v>
      </c>
      <c r="I3460" s="325" t="s">
        <v>95</v>
      </c>
    </row>
    <row r="3461" spans="1:9" x14ac:dyDescent="0.25">
      <c r="A3461" s="353">
        <v>42975</v>
      </c>
      <c r="B3461" s="326" t="s">
        <v>27341</v>
      </c>
      <c r="C3461" s="327">
        <v>125433</v>
      </c>
      <c r="D3461" s="136" t="s">
        <v>15442</v>
      </c>
      <c r="E3461" s="328">
        <v>15399</v>
      </c>
      <c r="F3461" s="329">
        <v>42977</v>
      </c>
      <c r="G3461" s="328">
        <v>15399</v>
      </c>
      <c r="H3461" s="330">
        <f>Tabla13[[#This Row],[Importe]]-Tabla13[[#This Row],[Pagado]]</f>
        <v>0</v>
      </c>
      <c r="I3461" s="331" t="s">
        <v>15214</v>
      </c>
    </row>
    <row r="3462" spans="1:9" ht="15.75" x14ac:dyDescent="0.25">
      <c r="A3462" s="319">
        <v>42975</v>
      </c>
      <c r="B3462" s="320" t="s">
        <v>27342</v>
      </c>
      <c r="C3462" s="321">
        <v>125434</v>
      </c>
      <c r="D3462" s="332" t="s">
        <v>95</v>
      </c>
      <c r="E3462" s="322">
        <v>0</v>
      </c>
      <c r="F3462" s="333" t="s">
        <v>95</v>
      </c>
      <c r="G3462" s="322">
        <v>0</v>
      </c>
      <c r="H3462" s="324">
        <f>Tabla13[[#This Row],[Importe]]-Tabla13[[#This Row],[Pagado]]</f>
        <v>0</v>
      </c>
      <c r="I3462" s="325" t="s">
        <v>95</v>
      </c>
    </row>
    <row r="3463" spans="1:9" x14ac:dyDescent="0.25">
      <c r="A3463" s="353">
        <v>42975</v>
      </c>
      <c r="B3463" s="326" t="s">
        <v>27343</v>
      </c>
      <c r="C3463" s="327">
        <v>125435</v>
      </c>
      <c r="D3463" s="136" t="s">
        <v>19699</v>
      </c>
      <c r="E3463" s="328">
        <v>1920</v>
      </c>
      <c r="F3463" s="329">
        <v>42975</v>
      </c>
      <c r="G3463" s="328">
        <v>1920</v>
      </c>
      <c r="H3463" s="330">
        <f>Tabla13[[#This Row],[Importe]]-Tabla13[[#This Row],[Pagado]]</f>
        <v>0</v>
      </c>
      <c r="I3463" s="331" t="s">
        <v>15214</v>
      </c>
    </row>
    <row r="3464" spans="1:9" x14ac:dyDescent="0.25">
      <c r="A3464" s="319">
        <v>42975</v>
      </c>
      <c r="B3464" s="355" t="s">
        <v>27344</v>
      </c>
      <c r="C3464" s="356">
        <v>125436</v>
      </c>
      <c r="D3464" s="357" t="s">
        <v>19699</v>
      </c>
      <c r="E3464" s="347">
        <v>1920</v>
      </c>
      <c r="F3464" s="349">
        <v>42975</v>
      </c>
      <c r="G3464" s="347">
        <v>1920</v>
      </c>
      <c r="H3464" s="348">
        <f>Tabla13[[#This Row],[Importe]]-Tabla13[[#This Row],[Pagado]]</f>
        <v>0</v>
      </c>
      <c r="I3464" s="358" t="s">
        <v>15214</v>
      </c>
    </row>
    <row r="3465" spans="1:9" x14ac:dyDescent="0.25">
      <c r="A3465" s="353">
        <v>42975</v>
      </c>
      <c r="B3465" s="326" t="s">
        <v>27345</v>
      </c>
      <c r="C3465" s="327">
        <v>125437</v>
      </c>
      <c r="D3465" s="136" t="s">
        <v>15562</v>
      </c>
      <c r="E3465" s="328">
        <v>3095</v>
      </c>
      <c r="F3465" s="329">
        <v>42975</v>
      </c>
      <c r="G3465" s="328">
        <v>3095</v>
      </c>
      <c r="H3465" s="330">
        <f>Tabla13[[#This Row],[Importe]]-Tabla13[[#This Row],[Pagado]]</f>
        <v>0</v>
      </c>
      <c r="I3465" s="331" t="s">
        <v>15214</v>
      </c>
    </row>
    <row r="3466" spans="1:9" x14ac:dyDescent="0.25">
      <c r="A3466" s="319">
        <v>42975</v>
      </c>
      <c r="B3466" s="320" t="s">
        <v>27346</v>
      </c>
      <c r="C3466" s="321">
        <v>125438</v>
      </c>
      <c r="D3466" s="142" t="s">
        <v>15246</v>
      </c>
      <c r="E3466" s="322">
        <v>91897.2</v>
      </c>
      <c r="F3466" s="363">
        <v>42980</v>
      </c>
      <c r="G3466" s="155">
        <v>91897.2</v>
      </c>
      <c r="H3466" s="324">
        <f>Tabla13[[#This Row],[Importe]]-Tabla13[[#This Row],[Pagado]]</f>
        <v>0</v>
      </c>
      <c r="I3466" s="325" t="s">
        <v>15214</v>
      </c>
    </row>
    <row r="3467" spans="1:9" x14ac:dyDescent="0.25">
      <c r="A3467" s="353">
        <v>42975</v>
      </c>
      <c r="B3467" s="326" t="s">
        <v>27347</v>
      </c>
      <c r="C3467" s="327">
        <v>125439</v>
      </c>
      <c r="D3467" s="136" t="s">
        <v>15435</v>
      </c>
      <c r="E3467" s="328">
        <v>7293.6</v>
      </c>
      <c r="F3467" s="329">
        <v>42976</v>
      </c>
      <c r="G3467" s="328">
        <v>7293.6</v>
      </c>
      <c r="H3467" s="330">
        <f>Tabla13[[#This Row],[Importe]]-Tabla13[[#This Row],[Pagado]]</f>
        <v>0</v>
      </c>
      <c r="I3467" s="331" t="s">
        <v>15214</v>
      </c>
    </row>
    <row r="3468" spans="1:9" x14ac:dyDescent="0.25">
      <c r="A3468" s="319">
        <v>42975</v>
      </c>
      <c r="B3468" s="326" t="s">
        <v>27348</v>
      </c>
      <c r="C3468" s="327">
        <v>125440</v>
      </c>
      <c r="D3468" s="136" t="s">
        <v>15252</v>
      </c>
      <c r="E3468" s="328">
        <v>3803.2</v>
      </c>
      <c r="F3468" s="361">
        <v>42979</v>
      </c>
      <c r="G3468" s="362">
        <v>3803.2</v>
      </c>
      <c r="H3468" s="330">
        <f>Tabla13[[#This Row],[Importe]]-Tabla13[[#This Row],[Pagado]]</f>
        <v>0</v>
      </c>
      <c r="I3468" s="331" t="s">
        <v>15214</v>
      </c>
    </row>
    <row r="3469" spans="1:9" x14ac:dyDescent="0.25">
      <c r="A3469" s="319">
        <v>42975</v>
      </c>
      <c r="B3469" s="320" t="s">
        <v>27349</v>
      </c>
      <c r="C3469" s="321">
        <v>125441</v>
      </c>
      <c r="D3469" s="142" t="s">
        <v>15642</v>
      </c>
      <c r="E3469" s="322">
        <v>4269.3</v>
      </c>
      <c r="F3469" s="323">
        <v>42976</v>
      </c>
      <c r="G3469" s="322">
        <v>4269.3</v>
      </c>
      <c r="H3469" s="324">
        <f>Tabla13[[#This Row],[Importe]]-Tabla13[[#This Row],[Pagado]]</f>
        <v>0</v>
      </c>
      <c r="I3469" s="325" t="s">
        <v>15214</v>
      </c>
    </row>
    <row r="3470" spans="1:9" x14ac:dyDescent="0.25">
      <c r="A3470" s="353">
        <v>42975</v>
      </c>
      <c r="B3470" s="326" t="s">
        <v>27350</v>
      </c>
      <c r="C3470" s="327">
        <v>125442</v>
      </c>
      <c r="D3470" s="136" t="s">
        <v>19680</v>
      </c>
      <c r="E3470" s="328">
        <v>363</v>
      </c>
      <c r="F3470" s="329">
        <v>42976</v>
      </c>
      <c r="G3470" s="328">
        <v>363</v>
      </c>
      <c r="H3470" s="330">
        <f>Tabla13[[#This Row],[Importe]]-Tabla13[[#This Row],[Pagado]]</f>
        <v>0</v>
      </c>
      <c r="I3470" s="331" t="s">
        <v>15214</v>
      </c>
    </row>
    <row r="3471" spans="1:9" ht="15.75" x14ac:dyDescent="0.25">
      <c r="A3471" s="319">
        <v>42975</v>
      </c>
      <c r="B3471" s="320" t="s">
        <v>27351</v>
      </c>
      <c r="C3471" s="321">
        <v>125443</v>
      </c>
      <c r="D3471" s="332" t="s">
        <v>95</v>
      </c>
      <c r="E3471" s="322">
        <v>0</v>
      </c>
      <c r="F3471" s="333" t="s">
        <v>95</v>
      </c>
      <c r="G3471" s="322">
        <v>0</v>
      </c>
      <c r="H3471" s="324">
        <f>Tabla13[[#This Row],[Importe]]-Tabla13[[#This Row],[Pagado]]</f>
        <v>0</v>
      </c>
      <c r="I3471" s="325" t="s">
        <v>95</v>
      </c>
    </row>
    <row r="3472" spans="1:9" x14ac:dyDescent="0.25">
      <c r="A3472" s="353">
        <v>42975</v>
      </c>
      <c r="B3472" s="326" t="s">
        <v>27352</v>
      </c>
      <c r="C3472" s="327">
        <v>125444</v>
      </c>
      <c r="D3472" s="136" t="s">
        <v>15315</v>
      </c>
      <c r="E3472" s="328">
        <v>770</v>
      </c>
      <c r="F3472" s="329">
        <v>42976</v>
      </c>
      <c r="G3472" s="328">
        <v>770</v>
      </c>
      <c r="H3472" s="330">
        <f>Tabla13[[#This Row],[Importe]]-Tabla13[[#This Row],[Pagado]]</f>
        <v>0</v>
      </c>
      <c r="I3472" s="331" t="s">
        <v>15214</v>
      </c>
    </row>
    <row r="3473" spans="1:9" x14ac:dyDescent="0.25">
      <c r="A3473" s="319">
        <v>42975</v>
      </c>
      <c r="B3473" s="320" t="s">
        <v>27353</v>
      </c>
      <c r="C3473" s="321">
        <v>125445</v>
      </c>
      <c r="D3473" s="142" t="s">
        <v>15391</v>
      </c>
      <c r="E3473" s="322">
        <v>7200</v>
      </c>
      <c r="F3473" s="323">
        <v>42977</v>
      </c>
      <c r="G3473" s="322">
        <v>7200</v>
      </c>
      <c r="H3473" s="324">
        <f>Tabla13[[#This Row],[Importe]]-Tabla13[[#This Row],[Pagado]]</f>
        <v>0</v>
      </c>
      <c r="I3473" s="325" t="s">
        <v>15214</v>
      </c>
    </row>
    <row r="3474" spans="1:9" x14ac:dyDescent="0.25">
      <c r="A3474" s="359">
        <v>42976</v>
      </c>
      <c r="B3474" s="326" t="s">
        <v>27354</v>
      </c>
      <c r="C3474" s="327">
        <v>125446</v>
      </c>
      <c r="D3474" s="136" t="s">
        <v>21386</v>
      </c>
      <c r="E3474" s="328">
        <v>10340</v>
      </c>
      <c r="F3474" s="329">
        <v>42978</v>
      </c>
      <c r="G3474" s="328">
        <v>10340</v>
      </c>
      <c r="H3474" s="330">
        <f>Tabla13[[#This Row],[Importe]]-Tabla13[[#This Row],[Pagado]]</f>
        <v>0</v>
      </c>
      <c r="I3474" s="331" t="s">
        <v>15214</v>
      </c>
    </row>
    <row r="3475" spans="1:9" x14ac:dyDescent="0.25">
      <c r="A3475" s="319">
        <v>42976</v>
      </c>
      <c r="B3475" s="320" t="s">
        <v>27355</v>
      </c>
      <c r="C3475" s="321">
        <v>125447</v>
      </c>
      <c r="D3475" s="142" t="s">
        <v>15213</v>
      </c>
      <c r="E3475" s="322">
        <v>33188.5</v>
      </c>
      <c r="F3475" s="323">
        <v>42977</v>
      </c>
      <c r="G3475" s="322">
        <v>33188.5</v>
      </c>
      <c r="H3475" s="324">
        <f>Tabla13[[#This Row],[Importe]]-Tabla13[[#This Row],[Pagado]]</f>
        <v>0</v>
      </c>
      <c r="I3475" s="325" t="s">
        <v>15214</v>
      </c>
    </row>
    <row r="3476" spans="1:9" x14ac:dyDescent="0.25">
      <c r="A3476" s="359">
        <v>42976</v>
      </c>
      <c r="B3476" s="326" t="s">
        <v>27356</v>
      </c>
      <c r="C3476" s="327">
        <v>125448</v>
      </c>
      <c r="D3476" s="136" t="s">
        <v>15330</v>
      </c>
      <c r="E3476" s="328">
        <v>5200</v>
      </c>
      <c r="F3476" s="329">
        <v>42976</v>
      </c>
      <c r="G3476" s="328">
        <v>5200</v>
      </c>
      <c r="H3476" s="330">
        <f>Tabla13[[#This Row],[Importe]]-Tabla13[[#This Row],[Pagado]]</f>
        <v>0</v>
      </c>
      <c r="I3476" s="331" t="s">
        <v>15214</v>
      </c>
    </row>
    <row r="3477" spans="1:9" x14ac:dyDescent="0.25">
      <c r="A3477" s="319">
        <v>42976</v>
      </c>
      <c r="B3477" s="320" t="s">
        <v>27357</v>
      </c>
      <c r="C3477" s="321">
        <v>125449</v>
      </c>
      <c r="D3477" s="142" t="s">
        <v>15220</v>
      </c>
      <c r="E3477" s="322">
        <v>2400</v>
      </c>
      <c r="F3477" s="340">
        <v>42976</v>
      </c>
      <c r="G3477" s="322">
        <v>2400</v>
      </c>
      <c r="H3477" s="324">
        <f>Tabla13[[#This Row],[Importe]]-Tabla13[[#This Row],[Pagado]]</f>
        <v>0</v>
      </c>
      <c r="I3477" s="325" t="s">
        <v>15214</v>
      </c>
    </row>
    <row r="3478" spans="1:9" x14ac:dyDescent="0.25">
      <c r="A3478" s="359">
        <v>42976</v>
      </c>
      <c r="B3478" s="320" t="s">
        <v>27358</v>
      </c>
      <c r="C3478" s="321">
        <v>125450</v>
      </c>
      <c r="D3478" s="142" t="s">
        <v>19302</v>
      </c>
      <c r="E3478" s="322">
        <v>720</v>
      </c>
      <c r="F3478" s="329">
        <v>42976</v>
      </c>
      <c r="G3478" s="322">
        <v>720</v>
      </c>
      <c r="H3478" s="324">
        <f>Tabla13[[#This Row],[Importe]]-Tabla13[[#This Row],[Pagado]]</f>
        <v>0</v>
      </c>
      <c r="I3478" s="325" t="s">
        <v>15214</v>
      </c>
    </row>
    <row r="3479" spans="1:9" x14ac:dyDescent="0.25">
      <c r="A3479" s="319">
        <v>42976</v>
      </c>
      <c r="B3479" s="326" t="s">
        <v>27359</v>
      </c>
      <c r="C3479" s="327">
        <v>125451</v>
      </c>
      <c r="D3479" s="136" t="s">
        <v>15348</v>
      </c>
      <c r="E3479" s="328">
        <v>3528</v>
      </c>
      <c r="F3479" s="329">
        <v>42978</v>
      </c>
      <c r="G3479" s="328">
        <v>3528</v>
      </c>
      <c r="H3479" s="330">
        <f>Tabla13[[#This Row],[Importe]]-Tabla13[[#This Row],[Pagado]]</f>
        <v>0</v>
      </c>
      <c r="I3479" s="331" t="s">
        <v>15214</v>
      </c>
    </row>
    <row r="3480" spans="1:9" x14ac:dyDescent="0.25">
      <c r="A3480" s="359">
        <v>42976</v>
      </c>
      <c r="B3480" s="320" t="s">
        <v>27360</v>
      </c>
      <c r="C3480" s="321">
        <v>125452</v>
      </c>
      <c r="D3480" s="142" t="s">
        <v>15523</v>
      </c>
      <c r="E3480" s="322">
        <v>1200</v>
      </c>
      <c r="F3480" s="329">
        <v>42976</v>
      </c>
      <c r="G3480" s="322">
        <v>1200</v>
      </c>
      <c r="H3480" s="324">
        <f>Tabla13[[#This Row],[Importe]]-Tabla13[[#This Row],[Pagado]]</f>
        <v>0</v>
      </c>
      <c r="I3480" s="325" t="s">
        <v>15214</v>
      </c>
    </row>
    <row r="3481" spans="1:9" x14ac:dyDescent="0.25">
      <c r="A3481" s="319">
        <v>42976</v>
      </c>
      <c r="B3481" s="326" t="s">
        <v>27361</v>
      </c>
      <c r="C3481" s="327">
        <v>125453</v>
      </c>
      <c r="D3481" s="136" t="s">
        <v>15356</v>
      </c>
      <c r="E3481" s="328">
        <v>2915.5</v>
      </c>
      <c r="F3481" s="329">
        <v>42976</v>
      </c>
      <c r="G3481" s="328">
        <v>2915.5</v>
      </c>
      <c r="H3481" s="330">
        <f>Tabla13[[#This Row],[Importe]]-Tabla13[[#This Row],[Pagado]]</f>
        <v>0</v>
      </c>
      <c r="I3481" s="331" t="s">
        <v>15214</v>
      </c>
    </row>
    <row r="3482" spans="1:9" x14ac:dyDescent="0.25">
      <c r="A3482" s="359">
        <v>42976</v>
      </c>
      <c r="B3482" s="320" t="s">
        <v>27362</v>
      </c>
      <c r="C3482" s="321">
        <v>125454</v>
      </c>
      <c r="D3482" s="142" t="s">
        <v>15332</v>
      </c>
      <c r="E3482" s="322">
        <v>2518.6</v>
      </c>
      <c r="F3482" s="329">
        <v>42976</v>
      </c>
      <c r="G3482" s="322">
        <v>2518.6</v>
      </c>
      <c r="H3482" s="324">
        <f>Tabla13[[#This Row],[Importe]]-Tabla13[[#This Row],[Pagado]]</f>
        <v>0</v>
      </c>
      <c r="I3482" s="325" t="s">
        <v>15214</v>
      </c>
    </row>
    <row r="3483" spans="1:9" x14ac:dyDescent="0.25">
      <c r="A3483" s="319">
        <v>42976</v>
      </c>
      <c r="B3483" s="326" t="s">
        <v>27363</v>
      </c>
      <c r="C3483" s="327">
        <v>125455</v>
      </c>
      <c r="D3483" s="136" t="s">
        <v>15742</v>
      </c>
      <c r="E3483" s="328">
        <v>2822.4</v>
      </c>
      <c r="F3483" s="329">
        <v>42976</v>
      </c>
      <c r="G3483" s="328">
        <v>2822.4</v>
      </c>
      <c r="H3483" s="330">
        <f>Tabla13[[#This Row],[Importe]]-Tabla13[[#This Row],[Pagado]]</f>
        <v>0</v>
      </c>
      <c r="I3483" s="331" t="s">
        <v>15214</v>
      </c>
    </row>
    <row r="3484" spans="1:9" x14ac:dyDescent="0.25">
      <c r="A3484" s="359">
        <v>42976</v>
      </c>
      <c r="B3484" s="320" t="s">
        <v>27364</v>
      </c>
      <c r="C3484" s="321">
        <v>125456</v>
      </c>
      <c r="D3484" s="142" t="s">
        <v>15358</v>
      </c>
      <c r="E3484" s="322">
        <v>1372.4</v>
      </c>
      <c r="F3484" s="329">
        <v>42976</v>
      </c>
      <c r="G3484" s="322">
        <v>1372.4</v>
      </c>
      <c r="H3484" s="324">
        <f>Tabla13[[#This Row],[Importe]]-Tabla13[[#This Row],[Pagado]]</f>
        <v>0</v>
      </c>
      <c r="I3484" s="325" t="s">
        <v>15214</v>
      </c>
    </row>
    <row r="3485" spans="1:9" x14ac:dyDescent="0.25">
      <c r="A3485" s="319">
        <v>42976</v>
      </c>
      <c r="B3485" s="326" t="s">
        <v>27365</v>
      </c>
      <c r="C3485" s="327">
        <v>125457</v>
      </c>
      <c r="D3485" s="136" t="s">
        <v>15230</v>
      </c>
      <c r="E3485" s="328">
        <v>6453.4</v>
      </c>
      <c r="F3485" s="361">
        <v>42980</v>
      </c>
      <c r="G3485" s="362">
        <v>6453.4</v>
      </c>
      <c r="H3485" s="330">
        <f>Tabla13[[#This Row],[Importe]]-Tabla13[[#This Row],[Pagado]]</f>
        <v>0</v>
      </c>
      <c r="I3485" s="331" t="s">
        <v>15214</v>
      </c>
    </row>
    <row r="3486" spans="1:9" x14ac:dyDescent="0.25">
      <c r="A3486" s="359">
        <v>42976</v>
      </c>
      <c r="B3486" s="320" t="s">
        <v>27366</v>
      </c>
      <c r="C3486" s="321">
        <v>125458</v>
      </c>
      <c r="D3486" s="142" t="s">
        <v>15344</v>
      </c>
      <c r="E3486" s="322">
        <v>2850</v>
      </c>
      <c r="F3486" s="329">
        <v>42976</v>
      </c>
      <c r="G3486" s="322">
        <v>2850</v>
      </c>
      <c r="H3486" s="324">
        <f>Tabla13[[#This Row],[Importe]]-Tabla13[[#This Row],[Pagado]]</f>
        <v>0</v>
      </c>
      <c r="I3486" s="325" t="s">
        <v>15214</v>
      </c>
    </row>
    <row r="3487" spans="1:9" x14ac:dyDescent="0.25">
      <c r="A3487" s="319">
        <v>42976</v>
      </c>
      <c r="B3487" s="326" t="s">
        <v>27367</v>
      </c>
      <c r="C3487" s="327">
        <v>125459</v>
      </c>
      <c r="D3487" s="136" t="s">
        <v>15526</v>
      </c>
      <c r="E3487" s="328">
        <v>1730</v>
      </c>
      <c r="F3487" s="329">
        <v>42976</v>
      </c>
      <c r="G3487" s="328">
        <v>1730</v>
      </c>
      <c r="H3487" s="330">
        <f>Tabla13[[#This Row],[Importe]]-Tabla13[[#This Row],[Pagado]]</f>
        <v>0</v>
      </c>
      <c r="I3487" s="331" t="s">
        <v>15214</v>
      </c>
    </row>
    <row r="3488" spans="1:9" x14ac:dyDescent="0.25">
      <c r="A3488" s="359">
        <v>42976</v>
      </c>
      <c r="B3488" s="326" t="s">
        <v>27368</v>
      </c>
      <c r="C3488" s="327">
        <v>125460</v>
      </c>
      <c r="D3488" s="136" t="s">
        <v>15223</v>
      </c>
      <c r="E3488" s="328">
        <v>50715</v>
      </c>
      <c r="F3488" s="329">
        <v>43000</v>
      </c>
      <c r="G3488" s="328">
        <v>50715</v>
      </c>
      <c r="H3488" s="330">
        <f>Tabla13[[#This Row],[Importe]]-Tabla13[[#This Row],[Pagado]]</f>
        <v>0</v>
      </c>
      <c r="I3488" s="331" t="s">
        <v>15214</v>
      </c>
    </row>
    <row r="3489" spans="1:9" x14ac:dyDescent="0.25">
      <c r="A3489" s="319">
        <v>42976</v>
      </c>
      <c r="B3489" s="320" t="s">
        <v>27369</v>
      </c>
      <c r="C3489" s="321">
        <v>125461</v>
      </c>
      <c r="D3489" s="142" t="s">
        <v>15236</v>
      </c>
      <c r="E3489" s="322">
        <v>3432</v>
      </c>
      <c r="F3489" s="323">
        <v>42978</v>
      </c>
      <c r="G3489" s="322">
        <v>3432</v>
      </c>
      <c r="H3489" s="324">
        <f>Tabla13[[#This Row],[Importe]]-Tabla13[[#This Row],[Pagado]]</f>
        <v>0</v>
      </c>
      <c r="I3489" s="325" t="s">
        <v>15214</v>
      </c>
    </row>
    <row r="3490" spans="1:9" ht="30" x14ac:dyDescent="0.25">
      <c r="A3490" s="359">
        <v>42976</v>
      </c>
      <c r="B3490" s="326" t="s">
        <v>27370</v>
      </c>
      <c r="C3490" s="327">
        <v>125462</v>
      </c>
      <c r="D3490" s="136" t="s">
        <v>15258</v>
      </c>
      <c r="E3490" s="328">
        <v>11192</v>
      </c>
      <c r="F3490" s="361" t="s">
        <v>27678</v>
      </c>
      <c r="G3490" s="364">
        <f>5000+6192</f>
        <v>11192</v>
      </c>
      <c r="H3490" s="365">
        <f>Tabla13[[#This Row],[Importe]]-Tabla13[[#This Row],[Pagado]]</f>
        <v>0</v>
      </c>
      <c r="I3490" s="331" t="s">
        <v>15214</v>
      </c>
    </row>
    <row r="3491" spans="1:9" x14ac:dyDescent="0.25">
      <c r="A3491" s="319">
        <v>42976</v>
      </c>
      <c r="B3491" s="320" t="s">
        <v>27371</v>
      </c>
      <c r="C3491" s="321">
        <v>125463</v>
      </c>
      <c r="D3491" s="142" t="s">
        <v>17462</v>
      </c>
      <c r="E3491" s="322">
        <v>5649.5</v>
      </c>
      <c r="F3491" s="329">
        <v>42976</v>
      </c>
      <c r="G3491" s="322">
        <v>5649.5</v>
      </c>
      <c r="H3491" s="324">
        <f>Tabla13[[#This Row],[Importe]]-Tabla13[[#This Row],[Pagado]]</f>
        <v>0</v>
      </c>
      <c r="I3491" s="325" t="s">
        <v>15214</v>
      </c>
    </row>
    <row r="3492" spans="1:9" x14ac:dyDescent="0.25">
      <c r="A3492" s="359">
        <v>42976</v>
      </c>
      <c r="B3492" s="326" t="s">
        <v>27372</v>
      </c>
      <c r="C3492" s="327">
        <v>125464</v>
      </c>
      <c r="D3492" s="136" t="s">
        <v>18544</v>
      </c>
      <c r="E3492" s="328">
        <v>7215.4</v>
      </c>
      <c r="F3492" s="329">
        <v>42976</v>
      </c>
      <c r="G3492" s="328">
        <v>7215.4</v>
      </c>
      <c r="H3492" s="330">
        <f>Tabla13[[#This Row],[Importe]]-Tabla13[[#This Row],[Pagado]]</f>
        <v>0</v>
      </c>
      <c r="I3492" s="331" t="s">
        <v>15214</v>
      </c>
    </row>
    <row r="3493" spans="1:9" x14ac:dyDescent="0.25">
      <c r="A3493" s="319">
        <v>42976</v>
      </c>
      <c r="B3493" s="320" t="s">
        <v>27373</v>
      </c>
      <c r="C3493" s="321">
        <v>125465</v>
      </c>
      <c r="D3493" s="142" t="s">
        <v>15336</v>
      </c>
      <c r="E3493" s="322">
        <v>175</v>
      </c>
      <c r="F3493" s="329">
        <v>42976</v>
      </c>
      <c r="G3493" s="322">
        <v>175</v>
      </c>
      <c r="H3493" s="324">
        <f>Tabla13[[#This Row],[Importe]]-Tabla13[[#This Row],[Pagado]]</f>
        <v>0</v>
      </c>
      <c r="I3493" s="325" t="s">
        <v>15214</v>
      </c>
    </row>
    <row r="3494" spans="1:9" x14ac:dyDescent="0.25">
      <c r="A3494" s="359">
        <v>42976</v>
      </c>
      <c r="B3494" s="326" t="s">
        <v>27374</v>
      </c>
      <c r="C3494" s="327">
        <v>125466</v>
      </c>
      <c r="D3494" s="136" t="s">
        <v>15272</v>
      </c>
      <c r="E3494" s="328">
        <v>14732.6</v>
      </c>
      <c r="F3494" s="329">
        <v>42976</v>
      </c>
      <c r="G3494" s="328">
        <v>14732.6</v>
      </c>
      <c r="H3494" s="330">
        <f>Tabla13[[#This Row],[Importe]]-Tabla13[[#This Row],[Pagado]]</f>
        <v>0</v>
      </c>
      <c r="I3494" s="331" t="s">
        <v>15214</v>
      </c>
    </row>
    <row r="3495" spans="1:9" x14ac:dyDescent="0.25">
      <c r="A3495" s="319">
        <v>42976</v>
      </c>
      <c r="B3495" s="320" t="s">
        <v>27375</v>
      </c>
      <c r="C3495" s="321">
        <v>125467</v>
      </c>
      <c r="D3495" s="142" t="s">
        <v>15371</v>
      </c>
      <c r="E3495" s="322">
        <v>3492.4</v>
      </c>
      <c r="F3495" s="323">
        <v>42977</v>
      </c>
      <c r="G3495" s="322">
        <v>3492.4</v>
      </c>
      <c r="H3495" s="324">
        <f>Tabla13[[#This Row],[Importe]]-Tabla13[[#This Row],[Pagado]]</f>
        <v>0</v>
      </c>
      <c r="I3495" s="325" t="s">
        <v>15214</v>
      </c>
    </row>
    <row r="3496" spans="1:9" x14ac:dyDescent="0.25">
      <c r="A3496" s="359">
        <v>42976</v>
      </c>
      <c r="B3496" s="326" t="s">
        <v>27376</v>
      </c>
      <c r="C3496" s="327">
        <v>125468</v>
      </c>
      <c r="D3496" s="136" t="s">
        <v>15240</v>
      </c>
      <c r="E3496" s="328">
        <v>3994.8</v>
      </c>
      <c r="F3496" s="329">
        <v>42976</v>
      </c>
      <c r="G3496" s="328">
        <v>3994.8</v>
      </c>
      <c r="H3496" s="330">
        <f>Tabla13[[#This Row],[Importe]]-Tabla13[[#This Row],[Pagado]]</f>
        <v>0</v>
      </c>
      <c r="I3496" s="331" t="s">
        <v>15214</v>
      </c>
    </row>
    <row r="3497" spans="1:9" x14ac:dyDescent="0.25">
      <c r="A3497" s="319">
        <v>42976</v>
      </c>
      <c r="B3497" s="320" t="s">
        <v>27377</v>
      </c>
      <c r="C3497" s="321">
        <v>125469</v>
      </c>
      <c r="D3497" s="142" t="s">
        <v>15234</v>
      </c>
      <c r="E3497" s="322">
        <v>3296</v>
      </c>
      <c r="F3497" s="363">
        <v>42979</v>
      </c>
      <c r="G3497" s="155">
        <v>3296</v>
      </c>
      <c r="H3497" s="324">
        <f>Tabla13[[#This Row],[Importe]]-Tabla13[[#This Row],[Pagado]]</f>
        <v>0</v>
      </c>
      <c r="I3497" s="325" t="s">
        <v>15214</v>
      </c>
    </row>
    <row r="3498" spans="1:9" x14ac:dyDescent="0.25">
      <c r="A3498" s="359">
        <v>42976</v>
      </c>
      <c r="B3498" s="320" t="s">
        <v>27378</v>
      </c>
      <c r="C3498" s="321">
        <v>125470</v>
      </c>
      <c r="D3498" s="142" t="s">
        <v>15668</v>
      </c>
      <c r="E3498" s="322">
        <v>11072</v>
      </c>
      <c r="F3498" s="323">
        <v>42977</v>
      </c>
      <c r="G3498" s="322">
        <v>11072</v>
      </c>
      <c r="H3498" s="324">
        <f>Tabla13[[#This Row],[Importe]]-Tabla13[[#This Row],[Pagado]]</f>
        <v>0</v>
      </c>
      <c r="I3498" s="325" t="s">
        <v>15214</v>
      </c>
    </row>
    <row r="3499" spans="1:9" x14ac:dyDescent="0.25">
      <c r="A3499" s="319">
        <v>42976</v>
      </c>
      <c r="B3499" s="326" t="s">
        <v>27379</v>
      </c>
      <c r="C3499" s="327">
        <v>125471</v>
      </c>
      <c r="D3499" s="136" t="s">
        <v>15315</v>
      </c>
      <c r="E3499" s="328">
        <v>2297</v>
      </c>
      <c r="F3499" s="329">
        <v>42976</v>
      </c>
      <c r="G3499" s="328">
        <v>2297</v>
      </c>
      <c r="H3499" s="330">
        <f>Tabla13[[#This Row],[Importe]]-Tabla13[[#This Row],[Pagado]]</f>
        <v>0</v>
      </c>
      <c r="I3499" s="331" t="s">
        <v>15214</v>
      </c>
    </row>
    <row r="3500" spans="1:9" x14ac:dyDescent="0.25">
      <c r="A3500" s="359">
        <v>42976</v>
      </c>
      <c r="B3500" s="320" t="s">
        <v>27380</v>
      </c>
      <c r="C3500" s="321">
        <v>125472</v>
      </c>
      <c r="D3500" s="142" t="s">
        <v>15530</v>
      </c>
      <c r="E3500" s="322">
        <v>4502.7</v>
      </c>
      <c r="F3500" s="323">
        <v>42976</v>
      </c>
      <c r="G3500" s="322">
        <v>4502.7</v>
      </c>
      <c r="H3500" s="324">
        <f>Tabla13[[#This Row],[Importe]]-Tabla13[[#This Row],[Pagado]]</f>
        <v>0</v>
      </c>
      <c r="I3500" s="325" t="s">
        <v>15214</v>
      </c>
    </row>
    <row r="3501" spans="1:9" x14ac:dyDescent="0.25">
      <c r="A3501" s="319">
        <v>42976</v>
      </c>
      <c r="B3501" s="326" t="s">
        <v>27381</v>
      </c>
      <c r="C3501" s="327">
        <v>125473</v>
      </c>
      <c r="D3501" s="136" t="s">
        <v>15226</v>
      </c>
      <c r="E3501" s="328">
        <v>2891</v>
      </c>
      <c r="F3501" s="329">
        <v>42978</v>
      </c>
      <c r="G3501" s="328">
        <v>2891</v>
      </c>
      <c r="H3501" s="330">
        <f>Tabla13[[#This Row],[Importe]]-Tabla13[[#This Row],[Pagado]]</f>
        <v>0</v>
      </c>
      <c r="I3501" s="331" t="s">
        <v>15214</v>
      </c>
    </row>
    <row r="3502" spans="1:9" x14ac:dyDescent="0.25">
      <c r="A3502" s="359">
        <v>42976</v>
      </c>
      <c r="B3502" s="320" t="s">
        <v>27382</v>
      </c>
      <c r="C3502" s="321">
        <v>125474</v>
      </c>
      <c r="D3502" s="142" t="s">
        <v>15263</v>
      </c>
      <c r="E3502" s="322">
        <v>3621</v>
      </c>
      <c r="F3502" s="323">
        <v>42976</v>
      </c>
      <c r="G3502" s="322">
        <v>3621</v>
      </c>
      <c r="H3502" s="324">
        <f>Tabla13[[#This Row],[Importe]]-Tabla13[[#This Row],[Pagado]]</f>
        <v>0</v>
      </c>
      <c r="I3502" s="325" t="s">
        <v>15214</v>
      </c>
    </row>
    <row r="3503" spans="1:9" x14ac:dyDescent="0.25">
      <c r="A3503" s="319">
        <v>42976</v>
      </c>
      <c r="B3503" s="326" t="s">
        <v>27383</v>
      </c>
      <c r="C3503" s="327">
        <v>125475</v>
      </c>
      <c r="D3503" s="136" t="s">
        <v>15334</v>
      </c>
      <c r="E3503" s="328">
        <v>720</v>
      </c>
      <c r="F3503" s="323">
        <v>42976</v>
      </c>
      <c r="G3503" s="328">
        <v>720</v>
      </c>
      <c r="H3503" s="330">
        <f>Tabla13[[#This Row],[Importe]]-Tabla13[[#This Row],[Pagado]]</f>
        <v>0</v>
      </c>
      <c r="I3503" s="331" t="s">
        <v>15214</v>
      </c>
    </row>
    <row r="3504" spans="1:9" x14ac:dyDescent="0.25">
      <c r="A3504" s="359">
        <v>42976</v>
      </c>
      <c r="B3504" s="320" t="s">
        <v>27384</v>
      </c>
      <c r="C3504" s="321">
        <v>125476</v>
      </c>
      <c r="D3504" s="142" t="s">
        <v>15248</v>
      </c>
      <c r="E3504" s="322">
        <v>22064.82</v>
      </c>
      <c r="F3504" s="323">
        <v>42976</v>
      </c>
      <c r="G3504" s="322">
        <v>22064.82</v>
      </c>
      <c r="H3504" s="324">
        <f>Tabla13[[#This Row],[Importe]]-Tabla13[[#This Row],[Pagado]]</f>
        <v>0</v>
      </c>
      <c r="I3504" s="325" t="s">
        <v>15214</v>
      </c>
    </row>
    <row r="3505" spans="1:9" x14ac:dyDescent="0.25">
      <c r="A3505" s="319">
        <v>42976</v>
      </c>
      <c r="B3505" s="326" t="s">
        <v>27385</v>
      </c>
      <c r="C3505" s="327">
        <v>125477</v>
      </c>
      <c r="D3505" s="136" t="s">
        <v>15232</v>
      </c>
      <c r="E3505" s="328">
        <v>5462.4</v>
      </c>
      <c r="F3505" s="329">
        <v>42978</v>
      </c>
      <c r="G3505" s="328">
        <v>5462.4</v>
      </c>
      <c r="H3505" s="330">
        <f>Tabla13[[#This Row],[Importe]]-Tabla13[[#This Row],[Pagado]]</f>
        <v>0</v>
      </c>
      <c r="I3505" s="331" t="s">
        <v>15214</v>
      </c>
    </row>
    <row r="3506" spans="1:9" ht="30" x14ac:dyDescent="0.25">
      <c r="A3506" s="359">
        <v>42976</v>
      </c>
      <c r="B3506" s="320" t="s">
        <v>27386</v>
      </c>
      <c r="C3506" s="321">
        <v>125478</v>
      </c>
      <c r="D3506" s="142" t="s">
        <v>15256</v>
      </c>
      <c r="E3506" s="322">
        <v>5871</v>
      </c>
      <c r="F3506" s="363" t="s">
        <v>27675</v>
      </c>
      <c r="G3506" s="364">
        <f>1800+4071</f>
        <v>5871</v>
      </c>
      <c r="H3506" s="365">
        <f>Tabla13[[#This Row],[Importe]]-Tabla13[[#This Row],[Pagado]]</f>
        <v>0</v>
      </c>
      <c r="I3506" s="325" t="s">
        <v>15214</v>
      </c>
    </row>
    <row r="3507" spans="1:9" x14ac:dyDescent="0.25">
      <c r="A3507" s="319">
        <v>42976</v>
      </c>
      <c r="B3507" s="326" t="s">
        <v>27387</v>
      </c>
      <c r="C3507" s="327">
        <v>125479</v>
      </c>
      <c r="D3507" s="136" t="s">
        <v>5575</v>
      </c>
      <c r="E3507" s="328">
        <v>3882.02</v>
      </c>
      <c r="F3507" s="329">
        <v>42977</v>
      </c>
      <c r="G3507" s="328">
        <v>3882.02</v>
      </c>
      <c r="H3507" s="330">
        <f>Tabla13[[#This Row],[Importe]]-Tabla13[[#This Row],[Pagado]]</f>
        <v>0</v>
      </c>
      <c r="I3507" s="331" t="s">
        <v>15214</v>
      </c>
    </row>
    <row r="3508" spans="1:9" ht="15.75" x14ac:dyDescent="0.25">
      <c r="A3508" s="359">
        <v>42976</v>
      </c>
      <c r="B3508" s="326" t="s">
        <v>27388</v>
      </c>
      <c r="C3508" s="327">
        <v>125480</v>
      </c>
      <c r="D3508" s="345" t="s">
        <v>95</v>
      </c>
      <c r="E3508" s="328">
        <v>0</v>
      </c>
      <c r="F3508" s="346" t="s">
        <v>95</v>
      </c>
      <c r="G3508" s="328">
        <v>0</v>
      </c>
      <c r="H3508" s="330">
        <f>Tabla13[[#This Row],[Importe]]-Tabla13[[#This Row],[Pagado]]</f>
        <v>0</v>
      </c>
      <c r="I3508" s="331" t="s">
        <v>95</v>
      </c>
    </row>
    <row r="3509" spans="1:9" x14ac:dyDescent="0.25">
      <c r="A3509" s="319">
        <v>42976</v>
      </c>
      <c r="B3509" s="320" t="s">
        <v>27389</v>
      </c>
      <c r="C3509" s="321">
        <v>125481</v>
      </c>
      <c r="D3509" s="142" t="s">
        <v>15987</v>
      </c>
      <c r="E3509" s="322">
        <v>2017.2</v>
      </c>
      <c r="F3509" s="323">
        <v>42976</v>
      </c>
      <c r="G3509" s="322">
        <v>2017.2</v>
      </c>
      <c r="H3509" s="324">
        <f>Tabla13[[#This Row],[Importe]]-Tabla13[[#This Row],[Pagado]]</f>
        <v>0</v>
      </c>
      <c r="I3509" s="325" t="s">
        <v>15214</v>
      </c>
    </row>
    <row r="3510" spans="1:9" x14ac:dyDescent="0.25">
      <c r="A3510" s="359">
        <v>42976</v>
      </c>
      <c r="B3510" s="326" t="s">
        <v>27390</v>
      </c>
      <c r="C3510" s="327">
        <v>125482</v>
      </c>
      <c r="D3510" s="136" t="s">
        <v>15438</v>
      </c>
      <c r="E3510" s="328">
        <v>831.2</v>
      </c>
      <c r="F3510" s="323">
        <v>42976</v>
      </c>
      <c r="G3510" s="328">
        <v>831.2</v>
      </c>
      <c r="H3510" s="330">
        <f>Tabla13[[#This Row],[Importe]]-Tabla13[[#This Row],[Pagado]]</f>
        <v>0</v>
      </c>
      <c r="I3510" s="331" t="s">
        <v>15214</v>
      </c>
    </row>
    <row r="3511" spans="1:9" x14ac:dyDescent="0.25">
      <c r="A3511" s="319">
        <v>42976</v>
      </c>
      <c r="B3511" s="320" t="s">
        <v>27391</v>
      </c>
      <c r="C3511" s="321">
        <v>125483</v>
      </c>
      <c r="D3511" s="142" t="s">
        <v>15438</v>
      </c>
      <c r="E3511" s="322">
        <v>787.6</v>
      </c>
      <c r="F3511" s="323">
        <v>42976</v>
      </c>
      <c r="G3511" s="322">
        <v>787.6</v>
      </c>
      <c r="H3511" s="324">
        <f>Tabla13[[#This Row],[Importe]]-Tabla13[[#This Row],[Pagado]]</f>
        <v>0</v>
      </c>
      <c r="I3511" s="325" t="s">
        <v>15214</v>
      </c>
    </row>
    <row r="3512" spans="1:9" x14ac:dyDescent="0.25">
      <c r="A3512" s="359">
        <v>42976</v>
      </c>
      <c r="B3512" s="326" t="s">
        <v>27392</v>
      </c>
      <c r="C3512" s="327">
        <v>125484</v>
      </c>
      <c r="D3512" s="136" t="s">
        <v>15280</v>
      </c>
      <c r="E3512" s="328">
        <v>4079.2</v>
      </c>
      <c r="F3512" s="323">
        <v>42976</v>
      </c>
      <c r="G3512" s="328">
        <v>4079.2</v>
      </c>
      <c r="H3512" s="330">
        <f>Tabla13[[#This Row],[Importe]]-Tabla13[[#This Row],[Pagado]]</f>
        <v>0</v>
      </c>
      <c r="I3512" s="331" t="s">
        <v>15214</v>
      </c>
    </row>
    <row r="3513" spans="1:9" x14ac:dyDescent="0.25">
      <c r="A3513" s="319">
        <v>42976</v>
      </c>
      <c r="B3513" s="320" t="s">
        <v>27393</v>
      </c>
      <c r="C3513" s="321">
        <v>125485</v>
      </c>
      <c r="D3513" s="142" t="s">
        <v>15324</v>
      </c>
      <c r="E3513" s="322">
        <v>1142</v>
      </c>
      <c r="F3513" s="323">
        <v>42976</v>
      </c>
      <c r="G3513" s="322">
        <v>1142</v>
      </c>
      <c r="H3513" s="324">
        <f>Tabla13[[#This Row],[Importe]]-Tabla13[[#This Row],[Pagado]]</f>
        <v>0</v>
      </c>
      <c r="I3513" s="325" t="s">
        <v>15214</v>
      </c>
    </row>
    <row r="3514" spans="1:9" x14ac:dyDescent="0.25">
      <c r="A3514" s="359">
        <v>42976</v>
      </c>
      <c r="B3514" s="326" t="s">
        <v>27394</v>
      </c>
      <c r="C3514" s="327">
        <v>125486</v>
      </c>
      <c r="D3514" s="136" t="s">
        <v>15280</v>
      </c>
      <c r="E3514" s="328">
        <v>148.80000000000001</v>
      </c>
      <c r="F3514" s="323">
        <v>42976</v>
      </c>
      <c r="G3514" s="328">
        <v>148.80000000000001</v>
      </c>
      <c r="H3514" s="330">
        <f>Tabla13[[#This Row],[Importe]]-Tabla13[[#This Row],[Pagado]]</f>
        <v>0</v>
      </c>
      <c r="I3514" s="331" t="s">
        <v>15214</v>
      </c>
    </row>
    <row r="3515" spans="1:9" x14ac:dyDescent="0.25">
      <c r="A3515" s="319">
        <v>42976</v>
      </c>
      <c r="B3515" s="320" t="s">
        <v>27395</v>
      </c>
      <c r="C3515" s="321">
        <v>125487</v>
      </c>
      <c r="D3515" s="142" t="s">
        <v>19754</v>
      </c>
      <c r="E3515" s="322">
        <v>22057</v>
      </c>
      <c r="F3515" s="323">
        <v>42976</v>
      </c>
      <c r="G3515" s="322">
        <v>22057</v>
      </c>
      <c r="H3515" s="324">
        <f>Tabla13[[#This Row],[Importe]]-Tabla13[[#This Row],[Pagado]]</f>
        <v>0</v>
      </c>
      <c r="I3515" s="325" t="s">
        <v>15214</v>
      </c>
    </row>
    <row r="3516" spans="1:9" x14ac:dyDescent="0.25">
      <c r="A3516" s="359">
        <v>42976</v>
      </c>
      <c r="B3516" s="326" t="s">
        <v>27396</v>
      </c>
      <c r="C3516" s="327">
        <v>125488</v>
      </c>
      <c r="D3516" s="136" t="s">
        <v>15338</v>
      </c>
      <c r="E3516" s="328">
        <v>10593.6</v>
      </c>
      <c r="F3516" s="361">
        <v>42979</v>
      </c>
      <c r="G3516" s="362">
        <v>10593.6</v>
      </c>
      <c r="H3516" s="330">
        <f>Tabla13[[#This Row],[Importe]]-Tabla13[[#This Row],[Pagado]]</f>
        <v>0</v>
      </c>
      <c r="I3516" s="331" t="s">
        <v>15214</v>
      </c>
    </row>
    <row r="3517" spans="1:9" x14ac:dyDescent="0.25">
      <c r="A3517" s="319">
        <v>42976</v>
      </c>
      <c r="B3517" s="320" t="s">
        <v>27397</v>
      </c>
      <c r="C3517" s="321">
        <v>125489</v>
      </c>
      <c r="D3517" s="142" t="s">
        <v>15284</v>
      </c>
      <c r="E3517" s="322">
        <v>1089.8</v>
      </c>
      <c r="F3517" s="323">
        <v>42976</v>
      </c>
      <c r="G3517" s="322">
        <v>1089.8</v>
      </c>
      <c r="H3517" s="324">
        <f>Tabla13[[#This Row],[Importe]]-Tabla13[[#This Row],[Pagado]]</f>
        <v>0</v>
      </c>
      <c r="I3517" s="325" t="s">
        <v>15214</v>
      </c>
    </row>
    <row r="3518" spans="1:9" x14ac:dyDescent="0.25">
      <c r="A3518" s="359">
        <v>42976</v>
      </c>
      <c r="B3518" s="320" t="s">
        <v>27398</v>
      </c>
      <c r="C3518" s="321">
        <v>125490</v>
      </c>
      <c r="D3518" s="142" t="s">
        <v>15250</v>
      </c>
      <c r="E3518" s="322">
        <v>2427</v>
      </c>
      <c r="F3518" s="363">
        <v>42987</v>
      </c>
      <c r="G3518" s="155">
        <v>2427</v>
      </c>
      <c r="H3518" s="330">
        <f>Tabla13[[#This Row],[Importe]]-Tabla13[[#This Row],[Pagado]]</f>
        <v>0</v>
      </c>
      <c r="I3518" s="325" t="s">
        <v>15214</v>
      </c>
    </row>
    <row r="3519" spans="1:9" ht="15.75" x14ac:dyDescent="0.25">
      <c r="A3519" s="319">
        <v>42976</v>
      </c>
      <c r="B3519" s="336" t="s">
        <v>27399</v>
      </c>
      <c r="C3519" s="337">
        <v>125491</v>
      </c>
      <c r="D3519" s="351" t="s">
        <v>95</v>
      </c>
      <c r="E3519" s="339">
        <v>0</v>
      </c>
      <c r="F3519" s="352" t="s">
        <v>95</v>
      </c>
      <c r="G3519" s="339">
        <v>0</v>
      </c>
      <c r="H3519" s="324">
        <f>Tabla13[[#This Row],[Importe]]-Tabla13[[#This Row],[Pagado]]</f>
        <v>0</v>
      </c>
      <c r="I3519" s="342" t="s">
        <v>95</v>
      </c>
    </row>
    <row r="3520" spans="1:9" x14ac:dyDescent="0.25">
      <c r="A3520" s="359">
        <v>42976</v>
      </c>
      <c r="B3520" s="320" t="s">
        <v>27400</v>
      </c>
      <c r="C3520" s="321">
        <v>125492</v>
      </c>
      <c r="D3520" s="142" t="s">
        <v>15246</v>
      </c>
      <c r="E3520" s="322">
        <v>456</v>
      </c>
      <c r="F3520" s="363">
        <v>42980</v>
      </c>
      <c r="G3520" s="155">
        <v>456</v>
      </c>
      <c r="H3520" s="330">
        <f>Tabla13[[#This Row],[Importe]]-Tabla13[[#This Row],[Pagado]]</f>
        <v>0</v>
      </c>
      <c r="I3520" s="325" t="s">
        <v>15214</v>
      </c>
    </row>
    <row r="3521" spans="1:9" x14ac:dyDescent="0.25">
      <c r="A3521" s="319">
        <v>42976</v>
      </c>
      <c r="B3521" s="336" t="s">
        <v>27401</v>
      </c>
      <c r="C3521" s="337">
        <v>125493</v>
      </c>
      <c r="D3521" s="338" t="s">
        <v>15728</v>
      </c>
      <c r="E3521" s="339">
        <v>10609.2</v>
      </c>
      <c r="F3521" s="343">
        <v>42976</v>
      </c>
      <c r="G3521" s="339">
        <v>10609.2</v>
      </c>
      <c r="H3521" s="324">
        <f>Tabla13[[#This Row],[Importe]]-Tabla13[[#This Row],[Pagado]]</f>
        <v>0</v>
      </c>
      <c r="I3521" s="342" t="s">
        <v>15214</v>
      </c>
    </row>
    <row r="3522" spans="1:9" x14ac:dyDescent="0.25">
      <c r="A3522" s="359">
        <v>42976</v>
      </c>
      <c r="B3522" s="320" t="s">
        <v>27402</v>
      </c>
      <c r="C3522" s="321">
        <v>125494</v>
      </c>
      <c r="D3522" s="142" t="s">
        <v>15328</v>
      </c>
      <c r="E3522" s="322">
        <v>76588.929999999993</v>
      </c>
      <c r="F3522" s="363">
        <v>42987</v>
      </c>
      <c r="G3522" s="155">
        <v>76588.929999999993</v>
      </c>
      <c r="H3522" s="330">
        <f>Tabla13[[#This Row],[Importe]]-Tabla13[[#This Row],[Pagado]]</f>
        <v>0</v>
      </c>
      <c r="I3522" s="325" t="s">
        <v>15214</v>
      </c>
    </row>
    <row r="3523" spans="1:9" x14ac:dyDescent="0.25">
      <c r="A3523" s="319">
        <v>42976</v>
      </c>
      <c r="B3523" s="336" t="s">
        <v>27403</v>
      </c>
      <c r="C3523" s="337">
        <v>125495</v>
      </c>
      <c r="D3523" s="338" t="s">
        <v>15286</v>
      </c>
      <c r="E3523" s="339">
        <v>6086.4</v>
      </c>
      <c r="F3523" s="343">
        <v>42976</v>
      </c>
      <c r="G3523" s="339">
        <v>6086.4</v>
      </c>
      <c r="H3523" s="324">
        <f>Tabla13[[#This Row],[Importe]]-Tabla13[[#This Row],[Pagado]]</f>
        <v>0</v>
      </c>
      <c r="I3523" s="342" t="s">
        <v>15214</v>
      </c>
    </row>
    <row r="3524" spans="1:9" x14ac:dyDescent="0.25">
      <c r="A3524" s="359">
        <v>42976</v>
      </c>
      <c r="B3524" s="320" t="s">
        <v>27404</v>
      </c>
      <c r="C3524" s="321">
        <v>125496</v>
      </c>
      <c r="D3524" s="142" t="s">
        <v>15301</v>
      </c>
      <c r="E3524" s="322">
        <v>3090</v>
      </c>
      <c r="F3524" s="323">
        <v>42976</v>
      </c>
      <c r="G3524" s="322">
        <v>3090</v>
      </c>
      <c r="H3524" s="330">
        <f>Tabla13[[#This Row],[Importe]]-Tabla13[[#This Row],[Pagado]]</f>
        <v>0</v>
      </c>
      <c r="I3524" s="325" t="s">
        <v>15214</v>
      </c>
    </row>
    <row r="3525" spans="1:9" x14ac:dyDescent="0.25">
      <c r="A3525" s="319">
        <v>42976</v>
      </c>
      <c r="B3525" s="336" t="s">
        <v>27405</v>
      </c>
      <c r="C3525" s="337">
        <v>125497</v>
      </c>
      <c r="D3525" s="338" t="s">
        <v>15309</v>
      </c>
      <c r="E3525" s="339">
        <v>6498.6</v>
      </c>
      <c r="F3525" s="343">
        <v>42976</v>
      </c>
      <c r="G3525" s="339">
        <v>6498.6</v>
      </c>
      <c r="H3525" s="324">
        <f>Tabla13[[#This Row],[Importe]]-Tabla13[[#This Row],[Pagado]]</f>
        <v>0</v>
      </c>
      <c r="I3525" s="342" t="s">
        <v>15214</v>
      </c>
    </row>
    <row r="3526" spans="1:9" x14ac:dyDescent="0.25">
      <c r="A3526" s="359">
        <v>42976</v>
      </c>
      <c r="B3526" s="320" t="s">
        <v>27406</v>
      </c>
      <c r="C3526" s="321">
        <v>125498</v>
      </c>
      <c r="D3526" s="142" t="s">
        <v>15311</v>
      </c>
      <c r="E3526" s="322">
        <v>901</v>
      </c>
      <c r="F3526" s="323">
        <v>42976</v>
      </c>
      <c r="G3526" s="322">
        <v>901</v>
      </c>
      <c r="H3526" s="330">
        <f>Tabla13[[#This Row],[Importe]]-Tabla13[[#This Row],[Pagado]]</f>
        <v>0</v>
      </c>
      <c r="I3526" s="325" t="s">
        <v>15214</v>
      </c>
    </row>
    <row r="3527" spans="1:9" x14ac:dyDescent="0.25">
      <c r="A3527" s="319">
        <v>42976</v>
      </c>
      <c r="B3527" s="336" t="s">
        <v>27407</v>
      </c>
      <c r="C3527" s="337">
        <v>125499</v>
      </c>
      <c r="D3527" s="338" t="s">
        <v>15291</v>
      </c>
      <c r="E3527" s="339">
        <v>480</v>
      </c>
      <c r="F3527" s="343">
        <v>42976</v>
      </c>
      <c r="G3527" s="339">
        <v>480</v>
      </c>
      <c r="H3527" s="324">
        <f>Tabla13[[#This Row],[Importe]]-Tabla13[[#This Row],[Pagado]]</f>
        <v>0</v>
      </c>
      <c r="I3527" s="342" t="s">
        <v>15214</v>
      </c>
    </row>
    <row r="3528" spans="1:9" x14ac:dyDescent="0.25">
      <c r="A3528" s="359">
        <v>42976</v>
      </c>
      <c r="B3528" s="320" t="s">
        <v>27408</v>
      </c>
      <c r="C3528" s="321">
        <v>125500</v>
      </c>
      <c r="D3528" s="142" t="s">
        <v>23937</v>
      </c>
      <c r="E3528" s="322">
        <v>4217.2</v>
      </c>
      <c r="F3528" s="323">
        <v>42977</v>
      </c>
      <c r="G3528" s="322">
        <v>4217.2</v>
      </c>
      <c r="H3528" s="330">
        <f>Tabla13[[#This Row],[Importe]]-Tabla13[[#This Row],[Pagado]]</f>
        <v>0</v>
      </c>
      <c r="I3528" s="325" t="s">
        <v>15214</v>
      </c>
    </row>
    <row r="3529" spans="1:9" x14ac:dyDescent="0.25">
      <c r="A3529" s="319">
        <v>42976</v>
      </c>
      <c r="B3529" s="336" t="s">
        <v>27409</v>
      </c>
      <c r="C3529" s="337">
        <v>125501</v>
      </c>
      <c r="D3529" s="338" t="s">
        <v>15317</v>
      </c>
      <c r="E3529" s="339">
        <v>1418</v>
      </c>
      <c r="F3529" s="340">
        <v>42977</v>
      </c>
      <c r="G3529" s="339">
        <v>1418</v>
      </c>
      <c r="H3529" s="324">
        <f>Tabla13[[#This Row],[Importe]]-Tabla13[[#This Row],[Pagado]]</f>
        <v>0</v>
      </c>
      <c r="I3529" s="342" t="s">
        <v>15214</v>
      </c>
    </row>
    <row r="3530" spans="1:9" x14ac:dyDescent="0.25">
      <c r="A3530" s="359">
        <v>42976</v>
      </c>
      <c r="B3530" s="320" t="s">
        <v>27410</v>
      </c>
      <c r="C3530" s="321">
        <v>125502</v>
      </c>
      <c r="D3530" s="142" t="s">
        <v>15252</v>
      </c>
      <c r="E3530" s="322">
        <v>5702</v>
      </c>
      <c r="F3530" s="363">
        <v>42979</v>
      </c>
      <c r="G3530" s="155">
        <v>5702</v>
      </c>
      <c r="H3530" s="330">
        <f>Tabla13[[#This Row],[Importe]]-Tabla13[[#This Row],[Pagado]]</f>
        <v>0</v>
      </c>
      <c r="I3530" s="325" t="s">
        <v>15214</v>
      </c>
    </row>
    <row r="3531" spans="1:9" x14ac:dyDescent="0.25">
      <c r="A3531" s="319">
        <v>42976</v>
      </c>
      <c r="B3531" s="336" t="s">
        <v>27411</v>
      </c>
      <c r="C3531" s="337">
        <v>125503</v>
      </c>
      <c r="D3531" s="338" t="s">
        <v>15244</v>
      </c>
      <c r="E3531" s="339">
        <v>9793.2000000000007</v>
      </c>
      <c r="F3531" s="372">
        <v>42982</v>
      </c>
      <c r="G3531" s="371">
        <v>9793.2000000000007</v>
      </c>
      <c r="H3531" s="324">
        <f>Tabla13[[#This Row],[Importe]]-Tabla13[[#This Row],[Pagado]]</f>
        <v>0</v>
      </c>
      <c r="I3531" s="342" t="s">
        <v>15214</v>
      </c>
    </row>
    <row r="3532" spans="1:9" x14ac:dyDescent="0.25">
      <c r="A3532" s="359">
        <v>42976</v>
      </c>
      <c r="B3532" s="320" t="s">
        <v>27412</v>
      </c>
      <c r="C3532" s="321">
        <v>125504</v>
      </c>
      <c r="D3532" s="142" t="s">
        <v>15274</v>
      </c>
      <c r="E3532" s="322">
        <v>720</v>
      </c>
      <c r="F3532" s="323">
        <v>42976</v>
      </c>
      <c r="G3532" s="322">
        <v>720</v>
      </c>
      <c r="H3532" s="330">
        <f>Tabla13[[#This Row],[Importe]]-Tabla13[[#This Row],[Pagado]]</f>
        <v>0</v>
      </c>
      <c r="I3532" s="325" t="s">
        <v>15214</v>
      </c>
    </row>
    <row r="3533" spans="1:9" x14ac:dyDescent="0.25">
      <c r="A3533" s="319">
        <v>42976</v>
      </c>
      <c r="B3533" s="336" t="s">
        <v>27413</v>
      </c>
      <c r="C3533" s="337">
        <v>125505</v>
      </c>
      <c r="D3533" s="338" t="s">
        <v>15307</v>
      </c>
      <c r="E3533" s="339">
        <v>1561.9</v>
      </c>
      <c r="F3533" s="340">
        <v>42976</v>
      </c>
      <c r="G3533" s="339">
        <v>1561.9</v>
      </c>
      <c r="H3533" s="324">
        <f>Tabla13[[#This Row],[Importe]]-Tabla13[[#This Row],[Pagado]]</f>
        <v>0</v>
      </c>
      <c r="I3533" s="342" t="s">
        <v>15214</v>
      </c>
    </row>
    <row r="3534" spans="1:9" x14ac:dyDescent="0.25">
      <c r="A3534" s="359">
        <v>42976</v>
      </c>
      <c r="B3534" s="320" t="s">
        <v>27414</v>
      </c>
      <c r="C3534" s="321">
        <v>125506</v>
      </c>
      <c r="D3534" s="142" t="s">
        <v>15315</v>
      </c>
      <c r="E3534" s="322">
        <v>9179.4</v>
      </c>
      <c r="F3534" s="323">
        <v>42977</v>
      </c>
      <c r="G3534" s="322">
        <v>9179.4</v>
      </c>
      <c r="H3534" s="330">
        <f>Tabla13[[#This Row],[Importe]]-Tabla13[[#This Row],[Pagado]]</f>
        <v>0</v>
      </c>
      <c r="I3534" s="325" t="s">
        <v>15214</v>
      </c>
    </row>
    <row r="3535" spans="1:9" x14ac:dyDescent="0.25">
      <c r="A3535" s="319">
        <v>42976</v>
      </c>
      <c r="B3535" s="336" t="s">
        <v>27415</v>
      </c>
      <c r="C3535" s="337">
        <v>125507</v>
      </c>
      <c r="D3535" s="338" t="s">
        <v>15544</v>
      </c>
      <c r="E3535" s="339">
        <v>1662</v>
      </c>
      <c r="F3535" s="340">
        <v>42977</v>
      </c>
      <c r="G3535" s="339">
        <v>1662</v>
      </c>
      <c r="H3535" s="324">
        <f>Tabla13[[#This Row],[Importe]]-Tabla13[[#This Row],[Pagado]]</f>
        <v>0</v>
      </c>
      <c r="I3535" s="342" t="s">
        <v>15214</v>
      </c>
    </row>
    <row r="3536" spans="1:9" x14ac:dyDescent="0.25">
      <c r="A3536" s="359">
        <v>42976</v>
      </c>
      <c r="B3536" s="320" t="s">
        <v>27416</v>
      </c>
      <c r="C3536" s="321">
        <v>125508</v>
      </c>
      <c r="D3536" s="142" t="s">
        <v>15274</v>
      </c>
      <c r="E3536" s="322">
        <v>2693.5</v>
      </c>
      <c r="F3536" s="323">
        <v>42976</v>
      </c>
      <c r="G3536" s="322">
        <v>2693.5</v>
      </c>
      <c r="H3536" s="330">
        <f>Tabla13[[#This Row],[Importe]]-Tabla13[[#This Row],[Pagado]]</f>
        <v>0</v>
      </c>
      <c r="I3536" s="325" t="s">
        <v>15214</v>
      </c>
    </row>
    <row r="3537" spans="1:9" x14ac:dyDescent="0.25">
      <c r="A3537" s="319">
        <v>42976</v>
      </c>
      <c r="B3537" s="336" t="s">
        <v>27417</v>
      </c>
      <c r="C3537" s="337">
        <v>125509</v>
      </c>
      <c r="D3537" s="338" t="s">
        <v>15537</v>
      </c>
      <c r="E3537" s="339">
        <v>19377.2</v>
      </c>
      <c r="F3537" s="340">
        <v>42984</v>
      </c>
      <c r="G3537" s="339">
        <v>19377.2</v>
      </c>
      <c r="H3537" s="324">
        <f>Tabla13[[#This Row],[Importe]]-Tabla13[[#This Row],[Pagado]]</f>
        <v>0</v>
      </c>
      <c r="I3537" s="342" t="s">
        <v>15214</v>
      </c>
    </row>
    <row r="3538" spans="1:9" x14ac:dyDescent="0.25">
      <c r="A3538" s="359">
        <v>42976</v>
      </c>
      <c r="B3538" s="326" t="s">
        <v>27418</v>
      </c>
      <c r="C3538" s="327">
        <v>125510</v>
      </c>
      <c r="D3538" s="136" t="s">
        <v>15555</v>
      </c>
      <c r="E3538" s="328">
        <v>3835.6</v>
      </c>
      <c r="F3538" s="329">
        <v>42984</v>
      </c>
      <c r="G3538" s="328">
        <v>3835.6</v>
      </c>
      <c r="H3538" s="330">
        <f>Tabla13[[#This Row],[Importe]]-Tabla13[[#This Row],[Pagado]]</f>
        <v>0</v>
      </c>
      <c r="I3538" s="325" t="s">
        <v>15214</v>
      </c>
    </row>
    <row r="3539" spans="1:9" x14ac:dyDescent="0.25">
      <c r="A3539" s="319">
        <v>42976</v>
      </c>
      <c r="B3539" s="320" t="s">
        <v>27419</v>
      </c>
      <c r="C3539" s="321">
        <v>125511</v>
      </c>
      <c r="D3539" s="142" t="s">
        <v>15539</v>
      </c>
      <c r="E3539" s="322">
        <v>16140</v>
      </c>
      <c r="F3539" s="323">
        <v>42984</v>
      </c>
      <c r="G3539" s="322">
        <v>16140</v>
      </c>
      <c r="H3539" s="324">
        <f>Tabla13[[#This Row],[Importe]]-Tabla13[[#This Row],[Pagado]]</f>
        <v>0</v>
      </c>
      <c r="I3539" s="342" t="s">
        <v>15214</v>
      </c>
    </row>
    <row r="3540" spans="1:9" x14ac:dyDescent="0.25">
      <c r="A3540" s="359">
        <v>42976</v>
      </c>
      <c r="B3540" s="326" t="s">
        <v>27420</v>
      </c>
      <c r="C3540" s="327">
        <v>125512</v>
      </c>
      <c r="D3540" s="136" t="s">
        <v>15315</v>
      </c>
      <c r="E3540" s="328">
        <v>3792</v>
      </c>
      <c r="F3540" s="329" t="s">
        <v>20085</v>
      </c>
      <c r="G3540" s="328">
        <v>3792</v>
      </c>
      <c r="H3540" s="330">
        <f>Tabla13[[#This Row],[Importe]]-Tabla13[[#This Row],[Pagado]]</f>
        <v>0</v>
      </c>
      <c r="I3540" s="331" t="s">
        <v>15214</v>
      </c>
    </row>
    <row r="3541" spans="1:9" x14ac:dyDescent="0.25">
      <c r="A3541" s="319">
        <v>42976</v>
      </c>
      <c r="B3541" s="320" t="s">
        <v>27421</v>
      </c>
      <c r="C3541" s="321">
        <v>125513</v>
      </c>
      <c r="D3541" s="142" t="s">
        <v>15559</v>
      </c>
      <c r="E3541" s="322">
        <v>10092</v>
      </c>
      <c r="F3541" s="323">
        <v>42984</v>
      </c>
      <c r="G3541" s="322">
        <v>10092</v>
      </c>
      <c r="H3541" s="324">
        <f>Tabla13[[#This Row],[Importe]]-Tabla13[[#This Row],[Pagado]]</f>
        <v>0</v>
      </c>
      <c r="I3541" s="325" t="s">
        <v>15214</v>
      </c>
    </row>
    <row r="3542" spans="1:9" x14ac:dyDescent="0.25">
      <c r="A3542" s="359">
        <v>42976</v>
      </c>
      <c r="B3542" s="326" t="s">
        <v>27422</v>
      </c>
      <c r="C3542" s="327">
        <v>125514</v>
      </c>
      <c r="D3542" s="136" t="s">
        <v>15315</v>
      </c>
      <c r="E3542" s="328">
        <v>1646.4</v>
      </c>
      <c r="F3542" s="329">
        <v>42976</v>
      </c>
      <c r="G3542" s="328">
        <v>1646.4</v>
      </c>
      <c r="H3542" s="330">
        <f>Tabla13[[#This Row],[Importe]]-Tabla13[[#This Row],[Pagado]]</f>
        <v>0</v>
      </c>
      <c r="I3542" s="331" t="s">
        <v>15214</v>
      </c>
    </row>
    <row r="3543" spans="1:9" x14ac:dyDescent="0.25">
      <c r="A3543" s="319">
        <v>42976</v>
      </c>
      <c r="B3543" s="320" t="s">
        <v>27423</v>
      </c>
      <c r="C3543" s="321">
        <v>125515</v>
      </c>
      <c r="D3543" s="142" t="s">
        <v>15315</v>
      </c>
      <c r="E3543" s="322">
        <v>7364</v>
      </c>
      <c r="F3543" s="323">
        <v>42977</v>
      </c>
      <c r="G3543" s="322">
        <v>7364</v>
      </c>
      <c r="H3543" s="324">
        <f>Tabla13[[#This Row],[Importe]]-Tabla13[[#This Row],[Pagado]]</f>
        <v>0</v>
      </c>
      <c r="I3543" s="325" t="s">
        <v>15214</v>
      </c>
    </row>
    <row r="3544" spans="1:9" x14ac:dyDescent="0.25">
      <c r="A3544" s="359">
        <v>42976</v>
      </c>
      <c r="B3544" s="326" t="s">
        <v>27424</v>
      </c>
      <c r="C3544" s="327">
        <v>125516</v>
      </c>
      <c r="D3544" s="136" t="s">
        <v>15378</v>
      </c>
      <c r="E3544" s="328">
        <v>1594.5</v>
      </c>
      <c r="F3544" s="329">
        <v>42976</v>
      </c>
      <c r="G3544" s="328">
        <v>1594.5</v>
      </c>
      <c r="H3544" s="330">
        <f>Tabla13[[#This Row],[Importe]]-Tabla13[[#This Row],[Pagado]]</f>
        <v>0</v>
      </c>
      <c r="I3544" s="331" t="s">
        <v>15214</v>
      </c>
    </row>
    <row r="3545" spans="1:9" x14ac:dyDescent="0.25">
      <c r="A3545" s="319">
        <v>42976</v>
      </c>
      <c r="B3545" s="320" t="s">
        <v>27425</v>
      </c>
      <c r="C3545" s="321">
        <v>125517</v>
      </c>
      <c r="D3545" s="142" t="s">
        <v>15396</v>
      </c>
      <c r="E3545" s="322">
        <v>4521</v>
      </c>
      <c r="F3545" s="329">
        <v>42976</v>
      </c>
      <c r="G3545" s="322">
        <v>4521</v>
      </c>
      <c r="H3545" s="324">
        <f>Tabla13[[#This Row],[Importe]]-Tabla13[[#This Row],[Pagado]]</f>
        <v>0</v>
      </c>
      <c r="I3545" s="325" t="s">
        <v>15214</v>
      </c>
    </row>
    <row r="3546" spans="1:9" x14ac:dyDescent="0.25">
      <c r="A3546" s="359">
        <v>42976</v>
      </c>
      <c r="B3546" s="326" t="s">
        <v>27426</v>
      </c>
      <c r="C3546" s="327">
        <v>125518</v>
      </c>
      <c r="D3546" s="136" t="s">
        <v>15282</v>
      </c>
      <c r="E3546" s="328">
        <v>2453.1</v>
      </c>
      <c r="F3546" s="329">
        <v>42976</v>
      </c>
      <c r="G3546" s="328">
        <v>2453.1</v>
      </c>
      <c r="H3546" s="330">
        <f>Tabla13[[#This Row],[Importe]]-Tabla13[[#This Row],[Pagado]]</f>
        <v>0</v>
      </c>
      <c r="I3546" s="331" t="s">
        <v>15214</v>
      </c>
    </row>
    <row r="3547" spans="1:9" x14ac:dyDescent="0.25">
      <c r="A3547" s="319">
        <v>42976</v>
      </c>
      <c r="B3547" s="320" t="s">
        <v>27427</v>
      </c>
      <c r="C3547" s="321">
        <v>125519</v>
      </c>
      <c r="D3547" s="142" t="s">
        <v>15315</v>
      </c>
      <c r="E3547" s="322">
        <v>637.1</v>
      </c>
      <c r="F3547" s="329">
        <v>42976</v>
      </c>
      <c r="G3547" s="322">
        <v>637.1</v>
      </c>
      <c r="H3547" s="324">
        <f>Tabla13[[#This Row],[Importe]]-Tabla13[[#This Row],[Pagado]]</f>
        <v>0</v>
      </c>
      <c r="I3547" s="325" t="s">
        <v>15214</v>
      </c>
    </row>
    <row r="3548" spans="1:9" x14ac:dyDescent="0.25">
      <c r="A3548" s="359">
        <v>42976</v>
      </c>
      <c r="B3548" s="320" t="s">
        <v>27428</v>
      </c>
      <c r="C3548" s="321">
        <v>125520</v>
      </c>
      <c r="D3548" s="142" t="s">
        <v>15315</v>
      </c>
      <c r="E3548" s="322">
        <v>2720</v>
      </c>
      <c r="F3548" s="329">
        <v>42976</v>
      </c>
      <c r="G3548" s="322">
        <v>2720</v>
      </c>
      <c r="H3548" s="330">
        <f>Tabla13[[#This Row],[Importe]]-Tabla13[[#This Row],[Pagado]]</f>
        <v>0</v>
      </c>
      <c r="I3548" s="331" t="s">
        <v>15214</v>
      </c>
    </row>
    <row r="3549" spans="1:9" x14ac:dyDescent="0.25">
      <c r="A3549" s="319">
        <v>42976</v>
      </c>
      <c r="B3549" s="326" t="s">
        <v>27429</v>
      </c>
      <c r="C3549" s="327">
        <v>125521</v>
      </c>
      <c r="D3549" s="136" t="s">
        <v>15409</v>
      </c>
      <c r="E3549" s="328">
        <v>13310</v>
      </c>
      <c r="F3549" s="329">
        <v>42976</v>
      </c>
      <c r="G3549" s="328">
        <v>13310</v>
      </c>
      <c r="H3549" s="324">
        <f>Tabla13[[#This Row],[Importe]]-Tabla13[[#This Row],[Pagado]]</f>
        <v>0</v>
      </c>
      <c r="I3549" s="325" t="s">
        <v>15214</v>
      </c>
    </row>
    <row r="3550" spans="1:9" x14ac:dyDescent="0.25">
      <c r="A3550" s="359">
        <v>42976</v>
      </c>
      <c r="B3550" s="320" t="s">
        <v>27430</v>
      </c>
      <c r="C3550" s="321">
        <v>125522</v>
      </c>
      <c r="D3550" s="142" t="s">
        <v>15213</v>
      </c>
      <c r="E3550" s="322">
        <v>6945.4</v>
      </c>
      <c r="F3550" s="323">
        <v>42977</v>
      </c>
      <c r="G3550" s="322">
        <v>6945.4</v>
      </c>
      <c r="H3550" s="330">
        <f>Tabla13[[#This Row],[Importe]]-Tabla13[[#This Row],[Pagado]]</f>
        <v>0</v>
      </c>
      <c r="I3550" s="331" t="s">
        <v>15214</v>
      </c>
    </row>
    <row r="3551" spans="1:9" x14ac:dyDescent="0.25">
      <c r="A3551" s="319">
        <v>42976</v>
      </c>
      <c r="B3551" s="326" t="s">
        <v>27431</v>
      </c>
      <c r="C3551" s="327">
        <v>125523</v>
      </c>
      <c r="D3551" s="136" t="s">
        <v>19768</v>
      </c>
      <c r="E3551" s="328">
        <v>1440</v>
      </c>
      <c r="F3551" s="329">
        <v>42976</v>
      </c>
      <c r="G3551" s="328">
        <v>1440</v>
      </c>
      <c r="H3551" s="324">
        <f>Tabla13[[#This Row],[Importe]]-Tabla13[[#This Row],[Pagado]]</f>
        <v>0</v>
      </c>
      <c r="I3551" s="325" t="s">
        <v>15214</v>
      </c>
    </row>
    <row r="3552" spans="1:9" x14ac:dyDescent="0.25">
      <c r="A3552" s="359">
        <v>42976</v>
      </c>
      <c r="B3552" s="320" t="s">
        <v>27432</v>
      </c>
      <c r="C3552" s="321">
        <v>125524</v>
      </c>
      <c r="D3552" s="142" t="s">
        <v>15391</v>
      </c>
      <c r="E3552" s="322">
        <v>7920</v>
      </c>
      <c r="F3552" s="363">
        <v>42979</v>
      </c>
      <c r="G3552" s="155">
        <v>7920</v>
      </c>
      <c r="H3552" s="330">
        <f>Tabla13[[#This Row],[Importe]]-Tabla13[[#This Row],[Pagado]]</f>
        <v>0</v>
      </c>
      <c r="I3552" s="331" t="s">
        <v>15214</v>
      </c>
    </row>
    <row r="3553" spans="1:9" x14ac:dyDescent="0.25">
      <c r="A3553" s="319">
        <v>42976</v>
      </c>
      <c r="B3553" s="326" t="s">
        <v>27433</v>
      </c>
      <c r="C3553" s="327">
        <v>125525</v>
      </c>
      <c r="D3553" s="136" t="s">
        <v>15594</v>
      </c>
      <c r="E3553" s="328">
        <v>2140.8000000000002</v>
      </c>
      <c r="F3553" s="329">
        <v>42976</v>
      </c>
      <c r="G3553" s="328">
        <v>2140.8000000000002</v>
      </c>
      <c r="H3553" s="324">
        <f>Tabla13[[#This Row],[Importe]]-Tabla13[[#This Row],[Pagado]]</f>
        <v>0</v>
      </c>
      <c r="I3553" s="325" t="s">
        <v>15214</v>
      </c>
    </row>
    <row r="3554" spans="1:9" x14ac:dyDescent="0.25">
      <c r="A3554" s="359">
        <v>42976</v>
      </c>
      <c r="B3554" s="320" t="s">
        <v>27434</v>
      </c>
      <c r="C3554" s="321">
        <v>125526</v>
      </c>
      <c r="D3554" s="142" t="s">
        <v>15716</v>
      </c>
      <c r="E3554" s="322">
        <v>6383.7</v>
      </c>
      <c r="F3554" s="323">
        <v>42976</v>
      </c>
      <c r="G3554" s="322">
        <v>6383.7</v>
      </c>
      <c r="H3554" s="330">
        <f>Tabla13[[#This Row],[Importe]]-Tabla13[[#This Row],[Pagado]]</f>
        <v>0</v>
      </c>
      <c r="I3554" s="331" t="s">
        <v>15214</v>
      </c>
    </row>
    <row r="3555" spans="1:9" x14ac:dyDescent="0.25">
      <c r="A3555" s="319">
        <v>42976</v>
      </c>
      <c r="B3555" s="326" t="s">
        <v>27435</v>
      </c>
      <c r="C3555" s="327">
        <v>125527</v>
      </c>
      <c r="D3555" s="136" t="s">
        <v>15636</v>
      </c>
      <c r="E3555" s="328">
        <v>16666.8</v>
      </c>
      <c r="F3555" s="329">
        <v>42976</v>
      </c>
      <c r="G3555" s="328">
        <v>16666.8</v>
      </c>
      <c r="H3555" s="324">
        <f>Tabla13[[#This Row],[Importe]]-Tabla13[[#This Row],[Pagado]]</f>
        <v>0</v>
      </c>
      <c r="I3555" s="325" t="s">
        <v>15214</v>
      </c>
    </row>
    <row r="3556" spans="1:9" x14ac:dyDescent="0.25">
      <c r="A3556" s="359">
        <v>42976</v>
      </c>
      <c r="B3556" s="320" t="s">
        <v>27436</v>
      </c>
      <c r="C3556" s="321">
        <v>125528</v>
      </c>
      <c r="D3556" s="142" t="s">
        <v>15315</v>
      </c>
      <c r="E3556" s="322">
        <v>2625</v>
      </c>
      <c r="F3556" s="323">
        <v>42976</v>
      </c>
      <c r="G3556" s="322">
        <v>2625</v>
      </c>
      <c r="H3556" s="330">
        <f>Tabla13[[#This Row],[Importe]]-Tabla13[[#This Row],[Pagado]]</f>
        <v>0</v>
      </c>
      <c r="I3556" s="331" t="s">
        <v>15214</v>
      </c>
    </row>
    <row r="3557" spans="1:9" x14ac:dyDescent="0.25">
      <c r="A3557" s="319">
        <v>42976</v>
      </c>
      <c r="B3557" s="326" t="s">
        <v>27437</v>
      </c>
      <c r="C3557" s="327">
        <v>125529</v>
      </c>
      <c r="D3557" s="136" t="s">
        <v>15276</v>
      </c>
      <c r="E3557" s="328">
        <v>2400</v>
      </c>
      <c r="F3557" s="329">
        <v>42976</v>
      </c>
      <c r="G3557" s="328">
        <v>2400</v>
      </c>
      <c r="H3557" s="324">
        <f>Tabla13[[#This Row],[Importe]]-Tabla13[[#This Row],[Pagado]]</f>
        <v>0</v>
      </c>
      <c r="I3557" s="325" t="s">
        <v>15214</v>
      </c>
    </row>
    <row r="3558" spans="1:9" x14ac:dyDescent="0.25">
      <c r="A3558" s="359">
        <v>42976</v>
      </c>
      <c r="B3558" s="326" t="s">
        <v>27438</v>
      </c>
      <c r="C3558" s="327">
        <v>125530</v>
      </c>
      <c r="D3558" s="136" t="s">
        <v>15600</v>
      </c>
      <c r="E3558" s="328">
        <v>9429.6</v>
      </c>
      <c r="F3558" s="329">
        <v>42976</v>
      </c>
      <c r="G3558" s="328">
        <v>9429.6</v>
      </c>
      <c r="H3558" s="330">
        <f>Tabla13[[#This Row],[Importe]]-Tabla13[[#This Row],[Pagado]]</f>
        <v>0</v>
      </c>
      <c r="I3558" s="331" t="s">
        <v>15214</v>
      </c>
    </row>
    <row r="3559" spans="1:9" x14ac:dyDescent="0.25">
      <c r="A3559" s="319">
        <v>42976</v>
      </c>
      <c r="B3559" s="320" t="s">
        <v>27439</v>
      </c>
      <c r="C3559" s="321">
        <v>125531</v>
      </c>
      <c r="D3559" s="142" t="s">
        <v>15936</v>
      </c>
      <c r="E3559" s="322">
        <v>19095</v>
      </c>
      <c r="F3559" s="323">
        <v>42976</v>
      </c>
      <c r="G3559" s="322">
        <v>19095</v>
      </c>
      <c r="H3559" s="324">
        <f>Tabla13[[#This Row],[Importe]]-Tabla13[[#This Row],[Pagado]]</f>
        <v>0</v>
      </c>
      <c r="I3559" s="325" t="s">
        <v>15214</v>
      </c>
    </row>
    <row r="3560" spans="1:9" x14ac:dyDescent="0.25">
      <c r="A3560" s="359">
        <v>42976</v>
      </c>
      <c r="B3560" s="326" t="s">
        <v>27440</v>
      </c>
      <c r="C3560" s="327">
        <v>125532</v>
      </c>
      <c r="D3560" s="136" t="s">
        <v>15600</v>
      </c>
      <c r="E3560" s="328">
        <v>1540</v>
      </c>
      <c r="F3560" s="329">
        <v>42976</v>
      </c>
      <c r="G3560" s="328">
        <v>1540</v>
      </c>
      <c r="H3560" s="330">
        <f>Tabla13[[#This Row],[Importe]]-Tabla13[[#This Row],[Pagado]]</f>
        <v>0</v>
      </c>
      <c r="I3560" s="331" t="s">
        <v>15214</v>
      </c>
    </row>
    <row r="3561" spans="1:9" x14ac:dyDescent="0.25">
      <c r="A3561" s="319">
        <v>42976</v>
      </c>
      <c r="B3561" s="320" t="s">
        <v>27441</v>
      </c>
      <c r="C3561" s="321">
        <v>125533</v>
      </c>
      <c r="D3561" s="142" t="s">
        <v>15423</v>
      </c>
      <c r="E3561" s="322">
        <v>2690.2</v>
      </c>
      <c r="F3561" s="323">
        <v>42976</v>
      </c>
      <c r="G3561" s="322">
        <v>2690.2</v>
      </c>
      <c r="H3561" s="324">
        <f>Tabla13[[#This Row],[Importe]]-Tabla13[[#This Row],[Pagado]]</f>
        <v>0</v>
      </c>
      <c r="I3561" s="325" t="s">
        <v>15214</v>
      </c>
    </row>
    <row r="3562" spans="1:9" x14ac:dyDescent="0.25">
      <c r="A3562" s="359">
        <v>42976</v>
      </c>
      <c r="B3562" s="326" t="s">
        <v>27442</v>
      </c>
      <c r="C3562" s="327">
        <v>125534</v>
      </c>
      <c r="D3562" s="136" t="s">
        <v>15315</v>
      </c>
      <c r="E3562" s="328">
        <v>1117.9000000000001</v>
      </c>
      <c r="F3562" s="329">
        <v>42976</v>
      </c>
      <c r="G3562" s="328">
        <v>1117.9000000000001</v>
      </c>
      <c r="H3562" s="330">
        <f>Tabla13[[#This Row],[Importe]]-Tabla13[[#This Row],[Pagado]]</f>
        <v>0</v>
      </c>
      <c r="I3562" s="331" t="s">
        <v>15214</v>
      </c>
    </row>
    <row r="3563" spans="1:9" x14ac:dyDescent="0.25">
      <c r="A3563" s="319">
        <v>42976</v>
      </c>
      <c r="B3563" s="320" t="s">
        <v>27443</v>
      </c>
      <c r="C3563" s="321">
        <v>125535</v>
      </c>
      <c r="D3563" s="142" t="s">
        <v>15246</v>
      </c>
      <c r="E3563" s="322">
        <v>338930.11</v>
      </c>
      <c r="F3563" s="363">
        <v>42980</v>
      </c>
      <c r="G3563" s="155">
        <v>338930.11</v>
      </c>
      <c r="H3563" s="324">
        <f>Tabla13[[#This Row],[Importe]]-Tabla13[[#This Row],[Pagado]]</f>
        <v>0</v>
      </c>
      <c r="I3563" s="325" t="s">
        <v>15214</v>
      </c>
    </row>
    <row r="3564" spans="1:9" x14ac:dyDescent="0.25">
      <c r="A3564" s="359">
        <v>42976</v>
      </c>
      <c r="B3564" s="326" t="s">
        <v>27444</v>
      </c>
      <c r="C3564" s="327">
        <v>125536</v>
      </c>
      <c r="D3564" s="136" t="s">
        <v>15642</v>
      </c>
      <c r="E3564" s="328">
        <v>4483.5</v>
      </c>
      <c r="F3564" s="329">
        <v>42976</v>
      </c>
      <c r="G3564" s="328">
        <v>4483.5</v>
      </c>
      <c r="H3564" s="330">
        <f>Tabla13[[#This Row],[Importe]]-Tabla13[[#This Row],[Pagado]]</f>
        <v>0</v>
      </c>
      <c r="I3564" s="331" t="s">
        <v>15214</v>
      </c>
    </row>
    <row r="3565" spans="1:9" x14ac:dyDescent="0.25">
      <c r="A3565" s="319">
        <v>42976</v>
      </c>
      <c r="B3565" s="320" t="s">
        <v>27445</v>
      </c>
      <c r="C3565" s="321">
        <v>125537</v>
      </c>
      <c r="D3565" s="142" t="s">
        <v>15398</v>
      </c>
      <c r="E3565" s="322">
        <v>839.9</v>
      </c>
      <c r="F3565" s="329">
        <v>42976</v>
      </c>
      <c r="G3565" s="322">
        <v>839.9</v>
      </c>
      <c r="H3565" s="324">
        <f>Tabla13[[#This Row],[Importe]]-Tabla13[[#This Row],[Pagado]]</f>
        <v>0</v>
      </c>
      <c r="I3565" s="325" t="s">
        <v>15214</v>
      </c>
    </row>
    <row r="3566" spans="1:9" x14ac:dyDescent="0.25">
      <c r="A3566" s="359">
        <v>42976</v>
      </c>
      <c r="B3566" s="326" t="s">
        <v>27446</v>
      </c>
      <c r="C3566" s="327">
        <v>125538</v>
      </c>
      <c r="D3566" s="136" t="s">
        <v>15246</v>
      </c>
      <c r="E3566" s="328">
        <v>108146.95</v>
      </c>
      <c r="F3566" s="361">
        <v>42980</v>
      </c>
      <c r="G3566" s="362">
        <v>108146.95</v>
      </c>
      <c r="H3566" s="330">
        <f>Tabla13[[#This Row],[Importe]]-Tabla13[[#This Row],[Pagado]]</f>
        <v>0</v>
      </c>
      <c r="I3566" s="331" t="s">
        <v>15214</v>
      </c>
    </row>
    <row r="3567" spans="1:9" x14ac:dyDescent="0.25">
      <c r="A3567" s="319">
        <v>42976</v>
      </c>
      <c r="B3567" s="320" t="s">
        <v>27447</v>
      </c>
      <c r="C3567" s="321">
        <v>125539</v>
      </c>
      <c r="D3567" s="142" t="s">
        <v>15365</v>
      </c>
      <c r="E3567" s="322">
        <v>283464</v>
      </c>
      <c r="F3567" s="363">
        <v>42980</v>
      </c>
      <c r="G3567" s="155">
        <v>283464</v>
      </c>
      <c r="H3567" s="324">
        <f>Tabla13[[#This Row],[Importe]]-Tabla13[[#This Row],[Pagado]]</f>
        <v>0</v>
      </c>
      <c r="I3567" s="325" t="s">
        <v>15214</v>
      </c>
    </row>
    <row r="3568" spans="1:9" x14ac:dyDescent="0.25">
      <c r="A3568" s="359">
        <v>42976</v>
      </c>
      <c r="B3568" s="320" t="s">
        <v>27448</v>
      </c>
      <c r="C3568" s="321">
        <v>125540</v>
      </c>
      <c r="D3568" s="142" t="s">
        <v>15435</v>
      </c>
      <c r="E3568" s="322">
        <v>8121.6</v>
      </c>
      <c r="F3568" s="329">
        <v>42976</v>
      </c>
      <c r="G3568" s="322">
        <v>8121.6</v>
      </c>
      <c r="H3568" s="324">
        <f>Tabla13[[#This Row],[Importe]]-Tabla13[[#This Row],[Pagado]]</f>
        <v>0</v>
      </c>
      <c r="I3568" s="325" t="s">
        <v>15214</v>
      </c>
    </row>
    <row r="3569" spans="1:9" x14ac:dyDescent="0.25">
      <c r="A3569" s="319">
        <v>42976</v>
      </c>
      <c r="B3569" s="326" t="s">
        <v>27449</v>
      </c>
      <c r="C3569" s="327">
        <v>125541</v>
      </c>
      <c r="D3569" s="136" t="s">
        <v>19680</v>
      </c>
      <c r="E3569" s="328">
        <v>148</v>
      </c>
      <c r="F3569" s="329">
        <v>42977</v>
      </c>
      <c r="G3569" s="328">
        <v>148</v>
      </c>
      <c r="H3569" s="330">
        <f>Tabla13[[#This Row],[Importe]]-Tabla13[[#This Row],[Pagado]]</f>
        <v>0</v>
      </c>
      <c r="I3569" s="331" t="s">
        <v>15214</v>
      </c>
    </row>
    <row r="3570" spans="1:9" x14ac:dyDescent="0.25">
      <c r="A3570" s="319">
        <v>42977</v>
      </c>
      <c r="B3570" s="320" t="s">
        <v>27450</v>
      </c>
      <c r="C3570" s="321">
        <v>125542</v>
      </c>
      <c r="D3570" s="142" t="s">
        <v>21386</v>
      </c>
      <c r="E3570" s="322">
        <v>10436</v>
      </c>
      <c r="F3570" s="363">
        <v>42979</v>
      </c>
      <c r="G3570" s="155">
        <v>10436</v>
      </c>
      <c r="H3570" s="324">
        <f>Tabla13[[#This Row],[Importe]]-Tabla13[[#This Row],[Pagado]]</f>
        <v>0</v>
      </c>
      <c r="I3570" s="325" t="s">
        <v>15214</v>
      </c>
    </row>
    <row r="3571" spans="1:9" x14ac:dyDescent="0.25">
      <c r="A3571" s="353">
        <v>42977</v>
      </c>
      <c r="B3571" s="326" t="s">
        <v>27451</v>
      </c>
      <c r="C3571" s="327">
        <v>125543</v>
      </c>
      <c r="D3571" s="136" t="s">
        <v>15213</v>
      </c>
      <c r="E3571" s="328">
        <v>36176.300000000003</v>
      </c>
      <c r="F3571" s="329">
        <v>42978</v>
      </c>
      <c r="G3571" s="328">
        <v>36176.300000000003</v>
      </c>
      <c r="H3571" s="330">
        <f>Tabla13[[#This Row],[Importe]]-Tabla13[[#This Row],[Pagado]]</f>
        <v>0</v>
      </c>
      <c r="I3571" s="331" t="s">
        <v>15214</v>
      </c>
    </row>
    <row r="3572" spans="1:9" x14ac:dyDescent="0.25">
      <c r="A3572" s="319">
        <v>42977</v>
      </c>
      <c r="B3572" s="320" t="s">
        <v>27452</v>
      </c>
      <c r="C3572" s="321">
        <v>125544</v>
      </c>
      <c r="D3572" s="142" t="s">
        <v>15216</v>
      </c>
      <c r="E3572" s="322">
        <v>422.8</v>
      </c>
      <c r="F3572" s="323">
        <v>42977</v>
      </c>
      <c r="G3572" s="322">
        <v>422.8</v>
      </c>
      <c r="H3572" s="324">
        <f>Tabla13[[#This Row],[Importe]]-Tabla13[[#This Row],[Pagado]]</f>
        <v>0</v>
      </c>
      <c r="I3572" s="325" t="s">
        <v>15214</v>
      </c>
    </row>
    <row r="3573" spans="1:9" ht="15.75" x14ac:dyDescent="0.25">
      <c r="A3573" s="353">
        <v>42977</v>
      </c>
      <c r="B3573" s="326" t="s">
        <v>27453</v>
      </c>
      <c r="C3573" s="327">
        <v>125545</v>
      </c>
      <c r="D3573" s="345" t="s">
        <v>95</v>
      </c>
      <c r="E3573" s="328">
        <v>0</v>
      </c>
      <c r="F3573" s="346" t="s">
        <v>95</v>
      </c>
      <c r="G3573" s="328">
        <v>0</v>
      </c>
      <c r="H3573" s="330">
        <f>Tabla13[[#This Row],[Importe]]-Tabla13[[#This Row],[Pagado]]</f>
        <v>0</v>
      </c>
      <c r="I3573" s="331" t="s">
        <v>95</v>
      </c>
    </row>
    <row r="3574" spans="1:9" x14ac:dyDescent="0.25">
      <c r="A3574" s="319">
        <v>42977</v>
      </c>
      <c r="B3574" s="320" t="s">
        <v>27454</v>
      </c>
      <c r="C3574" s="321">
        <v>125546</v>
      </c>
      <c r="D3574" s="142" t="s">
        <v>15232</v>
      </c>
      <c r="E3574" s="322">
        <v>6437</v>
      </c>
      <c r="F3574" s="363">
        <v>42985</v>
      </c>
      <c r="G3574" s="155">
        <v>6437</v>
      </c>
      <c r="H3574" s="324">
        <f>Tabla13[[#This Row],[Importe]]-Tabla13[[#This Row],[Pagado]]</f>
        <v>0</v>
      </c>
      <c r="I3574" s="325" t="s">
        <v>15214</v>
      </c>
    </row>
    <row r="3575" spans="1:9" x14ac:dyDescent="0.25">
      <c r="A3575" s="353">
        <v>42977</v>
      </c>
      <c r="B3575" s="326" t="s">
        <v>27455</v>
      </c>
      <c r="C3575" s="327">
        <v>125547</v>
      </c>
      <c r="D3575" s="136" t="s">
        <v>15668</v>
      </c>
      <c r="E3575" s="328">
        <v>10363.200000000001</v>
      </c>
      <c r="F3575" s="361">
        <v>42980</v>
      </c>
      <c r="G3575" s="362">
        <v>10363.200000000001</v>
      </c>
      <c r="H3575" s="330">
        <f>Tabla13[[#This Row],[Importe]]-Tabla13[[#This Row],[Pagado]]</f>
        <v>0</v>
      </c>
      <c r="I3575" s="331" t="s">
        <v>15214</v>
      </c>
    </row>
    <row r="3576" spans="1:9" x14ac:dyDescent="0.25">
      <c r="A3576" s="319">
        <v>42977</v>
      </c>
      <c r="B3576" s="320" t="s">
        <v>27456</v>
      </c>
      <c r="C3576" s="321">
        <v>125548</v>
      </c>
      <c r="D3576" s="142" t="s">
        <v>19302</v>
      </c>
      <c r="E3576" s="322">
        <v>720</v>
      </c>
      <c r="F3576" s="323">
        <v>42977</v>
      </c>
      <c r="G3576" s="322">
        <v>720</v>
      </c>
      <c r="H3576" s="324">
        <f>Tabla13[[#This Row],[Importe]]-Tabla13[[#This Row],[Pagado]]</f>
        <v>0</v>
      </c>
      <c r="I3576" s="325" t="s">
        <v>15214</v>
      </c>
    </row>
    <row r="3577" spans="1:9" x14ac:dyDescent="0.25">
      <c r="A3577" s="353">
        <v>42977</v>
      </c>
      <c r="B3577" s="326" t="s">
        <v>27457</v>
      </c>
      <c r="C3577" s="327">
        <v>125549</v>
      </c>
      <c r="D3577" s="136" t="s">
        <v>15220</v>
      </c>
      <c r="E3577" s="328">
        <v>2880</v>
      </c>
      <c r="F3577" s="323">
        <v>42977</v>
      </c>
      <c r="G3577" s="328">
        <v>2880</v>
      </c>
      <c r="H3577" s="330">
        <f>Tabla13[[#This Row],[Importe]]-Tabla13[[#This Row],[Pagado]]</f>
        <v>0</v>
      </c>
      <c r="I3577" s="331" t="s">
        <v>15214</v>
      </c>
    </row>
    <row r="3578" spans="1:9" ht="30" x14ac:dyDescent="0.25">
      <c r="A3578" s="319">
        <v>42977</v>
      </c>
      <c r="B3578" s="326" t="s">
        <v>27458</v>
      </c>
      <c r="C3578" s="327">
        <v>125550</v>
      </c>
      <c r="D3578" s="136" t="s">
        <v>15258</v>
      </c>
      <c r="E3578" s="328">
        <v>9772</v>
      </c>
      <c r="F3578" s="361" t="s">
        <v>27681</v>
      </c>
      <c r="G3578" s="362">
        <f>3000+6772</f>
        <v>9772</v>
      </c>
      <c r="H3578" s="330">
        <f>Tabla13[[#This Row],[Importe]]-Tabla13[[#This Row],[Pagado]]</f>
        <v>0</v>
      </c>
      <c r="I3578" s="331" t="s">
        <v>15214</v>
      </c>
    </row>
    <row r="3579" spans="1:9" x14ac:dyDescent="0.25">
      <c r="A3579" s="319">
        <v>42977</v>
      </c>
      <c r="B3579" s="320" t="s">
        <v>27459</v>
      </c>
      <c r="C3579" s="321">
        <v>125551</v>
      </c>
      <c r="D3579" s="142" t="s">
        <v>15238</v>
      </c>
      <c r="E3579" s="322">
        <v>5287.2</v>
      </c>
      <c r="F3579" s="363">
        <v>42979</v>
      </c>
      <c r="G3579" s="155">
        <v>5287.2</v>
      </c>
      <c r="H3579" s="324">
        <f>Tabla13[[#This Row],[Importe]]-Tabla13[[#This Row],[Pagado]]</f>
        <v>0</v>
      </c>
      <c r="I3579" s="325" t="s">
        <v>15214</v>
      </c>
    </row>
    <row r="3580" spans="1:9" x14ac:dyDescent="0.25">
      <c r="A3580" s="353">
        <v>42977</v>
      </c>
      <c r="B3580" s="326" t="s">
        <v>27460</v>
      </c>
      <c r="C3580" s="327">
        <v>125552</v>
      </c>
      <c r="D3580" s="136" t="s">
        <v>5575</v>
      </c>
      <c r="E3580" s="328">
        <v>3620.2</v>
      </c>
      <c r="F3580" s="329">
        <v>42978</v>
      </c>
      <c r="G3580" s="328">
        <v>3620.2</v>
      </c>
      <c r="H3580" s="330">
        <f>Tabla13[[#This Row],[Importe]]-Tabla13[[#This Row],[Pagado]]</f>
        <v>0</v>
      </c>
      <c r="I3580" s="331" t="s">
        <v>15214</v>
      </c>
    </row>
    <row r="3581" spans="1:9" x14ac:dyDescent="0.25">
      <c r="A3581" s="319">
        <v>42977</v>
      </c>
      <c r="B3581" s="320" t="s">
        <v>27461</v>
      </c>
      <c r="C3581" s="321">
        <v>125553</v>
      </c>
      <c r="D3581" s="142" t="s">
        <v>15236</v>
      </c>
      <c r="E3581" s="322">
        <v>3536</v>
      </c>
      <c r="F3581" s="363">
        <v>42979</v>
      </c>
      <c r="G3581" s="155">
        <v>3536</v>
      </c>
      <c r="H3581" s="324">
        <f>Tabla13[[#This Row],[Importe]]-Tabla13[[#This Row],[Pagado]]</f>
        <v>0</v>
      </c>
      <c r="I3581" s="325" t="s">
        <v>15214</v>
      </c>
    </row>
    <row r="3582" spans="1:9" x14ac:dyDescent="0.25">
      <c r="A3582" s="353">
        <v>42977</v>
      </c>
      <c r="B3582" s="326" t="s">
        <v>27462</v>
      </c>
      <c r="C3582" s="327">
        <v>125554</v>
      </c>
      <c r="D3582" s="136" t="s">
        <v>15240</v>
      </c>
      <c r="E3582" s="328">
        <v>3106.6</v>
      </c>
      <c r="F3582" s="363">
        <v>42979</v>
      </c>
      <c r="G3582" s="362">
        <v>3106.6</v>
      </c>
      <c r="H3582" s="330">
        <f>Tabla13[[#This Row],[Importe]]-Tabla13[[#This Row],[Pagado]]</f>
        <v>0</v>
      </c>
      <c r="I3582" s="331" t="s">
        <v>15214</v>
      </c>
    </row>
    <row r="3583" spans="1:9" x14ac:dyDescent="0.25">
      <c r="A3583" s="319">
        <v>42977</v>
      </c>
      <c r="B3583" s="320" t="s">
        <v>27463</v>
      </c>
      <c r="C3583" s="321">
        <v>125555</v>
      </c>
      <c r="D3583" s="142" t="s">
        <v>15234</v>
      </c>
      <c r="E3583" s="322">
        <v>3472</v>
      </c>
      <c r="F3583" s="363">
        <v>42979</v>
      </c>
      <c r="G3583" s="155">
        <v>3472</v>
      </c>
      <c r="H3583" s="324">
        <f>Tabla13[[#This Row],[Importe]]-Tabla13[[#This Row],[Pagado]]</f>
        <v>0</v>
      </c>
      <c r="I3583" s="325" t="s">
        <v>15214</v>
      </c>
    </row>
    <row r="3584" spans="1:9" x14ac:dyDescent="0.25">
      <c r="A3584" s="353">
        <v>42977</v>
      </c>
      <c r="B3584" s="326" t="s">
        <v>27464</v>
      </c>
      <c r="C3584" s="327">
        <v>125556</v>
      </c>
      <c r="D3584" s="136" t="s">
        <v>15226</v>
      </c>
      <c r="E3584" s="328">
        <v>2092.3000000000002</v>
      </c>
      <c r="F3584" s="329">
        <v>42978</v>
      </c>
      <c r="G3584" s="328">
        <v>2092.3000000000002</v>
      </c>
      <c r="H3584" s="330">
        <f>Tabla13[[#This Row],[Importe]]-Tabla13[[#This Row],[Pagado]]</f>
        <v>0</v>
      </c>
      <c r="I3584" s="331" t="s">
        <v>15214</v>
      </c>
    </row>
    <row r="3585" spans="1:9" x14ac:dyDescent="0.25">
      <c r="A3585" s="319">
        <v>42977</v>
      </c>
      <c r="B3585" s="320" t="s">
        <v>27465</v>
      </c>
      <c r="C3585" s="321">
        <v>125557</v>
      </c>
      <c r="D3585" s="142" t="s">
        <v>15338</v>
      </c>
      <c r="E3585" s="322">
        <v>10622.4</v>
      </c>
      <c r="F3585" s="363">
        <v>42979</v>
      </c>
      <c r="G3585" s="155">
        <v>10622.4</v>
      </c>
      <c r="H3585" s="324">
        <f>Tabla13[[#This Row],[Importe]]-Tabla13[[#This Row],[Pagado]]</f>
        <v>0</v>
      </c>
      <c r="I3585" s="325" t="s">
        <v>15214</v>
      </c>
    </row>
    <row r="3586" spans="1:9" x14ac:dyDescent="0.25">
      <c r="A3586" s="353">
        <v>42977</v>
      </c>
      <c r="B3586" s="326" t="s">
        <v>27466</v>
      </c>
      <c r="C3586" s="327">
        <v>125558</v>
      </c>
      <c r="D3586" s="136" t="s">
        <v>15272</v>
      </c>
      <c r="E3586" s="328">
        <v>16507.5</v>
      </c>
      <c r="F3586" s="323">
        <v>42977</v>
      </c>
      <c r="G3586" s="328">
        <v>16507.5</v>
      </c>
      <c r="H3586" s="330">
        <f>Tabla13[[#This Row],[Importe]]-Tabla13[[#This Row],[Pagado]]</f>
        <v>0</v>
      </c>
      <c r="I3586" s="331" t="s">
        <v>15214</v>
      </c>
    </row>
    <row r="3587" spans="1:9" x14ac:dyDescent="0.25">
      <c r="A3587" s="319">
        <v>42977</v>
      </c>
      <c r="B3587" s="320" t="s">
        <v>27467</v>
      </c>
      <c r="C3587" s="321">
        <v>125559</v>
      </c>
      <c r="D3587" s="142" t="s">
        <v>15315</v>
      </c>
      <c r="E3587" s="322">
        <v>408</v>
      </c>
      <c r="F3587" s="323">
        <v>42977</v>
      </c>
      <c r="G3587" s="322">
        <v>408</v>
      </c>
      <c r="H3587" s="324">
        <f>Tabla13[[#This Row],[Importe]]-Tabla13[[#This Row],[Pagado]]</f>
        <v>0</v>
      </c>
      <c r="I3587" s="325" t="s">
        <v>15214</v>
      </c>
    </row>
    <row r="3588" spans="1:9" x14ac:dyDescent="0.25">
      <c r="A3588" s="319">
        <v>42977</v>
      </c>
      <c r="B3588" s="320" t="s">
        <v>27468</v>
      </c>
      <c r="C3588" s="321">
        <v>125560</v>
      </c>
      <c r="D3588" s="142" t="s">
        <v>15256</v>
      </c>
      <c r="E3588" s="322">
        <v>2601.6</v>
      </c>
      <c r="F3588" s="363">
        <v>42979</v>
      </c>
      <c r="G3588" s="155">
        <v>2601.6</v>
      </c>
      <c r="H3588" s="324">
        <f>Tabla13[[#This Row],[Importe]]-Tabla13[[#This Row],[Pagado]]</f>
        <v>0</v>
      </c>
      <c r="I3588" s="325" t="s">
        <v>15214</v>
      </c>
    </row>
    <row r="3589" spans="1:9" x14ac:dyDescent="0.25">
      <c r="A3589" s="353">
        <v>42977</v>
      </c>
      <c r="B3589" s="326" t="s">
        <v>27469</v>
      </c>
      <c r="C3589" s="327">
        <v>125561</v>
      </c>
      <c r="D3589" s="136" t="s">
        <v>15389</v>
      </c>
      <c r="E3589" s="328">
        <v>11211.2</v>
      </c>
      <c r="F3589" s="361">
        <v>42986</v>
      </c>
      <c r="G3589" s="362">
        <v>11211.2</v>
      </c>
      <c r="H3589" s="330">
        <f>Tabla13[[#This Row],[Importe]]-Tabla13[[#This Row],[Pagado]]</f>
        <v>0</v>
      </c>
      <c r="I3589" s="331" t="s">
        <v>15214</v>
      </c>
    </row>
    <row r="3590" spans="1:9" x14ac:dyDescent="0.25">
      <c r="A3590" s="319">
        <v>42977</v>
      </c>
      <c r="B3590" s="320" t="s">
        <v>27470</v>
      </c>
      <c r="C3590" s="321">
        <v>125562</v>
      </c>
      <c r="D3590" s="142" t="s">
        <v>15371</v>
      </c>
      <c r="E3590" s="322">
        <v>4093.8</v>
      </c>
      <c r="F3590" s="323">
        <v>42978</v>
      </c>
      <c r="G3590" s="322">
        <v>4093.8</v>
      </c>
      <c r="H3590" s="324">
        <f>Tabla13[[#This Row],[Importe]]-Tabla13[[#This Row],[Pagado]]</f>
        <v>0</v>
      </c>
      <c r="I3590" s="325" t="s">
        <v>15214</v>
      </c>
    </row>
    <row r="3591" spans="1:9" x14ac:dyDescent="0.25">
      <c r="A3591" s="353">
        <v>42977</v>
      </c>
      <c r="B3591" s="326" t="s">
        <v>27471</v>
      </c>
      <c r="C3591" s="327">
        <v>125563</v>
      </c>
      <c r="D3591" s="136" t="s">
        <v>15382</v>
      </c>
      <c r="E3591" s="328">
        <v>10403.6</v>
      </c>
      <c r="F3591" s="361">
        <v>42986</v>
      </c>
      <c r="G3591" s="362">
        <v>10403.6</v>
      </c>
      <c r="H3591" s="330">
        <f>Tabla13[[#This Row],[Importe]]-Tabla13[[#This Row],[Pagado]]</f>
        <v>0</v>
      </c>
      <c r="I3591" s="331" t="s">
        <v>15214</v>
      </c>
    </row>
    <row r="3592" spans="1:9" x14ac:dyDescent="0.25">
      <c r="A3592" s="319">
        <v>42977</v>
      </c>
      <c r="B3592" s="320" t="s">
        <v>27472</v>
      </c>
      <c r="C3592" s="321">
        <v>125564</v>
      </c>
      <c r="D3592" s="142" t="s">
        <v>15681</v>
      </c>
      <c r="E3592" s="322">
        <v>2100</v>
      </c>
      <c r="F3592" s="323">
        <v>42977</v>
      </c>
      <c r="G3592" s="322">
        <v>2100</v>
      </c>
      <c r="H3592" s="324">
        <f>Tabla13[[#This Row],[Importe]]-Tabla13[[#This Row],[Pagado]]</f>
        <v>0</v>
      </c>
      <c r="I3592" s="325" t="s">
        <v>15214</v>
      </c>
    </row>
    <row r="3593" spans="1:9" x14ac:dyDescent="0.25">
      <c r="A3593" s="353">
        <v>42977</v>
      </c>
      <c r="B3593" s="326" t="s">
        <v>27473</v>
      </c>
      <c r="C3593" s="327">
        <v>125565</v>
      </c>
      <c r="D3593" s="136" t="s">
        <v>15380</v>
      </c>
      <c r="E3593" s="328">
        <v>38731.800000000003</v>
      </c>
      <c r="F3593" s="361">
        <v>42986</v>
      </c>
      <c r="G3593" s="362">
        <v>38731.800000000003</v>
      </c>
      <c r="H3593" s="330">
        <f>Tabla13[[#This Row],[Importe]]-Tabla13[[#This Row],[Pagado]]</f>
        <v>0</v>
      </c>
      <c r="I3593" s="331" t="s">
        <v>15214</v>
      </c>
    </row>
    <row r="3594" spans="1:9" x14ac:dyDescent="0.25">
      <c r="A3594" s="319">
        <v>42977</v>
      </c>
      <c r="B3594" s="320" t="s">
        <v>27474</v>
      </c>
      <c r="C3594" s="321">
        <v>125566</v>
      </c>
      <c r="D3594" s="142" t="s">
        <v>17462</v>
      </c>
      <c r="E3594" s="322">
        <v>2763.3</v>
      </c>
      <c r="F3594" s="323">
        <v>42977</v>
      </c>
      <c r="G3594" s="322">
        <v>2763.3</v>
      </c>
      <c r="H3594" s="324">
        <f>Tabla13[[#This Row],[Importe]]-Tabla13[[#This Row],[Pagado]]</f>
        <v>0</v>
      </c>
      <c r="I3594" s="325" t="s">
        <v>15214</v>
      </c>
    </row>
    <row r="3595" spans="1:9" x14ac:dyDescent="0.25">
      <c r="A3595" s="353">
        <v>42977</v>
      </c>
      <c r="B3595" s="326" t="s">
        <v>27475</v>
      </c>
      <c r="C3595" s="327">
        <v>125567</v>
      </c>
      <c r="D3595" s="136" t="s">
        <v>15332</v>
      </c>
      <c r="E3595" s="328">
        <v>2369.1</v>
      </c>
      <c r="F3595" s="323">
        <v>42977</v>
      </c>
      <c r="G3595" s="328">
        <v>2369.1</v>
      </c>
      <c r="H3595" s="330">
        <f>Tabla13[[#This Row],[Importe]]-Tabla13[[#This Row],[Pagado]]</f>
        <v>0</v>
      </c>
      <c r="I3595" s="331" t="s">
        <v>15214</v>
      </c>
    </row>
    <row r="3596" spans="1:9" x14ac:dyDescent="0.25">
      <c r="A3596" s="319">
        <v>42977</v>
      </c>
      <c r="B3596" s="320" t="s">
        <v>27476</v>
      </c>
      <c r="C3596" s="321">
        <v>125568</v>
      </c>
      <c r="D3596" s="142" t="s">
        <v>15523</v>
      </c>
      <c r="E3596" s="322">
        <v>1920</v>
      </c>
      <c r="F3596" s="323">
        <v>42977</v>
      </c>
      <c r="G3596" s="322">
        <v>1920</v>
      </c>
      <c r="H3596" s="324">
        <f>Tabla13[[#This Row],[Importe]]-Tabla13[[#This Row],[Pagado]]</f>
        <v>0</v>
      </c>
      <c r="I3596" s="325" t="s">
        <v>15214</v>
      </c>
    </row>
    <row r="3597" spans="1:9" x14ac:dyDescent="0.25">
      <c r="A3597" s="319">
        <v>42977</v>
      </c>
      <c r="B3597" s="326" t="s">
        <v>27477</v>
      </c>
      <c r="C3597" s="327">
        <v>125569</v>
      </c>
      <c r="D3597" s="136" t="s">
        <v>15334</v>
      </c>
      <c r="E3597" s="328">
        <v>2088</v>
      </c>
      <c r="F3597" s="323">
        <v>42977</v>
      </c>
      <c r="G3597" s="328">
        <v>2088</v>
      </c>
      <c r="H3597" s="330">
        <f>Tabla13[[#This Row],[Importe]]-Tabla13[[#This Row],[Pagado]]</f>
        <v>0</v>
      </c>
      <c r="I3597" s="331" t="s">
        <v>15214</v>
      </c>
    </row>
    <row r="3598" spans="1:9" ht="30" x14ac:dyDescent="0.25">
      <c r="A3598" s="353">
        <v>42977</v>
      </c>
      <c r="B3598" s="326" t="s">
        <v>27478</v>
      </c>
      <c r="C3598" s="327">
        <v>125570</v>
      </c>
      <c r="D3598" s="136" t="s">
        <v>15373</v>
      </c>
      <c r="E3598" s="328">
        <v>16070.4</v>
      </c>
      <c r="F3598" s="361" t="s">
        <v>27682</v>
      </c>
      <c r="G3598" s="364">
        <f>14000+2070.4</f>
        <v>16070.4</v>
      </c>
      <c r="H3598" s="365">
        <f>Tabla13[[#This Row],[Importe]]-Tabla13[[#This Row],[Pagado]]</f>
        <v>0</v>
      </c>
      <c r="I3598" s="331" t="s">
        <v>15214</v>
      </c>
    </row>
    <row r="3599" spans="1:9" x14ac:dyDescent="0.25">
      <c r="A3599" s="319">
        <v>42977</v>
      </c>
      <c r="B3599" s="320" t="s">
        <v>27479</v>
      </c>
      <c r="C3599" s="321">
        <v>125571</v>
      </c>
      <c r="D3599" s="142" t="s">
        <v>15358</v>
      </c>
      <c r="E3599" s="322">
        <v>1626.2</v>
      </c>
      <c r="F3599" s="323">
        <v>42977</v>
      </c>
      <c r="G3599" s="322">
        <v>1626.2</v>
      </c>
      <c r="H3599" s="324">
        <f>Tabla13[[#This Row],[Importe]]-Tabla13[[#This Row],[Pagado]]</f>
        <v>0</v>
      </c>
      <c r="I3599" s="325" t="s">
        <v>15214</v>
      </c>
    </row>
    <row r="3600" spans="1:9" x14ac:dyDescent="0.25">
      <c r="A3600" s="353">
        <v>42977</v>
      </c>
      <c r="B3600" s="326" t="s">
        <v>27480</v>
      </c>
      <c r="C3600" s="327">
        <v>125572</v>
      </c>
      <c r="D3600" s="136" t="s">
        <v>15336</v>
      </c>
      <c r="E3600" s="328">
        <v>6843.2</v>
      </c>
      <c r="F3600" s="323">
        <v>42977</v>
      </c>
      <c r="G3600" s="328">
        <v>6843.2</v>
      </c>
      <c r="H3600" s="330">
        <f>Tabla13[[#This Row],[Importe]]-Tabla13[[#This Row],[Pagado]]</f>
        <v>0</v>
      </c>
      <c r="I3600" s="331" t="s">
        <v>15214</v>
      </c>
    </row>
    <row r="3601" spans="1:9" x14ac:dyDescent="0.25">
      <c r="A3601" s="319">
        <v>42977</v>
      </c>
      <c r="B3601" s="320" t="s">
        <v>27481</v>
      </c>
      <c r="C3601" s="321">
        <v>125573</v>
      </c>
      <c r="D3601" s="142" t="s">
        <v>15858</v>
      </c>
      <c r="E3601" s="322">
        <v>1171.32</v>
      </c>
      <c r="F3601" s="323">
        <v>42977</v>
      </c>
      <c r="G3601" s="322">
        <v>1171.32</v>
      </c>
      <c r="H3601" s="324">
        <f>Tabla13[[#This Row],[Importe]]-Tabla13[[#This Row],[Pagado]]</f>
        <v>0</v>
      </c>
      <c r="I3601" s="325" t="s">
        <v>15214</v>
      </c>
    </row>
    <row r="3602" spans="1:9" x14ac:dyDescent="0.25">
      <c r="A3602" s="353">
        <v>42977</v>
      </c>
      <c r="B3602" s="326" t="s">
        <v>27482</v>
      </c>
      <c r="C3602" s="327">
        <v>125574</v>
      </c>
      <c r="D3602" s="136" t="s">
        <v>15526</v>
      </c>
      <c r="E3602" s="328">
        <v>3805</v>
      </c>
      <c r="F3602" s="323">
        <v>42977</v>
      </c>
      <c r="G3602" s="328">
        <v>3805</v>
      </c>
      <c r="H3602" s="330">
        <f>Tabla13[[#This Row],[Importe]]-Tabla13[[#This Row],[Pagado]]</f>
        <v>0</v>
      </c>
      <c r="I3602" s="331" t="s">
        <v>15214</v>
      </c>
    </row>
    <row r="3603" spans="1:9" x14ac:dyDescent="0.25">
      <c r="A3603" s="319">
        <v>42977</v>
      </c>
      <c r="B3603" s="320" t="s">
        <v>27483</v>
      </c>
      <c r="C3603" s="321">
        <v>125575</v>
      </c>
      <c r="D3603" s="142" t="s">
        <v>15732</v>
      </c>
      <c r="E3603" s="322">
        <v>3384.5</v>
      </c>
      <c r="F3603" s="323">
        <v>42977</v>
      </c>
      <c r="G3603" s="322">
        <v>3384.5</v>
      </c>
      <c r="H3603" s="324">
        <f>Tabla13[[#This Row],[Importe]]-Tabla13[[#This Row],[Pagado]]</f>
        <v>0</v>
      </c>
      <c r="I3603" s="325" t="s">
        <v>15214</v>
      </c>
    </row>
    <row r="3604" spans="1:9" x14ac:dyDescent="0.25">
      <c r="A3604" s="353">
        <v>42977</v>
      </c>
      <c r="B3604" s="326" t="s">
        <v>27484</v>
      </c>
      <c r="C3604" s="327">
        <v>125576</v>
      </c>
      <c r="D3604" s="136" t="s">
        <v>15394</v>
      </c>
      <c r="E3604" s="328">
        <v>18298.8</v>
      </c>
      <c r="F3604" s="361">
        <v>42980</v>
      </c>
      <c r="G3604" s="362">
        <v>18298.8</v>
      </c>
      <c r="H3604" s="330">
        <f>Tabla13[[#This Row],[Importe]]-Tabla13[[#This Row],[Pagado]]</f>
        <v>0</v>
      </c>
      <c r="I3604" s="331" t="s">
        <v>15214</v>
      </c>
    </row>
    <row r="3605" spans="1:9" x14ac:dyDescent="0.25">
      <c r="A3605" s="319">
        <v>42977</v>
      </c>
      <c r="B3605" s="320" t="s">
        <v>27485</v>
      </c>
      <c r="C3605" s="321">
        <v>125577</v>
      </c>
      <c r="D3605" s="142" t="s">
        <v>18544</v>
      </c>
      <c r="E3605" s="322">
        <v>6970.6</v>
      </c>
      <c r="F3605" s="323">
        <v>42977</v>
      </c>
      <c r="G3605" s="322">
        <v>6970.6</v>
      </c>
      <c r="H3605" s="324">
        <f>Tabla13[[#This Row],[Importe]]-Tabla13[[#This Row],[Pagado]]</f>
        <v>0</v>
      </c>
      <c r="I3605" s="325" t="s">
        <v>15214</v>
      </c>
    </row>
    <row r="3606" spans="1:9" x14ac:dyDescent="0.25">
      <c r="A3606" s="319">
        <v>42977</v>
      </c>
      <c r="B3606" s="326" t="s">
        <v>27486</v>
      </c>
      <c r="C3606" s="327">
        <v>125578</v>
      </c>
      <c r="D3606" s="136" t="s">
        <v>15369</v>
      </c>
      <c r="E3606" s="328">
        <v>21093.1</v>
      </c>
      <c r="F3606" s="361">
        <v>42986</v>
      </c>
      <c r="G3606" s="362">
        <v>21093.1</v>
      </c>
      <c r="H3606" s="330">
        <f>Tabla13[[#This Row],[Importe]]-Tabla13[[#This Row],[Pagado]]</f>
        <v>0</v>
      </c>
      <c r="I3606" s="331" t="s">
        <v>15214</v>
      </c>
    </row>
    <row r="3607" spans="1:9" x14ac:dyDescent="0.25">
      <c r="A3607" s="353">
        <v>42977</v>
      </c>
      <c r="B3607" s="320" t="s">
        <v>27487</v>
      </c>
      <c r="C3607" s="321">
        <v>125579</v>
      </c>
      <c r="D3607" s="142" t="s">
        <v>15263</v>
      </c>
      <c r="E3607" s="322">
        <v>2786.8</v>
      </c>
      <c r="F3607" s="323">
        <v>42977</v>
      </c>
      <c r="G3607" s="322">
        <v>2786.8</v>
      </c>
      <c r="H3607" s="324">
        <f>Tabla13[[#This Row],[Importe]]-Tabla13[[#This Row],[Pagado]]</f>
        <v>0</v>
      </c>
      <c r="I3607" s="325" t="s">
        <v>15214</v>
      </c>
    </row>
    <row r="3608" spans="1:9" x14ac:dyDescent="0.25">
      <c r="A3608" s="319">
        <v>42977</v>
      </c>
      <c r="B3608" s="320" t="s">
        <v>27488</v>
      </c>
      <c r="C3608" s="321">
        <v>125580</v>
      </c>
      <c r="D3608" s="142" t="s">
        <v>15342</v>
      </c>
      <c r="E3608" s="322">
        <v>874.8</v>
      </c>
      <c r="F3608" s="323">
        <v>42977</v>
      </c>
      <c r="G3608" s="322">
        <v>874.8</v>
      </c>
      <c r="H3608" s="324">
        <f>Tabla13[[#This Row],[Importe]]-Tabla13[[#This Row],[Pagado]]</f>
        <v>0</v>
      </c>
      <c r="I3608" s="325" t="s">
        <v>15214</v>
      </c>
    </row>
    <row r="3609" spans="1:9" x14ac:dyDescent="0.25">
      <c r="A3609" s="353">
        <v>42977</v>
      </c>
      <c r="B3609" s="326" t="s">
        <v>27489</v>
      </c>
      <c r="C3609" s="327">
        <v>125581</v>
      </c>
      <c r="D3609" s="136" t="s">
        <v>15530</v>
      </c>
      <c r="E3609" s="328">
        <v>3777.1</v>
      </c>
      <c r="F3609" s="323">
        <v>42977</v>
      </c>
      <c r="G3609" s="328">
        <v>3777.1</v>
      </c>
      <c r="H3609" s="330">
        <f>Tabla13[[#This Row],[Importe]]-Tabla13[[#This Row],[Pagado]]</f>
        <v>0</v>
      </c>
      <c r="I3609" s="331" t="s">
        <v>15214</v>
      </c>
    </row>
    <row r="3610" spans="1:9" x14ac:dyDescent="0.25">
      <c r="A3610" s="319">
        <v>42977</v>
      </c>
      <c r="B3610" s="320" t="s">
        <v>27490</v>
      </c>
      <c r="C3610" s="321">
        <v>125582</v>
      </c>
      <c r="D3610" s="142" t="s">
        <v>15348</v>
      </c>
      <c r="E3610" s="322">
        <v>257.39999999999998</v>
      </c>
      <c r="F3610" s="323">
        <v>42978</v>
      </c>
      <c r="G3610" s="322">
        <v>257.39999999999998</v>
      </c>
      <c r="H3610" s="324">
        <f>Tabla13[[#This Row],[Importe]]-Tabla13[[#This Row],[Pagado]]</f>
        <v>0</v>
      </c>
      <c r="I3610" s="325" t="s">
        <v>15214</v>
      </c>
    </row>
    <row r="3611" spans="1:9" x14ac:dyDescent="0.25">
      <c r="A3611" s="353">
        <v>42977</v>
      </c>
      <c r="B3611" s="326" t="s">
        <v>27491</v>
      </c>
      <c r="C3611" s="327">
        <v>125583</v>
      </c>
      <c r="D3611" s="136" t="s">
        <v>15261</v>
      </c>
      <c r="E3611" s="328">
        <v>20136.3</v>
      </c>
      <c r="F3611" s="323">
        <v>42977</v>
      </c>
      <c r="G3611" s="328">
        <v>20136.3</v>
      </c>
      <c r="H3611" s="330">
        <f>Tabla13[[#This Row],[Importe]]-Tabla13[[#This Row],[Pagado]]</f>
        <v>0</v>
      </c>
      <c r="I3611" s="331" t="s">
        <v>15214</v>
      </c>
    </row>
    <row r="3612" spans="1:9" x14ac:dyDescent="0.25">
      <c r="A3612" s="319">
        <v>42977</v>
      </c>
      <c r="B3612" s="320" t="s">
        <v>27492</v>
      </c>
      <c r="C3612" s="321">
        <v>125584</v>
      </c>
      <c r="D3612" s="142" t="s">
        <v>15326</v>
      </c>
      <c r="E3612" s="322">
        <v>2523.1</v>
      </c>
      <c r="F3612" s="323">
        <v>42977</v>
      </c>
      <c r="G3612" s="322">
        <v>2523.1</v>
      </c>
      <c r="H3612" s="324">
        <f>Tabla13[[#This Row],[Importe]]-Tabla13[[#This Row],[Pagado]]</f>
        <v>0</v>
      </c>
      <c r="I3612" s="325" t="s">
        <v>15214</v>
      </c>
    </row>
    <row r="3613" spans="1:9" x14ac:dyDescent="0.25">
      <c r="A3613" s="353">
        <v>42977</v>
      </c>
      <c r="B3613" s="326" t="s">
        <v>27493</v>
      </c>
      <c r="C3613" s="327">
        <v>125585</v>
      </c>
      <c r="D3613" s="136" t="s">
        <v>15324</v>
      </c>
      <c r="E3613" s="328">
        <v>1713</v>
      </c>
      <c r="F3613" s="323">
        <v>42977</v>
      </c>
      <c r="G3613" s="328">
        <v>1713</v>
      </c>
      <c r="H3613" s="330">
        <f>Tabla13[[#This Row],[Importe]]-Tabla13[[#This Row],[Pagado]]</f>
        <v>0</v>
      </c>
      <c r="I3613" s="331" t="s">
        <v>15214</v>
      </c>
    </row>
    <row r="3614" spans="1:9" x14ac:dyDescent="0.25">
      <c r="A3614" s="319">
        <v>42977</v>
      </c>
      <c r="B3614" s="320" t="s">
        <v>27494</v>
      </c>
      <c r="C3614" s="321">
        <v>125586</v>
      </c>
      <c r="D3614" s="142" t="s">
        <v>15248</v>
      </c>
      <c r="E3614" s="322">
        <v>10105.5</v>
      </c>
      <c r="F3614" s="323">
        <v>42977</v>
      </c>
      <c r="G3614" s="322">
        <v>10105.5</v>
      </c>
      <c r="H3614" s="324">
        <f>Tabla13[[#This Row],[Importe]]-Tabla13[[#This Row],[Pagado]]</f>
        <v>0</v>
      </c>
      <c r="I3614" s="325" t="s">
        <v>15214</v>
      </c>
    </row>
    <row r="3615" spans="1:9" x14ac:dyDescent="0.25">
      <c r="A3615" s="319">
        <v>42977</v>
      </c>
      <c r="B3615" s="326" t="s">
        <v>27495</v>
      </c>
      <c r="C3615" s="327">
        <v>125587</v>
      </c>
      <c r="D3615" s="136" t="s">
        <v>15223</v>
      </c>
      <c r="E3615" s="328">
        <v>50373</v>
      </c>
      <c r="F3615" s="329">
        <v>43000</v>
      </c>
      <c r="G3615" s="328">
        <v>50373</v>
      </c>
      <c r="H3615" s="330">
        <f>Tabla13[[#This Row],[Importe]]-Tabla13[[#This Row],[Pagado]]</f>
        <v>0</v>
      </c>
      <c r="I3615" s="331" t="s">
        <v>15214</v>
      </c>
    </row>
    <row r="3616" spans="1:9" x14ac:dyDescent="0.25">
      <c r="A3616" s="353">
        <v>42977</v>
      </c>
      <c r="B3616" s="320" t="s">
        <v>27496</v>
      </c>
      <c r="C3616" s="321">
        <v>125588</v>
      </c>
      <c r="D3616" s="142" t="s">
        <v>17950</v>
      </c>
      <c r="E3616" s="322">
        <v>4012.4</v>
      </c>
      <c r="F3616" s="323">
        <v>42977</v>
      </c>
      <c r="G3616" s="322">
        <v>4012.4</v>
      </c>
      <c r="H3616" s="324">
        <f>Tabla13[[#This Row],[Importe]]-Tabla13[[#This Row],[Pagado]]</f>
        <v>0</v>
      </c>
      <c r="I3616" s="325" t="s">
        <v>15214</v>
      </c>
    </row>
    <row r="3617" spans="1:9" x14ac:dyDescent="0.25">
      <c r="A3617" s="319">
        <v>42977</v>
      </c>
      <c r="B3617" s="326" t="s">
        <v>27497</v>
      </c>
      <c r="C3617" s="327">
        <v>125589</v>
      </c>
      <c r="D3617" s="136" t="s">
        <v>15365</v>
      </c>
      <c r="E3617" s="328">
        <v>1867.6</v>
      </c>
      <c r="F3617" s="361">
        <v>42980</v>
      </c>
      <c r="G3617" s="362">
        <v>1867.6</v>
      </c>
      <c r="H3617" s="330">
        <f>Tabla13[[#This Row],[Importe]]-Tabla13[[#This Row],[Pagado]]</f>
        <v>0</v>
      </c>
      <c r="I3617" s="331" t="s">
        <v>15214</v>
      </c>
    </row>
    <row r="3618" spans="1:9" x14ac:dyDescent="0.25">
      <c r="A3618" s="353">
        <v>42977</v>
      </c>
      <c r="B3618" s="326" t="s">
        <v>27498</v>
      </c>
      <c r="C3618" s="327">
        <v>125590</v>
      </c>
      <c r="D3618" s="136" t="s">
        <v>15246</v>
      </c>
      <c r="E3618" s="328">
        <v>2000</v>
      </c>
      <c r="F3618" s="361">
        <v>42980</v>
      </c>
      <c r="G3618" s="362">
        <v>2000</v>
      </c>
      <c r="H3618" s="330">
        <f>Tabla13[[#This Row],[Importe]]-Tabla13[[#This Row],[Pagado]]</f>
        <v>0</v>
      </c>
      <c r="I3618" s="331" t="s">
        <v>15214</v>
      </c>
    </row>
    <row r="3619" spans="1:9" x14ac:dyDescent="0.25">
      <c r="A3619" s="319">
        <v>42977</v>
      </c>
      <c r="B3619" s="320" t="s">
        <v>27499</v>
      </c>
      <c r="C3619" s="321">
        <v>125591</v>
      </c>
      <c r="D3619" s="142" t="s">
        <v>15759</v>
      </c>
      <c r="E3619" s="322">
        <v>1663.56</v>
      </c>
      <c r="F3619" s="323">
        <v>42977</v>
      </c>
      <c r="G3619" s="322">
        <v>1663.56</v>
      </c>
      <c r="H3619" s="324">
        <f>Tabla13[[#This Row],[Importe]]-Tabla13[[#This Row],[Pagado]]</f>
        <v>0</v>
      </c>
      <c r="I3619" s="325" t="s">
        <v>15214</v>
      </c>
    </row>
    <row r="3620" spans="1:9" x14ac:dyDescent="0.25">
      <c r="A3620" s="353">
        <v>42977</v>
      </c>
      <c r="B3620" s="326" t="s">
        <v>27500</v>
      </c>
      <c r="C3620" s="327">
        <v>125592</v>
      </c>
      <c r="D3620" s="136" t="s">
        <v>15307</v>
      </c>
      <c r="E3620" s="328">
        <v>1468</v>
      </c>
      <c r="F3620" s="323">
        <v>42977</v>
      </c>
      <c r="G3620" s="328">
        <v>1468</v>
      </c>
      <c r="H3620" s="330">
        <f>Tabla13[[#This Row],[Importe]]-Tabla13[[#This Row],[Pagado]]</f>
        <v>0</v>
      </c>
      <c r="I3620" s="331" t="s">
        <v>15214</v>
      </c>
    </row>
    <row r="3621" spans="1:9" x14ac:dyDescent="0.25">
      <c r="A3621" s="319">
        <v>42977</v>
      </c>
      <c r="B3621" s="320" t="s">
        <v>27501</v>
      </c>
      <c r="C3621" s="321">
        <v>125593</v>
      </c>
      <c r="D3621" s="142" t="s">
        <v>16383</v>
      </c>
      <c r="E3621" s="322">
        <v>9967.7999999999993</v>
      </c>
      <c r="F3621" s="323">
        <v>42977</v>
      </c>
      <c r="G3621" s="322">
        <v>9967.7999999999993</v>
      </c>
      <c r="H3621" s="324">
        <f>Tabla13[[#This Row],[Importe]]-Tabla13[[#This Row],[Pagado]]</f>
        <v>0</v>
      </c>
      <c r="I3621" s="325" t="s">
        <v>15214</v>
      </c>
    </row>
    <row r="3622" spans="1:9" x14ac:dyDescent="0.25">
      <c r="A3622" s="353">
        <v>42977</v>
      </c>
      <c r="B3622" s="326" t="s">
        <v>27502</v>
      </c>
      <c r="C3622" s="327">
        <v>125594</v>
      </c>
      <c r="D3622" s="136" t="s">
        <v>15278</v>
      </c>
      <c r="E3622" s="328">
        <v>7365.6</v>
      </c>
      <c r="F3622" s="323">
        <v>42977</v>
      </c>
      <c r="G3622" s="328">
        <v>7365.6</v>
      </c>
      <c r="H3622" s="330">
        <f>Tabla13[[#This Row],[Importe]]-Tabla13[[#This Row],[Pagado]]</f>
        <v>0</v>
      </c>
      <c r="I3622" s="331" t="s">
        <v>15214</v>
      </c>
    </row>
    <row r="3623" spans="1:9" x14ac:dyDescent="0.25">
      <c r="A3623" s="319">
        <v>42977</v>
      </c>
      <c r="B3623" s="320" t="s">
        <v>27503</v>
      </c>
      <c r="C3623" s="321">
        <v>125595</v>
      </c>
      <c r="D3623" s="142" t="s">
        <v>15291</v>
      </c>
      <c r="E3623" s="322">
        <v>576</v>
      </c>
      <c r="F3623" s="323">
        <v>42977</v>
      </c>
      <c r="G3623" s="322">
        <v>576</v>
      </c>
      <c r="H3623" s="324">
        <f>Tabla13[[#This Row],[Importe]]-Tabla13[[#This Row],[Pagado]]</f>
        <v>0</v>
      </c>
      <c r="I3623" s="325" t="s">
        <v>15214</v>
      </c>
    </row>
    <row r="3624" spans="1:9" x14ac:dyDescent="0.25">
      <c r="A3624" s="319">
        <v>42977</v>
      </c>
      <c r="B3624" s="326" t="s">
        <v>27504</v>
      </c>
      <c r="C3624" s="327">
        <v>125596</v>
      </c>
      <c r="D3624" s="136" t="s">
        <v>15280</v>
      </c>
      <c r="E3624" s="328">
        <v>4948.8</v>
      </c>
      <c r="F3624" s="323">
        <v>42977</v>
      </c>
      <c r="G3624" s="328">
        <v>4948.8</v>
      </c>
      <c r="H3624" s="330">
        <f>Tabla13[[#This Row],[Importe]]-Tabla13[[#This Row],[Pagado]]</f>
        <v>0</v>
      </c>
      <c r="I3624" s="331" t="s">
        <v>15214</v>
      </c>
    </row>
    <row r="3625" spans="1:9" x14ac:dyDescent="0.25">
      <c r="A3625" s="353">
        <v>42977</v>
      </c>
      <c r="B3625" s="320" t="s">
        <v>27505</v>
      </c>
      <c r="C3625" s="321">
        <v>125597</v>
      </c>
      <c r="D3625" s="142" t="s">
        <v>15315</v>
      </c>
      <c r="E3625" s="322">
        <v>617.70000000000005</v>
      </c>
      <c r="F3625" s="323">
        <v>42977</v>
      </c>
      <c r="G3625" s="322">
        <v>617.70000000000005</v>
      </c>
      <c r="H3625" s="324">
        <f>Tabla13[[#This Row],[Importe]]-Tabla13[[#This Row],[Pagado]]</f>
        <v>0</v>
      </c>
      <c r="I3625" s="325" t="s">
        <v>15214</v>
      </c>
    </row>
    <row r="3626" spans="1:9" x14ac:dyDescent="0.25">
      <c r="A3626" s="319">
        <v>42977</v>
      </c>
      <c r="B3626" s="326" t="s">
        <v>27506</v>
      </c>
      <c r="C3626" s="327">
        <v>125598</v>
      </c>
      <c r="D3626" s="136" t="s">
        <v>15745</v>
      </c>
      <c r="E3626" s="328">
        <v>3023.32</v>
      </c>
      <c r="F3626" s="323">
        <v>42977</v>
      </c>
      <c r="G3626" s="328">
        <v>3023.32</v>
      </c>
      <c r="H3626" s="330">
        <f>Tabla13[[#This Row],[Importe]]-Tabla13[[#This Row],[Pagado]]</f>
        <v>0</v>
      </c>
      <c r="I3626" s="331" t="s">
        <v>15214</v>
      </c>
    </row>
    <row r="3627" spans="1:9" x14ac:dyDescent="0.25">
      <c r="A3627" s="353">
        <v>42977</v>
      </c>
      <c r="B3627" s="320" t="s">
        <v>27507</v>
      </c>
      <c r="C3627" s="321">
        <v>125599</v>
      </c>
      <c r="D3627" s="142" t="s">
        <v>15284</v>
      </c>
      <c r="E3627" s="322">
        <v>1950.4</v>
      </c>
      <c r="F3627" s="323">
        <v>42977</v>
      </c>
      <c r="G3627" s="322">
        <v>1950.4</v>
      </c>
      <c r="H3627" s="324">
        <f>Tabla13[[#This Row],[Importe]]-Tabla13[[#This Row],[Pagado]]</f>
        <v>0</v>
      </c>
      <c r="I3627" s="325" t="s">
        <v>15214</v>
      </c>
    </row>
    <row r="3628" spans="1:9" x14ac:dyDescent="0.25">
      <c r="A3628" s="319">
        <v>42977</v>
      </c>
      <c r="B3628" s="326" t="s">
        <v>27508</v>
      </c>
      <c r="C3628" s="327">
        <v>125600</v>
      </c>
      <c r="D3628" s="136" t="s">
        <v>15668</v>
      </c>
      <c r="E3628" s="328">
        <v>8244</v>
      </c>
      <c r="F3628" s="361">
        <v>42980</v>
      </c>
      <c r="G3628" s="362">
        <v>8244</v>
      </c>
      <c r="H3628" s="330">
        <f>Tabla13[[#This Row],[Importe]]-Tabla13[[#This Row],[Pagado]]</f>
        <v>0</v>
      </c>
      <c r="I3628" s="331" t="s">
        <v>15214</v>
      </c>
    </row>
    <row r="3629" spans="1:9" x14ac:dyDescent="0.25">
      <c r="A3629" s="353">
        <v>42977</v>
      </c>
      <c r="B3629" s="320" t="s">
        <v>27509</v>
      </c>
      <c r="C3629" s="321">
        <v>125601</v>
      </c>
      <c r="D3629" s="142" t="s">
        <v>15748</v>
      </c>
      <c r="E3629" s="322">
        <v>1568.8</v>
      </c>
      <c r="F3629" s="363">
        <v>42982</v>
      </c>
      <c r="G3629" s="155">
        <v>1568.8</v>
      </c>
      <c r="H3629" s="324">
        <f>Tabla13[[#This Row],[Importe]]-Tabla13[[#This Row],[Pagado]]</f>
        <v>0</v>
      </c>
      <c r="I3629" s="325" t="s">
        <v>15214</v>
      </c>
    </row>
    <row r="3630" spans="1:9" ht="30" x14ac:dyDescent="0.25">
      <c r="A3630" s="319">
        <v>42977</v>
      </c>
      <c r="B3630" s="326" t="s">
        <v>27510</v>
      </c>
      <c r="C3630" s="327">
        <v>125602</v>
      </c>
      <c r="D3630" s="136" t="s">
        <v>15309</v>
      </c>
      <c r="E3630" s="328">
        <v>7997.1</v>
      </c>
      <c r="F3630" s="361" t="s">
        <v>27679</v>
      </c>
      <c r="G3630" s="364">
        <f>5000+2997.1</f>
        <v>7997.1</v>
      </c>
      <c r="H3630" s="365">
        <f>Tabla13[[#This Row],[Importe]]-Tabla13[[#This Row],[Pagado]]</f>
        <v>0</v>
      </c>
      <c r="I3630" s="331" t="s">
        <v>15214</v>
      </c>
    </row>
    <row r="3631" spans="1:9" x14ac:dyDescent="0.25">
      <c r="A3631" s="353">
        <v>42977</v>
      </c>
      <c r="B3631" s="320" t="s">
        <v>27511</v>
      </c>
      <c r="C3631" s="321">
        <v>125603</v>
      </c>
      <c r="D3631" s="142" t="s">
        <v>15311</v>
      </c>
      <c r="E3631" s="322">
        <v>1836</v>
      </c>
      <c r="F3631" s="323">
        <v>42977</v>
      </c>
      <c r="G3631" s="322">
        <v>1836</v>
      </c>
      <c r="H3631" s="324">
        <f>Tabla13[[#This Row],[Importe]]-Tabla13[[#This Row],[Pagado]]</f>
        <v>0</v>
      </c>
      <c r="I3631" s="325" t="s">
        <v>15214</v>
      </c>
    </row>
    <row r="3632" spans="1:9" x14ac:dyDescent="0.25">
      <c r="A3632" s="319">
        <v>42977</v>
      </c>
      <c r="B3632" s="326" t="s">
        <v>27512</v>
      </c>
      <c r="C3632" s="327">
        <v>125604</v>
      </c>
      <c r="D3632" s="136" t="s">
        <v>15317</v>
      </c>
      <c r="E3632" s="328">
        <v>3170.3</v>
      </c>
      <c r="F3632" s="361">
        <v>42979</v>
      </c>
      <c r="G3632" s="362">
        <v>3170.3</v>
      </c>
      <c r="H3632" s="330">
        <f>Tabla13[[#This Row],[Importe]]-Tabla13[[#This Row],[Pagado]]</f>
        <v>0</v>
      </c>
      <c r="I3632" s="331" t="s">
        <v>15214</v>
      </c>
    </row>
    <row r="3633" spans="1:9" x14ac:dyDescent="0.25">
      <c r="A3633" s="319">
        <v>42977</v>
      </c>
      <c r="B3633" s="320" t="s">
        <v>27513</v>
      </c>
      <c r="C3633" s="321">
        <v>125605</v>
      </c>
      <c r="D3633" s="142" t="s">
        <v>15303</v>
      </c>
      <c r="E3633" s="322">
        <v>3362.6</v>
      </c>
      <c r="F3633" s="323">
        <v>42977</v>
      </c>
      <c r="G3633" s="322">
        <v>3362.6</v>
      </c>
      <c r="H3633" s="324">
        <f>Tabla13[[#This Row],[Importe]]-Tabla13[[#This Row],[Pagado]]</f>
        <v>0</v>
      </c>
      <c r="I3633" s="325" t="s">
        <v>15214</v>
      </c>
    </row>
    <row r="3634" spans="1:9" x14ac:dyDescent="0.25">
      <c r="A3634" s="353">
        <v>42977</v>
      </c>
      <c r="B3634" s="326" t="s">
        <v>27514</v>
      </c>
      <c r="C3634" s="327">
        <v>125606</v>
      </c>
      <c r="D3634" s="136" t="s">
        <v>15387</v>
      </c>
      <c r="E3634" s="328">
        <v>3451.58</v>
      </c>
      <c r="F3634" s="329">
        <v>42978</v>
      </c>
      <c r="G3634" s="328">
        <v>3451.58</v>
      </c>
      <c r="H3634" s="330">
        <f>Tabla13[[#This Row],[Importe]]-Tabla13[[#This Row],[Pagado]]</f>
        <v>0</v>
      </c>
      <c r="I3634" s="331" t="s">
        <v>15214</v>
      </c>
    </row>
    <row r="3635" spans="1:9" x14ac:dyDescent="0.25">
      <c r="A3635" s="319">
        <v>42977</v>
      </c>
      <c r="B3635" s="320" t="s">
        <v>27515</v>
      </c>
      <c r="C3635" s="321">
        <v>125607</v>
      </c>
      <c r="D3635" s="142" t="s">
        <v>15818</v>
      </c>
      <c r="E3635" s="322">
        <v>5927.2</v>
      </c>
      <c r="F3635" s="323">
        <v>42977</v>
      </c>
      <c r="G3635" s="322">
        <v>5927.2</v>
      </c>
      <c r="H3635" s="324">
        <f>Tabla13[[#This Row],[Importe]]-Tabla13[[#This Row],[Pagado]]</f>
        <v>0</v>
      </c>
      <c r="I3635" s="325" t="s">
        <v>15214</v>
      </c>
    </row>
    <row r="3636" spans="1:9" x14ac:dyDescent="0.25">
      <c r="A3636" s="353">
        <v>42977</v>
      </c>
      <c r="B3636" s="326" t="s">
        <v>27516</v>
      </c>
      <c r="C3636" s="327">
        <v>125608</v>
      </c>
      <c r="D3636" s="136" t="s">
        <v>19773</v>
      </c>
      <c r="E3636" s="328">
        <v>4693.3599999999997</v>
      </c>
      <c r="F3636" s="361">
        <v>42980</v>
      </c>
      <c r="G3636" s="362">
        <v>4693.3599999999997</v>
      </c>
      <c r="H3636" s="330">
        <f>Tabla13[[#This Row],[Importe]]-Tabla13[[#This Row],[Pagado]]</f>
        <v>0</v>
      </c>
      <c r="I3636" s="331" t="s">
        <v>15214</v>
      </c>
    </row>
    <row r="3637" spans="1:9" x14ac:dyDescent="0.25">
      <c r="A3637" s="319">
        <v>42977</v>
      </c>
      <c r="B3637" s="320" t="s">
        <v>27517</v>
      </c>
      <c r="C3637" s="321">
        <v>125609</v>
      </c>
      <c r="D3637" s="142" t="s">
        <v>15665</v>
      </c>
      <c r="E3637" s="322">
        <v>609.29999999999995</v>
      </c>
      <c r="F3637" s="323">
        <v>42977</v>
      </c>
      <c r="G3637" s="322">
        <v>609.29999999999995</v>
      </c>
      <c r="H3637" s="324">
        <f>Tabla13[[#This Row],[Importe]]-Tabla13[[#This Row],[Pagado]]</f>
        <v>0</v>
      </c>
      <c r="I3637" s="325" t="s">
        <v>15214</v>
      </c>
    </row>
    <row r="3638" spans="1:9" x14ac:dyDescent="0.25">
      <c r="A3638" s="353">
        <v>42977</v>
      </c>
      <c r="B3638" s="320" t="s">
        <v>27518</v>
      </c>
      <c r="C3638" s="321">
        <v>125610</v>
      </c>
      <c r="D3638" s="142" t="s">
        <v>15244</v>
      </c>
      <c r="E3638" s="322">
        <v>10599.2</v>
      </c>
      <c r="F3638" s="363">
        <v>42982</v>
      </c>
      <c r="G3638" s="155">
        <v>10599.2</v>
      </c>
      <c r="H3638" s="324">
        <f>Tabla13[[#This Row],[Importe]]-Tabla13[[#This Row],[Pagado]]</f>
        <v>0</v>
      </c>
      <c r="I3638" s="325" t="s">
        <v>15214</v>
      </c>
    </row>
    <row r="3639" spans="1:9" x14ac:dyDescent="0.25">
      <c r="A3639" s="319">
        <v>42977</v>
      </c>
      <c r="B3639" s="326" t="s">
        <v>27519</v>
      </c>
      <c r="C3639" s="327">
        <v>125611</v>
      </c>
      <c r="D3639" s="136" t="s">
        <v>15330</v>
      </c>
      <c r="E3639" s="328">
        <v>2890</v>
      </c>
      <c r="F3639" s="323">
        <v>42977</v>
      </c>
      <c r="G3639" s="328">
        <v>2890</v>
      </c>
      <c r="H3639" s="330">
        <f>Tabla13[[#This Row],[Importe]]-Tabla13[[#This Row],[Pagado]]</f>
        <v>0</v>
      </c>
      <c r="I3639" s="331" t="s">
        <v>15214</v>
      </c>
    </row>
    <row r="3640" spans="1:9" x14ac:dyDescent="0.25">
      <c r="A3640" s="353">
        <v>42977</v>
      </c>
      <c r="B3640" s="320" t="s">
        <v>27520</v>
      </c>
      <c r="C3640" s="321">
        <v>125612</v>
      </c>
      <c r="D3640" s="142" t="s">
        <v>15252</v>
      </c>
      <c r="E3640" s="322">
        <v>1746.3</v>
      </c>
      <c r="F3640" s="323">
        <v>42978</v>
      </c>
      <c r="G3640" s="322">
        <v>1746.3</v>
      </c>
      <c r="H3640" s="324">
        <f>Tabla13[[#This Row],[Importe]]-Tabla13[[#This Row],[Pagado]]</f>
        <v>0</v>
      </c>
      <c r="I3640" s="325" t="s">
        <v>15214</v>
      </c>
    </row>
    <row r="3641" spans="1:9" x14ac:dyDescent="0.25">
      <c r="A3641" s="319">
        <v>42977</v>
      </c>
      <c r="B3641" s="326" t="s">
        <v>27521</v>
      </c>
      <c r="C3641" s="327">
        <v>125613</v>
      </c>
      <c r="D3641" s="136" t="s">
        <v>23937</v>
      </c>
      <c r="E3641" s="328">
        <v>1560</v>
      </c>
      <c r="F3641" s="323">
        <v>42977</v>
      </c>
      <c r="G3641" s="328">
        <v>1560</v>
      </c>
      <c r="H3641" s="330">
        <f>Tabla13[[#This Row],[Importe]]-Tabla13[[#This Row],[Pagado]]</f>
        <v>0</v>
      </c>
      <c r="I3641" s="331" t="s">
        <v>15214</v>
      </c>
    </row>
    <row r="3642" spans="1:9" x14ac:dyDescent="0.25">
      <c r="A3642" s="319">
        <v>42977</v>
      </c>
      <c r="B3642" s="320" t="s">
        <v>27522</v>
      </c>
      <c r="C3642" s="321">
        <v>125614</v>
      </c>
      <c r="D3642" s="142" t="s">
        <v>15725</v>
      </c>
      <c r="E3642" s="322">
        <v>21912.799999999999</v>
      </c>
      <c r="F3642" s="363">
        <v>42981</v>
      </c>
      <c r="G3642" s="155">
        <v>21912.799999999999</v>
      </c>
      <c r="H3642" s="324">
        <f>Tabla13[[#This Row],[Importe]]-Tabla13[[#This Row],[Pagado]]</f>
        <v>0</v>
      </c>
      <c r="I3642" s="325" t="s">
        <v>15214</v>
      </c>
    </row>
    <row r="3643" spans="1:9" x14ac:dyDescent="0.25">
      <c r="A3643" s="353">
        <v>42977</v>
      </c>
      <c r="B3643" s="326" t="s">
        <v>27523</v>
      </c>
      <c r="C3643" s="327">
        <v>125615</v>
      </c>
      <c r="D3643" s="136" t="s">
        <v>19768</v>
      </c>
      <c r="E3643" s="328">
        <v>1440</v>
      </c>
      <c r="F3643" s="323">
        <v>42977</v>
      </c>
      <c r="G3643" s="328">
        <v>1440</v>
      </c>
      <c r="H3643" s="330">
        <f>Tabla13[[#This Row],[Importe]]-Tabla13[[#This Row],[Pagado]]</f>
        <v>0</v>
      </c>
      <c r="I3643" s="331" t="s">
        <v>15214</v>
      </c>
    </row>
    <row r="3644" spans="1:9" x14ac:dyDescent="0.25">
      <c r="A3644" s="319">
        <v>42977</v>
      </c>
      <c r="B3644" s="320" t="s">
        <v>27524</v>
      </c>
      <c r="C3644" s="321">
        <v>125616</v>
      </c>
      <c r="D3644" s="142" t="s">
        <v>15903</v>
      </c>
      <c r="E3644" s="322">
        <v>37222.35</v>
      </c>
      <c r="F3644" s="323">
        <v>42977</v>
      </c>
      <c r="G3644" s="322">
        <v>37222.35</v>
      </c>
      <c r="H3644" s="324">
        <f>Tabla13[[#This Row],[Importe]]-Tabla13[[#This Row],[Pagado]]</f>
        <v>0</v>
      </c>
      <c r="I3644" s="325" t="s">
        <v>15214</v>
      </c>
    </row>
    <row r="3645" spans="1:9" x14ac:dyDescent="0.25">
      <c r="A3645" s="353">
        <v>42977</v>
      </c>
      <c r="B3645" s="326" t="s">
        <v>27525</v>
      </c>
      <c r="C3645" s="327">
        <v>125617</v>
      </c>
      <c r="D3645" s="136" t="s">
        <v>15378</v>
      </c>
      <c r="E3645" s="328">
        <v>10374.200000000001</v>
      </c>
      <c r="F3645" s="361">
        <v>42983</v>
      </c>
      <c r="G3645" s="362">
        <v>10374.200000000001</v>
      </c>
      <c r="H3645" s="330">
        <f>Tabla13[[#This Row],[Importe]]-Tabla13[[#This Row],[Pagado]]</f>
        <v>0</v>
      </c>
      <c r="I3645" s="331" t="s">
        <v>15214</v>
      </c>
    </row>
    <row r="3646" spans="1:9" x14ac:dyDescent="0.25">
      <c r="A3646" s="319">
        <v>42977</v>
      </c>
      <c r="B3646" s="320" t="s">
        <v>27526</v>
      </c>
      <c r="C3646" s="321">
        <v>125618</v>
      </c>
      <c r="D3646" s="142" t="s">
        <v>15282</v>
      </c>
      <c r="E3646" s="322">
        <v>2170.6999999999998</v>
      </c>
      <c r="F3646" s="323">
        <v>42977</v>
      </c>
      <c r="G3646" s="322">
        <v>2170.6999999999998</v>
      </c>
      <c r="H3646" s="324">
        <f>Tabla13[[#This Row],[Importe]]-Tabla13[[#This Row],[Pagado]]</f>
        <v>0</v>
      </c>
      <c r="I3646" s="325" t="s">
        <v>15214</v>
      </c>
    </row>
    <row r="3647" spans="1:9" x14ac:dyDescent="0.25">
      <c r="A3647" s="353">
        <v>42977</v>
      </c>
      <c r="B3647" s="326" t="s">
        <v>27527</v>
      </c>
      <c r="C3647" s="327">
        <v>125619</v>
      </c>
      <c r="D3647" s="136" t="s">
        <v>15396</v>
      </c>
      <c r="E3647" s="328">
        <v>5215.3999999999996</v>
      </c>
      <c r="F3647" s="323">
        <v>42977</v>
      </c>
      <c r="G3647" s="328">
        <v>5215.3999999999996</v>
      </c>
      <c r="H3647" s="330">
        <f>Tabla13[[#This Row],[Importe]]-Tabla13[[#This Row],[Pagado]]</f>
        <v>0</v>
      </c>
      <c r="I3647" s="331" t="s">
        <v>15214</v>
      </c>
    </row>
    <row r="3648" spans="1:9" ht="30" x14ac:dyDescent="0.25">
      <c r="A3648" s="319">
        <v>42977</v>
      </c>
      <c r="B3648" s="326" t="s">
        <v>27528</v>
      </c>
      <c r="C3648" s="327">
        <v>125620</v>
      </c>
      <c r="D3648" s="136" t="s">
        <v>15699</v>
      </c>
      <c r="E3648" s="328">
        <v>4016.8</v>
      </c>
      <c r="F3648" s="361" t="s">
        <v>27695</v>
      </c>
      <c r="G3648" s="364">
        <f>3116.9+899.9</f>
        <v>4016.8</v>
      </c>
      <c r="H3648" s="365">
        <f>Tabla13[[#This Row],[Importe]]-Tabla13[[#This Row],[Pagado]]</f>
        <v>0</v>
      </c>
      <c r="I3648" s="331" t="s">
        <v>15214</v>
      </c>
    </row>
    <row r="3649" spans="1:9" x14ac:dyDescent="0.25">
      <c r="A3649" s="353">
        <v>42977</v>
      </c>
      <c r="B3649" s="320" t="s">
        <v>27529</v>
      </c>
      <c r="C3649" s="321">
        <v>125621</v>
      </c>
      <c r="D3649" s="142" t="s">
        <v>15699</v>
      </c>
      <c r="E3649" s="322">
        <v>936</v>
      </c>
      <c r="F3649" s="323" t="s">
        <v>22723</v>
      </c>
      <c r="G3649" s="322">
        <v>936</v>
      </c>
      <c r="H3649" s="324">
        <f>Tabla13[[#This Row],[Importe]]-Tabla13[[#This Row],[Pagado]]</f>
        <v>0</v>
      </c>
      <c r="I3649" s="325" t="s">
        <v>15214</v>
      </c>
    </row>
    <row r="3650" spans="1:9" x14ac:dyDescent="0.25">
      <c r="A3650" s="319">
        <v>42977</v>
      </c>
      <c r="B3650" s="326" t="s">
        <v>27530</v>
      </c>
      <c r="C3650" s="327">
        <v>125622</v>
      </c>
      <c r="D3650" s="136" t="s">
        <v>15884</v>
      </c>
      <c r="E3650" s="328">
        <v>1906</v>
      </c>
      <c r="F3650" s="323">
        <v>42977</v>
      </c>
      <c r="G3650" s="328">
        <v>1906</v>
      </c>
      <c r="H3650" s="330">
        <f>Tabla13[[#This Row],[Importe]]-Tabla13[[#This Row],[Pagado]]</f>
        <v>0</v>
      </c>
      <c r="I3650" s="331" t="s">
        <v>15214</v>
      </c>
    </row>
    <row r="3651" spans="1:9" x14ac:dyDescent="0.25">
      <c r="A3651" s="319">
        <v>42977</v>
      </c>
      <c r="B3651" s="320" t="s">
        <v>27531</v>
      </c>
      <c r="C3651" s="321">
        <v>125623</v>
      </c>
      <c r="D3651" s="142" t="s">
        <v>15213</v>
      </c>
      <c r="E3651" s="322">
        <v>6840</v>
      </c>
      <c r="F3651" s="363">
        <v>42979</v>
      </c>
      <c r="G3651" s="155">
        <v>6840</v>
      </c>
      <c r="H3651" s="324">
        <f>Tabla13[[#This Row],[Importe]]-Tabla13[[#This Row],[Pagado]]</f>
        <v>0</v>
      </c>
      <c r="I3651" s="325" t="s">
        <v>15214</v>
      </c>
    </row>
    <row r="3652" spans="1:9" x14ac:dyDescent="0.25">
      <c r="A3652" s="353">
        <v>42977</v>
      </c>
      <c r="B3652" s="326" t="s">
        <v>27532</v>
      </c>
      <c r="C3652" s="327">
        <v>125624</v>
      </c>
      <c r="D3652" s="136" t="s">
        <v>15391</v>
      </c>
      <c r="E3652" s="328">
        <v>6134.4</v>
      </c>
      <c r="F3652" s="361">
        <v>42979</v>
      </c>
      <c r="G3652" s="362">
        <v>6134.4</v>
      </c>
      <c r="H3652" s="330">
        <f>Tabla13[[#This Row],[Importe]]-Tabla13[[#This Row],[Pagado]]</f>
        <v>0</v>
      </c>
      <c r="I3652" s="331" t="s">
        <v>15214</v>
      </c>
    </row>
    <row r="3653" spans="1:9" x14ac:dyDescent="0.25">
      <c r="A3653" s="319">
        <v>42977</v>
      </c>
      <c r="B3653" s="320" t="s">
        <v>27533</v>
      </c>
      <c r="C3653" s="321">
        <v>125625</v>
      </c>
      <c r="D3653" s="142" t="s">
        <v>15568</v>
      </c>
      <c r="E3653" s="322">
        <v>5918.4</v>
      </c>
      <c r="F3653" s="323">
        <v>42978</v>
      </c>
      <c r="G3653" s="322">
        <v>5918.4</v>
      </c>
      <c r="H3653" s="324">
        <f>Tabla13[[#This Row],[Importe]]-Tabla13[[#This Row],[Pagado]]</f>
        <v>0</v>
      </c>
      <c r="I3653" s="325" t="s">
        <v>15214</v>
      </c>
    </row>
    <row r="3654" spans="1:9" x14ac:dyDescent="0.25">
      <c r="A3654" s="353">
        <v>42977</v>
      </c>
      <c r="B3654" s="326" t="s">
        <v>27534</v>
      </c>
      <c r="C3654" s="327">
        <v>125626</v>
      </c>
      <c r="D3654" s="136" t="s">
        <v>15398</v>
      </c>
      <c r="E3654" s="328">
        <v>4446.5</v>
      </c>
      <c r="F3654" s="329">
        <v>42977</v>
      </c>
      <c r="G3654" s="328">
        <v>4446.5</v>
      </c>
      <c r="H3654" s="330">
        <f>Tabla13[[#This Row],[Importe]]-Tabla13[[#This Row],[Pagado]]</f>
        <v>0</v>
      </c>
      <c r="I3654" s="331" t="s">
        <v>15214</v>
      </c>
    </row>
    <row r="3655" spans="1:9" x14ac:dyDescent="0.25">
      <c r="A3655" s="319">
        <v>42977</v>
      </c>
      <c r="B3655" s="320" t="s">
        <v>27535</v>
      </c>
      <c r="C3655" s="321">
        <v>125627</v>
      </c>
      <c r="D3655" s="142" t="s">
        <v>15592</v>
      </c>
      <c r="E3655" s="322">
        <v>19834.599999999999</v>
      </c>
      <c r="F3655" s="323">
        <v>42978</v>
      </c>
      <c r="G3655" s="322">
        <v>19834.599999999999</v>
      </c>
      <c r="H3655" s="324">
        <f>Tabla13[[#This Row],[Importe]]-Tabla13[[#This Row],[Pagado]]</f>
        <v>0</v>
      </c>
      <c r="I3655" s="325" t="s">
        <v>15214</v>
      </c>
    </row>
    <row r="3656" spans="1:9" x14ac:dyDescent="0.25">
      <c r="A3656" s="353">
        <v>42977</v>
      </c>
      <c r="B3656" s="326" t="s">
        <v>27536</v>
      </c>
      <c r="C3656" s="327">
        <v>125628</v>
      </c>
      <c r="D3656" s="136" t="s">
        <v>16383</v>
      </c>
      <c r="E3656" s="328">
        <v>338.4</v>
      </c>
      <c r="F3656" s="329">
        <v>42978</v>
      </c>
      <c r="G3656" s="328">
        <v>338.4</v>
      </c>
      <c r="H3656" s="330">
        <f>Tabla13[[#This Row],[Importe]]-Tabla13[[#This Row],[Pagado]]</f>
        <v>0</v>
      </c>
      <c r="I3656" s="331" t="s">
        <v>15214</v>
      </c>
    </row>
    <row r="3657" spans="1:9" x14ac:dyDescent="0.25">
      <c r="A3657" s="319">
        <v>42977</v>
      </c>
      <c r="B3657" s="320" t="s">
        <v>27537</v>
      </c>
      <c r="C3657" s="321">
        <v>125629</v>
      </c>
      <c r="D3657" s="142" t="s">
        <v>15385</v>
      </c>
      <c r="E3657" s="322">
        <v>833.28</v>
      </c>
      <c r="F3657" s="323">
        <v>42978</v>
      </c>
      <c r="G3657" s="322">
        <v>833.28</v>
      </c>
      <c r="H3657" s="324">
        <f>Tabla13[[#This Row],[Importe]]-Tabla13[[#This Row],[Pagado]]</f>
        <v>0</v>
      </c>
      <c r="I3657" s="325" t="s">
        <v>15214</v>
      </c>
    </row>
    <row r="3658" spans="1:9" x14ac:dyDescent="0.25">
      <c r="A3658" s="353">
        <v>42977</v>
      </c>
      <c r="B3658" s="320" t="s">
        <v>27538</v>
      </c>
      <c r="C3658" s="321">
        <v>125630</v>
      </c>
      <c r="D3658" s="142" t="s">
        <v>15423</v>
      </c>
      <c r="E3658" s="322">
        <v>2500</v>
      </c>
      <c r="F3658" s="323">
        <v>42977</v>
      </c>
      <c r="G3658" s="322">
        <v>2500</v>
      </c>
      <c r="H3658" s="324">
        <f>Tabla13[[#This Row],[Importe]]-Tabla13[[#This Row],[Pagado]]</f>
        <v>0</v>
      </c>
      <c r="I3658" s="325" t="s">
        <v>15214</v>
      </c>
    </row>
    <row r="3659" spans="1:9" x14ac:dyDescent="0.25">
      <c r="A3659" s="319">
        <v>42977</v>
      </c>
      <c r="B3659" s="326" t="s">
        <v>27539</v>
      </c>
      <c r="C3659" s="327">
        <v>125631</v>
      </c>
      <c r="D3659" s="136" t="s">
        <v>15387</v>
      </c>
      <c r="E3659" s="328">
        <v>98</v>
      </c>
      <c r="F3659" s="329">
        <v>42978</v>
      </c>
      <c r="G3659" s="328">
        <v>98</v>
      </c>
      <c r="H3659" s="330">
        <f>Tabla13[[#This Row],[Importe]]-Tabla13[[#This Row],[Pagado]]</f>
        <v>0</v>
      </c>
      <c r="I3659" s="331" t="s">
        <v>15214</v>
      </c>
    </row>
    <row r="3660" spans="1:9" x14ac:dyDescent="0.25">
      <c r="A3660" s="319">
        <v>42977</v>
      </c>
      <c r="B3660" s="320" t="s">
        <v>27540</v>
      </c>
      <c r="C3660" s="321">
        <v>125632</v>
      </c>
      <c r="D3660" s="142" t="s">
        <v>18076</v>
      </c>
      <c r="E3660" s="322">
        <v>1518</v>
      </c>
      <c r="F3660" s="323">
        <v>42977</v>
      </c>
      <c r="G3660" s="322">
        <v>1518</v>
      </c>
      <c r="H3660" s="324">
        <f>Tabla13[[#This Row],[Importe]]-Tabla13[[#This Row],[Pagado]]</f>
        <v>0</v>
      </c>
      <c r="I3660" s="325" t="s">
        <v>15214</v>
      </c>
    </row>
    <row r="3661" spans="1:9" ht="30" x14ac:dyDescent="0.25">
      <c r="A3661" s="353">
        <v>42977</v>
      </c>
      <c r="B3661" s="326" t="s">
        <v>27541</v>
      </c>
      <c r="C3661" s="327">
        <v>125633</v>
      </c>
      <c r="D3661" s="136" t="s">
        <v>15407</v>
      </c>
      <c r="E3661" s="328">
        <v>1292.5</v>
      </c>
      <c r="F3661" s="361" t="s">
        <v>27676</v>
      </c>
      <c r="G3661" s="366">
        <f>1212.5+80</f>
        <v>1292.5</v>
      </c>
      <c r="H3661" s="348">
        <f>Tabla13[[#This Row],[Importe]]-Tabla13[[#This Row],[Pagado]]</f>
        <v>0</v>
      </c>
      <c r="I3661" s="331" t="s">
        <v>15214</v>
      </c>
    </row>
    <row r="3662" spans="1:9" x14ac:dyDescent="0.25">
      <c r="A3662" s="319">
        <v>42977</v>
      </c>
      <c r="B3662" s="320" t="s">
        <v>27542</v>
      </c>
      <c r="C3662" s="321">
        <v>125634</v>
      </c>
      <c r="D3662" s="142" t="s">
        <v>15276</v>
      </c>
      <c r="E3662" s="322">
        <v>2400</v>
      </c>
      <c r="F3662" s="323">
        <v>42978</v>
      </c>
      <c r="G3662" s="322">
        <v>2400</v>
      </c>
      <c r="H3662" s="324">
        <f>Tabla13[[#This Row],[Importe]]-Tabla13[[#This Row],[Pagado]]</f>
        <v>0</v>
      </c>
      <c r="I3662" s="325" t="s">
        <v>15214</v>
      </c>
    </row>
    <row r="3663" spans="1:9" x14ac:dyDescent="0.25">
      <c r="A3663" s="353">
        <v>42977</v>
      </c>
      <c r="B3663" s="326" t="s">
        <v>27543</v>
      </c>
      <c r="C3663" s="327">
        <v>125635</v>
      </c>
      <c r="D3663" s="136" t="s">
        <v>15315</v>
      </c>
      <c r="E3663" s="328">
        <v>138</v>
      </c>
      <c r="F3663" s="329">
        <v>42977</v>
      </c>
      <c r="G3663" s="328">
        <v>138</v>
      </c>
      <c r="H3663" s="330">
        <f>Tabla13[[#This Row],[Importe]]-Tabla13[[#This Row],[Pagado]]</f>
        <v>0</v>
      </c>
      <c r="I3663" s="331" t="s">
        <v>15214</v>
      </c>
    </row>
    <row r="3664" spans="1:9" x14ac:dyDescent="0.25">
      <c r="A3664" s="319">
        <v>42977</v>
      </c>
      <c r="B3664" s="320" t="s">
        <v>27544</v>
      </c>
      <c r="C3664" s="321">
        <v>125636</v>
      </c>
      <c r="D3664" s="142" t="s">
        <v>15284</v>
      </c>
      <c r="E3664" s="322">
        <v>951</v>
      </c>
      <c r="F3664" s="323">
        <v>42977</v>
      </c>
      <c r="G3664" s="322">
        <v>951</v>
      </c>
      <c r="H3664" s="324">
        <f>Tabla13[[#This Row],[Importe]]-Tabla13[[#This Row],[Pagado]]</f>
        <v>0</v>
      </c>
      <c r="I3664" s="325" t="s">
        <v>15214</v>
      </c>
    </row>
    <row r="3665" spans="1:9" x14ac:dyDescent="0.25">
      <c r="A3665" s="353">
        <v>42977</v>
      </c>
      <c r="B3665" s="326" t="s">
        <v>27545</v>
      </c>
      <c r="C3665" s="327">
        <v>125637</v>
      </c>
      <c r="D3665" s="136" t="s">
        <v>15920</v>
      </c>
      <c r="E3665" s="328">
        <v>9156.4</v>
      </c>
      <c r="F3665" s="329">
        <v>42978</v>
      </c>
      <c r="G3665" s="328">
        <v>9156.4</v>
      </c>
      <c r="H3665" s="330">
        <f>Tabla13[[#This Row],[Importe]]-Tabla13[[#This Row],[Pagado]]</f>
        <v>0</v>
      </c>
      <c r="I3665" s="331" t="s">
        <v>15214</v>
      </c>
    </row>
    <row r="3666" spans="1:9" x14ac:dyDescent="0.25">
      <c r="A3666" s="319">
        <v>42977</v>
      </c>
      <c r="B3666" s="320" t="s">
        <v>27546</v>
      </c>
      <c r="C3666" s="321">
        <v>125638</v>
      </c>
      <c r="D3666" s="142" t="s">
        <v>15417</v>
      </c>
      <c r="E3666" s="322">
        <v>2265.4</v>
      </c>
      <c r="F3666" s="323">
        <v>42978</v>
      </c>
      <c r="G3666" s="322">
        <v>2265.4</v>
      </c>
      <c r="H3666" s="324">
        <f>Tabla13[[#This Row],[Importe]]-Tabla13[[#This Row],[Pagado]]</f>
        <v>0</v>
      </c>
      <c r="I3666" s="325" t="s">
        <v>15214</v>
      </c>
    </row>
    <row r="3667" spans="1:9" x14ac:dyDescent="0.25">
      <c r="A3667" s="353">
        <v>42977</v>
      </c>
      <c r="B3667" s="326" t="s">
        <v>27547</v>
      </c>
      <c r="C3667" s="327">
        <v>125639</v>
      </c>
      <c r="D3667" s="136" t="s">
        <v>15617</v>
      </c>
      <c r="E3667" s="328">
        <v>28369.200000000001</v>
      </c>
      <c r="F3667" s="329">
        <v>42978</v>
      </c>
      <c r="G3667" s="328">
        <v>28369.200000000001</v>
      </c>
      <c r="H3667" s="330">
        <f>Tabla13[[#This Row],[Importe]]-Tabla13[[#This Row],[Pagado]]</f>
        <v>0</v>
      </c>
      <c r="I3667" s="331" t="s">
        <v>15214</v>
      </c>
    </row>
    <row r="3668" spans="1:9" x14ac:dyDescent="0.25">
      <c r="A3668" s="319">
        <v>42977</v>
      </c>
      <c r="B3668" s="326" t="s">
        <v>27548</v>
      </c>
      <c r="C3668" s="327">
        <v>125640</v>
      </c>
      <c r="D3668" s="136" t="s">
        <v>15444</v>
      </c>
      <c r="E3668" s="328">
        <v>2024.4</v>
      </c>
      <c r="F3668" s="329">
        <v>42978</v>
      </c>
      <c r="G3668" s="328">
        <v>2024.4</v>
      </c>
      <c r="H3668" s="330">
        <f>Tabla13[[#This Row],[Importe]]-Tabla13[[#This Row],[Pagado]]</f>
        <v>0</v>
      </c>
      <c r="I3668" s="331" t="s">
        <v>15214</v>
      </c>
    </row>
    <row r="3669" spans="1:9" x14ac:dyDescent="0.25">
      <c r="A3669" s="319">
        <v>42977</v>
      </c>
      <c r="B3669" s="320" t="s">
        <v>27549</v>
      </c>
      <c r="C3669" s="321">
        <v>125641</v>
      </c>
      <c r="D3669" s="142" t="s">
        <v>15256</v>
      </c>
      <c r="E3669" s="322">
        <v>1502.5</v>
      </c>
      <c r="F3669" s="363">
        <v>42979</v>
      </c>
      <c r="G3669" s="155">
        <v>1502.5</v>
      </c>
      <c r="H3669" s="324">
        <f>Tabla13[[#This Row],[Importe]]-Tabla13[[#This Row],[Pagado]]</f>
        <v>0</v>
      </c>
      <c r="I3669" s="325" t="s">
        <v>15214</v>
      </c>
    </row>
    <row r="3670" spans="1:9" x14ac:dyDescent="0.25">
      <c r="A3670" s="353">
        <v>42977</v>
      </c>
      <c r="B3670" s="326" t="s">
        <v>27550</v>
      </c>
      <c r="C3670" s="327">
        <v>125642</v>
      </c>
      <c r="D3670" s="136" t="s">
        <v>15230</v>
      </c>
      <c r="E3670" s="328">
        <v>6855.2</v>
      </c>
      <c r="F3670" s="361">
        <v>42980</v>
      </c>
      <c r="G3670" s="362">
        <v>6855.2</v>
      </c>
      <c r="H3670" s="330">
        <f>Tabla13[[#This Row],[Importe]]-Tabla13[[#This Row],[Pagado]]</f>
        <v>0</v>
      </c>
      <c r="I3670" s="331" t="s">
        <v>15214</v>
      </c>
    </row>
    <row r="3671" spans="1:9" x14ac:dyDescent="0.25">
      <c r="A3671" s="319">
        <v>42977</v>
      </c>
      <c r="B3671" s="320" t="s">
        <v>27551</v>
      </c>
      <c r="C3671" s="321">
        <v>125643</v>
      </c>
      <c r="D3671" s="142" t="s">
        <v>15890</v>
      </c>
      <c r="E3671" s="322">
        <v>12904.8</v>
      </c>
      <c r="F3671" s="363">
        <v>42987</v>
      </c>
      <c r="G3671" s="155">
        <v>12904.8</v>
      </c>
      <c r="H3671" s="324">
        <f>Tabla13[[#This Row],[Importe]]-Tabla13[[#This Row],[Pagado]]</f>
        <v>0</v>
      </c>
      <c r="I3671" s="325" t="s">
        <v>15214</v>
      </c>
    </row>
    <row r="3672" spans="1:9" x14ac:dyDescent="0.25">
      <c r="A3672" s="353">
        <v>42977</v>
      </c>
      <c r="B3672" s="326" t="s">
        <v>27552</v>
      </c>
      <c r="C3672" s="327">
        <v>125644</v>
      </c>
      <c r="D3672" s="136" t="s">
        <v>15365</v>
      </c>
      <c r="E3672" s="328">
        <v>235694</v>
      </c>
      <c r="F3672" s="361">
        <v>42980</v>
      </c>
      <c r="G3672" s="362">
        <v>235694</v>
      </c>
      <c r="H3672" s="330">
        <f>Tabla13[[#This Row],[Importe]]-Tabla13[[#This Row],[Pagado]]</f>
        <v>0</v>
      </c>
      <c r="I3672" s="331" t="s">
        <v>15214</v>
      </c>
    </row>
    <row r="3673" spans="1:9" ht="30" x14ac:dyDescent="0.25">
      <c r="A3673" s="319">
        <v>42977</v>
      </c>
      <c r="B3673" s="320" t="s">
        <v>27553</v>
      </c>
      <c r="C3673" s="321">
        <v>125645</v>
      </c>
      <c r="D3673" s="142" t="s">
        <v>15246</v>
      </c>
      <c r="E3673" s="322">
        <v>182583.45</v>
      </c>
      <c r="F3673" s="363" t="s">
        <v>27688</v>
      </c>
      <c r="G3673" s="364">
        <f>85947.9+96635.55</f>
        <v>182583.45</v>
      </c>
      <c r="H3673" s="365">
        <f>Tabla13[[#This Row],[Importe]]-Tabla13[[#This Row],[Pagado]]</f>
        <v>0</v>
      </c>
      <c r="I3673" s="325" t="s">
        <v>15214</v>
      </c>
    </row>
    <row r="3674" spans="1:9" x14ac:dyDescent="0.25">
      <c r="A3674" s="353">
        <v>42977</v>
      </c>
      <c r="B3674" s="326" t="s">
        <v>27554</v>
      </c>
      <c r="C3674" s="327">
        <v>125646</v>
      </c>
      <c r="D3674" s="136" t="s">
        <v>15246</v>
      </c>
      <c r="E3674" s="328">
        <v>31740</v>
      </c>
      <c r="F3674" s="361">
        <v>42984</v>
      </c>
      <c r="G3674" s="362">
        <v>31740</v>
      </c>
      <c r="H3674" s="330">
        <f>Tabla13[[#This Row],[Importe]]-Tabla13[[#This Row],[Pagado]]</f>
        <v>0</v>
      </c>
      <c r="I3674" s="331" t="s">
        <v>15214</v>
      </c>
    </row>
    <row r="3675" spans="1:9" x14ac:dyDescent="0.25">
      <c r="A3675" s="319">
        <v>42977</v>
      </c>
      <c r="B3675" s="320" t="s">
        <v>27555</v>
      </c>
      <c r="C3675" s="321">
        <v>125647</v>
      </c>
      <c r="D3675" s="142" t="s">
        <v>15315</v>
      </c>
      <c r="E3675" s="322">
        <v>529.4</v>
      </c>
      <c r="F3675" s="323">
        <v>42977</v>
      </c>
      <c r="G3675" s="322">
        <v>529.4</v>
      </c>
      <c r="H3675" s="324">
        <f>Tabla13[[#This Row],[Importe]]-Tabla13[[#This Row],[Pagado]]</f>
        <v>0</v>
      </c>
      <c r="I3675" s="325" t="s">
        <v>15214</v>
      </c>
    </row>
    <row r="3676" spans="1:9" x14ac:dyDescent="0.25">
      <c r="A3676" s="353">
        <v>42977</v>
      </c>
      <c r="B3676" s="326" t="s">
        <v>27556</v>
      </c>
      <c r="C3676" s="327">
        <v>125648</v>
      </c>
      <c r="D3676" s="136" t="s">
        <v>15789</v>
      </c>
      <c r="E3676" s="328">
        <v>18815.8</v>
      </c>
      <c r="F3676" s="361">
        <v>42984</v>
      </c>
      <c r="G3676" s="362">
        <v>18815.8</v>
      </c>
      <c r="H3676" s="330">
        <f>Tabla13[[#This Row],[Importe]]-Tabla13[[#This Row],[Pagado]]</f>
        <v>0</v>
      </c>
      <c r="I3676" s="331" t="s">
        <v>15214</v>
      </c>
    </row>
    <row r="3677" spans="1:9" x14ac:dyDescent="0.25">
      <c r="A3677" s="319">
        <v>42977</v>
      </c>
      <c r="B3677" s="320" t="s">
        <v>27557</v>
      </c>
      <c r="C3677" s="321">
        <v>125649</v>
      </c>
      <c r="D3677" s="142" t="s">
        <v>15624</v>
      </c>
      <c r="E3677" s="322">
        <v>32100.6</v>
      </c>
      <c r="F3677" s="363">
        <v>42980</v>
      </c>
      <c r="G3677" s="155">
        <v>32100.6</v>
      </c>
      <c r="H3677" s="324">
        <f>Tabla13[[#This Row],[Importe]]-Tabla13[[#This Row],[Pagado]]</f>
        <v>0</v>
      </c>
      <c r="I3677" s="325" t="s">
        <v>15214</v>
      </c>
    </row>
    <row r="3678" spans="1:9" x14ac:dyDescent="0.25">
      <c r="A3678" s="319">
        <v>42977</v>
      </c>
      <c r="B3678" s="320" t="s">
        <v>27558</v>
      </c>
      <c r="C3678" s="321">
        <v>125650</v>
      </c>
      <c r="D3678" s="142" t="s">
        <v>15246</v>
      </c>
      <c r="E3678" s="322">
        <v>25296</v>
      </c>
      <c r="F3678" s="363">
        <v>42984</v>
      </c>
      <c r="G3678" s="155">
        <v>25296</v>
      </c>
      <c r="H3678" s="324">
        <f>Tabla13[[#This Row],[Importe]]-Tabla13[[#This Row],[Pagado]]</f>
        <v>0</v>
      </c>
      <c r="I3678" s="325" t="s">
        <v>15214</v>
      </c>
    </row>
    <row r="3679" spans="1:9" x14ac:dyDescent="0.25">
      <c r="A3679" s="353">
        <v>42977</v>
      </c>
      <c r="B3679" s="326" t="s">
        <v>27559</v>
      </c>
      <c r="C3679" s="327">
        <v>125651</v>
      </c>
      <c r="D3679" s="136" t="s">
        <v>15642</v>
      </c>
      <c r="E3679" s="328">
        <v>7110.6</v>
      </c>
      <c r="F3679" s="329">
        <v>42978</v>
      </c>
      <c r="G3679" s="328">
        <v>7110.6</v>
      </c>
      <c r="H3679" s="330">
        <f>Tabla13[[#This Row],[Importe]]-Tabla13[[#This Row],[Pagado]]</f>
        <v>0</v>
      </c>
      <c r="I3679" s="331" t="s">
        <v>15214</v>
      </c>
    </row>
    <row r="3680" spans="1:9" x14ac:dyDescent="0.25">
      <c r="A3680" s="319">
        <v>42977</v>
      </c>
      <c r="B3680" s="320" t="s">
        <v>27560</v>
      </c>
      <c r="C3680" s="321">
        <v>125652</v>
      </c>
      <c r="D3680" s="142" t="s">
        <v>19776</v>
      </c>
      <c r="E3680" s="322">
        <v>8460</v>
      </c>
      <c r="F3680" s="363">
        <v>42980</v>
      </c>
      <c r="G3680" s="155">
        <v>8460</v>
      </c>
      <c r="H3680" s="324">
        <f>Tabla13[[#This Row],[Importe]]-Tabla13[[#This Row],[Pagado]]</f>
        <v>0</v>
      </c>
      <c r="I3680" s="325" t="s">
        <v>15214</v>
      </c>
    </row>
    <row r="3681" spans="1:9" x14ac:dyDescent="0.25">
      <c r="A3681" s="353">
        <v>42977</v>
      </c>
      <c r="B3681" s="326" t="s">
        <v>27561</v>
      </c>
      <c r="C3681" s="327">
        <v>125653</v>
      </c>
      <c r="D3681" s="136" t="s">
        <v>15284</v>
      </c>
      <c r="E3681" s="328">
        <v>1190</v>
      </c>
      <c r="F3681" s="329">
        <v>42978</v>
      </c>
      <c r="G3681" s="328">
        <v>1190</v>
      </c>
      <c r="H3681" s="330">
        <f>Tabla13[[#This Row],[Importe]]-Tabla13[[#This Row],[Pagado]]</f>
        <v>0</v>
      </c>
      <c r="I3681" s="331" t="s">
        <v>15214</v>
      </c>
    </row>
    <row r="3682" spans="1:9" x14ac:dyDescent="0.25">
      <c r="A3682" s="319">
        <v>42978</v>
      </c>
      <c r="B3682" s="320" t="s">
        <v>27562</v>
      </c>
      <c r="C3682" s="321">
        <v>125654</v>
      </c>
      <c r="D3682" s="142" t="s">
        <v>21386</v>
      </c>
      <c r="E3682" s="322">
        <v>9920</v>
      </c>
      <c r="F3682" s="363">
        <v>42979</v>
      </c>
      <c r="G3682" s="155">
        <v>9920</v>
      </c>
      <c r="H3682" s="324">
        <f>Tabla13[[#This Row],[Importe]]-Tabla13[[#This Row],[Pagado]]</f>
        <v>0</v>
      </c>
      <c r="I3682" s="325" t="s">
        <v>15214</v>
      </c>
    </row>
    <row r="3683" spans="1:9" x14ac:dyDescent="0.25">
      <c r="A3683" s="353">
        <v>42978</v>
      </c>
      <c r="B3683" s="326" t="s">
        <v>27563</v>
      </c>
      <c r="C3683" s="327">
        <v>125655</v>
      </c>
      <c r="D3683" s="136" t="s">
        <v>15330</v>
      </c>
      <c r="E3683" s="328">
        <v>2870</v>
      </c>
      <c r="F3683" s="329">
        <v>42978</v>
      </c>
      <c r="G3683" s="328">
        <v>2870</v>
      </c>
      <c r="H3683" s="330">
        <f>Tabla13[[#This Row],[Importe]]-Tabla13[[#This Row],[Pagado]]</f>
        <v>0</v>
      </c>
      <c r="I3683" s="331" t="s">
        <v>15214</v>
      </c>
    </row>
    <row r="3684" spans="1:9" x14ac:dyDescent="0.25">
      <c r="A3684" s="319">
        <v>42978</v>
      </c>
      <c r="B3684" s="320" t="s">
        <v>27564</v>
      </c>
      <c r="C3684" s="321">
        <v>125656</v>
      </c>
      <c r="D3684" s="142" t="s">
        <v>21386</v>
      </c>
      <c r="E3684" s="322">
        <v>39118.1</v>
      </c>
      <c r="F3684" s="363">
        <v>42979</v>
      </c>
      <c r="G3684" s="155">
        <v>39118.1</v>
      </c>
      <c r="H3684" s="324">
        <f>Tabla13[[#This Row],[Importe]]-Tabla13[[#This Row],[Pagado]]</f>
        <v>0</v>
      </c>
      <c r="I3684" s="325" t="s">
        <v>15214</v>
      </c>
    </row>
    <row r="3685" spans="1:9" x14ac:dyDescent="0.25">
      <c r="A3685" s="353">
        <v>42978</v>
      </c>
      <c r="B3685" s="326" t="s">
        <v>27565</v>
      </c>
      <c r="C3685" s="327">
        <v>125657</v>
      </c>
      <c r="D3685" s="136" t="s">
        <v>15230</v>
      </c>
      <c r="E3685" s="328">
        <v>12789.6</v>
      </c>
      <c r="F3685" s="361">
        <v>42980</v>
      </c>
      <c r="G3685" s="362">
        <v>12789.6</v>
      </c>
      <c r="H3685" s="330">
        <f>Tabla13[[#This Row],[Importe]]-Tabla13[[#This Row],[Pagado]]</f>
        <v>0</v>
      </c>
      <c r="I3685" s="331" t="s">
        <v>15214</v>
      </c>
    </row>
    <row r="3686" spans="1:9" x14ac:dyDescent="0.25">
      <c r="A3686" s="319">
        <v>42978</v>
      </c>
      <c r="B3686" s="320" t="s">
        <v>27566</v>
      </c>
      <c r="C3686" s="321">
        <v>125658</v>
      </c>
      <c r="D3686" s="142" t="s">
        <v>15232</v>
      </c>
      <c r="E3686" s="322">
        <v>7273.4</v>
      </c>
      <c r="F3686" s="363">
        <v>42985</v>
      </c>
      <c r="G3686" s="155">
        <v>7273.4</v>
      </c>
      <c r="H3686" s="324">
        <f>Tabla13[[#This Row],[Importe]]-Tabla13[[#This Row],[Pagado]]</f>
        <v>0</v>
      </c>
      <c r="I3686" s="325" t="s">
        <v>15214</v>
      </c>
    </row>
    <row r="3687" spans="1:9" x14ac:dyDescent="0.25">
      <c r="A3687" s="353">
        <v>42978</v>
      </c>
      <c r="B3687" s="326" t="s">
        <v>27567</v>
      </c>
      <c r="C3687" s="327">
        <v>125659</v>
      </c>
      <c r="D3687" s="136" t="s">
        <v>15348</v>
      </c>
      <c r="E3687" s="328">
        <v>3140.9</v>
      </c>
      <c r="F3687" s="367">
        <v>42979</v>
      </c>
      <c r="G3687" s="362">
        <v>3140.9</v>
      </c>
      <c r="H3687" s="330">
        <f>Tabla13[[#This Row],[Importe]]-Tabla13[[#This Row],[Pagado]]</f>
        <v>0</v>
      </c>
      <c r="I3687" s="331" t="s">
        <v>15214</v>
      </c>
    </row>
    <row r="3688" spans="1:9" x14ac:dyDescent="0.25">
      <c r="A3688" s="319">
        <v>42978</v>
      </c>
      <c r="B3688" s="326" t="s">
        <v>27568</v>
      </c>
      <c r="C3688" s="327">
        <v>125660</v>
      </c>
      <c r="D3688" s="136" t="s">
        <v>15442</v>
      </c>
      <c r="E3688" s="328">
        <v>31315.599999999999</v>
      </c>
      <c r="F3688" s="361">
        <v>42987</v>
      </c>
      <c r="G3688" s="362">
        <v>31315.599999999999</v>
      </c>
      <c r="H3688" s="330">
        <f>Tabla13[[#This Row],[Importe]]-Tabla13[[#This Row],[Pagado]]</f>
        <v>0</v>
      </c>
      <c r="I3688" s="331" t="s">
        <v>15214</v>
      </c>
    </row>
    <row r="3689" spans="1:9" ht="30" x14ac:dyDescent="0.25">
      <c r="A3689" s="353">
        <v>42978</v>
      </c>
      <c r="B3689" s="320" t="s">
        <v>27569</v>
      </c>
      <c r="C3689" s="321">
        <v>125661</v>
      </c>
      <c r="D3689" s="142" t="s">
        <v>15258</v>
      </c>
      <c r="E3689" s="322">
        <v>10440</v>
      </c>
      <c r="F3689" s="363" t="s">
        <v>27683</v>
      </c>
      <c r="G3689" s="364">
        <f>7000+3440</f>
        <v>10440</v>
      </c>
      <c r="H3689" s="365">
        <f>Tabla13[[#This Row],[Importe]]-Tabla13[[#This Row],[Pagado]]</f>
        <v>0</v>
      </c>
      <c r="I3689" s="325" t="s">
        <v>15214</v>
      </c>
    </row>
    <row r="3690" spans="1:9" x14ac:dyDescent="0.25">
      <c r="A3690" s="319">
        <v>42978</v>
      </c>
      <c r="B3690" s="326" t="s">
        <v>27570</v>
      </c>
      <c r="C3690" s="327">
        <v>125662</v>
      </c>
      <c r="D3690" s="136" t="s">
        <v>15234</v>
      </c>
      <c r="E3690" s="328">
        <v>3512</v>
      </c>
      <c r="F3690" s="361">
        <v>42980</v>
      </c>
      <c r="G3690" s="362">
        <v>3512</v>
      </c>
      <c r="H3690" s="330">
        <f>Tabla13[[#This Row],[Importe]]-Tabla13[[#This Row],[Pagado]]</f>
        <v>0</v>
      </c>
      <c r="I3690" s="331" t="s">
        <v>15214</v>
      </c>
    </row>
    <row r="3691" spans="1:9" x14ac:dyDescent="0.25">
      <c r="A3691" s="353">
        <v>42978</v>
      </c>
      <c r="B3691" s="320" t="s">
        <v>27571</v>
      </c>
      <c r="C3691" s="321">
        <v>125663</v>
      </c>
      <c r="D3691" s="142" t="s">
        <v>15236</v>
      </c>
      <c r="E3691" s="322">
        <v>6688</v>
      </c>
      <c r="F3691" s="373">
        <v>42980</v>
      </c>
      <c r="G3691" s="155">
        <v>6688</v>
      </c>
      <c r="H3691" s="324">
        <f>Tabla13[[#This Row],[Importe]]-Tabla13[[#This Row],[Pagado]]</f>
        <v>0</v>
      </c>
      <c r="I3691" s="325" t="s">
        <v>15214</v>
      </c>
    </row>
    <row r="3692" spans="1:9" x14ac:dyDescent="0.25">
      <c r="A3692" s="319">
        <v>42978</v>
      </c>
      <c r="B3692" s="326" t="s">
        <v>27572</v>
      </c>
      <c r="C3692" s="327">
        <v>125664</v>
      </c>
      <c r="D3692" s="136" t="s">
        <v>5575</v>
      </c>
      <c r="E3692" s="328">
        <v>3472</v>
      </c>
      <c r="F3692" s="361">
        <v>42980</v>
      </c>
      <c r="G3692" s="362">
        <v>3472</v>
      </c>
      <c r="H3692" s="330">
        <f>Tabla13[[#This Row],[Importe]]-Tabla13[[#This Row],[Pagado]]</f>
        <v>0</v>
      </c>
      <c r="I3692" s="331" t="s">
        <v>15214</v>
      </c>
    </row>
    <row r="3693" spans="1:9" x14ac:dyDescent="0.25">
      <c r="A3693" s="353">
        <v>42978</v>
      </c>
      <c r="B3693" s="320" t="s">
        <v>27573</v>
      </c>
      <c r="C3693" s="321">
        <v>125665</v>
      </c>
      <c r="D3693" s="142" t="s">
        <v>15835</v>
      </c>
      <c r="E3693" s="322">
        <v>14746.2</v>
      </c>
      <c r="F3693" s="329">
        <v>42978</v>
      </c>
      <c r="G3693" s="322">
        <v>14746.2</v>
      </c>
      <c r="H3693" s="324">
        <f>Tabla13[[#This Row],[Importe]]-Tabla13[[#This Row],[Pagado]]</f>
        <v>0</v>
      </c>
      <c r="I3693" s="325" t="s">
        <v>15214</v>
      </c>
    </row>
    <row r="3694" spans="1:9" x14ac:dyDescent="0.25">
      <c r="A3694" s="319">
        <v>42978</v>
      </c>
      <c r="B3694" s="326" t="s">
        <v>27574</v>
      </c>
      <c r="C3694" s="327">
        <v>125666</v>
      </c>
      <c r="D3694" s="136" t="s">
        <v>15220</v>
      </c>
      <c r="E3694" s="328">
        <v>2640</v>
      </c>
      <c r="F3694" s="329">
        <v>42978</v>
      </c>
      <c r="G3694" s="328">
        <v>2640</v>
      </c>
      <c r="H3694" s="330">
        <f>Tabla13[[#This Row],[Importe]]-Tabla13[[#This Row],[Pagado]]</f>
        <v>0</v>
      </c>
      <c r="I3694" s="331" t="s">
        <v>15214</v>
      </c>
    </row>
    <row r="3695" spans="1:9" x14ac:dyDescent="0.25">
      <c r="A3695" s="353">
        <v>42978</v>
      </c>
      <c r="B3695" s="320" t="s">
        <v>27575</v>
      </c>
      <c r="C3695" s="321">
        <v>125667</v>
      </c>
      <c r="D3695" s="142" t="s">
        <v>15246</v>
      </c>
      <c r="E3695" s="322">
        <v>4320</v>
      </c>
      <c r="F3695" s="363">
        <v>42984</v>
      </c>
      <c r="G3695" s="155">
        <v>4320</v>
      </c>
      <c r="H3695" s="324">
        <f>Tabla13[[#This Row],[Importe]]-Tabla13[[#This Row],[Pagado]]</f>
        <v>0</v>
      </c>
      <c r="I3695" s="325" t="s">
        <v>15214</v>
      </c>
    </row>
    <row r="3696" spans="1:9" x14ac:dyDescent="0.25">
      <c r="A3696" s="319">
        <v>42978</v>
      </c>
      <c r="B3696" s="326" t="s">
        <v>27576</v>
      </c>
      <c r="C3696" s="327">
        <v>125668</v>
      </c>
      <c r="D3696" s="136" t="s">
        <v>15223</v>
      </c>
      <c r="E3696" s="328">
        <v>52083</v>
      </c>
      <c r="F3696" s="329">
        <v>43000</v>
      </c>
      <c r="G3696" s="328">
        <v>52083</v>
      </c>
      <c r="H3696" s="330">
        <f>Tabla13[[#This Row],[Importe]]-Tabla13[[#This Row],[Pagado]]</f>
        <v>0</v>
      </c>
      <c r="I3696" s="331" t="s">
        <v>15214</v>
      </c>
    </row>
    <row r="3697" spans="1:9" x14ac:dyDescent="0.25">
      <c r="A3697" s="353">
        <v>42978</v>
      </c>
      <c r="B3697" s="320" t="s">
        <v>27577</v>
      </c>
      <c r="C3697" s="321">
        <v>125669</v>
      </c>
      <c r="D3697" s="142" t="s">
        <v>15272</v>
      </c>
      <c r="E3697" s="322">
        <v>18949.2</v>
      </c>
      <c r="F3697" s="329">
        <v>42978</v>
      </c>
      <c r="G3697" s="322">
        <v>18949.2</v>
      </c>
      <c r="H3697" s="324">
        <f>Tabla13[[#This Row],[Importe]]-Tabla13[[#This Row],[Pagado]]</f>
        <v>0</v>
      </c>
      <c r="I3697" s="325" t="s">
        <v>15214</v>
      </c>
    </row>
    <row r="3698" spans="1:9" ht="30" x14ac:dyDescent="0.25">
      <c r="A3698" s="319">
        <v>42978</v>
      </c>
      <c r="B3698" s="320" t="s">
        <v>27578</v>
      </c>
      <c r="C3698" s="321">
        <v>125670</v>
      </c>
      <c r="D3698" s="142" t="s">
        <v>15256</v>
      </c>
      <c r="E3698" s="322">
        <v>7268</v>
      </c>
      <c r="F3698" s="363" t="s">
        <v>27682</v>
      </c>
      <c r="G3698" s="364">
        <f>5400+1868</f>
        <v>7268</v>
      </c>
      <c r="H3698" s="330">
        <f>Tabla13[[#This Row],[Importe]]-Tabla13[[#This Row],[Pagado]]</f>
        <v>0</v>
      </c>
      <c r="I3698" s="325" t="s">
        <v>15214</v>
      </c>
    </row>
    <row r="3699" spans="1:9" x14ac:dyDescent="0.25">
      <c r="A3699" s="353">
        <v>42978</v>
      </c>
      <c r="B3699" s="326" t="s">
        <v>27579</v>
      </c>
      <c r="C3699" s="327">
        <v>125671</v>
      </c>
      <c r="D3699" s="136" t="s">
        <v>15668</v>
      </c>
      <c r="E3699" s="328">
        <v>19877.599999999999</v>
      </c>
      <c r="F3699" s="361">
        <v>42980</v>
      </c>
      <c r="G3699" s="362">
        <v>19877.599999999999</v>
      </c>
      <c r="H3699" s="324">
        <f>Tabla13[[#This Row],[Importe]]-Tabla13[[#This Row],[Pagado]]</f>
        <v>0</v>
      </c>
      <c r="I3699" s="331" t="s">
        <v>15214</v>
      </c>
    </row>
    <row r="3700" spans="1:9" x14ac:dyDescent="0.25">
      <c r="A3700" s="319">
        <v>42978</v>
      </c>
      <c r="B3700" s="320" t="s">
        <v>27580</v>
      </c>
      <c r="C3700" s="321">
        <v>125672</v>
      </c>
      <c r="D3700" s="142" t="s">
        <v>15338</v>
      </c>
      <c r="E3700" s="322">
        <v>10641.6</v>
      </c>
      <c r="F3700" s="363">
        <v>42982</v>
      </c>
      <c r="G3700" s="155">
        <v>10641.6</v>
      </c>
      <c r="H3700" s="330">
        <f>Tabla13[[#This Row],[Importe]]-Tabla13[[#This Row],[Pagado]]</f>
        <v>0</v>
      </c>
      <c r="I3700" s="325" t="s">
        <v>15214</v>
      </c>
    </row>
    <row r="3701" spans="1:9" ht="15.75" x14ac:dyDescent="0.25">
      <c r="A3701" s="353">
        <v>42978</v>
      </c>
      <c r="B3701" s="326" t="s">
        <v>27581</v>
      </c>
      <c r="C3701" s="327">
        <v>125673</v>
      </c>
      <c r="D3701" s="345" t="s">
        <v>95</v>
      </c>
      <c r="E3701" s="328">
        <v>0</v>
      </c>
      <c r="F3701" s="346" t="s">
        <v>95</v>
      </c>
      <c r="G3701" s="328">
        <v>0</v>
      </c>
      <c r="H3701" s="324">
        <f>Tabla13[[#This Row],[Importe]]-Tabla13[[#This Row],[Pagado]]</f>
        <v>0</v>
      </c>
      <c r="I3701" s="331" t="s">
        <v>95</v>
      </c>
    </row>
    <row r="3702" spans="1:9" x14ac:dyDescent="0.25">
      <c r="A3702" s="319">
        <v>42978</v>
      </c>
      <c r="B3702" s="320" t="s">
        <v>27582</v>
      </c>
      <c r="C3702" s="321">
        <v>125674</v>
      </c>
      <c r="D3702" s="142" t="s">
        <v>15226</v>
      </c>
      <c r="E3702" s="322">
        <v>2337.3000000000002</v>
      </c>
      <c r="F3702" s="363">
        <v>42982</v>
      </c>
      <c r="G3702" s="155">
        <v>2337.3000000000002</v>
      </c>
      <c r="H3702" s="330">
        <f>Tabla13[[#This Row],[Importe]]-Tabla13[[#This Row],[Pagado]]</f>
        <v>0</v>
      </c>
      <c r="I3702" s="325" t="s">
        <v>15214</v>
      </c>
    </row>
    <row r="3703" spans="1:9" x14ac:dyDescent="0.25">
      <c r="A3703" s="353">
        <v>42978</v>
      </c>
      <c r="B3703" s="326" t="s">
        <v>27583</v>
      </c>
      <c r="C3703" s="327">
        <v>125675</v>
      </c>
      <c r="D3703" s="136" t="s">
        <v>15248</v>
      </c>
      <c r="E3703" s="328">
        <v>7495.2</v>
      </c>
      <c r="F3703" s="329">
        <v>42978</v>
      </c>
      <c r="G3703" s="328">
        <v>7495.2</v>
      </c>
      <c r="H3703" s="324">
        <f>Tabla13[[#This Row],[Importe]]-Tabla13[[#This Row],[Pagado]]</f>
        <v>0</v>
      </c>
      <c r="I3703" s="331" t="s">
        <v>15214</v>
      </c>
    </row>
    <row r="3704" spans="1:9" x14ac:dyDescent="0.25">
      <c r="A3704" s="319">
        <v>42978</v>
      </c>
      <c r="B3704" s="320" t="s">
        <v>27584</v>
      </c>
      <c r="C3704" s="321">
        <v>125676</v>
      </c>
      <c r="D3704" s="142" t="s">
        <v>15371</v>
      </c>
      <c r="E3704" s="322">
        <v>4828</v>
      </c>
      <c r="F3704" s="363">
        <v>42979</v>
      </c>
      <c r="G3704" s="155">
        <v>4828</v>
      </c>
      <c r="H3704" s="330">
        <f>Tabla13[[#This Row],[Importe]]-Tabla13[[#This Row],[Pagado]]</f>
        <v>0</v>
      </c>
      <c r="I3704" s="325" t="s">
        <v>15214</v>
      </c>
    </row>
    <row r="3705" spans="1:9" ht="30" x14ac:dyDescent="0.25">
      <c r="A3705" s="353">
        <v>42978</v>
      </c>
      <c r="B3705" s="326" t="s">
        <v>27585</v>
      </c>
      <c r="C3705" s="327">
        <v>125677</v>
      </c>
      <c r="D3705" s="136" t="s">
        <v>15238</v>
      </c>
      <c r="E3705" s="328">
        <v>4466.8</v>
      </c>
      <c r="F3705" s="361" t="s">
        <v>27681</v>
      </c>
      <c r="G3705" s="366">
        <f>2000+2466.8</f>
        <v>4466.8</v>
      </c>
      <c r="H3705" s="324">
        <f>Tabla13[[#This Row],[Importe]]-Tabla13[[#This Row],[Pagado]]</f>
        <v>0</v>
      </c>
      <c r="I3705" s="331" t="s">
        <v>15214</v>
      </c>
    </row>
    <row r="3706" spans="1:9" x14ac:dyDescent="0.25">
      <c r="A3706" s="319">
        <v>42978</v>
      </c>
      <c r="B3706" s="320" t="s">
        <v>27586</v>
      </c>
      <c r="C3706" s="321">
        <v>125678</v>
      </c>
      <c r="D3706" s="142" t="s">
        <v>17462</v>
      </c>
      <c r="E3706" s="322">
        <v>6153.6</v>
      </c>
      <c r="F3706" s="329">
        <v>42978</v>
      </c>
      <c r="G3706" s="322">
        <v>6153.6</v>
      </c>
      <c r="H3706" s="330">
        <f>Tabla13[[#This Row],[Importe]]-Tabla13[[#This Row],[Pagado]]</f>
        <v>0</v>
      </c>
      <c r="I3706" s="325" t="s">
        <v>15214</v>
      </c>
    </row>
    <row r="3707" spans="1:9" x14ac:dyDescent="0.25">
      <c r="A3707" s="353">
        <v>42978</v>
      </c>
      <c r="B3707" s="326" t="s">
        <v>27587</v>
      </c>
      <c r="C3707" s="327">
        <v>125679</v>
      </c>
      <c r="D3707" s="136" t="s">
        <v>15590</v>
      </c>
      <c r="E3707" s="328">
        <v>33672.1</v>
      </c>
      <c r="F3707" s="361">
        <v>42992</v>
      </c>
      <c r="G3707" s="362">
        <v>33672.1</v>
      </c>
      <c r="H3707" s="324">
        <f>Tabla13[[#This Row],[Importe]]-Tabla13[[#This Row],[Pagado]]</f>
        <v>0</v>
      </c>
      <c r="I3707" s="331" t="s">
        <v>15214</v>
      </c>
    </row>
    <row r="3708" spans="1:9" x14ac:dyDescent="0.25">
      <c r="A3708" s="319">
        <v>42978</v>
      </c>
      <c r="B3708" s="326" t="s">
        <v>27588</v>
      </c>
      <c r="C3708" s="327">
        <v>125680</v>
      </c>
      <c r="D3708" s="136" t="s">
        <v>15523</v>
      </c>
      <c r="E3708" s="328">
        <v>1920</v>
      </c>
      <c r="F3708" s="329">
        <v>42978</v>
      </c>
      <c r="G3708" s="328">
        <v>1920</v>
      </c>
      <c r="H3708" s="330">
        <f>Tabla13[[#This Row],[Importe]]-Tabla13[[#This Row],[Pagado]]</f>
        <v>0</v>
      </c>
      <c r="I3708" s="331" t="s">
        <v>15214</v>
      </c>
    </row>
    <row r="3709" spans="1:9" x14ac:dyDescent="0.25">
      <c r="A3709" s="353">
        <v>42978</v>
      </c>
      <c r="B3709" s="320" t="s">
        <v>27589</v>
      </c>
      <c r="C3709" s="321">
        <v>125681</v>
      </c>
      <c r="D3709" s="142" t="s">
        <v>15334</v>
      </c>
      <c r="E3709" s="322">
        <v>1800</v>
      </c>
      <c r="F3709" s="329">
        <v>42978</v>
      </c>
      <c r="G3709" s="322">
        <v>1800</v>
      </c>
      <c r="H3709" s="324">
        <f>Tabla13[[#This Row],[Importe]]-Tabla13[[#This Row],[Pagado]]</f>
        <v>0</v>
      </c>
      <c r="I3709" s="325" t="s">
        <v>15214</v>
      </c>
    </row>
    <row r="3710" spans="1:9" x14ac:dyDescent="0.25">
      <c r="A3710" s="319">
        <v>42978</v>
      </c>
      <c r="B3710" s="326" t="s">
        <v>27590</v>
      </c>
      <c r="C3710" s="327">
        <v>125682</v>
      </c>
      <c r="D3710" s="136" t="s">
        <v>15250</v>
      </c>
      <c r="E3710" s="328">
        <v>32799.199999999997</v>
      </c>
      <c r="F3710" s="361">
        <v>42987</v>
      </c>
      <c r="G3710" s="362">
        <v>32799.199999999997</v>
      </c>
      <c r="H3710" s="330">
        <f>Tabla13[[#This Row],[Importe]]-Tabla13[[#This Row],[Pagado]]</f>
        <v>0</v>
      </c>
      <c r="I3710" s="331" t="s">
        <v>15214</v>
      </c>
    </row>
    <row r="3711" spans="1:9" x14ac:dyDescent="0.25">
      <c r="A3711" s="353">
        <v>42978</v>
      </c>
      <c r="B3711" s="320" t="s">
        <v>27591</v>
      </c>
      <c r="C3711" s="321">
        <v>125683</v>
      </c>
      <c r="D3711" s="142" t="s">
        <v>15263</v>
      </c>
      <c r="E3711" s="322">
        <v>1226.8</v>
      </c>
      <c r="F3711" s="323">
        <v>42978</v>
      </c>
      <c r="G3711" s="322">
        <v>1226.8</v>
      </c>
      <c r="H3711" s="324">
        <f>Tabla13[[#This Row],[Importe]]-Tabla13[[#This Row],[Pagado]]</f>
        <v>0</v>
      </c>
      <c r="I3711" s="325" t="s">
        <v>15214</v>
      </c>
    </row>
    <row r="3712" spans="1:9" x14ac:dyDescent="0.25">
      <c r="A3712" s="319">
        <v>42978</v>
      </c>
      <c r="B3712" s="326" t="s">
        <v>27592</v>
      </c>
      <c r="C3712" s="327">
        <v>125684</v>
      </c>
      <c r="D3712" s="136" t="s">
        <v>15725</v>
      </c>
      <c r="E3712" s="328">
        <v>25653.200000000001</v>
      </c>
      <c r="F3712" s="361">
        <v>42981</v>
      </c>
      <c r="G3712" s="362">
        <v>25653.200000000001</v>
      </c>
      <c r="H3712" s="330">
        <f>Tabla13[[#This Row],[Importe]]-Tabla13[[#This Row],[Pagado]]</f>
        <v>0</v>
      </c>
      <c r="I3712" s="331" t="s">
        <v>15214</v>
      </c>
    </row>
    <row r="3713" spans="1:9" ht="15.75" x14ac:dyDescent="0.25">
      <c r="A3713" s="353">
        <v>42978</v>
      </c>
      <c r="B3713" s="320" t="s">
        <v>27593</v>
      </c>
      <c r="C3713" s="321">
        <v>125685</v>
      </c>
      <c r="D3713" s="332" t="s">
        <v>95</v>
      </c>
      <c r="E3713" s="322">
        <v>0</v>
      </c>
      <c r="F3713" s="333" t="s">
        <v>95</v>
      </c>
      <c r="G3713" s="322">
        <v>0</v>
      </c>
      <c r="H3713" s="324">
        <f>Tabla13[[#This Row],[Importe]]-Tabla13[[#This Row],[Pagado]]</f>
        <v>0</v>
      </c>
      <c r="I3713" s="325" t="s">
        <v>95</v>
      </c>
    </row>
    <row r="3714" spans="1:9" x14ac:dyDescent="0.25">
      <c r="A3714" s="319">
        <v>42978</v>
      </c>
      <c r="B3714" s="326" t="s">
        <v>27594</v>
      </c>
      <c r="C3714" s="327">
        <v>125686</v>
      </c>
      <c r="D3714" s="136" t="s">
        <v>15562</v>
      </c>
      <c r="E3714" s="328">
        <v>3305</v>
      </c>
      <c r="F3714" s="329">
        <v>42978</v>
      </c>
      <c r="G3714" s="328">
        <v>3305</v>
      </c>
      <c r="H3714" s="330">
        <f>Tabla13[[#This Row],[Importe]]-Tabla13[[#This Row],[Pagado]]</f>
        <v>0</v>
      </c>
      <c r="I3714" s="331" t="s">
        <v>15214</v>
      </c>
    </row>
    <row r="3715" spans="1:9" x14ac:dyDescent="0.25">
      <c r="A3715" s="353">
        <v>42978</v>
      </c>
      <c r="B3715" s="320" t="s">
        <v>27595</v>
      </c>
      <c r="C3715" s="321">
        <v>125687</v>
      </c>
      <c r="D3715" s="142" t="s">
        <v>15328</v>
      </c>
      <c r="E3715" s="322">
        <v>9486.08</v>
      </c>
      <c r="F3715" s="363">
        <v>42987</v>
      </c>
      <c r="G3715" s="155">
        <v>9486.08</v>
      </c>
      <c r="H3715" s="324">
        <f>Tabla13[[#This Row],[Importe]]-Tabla13[[#This Row],[Pagado]]</f>
        <v>0</v>
      </c>
      <c r="I3715" s="325" t="s">
        <v>15214</v>
      </c>
    </row>
    <row r="3716" spans="1:9" x14ac:dyDescent="0.25">
      <c r="A3716" s="319">
        <v>42978</v>
      </c>
      <c r="B3716" s="326" t="s">
        <v>27596</v>
      </c>
      <c r="C3716" s="327">
        <v>125688</v>
      </c>
      <c r="D3716" s="136" t="s">
        <v>16108</v>
      </c>
      <c r="E3716" s="328">
        <v>283.2</v>
      </c>
      <c r="F3716" s="343">
        <v>42978</v>
      </c>
      <c r="G3716" s="328">
        <v>283.2</v>
      </c>
      <c r="H3716" s="330">
        <f>Tabla13[[#This Row],[Importe]]-Tabla13[[#This Row],[Pagado]]</f>
        <v>0</v>
      </c>
      <c r="I3716" s="331" t="s">
        <v>15214</v>
      </c>
    </row>
    <row r="3717" spans="1:9" x14ac:dyDescent="0.25">
      <c r="A3717" s="353">
        <v>42978</v>
      </c>
      <c r="B3717" s="320" t="s">
        <v>27597</v>
      </c>
      <c r="C3717" s="321">
        <v>125689</v>
      </c>
      <c r="D3717" s="142" t="s">
        <v>15526</v>
      </c>
      <c r="E3717" s="322">
        <v>2521.1999999999998</v>
      </c>
      <c r="F3717" s="329">
        <v>42978</v>
      </c>
      <c r="G3717" s="322">
        <v>2521.1999999999998</v>
      </c>
      <c r="H3717" s="324">
        <f>Tabla13[[#This Row],[Importe]]-Tabla13[[#This Row],[Pagado]]</f>
        <v>0</v>
      </c>
      <c r="I3717" s="325" t="s">
        <v>15214</v>
      </c>
    </row>
    <row r="3718" spans="1:9" x14ac:dyDescent="0.25">
      <c r="A3718" s="319">
        <v>42978</v>
      </c>
      <c r="B3718" s="320" t="s">
        <v>27598</v>
      </c>
      <c r="C3718" s="321">
        <v>125690</v>
      </c>
      <c r="D3718" s="142" t="s">
        <v>15324</v>
      </c>
      <c r="E3718" s="322">
        <v>2284</v>
      </c>
      <c r="F3718" s="343">
        <v>42978</v>
      </c>
      <c r="G3718" s="322">
        <v>2284</v>
      </c>
      <c r="H3718" s="330">
        <f>Tabla13[[#This Row],[Importe]]-Tabla13[[#This Row],[Pagado]]</f>
        <v>0</v>
      </c>
      <c r="I3718" s="331" t="s">
        <v>15214</v>
      </c>
    </row>
    <row r="3719" spans="1:9" x14ac:dyDescent="0.25">
      <c r="A3719" s="353">
        <v>42978</v>
      </c>
      <c r="B3719" s="326" t="s">
        <v>27599</v>
      </c>
      <c r="C3719" s="327">
        <v>125691</v>
      </c>
      <c r="D3719" s="136" t="s">
        <v>15858</v>
      </c>
      <c r="E3719" s="328">
        <v>4685.28</v>
      </c>
      <c r="F3719" s="329">
        <v>42978</v>
      </c>
      <c r="G3719" s="328">
        <v>4685.28</v>
      </c>
      <c r="H3719" s="324">
        <f>Tabla13[[#This Row],[Importe]]-Tabla13[[#This Row],[Pagado]]</f>
        <v>0</v>
      </c>
      <c r="I3719" s="325" t="s">
        <v>15214</v>
      </c>
    </row>
    <row r="3720" spans="1:9" x14ac:dyDescent="0.25">
      <c r="A3720" s="319">
        <v>42978</v>
      </c>
      <c r="B3720" s="320" t="s">
        <v>27600</v>
      </c>
      <c r="C3720" s="321">
        <v>125692</v>
      </c>
      <c r="D3720" s="142" t="s">
        <v>15861</v>
      </c>
      <c r="E3720" s="322">
        <v>3307.3</v>
      </c>
      <c r="F3720" s="343">
        <v>42978</v>
      </c>
      <c r="G3720" s="322">
        <v>3307.3</v>
      </c>
      <c r="H3720" s="330">
        <f>Tabla13[[#This Row],[Importe]]-Tabla13[[#This Row],[Pagado]]</f>
        <v>0</v>
      </c>
      <c r="I3720" s="331" t="s">
        <v>15214</v>
      </c>
    </row>
    <row r="3721" spans="1:9" x14ac:dyDescent="0.25">
      <c r="A3721" s="353">
        <v>42978</v>
      </c>
      <c r="B3721" s="326" t="s">
        <v>27601</v>
      </c>
      <c r="C3721" s="327">
        <v>125693</v>
      </c>
      <c r="D3721" s="136" t="s">
        <v>15240</v>
      </c>
      <c r="E3721" s="328">
        <v>264</v>
      </c>
      <c r="F3721" s="329">
        <v>42978</v>
      </c>
      <c r="G3721" s="328">
        <v>264</v>
      </c>
      <c r="H3721" s="324">
        <f>Tabla13[[#This Row],[Importe]]-Tabla13[[#This Row],[Pagado]]</f>
        <v>0</v>
      </c>
      <c r="I3721" s="325" t="s">
        <v>15214</v>
      </c>
    </row>
    <row r="3722" spans="1:9" x14ac:dyDescent="0.25">
      <c r="A3722" s="319">
        <v>42978</v>
      </c>
      <c r="B3722" s="320" t="s">
        <v>27602</v>
      </c>
      <c r="C3722" s="321">
        <v>125694</v>
      </c>
      <c r="D3722" s="142" t="s">
        <v>15358</v>
      </c>
      <c r="E3722" s="322">
        <v>1203.2</v>
      </c>
      <c r="F3722" s="343">
        <v>42978</v>
      </c>
      <c r="G3722" s="322">
        <v>1203.2</v>
      </c>
      <c r="H3722" s="330">
        <f>Tabla13[[#This Row],[Importe]]-Tabla13[[#This Row],[Pagado]]</f>
        <v>0</v>
      </c>
      <c r="I3722" s="331" t="s">
        <v>15214</v>
      </c>
    </row>
    <row r="3723" spans="1:9" x14ac:dyDescent="0.25">
      <c r="A3723" s="353">
        <v>42978</v>
      </c>
      <c r="B3723" s="326" t="s">
        <v>27603</v>
      </c>
      <c r="C3723" s="327">
        <v>125695</v>
      </c>
      <c r="D3723" s="136" t="s">
        <v>15987</v>
      </c>
      <c r="E3723" s="328">
        <v>1069.2</v>
      </c>
      <c r="F3723" s="329">
        <v>42978</v>
      </c>
      <c r="G3723" s="328">
        <v>1069.2</v>
      </c>
      <c r="H3723" s="324">
        <f>Tabla13[[#This Row],[Importe]]-Tabla13[[#This Row],[Pagado]]</f>
        <v>0</v>
      </c>
      <c r="I3723" s="325" t="s">
        <v>15214</v>
      </c>
    </row>
    <row r="3724" spans="1:9" x14ac:dyDescent="0.25">
      <c r="A3724" s="319">
        <v>42978</v>
      </c>
      <c r="B3724" s="320" t="s">
        <v>27604</v>
      </c>
      <c r="C3724" s="321">
        <v>125696</v>
      </c>
      <c r="D3724" s="142" t="s">
        <v>15336</v>
      </c>
      <c r="E3724" s="322">
        <v>1222</v>
      </c>
      <c r="F3724" s="343">
        <v>42978</v>
      </c>
      <c r="G3724" s="322">
        <v>1222</v>
      </c>
      <c r="H3724" s="330">
        <f>Tabla13[[#This Row],[Importe]]-Tabla13[[#This Row],[Pagado]]</f>
        <v>0</v>
      </c>
      <c r="I3724" s="331" t="s">
        <v>15214</v>
      </c>
    </row>
    <row r="3725" spans="1:9" x14ac:dyDescent="0.25">
      <c r="A3725" s="353">
        <v>42978</v>
      </c>
      <c r="B3725" s="326" t="s">
        <v>27605</v>
      </c>
      <c r="C3725" s="327">
        <v>125697</v>
      </c>
      <c r="D3725" s="136" t="s">
        <v>15332</v>
      </c>
      <c r="E3725" s="328">
        <v>4295.2</v>
      </c>
      <c r="F3725" s="329">
        <v>42978</v>
      </c>
      <c r="G3725" s="328">
        <v>4295.2</v>
      </c>
      <c r="H3725" s="324">
        <f>Tabla13[[#This Row],[Importe]]-Tabla13[[#This Row],[Pagado]]</f>
        <v>0</v>
      </c>
      <c r="I3725" s="325" t="s">
        <v>15214</v>
      </c>
    </row>
    <row r="3726" spans="1:9" x14ac:dyDescent="0.25">
      <c r="A3726" s="319">
        <v>42978</v>
      </c>
      <c r="B3726" s="320" t="s">
        <v>27606</v>
      </c>
      <c r="C3726" s="321">
        <v>125698</v>
      </c>
      <c r="D3726" s="142" t="s">
        <v>18544</v>
      </c>
      <c r="E3726" s="322">
        <v>7490.2</v>
      </c>
      <c r="F3726" s="343">
        <v>42978</v>
      </c>
      <c r="G3726" s="322">
        <v>7490.2</v>
      </c>
      <c r="H3726" s="330">
        <f>Tabla13[[#This Row],[Importe]]-Tabla13[[#This Row],[Pagado]]</f>
        <v>0</v>
      </c>
      <c r="I3726" s="331" t="s">
        <v>15214</v>
      </c>
    </row>
    <row r="3727" spans="1:9" ht="45" x14ac:dyDescent="0.25">
      <c r="A3727" s="353">
        <v>42978</v>
      </c>
      <c r="B3727" s="326" t="s">
        <v>27607</v>
      </c>
      <c r="C3727" s="327">
        <v>125699</v>
      </c>
      <c r="D3727" s="136" t="s">
        <v>15228</v>
      </c>
      <c r="E3727" s="328">
        <v>31862.25</v>
      </c>
      <c r="F3727" s="361" t="s">
        <v>27680</v>
      </c>
      <c r="G3727" s="366">
        <f>15000+8000+8862.25</f>
        <v>31862.25</v>
      </c>
      <c r="H3727" s="324">
        <f>Tabla13[[#This Row],[Importe]]-Tabla13[[#This Row],[Pagado]]</f>
        <v>0</v>
      </c>
      <c r="I3727" s="325" t="s">
        <v>15214</v>
      </c>
    </row>
    <row r="3728" spans="1:9" x14ac:dyDescent="0.25">
      <c r="A3728" s="319">
        <v>42978</v>
      </c>
      <c r="B3728" s="320" t="s">
        <v>27608</v>
      </c>
      <c r="C3728" s="321">
        <v>125700</v>
      </c>
      <c r="D3728" s="142" t="s">
        <v>15284</v>
      </c>
      <c r="E3728" s="322">
        <v>1998.8</v>
      </c>
      <c r="F3728" s="329">
        <v>42978</v>
      </c>
      <c r="G3728" s="322">
        <v>1998.8</v>
      </c>
      <c r="H3728" s="330">
        <f>Tabla13[[#This Row],[Importe]]-Tabla13[[#This Row],[Pagado]]</f>
        <v>0</v>
      </c>
      <c r="I3728" s="331" t="s">
        <v>15214</v>
      </c>
    </row>
    <row r="3729" spans="1:9" x14ac:dyDescent="0.25">
      <c r="A3729" s="353">
        <v>42978</v>
      </c>
      <c r="B3729" s="326" t="s">
        <v>27609</v>
      </c>
      <c r="C3729" s="327">
        <v>125701</v>
      </c>
      <c r="D3729" s="136" t="s">
        <v>15748</v>
      </c>
      <c r="E3729" s="328">
        <v>3871.5</v>
      </c>
      <c r="F3729" s="329">
        <v>42978</v>
      </c>
      <c r="G3729" s="328">
        <v>3871.5</v>
      </c>
      <c r="H3729" s="324">
        <f>Tabla13[[#This Row],[Importe]]-Tabla13[[#This Row],[Pagado]]</f>
        <v>0</v>
      </c>
      <c r="I3729" s="325" t="s">
        <v>15214</v>
      </c>
    </row>
    <row r="3730" spans="1:9" x14ac:dyDescent="0.25">
      <c r="A3730" s="319">
        <v>42978</v>
      </c>
      <c r="B3730" s="320" t="s">
        <v>27610</v>
      </c>
      <c r="C3730" s="321">
        <v>125702</v>
      </c>
      <c r="D3730" s="142" t="s">
        <v>15415</v>
      </c>
      <c r="E3730" s="322">
        <v>2606.8000000000002</v>
      </c>
      <c r="F3730" s="363">
        <v>42980</v>
      </c>
      <c r="G3730" s="155">
        <v>2606.8000000000002</v>
      </c>
      <c r="H3730" s="330">
        <f>Tabla13[[#This Row],[Importe]]-Tabla13[[#This Row],[Pagado]]</f>
        <v>0</v>
      </c>
      <c r="I3730" s="331" t="s">
        <v>15214</v>
      </c>
    </row>
    <row r="3731" spans="1:9" x14ac:dyDescent="0.25">
      <c r="A3731" s="353">
        <v>42978</v>
      </c>
      <c r="B3731" s="326" t="s">
        <v>27611</v>
      </c>
      <c r="C3731" s="327">
        <v>125703</v>
      </c>
      <c r="D3731" s="136" t="s">
        <v>15278</v>
      </c>
      <c r="E3731" s="328">
        <v>5158.8999999999996</v>
      </c>
      <c r="F3731" s="329">
        <v>42978</v>
      </c>
      <c r="G3731" s="328">
        <v>5158.8999999999996</v>
      </c>
      <c r="H3731" s="324">
        <f>Tabla13[[#This Row],[Importe]]-Tabla13[[#This Row],[Pagado]]</f>
        <v>0</v>
      </c>
      <c r="I3731" s="325" t="s">
        <v>15214</v>
      </c>
    </row>
    <row r="3732" spans="1:9" x14ac:dyDescent="0.25">
      <c r="A3732" s="319">
        <v>42978</v>
      </c>
      <c r="B3732" s="320" t="s">
        <v>27612</v>
      </c>
      <c r="C3732" s="321">
        <v>125704</v>
      </c>
      <c r="D3732" s="142" t="s">
        <v>23937</v>
      </c>
      <c r="E3732" s="322">
        <v>3733.8</v>
      </c>
      <c r="F3732" s="363">
        <v>42979</v>
      </c>
      <c r="G3732" s="155">
        <v>3733.8</v>
      </c>
      <c r="H3732" s="330">
        <f>Tabla13[[#This Row],[Importe]]-Tabla13[[#This Row],[Pagado]]</f>
        <v>0</v>
      </c>
      <c r="I3732" s="331" t="s">
        <v>15214</v>
      </c>
    </row>
    <row r="3733" spans="1:9" x14ac:dyDescent="0.25">
      <c r="A3733" s="353">
        <v>42978</v>
      </c>
      <c r="B3733" s="326" t="s">
        <v>27613</v>
      </c>
      <c r="C3733" s="327">
        <v>125705</v>
      </c>
      <c r="D3733" s="136" t="s">
        <v>15280</v>
      </c>
      <c r="E3733" s="328">
        <v>5229</v>
      </c>
      <c r="F3733" s="329">
        <v>42978</v>
      </c>
      <c r="G3733" s="328">
        <v>5229</v>
      </c>
      <c r="H3733" s="324">
        <f>Tabla13[[#This Row],[Importe]]-Tabla13[[#This Row],[Pagado]]</f>
        <v>0</v>
      </c>
      <c r="I3733" s="325" t="s">
        <v>15214</v>
      </c>
    </row>
    <row r="3734" spans="1:9" x14ac:dyDescent="0.25">
      <c r="A3734" s="319">
        <v>42978</v>
      </c>
      <c r="B3734" s="320" t="s">
        <v>27614</v>
      </c>
      <c r="C3734" s="321">
        <v>125706</v>
      </c>
      <c r="D3734" s="142" t="s">
        <v>15421</v>
      </c>
      <c r="E3734" s="322">
        <v>1816.8</v>
      </c>
      <c r="F3734" s="329">
        <v>42978</v>
      </c>
      <c r="G3734" s="322">
        <v>1816.8</v>
      </c>
      <c r="H3734" s="330">
        <f>Tabla13[[#This Row],[Importe]]-Tabla13[[#This Row],[Pagado]]</f>
        <v>0</v>
      </c>
      <c r="I3734" s="331" t="s">
        <v>15214</v>
      </c>
    </row>
    <row r="3735" spans="1:9" x14ac:dyDescent="0.25">
      <c r="A3735" s="353">
        <v>42978</v>
      </c>
      <c r="B3735" s="326" t="s">
        <v>27615</v>
      </c>
      <c r="C3735" s="327">
        <v>125707</v>
      </c>
      <c r="D3735" s="136" t="s">
        <v>15665</v>
      </c>
      <c r="E3735" s="328">
        <v>144.9</v>
      </c>
      <c r="F3735" s="329">
        <v>42978</v>
      </c>
      <c r="G3735" s="328">
        <v>144.9</v>
      </c>
      <c r="H3735" s="324">
        <f>Tabla13[[#This Row],[Importe]]-Tabla13[[#This Row],[Pagado]]</f>
        <v>0</v>
      </c>
      <c r="I3735" s="325" t="s">
        <v>15214</v>
      </c>
    </row>
    <row r="3736" spans="1:9" x14ac:dyDescent="0.25">
      <c r="A3736" s="319">
        <v>42978</v>
      </c>
      <c r="B3736" s="320" t="s">
        <v>27616</v>
      </c>
      <c r="C3736" s="321">
        <v>125708</v>
      </c>
      <c r="D3736" s="142" t="s">
        <v>23937</v>
      </c>
      <c r="E3736" s="322">
        <v>1615.2</v>
      </c>
      <c r="F3736" s="329">
        <v>42978</v>
      </c>
      <c r="G3736" s="322">
        <v>1615.2</v>
      </c>
      <c r="H3736" s="330">
        <f>Tabla13[[#This Row],[Importe]]-Tabla13[[#This Row],[Pagado]]</f>
        <v>0</v>
      </c>
      <c r="I3736" s="331" t="s">
        <v>15214</v>
      </c>
    </row>
    <row r="3737" spans="1:9" x14ac:dyDescent="0.25">
      <c r="A3737" s="353">
        <v>42978</v>
      </c>
      <c r="B3737" s="326" t="s">
        <v>27617</v>
      </c>
      <c r="C3737" s="327">
        <v>125709</v>
      </c>
      <c r="D3737" s="136" t="s">
        <v>15244</v>
      </c>
      <c r="E3737" s="328">
        <v>8789.5</v>
      </c>
      <c r="F3737" s="361">
        <v>42982</v>
      </c>
      <c r="G3737" s="362">
        <v>8789.5</v>
      </c>
      <c r="H3737" s="324">
        <f>Tabla13[[#This Row],[Importe]]-Tabla13[[#This Row],[Pagado]]</f>
        <v>0</v>
      </c>
      <c r="I3737" s="325" t="s">
        <v>15214</v>
      </c>
    </row>
    <row r="3738" spans="1:9" x14ac:dyDescent="0.25">
      <c r="A3738" s="319">
        <v>42978</v>
      </c>
      <c r="B3738" s="326" t="s">
        <v>27618</v>
      </c>
      <c r="C3738" s="327">
        <v>125710</v>
      </c>
      <c r="D3738" s="136" t="s">
        <v>15252</v>
      </c>
      <c r="E3738" s="328">
        <v>5449.8</v>
      </c>
      <c r="F3738" s="361">
        <v>42982</v>
      </c>
      <c r="G3738" s="362">
        <v>5449.8</v>
      </c>
      <c r="H3738" s="330">
        <f>Tabla13[[#This Row],[Importe]]-Tabla13[[#This Row],[Pagado]]</f>
        <v>0</v>
      </c>
      <c r="I3738" s="331" t="s">
        <v>15214</v>
      </c>
    </row>
    <row r="3739" spans="1:9" x14ac:dyDescent="0.25">
      <c r="A3739" s="353">
        <v>42978</v>
      </c>
      <c r="B3739" s="320" t="s">
        <v>27619</v>
      </c>
      <c r="C3739" s="321">
        <v>125711</v>
      </c>
      <c r="D3739" s="142" t="s">
        <v>15250</v>
      </c>
      <c r="E3739" s="322">
        <v>44833.63</v>
      </c>
      <c r="F3739" s="363">
        <v>42987</v>
      </c>
      <c r="G3739" s="155">
        <v>44833.63</v>
      </c>
      <c r="H3739" s="324">
        <f>Tabla13[[#This Row],[Importe]]-Tabla13[[#This Row],[Pagado]]</f>
        <v>0</v>
      </c>
      <c r="I3739" s="325" t="s">
        <v>15214</v>
      </c>
    </row>
    <row r="3740" spans="1:9" x14ac:dyDescent="0.25">
      <c r="A3740" s="319">
        <v>42978</v>
      </c>
      <c r="B3740" s="326" t="s">
        <v>27620</v>
      </c>
      <c r="C3740" s="327">
        <v>125712</v>
      </c>
      <c r="D3740" s="136" t="s">
        <v>27621</v>
      </c>
      <c r="E3740" s="328">
        <v>33720.050000000003</v>
      </c>
      <c r="F3740" s="329">
        <v>42978</v>
      </c>
      <c r="G3740" s="328">
        <v>33720.050000000003</v>
      </c>
      <c r="H3740" s="330">
        <f>Tabla13[[#This Row],[Importe]]-Tabla13[[#This Row],[Pagado]]</f>
        <v>0</v>
      </c>
      <c r="I3740" s="331" t="s">
        <v>15214</v>
      </c>
    </row>
    <row r="3741" spans="1:9" x14ac:dyDescent="0.25">
      <c r="A3741" s="353">
        <v>42978</v>
      </c>
      <c r="B3741" s="320" t="s">
        <v>27622</v>
      </c>
      <c r="C3741" s="321">
        <v>125713</v>
      </c>
      <c r="D3741" s="142" t="s">
        <v>17210</v>
      </c>
      <c r="E3741" s="322">
        <v>3960</v>
      </c>
      <c r="F3741" s="329">
        <v>42978</v>
      </c>
      <c r="G3741" s="322">
        <v>3960</v>
      </c>
      <c r="H3741" s="324">
        <f>Tabla13[[#This Row],[Importe]]-Tabla13[[#This Row],[Pagado]]</f>
        <v>0</v>
      </c>
      <c r="I3741" s="325" t="s">
        <v>15214</v>
      </c>
    </row>
    <row r="3742" spans="1:9" x14ac:dyDescent="0.25">
      <c r="A3742" s="319">
        <v>42978</v>
      </c>
      <c r="B3742" s="326" t="s">
        <v>27623</v>
      </c>
      <c r="C3742" s="327">
        <v>125714</v>
      </c>
      <c r="D3742" s="136" t="s">
        <v>15244</v>
      </c>
      <c r="E3742" s="328">
        <v>6289.8</v>
      </c>
      <c r="F3742" s="329">
        <v>42978</v>
      </c>
      <c r="G3742" s="328">
        <v>6289.8</v>
      </c>
      <c r="H3742" s="330">
        <f>Tabla13[[#This Row],[Importe]]-Tabla13[[#This Row],[Pagado]]</f>
        <v>0</v>
      </c>
      <c r="I3742" s="331" t="s">
        <v>15214</v>
      </c>
    </row>
    <row r="3743" spans="1:9" x14ac:dyDescent="0.25">
      <c r="A3743" s="353">
        <v>42978</v>
      </c>
      <c r="B3743" s="320" t="s">
        <v>27624</v>
      </c>
      <c r="C3743" s="321">
        <v>125715</v>
      </c>
      <c r="D3743" s="142" t="s">
        <v>23215</v>
      </c>
      <c r="E3743" s="322">
        <v>3410</v>
      </c>
      <c r="F3743" s="329">
        <v>42978</v>
      </c>
      <c r="G3743" s="322">
        <v>3410</v>
      </c>
      <c r="H3743" s="324">
        <f>Tabla13[[#This Row],[Importe]]-Tabla13[[#This Row],[Pagado]]</f>
        <v>0</v>
      </c>
      <c r="I3743" s="325" t="s">
        <v>15214</v>
      </c>
    </row>
    <row r="3744" spans="1:9" x14ac:dyDescent="0.25">
      <c r="A3744" s="319">
        <v>42978</v>
      </c>
      <c r="B3744" s="326" t="s">
        <v>27625</v>
      </c>
      <c r="C3744" s="327">
        <v>125716</v>
      </c>
      <c r="D3744" s="136" t="s">
        <v>23218</v>
      </c>
      <c r="E3744" s="328">
        <v>3891.4</v>
      </c>
      <c r="F3744" s="329">
        <v>42978</v>
      </c>
      <c r="G3744" s="328">
        <v>3891.4</v>
      </c>
      <c r="H3744" s="330">
        <f>Tabla13[[#This Row],[Importe]]-Tabla13[[#This Row],[Pagado]]</f>
        <v>0</v>
      </c>
      <c r="I3744" s="331" t="s">
        <v>15214</v>
      </c>
    </row>
    <row r="3745" spans="1:9" x14ac:dyDescent="0.25">
      <c r="A3745" s="353">
        <v>42978</v>
      </c>
      <c r="B3745" s="320" t="s">
        <v>27626</v>
      </c>
      <c r="C3745" s="321">
        <v>125717</v>
      </c>
      <c r="D3745" s="142" t="s">
        <v>15315</v>
      </c>
      <c r="E3745" s="322">
        <v>958.8</v>
      </c>
      <c r="F3745" s="329">
        <v>42978</v>
      </c>
      <c r="G3745" s="322">
        <v>958.8</v>
      </c>
      <c r="H3745" s="324">
        <f>Tabla13[[#This Row],[Importe]]-Tabla13[[#This Row],[Pagado]]</f>
        <v>0</v>
      </c>
      <c r="I3745" s="325" t="s">
        <v>15214</v>
      </c>
    </row>
    <row r="3746" spans="1:9" x14ac:dyDescent="0.25">
      <c r="A3746" s="319">
        <v>42978</v>
      </c>
      <c r="B3746" s="326" t="s">
        <v>27627</v>
      </c>
      <c r="C3746" s="327">
        <v>125718</v>
      </c>
      <c r="D3746" s="136" t="s">
        <v>15696</v>
      </c>
      <c r="E3746" s="328">
        <v>12978.2</v>
      </c>
      <c r="F3746" s="329">
        <v>42978</v>
      </c>
      <c r="G3746" s="328">
        <v>12978.2</v>
      </c>
      <c r="H3746" s="330">
        <f>Tabla13[[#This Row],[Importe]]-Tabla13[[#This Row],[Pagado]]</f>
        <v>0</v>
      </c>
      <c r="I3746" s="331" t="s">
        <v>15214</v>
      </c>
    </row>
    <row r="3747" spans="1:9" x14ac:dyDescent="0.25">
      <c r="A3747" s="353">
        <v>42978</v>
      </c>
      <c r="B3747" s="320" t="s">
        <v>27628</v>
      </c>
      <c r="C3747" s="321">
        <v>125719</v>
      </c>
      <c r="D3747" s="142" t="s">
        <v>15544</v>
      </c>
      <c r="E3747" s="322">
        <v>3616</v>
      </c>
      <c r="F3747" s="363">
        <v>42979</v>
      </c>
      <c r="G3747" s="155">
        <v>3616</v>
      </c>
      <c r="H3747" s="324">
        <f>Tabla13[[#This Row],[Importe]]-Tabla13[[#This Row],[Pagado]]</f>
        <v>0</v>
      </c>
      <c r="I3747" s="325" t="s">
        <v>15214</v>
      </c>
    </row>
    <row r="3748" spans="1:9" x14ac:dyDescent="0.25">
      <c r="A3748" s="319">
        <v>42978</v>
      </c>
      <c r="B3748" s="320" t="s">
        <v>27629</v>
      </c>
      <c r="C3748" s="321">
        <v>125720</v>
      </c>
      <c r="D3748" s="142" t="s">
        <v>15716</v>
      </c>
      <c r="E3748" s="322">
        <v>784.8</v>
      </c>
      <c r="F3748" s="329">
        <v>42978</v>
      </c>
      <c r="G3748" s="322">
        <v>784.8</v>
      </c>
      <c r="H3748" s="330">
        <f>Tabla13[[#This Row],[Importe]]-Tabla13[[#This Row],[Pagado]]</f>
        <v>0</v>
      </c>
      <c r="I3748" s="331" t="s">
        <v>15214</v>
      </c>
    </row>
    <row r="3749" spans="1:9" x14ac:dyDescent="0.25">
      <c r="A3749" s="353">
        <v>42978</v>
      </c>
      <c r="B3749" s="326" t="s">
        <v>27630</v>
      </c>
      <c r="C3749" s="327">
        <v>125721</v>
      </c>
      <c r="D3749" s="136" t="s">
        <v>15537</v>
      </c>
      <c r="E3749" s="328">
        <v>12484</v>
      </c>
      <c r="F3749" s="361">
        <v>42984</v>
      </c>
      <c r="G3749" s="362">
        <v>12484</v>
      </c>
      <c r="H3749" s="324">
        <f>Tabla13[[#This Row],[Importe]]-Tabla13[[#This Row],[Pagado]]</f>
        <v>0</v>
      </c>
      <c r="I3749" s="325" t="s">
        <v>15214</v>
      </c>
    </row>
    <row r="3750" spans="1:9" x14ac:dyDescent="0.25">
      <c r="A3750" s="319">
        <v>42978</v>
      </c>
      <c r="B3750" s="320" t="s">
        <v>27631</v>
      </c>
      <c r="C3750" s="321">
        <v>125722</v>
      </c>
      <c r="D3750" s="142" t="s">
        <v>15250</v>
      </c>
      <c r="E3750" s="322">
        <v>722.4</v>
      </c>
      <c r="F3750" s="363">
        <v>42987</v>
      </c>
      <c r="G3750" s="155">
        <v>722.4</v>
      </c>
      <c r="H3750" s="330">
        <f>Tabla13[[#This Row],[Importe]]-Tabla13[[#This Row],[Pagado]]</f>
        <v>0</v>
      </c>
      <c r="I3750" s="331" t="s">
        <v>15214</v>
      </c>
    </row>
    <row r="3751" spans="1:9" x14ac:dyDescent="0.25">
      <c r="A3751" s="353">
        <v>42978</v>
      </c>
      <c r="B3751" s="326" t="s">
        <v>27632</v>
      </c>
      <c r="C3751" s="327">
        <v>125723</v>
      </c>
      <c r="D3751" s="136" t="s">
        <v>16126</v>
      </c>
      <c r="E3751" s="328">
        <v>6376.1</v>
      </c>
      <c r="F3751" s="329">
        <v>42978</v>
      </c>
      <c r="G3751" s="328">
        <v>6376.1</v>
      </c>
      <c r="H3751" s="324">
        <f>Tabla13[[#This Row],[Importe]]-Tabla13[[#This Row],[Pagado]]</f>
        <v>0</v>
      </c>
      <c r="I3751" s="325" t="s">
        <v>15214</v>
      </c>
    </row>
    <row r="3752" spans="1:9" x14ac:dyDescent="0.25">
      <c r="A3752" s="319">
        <v>42978</v>
      </c>
      <c r="B3752" s="320" t="s">
        <v>27633</v>
      </c>
      <c r="C3752" s="321">
        <v>125724</v>
      </c>
      <c r="D3752" s="142" t="s">
        <v>15596</v>
      </c>
      <c r="E3752" s="322">
        <v>960</v>
      </c>
      <c r="F3752" s="329">
        <v>42978</v>
      </c>
      <c r="G3752" s="322">
        <v>960</v>
      </c>
      <c r="H3752" s="330">
        <f>Tabla13[[#This Row],[Importe]]-Tabla13[[#This Row],[Pagado]]</f>
        <v>0</v>
      </c>
      <c r="I3752" s="331" t="s">
        <v>15214</v>
      </c>
    </row>
    <row r="3753" spans="1:9" x14ac:dyDescent="0.25">
      <c r="A3753" s="353">
        <v>42978</v>
      </c>
      <c r="B3753" s="326" t="s">
        <v>27634</v>
      </c>
      <c r="C3753" s="327">
        <v>125725</v>
      </c>
      <c r="D3753" s="136" t="s">
        <v>15274</v>
      </c>
      <c r="E3753" s="328">
        <v>3709.9</v>
      </c>
      <c r="F3753" s="329">
        <v>42978</v>
      </c>
      <c r="G3753" s="328">
        <v>3709.9</v>
      </c>
      <c r="H3753" s="324">
        <f>Tabla13[[#This Row],[Importe]]-Tabla13[[#This Row],[Pagado]]</f>
        <v>0</v>
      </c>
      <c r="I3753" s="325" t="s">
        <v>15214</v>
      </c>
    </row>
    <row r="3754" spans="1:9" x14ac:dyDescent="0.25">
      <c r="A3754" s="319">
        <v>42978</v>
      </c>
      <c r="B3754" s="320" t="s">
        <v>27635</v>
      </c>
      <c r="C3754" s="321">
        <v>125726</v>
      </c>
      <c r="D3754" s="142" t="s">
        <v>15309</v>
      </c>
      <c r="E3754" s="322">
        <v>14780</v>
      </c>
      <c r="F3754" s="329">
        <v>42978</v>
      </c>
      <c r="G3754" s="322">
        <v>14780</v>
      </c>
      <c r="H3754" s="330">
        <f>Tabla13[[#This Row],[Importe]]-Tabla13[[#This Row],[Pagado]]</f>
        <v>0</v>
      </c>
      <c r="I3754" s="331" t="s">
        <v>15214</v>
      </c>
    </row>
    <row r="3755" spans="1:9" x14ac:dyDescent="0.25">
      <c r="A3755" s="353">
        <v>42978</v>
      </c>
      <c r="B3755" s="326" t="s">
        <v>27636</v>
      </c>
      <c r="C3755" s="327">
        <v>125727</v>
      </c>
      <c r="D3755" s="136" t="s">
        <v>15510</v>
      </c>
      <c r="E3755" s="328">
        <v>3270.48</v>
      </c>
      <c r="F3755" s="329">
        <v>42978</v>
      </c>
      <c r="G3755" s="328">
        <v>3270.48</v>
      </c>
      <c r="H3755" s="324">
        <f>Tabla13[[#This Row],[Importe]]-Tabla13[[#This Row],[Pagado]]</f>
        <v>0</v>
      </c>
      <c r="I3755" s="325" t="s">
        <v>15214</v>
      </c>
    </row>
    <row r="3756" spans="1:9" x14ac:dyDescent="0.25">
      <c r="A3756" s="319">
        <v>42978</v>
      </c>
      <c r="B3756" s="320" t="s">
        <v>27637</v>
      </c>
      <c r="C3756" s="321">
        <v>125728</v>
      </c>
      <c r="D3756" s="142" t="s">
        <v>15539</v>
      </c>
      <c r="E3756" s="322">
        <v>11303.6</v>
      </c>
      <c r="F3756" s="363">
        <v>42984</v>
      </c>
      <c r="G3756" s="155">
        <v>11303.6</v>
      </c>
      <c r="H3756" s="330">
        <f>Tabla13[[#This Row],[Importe]]-Tabla13[[#This Row],[Pagado]]</f>
        <v>0</v>
      </c>
      <c r="I3756" s="331" t="s">
        <v>15214</v>
      </c>
    </row>
    <row r="3757" spans="1:9" x14ac:dyDescent="0.25">
      <c r="A3757" s="353">
        <v>42978</v>
      </c>
      <c r="B3757" s="326" t="s">
        <v>27638</v>
      </c>
      <c r="C3757" s="327">
        <v>125729</v>
      </c>
      <c r="D3757" s="136" t="s">
        <v>17235</v>
      </c>
      <c r="E3757" s="328">
        <v>1420</v>
      </c>
      <c r="F3757" s="329">
        <v>42978</v>
      </c>
      <c r="G3757" s="328">
        <v>1420</v>
      </c>
      <c r="H3757" s="324">
        <f>Tabla13[[#This Row],[Importe]]-Tabla13[[#This Row],[Pagado]]</f>
        <v>0</v>
      </c>
      <c r="I3757" s="325" t="s">
        <v>15214</v>
      </c>
    </row>
    <row r="3758" spans="1:9" x14ac:dyDescent="0.25">
      <c r="A3758" s="319">
        <v>42978</v>
      </c>
      <c r="B3758" s="326" t="s">
        <v>27639</v>
      </c>
      <c r="C3758" s="327">
        <v>125730</v>
      </c>
      <c r="D3758" s="136" t="s">
        <v>15315</v>
      </c>
      <c r="E3758" s="328">
        <v>4214</v>
      </c>
      <c r="F3758" s="361">
        <v>42979</v>
      </c>
      <c r="G3758" s="362">
        <v>4214</v>
      </c>
      <c r="H3758" s="330">
        <f>Tabla13[[#This Row],[Importe]]-Tabla13[[#This Row],[Pagado]]</f>
        <v>0</v>
      </c>
      <c r="I3758" s="331" t="s">
        <v>15214</v>
      </c>
    </row>
    <row r="3759" spans="1:9" x14ac:dyDescent="0.25">
      <c r="A3759" s="353">
        <v>42978</v>
      </c>
      <c r="B3759" s="320" t="s">
        <v>27640</v>
      </c>
      <c r="C3759" s="321">
        <v>125731</v>
      </c>
      <c r="D3759" s="142" t="s">
        <v>15555</v>
      </c>
      <c r="E3759" s="322">
        <v>4419.1499999999996</v>
      </c>
      <c r="F3759" s="363">
        <v>42984</v>
      </c>
      <c r="G3759" s="155">
        <v>4419.1499999999996</v>
      </c>
      <c r="H3759" s="324">
        <f>Tabla13[[#This Row],[Importe]]-Tabla13[[#This Row],[Pagado]]</f>
        <v>0</v>
      </c>
      <c r="I3759" s="325" t="s">
        <v>15214</v>
      </c>
    </row>
    <row r="3760" spans="1:9" x14ac:dyDescent="0.25">
      <c r="A3760" s="319">
        <v>42978</v>
      </c>
      <c r="B3760" s="326" t="s">
        <v>27641</v>
      </c>
      <c r="C3760" s="327">
        <v>125732</v>
      </c>
      <c r="D3760" s="136" t="s">
        <v>15315</v>
      </c>
      <c r="E3760" s="328">
        <v>6675</v>
      </c>
      <c r="F3760" s="361">
        <v>42984</v>
      </c>
      <c r="G3760" s="362">
        <v>6675</v>
      </c>
      <c r="H3760" s="330">
        <f>Tabla13[[#This Row],[Importe]]-Tabla13[[#This Row],[Pagado]]</f>
        <v>0</v>
      </c>
      <c r="I3760" s="331" t="s">
        <v>15214</v>
      </c>
    </row>
    <row r="3761" spans="1:9" x14ac:dyDescent="0.25">
      <c r="A3761" s="353">
        <v>42978</v>
      </c>
      <c r="B3761" s="320" t="s">
        <v>27642</v>
      </c>
      <c r="C3761" s="321">
        <v>125733</v>
      </c>
      <c r="D3761" s="142" t="s">
        <v>15298</v>
      </c>
      <c r="E3761" s="322">
        <v>1700.4</v>
      </c>
      <c r="F3761" s="329">
        <v>42978</v>
      </c>
      <c r="G3761" s="322">
        <v>1700.4</v>
      </c>
      <c r="H3761" s="324">
        <f>Tabla13[[#This Row],[Importe]]-Tabla13[[#This Row],[Pagado]]</f>
        <v>0</v>
      </c>
      <c r="I3761" s="325" t="s">
        <v>15214</v>
      </c>
    </row>
    <row r="3762" spans="1:9" x14ac:dyDescent="0.25">
      <c r="A3762" s="319">
        <v>42978</v>
      </c>
      <c r="B3762" s="326" t="s">
        <v>27643</v>
      </c>
      <c r="C3762" s="327">
        <v>125734</v>
      </c>
      <c r="D3762" s="136" t="s">
        <v>15391</v>
      </c>
      <c r="E3762" s="328">
        <v>8200.7999999999993</v>
      </c>
      <c r="F3762" s="329">
        <v>42980</v>
      </c>
      <c r="G3762" s="328">
        <v>8200.7999999999993</v>
      </c>
      <c r="H3762" s="330">
        <f>Tabla13[[#This Row],[Importe]]-Tabla13[[#This Row],[Pagado]]</f>
        <v>0</v>
      </c>
      <c r="I3762" s="331" t="s">
        <v>15214</v>
      </c>
    </row>
    <row r="3763" spans="1:9" x14ac:dyDescent="0.25">
      <c r="A3763" s="353">
        <v>42978</v>
      </c>
      <c r="B3763" s="320" t="s">
        <v>27644</v>
      </c>
      <c r="C3763" s="321">
        <v>125735</v>
      </c>
      <c r="D3763" s="142" t="s">
        <v>19768</v>
      </c>
      <c r="E3763" s="322">
        <v>1440</v>
      </c>
      <c r="F3763" s="329">
        <v>42978</v>
      </c>
      <c r="G3763" s="322">
        <v>1440</v>
      </c>
      <c r="H3763" s="324">
        <f>Tabla13[[#This Row],[Importe]]-Tabla13[[#This Row],[Pagado]]</f>
        <v>0</v>
      </c>
      <c r="I3763" s="325" t="s">
        <v>15214</v>
      </c>
    </row>
    <row r="3764" spans="1:9" x14ac:dyDescent="0.25">
      <c r="A3764" s="319">
        <v>42978</v>
      </c>
      <c r="B3764" s="326" t="s">
        <v>27645</v>
      </c>
      <c r="C3764" s="327">
        <v>125736</v>
      </c>
      <c r="D3764" s="136" t="s">
        <v>15581</v>
      </c>
      <c r="E3764" s="328">
        <v>10216.6</v>
      </c>
      <c r="F3764" s="361">
        <v>42983</v>
      </c>
      <c r="G3764" s="362">
        <v>10216.6</v>
      </c>
      <c r="H3764" s="330">
        <f>Tabla13[[#This Row],[Importe]]-Tabla13[[#This Row],[Pagado]]</f>
        <v>0</v>
      </c>
      <c r="I3764" s="331" t="s">
        <v>15214</v>
      </c>
    </row>
    <row r="3765" spans="1:9" x14ac:dyDescent="0.25">
      <c r="A3765" s="353">
        <v>42978</v>
      </c>
      <c r="B3765" s="320" t="s">
        <v>27646</v>
      </c>
      <c r="C3765" s="321">
        <v>125737</v>
      </c>
      <c r="D3765" s="142" t="s">
        <v>15568</v>
      </c>
      <c r="E3765" s="322">
        <v>3480</v>
      </c>
      <c r="F3765" s="363">
        <v>42979</v>
      </c>
      <c r="G3765" s="155">
        <v>3480</v>
      </c>
      <c r="H3765" s="324">
        <f>Tabla13[[#This Row],[Importe]]-Tabla13[[#This Row],[Pagado]]</f>
        <v>0</v>
      </c>
      <c r="I3765" s="325" t="s">
        <v>15214</v>
      </c>
    </row>
    <row r="3766" spans="1:9" x14ac:dyDescent="0.25">
      <c r="A3766" s="319">
        <v>42978</v>
      </c>
      <c r="B3766" s="326" t="s">
        <v>27647</v>
      </c>
      <c r="C3766" s="327">
        <v>125738</v>
      </c>
      <c r="D3766" s="136" t="s">
        <v>15361</v>
      </c>
      <c r="E3766" s="328">
        <v>5047.2</v>
      </c>
      <c r="F3766" s="329">
        <v>42978</v>
      </c>
      <c r="G3766" s="328">
        <v>5047.2</v>
      </c>
      <c r="H3766" s="330">
        <f>Tabla13[[#This Row],[Importe]]-Tabla13[[#This Row],[Pagado]]</f>
        <v>0</v>
      </c>
      <c r="I3766" s="331" t="s">
        <v>15214</v>
      </c>
    </row>
    <row r="3767" spans="1:9" x14ac:dyDescent="0.25">
      <c r="A3767" s="353">
        <v>42978</v>
      </c>
      <c r="B3767" s="320" t="s">
        <v>27648</v>
      </c>
      <c r="C3767" s="321">
        <v>125739</v>
      </c>
      <c r="D3767" s="142" t="s">
        <v>15378</v>
      </c>
      <c r="E3767" s="322">
        <v>712.8</v>
      </c>
      <c r="F3767" s="323">
        <v>42978</v>
      </c>
      <c r="G3767" s="322">
        <v>712.8</v>
      </c>
      <c r="H3767" s="324">
        <f>Tabla13[[#This Row],[Importe]]-Tabla13[[#This Row],[Pagado]]</f>
        <v>0</v>
      </c>
      <c r="I3767" s="325" t="s">
        <v>15214</v>
      </c>
    </row>
    <row r="3768" spans="1:9" x14ac:dyDescent="0.25">
      <c r="A3768" s="319">
        <v>42978</v>
      </c>
      <c r="B3768" s="320" t="s">
        <v>27649</v>
      </c>
      <c r="C3768" s="321">
        <v>125740</v>
      </c>
      <c r="D3768" s="142" t="s">
        <v>21441</v>
      </c>
      <c r="E3768" s="322">
        <v>1242.3</v>
      </c>
      <c r="F3768" s="323">
        <v>42978</v>
      </c>
      <c r="G3768" s="322">
        <v>1242.3</v>
      </c>
      <c r="H3768" s="330">
        <f>Tabla13[[#This Row],[Importe]]-Tabla13[[#This Row],[Pagado]]</f>
        <v>0</v>
      </c>
      <c r="I3768" s="331" t="s">
        <v>15214</v>
      </c>
    </row>
    <row r="3769" spans="1:9" x14ac:dyDescent="0.25">
      <c r="A3769" s="353">
        <v>42978</v>
      </c>
      <c r="B3769" s="326" t="s">
        <v>27650</v>
      </c>
      <c r="C3769" s="327">
        <v>125741</v>
      </c>
      <c r="D3769" s="136" t="s">
        <v>15246</v>
      </c>
      <c r="E3769" s="328">
        <v>2954.8</v>
      </c>
      <c r="F3769" s="361">
        <v>42984</v>
      </c>
      <c r="G3769" s="362">
        <v>2954.8</v>
      </c>
      <c r="H3769" s="324">
        <f>Tabla13[[#This Row],[Importe]]-Tabla13[[#This Row],[Pagado]]</f>
        <v>0</v>
      </c>
      <c r="I3769" s="325" t="s">
        <v>15214</v>
      </c>
    </row>
    <row r="3770" spans="1:9" x14ac:dyDescent="0.25">
      <c r="A3770" s="319">
        <v>42978</v>
      </c>
      <c r="B3770" s="320" t="s">
        <v>27651</v>
      </c>
      <c r="C3770" s="321">
        <v>125742</v>
      </c>
      <c r="D3770" s="142" t="s">
        <v>15566</v>
      </c>
      <c r="E3770" s="322">
        <v>3070.2</v>
      </c>
      <c r="F3770" s="323">
        <v>42978</v>
      </c>
      <c r="G3770" s="322">
        <v>3070.2</v>
      </c>
      <c r="H3770" s="330">
        <f>Tabla13[[#This Row],[Importe]]-Tabla13[[#This Row],[Pagado]]</f>
        <v>0</v>
      </c>
      <c r="I3770" s="331" t="s">
        <v>15214</v>
      </c>
    </row>
    <row r="3771" spans="1:9" x14ac:dyDescent="0.25">
      <c r="A3771" s="353">
        <v>42978</v>
      </c>
      <c r="B3771" s="326" t="s">
        <v>27652</v>
      </c>
      <c r="C3771" s="327">
        <v>125743</v>
      </c>
      <c r="D3771" s="136" t="s">
        <v>15282</v>
      </c>
      <c r="E3771" s="328">
        <v>4110.8999999999996</v>
      </c>
      <c r="F3771" s="323">
        <v>42978</v>
      </c>
      <c r="G3771" s="328">
        <v>4110.8999999999996</v>
      </c>
      <c r="H3771" s="324">
        <f>Tabla13[[#This Row],[Importe]]-Tabla13[[#This Row],[Pagado]]</f>
        <v>0</v>
      </c>
      <c r="I3771" s="325" t="s">
        <v>15214</v>
      </c>
    </row>
    <row r="3772" spans="1:9" x14ac:dyDescent="0.25">
      <c r="A3772" s="319">
        <v>42978</v>
      </c>
      <c r="B3772" s="320" t="s">
        <v>27653</v>
      </c>
      <c r="C3772" s="321">
        <v>125744</v>
      </c>
      <c r="D3772" s="142" t="s">
        <v>15617</v>
      </c>
      <c r="E3772" s="322">
        <v>14611.2</v>
      </c>
      <c r="F3772" s="323">
        <v>42978</v>
      </c>
      <c r="G3772" s="322">
        <v>14611.2</v>
      </c>
      <c r="H3772" s="330">
        <f>Tabla13[[#This Row],[Importe]]-Tabla13[[#This Row],[Pagado]]</f>
        <v>0</v>
      </c>
      <c r="I3772" s="331" t="s">
        <v>15214</v>
      </c>
    </row>
    <row r="3773" spans="1:9" x14ac:dyDescent="0.25">
      <c r="A3773" s="353">
        <v>42978</v>
      </c>
      <c r="B3773" s="326" t="s">
        <v>27654</v>
      </c>
      <c r="C3773" s="327">
        <v>125745</v>
      </c>
      <c r="D3773" s="136" t="s">
        <v>22563</v>
      </c>
      <c r="E3773" s="328">
        <v>10548</v>
      </c>
      <c r="F3773" s="323">
        <v>42978</v>
      </c>
      <c r="G3773" s="328">
        <v>10548</v>
      </c>
      <c r="H3773" s="324">
        <f>Tabla13[[#This Row],[Importe]]-Tabla13[[#This Row],[Pagado]]</f>
        <v>0</v>
      </c>
      <c r="I3773" s="325" t="s">
        <v>15214</v>
      </c>
    </row>
    <row r="3774" spans="1:9" x14ac:dyDescent="0.25">
      <c r="A3774" s="319">
        <v>42978</v>
      </c>
      <c r="B3774" s="320" t="s">
        <v>27655</v>
      </c>
      <c r="C3774" s="321">
        <v>125746</v>
      </c>
      <c r="D3774" s="142" t="s">
        <v>15398</v>
      </c>
      <c r="E3774" s="322">
        <v>7209</v>
      </c>
      <c r="F3774" s="323">
        <v>42978</v>
      </c>
      <c r="G3774" s="322">
        <v>7209</v>
      </c>
      <c r="H3774" s="330">
        <f>Tabla13[[#This Row],[Importe]]-Tabla13[[#This Row],[Pagado]]</f>
        <v>0</v>
      </c>
      <c r="I3774" s="331" t="s">
        <v>15214</v>
      </c>
    </row>
    <row r="3775" spans="1:9" x14ac:dyDescent="0.25">
      <c r="A3775" s="353">
        <v>42978</v>
      </c>
      <c r="B3775" s="326" t="s">
        <v>27656</v>
      </c>
      <c r="C3775" s="327">
        <v>125747</v>
      </c>
      <c r="D3775" s="136" t="s">
        <v>15315</v>
      </c>
      <c r="E3775" s="328">
        <v>345</v>
      </c>
      <c r="F3775" s="323">
        <v>42978</v>
      </c>
      <c r="G3775" s="328">
        <v>345</v>
      </c>
      <c r="H3775" s="324">
        <f>Tabla13[[#This Row],[Importe]]-Tabla13[[#This Row],[Pagado]]</f>
        <v>0</v>
      </c>
      <c r="I3775" s="325" t="s">
        <v>15214</v>
      </c>
    </row>
    <row r="3776" spans="1:9" x14ac:dyDescent="0.25">
      <c r="A3776" s="319">
        <v>42978</v>
      </c>
      <c r="B3776" s="320" t="s">
        <v>27657</v>
      </c>
      <c r="C3776" s="321">
        <v>125748</v>
      </c>
      <c r="D3776" s="142" t="s">
        <v>18773</v>
      </c>
      <c r="E3776" s="322">
        <v>38781.599999999999</v>
      </c>
      <c r="F3776" s="323">
        <v>42978</v>
      </c>
      <c r="G3776" s="322">
        <v>38781.599999999999</v>
      </c>
      <c r="H3776" s="330">
        <f>Tabla13[[#This Row],[Importe]]-Tabla13[[#This Row],[Pagado]]</f>
        <v>0</v>
      </c>
      <c r="I3776" s="331" t="s">
        <v>15214</v>
      </c>
    </row>
    <row r="3777" spans="1:9" x14ac:dyDescent="0.25">
      <c r="A3777" s="353">
        <v>42978</v>
      </c>
      <c r="B3777" s="326" t="s">
        <v>27658</v>
      </c>
      <c r="C3777" s="327">
        <v>125749</v>
      </c>
      <c r="D3777" s="136" t="s">
        <v>19756</v>
      </c>
      <c r="E3777" s="328">
        <v>1031.0999999999999</v>
      </c>
      <c r="F3777" s="323">
        <v>42978</v>
      </c>
      <c r="G3777" s="328">
        <v>1031.0999999999999</v>
      </c>
      <c r="H3777" s="324">
        <f>Tabla13[[#This Row],[Importe]]-Tabla13[[#This Row],[Pagado]]</f>
        <v>0</v>
      </c>
      <c r="I3777" s="325" t="s">
        <v>15214</v>
      </c>
    </row>
    <row r="3778" spans="1:9" x14ac:dyDescent="0.25">
      <c r="A3778" s="319">
        <v>42978</v>
      </c>
      <c r="B3778" s="326" t="s">
        <v>27659</v>
      </c>
      <c r="C3778" s="327">
        <v>125750</v>
      </c>
      <c r="D3778" s="136" t="s">
        <v>19773</v>
      </c>
      <c r="E3778" s="328">
        <v>6212.24</v>
      </c>
      <c r="F3778" s="361">
        <v>42987</v>
      </c>
      <c r="G3778" s="362">
        <v>6212.24</v>
      </c>
      <c r="H3778" s="330">
        <f>Tabla13[[#This Row],[Importe]]-Tabla13[[#This Row],[Pagado]]</f>
        <v>0</v>
      </c>
      <c r="I3778" s="331" t="s">
        <v>15214</v>
      </c>
    </row>
    <row r="3779" spans="1:9" x14ac:dyDescent="0.25">
      <c r="A3779" s="353">
        <v>42978</v>
      </c>
      <c r="B3779" s="320" t="s">
        <v>27660</v>
      </c>
      <c r="C3779" s="321">
        <v>125751</v>
      </c>
      <c r="D3779" s="142" t="s">
        <v>15987</v>
      </c>
      <c r="E3779" s="322">
        <v>2894.4</v>
      </c>
      <c r="F3779" s="323">
        <v>42978</v>
      </c>
      <c r="G3779" s="322">
        <v>2894.4</v>
      </c>
      <c r="H3779" s="324">
        <f>Tabla13[[#This Row],[Importe]]-Tabla13[[#This Row],[Pagado]]</f>
        <v>0</v>
      </c>
      <c r="I3779" s="325" t="s">
        <v>15214</v>
      </c>
    </row>
    <row r="3780" spans="1:9" x14ac:dyDescent="0.25">
      <c r="A3780" s="319">
        <v>42978</v>
      </c>
      <c r="B3780" s="326" t="s">
        <v>27661</v>
      </c>
      <c r="C3780" s="327">
        <v>125752</v>
      </c>
      <c r="D3780" s="136" t="s">
        <v>15276</v>
      </c>
      <c r="E3780" s="328">
        <v>3840</v>
      </c>
      <c r="F3780" s="361">
        <v>42979</v>
      </c>
      <c r="G3780" s="362">
        <v>3840</v>
      </c>
      <c r="H3780" s="330">
        <f>Tabla13[[#This Row],[Importe]]-Tabla13[[#This Row],[Pagado]]</f>
        <v>0</v>
      </c>
      <c r="I3780" s="331" t="s">
        <v>15214</v>
      </c>
    </row>
    <row r="3781" spans="1:9" x14ac:dyDescent="0.25">
      <c r="A3781" s="353">
        <v>42978</v>
      </c>
      <c r="B3781" s="320" t="s">
        <v>27662</v>
      </c>
      <c r="C3781" s="321">
        <v>125753</v>
      </c>
      <c r="D3781" s="142" t="s">
        <v>15912</v>
      </c>
      <c r="E3781" s="322">
        <v>2922.8</v>
      </c>
      <c r="F3781" s="363">
        <v>42979</v>
      </c>
      <c r="G3781" s="155">
        <v>2922.8</v>
      </c>
      <c r="H3781" s="324">
        <f>Tabla13[[#This Row],[Importe]]-Tabla13[[#This Row],[Pagado]]</f>
        <v>0</v>
      </c>
      <c r="I3781" s="325" t="s">
        <v>15214</v>
      </c>
    </row>
    <row r="3782" spans="1:9" x14ac:dyDescent="0.25">
      <c r="A3782" s="319">
        <v>42978</v>
      </c>
      <c r="B3782" s="326" t="s">
        <v>27663</v>
      </c>
      <c r="C3782" s="327">
        <v>125754</v>
      </c>
      <c r="D3782" s="136" t="s">
        <v>15246</v>
      </c>
      <c r="E3782" s="328">
        <v>303798.87</v>
      </c>
      <c r="F3782" s="329">
        <v>42984</v>
      </c>
      <c r="G3782" s="328">
        <v>303798.87</v>
      </c>
      <c r="H3782" s="330">
        <f>Tabla13[[#This Row],[Importe]]-Tabla13[[#This Row],[Pagado]]</f>
        <v>0</v>
      </c>
      <c r="I3782" s="331" t="s">
        <v>15214</v>
      </c>
    </row>
    <row r="3783" spans="1:9" x14ac:dyDescent="0.25">
      <c r="A3783" s="353">
        <v>42978</v>
      </c>
      <c r="B3783" s="320" t="s">
        <v>27664</v>
      </c>
      <c r="C3783" s="321">
        <v>125755</v>
      </c>
      <c r="D3783" s="142" t="s">
        <v>15444</v>
      </c>
      <c r="E3783" s="322">
        <v>2522.8000000000002</v>
      </c>
      <c r="F3783" s="363">
        <v>42979</v>
      </c>
      <c r="G3783" s="155">
        <v>2522.8000000000002</v>
      </c>
      <c r="H3783" s="324">
        <f>Tabla13[[#This Row],[Importe]]-Tabla13[[#This Row],[Pagado]]</f>
        <v>0</v>
      </c>
      <c r="I3783" s="325" t="s">
        <v>15214</v>
      </c>
    </row>
    <row r="3784" spans="1:9" x14ac:dyDescent="0.25">
      <c r="A3784" s="319">
        <v>42978</v>
      </c>
      <c r="B3784" s="326" t="s">
        <v>27665</v>
      </c>
      <c r="C3784" s="327">
        <v>125756</v>
      </c>
      <c r="D3784" s="136" t="s">
        <v>15246</v>
      </c>
      <c r="E3784" s="328">
        <v>61543.199999999997</v>
      </c>
      <c r="F3784" s="361">
        <v>42984</v>
      </c>
      <c r="G3784" s="362">
        <v>61543.199999999997</v>
      </c>
      <c r="H3784" s="330">
        <f>Tabla13[[#This Row],[Importe]]-Tabla13[[#This Row],[Pagado]]</f>
        <v>0</v>
      </c>
      <c r="I3784" s="331" t="s">
        <v>15214</v>
      </c>
    </row>
    <row r="3785" spans="1:9" x14ac:dyDescent="0.25">
      <c r="A3785" s="353">
        <v>42978</v>
      </c>
      <c r="B3785" s="320" t="s">
        <v>27666</v>
      </c>
      <c r="C3785" s="321">
        <v>125757</v>
      </c>
      <c r="D3785" s="142" t="s">
        <v>15315</v>
      </c>
      <c r="E3785" s="322">
        <v>385.4</v>
      </c>
      <c r="F3785" s="323">
        <v>42978</v>
      </c>
      <c r="G3785" s="322">
        <v>385.4</v>
      </c>
      <c r="H3785" s="324">
        <f>Tabla13[[#This Row],[Importe]]-Tabla13[[#This Row],[Pagado]]</f>
        <v>0</v>
      </c>
      <c r="I3785" s="325" t="s">
        <v>15214</v>
      </c>
    </row>
    <row r="3786" spans="1:9" x14ac:dyDescent="0.25">
      <c r="A3786" s="319">
        <v>42978</v>
      </c>
      <c r="B3786" s="326" t="s">
        <v>27667</v>
      </c>
      <c r="C3786" s="327">
        <v>125758</v>
      </c>
      <c r="D3786" s="136" t="s">
        <v>27668</v>
      </c>
      <c r="E3786" s="328">
        <v>4000</v>
      </c>
      <c r="F3786" s="361">
        <v>42984</v>
      </c>
      <c r="G3786" s="362">
        <v>4000</v>
      </c>
      <c r="H3786" s="330">
        <f>Tabla13[[#This Row],[Importe]]-Tabla13[[#This Row],[Pagado]]</f>
        <v>0</v>
      </c>
      <c r="I3786" s="331" t="s">
        <v>15214</v>
      </c>
    </row>
    <row r="3787" spans="1:9" x14ac:dyDescent="0.25">
      <c r="A3787" s="353">
        <v>42978</v>
      </c>
      <c r="B3787" s="320" t="s">
        <v>27669</v>
      </c>
      <c r="C3787" s="321">
        <v>125759</v>
      </c>
      <c r="D3787" s="142" t="s">
        <v>15644</v>
      </c>
      <c r="E3787" s="322">
        <v>3230</v>
      </c>
      <c r="F3787" s="363">
        <v>42979</v>
      </c>
      <c r="G3787" s="155">
        <v>3230</v>
      </c>
      <c r="H3787" s="324">
        <f>Tabla13[[#This Row],[Importe]]-Tabla13[[#This Row],[Pagado]]</f>
        <v>0</v>
      </c>
      <c r="I3787" s="325" t="s">
        <v>15214</v>
      </c>
    </row>
    <row r="3788" spans="1:9" x14ac:dyDescent="0.25">
      <c r="A3788" s="319">
        <v>42978</v>
      </c>
      <c r="B3788" s="320" t="s">
        <v>27670</v>
      </c>
      <c r="C3788" s="321">
        <v>125760</v>
      </c>
      <c r="D3788" s="142" t="s">
        <v>15642</v>
      </c>
      <c r="E3788" s="322">
        <v>5302.5</v>
      </c>
      <c r="F3788" s="363">
        <v>42979</v>
      </c>
      <c r="G3788" s="155">
        <v>5302.5</v>
      </c>
      <c r="H3788" s="324">
        <f>Tabla13[[#This Row],[Importe]]-Tabla13[[#This Row],[Pagado]]</f>
        <v>0</v>
      </c>
      <c r="I3788" s="325" t="s">
        <v>15214</v>
      </c>
    </row>
    <row r="3789" spans="1:9" ht="15.75" thickBot="1" x14ac:dyDescent="0.3">
      <c r="A3789" s="353">
        <v>42978</v>
      </c>
      <c r="B3789" s="326" t="s">
        <v>27671</v>
      </c>
      <c r="C3789" s="327">
        <v>125761</v>
      </c>
      <c r="D3789" s="136" t="s">
        <v>5757</v>
      </c>
      <c r="E3789" s="374">
        <v>815</v>
      </c>
      <c r="F3789" s="375">
        <v>42979</v>
      </c>
      <c r="G3789" s="376">
        <v>815</v>
      </c>
      <c r="H3789" s="377">
        <f>Tabla13[[#This Row],[Importe]]-Tabla13[[#This Row],[Pagado]]</f>
        <v>0</v>
      </c>
      <c r="I3789" s="378" t="s">
        <v>15214</v>
      </c>
    </row>
    <row r="3790" spans="1:9" ht="15.75" thickTop="1" x14ac:dyDescent="0.25">
      <c r="E3790" s="379">
        <f>SUBTOTAL(109,Tabla13[Importe])</f>
        <v>49698594.989999987</v>
      </c>
      <c r="F3790" s="303"/>
      <c r="G3790" s="379">
        <f>SUBTOTAL(109,Tabla13[Pagado])</f>
        <v>49698594.989999987</v>
      </c>
      <c r="H3790" s="379">
        <f>SUBTOTAL(109,Tabla13[Saldo])</f>
        <v>0</v>
      </c>
    </row>
    <row r="3793" spans="5:7" ht="15.75" thickBot="1" x14ac:dyDescent="0.3"/>
    <row r="3794" spans="5:7" ht="27" thickBot="1" x14ac:dyDescent="0.45">
      <c r="E3794" s="291" t="s">
        <v>23751</v>
      </c>
      <c r="F3794" s="443">
        <f>Tabla13[[#Totals],[Importe]]-Tabla13[[#Totals],[Pagado]]</f>
        <v>0</v>
      </c>
      <c r="G3794" s="444"/>
    </row>
  </sheetData>
  <mergeCells count="1">
    <mergeCell ref="F3794:G3794"/>
  </mergeCells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1:J3811"/>
  <sheetViews>
    <sheetView workbookViewId="0">
      <pane xSplit="3" ySplit="1" topLeftCell="E3693" activePane="bottomRight" state="frozen"/>
      <selection pane="topRight" activeCell="D1" sqref="D1"/>
      <selection pane="bottomLeft" activeCell="A2" sqref="A2"/>
      <selection pane="bottomRight" activeCell="G2521" sqref="G2520:G2521"/>
    </sheetView>
  </sheetViews>
  <sheetFormatPr baseColWidth="10" defaultRowHeight="15" x14ac:dyDescent="0.25"/>
  <cols>
    <col min="1" max="1" width="10.7109375" bestFit="1" customWidth="1"/>
    <col min="2" max="2" width="13" style="71" bestFit="1" customWidth="1"/>
    <col min="3" max="3" width="16.7109375" hidden="1" customWidth="1"/>
    <col min="4" max="4" width="44.85546875" customWidth="1"/>
    <col min="5" max="5" width="21" bestFit="1" customWidth="1"/>
    <col min="6" max="6" width="16.42578125" style="303" customWidth="1"/>
    <col min="7" max="7" width="21" style="301" bestFit="1" customWidth="1"/>
    <col min="8" max="8" width="17.28515625" style="301" customWidth="1"/>
    <col min="9" max="9" width="11.7109375" bestFit="1" customWidth="1"/>
  </cols>
  <sheetData>
    <row r="1" spans="1:9" x14ac:dyDescent="0.25">
      <c r="A1" t="s">
        <v>19811</v>
      </c>
      <c r="B1" s="71" t="s">
        <v>19812</v>
      </c>
      <c r="C1" t="s">
        <v>19813</v>
      </c>
      <c r="D1" t="s">
        <v>19671</v>
      </c>
      <c r="E1" t="s">
        <v>19672</v>
      </c>
      <c r="F1" s="303" t="s">
        <v>19814</v>
      </c>
      <c r="G1" s="301" t="s">
        <v>19815</v>
      </c>
      <c r="H1" s="301" t="s">
        <v>19816</v>
      </c>
      <c r="I1" t="s">
        <v>19675</v>
      </c>
    </row>
    <row r="2" spans="1:9" x14ac:dyDescent="0.25">
      <c r="A2" s="386"/>
      <c r="B2" s="418"/>
      <c r="C2" s="387"/>
      <c r="D2" s="387"/>
      <c r="E2" s="388"/>
      <c r="F2" s="389"/>
      <c r="G2" s="388"/>
      <c r="H2" s="388"/>
      <c r="I2" s="387"/>
    </row>
    <row r="3" spans="1:9" x14ac:dyDescent="0.25">
      <c r="A3" s="353">
        <v>42979</v>
      </c>
      <c r="B3" s="320" t="s">
        <v>27702</v>
      </c>
      <c r="C3" s="321">
        <v>125762</v>
      </c>
      <c r="D3" s="390" t="s">
        <v>21386</v>
      </c>
      <c r="E3" s="322">
        <v>10392</v>
      </c>
      <c r="F3" s="323">
        <v>42980</v>
      </c>
      <c r="G3" s="322">
        <v>10392</v>
      </c>
      <c r="H3" s="322">
        <f>Tabla14[[#This Row],[Importe]]-Tabla14[[#This Row],[Pagado]]</f>
        <v>0</v>
      </c>
      <c r="I3" s="325" t="s">
        <v>15214</v>
      </c>
    </row>
    <row r="4" spans="1:9" x14ac:dyDescent="0.25">
      <c r="A4" s="359">
        <v>42979</v>
      </c>
      <c r="B4" s="326" t="s">
        <v>27703</v>
      </c>
      <c r="C4" s="327">
        <v>125763</v>
      </c>
      <c r="D4" s="391" t="s">
        <v>15213</v>
      </c>
      <c r="E4" s="328">
        <v>49281</v>
      </c>
      <c r="F4" s="329">
        <v>42980</v>
      </c>
      <c r="G4" s="328">
        <v>49281</v>
      </c>
      <c r="H4" s="322">
        <f>Tabla14[[#This Row],[Importe]]-Tabla14[[#This Row],[Pagado]]</f>
        <v>0</v>
      </c>
      <c r="I4" s="331" t="s">
        <v>15214</v>
      </c>
    </row>
    <row r="5" spans="1:9" x14ac:dyDescent="0.25">
      <c r="A5" s="353">
        <v>42979</v>
      </c>
      <c r="B5" s="320" t="s">
        <v>27704</v>
      </c>
      <c r="C5" s="321">
        <v>125764</v>
      </c>
      <c r="D5" s="390" t="s">
        <v>15407</v>
      </c>
      <c r="E5" s="322">
        <v>7689.4</v>
      </c>
      <c r="F5" s="392">
        <v>42979</v>
      </c>
      <c r="G5" s="322">
        <v>7689.4</v>
      </c>
      <c r="H5" s="322">
        <f>Tabla14[[#This Row],[Importe]]-Tabla14[[#This Row],[Pagado]]</f>
        <v>0</v>
      </c>
      <c r="I5" s="325" t="s">
        <v>15214</v>
      </c>
    </row>
    <row r="6" spans="1:9" x14ac:dyDescent="0.25">
      <c r="A6" s="359">
        <v>42979</v>
      </c>
      <c r="B6" s="326" t="s">
        <v>27705</v>
      </c>
      <c r="C6" s="327">
        <v>125765</v>
      </c>
      <c r="D6" s="391" t="s">
        <v>15407</v>
      </c>
      <c r="E6" s="328">
        <v>427.8</v>
      </c>
      <c r="F6" s="329">
        <v>42979</v>
      </c>
      <c r="G6" s="328">
        <v>427.8</v>
      </c>
      <c r="H6" s="322">
        <f>Tabla14[[#This Row],[Importe]]-Tabla14[[#This Row],[Pagado]]</f>
        <v>0</v>
      </c>
      <c r="I6" s="331" t="s">
        <v>15214</v>
      </c>
    </row>
    <row r="7" spans="1:9" x14ac:dyDescent="0.25">
      <c r="A7" s="353">
        <v>42979</v>
      </c>
      <c r="B7" s="320" t="s">
        <v>27706</v>
      </c>
      <c r="C7" s="321">
        <v>125766</v>
      </c>
      <c r="D7" s="390" t="s">
        <v>15216</v>
      </c>
      <c r="E7" s="322">
        <v>7085.2</v>
      </c>
      <c r="F7" s="323">
        <v>42979</v>
      </c>
      <c r="G7" s="322">
        <v>7085.2</v>
      </c>
      <c r="H7" s="322">
        <f>Tabla14[[#This Row],[Importe]]-Tabla14[[#This Row],[Pagado]]</f>
        <v>0</v>
      </c>
      <c r="I7" s="325" t="s">
        <v>15214</v>
      </c>
    </row>
    <row r="8" spans="1:9" ht="15.75" x14ac:dyDescent="0.25">
      <c r="A8" s="359">
        <v>42979</v>
      </c>
      <c r="B8" s="326" t="s">
        <v>27707</v>
      </c>
      <c r="C8" s="327">
        <v>125767</v>
      </c>
      <c r="D8" s="345" t="s">
        <v>95</v>
      </c>
      <c r="E8" s="328">
        <v>0</v>
      </c>
      <c r="F8" s="346" t="s">
        <v>95</v>
      </c>
      <c r="G8" s="328">
        <v>0</v>
      </c>
      <c r="H8" s="322">
        <f>Tabla14[[#This Row],[Importe]]-Tabla14[[#This Row],[Pagado]]</f>
        <v>0</v>
      </c>
      <c r="I8" s="331" t="s">
        <v>95</v>
      </c>
    </row>
    <row r="9" spans="1:9" x14ac:dyDescent="0.25">
      <c r="A9" s="353">
        <v>42979</v>
      </c>
      <c r="B9" s="320" t="s">
        <v>27708</v>
      </c>
      <c r="C9" s="321">
        <v>125768</v>
      </c>
      <c r="D9" s="390" t="s">
        <v>19302</v>
      </c>
      <c r="E9" s="322">
        <v>960</v>
      </c>
      <c r="F9" s="323">
        <v>42979</v>
      </c>
      <c r="G9" s="322">
        <v>960</v>
      </c>
      <c r="H9" s="322">
        <f>Tabla14[[#This Row],[Importe]]-Tabla14[[#This Row],[Pagado]]</f>
        <v>0</v>
      </c>
      <c r="I9" s="325" t="s">
        <v>15214</v>
      </c>
    </row>
    <row r="10" spans="1:9" x14ac:dyDescent="0.25">
      <c r="A10" s="359">
        <v>42979</v>
      </c>
      <c r="B10" s="326" t="s">
        <v>27709</v>
      </c>
      <c r="C10" s="327">
        <v>125769</v>
      </c>
      <c r="D10" s="391" t="s">
        <v>15220</v>
      </c>
      <c r="E10" s="328">
        <v>2400</v>
      </c>
      <c r="F10" s="323">
        <v>42979</v>
      </c>
      <c r="G10" s="328">
        <v>2400</v>
      </c>
      <c r="H10" s="322">
        <f>Tabla14[[#This Row],[Importe]]-Tabla14[[#This Row],[Pagado]]</f>
        <v>0</v>
      </c>
      <c r="I10" s="331" t="s">
        <v>15214</v>
      </c>
    </row>
    <row r="11" spans="1:9" x14ac:dyDescent="0.25">
      <c r="A11" s="353">
        <v>42979</v>
      </c>
      <c r="B11" s="320" t="s">
        <v>27710</v>
      </c>
      <c r="C11" s="321">
        <v>125770</v>
      </c>
      <c r="D11" s="390" t="s">
        <v>15665</v>
      </c>
      <c r="E11" s="322">
        <v>635.70000000000005</v>
      </c>
      <c r="F11" s="323">
        <v>42979</v>
      </c>
      <c r="G11" s="322">
        <v>635.70000000000005</v>
      </c>
      <c r="H11" s="322">
        <f>Tabla14[[#This Row],[Importe]]-Tabla14[[#This Row],[Pagado]]</f>
        <v>0</v>
      </c>
      <c r="I11" s="325" t="s">
        <v>15214</v>
      </c>
    </row>
    <row r="12" spans="1:9" ht="30" x14ac:dyDescent="0.25">
      <c r="A12" s="359">
        <v>42979</v>
      </c>
      <c r="B12" s="326" t="s">
        <v>27711</v>
      </c>
      <c r="C12" s="327">
        <v>125771</v>
      </c>
      <c r="D12" s="391" t="s">
        <v>15230</v>
      </c>
      <c r="E12" s="328">
        <v>16711.599999999999</v>
      </c>
      <c r="F12" s="329" t="s">
        <v>27712</v>
      </c>
      <c r="G12" s="334">
        <f>11400+5311.6</f>
        <v>16711.599999999999</v>
      </c>
      <c r="H12" s="334">
        <f>Tabla14[[#This Row],[Importe]]-Tabla14[[#This Row],[Pagado]]</f>
        <v>0</v>
      </c>
      <c r="I12" s="331" t="s">
        <v>15214</v>
      </c>
    </row>
    <row r="13" spans="1:9" x14ac:dyDescent="0.25">
      <c r="A13" s="353">
        <v>42979</v>
      </c>
      <c r="B13" s="320" t="s">
        <v>27713</v>
      </c>
      <c r="C13" s="321">
        <v>125772</v>
      </c>
      <c r="D13" s="390" t="s">
        <v>15263</v>
      </c>
      <c r="E13" s="322">
        <v>2937.3</v>
      </c>
      <c r="F13" s="323">
        <v>42979</v>
      </c>
      <c r="G13" s="322">
        <v>2937.3</v>
      </c>
      <c r="H13" s="322">
        <f>Tabla14[[#This Row],[Importe]]-Tabla14[[#This Row],[Pagado]]</f>
        <v>0</v>
      </c>
      <c r="I13" s="325" t="s">
        <v>15214</v>
      </c>
    </row>
    <row r="14" spans="1:9" x14ac:dyDescent="0.25">
      <c r="A14" s="359">
        <v>42979</v>
      </c>
      <c r="B14" s="326" t="s">
        <v>27714</v>
      </c>
      <c r="C14" s="327">
        <v>125773</v>
      </c>
      <c r="D14" s="391" t="s">
        <v>15378</v>
      </c>
      <c r="E14" s="328">
        <v>423.8</v>
      </c>
      <c r="F14" s="323">
        <v>42979</v>
      </c>
      <c r="G14" s="328">
        <v>423.8</v>
      </c>
      <c r="H14" s="322">
        <f>Tabla14[[#This Row],[Importe]]-Tabla14[[#This Row],[Pagado]]</f>
        <v>0</v>
      </c>
      <c r="I14" s="331" t="s">
        <v>15214</v>
      </c>
    </row>
    <row r="15" spans="1:9" x14ac:dyDescent="0.25">
      <c r="A15" s="353">
        <v>42979</v>
      </c>
      <c r="B15" s="320" t="s">
        <v>27715</v>
      </c>
      <c r="C15" s="321">
        <v>125774</v>
      </c>
      <c r="D15" s="390" t="s">
        <v>5556</v>
      </c>
      <c r="E15" s="322">
        <v>36499.199999999997</v>
      </c>
      <c r="F15" s="323">
        <v>42979</v>
      </c>
      <c r="G15" s="322">
        <v>36499.199999999997</v>
      </c>
      <c r="H15" s="322">
        <f>Tabla14[[#This Row],[Importe]]-Tabla14[[#This Row],[Pagado]]</f>
        <v>0</v>
      </c>
      <c r="I15" s="325" t="s">
        <v>15214</v>
      </c>
    </row>
    <row r="16" spans="1:9" x14ac:dyDescent="0.25">
      <c r="A16" s="359">
        <v>42979</v>
      </c>
      <c r="B16" s="326" t="s">
        <v>27716</v>
      </c>
      <c r="C16" s="327">
        <v>125775</v>
      </c>
      <c r="D16" s="391" t="s">
        <v>16116</v>
      </c>
      <c r="E16" s="328">
        <v>26919.52</v>
      </c>
      <c r="F16" s="323">
        <v>42979</v>
      </c>
      <c r="G16" s="328">
        <v>26919.52</v>
      </c>
      <c r="H16" s="322">
        <f>Tabla14[[#This Row],[Importe]]-Tabla14[[#This Row],[Pagado]]</f>
        <v>0</v>
      </c>
      <c r="I16" s="331" t="s">
        <v>15214</v>
      </c>
    </row>
    <row r="17" spans="1:9" x14ac:dyDescent="0.25">
      <c r="A17" s="353">
        <v>42979</v>
      </c>
      <c r="B17" s="320" t="s">
        <v>27717</v>
      </c>
      <c r="C17" s="321">
        <v>125776</v>
      </c>
      <c r="D17" s="390" t="s">
        <v>15250</v>
      </c>
      <c r="E17" s="322">
        <v>8460</v>
      </c>
      <c r="F17" s="323">
        <v>42987</v>
      </c>
      <c r="G17" s="322">
        <v>8460</v>
      </c>
      <c r="H17" s="322">
        <f>Tabla14[[#This Row],[Importe]]-Tabla14[[#This Row],[Pagado]]</f>
        <v>0</v>
      </c>
      <c r="I17" s="325" t="s">
        <v>15214</v>
      </c>
    </row>
    <row r="18" spans="1:9" x14ac:dyDescent="0.25">
      <c r="A18" s="359">
        <v>42979</v>
      </c>
      <c r="B18" s="326" t="s">
        <v>27718</v>
      </c>
      <c r="C18" s="327">
        <v>125777</v>
      </c>
      <c r="D18" s="391" t="s">
        <v>17462</v>
      </c>
      <c r="E18" s="328">
        <v>5860.8</v>
      </c>
      <c r="F18" s="323">
        <v>42979</v>
      </c>
      <c r="G18" s="328">
        <v>5860.8</v>
      </c>
      <c r="H18" s="322">
        <f>Tabla14[[#This Row],[Importe]]-Tabla14[[#This Row],[Pagado]]</f>
        <v>0</v>
      </c>
      <c r="I18" s="331" t="s">
        <v>15214</v>
      </c>
    </row>
    <row r="19" spans="1:9" x14ac:dyDescent="0.25">
      <c r="A19" s="353">
        <v>42979</v>
      </c>
      <c r="B19" s="320" t="s">
        <v>27719</v>
      </c>
      <c r="C19" s="321">
        <v>125778</v>
      </c>
      <c r="D19" s="390" t="s">
        <v>15226</v>
      </c>
      <c r="E19" s="322">
        <v>1984.5</v>
      </c>
      <c r="F19" s="323">
        <v>42982</v>
      </c>
      <c r="G19" s="322">
        <v>1984.5</v>
      </c>
      <c r="H19" s="322">
        <f>Tabla14[[#This Row],[Importe]]-Tabla14[[#This Row],[Pagado]]</f>
        <v>0</v>
      </c>
      <c r="I19" s="325" t="s">
        <v>15214</v>
      </c>
    </row>
    <row r="20" spans="1:9" x14ac:dyDescent="0.25">
      <c r="A20" s="359">
        <v>42979</v>
      </c>
      <c r="B20" s="326" t="s">
        <v>27720</v>
      </c>
      <c r="C20" s="327">
        <v>125779</v>
      </c>
      <c r="D20" s="391" t="s">
        <v>15338</v>
      </c>
      <c r="E20" s="328">
        <v>11870.4</v>
      </c>
      <c r="F20" s="329">
        <v>42983</v>
      </c>
      <c r="G20" s="328">
        <v>11870.4</v>
      </c>
      <c r="H20" s="322">
        <f>Tabla14[[#This Row],[Importe]]-Tabla14[[#This Row],[Pagado]]</f>
        <v>0</v>
      </c>
      <c r="I20" s="331" t="s">
        <v>15214</v>
      </c>
    </row>
    <row r="21" spans="1:9" x14ac:dyDescent="0.25">
      <c r="A21" s="353">
        <v>42979</v>
      </c>
      <c r="B21" s="320" t="s">
        <v>27721</v>
      </c>
      <c r="C21" s="321">
        <v>125780</v>
      </c>
      <c r="D21" s="390" t="s">
        <v>15258</v>
      </c>
      <c r="E21" s="322">
        <v>14040</v>
      </c>
      <c r="F21" s="323">
        <v>42983</v>
      </c>
      <c r="G21" s="322">
        <v>14040</v>
      </c>
      <c r="H21" s="322">
        <f>Tabla14[[#This Row],[Importe]]-Tabla14[[#This Row],[Pagado]]</f>
        <v>0</v>
      </c>
      <c r="I21" s="325" t="s">
        <v>15214</v>
      </c>
    </row>
    <row r="22" spans="1:9" x14ac:dyDescent="0.25">
      <c r="A22" s="359">
        <v>42979</v>
      </c>
      <c r="B22" s="326" t="s">
        <v>27722</v>
      </c>
      <c r="C22" s="327">
        <v>125781</v>
      </c>
      <c r="D22" s="391" t="s">
        <v>16116</v>
      </c>
      <c r="E22" s="328">
        <v>420</v>
      </c>
      <c r="F22" s="323">
        <v>42979</v>
      </c>
      <c r="G22" s="328">
        <v>420</v>
      </c>
      <c r="H22" s="322">
        <f>Tabla14[[#This Row],[Importe]]-Tabla14[[#This Row],[Pagado]]</f>
        <v>0</v>
      </c>
      <c r="I22" s="331" t="s">
        <v>15214</v>
      </c>
    </row>
    <row r="23" spans="1:9" x14ac:dyDescent="0.25">
      <c r="A23" s="353">
        <v>42979</v>
      </c>
      <c r="B23" s="320" t="s">
        <v>27723</v>
      </c>
      <c r="C23" s="321">
        <v>125782</v>
      </c>
      <c r="D23" s="390" t="s">
        <v>15272</v>
      </c>
      <c r="E23" s="322">
        <v>20602</v>
      </c>
      <c r="F23" s="323">
        <v>42979</v>
      </c>
      <c r="G23" s="322">
        <v>20602</v>
      </c>
      <c r="H23" s="322">
        <f>Tabla14[[#This Row],[Importe]]-Tabla14[[#This Row],[Pagado]]</f>
        <v>0</v>
      </c>
      <c r="I23" s="325" t="s">
        <v>15214</v>
      </c>
    </row>
    <row r="24" spans="1:9" x14ac:dyDescent="0.25">
      <c r="A24" s="359">
        <v>42979</v>
      </c>
      <c r="B24" s="326" t="s">
        <v>27724</v>
      </c>
      <c r="C24" s="327">
        <v>125783</v>
      </c>
      <c r="D24" s="391" t="s">
        <v>15371</v>
      </c>
      <c r="E24" s="328">
        <v>5156.6000000000004</v>
      </c>
      <c r="F24" s="329">
        <v>42980</v>
      </c>
      <c r="G24" s="328">
        <v>5156.6000000000004</v>
      </c>
      <c r="H24" s="322">
        <f>Tabla14[[#This Row],[Importe]]-Tabla14[[#This Row],[Pagado]]</f>
        <v>0</v>
      </c>
      <c r="I24" s="331" t="s">
        <v>15214</v>
      </c>
    </row>
    <row r="25" spans="1:9" x14ac:dyDescent="0.25">
      <c r="A25" s="353">
        <v>42979</v>
      </c>
      <c r="B25" s="320" t="s">
        <v>27725</v>
      </c>
      <c r="C25" s="321">
        <v>125784</v>
      </c>
      <c r="D25" s="390" t="s">
        <v>15238</v>
      </c>
      <c r="E25" s="322">
        <v>2397.6</v>
      </c>
      <c r="F25" s="323">
        <v>42982</v>
      </c>
      <c r="G25" s="322">
        <v>2397.6</v>
      </c>
      <c r="H25" s="322">
        <f>Tabla14[[#This Row],[Importe]]-Tabla14[[#This Row],[Pagado]]</f>
        <v>0</v>
      </c>
      <c r="I25" s="325" t="s">
        <v>15214</v>
      </c>
    </row>
    <row r="26" spans="1:9" x14ac:dyDescent="0.25">
      <c r="A26" s="359">
        <v>42979</v>
      </c>
      <c r="B26" s="326" t="s">
        <v>27726</v>
      </c>
      <c r="C26" s="327">
        <v>125785</v>
      </c>
      <c r="D26" s="391" t="s">
        <v>15236</v>
      </c>
      <c r="E26" s="328">
        <v>7056</v>
      </c>
      <c r="F26" s="329">
        <v>42982</v>
      </c>
      <c r="G26" s="328">
        <v>7056</v>
      </c>
      <c r="H26" s="322">
        <f>Tabla14[[#This Row],[Importe]]-Tabla14[[#This Row],[Pagado]]</f>
        <v>0</v>
      </c>
      <c r="I26" s="331" t="s">
        <v>15214</v>
      </c>
    </row>
    <row r="27" spans="1:9" ht="15.75" x14ac:dyDescent="0.25">
      <c r="A27" s="353">
        <v>42979</v>
      </c>
      <c r="B27" s="320" t="s">
        <v>27727</v>
      </c>
      <c r="C27" s="321">
        <v>125786</v>
      </c>
      <c r="D27" s="332" t="s">
        <v>95</v>
      </c>
      <c r="E27" s="322">
        <v>0</v>
      </c>
      <c r="F27" s="333" t="s">
        <v>95</v>
      </c>
      <c r="G27" s="322">
        <v>0</v>
      </c>
      <c r="H27" s="322">
        <f>Tabla14[[#This Row],[Importe]]-Tabla14[[#This Row],[Pagado]]</f>
        <v>0</v>
      </c>
      <c r="I27" s="325" t="s">
        <v>95</v>
      </c>
    </row>
    <row r="28" spans="1:9" x14ac:dyDescent="0.25">
      <c r="A28" s="359">
        <v>42979</v>
      </c>
      <c r="B28" s="326" t="s">
        <v>27728</v>
      </c>
      <c r="C28" s="327">
        <v>125787</v>
      </c>
      <c r="D28" s="391" t="s">
        <v>15315</v>
      </c>
      <c r="E28" s="328">
        <v>358.8</v>
      </c>
      <c r="F28" s="323">
        <v>42979</v>
      </c>
      <c r="G28" s="328">
        <v>358.8</v>
      </c>
      <c r="H28" s="322">
        <f>Tabla14[[#This Row],[Importe]]-Tabla14[[#This Row],[Pagado]]</f>
        <v>0</v>
      </c>
      <c r="I28" s="331" t="s">
        <v>15214</v>
      </c>
    </row>
    <row r="29" spans="1:9" x14ac:dyDescent="0.25">
      <c r="A29" s="353">
        <v>42979</v>
      </c>
      <c r="B29" s="320" t="s">
        <v>27729</v>
      </c>
      <c r="C29" s="321">
        <v>125788</v>
      </c>
      <c r="D29" s="390" t="s">
        <v>16023</v>
      </c>
      <c r="E29" s="322">
        <v>2475.1</v>
      </c>
      <c r="F29" s="323">
        <v>42979</v>
      </c>
      <c r="G29" s="322">
        <v>2475.1</v>
      </c>
      <c r="H29" s="322">
        <f>Tabla14[[#This Row],[Importe]]-Tabla14[[#This Row],[Pagado]]</f>
        <v>0</v>
      </c>
      <c r="I29" s="325" t="s">
        <v>15214</v>
      </c>
    </row>
    <row r="30" spans="1:9" x14ac:dyDescent="0.25">
      <c r="A30" s="359">
        <v>42979</v>
      </c>
      <c r="B30" s="326" t="s">
        <v>27730</v>
      </c>
      <c r="C30" s="327">
        <v>125789</v>
      </c>
      <c r="D30" s="391" t="s">
        <v>15232</v>
      </c>
      <c r="E30" s="328">
        <v>7322</v>
      </c>
      <c r="F30" s="329">
        <v>42985</v>
      </c>
      <c r="G30" s="328">
        <v>7322</v>
      </c>
      <c r="H30" s="322">
        <f>Tabla14[[#This Row],[Importe]]-Tabla14[[#This Row],[Pagado]]</f>
        <v>0</v>
      </c>
      <c r="I30" s="331" t="s">
        <v>15214</v>
      </c>
    </row>
    <row r="31" spans="1:9" x14ac:dyDescent="0.25">
      <c r="A31" s="353">
        <v>42979</v>
      </c>
      <c r="B31" s="320" t="s">
        <v>27731</v>
      </c>
      <c r="C31" s="321">
        <v>125790</v>
      </c>
      <c r="D31" s="390" t="s">
        <v>15223</v>
      </c>
      <c r="E31" s="322">
        <v>51165</v>
      </c>
      <c r="F31" s="323">
        <v>43000</v>
      </c>
      <c r="G31" s="322">
        <v>51165</v>
      </c>
      <c r="H31" s="322">
        <f>Tabla14[[#This Row],[Importe]]-Tabla14[[#This Row],[Pagado]]</f>
        <v>0</v>
      </c>
      <c r="I31" s="325" t="s">
        <v>15214</v>
      </c>
    </row>
    <row r="32" spans="1:9" ht="30" x14ac:dyDescent="0.25">
      <c r="A32" s="359">
        <v>42979</v>
      </c>
      <c r="B32" s="326" t="s">
        <v>27732</v>
      </c>
      <c r="C32" s="327">
        <v>125791</v>
      </c>
      <c r="D32" s="391" t="s">
        <v>15668</v>
      </c>
      <c r="E32" s="328">
        <v>47373.599999999999</v>
      </c>
      <c r="F32" s="329" t="s">
        <v>27681</v>
      </c>
      <c r="G32" s="334">
        <f>27000+20373.6</f>
        <v>47373.599999999999</v>
      </c>
      <c r="H32" s="334">
        <f>Tabla14[[#This Row],[Importe]]-Tabla14[[#This Row],[Pagado]]</f>
        <v>0</v>
      </c>
      <c r="I32" s="331" t="s">
        <v>15214</v>
      </c>
    </row>
    <row r="33" spans="1:9" ht="15.75" x14ac:dyDescent="0.25">
      <c r="A33" s="353">
        <v>42979</v>
      </c>
      <c r="B33" s="320" t="s">
        <v>27733</v>
      </c>
      <c r="C33" s="321">
        <v>125792</v>
      </c>
      <c r="D33" s="332" t="s">
        <v>95</v>
      </c>
      <c r="E33" s="322">
        <v>0</v>
      </c>
      <c r="F33" s="333" t="s">
        <v>95</v>
      </c>
      <c r="G33" s="322">
        <v>0</v>
      </c>
      <c r="H33" s="322">
        <f>Tabla14[[#This Row],[Importe]]-Tabla14[[#This Row],[Pagado]]</f>
        <v>0</v>
      </c>
      <c r="I33" s="325" t="s">
        <v>95</v>
      </c>
    </row>
    <row r="34" spans="1:9" x14ac:dyDescent="0.25">
      <c r="A34" s="359">
        <v>42979</v>
      </c>
      <c r="B34" s="326" t="s">
        <v>27734</v>
      </c>
      <c r="C34" s="327">
        <v>125793</v>
      </c>
      <c r="D34" s="391" t="s">
        <v>15415</v>
      </c>
      <c r="E34" s="328">
        <v>1299.8</v>
      </c>
      <c r="F34" s="329">
        <v>42979</v>
      </c>
      <c r="G34" s="328">
        <v>1299.8</v>
      </c>
      <c r="H34" s="322">
        <f>Tabla14[[#This Row],[Importe]]-Tabla14[[#This Row],[Pagado]]</f>
        <v>0</v>
      </c>
      <c r="I34" s="331" t="s">
        <v>15214</v>
      </c>
    </row>
    <row r="35" spans="1:9" x14ac:dyDescent="0.25">
      <c r="A35" s="353">
        <v>42979</v>
      </c>
      <c r="B35" s="320" t="s">
        <v>27735</v>
      </c>
      <c r="C35" s="321">
        <v>125794</v>
      </c>
      <c r="D35" s="390" t="s">
        <v>15317</v>
      </c>
      <c r="E35" s="322">
        <v>4048.6</v>
      </c>
      <c r="F35" s="323">
        <v>42982</v>
      </c>
      <c r="G35" s="322">
        <v>4048.6</v>
      </c>
      <c r="H35" s="322">
        <f>Tabla14[[#This Row],[Importe]]-Tabla14[[#This Row],[Pagado]]</f>
        <v>0</v>
      </c>
      <c r="I35" s="325" t="s">
        <v>15214</v>
      </c>
    </row>
    <row r="36" spans="1:9" x14ac:dyDescent="0.25">
      <c r="A36" s="359">
        <v>42979</v>
      </c>
      <c r="B36" s="326" t="s">
        <v>27736</v>
      </c>
      <c r="C36" s="327">
        <v>125795</v>
      </c>
      <c r="D36" s="391" t="s">
        <v>15284</v>
      </c>
      <c r="E36" s="328">
        <v>2157</v>
      </c>
      <c r="F36" s="323">
        <v>42979</v>
      </c>
      <c r="G36" s="328">
        <v>2157</v>
      </c>
      <c r="H36" s="322">
        <f>Tabla14[[#This Row],[Importe]]-Tabla14[[#This Row],[Pagado]]</f>
        <v>0</v>
      </c>
      <c r="I36" s="331" t="s">
        <v>15214</v>
      </c>
    </row>
    <row r="37" spans="1:9" x14ac:dyDescent="0.25">
      <c r="A37" s="353">
        <v>42979</v>
      </c>
      <c r="B37" s="320" t="s">
        <v>27737</v>
      </c>
      <c r="C37" s="321">
        <v>125796</v>
      </c>
      <c r="D37" s="390" t="s">
        <v>15280</v>
      </c>
      <c r="E37" s="322">
        <v>6800.8</v>
      </c>
      <c r="F37" s="323">
        <v>42979</v>
      </c>
      <c r="G37" s="322">
        <v>6800.8</v>
      </c>
      <c r="H37" s="322">
        <f>Tabla14[[#This Row],[Importe]]-Tabla14[[#This Row],[Pagado]]</f>
        <v>0</v>
      </c>
      <c r="I37" s="325" t="s">
        <v>15214</v>
      </c>
    </row>
    <row r="38" spans="1:9" ht="15.75" x14ac:dyDescent="0.25">
      <c r="A38" s="359">
        <v>42979</v>
      </c>
      <c r="B38" s="326" t="s">
        <v>27738</v>
      </c>
      <c r="C38" s="327">
        <v>125797</v>
      </c>
      <c r="D38" s="345" t="s">
        <v>95</v>
      </c>
      <c r="E38" s="328">
        <v>0</v>
      </c>
      <c r="F38" s="346" t="s">
        <v>95</v>
      </c>
      <c r="G38" s="328">
        <v>0</v>
      </c>
      <c r="H38" s="322">
        <f>Tabla14[[#This Row],[Importe]]-Tabla14[[#This Row],[Pagado]]</f>
        <v>0</v>
      </c>
      <c r="I38" s="331" t="s">
        <v>95</v>
      </c>
    </row>
    <row r="39" spans="1:9" x14ac:dyDescent="0.25">
      <c r="A39" s="353">
        <v>42979</v>
      </c>
      <c r="B39" s="320" t="s">
        <v>27739</v>
      </c>
      <c r="C39" s="321">
        <v>125798</v>
      </c>
      <c r="D39" s="390" t="s">
        <v>17929</v>
      </c>
      <c r="E39" s="322">
        <v>1674.4</v>
      </c>
      <c r="F39" s="323">
        <v>42979</v>
      </c>
      <c r="G39" s="322">
        <v>1674.4</v>
      </c>
      <c r="H39" s="322">
        <f>Tabla14[[#This Row],[Importe]]-Tabla14[[#This Row],[Pagado]]</f>
        <v>0</v>
      </c>
      <c r="I39" s="325" t="s">
        <v>15214</v>
      </c>
    </row>
    <row r="40" spans="1:9" x14ac:dyDescent="0.25">
      <c r="A40" s="359">
        <v>42979</v>
      </c>
      <c r="B40" s="326" t="s">
        <v>27740</v>
      </c>
      <c r="C40" s="327">
        <v>125799</v>
      </c>
      <c r="D40" s="391" t="s">
        <v>16484</v>
      </c>
      <c r="E40" s="328">
        <v>1364</v>
      </c>
      <c r="F40" s="323">
        <v>42979</v>
      </c>
      <c r="G40" s="328">
        <v>1364</v>
      </c>
      <c r="H40" s="322">
        <f>Tabla14[[#This Row],[Importe]]-Tabla14[[#This Row],[Pagado]]</f>
        <v>0</v>
      </c>
      <c r="I40" s="331" t="s">
        <v>15214</v>
      </c>
    </row>
    <row r="41" spans="1:9" x14ac:dyDescent="0.25">
      <c r="A41" s="353">
        <v>42979</v>
      </c>
      <c r="B41" s="320" t="s">
        <v>27741</v>
      </c>
      <c r="C41" s="321">
        <v>125800</v>
      </c>
      <c r="D41" s="390" t="s">
        <v>15326</v>
      </c>
      <c r="E41" s="322">
        <v>4290.3999999999996</v>
      </c>
      <c r="F41" s="323">
        <v>42979</v>
      </c>
      <c r="G41" s="322">
        <v>4290.3999999999996</v>
      </c>
      <c r="H41" s="322">
        <f>Tabla14[[#This Row],[Importe]]-Tabla14[[#This Row],[Pagado]]</f>
        <v>0</v>
      </c>
      <c r="I41" s="325" t="s">
        <v>15214</v>
      </c>
    </row>
    <row r="42" spans="1:9" x14ac:dyDescent="0.25">
      <c r="A42" s="359">
        <v>42979</v>
      </c>
      <c r="B42" s="326" t="s">
        <v>27742</v>
      </c>
      <c r="C42" s="327">
        <v>125801</v>
      </c>
      <c r="D42" s="391" t="s">
        <v>17210</v>
      </c>
      <c r="E42" s="328">
        <v>3830</v>
      </c>
      <c r="F42" s="323">
        <v>42979</v>
      </c>
      <c r="G42" s="328">
        <v>3830</v>
      </c>
      <c r="H42" s="322">
        <f>Tabla14[[#This Row],[Importe]]-Tabla14[[#This Row],[Pagado]]</f>
        <v>0</v>
      </c>
      <c r="I42" s="331" t="s">
        <v>15214</v>
      </c>
    </row>
    <row r="43" spans="1:9" x14ac:dyDescent="0.25">
      <c r="A43" s="353">
        <v>42979</v>
      </c>
      <c r="B43" s="320" t="s">
        <v>27743</v>
      </c>
      <c r="C43" s="321">
        <v>125802</v>
      </c>
      <c r="D43" s="390" t="s">
        <v>15248</v>
      </c>
      <c r="E43" s="322">
        <v>55094.52</v>
      </c>
      <c r="F43" s="323">
        <v>42979</v>
      </c>
      <c r="G43" s="322">
        <v>55094.52</v>
      </c>
      <c r="H43" s="322">
        <f>Tabla14[[#This Row],[Importe]]-Tabla14[[#This Row],[Pagado]]</f>
        <v>0</v>
      </c>
      <c r="I43" s="325" t="s">
        <v>15214</v>
      </c>
    </row>
    <row r="44" spans="1:9" x14ac:dyDescent="0.25">
      <c r="A44" s="359">
        <v>42979</v>
      </c>
      <c r="B44" s="326" t="s">
        <v>27744</v>
      </c>
      <c r="C44" s="327">
        <v>125803</v>
      </c>
      <c r="D44" s="391" t="s">
        <v>15332</v>
      </c>
      <c r="E44" s="328">
        <v>4253.6000000000004</v>
      </c>
      <c r="F44" s="323">
        <v>42979</v>
      </c>
      <c r="G44" s="328">
        <v>4253.6000000000004</v>
      </c>
      <c r="H44" s="322">
        <f>Tabla14[[#This Row],[Importe]]-Tabla14[[#This Row],[Pagado]]</f>
        <v>0</v>
      </c>
      <c r="I44" s="331" t="s">
        <v>15214</v>
      </c>
    </row>
    <row r="45" spans="1:9" x14ac:dyDescent="0.25">
      <c r="A45" s="353">
        <v>42979</v>
      </c>
      <c r="B45" s="320" t="s">
        <v>27745</v>
      </c>
      <c r="C45" s="321">
        <v>125804</v>
      </c>
      <c r="D45" s="390" t="s">
        <v>16171</v>
      </c>
      <c r="E45" s="322">
        <v>1171.32</v>
      </c>
      <c r="F45" s="323">
        <v>42979</v>
      </c>
      <c r="G45" s="322">
        <v>1171.32</v>
      </c>
      <c r="H45" s="322">
        <f>Tabla14[[#This Row],[Importe]]-Tabla14[[#This Row],[Pagado]]</f>
        <v>0</v>
      </c>
      <c r="I45" s="325" t="s">
        <v>15214</v>
      </c>
    </row>
    <row r="46" spans="1:9" x14ac:dyDescent="0.25">
      <c r="A46" s="359">
        <v>42979</v>
      </c>
      <c r="B46" s="326" t="s">
        <v>27746</v>
      </c>
      <c r="C46" s="327">
        <v>125805</v>
      </c>
      <c r="D46" s="391" t="s">
        <v>15526</v>
      </c>
      <c r="E46" s="328">
        <v>4270</v>
      </c>
      <c r="F46" s="323">
        <v>42979</v>
      </c>
      <c r="G46" s="328">
        <v>4270</v>
      </c>
      <c r="H46" s="322">
        <f>Tabla14[[#This Row],[Importe]]-Tabla14[[#This Row],[Pagado]]</f>
        <v>0</v>
      </c>
      <c r="I46" s="331" t="s">
        <v>15214</v>
      </c>
    </row>
    <row r="47" spans="1:9" x14ac:dyDescent="0.25">
      <c r="A47" s="353">
        <v>42979</v>
      </c>
      <c r="B47" s="320" t="s">
        <v>27747</v>
      </c>
      <c r="C47" s="321">
        <v>125806</v>
      </c>
      <c r="D47" s="390" t="s">
        <v>15858</v>
      </c>
      <c r="E47" s="322">
        <v>2342.64</v>
      </c>
      <c r="F47" s="323">
        <v>42979</v>
      </c>
      <c r="G47" s="322">
        <v>2342.64</v>
      </c>
      <c r="H47" s="322">
        <f>Tabla14[[#This Row],[Importe]]-Tabla14[[#This Row],[Pagado]]</f>
        <v>0</v>
      </c>
      <c r="I47" s="325" t="s">
        <v>15214</v>
      </c>
    </row>
    <row r="48" spans="1:9" x14ac:dyDescent="0.25">
      <c r="A48" s="359">
        <v>42979</v>
      </c>
      <c r="B48" s="326" t="s">
        <v>27748</v>
      </c>
      <c r="C48" s="327">
        <v>125807</v>
      </c>
      <c r="D48" s="391" t="s">
        <v>15278</v>
      </c>
      <c r="E48" s="328">
        <v>8213.2999999999993</v>
      </c>
      <c r="F48" s="323">
        <v>42979</v>
      </c>
      <c r="G48" s="328">
        <v>8213.2999999999993</v>
      </c>
      <c r="H48" s="322">
        <f>Tabla14[[#This Row],[Importe]]-Tabla14[[#This Row],[Pagado]]</f>
        <v>0</v>
      </c>
      <c r="I48" s="331" t="s">
        <v>15214</v>
      </c>
    </row>
    <row r="49" spans="1:9" x14ac:dyDescent="0.25">
      <c r="A49" s="353">
        <v>42979</v>
      </c>
      <c r="B49" s="320" t="s">
        <v>27749</v>
      </c>
      <c r="C49" s="321">
        <v>125808</v>
      </c>
      <c r="D49" s="390" t="s">
        <v>15858</v>
      </c>
      <c r="E49" s="322">
        <v>385</v>
      </c>
      <c r="F49" s="323">
        <v>42979</v>
      </c>
      <c r="G49" s="322">
        <v>385</v>
      </c>
      <c r="H49" s="322">
        <f>Tabla14[[#This Row],[Importe]]-Tabla14[[#This Row],[Pagado]]</f>
        <v>0</v>
      </c>
      <c r="I49" s="325" t="s">
        <v>15214</v>
      </c>
    </row>
    <row r="50" spans="1:9" x14ac:dyDescent="0.25">
      <c r="A50" s="359">
        <v>42979</v>
      </c>
      <c r="B50" s="326" t="s">
        <v>27750</v>
      </c>
      <c r="C50" s="327">
        <v>125809</v>
      </c>
      <c r="D50" s="391" t="s">
        <v>15240</v>
      </c>
      <c r="E50" s="328">
        <v>3381</v>
      </c>
      <c r="F50" s="329">
        <v>42982</v>
      </c>
      <c r="G50" s="328">
        <v>3381</v>
      </c>
      <c r="H50" s="322">
        <f>Tabla14[[#This Row],[Importe]]-Tabla14[[#This Row],[Pagado]]</f>
        <v>0</v>
      </c>
      <c r="I50" s="331" t="s">
        <v>15214</v>
      </c>
    </row>
    <row r="51" spans="1:9" x14ac:dyDescent="0.25">
      <c r="A51" s="353">
        <v>42979</v>
      </c>
      <c r="B51" s="320" t="s">
        <v>27751</v>
      </c>
      <c r="C51" s="321">
        <v>125810</v>
      </c>
      <c r="D51" s="390" t="s">
        <v>15348</v>
      </c>
      <c r="E51" s="322">
        <v>2905.7</v>
      </c>
      <c r="F51" s="323">
        <v>42982</v>
      </c>
      <c r="G51" s="322">
        <v>2905.7</v>
      </c>
      <c r="H51" s="322">
        <f>Tabla14[[#This Row],[Importe]]-Tabla14[[#This Row],[Pagado]]</f>
        <v>0</v>
      </c>
      <c r="I51" s="325" t="s">
        <v>15214</v>
      </c>
    </row>
    <row r="52" spans="1:9" x14ac:dyDescent="0.25">
      <c r="A52" s="359">
        <v>42979</v>
      </c>
      <c r="B52" s="326" t="s">
        <v>27752</v>
      </c>
      <c r="C52" s="327">
        <v>125811</v>
      </c>
      <c r="D52" s="391" t="s">
        <v>15340</v>
      </c>
      <c r="E52" s="328">
        <v>3680</v>
      </c>
      <c r="F52" s="329">
        <v>42979</v>
      </c>
      <c r="G52" s="328">
        <v>3680</v>
      </c>
      <c r="H52" s="322">
        <f>Tabla14[[#This Row],[Importe]]-Tabla14[[#This Row],[Pagado]]</f>
        <v>0</v>
      </c>
      <c r="I52" s="331" t="s">
        <v>15214</v>
      </c>
    </row>
    <row r="53" spans="1:9" x14ac:dyDescent="0.25">
      <c r="A53" s="353">
        <v>42979</v>
      </c>
      <c r="B53" s="320" t="s">
        <v>27753</v>
      </c>
      <c r="C53" s="321">
        <v>125812</v>
      </c>
      <c r="D53" s="390" t="s">
        <v>15336</v>
      </c>
      <c r="E53" s="322">
        <v>5306.3</v>
      </c>
      <c r="F53" s="323">
        <v>42979</v>
      </c>
      <c r="G53" s="322">
        <v>5306.3</v>
      </c>
      <c r="H53" s="322">
        <f>Tabla14[[#This Row],[Importe]]-Tabla14[[#This Row],[Pagado]]</f>
        <v>0</v>
      </c>
      <c r="I53" s="325" t="s">
        <v>15214</v>
      </c>
    </row>
    <row r="54" spans="1:9" x14ac:dyDescent="0.25">
      <c r="A54" s="359">
        <v>42979</v>
      </c>
      <c r="B54" s="326" t="s">
        <v>27754</v>
      </c>
      <c r="C54" s="327">
        <v>125813</v>
      </c>
      <c r="D54" s="391" t="s">
        <v>15358</v>
      </c>
      <c r="E54" s="328">
        <v>7938.3</v>
      </c>
      <c r="F54" s="329">
        <v>42979</v>
      </c>
      <c r="G54" s="328">
        <v>7938.3</v>
      </c>
      <c r="H54" s="322">
        <f>Tabla14[[#This Row],[Importe]]-Tabla14[[#This Row],[Pagado]]</f>
        <v>0</v>
      </c>
      <c r="I54" s="331" t="s">
        <v>15214</v>
      </c>
    </row>
    <row r="55" spans="1:9" x14ac:dyDescent="0.25">
      <c r="A55" s="353">
        <v>42979</v>
      </c>
      <c r="B55" s="320" t="s">
        <v>27755</v>
      </c>
      <c r="C55" s="321">
        <v>125814</v>
      </c>
      <c r="D55" s="390" t="s">
        <v>15523</v>
      </c>
      <c r="E55" s="322">
        <v>2880</v>
      </c>
      <c r="F55" s="323">
        <v>42979</v>
      </c>
      <c r="G55" s="322">
        <v>2880</v>
      </c>
      <c r="H55" s="322">
        <f>Tabla14[[#This Row],[Importe]]-Tabla14[[#This Row],[Pagado]]</f>
        <v>0</v>
      </c>
      <c r="I55" s="325" t="s">
        <v>15214</v>
      </c>
    </row>
    <row r="56" spans="1:9" x14ac:dyDescent="0.25">
      <c r="A56" s="359">
        <v>42979</v>
      </c>
      <c r="B56" s="326" t="s">
        <v>27756</v>
      </c>
      <c r="C56" s="327">
        <v>125815</v>
      </c>
      <c r="D56" s="391" t="s">
        <v>15334</v>
      </c>
      <c r="E56" s="328">
        <v>2976</v>
      </c>
      <c r="F56" s="329">
        <v>42979</v>
      </c>
      <c r="G56" s="328">
        <v>2976</v>
      </c>
      <c r="H56" s="322">
        <f>Tabla14[[#This Row],[Importe]]-Tabla14[[#This Row],[Pagado]]</f>
        <v>0</v>
      </c>
      <c r="I56" s="331" t="s">
        <v>15214</v>
      </c>
    </row>
    <row r="57" spans="1:9" x14ac:dyDescent="0.25">
      <c r="A57" s="353">
        <v>42979</v>
      </c>
      <c r="B57" s="320" t="s">
        <v>27757</v>
      </c>
      <c r="C57" s="321">
        <v>125816</v>
      </c>
      <c r="D57" s="390" t="s">
        <v>15342</v>
      </c>
      <c r="E57" s="322">
        <v>646.79999999999995</v>
      </c>
      <c r="F57" s="323">
        <v>42979</v>
      </c>
      <c r="G57" s="322">
        <v>646.79999999999995</v>
      </c>
      <c r="H57" s="322">
        <f>Tabla14[[#This Row],[Importe]]-Tabla14[[#This Row],[Pagado]]</f>
        <v>0</v>
      </c>
      <c r="I57" s="325" t="s">
        <v>15214</v>
      </c>
    </row>
    <row r="58" spans="1:9" x14ac:dyDescent="0.25">
      <c r="A58" s="359">
        <v>42979</v>
      </c>
      <c r="B58" s="326" t="s">
        <v>27758</v>
      </c>
      <c r="C58" s="327">
        <v>125817</v>
      </c>
      <c r="D58" s="391" t="s">
        <v>18544</v>
      </c>
      <c r="E58" s="328">
        <v>3962.2</v>
      </c>
      <c r="F58" s="329">
        <v>42979</v>
      </c>
      <c r="G58" s="328">
        <v>3962.2</v>
      </c>
      <c r="H58" s="322">
        <f>Tabla14[[#This Row],[Importe]]-Tabla14[[#This Row],[Pagado]]</f>
        <v>0</v>
      </c>
      <c r="I58" s="331" t="s">
        <v>15214</v>
      </c>
    </row>
    <row r="59" spans="1:9" x14ac:dyDescent="0.25">
      <c r="A59" s="353">
        <v>42979</v>
      </c>
      <c r="B59" s="320" t="s">
        <v>27759</v>
      </c>
      <c r="C59" s="321">
        <v>125818</v>
      </c>
      <c r="D59" s="390" t="s">
        <v>15861</v>
      </c>
      <c r="E59" s="322">
        <v>3027.6</v>
      </c>
      <c r="F59" s="323">
        <v>42979</v>
      </c>
      <c r="G59" s="322">
        <v>3027.6</v>
      </c>
      <c r="H59" s="322">
        <f>Tabla14[[#This Row],[Importe]]-Tabla14[[#This Row],[Pagado]]</f>
        <v>0</v>
      </c>
      <c r="I59" s="325" t="s">
        <v>15214</v>
      </c>
    </row>
    <row r="60" spans="1:9" x14ac:dyDescent="0.25">
      <c r="A60" s="359">
        <v>42979</v>
      </c>
      <c r="B60" s="326" t="s">
        <v>27760</v>
      </c>
      <c r="C60" s="327">
        <v>125819</v>
      </c>
      <c r="D60" s="391" t="s">
        <v>15728</v>
      </c>
      <c r="E60" s="328">
        <v>17820</v>
      </c>
      <c r="F60" s="329">
        <v>42979</v>
      </c>
      <c r="G60" s="328">
        <v>17820</v>
      </c>
      <c r="H60" s="322">
        <f>Tabla14[[#This Row],[Importe]]-Tabla14[[#This Row],[Pagado]]</f>
        <v>0</v>
      </c>
      <c r="I60" s="331" t="s">
        <v>15214</v>
      </c>
    </row>
    <row r="61" spans="1:9" x14ac:dyDescent="0.25">
      <c r="A61" s="353">
        <v>42979</v>
      </c>
      <c r="B61" s="320" t="s">
        <v>27761</v>
      </c>
      <c r="C61" s="321">
        <v>125820</v>
      </c>
      <c r="D61" s="390" t="s">
        <v>15499</v>
      </c>
      <c r="E61" s="322">
        <v>4549.6000000000004</v>
      </c>
      <c r="F61" s="323">
        <v>42979</v>
      </c>
      <c r="G61" s="322">
        <v>4549.6000000000004</v>
      </c>
      <c r="H61" s="322">
        <f>Tabla14[[#This Row],[Importe]]-Tabla14[[#This Row],[Pagado]]</f>
        <v>0</v>
      </c>
      <c r="I61" s="325" t="s">
        <v>15214</v>
      </c>
    </row>
    <row r="62" spans="1:9" x14ac:dyDescent="0.25">
      <c r="A62" s="359">
        <v>42979</v>
      </c>
      <c r="B62" s="326" t="s">
        <v>27762</v>
      </c>
      <c r="C62" s="327">
        <v>125821</v>
      </c>
      <c r="D62" s="391" t="s">
        <v>15315</v>
      </c>
      <c r="E62" s="328">
        <v>2670.5</v>
      </c>
      <c r="F62" s="329">
        <v>42979</v>
      </c>
      <c r="G62" s="328">
        <v>2670.5</v>
      </c>
      <c r="H62" s="322">
        <f>Tabla14[[#This Row],[Importe]]-Tabla14[[#This Row],[Pagado]]</f>
        <v>0</v>
      </c>
      <c r="I62" s="331" t="s">
        <v>15214</v>
      </c>
    </row>
    <row r="63" spans="1:9" x14ac:dyDescent="0.25">
      <c r="A63" s="353">
        <v>42979</v>
      </c>
      <c r="B63" s="320" t="s">
        <v>27763</v>
      </c>
      <c r="C63" s="321">
        <v>125822</v>
      </c>
      <c r="D63" s="390" t="s">
        <v>15396</v>
      </c>
      <c r="E63" s="322">
        <v>10354.94</v>
      </c>
      <c r="F63" s="323">
        <v>42979</v>
      </c>
      <c r="G63" s="322">
        <v>10354.94</v>
      </c>
      <c r="H63" s="322">
        <f>Tabla14[[#This Row],[Importe]]-Tabla14[[#This Row],[Pagado]]</f>
        <v>0</v>
      </c>
      <c r="I63" s="325" t="s">
        <v>15214</v>
      </c>
    </row>
    <row r="64" spans="1:9" x14ac:dyDescent="0.25">
      <c r="A64" s="359">
        <v>42979</v>
      </c>
      <c r="B64" s="326" t="s">
        <v>27764</v>
      </c>
      <c r="C64" s="327">
        <v>125823</v>
      </c>
      <c r="D64" s="391" t="s">
        <v>15530</v>
      </c>
      <c r="E64" s="328">
        <v>2547</v>
      </c>
      <c r="F64" s="329">
        <v>42979</v>
      </c>
      <c r="G64" s="328">
        <v>2547</v>
      </c>
      <c r="H64" s="322">
        <f>Tabla14[[#This Row],[Importe]]-Tabla14[[#This Row],[Pagado]]</f>
        <v>0</v>
      </c>
      <c r="I64" s="331" t="s">
        <v>15214</v>
      </c>
    </row>
    <row r="65" spans="1:9" x14ac:dyDescent="0.25">
      <c r="A65" s="353">
        <v>42979</v>
      </c>
      <c r="B65" s="320" t="s">
        <v>27765</v>
      </c>
      <c r="C65" s="321">
        <v>125824</v>
      </c>
      <c r="D65" s="390" t="s">
        <v>15367</v>
      </c>
      <c r="E65" s="322">
        <v>6000</v>
      </c>
      <c r="F65" s="323">
        <v>42980</v>
      </c>
      <c r="G65" s="322">
        <v>6000</v>
      </c>
      <c r="H65" s="322">
        <f>Tabla14[[#This Row],[Importe]]-Tabla14[[#This Row],[Pagado]]</f>
        <v>0</v>
      </c>
      <c r="I65" s="325" t="s">
        <v>15214</v>
      </c>
    </row>
    <row r="66" spans="1:9" x14ac:dyDescent="0.25">
      <c r="A66" s="359">
        <v>42979</v>
      </c>
      <c r="B66" s="326" t="s">
        <v>27766</v>
      </c>
      <c r="C66" s="327">
        <v>125825</v>
      </c>
      <c r="D66" s="391" t="s">
        <v>16463</v>
      </c>
      <c r="E66" s="328">
        <v>4958.3999999999996</v>
      </c>
      <c r="F66" s="329">
        <v>42979</v>
      </c>
      <c r="G66" s="328">
        <v>4958.3999999999996</v>
      </c>
      <c r="H66" s="322">
        <f>Tabla14[[#This Row],[Importe]]-Tabla14[[#This Row],[Pagado]]</f>
        <v>0</v>
      </c>
      <c r="I66" s="331" t="s">
        <v>15214</v>
      </c>
    </row>
    <row r="67" spans="1:9" x14ac:dyDescent="0.25">
      <c r="A67" s="353">
        <v>42979</v>
      </c>
      <c r="B67" s="320" t="s">
        <v>27767</v>
      </c>
      <c r="C67" s="321">
        <v>125826</v>
      </c>
      <c r="D67" s="390" t="s">
        <v>15530</v>
      </c>
      <c r="E67" s="322">
        <v>314.60000000000002</v>
      </c>
      <c r="F67" s="323">
        <v>42979</v>
      </c>
      <c r="G67" s="322">
        <v>314.60000000000002</v>
      </c>
      <c r="H67" s="322">
        <f>Tabla14[[#This Row],[Importe]]-Tabla14[[#This Row],[Pagado]]</f>
        <v>0</v>
      </c>
      <c r="I67" s="325" t="s">
        <v>15214</v>
      </c>
    </row>
    <row r="68" spans="1:9" x14ac:dyDescent="0.25">
      <c r="A68" s="359">
        <v>42979</v>
      </c>
      <c r="B68" s="326" t="s">
        <v>27768</v>
      </c>
      <c r="C68" s="327">
        <v>125827</v>
      </c>
      <c r="D68" s="391" t="s">
        <v>15328</v>
      </c>
      <c r="E68" s="328">
        <v>88564.25</v>
      </c>
      <c r="F68" s="329">
        <v>42987</v>
      </c>
      <c r="G68" s="328">
        <v>88564.25</v>
      </c>
      <c r="H68" s="322">
        <f>Tabla14[[#This Row],[Importe]]-Tabla14[[#This Row],[Pagado]]</f>
        <v>0</v>
      </c>
      <c r="I68" s="331" t="s">
        <v>15214</v>
      </c>
    </row>
    <row r="69" spans="1:9" x14ac:dyDescent="0.25">
      <c r="A69" s="353">
        <v>42979</v>
      </c>
      <c r="B69" s="320" t="s">
        <v>27769</v>
      </c>
      <c r="C69" s="321">
        <v>125828</v>
      </c>
      <c r="D69" s="390" t="s">
        <v>15398</v>
      </c>
      <c r="E69" s="322">
        <v>704.8</v>
      </c>
      <c r="F69" s="323">
        <v>42979</v>
      </c>
      <c r="G69" s="322">
        <v>704.8</v>
      </c>
      <c r="H69" s="322">
        <f>Tabla14[[#This Row],[Importe]]-Tabla14[[#This Row],[Pagado]]</f>
        <v>0</v>
      </c>
      <c r="I69" s="325" t="s">
        <v>15214</v>
      </c>
    </row>
    <row r="70" spans="1:9" x14ac:dyDescent="0.25">
      <c r="A70" s="359">
        <v>42979</v>
      </c>
      <c r="B70" s="326" t="s">
        <v>27770</v>
      </c>
      <c r="C70" s="327">
        <v>125829</v>
      </c>
      <c r="D70" s="391" t="s">
        <v>15301</v>
      </c>
      <c r="E70" s="328">
        <v>3917.5</v>
      </c>
      <c r="F70" s="329">
        <v>42979</v>
      </c>
      <c r="G70" s="328">
        <v>3917.5</v>
      </c>
      <c r="H70" s="322">
        <f>Tabla14[[#This Row],[Importe]]-Tabla14[[#This Row],[Pagado]]</f>
        <v>0</v>
      </c>
      <c r="I70" s="331" t="s">
        <v>15214</v>
      </c>
    </row>
    <row r="71" spans="1:9" x14ac:dyDescent="0.25">
      <c r="A71" s="353">
        <v>42979</v>
      </c>
      <c r="B71" s="320" t="s">
        <v>27771</v>
      </c>
      <c r="C71" s="321">
        <v>125830</v>
      </c>
      <c r="D71" s="390" t="s">
        <v>17800</v>
      </c>
      <c r="E71" s="322">
        <v>929.6</v>
      </c>
      <c r="F71" s="323">
        <v>42979</v>
      </c>
      <c r="G71" s="322">
        <v>929.6</v>
      </c>
      <c r="H71" s="322">
        <f>Tabla14[[#This Row],[Importe]]-Tabla14[[#This Row],[Pagado]]</f>
        <v>0</v>
      </c>
      <c r="I71" s="325" t="s">
        <v>15214</v>
      </c>
    </row>
    <row r="72" spans="1:9" x14ac:dyDescent="0.25">
      <c r="A72" s="359">
        <v>42979</v>
      </c>
      <c r="B72" s="326" t="s">
        <v>27772</v>
      </c>
      <c r="C72" s="327">
        <v>125831</v>
      </c>
      <c r="D72" s="391" t="s">
        <v>15291</v>
      </c>
      <c r="E72" s="328">
        <v>1209.5999999999999</v>
      </c>
      <c r="F72" s="329">
        <v>42979</v>
      </c>
      <c r="G72" s="328">
        <v>1209.5999999999999</v>
      </c>
      <c r="H72" s="322">
        <f>Tabla14[[#This Row],[Importe]]-Tabla14[[#This Row],[Pagado]]</f>
        <v>0</v>
      </c>
      <c r="I72" s="331" t="s">
        <v>15214</v>
      </c>
    </row>
    <row r="73" spans="1:9" x14ac:dyDescent="0.25">
      <c r="A73" s="353">
        <v>42979</v>
      </c>
      <c r="B73" s="320" t="s">
        <v>27773</v>
      </c>
      <c r="C73" s="321">
        <v>125832</v>
      </c>
      <c r="D73" s="390" t="s">
        <v>15587</v>
      </c>
      <c r="E73" s="322">
        <v>594.79999999999995</v>
      </c>
      <c r="F73" s="323">
        <v>42979</v>
      </c>
      <c r="G73" s="322">
        <v>594.79999999999995</v>
      </c>
      <c r="H73" s="322">
        <f>Tabla14[[#This Row],[Importe]]-Tabla14[[#This Row],[Pagado]]</f>
        <v>0</v>
      </c>
      <c r="I73" s="325" t="s">
        <v>15214</v>
      </c>
    </row>
    <row r="74" spans="1:9" x14ac:dyDescent="0.25">
      <c r="A74" s="359">
        <v>42979</v>
      </c>
      <c r="B74" s="326" t="s">
        <v>27774</v>
      </c>
      <c r="C74" s="327">
        <v>125833</v>
      </c>
      <c r="D74" s="391" t="s">
        <v>15307</v>
      </c>
      <c r="E74" s="328">
        <v>1757.5</v>
      </c>
      <c r="F74" s="329">
        <v>42979</v>
      </c>
      <c r="G74" s="328">
        <v>1757.5</v>
      </c>
      <c r="H74" s="322">
        <f>Tabla14[[#This Row],[Importe]]-Tabla14[[#This Row],[Pagado]]</f>
        <v>0</v>
      </c>
      <c r="I74" s="331" t="s">
        <v>15214</v>
      </c>
    </row>
    <row r="75" spans="1:9" x14ac:dyDescent="0.25">
      <c r="A75" s="353">
        <v>42979</v>
      </c>
      <c r="B75" s="320" t="s">
        <v>27775</v>
      </c>
      <c r="C75" s="321">
        <v>125834</v>
      </c>
      <c r="D75" s="390" t="s">
        <v>15307</v>
      </c>
      <c r="E75" s="322">
        <v>665.6</v>
      </c>
      <c r="F75" s="323">
        <v>42979</v>
      </c>
      <c r="G75" s="322">
        <v>665.6</v>
      </c>
      <c r="H75" s="322">
        <f>Tabla14[[#This Row],[Importe]]-Tabla14[[#This Row],[Pagado]]</f>
        <v>0</v>
      </c>
      <c r="I75" s="325" t="s">
        <v>15214</v>
      </c>
    </row>
    <row r="76" spans="1:9" x14ac:dyDescent="0.25">
      <c r="A76" s="359">
        <v>42979</v>
      </c>
      <c r="B76" s="326" t="s">
        <v>27776</v>
      </c>
      <c r="C76" s="327">
        <v>125835</v>
      </c>
      <c r="D76" s="391" t="s">
        <v>16229</v>
      </c>
      <c r="E76" s="328">
        <v>4145.3999999999996</v>
      </c>
      <c r="F76" s="329">
        <v>42979</v>
      </c>
      <c r="G76" s="328">
        <v>4145.3999999999996</v>
      </c>
      <c r="H76" s="322">
        <f>Tabla14[[#This Row],[Importe]]-Tabla14[[#This Row],[Pagado]]</f>
        <v>0</v>
      </c>
      <c r="I76" s="331" t="s">
        <v>15214</v>
      </c>
    </row>
    <row r="77" spans="1:9" x14ac:dyDescent="0.25">
      <c r="A77" s="353">
        <v>42979</v>
      </c>
      <c r="B77" s="320" t="s">
        <v>27777</v>
      </c>
      <c r="C77" s="321">
        <v>125836</v>
      </c>
      <c r="D77" s="390" t="s">
        <v>17235</v>
      </c>
      <c r="E77" s="322">
        <v>3000</v>
      </c>
      <c r="F77" s="323">
        <v>42979</v>
      </c>
      <c r="G77" s="322">
        <v>3000</v>
      </c>
      <c r="H77" s="322">
        <f>Tabla14[[#This Row],[Importe]]-Tabla14[[#This Row],[Pagado]]</f>
        <v>0</v>
      </c>
      <c r="I77" s="325" t="s">
        <v>15214</v>
      </c>
    </row>
    <row r="78" spans="1:9" x14ac:dyDescent="0.25">
      <c r="A78" s="359">
        <v>42979</v>
      </c>
      <c r="B78" s="326" t="s">
        <v>27778</v>
      </c>
      <c r="C78" s="327">
        <v>125837</v>
      </c>
      <c r="D78" s="391" t="s">
        <v>16064</v>
      </c>
      <c r="E78" s="328">
        <v>3898.5</v>
      </c>
      <c r="F78" s="329">
        <v>42979</v>
      </c>
      <c r="G78" s="328">
        <v>3898.5</v>
      </c>
      <c r="H78" s="322">
        <f>Tabla14[[#This Row],[Importe]]-Tabla14[[#This Row],[Pagado]]</f>
        <v>0</v>
      </c>
      <c r="I78" s="331" t="s">
        <v>15214</v>
      </c>
    </row>
    <row r="79" spans="1:9" x14ac:dyDescent="0.25">
      <c r="A79" s="353">
        <v>42979</v>
      </c>
      <c r="B79" s="320" t="s">
        <v>27779</v>
      </c>
      <c r="C79" s="321">
        <v>125838</v>
      </c>
      <c r="D79" s="390" t="s">
        <v>15320</v>
      </c>
      <c r="E79" s="322">
        <v>3220</v>
      </c>
      <c r="F79" s="323">
        <v>42979</v>
      </c>
      <c r="G79" s="322">
        <v>3220</v>
      </c>
      <c r="H79" s="322">
        <f>Tabla14[[#This Row],[Importe]]-Tabla14[[#This Row],[Pagado]]</f>
        <v>0</v>
      </c>
      <c r="I79" s="325" t="s">
        <v>15214</v>
      </c>
    </row>
    <row r="80" spans="1:9" ht="30" x14ac:dyDescent="0.25">
      <c r="A80" s="359">
        <v>42979</v>
      </c>
      <c r="B80" s="326" t="s">
        <v>27780</v>
      </c>
      <c r="C80" s="327">
        <v>125839</v>
      </c>
      <c r="D80" s="391" t="s">
        <v>15373</v>
      </c>
      <c r="E80" s="328">
        <v>16718.400000000001</v>
      </c>
      <c r="F80" s="329" t="s">
        <v>27781</v>
      </c>
      <c r="G80" s="334">
        <f>15400+1318.4</f>
        <v>16718.400000000001</v>
      </c>
      <c r="H80" s="334">
        <f>Tabla14[[#This Row],[Importe]]-Tabla14[[#This Row],[Pagado]]</f>
        <v>0</v>
      </c>
      <c r="I80" s="331" t="s">
        <v>15214</v>
      </c>
    </row>
    <row r="81" spans="1:9" x14ac:dyDescent="0.25">
      <c r="A81" s="353">
        <v>42979</v>
      </c>
      <c r="B81" s="320" t="s">
        <v>27782</v>
      </c>
      <c r="C81" s="321">
        <v>125840</v>
      </c>
      <c r="D81" s="390" t="s">
        <v>15380</v>
      </c>
      <c r="E81" s="322">
        <v>48557.4</v>
      </c>
      <c r="F81" s="323">
        <v>42997</v>
      </c>
      <c r="G81" s="322">
        <v>48557.4</v>
      </c>
      <c r="H81" s="322">
        <f>Tabla14[[#This Row],[Importe]]-Tabla14[[#This Row],[Pagado]]</f>
        <v>0</v>
      </c>
      <c r="I81" s="325" t="s">
        <v>15214</v>
      </c>
    </row>
    <row r="82" spans="1:9" x14ac:dyDescent="0.25">
      <c r="A82" s="359">
        <v>42979</v>
      </c>
      <c r="B82" s="326" t="s">
        <v>27783</v>
      </c>
      <c r="C82" s="327">
        <v>125841</v>
      </c>
      <c r="D82" s="391" t="s">
        <v>15382</v>
      </c>
      <c r="E82" s="328">
        <v>10769.8</v>
      </c>
      <c r="F82" s="329">
        <v>42986</v>
      </c>
      <c r="G82" s="328">
        <v>10769.8</v>
      </c>
      <c r="H82" s="322">
        <f>Tabla14[[#This Row],[Importe]]-Tabla14[[#This Row],[Pagado]]</f>
        <v>0</v>
      </c>
      <c r="I82" s="331" t="s">
        <v>15214</v>
      </c>
    </row>
    <row r="83" spans="1:9" x14ac:dyDescent="0.25">
      <c r="A83" s="353">
        <v>42979</v>
      </c>
      <c r="B83" s="320" t="s">
        <v>27784</v>
      </c>
      <c r="C83" s="321">
        <v>125842</v>
      </c>
      <c r="D83" s="390" t="s">
        <v>15394</v>
      </c>
      <c r="E83" s="322">
        <v>14249.1</v>
      </c>
      <c r="F83" s="323">
        <v>42985</v>
      </c>
      <c r="G83" s="322">
        <v>14249.1</v>
      </c>
      <c r="H83" s="322">
        <f>Tabla14[[#This Row],[Importe]]-Tabla14[[#This Row],[Pagado]]</f>
        <v>0</v>
      </c>
      <c r="I83" s="325" t="s">
        <v>15214</v>
      </c>
    </row>
    <row r="84" spans="1:9" x14ac:dyDescent="0.25">
      <c r="A84" s="359">
        <v>42979</v>
      </c>
      <c r="B84" s="326" t="s">
        <v>27785</v>
      </c>
      <c r="C84" s="327">
        <v>125843</v>
      </c>
      <c r="D84" s="391" t="s">
        <v>15389</v>
      </c>
      <c r="E84" s="328">
        <v>18946.599999999999</v>
      </c>
      <c r="F84" s="329">
        <v>42986</v>
      </c>
      <c r="G84" s="328">
        <v>18946.599999999999</v>
      </c>
      <c r="H84" s="322">
        <f>Tabla14[[#This Row],[Importe]]-Tabla14[[#This Row],[Pagado]]</f>
        <v>0</v>
      </c>
      <c r="I84" s="331" t="s">
        <v>15214</v>
      </c>
    </row>
    <row r="85" spans="1:9" x14ac:dyDescent="0.25">
      <c r="A85" s="353">
        <v>42979</v>
      </c>
      <c r="B85" s="320" t="s">
        <v>27786</v>
      </c>
      <c r="C85" s="321">
        <v>125844</v>
      </c>
      <c r="D85" s="390" t="s">
        <v>15369</v>
      </c>
      <c r="E85" s="322">
        <v>29440.9</v>
      </c>
      <c r="F85" s="323">
        <v>42997</v>
      </c>
      <c r="G85" s="322">
        <v>29440.9</v>
      </c>
      <c r="H85" s="322">
        <f>Tabla14[[#This Row],[Importe]]-Tabla14[[#This Row],[Pagado]]</f>
        <v>0</v>
      </c>
      <c r="I85" s="325" t="s">
        <v>15214</v>
      </c>
    </row>
    <row r="86" spans="1:9" x14ac:dyDescent="0.25">
      <c r="A86" s="359">
        <v>42979</v>
      </c>
      <c r="B86" s="326" t="s">
        <v>27787</v>
      </c>
      <c r="C86" s="327">
        <v>125845</v>
      </c>
      <c r="D86" s="391" t="s">
        <v>15254</v>
      </c>
      <c r="E86" s="328">
        <v>9300</v>
      </c>
      <c r="F86" s="329">
        <v>42982</v>
      </c>
      <c r="G86" s="328">
        <v>9300</v>
      </c>
      <c r="H86" s="322">
        <f>Tabla14[[#This Row],[Importe]]-Tabla14[[#This Row],[Pagado]]</f>
        <v>0</v>
      </c>
      <c r="I86" s="331" t="s">
        <v>15214</v>
      </c>
    </row>
    <row r="87" spans="1:9" x14ac:dyDescent="0.25">
      <c r="A87" s="353">
        <v>42979</v>
      </c>
      <c r="B87" s="320" t="s">
        <v>27788</v>
      </c>
      <c r="C87" s="321">
        <v>125846</v>
      </c>
      <c r="D87" s="390" t="s">
        <v>15252</v>
      </c>
      <c r="E87" s="322">
        <v>4923.8</v>
      </c>
      <c r="F87" s="323">
        <v>42982</v>
      </c>
      <c r="G87" s="322">
        <v>4923.8</v>
      </c>
      <c r="H87" s="322">
        <f>Tabla14[[#This Row],[Importe]]-Tabla14[[#This Row],[Pagado]]</f>
        <v>0</v>
      </c>
      <c r="I87" s="325" t="s">
        <v>15214</v>
      </c>
    </row>
    <row r="88" spans="1:9" ht="15.75" x14ac:dyDescent="0.25">
      <c r="A88" s="359">
        <v>42979</v>
      </c>
      <c r="B88" s="326" t="s">
        <v>27789</v>
      </c>
      <c r="C88" s="327">
        <v>125847</v>
      </c>
      <c r="D88" s="345" t="s">
        <v>95</v>
      </c>
      <c r="E88" s="328">
        <v>0</v>
      </c>
      <c r="F88" s="346" t="s">
        <v>95</v>
      </c>
      <c r="G88" s="328">
        <v>0</v>
      </c>
      <c r="H88" s="322">
        <f>Tabla14[[#This Row],[Importe]]-Tabla14[[#This Row],[Pagado]]</f>
        <v>0</v>
      </c>
      <c r="I88" s="331" t="s">
        <v>95</v>
      </c>
    </row>
    <row r="89" spans="1:9" x14ac:dyDescent="0.25">
      <c r="A89" s="353">
        <v>42979</v>
      </c>
      <c r="B89" s="320" t="s">
        <v>27790</v>
      </c>
      <c r="C89" s="321">
        <v>125848</v>
      </c>
      <c r="D89" s="390" t="s">
        <v>15244</v>
      </c>
      <c r="E89" s="322">
        <v>9067.6</v>
      </c>
      <c r="F89" s="323">
        <v>42982</v>
      </c>
      <c r="G89" s="322">
        <v>9067.6</v>
      </c>
      <c r="H89" s="322">
        <f>Tabla14[[#This Row],[Importe]]-Tabla14[[#This Row],[Pagado]]</f>
        <v>0</v>
      </c>
      <c r="I89" s="325" t="s">
        <v>15214</v>
      </c>
    </row>
    <row r="90" spans="1:9" x14ac:dyDescent="0.25">
      <c r="A90" s="359">
        <v>42979</v>
      </c>
      <c r="B90" s="326" t="s">
        <v>27791</v>
      </c>
      <c r="C90" s="327">
        <v>125849</v>
      </c>
      <c r="D90" s="391" t="s">
        <v>15252</v>
      </c>
      <c r="E90" s="328">
        <v>991.7</v>
      </c>
      <c r="F90" s="329">
        <v>42982</v>
      </c>
      <c r="G90" s="328">
        <v>991.7</v>
      </c>
      <c r="H90" s="322">
        <f>Tabla14[[#This Row],[Importe]]-Tabla14[[#This Row],[Pagado]]</f>
        <v>0</v>
      </c>
      <c r="I90" s="331" t="s">
        <v>15214</v>
      </c>
    </row>
    <row r="91" spans="1:9" x14ac:dyDescent="0.25">
      <c r="A91" s="353">
        <v>42979</v>
      </c>
      <c r="B91" s="320" t="s">
        <v>27792</v>
      </c>
      <c r="C91" s="321">
        <v>125850</v>
      </c>
      <c r="D91" s="390" t="s">
        <v>19964</v>
      </c>
      <c r="E91" s="322">
        <v>6039.4</v>
      </c>
      <c r="F91" s="323">
        <v>42979</v>
      </c>
      <c r="G91" s="322">
        <v>6039.4</v>
      </c>
      <c r="H91" s="322">
        <f>Tabla14[[#This Row],[Importe]]-Tabla14[[#This Row],[Pagado]]</f>
        <v>0</v>
      </c>
      <c r="I91" s="325" t="s">
        <v>15214</v>
      </c>
    </row>
    <row r="92" spans="1:9" x14ac:dyDescent="0.25">
      <c r="A92" s="359">
        <v>42979</v>
      </c>
      <c r="B92" s="326" t="s">
        <v>27793</v>
      </c>
      <c r="C92" s="327">
        <v>125851</v>
      </c>
      <c r="D92" s="391" t="s">
        <v>15706</v>
      </c>
      <c r="E92" s="328">
        <v>857.6</v>
      </c>
      <c r="F92" s="329">
        <v>42979</v>
      </c>
      <c r="G92" s="328">
        <v>857.6</v>
      </c>
      <c r="H92" s="322">
        <f>Tabla14[[#This Row],[Importe]]-Tabla14[[#This Row],[Pagado]]</f>
        <v>0</v>
      </c>
      <c r="I92" s="331" t="s">
        <v>15214</v>
      </c>
    </row>
    <row r="93" spans="1:9" x14ac:dyDescent="0.25">
      <c r="A93" s="353">
        <v>42979</v>
      </c>
      <c r="B93" s="320" t="s">
        <v>27794</v>
      </c>
      <c r="C93" s="321">
        <v>125852</v>
      </c>
      <c r="D93" s="390" t="s">
        <v>15322</v>
      </c>
      <c r="E93" s="322">
        <v>3422</v>
      </c>
      <c r="F93" s="323">
        <v>42979</v>
      </c>
      <c r="G93" s="322">
        <v>3422</v>
      </c>
      <c r="H93" s="322">
        <f>Tabla14[[#This Row],[Importe]]-Tabla14[[#This Row],[Pagado]]</f>
        <v>0</v>
      </c>
      <c r="I93" s="325" t="s">
        <v>15214</v>
      </c>
    </row>
    <row r="94" spans="1:9" ht="30" x14ac:dyDescent="0.25">
      <c r="A94" s="359">
        <v>42979</v>
      </c>
      <c r="B94" s="326" t="s">
        <v>27795</v>
      </c>
      <c r="C94" s="327">
        <v>125853</v>
      </c>
      <c r="D94" s="391" t="s">
        <v>15537</v>
      </c>
      <c r="E94" s="328">
        <v>11760</v>
      </c>
      <c r="F94" s="329" t="s">
        <v>27796</v>
      </c>
      <c r="G94" s="328">
        <v>2000</v>
      </c>
      <c r="H94" s="322">
        <f>Tabla14[[#This Row],[Importe]]-Tabla14[[#This Row],[Pagado]]</f>
        <v>9760</v>
      </c>
      <c r="I94" s="331" t="s">
        <v>15214</v>
      </c>
    </row>
    <row r="95" spans="1:9" x14ac:dyDescent="0.25">
      <c r="A95" s="353">
        <v>42979</v>
      </c>
      <c r="B95" s="320" t="s">
        <v>27797</v>
      </c>
      <c r="C95" s="321">
        <v>125854</v>
      </c>
      <c r="D95" s="390" t="s">
        <v>19773</v>
      </c>
      <c r="E95" s="322">
        <v>18600.04</v>
      </c>
      <c r="F95" s="323">
        <v>42993</v>
      </c>
      <c r="G95" s="322">
        <v>18600.04</v>
      </c>
      <c r="H95" s="322">
        <f>Tabla14[[#This Row],[Importe]]-Tabla14[[#This Row],[Pagado]]</f>
        <v>0</v>
      </c>
      <c r="I95" s="325" t="s">
        <v>15214</v>
      </c>
    </row>
    <row r="96" spans="1:9" x14ac:dyDescent="0.25">
      <c r="A96" s="359">
        <v>42979</v>
      </c>
      <c r="B96" s="326" t="s">
        <v>27798</v>
      </c>
      <c r="C96" s="327">
        <v>125855</v>
      </c>
      <c r="D96" s="391" t="s">
        <v>15539</v>
      </c>
      <c r="E96" s="328">
        <v>11886.9</v>
      </c>
      <c r="F96" s="329" t="s">
        <v>27799</v>
      </c>
      <c r="G96" s="328">
        <v>11886.9</v>
      </c>
      <c r="H96" s="322">
        <f>Tabla14[[#This Row],[Importe]]-Tabla14[[#This Row],[Pagado]]</f>
        <v>0</v>
      </c>
      <c r="I96" s="331" t="s">
        <v>15214</v>
      </c>
    </row>
    <row r="97" spans="1:9" x14ac:dyDescent="0.25">
      <c r="A97" s="353">
        <v>42979</v>
      </c>
      <c r="B97" s="320" t="s">
        <v>27800</v>
      </c>
      <c r="C97" s="321">
        <v>125856</v>
      </c>
      <c r="D97" s="390" t="s">
        <v>15282</v>
      </c>
      <c r="E97" s="322">
        <v>2772.7</v>
      </c>
      <c r="F97" s="323">
        <v>42979</v>
      </c>
      <c r="G97" s="322">
        <v>2772.7</v>
      </c>
      <c r="H97" s="322">
        <f>Tabla14[[#This Row],[Importe]]-Tabla14[[#This Row],[Pagado]]</f>
        <v>0</v>
      </c>
      <c r="I97" s="325" t="s">
        <v>15214</v>
      </c>
    </row>
    <row r="98" spans="1:9" x14ac:dyDescent="0.25">
      <c r="A98" s="359">
        <v>42979</v>
      </c>
      <c r="B98" s="326" t="s">
        <v>27801</v>
      </c>
      <c r="C98" s="327">
        <v>125857</v>
      </c>
      <c r="D98" s="391" t="s">
        <v>15559</v>
      </c>
      <c r="E98" s="328">
        <v>11126.7</v>
      </c>
      <c r="F98" s="329">
        <v>42984</v>
      </c>
      <c r="G98" s="328">
        <v>11126.7</v>
      </c>
      <c r="H98" s="322">
        <f>Tabla14[[#This Row],[Importe]]-Tabla14[[#This Row],[Pagado]]</f>
        <v>0</v>
      </c>
      <c r="I98" s="331" t="s">
        <v>15214</v>
      </c>
    </row>
    <row r="99" spans="1:9" x14ac:dyDescent="0.25">
      <c r="A99" s="353">
        <v>42979</v>
      </c>
      <c r="B99" s="320" t="s">
        <v>27802</v>
      </c>
      <c r="C99" s="321">
        <v>125858</v>
      </c>
      <c r="D99" s="390" t="s">
        <v>15315</v>
      </c>
      <c r="E99" s="322">
        <v>1272</v>
      </c>
      <c r="F99" s="323">
        <v>42984</v>
      </c>
      <c r="G99" s="322">
        <v>1272</v>
      </c>
      <c r="H99" s="322">
        <f>Tabla14[[#This Row],[Importe]]-Tabla14[[#This Row],[Pagado]]</f>
        <v>0</v>
      </c>
      <c r="I99" s="325" t="s">
        <v>15214</v>
      </c>
    </row>
    <row r="100" spans="1:9" x14ac:dyDescent="0.25">
      <c r="A100" s="359">
        <v>42979</v>
      </c>
      <c r="B100" s="326" t="s">
        <v>27803</v>
      </c>
      <c r="C100" s="327">
        <v>125859</v>
      </c>
      <c r="D100" s="391" t="s">
        <v>15315</v>
      </c>
      <c r="E100" s="328">
        <v>32600.55</v>
      </c>
      <c r="F100" s="329">
        <v>42984</v>
      </c>
      <c r="G100" s="328">
        <v>32600.55</v>
      </c>
      <c r="H100" s="322">
        <f>Tabla14[[#This Row],[Importe]]-Tabla14[[#This Row],[Pagado]]</f>
        <v>0</v>
      </c>
      <c r="I100" s="331" t="s">
        <v>15214</v>
      </c>
    </row>
    <row r="101" spans="1:9" x14ac:dyDescent="0.25">
      <c r="A101" s="353">
        <v>42979</v>
      </c>
      <c r="B101" s="320" t="s">
        <v>27804</v>
      </c>
      <c r="C101" s="321">
        <v>125860</v>
      </c>
      <c r="D101" s="390" t="s">
        <v>15315</v>
      </c>
      <c r="E101" s="322">
        <v>4316.3999999999996</v>
      </c>
      <c r="F101" s="323">
        <v>42984</v>
      </c>
      <c r="G101" s="322">
        <v>4316.3999999999996</v>
      </c>
      <c r="H101" s="322">
        <f>Tabla14[[#This Row],[Importe]]-Tabla14[[#This Row],[Pagado]]</f>
        <v>0</v>
      </c>
      <c r="I101" s="325" t="s">
        <v>15214</v>
      </c>
    </row>
    <row r="102" spans="1:9" ht="30" x14ac:dyDescent="0.25">
      <c r="A102" s="359">
        <v>42979</v>
      </c>
      <c r="B102" s="326" t="s">
        <v>27805</v>
      </c>
      <c r="C102" s="327">
        <v>125861</v>
      </c>
      <c r="D102" s="391" t="s">
        <v>15555</v>
      </c>
      <c r="E102" s="328">
        <v>33325.15</v>
      </c>
      <c r="F102" s="329" t="s">
        <v>27695</v>
      </c>
      <c r="G102" s="334">
        <f>11350+13000+8975.15</f>
        <v>33325.15</v>
      </c>
      <c r="H102" s="334">
        <f>Tabla14[[#This Row],[Importe]]-Tabla14[[#This Row],[Pagado]]</f>
        <v>0</v>
      </c>
      <c r="I102" s="331" t="s">
        <v>15214</v>
      </c>
    </row>
    <row r="103" spans="1:9" x14ac:dyDescent="0.25">
      <c r="A103" s="353">
        <v>42979</v>
      </c>
      <c r="B103" s="320" t="s">
        <v>27806</v>
      </c>
      <c r="C103" s="321">
        <v>125862</v>
      </c>
      <c r="D103" s="390" t="s">
        <v>15448</v>
      </c>
      <c r="E103" s="322">
        <v>153915.03</v>
      </c>
      <c r="F103" s="323">
        <v>42980</v>
      </c>
      <c r="G103" s="322">
        <v>153915.03</v>
      </c>
      <c r="H103" s="322">
        <f>Tabla14[[#This Row],[Importe]]-Tabla14[[#This Row],[Pagado]]</f>
        <v>0</v>
      </c>
      <c r="I103" s="325" t="s">
        <v>15214</v>
      </c>
    </row>
    <row r="104" spans="1:9" ht="30" x14ac:dyDescent="0.25">
      <c r="A104" s="359">
        <v>42979</v>
      </c>
      <c r="B104" s="326" t="s">
        <v>27807</v>
      </c>
      <c r="C104" s="327">
        <v>125863</v>
      </c>
      <c r="D104" s="391" t="s">
        <v>15557</v>
      </c>
      <c r="E104" s="328">
        <v>27807.200000000001</v>
      </c>
      <c r="F104" s="329" t="s">
        <v>35708</v>
      </c>
      <c r="G104" s="350">
        <f>3000+2500+2000</f>
        <v>7500</v>
      </c>
      <c r="H104" s="393">
        <f>Tabla14[[#This Row],[Importe]]-Tabla14[[#This Row],[Pagado]]</f>
        <v>20307.2</v>
      </c>
      <c r="I104" s="331" t="s">
        <v>15214</v>
      </c>
    </row>
    <row r="105" spans="1:9" x14ac:dyDescent="0.25">
      <c r="A105" s="353">
        <v>42979</v>
      </c>
      <c r="B105" s="320" t="s">
        <v>27808</v>
      </c>
      <c r="C105" s="321">
        <v>125864</v>
      </c>
      <c r="D105" s="390" t="s">
        <v>15267</v>
      </c>
      <c r="E105" s="322">
        <v>5262.4</v>
      </c>
      <c r="F105" s="323">
        <v>42979</v>
      </c>
      <c r="G105" s="322">
        <v>5262.4</v>
      </c>
      <c r="H105" s="322">
        <f>Tabla14[[#This Row],[Importe]]-Tabla14[[#This Row],[Pagado]]</f>
        <v>0</v>
      </c>
      <c r="I105" s="325" t="s">
        <v>15214</v>
      </c>
    </row>
    <row r="106" spans="1:9" x14ac:dyDescent="0.25">
      <c r="A106" s="359">
        <v>42979</v>
      </c>
      <c r="B106" s="326" t="s">
        <v>27809</v>
      </c>
      <c r="C106" s="327">
        <v>125865</v>
      </c>
      <c r="D106" s="391" t="s">
        <v>15272</v>
      </c>
      <c r="E106" s="328">
        <v>2678.4</v>
      </c>
      <c r="F106" s="329">
        <v>42979</v>
      </c>
      <c r="G106" s="328">
        <v>2678.4</v>
      </c>
      <c r="H106" s="322">
        <f>Tabla14[[#This Row],[Importe]]-Tabla14[[#This Row],[Pagado]]</f>
        <v>0</v>
      </c>
      <c r="I106" s="331" t="s">
        <v>15214</v>
      </c>
    </row>
    <row r="107" spans="1:9" x14ac:dyDescent="0.25">
      <c r="A107" s="353">
        <v>42979</v>
      </c>
      <c r="B107" s="320" t="s">
        <v>27810</v>
      </c>
      <c r="C107" s="321">
        <v>125866</v>
      </c>
      <c r="D107" s="390" t="s">
        <v>15213</v>
      </c>
      <c r="E107" s="322">
        <v>6426</v>
      </c>
      <c r="F107" s="323">
        <v>42980</v>
      </c>
      <c r="G107" s="322">
        <v>6426</v>
      </c>
      <c r="H107" s="322">
        <f>Tabla14[[#This Row],[Importe]]-Tabla14[[#This Row],[Pagado]]</f>
        <v>0</v>
      </c>
      <c r="I107" s="325" t="s">
        <v>15214</v>
      </c>
    </row>
    <row r="108" spans="1:9" x14ac:dyDescent="0.25">
      <c r="A108" s="359">
        <v>42979</v>
      </c>
      <c r="B108" s="326" t="s">
        <v>27811</v>
      </c>
      <c r="C108" s="327">
        <v>125867</v>
      </c>
      <c r="D108" s="391" t="s">
        <v>15315</v>
      </c>
      <c r="E108" s="328">
        <v>3474.4</v>
      </c>
      <c r="F108" s="329">
        <v>42984</v>
      </c>
      <c r="G108" s="328">
        <v>3474.4</v>
      </c>
      <c r="H108" s="322">
        <f>Tabla14[[#This Row],[Importe]]-Tabla14[[#This Row],[Pagado]]</f>
        <v>0</v>
      </c>
      <c r="I108" s="331" t="s">
        <v>15214</v>
      </c>
    </row>
    <row r="109" spans="1:9" x14ac:dyDescent="0.25">
      <c r="A109" s="353">
        <v>42979</v>
      </c>
      <c r="B109" s="320" t="s">
        <v>27812</v>
      </c>
      <c r="C109" s="321">
        <v>125868</v>
      </c>
      <c r="D109" s="390" t="s">
        <v>15987</v>
      </c>
      <c r="E109" s="322">
        <v>952.8</v>
      </c>
      <c r="F109" s="323">
        <v>42979</v>
      </c>
      <c r="G109" s="322">
        <v>952.8</v>
      </c>
      <c r="H109" s="322">
        <f>Tabla14[[#This Row],[Importe]]-Tabla14[[#This Row],[Pagado]]</f>
        <v>0</v>
      </c>
      <c r="I109" s="325" t="s">
        <v>15214</v>
      </c>
    </row>
    <row r="110" spans="1:9" x14ac:dyDescent="0.25">
      <c r="A110" s="359">
        <v>42979</v>
      </c>
      <c r="B110" s="326" t="s">
        <v>27813</v>
      </c>
      <c r="C110" s="327">
        <v>125869</v>
      </c>
      <c r="D110" s="391" t="s">
        <v>15315</v>
      </c>
      <c r="E110" s="328">
        <v>875.1</v>
      </c>
      <c r="F110" s="329">
        <v>42979</v>
      </c>
      <c r="G110" s="328">
        <v>875.1</v>
      </c>
      <c r="H110" s="322">
        <f>Tabla14[[#This Row],[Importe]]-Tabla14[[#This Row],[Pagado]]</f>
        <v>0</v>
      </c>
      <c r="I110" s="331" t="s">
        <v>15214</v>
      </c>
    </row>
    <row r="111" spans="1:9" x14ac:dyDescent="0.25">
      <c r="A111" s="353">
        <v>42979</v>
      </c>
      <c r="B111" s="320" t="s">
        <v>27814</v>
      </c>
      <c r="C111" s="321">
        <v>125870</v>
      </c>
      <c r="D111" s="390" t="s">
        <v>19768</v>
      </c>
      <c r="E111" s="322">
        <v>1440</v>
      </c>
      <c r="F111" s="323">
        <v>42979</v>
      </c>
      <c r="G111" s="322">
        <v>1440</v>
      </c>
      <c r="H111" s="322">
        <f>Tabla14[[#This Row],[Importe]]-Tabla14[[#This Row],[Pagado]]</f>
        <v>0</v>
      </c>
      <c r="I111" s="325" t="s">
        <v>15214</v>
      </c>
    </row>
    <row r="112" spans="1:9" ht="15.75" x14ac:dyDescent="0.25">
      <c r="A112" s="359">
        <v>42979</v>
      </c>
      <c r="B112" s="326" t="s">
        <v>27815</v>
      </c>
      <c r="C112" s="327">
        <v>125871</v>
      </c>
      <c r="D112" s="345" t="s">
        <v>95</v>
      </c>
      <c r="E112" s="328">
        <v>0</v>
      </c>
      <c r="F112" s="346" t="s">
        <v>95</v>
      </c>
      <c r="G112" s="328">
        <v>0</v>
      </c>
      <c r="H112" s="322">
        <f>Tabla14[[#This Row],[Importe]]-Tabla14[[#This Row],[Pagado]]</f>
        <v>0</v>
      </c>
      <c r="I112" s="331" t="s">
        <v>95</v>
      </c>
    </row>
    <row r="113" spans="1:9" x14ac:dyDescent="0.25">
      <c r="A113" s="353">
        <v>42979</v>
      </c>
      <c r="B113" s="320" t="s">
        <v>27816</v>
      </c>
      <c r="C113" s="321">
        <v>125872</v>
      </c>
      <c r="D113" s="390" t="s">
        <v>16048</v>
      </c>
      <c r="E113" s="322">
        <v>685.4</v>
      </c>
      <c r="F113" s="323">
        <v>42979</v>
      </c>
      <c r="G113" s="322">
        <v>685.4</v>
      </c>
      <c r="H113" s="322">
        <f>Tabla14[[#This Row],[Importe]]-Tabla14[[#This Row],[Pagado]]</f>
        <v>0</v>
      </c>
      <c r="I113" s="325" t="s">
        <v>15214</v>
      </c>
    </row>
    <row r="114" spans="1:9" x14ac:dyDescent="0.25">
      <c r="A114" s="359">
        <v>42979</v>
      </c>
      <c r="B114" s="326" t="s">
        <v>27817</v>
      </c>
      <c r="C114" s="327">
        <v>125873</v>
      </c>
      <c r="D114" s="391" t="s">
        <v>15324</v>
      </c>
      <c r="E114" s="328">
        <v>3440</v>
      </c>
      <c r="F114" s="329">
        <v>42980</v>
      </c>
      <c r="G114" s="328">
        <v>3440</v>
      </c>
      <c r="H114" s="322">
        <f>Tabla14[[#This Row],[Importe]]-Tabla14[[#This Row],[Pagado]]</f>
        <v>0</v>
      </c>
      <c r="I114" s="331" t="s">
        <v>15214</v>
      </c>
    </row>
    <row r="115" spans="1:9" x14ac:dyDescent="0.25">
      <c r="A115" s="353">
        <v>42979</v>
      </c>
      <c r="B115" s="320" t="s">
        <v>27818</v>
      </c>
      <c r="C115" s="321">
        <v>125874</v>
      </c>
      <c r="D115" s="390" t="s">
        <v>15298</v>
      </c>
      <c r="E115" s="322">
        <v>17874.900000000001</v>
      </c>
      <c r="F115" s="323">
        <v>42982</v>
      </c>
      <c r="G115" s="322">
        <v>17874.900000000001</v>
      </c>
      <c r="H115" s="322">
        <f>Tabla14[[#This Row],[Importe]]-Tabla14[[#This Row],[Pagado]]</f>
        <v>0</v>
      </c>
      <c r="I115" s="325" t="s">
        <v>15214</v>
      </c>
    </row>
    <row r="116" spans="1:9" x14ac:dyDescent="0.25">
      <c r="A116" s="359">
        <v>42979</v>
      </c>
      <c r="B116" s="326" t="s">
        <v>27819</v>
      </c>
      <c r="C116" s="327">
        <v>125875</v>
      </c>
      <c r="D116" s="391" t="s">
        <v>15284</v>
      </c>
      <c r="E116" s="328">
        <v>1617</v>
      </c>
      <c r="F116" s="329">
        <v>42979</v>
      </c>
      <c r="G116" s="328">
        <v>1617</v>
      </c>
      <c r="H116" s="322">
        <f>Tabla14[[#This Row],[Importe]]-Tabla14[[#This Row],[Pagado]]</f>
        <v>0</v>
      </c>
      <c r="I116" s="331" t="s">
        <v>15214</v>
      </c>
    </row>
    <row r="117" spans="1:9" x14ac:dyDescent="0.25">
      <c r="A117" s="353">
        <v>42979</v>
      </c>
      <c r="B117" s="320" t="s">
        <v>27820</v>
      </c>
      <c r="C117" s="321">
        <v>125876</v>
      </c>
      <c r="D117" s="390" t="s">
        <v>15213</v>
      </c>
      <c r="E117" s="322">
        <v>6140.4</v>
      </c>
      <c r="F117" s="323">
        <v>42981</v>
      </c>
      <c r="G117" s="322">
        <v>6140.4</v>
      </c>
      <c r="H117" s="322">
        <f>Tabla14[[#This Row],[Importe]]-Tabla14[[#This Row],[Pagado]]</f>
        <v>0</v>
      </c>
      <c r="I117" s="325" t="s">
        <v>15214</v>
      </c>
    </row>
    <row r="118" spans="1:9" x14ac:dyDescent="0.25">
      <c r="A118" s="359">
        <v>42979</v>
      </c>
      <c r="B118" s="326" t="s">
        <v>27821</v>
      </c>
      <c r="C118" s="327">
        <v>125877</v>
      </c>
      <c r="D118" s="391" t="s">
        <v>15315</v>
      </c>
      <c r="E118" s="328">
        <v>7088.9</v>
      </c>
      <c r="F118" s="329">
        <v>42980</v>
      </c>
      <c r="G118" s="328">
        <v>7088.9</v>
      </c>
      <c r="H118" s="322">
        <f>Tabla14[[#This Row],[Importe]]-Tabla14[[#This Row],[Pagado]]</f>
        <v>0</v>
      </c>
      <c r="I118" s="331" t="s">
        <v>15214</v>
      </c>
    </row>
    <row r="119" spans="1:9" x14ac:dyDescent="0.25">
      <c r="A119" s="353">
        <v>42979</v>
      </c>
      <c r="B119" s="320" t="s">
        <v>27822</v>
      </c>
      <c r="C119" s="321">
        <v>125878</v>
      </c>
      <c r="D119" s="390" t="s">
        <v>16129</v>
      </c>
      <c r="E119" s="322">
        <v>4479</v>
      </c>
      <c r="F119" s="323">
        <v>42986</v>
      </c>
      <c r="G119" s="322">
        <v>4479</v>
      </c>
      <c r="H119" s="322">
        <f>Tabla14[[#This Row],[Importe]]-Tabla14[[#This Row],[Pagado]]</f>
        <v>0</v>
      </c>
      <c r="I119" s="325" t="s">
        <v>15214</v>
      </c>
    </row>
    <row r="120" spans="1:9" x14ac:dyDescent="0.25">
      <c r="A120" s="359">
        <v>42979</v>
      </c>
      <c r="B120" s="326" t="s">
        <v>27823</v>
      </c>
      <c r="C120" s="327">
        <v>125879</v>
      </c>
      <c r="D120" s="391" t="s">
        <v>15276</v>
      </c>
      <c r="E120" s="328">
        <v>3840</v>
      </c>
      <c r="F120" s="329">
        <v>42980</v>
      </c>
      <c r="G120" s="328">
        <v>3840</v>
      </c>
      <c r="H120" s="322">
        <f>Tabla14[[#This Row],[Importe]]-Tabla14[[#This Row],[Pagado]]</f>
        <v>0</v>
      </c>
      <c r="I120" s="331" t="s">
        <v>15214</v>
      </c>
    </row>
    <row r="121" spans="1:9" x14ac:dyDescent="0.25">
      <c r="A121" s="353">
        <v>42979</v>
      </c>
      <c r="B121" s="320" t="s">
        <v>27824</v>
      </c>
      <c r="C121" s="321">
        <v>125880</v>
      </c>
      <c r="D121" s="390" t="s">
        <v>15417</v>
      </c>
      <c r="E121" s="322">
        <v>2820</v>
      </c>
      <c r="F121" s="323">
        <v>42980</v>
      </c>
      <c r="G121" s="322">
        <v>2820</v>
      </c>
      <c r="H121" s="322">
        <f>Tabla14[[#This Row],[Importe]]-Tabla14[[#This Row],[Pagado]]</f>
        <v>0</v>
      </c>
      <c r="I121" s="325" t="s">
        <v>15214</v>
      </c>
    </row>
    <row r="122" spans="1:9" x14ac:dyDescent="0.25">
      <c r="A122" s="359">
        <v>42979</v>
      </c>
      <c r="B122" s="326" t="s">
        <v>27825</v>
      </c>
      <c r="C122" s="327">
        <v>125881</v>
      </c>
      <c r="D122" s="391" t="s">
        <v>15628</v>
      </c>
      <c r="E122" s="328">
        <v>11061.48</v>
      </c>
      <c r="F122" s="329">
        <v>42979</v>
      </c>
      <c r="G122" s="328">
        <v>11061.48</v>
      </c>
      <c r="H122" s="322">
        <f>Tabla14[[#This Row],[Importe]]-Tabla14[[#This Row],[Pagado]]</f>
        <v>0</v>
      </c>
      <c r="I122" s="331" t="s">
        <v>15214</v>
      </c>
    </row>
    <row r="123" spans="1:9" x14ac:dyDescent="0.25">
      <c r="A123" s="353">
        <v>42979</v>
      </c>
      <c r="B123" s="320" t="s">
        <v>27826</v>
      </c>
      <c r="C123" s="321">
        <v>125882</v>
      </c>
      <c r="D123" s="390" t="s">
        <v>15934</v>
      </c>
      <c r="E123" s="322">
        <v>1251.7</v>
      </c>
      <c r="F123" s="323">
        <v>42980</v>
      </c>
      <c r="G123" s="322">
        <v>1251.7</v>
      </c>
      <c r="H123" s="322">
        <f>Tabla14[[#This Row],[Importe]]-Tabla14[[#This Row],[Pagado]]</f>
        <v>0</v>
      </c>
      <c r="I123" s="325" t="s">
        <v>15214</v>
      </c>
    </row>
    <row r="124" spans="1:9" x14ac:dyDescent="0.25">
      <c r="A124" s="359">
        <v>42979</v>
      </c>
      <c r="B124" s="326" t="s">
        <v>27827</v>
      </c>
      <c r="C124" s="327">
        <v>125883</v>
      </c>
      <c r="D124" s="391" t="s">
        <v>16277</v>
      </c>
      <c r="E124" s="328">
        <v>768.5</v>
      </c>
      <c r="F124" s="329">
        <v>42980</v>
      </c>
      <c r="G124" s="328">
        <v>768.5</v>
      </c>
      <c r="H124" s="322">
        <f>Tabla14[[#This Row],[Importe]]-Tabla14[[#This Row],[Pagado]]</f>
        <v>0</v>
      </c>
      <c r="I124" s="331" t="s">
        <v>15214</v>
      </c>
    </row>
    <row r="125" spans="1:9" x14ac:dyDescent="0.25">
      <c r="A125" s="353">
        <v>42979</v>
      </c>
      <c r="B125" s="320" t="s">
        <v>27828</v>
      </c>
      <c r="C125" s="321">
        <v>125884</v>
      </c>
      <c r="D125" s="390" t="s">
        <v>16288</v>
      </c>
      <c r="E125" s="322">
        <v>1223.8</v>
      </c>
      <c r="F125" s="323">
        <v>42980</v>
      </c>
      <c r="G125" s="322">
        <v>1223.8</v>
      </c>
      <c r="H125" s="322">
        <f>Tabla14[[#This Row],[Importe]]-Tabla14[[#This Row],[Pagado]]</f>
        <v>0</v>
      </c>
      <c r="I125" s="325" t="s">
        <v>15214</v>
      </c>
    </row>
    <row r="126" spans="1:9" x14ac:dyDescent="0.25">
      <c r="A126" s="359">
        <v>42979</v>
      </c>
      <c r="B126" s="326" t="s">
        <v>27829</v>
      </c>
      <c r="C126" s="327">
        <v>125885</v>
      </c>
      <c r="D126" s="391" t="s">
        <v>15716</v>
      </c>
      <c r="E126" s="328">
        <v>3202.1</v>
      </c>
      <c r="F126" s="329">
        <v>42979</v>
      </c>
      <c r="G126" s="328">
        <v>3202.1</v>
      </c>
      <c r="H126" s="322">
        <f>Tabla14[[#This Row],[Importe]]-Tabla14[[#This Row],[Pagado]]</f>
        <v>0</v>
      </c>
      <c r="I126" s="331" t="s">
        <v>15214</v>
      </c>
    </row>
    <row r="127" spans="1:9" x14ac:dyDescent="0.25">
      <c r="A127" s="353">
        <v>42979</v>
      </c>
      <c r="B127" s="320" t="s">
        <v>27830</v>
      </c>
      <c r="C127" s="321">
        <v>125886</v>
      </c>
      <c r="D127" s="390" t="s">
        <v>15423</v>
      </c>
      <c r="E127" s="322">
        <v>1756.5</v>
      </c>
      <c r="F127" s="323">
        <v>42979</v>
      </c>
      <c r="G127" s="322">
        <v>1756.5</v>
      </c>
      <c r="H127" s="322">
        <f>Tabla14[[#This Row],[Importe]]-Tabla14[[#This Row],[Pagado]]</f>
        <v>0</v>
      </c>
      <c r="I127" s="325" t="s">
        <v>15214</v>
      </c>
    </row>
    <row r="128" spans="1:9" x14ac:dyDescent="0.25">
      <c r="A128" s="359">
        <v>42979</v>
      </c>
      <c r="B128" s="326" t="s">
        <v>27831</v>
      </c>
      <c r="C128" s="327">
        <v>125887</v>
      </c>
      <c r="D128" s="391" t="s">
        <v>15614</v>
      </c>
      <c r="E128" s="328">
        <v>5135.3599999999997</v>
      </c>
      <c r="F128" s="329">
        <v>42987</v>
      </c>
      <c r="G128" s="328">
        <v>5135.3599999999997</v>
      </c>
      <c r="H128" s="322">
        <f>Tabla14[[#This Row],[Importe]]-Tabla14[[#This Row],[Pagado]]</f>
        <v>0</v>
      </c>
      <c r="I128" s="331" t="s">
        <v>15214</v>
      </c>
    </row>
    <row r="129" spans="1:9" x14ac:dyDescent="0.25">
      <c r="A129" s="353">
        <v>42979</v>
      </c>
      <c r="B129" s="320" t="s">
        <v>27832</v>
      </c>
      <c r="C129" s="321">
        <v>125888</v>
      </c>
      <c r="D129" s="390" t="s">
        <v>15920</v>
      </c>
      <c r="E129" s="322">
        <v>14287.8</v>
      </c>
      <c r="F129" s="323">
        <v>42991</v>
      </c>
      <c r="G129" s="322">
        <v>14287.8</v>
      </c>
      <c r="H129" s="322">
        <f>Tabla14[[#This Row],[Importe]]-Tabla14[[#This Row],[Pagado]]</f>
        <v>0</v>
      </c>
      <c r="I129" s="325" t="s">
        <v>15214</v>
      </c>
    </row>
    <row r="130" spans="1:9" x14ac:dyDescent="0.25">
      <c r="A130" s="359">
        <v>42979</v>
      </c>
      <c r="B130" s="326" t="s">
        <v>27833</v>
      </c>
      <c r="C130" s="327">
        <v>125889</v>
      </c>
      <c r="D130" s="391" t="s">
        <v>15590</v>
      </c>
      <c r="E130" s="328">
        <v>32767.35</v>
      </c>
      <c r="F130" s="329">
        <v>42992</v>
      </c>
      <c r="G130" s="328">
        <v>32767.35</v>
      </c>
      <c r="H130" s="322">
        <f>Tabla14[[#This Row],[Importe]]-Tabla14[[#This Row],[Pagado]]</f>
        <v>0</v>
      </c>
      <c r="I130" s="331" t="s">
        <v>15214</v>
      </c>
    </row>
    <row r="131" spans="1:9" x14ac:dyDescent="0.25">
      <c r="A131" s="353">
        <v>42979</v>
      </c>
      <c r="B131" s="320" t="s">
        <v>27834</v>
      </c>
      <c r="C131" s="321">
        <v>125890</v>
      </c>
      <c r="D131" s="390" t="s">
        <v>15444</v>
      </c>
      <c r="E131" s="322">
        <v>1825.2</v>
      </c>
      <c r="F131" s="323">
        <v>42980</v>
      </c>
      <c r="G131" s="322">
        <v>1825.2</v>
      </c>
      <c r="H131" s="322">
        <f>Tabla14[[#This Row],[Importe]]-Tabla14[[#This Row],[Pagado]]</f>
        <v>0</v>
      </c>
      <c r="I131" s="325" t="s">
        <v>15214</v>
      </c>
    </row>
    <row r="132" spans="1:9" x14ac:dyDescent="0.25">
      <c r="A132" s="359">
        <v>42979</v>
      </c>
      <c r="B132" s="326" t="s">
        <v>27835</v>
      </c>
      <c r="C132" s="327">
        <v>125891</v>
      </c>
      <c r="D132" s="391" t="s">
        <v>15391</v>
      </c>
      <c r="E132" s="328">
        <v>10800</v>
      </c>
      <c r="F132" s="329">
        <v>42983</v>
      </c>
      <c r="G132" s="328">
        <v>10800</v>
      </c>
      <c r="H132" s="322">
        <f>Tabla14[[#This Row],[Importe]]-Tabla14[[#This Row],[Pagado]]</f>
        <v>0</v>
      </c>
      <c r="I132" s="331" t="s">
        <v>15214</v>
      </c>
    </row>
    <row r="133" spans="1:9" ht="15.75" x14ac:dyDescent="0.25">
      <c r="A133" s="353">
        <v>42979</v>
      </c>
      <c r="B133" s="320" t="s">
        <v>27836</v>
      </c>
      <c r="C133" s="321">
        <v>125892</v>
      </c>
      <c r="D133" s="332" t="s">
        <v>95</v>
      </c>
      <c r="E133" s="322">
        <v>0</v>
      </c>
      <c r="F133" s="333" t="s">
        <v>95</v>
      </c>
      <c r="G133" s="322">
        <v>0</v>
      </c>
      <c r="H133" s="322">
        <f>Tabla14[[#This Row],[Importe]]-Tabla14[[#This Row],[Pagado]]</f>
        <v>0</v>
      </c>
      <c r="I133" s="325" t="s">
        <v>95</v>
      </c>
    </row>
    <row r="134" spans="1:9" x14ac:dyDescent="0.25">
      <c r="A134" s="359">
        <v>42979</v>
      </c>
      <c r="B134" s="326" t="s">
        <v>27837</v>
      </c>
      <c r="C134" s="327">
        <v>125893</v>
      </c>
      <c r="D134" s="391" t="s">
        <v>15706</v>
      </c>
      <c r="E134" s="328">
        <v>308</v>
      </c>
      <c r="F134" s="329">
        <v>42979</v>
      </c>
      <c r="G134" s="328">
        <v>308</v>
      </c>
      <c r="H134" s="322">
        <f>Tabla14[[#This Row],[Importe]]-Tabla14[[#This Row],[Pagado]]</f>
        <v>0</v>
      </c>
      <c r="I134" s="331" t="s">
        <v>15214</v>
      </c>
    </row>
    <row r="135" spans="1:9" x14ac:dyDescent="0.25">
      <c r="A135" s="353">
        <v>42979</v>
      </c>
      <c r="B135" s="320" t="s">
        <v>27838</v>
      </c>
      <c r="C135" s="321">
        <v>125894</v>
      </c>
      <c r="D135" s="390" t="s">
        <v>15387</v>
      </c>
      <c r="E135" s="322">
        <v>1359.8</v>
      </c>
      <c r="F135" s="323">
        <v>42979</v>
      </c>
      <c r="G135" s="322">
        <v>1359.8</v>
      </c>
      <c r="H135" s="322">
        <f>Tabla14[[#This Row],[Importe]]-Tabla14[[#This Row],[Pagado]]</f>
        <v>0</v>
      </c>
      <c r="I135" s="325" t="s">
        <v>15214</v>
      </c>
    </row>
    <row r="136" spans="1:9" x14ac:dyDescent="0.25">
      <c r="A136" s="359">
        <v>42979</v>
      </c>
      <c r="B136" s="326" t="s">
        <v>27839</v>
      </c>
      <c r="C136" s="327">
        <v>125895</v>
      </c>
      <c r="D136" s="391" t="s">
        <v>15725</v>
      </c>
      <c r="E136" s="328">
        <v>21677.4</v>
      </c>
      <c r="F136" s="329">
        <v>42981</v>
      </c>
      <c r="G136" s="328">
        <v>21677.4</v>
      </c>
      <c r="H136" s="322">
        <f>Tabla14[[#This Row],[Importe]]-Tabla14[[#This Row],[Pagado]]</f>
        <v>0</v>
      </c>
      <c r="I136" s="331" t="s">
        <v>15214</v>
      </c>
    </row>
    <row r="137" spans="1:9" ht="15.75" x14ac:dyDescent="0.25">
      <c r="A137" s="353">
        <v>42979</v>
      </c>
      <c r="B137" s="320" t="s">
        <v>27840</v>
      </c>
      <c r="C137" s="321">
        <v>125896</v>
      </c>
      <c r="D137" s="332" t="s">
        <v>95</v>
      </c>
      <c r="E137" s="322">
        <v>0</v>
      </c>
      <c r="F137" s="333" t="s">
        <v>95</v>
      </c>
      <c r="G137" s="322">
        <v>0</v>
      </c>
      <c r="H137" s="322">
        <f>Tabla14[[#This Row],[Importe]]-Tabla14[[#This Row],[Pagado]]</f>
        <v>0</v>
      </c>
      <c r="I137" s="325" t="s">
        <v>95</v>
      </c>
    </row>
    <row r="138" spans="1:9" x14ac:dyDescent="0.25">
      <c r="A138" s="359">
        <v>42979</v>
      </c>
      <c r="B138" s="326" t="s">
        <v>27841</v>
      </c>
      <c r="C138" s="327">
        <v>125897</v>
      </c>
      <c r="D138" s="391" t="s">
        <v>15594</v>
      </c>
      <c r="E138" s="328">
        <v>2765</v>
      </c>
      <c r="F138" s="329">
        <v>42980</v>
      </c>
      <c r="G138" s="328">
        <v>2765</v>
      </c>
      <c r="H138" s="322">
        <f>Tabla14[[#This Row],[Importe]]-Tabla14[[#This Row],[Pagado]]</f>
        <v>0</v>
      </c>
      <c r="I138" s="331" t="s">
        <v>15214</v>
      </c>
    </row>
    <row r="139" spans="1:9" x14ac:dyDescent="0.25">
      <c r="A139" s="353">
        <v>42979</v>
      </c>
      <c r="B139" s="320" t="s">
        <v>27842</v>
      </c>
      <c r="C139" s="321">
        <v>125898</v>
      </c>
      <c r="D139" s="390" t="s">
        <v>15810</v>
      </c>
      <c r="E139" s="322">
        <v>237.6</v>
      </c>
      <c r="F139" s="323">
        <v>42979</v>
      </c>
      <c r="G139" s="322">
        <v>237.6</v>
      </c>
      <c r="H139" s="322">
        <f>Tabla14[[#This Row],[Importe]]-Tabla14[[#This Row],[Pagado]]</f>
        <v>0</v>
      </c>
      <c r="I139" s="325" t="s">
        <v>15214</v>
      </c>
    </row>
    <row r="140" spans="1:9" x14ac:dyDescent="0.25">
      <c r="A140" s="359">
        <v>42979</v>
      </c>
      <c r="B140" s="326" t="s">
        <v>27843</v>
      </c>
      <c r="C140" s="327">
        <v>125899</v>
      </c>
      <c r="D140" s="391" t="s">
        <v>15810</v>
      </c>
      <c r="E140" s="328">
        <v>503.2</v>
      </c>
      <c r="F140" s="329">
        <v>42979</v>
      </c>
      <c r="G140" s="328">
        <v>503.2</v>
      </c>
      <c r="H140" s="322">
        <f>Tabla14[[#This Row],[Importe]]-Tabla14[[#This Row],[Pagado]]</f>
        <v>0</v>
      </c>
      <c r="I140" s="331" t="s">
        <v>15214</v>
      </c>
    </row>
    <row r="141" spans="1:9" x14ac:dyDescent="0.25">
      <c r="A141" s="353">
        <v>42979</v>
      </c>
      <c r="B141" s="320" t="s">
        <v>27844</v>
      </c>
      <c r="C141" s="321">
        <v>125900</v>
      </c>
      <c r="D141" s="390" t="s">
        <v>15433</v>
      </c>
      <c r="E141" s="322">
        <v>2375.4499999999998</v>
      </c>
      <c r="F141" s="323">
        <v>42979</v>
      </c>
      <c r="G141" s="322">
        <v>2375.4499999999998</v>
      </c>
      <c r="H141" s="322">
        <f>Tabla14[[#This Row],[Importe]]-Tabla14[[#This Row],[Pagado]]</f>
        <v>0</v>
      </c>
      <c r="I141" s="325" t="s">
        <v>15214</v>
      </c>
    </row>
    <row r="142" spans="1:9" x14ac:dyDescent="0.25">
      <c r="A142" s="359">
        <v>42979</v>
      </c>
      <c r="B142" s="326" t="s">
        <v>27845</v>
      </c>
      <c r="C142" s="327">
        <v>125901</v>
      </c>
      <c r="D142" s="391" t="s">
        <v>17462</v>
      </c>
      <c r="E142" s="328">
        <v>2174.8000000000002</v>
      </c>
      <c r="F142" s="329">
        <v>42979</v>
      </c>
      <c r="G142" s="328">
        <v>2174.8000000000002</v>
      </c>
      <c r="H142" s="322">
        <f>Tabla14[[#This Row],[Importe]]-Tabla14[[#This Row],[Pagado]]</f>
        <v>0</v>
      </c>
      <c r="I142" s="331" t="s">
        <v>15214</v>
      </c>
    </row>
    <row r="143" spans="1:9" x14ac:dyDescent="0.25">
      <c r="A143" s="353">
        <v>42979</v>
      </c>
      <c r="B143" s="320" t="s">
        <v>27846</v>
      </c>
      <c r="C143" s="321">
        <v>125902</v>
      </c>
      <c r="D143" s="390" t="s">
        <v>15365</v>
      </c>
      <c r="E143" s="322">
        <v>18860.5</v>
      </c>
      <c r="F143" s="323">
        <v>42980</v>
      </c>
      <c r="G143" s="322">
        <v>18860.5</v>
      </c>
      <c r="H143" s="322">
        <f>Tabla14[[#This Row],[Importe]]-Tabla14[[#This Row],[Pagado]]</f>
        <v>0</v>
      </c>
      <c r="I143" s="325" t="s">
        <v>15214</v>
      </c>
    </row>
    <row r="144" spans="1:9" x14ac:dyDescent="0.25">
      <c r="A144" s="359">
        <v>42979</v>
      </c>
      <c r="B144" s="326" t="s">
        <v>27847</v>
      </c>
      <c r="C144" s="327">
        <v>125903</v>
      </c>
      <c r="D144" s="391" t="s">
        <v>15246</v>
      </c>
      <c r="E144" s="328">
        <v>56158.3</v>
      </c>
      <c r="F144" s="329">
        <v>42984</v>
      </c>
      <c r="G144" s="328">
        <v>56158.3</v>
      </c>
      <c r="H144" s="322">
        <f>Tabla14[[#This Row],[Importe]]-Tabla14[[#This Row],[Pagado]]</f>
        <v>0</v>
      </c>
      <c r="I144" s="331" t="s">
        <v>15214</v>
      </c>
    </row>
    <row r="145" spans="1:9" x14ac:dyDescent="0.25">
      <c r="A145" s="353">
        <v>42979</v>
      </c>
      <c r="B145" s="320" t="s">
        <v>27848</v>
      </c>
      <c r="C145" s="321">
        <v>125904</v>
      </c>
      <c r="D145" s="390" t="s">
        <v>15435</v>
      </c>
      <c r="E145" s="322">
        <v>9061.2000000000007</v>
      </c>
      <c r="F145" s="323">
        <v>42979</v>
      </c>
      <c r="G145" s="322">
        <v>9061.2000000000007</v>
      </c>
      <c r="H145" s="322">
        <f>Tabla14[[#This Row],[Importe]]-Tabla14[[#This Row],[Pagado]]</f>
        <v>0</v>
      </c>
      <c r="I145" s="325" t="s">
        <v>15214</v>
      </c>
    </row>
    <row r="146" spans="1:9" x14ac:dyDescent="0.25">
      <c r="A146" s="359">
        <v>42979</v>
      </c>
      <c r="B146" s="326" t="s">
        <v>27849</v>
      </c>
      <c r="C146" s="327">
        <v>125905</v>
      </c>
      <c r="D146" s="391" t="s">
        <v>15365</v>
      </c>
      <c r="E146" s="328">
        <v>261366</v>
      </c>
      <c r="F146" s="329">
        <v>42984</v>
      </c>
      <c r="G146" s="328">
        <v>261366</v>
      </c>
      <c r="H146" s="322">
        <f>Tabla14[[#This Row],[Importe]]-Tabla14[[#This Row],[Pagado]]</f>
        <v>0</v>
      </c>
      <c r="I146" s="331" t="s">
        <v>15214</v>
      </c>
    </row>
    <row r="147" spans="1:9" x14ac:dyDescent="0.25">
      <c r="A147" s="353">
        <v>42979</v>
      </c>
      <c r="B147" s="320" t="s">
        <v>27850</v>
      </c>
      <c r="C147" s="321">
        <v>125906</v>
      </c>
      <c r="D147" s="390" t="s">
        <v>15365</v>
      </c>
      <c r="E147" s="322">
        <v>445627</v>
      </c>
      <c r="F147" s="323">
        <v>42984</v>
      </c>
      <c r="G147" s="322">
        <v>445627</v>
      </c>
      <c r="H147" s="322">
        <f>Tabla14[[#This Row],[Importe]]-Tabla14[[#This Row],[Pagado]]</f>
        <v>0</v>
      </c>
      <c r="I147" s="325" t="s">
        <v>15214</v>
      </c>
    </row>
    <row r="148" spans="1:9" x14ac:dyDescent="0.25">
      <c r="A148" s="359">
        <v>42979</v>
      </c>
      <c r="B148" s="326" t="s">
        <v>27851</v>
      </c>
      <c r="C148" s="327">
        <v>125907</v>
      </c>
      <c r="D148" s="391" t="s">
        <v>15315</v>
      </c>
      <c r="E148" s="328">
        <v>1795.2</v>
      </c>
      <c r="F148" s="329">
        <v>42983</v>
      </c>
      <c r="G148" s="328">
        <v>1795.2</v>
      </c>
      <c r="H148" s="322">
        <f>Tabla14[[#This Row],[Importe]]-Tabla14[[#This Row],[Pagado]]</f>
        <v>0</v>
      </c>
      <c r="I148" s="331" t="s">
        <v>15214</v>
      </c>
    </row>
    <row r="149" spans="1:9" x14ac:dyDescent="0.25">
      <c r="A149" s="353">
        <v>42979</v>
      </c>
      <c r="B149" s="320" t="s">
        <v>27852</v>
      </c>
      <c r="C149" s="321">
        <v>125908</v>
      </c>
      <c r="D149" s="390" t="s">
        <v>15421</v>
      </c>
      <c r="E149" s="322">
        <v>420</v>
      </c>
      <c r="F149" s="323">
        <v>42979</v>
      </c>
      <c r="G149" s="322">
        <v>420</v>
      </c>
      <c r="H149" s="322">
        <f>Tabla14[[#This Row],[Importe]]-Tabla14[[#This Row],[Pagado]]</f>
        <v>0</v>
      </c>
      <c r="I149" s="325" t="s">
        <v>15214</v>
      </c>
    </row>
    <row r="150" spans="1:9" x14ac:dyDescent="0.25">
      <c r="A150" s="359">
        <v>42979</v>
      </c>
      <c r="B150" s="326" t="s">
        <v>27853</v>
      </c>
      <c r="C150" s="327">
        <v>125909</v>
      </c>
      <c r="D150" s="391" t="s">
        <v>15421</v>
      </c>
      <c r="E150" s="328">
        <v>445.5</v>
      </c>
      <c r="F150" s="329">
        <v>42979</v>
      </c>
      <c r="G150" s="328">
        <v>445.5</v>
      </c>
      <c r="H150" s="322">
        <f>Tabla14[[#This Row],[Importe]]-Tabla14[[#This Row],[Pagado]]</f>
        <v>0</v>
      </c>
      <c r="I150" s="331" t="s">
        <v>15214</v>
      </c>
    </row>
    <row r="151" spans="1:9" x14ac:dyDescent="0.25">
      <c r="A151" s="353">
        <v>42979</v>
      </c>
      <c r="B151" s="320" t="s">
        <v>27854</v>
      </c>
      <c r="C151" s="321">
        <v>125910</v>
      </c>
      <c r="D151" s="390" t="s">
        <v>15541</v>
      </c>
      <c r="E151" s="322">
        <v>2010.9</v>
      </c>
      <c r="F151" s="323">
        <v>42983</v>
      </c>
      <c r="G151" s="322">
        <v>2010.9</v>
      </c>
      <c r="H151" s="322">
        <f>Tabla14[[#This Row],[Importe]]-Tabla14[[#This Row],[Pagado]]</f>
        <v>0</v>
      </c>
      <c r="I151" s="325" t="s">
        <v>15214</v>
      </c>
    </row>
    <row r="152" spans="1:9" ht="30" x14ac:dyDescent="0.25">
      <c r="A152" s="359">
        <v>42979</v>
      </c>
      <c r="B152" s="326" t="s">
        <v>27855</v>
      </c>
      <c r="C152" s="327">
        <v>125911</v>
      </c>
      <c r="D152" s="391" t="s">
        <v>15246</v>
      </c>
      <c r="E152" s="328">
        <v>250766.5</v>
      </c>
      <c r="F152" s="329" t="s">
        <v>27856</v>
      </c>
      <c r="G152" s="334">
        <f>249180+1586.5</f>
        <v>250766.5</v>
      </c>
      <c r="H152" s="334">
        <f>Tabla14[[#This Row],[Importe]]-Tabla14[[#This Row],[Pagado]]</f>
        <v>0</v>
      </c>
      <c r="I152" s="331" t="s">
        <v>15214</v>
      </c>
    </row>
    <row r="153" spans="1:9" x14ac:dyDescent="0.25">
      <c r="A153" s="353">
        <v>42979</v>
      </c>
      <c r="B153" s="320" t="s">
        <v>27857</v>
      </c>
      <c r="C153" s="321">
        <v>125912</v>
      </c>
      <c r="D153" s="390" t="s">
        <v>15642</v>
      </c>
      <c r="E153" s="322">
        <v>6486.9</v>
      </c>
      <c r="F153" s="323">
        <v>42980</v>
      </c>
      <c r="G153" s="322">
        <v>6486.9</v>
      </c>
      <c r="H153" s="322">
        <f>Tabla14[[#This Row],[Importe]]-Tabla14[[#This Row],[Pagado]]</f>
        <v>0</v>
      </c>
      <c r="I153" s="325" t="s">
        <v>15214</v>
      </c>
    </row>
    <row r="154" spans="1:9" x14ac:dyDescent="0.25">
      <c r="A154" s="359">
        <v>42980</v>
      </c>
      <c r="B154" s="326" t="s">
        <v>27858</v>
      </c>
      <c r="C154" s="327">
        <v>125913</v>
      </c>
      <c r="D154" s="391" t="s">
        <v>21386</v>
      </c>
      <c r="E154" s="328">
        <v>12795.9</v>
      </c>
      <c r="F154" s="329">
        <v>42981</v>
      </c>
      <c r="G154" s="328">
        <v>12795.9</v>
      </c>
      <c r="H154" s="322">
        <f>Tabla14[[#This Row],[Importe]]-Tabla14[[#This Row],[Pagado]]</f>
        <v>0</v>
      </c>
      <c r="I154" s="331" t="s">
        <v>15214</v>
      </c>
    </row>
    <row r="155" spans="1:9" x14ac:dyDescent="0.25">
      <c r="A155" s="319">
        <v>42980</v>
      </c>
      <c r="B155" s="320" t="s">
        <v>27859</v>
      </c>
      <c r="C155" s="321">
        <v>125914</v>
      </c>
      <c r="D155" s="390" t="s">
        <v>15213</v>
      </c>
      <c r="E155" s="322">
        <v>36093</v>
      </c>
      <c r="F155" s="323">
        <v>42982</v>
      </c>
      <c r="G155" s="322">
        <v>36093</v>
      </c>
      <c r="H155" s="322">
        <f>Tabla14[[#This Row],[Importe]]-Tabla14[[#This Row],[Pagado]]</f>
        <v>0</v>
      </c>
      <c r="I155" s="325" t="s">
        <v>15214</v>
      </c>
    </row>
    <row r="156" spans="1:9" x14ac:dyDescent="0.25">
      <c r="A156" s="359">
        <v>42980</v>
      </c>
      <c r="B156" s="326" t="s">
        <v>27860</v>
      </c>
      <c r="C156" s="327">
        <v>125915</v>
      </c>
      <c r="D156" s="391" t="s">
        <v>15407</v>
      </c>
      <c r="E156" s="328">
        <v>805.84</v>
      </c>
      <c r="F156" s="329">
        <v>42980</v>
      </c>
      <c r="G156" s="328">
        <v>805.84</v>
      </c>
      <c r="H156" s="322">
        <f>Tabla14[[#This Row],[Importe]]-Tabla14[[#This Row],[Pagado]]</f>
        <v>0</v>
      </c>
      <c r="I156" s="331" t="s">
        <v>15214</v>
      </c>
    </row>
    <row r="157" spans="1:9" x14ac:dyDescent="0.25">
      <c r="A157" s="319">
        <v>42980</v>
      </c>
      <c r="B157" s="320" t="s">
        <v>27861</v>
      </c>
      <c r="C157" s="321">
        <v>125916</v>
      </c>
      <c r="D157" s="390" t="s">
        <v>15407</v>
      </c>
      <c r="E157" s="322">
        <v>780</v>
      </c>
      <c r="F157" s="323">
        <v>42980</v>
      </c>
      <c r="G157" s="322">
        <v>780</v>
      </c>
      <c r="H157" s="322">
        <f>Tabla14[[#This Row],[Importe]]-Tabla14[[#This Row],[Pagado]]</f>
        <v>0</v>
      </c>
      <c r="I157" s="325" t="s">
        <v>15214</v>
      </c>
    </row>
    <row r="158" spans="1:9" x14ac:dyDescent="0.25">
      <c r="A158" s="359">
        <v>42980</v>
      </c>
      <c r="B158" s="326" t="s">
        <v>27862</v>
      </c>
      <c r="C158" s="327">
        <v>125917</v>
      </c>
      <c r="D158" s="391" t="s">
        <v>15407</v>
      </c>
      <c r="E158" s="328">
        <v>1747.6</v>
      </c>
      <c r="F158" s="329">
        <v>42980</v>
      </c>
      <c r="G158" s="328">
        <v>1747.6</v>
      </c>
      <c r="H158" s="322">
        <f>Tabla14[[#This Row],[Importe]]-Tabla14[[#This Row],[Pagado]]</f>
        <v>0</v>
      </c>
      <c r="I158" s="331" t="s">
        <v>15214</v>
      </c>
    </row>
    <row r="159" spans="1:9" x14ac:dyDescent="0.25">
      <c r="A159" s="319">
        <v>42980</v>
      </c>
      <c r="B159" s="320" t="s">
        <v>27863</v>
      </c>
      <c r="C159" s="321">
        <v>125918</v>
      </c>
      <c r="D159" s="390" t="s">
        <v>15230</v>
      </c>
      <c r="E159" s="322">
        <v>25174</v>
      </c>
      <c r="F159" s="323">
        <v>42985</v>
      </c>
      <c r="G159" s="322">
        <v>25174</v>
      </c>
      <c r="H159" s="322">
        <f>Tabla14[[#This Row],[Importe]]-Tabla14[[#This Row],[Pagado]]</f>
        <v>0</v>
      </c>
      <c r="I159" s="325" t="s">
        <v>15214</v>
      </c>
    </row>
    <row r="160" spans="1:9" x14ac:dyDescent="0.25">
      <c r="A160" s="359">
        <v>42980</v>
      </c>
      <c r="B160" s="326" t="s">
        <v>27864</v>
      </c>
      <c r="C160" s="327">
        <v>125919</v>
      </c>
      <c r="D160" s="391" t="s">
        <v>15220</v>
      </c>
      <c r="E160" s="328">
        <v>5520</v>
      </c>
      <c r="F160" s="329">
        <v>42980</v>
      </c>
      <c r="G160" s="328">
        <v>5520</v>
      </c>
      <c r="H160" s="322">
        <f>Tabla14[[#This Row],[Importe]]-Tabla14[[#This Row],[Pagado]]</f>
        <v>0</v>
      </c>
      <c r="I160" s="331" t="s">
        <v>15214</v>
      </c>
    </row>
    <row r="161" spans="1:9" x14ac:dyDescent="0.25">
      <c r="A161" s="319">
        <v>42980</v>
      </c>
      <c r="B161" s="320" t="s">
        <v>27865</v>
      </c>
      <c r="C161" s="321">
        <v>125920</v>
      </c>
      <c r="D161" s="390" t="s">
        <v>17235</v>
      </c>
      <c r="E161" s="322">
        <v>1440</v>
      </c>
      <c r="F161" s="323">
        <v>42982</v>
      </c>
      <c r="G161" s="322">
        <v>1440</v>
      </c>
      <c r="H161" s="322">
        <f>Tabla14[[#This Row],[Importe]]-Tabla14[[#This Row],[Pagado]]</f>
        <v>0</v>
      </c>
      <c r="I161" s="325" t="s">
        <v>15214</v>
      </c>
    </row>
    <row r="162" spans="1:9" x14ac:dyDescent="0.25">
      <c r="A162" s="359">
        <v>42980</v>
      </c>
      <c r="B162" s="326" t="s">
        <v>27866</v>
      </c>
      <c r="C162" s="327">
        <v>125921</v>
      </c>
      <c r="D162" s="391" t="s">
        <v>15272</v>
      </c>
      <c r="E162" s="328">
        <v>30647.7</v>
      </c>
      <c r="F162" s="329">
        <v>42980</v>
      </c>
      <c r="G162" s="328">
        <v>30647.7</v>
      </c>
      <c r="H162" s="322">
        <f>Tabla14[[#This Row],[Importe]]-Tabla14[[#This Row],[Pagado]]</f>
        <v>0</v>
      </c>
      <c r="I162" s="331" t="s">
        <v>15214</v>
      </c>
    </row>
    <row r="163" spans="1:9" x14ac:dyDescent="0.25">
      <c r="A163" s="319">
        <v>42980</v>
      </c>
      <c r="B163" s="320" t="s">
        <v>27867</v>
      </c>
      <c r="C163" s="321">
        <v>125922</v>
      </c>
      <c r="D163" s="390" t="s">
        <v>17462</v>
      </c>
      <c r="E163" s="322">
        <v>9008.1</v>
      </c>
      <c r="F163" s="323">
        <v>42980</v>
      </c>
      <c r="G163" s="322">
        <v>9008.1</v>
      </c>
      <c r="H163" s="322">
        <f>Tabla14[[#This Row],[Importe]]-Tabla14[[#This Row],[Pagado]]</f>
        <v>0</v>
      </c>
      <c r="I163" s="325" t="s">
        <v>15214</v>
      </c>
    </row>
    <row r="164" spans="1:9" ht="15.75" x14ac:dyDescent="0.25">
      <c r="A164" s="359">
        <v>42980</v>
      </c>
      <c r="B164" s="326" t="s">
        <v>27868</v>
      </c>
      <c r="C164" s="327">
        <v>125923</v>
      </c>
      <c r="D164" s="345" t="s">
        <v>95</v>
      </c>
      <c r="E164" s="328">
        <v>0</v>
      </c>
      <c r="F164" s="346" t="s">
        <v>95</v>
      </c>
      <c r="G164" s="328">
        <v>0</v>
      </c>
      <c r="H164" s="322">
        <f>Tabla14[[#This Row],[Importe]]-Tabla14[[#This Row],[Pagado]]</f>
        <v>0</v>
      </c>
      <c r="I164" s="331" t="s">
        <v>95</v>
      </c>
    </row>
    <row r="165" spans="1:9" x14ac:dyDescent="0.25">
      <c r="A165" s="319">
        <v>42980</v>
      </c>
      <c r="B165" s="320" t="s">
        <v>27869</v>
      </c>
      <c r="C165" s="321">
        <v>125924</v>
      </c>
      <c r="D165" s="390" t="s">
        <v>15681</v>
      </c>
      <c r="E165" s="322">
        <v>1990</v>
      </c>
      <c r="F165" s="323">
        <v>42980</v>
      </c>
      <c r="G165" s="322">
        <v>1990</v>
      </c>
      <c r="H165" s="322">
        <f>Tabla14[[#This Row],[Importe]]-Tabla14[[#This Row],[Pagado]]</f>
        <v>0</v>
      </c>
      <c r="I165" s="325" t="s">
        <v>15214</v>
      </c>
    </row>
    <row r="166" spans="1:9" ht="45" x14ac:dyDescent="0.25">
      <c r="A166" s="359">
        <v>42980</v>
      </c>
      <c r="B166" s="326" t="s">
        <v>27870</v>
      </c>
      <c r="C166" s="327">
        <v>125925</v>
      </c>
      <c r="D166" s="391" t="s">
        <v>15258</v>
      </c>
      <c r="E166" s="328">
        <v>26926</v>
      </c>
      <c r="F166" s="329" t="s">
        <v>27871</v>
      </c>
      <c r="G166" s="334">
        <f>7000+3000+4000+12926</f>
        <v>26926</v>
      </c>
      <c r="H166" s="334">
        <f>Tabla14[[#This Row],[Importe]]-Tabla14[[#This Row],[Pagado]]</f>
        <v>0</v>
      </c>
      <c r="I166" s="331" t="s">
        <v>15214</v>
      </c>
    </row>
    <row r="167" spans="1:9" x14ac:dyDescent="0.25">
      <c r="A167" s="319">
        <v>42980</v>
      </c>
      <c r="B167" s="320" t="s">
        <v>27872</v>
      </c>
      <c r="C167" s="321">
        <v>125926</v>
      </c>
      <c r="D167" s="390" t="s">
        <v>15356</v>
      </c>
      <c r="E167" s="322">
        <v>3170.3</v>
      </c>
      <c r="F167" s="323">
        <v>42980</v>
      </c>
      <c r="G167" s="322">
        <v>3170.3</v>
      </c>
      <c r="H167" s="322">
        <f>Tabla14[[#This Row],[Importe]]-Tabla14[[#This Row],[Pagado]]</f>
        <v>0</v>
      </c>
      <c r="I167" s="325" t="s">
        <v>15214</v>
      </c>
    </row>
    <row r="168" spans="1:9" x14ac:dyDescent="0.25">
      <c r="A168" s="359">
        <v>42980</v>
      </c>
      <c r="B168" s="326" t="s">
        <v>27873</v>
      </c>
      <c r="C168" s="327">
        <v>125927</v>
      </c>
      <c r="D168" s="391" t="s">
        <v>15240</v>
      </c>
      <c r="E168" s="328">
        <v>3194.8</v>
      </c>
      <c r="F168" s="329">
        <v>42982</v>
      </c>
      <c r="G168" s="328">
        <v>3194.8</v>
      </c>
      <c r="H168" s="322">
        <f>Tabla14[[#This Row],[Importe]]-Tabla14[[#This Row],[Pagado]]</f>
        <v>0</v>
      </c>
      <c r="I168" s="331" t="s">
        <v>15214</v>
      </c>
    </row>
    <row r="169" spans="1:9" x14ac:dyDescent="0.25">
      <c r="A169" s="319">
        <v>42980</v>
      </c>
      <c r="B169" s="320" t="s">
        <v>27874</v>
      </c>
      <c r="C169" s="321">
        <v>125928</v>
      </c>
      <c r="D169" s="390" t="s">
        <v>15858</v>
      </c>
      <c r="E169" s="322">
        <v>2727.64</v>
      </c>
      <c r="F169" s="323">
        <v>42980</v>
      </c>
      <c r="G169" s="322">
        <v>2727.64</v>
      </c>
      <c r="H169" s="322">
        <f>Tabla14[[#This Row],[Importe]]-Tabla14[[#This Row],[Pagado]]</f>
        <v>0</v>
      </c>
      <c r="I169" s="325" t="s">
        <v>15214</v>
      </c>
    </row>
    <row r="170" spans="1:9" x14ac:dyDescent="0.25">
      <c r="A170" s="359">
        <v>42980</v>
      </c>
      <c r="B170" s="326" t="s">
        <v>27875</v>
      </c>
      <c r="C170" s="327">
        <v>125929</v>
      </c>
      <c r="D170" s="391" t="s">
        <v>15523</v>
      </c>
      <c r="E170" s="328">
        <v>4800</v>
      </c>
      <c r="F170" s="329">
        <v>42980</v>
      </c>
      <c r="G170" s="328">
        <v>4800</v>
      </c>
      <c r="H170" s="322">
        <f>Tabla14[[#This Row],[Importe]]-Tabla14[[#This Row],[Pagado]]</f>
        <v>0</v>
      </c>
      <c r="I170" s="331" t="s">
        <v>15214</v>
      </c>
    </row>
    <row r="171" spans="1:9" x14ac:dyDescent="0.25">
      <c r="A171" s="319">
        <v>42980</v>
      </c>
      <c r="B171" s="320" t="s">
        <v>27876</v>
      </c>
      <c r="C171" s="321">
        <v>125930</v>
      </c>
      <c r="D171" s="390" t="s">
        <v>15232</v>
      </c>
      <c r="E171" s="322">
        <v>17956.2</v>
      </c>
      <c r="F171" s="323">
        <v>42985</v>
      </c>
      <c r="G171" s="322">
        <v>17956.2</v>
      </c>
      <c r="H171" s="322">
        <f>Tabla14[[#This Row],[Importe]]-Tabla14[[#This Row],[Pagado]]</f>
        <v>0</v>
      </c>
      <c r="I171" s="325" t="s">
        <v>15214</v>
      </c>
    </row>
    <row r="172" spans="1:9" x14ac:dyDescent="0.25">
      <c r="A172" s="359">
        <v>42980</v>
      </c>
      <c r="B172" s="326" t="s">
        <v>27877</v>
      </c>
      <c r="C172" s="327">
        <v>125931</v>
      </c>
      <c r="D172" s="391" t="s">
        <v>15668</v>
      </c>
      <c r="E172" s="328">
        <v>10184</v>
      </c>
      <c r="F172" s="329">
        <v>42983</v>
      </c>
      <c r="G172" s="328">
        <v>10184</v>
      </c>
      <c r="H172" s="322">
        <f>Tabla14[[#This Row],[Importe]]-Tabla14[[#This Row],[Pagado]]</f>
        <v>0</v>
      </c>
      <c r="I172" s="331" t="s">
        <v>15214</v>
      </c>
    </row>
    <row r="173" spans="1:9" ht="15.75" x14ac:dyDescent="0.25">
      <c r="A173" s="319">
        <v>42980</v>
      </c>
      <c r="B173" s="320" t="s">
        <v>27878</v>
      </c>
      <c r="C173" s="321">
        <v>125932</v>
      </c>
      <c r="D173" s="332" t="s">
        <v>95</v>
      </c>
      <c r="E173" s="322">
        <v>0</v>
      </c>
      <c r="F173" s="333" t="s">
        <v>95</v>
      </c>
      <c r="G173" s="322">
        <v>0</v>
      </c>
      <c r="H173" s="322">
        <f>Tabla14[[#This Row],[Importe]]-Tabla14[[#This Row],[Pagado]]</f>
        <v>0</v>
      </c>
      <c r="I173" s="325" t="s">
        <v>95</v>
      </c>
    </row>
    <row r="174" spans="1:9" ht="30" x14ac:dyDescent="0.25">
      <c r="A174" s="359">
        <v>42980</v>
      </c>
      <c r="B174" s="326" t="s">
        <v>27879</v>
      </c>
      <c r="C174" s="327">
        <v>125933</v>
      </c>
      <c r="D174" s="391" t="s">
        <v>15234</v>
      </c>
      <c r="E174" s="328">
        <v>11268.5</v>
      </c>
      <c r="F174" s="329" t="s">
        <v>27695</v>
      </c>
      <c r="G174" s="334">
        <f>5000+6268.5</f>
        <v>11268.5</v>
      </c>
      <c r="H174" s="334">
        <f>Tabla14[[#This Row],[Importe]]-Tabla14[[#This Row],[Pagado]]</f>
        <v>0</v>
      </c>
      <c r="I174" s="331" t="s">
        <v>15214</v>
      </c>
    </row>
    <row r="175" spans="1:9" x14ac:dyDescent="0.25">
      <c r="A175" s="319">
        <v>42980</v>
      </c>
      <c r="B175" s="320" t="s">
        <v>27880</v>
      </c>
      <c r="C175" s="321">
        <v>125934</v>
      </c>
      <c r="D175" s="390" t="s">
        <v>15315</v>
      </c>
      <c r="E175" s="322">
        <v>1656.5</v>
      </c>
      <c r="F175" s="323">
        <v>42980</v>
      </c>
      <c r="G175" s="322">
        <v>1656.5</v>
      </c>
      <c r="H175" s="322">
        <f>Tabla14[[#This Row],[Importe]]-Tabla14[[#This Row],[Pagado]]</f>
        <v>0</v>
      </c>
      <c r="I175" s="325" t="s">
        <v>15214</v>
      </c>
    </row>
    <row r="176" spans="1:9" x14ac:dyDescent="0.25">
      <c r="A176" s="359">
        <v>42980</v>
      </c>
      <c r="B176" s="326" t="s">
        <v>27881</v>
      </c>
      <c r="C176" s="327">
        <v>125935</v>
      </c>
      <c r="D176" s="391" t="s">
        <v>15236</v>
      </c>
      <c r="E176" s="328">
        <v>6489.8</v>
      </c>
      <c r="F176" s="329">
        <v>42983</v>
      </c>
      <c r="G176" s="328">
        <v>6489.8</v>
      </c>
      <c r="H176" s="322">
        <f>Tabla14[[#This Row],[Importe]]-Tabla14[[#This Row],[Pagado]]</f>
        <v>0</v>
      </c>
      <c r="I176" s="331" t="s">
        <v>15214</v>
      </c>
    </row>
    <row r="177" spans="1:9" ht="15.75" x14ac:dyDescent="0.25">
      <c r="A177" s="319">
        <v>42980</v>
      </c>
      <c r="B177" s="320" t="s">
        <v>27882</v>
      </c>
      <c r="C177" s="321">
        <v>125936</v>
      </c>
      <c r="D177" s="332" t="s">
        <v>95</v>
      </c>
      <c r="E177" s="322">
        <v>0</v>
      </c>
      <c r="F177" s="333" t="s">
        <v>95</v>
      </c>
      <c r="G177" s="322">
        <v>0</v>
      </c>
      <c r="H177" s="322">
        <f>Tabla14[[#This Row],[Importe]]-Tabla14[[#This Row],[Pagado]]</f>
        <v>0</v>
      </c>
      <c r="I177" s="325" t="s">
        <v>95</v>
      </c>
    </row>
    <row r="178" spans="1:9" ht="15.75" x14ac:dyDescent="0.25">
      <c r="A178" s="359">
        <v>42980</v>
      </c>
      <c r="B178" s="326" t="s">
        <v>27883</v>
      </c>
      <c r="C178" s="327">
        <v>125937</v>
      </c>
      <c r="D178" s="345" t="s">
        <v>95</v>
      </c>
      <c r="E178" s="328">
        <v>0</v>
      </c>
      <c r="F178" s="346" t="s">
        <v>95</v>
      </c>
      <c r="G178" s="328">
        <v>0</v>
      </c>
      <c r="H178" s="322">
        <f>Tabla14[[#This Row],[Importe]]-Tabla14[[#This Row],[Pagado]]</f>
        <v>0</v>
      </c>
      <c r="I178" s="331" t="s">
        <v>95</v>
      </c>
    </row>
    <row r="179" spans="1:9" x14ac:dyDescent="0.25">
      <c r="A179" s="319">
        <v>42980</v>
      </c>
      <c r="B179" s="320" t="s">
        <v>27884</v>
      </c>
      <c r="C179" s="321">
        <v>125938</v>
      </c>
      <c r="D179" s="390" t="s">
        <v>5575</v>
      </c>
      <c r="E179" s="322">
        <v>9145.1</v>
      </c>
      <c r="F179" s="323">
        <v>42982</v>
      </c>
      <c r="G179" s="322">
        <v>9145.1</v>
      </c>
      <c r="H179" s="322">
        <f>Tabla14[[#This Row],[Importe]]-Tabla14[[#This Row],[Pagado]]</f>
        <v>0</v>
      </c>
      <c r="I179" s="325" t="s">
        <v>15214</v>
      </c>
    </row>
    <row r="180" spans="1:9" x14ac:dyDescent="0.25">
      <c r="A180" s="359">
        <v>42980</v>
      </c>
      <c r="B180" s="326" t="s">
        <v>27885</v>
      </c>
      <c r="C180" s="327">
        <v>125939</v>
      </c>
      <c r="D180" s="391" t="s">
        <v>15596</v>
      </c>
      <c r="E180" s="328">
        <v>1200</v>
      </c>
      <c r="F180" s="329">
        <v>42980</v>
      </c>
      <c r="G180" s="328">
        <v>1200</v>
      </c>
      <c r="H180" s="322">
        <f>Tabla14[[#This Row],[Importe]]-Tabla14[[#This Row],[Pagado]]</f>
        <v>0</v>
      </c>
      <c r="I180" s="331" t="s">
        <v>15214</v>
      </c>
    </row>
    <row r="181" spans="1:9" x14ac:dyDescent="0.25">
      <c r="A181" s="319">
        <v>42980</v>
      </c>
      <c r="B181" s="320" t="s">
        <v>27886</v>
      </c>
      <c r="C181" s="321">
        <v>125940</v>
      </c>
      <c r="D181" s="390" t="s">
        <v>15274</v>
      </c>
      <c r="E181" s="322">
        <v>2820</v>
      </c>
      <c r="F181" s="323">
        <v>42980</v>
      </c>
      <c r="G181" s="322">
        <v>2820</v>
      </c>
      <c r="H181" s="322">
        <f>Tabla14[[#This Row],[Importe]]-Tabla14[[#This Row],[Pagado]]</f>
        <v>0</v>
      </c>
      <c r="I181" s="325" t="s">
        <v>15214</v>
      </c>
    </row>
    <row r="182" spans="1:9" x14ac:dyDescent="0.25">
      <c r="A182" s="359">
        <v>42980</v>
      </c>
      <c r="B182" s="326" t="s">
        <v>27887</v>
      </c>
      <c r="C182" s="327">
        <v>125941</v>
      </c>
      <c r="D182" s="391" t="s">
        <v>15324</v>
      </c>
      <c r="E182" s="328">
        <v>2855</v>
      </c>
      <c r="F182" s="329">
        <v>42980</v>
      </c>
      <c r="G182" s="328">
        <v>2855</v>
      </c>
      <c r="H182" s="322">
        <f>Tabla14[[#This Row],[Importe]]-Tabla14[[#This Row],[Pagado]]</f>
        <v>0</v>
      </c>
      <c r="I182" s="331" t="s">
        <v>15214</v>
      </c>
    </row>
    <row r="183" spans="1:9" x14ac:dyDescent="0.25">
      <c r="A183" s="319">
        <v>42980</v>
      </c>
      <c r="B183" s="320" t="s">
        <v>27888</v>
      </c>
      <c r="C183" s="321">
        <v>125942</v>
      </c>
      <c r="D183" s="390" t="s">
        <v>18258</v>
      </c>
      <c r="E183" s="322">
        <v>10981.6</v>
      </c>
      <c r="F183" s="323">
        <v>42980</v>
      </c>
      <c r="G183" s="322">
        <v>10981.6</v>
      </c>
      <c r="H183" s="322">
        <f>Tabla14[[#This Row],[Importe]]-Tabla14[[#This Row],[Pagado]]</f>
        <v>0</v>
      </c>
      <c r="I183" s="325" t="s">
        <v>15214</v>
      </c>
    </row>
    <row r="184" spans="1:9" x14ac:dyDescent="0.25">
      <c r="A184" s="359">
        <v>42980</v>
      </c>
      <c r="B184" s="326" t="s">
        <v>27889</v>
      </c>
      <c r="C184" s="327">
        <v>125943</v>
      </c>
      <c r="D184" s="391" t="s">
        <v>15438</v>
      </c>
      <c r="E184" s="328">
        <v>4068.1</v>
      </c>
      <c r="F184" s="329">
        <v>42980</v>
      </c>
      <c r="G184" s="328">
        <v>4068.1</v>
      </c>
      <c r="H184" s="322">
        <f>Tabla14[[#This Row],[Importe]]-Tabla14[[#This Row],[Pagado]]</f>
        <v>0</v>
      </c>
      <c r="I184" s="331" t="s">
        <v>15214</v>
      </c>
    </row>
    <row r="185" spans="1:9" x14ac:dyDescent="0.25">
      <c r="A185" s="319">
        <v>42980</v>
      </c>
      <c r="B185" s="320" t="s">
        <v>27890</v>
      </c>
      <c r="C185" s="321">
        <v>125944</v>
      </c>
      <c r="D185" s="390" t="s">
        <v>15238</v>
      </c>
      <c r="E185" s="322">
        <v>13145.1</v>
      </c>
      <c r="F185" s="323">
        <v>42983</v>
      </c>
      <c r="G185" s="322">
        <v>13145.1</v>
      </c>
      <c r="H185" s="322">
        <f>Tabla14[[#This Row],[Importe]]-Tabla14[[#This Row],[Pagado]]</f>
        <v>0</v>
      </c>
      <c r="I185" s="325" t="s">
        <v>15214</v>
      </c>
    </row>
    <row r="186" spans="1:9" x14ac:dyDescent="0.25">
      <c r="A186" s="359">
        <v>42980</v>
      </c>
      <c r="B186" s="326" t="s">
        <v>27891</v>
      </c>
      <c r="C186" s="327">
        <v>125945</v>
      </c>
      <c r="D186" s="391" t="s">
        <v>15263</v>
      </c>
      <c r="E186" s="328">
        <v>3126.8</v>
      </c>
      <c r="F186" s="329">
        <v>42980</v>
      </c>
      <c r="G186" s="328">
        <v>3126.8</v>
      </c>
      <c r="H186" s="322">
        <f>Tabla14[[#This Row],[Importe]]-Tabla14[[#This Row],[Pagado]]</f>
        <v>0</v>
      </c>
      <c r="I186" s="331" t="s">
        <v>15214</v>
      </c>
    </row>
    <row r="187" spans="1:9" x14ac:dyDescent="0.25">
      <c r="A187" s="319">
        <v>42980</v>
      </c>
      <c r="B187" s="320" t="s">
        <v>27892</v>
      </c>
      <c r="C187" s="321">
        <v>125946</v>
      </c>
      <c r="D187" s="390" t="s">
        <v>17950</v>
      </c>
      <c r="E187" s="322">
        <v>9273.1</v>
      </c>
      <c r="F187" s="340">
        <v>42980</v>
      </c>
      <c r="G187" s="322">
        <v>9273.1</v>
      </c>
      <c r="H187" s="322">
        <f>Tabla14[[#This Row],[Importe]]-Tabla14[[#This Row],[Pagado]]</f>
        <v>0</v>
      </c>
      <c r="I187" s="325" t="s">
        <v>15214</v>
      </c>
    </row>
    <row r="188" spans="1:9" x14ac:dyDescent="0.25">
      <c r="A188" s="359">
        <v>42980</v>
      </c>
      <c r="B188" s="326" t="s">
        <v>27893</v>
      </c>
      <c r="C188" s="327">
        <v>125947</v>
      </c>
      <c r="D188" s="391" t="s">
        <v>15256</v>
      </c>
      <c r="E188" s="328">
        <v>12726.2</v>
      </c>
      <c r="F188" s="329">
        <v>42983</v>
      </c>
      <c r="G188" s="328">
        <v>12726.2</v>
      </c>
      <c r="H188" s="322">
        <f>Tabla14[[#This Row],[Importe]]-Tabla14[[#This Row],[Pagado]]</f>
        <v>0</v>
      </c>
      <c r="I188" s="331" t="s">
        <v>15214</v>
      </c>
    </row>
    <row r="189" spans="1:9" ht="15.75" x14ac:dyDescent="0.25">
      <c r="A189" s="319">
        <v>42980</v>
      </c>
      <c r="B189" s="320" t="s">
        <v>27894</v>
      </c>
      <c r="C189" s="321">
        <v>125948</v>
      </c>
      <c r="D189" s="332" t="s">
        <v>95</v>
      </c>
      <c r="E189" s="322">
        <v>0</v>
      </c>
      <c r="F189" s="333" t="s">
        <v>95</v>
      </c>
      <c r="G189" s="322">
        <v>0</v>
      </c>
      <c r="H189" s="322">
        <f>Tabla14[[#This Row],[Importe]]-Tabla14[[#This Row],[Pagado]]</f>
        <v>0</v>
      </c>
      <c r="I189" s="325" t="s">
        <v>95</v>
      </c>
    </row>
    <row r="190" spans="1:9" x14ac:dyDescent="0.25">
      <c r="A190" s="359">
        <v>42980</v>
      </c>
      <c r="B190" s="326" t="s">
        <v>27895</v>
      </c>
      <c r="C190" s="327">
        <v>125949</v>
      </c>
      <c r="D190" s="391" t="s">
        <v>15213</v>
      </c>
      <c r="E190" s="328">
        <v>14805.1</v>
      </c>
      <c r="F190" s="329">
        <v>42981</v>
      </c>
      <c r="G190" s="328">
        <v>14805.1</v>
      </c>
      <c r="H190" s="322">
        <f>Tabla14[[#This Row],[Importe]]-Tabla14[[#This Row],[Pagado]]</f>
        <v>0</v>
      </c>
      <c r="I190" s="331" t="s">
        <v>15214</v>
      </c>
    </row>
    <row r="191" spans="1:9" x14ac:dyDescent="0.25">
      <c r="A191" s="319">
        <v>42980</v>
      </c>
      <c r="B191" s="320" t="s">
        <v>27896</v>
      </c>
      <c r="C191" s="321">
        <v>125950</v>
      </c>
      <c r="D191" s="390" t="s">
        <v>15371</v>
      </c>
      <c r="E191" s="322">
        <v>3645.2</v>
      </c>
      <c r="F191" s="323">
        <v>42981</v>
      </c>
      <c r="G191" s="322">
        <v>3645.2</v>
      </c>
      <c r="H191" s="322">
        <f>Tabla14[[#This Row],[Importe]]-Tabla14[[#This Row],[Pagado]]</f>
        <v>0</v>
      </c>
      <c r="I191" s="325" t="s">
        <v>15214</v>
      </c>
    </row>
    <row r="192" spans="1:9" x14ac:dyDescent="0.25">
      <c r="A192" s="359">
        <v>42980</v>
      </c>
      <c r="B192" s="326" t="s">
        <v>27897</v>
      </c>
      <c r="C192" s="327">
        <v>125951</v>
      </c>
      <c r="D192" s="391" t="s">
        <v>15226</v>
      </c>
      <c r="E192" s="328">
        <v>2312.8000000000002</v>
      </c>
      <c r="F192" s="329">
        <v>42982</v>
      </c>
      <c r="G192" s="328">
        <v>2312.8000000000002</v>
      </c>
      <c r="H192" s="322">
        <f>Tabla14[[#This Row],[Importe]]-Tabla14[[#This Row],[Pagado]]</f>
        <v>0</v>
      </c>
      <c r="I192" s="331" t="s">
        <v>15214</v>
      </c>
    </row>
    <row r="193" spans="1:9" x14ac:dyDescent="0.25">
      <c r="A193" s="319">
        <v>42980</v>
      </c>
      <c r="B193" s="320" t="s">
        <v>27898</v>
      </c>
      <c r="C193" s="321">
        <v>125952</v>
      </c>
      <c r="D193" s="390" t="s">
        <v>17210</v>
      </c>
      <c r="E193" s="322">
        <v>3910</v>
      </c>
      <c r="F193" s="323">
        <v>42980</v>
      </c>
      <c r="G193" s="322">
        <v>3910</v>
      </c>
      <c r="H193" s="322">
        <f>Tabla14[[#This Row],[Importe]]-Tabla14[[#This Row],[Pagado]]</f>
        <v>0</v>
      </c>
      <c r="I193" s="325" t="s">
        <v>15214</v>
      </c>
    </row>
    <row r="194" spans="1:9" x14ac:dyDescent="0.25">
      <c r="A194" s="359">
        <v>42980</v>
      </c>
      <c r="B194" s="326" t="s">
        <v>27899</v>
      </c>
      <c r="C194" s="327">
        <v>125953</v>
      </c>
      <c r="D194" s="391" t="s">
        <v>15526</v>
      </c>
      <c r="E194" s="328">
        <v>5230</v>
      </c>
      <c r="F194" s="329">
        <v>42980</v>
      </c>
      <c r="G194" s="328">
        <v>5230</v>
      </c>
      <c r="H194" s="322">
        <f>Tabla14[[#This Row],[Importe]]-Tabla14[[#This Row],[Pagado]]</f>
        <v>0</v>
      </c>
      <c r="I194" s="331" t="s">
        <v>15214</v>
      </c>
    </row>
    <row r="195" spans="1:9" x14ac:dyDescent="0.25">
      <c r="A195" s="319">
        <v>42980</v>
      </c>
      <c r="B195" s="320" t="s">
        <v>27900</v>
      </c>
      <c r="C195" s="321">
        <v>125954</v>
      </c>
      <c r="D195" s="390" t="s">
        <v>15348</v>
      </c>
      <c r="E195" s="322">
        <v>120</v>
      </c>
      <c r="F195" s="323">
        <v>42980</v>
      </c>
      <c r="G195" s="322">
        <v>120</v>
      </c>
      <c r="H195" s="322">
        <f>Tabla14[[#This Row],[Importe]]-Tabla14[[#This Row],[Pagado]]</f>
        <v>0</v>
      </c>
      <c r="I195" s="325" t="s">
        <v>15214</v>
      </c>
    </row>
    <row r="196" spans="1:9" x14ac:dyDescent="0.25">
      <c r="A196" s="359">
        <v>42980</v>
      </c>
      <c r="B196" s="326" t="s">
        <v>27901</v>
      </c>
      <c r="C196" s="327">
        <v>125955</v>
      </c>
      <c r="D196" s="391" t="s">
        <v>15315</v>
      </c>
      <c r="E196" s="328">
        <v>1596</v>
      </c>
      <c r="F196" s="329">
        <v>42980</v>
      </c>
      <c r="G196" s="328">
        <v>1596</v>
      </c>
      <c r="H196" s="322">
        <f>Tabla14[[#This Row],[Importe]]-Tabla14[[#This Row],[Pagado]]</f>
        <v>0</v>
      </c>
      <c r="I196" s="331" t="s">
        <v>15214</v>
      </c>
    </row>
    <row r="197" spans="1:9" x14ac:dyDescent="0.25">
      <c r="A197" s="319">
        <v>42980</v>
      </c>
      <c r="B197" s="320" t="s">
        <v>27902</v>
      </c>
      <c r="C197" s="321">
        <v>125956</v>
      </c>
      <c r="D197" s="390" t="s">
        <v>15328</v>
      </c>
      <c r="E197" s="322">
        <v>41044.31</v>
      </c>
      <c r="F197" s="323">
        <v>42987</v>
      </c>
      <c r="G197" s="322">
        <v>41044.31</v>
      </c>
      <c r="H197" s="322">
        <f>Tabla14[[#This Row],[Importe]]-Tabla14[[#This Row],[Pagado]]</f>
        <v>0</v>
      </c>
      <c r="I197" s="325" t="s">
        <v>15214</v>
      </c>
    </row>
    <row r="198" spans="1:9" x14ac:dyDescent="0.25">
      <c r="A198" s="359">
        <v>42980</v>
      </c>
      <c r="B198" s="326" t="s">
        <v>27903</v>
      </c>
      <c r="C198" s="327">
        <v>125957</v>
      </c>
      <c r="D198" s="391" t="s">
        <v>15334</v>
      </c>
      <c r="E198" s="328">
        <v>2904</v>
      </c>
      <c r="F198" s="329">
        <v>42980</v>
      </c>
      <c r="G198" s="328">
        <v>2904</v>
      </c>
      <c r="H198" s="322">
        <f>Tabla14[[#This Row],[Importe]]-Tabla14[[#This Row],[Pagado]]</f>
        <v>0</v>
      </c>
      <c r="I198" s="331" t="s">
        <v>15214</v>
      </c>
    </row>
    <row r="199" spans="1:9" x14ac:dyDescent="0.25">
      <c r="A199" s="319">
        <v>42980</v>
      </c>
      <c r="B199" s="320" t="s">
        <v>27904</v>
      </c>
      <c r="C199" s="321">
        <v>125958</v>
      </c>
      <c r="D199" s="390" t="s">
        <v>15396</v>
      </c>
      <c r="E199" s="322">
        <v>8176.6</v>
      </c>
      <c r="F199" s="323">
        <v>42980</v>
      </c>
      <c r="G199" s="322">
        <v>8176.6</v>
      </c>
      <c r="H199" s="322">
        <f>Tabla14[[#This Row],[Importe]]-Tabla14[[#This Row],[Pagado]]</f>
        <v>0</v>
      </c>
      <c r="I199" s="325" t="s">
        <v>15214</v>
      </c>
    </row>
    <row r="200" spans="1:9" x14ac:dyDescent="0.25">
      <c r="A200" s="359">
        <v>42980</v>
      </c>
      <c r="B200" s="326" t="s">
        <v>27905</v>
      </c>
      <c r="C200" s="327">
        <v>125959</v>
      </c>
      <c r="D200" s="391" t="s">
        <v>15315</v>
      </c>
      <c r="E200" s="328">
        <v>6720</v>
      </c>
      <c r="F200" s="329">
        <v>42980</v>
      </c>
      <c r="G200" s="328">
        <v>6720</v>
      </c>
      <c r="H200" s="322">
        <f>Tabla14[[#This Row],[Importe]]-Tabla14[[#This Row],[Pagado]]</f>
        <v>0</v>
      </c>
      <c r="I200" s="331" t="s">
        <v>15214</v>
      </c>
    </row>
    <row r="201" spans="1:9" x14ac:dyDescent="0.25">
      <c r="A201" s="319">
        <v>42980</v>
      </c>
      <c r="B201" s="320" t="s">
        <v>27906</v>
      </c>
      <c r="C201" s="321">
        <v>125960</v>
      </c>
      <c r="D201" s="390" t="s">
        <v>15628</v>
      </c>
      <c r="E201" s="322">
        <v>6172.4</v>
      </c>
      <c r="F201" s="323">
        <v>42980</v>
      </c>
      <c r="G201" s="322">
        <v>6172.4</v>
      </c>
      <c r="H201" s="322">
        <f>Tabla14[[#This Row],[Importe]]-Tabla14[[#This Row],[Pagado]]</f>
        <v>0</v>
      </c>
      <c r="I201" s="325" t="s">
        <v>15214</v>
      </c>
    </row>
    <row r="202" spans="1:9" x14ac:dyDescent="0.25">
      <c r="A202" s="359">
        <v>42980</v>
      </c>
      <c r="B202" s="326" t="s">
        <v>27907</v>
      </c>
      <c r="C202" s="327">
        <v>125961</v>
      </c>
      <c r="D202" s="391" t="s">
        <v>15246</v>
      </c>
      <c r="E202" s="328">
        <v>11287.3</v>
      </c>
      <c r="F202" s="329">
        <v>42985</v>
      </c>
      <c r="G202" s="328">
        <v>11287.3</v>
      </c>
      <c r="H202" s="322">
        <f>Tabla14[[#This Row],[Importe]]-Tabla14[[#This Row],[Pagado]]</f>
        <v>0</v>
      </c>
      <c r="I202" s="331" t="s">
        <v>15214</v>
      </c>
    </row>
    <row r="203" spans="1:9" x14ac:dyDescent="0.25">
      <c r="A203" s="319">
        <v>42980</v>
      </c>
      <c r="B203" s="320" t="s">
        <v>27908</v>
      </c>
      <c r="C203" s="321">
        <v>125962</v>
      </c>
      <c r="D203" s="390" t="s">
        <v>15309</v>
      </c>
      <c r="E203" s="322">
        <v>7548.4</v>
      </c>
      <c r="F203" s="323">
        <v>42980</v>
      </c>
      <c r="G203" s="322">
        <v>7548.4</v>
      </c>
      <c r="H203" s="322">
        <f>Tabla14[[#This Row],[Importe]]-Tabla14[[#This Row],[Pagado]]</f>
        <v>0</v>
      </c>
      <c r="I203" s="325" t="s">
        <v>15214</v>
      </c>
    </row>
    <row r="204" spans="1:9" x14ac:dyDescent="0.25">
      <c r="A204" s="359">
        <v>42980</v>
      </c>
      <c r="B204" s="326" t="s">
        <v>27909</v>
      </c>
      <c r="C204" s="327">
        <v>125963</v>
      </c>
      <c r="D204" s="391" t="s">
        <v>15818</v>
      </c>
      <c r="E204" s="328">
        <v>1402.8</v>
      </c>
      <c r="F204" s="329">
        <v>42980</v>
      </c>
      <c r="G204" s="328">
        <v>1402.8</v>
      </c>
      <c r="H204" s="322">
        <f>Tabla14[[#This Row],[Importe]]-Tabla14[[#This Row],[Pagado]]</f>
        <v>0</v>
      </c>
      <c r="I204" s="331" t="s">
        <v>15214</v>
      </c>
    </row>
    <row r="205" spans="1:9" x14ac:dyDescent="0.25">
      <c r="A205" s="319">
        <v>42980</v>
      </c>
      <c r="B205" s="320" t="s">
        <v>27910</v>
      </c>
      <c r="C205" s="321">
        <v>125964</v>
      </c>
      <c r="D205" s="390" t="s">
        <v>5583</v>
      </c>
      <c r="E205" s="322">
        <v>2873.4</v>
      </c>
      <c r="F205" s="323">
        <v>42980</v>
      </c>
      <c r="G205" s="322">
        <v>2873.4</v>
      </c>
      <c r="H205" s="322">
        <f>Tabla14[[#This Row],[Importe]]-Tabla14[[#This Row],[Pagado]]</f>
        <v>0</v>
      </c>
      <c r="I205" s="325" t="s">
        <v>15214</v>
      </c>
    </row>
    <row r="206" spans="1:9" x14ac:dyDescent="0.25">
      <c r="A206" s="359">
        <v>42980</v>
      </c>
      <c r="B206" s="326" t="s">
        <v>27911</v>
      </c>
      <c r="C206" s="327">
        <v>125965</v>
      </c>
      <c r="D206" s="391" t="s">
        <v>15354</v>
      </c>
      <c r="E206" s="328">
        <v>3170</v>
      </c>
      <c r="F206" s="329">
        <v>42980</v>
      </c>
      <c r="G206" s="328">
        <v>3170</v>
      </c>
      <c r="H206" s="322">
        <f>Tabla14[[#This Row],[Importe]]-Tabla14[[#This Row],[Pagado]]</f>
        <v>0</v>
      </c>
      <c r="I206" s="331" t="s">
        <v>15214</v>
      </c>
    </row>
    <row r="207" spans="1:9" x14ac:dyDescent="0.25">
      <c r="A207" s="319">
        <v>42980</v>
      </c>
      <c r="B207" s="320" t="s">
        <v>27912</v>
      </c>
      <c r="C207" s="321">
        <v>125966</v>
      </c>
      <c r="D207" s="390" t="s">
        <v>15332</v>
      </c>
      <c r="E207" s="322">
        <v>5706</v>
      </c>
      <c r="F207" s="323">
        <v>42980</v>
      </c>
      <c r="G207" s="322">
        <v>5706</v>
      </c>
      <c r="H207" s="322">
        <f>Tabla14[[#This Row],[Importe]]-Tabla14[[#This Row],[Pagado]]</f>
        <v>0</v>
      </c>
      <c r="I207" s="325" t="s">
        <v>15214</v>
      </c>
    </row>
    <row r="208" spans="1:9" x14ac:dyDescent="0.25">
      <c r="A208" s="359">
        <v>42980</v>
      </c>
      <c r="B208" s="326" t="s">
        <v>27913</v>
      </c>
      <c r="C208" s="327">
        <v>125967</v>
      </c>
      <c r="D208" s="391" t="s">
        <v>15415</v>
      </c>
      <c r="E208" s="328">
        <v>1913.6</v>
      </c>
      <c r="F208" s="329">
        <v>42982</v>
      </c>
      <c r="G208" s="328">
        <v>1913.6</v>
      </c>
      <c r="H208" s="322">
        <f>Tabla14[[#This Row],[Importe]]-Tabla14[[#This Row],[Pagado]]</f>
        <v>0</v>
      </c>
      <c r="I208" s="331" t="s">
        <v>15214</v>
      </c>
    </row>
    <row r="209" spans="1:9" x14ac:dyDescent="0.25">
      <c r="A209" s="319">
        <v>42980</v>
      </c>
      <c r="B209" s="320" t="s">
        <v>27914</v>
      </c>
      <c r="C209" s="321">
        <v>125968</v>
      </c>
      <c r="D209" s="390" t="s">
        <v>15301</v>
      </c>
      <c r="E209" s="322">
        <v>3650</v>
      </c>
      <c r="F209" s="323">
        <v>42980</v>
      </c>
      <c r="G209" s="322">
        <v>3650</v>
      </c>
      <c r="H209" s="322">
        <f>Tabla14[[#This Row],[Importe]]-Tabla14[[#This Row],[Pagado]]</f>
        <v>0</v>
      </c>
      <c r="I209" s="325" t="s">
        <v>15214</v>
      </c>
    </row>
    <row r="210" spans="1:9" x14ac:dyDescent="0.25">
      <c r="A210" s="359">
        <v>42980</v>
      </c>
      <c r="B210" s="326" t="s">
        <v>27915</v>
      </c>
      <c r="C210" s="327">
        <v>125969</v>
      </c>
      <c r="D210" s="391" t="s">
        <v>15987</v>
      </c>
      <c r="E210" s="328">
        <v>1295</v>
      </c>
      <c r="F210" s="323">
        <v>42980</v>
      </c>
      <c r="G210" s="328">
        <v>1295</v>
      </c>
      <c r="H210" s="322">
        <f>Tabla14[[#This Row],[Importe]]-Tabla14[[#This Row],[Pagado]]</f>
        <v>0</v>
      </c>
      <c r="I210" s="331" t="s">
        <v>15214</v>
      </c>
    </row>
    <row r="211" spans="1:9" x14ac:dyDescent="0.25">
      <c r="A211" s="319">
        <v>42980</v>
      </c>
      <c r="B211" s="320" t="s">
        <v>27916</v>
      </c>
      <c r="C211" s="321">
        <v>125970</v>
      </c>
      <c r="D211" s="390" t="s">
        <v>15320</v>
      </c>
      <c r="E211" s="322">
        <v>2944</v>
      </c>
      <c r="F211" s="323">
        <v>42980</v>
      </c>
      <c r="G211" s="322">
        <v>2944</v>
      </c>
      <c r="H211" s="322">
        <f>Tabla14[[#This Row],[Importe]]-Tabla14[[#This Row],[Pagado]]</f>
        <v>0</v>
      </c>
      <c r="I211" s="325" t="s">
        <v>15214</v>
      </c>
    </row>
    <row r="212" spans="1:9" x14ac:dyDescent="0.25">
      <c r="A212" s="359">
        <v>42980</v>
      </c>
      <c r="B212" s="326" t="s">
        <v>27917</v>
      </c>
      <c r="C212" s="327">
        <v>125971</v>
      </c>
      <c r="D212" s="391" t="s">
        <v>15307</v>
      </c>
      <c r="E212" s="328">
        <v>1242.5999999999999</v>
      </c>
      <c r="F212" s="323">
        <v>42980</v>
      </c>
      <c r="G212" s="328">
        <v>1242.5999999999999</v>
      </c>
      <c r="H212" s="322">
        <f>Tabla14[[#This Row],[Importe]]-Tabla14[[#This Row],[Pagado]]</f>
        <v>0</v>
      </c>
      <c r="I212" s="331" t="s">
        <v>15214</v>
      </c>
    </row>
    <row r="213" spans="1:9" x14ac:dyDescent="0.25">
      <c r="A213" s="319">
        <v>42980</v>
      </c>
      <c r="B213" s="320" t="s">
        <v>27918</v>
      </c>
      <c r="C213" s="321">
        <v>125972</v>
      </c>
      <c r="D213" s="390" t="s">
        <v>15307</v>
      </c>
      <c r="E213" s="322">
        <v>1759.4</v>
      </c>
      <c r="F213" s="323">
        <v>42980</v>
      </c>
      <c r="G213" s="322">
        <v>1759.4</v>
      </c>
      <c r="H213" s="322">
        <f>Tabla14[[#This Row],[Importe]]-Tabla14[[#This Row],[Pagado]]</f>
        <v>0</v>
      </c>
      <c r="I213" s="325" t="s">
        <v>15214</v>
      </c>
    </row>
    <row r="214" spans="1:9" x14ac:dyDescent="0.25">
      <c r="A214" s="359">
        <v>42980</v>
      </c>
      <c r="B214" s="326" t="s">
        <v>27919</v>
      </c>
      <c r="C214" s="327">
        <v>125973</v>
      </c>
      <c r="D214" s="391" t="s">
        <v>17235</v>
      </c>
      <c r="E214" s="328">
        <v>1198.56</v>
      </c>
      <c r="F214" s="323">
        <v>42980</v>
      </c>
      <c r="G214" s="328">
        <v>1198.56</v>
      </c>
      <c r="H214" s="322">
        <f>Tabla14[[#This Row],[Importe]]-Tabla14[[#This Row],[Pagado]]</f>
        <v>0</v>
      </c>
      <c r="I214" s="331" t="s">
        <v>15214</v>
      </c>
    </row>
    <row r="215" spans="1:9" x14ac:dyDescent="0.25">
      <c r="A215" s="319">
        <v>42980</v>
      </c>
      <c r="B215" s="320" t="s">
        <v>27920</v>
      </c>
      <c r="C215" s="321">
        <v>125974</v>
      </c>
      <c r="D215" s="390" t="s">
        <v>16171</v>
      </c>
      <c r="E215" s="322">
        <v>483.3</v>
      </c>
      <c r="F215" s="323">
        <v>42980</v>
      </c>
      <c r="G215" s="322">
        <v>483.3</v>
      </c>
      <c r="H215" s="322">
        <f>Tabla14[[#This Row],[Importe]]-Tabla14[[#This Row],[Pagado]]</f>
        <v>0</v>
      </c>
      <c r="I215" s="325" t="s">
        <v>15214</v>
      </c>
    </row>
    <row r="216" spans="1:9" x14ac:dyDescent="0.25">
      <c r="A216" s="359">
        <v>42980</v>
      </c>
      <c r="B216" s="326" t="s">
        <v>27921</v>
      </c>
      <c r="C216" s="327">
        <v>125975</v>
      </c>
      <c r="D216" s="391" t="s">
        <v>15858</v>
      </c>
      <c r="E216" s="328">
        <v>469.8</v>
      </c>
      <c r="F216" s="323">
        <v>42980</v>
      </c>
      <c r="G216" s="328">
        <v>469.8</v>
      </c>
      <c r="H216" s="322">
        <f>Tabla14[[#This Row],[Importe]]-Tabla14[[#This Row],[Pagado]]</f>
        <v>0</v>
      </c>
      <c r="I216" s="331" t="s">
        <v>15214</v>
      </c>
    </row>
    <row r="217" spans="1:9" x14ac:dyDescent="0.25">
      <c r="A217" s="319">
        <v>42980</v>
      </c>
      <c r="B217" s="320" t="s">
        <v>27922</v>
      </c>
      <c r="C217" s="321">
        <v>125976</v>
      </c>
      <c r="D217" s="390" t="s">
        <v>15742</v>
      </c>
      <c r="E217" s="322">
        <v>1881.6</v>
      </c>
      <c r="F217" s="323">
        <v>42980</v>
      </c>
      <c r="G217" s="322">
        <v>1881.6</v>
      </c>
      <c r="H217" s="322">
        <f>Tabla14[[#This Row],[Importe]]-Tabla14[[#This Row],[Pagado]]</f>
        <v>0</v>
      </c>
      <c r="I217" s="325" t="s">
        <v>15214</v>
      </c>
    </row>
    <row r="218" spans="1:9" x14ac:dyDescent="0.25">
      <c r="A218" s="359">
        <v>42980</v>
      </c>
      <c r="B218" s="326" t="s">
        <v>27923</v>
      </c>
      <c r="C218" s="327">
        <v>125977</v>
      </c>
      <c r="D218" s="391" t="s">
        <v>15311</v>
      </c>
      <c r="E218" s="328">
        <v>3772.12</v>
      </c>
      <c r="F218" s="323">
        <v>42980</v>
      </c>
      <c r="G218" s="328">
        <v>3772.12</v>
      </c>
      <c r="H218" s="322">
        <f>Tabla14[[#This Row],[Importe]]-Tabla14[[#This Row],[Pagado]]</f>
        <v>0</v>
      </c>
      <c r="I218" s="331" t="s">
        <v>15214</v>
      </c>
    </row>
    <row r="219" spans="1:9" x14ac:dyDescent="0.25">
      <c r="A219" s="319">
        <v>42980</v>
      </c>
      <c r="B219" s="320" t="s">
        <v>27924</v>
      </c>
      <c r="C219" s="321">
        <v>125978</v>
      </c>
      <c r="D219" s="390" t="s">
        <v>15526</v>
      </c>
      <c r="E219" s="322">
        <v>1554.8</v>
      </c>
      <c r="F219" s="323">
        <v>42980</v>
      </c>
      <c r="G219" s="322">
        <v>1554.8</v>
      </c>
      <c r="H219" s="322">
        <f>Tabla14[[#This Row],[Importe]]-Tabla14[[#This Row],[Pagado]]</f>
        <v>0</v>
      </c>
      <c r="I219" s="325" t="s">
        <v>15214</v>
      </c>
    </row>
    <row r="220" spans="1:9" x14ac:dyDescent="0.25">
      <c r="A220" s="359">
        <v>42980</v>
      </c>
      <c r="B220" s="326" t="s">
        <v>27925</v>
      </c>
      <c r="C220" s="327">
        <v>125979</v>
      </c>
      <c r="D220" s="391" t="s">
        <v>15358</v>
      </c>
      <c r="E220" s="328">
        <v>2350</v>
      </c>
      <c r="F220" s="323">
        <v>42980</v>
      </c>
      <c r="G220" s="328">
        <v>2350</v>
      </c>
      <c r="H220" s="322">
        <f>Tabla14[[#This Row],[Importe]]-Tabla14[[#This Row],[Pagado]]</f>
        <v>0</v>
      </c>
      <c r="I220" s="331" t="s">
        <v>15214</v>
      </c>
    </row>
    <row r="221" spans="1:9" x14ac:dyDescent="0.25">
      <c r="A221" s="319">
        <v>42980</v>
      </c>
      <c r="B221" s="320" t="s">
        <v>27926</v>
      </c>
      <c r="C221" s="321">
        <v>125980</v>
      </c>
      <c r="D221" s="390" t="s">
        <v>15562</v>
      </c>
      <c r="E221" s="322">
        <v>2250.4</v>
      </c>
      <c r="F221" s="323">
        <v>42980</v>
      </c>
      <c r="G221" s="322">
        <v>2250.4</v>
      </c>
      <c r="H221" s="322">
        <f>Tabla14[[#This Row],[Importe]]-Tabla14[[#This Row],[Pagado]]</f>
        <v>0</v>
      </c>
      <c r="I221" s="325" t="s">
        <v>15214</v>
      </c>
    </row>
    <row r="222" spans="1:9" ht="30" x14ac:dyDescent="0.25">
      <c r="A222" s="359">
        <v>42980</v>
      </c>
      <c r="B222" s="326" t="s">
        <v>27927</v>
      </c>
      <c r="C222" s="327">
        <v>125981</v>
      </c>
      <c r="D222" s="391" t="s">
        <v>15223</v>
      </c>
      <c r="E222" s="328">
        <v>56092.4</v>
      </c>
      <c r="F222" s="361" t="s">
        <v>31606</v>
      </c>
      <c r="G222" s="364">
        <f>30396.28+25696.12</f>
        <v>56092.399999999994</v>
      </c>
      <c r="H222" s="334">
        <f>Tabla14[[#This Row],[Importe]]-Tabla14[[#This Row],[Pagado]]</f>
        <v>0</v>
      </c>
      <c r="I222" s="331" t="s">
        <v>15214</v>
      </c>
    </row>
    <row r="223" spans="1:9" x14ac:dyDescent="0.25">
      <c r="A223" s="319">
        <v>42980</v>
      </c>
      <c r="B223" s="320" t="s">
        <v>27928</v>
      </c>
      <c r="C223" s="321">
        <v>125982</v>
      </c>
      <c r="D223" s="390" t="s">
        <v>15336</v>
      </c>
      <c r="E223" s="322">
        <v>10434</v>
      </c>
      <c r="F223" s="323">
        <v>42980</v>
      </c>
      <c r="G223" s="322">
        <v>10434</v>
      </c>
      <c r="H223" s="322">
        <f>Tabla14[[#This Row],[Importe]]-Tabla14[[#This Row],[Pagado]]</f>
        <v>0</v>
      </c>
      <c r="I223" s="325" t="s">
        <v>15214</v>
      </c>
    </row>
    <row r="224" spans="1:9" x14ac:dyDescent="0.25">
      <c r="A224" s="359">
        <v>42980</v>
      </c>
      <c r="B224" s="326" t="s">
        <v>27929</v>
      </c>
      <c r="C224" s="327">
        <v>125983</v>
      </c>
      <c r="D224" s="391" t="s">
        <v>15861</v>
      </c>
      <c r="E224" s="328">
        <v>1513.2</v>
      </c>
      <c r="F224" s="323">
        <v>42980</v>
      </c>
      <c r="G224" s="328">
        <v>1513.2</v>
      </c>
      <c r="H224" s="322">
        <f>Tabla14[[#This Row],[Importe]]-Tabla14[[#This Row],[Pagado]]</f>
        <v>0</v>
      </c>
      <c r="I224" s="331" t="s">
        <v>15214</v>
      </c>
    </row>
    <row r="225" spans="1:9" x14ac:dyDescent="0.25">
      <c r="A225" s="319">
        <v>42980</v>
      </c>
      <c r="B225" s="320" t="s">
        <v>27930</v>
      </c>
      <c r="C225" s="321">
        <v>125984</v>
      </c>
      <c r="D225" s="390" t="s">
        <v>15291</v>
      </c>
      <c r="E225" s="322">
        <v>1056</v>
      </c>
      <c r="F225" s="323">
        <v>42980</v>
      </c>
      <c r="G225" s="322">
        <v>1056</v>
      </c>
      <c r="H225" s="322">
        <f>Tabla14[[#This Row],[Importe]]-Tabla14[[#This Row],[Pagado]]</f>
        <v>0</v>
      </c>
      <c r="I225" s="325" t="s">
        <v>15214</v>
      </c>
    </row>
    <row r="226" spans="1:9" x14ac:dyDescent="0.25">
      <c r="A226" s="359">
        <v>42980</v>
      </c>
      <c r="B226" s="326" t="s">
        <v>27931</v>
      </c>
      <c r="C226" s="327">
        <v>125985</v>
      </c>
      <c r="D226" s="391" t="s">
        <v>23937</v>
      </c>
      <c r="E226" s="328">
        <v>5631.92</v>
      </c>
      <c r="F226" s="329">
        <v>42981</v>
      </c>
      <c r="G226" s="328">
        <v>5631.92</v>
      </c>
      <c r="H226" s="322">
        <f>Tabla14[[#This Row],[Importe]]-Tabla14[[#This Row],[Pagado]]</f>
        <v>0</v>
      </c>
      <c r="I226" s="331" t="s">
        <v>15214</v>
      </c>
    </row>
    <row r="227" spans="1:9" x14ac:dyDescent="0.25">
      <c r="A227" s="319">
        <v>42980</v>
      </c>
      <c r="B227" s="320" t="s">
        <v>27932</v>
      </c>
      <c r="C227" s="321">
        <v>125986</v>
      </c>
      <c r="D227" s="390" t="s">
        <v>15252</v>
      </c>
      <c r="E227" s="322">
        <v>3078.9</v>
      </c>
      <c r="F227" s="323">
        <v>42982</v>
      </c>
      <c r="G227" s="322">
        <v>3078.9</v>
      </c>
      <c r="H227" s="322">
        <f>Tabla14[[#This Row],[Importe]]-Tabla14[[#This Row],[Pagado]]</f>
        <v>0</v>
      </c>
      <c r="I227" s="325" t="s">
        <v>15214</v>
      </c>
    </row>
    <row r="228" spans="1:9" x14ac:dyDescent="0.25">
      <c r="A228" s="359">
        <v>42980</v>
      </c>
      <c r="B228" s="326" t="s">
        <v>27933</v>
      </c>
      <c r="C228" s="327">
        <v>125987</v>
      </c>
      <c r="D228" s="391" t="s">
        <v>15244</v>
      </c>
      <c r="E228" s="328">
        <v>11856.8</v>
      </c>
      <c r="F228" s="329">
        <v>42982</v>
      </c>
      <c r="G228" s="328">
        <v>11856.8</v>
      </c>
      <c r="H228" s="322">
        <f>Tabla14[[#This Row],[Importe]]-Tabla14[[#This Row],[Pagado]]</f>
        <v>0</v>
      </c>
      <c r="I228" s="331" t="s">
        <v>15214</v>
      </c>
    </row>
    <row r="229" spans="1:9" x14ac:dyDescent="0.25">
      <c r="A229" s="319">
        <v>42980</v>
      </c>
      <c r="B229" s="320" t="s">
        <v>27934</v>
      </c>
      <c r="C229" s="321">
        <v>125988</v>
      </c>
      <c r="D229" s="390" t="s">
        <v>15280</v>
      </c>
      <c r="E229" s="322">
        <v>7667.8</v>
      </c>
      <c r="F229" s="323">
        <v>42980</v>
      </c>
      <c r="G229" s="322">
        <v>7667.8</v>
      </c>
      <c r="H229" s="322">
        <f>Tabla14[[#This Row],[Importe]]-Tabla14[[#This Row],[Pagado]]</f>
        <v>0</v>
      </c>
      <c r="I229" s="325" t="s">
        <v>15214</v>
      </c>
    </row>
    <row r="230" spans="1:9" x14ac:dyDescent="0.25">
      <c r="A230" s="359">
        <v>42980</v>
      </c>
      <c r="B230" s="326" t="s">
        <v>27935</v>
      </c>
      <c r="C230" s="327">
        <v>125989</v>
      </c>
      <c r="D230" s="391" t="s">
        <v>15541</v>
      </c>
      <c r="E230" s="328">
        <v>2232.5</v>
      </c>
      <c r="F230" s="329">
        <v>42985</v>
      </c>
      <c r="G230" s="328">
        <v>2232.5</v>
      </c>
      <c r="H230" s="322">
        <f>Tabla14[[#This Row],[Importe]]-Tabla14[[#This Row],[Pagado]]</f>
        <v>0</v>
      </c>
      <c r="I230" s="331" t="s">
        <v>15214</v>
      </c>
    </row>
    <row r="231" spans="1:9" x14ac:dyDescent="0.25">
      <c r="A231" s="319">
        <v>42980</v>
      </c>
      <c r="B231" s="320" t="s">
        <v>27936</v>
      </c>
      <c r="C231" s="321">
        <v>125990</v>
      </c>
      <c r="D231" s="390" t="s">
        <v>15636</v>
      </c>
      <c r="E231" s="322">
        <v>17697</v>
      </c>
      <c r="F231" s="323">
        <v>42980</v>
      </c>
      <c r="G231" s="322">
        <v>17697</v>
      </c>
      <c r="H231" s="322">
        <f>Tabla14[[#This Row],[Importe]]-Tabla14[[#This Row],[Pagado]]</f>
        <v>0</v>
      </c>
      <c r="I231" s="325" t="s">
        <v>15214</v>
      </c>
    </row>
    <row r="232" spans="1:9" x14ac:dyDescent="0.25">
      <c r="A232" s="359">
        <v>42980</v>
      </c>
      <c r="B232" s="326" t="s">
        <v>27937</v>
      </c>
      <c r="C232" s="327">
        <v>125991</v>
      </c>
      <c r="D232" s="391" t="s">
        <v>15315</v>
      </c>
      <c r="E232" s="328">
        <v>1592.5</v>
      </c>
      <c r="F232" s="329">
        <v>42980</v>
      </c>
      <c r="G232" s="328">
        <v>1592.5</v>
      </c>
      <c r="H232" s="322">
        <f>Tabla14[[#This Row],[Importe]]-Tabla14[[#This Row],[Pagado]]</f>
        <v>0</v>
      </c>
      <c r="I232" s="331" t="s">
        <v>15214</v>
      </c>
    </row>
    <row r="233" spans="1:9" x14ac:dyDescent="0.25">
      <c r="A233" s="319">
        <v>42980</v>
      </c>
      <c r="B233" s="320" t="s">
        <v>27938</v>
      </c>
      <c r="C233" s="321">
        <v>125992</v>
      </c>
      <c r="D233" s="390" t="s">
        <v>16171</v>
      </c>
      <c r="E233" s="322">
        <v>1171.32</v>
      </c>
      <c r="F233" s="323">
        <v>42980</v>
      </c>
      <c r="G233" s="322">
        <v>1171.32</v>
      </c>
      <c r="H233" s="322">
        <f>Tabla14[[#This Row],[Importe]]-Tabla14[[#This Row],[Pagado]]</f>
        <v>0</v>
      </c>
      <c r="I233" s="325" t="s">
        <v>15214</v>
      </c>
    </row>
    <row r="234" spans="1:9" x14ac:dyDescent="0.25">
      <c r="A234" s="359">
        <v>42980</v>
      </c>
      <c r="B234" s="326" t="s">
        <v>27939</v>
      </c>
      <c r="C234" s="327">
        <v>125993</v>
      </c>
      <c r="D234" s="391" t="s">
        <v>15315</v>
      </c>
      <c r="E234" s="328">
        <v>3376.1</v>
      </c>
      <c r="F234" s="329">
        <v>42980</v>
      </c>
      <c r="G234" s="328">
        <v>3376.1</v>
      </c>
      <c r="H234" s="322">
        <f>Tabla14[[#This Row],[Importe]]-Tabla14[[#This Row],[Pagado]]</f>
        <v>0</v>
      </c>
      <c r="I234" s="331" t="s">
        <v>15214</v>
      </c>
    </row>
    <row r="235" spans="1:9" ht="15.75" x14ac:dyDescent="0.25">
      <c r="A235" s="319">
        <v>42980</v>
      </c>
      <c r="B235" s="320" t="s">
        <v>27940</v>
      </c>
      <c r="C235" s="321">
        <v>125994</v>
      </c>
      <c r="D235" s="332" t="s">
        <v>95</v>
      </c>
      <c r="E235" s="322">
        <v>0</v>
      </c>
      <c r="F235" s="333" t="s">
        <v>95</v>
      </c>
      <c r="G235" s="322">
        <v>0</v>
      </c>
      <c r="H235" s="322">
        <f>Tabla14[[#This Row],[Importe]]-Tabla14[[#This Row],[Pagado]]</f>
        <v>0</v>
      </c>
      <c r="I235" s="325" t="s">
        <v>95</v>
      </c>
    </row>
    <row r="236" spans="1:9" x14ac:dyDescent="0.25">
      <c r="A236" s="359">
        <v>42980</v>
      </c>
      <c r="B236" s="326" t="s">
        <v>27941</v>
      </c>
      <c r="C236" s="327">
        <v>125995</v>
      </c>
      <c r="D236" s="391" t="s">
        <v>15510</v>
      </c>
      <c r="E236" s="328">
        <v>420</v>
      </c>
      <c r="F236" s="329">
        <v>42980</v>
      </c>
      <c r="G236" s="328">
        <v>420</v>
      </c>
      <c r="H236" s="322">
        <f>Tabla14[[#This Row],[Importe]]-Tabla14[[#This Row],[Pagado]]</f>
        <v>0</v>
      </c>
      <c r="I236" s="331" t="s">
        <v>15214</v>
      </c>
    </row>
    <row r="237" spans="1:9" x14ac:dyDescent="0.25">
      <c r="A237" s="319">
        <v>42980</v>
      </c>
      <c r="B237" s="320" t="s">
        <v>27942</v>
      </c>
      <c r="C237" s="321">
        <v>125996</v>
      </c>
      <c r="D237" s="390" t="s">
        <v>15250</v>
      </c>
      <c r="E237" s="322">
        <v>101491.67</v>
      </c>
      <c r="F237" s="323">
        <v>42987</v>
      </c>
      <c r="G237" s="322">
        <v>101491.67</v>
      </c>
      <c r="H237" s="322">
        <f>Tabla14[[#This Row],[Importe]]-Tabla14[[#This Row],[Pagado]]</f>
        <v>0</v>
      </c>
      <c r="I237" s="325" t="s">
        <v>15214</v>
      </c>
    </row>
    <row r="238" spans="1:9" x14ac:dyDescent="0.25">
      <c r="A238" s="359">
        <v>42980</v>
      </c>
      <c r="B238" s="326" t="s">
        <v>27943</v>
      </c>
      <c r="C238" s="327">
        <v>125997</v>
      </c>
      <c r="D238" s="391" t="s">
        <v>15745</v>
      </c>
      <c r="E238" s="328">
        <v>1285.3599999999999</v>
      </c>
      <c r="F238" s="329">
        <v>42980</v>
      </c>
      <c r="G238" s="328">
        <v>1285.3599999999999</v>
      </c>
      <c r="H238" s="322">
        <f>Tabla14[[#This Row],[Importe]]-Tabla14[[#This Row],[Pagado]]</f>
        <v>0</v>
      </c>
      <c r="I238" s="331" t="s">
        <v>15214</v>
      </c>
    </row>
    <row r="239" spans="1:9" x14ac:dyDescent="0.25">
      <c r="A239" s="319">
        <v>42980</v>
      </c>
      <c r="B239" s="320" t="s">
        <v>27944</v>
      </c>
      <c r="C239" s="321">
        <v>125998</v>
      </c>
      <c r="D239" s="390" t="s">
        <v>15284</v>
      </c>
      <c r="E239" s="322">
        <v>2416.4</v>
      </c>
      <c r="F239" s="323">
        <v>42980</v>
      </c>
      <c r="G239" s="322">
        <v>2416.4</v>
      </c>
      <c r="H239" s="322">
        <f>Tabla14[[#This Row],[Importe]]-Tabla14[[#This Row],[Pagado]]</f>
        <v>0</v>
      </c>
      <c r="I239" s="325" t="s">
        <v>15214</v>
      </c>
    </row>
    <row r="240" spans="1:9" x14ac:dyDescent="0.25">
      <c r="A240" s="353">
        <v>42980</v>
      </c>
      <c r="B240" s="336" t="s">
        <v>27945</v>
      </c>
      <c r="C240" s="337">
        <v>125999</v>
      </c>
      <c r="D240" s="394" t="s">
        <v>15261</v>
      </c>
      <c r="E240" s="339">
        <v>8320.4</v>
      </c>
      <c r="F240" s="340">
        <v>42980</v>
      </c>
      <c r="G240" s="339">
        <v>8320.4</v>
      </c>
      <c r="H240" s="395">
        <f>E240-G240</f>
        <v>0</v>
      </c>
      <c r="I240" s="342" t="s">
        <v>15214</v>
      </c>
    </row>
    <row r="241" spans="1:9" x14ac:dyDescent="0.25">
      <c r="A241" s="359">
        <v>42980</v>
      </c>
      <c r="B241" s="326" t="s">
        <v>27946</v>
      </c>
      <c r="C241" s="327">
        <v>126000</v>
      </c>
      <c r="D241" s="391" t="s">
        <v>15261</v>
      </c>
      <c r="E241" s="328">
        <v>18190.8</v>
      </c>
      <c r="F241" s="329">
        <v>42980</v>
      </c>
      <c r="G241" s="328">
        <v>18190.8</v>
      </c>
      <c r="H241" s="347">
        <f t="shared" ref="H241:H304" si="0">E241-G241</f>
        <v>0</v>
      </c>
      <c r="I241" s="331" t="s">
        <v>15214</v>
      </c>
    </row>
    <row r="242" spans="1:9" x14ac:dyDescent="0.25">
      <c r="A242" s="319">
        <v>42980</v>
      </c>
      <c r="B242" s="320" t="s">
        <v>27947</v>
      </c>
      <c r="C242" s="321">
        <v>126001</v>
      </c>
      <c r="D242" s="390" t="s">
        <v>15248</v>
      </c>
      <c r="E242" s="322">
        <v>20809.52</v>
      </c>
      <c r="F242" s="340">
        <v>42980</v>
      </c>
      <c r="G242" s="322">
        <v>20809.52</v>
      </c>
      <c r="H242" s="322">
        <f t="shared" si="0"/>
        <v>0</v>
      </c>
      <c r="I242" s="325" t="s">
        <v>15214</v>
      </c>
    </row>
    <row r="243" spans="1:9" x14ac:dyDescent="0.25">
      <c r="A243" s="359">
        <v>42980</v>
      </c>
      <c r="B243" s="326" t="s">
        <v>27948</v>
      </c>
      <c r="C243" s="327">
        <v>126002</v>
      </c>
      <c r="D243" s="391" t="s">
        <v>15261</v>
      </c>
      <c r="E243" s="328">
        <v>1577</v>
      </c>
      <c r="F243" s="329">
        <v>42980</v>
      </c>
      <c r="G243" s="328">
        <v>1577</v>
      </c>
      <c r="H243" s="347">
        <f t="shared" si="0"/>
        <v>0</v>
      </c>
      <c r="I243" s="331" t="s">
        <v>15214</v>
      </c>
    </row>
    <row r="244" spans="1:9" x14ac:dyDescent="0.25">
      <c r="A244" s="319">
        <v>42980</v>
      </c>
      <c r="B244" s="320" t="s">
        <v>27949</v>
      </c>
      <c r="C244" s="321">
        <v>126003</v>
      </c>
      <c r="D244" s="390" t="s">
        <v>15530</v>
      </c>
      <c r="E244" s="322">
        <v>1802</v>
      </c>
      <c r="F244" s="340">
        <v>42980</v>
      </c>
      <c r="G244" s="322">
        <v>1802</v>
      </c>
      <c r="H244" s="322">
        <f t="shared" si="0"/>
        <v>0</v>
      </c>
      <c r="I244" s="325" t="s">
        <v>15214</v>
      </c>
    </row>
    <row r="245" spans="1:9" x14ac:dyDescent="0.25">
      <c r="A245" s="359">
        <v>42980</v>
      </c>
      <c r="B245" s="326" t="s">
        <v>27950</v>
      </c>
      <c r="C245" s="327">
        <v>126004</v>
      </c>
      <c r="D245" s="391" t="s">
        <v>15326</v>
      </c>
      <c r="E245" s="328">
        <v>3832</v>
      </c>
      <c r="F245" s="329">
        <v>42980</v>
      </c>
      <c r="G245" s="328">
        <v>3832</v>
      </c>
      <c r="H245" s="347">
        <f t="shared" si="0"/>
        <v>0</v>
      </c>
      <c r="I245" s="331" t="s">
        <v>15214</v>
      </c>
    </row>
    <row r="246" spans="1:9" x14ac:dyDescent="0.25">
      <c r="A246" s="319">
        <v>42980</v>
      </c>
      <c r="B246" s="320" t="s">
        <v>27951</v>
      </c>
      <c r="C246" s="321">
        <v>126005</v>
      </c>
      <c r="D246" s="390" t="s">
        <v>15246</v>
      </c>
      <c r="E246" s="322">
        <v>6225.5</v>
      </c>
      <c r="F246" s="323">
        <v>42985</v>
      </c>
      <c r="G246" s="322">
        <v>6225.5</v>
      </c>
      <c r="H246" s="322">
        <f t="shared" si="0"/>
        <v>0</v>
      </c>
      <c r="I246" s="325" t="s">
        <v>15214</v>
      </c>
    </row>
    <row r="247" spans="1:9" x14ac:dyDescent="0.25">
      <c r="A247" s="359">
        <v>42980</v>
      </c>
      <c r="B247" s="326" t="s">
        <v>27952</v>
      </c>
      <c r="C247" s="327">
        <v>126006</v>
      </c>
      <c r="D247" s="391" t="s">
        <v>19768</v>
      </c>
      <c r="E247" s="328">
        <v>2400</v>
      </c>
      <c r="F247" s="329">
        <v>42980</v>
      </c>
      <c r="G247" s="328">
        <v>2400</v>
      </c>
      <c r="H247" s="347">
        <f t="shared" si="0"/>
        <v>0</v>
      </c>
      <c r="I247" s="331" t="s">
        <v>15214</v>
      </c>
    </row>
    <row r="248" spans="1:9" x14ac:dyDescent="0.25">
      <c r="A248" s="319">
        <v>42980</v>
      </c>
      <c r="B248" s="320" t="s">
        <v>27953</v>
      </c>
      <c r="C248" s="321">
        <v>126007</v>
      </c>
      <c r="D248" s="390" t="s">
        <v>15378</v>
      </c>
      <c r="E248" s="322">
        <v>2524.1</v>
      </c>
      <c r="F248" s="340">
        <v>42980</v>
      </c>
      <c r="G248" s="322">
        <v>2524.1</v>
      </c>
      <c r="H248" s="322">
        <f t="shared" si="0"/>
        <v>0</v>
      </c>
      <c r="I248" s="325" t="s">
        <v>15214</v>
      </c>
    </row>
    <row r="249" spans="1:9" x14ac:dyDescent="0.25">
      <c r="A249" s="359">
        <v>42980</v>
      </c>
      <c r="B249" s="326" t="s">
        <v>27954</v>
      </c>
      <c r="C249" s="327">
        <v>126008</v>
      </c>
      <c r="D249" s="391" t="s">
        <v>16108</v>
      </c>
      <c r="E249" s="328">
        <v>1689.2</v>
      </c>
      <c r="F249" s="329">
        <v>42980</v>
      </c>
      <c r="G249" s="328">
        <v>1689.2</v>
      </c>
      <c r="H249" s="347">
        <f t="shared" si="0"/>
        <v>0</v>
      </c>
      <c r="I249" s="331" t="s">
        <v>15214</v>
      </c>
    </row>
    <row r="250" spans="1:9" x14ac:dyDescent="0.25">
      <c r="A250" s="319">
        <v>42980</v>
      </c>
      <c r="B250" s="320" t="s">
        <v>27955</v>
      </c>
      <c r="C250" s="321">
        <v>126009</v>
      </c>
      <c r="D250" s="390" t="s">
        <v>15442</v>
      </c>
      <c r="E250" s="322">
        <v>20578.900000000001</v>
      </c>
      <c r="F250" s="323">
        <v>42987</v>
      </c>
      <c r="G250" s="322">
        <v>20578.900000000001</v>
      </c>
      <c r="H250" s="322">
        <f t="shared" si="0"/>
        <v>0</v>
      </c>
      <c r="I250" s="325" t="s">
        <v>15214</v>
      </c>
    </row>
    <row r="251" spans="1:9" x14ac:dyDescent="0.25">
      <c r="A251" s="359">
        <v>42980</v>
      </c>
      <c r="B251" s="326" t="s">
        <v>27956</v>
      </c>
      <c r="C251" s="327">
        <v>126010</v>
      </c>
      <c r="D251" s="391" t="s">
        <v>15378</v>
      </c>
      <c r="E251" s="328">
        <v>40</v>
      </c>
      <c r="F251" s="329">
        <v>42980</v>
      </c>
      <c r="G251" s="328">
        <v>40</v>
      </c>
      <c r="H251" s="347">
        <f t="shared" si="0"/>
        <v>0</v>
      </c>
      <c r="I251" s="331" t="s">
        <v>15214</v>
      </c>
    </row>
    <row r="252" spans="1:9" x14ac:dyDescent="0.25">
      <c r="A252" s="319">
        <v>42980</v>
      </c>
      <c r="B252" s="320" t="s">
        <v>27957</v>
      </c>
      <c r="C252" s="321">
        <v>126011</v>
      </c>
      <c r="D252" s="390" t="s">
        <v>15315</v>
      </c>
      <c r="E252" s="322">
        <v>1005.5</v>
      </c>
      <c r="F252" s="323">
        <v>42980</v>
      </c>
      <c r="G252" s="322">
        <v>1005.5</v>
      </c>
      <c r="H252" s="322">
        <f t="shared" si="0"/>
        <v>0</v>
      </c>
      <c r="I252" s="325" t="s">
        <v>15214</v>
      </c>
    </row>
    <row r="253" spans="1:9" x14ac:dyDescent="0.25">
      <c r="A253" s="359">
        <v>42980</v>
      </c>
      <c r="B253" s="326" t="s">
        <v>27958</v>
      </c>
      <c r="C253" s="327">
        <v>126012</v>
      </c>
      <c r="D253" s="391" t="s">
        <v>15577</v>
      </c>
      <c r="E253" s="328">
        <v>304.2</v>
      </c>
      <c r="F253" s="329">
        <v>42980</v>
      </c>
      <c r="G253" s="328">
        <v>304.2</v>
      </c>
      <c r="H253" s="347">
        <f t="shared" si="0"/>
        <v>0</v>
      </c>
      <c r="I253" s="331" t="s">
        <v>15214</v>
      </c>
    </row>
    <row r="254" spans="1:9" ht="15.75" x14ac:dyDescent="0.25">
      <c r="A254" s="319">
        <v>42980</v>
      </c>
      <c r="B254" s="320" t="s">
        <v>27959</v>
      </c>
      <c r="C254" s="321">
        <v>126013</v>
      </c>
      <c r="D254" s="332" t="s">
        <v>95</v>
      </c>
      <c r="E254" s="322">
        <v>0</v>
      </c>
      <c r="F254" s="333" t="s">
        <v>95</v>
      </c>
      <c r="G254" s="322">
        <v>0</v>
      </c>
      <c r="H254" s="322">
        <f t="shared" si="0"/>
        <v>0</v>
      </c>
      <c r="I254" s="325" t="s">
        <v>95</v>
      </c>
    </row>
    <row r="255" spans="1:9" x14ac:dyDescent="0.25">
      <c r="A255" s="359">
        <v>42980</v>
      </c>
      <c r="B255" s="326" t="s">
        <v>27960</v>
      </c>
      <c r="C255" s="327">
        <v>126014</v>
      </c>
      <c r="D255" s="391" t="s">
        <v>15398</v>
      </c>
      <c r="E255" s="328">
        <v>6369.1</v>
      </c>
      <c r="F255" s="329">
        <v>42980</v>
      </c>
      <c r="G255" s="328">
        <v>6369.1</v>
      </c>
      <c r="H255" s="347">
        <f t="shared" si="0"/>
        <v>0</v>
      </c>
      <c r="I255" s="331" t="s">
        <v>15214</v>
      </c>
    </row>
    <row r="256" spans="1:9" x14ac:dyDescent="0.25">
      <c r="A256" s="319">
        <v>42980</v>
      </c>
      <c r="B256" s="320" t="s">
        <v>27961</v>
      </c>
      <c r="C256" s="321">
        <v>126015</v>
      </c>
      <c r="D256" s="390" t="s">
        <v>16313</v>
      </c>
      <c r="E256" s="322">
        <v>4644</v>
      </c>
      <c r="F256" s="323">
        <v>42980</v>
      </c>
      <c r="G256" s="322">
        <v>4644</v>
      </c>
      <c r="H256" s="322">
        <f t="shared" si="0"/>
        <v>0</v>
      </c>
      <c r="I256" s="325" t="s">
        <v>15214</v>
      </c>
    </row>
    <row r="257" spans="1:9" x14ac:dyDescent="0.25">
      <c r="A257" s="359">
        <v>42980</v>
      </c>
      <c r="B257" s="326" t="s">
        <v>27962</v>
      </c>
      <c r="C257" s="327">
        <v>126016</v>
      </c>
      <c r="D257" s="391" t="s">
        <v>15267</v>
      </c>
      <c r="E257" s="328">
        <v>22494.400000000001</v>
      </c>
      <c r="F257" s="329">
        <v>42980</v>
      </c>
      <c r="G257" s="328">
        <v>22494.400000000001</v>
      </c>
      <c r="H257" s="347">
        <f t="shared" si="0"/>
        <v>0</v>
      </c>
      <c r="I257" s="331" t="s">
        <v>15214</v>
      </c>
    </row>
    <row r="258" spans="1:9" ht="15.75" x14ac:dyDescent="0.25">
      <c r="A258" s="319">
        <v>42980</v>
      </c>
      <c r="B258" s="320" t="s">
        <v>27963</v>
      </c>
      <c r="C258" s="321">
        <v>126017</v>
      </c>
      <c r="D258" s="332" t="s">
        <v>95</v>
      </c>
      <c r="E258" s="322">
        <v>0</v>
      </c>
      <c r="F258" s="333" t="s">
        <v>95</v>
      </c>
      <c r="G258" s="322">
        <v>0</v>
      </c>
      <c r="H258" s="322">
        <f t="shared" si="0"/>
        <v>0</v>
      </c>
      <c r="I258" s="325" t="s">
        <v>95</v>
      </c>
    </row>
    <row r="259" spans="1:9" x14ac:dyDescent="0.25">
      <c r="A259" s="359">
        <v>42980</v>
      </c>
      <c r="B259" s="326" t="s">
        <v>27964</v>
      </c>
      <c r="C259" s="327">
        <v>126018</v>
      </c>
      <c r="D259" s="391" t="s">
        <v>15566</v>
      </c>
      <c r="E259" s="328">
        <v>3570</v>
      </c>
      <c r="F259" s="329">
        <v>42980</v>
      </c>
      <c r="G259" s="328">
        <v>3570</v>
      </c>
      <c r="H259" s="347">
        <f t="shared" si="0"/>
        <v>0</v>
      </c>
      <c r="I259" s="331" t="s">
        <v>15214</v>
      </c>
    </row>
    <row r="260" spans="1:9" x14ac:dyDescent="0.25">
      <c r="A260" s="319">
        <v>42980</v>
      </c>
      <c r="B260" s="320" t="s">
        <v>27965</v>
      </c>
      <c r="C260" s="321">
        <v>126019</v>
      </c>
      <c r="D260" s="390" t="s">
        <v>15282</v>
      </c>
      <c r="E260" s="322">
        <v>648</v>
      </c>
      <c r="F260" s="323">
        <v>42980</v>
      </c>
      <c r="G260" s="322">
        <v>648</v>
      </c>
      <c r="H260" s="322">
        <f t="shared" si="0"/>
        <v>0</v>
      </c>
      <c r="I260" s="325" t="s">
        <v>15214</v>
      </c>
    </row>
    <row r="261" spans="1:9" x14ac:dyDescent="0.25">
      <c r="A261" s="359">
        <v>42980</v>
      </c>
      <c r="B261" s="326" t="s">
        <v>27966</v>
      </c>
      <c r="C261" s="327">
        <v>126020</v>
      </c>
      <c r="D261" s="391" t="s">
        <v>15537</v>
      </c>
      <c r="E261" s="328">
        <v>14064</v>
      </c>
      <c r="F261" s="329">
        <v>42987</v>
      </c>
      <c r="G261" s="328">
        <v>14064</v>
      </c>
      <c r="H261" s="347">
        <f t="shared" si="0"/>
        <v>0</v>
      </c>
      <c r="I261" s="331" t="s">
        <v>15214</v>
      </c>
    </row>
    <row r="262" spans="1:9" x14ac:dyDescent="0.25">
      <c r="A262" s="319">
        <v>42980</v>
      </c>
      <c r="B262" s="320" t="s">
        <v>27967</v>
      </c>
      <c r="C262" s="321">
        <v>126021</v>
      </c>
      <c r="D262" s="390" t="s">
        <v>15699</v>
      </c>
      <c r="E262" s="322">
        <v>11336.6</v>
      </c>
      <c r="F262" s="323" t="s">
        <v>27799</v>
      </c>
      <c r="G262" s="322">
        <v>11336.6</v>
      </c>
      <c r="H262" s="322">
        <f t="shared" si="0"/>
        <v>0</v>
      </c>
      <c r="I262" s="325" t="s">
        <v>15214</v>
      </c>
    </row>
    <row r="263" spans="1:9" x14ac:dyDescent="0.25">
      <c r="A263" s="359">
        <v>42980</v>
      </c>
      <c r="B263" s="326" t="s">
        <v>27968</v>
      </c>
      <c r="C263" s="327">
        <v>126022</v>
      </c>
      <c r="D263" s="391" t="s">
        <v>15539</v>
      </c>
      <c r="E263" s="328">
        <v>20573.599999999999</v>
      </c>
      <c r="F263" s="329">
        <v>42987</v>
      </c>
      <c r="G263" s="328">
        <v>20573.599999999999</v>
      </c>
      <c r="H263" s="347">
        <f t="shared" si="0"/>
        <v>0</v>
      </c>
      <c r="I263" s="331" t="s">
        <v>15214</v>
      </c>
    </row>
    <row r="264" spans="1:9" x14ac:dyDescent="0.25">
      <c r="A264" s="319">
        <v>42980</v>
      </c>
      <c r="B264" s="320" t="s">
        <v>27969</v>
      </c>
      <c r="C264" s="321">
        <v>126023</v>
      </c>
      <c r="D264" s="390" t="s">
        <v>15725</v>
      </c>
      <c r="E264" s="322">
        <v>27814</v>
      </c>
      <c r="F264" s="323">
        <v>42981</v>
      </c>
      <c r="G264" s="322">
        <v>27814</v>
      </c>
      <c r="H264" s="322">
        <f t="shared" si="0"/>
        <v>0</v>
      </c>
      <c r="I264" s="325" t="s">
        <v>15214</v>
      </c>
    </row>
    <row r="265" spans="1:9" x14ac:dyDescent="0.25">
      <c r="A265" s="359">
        <v>42980</v>
      </c>
      <c r="B265" s="326" t="s">
        <v>27970</v>
      </c>
      <c r="C265" s="327">
        <v>126024</v>
      </c>
      <c r="D265" s="391" t="s">
        <v>15555</v>
      </c>
      <c r="E265" s="328">
        <v>2446.3000000000002</v>
      </c>
      <c r="F265" s="329">
        <v>42984</v>
      </c>
      <c r="G265" s="328">
        <v>2446.3000000000002</v>
      </c>
      <c r="H265" s="347">
        <f t="shared" si="0"/>
        <v>0</v>
      </c>
      <c r="I265" s="331" t="s">
        <v>15214</v>
      </c>
    </row>
    <row r="266" spans="1:9" x14ac:dyDescent="0.25">
      <c r="A266" s="319">
        <v>42980</v>
      </c>
      <c r="B266" s="320" t="s">
        <v>27971</v>
      </c>
      <c r="C266" s="321">
        <v>126025</v>
      </c>
      <c r="D266" s="390" t="s">
        <v>17708</v>
      </c>
      <c r="E266" s="322">
        <v>4820.3</v>
      </c>
      <c r="F266" s="323">
        <v>42982</v>
      </c>
      <c r="G266" s="322">
        <v>4820.3</v>
      </c>
      <c r="H266" s="322">
        <f t="shared" si="0"/>
        <v>0</v>
      </c>
      <c r="I266" s="325" t="s">
        <v>15214</v>
      </c>
    </row>
    <row r="267" spans="1:9" x14ac:dyDescent="0.25">
      <c r="A267" s="359">
        <v>42980</v>
      </c>
      <c r="B267" s="326" t="s">
        <v>27972</v>
      </c>
      <c r="C267" s="327">
        <v>126026</v>
      </c>
      <c r="D267" s="391" t="s">
        <v>15315</v>
      </c>
      <c r="E267" s="328">
        <v>777.4</v>
      </c>
      <c r="F267" s="329" t="s">
        <v>20085</v>
      </c>
      <c r="G267" s="328">
        <v>777.4</v>
      </c>
      <c r="H267" s="347">
        <f t="shared" si="0"/>
        <v>0</v>
      </c>
      <c r="I267" s="331" t="s">
        <v>15214</v>
      </c>
    </row>
    <row r="268" spans="1:9" x14ac:dyDescent="0.25">
      <c r="A268" s="319">
        <v>42980</v>
      </c>
      <c r="B268" s="320" t="s">
        <v>27973</v>
      </c>
      <c r="C268" s="321">
        <v>126027</v>
      </c>
      <c r="D268" s="390" t="s">
        <v>15315</v>
      </c>
      <c r="E268" s="322">
        <v>5803</v>
      </c>
      <c r="F268" s="323">
        <v>42984</v>
      </c>
      <c r="G268" s="322">
        <v>5803</v>
      </c>
      <c r="H268" s="322">
        <f t="shared" si="0"/>
        <v>0</v>
      </c>
      <c r="I268" s="325" t="s">
        <v>15214</v>
      </c>
    </row>
    <row r="269" spans="1:9" x14ac:dyDescent="0.25">
      <c r="A269" s="359">
        <v>42980</v>
      </c>
      <c r="B269" s="326" t="s">
        <v>27974</v>
      </c>
      <c r="C269" s="327">
        <v>126028</v>
      </c>
      <c r="D269" s="391" t="s">
        <v>16383</v>
      </c>
      <c r="E269" s="328">
        <v>10390</v>
      </c>
      <c r="F269" s="329">
        <v>42982</v>
      </c>
      <c r="G269" s="328">
        <v>10390</v>
      </c>
      <c r="H269" s="347">
        <f t="shared" si="0"/>
        <v>0</v>
      </c>
      <c r="I269" s="331" t="s">
        <v>15214</v>
      </c>
    </row>
    <row r="270" spans="1:9" x14ac:dyDescent="0.25">
      <c r="A270" s="319">
        <v>42980</v>
      </c>
      <c r="B270" s="320" t="s">
        <v>27975</v>
      </c>
      <c r="C270" s="321">
        <v>126029</v>
      </c>
      <c r="D270" s="390" t="s">
        <v>15315</v>
      </c>
      <c r="E270" s="322">
        <v>1992.9</v>
      </c>
      <c r="F270" s="323">
        <v>42982</v>
      </c>
      <c r="G270" s="322">
        <v>1992.9</v>
      </c>
      <c r="H270" s="322">
        <f t="shared" si="0"/>
        <v>0</v>
      </c>
      <c r="I270" s="325" t="s">
        <v>15214</v>
      </c>
    </row>
    <row r="271" spans="1:9" x14ac:dyDescent="0.25">
      <c r="A271" s="359">
        <v>42980</v>
      </c>
      <c r="B271" s="326" t="s">
        <v>27976</v>
      </c>
      <c r="C271" s="327">
        <v>126030</v>
      </c>
      <c r="D271" s="391" t="s">
        <v>15391</v>
      </c>
      <c r="E271" s="328">
        <v>12284</v>
      </c>
      <c r="F271" s="329">
        <v>42982</v>
      </c>
      <c r="G271" s="328">
        <v>12284</v>
      </c>
      <c r="H271" s="347">
        <f t="shared" si="0"/>
        <v>0</v>
      </c>
      <c r="I271" s="331" t="s">
        <v>15214</v>
      </c>
    </row>
    <row r="272" spans="1:9" ht="15.75" x14ac:dyDescent="0.25">
      <c r="A272" s="319">
        <v>42980</v>
      </c>
      <c r="B272" s="320" t="s">
        <v>27977</v>
      </c>
      <c r="C272" s="321">
        <v>126031</v>
      </c>
      <c r="D272" s="332" t="s">
        <v>95</v>
      </c>
      <c r="E272" s="322">
        <v>0</v>
      </c>
      <c r="F272" s="333" t="s">
        <v>95</v>
      </c>
      <c r="G272" s="322">
        <v>0</v>
      </c>
      <c r="H272" s="322">
        <f t="shared" si="0"/>
        <v>0</v>
      </c>
      <c r="I272" s="325" t="s">
        <v>95</v>
      </c>
    </row>
    <row r="273" spans="1:9" x14ac:dyDescent="0.25">
      <c r="A273" s="359">
        <v>42980</v>
      </c>
      <c r="B273" s="326" t="s">
        <v>27978</v>
      </c>
      <c r="C273" s="327">
        <v>126032</v>
      </c>
      <c r="D273" s="391" t="s">
        <v>15716</v>
      </c>
      <c r="E273" s="328">
        <v>15493.9</v>
      </c>
      <c r="F273" s="329">
        <v>42980</v>
      </c>
      <c r="G273" s="328">
        <v>15493.9</v>
      </c>
      <c r="H273" s="347">
        <f t="shared" si="0"/>
        <v>0</v>
      </c>
      <c r="I273" s="331" t="s">
        <v>15214</v>
      </c>
    </row>
    <row r="274" spans="1:9" ht="15.75" x14ac:dyDescent="0.25">
      <c r="A274" s="319">
        <v>42980</v>
      </c>
      <c r="B274" s="320" t="s">
        <v>27979</v>
      </c>
      <c r="C274" s="321">
        <v>126033</v>
      </c>
      <c r="D274" s="332" t="s">
        <v>95</v>
      </c>
      <c r="E274" s="322">
        <v>0</v>
      </c>
      <c r="F274" s="333" t="s">
        <v>95</v>
      </c>
      <c r="G274" s="322">
        <v>0</v>
      </c>
      <c r="H274" s="322">
        <f t="shared" si="0"/>
        <v>0</v>
      </c>
      <c r="I274" s="325" t="s">
        <v>95</v>
      </c>
    </row>
    <row r="275" spans="1:9" x14ac:dyDescent="0.25">
      <c r="A275" s="359">
        <v>42980</v>
      </c>
      <c r="B275" s="326" t="s">
        <v>27980</v>
      </c>
      <c r="C275" s="327">
        <v>126034</v>
      </c>
      <c r="D275" s="391" t="s">
        <v>15361</v>
      </c>
      <c r="E275" s="328">
        <v>6275.2</v>
      </c>
      <c r="F275" s="329">
        <v>42982</v>
      </c>
      <c r="G275" s="328">
        <v>6275.2</v>
      </c>
      <c r="H275" s="347">
        <f t="shared" si="0"/>
        <v>0</v>
      </c>
      <c r="I275" s="331" t="s">
        <v>15214</v>
      </c>
    </row>
    <row r="276" spans="1:9" x14ac:dyDescent="0.25">
      <c r="A276" s="319">
        <v>42980</v>
      </c>
      <c r="B276" s="320" t="s">
        <v>27981</v>
      </c>
      <c r="C276" s="321">
        <v>126035</v>
      </c>
      <c r="D276" s="390" t="s">
        <v>16249</v>
      </c>
      <c r="E276" s="322">
        <v>2248.8000000000002</v>
      </c>
      <c r="F276" s="323">
        <v>42980</v>
      </c>
      <c r="G276" s="322">
        <v>2248.8000000000002</v>
      </c>
      <c r="H276" s="322">
        <f t="shared" si="0"/>
        <v>0</v>
      </c>
      <c r="I276" s="325" t="s">
        <v>15214</v>
      </c>
    </row>
    <row r="277" spans="1:9" x14ac:dyDescent="0.25">
      <c r="A277" s="359">
        <v>42980</v>
      </c>
      <c r="B277" s="326" t="s">
        <v>27982</v>
      </c>
      <c r="C277" s="327">
        <v>126036</v>
      </c>
      <c r="D277" s="391" t="s">
        <v>15246</v>
      </c>
      <c r="E277" s="328">
        <v>196577.02</v>
      </c>
      <c r="F277" s="329">
        <v>42985</v>
      </c>
      <c r="G277" s="328">
        <v>196577.02</v>
      </c>
      <c r="H277" s="347">
        <f t="shared" si="0"/>
        <v>0</v>
      </c>
      <c r="I277" s="331" t="s">
        <v>15214</v>
      </c>
    </row>
    <row r="278" spans="1:9" x14ac:dyDescent="0.25">
      <c r="A278" s="319">
        <v>42980</v>
      </c>
      <c r="B278" s="320" t="s">
        <v>27983</v>
      </c>
      <c r="C278" s="321">
        <v>126037</v>
      </c>
      <c r="D278" s="390" t="s">
        <v>15566</v>
      </c>
      <c r="E278" s="322">
        <v>348</v>
      </c>
      <c r="F278" s="323">
        <v>42980</v>
      </c>
      <c r="G278" s="322">
        <v>348</v>
      </c>
      <c r="H278" s="322">
        <f t="shared" si="0"/>
        <v>0</v>
      </c>
      <c r="I278" s="325" t="s">
        <v>15214</v>
      </c>
    </row>
    <row r="279" spans="1:9" x14ac:dyDescent="0.25">
      <c r="A279" s="359">
        <v>42980</v>
      </c>
      <c r="B279" s="326" t="s">
        <v>27984</v>
      </c>
      <c r="C279" s="327">
        <v>126038</v>
      </c>
      <c r="D279" s="391" t="s">
        <v>15818</v>
      </c>
      <c r="E279" s="328">
        <v>5087.2</v>
      </c>
      <c r="F279" s="329">
        <v>42980</v>
      </c>
      <c r="G279" s="328">
        <v>5087.2</v>
      </c>
      <c r="H279" s="347">
        <f t="shared" si="0"/>
        <v>0</v>
      </c>
      <c r="I279" s="331" t="s">
        <v>15214</v>
      </c>
    </row>
    <row r="280" spans="1:9" x14ac:dyDescent="0.25">
      <c r="A280" s="319">
        <v>42980</v>
      </c>
      <c r="B280" s="320" t="s">
        <v>27985</v>
      </c>
      <c r="C280" s="321">
        <v>126039</v>
      </c>
      <c r="D280" s="390" t="s">
        <v>15789</v>
      </c>
      <c r="E280" s="322">
        <v>32060.7</v>
      </c>
      <c r="F280" s="323">
        <v>42987</v>
      </c>
      <c r="G280" s="322">
        <v>32060.7</v>
      </c>
      <c r="H280" s="322">
        <f t="shared" si="0"/>
        <v>0</v>
      </c>
      <c r="I280" s="325" t="s">
        <v>15214</v>
      </c>
    </row>
    <row r="281" spans="1:9" x14ac:dyDescent="0.25">
      <c r="A281" s="359">
        <v>42980</v>
      </c>
      <c r="B281" s="326" t="s">
        <v>27986</v>
      </c>
      <c r="C281" s="327">
        <v>126040</v>
      </c>
      <c r="D281" s="391" t="s">
        <v>15276</v>
      </c>
      <c r="E281" s="328">
        <v>5760</v>
      </c>
      <c r="F281" s="329">
        <v>42982</v>
      </c>
      <c r="G281" s="328">
        <v>5760</v>
      </c>
      <c r="H281" s="347">
        <f t="shared" si="0"/>
        <v>0</v>
      </c>
      <c r="I281" s="331" t="s">
        <v>15214</v>
      </c>
    </row>
    <row r="282" spans="1:9" x14ac:dyDescent="0.25">
      <c r="A282" s="319">
        <v>42980</v>
      </c>
      <c r="B282" s="320" t="s">
        <v>27987</v>
      </c>
      <c r="C282" s="321">
        <v>126041</v>
      </c>
      <c r="D282" s="390" t="s">
        <v>15322</v>
      </c>
      <c r="E282" s="322">
        <v>1632</v>
      </c>
      <c r="F282" s="323">
        <v>42980</v>
      </c>
      <c r="G282" s="322">
        <v>1632</v>
      </c>
      <c r="H282" s="322">
        <f t="shared" si="0"/>
        <v>0</v>
      </c>
      <c r="I282" s="325" t="s">
        <v>15214</v>
      </c>
    </row>
    <row r="283" spans="1:9" x14ac:dyDescent="0.25">
      <c r="A283" s="359">
        <v>42980</v>
      </c>
      <c r="B283" s="326" t="s">
        <v>27988</v>
      </c>
      <c r="C283" s="327">
        <v>126042</v>
      </c>
      <c r="D283" s="391" t="s">
        <v>15936</v>
      </c>
      <c r="E283" s="328">
        <v>18068.400000000001</v>
      </c>
      <c r="F283" s="329">
        <v>42980</v>
      </c>
      <c r="G283" s="328">
        <v>18068.400000000001</v>
      </c>
      <c r="H283" s="347">
        <f t="shared" si="0"/>
        <v>0</v>
      </c>
      <c r="I283" s="331" t="s">
        <v>15214</v>
      </c>
    </row>
    <row r="284" spans="1:9" x14ac:dyDescent="0.25">
      <c r="A284" s="319">
        <v>42980</v>
      </c>
      <c r="B284" s="320" t="s">
        <v>27989</v>
      </c>
      <c r="C284" s="321">
        <v>126043</v>
      </c>
      <c r="D284" s="390" t="s">
        <v>15600</v>
      </c>
      <c r="E284" s="322">
        <v>16310.6</v>
      </c>
      <c r="F284" s="323">
        <v>42982</v>
      </c>
      <c r="G284" s="322">
        <v>16310.6</v>
      </c>
      <c r="H284" s="322">
        <f t="shared" si="0"/>
        <v>0</v>
      </c>
      <c r="I284" s="325" t="s">
        <v>15214</v>
      </c>
    </row>
    <row r="285" spans="1:9" x14ac:dyDescent="0.25">
      <c r="A285" s="359">
        <v>42980</v>
      </c>
      <c r="B285" s="326" t="s">
        <v>27990</v>
      </c>
      <c r="C285" s="327">
        <v>126044</v>
      </c>
      <c r="D285" s="391" t="s">
        <v>15782</v>
      </c>
      <c r="E285" s="328">
        <v>1513.4</v>
      </c>
      <c r="F285" s="329">
        <v>42982</v>
      </c>
      <c r="G285" s="328">
        <v>1513.4</v>
      </c>
      <c r="H285" s="347">
        <f t="shared" si="0"/>
        <v>0</v>
      </c>
      <c r="I285" s="331" t="s">
        <v>15214</v>
      </c>
    </row>
    <row r="286" spans="1:9" x14ac:dyDescent="0.25">
      <c r="A286" s="319">
        <v>42980</v>
      </c>
      <c r="B286" s="320" t="s">
        <v>27991</v>
      </c>
      <c r="C286" s="321">
        <v>126045</v>
      </c>
      <c r="D286" s="390" t="s">
        <v>15417</v>
      </c>
      <c r="E286" s="322">
        <v>4653</v>
      </c>
      <c r="F286" s="323">
        <v>42982</v>
      </c>
      <c r="G286" s="322">
        <v>4653</v>
      </c>
      <c r="H286" s="322">
        <f t="shared" si="0"/>
        <v>0</v>
      </c>
      <c r="I286" s="325" t="s">
        <v>15214</v>
      </c>
    </row>
    <row r="287" spans="1:9" x14ac:dyDescent="0.25">
      <c r="A287" s="359">
        <v>42980</v>
      </c>
      <c r="B287" s="326" t="s">
        <v>27992</v>
      </c>
      <c r="C287" s="327">
        <v>126046</v>
      </c>
      <c r="D287" s="391" t="s">
        <v>19756</v>
      </c>
      <c r="E287" s="328">
        <v>759.5</v>
      </c>
      <c r="F287" s="329">
        <v>42980</v>
      </c>
      <c r="G287" s="328">
        <v>759.5</v>
      </c>
      <c r="H287" s="347">
        <f t="shared" si="0"/>
        <v>0</v>
      </c>
      <c r="I287" s="331" t="s">
        <v>15214</v>
      </c>
    </row>
    <row r="288" spans="1:9" x14ac:dyDescent="0.25">
      <c r="A288" s="319">
        <v>42980</v>
      </c>
      <c r="B288" s="320" t="s">
        <v>27993</v>
      </c>
      <c r="C288" s="321">
        <v>126047</v>
      </c>
      <c r="D288" s="390" t="s">
        <v>15322</v>
      </c>
      <c r="E288" s="322">
        <v>4835</v>
      </c>
      <c r="F288" s="323">
        <v>42983</v>
      </c>
      <c r="G288" s="322">
        <v>4835</v>
      </c>
      <c r="H288" s="322">
        <f t="shared" si="0"/>
        <v>0</v>
      </c>
      <c r="I288" s="325" t="s">
        <v>15214</v>
      </c>
    </row>
    <row r="289" spans="1:9" x14ac:dyDescent="0.25">
      <c r="A289" s="359">
        <v>42980</v>
      </c>
      <c r="B289" s="326" t="s">
        <v>27994</v>
      </c>
      <c r="C289" s="327">
        <v>126048</v>
      </c>
      <c r="D289" s="391" t="s">
        <v>15284</v>
      </c>
      <c r="E289" s="328">
        <v>830</v>
      </c>
      <c r="F289" s="329">
        <v>42980</v>
      </c>
      <c r="G289" s="328">
        <v>830</v>
      </c>
      <c r="H289" s="347">
        <f t="shared" si="0"/>
        <v>0</v>
      </c>
      <c r="I289" s="331" t="s">
        <v>15214</v>
      </c>
    </row>
    <row r="290" spans="1:9" x14ac:dyDescent="0.25">
      <c r="A290" s="319">
        <v>42980</v>
      </c>
      <c r="B290" s="320" t="s">
        <v>27995</v>
      </c>
      <c r="C290" s="321">
        <v>126049</v>
      </c>
      <c r="D290" s="390" t="s">
        <v>15315</v>
      </c>
      <c r="E290" s="322">
        <v>842.52</v>
      </c>
      <c r="F290" s="323">
        <v>42982</v>
      </c>
      <c r="G290" s="322">
        <v>842.52</v>
      </c>
      <c r="H290" s="322">
        <f t="shared" si="0"/>
        <v>0</v>
      </c>
      <c r="I290" s="325" t="s">
        <v>15214</v>
      </c>
    </row>
    <row r="291" spans="1:9" x14ac:dyDescent="0.25">
      <c r="A291" s="359">
        <v>42980</v>
      </c>
      <c r="B291" s="326" t="s">
        <v>27996</v>
      </c>
      <c r="C291" s="327">
        <v>126050</v>
      </c>
      <c r="D291" s="391" t="s">
        <v>15920</v>
      </c>
      <c r="E291" s="328">
        <v>8852.7999999999993</v>
      </c>
      <c r="F291" s="329">
        <v>42985</v>
      </c>
      <c r="G291" s="328">
        <v>8852.7999999999993</v>
      </c>
      <c r="H291" s="347">
        <f t="shared" si="0"/>
        <v>0</v>
      </c>
      <c r="I291" s="331" t="s">
        <v>15214</v>
      </c>
    </row>
    <row r="292" spans="1:9" x14ac:dyDescent="0.25">
      <c r="A292" s="319">
        <v>42980</v>
      </c>
      <c r="B292" s="320" t="s">
        <v>27997</v>
      </c>
      <c r="C292" s="321">
        <v>126051</v>
      </c>
      <c r="D292" s="390" t="s">
        <v>19699</v>
      </c>
      <c r="E292" s="322">
        <v>3036</v>
      </c>
      <c r="F292" s="323">
        <v>42980</v>
      </c>
      <c r="G292" s="322">
        <v>3036</v>
      </c>
      <c r="H292" s="322">
        <f t="shared" si="0"/>
        <v>0</v>
      </c>
      <c r="I292" s="325" t="s">
        <v>15214</v>
      </c>
    </row>
    <row r="293" spans="1:9" x14ac:dyDescent="0.25">
      <c r="A293" s="359">
        <v>42980</v>
      </c>
      <c r="B293" s="326" t="s">
        <v>27998</v>
      </c>
      <c r="C293" s="327">
        <v>126052</v>
      </c>
      <c r="D293" s="391" t="s">
        <v>15592</v>
      </c>
      <c r="E293" s="328">
        <v>21196</v>
      </c>
      <c r="F293" s="329">
        <v>42981</v>
      </c>
      <c r="G293" s="328">
        <v>21196</v>
      </c>
      <c r="H293" s="347">
        <f t="shared" si="0"/>
        <v>0</v>
      </c>
      <c r="I293" s="331" t="s">
        <v>15214</v>
      </c>
    </row>
    <row r="294" spans="1:9" x14ac:dyDescent="0.25">
      <c r="A294" s="319">
        <v>42980</v>
      </c>
      <c r="B294" s="320" t="s">
        <v>27999</v>
      </c>
      <c r="C294" s="321">
        <v>126053</v>
      </c>
      <c r="D294" s="390" t="s">
        <v>15246</v>
      </c>
      <c r="E294" s="322">
        <v>45035.3</v>
      </c>
      <c r="F294" s="323">
        <v>42985</v>
      </c>
      <c r="G294" s="322">
        <v>45035.3</v>
      </c>
      <c r="H294" s="322">
        <f t="shared" si="0"/>
        <v>0</v>
      </c>
      <c r="I294" s="325" t="s">
        <v>15214</v>
      </c>
    </row>
    <row r="295" spans="1:9" x14ac:dyDescent="0.25">
      <c r="A295" s="359">
        <v>42980</v>
      </c>
      <c r="B295" s="326" t="s">
        <v>28000</v>
      </c>
      <c r="C295" s="327">
        <v>126054</v>
      </c>
      <c r="D295" s="391" t="s">
        <v>15438</v>
      </c>
      <c r="E295" s="328">
        <v>320</v>
      </c>
      <c r="F295" s="329">
        <v>42980</v>
      </c>
      <c r="G295" s="328">
        <v>320</v>
      </c>
      <c r="H295" s="347">
        <f t="shared" si="0"/>
        <v>0</v>
      </c>
      <c r="I295" s="331" t="s">
        <v>15214</v>
      </c>
    </row>
    <row r="296" spans="1:9" x14ac:dyDescent="0.25">
      <c r="A296" s="319">
        <v>42980</v>
      </c>
      <c r="B296" s="320" t="s">
        <v>28001</v>
      </c>
      <c r="C296" s="321">
        <v>126055</v>
      </c>
      <c r="D296" s="390" t="s">
        <v>15624</v>
      </c>
      <c r="E296" s="322">
        <v>35595.879999999997</v>
      </c>
      <c r="F296" s="323">
        <v>42983</v>
      </c>
      <c r="G296" s="322">
        <v>35595.879999999997</v>
      </c>
      <c r="H296" s="322">
        <f t="shared" si="0"/>
        <v>0</v>
      </c>
      <c r="I296" s="325" t="s">
        <v>15214</v>
      </c>
    </row>
    <row r="297" spans="1:9" x14ac:dyDescent="0.25">
      <c r="A297" s="359">
        <v>42980</v>
      </c>
      <c r="B297" s="326" t="s">
        <v>28002</v>
      </c>
      <c r="C297" s="327">
        <v>126056</v>
      </c>
      <c r="D297" s="391" t="s">
        <v>15681</v>
      </c>
      <c r="E297" s="328">
        <v>2275</v>
      </c>
      <c r="F297" s="329">
        <v>42980</v>
      </c>
      <c r="G297" s="328">
        <v>2275</v>
      </c>
      <c r="H297" s="347">
        <f t="shared" si="0"/>
        <v>0</v>
      </c>
      <c r="I297" s="331" t="s">
        <v>15214</v>
      </c>
    </row>
    <row r="298" spans="1:9" x14ac:dyDescent="0.25">
      <c r="A298" s="319">
        <v>42980</v>
      </c>
      <c r="B298" s="320" t="s">
        <v>28003</v>
      </c>
      <c r="C298" s="321">
        <v>126057</v>
      </c>
      <c r="D298" s="390" t="s">
        <v>15642</v>
      </c>
      <c r="E298" s="322">
        <v>7635.6</v>
      </c>
      <c r="F298" s="323">
        <v>42980</v>
      </c>
      <c r="G298" s="322">
        <v>7635.6</v>
      </c>
      <c r="H298" s="322">
        <f t="shared" si="0"/>
        <v>0</v>
      </c>
      <c r="I298" s="325" t="s">
        <v>15214</v>
      </c>
    </row>
    <row r="299" spans="1:9" x14ac:dyDescent="0.25">
      <c r="A299" s="359">
        <v>42980</v>
      </c>
      <c r="B299" s="326" t="s">
        <v>28004</v>
      </c>
      <c r="C299" s="327">
        <v>126058</v>
      </c>
      <c r="D299" s="391" t="s">
        <v>15246</v>
      </c>
      <c r="E299" s="328">
        <v>332865.71999999997</v>
      </c>
      <c r="F299" s="329">
        <v>42985</v>
      </c>
      <c r="G299" s="328">
        <v>332865.71999999997</v>
      </c>
      <c r="H299" s="347">
        <f t="shared" si="0"/>
        <v>0</v>
      </c>
      <c r="I299" s="331" t="s">
        <v>15214</v>
      </c>
    </row>
    <row r="300" spans="1:9" ht="15.75" x14ac:dyDescent="0.25">
      <c r="A300" s="319">
        <v>42980</v>
      </c>
      <c r="B300" s="320" t="s">
        <v>28005</v>
      </c>
      <c r="C300" s="321">
        <v>126059</v>
      </c>
      <c r="D300" s="332" t="s">
        <v>95</v>
      </c>
      <c r="E300" s="322">
        <v>0</v>
      </c>
      <c r="F300" s="333" t="s">
        <v>95</v>
      </c>
      <c r="G300" s="322">
        <v>0</v>
      </c>
      <c r="H300" s="322">
        <f t="shared" si="0"/>
        <v>0</v>
      </c>
      <c r="I300" s="325" t="s">
        <v>95</v>
      </c>
    </row>
    <row r="301" spans="1:9" x14ac:dyDescent="0.25">
      <c r="A301" s="359">
        <v>42980</v>
      </c>
      <c r="B301" s="326" t="s">
        <v>28006</v>
      </c>
      <c r="C301" s="327">
        <v>126060</v>
      </c>
      <c r="D301" s="391" t="s">
        <v>15246</v>
      </c>
      <c r="E301" s="328">
        <v>11450.6</v>
      </c>
      <c r="F301" s="329">
        <v>42985</v>
      </c>
      <c r="G301" s="328">
        <v>11450.6</v>
      </c>
      <c r="H301" s="347">
        <f t="shared" si="0"/>
        <v>0</v>
      </c>
      <c r="I301" s="331" t="s">
        <v>15214</v>
      </c>
    </row>
    <row r="302" spans="1:9" x14ac:dyDescent="0.25">
      <c r="A302" s="319">
        <v>42981</v>
      </c>
      <c r="B302" s="320" t="s">
        <v>28007</v>
      </c>
      <c r="C302" s="321">
        <v>126061</v>
      </c>
      <c r="D302" s="390" t="s">
        <v>15213</v>
      </c>
      <c r="E302" s="322">
        <v>42463.7</v>
      </c>
      <c r="F302" s="323">
        <v>42982</v>
      </c>
      <c r="G302" s="322">
        <v>42463.7</v>
      </c>
      <c r="H302" s="322">
        <f t="shared" si="0"/>
        <v>0</v>
      </c>
      <c r="I302" s="325" t="s">
        <v>15214</v>
      </c>
    </row>
    <row r="303" spans="1:9" x14ac:dyDescent="0.25">
      <c r="A303" s="359">
        <v>42981</v>
      </c>
      <c r="B303" s="326" t="s">
        <v>28008</v>
      </c>
      <c r="C303" s="327">
        <v>126062</v>
      </c>
      <c r="D303" s="391" t="s">
        <v>21386</v>
      </c>
      <c r="E303" s="328">
        <v>11596</v>
      </c>
      <c r="F303" s="329">
        <v>42983</v>
      </c>
      <c r="G303" s="328">
        <v>11596</v>
      </c>
      <c r="H303" s="347">
        <f t="shared" si="0"/>
        <v>0</v>
      </c>
      <c r="I303" s="331" t="s">
        <v>15214</v>
      </c>
    </row>
    <row r="304" spans="1:9" x14ac:dyDescent="0.25">
      <c r="A304" s="319">
        <v>42981</v>
      </c>
      <c r="B304" s="320" t="s">
        <v>28009</v>
      </c>
      <c r="C304" s="321">
        <v>126063</v>
      </c>
      <c r="D304" s="390" t="s">
        <v>15668</v>
      </c>
      <c r="E304" s="322">
        <v>18584</v>
      </c>
      <c r="F304" s="323">
        <v>42985</v>
      </c>
      <c r="G304" s="322">
        <v>18584</v>
      </c>
      <c r="H304" s="322">
        <f t="shared" si="0"/>
        <v>0</v>
      </c>
      <c r="I304" s="325" t="s">
        <v>15214</v>
      </c>
    </row>
    <row r="305" spans="1:9" x14ac:dyDescent="0.25">
      <c r="A305" s="359">
        <v>42981</v>
      </c>
      <c r="B305" s="326" t="s">
        <v>28010</v>
      </c>
      <c r="C305" s="327">
        <v>126064</v>
      </c>
      <c r="D305" s="391" t="s">
        <v>15272</v>
      </c>
      <c r="E305" s="328">
        <v>30090.9</v>
      </c>
      <c r="F305" s="329">
        <v>42981</v>
      </c>
      <c r="G305" s="328">
        <v>30090.9</v>
      </c>
      <c r="H305" s="347">
        <f t="shared" ref="H305:H368" si="1">E305-G305</f>
        <v>0</v>
      </c>
      <c r="I305" s="331" t="s">
        <v>15214</v>
      </c>
    </row>
    <row r="306" spans="1:9" x14ac:dyDescent="0.25">
      <c r="A306" s="319">
        <v>42981</v>
      </c>
      <c r="B306" s="320" t="s">
        <v>28011</v>
      </c>
      <c r="C306" s="321">
        <v>126065</v>
      </c>
      <c r="D306" s="390" t="s">
        <v>17462</v>
      </c>
      <c r="E306" s="322">
        <v>10412.1</v>
      </c>
      <c r="F306" s="323">
        <v>42981</v>
      </c>
      <c r="G306" s="322">
        <v>10412.1</v>
      </c>
      <c r="H306" s="322">
        <f t="shared" si="1"/>
        <v>0</v>
      </c>
      <c r="I306" s="325" t="s">
        <v>15214</v>
      </c>
    </row>
    <row r="307" spans="1:9" x14ac:dyDescent="0.25">
      <c r="A307" s="359">
        <v>42981</v>
      </c>
      <c r="B307" s="326" t="s">
        <v>28012</v>
      </c>
      <c r="C307" s="327">
        <v>126066</v>
      </c>
      <c r="D307" s="391" t="s">
        <v>15220</v>
      </c>
      <c r="E307" s="328">
        <v>5280</v>
      </c>
      <c r="F307" s="329">
        <v>42982</v>
      </c>
      <c r="G307" s="328">
        <v>5280</v>
      </c>
      <c r="H307" s="347">
        <f t="shared" si="1"/>
        <v>0</v>
      </c>
      <c r="I307" s="331" t="s">
        <v>15214</v>
      </c>
    </row>
    <row r="308" spans="1:9" x14ac:dyDescent="0.25">
      <c r="A308" s="319">
        <v>42981</v>
      </c>
      <c r="B308" s="320" t="s">
        <v>28013</v>
      </c>
      <c r="C308" s="321">
        <v>126067</v>
      </c>
      <c r="D308" s="390" t="s">
        <v>19302</v>
      </c>
      <c r="E308" s="322">
        <v>1200</v>
      </c>
      <c r="F308" s="323">
        <v>42982</v>
      </c>
      <c r="G308" s="322">
        <v>1200</v>
      </c>
      <c r="H308" s="322">
        <f t="shared" si="1"/>
        <v>0</v>
      </c>
      <c r="I308" s="325" t="s">
        <v>15214</v>
      </c>
    </row>
    <row r="309" spans="1:9" x14ac:dyDescent="0.25">
      <c r="A309" s="359">
        <v>42981</v>
      </c>
      <c r="B309" s="326" t="s">
        <v>28014</v>
      </c>
      <c r="C309" s="327">
        <v>126068</v>
      </c>
      <c r="D309" s="391" t="s">
        <v>18258</v>
      </c>
      <c r="E309" s="328">
        <v>15317.92</v>
      </c>
      <c r="F309" s="329">
        <v>42981</v>
      </c>
      <c r="G309" s="328">
        <v>15317.92</v>
      </c>
      <c r="H309" s="347">
        <f t="shared" si="1"/>
        <v>0</v>
      </c>
      <c r="I309" s="331" t="s">
        <v>15214</v>
      </c>
    </row>
    <row r="310" spans="1:9" x14ac:dyDescent="0.25">
      <c r="A310" s="319">
        <v>42981</v>
      </c>
      <c r="B310" s="320" t="s">
        <v>28015</v>
      </c>
      <c r="C310" s="321">
        <v>126069</v>
      </c>
      <c r="D310" s="390" t="s">
        <v>15577</v>
      </c>
      <c r="E310" s="322">
        <v>604.4</v>
      </c>
      <c r="F310" s="323">
        <v>42981</v>
      </c>
      <c r="G310" s="322">
        <v>604.4</v>
      </c>
      <c r="H310" s="322">
        <f t="shared" si="1"/>
        <v>0</v>
      </c>
      <c r="I310" s="325" t="s">
        <v>15214</v>
      </c>
    </row>
    <row r="311" spans="1:9" x14ac:dyDescent="0.25">
      <c r="A311" s="359">
        <v>42981</v>
      </c>
      <c r="B311" s="326" t="s">
        <v>28016</v>
      </c>
      <c r="C311" s="327">
        <v>126070</v>
      </c>
      <c r="D311" s="391" t="s">
        <v>15228</v>
      </c>
      <c r="E311" s="328">
        <v>2249.6</v>
      </c>
      <c r="F311" s="329">
        <v>42981</v>
      </c>
      <c r="G311" s="328">
        <v>2249.6</v>
      </c>
      <c r="H311" s="347">
        <f t="shared" si="1"/>
        <v>0</v>
      </c>
      <c r="I311" s="331" t="s">
        <v>15214</v>
      </c>
    </row>
    <row r="312" spans="1:9" ht="30" x14ac:dyDescent="0.25">
      <c r="A312" s="319">
        <v>42981</v>
      </c>
      <c r="B312" s="320" t="s">
        <v>28017</v>
      </c>
      <c r="C312" s="321">
        <v>126071</v>
      </c>
      <c r="D312" s="390" t="s">
        <v>15385</v>
      </c>
      <c r="E312" s="322">
        <v>10373.4</v>
      </c>
      <c r="F312" s="323" t="s">
        <v>28018</v>
      </c>
      <c r="G312" s="334">
        <f>8600+1773.4</f>
        <v>10373.4</v>
      </c>
      <c r="H312" s="334">
        <f t="shared" si="1"/>
        <v>0</v>
      </c>
      <c r="I312" s="325" t="s">
        <v>15214</v>
      </c>
    </row>
    <row r="313" spans="1:9" x14ac:dyDescent="0.25">
      <c r="A313" s="359">
        <v>42981</v>
      </c>
      <c r="B313" s="326" t="s">
        <v>28019</v>
      </c>
      <c r="C313" s="327">
        <v>126072</v>
      </c>
      <c r="D313" s="391" t="s">
        <v>15289</v>
      </c>
      <c r="E313" s="328">
        <v>832.1</v>
      </c>
      <c r="F313" s="329">
        <v>42981</v>
      </c>
      <c r="G313" s="328">
        <v>832.1</v>
      </c>
      <c r="H313" s="347">
        <f t="shared" si="1"/>
        <v>0</v>
      </c>
      <c r="I313" s="331" t="s">
        <v>15214</v>
      </c>
    </row>
    <row r="314" spans="1:9" x14ac:dyDescent="0.25">
      <c r="A314" s="319">
        <v>42981</v>
      </c>
      <c r="B314" s="320" t="s">
        <v>28020</v>
      </c>
      <c r="C314" s="321">
        <v>126073</v>
      </c>
      <c r="D314" s="390" t="s">
        <v>15263</v>
      </c>
      <c r="E314" s="322">
        <v>1760.8</v>
      </c>
      <c r="F314" s="323">
        <v>42981</v>
      </c>
      <c r="G314" s="322">
        <v>1760.8</v>
      </c>
      <c r="H314" s="322">
        <f t="shared" si="1"/>
        <v>0</v>
      </c>
      <c r="I314" s="325" t="s">
        <v>15214</v>
      </c>
    </row>
    <row r="315" spans="1:9" x14ac:dyDescent="0.25">
      <c r="A315" s="359">
        <v>42981</v>
      </c>
      <c r="B315" s="326" t="s">
        <v>28021</v>
      </c>
      <c r="C315" s="327">
        <v>126074</v>
      </c>
      <c r="D315" s="391" t="s">
        <v>15352</v>
      </c>
      <c r="E315" s="328">
        <v>921.5</v>
      </c>
      <c r="F315" s="329">
        <v>42981</v>
      </c>
      <c r="G315" s="328">
        <v>921.5</v>
      </c>
      <c r="H315" s="347">
        <f t="shared" si="1"/>
        <v>0</v>
      </c>
      <c r="I315" s="331" t="s">
        <v>15214</v>
      </c>
    </row>
    <row r="316" spans="1:9" x14ac:dyDescent="0.25">
      <c r="A316" s="319">
        <v>42981</v>
      </c>
      <c r="B316" s="320" t="s">
        <v>28022</v>
      </c>
      <c r="C316" s="321">
        <v>126075</v>
      </c>
      <c r="D316" s="390" t="s">
        <v>15278</v>
      </c>
      <c r="E316" s="322">
        <v>2416.66</v>
      </c>
      <c r="F316" s="323">
        <v>42981</v>
      </c>
      <c r="G316" s="322">
        <v>2416.66</v>
      </c>
      <c r="H316" s="322">
        <f t="shared" si="1"/>
        <v>0</v>
      </c>
      <c r="I316" s="325" t="s">
        <v>15214</v>
      </c>
    </row>
    <row r="317" spans="1:9" x14ac:dyDescent="0.25">
      <c r="A317" s="359">
        <v>42981</v>
      </c>
      <c r="B317" s="326" t="s">
        <v>28023</v>
      </c>
      <c r="C317" s="327">
        <v>126076</v>
      </c>
      <c r="D317" s="391" t="s">
        <v>16023</v>
      </c>
      <c r="E317" s="328">
        <v>1598.6</v>
      </c>
      <c r="F317" s="329">
        <v>42981</v>
      </c>
      <c r="G317" s="328">
        <v>1598.6</v>
      </c>
      <c r="H317" s="347">
        <f t="shared" si="1"/>
        <v>0</v>
      </c>
      <c r="I317" s="331" t="s">
        <v>15214</v>
      </c>
    </row>
    <row r="318" spans="1:9" x14ac:dyDescent="0.25">
      <c r="A318" s="319">
        <v>42981</v>
      </c>
      <c r="B318" s="320" t="s">
        <v>28024</v>
      </c>
      <c r="C318" s="321">
        <v>126077</v>
      </c>
      <c r="D318" s="390" t="s">
        <v>15223</v>
      </c>
      <c r="E318" s="322">
        <v>50483.3</v>
      </c>
      <c r="F318" s="363">
        <v>43010</v>
      </c>
      <c r="G318" s="155">
        <v>50483.3</v>
      </c>
      <c r="H318" s="322">
        <f t="shared" si="1"/>
        <v>0</v>
      </c>
      <c r="I318" s="325" t="s">
        <v>15214</v>
      </c>
    </row>
    <row r="319" spans="1:9" x14ac:dyDescent="0.25">
      <c r="A319" s="359">
        <v>42981</v>
      </c>
      <c r="B319" s="326" t="s">
        <v>28025</v>
      </c>
      <c r="C319" s="327">
        <v>126078</v>
      </c>
      <c r="D319" s="391" t="s">
        <v>15725</v>
      </c>
      <c r="E319" s="328">
        <v>6015.6</v>
      </c>
      <c r="F319" s="329">
        <v>42988</v>
      </c>
      <c r="G319" s="328">
        <v>6015.6</v>
      </c>
      <c r="H319" s="347">
        <f t="shared" si="1"/>
        <v>0</v>
      </c>
      <c r="I319" s="331" t="s">
        <v>15214</v>
      </c>
    </row>
    <row r="320" spans="1:9" x14ac:dyDescent="0.25">
      <c r="A320" s="319">
        <v>42981</v>
      </c>
      <c r="B320" s="320" t="s">
        <v>28026</v>
      </c>
      <c r="C320" s="321">
        <v>126079</v>
      </c>
      <c r="D320" s="390" t="s">
        <v>15530</v>
      </c>
      <c r="E320" s="322">
        <v>3357.2</v>
      </c>
      <c r="F320" s="323">
        <v>42981</v>
      </c>
      <c r="G320" s="322">
        <v>3357.2</v>
      </c>
      <c r="H320" s="322">
        <f t="shared" si="1"/>
        <v>0</v>
      </c>
      <c r="I320" s="325" t="s">
        <v>15214</v>
      </c>
    </row>
    <row r="321" spans="1:9" x14ac:dyDescent="0.25">
      <c r="A321" s="359">
        <v>42981</v>
      </c>
      <c r="B321" s="326" t="s">
        <v>28027</v>
      </c>
      <c r="C321" s="327">
        <v>126080</v>
      </c>
      <c r="D321" s="391" t="s">
        <v>15280</v>
      </c>
      <c r="E321" s="328">
        <v>5703.4</v>
      </c>
      <c r="F321" s="329">
        <v>42981</v>
      </c>
      <c r="G321" s="328">
        <v>5703.4</v>
      </c>
      <c r="H321" s="347">
        <f t="shared" si="1"/>
        <v>0</v>
      </c>
      <c r="I321" s="331" t="s">
        <v>15214</v>
      </c>
    </row>
    <row r="322" spans="1:9" x14ac:dyDescent="0.25">
      <c r="A322" s="319">
        <v>42981</v>
      </c>
      <c r="B322" s="320" t="s">
        <v>28028</v>
      </c>
      <c r="C322" s="321">
        <v>126081</v>
      </c>
      <c r="D322" s="390" t="s">
        <v>15371</v>
      </c>
      <c r="E322" s="322">
        <v>3941.1</v>
      </c>
      <c r="F322" s="323">
        <v>42982</v>
      </c>
      <c r="G322" s="322">
        <v>3941.1</v>
      </c>
      <c r="H322" s="322">
        <f t="shared" si="1"/>
        <v>0</v>
      </c>
      <c r="I322" s="325" t="s">
        <v>15214</v>
      </c>
    </row>
    <row r="323" spans="1:9" x14ac:dyDescent="0.25">
      <c r="A323" s="359">
        <v>42981</v>
      </c>
      <c r="B323" s="326" t="s">
        <v>28029</v>
      </c>
      <c r="C323" s="327">
        <v>126082</v>
      </c>
      <c r="D323" s="391" t="s">
        <v>15391</v>
      </c>
      <c r="E323" s="328">
        <v>11011.2</v>
      </c>
      <c r="F323" s="329">
        <v>42983</v>
      </c>
      <c r="G323" s="328">
        <v>11011.2</v>
      </c>
      <c r="H323" s="347">
        <f t="shared" si="1"/>
        <v>0</v>
      </c>
      <c r="I323" s="331" t="s">
        <v>15214</v>
      </c>
    </row>
    <row r="324" spans="1:9" x14ac:dyDescent="0.25">
      <c r="A324" s="319">
        <v>42981</v>
      </c>
      <c r="B324" s="320" t="s">
        <v>28030</v>
      </c>
      <c r="C324" s="321">
        <v>126083</v>
      </c>
      <c r="D324" s="390" t="s">
        <v>15385</v>
      </c>
      <c r="E324" s="322">
        <v>784.6</v>
      </c>
      <c r="F324" s="323">
        <v>42982</v>
      </c>
      <c r="G324" s="322">
        <v>784.6</v>
      </c>
      <c r="H324" s="322">
        <f t="shared" si="1"/>
        <v>0</v>
      </c>
      <c r="I324" s="325" t="s">
        <v>15214</v>
      </c>
    </row>
    <row r="325" spans="1:9" x14ac:dyDescent="0.25">
      <c r="A325" s="359">
        <v>42981</v>
      </c>
      <c r="B325" s="326" t="s">
        <v>28031</v>
      </c>
      <c r="C325" s="327">
        <v>126084</v>
      </c>
      <c r="D325" s="391" t="s">
        <v>23937</v>
      </c>
      <c r="E325" s="328">
        <v>3601.5</v>
      </c>
      <c r="F325" s="329">
        <v>42981</v>
      </c>
      <c r="G325" s="328">
        <v>3601.5</v>
      </c>
      <c r="H325" s="347">
        <f t="shared" si="1"/>
        <v>0</v>
      </c>
      <c r="I325" s="331" t="s">
        <v>15214</v>
      </c>
    </row>
    <row r="326" spans="1:9" x14ac:dyDescent="0.25">
      <c r="A326" s="319">
        <v>42981</v>
      </c>
      <c r="B326" s="320" t="s">
        <v>28032</v>
      </c>
      <c r="C326" s="321">
        <v>126085</v>
      </c>
      <c r="D326" s="390" t="s">
        <v>15244</v>
      </c>
      <c r="E326" s="322">
        <v>16605.2</v>
      </c>
      <c r="F326" s="323">
        <v>42987</v>
      </c>
      <c r="G326" s="322">
        <v>16605.2</v>
      </c>
      <c r="H326" s="322">
        <f t="shared" si="1"/>
        <v>0</v>
      </c>
      <c r="I326" s="325" t="s">
        <v>15214</v>
      </c>
    </row>
    <row r="327" spans="1:9" x14ac:dyDescent="0.25">
      <c r="A327" s="359">
        <v>42981</v>
      </c>
      <c r="B327" s="326" t="s">
        <v>28033</v>
      </c>
      <c r="C327" s="327">
        <v>126086</v>
      </c>
      <c r="D327" s="391" t="s">
        <v>16297</v>
      </c>
      <c r="E327" s="328">
        <v>2654.4</v>
      </c>
      <c r="F327" s="329">
        <v>42981</v>
      </c>
      <c r="G327" s="328">
        <v>2654.4</v>
      </c>
      <c r="H327" s="347">
        <f t="shared" si="1"/>
        <v>0</v>
      </c>
      <c r="I327" s="331" t="s">
        <v>15214</v>
      </c>
    </row>
    <row r="328" spans="1:9" x14ac:dyDescent="0.25">
      <c r="A328" s="319">
        <v>42981</v>
      </c>
      <c r="B328" s="320" t="s">
        <v>28034</v>
      </c>
      <c r="C328" s="321">
        <v>126087</v>
      </c>
      <c r="D328" s="390" t="s">
        <v>19776</v>
      </c>
      <c r="E328" s="322">
        <v>6244.8</v>
      </c>
      <c r="F328" s="323">
        <v>42982</v>
      </c>
      <c r="G328" s="322">
        <v>6244.8</v>
      </c>
      <c r="H328" s="322">
        <f t="shared" si="1"/>
        <v>0</v>
      </c>
      <c r="I328" s="325" t="s">
        <v>15214</v>
      </c>
    </row>
    <row r="329" spans="1:9" x14ac:dyDescent="0.25">
      <c r="A329" s="359">
        <v>42981</v>
      </c>
      <c r="B329" s="326" t="s">
        <v>28035</v>
      </c>
      <c r="C329" s="327">
        <v>126088</v>
      </c>
      <c r="D329" s="391" t="s">
        <v>15246</v>
      </c>
      <c r="E329" s="328">
        <v>3403.8</v>
      </c>
      <c r="F329" s="329">
        <v>42985</v>
      </c>
      <c r="G329" s="328">
        <v>3403.8</v>
      </c>
      <c r="H329" s="347">
        <f t="shared" si="1"/>
        <v>0</v>
      </c>
      <c r="I329" s="331" t="s">
        <v>15214</v>
      </c>
    </row>
    <row r="330" spans="1:9" x14ac:dyDescent="0.25">
      <c r="A330" s="319">
        <v>42981</v>
      </c>
      <c r="B330" s="320" t="s">
        <v>28036</v>
      </c>
      <c r="C330" s="321">
        <v>126089</v>
      </c>
      <c r="D330" s="390" t="s">
        <v>15568</v>
      </c>
      <c r="E330" s="322">
        <v>6836</v>
      </c>
      <c r="F330" s="323">
        <v>42982</v>
      </c>
      <c r="G330" s="322">
        <v>6836</v>
      </c>
      <c r="H330" s="322">
        <f t="shared" si="1"/>
        <v>0</v>
      </c>
      <c r="I330" s="325" t="s">
        <v>15214</v>
      </c>
    </row>
    <row r="331" spans="1:9" x14ac:dyDescent="0.25">
      <c r="A331" s="359">
        <v>42981</v>
      </c>
      <c r="B331" s="326" t="s">
        <v>28037</v>
      </c>
      <c r="C331" s="327">
        <v>126090</v>
      </c>
      <c r="D331" s="391" t="s">
        <v>15324</v>
      </c>
      <c r="E331" s="328">
        <v>2284</v>
      </c>
      <c r="F331" s="329">
        <v>42982</v>
      </c>
      <c r="G331" s="328">
        <v>2284</v>
      </c>
      <c r="H331" s="347">
        <f t="shared" si="1"/>
        <v>0</v>
      </c>
      <c r="I331" s="331" t="s">
        <v>15214</v>
      </c>
    </row>
    <row r="332" spans="1:9" x14ac:dyDescent="0.25">
      <c r="A332" s="319">
        <v>42981</v>
      </c>
      <c r="B332" s="320" t="s">
        <v>28038</v>
      </c>
      <c r="C332" s="321">
        <v>126091</v>
      </c>
      <c r="D332" s="390" t="s">
        <v>15398</v>
      </c>
      <c r="E332" s="322">
        <v>1044.3</v>
      </c>
      <c r="F332" s="323">
        <v>42981</v>
      </c>
      <c r="G332" s="322">
        <v>1044.3</v>
      </c>
      <c r="H332" s="322">
        <f t="shared" si="1"/>
        <v>0</v>
      </c>
      <c r="I332" s="325" t="s">
        <v>15214</v>
      </c>
    </row>
    <row r="333" spans="1:9" x14ac:dyDescent="0.25">
      <c r="A333" s="359">
        <v>42981</v>
      </c>
      <c r="B333" s="326" t="s">
        <v>28039</v>
      </c>
      <c r="C333" s="327">
        <v>126092</v>
      </c>
      <c r="D333" s="391" t="s">
        <v>15523</v>
      </c>
      <c r="E333" s="328">
        <v>3840</v>
      </c>
      <c r="F333" s="329">
        <v>42982</v>
      </c>
      <c r="G333" s="328">
        <v>3840</v>
      </c>
      <c r="H333" s="347">
        <f t="shared" si="1"/>
        <v>0</v>
      </c>
      <c r="I333" s="331" t="s">
        <v>15214</v>
      </c>
    </row>
    <row r="334" spans="1:9" x14ac:dyDescent="0.25">
      <c r="A334" s="319">
        <v>42981</v>
      </c>
      <c r="B334" s="320" t="s">
        <v>28040</v>
      </c>
      <c r="C334" s="321">
        <v>126093</v>
      </c>
      <c r="D334" s="390" t="s">
        <v>15336</v>
      </c>
      <c r="E334" s="322">
        <v>1605.48</v>
      </c>
      <c r="F334" s="340">
        <v>42982</v>
      </c>
      <c r="G334" s="322">
        <v>1605.48</v>
      </c>
      <c r="H334" s="322">
        <f t="shared" si="1"/>
        <v>0</v>
      </c>
      <c r="I334" s="325" t="s">
        <v>15214</v>
      </c>
    </row>
    <row r="335" spans="1:9" x14ac:dyDescent="0.25">
      <c r="A335" s="359">
        <v>42981</v>
      </c>
      <c r="B335" s="326" t="s">
        <v>28041</v>
      </c>
      <c r="C335" s="327">
        <v>126094</v>
      </c>
      <c r="D335" s="391" t="s">
        <v>15334</v>
      </c>
      <c r="E335" s="328">
        <v>1584</v>
      </c>
      <c r="F335" s="329">
        <v>42982</v>
      </c>
      <c r="G335" s="328">
        <v>1584</v>
      </c>
      <c r="H335" s="347">
        <f t="shared" si="1"/>
        <v>0</v>
      </c>
      <c r="I335" s="331" t="s">
        <v>15214</v>
      </c>
    </row>
    <row r="336" spans="1:9" x14ac:dyDescent="0.25">
      <c r="A336" s="319">
        <v>42981</v>
      </c>
      <c r="B336" s="320" t="s">
        <v>28042</v>
      </c>
      <c r="C336" s="321">
        <v>126095</v>
      </c>
      <c r="D336" s="390" t="s">
        <v>15284</v>
      </c>
      <c r="E336" s="322">
        <v>1932.9</v>
      </c>
      <c r="F336" s="323">
        <v>42981</v>
      </c>
      <c r="G336" s="322">
        <v>1932.9</v>
      </c>
      <c r="H336" s="322">
        <f t="shared" si="1"/>
        <v>0</v>
      </c>
      <c r="I336" s="325" t="s">
        <v>15214</v>
      </c>
    </row>
    <row r="337" spans="1:9" x14ac:dyDescent="0.25">
      <c r="A337" s="359">
        <v>42981</v>
      </c>
      <c r="B337" s="326" t="s">
        <v>28043</v>
      </c>
      <c r="C337" s="327">
        <v>126096</v>
      </c>
      <c r="D337" s="391" t="s">
        <v>15315</v>
      </c>
      <c r="E337" s="328">
        <v>149.5</v>
      </c>
      <c r="F337" s="329">
        <v>42981</v>
      </c>
      <c r="G337" s="328">
        <v>149.5</v>
      </c>
      <c r="H337" s="347">
        <f t="shared" si="1"/>
        <v>0</v>
      </c>
      <c r="I337" s="331" t="s">
        <v>15214</v>
      </c>
    </row>
    <row r="338" spans="1:9" x14ac:dyDescent="0.25">
      <c r="A338" s="319">
        <v>42981</v>
      </c>
      <c r="B338" s="320" t="s">
        <v>28044</v>
      </c>
      <c r="C338" s="321">
        <v>126097</v>
      </c>
      <c r="D338" s="390" t="s">
        <v>15309</v>
      </c>
      <c r="E338" s="322">
        <v>3528</v>
      </c>
      <c r="F338" s="323">
        <v>42982</v>
      </c>
      <c r="G338" s="322">
        <v>3528</v>
      </c>
      <c r="H338" s="322">
        <f t="shared" si="1"/>
        <v>0</v>
      </c>
      <c r="I338" s="325" t="s">
        <v>15214</v>
      </c>
    </row>
    <row r="339" spans="1:9" x14ac:dyDescent="0.25">
      <c r="A339" s="359">
        <v>42981</v>
      </c>
      <c r="B339" s="326" t="s">
        <v>28045</v>
      </c>
      <c r="C339" s="327">
        <v>126098</v>
      </c>
      <c r="D339" s="391" t="s">
        <v>15320</v>
      </c>
      <c r="E339" s="328">
        <v>2411.1</v>
      </c>
      <c r="F339" s="349">
        <v>42982</v>
      </c>
      <c r="G339" s="328">
        <v>2411.1</v>
      </c>
      <c r="H339" s="347">
        <f t="shared" si="1"/>
        <v>0</v>
      </c>
      <c r="I339" s="331" t="s">
        <v>15214</v>
      </c>
    </row>
    <row r="340" spans="1:9" x14ac:dyDescent="0.25">
      <c r="A340" s="319">
        <v>42981</v>
      </c>
      <c r="B340" s="320" t="s">
        <v>28046</v>
      </c>
      <c r="C340" s="321">
        <v>126099</v>
      </c>
      <c r="D340" s="390" t="s">
        <v>15358</v>
      </c>
      <c r="E340" s="322">
        <v>2088</v>
      </c>
      <c r="F340" s="323">
        <v>42982</v>
      </c>
      <c r="G340" s="322">
        <v>2088</v>
      </c>
      <c r="H340" s="322">
        <f t="shared" si="1"/>
        <v>0</v>
      </c>
      <c r="I340" s="325" t="s">
        <v>15214</v>
      </c>
    </row>
    <row r="341" spans="1:9" x14ac:dyDescent="0.25">
      <c r="A341" s="359">
        <v>42981</v>
      </c>
      <c r="B341" s="326" t="s">
        <v>28047</v>
      </c>
      <c r="C341" s="327">
        <v>126100</v>
      </c>
      <c r="D341" s="391" t="s">
        <v>15526</v>
      </c>
      <c r="E341" s="328">
        <v>4069.8</v>
      </c>
      <c r="F341" s="349">
        <v>42982</v>
      </c>
      <c r="G341" s="328">
        <v>4069.8</v>
      </c>
      <c r="H341" s="347">
        <f t="shared" si="1"/>
        <v>0</v>
      </c>
      <c r="I341" s="331" t="s">
        <v>15214</v>
      </c>
    </row>
    <row r="342" spans="1:9" x14ac:dyDescent="0.25">
      <c r="A342" s="319">
        <v>42981</v>
      </c>
      <c r="B342" s="320" t="s">
        <v>28048</v>
      </c>
      <c r="C342" s="321">
        <v>126101</v>
      </c>
      <c r="D342" s="390" t="s">
        <v>15344</v>
      </c>
      <c r="E342" s="322">
        <v>2432.6999999999998</v>
      </c>
      <c r="F342" s="323">
        <v>42982</v>
      </c>
      <c r="G342" s="322">
        <v>2432.6999999999998</v>
      </c>
      <c r="H342" s="322">
        <f t="shared" si="1"/>
        <v>0</v>
      </c>
      <c r="I342" s="325" t="s">
        <v>15214</v>
      </c>
    </row>
    <row r="343" spans="1:9" x14ac:dyDescent="0.25">
      <c r="A343" s="359">
        <v>42981</v>
      </c>
      <c r="B343" s="326" t="s">
        <v>28049</v>
      </c>
      <c r="C343" s="327">
        <v>126102</v>
      </c>
      <c r="D343" s="391" t="s">
        <v>17722</v>
      </c>
      <c r="E343" s="328">
        <v>3225</v>
      </c>
      <c r="F343" s="329">
        <v>42981</v>
      </c>
      <c r="G343" s="328">
        <v>3225</v>
      </c>
      <c r="H343" s="347">
        <f t="shared" si="1"/>
        <v>0</v>
      </c>
      <c r="I343" s="331" t="s">
        <v>15214</v>
      </c>
    </row>
    <row r="344" spans="1:9" x14ac:dyDescent="0.25">
      <c r="A344" s="319">
        <v>42981</v>
      </c>
      <c r="B344" s="320" t="s">
        <v>28050</v>
      </c>
      <c r="C344" s="321">
        <v>126103</v>
      </c>
      <c r="D344" s="390" t="s">
        <v>15315</v>
      </c>
      <c r="E344" s="322">
        <v>1326.2</v>
      </c>
      <c r="F344" s="323">
        <v>42982</v>
      </c>
      <c r="G344" s="322">
        <v>1326.2</v>
      </c>
      <c r="H344" s="322">
        <f t="shared" si="1"/>
        <v>0</v>
      </c>
      <c r="I344" s="325" t="s">
        <v>15214</v>
      </c>
    </row>
    <row r="345" spans="1:9" x14ac:dyDescent="0.25">
      <c r="A345" s="359">
        <v>42981</v>
      </c>
      <c r="B345" s="326" t="s">
        <v>28051</v>
      </c>
      <c r="C345" s="327">
        <v>126104</v>
      </c>
      <c r="D345" s="391" t="s">
        <v>15332</v>
      </c>
      <c r="E345" s="328">
        <v>4097.6000000000004</v>
      </c>
      <c r="F345" s="349">
        <v>42982</v>
      </c>
      <c r="G345" s="328">
        <v>4097.6000000000004</v>
      </c>
      <c r="H345" s="347">
        <f t="shared" si="1"/>
        <v>0</v>
      </c>
      <c r="I345" s="331" t="s">
        <v>15214</v>
      </c>
    </row>
    <row r="346" spans="1:9" x14ac:dyDescent="0.25">
      <c r="A346" s="319">
        <v>42981</v>
      </c>
      <c r="B346" s="320" t="s">
        <v>28052</v>
      </c>
      <c r="C346" s="321">
        <v>126105</v>
      </c>
      <c r="D346" s="390" t="s">
        <v>17950</v>
      </c>
      <c r="E346" s="322">
        <v>5793.1</v>
      </c>
      <c r="F346" s="323">
        <v>42982</v>
      </c>
      <c r="G346" s="322">
        <v>5793.1</v>
      </c>
      <c r="H346" s="322">
        <f t="shared" si="1"/>
        <v>0</v>
      </c>
      <c r="I346" s="325" t="s">
        <v>15214</v>
      </c>
    </row>
    <row r="347" spans="1:9" x14ac:dyDescent="0.25">
      <c r="A347" s="359">
        <v>42981</v>
      </c>
      <c r="B347" s="326" t="s">
        <v>28053</v>
      </c>
      <c r="C347" s="327">
        <v>126106</v>
      </c>
      <c r="D347" s="391" t="s">
        <v>15298</v>
      </c>
      <c r="E347" s="328">
        <v>336</v>
      </c>
      <c r="F347" s="329">
        <v>42981</v>
      </c>
      <c r="G347" s="328">
        <v>336</v>
      </c>
      <c r="H347" s="347">
        <f t="shared" si="1"/>
        <v>0</v>
      </c>
      <c r="I347" s="331" t="s">
        <v>15214</v>
      </c>
    </row>
    <row r="348" spans="1:9" x14ac:dyDescent="0.25">
      <c r="A348" s="319">
        <v>42981</v>
      </c>
      <c r="B348" s="320" t="s">
        <v>28054</v>
      </c>
      <c r="C348" s="321">
        <v>126107</v>
      </c>
      <c r="D348" s="390" t="s">
        <v>15340</v>
      </c>
      <c r="E348" s="322">
        <v>6665</v>
      </c>
      <c r="F348" s="323">
        <v>42982</v>
      </c>
      <c r="G348" s="322">
        <v>6665</v>
      </c>
      <c r="H348" s="322">
        <f t="shared" si="1"/>
        <v>0</v>
      </c>
      <c r="I348" s="325" t="s">
        <v>15214</v>
      </c>
    </row>
    <row r="349" spans="1:9" x14ac:dyDescent="0.25">
      <c r="A349" s="359">
        <v>42981</v>
      </c>
      <c r="B349" s="326" t="s">
        <v>28055</v>
      </c>
      <c r="C349" s="327">
        <v>126108</v>
      </c>
      <c r="D349" s="391" t="s">
        <v>15315</v>
      </c>
      <c r="E349" s="328">
        <v>470</v>
      </c>
      <c r="F349" s="329">
        <v>42982</v>
      </c>
      <c r="G349" s="328">
        <v>470</v>
      </c>
      <c r="H349" s="347">
        <f t="shared" si="1"/>
        <v>0</v>
      </c>
      <c r="I349" s="331" t="s">
        <v>15214</v>
      </c>
    </row>
    <row r="350" spans="1:9" x14ac:dyDescent="0.25">
      <c r="A350" s="319">
        <v>42981</v>
      </c>
      <c r="B350" s="320" t="s">
        <v>28056</v>
      </c>
      <c r="C350" s="321">
        <v>126109</v>
      </c>
      <c r="D350" s="390" t="s">
        <v>15254</v>
      </c>
      <c r="E350" s="322">
        <v>3900</v>
      </c>
      <c r="F350" s="323">
        <v>42987</v>
      </c>
      <c r="G350" s="322">
        <v>3900</v>
      </c>
      <c r="H350" s="322">
        <f t="shared" si="1"/>
        <v>0</v>
      </c>
      <c r="I350" s="325" t="s">
        <v>15214</v>
      </c>
    </row>
    <row r="351" spans="1:9" x14ac:dyDescent="0.25">
      <c r="A351" s="359">
        <v>42981</v>
      </c>
      <c r="B351" s="326" t="s">
        <v>28057</v>
      </c>
      <c r="C351" s="327">
        <v>126110</v>
      </c>
      <c r="D351" s="391" t="s">
        <v>15912</v>
      </c>
      <c r="E351" s="328">
        <v>2908.52</v>
      </c>
      <c r="F351" s="329">
        <v>42982</v>
      </c>
      <c r="G351" s="328">
        <v>2908.52</v>
      </c>
      <c r="H351" s="347">
        <f t="shared" si="1"/>
        <v>0</v>
      </c>
      <c r="I351" s="331" t="s">
        <v>15214</v>
      </c>
    </row>
    <row r="352" spans="1:9" x14ac:dyDescent="0.25">
      <c r="A352" s="319">
        <v>42981</v>
      </c>
      <c r="B352" s="320" t="s">
        <v>28058</v>
      </c>
      <c r="C352" s="321">
        <v>126111</v>
      </c>
      <c r="D352" s="390" t="s">
        <v>15265</v>
      </c>
      <c r="E352" s="322">
        <v>2470</v>
      </c>
      <c r="F352" s="323">
        <v>42982</v>
      </c>
      <c r="G352" s="322">
        <v>2470</v>
      </c>
      <c r="H352" s="322">
        <f t="shared" si="1"/>
        <v>0</v>
      </c>
      <c r="I352" s="325" t="s">
        <v>15214</v>
      </c>
    </row>
    <row r="353" spans="1:9" x14ac:dyDescent="0.25">
      <c r="A353" s="359">
        <v>42981</v>
      </c>
      <c r="B353" s="326" t="s">
        <v>28059</v>
      </c>
      <c r="C353" s="327">
        <v>126112</v>
      </c>
      <c r="D353" s="391" t="s">
        <v>15581</v>
      </c>
      <c r="E353" s="328">
        <v>1554</v>
      </c>
      <c r="F353" s="329">
        <v>42983</v>
      </c>
      <c r="G353" s="328">
        <v>1554</v>
      </c>
      <c r="H353" s="347">
        <f t="shared" si="1"/>
        <v>0</v>
      </c>
      <c r="I353" s="331" t="s">
        <v>15214</v>
      </c>
    </row>
    <row r="354" spans="1:9" x14ac:dyDescent="0.25">
      <c r="A354" s="319">
        <v>42981</v>
      </c>
      <c r="B354" s="320" t="s">
        <v>28060</v>
      </c>
      <c r="C354" s="321">
        <v>126113</v>
      </c>
      <c r="D354" s="390" t="s">
        <v>15391</v>
      </c>
      <c r="E354" s="322">
        <v>296.39999999999998</v>
      </c>
      <c r="F354" s="323">
        <v>42983</v>
      </c>
      <c r="G354" s="322">
        <v>296.39999999999998</v>
      </c>
      <c r="H354" s="322">
        <f t="shared" si="1"/>
        <v>0</v>
      </c>
      <c r="I354" s="325" t="s">
        <v>15214</v>
      </c>
    </row>
    <row r="355" spans="1:9" x14ac:dyDescent="0.25">
      <c r="A355" s="359">
        <v>42981</v>
      </c>
      <c r="B355" s="326" t="s">
        <v>28061</v>
      </c>
      <c r="C355" s="327">
        <v>126114</v>
      </c>
      <c r="D355" s="391" t="s">
        <v>15213</v>
      </c>
      <c r="E355" s="328">
        <v>10865</v>
      </c>
      <c r="F355" s="329">
        <v>42982</v>
      </c>
      <c r="G355" s="328">
        <v>10865</v>
      </c>
      <c r="H355" s="347">
        <f t="shared" si="1"/>
        <v>0</v>
      </c>
      <c r="I355" s="331" t="s">
        <v>15214</v>
      </c>
    </row>
    <row r="356" spans="1:9" x14ac:dyDescent="0.25">
      <c r="A356" s="319">
        <v>42981</v>
      </c>
      <c r="B356" s="320" t="s">
        <v>28062</v>
      </c>
      <c r="C356" s="321">
        <v>126115</v>
      </c>
      <c r="D356" s="390" t="s">
        <v>15282</v>
      </c>
      <c r="E356" s="322">
        <v>3756.6</v>
      </c>
      <c r="F356" s="323">
        <v>42981</v>
      </c>
      <c r="G356" s="322">
        <v>3756.6</v>
      </c>
      <c r="H356" s="322">
        <f t="shared" si="1"/>
        <v>0</v>
      </c>
      <c r="I356" s="325" t="s">
        <v>15214</v>
      </c>
    </row>
    <row r="357" spans="1:9" x14ac:dyDescent="0.25">
      <c r="A357" s="359">
        <v>42981</v>
      </c>
      <c r="B357" s="326" t="s">
        <v>28063</v>
      </c>
      <c r="C357" s="327">
        <v>126116</v>
      </c>
      <c r="D357" s="391" t="s">
        <v>15378</v>
      </c>
      <c r="E357" s="328">
        <v>2376.5</v>
      </c>
      <c r="F357" s="329">
        <v>42981</v>
      </c>
      <c r="G357" s="328">
        <v>2376.5</v>
      </c>
      <c r="H357" s="347">
        <f t="shared" si="1"/>
        <v>0</v>
      </c>
      <c r="I357" s="331" t="s">
        <v>15214</v>
      </c>
    </row>
    <row r="358" spans="1:9" x14ac:dyDescent="0.25">
      <c r="A358" s="319">
        <v>42981</v>
      </c>
      <c r="B358" s="320" t="s">
        <v>28064</v>
      </c>
      <c r="C358" s="321">
        <v>126117</v>
      </c>
      <c r="D358" s="390" t="s">
        <v>17462</v>
      </c>
      <c r="E358" s="322">
        <v>3225</v>
      </c>
      <c r="F358" s="323">
        <v>42981</v>
      </c>
      <c r="G358" s="322">
        <v>3225</v>
      </c>
      <c r="H358" s="322">
        <f t="shared" si="1"/>
        <v>0</v>
      </c>
      <c r="I358" s="325" t="s">
        <v>15214</v>
      </c>
    </row>
    <row r="359" spans="1:9" x14ac:dyDescent="0.25">
      <c r="A359" s="359">
        <v>42981</v>
      </c>
      <c r="B359" s="326" t="s">
        <v>28065</v>
      </c>
      <c r="C359" s="327">
        <v>126118</v>
      </c>
      <c r="D359" s="391" t="s">
        <v>5583</v>
      </c>
      <c r="E359" s="328">
        <v>448.4</v>
      </c>
      <c r="F359" s="329">
        <v>42981</v>
      </c>
      <c r="G359" s="328">
        <v>448.4</v>
      </c>
      <c r="H359" s="347">
        <f t="shared" si="1"/>
        <v>0</v>
      </c>
      <c r="I359" s="331" t="s">
        <v>15214</v>
      </c>
    </row>
    <row r="360" spans="1:9" x14ac:dyDescent="0.25">
      <c r="A360" s="319">
        <v>42981</v>
      </c>
      <c r="B360" s="320" t="s">
        <v>28066</v>
      </c>
      <c r="C360" s="321">
        <v>126119</v>
      </c>
      <c r="D360" s="390" t="s">
        <v>15566</v>
      </c>
      <c r="E360" s="322">
        <v>902.8</v>
      </c>
      <c r="F360" s="323">
        <v>42981</v>
      </c>
      <c r="G360" s="322">
        <v>902.8</v>
      </c>
      <c r="H360" s="322">
        <f t="shared" si="1"/>
        <v>0</v>
      </c>
      <c r="I360" s="325" t="s">
        <v>15214</v>
      </c>
    </row>
    <row r="361" spans="1:9" x14ac:dyDescent="0.25">
      <c r="A361" s="359">
        <v>42981</v>
      </c>
      <c r="B361" s="326" t="s">
        <v>28067</v>
      </c>
      <c r="C361" s="327">
        <v>126120</v>
      </c>
      <c r="D361" s="391" t="s">
        <v>15263</v>
      </c>
      <c r="E361" s="328">
        <v>484.2</v>
      </c>
      <c r="F361" s="329">
        <v>42981</v>
      </c>
      <c r="G361" s="328">
        <v>484.2</v>
      </c>
      <c r="H361" s="347">
        <f t="shared" si="1"/>
        <v>0</v>
      </c>
      <c r="I361" s="331" t="s">
        <v>15214</v>
      </c>
    </row>
    <row r="362" spans="1:9" x14ac:dyDescent="0.25">
      <c r="A362" s="319">
        <v>42981</v>
      </c>
      <c r="B362" s="320" t="s">
        <v>28068</v>
      </c>
      <c r="C362" s="321">
        <v>126121</v>
      </c>
      <c r="D362" s="390" t="s">
        <v>15510</v>
      </c>
      <c r="E362" s="322">
        <v>2671.2</v>
      </c>
      <c r="F362" s="323">
        <v>42981</v>
      </c>
      <c r="G362" s="322">
        <v>2671.2</v>
      </c>
      <c r="H362" s="322">
        <f t="shared" si="1"/>
        <v>0</v>
      </c>
      <c r="I362" s="325" t="s">
        <v>15214</v>
      </c>
    </row>
    <row r="363" spans="1:9" x14ac:dyDescent="0.25">
      <c r="A363" s="359">
        <v>42981</v>
      </c>
      <c r="B363" s="326" t="s">
        <v>28069</v>
      </c>
      <c r="C363" s="327">
        <v>126122</v>
      </c>
      <c r="D363" s="391" t="s">
        <v>19768</v>
      </c>
      <c r="E363" s="328">
        <v>1920</v>
      </c>
      <c r="F363" s="329">
        <v>42981</v>
      </c>
      <c r="G363" s="328">
        <v>1920</v>
      </c>
      <c r="H363" s="347">
        <f t="shared" si="1"/>
        <v>0</v>
      </c>
      <c r="I363" s="331" t="s">
        <v>15214</v>
      </c>
    </row>
    <row r="364" spans="1:9" x14ac:dyDescent="0.25">
      <c r="A364" s="319">
        <v>42981</v>
      </c>
      <c r="B364" s="320" t="s">
        <v>28070</v>
      </c>
      <c r="C364" s="321">
        <v>126123</v>
      </c>
      <c r="D364" s="390" t="s">
        <v>15810</v>
      </c>
      <c r="E364" s="322">
        <v>444.6</v>
      </c>
      <c r="F364" s="323">
        <v>42981</v>
      </c>
      <c r="G364" s="322">
        <v>444.6</v>
      </c>
      <c r="H364" s="322">
        <f t="shared" si="1"/>
        <v>0</v>
      </c>
      <c r="I364" s="325" t="s">
        <v>15214</v>
      </c>
    </row>
    <row r="365" spans="1:9" x14ac:dyDescent="0.25">
      <c r="A365" s="359">
        <v>42981</v>
      </c>
      <c r="B365" s="326" t="s">
        <v>28071</v>
      </c>
      <c r="C365" s="327">
        <v>126124</v>
      </c>
      <c r="D365" s="391" t="s">
        <v>15987</v>
      </c>
      <c r="E365" s="328">
        <v>380</v>
      </c>
      <c r="F365" s="329">
        <v>42981</v>
      </c>
      <c r="G365" s="328">
        <v>380</v>
      </c>
      <c r="H365" s="347">
        <f t="shared" si="1"/>
        <v>0</v>
      </c>
      <c r="I365" s="331" t="s">
        <v>15214</v>
      </c>
    </row>
    <row r="366" spans="1:9" x14ac:dyDescent="0.25">
      <c r="A366" s="319">
        <v>42981</v>
      </c>
      <c r="B366" s="320" t="s">
        <v>28072</v>
      </c>
      <c r="C366" s="321">
        <v>126125</v>
      </c>
      <c r="D366" s="390" t="s">
        <v>15644</v>
      </c>
      <c r="E366" s="322">
        <v>3508.8</v>
      </c>
      <c r="F366" s="323">
        <v>42987</v>
      </c>
      <c r="G366" s="322">
        <v>3508.8</v>
      </c>
      <c r="H366" s="322">
        <f t="shared" si="1"/>
        <v>0</v>
      </c>
      <c r="I366" s="325" t="s">
        <v>15214</v>
      </c>
    </row>
    <row r="367" spans="1:9" x14ac:dyDescent="0.25">
      <c r="A367" s="359">
        <v>42981</v>
      </c>
      <c r="B367" s="326" t="s">
        <v>28073</v>
      </c>
      <c r="C367" s="327">
        <v>126126</v>
      </c>
      <c r="D367" s="391" t="s">
        <v>19769</v>
      </c>
      <c r="E367" s="328">
        <v>33273.360000000001</v>
      </c>
      <c r="F367" s="329">
        <v>42982</v>
      </c>
      <c r="G367" s="328">
        <v>33273.360000000001</v>
      </c>
      <c r="H367" s="347">
        <f t="shared" si="1"/>
        <v>0</v>
      </c>
      <c r="I367" s="331" t="s">
        <v>15214</v>
      </c>
    </row>
    <row r="368" spans="1:9" x14ac:dyDescent="0.25">
      <c r="A368" s="319">
        <v>42981</v>
      </c>
      <c r="B368" s="320" t="s">
        <v>28074</v>
      </c>
      <c r="C368" s="321">
        <v>126127</v>
      </c>
      <c r="D368" s="390" t="s">
        <v>15213</v>
      </c>
      <c r="E368" s="322">
        <v>2445.1</v>
      </c>
      <c r="F368" s="323">
        <v>42982</v>
      </c>
      <c r="G368" s="322">
        <v>2445.1</v>
      </c>
      <c r="H368" s="322">
        <f t="shared" si="1"/>
        <v>0</v>
      </c>
      <c r="I368" s="325" t="s">
        <v>15214</v>
      </c>
    </row>
    <row r="369" spans="1:9" x14ac:dyDescent="0.25">
      <c r="A369" s="359">
        <v>42981</v>
      </c>
      <c r="B369" s="326" t="s">
        <v>28075</v>
      </c>
      <c r="C369" s="327">
        <v>126128</v>
      </c>
      <c r="D369" s="391" t="s">
        <v>15541</v>
      </c>
      <c r="E369" s="328">
        <v>2119.5</v>
      </c>
      <c r="F369" s="329">
        <v>42982</v>
      </c>
      <c r="G369" s="328">
        <v>2119.5</v>
      </c>
      <c r="H369" s="347">
        <f t="shared" ref="H369:H432" si="2">E369-G369</f>
        <v>0</v>
      </c>
      <c r="I369" s="331" t="s">
        <v>15214</v>
      </c>
    </row>
    <row r="370" spans="1:9" x14ac:dyDescent="0.25">
      <c r="A370" s="319">
        <v>42981</v>
      </c>
      <c r="B370" s="320" t="s">
        <v>28076</v>
      </c>
      <c r="C370" s="321">
        <v>126129</v>
      </c>
      <c r="D370" s="390" t="s">
        <v>17462</v>
      </c>
      <c r="E370" s="322">
        <v>1102.2</v>
      </c>
      <c r="F370" s="323">
        <v>42982</v>
      </c>
      <c r="G370" s="322">
        <v>1102.2</v>
      </c>
      <c r="H370" s="322">
        <f t="shared" si="2"/>
        <v>0</v>
      </c>
      <c r="I370" s="325" t="s">
        <v>15214</v>
      </c>
    </row>
    <row r="371" spans="1:9" x14ac:dyDescent="0.25">
      <c r="A371" s="359">
        <v>42981</v>
      </c>
      <c r="B371" s="326" t="s">
        <v>28077</v>
      </c>
      <c r="C371" s="327">
        <v>126130</v>
      </c>
      <c r="D371" s="391" t="s">
        <v>16126</v>
      </c>
      <c r="E371" s="328">
        <v>953.8</v>
      </c>
      <c r="F371" s="329">
        <v>42982</v>
      </c>
      <c r="G371" s="328">
        <v>953.8</v>
      </c>
      <c r="H371" s="347">
        <f t="shared" si="2"/>
        <v>0</v>
      </c>
      <c r="I371" s="331" t="s">
        <v>15214</v>
      </c>
    </row>
    <row r="372" spans="1:9" x14ac:dyDescent="0.25">
      <c r="A372" s="319">
        <v>42981</v>
      </c>
      <c r="B372" s="320" t="s">
        <v>28078</v>
      </c>
      <c r="C372" s="321">
        <v>126131</v>
      </c>
      <c r="D372" s="390" t="s">
        <v>15315</v>
      </c>
      <c r="E372" s="322">
        <v>139.19999999999999</v>
      </c>
      <c r="F372" s="323">
        <v>42982</v>
      </c>
      <c r="G372" s="322">
        <v>139.19999999999999</v>
      </c>
      <c r="H372" s="322">
        <f t="shared" si="2"/>
        <v>0</v>
      </c>
      <c r="I372" s="325" t="s">
        <v>15214</v>
      </c>
    </row>
    <row r="373" spans="1:9" x14ac:dyDescent="0.25">
      <c r="A373" s="359">
        <v>42981</v>
      </c>
      <c r="B373" s="326" t="s">
        <v>28079</v>
      </c>
      <c r="C373" s="327">
        <v>126132</v>
      </c>
      <c r="D373" s="391" t="s">
        <v>15628</v>
      </c>
      <c r="E373" s="328">
        <v>1200</v>
      </c>
      <c r="F373" s="329">
        <v>42982</v>
      </c>
      <c r="G373" s="328">
        <v>1200</v>
      </c>
      <c r="H373" s="347">
        <f t="shared" si="2"/>
        <v>0</v>
      </c>
      <c r="I373" s="331" t="s">
        <v>15214</v>
      </c>
    </row>
    <row r="374" spans="1:9" x14ac:dyDescent="0.25">
      <c r="A374" s="319">
        <v>42982</v>
      </c>
      <c r="B374" s="320" t="s">
        <v>28080</v>
      </c>
      <c r="C374" s="321">
        <v>126133</v>
      </c>
      <c r="D374" s="390" t="s">
        <v>21386</v>
      </c>
      <c r="E374" s="322">
        <v>10716</v>
      </c>
      <c r="F374" s="323">
        <v>42983</v>
      </c>
      <c r="G374" s="322">
        <v>10716</v>
      </c>
      <c r="H374" s="322">
        <f t="shared" si="2"/>
        <v>0</v>
      </c>
      <c r="I374" s="325" t="s">
        <v>15214</v>
      </c>
    </row>
    <row r="375" spans="1:9" x14ac:dyDescent="0.25">
      <c r="A375" s="359">
        <v>42982</v>
      </c>
      <c r="B375" s="326" t="s">
        <v>28081</v>
      </c>
      <c r="C375" s="327">
        <v>126134</v>
      </c>
      <c r="D375" s="391" t="s">
        <v>15213</v>
      </c>
      <c r="E375" s="328">
        <v>43416</v>
      </c>
      <c r="F375" s="329">
        <v>42984</v>
      </c>
      <c r="G375" s="328">
        <v>43416</v>
      </c>
      <c r="H375" s="347">
        <f t="shared" si="2"/>
        <v>0</v>
      </c>
      <c r="I375" s="331" t="s">
        <v>15214</v>
      </c>
    </row>
    <row r="376" spans="1:9" x14ac:dyDescent="0.25">
      <c r="A376" s="319">
        <v>42982</v>
      </c>
      <c r="B376" s="320" t="s">
        <v>28082</v>
      </c>
      <c r="C376" s="321">
        <v>126135</v>
      </c>
      <c r="D376" s="390" t="s">
        <v>15330</v>
      </c>
      <c r="E376" s="322">
        <v>3370</v>
      </c>
      <c r="F376" s="323">
        <v>42982</v>
      </c>
      <c r="G376" s="322">
        <v>3370</v>
      </c>
      <c r="H376" s="322">
        <f t="shared" si="2"/>
        <v>0</v>
      </c>
      <c r="I376" s="325" t="s">
        <v>15214</v>
      </c>
    </row>
    <row r="377" spans="1:9" ht="30" x14ac:dyDescent="0.25">
      <c r="A377" s="359">
        <v>42982</v>
      </c>
      <c r="B377" s="326" t="s">
        <v>28083</v>
      </c>
      <c r="C377" s="327">
        <v>126136</v>
      </c>
      <c r="D377" s="391" t="s">
        <v>15407</v>
      </c>
      <c r="E377" s="328">
        <v>7920</v>
      </c>
      <c r="F377" s="329" t="s">
        <v>28084</v>
      </c>
      <c r="G377" s="347">
        <f>6850+1070</f>
        <v>7920</v>
      </c>
      <c r="H377" s="347">
        <f t="shared" si="2"/>
        <v>0</v>
      </c>
      <c r="I377" s="331" t="s">
        <v>15214</v>
      </c>
    </row>
    <row r="378" spans="1:9" x14ac:dyDescent="0.25">
      <c r="A378" s="319">
        <v>42982</v>
      </c>
      <c r="B378" s="320" t="s">
        <v>28085</v>
      </c>
      <c r="C378" s="321">
        <v>126137</v>
      </c>
      <c r="D378" s="390" t="s">
        <v>15263</v>
      </c>
      <c r="E378" s="322">
        <v>4408.2</v>
      </c>
      <c r="F378" s="323">
        <v>42982</v>
      </c>
      <c r="G378" s="322">
        <v>4408.2</v>
      </c>
      <c r="H378" s="322">
        <f t="shared" si="2"/>
        <v>0</v>
      </c>
      <c r="I378" s="325" t="s">
        <v>15214</v>
      </c>
    </row>
    <row r="379" spans="1:9" x14ac:dyDescent="0.25">
      <c r="A379" s="359">
        <v>42982</v>
      </c>
      <c r="B379" s="326" t="s">
        <v>28086</v>
      </c>
      <c r="C379" s="327">
        <v>126138</v>
      </c>
      <c r="D379" s="391" t="s">
        <v>15220</v>
      </c>
      <c r="E379" s="328">
        <v>2400</v>
      </c>
      <c r="F379" s="329">
        <v>42982</v>
      </c>
      <c r="G379" s="328">
        <v>2400</v>
      </c>
      <c r="H379" s="347">
        <f t="shared" si="2"/>
        <v>0</v>
      </c>
      <c r="I379" s="331" t="s">
        <v>15214</v>
      </c>
    </row>
    <row r="380" spans="1:9" x14ac:dyDescent="0.25">
      <c r="A380" s="319">
        <v>42982</v>
      </c>
      <c r="B380" s="320" t="s">
        <v>28087</v>
      </c>
      <c r="C380" s="321">
        <v>126139</v>
      </c>
      <c r="D380" s="390" t="s">
        <v>19302</v>
      </c>
      <c r="E380" s="322">
        <v>1200</v>
      </c>
      <c r="F380" s="323">
        <v>42982</v>
      </c>
      <c r="G380" s="322">
        <v>1200</v>
      </c>
      <c r="H380" s="322">
        <f t="shared" si="2"/>
        <v>0</v>
      </c>
      <c r="I380" s="325" t="s">
        <v>15214</v>
      </c>
    </row>
    <row r="381" spans="1:9" x14ac:dyDescent="0.25">
      <c r="A381" s="359">
        <v>42982</v>
      </c>
      <c r="B381" s="326" t="s">
        <v>28088</v>
      </c>
      <c r="C381" s="327">
        <v>126140</v>
      </c>
      <c r="D381" s="391" t="s">
        <v>15226</v>
      </c>
      <c r="E381" s="328">
        <v>3125</v>
      </c>
      <c r="F381" s="329">
        <v>42984</v>
      </c>
      <c r="G381" s="328">
        <v>3125</v>
      </c>
      <c r="H381" s="347">
        <f t="shared" si="2"/>
        <v>0</v>
      </c>
      <c r="I381" s="331" t="s">
        <v>15214</v>
      </c>
    </row>
    <row r="382" spans="1:9" x14ac:dyDescent="0.25">
      <c r="A382" s="319">
        <v>42982</v>
      </c>
      <c r="B382" s="320" t="s">
        <v>28089</v>
      </c>
      <c r="C382" s="321">
        <v>126141</v>
      </c>
      <c r="D382" s="390" t="s">
        <v>15448</v>
      </c>
      <c r="E382" s="322">
        <v>254289.36</v>
      </c>
      <c r="F382" s="323">
        <v>42984</v>
      </c>
      <c r="G382" s="322">
        <v>254289.36</v>
      </c>
      <c r="H382" s="322">
        <f t="shared" si="2"/>
        <v>0</v>
      </c>
      <c r="I382" s="325" t="s">
        <v>15214</v>
      </c>
    </row>
    <row r="383" spans="1:9" x14ac:dyDescent="0.25">
      <c r="A383" s="359">
        <v>42982</v>
      </c>
      <c r="B383" s="326" t="s">
        <v>28090</v>
      </c>
      <c r="C383" s="327">
        <v>126142</v>
      </c>
      <c r="D383" s="391" t="s">
        <v>15250</v>
      </c>
      <c r="E383" s="328">
        <v>36015.64</v>
      </c>
      <c r="F383" s="329">
        <v>42984</v>
      </c>
      <c r="G383" s="328">
        <v>36015.64</v>
      </c>
      <c r="H383" s="347">
        <f t="shared" si="2"/>
        <v>0</v>
      </c>
      <c r="I383" s="331" t="s">
        <v>15214</v>
      </c>
    </row>
    <row r="384" spans="1:9" x14ac:dyDescent="0.25">
      <c r="A384" s="319">
        <v>42982</v>
      </c>
      <c r="B384" s="320" t="s">
        <v>28091</v>
      </c>
      <c r="C384" s="321">
        <v>126143</v>
      </c>
      <c r="D384" s="390" t="s">
        <v>15382</v>
      </c>
      <c r="E384" s="322">
        <v>152.5</v>
      </c>
      <c r="F384" s="323">
        <v>42983</v>
      </c>
      <c r="G384" s="322">
        <v>152.5</v>
      </c>
      <c r="H384" s="322">
        <f t="shared" si="2"/>
        <v>0</v>
      </c>
      <c r="I384" s="325" t="s">
        <v>15214</v>
      </c>
    </row>
    <row r="385" spans="1:9" x14ac:dyDescent="0.25">
      <c r="A385" s="359">
        <v>42982</v>
      </c>
      <c r="B385" s="326" t="s">
        <v>28092</v>
      </c>
      <c r="C385" s="327">
        <v>126144</v>
      </c>
      <c r="D385" s="391" t="s">
        <v>15246</v>
      </c>
      <c r="E385" s="328">
        <v>841.8</v>
      </c>
      <c r="F385" s="329">
        <v>42985</v>
      </c>
      <c r="G385" s="328">
        <v>841.8</v>
      </c>
      <c r="H385" s="347">
        <f t="shared" si="2"/>
        <v>0</v>
      </c>
      <c r="I385" s="331" t="s">
        <v>15214</v>
      </c>
    </row>
    <row r="386" spans="1:9" x14ac:dyDescent="0.25">
      <c r="A386" s="319">
        <v>42982</v>
      </c>
      <c r="B386" s="320" t="s">
        <v>28093</v>
      </c>
      <c r="C386" s="321">
        <v>126145</v>
      </c>
      <c r="D386" s="390" t="s">
        <v>15230</v>
      </c>
      <c r="E386" s="322">
        <v>6371.4</v>
      </c>
      <c r="F386" s="323">
        <v>42985</v>
      </c>
      <c r="G386" s="322">
        <v>6371.4</v>
      </c>
      <c r="H386" s="322">
        <f t="shared" si="2"/>
        <v>0</v>
      </c>
      <c r="I386" s="325" t="s">
        <v>15214</v>
      </c>
    </row>
    <row r="387" spans="1:9" x14ac:dyDescent="0.25">
      <c r="A387" s="359">
        <v>42982</v>
      </c>
      <c r="B387" s="326" t="s">
        <v>28094</v>
      </c>
      <c r="C387" s="327">
        <v>126146</v>
      </c>
      <c r="D387" s="391" t="s">
        <v>17462</v>
      </c>
      <c r="E387" s="328">
        <v>5628.9</v>
      </c>
      <c r="F387" s="329">
        <v>42982</v>
      </c>
      <c r="G387" s="328">
        <v>5628.9</v>
      </c>
      <c r="H387" s="347">
        <f t="shared" si="2"/>
        <v>0</v>
      </c>
      <c r="I387" s="331" t="s">
        <v>15214</v>
      </c>
    </row>
    <row r="388" spans="1:9" x14ac:dyDescent="0.25">
      <c r="A388" s="319">
        <v>42982</v>
      </c>
      <c r="B388" s="320" t="s">
        <v>28095</v>
      </c>
      <c r="C388" s="321">
        <v>126147</v>
      </c>
      <c r="D388" s="390" t="s">
        <v>15232</v>
      </c>
      <c r="E388" s="322">
        <v>6781.4</v>
      </c>
      <c r="F388" s="323">
        <v>42987</v>
      </c>
      <c r="G388" s="322">
        <v>6781.4</v>
      </c>
      <c r="H388" s="322">
        <f t="shared" si="2"/>
        <v>0</v>
      </c>
      <c r="I388" s="325" t="s">
        <v>15214</v>
      </c>
    </row>
    <row r="389" spans="1:9" ht="30" x14ac:dyDescent="0.25">
      <c r="A389" s="359">
        <v>42982</v>
      </c>
      <c r="B389" s="326" t="s">
        <v>28096</v>
      </c>
      <c r="C389" s="327">
        <v>126148</v>
      </c>
      <c r="D389" s="391" t="s">
        <v>15373</v>
      </c>
      <c r="E389" s="328">
        <v>11752.8</v>
      </c>
      <c r="F389" s="329" t="s">
        <v>28097</v>
      </c>
      <c r="G389" s="347">
        <f>10682+1070.8</f>
        <v>11752.8</v>
      </c>
      <c r="H389" s="347">
        <f t="shared" si="2"/>
        <v>0</v>
      </c>
      <c r="I389" s="331" t="s">
        <v>15214</v>
      </c>
    </row>
    <row r="390" spans="1:9" x14ac:dyDescent="0.25">
      <c r="A390" s="319">
        <v>42982</v>
      </c>
      <c r="B390" s="320" t="s">
        <v>28098</v>
      </c>
      <c r="C390" s="321">
        <v>126149</v>
      </c>
      <c r="D390" s="390" t="s">
        <v>15987</v>
      </c>
      <c r="E390" s="322">
        <v>4003.4</v>
      </c>
      <c r="F390" s="323">
        <v>42982</v>
      </c>
      <c r="G390" s="322">
        <v>4003.4</v>
      </c>
      <c r="H390" s="322">
        <f t="shared" si="2"/>
        <v>0</v>
      </c>
      <c r="I390" s="325" t="s">
        <v>15214</v>
      </c>
    </row>
    <row r="391" spans="1:9" x14ac:dyDescent="0.25">
      <c r="A391" s="359">
        <v>42982</v>
      </c>
      <c r="B391" s="326" t="s">
        <v>28099</v>
      </c>
      <c r="C391" s="327">
        <v>126150</v>
      </c>
      <c r="D391" s="391" t="s">
        <v>15338</v>
      </c>
      <c r="E391" s="328">
        <v>4880.3999999999996</v>
      </c>
      <c r="F391" s="329">
        <v>42984</v>
      </c>
      <c r="G391" s="328">
        <v>4880.3999999999996</v>
      </c>
      <c r="H391" s="347">
        <f t="shared" si="2"/>
        <v>0</v>
      </c>
      <c r="I391" s="331" t="s">
        <v>15214</v>
      </c>
    </row>
    <row r="392" spans="1:9" x14ac:dyDescent="0.25">
      <c r="A392" s="319">
        <v>42982</v>
      </c>
      <c r="B392" s="320" t="s">
        <v>28100</v>
      </c>
      <c r="C392" s="321">
        <v>126151</v>
      </c>
      <c r="D392" s="390" t="s">
        <v>15246</v>
      </c>
      <c r="E392" s="322">
        <v>29220</v>
      </c>
      <c r="F392" s="323">
        <v>42985</v>
      </c>
      <c r="G392" s="322">
        <v>29220</v>
      </c>
      <c r="H392" s="322">
        <f t="shared" si="2"/>
        <v>0</v>
      </c>
      <c r="I392" s="325" t="s">
        <v>15214</v>
      </c>
    </row>
    <row r="393" spans="1:9" x14ac:dyDescent="0.25">
      <c r="A393" s="359">
        <v>42982</v>
      </c>
      <c r="B393" s="326" t="s">
        <v>28101</v>
      </c>
      <c r="C393" s="327">
        <v>126152</v>
      </c>
      <c r="D393" s="391" t="s">
        <v>15236</v>
      </c>
      <c r="E393" s="328">
        <v>3424</v>
      </c>
      <c r="F393" s="329">
        <v>42984</v>
      </c>
      <c r="G393" s="328">
        <v>3424</v>
      </c>
      <c r="H393" s="347">
        <f t="shared" si="2"/>
        <v>0</v>
      </c>
      <c r="I393" s="331" t="s">
        <v>15214</v>
      </c>
    </row>
    <row r="394" spans="1:9" x14ac:dyDescent="0.25">
      <c r="A394" s="319">
        <v>42982</v>
      </c>
      <c r="B394" s="320" t="s">
        <v>28102</v>
      </c>
      <c r="C394" s="321">
        <v>126153</v>
      </c>
      <c r="D394" s="390" t="s">
        <v>15272</v>
      </c>
      <c r="E394" s="322">
        <v>19307.400000000001</v>
      </c>
      <c r="F394" s="323">
        <v>42982</v>
      </c>
      <c r="G394" s="322">
        <v>19307.400000000001</v>
      </c>
      <c r="H394" s="322">
        <f t="shared" si="2"/>
        <v>0</v>
      </c>
      <c r="I394" s="325" t="s">
        <v>15214</v>
      </c>
    </row>
    <row r="395" spans="1:9" x14ac:dyDescent="0.25">
      <c r="A395" s="359">
        <v>42982</v>
      </c>
      <c r="B395" s="326" t="s">
        <v>28103</v>
      </c>
      <c r="C395" s="327">
        <v>126154</v>
      </c>
      <c r="D395" s="391" t="s">
        <v>17950</v>
      </c>
      <c r="E395" s="328">
        <v>2790.5</v>
      </c>
      <c r="F395" s="329">
        <v>42982</v>
      </c>
      <c r="G395" s="328">
        <v>2790.5</v>
      </c>
      <c r="H395" s="347">
        <f t="shared" si="2"/>
        <v>0</v>
      </c>
      <c r="I395" s="331" t="s">
        <v>15214</v>
      </c>
    </row>
    <row r="396" spans="1:9" x14ac:dyDescent="0.25">
      <c r="A396" s="319">
        <v>42982</v>
      </c>
      <c r="B396" s="320" t="s">
        <v>28104</v>
      </c>
      <c r="C396" s="321">
        <v>126155</v>
      </c>
      <c r="D396" s="390" t="s">
        <v>15371</v>
      </c>
      <c r="E396" s="322">
        <v>6060.8</v>
      </c>
      <c r="F396" s="323">
        <v>42984</v>
      </c>
      <c r="G396" s="322">
        <v>6060.8</v>
      </c>
      <c r="H396" s="322">
        <f t="shared" si="2"/>
        <v>0</v>
      </c>
      <c r="I396" s="325" t="s">
        <v>15214</v>
      </c>
    </row>
    <row r="397" spans="1:9" x14ac:dyDescent="0.25">
      <c r="A397" s="359">
        <v>42982</v>
      </c>
      <c r="B397" s="326" t="s">
        <v>28105</v>
      </c>
      <c r="C397" s="327">
        <v>126156</v>
      </c>
      <c r="D397" s="391" t="s">
        <v>5575</v>
      </c>
      <c r="E397" s="328">
        <v>7144</v>
      </c>
      <c r="F397" s="329">
        <v>42983</v>
      </c>
      <c r="G397" s="328">
        <v>7144</v>
      </c>
      <c r="H397" s="347">
        <f t="shared" si="2"/>
        <v>0</v>
      </c>
      <c r="I397" s="331" t="s">
        <v>15214</v>
      </c>
    </row>
    <row r="398" spans="1:9" x14ac:dyDescent="0.25">
      <c r="A398" s="319">
        <v>42982</v>
      </c>
      <c r="B398" s="320" t="s">
        <v>28106</v>
      </c>
      <c r="C398" s="321">
        <v>126157</v>
      </c>
      <c r="D398" s="390" t="s">
        <v>15228</v>
      </c>
      <c r="E398" s="322">
        <v>8695</v>
      </c>
      <c r="F398" s="323">
        <v>42982</v>
      </c>
      <c r="G398" s="322">
        <v>8695</v>
      </c>
      <c r="H398" s="322">
        <f t="shared" si="2"/>
        <v>0</v>
      </c>
      <c r="I398" s="325" t="s">
        <v>15214</v>
      </c>
    </row>
    <row r="399" spans="1:9" ht="30" x14ac:dyDescent="0.25">
      <c r="A399" s="359">
        <v>42982</v>
      </c>
      <c r="B399" s="326" t="s">
        <v>28107</v>
      </c>
      <c r="C399" s="327">
        <v>126158</v>
      </c>
      <c r="D399" s="391" t="s">
        <v>15238</v>
      </c>
      <c r="E399" s="328">
        <v>9732.6</v>
      </c>
      <c r="F399" s="329" t="s">
        <v>28108</v>
      </c>
      <c r="G399" s="328">
        <f>5000+4732.6</f>
        <v>9732.6</v>
      </c>
      <c r="H399" s="347">
        <f t="shared" si="2"/>
        <v>0</v>
      </c>
      <c r="I399" s="331" t="s">
        <v>15214</v>
      </c>
    </row>
    <row r="400" spans="1:9" x14ac:dyDescent="0.25">
      <c r="A400" s="319">
        <v>42982</v>
      </c>
      <c r="B400" s="320" t="s">
        <v>28109</v>
      </c>
      <c r="C400" s="321">
        <v>126159</v>
      </c>
      <c r="D400" s="390" t="s">
        <v>15668</v>
      </c>
      <c r="E400" s="322">
        <v>5748.32</v>
      </c>
      <c r="F400" s="323">
        <v>42983</v>
      </c>
      <c r="G400" s="322">
        <v>5748.32</v>
      </c>
      <c r="H400" s="322">
        <f t="shared" si="2"/>
        <v>0</v>
      </c>
      <c r="I400" s="325" t="s">
        <v>15214</v>
      </c>
    </row>
    <row r="401" spans="1:9" x14ac:dyDescent="0.25">
      <c r="A401" s="359">
        <v>42982</v>
      </c>
      <c r="B401" s="326" t="s">
        <v>28110</v>
      </c>
      <c r="C401" s="327">
        <v>126160</v>
      </c>
      <c r="D401" s="391" t="s">
        <v>15258</v>
      </c>
      <c r="E401" s="328">
        <v>10848</v>
      </c>
      <c r="F401" s="329">
        <v>42987</v>
      </c>
      <c r="G401" s="328">
        <v>10848</v>
      </c>
      <c r="H401" s="347">
        <f t="shared" si="2"/>
        <v>0</v>
      </c>
      <c r="I401" s="331" t="s">
        <v>15214</v>
      </c>
    </row>
    <row r="402" spans="1:9" ht="30" x14ac:dyDescent="0.25">
      <c r="A402" s="319">
        <v>42982</v>
      </c>
      <c r="B402" s="320" t="s">
        <v>28111</v>
      </c>
      <c r="C402" s="321">
        <v>126161</v>
      </c>
      <c r="D402" s="390" t="s">
        <v>15256</v>
      </c>
      <c r="E402" s="322">
        <v>4450.6000000000004</v>
      </c>
      <c r="F402" s="323" t="s">
        <v>28112</v>
      </c>
      <c r="G402" s="334">
        <f>3300+1150.6</f>
        <v>4450.6000000000004</v>
      </c>
      <c r="H402" s="334">
        <f t="shared" si="2"/>
        <v>0</v>
      </c>
      <c r="I402" s="325" t="s">
        <v>15214</v>
      </c>
    </row>
    <row r="403" spans="1:9" x14ac:dyDescent="0.25">
      <c r="A403" s="359">
        <v>42982</v>
      </c>
      <c r="B403" s="326" t="s">
        <v>28113</v>
      </c>
      <c r="C403" s="327">
        <v>126162</v>
      </c>
      <c r="D403" s="391" t="s">
        <v>15256</v>
      </c>
      <c r="E403" s="328">
        <v>3984</v>
      </c>
      <c r="F403" s="329">
        <v>42984</v>
      </c>
      <c r="G403" s="328">
        <v>3984</v>
      </c>
      <c r="H403" s="347">
        <f t="shared" si="2"/>
        <v>0</v>
      </c>
      <c r="I403" s="331" t="s">
        <v>15214</v>
      </c>
    </row>
    <row r="404" spans="1:9" ht="15.75" x14ac:dyDescent="0.25">
      <c r="A404" s="319">
        <v>42982</v>
      </c>
      <c r="B404" s="320" t="s">
        <v>28114</v>
      </c>
      <c r="C404" s="321">
        <v>126163</v>
      </c>
      <c r="D404" s="332" t="s">
        <v>95</v>
      </c>
      <c r="E404" s="322">
        <v>0</v>
      </c>
      <c r="F404" s="333" t="s">
        <v>95</v>
      </c>
      <c r="G404" s="322">
        <v>0</v>
      </c>
      <c r="H404" s="322">
        <f t="shared" si="2"/>
        <v>0</v>
      </c>
      <c r="I404" s="325" t="s">
        <v>95</v>
      </c>
    </row>
    <row r="405" spans="1:9" x14ac:dyDescent="0.25">
      <c r="A405" s="359">
        <v>42982</v>
      </c>
      <c r="B405" s="326" t="s">
        <v>28115</v>
      </c>
      <c r="C405" s="327">
        <v>126164</v>
      </c>
      <c r="D405" s="391" t="s">
        <v>15668</v>
      </c>
      <c r="E405" s="328">
        <v>17584</v>
      </c>
      <c r="F405" s="329">
        <v>42983</v>
      </c>
      <c r="G405" s="328">
        <v>17584</v>
      </c>
      <c r="H405" s="347">
        <f t="shared" si="2"/>
        <v>0</v>
      </c>
      <c r="I405" s="331" t="s">
        <v>15214</v>
      </c>
    </row>
    <row r="406" spans="1:9" x14ac:dyDescent="0.25">
      <c r="A406" s="319">
        <v>42982</v>
      </c>
      <c r="B406" s="320" t="s">
        <v>28116</v>
      </c>
      <c r="C406" s="321">
        <v>126165</v>
      </c>
      <c r="D406" s="390" t="s">
        <v>15284</v>
      </c>
      <c r="E406" s="322">
        <v>902.6</v>
      </c>
      <c r="F406" s="323">
        <v>42982</v>
      </c>
      <c r="G406" s="322">
        <v>902.6</v>
      </c>
      <c r="H406" s="322">
        <f t="shared" si="2"/>
        <v>0</v>
      </c>
      <c r="I406" s="325" t="s">
        <v>15214</v>
      </c>
    </row>
    <row r="407" spans="1:9" x14ac:dyDescent="0.25">
      <c r="A407" s="359">
        <v>42982</v>
      </c>
      <c r="B407" s="326" t="s">
        <v>28117</v>
      </c>
      <c r="C407" s="327">
        <v>126166</v>
      </c>
      <c r="D407" s="391" t="s">
        <v>15510</v>
      </c>
      <c r="E407" s="328">
        <v>599.5</v>
      </c>
      <c r="F407" s="349">
        <v>42982</v>
      </c>
      <c r="G407" s="328">
        <v>599.5</v>
      </c>
      <c r="H407" s="347">
        <f t="shared" si="2"/>
        <v>0</v>
      </c>
      <c r="I407" s="331" t="s">
        <v>15214</v>
      </c>
    </row>
    <row r="408" spans="1:9" x14ac:dyDescent="0.25">
      <c r="A408" s="319">
        <v>42982</v>
      </c>
      <c r="B408" s="320" t="s">
        <v>28118</v>
      </c>
      <c r="C408" s="321">
        <v>126167</v>
      </c>
      <c r="D408" s="390" t="s">
        <v>15632</v>
      </c>
      <c r="E408" s="322">
        <v>1484</v>
      </c>
      <c r="F408" s="323">
        <v>42982</v>
      </c>
      <c r="G408" s="322">
        <v>1484</v>
      </c>
      <c r="H408" s="322">
        <f t="shared" si="2"/>
        <v>0</v>
      </c>
      <c r="I408" s="325" t="s">
        <v>15214</v>
      </c>
    </row>
    <row r="409" spans="1:9" x14ac:dyDescent="0.25">
      <c r="A409" s="359">
        <v>42982</v>
      </c>
      <c r="B409" s="326" t="s">
        <v>28119</v>
      </c>
      <c r="C409" s="327">
        <v>126168</v>
      </c>
      <c r="D409" s="391" t="s">
        <v>15280</v>
      </c>
      <c r="E409" s="328">
        <v>4660.8</v>
      </c>
      <c r="F409" s="349">
        <v>42982</v>
      </c>
      <c r="G409" s="328">
        <v>4660.8</v>
      </c>
      <c r="H409" s="347">
        <f t="shared" si="2"/>
        <v>0</v>
      </c>
      <c r="I409" s="331" t="s">
        <v>15214</v>
      </c>
    </row>
    <row r="410" spans="1:9" ht="15.75" x14ac:dyDescent="0.25">
      <c r="A410" s="319">
        <v>42982</v>
      </c>
      <c r="B410" s="320" t="s">
        <v>28120</v>
      </c>
      <c r="C410" s="321">
        <v>126169</v>
      </c>
      <c r="D410" s="332" t="s">
        <v>95</v>
      </c>
      <c r="E410" s="322">
        <v>0</v>
      </c>
      <c r="F410" s="333" t="s">
        <v>95</v>
      </c>
      <c r="G410" s="322">
        <v>0</v>
      </c>
      <c r="H410" s="322">
        <f t="shared" si="2"/>
        <v>0</v>
      </c>
      <c r="I410" s="325" t="s">
        <v>95</v>
      </c>
    </row>
    <row r="411" spans="1:9" x14ac:dyDescent="0.25">
      <c r="A411" s="359">
        <v>42982</v>
      </c>
      <c r="B411" s="326" t="s">
        <v>28121</v>
      </c>
      <c r="C411" s="327">
        <v>126170</v>
      </c>
      <c r="D411" s="391" t="s">
        <v>15369</v>
      </c>
      <c r="E411" s="328">
        <v>31160.2</v>
      </c>
      <c r="F411" s="329">
        <v>42997</v>
      </c>
      <c r="G411" s="328">
        <v>31160.2</v>
      </c>
      <c r="H411" s="347">
        <f t="shared" si="2"/>
        <v>0</v>
      </c>
      <c r="I411" s="331" t="s">
        <v>15214</v>
      </c>
    </row>
    <row r="412" spans="1:9" ht="15.75" x14ac:dyDescent="0.25">
      <c r="A412" s="319">
        <v>42982</v>
      </c>
      <c r="B412" s="320" t="s">
        <v>28122</v>
      </c>
      <c r="C412" s="321">
        <v>126171</v>
      </c>
      <c r="D412" s="332" t="s">
        <v>95</v>
      </c>
      <c r="E412" s="322">
        <v>0</v>
      </c>
      <c r="F412" s="333" t="s">
        <v>95</v>
      </c>
      <c r="G412" s="322">
        <v>0</v>
      </c>
      <c r="H412" s="322">
        <f t="shared" si="2"/>
        <v>0</v>
      </c>
      <c r="I412" s="325" t="s">
        <v>95</v>
      </c>
    </row>
    <row r="413" spans="1:9" x14ac:dyDescent="0.25">
      <c r="A413" s="359">
        <v>42982</v>
      </c>
      <c r="B413" s="326" t="s">
        <v>28123</v>
      </c>
      <c r="C413" s="327">
        <v>126172</v>
      </c>
      <c r="D413" s="391" t="s">
        <v>15326</v>
      </c>
      <c r="E413" s="328">
        <v>2796</v>
      </c>
      <c r="F413" s="329">
        <v>42982</v>
      </c>
      <c r="G413" s="328">
        <v>2796</v>
      </c>
      <c r="H413" s="347">
        <f t="shared" si="2"/>
        <v>0</v>
      </c>
      <c r="I413" s="331" t="s">
        <v>15214</v>
      </c>
    </row>
    <row r="414" spans="1:9" x14ac:dyDescent="0.25">
      <c r="A414" s="319">
        <v>42982</v>
      </c>
      <c r="B414" s="320" t="s">
        <v>28124</v>
      </c>
      <c r="C414" s="321">
        <v>126173</v>
      </c>
      <c r="D414" s="390" t="s">
        <v>15326</v>
      </c>
      <c r="E414" s="322">
        <v>731.6</v>
      </c>
      <c r="F414" s="323">
        <v>42982</v>
      </c>
      <c r="G414" s="322">
        <v>731.6</v>
      </c>
      <c r="H414" s="322">
        <f t="shared" si="2"/>
        <v>0</v>
      </c>
      <c r="I414" s="325" t="s">
        <v>15214</v>
      </c>
    </row>
    <row r="415" spans="1:9" x14ac:dyDescent="0.25">
      <c r="A415" s="359">
        <v>42982</v>
      </c>
      <c r="B415" s="326" t="s">
        <v>28125</v>
      </c>
      <c r="C415" s="327">
        <v>126174</v>
      </c>
      <c r="D415" s="391" t="s">
        <v>15380</v>
      </c>
      <c r="E415" s="328">
        <v>36515</v>
      </c>
      <c r="F415" s="329">
        <v>42997</v>
      </c>
      <c r="G415" s="328">
        <v>36515</v>
      </c>
      <c r="H415" s="347">
        <f t="shared" si="2"/>
        <v>0</v>
      </c>
      <c r="I415" s="331" t="s">
        <v>15214</v>
      </c>
    </row>
    <row r="416" spans="1:9" x14ac:dyDescent="0.25">
      <c r="A416" s="319">
        <v>42982</v>
      </c>
      <c r="B416" s="320" t="s">
        <v>28126</v>
      </c>
      <c r="C416" s="321">
        <v>126175</v>
      </c>
      <c r="D416" s="390" t="s">
        <v>16139</v>
      </c>
      <c r="E416" s="322">
        <v>3271.7</v>
      </c>
      <c r="F416" s="323">
        <v>42984</v>
      </c>
      <c r="G416" s="322">
        <v>3271.7</v>
      </c>
      <c r="H416" s="322">
        <f t="shared" si="2"/>
        <v>0</v>
      </c>
      <c r="I416" s="325" t="s">
        <v>15214</v>
      </c>
    </row>
    <row r="417" spans="1:9" x14ac:dyDescent="0.25">
      <c r="A417" s="359">
        <v>42982</v>
      </c>
      <c r="B417" s="326" t="s">
        <v>28127</v>
      </c>
      <c r="C417" s="327">
        <v>126176</v>
      </c>
      <c r="D417" s="391" t="s">
        <v>15537</v>
      </c>
      <c r="E417" s="328">
        <v>14638.6</v>
      </c>
      <c r="F417" s="329">
        <v>42987</v>
      </c>
      <c r="G417" s="328">
        <v>14638.6</v>
      </c>
      <c r="H417" s="347">
        <f t="shared" si="2"/>
        <v>0</v>
      </c>
      <c r="I417" s="331" t="s">
        <v>15214</v>
      </c>
    </row>
    <row r="418" spans="1:9" ht="15.75" x14ac:dyDescent="0.25">
      <c r="A418" s="319">
        <v>42982</v>
      </c>
      <c r="B418" s="320" t="s">
        <v>28128</v>
      </c>
      <c r="C418" s="321">
        <v>126177</v>
      </c>
      <c r="D418" s="332" t="s">
        <v>95</v>
      </c>
      <c r="E418" s="322">
        <v>0</v>
      </c>
      <c r="F418" s="333" t="s">
        <v>95</v>
      </c>
      <c r="G418" s="322">
        <v>0</v>
      </c>
      <c r="H418" s="322">
        <f t="shared" si="2"/>
        <v>0</v>
      </c>
      <c r="I418" s="325" t="s">
        <v>95</v>
      </c>
    </row>
    <row r="419" spans="1:9" x14ac:dyDescent="0.25">
      <c r="A419" s="359">
        <v>42982</v>
      </c>
      <c r="B419" s="326" t="s">
        <v>28129</v>
      </c>
      <c r="C419" s="327">
        <v>126178</v>
      </c>
      <c r="D419" s="391" t="s">
        <v>15278</v>
      </c>
      <c r="E419" s="328">
        <v>6738</v>
      </c>
      <c r="F419" s="329">
        <v>42982</v>
      </c>
      <c r="G419" s="328">
        <v>6738</v>
      </c>
      <c r="H419" s="347">
        <f t="shared" si="2"/>
        <v>0</v>
      </c>
      <c r="I419" s="331" t="s">
        <v>15214</v>
      </c>
    </row>
    <row r="420" spans="1:9" ht="15.75" x14ac:dyDescent="0.25">
      <c r="A420" s="319">
        <v>42982</v>
      </c>
      <c r="B420" s="320" t="s">
        <v>28130</v>
      </c>
      <c r="C420" s="321">
        <v>126179</v>
      </c>
      <c r="D420" s="332" t="s">
        <v>95</v>
      </c>
      <c r="E420" s="322">
        <v>0</v>
      </c>
      <c r="F420" s="333" t="s">
        <v>95</v>
      </c>
      <c r="G420" s="322">
        <v>0</v>
      </c>
      <c r="H420" s="322">
        <f t="shared" si="2"/>
        <v>0</v>
      </c>
      <c r="I420" s="325" t="s">
        <v>95</v>
      </c>
    </row>
    <row r="421" spans="1:9" x14ac:dyDescent="0.25">
      <c r="A421" s="359">
        <v>42982</v>
      </c>
      <c r="B421" s="326" t="s">
        <v>28131</v>
      </c>
      <c r="C421" s="327">
        <v>126180</v>
      </c>
      <c r="D421" s="391" t="s">
        <v>15438</v>
      </c>
      <c r="E421" s="328">
        <v>7541.3</v>
      </c>
      <c r="F421" s="329">
        <v>42982</v>
      </c>
      <c r="G421" s="328">
        <v>7541.3</v>
      </c>
      <c r="H421" s="347">
        <f t="shared" si="2"/>
        <v>0</v>
      </c>
      <c r="I421" s="331" t="s">
        <v>15214</v>
      </c>
    </row>
    <row r="422" spans="1:9" x14ac:dyDescent="0.25">
      <c r="A422" s="319">
        <v>42982</v>
      </c>
      <c r="B422" s="320" t="s">
        <v>28132</v>
      </c>
      <c r="C422" s="321">
        <v>126181</v>
      </c>
      <c r="D422" s="390" t="s">
        <v>15539</v>
      </c>
      <c r="E422" s="322">
        <v>13304</v>
      </c>
      <c r="F422" s="323">
        <v>42987</v>
      </c>
      <c r="G422" s="322">
        <v>13304</v>
      </c>
      <c r="H422" s="322">
        <f t="shared" si="2"/>
        <v>0</v>
      </c>
      <c r="I422" s="325" t="s">
        <v>15214</v>
      </c>
    </row>
    <row r="423" spans="1:9" x14ac:dyDescent="0.25">
      <c r="A423" s="359">
        <v>42982</v>
      </c>
      <c r="B423" s="326" t="s">
        <v>28133</v>
      </c>
      <c r="C423" s="327">
        <v>126182</v>
      </c>
      <c r="D423" s="391" t="s">
        <v>15555</v>
      </c>
      <c r="E423" s="328">
        <v>976.6</v>
      </c>
      <c r="F423" s="329">
        <v>42990</v>
      </c>
      <c r="G423" s="328">
        <v>976.6</v>
      </c>
      <c r="H423" s="347">
        <f t="shared" si="2"/>
        <v>0</v>
      </c>
      <c r="I423" s="331" t="s">
        <v>15214</v>
      </c>
    </row>
    <row r="424" spans="1:9" x14ac:dyDescent="0.25">
      <c r="A424" s="319">
        <v>42982</v>
      </c>
      <c r="B424" s="320" t="s">
        <v>28134</v>
      </c>
      <c r="C424" s="321">
        <v>126183</v>
      </c>
      <c r="D424" s="390" t="s">
        <v>15398</v>
      </c>
      <c r="E424" s="322">
        <v>3148.32</v>
      </c>
      <c r="F424" s="323">
        <v>42982</v>
      </c>
      <c r="G424" s="322">
        <v>3148.32</v>
      </c>
      <c r="H424" s="322">
        <f t="shared" si="2"/>
        <v>0</v>
      </c>
      <c r="I424" s="325" t="s">
        <v>15214</v>
      </c>
    </row>
    <row r="425" spans="1:9" x14ac:dyDescent="0.25">
      <c r="A425" s="359">
        <v>42982</v>
      </c>
      <c r="B425" s="326" t="s">
        <v>28135</v>
      </c>
      <c r="C425" s="327">
        <v>126184</v>
      </c>
      <c r="D425" s="391" t="s">
        <v>15382</v>
      </c>
      <c r="E425" s="328">
        <v>12165.5</v>
      </c>
      <c r="F425" s="329">
        <v>42997</v>
      </c>
      <c r="G425" s="328">
        <v>12165.5</v>
      </c>
      <c r="H425" s="347">
        <f t="shared" si="2"/>
        <v>0</v>
      </c>
      <c r="I425" s="331" t="s">
        <v>15214</v>
      </c>
    </row>
    <row r="426" spans="1:9" x14ac:dyDescent="0.25">
      <c r="A426" s="319">
        <v>42982</v>
      </c>
      <c r="B426" s="320" t="s">
        <v>28136</v>
      </c>
      <c r="C426" s="321">
        <v>126185</v>
      </c>
      <c r="D426" s="390" t="s">
        <v>15356</v>
      </c>
      <c r="E426" s="322">
        <v>520</v>
      </c>
      <c r="F426" s="323">
        <v>42982</v>
      </c>
      <c r="G426" s="322">
        <v>520</v>
      </c>
      <c r="H426" s="322">
        <f t="shared" si="2"/>
        <v>0</v>
      </c>
      <c r="I426" s="325" t="s">
        <v>15214</v>
      </c>
    </row>
    <row r="427" spans="1:9" x14ac:dyDescent="0.25">
      <c r="A427" s="359">
        <v>42982</v>
      </c>
      <c r="B427" s="326" t="s">
        <v>28137</v>
      </c>
      <c r="C427" s="327">
        <v>126186</v>
      </c>
      <c r="D427" s="391" t="s">
        <v>15344</v>
      </c>
      <c r="E427" s="328">
        <v>3121.2</v>
      </c>
      <c r="F427" s="329">
        <v>42982</v>
      </c>
      <c r="G427" s="328">
        <v>3121.2</v>
      </c>
      <c r="H427" s="347">
        <f t="shared" si="2"/>
        <v>0</v>
      </c>
      <c r="I427" s="331" t="s">
        <v>15214</v>
      </c>
    </row>
    <row r="428" spans="1:9" x14ac:dyDescent="0.25">
      <c r="A428" s="319">
        <v>42982</v>
      </c>
      <c r="B428" s="320" t="s">
        <v>28138</v>
      </c>
      <c r="C428" s="321">
        <v>126187</v>
      </c>
      <c r="D428" s="390" t="s">
        <v>15526</v>
      </c>
      <c r="E428" s="322">
        <v>1712.5</v>
      </c>
      <c r="F428" s="323">
        <v>42982</v>
      </c>
      <c r="G428" s="322">
        <v>1712.5</v>
      </c>
      <c r="H428" s="322">
        <f t="shared" si="2"/>
        <v>0</v>
      </c>
      <c r="I428" s="325" t="s">
        <v>15214</v>
      </c>
    </row>
    <row r="429" spans="1:9" x14ac:dyDescent="0.25">
      <c r="A429" s="359">
        <v>42982</v>
      </c>
      <c r="B429" s="326" t="s">
        <v>28139</v>
      </c>
      <c r="C429" s="327">
        <v>126188</v>
      </c>
      <c r="D429" s="391" t="s">
        <v>15328</v>
      </c>
      <c r="E429" s="328">
        <v>72197.5</v>
      </c>
      <c r="F429" s="329">
        <v>42987</v>
      </c>
      <c r="G429" s="328">
        <v>72197.5</v>
      </c>
      <c r="H429" s="347">
        <f t="shared" si="2"/>
        <v>0</v>
      </c>
      <c r="I429" s="331" t="s">
        <v>15214</v>
      </c>
    </row>
    <row r="430" spans="1:9" x14ac:dyDescent="0.25">
      <c r="A430" s="319">
        <v>42982</v>
      </c>
      <c r="B430" s="320" t="s">
        <v>28140</v>
      </c>
      <c r="C430" s="321">
        <v>126189</v>
      </c>
      <c r="D430" s="390" t="s">
        <v>15332</v>
      </c>
      <c r="E430" s="322">
        <v>5226</v>
      </c>
      <c r="F430" s="323">
        <v>42982</v>
      </c>
      <c r="G430" s="322">
        <v>5226</v>
      </c>
      <c r="H430" s="322">
        <f t="shared" si="2"/>
        <v>0</v>
      </c>
      <c r="I430" s="325" t="s">
        <v>15214</v>
      </c>
    </row>
    <row r="431" spans="1:9" x14ac:dyDescent="0.25">
      <c r="A431" s="359">
        <v>42982</v>
      </c>
      <c r="B431" s="326" t="s">
        <v>28141</v>
      </c>
      <c r="C431" s="327">
        <v>126190</v>
      </c>
      <c r="D431" s="391" t="s">
        <v>15261</v>
      </c>
      <c r="E431" s="328">
        <v>23413.8</v>
      </c>
      <c r="F431" s="329">
        <v>42982</v>
      </c>
      <c r="G431" s="328">
        <v>23413.8</v>
      </c>
      <c r="H431" s="347">
        <f t="shared" si="2"/>
        <v>0</v>
      </c>
      <c r="I431" s="331" t="s">
        <v>15214</v>
      </c>
    </row>
    <row r="432" spans="1:9" x14ac:dyDescent="0.25">
      <c r="A432" s="319">
        <v>42982</v>
      </c>
      <c r="B432" s="320" t="s">
        <v>28142</v>
      </c>
      <c r="C432" s="321">
        <v>126191</v>
      </c>
      <c r="D432" s="390" t="s">
        <v>15742</v>
      </c>
      <c r="E432" s="322">
        <v>3177.1</v>
      </c>
      <c r="F432" s="323">
        <v>42982</v>
      </c>
      <c r="G432" s="322">
        <v>3177.1</v>
      </c>
      <c r="H432" s="322">
        <f t="shared" si="2"/>
        <v>0</v>
      </c>
      <c r="I432" s="325" t="s">
        <v>15214</v>
      </c>
    </row>
    <row r="433" spans="1:9" x14ac:dyDescent="0.25">
      <c r="A433" s="359">
        <v>42982</v>
      </c>
      <c r="B433" s="326" t="s">
        <v>28143</v>
      </c>
      <c r="C433" s="327">
        <v>126192</v>
      </c>
      <c r="D433" s="391" t="s">
        <v>15348</v>
      </c>
      <c r="E433" s="328">
        <v>3096.8</v>
      </c>
      <c r="F433" s="329">
        <v>42984</v>
      </c>
      <c r="G433" s="328">
        <v>3096.8</v>
      </c>
      <c r="H433" s="347">
        <f t="shared" ref="H433:H496" si="3">E433-G433</f>
        <v>0</v>
      </c>
      <c r="I433" s="331" t="s">
        <v>15214</v>
      </c>
    </row>
    <row r="434" spans="1:9" x14ac:dyDescent="0.25">
      <c r="A434" s="319">
        <v>42982</v>
      </c>
      <c r="B434" s="320" t="s">
        <v>28144</v>
      </c>
      <c r="C434" s="321">
        <v>126193</v>
      </c>
      <c r="D434" s="390" t="s">
        <v>15240</v>
      </c>
      <c r="E434" s="322">
        <v>3317.3</v>
      </c>
      <c r="F434" s="323">
        <v>42984</v>
      </c>
      <c r="G434" s="322">
        <v>3317.3</v>
      </c>
      <c r="H434" s="322">
        <f t="shared" si="3"/>
        <v>0</v>
      </c>
      <c r="I434" s="325" t="s">
        <v>15214</v>
      </c>
    </row>
    <row r="435" spans="1:9" x14ac:dyDescent="0.25">
      <c r="A435" s="359">
        <v>42982</v>
      </c>
      <c r="B435" s="326" t="s">
        <v>28145</v>
      </c>
      <c r="C435" s="327">
        <v>126194</v>
      </c>
      <c r="D435" s="391" t="s">
        <v>15336</v>
      </c>
      <c r="E435" s="328">
        <v>5841.6</v>
      </c>
      <c r="F435" s="329">
        <v>42982</v>
      </c>
      <c r="G435" s="328">
        <v>5841.6</v>
      </c>
      <c r="H435" s="347">
        <f t="shared" si="3"/>
        <v>0</v>
      </c>
      <c r="I435" s="331" t="s">
        <v>15214</v>
      </c>
    </row>
    <row r="436" spans="1:9" x14ac:dyDescent="0.25">
      <c r="A436" s="319">
        <v>42982</v>
      </c>
      <c r="B436" s="320" t="s">
        <v>28146</v>
      </c>
      <c r="C436" s="321">
        <v>126195</v>
      </c>
      <c r="D436" s="390" t="s">
        <v>15261</v>
      </c>
      <c r="E436" s="322">
        <v>6943</v>
      </c>
      <c r="F436" s="323">
        <v>42982</v>
      </c>
      <c r="G436" s="322">
        <v>6943</v>
      </c>
      <c r="H436" s="322">
        <f t="shared" si="3"/>
        <v>0</v>
      </c>
      <c r="I436" s="325" t="s">
        <v>15214</v>
      </c>
    </row>
    <row r="437" spans="1:9" x14ac:dyDescent="0.25">
      <c r="A437" s="359">
        <v>42982</v>
      </c>
      <c r="B437" s="326" t="s">
        <v>28147</v>
      </c>
      <c r="C437" s="327">
        <v>126196</v>
      </c>
      <c r="D437" s="391" t="s">
        <v>15248</v>
      </c>
      <c r="E437" s="328">
        <v>13981.5</v>
      </c>
      <c r="F437" s="329">
        <v>42982</v>
      </c>
      <c r="G437" s="328">
        <v>13981.5</v>
      </c>
      <c r="H437" s="347">
        <f t="shared" si="3"/>
        <v>0</v>
      </c>
      <c r="I437" s="331" t="s">
        <v>15214</v>
      </c>
    </row>
    <row r="438" spans="1:9" x14ac:dyDescent="0.25">
      <c r="A438" s="319">
        <v>42982</v>
      </c>
      <c r="B438" s="320" t="s">
        <v>28148</v>
      </c>
      <c r="C438" s="321">
        <v>126197</v>
      </c>
      <c r="D438" s="390" t="s">
        <v>15378</v>
      </c>
      <c r="E438" s="322">
        <v>1010</v>
      </c>
      <c r="F438" s="323">
        <v>42982</v>
      </c>
      <c r="G438" s="322">
        <v>1010</v>
      </c>
      <c r="H438" s="322">
        <f t="shared" si="3"/>
        <v>0</v>
      </c>
      <c r="I438" s="325" t="s">
        <v>15214</v>
      </c>
    </row>
    <row r="439" spans="1:9" x14ac:dyDescent="0.25">
      <c r="A439" s="359">
        <v>42982</v>
      </c>
      <c r="B439" s="326" t="s">
        <v>28149</v>
      </c>
      <c r="C439" s="327">
        <v>126198</v>
      </c>
      <c r="D439" s="391" t="s">
        <v>15309</v>
      </c>
      <c r="E439" s="328">
        <v>7274.4</v>
      </c>
      <c r="F439" s="329">
        <v>42982</v>
      </c>
      <c r="G439" s="328">
        <v>7274.4</v>
      </c>
      <c r="H439" s="347">
        <f t="shared" si="3"/>
        <v>0</v>
      </c>
      <c r="I439" s="331" t="s">
        <v>15214</v>
      </c>
    </row>
    <row r="440" spans="1:9" x14ac:dyDescent="0.25">
      <c r="A440" s="319">
        <v>42982</v>
      </c>
      <c r="B440" s="320" t="s">
        <v>28150</v>
      </c>
      <c r="C440" s="321">
        <v>126199</v>
      </c>
      <c r="D440" s="390" t="s">
        <v>15583</v>
      </c>
      <c r="E440" s="322">
        <v>1736.8</v>
      </c>
      <c r="F440" s="323">
        <v>42989</v>
      </c>
      <c r="G440" s="322">
        <v>1736.8</v>
      </c>
      <c r="H440" s="322">
        <f t="shared" si="3"/>
        <v>0</v>
      </c>
      <c r="I440" s="325" t="s">
        <v>15214</v>
      </c>
    </row>
    <row r="441" spans="1:9" x14ac:dyDescent="0.25">
      <c r="A441" s="359">
        <v>42982</v>
      </c>
      <c r="B441" s="326" t="s">
        <v>28151</v>
      </c>
      <c r="C441" s="327">
        <v>126200</v>
      </c>
      <c r="D441" s="391" t="s">
        <v>15415</v>
      </c>
      <c r="E441" s="328">
        <v>4195.3999999999996</v>
      </c>
      <c r="F441" s="329">
        <v>42985</v>
      </c>
      <c r="G441" s="328">
        <v>4195.3999999999996</v>
      </c>
      <c r="H441" s="347">
        <f t="shared" si="3"/>
        <v>0</v>
      </c>
      <c r="I441" s="331" t="s">
        <v>15214</v>
      </c>
    </row>
    <row r="442" spans="1:9" x14ac:dyDescent="0.25">
      <c r="A442" s="319">
        <v>42982</v>
      </c>
      <c r="B442" s="320" t="s">
        <v>28152</v>
      </c>
      <c r="C442" s="321">
        <v>126201</v>
      </c>
      <c r="D442" s="390" t="s">
        <v>15317</v>
      </c>
      <c r="E442" s="322">
        <v>1304.4000000000001</v>
      </c>
      <c r="F442" s="323">
        <v>42983</v>
      </c>
      <c r="G442" s="322">
        <v>1304.4000000000001</v>
      </c>
      <c r="H442" s="322">
        <f t="shared" si="3"/>
        <v>0</v>
      </c>
      <c r="I442" s="325" t="s">
        <v>15214</v>
      </c>
    </row>
    <row r="443" spans="1:9" x14ac:dyDescent="0.25">
      <c r="A443" s="359">
        <v>42982</v>
      </c>
      <c r="B443" s="326" t="s">
        <v>28153</v>
      </c>
      <c r="C443" s="327">
        <v>126202</v>
      </c>
      <c r="D443" s="391" t="s">
        <v>15307</v>
      </c>
      <c r="E443" s="328">
        <v>1257.8</v>
      </c>
      <c r="F443" s="329">
        <v>42982</v>
      </c>
      <c r="G443" s="328">
        <v>1257.8</v>
      </c>
      <c r="H443" s="347">
        <f t="shared" si="3"/>
        <v>0</v>
      </c>
      <c r="I443" s="331" t="s">
        <v>15214</v>
      </c>
    </row>
    <row r="444" spans="1:9" x14ac:dyDescent="0.25">
      <c r="A444" s="319">
        <v>42982</v>
      </c>
      <c r="B444" s="320" t="s">
        <v>28154</v>
      </c>
      <c r="C444" s="321">
        <v>126203</v>
      </c>
      <c r="D444" s="390" t="s">
        <v>23937</v>
      </c>
      <c r="E444" s="322">
        <v>3768.1</v>
      </c>
      <c r="F444" s="323">
        <v>42982</v>
      </c>
      <c r="G444" s="322">
        <v>3768.1</v>
      </c>
      <c r="H444" s="322">
        <f t="shared" si="3"/>
        <v>0</v>
      </c>
      <c r="I444" s="325" t="s">
        <v>15214</v>
      </c>
    </row>
    <row r="445" spans="1:9" x14ac:dyDescent="0.25">
      <c r="A445" s="359">
        <v>42982</v>
      </c>
      <c r="B445" s="326" t="s">
        <v>28155</v>
      </c>
      <c r="C445" s="327">
        <v>126204</v>
      </c>
      <c r="D445" s="391" t="s">
        <v>15315</v>
      </c>
      <c r="E445" s="328">
        <v>3840</v>
      </c>
      <c r="F445" s="329">
        <v>42982</v>
      </c>
      <c r="G445" s="328">
        <v>3840</v>
      </c>
      <c r="H445" s="347">
        <f t="shared" si="3"/>
        <v>0</v>
      </c>
      <c r="I445" s="331" t="s">
        <v>15214</v>
      </c>
    </row>
    <row r="446" spans="1:9" x14ac:dyDescent="0.25">
      <c r="A446" s="319">
        <v>42982</v>
      </c>
      <c r="B446" s="320" t="s">
        <v>28156</v>
      </c>
      <c r="C446" s="321">
        <v>126205</v>
      </c>
      <c r="D446" s="390" t="s">
        <v>15274</v>
      </c>
      <c r="E446" s="322">
        <v>4762.8</v>
      </c>
      <c r="F446" s="323">
        <v>42982</v>
      </c>
      <c r="G446" s="322">
        <v>4762.8</v>
      </c>
      <c r="H446" s="322">
        <f t="shared" si="3"/>
        <v>0</v>
      </c>
      <c r="I446" s="325" t="s">
        <v>15214</v>
      </c>
    </row>
    <row r="447" spans="1:9" x14ac:dyDescent="0.25">
      <c r="A447" s="359">
        <v>42982</v>
      </c>
      <c r="B447" s="326" t="s">
        <v>28157</v>
      </c>
      <c r="C447" s="327">
        <v>126206</v>
      </c>
      <c r="D447" s="391" t="s">
        <v>15252</v>
      </c>
      <c r="E447" s="328">
        <v>3368.2</v>
      </c>
      <c r="F447" s="329">
        <v>42985</v>
      </c>
      <c r="G447" s="328">
        <v>3368.2</v>
      </c>
      <c r="H447" s="347">
        <f t="shared" si="3"/>
        <v>0</v>
      </c>
      <c r="I447" s="331" t="s">
        <v>15214</v>
      </c>
    </row>
    <row r="448" spans="1:9" x14ac:dyDescent="0.25">
      <c r="A448" s="319">
        <v>42982</v>
      </c>
      <c r="B448" s="320" t="s">
        <v>28158</v>
      </c>
      <c r="C448" s="321">
        <v>126207</v>
      </c>
      <c r="D448" s="390" t="s">
        <v>15244</v>
      </c>
      <c r="E448" s="322">
        <v>14784.8</v>
      </c>
      <c r="F448" s="323">
        <v>42982</v>
      </c>
      <c r="G448" s="322">
        <v>14784.8</v>
      </c>
      <c r="H448" s="322">
        <f t="shared" si="3"/>
        <v>0</v>
      </c>
      <c r="I448" s="325" t="s">
        <v>15214</v>
      </c>
    </row>
    <row r="449" spans="1:9" x14ac:dyDescent="0.25">
      <c r="A449" s="359">
        <v>42982</v>
      </c>
      <c r="B449" s="326" t="s">
        <v>28159</v>
      </c>
      <c r="C449" s="327">
        <v>126208</v>
      </c>
      <c r="D449" s="391" t="s">
        <v>23937</v>
      </c>
      <c r="E449" s="328">
        <v>1662</v>
      </c>
      <c r="F449" s="329">
        <v>42982</v>
      </c>
      <c r="G449" s="328">
        <v>1662</v>
      </c>
      <c r="H449" s="347">
        <f t="shared" si="3"/>
        <v>0</v>
      </c>
      <c r="I449" s="331" t="s">
        <v>15214</v>
      </c>
    </row>
    <row r="450" spans="1:9" x14ac:dyDescent="0.25">
      <c r="A450" s="319">
        <v>42982</v>
      </c>
      <c r="B450" s="320" t="s">
        <v>28160</v>
      </c>
      <c r="C450" s="321">
        <v>126209</v>
      </c>
      <c r="D450" s="390" t="s">
        <v>15254</v>
      </c>
      <c r="E450" s="322">
        <v>10023.200000000001</v>
      </c>
      <c r="F450" s="323">
        <v>42987</v>
      </c>
      <c r="G450" s="322">
        <v>10023.200000000001</v>
      </c>
      <c r="H450" s="322">
        <f t="shared" si="3"/>
        <v>0</v>
      </c>
      <c r="I450" s="325" t="s">
        <v>15214</v>
      </c>
    </row>
    <row r="451" spans="1:9" x14ac:dyDescent="0.25">
      <c r="A451" s="359">
        <v>42982</v>
      </c>
      <c r="B451" s="326" t="s">
        <v>28161</v>
      </c>
      <c r="C451" s="327">
        <v>126210</v>
      </c>
      <c r="D451" s="391" t="s">
        <v>15334</v>
      </c>
      <c r="E451" s="328">
        <v>3108</v>
      </c>
      <c r="F451" s="329">
        <v>42982</v>
      </c>
      <c r="G451" s="328">
        <v>3108</v>
      </c>
      <c r="H451" s="347">
        <f t="shared" si="3"/>
        <v>0</v>
      </c>
      <c r="I451" s="331" t="s">
        <v>15214</v>
      </c>
    </row>
    <row r="452" spans="1:9" x14ac:dyDescent="0.25">
      <c r="A452" s="319">
        <v>42982</v>
      </c>
      <c r="B452" s="320" t="s">
        <v>28162</v>
      </c>
      <c r="C452" s="321">
        <v>126211</v>
      </c>
      <c r="D452" s="390" t="s">
        <v>15858</v>
      </c>
      <c r="E452" s="322">
        <v>2342.64</v>
      </c>
      <c r="F452" s="323">
        <v>42982</v>
      </c>
      <c r="G452" s="322">
        <v>2342.64</v>
      </c>
      <c r="H452" s="322">
        <f t="shared" si="3"/>
        <v>0</v>
      </c>
      <c r="I452" s="325" t="s">
        <v>15214</v>
      </c>
    </row>
    <row r="453" spans="1:9" x14ac:dyDescent="0.25">
      <c r="A453" s="359">
        <v>42982</v>
      </c>
      <c r="B453" s="326" t="s">
        <v>28163</v>
      </c>
      <c r="C453" s="327">
        <v>126212</v>
      </c>
      <c r="D453" s="391" t="s">
        <v>18544</v>
      </c>
      <c r="E453" s="328">
        <v>7134.4</v>
      </c>
      <c r="F453" s="329">
        <v>42982</v>
      </c>
      <c r="G453" s="328">
        <v>7134.4</v>
      </c>
      <c r="H453" s="347">
        <f t="shared" si="3"/>
        <v>0</v>
      </c>
      <c r="I453" s="331" t="s">
        <v>15214</v>
      </c>
    </row>
    <row r="454" spans="1:9" x14ac:dyDescent="0.25">
      <c r="A454" s="319">
        <v>42982</v>
      </c>
      <c r="B454" s="320" t="s">
        <v>28164</v>
      </c>
      <c r="C454" s="321">
        <v>126213</v>
      </c>
      <c r="D454" s="390" t="s">
        <v>15324</v>
      </c>
      <c r="E454" s="322">
        <v>1149</v>
      </c>
      <c r="F454" s="323">
        <v>42982</v>
      </c>
      <c r="G454" s="322">
        <v>1149</v>
      </c>
      <c r="H454" s="322">
        <f t="shared" si="3"/>
        <v>0</v>
      </c>
      <c r="I454" s="325" t="s">
        <v>15214</v>
      </c>
    </row>
    <row r="455" spans="1:9" x14ac:dyDescent="0.25">
      <c r="A455" s="359">
        <v>42982</v>
      </c>
      <c r="B455" s="326" t="s">
        <v>28165</v>
      </c>
      <c r="C455" s="327">
        <v>126214</v>
      </c>
      <c r="D455" s="391" t="s">
        <v>15748</v>
      </c>
      <c r="E455" s="328">
        <v>1212.5999999999999</v>
      </c>
      <c r="F455" s="329">
        <v>42982</v>
      </c>
      <c r="G455" s="328">
        <v>1212.5999999999999</v>
      </c>
      <c r="H455" s="347">
        <f t="shared" si="3"/>
        <v>0</v>
      </c>
      <c r="I455" s="331" t="s">
        <v>15214</v>
      </c>
    </row>
    <row r="456" spans="1:9" x14ac:dyDescent="0.25">
      <c r="A456" s="319">
        <v>42982</v>
      </c>
      <c r="B456" s="320" t="s">
        <v>28166</v>
      </c>
      <c r="C456" s="321">
        <v>126215</v>
      </c>
      <c r="D456" s="390" t="s">
        <v>15223</v>
      </c>
      <c r="E456" s="322">
        <v>59710.9</v>
      </c>
      <c r="F456" s="363">
        <v>43010</v>
      </c>
      <c r="G456" s="155">
        <v>59710.9</v>
      </c>
      <c r="H456" s="322">
        <f t="shared" si="3"/>
        <v>0</v>
      </c>
      <c r="I456" s="325" t="s">
        <v>15214</v>
      </c>
    </row>
    <row r="457" spans="1:9" x14ac:dyDescent="0.25">
      <c r="A457" s="359">
        <v>42982</v>
      </c>
      <c r="B457" s="326" t="s">
        <v>28167</v>
      </c>
      <c r="C457" s="327">
        <v>126216</v>
      </c>
      <c r="D457" s="391" t="s">
        <v>15340</v>
      </c>
      <c r="E457" s="328">
        <v>2940</v>
      </c>
      <c r="F457" s="329">
        <v>42982</v>
      </c>
      <c r="G457" s="328">
        <v>2940</v>
      </c>
      <c r="H457" s="347">
        <f t="shared" si="3"/>
        <v>0</v>
      </c>
      <c r="I457" s="331" t="s">
        <v>15214</v>
      </c>
    </row>
    <row r="458" spans="1:9" x14ac:dyDescent="0.25">
      <c r="A458" s="319">
        <v>42982</v>
      </c>
      <c r="B458" s="320" t="s">
        <v>28168</v>
      </c>
      <c r="C458" s="321">
        <v>126217</v>
      </c>
      <c r="D458" s="390" t="s">
        <v>15596</v>
      </c>
      <c r="E458" s="322">
        <v>980</v>
      </c>
      <c r="F458" s="323">
        <v>42982</v>
      </c>
      <c r="G458" s="322">
        <v>980</v>
      </c>
      <c r="H458" s="322">
        <f t="shared" si="3"/>
        <v>0</v>
      </c>
      <c r="I458" s="325" t="s">
        <v>15214</v>
      </c>
    </row>
    <row r="459" spans="1:9" x14ac:dyDescent="0.25">
      <c r="A459" s="359">
        <v>42982</v>
      </c>
      <c r="B459" s="326" t="s">
        <v>28169</v>
      </c>
      <c r="C459" s="327">
        <v>126218</v>
      </c>
      <c r="D459" s="391" t="s">
        <v>15242</v>
      </c>
      <c r="E459" s="328">
        <v>4611.2</v>
      </c>
      <c r="F459" s="329">
        <v>42982</v>
      </c>
      <c r="G459" s="328">
        <v>4611.2</v>
      </c>
      <c r="H459" s="347">
        <f t="shared" si="3"/>
        <v>0</v>
      </c>
      <c r="I459" s="331" t="s">
        <v>15214</v>
      </c>
    </row>
    <row r="460" spans="1:9" x14ac:dyDescent="0.25">
      <c r="A460" s="319">
        <v>42982</v>
      </c>
      <c r="B460" s="320" t="s">
        <v>28170</v>
      </c>
      <c r="C460" s="321">
        <v>126219</v>
      </c>
      <c r="D460" s="390" t="s">
        <v>15315</v>
      </c>
      <c r="E460" s="322">
        <v>998.5</v>
      </c>
      <c r="F460" s="323">
        <v>42982</v>
      </c>
      <c r="G460" s="322">
        <v>998.5</v>
      </c>
      <c r="H460" s="322">
        <f t="shared" si="3"/>
        <v>0</v>
      </c>
      <c r="I460" s="325" t="s">
        <v>15214</v>
      </c>
    </row>
    <row r="461" spans="1:9" x14ac:dyDescent="0.25">
      <c r="A461" s="359">
        <v>42982</v>
      </c>
      <c r="B461" s="326" t="s">
        <v>28171</v>
      </c>
      <c r="C461" s="327">
        <v>126220</v>
      </c>
      <c r="D461" s="391" t="s">
        <v>15286</v>
      </c>
      <c r="E461" s="328">
        <v>1370.4</v>
      </c>
      <c r="F461" s="329">
        <v>42982</v>
      </c>
      <c r="G461" s="328">
        <v>1370.4</v>
      </c>
      <c r="H461" s="347">
        <f t="shared" si="3"/>
        <v>0</v>
      </c>
      <c r="I461" s="331" t="s">
        <v>15214</v>
      </c>
    </row>
    <row r="462" spans="1:9" x14ac:dyDescent="0.25">
      <c r="A462" s="319">
        <v>42982</v>
      </c>
      <c r="B462" s="320" t="s">
        <v>28172</v>
      </c>
      <c r="C462" s="321">
        <v>126221</v>
      </c>
      <c r="D462" s="390" t="s">
        <v>15642</v>
      </c>
      <c r="E462" s="322">
        <v>3601.5</v>
      </c>
      <c r="F462" s="323">
        <v>42982</v>
      </c>
      <c r="G462" s="322">
        <v>3601.5</v>
      </c>
      <c r="H462" s="322">
        <f t="shared" si="3"/>
        <v>0</v>
      </c>
      <c r="I462" s="325" t="s">
        <v>15214</v>
      </c>
    </row>
    <row r="463" spans="1:9" ht="15.75" x14ac:dyDescent="0.25">
      <c r="A463" s="359">
        <v>42982</v>
      </c>
      <c r="B463" s="326" t="s">
        <v>28173</v>
      </c>
      <c r="C463" s="327">
        <v>126222</v>
      </c>
      <c r="D463" s="345" t="s">
        <v>95</v>
      </c>
      <c r="E463" s="328">
        <v>0</v>
      </c>
      <c r="F463" s="346" t="s">
        <v>95</v>
      </c>
      <c r="G463" s="328">
        <v>0</v>
      </c>
      <c r="H463" s="347">
        <f t="shared" si="3"/>
        <v>0</v>
      </c>
      <c r="I463" s="331" t="s">
        <v>95</v>
      </c>
    </row>
    <row r="464" spans="1:9" x14ac:dyDescent="0.25">
      <c r="A464" s="319">
        <v>42982</v>
      </c>
      <c r="B464" s="320" t="s">
        <v>28174</v>
      </c>
      <c r="C464" s="321">
        <v>126223</v>
      </c>
      <c r="D464" s="390" t="s">
        <v>15213</v>
      </c>
      <c r="E464" s="322">
        <v>3252</v>
      </c>
      <c r="F464" s="323">
        <v>42984</v>
      </c>
      <c r="G464" s="322">
        <v>3252</v>
      </c>
      <c r="H464" s="322">
        <f t="shared" si="3"/>
        <v>0</v>
      </c>
      <c r="I464" s="325" t="s">
        <v>15214</v>
      </c>
    </row>
    <row r="465" spans="1:9" ht="30" x14ac:dyDescent="0.25">
      <c r="A465" s="359">
        <v>42982</v>
      </c>
      <c r="B465" s="326" t="s">
        <v>28175</v>
      </c>
      <c r="C465" s="327">
        <v>126224</v>
      </c>
      <c r="D465" s="391" t="s">
        <v>15246</v>
      </c>
      <c r="E465" s="328">
        <v>358286.9</v>
      </c>
      <c r="F465" s="329" t="s">
        <v>28176</v>
      </c>
      <c r="G465" s="328">
        <f>260831.8+97455.1</f>
        <v>358286.9</v>
      </c>
      <c r="H465" s="347">
        <f t="shared" si="3"/>
        <v>0</v>
      </c>
      <c r="I465" s="331" t="s">
        <v>15214</v>
      </c>
    </row>
    <row r="466" spans="1:9" x14ac:dyDescent="0.25">
      <c r="A466" s="319">
        <v>42982</v>
      </c>
      <c r="B466" s="320" t="s">
        <v>28177</v>
      </c>
      <c r="C466" s="321">
        <v>126225</v>
      </c>
      <c r="D466" s="390" t="s">
        <v>15246</v>
      </c>
      <c r="E466" s="322">
        <v>14977</v>
      </c>
      <c r="F466" s="323">
        <v>42987</v>
      </c>
      <c r="G466" s="322">
        <v>14977</v>
      </c>
      <c r="H466" s="322">
        <f t="shared" si="3"/>
        <v>0</v>
      </c>
      <c r="I466" s="325" t="s">
        <v>15214</v>
      </c>
    </row>
    <row r="467" spans="1:9" x14ac:dyDescent="0.25">
      <c r="A467" s="359">
        <v>42982</v>
      </c>
      <c r="B467" s="326" t="s">
        <v>28178</v>
      </c>
      <c r="C467" s="327">
        <v>126226</v>
      </c>
      <c r="D467" s="391" t="s">
        <v>28179</v>
      </c>
      <c r="E467" s="328">
        <v>1470</v>
      </c>
      <c r="F467" s="329">
        <v>42982</v>
      </c>
      <c r="G467" s="328">
        <v>1470</v>
      </c>
      <c r="H467" s="347">
        <f t="shared" si="3"/>
        <v>0</v>
      </c>
      <c r="I467" s="331" t="s">
        <v>15214</v>
      </c>
    </row>
    <row r="468" spans="1:9" ht="15.75" x14ac:dyDescent="0.25">
      <c r="A468" s="319">
        <v>42982</v>
      </c>
      <c r="B468" s="320" t="s">
        <v>28180</v>
      </c>
      <c r="C468" s="321">
        <v>126227</v>
      </c>
      <c r="D468" s="332" t="s">
        <v>95</v>
      </c>
      <c r="E468" s="322">
        <v>0</v>
      </c>
      <c r="F468" s="333" t="s">
        <v>95</v>
      </c>
      <c r="G468" s="322">
        <v>0</v>
      </c>
      <c r="H468" s="322">
        <f t="shared" si="3"/>
        <v>0</v>
      </c>
      <c r="I468" s="325" t="s">
        <v>95</v>
      </c>
    </row>
    <row r="469" spans="1:9" x14ac:dyDescent="0.25">
      <c r="A469" s="359">
        <v>42982</v>
      </c>
      <c r="B469" s="326" t="s">
        <v>28181</v>
      </c>
      <c r="C469" s="327">
        <v>126228</v>
      </c>
      <c r="D469" s="391" t="s">
        <v>15234</v>
      </c>
      <c r="E469" s="328">
        <v>3388</v>
      </c>
      <c r="F469" s="329">
        <v>42984</v>
      </c>
      <c r="G469" s="328">
        <v>3388</v>
      </c>
      <c r="H469" s="347">
        <f t="shared" si="3"/>
        <v>0</v>
      </c>
      <c r="I469" s="331" t="s">
        <v>15214</v>
      </c>
    </row>
    <row r="470" spans="1:9" x14ac:dyDescent="0.25">
      <c r="A470" s="319">
        <v>42982</v>
      </c>
      <c r="B470" s="320" t="s">
        <v>28182</v>
      </c>
      <c r="C470" s="321">
        <v>126229</v>
      </c>
      <c r="D470" s="390" t="s">
        <v>15624</v>
      </c>
      <c r="E470" s="322">
        <v>35918.28</v>
      </c>
      <c r="F470" s="323">
        <v>42986</v>
      </c>
      <c r="G470" s="322">
        <v>35918.28</v>
      </c>
      <c r="H470" s="322">
        <f t="shared" si="3"/>
        <v>0</v>
      </c>
      <c r="I470" s="325" t="s">
        <v>15214</v>
      </c>
    </row>
    <row r="471" spans="1:9" x14ac:dyDescent="0.25">
      <c r="A471" s="359">
        <v>42982</v>
      </c>
      <c r="B471" s="326" t="s">
        <v>28183</v>
      </c>
      <c r="C471" s="327">
        <v>126230</v>
      </c>
      <c r="D471" s="391" t="s">
        <v>15298</v>
      </c>
      <c r="E471" s="328">
        <v>14834.8</v>
      </c>
      <c r="F471" s="329">
        <v>42986</v>
      </c>
      <c r="G471" s="328">
        <v>14834.8</v>
      </c>
      <c r="H471" s="347">
        <f t="shared" si="3"/>
        <v>0</v>
      </c>
      <c r="I471" s="331" t="s">
        <v>15214</v>
      </c>
    </row>
    <row r="472" spans="1:9" x14ac:dyDescent="0.25">
      <c r="A472" s="319">
        <v>42982</v>
      </c>
      <c r="B472" s="320" t="s">
        <v>28184</v>
      </c>
      <c r="C472" s="321">
        <v>126231</v>
      </c>
      <c r="D472" s="390" t="s">
        <v>15868</v>
      </c>
      <c r="E472" s="322">
        <v>11164.7</v>
      </c>
      <c r="F472" s="323">
        <v>42983</v>
      </c>
      <c r="G472" s="322">
        <v>11164.7</v>
      </c>
      <c r="H472" s="322">
        <f t="shared" si="3"/>
        <v>0</v>
      </c>
      <c r="I472" s="325" t="s">
        <v>15214</v>
      </c>
    </row>
    <row r="473" spans="1:9" x14ac:dyDescent="0.25">
      <c r="A473" s="359">
        <v>42982</v>
      </c>
      <c r="B473" s="326" t="s">
        <v>28185</v>
      </c>
      <c r="C473" s="327">
        <v>126232</v>
      </c>
      <c r="D473" s="391" t="s">
        <v>15363</v>
      </c>
      <c r="E473" s="328">
        <v>744</v>
      </c>
      <c r="F473" s="329">
        <v>42983</v>
      </c>
      <c r="G473" s="328">
        <v>744</v>
      </c>
      <c r="H473" s="347">
        <f t="shared" si="3"/>
        <v>0</v>
      </c>
      <c r="I473" s="331" t="s">
        <v>15214</v>
      </c>
    </row>
    <row r="474" spans="1:9" x14ac:dyDescent="0.25">
      <c r="A474" s="319">
        <v>42982</v>
      </c>
      <c r="B474" s="320" t="s">
        <v>28186</v>
      </c>
      <c r="C474" s="321">
        <v>126233</v>
      </c>
      <c r="D474" s="390" t="s">
        <v>15363</v>
      </c>
      <c r="E474" s="322">
        <v>277.2</v>
      </c>
      <c r="F474" s="323">
        <v>42983</v>
      </c>
      <c r="G474" s="322">
        <v>277.2</v>
      </c>
      <c r="H474" s="322">
        <f t="shared" si="3"/>
        <v>0</v>
      </c>
      <c r="I474" s="325" t="s">
        <v>15214</v>
      </c>
    </row>
    <row r="475" spans="1:9" x14ac:dyDescent="0.25">
      <c r="A475" s="359">
        <v>42982</v>
      </c>
      <c r="B475" s="326" t="s">
        <v>28187</v>
      </c>
      <c r="C475" s="327">
        <v>126234</v>
      </c>
      <c r="D475" s="391" t="s">
        <v>15404</v>
      </c>
      <c r="E475" s="328">
        <v>11316</v>
      </c>
      <c r="F475" s="329">
        <v>42984</v>
      </c>
      <c r="G475" s="328">
        <v>11316</v>
      </c>
      <c r="H475" s="347">
        <f t="shared" si="3"/>
        <v>0</v>
      </c>
      <c r="I475" s="331" t="s">
        <v>15214</v>
      </c>
    </row>
    <row r="476" spans="1:9" x14ac:dyDescent="0.25">
      <c r="A476" s="319">
        <v>42982</v>
      </c>
      <c r="B476" s="320" t="s">
        <v>28188</v>
      </c>
      <c r="C476" s="321">
        <v>126235</v>
      </c>
      <c r="D476" s="390" t="s">
        <v>5880</v>
      </c>
      <c r="E476" s="322">
        <v>31993.599999999999</v>
      </c>
      <c r="F476" s="323">
        <v>42983</v>
      </c>
      <c r="G476" s="322">
        <v>31993.599999999999</v>
      </c>
      <c r="H476" s="322">
        <f t="shared" si="3"/>
        <v>0</v>
      </c>
      <c r="I476" s="325" t="s">
        <v>15214</v>
      </c>
    </row>
    <row r="477" spans="1:9" x14ac:dyDescent="0.25">
      <c r="A477" s="359">
        <v>42982</v>
      </c>
      <c r="B477" s="326" t="s">
        <v>28189</v>
      </c>
      <c r="C477" s="327">
        <v>126236</v>
      </c>
      <c r="D477" s="391" t="s">
        <v>15391</v>
      </c>
      <c r="E477" s="328">
        <v>6859.8</v>
      </c>
      <c r="F477" s="329">
        <v>42984</v>
      </c>
      <c r="G477" s="328">
        <v>6859.8</v>
      </c>
      <c r="H477" s="347">
        <f t="shared" si="3"/>
        <v>0</v>
      </c>
      <c r="I477" s="331" t="s">
        <v>15214</v>
      </c>
    </row>
    <row r="478" spans="1:9" x14ac:dyDescent="0.25">
      <c r="A478" s="319">
        <v>42982</v>
      </c>
      <c r="B478" s="320" t="s">
        <v>28190</v>
      </c>
      <c r="C478" s="321">
        <v>126237</v>
      </c>
      <c r="D478" s="390" t="s">
        <v>15387</v>
      </c>
      <c r="E478" s="322">
        <v>1440</v>
      </c>
      <c r="F478" s="323">
        <v>42983</v>
      </c>
      <c r="G478" s="322">
        <v>1440</v>
      </c>
      <c r="H478" s="322">
        <f t="shared" si="3"/>
        <v>0</v>
      </c>
      <c r="I478" s="325" t="s">
        <v>15214</v>
      </c>
    </row>
    <row r="479" spans="1:9" x14ac:dyDescent="0.25">
      <c r="A479" s="359">
        <v>42982</v>
      </c>
      <c r="B479" s="326" t="s">
        <v>28191</v>
      </c>
      <c r="C479" s="327">
        <v>126238</v>
      </c>
      <c r="D479" s="391" t="s">
        <v>15246</v>
      </c>
      <c r="E479" s="328">
        <v>18701.8</v>
      </c>
      <c r="F479" s="329">
        <v>42987</v>
      </c>
      <c r="G479" s="328">
        <v>18701.8</v>
      </c>
      <c r="H479" s="347">
        <f t="shared" si="3"/>
        <v>0</v>
      </c>
      <c r="I479" s="331" t="s">
        <v>15214</v>
      </c>
    </row>
    <row r="480" spans="1:9" x14ac:dyDescent="0.25">
      <c r="A480" s="319">
        <v>42982</v>
      </c>
      <c r="B480" s="320" t="s">
        <v>28192</v>
      </c>
      <c r="C480" s="321">
        <v>126239</v>
      </c>
      <c r="D480" s="390" t="s">
        <v>15423</v>
      </c>
      <c r="E480" s="322">
        <v>6441.8</v>
      </c>
      <c r="F480" s="323">
        <v>42982</v>
      </c>
      <c r="G480" s="322">
        <v>6441.8</v>
      </c>
      <c r="H480" s="322">
        <f t="shared" si="3"/>
        <v>0</v>
      </c>
      <c r="I480" s="325" t="s">
        <v>15214</v>
      </c>
    </row>
    <row r="481" spans="1:9" x14ac:dyDescent="0.25">
      <c r="A481" s="359">
        <v>42982</v>
      </c>
      <c r="B481" s="326" t="s">
        <v>28193</v>
      </c>
      <c r="C481" s="327">
        <v>126240</v>
      </c>
      <c r="D481" s="391" t="s">
        <v>15433</v>
      </c>
      <c r="E481" s="328">
        <v>1283.2</v>
      </c>
      <c r="F481" s="329">
        <v>42982</v>
      </c>
      <c r="G481" s="328">
        <v>1283.2</v>
      </c>
      <c r="H481" s="347">
        <f t="shared" si="3"/>
        <v>0</v>
      </c>
      <c r="I481" s="331" t="s">
        <v>15214</v>
      </c>
    </row>
    <row r="482" spans="1:9" ht="15.75" x14ac:dyDescent="0.25">
      <c r="A482" s="319">
        <v>42982</v>
      </c>
      <c r="B482" s="320" t="s">
        <v>28194</v>
      </c>
      <c r="C482" s="321">
        <v>126241</v>
      </c>
      <c r="D482" s="332" t="s">
        <v>95</v>
      </c>
      <c r="E482" s="322">
        <v>0</v>
      </c>
      <c r="F482" s="333" t="s">
        <v>95</v>
      </c>
      <c r="G482" s="322">
        <v>0</v>
      </c>
      <c r="H482" s="322">
        <f t="shared" si="3"/>
        <v>0</v>
      </c>
      <c r="I482" s="325" t="s">
        <v>95</v>
      </c>
    </row>
    <row r="483" spans="1:9" x14ac:dyDescent="0.25">
      <c r="A483" s="359">
        <v>42982</v>
      </c>
      <c r="B483" s="326" t="s">
        <v>28195</v>
      </c>
      <c r="C483" s="327">
        <v>126242</v>
      </c>
      <c r="D483" s="391" t="s">
        <v>15365</v>
      </c>
      <c r="E483" s="328">
        <v>434250</v>
      </c>
      <c r="F483" s="329">
        <v>42992</v>
      </c>
      <c r="G483" s="328">
        <v>434250</v>
      </c>
      <c r="H483" s="347">
        <f t="shared" si="3"/>
        <v>0</v>
      </c>
      <c r="I483" s="331" t="s">
        <v>15214</v>
      </c>
    </row>
    <row r="484" spans="1:9" x14ac:dyDescent="0.25">
      <c r="A484" s="319">
        <v>42982</v>
      </c>
      <c r="B484" s="320" t="s">
        <v>28196</v>
      </c>
      <c r="C484" s="321">
        <v>126243</v>
      </c>
      <c r="D484" s="390" t="s">
        <v>15365</v>
      </c>
      <c r="E484" s="322">
        <v>454238</v>
      </c>
      <c r="F484" s="323">
        <v>42984</v>
      </c>
      <c r="G484" s="322">
        <v>454238</v>
      </c>
      <c r="H484" s="322">
        <f t="shared" si="3"/>
        <v>0</v>
      </c>
      <c r="I484" s="325" t="s">
        <v>15214</v>
      </c>
    </row>
    <row r="485" spans="1:9" x14ac:dyDescent="0.25">
      <c r="A485" s="359">
        <v>42982</v>
      </c>
      <c r="B485" s="326" t="s">
        <v>28197</v>
      </c>
      <c r="C485" s="327">
        <v>126244</v>
      </c>
      <c r="D485" s="391" t="s">
        <v>19699</v>
      </c>
      <c r="E485" s="328">
        <v>1715</v>
      </c>
      <c r="F485" s="329">
        <v>42982</v>
      </c>
      <c r="G485" s="328">
        <v>1715</v>
      </c>
      <c r="H485" s="347">
        <f t="shared" si="3"/>
        <v>0</v>
      </c>
      <c r="I485" s="331" t="s">
        <v>15214</v>
      </c>
    </row>
    <row r="486" spans="1:9" x14ac:dyDescent="0.25">
      <c r="A486" s="319">
        <v>42982</v>
      </c>
      <c r="B486" s="320" t="s">
        <v>28198</v>
      </c>
      <c r="C486" s="321">
        <v>126245</v>
      </c>
      <c r="D486" s="390" t="s">
        <v>19699</v>
      </c>
      <c r="E486" s="322">
        <v>1470</v>
      </c>
      <c r="F486" s="323">
        <v>42982</v>
      </c>
      <c r="G486" s="322">
        <v>1470</v>
      </c>
      <c r="H486" s="322">
        <f t="shared" si="3"/>
        <v>0</v>
      </c>
      <c r="I486" s="325" t="s">
        <v>15214</v>
      </c>
    </row>
    <row r="487" spans="1:9" x14ac:dyDescent="0.25">
      <c r="A487" s="359">
        <v>42982</v>
      </c>
      <c r="B487" s="326" t="s">
        <v>28199</v>
      </c>
      <c r="C487" s="327">
        <v>126246</v>
      </c>
      <c r="D487" s="391" t="s">
        <v>15442</v>
      </c>
      <c r="E487" s="328">
        <v>16008</v>
      </c>
      <c r="F487" s="329">
        <v>42987</v>
      </c>
      <c r="G487" s="328">
        <v>16008</v>
      </c>
      <c r="H487" s="347">
        <f t="shared" si="3"/>
        <v>0</v>
      </c>
      <c r="I487" s="331" t="s">
        <v>15214</v>
      </c>
    </row>
    <row r="488" spans="1:9" x14ac:dyDescent="0.25">
      <c r="A488" s="319">
        <v>42982</v>
      </c>
      <c r="B488" s="320" t="s">
        <v>28200</v>
      </c>
      <c r="C488" s="321">
        <v>126247</v>
      </c>
      <c r="D488" s="390" t="s">
        <v>15276</v>
      </c>
      <c r="E488" s="322">
        <v>3920</v>
      </c>
      <c r="F488" s="323">
        <v>42983</v>
      </c>
      <c r="G488" s="322">
        <v>3920</v>
      </c>
      <c r="H488" s="322">
        <f t="shared" si="3"/>
        <v>0</v>
      </c>
      <c r="I488" s="325" t="s">
        <v>15214</v>
      </c>
    </row>
    <row r="489" spans="1:9" x14ac:dyDescent="0.25">
      <c r="A489" s="359">
        <v>42982</v>
      </c>
      <c r="B489" s="326" t="s">
        <v>28201</v>
      </c>
      <c r="C489" s="327">
        <v>126248</v>
      </c>
      <c r="D489" s="391" t="s">
        <v>15417</v>
      </c>
      <c r="E489" s="328">
        <v>3758.4</v>
      </c>
      <c r="F489" s="329">
        <v>42983</v>
      </c>
      <c r="G489" s="328">
        <v>3758.4</v>
      </c>
      <c r="H489" s="347">
        <f t="shared" si="3"/>
        <v>0</v>
      </c>
      <c r="I489" s="331" t="s">
        <v>15214</v>
      </c>
    </row>
    <row r="490" spans="1:9" x14ac:dyDescent="0.25">
      <c r="A490" s="319">
        <v>42982</v>
      </c>
      <c r="B490" s="320" t="s">
        <v>28202</v>
      </c>
      <c r="C490" s="321">
        <v>126249</v>
      </c>
      <c r="D490" s="390" t="s">
        <v>15920</v>
      </c>
      <c r="E490" s="322">
        <v>25531.8</v>
      </c>
      <c r="F490" s="323">
        <v>42983</v>
      </c>
      <c r="G490" s="322">
        <v>25531.8</v>
      </c>
      <c r="H490" s="322">
        <f t="shared" si="3"/>
        <v>0</v>
      </c>
      <c r="I490" s="325" t="s">
        <v>15214</v>
      </c>
    </row>
    <row r="491" spans="1:9" x14ac:dyDescent="0.25">
      <c r="A491" s="359">
        <v>42982</v>
      </c>
      <c r="B491" s="326" t="s">
        <v>28203</v>
      </c>
      <c r="C491" s="327">
        <v>126250</v>
      </c>
      <c r="D491" s="391" t="s">
        <v>17458</v>
      </c>
      <c r="E491" s="328">
        <v>744.6</v>
      </c>
      <c r="F491" s="329">
        <v>42983</v>
      </c>
      <c r="G491" s="328">
        <v>744.6</v>
      </c>
      <c r="H491" s="347">
        <f t="shared" si="3"/>
        <v>0</v>
      </c>
      <c r="I491" s="331" t="s">
        <v>15214</v>
      </c>
    </row>
    <row r="492" spans="1:9" x14ac:dyDescent="0.25">
      <c r="A492" s="319">
        <v>42982</v>
      </c>
      <c r="B492" s="320" t="s">
        <v>28204</v>
      </c>
      <c r="C492" s="321">
        <v>126251</v>
      </c>
      <c r="D492" s="390" t="s">
        <v>15930</v>
      </c>
      <c r="E492" s="322">
        <v>4134.3999999999996</v>
      </c>
      <c r="F492" s="323">
        <v>42983</v>
      </c>
      <c r="G492" s="322">
        <v>4134.3999999999996</v>
      </c>
      <c r="H492" s="322">
        <f t="shared" si="3"/>
        <v>0</v>
      </c>
      <c r="I492" s="325" t="s">
        <v>15214</v>
      </c>
    </row>
    <row r="493" spans="1:9" x14ac:dyDescent="0.25">
      <c r="A493" s="359">
        <v>42982</v>
      </c>
      <c r="B493" s="326" t="s">
        <v>28205</v>
      </c>
      <c r="C493" s="327">
        <v>126252</v>
      </c>
      <c r="D493" s="391" t="s">
        <v>15315</v>
      </c>
      <c r="E493" s="328">
        <v>54</v>
      </c>
      <c r="F493" s="329">
        <v>42982</v>
      </c>
      <c r="G493" s="328">
        <v>54</v>
      </c>
      <c r="H493" s="347">
        <f t="shared" si="3"/>
        <v>0</v>
      </c>
      <c r="I493" s="331" t="s">
        <v>15214</v>
      </c>
    </row>
    <row r="494" spans="1:9" x14ac:dyDescent="0.25">
      <c r="A494" s="319">
        <v>42982</v>
      </c>
      <c r="B494" s="320" t="s">
        <v>28206</v>
      </c>
      <c r="C494" s="321">
        <v>126253</v>
      </c>
      <c r="D494" s="390" t="s">
        <v>15936</v>
      </c>
      <c r="E494" s="322">
        <v>18154.8</v>
      </c>
      <c r="F494" s="323">
        <v>42982</v>
      </c>
      <c r="G494" s="322">
        <v>18154.8</v>
      </c>
      <c r="H494" s="322">
        <f t="shared" si="3"/>
        <v>0</v>
      </c>
      <c r="I494" s="325" t="s">
        <v>15214</v>
      </c>
    </row>
    <row r="495" spans="1:9" x14ac:dyDescent="0.25">
      <c r="A495" s="359">
        <v>42982</v>
      </c>
      <c r="B495" s="326" t="s">
        <v>28207</v>
      </c>
      <c r="C495" s="327">
        <v>126254</v>
      </c>
      <c r="D495" s="391" t="s">
        <v>15263</v>
      </c>
      <c r="E495" s="328">
        <v>1121.9000000000001</v>
      </c>
      <c r="F495" s="329">
        <v>42982</v>
      </c>
      <c r="G495" s="328">
        <v>1121.9000000000001</v>
      </c>
      <c r="H495" s="347">
        <f t="shared" si="3"/>
        <v>0</v>
      </c>
      <c r="I495" s="331" t="s">
        <v>15214</v>
      </c>
    </row>
    <row r="496" spans="1:9" x14ac:dyDescent="0.25">
      <c r="A496" s="319">
        <v>42982</v>
      </c>
      <c r="B496" s="320" t="s">
        <v>28208</v>
      </c>
      <c r="C496" s="321">
        <v>126255</v>
      </c>
      <c r="D496" s="390" t="s">
        <v>15444</v>
      </c>
      <c r="E496" s="322">
        <v>2358.1999999999998</v>
      </c>
      <c r="F496" s="323">
        <v>42983</v>
      </c>
      <c r="G496" s="322">
        <v>2358.1999999999998</v>
      </c>
      <c r="H496" s="322">
        <f t="shared" si="3"/>
        <v>0</v>
      </c>
      <c r="I496" s="325" t="s">
        <v>15214</v>
      </c>
    </row>
    <row r="497" spans="1:9" x14ac:dyDescent="0.25">
      <c r="A497" s="359">
        <v>42982</v>
      </c>
      <c r="B497" s="326" t="s">
        <v>28209</v>
      </c>
      <c r="C497" s="327">
        <v>126256</v>
      </c>
      <c r="D497" s="391" t="s">
        <v>16792</v>
      </c>
      <c r="E497" s="328">
        <v>2099.6</v>
      </c>
      <c r="F497" s="329">
        <v>42983</v>
      </c>
      <c r="G497" s="328">
        <v>2099.6</v>
      </c>
      <c r="H497" s="347">
        <f t="shared" ref="H497:H560" si="4">E497-G497</f>
        <v>0</v>
      </c>
      <c r="I497" s="331" t="s">
        <v>15214</v>
      </c>
    </row>
    <row r="498" spans="1:9" x14ac:dyDescent="0.25">
      <c r="A498" s="319">
        <v>42982</v>
      </c>
      <c r="B498" s="320" t="s">
        <v>28210</v>
      </c>
      <c r="C498" s="321">
        <v>126257</v>
      </c>
      <c r="D498" s="390" t="s">
        <v>15632</v>
      </c>
      <c r="E498" s="322">
        <v>21938.799999999999</v>
      </c>
      <c r="F498" s="323">
        <v>42984</v>
      </c>
      <c r="G498" s="322">
        <v>21938.799999999999</v>
      </c>
      <c r="H498" s="322">
        <f t="shared" si="4"/>
        <v>0</v>
      </c>
      <c r="I498" s="325" t="s">
        <v>15214</v>
      </c>
    </row>
    <row r="499" spans="1:9" x14ac:dyDescent="0.25">
      <c r="A499" s="359">
        <v>42982</v>
      </c>
      <c r="B499" s="326" t="s">
        <v>28211</v>
      </c>
      <c r="C499" s="327">
        <v>126258</v>
      </c>
      <c r="D499" s="391" t="s">
        <v>5883</v>
      </c>
      <c r="E499" s="328">
        <v>5466.3</v>
      </c>
      <c r="F499" s="329">
        <v>43011</v>
      </c>
      <c r="G499" s="328">
        <v>5466.3</v>
      </c>
      <c r="H499" s="347">
        <f t="shared" si="4"/>
        <v>0</v>
      </c>
      <c r="I499" s="331" t="s">
        <v>15214</v>
      </c>
    </row>
    <row r="500" spans="1:9" x14ac:dyDescent="0.25">
      <c r="A500" s="319">
        <v>42982</v>
      </c>
      <c r="B500" s="320" t="s">
        <v>28212</v>
      </c>
      <c r="C500" s="321">
        <v>126259</v>
      </c>
      <c r="D500" s="390" t="s">
        <v>15315</v>
      </c>
      <c r="E500" s="322">
        <v>4851.04</v>
      </c>
      <c r="F500" s="323">
        <v>43026</v>
      </c>
      <c r="G500" s="322">
        <v>4851.04</v>
      </c>
      <c r="H500" s="322">
        <f t="shared" si="4"/>
        <v>0</v>
      </c>
      <c r="I500" s="325" t="s">
        <v>15214</v>
      </c>
    </row>
    <row r="501" spans="1:9" x14ac:dyDescent="0.25">
      <c r="A501" s="359">
        <v>42982</v>
      </c>
      <c r="B501" s="326" t="s">
        <v>28213</v>
      </c>
      <c r="C501" s="327">
        <v>126260</v>
      </c>
      <c r="D501" s="391" t="s">
        <v>15246</v>
      </c>
      <c r="E501" s="328">
        <v>5327.4</v>
      </c>
      <c r="F501" s="329">
        <v>42987</v>
      </c>
      <c r="G501" s="328">
        <v>5327.4</v>
      </c>
      <c r="H501" s="347">
        <f t="shared" si="4"/>
        <v>0</v>
      </c>
      <c r="I501" s="331" t="s">
        <v>15214</v>
      </c>
    </row>
    <row r="502" spans="1:9" x14ac:dyDescent="0.25">
      <c r="A502" s="319">
        <v>42982</v>
      </c>
      <c r="B502" s="320" t="s">
        <v>28214</v>
      </c>
      <c r="C502" s="321">
        <v>126261</v>
      </c>
      <c r="D502" s="390" t="s">
        <v>15435</v>
      </c>
      <c r="E502" s="322">
        <v>7984.8</v>
      </c>
      <c r="F502" s="323">
        <v>42982</v>
      </c>
      <c r="G502" s="322">
        <v>7984.8</v>
      </c>
      <c r="H502" s="322">
        <f t="shared" si="4"/>
        <v>0</v>
      </c>
      <c r="I502" s="325" t="s">
        <v>15214</v>
      </c>
    </row>
    <row r="503" spans="1:9" x14ac:dyDescent="0.25">
      <c r="A503" s="359">
        <v>42982</v>
      </c>
      <c r="B503" s="326" t="s">
        <v>28215</v>
      </c>
      <c r="C503" s="327">
        <v>126262</v>
      </c>
      <c r="D503" s="391" t="s">
        <v>15246</v>
      </c>
      <c r="E503" s="328">
        <v>88025.8</v>
      </c>
      <c r="F503" s="329">
        <v>42987</v>
      </c>
      <c r="G503" s="328">
        <v>88025.8</v>
      </c>
      <c r="H503" s="347">
        <f t="shared" si="4"/>
        <v>0</v>
      </c>
      <c r="I503" s="331" t="s">
        <v>15214</v>
      </c>
    </row>
    <row r="504" spans="1:9" x14ac:dyDescent="0.25">
      <c r="A504" s="319">
        <v>42983</v>
      </c>
      <c r="B504" s="320" t="s">
        <v>28216</v>
      </c>
      <c r="C504" s="321">
        <v>126263</v>
      </c>
      <c r="D504" s="390" t="s">
        <v>21386</v>
      </c>
      <c r="E504" s="322">
        <v>11202.2</v>
      </c>
      <c r="F504" s="323">
        <v>42985</v>
      </c>
      <c r="G504" s="322">
        <v>11202.2</v>
      </c>
      <c r="H504" s="322">
        <f t="shared" si="4"/>
        <v>0</v>
      </c>
      <c r="I504" s="325" t="s">
        <v>15214</v>
      </c>
    </row>
    <row r="505" spans="1:9" x14ac:dyDescent="0.25">
      <c r="A505" s="359">
        <v>42983</v>
      </c>
      <c r="B505" s="326" t="s">
        <v>28217</v>
      </c>
      <c r="C505" s="327">
        <v>126264</v>
      </c>
      <c r="D505" s="391" t="s">
        <v>19302</v>
      </c>
      <c r="E505" s="328">
        <v>980</v>
      </c>
      <c r="F505" s="329">
        <v>42983</v>
      </c>
      <c r="G505" s="328">
        <v>980</v>
      </c>
      <c r="H505" s="347">
        <f t="shared" si="4"/>
        <v>0</v>
      </c>
      <c r="I505" s="331" t="s">
        <v>15214</v>
      </c>
    </row>
    <row r="506" spans="1:9" x14ac:dyDescent="0.25">
      <c r="A506" s="319">
        <v>42983</v>
      </c>
      <c r="B506" s="320" t="s">
        <v>28218</v>
      </c>
      <c r="C506" s="321">
        <v>126265</v>
      </c>
      <c r="D506" s="390" t="s">
        <v>15220</v>
      </c>
      <c r="E506" s="322">
        <v>1960</v>
      </c>
      <c r="F506" s="323">
        <v>42983</v>
      </c>
      <c r="G506" s="322">
        <v>1960</v>
      </c>
      <c r="H506" s="322">
        <f t="shared" si="4"/>
        <v>0</v>
      </c>
      <c r="I506" s="325" t="s">
        <v>15214</v>
      </c>
    </row>
    <row r="507" spans="1:9" x14ac:dyDescent="0.25">
      <c r="A507" s="359">
        <v>42983</v>
      </c>
      <c r="B507" s="326" t="s">
        <v>28219</v>
      </c>
      <c r="C507" s="327">
        <v>126266</v>
      </c>
      <c r="D507" s="391" t="s">
        <v>15213</v>
      </c>
      <c r="E507" s="328">
        <v>48952.35</v>
      </c>
      <c r="F507" s="329">
        <v>42986</v>
      </c>
      <c r="G507" s="328">
        <v>48952.35</v>
      </c>
      <c r="H507" s="347">
        <f t="shared" si="4"/>
        <v>0</v>
      </c>
      <c r="I507" s="331" t="s">
        <v>15214</v>
      </c>
    </row>
    <row r="508" spans="1:9" x14ac:dyDescent="0.25">
      <c r="A508" s="319">
        <v>42983</v>
      </c>
      <c r="B508" s="320" t="s">
        <v>28220</v>
      </c>
      <c r="C508" s="321">
        <v>126267</v>
      </c>
      <c r="D508" s="390" t="s">
        <v>15230</v>
      </c>
      <c r="E508" s="322">
        <v>10157.4</v>
      </c>
      <c r="F508" s="323">
        <v>42985</v>
      </c>
      <c r="G508" s="322">
        <v>10157.4</v>
      </c>
      <c r="H508" s="322">
        <f t="shared" si="4"/>
        <v>0</v>
      </c>
      <c r="I508" s="325" t="s">
        <v>15214</v>
      </c>
    </row>
    <row r="509" spans="1:9" x14ac:dyDescent="0.25">
      <c r="A509" s="359">
        <v>42983</v>
      </c>
      <c r="B509" s="326" t="s">
        <v>28221</v>
      </c>
      <c r="C509" s="327">
        <v>126268</v>
      </c>
      <c r="D509" s="391" t="s">
        <v>15232</v>
      </c>
      <c r="E509" s="328">
        <v>9549.9</v>
      </c>
      <c r="F509" s="329">
        <v>42987</v>
      </c>
      <c r="G509" s="328">
        <v>9549.9</v>
      </c>
      <c r="H509" s="347">
        <f t="shared" si="4"/>
        <v>0</v>
      </c>
      <c r="I509" s="331" t="s">
        <v>15214</v>
      </c>
    </row>
    <row r="510" spans="1:9" x14ac:dyDescent="0.25">
      <c r="A510" s="319">
        <v>42983</v>
      </c>
      <c r="B510" s="320" t="s">
        <v>28222</v>
      </c>
      <c r="C510" s="321">
        <v>126269</v>
      </c>
      <c r="D510" s="390" t="s">
        <v>15258</v>
      </c>
      <c r="E510" s="322">
        <v>7971.1</v>
      </c>
      <c r="F510" s="323">
        <v>42984</v>
      </c>
      <c r="G510" s="322">
        <v>7971.1</v>
      </c>
      <c r="H510" s="322">
        <f t="shared" si="4"/>
        <v>0</v>
      </c>
      <c r="I510" s="325" t="s">
        <v>15214</v>
      </c>
    </row>
    <row r="511" spans="1:9" x14ac:dyDescent="0.25">
      <c r="A511" s="359">
        <v>42983</v>
      </c>
      <c r="B511" s="326" t="s">
        <v>28223</v>
      </c>
      <c r="C511" s="327">
        <v>126270</v>
      </c>
      <c r="D511" s="391" t="s">
        <v>15242</v>
      </c>
      <c r="E511" s="328">
        <v>4866.8</v>
      </c>
      <c r="F511" s="329">
        <v>42984</v>
      </c>
      <c r="G511" s="328">
        <v>4866.8</v>
      </c>
      <c r="H511" s="347">
        <f t="shared" si="4"/>
        <v>0</v>
      </c>
      <c r="I511" s="331" t="s">
        <v>15214</v>
      </c>
    </row>
    <row r="512" spans="1:9" x14ac:dyDescent="0.25">
      <c r="A512" s="319">
        <v>42983</v>
      </c>
      <c r="B512" s="320" t="s">
        <v>28224</v>
      </c>
      <c r="C512" s="321">
        <v>126271</v>
      </c>
      <c r="D512" s="390" t="s">
        <v>15234</v>
      </c>
      <c r="E512" s="322">
        <v>3807.8</v>
      </c>
      <c r="F512" s="323">
        <v>42985</v>
      </c>
      <c r="G512" s="322">
        <v>3807.8</v>
      </c>
      <c r="H512" s="322">
        <f t="shared" si="4"/>
        <v>0</v>
      </c>
      <c r="I512" s="325" t="s">
        <v>15214</v>
      </c>
    </row>
    <row r="513" spans="1:9" x14ac:dyDescent="0.25">
      <c r="A513" s="359">
        <v>42983</v>
      </c>
      <c r="B513" s="326" t="s">
        <v>28225</v>
      </c>
      <c r="C513" s="327">
        <v>126272</v>
      </c>
      <c r="D513" s="391" t="s">
        <v>15223</v>
      </c>
      <c r="E513" s="328">
        <v>51805.2</v>
      </c>
      <c r="F513" s="329">
        <v>43010</v>
      </c>
      <c r="G513" s="328">
        <v>51805.2</v>
      </c>
      <c r="H513" s="347">
        <f t="shared" si="4"/>
        <v>0</v>
      </c>
      <c r="I513" s="331" t="s">
        <v>15214</v>
      </c>
    </row>
    <row r="514" spans="1:9" x14ac:dyDescent="0.25">
      <c r="A514" s="319">
        <v>42983</v>
      </c>
      <c r="B514" s="320" t="s">
        <v>28226</v>
      </c>
      <c r="C514" s="321">
        <v>126273</v>
      </c>
      <c r="D514" s="390" t="s">
        <v>15818</v>
      </c>
      <c r="E514" s="322">
        <v>5596.2</v>
      </c>
      <c r="F514" s="323">
        <v>42983</v>
      </c>
      <c r="G514" s="322">
        <v>5596.2</v>
      </c>
      <c r="H514" s="322">
        <f t="shared" si="4"/>
        <v>0</v>
      </c>
      <c r="I514" s="325" t="s">
        <v>15214</v>
      </c>
    </row>
    <row r="515" spans="1:9" x14ac:dyDescent="0.25">
      <c r="A515" s="359">
        <v>42983</v>
      </c>
      <c r="B515" s="326" t="s">
        <v>28227</v>
      </c>
      <c r="C515" s="327">
        <v>126274</v>
      </c>
      <c r="D515" s="391" t="s">
        <v>15248</v>
      </c>
      <c r="E515" s="328">
        <v>32324.12</v>
      </c>
      <c r="F515" s="329">
        <v>42983</v>
      </c>
      <c r="G515" s="328">
        <v>32324.12</v>
      </c>
      <c r="H515" s="347">
        <f t="shared" si="4"/>
        <v>0</v>
      </c>
      <c r="I515" s="331" t="s">
        <v>15214</v>
      </c>
    </row>
    <row r="516" spans="1:9" x14ac:dyDescent="0.25">
      <c r="A516" s="319">
        <v>42983</v>
      </c>
      <c r="B516" s="320" t="s">
        <v>28228</v>
      </c>
      <c r="C516" s="321">
        <v>126275</v>
      </c>
      <c r="D516" s="390" t="s">
        <v>15315</v>
      </c>
      <c r="E516" s="322">
        <v>3763</v>
      </c>
      <c r="F516" s="323">
        <v>42983</v>
      </c>
      <c r="G516" s="322">
        <v>3763</v>
      </c>
      <c r="H516" s="322">
        <f t="shared" si="4"/>
        <v>0</v>
      </c>
      <c r="I516" s="325" t="s">
        <v>15214</v>
      </c>
    </row>
    <row r="517" spans="1:9" x14ac:dyDescent="0.25">
      <c r="A517" s="359">
        <v>42983</v>
      </c>
      <c r="B517" s="326" t="s">
        <v>28229</v>
      </c>
      <c r="C517" s="327">
        <v>126276</v>
      </c>
      <c r="D517" s="391" t="s">
        <v>15668</v>
      </c>
      <c r="E517" s="328">
        <v>14085.7</v>
      </c>
      <c r="F517" s="329">
        <v>42984</v>
      </c>
      <c r="G517" s="328">
        <v>14085.7</v>
      </c>
      <c r="H517" s="347">
        <f t="shared" si="4"/>
        <v>0</v>
      </c>
      <c r="I517" s="331" t="s">
        <v>15214</v>
      </c>
    </row>
    <row r="518" spans="1:9" x14ac:dyDescent="0.25">
      <c r="A518" s="319">
        <v>42983</v>
      </c>
      <c r="B518" s="320" t="s">
        <v>28230</v>
      </c>
      <c r="C518" s="321">
        <v>126277</v>
      </c>
      <c r="D518" s="390" t="s">
        <v>15236</v>
      </c>
      <c r="E518" s="322">
        <v>3792.7</v>
      </c>
      <c r="F518" s="323">
        <v>42985</v>
      </c>
      <c r="G518" s="322">
        <v>3792.7</v>
      </c>
      <c r="H518" s="322">
        <f t="shared" si="4"/>
        <v>0</v>
      </c>
      <c r="I518" s="325" t="s">
        <v>15214</v>
      </c>
    </row>
    <row r="519" spans="1:9" x14ac:dyDescent="0.25">
      <c r="A519" s="359">
        <v>42983</v>
      </c>
      <c r="B519" s="326" t="s">
        <v>28231</v>
      </c>
      <c r="C519" s="327">
        <v>126278</v>
      </c>
      <c r="D519" s="391" t="s">
        <v>5575</v>
      </c>
      <c r="E519" s="328">
        <v>10168.299999999999</v>
      </c>
      <c r="F519" s="329">
        <v>42984</v>
      </c>
      <c r="G519" s="328">
        <v>10168.299999999999</v>
      </c>
      <c r="H519" s="347">
        <f t="shared" si="4"/>
        <v>0</v>
      </c>
      <c r="I519" s="331" t="s">
        <v>15214</v>
      </c>
    </row>
    <row r="520" spans="1:9" x14ac:dyDescent="0.25">
      <c r="A520" s="319">
        <v>42983</v>
      </c>
      <c r="B520" s="320" t="s">
        <v>28232</v>
      </c>
      <c r="C520" s="321">
        <v>126279</v>
      </c>
      <c r="D520" s="390" t="s">
        <v>15272</v>
      </c>
      <c r="E520" s="322">
        <v>19552.2</v>
      </c>
      <c r="F520" s="323">
        <v>42983</v>
      </c>
      <c r="G520" s="322">
        <v>19552.2</v>
      </c>
      <c r="H520" s="322">
        <f t="shared" si="4"/>
        <v>0</v>
      </c>
      <c r="I520" s="325" t="s">
        <v>15214</v>
      </c>
    </row>
    <row r="521" spans="1:9" x14ac:dyDescent="0.25">
      <c r="A521" s="359">
        <v>42983</v>
      </c>
      <c r="B521" s="326" t="s">
        <v>28233</v>
      </c>
      <c r="C521" s="327">
        <v>126280</v>
      </c>
      <c r="D521" s="391" t="s">
        <v>17462</v>
      </c>
      <c r="E521" s="328">
        <v>7030.7</v>
      </c>
      <c r="F521" s="329">
        <v>42983</v>
      </c>
      <c r="G521" s="328">
        <v>7030.7</v>
      </c>
      <c r="H521" s="347">
        <f t="shared" si="4"/>
        <v>0</v>
      </c>
      <c r="I521" s="331" t="s">
        <v>15214</v>
      </c>
    </row>
    <row r="522" spans="1:9" x14ac:dyDescent="0.25">
      <c r="A522" s="319">
        <v>42983</v>
      </c>
      <c r="B522" s="320" t="s">
        <v>28234</v>
      </c>
      <c r="C522" s="321">
        <v>126281</v>
      </c>
      <c r="D522" s="390" t="s">
        <v>15226</v>
      </c>
      <c r="E522" s="322">
        <v>2338.9</v>
      </c>
      <c r="F522" s="323">
        <v>42984</v>
      </c>
      <c r="G522" s="322">
        <v>2338.9</v>
      </c>
      <c r="H522" s="322">
        <f t="shared" si="4"/>
        <v>0</v>
      </c>
      <c r="I522" s="325" t="s">
        <v>15214</v>
      </c>
    </row>
    <row r="523" spans="1:9" x14ac:dyDescent="0.25">
      <c r="A523" s="359">
        <v>42983</v>
      </c>
      <c r="B523" s="326" t="s">
        <v>28235</v>
      </c>
      <c r="C523" s="327">
        <v>126282</v>
      </c>
      <c r="D523" s="391" t="s">
        <v>15338</v>
      </c>
      <c r="E523" s="328">
        <v>10443.6</v>
      </c>
      <c r="F523" s="329">
        <v>42985</v>
      </c>
      <c r="G523" s="328">
        <v>10443.6</v>
      </c>
      <c r="H523" s="347">
        <f t="shared" si="4"/>
        <v>0</v>
      </c>
      <c r="I523" s="331" t="s">
        <v>15214</v>
      </c>
    </row>
    <row r="524" spans="1:9" x14ac:dyDescent="0.25">
      <c r="A524" s="319">
        <v>42983</v>
      </c>
      <c r="B524" s="320" t="s">
        <v>28236</v>
      </c>
      <c r="C524" s="321">
        <v>126283</v>
      </c>
      <c r="D524" s="390" t="s">
        <v>15240</v>
      </c>
      <c r="E524" s="322">
        <v>3351.6</v>
      </c>
      <c r="F524" s="323">
        <v>42984</v>
      </c>
      <c r="G524" s="322">
        <v>3351.6</v>
      </c>
      <c r="H524" s="322">
        <f t="shared" si="4"/>
        <v>0</v>
      </c>
      <c r="I524" s="325" t="s">
        <v>15214</v>
      </c>
    </row>
    <row r="525" spans="1:9" x14ac:dyDescent="0.25">
      <c r="A525" s="359">
        <v>42983</v>
      </c>
      <c r="B525" s="326" t="s">
        <v>28237</v>
      </c>
      <c r="C525" s="327">
        <v>126284</v>
      </c>
      <c r="D525" s="391" t="s">
        <v>15523</v>
      </c>
      <c r="E525" s="328">
        <v>2160</v>
      </c>
      <c r="F525" s="329">
        <v>42983</v>
      </c>
      <c r="G525" s="328">
        <v>2160</v>
      </c>
      <c r="H525" s="347">
        <f t="shared" si="4"/>
        <v>0</v>
      </c>
      <c r="I525" s="331" t="s">
        <v>15214</v>
      </c>
    </row>
    <row r="526" spans="1:9" x14ac:dyDescent="0.25">
      <c r="A526" s="319">
        <v>42983</v>
      </c>
      <c r="B526" s="320" t="s">
        <v>28238</v>
      </c>
      <c r="C526" s="321">
        <v>126285</v>
      </c>
      <c r="D526" s="390" t="s">
        <v>15553</v>
      </c>
      <c r="E526" s="322">
        <v>3395.48</v>
      </c>
      <c r="F526" s="323">
        <v>42983</v>
      </c>
      <c r="G526" s="322">
        <v>3395.48</v>
      </c>
      <c r="H526" s="322">
        <f t="shared" si="4"/>
        <v>0</v>
      </c>
      <c r="I526" s="325" t="s">
        <v>15214</v>
      </c>
    </row>
    <row r="527" spans="1:9" x14ac:dyDescent="0.25">
      <c r="A527" s="359">
        <v>42983</v>
      </c>
      <c r="B527" s="326" t="s">
        <v>28239</v>
      </c>
      <c r="C527" s="327">
        <v>126286</v>
      </c>
      <c r="D527" s="391" t="s">
        <v>15315</v>
      </c>
      <c r="E527" s="328">
        <v>15100.85</v>
      </c>
      <c r="F527" s="329">
        <v>42983</v>
      </c>
      <c r="G527" s="328">
        <v>15100.85</v>
      </c>
      <c r="H527" s="347">
        <f t="shared" si="4"/>
        <v>0</v>
      </c>
      <c r="I527" s="331" t="s">
        <v>15214</v>
      </c>
    </row>
    <row r="528" spans="1:9" x14ac:dyDescent="0.25">
      <c r="A528" s="319">
        <v>42983</v>
      </c>
      <c r="B528" s="320" t="s">
        <v>28240</v>
      </c>
      <c r="C528" s="321">
        <v>126287</v>
      </c>
      <c r="D528" s="390" t="s">
        <v>15371</v>
      </c>
      <c r="E528" s="322">
        <v>4426</v>
      </c>
      <c r="F528" s="323">
        <v>42983</v>
      </c>
      <c r="G528" s="322">
        <v>4426</v>
      </c>
      <c r="H528" s="322">
        <f t="shared" si="4"/>
        <v>0</v>
      </c>
      <c r="I528" s="325" t="s">
        <v>15214</v>
      </c>
    </row>
    <row r="529" spans="1:9" x14ac:dyDescent="0.25">
      <c r="A529" s="359">
        <v>42983</v>
      </c>
      <c r="B529" s="326" t="s">
        <v>28241</v>
      </c>
      <c r="C529" s="327">
        <v>126288</v>
      </c>
      <c r="D529" s="391" t="s">
        <v>15348</v>
      </c>
      <c r="E529" s="328">
        <v>785.2</v>
      </c>
      <c r="F529" s="329">
        <v>42984</v>
      </c>
      <c r="G529" s="328">
        <v>785.2</v>
      </c>
      <c r="H529" s="347">
        <f t="shared" si="4"/>
        <v>0</v>
      </c>
      <c r="I529" s="331" t="s">
        <v>15214</v>
      </c>
    </row>
    <row r="530" spans="1:9" x14ac:dyDescent="0.25">
      <c r="A530" s="319">
        <v>42983</v>
      </c>
      <c r="B530" s="320" t="s">
        <v>28242</v>
      </c>
      <c r="C530" s="321">
        <v>126289</v>
      </c>
      <c r="D530" s="390" t="s">
        <v>15358</v>
      </c>
      <c r="E530" s="322">
        <v>1339.2</v>
      </c>
      <c r="F530" s="323">
        <v>42983</v>
      </c>
      <c r="G530" s="322">
        <v>1339.2</v>
      </c>
      <c r="H530" s="322">
        <f t="shared" si="4"/>
        <v>0</v>
      </c>
      <c r="I530" s="325" t="s">
        <v>15214</v>
      </c>
    </row>
    <row r="531" spans="1:9" x14ac:dyDescent="0.25">
      <c r="A531" s="359">
        <v>42983</v>
      </c>
      <c r="B531" s="326" t="s">
        <v>28243</v>
      </c>
      <c r="C531" s="327">
        <v>126290</v>
      </c>
      <c r="D531" s="391" t="s">
        <v>15358</v>
      </c>
      <c r="E531" s="328">
        <v>2035.2</v>
      </c>
      <c r="F531" s="329">
        <v>42983</v>
      </c>
      <c r="G531" s="328">
        <v>2035.2</v>
      </c>
      <c r="H531" s="347">
        <f t="shared" si="4"/>
        <v>0</v>
      </c>
      <c r="I531" s="331" t="s">
        <v>15214</v>
      </c>
    </row>
    <row r="532" spans="1:9" x14ac:dyDescent="0.25">
      <c r="A532" s="319">
        <v>42983</v>
      </c>
      <c r="B532" s="320" t="s">
        <v>28244</v>
      </c>
      <c r="C532" s="321">
        <v>126291</v>
      </c>
      <c r="D532" s="390" t="s">
        <v>15742</v>
      </c>
      <c r="E532" s="322">
        <v>2220</v>
      </c>
      <c r="F532" s="323">
        <v>42983</v>
      </c>
      <c r="G532" s="322">
        <v>2220</v>
      </c>
      <c r="H532" s="322">
        <f t="shared" si="4"/>
        <v>0</v>
      </c>
      <c r="I532" s="325" t="s">
        <v>15214</v>
      </c>
    </row>
    <row r="533" spans="1:9" x14ac:dyDescent="0.25">
      <c r="A533" s="359">
        <v>42983</v>
      </c>
      <c r="B533" s="326" t="s">
        <v>28245</v>
      </c>
      <c r="C533" s="327">
        <v>126292</v>
      </c>
      <c r="D533" s="391" t="s">
        <v>15510</v>
      </c>
      <c r="E533" s="328">
        <v>45922.7</v>
      </c>
      <c r="F533" s="329">
        <v>42983</v>
      </c>
      <c r="G533" s="328">
        <v>45922.7</v>
      </c>
      <c r="H533" s="347">
        <f t="shared" si="4"/>
        <v>0</v>
      </c>
      <c r="I533" s="331" t="s">
        <v>15214</v>
      </c>
    </row>
    <row r="534" spans="1:9" x14ac:dyDescent="0.25">
      <c r="A534" s="319">
        <v>42983</v>
      </c>
      <c r="B534" s="320" t="s">
        <v>28246</v>
      </c>
      <c r="C534" s="321">
        <v>126293</v>
      </c>
      <c r="D534" s="390" t="s">
        <v>17210</v>
      </c>
      <c r="E534" s="322">
        <v>3695</v>
      </c>
      <c r="F534" s="323">
        <v>42983</v>
      </c>
      <c r="G534" s="322">
        <v>3695</v>
      </c>
      <c r="H534" s="322">
        <f t="shared" si="4"/>
        <v>0</v>
      </c>
      <c r="I534" s="325" t="s">
        <v>15214</v>
      </c>
    </row>
    <row r="535" spans="1:9" x14ac:dyDescent="0.25">
      <c r="A535" s="359">
        <v>42983</v>
      </c>
      <c r="B535" s="326" t="s">
        <v>28247</v>
      </c>
      <c r="C535" s="327">
        <v>126294</v>
      </c>
      <c r="D535" s="391" t="s">
        <v>15526</v>
      </c>
      <c r="E535" s="328">
        <v>4505</v>
      </c>
      <c r="F535" s="329">
        <v>42983</v>
      </c>
      <c r="G535" s="328">
        <v>4505</v>
      </c>
      <c r="H535" s="347">
        <f t="shared" si="4"/>
        <v>0</v>
      </c>
      <c r="I535" s="331" t="s">
        <v>15214</v>
      </c>
    </row>
    <row r="536" spans="1:9" x14ac:dyDescent="0.25">
      <c r="A536" s="319">
        <v>42983</v>
      </c>
      <c r="B536" s="320" t="s">
        <v>28248</v>
      </c>
      <c r="C536" s="321">
        <v>126295</v>
      </c>
      <c r="D536" s="390" t="s">
        <v>15324</v>
      </c>
      <c r="E536" s="322">
        <v>2284</v>
      </c>
      <c r="F536" s="323">
        <v>42983</v>
      </c>
      <c r="G536" s="322">
        <v>2284</v>
      </c>
      <c r="H536" s="322">
        <f t="shared" si="4"/>
        <v>0</v>
      </c>
      <c r="I536" s="325" t="s">
        <v>15214</v>
      </c>
    </row>
    <row r="537" spans="1:9" x14ac:dyDescent="0.25">
      <c r="A537" s="359">
        <v>42983</v>
      </c>
      <c r="B537" s="326" t="s">
        <v>28249</v>
      </c>
      <c r="C537" s="327">
        <v>126296</v>
      </c>
      <c r="D537" s="391" t="s">
        <v>15274</v>
      </c>
      <c r="E537" s="328">
        <v>3282</v>
      </c>
      <c r="F537" s="329">
        <v>42983</v>
      </c>
      <c r="G537" s="328">
        <v>3282</v>
      </c>
      <c r="H537" s="347">
        <f t="shared" si="4"/>
        <v>0</v>
      </c>
      <c r="I537" s="331" t="s">
        <v>15214</v>
      </c>
    </row>
    <row r="538" spans="1:9" x14ac:dyDescent="0.25">
      <c r="A538" s="319">
        <v>42983</v>
      </c>
      <c r="B538" s="320" t="s">
        <v>28250</v>
      </c>
      <c r="C538" s="321">
        <v>126297</v>
      </c>
      <c r="D538" s="390" t="s">
        <v>15317</v>
      </c>
      <c r="E538" s="322">
        <v>3145.8</v>
      </c>
      <c r="F538" s="323">
        <v>42985</v>
      </c>
      <c r="G538" s="322">
        <v>3145.8</v>
      </c>
      <c r="H538" s="322">
        <f t="shared" si="4"/>
        <v>0</v>
      </c>
      <c r="I538" s="325" t="s">
        <v>15214</v>
      </c>
    </row>
    <row r="539" spans="1:9" x14ac:dyDescent="0.25">
      <c r="A539" s="359">
        <v>42983</v>
      </c>
      <c r="B539" s="326" t="s">
        <v>28251</v>
      </c>
      <c r="C539" s="327">
        <v>126298</v>
      </c>
      <c r="D539" s="391" t="s">
        <v>15284</v>
      </c>
      <c r="E539" s="328">
        <v>1319.6</v>
      </c>
      <c r="F539" s="329">
        <v>42983</v>
      </c>
      <c r="G539" s="328">
        <v>1319.6</v>
      </c>
      <c r="H539" s="347">
        <f t="shared" si="4"/>
        <v>0</v>
      </c>
      <c r="I539" s="331" t="s">
        <v>15214</v>
      </c>
    </row>
    <row r="540" spans="1:9" x14ac:dyDescent="0.25">
      <c r="A540" s="319">
        <v>42983</v>
      </c>
      <c r="B540" s="320" t="s">
        <v>28252</v>
      </c>
      <c r="C540" s="321">
        <v>126299</v>
      </c>
      <c r="D540" s="390" t="s">
        <v>15858</v>
      </c>
      <c r="E540" s="322">
        <v>2342.64</v>
      </c>
      <c r="F540" s="323">
        <v>42983</v>
      </c>
      <c r="G540" s="322">
        <v>2342.64</v>
      </c>
      <c r="H540" s="322">
        <f t="shared" si="4"/>
        <v>0</v>
      </c>
      <c r="I540" s="325" t="s">
        <v>15214</v>
      </c>
    </row>
    <row r="541" spans="1:9" x14ac:dyDescent="0.25">
      <c r="A541" s="359">
        <v>42983</v>
      </c>
      <c r="B541" s="326" t="s">
        <v>28253</v>
      </c>
      <c r="C541" s="327">
        <v>126300</v>
      </c>
      <c r="D541" s="391" t="s">
        <v>15332</v>
      </c>
      <c r="E541" s="328">
        <v>4778.8</v>
      </c>
      <c r="F541" s="329">
        <v>42983</v>
      </c>
      <c r="G541" s="328">
        <v>4778.8</v>
      </c>
      <c r="H541" s="347">
        <f t="shared" si="4"/>
        <v>0</v>
      </c>
      <c r="I541" s="331" t="s">
        <v>15214</v>
      </c>
    </row>
    <row r="542" spans="1:9" x14ac:dyDescent="0.25">
      <c r="A542" s="319">
        <v>42983</v>
      </c>
      <c r="B542" s="320" t="s">
        <v>28254</v>
      </c>
      <c r="C542" s="321">
        <v>126301</v>
      </c>
      <c r="D542" s="390" t="s">
        <v>15530</v>
      </c>
      <c r="E542" s="322">
        <v>3576.15</v>
      </c>
      <c r="F542" s="323">
        <v>42983</v>
      </c>
      <c r="G542" s="322">
        <v>3576.15</v>
      </c>
      <c r="H542" s="322">
        <f t="shared" si="4"/>
        <v>0</v>
      </c>
      <c r="I542" s="325" t="s">
        <v>15214</v>
      </c>
    </row>
    <row r="543" spans="1:9" x14ac:dyDescent="0.25">
      <c r="A543" s="359">
        <v>42983</v>
      </c>
      <c r="B543" s="326" t="s">
        <v>28255</v>
      </c>
      <c r="C543" s="327">
        <v>126302</v>
      </c>
      <c r="D543" s="391" t="s">
        <v>15526</v>
      </c>
      <c r="E543" s="328">
        <v>3590.4</v>
      </c>
      <c r="F543" s="329">
        <v>42983</v>
      </c>
      <c r="G543" s="328">
        <v>3590.4</v>
      </c>
      <c r="H543" s="347">
        <f t="shared" si="4"/>
        <v>0</v>
      </c>
      <c r="I543" s="331" t="s">
        <v>15214</v>
      </c>
    </row>
    <row r="544" spans="1:9" x14ac:dyDescent="0.25">
      <c r="A544" s="319">
        <v>42983</v>
      </c>
      <c r="B544" s="320" t="s">
        <v>28256</v>
      </c>
      <c r="C544" s="321">
        <v>126303</v>
      </c>
      <c r="D544" s="390" t="s">
        <v>19742</v>
      </c>
      <c r="E544" s="322">
        <v>34714.400000000001</v>
      </c>
      <c r="F544" s="323">
        <v>42984</v>
      </c>
      <c r="G544" s="322">
        <v>34714.400000000001</v>
      </c>
      <c r="H544" s="322">
        <f t="shared" si="4"/>
        <v>0</v>
      </c>
      <c r="I544" s="325" t="s">
        <v>15214</v>
      </c>
    </row>
    <row r="545" spans="1:9" x14ac:dyDescent="0.25">
      <c r="A545" s="359">
        <v>42983</v>
      </c>
      <c r="B545" s="326" t="s">
        <v>28257</v>
      </c>
      <c r="C545" s="327">
        <v>126304</v>
      </c>
      <c r="D545" s="391" t="s">
        <v>15328</v>
      </c>
      <c r="E545" s="328">
        <v>18782.02</v>
      </c>
      <c r="F545" s="329">
        <v>42987</v>
      </c>
      <c r="G545" s="328">
        <v>18782.02</v>
      </c>
      <c r="H545" s="347">
        <f t="shared" si="4"/>
        <v>0</v>
      </c>
      <c r="I545" s="331" t="s">
        <v>15214</v>
      </c>
    </row>
    <row r="546" spans="1:9" x14ac:dyDescent="0.25">
      <c r="A546" s="319">
        <v>42983</v>
      </c>
      <c r="B546" s="320" t="s">
        <v>28258</v>
      </c>
      <c r="C546" s="321">
        <v>126305</v>
      </c>
      <c r="D546" s="390" t="s">
        <v>15252</v>
      </c>
      <c r="E546" s="322">
        <v>1458</v>
      </c>
      <c r="F546" s="323">
        <v>42983</v>
      </c>
      <c r="G546" s="322">
        <v>1458</v>
      </c>
      <c r="H546" s="322">
        <f t="shared" si="4"/>
        <v>0</v>
      </c>
      <c r="I546" s="325" t="s">
        <v>15214</v>
      </c>
    </row>
    <row r="547" spans="1:9" x14ac:dyDescent="0.25">
      <c r="A547" s="359">
        <v>42983</v>
      </c>
      <c r="B547" s="326" t="s">
        <v>28259</v>
      </c>
      <c r="C547" s="327">
        <v>126306</v>
      </c>
      <c r="D547" s="391" t="s">
        <v>16484</v>
      </c>
      <c r="E547" s="328">
        <v>325.60000000000002</v>
      </c>
      <c r="F547" s="329">
        <v>42983</v>
      </c>
      <c r="G547" s="328">
        <v>325.60000000000002</v>
      </c>
      <c r="H547" s="347">
        <f t="shared" si="4"/>
        <v>0</v>
      </c>
      <c r="I547" s="331" t="s">
        <v>15214</v>
      </c>
    </row>
    <row r="548" spans="1:9" x14ac:dyDescent="0.25">
      <c r="A548" s="319">
        <v>42983</v>
      </c>
      <c r="B548" s="320" t="s">
        <v>28260</v>
      </c>
      <c r="C548" s="321">
        <v>126307</v>
      </c>
      <c r="D548" s="390" t="s">
        <v>18544</v>
      </c>
      <c r="E548" s="322">
        <v>8187.4</v>
      </c>
      <c r="F548" s="323">
        <v>42983</v>
      </c>
      <c r="G548" s="322">
        <v>8187.4</v>
      </c>
      <c r="H548" s="322">
        <f t="shared" si="4"/>
        <v>0</v>
      </c>
      <c r="I548" s="325" t="s">
        <v>15214</v>
      </c>
    </row>
    <row r="549" spans="1:9" x14ac:dyDescent="0.25">
      <c r="A549" s="359">
        <v>42983</v>
      </c>
      <c r="B549" s="326" t="s">
        <v>28261</v>
      </c>
      <c r="C549" s="327">
        <v>126308</v>
      </c>
      <c r="D549" s="391" t="s">
        <v>15559</v>
      </c>
      <c r="E549" s="328">
        <v>11569.55</v>
      </c>
      <c r="F549" s="329">
        <v>42990</v>
      </c>
      <c r="G549" s="328">
        <v>11569.55</v>
      </c>
      <c r="H549" s="347">
        <f t="shared" si="4"/>
        <v>0</v>
      </c>
      <c r="I549" s="331" t="s">
        <v>15214</v>
      </c>
    </row>
    <row r="550" spans="1:9" x14ac:dyDescent="0.25">
      <c r="A550" s="319">
        <v>42983</v>
      </c>
      <c r="B550" s="320" t="s">
        <v>28262</v>
      </c>
      <c r="C550" s="321">
        <v>126309</v>
      </c>
      <c r="D550" s="390" t="s">
        <v>15315</v>
      </c>
      <c r="E550" s="322">
        <v>1180</v>
      </c>
      <c r="F550" s="323">
        <v>42983</v>
      </c>
      <c r="G550" s="322">
        <v>1180</v>
      </c>
      <c r="H550" s="322">
        <f t="shared" si="4"/>
        <v>0</v>
      </c>
      <c r="I550" s="325" t="s">
        <v>15214</v>
      </c>
    </row>
    <row r="551" spans="1:9" x14ac:dyDescent="0.25">
      <c r="A551" s="359">
        <v>42983</v>
      </c>
      <c r="B551" s="326" t="s">
        <v>28263</v>
      </c>
      <c r="C551" s="327">
        <v>126310</v>
      </c>
      <c r="D551" s="391" t="s">
        <v>15537</v>
      </c>
      <c r="E551" s="328">
        <v>22700.25</v>
      </c>
      <c r="F551" s="329">
        <v>42990</v>
      </c>
      <c r="G551" s="328">
        <v>22700.25</v>
      </c>
      <c r="H551" s="347">
        <f t="shared" si="4"/>
        <v>0</v>
      </c>
      <c r="I551" s="331" t="s">
        <v>15214</v>
      </c>
    </row>
    <row r="552" spans="1:9" x14ac:dyDescent="0.25">
      <c r="A552" s="319">
        <v>42983</v>
      </c>
      <c r="B552" s="320" t="s">
        <v>28264</v>
      </c>
      <c r="C552" s="321">
        <v>126311</v>
      </c>
      <c r="D552" s="390" t="s">
        <v>15539</v>
      </c>
      <c r="E552" s="322">
        <v>17190.400000000001</v>
      </c>
      <c r="F552" s="323">
        <v>42990</v>
      </c>
      <c r="G552" s="322">
        <v>17190.400000000001</v>
      </c>
      <c r="H552" s="322">
        <f t="shared" si="4"/>
        <v>0</v>
      </c>
      <c r="I552" s="325" t="s">
        <v>15214</v>
      </c>
    </row>
    <row r="553" spans="1:9" x14ac:dyDescent="0.25">
      <c r="A553" s="359">
        <v>42983</v>
      </c>
      <c r="B553" s="326" t="s">
        <v>28265</v>
      </c>
      <c r="C553" s="327">
        <v>126312</v>
      </c>
      <c r="D553" s="391" t="s">
        <v>15328</v>
      </c>
      <c r="E553" s="328">
        <v>13830.8</v>
      </c>
      <c r="F553" s="329">
        <v>42987</v>
      </c>
      <c r="G553" s="328">
        <v>13830.8</v>
      </c>
      <c r="H553" s="347">
        <f t="shared" si="4"/>
        <v>0</v>
      </c>
      <c r="I553" s="331" t="s">
        <v>15214</v>
      </c>
    </row>
    <row r="554" spans="1:9" x14ac:dyDescent="0.25">
      <c r="A554" s="319">
        <v>42983</v>
      </c>
      <c r="B554" s="320" t="s">
        <v>28266</v>
      </c>
      <c r="C554" s="321">
        <v>126313</v>
      </c>
      <c r="D554" s="390" t="s">
        <v>15263</v>
      </c>
      <c r="E554" s="322">
        <v>1451.6</v>
      </c>
      <c r="F554" s="323">
        <v>42983</v>
      </c>
      <c r="G554" s="322">
        <v>1451.6</v>
      </c>
      <c r="H554" s="322">
        <f t="shared" si="4"/>
        <v>0</v>
      </c>
      <c r="I554" s="325" t="s">
        <v>15214</v>
      </c>
    </row>
    <row r="555" spans="1:9" x14ac:dyDescent="0.25">
      <c r="A555" s="359">
        <v>42983</v>
      </c>
      <c r="B555" s="326" t="s">
        <v>28267</v>
      </c>
      <c r="C555" s="327">
        <v>126314</v>
      </c>
      <c r="D555" s="391" t="s">
        <v>15280</v>
      </c>
      <c r="E555" s="328">
        <v>5768.2</v>
      </c>
      <c r="F555" s="329">
        <v>42983</v>
      </c>
      <c r="G555" s="328">
        <v>5768.2</v>
      </c>
      <c r="H555" s="347">
        <f t="shared" si="4"/>
        <v>0</v>
      </c>
      <c r="I555" s="331" t="s">
        <v>15214</v>
      </c>
    </row>
    <row r="556" spans="1:9" x14ac:dyDescent="0.25">
      <c r="A556" s="319">
        <v>42983</v>
      </c>
      <c r="B556" s="320" t="s">
        <v>28268</v>
      </c>
      <c r="C556" s="321">
        <v>126315</v>
      </c>
      <c r="D556" s="390" t="s">
        <v>15315</v>
      </c>
      <c r="E556" s="322">
        <v>3528.05</v>
      </c>
      <c r="F556" s="323">
        <v>42984</v>
      </c>
      <c r="G556" s="322">
        <v>3528.05</v>
      </c>
      <c r="H556" s="322">
        <f t="shared" si="4"/>
        <v>0</v>
      </c>
      <c r="I556" s="325" t="s">
        <v>15214</v>
      </c>
    </row>
    <row r="557" spans="1:9" x14ac:dyDescent="0.25">
      <c r="A557" s="359">
        <v>42983</v>
      </c>
      <c r="B557" s="326" t="s">
        <v>28269</v>
      </c>
      <c r="C557" s="327">
        <v>126316</v>
      </c>
      <c r="D557" s="391" t="s">
        <v>15315</v>
      </c>
      <c r="E557" s="328">
        <v>426.6</v>
      </c>
      <c r="F557" s="329">
        <v>42984</v>
      </c>
      <c r="G557" s="328">
        <v>426.6</v>
      </c>
      <c r="H557" s="347">
        <f t="shared" si="4"/>
        <v>0</v>
      </c>
      <c r="I557" s="331" t="s">
        <v>15214</v>
      </c>
    </row>
    <row r="558" spans="1:9" x14ac:dyDescent="0.25">
      <c r="A558" s="319">
        <v>42983</v>
      </c>
      <c r="B558" s="320" t="s">
        <v>28270</v>
      </c>
      <c r="C558" s="321">
        <v>126317</v>
      </c>
      <c r="D558" s="390" t="s">
        <v>15544</v>
      </c>
      <c r="E558" s="322">
        <v>3436.5</v>
      </c>
      <c r="F558" s="323">
        <v>43027</v>
      </c>
      <c r="G558" s="322">
        <v>3436.5</v>
      </c>
      <c r="H558" s="322">
        <f t="shared" si="4"/>
        <v>0</v>
      </c>
      <c r="I558" s="325" t="s">
        <v>15214</v>
      </c>
    </row>
    <row r="559" spans="1:9" x14ac:dyDescent="0.25">
      <c r="A559" s="359">
        <v>42983</v>
      </c>
      <c r="B559" s="326" t="s">
        <v>28271</v>
      </c>
      <c r="C559" s="327">
        <v>126318</v>
      </c>
      <c r="D559" s="391" t="s">
        <v>15555</v>
      </c>
      <c r="E559" s="328">
        <v>1396.8</v>
      </c>
      <c r="F559" s="329">
        <v>42997</v>
      </c>
      <c r="G559" s="328">
        <v>1396.8</v>
      </c>
      <c r="H559" s="347">
        <f t="shared" si="4"/>
        <v>0</v>
      </c>
      <c r="I559" s="331" t="s">
        <v>15214</v>
      </c>
    </row>
    <row r="560" spans="1:9" x14ac:dyDescent="0.25">
      <c r="A560" s="319">
        <v>42983</v>
      </c>
      <c r="B560" s="320" t="s">
        <v>28272</v>
      </c>
      <c r="C560" s="321">
        <v>126319</v>
      </c>
      <c r="D560" s="390" t="s">
        <v>15555</v>
      </c>
      <c r="E560" s="322">
        <v>1020</v>
      </c>
      <c r="F560" s="323">
        <v>42990</v>
      </c>
      <c r="G560" s="322">
        <v>1020</v>
      </c>
      <c r="H560" s="322">
        <f t="shared" si="4"/>
        <v>0</v>
      </c>
      <c r="I560" s="325" t="s">
        <v>15214</v>
      </c>
    </row>
    <row r="561" spans="1:9" x14ac:dyDescent="0.25">
      <c r="A561" s="359">
        <v>42983</v>
      </c>
      <c r="B561" s="326" t="s">
        <v>28273</v>
      </c>
      <c r="C561" s="327">
        <v>126320</v>
      </c>
      <c r="D561" s="391" t="s">
        <v>15315</v>
      </c>
      <c r="E561" s="328">
        <v>6522.4</v>
      </c>
      <c r="F561" s="329">
        <v>42984</v>
      </c>
      <c r="G561" s="328">
        <f>6324+198.4</f>
        <v>6522.4</v>
      </c>
      <c r="H561" s="347">
        <f t="shared" ref="H561:H624" si="5">E561-G561</f>
        <v>0</v>
      </c>
      <c r="I561" s="331" t="s">
        <v>15214</v>
      </c>
    </row>
    <row r="562" spans="1:9" x14ac:dyDescent="0.25">
      <c r="A562" s="319">
        <v>42983</v>
      </c>
      <c r="B562" s="320" t="s">
        <v>28274</v>
      </c>
      <c r="C562" s="321">
        <v>126321</v>
      </c>
      <c r="D562" s="390" t="s">
        <v>15378</v>
      </c>
      <c r="E562" s="322">
        <v>10735.94</v>
      </c>
      <c r="F562" s="323">
        <v>42989</v>
      </c>
      <c r="G562" s="322">
        <v>10735.94</v>
      </c>
      <c r="H562" s="322">
        <f t="shared" si="5"/>
        <v>0</v>
      </c>
      <c r="I562" s="325" t="s">
        <v>15214</v>
      </c>
    </row>
    <row r="563" spans="1:9" x14ac:dyDescent="0.25">
      <c r="A563" s="359">
        <v>42983</v>
      </c>
      <c r="B563" s="326" t="s">
        <v>28275</v>
      </c>
      <c r="C563" s="327">
        <v>126322</v>
      </c>
      <c r="D563" s="391" t="s">
        <v>15228</v>
      </c>
      <c r="E563" s="328">
        <v>5486.4</v>
      </c>
      <c r="F563" s="329">
        <v>42983</v>
      </c>
      <c r="G563" s="328">
        <v>5486.4</v>
      </c>
      <c r="H563" s="347">
        <f t="shared" si="5"/>
        <v>0</v>
      </c>
      <c r="I563" s="331" t="s">
        <v>15214</v>
      </c>
    </row>
    <row r="564" spans="1:9" x14ac:dyDescent="0.25">
      <c r="A564" s="319">
        <v>42983</v>
      </c>
      <c r="B564" s="320" t="s">
        <v>28276</v>
      </c>
      <c r="C564" s="321">
        <v>126323</v>
      </c>
      <c r="D564" s="390" t="s">
        <v>23937</v>
      </c>
      <c r="E564" s="322">
        <v>3640.7</v>
      </c>
      <c r="F564" s="323">
        <v>42983</v>
      </c>
      <c r="G564" s="322">
        <v>3640.7</v>
      </c>
      <c r="H564" s="322">
        <f t="shared" si="5"/>
        <v>0</v>
      </c>
      <c r="I564" s="325" t="s">
        <v>15214</v>
      </c>
    </row>
    <row r="565" spans="1:9" x14ac:dyDescent="0.25">
      <c r="A565" s="359">
        <v>42983</v>
      </c>
      <c r="B565" s="326" t="s">
        <v>28277</v>
      </c>
      <c r="C565" s="327">
        <v>126324</v>
      </c>
      <c r="D565" s="391" t="s">
        <v>15706</v>
      </c>
      <c r="E565" s="328">
        <v>1184.8</v>
      </c>
      <c r="F565" s="329">
        <v>42983</v>
      </c>
      <c r="G565" s="328">
        <v>1184.8</v>
      </c>
      <c r="H565" s="347">
        <f t="shared" si="5"/>
        <v>0</v>
      </c>
      <c r="I565" s="331" t="s">
        <v>15214</v>
      </c>
    </row>
    <row r="566" spans="1:9" x14ac:dyDescent="0.25">
      <c r="A566" s="319">
        <v>42983</v>
      </c>
      <c r="B566" s="320" t="s">
        <v>28278</v>
      </c>
      <c r="C566" s="321">
        <v>126325</v>
      </c>
      <c r="D566" s="390" t="s">
        <v>15315</v>
      </c>
      <c r="E566" s="322">
        <v>2722</v>
      </c>
      <c r="F566" s="323">
        <v>42983</v>
      </c>
      <c r="G566" s="322">
        <v>2722</v>
      </c>
      <c r="H566" s="322">
        <f t="shared" si="5"/>
        <v>0</v>
      </c>
      <c r="I566" s="325" t="s">
        <v>15214</v>
      </c>
    </row>
    <row r="567" spans="1:9" x14ac:dyDescent="0.25">
      <c r="A567" s="359">
        <v>42983</v>
      </c>
      <c r="B567" s="326" t="s">
        <v>28279</v>
      </c>
      <c r="C567" s="327">
        <v>126326</v>
      </c>
      <c r="D567" s="391" t="s">
        <v>15252</v>
      </c>
      <c r="E567" s="328">
        <v>6277.45</v>
      </c>
      <c r="F567" s="329">
        <v>42984</v>
      </c>
      <c r="G567" s="328">
        <v>6277.45</v>
      </c>
      <c r="H567" s="347">
        <f t="shared" si="5"/>
        <v>0</v>
      </c>
      <c r="I567" s="331" t="s">
        <v>15214</v>
      </c>
    </row>
    <row r="568" spans="1:9" x14ac:dyDescent="0.25">
      <c r="A568" s="319">
        <v>42983</v>
      </c>
      <c r="B568" s="320" t="s">
        <v>28280</v>
      </c>
      <c r="C568" s="321">
        <v>126327</v>
      </c>
      <c r="D568" s="390" t="s">
        <v>15244</v>
      </c>
      <c r="E568" s="322">
        <v>13495.7</v>
      </c>
      <c r="F568" s="323">
        <v>42986</v>
      </c>
      <c r="G568" s="322">
        <v>13495.7</v>
      </c>
      <c r="H568" s="322">
        <f t="shared" si="5"/>
        <v>0</v>
      </c>
      <c r="I568" s="325" t="s">
        <v>15214</v>
      </c>
    </row>
    <row r="569" spans="1:9" x14ac:dyDescent="0.25">
      <c r="A569" s="359">
        <v>42983</v>
      </c>
      <c r="B569" s="326" t="s">
        <v>28281</v>
      </c>
      <c r="C569" s="327">
        <v>126328</v>
      </c>
      <c r="D569" s="391" t="s">
        <v>15254</v>
      </c>
      <c r="E569" s="328">
        <v>10720</v>
      </c>
      <c r="F569" s="329">
        <v>42987</v>
      </c>
      <c r="G569" s="328">
        <v>10720</v>
      </c>
      <c r="H569" s="347">
        <f t="shared" si="5"/>
        <v>0</v>
      </c>
      <c r="I569" s="331" t="s">
        <v>15214</v>
      </c>
    </row>
    <row r="570" spans="1:9" x14ac:dyDescent="0.25">
      <c r="A570" s="319">
        <v>42983</v>
      </c>
      <c r="B570" s="320" t="s">
        <v>28282</v>
      </c>
      <c r="C570" s="321">
        <v>126329</v>
      </c>
      <c r="D570" s="390" t="s">
        <v>15322</v>
      </c>
      <c r="E570" s="322">
        <v>398</v>
      </c>
      <c r="F570" s="323">
        <v>42983</v>
      </c>
      <c r="G570" s="322">
        <v>398</v>
      </c>
      <c r="H570" s="322">
        <f t="shared" si="5"/>
        <v>0</v>
      </c>
      <c r="I570" s="325" t="s">
        <v>15214</v>
      </c>
    </row>
    <row r="571" spans="1:9" x14ac:dyDescent="0.25">
      <c r="A571" s="359">
        <v>42983</v>
      </c>
      <c r="B571" s="326" t="s">
        <v>28283</v>
      </c>
      <c r="C571" s="327">
        <v>126330</v>
      </c>
      <c r="D571" s="391" t="s">
        <v>15315</v>
      </c>
      <c r="E571" s="328">
        <v>1660</v>
      </c>
      <c r="F571" s="329">
        <v>42983</v>
      </c>
      <c r="G571" s="328">
        <v>1660</v>
      </c>
      <c r="H571" s="347">
        <f t="shared" si="5"/>
        <v>0</v>
      </c>
      <c r="I571" s="331" t="s">
        <v>15214</v>
      </c>
    </row>
    <row r="572" spans="1:9" x14ac:dyDescent="0.25">
      <c r="A572" s="319">
        <v>42983</v>
      </c>
      <c r="B572" s="320" t="s">
        <v>28284</v>
      </c>
      <c r="C572" s="321">
        <v>126331</v>
      </c>
      <c r="D572" s="390" t="s">
        <v>15315</v>
      </c>
      <c r="E572" s="322">
        <v>4408.8</v>
      </c>
      <c r="F572" s="323">
        <v>42983</v>
      </c>
      <c r="G572" s="322">
        <v>4408.8</v>
      </c>
      <c r="H572" s="322">
        <f t="shared" si="5"/>
        <v>0</v>
      </c>
      <c r="I572" s="325" t="s">
        <v>15214</v>
      </c>
    </row>
    <row r="573" spans="1:9" x14ac:dyDescent="0.25">
      <c r="A573" s="359">
        <v>42983</v>
      </c>
      <c r="B573" s="326" t="s">
        <v>28285</v>
      </c>
      <c r="C573" s="327">
        <v>126332</v>
      </c>
      <c r="D573" s="391" t="s">
        <v>15577</v>
      </c>
      <c r="E573" s="328">
        <v>286</v>
      </c>
      <c r="F573" s="329">
        <v>42983</v>
      </c>
      <c r="G573" s="328">
        <v>286</v>
      </c>
      <c r="H573" s="347">
        <f t="shared" si="5"/>
        <v>0</v>
      </c>
      <c r="I573" s="331" t="s">
        <v>15214</v>
      </c>
    </row>
    <row r="574" spans="1:9" x14ac:dyDescent="0.25">
      <c r="A574" s="319">
        <v>42983</v>
      </c>
      <c r="B574" s="320" t="s">
        <v>28286</v>
      </c>
      <c r="C574" s="321">
        <v>126333</v>
      </c>
      <c r="D574" s="390" t="s">
        <v>15566</v>
      </c>
      <c r="E574" s="322">
        <v>3179.75</v>
      </c>
      <c r="F574" s="323">
        <v>42983</v>
      </c>
      <c r="G574" s="322">
        <v>3179.75</v>
      </c>
      <c r="H574" s="322">
        <f t="shared" si="5"/>
        <v>0</v>
      </c>
      <c r="I574" s="325" t="s">
        <v>15214</v>
      </c>
    </row>
    <row r="575" spans="1:9" x14ac:dyDescent="0.25">
      <c r="A575" s="359">
        <v>42983</v>
      </c>
      <c r="B575" s="326" t="s">
        <v>28287</v>
      </c>
      <c r="C575" s="327">
        <v>126334</v>
      </c>
      <c r="D575" s="391" t="s">
        <v>15396</v>
      </c>
      <c r="E575" s="328">
        <v>6174.5</v>
      </c>
      <c r="F575" s="329">
        <v>42983</v>
      </c>
      <c r="G575" s="328">
        <v>6174.5</v>
      </c>
      <c r="H575" s="347">
        <f t="shared" si="5"/>
        <v>0</v>
      </c>
      <c r="I575" s="331" t="s">
        <v>15214</v>
      </c>
    </row>
    <row r="576" spans="1:9" x14ac:dyDescent="0.25">
      <c r="A576" s="319">
        <v>42983</v>
      </c>
      <c r="B576" s="320" t="s">
        <v>28288</v>
      </c>
      <c r="C576" s="321">
        <v>126335</v>
      </c>
      <c r="D576" s="390" t="s">
        <v>15391</v>
      </c>
      <c r="E576" s="322">
        <v>8236.2000000000007</v>
      </c>
      <c r="F576" s="323">
        <v>42985</v>
      </c>
      <c r="G576" s="322">
        <v>8236.2000000000007</v>
      </c>
      <c r="H576" s="322">
        <f t="shared" si="5"/>
        <v>0</v>
      </c>
      <c r="I576" s="325" t="s">
        <v>15214</v>
      </c>
    </row>
    <row r="577" spans="1:9" x14ac:dyDescent="0.25">
      <c r="A577" s="359">
        <v>42983</v>
      </c>
      <c r="B577" s="326" t="s">
        <v>28289</v>
      </c>
      <c r="C577" s="327">
        <v>126336</v>
      </c>
      <c r="D577" s="391" t="s">
        <v>15786</v>
      </c>
      <c r="E577" s="328">
        <v>1460</v>
      </c>
      <c r="F577" s="329">
        <v>42983</v>
      </c>
      <c r="G577" s="328">
        <v>1460</v>
      </c>
      <c r="H577" s="347">
        <f t="shared" si="5"/>
        <v>0</v>
      </c>
      <c r="I577" s="331" t="s">
        <v>15214</v>
      </c>
    </row>
    <row r="578" spans="1:9" x14ac:dyDescent="0.25">
      <c r="A578" s="319">
        <v>42983</v>
      </c>
      <c r="B578" s="320" t="s">
        <v>28290</v>
      </c>
      <c r="C578" s="321">
        <v>126337</v>
      </c>
      <c r="D578" s="390" t="s">
        <v>15442</v>
      </c>
      <c r="E578" s="322">
        <v>5996.1</v>
      </c>
      <c r="F578" s="323">
        <v>42983</v>
      </c>
      <c r="G578" s="322">
        <v>5996.1</v>
      </c>
      <c r="H578" s="322">
        <f t="shared" si="5"/>
        <v>0</v>
      </c>
      <c r="I578" s="325" t="s">
        <v>15214</v>
      </c>
    </row>
    <row r="579" spans="1:9" x14ac:dyDescent="0.25">
      <c r="A579" s="359">
        <v>42983</v>
      </c>
      <c r="B579" s="326" t="s">
        <v>28291</v>
      </c>
      <c r="C579" s="327">
        <v>126338</v>
      </c>
      <c r="D579" s="391" t="s">
        <v>15265</v>
      </c>
      <c r="E579" s="328">
        <v>2975</v>
      </c>
      <c r="F579" s="329">
        <v>42983</v>
      </c>
      <c r="G579" s="328">
        <v>2975</v>
      </c>
      <c r="H579" s="347">
        <f t="shared" si="5"/>
        <v>0</v>
      </c>
      <c r="I579" s="331" t="s">
        <v>15214</v>
      </c>
    </row>
    <row r="580" spans="1:9" x14ac:dyDescent="0.25">
      <c r="A580" s="319">
        <v>42983</v>
      </c>
      <c r="B580" s="320" t="s">
        <v>28292</v>
      </c>
      <c r="C580" s="321">
        <v>126339</v>
      </c>
      <c r="D580" s="390" t="s">
        <v>15250</v>
      </c>
      <c r="E580" s="322">
        <v>34494.449999999997</v>
      </c>
      <c r="F580" s="323">
        <v>42987</v>
      </c>
      <c r="G580" s="322">
        <v>34494.449999999997</v>
      </c>
      <c r="H580" s="322">
        <f t="shared" si="5"/>
        <v>0</v>
      </c>
      <c r="I580" s="325" t="s">
        <v>15214</v>
      </c>
    </row>
    <row r="581" spans="1:9" x14ac:dyDescent="0.25">
      <c r="A581" s="359">
        <v>42983</v>
      </c>
      <c r="B581" s="326" t="s">
        <v>28293</v>
      </c>
      <c r="C581" s="327">
        <v>126340</v>
      </c>
      <c r="D581" s="391" t="s">
        <v>15594</v>
      </c>
      <c r="E581" s="328">
        <v>2524.8000000000002</v>
      </c>
      <c r="F581" s="329">
        <v>42983</v>
      </c>
      <c r="G581" s="328">
        <v>2524.8000000000002</v>
      </c>
      <c r="H581" s="347">
        <f t="shared" si="5"/>
        <v>0</v>
      </c>
      <c r="I581" s="331" t="s">
        <v>15214</v>
      </c>
    </row>
    <row r="582" spans="1:9" x14ac:dyDescent="0.25">
      <c r="A582" s="319">
        <v>42983</v>
      </c>
      <c r="B582" s="320" t="s">
        <v>28294</v>
      </c>
      <c r="C582" s="321">
        <v>126341</v>
      </c>
      <c r="D582" s="390" t="s">
        <v>15361</v>
      </c>
      <c r="E582" s="322">
        <v>9349.2999999999993</v>
      </c>
      <c r="F582" s="323">
        <v>42983</v>
      </c>
      <c r="G582" s="322">
        <v>9349.2999999999993</v>
      </c>
      <c r="H582" s="322">
        <f t="shared" si="5"/>
        <v>0</v>
      </c>
      <c r="I582" s="325" t="s">
        <v>15214</v>
      </c>
    </row>
    <row r="583" spans="1:9" x14ac:dyDescent="0.25">
      <c r="A583" s="359">
        <v>42983</v>
      </c>
      <c r="B583" s="326" t="s">
        <v>28295</v>
      </c>
      <c r="C583" s="327">
        <v>126342</v>
      </c>
      <c r="D583" s="391" t="s">
        <v>15716</v>
      </c>
      <c r="E583" s="328">
        <v>10570.5</v>
      </c>
      <c r="F583" s="329">
        <v>42983</v>
      </c>
      <c r="G583" s="328">
        <v>10570.5</v>
      </c>
      <c r="H583" s="347">
        <f t="shared" si="5"/>
        <v>0</v>
      </c>
      <c r="I583" s="331" t="s">
        <v>15214</v>
      </c>
    </row>
    <row r="584" spans="1:9" x14ac:dyDescent="0.25">
      <c r="A584" s="319">
        <v>42983</v>
      </c>
      <c r="B584" s="320" t="s">
        <v>28296</v>
      </c>
      <c r="C584" s="321">
        <v>126343</v>
      </c>
      <c r="D584" s="390" t="s">
        <v>15419</v>
      </c>
      <c r="E584" s="322">
        <v>56955.7</v>
      </c>
      <c r="F584" s="323">
        <v>42989</v>
      </c>
      <c r="G584" s="322">
        <v>56955.7</v>
      </c>
      <c r="H584" s="322">
        <f t="shared" si="5"/>
        <v>0</v>
      </c>
      <c r="I584" s="325" t="s">
        <v>15214</v>
      </c>
    </row>
    <row r="585" spans="1:9" x14ac:dyDescent="0.25">
      <c r="A585" s="359">
        <v>42983</v>
      </c>
      <c r="B585" s="326" t="s">
        <v>28297</v>
      </c>
      <c r="C585" s="327">
        <v>126344</v>
      </c>
      <c r="D585" s="391" t="s">
        <v>15572</v>
      </c>
      <c r="E585" s="328">
        <v>6451.34</v>
      </c>
      <c r="F585" s="329">
        <v>42983</v>
      </c>
      <c r="G585" s="328">
        <v>6451.34</v>
      </c>
      <c r="H585" s="347">
        <f t="shared" si="5"/>
        <v>0</v>
      </c>
      <c r="I585" s="331" t="s">
        <v>15214</v>
      </c>
    </row>
    <row r="586" spans="1:9" x14ac:dyDescent="0.25">
      <c r="A586" s="319">
        <v>42983</v>
      </c>
      <c r="B586" s="320" t="s">
        <v>28298</v>
      </c>
      <c r="C586" s="321">
        <v>126345</v>
      </c>
      <c r="D586" s="390" t="s">
        <v>15250</v>
      </c>
      <c r="E586" s="322">
        <v>6025</v>
      </c>
      <c r="F586" s="323">
        <v>42987</v>
      </c>
      <c r="G586" s="322">
        <v>6025</v>
      </c>
      <c r="H586" s="322">
        <f t="shared" si="5"/>
        <v>0</v>
      </c>
      <c r="I586" s="325" t="s">
        <v>15214</v>
      </c>
    </row>
    <row r="587" spans="1:9" x14ac:dyDescent="0.25">
      <c r="A587" s="359">
        <v>42983</v>
      </c>
      <c r="B587" s="326" t="s">
        <v>28299</v>
      </c>
      <c r="C587" s="327">
        <v>126346</v>
      </c>
      <c r="D587" s="391" t="s">
        <v>15419</v>
      </c>
      <c r="E587" s="328">
        <v>25095</v>
      </c>
      <c r="F587" s="329">
        <v>42993</v>
      </c>
      <c r="G587" s="328">
        <v>25095</v>
      </c>
      <c r="H587" s="347">
        <f t="shared" si="5"/>
        <v>0</v>
      </c>
      <c r="I587" s="331" t="s">
        <v>15214</v>
      </c>
    </row>
    <row r="588" spans="1:9" x14ac:dyDescent="0.25">
      <c r="A588" s="319">
        <v>42983</v>
      </c>
      <c r="B588" s="320" t="s">
        <v>28300</v>
      </c>
      <c r="C588" s="321">
        <v>126347</v>
      </c>
      <c r="D588" s="390" t="s">
        <v>15303</v>
      </c>
      <c r="E588" s="322">
        <v>3353.25</v>
      </c>
      <c r="F588" s="323">
        <v>42983</v>
      </c>
      <c r="G588" s="322">
        <v>3353.25</v>
      </c>
      <c r="H588" s="322">
        <f t="shared" si="5"/>
        <v>0</v>
      </c>
      <c r="I588" s="325" t="s">
        <v>15214</v>
      </c>
    </row>
    <row r="589" spans="1:9" x14ac:dyDescent="0.25">
      <c r="A589" s="359">
        <v>42983</v>
      </c>
      <c r="B589" s="326" t="s">
        <v>28301</v>
      </c>
      <c r="C589" s="327">
        <v>126348</v>
      </c>
      <c r="D589" s="391" t="s">
        <v>15315</v>
      </c>
      <c r="E589" s="328">
        <v>400.4</v>
      </c>
      <c r="F589" s="329">
        <v>42983</v>
      </c>
      <c r="G589" s="328">
        <v>400.4</v>
      </c>
      <c r="H589" s="347">
        <f t="shared" si="5"/>
        <v>0</v>
      </c>
      <c r="I589" s="331" t="s">
        <v>15214</v>
      </c>
    </row>
    <row r="590" spans="1:9" x14ac:dyDescent="0.25">
      <c r="A590" s="319">
        <v>42983</v>
      </c>
      <c r="B590" s="320" t="s">
        <v>28302</v>
      </c>
      <c r="C590" s="321">
        <v>126349</v>
      </c>
      <c r="D590" s="390" t="s">
        <v>15387</v>
      </c>
      <c r="E590" s="322">
        <v>1458.6</v>
      </c>
      <c r="F590" s="323">
        <v>42983</v>
      </c>
      <c r="G590" s="322">
        <v>1458.6</v>
      </c>
      <c r="H590" s="322">
        <f t="shared" si="5"/>
        <v>0</v>
      </c>
      <c r="I590" s="325" t="s">
        <v>15214</v>
      </c>
    </row>
    <row r="591" spans="1:9" x14ac:dyDescent="0.25">
      <c r="A591" s="359">
        <v>42983</v>
      </c>
      <c r="B591" s="326" t="s">
        <v>28303</v>
      </c>
      <c r="C591" s="327">
        <v>126350</v>
      </c>
      <c r="D591" s="391" t="s">
        <v>15315</v>
      </c>
      <c r="E591" s="328">
        <v>1084.2</v>
      </c>
      <c r="F591" s="329">
        <v>42983</v>
      </c>
      <c r="G591" s="328">
        <v>1084.2</v>
      </c>
      <c r="H591" s="347">
        <f t="shared" si="5"/>
        <v>0</v>
      </c>
      <c r="I591" s="331" t="s">
        <v>15214</v>
      </c>
    </row>
    <row r="592" spans="1:9" x14ac:dyDescent="0.25">
      <c r="A592" s="319">
        <v>42983</v>
      </c>
      <c r="B592" s="320" t="s">
        <v>28304</v>
      </c>
      <c r="C592" s="321">
        <v>126351</v>
      </c>
      <c r="D592" s="390" t="s">
        <v>15301</v>
      </c>
      <c r="E592" s="322">
        <v>3760</v>
      </c>
      <c r="F592" s="323">
        <v>42983</v>
      </c>
      <c r="G592" s="322">
        <v>3760</v>
      </c>
      <c r="H592" s="322">
        <f t="shared" si="5"/>
        <v>0</v>
      </c>
      <c r="I592" s="325" t="s">
        <v>15214</v>
      </c>
    </row>
    <row r="593" spans="1:9" x14ac:dyDescent="0.25">
      <c r="A593" s="359">
        <v>42983</v>
      </c>
      <c r="B593" s="326" t="s">
        <v>28305</v>
      </c>
      <c r="C593" s="327">
        <v>126352</v>
      </c>
      <c r="D593" s="391" t="s">
        <v>15309</v>
      </c>
      <c r="E593" s="328">
        <v>4469.8999999999996</v>
      </c>
      <c r="F593" s="329">
        <v>42983</v>
      </c>
      <c r="G593" s="328">
        <v>4469.8999999999996</v>
      </c>
      <c r="H593" s="347">
        <f t="shared" si="5"/>
        <v>0</v>
      </c>
      <c r="I593" s="331" t="s">
        <v>15214</v>
      </c>
    </row>
    <row r="594" spans="1:9" x14ac:dyDescent="0.25">
      <c r="A594" s="319">
        <v>42983</v>
      </c>
      <c r="B594" s="320" t="s">
        <v>28306</v>
      </c>
      <c r="C594" s="321">
        <v>126353</v>
      </c>
      <c r="D594" s="390" t="s">
        <v>15315</v>
      </c>
      <c r="E594" s="322">
        <v>3840</v>
      </c>
      <c r="F594" s="323">
        <v>42983</v>
      </c>
      <c r="G594" s="322">
        <v>3840</v>
      </c>
      <c r="H594" s="322">
        <f t="shared" si="5"/>
        <v>0</v>
      </c>
      <c r="I594" s="325" t="s">
        <v>15214</v>
      </c>
    </row>
    <row r="595" spans="1:9" x14ac:dyDescent="0.25">
      <c r="A595" s="359">
        <v>42983</v>
      </c>
      <c r="B595" s="326" t="s">
        <v>28307</v>
      </c>
      <c r="C595" s="327">
        <v>126354</v>
      </c>
      <c r="D595" s="391" t="s">
        <v>15307</v>
      </c>
      <c r="E595" s="328">
        <v>13614.3</v>
      </c>
      <c r="F595" s="329">
        <v>42983</v>
      </c>
      <c r="G595" s="328">
        <v>13614.3</v>
      </c>
      <c r="H595" s="347">
        <f t="shared" si="5"/>
        <v>0</v>
      </c>
      <c r="I595" s="331" t="s">
        <v>15214</v>
      </c>
    </row>
    <row r="596" spans="1:9" x14ac:dyDescent="0.25">
      <c r="A596" s="319">
        <v>42983</v>
      </c>
      <c r="B596" s="320" t="s">
        <v>28308</v>
      </c>
      <c r="C596" s="321">
        <v>126355</v>
      </c>
      <c r="D596" s="390" t="s">
        <v>15665</v>
      </c>
      <c r="E596" s="322">
        <v>474</v>
      </c>
      <c r="F596" s="323">
        <v>42983</v>
      </c>
      <c r="G596" s="322">
        <v>474</v>
      </c>
      <c r="H596" s="322">
        <f t="shared" si="5"/>
        <v>0</v>
      </c>
      <c r="I596" s="325" t="s">
        <v>15214</v>
      </c>
    </row>
    <row r="597" spans="1:9" x14ac:dyDescent="0.25">
      <c r="A597" s="359">
        <v>42983</v>
      </c>
      <c r="B597" s="326" t="s">
        <v>28309</v>
      </c>
      <c r="C597" s="327">
        <v>126356</v>
      </c>
      <c r="D597" s="391" t="s">
        <v>15665</v>
      </c>
      <c r="E597" s="328">
        <v>584</v>
      </c>
      <c r="F597" s="329">
        <v>42983</v>
      </c>
      <c r="G597" s="328">
        <v>584</v>
      </c>
      <c r="H597" s="347">
        <f t="shared" si="5"/>
        <v>0</v>
      </c>
      <c r="I597" s="331" t="s">
        <v>15214</v>
      </c>
    </row>
    <row r="598" spans="1:9" x14ac:dyDescent="0.25">
      <c r="A598" s="319">
        <v>42983</v>
      </c>
      <c r="B598" s="320" t="s">
        <v>28310</v>
      </c>
      <c r="C598" s="321">
        <v>126357</v>
      </c>
      <c r="D598" s="390" t="s">
        <v>15291</v>
      </c>
      <c r="E598" s="322">
        <v>672</v>
      </c>
      <c r="F598" s="323">
        <v>42983</v>
      </c>
      <c r="G598" s="322">
        <v>672</v>
      </c>
      <c r="H598" s="322">
        <f t="shared" si="5"/>
        <v>0</v>
      </c>
      <c r="I598" s="325" t="s">
        <v>15214</v>
      </c>
    </row>
    <row r="599" spans="1:9" x14ac:dyDescent="0.25">
      <c r="A599" s="359">
        <v>42983</v>
      </c>
      <c r="B599" s="326" t="s">
        <v>28311</v>
      </c>
      <c r="C599" s="327">
        <v>126358</v>
      </c>
      <c r="D599" s="391" t="s">
        <v>15320</v>
      </c>
      <c r="E599" s="328">
        <v>2002.2</v>
      </c>
      <c r="F599" s="329">
        <v>42983</v>
      </c>
      <c r="G599" s="328">
        <v>2002.2</v>
      </c>
      <c r="H599" s="347">
        <f t="shared" si="5"/>
        <v>0</v>
      </c>
      <c r="I599" s="331" t="s">
        <v>15214</v>
      </c>
    </row>
    <row r="600" spans="1:9" x14ac:dyDescent="0.25">
      <c r="A600" s="319">
        <v>42983</v>
      </c>
      <c r="B600" s="320" t="s">
        <v>28312</v>
      </c>
      <c r="C600" s="321">
        <v>126359</v>
      </c>
      <c r="D600" s="390" t="s">
        <v>15311</v>
      </c>
      <c r="E600" s="322">
        <v>2064.6</v>
      </c>
      <c r="F600" s="323">
        <v>42983</v>
      </c>
      <c r="G600" s="322">
        <v>2064.6</v>
      </c>
      <c r="H600" s="322">
        <f t="shared" si="5"/>
        <v>0</v>
      </c>
      <c r="I600" s="325" t="s">
        <v>15214</v>
      </c>
    </row>
    <row r="601" spans="1:9" x14ac:dyDescent="0.25">
      <c r="A601" s="359">
        <v>42983</v>
      </c>
      <c r="B601" s="326" t="s">
        <v>28313</v>
      </c>
      <c r="C601" s="327">
        <v>126360</v>
      </c>
      <c r="D601" s="391" t="s">
        <v>15284</v>
      </c>
      <c r="E601" s="328">
        <v>658.7</v>
      </c>
      <c r="F601" s="329">
        <v>42983</v>
      </c>
      <c r="G601" s="328">
        <v>658.7</v>
      </c>
      <c r="H601" s="347">
        <f t="shared" si="5"/>
        <v>0</v>
      </c>
      <c r="I601" s="331" t="s">
        <v>15214</v>
      </c>
    </row>
    <row r="602" spans="1:9" x14ac:dyDescent="0.25">
      <c r="A602" s="319">
        <v>42983</v>
      </c>
      <c r="B602" s="320" t="s">
        <v>28314</v>
      </c>
      <c r="C602" s="321">
        <v>126361</v>
      </c>
      <c r="D602" s="390" t="s">
        <v>19768</v>
      </c>
      <c r="E602" s="322">
        <v>1440</v>
      </c>
      <c r="F602" s="323">
        <v>42983</v>
      </c>
      <c r="G602" s="322">
        <v>1440</v>
      </c>
      <c r="H602" s="322">
        <f t="shared" si="5"/>
        <v>0</v>
      </c>
      <c r="I602" s="325" t="s">
        <v>15214</v>
      </c>
    </row>
    <row r="603" spans="1:9" x14ac:dyDescent="0.25">
      <c r="A603" s="359">
        <v>42983</v>
      </c>
      <c r="B603" s="326" t="s">
        <v>28315</v>
      </c>
      <c r="C603" s="327">
        <v>126362</v>
      </c>
      <c r="D603" s="391" t="s">
        <v>15282</v>
      </c>
      <c r="E603" s="328">
        <v>3575.4</v>
      </c>
      <c r="F603" s="329">
        <v>42983</v>
      </c>
      <c r="G603" s="328">
        <v>3575.4</v>
      </c>
      <c r="H603" s="347">
        <f t="shared" si="5"/>
        <v>0</v>
      </c>
      <c r="I603" s="331" t="s">
        <v>15214</v>
      </c>
    </row>
    <row r="604" spans="1:9" x14ac:dyDescent="0.25">
      <c r="A604" s="319">
        <v>42983</v>
      </c>
      <c r="B604" s="320" t="s">
        <v>28316</v>
      </c>
      <c r="C604" s="321">
        <v>126363</v>
      </c>
      <c r="D604" s="390" t="s">
        <v>15315</v>
      </c>
      <c r="E604" s="322">
        <v>1336.7</v>
      </c>
      <c r="F604" s="323">
        <v>42983</v>
      </c>
      <c r="G604" s="322">
        <v>1336.7</v>
      </c>
      <c r="H604" s="322">
        <f t="shared" si="5"/>
        <v>0</v>
      </c>
      <c r="I604" s="325" t="s">
        <v>15214</v>
      </c>
    </row>
    <row r="605" spans="1:9" x14ac:dyDescent="0.25">
      <c r="A605" s="359">
        <v>42983</v>
      </c>
      <c r="B605" s="326" t="s">
        <v>28317</v>
      </c>
      <c r="C605" s="327">
        <v>126364</v>
      </c>
      <c r="D605" s="391" t="s">
        <v>15562</v>
      </c>
      <c r="E605" s="328">
        <v>3565</v>
      </c>
      <c r="F605" s="329">
        <v>42983</v>
      </c>
      <c r="G605" s="328">
        <v>3565</v>
      </c>
      <c r="H605" s="347">
        <f t="shared" si="5"/>
        <v>0</v>
      </c>
      <c r="I605" s="331" t="s">
        <v>15214</v>
      </c>
    </row>
    <row r="606" spans="1:9" x14ac:dyDescent="0.25">
      <c r="A606" s="319">
        <v>42983</v>
      </c>
      <c r="B606" s="320" t="s">
        <v>28318</v>
      </c>
      <c r="C606" s="321">
        <v>126365</v>
      </c>
      <c r="D606" s="390" t="s">
        <v>15409</v>
      </c>
      <c r="E606" s="322">
        <v>12810</v>
      </c>
      <c r="F606" s="323">
        <v>42983</v>
      </c>
      <c r="G606" s="322">
        <v>12810</v>
      </c>
      <c r="H606" s="322">
        <f t="shared" si="5"/>
        <v>0</v>
      </c>
      <c r="I606" s="325" t="s">
        <v>15214</v>
      </c>
    </row>
    <row r="607" spans="1:9" x14ac:dyDescent="0.25">
      <c r="A607" s="359">
        <v>42983</v>
      </c>
      <c r="B607" s="326" t="s">
        <v>28319</v>
      </c>
      <c r="C607" s="327">
        <v>126366</v>
      </c>
      <c r="D607" s="391" t="s">
        <v>15298</v>
      </c>
      <c r="E607" s="328">
        <v>4876</v>
      </c>
      <c r="F607" s="329">
        <v>42983</v>
      </c>
      <c r="G607" s="328">
        <v>4876</v>
      </c>
      <c r="H607" s="347">
        <f t="shared" si="5"/>
        <v>0</v>
      </c>
      <c r="I607" s="331" t="s">
        <v>15214</v>
      </c>
    </row>
    <row r="608" spans="1:9" x14ac:dyDescent="0.25">
      <c r="A608" s="319">
        <v>42983</v>
      </c>
      <c r="B608" s="320" t="s">
        <v>28320</v>
      </c>
      <c r="C608" s="321">
        <v>126367</v>
      </c>
      <c r="D608" s="390" t="s">
        <v>15315</v>
      </c>
      <c r="E608" s="322">
        <v>528</v>
      </c>
      <c r="F608" s="323">
        <v>42983</v>
      </c>
      <c r="G608" s="322">
        <v>528</v>
      </c>
      <c r="H608" s="322">
        <f t="shared" si="5"/>
        <v>0</v>
      </c>
      <c r="I608" s="325" t="s">
        <v>15214</v>
      </c>
    </row>
    <row r="609" spans="1:9" x14ac:dyDescent="0.25">
      <c r="A609" s="359">
        <v>42983</v>
      </c>
      <c r="B609" s="326" t="s">
        <v>28321</v>
      </c>
      <c r="C609" s="327">
        <v>126368</v>
      </c>
      <c r="D609" s="391" t="s">
        <v>15566</v>
      </c>
      <c r="E609" s="328">
        <v>4232</v>
      </c>
      <c r="F609" s="329">
        <v>42983</v>
      </c>
      <c r="G609" s="328">
        <v>4232</v>
      </c>
      <c r="H609" s="347">
        <f t="shared" si="5"/>
        <v>0</v>
      </c>
      <c r="I609" s="331" t="s">
        <v>15214</v>
      </c>
    </row>
    <row r="610" spans="1:9" x14ac:dyDescent="0.25">
      <c r="A610" s="319">
        <v>42983</v>
      </c>
      <c r="B610" s="320" t="s">
        <v>28322</v>
      </c>
      <c r="C610" s="321">
        <v>126369</v>
      </c>
      <c r="D610" s="390" t="s">
        <v>15617</v>
      </c>
      <c r="E610" s="322">
        <v>28992</v>
      </c>
      <c r="F610" s="323">
        <v>42984</v>
      </c>
      <c r="G610" s="322">
        <v>28992</v>
      </c>
      <c r="H610" s="322">
        <f t="shared" si="5"/>
        <v>0</v>
      </c>
      <c r="I610" s="325" t="s">
        <v>15214</v>
      </c>
    </row>
    <row r="611" spans="1:9" x14ac:dyDescent="0.25">
      <c r="A611" s="359">
        <v>42983</v>
      </c>
      <c r="B611" s="326" t="s">
        <v>28323</v>
      </c>
      <c r="C611" s="327">
        <v>126370</v>
      </c>
      <c r="D611" s="391" t="s">
        <v>15276</v>
      </c>
      <c r="E611" s="328">
        <v>2400</v>
      </c>
      <c r="F611" s="329">
        <v>42984</v>
      </c>
      <c r="G611" s="328">
        <v>2400</v>
      </c>
      <c r="H611" s="347">
        <f t="shared" si="5"/>
        <v>0</v>
      </c>
      <c r="I611" s="331" t="s">
        <v>15214</v>
      </c>
    </row>
    <row r="612" spans="1:9" x14ac:dyDescent="0.25">
      <c r="A612" s="319">
        <v>42983</v>
      </c>
      <c r="B612" s="320" t="s">
        <v>28324</v>
      </c>
      <c r="C612" s="321">
        <v>126371</v>
      </c>
      <c r="D612" s="390" t="s">
        <v>15782</v>
      </c>
      <c r="E612" s="322">
        <v>910.8</v>
      </c>
      <c r="F612" s="323">
        <v>42984</v>
      </c>
      <c r="G612" s="322">
        <v>910.8</v>
      </c>
      <c r="H612" s="322">
        <f t="shared" si="5"/>
        <v>0</v>
      </c>
      <c r="I612" s="325" t="s">
        <v>15214</v>
      </c>
    </row>
    <row r="613" spans="1:9" x14ac:dyDescent="0.25">
      <c r="A613" s="359">
        <v>42983</v>
      </c>
      <c r="B613" s="326" t="s">
        <v>28325</v>
      </c>
      <c r="C613" s="327">
        <v>126372</v>
      </c>
      <c r="D613" s="391" t="s">
        <v>15398</v>
      </c>
      <c r="E613" s="328">
        <v>3825.6</v>
      </c>
      <c r="F613" s="329">
        <v>42983</v>
      </c>
      <c r="G613" s="328">
        <v>3825.6</v>
      </c>
      <c r="H613" s="347">
        <f t="shared" si="5"/>
        <v>0</v>
      </c>
      <c r="I613" s="331" t="s">
        <v>15214</v>
      </c>
    </row>
    <row r="614" spans="1:9" x14ac:dyDescent="0.25">
      <c r="A614" s="319">
        <v>42983</v>
      </c>
      <c r="B614" s="320" t="s">
        <v>28326</v>
      </c>
      <c r="C614" s="321">
        <v>126373</v>
      </c>
      <c r="D614" s="390" t="s">
        <v>15417</v>
      </c>
      <c r="E614" s="322">
        <v>1936.4</v>
      </c>
      <c r="F614" s="323">
        <v>42984</v>
      </c>
      <c r="G614" s="322">
        <v>1936.4</v>
      </c>
      <c r="H614" s="322">
        <f t="shared" si="5"/>
        <v>0</v>
      </c>
      <c r="I614" s="325" t="s">
        <v>15214</v>
      </c>
    </row>
    <row r="615" spans="1:9" ht="15.75" x14ac:dyDescent="0.25">
      <c r="A615" s="359">
        <v>42983</v>
      </c>
      <c r="B615" s="326" t="s">
        <v>28327</v>
      </c>
      <c r="C615" s="327">
        <v>126374</v>
      </c>
      <c r="D615" s="345" t="s">
        <v>95</v>
      </c>
      <c r="E615" s="328">
        <v>0</v>
      </c>
      <c r="F615" s="346" t="s">
        <v>95</v>
      </c>
      <c r="G615" s="328">
        <v>0</v>
      </c>
      <c r="H615" s="347">
        <f t="shared" si="5"/>
        <v>0</v>
      </c>
      <c r="I615" s="331" t="s">
        <v>95</v>
      </c>
    </row>
    <row r="616" spans="1:9" x14ac:dyDescent="0.25">
      <c r="A616" s="319">
        <v>42983</v>
      </c>
      <c r="B616" s="320" t="s">
        <v>28328</v>
      </c>
      <c r="C616" s="321">
        <v>126375</v>
      </c>
      <c r="D616" s="390" t="s">
        <v>16297</v>
      </c>
      <c r="E616" s="322">
        <v>8121.6</v>
      </c>
      <c r="F616" s="323">
        <v>42983</v>
      </c>
      <c r="G616" s="322">
        <v>8121.6</v>
      </c>
      <c r="H616" s="322">
        <f t="shared" si="5"/>
        <v>0</v>
      </c>
      <c r="I616" s="325" t="s">
        <v>15214</v>
      </c>
    </row>
    <row r="617" spans="1:9" x14ac:dyDescent="0.25">
      <c r="A617" s="359">
        <v>42983</v>
      </c>
      <c r="B617" s="326" t="s">
        <v>28329</v>
      </c>
      <c r="C617" s="327">
        <v>126376</v>
      </c>
      <c r="D617" s="391" t="s">
        <v>22563</v>
      </c>
      <c r="E617" s="328">
        <v>9351.6</v>
      </c>
      <c r="F617" s="329">
        <v>42984</v>
      </c>
      <c r="G617" s="328">
        <v>9351.6</v>
      </c>
      <c r="H617" s="347">
        <f t="shared" si="5"/>
        <v>0</v>
      </c>
      <c r="I617" s="331" t="s">
        <v>15214</v>
      </c>
    </row>
    <row r="618" spans="1:9" x14ac:dyDescent="0.25">
      <c r="A618" s="319">
        <v>42983</v>
      </c>
      <c r="B618" s="320" t="s">
        <v>28330</v>
      </c>
      <c r="C618" s="321">
        <v>126377</v>
      </c>
      <c r="D618" s="390" t="s">
        <v>15600</v>
      </c>
      <c r="E618" s="322">
        <v>9028.2000000000007</v>
      </c>
      <c r="F618" s="323">
        <v>42984</v>
      </c>
      <c r="G618" s="322">
        <v>9028.2000000000007</v>
      </c>
      <c r="H618" s="322">
        <f t="shared" si="5"/>
        <v>0</v>
      </c>
      <c r="I618" s="325" t="s">
        <v>15214</v>
      </c>
    </row>
    <row r="619" spans="1:9" x14ac:dyDescent="0.25">
      <c r="A619" s="359">
        <v>42983</v>
      </c>
      <c r="B619" s="326" t="s">
        <v>28331</v>
      </c>
      <c r="C619" s="327">
        <v>126378</v>
      </c>
      <c r="D619" s="391" t="s">
        <v>15389</v>
      </c>
      <c r="E619" s="328">
        <v>17398.7</v>
      </c>
      <c r="F619" s="329">
        <v>42997</v>
      </c>
      <c r="G619" s="328">
        <v>17398.7</v>
      </c>
      <c r="H619" s="347">
        <f t="shared" si="5"/>
        <v>0</v>
      </c>
      <c r="I619" s="331" t="s">
        <v>15214</v>
      </c>
    </row>
    <row r="620" spans="1:9" x14ac:dyDescent="0.25">
      <c r="A620" s="319">
        <v>42983</v>
      </c>
      <c r="B620" s="320" t="s">
        <v>28332</v>
      </c>
      <c r="C620" s="321">
        <v>126379</v>
      </c>
      <c r="D620" s="390" t="s">
        <v>15444</v>
      </c>
      <c r="E620" s="322">
        <v>2264.6</v>
      </c>
      <c r="F620" s="323">
        <v>42984</v>
      </c>
      <c r="G620" s="322">
        <v>2264.6</v>
      </c>
      <c r="H620" s="322">
        <f t="shared" si="5"/>
        <v>0</v>
      </c>
      <c r="I620" s="325" t="s">
        <v>15214</v>
      </c>
    </row>
    <row r="621" spans="1:9" x14ac:dyDescent="0.25">
      <c r="A621" s="359">
        <v>42983</v>
      </c>
      <c r="B621" s="326" t="s">
        <v>28333</v>
      </c>
      <c r="C621" s="327">
        <v>126380</v>
      </c>
      <c r="D621" s="391" t="s">
        <v>15322</v>
      </c>
      <c r="E621" s="328">
        <v>1188</v>
      </c>
      <c r="F621" s="329">
        <v>42983</v>
      </c>
      <c r="G621" s="328">
        <v>1188</v>
      </c>
      <c r="H621" s="347">
        <f t="shared" si="5"/>
        <v>0</v>
      </c>
      <c r="I621" s="331" t="s">
        <v>15214</v>
      </c>
    </row>
    <row r="622" spans="1:9" x14ac:dyDescent="0.25">
      <c r="A622" s="319">
        <v>42983</v>
      </c>
      <c r="B622" s="320" t="s">
        <v>28334</v>
      </c>
      <c r="C622" s="321">
        <v>126381</v>
      </c>
      <c r="D622" s="390" t="s">
        <v>15315</v>
      </c>
      <c r="E622" s="322">
        <v>131.4</v>
      </c>
      <c r="F622" s="323">
        <v>42983</v>
      </c>
      <c r="G622" s="322">
        <v>131.4</v>
      </c>
      <c r="H622" s="322">
        <f t="shared" si="5"/>
        <v>0</v>
      </c>
      <c r="I622" s="325" t="s">
        <v>15214</v>
      </c>
    </row>
    <row r="623" spans="1:9" x14ac:dyDescent="0.25">
      <c r="A623" s="359">
        <v>42983</v>
      </c>
      <c r="B623" s="326" t="s">
        <v>28335</v>
      </c>
      <c r="C623" s="327">
        <v>126382</v>
      </c>
      <c r="D623" s="391" t="s">
        <v>15246</v>
      </c>
      <c r="E623" s="328">
        <v>239653.28</v>
      </c>
      <c r="F623" s="329">
        <v>42987</v>
      </c>
      <c r="G623" s="328">
        <v>239653.28</v>
      </c>
      <c r="H623" s="347">
        <f t="shared" si="5"/>
        <v>0</v>
      </c>
      <c r="I623" s="331" t="s">
        <v>15214</v>
      </c>
    </row>
    <row r="624" spans="1:9" x14ac:dyDescent="0.25">
      <c r="A624" s="319">
        <v>42983</v>
      </c>
      <c r="B624" s="320" t="s">
        <v>28336</v>
      </c>
      <c r="C624" s="321">
        <v>126383</v>
      </c>
      <c r="D624" s="390" t="s">
        <v>15890</v>
      </c>
      <c r="E624" s="322">
        <v>9624.1</v>
      </c>
      <c r="F624" s="323">
        <v>42990</v>
      </c>
      <c r="G624" s="322">
        <v>9624.1</v>
      </c>
      <c r="H624" s="322">
        <f t="shared" si="5"/>
        <v>0</v>
      </c>
      <c r="I624" s="325" t="s">
        <v>15214</v>
      </c>
    </row>
    <row r="625" spans="1:9" x14ac:dyDescent="0.25">
      <c r="A625" s="359">
        <v>42983</v>
      </c>
      <c r="B625" s="326" t="s">
        <v>28337</v>
      </c>
      <c r="C625" s="327">
        <v>126384</v>
      </c>
      <c r="D625" s="391" t="s">
        <v>16732</v>
      </c>
      <c r="E625" s="328">
        <v>32428.55</v>
      </c>
      <c r="F625" s="329">
        <v>42985</v>
      </c>
      <c r="G625" s="328">
        <v>32428.55</v>
      </c>
      <c r="H625" s="347">
        <f t="shared" ref="H625:H688" si="6">E625-G625</f>
        <v>0</v>
      </c>
      <c r="I625" s="331" t="s">
        <v>15214</v>
      </c>
    </row>
    <row r="626" spans="1:9" x14ac:dyDescent="0.25">
      <c r="A626" s="319">
        <v>42983</v>
      </c>
      <c r="B626" s="320" t="s">
        <v>28338</v>
      </c>
      <c r="C626" s="321">
        <v>126385</v>
      </c>
      <c r="D626" s="390" t="s">
        <v>15581</v>
      </c>
      <c r="E626" s="322">
        <v>14436.7</v>
      </c>
      <c r="F626" s="323">
        <v>42990</v>
      </c>
      <c r="G626" s="322">
        <v>14436.7</v>
      </c>
      <c r="H626" s="322">
        <f t="shared" si="6"/>
        <v>0</v>
      </c>
      <c r="I626" s="325" t="s">
        <v>15214</v>
      </c>
    </row>
    <row r="627" spans="1:9" x14ac:dyDescent="0.25">
      <c r="A627" s="359">
        <v>42983</v>
      </c>
      <c r="B627" s="326" t="s">
        <v>28339</v>
      </c>
      <c r="C627" s="327">
        <v>126386</v>
      </c>
      <c r="D627" s="391" t="s">
        <v>15246</v>
      </c>
      <c r="E627" s="328">
        <v>91913</v>
      </c>
      <c r="F627" s="329">
        <v>42987</v>
      </c>
      <c r="G627" s="328">
        <v>91913</v>
      </c>
      <c r="H627" s="347">
        <f t="shared" si="6"/>
        <v>0</v>
      </c>
      <c r="I627" s="331" t="s">
        <v>15214</v>
      </c>
    </row>
    <row r="628" spans="1:9" x14ac:dyDescent="0.25">
      <c r="A628" s="319">
        <v>42983</v>
      </c>
      <c r="B628" s="320" t="s">
        <v>28340</v>
      </c>
      <c r="C628" s="321">
        <v>126387</v>
      </c>
      <c r="D628" s="390" t="s">
        <v>15987</v>
      </c>
      <c r="E628" s="322">
        <v>972</v>
      </c>
      <c r="F628" s="323">
        <v>42983</v>
      </c>
      <c r="G628" s="322">
        <v>972</v>
      </c>
      <c r="H628" s="322">
        <f t="shared" si="6"/>
        <v>0</v>
      </c>
      <c r="I628" s="325" t="s">
        <v>15214</v>
      </c>
    </row>
    <row r="629" spans="1:9" x14ac:dyDescent="0.25">
      <c r="A629" s="359">
        <v>42983</v>
      </c>
      <c r="B629" s="326" t="s">
        <v>28341</v>
      </c>
      <c r="C629" s="327">
        <v>126388</v>
      </c>
      <c r="D629" s="391" t="s">
        <v>15435</v>
      </c>
      <c r="E629" s="328">
        <v>8503.2000000000007</v>
      </c>
      <c r="F629" s="329">
        <v>42983</v>
      </c>
      <c r="G629" s="328">
        <v>8503.2000000000007</v>
      </c>
      <c r="H629" s="347">
        <f t="shared" si="6"/>
        <v>0</v>
      </c>
      <c r="I629" s="331" t="s">
        <v>15214</v>
      </c>
    </row>
    <row r="630" spans="1:9" x14ac:dyDescent="0.25">
      <c r="A630" s="319">
        <v>42983</v>
      </c>
      <c r="B630" s="320" t="s">
        <v>28342</v>
      </c>
      <c r="C630" s="321">
        <v>126389</v>
      </c>
      <c r="D630" s="390" t="s">
        <v>15365</v>
      </c>
      <c r="E630" s="322">
        <v>281622</v>
      </c>
      <c r="F630" s="323">
        <v>42992</v>
      </c>
      <c r="G630" s="322">
        <v>281622</v>
      </c>
      <c r="H630" s="322">
        <f t="shared" si="6"/>
        <v>0</v>
      </c>
      <c r="I630" s="325" t="s">
        <v>15214</v>
      </c>
    </row>
    <row r="631" spans="1:9" x14ac:dyDescent="0.25">
      <c r="A631" s="359">
        <v>42983</v>
      </c>
      <c r="B631" s="326" t="s">
        <v>28343</v>
      </c>
      <c r="C631" s="327">
        <v>126390</v>
      </c>
      <c r="D631" s="391" t="s">
        <v>15642</v>
      </c>
      <c r="E631" s="328">
        <v>4172.7</v>
      </c>
      <c r="F631" s="329">
        <v>42984</v>
      </c>
      <c r="G631" s="328">
        <v>4172.7</v>
      </c>
      <c r="H631" s="347">
        <f t="shared" si="6"/>
        <v>0</v>
      </c>
      <c r="I631" s="331" t="s">
        <v>15214</v>
      </c>
    </row>
    <row r="632" spans="1:9" x14ac:dyDescent="0.25">
      <c r="A632" s="319">
        <v>42983</v>
      </c>
      <c r="B632" s="320" t="s">
        <v>28344</v>
      </c>
      <c r="C632" s="321">
        <v>126391</v>
      </c>
      <c r="D632" s="390" t="s">
        <v>15555</v>
      </c>
      <c r="E632" s="322">
        <v>3519.45</v>
      </c>
      <c r="F632" s="323">
        <v>43004</v>
      </c>
      <c r="G632" s="322">
        <v>3519.45</v>
      </c>
      <c r="H632" s="322">
        <f t="shared" si="6"/>
        <v>0</v>
      </c>
      <c r="I632" s="325" t="s">
        <v>15214</v>
      </c>
    </row>
    <row r="633" spans="1:9" x14ac:dyDescent="0.25">
      <c r="A633" s="359">
        <v>42984</v>
      </c>
      <c r="B633" s="326" t="s">
        <v>28345</v>
      </c>
      <c r="C633" s="327">
        <v>126392</v>
      </c>
      <c r="D633" s="391" t="s">
        <v>15330</v>
      </c>
      <c r="E633" s="328">
        <v>4005.7</v>
      </c>
      <c r="F633" s="329">
        <v>42984</v>
      </c>
      <c r="G633" s="328">
        <v>4005.7</v>
      </c>
      <c r="H633" s="347">
        <f t="shared" si="6"/>
        <v>0</v>
      </c>
      <c r="I633" s="331" t="s">
        <v>15214</v>
      </c>
    </row>
    <row r="634" spans="1:9" x14ac:dyDescent="0.25">
      <c r="A634" s="319">
        <v>42984</v>
      </c>
      <c r="B634" s="320" t="s">
        <v>28346</v>
      </c>
      <c r="C634" s="321">
        <v>126393</v>
      </c>
      <c r="D634" s="390" t="s">
        <v>15213</v>
      </c>
      <c r="E634" s="322">
        <v>34157.699999999997</v>
      </c>
      <c r="F634" s="323">
        <v>42985</v>
      </c>
      <c r="G634" s="322">
        <v>34157.699999999997</v>
      </c>
      <c r="H634" s="322">
        <f t="shared" si="6"/>
        <v>0</v>
      </c>
      <c r="I634" s="325" t="s">
        <v>15214</v>
      </c>
    </row>
    <row r="635" spans="1:9" x14ac:dyDescent="0.25">
      <c r="A635" s="359">
        <v>42984</v>
      </c>
      <c r="B635" s="326" t="s">
        <v>28347</v>
      </c>
      <c r="C635" s="327">
        <v>126394</v>
      </c>
      <c r="D635" s="391" t="s">
        <v>15250</v>
      </c>
      <c r="E635" s="328">
        <v>32340</v>
      </c>
      <c r="F635" s="329">
        <v>42987</v>
      </c>
      <c r="G635" s="328">
        <v>32340</v>
      </c>
      <c r="H635" s="347">
        <f t="shared" si="6"/>
        <v>0</v>
      </c>
      <c r="I635" s="331" t="s">
        <v>15214</v>
      </c>
    </row>
    <row r="636" spans="1:9" x14ac:dyDescent="0.25">
      <c r="A636" s="319">
        <v>42984</v>
      </c>
      <c r="B636" s="320" t="s">
        <v>28348</v>
      </c>
      <c r="C636" s="321">
        <v>126395</v>
      </c>
      <c r="D636" s="390" t="s">
        <v>15216</v>
      </c>
      <c r="E636" s="322">
        <v>1876</v>
      </c>
      <c r="F636" s="323">
        <v>42984</v>
      </c>
      <c r="G636" s="322">
        <v>1876</v>
      </c>
      <c r="H636" s="322">
        <f t="shared" si="6"/>
        <v>0</v>
      </c>
      <c r="I636" s="325" t="s">
        <v>15214</v>
      </c>
    </row>
    <row r="637" spans="1:9" x14ac:dyDescent="0.25">
      <c r="A637" s="359">
        <v>42984</v>
      </c>
      <c r="B637" s="326" t="s">
        <v>28349</v>
      </c>
      <c r="C637" s="327">
        <v>126396</v>
      </c>
      <c r="D637" s="391" t="s">
        <v>15415</v>
      </c>
      <c r="E637" s="328">
        <v>3360</v>
      </c>
      <c r="F637" s="329">
        <v>42989</v>
      </c>
      <c r="G637" s="328">
        <v>3360</v>
      </c>
      <c r="H637" s="347">
        <f t="shared" si="6"/>
        <v>0</v>
      </c>
      <c r="I637" s="331" t="s">
        <v>15214</v>
      </c>
    </row>
    <row r="638" spans="1:9" x14ac:dyDescent="0.25">
      <c r="A638" s="319">
        <v>42984</v>
      </c>
      <c r="B638" s="320" t="s">
        <v>28350</v>
      </c>
      <c r="C638" s="321">
        <v>126397</v>
      </c>
      <c r="D638" s="390" t="s">
        <v>16064</v>
      </c>
      <c r="E638" s="322">
        <v>6113.4</v>
      </c>
      <c r="F638" s="323">
        <v>42985</v>
      </c>
      <c r="G638" s="322">
        <v>6113.4</v>
      </c>
      <c r="H638" s="322">
        <f t="shared" si="6"/>
        <v>0</v>
      </c>
      <c r="I638" s="325" t="s">
        <v>15214</v>
      </c>
    </row>
    <row r="639" spans="1:9" x14ac:dyDescent="0.25">
      <c r="A639" s="359">
        <v>42984</v>
      </c>
      <c r="B639" s="326" t="s">
        <v>28351</v>
      </c>
      <c r="C639" s="327">
        <v>126398</v>
      </c>
      <c r="D639" s="391" t="s">
        <v>15234</v>
      </c>
      <c r="E639" s="328">
        <v>4122.8999999999996</v>
      </c>
      <c r="F639" s="329">
        <v>42986</v>
      </c>
      <c r="G639" s="328">
        <v>4122.8999999999996</v>
      </c>
      <c r="H639" s="347">
        <f t="shared" si="6"/>
        <v>0</v>
      </c>
      <c r="I639" s="331" t="s">
        <v>15214</v>
      </c>
    </row>
    <row r="640" spans="1:9" x14ac:dyDescent="0.25">
      <c r="A640" s="319">
        <v>42984</v>
      </c>
      <c r="B640" s="320" t="s">
        <v>28352</v>
      </c>
      <c r="C640" s="321">
        <v>126399</v>
      </c>
      <c r="D640" s="390" t="s">
        <v>15236</v>
      </c>
      <c r="E640" s="322">
        <v>3562.9</v>
      </c>
      <c r="F640" s="323">
        <v>42986</v>
      </c>
      <c r="G640" s="322">
        <v>3562.9</v>
      </c>
      <c r="H640" s="322">
        <f t="shared" si="6"/>
        <v>0</v>
      </c>
      <c r="I640" s="325" t="s">
        <v>15214</v>
      </c>
    </row>
    <row r="641" spans="1:9" x14ac:dyDescent="0.25">
      <c r="A641" s="359">
        <v>42984</v>
      </c>
      <c r="B641" s="326" t="s">
        <v>28353</v>
      </c>
      <c r="C641" s="327">
        <v>126400</v>
      </c>
      <c r="D641" s="391" t="s">
        <v>15256</v>
      </c>
      <c r="E641" s="328">
        <v>2376</v>
      </c>
      <c r="F641" s="329">
        <v>42986</v>
      </c>
      <c r="G641" s="328">
        <v>2376</v>
      </c>
      <c r="H641" s="347">
        <f t="shared" si="6"/>
        <v>0</v>
      </c>
      <c r="I641" s="331" t="s">
        <v>15214</v>
      </c>
    </row>
    <row r="642" spans="1:9" x14ac:dyDescent="0.25">
      <c r="A642" s="319">
        <v>42984</v>
      </c>
      <c r="B642" s="320" t="s">
        <v>28354</v>
      </c>
      <c r="C642" s="321">
        <v>126401</v>
      </c>
      <c r="D642" s="390" t="s">
        <v>15258</v>
      </c>
      <c r="E642" s="322">
        <v>7702.5</v>
      </c>
      <c r="F642" s="323">
        <v>42985</v>
      </c>
      <c r="G642" s="322">
        <v>7702.5</v>
      </c>
      <c r="H642" s="322">
        <f t="shared" si="6"/>
        <v>0</v>
      </c>
      <c r="I642" s="325" t="s">
        <v>15214</v>
      </c>
    </row>
    <row r="643" spans="1:9" x14ac:dyDescent="0.25">
      <c r="A643" s="359">
        <v>42984</v>
      </c>
      <c r="B643" s="326" t="s">
        <v>28355</v>
      </c>
      <c r="C643" s="327">
        <v>126402</v>
      </c>
      <c r="D643" s="391" t="s">
        <v>15365</v>
      </c>
      <c r="E643" s="328">
        <v>28020.9</v>
      </c>
      <c r="F643" s="329">
        <v>42992</v>
      </c>
      <c r="G643" s="328">
        <v>28020.9</v>
      </c>
      <c r="H643" s="347">
        <f t="shared" si="6"/>
        <v>0</v>
      </c>
      <c r="I643" s="331" t="s">
        <v>15214</v>
      </c>
    </row>
    <row r="644" spans="1:9" x14ac:dyDescent="0.25">
      <c r="A644" s="319">
        <v>42984</v>
      </c>
      <c r="B644" s="320" t="s">
        <v>28356</v>
      </c>
      <c r="C644" s="321">
        <v>126403</v>
      </c>
      <c r="D644" s="390" t="s">
        <v>15230</v>
      </c>
      <c r="E644" s="322">
        <v>10789.2</v>
      </c>
      <c r="F644" s="323">
        <v>42987</v>
      </c>
      <c r="G644" s="322">
        <v>10789.2</v>
      </c>
      <c r="H644" s="322">
        <f t="shared" si="6"/>
        <v>0</v>
      </c>
      <c r="I644" s="325" t="s">
        <v>15214</v>
      </c>
    </row>
    <row r="645" spans="1:9" x14ac:dyDescent="0.25">
      <c r="A645" s="359">
        <v>42984</v>
      </c>
      <c r="B645" s="326" t="s">
        <v>28357</v>
      </c>
      <c r="C645" s="327">
        <v>126404</v>
      </c>
      <c r="D645" s="391" t="s">
        <v>15236</v>
      </c>
      <c r="E645" s="328">
        <v>46.8</v>
      </c>
      <c r="F645" s="329">
        <v>42986</v>
      </c>
      <c r="G645" s="328">
        <v>46.8</v>
      </c>
      <c r="H645" s="347">
        <f t="shared" si="6"/>
        <v>0</v>
      </c>
      <c r="I645" s="331" t="s">
        <v>15214</v>
      </c>
    </row>
    <row r="646" spans="1:9" x14ac:dyDescent="0.25">
      <c r="A646" s="319">
        <v>42984</v>
      </c>
      <c r="B646" s="320" t="s">
        <v>28358</v>
      </c>
      <c r="C646" s="321">
        <v>126405</v>
      </c>
      <c r="D646" s="390" t="s">
        <v>15242</v>
      </c>
      <c r="E646" s="322">
        <v>5016</v>
      </c>
      <c r="F646" s="323">
        <v>42984</v>
      </c>
      <c r="G646" s="322">
        <v>5016</v>
      </c>
      <c r="H646" s="322">
        <f t="shared" si="6"/>
        <v>0</v>
      </c>
      <c r="I646" s="325" t="s">
        <v>15214</v>
      </c>
    </row>
    <row r="647" spans="1:9" x14ac:dyDescent="0.25">
      <c r="A647" s="359">
        <v>42984</v>
      </c>
      <c r="B647" s="326" t="s">
        <v>28359</v>
      </c>
      <c r="C647" s="327">
        <v>126406</v>
      </c>
      <c r="D647" s="391" t="s">
        <v>15232</v>
      </c>
      <c r="E647" s="328">
        <v>6463.8</v>
      </c>
      <c r="F647" s="329">
        <v>42987</v>
      </c>
      <c r="G647" s="328">
        <v>6463.8</v>
      </c>
      <c r="H647" s="347">
        <f t="shared" si="6"/>
        <v>0</v>
      </c>
      <c r="I647" s="331" t="s">
        <v>15214</v>
      </c>
    </row>
    <row r="648" spans="1:9" x14ac:dyDescent="0.25">
      <c r="A648" s="319">
        <v>42984</v>
      </c>
      <c r="B648" s="320" t="s">
        <v>28360</v>
      </c>
      <c r="C648" s="321">
        <v>126407</v>
      </c>
      <c r="D648" s="390" t="s">
        <v>15668</v>
      </c>
      <c r="E648" s="322">
        <v>10973.1</v>
      </c>
      <c r="F648" s="323">
        <v>42984</v>
      </c>
      <c r="G648" s="322">
        <v>10973.1</v>
      </c>
      <c r="H648" s="322">
        <f t="shared" si="6"/>
        <v>0</v>
      </c>
      <c r="I648" s="325" t="s">
        <v>15214</v>
      </c>
    </row>
    <row r="649" spans="1:9" x14ac:dyDescent="0.25">
      <c r="A649" s="359">
        <v>42984</v>
      </c>
      <c r="B649" s="326" t="s">
        <v>28361</v>
      </c>
      <c r="C649" s="327">
        <v>126408</v>
      </c>
      <c r="D649" s="391" t="s">
        <v>15334</v>
      </c>
      <c r="E649" s="328">
        <v>1608</v>
      </c>
      <c r="F649" s="329">
        <v>42984</v>
      </c>
      <c r="G649" s="328">
        <v>1608</v>
      </c>
      <c r="H649" s="347">
        <f t="shared" si="6"/>
        <v>0</v>
      </c>
      <c r="I649" s="331" t="s">
        <v>15214</v>
      </c>
    </row>
    <row r="650" spans="1:9" x14ac:dyDescent="0.25">
      <c r="A650" s="319">
        <v>42984</v>
      </c>
      <c r="B650" s="320" t="s">
        <v>28362</v>
      </c>
      <c r="C650" s="321">
        <v>126409</v>
      </c>
      <c r="D650" s="390" t="s">
        <v>15238</v>
      </c>
      <c r="E650" s="322">
        <v>5748.8</v>
      </c>
      <c r="F650" s="323">
        <v>42986</v>
      </c>
      <c r="G650" s="322">
        <v>5748.8</v>
      </c>
      <c r="H650" s="322">
        <f t="shared" si="6"/>
        <v>0</v>
      </c>
      <c r="I650" s="325" t="s">
        <v>15214</v>
      </c>
    </row>
    <row r="651" spans="1:9" x14ac:dyDescent="0.25">
      <c r="A651" s="359">
        <v>42984</v>
      </c>
      <c r="B651" s="326" t="s">
        <v>28363</v>
      </c>
      <c r="C651" s="327">
        <v>126410</v>
      </c>
      <c r="D651" s="391" t="s">
        <v>17462</v>
      </c>
      <c r="E651" s="328">
        <v>6544</v>
      </c>
      <c r="F651" s="329">
        <v>42984</v>
      </c>
      <c r="G651" s="328">
        <v>6544</v>
      </c>
      <c r="H651" s="347">
        <f t="shared" si="6"/>
        <v>0</v>
      </c>
      <c r="I651" s="331" t="s">
        <v>15214</v>
      </c>
    </row>
    <row r="652" spans="1:9" x14ac:dyDescent="0.25">
      <c r="A652" s="319">
        <v>42984</v>
      </c>
      <c r="B652" s="320" t="s">
        <v>28364</v>
      </c>
      <c r="C652" s="321">
        <v>126411</v>
      </c>
      <c r="D652" s="390" t="s">
        <v>5575</v>
      </c>
      <c r="E652" s="322">
        <v>1414.8</v>
      </c>
      <c r="F652" s="323">
        <v>42985</v>
      </c>
      <c r="G652" s="322">
        <v>1414.8</v>
      </c>
      <c r="H652" s="322">
        <f t="shared" si="6"/>
        <v>0</v>
      </c>
      <c r="I652" s="325" t="s">
        <v>15214</v>
      </c>
    </row>
    <row r="653" spans="1:9" x14ac:dyDescent="0.25">
      <c r="A653" s="359">
        <v>42984</v>
      </c>
      <c r="B653" s="326" t="s">
        <v>28365</v>
      </c>
      <c r="C653" s="327">
        <v>126412</v>
      </c>
      <c r="D653" s="391" t="s">
        <v>15387</v>
      </c>
      <c r="E653" s="328">
        <v>1087.2</v>
      </c>
      <c r="F653" s="329">
        <v>42985</v>
      </c>
      <c r="G653" s="328">
        <v>1087.2</v>
      </c>
      <c r="H653" s="347">
        <f t="shared" si="6"/>
        <v>0</v>
      </c>
      <c r="I653" s="331" t="s">
        <v>15214</v>
      </c>
    </row>
    <row r="654" spans="1:9" x14ac:dyDescent="0.25">
      <c r="A654" s="319">
        <v>42984</v>
      </c>
      <c r="B654" s="320" t="s">
        <v>28366</v>
      </c>
      <c r="C654" s="321">
        <v>126413</v>
      </c>
      <c r="D654" s="390" t="s">
        <v>15223</v>
      </c>
      <c r="E654" s="322">
        <v>52758</v>
      </c>
      <c r="F654" s="323">
        <v>43010</v>
      </c>
      <c r="G654" s="322">
        <v>52758</v>
      </c>
      <c r="H654" s="322">
        <f t="shared" si="6"/>
        <v>0</v>
      </c>
      <c r="I654" s="325" t="s">
        <v>15214</v>
      </c>
    </row>
    <row r="655" spans="1:9" x14ac:dyDescent="0.25">
      <c r="A655" s="359">
        <v>42984</v>
      </c>
      <c r="B655" s="326" t="s">
        <v>28367</v>
      </c>
      <c r="C655" s="327">
        <v>126414</v>
      </c>
      <c r="D655" s="391" t="s">
        <v>15226</v>
      </c>
      <c r="E655" s="328">
        <v>1548.4</v>
      </c>
      <c r="F655" s="329">
        <v>42989</v>
      </c>
      <c r="G655" s="328">
        <v>1548.4</v>
      </c>
      <c r="H655" s="347">
        <f t="shared" si="6"/>
        <v>0</v>
      </c>
      <c r="I655" s="331" t="s">
        <v>15214</v>
      </c>
    </row>
    <row r="656" spans="1:9" x14ac:dyDescent="0.25">
      <c r="A656" s="319">
        <v>42984</v>
      </c>
      <c r="B656" s="320" t="s">
        <v>28368</v>
      </c>
      <c r="C656" s="321">
        <v>126415</v>
      </c>
      <c r="D656" s="390" t="s">
        <v>15987</v>
      </c>
      <c r="E656" s="322">
        <v>1350.5</v>
      </c>
      <c r="F656" s="323">
        <v>42984</v>
      </c>
      <c r="G656" s="322">
        <v>1350.5</v>
      </c>
      <c r="H656" s="322">
        <f t="shared" si="6"/>
        <v>0</v>
      </c>
      <c r="I656" s="325" t="s">
        <v>15214</v>
      </c>
    </row>
    <row r="657" spans="1:9" x14ac:dyDescent="0.25">
      <c r="A657" s="359">
        <v>42984</v>
      </c>
      <c r="B657" s="326" t="s">
        <v>28369</v>
      </c>
      <c r="C657" s="327">
        <v>126416</v>
      </c>
      <c r="D657" s="391" t="s">
        <v>15272</v>
      </c>
      <c r="E657" s="328">
        <v>24281.8</v>
      </c>
      <c r="F657" s="329">
        <v>42984</v>
      </c>
      <c r="G657" s="328">
        <v>24281.8</v>
      </c>
      <c r="H657" s="347">
        <f t="shared" si="6"/>
        <v>0</v>
      </c>
      <c r="I657" s="331" t="s">
        <v>15214</v>
      </c>
    </row>
    <row r="658" spans="1:9" x14ac:dyDescent="0.25">
      <c r="A658" s="319">
        <v>42984</v>
      </c>
      <c r="B658" s="320" t="s">
        <v>28370</v>
      </c>
      <c r="C658" s="321">
        <v>126417</v>
      </c>
      <c r="D658" s="390" t="s">
        <v>15263</v>
      </c>
      <c r="E658" s="322">
        <v>2827.1</v>
      </c>
      <c r="F658" s="323">
        <v>42984</v>
      </c>
      <c r="G658" s="322">
        <v>2827.1</v>
      </c>
      <c r="H658" s="322">
        <f t="shared" si="6"/>
        <v>0</v>
      </c>
      <c r="I658" s="325" t="s">
        <v>15214</v>
      </c>
    </row>
    <row r="659" spans="1:9" x14ac:dyDescent="0.25">
      <c r="A659" s="359">
        <v>42984</v>
      </c>
      <c r="B659" s="326" t="s">
        <v>28371</v>
      </c>
      <c r="C659" s="327">
        <v>126418</v>
      </c>
      <c r="D659" s="391" t="s">
        <v>16171</v>
      </c>
      <c r="E659" s="328">
        <v>1171.32</v>
      </c>
      <c r="F659" s="329">
        <v>42989</v>
      </c>
      <c r="G659" s="328">
        <v>1171.32</v>
      </c>
      <c r="H659" s="347">
        <f t="shared" si="6"/>
        <v>0</v>
      </c>
      <c r="I659" s="331" t="s">
        <v>15214</v>
      </c>
    </row>
    <row r="660" spans="1:9" x14ac:dyDescent="0.25">
      <c r="A660" s="319">
        <v>42984</v>
      </c>
      <c r="B660" s="320" t="s">
        <v>28372</v>
      </c>
      <c r="C660" s="321">
        <v>126419</v>
      </c>
      <c r="D660" s="390" t="s">
        <v>15858</v>
      </c>
      <c r="E660" s="322">
        <v>11713.2</v>
      </c>
      <c r="F660" s="323">
        <v>42984</v>
      </c>
      <c r="G660" s="322">
        <v>11713.2</v>
      </c>
      <c r="H660" s="322">
        <f t="shared" si="6"/>
        <v>0</v>
      </c>
      <c r="I660" s="325" t="s">
        <v>15214</v>
      </c>
    </row>
    <row r="661" spans="1:9" x14ac:dyDescent="0.25">
      <c r="A661" s="359">
        <v>42984</v>
      </c>
      <c r="B661" s="326" t="s">
        <v>28373</v>
      </c>
      <c r="C661" s="327">
        <v>126420</v>
      </c>
      <c r="D661" s="391" t="s">
        <v>15256</v>
      </c>
      <c r="E661" s="328">
        <v>1188</v>
      </c>
      <c r="F661" s="329">
        <v>42986</v>
      </c>
      <c r="G661" s="328">
        <v>1188</v>
      </c>
      <c r="H661" s="347">
        <f t="shared" si="6"/>
        <v>0</v>
      </c>
      <c r="I661" s="331" t="s">
        <v>15214</v>
      </c>
    </row>
    <row r="662" spans="1:9" x14ac:dyDescent="0.25">
      <c r="A662" s="319">
        <v>42984</v>
      </c>
      <c r="B662" s="320" t="s">
        <v>28374</v>
      </c>
      <c r="C662" s="321">
        <v>126421</v>
      </c>
      <c r="D662" s="390" t="s">
        <v>15348</v>
      </c>
      <c r="E662" s="322">
        <v>3287.9</v>
      </c>
      <c r="F662" s="323">
        <v>42985</v>
      </c>
      <c r="G662" s="322">
        <v>3287.9</v>
      </c>
      <c r="H662" s="322">
        <f t="shared" si="6"/>
        <v>0</v>
      </c>
      <c r="I662" s="325" t="s">
        <v>15214</v>
      </c>
    </row>
    <row r="663" spans="1:9" ht="15.75" x14ac:dyDescent="0.25">
      <c r="A663" s="359">
        <v>42984</v>
      </c>
      <c r="B663" s="326" t="s">
        <v>28375</v>
      </c>
      <c r="C663" s="327">
        <v>126422</v>
      </c>
      <c r="D663" s="345" t="s">
        <v>95</v>
      </c>
      <c r="E663" s="328">
        <v>0</v>
      </c>
      <c r="F663" s="346" t="s">
        <v>95</v>
      </c>
      <c r="G663" s="328">
        <v>0</v>
      </c>
      <c r="H663" s="347">
        <f t="shared" si="6"/>
        <v>0</v>
      </c>
      <c r="I663" s="331" t="s">
        <v>95</v>
      </c>
    </row>
    <row r="664" spans="1:9" x14ac:dyDescent="0.25">
      <c r="A664" s="319">
        <v>42984</v>
      </c>
      <c r="B664" s="320" t="s">
        <v>28376</v>
      </c>
      <c r="C664" s="321">
        <v>126423</v>
      </c>
      <c r="D664" s="390" t="s">
        <v>15523</v>
      </c>
      <c r="E664" s="322">
        <v>480</v>
      </c>
      <c r="F664" s="323">
        <v>42984</v>
      </c>
      <c r="G664" s="322">
        <v>480</v>
      </c>
      <c r="H664" s="322">
        <f t="shared" si="6"/>
        <v>0</v>
      </c>
      <c r="I664" s="325" t="s">
        <v>15214</v>
      </c>
    </row>
    <row r="665" spans="1:9" x14ac:dyDescent="0.25">
      <c r="A665" s="359">
        <v>42984</v>
      </c>
      <c r="B665" s="326" t="s">
        <v>28377</v>
      </c>
      <c r="C665" s="327">
        <v>126424</v>
      </c>
      <c r="D665" s="391" t="s">
        <v>19780</v>
      </c>
      <c r="E665" s="328">
        <v>3476</v>
      </c>
      <c r="F665" s="329">
        <v>42987</v>
      </c>
      <c r="G665" s="328">
        <v>3476</v>
      </c>
      <c r="H665" s="347">
        <f t="shared" si="6"/>
        <v>0</v>
      </c>
      <c r="I665" s="331" t="s">
        <v>15214</v>
      </c>
    </row>
    <row r="666" spans="1:9" x14ac:dyDescent="0.25">
      <c r="A666" s="319">
        <v>42984</v>
      </c>
      <c r="B666" s="320" t="s">
        <v>28378</v>
      </c>
      <c r="C666" s="321">
        <v>126425</v>
      </c>
      <c r="D666" s="390" t="s">
        <v>15358</v>
      </c>
      <c r="E666" s="322">
        <v>2310</v>
      </c>
      <c r="F666" s="323">
        <v>42984</v>
      </c>
      <c r="G666" s="322">
        <v>2310</v>
      </c>
      <c r="H666" s="322">
        <f t="shared" si="6"/>
        <v>0</v>
      </c>
      <c r="I666" s="325" t="s">
        <v>15214</v>
      </c>
    </row>
    <row r="667" spans="1:9" x14ac:dyDescent="0.25">
      <c r="A667" s="359">
        <v>42984</v>
      </c>
      <c r="B667" s="326" t="s">
        <v>28379</v>
      </c>
      <c r="C667" s="327">
        <v>126426</v>
      </c>
      <c r="D667" s="391" t="s">
        <v>15336</v>
      </c>
      <c r="E667" s="328">
        <v>5602.4</v>
      </c>
      <c r="F667" s="329">
        <v>42984</v>
      </c>
      <c r="G667" s="328">
        <v>5602.4</v>
      </c>
      <c r="H667" s="347">
        <f t="shared" si="6"/>
        <v>0</v>
      </c>
      <c r="I667" s="331" t="s">
        <v>15214</v>
      </c>
    </row>
    <row r="668" spans="1:9" x14ac:dyDescent="0.25">
      <c r="A668" s="319">
        <v>42984</v>
      </c>
      <c r="B668" s="320" t="s">
        <v>28380</v>
      </c>
      <c r="C668" s="321">
        <v>126427</v>
      </c>
      <c r="D668" s="390" t="s">
        <v>15240</v>
      </c>
      <c r="E668" s="322">
        <v>40.5</v>
      </c>
      <c r="F668" s="323">
        <v>42984</v>
      </c>
      <c r="G668" s="322">
        <v>40.5</v>
      </c>
      <c r="H668" s="322">
        <f t="shared" si="6"/>
        <v>0</v>
      </c>
      <c r="I668" s="325" t="s">
        <v>15214</v>
      </c>
    </row>
    <row r="669" spans="1:9" ht="30" x14ac:dyDescent="0.25">
      <c r="A669" s="359">
        <v>42984</v>
      </c>
      <c r="B669" s="326" t="s">
        <v>28381</v>
      </c>
      <c r="C669" s="327">
        <v>126428</v>
      </c>
      <c r="D669" s="391" t="s">
        <v>15328</v>
      </c>
      <c r="E669" s="328">
        <v>37976.76</v>
      </c>
      <c r="F669" s="329" t="s">
        <v>28382</v>
      </c>
      <c r="G669" s="347">
        <f>4010.91+33965.85</f>
        <v>37976.759999999995</v>
      </c>
      <c r="H669" s="347">
        <f t="shared" si="6"/>
        <v>0</v>
      </c>
      <c r="I669" s="331" t="s">
        <v>15214</v>
      </c>
    </row>
    <row r="670" spans="1:9" ht="15.75" x14ac:dyDescent="0.25">
      <c r="A670" s="319">
        <v>42984</v>
      </c>
      <c r="B670" s="320" t="s">
        <v>28383</v>
      </c>
      <c r="C670" s="321">
        <v>126429</v>
      </c>
      <c r="D670" s="332" t="s">
        <v>95</v>
      </c>
      <c r="E670" s="322">
        <v>0</v>
      </c>
      <c r="F670" s="333" t="s">
        <v>95</v>
      </c>
      <c r="G670" s="322">
        <v>0</v>
      </c>
      <c r="H670" s="322">
        <f t="shared" si="6"/>
        <v>0</v>
      </c>
      <c r="I670" s="325" t="s">
        <v>95</v>
      </c>
    </row>
    <row r="671" spans="1:9" x14ac:dyDescent="0.25">
      <c r="A671" s="359">
        <v>42984</v>
      </c>
      <c r="B671" s="326" t="s">
        <v>28384</v>
      </c>
      <c r="C671" s="327">
        <v>126430</v>
      </c>
      <c r="D671" s="391" t="s">
        <v>18544</v>
      </c>
      <c r="E671" s="328">
        <v>7885.8</v>
      </c>
      <c r="F671" s="329">
        <v>42984</v>
      </c>
      <c r="G671" s="328">
        <v>7885.8</v>
      </c>
      <c r="H671" s="347">
        <f t="shared" si="6"/>
        <v>0</v>
      </c>
      <c r="I671" s="331" t="s">
        <v>15214</v>
      </c>
    </row>
    <row r="672" spans="1:9" x14ac:dyDescent="0.25">
      <c r="A672" s="319">
        <v>42984</v>
      </c>
      <c r="B672" s="320" t="s">
        <v>28385</v>
      </c>
      <c r="C672" s="321">
        <v>126431</v>
      </c>
      <c r="D672" s="390" t="s">
        <v>15315</v>
      </c>
      <c r="E672" s="322">
        <v>564.20000000000005</v>
      </c>
      <c r="F672" s="323">
        <v>42984</v>
      </c>
      <c r="G672" s="322">
        <v>564.20000000000005</v>
      </c>
      <c r="H672" s="322">
        <f t="shared" si="6"/>
        <v>0</v>
      </c>
      <c r="I672" s="325" t="s">
        <v>15214</v>
      </c>
    </row>
    <row r="673" spans="1:9" x14ac:dyDescent="0.25">
      <c r="A673" s="359">
        <v>42984</v>
      </c>
      <c r="B673" s="326" t="s">
        <v>28386</v>
      </c>
      <c r="C673" s="327">
        <v>126432</v>
      </c>
      <c r="D673" s="391" t="s">
        <v>15681</v>
      </c>
      <c r="E673" s="328">
        <v>1752</v>
      </c>
      <c r="F673" s="329">
        <v>42984</v>
      </c>
      <c r="G673" s="328">
        <v>1752</v>
      </c>
      <c r="H673" s="347">
        <f t="shared" si="6"/>
        <v>0</v>
      </c>
      <c r="I673" s="331" t="s">
        <v>15214</v>
      </c>
    </row>
    <row r="674" spans="1:9" x14ac:dyDescent="0.25">
      <c r="A674" s="319">
        <v>42984</v>
      </c>
      <c r="B674" s="320" t="s">
        <v>28387</v>
      </c>
      <c r="C674" s="321">
        <v>126433</v>
      </c>
      <c r="D674" s="390" t="s">
        <v>15371</v>
      </c>
      <c r="E674" s="322">
        <v>4313</v>
      </c>
      <c r="F674" s="323">
        <v>42985</v>
      </c>
      <c r="G674" s="322">
        <v>4313</v>
      </c>
      <c r="H674" s="322">
        <f t="shared" si="6"/>
        <v>0</v>
      </c>
      <c r="I674" s="325" t="s">
        <v>15214</v>
      </c>
    </row>
    <row r="675" spans="1:9" ht="15.75" x14ac:dyDescent="0.25">
      <c r="A675" s="359">
        <v>42984</v>
      </c>
      <c r="B675" s="326" t="s">
        <v>28388</v>
      </c>
      <c r="C675" s="327">
        <v>126434</v>
      </c>
      <c r="D675" s="345" t="s">
        <v>95</v>
      </c>
      <c r="E675" s="328">
        <v>0</v>
      </c>
      <c r="F675" s="346" t="s">
        <v>95</v>
      </c>
      <c r="G675" s="328">
        <v>0</v>
      </c>
      <c r="H675" s="347">
        <f t="shared" si="6"/>
        <v>0</v>
      </c>
      <c r="I675" s="331" t="s">
        <v>95</v>
      </c>
    </row>
    <row r="676" spans="1:9" x14ac:dyDescent="0.25">
      <c r="A676" s="319">
        <v>42984</v>
      </c>
      <c r="B676" s="320" t="s">
        <v>28389</v>
      </c>
      <c r="C676" s="321">
        <v>126435</v>
      </c>
      <c r="D676" s="390" t="s">
        <v>15228</v>
      </c>
      <c r="E676" s="322">
        <v>4932</v>
      </c>
      <c r="F676" s="323">
        <v>42984</v>
      </c>
      <c r="G676" s="322">
        <v>4932</v>
      </c>
      <c r="H676" s="322">
        <f t="shared" si="6"/>
        <v>0</v>
      </c>
      <c r="I676" s="325" t="s">
        <v>15214</v>
      </c>
    </row>
    <row r="677" spans="1:9" x14ac:dyDescent="0.25">
      <c r="A677" s="359">
        <v>42984</v>
      </c>
      <c r="B677" s="326" t="s">
        <v>28390</v>
      </c>
      <c r="C677" s="327">
        <v>126436</v>
      </c>
      <c r="D677" s="391" t="s">
        <v>15267</v>
      </c>
      <c r="E677" s="328">
        <v>36171.800000000003</v>
      </c>
      <c r="F677" s="329">
        <v>42997</v>
      </c>
      <c r="G677" s="328">
        <v>36171.800000000003</v>
      </c>
      <c r="H677" s="347">
        <f t="shared" si="6"/>
        <v>0</v>
      </c>
      <c r="I677" s="331" t="s">
        <v>15214</v>
      </c>
    </row>
    <row r="678" spans="1:9" x14ac:dyDescent="0.25">
      <c r="A678" s="319">
        <v>42984</v>
      </c>
      <c r="B678" s="320" t="s">
        <v>28391</v>
      </c>
      <c r="C678" s="321">
        <v>126437</v>
      </c>
      <c r="D678" s="390" t="s">
        <v>15220</v>
      </c>
      <c r="E678" s="322">
        <v>1920</v>
      </c>
      <c r="F678" s="323">
        <v>42984</v>
      </c>
      <c r="G678" s="322">
        <v>1920</v>
      </c>
      <c r="H678" s="322">
        <f t="shared" si="6"/>
        <v>0</v>
      </c>
      <c r="I678" s="325" t="s">
        <v>15214</v>
      </c>
    </row>
    <row r="679" spans="1:9" x14ac:dyDescent="0.25">
      <c r="A679" s="359">
        <v>42984</v>
      </c>
      <c r="B679" s="326" t="s">
        <v>28392</v>
      </c>
      <c r="C679" s="327">
        <v>126438</v>
      </c>
      <c r="D679" s="391" t="s">
        <v>19302</v>
      </c>
      <c r="E679" s="328">
        <v>720</v>
      </c>
      <c r="F679" s="329">
        <v>42984</v>
      </c>
      <c r="G679" s="328">
        <v>720</v>
      </c>
      <c r="H679" s="347">
        <f t="shared" si="6"/>
        <v>0</v>
      </c>
      <c r="I679" s="331" t="s">
        <v>15214</v>
      </c>
    </row>
    <row r="680" spans="1:9" x14ac:dyDescent="0.25">
      <c r="A680" s="319">
        <v>42984</v>
      </c>
      <c r="B680" s="320" t="s">
        <v>28393</v>
      </c>
      <c r="C680" s="321">
        <v>126439</v>
      </c>
      <c r="D680" s="390" t="s">
        <v>15338</v>
      </c>
      <c r="E680" s="322">
        <v>10627.2</v>
      </c>
      <c r="F680" s="323">
        <v>42989</v>
      </c>
      <c r="G680" s="322">
        <v>10627.2</v>
      </c>
      <c r="H680" s="322">
        <f t="shared" si="6"/>
        <v>0</v>
      </c>
      <c r="I680" s="325" t="s">
        <v>15214</v>
      </c>
    </row>
    <row r="681" spans="1:9" x14ac:dyDescent="0.25">
      <c r="A681" s="359">
        <v>42984</v>
      </c>
      <c r="B681" s="326" t="s">
        <v>28394</v>
      </c>
      <c r="C681" s="327">
        <v>126440</v>
      </c>
      <c r="D681" s="391" t="s">
        <v>15284</v>
      </c>
      <c r="E681" s="328">
        <v>1778.2</v>
      </c>
      <c r="F681" s="329">
        <v>42984</v>
      </c>
      <c r="G681" s="328">
        <v>1778.2</v>
      </c>
      <c r="H681" s="347">
        <f t="shared" si="6"/>
        <v>0</v>
      </c>
      <c r="I681" s="331" t="s">
        <v>15214</v>
      </c>
    </row>
    <row r="682" spans="1:9" x14ac:dyDescent="0.25">
      <c r="A682" s="319">
        <v>42984</v>
      </c>
      <c r="B682" s="320" t="s">
        <v>28395</v>
      </c>
      <c r="C682" s="321">
        <v>126441</v>
      </c>
      <c r="D682" s="390" t="s">
        <v>15530</v>
      </c>
      <c r="E682" s="322">
        <v>3933.15</v>
      </c>
      <c r="F682" s="323">
        <v>42984</v>
      </c>
      <c r="G682" s="322">
        <v>3933.15</v>
      </c>
      <c r="H682" s="322">
        <f t="shared" si="6"/>
        <v>0</v>
      </c>
      <c r="I682" s="325" t="s">
        <v>15214</v>
      </c>
    </row>
    <row r="683" spans="1:9" x14ac:dyDescent="0.25">
      <c r="A683" s="359">
        <v>42984</v>
      </c>
      <c r="B683" s="326" t="s">
        <v>28396</v>
      </c>
      <c r="C683" s="327">
        <v>126442</v>
      </c>
      <c r="D683" s="391" t="s">
        <v>15373</v>
      </c>
      <c r="E683" s="328">
        <v>10593.6</v>
      </c>
      <c r="F683" s="329">
        <v>42987</v>
      </c>
      <c r="G683" s="328">
        <v>10593.6</v>
      </c>
      <c r="H683" s="347">
        <f t="shared" si="6"/>
        <v>0</v>
      </c>
      <c r="I683" s="331" t="s">
        <v>15214</v>
      </c>
    </row>
    <row r="684" spans="1:9" x14ac:dyDescent="0.25">
      <c r="A684" s="319">
        <v>42984</v>
      </c>
      <c r="B684" s="320" t="s">
        <v>28397</v>
      </c>
      <c r="C684" s="321">
        <v>126443</v>
      </c>
      <c r="D684" s="390" t="s">
        <v>15248</v>
      </c>
      <c r="E684" s="322">
        <v>15282.42</v>
      </c>
      <c r="F684" s="323">
        <v>42984</v>
      </c>
      <c r="G684" s="322">
        <v>15282.42</v>
      </c>
      <c r="H684" s="322">
        <f t="shared" si="6"/>
        <v>0</v>
      </c>
      <c r="I684" s="325" t="s">
        <v>15214</v>
      </c>
    </row>
    <row r="685" spans="1:9" x14ac:dyDescent="0.25">
      <c r="A685" s="359">
        <v>42984</v>
      </c>
      <c r="B685" s="326" t="s">
        <v>28398</v>
      </c>
      <c r="C685" s="327">
        <v>126444</v>
      </c>
      <c r="D685" s="391" t="s">
        <v>15636</v>
      </c>
      <c r="E685" s="328">
        <v>16119.4</v>
      </c>
      <c r="F685" s="329">
        <v>42984</v>
      </c>
      <c r="G685" s="328">
        <v>16119.4</v>
      </c>
      <c r="H685" s="347">
        <f t="shared" si="6"/>
        <v>0</v>
      </c>
      <c r="I685" s="331" t="s">
        <v>15214</v>
      </c>
    </row>
    <row r="686" spans="1:9" x14ac:dyDescent="0.25">
      <c r="A686" s="319">
        <v>42984</v>
      </c>
      <c r="B686" s="320" t="s">
        <v>28399</v>
      </c>
      <c r="C686" s="321">
        <v>126445</v>
      </c>
      <c r="D686" s="390" t="s">
        <v>15510</v>
      </c>
      <c r="E686" s="322">
        <v>840</v>
      </c>
      <c r="F686" s="323">
        <v>42984</v>
      </c>
      <c r="G686" s="322">
        <v>840</v>
      </c>
      <c r="H686" s="322">
        <f t="shared" si="6"/>
        <v>0</v>
      </c>
      <c r="I686" s="325" t="s">
        <v>15214</v>
      </c>
    </row>
    <row r="687" spans="1:9" x14ac:dyDescent="0.25">
      <c r="A687" s="359">
        <v>42984</v>
      </c>
      <c r="B687" s="326" t="s">
        <v>28400</v>
      </c>
      <c r="C687" s="327">
        <v>126446</v>
      </c>
      <c r="D687" s="391" t="s">
        <v>15394</v>
      </c>
      <c r="E687" s="328">
        <v>19998.5</v>
      </c>
      <c r="F687" s="329">
        <v>42990</v>
      </c>
      <c r="G687" s="328">
        <v>19998.5</v>
      </c>
      <c r="H687" s="347">
        <f t="shared" si="6"/>
        <v>0</v>
      </c>
      <c r="I687" s="331" t="s">
        <v>15214</v>
      </c>
    </row>
    <row r="688" spans="1:9" x14ac:dyDescent="0.25">
      <c r="A688" s="319">
        <v>42984</v>
      </c>
      <c r="B688" s="320" t="s">
        <v>28401</v>
      </c>
      <c r="C688" s="321">
        <v>126447</v>
      </c>
      <c r="D688" s="390" t="s">
        <v>15438</v>
      </c>
      <c r="E688" s="322">
        <v>1617</v>
      </c>
      <c r="F688" s="323">
        <v>42984</v>
      </c>
      <c r="G688" s="322">
        <v>1617</v>
      </c>
      <c r="H688" s="322">
        <f t="shared" si="6"/>
        <v>0</v>
      </c>
      <c r="I688" s="325" t="s">
        <v>15214</v>
      </c>
    </row>
    <row r="689" spans="1:9" x14ac:dyDescent="0.25">
      <c r="A689" s="359">
        <v>42984</v>
      </c>
      <c r="B689" s="326" t="s">
        <v>28402</v>
      </c>
      <c r="C689" s="327">
        <v>126448</v>
      </c>
      <c r="D689" s="391" t="s">
        <v>15380</v>
      </c>
      <c r="E689" s="328">
        <v>17665.2</v>
      </c>
      <c r="F689" s="329">
        <v>42997</v>
      </c>
      <c r="G689" s="328">
        <v>17665.2</v>
      </c>
      <c r="H689" s="347">
        <f t="shared" ref="H689:H752" si="7">E689-G689</f>
        <v>0</v>
      </c>
      <c r="I689" s="331" t="s">
        <v>15214</v>
      </c>
    </row>
    <row r="690" spans="1:9" x14ac:dyDescent="0.25">
      <c r="A690" s="319">
        <v>42984</v>
      </c>
      <c r="B690" s="320" t="s">
        <v>28403</v>
      </c>
      <c r="C690" s="321">
        <v>126449</v>
      </c>
      <c r="D690" s="390" t="s">
        <v>15278</v>
      </c>
      <c r="E690" s="322">
        <v>6467.4</v>
      </c>
      <c r="F690" s="323">
        <v>42984</v>
      </c>
      <c r="G690" s="322">
        <v>6467.4</v>
      </c>
      <c r="H690" s="322">
        <f t="shared" si="7"/>
        <v>0</v>
      </c>
      <c r="I690" s="325" t="s">
        <v>15214</v>
      </c>
    </row>
    <row r="691" spans="1:9" x14ac:dyDescent="0.25">
      <c r="A691" s="359">
        <v>42984</v>
      </c>
      <c r="B691" s="326" t="s">
        <v>28404</v>
      </c>
      <c r="C691" s="327">
        <v>126450</v>
      </c>
      <c r="D691" s="391" t="s">
        <v>16383</v>
      </c>
      <c r="E691" s="328">
        <v>10100.4</v>
      </c>
      <c r="F691" s="329">
        <v>42984</v>
      </c>
      <c r="G691" s="328">
        <v>10100.4</v>
      </c>
      <c r="H691" s="347">
        <f t="shared" si="7"/>
        <v>0</v>
      </c>
      <c r="I691" s="331" t="s">
        <v>15214</v>
      </c>
    </row>
    <row r="692" spans="1:9" x14ac:dyDescent="0.25">
      <c r="A692" s="319">
        <v>42984</v>
      </c>
      <c r="B692" s="320" t="s">
        <v>28405</v>
      </c>
      <c r="C692" s="321">
        <v>126451</v>
      </c>
      <c r="D692" s="390" t="s">
        <v>15389</v>
      </c>
      <c r="E692" s="322">
        <v>11270</v>
      </c>
      <c r="F692" s="323">
        <v>42997</v>
      </c>
      <c r="G692" s="322">
        <v>11270</v>
      </c>
      <c r="H692" s="322">
        <f t="shared" si="7"/>
        <v>0</v>
      </c>
      <c r="I692" s="325" t="s">
        <v>15214</v>
      </c>
    </row>
    <row r="693" spans="1:9" x14ac:dyDescent="0.25">
      <c r="A693" s="359">
        <v>42984</v>
      </c>
      <c r="B693" s="326" t="s">
        <v>28406</v>
      </c>
      <c r="C693" s="327">
        <v>126452</v>
      </c>
      <c r="D693" s="391" t="s">
        <v>15382</v>
      </c>
      <c r="E693" s="328">
        <v>11387.6</v>
      </c>
      <c r="F693" s="329">
        <v>42997</v>
      </c>
      <c r="G693" s="328">
        <v>11387.6</v>
      </c>
      <c r="H693" s="347">
        <f t="shared" si="7"/>
        <v>0</v>
      </c>
      <c r="I693" s="331" t="s">
        <v>15214</v>
      </c>
    </row>
    <row r="694" spans="1:9" x14ac:dyDescent="0.25">
      <c r="A694" s="319">
        <v>42984</v>
      </c>
      <c r="B694" s="320" t="s">
        <v>28407</v>
      </c>
      <c r="C694" s="321">
        <v>126453</v>
      </c>
      <c r="D694" s="390" t="s">
        <v>15280</v>
      </c>
      <c r="E694" s="322">
        <v>6467</v>
      </c>
      <c r="F694" s="323">
        <v>42984</v>
      </c>
      <c r="G694" s="322">
        <v>6467</v>
      </c>
      <c r="H694" s="322">
        <f t="shared" si="7"/>
        <v>0</v>
      </c>
      <c r="I694" s="325" t="s">
        <v>15214</v>
      </c>
    </row>
    <row r="695" spans="1:9" x14ac:dyDescent="0.25">
      <c r="A695" s="359">
        <v>42984</v>
      </c>
      <c r="B695" s="326" t="s">
        <v>28408</v>
      </c>
      <c r="C695" s="327">
        <v>126454</v>
      </c>
      <c r="D695" s="391" t="s">
        <v>15252</v>
      </c>
      <c r="E695" s="328">
        <v>4079.3</v>
      </c>
      <c r="F695" s="329">
        <v>42989</v>
      </c>
      <c r="G695" s="328">
        <v>4079.3</v>
      </c>
      <c r="H695" s="347">
        <f t="shared" si="7"/>
        <v>0</v>
      </c>
      <c r="I695" s="331" t="s">
        <v>15214</v>
      </c>
    </row>
    <row r="696" spans="1:9" x14ac:dyDescent="0.25">
      <c r="A696" s="319">
        <v>42984</v>
      </c>
      <c r="B696" s="320" t="s">
        <v>28409</v>
      </c>
      <c r="C696" s="321">
        <v>126455</v>
      </c>
      <c r="D696" s="390" t="s">
        <v>15223</v>
      </c>
      <c r="E696" s="322">
        <v>32514.3</v>
      </c>
      <c r="F696" s="323">
        <v>42984</v>
      </c>
      <c r="G696" s="322">
        <v>32514.3</v>
      </c>
      <c r="H696" s="322">
        <f t="shared" si="7"/>
        <v>0</v>
      </c>
      <c r="I696" s="325" t="s">
        <v>15214</v>
      </c>
    </row>
    <row r="697" spans="1:9" x14ac:dyDescent="0.25">
      <c r="A697" s="359">
        <v>42984</v>
      </c>
      <c r="B697" s="326" t="s">
        <v>28410</v>
      </c>
      <c r="C697" s="327">
        <v>126456</v>
      </c>
      <c r="D697" s="391" t="s">
        <v>15254</v>
      </c>
      <c r="E697" s="328">
        <v>5360</v>
      </c>
      <c r="F697" s="329">
        <v>42987</v>
      </c>
      <c r="G697" s="328">
        <v>5360</v>
      </c>
      <c r="H697" s="347">
        <f t="shared" si="7"/>
        <v>0</v>
      </c>
      <c r="I697" s="331" t="s">
        <v>15214</v>
      </c>
    </row>
    <row r="698" spans="1:9" x14ac:dyDescent="0.25">
      <c r="A698" s="319">
        <v>42984</v>
      </c>
      <c r="B698" s="320" t="s">
        <v>28411</v>
      </c>
      <c r="C698" s="321">
        <v>126457</v>
      </c>
      <c r="D698" s="390" t="s">
        <v>15244</v>
      </c>
      <c r="E698" s="322">
        <v>4313.6499999999996</v>
      </c>
      <c r="F698" s="323">
        <v>42986</v>
      </c>
      <c r="G698" s="322">
        <v>4313.6499999999996</v>
      </c>
      <c r="H698" s="322">
        <f t="shared" si="7"/>
        <v>0</v>
      </c>
      <c r="I698" s="325" t="s">
        <v>15214</v>
      </c>
    </row>
    <row r="699" spans="1:9" x14ac:dyDescent="0.25">
      <c r="A699" s="359">
        <v>42984</v>
      </c>
      <c r="B699" s="326" t="s">
        <v>28412</v>
      </c>
      <c r="C699" s="327">
        <v>126458</v>
      </c>
      <c r="D699" s="391" t="s">
        <v>15706</v>
      </c>
      <c r="E699" s="328">
        <v>1052.4000000000001</v>
      </c>
      <c r="F699" s="329">
        <v>42984</v>
      </c>
      <c r="G699" s="328">
        <v>1052.4000000000001</v>
      </c>
      <c r="H699" s="347">
        <f t="shared" si="7"/>
        <v>0</v>
      </c>
      <c r="I699" s="331" t="s">
        <v>15214</v>
      </c>
    </row>
    <row r="700" spans="1:9" x14ac:dyDescent="0.25">
      <c r="A700" s="319">
        <v>42984</v>
      </c>
      <c r="B700" s="320" t="s">
        <v>28413</v>
      </c>
      <c r="C700" s="321">
        <v>126459</v>
      </c>
      <c r="D700" s="390" t="s">
        <v>15369</v>
      </c>
      <c r="E700" s="322">
        <v>23134.799999999999</v>
      </c>
      <c r="F700" s="323">
        <v>42997</v>
      </c>
      <c r="G700" s="322">
        <v>23134.799999999999</v>
      </c>
      <c r="H700" s="322">
        <f t="shared" si="7"/>
        <v>0</v>
      </c>
      <c r="I700" s="325" t="s">
        <v>15214</v>
      </c>
    </row>
    <row r="701" spans="1:9" ht="15.75" x14ac:dyDescent="0.25">
      <c r="A701" s="359">
        <v>42984</v>
      </c>
      <c r="B701" s="326" t="s">
        <v>28414</v>
      </c>
      <c r="C701" s="327">
        <v>126460</v>
      </c>
      <c r="D701" s="345" t="s">
        <v>95</v>
      </c>
      <c r="E701" s="328">
        <v>0</v>
      </c>
      <c r="F701" s="346" t="s">
        <v>95</v>
      </c>
      <c r="G701" s="328">
        <v>0</v>
      </c>
      <c r="H701" s="347">
        <f t="shared" si="7"/>
        <v>0</v>
      </c>
      <c r="I701" s="331" t="s">
        <v>95</v>
      </c>
    </row>
    <row r="702" spans="1:9" x14ac:dyDescent="0.25">
      <c r="A702" s="319">
        <v>42984</v>
      </c>
      <c r="B702" s="320" t="s">
        <v>28415</v>
      </c>
      <c r="C702" s="321">
        <v>126461</v>
      </c>
      <c r="D702" s="390" t="s">
        <v>19773</v>
      </c>
      <c r="E702" s="322">
        <v>5199.28</v>
      </c>
      <c r="F702" s="323">
        <v>42993</v>
      </c>
      <c r="G702" s="322">
        <v>5199.28</v>
      </c>
      <c r="H702" s="322">
        <f t="shared" si="7"/>
        <v>0</v>
      </c>
      <c r="I702" s="325" t="s">
        <v>15214</v>
      </c>
    </row>
    <row r="703" spans="1:9" x14ac:dyDescent="0.25">
      <c r="A703" s="359">
        <v>42984</v>
      </c>
      <c r="B703" s="326" t="s">
        <v>28416</v>
      </c>
      <c r="C703" s="327">
        <v>126462</v>
      </c>
      <c r="D703" s="391" t="s">
        <v>15398</v>
      </c>
      <c r="E703" s="328">
        <v>3141.55</v>
      </c>
      <c r="F703" s="329">
        <v>42984</v>
      </c>
      <c r="G703" s="328">
        <v>3141.55</v>
      </c>
      <c r="H703" s="347">
        <f t="shared" si="7"/>
        <v>0</v>
      </c>
      <c r="I703" s="331" t="s">
        <v>15214</v>
      </c>
    </row>
    <row r="704" spans="1:9" x14ac:dyDescent="0.25">
      <c r="A704" s="319">
        <v>42984</v>
      </c>
      <c r="B704" s="320" t="s">
        <v>28417</v>
      </c>
      <c r="C704" s="321">
        <v>126463</v>
      </c>
      <c r="D704" s="390" t="s">
        <v>15309</v>
      </c>
      <c r="E704" s="322">
        <v>3219</v>
      </c>
      <c r="F704" s="323">
        <v>42985</v>
      </c>
      <c r="G704" s="322">
        <v>3219</v>
      </c>
      <c r="H704" s="322">
        <f t="shared" si="7"/>
        <v>0</v>
      </c>
      <c r="I704" s="325" t="s">
        <v>15214</v>
      </c>
    </row>
    <row r="705" spans="1:9" x14ac:dyDescent="0.25">
      <c r="A705" s="359">
        <v>42984</v>
      </c>
      <c r="B705" s="326" t="s">
        <v>28418</v>
      </c>
      <c r="C705" s="327">
        <v>126464</v>
      </c>
      <c r="D705" s="391" t="s">
        <v>15301</v>
      </c>
      <c r="E705" s="328">
        <v>4195</v>
      </c>
      <c r="F705" s="329">
        <v>42985</v>
      </c>
      <c r="G705" s="328">
        <v>4195</v>
      </c>
      <c r="H705" s="347">
        <f t="shared" si="7"/>
        <v>0</v>
      </c>
      <c r="I705" s="331" t="s">
        <v>15214</v>
      </c>
    </row>
    <row r="706" spans="1:9" x14ac:dyDescent="0.25">
      <c r="A706" s="319">
        <v>42984</v>
      </c>
      <c r="B706" s="320" t="s">
        <v>28419</v>
      </c>
      <c r="C706" s="321">
        <v>126465</v>
      </c>
      <c r="D706" s="390" t="s">
        <v>15291</v>
      </c>
      <c r="E706" s="322">
        <v>960</v>
      </c>
      <c r="F706" s="323">
        <v>42985</v>
      </c>
      <c r="G706" s="322">
        <v>960</v>
      </c>
      <c r="H706" s="322">
        <f t="shared" si="7"/>
        <v>0</v>
      </c>
      <c r="I706" s="325" t="s">
        <v>15214</v>
      </c>
    </row>
    <row r="707" spans="1:9" x14ac:dyDescent="0.25">
      <c r="A707" s="359">
        <v>42984</v>
      </c>
      <c r="B707" s="326" t="s">
        <v>28420</v>
      </c>
      <c r="C707" s="327">
        <v>126466</v>
      </c>
      <c r="D707" s="391" t="s">
        <v>15276</v>
      </c>
      <c r="E707" s="328">
        <v>2400</v>
      </c>
      <c r="F707" s="329">
        <v>42985</v>
      </c>
      <c r="G707" s="328">
        <v>2400</v>
      </c>
      <c r="H707" s="347">
        <f t="shared" si="7"/>
        <v>0</v>
      </c>
      <c r="I707" s="331" t="s">
        <v>15214</v>
      </c>
    </row>
    <row r="708" spans="1:9" x14ac:dyDescent="0.25">
      <c r="A708" s="319">
        <v>42984</v>
      </c>
      <c r="B708" s="320" t="s">
        <v>28421</v>
      </c>
      <c r="C708" s="321">
        <v>126467</v>
      </c>
      <c r="D708" s="390" t="s">
        <v>15305</v>
      </c>
      <c r="E708" s="322">
        <v>851.2</v>
      </c>
      <c r="F708" s="323">
        <v>42985</v>
      </c>
      <c r="G708" s="322">
        <v>851.2</v>
      </c>
      <c r="H708" s="322">
        <f t="shared" si="7"/>
        <v>0</v>
      </c>
      <c r="I708" s="325" t="s">
        <v>15214</v>
      </c>
    </row>
    <row r="709" spans="1:9" x14ac:dyDescent="0.25">
      <c r="A709" s="359">
        <v>42984</v>
      </c>
      <c r="B709" s="326" t="s">
        <v>28422</v>
      </c>
      <c r="C709" s="327">
        <v>126468</v>
      </c>
      <c r="D709" s="391" t="s">
        <v>15884</v>
      </c>
      <c r="E709" s="328">
        <v>1854</v>
      </c>
      <c r="F709" s="329">
        <v>42984</v>
      </c>
      <c r="G709" s="328">
        <v>1854</v>
      </c>
      <c r="H709" s="347">
        <f t="shared" si="7"/>
        <v>0</v>
      </c>
      <c r="I709" s="331" t="s">
        <v>15214</v>
      </c>
    </row>
    <row r="710" spans="1:9" ht="15.75" x14ac:dyDescent="0.25">
      <c r="A710" s="319">
        <v>42984</v>
      </c>
      <c r="B710" s="320" t="s">
        <v>28423</v>
      </c>
      <c r="C710" s="321">
        <v>126469</v>
      </c>
      <c r="D710" s="332" t="s">
        <v>95</v>
      </c>
      <c r="E710" s="322">
        <v>0</v>
      </c>
      <c r="F710" s="333" t="s">
        <v>95</v>
      </c>
      <c r="G710" s="322">
        <v>0</v>
      </c>
      <c r="H710" s="322">
        <f t="shared" si="7"/>
        <v>0</v>
      </c>
      <c r="I710" s="325" t="s">
        <v>95</v>
      </c>
    </row>
    <row r="711" spans="1:9" x14ac:dyDescent="0.25">
      <c r="A711" s="359">
        <v>42984</v>
      </c>
      <c r="B711" s="326" t="s">
        <v>28424</v>
      </c>
      <c r="C711" s="327">
        <v>126470</v>
      </c>
      <c r="D711" s="391" t="s">
        <v>15759</v>
      </c>
      <c r="E711" s="328">
        <v>1708.56</v>
      </c>
      <c r="F711" s="329">
        <v>42985</v>
      </c>
      <c r="G711" s="328">
        <v>1708.56</v>
      </c>
      <c r="H711" s="347">
        <f t="shared" si="7"/>
        <v>0</v>
      </c>
      <c r="I711" s="331" t="s">
        <v>15214</v>
      </c>
    </row>
    <row r="712" spans="1:9" x14ac:dyDescent="0.25">
      <c r="A712" s="319">
        <v>42984</v>
      </c>
      <c r="B712" s="320" t="s">
        <v>28425</v>
      </c>
      <c r="C712" s="321">
        <v>126471</v>
      </c>
      <c r="D712" s="390" t="s">
        <v>15378</v>
      </c>
      <c r="E712" s="322">
        <v>167.5</v>
      </c>
      <c r="F712" s="323">
        <v>42984</v>
      </c>
      <c r="G712" s="322">
        <v>167.5</v>
      </c>
      <c r="H712" s="322">
        <f t="shared" si="7"/>
        <v>0</v>
      </c>
      <c r="I712" s="325" t="s">
        <v>15214</v>
      </c>
    </row>
    <row r="713" spans="1:9" x14ac:dyDescent="0.25">
      <c r="A713" s="359">
        <v>42984</v>
      </c>
      <c r="B713" s="326" t="s">
        <v>28426</v>
      </c>
      <c r="C713" s="327">
        <v>126472</v>
      </c>
      <c r="D713" s="391" t="s">
        <v>15745</v>
      </c>
      <c r="E713" s="328">
        <v>1956.76</v>
      </c>
      <c r="F713" s="329">
        <v>42985</v>
      </c>
      <c r="G713" s="328">
        <v>1956.76</v>
      </c>
      <c r="H713" s="347">
        <f t="shared" si="7"/>
        <v>0</v>
      </c>
      <c r="I713" s="331" t="s">
        <v>15214</v>
      </c>
    </row>
    <row r="714" spans="1:9" x14ac:dyDescent="0.25">
      <c r="A714" s="319">
        <v>42984</v>
      </c>
      <c r="B714" s="320" t="s">
        <v>28427</v>
      </c>
      <c r="C714" s="321">
        <v>126473</v>
      </c>
      <c r="D714" s="390" t="s">
        <v>15246</v>
      </c>
      <c r="E714" s="322">
        <v>3315</v>
      </c>
      <c r="F714" s="323">
        <v>42987</v>
      </c>
      <c r="G714" s="322">
        <v>3315</v>
      </c>
      <c r="H714" s="322">
        <f t="shared" si="7"/>
        <v>0</v>
      </c>
      <c r="I714" s="325" t="s">
        <v>15214</v>
      </c>
    </row>
    <row r="715" spans="1:9" x14ac:dyDescent="0.25">
      <c r="A715" s="359">
        <v>42984</v>
      </c>
      <c r="B715" s="326" t="s">
        <v>28428</v>
      </c>
      <c r="C715" s="327">
        <v>126474</v>
      </c>
      <c r="D715" s="391" t="s">
        <v>15748</v>
      </c>
      <c r="E715" s="328">
        <v>5254.74</v>
      </c>
      <c r="F715" s="329">
        <v>42986</v>
      </c>
      <c r="G715" s="328">
        <v>5254.74</v>
      </c>
      <c r="H715" s="347">
        <f t="shared" si="7"/>
        <v>0</v>
      </c>
      <c r="I715" s="331" t="s">
        <v>15214</v>
      </c>
    </row>
    <row r="716" spans="1:9" x14ac:dyDescent="0.25">
      <c r="A716" s="319">
        <v>42984</v>
      </c>
      <c r="B716" s="320" t="s">
        <v>28429</v>
      </c>
      <c r="C716" s="321">
        <v>126475</v>
      </c>
      <c r="D716" s="390" t="s">
        <v>15324</v>
      </c>
      <c r="E716" s="322">
        <v>1142</v>
      </c>
      <c r="F716" s="323">
        <v>42984</v>
      </c>
      <c r="G716" s="322">
        <v>1142</v>
      </c>
      <c r="H716" s="322">
        <f t="shared" si="7"/>
        <v>0</v>
      </c>
      <c r="I716" s="325" t="s">
        <v>15214</v>
      </c>
    </row>
    <row r="717" spans="1:9" x14ac:dyDescent="0.25">
      <c r="A717" s="359">
        <v>42984</v>
      </c>
      <c r="B717" s="326" t="s">
        <v>28430</v>
      </c>
      <c r="C717" s="327">
        <v>126476</v>
      </c>
      <c r="D717" s="391" t="s">
        <v>15320</v>
      </c>
      <c r="E717" s="328">
        <v>2364.4</v>
      </c>
      <c r="F717" s="329">
        <v>42985</v>
      </c>
      <c r="G717" s="328">
        <v>2364.4</v>
      </c>
      <c r="H717" s="347">
        <f t="shared" si="7"/>
        <v>0</v>
      </c>
      <c r="I717" s="331" t="s">
        <v>15214</v>
      </c>
    </row>
    <row r="718" spans="1:9" x14ac:dyDescent="0.25">
      <c r="A718" s="319">
        <v>42984</v>
      </c>
      <c r="B718" s="320" t="s">
        <v>28431</v>
      </c>
      <c r="C718" s="321">
        <v>126477</v>
      </c>
      <c r="D718" s="390" t="s">
        <v>17235</v>
      </c>
      <c r="E718" s="322">
        <v>1490</v>
      </c>
      <c r="F718" s="323">
        <v>42985</v>
      </c>
      <c r="G718" s="322">
        <v>1490</v>
      </c>
      <c r="H718" s="322">
        <f t="shared" si="7"/>
        <v>0</v>
      </c>
      <c r="I718" s="325" t="s">
        <v>15214</v>
      </c>
    </row>
    <row r="719" spans="1:9" x14ac:dyDescent="0.25">
      <c r="A719" s="359">
        <v>42984</v>
      </c>
      <c r="B719" s="326" t="s">
        <v>28432</v>
      </c>
      <c r="C719" s="327">
        <v>126478</v>
      </c>
      <c r="D719" s="391" t="s">
        <v>15296</v>
      </c>
      <c r="E719" s="328">
        <v>95522</v>
      </c>
      <c r="F719" s="329">
        <v>42992</v>
      </c>
      <c r="G719" s="328">
        <v>95522</v>
      </c>
      <c r="H719" s="347">
        <f t="shared" si="7"/>
        <v>0</v>
      </c>
      <c r="I719" s="331" t="s">
        <v>15214</v>
      </c>
    </row>
    <row r="720" spans="1:9" x14ac:dyDescent="0.25">
      <c r="A720" s="319">
        <v>42984</v>
      </c>
      <c r="B720" s="320" t="s">
        <v>28433</v>
      </c>
      <c r="C720" s="321">
        <v>126479</v>
      </c>
      <c r="D720" s="390" t="s">
        <v>15442</v>
      </c>
      <c r="E720" s="322">
        <v>15133.5</v>
      </c>
      <c r="F720" s="323">
        <v>42987</v>
      </c>
      <c r="G720" s="322">
        <v>15133.5</v>
      </c>
      <c r="H720" s="322">
        <f t="shared" si="7"/>
        <v>0</v>
      </c>
      <c r="I720" s="325" t="s">
        <v>15214</v>
      </c>
    </row>
    <row r="721" spans="1:9" x14ac:dyDescent="0.25">
      <c r="A721" s="359">
        <v>42984</v>
      </c>
      <c r="B721" s="326" t="s">
        <v>28434</v>
      </c>
      <c r="C721" s="327">
        <v>126480</v>
      </c>
      <c r="D721" s="391" t="s">
        <v>17462</v>
      </c>
      <c r="E721" s="328">
        <v>2670</v>
      </c>
      <c r="F721" s="329">
        <v>42984</v>
      </c>
      <c r="G721" s="328">
        <v>2670</v>
      </c>
      <c r="H721" s="347">
        <f t="shared" si="7"/>
        <v>0</v>
      </c>
      <c r="I721" s="331" t="s">
        <v>15214</v>
      </c>
    </row>
    <row r="722" spans="1:9" x14ac:dyDescent="0.25">
      <c r="A722" s="319">
        <v>42984</v>
      </c>
      <c r="B722" s="320" t="s">
        <v>28435</v>
      </c>
      <c r="C722" s="321">
        <v>126481</v>
      </c>
      <c r="D722" s="390" t="s">
        <v>19768</v>
      </c>
      <c r="E722" s="322">
        <v>1440</v>
      </c>
      <c r="F722" s="323">
        <v>42984</v>
      </c>
      <c r="G722" s="322">
        <v>1440</v>
      </c>
      <c r="H722" s="322">
        <f t="shared" si="7"/>
        <v>0</v>
      </c>
      <c r="I722" s="325" t="s">
        <v>15214</v>
      </c>
    </row>
    <row r="723" spans="1:9" x14ac:dyDescent="0.25">
      <c r="A723" s="359">
        <v>42984</v>
      </c>
      <c r="B723" s="326" t="s">
        <v>28436</v>
      </c>
      <c r="C723" s="327">
        <v>126482</v>
      </c>
      <c r="D723" s="391" t="s">
        <v>15596</v>
      </c>
      <c r="E723" s="328">
        <v>960</v>
      </c>
      <c r="F723" s="329">
        <v>42985</v>
      </c>
      <c r="G723" s="328">
        <v>960</v>
      </c>
      <c r="H723" s="347">
        <f t="shared" si="7"/>
        <v>0</v>
      </c>
      <c r="I723" s="331" t="s">
        <v>15214</v>
      </c>
    </row>
    <row r="724" spans="1:9" x14ac:dyDescent="0.25">
      <c r="A724" s="319">
        <v>42984</v>
      </c>
      <c r="B724" s="320" t="s">
        <v>28437</v>
      </c>
      <c r="C724" s="321">
        <v>126483</v>
      </c>
      <c r="D724" s="390" t="s">
        <v>15267</v>
      </c>
      <c r="E724" s="322">
        <v>8643</v>
      </c>
      <c r="F724" s="323">
        <v>42997</v>
      </c>
      <c r="G724" s="322">
        <v>8643</v>
      </c>
      <c r="H724" s="322">
        <f t="shared" si="7"/>
        <v>0</v>
      </c>
      <c r="I724" s="325" t="s">
        <v>15214</v>
      </c>
    </row>
    <row r="725" spans="1:9" x14ac:dyDescent="0.25">
      <c r="A725" s="359">
        <v>42984</v>
      </c>
      <c r="B725" s="326" t="s">
        <v>28438</v>
      </c>
      <c r="C725" s="327">
        <v>126484</v>
      </c>
      <c r="D725" s="391" t="s">
        <v>15340</v>
      </c>
      <c r="E725" s="328">
        <v>11278.4</v>
      </c>
      <c r="F725" s="329">
        <v>42984</v>
      </c>
      <c r="G725" s="328">
        <v>11278.4</v>
      </c>
      <c r="H725" s="347">
        <f t="shared" si="7"/>
        <v>0</v>
      </c>
      <c r="I725" s="331" t="s">
        <v>15214</v>
      </c>
    </row>
    <row r="726" spans="1:9" x14ac:dyDescent="0.25">
      <c r="A726" s="319">
        <v>42984</v>
      </c>
      <c r="B726" s="320" t="s">
        <v>28439</v>
      </c>
      <c r="C726" s="321">
        <v>126485</v>
      </c>
      <c r="D726" s="390" t="s">
        <v>15725</v>
      </c>
      <c r="E726" s="322">
        <v>20657</v>
      </c>
      <c r="F726" s="323">
        <v>42988</v>
      </c>
      <c r="G726" s="322">
        <v>20657</v>
      </c>
      <c r="H726" s="322">
        <f t="shared" si="7"/>
        <v>0</v>
      </c>
      <c r="I726" s="325" t="s">
        <v>15214</v>
      </c>
    </row>
    <row r="727" spans="1:9" x14ac:dyDescent="0.25">
      <c r="A727" s="359">
        <v>42984</v>
      </c>
      <c r="B727" s="326" t="s">
        <v>28440</v>
      </c>
      <c r="C727" s="327">
        <v>126486</v>
      </c>
      <c r="D727" s="391" t="s">
        <v>16093</v>
      </c>
      <c r="E727" s="328">
        <v>3438.45</v>
      </c>
      <c r="F727" s="329">
        <v>42984</v>
      </c>
      <c r="G727" s="328">
        <v>3438.45</v>
      </c>
      <c r="H727" s="347">
        <f t="shared" si="7"/>
        <v>0</v>
      </c>
      <c r="I727" s="331" t="s">
        <v>15214</v>
      </c>
    </row>
    <row r="728" spans="1:9" x14ac:dyDescent="0.25">
      <c r="A728" s="319">
        <v>42984</v>
      </c>
      <c r="B728" s="320" t="s">
        <v>28441</v>
      </c>
      <c r="C728" s="321">
        <v>126487</v>
      </c>
      <c r="D728" s="390" t="s">
        <v>23137</v>
      </c>
      <c r="E728" s="322">
        <v>1763.5</v>
      </c>
      <c r="F728" s="323">
        <v>42986</v>
      </c>
      <c r="G728" s="322">
        <v>1763.5</v>
      </c>
      <c r="H728" s="322">
        <f t="shared" si="7"/>
        <v>0</v>
      </c>
      <c r="I728" s="325" t="s">
        <v>15214</v>
      </c>
    </row>
    <row r="729" spans="1:9" x14ac:dyDescent="0.25">
      <c r="A729" s="359">
        <v>42984</v>
      </c>
      <c r="B729" s="326" t="s">
        <v>28442</v>
      </c>
      <c r="C729" s="327">
        <v>126488</v>
      </c>
      <c r="D729" s="391" t="s">
        <v>15614</v>
      </c>
      <c r="E729" s="328">
        <v>5269.9</v>
      </c>
      <c r="F729" s="329">
        <v>42990</v>
      </c>
      <c r="G729" s="328">
        <v>5269.9</v>
      </c>
      <c r="H729" s="347">
        <f t="shared" si="7"/>
        <v>0</v>
      </c>
      <c r="I729" s="331" t="s">
        <v>15214</v>
      </c>
    </row>
    <row r="730" spans="1:9" x14ac:dyDescent="0.25">
      <c r="A730" s="319">
        <v>42984</v>
      </c>
      <c r="B730" s="320" t="s">
        <v>28443</v>
      </c>
      <c r="C730" s="321">
        <v>126489</v>
      </c>
      <c r="D730" s="390" t="s">
        <v>15732</v>
      </c>
      <c r="E730" s="322">
        <v>2910.6</v>
      </c>
      <c r="F730" s="323">
        <v>42984</v>
      </c>
      <c r="G730" s="322">
        <v>2910.6</v>
      </c>
      <c r="H730" s="322">
        <f t="shared" si="7"/>
        <v>0</v>
      </c>
      <c r="I730" s="325" t="s">
        <v>15214</v>
      </c>
    </row>
    <row r="731" spans="1:9" x14ac:dyDescent="0.25">
      <c r="A731" s="359">
        <v>42984</v>
      </c>
      <c r="B731" s="326" t="s">
        <v>28444</v>
      </c>
      <c r="C731" s="327">
        <v>126490</v>
      </c>
      <c r="D731" s="391" t="s">
        <v>15537</v>
      </c>
      <c r="E731" s="328">
        <v>18150.25</v>
      </c>
      <c r="F731" s="329">
        <v>42990</v>
      </c>
      <c r="G731" s="328">
        <v>18150.25</v>
      </c>
      <c r="H731" s="347">
        <f t="shared" si="7"/>
        <v>0</v>
      </c>
      <c r="I731" s="331" t="s">
        <v>15214</v>
      </c>
    </row>
    <row r="732" spans="1:9" x14ac:dyDescent="0.25">
      <c r="A732" s="319">
        <v>42984</v>
      </c>
      <c r="B732" s="320" t="s">
        <v>28445</v>
      </c>
      <c r="C732" s="321">
        <v>126491</v>
      </c>
      <c r="D732" s="390" t="s">
        <v>15282</v>
      </c>
      <c r="E732" s="322">
        <v>2111.9</v>
      </c>
      <c r="F732" s="323">
        <v>42984</v>
      </c>
      <c r="G732" s="322">
        <v>2111.9</v>
      </c>
      <c r="H732" s="322">
        <f t="shared" si="7"/>
        <v>0</v>
      </c>
      <c r="I732" s="325" t="s">
        <v>15214</v>
      </c>
    </row>
    <row r="733" spans="1:9" x14ac:dyDescent="0.25">
      <c r="A733" s="359">
        <v>42984</v>
      </c>
      <c r="B733" s="326" t="s">
        <v>28446</v>
      </c>
      <c r="C733" s="327">
        <v>126492</v>
      </c>
      <c r="D733" s="391" t="s">
        <v>15539</v>
      </c>
      <c r="E733" s="328">
        <v>16890.2</v>
      </c>
      <c r="F733" s="329">
        <v>42990</v>
      </c>
      <c r="G733" s="328">
        <v>16890.2</v>
      </c>
      <c r="H733" s="347">
        <f t="shared" si="7"/>
        <v>0</v>
      </c>
      <c r="I733" s="331" t="s">
        <v>15214</v>
      </c>
    </row>
    <row r="734" spans="1:9" ht="15.75" x14ac:dyDescent="0.25">
      <c r="A734" s="319">
        <v>42984</v>
      </c>
      <c r="B734" s="320" t="s">
        <v>28447</v>
      </c>
      <c r="C734" s="321">
        <v>126493</v>
      </c>
      <c r="D734" s="332" t="s">
        <v>95</v>
      </c>
      <c r="E734" s="322">
        <v>0</v>
      </c>
      <c r="F734" s="333" t="s">
        <v>95</v>
      </c>
      <c r="G734" s="322">
        <v>0</v>
      </c>
      <c r="H734" s="322">
        <f t="shared" si="7"/>
        <v>0</v>
      </c>
      <c r="I734" s="325" t="s">
        <v>95</v>
      </c>
    </row>
    <row r="735" spans="1:9" x14ac:dyDescent="0.25">
      <c r="A735" s="359">
        <v>42984</v>
      </c>
      <c r="B735" s="326" t="s">
        <v>28448</v>
      </c>
      <c r="C735" s="327">
        <v>126494</v>
      </c>
      <c r="D735" s="391" t="s">
        <v>15699</v>
      </c>
      <c r="E735" s="328">
        <v>883</v>
      </c>
      <c r="F735" s="329" t="s">
        <v>22723</v>
      </c>
      <c r="G735" s="328">
        <v>883</v>
      </c>
      <c r="H735" s="347">
        <f t="shared" si="7"/>
        <v>0</v>
      </c>
      <c r="I735" s="331" t="s">
        <v>15214</v>
      </c>
    </row>
    <row r="736" spans="1:9" x14ac:dyDescent="0.25">
      <c r="A736" s="319">
        <v>42984</v>
      </c>
      <c r="B736" s="320" t="s">
        <v>28449</v>
      </c>
      <c r="C736" s="321">
        <v>126495</v>
      </c>
      <c r="D736" s="390" t="s">
        <v>15555</v>
      </c>
      <c r="E736" s="322">
        <v>420</v>
      </c>
      <c r="F736" s="323">
        <v>42990</v>
      </c>
      <c r="G736" s="322">
        <v>420</v>
      </c>
      <c r="H736" s="322">
        <f t="shared" si="7"/>
        <v>0</v>
      </c>
      <c r="I736" s="325" t="s">
        <v>15214</v>
      </c>
    </row>
    <row r="737" spans="1:9" x14ac:dyDescent="0.25">
      <c r="A737" s="359">
        <v>42984</v>
      </c>
      <c r="B737" s="326" t="s">
        <v>28450</v>
      </c>
      <c r="C737" s="327">
        <v>126496</v>
      </c>
      <c r="D737" s="391" t="s">
        <v>15284</v>
      </c>
      <c r="E737" s="328">
        <v>1421.7</v>
      </c>
      <c r="F737" s="329">
        <v>42984</v>
      </c>
      <c r="G737" s="328">
        <v>1421.7</v>
      </c>
      <c r="H737" s="347">
        <f t="shared" si="7"/>
        <v>0</v>
      </c>
      <c r="I737" s="331" t="s">
        <v>15214</v>
      </c>
    </row>
    <row r="738" spans="1:9" x14ac:dyDescent="0.25">
      <c r="A738" s="319">
        <v>42984</v>
      </c>
      <c r="B738" s="320" t="s">
        <v>28451</v>
      </c>
      <c r="C738" s="321">
        <v>126497</v>
      </c>
      <c r="D738" s="390" t="s">
        <v>15590</v>
      </c>
      <c r="E738" s="322">
        <v>16794</v>
      </c>
      <c r="F738" s="323">
        <v>42992</v>
      </c>
      <c r="G738" s="322">
        <v>16794</v>
      </c>
      <c r="H738" s="322">
        <f t="shared" si="7"/>
        <v>0</v>
      </c>
      <c r="I738" s="325" t="s">
        <v>15214</v>
      </c>
    </row>
    <row r="739" spans="1:9" x14ac:dyDescent="0.25">
      <c r="A739" s="359">
        <v>42984</v>
      </c>
      <c r="B739" s="326" t="s">
        <v>28452</v>
      </c>
      <c r="C739" s="327">
        <v>126498</v>
      </c>
      <c r="D739" s="391" t="s">
        <v>15568</v>
      </c>
      <c r="E739" s="328">
        <v>3104.2</v>
      </c>
      <c r="F739" s="329">
        <v>42985</v>
      </c>
      <c r="G739" s="328">
        <v>3104.2</v>
      </c>
      <c r="H739" s="347">
        <f t="shared" si="7"/>
        <v>0</v>
      </c>
      <c r="I739" s="331" t="s">
        <v>15214</v>
      </c>
    </row>
    <row r="740" spans="1:9" x14ac:dyDescent="0.25">
      <c r="A740" s="319">
        <v>42984</v>
      </c>
      <c r="B740" s="320" t="s">
        <v>28453</v>
      </c>
      <c r="C740" s="321">
        <v>126499</v>
      </c>
      <c r="D740" s="390" t="s">
        <v>15568</v>
      </c>
      <c r="E740" s="322">
        <v>3397</v>
      </c>
      <c r="F740" s="323">
        <v>42985</v>
      </c>
      <c r="G740" s="322">
        <v>3397</v>
      </c>
      <c r="H740" s="322">
        <f t="shared" si="7"/>
        <v>0</v>
      </c>
      <c r="I740" s="325" t="s">
        <v>15214</v>
      </c>
    </row>
    <row r="741" spans="1:9" x14ac:dyDescent="0.25">
      <c r="A741" s="359">
        <v>42984</v>
      </c>
      <c r="B741" s="326" t="s">
        <v>28454</v>
      </c>
      <c r="C741" s="327">
        <v>126500</v>
      </c>
      <c r="D741" s="391" t="s">
        <v>19765</v>
      </c>
      <c r="E741" s="328">
        <v>3500</v>
      </c>
      <c r="F741" s="329">
        <v>42986</v>
      </c>
      <c r="G741" s="328">
        <v>3500</v>
      </c>
      <c r="H741" s="347">
        <f t="shared" si="7"/>
        <v>0</v>
      </c>
      <c r="I741" s="331" t="s">
        <v>15214</v>
      </c>
    </row>
    <row r="742" spans="1:9" x14ac:dyDescent="0.25">
      <c r="A742" s="319">
        <v>42984</v>
      </c>
      <c r="B742" s="320" t="s">
        <v>28455</v>
      </c>
      <c r="C742" s="321">
        <v>126501</v>
      </c>
      <c r="D742" s="390" t="s">
        <v>15391</v>
      </c>
      <c r="E742" s="322">
        <v>5320.6</v>
      </c>
      <c r="F742" s="323">
        <v>42987</v>
      </c>
      <c r="G742" s="322">
        <v>5320.6</v>
      </c>
      <c r="H742" s="322">
        <f t="shared" si="7"/>
        <v>0</v>
      </c>
      <c r="I742" s="325" t="s">
        <v>15214</v>
      </c>
    </row>
    <row r="743" spans="1:9" x14ac:dyDescent="0.25">
      <c r="A743" s="359">
        <v>42984</v>
      </c>
      <c r="B743" s="326" t="s">
        <v>28456</v>
      </c>
      <c r="C743" s="327">
        <v>126502</v>
      </c>
      <c r="D743" s="391" t="s">
        <v>15385</v>
      </c>
      <c r="E743" s="328">
        <v>5874</v>
      </c>
      <c r="F743" s="329">
        <v>42985</v>
      </c>
      <c r="G743" s="328">
        <v>5874</v>
      </c>
      <c r="H743" s="347">
        <f t="shared" si="7"/>
        <v>0</v>
      </c>
      <c r="I743" s="331" t="s">
        <v>15214</v>
      </c>
    </row>
    <row r="744" spans="1:9" x14ac:dyDescent="0.25">
      <c r="A744" s="319">
        <v>42984</v>
      </c>
      <c r="B744" s="320" t="s">
        <v>28457</v>
      </c>
      <c r="C744" s="321">
        <v>126503</v>
      </c>
      <c r="D744" s="390" t="s">
        <v>19697</v>
      </c>
      <c r="E744" s="322">
        <v>1008</v>
      </c>
      <c r="F744" s="323">
        <v>42985</v>
      </c>
      <c r="G744" s="322">
        <v>1008</v>
      </c>
      <c r="H744" s="322">
        <f t="shared" si="7"/>
        <v>0</v>
      </c>
      <c r="I744" s="325" t="s">
        <v>15214</v>
      </c>
    </row>
    <row r="745" spans="1:9" x14ac:dyDescent="0.25">
      <c r="A745" s="359">
        <v>42984</v>
      </c>
      <c r="B745" s="326" t="s">
        <v>28458</v>
      </c>
      <c r="C745" s="327">
        <v>126504</v>
      </c>
      <c r="D745" s="391" t="s">
        <v>19776</v>
      </c>
      <c r="E745" s="328">
        <v>9400</v>
      </c>
      <c r="F745" s="329">
        <v>42985</v>
      </c>
      <c r="G745" s="328">
        <v>9400</v>
      </c>
      <c r="H745" s="347">
        <f t="shared" si="7"/>
        <v>0</v>
      </c>
      <c r="I745" s="331" t="s">
        <v>15214</v>
      </c>
    </row>
    <row r="746" spans="1:9" x14ac:dyDescent="0.25">
      <c r="A746" s="319">
        <v>42984</v>
      </c>
      <c r="B746" s="320" t="s">
        <v>28459</v>
      </c>
      <c r="C746" s="321">
        <v>126505</v>
      </c>
      <c r="D746" s="390" t="s">
        <v>15725</v>
      </c>
      <c r="E746" s="322">
        <v>3050</v>
      </c>
      <c r="F746" s="323">
        <v>42988</v>
      </c>
      <c r="G746" s="322">
        <v>3050</v>
      </c>
      <c r="H746" s="322">
        <f t="shared" si="7"/>
        <v>0</v>
      </c>
      <c r="I746" s="325" t="s">
        <v>15214</v>
      </c>
    </row>
    <row r="747" spans="1:9" x14ac:dyDescent="0.25">
      <c r="A747" s="359">
        <v>42984</v>
      </c>
      <c r="B747" s="326" t="s">
        <v>28460</v>
      </c>
      <c r="C747" s="327">
        <v>126506</v>
      </c>
      <c r="D747" s="391" t="s">
        <v>15725</v>
      </c>
      <c r="E747" s="328">
        <v>444</v>
      </c>
      <c r="F747" s="329">
        <v>42988</v>
      </c>
      <c r="G747" s="328">
        <v>444</v>
      </c>
      <c r="H747" s="347">
        <f t="shared" si="7"/>
        <v>0</v>
      </c>
      <c r="I747" s="331" t="s">
        <v>15214</v>
      </c>
    </row>
    <row r="748" spans="1:9" x14ac:dyDescent="0.25">
      <c r="A748" s="319">
        <v>42984</v>
      </c>
      <c r="B748" s="320" t="s">
        <v>28461</v>
      </c>
      <c r="C748" s="321">
        <v>126507</v>
      </c>
      <c r="D748" s="390" t="s">
        <v>15716</v>
      </c>
      <c r="E748" s="322">
        <v>6905.25</v>
      </c>
      <c r="F748" s="323">
        <v>42984</v>
      </c>
      <c r="G748" s="322">
        <v>6905.25</v>
      </c>
      <c r="H748" s="322">
        <f t="shared" si="7"/>
        <v>0</v>
      </c>
      <c r="I748" s="325" t="s">
        <v>15214</v>
      </c>
    </row>
    <row r="749" spans="1:9" x14ac:dyDescent="0.25">
      <c r="A749" s="359">
        <v>42984</v>
      </c>
      <c r="B749" s="326" t="s">
        <v>28462</v>
      </c>
      <c r="C749" s="327">
        <v>126508</v>
      </c>
      <c r="D749" s="391" t="s">
        <v>15396</v>
      </c>
      <c r="E749" s="328">
        <v>4890.5</v>
      </c>
      <c r="F749" s="329">
        <v>42984</v>
      </c>
      <c r="G749" s="328">
        <v>4890.5</v>
      </c>
      <c r="H749" s="347">
        <f t="shared" si="7"/>
        <v>0</v>
      </c>
      <c r="I749" s="331" t="s">
        <v>15214</v>
      </c>
    </row>
    <row r="750" spans="1:9" x14ac:dyDescent="0.25">
      <c r="A750" s="319">
        <v>42984</v>
      </c>
      <c r="B750" s="320" t="s">
        <v>28463</v>
      </c>
      <c r="C750" s="321">
        <v>126509</v>
      </c>
      <c r="D750" s="390" t="s">
        <v>15566</v>
      </c>
      <c r="E750" s="322">
        <v>483.1</v>
      </c>
      <c r="F750" s="323">
        <v>42984</v>
      </c>
      <c r="G750" s="322">
        <v>483.1</v>
      </c>
      <c r="H750" s="322">
        <f t="shared" si="7"/>
        <v>0</v>
      </c>
      <c r="I750" s="325" t="s">
        <v>15214</v>
      </c>
    </row>
    <row r="751" spans="1:9" x14ac:dyDescent="0.25">
      <c r="A751" s="359">
        <v>42984</v>
      </c>
      <c r="B751" s="326" t="s">
        <v>28464</v>
      </c>
      <c r="C751" s="327">
        <v>126510</v>
      </c>
      <c r="D751" s="391" t="s">
        <v>15332</v>
      </c>
      <c r="E751" s="328">
        <v>3770</v>
      </c>
      <c r="F751" s="329">
        <v>42985</v>
      </c>
      <c r="G751" s="328">
        <v>3770</v>
      </c>
      <c r="H751" s="347">
        <f t="shared" si="7"/>
        <v>0</v>
      </c>
      <c r="I751" s="331" t="s">
        <v>15214</v>
      </c>
    </row>
    <row r="752" spans="1:9" x14ac:dyDescent="0.25">
      <c r="A752" s="319">
        <v>42984</v>
      </c>
      <c r="B752" s="320" t="s">
        <v>28465</v>
      </c>
      <c r="C752" s="321">
        <v>126511</v>
      </c>
      <c r="D752" s="390" t="s">
        <v>15423</v>
      </c>
      <c r="E752" s="322">
        <v>3773.2</v>
      </c>
      <c r="F752" s="323">
        <v>42984</v>
      </c>
      <c r="G752" s="322">
        <v>3773.2</v>
      </c>
      <c r="H752" s="322">
        <f t="shared" si="7"/>
        <v>0</v>
      </c>
      <c r="I752" s="325" t="s">
        <v>15214</v>
      </c>
    </row>
    <row r="753" spans="1:9" x14ac:dyDescent="0.25">
      <c r="A753" s="359">
        <v>42984</v>
      </c>
      <c r="B753" s="326" t="s">
        <v>28466</v>
      </c>
      <c r="C753" s="327">
        <v>126512</v>
      </c>
      <c r="D753" s="391" t="s">
        <v>15246</v>
      </c>
      <c r="E753" s="328">
        <v>242283.29</v>
      </c>
      <c r="F753" s="329">
        <v>42987</v>
      </c>
      <c r="G753" s="328">
        <v>242283.29</v>
      </c>
      <c r="H753" s="347">
        <f t="shared" ref="H753:H816" si="8">E753-G753</f>
        <v>0</v>
      </c>
      <c r="I753" s="331" t="s">
        <v>15214</v>
      </c>
    </row>
    <row r="754" spans="1:9" x14ac:dyDescent="0.25">
      <c r="A754" s="319">
        <v>42984</v>
      </c>
      <c r="B754" s="320" t="s">
        <v>28467</v>
      </c>
      <c r="C754" s="321">
        <v>126513</v>
      </c>
      <c r="D754" s="390" t="s">
        <v>15246</v>
      </c>
      <c r="E754" s="322">
        <v>200476.5</v>
      </c>
      <c r="F754" s="323">
        <v>42987</v>
      </c>
      <c r="G754" s="322">
        <v>200476.5</v>
      </c>
      <c r="H754" s="322">
        <f t="shared" si="8"/>
        <v>0</v>
      </c>
      <c r="I754" s="325" t="s">
        <v>15214</v>
      </c>
    </row>
    <row r="755" spans="1:9" x14ac:dyDescent="0.25">
      <c r="A755" s="359">
        <v>42984</v>
      </c>
      <c r="B755" s="326" t="s">
        <v>28468</v>
      </c>
      <c r="C755" s="327">
        <v>126514</v>
      </c>
      <c r="D755" s="391" t="s">
        <v>15234</v>
      </c>
      <c r="E755" s="328">
        <v>804</v>
      </c>
      <c r="F755" s="329">
        <v>42985</v>
      </c>
      <c r="G755" s="328">
        <v>804</v>
      </c>
      <c r="H755" s="347">
        <f t="shared" si="8"/>
        <v>0</v>
      </c>
      <c r="I755" s="331" t="s">
        <v>15214</v>
      </c>
    </row>
    <row r="756" spans="1:9" x14ac:dyDescent="0.25">
      <c r="A756" s="319">
        <v>42984</v>
      </c>
      <c r="B756" s="320" t="s">
        <v>28469</v>
      </c>
      <c r="C756" s="321">
        <v>126515</v>
      </c>
      <c r="D756" s="390" t="s">
        <v>15322</v>
      </c>
      <c r="E756" s="322">
        <v>300</v>
      </c>
      <c r="F756" s="323">
        <v>42984</v>
      </c>
      <c r="G756" s="322">
        <v>300</v>
      </c>
      <c r="H756" s="322">
        <f t="shared" si="8"/>
        <v>0</v>
      </c>
      <c r="I756" s="325" t="s">
        <v>15214</v>
      </c>
    </row>
    <row r="757" spans="1:9" x14ac:dyDescent="0.25">
      <c r="A757" s="359">
        <v>42984</v>
      </c>
      <c r="B757" s="326" t="s">
        <v>28470</v>
      </c>
      <c r="C757" s="327">
        <v>126516</v>
      </c>
      <c r="D757" s="391" t="s">
        <v>15296</v>
      </c>
      <c r="E757" s="328">
        <v>9313.2000000000007</v>
      </c>
      <c r="F757" s="329">
        <v>42987</v>
      </c>
      <c r="G757" s="328">
        <v>9313.2000000000007</v>
      </c>
      <c r="H757" s="347">
        <f t="shared" si="8"/>
        <v>0</v>
      </c>
      <c r="I757" s="331" t="s">
        <v>15214</v>
      </c>
    </row>
    <row r="758" spans="1:9" x14ac:dyDescent="0.25">
      <c r="A758" s="319">
        <v>42984</v>
      </c>
      <c r="B758" s="320" t="s">
        <v>28471</v>
      </c>
      <c r="C758" s="321">
        <v>126517</v>
      </c>
      <c r="D758" s="390" t="s">
        <v>15315</v>
      </c>
      <c r="E758" s="322">
        <v>144</v>
      </c>
      <c r="F758" s="323">
        <v>42985</v>
      </c>
      <c r="G758" s="322">
        <v>144</v>
      </c>
      <c r="H758" s="322">
        <f t="shared" si="8"/>
        <v>0</v>
      </c>
      <c r="I758" s="325" t="s">
        <v>15214</v>
      </c>
    </row>
    <row r="759" spans="1:9" x14ac:dyDescent="0.25">
      <c r="A759" s="359">
        <v>42984</v>
      </c>
      <c r="B759" s="326" t="s">
        <v>28472</v>
      </c>
      <c r="C759" s="327">
        <v>126518</v>
      </c>
      <c r="D759" s="391" t="s">
        <v>15284</v>
      </c>
      <c r="E759" s="328">
        <v>961</v>
      </c>
      <c r="F759" s="329">
        <v>42984</v>
      </c>
      <c r="G759" s="328">
        <v>961</v>
      </c>
      <c r="H759" s="347">
        <f t="shared" si="8"/>
        <v>0</v>
      </c>
      <c r="I759" s="331" t="s">
        <v>15214</v>
      </c>
    </row>
    <row r="760" spans="1:9" x14ac:dyDescent="0.25">
      <c r="A760" s="319">
        <v>42984</v>
      </c>
      <c r="B760" s="320" t="s">
        <v>28473</v>
      </c>
      <c r="C760" s="321">
        <v>126519</v>
      </c>
      <c r="D760" s="390" t="s">
        <v>15438</v>
      </c>
      <c r="E760" s="322">
        <v>336.96</v>
      </c>
      <c r="F760" s="323">
        <v>42984</v>
      </c>
      <c r="G760" s="322">
        <v>336.96</v>
      </c>
      <c r="H760" s="322">
        <f t="shared" si="8"/>
        <v>0</v>
      </c>
      <c r="I760" s="325" t="s">
        <v>15214</v>
      </c>
    </row>
    <row r="761" spans="1:9" x14ac:dyDescent="0.25">
      <c r="A761" s="359">
        <v>42984</v>
      </c>
      <c r="B761" s="326" t="s">
        <v>28474</v>
      </c>
      <c r="C761" s="327">
        <v>126520</v>
      </c>
      <c r="D761" s="391" t="s">
        <v>15246</v>
      </c>
      <c r="E761" s="328">
        <v>24425.8</v>
      </c>
      <c r="F761" s="329">
        <v>42987</v>
      </c>
      <c r="G761" s="328">
        <v>24425.8</v>
      </c>
      <c r="H761" s="347">
        <f t="shared" si="8"/>
        <v>0</v>
      </c>
      <c r="I761" s="331" t="s">
        <v>15214</v>
      </c>
    </row>
    <row r="762" spans="1:9" x14ac:dyDescent="0.25">
      <c r="A762" s="319">
        <v>42984</v>
      </c>
      <c r="B762" s="320" t="s">
        <v>28475</v>
      </c>
      <c r="C762" s="321">
        <v>126521</v>
      </c>
      <c r="D762" s="390" t="s">
        <v>15246</v>
      </c>
      <c r="E762" s="322">
        <v>2014.5</v>
      </c>
      <c r="F762" s="323">
        <v>42987</v>
      </c>
      <c r="G762" s="322">
        <v>2014.5</v>
      </c>
      <c r="H762" s="322">
        <f t="shared" si="8"/>
        <v>0</v>
      </c>
      <c r="I762" s="325" t="s">
        <v>15214</v>
      </c>
    </row>
    <row r="763" spans="1:9" x14ac:dyDescent="0.25">
      <c r="A763" s="359">
        <v>42984</v>
      </c>
      <c r="B763" s="326" t="s">
        <v>28476</v>
      </c>
      <c r="C763" s="327">
        <v>126522</v>
      </c>
      <c r="D763" s="391" t="s">
        <v>15936</v>
      </c>
      <c r="E763" s="328">
        <v>18198</v>
      </c>
      <c r="F763" s="329">
        <v>42984</v>
      </c>
      <c r="G763" s="328">
        <v>18198</v>
      </c>
      <c r="H763" s="347">
        <f t="shared" si="8"/>
        <v>0</v>
      </c>
      <c r="I763" s="331" t="s">
        <v>15214</v>
      </c>
    </row>
    <row r="764" spans="1:9" x14ac:dyDescent="0.25">
      <c r="A764" s="319">
        <v>42984</v>
      </c>
      <c r="B764" s="320" t="s">
        <v>28477</v>
      </c>
      <c r="C764" s="321">
        <v>126523</v>
      </c>
      <c r="D764" s="390" t="s">
        <v>15246</v>
      </c>
      <c r="E764" s="322">
        <v>25015</v>
      </c>
      <c r="F764" s="323">
        <v>42987</v>
      </c>
      <c r="G764" s="322">
        <v>25015</v>
      </c>
      <c r="H764" s="322">
        <f t="shared" si="8"/>
        <v>0</v>
      </c>
      <c r="I764" s="325" t="s">
        <v>15214</v>
      </c>
    </row>
    <row r="765" spans="1:9" x14ac:dyDescent="0.25">
      <c r="A765" s="359">
        <v>42984</v>
      </c>
      <c r="B765" s="326" t="s">
        <v>28478</v>
      </c>
      <c r="C765" s="327">
        <v>126524</v>
      </c>
      <c r="D765" s="391" t="s">
        <v>15246</v>
      </c>
      <c r="E765" s="328">
        <v>1220</v>
      </c>
      <c r="F765" s="329">
        <v>42987</v>
      </c>
      <c r="G765" s="328">
        <v>1220</v>
      </c>
      <c r="H765" s="347">
        <f t="shared" si="8"/>
        <v>0</v>
      </c>
      <c r="I765" s="331" t="s">
        <v>15214</v>
      </c>
    </row>
    <row r="766" spans="1:9" ht="15.75" x14ac:dyDescent="0.25">
      <c r="A766" s="319">
        <v>42984</v>
      </c>
      <c r="B766" s="320" t="s">
        <v>28479</v>
      </c>
      <c r="C766" s="321">
        <v>126525</v>
      </c>
      <c r="D766" s="332" t="s">
        <v>95</v>
      </c>
      <c r="E766" s="322">
        <v>0</v>
      </c>
      <c r="F766" s="333" t="s">
        <v>95</v>
      </c>
      <c r="G766" s="322">
        <v>0</v>
      </c>
      <c r="H766" s="322">
        <f t="shared" si="8"/>
        <v>0</v>
      </c>
      <c r="I766" s="325" t="s">
        <v>95</v>
      </c>
    </row>
    <row r="767" spans="1:9" x14ac:dyDescent="0.25">
      <c r="A767" s="359">
        <v>42984</v>
      </c>
      <c r="B767" s="326" t="s">
        <v>28480</v>
      </c>
      <c r="C767" s="327">
        <v>126526</v>
      </c>
      <c r="D767" s="391" t="s">
        <v>15642</v>
      </c>
      <c r="E767" s="328">
        <v>4221</v>
      </c>
      <c r="F767" s="329">
        <v>42984</v>
      </c>
      <c r="G767" s="328">
        <v>4221</v>
      </c>
      <c r="H767" s="347">
        <f t="shared" si="8"/>
        <v>0</v>
      </c>
      <c r="I767" s="331" t="s">
        <v>15214</v>
      </c>
    </row>
    <row r="768" spans="1:9" x14ac:dyDescent="0.25">
      <c r="A768" s="319">
        <v>42984</v>
      </c>
      <c r="B768" s="320" t="s">
        <v>28481</v>
      </c>
      <c r="C768" s="321">
        <v>126527</v>
      </c>
      <c r="D768" s="390" t="s">
        <v>15789</v>
      </c>
      <c r="E768" s="322">
        <v>28409.599999999999</v>
      </c>
      <c r="F768" s="323">
        <v>42991</v>
      </c>
      <c r="G768" s="322">
        <v>28409.599999999999</v>
      </c>
      <c r="H768" s="322">
        <f t="shared" si="8"/>
        <v>0</v>
      </c>
      <c r="I768" s="325" t="s">
        <v>15214</v>
      </c>
    </row>
    <row r="769" spans="1:9" x14ac:dyDescent="0.25">
      <c r="A769" s="359">
        <v>42984</v>
      </c>
      <c r="B769" s="326" t="s">
        <v>28482</v>
      </c>
      <c r="C769" s="327">
        <v>126528</v>
      </c>
      <c r="D769" s="391" t="s">
        <v>15396</v>
      </c>
      <c r="E769" s="328">
        <v>5295.42</v>
      </c>
      <c r="F769" s="329">
        <v>42984</v>
      </c>
      <c r="G769" s="328">
        <v>5295.42</v>
      </c>
      <c r="H769" s="347">
        <f t="shared" si="8"/>
        <v>0</v>
      </c>
      <c r="I769" s="331" t="s">
        <v>15214</v>
      </c>
    </row>
    <row r="770" spans="1:9" x14ac:dyDescent="0.25">
      <c r="A770" s="319">
        <v>42984</v>
      </c>
      <c r="B770" s="320" t="s">
        <v>28483</v>
      </c>
      <c r="C770" s="321">
        <v>126529</v>
      </c>
      <c r="D770" s="390" t="s">
        <v>15365</v>
      </c>
      <c r="E770" s="322">
        <v>431665</v>
      </c>
      <c r="F770" s="323">
        <v>42992</v>
      </c>
      <c r="G770" s="322">
        <v>431665</v>
      </c>
      <c r="H770" s="322">
        <f t="shared" si="8"/>
        <v>0</v>
      </c>
      <c r="I770" s="325" t="s">
        <v>15214</v>
      </c>
    </row>
    <row r="771" spans="1:9" x14ac:dyDescent="0.25">
      <c r="A771" s="359">
        <v>42984</v>
      </c>
      <c r="B771" s="326" t="s">
        <v>28484</v>
      </c>
      <c r="C771" s="327">
        <v>126530</v>
      </c>
      <c r="D771" s="391" t="s">
        <v>15435</v>
      </c>
      <c r="E771" s="328">
        <v>8413.2000000000007</v>
      </c>
      <c r="F771" s="329">
        <v>42984</v>
      </c>
      <c r="G771" s="328">
        <v>8413.2000000000007</v>
      </c>
      <c r="H771" s="347">
        <f t="shared" si="8"/>
        <v>0</v>
      </c>
      <c r="I771" s="331" t="s">
        <v>15214</v>
      </c>
    </row>
    <row r="772" spans="1:9" x14ac:dyDescent="0.25">
      <c r="A772" s="319">
        <v>42984</v>
      </c>
      <c r="B772" s="320" t="s">
        <v>28485</v>
      </c>
      <c r="C772" s="321">
        <v>126531</v>
      </c>
      <c r="D772" s="390" t="s">
        <v>15246</v>
      </c>
      <c r="E772" s="322">
        <v>82810</v>
      </c>
      <c r="F772" s="323">
        <v>42987</v>
      </c>
      <c r="G772" s="322">
        <v>82810</v>
      </c>
      <c r="H772" s="322">
        <f t="shared" si="8"/>
        <v>0</v>
      </c>
      <c r="I772" s="325" t="s">
        <v>15214</v>
      </c>
    </row>
    <row r="773" spans="1:9" x14ac:dyDescent="0.25">
      <c r="A773" s="359">
        <v>42984</v>
      </c>
      <c r="B773" s="326" t="s">
        <v>28486</v>
      </c>
      <c r="C773" s="327">
        <v>126532</v>
      </c>
      <c r="D773" s="391" t="s">
        <v>15920</v>
      </c>
      <c r="E773" s="328">
        <v>16900.400000000001</v>
      </c>
      <c r="F773" s="329">
        <v>42985</v>
      </c>
      <c r="G773" s="328">
        <v>16900.400000000001</v>
      </c>
      <c r="H773" s="347">
        <f t="shared" si="8"/>
        <v>0</v>
      </c>
      <c r="I773" s="331" t="s">
        <v>15214</v>
      </c>
    </row>
    <row r="774" spans="1:9" x14ac:dyDescent="0.25">
      <c r="A774" s="319">
        <v>42984</v>
      </c>
      <c r="B774" s="320" t="s">
        <v>28487</v>
      </c>
      <c r="C774" s="321">
        <v>126533</v>
      </c>
      <c r="D774" s="390" t="s">
        <v>28488</v>
      </c>
      <c r="E774" s="322">
        <v>16008.08</v>
      </c>
      <c r="F774" s="323">
        <v>42986</v>
      </c>
      <c r="G774" s="322">
        <v>16008.08</v>
      </c>
      <c r="H774" s="322">
        <f t="shared" si="8"/>
        <v>0</v>
      </c>
      <c r="I774" s="325" t="s">
        <v>15214</v>
      </c>
    </row>
    <row r="775" spans="1:9" x14ac:dyDescent="0.25">
      <c r="A775" s="359">
        <v>42984</v>
      </c>
      <c r="B775" s="326" t="s">
        <v>28489</v>
      </c>
      <c r="C775" s="327">
        <v>126534</v>
      </c>
      <c r="D775" s="391" t="s">
        <v>15818</v>
      </c>
      <c r="E775" s="328">
        <v>4883.2</v>
      </c>
      <c r="F775" s="329">
        <v>42986</v>
      </c>
      <c r="G775" s="328">
        <v>4883.2</v>
      </c>
      <c r="H775" s="347">
        <f t="shared" si="8"/>
        <v>0</v>
      </c>
      <c r="I775" s="331" t="s">
        <v>15214</v>
      </c>
    </row>
    <row r="776" spans="1:9" ht="15.75" x14ac:dyDescent="0.25">
      <c r="A776" s="319">
        <v>42985</v>
      </c>
      <c r="B776" s="320" t="s">
        <v>28490</v>
      </c>
      <c r="C776" s="321">
        <v>126535</v>
      </c>
      <c r="D776" s="332" t="s">
        <v>95</v>
      </c>
      <c r="E776" s="322">
        <v>0</v>
      </c>
      <c r="F776" s="333" t="s">
        <v>95</v>
      </c>
      <c r="G776" s="322">
        <v>0</v>
      </c>
      <c r="H776" s="322">
        <f t="shared" si="8"/>
        <v>0</v>
      </c>
      <c r="I776" s="325" t="s">
        <v>95</v>
      </c>
    </row>
    <row r="777" spans="1:9" ht="15.75" x14ac:dyDescent="0.25">
      <c r="A777" s="359">
        <v>42985</v>
      </c>
      <c r="B777" s="326" t="s">
        <v>28491</v>
      </c>
      <c r="C777" s="327">
        <v>126536</v>
      </c>
      <c r="D777" s="345" t="s">
        <v>95</v>
      </c>
      <c r="E777" s="328">
        <v>0</v>
      </c>
      <c r="F777" s="346" t="s">
        <v>95</v>
      </c>
      <c r="G777" s="328">
        <v>0</v>
      </c>
      <c r="H777" s="347">
        <f t="shared" si="8"/>
        <v>0</v>
      </c>
      <c r="I777" s="331" t="s">
        <v>95</v>
      </c>
    </row>
    <row r="778" spans="1:9" x14ac:dyDescent="0.25">
      <c r="A778" s="319">
        <v>42985</v>
      </c>
      <c r="B778" s="320" t="s">
        <v>28492</v>
      </c>
      <c r="C778" s="321">
        <v>126537</v>
      </c>
      <c r="D778" s="390" t="s">
        <v>15213</v>
      </c>
      <c r="E778" s="322">
        <v>33566.400000000001</v>
      </c>
      <c r="F778" s="323">
        <v>42986</v>
      </c>
      <c r="G778" s="322">
        <v>33566.400000000001</v>
      </c>
      <c r="H778" s="322">
        <f t="shared" si="8"/>
        <v>0</v>
      </c>
      <c r="I778" s="325" t="s">
        <v>15214</v>
      </c>
    </row>
    <row r="779" spans="1:9" x14ac:dyDescent="0.25">
      <c r="A779" s="359">
        <v>42985</v>
      </c>
      <c r="B779" s="326" t="s">
        <v>28493</v>
      </c>
      <c r="C779" s="327">
        <v>126538</v>
      </c>
      <c r="D779" s="391" t="s">
        <v>15835</v>
      </c>
      <c r="E779" s="328">
        <v>13351.4</v>
      </c>
      <c r="F779" s="329">
        <v>42985</v>
      </c>
      <c r="G779" s="328">
        <v>13351.4</v>
      </c>
      <c r="H779" s="347">
        <f t="shared" si="8"/>
        <v>0</v>
      </c>
      <c r="I779" s="331" t="s">
        <v>15214</v>
      </c>
    </row>
    <row r="780" spans="1:9" x14ac:dyDescent="0.25">
      <c r="A780" s="319">
        <v>42985</v>
      </c>
      <c r="B780" s="320" t="s">
        <v>28494</v>
      </c>
      <c r="C780" s="321">
        <v>126539</v>
      </c>
      <c r="D780" s="390" t="s">
        <v>15234</v>
      </c>
      <c r="E780" s="322">
        <v>3499.7</v>
      </c>
      <c r="F780" s="323">
        <v>42989</v>
      </c>
      <c r="G780" s="322">
        <v>3499.7</v>
      </c>
      <c r="H780" s="322">
        <f t="shared" si="8"/>
        <v>0</v>
      </c>
      <c r="I780" s="325" t="s">
        <v>15214</v>
      </c>
    </row>
    <row r="781" spans="1:9" x14ac:dyDescent="0.25">
      <c r="A781" s="359">
        <v>42985</v>
      </c>
      <c r="B781" s="326" t="s">
        <v>28495</v>
      </c>
      <c r="C781" s="327">
        <v>126540</v>
      </c>
      <c r="D781" s="391" t="s">
        <v>15238</v>
      </c>
      <c r="E781" s="328">
        <v>3602.4</v>
      </c>
      <c r="F781" s="329">
        <v>42987</v>
      </c>
      <c r="G781" s="328">
        <v>3602.4</v>
      </c>
      <c r="H781" s="347">
        <f t="shared" si="8"/>
        <v>0</v>
      </c>
      <c r="I781" s="331" t="s">
        <v>15214</v>
      </c>
    </row>
    <row r="782" spans="1:9" x14ac:dyDescent="0.25">
      <c r="A782" s="319">
        <v>42985</v>
      </c>
      <c r="B782" s="320" t="s">
        <v>28496</v>
      </c>
      <c r="C782" s="321">
        <v>126541</v>
      </c>
      <c r="D782" s="390" t="s">
        <v>15407</v>
      </c>
      <c r="E782" s="322">
        <v>2497.6</v>
      </c>
      <c r="F782" s="323">
        <v>42985</v>
      </c>
      <c r="G782" s="322">
        <v>2497.6</v>
      </c>
      <c r="H782" s="322">
        <f t="shared" si="8"/>
        <v>0</v>
      </c>
      <c r="I782" s="325" t="s">
        <v>15214</v>
      </c>
    </row>
    <row r="783" spans="1:9" x14ac:dyDescent="0.25">
      <c r="A783" s="359">
        <v>42985</v>
      </c>
      <c r="B783" s="326" t="s">
        <v>28497</v>
      </c>
      <c r="C783" s="327">
        <v>126542</v>
      </c>
      <c r="D783" s="391" t="s">
        <v>15523</v>
      </c>
      <c r="E783" s="328">
        <v>1920</v>
      </c>
      <c r="F783" s="329">
        <v>42985</v>
      </c>
      <c r="G783" s="328">
        <v>1920</v>
      </c>
      <c r="H783" s="347">
        <f t="shared" si="8"/>
        <v>0</v>
      </c>
      <c r="I783" s="331" t="s">
        <v>15214</v>
      </c>
    </row>
    <row r="784" spans="1:9" x14ac:dyDescent="0.25">
      <c r="A784" s="319">
        <v>42985</v>
      </c>
      <c r="B784" s="320" t="s">
        <v>28498</v>
      </c>
      <c r="C784" s="321">
        <v>126543</v>
      </c>
      <c r="D784" s="390" t="s">
        <v>15263</v>
      </c>
      <c r="E784" s="322">
        <v>1848.4</v>
      </c>
      <c r="F784" s="323">
        <v>42985</v>
      </c>
      <c r="G784" s="322">
        <v>1848.4</v>
      </c>
      <c r="H784" s="322">
        <f t="shared" si="8"/>
        <v>0</v>
      </c>
      <c r="I784" s="325" t="s">
        <v>15214</v>
      </c>
    </row>
    <row r="785" spans="1:9" x14ac:dyDescent="0.25">
      <c r="A785" s="359">
        <v>42985</v>
      </c>
      <c r="B785" s="326" t="s">
        <v>28499</v>
      </c>
      <c r="C785" s="327">
        <v>126544</v>
      </c>
      <c r="D785" s="391" t="s">
        <v>15272</v>
      </c>
      <c r="E785" s="328">
        <v>18102.150000000001</v>
      </c>
      <c r="F785" s="329">
        <v>42985</v>
      </c>
      <c r="G785" s="328">
        <v>18102.150000000001</v>
      </c>
      <c r="H785" s="347">
        <f t="shared" si="8"/>
        <v>0</v>
      </c>
      <c r="I785" s="331" t="s">
        <v>15214</v>
      </c>
    </row>
    <row r="786" spans="1:9" ht="30" x14ac:dyDescent="0.25">
      <c r="A786" s="319">
        <v>42985</v>
      </c>
      <c r="B786" s="320" t="s">
        <v>28500</v>
      </c>
      <c r="C786" s="321">
        <v>126545</v>
      </c>
      <c r="D786" s="390" t="s">
        <v>15250</v>
      </c>
      <c r="E786" s="322">
        <v>101320.35</v>
      </c>
      <c r="F786" s="323" t="s">
        <v>28382</v>
      </c>
      <c r="G786" s="334">
        <f>36648.02+64672.33</f>
        <v>101320.35</v>
      </c>
      <c r="H786" s="334">
        <f t="shared" si="8"/>
        <v>0</v>
      </c>
      <c r="I786" s="325" t="s">
        <v>15214</v>
      </c>
    </row>
    <row r="787" spans="1:9" x14ac:dyDescent="0.25">
      <c r="A787" s="359">
        <v>42985</v>
      </c>
      <c r="B787" s="326" t="s">
        <v>28501</v>
      </c>
      <c r="C787" s="327">
        <v>126546</v>
      </c>
      <c r="D787" s="391" t="s">
        <v>15242</v>
      </c>
      <c r="E787" s="328">
        <v>9988</v>
      </c>
      <c r="F787" s="329">
        <v>42985</v>
      </c>
      <c r="G787" s="328">
        <v>9988</v>
      </c>
      <c r="H787" s="347">
        <f t="shared" si="8"/>
        <v>0</v>
      </c>
      <c r="I787" s="331" t="s">
        <v>15214</v>
      </c>
    </row>
    <row r="788" spans="1:9" x14ac:dyDescent="0.25">
      <c r="A788" s="319">
        <v>42985</v>
      </c>
      <c r="B788" s="320" t="s">
        <v>28502</v>
      </c>
      <c r="C788" s="321">
        <v>126547</v>
      </c>
      <c r="D788" s="390" t="s">
        <v>16116</v>
      </c>
      <c r="E788" s="322">
        <v>31064.720000000001</v>
      </c>
      <c r="F788" s="323">
        <v>42985</v>
      </c>
      <c r="G788" s="322">
        <v>31064.720000000001</v>
      </c>
      <c r="H788" s="322">
        <f t="shared" si="8"/>
        <v>0</v>
      </c>
      <c r="I788" s="325" t="s">
        <v>15214</v>
      </c>
    </row>
    <row r="789" spans="1:9" x14ac:dyDescent="0.25">
      <c r="A789" s="359">
        <v>42985</v>
      </c>
      <c r="B789" s="326" t="s">
        <v>28503</v>
      </c>
      <c r="C789" s="327">
        <v>126548</v>
      </c>
      <c r="D789" s="391" t="s">
        <v>15541</v>
      </c>
      <c r="E789" s="328">
        <v>770.8</v>
      </c>
      <c r="F789" s="329">
        <v>42985</v>
      </c>
      <c r="G789" s="328">
        <v>770.8</v>
      </c>
      <c r="H789" s="347">
        <f t="shared" si="8"/>
        <v>0</v>
      </c>
      <c r="I789" s="331" t="s">
        <v>15214</v>
      </c>
    </row>
    <row r="790" spans="1:9" x14ac:dyDescent="0.25">
      <c r="A790" s="319">
        <v>42985</v>
      </c>
      <c r="B790" s="320" t="s">
        <v>28504</v>
      </c>
      <c r="C790" s="321">
        <v>126549</v>
      </c>
      <c r="D790" s="390" t="s">
        <v>18258</v>
      </c>
      <c r="E790" s="322">
        <v>15693.72</v>
      </c>
      <c r="F790" s="323">
        <v>42985</v>
      </c>
      <c r="G790" s="322">
        <v>15693.72</v>
      </c>
      <c r="H790" s="322">
        <f t="shared" si="8"/>
        <v>0</v>
      </c>
      <c r="I790" s="325" t="s">
        <v>15214</v>
      </c>
    </row>
    <row r="791" spans="1:9" x14ac:dyDescent="0.25">
      <c r="A791" s="359">
        <v>42985</v>
      </c>
      <c r="B791" s="326" t="s">
        <v>28505</v>
      </c>
      <c r="C791" s="327">
        <v>126550</v>
      </c>
      <c r="D791" s="391" t="s">
        <v>17462</v>
      </c>
      <c r="E791" s="328">
        <v>6095.4</v>
      </c>
      <c r="F791" s="329">
        <v>42985</v>
      </c>
      <c r="G791" s="328">
        <v>6095.4</v>
      </c>
      <c r="H791" s="347">
        <f t="shared" si="8"/>
        <v>0</v>
      </c>
      <c r="I791" s="331" t="s">
        <v>15214</v>
      </c>
    </row>
    <row r="792" spans="1:9" x14ac:dyDescent="0.25">
      <c r="A792" s="319">
        <v>42985</v>
      </c>
      <c r="B792" s="320" t="s">
        <v>28506</v>
      </c>
      <c r="C792" s="321">
        <v>126551</v>
      </c>
      <c r="D792" s="390" t="s">
        <v>15553</v>
      </c>
      <c r="E792" s="322">
        <v>34469.49</v>
      </c>
      <c r="F792" s="323">
        <v>42985</v>
      </c>
      <c r="G792" s="322">
        <v>34469.49</v>
      </c>
      <c r="H792" s="322">
        <f t="shared" si="8"/>
        <v>0</v>
      </c>
      <c r="I792" s="325" t="s">
        <v>15214</v>
      </c>
    </row>
    <row r="793" spans="1:9" x14ac:dyDescent="0.25">
      <c r="A793" s="359">
        <v>42985</v>
      </c>
      <c r="B793" s="326" t="s">
        <v>28507</v>
      </c>
      <c r="C793" s="327">
        <v>126552</v>
      </c>
      <c r="D793" s="391" t="s">
        <v>15617</v>
      </c>
      <c r="E793" s="328">
        <v>27137.8</v>
      </c>
      <c r="F793" s="329">
        <v>42985</v>
      </c>
      <c r="G793" s="328">
        <v>27137.8</v>
      </c>
      <c r="H793" s="347">
        <f t="shared" si="8"/>
        <v>0</v>
      </c>
      <c r="I793" s="331" t="s">
        <v>15214</v>
      </c>
    </row>
    <row r="794" spans="1:9" x14ac:dyDescent="0.25">
      <c r="A794" s="319">
        <v>42985</v>
      </c>
      <c r="B794" s="320" t="s">
        <v>28508</v>
      </c>
      <c r="C794" s="321">
        <v>126553</v>
      </c>
      <c r="D794" s="390" t="s">
        <v>15223</v>
      </c>
      <c r="E794" s="322">
        <v>50787</v>
      </c>
      <c r="F794" s="323">
        <v>43010</v>
      </c>
      <c r="G794" s="322">
        <v>50787</v>
      </c>
      <c r="H794" s="322">
        <f t="shared" si="8"/>
        <v>0</v>
      </c>
      <c r="I794" s="325" t="s">
        <v>15214</v>
      </c>
    </row>
    <row r="795" spans="1:9" x14ac:dyDescent="0.25">
      <c r="A795" s="359">
        <v>42985</v>
      </c>
      <c r="B795" s="326" t="s">
        <v>28509</v>
      </c>
      <c r="C795" s="327">
        <v>126554</v>
      </c>
      <c r="D795" s="391" t="s">
        <v>15250</v>
      </c>
      <c r="E795" s="328">
        <v>780</v>
      </c>
      <c r="F795" s="329">
        <v>43001</v>
      </c>
      <c r="G795" s="328">
        <v>780</v>
      </c>
      <c r="H795" s="347">
        <f t="shared" si="8"/>
        <v>0</v>
      </c>
      <c r="I795" s="331" t="s">
        <v>15214</v>
      </c>
    </row>
    <row r="796" spans="1:9" x14ac:dyDescent="0.25">
      <c r="A796" s="319">
        <v>42985</v>
      </c>
      <c r="B796" s="320" t="s">
        <v>28510</v>
      </c>
      <c r="C796" s="321">
        <v>126555</v>
      </c>
      <c r="D796" s="390" t="s">
        <v>15315</v>
      </c>
      <c r="E796" s="322">
        <v>10779.55</v>
      </c>
      <c r="F796" s="323">
        <v>42985</v>
      </c>
      <c r="G796" s="322">
        <v>10779.55</v>
      </c>
      <c r="H796" s="322">
        <f t="shared" si="8"/>
        <v>0</v>
      </c>
      <c r="I796" s="325" t="s">
        <v>15214</v>
      </c>
    </row>
    <row r="797" spans="1:9" x14ac:dyDescent="0.25">
      <c r="A797" s="359">
        <v>42985</v>
      </c>
      <c r="B797" s="326" t="s">
        <v>28511</v>
      </c>
      <c r="C797" s="327">
        <v>126556</v>
      </c>
      <c r="D797" s="391" t="s">
        <v>15258</v>
      </c>
      <c r="E797" s="328">
        <v>15381.3</v>
      </c>
      <c r="F797" s="329">
        <v>42990</v>
      </c>
      <c r="G797" s="328">
        <v>15381.3</v>
      </c>
      <c r="H797" s="347">
        <f t="shared" si="8"/>
        <v>0</v>
      </c>
      <c r="I797" s="331" t="s">
        <v>15214</v>
      </c>
    </row>
    <row r="798" spans="1:9" x14ac:dyDescent="0.25">
      <c r="A798" s="319">
        <v>42985</v>
      </c>
      <c r="B798" s="320" t="s">
        <v>28512</v>
      </c>
      <c r="C798" s="321">
        <v>126557</v>
      </c>
      <c r="D798" s="390" t="s">
        <v>5575</v>
      </c>
      <c r="E798" s="322">
        <v>4151.8900000000003</v>
      </c>
      <c r="F798" s="323">
        <v>42986</v>
      </c>
      <c r="G798" s="322">
        <v>4151.8900000000003</v>
      </c>
      <c r="H798" s="322">
        <f t="shared" si="8"/>
        <v>0</v>
      </c>
      <c r="I798" s="325" t="s">
        <v>15214</v>
      </c>
    </row>
    <row r="799" spans="1:9" x14ac:dyDescent="0.25">
      <c r="A799" s="359">
        <v>42985</v>
      </c>
      <c r="B799" s="326" t="s">
        <v>28513</v>
      </c>
      <c r="C799" s="327">
        <v>126558</v>
      </c>
      <c r="D799" s="391" t="s">
        <v>15338</v>
      </c>
      <c r="E799" s="328">
        <v>10820.4</v>
      </c>
      <c r="F799" s="329">
        <v>42990</v>
      </c>
      <c r="G799" s="328">
        <v>10820.4</v>
      </c>
      <c r="H799" s="347">
        <f t="shared" si="8"/>
        <v>0</v>
      </c>
      <c r="I799" s="331" t="s">
        <v>15214</v>
      </c>
    </row>
    <row r="800" spans="1:9" x14ac:dyDescent="0.25">
      <c r="A800" s="319">
        <v>42985</v>
      </c>
      <c r="B800" s="320" t="s">
        <v>28514</v>
      </c>
      <c r="C800" s="321">
        <v>126559</v>
      </c>
      <c r="D800" s="390" t="s">
        <v>15442</v>
      </c>
      <c r="E800" s="322">
        <v>28174.400000000001</v>
      </c>
      <c r="F800" s="323">
        <v>42987</v>
      </c>
      <c r="G800" s="322">
        <v>28174.400000000001</v>
      </c>
      <c r="H800" s="322">
        <f t="shared" si="8"/>
        <v>0</v>
      </c>
      <c r="I800" s="325" t="s">
        <v>15214</v>
      </c>
    </row>
    <row r="801" spans="1:9" x14ac:dyDescent="0.25">
      <c r="A801" s="359">
        <v>42985</v>
      </c>
      <c r="B801" s="326" t="s">
        <v>28515</v>
      </c>
      <c r="C801" s="327">
        <v>126560</v>
      </c>
      <c r="D801" s="391" t="s">
        <v>15256</v>
      </c>
      <c r="E801" s="328">
        <v>1672.4</v>
      </c>
      <c r="F801" s="329">
        <v>42987</v>
      </c>
      <c r="G801" s="328">
        <v>1672.4</v>
      </c>
      <c r="H801" s="347">
        <f t="shared" si="8"/>
        <v>0</v>
      </c>
      <c r="I801" s="331" t="s">
        <v>15214</v>
      </c>
    </row>
    <row r="802" spans="1:9" ht="30" x14ac:dyDescent="0.25">
      <c r="A802" s="319">
        <v>42985</v>
      </c>
      <c r="B802" s="320" t="s">
        <v>28516</v>
      </c>
      <c r="C802" s="321">
        <v>126561</v>
      </c>
      <c r="D802" s="390" t="s">
        <v>19780</v>
      </c>
      <c r="E802" s="322">
        <v>10886.2</v>
      </c>
      <c r="F802" s="323" t="s">
        <v>28517</v>
      </c>
      <c r="G802" s="334">
        <f>9000+1886.2</f>
        <v>10886.2</v>
      </c>
      <c r="H802" s="334">
        <f t="shared" si="8"/>
        <v>0</v>
      </c>
      <c r="I802" s="325" t="s">
        <v>15214</v>
      </c>
    </row>
    <row r="803" spans="1:9" x14ac:dyDescent="0.25">
      <c r="A803" s="359">
        <v>42985</v>
      </c>
      <c r="B803" s="326" t="s">
        <v>28518</v>
      </c>
      <c r="C803" s="327">
        <v>126562</v>
      </c>
      <c r="D803" s="391" t="s">
        <v>15236</v>
      </c>
      <c r="E803" s="328">
        <v>7031</v>
      </c>
      <c r="F803" s="329">
        <v>42987</v>
      </c>
      <c r="G803" s="328">
        <v>7031</v>
      </c>
      <c r="H803" s="347">
        <f t="shared" si="8"/>
        <v>0</v>
      </c>
      <c r="I803" s="331" t="s">
        <v>15214</v>
      </c>
    </row>
    <row r="804" spans="1:9" ht="30" x14ac:dyDescent="0.25">
      <c r="A804" s="319">
        <v>42985</v>
      </c>
      <c r="B804" s="320" t="s">
        <v>28519</v>
      </c>
      <c r="C804" s="321">
        <v>126563</v>
      </c>
      <c r="D804" s="390" t="s">
        <v>15230</v>
      </c>
      <c r="E804" s="322">
        <v>13181.7</v>
      </c>
      <c r="F804" s="323" t="s">
        <v>28520</v>
      </c>
      <c r="G804" s="334">
        <f>9200+3981.7</f>
        <v>13181.7</v>
      </c>
      <c r="H804" s="334">
        <f t="shared" si="8"/>
        <v>0</v>
      </c>
      <c r="I804" s="325" t="s">
        <v>15214</v>
      </c>
    </row>
    <row r="805" spans="1:9" x14ac:dyDescent="0.25">
      <c r="A805" s="359">
        <v>42985</v>
      </c>
      <c r="B805" s="326" t="s">
        <v>28521</v>
      </c>
      <c r="C805" s="327">
        <v>126564</v>
      </c>
      <c r="D805" s="391" t="s">
        <v>15371</v>
      </c>
      <c r="E805" s="328">
        <v>5829.1</v>
      </c>
      <c r="F805" s="329">
        <v>42986</v>
      </c>
      <c r="G805" s="328">
        <v>5829.1</v>
      </c>
      <c r="H805" s="347">
        <f t="shared" si="8"/>
        <v>0</v>
      </c>
      <c r="I805" s="331" t="s">
        <v>15214</v>
      </c>
    </row>
    <row r="806" spans="1:9" x14ac:dyDescent="0.25">
      <c r="A806" s="319">
        <v>42985</v>
      </c>
      <c r="B806" s="320" t="s">
        <v>28522</v>
      </c>
      <c r="C806" s="321">
        <v>126565</v>
      </c>
      <c r="D806" s="390" t="s">
        <v>15668</v>
      </c>
      <c r="E806" s="322">
        <v>16778.95</v>
      </c>
      <c r="F806" s="323">
        <v>42989</v>
      </c>
      <c r="G806" s="322">
        <v>16778.95</v>
      </c>
      <c r="H806" s="322">
        <f t="shared" si="8"/>
        <v>0</v>
      </c>
      <c r="I806" s="325" t="s">
        <v>15214</v>
      </c>
    </row>
    <row r="807" spans="1:9" x14ac:dyDescent="0.25">
      <c r="A807" s="359">
        <v>42985</v>
      </c>
      <c r="B807" s="326" t="s">
        <v>28523</v>
      </c>
      <c r="C807" s="327">
        <v>126566</v>
      </c>
      <c r="D807" s="391" t="s">
        <v>15301</v>
      </c>
      <c r="E807" s="328">
        <v>4350</v>
      </c>
      <c r="F807" s="329">
        <v>42985</v>
      </c>
      <c r="G807" s="328">
        <v>4350</v>
      </c>
      <c r="H807" s="347">
        <f t="shared" si="8"/>
        <v>0</v>
      </c>
      <c r="I807" s="331" t="s">
        <v>15214</v>
      </c>
    </row>
    <row r="808" spans="1:9" x14ac:dyDescent="0.25">
      <c r="A808" s="319">
        <v>42985</v>
      </c>
      <c r="B808" s="320" t="s">
        <v>28524</v>
      </c>
      <c r="C808" s="321">
        <v>126567</v>
      </c>
      <c r="D808" s="390" t="s">
        <v>15309</v>
      </c>
      <c r="E808" s="322">
        <v>15667</v>
      </c>
      <c r="F808" s="323">
        <v>42985</v>
      </c>
      <c r="G808" s="322">
        <v>15667</v>
      </c>
      <c r="H808" s="322">
        <f t="shared" si="8"/>
        <v>0</v>
      </c>
      <c r="I808" s="325" t="s">
        <v>15214</v>
      </c>
    </row>
    <row r="809" spans="1:9" x14ac:dyDescent="0.25">
      <c r="A809" s="359">
        <v>42985</v>
      </c>
      <c r="B809" s="326" t="s">
        <v>28525</v>
      </c>
      <c r="C809" s="327">
        <v>126568</v>
      </c>
      <c r="D809" s="391" t="s">
        <v>15317</v>
      </c>
      <c r="E809" s="328">
        <v>4148.7</v>
      </c>
      <c r="F809" s="329">
        <v>42989</v>
      </c>
      <c r="G809" s="328">
        <v>4148.7</v>
      </c>
      <c r="H809" s="347">
        <f t="shared" si="8"/>
        <v>0</v>
      </c>
      <c r="I809" s="331" t="s">
        <v>15214</v>
      </c>
    </row>
    <row r="810" spans="1:9" x14ac:dyDescent="0.25">
      <c r="A810" s="319">
        <v>42985</v>
      </c>
      <c r="B810" s="320" t="s">
        <v>28526</v>
      </c>
      <c r="C810" s="321">
        <v>126569</v>
      </c>
      <c r="D810" s="390" t="s">
        <v>15291</v>
      </c>
      <c r="E810" s="322">
        <v>960</v>
      </c>
      <c r="F810" s="323">
        <v>42985</v>
      </c>
      <c r="G810" s="322">
        <v>960</v>
      </c>
      <c r="H810" s="322">
        <f t="shared" si="8"/>
        <v>0</v>
      </c>
      <c r="I810" s="325" t="s">
        <v>15214</v>
      </c>
    </row>
    <row r="811" spans="1:9" x14ac:dyDescent="0.25">
      <c r="A811" s="359">
        <v>42985</v>
      </c>
      <c r="B811" s="326" t="s">
        <v>28527</v>
      </c>
      <c r="C811" s="327">
        <v>126570</v>
      </c>
      <c r="D811" s="391" t="s">
        <v>15320</v>
      </c>
      <c r="E811" s="328">
        <v>2833.6</v>
      </c>
      <c r="F811" s="329">
        <v>42985</v>
      </c>
      <c r="G811" s="328">
        <v>2833.6</v>
      </c>
      <c r="H811" s="347">
        <f t="shared" si="8"/>
        <v>0</v>
      </c>
      <c r="I811" s="331" t="s">
        <v>15214</v>
      </c>
    </row>
    <row r="812" spans="1:9" x14ac:dyDescent="0.25">
      <c r="A812" s="319">
        <v>42985</v>
      </c>
      <c r="B812" s="320" t="s">
        <v>28528</v>
      </c>
      <c r="C812" s="321">
        <v>126571</v>
      </c>
      <c r="D812" s="390" t="s">
        <v>15220</v>
      </c>
      <c r="E812" s="322">
        <v>2400</v>
      </c>
      <c r="F812" s="323">
        <v>42985</v>
      </c>
      <c r="G812" s="322">
        <v>2400</v>
      </c>
      <c r="H812" s="322">
        <f t="shared" si="8"/>
        <v>0</v>
      </c>
      <c r="I812" s="325" t="s">
        <v>15214</v>
      </c>
    </row>
    <row r="813" spans="1:9" x14ac:dyDescent="0.25">
      <c r="A813" s="359">
        <v>42985</v>
      </c>
      <c r="B813" s="326" t="s">
        <v>28529</v>
      </c>
      <c r="C813" s="327">
        <v>126572</v>
      </c>
      <c r="D813" s="391" t="s">
        <v>15294</v>
      </c>
      <c r="E813" s="328">
        <v>32809.35</v>
      </c>
      <c r="F813" s="329">
        <v>42985</v>
      </c>
      <c r="G813" s="328">
        <v>32809.35</v>
      </c>
      <c r="H813" s="347">
        <f t="shared" si="8"/>
        <v>0</v>
      </c>
      <c r="I813" s="331" t="s">
        <v>15214</v>
      </c>
    </row>
    <row r="814" spans="1:9" x14ac:dyDescent="0.25">
      <c r="A814" s="319">
        <v>42985</v>
      </c>
      <c r="B814" s="320" t="s">
        <v>28530</v>
      </c>
      <c r="C814" s="321">
        <v>126573</v>
      </c>
      <c r="D814" s="390" t="s">
        <v>17210</v>
      </c>
      <c r="E814" s="322">
        <v>4105</v>
      </c>
      <c r="F814" s="323">
        <v>42985</v>
      </c>
      <c r="G814" s="322">
        <v>4105</v>
      </c>
      <c r="H814" s="322">
        <f t="shared" si="8"/>
        <v>0</v>
      </c>
      <c r="I814" s="325" t="s">
        <v>15214</v>
      </c>
    </row>
    <row r="815" spans="1:9" x14ac:dyDescent="0.25">
      <c r="A815" s="359">
        <v>42985</v>
      </c>
      <c r="B815" s="326" t="s">
        <v>28531</v>
      </c>
      <c r="C815" s="327">
        <v>126574</v>
      </c>
      <c r="D815" s="391" t="s">
        <v>15228</v>
      </c>
      <c r="E815" s="328">
        <v>4924.8</v>
      </c>
      <c r="F815" s="329">
        <v>42985</v>
      </c>
      <c r="G815" s="328">
        <v>4924.8</v>
      </c>
      <c r="H815" s="347">
        <f t="shared" si="8"/>
        <v>0</v>
      </c>
      <c r="I815" s="331" t="s">
        <v>15214</v>
      </c>
    </row>
    <row r="816" spans="1:9" x14ac:dyDescent="0.25">
      <c r="A816" s="319">
        <v>42985</v>
      </c>
      <c r="B816" s="320" t="s">
        <v>28532</v>
      </c>
      <c r="C816" s="321">
        <v>126575</v>
      </c>
      <c r="D816" s="390" t="s">
        <v>15311</v>
      </c>
      <c r="E816" s="322">
        <v>3359.6</v>
      </c>
      <c r="F816" s="323">
        <v>42985</v>
      </c>
      <c r="G816" s="322">
        <v>3359.6</v>
      </c>
      <c r="H816" s="322">
        <f t="shared" si="8"/>
        <v>0</v>
      </c>
      <c r="I816" s="325" t="s">
        <v>15214</v>
      </c>
    </row>
    <row r="817" spans="1:9" x14ac:dyDescent="0.25">
      <c r="A817" s="359">
        <v>42985</v>
      </c>
      <c r="B817" s="326" t="s">
        <v>28533</v>
      </c>
      <c r="C817" s="327">
        <v>126576</v>
      </c>
      <c r="D817" s="391" t="s">
        <v>15562</v>
      </c>
      <c r="E817" s="328">
        <v>2604.1999999999998</v>
      </c>
      <c r="F817" s="329">
        <v>42985</v>
      </c>
      <c r="G817" s="328">
        <v>2604.1999999999998</v>
      </c>
      <c r="H817" s="347">
        <f t="shared" ref="H817:H880" si="9">E817-G817</f>
        <v>0</v>
      </c>
      <c r="I817" s="331" t="s">
        <v>15214</v>
      </c>
    </row>
    <row r="818" spans="1:9" x14ac:dyDescent="0.25">
      <c r="A818" s="319">
        <v>42985</v>
      </c>
      <c r="B818" s="320" t="s">
        <v>28534</v>
      </c>
      <c r="C818" s="321">
        <v>126577</v>
      </c>
      <c r="D818" s="390" t="s">
        <v>15530</v>
      </c>
      <c r="E818" s="322">
        <v>3815.1</v>
      </c>
      <c r="F818" s="323">
        <v>42985</v>
      </c>
      <c r="G818" s="322">
        <v>3815.1</v>
      </c>
      <c r="H818" s="322">
        <f t="shared" si="9"/>
        <v>0</v>
      </c>
      <c r="I818" s="325" t="s">
        <v>15214</v>
      </c>
    </row>
    <row r="819" spans="1:9" x14ac:dyDescent="0.25">
      <c r="A819" s="359">
        <v>42985</v>
      </c>
      <c r="B819" s="326" t="s">
        <v>28535</v>
      </c>
      <c r="C819" s="327">
        <v>126578</v>
      </c>
      <c r="D819" s="391" t="s">
        <v>15334</v>
      </c>
      <c r="E819" s="328">
        <v>720</v>
      </c>
      <c r="F819" s="329">
        <v>42985</v>
      </c>
      <c r="G819" s="328">
        <v>720</v>
      </c>
      <c r="H819" s="347">
        <f t="shared" si="9"/>
        <v>0</v>
      </c>
      <c r="I819" s="331" t="s">
        <v>15214</v>
      </c>
    </row>
    <row r="820" spans="1:9" x14ac:dyDescent="0.25">
      <c r="A820" s="319">
        <v>42985</v>
      </c>
      <c r="B820" s="320" t="s">
        <v>28536</v>
      </c>
      <c r="C820" s="321">
        <v>126579</v>
      </c>
      <c r="D820" s="390" t="s">
        <v>15858</v>
      </c>
      <c r="E820" s="322">
        <v>6241.6</v>
      </c>
      <c r="F820" s="323">
        <v>42985</v>
      </c>
      <c r="G820" s="322">
        <v>6241.6</v>
      </c>
      <c r="H820" s="322">
        <f t="shared" si="9"/>
        <v>0</v>
      </c>
      <c r="I820" s="325" t="s">
        <v>15214</v>
      </c>
    </row>
    <row r="821" spans="1:9" x14ac:dyDescent="0.25">
      <c r="A821" s="359">
        <v>42985</v>
      </c>
      <c r="B821" s="326" t="s">
        <v>28537</v>
      </c>
      <c r="C821" s="327">
        <v>126580</v>
      </c>
      <c r="D821" s="391" t="s">
        <v>15348</v>
      </c>
      <c r="E821" s="328">
        <v>402</v>
      </c>
      <c r="F821" s="396">
        <v>42986</v>
      </c>
      <c r="G821" s="328">
        <v>402</v>
      </c>
      <c r="H821" s="347">
        <f t="shared" si="9"/>
        <v>0</v>
      </c>
      <c r="I821" s="331" t="s">
        <v>15214</v>
      </c>
    </row>
    <row r="822" spans="1:9" x14ac:dyDescent="0.25">
      <c r="A822" s="319">
        <v>42985</v>
      </c>
      <c r="B822" s="320" t="s">
        <v>28538</v>
      </c>
      <c r="C822" s="321">
        <v>126581</v>
      </c>
      <c r="D822" s="390" t="s">
        <v>15356</v>
      </c>
      <c r="E822" s="322">
        <v>468</v>
      </c>
      <c r="F822" s="323">
        <v>42985</v>
      </c>
      <c r="G822" s="322">
        <v>468</v>
      </c>
      <c r="H822" s="322">
        <f t="shared" si="9"/>
        <v>0</v>
      </c>
      <c r="I822" s="325" t="s">
        <v>15214</v>
      </c>
    </row>
    <row r="823" spans="1:9" x14ac:dyDescent="0.25">
      <c r="A823" s="359">
        <v>42985</v>
      </c>
      <c r="B823" s="326" t="s">
        <v>28539</v>
      </c>
      <c r="C823" s="327">
        <v>126582</v>
      </c>
      <c r="D823" s="391" t="s">
        <v>15526</v>
      </c>
      <c r="E823" s="328">
        <v>1905</v>
      </c>
      <c r="F823" s="329">
        <v>42985</v>
      </c>
      <c r="G823" s="328">
        <v>1905</v>
      </c>
      <c r="H823" s="347">
        <f t="shared" si="9"/>
        <v>0</v>
      </c>
      <c r="I823" s="331" t="s">
        <v>15214</v>
      </c>
    </row>
    <row r="824" spans="1:9" x14ac:dyDescent="0.25">
      <c r="A824" s="319">
        <v>42985</v>
      </c>
      <c r="B824" s="320" t="s">
        <v>28540</v>
      </c>
      <c r="C824" s="321">
        <v>126583</v>
      </c>
      <c r="D824" s="390" t="s">
        <v>15358</v>
      </c>
      <c r="E824" s="322">
        <v>1692</v>
      </c>
      <c r="F824" s="323">
        <v>42985</v>
      </c>
      <c r="G824" s="322">
        <v>1692</v>
      </c>
      <c r="H824" s="322">
        <f t="shared" si="9"/>
        <v>0</v>
      </c>
      <c r="I824" s="325" t="s">
        <v>15214</v>
      </c>
    </row>
    <row r="825" spans="1:9" x14ac:dyDescent="0.25">
      <c r="A825" s="359">
        <v>42985</v>
      </c>
      <c r="B825" s="326" t="s">
        <v>28541</v>
      </c>
      <c r="C825" s="327">
        <v>126584</v>
      </c>
      <c r="D825" s="391" t="s">
        <v>15336</v>
      </c>
      <c r="E825" s="328">
        <v>324.3</v>
      </c>
      <c r="F825" s="329">
        <v>42985</v>
      </c>
      <c r="G825" s="328">
        <v>324.3</v>
      </c>
      <c r="H825" s="347">
        <f t="shared" si="9"/>
        <v>0</v>
      </c>
      <c r="I825" s="331" t="s">
        <v>15214</v>
      </c>
    </row>
    <row r="826" spans="1:9" x14ac:dyDescent="0.25">
      <c r="A826" s="319">
        <v>42985</v>
      </c>
      <c r="B826" s="320" t="s">
        <v>28542</v>
      </c>
      <c r="C826" s="321">
        <v>126585</v>
      </c>
      <c r="D826" s="390" t="s">
        <v>15240</v>
      </c>
      <c r="E826" s="322">
        <v>3967.5</v>
      </c>
      <c r="F826" s="323">
        <v>42986</v>
      </c>
      <c r="G826" s="322">
        <v>3967.5</v>
      </c>
      <c r="H826" s="322">
        <f t="shared" si="9"/>
        <v>0</v>
      </c>
      <c r="I826" s="325" t="s">
        <v>15214</v>
      </c>
    </row>
    <row r="827" spans="1:9" x14ac:dyDescent="0.25">
      <c r="A827" s="359">
        <v>42985</v>
      </c>
      <c r="B827" s="326" t="s">
        <v>28543</v>
      </c>
      <c r="C827" s="327">
        <v>126586</v>
      </c>
      <c r="D827" s="391" t="s">
        <v>18544</v>
      </c>
      <c r="E827" s="328">
        <v>6955</v>
      </c>
      <c r="F827" s="329">
        <v>42985</v>
      </c>
      <c r="G827" s="328">
        <v>6955</v>
      </c>
      <c r="H827" s="347">
        <f t="shared" si="9"/>
        <v>0</v>
      </c>
      <c r="I827" s="331" t="s">
        <v>15214</v>
      </c>
    </row>
    <row r="828" spans="1:9" x14ac:dyDescent="0.25">
      <c r="A828" s="319">
        <v>42985</v>
      </c>
      <c r="B828" s="320" t="s">
        <v>28544</v>
      </c>
      <c r="C828" s="321">
        <v>126587</v>
      </c>
      <c r="D828" s="390" t="s">
        <v>15326</v>
      </c>
      <c r="E828" s="322">
        <v>4942.3999999999996</v>
      </c>
      <c r="F828" s="323">
        <v>42985</v>
      </c>
      <c r="G828" s="322">
        <v>4942.3999999999996</v>
      </c>
      <c r="H828" s="322">
        <f t="shared" si="9"/>
        <v>0</v>
      </c>
      <c r="I828" s="325" t="s">
        <v>15214</v>
      </c>
    </row>
    <row r="829" spans="1:9" x14ac:dyDescent="0.25">
      <c r="A829" s="359">
        <v>42985</v>
      </c>
      <c r="B829" s="326" t="s">
        <v>28545</v>
      </c>
      <c r="C829" s="327">
        <v>126588</v>
      </c>
      <c r="D829" s="391" t="s">
        <v>15332</v>
      </c>
      <c r="E829" s="328">
        <v>5168.8</v>
      </c>
      <c r="F829" s="329">
        <v>42985</v>
      </c>
      <c r="G829" s="328">
        <v>5168.8</v>
      </c>
      <c r="H829" s="347">
        <f t="shared" si="9"/>
        <v>0</v>
      </c>
      <c r="I829" s="331" t="s">
        <v>15214</v>
      </c>
    </row>
    <row r="830" spans="1:9" x14ac:dyDescent="0.25">
      <c r="A830" s="319">
        <v>42985</v>
      </c>
      <c r="B830" s="320" t="s">
        <v>28546</v>
      </c>
      <c r="C830" s="321">
        <v>126589</v>
      </c>
      <c r="D830" s="390" t="s">
        <v>15348</v>
      </c>
      <c r="E830" s="322">
        <v>328.3</v>
      </c>
      <c r="F830" s="323">
        <v>42986</v>
      </c>
      <c r="G830" s="322">
        <v>328.3</v>
      </c>
      <c r="H830" s="322">
        <f t="shared" si="9"/>
        <v>0</v>
      </c>
      <c r="I830" s="325" t="s">
        <v>15214</v>
      </c>
    </row>
    <row r="831" spans="1:9" x14ac:dyDescent="0.25">
      <c r="A831" s="359">
        <v>42985</v>
      </c>
      <c r="B831" s="326" t="s">
        <v>28547</v>
      </c>
      <c r="C831" s="327">
        <v>126590</v>
      </c>
      <c r="D831" s="391" t="s">
        <v>15861</v>
      </c>
      <c r="E831" s="328">
        <v>3073</v>
      </c>
      <c r="F831" s="329">
        <v>42985</v>
      </c>
      <c r="G831" s="328">
        <v>3073</v>
      </c>
      <c r="H831" s="347">
        <f t="shared" si="9"/>
        <v>0</v>
      </c>
      <c r="I831" s="331" t="s">
        <v>15214</v>
      </c>
    </row>
    <row r="832" spans="1:9" x14ac:dyDescent="0.25">
      <c r="A832" s="319">
        <v>42985</v>
      </c>
      <c r="B832" s="320" t="s">
        <v>28548</v>
      </c>
      <c r="C832" s="321">
        <v>126591</v>
      </c>
      <c r="D832" s="390" t="s">
        <v>15278</v>
      </c>
      <c r="E832" s="322">
        <v>211.8</v>
      </c>
      <c r="F832" s="323">
        <v>42985</v>
      </c>
      <c r="G832" s="322">
        <v>211.8</v>
      </c>
      <c r="H832" s="322">
        <f t="shared" si="9"/>
        <v>0</v>
      </c>
      <c r="I832" s="325" t="s">
        <v>15214</v>
      </c>
    </row>
    <row r="833" spans="1:9" x14ac:dyDescent="0.25">
      <c r="A833" s="359">
        <v>42985</v>
      </c>
      <c r="B833" s="326" t="s">
        <v>28549</v>
      </c>
      <c r="C833" s="327">
        <v>126592</v>
      </c>
      <c r="D833" s="391" t="s">
        <v>15280</v>
      </c>
      <c r="E833" s="328">
        <v>6395.2</v>
      </c>
      <c r="F833" s="329">
        <v>42985</v>
      </c>
      <c r="G833" s="328">
        <v>6395.2</v>
      </c>
      <c r="H833" s="347">
        <f t="shared" si="9"/>
        <v>0</v>
      </c>
      <c r="I833" s="331" t="s">
        <v>15214</v>
      </c>
    </row>
    <row r="834" spans="1:9" x14ac:dyDescent="0.25">
      <c r="A834" s="319">
        <v>42985</v>
      </c>
      <c r="B834" s="320" t="s">
        <v>28550</v>
      </c>
      <c r="C834" s="321">
        <v>126593</v>
      </c>
      <c r="D834" s="390" t="s">
        <v>15903</v>
      </c>
      <c r="E834" s="322">
        <v>33778.800000000003</v>
      </c>
      <c r="F834" s="323">
        <v>42987</v>
      </c>
      <c r="G834" s="322">
        <v>33778.800000000003</v>
      </c>
      <c r="H834" s="322">
        <f t="shared" si="9"/>
        <v>0</v>
      </c>
      <c r="I834" s="325" t="s">
        <v>15214</v>
      </c>
    </row>
    <row r="835" spans="1:9" x14ac:dyDescent="0.25">
      <c r="A835" s="359">
        <v>42985</v>
      </c>
      <c r="B835" s="326" t="s">
        <v>28551</v>
      </c>
      <c r="C835" s="327">
        <v>126594</v>
      </c>
      <c r="D835" s="391" t="s">
        <v>15261</v>
      </c>
      <c r="E835" s="328">
        <v>24233.200000000001</v>
      </c>
      <c r="F835" s="329">
        <v>42985</v>
      </c>
      <c r="G835" s="328">
        <v>24233.200000000001</v>
      </c>
      <c r="H835" s="347">
        <f t="shared" si="9"/>
        <v>0</v>
      </c>
      <c r="I835" s="331" t="s">
        <v>15214</v>
      </c>
    </row>
    <row r="836" spans="1:9" x14ac:dyDescent="0.25">
      <c r="A836" s="319">
        <v>42985</v>
      </c>
      <c r="B836" s="320" t="s">
        <v>28552</v>
      </c>
      <c r="C836" s="321">
        <v>126595</v>
      </c>
      <c r="D836" s="390" t="s">
        <v>15499</v>
      </c>
      <c r="E836" s="322">
        <v>10748.28</v>
      </c>
      <c r="F836" s="323">
        <v>42985</v>
      </c>
      <c r="G836" s="322">
        <v>10748.28</v>
      </c>
      <c r="H836" s="322">
        <f t="shared" si="9"/>
        <v>0</v>
      </c>
      <c r="I836" s="325" t="s">
        <v>15214</v>
      </c>
    </row>
    <row r="837" spans="1:9" x14ac:dyDescent="0.25">
      <c r="A837" s="359">
        <v>42985</v>
      </c>
      <c r="B837" s="326" t="s">
        <v>28553</v>
      </c>
      <c r="C837" s="327">
        <v>126596</v>
      </c>
      <c r="D837" s="391" t="s">
        <v>15315</v>
      </c>
      <c r="E837" s="328">
        <v>2610</v>
      </c>
      <c r="F837" s="329">
        <v>42985</v>
      </c>
      <c r="G837" s="328">
        <v>2610</v>
      </c>
      <c r="H837" s="347">
        <f t="shared" si="9"/>
        <v>0</v>
      </c>
      <c r="I837" s="331" t="s">
        <v>15214</v>
      </c>
    </row>
    <row r="838" spans="1:9" x14ac:dyDescent="0.25">
      <c r="A838" s="319">
        <v>42985</v>
      </c>
      <c r="B838" s="320" t="s">
        <v>28554</v>
      </c>
      <c r="C838" s="321">
        <v>126597</v>
      </c>
      <c r="D838" s="390" t="s">
        <v>23218</v>
      </c>
      <c r="E838" s="322">
        <v>3725.6</v>
      </c>
      <c r="F838" s="323">
        <v>42985</v>
      </c>
      <c r="G838" s="322">
        <v>3725.6</v>
      </c>
      <c r="H838" s="322">
        <f t="shared" si="9"/>
        <v>0</v>
      </c>
      <c r="I838" s="325" t="s">
        <v>15214</v>
      </c>
    </row>
    <row r="839" spans="1:9" x14ac:dyDescent="0.25">
      <c r="A839" s="359">
        <v>42985</v>
      </c>
      <c r="B839" s="326" t="s">
        <v>28555</v>
      </c>
      <c r="C839" s="327">
        <v>126598</v>
      </c>
      <c r="D839" s="391" t="s">
        <v>15315</v>
      </c>
      <c r="E839" s="328">
        <v>2358.86</v>
      </c>
      <c r="F839" s="329">
        <v>42985</v>
      </c>
      <c r="G839" s="328">
        <v>2358.86</v>
      </c>
      <c r="H839" s="347">
        <f t="shared" si="9"/>
        <v>0</v>
      </c>
      <c r="I839" s="331" t="s">
        <v>15214</v>
      </c>
    </row>
    <row r="840" spans="1:9" x14ac:dyDescent="0.25">
      <c r="A840" s="319">
        <v>42985</v>
      </c>
      <c r="B840" s="320" t="s">
        <v>28556</v>
      </c>
      <c r="C840" s="321">
        <v>126599</v>
      </c>
      <c r="D840" s="390" t="s">
        <v>23215</v>
      </c>
      <c r="E840" s="322">
        <v>5571.4</v>
      </c>
      <c r="F840" s="323">
        <v>42985</v>
      </c>
      <c r="G840" s="322">
        <v>5571.4</v>
      </c>
      <c r="H840" s="322">
        <f t="shared" si="9"/>
        <v>0</v>
      </c>
      <c r="I840" s="325" t="s">
        <v>15214</v>
      </c>
    </row>
    <row r="841" spans="1:9" x14ac:dyDescent="0.25">
      <c r="A841" s="359">
        <v>42985</v>
      </c>
      <c r="B841" s="326" t="s">
        <v>28557</v>
      </c>
      <c r="C841" s="327">
        <v>126600</v>
      </c>
      <c r="D841" s="391" t="s">
        <v>15665</v>
      </c>
      <c r="E841" s="328">
        <v>452.4</v>
      </c>
      <c r="F841" s="329">
        <v>42985</v>
      </c>
      <c r="G841" s="328">
        <v>452.4</v>
      </c>
      <c r="H841" s="347">
        <f t="shared" si="9"/>
        <v>0</v>
      </c>
      <c r="I841" s="331" t="s">
        <v>15214</v>
      </c>
    </row>
    <row r="842" spans="1:9" ht="15.75" x14ac:dyDescent="0.25">
      <c r="A842" s="319">
        <v>42985</v>
      </c>
      <c r="B842" s="320" t="s">
        <v>28558</v>
      </c>
      <c r="C842" s="321">
        <v>126601</v>
      </c>
      <c r="D842" s="332" t="s">
        <v>95</v>
      </c>
      <c r="E842" s="322">
        <v>0</v>
      </c>
      <c r="F842" s="333" t="s">
        <v>95</v>
      </c>
      <c r="G842" s="322">
        <v>0</v>
      </c>
      <c r="H842" s="322">
        <f t="shared" si="9"/>
        <v>0</v>
      </c>
      <c r="I842" s="325" t="s">
        <v>95</v>
      </c>
    </row>
    <row r="843" spans="1:9" x14ac:dyDescent="0.25">
      <c r="A843" s="359">
        <v>42985</v>
      </c>
      <c r="B843" s="326" t="s">
        <v>28559</v>
      </c>
      <c r="C843" s="327">
        <v>126602</v>
      </c>
      <c r="D843" s="391" t="s">
        <v>19756</v>
      </c>
      <c r="E843" s="328">
        <v>1302.7</v>
      </c>
      <c r="F843" s="329">
        <v>42985</v>
      </c>
      <c r="G843" s="328">
        <v>1302.7</v>
      </c>
      <c r="H843" s="347">
        <f t="shared" si="9"/>
        <v>0</v>
      </c>
      <c r="I843" s="331" t="s">
        <v>15214</v>
      </c>
    </row>
    <row r="844" spans="1:9" ht="30" x14ac:dyDescent="0.25">
      <c r="A844" s="319">
        <v>42985</v>
      </c>
      <c r="B844" s="320" t="s">
        <v>28560</v>
      </c>
      <c r="C844" s="321">
        <v>126603</v>
      </c>
      <c r="D844" s="390" t="s">
        <v>15544</v>
      </c>
      <c r="E844" s="322">
        <v>3882.85</v>
      </c>
      <c r="F844" s="423" t="s">
        <v>35709</v>
      </c>
      <c r="G844" s="334">
        <f>2720.5+1162.35</f>
        <v>3882.85</v>
      </c>
      <c r="H844" s="334">
        <f t="shared" si="9"/>
        <v>0</v>
      </c>
      <c r="I844" s="325" t="s">
        <v>15214</v>
      </c>
    </row>
    <row r="845" spans="1:9" x14ac:dyDescent="0.25">
      <c r="A845" s="359">
        <v>42985</v>
      </c>
      <c r="B845" s="326" t="s">
        <v>28561</v>
      </c>
      <c r="C845" s="327">
        <v>126604</v>
      </c>
      <c r="D845" s="391" t="s">
        <v>15555</v>
      </c>
      <c r="E845" s="328">
        <v>5241</v>
      </c>
      <c r="F845" s="329">
        <v>43012</v>
      </c>
      <c r="G845" s="328">
        <v>5241</v>
      </c>
      <c r="H845" s="347">
        <f t="shared" si="9"/>
        <v>0</v>
      </c>
      <c r="I845" s="331" t="s">
        <v>15214</v>
      </c>
    </row>
    <row r="846" spans="1:9" x14ac:dyDescent="0.25">
      <c r="A846" s="319">
        <v>42985</v>
      </c>
      <c r="B846" s="320" t="s">
        <v>28562</v>
      </c>
      <c r="C846" s="321">
        <v>126605</v>
      </c>
      <c r="D846" s="390" t="s">
        <v>15590</v>
      </c>
      <c r="E846" s="322">
        <v>30761.85</v>
      </c>
      <c r="F846" s="323">
        <v>42992</v>
      </c>
      <c r="G846" s="322">
        <v>30761.85</v>
      </c>
      <c r="H846" s="322">
        <f t="shared" si="9"/>
        <v>0</v>
      </c>
      <c r="I846" s="325" t="s">
        <v>15214</v>
      </c>
    </row>
    <row r="847" spans="1:9" x14ac:dyDescent="0.25">
      <c r="A847" s="359">
        <v>42985</v>
      </c>
      <c r="B847" s="326" t="s">
        <v>28563</v>
      </c>
      <c r="C847" s="327">
        <v>126606</v>
      </c>
      <c r="D847" s="391" t="s">
        <v>15252</v>
      </c>
      <c r="E847" s="328">
        <v>1917.4</v>
      </c>
      <c r="F847" s="329">
        <v>42985</v>
      </c>
      <c r="G847" s="328">
        <v>1917.4</v>
      </c>
      <c r="H847" s="347">
        <f t="shared" si="9"/>
        <v>0</v>
      </c>
      <c r="I847" s="331" t="s">
        <v>15214</v>
      </c>
    </row>
    <row r="848" spans="1:9" x14ac:dyDescent="0.25">
      <c r="A848" s="319">
        <v>42985</v>
      </c>
      <c r="B848" s="320" t="s">
        <v>28564</v>
      </c>
      <c r="C848" s="321">
        <v>126607</v>
      </c>
      <c r="D848" s="390" t="s">
        <v>15244</v>
      </c>
      <c r="E848" s="322">
        <v>6564.3</v>
      </c>
      <c r="F848" s="323">
        <v>42987</v>
      </c>
      <c r="G848" s="322">
        <v>6564.3</v>
      </c>
      <c r="H848" s="322">
        <f t="shared" si="9"/>
        <v>0</v>
      </c>
      <c r="I848" s="325" t="s">
        <v>15214</v>
      </c>
    </row>
    <row r="849" spans="1:9" x14ac:dyDescent="0.25">
      <c r="A849" s="359">
        <v>42985</v>
      </c>
      <c r="B849" s="326" t="s">
        <v>28565</v>
      </c>
      <c r="C849" s="327">
        <v>126608</v>
      </c>
      <c r="D849" s="391" t="s">
        <v>15577</v>
      </c>
      <c r="E849" s="328">
        <v>319.8</v>
      </c>
      <c r="F849" s="329">
        <v>42985</v>
      </c>
      <c r="G849" s="328">
        <v>319.8</v>
      </c>
      <c r="H849" s="347">
        <f t="shared" si="9"/>
        <v>0</v>
      </c>
      <c r="I849" s="331" t="s">
        <v>15214</v>
      </c>
    </row>
    <row r="850" spans="1:9" x14ac:dyDescent="0.25">
      <c r="A850" s="319">
        <v>42985</v>
      </c>
      <c r="B850" s="320" t="s">
        <v>28566</v>
      </c>
      <c r="C850" s="321">
        <v>126609</v>
      </c>
      <c r="D850" s="390" t="s">
        <v>23937</v>
      </c>
      <c r="E850" s="322">
        <v>3586.8</v>
      </c>
      <c r="F850" s="323">
        <v>42986</v>
      </c>
      <c r="G850" s="322">
        <v>3586.8</v>
      </c>
      <c r="H850" s="322">
        <f t="shared" si="9"/>
        <v>0</v>
      </c>
      <c r="I850" s="325" t="s">
        <v>15214</v>
      </c>
    </row>
    <row r="851" spans="1:9" x14ac:dyDescent="0.25">
      <c r="A851" s="359">
        <v>42985</v>
      </c>
      <c r="B851" s="326" t="s">
        <v>28567</v>
      </c>
      <c r="C851" s="327">
        <v>126610</v>
      </c>
      <c r="D851" s="391" t="s">
        <v>16108</v>
      </c>
      <c r="E851" s="328">
        <v>25.84</v>
      </c>
      <c r="F851" s="329">
        <v>42985</v>
      </c>
      <c r="G851" s="328">
        <v>25.84</v>
      </c>
      <c r="H851" s="347">
        <f t="shared" si="9"/>
        <v>0</v>
      </c>
      <c r="I851" s="331" t="s">
        <v>15214</v>
      </c>
    </row>
    <row r="852" spans="1:9" x14ac:dyDescent="0.25">
      <c r="A852" s="319">
        <v>42985</v>
      </c>
      <c r="B852" s="320" t="s">
        <v>28568</v>
      </c>
      <c r="C852" s="321">
        <v>126611</v>
      </c>
      <c r="D852" s="390" t="s">
        <v>15444</v>
      </c>
      <c r="E852" s="322">
        <v>1869.4</v>
      </c>
      <c r="F852" s="323">
        <v>42985</v>
      </c>
      <c r="G852" s="322">
        <v>1869.4</v>
      </c>
      <c r="H852" s="322">
        <f t="shared" si="9"/>
        <v>0</v>
      </c>
      <c r="I852" s="325" t="s">
        <v>15214</v>
      </c>
    </row>
    <row r="853" spans="1:9" x14ac:dyDescent="0.25">
      <c r="A853" s="359">
        <v>42985</v>
      </c>
      <c r="B853" s="326" t="s">
        <v>28569</v>
      </c>
      <c r="C853" s="327">
        <v>126612</v>
      </c>
      <c r="D853" s="391" t="s">
        <v>15537</v>
      </c>
      <c r="E853" s="328">
        <v>21823.5</v>
      </c>
      <c r="F853" s="329" t="s">
        <v>27799</v>
      </c>
      <c r="G853" s="328">
        <v>21823.5</v>
      </c>
      <c r="H853" s="347">
        <f t="shared" si="9"/>
        <v>0</v>
      </c>
      <c r="I853" s="331" t="s">
        <v>15214</v>
      </c>
    </row>
    <row r="854" spans="1:9" x14ac:dyDescent="0.25">
      <c r="A854" s="319">
        <v>42985</v>
      </c>
      <c r="B854" s="320" t="s">
        <v>28570</v>
      </c>
      <c r="C854" s="321">
        <v>126613</v>
      </c>
      <c r="D854" s="390" t="s">
        <v>15267</v>
      </c>
      <c r="E854" s="322">
        <v>48313.25</v>
      </c>
      <c r="F854" s="323">
        <v>42985</v>
      </c>
      <c r="G854" s="322">
        <v>48313.25</v>
      </c>
      <c r="H854" s="322">
        <f t="shared" si="9"/>
        <v>0</v>
      </c>
      <c r="I854" s="325" t="s">
        <v>15214</v>
      </c>
    </row>
    <row r="855" spans="1:9" ht="15.75" x14ac:dyDescent="0.25">
      <c r="A855" s="359">
        <v>42985</v>
      </c>
      <c r="B855" s="326" t="s">
        <v>28571</v>
      </c>
      <c r="C855" s="327">
        <v>126614</v>
      </c>
      <c r="D855" s="345" t="s">
        <v>95</v>
      </c>
      <c r="E855" s="328">
        <v>0</v>
      </c>
      <c r="F855" s="346" t="s">
        <v>95</v>
      </c>
      <c r="G855" s="328">
        <v>0</v>
      </c>
      <c r="H855" s="347">
        <f t="shared" si="9"/>
        <v>0</v>
      </c>
      <c r="I855" s="331" t="s">
        <v>95</v>
      </c>
    </row>
    <row r="856" spans="1:9" x14ac:dyDescent="0.25">
      <c r="A856" s="319">
        <v>42985</v>
      </c>
      <c r="B856" s="320" t="s">
        <v>28572</v>
      </c>
      <c r="C856" s="321">
        <v>126615</v>
      </c>
      <c r="D856" s="390" t="s">
        <v>15272</v>
      </c>
      <c r="E856" s="322">
        <v>6627.9</v>
      </c>
      <c r="F856" s="323">
        <v>42985</v>
      </c>
      <c r="G856" s="322">
        <v>6627.9</v>
      </c>
      <c r="H856" s="322">
        <f t="shared" si="9"/>
        <v>0</v>
      </c>
      <c r="I856" s="325" t="s">
        <v>15214</v>
      </c>
    </row>
    <row r="857" spans="1:9" x14ac:dyDescent="0.25">
      <c r="A857" s="359">
        <v>42985</v>
      </c>
      <c r="B857" s="326" t="s">
        <v>28573</v>
      </c>
      <c r="C857" s="327">
        <v>126616</v>
      </c>
      <c r="D857" s="391" t="s">
        <v>15624</v>
      </c>
      <c r="E857" s="328">
        <v>31126.9</v>
      </c>
      <c r="F857" s="329">
        <v>42989</v>
      </c>
      <c r="G857" s="328">
        <v>31126.9</v>
      </c>
      <c r="H857" s="347">
        <f t="shared" si="9"/>
        <v>0</v>
      </c>
      <c r="I857" s="331" t="s">
        <v>15214</v>
      </c>
    </row>
    <row r="858" spans="1:9" x14ac:dyDescent="0.25">
      <c r="A858" s="319">
        <v>42985</v>
      </c>
      <c r="B858" s="320" t="s">
        <v>28574</v>
      </c>
      <c r="C858" s="321">
        <v>126617</v>
      </c>
      <c r="D858" s="390" t="s">
        <v>15284</v>
      </c>
      <c r="E858" s="322">
        <v>695.2</v>
      </c>
      <c r="F858" s="323">
        <v>42985</v>
      </c>
      <c r="G858" s="322">
        <v>695.2</v>
      </c>
      <c r="H858" s="322">
        <f t="shared" si="9"/>
        <v>0</v>
      </c>
      <c r="I858" s="325" t="s">
        <v>15214</v>
      </c>
    </row>
    <row r="859" spans="1:9" x14ac:dyDescent="0.25">
      <c r="A859" s="359">
        <v>42985</v>
      </c>
      <c r="B859" s="326" t="s">
        <v>28575</v>
      </c>
      <c r="C859" s="327">
        <v>126618</v>
      </c>
      <c r="D859" s="391" t="s">
        <v>15324</v>
      </c>
      <c r="E859" s="328">
        <v>2400</v>
      </c>
      <c r="F859" s="329">
        <v>42985</v>
      </c>
      <c r="G859" s="328">
        <v>2400</v>
      </c>
      <c r="H859" s="347">
        <f t="shared" si="9"/>
        <v>0</v>
      </c>
      <c r="I859" s="331" t="s">
        <v>15214</v>
      </c>
    </row>
    <row r="860" spans="1:9" x14ac:dyDescent="0.25">
      <c r="A860" s="319">
        <v>42985</v>
      </c>
      <c r="B860" s="320" t="s">
        <v>28576</v>
      </c>
      <c r="C860" s="321">
        <v>126619</v>
      </c>
      <c r="D860" s="390" t="s">
        <v>28577</v>
      </c>
      <c r="E860" s="322">
        <v>7533.2</v>
      </c>
      <c r="F860" s="323">
        <v>42986</v>
      </c>
      <c r="G860" s="322">
        <v>7533.2</v>
      </c>
      <c r="H860" s="322">
        <f t="shared" si="9"/>
        <v>0</v>
      </c>
      <c r="I860" s="325" t="s">
        <v>15214</v>
      </c>
    </row>
    <row r="861" spans="1:9" x14ac:dyDescent="0.25">
      <c r="A861" s="359">
        <v>42985</v>
      </c>
      <c r="B861" s="326" t="s">
        <v>28578</v>
      </c>
      <c r="C861" s="327">
        <v>126620</v>
      </c>
      <c r="D861" s="391" t="s">
        <v>15391</v>
      </c>
      <c r="E861" s="328">
        <v>8362</v>
      </c>
      <c r="F861" s="329">
        <v>42987</v>
      </c>
      <c r="G861" s="328">
        <v>8362</v>
      </c>
      <c r="H861" s="347">
        <f t="shared" si="9"/>
        <v>0</v>
      </c>
      <c r="I861" s="331" t="s">
        <v>15214</v>
      </c>
    </row>
    <row r="862" spans="1:9" x14ac:dyDescent="0.25">
      <c r="A862" s="319">
        <v>42985</v>
      </c>
      <c r="B862" s="320" t="s">
        <v>28579</v>
      </c>
      <c r="C862" s="321">
        <v>126621</v>
      </c>
      <c r="D862" s="390" t="s">
        <v>15361</v>
      </c>
      <c r="E862" s="322">
        <v>7001.05</v>
      </c>
      <c r="F862" s="323">
        <v>42986</v>
      </c>
      <c r="G862" s="322">
        <v>7001.05</v>
      </c>
      <c r="H862" s="322">
        <f t="shared" si="9"/>
        <v>0</v>
      </c>
      <c r="I862" s="325" t="s">
        <v>15214</v>
      </c>
    </row>
    <row r="863" spans="1:9" ht="15.75" x14ac:dyDescent="0.25">
      <c r="A863" s="359">
        <v>42985</v>
      </c>
      <c r="B863" s="326" t="s">
        <v>28580</v>
      </c>
      <c r="C863" s="327">
        <v>126622</v>
      </c>
      <c r="D863" s="345" t="s">
        <v>95</v>
      </c>
      <c r="E863" s="328">
        <v>0</v>
      </c>
      <c r="F863" s="346" t="s">
        <v>95</v>
      </c>
      <c r="G863" s="328">
        <v>0</v>
      </c>
      <c r="H863" s="347">
        <f t="shared" si="9"/>
        <v>0</v>
      </c>
      <c r="I863" s="331" t="s">
        <v>95</v>
      </c>
    </row>
    <row r="864" spans="1:9" x14ac:dyDescent="0.25">
      <c r="A864" s="319">
        <v>42985</v>
      </c>
      <c r="B864" s="320" t="s">
        <v>28581</v>
      </c>
      <c r="C864" s="321">
        <v>126623</v>
      </c>
      <c r="D864" s="390" t="s">
        <v>19768</v>
      </c>
      <c r="E864" s="322">
        <v>1440</v>
      </c>
      <c r="F864" s="323">
        <v>42985</v>
      </c>
      <c r="G864" s="322">
        <v>1440</v>
      </c>
      <c r="H864" s="322">
        <f t="shared" si="9"/>
        <v>0</v>
      </c>
      <c r="I864" s="325" t="s">
        <v>15214</v>
      </c>
    </row>
    <row r="865" spans="1:9" x14ac:dyDescent="0.25">
      <c r="A865" s="359">
        <v>42985</v>
      </c>
      <c r="B865" s="326" t="s">
        <v>28582</v>
      </c>
      <c r="C865" s="327">
        <v>126624</v>
      </c>
      <c r="D865" s="391" t="s">
        <v>19773</v>
      </c>
      <c r="E865" s="328">
        <v>10555.64</v>
      </c>
      <c r="F865" s="329">
        <v>42993</v>
      </c>
      <c r="G865" s="328">
        <v>10555.64</v>
      </c>
      <c r="H865" s="347">
        <f t="shared" si="9"/>
        <v>0</v>
      </c>
      <c r="I865" s="331" t="s">
        <v>15214</v>
      </c>
    </row>
    <row r="866" spans="1:9" x14ac:dyDescent="0.25">
      <c r="A866" s="319">
        <v>42985</v>
      </c>
      <c r="B866" s="320" t="s">
        <v>28583</v>
      </c>
      <c r="C866" s="321">
        <v>126625</v>
      </c>
      <c r="D866" s="390" t="s">
        <v>15378</v>
      </c>
      <c r="E866" s="322">
        <v>694.4</v>
      </c>
      <c r="F866" s="323">
        <v>42985</v>
      </c>
      <c r="G866" s="322">
        <v>694.4</v>
      </c>
      <c r="H866" s="322">
        <f t="shared" si="9"/>
        <v>0</v>
      </c>
      <c r="I866" s="325" t="s">
        <v>15214</v>
      </c>
    </row>
    <row r="867" spans="1:9" x14ac:dyDescent="0.25">
      <c r="A867" s="359">
        <v>42985</v>
      </c>
      <c r="B867" s="326" t="s">
        <v>28584</v>
      </c>
      <c r="C867" s="327">
        <v>126626</v>
      </c>
      <c r="D867" s="391" t="s">
        <v>15725</v>
      </c>
      <c r="E867" s="328">
        <v>25615</v>
      </c>
      <c r="F867" s="329">
        <v>42988</v>
      </c>
      <c r="G867" s="328">
        <v>25615</v>
      </c>
      <c r="H867" s="347">
        <f t="shared" si="9"/>
        <v>0</v>
      </c>
      <c r="I867" s="331" t="s">
        <v>15214</v>
      </c>
    </row>
    <row r="868" spans="1:9" x14ac:dyDescent="0.25">
      <c r="A868" s="319">
        <v>42985</v>
      </c>
      <c r="B868" s="320" t="s">
        <v>28585</v>
      </c>
      <c r="C868" s="321">
        <v>126627</v>
      </c>
      <c r="D868" s="390" t="s">
        <v>16093</v>
      </c>
      <c r="E868" s="322">
        <v>7589.7</v>
      </c>
      <c r="F868" s="323">
        <v>42985</v>
      </c>
      <c r="G868" s="322">
        <v>7589.7</v>
      </c>
      <c r="H868" s="322">
        <f t="shared" si="9"/>
        <v>0</v>
      </c>
      <c r="I868" s="325" t="s">
        <v>15214</v>
      </c>
    </row>
    <row r="869" spans="1:9" x14ac:dyDescent="0.25">
      <c r="A869" s="359">
        <v>42985</v>
      </c>
      <c r="B869" s="326" t="s">
        <v>28586</v>
      </c>
      <c r="C869" s="327">
        <v>126628</v>
      </c>
      <c r="D869" s="391" t="s">
        <v>17862</v>
      </c>
      <c r="E869" s="328">
        <v>6323.2</v>
      </c>
      <c r="F869" s="329">
        <v>42986</v>
      </c>
      <c r="G869" s="328">
        <v>6323.2</v>
      </c>
      <c r="H869" s="347">
        <f t="shared" si="9"/>
        <v>0</v>
      </c>
      <c r="I869" s="331" t="s">
        <v>15214</v>
      </c>
    </row>
    <row r="870" spans="1:9" x14ac:dyDescent="0.25">
      <c r="A870" s="319">
        <v>42985</v>
      </c>
      <c r="B870" s="320" t="s">
        <v>28587</v>
      </c>
      <c r="C870" s="321">
        <v>126629</v>
      </c>
      <c r="D870" s="390" t="s">
        <v>15282</v>
      </c>
      <c r="E870" s="322">
        <v>3169.5</v>
      </c>
      <c r="F870" s="323">
        <v>42985</v>
      </c>
      <c r="G870" s="322">
        <v>3169.5</v>
      </c>
      <c r="H870" s="322">
        <f t="shared" si="9"/>
        <v>0</v>
      </c>
      <c r="I870" s="325" t="s">
        <v>15214</v>
      </c>
    </row>
    <row r="871" spans="1:9" x14ac:dyDescent="0.25">
      <c r="A871" s="359">
        <v>42985</v>
      </c>
      <c r="B871" s="326" t="s">
        <v>28588</v>
      </c>
      <c r="C871" s="327">
        <v>126630</v>
      </c>
      <c r="D871" s="391" t="s">
        <v>15398</v>
      </c>
      <c r="E871" s="328">
        <v>3627.95</v>
      </c>
      <c r="F871" s="329">
        <v>42985</v>
      </c>
      <c r="G871" s="328">
        <v>3627.95</v>
      </c>
      <c r="H871" s="347">
        <f t="shared" si="9"/>
        <v>0</v>
      </c>
      <c r="I871" s="331" t="s">
        <v>15214</v>
      </c>
    </row>
    <row r="872" spans="1:9" x14ac:dyDescent="0.25">
      <c r="A872" s="319">
        <v>42985</v>
      </c>
      <c r="B872" s="320" t="s">
        <v>28589</v>
      </c>
      <c r="C872" s="321">
        <v>126631</v>
      </c>
      <c r="D872" s="390" t="s">
        <v>15298</v>
      </c>
      <c r="E872" s="322">
        <v>1351.2</v>
      </c>
      <c r="F872" s="323">
        <v>42985</v>
      </c>
      <c r="G872" s="322">
        <v>1351.2</v>
      </c>
      <c r="H872" s="322">
        <f t="shared" si="9"/>
        <v>0</v>
      </c>
      <c r="I872" s="325" t="s">
        <v>15214</v>
      </c>
    </row>
    <row r="873" spans="1:9" ht="30" x14ac:dyDescent="0.25">
      <c r="A873" s="359">
        <v>42985</v>
      </c>
      <c r="B873" s="326" t="s">
        <v>28590</v>
      </c>
      <c r="C873" s="327">
        <v>126632</v>
      </c>
      <c r="D873" s="391" t="s">
        <v>15246</v>
      </c>
      <c r="E873" s="328">
        <v>259900.4</v>
      </c>
      <c r="F873" s="329" t="s">
        <v>27693</v>
      </c>
      <c r="G873" s="347">
        <f>113522.17+146378.23</f>
        <v>259900.40000000002</v>
      </c>
      <c r="H873" s="347">
        <f t="shared" si="9"/>
        <v>0</v>
      </c>
      <c r="I873" s="331" t="s">
        <v>15214</v>
      </c>
    </row>
    <row r="874" spans="1:9" x14ac:dyDescent="0.25">
      <c r="A874" s="319">
        <v>42985</v>
      </c>
      <c r="B874" s="320" t="s">
        <v>28591</v>
      </c>
      <c r="C874" s="321">
        <v>126633</v>
      </c>
      <c r="D874" s="390" t="s">
        <v>15246</v>
      </c>
      <c r="E874" s="322">
        <v>47794.5</v>
      </c>
      <c r="F874" s="323">
        <v>42990</v>
      </c>
      <c r="G874" s="322">
        <v>47794.5</v>
      </c>
      <c r="H874" s="322">
        <f t="shared" si="9"/>
        <v>0</v>
      </c>
      <c r="I874" s="325" t="s">
        <v>15214</v>
      </c>
    </row>
    <row r="875" spans="1:9" x14ac:dyDescent="0.25">
      <c r="A875" s="359">
        <v>42985</v>
      </c>
      <c r="B875" s="326" t="s">
        <v>28592</v>
      </c>
      <c r="C875" s="327">
        <v>126634</v>
      </c>
      <c r="D875" s="391" t="s">
        <v>15315</v>
      </c>
      <c r="E875" s="328">
        <v>242.2</v>
      </c>
      <c r="F875" s="329">
        <v>42985</v>
      </c>
      <c r="G875" s="328">
        <v>242.2</v>
      </c>
      <c r="H875" s="347">
        <f t="shared" si="9"/>
        <v>0</v>
      </c>
      <c r="I875" s="331" t="s">
        <v>15214</v>
      </c>
    </row>
    <row r="876" spans="1:9" x14ac:dyDescent="0.25">
      <c r="A876" s="319">
        <v>42985</v>
      </c>
      <c r="B876" s="320" t="s">
        <v>28593</v>
      </c>
      <c r="C876" s="321">
        <v>126635</v>
      </c>
      <c r="D876" s="390" t="s">
        <v>16463</v>
      </c>
      <c r="E876" s="322">
        <v>11841.6</v>
      </c>
      <c r="F876" s="323">
        <v>42985</v>
      </c>
      <c r="G876" s="322">
        <v>11841.6</v>
      </c>
      <c r="H876" s="322">
        <f t="shared" si="9"/>
        <v>0</v>
      </c>
      <c r="I876" s="325" t="s">
        <v>15214</v>
      </c>
    </row>
    <row r="877" spans="1:9" x14ac:dyDescent="0.25">
      <c r="A877" s="359">
        <v>42985</v>
      </c>
      <c r="B877" s="326" t="s">
        <v>28594</v>
      </c>
      <c r="C877" s="327">
        <v>126636</v>
      </c>
      <c r="D877" s="391" t="s">
        <v>15920</v>
      </c>
      <c r="E877" s="328">
        <v>8905.6</v>
      </c>
      <c r="F877" s="329">
        <v>42988</v>
      </c>
      <c r="G877" s="328">
        <v>8905.6</v>
      </c>
      <c r="H877" s="347">
        <f t="shared" si="9"/>
        <v>0</v>
      </c>
      <c r="I877" s="331" t="s">
        <v>15214</v>
      </c>
    </row>
    <row r="878" spans="1:9" x14ac:dyDescent="0.25">
      <c r="A878" s="319">
        <v>42985</v>
      </c>
      <c r="B878" s="320" t="s">
        <v>28595</v>
      </c>
      <c r="C878" s="321">
        <v>126637</v>
      </c>
      <c r="D878" s="390" t="s">
        <v>15592</v>
      </c>
      <c r="E878" s="322">
        <v>13065.8</v>
      </c>
      <c r="F878" s="323">
        <v>42986</v>
      </c>
      <c r="G878" s="322">
        <v>13065.8</v>
      </c>
      <c r="H878" s="322">
        <f t="shared" si="9"/>
        <v>0</v>
      </c>
      <c r="I878" s="325" t="s">
        <v>15214</v>
      </c>
    </row>
    <row r="879" spans="1:9" ht="15.75" x14ac:dyDescent="0.25">
      <c r="A879" s="359">
        <v>42985</v>
      </c>
      <c r="B879" s="326" t="s">
        <v>28596</v>
      </c>
      <c r="C879" s="327">
        <v>126638</v>
      </c>
      <c r="D879" s="345" t="s">
        <v>95</v>
      </c>
      <c r="E879" s="328">
        <v>0</v>
      </c>
      <c r="F879" s="346" t="s">
        <v>95</v>
      </c>
      <c r="G879" s="328">
        <v>0</v>
      </c>
      <c r="H879" s="347">
        <f t="shared" si="9"/>
        <v>0</v>
      </c>
      <c r="I879" s="331" t="s">
        <v>95</v>
      </c>
    </row>
    <row r="880" spans="1:9" x14ac:dyDescent="0.25">
      <c r="A880" s="319">
        <v>42985</v>
      </c>
      <c r="B880" s="320" t="s">
        <v>28597</v>
      </c>
      <c r="C880" s="321">
        <v>126639</v>
      </c>
      <c r="D880" s="390" t="s">
        <v>18773</v>
      </c>
      <c r="E880" s="322">
        <v>27878.400000000001</v>
      </c>
      <c r="F880" s="323">
        <v>42985</v>
      </c>
      <c r="G880" s="322">
        <v>27878.400000000001</v>
      </c>
      <c r="H880" s="322">
        <f t="shared" si="9"/>
        <v>0</v>
      </c>
      <c r="I880" s="325" t="s">
        <v>15214</v>
      </c>
    </row>
    <row r="881" spans="1:9" x14ac:dyDescent="0.25">
      <c r="A881" s="359">
        <v>42985</v>
      </c>
      <c r="B881" s="326" t="s">
        <v>28598</v>
      </c>
      <c r="C881" s="327">
        <v>126640</v>
      </c>
      <c r="D881" s="391" t="s">
        <v>15334</v>
      </c>
      <c r="E881" s="328">
        <v>1560</v>
      </c>
      <c r="F881" s="329">
        <v>42985</v>
      </c>
      <c r="G881" s="328">
        <v>1560</v>
      </c>
      <c r="H881" s="347">
        <f t="shared" ref="H881:H944" si="10">E881-G881</f>
        <v>0</v>
      </c>
      <c r="I881" s="331" t="s">
        <v>15214</v>
      </c>
    </row>
    <row r="882" spans="1:9" x14ac:dyDescent="0.25">
      <c r="A882" s="319">
        <v>42985</v>
      </c>
      <c r="B882" s="320" t="s">
        <v>28599</v>
      </c>
      <c r="C882" s="321">
        <v>126641</v>
      </c>
      <c r="D882" s="390" t="s">
        <v>15315</v>
      </c>
      <c r="E882" s="322">
        <v>404.2</v>
      </c>
      <c r="F882" s="323">
        <v>42985</v>
      </c>
      <c r="G882" s="322">
        <v>404.2</v>
      </c>
      <c r="H882" s="322">
        <f t="shared" si="10"/>
        <v>0</v>
      </c>
      <c r="I882" s="325" t="s">
        <v>15214</v>
      </c>
    </row>
    <row r="883" spans="1:9" x14ac:dyDescent="0.25">
      <c r="A883" s="359">
        <v>42985</v>
      </c>
      <c r="B883" s="326" t="s">
        <v>28600</v>
      </c>
      <c r="C883" s="327">
        <v>126642</v>
      </c>
      <c r="D883" s="391" t="s">
        <v>15315</v>
      </c>
      <c r="E883" s="328">
        <v>1395</v>
      </c>
      <c r="F883" s="329">
        <v>42985</v>
      </c>
      <c r="G883" s="328">
        <v>1395</v>
      </c>
      <c r="H883" s="347">
        <f t="shared" si="10"/>
        <v>0</v>
      </c>
      <c r="I883" s="331" t="s">
        <v>15214</v>
      </c>
    </row>
    <row r="884" spans="1:9" x14ac:dyDescent="0.25">
      <c r="A884" s="319">
        <v>42985</v>
      </c>
      <c r="B884" s="320" t="s">
        <v>28601</v>
      </c>
      <c r="C884" s="321">
        <v>126643</v>
      </c>
      <c r="D884" s="390" t="s">
        <v>15444</v>
      </c>
      <c r="E884" s="322">
        <v>2961.4</v>
      </c>
      <c r="F884" s="323">
        <v>42986</v>
      </c>
      <c r="G884" s="322">
        <v>2961.4</v>
      </c>
      <c r="H884" s="322">
        <f t="shared" si="10"/>
        <v>0</v>
      </c>
      <c r="I884" s="325" t="s">
        <v>15214</v>
      </c>
    </row>
    <row r="885" spans="1:9" x14ac:dyDescent="0.25">
      <c r="A885" s="359">
        <v>42985</v>
      </c>
      <c r="B885" s="326" t="s">
        <v>28602</v>
      </c>
      <c r="C885" s="327">
        <v>126644</v>
      </c>
      <c r="D885" s="391" t="s">
        <v>15930</v>
      </c>
      <c r="E885" s="328">
        <v>4962.8</v>
      </c>
      <c r="F885" s="329">
        <v>42986</v>
      </c>
      <c r="G885" s="328">
        <v>4962.8</v>
      </c>
      <c r="H885" s="347">
        <f t="shared" si="10"/>
        <v>0</v>
      </c>
      <c r="I885" s="331" t="s">
        <v>15214</v>
      </c>
    </row>
    <row r="886" spans="1:9" x14ac:dyDescent="0.25">
      <c r="A886" s="319">
        <v>42985</v>
      </c>
      <c r="B886" s="320" t="s">
        <v>28603</v>
      </c>
      <c r="C886" s="321">
        <v>126645</v>
      </c>
      <c r="D886" s="390" t="s">
        <v>15433</v>
      </c>
      <c r="E886" s="322">
        <v>2084.6999999999998</v>
      </c>
      <c r="F886" s="323">
        <v>42985</v>
      </c>
      <c r="G886" s="322">
        <v>2084.6999999999998</v>
      </c>
      <c r="H886" s="322">
        <f t="shared" si="10"/>
        <v>0</v>
      </c>
      <c r="I886" s="325" t="s">
        <v>15214</v>
      </c>
    </row>
    <row r="887" spans="1:9" x14ac:dyDescent="0.25">
      <c r="A887" s="359">
        <v>42985</v>
      </c>
      <c r="B887" s="326" t="s">
        <v>28604</v>
      </c>
      <c r="C887" s="327">
        <v>126646</v>
      </c>
      <c r="D887" s="391" t="s">
        <v>15782</v>
      </c>
      <c r="E887" s="328">
        <v>1550.2</v>
      </c>
      <c r="F887" s="329">
        <v>42986</v>
      </c>
      <c r="G887" s="328">
        <v>1550.2</v>
      </c>
      <c r="H887" s="347">
        <f t="shared" si="10"/>
        <v>0</v>
      </c>
      <c r="I887" s="331" t="s">
        <v>15214</v>
      </c>
    </row>
    <row r="888" spans="1:9" x14ac:dyDescent="0.25">
      <c r="A888" s="319">
        <v>42985</v>
      </c>
      <c r="B888" s="320" t="s">
        <v>28605</v>
      </c>
      <c r="C888" s="321">
        <v>126647</v>
      </c>
      <c r="D888" s="390" t="s">
        <v>15276</v>
      </c>
      <c r="E888" s="322">
        <v>2801.2</v>
      </c>
      <c r="F888" s="323">
        <v>42986</v>
      </c>
      <c r="G888" s="322">
        <v>2801.2</v>
      </c>
      <c r="H888" s="322">
        <f t="shared" si="10"/>
        <v>0</v>
      </c>
      <c r="I888" s="325" t="s">
        <v>15214</v>
      </c>
    </row>
    <row r="889" spans="1:9" x14ac:dyDescent="0.25">
      <c r="A889" s="359">
        <v>42985</v>
      </c>
      <c r="B889" s="326" t="s">
        <v>28606</v>
      </c>
      <c r="C889" s="327">
        <v>126648</v>
      </c>
      <c r="D889" s="391" t="s">
        <v>15644</v>
      </c>
      <c r="E889" s="328">
        <v>3140</v>
      </c>
      <c r="F889" s="329">
        <v>42987</v>
      </c>
      <c r="G889" s="328">
        <v>3140</v>
      </c>
      <c r="H889" s="347">
        <f t="shared" si="10"/>
        <v>0</v>
      </c>
      <c r="I889" s="331" t="s">
        <v>15214</v>
      </c>
    </row>
    <row r="890" spans="1:9" x14ac:dyDescent="0.25">
      <c r="A890" s="319">
        <v>42985</v>
      </c>
      <c r="B890" s="320" t="s">
        <v>28607</v>
      </c>
      <c r="C890" s="321">
        <v>126649</v>
      </c>
      <c r="D890" s="390" t="s">
        <v>19767</v>
      </c>
      <c r="E890" s="322">
        <v>16171.8</v>
      </c>
      <c r="F890" s="323">
        <v>42986</v>
      </c>
      <c r="G890" s="322">
        <v>16171.8</v>
      </c>
      <c r="H890" s="322">
        <f t="shared" si="10"/>
        <v>0</v>
      </c>
      <c r="I890" s="325" t="s">
        <v>15214</v>
      </c>
    </row>
    <row r="891" spans="1:9" x14ac:dyDescent="0.25">
      <c r="A891" s="359">
        <v>42985</v>
      </c>
      <c r="B891" s="326" t="s">
        <v>28608</v>
      </c>
      <c r="C891" s="327">
        <v>126650</v>
      </c>
      <c r="D891" s="391" t="s">
        <v>16297</v>
      </c>
      <c r="E891" s="328">
        <v>16156.8</v>
      </c>
      <c r="F891" s="329">
        <v>42986</v>
      </c>
      <c r="G891" s="328">
        <v>16156.8</v>
      </c>
      <c r="H891" s="347">
        <f t="shared" si="10"/>
        <v>0</v>
      </c>
      <c r="I891" s="331" t="s">
        <v>15214</v>
      </c>
    </row>
    <row r="892" spans="1:9" x14ac:dyDescent="0.25">
      <c r="A892" s="319">
        <v>42985</v>
      </c>
      <c r="B892" s="320" t="s">
        <v>28609</v>
      </c>
      <c r="C892" s="321">
        <v>126651</v>
      </c>
      <c r="D892" s="390" t="s">
        <v>19461</v>
      </c>
      <c r="E892" s="322">
        <v>1441.6</v>
      </c>
      <c r="F892" s="323">
        <v>42986</v>
      </c>
      <c r="G892" s="322">
        <v>1441.6</v>
      </c>
      <c r="H892" s="322">
        <f t="shared" si="10"/>
        <v>0</v>
      </c>
      <c r="I892" s="325" t="s">
        <v>15214</v>
      </c>
    </row>
    <row r="893" spans="1:9" x14ac:dyDescent="0.25">
      <c r="A893" s="359">
        <v>42985</v>
      </c>
      <c r="B893" s="326" t="s">
        <v>28610</v>
      </c>
      <c r="C893" s="327">
        <v>126652</v>
      </c>
      <c r="D893" s="391" t="s">
        <v>15328</v>
      </c>
      <c r="E893" s="328">
        <v>31888.85</v>
      </c>
      <c r="F893" s="329">
        <v>43001</v>
      </c>
      <c r="G893" s="328">
        <v>31888.85</v>
      </c>
      <c r="H893" s="347">
        <f t="shared" si="10"/>
        <v>0</v>
      </c>
      <c r="I893" s="331" t="s">
        <v>15214</v>
      </c>
    </row>
    <row r="894" spans="1:9" x14ac:dyDescent="0.25">
      <c r="A894" s="319">
        <v>42985</v>
      </c>
      <c r="B894" s="320" t="s">
        <v>28611</v>
      </c>
      <c r="C894" s="321">
        <v>126653</v>
      </c>
      <c r="D894" s="390" t="s">
        <v>15356</v>
      </c>
      <c r="E894" s="322">
        <v>389.5</v>
      </c>
      <c r="F894" s="323" t="s">
        <v>28612</v>
      </c>
      <c r="G894" s="322">
        <v>389.5</v>
      </c>
      <c r="H894" s="322">
        <f t="shared" si="10"/>
        <v>0</v>
      </c>
      <c r="I894" s="325" t="s">
        <v>15214</v>
      </c>
    </row>
    <row r="895" spans="1:9" x14ac:dyDescent="0.25">
      <c r="A895" s="359">
        <v>42985</v>
      </c>
      <c r="B895" s="326" t="s">
        <v>28613</v>
      </c>
      <c r="C895" s="327">
        <v>126654</v>
      </c>
      <c r="D895" s="391" t="s">
        <v>15263</v>
      </c>
      <c r="E895" s="328">
        <v>774.4</v>
      </c>
      <c r="F895" s="329">
        <v>42985</v>
      </c>
      <c r="G895" s="328">
        <v>774.4</v>
      </c>
      <c r="H895" s="347">
        <f t="shared" si="10"/>
        <v>0</v>
      </c>
      <c r="I895" s="331" t="s">
        <v>15214</v>
      </c>
    </row>
    <row r="896" spans="1:9" x14ac:dyDescent="0.25">
      <c r="A896" s="319">
        <v>42985</v>
      </c>
      <c r="B896" s="320" t="s">
        <v>28614</v>
      </c>
      <c r="C896" s="321">
        <v>126655</v>
      </c>
      <c r="D896" s="390" t="s">
        <v>19680</v>
      </c>
      <c r="E896" s="322">
        <v>1276</v>
      </c>
      <c r="F896" s="323">
        <v>42985</v>
      </c>
      <c r="G896" s="322">
        <v>1276</v>
      </c>
      <c r="H896" s="322">
        <f t="shared" si="10"/>
        <v>0</v>
      </c>
      <c r="I896" s="325" t="s">
        <v>15214</v>
      </c>
    </row>
    <row r="897" spans="1:9" x14ac:dyDescent="0.25">
      <c r="A897" s="359">
        <v>42985</v>
      </c>
      <c r="B897" s="326" t="s">
        <v>28615</v>
      </c>
      <c r="C897" s="327">
        <v>126656</v>
      </c>
      <c r="D897" s="391" t="s">
        <v>15246</v>
      </c>
      <c r="E897" s="328">
        <v>8086.4</v>
      </c>
      <c r="F897" s="329">
        <v>42990</v>
      </c>
      <c r="G897" s="328">
        <v>8086.4</v>
      </c>
      <c r="H897" s="347">
        <f t="shared" si="10"/>
        <v>0</v>
      </c>
      <c r="I897" s="331" t="s">
        <v>15214</v>
      </c>
    </row>
    <row r="898" spans="1:9" x14ac:dyDescent="0.25">
      <c r="A898" s="319">
        <v>42985</v>
      </c>
      <c r="B898" s="320" t="s">
        <v>28616</v>
      </c>
      <c r="C898" s="321">
        <v>126657</v>
      </c>
      <c r="D898" s="390" t="s">
        <v>19680</v>
      </c>
      <c r="E898" s="322">
        <v>91</v>
      </c>
      <c r="F898" s="323">
        <v>42985</v>
      </c>
      <c r="G898" s="322">
        <v>91</v>
      </c>
      <c r="H898" s="322">
        <f t="shared" si="10"/>
        <v>0</v>
      </c>
      <c r="I898" s="325" t="s">
        <v>15214</v>
      </c>
    </row>
    <row r="899" spans="1:9" x14ac:dyDescent="0.25">
      <c r="A899" s="359">
        <v>42985</v>
      </c>
      <c r="B899" s="326" t="s">
        <v>28617</v>
      </c>
      <c r="C899" s="327">
        <v>126658</v>
      </c>
      <c r="D899" s="391" t="s">
        <v>15315</v>
      </c>
      <c r="E899" s="328">
        <v>60</v>
      </c>
      <c r="F899" s="329">
        <v>42985</v>
      </c>
      <c r="G899" s="328">
        <v>60</v>
      </c>
      <c r="H899" s="347">
        <f t="shared" si="10"/>
        <v>0</v>
      </c>
      <c r="I899" s="331" t="s">
        <v>15214</v>
      </c>
    </row>
    <row r="900" spans="1:9" x14ac:dyDescent="0.25">
      <c r="A900" s="319">
        <v>42985</v>
      </c>
      <c r="B900" s="320" t="s">
        <v>28618</v>
      </c>
      <c r="C900" s="321">
        <v>126659</v>
      </c>
      <c r="D900" s="390" t="s">
        <v>19765</v>
      </c>
      <c r="E900" s="322">
        <v>3500</v>
      </c>
      <c r="F900" s="323">
        <v>42999</v>
      </c>
      <c r="G900" s="322">
        <v>3500</v>
      </c>
      <c r="H900" s="322">
        <f t="shared" si="10"/>
        <v>0</v>
      </c>
      <c r="I900" s="325" t="s">
        <v>15214</v>
      </c>
    </row>
    <row r="901" spans="1:9" x14ac:dyDescent="0.25">
      <c r="A901" s="359">
        <v>42985</v>
      </c>
      <c r="B901" s="326" t="s">
        <v>28619</v>
      </c>
      <c r="C901" s="327">
        <v>126660</v>
      </c>
      <c r="D901" s="391" t="s">
        <v>15435</v>
      </c>
      <c r="E901" s="328">
        <v>8848.7999999999993</v>
      </c>
      <c r="F901" s="329">
        <v>42985</v>
      </c>
      <c r="G901" s="328">
        <v>8848.7999999999993</v>
      </c>
      <c r="H901" s="347">
        <f t="shared" si="10"/>
        <v>0</v>
      </c>
      <c r="I901" s="331" t="s">
        <v>15214</v>
      </c>
    </row>
    <row r="902" spans="1:9" x14ac:dyDescent="0.25">
      <c r="A902" s="319">
        <v>42985</v>
      </c>
      <c r="B902" s="320" t="s">
        <v>28620</v>
      </c>
      <c r="C902" s="321">
        <v>126661</v>
      </c>
      <c r="D902" s="390" t="s">
        <v>15642</v>
      </c>
      <c r="E902" s="322">
        <v>4174.8</v>
      </c>
      <c r="F902" s="323">
        <v>42985</v>
      </c>
      <c r="G902" s="322">
        <v>4174.8</v>
      </c>
      <c r="H902" s="322">
        <f t="shared" si="10"/>
        <v>0</v>
      </c>
      <c r="I902" s="325" t="s">
        <v>15214</v>
      </c>
    </row>
    <row r="903" spans="1:9" x14ac:dyDescent="0.25">
      <c r="A903" s="359">
        <v>42986</v>
      </c>
      <c r="B903" s="326" t="s">
        <v>28621</v>
      </c>
      <c r="C903" s="327">
        <v>126662</v>
      </c>
      <c r="D903" s="391" t="s">
        <v>21386</v>
      </c>
      <c r="E903" s="328">
        <v>10270</v>
      </c>
      <c r="F903" s="329">
        <v>42987</v>
      </c>
      <c r="G903" s="328">
        <v>10270</v>
      </c>
      <c r="H903" s="347">
        <f t="shared" si="10"/>
        <v>0</v>
      </c>
      <c r="I903" s="331" t="s">
        <v>15214</v>
      </c>
    </row>
    <row r="904" spans="1:9" ht="30" x14ac:dyDescent="0.25">
      <c r="A904" s="319">
        <v>42986</v>
      </c>
      <c r="B904" s="320" t="s">
        <v>28622</v>
      </c>
      <c r="C904" s="321">
        <v>126663</v>
      </c>
      <c r="D904" s="390" t="s">
        <v>15213</v>
      </c>
      <c r="E904" s="322">
        <v>32788.949999999997</v>
      </c>
      <c r="F904" s="323" t="s">
        <v>28520</v>
      </c>
      <c r="G904" s="334">
        <f>15000+17788.95</f>
        <v>32788.949999999997</v>
      </c>
      <c r="H904" s="334">
        <f t="shared" si="10"/>
        <v>0</v>
      </c>
      <c r="I904" s="325" t="s">
        <v>15214</v>
      </c>
    </row>
    <row r="905" spans="1:9" ht="15.75" x14ac:dyDescent="0.25">
      <c r="A905" s="359">
        <v>42986</v>
      </c>
      <c r="B905" s="326" t="s">
        <v>28623</v>
      </c>
      <c r="C905" s="327">
        <v>126664</v>
      </c>
      <c r="D905" s="345" t="s">
        <v>95</v>
      </c>
      <c r="E905" s="328">
        <v>0</v>
      </c>
      <c r="F905" s="346" t="s">
        <v>95</v>
      </c>
      <c r="G905" s="328">
        <v>0</v>
      </c>
      <c r="H905" s="347">
        <f t="shared" si="10"/>
        <v>0</v>
      </c>
      <c r="I905" s="331" t="s">
        <v>95</v>
      </c>
    </row>
    <row r="906" spans="1:9" x14ac:dyDescent="0.25">
      <c r="A906" s="319">
        <v>42986</v>
      </c>
      <c r="B906" s="320" t="s">
        <v>28624</v>
      </c>
      <c r="C906" s="321">
        <v>126665</v>
      </c>
      <c r="D906" s="390" t="s">
        <v>15330</v>
      </c>
      <c r="E906" s="322">
        <v>3257</v>
      </c>
      <c r="F906" s="323">
        <v>42986</v>
      </c>
      <c r="G906" s="322">
        <v>3257</v>
      </c>
      <c r="H906" s="322">
        <f t="shared" si="10"/>
        <v>0</v>
      </c>
      <c r="I906" s="325" t="s">
        <v>15214</v>
      </c>
    </row>
    <row r="907" spans="1:9" x14ac:dyDescent="0.25">
      <c r="A907" s="359">
        <v>42986</v>
      </c>
      <c r="B907" s="326" t="s">
        <v>28625</v>
      </c>
      <c r="C907" s="327">
        <v>126666</v>
      </c>
      <c r="D907" s="391" t="s">
        <v>15213</v>
      </c>
      <c r="E907" s="328">
        <v>15782.85</v>
      </c>
      <c r="F907" s="329">
        <v>42987</v>
      </c>
      <c r="G907" s="328">
        <v>15782.85</v>
      </c>
      <c r="H907" s="347">
        <f t="shared" si="10"/>
        <v>0</v>
      </c>
      <c r="I907" s="331" t="s">
        <v>15214</v>
      </c>
    </row>
    <row r="908" spans="1:9" x14ac:dyDescent="0.25">
      <c r="A908" s="319">
        <v>42986</v>
      </c>
      <c r="B908" s="320" t="s">
        <v>28626</v>
      </c>
      <c r="C908" s="321">
        <v>126667</v>
      </c>
      <c r="D908" s="390" t="s">
        <v>15216</v>
      </c>
      <c r="E908" s="322">
        <v>873.6</v>
      </c>
      <c r="F908" s="323">
        <v>42986</v>
      </c>
      <c r="G908" s="322">
        <v>873.6</v>
      </c>
      <c r="H908" s="322">
        <f t="shared" si="10"/>
        <v>0</v>
      </c>
      <c r="I908" s="325" t="s">
        <v>15214</v>
      </c>
    </row>
    <row r="909" spans="1:9" x14ac:dyDescent="0.25">
      <c r="A909" s="359">
        <v>42986</v>
      </c>
      <c r="B909" s="326" t="s">
        <v>28627</v>
      </c>
      <c r="C909" s="327">
        <v>126668</v>
      </c>
      <c r="D909" s="391" t="s">
        <v>15448</v>
      </c>
      <c r="E909" s="328">
        <v>46852.800000000003</v>
      </c>
      <c r="F909" s="329">
        <v>42987</v>
      </c>
      <c r="G909" s="328">
        <v>46852.800000000003</v>
      </c>
      <c r="H909" s="347">
        <f t="shared" si="10"/>
        <v>0</v>
      </c>
      <c r="I909" s="331" t="s">
        <v>15214</v>
      </c>
    </row>
    <row r="910" spans="1:9" ht="30" x14ac:dyDescent="0.25">
      <c r="A910" s="319">
        <v>42986</v>
      </c>
      <c r="B910" s="320" t="s">
        <v>28628</v>
      </c>
      <c r="C910" s="321">
        <v>126669</v>
      </c>
      <c r="D910" s="390" t="s">
        <v>15230</v>
      </c>
      <c r="E910" s="322">
        <v>16054.2</v>
      </c>
      <c r="F910" s="323" t="s">
        <v>28629</v>
      </c>
      <c r="G910" s="334">
        <f>8000+8054.2</f>
        <v>16054.2</v>
      </c>
      <c r="H910" s="334">
        <f t="shared" si="10"/>
        <v>0</v>
      </c>
      <c r="I910" s="325" t="s">
        <v>15214</v>
      </c>
    </row>
    <row r="911" spans="1:9" ht="30" x14ac:dyDescent="0.25">
      <c r="A911" s="359">
        <v>42986</v>
      </c>
      <c r="B911" s="326" t="s">
        <v>28630</v>
      </c>
      <c r="C911" s="327">
        <v>126670</v>
      </c>
      <c r="D911" s="391" t="s">
        <v>15407</v>
      </c>
      <c r="E911" s="328">
        <v>10104</v>
      </c>
      <c r="F911" s="329" t="s">
        <v>28631</v>
      </c>
      <c r="G911" s="347">
        <f>9500+604</f>
        <v>10104</v>
      </c>
      <c r="H911" s="347">
        <f t="shared" si="10"/>
        <v>0</v>
      </c>
      <c r="I911" s="331" t="s">
        <v>15214</v>
      </c>
    </row>
    <row r="912" spans="1:9" x14ac:dyDescent="0.25">
      <c r="A912" s="319">
        <v>42986</v>
      </c>
      <c r="B912" s="320" t="s">
        <v>28632</v>
      </c>
      <c r="C912" s="321">
        <v>126671</v>
      </c>
      <c r="D912" s="390" t="s">
        <v>15242</v>
      </c>
      <c r="E912" s="322">
        <v>11074.8</v>
      </c>
      <c r="F912" s="323">
        <v>42987</v>
      </c>
      <c r="G912" s="322">
        <v>11074.8</v>
      </c>
      <c r="H912" s="322">
        <f t="shared" si="10"/>
        <v>0</v>
      </c>
      <c r="I912" s="325" t="s">
        <v>15214</v>
      </c>
    </row>
    <row r="913" spans="1:9" x14ac:dyDescent="0.25">
      <c r="A913" s="359">
        <v>42986</v>
      </c>
      <c r="B913" s="326" t="s">
        <v>28633</v>
      </c>
      <c r="C913" s="327">
        <v>126672</v>
      </c>
      <c r="D913" s="391" t="s">
        <v>15376</v>
      </c>
      <c r="E913" s="328">
        <v>5694</v>
      </c>
      <c r="F913" s="329">
        <v>42986</v>
      </c>
      <c r="G913" s="328">
        <v>5694</v>
      </c>
      <c r="H913" s="347">
        <f t="shared" si="10"/>
        <v>0</v>
      </c>
      <c r="I913" s="331" t="s">
        <v>15214</v>
      </c>
    </row>
    <row r="914" spans="1:9" x14ac:dyDescent="0.25">
      <c r="A914" s="319">
        <v>42986</v>
      </c>
      <c r="B914" s="320" t="s">
        <v>28634</v>
      </c>
      <c r="C914" s="321">
        <v>126673</v>
      </c>
      <c r="D914" s="390" t="s">
        <v>15376</v>
      </c>
      <c r="E914" s="322">
        <v>10097.299999999999</v>
      </c>
      <c r="F914" s="323">
        <v>42986</v>
      </c>
      <c r="G914" s="322">
        <v>10097.299999999999</v>
      </c>
      <c r="H914" s="322">
        <f t="shared" si="10"/>
        <v>0</v>
      </c>
      <c r="I914" s="325" t="s">
        <v>15214</v>
      </c>
    </row>
    <row r="915" spans="1:9" x14ac:dyDescent="0.25">
      <c r="A915" s="359">
        <v>42986</v>
      </c>
      <c r="B915" s="326" t="s">
        <v>28635</v>
      </c>
      <c r="C915" s="327">
        <v>126674</v>
      </c>
      <c r="D915" s="391" t="s">
        <v>15448</v>
      </c>
      <c r="E915" s="328">
        <v>244565.58</v>
      </c>
      <c r="F915" s="329">
        <v>42987</v>
      </c>
      <c r="G915" s="328">
        <v>244565.58</v>
      </c>
      <c r="H915" s="347">
        <f t="shared" si="10"/>
        <v>0</v>
      </c>
      <c r="I915" s="331" t="s">
        <v>15214</v>
      </c>
    </row>
    <row r="916" spans="1:9" x14ac:dyDescent="0.25">
      <c r="A916" s="319">
        <v>42986</v>
      </c>
      <c r="B916" s="320" t="s">
        <v>28636</v>
      </c>
      <c r="C916" s="321">
        <v>126675</v>
      </c>
      <c r="D916" s="390" t="s">
        <v>15338</v>
      </c>
      <c r="E916" s="322">
        <v>9864</v>
      </c>
      <c r="F916" s="323">
        <v>42990</v>
      </c>
      <c r="G916" s="322">
        <v>9864</v>
      </c>
      <c r="H916" s="322">
        <f t="shared" si="10"/>
        <v>0</v>
      </c>
      <c r="I916" s="325" t="s">
        <v>15214</v>
      </c>
    </row>
    <row r="917" spans="1:9" x14ac:dyDescent="0.25">
      <c r="A917" s="359">
        <v>42986</v>
      </c>
      <c r="B917" s="326" t="s">
        <v>28637</v>
      </c>
      <c r="C917" s="327">
        <v>126676</v>
      </c>
      <c r="D917" s="391" t="s">
        <v>15232</v>
      </c>
      <c r="E917" s="328">
        <v>5969.7</v>
      </c>
      <c r="F917" s="329">
        <v>42992</v>
      </c>
      <c r="G917" s="328">
        <v>5969.7</v>
      </c>
      <c r="H917" s="347">
        <f t="shared" si="10"/>
        <v>0</v>
      </c>
      <c r="I917" s="331" t="s">
        <v>15214</v>
      </c>
    </row>
    <row r="918" spans="1:9" x14ac:dyDescent="0.25">
      <c r="A918" s="319">
        <v>42986</v>
      </c>
      <c r="B918" s="320" t="s">
        <v>28638</v>
      </c>
      <c r="C918" s="321">
        <v>126677</v>
      </c>
      <c r="D918" s="390" t="s">
        <v>15987</v>
      </c>
      <c r="E918" s="322">
        <v>4111.6000000000004</v>
      </c>
      <c r="F918" s="323">
        <v>42986</v>
      </c>
      <c r="G918" s="322">
        <v>4111.6000000000004</v>
      </c>
      <c r="H918" s="322">
        <f t="shared" si="10"/>
        <v>0</v>
      </c>
      <c r="I918" s="325" t="s">
        <v>15214</v>
      </c>
    </row>
    <row r="919" spans="1:9" x14ac:dyDescent="0.25">
      <c r="A919" s="359">
        <v>42986</v>
      </c>
      <c r="B919" s="326" t="s">
        <v>28639</v>
      </c>
      <c r="C919" s="327">
        <v>126678</v>
      </c>
      <c r="D919" s="391" t="s">
        <v>15226</v>
      </c>
      <c r="E919" s="328">
        <v>2861.6</v>
      </c>
      <c r="F919" s="329">
        <v>42989</v>
      </c>
      <c r="G919" s="328">
        <v>2861.6</v>
      </c>
      <c r="H919" s="347">
        <f t="shared" si="10"/>
        <v>0</v>
      </c>
      <c r="I919" s="331" t="s">
        <v>15214</v>
      </c>
    </row>
    <row r="920" spans="1:9" x14ac:dyDescent="0.25">
      <c r="A920" s="319">
        <v>42986</v>
      </c>
      <c r="B920" s="320" t="s">
        <v>28640</v>
      </c>
      <c r="C920" s="321">
        <v>126679</v>
      </c>
      <c r="D920" s="390" t="s">
        <v>15258</v>
      </c>
      <c r="E920" s="322">
        <v>9748.6</v>
      </c>
      <c r="F920" s="323">
        <v>42989</v>
      </c>
      <c r="G920" s="322">
        <v>9748.6</v>
      </c>
      <c r="H920" s="322">
        <f t="shared" si="10"/>
        <v>0</v>
      </c>
      <c r="I920" s="325" t="s">
        <v>15214</v>
      </c>
    </row>
    <row r="921" spans="1:9" x14ac:dyDescent="0.25">
      <c r="A921" s="359">
        <v>42986</v>
      </c>
      <c r="B921" s="326" t="s">
        <v>28641</v>
      </c>
      <c r="C921" s="327">
        <v>126680</v>
      </c>
      <c r="D921" s="391" t="s">
        <v>17462</v>
      </c>
      <c r="E921" s="328">
        <v>6242</v>
      </c>
      <c r="F921" s="329">
        <v>42986</v>
      </c>
      <c r="G921" s="328">
        <v>6242</v>
      </c>
      <c r="H921" s="347">
        <f t="shared" si="10"/>
        <v>0</v>
      </c>
      <c r="I921" s="331" t="s">
        <v>15214</v>
      </c>
    </row>
    <row r="922" spans="1:9" x14ac:dyDescent="0.25">
      <c r="A922" s="319">
        <v>42986</v>
      </c>
      <c r="B922" s="320" t="s">
        <v>28642</v>
      </c>
      <c r="C922" s="321">
        <v>126681</v>
      </c>
      <c r="D922" s="390" t="s">
        <v>15480</v>
      </c>
      <c r="E922" s="322">
        <v>7911</v>
      </c>
      <c r="F922" s="323">
        <v>42987</v>
      </c>
      <c r="G922" s="322">
        <v>7911</v>
      </c>
      <c r="H922" s="322">
        <f t="shared" si="10"/>
        <v>0</v>
      </c>
      <c r="I922" s="325" t="s">
        <v>15214</v>
      </c>
    </row>
    <row r="923" spans="1:9" x14ac:dyDescent="0.25">
      <c r="A923" s="359">
        <v>42986</v>
      </c>
      <c r="B923" s="326" t="s">
        <v>28643</v>
      </c>
      <c r="C923" s="327">
        <v>126682</v>
      </c>
      <c r="D923" s="391" t="s">
        <v>15272</v>
      </c>
      <c r="E923" s="328">
        <v>4486.3999999999996</v>
      </c>
      <c r="F923" s="329">
        <v>42986</v>
      </c>
      <c r="G923" s="328">
        <v>4486.3999999999996</v>
      </c>
      <c r="H923" s="347">
        <f t="shared" si="10"/>
        <v>0</v>
      </c>
      <c r="I923" s="331" t="s">
        <v>15214</v>
      </c>
    </row>
    <row r="924" spans="1:9" ht="15.75" x14ac:dyDescent="0.25">
      <c r="A924" s="319">
        <v>42986</v>
      </c>
      <c r="B924" s="320" t="s">
        <v>28644</v>
      </c>
      <c r="C924" s="321">
        <v>126683</v>
      </c>
      <c r="D924" s="397" t="s">
        <v>95</v>
      </c>
      <c r="E924" s="322">
        <v>0</v>
      </c>
      <c r="F924" s="333" t="s">
        <v>95</v>
      </c>
      <c r="G924" s="322">
        <v>0</v>
      </c>
      <c r="H924" s="322">
        <f t="shared" si="10"/>
        <v>0</v>
      </c>
      <c r="I924" s="325" t="s">
        <v>95</v>
      </c>
    </row>
    <row r="925" spans="1:9" x14ac:dyDescent="0.25">
      <c r="A925" s="359">
        <v>42986</v>
      </c>
      <c r="B925" s="326" t="s">
        <v>28645</v>
      </c>
      <c r="C925" s="327">
        <v>126684</v>
      </c>
      <c r="D925" s="391" t="s">
        <v>15272</v>
      </c>
      <c r="E925" s="328">
        <v>16434</v>
      </c>
      <c r="F925" s="329">
        <v>42986</v>
      </c>
      <c r="G925" s="328">
        <v>16434</v>
      </c>
      <c r="H925" s="347">
        <f t="shared" si="10"/>
        <v>0</v>
      </c>
      <c r="I925" s="331" t="s">
        <v>15214</v>
      </c>
    </row>
    <row r="926" spans="1:9" ht="30" x14ac:dyDescent="0.25">
      <c r="A926" s="319">
        <v>42986</v>
      </c>
      <c r="B926" s="320" t="s">
        <v>28646</v>
      </c>
      <c r="C926" s="321">
        <v>126685</v>
      </c>
      <c r="D926" s="390" t="s">
        <v>15371</v>
      </c>
      <c r="E926" s="322">
        <v>3870.2</v>
      </c>
      <c r="F926" s="323" t="s">
        <v>28647</v>
      </c>
      <c r="G926" s="334">
        <f>2870.2+1000</f>
        <v>3870.2</v>
      </c>
      <c r="H926" s="334">
        <f t="shared" si="10"/>
        <v>0</v>
      </c>
      <c r="I926" s="325" t="s">
        <v>15214</v>
      </c>
    </row>
    <row r="927" spans="1:9" x14ac:dyDescent="0.25">
      <c r="A927" s="359">
        <v>42986</v>
      </c>
      <c r="B927" s="326" t="s">
        <v>28648</v>
      </c>
      <c r="C927" s="327">
        <v>126686</v>
      </c>
      <c r="D927" s="391" t="s">
        <v>15596</v>
      </c>
      <c r="E927" s="328">
        <v>1680</v>
      </c>
      <c r="F927" s="329">
        <v>42986</v>
      </c>
      <c r="G927" s="328">
        <v>1680</v>
      </c>
      <c r="H927" s="347">
        <f t="shared" si="10"/>
        <v>0</v>
      </c>
      <c r="I927" s="331" t="s">
        <v>15214</v>
      </c>
    </row>
    <row r="928" spans="1:9" x14ac:dyDescent="0.25">
      <c r="A928" s="319">
        <v>42986</v>
      </c>
      <c r="B928" s="320" t="s">
        <v>28649</v>
      </c>
      <c r="C928" s="321">
        <v>126687</v>
      </c>
      <c r="D928" s="390" t="s">
        <v>15315</v>
      </c>
      <c r="E928" s="322">
        <v>4320</v>
      </c>
      <c r="F928" s="323">
        <v>42986</v>
      </c>
      <c r="G928" s="322">
        <v>4320</v>
      </c>
      <c r="H928" s="322">
        <f t="shared" si="10"/>
        <v>0</v>
      </c>
      <c r="I928" s="325" t="s">
        <v>15214</v>
      </c>
    </row>
    <row r="929" spans="1:9" x14ac:dyDescent="0.25">
      <c r="A929" s="359">
        <v>42986</v>
      </c>
      <c r="B929" s="326" t="s">
        <v>28650</v>
      </c>
      <c r="C929" s="327">
        <v>126688</v>
      </c>
      <c r="D929" s="391" t="s">
        <v>28651</v>
      </c>
      <c r="E929" s="328">
        <v>10220</v>
      </c>
      <c r="F929" s="329">
        <v>42987</v>
      </c>
      <c r="G929" s="328">
        <v>10220</v>
      </c>
      <c r="H929" s="347">
        <f t="shared" si="10"/>
        <v>0</v>
      </c>
      <c r="I929" s="331" t="s">
        <v>15214</v>
      </c>
    </row>
    <row r="930" spans="1:9" ht="30" x14ac:dyDescent="0.25">
      <c r="A930" s="319">
        <v>42986</v>
      </c>
      <c r="B930" s="320" t="s">
        <v>28652</v>
      </c>
      <c r="C930" s="321">
        <v>126689</v>
      </c>
      <c r="D930" s="390" t="s">
        <v>15668</v>
      </c>
      <c r="E930" s="322">
        <v>13204.85</v>
      </c>
      <c r="F930" s="323" t="s">
        <v>28653</v>
      </c>
      <c r="G930" s="334">
        <f>7000+6204.85</f>
        <v>13204.85</v>
      </c>
      <c r="H930" s="334">
        <f t="shared" si="10"/>
        <v>0</v>
      </c>
      <c r="I930" s="325" t="s">
        <v>15214</v>
      </c>
    </row>
    <row r="931" spans="1:9" x14ac:dyDescent="0.25">
      <c r="A931" s="359">
        <v>42986</v>
      </c>
      <c r="B931" s="326" t="s">
        <v>28654</v>
      </c>
      <c r="C931" s="327">
        <v>126690</v>
      </c>
      <c r="D931" s="391" t="s">
        <v>16023</v>
      </c>
      <c r="E931" s="328">
        <v>2236.1</v>
      </c>
      <c r="F931" s="329">
        <v>42986</v>
      </c>
      <c r="G931" s="328">
        <v>2236.1</v>
      </c>
      <c r="H931" s="347">
        <f t="shared" si="10"/>
        <v>0</v>
      </c>
      <c r="I931" s="331" t="s">
        <v>15214</v>
      </c>
    </row>
    <row r="932" spans="1:9" x14ac:dyDescent="0.25">
      <c r="A932" s="319">
        <v>42986</v>
      </c>
      <c r="B932" s="320" t="s">
        <v>28655</v>
      </c>
      <c r="C932" s="321">
        <v>126691</v>
      </c>
      <c r="D932" s="390" t="s">
        <v>15234</v>
      </c>
      <c r="E932" s="322">
        <v>3452.3</v>
      </c>
      <c r="F932" s="323">
        <v>42989</v>
      </c>
      <c r="G932" s="322">
        <v>3452.3</v>
      </c>
      <c r="H932" s="322">
        <f t="shared" si="10"/>
        <v>0</v>
      </c>
      <c r="I932" s="325" t="s">
        <v>15214</v>
      </c>
    </row>
    <row r="933" spans="1:9" ht="30" x14ac:dyDescent="0.25">
      <c r="A933" s="359">
        <v>42986</v>
      </c>
      <c r="B933" s="326" t="s">
        <v>28656</v>
      </c>
      <c r="C933" s="327">
        <v>126692</v>
      </c>
      <c r="D933" s="391" t="s">
        <v>15256</v>
      </c>
      <c r="E933" s="328">
        <v>5625.7</v>
      </c>
      <c r="F933" s="329" t="s">
        <v>28657</v>
      </c>
      <c r="G933" s="347">
        <f>2027+3598.7</f>
        <v>5625.7</v>
      </c>
      <c r="H933" s="347">
        <f t="shared" si="10"/>
        <v>0</v>
      </c>
      <c r="I933" s="331" t="s">
        <v>15214</v>
      </c>
    </row>
    <row r="934" spans="1:9" x14ac:dyDescent="0.25">
      <c r="A934" s="319">
        <v>42986</v>
      </c>
      <c r="B934" s="320" t="s">
        <v>28658</v>
      </c>
      <c r="C934" s="321">
        <v>126693</v>
      </c>
      <c r="D934" s="390" t="s">
        <v>15236</v>
      </c>
      <c r="E934" s="322">
        <v>6865.1</v>
      </c>
      <c r="F934" s="323">
        <v>42989</v>
      </c>
      <c r="G934" s="322">
        <v>6865.1</v>
      </c>
      <c r="H934" s="322">
        <f t="shared" si="10"/>
        <v>0</v>
      </c>
      <c r="I934" s="325" t="s">
        <v>15214</v>
      </c>
    </row>
    <row r="935" spans="1:9" x14ac:dyDescent="0.25">
      <c r="A935" s="359">
        <v>42986</v>
      </c>
      <c r="B935" s="326" t="s">
        <v>28659</v>
      </c>
      <c r="C935" s="327">
        <v>126694</v>
      </c>
      <c r="D935" s="391" t="s">
        <v>15238</v>
      </c>
      <c r="E935" s="328">
        <v>9197.5</v>
      </c>
      <c r="F935" s="329">
        <v>42989</v>
      </c>
      <c r="G935" s="328">
        <v>9197.5</v>
      </c>
      <c r="H935" s="347">
        <f t="shared" si="10"/>
        <v>0</v>
      </c>
      <c r="I935" s="331" t="s">
        <v>15214</v>
      </c>
    </row>
    <row r="936" spans="1:9" x14ac:dyDescent="0.25">
      <c r="A936" s="319">
        <v>42986</v>
      </c>
      <c r="B936" s="320" t="s">
        <v>28660</v>
      </c>
      <c r="C936" s="321">
        <v>126695</v>
      </c>
      <c r="D936" s="390" t="s">
        <v>5575</v>
      </c>
      <c r="E936" s="322">
        <v>193.8</v>
      </c>
      <c r="F936" s="323">
        <v>42987</v>
      </c>
      <c r="G936" s="322">
        <v>193.8</v>
      </c>
      <c r="H936" s="322">
        <f t="shared" si="10"/>
        <v>0</v>
      </c>
      <c r="I936" s="325" t="s">
        <v>15214</v>
      </c>
    </row>
    <row r="937" spans="1:9" x14ac:dyDescent="0.25">
      <c r="A937" s="359">
        <v>42986</v>
      </c>
      <c r="B937" s="326" t="s">
        <v>28661</v>
      </c>
      <c r="C937" s="327">
        <v>126696</v>
      </c>
      <c r="D937" s="391" t="s">
        <v>15415</v>
      </c>
      <c r="E937" s="328">
        <v>4267.3</v>
      </c>
      <c r="F937" s="329">
        <v>42989</v>
      </c>
      <c r="G937" s="328">
        <v>4267.3</v>
      </c>
      <c r="H937" s="347">
        <f t="shared" si="10"/>
        <v>0</v>
      </c>
      <c r="I937" s="331" t="s">
        <v>15214</v>
      </c>
    </row>
    <row r="938" spans="1:9" x14ac:dyDescent="0.25">
      <c r="A938" s="319">
        <v>42986</v>
      </c>
      <c r="B938" s="320" t="s">
        <v>28662</v>
      </c>
      <c r="C938" s="321">
        <v>126697</v>
      </c>
      <c r="D938" s="390" t="s">
        <v>15317</v>
      </c>
      <c r="E938" s="322">
        <v>512.4</v>
      </c>
      <c r="F938" s="323">
        <v>42989</v>
      </c>
      <c r="G938" s="322">
        <v>512.4</v>
      </c>
      <c r="H938" s="322">
        <f t="shared" si="10"/>
        <v>0</v>
      </c>
      <c r="I938" s="325" t="s">
        <v>15214</v>
      </c>
    </row>
    <row r="939" spans="1:9" x14ac:dyDescent="0.25">
      <c r="A939" s="359">
        <v>42986</v>
      </c>
      <c r="B939" s="326" t="s">
        <v>28663</v>
      </c>
      <c r="C939" s="327">
        <v>126698</v>
      </c>
      <c r="D939" s="391" t="s">
        <v>15324</v>
      </c>
      <c r="E939" s="328">
        <v>3160</v>
      </c>
      <c r="F939" s="329">
        <v>42986</v>
      </c>
      <c r="G939" s="328">
        <v>3160</v>
      </c>
      <c r="H939" s="347">
        <f t="shared" si="10"/>
        <v>0</v>
      </c>
      <c r="I939" s="331" t="s">
        <v>15214</v>
      </c>
    </row>
    <row r="940" spans="1:9" x14ac:dyDescent="0.25">
      <c r="A940" s="319">
        <v>42986</v>
      </c>
      <c r="B940" s="320" t="s">
        <v>28664</v>
      </c>
      <c r="C940" s="321">
        <v>126699</v>
      </c>
      <c r="D940" s="390" t="s">
        <v>15248</v>
      </c>
      <c r="E940" s="322">
        <v>50554.57</v>
      </c>
      <c r="F940" s="323">
        <v>42986</v>
      </c>
      <c r="G940" s="322">
        <v>50554.57</v>
      </c>
      <c r="H940" s="322">
        <f t="shared" si="10"/>
        <v>0</v>
      </c>
      <c r="I940" s="325" t="s">
        <v>15214</v>
      </c>
    </row>
    <row r="941" spans="1:9" x14ac:dyDescent="0.25">
      <c r="A941" s="359">
        <v>42986</v>
      </c>
      <c r="B941" s="326" t="s">
        <v>28665</v>
      </c>
      <c r="C941" s="327">
        <v>126700</v>
      </c>
      <c r="D941" s="391" t="s">
        <v>15378</v>
      </c>
      <c r="E941" s="328">
        <v>4337.55</v>
      </c>
      <c r="F941" s="329">
        <v>42986</v>
      </c>
      <c r="G941" s="328">
        <v>4337.55</v>
      </c>
      <c r="H941" s="347">
        <f t="shared" si="10"/>
        <v>0</v>
      </c>
      <c r="I941" s="331" t="s">
        <v>15214</v>
      </c>
    </row>
    <row r="942" spans="1:9" x14ac:dyDescent="0.25">
      <c r="A942" s="319">
        <v>42986</v>
      </c>
      <c r="B942" s="320" t="s">
        <v>28666</v>
      </c>
      <c r="C942" s="321">
        <v>126701</v>
      </c>
      <c r="D942" s="390" t="s">
        <v>15553</v>
      </c>
      <c r="E942" s="322">
        <v>31095.4</v>
      </c>
      <c r="F942" s="323">
        <v>42986</v>
      </c>
      <c r="G942" s="322">
        <v>31095.4</v>
      </c>
      <c r="H942" s="322">
        <f t="shared" si="10"/>
        <v>0</v>
      </c>
      <c r="I942" s="325" t="s">
        <v>15214</v>
      </c>
    </row>
    <row r="943" spans="1:9" ht="30" x14ac:dyDescent="0.25">
      <c r="A943" s="359">
        <v>42986</v>
      </c>
      <c r="B943" s="326" t="s">
        <v>28667</v>
      </c>
      <c r="C943" s="327">
        <v>126702</v>
      </c>
      <c r="D943" s="391" t="s">
        <v>15228</v>
      </c>
      <c r="E943" s="328">
        <v>12052.8</v>
      </c>
      <c r="F943" s="329" t="s">
        <v>31607</v>
      </c>
      <c r="G943" s="347">
        <f>11000+1052.8</f>
        <v>12052.8</v>
      </c>
      <c r="H943" s="347">
        <f t="shared" si="10"/>
        <v>0</v>
      </c>
      <c r="I943" s="331" t="s">
        <v>15214</v>
      </c>
    </row>
    <row r="944" spans="1:9" x14ac:dyDescent="0.25">
      <c r="A944" s="319">
        <v>42986</v>
      </c>
      <c r="B944" s="320" t="s">
        <v>28668</v>
      </c>
      <c r="C944" s="321">
        <v>126703</v>
      </c>
      <c r="D944" s="390" t="s">
        <v>15223</v>
      </c>
      <c r="E944" s="322">
        <v>53433</v>
      </c>
      <c r="F944" s="323">
        <v>43010</v>
      </c>
      <c r="G944" s="322">
        <v>53433</v>
      </c>
      <c r="H944" s="322">
        <f t="shared" si="10"/>
        <v>0</v>
      </c>
      <c r="I944" s="325" t="s">
        <v>15214</v>
      </c>
    </row>
    <row r="945" spans="1:9" x14ac:dyDescent="0.25">
      <c r="A945" s="359">
        <v>42986</v>
      </c>
      <c r="B945" s="326" t="s">
        <v>28669</v>
      </c>
      <c r="C945" s="327">
        <v>126704</v>
      </c>
      <c r="D945" s="391" t="s">
        <v>15246</v>
      </c>
      <c r="E945" s="328">
        <v>1220</v>
      </c>
      <c r="F945" s="329">
        <v>42990</v>
      </c>
      <c r="G945" s="328">
        <v>1220</v>
      </c>
      <c r="H945" s="347">
        <f t="shared" ref="H945:H1008" si="11">E945-G945</f>
        <v>0</v>
      </c>
      <c r="I945" s="331" t="s">
        <v>15214</v>
      </c>
    </row>
    <row r="946" spans="1:9" x14ac:dyDescent="0.25">
      <c r="A946" s="319">
        <v>42986</v>
      </c>
      <c r="B946" s="320" t="s">
        <v>28670</v>
      </c>
      <c r="C946" s="321">
        <v>126705</v>
      </c>
      <c r="D946" s="390" t="s">
        <v>15267</v>
      </c>
      <c r="E946" s="322">
        <v>61538.98</v>
      </c>
      <c r="F946" s="323">
        <v>42997</v>
      </c>
      <c r="G946" s="322">
        <v>61538.98</v>
      </c>
      <c r="H946" s="322">
        <f t="shared" si="11"/>
        <v>0</v>
      </c>
      <c r="I946" s="325" t="s">
        <v>15214</v>
      </c>
    </row>
    <row r="947" spans="1:9" x14ac:dyDescent="0.25">
      <c r="A947" s="359">
        <v>42986</v>
      </c>
      <c r="B947" s="326" t="s">
        <v>28671</v>
      </c>
      <c r="C947" s="327">
        <v>126706</v>
      </c>
      <c r="D947" s="391" t="s">
        <v>15655</v>
      </c>
      <c r="E947" s="328">
        <v>13614.4</v>
      </c>
      <c r="F947" s="329">
        <v>42987</v>
      </c>
      <c r="G947" s="328">
        <v>13614.4</v>
      </c>
      <c r="H947" s="347">
        <f t="shared" si="11"/>
        <v>0</v>
      </c>
      <c r="I947" s="331" t="s">
        <v>15214</v>
      </c>
    </row>
    <row r="948" spans="1:9" x14ac:dyDescent="0.25">
      <c r="A948" s="319">
        <v>42986</v>
      </c>
      <c r="B948" s="320" t="s">
        <v>28672</v>
      </c>
      <c r="C948" s="321">
        <v>126707</v>
      </c>
      <c r="D948" s="390" t="s">
        <v>18544</v>
      </c>
      <c r="E948" s="322">
        <v>5808.4</v>
      </c>
      <c r="F948" s="323">
        <v>42986</v>
      </c>
      <c r="G948" s="322">
        <v>5808.4</v>
      </c>
      <c r="H948" s="322">
        <f t="shared" si="11"/>
        <v>0</v>
      </c>
      <c r="I948" s="325" t="s">
        <v>15214</v>
      </c>
    </row>
    <row r="949" spans="1:9" ht="15.75" x14ac:dyDescent="0.25">
      <c r="A949" s="359">
        <v>42986</v>
      </c>
      <c r="B949" s="326" t="s">
        <v>28673</v>
      </c>
      <c r="C949" s="327">
        <v>126708</v>
      </c>
      <c r="D949" s="345" t="s">
        <v>95</v>
      </c>
      <c r="E949" s="328">
        <v>0</v>
      </c>
      <c r="F949" s="346" t="s">
        <v>95</v>
      </c>
      <c r="G949" s="328">
        <v>0</v>
      </c>
      <c r="H949" s="347">
        <f t="shared" si="11"/>
        <v>0</v>
      </c>
      <c r="I949" s="331" t="s">
        <v>95</v>
      </c>
    </row>
    <row r="950" spans="1:9" x14ac:dyDescent="0.25">
      <c r="A950" s="319">
        <v>42986</v>
      </c>
      <c r="B950" s="320" t="s">
        <v>28674</v>
      </c>
      <c r="C950" s="321">
        <v>126709</v>
      </c>
      <c r="D950" s="390" t="s">
        <v>15315</v>
      </c>
      <c r="E950" s="322">
        <v>2915.5</v>
      </c>
      <c r="F950" s="323">
        <v>42986</v>
      </c>
      <c r="G950" s="322">
        <v>2915.5</v>
      </c>
      <c r="H950" s="322">
        <f t="shared" si="11"/>
        <v>0</v>
      </c>
      <c r="I950" s="325" t="s">
        <v>15214</v>
      </c>
    </row>
    <row r="951" spans="1:9" x14ac:dyDescent="0.25">
      <c r="A951" s="359">
        <v>42986</v>
      </c>
      <c r="B951" s="326" t="s">
        <v>28675</v>
      </c>
      <c r="C951" s="327">
        <v>126710</v>
      </c>
      <c r="D951" s="391" t="s">
        <v>15246</v>
      </c>
      <c r="E951" s="328">
        <v>806.4</v>
      </c>
      <c r="F951" s="329">
        <v>42990</v>
      </c>
      <c r="G951" s="328">
        <v>806.4</v>
      </c>
      <c r="H951" s="347">
        <f t="shared" si="11"/>
        <v>0</v>
      </c>
      <c r="I951" s="331" t="s">
        <v>15214</v>
      </c>
    </row>
    <row r="952" spans="1:9" x14ac:dyDescent="0.25">
      <c r="A952" s="319">
        <v>42986</v>
      </c>
      <c r="B952" s="320" t="s">
        <v>28676</v>
      </c>
      <c r="C952" s="321">
        <v>126711</v>
      </c>
      <c r="D952" s="390" t="s">
        <v>15280</v>
      </c>
      <c r="E952" s="322">
        <v>7451</v>
      </c>
      <c r="F952" s="323">
        <v>42986</v>
      </c>
      <c r="G952" s="322">
        <v>7451</v>
      </c>
      <c r="H952" s="322">
        <f t="shared" si="11"/>
        <v>0</v>
      </c>
      <c r="I952" s="325" t="s">
        <v>15214</v>
      </c>
    </row>
    <row r="953" spans="1:9" x14ac:dyDescent="0.25">
      <c r="A953" s="359">
        <v>42986</v>
      </c>
      <c r="B953" s="326" t="s">
        <v>28677</v>
      </c>
      <c r="C953" s="327">
        <v>126712</v>
      </c>
      <c r="D953" s="391" t="s">
        <v>15328</v>
      </c>
      <c r="E953" s="328">
        <v>85131.8</v>
      </c>
      <c r="F953" s="329">
        <v>43001</v>
      </c>
      <c r="G953" s="328">
        <v>85131.8</v>
      </c>
      <c r="H953" s="347">
        <f t="shared" si="11"/>
        <v>0</v>
      </c>
      <c r="I953" s="331" t="s">
        <v>15214</v>
      </c>
    </row>
    <row r="954" spans="1:9" x14ac:dyDescent="0.25">
      <c r="A954" s="319">
        <v>42986</v>
      </c>
      <c r="B954" s="320" t="s">
        <v>28678</v>
      </c>
      <c r="C954" s="321">
        <v>126713</v>
      </c>
      <c r="D954" s="390" t="s">
        <v>15912</v>
      </c>
      <c r="E954" s="322">
        <v>2584.8000000000002</v>
      </c>
      <c r="F954" s="323">
        <v>42986</v>
      </c>
      <c r="G954" s="322">
        <v>2584.8000000000002</v>
      </c>
      <c r="H954" s="322">
        <f t="shared" si="11"/>
        <v>0</v>
      </c>
      <c r="I954" s="325" t="s">
        <v>15214</v>
      </c>
    </row>
    <row r="955" spans="1:9" x14ac:dyDescent="0.25">
      <c r="A955" s="359">
        <v>42986</v>
      </c>
      <c r="B955" s="326" t="s">
        <v>28679</v>
      </c>
      <c r="C955" s="327">
        <v>126714</v>
      </c>
      <c r="D955" s="391" t="s">
        <v>15278</v>
      </c>
      <c r="E955" s="328">
        <v>9968.5</v>
      </c>
      <c r="F955" s="329">
        <v>42986</v>
      </c>
      <c r="G955" s="328">
        <v>9968.5</v>
      </c>
      <c r="H955" s="347">
        <f t="shared" si="11"/>
        <v>0</v>
      </c>
      <c r="I955" s="331" t="s">
        <v>15214</v>
      </c>
    </row>
    <row r="956" spans="1:9" x14ac:dyDescent="0.25">
      <c r="A956" s="319">
        <v>42986</v>
      </c>
      <c r="B956" s="320" t="s">
        <v>28680</v>
      </c>
      <c r="C956" s="321">
        <v>126715</v>
      </c>
      <c r="D956" s="390" t="s">
        <v>15334</v>
      </c>
      <c r="E956" s="322">
        <v>2904</v>
      </c>
      <c r="F956" s="323">
        <v>42986</v>
      </c>
      <c r="G956" s="322">
        <v>2904</v>
      </c>
      <c r="H956" s="322">
        <f t="shared" si="11"/>
        <v>0</v>
      </c>
      <c r="I956" s="325" t="s">
        <v>15214</v>
      </c>
    </row>
    <row r="957" spans="1:9" x14ac:dyDescent="0.25">
      <c r="A957" s="359">
        <v>42986</v>
      </c>
      <c r="B957" s="326" t="s">
        <v>28681</v>
      </c>
      <c r="C957" s="327">
        <v>126716</v>
      </c>
      <c r="D957" s="391" t="s">
        <v>15315</v>
      </c>
      <c r="E957" s="328">
        <v>7382.35</v>
      </c>
      <c r="F957" s="329">
        <v>42986</v>
      </c>
      <c r="G957" s="328">
        <v>7382.35</v>
      </c>
      <c r="H957" s="347">
        <f t="shared" si="11"/>
        <v>0</v>
      </c>
      <c r="I957" s="331" t="s">
        <v>15214</v>
      </c>
    </row>
    <row r="958" spans="1:9" x14ac:dyDescent="0.25">
      <c r="A958" s="319">
        <v>42986</v>
      </c>
      <c r="B958" s="320" t="s">
        <v>28682</v>
      </c>
      <c r="C958" s="321">
        <v>126717</v>
      </c>
      <c r="D958" s="390" t="s">
        <v>15358</v>
      </c>
      <c r="E958" s="322">
        <v>3130.2</v>
      </c>
      <c r="F958" s="323">
        <v>42986</v>
      </c>
      <c r="G958" s="322">
        <v>3130.2</v>
      </c>
      <c r="H958" s="322">
        <f t="shared" si="11"/>
        <v>0</v>
      </c>
      <c r="I958" s="325" t="s">
        <v>15214</v>
      </c>
    </row>
    <row r="959" spans="1:9" x14ac:dyDescent="0.25">
      <c r="A959" s="359">
        <v>42986</v>
      </c>
      <c r="B959" s="326" t="s">
        <v>28683</v>
      </c>
      <c r="C959" s="327">
        <v>126718</v>
      </c>
      <c r="D959" s="391" t="s">
        <v>15523</v>
      </c>
      <c r="E959" s="328">
        <v>2400</v>
      </c>
      <c r="F959" s="329">
        <v>42986</v>
      </c>
      <c r="G959" s="328">
        <v>2400</v>
      </c>
      <c r="H959" s="347">
        <f t="shared" si="11"/>
        <v>0</v>
      </c>
      <c r="I959" s="331" t="s">
        <v>15214</v>
      </c>
    </row>
    <row r="960" spans="1:9" x14ac:dyDescent="0.25">
      <c r="A960" s="319">
        <v>42986</v>
      </c>
      <c r="B960" s="320" t="s">
        <v>28684</v>
      </c>
      <c r="C960" s="321">
        <v>126719</v>
      </c>
      <c r="D960" s="390" t="s">
        <v>15336</v>
      </c>
      <c r="E960" s="322">
        <v>5621.2</v>
      </c>
      <c r="F960" s="323">
        <v>42986</v>
      </c>
      <c r="G960" s="322">
        <v>5621.2</v>
      </c>
      <c r="H960" s="322">
        <f t="shared" si="11"/>
        <v>0</v>
      </c>
      <c r="I960" s="325" t="s">
        <v>15214</v>
      </c>
    </row>
    <row r="961" spans="1:9" x14ac:dyDescent="0.25">
      <c r="A961" s="359">
        <v>42986</v>
      </c>
      <c r="B961" s="326" t="s">
        <v>28685</v>
      </c>
      <c r="C961" s="327">
        <v>126720</v>
      </c>
      <c r="D961" s="391" t="s">
        <v>15278</v>
      </c>
      <c r="E961" s="328">
        <v>292.8</v>
      </c>
      <c r="F961" s="329">
        <v>42986</v>
      </c>
      <c r="G961" s="328">
        <v>292.8</v>
      </c>
      <c r="H961" s="347">
        <f t="shared" si="11"/>
        <v>0</v>
      </c>
      <c r="I961" s="331" t="s">
        <v>15214</v>
      </c>
    </row>
    <row r="962" spans="1:9" x14ac:dyDescent="0.25">
      <c r="A962" s="319">
        <v>42986</v>
      </c>
      <c r="B962" s="320" t="s">
        <v>28686</v>
      </c>
      <c r="C962" s="321">
        <v>126721</v>
      </c>
      <c r="D962" s="390" t="s">
        <v>15240</v>
      </c>
      <c r="E962" s="322">
        <v>3283</v>
      </c>
      <c r="F962" s="323">
        <v>42989</v>
      </c>
      <c r="G962" s="322">
        <v>3283</v>
      </c>
      <c r="H962" s="322">
        <f t="shared" si="11"/>
        <v>0</v>
      </c>
      <c r="I962" s="325" t="s">
        <v>15214</v>
      </c>
    </row>
    <row r="963" spans="1:9" x14ac:dyDescent="0.25">
      <c r="A963" s="359">
        <v>42986</v>
      </c>
      <c r="B963" s="326" t="s">
        <v>28687</v>
      </c>
      <c r="C963" s="327">
        <v>126722</v>
      </c>
      <c r="D963" s="391" t="s">
        <v>15348</v>
      </c>
      <c r="E963" s="328">
        <v>3229.1</v>
      </c>
      <c r="F963" s="329">
        <v>42989</v>
      </c>
      <c r="G963" s="328">
        <v>3229.1</v>
      </c>
      <c r="H963" s="347">
        <f t="shared" si="11"/>
        <v>0</v>
      </c>
      <c r="I963" s="331" t="s">
        <v>15214</v>
      </c>
    </row>
    <row r="964" spans="1:9" x14ac:dyDescent="0.25">
      <c r="A964" s="319">
        <v>42986</v>
      </c>
      <c r="B964" s="320" t="s">
        <v>28688</v>
      </c>
      <c r="C964" s="321">
        <v>126723</v>
      </c>
      <c r="D964" s="390" t="s">
        <v>15526</v>
      </c>
      <c r="E964" s="322">
        <v>5395</v>
      </c>
      <c r="F964" s="323">
        <v>42986</v>
      </c>
      <c r="G964" s="322">
        <v>5395</v>
      </c>
      <c r="H964" s="322">
        <f t="shared" si="11"/>
        <v>0</v>
      </c>
      <c r="I964" s="325" t="s">
        <v>15214</v>
      </c>
    </row>
    <row r="965" spans="1:9" ht="15.75" x14ac:dyDescent="0.25">
      <c r="A965" s="359">
        <v>42986</v>
      </c>
      <c r="B965" s="326" t="s">
        <v>28689</v>
      </c>
      <c r="C965" s="327">
        <v>126724</v>
      </c>
      <c r="D965" s="345" t="s">
        <v>95</v>
      </c>
      <c r="E965" s="328">
        <v>0</v>
      </c>
      <c r="F965" s="346" t="s">
        <v>95</v>
      </c>
      <c r="G965" s="328">
        <v>0</v>
      </c>
      <c r="H965" s="347">
        <f t="shared" si="11"/>
        <v>0</v>
      </c>
      <c r="I965" s="331" t="s">
        <v>95</v>
      </c>
    </row>
    <row r="966" spans="1:9" x14ac:dyDescent="0.25">
      <c r="A966" s="319">
        <v>42986</v>
      </c>
      <c r="B966" s="320" t="s">
        <v>28690</v>
      </c>
      <c r="C966" s="321">
        <v>126725</v>
      </c>
      <c r="D966" s="390" t="s">
        <v>15344</v>
      </c>
      <c r="E966" s="322">
        <v>2810</v>
      </c>
      <c r="F966" s="323">
        <v>42986</v>
      </c>
      <c r="G966" s="322">
        <v>2810</v>
      </c>
      <c r="H966" s="322">
        <f t="shared" si="11"/>
        <v>0</v>
      </c>
      <c r="I966" s="325" t="s">
        <v>15214</v>
      </c>
    </row>
    <row r="967" spans="1:9" x14ac:dyDescent="0.25">
      <c r="A967" s="359">
        <v>42986</v>
      </c>
      <c r="B967" s="326" t="s">
        <v>28691</v>
      </c>
      <c r="C967" s="327">
        <v>126726</v>
      </c>
      <c r="D967" s="391" t="s">
        <v>15332</v>
      </c>
      <c r="E967" s="328">
        <v>4992</v>
      </c>
      <c r="F967" s="329">
        <v>42986</v>
      </c>
      <c r="G967" s="328">
        <v>4992</v>
      </c>
      <c r="H967" s="347">
        <f t="shared" si="11"/>
        <v>0</v>
      </c>
      <c r="I967" s="331" t="s">
        <v>15214</v>
      </c>
    </row>
    <row r="968" spans="1:9" x14ac:dyDescent="0.25">
      <c r="A968" s="319">
        <v>42986</v>
      </c>
      <c r="B968" s="320" t="s">
        <v>28692</v>
      </c>
      <c r="C968" s="321">
        <v>126727</v>
      </c>
      <c r="D968" s="390" t="s">
        <v>15332</v>
      </c>
      <c r="E968" s="322">
        <v>1705.2</v>
      </c>
      <c r="F968" s="323">
        <v>42986</v>
      </c>
      <c r="G968" s="322">
        <v>1705.2</v>
      </c>
      <c r="H968" s="322">
        <f t="shared" si="11"/>
        <v>0</v>
      </c>
      <c r="I968" s="325" t="s">
        <v>15214</v>
      </c>
    </row>
    <row r="969" spans="1:9" x14ac:dyDescent="0.25">
      <c r="A969" s="359">
        <v>42986</v>
      </c>
      <c r="B969" s="326" t="s">
        <v>28693</v>
      </c>
      <c r="C969" s="327">
        <v>126728</v>
      </c>
      <c r="D969" s="391" t="s">
        <v>15861</v>
      </c>
      <c r="E969" s="328">
        <v>4650.1000000000004</v>
      </c>
      <c r="F969" s="329">
        <v>42986</v>
      </c>
      <c r="G969" s="328">
        <v>4650.1000000000004</v>
      </c>
      <c r="H969" s="347">
        <f t="shared" si="11"/>
        <v>0</v>
      </c>
      <c r="I969" s="331" t="s">
        <v>15214</v>
      </c>
    </row>
    <row r="970" spans="1:9" x14ac:dyDescent="0.25">
      <c r="A970" s="319">
        <v>42986</v>
      </c>
      <c r="B970" s="320" t="s">
        <v>28694</v>
      </c>
      <c r="C970" s="321">
        <v>126729</v>
      </c>
      <c r="D970" s="390" t="s">
        <v>15220</v>
      </c>
      <c r="E970" s="322">
        <v>2400</v>
      </c>
      <c r="F970" s="323">
        <v>42986</v>
      </c>
      <c r="G970" s="322">
        <v>2400</v>
      </c>
      <c r="H970" s="322">
        <f t="shared" si="11"/>
        <v>0</v>
      </c>
      <c r="I970" s="325" t="s">
        <v>15214</v>
      </c>
    </row>
    <row r="971" spans="1:9" x14ac:dyDescent="0.25">
      <c r="A971" s="359">
        <v>42986</v>
      </c>
      <c r="B971" s="326" t="s">
        <v>28695</v>
      </c>
      <c r="C971" s="327">
        <v>126730</v>
      </c>
      <c r="D971" s="391" t="s">
        <v>15340</v>
      </c>
      <c r="E971" s="328">
        <v>3180</v>
      </c>
      <c r="F971" s="329">
        <v>42986</v>
      </c>
      <c r="G971" s="328">
        <v>3180</v>
      </c>
      <c r="H971" s="347">
        <f t="shared" si="11"/>
        <v>0</v>
      </c>
      <c r="I971" s="331" t="s">
        <v>15214</v>
      </c>
    </row>
    <row r="972" spans="1:9" x14ac:dyDescent="0.25">
      <c r="A972" s="319">
        <v>42986</v>
      </c>
      <c r="B972" s="320" t="s">
        <v>28696</v>
      </c>
      <c r="C972" s="321">
        <v>126731</v>
      </c>
      <c r="D972" s="390" t="s">
        <v>19302</v>
      </c>
      <c r="E972" s="322">
        <v>720</v>
      </c>
      <c r="F972" s="323">
        <v>42986</v>
      </c>
      <c r="G972" s="322">
        <v>720</v>
      </c>
      <c r="H972" s="322">
        <f t="shared" si="11"/>
        <v>0</v>
      </c>
      <c r="I972" s="325" t="s">
        <v>15214</v>
      </c>
    </row>
    <row r="973" spans="1:9" x14ac:dyDescent="0.25">
      <c r="A973" s="359">
        <v>42986</v>
      </c>
      <c r="B973" s="326" t="s">
        <v>28697</v>
      </c>
      <c r="C973" s="327">
        <v>126732</v>
      </c>
      <c r="D973" s="391" t="s">
        <v>15263</v>
      </c>
      <c r="E973" s="328">
        <v>1011.2</v>
      </c>
      <c r="F973" s="329">
        <v>42986</v>
      </c>
      <c r="G973" s="328">
        <v>1011.2</v>
      </c>
      <c r="H973" s="347">
        <f t="shared" si="11"/>
        <v>0</v>
      </c>
      <c r="I973" s="331" t="s">
        <v>15214</v>
      </c>
    </row>
    <row r="974" spans="1:9" x14ac:dyDescent="0.25">
      <c r="A974" s="319">
        <v>42986</v>
      </c>
      <c r="B974" s="320" t="s">
        <v>28698</v>
      </c>
      <c r="C974" s="321">
        <v>126733</v>
      </c>
      <c r="D974" s="390" t="s">
        <v>15284</v>
      </c>
      <c r="E974" s="322">
        <v>1754</v>
      </c>
      <c r="F974" s="323">
        <v>42986</v>
      </c>
      <c r="G974" s="322">
        <v>1754</v>
      </c>
      <c r="H974" s="322">
        <f t="shared" si="11"/>
        <v>0</v>
      </c>
      <c r="I974" s="325" t="s">
        <v>15214</v>
      </c>
    </row>
    <row r="975" spans="1:9" x14ac:dyDescent="0.25">
      <c r="A975" s="359">
        <v>42986</v>
      </c>
      <c r="B975" s="326" t="s">
        <v>28699</v>
      </c>
      <c r="C975" s="327">
        <v>126734</v>
      </c>
      <c r="D975" s="391" t="s">
        <v>15367</v>
      </c>
      <c r="E975" s="328">
        <v>4800</v>
      </c>
      <c r="F975" s="329">
        <v>42987</v>
      </c>
      <c r="G975" s="328">
        <v>4800</v>
      </c>
      <c r="H975" s="347">
        <f t="shared" si="11"/>
        <v>0</v>
      </c>
      <c r="I975" s="331" t="s">
        <v>15214</v>
      </c>
    </row>
    <row r="976" spans="1:9" x14ac:dyDescent="0.25">
      <c r="A976" s="319">
        <v>42986</v>
      </c>
      <c r="B976" s="320" t="s">
        <v>28700</v>
      </c>
      <c r="C976" s="321">
        <v>126735</v>
      </c>
      <c r="D976" s="390" t="s">
        <v>15250</v>
      </c>
      <c r="E976" s="322">
        <v>32635.05</v>
      </c>
      <c r="F976" s="323">
        <v>43001</v>
      </c>
      <c r="G976" s="322">
        <v>32635.05</v>
      </c>
      <c r="H976" s="322">
        <f t="shared" si="11"/>
        <v>0</v>
      </c>
      <c r="I976" s="325" t="s">
        <v>15214</v>
      </c>
    </row>
    <row r="977" spans="1:9" x14ac:dyDescent="0.25">
      <c r="A977" s="359">
        <v>42986</v>
      </c>
      <c r="B977" s="326" t="s">
        <v>28701</v>
      </c>
      <c r="C977" s="327">
        <v>126736</v>
      </c>
      <c r="D977" s="391" t="s">
        <v>15369</v>
      </c>
      <c r="E977" s="328">
        <v>29731</v>
      </c>
      <c r="F977" s="329">
        <v>42997</v>
      </c>
      <c r="G977" s="328">
        <v>29731</v>
      </c>
      <c r="H977" s="347">
        <f t="shared" si="11"/>
        <v>0</v>
      </c>
      <c r="I977" s="331" t="s">
        <v>15214</v>
      </c>
    </row>
    <row r="978" spans="1:9" x14ac:dyDescent="0.25">
      <c r="A978" s="319">
        <v>42986</v>
      </c>
      <c r="B978" s="320" t="s">
        <v>28702</v>
      </c>
      <c r="C978" s="321">
        <v>126737</v>
      </c>
      <c r="D978" s="390" t="s">
        <v>15380</v>
      </c>
      <c r="E978" s="322">
        <v>26323.5</v>
      </c>
      <c r="F978" s="323">
        <v>42997</v>
      </c>
      <c r="G978" s="322">
        <v>26323.5</v>
      </c>
      <c r="H978" s="322">
        <f t="shared" si="11"/>
        <v>0</v>
      </c>
      <c r="I978" s="325" t="s">
        <v>15214</v>
      </c>
    </row>
    <row r="979" spans="1:9" x14ac:dyDescent="0.25">
      <c r="A979" s="359">
        <v>42986</v>
      </c>
      <c r="B979" s="326" t="s">
        <v>28703</v>
      </c>
      <c r="C979" s="327">
        <v>126738</v>
      </c>
      <c r="D979" s="391" t="s">
        <v>15382</v>
      </c>
      <c r="E979" s="328">
        <v>10745.7</v>
      </c>
      <c r="F979" s="329">
        <v>42997</v>
      </c>
      <c r="G979" s="328">
        <v>10745.7</v>
      </c>
      <c r="H979" s="347">
        <f t="shared" si="11"/>
        <v>0</v>
      </c>
      <c r="I979" s="331" t="s">
        <v>15214</v>
      </c>
    </row>
    <row r="980" spans="1:9" x14ac:dyDescent="0.25">
      <c r="A980" s="319">
        <v>42986</v>
      </c>
      <c r="B980" s="320" t="s">
        <v>28704</v>
      </c>
      <c r="C980" s="321">
        <v>126739</v>
      </c>
      <c r="D980" s="390" t="s">
        <v>15389</v>
      </c>
      <c r="E980" s="322">
        <v>17766.400000000001</v>
      </c>
      <c r="F980" s="323">
        <v>42997</v>
      </c>
      <c r="G980" s="322">
        <v>17766.400000000001</v>
      </c>
      <c r="H980" s="322">
        <f t="shared" si="11"/>
        <v>0</v>
      </c>
      <c r="I980" s="325" t="s">
        <v>15214</v>
      </c>
    </row>
    <row r="981" spans="1:9" x14ac:dyDescent="0.25">
      <c r="A981" s="359">
        <v>42986</v>
      </c>
      <c r="B981" s="326" t="s">
        <v>28705</v>
      </c>
      <c r="C981" s="327">
        <v>126740</v>
      </c>
      <c r="D981" s="391" t="s">
        <v>15373</v>
      </c>
      <c r="E981" s="328">
        <v>14644.8</v>
      </c>
      <c r="F981" s="329">
        <v>42990</v>
      </c>
      <c r="G981" s="328">
        <v>14644.8</v>
      </c>
      <c r="H981" s="347">
        <f t="shared" si="11"/>
        <v>0</v>
      </c>
      <c r="I981" s="331" t="s">
        <v>15214</v>
      </c>
    </row>
    <row r="982" spans="1:9" x14ac:dyDescent="0.25">
      <c r="A982" s="319">
        <v>42986</v>
      </c>
      <c r="B982" s="320" t="s">
        <v>28706</v>
      </c>
      <c r="C982" s="321">
        <v>126741</v>
      </c>
      <c r="D982" s="390" t="s">
        <v>15442</v>
      </c>
      <c r="E982" s="322">
        <v>6078.2</v>
      </c>
      <c r="F982" s="323">
        <v>42986</v>
      </c>
      <c r="G982" s="322">
        <v>6078.2</v>
      </c>
      <c r="H982" s="322">
        <f t="shared" si="11"/>
        <v>0</v>
      </c>
      <c r="I982" s="325" t="s">
        <v>15214</v>
      </c>
    </row>
    <row r="983" spans="1:9" x14ac:dyDescent="0.25">
      <c r="A983" s="359">
        <v>42986</v>
      </c>
      <c r="B983" s="326" t="s">
        <v>28707</v>
      </c>
      <c r="C983" s="327">
        <v>126742</v>
      </c>
      <c r="D983" s="391" t="s">
        <v>23937</v>
      </c>
      <c r="E983" s="328">
        <v>3915.1</v>
      </c>
      <c r="F983" s="329">
        <v>42986</v>
      </c>
      <c r="G983" s="328">
        <v>3915.1</v>
      </c>
      <c r="H983" s="347">
        <f t="shared" si="11"/>
        <v>0</v>
      </c>
      <c r="I983" s="331" t="s">
        <v>15214</v>
      </c>
    </row>
    <row r="984" spans="1:9" x14ac:dyDescent="0.25">
      <c r="A984" s="319">
        <v>42986</v>
      </c>
      <c r="B984" s="320" t="s">
        <v>28708</v>
      </c>
      <c r="C984" s="321">
        <v>126743</v>
      </c>
      <c r="D984" s="390" t="s">
        <v>15549</v>
      </c>
      <c r="E984" s="322">
        <v>7606</v>
      </c>
      <c r="F984" s="323">
        <v>42987</v>
      </c>
      <c r="G984" s="322">
        <v>7606</v>
      </c>
      <c r="H984" s="322">
        <f t="shared" si="11"/>
        <v>0</v>
      </c>
      <c r="I984" s="325" t="s">
        <v>15214</v>
      </c>
    </row>
    <row r="985" spans="1:9" x14ac:dyDescent="0.25">
      <c r="A985" s="359">
        <v>42986</v>
      </c>
      <c r="B985" s="326" t="s">
        <v>28709</v>
      </c>
      <c r="C985" s="327">
        <v>126744</v>
      </c>
      <c r="D985" s="391" t="s">
        <v>15252</v>
      </c>
      <c r="E985" s="328">
        <v>5729.15</v>
      </c>
      <c r="F985" s="329">
        <v>42989</v>
      </c>
      <c r="G985" s="328">
        <v>5729.15</v>
      </c>
      <c r="H985" s="347">
        <f t="shared" si="11"/>
        <v>0</v>
      </c>
      <c r="I985" s="331" t="s">
        <v>15214</v>
      </c>
    </row>
    <row r="986" spans="1:9" x14ac:dyDescent="0.25">
      <c r="A986" s="319">
        <v>42986</v>
      </c>
      <c r="B986" s="320" t="s">
        <v>28710</v>
      </c>
      <c r="C986" s="321">
        <v>126745</v>
      </c>
      <c r="D986" s="390" t="s">
        <v>15244</v>
      </c>
      <c r="E986" s="322">
        <v>9992.1</v>
      </c>
      <c r="F986" s="323">
        <v>42989</v>
      </c>
      <c r="G986" s="322">
        <v>9992.1</v>
      </c>
      <c r="H986" s="322">
        <f t="shared" si="11"/>
        <v>0</v>
      </c>
      <c r="I986" s="325" t="s">
        <v>15214</v>
      </c>
    </row>
    <row r="987" spans="1:9" x14ac:dyDescent="0.25">
      <c r="A987" s="359">
        <v>42986</v>
      </c>
      <c r="B987" s="326" t="s">
        <v>28711</v>
      </c>
      <c r="C987" s="327">
        <v>126746</v>
      </c>
      <c r="D987" s="391" t="s">
        <v>15254</v>
      </c>
      <c r="E987" s="328">
        <v>2010</v>
      </c>
      <c r="F987" s="329" t="s">
        <v>28712</v>
      </c>
      <c r="G987" s="328">
        <v>2010</v>
      </c>
      <c r="H987" s="347">
        <f t="shared" si="11"/>
        <v>0</v>
      </c>
      <c r="I987" s="331" t="s">
        <v>15214</v>
      </c>
    </row>
    <row r="988" spans="1:9" x14ac:dyDescent="0.25">
      <c r="A988" s="319">
        <v>42986</v>
      </c>
      <c r="B988" s="320" t="s">
        <v>28713</v>
      </c>
      <c r="C988" s="321">
        <v>126747</v>
      </c>
      <c r="D988" s="390" t="s">
        <v>15396</v>
      </c>
      <c r="E988" s="322">
        <v>9289.16</v>
      </c>
      <c r="F988" s="323">
        <v>42986</v>
      </c>
      <c r="G988" s="322">
        <v>9289.16</v>
      </c>
      <c r="H988" s="322">
        <f t="shared" si="11"/>
        <v>0</v>
      </c>
      <c r="I988" s="325" t="s">
        <v>15214</v>
      </c>
    </row>
    <row r="989" spans="1:9" x14ac:dyDescent="0.25">
      <c r="A989" s="359">
        <v>42986</v>
      </c>
      <c r="B989" s="326" t="s">
        <v>28714</v>
      </c>
      <c r="C989" s="327">
        <v>126748</v>
      </c>
      <c r="D989" s="391" t="s">
        <v>15254</v>
      </c>
      <c r="E989" s="328">
        <v>2637.6</v>
      </c>
      <c r="F989" s="329">
        <v>42989</v>
      </c>
      <c r="G989" s="328">
        <v>2637.6</v>
      </c>
      <c r="H989" s="347">
        <f t="shared" si="11"/>
        <v>0</v>
      </c>
      <c r="I989" s="331" t="s">
        <v>15214</v>
      </c>
    </row>
    <row r="990" spans="1:9" x14ac:dyDescent="0.25">
      <c r="A990" s="319">
        <v>42986</v>
      </c>
      <c r="B990" s="320" t="s">
        <v>28715</v>
      </c>
      <c r="C990" s="321">
        <v>126749</v>
      </c>
      <c r="D990" s="390" t="s">
        <v>15566</v>
      </c>
      <c r="E990" s="322">
        <v>3033.65</v>
      </c>
      <c r="F990" s="323">
        <v>42986</v>
      </c>
      <c r="G990" s="322">
        <v>3033.65</v>
      </c>
      <c r="H990" s="322">
        <f t="shared" si="11"/>
        <v>0</v>
      </c>
      <c r="I990" s="325" t="s">
        <v>15214</v>
      </c>
    </row>
    <row r="991" spans="1:9" x14ac:dyDescent="0.25">
      <c r="A991" s="359">
        <v>42986</v>
      </c>
      <c r="B991" s="326" t="s">
        <v>28716</v>
      </c>
      <c r="C991" s="327">
        <v>126750</v>
      </c>
      <c r="D991" s="391" t="s">
        <v>15537</v>
      </c>
      <c r="E991" s="328">
        <v>19837.400000000001</v>
      </c>
      <c r="F991" s="329" t="s">
        <v>27799</v>
      </c>
      <c r="G991" s="328">
        <v>19837.400000000001</v>
      </c>
      <c r="H991" s="347">
        <f t="shared" si="11"/>
        <v>0</v>
      </c>
      <c r="I991" s="331" t="s">
        <v>15214</v>
      </c>
    </row>
    <row r="992" spans="1:9" ht="30" x14ac:dyDescent="0.25">
      <c r="A992" s="319">
        <v>42986</v>
      </c>
      <c r="B992" s="320" t="s">
        <v>28717</v>
      </c>
      <c r="C992" s="321">
        <v>126751</v>
      </c>
      <c r="D992" s="390" t="s">
        <v>15699</v>
      </c>
      <c r="E992" s="322">
        <v>38623.4</v>
      </c>
      <c r="F992" s="323" t="s">
        <v>28657</v>
      </c>
      <c r="G992" s="334">
        <f>20000+18623.4</f>
        <v>38623.4</v>
      </c>
      <c r="H992" s="334">
        <f t="shared" si="11"/>
        <v>0</v>
      </c>
      <c r="I992" s="325" t="s">
        <v>15214</v>
      </c>
    </row>
    <row r="993" spans="1:9" x14ac:dyDescent="0.25">
      <c r="A993" s="359">
        <v>42986</v>
      </c>
      <c r="B993" s="326" t="s">
        <v>28718</v>
      </c>
      <c r="C993" s="327">
        <v>126752</v>
      </c>
      <c r="D993" s="391" t="s">
        <v>15555</v>
      </c>
      <c r="E993" s="328">
        <v>37817.599999999999</v>
      </c>
      <c r="F993" s="329" t="s">
        <v>27799</v>
      </c>
      <c r="G993" s="328">
        <v>37817.599999999999</v>
      </c>
      <c r="H993" s="347">
        <f t="shared" si="11"/>
        <v>0</v>
      </c>
      <c r="I993" s="331" t="s">
        <v>15214</v>
      </c>
    </row>
    <row r="994" spans="1:9" x14ac:dyDescent="0.25">
      <c r="A994" s="319">
        <v>42986</v>
      </c>
      <c r="B994" s="320" t="s">
        <v>28719</v>
      </c>
      <c r="C994" s="321">
        <v>126753</v>
      </c>
      <c r="D994" s="390" t="s">
        <v>16139</v>
      </c>
      <c r="E994" s="322">
        <v>3156.05</v>
      </c>
      <c r="F994" s="323">
        <v>42990</v>
      </c>
      <c r="G994" s="322">
        <v>3156.05</v>
      </c>
      <c r="H994" s="322">
        <f t="shared" si="11"/>
        <v>0</v>
      </c>
      <c r="I994" s="325" t="s">
        <v>15214</v>
      </c>
    </row>
    <row r="995" spans="1:9" x14ac:dyDescent="0.25">
      <c r="A995" s="359">
        <v>42986</v>
      </c>
      <c r="B995" s="326" t="s">
        <v>28720</v>
      </c>
      <c r="C995" s="327">
        <v>126754</v>
      </c>
      <c r="D995" s="391" t="s">
        <v>15557</v>
      </c>
      <c r="E995" s="328">
        <v>26377.05</v>
      </c>
      <c r="F995" s="329" t="s">
        <v>27799</v>
      </c>
      <c r="G995" s="328">
        <v>26377.05</v>
      </c>
      <c r="H995" s="347">
        <f t="shared" si="11"/>
        <v>0</v>
      </c>
      <c r="I995" s="331" t="s">
        <v>15214</v>
      </c>
    </row>
    <row r="996" spans="1:9" x14ac:dyDescent="0.25">
      <c r="A996" s="319">
        <v>42986</v>
      </c>
      <c r="B996" s="320" t="s">
        <v>28721</v>
      </c>
      <c r="C996" s="321">
        <v>126755</v>
      </c>
      <c r="D996" s="390" t="s">
        <v>15246</v>
      </c>
      <c r="E996" s="322">
        <v>61082.52</v>
      </c>
      <c r="F996" s="323">
        <v>42990</v>
      </c>
      <c r="G996" s="322">
        <v>61082.52</v>
      </c>
      <c r="H996" s="322">
        <f t="shared" si="11"/>
        <v>0</v>
      </c>
      <c r="I996" s="325" t="s">
        <v>15214</v>
      </c>
    </row>
    <row r="997" spans="1:9" ht="15.75" x14ac:dyDescent="0.25">
      <c r="A997" s="359">
        <v>42986</v>
      </c>
      <c r="B997" s="326" t="s">
        <v>28722</v>
      </c>
      <c r="C997" s="327">
        <v>126756</v>
      </c>
      <c r="D997" s="345" t="s">
        <v>95</v>
      </c>
      <c r="E997" s="328">
        <v>0</v>
      </c>
      <c r="F997" s="346" t="s">
        <v>95</v>
      </c>
      <c r="G997" s="328">
        <v>0</v>
      </c>
      <c r="H997" s="347">
        <f t="shared" si="11"/>
        <v>0</v>
      </c>
      <c r="I997" s="331" t="s">
        <v>95</v>
      </c>
    </row>
    <row r="998" spans="1:9" x14ac:dyDescent="0.25">
      <c r="A998" s="319">
        <v>42986</v>
      </c>
      <c r="B998" s="320" t="s">
        <v>28723</v>
      </c>
      <c r="C998" s="321">
        <v>126757</v>
      </c>
      <c r="D998" s="390" t="s">
        <v>15282</v>
      </c>
      <c r="E998" s="322">
        <v>3631.1</v>
      </c>
      <c r="F998" s="323">
        <v>42986</v>
      </c>
      <c r="G998" s="322">
        <v>3631.1</v>
      </c>
      <c r="H998" s="322">
        <f t="shared" si="11"/>
        <v>0</v>
      </c>
      <c r="I998" s="325" t="s">
        <v>15214</v>
      </c>
    </row>
    <row r="999" spans="1:9" x14ac:dyDescent="0.25">
      <c r="A999" s="359">
        <v>42986</v>
      </c>
      <c r="B999" s="326" t="s">
        <v>28724</v>
      </c>
      <c r="C999" s="327">
        <v>126758</v>
      </c>
      <c r="D999" s="391" t="s">
        <v>15298</v>
      </c>
      <c r="E999" s="328">
        <v>9166.2000000000007</v>
      </c>
      <c r="F999" s="329">
        <v>42992</v>
      </c>
      <c r="G999" s="328">
        <v>9166.2000000000007</v>
      </c>
      <c r="H999" s="347">
        <f t="shared" si="11"/>
        <v>0</v>
      </c>
      <c r="I999" s="331" t="s">
        <v>15214</v>
      </c>
    </row>
    <row r="1000" spans="1:9" x14ac:dyDescent="0.25">
      <c r="A1000" s="319">
        <v>42986</v>
      </c>
      <c r="B1000" s="320" t="s">
        <v>28725</v>
      </c>
      <c r="C1000" s="321">
        <v>126759</v>
      </c>
      <c r="D1000" s="390" t="s">
        <v>15284</v>
      </c>
      <c r="E1000" s="322">
        <v>786</v>
      </c>
      <c r="F1000" s="323">
        <v>42986</v>
      </c>
      <c r="G1000" s="322">
        <v>786</v>
      </c>
      <c r="H1000" s="322">
        <f t="shared" si="11"/>
        <v>0</v>
      </c>
      <c r="I1000" s="325" t="s">
        <v>15214</v>
      </c>
    </row>
    <row r="1001" spans="1:9" x14ac:dyDescent="0.25">
      <c r="A1001" s="359">
        <v>42986</v>
      </c>
      <c r="B1001" s="326" t="s">
        <v>28726</v>
      </c>
      <c r="C1001" s="327">
        <v>126760</v>
      </c>
      <c r="D1001" s="391" t="s">
        <v>16048</v>
      </c>
      <c r="E1001" s="328">
        <v>680.8</v>
      </c>
      <c r="F1001" s="329">
        <v>42986</v>
      </c>
      <c r="G1001" s="328">
        <v>680.8</v>
      </c>
      <c r="H1001" s="347">
        <f t="shared" si="11"/>
        <v>0</v>
      </c>
      <c r="I1001" s="331" t="s">
        <v>15214</v>
      </c>
    </row>
    <row r="1002" spans="1:9" x14ac:dyDescent="0.25">
      <c r="A1002" s="319">
        <v>42986</v>
      </c>
      <c r="B1002" s="320" t="s">
        <v>28727</v>
      </c>
      <c r="C1002" s="321">
        <v>126761</v>
      </c>
      <c r="D1002" s="390" t="s">
        <v>16108</v>
      </c>
      <c r="E1002" s="322">
        <v>1540</v>
      </c>
      <c r="F1002" s="323">
        <v>42986</v>
      </c>
      <c r="G1002" s="322">
        <v>1540</v>
      </c>
      <c r="H1002" s="322">
        <f t="shared" si="11"/>
        <v>0</v>
      </c>
      <c r="I1002" s="325" t="s">
        <v>15214</v>
      </c>
    </row>
    <row r="1003" spans="1:9" x14ac:dyDescent="0.25">
      <c r="A1003" s="359">
        <v>42986</v>
      </c>
      <c r="B1003" s="326" t="s">
        <v>28728</v>
      </c>
      <c r="C1003" s="327">
        <v>126762</v>
      </c>
      <c r="D1003" s="391" t="s">
        <v>16108</v>
      </c>
      <c r="E1003" s="328">
        <v>541.79999999999995</v>
      </c>
      <c r="F1003" s="329">
        <v>42986</v>
      </c>
      <c r="G1003" s="328">
        <v>541.79999999999995</v>
      </c>
      <c r="H1003" s="347">
        <f t="shared" si="11"/>
        <v>0</v>
      </c>
      <c r="I1003" s="331" t="s">
        <v>15214</v>
      </c>
    </row>
    <row r="1004" spans="1:9" x14ac:dyDescent="0.25">
      <c r="A1004" s="319">
        <v>42986</v>
      </c>
      <c r="B1004" s="320" t="s">
        <v>28729</v>
      </c>
      <c r="C1004" s="321">
        <v>126763</v>
      </c>
      <c r="D1004" s="390" t="s">
        <v>15291</v>
      </c>
      <c r="E1004" s="322">
        <v>576</v>
      </c>
      <c r="F1004" s="323">
        <v>42987</v>
      </c>
      <c r="G1004" s="322">
        <v>576</v>
      </c>
      <c r="H1004" s="322">
        <f t="shared" si="11"/>
        <v>0</v>
      </c>
      <c r="I1004" s="325" t="s">
        <v>15214</v>
      </c>
    </row>
    <row r="1005" spans="1:9" x14ac:dyDescent="0.25">
      <c r="A1005" s="359">
        <v>42986</v>
      </c>
      <c r="B1005" s="326" t="s">
        <v>28730</v>
      </c>
      <c r="C1005" s="327">
        <v>126764</v>
      </c>
      <c r="D1005" s="391" t="s">
        <v>19768</v>
      </c>
      <c r="E1005" s="328">
        <v>1660</v>
      </c>
      <c r="F1005" s="329">
        <v>42986</v>
      </c>
      <c r="G1005" s="328">
        <v>1660</v>
      </c>
      <c r="H1005" s="347">
        <f t="shared" si="11"/>
        <v>0</v>
      </c>
      <c r="I1005" s="331" t="s">
        <v>15214</v>
      </c>
    </row>
    <row r="1006" spans="1:9" x14ac:dyDescent="0.25">
      <c r="A1006" s="319">
        <v>42986</v>
      </c>
      <c r="B1006" s="320" t="s">
        <v>28731</v>
      </c>
      <c r="C1006" s="321">
        <v>126765</v>
      </c>
      <c r="D1006" s="390" t="s">
        <v>15320</v>
      </c>
      <c r="E1006" s="322">
        <v>2778.4</v>
      </c>
      <c r="F1006" s="323">
        <v>42987</v>
      </c>
      <c r="G1006" s="322">
        <v>2778.4</v>
      </c>
      <c r="H1006" s="322">
        <f t="shared" si="11"/>
        <v>0</v>
      </c>
      <c r="I1006" s="325" t="s">
        <v>15214</v>
      </c>
    </row>
    <row r="1007" spans="1:9" x14ac:dyDescent="0.25">
      <c r="A1007" s="359">
        <v>42986</v>
      </c>
      <c r="B1007" s="326" t="s">
        <v>28732</v>
      </c>
      <c r="C1007" s="327">
        <v>126766</v>
      </c>
      <c r="D1007" s="391" t="s">
        <v>15276</v>
      </c>
      <c r="E1007" s="328">
        <v>3840</v>
      </c>
      <c r="F1007" s="329">
        <v>42987</v>
      </c>
      <c r="G1007" s="328">
        <v>3840</v>
      </c>
      <c r="H1007" s="347">
        <f t="shared" si="11"/>
        <v>0</v>
      </c>
      <c r="I1007" s="331" t="s">
        <v>15214</v>
      </c>
    </row>
    <row r="1008" spans="1:9" x14ac:dyDescent="0.25">
      <c r="A1008" s="319">
        <v>42986</v>
      </c>
      <c r="B1008" s="320" t="s">
        <v>28733</v>
      </c>
      <c r="C1008" s="321">
        <v>126767</v>
      </c>
      <c r="D1008" s="390" t="s">
        <v>15665</v>
      </c>
      <c r="E1008" s="322">
        <v>1233.4000000000001</v>
      </c>
      <c r="F1008" s="323">
        <v>42986</v>
      </c>
      <c r="G1008" s="322">
        <v>1233.4000000000001</v>
      </c>
      <c r="H1008" s="322">
        <f t="shared" si="11"/>
        <v>0</v>
      </c>
      <c r="I1008" s="325" t="s">
        <v>15214</v>
      </c>
    </row>
    <row r="1009" spans="1:9" x14ac:dyDescent="0.25">
      <c r="A1009" s="359">
        <v>42986</v>
      </c>
      <c r="B1009" s="326" t="s">
        <v>28734</v>
      </c>
      <c r="C1009" s="327">
        <v>126768</v>
      </c>
      <c r="D1009" s="391" t="s">
        <v>15315</v>
      </c>
      <c r="E1009" s="328">
        <v>391.2</v>
      </c>
      <c r="F1009" s="329">
        <v>42986</v>
      </c>
      <c r="G1009" s="328">
        <v>391.2</v>
      </c>
      <c r="H1009" s="347">
        <f t="shared" ref="H1009:H1072" si="12">E1009-G1009</f>
        <v>0</v>
      </c>
      <c r="I1009" s="331" t="s">
        <v>15214</v>
      </c>
    </row>
    <row r="1010" spans="1:9" x14ac:dyDescent="0.25">
      <c r="A1010" s="319">
        <v>42986</v>
      </c>
      <c r="B1010" s="320" t="s">
        <v>28735</v>
      </c>
      <c r="C1010" s="321">
        <v>126769</v>
      </c>
      <c r="D1010" s="390" t="s">
        <v>15263</v>
      </c>
      <c r="E1010" s="322">
        <v>900.6</v>
      </c>
      <c r="F1010" s="323">
        <v>42986</v>
      </c>
      <c r="G1010" s="322">
        <v>900.6</v>
      </c>
      <c r="H1010" s="322">
        <f t="shared" si="12"/>
        <v>0</v>
      </c>
      <c r="I1010" s="325" t="s">
        <v>15214</v>
      </c>
    </row>
    <row r="1011" spans="1:9" x14ac:dyDescent="0.25">
      <c r="A1011" s="359">
        <v>42986</v>
      </c>
      <c r="B1011" s="326" t="s">
        <v>28736</v>
      </c>
      <c r="C1011" s="327">
        <v>126770</v>
      </c>
      <c r="D1011" s="391" t="s">
        <v>15309</v>
      </c>
      <c r="E1011" s="328">
        <v>4609.45</v>
      </c>
      <c r="F1011" s="329">
        <v>42989</v>
      </c>
      <c r="G1011" s="328">
        <v>4609.45</v>
      </c>
      <c r="H1011" s="347">
        <f t="shared" si="12"/>
        <v>0</v>
      </c>
      <c r="I1011" s="331" t="s">
        <v>15214</v>
      </c>
    </row>
    <row r="1012" spans="1:9" x14ac:dyDescent="0.25">
      <c r="A1012" s="319">
        <v>42986</v>
      </c>
      <c r="B1012" s="320" t="s">
        <v>28737</v>
      </c>
      <c r="C1012" s="321">
        <v>126771</v>
      </c>
      <c r="D1012" s="390" t="s">
        <v>15250</v>
      </c>
      <c r="E1012" s="322">
        <v>37647.050000000003</v>
      </c>
      <c r="F1012" s="323">
        <v>43022</v>
      </c>
      <c r="G1012" s="322">
        <v>37647.050000000003</v>
      </c>
      <c r="H1012" s="322">
        <f t="shared" si="12"/>
        <v>0</v>
      </c>
      <c r="I1012" s="325" t="s">
        <v>15214</v>
      </c>
    </row>
    <row r="1013" spans="1:9" x14ac:dyDescent="0.25">
      <c r="A1013" s="359">
        <v>42986</v>
      </c>
      <c r="B1013" s="326" t="s">
        <v>28738</v>
      </c>
      <c r="C1013" s="327">
        <v>126772</v>
      </c>
      <c r="D1013" s="391" t="s">
        <v>15417</v>
      </c>
      <c r="E1013" s="328">
        <v>2476.9</v>
      </c>
      <c r="F1013" s="329">
        <v>42987</v>
      </c>
      <c r="G1013" s="328">
        <v>2476.9</v>
      </c>
      <c r="H1013" s="347">
        <f t="shared" si="12"/>
        <v>0</v>
      </c>
      <c r="I1013" s="331" t="s">
        <v>15214</v>
      </c>
    </row>
    <row r="1014" spans="1:9" x14ac:dyDescent="0.25">
      <c r="A1014" s="319">
        <v>42986</v>
      </c>
      <c r="B1014" s="320" t="s">
        <v>28739</v>
      </c>
      <c r="C1014" s="321">
        <v>126773</v>
      </c>
      <c r="D1014" s="390" t="s">
        <v>15614</v>
      </c>
      <c r="E1014" s="322">
        <v>2814</v>
      </c>
      <c r="F1014" s="323">
        <v>42990</v>
      </c>
      <c r="G1014" s="322">
        <v>2814</v>
      </c>
      <c r="H1014" s="322">
        <f t="shared" si="12"/>
        <v>0</v>
      </c>
      <c r="I1014" s="325" t="s">
        <v>15214</v>
      </c>
    </row>
    <row r="1015" spans="1:9" ht="15.75" x14ac:dyDescent="0.25">
      <c r="A1015" s="359">
        <v>42986</v>
      </c>
      <c r="B1015" s="326" t="s">
        <v>28740</v>
      </c>
      <c r="C1015" s="327">
        <v>126774</v>
      </c>
      <c r="D1015" s="345" t="s">
        <v>95</v>
      </c>
      <c r="E1015" s="328">
        <v>0</v>
      </c>
      <c r="F1015" s="346" t="s">
        <v>95</v>
      </c>
      <c r="G1015" s="328">
        <v>0</v>
      </c>
      <c r="H1015" s="347">
        <f t="shared" si="12"/>
        <v>0</v>
      </c>
      <c r="I1015" s="331" t="s">
        <v>95</v>
      </c>
    </row>
    <row r="1016" spans="1:9" x14ac:dyDescent="0.25">
      <c r="A1016" s="319">
        <v>42986</v>
      </c>
      <c r="B1016" s="320" t="s">
        <v>28741</v>
      </c>
      <c r="C1016" s="321">
        <v>126775</v>
      </c>
      <c r="D1016" s="390" t="s">
        <v>16217</v>
      </c>
      <c r="E1016" s="322">
        <v>3164.8</v>
      </c>
      <c r="F1016" s="323">
        <v>42986</v>
      </c>
      <c r="G1016" s="322">
        <v>3164.8</v>
      </c>
      <c r="H1016" s="322">
        <f t="shared" si="12"/>
        <v>0</v>
      </c>
      <c r="I1016" s="325" t="s">
        <v>15214</v>
      </c>
    </row>
    <row r="1017" spans="1:9" x14ac:dyDescent="0.25">
      <c r="A1017" s="359">
        <v>42986</v>
      </c>
      <c r="B1017" s="326" t="s">
        <v>28742</v>
      </c>
      <c r="C1017" s="327">
        <v>126776</v>
      </c>
      <c r="D1017" s="391" t="s">
        <v>15220</v>
      </c>
      <c r="E1017" s="328">
        <v>2400</v>
      </c>
      <c r="F1017" s="329">
        <v>42987</v>
      </c>
      <c r="G1017" s="328">
        <v>2400</v>
      </c>
      <c r="H1017" s="347">
        <f t="shared" si="12"/>
        <v>0</v>
      </c>
      <c r="I1017" s="331" t="s">
        <v>15214</v>
      </c>
    </row>
    <row r="1018" spans="1:9" x14ac:dyDescent="0.25">
      <c r="A1018" s="319">
        <v>42986</v>
      </c>
      <c r="B1018" s="320" t="s">
        <v>28743</v>
      </c>
      <c r="C1018" s="321">
        <v>126777</v>
      </c>
      <c r="D1018" s="390" t="s">
        <v>15213</v>
      </c>
      <c r="E1018" s="322">
        <v>13441.95</v>
      </c>
      <c r="F1018" s="323">
        <v>42987</v>
      </c>
      <c r="G1018" s="322">
        <v>13441.95</v>
      </c>
      <c r="H1018" s="322">
        <f t="shared" si="12"/>
        <v>0</v>
      </c>
      <c r="I1018" s="325" t="s">
        <v>15214</v>
      </c>
    </row>
    <row r="1019" spans="1:9" x14ac:dyDescent="0.25">
      <c r="A1019" s="359">
        <v>42986</v>
      </c>
      <c r="B1019" s="326" t="s">
        <v>28744</v>
      </c>
      <c r="C1019" s="327">
        <v>126778</v>
      </c>
      <c r="D1019" s="391" t="s">
        <v>21441</v>
      </c>
      <c r="E1019" s="328">
        <v>1510</v>
      </c>
      <c r="F1019" s="329">
        <v>42987</v>
      </c>
      <c r="G1019" s="328">
        <v>1510</v>
      </c>
      <c r="H1019" s="347">
        <f t="shared" si="12"/>
        <v>0</v>
      </c>
      <c r="I1019" s="331" t="s">
        <v>15214</v>
      </c>
    </row>
    <row r="1020" spans="1:9" x14ac:dyDescent="0.25">
      <c r="A1020" s="319">
        <v>42986</v>
      </c>
      <c r="B1020" s="320" t="s">
        <v>28745</v>
      </c>
      <c r="C1020" s="321">
        <v>126779</v>
      </c>
      <c r="D1020" s="390" t="s">
        <v>15256</v>
      </c>
      <c r="E1020" s="322">
        <v>1312</v>
      </c>
      <c r="F1020" s="323">
        <v>42986</v>
      </c>
      <c r="G1020" s="322">
        <v>1312</v>
      </c>
      <c r="H1020" s="322">
        <f t="shared" si="12"/>
        <v>0</v>
      </c>
      <c r="I1020" s="325" t="s">
        <v>15214</v>
      </c>
    </row>
    <row r="1021" spans="1:9" x14ac:dyDescent="0.25">
      <c r="A1021" s="359">
        <v>42986</v>
      </c>
      <c r="B1021" s="326" t="s">
        <v>28746</v>
      </c>
      <c r="C1021" s="327">
        <v>126780</v>
      </c>
      <c r="D1021" s="391" t="s">
        <v>15568</v>
      </c>
      <c r="E1021" s="328">
        <v>10250</v>
      </c>
      <c r="F1021" s="329">
        <v>42987</v>
      </c>
      <c r="G1021" s="328">
        <v>10250</v>
      </c>
      <c r="H1021" s="347">
        <f t="shared" si="12"/>
        <v>0</v>
      </c>
      <c r="I1021" s="331" t="s">
        <v>15214</v>
      </c>
    </row>
    <row r="1022" spans="1:9" x14ac:dyDescent="0.25">
      <c r="A1022" s="319">
        <v>42986</v>
      </c>
      <c r="B1022" s="320" t="s">
        <v>28747</v>
      </c>
      <c r="C1022" s="321">
        <v>126781</v>
      </c>
      <c r="D1022" s="390" t="s">
        <v>15315</v>
      </c>
      <c r="E1022" s="322">
        <v>2113.8000000000002</v>
      </c>
      <c r="F1022" s="323">
        <v>42987</v>
      </c>
      <c r="G1022" s="322">
        <v>2113.8000000000002</v>
      </c>
      <c r="H1022" s="322">
        <f t="shared" si="12"/>
        <v>0</v>
      </c>
      <c r="I1022" s="325" t="s">
        <v>15214</v>
      </c>
    </row>
    <row r="1023" spans="1:9" x14ac:dyDescent="0.25">
      <c r="A1023" s="359">
        <v>42986</v>
      </c>
      <c r="B1023" s="326" t="s">
        <v>28748</v>
      </c>
      <c r="C1023" s="327">
        <v>126782</v>
      </c>
      <c r="D1023" s="391" t="s">
        <v>15920</v>
      </c>
      <c r="E1023" s="328">
        <v>20074.88</v>
      </c>
      <c r="F1023" s="329">
        <v>42988</v>
      </c>
      <c r="G1023" s="328">
        <v>20074.88</v>
      </c>
      <c r="H1023" s="347">
        <f t="shared" si="12"/>
        <v>0</v>
      </c>
      <c r="I1023" s="331" t="s">
        <v>15214</v>
      </c>
    </row>
    <row r="1024" spans="1:9" x14ac:dyDescent="0.25">
      <c r="A1024" s="319">
        <v>42986</v>
      </c>
      <c r="B1024" s="320" t="s">
        <v>28749</v>
      </c>
      <c r="C1024" s="321">
        <v>126783</v>
      </c>
      <c r="D1024" s="390" t="s">
        <v>15361</v>
      </c>
      <c r="E1024" s="322">
        <v>5143</v>
      </c>
      <c r="F1024" s="323">
        <v>42987</v>
      </c>
      <c r="G1024" s="322">
        <v>5143</v>
      </c>
      <c r="H1024" s="322">
        <f t="shared" si="12"/>
        <v>0</v>
      </c>
      <c r="I1024" s="325" t="s">
        <v>15214</v>
      </c>
    </row>
    <row r="1025" spans="1:9" ht="15.75" x14ac:dyDescent="0.25">
      <c r="A1025" s="359">
        <v>42986</v>
      </c>
      <c r="B1025" s="326" t="s">
        <v>28750</v>
      </c>
      <c r="C1025" s="327">
        <v>126784</v>
      </c>
      <c r="D1025" s="345" t="s">
        <v>95</v>
      </c>
      <c r="E1025" s="328">
        <v>0</v>
      </c>
      <c r="F1025" s="346" t="s">
        <v>95</v>
      </c>
      <c r="G1025" s="328">
        <v>0</v>
      </c>
      <c r="H1025" s="347">
        <f t="shared" si="12"/>
        <v>0</v>
      </c>
      <c r="I1025" s="331" t="s">
        <v>95</v>
      </c>
    </row>
    <row r="1026" spans="1:9" x14ac:dyDescent="0.25">
      <c r="A1026" s="319">
        <v>42986</v>
      </c>
      <c r="B1026" s="320" t="s">
        <v>28751</v>
      </c>
      <c r="C1026" s="321">
        <v>126785</v>
      </c>
      <c r="D1026" s="390" t="s">
        <v>15391</v>
      </c>
      <c r="E1026" s="322">
        <v>10434</v>
      </c>
      <c r="F1026" s="323">
        <v>42988</v>
      </c>
      <c r="G1026" s="322">
        <v>10434</v>
      </c>
      <c r="H1026" s="322">
        <f t="shared" si="12"/>
        <v>0</v>
      </c>
      <c r="I1026" s="325" t="s">
        <v>15214</v>
      </c>
    </row>
    <row r="1027" spans="1:9" x14ac:dyDescent="0.25">
      <c r="A1027" s="359">
        <v>42986</v>
      </c>
      <c r="B1027" s="326" t="s">
        <v>28752</v>
      </c>
      <c r="C1027" s="327">
        <v>126786</v>
      </c>
      <c r="D1027" s="391" t="s">
        <v>15594</v>
      </c>
      <c r="E1027" s="328">
        <v>1703</v>
      </c>
      <c r="F1027" s="329">
        <v>42987</v>
      </c>
      <c r="G1027" s="328">
        <v>1703</v>
      </c>
      <c r="H1027" s="347">
        <f t="shared" si="12"/>
        <v>0</v>
      </c>
      <c r="I1027" s="331" t="s">
        <v>15214</v>
      </c>
    </row>
    <row r="1028" spans="1:9" x14ac:dyDescent="0.25">
      <c r="A1028" s="319">
        <v>42986</v>
      </c>
      <c r="B1028" s="320" t="s">
        <v>28753</v>
      </c>
      <c r="C1028" s="321">
        <v>126787</v>
      </c>
      <c r="D1028" s="390" t="s">
        <v>15322</v>
      </c>
      <c r="E1028" s="322">
        <v>2817.6</v>
      </c>
      <c r="F1028" s="323">
        <v>42986</v>
      </c>
      <c r="G1028" s="322">
        <v>2817.6</v>
      </c>
      <c r="H1028" s="322">
        <f t="shared" si="12"/>
        <v>0</v>
      </c>
      <c r="I1028" s="325" t="s">
        <v>15214</v>
      </c>
    </row>
    <row r="1029" spans="1:9" x14ac:dyDescent="0.25">
      <c r="A1029" s="359">
        <v>42986</v>
      </c>
      <c r="B1029" s="326" t="s">
        <v>28754</v>
      </c>
      <c r="C1029" s="327">
        <v>126788</v>
      </c>
      <c r="D1029" s="391" t="s">
        <v>19699</v>
      </c>
      <c r="E1029" s="328">
        <v>2880</v>
      </c>
      <c r="F1029" s="329">
        <v>42986</v>
      </c>
      <c r="G1029" s="328">
        <v>2880</v>
      </c>
      <c r="H1029" s="347">
        <f t="shared" si="12"/>
        <v>0</v>
      </c>
      <c r="I1029" s="331" t="s">
        <v>15214</v>
      </c>
    </row>
    <row r="1030" spans="1:9" x14ac:dyDescent="0.25">
      <c r="A1030" s="319">
        <v>42986</v>
      </c>
      <c r="B1030" s="320" t="s">
        <v>28755</v>
      </c>
      <c r="C1030" s="321">
        <v>126789</v>
      </c>
      <c r="D1030" s="390" t="s">
        <v>19699</v>
      </c>
      <c r="E1030" s="322">
        <v>176.8</v>
      </c>
      <c r="F1030" s="323">
        <v>42986</v>
      </c>
      <c r="G1030" s="322">
        <v>176.8</v>
      </c>
      <c r="H1030" s="322">
        <f t="shared" si="12"/>
        <v>0</v>
      </c>
      <c r="I1030" s="325" t="s">
        <v>15214</v>
      </c>
    </row>
    <row r="1031" spans="1:9" x14ac:dyDescent="0.25">
      <c r="A1031" s="359">
        <v>42986</v>
      </c>
      <c r="B1031" s="326" t="s">
        <v>28756</v>
      </c>
      <c r="C1031" s="327">
        <v>126790</v>
      </c>
      <c r="D1031" s="391" t="s">
        <v>15725</v>
      </c>
      <c r="E1031" s="328">
        <v>25963.4</v>
      </c>
      <c r="F1031" s="329">
        <v>42988</v>
      </c>
      <c r="G1031" s="328">
        <v>25963.4</v>
      </c>
      <c r="H1031" s="347">
        <f t="shared" si="12"/>
        <v>0</v>
      </c>
      <c r="I1031" s="331" t="s">
        <v>15214</v>
      </c>
    </row>
    <row r="1032" spans="1:9" ht="15.75" x14ac:dyDescent="0.25">
      <c r="A1032" s="319">
        <v>42986</v>
      </c>
      <c r="B1032" s="320" t="s">
        <v>28757</v>
      </c>
      <c r="C1032" s="321">
        <v>126791</v>
      </c>
      <c r="D1032" s="332" t="s">
        <v>95</v>
      </c>
      <c r="E1032" s="322">
        <v>0</v>
      </c>
      <c r="F1032" s="333" t="s">
        <v>95</v>
      </c>
      <c r="G1032" s="322">
        <v>0</v>
      </c>
      <c r="H1032" s="322">
        <f t="shared" si="12"/>
        <v>0</v>
      </c>
      <c r="I1032" s="325" t="s">
        <v>95</v>
      </c>
    </row>
    <row r="1033" spans="1:9" x14ac:dyDescent="0.25">
      <c r="A1033" s="359">
        <v>42986</v>
      </c>
      <c r="B1033" s="326" t="s">
        <v>28758</v>
      </c>
      <c r="C1033" s="327">
        <v>126792</v>
      </c>
      <c r="D1033" s="391" t="s">
        <v>15246</v>
      </c>
      <c r="E1033" s="328">
        <v>3848.88</v>
      </c>
      <c r="F1033" s="329">
        <v>42990</v>
      </c>
      <c r="G1033" s="328">
        <v>3848.88</v>
      </c>
      <c r="H1033" s="347">
        <f t="shared" si="12"/>
        <v>0</v>
      </c>
      <c r="I1033" s="331" t="s">
        <v>15214</v>
      </c>
    </row>
    <row r="1034" spans="1:9" x14ac:dyDescent="0.25">
      <c r="A1034" s="319">
        <v>42986</v>
      </c>
      <c r="B1034" s="320" t="s">
        <v>28759</v>
      </c>
      <c r="C1034" s="321">
        <v>126793</v>
      </c>
      <c r="D1034" s="390" t="s">
        <v>15407</v>
      </c>
      <c r="E1034" s="322">
        <v>2777.2</v>
      </c>
      <c r="F1034" s="323">
        <v>42986</v>
      </c>
      <c r="G1034" s="322">
        <v>2777.2</v>
      </c>
      <c r="H1034" s="322">
        <f t="shared" si="12"/>
        <v>0</v>
      </c>
      <c r="I1034" s="325" t="s">
        <v>15214</v>
      </c>
    </row>
    <row r="1035" spans="1:9" ht="30" x14ac:dyDescent="0.25">
      <c r="A1035" s="359">
        <v>42986</v>
      </c>
      <c r="B1035" s="326" t="s">
        <v>28760</v>
      </c>
      <c r="C1035" s="327">
        <v>126794</v>
      </c>
      <c r="D1035" s="391" t="s">
        <v>15716</v>
      </c>
      <c r="E1035" s="328">
        <v>18885.150000000001</v>
      </c>
      <c r="F1035" s="329" t="s">
        <v>28761</v>
      </c>
      <c r="G1035" s="347">
        <f>18000+885.15</f>
        <v>18885.150000000001</v>
      </c>
      <c r="H1035" s="347">
        <f t="shared" si="12"/>
        <v>0</v>
      </c>
      <c r="I1035" s="331" t="s">
        <v>15214</v>
      </c>
    </row>
    <row r="1036" spans="1:9" x14ac:dyDescent="0.25">
      <c r="A1036" s="319">
        <v>42986</v>
      </c>
      <c r="B1036" s="320" t="s">
        <v>28762</v>
      </c>
      <c r="C1036" s="321">
        <v>126795</v>
      </c>
      <c r="D1036" s="390" t="s">
        <v>15566</v>
      </c>
      <c r="E1036" s="322">
        <v>595.70000000000005</v>
      </c>
      <c r="F1036" s="323">
        <v>42986</v>
      </c>
      <c r="G1036" s="322">
        <v>595.70000000000005</v>
      </c>
      <c r="H1036" s="322">
        <f t="shared" si="12"/>
        <v>0</v>
      </c>
      <c r="I1036" s="325" t="s">
        <v>15214</v>
      </c>
    </row>
    <row r="1037" spans="1:9" x14ac:dyDescent="0.25">
      <c r="A1037" s="359">
        <v>42986</v>
      </c>
      <c r="B1037" s="326" t="s">
        <v>28763</v>
      </c>
      <c r="C1037" s="327">
        <v>126796</v>
      </c>
      <c r="D1037" s="391" t="s">
        <v>15642</v>
      </c>
      <c r="E1037" s="328">
        <v>6518.4</v>
      </c>
      <c r="F1037" s="329">
        <v>42986</v>
      </c>
      <c r="G1037" s="328">
        <v>6518.4</v>
      </c>
      <c r="H1037" s="347">
        <f t="shared" si="12"/>
        <v>0</v>
      </c>
      <c r="I1037" s="331" t="s">
        <v>15214</v>
      </c>
    </row>
    <row r="1038" spans="1:9" x14ac:dyDescent="0.25">
      <c r="A1038" s="319">
        <v>42986</v>
      </c>
      <c r="B1038" s="320" t="s">
        <v>28764</v>
      </c>
      <c r="C1038" s="321">
        <v>126797</v>
      </c>
      <c r="D1038" s="390" t="s">
        <v>15433</v>
      </c>
      <c r="E1038" s="322">
        <v>1375.3</v>
      </c>
      <c r="F1038" s="323">
        <v>42986</v>
      </c>
      <c r="G1038" s="322">
        <v>1375.3</v>
      </c>
      <c r="H1038" s="322">
        <f t="shared" si="12"/>
        <v>0</v>
      </c>
      <c r="I1038" s="325" t="s">
        <v>15214</v>
      </c>
    </row>
    <row r="1039" spans="1:9" x14ac:dyDescent="0.25">
      <c r="A1039" s="359">
        <v>42986</v>
      </c>
      <c r="B1039" s="326" t="s">
        <v>28765</v>
      </c>
      <c r="C1039" s="327">
        <v>126798</v>
      </c>
      <c r="D1039" s="391" t="s">
        <v>19716</v>
      </c>
      <c r="E1039" s="328">
        <v>907.5</v>
      </c>
      <c r="F1039" s="329">
        <v>42986</v>
      </c>
      <c r="G1039" s="328">
        <v>907.5</v>
      </c>
      <c r="H1039" s="347">
        <f t="shared" si="12"/>
        <v>0</v>
      </c>
      <c r="I1039" s="331" t="s">
        <v>15214</v>
      </c>
    </row>
    <row r="1040" spans="1:9" x14ac:dyDescent="0.25">
      <c r="A1040" s="319">
        <v>42986</v>
      </c>
      <c r="B1040" s="320" t="s">
        <v>28766</v>
      </c>
      <c r="C1040" s="321">
        <v>126799</v>
      </c>
      <c r="D1040" s="390" t="s">
        <v>15810</v>
      </c>
      <c r="E1040" s="322">
        <v>678.4</v>
      </c>
      <c r="F1040" s="323">
        <v>42986</v>
      </c>
      <c r="G1040" s="322">
        <v>678.4</v>
      </c>
      <c r="H1040" s="322">
        <f t="shared" si="12"/>
        <v>0</v>
      </c>
      <c r="I1040" s="325" t="s">
        <v>15214</v>
      </c>
    </row>
    <row r="1041" spans="1:9" x14ac:dyDescent="0.25">
      <c r="A1041" s="359">
        <v>42986</v>
      </c>
      <c r="B1041" s="326" t="s">
        <v>28767</v>
      </c>
      <c r="C1041" s="327">
        <v>126800</v>
      </c>
      <c r="D1041" s="391" t="s">
        <v>16958</v>
      </c>
      <c r="E1041" s="328">
        <v>2719.6</v>
      </c>
      <c r="F1041" s="329">
        <v>42987</v>
      </c>
      <c r="G1041" s="328">
        <v>2719.6</v>
      </c>
      <c r="H1041" s="347">
        <f t="shared" si="12"/>
        <v>0</v>
      </c>
      <c r="I1041" s="331" t="s">
        <v>15214</v>
      </c>
    </row>
    <row r="1042" spans="1:9" x14ac:dyDescent="0.25">
      <c r="A1042" s="319">
        <v>42986</v>
      </c>
      <c r="B1042" s="320" t="s">
        <v>28768</v>
      </c>
      <c r="C1042" s="321">
        <v>126801</v>
      </c>
      <c r="D1042" s="390" t="s">
        <v>15444</v>
      </c>
      <c r="E1042" s="322">
        <v>1918.8</v>
      </c>
      <c r="F1042" s="323">
        <v>42987</v>
      </c>
      <c r="G1042" s="322">
        <v>1918.8</v>
      </c>
      <c r="H1042" s="322">
        <f t="shared" si="12"/>
        <v>0</v>
      </c>
      <c r="I1042" s="325" t="s">
        <v>15214</v>
      </c>
    </row>
    <row r="1043" spans="1:9" x14ac:dyDescent="0.25">
      <c r="A1043" s="359">
        <v>42986</v>
      </c>
      <c r="B1043" s="326" t="s">
        <v>28769</v>
      </c>
      <c r="C1043" s="327">
        <v>126802</v>
      </c>
      <c r="D1043" s="391" t="s">
        <v>15315</v>
      </c>
      <c r="E1043" s="328">
        <v>371.3</v>
      </c>
      <c r="F1043" s="329">
        <v>42986</v>
      </c>
      <c r="G1043" s="328">
        <v>371.3</v>
      </c>
      <c r="H1043" s="347">
        <f t="shared" si="12"/>
        <v>0</v>
      </c>
      <c r="I1043" s="331" t="s">
        <v>15214</v>
      </c>
    </row>
    <row r="1044" spans="1:9" x14ac:dyDescent="0.25">
      <c r="A1044" s="319">
        <v>42986</v>
      </c>
      <c r="B1044" s="320" t="s">
        <v>28770</v>
      </c>
      <c r="C1044" s="321">
        <v>126803</v>
      </c>
      <c r="D1044" s="390" t="s">
        <v>16129</v>
      </c>
      <c r="E1044" s="322">
        <v>5896.2</v>
      </c>
      <c r="F1044" s="323">
        <v>42993</v>
      </c>
      <c r="G1044" s="322">
        <v>5896.2</v>
      </c>
      <c r="H1044" s="322">
        <f t="shared" si="12"/>
        <v>0</v>
      </c>
      <c r="I1044" s="325" t="s">
        <v>15214</v>
      </c>
    </row>
    <row r="1045" spans="1:9" x14ac:dyDescent="0.25">
      <c r="A1045" s="359">
        <v>42986</v>
      </c>
      <c r="B1045" s="326" t="s">
        <v>28771</v>
      </c>
      <c r="C1045" s="327">
        <v>126804</v>
      </c>
      <c r="D1045" s="391" t="s">
        <v>15246</v>
      </c>
      <c r="E1045" s="328">
        <v>239067.2</v>
      </c>
      <c r="F1045" s="329">
        <v>42990</v>
      </c>
      <c r="G1045" s="328">
        <v>239067.2</v>
      </c>
      <c r="H1045" s="347">
        <f t="shared" si="12"/>
        <v>0</v>
      </c>
      <c r="I1045" s="331" t="s">
        <v>15214</v>
      </c>
    </row>
    <row r="1046" spans="1:9" x14ac:dyDescent="0.25">
      <c r="A1046" s="319">
        <v>42986</v>
      </c>
      <c r="B1046" s="320" t="s">
        <v>28772</v>
      </c>
      <c r="C1046" s="321">
        <v>126805</v>
      </c>
      <c r="D1046" s="390" t="s">
        <v>15246</v>
      </c>
      <c r="E1046" s="322">
        <v>4173.6000000000004</v>
      </c>
      <c r="F1046" s="323">
        <v>42990</v>
      </c>
      <c r="G1046" s="322">
        <v>4173.6000000000004</v>
      </c>
      <c r="H1046" s="322">
        <f t="shared" si="12"/>
        <v>0</v>
      </c>
      <c r="I1046" s="325" t="s">
        <v>15214</v>
      </c>
    </row>
    <row r="1047" spans="1:9" x14ac:dyDescent="0.25">
      <c r="A1047" s="359">
        <v>42986</v>
      </c>
      <c r="B1047" s="326" t="s">
        <v>28773</v>
      </c>
      <c r="C1047" s="327">
        <v>126806</v>
      </c>
      <c r="D1047" s="391" t="s">
        <v>15298</v>
      </c>
      <c r="E1047" s="328">
        <v>1205.4000000000001</v>
      </c>
      <c r="F1047" s="329">
        <v>42986</v>
      </c>
      <c r="G1047" s="328">
        <v>1205.4000000000001</v>
      </c>
      <c r="H1047" s="347">
        <f t="shared" si="12"/>
        <v>0</v>
      </c>
      <c r="I1047" s="331" t="s">
        <v>15214</v>
      </c>
    </row>
    <row r="1048" spans="1:9" x14ac:dyDescent="0.25">
      <c r="A1048" s="319">
        <v>42986</v>
      </c>
      <c r="B1048" s="320" t="s">
        <v>28774</v>
      </c>
      <c r="C1048" s="321">
        <v>126807</v>
      </c>
      <c r="D1048" s="390" t="s">
        <v>15365</v>
      </c>
      <c r="E1048" s="322">
        <v>419601</v>
      </c>
      <c r="F1048" s="323">
        <v>42999</v>
      </c>
      <c r="G1048" s="322">
        <v>419601</v>
      </c>
      <c r="H1048" s="322">
        <f t="shared" si="12"/>
        <v>0</v>
      </c>
      <c r="I1048" s="325" t="s">
        <v>15214</v>
      </c>
    </row>
    <row r="1049" spans="1:9" x14ac:dyDescent="0.25">
      <c r="A1049" s="359">
        <v>42986</v>
      </c>
      <c r="B1049" s="326" t="s">
        <v>28775</v>
      </c>
      <c r="C1049" s="327">
        <v>126808</v>
      </c>
      <c r="D1049" s="391" t="s">
        <v>15890</v>
      </c>
      <c r="E1049" s="328">
        <v>10564</v>
      </c>
      <c r="F1049" s="329">
        <v>42990</v>
      </c>
      <c r="G1049" s="328">
        <v>10564</v>
      </c>
      <c r="H1049" s="347">
        <f t="shared" si="12"/>
        <v>0</v>
      </c>
      <c r="I1049" s="331" t="s">
        <v>15214</v>
      </c>
    </row>
    <row r="1050" spans="1:9" x14ac:dyDescent="0.25">
      <c r="A1050" s="319">
        <v>42986</v>
      </c>
      <c r="B1050" s="320" t="s">
        <v>28776</v>
      </c>
      <c r="C1050" s="321">
        <v>126809</v>
      </c>
      <c r="D1050" s="390" t="s">
        <v>17235</v>
      </c>
      <c r="E1050" s="322">
        <v>1440</v>
      </c>
      <c r="F1050" s="323">
        <v>42987</v>
      </c>
      <c r="G1050" s="322">
        <v>1440</v>
      </c>
      <c r="H1050" s="322">
        <f t="shared" si="12"/>
        <v>0</v>
      </c>
      <c r="I1050" s="325" t="s">
        <v>15214</v>
      </c>
    </row>
    <row r="1051" spans="1:9" x14ac:dyDescent="0.25">
      <c r="A1051" s="359">
        <v>42986</v>
      </c>
      <c r="B1051" s="326" t="s">
        <v>28777</v>
      </c>
      <c r="C1051" s="327">
        <v>126810</v>
      </c>
      <c r="D1051" s="391" t="s">
        <v>15220</v>
      </c>
      <c r="E1051" s="328">
        <v>5539.2</v>
      </c>
      <c r="F1051" s="329">
        <v>42987</v>
      </c>
      <c r="G1051" s="328">
        <v>5539.2</v>
      </c>
      <c r="H1051" s="347">
        <f t="shared" si="12"/>
        <v>0</v>
      </c>
      <c r="I1051" s="331" t="s">
        <v>15214</v>
      </c>
    </row>
    <row r="1052" spans="1:9" ht="15.75" x14ac:dyDescent="0.25">
      <c r="A1052" s="319">
        <v>42986</v>
      </c>
      <c r="B1052" s="320" t="s">
        <v>28778</v>
      </c>
      <c r="C1052" s="321">
        <v>126811</v>
      </c>
      <c r="D1052" s="332" t="s">
        <v>95</v>
      </c>
      <c r="E1052" s="322">
        <v>0</v>
      </c>
      <c r="F1052" s="333" t="s">
        <v>95</v>
      </c>
      <c r="G1052" s="322">
        <v>0</v>
      </c>
      <c r="H1052" s="322">
        <f t="shared" si="12"/>
        <v>0</v>
      </c>
      <c r="I1052" s="325" t="s">
        <v>95</v>
      </c>
    </row>
    <row r="1053" spans="1:9" x14ac:dyDescent="0.25">
      <c r="A1053" s="359">
        <v>42986</v>
      </c>
      <c r="B1053" s="326" t="s">
        <v>28779</v>
      </c>
      <c r="C1053" s="327">
        <v>126812</v>
      </c>
      <c r="D1053" s="391" t="s">
        <v>15541</v>
      </c>
      <c r="E1053" s="328">
        <v>2232.8000000000002</v>
      </c>
      <c r="F1053" s="329">
        <v>42987</v>
      </c>
      <c r="G1053" s="328">
        <v>2232.8000000000002</v>
      </c>
      <c r="H1053" s="347">
        <f t="shared" si="12"/>
        <v>0</v>
      </c>
      <c r="I1053" s="331" t="s">
        <v>15214</v>
      </c>
    </row>
    <row r="1054" spans="1:9" x14ac:dyDescent="0.25">
      <c r="A1054" s="319">
        <v>42986</v>
      </c>
      <c r="B1054" s="320" t="s">
        <v>28780</v>
      </c>
      <c r="C1054" s="321">
        <v>126813</v>
      </c>
      <c r="D1054" s="390" t="s">
        <v>15423</v>
      </c>
      <c r="E1054" s="322">
        <v>3018.4</v>
      </c>
      <c r="F1054" s="323">
        <v>42986</v>
      </c>
      <c r="G1054" s="322">
        <v>3018.4</v>
      </c>
      <c r="H1054" s="322">
        <f t="shared" si="12"/>
        <v>0</v>
      </c>
      <c r="I1054" s="325" t="s">
        <v>15214</v>
      </c>
    </row>
    <row r="1055" spans="1:9" x14ac:dyDescent="0.25">
      <c r="A1055" s="359">
        <v>42986</v>
      </c>
      <c r="B1055" s="326" t="s">
        <v>28781</v>
      </c>
      <c r="C1055" s="327">
        <v>126814</v>
      </c>
      <c r="D1055" s="391" t="s">
        <v>15681</v>
      </c>
      <c r="E1055" s="328">
        <v>1617.6</v>
      </c>
      <c r="F1055" s="329">
        <v>42986</v>
      </c>
      <c r="G1055" s="328">
        <v>1617.6</v>
      </c>
      <c r="H1055" s="347">
        <f t="shared" si="12"/>
        <v>0</v>
      </c>
      <c r="I1055" s="331" t="s">
        <v>15214</v>
      </c>
    </row>
    <row r="1056" spans="1:9" ht="15.75" x14ac:dyDescent="0.25">
      <c r="A1056" s="319">
        <v>42986</v>
      </c>
      <c r="B1056" s="320" t="s">
        <v>28782</v>
      </c>
      <c r="C1056" s="321">
        <v>126815</v>
      </c>
      <c r="D1056" s="332" t="s">
        <v>95</v>
      </c>
      <c r="E1056" s="322">
        <v>0</v>
      </c>
      <c r="F1056" s="333" t="s">
        <v>95</v>
      </c>
      <c r="G1056" s="322">
        <v>0</v>
      </c>
      <c r="H1056" s="322">
        <f t="shared" si="12"/>
        <v>0</v>
      </c>
      <c r="I1056" s="398" t="s">
        <v>28783</v>
      </c>
    </row>
    <row r="1057" spans="1:9" x14ac:dyDescent="0.25">
      <c r="A1057" s="359">
        <v>42987</v>
      </c>
      <c r="B1057" s="326" t="s">
        <v>28784</v>
      </c>
      <c r="C1057" s="327">
        <v>126816</v>
      </c>
      <c r="D1057" s="391" t="s">
        <v>21386</v>
      </c>
      <c r="E1057" s="328">
        <v>9298.2999999999993</v>
      </c>
      <c r="F1057" s="329">
        <v>42988</v>
      </c>
      <c r="G1057" s="328">
        <v>9298.2999999999993</v>
      </c>
      <c r="H1057" s="347">
        <f t="shared" si="12"/>
        <v>0</v>
      </c>
      <c r="I1057" s="331" t="s">
        <v>15214</v>
      </c>
    </row>
    <row r="1058" spans="1:9" x14ac:dyDescent="0.25">
      <c r="A1058" s="319">
        <v>42987</v>
      </c>
      <c r="B1058" s="320" t="s">
        <v>28785</v>
      </c>
      <c r="C1058" s="321">
        <v>126817</v>
      </c>
      <c r="D1058" s="390" t="s">
        <v>15213</v>
      </c>
      <c r="E1058" s="322">
        <v>53731.85</v>
      </c>
      <c r="F1058" s="323">
        <v>42989</v>
      </c>
      <c r="G1058" s="322">
        <v>53731.85</v>
      </c>
      <c r="H1058" s="322">
        <f t="shared" si="12"/>
        <v>0</v>
      </c>
      <c r="I1058" s="325" t="s">
        <v>15214</v>
      </c>
    </row>
    <row r="1059" spans="1:9" x14ac:dyDescent="0.25">
      <c r="A1059" s="359">
        <v>42987</v>
      </c>
      <c r="B1059" s="326" t="s">
        <v>28786</v>
      </c>
      <c r="C1059" s="327">
        <v>126818</v>
      </c>
      <c r="D1059" s="391" t="s">
        <v>15216</v>
      </c>
      <c r="E1059" s="328">
        <v>1761.2</v>
      </c>
      <c r="F1059" s="329">
        <v>42987</v>
      </c>
      <c r="G1059" s="328">
        <v>1761.2</v>
      </c>
      <c r="H1059" s="347">
        <f t="shared" si="12"/>
        <v>0</v>
      </c>
      <c r="I1059" s="331" t="s">
        <v>15214</v>
      </c>
    </row>
    <row r="1060" spans="1:9" x14ac:dyDescent="0.25">
      <c r="A1060" s="319">
        <v>42987</v>
      </c>
      <c r="B1060" s="320" t="s">
        <v>28787</v>
      </c>
      <c r="C1060" s="321">
        <v>126819</v>
      </c>
      <c r="D1060" s="390" t="s">
        <v>15315</v>
      </c>
      <c r="E1060" s="322">
        <v>3445.2</v>
      </c>
      <c r="F1060" s="323">
        <v>42987</v>
      </c>
      <c r="G1060" s="322">
        <v>3445.2</v>
      </c>
      <c r="H1060" s="322">
        <f t="shared" si="12"/>
        <v>0</v>
      </c>
      <c r="I1060" s="325" t="s">
        <v>15214</v>
      </c>
    </row>
    <row r="1061" spans="1:9" x14ac:dyDescent="0.25">
      <c r="A1061" s="359">
        <v>42987</v>
      </c>
      <c r="B1061" s="326" t="s">
        <v>28788</v>
      </c>
      <c r="C1061" s="327">
        <v>126820</v>
      </c>
      <c r="D1061" s="391" t="s">
        <v>15315</v>
      </c>
      <c r="E1061" s="328">
        <v>437.5</v>
      </c>
      <c r="F1061" s="329">
        <v>42987</v>
      </c>
      <c r="G1061" s="328">
        <v>437.5</v>
      </c>
      <c r="H1061" s="347">
        <f t="shared" si="12"/>
        <v>0</v>
      </c>
      <c r="I1061" s="331" t="s">
        <v>15214</v>
      </c>
    </row>
    <row r="1062" spans="1:9" x14ac:dyDescent="0.25">
      <c r="A1062" s="319">
        <v>42987</v>
      </c>
      <c r="B1062" s="320" t="s">
        <v>28789</v>
      </c>
      <c r="C1062" s="321">
        <v>126821</v>
      </c>
      <c r="D1062" s="390" t="s">
        <v>15530</v>
      </c>
      <c r="E1062" s="322">
        <v>5605.9</v>
      </c>
      <c r="F1062" s="323">
        <v>42987</v>
      </c>
      <c r="G1062" s="322">
        <v>5605.9</v>
      </c>
      <c r="H1062" s="322">
        <f t="shared" si="12"/>
        <v>0</v>
      </c>
      <c r="I1062" s="325" t="s">
        <v>15214</v>
      </c>
    </row>
    <row r="1063" spans="1:9" x14ac:dyDescent="0.25">
      <c r="A1063" s="359">
        <v>42987</v>
      </c>
      <c r="B1063" s="326" t="s">
        <v>28790</v>
      </c>
      <c r="C1063" s="327">
        <v>126822</v>
      </c>
      <c r="D1063" s="391" t="s">
        <v>15230</v>
      </c>
      <c r="E1063" s="328">
        <v>26057.7</v>
      </c>
      <c r="F1063" s="329">
        <v>42990</v>
      </c>
      <c r="G1063" s="328">
        <v>26057.7</v>
      </c>
      <c r="H1063" s="347">
        <f t="shared" si="12"/>
        <v>0</v>
      </c>
      <c r="I1063" s="331" t="s">
        <v>15214</v>
      </c>
    </row>
    <row r="1064" spans="1:9" x14ac:dyDescent="0.25">
      <c r="A1064" s="319">
        <v>42987</v>
      </c>
      <c r="B1064" s="320" t="s">
        <v>28791</v>
      </c>
      <c r="C1064" s="321">
        <v>126823</v>
      </c>
      <c r="D1064" s="390" t="s">
        <v>15407</v>
      </c>
      <c r="E1064" s="322">
        <v>5110</v>
      </c>
      <c r="F1064" s="323">
        <v>42987</v>
      </c>
      <c r="G1064" s="322">
        <v>5110</v>
      </c>
      <c r="H1064" s="322">
        <f t="shared" si="12"/>
        <v>0</v>
      </c>
      <c r="I1064" s="325" t="s">
        <v>15214</v>
      </c>
    </row>
    <row r="1065" spans="1:9" x14ac:dyDescent="0.25">
      <c r="A1065" s="359">
        <v>42987</v>
      </c>
      <c r="B1065" s="326" t="s">
        <v>28792</v>
      </c>
      <c r="C1065" s="327">
        <v>126824</v>
      </c>
      <c r="D1065" s="391" t="s">
        <v>15553</v>
      </c>
      <c r="E1065" s="328">
        <v>34444.550000000003</v>
      </c>
      <c r="F1065" s="329">
        <v>42987</v>
      </c>
      <c r="G1065" s="328">
        <v>34444.550000000003</v>
      </c>
      <c r="H1065" s="347">
        <f t="shared" si="12"/>
        <v>0</v>
      </c>
      <c r="I1065" s="331" t="s">
        <v>15214</v>
      </c>
    </row>
    <row r="1066" spans="1:9" x14ac:dyDescent="0.25">
      <c r="A1066" s="319">
        <v>42987</v>
      </c>
      <c r="B1066" s="320" t="s">
        <v>28793</v>
      </c>
      <c r="C1066" s="321">
        <v>126825</v>
      </c>
      <c r="D1066" s="390" t="s">
        <v>15330</v>
      </c>
      <c r="E1066" s="322">
        <v>3473</v>
      </c>
      <c r="F1066" s="323">
        <v>42987</v>
      </c>
      <c r="G1066" s="322">
        <v>3473</v>
      </c>
      <c r="H1066" s="322">
        <f t="shared" si="12"/>
        <v>0</v>
      </c>
      <c r="I1066" s="325" t="s">
        <v>15214</v>
      </c>
    </row>
    <row r="1067" spans="1:9" x14ac:dyDescent="0.25">
      <c r="A1067" s="359">
        <v>42987</v>
      </c>
      <c r="B1067" s="326" t="s">
        <v>28794</v>
      </c>
      <c r="C1067" s="327">
        <v>126826</v>
      </c>
      <c r="D1067" s="391" t="s">
        <v>15242</v>
      </c>
      <c r="E1067" s="328">
        <v>9768</v>
      </c>
      <c r="F1067" s="329">
        <v>42988</v>
      </c>
      <c r="G1067" s="328">
        <v>9768</v>
      </c>
      <c r="H1067" s="347">
        <f t="shared" si="12"/>
        <v>0</v>
      </c>
      <c r="I1067" s="331" t="s">
        <v>15214</v>
      </c>
    </row>
    <row r="1068" spans="1:9" ht="15.75" x14ac:dyDescent="0.25">
      <c r="A1068" s="319">
        <v>42987</v>
      </c>
      <c r="B1068" s="320" t="s">
        <v>28795</v>
      </c>
      <c r="C1068" s="321">
        <v>126827</v>
      </c>
      <c r="D1068" s="332" t="s">
        <v>95</v>
      </c>
      <c r="E1068" s="322">
        <v>0</v>
      </c>
      <c r="F1068" s="333" t="s">
        <v>95</v>
      </c>
      <c r="G1068" s="322">
        <v>0</v>
      </c>
      <c r="H1068" s="322">
        <f t="shared" si="12"/>
        <v>0</v>
      </c>
      <c r="I1068" s="325" t="s">
        <v>95</v>
      </c>
    </row>
    <row r="1069" spans="1:9" x14ac:dyDescent="0.25">
      <c r="A1069" s="359">
        <v>42987</v>
      </c>
      <c r="B1069" s="326" t="s">
        <v>28796</v>
      </c>
      <c r="C1069" s="327">
        <v>126828</v>
      </c>
      <c r="D1069" s="391" t="s">
        <v>15232</v>
      </c>
      <c r="E1069" s="328">
        <v>16047.9</v>
      </c>
      <c r="F1069" s="329">
        <v>42992</v>
      </c>
      <c r="G1069" s="328">
        <v>16047.9</v>
      </c>
      <c r="H1069" s="347">
        <f t="shared" si="12"/>
        <v>0</v>
      </c>
      <c r="I1069" s="331" t="s">
        <v>15214</v>
      </c>
    </row>
    <row r="1070" spans="1:9" x14ac:dyDescent="0.25">
      <c r="A1070" s="319">
        <v>42987</v>
      </c>
      <c r="B1070" s="320" t="s">
        <v>28797</v>
      </c>
      <c r="C1070" s="321">
        <v>126829</v>
      </c>
      <c r="D1070" s="390" t="s">
        <v>15315</v>
      </c>
      <c r="E1070" s="322">
        <v>2902.4</v>
      </c>
      <c r="F1070" s="323">
        <v>42987</v>
      </c>
      <c r="G1070" s="322">
        <v>2902.4</v>
      </c>
      <c r="H1070" s="322">
        <f t="shared" si="12"/>
        <v>0</v>
      </c>
      <c r="I1070" s="325" t="s">
        <v>15214</v>
      </c>
    </row>
    <row r="1071" spans="1:9" x14ac:dyDescent="0.25">
      <c r="A1071" s="359">
        <v>42987</v>
      </c>
      <c r="B1071" s="326" t="s">
        <v>28798</v>
      </c>
      <c r="C1071" s="327">
        <v>126830</v>
      </c>
      <c r="D1071" s="391" t="s">
        <v>15596</v>
      </c>
      <c r="E1071" s="328">
        <v>1200</v>
      </c>
      <c r="F1071" s="329">
        <v>42987</v>
      </c>
      <c r="G1071" s="328">
        <v>1200</v>
      </c>
      <c r="H1071" s="347">
        <f t="shared" si="12"/>
        <v>0</v>
      </c>
      <c r="I1071" s="331" t="s">
        <v>15214</v>
      </c>
    </row>
    <row r="1072" spans="1:9" ht="30" x14ac:dyDescent="0.25">
      <c r="A1072" s="319">
        <v>42987</v>
      </c>
      <c r="B1072" s="320" t="s">
        <v>28799</v>
      </c>
      <c r="C1072" s="321">
        <v>126831</v>
      </c>
      <c r="D1072" s="390" t="s">
        <v>15234</v>
      </c>
      <c r="E1072" s="322">
        <v>10349</v>
      </c>
      <c r="F1072" s="323" t="s">
        <v>28800</v>
      </c>
      <c r="G1072" s="334">
        <f>5000+5349</f>
        <v>10349</v>
      </c>
      <c r="H1072" s="334">
        <f t="shared" si="12"/>
        <v>0</v>
      </c>
      <c r="I1072" s="325" t="s">
        <v>15214</v>
      </c>
    </row>
    <row r="1073" spans="1:9" x14ac:dyDescent="0.25">
      <c r="A1073" s="359">
        <v>42987</v>
      </c>
      <c r="B1073" s="326" t="s">
        <v>28801</v>
      </c>
      <c r="C1073" s="327">
        <v>126832</v>
      </c>
      <c r="D1073" s="391" t="s">
        <v>15228</v>
      </c>
      <c r="E1073" s="328">
        <v>11610.6</v>
      </c>
      <c r="F1073" s="329">
        <v>42987</v>
      </c>
      <c r="G1073" s="328">
        <v>11610.6</v>
      </c>
      <c r="H1073" s="347">
        <f t="shared" ref="H1073:H1136" si="13">E1073-G1073</f>
        <v>0</v>
      </c>
      <c r="I1073" s="331" t="s">
        <v>15214</v>
      </c>
    </row>
    <row r="1074" spans="1:9" x14ac:dyDescent="0.25">
      <c r="A1074" s="319">
        <v>42987</v>
      </c>
      <c r="B1074" s="320" t="s">
        <v>28802</v>
      </c>
      <c r="C1074" s="321">
        <v>126833</v>
      </c>
      <c r="D1074" s="390" t="s">
        <v>15238</v>
      </c>
      <c r="E1074" s="322">
        <v>12447.9</v>
      </c>
      <c r="F1074" s="323">
        <v>42990</v>
      </c>
      <c r="G1074" s="322">
        <v>12447.9</v>
      </c>
      <c r="H1074" s="322">
        <f t="shared" si="13"/>
        <v>0</v>
      </c>
      <c r="I1074" s="325" t="s">
        <v>15214</v>
      </c>
    </row>
    <row r="1075" spans="1:9" x14ac:dyDescent="0.25">
      <c r="A1075" s="359">
        <v>42987</v>
      </c>
      <c r="B1075" s="326" t="s">
        <v>28803</v>
      </c>
      <c r="C1075" s="327">
        <v>126834</v>
      </c>
      <c r="D1075" s="391" t="s">
        <v>17462</v>
      </c>
      <c r="E1075" s="328">
        <v>7956.6</v>
      </c>
      <c r="F1075" s="329">
        <v>42987</v>
      </c>
      <c r="G1075" s="328">
        <v>7956.6</v>
      </c>
      <c r="H1075" s="347">
        <f t="shared" si="13"/>
        <v>0</v>
      </c>
      <c r="I1075" s="331" t="s">
        <v>15214</v>
      </c>
    </row>
    <row r="1076" spans="1:9" x14ac:dyDescent="0.25">
      <c r="A1076" s="319">
        <v>42987</v>
      </c>
      <c r="B1076" s="320" t="s">
        <v>28804</v>
      </c>
      <c r="C1076" s="321">
        <v>126835</v>
      </c>
      <c r="D1076" s="390" t="s">
        <v>15236</v>
      </c>
      <c r="E1076" s="322">
        <v>9456.2999999999993</v>
      </c>
      <c r="F1076" s="323">
        <v>42990</v>
      </c>
      <c r="G1076" s="322">
        <v>9456.2999999999993</v>
      </c>
      <c r="H1076" s="322">
        <f t="shared" si="13"/>
        <v>0</v>
      </c>
      <c r="I1076" s="325" t="s">
        <v>15214</v>
      </c>
    </row>
    <row r="1077" spans="1:9" x14ac:dyDescent="0.25">
      <c r="A1077" s="359">
        <v>42987</v>
      </c>
      <c r="B1077" s="326" t="s">
        <v>28805</v>
      </c>
      <c r="C1077" s="327">
        <v>126836</v>
      </c>
      <c r="D1077" s="391" t="s">
        <v>15748</v>
      </c>
      <c r="E1077" s="328">
        <v>1532.1</v>
      </c>
      <c r="F1077" s="329">
        <v>42987</v>
      </c>
      <c r="G1077" s="328">
        <v>1532.1</v>
      </c>
      <c r="H1077" s="347">
        <f t="shared" si="13"/>
        <v>0</v>
      </c>
      <c r="I1077" s="331" t="s">
        <v>15214</v>
      </c>
    </row>
    <row r="1078" spans="1:9" x14ac:dyDescent="0.25">
      <c r="A1078" s="319">
        <v>42987</v>
      </c>
      <c r="B1078" s="320" t="s">
        <v>28806</v>
      </c>
      <c r="C1078" s="321">
        <v>126837</v>
      </c>
      <c r="D1078" s="390" t="s">
        <v>15332</v>
      </c>
      <c r="E1078" s="322">
        <v>5137.6000000000004</v>
      </c>
      <c r="F1078" s="323">
        <v>42987</v>
      </c>
      <c r="G1078" s="322">
        <v>5137.6000000000004</v>
      </c>
      <c r="H1078" s="322">
        <f t="shared" si="13"/>
        <v>0</v>
      </c>
      <c r="I1078" s="325" t="s">
        <v>15214</v>
      </c>
    </row>
    <row r="1079" spans="1:9" x14ac:dyDescent="0.25">
      <c r="A1079" s="359">
        <v>42987</v>
      </c>
      <c r="B1079" s="326" t="s">
        <v>28807</v>
      </c>
      <c r="C1079" s="327">
        <v>126838</v>
      </c>
      <c r="D1079" s="391" t="s">
        <v>15240</v>
      </c>
      <c r="E1079" s="328">
        <v>1206.4000000000001</v>
      </c>
      <c r="F1079" s="329">
        <v>42989</v>
      </c>
      <c r="G1079" s="328">
        <v>1206.4000000000001</v>
      </c>
      <c r="H1079" s="347">
        <f t="shared" si="13"/>
        <v>0</v>
      </c>
      <c r="I1079" s="331" t="s">
        <v>15214</v>
      </c>
    </row>
    <row r="1080" spans="1:9" x14ac:dyDescent="0.25">
      <c r="A1080" s="319">
        <v>42987</v>
      </c>
      <c r="B1080" s="320" t="s">
        <v>28808</v>
      </c>
      <c r="C1080" s="321">
        <v>126839</v>
      </c>
      <c r="D1080" s="390" t="s">
        <v>15223</v>
      </c>
      <c r="E1080" s="322">
        <v>61245</v>
      </c>
      <c r="F1080" s="323">
        <v>43010</v>
      </c>
      <c r="G1080" s="322">
        <v>61245</v>
      </c>
      <c r="H1080" s="322">
        <f t="shared" si="13"/>
        <v>0</v>
      </c>
      <c r="I1080" s="325" t="s">
        <v>15214</v>
      </c>
    </row>
    <row r="1081" spans="1:9" x14ac:dyDescent="0.25">
      <c r="A1081" s="359">
        <v>42987</v>
      </c>
      <c r="B1081" s="326" t="s">
        <v>28809</v>
      </c>
      <c r="C1081" s="327">
        <v>126840</v>
      </c>
      <c r="D1081" s="391" t="s">
        <v>15315</v>
      </c>
      <c r="E1081" s="328">
        <v>636</v>
      </c>
      <c r="F1081" s="329">
        <v>39334</v>
      </c>
      <c r="G1081" s="328">
        <v>636</v>
      </c>
      <c r="H1081" s="347">
        <f t="shared" si="13"/>
        <v>0</v>
      </c>
      <c r="I1081" s="331" t="s">
        <v>15214</v>
      </c>
    </row>
    <row r="1082" spans="1:9" ht="15.75" x14ac:dyDescent="0.25">
      <c r="A1082" s="319">
        <v>42987</v>
      </c>
      <c r="B1082" s="320" t="s">
        <v>28810</v>
      </c>
      <c r="C1082" s="321">
        <v>126841</v>
      </c>
      <c r="D1082" s="332" t="s">
        <v>95</v>
      </c>
      <c r="E1082" s="322">
        <v>0</v>
      </c>
      <c r="F1082" s="333" t="s">
        <v>95</v>
      </c>
      <c r="G1082" s="322">
        <v>0</v>
      </c>
      <c r="H1082" s="322">
        <f t="shared" si="13"/>
        <v>0</v>
      </c>
      <c r="I1082" s="325" t="s">
        <v>95</v>
      </c>
    </row>
    <row r="1083" spans="1:9" x14ac:dyDescent="0.25">
      <c r="A1083" s="359">
        <v>42987</v>
      </c>
      <c r="B1083" s="326" t="s">
        <v>28811</v>
      </c>
      <c r="C1083" s="327">
        <v>126842</v>
      </c>
      <c r="D1083" s="391" t="s">
        <v>16732</v>
      </c>
      <c r="E1083" s="328">
        <v>29539.65</v>
      </c>
      <c r="F1083" s="329">
        <v>42987</v>
      </c>
      <c r="G1083" s="328">
        <v>29539.65</v>
      </c>
      <c r="H1083" s="347">
        <f t="shared" si="13"/>
        <v>0</v>
      </c>
      <c r="I1083" s="331" t="s">
        <v>15214</v>
      </c>
    </row>
    <row r="1084" spans="1:9" x14ac:dyDescent="0.25">
      <c r="A1084" s="319">
        <v>42987</v>
      </c>
      <c r="B1084" s="320" t="s">
        <v>28812</v>
      </c>
      <c r="C1084" s="321">
        <v>126843</v>
      </c>
      <c r="D1084" s="390" t="s">
        <v>15272</v>
      </c>
      <c r="E1084" s="322">
        <v>29354</v>
      </c>
      <c r="F1084" s="323">
        <v>42987</v>
      </c>
      <c r="G1084" s="322">
        <v>29354</v>
      </c>
      <c r="H1084" s="322">
        <f t="shared" si="13"/>
        <v>0</v>
      </c>
      <c r="I1084" s="325" t="s">
        <v>15214</v>
      </c>
    </row>
    <row r="1085" spans="1:9" x14ac:dyDescent="0.25">
      <c r="A1085" s="359">
        <v>42987</v>
      </c>
      <c r="B1085" s="326" t="s">
        <v>28813</v>
      </c>
      <c r="C1085" s="327">
        <v>126844</v>
      </c>
      <c r="D1085" s="391" t="s">
        <v>15668</v>
      </c>
      <c r="E1085" s="328">
        <v>21918.9</v>
      </c>
      <c r="F1085" s="329">
        <v>42990</v>
      </c>
      <c r="G1085" s="328">
        <v>21918.9</v>
      </c>
      <c r="H1085" s="347">
        <f t="shared" si="13"/>
        <v>0</v>
      </c>
      <c r="I1085" s="331" t="s">
        <v>15214</v>
      </c>
    </row>
    <row r="1086" spans="1:9" ht="30" x14ac:dyDescent="0.25">
      <c r="A1086" s="319">
        <v>42987</v>
      </c>
      <c r="B1086" s="320" t="s">
        <v>28814</v>
      </c>
      <c r="C1086" s="321">
        <v>126845</v>
      </c>
      <c r="D1086" s="390" t="s">
        <v>15258</v>
      </c>
      <c r="E1086" s="322">
        <v>34222.800000000003</v>
      </c>
      <c r="F1086" s="323" t="s">
        <v>28653</v>
      </c>
      <c r="G1086" s="334">
        <f>10000+24222.8</f>
        <v>34222.800000000003</v>
      </c>
      <c r="H1086" s="334">
        <f t="shared" si="13"/>
        <v>0</v>
      </c>
      <c r="I1086" s="325" t="s">
        <v>15214</v>
      </c>
    </row>
    <row r="1087" spans="1:9" x14ac:dyDescent="0.25">
      <c r="A1087" s="359">
        <v>42987</v>
      </c>
      <c r="B1087" s="326" t="s">
        <v>28815</v>
      </c>
      <c r="C1087" s="327">
        <v>126846</v>
      </c>
      <c r="D1087" s="391" t="s">
        <v>15261</v>
      </c>
      <c r="E1087" s="328">
        <v>7399.75</v>
      </c>
      <c r="F1087" s="329">
        <v>42987</v>
      </c>
      <c r="G1087" s="328">
        <v>7399.75</v>
      </c>
      <c r="H1087" s="347">
        <f t="shared" si="13"/>
        <v>0</v>
      </c>
      <c r="I1087" s="331" t="s">
        <v>15214</v>
      </c>
    </row>
    <row r="1088" spans="1:9" x14ac:dyDescent="0.25">
      <c r="A1088" s="319">
        <v>42987</v>
      </c>
      <c r="B1088" s="320" t="s">
        <v>28816</v>
      </c>
      <c r="C1088" s="321">
        <v>126847</v>
      </c>
      <c r="D1088" s="390" t="s">
        <v>15725</v>
      </c>
      <c r="E1088" s="322">
        <v>27271</v>
      </c>
      <c r="F1088" s="323">
        <v>42988</v>
      </c>
      <c r="G1088" s="322">
        <v>27271</v>
      </c>
      <c r="H1088" s="322">
        <f t="shared" si="13"/>
        <v>0</v>
      </c>
      <c r="I1088" s="325" t="s">
        <v>15214</v>
      </c>
    </row>
    <row r="1089" spans="1:9" ht="15.75" x14ac:dyDescent="0.25">
      <c r="A1089" s="359">
        <v>42987</v>
      </c>
      <c r="B1089" s="326" t="s">
        <v>28817</v>
      </c>
      <c r="C1089" s="327">
        <v>126848</v>
      </c>
      <c r="D1089" s="345" t="s">
        <v>95</v>
      </c>
      <c r="E1089" s="328">
        <v>0</v>
      </c>
      <c r="F1089" s="346" t="s">
        <v>95</v>
      </c>
      <c r="G1089" s="328">
        <v>0</v>
      </c>
      <c r="H1089" s="347">
        <f t="shared" si="13"/>
        <v>0</v>
      </c>
      <c r="I1089" s="399" t="s">
        <v>95</v>
      </c>
    </row>
    <row r="1090" spans="1:9" x14ac:dyDescent="0.25">
      <c r="A1090" s="319">
        <v>42987</v>
      </c>
      <c r="B1090" s="320" t="s">
        <v>28818</v>
      </c>
      <c r="C1090" s="321">
        <v>126849</v>
      </c>
      <c r="D1090" s="390" t="s">
        <v>15480</v>
      </c>
      <c r="E1090" s="322">
        <v>14538.2</v>
      </c>
      <c r="F1090" s="323">
        <v>42990</v>
      </c>
      <c r="G1090" s="322">
        <v>14538.2</v>
      </c>
      <c r="H1090" s="322">
        <f t="shared" si="13"/>
        <v>0</v>
      </c>
      <c r="I1090" s="325" t="s">
        <v>15214</v>
      </c>
    </row>
    <row r="1091" spans="1:9" ht="30" x14ac:dyDescent="0.25">
      <c r="A1091" s="359">
        <v>42987</v>
      </c>
      <c r="B1091" s="326" t="s">
        <v>28819</v>
      </c>
      <c r="C1091" s="327">
        <v>126850</v>
      </c>
      <c r="D1091" s="391" t="s">
        <v>15258</v>
      </c>
      <c r="E1091" s="328">
        <v>24087.1</v>
      </c>
      <c r="F1091" s="329" t="s">
        <v>28820</v>
      </c>
      <c r="G1091" s="347">
        <f>12000+12087.1</f>
        <v>24087.1</v>
      </c>
      <c r="H1091" s="347">
        <f t="shared" si="13"/>
        <v>0</v>
      </c>
      <c r="I1091" s="331" t="s">
        <v>15214</v>
      </c>
    </row>
    <row r="1092" spans="1:9" x14ac:dyDescent="0.25">
      <c r="A1092" s="319">
        <v>42987</v>
      </c>
      <c r="B1092" s="320" t="s">
        <v>28821</v>
      </c>
      <c r="C1092" s="321">
        <v>126851</v>
      </c>
      <c r="D1092" s="390" t="s">
        <v>17462</v>
      </c>
      <c r="E1092" s="322">
        <v>1802</v>
      </c>
      <c r="F1092" s="323">
        <v>42987</v>
      </c>
      <c r="G1092" s="322">
        <v>1802</v>
      </c>
      <c r="H1092" s="322">
        <f t="shared" si="13"/>
        <v>0</v>
      </c>
      <c r="I1092" s="325" t="s">
        <v>15214</v>
      </c>
    </row>
    <row r="1093" spans="1:9" x14ac:dyDescent="0.25">
      <c r="A1093" s="359">
        <v>42987</v>
      </c>
      <c r="B1093" s="326" t="s">
        <v>28822</v>
      </c>
      <c r="C1093" s="327">
        <v>126852</v>
      </c>
      <c r="D1093" s="391" t="s">
        <v>15226</v>
      </c>
      <c r="E1093" s="328">
        <v>2342.1999999999998</v>
      </c>
      <c r="F1093" s="329">
        <v>42989</v>
      </c>
      <c r="G1093" s="328">
        <v>2342.1999999999998</v>
      </c>
      <c r="H1093" s="347">
        <f t="shared" si="13"/>
        <v>0</v>
      </c>
      <c r="I1093" s="331" t="s">
        <v>15214</v>
      </c>
    </row>
    <row r="1094" spans="1:9" ht="30" x14ac:dyDescent="0.25">
      <c r="A1094" s="319">
        <v>42987</v>
      </c>
      <c r="B1094" s="320" t="s">
        <v>28823</v>
      </c>
      <c r="C1094" s="321">
        <v>126853</v>
      </c>
      <c r="D1094" s="390" t="s">
        <v>15256</v>
      </c>
      <c r="E1094" s="322">
        <v>10779.2</v>
      </c>
      <c r="F1094" s="323" t="s">
        <v>28824</v>
      </c>
      <c r="G1094" s="334">
        <f>7400+3379.2</f>
        <v>10779.2</v>
      </c>
      <c r="H1094" s="334">
        <f t="shared" si="13"/>
        <v>0</v>
      </c>
      <c r="I1094" s="325" t="s">
        <v>15214</v>
      </c>
    </row>
    <row r="1095" spans="1:9" x14ac:dyDescent="0.25">
      <c r="A1095" s="359">
        <v>42987</v>
      </c>
      <c r="B1095" s="326" t="s">
        <v>28825</v>
      </c>
      <c r="C1095" s="327">
        <v>126854</v>
      </c>
      <c r="D1095" s="391" t="s">
        <v>15248</v>
      </c>
      <c r="E1095" s="328">
        <v>13103.6</v>
      </c>
      <c r="F1095" s="329">
        <v>42987</v>
      </c>
      <c r="G1095" s="328">
        <v>13103.6</v>
      </c>
      <c r="H1095" s="347">
        <f t="shared" si="13"/>
        <v>0</v>
      </c>
      <c r="I1095" s="331" t="s">
        <v>15214</v>
      </c>
    </row>
    <row r="1096" spans="1:9" x14ac:dyDescent="0.25">
      <c r="A1096" s="319">
        <v>42987</v>
      </c>
      <c r="B1096" s="320" t="s">
        <v>28826</v>
      </c>
      <c r="C1096" s="321">
        <v>126855</v>
      </c>
      <c r="D1096" s="390" t="s">
        <v>16261</v>
      </c>
      <c r="E1096" s="322">
        <v>4574.45</v>
      </c>
      <c r="F1096" s="323">
        <v>42987</v>
      </c>
      <c r="G1096" s="322">
        <v>4574.45</v>
      </c>
      <c r="H1096" s="322">
        <f t="shared" si="13"/>
        <v>0</v>
      </c>
      <c r="I1096" s="325" t="s">
        <v>15214</v>
      </c>
    </row>
    <row r="1097" spans="1:9" x14ac:dyDescent="0.25">
      <c r="A1097" s="359">
        <v>42987</v>
      </c>
      <c r="B1097" s="326" t="s">
        <v>28827</v>
      </c>
      <c r="C1097" s="327">
        <v>126856</v>
      </c>
      <c r="D1097" s="391" t="s">
        <v>17950</v>
      </c>
      <c r="E1097" s="328">
        <v>7159.6</v>
      </c>
      <c r="F1097" s="329">
        <v>42987</v>
      </c>
      <c r="G1097" s="328">
        <v>7159.6</v>
      </c>
      <c r="H1097" s="347">
        <f t="shared" si="13"/>
        <v>0</v>
      </c>
      <c r="I1097" s="331" t="s">
        <v>15214</v>
      </c>
    </row>
    <row r="1098" spans="1:9" x14ac:dyDescent="0.25">
      <c r="A1098" s="319">
        <v>42987</v>
      </c>
      <c r="B1098" s="320" t="s">
        <v>28828</v>
      </c>
      <c r="C1098" s="321">
        <v>126857</v>
      </c>
      <c r="D1098" s="390" t="s">
        <v>5575</v>
      </c>
      <c r="E1098" s="322">
        <v>12591.3</v>
      </c>
      <c r="F1098" s="323">
        <v>42989</v>
      </c>
      <c r="G1098" s="322">
        <v>12591.3</v>
      </c>
      <c r="H1098" s="322">
        <f t="shared" si="13"/>
        <v>0</v>
      </c>
      <c r="I1098" s="325" t="s">
        <v>15214</v>
      </c>
    </row>
    <row r="1099" spans="1:9" x14ac:dyDescent="0.25">
      <c r="A1099" s="359">
        <v>42987</v>
      </c>
      <c r="B1099" s="326" t="s">
        <v>28829</v>
      </c>
      <c r="C1099" s="327">
        <v>126858</v>
      </c>
      <c r="D1099" s="391" t="s">
        <v>15261</v>
      </c>
      <c r="E1099" s="328">
        <v>17794.52</v>
      </c>
      <c r="F1099" s="329">
        <v>42987</v>
      </c>
      <c r="G1099" s="328">
        <v>17794.52</v>
      </c>
      <c r="H1099" s="347">
        <f t="shared" si="13"/>
        <v>0</v>
      </c>
      <c r="I1099" s="331" t="s">
        <v>15214</v>
      </c>
    </row>
    <row r="1100" spans="1:9" x14ac:dyDescent="0.25">
      <c r="A1100" s="319">
        <v>42987</v>
      </c>
      <c r="B1100" s="320" t="s">
        <v>28830</v>
      </c>
      <c r="C1100" s="321">
        <v>126859</v>
      </c>
      <c r="D1100" s="390" t="s">
        <v>15699</v>
      </c>
      <c r="E1100" s="322">
        <v>12505.7</v>
      </c>
      <c r="F1100" s="323">
        <v>42990</v>
      </c>
      <c r="G1100" s="322">
        <v>12505.7</v>
      </c>
      <c r="H1100" s="322">
        <f t="shared" si="13"/>
        <v>0</v>
      </c>
      <c r="I1100" s="325" t="s">
        <v>15214</v>
      </c>
    </row>
    <row r="1101" spans="1:9" x14ac:dyDescent="0.25">
      <c r="A1101" s="359">
        <v>42987</v>
      </c>
      <c r="B1101" s="326" t="s">
        <v>28831</v>
      </c>
      <c r="C1101" s="327">
        <v>126860</v>
      </c>
      <c r="D1101" s="391" t="s">
        <v>15523</v>
      </c>
      <c r="E1101" s="328">
        <v>4800</v>
      </c>
      <c r="F1101" s="329">
        <v>42989</v>
      </c>
      <c r="G1101" s="328">
        <v>4800</v>
      </c>
      <c r="H1101" s="347">
        <f t="shared" si="13"/>
        <v>0</v>
      </c>
      <c r="I1101" s="331" t="s">
        <v>15214</v>
      </c>
    </row>
    <row r="1102" spans="1:9" x14ac:dyDescent="0.25">
      <c r="A1102" s="319">
        <v>42987</v>
      </c>
      <c r="B1102" s="320" t="s">
        <v>28832</v>
      </c>
      <c r="C1102" s="321">
        <v>126861</v>
      </c>
      <c r="D1102" s="390" t="s">
        <v>15442</v>
      </c>
      <c r="E1102" s="322">
        <v>8374</v>
      </c>
      <c r="F1102" s="323">
        <v>42987</v>
      </c>
      <c r="G1102" s="322">
        <v>8374</v>
      </c>
      <c r="H1102" s="322">
        <f t="shared" si="13"/>
        <v>0</v>
      </c>
      <c r="I1102" s="325" t="s">
        <v>15214</v>
      </c>
    </row>
    <row r="1103" spans="1:9" x14ac:dyDescent="0.25">
      <c r="A1103" s="359">
        <v>42987</v>
      </c>
      <c r="B1103" s="326" t="s">
        <v>28833</v>
      </c>
      <c r="C1103" s="327">
        <v>126862</v>
      </c>
      <c r="D1103" s="391" t="s">
        <v>5583</v>
      </c>
      <c r="E1103" s="328">
        <v>3050.4</v>
      </c>
      <c r="F1103" s="329">
        <v>42987</v>
      </c>
      <c r="G1103" s="328">
        <v>3050.4</v>
      </c>
      <c r="H1103" s="347">
        <f t="shared" si="13"/>
        <v>0</v>
      </c>
      <c r="I1103" s="331" t="s">
        <v>15214</v>
      </c>
    </row>
    <row r="1104" spans="1:9" x14ac:dyDescent="0.25">
      <c r="A1104" s="319">
        <v>42987</v>
      </c>
      <c r="B1104" s="320" t="s">
        <v>28834</v>
      </c>
      <c r="C1104" s="321">
        <v>126863</v>
      </c>
      <c r="D1104" s="390" t="s">
        <v>16484</v>
      </c>
      <c r="E1104" s="322">
        <v>2244</v>
      </c>
      <c r="F1104" s="323">
        <v>42987</v>
      </c>
      <c r="G1104" s="322">
        <v>2244</v>
      </c>
      <c r="H1104" s="322">
        <f t="shared" si="13"/>
        <v>0</v>
      </c>
      <c r="I1104" s="325" t="s">
        <v>15214</v>
      </c>
    </row>
    <row r="1105" spans="1:9" x14ac:dyDescent="0.25">
      <c r="A1105" s="359">
        <v>42987</v>
      </c>
      <c r="B1105" s="326" t="s">
        <v>28835</v>
      </c>
      <c r="C1105" s="327">
        <v>126864</v>
      </c>
      <c r="D1105" s="391" t="s">
        <v>15328</v>
      </c>
      <c r="E1105" s="328">
        <v>30442</v>
      </c>
      <c r="F1105" s="329">
        <v>43001</v>
      </c>
      <c r="G1105" s="328">
        <v>30442</v>
      </c>
      <c r="H1105" s="347">
        <f t="shared" si="13"/>
        <v>0</v>
      </c>
      <c r="I1105" s="331" t="s">
        <v>15214</v>
      </c>
    </row>
    <row r="1106" spans="1:9" x14ac:dyDescent="0.25">
      <c r="A1106" s="319">
        <v>42987</v>
      </c>
      <c r="B1106" s="320" t="s">
        <v>28836</v>
      </c>
      <c r="C1106" s="321">
        <v>126865</v>
      </c>
      <c r="D1106" s="390" t="s">
        <v>15526</v>
      </c>
      <c r="E1106" s="322">
        <v>4925</v>
      </c>
      <c r="F1106" s="323">
        <v>42989</v>
      </c>
      <c r="G1106" s="322">
        <v>4925</v>
      </c>
      <c r="H1106" s="322">
        <f t="shared" si="13"/>
        <v>0</v>
      </c>
      <c r="I1106" s="325" t="s">
        <v>15214</v>
      </c>
    </row>
    <row r="1107" spans="1:9" x14ac:dyDescent="0.25">
      <c r="A1107" s="359">
        <v>42987</v>
      </c>
      <c r="B1107" s="326" t="s">
        <v>28837</v>
      </c>
      <c r="C1107" s="327">
        <v>126866</v>
      </c>
      <c r="D1107" s="391" t="s">
        <v>15344</v>
      </c>
      <c r="E1107" s="328">
        <v>2190</v>
      </c>
      <c r="F1107" s="329">
        <v>42989</v>
      </c>
      <c r="G1107" s="328">
        <v>2190</v>
      </c>
      <c r="H1107" s="347">
        <f t="shared" si="13"/>
        <v>0</v>
      </c>
      <c r="I1107" s="331" t="s">
        <v>15214</v>
      </c>
    </row>
    <row r="1108" spans="1:9" x14ac:dyDescent="0.25">
      <c r="A1108" s="319">
        <v>42987</v>
      </c>
      <c r="B1108" s="320" t="s">
        <v>28838</v>
      </c>
      <c r="C1108" s="321">
        <v>126867</v>
      </c>
      <c r="D1108" s="390" t="s">
        <v>15858</v>
      </c>
      <c r="E1108" s="322">
        <v>11713.2</v>
      </c>
      <c r="F1108" s="323">
        <v>42989</v>
      </c>
      <c r="G1108" s="322">
        <v>11713.2</v>
      </c>
      <c r="H1108" s="322">
        <f t="shared" si="13"/>
        <v>0</v>
      </c>
      <c r="I1108" s="325" t="s">
        <v>15214</v>
      </c>
    </row>
    <row r="1109" spans="1:9" x14ac:dyDescent="0.25">
      <c r="A1109" s="359">
        <v>42987</v>
      </c>
      <c r="B1109" s="326" t="s">
        <v>28839</v>
      </c>
      <c r="C1109" s="327">
        <v>126868</v>
      </c>
      <c r="D1109" s="391" t="s">
        <v>15342</v>
      </c>
      <c r="E1109" s="328">
        <v>733.6</v>
      </c>
      <c r="F1109" s="329">
        <v>42989</v>
      </c>
      <c r="G1109" s="328">
        <v>733.6</v>
      </c>
      <c r="H1109" s="347">
        <f t="shared" si="13"/>
        <v>0</v>
      </c>
      <c r="I1109" s="331" t="s">
        <v>15214</v>
      </c>
    </row>
    <row r="1110" spans="1:9" x14ac:dyDescent="0.25">
      <c r="A1110" s="319">
        <v>42987</v>
      </c>
      <c r="B1110" s="320" t="s">
        <v>28840</v>
      </c>
      <c r="C1110" s="321">
        <v>126869</v>
      </c>
      <c r="D1110" s="390" t="s">
        <v>16171</v>
      </c>
      <c r="E1110" s="322">
        <v>1171.32</v>
      </c>
      <c r="F1110" s="323">
        <v>42989</v>
      </c>
      <c r="G1110" s="322">
        <v>1171.32</v>
      </c>
      <c r="H1110" s="322">
        <f t="shared" si="13"/>
        <v>0</v>
      </c>
      <c r="I1110" s="325" t="s">
        <v>15214</v>
      </c>
    </row>
    <row r="1111" spans="1:9" x14ac:dyDescent="0.25">
      <c r="A1111" s="359">
        <v>42987</v>
      </c>
      <c r="B1111" s="326" t="s">
        <v>28841</v>
      </c>
      <c r="C1111" s="327">
        <v>126870</v>
      </c>
      <c r="D1111" s="391" t="s">
        <v>15861</v>
      </c>
      <c r="E1111" s="328">
        <v>1144</v>
      </c>
      <c r="F1111" s="329">
        <v>42989</v>
      </c>
      <c r="G1111" s="328">
        <v>1144</v>
      </c>
      <c r="H1111" s="347">
        <f t="shared" si="13"/>
        <v>0</v>
      </c>
      <c r="I1111" s="331" t="s">
        <v>15214</v>
      </c>
    </row>
    <row r="1112" spans="1:9" x14ac:dyDescent="0.25">
      <c r="A1112" s="319">
        <v>42987</v>
      </c>
      <c r="B1112" s="320" t="s">
        <v>28842</v>
      </c>
      <c r="C1112" s="321">
        <v>126871</v>
      </c>
      <c r="D1112" s="390" t="s">
        <v>15358</v>
      </c>
      <c r="E1112" s="322">
        <v>2458.1</v>
      </c>
      <c r="F1112" s="323">
        <v>42989</v>
      </c>
      <c r="G1112" s="322">
        <v>2458.1</v>
      </c>
      <c r="H1112" s="322">
        <f t="shared" si="13"/>
        <v>0</v>
      </c>
      <c r="I1112" s="325" t="s">
        <v>15214</v>
      </c>
    </row>
    <row r="1113" spans="1:9" x14ac:dyDescent="0.25">
      <c r="A1113" s="359">
        <v>42987</v>
      </c>
      <c r="B1113" s="326" t="s">
        <v>28843</v>
      </c>
      <c r="C1113" s="327">
        <v>126872</v>
      </c>
      <c r="D1113" s="391" t="s">
        <v>17210</v>
      </c>
      <c r="E1113" s="328">
        <v>4015</v>
      </c>
      <c r="F1113" s="329">
        <v>42989</v>
      </c>
      <c r="G1113" s="328">
        <v>4015</v>
      </c>
      <c r="H1113" s="347">
        <f t="shared" si="13"/>
        <v>0</v>
      </c>
      <c r="I1113" s="331" t="s">
        <v>15214</v>
      </c>
    </row>
    <row r="1114" spans="1:9" x14ac:dyDescent="0.25">
      <c r="A1114" s="319">
        <v>42987</v>
      </c>
      <c r="B1114" s="320" t="s">
        <v>28844</v>
      </c>
      <c r="C1114" s="321">
        <v>126873</v>
      </c>
      <c r="D1114" s="390" t="s">
        <v>15336</v>
      </c>
      <c r="E1114" s="322">
        <v>10443.4</v>
      </c>
      <c r="F1114" s="323">
        <v>42989</v>
      </c>
      <c r="G1114" s="322">
        <v>10443.4</v>
      </c>
      <c r="H1114" s="322">
        <f t="shared" si="13"/>
        <v>0</v>
      </c>
      <c r="I1114" s="325" t="s">
        <v>15214</v>
      </c>
    </row>
    <row r="1115" spans="1:9" x14ac:dyDescent="0.25">
      <c r="A1115" s="359">
        <v>42987</v>
      </c>
      <c r="B1115" s="326" t="s">
        <v>28845</v>
      </c>
      <c r="C1115" s="327">
        <v>126874</v>
      </c>
      <c r="D1115" s="391" t="s">
        <v>15280</v>
      </c>
      <c r="E1115" s="328">
        <v>6548.6</v>
      </c>
      <c r="F1115" s="329">
        <v>42987</v>
      </c>
      <c r="G1115" s="328">
        <v>6548.6</v>
      </c>
      <c r="H1115" s="347">
        <f t="shared" si="13"/>
        <v>0</v>
      </c>
      <c r="I1115" s="331" t="s">
        <v>15214</v>
      </c>
    </row>
    <row r="1116" spans="1:9" x14ac:dyDescent="0.25">
      <c r="A1116" s="319">
        <v>42987</v>
      </c>
      <c r="B1116" s="320" t="s">
        <v>28846</v>
      </c>
      <c r="C1116" s="321">
        <v>126875</v>
      </c>
      <c r="D1116" s="390" t="s">
        <v>15278</v>
      </c>
      <c r="E1116" s="322">
        <v>1233.6400000000001</v>
      </c>
      <c r="F1116" s="323">
        <v>42987</v>
      </c>
      <c r="G1116" s="322">
        <v>1233.6400000000001</v>
      </c>
      <c r="H1116" s="322">
        <f t="shared" si="13"/>
        <v>0</v>
      </c>
      <c r="I1116" s="325" t="s">
        <v>15214</v>
      </c>
    </row>
    <row r="1117" spans="1:9" x14ac:dyDescent="0.25">
      <c r="A1117" s="359">
        <v>42987</v>
      </c>
      <c r="B1117" s="326" t="s">
        <v>28847</v>
      </c>
      <c r="C1117" s="327">
        <v>126876</v>
      </c>
      <c r="D1117" s="391" t="s">
        <v>15371</v>
      </c>
      <c r="E1117" s="328">
        <v>4177.3999999999996</v>
      </c>
      <c r="F1117" s="329">
        <v>42988</v>
      </c>
      <c r="G1117" s="328">
        <v>4177.3999999999996</v>
      </c>
      <c r="H1117" s="347">
        <f t="shared" si="13"/>
        <v>0</v>
      </c>
      <c r="I1117" s="331" t="s">
        <v>15214</v>
      </c>
    </row>
    <row r="1118" spans="1:9" x14ac:dyDescent="0.25">
      <c r="A1118" s="319">
        <v>42987</v>
      </c>
      <c r="B1118" s="320" t="s">
        <v>28848</v>
      </c>
      <c r="C1118" s="321">
        <v>126877</v>
      </c>
      <c r="D1118" s="390" t="s">
        <v>15334</v>
      </c>
      <c r="E1118" s="322">
        <v>3940.8</v>
      </c>
      <c r="F1118" s="323">
        <v>42989</v>
      </c>
      <c r="G1118" s="322">
        <v>3940.8</v>
      </c>
      <c r="H1118" s="322">
        <f t="shared" si="13"/>
        <v>0</v>
      </c>
      <c r="I1118" s="325" t="s">
        <v>15214</v>
      </c>
    </row>
    <row r="1119" spans="1:9" x14ac:dyDescent="0.25">
      <c r="A1119" s="359">
        <v>42987</v>
      </c>
      <c r="B1119" s="326" t="s">
        <v>28849</v>
      </c>
      <c r="C1119" s="327">
        <v>126878</v>
      </c>
      <c r="D1119" s="391" t="s">
        <v>15356</v>
      </c>
      <c r="E1119" s="328">
        <v>1485.2</v>
      </c>
      <c r="F1119" s="329">
        <v>42989</v>
      </c>
      <c r="G1119" s="328">
        <v>1485.2</v>
      </c>
      <c r="H1119" s="347">
        <f t="shared" si="13"/>
        <v>0</v>
      </c>
      <c r="I1119" s="331" t="s">
        <v>15214</v>
      </c>
    </row>
    <row r="1120" spans="1:9" ht="15.75" x14ac:dyDescent="0.25">
      <c r="A1120" s="319">
        <v>42987</v>
      </c>
      <c r="B1120" s="320" t="s">
        <v>28850</v>
      </c>
      <c r="C1120" s="321">
        <v>126879</v>
      </c>
      <c r="D1120" s="332" t="s">
        <v>95</v>
      </c>
      <c r="E1120" s="322">
        <v>0</v>
      </c>
      <c r="F1120" s="333" t="s">
        <v>95</v>
      </c>
      <c r="G1120" s="322">
        <v>0</v>
      </c>
      <c r="H1120" s="322">
        <f t="shared" si="13"/>
        <v>0</v>
      </c>
      <c r="I1120" s="325" t="s">
        <v>95</v>
      </c>
    </row>
    <row r="1121" spans="1:9" x14ac:dyDescent="0.25">
      <c r="A1121" s="359">
        <v>42987</v>
      </c>
      <c r="B1121" s="326" t="s">
        <v>28851</v>
      </c>
      <c r="C1121" s="327">
        <v>126880</v>
      </c>
      <c r="D1121" s="391" t="s">
        <v>15348</v>
      </c>
      <c r="E1121" s="328">
        <v>509.6</v>
      </c>
      <c r="F1121" s="329">
        <v>42989</v>
      </c>
      <c r="G1121" s="328">
        <v>509.6</v>
      </c>
      <c r="H1121" s="347">
        <f t="shared" si="13"/>
        <v>0</v>
      </c>
      <c r="I1121" s="331" t="s">
        <v>15214</v>
      </c>
    </row>
    <row r="1122" spans="1:9" x14ac:dyDescent="0.25">
      <c r="A1122" s="319">
        <v>42987</v>
      </c>
      <c r="B1122" s="320" t="s">
        <v>28852</v>
      </c>
      <c r="C1122" s="321">
        <v>126881</v>
      </c>
      <c r="D1122" s="390" t="s">
        <v>23937</v>
      </c>
      <c r="E1122" s="322">
        <v>3777.9</v>
      </c>
      <c r="F1122" s="323">
        <v>42987</v>
      </c>
      <c r="G1122" s="322">
        <v>3777.9</v>
      </c>
      <c r="H1122" s="322">
        <f t="shared" si="13"/>
        <v>0</v>
      </c>
      <c r="I1122" s="325" t="s">
        <v>15214</v>
      </c>
    </row>
    <row r="1123" spans="1:9" x14ac:dyDescent="0.25">
      <c r="A1123" s="359">
        <v>42987</v>
      </c>
      <c r="B1123" s="326" t="s">
        <v>28853</v>
      </c>
      <c r="C1123" s="327">
        <v>126882</v>
      </c>
      <c r="D1123" s="391" t="s">
        <v>15526</v>
      </c>
      <c r="E1123" s="328">
        <v>326.8</v>
      </c>
      <c r="F1123" s="329">
        <v>42989</v>
      </c>
      <c r="G1123" s="328">
        <v>326.8</v>
      </c>
      <c r="H1123" s="347">
        <f t="shared" si="13"/>
        <v>0</v>
      </c>
      <c r="I1123" s="331" t="s">
        <v>15214</v>
      </c>
    </row>
    <row r="1124" spans="1:9" x14ac:dyDescent="0.25">
      <c r="A1124" s="319">
        <v>42987</v>
      </c>
      <c r="B1124" s="320" t="s">
        <v>28854</v>
      </c>
      <c r="C1124" s="321">
        <v>126883</v>
      </c>
      <c r="D1124" s="390" t="s">
        <v>15252</v>
      </c>
      <c r="E1124" s="322">
        <v>1682.1</v>
      </c>
      <c r="F1124" s="323">
        <v>42989</v>
      </c>
      <c r="G1124" s="322">
        <v>1682.1</v>
      </c>
      <c r="H1124" s="322">
        <f t="shared" si="13"/>
        <v>0</v>
      </c>
      <c r="I1124" s="325" t="s">
        <v>15214</v>
      </c>
    </row>
    <row r="1125" spans="1:9" x14ac:dyDescent="0.25">
      <c r="A1125" s="359">
        <v>42987</v>
      </c>
      <c r="B1125" s="326" t="s">
        <v>28855</v>
      </c>
      <c r="C1125" s="327">
        <v>126884</v>
      </c>
      <c r="D1125" s="391" t="s">
        <v>15244</v>
      </c>
      <c r="E1125" s="328">
        <v>14606.35</v>
      </c>
      <c r="F1125" s="329">
        <v>42989</v>
      </c>
      <c r="G1125" s="328">
        <v>14606.35</v>
      </c>
      <c r="H1125" s="347">
        <f t="shared" si="13"/>
        <v>0</v>
      </c>
      <c r="I1125" s="331" t="s">
        <v>15214</v>
      </c>
    </row>
    <row r="1126" spans="1:9" x14ac:dyDescent="0.25">
      <c r="A1126" s="319">
        <v>42987</v>
      </c>
      <c r="B1126" s="320" t="s">
        <v>28856</v>
      </c>
      <c r="C1126" s="321">
        <v>126885</v>
      </c>
      <c r="D1126" s="390" t="s">
        <v>16108</v>
      </c>
      <c r="E1126" s="322">
        <v>199.8</v>
      </c>
      <c r="F1126" s="323">
        <v>42987</v>
      </c>
      <c r="G1126" s="322">
        <v>199.8</v>
      </c>
      <c r="H1126" s="322">
        <f t="shared" si="13"/>
        <v>0</v>
      </c>
      <c r="I1126" s="325" t="s">
        <v>15214</v>
      </c>
    </row>
    <row r="1127" spans="1:9" ht="15.75" x14ac:dyDescent="0.25">
      <c r="A1127" s="359">
        <v>42987</v>
      </c>
      <c r="B1127" s="326" t="s">
        <v>28857</v>
      </c>
      <c r="C1127" s="327">
        <v>126886</v>
      </c>
      <c r="D1127" s="345" t="s">
        <v>95</v>
      </c>
      <c r="E1127" s="328">
        <v>0</v>
      </c>
      <c r="F1127" s="346" t="s">
        <v>95</v>
      </c>
      <c r="G1127" s="328">
        <v>0</v>
      </c>
      <c r="H1127" s="347">
        <f t="shared" si="13"/>
        <v>0</v>
      </c>
      <c r="I1127" s="331" t="s">
        <v>95</v>
      </c>
    </row>
    <row r="1128" spans="1:9" x14ac:dyDescent="0.25">
      <c r="A1128" s="319">
        <v>42987</v>
      </c>
      <c r="B1128" s="320" t="s">
        <v>28858</v>
      </c>
      <c r="C1128" s="321">
        <v>126887</v>
      </c>
      <c r="D1128" s="390" t="s">
        <v>16093</v>
      </c>
      <c r="E1128" s="322">
        <v>3215.7</v>
      </c>
      <c r="F1128" s="323">
        <v>42987</v>
      </c>
      <c r="G1128" s="322">
        <v>3215.7</v>
      </c>
      <c r="H1128" s="322">
        <f t="shared" si="13"/>
        <v>0</v>
      </c>
      <c r="I1128" s="325" t="s">
        <v>15214</v>
      </c>
    </row>
    <row r="1129" spans="1:9" x14ac:dyDescent="0.25">
      <c r="A1129" s="359">
        <v>42987</v>
      </c>
      <c r="B1129" s="326" t="s">
        <v>28859</v>
      </c>
      <c r="C1129" s="327">
        <v>126888</v>
      </c>
      <c r="D1129" s="391" t="s">
        <v>15354</v>
      </c>
      <c r="E1129" s="328">
        <v>2443.1999999999998</v>
      </c>
      <c r="F1129" s="329">
        <v>42989</v>
      </c>
      <c r="G1129" s="328">
        <v>2443.1999999999998</v>
      </c>
      <c r="H1129" s="347">
        <f t="shared" si="13"/>
        <v>0</v>
      </c>
      <c r="I1129" s="331" t="s">
        <v>15214</v>
      </c>
    </row>
    <row r="1130" spans="1:9" x14ac:dyDescent="0.25">
      <c r="A1130" s="319">
        <v>42987</v>
      </c>
      <c r="B1130" s="320" t="s">
        <v>28860</v>
      </c>
      <c r="C1130" s="321">
        <v>126889</v>
      </c>
      <c r="D1130" s="390" t="s">
        <v>15263</v>
      </c>
      <c r="E1130" s="322">
        <v>1503.4</v>
      </c>
      <c r="F1130" s="323">
        <v>42987</v>
      </c>
      <c r="G1130" s="322">
        <v>1503.4</v>
      </c>
      <c r="H1130" s="322">
        <f t="shared" si="13"/>
        <v>0</v>
      </c>
      <c r="I1130" s="325" t="s">
        <v>15214</v>
      </c>
    </row>
    <row r="1131" spans="1:9" x14ac:dyDescent="0.25">
      <c r="A1131" s="359">
        <v>42987</v>
      </c>
      <c r="B1131" s="326" t="s">
        <v>28861</v>
      </c>
      <c r="C1131" s="327">
        <v>126890</v>
      </c>
      <c r="D1131" s="391" t="s">
        <v>15244</v>
      </c>
      <c r="E1131" s="328">
        <v>705.6</v>
      </c>
      <c r="F1131" s="329">
        <v>42989</v>
      </c>
      <c r="G1131" s="328">
        <v>705.6</v>
      </c>
      <c r="H1131" s="347">
        <f t="shared" si="13"/>
        <v>0</v>
      </c>
      <c r="I1131" s="331" t="s">
        <v>15214</v>
      </c>
    </row>
    <row r="1132" spans="1:9" x14ac:dyDescent="0.25">
      <c r="A1132" s="319">
        <v>42987</v>
      </c>
      <c r="B1132" s="320" t="s">
        <v>28862</v>
      </c>
      <c r="C1132" s="321">
        <v>126891</v>
      </c>
      <c r="D1132" s="390" t="s">
        <v>15555</v>
      </c>
      <c r="E1132" s="322">
        <v>2071.6999999999998</v>
      </c>
      <c r="F1132" s="323">
        <v>42997</v>
      </c>
      <c r="G1132" s="322">
        <v>2071.6999999999998</v>
      </c>
      <c r="H1132" s="322">
        <f t="shared" si="13"/>
        <v>0</v>
      </c>
      <c r="I1132" s="325" t="s">
        <v>15214</v>
      </c>
    </row>
    <row r="1133" spans="1:9" x14ac:dyDescent="0.25">
      <c r="A1133" s="359">
        <v>42987</v>
      </c>
      <c r="B1133" s="326" t="s">
        <v>28863</v>
      </c>
      <c r="C1133" s="327">
        <v>126892</v>
      </c>
      <c r="D1133" s="391" t="s">
        <v>15326</v>
      </c>
      <c r="E1133" s="328">
        <v>3805.6</v>
      </c>
      <c r="F1133" s="329">
        <v>42987</v>
      </c>
      <c r="G1133" s="328">
        <v>3805.6</v>
      </c>
      <c r="H1133" s="347">
        <f t="shared" si="13"/>
        <v>0</v>
      </c>
      <c r="I1133" s="331" t="s">
        <v>15214</v>
      </c>
    </row>
    <row r="1134" spans="1:9" x14ac:dyDescent="0.25">
      <c r="A1134" s="319">
        <v>42987</v>
      </c>
      <c r="B1134" s="320" t="s">
        <v>28864</v>
      </c>
      <c r="C1134" s="321">
        <v>126893</v>
      </c>
      <c r="D1134" s="390" t="s">
        <v>15301</v>
      </c>
      <c r="E1134" s="322">
        <v>7145.8</v>
      </c>
      <c r="F1134" s="323">
        <v>42988</v>
      </c>
      <c r="G1134" s="322">
        <v>7145.8</v>
      </c>
      <c r="H1134" s="322">
        <f t="shared" si="13"/>
        <v>0</v>
      </c>
      <c r="I1134" s="325" t="s">
        <v>15214</v>
      </c>
    </row>
    <row r="1135" spans="1:9" x14ac:dyDescent="0.25">
      <c r="A1135" s="359">
        <v>42987</v>
      </c>
      <c r="B1135" s="326" t="s">
        <v>28865</v>
      </c>
      <c r="C1135" s="327">
        <v>126894</v>
      </c>
      <c r="D1135" s="391" t="s">
        <v>15307</v>
      </c>
      <c r="E1135" s="328">
        <v>2261.1999999999998</v>
      </c>
      <c r="F1135" s="329">
        <v>42988</v>
      </c>
      <c r="G1135" s="328">
        <v>2261.1999999999998</v>
      </c>
      <c r="H1135" s="347">
        <f t="shared" si="13"/>
        <v>0</v>
      </c>
      <c r="I1135" s="331" t="s">
        <v>15214</v>
      </c>
    </row>
    <row r="1136" spans="1:9" x14ac:dyDescent="0.25">
      <c r="A1136" s="319">
        <v>42987</v>
      </c>
      <c r="B1136" s="320" t="s">
        <v>28866</v>
      </c>
      <c r="C1136" s="321">
        <v>126895</v>
      </c>
      <c r="D1136" s="390" t="s">
        <v>15745</v>
      </c>
      <c r="E1136" s="322">
        <v>1765.76</v>
      </c>
      <c r="F1136" s="323">
        <v>42988</v>
      </c>
      <c r="G1136" s="322">
        <v>1765.76</v>
      </c>
      <c r="H1136" s="322">
        <f t="shared" si="13"/>
        <v>0</v>
      </c>
      <c r="I1136" s="325" t="s">
        <v>15214</v>
      </c>
    </row>
    <row r="1137" spans="1:9" x14ac:dyDescent="0.25">
      <c r="A1137" s="359">
        <v>42987</v>
      </c>
      <c r="B1137" s="326" t="s">
        <v>28867</v>
      </c>
      <c r="C1137" s="327">
        <v>126896</v>
      </c>
      <c r="D1137" s="391" t="s">
        <v>15782</v>
      </c>
      <c r="E1137" s="328">
        <v>828</v>
      </c>
      <c r="F1137" s="329">
        <v>42988</v>
      </c>
      <c r="G1137" s="328">
        <v>828</v>
      </c>
      <c r="H1137" s="347">
        <f t="shared" ref="H1137:H1200" si="14">E1137-G1137</f>
        <v>0</v>
      </c>
      <c r="I1137" s="331" t="s">
        <v>15214</v>
      </c>
    </row>
    <row r="1138" spans="1:9" x14ac:dyDescent="0.25">
      <c r="A1138" s="319">
        <v>42987</v>
      </c>
      <c r="B1138" s="320" t="s">
        <v>28868</v>
      </c>
      <c r="C1138" s="321">
        <v>126897</v>
      </c>
      <c r="D1138" s="390" t="s">
        <v>15315</v>
      </c>
      <c r="E1138" s="322">
        <v>4320</v>
      </c>
      <c r="F1138" s="323">
        <v>42988</v>
      </c>
      <c r="G1138" s="322">
        <v>4320</v>
      </c>
      <c r="H1138" s="322">
        <f t="shared" si="14"/>
        <v>0</v>
      </c>
      <c r="I1138" s="325" t="s">
        <v>15214</v>
      </c>
    </row>
    <row r="1139" spans="1:9" x14ac:dyDescent="0.25">
      <c r="A1139" s="359">
        <v>42987</v>
      </c>
      <c r="B1139" s="326" t="s">
        <v>28869</v>
      </c>
      <c r="C1139" s="327">
        <v>126898</v>
      </c>
      <c r="D1139" s="391" t="s">
        <v>15320</v>
      </c>
      <c r="E1139" s="328">
        <v>3330.4</v>
      </c>
      <c r="F1139" s="329">
        <v>42988</v>
      </c>
      <c r="G1139" s="328">
        <v>3330.4</v>
      </c>
      <c r="H1139" s="347">
        <f t="shared" si="14"/>
        <v>0</v>
      </c>
      <c r="I1139" s="331" t="s">
        <v>15214</v>
      </c>
    </row>
    <row r="1140" spans="1:9" x14ac:dyDescent="0.25">
      <c r="A1140" s="319">
        <v>42987</v>
      </c>
      <c r="B1140" s="320" t="s">
        <v>28870</v>
      </c>
      <c r="C1140" s="321">
        <v>126899</v>
      </c>
      <c r="D1140" s="390" t="s">
        <v>15291</v>
      </c>
      <c r="E1140" s="322">
        <v>1200</v>
      </c>
      <c r="F1140" s="323">
        <v>42988</v>
      </c>
      <c r="G1140" s="322">
        <v>1200</v>
      </c>
      <c r="H1140" s="322">
        <f t="shared" si="14"/>
        <v>0</v>
      </c>
      <c r="I1140" s="325" t="s">
        <v>15214</v>
      </c>
    </row>
    <row r="1141" spans="1:9" x14ac:dyDescent="0.25">
      <c r="A1141" s="359">
        <v>42987</v>
      </c>
      <c r="B1141" s="326" t="s">
        <v>28871</v>
      </c>
      <c r="C1141" s="327">
        <v>126900</v>
      </c>
      <c r="D1141" s="391" t="s">
        <v>15274</v>
      </c>
      <c r="E1141" s="328">
        <v>3535.2</v>
      </c>
      <c r="F1141" s="329">
        <v>42988</v>
      </c>
      <c r="G1141" s="328">
        <v>3535.2</v>
      </c>
      <c r="H1141" s="347">
        <f t="shared" si="14"/>
        <v>0</v>
      </c>
      <c r="I1141" s="331" t="s">
        <v>15214</v>
      </c>
    </row>
    <row r="1142" spans="1:9" x14ac:dyDescent="0.25">
      <c r="A1142" s="319">
        <v>42987</v>
      </c>
      <c r="B1142" s="320" t="s">
        <v>28872</v>
      </c>
      <c r="C1142" s="321">
        <v>126901</v>
      </c>
      <c r="D1142" s="390" t="s">
        <v>19767</v>
      </c>
      <c r="E1142" s="322">
        <v>8632.4</v>
      </c>
      <c r="F1142" s="323">
        <v>42988</v>
      </c>
      <c r="G1142" s="322">
        <v>8632.4</v>
      </c>
      <c r="H1142" s="322">
        <f t="shared" si="14"/>
        <v>0</v>
      </c>
      <c r="I1142" s="325" t="s">
        <v>15214</v>
      </c>
    </row>
    <row r="1143" spans="1:9" x14ac:dyDescent="0.25">
      <c r="A1143" s="359">
        <v>42987</v>
      </c>
      <c r="B1143" s="326" t="s">
        <v>28873</v>
      </c>
      <c r="C1143" s="327">
        <v>126902</v>
      </c>
      <c r="D1143" s="391" t="s">
        <v>15276</v>
      </c>
      <c r="E1143" s="328">
        <v>6240</v>
      </c>
      <c r="F1143" s="329">
        <v>42988</v>
      </c>
      <c r="G1143" s="328">
        <v>6240</v>
      </c>
      <c r="H1143" s="347">
        <f t="shared" si="14"/>
        <v>0</v>
      </c>
      <c r="I1143" s="331" t="s">
        <v>15214</v>
      </c>
    </row>
    <row r="1144" spans="1:9" x14ac:dyDescent="0.25">
      <c r="A1144" s="319">
        <v>42987</v>
      </c>
      <c r="B1144" s="320" t="s">
        <v>28874</v>
      </c>
      <c r="C1144" s="321">
        <v>126903</v>
      </c>
      <c r="D1144" s="390" t="s">
        <v>15537</v>
      </c>
      <c r="E1144" s="322">
        <v>29740.15</v>
      </c>
      <c r="F1144" s="323" t="s">
        <v>27799</v>
      </c>
      <c r="G1144" s="322">
        <v>29740.15</v>
      </c>
      <c r="H1144" s="322">
        <f t="shared" si="14"/>
        <v>0</v>
      </c>
      <c r="I1144" s="325" t="s">
        <v>15214</v>
      </c>
    </row>
    <row r="1145" spans="1:9" x14ac:dyDescent="0.25">
      <c r="A1145" s="359">
        <v>42987</v>
      </c>
      <c r="B1145" s="326" t="s">
        <v>28875</v>
      </c>
      <c r="C1145" s="327">
        <v>126904</v>
      </c>
      <c r="D1145" s="391" t="s">
        <v>15242</v>
      </c>
      <c r="E1145" s="328">
        <v>4628.8</v>
      </c>
      <c r="F1145" s="329">
        <v>42988</v>
      </c>
      <c r="G1145" s="328">
        <v>4628.8</v>
      </c>
      <c r="H1145" s="347">
        <f t="shared" si="14"/>
        <v>0</v>
      </c>
      <c r="I1145" s="331" t="s">
        <v>15214</v>
      </c>
    </row>
    <row r="1146" spans="1:9" x14ac:dyDescent="0.25">
      <c r="A1146" s="319">
        <v>42987</v>
      </c>
      <c r="B1146" s="320" t="s">
        <v>28876</v>
      </c>
      <c r="C1146" s="321">
        <v>126905</v>
      </c>
      <c r="D1146" s="390" t="s">
        <v>15539</v>
      </c>
      <c r="E1146" s="322">
        <v>16914.8</v>
      </c>
      <c r="F1146" s="323" t="s">
        <v>27799</v>
      </c>
      <c r="G1146" s="322">
        <v>16914.8</v>
      </c>
      <c r="H1146" s="322">
        <f t="shared" si="14"/>
        <v>0</v>
      </c>
      <c r="I1146" s="325" t="s">
        <v>15214</v>
      </c>
    </row>
    <row r="1147" spans="1:9" x14ac:dyDescent="0.25">
      <c r="A1147" s="359">
        <v>42987</v>
      </c>
      <c r="B1147" s="326" t="s">
        <v>28877</v>
      </c>
      <c r="C1147" s="327">
        <v>126906</v>
      </c>
      <c r="D1147" s="391" t="s">
        <v>15559</v>
      </c>
      <c r="E1147" s="328">
        <v>9554.8700000000008</v>
      </c>
      <c r="F1147" s="329">
        <v>42990</v>
      </c>
      <c r="G1147" s="328">
        <v>9554.8700000000008</v>
      </c>
      <c r="H1147" s="347">
        <f t="shared" si="14"/>
        <v>0</v>
      </c>
      <c r="I1147" s="331" t="s">
        <v>15214</v>
      </c>
    </row>
    <row r="1148" spans="1:9" x14ac:dyDescent="0.25">
      <c r="A1148" s="319">
        <v>42987</v>
      </c>
      <c r="B1148" s="320" t="s">
        <v>28878</v>
      </c>
      <c r="C1148" s="321">
        <v>126907</v>
      </c>
      <c r="D1148" s="390" t="s">
        <v>15246</v>
      </c>
      <c r="E1148" s="322">
        <v>1122</v>
      </c>
      <c r="F1148" s="323">
        <v>42990</v>
      </c>
      <c r="G1148" s="322">
        <v>1122</v>
      </c>
      <c r="H1148" s="322">
        <f t="shared" si="14"/>
        <v>0</v>
      </c>
      <c r="I1148" s="325" t="s">
        <v>15214</v>
      </c>
    </row>
    <row r="1149" spans="1:9" x14ac:dyDescent="0.25">
      <c r="A1149" s="359">
        <v>42987</v>
      </c>
      <c r="B1149" s="326" t="s">
        <v>28879</v>
      </c>
      <c r="C1149" s="327">
        <v>126908</v>
      </c>
      <c r="D1149" s="391" t="s">
        <v>15665</v>
      </c>
      <c r="E1149" s="328">
        <v>136</v>
      </c>
      <c r="F1149" s="329">
        <v>42987</v>
      </c>
      <c r="G1149" s="328">
        <v>136</v>
      </c>
      <c r="H1149" s="347">
        <f t="shared" si="14"/>
        <v>0</v>
      </c>
      <c r="I1149" s="331" t="s">
        <v>15214</v>
      </c>
    </row>
    <row r="1150" spans="1:9" x14ac:dyDescent="0.25">
      <c r="A1150" s="319">
        <v>42987</v>
      </c>
      <c r="B1150" s="320" t="s">
        <v>28880</v>
      </c>
      <c r="C1150" s="321">
        <v>126909</v>
      </c>
      <c r="D1150" s="390" t="s">
        <v>15417</v>
      </c>
      <c r="E1150" s="322">
        <v>5743.4</v>
      </c>
      <c r="F1150" s="323">
        <v>42988</v>
      </c>
      <c r="G1150" s="322">
        <v>5743.4</v>
      </c>
      <c r="H1150" s="322">
        <f t="shared" si="14"/>
        <v>0</v>
      </c>
      <c r="I1150" s="325" t="s">
        <v>15214</v>
      </c>
    </row>
    <row r="1151" spans="1:9" x14ac:dyDescent="0.25">
      <c r="A1151" s="359">
        <v>42987</v>
      </c>
      <c r="B1151" s="326" t="s">
        <v>28881</v>
      </c>
      <c r="C1151" s="327">
        <v>126910</v>
      </c>
      <c r="D1151" s="391" t="s">
        <v>16139</v>
      </c>
      <c r="E1151" s="328">
        <v>3373.3</v>
      </c>
      <c r="F1151" s="329">
        <v>42990</v>
      </c>
      <c r="G1151" s="328">
        <v>3373.3</v>
      </c>
      <c r="H1151" s="347">
        <f t="shared" si="14"/>
        <v>0</v>
      </c>
      <c r="I1151" s="331" t="s">
        <v>15214</v>
      </c>
    </row>
    <row r="1152" spans="1:9" x14ac:dyDescent="0.25">
      <c r="A1152" s="319">
        <v>42987</v>
      </c>
      <c r="B1152" s="320" t="s">
        <v>28882</v>
      </c>
      <c r="C1152" s="321">
        <v>126911</v>
      </c>
      <c r="D1152" s="390" t="s">
        <v>15699</v>
      </c>
      <c r="E1152" s="322">
        <v>7869.85</v>
      </c>
      <c r="F1152" s="323" t="s">
        <v>22723</v>
      </c>
      <c r="G1152" s="322">
        <v>7869.85</v>
      </c>
      <c r="H1152" s="322">
        <f t="shared" si="14"/>
        <v>0</v>
      </c>
      <c r="I1152" s="325" t="s">
        <v>15214</v>
      </c>
    </row>
    <row r="1153" spans="1:9" x14ac:dyDescent="0.25">
      <c r="A1153" s="359">
        <v>42987</v>
      </c>
      <c r="B1153" s="326" t="s">
        <v>28883</v>
      </c>
      <c r="C1153" s="327">
        <v>126912</v>
      </c>
      <c r="D1153" s="391" t="s">
        <v>15396</v>
      </c>
      <c r="E1153" s="328">
        <v>5348.48</v>
      </c>
      <c r="F1153" s="329">
        <v>42987</v>
      </c>
      <c r="G1153" s="328">
        <v>5348.48</v>
      </c>
      <c r="H1153" s="347">
        <f t="shared" si="14"/>
        <v>0</v>
      </c>
      <c r="I1153" s="331" t="s">
        <v>15214</v>
      </c>
    </row>
    <row r="1154" spans="1:9" x14ac:dyDescent="0.25">
      <c r="A1154" s="319">
        <v>42987</v>
      </c>
      <c r="B1154" s="320" t="s">
        <v>28884</v>
      </c>
      <c r="C1154" s="321">
        <v>126913</v>
      </c>
      <c r="D1154" s="390" t="s">
        <v>15324</v>
      </c>
      <c r="E1154" s="322">
        <v>2855</v>
      </c>
      <c r="F1154" s="323">
        <v>42987</v>
      </c>
      <c r="G1154" s="322">
        <v>2855</v>
      </c>
      <c r="H1154" s="322">
        <f t="shared" si="14"/>
        <v>0</v>
      </c>
      <c r="I1154" s="325" t="s">
        <v>15214</v>
      </c>
    </row>
    <row r="1155" spans="1:9" x14ac:dyDescent="0.25">
      <c r="A1155" s="359">
        <v>42987</v>
      </c>
      <c r="B1155" s="326" t="s">
        <v>28885</v>
      </c>
      <c r="C1155" s="327">
        <v>126914</v>
      </c>
      <c r="D1155" s="391" t="s">
        <v>19302</v>
      </c>
      <c r="E1155" s="328">
        <v>1200</v>
      </c>
      <c r="F1155" s="329">
        <v>42987</v>
      </c>
      <c r="G1155" s="328">
        <v>1200</v>
      </c>
      <c r="H1155" s="347">
        <f t="shared" si="14"/>
        <v>0</v>
      </c>
      <c r="I1155" s="331" t="s">
        <v>15214</v>
      </c>
    </row>
    <row r="1156" spans="1:9" x14ac:dyDescent="0.25">
      <c r="A1156" s="319">
        <v>42987</v>
      </c>
      <c r="B1156" s="320" t="s">
        <v>28886</v>
      </c>
      <c r="C1156" s="321">
        <v>126915</v>
      </c>
      <c r="D1156" s="390" t="s">
        <v>16288</v>
      </c>
      <c r="E1156" s="322">
        <v>936.7</v>
      </c>
      <c r="F1156" s="323">
        <v>42988</v>
      </c>
      <c r="G1156" s="322">
        <v>936.7</v>
      </c>
      <c r="H1156" s="322">
        <f t="shared" si="14"/>
        <v>0</v>
      </c>
      <c r="I1156" s="325" t="s">
        <v>15214</v>
      </c>
    </row>
    <row r="1157" spans="1:9" x14ac:dyDescent="0.25">
      <c r="A1157" s="359">
        <v>42987</v>
      </c>
      <c r="B1157" s="326" t="s">
        <v>28887</v>
      </c>
      <c r="C1157" s="327">
        <v>126916</v>
      </c>
      <c r="D1157" s="391" t="s">
        <v>15398</v>
      </c>
      <c r="E1157" s="328">
        <v>10126.5</v>
      </c>
      <c r="F1157" s="329">
        <v>42989</v>
      </c>
      <c r="G1157" s="328">
        <v>10126.5</v>
      </c>
      <c r="H1157" s="347">
        <f t="shared" si="14"/>
        <v>0</v>
      </c>
      <c r="I1157" s="331" t="s">
        <v>15214</v>
      </c>
    </row>
    <row r="1158" spans="1:9" x14ac:dyDescent="0.25">
      <c r="A1158" s="319">
        <v>42987</v>
      </c>
      <c r="B1158" s="320" t="s">
        <v>28888</v>
      </c>
      <c r="C1158" s="321">
        <v>126917</v>
      </c>
      <c r="D1158" s="390" t="s">
        <v>15284</v>
      </c>
      <c r="E1158" s="322">
        <v>1575.4</v>
      </c>
      <c r="F1158" s="323">
        <v>42987</v>
      </c>
      <c r="G1158" s="322">
        <v>1575.4</v>
      </c>
      <c r="H1158" s="322">
        <f t="shared" si="14"/>
        <v>0</v>
      </c>
      <c r="I1158" s="325" t="s">
        <v>15214</v>
      </c>
    </row>
    <row r="1159" spans="1:9" x14ac:dyDescent="0.25">
      <c r="A1159" s="359">
        <v>42987</v>
      </c>
      <c r="B1159" s="326" t="s">
        <v>28889</v>
      </c>
      <c r="C1159" s="327">
        <v>126918</v>
      </c>
      <c r="D1159" s="391" t="s">
        <v>15282</v>
      </c>
      <c r="E1159" s="328">
        <v>3210.4</v>
      </c>
      <c r="F1159" s="329">
        <v>42987</v>
      </c>
      <c r="G1159" s="328">
        <v>3210.4</v>
      </c>
      <c r="H1159" s="347">
        <f t="shared" si="14"/>
        <v>0</v>
      </c>
      <c r="I1159" s="331" t="s">
        <v>15214</v>
      </c>
    </row>
    <row r="1160" spans="1:9" x14ac:dyDescent="0.25">
      <c r="A1160" s="319">
        <v>42987</v>
      </c>
      <c r="B1160" s="320" t="s">
        <v>28890</v>
      </c>
      <c r="C1160" s="321">
        <v>126919</v>
      </c>
      <c r="D1160" s="390" t="s">
        <v>15378</v>
      </c>
      <c r="E1160" s="322">
        <v>2673</v>
      </c>
      <c r="F1160" s="323">
        <v>42987</v>
      </c>
      <c r="G1160" s="322">
        <v>2673</v>
      </c>
      <c r="H1160" s="322">
        <f t="shared" si="14"/>
        <v>0</v>
      </c>
      <c r="I1160" s="325" t="s">
        <v>15214</v>
      </c>
    </row>
    <row r="1161" spans="1:9" ht="15.75" x14ac:dyDescent="0.25">
      <c r="A1161" s="359">
        <v>42987</v>
      </c>
      <c r="B1161" s="326" t="s">
        <v>28891</v>
      </c>
      <c r="C1161" s="327">
        <v>126920</v>
      </c>
      <c r="D1161" s="345" t="s">
        <v>95</v>
      </c>
      <c r="E1161" s="328">
        <v>0</v>
      </c>
      <c r="F1161" s="346" t="s">
        <v>95</v>
      </c>
      <c r="G1161" s="328">
        <v>0</v>
      </c>
      <c r="H1161" s="347">
        <f t="shared" si="14"/>
        <v>0</v>
      </c>
      <c r="I1161" s="331" t="s">
        <v>95</v>
      </c>
    </row>
    <row r="1162" spans="1:9" ht="30" x14ac:dyDescent="0.25">
      <c r="A1162" s="319">
        <v>42987</v>
      </c>
      <c r="B1162" s="320" t="s">
        <v>28892</v>
      </c>
      <c r="C1162" s="321">
        <v>126921</v>
      </c>
      <c r="D1162" s="390" t="s">
        <v>15624</v>
      </c>
      <c r="E1162" s="322">
        <v>33243.300000000003</v>
      </c>
      <c r="F1162" s="323" t="s">
        <v>28893</v>
      </c>
      <c r="G1162" s="334">
        <f>292.6+32950.7</f>
        <v>33243.299999999996</v>
      </c>
      <c r="H1162" s="334">
        <f t="shared" si="14"/>
        <v>0</v>
      </c>
      <c r="I1162" s="325" t="s">
        <v>15214</v>
      </c>
    </row>
    <row r="1163" spans="1:9" x14ac:dyDescent="0.25">
      <c r="A1163" s="359">
        <v>42987</v>
      </c>
      <c r="B1163" s="326" t="s">
        <v>28894</v>
      </c>
      <c r="C1163" s="327">
        <v>126922</v>
      </c>
      <c r="D1163" s="391" t="s">
        <v>15267</v>
      </c>
      <c r="E1163" s="328">
        <v>89590.45</v>
      </c>
      <c r="F1163" s="329">
        <v>42987</v>
      </c>
      <c r="G1163" s="328">
        <v>89590.45</v>
      </c>
      <c r="H1163" s="347">
        <f t="shared" si="14"/>
        <v>0</v>
      </c>
      <c r="I1163" s="331" t="s">
        <v>15214</v>
      </c>
    </row>
    <row r="1164" spans="1:9" x14ac:dyDescent="0.25">
      <c r="A1164" s="319">
        <v>42987</v>
      </c>
      <c r="B1164" s="320" t="s">
        <v>28895</v>
      </c>
      <c r="C1164" s="321">
        <v>126923</v>
      </c>
      <c r="D1164" s="390" t="s">
        <v>15566</v>
      </c>
      <c r="E1164" s="322">
        <v>854.7</v>
      </c>
      <c r="F1164" s="323">
        <v>42987</v>
      </c>
      <c r="G1164" s="322">
        <v>854.7</v>
      </c>
      <c r="H1164" s="322">
        <f t="shared" si="14"/>
        <v>0</v>
      </c>
      <c r="I1164" s="325" t="s">
        <v>15214</v>
      </c>
    </row>
    <row r="1165" spans="1:9" x14ac:dyDescent="0.25">
      <c r="A1165" s="359">
        <v>42987</v>
      </c>
      <c r="B1165" s="326" t="s">
        <v>28896</v>
      </c>
      <c r="C1165" s="327">
        <v>126924</v>
      </c>
      <c r="D1165" s="391" t="s">
        <v>15566</v>
      </c>
      <c r="E1165" s="328">
        <v>262.2</v>
      </c>
      <c r="F1165" s="329">
        <v>42987</v>
      </c>
      <c r="G1165" s="328">
        <v>262.2</v>
      </c>
      <c r="H1165" s="347">
        <f t="shared" si="14"/>
        <v>0</v>
      </c>
      <c r="I1165" s="331" t="s">
        <v>15214</v>
      </c>
    </row>
    <row r="1166" spans="1:9" x14ac:dyDescent="0.25">
      <c r="A1166" s="319">
        <v>42987</v>
      </c>
      <c r="B1166" s="320" t="s">
        <v>28897</v>
      </c>
      <c r="C1166" s="321">
        <v>126925</v>
      </c>
      <c r="D1166" s="390" t="s">
        <v>19768</v>
      </c>
      <c r="E1166" s="322">
        <v>2400</v>
      </c>
      <c r="F1166" s="323">
        <v>42987</v>
      </c>
      <c r="G1166" s="322">
        <v>2400</v>
      </c>
      <c r="H1166" s="322">
        <f t="shared" si="14"/>
        <v>0</v>
      </c>
      <c r="I1166" s="325" t="s">
        <v>15214</v>
      </c>
    </row>
    <row r="1167" spans="1:9" x14ac:dyDescent="0.25">
      <c r="A1167" s="359">
        <v>42987</v>
      </c>
      <c r="B1167" s="326" t="s">
        <v>28898</v>
      </c>
      <c r="C1167" s="327">
        <v>126926</v>
      </c>
      <c r="D1167" s="391" t="s">
        <v>15628</v>
      </c>
      <c r="E1167" s="328">
        <v>10269.5</v>
      </c>
      <c r="F1167" s="329">
        <v>42992</v>
      </c>
      <c r="G1167" s="328">
        <v>10269.5</v>
      </c>
      <c r="H1167" s="347">
        <f t="shared" si="14"/>
        <v>0</v>
      </c>
      <c r="I1167" s="331" t="s">
        <v>15214</v>
      </c>
    </row>
    <row r="1168" spans="1:9" x14ac:dyDescent="0.25">
      <c r="A1168" s="319">
        <v>42987</v>
      </c>
      <c r="B1168" s="320" t="s">
        <v>28899</v>
      </c>
      <c r="C1168" s="321">
        <v>126927</v>
      </c>
      <c r="D1168" s="390" t="s">
        <v>15284</v>
      </c>
      <c r="E1168" s="322">
        <v>1063</v>
      </c>
      <c r="F1168" s="323">
        <v>42987</v>
      </c>
      <c r="G1168" s="322">
        <v>1063</v>
      </c>
      <c r="H1168" s="322">
        <f t="shared" si="14"/>
        <v>0</v>
      </c>
      <c r="I1168" s="325" t="s">
        <v>15214</v>
      </c>
    </row>
    <row r="1169" spans="1:9" x14ac:dyDescent="0.25">
      <c r="A1169" s="359">
        <v>42987</v>
      </c>
      <c r="B1169" s="326" t="s">
        <v>28900</v>
      </c>
      <c r="C1169" s="327">
        <v>126928</v>
      </c>
      <c r="D1169" s="391" t="s">
        <v>15315</v>
      </c>
      <c r="E1169" s="328">
        <v>396</v>
      </c>
      <c r="F1169" s="329">
        <v>42987</v>
      </c>
      <c r="G1169" s="328">
        <v>396</v>
      </c>
      <c r="H1169" s="347">
        <f t="shared" si="14"/>
        <v>0</v>
      </c>
      <c r="I1169" s="331" t="s">
        <v>15214</v>
      </c>
    </row>
    <row r="1170" spans="1:9" ht="15.75" x14ac:dyDescent="0.25">
      <c r="A1170" s="319">
        <v>42987</v>
      </c>
      <c r="B1170" s="320" t="s">
        <v>28901</v>
      </c>
      <c r="C1170" s="321">
        <v>126929</v>
      </c>
      <c r="D1170" s="332" t="s">
        <v>95</v>
      </c>
      <c r="E1170" s="322">
        <v>0</v>
      </c>
      <c r="F1170" s="333" t="s">
        <v>95</v>
      </c>
      <c r="G1170" s="322">
        <v>0</v>
      </c>
      <c r="H1170" s="322">
        <f t="shared" si="14"/>
        <v>0</v>
      </c>
      <c r="I1170" s="325" t="s">
        <v>95</v>
      </c>
    </row>
    <row r="1171" spans="1:9" ht="15.75" x14ac:dyDescent="0.25">
      <c r="A1171" s="359">
        <v>42987</v>
      </c>
      <c r="B1171" s="326" t="s">
        <v>28902</v>
      </c>
      <c r="C1171" s="327">
        <v>126930</v>
      </c>
      <c r="D1171" s="345" t="s">
        <v>95</v>
      </c>
      <c r="E1171" s="328">
        <v>0</v>
      </c>
      <c r="F1171" s="346" t="s">
        <v>95</v>
      </c>
      <c r="G1171" s="328">
        <v>0</v>
      </c>
      <c r="H1171" s="347">
        <f t="shared" si="14"/>
        <v>0</v>
      </c>
      <c r="I1171" s="331" t="s">
        <v>95</v>
      </c>
    </row>
    <row r="1172" spans="1:9" x14ac:dyDescent="0.25">
      <c r="A1172" s="319">
        <v>42987</v>
      </c>
      <c r="B1172" s="320" t="s">
        <v>28903</v>
      </c>
      <c r="C1172" s="321">
        <v>126931</v>
      </c>
      <c r="D1172" s="390" t="s">
        <v>15884</v>
      </c>
      <c r="E1172" s="322">
        <v>290</v>
      </c>
      <c r="F1172" s="323">
        <v>42987</v>
      </c>
      <c r="G1172" s="322">
        <v>290</v>
      </c>
      <c r="H1172" s="322">
        <f t="shared" si="14"/>
        <v>0</v>
      </c>
      <c r="I1172" s="325" t="s">
        <v>15214</v>
      </c>
    </row>
    <row r="1173" spans="1:9" x14ac:dyDescent="0.25">
      <c r="A1173" s="359">
        <v>42987</v>
      </c>
      <c r="B1173" s="326" t="s">
        <v>28904</v>
      </c>
      <c r="C1173" s="327">
        <v>126932</v>
      </c>
      <c r="D1173" s="391" t="s">
        <v>15920</v>
      </c>
      <c r="E1173" s="328">
        <v>4939.2</v>
      </c>
      <c r="F1173" s="329">
        <v>42988</v>
      </c>
      <c r="G1173" s="328">
        <v>4939.2</v>
      </c>
      <c r="H1173" s="347">
        <f t="shared" si="14"/>
        <v>0</v>
      </c>
      <c r="I1173" s="331" t="s">
        <v>15214</v>
      </c>
    </row>
    <row r="1174" spans="1:9" x14ac:dyDescent="0.25">
      <c r="A1174" s="319">
        <v>42987</v>
      </c>
      <c r="B1174" s="320" t="s">
        <v>28905</v>
      </c>
      <c r="C1174" s="321">
        <v>126933</v>
      </c>
      <c r="D1174" s="390" t="s">
        <v>17708</v>
      </c>
      <c r="E1174" s="322">
        <v>3529.1</v>
      </c>
      <c r="F1174" s="323">
        <v>42988</v>
      </c>
      <c r="G1174" s="322">
        <v>3529.1</v>
      </c>
      <c r="H1174" s="322">
        <f t="shared" si="14"/>
        <v>0</v>
      </c>
      <c r="I1174" s="325" t="s">
        <v>15214</v>
      </c>
    </row>
    <row r="1175" spans="1:9" x14ac:dyDescent="0.25">
      <c r="A1175" s="359">
        <v>42987</v>
      </c>
      <c r="B1175" s="326" t="s">
        <v>28906</v>
      </c>
      <c r="C1175" s="327">
        <v>126934</v>
      </c>
      <c r="D1175" s="391" t="s">
        <v>15856</v>
      </c>
      <c r="E1175" s="328">
        <v>770</v>
      </c>
      <c r="F1175" s="329">
        <v>42988</v>
      </c>
      <c r="G1175" s="328">
        <v>770</v>
      </c>
      <c r="H1175" s="347">
        <f t="shared" si="14"/>
        <v>0</v>
      </c>
      <c r="I1175" s="331" t="s">
        <v>15214</v>
      </c>
    </row>
    <row r="1176" spans="1:9" x14ac:dyDescent="0.25">
      <c r="A1176" s="319">
        <v>42987</v>
      </c>
      <c r="B1176" s="320" t="s">
        <v>28907</v>
      </c>
      <c r="C1176" s="321">
        <v>126935</v>
      </c>
      <c r="D1176" s="390" t="s">
        <v>28908</v>
      </c>
      <c r="E1176" s="322">
        <v>2036.9</v>
      </c>
      <c r="F1176" s="323">
        <v>42988</v>
      </c>
      <c r="G1176" s="322">
        <v>2036.9</v>
      </c>
      <c r="H1176" s="322">
        <f t="shared" si="14"/>
        <v>0</v>
      </c>
      <c r="I1176" s="325" t="s">
        <v>15214</v>
      </c>
    </row>
    <row r="1177" spans="1:9" x14ac:dyDescent="0.25">
      <c r="A1177" s="359">
        <v>42987</v>
      </c>
      <c r="B1177" s="326" t="s">
        <v>28909</v>
      </c>
      <c r="C1177" s="327">
        <v>126936</v>
      </c>
      <c r="D1177" s="391" t="s">
        <v>15581</v>
      </c>
      <c r="E1177" s="328">
        <v>1856.4</v>
      </c>
      <c r="F1177" s="329">
        <v>42990</v>
      </c>
      <c r="G1177" s="328">
        <v>1856.4</v>
      </c>
      <c r="H1177" s="347">
        <f t="shared" si="14"/>
        <v>0</v>
      </c>
      <c r="I1177" s="331" t="s">
        <v>15214</v>
      </c>
    </row>
    <row r="1178" spans="1:9" x14ac:dyDescent="0.25">
      <c r="A1178" s="319">
        <v>42987</v>
      </c>
      <c r="B1178" s="320" t="s">
        <v>28910</v>
      </c>
      <c r="C1178" s="321">
        <v>126937</v>
      </c>
      <c r="D1178" s="390" t="s">
        <v>15391</v>
      </c>
      <c r="E1178" s="322">
        <v>12313.6</v>
      </c>
      <c r="F1178" s="323">
        <v>42990</v>
      </c>
      <c r="G1178" s="322">
        <v>12313.6</v>
      </c>
      <c r="H1178" s="322">
        <f t="shared" si="14"/>
        <v>0</v>
      </c>
      <c r="I1178" s="325" t="s">
        <v>15214</v>
      </c>
    </row>
    <row r="1179" spans="1:9" x14ac:dyDescent="0.25">
      <c r="A1179" s="359">
        <v>42987</v>
      </c>
      <c r="B1179" s="326" t="s">
        <v>28911</v>
      </c>
      <c r="C1179" s="327">
        <v>126938</v>
      </c>
      <c r="D1179" s="391" t="s">
        <v>15367</v>
      </c>
      <c r="E1179" s="328">
        <v>1200</v>
      </c>
      <c r="F1179" s="329">
        <v>42987</v>
      </c>
      <c r="G1179" s="328">
        <v>1200</v>
      </c>
      <c r="H1179" s="347">
        <f t="shared" si="14"/>
        <v>0</v>
      </c>
      <c r="I1179" s="331" t="s">
        <v>15214</v>
      </c>
    </row>
    <row r="1180" spans="1:9" x14ac:dyDescent="0.25">
      <c r="A1180" s="319">
        <v>42987</v>
      </c>
      <c r="B1180" s="320" t="s">
        <v>28912</v>
      </c>
      <c r="C1180" s="321">
        <v>126939</v>
      </c>
      <c r="D1180" s="390" t="s">
        <v>15789</v>
      </c>
      <c r="E1180" s="322">
        <v>28858.799999999999</v>
      </c>
      <c r="F1180" s="323">
        <v>42994</v>
      </c>
      <c r="G1180" s="322">
        <v>28858.799999999999</v>
      </c>
      <c r="H1180" s="322">
        <f t="shared" si="14"/>
        <v>0</v>
      </c>
      <c r="I1180" s="325" t="s">
        <v>15214</v>
      </c>
    </row>
    <row r="1181" spans="1:9" x14ac:dyDescent="0.25">
      <c r="A1181" s="359">
        <v>42987</v>
      </c>
      <c r="B1181" s="326" t="s">
        <v>28913</v>
      </c>
      <c r="C1181" s="327">
        <v>126940</v>
      </c>
      <c r="D1181" s="391" t="s">
        <v>15263</v>
      </c>
      <c r="E1181" s="328">
        <v>919.1</v>
      </c>
      <c r="F1181" s="329">
        <v>42987</v>
      </c>
      <c r="G1181" s="328">
        <v>919.1</v>
      </c>
      <c r="H1181" s="347">
        <f t="shared" si="14"/>
        <v>0</v>
      </c>
      <c r="I1181" s="331" t="s">
        <v>15214</v>
      </c>
    </row>
    <row r="1182" spans="1:9" x14ac:dyDescent="0.25">
      <c r="A1182" s="319">
        <v>42987</v>
      </c>
      <c r="B1182" s="320" t="s">
        <v>28914</v>
      </c>
      <c r="C1182" s="321">
        <v>126941</v>
      </c>
      <c r="D1182" s="390" t="s">
        <v>15223</v>
      </c>
      <c r="E1182" s="322">
        <v>10.47</v>
      </c>
      <c r="F1182" s="323">
        <v>42991</v>
      </c>
      <c r="G1182" s="322">
        <v>10.47</v>
      </c>
      <c r="H1182" s="322">
        <f t="shared" si="14"/>
        <v>0</v>
      </c>
      <c r="I1182" s="325" t="s">
        <v>15214</v>
      </c>
    </row>
    <row r="1183" spans="1:9" x14ac:dyDescent="0.25">
      <c r="A1183" s="359">
        <v>42987</v>
      </c>
      <c r="B1183" s="326" t="s">
        <v>28915</v>
      </c>
      <c r="C1183" s="327">
        <v>126942</v>
      </c>
      <c r="D1183" s="391" t="s">
        <v>15226</v>
      </c>
      <c r="E1183" s="328">
        <v>1386.7</v>
      </c>
      <c r="F1183" s="329">
        <v>42996</v>
      </c>
      <c r="G1183" s="328">
        <v>1386.7</v>
      </c>
      <c r="H1183" s="347">
        <f t="shared" si="14"/>
        <v>0</v>
      </c>
      <c r="I1183" s="331" t="s">
        <v>15214</v>
      </c>
    </row>
    <row r="1184" spans="1:9" x14ac:dyDescent="0.25">
      <c r="A1184" s="319">
        <v>42987</v>
      </c>
      <c r="B1184" s="320" t="s">
        <v>28916</v>
      </c>
      <c r="C1184" s="321">
        <v>126943</v>
      </c>
      <c r="D1184" s="390" t="s">
        <v>17595</v>
      </c>
      <c r="E1184" s="322">
        <v>5731</v>
      </c>
      <c r="F1184" s="323">
        <v>42987</v>
      </c>
      <c r="G1184" s="322">
        <v>5731</v>
      </c>
      <c r="H1184" s="322">
        <f t="shared" si="14"/>
        <v>0</v>
      </c>
      <c r="I1184" s="325" t="s">
        <v>15214</v>
      </c>
    </row>
    <row r="1185" spans="1:9" x14ac:dyDescent="0.25">
      <c r="A1185" s="359">
        <v>42987</v>
      </c>
      <c r="B1185" s="326" t="s">
        <v>28917</v>
      </c>
      <c r="C1185" s="327">
        <v>126944</v>
      </c>
      <c r="D1185" s="391" t="s">
        <v>15407</v>
      </c>
      <c r="E1185" s="328">
        <v>870</v>
      </c>
      <c r="F1185" s="329">
        <v>42987</v>
      </c>
      <c r="G1185" s="328">
        <v>870</v>
      </c>
      <c r="H1185" s="347">
        <f t="shared" si="14"/>
        <v>0</v>
      </c>
      <c r="I1185" s="331" t="s">
        <v>15214</v>
      </c>
    </row>
    <row r="1186" spans="1:9" x14ac:dyDescent="0.25">
      <c r="A1186" s="319">
        <v>42987</v>
      </c>
      <c r="B1186" s="320" t="s">
        <v>28918</v>
      </c>
      <c r="C1186" s="321">
        <v>126945</v>
      </c>
      <c r="D1186" s="390" t="s">
        <v>15407</v>
      </c>
      <c r="E1186" s="322">
        <v>7771.6</v>
      </c>
      <c r="F1186" s="323">
        <v>42987</v>
      </c>
      <c r="G1186" s="322">
        <v>7771.6</v>
      </c>
      <c r="H1186" s="322">
        <f t="shared" si="14"/>
        <v>0</v>
      </c>
      <c r="I1186" s="325" t="s">
        <v>15214</v>
      </c>
    </row>
    <row r="1187" spans="1:9" ht="15.75" x14ac:dyDescent="0.25">
      <c r="A1187" s="359">
        <v>42987</v>
      </c>
      <c r="B1187" s="326" t="s">
        <v>28919</v>
      </c>
      <c r="C1187" s="327">
        <v>126946</v>
      </c>
      <c r="D1187" s="345" t="s">
        <v>95</v>
      </c>
      <c r="E1187" s="328">
        <v>0</v>
      </c>
      <c r="F1187" s="346" t="s">
        <v>95</v>
      </c>
      <c r="G1187" s="328">
        <v>0</v>
      </c>
      <c r="H1187" s="347">
        <f t="shared" si="14"/>
        <v>0</v>
      </c>
      <c r="I1187" s="331" t="s">
        <v>95</v>
      </c>
    </row>
    <row r="1188" spans="1:9" ht="30" x14ac:dyDescent="0.25">
      <c r="A1188" s="319">
        <v>42987</v>
      </c>
      <c r="B1188" s="320" t="s">
        <v>28920</v>
      </c>
      <c r="C1188" s="321">
        <v>126947</v>
      </c>
      <c r="D1188" s="390" t="s">
        <v>15322</v>
      </c>
      <c r="E1188" s="322">
        <v>4284</v>
      </c>
      <c r="F1188" s="323" t="s">
        <v>28921</v>
      </c>
      <c r="G1188" s="334">
        <f>2000+2284</f>
        <v>4284</v>
      </c>
      <c r="H1188" s="334">
        <f t="shared" si="14"/>
        <v>0</v>
      </c>
      <c r="I1188" s="325" t="s">
        <v>15214</v>
      </c>
    </row>
    <row r="1189" spans="1:9" x14ac:dyDescent="0.25">
      <c r="A1189" s="359">
        <v>42987</v>
      </c>
      <c r="B1189" s="326" t="s">
        <v>28922</v>
      </c>
      <c r="C1189" s="327">
        <v>126948</v>
      </c>
      <c r="D1189" s="391" t="s">
        <v>15220</v>
      </c>
      <c r="E1189" s="328">
        <v>5280</v>
      </c>
      <c r="F1189" s="329">
        <v>42988</v>
      </c>
      <c r="G1189" s="328">
        <v>5280</v>
      </c>
      <c r="H1189" s="347">
        <f t="shared" si="14"/>
        <v>0</v>
      </c>
      <c r="I1189" s="331" t="s">
        <v>15214</v>
      </c>
    </row>
    <row r="1190" spans="1:9" ht="15.75" x14ac:dyDescent="0.25">
      <c r="A1190" s="319">
        <v>42987</v>
      </c>
      <c r="B1190" s="320" t="s">
        <v>28923</v>
      </c>
      <c r="C1190" s="321">
        <v>126949</v>
      </c>
      <c r="D1190" s="332" t="s">
        <v>95</v>
      </c>
      <c r="E1190" s="322">
        <v>0</v>
      </c>
      <c r="F1190" s="333" t="s">
        <v>95</v>
      </c>
      <c r="G1190" s="322">
        <v>0</v>
      </c>
      <c r="H1190" s="322">
        <f t="shared" si="14"/>
        <v>0</v>
      </c>
      <c r="I1190" s="325" t="s">
        <v>95</v>
      </c>
    </row>
    <row r="1191" spans="1:9" x14ac:dyDescent="0.25">
      <c r="A1191" s="359">
        <v>42987</v>
      </c>
      <c r="B1191" s="326" t="s">
        <v>28924</v>
      </c>
      <c r="C1191" s="327">
        <v>126950</v>
      </c>
      <c r="D1191" s="391" t="s">
        <v>15250</v>
      </c>
      <c r="E1191" s="328">
        <v>34733.81</v>
      </c>
      <c r="F1191" s="329">
        <v>43001</v>
      </c>
      <c r="G1191" s="328">
        <v>34733.81</v>
      </c>
      <c r="H1191" s="347">
        <f t="shared" si="14"/>
        <v>0</v>
      </c>
      <c r="I1191" s="331" t="s">
        <v>15214</v>
      </c>
    </row>
    <row r="1192" spans="1:9" x14ac:dyDescent="0.25">
      <c r="A1192" s="319">
        <v>42987</v>
      </c>
      <c r="B1192" s="320" t="s">
        <v>28925</v>
      </c>
      <c r="C1192" s="321">
        <v>126951</v>
      </c>
      <c r="D1192" s="390" t="s">
        <v>15530</v>
      </c>
      <c r="E1192" s="322">
        <v>737.3</v>
      </c>
      <c r="F1192" s="323">
        <v>42987</v>
      </c>
      <c r="G1192" s="322">
        <v>737.3</v>
      </c>
      <c r="H1192" s="322">
        <f t="shared" si="14"/>
        <v>0</v>
      </c>
      <c r="I1192" s="325" t="s">
        <v>15214</v>
      </c>
    </row>
    <row r="1193" spans="1:9" x14ac:dyDescent="0.25">
      <c r="A1193" s="359">
        <v>42987</v>
      </c>
      <c r="B1193" s="326" t="s">
        <v>28926</v>
      </c>
      <c r="C1193" s="327">
        <v>126952</v>
      </c>
      <c r="D1193" s="391" t="s">
        <v>15681</v>
      </c>
      <c r="E1193" s="328">
        <v>2763.2</v>
      </c>
      <c r="F1193" s="329">
        <v>42988</v>
      </c>
      <c r="G1193" s="328">
        <v>2763.2</v>
      </c>
      <c r="H1193" s="347">
        <f t="shared" si="14"/>
        <v>0</v>
      </c>
      <c r="I1193" s="331" t="s">
        <v>15214</v>
      </c>
    </row>
    <row r="1194" spans="1:9" x14ac:dyDescent="0.25">
      <c r="A1194" s="319">
        <v>42987</v>
      </c>
      <c r="B1194" s="320" t="s">
        <v>28927</v>
      </c>
      <c r="C1194" s="321">
        <v>126953</v>
      </c>
      <c r="D1194" s="390" t="s">
        <v>15642</v>
      </c>
      <c r="E1194" s="322">
        <v>8234.1</v>
      </c>
      <c r="F1194" s="323">
        <v>42988</v>
      </c>
      <c r="G1194" s="322">
        <v>8234.1</v>
      </c>
      <c r="H1194" s="322">
        <f t="shared" si="14"/>
        <v>0</v>
      </c>
      <c r="I1194" s="325" t="s">
        <v>15214</v>
      </c>
    </row>
    <row r="1195" spans="1:9" x14ac:dyDescent="0.25">
      <c r="A1195" s="359">
        <v>42987</v>
      </c>
      <c r="B1195" s="326" t="s">
        <v>28928</v>
      </c>
      <c r="C1195" s="327">
        <v>126954</v>
      </c>
      <c r="D1195" s="391" t="s">
        <v>15378</v>
      </c>
      <c r="E1195" s="328">
        <v>350</v>
      </c>
      <c r="F1195" s="329">
        <v>42988</v>
      </c>
      <c r="G1195" s="328">
        <v>350</v>
      </c>
      <c r="H1195" s="347">
        <f t="shared" si="14"/>
        <v>0</v>
      </c>
      <c r="I1195" s="331" t="s">
        <v>15214</v>
      </c>
    </row>
    <row r="1196" spans="1:9" x14ac:dyDescent="0.25">
      <c r="A1196" s="319">
        <v>42987</v>
      </c>
      <c r="B1196" s="320" t="s">
        <v>28929</v>
      </c>
      <c r="C1196" s="321">
        <v>126955</v>
      </c>
      <c r="D1196" s="390" t="s">
        <v>16313</v>
      </c>
      <c r="E1196" s="322">
        <v>4327.2</v>
      </c>
      <c r="F1196" s="323">
        <v>42989</v>
      </c>
      <c r="G1196" s="322">
        <v>4327.2</v>
      </c>
      <c r="H1196" s="322">
        <f t="shared" si="14"/>
        <v>0</v>
      </c>
      <c r="I1196" s="325" t="s">
        <v>15214</v>
      </c>
    </row>
    <row r="1197" spans="1:9" x14ac:dyDescent="0.25">
      <c r="A1197" s="359">
        <v>42987</v>
      </c>
      <c r="B1197" s="326" t="s">
        <v>28930</v>
      </c>
      <c r="C1197" s="327">
        <v>126956</v>
      </c>
      <c r="D1197" s="391" t="s">
        <v>15213</v>
      </c>
      <c r="E1197" s="328">
        <v>777.6</v>
      </c>
      <c r="F1197" s="329">
        <v>42989</v>
      </c>
      <c r="G1197" s="328">
        <v>777.6</v>
      </c>
      <c r="H1197" s="347">
        <f t="shared" si="14"/>
        <v>0</v>
      </c>
      <c r="I1197" s="331" t="s">
        <v>15214</v>
      </c>
    </row>
    <row r="1198" spans="1:9" x14ac:dyDescent="0.25">
      <c r="A1198" s="319">
        <v>42987</v>
      </c>
      <c r="B1198" s="320" t="s">
        <v>28931</v>
      </c>
      <c r="C1198" s="321">
        <v>126957</v>
      </c>
      <c r="D1198" s="390" t="s">
        <v>15267</v>
      </c>
      <c r="E1198" s="322">
        <v>61982</v>
      </c>
      <c r="F1198" s="323">
        <v>42998</v>
      </c>
      <c r="G1198" s="322">
        <v>61982</v>
      </c>
      <c r="H1198" s="322">
        <f t="shared" si="14"/>
        <v>0</v>
      </c>
      <c r="I1198" s="325" t="s">
        <v>15214</v>
      </c>
    </row>
    <row r="1199" spans="1:9" x14ac:dyDescent="0.25">
      <c r="A1199" s="359">
        <v>42987</v>
      </c>
      <c r="B1199" s="326" t="s">
        <v>28932</v>
      </c>
      <c r="C1199" s="327">
        <v>126958</v>
      </c>
      <c r="D1199" s="391" t="s">
        <v>15313</v>
      </c>
      <c r="E1199" s="328">
        <v>9349</v>
      </c>
      <c r="F1199" s="329">
        <v>42996</v>
      </c>
      <c r="G1199" s="328">
        <v>9349</v>
      </c>
      <c r="H1199" s="347">
        <f t="shared" si="14"/>
        <v>0</v>
      </c>
      <c r="I1199" s="331" t="s">
        <v>15214</v>
      </c>
    </row>
    <row r="1200" spans="1:9" x14ac:dyDescent="0.25">
      <c r="A1200" s="319">
        <v>42987</v>
      </c>
      <c r="B1200" s="320" t="s">
        <v>28933</v>
      </c>
      <c r="C1200" s="321">
        <v>126959</v>
      </c>
      <c r="D1200" s="390" t="s">
        <v>15246</v>
      </c>
      <c r="E1200" s="322">
        <v>257956.4</v>
      </c>
      <c r="F1200" s="323">
        <v>42990</v>
      </c>
      <c r="G1200" s="322">
        <v>257956.4</v>
      </c>
      <c r="H1200" s="322">
        <f t="shared" si="14"/>
        <v>0</v>
      </c>
      <c r="I1200" s="325" t="s">
        <v>15214</v>
      </c>
    </row>
    <row r="1201" spans="1:9" x14ac:dyDescent="0.25">
      <c r="A1201" s="359">
        <v>42987</v>
      </c>
      <c r="B1201" s="326" t="s">
        <v>28934</v>
      </c>
      <c r="C1201" s="327">
        <v>126960</v>
      </c>
      <c r="D1201" s="391" t="s">
        <v>15246</v>
      </c>
      <c r="E1201" s="328">
        <v>83268.02</v>
      </c>
      <c r="F1201" s="329">
        <v>42990</v>
      </c>
      <c r="G1201" s="328">
        <v>83268.02</v>
      </c>
      <c r="H1201" s="347">
        <f t="shared" ref="H1201:H1264" si="15">E1201-G1201</f>
        <v>0</v>
      </c>
      <c r="I1201" s="331" t="s">
        <v>15214</v>
      </c>
    </row>
    <row r="1202" spans="1:9" x14ac:dyDescent="0.25">
      <c r="A1202" s="319">
        <v>42988</v>
      </c>
      <c r="B1202" s="320" t="s">
        <v>28935</v>
      </c>
      <c r="C1202" s="321">
        <v>126961</v>
      </c>
      <c r="D1202" s="390" t="s">
        <v>21386</v>
      </c>
      <c r="E1202" s="322">
        <v>10830.9</v>
      </c>
      <c r="F1202" s="323">
        <v>42988</v>
      </c>
      <c r="G1202" s="322">
        <v>10830.9</v>
      </c>
      <c r="H1202" s="322">
        <f t="shared" si="15"/>
        <v>0</v>
      </c>
      <c r="I1202" s="325" t="s">
        <v>15214</v>
      </c>
    </row>
    <row r="1203" spans="1:9" x14ac:dyDescent="0.25">
      <c r="A1203" s="359">
        <v>42988</v>
      </c>
      <c r="B1203" s="326" t="s">
        <v>28936</v>
      </c>
      <c r="C1203" s="327">
        <v>126962</v>
      </c>
      <c r="D1203" s="391" t="s">
        <v>15213</v>
      </c>
      <c r="E1203" s="328">
        <v>46406.85</v>
      </c>
      <c r="F1203" s="329">
        <v>42989</v>
      </c>
      <c r="G1203" s="328">
        <v>46406.85</v>
      </c>
      <c r="H1203" s="347">
        <f t="shared" si="15"/>
        <v>0</v>
      </c>
      <c r="I1203" s="331" t="s">
        <v>15214</v>
      </c>
    </row>
    <row r="1204" spans="1:9" x14ac:dyDescent="0.25">
      <c r="A1204" s="319">
        <v>42988</v>
      </c>
      <c r="B1204" s="320" t="s">
        <v>28937</v>
      </c>
      <c r="C1204" s="321">
        <v>126963</v>
      </c>
      <c r="D1204" s="390" t="s">
        <v>15272</v>
      </c>
      <c r="E1204" s="322">
        <v>32433.15</v>
      </c>
      <c r="F1204" s="323">
        <v>42988</v>
      </c>
      <c r="G1204" s="322">
        <v>32433.15</v>
      </c>
      <c r="H1204" s="322">
        <f t="shared" si="15"/>
        <v>0</v>
      </c>
      <c r="I1204" s="325" t="s">
        <v>15214</v>
      </c>
    </row>
    <row r="1205" spans="1:9" x14ac:dyDescent="0.25">
      <c r="A1205" s="359">
        <v>42988</v>
      </c>
      <c r="B1205" s="326" t="s">
        <v>28938</v>
      </c>
      <c r="C1205" s="327">
        <v>126964</v>
      </c>
      <c r="D1205" s="391" t="s">
        <v>15668</v>
      </c>
      <c r="E1205" s="328">
        <v>21547.7</v>
      </c>
      <c r="F1205" s="329">
        <v>42990</v>
      </c>
      <c r="G1205" s="328">
        <v>21547.7</v>
      </c>
      <c r="H1205" s="347">
        <f t="shared" si="15"/>
        <v>0</v>
      </c>
      <c r="I1205" s="331" t="s">
        <v>15214</v>
      </c>
    </row>
    <row r="1206" spans="1:9" x14ac:dyDescent="0.25">
      <c r="A1206" s="319">
        <v>42988</v>
      </c>
      <c r="B1206" s="320" t="s">
        <v>28939</v>
      </c>
      <c r="C1206" s="321">
        <v>126965</v>
      </c>
      <c r="D1206" s="390" t="s">
        <v>15242</v>
      </c>
      <c r="E1206" s="322">
        <v>9765</v>
      </c>
      <c r="F1206" s="323">
        <v>42988</v>
      </c>
      <c r="G1206" s="322">
        <v>9765</v>
      </c>
      <c r="H1206" s="322">
        <f t="shared" si="15"/>
        <v>0</v>
      </c>
      <c r="I1206" s="325" t="s">
        <v>15214</v>
      </c>
    </row>
    <row r="1207" spans="1:9" x14ac:dyDescent="0.25">
      <c r="A1207" s="359">
        <v>42988</v>
      </c>
      <c r="B1207" s="326" t="s">
        <v>28940</v>
      </c>
      <c r="C1207" s="327">
        <v>126966</v>
      </c>
      <c r="D1207" s="391" t="s">
        <v>17462</v>
      </c>
      <c r="E1207" s="328">
        <v>10153.799999999999</v>
      </c>
      <c r="F1207" s="329">
        <v>42988</v>
      </c>
      <c r="G1207" s="328">
        <v>10153.799999999999</v>
      </c>
      <c r="H1207" s="347">
        <f t="shared" si="15"/>
        <v>0</v>
      </c>
      <c r="I1207" s="331" t="s">
        <v>15214</v>
      </c>
    </row>
    <row r="1208" spans="1:9" x14ac:dyDescent="0.25">
      <c r="A1208" s="319">
        <v>42988</v>
      </c>
      <c r="B1208" s="320" t="s">
        <v>28941</v>
      </c>
      <c r="C1208" s="321">
        <v>126967</v>
      </c>
      <c r="D1208" s="390" t="s">
        <v>19302</v>
      </c>
      <c r="E1208" s="322">
        <v>1200</v>
      </c>
      <c r="F1208" s="323">
        <v>42988</v>
      </c>
      <c r="G1208" s="322">
        <v>1200</v>
      </c>
      <c r="H1208" s="322">
        <f t="shared" si="15"/>
        <v>0</v>
      </c>
      <c r="I1208" s="325" t="s">
        <v>15214</v>
      </c>
    </row>
    <row r="1209" spans="1:9" x14ac:dyDescent="0.25">
      <c r="A1209" s="359">
        <v>42988</v>
      </c>
      <c r="B1209" s="326" t="s">
        <v>28942</v>
      </c>
      <c r="C1209" s="327">
        <v>126968</v>
      </c>
      <c r="D1209" s="391" t="s">
        <v>15324</v>
      </c>
      <c r="E1209" s="328">
        <v>1156</v>
      </c>
      <c r="F1209" s="329">
        <v>42988</v>
      </c>
      <c r="G1209" s="328">
        <v>1156</v>
      </c>
      <c r="H1209" s="347">
        <f t="shared" si="15"/>
        <v>0</v>
      </c>
      <c r="I1209" s="331" t="s">
        <v>15214</v>
      </c>
    </row>
    <row r="1210" spans="1:9" x14ac:dyDescent="0.25">
      <c r="A1210" s="319">
        <v>42988</v>
      </c>
      <c r="B1210" s="320" t="s">
        <v>28943</v>
      </c>
      <c r="C1210" s="321">
        <v>126969</v>
      </c>
      <c r="D1210" s="390" t="s">
        <v>15258</v>
      </c>
      <c r="E1210" s="322">
        <v>3785.85</v>
      </c>
      <c r="F1210" s="323">
        <v>42988</v>
      </c>
      <c r="G1210" s="322">
        <v>3785.85</v>
      </c>
      <c r="H1210" s="322">
        <f t="shared" si="15"/>
        <v>0</v>
      </c>
      <c r="I1210" s="325" t="s">
        <v>15214</v>
      </c>
    </row>
    <row r="1211" spans="1:9" x14ac:dyDescent="0.25">
      <c r="A1211" s="359">
        <v>42988</v>
      </c>
      <c r="B1211" s="326" t="s">
        <v>28944</v>
      </c>
      <c r="C1211" s="327">
        <v>126970</v>
      </c>
      <c r="D1211" s="391" t="s">
        <v>15223</v>
      </c>
      <c r="E1211" s="328">
        <v>50427</v>
      </c>
      <c r="F1211" s="329">
        <v>43010</v>
      </c>
      <c r="G1211" s="328">
        <v>50427</v>
      </c>
      <c r="H1211" s="347">
        <f t="shared" si="15"/>
        <v>0</v>
      </c>
      <c r="I1211" s="331" t="s">
        <v>15214</v>
      </c>
    </row>
    <row r="1212" spans="1:9" x14ac:dyDescent="0.25">
      <c r="A1212" s="319">
        <v>42988</v>
      </c>
      <c r="B1212" s="320" t="s">
        <v>28945</v>
      </c>
      <c r="C1212" s="321">
        <v>126971</v>
      </c>
      <c r="D1212" s="390" t="s">
        <v>15818</v>
      </c>
      <c r="E1212" s="322">
        <v>1526.4</v>
      </c>
      <c r="F1212" s="323">
        <v>42988</v>
      </c>
      <c r="G1212" s="322">
        <v>1526.4</v>
      </c>
      <c r="H1212" s="322">
        <f t="shared" si="15"/>
        <v>0</v>
      </c>
      <c r="I1212" s="325" t="s">
        <v>15214</v>
      </c>
    </row>
    <row r="1213" spans="1:9" x14ac:dyDescent="0.25">
      <c r="A1213" s="359">
        <v>42988</v>
      </c>
      <c r="B1213" s="326" t="s">
        <v>28946</v>
      </c>
      <c r="C1213" s="327">
        <v>126972</v>
      </c>
      <c r="D1213" s="391" t="s">
        <v>15352</v>
      </c>
      <c r="E1213" s="328">
        <v>422.2</v>
      </c>
      <c r="F1213" s="329">
        <v>42988</v>
      </c>
      <c r="G1213" s="328">
        <v>422.2</v>
      </c>
      <c r="H1213" s="347">
        <f t="shared" si="15"/>
        <v>0</v>
      </c>
      <c r="I1213" s="331" t="s">
        <v>15214</v>
      </c>
    </row>
    <row r="1214" spans="1:9" x14ac:dyDescent="0.25">
      <c r="A1214" s="319">
        <v>42988</v>
      </c>
      <c r="B1214" s="320" t="s">
        <v>28947</v>
      </c>
      <c r="C1214" s="321">
        <v>126973</v>
      </c>
      <c r="D1214" s="390" t="s">
        <v>18258</v>
      </c>
      <c r="E1214" s="322">
        <v>8568</v>
      </c>
      <c r="F1214" s="323">
        <v>42988</v>
      </c>
      <c r="G1214" s="322">
        <v>8568</v>
      </c>
      <c r="H1214" s="322">
        <f t="shared" si="15"/>
        <v>0</v>
      </c>
      <c r="I1214" s="325" t="s">
        <v>15214</v>
      </c>
    </row>
    <row r="1215" spans="1:9" x14ac:dyDescent="0.25">
      <c r="A1215" s="359">
        <v>42988</v>
      </c>
      <c r="B1215" s="326" t="s">
        <v>28948</v>
      </c>
      <c r="C1215" s="327">
        <v>126974</v>
      </c>
      <c r="D1215" s="391" t="s">
        <v>15248</v>
      </c>
      <c r="E1215" s="328">
        <v>22509.22</v>
      </c>
      <c r="F1215" s="329">
        <v>42988</v>
      </c>
      <c r="G1215" s="328">
        <v>22509.22</v>
      </c>
      <c r="H1215" s="347">
        <f t="shared" si="15"/>
        <v>0</v>
      </c>
      <c r="I1215" s="331" t="s">
        <v>15214</v>
      </c>
    </row>
    <row r="1216" spans="1:9" x14ac:dyDescent="0.25">
      <c r="A1216" s="319">
        <v>42988</v>
      </c>
      <c r="B1216" s="320" t="s">
        <v>28949</v>
      </c>
      <c r="C1216" s="321">
        <v>126975</v>
      </c>
      <c r="D1216" s="390" t="s">
        <v>15263</v>
      </c>
      <c r="E1216" s="322">
        <v>1427.9</v>
      </c>
      <c r="F1216" s="323">
        <v>42988</v>
      </c>
      <c r="G1216" s="322">
        <v>1427.9</v>
      </c>
      <c r="H1216" s="322">
        <f t="shared" si="15"/>
        <v>0</v>
      </c>
      <c r="I1216" s="325" t="s">
        <v>15214</v>
      </c>
    </row>
    <row r="1217" spans="1:9" x14ac:dyDescent="0.25">
      <c r="A1217" s="359">
        <v>42988</v>
      </c>
      <c r="B1217" s="326" t="s">
        <v>28950</v>
      </c>
      <c r="C1217" s="327">
        <v>126976</v>
      </c>
      <c r="D1217" s="391" t="s">
        <v>15315</v>
      </c>
      <c r="E1217" s="328">
        <v>912.7</v>
      </c>
      <c r="F1217" s="329">
        <v>42988</v>
      </c>
      <c r="G1217" s="328">
        <v>912.7</v>
      </c>
      <c r="H1217" s="347">
        <f t="shared" si="15"/>
        <v>0</v>
      </c>
      <c r="I1217" s="331" t="s">
        <v>15214</v>
      </c>
    </row>
    <row r="1218" spans="1:9" x14ac:dyDescent="0.25">
      <c r="A1218" s="319">
        <v>42988</v>
      </c>
      <c r="B1218" s="320" t="s">
        <v>28951</v>
      </c>
      <c r="C1218" s="321">
        <v>126977</v>
      </c>
      <c r="D1218" s="390" t="s">
        <v>15280</v>
      </c>
      <c r="E1218" s="322">
        <v>4997.3999999999996</v>
      </c>
      <c r="F1218" s="323">
        <v>42988</v>
      </c>
      <c r="G1218" s="322">
        <v>4997.3999999999996</v>
      </c>
      <c r="H1218" s="322">
        <f t="shared" si="15"/>
        <v>0</v>
      </c>
      <c r="I1218" s="325" t="s">
        <v>15214</v>
      </c>
    </row>
    <row r="1219" spans="1:9" x14ac:dyDescent="0.25">
      <c r="A1219" s="359">
        <v>42988</v>
      </c>
      <c r="B1219" s="326" t="s">
        <v>28952</v>
      </c>
      <c r="C1219" s="327">
        <v>126978</v>
      </c>
      <c r="D1219" s="391" t="s">
        <v>15371</v>
      </c>
      <c r="E1219" s="328">
        <v>2520</v>
      </c>
      <c r="F1219" s="329">
        <v>42991</v>
      </c>
      <c r="G1219" s="328">
        <v>2520</v>
      </c>
      <c r="H1219" s="347">
        <f t="shared" si="15"/>
        <v>0</v>
      </c>
      <c r="I1219" s="331" t="s">
        <v>15214</v>
      </c>
    </row>
    <row r="1220" spans="1:9" x14ac:dyDescent="0.25">
      <c r="A1220" s="319">
        <v>42988</v>
      </c>
      <c r="B1220" s="320" t="s">
        <v>28953</v>
      </c>
      <c r="C1220" s="321">
        <v>126979</v>
      </c>
      <c r="D1220" s="390" t="s">
        <v>15725</v>
      </c>
      <c r="E1220" s="322">
        <v>5493.6</v>
      </c>
      <c r="F1220" s="323">
        <v>42996</v>
      </c>
      <c r="G1220" s="322">
        <v>5493.6</v>
      </c>
      <c r="H1220" s="322">
        <f t="shared" si="15"/>
        <v>0</v>
      </c>
      <c r="I1220" s="325" t="s">
        <v>15214</v>
      </c>
    </row>
    <row r="1221" spans="1:9" x14ac:dyDescent="0.25">
      <c r="A1221" s="359">
        <v>42988</v>
      </c>
      <c r="B1221" s="326" t="s">
        <v>28954</v>
      </c>
      <c r="C1221" s="327">
        <v>126980</v>
      </c>
      <c r="D1221" s="391" t="s">
        <v>16023</v>
      </c>
      <c r="E1221" s="328">
        <v>1490.4</v>
      </c>
      <c r="F1221" s="329">
        <v>42988</v>
      </c>
      <c r="G1221" s="328">
        <v>1490.4</v>
      </c>
      <c r="H1221" s="347">
        <f t="shared" si="15"/>
        <v>0</v>
      </c>
      <c r="I1221" s="331" t="s">
        <v>15214</v>
      </c>
    </row>
    <row r="1222" spans="1:9" x14ac:dyDescent="0.25">
      <c r="A1222" s="319">
        <v>42988</v>
      </c>
      <c r="B1222" s="320" t="s">
        <v>28955</v>
      </c>
      <c r="C1222" s="321">
        <v>126981</v>
      </c>
      <c r="D1222" s="390" t="s">
        <v>15530</v>
      </c>
      <c r="E1222" s="322">
        <v>3340</v>
      </c>
      <c r="F1222" s="323">
        <v>42988</v>
      </c>
      <c r="G1222" s="322">
        <v>3340</v>
      </c>
      <c r="H1222" s="322">
        <f t="shared" si="15"/>
        <v>0</v>
      </c>
      <c r="I1222" s="325" t="s">
        <v>15214</v>
      </c>
    </row>
    <row r="1223" spans="1:9" x14ac:dyDescent="0.25">
      <c r="A1223" s="359">
        <v>42988</v>
      </c>
      <c r="B1223" s="326" t="s">
        <v>28956</v>
      </c>
      <c r="C1223" s="327">
        <v>126982</v>
      </c>
      <c r="D1223" s="391" t="s">
        <v>15523</v>
      </c>
      <c r="E1223" s="328">
        <v>2400</v>
      </c>
      <c r="F1223" s="329">
        <v>42989</v>
      </c>
      <c r="G1223" s="328">
        <v>2400</v>
      </c>
      <c r="H1223" s="347">
        <f t="shared" si="15"/>
        <v>0</v>
      </c>
      <c r="I1223" s="331" t="s">
        <v>15214</v>
      </c>
    </row>
    <row r="1224" spans="1:9" ht="15.75" x14ac:dyDescent="0.25">
      <c r="A1224" s="319">
        <v>42988</v>
      </c>
      <c r="B1224" s="320" t="s">
        <v>28957</v>
      </c>
      <c r="C1224" s="321">
        <v>126983</v>
      </c>
      <c r="D1224" s="332" t="s">
        <v>95</v>
      </c>
      <c r="E1224" s="322">
        <v>0</v>
      </c>
      <c r="F1224" s="333" t="s">
        <v>95</v>
      </c>
      <c r="G1224" s="322">
        <v>0</v>
      </c>
      <c r="H1224" s="322">
        <f t="shared" si="15"/>
        <v>0</v>
      </c>
      <c r="I1224" s="325" t="s">
        <v>95</v>
      </c>
    </row>
    <row r="1225" spans="1:9" x14ac:dyDescent="0.25">
      <c r="A1225" s="359">
        <v>42988</v>
      </c>
      <c r="B1225" s="326" t="s">
        <v>28958</v>
      </c>
      <c r="C1225" s="327">
        <v>126984</v>
      </c>
      <c r="D1225" s="391" t="s">
        <v>15510</v>
      </c>
      <c r="E1225" s="328">
        <v>11256.6</v>
      </c>
      <c r="F1225" s="329">
        <v>42988</v>
      </c>
      <c r="G1225" s="328">
        <v>11256.6</v>
      </c>
      <c r="H1225" s="347">
        <f t="shared" si="15"/>
        <v>0</v>
      </c>
      <c r="I1225" s="331" t="s">
        <v>15214</v>
      </c>
    </row>
    <row r="1226" spans="1:9" x14ac:dyDescent="0.25">
      <c r="A1226" s="319">
        <v>42988</v>
      </c>
      <c r="B1226" s="320" t="s">
        <v>28959</v>
      </c>
      <c r="C1226" s="321">
        <v>126985</v>
      </c>
      <c r="D1226" s="390" t="s">
        <v>15385</v>
      </c>
      <c r="E1226" s="322">
        <v>8228</v>
      </c>
      <c r="F1226" s="323">
        <v>42989</v>
      </c>
      <c r="G1226" s="322">
        <v>8228</v>
      </c>
      <c r="H1226" s="322">
        <f t="shared" si="15"/>
        <v>0</v>
      </c>
      <c r="I1226" s="325" t="s">
        <v>15214</v>
      </c>
    </row>
    <row r="1227" spans="1:9" x14ac:dyDescent="0.25">
      <c r="A1227" s="359">
        <v>42988</v>
      </c>
      <c r="B1227" s="326" t="s">
        <v>28960</v>
      </c>
      <c r="C1227" s="327">
        <v>126986</v>
      </c>
      <c r="D1227" s="391" t="s">
        <v>19776</v>
      </c>
      <c r="E1227" s="328">
        <v>6114.7</v>
      </c>
      <c r="F1227" s="329">
        <v>42989</v>
      </c>
      <c r="G1227" s="328">
        <v>6114.7</v>
      </c>
      <c r="H1227" s="347">
        <f t="shared" si="15"/>
        <v>0</v>
      </c>
      <c r="I1227" s="331" t="s">
        <v>15214</v>
      </c>
    </row>
    <row r="1228" spans="1:9" x14ac:dyDescent="0.25">
      <c r="A1228" s="319">
        <v>42988</v>
      </c>
      <c r="B1228" s="320" t="s">
        <v>28961</v>
      </c>
      <c r="C1228" s="321">
        <v>126987</v>
      </c>
      <c r="D1228" s="390" t="s">
        <v>15361</v>
      </c>
      <c r="E1228" s="322">
        <v>5313.2</v>
      </c>
      <c r="F1228" s="323">
        <v>42989</v>
      </c>
      <c r="G1228" s="322">
        <v>5313.2</v>
      </c>
      <c r="H1228" s="322">
        <f t="shared" si="15"/>
        <v>0</v>
      </c>
      <c r="I1228" s="325" t="s">
        <v>15214</v>
      </c>
    </row>
    <row r="1229" spans="1:9" x14ac:dyDescent="0.25">
      <c r="A1229" s="359">
        <v>42988</v>
      </c>
      <c r="B1229" s="326" t="s">
        <v>28962</v>
      </c>
      <c r="C1229" s="327">
        <v>126988</v>
      </c>
      <c r="D1229" s="391" t="s">
        <v>23937</v>
      </c>
      <c r="E1229" s="328">
        <v>3224.2</v>
      </c>
      <c r="F1229" s="329">
        <v>42989</v>
      </c>
      <c r="G1229" s="328">
        <v>3224.2</v>
      </c>
      <c r="H1229" s="347">
        <f t="shared" si="15"/>
        <v>0</v>
      </c>
      <c r="I1229" s="331" t="s">
        <v>15214</v>
      </c>
    </row>
    <row r="1230" spans="1:9" x14ac:dyDescent="0.25">
      <c r="A1230" s="319">
        <v>42988</v>
      </c>
      <c r="B1230" s="320" t="s">
        <v>28963</v>
      </c>
      <c r="C1230" s="321">
        <v>126989</v>
      </c>
      <c r="D1230" s="390" t="s">
        <v>15890</v>
      </c>
      <c r="E1230" s="322">
        <v>2494.8000000000002</v>
      </c>
      <c r="F1230" s="323">
        <v>42990</v>
      </c>
      <c r="G1230" s="322">
        <v>2494.8000000000002</v>
      </c>
      <c r="H1230" s="322">
        <f t="shared" si="15"/>
        <v>0</v>
      </c>
      <c r="I1230" s="325" t="s">
        <v>15214</v>
      </c>
    </row>
    <row r="1231" spans="1:9" x14ac:dyDescent="0.25">
      <c r="A1231" s="359">
        <v>42988</v>
      </c>
      <c r="B1231" s="326" t="s">
        <v>28964</v>
      </c>
      <c r="C1231" s="327">
        <v>126990</v>
      </c>
      <c r="D1231" s="391" t="s">
        <v>16249</v>
      </c>
      <c r="E1231" s="328">
        <v>1963</v>
      </c>
      <c r="F1231" s="329">
        <v>42988</v>
      </c>
      <c r="G1231" s="328">
        <v>1963</v>
      </c>
      <c r="H1231" s="347">
        <f t="shared" si="15"/>
        <v>0</v>
      </c>
      <c r="I1231" s="331" t="s">
        <v>15214</v>
      </c>
    </row>
    <row r="1232" spans="1:9" x14ac:dyDescent="0.25">
      <c r="A1232" s="319">
        <v>42988</v>
      </c>
      <c r="B1232" s="320" t="s">
        <v>28965</v>
      </c>
      <c r="C1232" s="321">
        <v>126991</v>
      </c>
      <c r="D1232" s="390" t="s">
        <v>15291</v>
      </c>
      <c r="E1232" s="322">
        <v>960</v>
      </c>
      <c r="F1232" s="323">
        <v>42989</v>
      </c>
      <c r="G1232" s="322">
        <v>960</v>
      </c>
      <c r="H1232" s="322">
        <f t="shared" si="15"/>
        <v>0</v>
      </c>
      <c r="I1232" s="325" t="s">
        <v>15214</v>
      </c>
    </row>
    <row r="1233" spans="1:9" x14ac:dyDescent="0.25">
      <c r="A1233" s="359">
        <v>42988</v>
      </c>
      <c r="B1233" s="326" t="s">
        <v>28966</v>
      </c>
      <c r="C1233" s="327">
        <v>126992</v>
      </c>
      <c r="D1233" s="391" t="s">
        <v>15311</v>
      </c>
      <c r="E1233" s="328">
        <v>2493.5</v>
      </c>
      <c r="F1233" s="329">
        <v>42989</v>
      </c>
      <c r="G1233" s="328">
        <v>2493.5</v>
      </c>
      <c r="H1233" s="347">
        <f t="shared" si="15"/>
        <v>0</v>
      </c>
      <c r="I1233" s="331" t="s">
        <v>15214</v>
      </c>
    </row>
    <row r="1234" spans="1:9" x14ac:dyDescent="0.25">
      <c r="A1234" s="319">
        <v>42988</v>
      </c>
      <c r="B1234" s="320" t="s">
        <v>28967</v>
      </c>
      <c r="C1234" s="321">
        <v>126993</v>
      </c>
      <c r="D1234" s="390" t="s">
        <v>15320</v>
      </c>
      <c r="E1234" s="322">
        <v>2760</v>
      </c>
      <c r="F1234" s="323">
        <v>42989</v>
      </c>
      <c r="G1234" s="322">
        <v>2760</v>
      </c>
      <c r="H1234" s="322">
        <f t="shared" si="15"/>
        <v>0</v>
      </c>
      <c r="I1234" s="325" t="s">
        <v>15214</v>
      </c>
    </row>
    <row r="1235" spans="1:9" x14ac:dyDescent="0.25">
      <c r="A1235" s="359">
        <v>42988</v>
      </c>
      <c r="B1235" s="326" t="s">
        <v>28968</v>
      </c>
      <c r="C1235" s="327">
        <v>126994</v>
      </c>
      <c r="D1235" s="391" t="s">
        <v>15562</v>
      </c>
      <c r="E1235" s="328">
        <v>3231.9</v>
      </c>
      <c r="F1235" s="329">
        <v>42988</v>
      </c>
      <c r="G1235" s="328">
        <v>3231.9</v>
      </c>
      <c r="H1235" s="347">
        <f t="shared" si="15"/>
        <v>0</v>
      </c>
      <c r="I1235" s="331" t="s">
        <v>15214</v>
      </c>
    </row>
    <row r="1236" spans="1:9" x14ac:dyDescent="0.25">
      <c r="A1236" s="319">
        <v>42988</v>
      </c>
      <c r="B1236" s="320" t="s">
        <v>28969</v>
      </c>
      <c r="C1236" s="321">
        <v>126995</v>
      </c>
      <c r="D1236" s="390" t="s">
        <v>16383</v>
      </c>
      <c r="E1236" s="322">
        <v>10009.200000000001</v>
      </c>
      <c r="F1236" s="323">
        <v>42989</v>
      </c>
      <c r="G1236" s="322">
        <v>10009.200000000001</v>
      </c>
      <c r="H1236" s="322">
        <f t="shared" si="15"/>
        <v>0</v>
      </c>
      <c r="I1236" s="325" t="s">
        <v>15214</v>
      </c>
    </row>
    <row r="1237" spans="1:9" x14ac:dyDescent="0.25">
      <c r="A1237" s="359">
        <v>42988</v>
      </c>
      <c r="B1237" s="326" t="s">
        <v>28970</v>
      </c>
      <c r="C1237" s="327">
        <v>126996</v>
      </c>
      <c r="D1237" s="391" t="s">
        <v>15284</v>
      </c>
      <c r="E1237" s="328">
        <v>490.4</v>
      </c>
      <c r="F1237" s="329">
        <v>42988</v>
      </c>
      <c r="G1237" s="328">
        <v>490.4</v>
      </c>
      <c r="H1237" s="347">
        <f t="shared" si="15"/>
        <v>0</v>
      </c>
      <c r="I1237" s="331" t="s">
        <v>15214</v>
      </c>
    </row>
    <row r="1238" spans="1:9" x14ac:dyDescent="0.25">
      <c r="A1238" s="319">
        <v>42988</v>
      </c>
      <c r="B1238" s="320" t="s">
        <v>28971</v>
      </c>
      <c r="C1238" s="321">
        <v>126997</v>
      </c>
      <c r="D1238" s="390" t="s">
        <v>15549</v>
      </c>
      <c r="E1238" s="322">
        <v>8156.2</v>
      </c>
      <c r="F1238" s="323">
        <v>42989</v>
      </c>
      <c r="G1238" s="322">
        <v>8156.2</v>
      </c>
      <c r="H1238" s="322">
        <f t="shared" si="15"/>
        <v>0</v>
      </c>
      <c r="I1238" s="325" t="s">
        <v>15214</v>
      </c>
    </row>
    <row r="1239" spans="1:9" x14ac:dyDescent="0.25">
      <c r="A1239" s="359">
        <v>42988</v>
      </c>
      <c r="B1239" s="326" t="s">
        <v>28972</v>
      </c>
      <c r="C1239" s="327">
        <v>126998</v>
      </c>
      <c r="D1239" s="391" t="s">
        <v>23937</v>
      </c>
      <c r="E1239" s="328">
        <v>60</v>
      </c>
      <c r="F1239" s="329">
        <v>42989</v>
      </c>
      <c r="G1239" s="328">
        <v>60</v>
      </c>
      <c r="H1239" s="347">
        <f t="shared" si="15"/>
        <v>0</v>
      </c>
      <c r="I1239" s="331" t="s">
        <v>15214</v>
      </c>
    </row>
    <row r="1240" spans="1:9" x14ac:dyDescent="0.25">
      <c r="A1240" s="319">
        <v>42988</v>
      </c>
      <c r="B1240" s="320" t="s">
        <v>28973</v>
      </c>
      <c r="C1240" s="321">
        <v>126999</v>
      </c>
      <c r="D1240" s="390" t="s">
        <v>15252</v>
      </c>
      <c r="E1240" s="322">
        <v>7445.95</v>
      </c>
      <c r="F1240" s="323">
        <v>42989</v>
      </c>
      <c r="G1240" s="322">
        <v>7445.95</v>
      </c>
      <c r="H1240" s="322">
        <f t="shared" si="15"/>
        <v>0</v>
      </c>
      <c r="I1240" s="325" t="s">
        <v>15214</v>
      </c>
    </row>
    <row r="1241" spans="1:9" x14ac:dyDescent="0.25">
      <c r="A1241" s="359">
        <v>42988</v>
      </c>
      <c r="B1241" s="326" t="s">
        <v>28974</v>
      </c>
      <c r="C1241" s="327">
        <v>127000</v>
      </c>
      <c r="D1241" s="391" t="s">
        <v>15246</v>
      </c>
      <c r="E1241" s="328">
        <v>17188.8</v>
      </c>
      <c r="F1241" s="329">
        <v>42990</v>
      </c>
      <c r="G1241" s="328">
        <v>17188.8</v>
      </c>
      <c r="H1241" s="347">
        <f t="shared" si="15"/>
        <v>0</v>
      </c>
      <c r="I1241" s="331" t="s">
        <v>15214</v>
      </c>
    </row>
    <row r="1242" spans="1:9" x14ac:dyDescent="0.25">
      <c r="A1242" s="319">
        <v>42988</v>
      </c>
      <c r="B1242" s="320" t="s">
        <v>28975</v>
      </c>
      <c r="C1242" s="321">
        <v>127001</v>
      </c>
      <c r="D1242" s="390" t="s">
        <v>15244</v>
      </c>
      <c r="E1242" s="322">
        <v>17306.5</v>
      </c>
      <c r="F1242" s="323">
        <v>42992</v>
      </c>
      <c r="G1242" s="322">
        <v>17306.5</v>
      </c>
      <c r="H1242" s="322">
        <f t="shared" si="15"/>
        <v>0</v>
      </c>
      <c r="I1242" s="325" t="s">
        <v>15214</v>
      </c>
    </row>
    <row r="1243" spans="1:9" x14ac:dyDescent="0.25">
      <c r="A1243" s="359">
        <v>42988</v>
      </c>
      <c r="B1243" s="326" t="s">
        <v>28976</v>
      </c>
      <c r="C1243" s="327">
        <v>127002</v>
      </c>
      <c r="D1243" s="391" t="s">
        <v>15244</v>
      </c>
      <c r="E1243" s="328">
        <v>600</v>
      </c>
      <c r="F1243" s="329">
        <v>42989</v>
      </c>
      <c r="G1243" s="328">
        <v>600</v>
      </c>
      <c r="H1243" s="347">
        <f t="shared" si="15"/>
        <v>0</v>
      </c>
      <c r="I1243" s="331" t="s">
        <v>15214</v>
      </c>
    </row>
    <row r="1244" spans="1:9" x14ac:dyDescent="0.25">
      <c r="A1244" s="319">
        <v>42988</v>
      </c>
      <c r="B1244" s="320" t="s">
        <v>28977</v>
      </c>
      <c r="C1244" s="321">
        <v>127003</v>
      </c>
      <c r="D1244" s="390" t="s">
        <v>15254</v>
      </c>
      <c r="E1244" s="322">
        <v>7370.7</v>
      </c>
      <c r="F1244" s="323">
        <v>42989</v>
      </c>
      <c r="G1244" s="322">
        <v>7370.7</v>
      </c>
      <c r="H1244" s="322">
        <f t="shared" si="15"/>
        <v>0</v>
      </c>
      <c r="I1244" s="325" t="s">
        <v>15214</v>
      </c>
    </row>
    <row r="1245" spans="1:9" x14ac:dyDescent="0.25">
      <c r="A1245" s="359">
        <v>42988</v>
      </c>
      <c r="B1245" s="326" t="s">
        <v>28978</v>
      </c>
      <c r="C1245" s="327">
        <v>127004</v>
      </c>
      <c r="D1245" s="391" t="s">
        <v>15592</v>
      </c>
      <c r="E1245" s="328">
        <v>14642.5</v>
      </c>
      <c r="F1245" s="329">
        <v>42989</v>
      </c>
      <c r="G1245" s="328">
        <v>14642.5</v>
      </c>
      <c r="H1245" s="347">
        <f t="shared" si="15"/>
        <v>0</v>
      </c>
      <c r="I1245" s="331" t="s">
        <v>15214</v>
      </c>
    </row>
    <row r="1246" spans="1:9" x14ac:dyDescent="0.25">
      <c r="A1246" s="319">
        <v>42988</v>
      </c>
      <c r="B1246" s="320" t="s">
        <v>28979</v>
      </c>
      <c r="C1246" s="321">
        <v>127005</v>
      </c>
      <c r="D1246" s="390" t="s">
        <v>15398</v>
      </c>
      <c r="E1246" s="322">
        <v>1484.2</v>
      </c>
      <c r="F1246" s="323">
        <v>42988</v>
      </c>
      <c r="G1246" s="322">
        <v>1484.2</v>
      </c>
      <c r="H1246" s="322">
        <f t="shared" si="15"/>
        <v>0</v>
      </c>
      <c r="I1246" s="325" t="s">
        <v>15214</v>
      </c>
    </row>
    <row r="1247" spans="1:9" x14ac:dyDescent="0.25">
      <c r="A1247" s="359">
        <v>42988</v>
      </c>
      <c r="B1247" s="326" t="s">
        <v>28980</v>
      </c>
      <c r="C1247" s="327">
        <v>127006</v>
      </c>
      <c r="D1247" s="391" t="s">
        <v>15344</v>
      </c>
      <c r="E1247" s="328">
        <v>2645</v>
      </c>
      <c r="F1247" s="329">
        <v>42989</v>
      </c>
      <c r="G1247" s="328">
        <v>2645</v>
      </c>
      <c r="H1247" s="347">
        <f t="shared" si="15"/>
        <v>0</v>
      </c>
      <c r="I1247" s="331" t="s">
        <v>15214</v>
      </c>
    </row>
    <row r="1248" spans="1:9" x14ac:dyDescent="0.25">
      <c r="A1248" s="319">
        <v>42988</v>
      </c>
      <c r="B1248" s="320" t="s">
        <v>28981</v>
      </c>
      <c r="C1248" s="321">
        <v>127007</v>
      </c>
      <c r="D1248" s="390" t="s">
        <v>15336</v>
      </c>
      <c r="E1248" s="322">
        <v>2273.3000000000002</v>
      </c>
      <c r="F1248" s="323">
        <v>42989</v>
      </c>
      <c r="G1248" s="322">
        <v>2273.3000000000002</v>
      </c>
      <c r="H1248" s="322">
        <f t="shared" si="15"/>
        <v>0</v>
      </c>
      <c r="I1248" s="325" t="s">
        <v>15214</v>
      </c>
    </row>
    <row r="1249" spans="1:9" x14ac:dyDescent="0.25">
      <c r="A1249" s="359">
        <v>42988</v>
      </c>
      <c r="B1249" s="326" t="s">
        <v>28982</v>
      </c>
      <c r="C1249" s="327">
        <v>127008</v>
      </c>
      <c r="D1249" s="391" t="s">
        <v>15358</v>
      </c>
      <c r="E1249" s="328">
        <v>2491</v>
      </c>
      <c r="F1249" s="329">
        <v>42989</v>
      </c>
      <c r="G1249" s="328">
        <v>2491</v>
      </c>
      <c r="H1249" s="347">
        <f t="shared" si="15"/>
        <v>0</v>
      </c>
      <c r="I1249" s="331" t="s">
        <v>15214</v>
      </c>
    </row>
    <row r="1250" spans="1:9" x14ac:dyDescent="0.25">
      <c r="A1250" s="319">
        <v>42988</v>
      </c>
      <c r="B1250" s="320" t="s">
        <v>28983</v>
      </c>
      <c r="C1250" s="321">
        <v>127009</v>
      </c>
      <c r="D1250" s="390" t="s">
        <v>15332</v>
      </c>
      <c r="E1250" s="322">
        <v>3898</v>
      </c>
      <c r="F1250" s="323">
        <v>42989</v>
      </c>
      <c r="G1250" s="322">
        <v>3898</v>
      </c>
      <c r="H1250" s="322">
        <f t="shared" si="15"/>
        <v>0</v>
      </c>
      <c r="I1250" s="325" t="s">
        <v>15214</v>
      </c>
    </row>
    <row r="1251" spans="1:9" x14ac:dyDescent="0.25">
      <c r="A1251" s="359">
        <v>42988</v>
      </c>
      <c r="B1251" s="326" t="s">
        <v>28984</v>
      </c>
      <c r="C1251" s="327">
        <v>127010</v>
      </c>
      <c r="D1251" s="391" t="s">
        <v>15340</v>
      </c>
      <c r="E1251" s="328">
        <v>10969.2</v>
      </c>
      <c r="F1251" s="329">
        <v>42989</v>
      </c>
      <c r="G1251" s="328">
        <v>10969.2</v>
      </c>
      <c r="H1251" s="347">
        <f t="shared" si="15"/>
        <v>0</v>
      </c>
      <c r="I1251" s="331" t="s">
        <v>15214</v>
      </c>
    </row>
    <row r="1252" spans="1:9" x14ac:dyDescent="0.25">
      <c r="A1252" s="319">
        <v>42988</v>
      </c>
      <c r="B1252" s="320" t="s">
        <v>28985</v>
      </c>
      <c r="C1252" s="321">
        <v>127011</v>
      </c>
      <c r="D1252" s="390" t="s">
        <v>15328</v>
      </c>
      <c r="E1252" s="322">
        <v>2712.62</v>
      </c>
      <c r="F1252" s="323">
        <v>43001</v>
      </c>
      <c r="G1252" s="322">
        <v>2712.62</v>
      </c>
      <c r="H1252" s="322">
        <f t="shared" si="15"/>
        <v>0</v>
      </c>
      <c r="I1252" s="325" t="s">
        <v>15214</v>
      </c>
    </row>
    <row r="1253" spans="1:9" x14ac:dyDescent="0.25">
      <c r="A1253" s="359">
        <v>42988</v>
      </c>
      <c r="B1253" s="326" t="s">
        <v>28986</v>
      </c>
      <c r="C1253" s="327">
        <v>127012</v>
      </c>
      <c r="D1253" s="391" t="s">
        <v>15592</v>
      </c>
      <c r="E1253" s="328">
        <v>1367.7</v>
      </c>
      <c r="F1253" s="329">
        <v>42989</v>
      </c>
      <c r="G1253" s="328">
        <v>1367.7</v>
      </c>
      <c r="H1253" s="347">
        <f t="shared" si="15"/>
        <v>0</v>
      </c>
      <c r="I1253" s="331" t="s">
        <v>15214</v>
      </c>
    </row>
    <row r="1254" spans="1:9" x14ac:dyDescent="0.25">
      <c r="A1254" s="319">
        <v>42988</v>
      </c>
      <c r="B1254" s="320" t="s">
        <v>28987</v>
      </c>
      <c r="C1254" s="321">
        <v>127013</v>
      </c>
      <c r="D1254" s="390" t="s">
        <v>15391</v>
      </c>
      <c r="E1254" s="322">
        <v>10041.799999999999</v>
      </c>
      <c r="F1254" s="323">
        <v>42990</v>
      </c>
      <c r="G1254" s="322">
        <v>10041.799999999999</v>
      </c>
      <c r="H1254" s="322">
        <f t="shared" si="15"/>
        <v>0</v>
      </c>
      <c r="I1254" s="325" t="s">
        <v>15214</v>
      </c>
    </row>
    <row r="1255" spans="1:9" x14ac:dyDescent="0.25">
      <c r="A1255" s="359">
        <v>42988</v>
      </c>
      <c r="B1255" s="326" t="s">
        <v>28988</v>
      </c>
      <c r="C1255" s="327">
        <v>127014</v>
      </c>
      <c r="D1255" s="391" t="s">
        <v>17462</v>
      </c>
      <c r="E1255" s="328">
        <v>5635</v>
      </c>
      <c r="F1255" s="329">
        <v>42988</v>
      </c>
      <c r="G1255" s="328">
        <v>5635</v>
      </c>
      <c r="H1255" s="347">
        <f t="shared" si="15"/>
        <v>0</v>
      </c>
      <c r="I1255" s="331" t="s">
        <v>15214</v>
      </c>
    </row>
    <row r="1256" spans="1:9" x14ac:dyDescent="0.25">
      <c r="A1256" s="319">
        <v>42988</v>
      </c>
      <c r="B1256" s="320" t="s">
        <v>28989</v>
      </c>
      <c r="C1256" s="321">
        <v>127015</v>
      </c>
      <c r="D1256" s="390" t="s">
        <v>15282</v>
      </c>
      <c r="E1256" s="322">
        <v>726</v>
      </c>
      <c r="F1256" s="323">
        <v>42988</v>
      </c>
      <c r="G1256" s="322">
        <v>726</v>
      </c>
      <c r="H1256" s="322">
        <f t="shared" si="15"/>
        <v>0</v>
      </c>
      <c r="I1256" s="325" t="s">
        <v>15214</v>
      </c>
    </row>
    <row r="1257" spans="1:9" x14ac:dyDescent="0.25">
      <c r="A1257" s="359">
        <v>42988</v>
      </c>
      <c r="B1257" s="326" t="s">
        <v>28990</v>
      </c>
      <c r="C1257" s="327">
        <v>127016</v>
      </c>
      <c r="D1257" s="391" t="s">
        <v>15298</v>
      </c>
      <c r="E1257" s="328">
        <v>497.8</v>
      </c>
      <c r="F1257" s="329">
        <v>42988</v>
      </c>
      <c r="G1257" s="328">
        <v>497.8</v>
      </c>
      <c r="H1257" s="347">
        <f t="shared" si="15"/>
        <v>0</v>
      </c>
      <c r="I1257" s="331" t="s">
        <v>15214</v>
      </c>
    </row>
    <row r="1258" spans="1:9" x14ac:dyDescent="0.25">
      <c r="A1258" s="319">
        <v>42988</v>
      </c>
      <c r="B1258" s="320" t="s">
        <v>28991</v>
      </c>
      <c r="C1258" s="321">
        <v>127017</v>
      </c>
      <c r="D1258" s="390" t="s">
        <v>15378</v>
      </c>
      <c r="E1258" s="322">
        <v>2074.4</v>
      </c>
      <c r="F1258" s="323">
        <v>42988</v>
      </c>
      <c r="G1258" s="322">
        <v>2074.4</v>
      </c>
      <c r="H1258" s="322">
        <f t="shared" si="15"/>
        <v>0</v>
      </c>
      <c r="I1258" s="325" t="s">
        <v>15214</v>
      </c>
    </row>
    <row r="1259" spans="1:9" x14ac:dyDescent="0.25">
      <c r="A1259" s="359">
        <v>42988</v>
      </c>
      <c r="B1259" s="326" t="s">
        <v>28992</v>
      </c>
      <c r="C1259" s="327">
        <v>127018</v>
      </c>
      <c r="D1259" s="391" t="s">
        <v>19768</v>
      </c>
      <c r="E1259" s="328">
        <v>1440</v>
      </c>
      <c r="F1259" s="329">
        <v>42988</v>
      </c>
      <c r="G1259" s="328">
        <v>1440</v>
      </c>
      <c r="H1259" s="347">
        <f t="shared" si="15"/>
        <v>0</v>
      </c>
      <c r="I1259" s="331" t="s">
        <v>15214</v>
      </c>
    </row>
    <row r="1260" spans="1:9" x14ac:dyDescent="0.25">
      <c r="A1260" s="319">
        <v>42988</v>
      </c>
      <c r="B1260" s="320" t="s">
        <v>28993</v>
      </c>
      <c r="C1260" s="321">
        <v>127019</v>
      </c>
      <c r="D1260" s="390" t="s">
        <v>15987</v>
      </c>
      <c r="E1260" s="322">
        <v>4554.3999999999996</v>
      </c>
      <c r="F1260" s="323">
        <v>42988</v>
      </c>
      <c r="G1260" s="322">
        <v>4554.3999999999996</v>
      </c>
      <c r="H1260" s="322">
        <f t="shared" si="15"/>
        <v>0</v>
      </c>
      <c r="I1260" s="325" t="s">
        <v>15214</v>
      </c>
    </row>
    <row r="1261" spans="1:9" x14ac:dyDescent="0.25">
      <c r="A1261" s="359">
        <v>42988</v>
      </c>
      <c r="B1261" s="326" t="s">
        <v>28994</v>
      </c>
      <c r="C1261" s="327">
        <v>127020</v>
      </c>
      <c r="D1261" s="391" t="s">
        <v>15987</v>
      </c>
      <c r="E1261" s="328">
        <v>455.1</v>
      </c>
      <c r="F1261" s="329">
        <v>42988</v>
      </c>
      <c r="G1261" s="328">
        <v>455.1</v>
      </c>
      <c r="H1261" s="347">
        <f t="shared" si="15"/>
        <v>0</v>
      </c>
      <c r="I1261" s="331" t="s">
        <v>15214</v>
      </c>
    </row>
    <row r="1262" spans="1:9" x14ac:dyDescent="0.25">
      <c r="A1262" s="319">
        <v>42988</v>
      </c>
      <c r="B1262" s="320" t="s">
        <v>28995</v>
      </c>
      <c r="C1262" s="321">
        <v>127021</v>
      </c>
      <c r="D1262" s="390" t="s">
        <v>15435</v>
      </c>
      <c r="E1262" s="322">
        <v>7896.8</v>
      </c>
      <c r="F1262" s="323">
        <v>42988</v>
      </c>
      <c r="G1262" s="322">
        <v>7896.8</v>
      </c>
      <c r="H1262" s="322">
        <f t="shared" si="15"/>
        <v>0</v>
      </c>
      <c r="I1262" s="325" t="s">
        <v>15214</v>
      </c>
    </row>
    <row r="1263" spans="1:9" x14ac:dyDescent="0.25">
      <c r="A1263" s="359">
        <v>42988</v>
      </c>
      <c r="B1263" s="326" t="s">
        <v>28996</v>
      </c>
      <c r="C1263" s="327">
        <v>127022</v>
      </c>
      <c r="D1263" s="391" t="s">
        <v>15246</v>
      </c>
      <c r="E1263" s="328">
        <v>3270.8</v>
      </c>
      <c r="F1263" s="329">
        <v>42990</v>
      </c>
      <c r="G1263" s="328">
        <v>3270.8</v>
      </c>
      <c r="H1263" s="347">
        <f t="shared" si="15"/>
        <v>0</v>
      </c>
      <c r="I1263" s="331" t="s">
        <v>15214</v>
      </c>
    </row>
    <row r="1264" spans="1:9" x14ac:dyDescent="0.25">
      <c r="A1264" s="319">
        <v>42988</v>
      </c>
      <c r="B1264" s="320" t="s">
        <v>28997</v>
      </c>
      <c r="C1264" s="321">
        <v>127023</v>
      </c>
      <c r="D1264" s="390" t="s">
        <v>15553</v>
      </c>
      <c r="E1264" s="322">
        <v>31419.5</v>
      </c>
      <c r="F1264" s="323">
        <v>42989</v>
      </c>
      <c r="G1264" s="322">
        <v>31419.5</v>
      </c>
      <c r="H1264" s="322">
        <f t="shared" si="15"/>
        <v>0</v>
      </c>
      <c r="I1264" s="325" t="s">
        <v>15214</v>
      </c>
    </row>
    <row r="1265" spans="1:9" x14ac:dyDescent="0.25">
      <c r="A1265" s="359">
        <v>42988</v>
      </c>
      <c r="B1265" s="326" t="s">
        <v>28998</v>
      </c>
      <c r="C1265" s="327">
        <v>127024</v>
      </c>
      <c r="D1265" s="391" t="s">
        <v>15315</v>
      </c>
      <c r="E1265" s="328">
        <v>1118.5999999999999</v>
      </c>
      <c r="F1265" s="329">
        <v>42988</v>
      </c>
      <c r="G1265" s="328">
        <v>1118.5999999999999</v>
      </c>
      <c r="H1265" s="347">
        <f t="shared" ref="H1265:H1328" si="16">E1265-G1265</f>
        <v>0</v>
      </c>
      <c r="I1265" s="331" t="s">
        <v>15214</v>
      </c>
    </row>
    <row r="1266" spans="1:9" x14ac:dyDescent="0.25">
      <c r="A1266" s="319">
        <v>42988</v>
      </c>
      <c r="B1266" s="320" t="s">
        <v>28999</v>
      </c>
      <c r="C1266" s="321">
        <v>127025</v>
      </c>
      <c r="D1266" s="390" t="s">
        <v>15541</v>
      </c>
      <c r="E1266" s="322">
        <v>2294.9</v>
      </c>
      <c r="F1266" s="323">
        <v>42989</v>
      </c>
      <c r="G1266" s="322">
        <v>2294.9</v>
      </c>
      <c r="H1266" s="322">
        <f t="shared" si="16"/>
        <v>0</v>
      </c>
      <c r="I1266" s="325" t="s">
        <v>15214</v>
      </c>
    </row>
    <row r="1267" spans="1:9" x14ac:dyDescent="0.25">
      <c r="A1267" s="359">
        <v>42988</v>
      </c>
      <c r="B1267" s="326" t="s">
        <v>29000</v>
      </c>
      <c r="C1267" s="327">
        <v>127026</v>
      </c>
      <c r="D1267" s="391" t="s">
        <v>15407</v>
      </c>
      <c r="E1267" s="328">
        <v>1996.8</v>
      </c>
      <c r="F1267" s="329">
        <v>42988</v>
      </c>
      <c r="G1267" s="328">
        <v>1996.8</v>
      </c>
      <c r="H1267" s="347">
        <f t="shared" si="16"/>
        <v>0</v>
      </c>
      <c r="I1267" s="331" t="s">
        <v>15214</v>
      </c>
    </row>
    <row r="1268" spans="1:9" x14ac:dyDescent="0.25">
      <c r="A1268" s="319">
        <v>42988</v>
      </c>
      <c r="B1268" s="320" t="s">
        <v>29001</v>
      </c>
      <c r="C1268" s="321">
        <v>127027</v>
      </c>
      <c r="D1268" s="390" t="s">
        <v>15315</v>
      </c>
      <c r="E1268" s="322">
        <v>96.6</v>
      </c>
      <c r="F1268" s="323">
        <v>42988</v>
      </c>
      <c r="G1268" s="322">
        <v>96.6</v>
      </c>
      <c r="H1268" s="322">
        <f t="shared" si="16"/>
        <v>0</v>
      </c>
      <c r="I1268" s="325" t="s">
        <v>15214</v>
      </c>
    </row>
    <row r="1269" spans="1:9" x14ac:dyDescent="0.25">
      <c r="A1269" s="359">
        <v>42988</v>
      </c>
      <c r="B1269" s="326" t="s">
        <v>29002</v>
      </c>
      <c r="C1269" s="327">
        <v>127028</v>
      </c>
      <c r="D1269" s="391" t="s">
        <v>16126</v>
      </c>
      <c r="E1269" s="328">
        <v>902.8</v>
      </c>
      <c r="F1269" s="329">
        <v>42988</v>
      </c>
      <c r="G1269" s="328">
        <v>902.8</v>
      </c>
      <c r="H1269" s="347">
        <f t="shared" si="16"/>
        <v>0</v>
      </c>
      <c r="I1269" s="331" t="s">
        <v>15214</v>
      </c>
    </row>
    <row r="1270" spans="1:9" x14ac:dyDescent="0.25">
      <c r="A1270" s="319">
        <v>42988</v>
      </c>
      <c r="B1270" s="320" t="s">
        <v>29003</v>
      </c>
      <c r="C1270" s="321">
        <v>127029</v>
      </c>
      <c r="D1270" s="390" t="s">
        <v>15378</v>
      </c>
      <c r="E1270" s="322">
        <v>504.4</v>
      </c>
      <c r="F1270" s="323">
        <v>42988</v>
      </c>
      <c r="G1270" s="322">
        <v>504.4</v>
      </c>
      <c r="H1270" s="322">
        <f t="shared" si="16"/>
        <v>0</v>
      </c>
      <c r="I1270" s="325" t="s">
        <v>15214</v>
      </c>
    </row>
    <row r="1271" spans="1:9" x14ac:dyDescent="0.25">
      <c r="A1271" s="359">
        <v>42988</v>
      </c>
      <c r="B1271" s="326" t="s">
        <v>29004</v>
      </c>
      <c r="C1271" s="327">
        <v>127030</v>
      </c>
      <c r="D1271" s="391" t="s">
        <v>15810</v>
      </c>
      <c r="E1271" s="328">
        <v>444.6</v>
      </c>
      <c r="F1271" s="329">
        <v>42988</v>
      </c>
      <c r="G1271" s="328">
        <v>444.6</v>
      </c>
      <c r="H1271" s="347">
        <f t="shared" si="16"/>
        <v>0</v>
      </c>
      <c r="I1271" s="331" t="s">
        <v>15214</v>
      </c>
    </row>
    <row r="1272" spans="1:9" x14ac:dyDescent="0.25">
      <c r="A1272" s="319">
        <v>42988</v>
      </c>
      <c r="B1272" s="320" t="s">
        <v>29005</v>
      </c>
      <c r="C1272" s="321">
        <v>127031</v>
      </c>
      <c r="D1272" s="390" t="s">
        <v>15263</v>
      </c>
      <c r="E1272" s="322">
        <v>1034.8</v>
      </c>
      <c r="F1272" s="323">
        <v>42988</v>
      </c>
      <c r="G1272" s="322">
        <v>1034.8</v>
      </c>
      <c r="H1272" s="322">
        <f t="shared" si="16"/>
        <v>0</v>
      </c>
      <c r="I1272" s="325" t="s">
        <v>15214</v>
      </c>
    </row>
    <row r="1273" spans="1:9" x14ac:dyDescent="0.25">
      <c r="A1273" s="359">
        <v>42988</v>
      </c>
      <c r="B1273" s="326" t="s">
        <v>29006</v>
      </c>
      <c r="C1273" s="327">
        <v>127032</v>
      </c>
      <c r="D1273" s="391" t="s">
        <v>15644</v>
      </c>
      <c r="E1273" s="328">
        <v>3430</v>
      </c>
      <c r="F1273" s="329">
        <v>42989</v>
      </c>
      <c r="G1273" s="328">
        <v>3430</v>
      </c>
      <c r="H1273" s="347">
        <f t="shared" si="16"/>
        <v>0</v>
      </c>
      <c r="I1273" s="331" t="s">
        <v>15214</v>
      </c>
    </row>
    <row r="1274" spans="1:9" x14ac:dyDescent="0.25">
      <c r="A1274" s="319">
        <v>42989</v>
      </c>
      <c r="B1274" s="320" t="s">
        <v>29007</v>
      </c>
      <c r="C1274" s="321">
        <v>127033</v>
      </c>
      <c r="D1274" s="390" t="s">
        <v>21386</v>
      </c>
      <c r="E1274" s="322">
        <v>10416.15</v>
      </c>
      <c r="F1274" s="323">
        <v>42990</v>
      </c>
      <c r="G1274" s="322">
        <v>10416.15</v>
      </c>
      <c r="H1274" s="322">
        <f t="shared" si="16"/>
        <v>0</v>
      </c>
      <c r="I1274" s="325" t="s">
        <v>15214</v>
      </c>
    </row>
    <row r="1275" spans="1:9" x14ac:dyDescent="0.25">
      <c r="A1275" s="359">
        <v>42989</v>
      </c>
      <c r="B1275" s="326" t="s">
        <v>29008</v>
      </c>
      <c r="C1275" s="327">
        <v>127034</v>
      </c>
      <c r="D1275" s="391" t="s">
        <v>15213</v>
      </c>
      <c r="E1275" s="328">
        <v>46349.3</v>
      </c>
      <c r="F1275" s="329">
        <v>42991</v>
      </c>
      <c r="G1275" s="328">
        <v>46349.3</v>
      </c>
      <c r="H1275" s="347">
        <f t="shared" si="16"/>
        <v>0</v>
      </c>
      <c r="I1275" s="331" t="s">
        <v>15214</v>
      </c>
    </row>
    <row r="1276" spans="1:9" x14ac:dyDescent="0.25">
      <c r="A1276" s="319">
        <v>42989</v>
      </c>
      <c r="B1276" s="320" t="s">
        <v>29009</v>
      </c>
      <c r="C1276" s="321">
        <v>127035</v>
      </c>
      <c r="D1276" s="390" t="s">
        <v>15330</v>
      </c>
      <c r="E1276" s="322">
        <v>2970.4</v>
      </c>
      <c r="F1276" s="323">
        <v>42989</v>
      </c>
      <c r="G1276" s="322">
        <v>2970.4</v>
      </c>
      <c r="H1276" s="322">
        <f t="shared" si="16"/>
        <v>0</v>
      </c>
      <c r="I1276" s="325" t="s">
        <v>15214</v>
      </c>
    </row>
    <row r="1277" spans="1:9" x14ac:dyDescent="0.25">
      <c r="A1277" s="359">
        <v>42989</v>
      </c>
      <c r="B1277" s="326" t="s">
        <v>29010</v>
      </c>
      <c r="C1277" s="327">
        <v>127036</v>
      </c>
      <c r="D1277" s="391" t="s">
        <v>15242</v>
      </c>
      <c r="E1277" s="328">
        <v>5220</v>
      </c>
      <c r="F1277" s="329">
        <v>42989</v>
      </c>
      <c r="G1277" s="328">
        <v>5220</v>
      </c>
      <c r="H1277" s="347">
        <f t="shared" si="16"/>
        <v>0</v>
      </c>
      <c r="I1277" s="331" t="s">
        <v>15214</v>
      </c>
    </row>
    <row r="1278" spans="1:9" x14ac:dyDescent="0.25">
      <c r="A1278" s="319">
        <v>42989</v>
      </c>
      <c r="B1278" s="320" t="s">
        <v>29011</v>
      </c>
      <c r="C1278" s="321">
        <v>127037</v>
      </c>
      <c r="D1278" s="390" t="s">
        <v>15665</v>
      </c>
      <c r="E1278" s="322">
        <v>740</v>
      </c>
      <c r="F1278" s="323">
        <v>42989</v>
      </c>
      <c r="G1278" s="322">
        <v>740</v>
      </c>
      <c r="H1278" s="322">
        <f t="shared" si="16"/>
        <v>0</v>
      </c>
      <c r="I1278" s="325" t="s">
        <v>15214</v>
      </c>
    </row>
    <row r="1279" spans="1:9" x14ac:dyDescent="0.25">
      <c r="A1279" s="359">
        <v>42989</v>
      </c>
      <c r="B1279" s="326" t="s">
        <v>29012</v>
      </c>
      <c r="C1279" s="327">
        <v>127038</v>
      </c>
      <c r="D1279" s="391" t="s">
        <v>15407</v>
      </c>
      <c r="E1279" s="328">
        <v>4904.2</v>
      </c>
      <c r="F1279" s="329">
        <v>42989</v>
      </c>
      <c r="G1279" s="328">
        <v>4904.2</v>
      </c>
      <c r="H1279" s="347">
        <f t="shared" si="16"/>
        <v>0</v>
      </c>
      <c r="I1279" s="331" t="s">
        <v>15214</v>
      </c>
    </row>
    <row r="1280" spans="1:9" x14ac:dyDescent="0.25">
      <c r="A1280" s="319">
        <v>42989</v>
      </c>
      <c r="B1280" s="320" t="s">
        <v>29013</v>
      </c>
      <c r="C1280" s="321">
        <v>127039</v>
      </c>
      <c r="D1280" s="390" t="s">
        <v>15272</v>
      </c>
      <c r="E1280" s="322">
        <v>22365.75</v>
      </c>
      <c r="F1280" s="323">
        <v>42989</v>
      </c>
      <c r="G1280" s="322">
        <v>22365.75</v>
      </c>
      <c r="H1280" s="322">
        <f t="shared" si="16"/>
        <v>0</v>
      </c>
      <c r="I1280" s="325" t="s">
        <v>15214</v>
      </c>
    </row>
    <row r="1281" spans="1:9" x14ac:dyDescent="0.25">
      <c r="A1281" s="359">
        <v>42989</v>
      </c>
      <c r="B1281" s="326" t="s">
        <v>29014</v>
      </c>
      <c r="C1281" s="327">
        <v>127040</v>
      </c>
      <c r="D1281" s="391" t="s">
        <v>15263</v>
      </c>
      <c r="E1281" s="328">
        <v>4829.8500000000004</v>
      </c>
      <c r="F1281" s="329">
        <v>42989</v>
      </c>
      <c r="G1281" s="328">
        <v>4829.8500000000004</v>
      </c>
      <c r="H1281" s="347">
        <f t="shared" si="16"/>
        <v>0</v>
      </c>
      <c r="I1281" s="331" t="s">
        <v>15214</v>
      </c>
    </row>
    <row r="1282" spans="1:9" x14ac:dyDescent="0.25">
      <c r="A1282" s="319">
        <v>42989</v>
      </c>
      <c r="B1282" s="320" t="s">
        <v>29015</v>
      </c>
      <c r="C1282" s="321">
        <v>127041</v>
      </c>
      <c r="D1282" s="390" t="s">
        <v>15226</v>
      </c>
      <c r="E1282" s="322">
        <v>2993.9</v>
      </c>
      <c r="F1282" s="323">
        <v>42991</v>
      </c>
      <c r="G1282" s="322">
        <v>2993.9</v>
      </c>
      <c r="H1282" s="322">
        <f t="shared" si="16"/>
        <v>0</v>
      </c>
      <c r="I1282" s="325" t="s">
        <v>15214</v>
      </c>
    </row>
    <row r="1283" spans="1:9" x14ac:dyDescent="0.25">
      <c r="A1283" s="359">
        <v>42989</v>
      </c>
      <c r="B1283" s="326" t="s">
        <v>29016</v>
      </c>
      <c r="C1283" s="327">
        <v>127042</v>
      </c>
      <c r="D1283" s="391" t="s">
        <v>15230</v>
      </c>
      <c r="E1283" s="328">
        <v>10311.299999999999</v>
      </c>
      <c r="F1283" s="329">
        <v>42991</v>
      </c>
      <c r="G1283" s="328">
        <v>10311.299999999999</v>
      </c>
      <c r="H1283" s="347">
        <f t="shared" si="16"/>
        <v>0</v>
      </c>
      <c r="I1283" s="331" t="s">
        <v>15214</v>
      </c>
    </row>
    <row r="1284" spans="1:9" x14ac:dyDescent="0.25">
      <c r="A1284" s="319">
        <v>42989</v>
      </c>
      <c r="B1284" s="320" t="s">
        <v>29017</v>
      </c>
      <c r="C1284" s="321">
        <v>127043</v>
      </c>
      <c r="D1284" s="390" t="s">
        <v>15220</v>
      </c>
      <c r="E1284" s="322">
        <v>2400</v>
      </c>
      <c r="F1284" s="323">
        <v>42990</v>
      </c>
      <c r="G1284" s="322">
        <v>2400</v>
      </c>
      <c r="H1284" s="322">
        <f t="shared" si="16"/>
        <v>0</v>
      </c>
      <c r="I1284" s="325" t="s">
        <v>15214</v>
      </c>
    </row>
    <row r="1285" spans="1:9" x14ac:dyDescent="0.25">
      <c r="A1285" s="359">
        <v>42989</v>
      </c>
      <c r="B1285" s="326" t="s">
        <v>29018</v>
      </c>
      <c r="C1285" s="327">
        <v>127044</v>
      </c>
      <c r="D1285" s="391" t="s">
        <v>19302</v>
      </c>
      <c r="E1285" s="328">
        <v>720</v>
      </c>
      <c r="F1285" s="329">
        <v>42989</v>
      </c>
      <c r="G1285" s="328">
        <v>720</v>
      </c>
      <c r="H1285" s="347">
        <f t="shared" si="16"/>
        <v>0</v>
      </c>
      <c r="I1285" s="331" t="s">
        <v>15214</v>
      </c>
    </row>
    <row r="1286" spans="1:9" x14ac:dyDescent="0.25">
      <c r="A1286" s="319">
        <v>42989</v>
      </c>
      <c r="B1286" s="320" t="s">
        <v>29019</v>
      </c>
      <c r="C1286" s="321">
        <v>127045</v>
      </c>
      <c r="D1286" s="390" t="s">
        <v>17462</v>
      </c>
      <c r="E1286" s="322">
        <v>6206.4</v>
      </c>
      <c r="F1286" s="323">
        <v>42989</v>
      </c>
      <c r="G1286" s="322">
        <v>6206.4</v>
      </c>
      <c r="H1286" s="322">
        <f t="shared" si="16"/>
        <v>0</v>
      </c>
      <c r="I1286" s="325" t="s">
        <v>15214</v>
      </c>
    </row>
    <row r="1287" spans="1:9" x14ac:dyDescent="0.25">
      <c r="A1287" s="359">
        <v>42989</v>
      </c>
      <c r="B1287" s="326" t="s">
        <v>29020</v>
      </c>
      <c r="C1287" s="327">
        <v>127046</v>
      </c>
      <c r="D1287" s="391" t="s">
        <v>15232</v>
      </c>
      <c r="E1287" s="328">
        <v>6941.7</v>
      </c>
      <c r="F1287" s="329">
        <v>42992</v>
      </c>
      <c r="G1287" s="328">
        <v>6941.7</v>
      </c>
      <c r="H1287" s="347">
        <f t="shared" si="16"/>
        <v>0</v>
      </c>
      <c r="I1287" s="331" t="s">
        <v>15214</v>
      </c>
    </row>
    <row r="1288" spans="1:9" ht="30" x14ac:dyDescent="0.25">
      <c r="A1288" s="319">
        <v>42989</v>
      </c>
      <c r="B1288" s="320" t="s">
        <v>29021</v>
      </c>
      <c r="C1288" s="321">
        <v>127047</v>
      </c>
      <c r="D1288" s="390" t="s">
        <v>15248</v>
      </c>
      <c r="E1288" s="322">
        <v>42190.74</v>
      </c>
      <c r="F1288" s="323" t="s">
        <v>28629</v>
      </c>
      <c r="G1288" s="334">
        <f>32190+10000.74</f>
        <v>42190.74</v>
      </c>
      <c r="H1288" s="334">
        <f t="shared" si="16"/>
        <v>0</v>
      </c>
      <c r="I1288" s="325" t="s">
        <v>15214</v>
      </c>
    </row>
    <row r="1289" spans="1:9" x14ac:dyDescent="0.25">
      <c r="A1289" s="359">
        <v>42989</v>
      </c>
      <c r="B1289" s="326" t="s">
        <v>29022</v>
      </c>
      <c r="C1289" s="327">
        <v>127048</v>
      </c>
      <c r="D1289" s="391" t="s">
        <v>15240</v>
      </c>
      <c r="E1289" s="328">
        <v>3209.5</v>
      </c>
      <c r="F1289" s="329">
        <v>42990</v>
      </c>
      <c r="G1289" s="328">
        <v>3209.5</v>
      </c>
      <c r="H1289" s="347">
        <f t="shared" si="16"/>
        <v>0</v>
      </c>
      <c r="I1289" s="331" t="s">
        <v>15214</v>
      </c>
    </row>
    <row r="1290" spans="1:9" x14ac:dyDescent="0.25">
      <c r="A1290" s="319">
        <v>42989</v>
      </c>
      <c r="B1290" s="320" t="s">
        <v>29023</v>
      </c>
      <c r="C1290" s="321">
        <v>127049</v>
      </c>
      <c r="D1290" s="390" t="s">
        <v>15261</v>
      </c>
      <c r="E1290" s="322">
        <v>24590.65</v>
      </c>
      <c r="F1290" s="323">
        <v>42989</v>
      </c>
      <c r="G1290" s="322">
        <v>24590.65</v>
      </c>
      <c r="H1290" s="322">
        <f t="shared" si="16"/>
        <v>0</v>
      </c>
      <c r="I1290" s="325" t="s">
        <v>15214</v>
      </c>
    </row>
    <row r="1291" spans="1:9" x14ac:dyDescent="0.25">
      <c r="A1291" s="359">
        <v>42989</v>
      </c>
      <c r="B1291" s="326" t="s">
        <v>29024</v>
      </c>
      <c r="C1291" s="327">
        <v>127050</v>
      </c>
      <c r="D1291" s="391" t="s">
        <v>15261</v>
      </c>
      <c r="E1291" s="328">
        <v>5071.3</v>
      </c>
      <c r="F1291" s="329">
        <v>42989</v>
      </c>
      <c r="G1291" s="328">
        <v>5071.3</v>
      </c>
      <c r="H1291" s="347">
        <f t="shared" si="16"/>
        <v>0</v>
      </c>
      <c r="I1291" s="331" t="s">
        <v>15214</v>
      </c>
    </row>
    <row r="1292" spans="1:9" x14ac:dyDescent="0.25">
      <c r="A1292" s="319">
        <v>42989</v>
      </c>
      <c r="B1292" s="320" t="s">
        <v>29025</v>
      </c>
      <c r="C1292" s="321">
        <v>127051</v>
      </c>
      <c r="D1292" s="390" t="s">
        <v>15223</v>
      </c>
      <c r="E1292" s="322">
        <v>50301</v>
      </c>
      <c r="F1292" s="323">
        <v>43010</v>
      </c>
      <c r="G1292" s="322">
        <v>50301</v>
      </c>
      <c r="H1292" s="322">
        <f t="shared" si="16"/>
        <v>0</v>
      </c>
      <c r="I1292" s="325" t="s">
        <v>15214</v>
      </c>
    </row>
    <row r="1293" spans="1:9" x14ac:dyDescent="0.25">
      <c r="A1293" s="359">
        <v>42989</v>
      </c>
      <c r="B1293" s="326" t="s">
        <v>29026</v>
      </c>
      <c r="C1293" s="327">
        <v>127052</v>
      </c>
      <c r="D1293" s="391" t="s">
        <v>15340</v>
      </c>
      <c r="E1293" s="328">
        <v>2770</v>
      </c>
      <c r="F1293" s="329">
        <v>42989</v>
      </c>
      <c r="G1293" s="328">
        <v>2770</v>
      </c>
      <c r="H1293" s="347">
        <f t="shared" si="16"/>
        <v>0</v>
      </c>
      <c r="I1293" s="331" t="s">
        <v>15214</v>
      </c>
    </row>
    <row r="1294" spans="1:9" x14ac:dyDescent="0.25">
      <c r="A1294" s="319">
        <v>42989</v>
      </c>
      <c r="B1294" s="320" t="s">
        <v>29027</v>
      </c>
      <c r="C1294" s="321">
        <v>127053</v>
      </c>
      <c r="D1294" s="390" t="s">
        <v>15348</v>
      </c>
      <c r="E1294" s="322">
        <v>3047.8</v>
      </c>
      <c r="F1294" s="323">
        <v>42990</v>
      </c>
      <c r="G1294" s="322">
        <v>3047.8</v>
      </c>
      <c r="H1294" s="322">
        <f t="shared" si="16"/>
        <v>0</v>
      </c>
      <c r="I1294" s="325" t="s">
        <v>15214</v>
      </c>
    </row>
    <row r="1295" spans="1:9" x14ac:dyDescent="0.25">
      <c r="A1295" s="359">
        <v>42989</v>
      </c>
      <c r="B1295" s="326" t="s">
        <v>29028</v>
      </c>
      <c r="C1295" s="327">
        <v>127054</v>
      </c>
      <c r="D1295" s="391" t="s">
        <v>15332</v>
      </c>
      <c r="E1295" s="328">
        <v>3795.1</v>
      </c>
      <c r="F1295" s="329">
        <v>42989</v>
      </c>
      <c r="G1295" s="328">
        <v>3795.1</v>
      </c>
      <c r="H1295" s="347">
        <f t="shared" si="16"/>
        <v>0</v>
      </c>
      <c r="I1295" s="331" t="s">
        <v>15214</v>
      </c>
    </row>
    <row r="1296" spans="1:9" x14ac:dyDescent="0.25">
      <c r="A1296" s="319">
        <v>42989</v>
      </c>
      <c r="B1296" s="320" t="s">
        <v>29029</v>
      </c>
      <c r="C1296" s="321">
        <v>127055</v>
      </c>
      <c r="D1296" s="390" t="s">
        <v>15583</v>
      </c>
      <c r="E1296" s="322">
        <v>1237.5999999999999</v>
      </c>
      <c r="F1296" s="323">
        <v>42992</v>
      </c>
      <c r="G1296" s="322">
        <v>1237.5999999999999</v>
      </c>
      <c r="H1296" s="322">
        <f t="shared" si="16"/>
        <v>0</v>
      </c>
      <c r="I1296" s="325" t="s">
        <v>15214</v>
      </c>
    </row>
    <row r="1297" spans="1:9" ht="30" x14ac:dyDescent="0.25">
      <c r="A1297" s="359">
        <v>42989</v>
      </c>
      <c r="B1297" s="326" t="s">
        <v>29030</v>
      </c>
      <c r="C1297" s="327">
        <v>127056</v>
      </c>
      <c r="D1297" s="391" t="s">
        <v>15228</v>
      </c>
      <c r="E1297" s="328">
        <v>8406.4</v>
      </c>
      <c r="F1297" s="329" t="s">
        <v>28653</v>
      </c>
      <c r="G1297" s="347">
        <f>7000+1406.4</f>
        <v>8406.4</v>
      </c>
      <c r="H1297" s="347">
        <f t="shared" si="16"/>
        <v>0</v>
      </c>
      <c r="I1297" s="331" t="s">
        <v>15214</v>
      </c>
    </row>
    <row r="1298" spans="1:9" x14ac:dyDescent="0.25">
      <c r="A1298" s="319">
        <v>42989</v>
      </c>
      <c r="B1298" s="320" t="s">
        <v>29031</v>
      </c>
      <c r="C1298" s="321">
        <v>127057</v>
      </c>
      <c r="D1298" s="390" t="s">
        <v>15415</v>
      </c>
      <c r="E1298" s="322">
        <v>3101.7</v>
      </c>
      <c r="F1298" s="323">
        <v>42992</v>
      </c>
      <c r="G1298" s="322">
        <v>3101.7</v>
      </c>
      <c r="H1298" s="322">
        <f t="shared" si="16"/>
        <v>0</v>
      </c>
      <c r="I1298" s="325" t="s">
        <v>15214</v>
      </c>
    </row>
    <row r="1299" spans="1:9" x14ac:dyDescent="0.25">
      <c r="A1299" s="359">
        <v>42989</v>
      </c>
      <c r="B1299" s="326" t="s">
        <v>29032</v>
      </c>
      <c r="C1299" s="327">
        <v>127058</v>
      </c>
      <c r="D1299" s="391" t="s">
        <v>15317</v>
      </c>
      <c r="E1299" s="328">
        <v>3038</v>
      </c>
      <c r="F1299" s="329">
        <v>42992</v>
      </c>
      <c r="G1299" s="328">
        <v>3038</v>
      </c>
      <c r="H1299" s="347">
        <f t="shared" si="16"/>
        <v>0</v>
      </c>
      <c r="I1299" s="331" t="s">
        <v>15214</v>
      </c>
    </row>
    <row r="1300" spans="1:9" x14ac:dyDescent="0.25">
      <c r="A1300" s="319">
        <v>42989</v>
      </c>
      <c r="B1300" s="320" t="s">
        <v>29033</v>
      </c>
      <c r="C1300" s="321">
        <v>127059</v>
      </c>
      <c r="D1300" s="390" t="s">
        <v>15317</v>
      </c>
      <c r="E1300" s="322">
        <v>493.2</v>
      </c>
      <c r="F1300" s="323">
        <v>42992</v>
      </c>
      <c r="G1300" s="322">
        <v>493.2</v>
      </c>
      <c r="H1300" s="322">
        <f t="shared" si="16"/>
        <v>0</v>
      </c>
      <c r="I1300" s="325" t="s">
        <v>15214</v>
      </c>
    </row>
    <row r="1301" spans="1:9" x14ac:dyDescent="0.25">
      <c r="A1301" s="359">
        <v>42989</v>
      </c>
      <c r="B1301" s="326" t="s">
        <v>29034</v>
      </c>
      <c r="C1301" s="327">
        <v>127060</v>
      </c>
      <c r="D1301" s="391" t="s">
        <v>15480</v>
      </c>
      <c r="E1301" s="328">
        <v>3760.4</v>
      </c>
      <c r="F1301" s="329">
        <v>42991</v>
      </c>
      <c r="G1301" s="328">
        <v>3760.4</v>
      </c>
      <c r="H1301" s="347">
        <f t="shared" si="16"/>
        <v>0</v>
      </c>
      <c r="I1301" s="331" t="s">
        <v>15214</v>
      </c>
    </row>
    <row r="1302" spans="1:9" x14ac:dyDescent="0.25">
      <c r="A1302" s="319">
        <v>42989</v>
      </c>
      <c r="B1302" s="320" t="s">
        <v>29035</v>
      </c>
      <c r="C1302" s="321">
        <v>127061</v>
      </c>
      <c r="D1302" s="390" t="s">
        <v>15291</v>
      </c>
      <c r="E1302" s="322">
        <v>1259.5999999999999</v>
      </c>
      <c r="F1302" s="323">
        <v>42989</v>
      </c>
      <c r="G1302" s="322">
        <v>1259.5999999999999</v>
      </c>
      <c r="H1302" s="322">
        <f t="shared" si="16"/>
        <v>0</v>
      </c>
      <c r="I1302" s="325" t="s">
        <v>15214</v>
      </c>
    </row>
    <row r="1303" spans="1:9" x14ac:dyDescent="0.25">
      <c r="A1303" s="359">
        <v>42989</v>
      </c>
      <c r="B1303" s="326" t="s">
        <v>29036</v>
      </c>
      <c r="C1303" s="327">
        <v>127062</v>
      </c>
      <c r="D1303" s="391" t="s">
        <v>15234</v>
      </c>
      <c r="E1303" s="328">
        <v>3594.5</v>
      </c>
      <c r="F1303" s="329">
        <v>42991</v>
      </c>
      <c r="G1303" s="328">
        <v>3594.5</v>
      </c>
      <c r="H1303" s="347">
        <f t="shared" si="16"/>
        <v>0</v>
      </c>
      <c r="I1303" s="331" t="s">
        <v>15214</v>
      </c>
    </row>
    <row r="1304" spans="1:9" x14ac:dyDescent="0.25">
      <c r="A1304" s="319">
        <v>42989</v>
      </c>
      <c r="B1304" s="320" t="s">
        <v>29037</v>
      </c>
      <c r="C1304" s="321">
        <v>127063</v>
      </c>
      <c r="D1304" s="390" t="s">
        <v>15309</v>
      </c>
      <c r="E1304" s="322">
        <v>13474.45</v>
      </c>
      <c r="F1304" s="323">
        <v>42989</v>
      </c>
      <c r="G1304" s="322">
        <v>13474.45</v>
      </c>
      <c r="H1304" s="322">
        <f t="shared" si="16"/>
        <v>0</v>
      </c>
      <c r="I1304" s="325" t="s">
        <v>15214</v>
      </c>
    </row>
    <row r="1305" spans="1:9" x14ac:dyDescent="0.25">
      <c r="A1305" s="359">
        <v>42989</v>
      </c>
      <c r="B1305" s="326" t="s">
        <v>29038</v>
      </c>
      <c r="C1305" s="327">
        <v>127064</v>
      </c>
      <c r="D1305" s="391" t="s">
        <v>15303</v>
      </c>
      <c r="E1305" s="328">
        <v>3374.5</v>
      </c>
      <c r="F1305" s="329">
        <v>42989</v>
      </c>
      <c r="G1305" s="328">
        <v>3374.5</v>
      </c>
      <c r="H1305" s="347">
        <f t="shared" si="16"/>
        <v>0</v>
      </c>
      <c r="I1305" s="331" t="s">
        <v>15214</v>
      </c>
    </row>
    <row r="1306" spans="1:9" x14ac:dyDescent="0.25">
      <c r="A1306" s="319">
        <v>42989</v>
      </c>
      <c r="B1306" s="320" t="s">
        <v>29039</v>
      </c>
      <c r="C1306" s="321">
        <v>127065</v>
      </c>
      <c r="D1306" s="390" t="s">
        <v>15284</v>
      </c>
      <c r="E1306" s="322">
        <v>1310.2</v>
      </c>
      <c r="F1306" s="323">
        <v>42989</v>
      </c>
      <c r="G1306" s="322">
        <v>1310.2</v>
      </c>
      <c r="H1306" s="322">
        <f t="shared" si="16"/>
        <v>0</v>
      </c>
      <c r="I1306" s="325" t="s">
        <v>15214</v>
      </c>
    </row>
    <row r="1307" spans="1:9" x14ac:dyDescent="0.25">
      <c r="A1307" s="359">
        <v>42989</v>
      </c>
      <c r="B1307" s="326" t="s">
        <v>29040</v>
      </c>
      <c r="C1307" s="327">
        <v>127066</v>
      </c>
      <c r="D1307" s="391" t="s">
        <v>5575</v>
      </c>
      <c r="E1307" s="328">
        <v>428.4</v>
      </c>
      <c r="F1307" s="329">
        <v>42990</v>
      </c>
      <c r="G1307" s="328">
        <v>428.4</v>
      </c>
      <c r="H1307" s="347">
        <f t="shared" si="16"/>
        <v>0</v>
      </c>
      <c r="I1307" s="331" t="s">
        <v>15214</v>
      </c>
    </row>
    <row r="1308" spans="1:9" x14ac:dyDescent="0.25">
      <c r="A1308" s="319">
        <v>42989</v>
      </c>
      <c r="B1308" s="320" t="s">
        <v>29041</v>
      </c>
      <c r="C1308" s="321">
        <v>127067</v>
      </c>
      <c r="D1308" s="390" t="s">
        <v>15256</v>
      </c>
      <c r="E1308" s="322">
        <v>7703.1</v>
      </c>
      <c r="F1308" s="323">
        <v>42991</v>
      </c>
      <c r="G1308" s="322">
        <v>7703.1</v>
      </c>
      <c r="H1308" s="322">
        <f t="shared" si="16"/>
        <v>0</v>
      </c>
      <c r="I1308" s="325" t="s">
        <v>15214</v>
      </c>
    </row>
    <row r="1309" spans="1:9" x14ac:dyDescent="0.25">
      <c r="A1309" s="359">
        <v>42989</v>
      </c>
      <c r="B1309" s="326" t="s">
        <v>29042</v>
      </c>
      <c r="C1309" s="327">
        <v>127068</v>
      </c>
      <c r="D1309" s="391" t="s">
        <v>15236</v>
      </c>
      <c r="E1309" s="328">
        <v>3823</v>
      </c>
      <c r="F1309" s="329">
        <v>42991</v>
      </c>
      <c r="G1309" s="328">
        <v>3823</v>
      </c>
      <c r="H1309" s="347">
        <f t="shared" si="16"/>
        <v>0</v>
      </c>
      <c r="I1309" s="331" t="s">
        <v>15214</v>
      </c>
    </row>
    <row r="1310" spans="1:9" ht="30" x14ac:dyDescent="0.25">
      <c r="A1310" s="319">
        <v>42989</v>
      </c>
      <c r="B1310" s="320" t="s">
        <v>29043</v>
      </c>
      <c r="C1310" s="321">
        <v>127069</v>
      </c>
      <c r="D1310" s="390" t="s">
        <v>15238</v>
      </c>
      <c r="E1310" s="322">
        <v>8790</v>
      </c>
      <c r="F1310" s="323" t="s">
        <v>28820</v>
      </c>
      <c r="G1310" s="334">
        <f>5000+3790</f>
        <v>8790</v>
      </c>
      <c r="H1310" s="334">
        <f t="shared" si="16"/>
        <v>0</v>
      </c>
      <c r="I1310" s="325" t="s">
        <v>15214</v>
      </c>
    </row>
    <row r="1311" spans="1:9" x14ac:dyDescent="0.25">
      <c r="A1311" s="359">
        <v>42989</v>
      </c>
      <c r="B1311" s="326" t="s">
        <v>29044</v>
      </c>
      <c r="C1311" s="327">
        <v>127070</v>
      </c>
      <c r="D1311" s="391" t="s">
        <v>15338</v>
      </c>
      <c r="E1311" s="328">
        <v>11206.8</v>
      </c>
      <c r="F1311" s="329">
        <v>42991</v>
      </c>
      <c r="G1311" s="328">
        <v>11206.8</v>
      </c>
      <c r="H1311" s="347">
        <f t="shared" si="16"/>
        <v>0</v>
      </c>
      <c r="I1311" s="331" t="s">
        <v>15214</v>
      </c>
    </row>
    <row r="1312" spans="1:9" x14ac:dyDescent="0.25">
      <c r="A1312" s="319">
        <v>42989</v>
      </c>
      <c r="B1312" s="320" t="s">
        <v>29045</v>
      </c>
      <c r="C1312" s="321">
        <v>127071</v>
      </c>
      <c r="D1312" s="390" t="s">
        <v>15438</v>
      </c>
      <c r="E1312" s="322">
        <v>5384.1</v>
      </c>
      <c r="F1312" s="323">
        <v>42989</v>
      </c>
      <c r="G1312" s="322">
        <v>5384.1</v>
      </c>
      <c r="H1312" s="322">
        <f t="shared" si="16"/>
        <v>0</v>
      </c>
      <c r="I1312" s="325" t="s">
        <v>15214</v>
      </c>
    </row>
    <row r="1313" spans="1:9" x14ac:dyDescent="0.25">
      <c r="A1313" s="359">
        <v>42989</v>
      </c>
      <c r="B1313" s="326" t="s">
        <v>29046</v>
      </c>
      <c r="C1313" s="327">
        <v>127072</v>
      </c>
      <c r="D1313" s="391" t="s">
        <v>15280</v>
      </c>
      <c r="E1313" s="328">
        <v>4323.3999999999996</v>
      </c>
      <c r="F1313" s="329">
        <v>42989</v>
      </c>
      <c r="G1313" s="328">
        <v>4323.3999999999996</v>
      </c>
      <c r="H1313" s="347">
        <f t="shared" si="16"/>
        <v>0</v>
      </c>
      <c r="I1313" s="331" t="s">
        <v>15214</v>
      </c>
    </row>
    <row r="1314" spans="1:9" x14ac:dyDescent="0.25">
      <c r="A1314" s="319">
        <v>42989</v>
      </c>
      <c r="B1314" s="320" t="s">
        <v>29047</v>
      </c>
      <c r="C1314" s="321">
        <v>127073</v>
      </c>
      <c r="D1314" s="390" t="s">
        <v>15250</v>
      </c>
      <c r="E1314" s="322">
        <v>76300.81</v>
      </c>
      <c r="F1314" s="323">
        <v>43001</v>
      </c>
      <c r="G1314" s="322">
        <v>76300.81</v>
      </c>
      <c r="H1314" s="322">
        <f t="shared" si="16"/>
        <v>0</v>
      </c>
      <c r="I1314" s="325" t="s">
        <v>15214</v>
      </c>
    </row>
    <row r="1315" spans="1:9" x14ac:dyDescent="0.25">
      <c r="A1315" s="359">
        <v>42989</v>
      </c>
      <c r="B1315" s="326" t="s">
        <v>29048</v>
      </c>
      <c r="C1315" s="327">
        <v>127074</v>
      </c>
      <c r="D1315" s="391" t="s">
        <v>15324</v>
      </c>
      <c r="E1315" s="328">
        <v>1142</v>
      </c>
      <c r="F1315" s="329">
        <v>42989</v>
      </c>
      <c r="G1315" s="328">
        <v>1142</v>
      </c>
      <c r="H1315" s="347">
        <f t="shared" si="16"/>
        <v>0</v>
      </c>
      <c r="I1315" s="331" t="s">
        <v>15214</v>
      </c>
    </row>
    <row r="1316" spans="1:9" x14ac:dyDescent="0.25">
      <c r="A1316" s="319">
        <v>42989</v>
      </c>
      <c r="B1316" s="320" t="s">
        <v>29049</v>
      </c>
      <c r="C1316" s="321">
        <v>127075</v>
      </c>
      <c r="D1316" s="390" t="s">
        <v>15274</v>
      </c>
      <c r="E1316" s="322">
        <v>2820</v>
      </c>
      <c r="F1316" s="323">
        <v>42989</v>
      </c>
      <c r="G1316" s="322">
        <v>2820</v>
      </c>
      <c r="H1316" s="322">
        <f t="shared" si="16"/>
        <v>0</v>
      </c>
      <c r="I1316" s="325" t="s">
        <v>15214</v>
      </c>
    </row>
    <row r="1317" spans="1:9" x14ac:dyDescent="0.25">
      <c r="A1317" s="359">
        <v>42989</v>
      </c>
      <c r="B1317" s="326" t="s">
        <v>29050</v>
      </c>
      <c r="C1317" s="327">
        <v>127076</v>
      </c>
      <c r="D1317" s="391" t="s">
        <v>15596</v>
      </c>
      <c r="E1317" s="328">
        <v>960</v>
      </c>
      <c r="F1317" s="329">
        <v>42989</v>
      </c>
      <c r="G1317" s="328">
        <v>960</v>
      </c>
      <c r="H1317" s="347">
        <f t="shared" si="16"/>
        <v>0</v>
      </c>
      <c r="I1317" s="331" t="s">
        <v>15214</v>
      </c>
    </row>
    <row r="1318" spans="1:9" x14ac:dyDescent="0.25">
      <c r="A1318" s="319">
        <v>42989</v>
      </c>
      <c r="B1318" s="320" t="s">
        <v>29051</v>
      </c>
      <c r="C1318" s="321">
        <v>127077</v>
      </c>
      <c r="D1318" s="390" t="s">
        <v>15530</v>
      </c>
      <c r="E1318" s="322">
        <v>1406</v>
      </c>
      <c r="F1318" s="323">
        <v>42989</v>
      </c>
      <c r="G1318" s="322">
        <v>1406</v>
      </c>
      <c r="H1318" s="322">
        <f t="shared" si="16"/>
        <v>0</v>
      </c>
      <c r="I1318" s="325" t="s">
        <v>15214</v>
      </c>
    </row>
    <row r="1319" spans="1:9" x14ac:dyDescent="0.25">
      <c r="A1319" s="359">
        <v>42989</v>
      </c>
      <c r="B1319" s="326" t="s">
        <v>29052</v>
      </c>
      <c r="C1319" s="327">
        <v>127078</v>
      </c>
      <c r="D1319" s="391" t="s">
        <v>18544</v>
      </c>
      <c r="E1319" s="328">
        <v>7178.6</v>
      </c>
      <c r="F1319" s="329">
        <v>42989</v>
      </c>
      <c r="G1319" s="328">
        <v>7178.6</v>
      </c>
      <c r="H1319" s="347">
        <f t="shared" si="16"/>
        <v>0</v>
      </c>
      <c r="I1319" s="331" t="s">
        <v>15214</v>
      </c>
    </row>
    <row r="1320" spans="1:9" x14ac:dyDescent="0.25">
      <c r="A1320" s="319">
        <v>42989</v>
      </c>
      <c r="B1320" s="320" t="s">
        <v>29053</v>
      </c>
      <c r="C1320" s="321">
        <v>127079</v>
      </c>
      <c r="D1320" s="390" t="s">
        <v>15315</v>
      </c>
      <c r="E1320" s="322">
        <v>2450</v>
      </c>
      <c r="F1320" s="323">
        <v>42989</v>
      </c>
      <c r="G1320" s="322">
        <v>2450</v>
      </c>
      <c r="H1320" s="322">
        <f t="shared" si="16"/>
        <v>0</v>
      </c>
      <c r="I1320" s="325" t="s">
        <v>15214</v>
      </c>
    </row>
    <row r="1321" spans="1:9" x14ac:dyDescent="0.25">
      <c r="A1321" s="359">
        <v>42989</v>
      </c>
      <c r="B1321" s="326" t="s">
        <v>29054</v>
      </c>
      <c r="C1321" s="327">
        <v>127080</v>
      </c>
      <c r="D1321" s="391" t="s">
        <v>15322</v>
      </c>
      <c r="E1321" s="328">
        <v>554.4</v>
      </c>
      <c r="F1321" s="329">
        <v>42989</v>
      </c>
      <c r="G1321" s="328">
        <v>554.4</v>
      </c>
      <c r="H1321" s="347">
        <f t="shared" si="16"/>
        <v>0</v>
      </c>
      <c r="I1321" s="331" t="s">
        <v>15214</v>
      </c>
    </row>
    <row r="1322" spans="1:9" x14ac:dyDescent="0.25">
      <c r="A1322" s="319">
        <v>42989</v>
      </c>
      <c r="B1322" s="320" t="s">
        <v>29055</v>
      </c>
      <c r="C1322" s="321">
        <v>127081</v>
      </c>
      <c r="D1322" s="390" t="s">
        <v>15334</v>
      </c>
      <c r="E1322" s="322">
        <v>1800</v>
      </c>
      <c r="F1322" s="323">
        <v>42989</v>
      </c>
      <c r="G1322" s="322">
        <v>1800</v>
      </c>
      <c r="H1322" s="322">
        <f t="shared" si="16"/>
        <v>0</v>
      </c>
      <c r="I1322" s="325" t="s">
        <v>15214</v>
      </c>
    </row>
    <row r="1323" spans="1:9" x14ac:dyDescent="0.25">
      <c r="A1323" s="359">
        <v>42989</v>
      </c>
      <c r="B1323" s="326" t="s">
        <v>29056</v>
      </c>
      <c r="C1323" s="327">
        <v>127082</v>
      </c>
      <c r="D1323" s="391" t="s">
        <v>16732</v>
      </c>
      <c r="E1323" s="328">
        <v>32849.800000000003</v>
      </c>
      <c r="F1323" s="329">
        <v>42989</v>
      </c>
      <c r="G1323" s="328">
        <v>32849.800000000003</v>
      </c>
      <c r="H1323" s="347">
        <f t="shared" si="16"/>
        <v>0</v>
      </c>
      <c r="I1323" s="331" t="s">
        <v>15214</v>
      </c>
    </row>
    <row r="1324" spans="1:9" ht="30" x14ac:dyDescent="0.25">
      <c r="A1324" s="319">
        <v>42989</v>
      </c>
      <c r="B1324" s="320" t="s">
        <v>29057</v>
      </c>
      <c r="C1324" s="321">
        <v>127083</v>
      </c>
      <c r="D1324" s="390" t="s">
        <v>15373</v>
      </c>
      <c r="E1324" s="322">
        <v>13305.6</v>
      </c>
      <c r="F1324" s="323" t="s">
        <v>29058</v>
      </c>
      <c r="G1324" s="334">
        <f>12000+1305.6</f>
        <v>13305.6</v>
      </c>
      <c r="H1324" s="334">
        <f t="shared" si="16"/>
        <v>0</v>
      </c>
      <c r="I1324" s="325" t="s">
        <v>15214</v>
      </c>
    </row>
    <row r="1325" spans="1:9" x14ac:dyDescent="0.25">
      <c r="A1325" s="359">
        <v>42989</v>
      </c>
      <c r="B1325" s="326" t="s">
        <v>29059</v>
      </c>
      <c r="C1325" s="327">
        <v>127084</v>
      </c>
      <c r="D1325" s="391" t="s">
        <v>19964</v>
      </c>
      <c r="E1325" s="328">
        <v>4072.7</v>
      </c>
      <c r="F1325" s="329">
        <v>42989</v>
      </c>
      <c r="G1325" s="328">
        <v>4072.7</v>
      </c>
      <c r="H1325" s="347">
        <f t="shared" si="16"/>
        <v>0</v>
      </c>
      <c r="I1325" s="331" t="s">
        <v>15214</v>
      </c>
    </row>
    <row r="1326" spans="1:9" x14ac:dyDescent="0.25">
      <c r="A1326" s="319">
        <v>42989</v>
      </c>
      <c r="B1326" s="320" t="s">
        <v>29060</v>
      </c>
      <c r="C1326" s="321">
        <v>127085</v>
      </c>
      <c r="D1326" s="390" t="s">
        <v>15394</v>
      </c>
      <c r="E1326" s="322">
        <v>9183.6</v>
      </c>
      <c r="F1326" s="323">
        <v>42992</v>
      </c>
      <c r="G1326" s="322">
        <v>9183.6</v>
      </c>
      <c r="H1326" s="322">
        <f t="shared" si="16"/>
        <v>0</v>
      </c>
      <c r="I1326" s="325" t="s">
        <v>15214</v>
      </c>
    </row>
    <row r="1327" spans="1:9" ht="15.75" x14ac:dyDescent="0.25">
      <c r="A1327" s="359">
        <v>42989</v>
      </c>
      <c r="B1327" s="326" t="s">
        <v>29061</v>
      </c>
      <c r="C1327" s="327">
        <v>127086</v>
      </c>
      <c r="D1327" s="400" t="s">
        <v>95</v>
      </c>
      <c r="E1327" s="328">
        <v>0</v>
      </c>
      <c r="F1327" s="346" t="s">
        <v>95</v>
      </c>
      <c r="G1327" s="328">
        <v>0</v>
      </c>
      <c r="H1327" s="347">
        <f t="shared" si="16"/>
        <v>0</v>
      </c>
      <c r="I1327" s="331" t="s">
        <v>95</v>
      </c>
    </row>
    <row r="1328" spans="1:9" x14ac:dyDescent="0.25">
      <c r="A1328" s="319">
        <v>42989</v>
      </c>
      <c r="B1328" s="320" t="s">
        <v>29062</v>
      </c>
      <c r="C1328" s="321">
        <v>127087</v>
      </c>
      <c r="D1328" s="390" t="s">
        <v>15448</v>
      </c>
      <c r="E1328" s="322">
        <v>165321.49</v>
      </c>
      <c r="F1328" s="323">
        <v>42991</v>
      </c>
      <c r="G1328" s="322">
        <v>165321.49</v>
      </c>
      <c r="H1328" s="322">
        <f t="shared" si="16"/>
        <v>0</v>
      </c>
      <c r="I1328" s="325" t="s">
        <v>15214</v>
      </c>
    </row>
    <row r="1329" spans="1:9" ht="15.75" x14ac:dyDescent="0.25">
      <c r="A1329" s="359">
        <v>42989</v>
      </c>
      <c r="B1329" s="326" t="s">
        <v>29063</v>
      </c>
      <c r="C1329" s="327">
        <v>127088</v>
      </c>
      <c r="D1329" s="345" t="s">
        <v>95</v>
      </c>
      <c r="E1329" s="328">
        <v>0</v>
      </c>
      <c r="F1329" s="346" t="s">
        <v>95</v>
      </c>
      <c r="G1329" s="328">
        <v>0</v>
      </c>
      <c r="H1329" s="347">
        <f t="shared" ref="H1329:H1392" si="17">E1329-G1329</f>
        <v>0</v>
      </c>
      <c r="I1329" s="331" t="s">
        <v>95</v>
      </c>
    </row>
    <row r="1330" spans="1:9" x14ac:dyDescent="0.25">
      <c r="A1330" s="319">
        <v>42989</v>
      </c>
      <c r="B1330" s="320" t="s">
        <v>29064</v>
      </c>
      <c r="C1330" s="321">
        <v>127089</v>
      </c>
      <c r="D1330" s="390" t="s">
        <v>15387</v>
      </c>
      <c r="E1330" s="322">
        <v>2491.16</v>
      </c>
      <c r="F1330" s="323">
        <v>42989</v>
      </c>
      <c r="G1330" s="322">
        <v>2491.16</v>
      </c>
      <c r="H1330" s="322">
        <f t="shared" si="17"/>
        <v>0</v>
      </c>
      <c r="I1330" s="325" t="s">
        <v>15214</v>
      </c>
    </row>
    <row r="1331" spans="1:9" x14ac:dyDescent="0.25">
      <c r="A1331" s="359">
        <v>42989</v>
      </c>
      <c r="B1331" s="326" t="s">
        <v>29065</v>
      </c>
      <c r="C1331" s="327">
        <v>127090</v>
      </c>
      <c r="D1331" s="391" t="s">
        <v>15369</v>
      </c>
      <c r="E1331" s="328">
        <v>22549.7</v>
      </c>
      <c r="F1331" s="329">
        <v>43004</v>
      </c>
      <c r="G1331" s="328">
        <v>22549.7</v>
      </c>
      <c r="H1331" s="347">
        <f t="shared" si="17"/>
        <v>0</v>
      </c>
      <c r="I1331" s="331" t="s">
        <v>15214</v>
      </c>
    </row>
    <row r="1332" spans="1:9" x14ac:dyDescent="0.25">
      <c r="A1332" s="319">
        <v>42989</v>
      </c>
      <c r="B1332" s="320" t="s">
        <v>29066</v>
      </c>
      <c r="C1332" s="321">
        <v>127091</v>
      </c>
      <c r="D1332" s="390" t="s">
        <v>15380</v>
      </c>
      <c r="E1332" s="322">
        <v>52006.9</v>
      </c>
      <c r="F1332" s="323">
        <v>43004</v>
      </c>
      <c r="G1332" s="322">
        <v>52006.9</v>
      </c>
      <c r="H1332" s="322">
        <f t="shared" si="17"/>
        <v>0</v>
      </c>
      <c r="I1332" s="325" t="s">
        <v>15214</v>
      </c>
    </row>
    <row r="1333" spans="1:9" x14ac:dyDescent="0.25">
      <c r="A1333" s="359">
        <v>42989</v>
      </c>
      <c r="B1333" s="326" t="s">
        <v>29067</v>
      </c>
      <c r="C1333" s="327">
        <v>127092</v>
      </c>
      <c r="D1333" s="391" t="s">
        <v>15858</v>
      </c>
      <c r="E1333" s="328">
        <v>12483.2</v>
      </c>
      <c r="F1333" s="329">
        <v>42989</v>
      </c>
      <c r="G1333" s="328">
        <v>12483.2</v>
      </c>
      <c r="H1333" s="347">
        <f t="shared" si="17"/>
        <v>0</v>
      </c>
      <c r="I1333" s="331" t="s">
        <v>15214</v>
      </c>
    </row>
    <row r="1334" spans="1:9" ht="15.75" x14ac:dyDescent="0.25">
      <c r="A1334" s="319">
        <v>42989</v>
      </c>
      <c r="B1334" s="320" t="s">
        <v>29068</v>
      </c>
      <c r="C1334" s="321">
        <v>127093</v>
      </c>
      <c r="D1334" s="332" t="s">
        <v>95</v>
      </c>
      <c r="E1334" s="322">
        <v>0</v>
      </c>
      <c r="F1334" s="333" t="s">
        <v>95</v>
      </c>
      <c r="G1334" s="322">
        <v>0</v>
      </c>
      <c r="H1334" s="322">
        <f t="shared" si="17"/>
        <v>0</v>
      </c>
      <c r="I1334" s="325" t="s">
        <v>95</v>
      </c>
    </row>
    <row r="1335" spans="1:9" x14ac:dyDescent="0.25">
      <c r="A1335" s="359">
        <v>42989</v>
      </c>
      <c r="B1335" s="326" t="s">
        <v>29069</v>
      </c>
      <c r="C1335" s="327">
        <v>127094</v>
      </c>
      <c r="D1335" s="391" t="s">
        <v>15382</v>
      </c>
      <c r="E1335" s="328">
        <v>10476.200000000001</v>
      </c>
      <c r="F1335" s="329">
        <v>43004</v>
      </c>
      <c r="G1335" s="328">
        <v>10476.200000000001</v>
      </c>
      <c r="H1335" s="347">
        <f t="shared" si="17"/>
        <v>0</v>
      </c>
      <c r="I1335" s="331" t="s">
        <v>15214</v>
      </c>
    </row>
    <row r="1336" spans="1:9" x14ac:dyDescent="0.25">
      <c r="A1336" s="319">
        <v>42989</v>
      </c>
      <c r="B1336" s="320" t="s">
        <v>29070</v>
      </c>
      <c r="C1336" s="321">
        <v>127095</v>
      </c>
      <c r="D1336" s="390" t="s">
        <v>15912</v>
      </c>
      <c r="E1336" s="322">
        <v>1078</v>
      </c>
      <c r="F1336" s="323">
        <v>42989</v>
      </c>
      <c r="G1336" s="322">
        <v>1078</v>
      </c>
      <c r="H1336" s="322">
        <f t="shared" si="17"/>
        <v>0</v>
      </c>
      <c r="I1336" s="325" t="s">
        <v>15214</v>
      </c>
    </row>
    <row r="1337" spans="1:9" x14ac:dyDescent="0.25">
      <c r="A1337" s="359">
        <v>42989</v>
      </c>
      <c r="B1337" s="326" t="s">
        <v>29071</v>
      </c>
      <c r="C1337" s="327">
        <v>127096</v>
      </c>
      <c r="D1337" s="391" t="s">
        <v>15526</v>
      </c>
      <c r="E1337" s="328">
        <v>5370</v>
      </c>
      <c r="F1337" s="329">
        <v>42989</v>
      </c>
      <c r="G1337" s="328">
        <v>5370</v>
      </c>
      <c r="H1337" s="347">
        <f t="shared" si="17"/>
        <v>0</v>
      </c>
      <c r="I1337" s="331" t="s">
        <v>15214</v>
      </c>
    </row>
    <row r="1338" spans="1:9" x14ac:dyDescent="0.25">
      <c r="A1338" s="319">
        <v>42989</v>
      </c>
      <c r="B1338" s="320" t="s">
        <v>29072</v>
      </c>
      <c r="C1338" s="321">
        <v>127097</v>
      </c>
      <c r="D1338" s="390" t="s">
        <v>15742</v>
      </c>
      <c r="E1338" s="322">
        <v>2993.5</v>
      </c>
      <c r="F1338" s="323">
        <v>42989</v>
      </c>
      <c r="G1338" s="322">
        <v>2993.5</v>
      </c>
      <c r="H1338" s="322">
        <f t="shared" si="17"/>
        <v>0</v>
      </c>
      <c r="I1338" s="325" t="s">
        <v>15214</v>
      </c>
    </row>
    <row r="1339" spans="1:9" x14ac:dyDescent="0.25">
      <c r="A1339" s="359">
        <v>42989</v>
      </c>
      <c r="B1339" s="326" t="s">
        <v>29073</v>
      </c>
      <c r="C1339" s="327">
        <v>127098</v>
      </c>
      <c r="D1339" s="391" t="s">
        <v>15358</v>
      </c>
      <c r="E1339" s="328">
        <v>1974</v>
      </c>
      <c r="F1339" s="329">
        <v>42989</v>
      </c>
      <c r="G1339" s="328">
        <v>1974</v>
      </c>
      <c r="H1339" s="347">
        <f t="shared" si="17"/>
        <v>0</v>
      </c>
      <c r="I1339" s="331" t="s">
        <v>15214</v>
      </c>
    </row>
    <row r="1340" spans="1:9" x14ac:dyDescent="0.25">
      <c r="A1340" s="319">
        <v>42989</v>
      </c>
      <c r="B1340" s="320" t="s">
        <v>29074</v>
      </c>
      <c r="C1340" s="321">
        <v>127099</v>
      </c>
      <c r="D1340" s="390" t="s">
        <v>15336</v>
      </c>
      <c r="E1340" s="322">
        <v>5954.9</v>
      </c>
      <c r="F1340" s="323">
        <v>42989</v>
      </c>
      <c r="G1340" s="322">
        <v>5954.9</v>
      </c>
      <c r="H1340" s="322">
        <f t="shared" si="17"/>
        <v>0</v>
      </c>
      <c r="I1340" s="325" t="s">
        <v>15214</v>
      </c>
    </row>
    <row r="1341" spans="1:9" x14ac:dyDescent="0.25">
      <c r="A1341" s="359">
        <v>42989</v>
      </c>
      <c r="B1341" s="326" t="s">
        <v>29075</v>
      </c>
      <c r="C1341" s="327">
        <v>127100</v>
      </c>
      <c r="D1341" s="391" t="s">
        <v>15254</v>
      </c>
      <c r="E1341" s="328">
        <v>1912.6</v>
      </c>
      <c r="F1341" s="329">
        <v>42989</v>
      </c>
      <c r="G1341" s="328">
        <v>1912.6</v>
      </c>
      <c r="H1341" s="347">
        <f t="shared" si="17"/>
        <v>0</v>
      </c>
      <c r="I1341" s="331" t="s">
        <v>15214</v>
      </c>
    </row>
    <row r="1342" spans="1:9" x14ac:dyDescent="0.25">
      <c r="A1342" s="319">
        <v>42989</v>
      </c>
      <c r="B1342" s="320" t="s">
        <v>29076</v>
      </c>
      <c r="C1342" s="321">
        <v>127101</v>
      </c>
      <c r="D1342" s="390" t="s">
        <v>19768</v>
      </c>
      <c r="E1342" s="322">
        <v>960</v>
      </c>
      <c r="F1342" s="323">
        <v>42989</v>
      </c>
      <c r="G1342" s="322">
        <v>960</v>
      </c>
      <c r="H1342" s="322">
        <f t="shared" si="17"/>
        <v>0</v>
      </c>
      <c r="I1342" s="325" t="s">
        <v>15214</v>
      </c>
    </row>
    <row r="1343" spans="1:9" x14ac:dyDescent="0.25">
      <c r="A1343" s="359">
        <v>42989</v>
      </c>
      <c r="B1343" s="326" t="s">
        <v>29077</v>
      </c>
      <c r="C1343" s="327">
        <v>127102</v>
      </c>
      <c r="D1343" s="391" t="s">
        <v>17950</v>
      </c>
      <c r="E1343" s="328">
        <v>7456.7</v>
      </c>
      <c r="F1343" s="329">
        <v>42989</v>
      </c>
      <c r="G1343" s="328">
        <v>7456.7</v>
      </c>
      <c r="H1343" s="347">
        <f t="shared" si="17"/>
        <v>0</v>
      </c>
      <c r="I1343" s="331" t="s">
        <v>15214</v>
      </c>
    </row>
    <row r="1344" spans="1:9" x14ac:dyDescent="0.25">
      <c r="A1344" s="319">
        <v>42989</v>
      </c>
      <c r="B1344" s="320" t="s">
        <v>29078</v>
      </c>
      <c r="C1344" s="321">
        <v>127103</v>
      </c>
      <c r="D1344" s="390" t="s">
        <v>15252</v>
      </c>
      <c r="E1344" s="322">
        <v>4766.55</v>
      </c>
      <c r="F1344" s="323">
        <v>42992</v>
      </c>
      <c r="G1344" s="322">
        <v>4766.55</v>
      </c>
      <c r="H1344" s="322">
        <f t="shared" si="17"/>
        <v>0</v>
      </c>
      <c r="I1344" s="325" t="s">
        <v>15214</v>
      </c>
    </row>
    <row r="1345" spans="1:9" ht="30" x14ac:dyDescent="0.25">
      <c r="A1345" s="359">
        <v>42989</v>
      </c>
      <c r="B1345" s="326" t="s">
        <v>29079</v>
      </c>
      <c r="C1345" s="327">
        <v>127104</v>
      </c>
      <c r="D1345" s="391" t="s">
        <v>15244</v>
      </c>
      <c r="E1345" s="328">
        <v>15031.65</v>
      </c>
      <c r="F1345" s="329" t="s">
        <v>29080</v>
      </c>
      <c r="G1345" s="328">
        <f>5500+9531.65</f>
        <v>15031.65</v>
      </c>
      <c r="H1345" s="347">
        <f t="shared" si="17"/>
        <v>0</v>
      </c>
      <c r="I1345" s="331" t="s">
        <v>15214</v>
      </c>
    </row>
    <row r="1346" spans="1:9" x14ac:dyDescent="0.25">
      <c r="A1346" s="319">
        <v>42989</v>
      </c>
      <c r="B1346" s="320" t="s">
        <v>29081</v>
      </c>
      <c r="C1346" s="321">
        <v>127105</v>
      </c>
      <c r="D1346" s="390" t="s">
        <v>23937</v>
      </c>
      <c r="E1346" s="322">
        <v>3581.9</v>
      </c>
      <c r="F1346" s="323">
        <v>42989</v>
      </c>
      <c r="G1346" s="322">
        <v>3581.9</v>
      </c>
      <c r="H1346" s="322">
        <f t="shared" si="17"/>
        <v>0</v>
      </c>
      <c r="I1346" s="325" t="s">
        <v>15214</v>
      </c>
    </row>
    <row r="1347" spans="1:9" ht="15.75" x14ac:dyDescent="0.25">
      <c r="A1347" s="359">
        <v>42989</v>
      </c>
      <c r="B1347" s="326" t="s">
        <v>29082</v>
      </c>
      <c r="C1347" s="327">
        <v>127106</v>
      </c>
      <c r="D1347" s="345" t="s">
        <v>95</v>
      </c>
      <c r="E1347" s="328">
        <v>0</v>
      </c>
      <c r="F1347" s="346" t="s">
        <v>95</v>
      </c>
      <c r="G1347" s="328">
        <v>0</v>
      </c>
      <c r="H1347" s="347">
        <f t="shared" si="17"/>
        <v>0</v>
      </c>
      <c r="I1347" s="331" t="s">
        <v>95</v>
      </c>
    </row>
    <row r="1348" spans="1:9" x14ac:dyDescent="0.25">
      <c r="A1348" s="319">
        <v>42989</v>
      </c>
      <c r="B1348" s="320" t="s">
        <v>29083</v>
      </c>
      <c r="C1348" s="321">
        <v>127107</v>
      </c>
      <c r="D1348" s="390" t="s">
        <v>15378</v>
      </c>
      <c r="E1348" s="322">
        <v>10559.8</v>
      </c>
      <c r="F1348" s="323">
        <v>42996</v>
      </c>
      <c r="G1348" s="322">
        <v>10559.8</v>
      </c>
      <c r="H1348" s="322">
        <f t="shared" si="17"/>
        <v>0</v>
      </c>
      <c r="I1348" s="325" t="s">
        <v>15214</v>
      </c>
    </row>
    <row r="1349" spans="1:9" x14ac:dyDescent="0.25">
      <c r="A1349" s="359">
        <v>42989</v>
      </c>
      <c r="B1349" s="326" t="s">
        <v>29084</v>
      </c>
      <c r="C1349" s="327">
        <v>127108</v>
      </c>
      <c r="D1349" s="391" t="s">
        <v>15398</v>
      </c>
      <c r="E1349" s="328">
        <v>3957.45</v>
      </c>
      <c r="F1349" s="329">
        <v>42990</v>
      </c>
      <c r="G1349" s="328">
        <v>3957.45</v>
      </c>
      <c r="H1349" s="347">
        <f t="shared" si="17"/>
        <v>0</v>
      </c>
      <c r="I1349" s="331" t="s">
        <v>15214</v>
      </c>
    </row>
    <row r="1350" spans="1:9" x14ac:dyDescent="0.25">
      <c r="A1350" s="319">
        <v>42989</v>
      </c>
      <c r="B1350" s="320" t="s">
        <v>29085</v>
      </c>
      <c r="C1350" s="321">
        <v>127109</v>
      </c>
      <c r="D1350" s="390" t="s">
        <v>15282</v>
      </c>
      <c r="E1350" s="322">
        <v>2739.1</v>
      </c>
      <c r="F1350" s="323">
        <v>42989</v>
      </c>
      <c r="G1350" s="322">
        <v>2739.1</v>
      </c>
      <c r="H1350" s="322">
        <f t="shared" si="17"/>
        <v>0</v>
      </c>
      <c r="I1350" s="325" t="s">
        <v>15214</v>
      </c>
    </row>
    <row r="1351" spans="1:9" x14ac:dyDescent="0.25">
      <c r="A1351" s="359">
        <v>42989</v>
      </c>
      <c r="B1351" s="326" t="s">
        <v>29086</v>
      </c>
      <c r="C1351" s="327">
        <v>127110</v>
      </c>
      <c r="D1351" s="391" t="s">
        <v>15298</v>
      </c>
      <c r="E1351" s="328">
        <v>18176.8</v>
      </c>
      <c r="F1351" s="329">
        <v>43011</v>
      </c>
      <c r="G1351" s="328">
        <v>18176.8</v>
      </c>
      <c r="H1351" s="347">
        <f t="shared" si="17"/>
        <v>0</v>
      </c>
      <c r="I1351" s="331" t="s">
        <v>15214</v>
      </c>
    </row>
    <row r="1352" spans="1:9" x14ac:dyDescent="0.25">
      <c r="A1352" s="319">
        <v>42989</v>
      </c>
      <c r="B1352" s="320" t="s">
        <v>29087</v>
      </c>
      <c r="C1352" s="321">
        <v>127111</v>
      </c>
      <c r="D1352" s="390" t="s">
        <v>15920</v>
      </c>
      <c r="E1352" s="322">
        <v>7484.4</v>
      </c>
      <c r="F1352" s="323">
        <v>42991</v>
      </c>
      <c r="G1352" s="322">
        <v>7484.4</v>
      </c>
      <c r="H1352" s="322">
        <f t="shared" si="17"/>
        <v>0</v>
      </c>
      <c r="I1352" s="325" t="s">
        <v>15214</v>
      </c>
    </row>
    <row r="1353" spans="1:9" x14ac:dyDescent="0.25">
      <c r="A1353" s="359">
        <v>42989</v>
      </c>
      <c r="B1353" s="326" t="s">
        <v>29088</v>
      </c>
      <c r="C1353" s="327">
        <v>127112</v>
      </c>
      <c r="D1353" s="391" t="s">
        <v>15276</v>
      </c>
      <c r="E1353" s="328">
        <v>3840</v>
      </c>
      <c r="F1353" s="329">
        <v>42990</v>
      </c>
      <c r="G1353" s="328">
        <v>3840</v>
      </c>
      <c r="H1353" s="347">
        <f t="shared" si="17"/>
        <v>0</v>
      </c>
      <c r="I1353" s="331" t="s">
        <v>15214</v>
      </c>
    </row>
    <row r="1354" spans="1:9" x14ac:dyDescent="0.25">
      <c r="A1354" s="319">
        <v>42989</v>
      </c>
      <c r="B1354" s="320" t="s">
        <v>29089</v>
      </c>
      <c r="C1354" s="321">
        <v>127113</v>
      </c>
      <c r="D1354" s="390" t="s">
        <v>15315</v>
      </c>
      <c r="E1354" s="322">
        <v>3360</v>
      </c>
      <c r="F1354" s="323">
        <v>42990</v>
      </c>
      <c r="G1354" s="322">
        <v>3360</v>
      </c>
      <c r="H1354" s="322">
        <f t="shared" si="17"/>
        <v>0</v>
      </c>
      <c r="I1354" s="325" t="s">
        <v>15214</v>
      </c>
    </row>
    <row r="1355" spans="1:9" x14ac:dyDescent="0.25">
      <c r="A1355" s="359">
        <v>42989</v>
      </c>
      <c r="B1355" s="326" t="s">
        <v>29090</v>
      </c>
      <c r="C1355" s="327">
        <v>127114</v>
      </c>
      <c r="D1355" s="391" t="s">
        <v>15328</v>
      </c>
      <c r="E1355" s="328">
        <v>94170.26</v>
      </c>
      <c r="F1355" s="329">
        <v>43001</v>
      </c>
      <c r="G1355" s="328">
        <v>94170.26</v>
      </c>
      <c r="H1355" s="347">
        <f t="shared" si="17"/>
        <v>0</v>
      </c>
      <c r="I1355" s="331" t="s">
        <v>15214</v>
      </c>
    </row>
    <row r="1356" spans="1:9" x14ac:dyDescent="0.25">
      <c r="A1356" s="319">
        <v>42989</v>
      </c>
      <c r="B1356" s="320" t="s">
        <v>29091</v>
      </c>
      <c r="C1356" s="321">
        <v>127115</v>
      </c>
      <c r="D1356" s="390" t="s">
        <v>15286</v>
      </c>
      <c r="E1356" s="322">
        <v>5448</v>
      </c>
      <c r="F1356" s="323">
        <v>42990</v>
      </c>
      <c r="G1356" s="322">
        <v>5448</v>
      </c>
      <c r="H1356" s="322">
        <f t="shared" si="17"/>
        <v>0</v>
      </c>
      <c r="I1356" s="325" t="s">
        <v>15214</v>
      </c>
    </row>
    <row r="1357" spans="1:9" x14ac:dyDescent="0.25">
      <c r="A1357" s="359">
        <v>42989</v>
      </c>
      <c r="B1357" s="326" t="s">
        <v>29092</v>
      </c>
      <c r="C1357" s="327">
        <v>127116</v>
      </c>
      <c r="D1357" s="391" t="s">
        <v>15668</v>
      </c>
      <c r="E1357" s="328">
        <v>10716.3</v>
      </c>
      <c r="F1357" s="329">
        <v>42990</v>
      </c>
      <c r="G1357" s="328">
        <v>10716.3</v>
      </c>
      <c r="H1357" s="347">
        <f t="shared" si="17"/>
        <v>0</v>
      </c>
      <c r="I1357" s="331" t="s">
        <v>15214</v>
      </c>
    </row>
    <row r="1358" spans="1:9" x14ac:dyDescent="0.25">
      <c r="A1358" s="319">
        <v>42989</v>
      </c>
      <c r="B1358" s="320" t="s">
        <v>29093</v>
      </c>
      <c r="C1358" s="321">
        <v>127117</v>
      </c>
      <c r="D1358" s="390" t="s">
        <v>15417</v>
      </c>
      <c r="E1358" s="322">
        <v>2824.7</v>
      </c>
      <c r="F1358" s="323">
        <v>42990</v>
      </c>
      <c r="G1358" s="322">
        <v>2824.7</v>
      </c>
      <c r="H1358" s="322">
        <f t="shared" si="17"/>
        <v>0</v>
      </c>
      <c r="I1358" s="325" t="s">
        <v>15214</v>
      </c>
    </row>
    <row r="1359" spans="1:9" x14ac:dyDescent="0.25">
      <c r="A1359" s="359">
        <v>42989</v>
      </c>
      <c r="B1359" s="326" t="s">
        <v>29094</v>
      </c>
      <c r="C1359" s="327">
        <v>127118</v>
      </c>
      <c r="D1359" s="391" t="s">
        <v>19774</v>
      </c>
      <c r="E1359" s="328">
        <v>37272</v>
      </c>
      <c r="F1359" s="329">
        <v>42990</v>
      </c>
      <c r="G1359" s="328">
        <v>37272</v>
      </c>
      <c r="H1359" s="347">
        <f t="shared" si="17"/>
        <v>0</v>
      </c>
      <c r="I1359" s="331" t="s">
        <v>15214</v>
      </c>
    </row>
    <row r="1360" spans="1:9" x14ac:dyDescent="0.25">
      <c r="A1360" s="319">
        <v>42989</v>
      </c>
      <c r="B1360" s="320" t="s">
        <v>29095</v>
      </c>
      <c r="C1360" s="321">
        <v>127119</v>
      </c>
      <c r="D1360" s="390" t="s">
        <v>15930</v>
      </c>
      <c r="E1360" s="322">
        <v>9497.2000000000007</v>
      </c>
      <c r="F1360" s="323">
        <v>42990</v>
      </c>
      <c r="G1360" s="322">
        <v>9497.2000000000007</v>
      </c>
      <c r="H1360" s="322">
        <f t="shared" si="17"/>
        <v>0</v>
      </c>
      <c r="I1360" s="325" t="s">
        <v>15214</v>
      </c>
    </row>
    <row r="1361" spans="1:9" x14ac:dyDescent="0.25">
      <c r="A1361" s="359">
        <v>42989</v>
      </c>
      <c r="B1361" s="326" t="s">
        <v>29096</v>
      </c>
      <c r="C1361" s="327">
        <v>127120</v>
      </c>
      <c r="D1361" s="391" t="s">
        <v>15407</v>
      </c>
      <c r="E1361" s="328">
        <v>12054.1</v>
      </c>
      <c r="F1361" s="329">
        <v>42989</v>
      </c>
      <c r="G1361" s="328">
        <v>12054.1</v>
      </c>
      <c r="H1361" s="347">
        <f t="shared" si="17"/>
        <v>0</v>
      </c>
      <c r="I1361" s="331" t="s">
        <v>15214</v>
      </c>
    </row>
    <row r="1362" spans="1:9" x14ac:dyDescent="0.25">
      <c r="A1362" s="319">
        <v>42989</v>
      </c>
      <c r="B1362" s="320" t="s">
        <v>29097</v>
      </c>
      <c r="C1362" s="321">
        <v>127121</v>
      </c>
      <c r="D1362" s="390" t="s">
        <v>15396</v>
      </c>
      <c r="E1362" s="322">
        <v>5081.5200000000004</v>
      </c>
      <c r="F1362" s="323">
        <v>42989</v>
      </c>
      <c r="G1362" s="322">
        <v>5081.5200000000004</v>
      </c>
      <c r="H1362" s="322">
        <f t="shared" si="17"/>
        <v>0</v>
      </c>
      <c r="I1362" s="325" t="s">
        <v>15214</v>
      </c>
    </row>
    <row r="1363" spans="1:9" x14ac:dyDescent="0.25">
      <c r="A1363" s="359">
        <v>42989</v>
      </c>
      <c r="B1363" s="326" t="s">
        <v>29098</v>
      </c>
      <c r="C1363" s="327">
        <v>127122</v>
      </c>
      <c r="D1363" s="391" t="s">
        <v>16313</v>
      </c>
      <c r="E1363" s="328">
        <v>2356.9</v>
      </c>
      <c r="F1363" s="329">
        <v>42989</v>
      </c>
      <c r="G1363" s="328">
        <v>2356.9</v>
      </c>
      <c r="H1363" s="347">
        <f t="shared" si="17"/>
        <v>0</v>
      </c>
      <c r="I1363" s="331" t="s">
        <v>15214</v>
      </c>
    </row>
    <row r="1364" spans="1:9" x14ac:dyDescent="0.25">
      <c r="A1364" s="319">
        <v>42989</v>
      </c>
      <c r="B1364" s="320" t="s">
        <v>29099</v>
      </c>
      <c r="C1364" s="321">
        <v>127123</v>
      </c>
      <c r="D1364" s="390" t="s">
        <v>15442</v>
      </c>
      <c r="E1364" s="322">
        <v>1800</v>
      </c>
      <c r="F1364" s="323">
        <v>42989</v>
      </c>
      <c r="G1364" s="322">
        <v>1800</v>
      </c>
      <c r="H1364" s="322">
        <f t="shared" si="17"/>
        <v>0</v>
      </c>
      <c r="I1364" s="325" t="s">
        <v>15214</v>
      </c>
    </row>
    <row r="1365" spans="1:9" x14ac:dyDescent="0.25">
      <c r="A1365" s="359">
        <v>42989</v>
      </c>
      <c r="B1365" s="326" t="s">
        <v>29100</v>
      </c>
      <c r="C1365" s="327">
        <v>127124</v>
      </c>
      <c r="D1365" s="391" t="s">
        <v>15313</v>
      </c>
      <c r="E1365" s="328">
        <v>12103.2</v>
      </c>
      <c r="F1365" s="329">
        <v>42997</v>
      </c>
      <c r="G1365" s="328">
        <v>12103.2</v>
      </c>
      <c r="H1365" s="347">
        <f t="shared" si="17"/>
        <v>0</v>
      </c>
      <c r="I1365" s="331" t="s">
        <v>15214</v>
      </c>
    </row>
    <row r="1366" spans="1:9" x14ac:dyDescent="0.25">
      <c r="A1366" s="319">
        <v>42989</v>
      </c>
      <c r="B1366" s="320" t="s">
        <v>29101</v>
      </c>
      <c r="C1366" s="321">
        <v>127125</v>
      </c>
      <c r="D1366" s="390" t="s">
        <v>15782</v>
      </c>
      <c r="E1366" s="322">
        <v>1531.8</v>
      </c>
      <c r="F1366" s="323">
        <v>42990</v>
      </c>
      <c r="G1366" s="322">
        <v>1531.8</v>
      </c>
      <c r="H1366" s="322">
        <f t="shared" si="17"/>
        <v>0</v>
      </c>
      <c r="I1366" s="325" t="s">
        <v>15214</v>
      </c>
    </row>
    <row r="1367" spans="1:9" x14ac:dyDescent="0.25">
      <c r="A1367" s="359">
        <v>42989</v>
      </c>
      <c r="B1367" s="326" t="s">
        <v>29102</v>
      </c>
      <c r="C1367" s="327">
        <v>127126</v>
      </c>
      <c r="D1367" s="391" t="s">
        <v>15748</v>
      </c>
      <c r="E1367" s="328">
        <v>4373.96</v>
      </c>
      <c r="F1367" s="329">
        <v>42992</v>
      </c>
      <c r="G1367" s="328">
        <v>4373.96</v>
      </c>
      <c r="H1367" s="347">
        <f t="shared" si="17"/>
        <v>0</v>
      </c>
      <c r="I1367" s="331" t="s">
        <v>15214</v>
      </c>
    </row>
    <row r="1368" spans="1:9" x14ac:dyDescent="0.25">
      <c r="A1368" s="319">
        <v>42989</v>
      </c>
      <c r="B1368" s="320" t="s">
        <v>29103</v>
      </c>
      <c r="C1368" s="321">
        <v>127127</v>
      </c>
      <c r="D1368" s="390" t="s">
        <v>15566</v>
      </c>
      <c r="E1368" s="322">
        <v>417.6</v>
      </c>
      <c r="F1368" s="323">
        <v>42989</v>
      </c>
      <c r="G1368" s="322">
        <v>417.6</v>
      </c>
      <c r="H1368" s="322">
        <f t="shared" si="17"/>
        <v>0</v>
      </c>
      <c r="I1368" s="325" t="s">
        <v>15214</v>
      </c>
    </row>
    <row r="1369" spans="1:9" x14ac:dyDescent="0.25">
      <c r="A1369" s="359">
        <v>42989</v>
      </c>
      <c r="B1369" s="326" t="s">
        <v>29104</v>
      </c>
      <c r="C1369" s="327">
        <v>127128</v>
      </c>
      <c r="D1369" s="391" t="s">
        <v>15748</v>
      </c>
      <c r="E1369" s="328">
        <v>664.2</v>
      </c>
      <c r="F1369" s="329">
        <v>42992</v>
      </c>
      <c r="G1369" s="328">
        <v>664.2</v>
      </c>
      <c r="H1369" s="347">
        <f t="shared" si="17"/>
        <v>0</v>
      </c>
      <c r="I1369" s="331" t="s">
        <v>15214</v>
      </c>
    </row>
    <row r="1370" spans="1:9" x14ac:dyDescent="0.25">
      <c r="A1370" s="319">
        <v>42989</v>
      </c>
      <c r="B1370" s="320" t="s">
        <v>29105</v>
      </c>
      <c r="C1370" s="321">
        <v>127129</v>
      </c>
      <c r="D1370" s="390" t="s">
        <v>15600</v>
      </c>
      <c r="E1370" s="322">
        <v>9985.5</v>
      </c>
      <c r="F1370" s="323">
        <v>42990</v>
      </c>
      <c r="G1370" s="322">
        <v>9985.5</v>
      </c>
      <c r="H1370" s="322">
        <f t="shared" si="17"/>
        <v>0</v>
      </c>
      <c r="I1370" s="325" t="s">
        <v>15214</v>
      </c>
    </row>
    <row r="1371" spans="1:9" x14ac:dyDescent="0.25">
      <c r="A1371" s="359">
        <v>42989</v>
      </c>
      <c r="B1371" s="326" t="s">
        <v>29106</v>
      </c>
      <c r="C1371" s="327">
        <v>127130</v>
      </c>
      <c r="D1371" s="391" t="s">
        <v>19461</v>
      </c>
      <c r="E1371" s="328">
        <v>1908</v>
      </c>
      <c r="F1371" s="329">
        <v>42989</v>
      </c>
      <c r="G1371" s="328">
        <v>1908</v>
      </c>
      <c r="H1371" s="347">
        <f t="shared" si="17"/>
        <v>0</v>
      </c>
      <c r="I1371" s="331" t="s">
        <v>15214</v>
      </c>
    </row>
    <row r="1372" spans="1:9" x14ac:dyDescent="0.25">
      <c r="A1372" s="319">
        <v>42989</v>
      </c>
      <c r="B1372" s="320" t="s">
        <v>29107</v>
      </c>
      <c r="C1372" s="321">
        <v>127131</v>
      </c>
      <c r="D1372" s="390" t="s">
        <v>19754</v>
      </c>
      <c r="E1372" s="322">
        <v>25203.4</v>
      </c>
      <c r="F1372" s="323">
        <v>42989</v>
      </c>
      <c r="G1372" s="322">
        <v>25203.4</v>
      </c>
      <c r="H1372" s="322">
        <f t="shared" si="17"/>
        <v>0</v>
      </c>
      <c r="I1372" s="325" t="s">
        <v>15214</v>
      </c>
    </row>
    <row r="1373" spans="1:9" x14ac:dyDescent="0.25">
      <c r="A1373" s="359">
        <v>42989</v>
      </c>
      <c r="B1373" s="326" t="s">
        <v>29108</v>
      </c>
      <c r="C1373" s="327">
        <v>127132</v>
      </c>
      <c r="D1373" s="391" t="s">
        <v>15404</v>
      </c>
      <c r="E1373" s="328">
        <v>11771.4</v>
      </c>
      <c r="F1373" s="329">
        <v>42989</v>
      </c>
      <c r="G1373" s="328">
        <v>11771.4</v>
      </c>
      <c r="H1373" s="347">
        <f t="shared" si="17"/>
        <v>0</v>
      </c>
      <c r="I1373" s="331" t="s">
        <v>15214</v>
      </c>
    </row>
    <row r="1374" spans="1:9" x14ac:dyDescent="0.25">
      <c r="A1374" s="319">
        <v>42989</v>
      </c>
      <c r="B1374" s="320" t="s">
        <v>29109</v>
      </c>
      <c r="C1374" s="321">
        <v>127133</v>
      </c>
      <c r="D1374" s="390" t="s">
        <v>15433</v>
      </c>
      <c r="E1374" s="322">
        <v>1356.94</v>
      </c>
      <c r="F1374" s="323">
        <v>42989</v>
      </c>
      <c r="G1374" s="322">
        <v>1356.94</v>
      </c>
      <c r="H1374" s="322">
        <f t="shared" si="17"/>
        <v>0</v>
      </c>
      <c r="I1374" s="325" t="s">
        <v>15214</v>
      </c>
    </row>
    <row r="1375" spans="1:9" x14ac:dyDescent="0.25">
      <c r="A1375" s="359">
        <v>42989</v>
      </c>
      <c r="B1375" s="326" t="s">
        <v>29110</v>
      </c>
      <c r="C1375" s="327">
        <v>127134</v>
      </c>
      <c r="D1375" s="391" t="s">
        <v>15419</v>
      </c>
      <c r="E1375" s="328">
        <v>45430.8</v>
      </c>
      <c r="F1375" s="329">
        <v>42993</v>
      </c>
      <c r="G1375" s="328">
        <v>45430.8</v>
      </c>
      <c r="H1375" s="347">
        <f t="shared" si="17"/>
        <v>0</v>
      </c>
      <c r="I1375" s="331" t="s">
        <v>15214</v>
      </c>
    </row>
    <row r="1376" spans="1:9" x14ac:dyDescent="0.25">
      <c r="A1376" s="319">
        <v>42989</v>
      </c>
      <c r="B1376" s="320" t="s">
        <v>29111</v>
      </c>
      <c r="C1376" s="321">
        <v>127135</v>
      </c>
      <c r="D1376" s="390" t="s">
        <v>15315</v>
      </c>
      <c r="E1376" s="322">
        <v>16094.45</v>
      </c>
      <c r="F1376" s="323">
        <v>42989</v>
      </c>
      <c r="G1376" s="322">
        <v>16094.45</v>
      </c>
      <c r="H1376" s="322">
        <f t="shared" si="17"/>
        <v>0</v>
      </c>
      <c r="I1376" s="325" t="s">
        <v>15214</v>
      </c>
    </row>
    <row r="1377" spans="1:9" x14ac:dyDescent="0.25">
      <c r="A1377" s="359">
        <v>42989</v>
      </c>
      <c r="B1377" s="326" t="s">
        <v>29112</v>
      </c>
      <c r="C1377" s="327">
        <v>127136</v>
      </c>
      <c r="D1377" s="391" t="s">
        <v>15315</v>
      </c>
      <c r="E1377" s="328">
        <v>2866.5</v>
      </c>
      <c r="F1377" s="329">
        <v>42989</v>
      </c>
      <c r="G1377" s="328">
        <v>2866.5</v>
      </c>
      <c r="H1377" s="347">
        <f t="shared" si="17"/>
        <v>0</v>
      </c>
      <c r="I1377" s="331" t="s">
        <v>15214</v>
      </c>
    </row>
    <row r="1378" spans="1:9" ht="30" x14ac:dyDescent="0.25">
      <c r="A1378" s="319">
        <v>42989</v>
      </c>
      <c r="B1378" s="320" t="s">
        <v>29113</v>
      </c>
      <c r="C1378" s="321">
        <v>127137</v>
      </c>
      <c r="D1378" s="390" t="s">
        <v>15246</v>
      </c>
      <c r="E1378" s="322">
        <v>162150.39999999999</v>
      </c>
      <c r="F1378" s="323" t="s">
        <v>28824</v>
      </c>
      <c r="G1378" s="334">
        <f>50360.07+111790.33</f>
        <v>162150.39999999999</v>
      </c>
      <c r="H1378" s="334">
        <f t="shared" si="17"/>
        <v>0</v>
      </c>
      <c r="I1378" s="325" t="s">
        <v>15214</v>
      </c>
    </row>
    <row r="1379" spans="1:9" x14ac:dyDescent="0.25">
      <c r="A1379" s="359">
        <v>42989</v>
      </c>
      <c r="B1379" s="326" t="s">
        <v>29114</v>
      </c>
      <c r="C1379" s="327">
        <v>127138</v>
      </c>
      <c r="D1379" s="391" t="s">
        <v>15423</v>
      </c>
      <c r="E1379" s="328">
        <v>3151.7</v>
      </c>
      <c r="F1379" s="329">
        <v>42989</v>
      </c>
      <c r="G1379" s="328">
        <v>3151.7</v>
      </c>
      <c r="H1379" s="347">
        <f t="shared" si="17"/>
        <v>0</v>
      </c>
      <c r="I1379" s="331" t="s">
        <v>15214</v>
      </c>
    </row>
    <row r="1380" spans="1:9" x14ac:dyDescent="0.25">
      <c r="A1380" s="319">
        <v>42989</v>
      </c>
      <c r="B1380" s="320" t="s">
        <v>29115</v>
      </c>
      <c r="C1380" s="321">
        <v>127139</v>
      </c>
      <c r="D1380" s="390" t="s">
        <v>15421</v>
      </c>
      <c r="E1380" s="322">
        <v>210</v>
      </c>
      <c r="F1380" s="323">
        <v>42989</v>
      </c>
      <c r="G1380" s="322">
        <v>210</v>
      </c>
      <c r="H1380" s="322">
        <f t="shared" si="17"/>
        <v>0</v>
      </c>
      <c r="I1380" s="325" t="s">
        <v>15214</v>
      </c>
    </row>
    <row r="1381" spans="1:9" x14ac:dyDescent="0.25">
      <c r="A1381" s="359">
        <v>42989</v>
      </c>
      <c r="B1381" s="326" t="s">
        <v>29116</v>
      </c>
      <c r="C1381" s="327">
        <v>127140</v>
      </c>
      <c r="D1381" s="391" t="s">
        <v>15389</v>
      </c>
      <c r="E1381" s="328">
        <v>14660.8</v>
      </c>
      <c r="F1381" s="329">
        <v>43004</v>
      </c>
      <c r="G1381" s="328">
        <v>14660.8</v>
      </c>
      <c r="H1381" s="347">
        <f t="shared" si="17"/>
        <v>0</v>
      </c>
      <c r="I1381" s="331" t="s">
        <v>15214</v>
      </c>
    </row>
    <row r="1382" spans="1:9" x14ac:dyDescent="0.25">
      <c r="A1382" s="319">
        <v>42989</v>
      </c>
      <c r="B1382" s="320" t="s">
        <v>29117</v>
      </c>
      <c r="C1382" s="321">
        <v>127141</v>
      </c>
      <c r="D1382" s="390" t="s">
        <v>15523</v>
      </c>
      <c r="E1382" s="322">
        <v>2160</v>
      </c>
      <c r="F1382" s="323">
        <v>42989</v>
      </c>
      <c r="G1382" s="322">
        <v>2160</v>
      </c>
      <c r="H1382" s="322">
        <f t="shared" si="17"/>
        <v>0</v>
      </c>
      <c r="I1382" s="325" t="s">
        <v>15214</v>
      </c>
    </row>
    <row r="1383" spans="1:9" x14ac:dyDescent="0.25">
      <c r="A1383" s="359">
        <v>42989</v>
      </c>
      <c r="B1383" s="326" t="s">
        <v>29118</v>
      </c>
      <c r="C1383" s="327">
        <v>127142</v>
      </c>
      <c r="D1383" s="391" t="s">
        <v>5883</v>
      </c>
      <c r="E1383" s="328">
        <v>5535.84</v>
      </c>
      <c r="F1383" s="329">
        <v>43011</v>
      </c>
      <c r="G1383" s="328">
        <v>5535.84</v>
      </c>
      <c r="H1383" s="347">
        <f t="shared" si="17"/>
        <v>0</v>
      </c>
      <c r="I1383" s="331" t="s">
        <v>15214</v>
      </c>
    </row>
    <row r="1384" spans="1:9" x14ac:dyDescent="0.25">
      <c r="A1384" s="319">
        <v>42989</v>
      </c>
      <c r="B1384" s="320" t="s">
        <v>29119</v>
      </c>
      <c r="C1384" s="321">
        <v>127143</v>
      </c>
      <c r="D1384" s="390" t="s">
        <v>15936</v>
      </c>
      <c r="E1384" s="322">
        <v>26323.200000000001</v>
      </c>
      <c r="F1384" s="323">
        <v>42989</v>
      </c>
      <c r="G1384" s="322">
        <v>26323.200000000001</v>
      </c>
      <c r="H1384" s="322">
        <f t="shared" si="17"/>
        <v>0</v>
      </c>
      <c r="I1384" s="325" t="s">
        <v>15214</v>
      </c>
    </row>
    <row r="1385" spans="1:9" x14ac:dyDescent="0.25">
      <c r="A1385" s="359">
        <v>42989</v>
      </c>
      <c r="B1385" s="326" t="s">
        <v>29120</v>
      </c>
      <c r="C1385" s="327">
        <v>127144</v>
      </c>
      <c r="D1385" s="391" t="s">
        <v>15250</v>
      </c>
      <c r="E1385" s="328">
        <v>6445</v>
      </c>
      <c r="F1385" s="329">
        <v>43001</v>
      </c>
      <c r="G1385" s="328">
        <v>6445</v>
      </c>
      <c r="H1385" s="347">
        <f t="shared" si="17"/>
        <v>0</v>
      </c>
      <c r="I1385" s="331" t="s">
        <v>15214</v>
      </c>
    </row>
    <row r="1386" spans="1:9" x14ac:dyDescent="0.25">
      <c r="A1386" s="319">
        <v>42989</v>
      </c>
      <c r="B1386" s="320" t="s">
        <v>29121</v>
      </c>
      <c r="C1386" s="321">
        <v>127145</v>
      </c>
      <c r="D1386" s="390" t="s">
        <v>15267</v>
      </c>
      <c r="E1386" s="322">
        <v>29293.200000000001</v>
      </c>
      <c r="F1386" s="323">
        <v>42998</v>
      </c>
      <c r="G1386" s="322">
        <v>29293.200000000001</v>
      </c>
      <c r="H1386" s="322">
        <f t="shared" si="17"/>
        <v>0</v>
      </c>
      <c r="I1386" s="325" t="s">
        <v>15214</v>
      </c>
    </row>
    <row r="1387" spans="1:9" x14ac:dyDescent="0.25">
      <c r="A1387" s="359">
        <v>42989</v>
      </c>
      <c r="B1387" s="326" t="s">
        <v>29122</v>
      </c>
      <c r="C1387" s="327">
        <v>127146</v>
      </c>
      <c r="D1387" s="391" t="s">
        <v>5880</v>
      </c>
      <c r="E1387" s="328">
        <v>32035.200000000001</v>
      </c>
      <c r="F1387" s="329">
        <v>42990</v>
      </c>
      <c r="G1387" s="328">
        <v>32035.200000000001</v>
      </c>
      <c r="H1387" s="347">
        <f t="shared" si="17"/>
        <v>0</v>
      </c>
      <c r="I1387" s="331" t="s">
        <v>15214</v>
      </c>
    </row>
    <row r="1388" spans="1:9" x14ac:dyDescent="0.25">
      <c r="A1388" s="319">
        <v>42989</v>
      </c>
      <c r="B1388" s="320" t="s">
        <v>29123</v>
      </c>
      <c r="C1388" s="321">
        <v>127147</v>
      </c>
      <c r="D1388" s="390" t="s">
        <v>15365</v>
      </c>
      <c r="E1388" s="322">
        <v>428640</v>
      </c>
      <c r="F1388" s="323">
        <v>42993</v>
      </c>
      <c r="G1388" s="322">
        <v>428640</v>
      </c>
      <c r="H1388" s="322">
        <f t="shared" si="17"/>
        <v>0</v>
      </c>
      <c r="I1388" s="325" t="s">
        <v>15214</v>
      </c>
    </row>
    <row r="1389" spans="1:9" x14ac:dyDescent="0.25">
      <c r="A1389" s="359">
        <v>42989</v>
      </c>
      <c r="B1389" s="326" t="s">
        <v>29124</v>
      </c>
      <c r="C1389" s="327">
        <v>127148</v>
      </c>
      <c r="D1389" s="391" t="s">
        <v>15365</v>
      </c>
      <c r="E1389" s="328">
        <v>206460</v>
      </c>
      <c r="F1389" s="329">
        <v>42992</v>
      </c>
      <c r="G1389" s="328">
        <v>206460</v>
      </c>
      <c r="H1389" s="347">
        <f t="shared" si="17"/>
        <v>0</v>
      </c>
      <c r="I1389" s="331" t="s">
        <v>15214</v>
      </c>
    </row>
    <row r="1390" spans="1:9" x14ac:dyDescent="0.25">
      <c r="A1390" s="319">
        <v>42989</v>
      </c>
      <c r="B1390" s="320" t="s">
        <v>29125</v>
      </c>
      <c r="C1390" s="321">
        <v>127149</v>
      </c>
      <c r="D1390" s="390" t="s">
        <v>15444</v>
      </c>
      <c r="E1390" s="322">
        <v>2381.6</v>
      </c>
      <c r="F1390" s="323">
        <v>42990</v>
      </c>
      <c r="G1390" s="322">
        <v>2381.6</v>
      </c>
      <c r="H1390" s="322">
        <f t="shared" si="17"/>
        <v>0</v>
      </c>
      <c r="I1390" s="325" t="s">
        <v>15214</v>
      </c>
    </row>
    <row r="1391" spans="1:9" x14ac:dyDescent="0.25">
      <c r="A1391" s="359">
        <v>42989</v>
      </c>
      <c r="B1391" s="326" t="s">
        <v>29126</v>
      </c>
      <c r="C1391" s="327">
        <v>127150</v>
      </c>
      <c r="D1391" s="391" t="s">
        <v>15246</v>
      </c>
      <c r="E1391" s="328">
        <v>160292.28</v>
      </c>
      <c r="F1391" s="329">
        <v>42992</v>
      </c>
      <c r="G1391" s="328">
        <v>160292.28</v>
      </c>
      <c r="H1391" s="347">
        <f t="shared" si="17"/>
        <v>0</v>
      </c>
      <c r="I1391" s="331" t="s">
        <v>15214</v>
      </c>
    </row>
    <row r="1392" spans="1:9" x14ac:dyDescent="0.25">
      <c r="A1392" s="319">
        <v>42989</v>
      </c>
      <c r="B1392" s="320" t="s">
        <v>29127</v>
      </c>
      <c r="C1392" s="321">
        <v>127151</v>
      </c>
      <c r="D1392" s="390" t="s">
        <v>15315</v>
      </c>
      <c r="E1392" s="322">
        <v>92</v>
      </c>
      <c r="F1392" s="323">
        <v>42989</v>
      </c>
      <c r="G1392" s="322">
        <v>92</v>
      </c>
      <c r="H1392" s="322">
        <f t="shared" si="17"/>
        <v>0</v>
      </c>
      <c r="I1392" s="325" t="s">
        <v>15214</v>
      </c>
    </row>
    <row r="1393" spans="1:9" x14ac:dyDescent="0.25">
      <c r="A1393" s="359">
        <v>42989</v>
      </c>
      <c r="B1393" s="326" t="s">
        <v>29128</v>
      </c>
      <c r="C1393" s="327">
        <v>127152</v>
      </c>
      <c r="D1393" s="391" t="s">
        <v>15246</v>
      </c>
      <c r="E1393" s="328">
        <v>7071.42</v>
      </c>
      <c r="F1393" s="329">
        <v>42992</v>
      </c>
      <c r="G1393" s="328">
        <v>7071.42</v>
      </c>
      <c r="H1393" s="347">
        <f t="shared" ref="H1393:H1456" si="18">E1393-G1393</f>
        <v>0</v>
      </c>
      <c r="I1393" s="331" t="s">
        <v>15214</v>
      </c>
    </row>
    <row r="1394" spans="1:9" x14ac:dyDescent="0.25">
      <c r="A1394" s="319">
        <v>42989</v>
      </c>
      <c r="B1394" s="320" t="s">
        <v>29129</v>
      </c>
      <c r="C1394" s="321">
        <v>127153</v>
      </c>
      <c r="D1394" s="390" t="s">
        <v>19680</v>
      </c>
      <c r="E1394" s="322">
        <v>240</v>
      </c>
      <c r="F1394" s="323">
        <v>42989</v>
      </c>
      <c r="G1394" s="322">
        <v>240</v>
      </c>
      <c r="H1394" s="322">
        <f t="shared" si="18"/>
        <v>0</v>
      </c>
      <c r="I1394" s="325" t="s">
        <v>15214</v>
      </c>
    </row>
    <row r="1395" spans="1:9" x14ac:dyDescent="0.25">
      <c r="A1395" s="359">
        <v>42989</v>
      </c>
      <c r="B1395" s="326" t="s">
        <v>29130</v>
      </c>
      <c r="C1395" s="327">
        <v>127154</v>
      </c>
      <c r="D1395" s="391" t="s">
        <v>15391</v>
      </c>
      <c r="E1395" s="328">
        <v>7326</v>
      </c>
      <c r="F1395" s="329">
        <v>42990</v>
      </c>
      <c r="G1395" s="328">
        <v>7326</v>
      </c>
      <c r="H1395" s="347">
        <f t="shared" si="18"/>
        <v>0</v>
      </c>
      <c r="I1395" s="331" t="s">
        <v>15214</v>
      </c>
    </row>
    <row r="1396" spans="1:9" x14ac:dyDescent="0.25">
      <c r="A1396" s="319">
        <v>42989</v>
      </c>
      <c r="B1396" s="320" t="s">
        <v>29131</v>
      </c>
      <c r="C1396" s="321">
        <v>127155</v>
      </c>
      <c r="D1396" s="390" t="s">
        <v>19697</v>
      </c>
      <c r="E1396" s="322">
        <v>1032</v>
      </c>
      <c r="F1396" s="323">
        <v>42990</v>
      </c>
      <c r="G1396" s="322">
        <v>1032</v>
      </c>
      <c r="H1396" s="322">
        <f t="shared" si="18"/>
        <v>0</v>
      </c>
      <c r="I1396" s="325" t="s">
        <v>15214</v>
      </c>
    </row>
    <row r="1397" spans="1:9" x14ac:dyDescent="0.25">
      <c r="A1397" s="359">
        <v>42989</v>
      </c>
      <c r="B1397" s="326" t="s">
        <v>29132</v>
      </c>
      <c r="C1397" s="327">
        <v>127156</v>
      </c>
      <c r="D1397" s="391" t="s">
        <v>15435</v>
      </c>
      <c r="E1397" s="328">
        <v>7470</v>
      </c>
      <c r="F1397" s="329">
        <v>42989</v>
      </c>
      <c r="G1397" s="328">
        <v>7470</v>
      </c>
      <c r="H1397" s="347">
        <f t="shared" si="18"/>
        <v>0</v>
      </c>
      <c r="I1397" s="331" t="s">
        <v>15214</v>
      </c>
    </row>
    <row r="1398" spans="1:9" x14ac:dyDescent="0.25">
      <c r="A1398" s="319">
        <v>42989</v>
      </c>
      <c r="B1398" s="320" t="s">
        <v>29133</v>
      </c>
      <c r="C1398" s="321">
        <v>127157</v>
      </c>
      <c r="D1398" s="390" t="s">
        <v>15263</v>
      </c>
      <c r="E1398" s="322">
        <v>4080</v>
      </c>
      <c r="F1398" s="323">
        <v>42989</v>
      </c>
      <c r="G1398" s="322">
        <v>4080</v>
      </c>
      <c r="H1398" s="322">
        <f t="shared" si="18"/>
        <v>0</v>
      </c>
      <c r="I1398" s="325" t="s">
        <v>15214</v>
      </c>
    </row>
    <row r="1399" spans="1:9" x14ac:dyDescent="0.25">
      <c r="A1399" s="359">
        <v>42989</v>
      </c>
      <c r="B1399" s="326" t="s">
        <v>29134</v>
      </c>
      <c r="C1399" s="327">
        <v>127158</v>
      </c>
      <c r="D1399" s="391" t="s">
        <v>5757</v>
      </c>
      <c r="E1399" s="328">
        <v>1356</v>
      </c>
      <c r="F1399" s="329">
        <v>42989</v>
      </c>
      <c r="G1399" s="328">
        <v>1356</v>
      </c>
      <c r="H1399" s="347">
        <f t="shared" si="18"/>
        <v>0</v>
      </c>
      <c r="I1399" s="331" t="s">
        <v>15214</v>
      </c>
    </row>
    <row r="1400" spans="1:9" x14ac:dyDescent="0.25">
      <c r="A1400" s="319">
        <v>42989</v>
      </c>
      <c r="B1400" s="320" t="s">
        <v>29135</v>
      </c>
      <c r="C1400" s="321">
        <v>127159</v>
      </c>
      <c r="D1400" s="390" t="s">
        <v>15387</v>
      </c>
      <c r="E1400" s="322">
        <v>1547.28</v>
      </c>
      <c r="F1400" s="323">
        <v>42991</v>
      </c>
      <c r="G1400" s="322">
        <v>1547.28</v>
      </c>
      <c r="H1400" s="322">
        <f t="shared" si="18"/>
        <v>0</v>
      </c>
      <c r="I1400" s="325" t="s">
        <v>15214</v>
      </c>
    </row>
    <row r="1401" spans="1:9" x14ac:dyDescent="0.25">
      <c r="A1401" s="359">
        <v>42990</v>
      </c>
      <c r="B1401" s="326" t="s">
        <v>29136</v>
      </c>
      <c r="C1401" s="327">
        <v>127160</v>
      </c>
      <c r="D1401" s="391" t="s">
        <v>21386</v>
      </c>
      <c r="E1401" s="328">
        <v>10779.55</v>
      </c>
      <c r="F1401" s="329">
        <v>42991</v>
      </c>
      <c r="G1401" s="328">
        <v>10779.55</v>
      </c>
      <c r="H1401" s="347">
        <f t="shared" si="18"/>
        <v>0</v>
      </c>
      <c r="I1401" s="331" t="s">
        <v>15214</v>
      </c>
    </row>
    <row r="1402" spans="1:9" x14ac:dyDescent="0.25">
      <c r="A1402" s="319">
        <v>42990</v>
      </c>
      <c r="B1402" s="320" t="s">
        <v>29137</v>
      </c>
      <c r="C1402" s="321">
        <v>127161</v>
      </c>
      <c r="D1402" s="390" t="s">
        <v>15213</v>
      </c>
      <c r="E1402" s="322">
        <v>48114.95</v>
      </c>
      <c r="F1402" s="323">
        <v>42991</v>
      </c>
      <c r="G1402" s="322">
        <v>48114.95</v>
      </c>
      <c r="H1402" s="322">
        <f t="shared" si="18"/>
        <v>0</v>
      </c>
      <c r="I1402" s="325" t="s">
        <v>15214</v>
      </c>
    </row>
    <row r="1403" spans="1:9" x14ac:dyDescent="0.25">
      <c r="A1403" s="359">
        <v>42990</v>
      </c>
      <c r="B1403" s="326" t="s">
        <v>29138</v>
      </c>
      <c r="C1403" s="327">
        <v>127162</v>
      </c>
      <c r="D1403" s="391" t="s">
        <v>15213</v>
      </c>
      <c r="E1403" s="328">
        <v>228.8</v>
      </c>
      <c r="F1403" s="329">
        <v>42991</v>
      </c>
      <c r="G1403" s="328">
        <v>228.8</v>
      </c>
      <c r="H1403" s="347">
        <f t="shared" si="18"/>
        <v>0</v>
      </c>
      <c r="I1403" s="331" t="s">
        <v>15214</v>
      </c>
    </row>
    <row r="1404" spans="1:9" x14ac:dyDescent="0.25">
      <c r="A1404" s="319">
        <v>42990</v>
      </c>
      <c r="B1404" s="320" t="s">
        <v>29139</v>
      </c>
      <c r="C1404" s="321">
        <v>127163</v>
      </c>
      <c r="D1404" s="390" t="s">
        <v>15448</v>
      </c>
      <c r="E1404" s="322">
        <v>163278</v>
      </c>
      <c r="F1404" s="323">
        <v>42991</v>
      </c>
      <c r="G1404" s="322">
        <v>163278</v>
      </c>
      <c r="H1404" s="322">
        <f t="shared" si="18"/>
        <v>0</v>
      </c>
      <c r="I1404" s="325" t="s">
        <v>15214</v>
      </c>
    </row>
    <row r="1405" spans="1:9" x14ac:dyDescent="0.25">
      <c r="A1405" s="359">
        <v>42990</v>
      </c>
      <c r="B1405" s="326" t="s">
        <v>29140</v>
      </c>
      <c r="C1405" s="327">
        <v>127164</v>
      </c>
      <c r="D1405" s="391" t="s">
        <v>18544</v>
      </c>
      <c r="E1405" s="328">
        <v>7259.2</v>
      </c>
      <c r="F1405" s="329">
        <v>42990</v>
      </c>
      <c r="G1405" s="328">
        <v>7259.2</v>
      </c>
      <c r="H1405" s="347">
        <f t="shared" si="18"/>
        <v>0</v>
      </c>
      <c r="I1405" s="331" t="s">
        <v>15214</v>
      </c>
    </row>
    <row r="1406" spans="1:9" x14ac:dyDescent="0.25">
      <c r="A1406" s="319">
        <v>42990</v>
      </c>
      <c r="B1406" s="320" t="s">
        <v>29141</v>
      </c>
      <c r="C1406" s="321">
        <v>127165</v>
      </c>
      <c r="D1406" s="390" t="s">
        <v>15256</v>
      </c>
      <c r="E1406" s="322">
        <v>1982.4</v>
      </c>
      <c r="F1406" s="323">
        <v>42992</v>
      </c>
      <c r="G1406" s="322">
        <v>1982.4</v>
      </c>
      <c r="H1406" s="322">
        <f t="shared" si="18"/>
        <v>0</v>
      </c>
      <c r="I1406" s="325" t="s">
        <v>15214</v>
      </c>
    </row>
    <row r="1407" spans="1:9" x14ac:dyDescent="0.25">
      <c r="A1407" s="359">
        <v>42990</v>
      </c>
      <c r="B1407" s="326" t="s">
        <v>29142</v>
      </c>
      <c r="C1407" s="327">
        <v>127166</v>
      </c>
      <c r="D1407" s="391" t="s">
        <v>15230</v>
      </c>
      <c r="E1407" s="328">
        <v>9801</v>
      </c>
      <c r="F1407" s="329">
        <v>42992</v>
      </c>
      <c r="G1407" s="328">
        <v>9801</v>
      </c>
      <c r="H1407" s="347">
        <f t="shared" si="18"/>
        <v>0</v>
      </c>
      <c r="I1407" s="331" t="s">
        <v>15214</v>
      </c>
    </row>
    <row r="1408" spans="1:9" x14ac:dyDescent="0.25">
      <c r="A1408" s="319">
        <v>42990</v>
      </c>
      <c r="B1408" s="320" t="s">
        <v>29143</v>
      </c>
      <c r="C1408" s="321">
        <v>127167</v>
      </c>
      <c r="D1408" s="390" t="s">
        <v>15553</v>
      </c>
      <c r="E1408" s="322">
        <v>34780.5</v>
      </c>
      <c r="F1408" s="323">
        <v>42990</v>
      </c>
      <c r="G1408" s="322">
        <v>34780.5</v>
      </c>
      <c r="H1408" s="322">
        <f t="shared" si="18"/>
        <v>0</v>
      </c>
      <c r="I1408" s="325" t="s">
        <v>15214</v>
      </c>
    </row>
    <row r="1409" spans="1:9" ht="15.75" x14ac:dyDescent="0.25">
      <c r="A1409" s="359">
        <v>42990</v>
      </c>
      <c r="B1409" s="326" t="s">
        <v>29144</v>
      </c>
      <c r="C1409" s="327">
        <v>127168</v>
      </c>
      <c r="D1409" s="345" t="s">
        <v>95</v>
      </c>
      <c r="E1409" s="328">
        <v>0</v>
      </c>
      <c r="F1409" s="346" t="s">
        <v>95</v>
      </c>
      <c r="G1409" s="328">
        <v>0</v>
      </c>
      <c r="H1409" s="347">
        <f t="shared" si="18"/>
        <v>0</v>
      </c>
      <c r="I1409" s="331" t="s">
        <v>95</v>
      </c>
    </row>
    <row r="1410" spans="1:9" x14ac:dyDescent="0.25">
      <c r="A1410" s="319">
        <v>42990</v>
      </c>
      <c r="B1410" s="320" t="s">
        <v>29145</v>
      </c>
      <c r="C1410" s="321">
        <v>127169</v>
      </c>
      <c r="D1410" s="390" t="s">
        <v>17462</v>
      </c>
      <c r="E1410" s="322">
        <v>6202.9</v>
      </c>
      <c r="F1410" s="323">
        <v>42990</v>
      </c>
      <c r="G1410" s="322">
        <v>6202.9</v>
      </c>
      <c r="H1410" s="322">
        <f t="shared" si="18"/>
        <v>0</v>
      </c>
      <c r="I1410" s="325" t="s">
        <v>15214</v>
      </c>
    </row>
    <row r="1411" spans="1:9" x14ac:dyDescent="0.25">
      <c r="A1411" s="359">
        <v>42990</v>
      </c>
      <c r="B1411" s="326" t="s">
        <v>29146</v>
      </c>
      <c r="C1411" s="327">
        <v>127170</v>
      </c>
      <c r="D1411" s="391" t="s">
        <v>15242</v>
      </c>
      <c r="E1411" s="328">
        <v>4878</v>
      </c>
      <c r="F1411" s="329">
        <v>42991</v>
      </c>
      <c r="G1411" s="328">
        <v>4878</v>
      </c>
      <c r="H1411" s="347">
        <f t="shared" si="18"/>
        <v>0</v>
      </c>
      <c r="I1411" s="331" t="s">
        <v>15214</v>
      </c>
    </row>
    <row r="1412" spans="1:9" x14ac:dyDescent="0.25">
      <c r="A1412" s="319">
        <v>42990</v>
      </c>
      <c r="B1412" s="320" t="s">
        <v>29147</v>
      </c>
      <c r="C1412" s="321">
        <v>127171</v>
      </c>
      <c r="D1412" s="390" t="s">
        <v>15240</v>
      </c>
      <c r="E1412" s="322">
        <v>3581.3</v>
      </c>
      <c r="F1412" s="323">
        <v>42992</v>
      </c>
      <c r="G1412" s="322">
        <v>3581.3</v>
      </c>
      <c r="H1412" s="322">
        <f t="shared" si="18"/>
        <v>0</v>
      </c>
      <c r="I1412" s="325" t="s">
        <v>15214</v>
      </c>
    </row>
    <row r="1413" spans="1:9" ht="15.75" x14ac:dyDescent="0.25">
      <c r="A1413" s="359">
        <v>42990</v>
      </c>
      <c r="B1413" s="326" t="s">
        <v>29148</v>
      </c>
      <c r="C1413" s="327">
        <v>127172</v>
      </c>
      <c r="D1413" s="345" t="s">
        <v>95</v>
      </c>
      <c r="E1413" s="328">
        <v>0</v>
      </c>
      <c r="F1413" s="346" t="s">
        <v>95</v>
      </c>
      <c r="G1413" s="328">
        <v>0</v>
      </c>
      <c r="H1413" s="347">
        <f t="shared" si="18"/>
        <v>0</v>
      </c>
      <c r="I1413" s="331" t="s">
        <v>95</v>
      </c>
    </row>
    <row r="1414" spans="1:9" x14ac:dyDescent="0.25">
      <c r="A1414" s="319">
        <v>42990</v>
      </c>
      <c r="B1414" s="320" t="s">
        <v>29149</v>
      </c>
      <c r="C1414" s="321">
        <v>127173</v>
      </c>
      <c r="D1414" s="390" t="s">
        <v>29150</v>
      </c>
      <c r="E1414" s="322">
        <v>4434.6000000000004</v>
      </c>
      <c r="F1414" s="323">
        <v>42992</v>
      </c>
      <c r="G1414" s="322">
        <v>4434.6000000000004</v>
      </c>
      <c r="H1414" s="322">
        <f t="shared" si="18"/>
        <v>0</v>
      </c>
      <c r="I1414" s="325" t="s">
        <v>15214</v>
      </c>
    </row>
    <row r="1415" spans="1:9" ht="15.75" x14ac:dyDescent="0.25">
      <c r="A1415" s="359">
        <v>42990</v>
      </c>
      <c r="B1415" s="326" t="s">
        <v>29151</v>
      </c>
      <c r="C1415" s="327">
        <v>127174</v>
      </c>
      <c r="D1415" s="345" t="s">
        <v>95</v>
      </c>
      <c r="E1415" s="328">
        <v>0</v>
      </c>
      <c r="F1415" s="346" t="s">
        <v>95</v>
      </c>
      <c r="G1415" s="328">
        <v>0</v>
      </c>
      <c r="H1415" s="347">
        <f t="shared" si="18"/>
        <v>0</v>
      </c>
      <c r="I1415" s="331" t="s">
        <v>95</v>
      </c>
    </row>
    <row r="1416" spans="1:9" ht="30" x14ac:dyDescent="0.25">
      <c r="A1416" s="319">
        <v>42990</v>
      </c>
      <c r="B1416" s="320" t="s">
        <v>29152</v>
      </c>
      <c r="C1416" s="321">
        <v>127175</v>
      </c>
      <c r="D1416" s="390" t="s">
        <v>15480</v>
      </c>
      <c r="E1416" s="322">
        <v>3435.2</v>
      </c>
      <c r="F1416" s="323" t="s">
        <v>28820</v>
      </c>
      <c r="G1416" s="334">
        <f>3000+435.2</f>
        <v>3435.2</v>
      </c>
      <c r="H1416" s="334">
        <f t="shared" si="18"/>
        <v>0</v>
      </c>
      <c r="I1416" s="325" t="s">
        <v>15214</v>
      </c>
    </row>
    <row r="1417" spans="1:9" x14ac:dyDescent="0.25">
      <c r="A1417" s="359">
        <v>42990</v>
      </c>
      <c r="B1417" s="326" t="s">
        <v>29153</v>
      </c>
      <c r="C1417" s="327">
        <v>127176</v>
      </c>
      <c r="D1417" s="391" t="s">
        <v>18258</v>
      </c>
      <c r="E1417" s="328">
        <v>18559.84</v>
      </c>
      <c r="F1417" s="329">
        <v>42990</v>
      </c>
      <c r="G1417" s="328">
        <v>18559.84</v>
      </c>
      <c r="H1417" s="347">
        <f t="shared" si="18"/>
        <v>0</v>
      </c>
      <c r="I1417" s="331" t="s">
        <v>15214</v>
      </c>
    </row>
    <row r="1418" spans="1:9" x14ac:dyDescent="0.25">
      <c r="A1418" s="319">
        <v>42990</v>
      </c>
      <c r="B1418" s="320" t="s">
        <v>29154</v>
      </c>
      <c r="C1418" s="321">
        <v>127177</v>
      </c>
      <c r="D1418" s="390" t="s">
        <v>15272</v>
      </c>
      <c r="E1418" s="322">
        <v>23418.55</v>
      </c>
      <c r="F1418" s="323">
        <v>42990</v>
      </c>
      <c r="G1418" s="322">
        <v>23418.55</v>
      </c>
      <c r="H1418" s="322">
        <f t="shared" si="18"/>
        <v>0</v>
      </c>
      <c r="I1418" s="325" t="s">
        <v>15214</v>
      </c>
    </row>
    <row r="1419" spans="1:9" x14ac:dyDescent="0.25">
      <c r="A1419" s="359">
        <v>42990</v>
      </c>
      <c r="B1419" s="326" t="s">
        <v>29155</v>
      </c>
      <c r="C1419" s="327">
        <v>127178</v>
      </c>
      <c r="D1419" s="391" t="s">
        <v>15232</v>
      </c>
      <c r="E1419" s="328">
        <v>6642</v>
      </c>
      <c r="F1419" s="329">
        <v>42992</v>
      </c>
      <c r="G1419" s="328">
        <v>6642</v>
      </c>
      <c r="H1419" s="347">
        <f t="shared" si="18"/>
        <v>0</v>
      </c>
      <c r="I1419" s="331" t="s">
        <v>15214</v>
      </c>
    </row>
    <row r="1420" spans="1:9" x14ac:dyDescent="0.25">
      <c r="A1420" s="319">
        <v>42990</v>
      </c>
      <c r="B1420" s="320" t="s">
        <v>29156</v>
      </c>
      <c r="C1420" s="321">
        <v>127179</v>
      </c>
      <c r="D1420" s="390" t="s">
        <v>15330</v>
      </c>
      <c r="E1420" s="322">
        <v>7125.8</v>
      </c>
      <c r="F1420" s="323">
        <v>42990</v>
      </c>
      <c r="G1420" s="322">
        <v>7125.8</v>
      </c>
      <c r="H1420" s="322">
        <f t="shared" si="18"/>
        <v>0</v>
      </c>
      <c r="I1420" s="325" t="s">
        <v>15214</v>
      </c>
    </row>
    <row r="1421" spans="1:9" x14ac:dyDescent="0.25">
      <c r="A1421" s="359">
        <v>42990</v>
      </c>
      <c r="B1421" s="326" t="s">
        <v>29157</v>
      </c>
      <c r="C1421" s="327">
        <v>127180</v>
      </c>
      <c r="D1421" s="391" t="s">
        <v>5575</v>
      </c>
      <c r="E1421" s="328">
        <v>7298.8</v>
      </c>
      <c r="F1421" s="329">
        <v>42991</v>
      </c>
      <c r="G1421" s="328">
        <v>7298.8</v>
      </c>
      <c r="H1421" s="347">
        <f t="shared" si="18"/>
        <v>0</v>
      </c>
      <c r="I1421" s="331" t="s">
        <v>15214</v>
      </c>
    </row>
    <row r="1422" spans="1:9" x14ac:dyDescent="0.25">
      <c r="A1422" s="319">
        <v>42990</v>
      </c>
      <c r="B1422" s="320" t="s">
        <v>29158</v>
      </c>
      <c r="C1422" s="321">
        <v>127181</v>
      </c>
      <c r="D1422" s="390" t="s">
        <v>15348</v>
      </c>
      <c r="E1422" s="322">
        <v>1019.6</v>
      </c>
      <c r="F1422" s="323">
        <v>42992</v>
      </c>
      <c r="G1422" s="322">
        <v>1019.6</v>
      </c>
      <c r="H1422" s="322">
        <f t="shared" si="18"/>
        <v>0</v>
      </c>
      <c r="I1422" s="325" t="s">
        <v>15214</v>
      </c>
    </row>
    <row r="1423" spans="1:9" ht="30" x14ac:dyDescent="0.25">
      <c r="A1423" s="359">
        <v>42990</v>
      </c>
      <c r="B1423" s="326" t="s">
        <v>29159</v>
      </c>
      <c r="C1423" s="327">
        <v>127182</v>
      </c>
      <c r="D1423" s="391" t="s">
        <v>15258</v>
      </c>
      <c r="E1423" s="328">
        <v>14534</v>
      </c>
      <c r="F1423" s="329" t="s">
        <v>29160</v>
      </c>
      <c r="G1423" s="401">
        <f>3534+11000</f>
        <v>14534</v>
      </c>
      <c r="H1423" s="401">
        <f t="shared" si="18"/>
        <v>0</v>
      </c>
      <c r="I1423" s="331" t="s">
        <v>15214</v>
      </c>
    </row>
    <row r="1424" spans="1:9" x14ac:dyDescent="0.25">
      <c r="A1424" s="319">
        <v>42990</v>
      </c>
      <c r="B1424" s="320" t="s">
        <v>29161</v>
      </c>
      <c r="C1424" s="321">
        <v>127183</v>
      </c>
      <c r="D1424" s="390" t="s">
        <v>15365</v>
      </c>
      <c r="E1424" s="322">
        <v>5306.4</v>
      </c>
      <c r="F1424" s="323">
        <v>42993</v>
      </c>
      <c r="G1424" s="322">
        <v>5306.4</v>
      </c>
      <c r="H1424" s="322">
        <f t="shared" si="18"/>
        <v>0</v>
      </c>
      <c r="I1424" s="325" t="s">
        <v>15214</v>
      </c>
    </row>
    <row r="1425" spans="1:9" x14ac:dyDescent="0.25">
      <c r="A1425" s="359">
        <v>42990</v>
      </c>
      <c r="B1425" s="326" t="s">
        <v>29162</v>
      </c>
      <c r="C1425" s="327">
        <v>127184</v>
      </c>
      <c r="D1425" s="391" t="s">
        <v>15617</v>
      </c>
      <c r="E1425" s="328">
        <v>29414.400000000001</v>
      </c>
      <c r="F1425" s="329">
        <v>42990</v>
      </c>
      <c r="G1425" s="328">
        <v>29414.400000000001</v>
      </c>
      <c r="H1425" s="347">
        <f t="shared" si="18"/>
        <v>0</v>
      </c>
      <c r="I1425" s="331" t="s">
        <v>15214</v>
      </c>
    </row>
    <row r="1426" spans="1:9" x14ac:dyDescent="0.25">
      <c r="A1426" s="319">
        <v>42990</v>
      </c>
      <c r="B1426" s="320" t="s">
        <v>29163</v>
      </c>
      <c r="C1426" s="321">
        <v>127185</v>
      </c>
      <c r="D1426" s="390" t="s">
        <v>15320</v>
      </c>
      <c r="E1426" s="322">
        <v>4600</v>
      </c>
      <c r="F1426" s="323">
        <v>42990</v>
      </c>
      <c r="G1426" s="322">
        <v>4600</v>
      </c>
      <c r="H1426" s="322">
        <f t="shared" si="18"/>
        <v>0</v>
      </c>
      <c r="I1426" s="325" t="s">
        <v>15214</v>
      </c>
    </row>
    <row r="1427" spans="1:9" x14ac:dyDescent="0.25">
      <c r="A1427" s="359">
        <v>42990</v>
      </c>
      <c r="B1427" s="326" t="s">
        <v>29164</v>
      </c>
      <c r="C1427" s="327">
        <v>127186</v>
      </c>
      <c r="D1427" s="391" t="s">
        <v>15228</v>
      </c>
      <c r="E1427" s="328">
        <v>3293</v>
      </c>
      <c r="F1427" s="329">
        <v>42990</v>
      </c>
      <c r="G1427" s="328">
        <v>3293</v>
      </c>
      <c r="H1427" s="347">
        <f t="shared" si="18"/>
        <v>0</v>
      </c>
      <c r="I1427" s="331" t="s">
        <v>15214</v>
      </c>
    </row>
    <row r="1428" spans="1:9" x14ac:dyDescent="0.25">
      <c r="A1428" s="319">
        <v>42990</v>
      </c>
      <c r="B1428" s="320" t="s">
        <v>29165</v>
      </c>
      <c r="C1428" s="321">
        <v>127187</v>
      </c>
      <c r="D1428" s="390" t="s">
        <v>15238</v>
      </c>
      <c r="E1428" s="322">
        <v>4717.1000000000004</v>
      </c>
      <c r="F1428" s="323">
        <v>42993</v>
      </c>
      <c r="G1428" s="322">
        <v>4717.1000000000004</v>
      </c>
      <c r="H1428" s="322">
        <f t="shared" si="18"/>
        <v>0</v>
      </c>
      <c r="I1428" s="325" t="s">
        <v>15214</v>
      </c>
    </row>
    <row r="1429" spans="1:9" x14ac:dyDescent="0.25">
      <c r="A1429" s="359">
        <v>42990</v>
      </c>
      <c r="B1429" s="326" t="s">
        <v>29166</v>
      </c>
      <c r="C1429" s="327">
        <v>127188</v>
      </c>
      <c r="D1429" s="391" t="s">
        <v>15236</v>
      </c>
      <c r="E1429" s="328">
        <v>3523.4</v>
      </c>
      <c r="F1429" s="329">
        <v>42993</v>
      </c>
      <c r="G1429" s="328">
        <v>3523.4</v>
      </c>
      <c r="H1429" s="347">
        <f t="shared" si="18"/>
        <v>0</v>
      </c>
      <c r="I1429" s="331" t="s">
        <v>15214</v>
      </c>
    </row>
    <row r="1430" spans="1:9" ht="30" x14ac:dyDescent="0.25">
      <c r="A1430" s="319">
        <v>42990</v>
      </c>
      <c r="B1430" s="320" t="s">
        <v>29167</v>
      </c>
      <c r="C1430" s="321">
        <v>127189</v>
      </c>
      <c r="D1430" s="390" t="s">
        <v>19780</v>
      </c>
      <c r="E1430" s="322">
        <v>9914.5</v>
      </c>
      <c r="F1430" s="323" t="s">
        <v>28820</v>
      </c>
      <c r="G1430" s="334">
        <f>5000+4914.5</f>
        <v>9914.5</v>
      </c>
      <c r="H1430" s="334">
        <f t="shared" si="18"/>
        <v>0</v>
      </c>
      <c r="I1430" s="325" t="s">
        <v>15214</v>
      </c>
    </row>
    <row r="1431" spans="1:9" x14ac:dyDescent="0.25">
      <c r="A1431" s="359">
        <v>42990</v>
      </c>
      <c r="B1431" s="326" t="s">
        <v>29168</v>
      </c>
      <c r="C1431" s="327">
        <v>127190</v>
      </c>
      <c r="D1431" s="391" t="s">
        <v>15234</v>
      </c>
      <c r="E1431" s="328">
        <v>4577.6499999999996</v>
      </c>
      <c r="F1431" s="329">
        <v>42992</v>
      </c>
      <c r="G1431" s="328">
        <v>4577.6499999999996</v>
      </c>
      <c r="H1431" s="347">
        <f t="shared" si="18"/>
        <v>0</v>
      </c>
      <c r="I1431" s="331" t="s">
        <v>15214</v>
      </c>
    </row>
    <row r="1432" spans="1:9" x14ac:dyDescent="0.25">
      <c r="A1432" s="319">
        <v>42990</v>
      </c>
      <c r="B1432" s="320" t="s">
        <v>29169</v>
      </c>
      <c r="C1432" s="321">
        <v>127191</v>
      </c>
      <c r="D1432" s="390" t="s">
        <v>15438</v>
      </c>
      <c r="E1432" s="322">
        <v>2815.1</v>
      </c>
      <c r="F1432" s="323">
        <v>42990</v>
      </c>
      <c r="G1432" s="322">
        <v>2815.1</v>
      </c>
      <c r="H1432" s="322">
        <f t="shared" si="18"/>
        <v>0</v>
      </c>
      <c r="I1432" s="325" t="s">
        <v>15214</v>
      </c>
    </row>
    <row r="1433" spans="1:9" ht="15.75" x14ac:dyDescent="0.25">
      <c r="A1433" s="359">
        <v>42990</v>
      </c>
      <c r="B1433" s="326" t="s">
        <v>29170</v>
      </c>
      <c r="C1433" s="327">
        <v>127192</v>
      </c>
      <c r="D1433" s="345" t="s">
        <v>95</v>
      </c>
      <c r="E1433" s="328">
        <v>0</v>
      </c>
      <c r="F1433" s="346" t="s">
        <v>95</v>
      </c>
      <c r="G1433" s="328">
        <v>0</v>
      </c>
      <c r="H1433" s="347">
        <f t="shared" si="18"/>
        <v>0</v>
      </c>
      <c r="I1433" s="331" t="s">
        <v>95</v>
      </c>
    </row>
    <row r="1434" spans="1:9" x14ac:dyDescent="0.25">
      <c r="A1434" s="319">
        <v>42990</v>
      </c>
      <c r="B1434" s="320" t="s">
        <v>29171</v>
      </c>
      <c r="C1434" s="321">
        <v>127193</v>
      </c>
      <c r="D1434" s="390" t="s">
        <v>15530</v>
      </c>
      <c r="E1434" s="322">
        <v>3774.6</v>
      </c>
      <c r="F1434" s="323">
        <v>42990</v>
      </c>
      <c r="G1434" s="322">
        <v>3774.6</v>
      </c>
      <c r="H1434" s="322">
        <f t="shared" si="18"/>
        <v>0</v>
      </c>
      <c r="I1434" s="325" t="s">
        <v>15214</v>
      </c>
    </row>
    <row r="1435" spans="1:9" x14ac:dyDescent="0.25">
      <c r="A1435" s="359">
        <v>42990</v>
      </c>
      <c r="B1435" s="326" t="s">
        <v>29172</v>
      </c>
      <c r="C1435" s="327">
        <v>127194</v>
      </c>
      <c r="D1435" s="391" t="s">
        <v>15284</v>
      </c>
      <c r="E1435" s="328">
        <v>2096.1</v>
      </c>
      <c r="F1435" s="329">
        <v>42990</v>
      </c>
      <c r="G1435" s="328">
        <v>2096.1</v>
      </c>
      <c r="H1435" s="347">
        <f t="shared" si="18"/>
        <v>0</v>
      </c>
      <c r="I1435" s="331" t="s">
        <v>15214</v>
      </c>
    </row>
    <row r="1436" spans="1:9" x14ac:dyDescent="0.25">
      <c r="A1436" s="319">
        <v>42990</v>
      </c>
      <c r="B1436" s="320" t="s">
        <v>29173</v>
      </c>
      <c r="C1436" s="321">
        <v>127195</v>
      </c>
      <c r="D1436" s="390" t="s">
        <v>15315</v>
      </c>
      <c r="E1436" s="322">
        <v>4521</v>
      </c>
      <c r="F1436" s="323">
        <v>42990</v>
      </c>
      <c r="G1436" s="322">
        <v>4521</v>
      </c>
      <c r="H1436" s="322">
        <f t="shared" si="18"/>
        <v>0</v>
      </c>
      <c r="I1436" s="325" t="s">
        <v>15214</v>
      </c>
    </row>
    <row r="1437" spans="1:9" ht="30" x14ac:dyDescent="0.25">
      <c r="A1437" s="359">
        <v>42990</v>
      </c>
      <c r="B1437" s="326" t="s">
        <v>29174</v>
      </c>
      <c r="C1437" s="327">
        <v>127196</v>
      </c>
      <c r="D1437" s="391" t="s">
        <v>15223</v>
      </c>
      <c r="E1437" s="328">
        <v>65155.5</v>
      </c>
      <c r="F1437" s="349" t="s">
        <v>31620</v>
      </c>
      <c r="G1437" s="347">
        <f>48994.48+16161.02</f>
        <v>65155.5</v>
      </c>
      <c r="H1437" s="347">
        <f t="shared" si="18"/>
        <v>0</v>
      </c>
      <c r="I1437" s="331" t="s">
        <v>15214</v>
      </c>
    </row>
    <row r="1438" spans="1:9" x14ac:dyDescent="0.25">
      <c r="A1438" s="319">
        <v>42990</v>
      </c>
      <c r="B1438" s="320" t="s">
        <v>29175</v>
      </c>
      <c r="C1438" s="321">
        <v>127197</v>
      </c>
      <c r="D1438" s="390" t="s">
        <v>15278</v>
      </c>
      <c r="E1438" s="322">
        <v>5666</v>
      </c>
      <c r="F1438" s="323">
        <v>42990</v>
      </c>
      <c r="G1438" s="322">
        <v>5666</v>
      </c>
      <c r="H1438" s="322">
        <f t="shared" si="18"/>
        <v>0</v>
      </c>
      <c r="I1438" s="325" t="s">
        <v>15214</v>
      </c>
    </row>
    <row r="1439" spans="1:9" ht="15.75" x14ac:dyDescent="0.25">
      <c r="A1439" s="359">
        <v>42990</v>
      </c>
      <c r="B1439" s="326" t="s">
        <v>29176</v>
      </c>
      <c r="C1439" s="327">
        <v>127198</v>
      </c>
      <c r="D1439" s="345" t="s">
        <v>95</v>
      </c>
      <c r="E1439" s="328">
        <v>0</v>
      </c>
      <c r="F1439" s="346" t="s">
        <v>95</v>
      </c>
      <c r="G1439" s="328">
        <v>0</v>
      </c>
      <c r="H1439" s="347">
        <f t="shared" si="18"/>
        <v>0</v>
      </c>
      <c r="I1439" s="331" t="s">
        <v>95</v>
      </c>
    </row>
    <row r="1440" spans="1:9" x14ac:dyDescent="0.25">
      <c r="A1440" s="319">
        <v>42990</v>
      </c>
      <c r="B1440" s="320" t="s">
        <v>29177</v>
      </c>
      <c r="C1440" s="321">
        <v>127199</v>
      </c>
      <c r="D1440" s="390" t="s">
        <v>15246</v>
      </c>
      <c r="E1440" s="322">
        <v>137535.1</v>
      </c>
      <c r="F1440" s="323">
        <v>42992</v>
      </c>
      <c r="G1440" s="322">
        <v>137535.1</v>
      </c>
      <c r="H1440" s="322">
        <f t="shared" si="18"/>
        <v>0</v>
      </c>
      <c r="I1440" s="325" t="s">
        <v>15214</v>
      </c>
    </row>
    <row r="1441" spans="1:9" x14ac:dyDescent="0.25">
      <c r="A1441" s="359">
        <v>42990</v>
      </c>
      <c r="B1441" s="326" t="s">
        <v>29178</v>
      </c>
      <c r="C1441" s="327">
        <v>127200</v>
      </c>
      <c r="D1441" s="391" t="s">
        <v>15280</v>
      </c>
      <c r="E1441" s="328">
        <v>6750.3</v>
      </c>
      <c r="F1441" s="329">
        <v>42990</v>
      </c>
      <c r="G1441" s="328">
        <v>6750.3</v>
      </c>
      <c r="H1441" s="347">
        <f t="shared" si="18"/>
        <v>0</v>
      </c>
      <c r="I1441" s="331" t="s">
        <v>15214</v>
      </c>
    </row>
    <row r="1442" spans="1:9" x14ac:dyDescent="0.25">
      <c r="A1442" s="319">
        <v>42990</v>
      </c>
      <c r="B1442" s="320" t="s">
        <v>29179</v>
      </c>
      <c r="C1442" s="321">
        <v>127201</v>
      </c>
      <c r="D1442" s="390" t="s">
        <v>15668</v>
      </c>
      <c r="E1442" s="322">
        <v>50001.55</v>
      </c>
      <c r="F1442" s="323">
        <v>42993</v>
      </c>
      <c r="G1442" s="322">
        <v>50001.55</v>
      </c>
      <c r="H1442" s="322">
        <f t="shared" si="18"/>
        <v>0</v>
      </c>
      <c r="I1442" s="325" t="s">
        <v>15214</v>
      </c>
    </row>
    <row r="1443" spans="1:9" x14ac:dyDescent="0.25">
      <c r="A1443" s="359">
        <v>42990</v>
      </c>
      <c r="B1443" s="326" t="s">
        <v>29180</v>
      </c>
      <c r="C1443" s="327">
        <v>127202</v>
      </c>
      <c r="D1443" s="391" t="s">
        <v>15568</v>
      </c>
      <c r="E1443" s="328">
        <v>14252.55</v>
      </c>
      <c r="F1443" s="329">
        <v>42990</v>
      </c>
      <c r="G1443" s="328">
        <v>14252.55</v>
      </c>
      <c r="H1443" s="347">
        <f t="shared" si="18"/>
        <v>0</v>
      </c>
      <c r="I1443" s="331" t="s">
        <v>15214</v>
      </c>
    </row>
    <row r="1444" spans="1:9" x14ac:dyDescent="0.25">
      <c r="A1444" s="319">
        <v>42990</v>
      </c>
      <c r="B1444" s="320" t="s">
        <v>29181</v>
      </c>
      <c r="C1444" s="321">
        <v>127203</v>
      </c>
      <c r="D1444" s="390" t="s">
        <v>15371</v>
      </c>
      <c r="E1444" s="322">
        <v>2541.6</v>
      </c>
      <c r="F1444" s="323">
        <v>42990</v>
      </c>
      <c r="G1444" s="322">
        <v>2541.6</v>
      </c>
      <c r="H1444" s="322">
        <f t="shared" si="18"/>
        <v>0</v>
      </c>
      <c r="I1444" s="325" t="s">
        <v>15214</v>
      </c>
    </row>
    <row r="1445" spans="1:9" x14ac:dyDescent="0.25">
      <c r="A1445" s="359">
        <v>42990</v>
      </c>
      <c r="B1445" s="326" t="s">
        <v>29182</v>
      </c>
      <c r="C1445" s="327">
        <v>127204</v>
      </c>
      <c r="D1445" s="391" t="s">
        <v>15324</v>
      </c>
      <c r="E1445" s="328">
        <v>1142</v>
      </c>
      <c r="F1445" s="329">
        <v>42990</v>
      </c>
      <c r="G1445" s="328">
        <v>1142</v>
      </c>
      <c r="H1445" s="347">
        <f t="shared" si="18"/>
        <v>0</v>
      </c>
      <c r="I1445" s="331" t="s">
        <v>15214</v>
      </c>
    </row>
    <row r="1446" spans="1:9" x14ac:dyDescent="0.25">
      <c r="A1446" s="319">
        <v>42990</v>
      </c>
      <c r="B1446" s="320" t="s">
        <v>29183</v>
      </c>
      <c r="C1446" s="321">
        <v>127205</v>
      </c>
      <c r="D1446" s="390" t="s">
        <v>19302</v>
      </c>
      <c r="E1446" s="322">
        <v>720</v>
      </c>
      <c r="F1446" s="323">
        <v>42990</v>
      </c>
      <c r="G1446" s="322">
        <v>720</v>
      </c>
      <c r="H1446" s="322">
        <f t="shared" si="18"/>
        <v>0</v>
      </c>
      <c r="I1446" s="325" t="s">
        <v>15214</v>
      </c>
    </row>
    <row r="1447" spans="1:9" x14ac:dyDescent="0.25">
      <c r="A1447" s="359">
        <v>42990</v>
      </c>
      <c r="B1447" s="326" t="s">
        <v>29184</v>
      </c>
      <c r="C1447" s="327">
        <v>127206</v>
      </c>
      <c r="D1447" s="391" t="s">
        <v>15523</v>
      </c>
      <c r="E1447" s="328">
        <v>1920</v>
      </c>
      <c r="F1447" s="329">
        <v>42990</v>
      </c>
      <c r="G1447" s="328">
        <v>1920</v>
      </c>
      <c r="H1447" s="347">
        <f t="shared" si="18"/>
        <v>0</v>
      </c>
      <c r="I1447" s="331" t="s">
        <v>15214</v>
      </c>
    </row>
    <row r="1448" spans="1:9" x14ac:dyDescent="0.25">
      <c r="A1448" s="319">
        <v>42990</v>
      </c>
      <c r="B1448" s="320" t="s">
        <v>29185</v>
      </c>
      <c r="C1448" s="321">
        <v>127207</v>
      </c>
      <c r="D1448" s="390" t="s">
        <v>15526</v>
      </c>
      <c r="E1448" s="322">
        <v>3985</v>
      </c>
      <c r="F1448" s="323">
        <v>42990</v>
      </c>
      <c r="G1448" s="322">
        <v>3985</v>
      </c>
      <c r="H1448" s="322">
        <f t="shared" si="18"/>
        <v>0</v>
      </c>
      <c r="I1448" s="325" t="s">
        <v>15214</v>
      </c>
    </row>
    <row r="1449" spans="1:9" x14ac:dyDescent="0.25">
      <c r="A1449" s="359">
        <v>42990</v>
      </c>
      <c r="B1449" s="326" t="s">
        <v>29186</v>
      </c>
      <c r="C1449" s="327">
        <v>127208</v>
      </c>
      <c r="D1449" s="391" t="s">
        <v>15358</v>
      </c>
      <c r="E1449" s="328">
        <v>1142.0999999999999</v>
      </c>
      <c r="F1449" s="329">
        <v>42990</v>
      </c>
      <c r="G1449" s="328">
        <v>1142.0999999999999</v>
      </c>
      <c r="H1449" s="347">
        <f t="shared" si="18"/>
        <v>0</v>
      </c>
      <c r="I1449" s="331" t="s">
        <v>15214</v>
      </c>
    </row>
    <row r="1450" spans="1:9" x14ac:dyDescent="0.25">
      <c r="A1450" s="319">
        <v>42990</v>
      </c>
      <c r="B1450" s="320" t="s">
        <v>29187</v>
      </c>
      <c r="C1450" s="321">
        <v>127209</v>
      </c>
      <c r="D1450" s="390" t="s">
        <v>15624</v>
      </c>
      <c r="E1450" s="322">
        <v>31909.5</v>
      </c>
      <c r="F1450" s="323">
        <v>42992</v>
      </c>
      <c r="G1450" s="322">
        <v>31909.5</v>
      </c>
      <c r="H1450" s="322">
        <f t="shared" si="18"/>
        <v>0</v>
      </c>
      <c r="I1450" s="325" t="s">
        <v>15214</v>
      </c>
    </row>
    <row r="1451" spans="1:9" x14ac:dyDescent="0.25">
      <c r="A1451" s="359">
        <v>42990</v>
      </c>
      <c r="B1451" s="326" t="s">
        <v>29188</v>
      </c>
      <c r="C1451" s="327">
        <v>127210</v>
      </c>
      <c r="D1451" s="391" t="s">
        <v>15742</v>
      </c>
      <c r="E1451" s="328">
        <v>2018.8</v>
      </c>
      <c r="F1451" s="329">
        <v>42990</v>
      </c>
      <c r="G1451" s="328">
        <v>2018.8</v>
      </c>
      <c r="H1451" s="347">
        <f t="shared" si="18"/>
        <v>0</v>
      </c>
      <c r="I1451" s="331" t="s">
        <v>15214</v>
      </c>
    </row>
    <row r="1452" spans="1:9" x14ac:dyDescent="0.25">
      <c r="A1452" s="319">
        <v>42990</v>
      </c>
      <c r="B1452" s="320" t="s">
        <v>29189</v>
      </c>
      <c r="C1452" s="321">
        <v>127211</v>
      </c>
      <c r="D1452" s="390" t="s">
        <v>15328</v>
      </c>
      <c r="E1452" s="322">
        <v>21664.69</v>
      </c>
      <c r="F1452" s="323">
        <v>43001</v>
      </c>
      <c r="G1452" s="322">
        <v>21664.69</v>
      </c>
      <c r="H1452" s="322">
        <f t="shared" si="18"/>
        <v>0</v>
      </c>
      <c r="I1452" s="325" t="s">
        <v>15214</v>
      </c>
    </row>
    <row r="1453" spans="1:9" x14ac:dyDescent="0.25">
      <c r="A1453" s="359">
        <v>42990</v>
      </c>
      <c r="B1453" s="326" t="s">
        <v>29190</v>
      </c>
      <c r="C1453" s="327">
        <v>127212</v>
      </c>
      <c r="D1453" s="391" t="s">
        <v>15315</v>
      </c>
      <c r="E1453" s="328">
        <v>2722</v>
      </c>
      <c r="F1453" s="329">
        <v>42990</v>
      </c>
      <c r="G1453" s="328">
        <v>2722</v>
      </c>
      <c r="H1453" s="347">
        <f t="shared" si="18"/>
        <v>0</v>
      </c>
      <c r="I1453" s="331" t="s">
        <v>15214</v>
      </c>
    </row>
    <row r="1454" spans="1:9" x14ac:dyDescent="0.25">
      <c r="A1454" s="319">
        <v>42990</v>
      </c>
      <c r="B1454" s="320" t="s">
        <v>29191</v>
      </c>
      <c r="C1454" s="321">
        <v>127213</v>
      </c>
      <c r="D1454" s="390" t="s">
        <v>15334</v>
      </c>
      <c r="E1454" s="322">
        <v>720</v>
      </c>
      <c r="F1454" s="323">
        <v>42990</v>
      </c>
      <c r="G1454" s="322">
        <v>720</v>
      </c>
      <c r="H1454" s="322">
        <f t="shared" si="18"/>
        <v>0</v>
      </c>
      <c r="I1454" s="325" t="s">
        <v>15214</v>
      </c>
    </row>
    <row r="1455" spans="1:9" x14ac:dyDescent="0.25">
      <c r="A1455" s="359">
        <v>42990</v>
      </c>
      <c r="B1455" s="326" t="s">
        <v>29192</v>
      </c>
      <c r="C1455" s="327">
        <v>127214</v>
      </c>
      <c r="D1455" s="391" t="s">
        <v>15549</v>
      </c>
      <c r="E1455" s="328">
        <v>7332.4</v>
      </c>
      <c r="F1455" s="329">
        <v>42990</v>
      </c>
      <c r="G1455" s="328">
        <v>7332.4</v>
      </c>
      <c r="H1455" s="347">
        <f t="shared" si="18"/>
        <v>0</v>
      </c>
      <c r="I1455" s="331" t="s">
        <v>15214</v>
      </c>
    </row>
    <row r="1456" spans="1:9" x14ac:dyDescent="0.25">
      <c r="A1456" s="319">
        <v>42990</v>
      </c>
      <c r="B1456" s="320" t="s">
        <v>29193</v>
      </c>
      <c r="C1456" s="321">
        <v>127215</v>
      </c>
      <c r="D1456" s="390" t="s">
        <v>15261</v>
      </c>
      <c r="E1456" s="322">
        <v>17819.3</v>
      </c>
      <c r="F1456" s="323">
        <v>42990</v>
      </c>
      <c r="G1456" s="322">
        <v>17819.3</v>
      </c>
      <c r="H1456" s="322">
        <f t="shared" si="18"/>
        <v>0</v>
      </c>
      <c r="I1456" s="325" t="s">
        <v>15214</v>
      </c>
    </row>
    <row r="1457" spans="1:9" x14ac:dyDescent="0.25">
      <c r="A1457" s="359">
        <v>42990</v>
      </c>
      <c r="B1457" s="326" t="s">
        <v>29194</v>
      </c>
      <c r="C1457" s="327">
        <v>127216</v>
      </c>
      <c r="D1457" s="391" t="s">
        <v>15338</v>
      </c>
      <c r="E1457" s="328">
        <v>11436</v>
      </c>
      <c r="F1457" s="329">
        <v>42992</v>
      </c>
      <c r="G1457" s="328">
        <v>11436</v>
      </c>
      <c r="H1457" s="347">
        <f t="shared" ref="H1457:H1520" si="19">E1457-G1457</f>
        <v>0</v>
      </c>
      <c r="I1457" s="331" t="s">
        <v>15214</v>
      </c>
    </row>
    <row r="1458" spans="1:9" x14ac:dyDescent="0.25">
      <c r="A1458" s="319">
        <v>42990</v>
      </c>
      <c r="B1458" s="320" t="s">
        <v>29195</v>
      </c>
      <c r="C1458" s="321">
        <v>127217</v>
      </c>
      <c r="D1458" s="390" t="s">
        <v>15248</v>
      </c>
      <c r="E1458" s="322">
        <v>25094.85</v>
      </c>
      <c r="F1458" s="323">
        <v>42990</v>
      </c>
      <c r="G1458" s="322">
        <v>25094.85</v>
      </c>
      <c r="H1458" s="322">
        <f t="shared" si="19"/>
        <v>0</v>
      </c>
      <c r="I1458" s="325" t="s">
        <v>15214</v>
      </c>
    </row>
    <row r="1459" spans="1:9" x14ac:dyDescent="0.25">
      <c r="A1459" s="359">
        <v>42990</v>
      </c>
      <c r="B1459" s="326" t="s">
        <v>29196</v>
      </c>
      <c r="C1459" s="327">
        <v>127218</v>
      </c>
      <c r="D1459" s="391" t="s">
        <v>15332</v>
      </c>
      <c r="E1459" s="328">
        <v>5699.2</v>
      </c>
      <c r="F1459" s="329">
        <v>42990</v>
      </c>
      <c r="G1459" s="328">
        <v>5699.2</v>
      </c>
      <c r="H1459" s="347">
        <f t="shared" si="19"/>
        <v>0</v>
      </c>
      <c r="I1459" s="331" t="s">
        <v>15214</v>
      </c>
    </row>
    <row r="1460" spans="1:9" x14ac:dyDescent="0.25">
      <c r="A1460" s="319">
        <v>42990</v>
      </c>
      <c r="B1460" s="320" t="s">
        <v>29197</v>
      </c>
      <c r="C1460" s="321">
        <v>127219</v>
      </c>
      <c r="D1460" s="390" t="s">
        <v>17210</v>
      </c>
      <c r="E1460" s="322">
        <v>2690</v>
      </c>
      <c r="F1460" s="323">
        <v>42990</v>
      </c>
      <c r="G1460" s="322">
        <v>2690</v>
      </c>
      <c r="H1460" s="322">
        <f t="shared" si="19"/>
        <v>0</v>
      </c>
      <c r="I1460" s="325" t="s">
        <v>15214</v>
      </c>
    </row>
    <row r="1461" spans="1:9" x14ac:dyDescent="0.25">
      <c r="A1461" s="359">
        <v>42990</v>
      </c>
      <c r="B1461" s="326" t="s">
        <v>29198</v>
      </c>
      <c r="C1461" s="327">
        <v>127220</v>
      </c>
      <c r="D1461" s="391" t="s">
        <v>15342</v>
      </c>
      <c r="E1461" s="328">
        <v>575.20000000000005</v>
      </c>
      <c r="F1461" s="329">
        <v>42990</v>
      </c>
      <c r="G1461" s="328">
        <v>575.20000000000005</v>
      </c>
      <c r="H1461" s="347">
        <f t="shared" si="19"/>
        <v>0</v>
      </c>
      <c r="I1461" s="331" t="s">
        <v>15214</v>
      </c>
    </row>
    <row r="1462" spans="1:9" x14ac:dyDescent="0.25">
      <c r="A1462" s="319">
        <v>42990</v>
      </c>
      <c r="B1462" s="320" t="s">
        <v>29199</v>
      </c>
      <c r="C1462" s="321">
        <v>127221</v>
      </c>
      <c r="D1462" s="390" t="s">
        <v>15244</v>
      </c>
      <c r="E1462" s="322">
        <v>11538.35</v>
      </c>
      <c r="F1462" s="323">
        <v>42992</v>
      </c>
      <c r="G1462" s="322">
        <v>11538.35</v>
      </c>
      <c r="H1462" s="322">
        <f t="shared" si="19"/>
        <v>0</v>
      </c>
      <c r="I1462" s="325" t="s">
        <v>15214</v>
      </c>
    </row>
    <row r="1463" spans="1:9" x14ac:dyDescent="0.25">
      <c r="A1463" s="359">
        <v>42990</v>
      </c>
      <c r="B1463" s="326" t="s">
        <v>29200</v>
      </c>
      <c r="C1463" s="327">
        <v>127222</v>
      </c>
      <c r="D1463" s="391" t="s">
        <v>23937</v>
      </c>
      <c r="E1463" s="328">
        <v>3846.6</v>
      </c>
      <c r="F1463" s="329">
        <v>42990</v>
      </c>
      <c r="G1463" s="328">
        <v>3846.6</v>
      </c>
      <c r="H1463" s="347">
        <f t="shared" si="19"/>
        <v>0</v>
      </c>
      <c r="I1463" s="331" t="s">
        <v>15214</v>
      </c>
    </row>
    <row r="1464" spans="1:9" x14ac:dyDescent="0.25">
      <c r="A1464" s="319">
        <v>42990</v>
      </c>
      <c r="B1464" s="320" t="s">
        <v>29201</v>
      </c>
      <c r="C1464" s="321">
        <v>127223</v>
      </c>
      <c r="D1464" s="390" t="s">
        <v>15252</v>
      </c>
      <c r="E1464" s="322">
        <v>5910.45</v>
      </c>
      <c r="F1464" s="323">
        <v>42992</v>
      </c>
      <c r="G1464" s="322">
        <v>5910.45</v>
      </c>
      <c r="H1464" s="322">
        <f t="shared" si="19"/>
        <v>0</v>
      </c>
      <c r="I1464" s="325" t="s">
        <v>15214</v>
      </c>
    </row>
    <row r="1465" spans="1:9" x14ac:dyDescent="0.25">
      <c r="A1465" s="359">
        <v>42990</v>
      </c>
      <c r="B1465" s="326" t="s">
        <v>29202</v>
      </c>
      <c r="C1465" s="327">
        <v>127224</v>
      </c>
      <c r="D1465" s="391" t="s">
        <v>15315</v>
      </c>
      <c r="E1465" s="328">
        <v>867.5</v>
      </c>
      <c r="F1465" s="329">
        <v>42990</v>
      </c>
      <c r="G1465" s="328">
        <v>867.5</v>
      </c>
      <c r="H1465" s="347">
        <f t="shared" si="19"/>
        <v>0</v>
      </c>
      <c r="I1465" s="331" t="s">
        <v>15214</v>
      </c>
    </row>
    <row r="1466" spans="1:9" x14ac:dyDescent="0.25">
      <c r="A1466" s="319">
        <v>42990</v>
      </c>
      <c r="B1466" s="320" t="s">
        <v>29203</v>
      </c>
      <c r="C1466" s="321">
        <v>127225</v>
      </c>
      <c r="D1466" s="390" t="s">
        <v>15254</v>
      </c>
      <c r="E1466" s="322">
        <v>4449</v>
      </c>
      <c r="F1466" s="323">
        <v>42992</v>
      </c>
      <c r="G1466" s="322">
        <v>4449</v>
      </c>
      <c r="H1466" s="322">
        <f t="shared" si="19"/>
        <v>0</v>
      </c>
      <c r="I1466" s="325" t="s">
        <v>15214</v>
      </c>
    </row>
    <row r="1467" spans="1:9" x14ac:dyDescent="0.25">
      <c r="A1467" s="359">
        <v>42990</v>
      </c>
      <c r="B1467" s="326" t="s">
        <v>29204</v>
      </c>
      <c r="C1467" s="327">
        <v>127226</v>
      </c>
      <c r="D1467" s="391" t="s">
        <v>15315</v>
      </c>
      <c r="E1467" s="328">
        <v>717.5</v>
      </c>
      <c r="F1467" s="329">
        <v>42990</v>
      </c>
      <c r="G1467" s="328">
        <v>717.5</v>
      </c>
      <c r="H1467" s="347">
        <f t="shared" si="19"/>
        <v>0</v>
      </c>
      <c r="I1467" s="331" t="s">
        <v>15214</v>
      </c>
    </row>
    <row r="1468" spans="1:9" x14ac:dyDescent="0.25">
      <c r="A1468" s="319">
        <v>42990</v>
      </c>
      <c r="B1468" s="320" t="s">
        <v>29205</v>
      </c>
      <c r="C1468" s="321">
        <v>127227</v>
      </c>
      <c r="D1468" s="390" t="s">
        <v>19756</v>
      </c>
      <c r="E1468" s="322">
        <v>787.3</v>
      </c>
      <c r="F1468" s="323">
        <v>42990</v>
      </c>
      <c r="G1468" s="322">
        <v>787.3</v>
      </c>
      <c r="H1468" s="322">
        <f t="shared" si="19"/>
        <v>0</v>
      </c>
      <c r="I1468" s="325" t="s">
        <v>15214</v>
      </c>
    </row>
    <row r="1469" spans="1:9" x14ac:dyDescent="0.25">
      <c r="A1469" s="359">
        <v>42990</v>
      </c>
      <c r="B1469" s="326" t="s">
        <v>29206</v>
      </c>
      <c r="C1469" s="327">
        <v>127228</v>
      </c>
      <c r="D1469" s="391" t="s">
        <v>15541</v>
      </c>
      <c r="E1469" s="328">
        <v>1576.1</v>
      </c>
      <c r="F1469" s="329">
        <v>42990</v>
      </c>
      <c r="G1469" s="328">
        <v>1576.1</v>
      </c>
      <c r="H1469" s="347">
        <f t="shared" si="19"/>
        <v>0</v>
      </c>
      <c r="I1469" s="331" t="s">
        <v>15214</v>
      </c>
    </row>
    <row r="1470" spans="1:9" x14ac:dyDescent="0.25">
      <c r="A1470" s="319">
        <v>42990</v>
      </c>
      <c r="B1470" s="320" t="s">
        <v>29207</v>
      </c>
      <c r="C1470" s="321">
        <v>127229</v>
      </c>
      <c r="D1470" s="390" t="s">
        <v>15265</v>
      </c>
      <c r="E1470" s="322">
        <v>3005</v>
      </c>
      <c r="F1470" s="323">
        <v>42990</v>
      </c>
      <c r="G1470" s="322">
        <v>3005</v>
      </c>
      <c r="H1470" s="322">
        <f t="shared" si="19"/>
        <v>0</v>
      </c>
      <c r="I1470" s="325" t="s">
        <v>15214</v>
      </c>
    </row>
    <row r="1471" spans="1:9" x14ac:dyDescent="0.25">
      <c r="A1471" s="359">
        <v>42990</v>
      </c>
      <c r="B1471" s="326" t="s">
        <v>29208</v>
      </c>
      <c r="C1471" s="327">
        <v>127230</v>
      </c>
      <c r="D1471" s="391" t="s">
        <v>15322</v>
      </c>
      <c r="E1471" s="328">
        <v>886</v>
      </c>
      <c r="F1471" s="329">
        <v>42990</v>
      </c>
      <c r="G1471" s="328">
        <v>886</v>
      </c>
      <c r="H1471" s="347">
        <f t="shared" si="19"/>
        <v>0</v>
      </c>
      <c r="I1471" s="331" t="s">
        <v>15214</v>
      </c>
    </row>
    <row r="1472" spans="1:9" x14ac:dyDescent="0.25">
      <c r="A1472" s="319">
        <v>42990</v>
      </c>
      <c r="B1472" s="320" t="s">
        <v>29209</v>
      </c>
      <c r="C1472" s="321">
        <v>127231</v>
      </c>
      <c r="D1472" s="390" t="s">
        <v>15716</v>
      </c>
      <c r="E1472" s="322">
        <v>9254.85</v>
      </c>
      <c r="F1472" s="323">
        <v>42990</v>
      </c>
      <c r="G1472" s="322">
        <v>9254.85</v>
      </c>
      <c r="H1472" s="322">
        <f t="shared" si="19"/>
        <v>0</v>
      </c>
      <c r="I1472" s="325" t="s">
        <v>15214</v>
      </c>
    </row>
    <row r="1473" spans="1:9" x14ac:dyDescent="0.25">
      <c r="A1473" s="359">
        <v>42990</v>
      </c>
      <c r="B1473" s="326" t="s">
        <v>29210</v>
      </c>
      <c r="C1473" s="327">
        <v>127232</v>
      </c>
      <c r="D1473" s="391" t="s">
        <v>17057</v>
      </c>
      <c r="E1473" s="328">
        <v>1081.2</v>
      </c>
      <c r="F1473" s="329">
        <v>42990</v>
      </c>
      <c r="G1473" s="328">
        <v>1081.2</v>
      </c>
      <c r="H1473" s="347">
        <f t="shared" si="19"/>
        <v>0</v>
      </c>
      <c r="I1473" s="331" t="s">
        <v>15214</v>
      </c>
    </row>
    <row r="1474" spans="1:9" x14ac:dyDescent="0.25">
      <c r="A1474" s="319">
        <v>42990</v>
      </c>
      <c r="B1474" s="320" t="s">
        <v>29211</v>
      </c>
      <c r="C1474" s="321">
        <v>127233</v>
      </c>
      <c r="D1474" s="390" t="s">
        <v>15298</v>
      </c>
      <c r="E1474" s="322">
        <v>394.4</v>
      </c>
      <c r="F1474" s="323">
        <v>42990</v>
      </c>
      <c r="G1474" s="322">
        <v>394.4</v>
      </c>
      <c r="H1474" s="322">
        <f t="shared" si="19"/>
        <v>0</v>
      </c>
      <c r="I1474" s="325" t="s">
        <v>15214</v>
      </c>
    </row>
    <row r="1475" spans="1:9" x14ac:dyDescent="0.25">
      <c r="A1475" s="359">
        <v>42990</v>
      </c>
      <c r="B1475" s="326" t="s">
        <v>29212</v>
      </c>
      <c r="C1475" s="327">
        <v>127234</v>
      </c>
      <c r="D1475" s="391" t="s">
        <v>15315</v>
      </c>
      <c r="E1475" s="328">
        <v>1044</v>
      </c>
      <c r="F1475" s="329">
        <v>42990</v>
      </c>
      <c r="G1475" s="328">
        <v>1044</v>
      </c>
      <c r="H1475" s="347">
        <f t="shared" si="19"/>
        <v>0</v>
      </c>
      <c r="I1475" s="331" t="s">
        <v>15214</v>
      </c>
    </row>
    <row r="1476" spans="1:9" x14ac:dyDescent="0.25">
      <c r="A1476" s="319">
        <v>42990</v>
      </c>
      <c r="B1476" s="320" t="s">
        <v>29213</v>
      </c>
      <c r="C1476" s="321">
        <v>127235</v>
      </c>
      <c r="D1476" s="390" t="s">
        <v>15213</v>
      </c>
      <c r="E1476" s="322">
        <v>10613.65</v>
      </c>
      <c r="F1476" s="323">
        <v>42998</v>
      </c>
      <c r="G1476" s="322">
        <v>10613.65</v>
      </c>
      <c r="H1476" s="322">
        <f t="shared" si="19"/>
        <v>0</v>
      </c>
      <c r="I1476" s="325" t="s">
        <v>15214</v>
      </c>
    </row>
    <row r="1477" spans="1:9" x14ac:dyDescent="0.25">
      <c r="A1477" s="359">
        <v>42990</v>
      </c>
      <c r="B1477" s="326" t="s">
        <v>29214</v>
      </c>
      <c r="C1477" s="327">
        <v>127236</v>
      </c>
      <c r="D1477" s="391" t="s">
        <v>15728</v>
      </c>
      <c r="E1477" s="328">
        <v>8906.4</v>
      </c>
      <c r="F1477" s="329">
        <v>42990</v>
      </c>
      <c r="G1477" s="328">
        <v>8906.4</v>
      </c>
      <c r="H1477" s="347">
        <f t="shared" si="19"/>
        <v>0</v>
      </c>
      <c r="I1477" s="331" t="s">
        <v>15214</v>
      </c>
    </row>
    <row r="1478" spans="1:9" x14ac:dyDescent="0.25">
      <c r="A1478" s="319">
        <v>42990</v>
      </c>
      <c r="B1478" s="320" t="s">
        <v>29215</v>
      </c>
      <c r="C1478" s="321">
        <v>127237</v>
      </c>
      <c r="D1478" s="390" t="s">
        <v>15566</v>
      </c>
      <c r="E1478" s="322">
        <v>3195.55</v>
      </c>
      <c r="F1478" s="323">
        <v>42990</v>
      </c>
      <c r="G1478" s="322">
        <v>3195.55</v>
      </c>
      <c r="H1478" s="322">
        <f t="shared" si="19"/>
        <v>0</v>
      </c>
      <c r="I1478" s="325" t="s">
        <v>15214</v>
      </c>
    </row>
    <row r="1479" spans="1:9" ht="15.75" x14ac:dyDescent="0.25">
      <c r="A1479" s="359">
        <v>42990</v>
      </c>
      <c r="B1479" s="326" t="s">
        <v>29216</v>
      </c>
      <c r="C1479" s="327">
        <v>127238</v>
      </c>
      <c r="D1479" s="345" t="s">
        <v>95</v>
      </c>
      <c r="E1479" s="328">
        <v>0</v>
      </c>
      <c r="F1479" s="346" t="s">
        <v>95</v>
      </c>
      <c r="G1479" s="328">
        <v>0</v>
      </c>
      <c r="H1479" s="347">
        <f t="shared" si="19"/>
        <v>0</v>
      </c>
      <c r="I1479" s="331" t="s">
        <v>95</v>
      </c>
    </row>
    <row r="1480" spans="1:9" x14ac:dyDescent="0.25">
      <c r="A1480" s="319">
        <v>42990</v>
      </c>
      <c r="B1480" s="320" t="s">
        <v>29217</v>
      </c>
      <c r="C1480" s="321">
        <v>127239</v>
      </c>
      <c r="D1480" s="390" t="s">
        <v>19768</v>
      </c>
      <c r="E1480" s="322">
        <v>1440</v>
      </c>
      <c r="F1480" s="323">
        <v>42990</v>
      </c>
      <c r="G1480" s="322">
        <v>1440</v>
      </c>
      <c r="H1480" s="322">
        <f t="shared" si="19"/>
        <v>0</v>
      </c>
      <c r="I1480" s="325" t="s">
        <v>15214</v>
      </c>
    </row>
    <row r="1481" spans="1:9" x14ac:dyDescent="0.25">
      <c r="A1481" s="359">
        <v>42990</v>
      </c>
      <c r="B1481" s="326" t="s">
        <v>29218</v>
      </c>
      <c r="C1481" s="327">
        <v>127240</v>
      </c>
      <c r="D1481" s="391" t="s">
        <v>15326</v>
      </c>
      <c r="E1481" s="328">
        <v>14359.8</v>
      </c>
      <c r="F1481" s="349">
        <v>42990</v>
      </c>
      <c r="G1481" s="347">
        <v>14359.8</v>
      </c>
      <c r="H1481" s="347">
        <f t="shared" si="19"/>
        <v>0</v>
      </c>
      <c r="I1481" s="331" t="s">
        <v>15214</v>
      </c>
    </row>
    <row r="1482" spans="1:9" x14ac:dyDescent="0.25">
      <c r="A1482" s="319">
        <v>42990</v>
      </c>
      <c r="B1482" s="320" t="s">
        <v>29219</v>
      </c>
      <c r="C1482" s="321">
        <v>127241</v>
      </c>
      <c r="D1482" s="390" t="s">
        <v>15378</v>
      </c>
      <c r="E1482" s="322">
        <v>1054.8</v>
      </c>
      <c r="F1482" s="323">
        <v>42990</v>
      </c>
      <c r="G1482" s="322">
        <v>1054.8</v>
      </c>
      <c r="H1482" s="322">
        <f t="shared" si="19"/>
        <v>0</v>
      </c>
      <c r="I1482" s="325" t="s">
        <v>15214</v>
      </c>
    </row>
    <row r="1483" spans="1:9" x14ac:dyDescent="0.25">
      <c r="A1483" s="359">
        <v>42990</v>
      </c>
      <c r="B1483" s="326" t="s">
        <v>29220</v>
      </c>
      <c r="C1483" s="327">
        <v>127242</v>
      </c>
      <c r="D1483" s="391" t="s">
        <v>15396</v>
      </c>
      <c r="E1483" s="328">
        <v>7276.84</v>
      </c>
      <c r="F1483" s="329">
        <v>42990</v>
      </c>
      <c r="G1483" s="328">
        <v>7276.84</v>
      </c>
      <c r="H1483" s="347">
        <f t="shared" si="19"/>
        <v>0</v>
      </c>
      <c r="I1483" s="331" t="s">
        <v>15214</v>
      </c>
    </row>
    <row r="1484" spans="1:9" x14ac:dyDescent="0.25">
      <c r="A1484" s="319">
        <v>42990</v>
      </c>
      <c r="B1484" s="320" t="s">
        <v>29221</v>
      </c>
      <c r="C1484" s="321">
        <v>127243</v>
      </c>
      <c r="D1484" s="390" t="s">
        <v>15282</v>
      </c>
      <c r="E1484" s="322">
        <v>2939.1</v>
      </c>
      <c r="F1484" s="323">
        <v>42990</v>
      </c>
      <c r="G1484" s="322">
        <v>2939.1</v>
      </c>
      <c r="H1484" s="322">
        <f t="shared" si="19"/>
        <v>0</v>
      </c>
      <c r="I1484" s="325" t="s">
        <v>15214</v>
      </c>
    </row>
    <row r="1485" spans="1:9" x14ac:dyDescent="0.25">
      <c r="A1485" s="359">
        <v>42990</v>
      </c>
      <c r="B1485" s="326" t="s">
        <v>29222</v>
      </c>
      <c r="C1485" s="327">
        <v>127244</v>
      </c>
      <c r="D1485" s="391" t="s">
        <v>15294</v>
      </c>
      <c r="E1485" s="328">
        <v>225.7</v>
      </c>
      <c r="F1485" s="329">
        <v>42990</v>
      </c>
      <c r="G1485" s="328">
        <v>225.7</v>
      </c>
      <c r="H1485" s="347">
        <f t="shared" si="19"/>
        <v>0</v>
      </c>
      <c r="I1485" s="331" t="s">
        <v>15214</v>
      </c>
    </row>
    <row r="1486" spans="1:9" x14ac:dyDescent="0.25">
      <c r="A1486" s="319">
        <v>42990</v>
      </c>
      <c r="B1486" s="320" t="s">
        <v>29223</v>
      </c>
      <c r="C1486" s="321">
        <v>127245</v>
      </c>
      <c r="D1486" s="390" t="s">
        <v>15315</v>
      </c>
      <c r="E1486" s="322">
        <v>1038.7</v>
      </c>
      <c r="F1486" s="323">
        <v>42990</v>
      </c>
      <c r="G1486" s="322">
        <v>1038.7</v>
      </c>
      <c r="H1486" s="322">
        <f t="shared" si="19"/>
        <v>0</v>
      </c>
      <c r="I1486" s="325" t="s">
        <v>15214</v>
      </c>
    </row>
    <row r="1487" spans="1:9" x14ac:dyDescent="0.25">
      <c r="A1487" s="359">
        <v>42990</v>
      </c>
      <c r="B1487" s="326" t="s">
        <v>29224</v>
      </c>
      <c r="C1487" s="327">
        <v>127246</v>
      </c>
      <c r="D1487" s="391" t="s">
        <v>15987</v>
      </c>
      <c r="E1487" s="328">
        <v>1396.4</v>
      </c>
      <c r="F1487" s="329">
        <v>42990</v>
      </c>
      <c r="G1487" s="328">
        <v>1396.4</v>
      </c>
      <c r="H1487" s="347">
        <f t="shared" si="19"/>
        <v>0</v>
      </c>
      <c r="I1487" s="331" t="s">
        <v>15214</v>
      </c>
    </row>
    <row r="1488" spans="1:9" x14ac:dyDescent="0.25">
      <c r="A1488" s="319">
        <v>42990</v>
      </c>
      <c r="B1488" s="320" t="s">
        <v>29225</v>
      </c>
      <c r="C1488" s="321">
        <v>127247</v>
      </c>
      <c r="D1488" s="390" t="s">
        <v>15315</v>
      </c>
      <c r="E1488" s="322">
        <v>3360</v>
      </c>
      <c r="F1488" s="323">
        <v>42992</v>
      </c>
      <c r="G1488" s="322">
        <v>3360</v>
      </c>
      <c r="H1488" s="322">
        <f t="shared" si="19"/>
        <v>0</v>
      </c>
      <c r="I1488" s="325" t="s">
        <v>15214</v>
      </c>
    </row>
    <row r="1489" spans="1:9" x14ac:dyDescent="0.25">
      <c r="A1489" s="359">
        <v>42990</v>
      </c>
      <c r="B1489" s="326" t="s">
        <v>29226</v>
      </c>
      <c r="C1489" s="327">
        <v>127248</v>
      </c>
      <c r="D1489" s="391" t="s">
        <v>15291</v>
      </c>
      <c r="E1489" s="328">
        <v>960</v>
      </c>
      <c r="F1489" s="329">
        <v>42992</v>
      </c>
      <c r="G1489" s="328">
        <v>960</v>
      </c>
      <c r="H1489" s="347">
        <f t="shared" si="19"/>
        <v>0</v>
      </c>
      <c r="I1489" s="331" t="s">
        <v>15214</v>
      </c>
    </row>
    <row r="1490" spans="1:9" x14ac:dyDescent="0.25">
      <c r="A1490" s="319">
        <v>42990</v>
      </c>
      <c r="B1490" s="320" t="s">
        <v>29227</v>
      </c>
      <c r="C1490" s="321">
        <v>127249</v>
      </c>
      <c r="D1490" s="390" t="s">
        <v>15903</v>
      </c>
      <c r="E1490" s="322">
        <v>33029.699999999997</v>
      </c>
      <c r="F1490" s="323">
        <v>42990</v>
      </c>
      <c r="G1490" s="322">
        <v>33029.699999999997</v>
      </c>
      <c r="H1490" s="322">
        <f t="shared" si="19"/>
        <v>0</v>
      </c>
      <c r="I1490" s="325" t="s">
        <v>15214</v>
      </c>
    </row>
    <row r="1491" spans="1:9" x14ac:dyDescent="0.25">
      <c r="A1491" s="359">
        <v>42990</v>
      </c>
      <c r="B1491" s="326" t="s">
        <v>29228</v>
      </c>
      <c r="C1491" s="327">
        <v>127250</v>
      </c>
      <c r="D1491" s="391" t="s">
        <v>15409</v>
      </c>
      <c r="E1491" s="328">
        <v>7350</v>
      </c>
      <c r="F1491" s="329">
        <v>42990</v>
      </c>
      <c r="G1491" s="328">
        <v>7350</v>
      </c>
      <c r="H1491" s="347">
        <f t="shared" si="19"/>
        <v>0</v>
      </c>
      <c r="I1491" s="331" t="s">
        <v>15214</v>
      </c>
    </row>
    <row r="1492" spans="1:9" x14ac:dyDescent="0.25">
      <c r="A1492" s="319">
        <v>42990</v>
      </c>
      <c r="B1492" s="320" t="s">
        <v>29229</v>
      </c>
      <c r="C1492" s="321">
        <v>127251</v>
      </c>
      <c r="D1492" s="390" t="s">
        <v>15409</v>
      </c>
      <c r="E1492" s="322">
        <v>2310</v>
      </c>
      <c r="F1492" s="323">
        <v>42990</v>
      </c>
      <c r="G1492" s="322">
        <v>2310</v>
      </c>
      <c r="H1492" s="322">
        <f t="shared" si="19"/>
        <v>0</v>
      </c>
      <c r="I1492" s="325" t="s">
        <v>15214</v>
      </c>
    </row>
    <row r="1493" spans="1:9" x14ac:dyDescent="0.25">
      <c r="A1493" s="359">
        <v>42990</v>
      </c>
      <c r="B1493" s="326" t="s">
        <v>29230</v>
      </c>
      <c r="C1493" s="327">
        <v>127252</v>
      </c>
      <c r="D1493" s="391" t="s">
        <v>15315</v>
      </c>
      <c r="E1493" s="328">
        <v>1465</v>
      </c>
      <c r="F1493" s="329">
        <v>42990</v>
      </c>
      <c r="G1493" s="328">
        <v>1465</v>
      </c>
      <c r="H1493" s="347">
        <f t="shared" si="19"/>
        <v>0</v>
      </c>
      <c r="I1493" s="331" t="s">
        <v>15214</v>
      </c>
    </row>
    <row r="1494" spans="1:9" x14ac:dyDescent="0.25">
      <c r="A1494" s="319">
        <v>42990</v>
      </c>
      <c r="B1494" s="320" t="s">
        <v>29231</v>
      </c>
      <c r="C1494" s="321">
        <v>127253</v>
      </c>
      <c r="D1494" s="390" t="s">
        <v>15315</v>
      </c>
      <c r="E1494" s="322">
        <v>694.4</v>
      </c>
      <c r="F1494" s="323">
        <v>42990</v>
      </c>
      <c r="G1494" s="322">
        <v>694.4</v>
      </c>
      <c r="H1494" s="322">
        <f t="shared" si="19"/>
        <v>0</v>
      </c>
      <c r="I1494" s="325" t="s">
        <v>15214</v>
      </c>
    </row>
    <row r="1495" spans="1:9" x14ac:dyDescent="0.25">
      <c r="A1495" s="359">
        <v>42990</v>
      </c>
      <c r="B1495" s="326" t="s">
        <v>29232</v>
      </c>
      <c r="C1495" s="327">
        <v>127254</v>
      </c>
      <c r="D1495" s="391" t="s">
        <v>15276</v>
      </c>
      <c r="E1495" s="328">
        <v>2400</v>
      </c>
      <c r="F1495" s="329">
        <v>42992</v>
      </c>
      <c r="G1495" s="328">
        <v>2400</v>
      </c>
      <c r="H1495" s="347">
        <f t="shared" si="19"/>
        <v>0</v>
      </c>
      <c r="I1495" s="331" t="s">
        <v>15214</v>
      </c>
    </row>
    <row r="1496" spans="1:9" ht="15.75" x14ac:dyDescent="0.25">
      <c r="A1496" s="319">
        <v>42990</v>
      </c>
      <c r="B1496" s="320" t="s">
        <v>29233</v>
      </c>
      <c r="C1496" s="321">
        <v>127255</v>
      </c>
      <c r="D1496" s="332" t="s">
        <v>95</v>
      </c>
      <c r="E1496" s="322">
        <v>0</v>
      </c>
      <c r="F1496" s="333" t="s">
        <v>95</v>
      </c>
      <c r="G1496" s="322">
        <v>0</v>
      </c>
      <c r="H1496" s="322">
        <f t="shared" si="19"/>
        <v>0</v>
      </c>
      <c r="I1496" s="325" t="s">
        <v>95</v>
      </c>
    </row>
    <row r="1497" spans="1:9" x14ac:dyDescent="0.25">
      <c r="A1497" s="359">
        <v>42990</v>
      </c>
      <c r="B1497" s="326" t="s">
        <v>29234</v>
      </c>
      <c r="C1497" s="327">
        <v>127256</v>
      </c>
      <c r="D1497" s="391" t="s">
        <v>15398</v>
      </c>
      <c r="E1497" s="328">
        <v>8524.9</v>
      </c>
      <c r="F1497" s="329">
        <v>42996</v>
      </c>
      <c r="G1497" s="328">
        <v>8524.9</v>
      </c>
      <c r="H1497" s="347">
        <f t="shared" si="19"/>
        <v>0</v>
      </c>
      <c r="I1497" s="331" t="s">
        <v>15214</v>
      </c>
    </row>
    <row r="1498" spans="1:9" x14ac:dyDescent="0.25">
      <c r="A1498" s="319">
        <v>42990</v>
      </c>
      <c r="B1498" s="320" t="s">
        <v>29235</v>
      </c>
      <c r="C1498" s="321">
        <v>127257</v>
      </c>
      <c r="D1498" s="390" t="s">
        <v>19767</v>
      </c>
      <c r="E1498" s="322">
        <v>8733.6</v>
      </c>
      <c r="F1498" s="323">
        <v>42992</v>
      </c>
      <c r="G1498" s="322">
        <v>8733.6</v>
      </c>
      <c r="H1498" s="322">
        <f t="shared" si="19"/>
        <v>0</v>
      </c>
      <c r="I1498" s="325" t="s">
        <v>15214</v>
      </c>
    </row>
    <row r="1499" spans="1:9" x14ac:dyDescent="0.25">
      <c r="A1499" s="359">
        <v>42990</v>
      </c>
      <c r="B1499" s="326" t="s">
        <v>29236</v>
      </c>
      <c r="C1499" s="327">
        <v>127258</v>
      </c>
      <c r="D1499" s="391" t="s">
        <v>15315</v>
      </c>
      <c r="E1499" s="328">
        <v>6872.8</v>
      </c>
      <c r="F1499" s="329">
        <v>43005</v>
      </c>
      <c r="G1499" s="328">
        <v>6872.8</v>
      </c>
      <c r="H1499" s="347">
        <f t="shared" si="19"/>
        <v>0</v>
      </c>
      <c r="I1499" s="331" t="s">
        <v>15214</v>
      </c>
    </row>
    <row r="1500" spans="1:9" x14ac:dyDescent="0.25">
      <c r="A1500" s="319">
        <v>42990</v>
      </c>
      <c r="B1500" s="320" t="s">
        <v>29237</v>
      </c>
      <c r="C1500" s="321">
        <v>127259</v>
      </c>
      <c r="D1500" s="390" t="s">
        <v>15311</v>
      </c>
      <c r="E1500" s="322">
        <v>2266.6</v>
      </c>
      <c r="F1500" s="323">
        <v>42992</v>
      </c>
      <c r="G1500" s="322">
        <v>2266.6</v>
      </c>
      <c r="H1500" s="322">
        <f t="shared" si="19"/>
        <v>0</v>
      </c>
      <c r="I1500" s="325" t="s">
        <v>15214</v>
      </c>
    </row>
    <row r="1501" spans="1:9" ht="15.75" x14ac:dyDescent="0.25">
      <c r="A1501" s="359">
        <v>42990</v>
      </c>
      <c r="B1501" s="326" t="s">
        <v>29238</v>
      </c>
      <c r="C1501" s="327">
        <v>127260</v>
      </c>
      <c r="D1501" s="345" t="s">
        <v>95</v>
      </c>
      <c r="E1501" s="328">
        <v>0</v>
      </c>
      <c r="F1501" s="346" t="s">
        <v>95</v>
      </c>
      <c r="G1501" s="328">
        <v>0</v>
      </c>
      <c r="H1501" s="347">
        <f t="shared" si="19"/>
        <v>0</v>
      </c>
      <c r="I1501" s="331" t="s">
        <v>95</v>
      </c>
    </row>
    <row r="1502" spans="1:9" x14ac:dyDescent="0.25">
      <c r="A1502" s="319">
        <v>42990</v>
      </c>
      <c r="B1502" s="320" t="s">
        <v>29239</v>
      </c>
      <c r="C1502" s="321">
        <v>127261</v>
      </c>
      <c r="D1502" s="390" t="s">
        <v>15317</v>
      </c>
      <c r="E1502" s="322">
        <v>570</v>
      </c>
      <c r="F1502" s="323">
        <v>42992</v>
      </c>
      <c r="G1502" s="322">
        <v>570</v>
      </c>
      <c r="H1502" s="322">
        <f t="shared" si="19"/>
        <v>0</v>
      </c>
      <c r="I1502" s="325" t="s">
        <v>15214</v>
      </c>
    </row>
    <row r="1503" spans="1:9" x14ac:dyDescent="0.25">
      <c r="A1503" s="359">
        <v>42990</v>
      </c>
      <c r="B1503" s="326" t="s">
        <v>29240</v>
      </c>
      <c r="C1503" s="327">
        <v>127262</v>
      </c>
      <c r="D1503" s="391" t="s">
        <v>15415</v>
      </c>
      <c r="E1503" s="328">
        <v>519.6</v>
      </c>
      <c r="F1503" s="329">
        <v>42993</v>
      </c>
      <c r="G1503" s="328">
        <v>519.6</v>
      </c>
      <c r="H1503" s="347">
        <f t="shared" si="19"/>
        <v>0</v>
      </c>
      <c r="I1503" s="331" t="s">
        <v>15214</v>
      </c>
    </row>
    <row r="1504" spans="1:9" x14ac:dyDescent="0.25">
      <c r="A1504" s="319">
        <v>42990</v>
      </c>
      <c r="B1504" s="320" t="s">
        <v>29241</v>
      </c>
      <c r="C1504" s="321">
        <v>127263</v>
      </c>
      <c r="D1504" s="390" t="s">
        <v>15301</v>
      </c>
      <c r="E1504" s="322">
        <v>3200</v>
      </c>
      <c r="F1504" s="323">
        <v>42992</v>
      </c>
      <c r="G1504" s="322">
        <v>3200</v>
      </c>
      <c r="H1504" s="322">
        <f t="shared" si="19"/>
        <v>0</v>
      </c>
      <c r="I1504" s="325" t="s">
        <v>15214</v>
      </c>
    </row>
    <row r="1505" spans="1:9" x14ac:dyDescent="0.25">
      <c r="A1505" s="359">
        <v>42990</v>
      </c>
      <c r="B1505" s="326" t="s">
        <v>29242</v>
      </c>
      <c r="C1505" s="327">
        <v>127264</v>
      </c>
      <c r="D1505" s="391" t="s">
        <v>15309</v>
      </c>
      <c r="E1505" s="328">
        <v>7733.8</v>
      </c>
      <c r="F1505" s="329">
        <v>42992</v>
      </c>
      <c r="G1505" s="328">
        <v>7733.8</v>
      </c>
      <c r="H1505" s="347">
        <f t="shared" si="19"/>
        <v>0</v>
      </c>
      <c r="I1505" s="331" t="s">
        <v>15214</v>
      </c>
    </row>
    <row r="1506" spans="1:9" x14ac:dyDescent="0.25">
      <c r="A1506" s="319">
        <v>42990</v>
      </c>
      <c r="B1506" s="320" t="s">
        <v>29243</v>
      </c>
      <c r="C1506" s="321">
        <v>127265</v>
      </c>
      <c r="D1506" s="390" t="s">
        <v>19742</v>
      </c>
      <c r="E1506" s="322">
        <v>30863</v>
      </c>
      <c r="F1506" s="323">
        <v>42991</v>
      </c>
      <c r="G1506" s="322">
        <v>30863</v>
      </c>
      <c r="H1506" s="322">
        <f t="shared" si="19"/>
        <v>0</v>
      </c>
      <c r="I1506" s="325" t="s">
        <v>15214</v>
      </c>
    </row>
    <row r="1507" spans="1:9" x14ac:dyDescent="0.25">
      <c r="A1507" s="359">
        <v>42990</v>
      </c>
      <c r="B1507" s="326" t="s">
        <v>29244</v>
      </c>
      <c r="C1507" s="327">
        <v>127266</v>
      </c>
      <c r="D1507" s="391" t="s">
        <v>15226</v>
      </c>
      <c r="E1507" s="328">
        <v>2380</v>
      </c>
      <c r="F1507" s="329">
        <v>42996</v>
      </c>
      <c r="G1507" s="328">
        <v>2380</v>
      </c>
      <c r="H1507" s="347">
        <f t="shared" si="19"/>
        <v>0</v>
      </c>
      <c r="I1507" s="331" t="s">
        <v>15214</v>
      </c>
    </row>
    <row r="1508" spans="1:9" x14ac:dyDescent="0.25">
      <c r="A1508" s="319">
        <v>42990</v>
      </c>
      <c r="B1508" s="320" t="s">
        <v>29245</v>
      </c>
      <c r="C1508" s="321">
        <v>127267</v>
      </c>
      <c r="D1508" s="390" t="s">
        <v>15555</v>
      </c>
      <c r="E1508" s="322">
        <v>3716.95</v>
      </c>
      <c r="F1508" s="323">
        <v>42991</v>
      </c>
      <c r="G1508" s="322">
        <v>3716.95</v>
      </c>
      <c r="H1508" s="322">
        <f t="shared" si="19"/>
        <v>0</v>
      </c>
      <c r="I1508" s="325" t="s">
        <v>15214</v>
      </c>
    </row>
    <row r="1509" spans="1:9" x14ac:dyDescent="0.25">
      <c r="A1509" s="359">
        <v>42990</v>
      </c>
      <c r="B1509" s="326" t="s">
        <v>29246</v>
      </c>
      <c r="C1509" s="327">
        <v>127268</v>
      </c>
      <c r="D1509" s="391" t="s">
        <v>15699</v>
      </c>
      <c r="E1509" s="328">
        <v>3148.15</v>
      </c>
      <c r="F1509" s="329">
        <v>42991</v>
      </c>
      <c r="G1509" s="328">
        <v>3148.15</v>
      </c>
      <c r="H1509" s="347">
        <f t="shared" si="19"/>
        <v>0</v>
      </c>
      <c r="I1509" s="331" t="s">
        <v>15214</v>
      </c>
    </row>
    <row r="1510" spans="1:9" x14ac:dyDescent="0.25">
      <c r="A1510" s="319">
        <v>42990</v>
      </c>
      <c r="B1510" s="320" t="s">
        <v>29247</v>
      </c>
      <c r="C1510" s="321">
        <v>127269</v>
      </c>
      <c r="D1510" s="390" t="s">
        <v>15699</v>
      </c>
      <c r="E1510" s="322">
        <v>3361.45</v>
      </c>
      <c r="F1510" s="323">
        <v>42991</v>
      </c>
      <c r="G1510" s="322">
        <v>3361.45</v>
      </c>
      <c r="H1510" s="322">
        <f t="shared" si="19"/>
        <v>0</v>
      </c>
      <c r="I1510" s="325" t="s">
        <v>15214</v>
      </c>
    </row>
    <row r="1511" spans="1:9" ht="30" x14ac:dyDescent="0.25">
      <c r="A1511" s="359">
        <v>42990</v>
      </c>
      <c r="B1511" s="326" t="s">
        <v>29248</v>
      </c>
      <c r="C1511" s="327">
        <v>127270</v>
      </c>
      <c r="D1511" s="391" t="s">
        <v>15559</v>
      </c>
      <c r="E1511" s="328">
        <v>4430</v>
      </c>
      <c r="F1511" s="329" t="s">
        <v>29249</v>
      </c>
      <c r="G1511" s="402">
        <f>2000+2430</f>
        <v>4430</v>
      </c>
      <c r="H1511" s="401">
        <f t="shared" si="19"/>
        <v>0</v>
      </c>
      <c r="I1511" s="331" t="s">
        <v>15214</v>
      </c>
    </row>
    <row r="1512" spans="1:9" x14ac:dyDescent="0.25">
      <c r="A1512" s="319">
        <v>42990</v>
      </c>
      <c r="B1512" s="320" t="s">
        <v>29250</v>
      </c>
      <c r="C1512" s="321">
        <v>127271</v>
      </c>
      <c r="D1512" s="390" t="s">
        <v>15699</v>
      </c>
      <c r="E1512" s="322">
        <v>25493.3</v>
      </c>
      <c r="F1512" s="323">
        <v>42991</v>
      </c>
      <c r="G1512" s="322">
        <v>25493.3</v>
      </c>
      <c r="H1512" s="322">
        <f t="shared" si="19"/>
        <v>0</v>
      </c>
      <c r="I1512" s="325" t="s">
        <v>15214</v>
      </c>
    </row>
    <row r="1513" spans="1:9" x14ac:dyDescent="0.25">
      <c r="A1513" s="359">
        <v>42990</v>
      </c>
      <c r="B1513" s="326" t="s">
        <v>29251</v>
      </c>
      <c r="C1513" s="327">
        <v>127272</v>
      </c>
      <c r="D1513" s="391" t="s">
        <v>15423</v>
      </c>
      <c r="E1513" s="328">
        <v>4340.1000000000004</v>
      </c>
      <c r="F1513" s="329">
        <v>42990</v>
      </c>
      <c r="G1513" s="328">
        <v>4340.1000000000004</v>
      </c>
      <c r="H1513" s="347">
        <f t="shared" si="19"/>
        <v>0</v>
      </c>
      <c r="I1513" s="331" t="s">
        <v>15214</v>
      </c>
    </row>
    <row r="1514" spans="1:9" x14ac:dyDescent="0.25">
      <c r="A1514" s="319">
        <v>42990</v>
      </c>
      <c r="B1514" s="320" t="s">
        <v>29252</v>
      </c>
      <c r="C1514" s="321">
        <v>127273</v>
      </c>
      <c r="D1514" s="390" t="s">
        <v>15442</v>
      </c>
      <c r="E1514" s="322">
        <v>28133.9</v>
      </c>
      <c r="F1514" s="323">
        <v>42999</v>
      </c>
      <c r="G1514" s="322">
        <v>28133.9</v>
      </c>
      <c r="H1514" s="322">
        <f t="shared" si="19"/>
        <v>0</v>
      </c>
      <c r="I1514" s="325" t="s">
        <v>15214</v>
      </c>
    </row>
    <row r="1515" spans="1:9" x14ac:dyDescent="0.25">
      <c r="A1515" s="359">
        <v>42990</v>
      </c>
      <c r="B1515" s="326" t="s">
        <v>29253</v>
      </c>
      <c r="C1515" s="327">
        <v>127274</v>
      </c>
      <c r="D1515" s="391" t="s">
        <v>16383</v>
      </c>
      <c r="E1515" s="328">
        <v>10366.4</v>
      </c>
      <c r="F1515" s="329">
        <v>42991</v>
      </c>
      <c r="G1515" s="328">
        <v>10366.4</v>
      </c>
      <c r="H1515" s="347">
        <f t="shared" si="19"/>
        <v>0</v>
      </c>
      <c r="I1515" s="331" t="s">
        <v>15214</v>
      </c>
    </row>
    <row r="1516" spans="1:9" x14ac:dyDescent="0.25">
      <c r="A1516" s="319">
        <v>42990</v>
      </c>
      <c r="B1516" s="320" t="s">
        <v>29254</v>
      </c>
      <c r="C1516" s="321">
        <v>127275</v>
      </c>
      <c r="D1516" s="390" t="s">
        <v>15856</v>
      </c>
      <c r="E1516" s="322">
        <v>770</v>
      </c>
      <c r="F1516" s="323">
        <v>42991</v>
      </c>
      <c r="G1516" s="322">
        <v>770</v>
      </c>
      <c r="H1516" s="322">
        <f t="shared" si="19"/>
        <v>0</v>
      </c>
      <c r="I1516" s="325" t="s">
        <v>15214</v>
      </c>
    </row>
    <row r="1517" spans="1:9" x14ac:dyDescent="0.25">
      <c r="A1517" s="359">
        <v>42990</v>
      </c>
      <c r="B1517" s="326" t="s">
        <v>29255</v>
      </c>
      <c r="C1517" s="327">
        <v>127276</v>
      </c>
      <c r="D1517" s="391" t="s">
        <v>15391</v>
      </c>
      <c r="E1517" s="328">
        <v>7474</v>
      </c>
      <c r="F1517" s="329">
        <v>42991</v>
      </c>
      <c r="G1517" s="328">
        <v>7474</v>
      </c>
      <c r="H1517" s="347">
        <f t="shared" si="19"/>
        <v>0</v>
      </c>
      <c r="I1517" s="331" t="s">
        <v>15214</v>
      </c>
    </row>
    <row r="1518" spans="1:9" ht="15.75" x14ac:dyDescent="0.25">
      <c r="A1518" s="319">
        <v>42990</v>
      </c>
      <c r="B1518" s="320" t="s">
        <v>29256</v>
      </c>
      <c r="C1518" s="321">
        <v>127277</v>
      </c>
      <c r="D1518" s="332" t="s">
        <v>95</v>
      </c>
      <c r="E1518" s="322">
        <v>0</v>
      </c>
      <c r="F1518" s="333" t="s">
        <v>95</v>
      </c>
      <c r="G1518" s="322">
        <v>0</v>
      </c>
      <c r="H1518" s="322">
        <f t="shared" si="19"/>
        <v>0</v>
      </c>
      <c r="I1518" s="325" t="s">
        <v>95</v>
      </c>
    </row>
    <row r="1519" spans="1:9" ht="15.75" x14ac:dyDescent="0.25">
      <c r="A1519" s="359">
        <v>42990</v>
      </c>
      <c r="B1519" s="326" t="s">
        <v>29257</v>
      </c>
      <c r="C1519" s="327">
        <v>127278</v>
      </c>
      <c r="D1519" s="345" t="s">
        <v>95</v>
      </c>
      <c r="E1519" s="328">
        <v>0</v>
      </c>
      <c r="F1519" s="346" t="s">
        <v>95</v>
      </c>
      <c r="G1519" s="328">
        <v>0</v>
      </c>
      <c r="H1519" s="347">
        <f t="shared" si="19"/>
        <v>0</v>
      </c>
      <c r="I1519" s="331" t="s">
        <v>95</v>
      </c>
    </row>
    <row r="1520" spans="1:9" x14ac:dyDescent="0.25">
      <c r="A1520" s="319">
        <v>42990</v>
      </c>
      <c r="B1520" s="320" t="s">
        <v>29258</v>
      </c>
      <c r="C1520" s="321">
        <v>127279</v>
      </c>
      <c r="D1520" s="390" t="s">
        <v>15628</v>
      </c>
      <c r="E1520" s="322">
        <v>6184.4</v>
      </c>
      <c r="F1520" s="323">
        <v>42990</v>
      </c>
      <c r="G1520" s="322">
        <v>6184.4</v>
      </c>
      <c r="H1520" s="322">
        <f t="shared" si="19"/>
        <v>0</v>
      </c>
      <c r="I1520" s="325" t="s">
        <v>15214</v>
      </c>
    </row>
    <row r="1521" spans="1:9" x14ac:dyDescent="0.25">
      <c r="A1521" s="359">
        <v>42990</v>
      </c>
      <c r="B1521" s="326" t="s">
        <v>29259</v>
      </c>
      <c r="C1521" s="327">
        <v>127280</v>
      </c>
      <c r="D1521" s="391" t="s">
        <v>17708</v>
      </c>
      <c r="E1521" s="328">
        <v>3856.52</v>
      </c>
      <c r="F1521" s="329">
        <v>42991</v>
      </c>
      <c r="G1521" s="328">
        <v>3856.52</v>
      </c>
      <c r="H1521" s="347">
        <f t="shared" ref="H1521:H1584" si="20">E1521-G1521</f>
        <v>0</v>
      </c>
      <c r="I1521" s="331" t="s">
        <v>15214</v>
      </c>
    </row>
    <row r="1522" spans="1:9" x14ac:dyDescent="0.25">
      <c r="A1522" s="319">
        <v>42990</v>
      </c>
      <c r="B1522" s="320" t="s">
        <v>29260</v>
      </c>
      <c r="C1522" s="321">
        <v>127281</v>
      </c>
      <c r="D1522" s="390" t="s">
        <v>16732</v>
      </c>
      <c r="E1522" s="322">
        <v>33809.65</v>
      </c>
      <c r="F1522" s="323">
        <v>42991</v>
      </c>
      <c r="G1522" s="322">
        <v>33809.65</v>
      </c>
      <c r="H1522" s="322">
        <f t="shared" si="20"/>
        <v>0</v>
      </c>
      <c r="I1522" s="325" t="s">
        <v>15214</v>
      </c>
    </row>
    <row r="1523" spans="1:9" x14ac:dyDescent="0.25">
      <c r="A1523" s="359">
        <v>42990</v>
      </c>
      <c r="B1523" s="326" t="s">
        <v>29261</v>
      </c>
      <c r="C1523" s="327">
        <v>127282</v>
      </c>
      <c r="D1523" s="391" t="s">
        <v>15438</v>
      </c>
      <c r="E1523" s="328">
        <v>325.60000000000002</v>
      </c>
      <c r="F1523" s="329">
        <v>42990</v>
      </c>
      <c r="G1523" s="328">
        <v>325.60000000000002</v>
      </c>
      <c r="H1523" s="347">
        <f t="shared" si="20"/>
        <v>0</v>
      </c>
      <c r="I1523" s="331" t="s">
        <v>15214</v>
      </c>
    </row>
    <row r="1524" spans="1:9" ht="15.75" x14ac:dyDescent="0.25">
      <c r="A1524" s="319">
        <v>42990</v>
      </c>
      <c r="B1524" s="320" t="s">
        <v>29262</v>
      </c>
      <c r="C1524" s="321">
        <v>127283</v>
      </c>
      <c r="D1524" s="332" t="s">
        <v>95</v>
      </c>
      <c r="E1524" s="322">
        <v>0</v>
      </c>
      <c r="F1524" s="333" t="s">
        <v>95</v>
      </c>
      <c r="G1524" s="322">
        <v>0</v>
      </c>
      <c r="H1524" s="322">
        <f t="shared" si="20"/>
        <v>0</v>
      </c>
      <c r="I1524" s="325" t="s">
        <v>95</v>
      </c>
    </row>
    <row r="1525" spans="1:9" x14ac:dyDescent="0.25">
      <c r="A1525" s="359">
        <v>42990</v>
      </c>
      <c r="B1525" s="326" t="s">
        <v>29263</v>
      </c>
      <c r="C1525" s="327">
        <v>127284</v>
      </c>
      <c r="D1525" s="391" t="s">
        <v>16313</v>
      </c>
      <c r="E1525" s="328">
        <v>370.8</v>
      </c>
      <c r="F1525" s="329">
        <v>42991</v>
      </c>
      <c r="G1525" s="328">
        <v>370.8</v>
      </c>
      <c r="H1525" s="347">
        <f t="shared" si="20"/>
        <v>0</v>
      </c>
      <c r="I1525" s="331" t="s">
        <v>15214</v>
      </c>
    </row>
    <row r="1526" spans="1:9" x14ac:dyDescent="0.25">
      <c r="A1526" s="319">
        <v>42990</v>
      </c>
      <c r="B1526" s="320" t="s">
        <v>29264</v>
      </c>
      <c r="C1526" s="321">
        <v>127285</v>
      </c>
      <c r="D1526" s="390" t="s">
        <v>15433</v>
      </c>
      <c r="E1526" s="322">
        <v>984.2</v>
      </c>
      <c r="F1526" s="323">
        <v>42990</v>
      </c>
      <c r="G1526" s="322">
        <v>984.2</v>
      </c>
      <c r="H1526" s="322">
        <f t="shared" si="20"/>
        <v>0</v>
      </c>
      <c r="I1526" s="325" t="s">
        <v>15214</v>
      </c>
    </row>
    <row r="1527" spans="1:9" x14ac:dyDescent="0.25">
      <c r="A1527" s="359">
        <v>42990</v>
      </c>
      <c r="B1527" s="326" t="s">
        <v>29265</v>
      </c>
      <c r="C1527" s="327">
        <v>127286</v>
      </c>
      <c r="D1527" s="391" t="s">
        <v>15668</v>
      </c>
      <c r="E1527" s="328">
        <v>576</v>
      </c>
      <c r="F1527" s="329">
        <v>42991</v>
      </c>
      <c r="G1527" s="328">
        <v>576</v>
      </c>
      <c r="H1527" s="347">
        <f t="shared" si="20"/>
        <v>0</v>
      </c>
      <c r="I1527" s="331" t="s">
        <v>15214</v>
      </c>
    </row>
    <row r="1528" spans="1:9" ht="30" x14ac:dyDescent="0.25">
      <c r="A1528" s="319">
        <v>42990</v>
      </c>
      <c r="B1528" s="320" t="s">
        <v>29266</v>
      </c>
      <c r="C1528" s="321">
        <v>127287</v>
      </c>
      <c r="D1528" s="390" t="s">
        <v>15267</v>
      </c>
      <c r="E1528" s="322">
        <v>67272.58</v>
      </c>
      <c r="F1528" s="323" t="s">
        <v>29267</v>
      </c>
      <c r="G1528" s="334">
        <f>39300+27972.58</f>
        <v>67272.58</v>
      </c>
      <c r="H1528" s="334">
        <f t="shared" si="20"/>
        <v>0</v>
      </c>
      <c r="I1528" s="325" t="s">
        <v>15214</v>
      </c>
    </row>
    <row r="1529" spans="1:9" x14ac:dyDescent="0.25">
      <c r="A1529" s="359">
        <v>42990</v>
      </c>
      <c r="B1529" s="326" t="s">
        <v>29268</v>
      </c>
      <c r="C1529" s="327">
        <v>127288</v>
      </c>
      <c r="D1529" s="391" t="s">
        <v>15655</v>
      </c>
      <c r="E1529" s="328">
        <v>2895.55</v>
      </c>
      <c r="F1529" s="329">
        <v>42990</v>
      </c>
      <c r="G1529" s="328">
        <v>2895.55</v>
      </c>
      <c r="H1529" s="347">
        <f t="shared" si="20"/>
        <v>0</v>
      </c>
      <c r="I1529" s="331" t="s">
        <v>15214</v>
      </c>
    </row>
    <row r="1530" spans="1:9" x14ac:dyDescent="0.25">
      <c r="A1530" s="319">
        <v>42990</v>
      </c>
      <c r="B1530" s="320" t="s">
        <v>29269</v>
      </c>
      <c r="C1530" s="321">
        <v>127289</v>
      </c>
      <c r="D1530" s="390" t="s">
        <v>15642</v>
      </c>
      <c r="E1530" s="322">
        <v>3964.8</v>
      </c>
      <c r="F1530" s="323">
        <v>42990</v>
      </c>
      <c r="G1530" s="322">
        <v>3964.8</v>
      </c>
      <c r="H1530" s="322">
        <f t="shared" si="20"/>
        <v>0</v>
      </c>
      <c r="I1530" s="325" t="s">
        <v>15214</v>
      </c>
    </row>
    <row r="1531" spans="1:9" x14ac:dyDescent="0.25">
      <c r="A1531" s="359">
        <v>42990</v>
      </c>
      <c r="B1531" s="326" t="s">
        <v>29270</v>
      </c>
      <c r="C1531" s="327">
        <v>127290</v>
      </c>
      <c r="D1531" s="391" t="s">
        <v>19765</v>
      </c>
      <c r="E1531" s="328">
        <v>3500</v>
      </c>
      <c r="F1531" s="329">
        <v>43003</v>
      </c>
      <c r="G1531" s="328">
        <v>3500</v>
      </c>
      <c r="H1531" s="347">
        <f t="shared" si="20"/>
        <v>0</v>
      </c>
      <c r="I1531" s="331" t="s">
        <v>15214</v>
      </c>
    </row>
    <row r="1532" spans="1:9" ht="30" x14ac:dyDescent="0.25">
      <c r="A1532" s="319">
        <v>42990</v>
      </c>
      <c r="B1532" s="320" t="s">
        <v>29271</v>
      </c>
      <c r="C1532" s="321">
        <v>127291</v>
      </c>
      <c r="D1532" s="390" t="s">
        <v>15246</v>
      </c>
      <c r="E1532" s="322">
        <v>441619</v>
      </c>
      <c r="F1532" s="323" t="s">
        <v>29272</v>
      </c>
      <c r="G1532" s="334">
        <f>304761.13+136857.87</f>
        <v>441619</v>
      </c>
      <c r="H1532" s="334">
        <f t="shared" si="20"/>
        <v>0</v>
      </c>
      <c r="I1532" s="325" t="s">
        <v>15214</v>
      </c>
    </row>
    <row r="1533" spans="1:9" x14ac:dyDescent="0.25">
      <c r="A1533" s="359">
        <v>42990</v>
      </c>
      <c r="B1533" s="326" t="s">
        <v>29273</v>
      </c>
      <c r="C1533" s="327">
        <v>127292</v>
      </c>
      <c r="D1533" s="391" t="s">
        <v>15246</v>
      </c>
      <c r="E1533" s="328">
        <v>900</v>
      </c>
      <c r="F1533" s="329">
        <v>42997</v>
      </c>
      <c r="G1533" s="328">
        <v>900</v>
      </c>
      <c r="H1533" s="347">
        <f t="shared" si="20"/>
        <v>0</v>
      </c>
      <c r="I1533" s="331" t="s">
        <v>15214</v>
      </c>
    </row>
    <row r="1534" spans="1:9" x14ac:dyDescent="0.25">
      <c r="A1534" s="319">
        <v>42990</v>
      </c>
      <c r="B1534" s="320" t="s">
        <v>29274</v>
      </c>
      <c r="C1534" s="321">
        <v>127293</v>
      </c>
      <c r="D1534" s="390" t="s">
        <v>15435</v>
      </c>
      <c r="E1534" s="322">
        <v>8028</v>
      </c>
      <c r="F1534" s="323">
        <v>42990</v>
      </c>
      <c r="G1534" s="322">
        <v>8028</v>
      </c>
      <c r="H1534" s="322">
        <f t="shared" si="20"/>
        <v>0</v>
      </c>
      <c r="I1534" s="325" t="s">
        <v>15214</v>
      </c>
    </row>
    <row r="1535" spans="1:9" ht="15.75" x14ac:dyDescent="0.25">
      <c r="A1535" s="359">
        <v>42990</v>
      </c>
      <c r="B1535" s="326" t="s">
        <v>29275</v>
      </c>
      <c r="C1535" s="327">
        <v>127294</v>
      </c>
      <c r="D1535" s="345" t="s">
        <v>95</v>
      </c>
      <c r="E1535" s="328">
        <v>0</v>
      </c>
      <c r="F1535" s="346" t="s">
        <v>95</v>
      </c>
      <c r="G1535" s="328">
        <v>0</v>
      </c>
      <c r="H1535" s="347">
        <f t="shared" si="20"/>
        <v>0</v>
      </c>
      <c r="I1535" s="331" t="s">
        <v>95</v>
      </c>
    </row>
    <row r="1536" spans="1:9" x14ac:dyDescent="0.25">
      <c r="A1536" s="319">
        <v>42990</v>
      </c>
      <c r="B1536" s="320" t="s">
        <v>29276</v>
      </c>
      <c r="C1536" s="321">
        <v>127295</v>
      </c>
      <c r="D1536" s="390" t="s">
        <v>15246</v>
      </c>
      <c r="E1536" s="322">
        <v>4200</v>
      </c>
      <c r="F1536" s="323">
        <v>42997</v>
      </c>
      <c r="G1536" s="322">
        <v>4200</v>
      </c>
      <c r="H1536" s="322">
        <f t="shared" si="20"/>
        <v>0</v>
      </c>
      <c r="I1536" s="325" t="s">
        <v>15214</v>
      </c>
    </row>
    <row r="1537" spans="1:9" x14ac:dyDescent="0.25">
      <c r="A1537" s="359">
        <v>42990</v>
      </c>
      <c r="B1537" s="326" t="s">
        <v>29277</v>
      </c>
      <c r="C1537" s="327">
        <v>127296</v>
      </c>
      <c r="D1537" s="391" t="s">
        <v>15267</v>
      </c>
      <c r="E1537" s="328">
        <v>15657.9</v>
      </c>
      <c r="F1537" s="329">
        <v>42991</v>
      </c>
      <c r="G1537" s="328">
        <v>15657.9</v>
      </c>
      <c r="H1537" s="347">
        <f t="shared" si="20"/>
        <v>0</v>
      </c>
      <c r="I1537" s="331" t="s">
        <v>15214</v>
      </c>
    </row>
    <row r="1538" spans="1:9" x14ac:dyDescent="0.25">
      <c r="A1538" s="319">
        <v>42991</v>
      </c>
      <c r="B1538" s="320" t="s">
        <v>29278</v>
      </c>
      <c r="C1538" s="321">
        <v>127297</v>
      </c>
      <c r="D1538" s="390" t="s">
        <v>21386</v>
      </c>
      <c r="E1538" s="322">
        <v>9989.5499999999993</v>
      </c>
      <c r="F1538" s="323">
        <v>42991</v>
      </c>
      <c r="G1538" s="322">
        <v>9989.5499999999993</v>
      </c>
      <c r="H1538" s="322">
        <f t="shared" si="20"/>
        <v>0</v>
      </c>
      <c r="I1538" s="325" t="s">
        <v>15214</v>
      </c>
    </row>
    <row r="1539" spans="1:9" ht="15.75" x14ac:dyDescent="0.25">
      <c r="A1539" s="359">
        <v>42991</v>
      </c>
      <c r="B1539" s="326" t="s">
        <v>29279</v>
      </c>
      <c r="C1539" s="327">
        <v>127298</v>
      </c>
      <c r="D1539" s="345" t="s">
        <v>95</v>
      </c>
      <c r="E1539" s="328">
        <v>0</v>
      </c>
      <c r="F1539" s="346" t="s">
        <v>95</v>
      </c>
      <c r="G1539" s="328">
        <v>0</v>
      </c>
      <c r="H1539" s="347">
        <f t="shared" si="20"/>
        <v>0</v>
      </c>
      <c r="I1539" s="331" t="s">
        <v>95</v>
      </c>
    </row>
    <row r="1540" spans="1:9" x14ac:dyDescent="0.25">
      <c r="A1540" s="319">
        <v>42991</v>
      </c>
      <c r="B1540" s="320" t="s">
        <v>29280</v>
      </c>
      <c r="C1540" s="321">
        <v>127299</v>
      </c>
      <c r="D1540" s="390" t="s">
        <v>15330</v>
      </c>
      <c r="E1540" s="322">
        <v>3447.5</v>
      </c>
      <c r="F1540" s="323">
        <v>42991</v>
      </c>
      <c r="G1540" s="322">
        <v>3447.5</v>
      </c>
      <c r="H1540" s="322">
        <f t="shared" si="20"/>
        <v>0</v>
      </c>
      <c r="I1540" s="325" t="s">
        <v>15214</v>
      </c>
    </row>
    <row r="1541" spans="1:9" x14ac:dyDescent="0.25">
      <c r="A1541" s="359">
        <v>42991</v>
      </c>
      <c r="B1541" s="326" t="s">
        <v>29281</v>
      </c>
      <c r="C1541" s="327">
        <v>127300</v>
      </c>
      <c r="D1541" s="391" t="s">
        <v>15213</v>
      </c>
      <c r="E1541" s="328">
        <v>58084.75</v>
      </c>
      <c r="F1541" s="329">
        <v>42993</v>
      </c>
      <c r="G1541" s="328">
        <v>58084.75</v>
      </c>
      <c r="H1541" s="347">
        <f t="shared" si="20"/>
        <v>0</v>
      </c>
      <c r="I1541" s="331" t="s">
        <v>15214</v>
      </c>
    </row>
    <row r="1542" spans="1:9" x14ac:dyDescent="0.25">
      <c r="A1542" s="319">
        <v>42991</v>
      </c>
      <c r="B1542" s="320" t="s">
        <v>29282</v>
      </c>
      <c r="C1542" s="321">
        <v>127301</v>
      </c>
      <c r="D1542" s="390" t="s">
        <v>15577</v>
      </c>
      <c r="E1542" s="322">
        <v>1476</v>
      </c>
      <c r="F1542" s="323">
        <v>42991</v>
      </c>
      <c r="G1542" s="322">
        <v>1476</v>
      </c>
      <c r="H1542" s="322">
        <f t="shared" si="20"/>
        <v>0</v>
      </c>
      <c r="I1542" s="325" t="s">
        <v>15214</v>
      </c>
    </row>
    <row r="1543" spans="1:9" ht="30" x14ac:dyDescent="0.25">
      <c r="A1543" s="359">
        <v>42991</v>
      </c>
      <c r="B1543" s="326" t="s">
        <v>29283</v>
      </c>
      <c r="C1543" s="327">
        <v>127302</v>
      </c>
      <c r="D1543" s="391" t="s">
        <v>15230</v>
      </c>
      <c r="E1543" s="328">
        <v>12927.6</v>
      </c>
      <c r="F1543" s="329" t="s">
        <v>29284</v>
      </c>
      <c r="G1543" s="347">
        <f>10000+2927.6</f>
        <v>12927.6</v>
      </c>
      <c r="H1543" s="347">
        <f t="shared" si="20"/>
        <v>0</v>
      </c>
      <c r="I1543" s="331" t="s">
        <v>15214</v>
      </c>
    </row>
    <row r="1544" spans="1:9" x14ac:dyDescent="0.25">
      <c r="A1544" s="319">
        <v>42991</v>
      </c>
      <c r="B1544" s="320" t="s">
        <v>29285</v>
      </c>
      <c r="C1544" s="321">
        <v>127303</v>
      </c>
      <c r="D1544" s="390" t="s">
        <v>15242</v>
      </c>
      <c r="E1544" s="322">
        <v>5376.8</v>
      </c>
      <c r="F1544" s="323">
        <v>42991</v>
      </c>
      <c r="G1544" s="322">
        <v>5376.8</v>
      </c>
      <c r="H1544" s="322">
        <f t="shared" si="20"/>
        <v>0</v>
      </c>
      <c r="I1544" s="325" t="s">
        <v>15214</v>
      </c>
    </row>
    <row r="1545" spans="1:9" x14ac:dyDescent="0.25">
      <c r="A1545" s="359">
        <v>42991</v>
      </c>
      <c r="B1545" s="326" t="s">
        <v>29286</v>
      </c>
      <c r="C1545" s="327">
        <v>127304</v>
      </c>
      <c r="D1545" s="391" t="s">
        <v>15272</v>
      </c>
      <c r="E1545" s="328">
        <v>23703.9</v>
      </c>
      <c r="F1545" s="329">
        <v>42991</v>
      </c>
      <c r="G1545" s="328">
        <v>23703.9</v>
      </c>
      <c r="H1545" s="347">
        <f t="shared" si="20"/>
        <v>0</v>
      </c>
      <c r="I1545" s="331" t="s">
        <v>15214</v>
      </c>
    </row>
    <row r="1546" spans="1:9" x14ac:dyDescent="0.25">
      <c r="A1546" s="319">
        <v>42991</v>
      </c>
      <c r="B1546" s="320" t="s">
        <v>29287</v>
      </c>
      <c r="C1546" s="321">
        <v>127305</v>
      </c>
      <c r="D1546" s="390" t="s">
        <v>15226</v>
      </c>
      <c r="E1546" s="322">
        <v>3039.9</v>
      </c>
      <c r="F1546" s="323">
        <v>42996</v>
      </c>
      <c r="G1546" s="322">
        <v>3039.9</v>
      </c>
      <c r="H1546" s="322">
        <f t="shared" si="20"/>
        <v>0</v>
      </c>
      <c r="I1546" s="325" t="s">
        <v>15214</v>
      </c>
    </row>
    <row r="1547" spans="1:9" x14ac:dyDescent="0.25">
      <c r="A1547" s="359">
        <v>42991</v>
      </c>
      <c r="B1547" s="326" t="s">
        <v>29288</v>
      </c>
      <c r="C1547" s="327">
        <v>127306</v>
      </c>
      <c r="D1547" s="391" t="s">
        <v>15681</v>
      </c>
      <c r="E1547" s="328">
        <v>2400</v>
      </c>
      <c r="F1547" s="329">
        <v>42991</v>
      </c>
      <c r="G1547" s="328">
        <v>2400</v>
      </c>
      <c r="H1547" s="347">
        <f t="shared" si="20"/>
        <v>0</v>
      </c>
      <c r="I1547" s="331" t="s">
        <v>15214</v>
      </c>
    </row>
    <row r="1548" spans="1:9" ht="30" x14ac:dyDescent="0.25">
      <c r="A1548" s="319">
        <v>42991</v>
      </c>
      <c r="B1548" s="320" t="s">
        <v>29289</v>
      </c>
      <c r="C1548" s="321">
        <v>127307</v>
      </c>
      <c r="D1548" s="390" t="s">
        <v>19780</v>
      </c>
      <c r="E1548" s="322">
        <v>15049.5</v>
      </c>
      <c r="F1548" s="323" t="s">
        <v>29160</v>
      </c>
      <c r="G1548" s="334">
        <f>2500+12549.5</f>
        <v>15049.5</v>
      </c>
      <c r="H1548" s="334">
        <f t="shared" si="20"/>
        <v>0</v>
      </c>
      <c r="I1548" s="325" t="s">
        <v>15214</v>
      </c>
    </row>
    <row r="1549" spans="1:9" ht="30" x14ac:dyDescent="0.25">
      <c r="A1549" s="359">
        <v>42991</v>
      </c>
      <c r="B1549" s="326" t="s">
        <v>29290</v>
      </c>
      <c r="C1549" s="327">
        <v>127308</v>
      </c>
      <c r="D1549" s="391" t="s">
        <v>15258</v>
      </c>
      <c r="E1549" s="328">
        <v>11470.8</v>
      </c>
      <c r="F1549" s="329" t="s">
        <v>29291</v>
      </c>
      <c r="G1549" s="403">
        <f>5000+6470.8</f>
        <v>11470.8</v>
      </c>
      <c r="H1549" s="403">
        <f t="shared" si="20"/>
        <v>0</v>
      </c>
      <c r="I1549" s="331" t="s">
        <v>15214</v>
      </c>
    </row>
    <row r="1550" spans="1:9" x14ac:dyDescent="0.25">
      <c r="A1550" s="319">
        <v>42991</v>
      </c>
      <c r="B1550" s="320" t="s">
        <v>29292</v>
      </c>
      <c r="C1550" s="321">
        <v>127309</v>
      </c>
      <c r="D1550" s="390" t="s">
        <v>15480</v>
      </c>
      <c r="E1550" s="322">
        <v>3436.5</v>
      </c>
      <c r="F1550" s="323">
        <v>42992</v>
      </c>
      <c r="G1550" s="322">
        <v>3436.5</v>
      </c>
      <c r="H1550" s="322">
        <f t="shared" si="20"/>
        <v>0</v>
      </c>
      <c r="I1550" s="325" t="s">
        <v>15214</v>
      </c>
    </row>
    <row r="1551" spans="1:9" x14ac:dyDescent="0.25">
      <c r="A1551" s="359">
        <v>42991</v>
      </c>
      <c r="B1551" s="326" t="s">
        <v>29293</v>
      </c>
      <c r="C1551" s="327">
        <v>127310</v>
      </c>
      <c r="D1551" s="391" t="s">
        <v>15475</v>
      </c>
      <c r="E1551" s="328">
        <v>3349.6</v>
      </c>
      <c r="F1551" s="329">
        <v>42993</v>
      </c>
      <c r="G1551" s="328">
        <v>3349.6</v>
      </c>
      <c r="H1551" s="347">
        <f t="shared" si="20"/>
        <v>0</v>
      </c>
      <c r="I1551" s="331" t="s">
        <v>15214</v>
      </c>
    </row>
    <row r="1552" spans="1:9" x14ac:dyDescent="0.25">
      <c r="A1552" s="319">
        <v>42991</v>
      </c>
      <c r="B1552" s="320" t="s">
        <v>29294</v>
      </c>
      <c r="C1552" s="321">
        <v>127311</v>
      </c>
      <c r="D1552" s="390" t="s">
        <v>15234</v>
      </c>
      <c r="E1552" s="322">
        <v>3223.2</v>
      </c>
      <c r="F1552" s="323">
        <v>42993</v>
      </c>
      <c r="G1552" s="322">
        <v>3223.2</v>
      </c>
      <c r="H1552" s="322">
        <f t="shared" si="20"/>
        <v>0</v>
      </c>
      <c r="I1552" s="325" t="s">
        <v>15214</v>
      </c>
    </row>
    <row r="1553" spans="1:9" x14ac:dyDescent="0.25">
      <c r="A1553" s="359">
        <v>42991</v>
      </c>
      <c r="B1553" s="326" t="s">
        <v>29295</v>
      </c>
      <c r="C1553" s="327">
        <v>127312</v>
      </c>
      <c r="D1553" s="391" t="s">
        <v>15248</v>
      </c>
      <c r="E1553" s="328">
        <v>14513.7</v>
      </c>
      <c r="F1553" s="329">
        <v>42991</v>
      </c>
      <c r="G1553" s="328">
        <v>14513.7</v>
      </c>
      <c r="H1553" s="347">
        <f t="shared" si="20"/>
        <v>0</v>
      </c>
      <c r="I1553" s="331" t="s">
        <v>15214</v>
      </c>
    </row>
    <row r="1554" spans="1:9" x14ac:dyDescent="0.25">
      <c r="A1554" s="319">
        <v>42991</v>
      </c>
      <c r="B1554" s="320" t="s">
        <v>29296</v>
      </c>
      <c r="C1554" s="321">
        <v>127313</v>
      </c>
      <c r="D1554" s="390" t="s">
        <v>15223</v>
      </c>
      <c r="E1554" s="322">
        <v>62262</v>
      </c>
      <c r="F1554" s="323">
        <v>43019</v>
      </c>
      <c r="G1554" s="322">
        <v>62262</v>
      </c>
      <c r="H1554" s="322">
        <f t="shared" si="20"/>
        <v>0</v>
      </c>
      <c r="I1554" s="325" t="s">
        <v>15214</v>
      </c>
    </row>
    <row r="1555" spans="1:9" x14ac:dyDescent="0.25">
      <c r="A1555" s="359">
        <v>42991</v>
      </c>
      <c r="B1555" s="326" t="s">
        <v>29297</v>
      </c>
      <c r="C1555" s="327">
        <v>127314</v>
      </c>
      <c r="D1555" s="391" t="s">
        <v>15236</v>
      </c>
      <c r="E1555" s="328">
        <v>3246.9</v>
      </c>
      <c r="F1555" s="329">
        <v>42993</v>
      </c>
      <c r="G1555" s="328">
        <v>3246.9</v>
      </c>
      <c r="H1555" s="347">
        <f t="shared" si="20"/>
        <v>0</v>
      </c>
      <c r="I1555" s="331" t="s">
        <v>15214</v>
      </c>
    </row>
    <row r="1556" spans="1:9" x14ac:dyDescent="0.25">
      <c r="A1556" s="319">
        <v>42991</v>
      </c>
      <c r="B1556" s="320" t="s">
        <v>29298</v>
      </c>
      <c r="C1556" s="321">
        <v>127315</v>
      </c>
      <c r="D1556" s="390" t="s">
        <v>17462</v>
      </c>
      <c r="E1556" s="322">
        <v>6202.28</v>
      </c>
      <c r="F1556" s="323">
        <v>42991</v>
      </c>
      <c r="G1556" s="322">
        <v>6202.28</v>
      </c>
      <c r="H1556" s="322">
        <f t="shared" si="20"/>
        <v>0</v>
      </c>
      <c r="I1556" s="325" t="s">
        <v>15214</v>
      </c>
    </row>
    <row r="1557" spans="1:9" x14ac:dyDescent="0.25">
      <c r="A1557" s="359">
        <v>42991</v>
      </c>
      <c r="B1557" s="326" t="s">
        <v>29299</v>
      </c>
      <c r="C1557" s="327">
        <v>127316</v>
      </c>
      <c r="D1557" s="391" t="s">
        <v>15668</v>
      </c>
      <c r="E1557" s="328">
        <v>6225.2</v>
      </c>
      <c r="F1557" s="329">
        <v>42993</v>
      </c>
      <c r="G1557" s="328">
        <v>6225.2</v>
      </c>
      <c r="H1557" s="347">
        <f t="shared" si="20"/>
        <v>0</v>
      </c>
      <c r="I1557" s="331" t="s">
        <v>15214</v>
      </c>
    </row>
    <row r="1558" spans="1:9" x14ac:dyDescent="0.25">
      <c r="A1558" s="319">
        <v>42991</v>
      </c>
      <c r="B1558" s="320" t="s">
        <v>29300</v>
      </c>
      <c r="C1558" s="321">
        <v>127317</v>
      </c>
      <c r="D1558" s="390" t="s">
        <v>15263</v>
      </c>
      <c r="E1558" s="322">
        <v>1962.9</v>
      </c>
      <c r="F1558" s="323">
        <v>42991</v>
      </c>
      <c r="G1558" s="322">
        <v>1962.9</v>
      </c>
      <c r="H1558" s="322">
        <f t="shared" si="20"/>
        <v>0</v>
      </c>
      <c r="I1558" s="325" t="s">
        <v>15214</v>
      </c>
    </row>
    <row r="1559" spans="1:9" x14ac:dyDescent="0.25">
      <c r="A1559" s="359">
        <v>42991</v>
      </c>
      <c r="B1559" s="326" t="s">
        <v>29301</v>
      </c>
      <c r="C1559" s="327">
        <v>127318</v>
      </c>
      <c r="D1559" s="391" t="s">
        <v>15338</v>
      </c>
      <c r="E1559" s="328">
        <v>11245.2</v>
      </c>
      <c r="F1559" s="329">
        <v>42993</v>
      </c>
      <c r="G1559" s="328">
        <v>11245.2</v>
      </c>
      <c r="H1559" s="347">
        <f t="shared" si="20"/>
        <v>0</v>
      </c>
      <c r="I1559" s="331" t="s">
        <v>15214</v>
      </c>
    </row>
    <row r="1560" spans="1:9" x14ac:dyDescent="0.25">
      <c r="A1560" s="319">
        <v>42991</v>
      </c>
      <c r="B1560" s="320" t="s">
        <v>29302</v>
      </c>
      <c r="C1560" s="321">
        <v>127319</v>
      </c>
      <c r="D1560" s="390" t="s">
        <v>15263</v>
      </c>
      <c r="E1560" s="322">
        <v>283.8</v>
      </c>
      <c r="F1560" s="323">
        <v>42991</v>
      </c>
      <c r="G1560" s="322">
        <v>283.8</v>
      </c>
      <c r="H1560" s="322">
        <f t="shared" si="20"/>
        <v>0</v>
      </c>
      <c r="I1560" s="325" t="s">
        <v>15214</v>
      </c>
    </row>
    <row r="1561" spans="1:9" x14ac:dyDescent="0.25">
      <c r="A1561" s="359">
        <v>42991</v>
      </c>
      <c r="B1561" s="326" t="s">
        <v>29303</v>
      </c>
      <c r="C1561" s="327">
        <v>127320</v>
      </c>
      <c r="D1561" s="391" t="s">
        <v>15232</v>
      </c>
      <c r="E1561" s="328">
        <v>14836.75</v>
      </c>
      <c r="F1561" s="329">
        <v>42999</v>
      </c>
      <c r="G1561" s="328">
        <v>14836.75</v>
      </c>
      <c r="H1561" s="347">
        <f t="shared" si="20"/>
        <v>0</v>
      </c>
      <c r="I1561" s="331" t="s">
        <v>15214</v>
      </c>
    </row>
    <row r="1562" spans="1:9" x14ac:dyDescent="0.25">
      <c r="A1562" s="319">
        <v>42991</v>
      </c>
      <c r="B1562" s="320" t="s">
        <v>29304</v>
      </c>
      <c r="C1562" s="321">
        <v>127321</v>
      </c>
      <c r="D1562" s="390" t="s">
        <v>17950</v>
      </c>
      <c r="E1562" s="322">
        <v>10535.75</v>
      </c>
      <c r="F1562" s="323">
        <v>42991</v>
      </c>
      <c r="G1562" s="322">
        <v>10535.75</v>
      </c>
      <c r="H1562" s="322">
        <f t="shared" si="20"/>
        <v>0</v>
      </c>
      <c r="I1562" s="325" t="s">
        <v>15214</v>
      </c>
    </row>
    <row r="1563" spans="1:9" x14ac:dyDescent="0.25">
      <c r="A1563" s="359">
        <v>42991</v>
      </c>
      <c r="B1563" s="326" t="s">
        <v>29305</v>
      </c>
      <c r="C1563" s="327">
        <v>127322</v>
      </c>
      <c r="D1563" s="391" t="s">
        <v>15371</v>
      </c>
      <c r="E1563" s="328">
        <v>3481</v>
      </c>
      <c r="F1563" s="329">
        <v>42992</v>
      </c>
      <c r="G1563" s="328">
        <v>3481</v>
      </c>
      <c r="H1563" s="347">
        <f t="shared" si="20"/>
        <v>0</v>
      </c>
      <c r="I1563" s="331" t="s">
        <v>15214</v>
      </c>
    </row>
    <row r="1564" spans="1:9" x14ac:dyDescent="0.25">
      <c r="A1564" s="319">
        <v>42991</v>
      </c>
      <c r="B1564" s="320" t="s">
        <v>29306</v>
      </c>
      <c r="C1564" s="321">
        <v>127323</v>
      </c>
      <c r="D1564" s="390" t="s">
        <v>15250</v>
      </c>
      <c r="E1564" s="322">
        <v>77262.320000000007</v>
      </c>
      <c r="F1564" s="323">
        <v>43001</v>
      </c>
      <c r="G1564" s="322">
        <v>77262.320000000007</v>
      </c>
      <c r="H1564" s="322">
        <f t="shared" si="20"/>
        <v>0</v>
      </c>
      <c r="I1564" s="325" t="s">
        <v>15214</v>
      </c>
    </row>
    <row r="1565" spans="1:9" x14ac:dyDescent="0.25">
      <c r="A1565" s="359">
        <v>42991</v>
      </c>
      <c r="B1565" s="326" t="s">
        <v>29307</v>
      </c>
      <c r="C1565" s="327">
        <v>127324</v>
      </c>
      <c r="D1565" s="391" t="s">
        <v>15655</v>
      </c>
      <c r="E1565" s="328">
        <v>12737.4</v>
      </c>
      <c r="F1565" s="329">
        <v>42991</v>
      </c>
      <c r="G1565" s="328">
        <v>12737.4</v>
      </c>
      <c r="H1565" s="347">
        <f t="shared" si="20"/>
        <v>0</v>
      </c>
      <c r="I1565" s="331" t="s">
        <v>15214</v>
      </c>
    </row>
    <row r="1566" spans="1:9" x14ac:dyDescent="0.25">
      <c r="A1566" s="319">
        <v>42991</v>
      </c>
      <c r="B1566" s="320" t="s">
        <v>29308</v>
      </c>
      <c r="C1566" s="321">
        <v>127325</v>
      </c>
      <c r="D1566" s="390" t="s">
        <v>15315</v>
      </c>
      <c r="E1566" s="322">
        <v>12422.75</v>
      </c>
      <c r="F1566" s="323">
        <v>42991</v>
      </c>
      <c r="G1566" s="322">
        <v>12422.75</v>
      </c>
      <c r="H1566" s="322">
        <f t="shared" si="20"/>
        <v>0</v>
      </c>
      <c r="I1566" s="325" t="s">
        <v>15214</v>
      </c>
    </row>
    <row r="1567" spans="1:9" x14ac:dyDescent="0.25">
      <c r="A1567" s="359">
        <v>42991</v>
      </c>
      <c r="B1567" s="326" t="s">
        <v>29309</v>
      </c>
      <c r="C1567" s="327">
        <v>127326</v>
      </c>
      <c r="D1567" s="391" t="s">
        <v>5575</v>
      </c>
      <c r="E1567" s="328">
        <v>7337.44</v>
      </c>
      <c r="F1567" s="329">
        <v>42992</v>
      </c>
      <c r="G1567" s="328">
        <v>7337.44</v>
      </c>
      <c r="H1567" s="347">
        <f t="shared" si="20"/>
        <v>0</v>
      </c>
      <c r="I1567" s="331" t="s">
        <v>15214</v>
      </c>
    </row>
    <row r="1568" spans="1:9" ht="30" x14ac:dyDescent="0.25">
      <c r="A1568" s="319">
        <v>42991</v>
      </c>
      <c r="B1568" s="320" t="s">
        <v>29310</v>
      </c>
      <c r="C1568" s="321">
        <v>127327</v>
      </c>
      <c r="D1568" s="390" t="s">
        <v>15256</v>
      </c>
      <c r="E1568" s="322">
        <v>19861.8</v>
      </c>
      <c r="F1568" s="323" t="s">
        <v>29291</v>
      </c>
      <c r="G1568" s="334">
        <f>7000+12861.8</f>
        <v>19861.8</v>
      </c>
      <c r="H1568" s="334">
        <f t="shared" si="20"/>
        <v>0</v>
      </c>
      <c r="I1568" s="325" t="s">
        <v>15214</v>
      </c>
    </row>
    <row r="1569" spans="1:9" x14ac:dyDescent="0.25">
      <c r="A1569" s="359">
        <v>42991</v>
      </c>
      <c r="B1569" s="326" t="s">
        <v>29311</v>
      </c>
      <c r="C1569" s="327">
        <v>127328</v>
      </c>
      <c r="D1569" s="391" t="s">
        <v>15315</v>
      </c>
      <c r="E1569" s="328">
        <v>1200</v>
      </c>
      <c r="F1569" s="329">
        <v>42991</v>
      </c>
      <c r="G1569" s="328">
        <v>1200</v>
      </c>
      <c r="H1569" s="347">
        <f t="shared" si="20"/>
        <v>0</v>
      </c>
      <c r="I1569" s="331" t="s">
        <v>15214</v>
      </c>
    </row>
    <row r="1570" spans="1:9" x14ac:dyDescent="0.25">
      <c r="A1570" s="319">
        <v>42991</v>
      </c>
      <c r="B1570" s="320" t="s">
        <v>29312</v>
      </c>
      <c r="C1570" s="321">
        <v>127329</v>
      </c>
      <c r="D1570" s="390" t="s">
        <v>15530</v>
      </c>
      <c r="E1570" s="322">
        <v>3507.3</v>
      </c>
      <c r="F1570" s="323">
        <v>42991</v>
      </c>
      <c r="G1570" s="322">
        <v>3507.3</v>
      </c>
      <c r="H1570" s="322">
        <f t="shared" si="20"/>
        <v>0</v>
      </c>
      <c r="I1570" s="325" t="s">
        <v>15214</v>
      </c>
    </row>
    <row r="1571" spans="1:9" ht="45" x14ac:dyDescent="0.25">
      <c r="A1571" s="359">
        <v>42991</v>
      </c>
      <c r="B1571" s="326" t="s">
        <v>29313</v>
      </c>
      <c r="C1571" s="327">
        <v>127330</v>
      </c>
      <c r="D1571" s="391" t="s">
        <v>15228</v>
      </c>
      <c r="E1571" s="328">
        <v>32053</v>
      </c>
      <c r="F1571" s="329" t="s">
        <v>29314</v>
      </c>
      <c r="G1571" s="328">
        <f>8500+15000+8533+20</f>
        <v>32053</v>
      </c>
      <c r="H1571" s="347">
        <f t="shared" si="20"/>
        <v>0</v>
      </c>
      <c r="I1571" s="331" t="s">
        <v>15214</v>
      </c>
    </row>
    <row r="1572" spans="1:9" x14ac:dyDescent="0.25">
      <c r="A1572" s="319">
        <v>42991</v>
      </c>
      <c r="B1572" s="320" t="s">
        <v>29315</v>
      </c>
      <c r="C1572" s="321">
        <v>127331</v>
      </c>
      <c r="D1572" s="390" t="s">
        <v>15238</v>
      </c>
      <c r="E1572" s="322">
        <v>4404</v>
      </c>
      <c r="F1572" s="323">
        <v>42993</v>
      </c>
      <c r="G1572" s="322">
        <v>4404</v>
      </c>
      <c r="H1572" s="322">
        <f t="shared" si="20"/>
        <v>0</v>
      </c>
      <c r="I1572" s="325" t="s">
        <v>15214</v>
      </c>
    </row>
    <row r="1573" spans="1:9" x14ac:dyDescent="0.25">
      <c r="A1573" s="359">
        <v>42991</v>
      </c>
      <c r="B1573" s="326" t="s">
        <v>29316</v>
      </c>
      <c r="C1573" s="327">
        <v>127332</v>
      </c>
      <c r="D1573" s="391" t="s">
        <v>15562</v>
      </c>
      <c r="E1573" s="328">
        <v>3689.55</v>
      </c>
      <c r="F1573" s="329">
        <v>42991</v>
      </c>
      <c r="G1573" s="328">
        <v>3689.55</v>
      </c>
      <c r="H1573" s="347">
        <f t="shared" si="20"/>
        <v>0</v>
      </c>
      <c r="I1573" s="331" t="s">
        <v>15214</v>
      </c>
    </row>
    <row r="1574" spans="1:9" x14ac:dyDescent="0.25">
      <c r="A1574" s="319">
        <v>42991</v>
      </c>
      <c r="B1574" s="320" t="s">
        <v>29317</v>
      </c>
      <c r="C1574" s="321">
        <v>127333</v>
      </c>
      <c r="D1574" s="390" t="s">
        <v>15407</v>
      </c>
      <c r="E1574" s="322">
        <v>5274.4</v>
      </c>
      <c r="F1574" s="323">
        <v>42991</v>
      </c>
      <c r="G1574" s="322">
        <v>5274.4</v>
      </c>
      <c r="H1574" s="322">
        <f t="shared" si="20"/>
        <v>0</v>
      </c>
      <c r="I1574" s="325" t="s">
        <v>15214</v>
      </c>
    </row>
    <row r="1575" spans="1:9" x14ac:dyDescent="0.25">
      <c r="A1575" s="359">
        <v>42991</v>
      </c>
      <c r="B1575" s="326" t="s">
        <v>29318</v>
      </c>
      <c r="C1575" s="327">
        <v>127334</v>
      </c>
      <c r="D1575" s="391" t="s">
        <v>17722</v>
      </c>
      <c r="E1575" s="328">
        <v>1620.8</v>
      </c>
      <c r="F1575" s="329">
        <v>42991</v>
      </c>
      <c r="G1575" s="328">
        <v>1620.8</v>
      </c>
      <c r="H1575" s="347">
        <f t="shared" si="20"/>
        <v>0</v>
      </c>
      <c r="I1575" s="331" t="s">
        <v>15214</v>
      </c>
    </row>
    <row r="1576" spans="1:9" x14ac:dyDescent="0.25">
      <c r="A1576" s="319">
        <v>42991</v>
      </c>
      <c r="B1576" s="320" t="s">
        <v>29319</v>
      </c>
      <c r="C1576" s="321">
        <v>127335</v>
      </c>
      <c r="D1576" s="390" t="s">
        <v>15328</v>
      </c>
      <c r="E1576" s="322">
        <v>84976.3</v>
      </c>
      <c r="F1576" s="323">
        <v>43001</v>
      </c>
      <c r="G1576" s="322">
        <v>84976.3</v>
      </c>
      <c r="H1576" s="322">
        <f t="shared" si="20"/>
        <v>0</v>
      </c>
      <c r="I1576" s="325" t="s">
        <v>15214</v>
      </c>
    </row>
    <row r="1577" spans="1:9" x14ac:dyDescent="0.25">
      <c r="A1577" s="359">
        <v>42991</v>
      </c>
      <c r="B1577" s="326" t="s">
        <v>29320</v>
      </c>
      <c r="C1577" s="327">
        <v>127336</v>
      </c>
      <c r="D1577" s="391" t="s">
        <v>15284</v>
      </c>
      <c r="E1577" s="328">
        <v>1478</v>
      </c>
      <c r="F1577" s="329">
        <v>42991</v>
      </c>
      <c r="G1577" s="328">
        <v>1478</v>
      </c>
      <c r="H1577" s="347">
        <f t="shared" si="20"/>
        <v>0</v>
      </c>
      <c r="I1577" s="331" t="s">
        <v>15214</v>
      </c>
    </row>
    <row r="1578" spans="1:9" x14ac:dyDescent="0.25">
      <c r="A1578" s="319">
        <v>42991</v>
      </c>
      <c r="B1578" s="320" t="s">
        <v>29321</v>
      </c>
      <c r="C1578" s="321">
        <v>127337</v>
      </c>
      <c r="D1578" s="390" t="s">
        <v>15250</v>
      </c>
      <c r="E1578" s="322">
        <v>948</v>
      </c>
      <c r="F1578" s="323">
        <v>43001</v>
      </c>
      <c r="G1578" s="322">
        <v>948</v>
      </c>
      <c r="H1578" s="322">
        <f t="shared" si="20"/>
        <v>0</v>
      </c>
      <c r="I1578" s="325" t="s">
        <v>15214</v>
      </c>
    </row>
    <row r="1579" spans="1:9" x14ac:dyDescent="0.25">
      <c r="A1579" s="359">
        <v>42991</v>
      </c>
      <c r="B1579" s="326" t="s">
        <v>29322</v>
      </c>
      <c r="C1579" s="327">
        <v>127338</v>
      </c>
      <c r="D1579" s="391" t="s">
        <v>16484</v>
      </c>
      <c r="E1579" s="328">
        <v>1089</v>
      </c>
      <c r="F1579" s="329">
        <v>42991</v>
      </c>
      <c r="G1579" s="328">
        <v>1089</v>
      </c>
      <c r="H1579" s="347">
        <f t="shared" si="20"/>
        <v>0</v>
      </c>
      <c r="I1579" s="331" t="s">
        <v>15214</v>
      </c>
    </row>
    <row r="1580" spans="1:9" x14ac:dyDescent="0.25">
      <c r="A1580" s="319">
        <v>42991</v>
      </c>
      <c r="B1580" s="320" t="s">
        <v>29323</v>
      </c>
      <c r="C1580" s="321">
        <v>127339</v>
      </c>
      <c r="D1580" s="390" t="s">
        <v>15278</v>
      </c>
      <c r="E1580" s="322">
        <v>4361.6000000000004</v>
      </c>
      <c r="F1580" s="323">
        <v>42991</v>
      </c>
      <c r="G1580" s="322">
        <v>4361.6000000000004</v>
      </c>
      <c r="H1580" s="322">
        <f t="shared" si="20"/>
        <v>0</v>
      </c>
      <c r="I1580" s="325" t="s">
        <v>15214</v>
      </c>
    </row>
    <row r="1581" spans="1:9" x14ac:dyDescent="0.25">
      <c r="A1581" s="359">
        <v>42991</v>
      </c>
      <c r="B1581" s="326" t="s">
        <v>29324</v>
      </c>
      <c r="C1581" s="327">
        <v>127340</v>
      </c>
      <c r="D1581" s="391" t="s">
        <v>15220</v>
      </c>
      <c r="E1581" s="328">
        <v>1920</v>
      </c>
      <c r="F1581" s="329">
        <v>42991</v>
      </c>
      <c r="G1581" s="328">
        <v>1920</v>
      </c>
      <c r="H1581" s="347">
        <f t="shared" si="20"/>
        <v>0</v>
      </c>
      <c r="I1581" s="331" t="s">
        <v>15214</v>
      </c>
    </row>
    <row r="1582" spans="1:9" x14ac:dyDescent="0.25">
      <c r="A1582" s="319">
        <v>42991</v>
      </c>
      <c r="B1582" s="320" t="s">
        <v>29325</v>
      </c>
      <c r="C1582" s="321">
        <v>127341</v>
      </c>
      <c r="D1582" s="390" t="s">
        <v>15438</v>
      </c>
      <c r="E1582" s="322">
        <v>1925.6</v>
      </c>
      <c r="F1582" s="323">
        <v>42991</v>
      </c>
      <c r="G1582" s="322">
        <v>1925.6</v>
      </c>
      <c r="H1582" s="322">
        <f t="shared" si="20"/>
        <v>0</v>
      </c>
      <c r="I1582" s="325" t="s">
        <v>15214</v>
      </c>
    </row>
    <row r="1583" spans="1:9" x14ac:dyDescent="0.25">
      <c r="A1583" s="359">
        <v>42991</v>
      </c>
      <c r="B1583" s="326" t="s">
        <v>29326</v>
      </c>
      <c r="C1583" s="327">
        <v>127342</v>
      </c>
      <c r="D1583" s="391" t="s">
        <v>15590</v>
      </c>
      <c r="E1583" s="328">
        <v>33841.15</v>
      </c>
      <c r="F1583" s="329">
        <v>42998</v>
      </c>
      <c r="G1583" s="328">
        <v>33841.15</v>
      </c>
      <c r="H1583" s="347">
        <f t="shared" si="20"/>
        <v>0</v>
      </c>
      <c r="I1583" s="331" t="s">
        <v>15214</v>
      </c>
    </row>
    <row r="1584" spans="1:9" x14ac:dyDescent="0.25">
      <c r="A1584" s="319">
        <v>42991</v>
      </c>
      <c r="B1584" s="320" t="s">
        <v>29327</v>
      </c>
      <c r="C1584" s="321">
        <v>127343</v>
      </c>
      <c r="D1584" s="390" t="s">
        <v>18544</v>
      </c>
      <c r="E1584" s="322">
        <v>5166.2</v>
      </c>
      <c r="F1584" s="323">
        <v>42991</v>
      </c>
      <c r="G1584" s="322">
        <v>5166.2</v>
      </c>
      <c r="H1584" s="322">
        <f t="shared" si="20"/>
        <v>0</v>
      </c>
      <c r="I1584" s="325" t="s">
        <v>15214</v>
      </c>
    </row>
    <row r="1585" spans="1:9" x14ac:dyDescent="0.25">
      <c r="A1585" s="359">
        <v>42991</v>
      </c>
      <c r="B1585" s="326" t="s">
        <v>29328</v>
      </c>
      <c r="C1585" s="327">
        <v>127344</v>
      </c>
      <c r="D1585" s="391" t="s">
        <v>15391</v>
      </c>
      <c r="E1585" s="328">
        <v>8473</v>
      </c>
      <c r="F1585" s="329">
        <v>42992</v>
      </c>
      <c r="G1585" s="328">
        <v>8473</v>
      </c>
      <c r="H1585" s="347">
        <f t="shared" ref="H1585:H1648" si="21">E1585-G1585</f>
        <v>0</v>
      </c>
      <c r="I1585" s="331" t="s">
        <v>15214</v>
      </c>
    </row>
    <row r="1586" spans="1:9" x14ac:dyDescent="0.25">
      <c r="A1586" s="319">
        <v>42991</v>
      </c>
      <c r="B1586" s="320" t="s">
        <v>29329</v>
      </c>
      <c r="C1586" s="321">
        <v>127345</v>
      </c>
      <c r="D1586" s="390" t="s">
        <v>16116</v>
      </c>
      <c r="E1586" s="322">
        <v>33257.480000000003</v>
      </c>
      <c r="F1586" s="323">
        <v>42991</v>
      </c>
      <c r="G1586" s="322">
        <v>33257.480000000003</v>
      </c>
      <c r="H1586" s="322">
        <f t="shared" si="21"/>
        <v>0</v>
      </c>
      <c r="I1586" s="325" t="s">
        <v>15214</v>
      </c>
    </row>
    <row r="1587" spans="1:9" x14ac:dyDescent="0.25">
      <c r="A1587" s="359">
        <v>42991</v>
      </c>
      <c r="B1587" s="326" t="s">
        <v>29330</v>
      </c>
      <c r="C1587" s="327">
        <v>127346</v>
      </c>
      <c r="D1587" s="391" t="s">
        <v>15592</v>
      </c>
      <c r="E1587" s="328">
        <v>13479</v>
      </c>
      <c r="F1587" s="329">
        <v>42991</v>
      </c>
      <c r="G1587" s="328">
        <v>13479</v>
      </c>
      <c r="H1587" s="347">
        <f t="shared" si="21"/>
        <v>0</v>
      </c>
      <c r="I1587" s="331" t="s">
        <v>15214</v>
      </c>
    </row>
    <row r="1588" spans="1:9" x14ac:dyDescent="0.25">
      <c r="A1588" s="319">
        <v>42991</v>
      </c>
      <c r="B1588" s="320" t="s">
        <v>29331</v>
      </c>
      <c r="C1588" s="321">
        <v>127347</v>
      </c>
      <c r="D1588" s="390" t="s">
        <v>15280</v>
      </c>
      <c r="E1588" s="322">
        <v>7234.3</v>
      </c>
      <c r="F1588" s="323">
        <v>42991</v>
      </c>
      <c r="G1588" s="322">
        <v>7234.3</v>
      </c>
      <c r="H1588" s="322">
        <f t="shared" si="21"/>
        <v>0</v>
      </c>
      <c r="I1588" s="325" t="s">
        <v>15214</v>
      </c>
    </row>
    <row r="1589" spans="1:9" x14ac:dyDescent="0.25">
      <c r="A1589" s="359">
        <v>42991</v>
      </c>
      <c r="B1589" s="326" t="s">
        <v>29332</v>
      </c>
      <c r="C1589" s="327">
        <v>127348</v>
      </c>
      <c r="D1589" s="391" t="s">
        <v>15594</v>
      </c>
      <c r="E1589" s="328">
        <v>3222.2</v>
      </c>
      <c r="F1589" s="329">
        <v>42991</v>
      </c>
      <c r="G1589" s="328">
        <v>3222.2</v>
      </c>
      <c r="H1589" s="347">
        <f t="shared" si="21"/>
        <v>0</v>
      </c>
      <c r="I1589" s="331" t="s">
        <v>15214</v>
      </c>
    </row>
    <row r="1590" spans="1:9" x14ac:dyDescent="0.25">
      <c r="A1590" s="319">
        <v>42991</v>
      </c>
      <c r="B1590" s="320" t="s">
        <v>29333</v>
      </c>
      <c r="C1590" s="321">
        <v>127349</v>
      </c>
      <c r="D1590" s="390" t="s">
        <v>16116</v>
      </c>
      <c r="E1590" s="322">
        <v>5289.9</v>
      </c>
      <c r="F1590" s="323">
        <v>42991</v>
      </c>
      <c r="G1590" s="322">
        <v>5289.9</v>
      </c>
      <c r="H1590" s="322">
        <f t="shared" si="21"/>
        <v>0</v>
      </c>
      <c r="I1590" s="325" t="s">
        <v>15214</v>
      </c>
    </row>
    <row r="1591" spans="1:9" x14ac:dyDescent="0.25">
      <c r="A1591" s="359">
        <v>42991</v>
      </c>
      <c r="B1591" s="326" t="s">
        <v>29334</v>
      </c>
      <c r="C1591" s="327">
        <v>127350</v>
      </c>
      <c r="D1591" s="391" t="s">
        <v>15315</v>
      </c>
      <c r="E1591" s="328">
        <v>3794.8</v>
      </c>
      <c r="F1591" s="329">
        <v>42991</v>
      </c>
      <c r="G1591" s="328">
        <v>3794.8</v>
      </c>
      <c r="H1591" s="347">
        <f t="shared" si="21"/>
        <v>0</v>
      </c>
      <c r="I1591" s="331" t="s">
        <v>15214</v>
      </c>
    </row>
    <row r="1592" spans="1:9" x14ac:dyDescent="0.25">
      <c r="A1592" s="319">
        <v>42991</v>
      </c>
      <c r="B1592" s="320" t="s">
        <v>29335</v>
      </c>
      <c r="C1592" s="321">
        <v>127351</v>
      </c>
      <c r="D1592" s="390" t="s">
        <v>15348</v>
      </c>
      <c r="E1592" s="322">
        <v>3971.2</v>
      </c>
      <c r="F1592" s="323">
        <v>42992</v>
      </c>
      <c r="G1592" s="322">
        <v>3971.2</v>
      </c>
      <c r="H1592" s="322">
        <f t="shared" si="21"/>
        <v>0</v>
      </c>
      <c r="I1592" s="325" t="s">
        <v>15214</v>
      </c>
    </row>
    <row r="1593" spans="1:9" x14ac:dyDescent="0.25">
      <c r="A1593" s="359">
        <v>42991</v>
      </c>
      <c r="B1593" s="326" t="s">
        <v>29336</v>
      </c>
      <c r="C1593" s="327">
        <v>127352</v>
      </c>
      <c r="D1593" s="391" t="s">
        <v>15240</v>
      </c>
      <c r="E1593" s="328">
        <v>3744.5</v>
      </c>
      <c r="F1593" s="329">
        <v>42992</v>
      </c>
      <c r="G1593" s="328">
        <v>3744.5</v>
      </c>
      <c r="H1593" s="347">
        <f t="shared" si="21"/>
        <v>0</v>
      </c>
      <c r="I1593" s="331" t="s">
        <v>15214</v>
      </c>
    </row>
    <row r="1594" spans="1:9" x14ac:dyDescent="0.25">
      <c r="A1594" s="319">
        <v>42991</v>
      </c>
      <c r="B1594" s="320" t="s">
        <v>29337</v>
      </c>
      <c r="C1594" s="321">
        <v>127353</v>
      </c>
      <c r="D1594" s="390" t="s">
        <v>15334</v>
      </c>
      <c r="E1594" s="322">
        <v>1800</v>
      </c>
      <c r="F1594" s="323">
        <v>42992</v>
      </c>
      <c r="G1594" s="322">
        <v>1800</v>
      </c>
      <c r="H1594" s="322">
        <f t="shared" si="21"/>
        <v>0</v>
      </c>
      <c r="I1594" s="325" t="s">
        <v>15214</v>
      </c>
    </row>
    <row r="1595" spans="1:9" x14ac:dyDescent="0.25">
      <c r="A1595" s="359">
        <v>42991</v>
      </c>
      <c r="B1595" s="326" t="s">
        <v>29338</v>
      </c>
      <c r="C1595" s="327">
        <v>127354</v>
      </c>
      <c r="D1595" s="391" t="s">
        <v>15523</v>
      </c>
      <c r="E1595" s="328">
        <v>1920</v>
      </c>
      <c r="F1595" s="329">
        <v>42992</v>
      </c>
      <c r="G1595" s="328">
        <v>1920</v>
      </c>
      <c r="H1595" s="347">
        <f t="shared" si="21"/>
        <v>0</v>
      </c>
      <c r="I1595" s="331" t="s">
        <v>15214</v>
      </c>
    </row>
    <row r="1596" spans="1:9" x14ac:dyDescent="0.25">
      <c r="A1596" s="319">
        <v>42991</v>
      </c>
      <c r="B1596" s="320" t="s">
        <v>29339</v>
      </c>
      <c r="C1596" s="321">
        <v>127355</v>
      </c>
      <c r="D1596" s="390" t="s">
        <v>15732</v>
      </c>
      <c r="E1596" s="322">
        <v>3410</v>
      </c>
      <c r="F1596" s="323">
        <v>42992</v>
      </c>
      <c r="G1596" s="322">
        <v>3410</v>
      </c>
      <c r="H1596" s="322">
        <f t="shared" si="21"/>
        <v>0</v>
      </c>
      <c r="I1596" s="325" t="s">
        <v>15214</v>
      </c>
    </row>
    <row r="1597" spans="1:9" x14ac:dyDescent="0.25">
      <c r="A1597" s="359">
        <v>42991</v>
      </c>
      <c r="B1597" s="326" t="s">
        <v>29340</v>
      </c>
      <c r="C1597" s="327">
        <v>127356</v>
      </c>
      <c r="D1597" s="391" t="s">
        <v>15344</v>
      </c>
      <c r="E1597" s="328">
        <v>5540</v>
      </c>
      <c r="F1597" s="329">
        <v>42992</v>
      </c>
      <c r="G1597" s="328">
        <v>5540</v>
      </c>
      <c r="H1597" s="347">
        <f t="shared" si="21"/>
        <v>0</v>
      </c>
      <c r="I1597" s="331" t="s">
        <v>15214</v>
      </c>
    </row>
    <row r="1598" spans="1:9" x14ac:dyDescent="0.25">
      <c r="A1598" s="319">
        <v>42991</v>
      </c>
      <c r="B1598" s="320" t="s">
        <v>29341</v>
      </c>
      <c r="C1598" s="321">
        <v>127357</v>
      </c>
      <c r="D1598" s="390" t="s">
        <v>15246</v>
      </c>
      <c r="E1598" s="322">
        <v>115350.9</v>
      </c>
      <c r="F1598" s="323">
        <v>42997</v>
      </c>
      <c r="G1598" s="322">
        <v>115350.9</v>
      </c>
      <c r="H1598" s="322">
        <f t="shared" si="21"/>
        <v>0</v>
      </c>
      <c r="I1598" s="325" t="s">
        <v>15214</v>
      </c>
    </row>
    <row r="1599" spans="1:9" x14ac:dyDescent="0.25">
      <c r="A1599" s="359">
        <v>42991</v>
      </c>
      <c r="B1599" s="326" t="s">
        <v>29342</v>
      </c>
      <c r="C1599" s="327">
        <v>127358</v>
      </c>
      <c r="D1599" s="391" t="s">
        <v>15344</v>
      </c>
      <c r="E1599" s="328">
        <v>1925</v>
      </c>
      <c r="F1599" s="329">
        <v>42992</v>
      </c>
      <c r="G1599" s="328">
        <v>1925</v>
      </c>
      <c r="H1599" s="347">
        <f t="shared" si="21"/>
        <v>0</v>
      </c>
      <c r="I1599" s="331" t="s">
        <v>15214</v>
      </c>
    </row>
    <row r="1600" spans="1:9" x14ac:dyDescent="0.25">
      <c r="A1600" s="319">
        <v>42991</v>
      </c>
      <c r="B1600" s="320" t="s">
        <v>29343</v>
      </c>
      <c r="C1600" s="321">
        <v>127359</v>
      </c>
      <c r="D1600" s="390" t="s">
        <v>15526</v>
      </c>
      <c r="E1600" s="322">
        <v>6225.6</v>
      </c>
      <c r="F1600" s="323">
        <v>42992</v>
      </c>
      <c r="G1600" s="322">
        <v>6225.6</v>
      </c>
      <c r="H1600" s="322">
        <f t="shared" si="21"/>
        <v>0</v>
      </c>
      <c r="I1600" s="325" t="s">
        <v>15214</v>
      </c>
    </row>
    <row r="1601" spans="1:9" x14ac:dyDescent="0.25">
      <c r="A1601" s="359">
        <v>42991</v>
      </c>
      <c r="B1601" s="326" t="s">
        <v>29344</v>
      </c>
      <c r="C1601" s="327">
        <v>127360</v>
      </c>
      <c r="D1601" s="391" t="s">
        <v>15246</v>
      </c>
      <c r="E1601" s="328">
        <v>5852</v>
      </c>
      <c r="F1601" s="329">
        <v>42997</v>
      </c>
      <c r="G1601" s="328">
        <v>5852</v>
      </c>
      <c r="H1601" s="347">
        <f t="shared" si="21"/>
        <v>0</v>
      </c>
      <c r="I1601" s="331" t="s">
        <v>15214</v>
      </c>
    </row>
    <row r="1602" spans="1:9" x14ac:dyDescent="0.25">
      <c r="A1602" s="319">
        <v>42991</v>
      </c>
      <c r="B1602" s="320" t="s">
        <v>29345</v>
      </c>
      <c r="C1602" s="321">
        <v>127361</v>
      </c>
      <c r="D1602" s="390" t="s">
        <v>15358</v>
      </c>
      <c r="E1602" s="322">
        <v>1598</v>
      </c>
      <c r="F1602" s="323">
        <v>42992</v>
      </c>
      <c r="G1602" s="322">
        <v>1598</v>
      </c>
      <c r="H1602" s="322">
        <f t="shared" si="21"/>
        <v>0</v>
      </c>
      <c r="I1602" s="325" t="s">
        <v>15214</v>
      </c>
    </row>
    <row r="1603" spans="1:9" x14ac:dyDescent="0.25">
      <c r="A1603" s="359">
        <v>42991</v>
      </c>
      <c r="B1603" s="326" t="s">
        <v>29346</v>
      </c>
      <c r="C1603" s="327">
        <v>127362</v>
      </c>
      <c r="D1603" s="391" t="s">
        <v>15315</v>
      </c>
      <c r="E1603" s="328">
        <v>770</v>
      </c>
      <c r="F1603" s="329">
        <v>42992</v>
      </c>
      <c r="G1603" s="328">
        <v>770</v>
      </c>
      <c r="H1603" s="347">
        <f t="shared" si="21"/>
        <v>0</v>
      </c>
      <c r="I1603" s="331" t="s">
        <v>15214</v>
      </c>
    </row>
    <row r="1604" spans="1:9" x14ac:dyDescent="0.25">
      <c r="A1604" s="319">
        <v>42991</v>
      </c>
      <c r="B1604" s="320" t="s">
        <v>29347</v>
      </c>
      <c r="C1604" s="321">
        <v>127363</v>
      </c>
      <c r="D1604" s="390" t="s">
        <v>15336</v>
      </c>
      <c r="E1604" s="322">
        <v>6598.8</v>
      </c>
      <c r="F1604" s="323">
        <v>42992</v>
      </c>
      <c r="G1604" s="322">
        <v>6598.8</v>
      </c>
      <c r="H1604" s="322">
        <f t="shared" si="21"/>
        <v>0</v>
      </c>
      <c r="I1604" s="325" t="s">
        <v>15214</v>
      </c>
    </row>
    <row r="1605" spans="1:9" x14ac:dyDescent="0.25">
      <c r="A1605" s="359">
        <v>42991</v>
      </c>
      <c r="B1605" s="326" t="s">
        <v>29348</v>
      </c>
      <c r="C1605" s="327">
        <v>127364</v>
      </c>
      <c r="D1605" s="391" t="s">
        <v>15742</v>
      </c>
      <c r="E1605" s="328">
        <v>1636.6</v>
      </c>
      <c r="F1605" s="329">
        <v>42992</v>
      </c>
      <c r="G1605" s="328">
        <v>1636.6</v>
      </c>
      <c r="H1605" s="347">
        <f t="shared" si="21"/>
        <v>0</v>
      </c>
      <c r="I1605" s="331" t="s">
        <v>15214</v>
      </c>
    </row>
    <row r="1606" spans="1:9" x14ac:dyDescent="0.25">
      <c r="A1606" s="319">
        <v>42991</v>
      </c>
      <c r="B1606" s="320" t="s">
        <v>29349</v>
      </c>
      <c r="C1606" s="321">
        <v>127365</v>
      </c>
      <c r="D1606" s="390" t="s">
        <v>15861</v>
      </c>
      <c r="E1606" s="322">
        <v>1305.2</v>
      </c>
      <c r="F1606" s="323">
        <v>42992</v>
      </c>
      <c r="G1606" s="322">
        <v>1305.2</v>
      </c>
      <c r="H1606" s="322">
        <f t="shared" si="21"/>
        <v>0</v>
      </c>
      <c r="I1606" s="325" t="s">
        <v>15214</v>
      </c>
    </row>
    <row r="1607" spans="1:9" x14ac:dyDescent="0.25">
      <c r="A1607" s="359">
        <v>42991</v>
      </c>
      <c r="B1607" s="326" t="s">
        <v>29350</v>
      </c>
      <c r="C1607" s="327">
        <v>127366</v>
      </c>
      <c r="D1607" s="391" t="s">
        <v>19773</v>
      </c>
      <c r="E1607" s="328">
        <v>5656.24</v>
      </c>
      <c r="F1607" s="329">
        <v>42993</v>
      </c>
      <c r="G1607" s="328">
        <v>5656.24</v>
      </c>
      <c r="H1607" s="347">
        <f t="shared" si="21"/>
        <v>0</v>
      </c>
      <c r="I1607" s="331" t="s">
        <v>15214</v>
      </c>
    </row>
    <row r="1608" spans="1:9" x14ac:dyDescent="0.25">
      <c r="A1608" s="319">
        <v>42991</v>
      </c>
      <c r="B1608" s="320" t="s">
        <v>29351</v>
      </c>
      <c r="C1608" s="321">
        <v>127367</v>
      </c>
      <c r="D1608" s="390" t="s">
        <v>15340</v>
      </c>
      <c r="E1608" s="322">
        <v>10949.1</v>
      </c>
      <c r="F1608" s="323">
        <v>42992</v>
      </c>
      <c r="G1608" s="322">
        <v>10949.1</v>
      </c>
      <c r="H1608" s="322">
        <f t="shared" si="21"/>
        <v>0</v>
      </c>
      <c r="I1608" s="325" t="s">
        <v>15214</v>
      </c>
    </row>
    <row r="1609" spans="1:9" x14ac:dyDescent="0.25">
      <c r="A1609" s="359">
        <v>42991</v>
      </c>
      <c r="B1609" s="326" t="s">
        <v>29352</v>
      </c>
      <c r="C1609" s="327">
        <v>127368</v>
      </c>
      <c r="D1609" s="391" t="s">
        <v>15315</v>
      </c>
      <c r="E1609" s="328">
        <v>19216.45</v>
      </c>
      <c r="F1609" s="329">
        <v>42992</v>
      </c>
      <c r="G1609" s="328">
        <v>19216.45</v>
      </c>
      <c r="H1609" s="347">
        <f t="shared" si="21"/>
        <v>0</v>
      </c>
      <c r="I1609" s="331" t="s">
        <v>15214</v>
      </c>
    </row>
    <row r="1610" spans="1:9" x14ac:dyDescent="0.25">
      <c r="A1610" s="319">
        <v>42991</v>
      </c>
      <c r="B1610" s="320" t="s">
        <v>29353</v>
      </c>
      <c r="C1610" s="321">
        <v>127369</v>
      </c>
      <c r="D1610" s="390" t="s">
        <v>23937</v>
      </c>
      <c r="E1610" s="322">
        <v>6643.82</v>
      </c>
      <c r="F1610" s="323">
        <v>42992</v>
      </c>
      <c r="G1610" s="322">
        <v>6643.82</v>
      </c>
      <c r="H1610" s="322">
        <f t="shared" si="21"/>
        <v>0</v>
      </c>
      <c r="I1610" s="325" t="s">
        <v>15214</v>
      </c>
    </row>
    <row r="1611" spans="1:9" x14ac:dyDescent="0.25">
      <c r="A1611" s="359">
        <v>42991</v>
      </c>
      <c r="B1611" s="326" t="s">
        <v>29354</v>
      </c>
      <c r="C1611" s="327">
        <v>127370</v>
      </c>
      <c r="D1611" s="391" t="s">
        <v>15324</v>
      </c>
      <c r="E1611" s="328">
        <v>1142</v>
      </c>
      <c r="F1611" s="329">
        <v>42991</v>
      </c>
      <c r="G1611" s="328">
        <v>1142</v>
      </c>
      <c r="H1611" s="347">
        <f t="shared" si="21"/>
        <v>0</v>
      </c>
      <c r="I1611" s="331" t="s">
        <v>15214</v>
      </c>
    </row>
    <row r="1612" spans="1:9" x14ac:dyDescent="0.25">
      <c r="A1612" s="319">
        <v>42991</v>
      </c>
      <c r="B1612" s="320" t="s">
        <v>29355</v>
      </c>
      <c r="C1612" s="321">
        <v>127371</v>
      </c>
      <c r="D1612" s="390" t="s">
        <v>15596</v>
      </c>
      <c r="E1612" s="322">
        <v>960</v>
      </c>
      <c r="F1612" s="323">
        <v>42991</v>
      </c>
      <c r="G1612" s="322">
        <v>960</v>
      </c>
      <c r="H1612" s="322">
        <f t="shared" si="21"/>
        <v>0</v>
      </c>
      <c r="I1612" s="325" t="s">
        <v>15214</v>
      </c>
    </row>
    <row r="1613" spans="1:9" x14ac:dyDescent="0.25">
      <c r="A1613" s="359">
        <v>42991</v>
      </c>
      <c r="B1613" s="326" t="s">
        <v>29356</v>
      </c>
      <c r="C1613" s="327">
        <v>127372</v>
      </c>
      <c r="D1613" s="391" t="s">
        <v>15244</v>
      </c>
      <c r="E1613" s="328">
        <v>9159.58</v>
      </c>
      <c r="F1613" s="329">
        <v>42993</v>
      </c>
      <c r="G1613" s="328">
        <v>9159.58</v>
      </c>
      <c r="H1613" s="347">
        <f t="shared" si="21"/>
        <v>0</v>
      </c>
      <c r="I1613" s="331" t="s">
        <v>15214</v>
      </c>
    </row>
    <row r="1614" spans="1:9" ht="15.75" x14ac:dyDescent="0.25">
      <c r="A1614" s="319">
        <v>42991</v>
      </c>
      <c r="B1614" s="320" t="s">
        <v>29357</v>
      </c>
      <c r="C1614" s="321">
        <v>127373</v>
      </c>
      <c r="D1614" s="332" t="s">
        <v>95</v>
      </c>
      <c r="E1614" s="322">
        <v>0</v>
      </c>
      <c r="F1614" s="333" t="s">
        <v>95</v>
      </c>
      <c r="G1614" s="322">
        <v>0</v>
      </c>
      <c r="H1614" s="322">
        <f t="shared" si="21"/>
        <v>0</v>
      </c>
      <c r="I1614" s="325" t="s">
        <v>95</v>
      </c>
    </row>
    <row r="1615" spans="1:9" x14ac:dyDescent="0.25">
      <c r="A1615" s="359">
        <v>42991</v>
      </c>
      <c r="B1615" s="326" t="s">
        <v>29358</v>
      </c>
      <c r="C1615" s="327">
        <v>127374</v>
      </c>
      <c r="D1615" s="391" t="s">
        <v>15252</v>
      </c>
      <c r="E1615" s="328">
        <v>4135.6499999999996</v>
      </c>
      <c r="F1615" s="329">
        <v>42992</v>
      </c>
      <c r="G1615" s="328">
        <v>4135.6499999999996</v>
      </c>
      <c r="H1615" s="347">
        <f t="shared" si="21"/>
        <v>0</v>
      </c>
      <c r="I1615" s="331" t="s">
        <v>15214</v>
      </c>
    </row>
    <row r="1616" spans="1:9" ht="30" x14ac:dyDescent="0.25">
      <c r="A1616" s="319">
        <v>42991</v>
      </c>
      <c r="B1616" s="320" t="s">
        <v>29359</v>
      </c>
      <c r="C1616" s="321">
        <v>127375</v>
      </c>
      <c r="D1616" s="390" t="s">
        <v>15320</v>
      </c>
      <c r="E1616" s="322">
        <v>3611</v>
      </c>
      <c r="F1616" s="323" t="s">
        <v>29249</v>
      </c>
      <c r="G1616" s="334">
        <f>2300+1311</f>
        <v>3611</v>
      </c>
      <c r="H1616" s="334">
        <f t="shared" si="21"/>
        <v>0</v>
      </c>
      <c r="I1616" s="325" t="s">
        <v>15214</v>
      </c>
    </row>
    <row r="1617" spans="1:9" x14ac:dyDescent="0.25">
      <c r="A1617" s="359">
        <v>42991</v>
      </c>
      <c r="B1617" s="326" t="s">
        <v>29360</v>
      </c>
      <c r="C1617" s="327">
        <v>127376</v>
      </c>
      <c r="D1617" s="391" t="s">
        <v>15583</v>
      </c>
      <c r="E1617" s="328">
        <v>1975.6</v>
      </c>
      <c r="F1617" s="329">
        <v>42996</v>
      </c>
      <c r="G1617" s="328">
        <v>1975.6</v>
      </c>
      <c r="H1617" s="347">
        <f t="shared" si="21"/>
        <v>0</v>
      </c>
      <c r="I1617" s="331" t="s">
        <v>15214</v>
      </c>
    </row>
    <row r="1618" spans="1:9" x14ac:dyDescent="0.25">
      <c r="A1618" s="319">
        <v>42991</v>
      </c>
      <c r="B1618" s="320" t="s">
        <v>29361</v>
      </c>
      <c r="C1618" s="321">
        <v>127377</v>
      </c>
      <c r="D1618" s="390" t="s">
        <v>15272</v>
      </c>
      <c r="E1618" s="322">
        <v>3782.6</v>
      </c>
      <c r="F1618" s="323">
        <v>42991</v>
      </c>
      <c r="G1618" s="322">
        <v>3782.6</v>
      </c>
      <c r="H1618" s="322">
        <f t="shared" si="21"/>
        <v>0</v>
      </c>
      <c r="I1618" s="325" t="s">
        <v>15214</v>
      </c>
    </row>
    <row r="1619" spans="1:9" x14ac:dyDescent="0.25">
      <c r="A1619" s="359">
        <v>42991</v>
      </c>
      <c r="B1619" s="326" t="s">
        <v>29362</v>
      </c>
      <c r="C1619" s="327">
        <v>127378</v>
      </c>
      <c r="D1619" s="391" t="s">
        <v>15240</v>
      </c>
      <c r="E1619" s="328">
        <v>291.60000000000002</v>
      </c>
      <c r="F1619" s="329">
        <v>42992</v>
      </c>
      <c r="G1619" s="328">
        <v>291.60000000000002</v>
      </c>
      <c r="H1619" s="347">
        <f t="shared" si="21"/>
        <v>0</v>
      </c>
      <c r="I1619" s="331" t="s">
        <v>15214</v>
      </c>
    </row>
    <row r="1620" spans="1:9" x14ac:dyDescent="0.25">
      <c r="A1620" s="319">
        <v>42991</v>
      </c>
      <c r="B1620" s="320" t="s">
        <v>29363</v>
      </c>
      <c r="C1620" s="321">
        <v>127379</v>
      </c>
      <c r="D1620" s="390" t="s">
        <v>15307</v>
      </c>
      <c r="E1620" s="322">
        <v>2022.6</v>
      </c>
      <c r="F1620" s="323">
        <v>42992</v>
      </c>
      <c r="G1620" s="322">
        <v>2022.6</v>
      </c>
      <c r="H1620" s="322">
        <f t="shared" si="21"/>
        <v>0</v>
      </c>
      <c r="I1620" s="325" t="s">
        <v>15214</v>
      </c>
    </row>
    <row r="1621" spans="1:9" x14ac:dyDescent="0.25">
      <c r="A1621" s="359">
        <v>42991</v>
      </c>
      <c r="B1621" s="326" t="s">
        <v>29364</v>
      </c>
      <c r="C1621" s="327">
        <v>127380</v>
      </c>
      <c r="D1621" s="391" t="s">
        <v>15890</v>
      </c>
      <c r="E1621" s="328">
        <v>7785.6</v>
      </c>
      <c r="F1621" s="329">
        <v>42998</v>
      </c>
      <c r="G1621" s="328">
        <v>7785.6</v>
      </c>
      <c r="H1621" s="347">
        <f t="shared" si="21"/>
        <v>0</v>
      </c>
      <c r="I1621" s="331" t="s">
        <v>15214</v>
      </c>
    </row>
    <row r="1622" spans="1:9" x14ac:dyDescent="0.25">
      <c r="A1622" s="319">
        <v>42991</v>
      </c>
      <c r="B1622" s="320" t="s">
        <v>29365</v>
      </c>
      <c r="C1622" s="321">
        <v>127381</v>
      </c>
      <c r="D1622" s="390" t="s">
        <v>15396</v>
      </c>
      <c r="E1622" s="322">
        <v>5316.5</v>
      </c>
      <c r="F1622" s="323">
        <v>42991</v>
      </c>
      <c r="G1622" s="322">
        <v>5316.5</v>
      </c>
      <c r="H1622" s="322">
        <f t="shared" si="21"/>
        <v>0</v>
      </c>
      <c r="I1622" s="325" t="s">
        <v>15214</v>
      </c>
    </row>
    <row r="1623" spans="1:9" x14ac:dyDescent="0.25">
      <c r="A1623" s="359">
        <v>42991</v>
      </c>
      <c r="B1623" s="326" t="s">
        <v>29366</v>
      </c>
      <c r="C1623" s="327">
        <v>127382</v>
      </c>
      <c r="D1623" s="391" t="s">
        <v>15305</v>
      </c>
      <c r="E1623" s="328">
        <v>1067.8</v>
      </c>
      <c r="F1623" s="329">
        <v>42992</v>
      </c>
      <c r="G1623" s="328">
        <v>1067.8</v>
      </c>
      <c r="H1623" s="347">
        <f t="shared" si="21"/>
        <v>0</v>
      </c>
      <c r="I1623" s="331" t="s">
        <v>15214</v>
      </c>
    </row>
    <row r="1624" spans="1:9" x14ac:dyDescent="0.25">
      <c r="A1624" s="319">
        <v>42991</v>
      </c>
      <c r="B1624" s="320" t="s">
        <v>29367</v>
      </c>
      <c r="C1624" s="321">
        <v>127383</v>
      </c>
      <c r="D1624" s="390" t="s">
        <v>15317</v>
      </c>
      <c r="E1624" s="322">
        <v>3377.8</v>
      </c>
      <c r="F1624" s="323">
        <v>42992</v>
      </c>
      <c r="G1624" s="322">
        <v>3377.8</v>
      </c>
      <c r="H1624" s="322">
        <f t="shared" si="21"/>
        <v>0</v>
      </c>
      <c r="I1624" s="325" t="s">
        <v>15214</v>
      </c>
    </row>
    <row r="1625" spans="1:9" ht="15.75" x14ac:dyDescent="0.25">
      <c r="A1625" s="359">
        <v>42991</v>
      </c>
      <c r="B1625" s="326" t="s">
        <v>29368</v>
      </c>
      <c r="C1625" s="327">
        <v>127384</v>
      </c>
      <c r="D1625" s="345" t="s">
        <v>95</v>
      </c>
      <c r="E1625" s="328">
        <v>0</v>
      </c>
      <c r="F1625" s="346" t="s">
        <v>95</v>
      </c>
      <c r="G1625" s="328">
        <v>0</v>
      </c>
      <c r="H1625" s="347">
        <f t="shared" si="21"/>
        <v>0</v>
      </c>
      <c r="I1625" s="331" t="s">
        <v>95</v>
      </c>
    </row>
    <row r="1626" spans="1:9" x14ac:dyDescent="0.25">
      <c r="A1626" s="319">
        <v>42991</v>
      </c>
      <c r="B1626" s="320" t="s">
        <v>29369</v>
      </c>
      <c r="C1626" s="321">
        <v>127385</v>
      </c>
      <c r="D1626" s="390" t="s">
        <v>15415</v>
      </c>
      <c r="E1626" s="322">
        <v>183.6</v>
      </c>
      <c r="F1626" s="323">
        <v>42992</v>
      </c>
      <c r="G1626" s="322">
        <v>183.6</v>
      </c>
      <c r="H1626" s="322">
        <f t="shared" si="21"/>
        <v>0</v>
      </c>
      <c r="I1626" s="325" t="s">
        <v>15214</v>
      </c>
    </row>
    <row r="1627" spans="1:9" x14ac:dyDescent="0.25">
      <c r="A1627" s="359">
        <v>42991</v>
      </c>
      <c r="B1627" s="326" t="s">
        <v>29370</v>
      </c>
      <c r="C1627" s="327">
        <v>127386</v>
      </c>
      <c r="D1627" s="391" t="s">
        <v>15725</v>
      </c>
      <c r="E1627" s="328">
        <v>20175.8</v>
      </c>
      <c r="F1627" s="329">
        <v>42996</v>
      </c>
      <c r="G1627" s="328">
        <v>20175.8</v>
      </c>
      <c r="H1627" s="347">
        <f t="shared" si="21"/>
        <v>0</v>
      </c>
      <c r="I1627" s="331" t="s">
        <v>15214</v>
      </c>
    </row>
    <row r="1628" spans="1:9" x14ac:dyDescent="0.25">
      <c r="A1628" s="319">
        <v>42991</v>
      </c>
      <c r="B1628" s="320" t="s">
        <v>29371</v>
      </c>
      <c r="C1628" s="321">
        <v>127387</v>
      </c>
      <c r="D1628" s="390" t="s">
        <v>15810</v>
      </c>
      <c r="E1628" s="322">
        <v>459.8</v>
      </c>
      <c r="F1628" s="323">
        <v>42991</v>
      </c>
      <c r="G1628" s="322">
        <v>459.8</v>
      </c>
      <c r="H1628" s="322">
        <f t="shared" si="21"/>
        <v>0</v>
      </c>
      <c r="I1628" s="325" t="s">
        <v>15214</v>
      </c>
    </row>
    <row r="1629" spans="1:9" x14ac:dyDescent="0.25">
      <c r="A1629" s="359">
        <v>42991</v>
      </c>
      <c r="B1629" s="326" t="s">
        <v>29372</v>
      </c>
      <c r="C1629" s="327">
        <v>127388</v>
      </c>
      <c r="D1629" s="391" t="s">
        <v>15810</v>
      </c>
      <c r="E1629" s="328">
        <v>62.5</v>
      </c>
      <c r="F1629" s="329">
        <v>42991</v>
      </c>
      <c r="G1629" s="328">
        <v>62.5</v>
      </c>
      <c r="H1629" s="347">
        <f t="shared" si="21"/>
        <v>0</v>
      </c>
      <c r="I1629" s="331" t="s">
        <v>15214</v>
      </c>
    </row>
    <row r="1630" spans="1:9" x14ac:dyDescent="0.25">
      <c r="A1630" s="319">
        <v>42991</v>
      </c>
      <c r="B1630" s="320" t="s">
        <v>29373</v>
      </c>
      <c r="C1630" s="321">
        <v>127389</v>
      </c>
      <c r="D1630" s="390" t="s">
        <v>15810</v>
      </c>
      <c r="E1630" s="322">
        <v>6764</v>
      </c>
      <c r="F1630" s="323">
        <v>42991</v>
      </c>
      <c r="G1630" s="322">
        <v>6764</v>
      </c>
      <c r="H1630" s="322">
        <f t="shared" si="21"/>
        <v>0</v>
      </c>
      <c r="I1630" s="325" t="s">
        <v>15214</v>
      </c>
    </row>
    <row r="1631" spans="1:9" x14ac:dyDescent="0.25">
      <c r="A1631" s="359">
        <v>42991</v>
      </c>
      <c r="B1631" s="326" t="s">
        <v>29374</v>
      </c>
      <c r="C1631" s="327">
        <v>127390</v>
      </c>
      <c r="D1631" s="391" t="s">
        <v>19768</v>
      </c>
      <c r="E1631" s="328">
        <v>1440</v>
      </c>
      <c r="F1631" s="329">
        <v>42991</v>
      </c>
      <c r="G1631" s="328">
        <v>1440</v>
      </c>
      <c r="H1631" s="347">
        <f t="shared" si="21"/>
        <v>0</v>
      </c>
      <c r="I1631" s="331" t="s">
        <v>15214</v>
      </c>
    </row>
    <row r="1632" spans="1:9" x14ac:dyDescent="0.25">
      <c r="A1632" s="319">
        <v>42991</v>
      </c>
      <c r="B1632" s="320" t="s">
        <v>29375</v>
      </c>
      <c r="C1632" s="321">
        <v>127391</v>
      </c>
      <c r="D1632" s="390" t="s">
        <v>23206</v>
      </c>
      <c r="E1632" s="322">
        <v>6359.2</v>
      </c>
      <c r="F1632" s="323">
        <v>42991</v>
      </c>
      <c r="G1632" s="322">
        <v>6359.2</v>
      </c>
      <c r="H1632" s="322">
        <f t="shared" si="21"/>
        <v>0</v>
      </c>
      <c r="I1632" s="325" t="s">
        <v>15214</v>
      </c>
    </row>
    <row r="1633" spans="1:9" x14ac:dyDescent="0.25">
      <c r="A1633" s="359">
        <v>42991</v>
      </c>
      <c r="B1633" s="326" t="s">
        <v>29376</v>
      </c>
      <c r="C1633" s="327">
        <v>127392</v>
      </c>
      <c r="D1633" s="391" t="s">
        <v>15282</v>
      </c>
      <c r="E1633" s="328">
        <v>2462.1999999999998</v>
      </c>
      <c r="F1633" s="329">
        <v>42991</v>
      </c>
      <c r="G1633" s="328">
        <v>2462.1999999999998</v>
      </c>
      <c r="H1633" s="347">
        <f t="shared" si="21"/>
        <v>0</v>
      </c>
      <c r="I1633" s="331" t="s">
        <v>15214</v>
      </c>
    </row>
    <row r="1634" spans="1:9" x14ac:dyDescent="0.25">
      <c r="A1634" s="319">
        <v>42991</v>
      </c>
      <c r="B1634" s="320" t="s">
        <v>29377</v>
      </c>
      <c r="C1634" s="321">
        <v>127393</v>
      </c>
      <c r="D1634" s="390" t="s">
        <v>15267</v>
      </c>
      <c r="E1634" s="322">
        <v>31121.56</v>
      </c>
      <c r="F1634" s="323">
        <v>42991</v>
      </c>
      <c r="G1634" s="322">
        <v>31121.56</v>
      </c>
      <c r="H1634" s="322">
        <f t="shared" si="21"/>
        <v>0</v>
      </c>
      <c r="I1634" s="325" t="s">
        <v>15214</v>
      </c>
    </row>
    <row r="1635" spans="1:9" x14ac:dyDescent="0.25">
      <c r="A1635" s="359">
        <v>42991</v>
      </c>
      <c r="B1635" s="326" t="s">
        <v>29378</v>
      </c>
      <c r="C1635" s="327">
        <v>127394</v>
      </c>
      <c r="D1635" s="391" t="s">
        <v>15378</v>
      </c>
      <c r="E1635" s="328">
        <v>643.20000000000005</v>
      </c>
      <c r="F1635" s="329">
        <v>42991</v>
      </c>
      <c r="G1635" s="328">
        <v>643.20000000000005</v>
      </c>
      <c r="H1635" s="347">
        <f t="shared" si="21"/>
        <v>0</v>
      </c>
      <c r="I1635" s="331" t="s">
        <v>15214</v>
      </c>
    </row>
    <row r="1636" spans="1:9" x14ac:dyDescent="0.25">
      <c r="A1636" s="319">
        <v>42991</v>
      </c>
      <c r="B1636" s="320" t="s">
        <v>29379</v>
      </c>
      <c r="C1636" s="321">
        <v>127395</v>
      </c>
      <c r="D1636" s="390" t="s">
        <v>15566</v>
      </c>
      <c r="E1636" s="322">
        <v>3137.2</v>
      </c>
      <c r="F1636" s="323">
        <v>42991</v>
      </c>
      <c r="G1636" s="322">
        <v>3137.2</v>
      </c>
      <c r="H1636" s="322">
        <f t="shared" si="21"/>
        <v>0</v>
      </c>
      <c r="I1636" s="325" t="s">
        <v>15214</v>
      </c>
    </row>
    <row r="1637" spans="1:9" x14ac:dyDescent="0.25">
      <c r="A1637" s="359">
        <v>42991</v>
      </c>
      <c r="B1637" s="326" t="s">
        <v>29380</v>
      </c>
      <c r="C1637" s="327">
        <v>127396</v>
      </c>
      <c r="D1637" s="391" t="s">
        <v>15284</v>
      </c>
      <c r="E1637" s="328">
        <v>1152.5999999999999</v>
      </c>
      <c r="F1637" s="329">
        <v>42991</v>
      </c>
      <c r="G1637" s="328">
        <v>1152.5999999999999</v>
      </c>
      <c r="H1637" s="347">
        <f t="shared" si="21"/>
        <v>0</v>
      </c>
      <c r="I1637" s="331" t="s">
        <v>15214</v>
      </c>
    </row>
    <row r="1638" spans="1:9" x14ac:dyDescent="0.25">
      <c r="A1638" s="319">
        <v>42991</v>
      </c>
      <c r="B1638" s="320" t="s">
        <v>29381</v>
      </c>
      <c r="C1638" s="321">
        <v>127397</v>
      </c>
      <c r="D1638" s="390" t="s">
        <v>15367</v>
      </c>
      <c r="E1638" s="322">
        <v>5400</v>
      </c>
      <c r="F1638" s="323">
        <v>42992</v>
      </c>
      <c r="G1638" s="322">
        <v>5400</v>
      </c>
      <c r="H1638" s="322">
        <f t="shared" si="21"/>
        <v>0</v>
      </c>
      <c r="I1638" s="325" t="s">
        <v>15214</v>
      </c>
    </row>
    <row r="1639" spans="1:9" ht="15.75" x14ac:dyDescent="0.25">
      <c r="A1639" s="359">
        <v>42991</v>
      </c>
      <c r="B1639" s="326" t="s">
        <v>29382</v>
      </c>
      <c r="C1639" s="327">
        <v>127398</v>
      </c>
      <c r="D1639" s="345" t="s">
        <v>95</v>
      </c>
      <c r="E1639" s="328">
        <v>0</v>
      </c>
      <c r="F1639" s="346" t="s">
        <v>95</v>
      </c>
      <c r="G1639" s="328">
        <v>0</v>
      </c>
      <c r="H1639" s="347">
        <f t="shared" si="21"/>
        <v>0</v>
      </c>
      <c r="I1639" s="331" t="s">
        <v>95</v>
      </c>
    </row>
    <row r="1640" spans="1:9" x14ac:dyDescent="0.25">
      <c r="A1640" s="319">
        <v>42991</v>
      </c>
      <c r="B1640" s="320" t="s">
        <v>29383</v>
      </c>
      <c r="C1640" s="321">
        <v>127399</v>
      </c>
      <c r="D1640" s="390" t="s">
        <v>15716</v>
      </c>
      <c r="E1640" s="322">
        <v>193.8</v>
      </c>
      <c r="F1640" s="323">
        <v>42991</v>
      </c>
      <c r="G1640" s="322">
        <v>193.8</v>
      </c>
      <c r="H1640" s="322">
        <f t="shared" si="21"/>
        <v>0</v>
      </c>
      <c r="I1640" s="325" t="s">
        <v>15214</v>
      </c>
    </row>
    <row r="1641" spans="1:9" x14ac:dyDescent="0.25">
      <c r="A1641" s="359">
        <v>42991</v>
      </c>
      <c r="B1641" s="326" t="s">
        <v>29384</v>
      </c>
      <c r="C1641" s="327">
        <v>127400</v>
      </c>
      <c r="D1641" s="391" t="s">
        <v>15716</v>
      </c>
      <c r="E1641" s="328">
        <v>10139.25</v>
      </c>
      <c r="F1641" s="329">
        <v>42991</v>
      </c>
      <c r="G1641" s="328">
        <v>10139.25</v>
      </c>
      <c r="H1641" s="347">
        <f t="shared" si="21"/>
        <v>0</v>
      </c>
      <c r="I1641" s="331" t="s">
        <v>15214</v>
      </c>
    </row>
    <row r="1642" spans="1:9" x14ac:dyDescent="0.25">
      <c r="A1642" s="319">
        <v>42991</v>
      </c>
      <c r="B1642" s="320" t="s">
        <v>29385</v>
      </c>
      <c r="C1642" s="321">
        <v>127401</v>
      </c>
      <c r="D1642" s="390" t="s">
        <v>15398</v>
      </c>
      <c r="E1642" s="322">
        <v>636.6</v>
      </c>
      <c r="F1642" s="323">
        <v>42991</v>
      </c>
      <c r="G1642" s="322">
        <v>636.6</v>
      </c>
      <c r="H1642" s="322">
        <f t="shared" si="21"/>
        <v>0</v>
      </c>
      <c r="I1642" s="325" t="s">
        <v>15214</v>
      </c>
    </row>
    <row r="1643" spans="1:9" x14ac:dyDescent="0.25">
      <c r="A1643" s="359">
        <v>42991</v>
      </c>
      <c r="B1643" s="326" t="s">
        <v>29386</v>
      </c>
      <c r="C1643" s="327">
        <v>127402</v>
      </c>
      <c r="D1643" s="391" t="s">
        <v>15884</v>
      </c>
      <c r="E1643" s="328">
        <v>2383.1999999999998</v>
      </c>
      <c r="F1643" s="329">
        <v>42991</v>
      </c>
      <c r="G1643" s="328">
        <v>2383.1999999999998</v>
      </c>
      <c r="H1643" s="347">
        <f t="shared" si="21"/>
        <v>0</v>
      </c>
      <c r="I1643" s="331" t="s">
        <v>15214</v>
      </c>
    </row>
    <row r="1644" spans="1:9" x14ac:dyDescent="0.25">
      <c r="A1644" s="319">
        <v>42991</v>
      </c>
      <c r="B1644" s="320" t="s">
        <v>29387</v>
      </c>
      <c r="C1644" s="321">
        <v>127403</v>
      </c>
      <c r="D1644" s="390" t="s">
        <v>15442</v>
      </c>
      <c r="E1644" s="322">
        <v>707.6</v>
      </c>
      <c r="F1644" s="323">
        <v>42991</v>
      </c>
      <c r="G1644" s="322">
        <v>707.6</v>
      </c>
      <c r="H1644" s="322">
        <f t="shared" si="21"/>
        <v>0</v>
      </c>
      <c r="I1644" s="325" t="s">
        <v>15214</v>
      </c>
    </row>
    <row r="1645" spans="1:9" x14ac:dyDescent="0.25">
      <c r="A1645" s="359">
        <v>42991</v>
      </c>
      <c r="B1645" s="326" t="s">
        <v>29388</v>
      </c>
      <c r="C1645" s="327">
        <v>127404</v>
      </c>
      <c r="D1645" s="391" t="s">
        <v>15380</v>
      </c>
      <c r="E1645" s="328">
        <v>41530.6</v>
      </c>
      <c r="F1645" s="329">
        <v>43004</v>
      </c>
      <c r="G1645" s="328">
        <v>41530.6</v>
      </c>
      <c r="H1645" s="347">
        <f t="shared" si="21"/>
        <v>0</v>
      </c>
      <c r="I1645" s="331" t="s">
        <v>15214</v>
      </c>
    </row>
    <row r="1646" spans="1:9" x14ac:dyDescent="0.25">
      <c r="A1646" s="319">
        <v>42991</v>
      </c>
      <c r="B1646" s="320" t="s">
        <v>29389</v>
      </c>
      <c r="C1646" s="321">
        <v>127405</v>
      </c>
      <c r="D1646" s="390" t="s">
        <v>15369</v>
      </c>
      <c r="E1646" s="322">
        <v>40586.300000000003</v>
      </c>
      <c r="F1646" s="323">
        <v>43004</v>
      </c>
      <c r="G1646" s="322">
        <v>40586.300000000003</v>
      </c>
      <c r="H1646" s="322">
        <f t="shared" si="21"/>
        <v>0</v>
      </c>
      <c r="I1646" s="325" t="s">
        <v>15214</v>
      </c>
    </row>
    <row r="1647" spans="1:9" x14ac:dyDescent="0.25">
      <c r="A1647" s="359">
        <v>42991</v>
      </c>
      <c r="B1647" s="326" t="s">
        <v>29390</v>
      </c>
      <c r="C1647" s="327">
        <v>127406</v>
      </c>
      <c r="D1647" s="391" t="s">
        <v>15389</v>
      </c>
      <c r="E1647" s="328">
        <v>19309.8</v>
      </c>
      <c r="F1647" s="329">
        <v>43004</v>
      </c>
      <c r="G1647" s="328">
        <v>19309.8</v>
      </c>
      <c r="H1647" s="347">
        <f t="shared" si="21"/>
        <v>0</v>
      </c>
      <c r="I1647" s="331" t="s">
        <v>15214</v>
      </c>
    </row>
    <row r="1648" spans="1:9" x14ac:dyDescent="0.25">
      <c r="A1648" s="319">
        <v>42991</v>
      </c>
      <c r="B1648" s="320" t="s">
        <v>29391</v>
      </c>
      <c r="C1648" s="321">
        <v>127407</v>
      </c>
      <c r="D1648" s="390" t="s">
        <v>15382</v>
      </c>
      <c r="E1648" s="322">
        <v>9900.7999999999993</v>
      </c>
      <c r="F1648" s="323">
        <v>43004</v>
      </c>
      <c r="G1648" s="322">
        <v>9900.7999999999993</v>
      </c>
      <c r="H1648" s="322">
        <f t="shared" si="21"/>
        <v>0</v>
      </c>
      <c r="I1648" s="325" t="s">
        <v>15214</v>
      </c>
    </row>
    <row r="1649" spans="1:9" x14ac:dyDescent="0.25">
      <c r="A1649" s="359">
        <v>42991</v>
      </c>
      <c r="B1649" s="326" t="s">
        <v>29392</v>
      </c>
      <c r="C1649" s="327">
        <v>127408</v>
      </c>
      <c r="D1649" s="391" t="s">
        <v>15373</v>
      </c>
      <c r="E1649" s="328">
        <v>14582.4</v>
      </c>
      <c r="F1649" s="329">
        <v>42994</v>
      </c>
      <c r="G1649" s="328">
        <v>14582.4</v>
      </c>
      <c r="H1649" s="347">
        <f t="shared" ref="H1649:H1712" si="22">E1649-G1649</f>
        <v>0</v>
      </c>
      <c r="I1649" s="331" t="s">
        <v>15214</v>
      </c>
    </row>
    <row r="1650" spans="1:9" x14ac:dyDescent="0.25">
      <c r="A1650" s="319">
        <v>42991</v>
      </c>
      <c r="B1650" s="320" t="s">
        <v>29393</v>
      </c>
      <c r="C1650" s="321">
        <v>127409</v>
      </c>
      <c r="D1650" s="390" t="s">
        <v>15394</v>
      </c>
      <c r="E1650" s="322">
        <v>19555</v>
      </c>
      <c r="F1650" s="323">
        <v>42997</v>
      </c>
      <c r="G1650" s="322">
        <v>19555</v>
      </c>
      <c r="H1650" s="322">
        <f t="shared" si="22"/>
        <v>0</v>
      </c>
      <c r="I1650" s="325" t="s">
        <v>15214</v>
      </c>
    </row>
    <row r="1651" spans="1:9" x14ac:dyDescent="0.25">
      <c r="A1651" s="359">
        <v>42991</v>
      </c>
      <c r="B1651" s="326" t="s">
        <v>29394</v>
      </c>
      <c r="C1651" s="327">
        <v>127410</v>
      </c>
      <c r="D1651" s="391" t="s">
        <v>15322</v>
      </c>
      <c r="E1651" s="328">
        <v>825</v>
      </c>
      <c r="F1651" s="329">
        <v>42991</v>
      </c>
      <c r="G1651" s="328">
        <v>825</v>
      </c>
      <c r="H1651" s="347">
        <f t="shared" si="22"/>
        <v>0</v>
      </c>
      <c r="I1651" s="331" t="s">
        <v>15214</v>
      </c>
    </row>
    <row r="1652" spans="1:9" x14ac:dyDescent="0.25">
      <c r="A1652" s="319">
        <v>42991</v>
      </c>
      <c r="B1652" s="320" t="s">
        <v>29395</v>
      </c>
      <c r="C1652" s="321">
        <v>127411</v>
      </c>
      <c r="D1652" s="390" t="s">
        <v>19684</v>
      </c>
      <c r="E1652" s="322">
        <v>4613.8</v>
      </c>
      <c r="F1652" s="323">
        <v>42991</v>
      </c>
      <c r="G1652" s="322">
        <v>4613.8</v>
      </c>
      <c r="H1652" s="322">
        <f t="shared" si="22"/>
        <v>0</v>
      </c>
      <c r="I1652" s="325" t="s">
        <v>15214</v>
      </c>
    </row>
    <row r="1653" spans="1:9" x14ac:dyDescent="0.25">
      <c r="A1653" s="359">
        <v>42991</v>
      </c>
      <c r="B1653" s="326" t="s">
        <v>29396</v>
      </c>
      <c r="C1653" s="327">
        <v>127412</v>
      </c>
      <c r="D1653" s="391" t="s">
        <v>15267</v>
      </c>
      <c r="E1653" s="328">
        <v>33958.050000000003</v>
      </c>
      <c r="F1653" s="329">
        <v>42991</v>
      </c>
      <c r="G1653" s="328">
        <v>33958.050000000003</v>
      </c>
      <c r="H1653" s="347">
        <f t="shared" si="22"/>
        <v>0</v>
      </c>
      <c r="I1653" s="331" t="s">
        <v>15214</v>
      </c>
    </row>
    <row r="1654" spans="1:9" x14ac:dyDescent="0.25">
      <c r="A1654" s="319">
        <v>42991</v>
      </c>
      <c r="B1654" s="320" t="s">
        <v>29397</v>
      </c>
      <c r="C1654" s="321">
        <v>127413</v>
      </c>
      <c r="D1654" s="390" t="s">
        <v>19776</v>
      </c>
      <c r="E1654" s="322">
        <v>8460</v>
      </c>
      <c r="F1654" s="323">
        <v>42992</v>
      </c>
      <c r="G1654" s="322">
        <v>8460</v>
      </c>
      <c r="H1654" s="322">
        <f t="shared" si="22"/>
        <v>0</v>
      </c>
      <c r="I1654" s="325" t="s">
        <v>15214</v>
      </c>
    </row>
    <row r="1655" spans="1:9" x14ac:dyDescent="0.25">
      <c r="A1655" s="359">
        <v>42991</v>
      </c>
      <c r="B1655" s="326" t="s">
        <v>29398</v>
      </c>
      <c r="C1655" s="327">
        <v>127414</v>
      </c>
      <c r="D1655" s="391" t="s">
        <v>15568</v>
      </c>
      <c r="E1655" s="328">
        <v>21449.65</v>
      </c>
      <c r="F1655" s="329">
        <v>42992</v>
      </c>
      <c r="G1655" s="328">
        <v>21449.65</v>
      </c>
      <c r="H1655" s="347">
        <f t="shared" si="22"/>
        <v>0</v>
      </c>
      <c r="I1655" s="331" t="s">
        <v>15214</v>
      </c>
    </row>
    <row r="1656" spans="1:9" x14ac:dyDescent="0.25">
      <c r="A1656" s="319">
        <v>42991</v>
      </c>
      <c r="B1656" s="320" t="s">
        <v>29399</v>
      </c>
      <c r="C1656" s="321">
        <v>127415</v>
      </c>
      <c r="D1656" s="390" t="s">
        <v>15581</v>
      </c>
      <c r="E1656" s="322">
        <v>10940.6</v>
      </c>
      <c r="F1656" s="323">
        <v>42997</v>
      </c>
      <c r="G1656" s="322">
        <v>10940.6</v>
      </c>
      <c r="H1656" s="322">
        <f t="shared" si="22"/>
        <v>0</v>
      </c>
      <c r="I1656" s="325" t="s">
        <v>15214</v>
      </c>
    </row>
    <row r="1657" spans="1:9" x14ac:dyDescent="0.25">
      <c r="A1657" s="359">
        <v>42991</v>
      </c>
      <c r="B1657" s="326" t="s">
        <v>29400</v>
      </c>
      <c r="C1657" s="327">
        <v>127416</v>
      </c>
      <c r="D1657" s="391" t="s">
        <v>15555</v>
      </c>
      <c r="E1657" s="328">
        <v>15596.2</v>
      </c>
      <c r="F1657" s="329">
        <v>42992</v>
      </c>
      <c r="G1657" s="328">
        <v>15596.2</v>
      </c>
      <c r="H1657" s="347">
        <f t="shared" si="22"/>
        <v>0</v>
      </c>
      <c r="I1657" s="331" t="s">
        <v>15214</v>
      </c>
    </row>
    <row r="1658" spans="1:9" x14ac:dyDescent="0.25">
      <c r="A1658" s="319">
        <v>42991</v>
      </c>
      <c r="B1658" s="320" t="s">
        <v>29401</v>
      </c>
      <c r="C1658" s="321">
        <v>127417</v>
      </c>
      <c r="D1658" s="390" t="s">
        <v>15818</v>
      </c>
      <c r="E1658" s="322">
        <v>2329.1999999999998</v>
      </c>
      <c r="F1658" s="323">
        <v>42991</v>
      </c>
      <c r="G1658" s="322">
        <v>2329.1999999999998</v>
      </c>
      <c r="H1658" s="322">
        <f t="shared" si="22"/>
        <v>0</v>
      </c>
      <c r="I1658" s="325" t="s">
        <v>15214</v>
      </c>
    </row>
    <row r="1659" spans="1:9" x14ac:dyDescent="0.25">
      <c r="A1659" s="359">
        <v>42991</v>
      </c>
      <c r="B1659" s="326" t="s">
        <v>29402</v>
      </c>
      <c r="C1659" s="327">
        <v>127418</v>
      </c>
      <c r="D1659" s="391" t="s">
        <v>15699</v>
      </c>
      <c r="E1659" s="328">
        <v>13083.2</v>
      </c>
      <c r="F1659" s="329">
        <v>42992</v>
      </c>
      <c r="G1659" s="328">
        <v>13083.2</v>
      </c>
      <c r="H1659" s="347">
        <f t="shared" si="22"/>
        <v>0</v>
      </c>
      <c r="I1659" s="331" t="s">
        <v>15214</v>
      </c>
    </row>
    <row r="1660" spans="1:9" x14ac:dyDescent="0.25">
      <c r="A1660" s="319">
        <v>42991</v>
      </c>
      <c r="B1660" s="320" t="s">
        <v>29403</v>
      </c>
      <c r="C1660" s="321">
        <v>127419</v>
      </c>
      <c r="D1660" s="390" t="s">
        <v>19699</v>
      </c>
      <c r="E1660" s="322">
        <v>1920</v>
      </c>
      <c r="F1660" s="323">
        <v>42991</v>
      </c>
      <c r="G1660" s="322">
        <v>1920</v>
      </c>
      <c r="H1660" s="322">
        <f t="shared" si="22"/>
        <v>0</v>
      </c>
      <c r="I1660" s="325" t="s">
        <v>15214</v>
      </c>
    </row>
    <row r="1661" spans="1:9" x14ac:dyDescent="0.25">
      <c r="A1661" s="359">
        <v>42991</v>
      </c>
      <c r="B1661" s="326" t="s">
        <v>29404</v>
      </c>
      <c r="C1661" s="327">
        <v>127420</v>
      </c>
      <c r="D1661" s="391" t="s">
        <v>15315</v>
      </c>
      <c r="E1661" s="328">
        <v>204</v>
      </c>
      <c r="F1661" s="329">
        <v>42991</v>
      </c>
      <c r="G1661" s="328">
        <v>204</v>
      </c>
      <c r="H1661" s="347">
        <f t="shared" si="22"/>
        <v>0</v>
      </c>
      <c r="I1661" s="331" t="s">
        <v>15214</v>
      </c>
    </row>
    <row r="1662" spans="1:9" x14ac:dyDescent="0.25">
      <c r="A1662" s="319">
        <v>42991</v>
      </c>
      <c r="B1662" s="320" t="s">
        <v>29405</v>
      </c>
      <c r="C1662" s="321">
        <v>127421</v>
      </c>
      <c r="D1662" s="390" t="s">
        <v>15365</v>
      </c>
      <c r="E1662" s="322">
        <v>254930</v>
      </c>
      <c r="F1662" s="323">
        <v>42999</v>
      </c>
      <c r="G1662" s="322">
        <v>254930</v>
      </c>
      <c r="H1662" s="322">
        <f t="shared" si="22"/>
        <v>0</v>
      </c>
      <c r="I1662" s="325" t="s">
        <v>15214</v>
      </c>
    </row>
    <row r="1663" spans="1:9" x14ac:dyDescent="0.25">
      <c r="A1663" s="359">
        <v>42991</v>
      </c>
      <c r="B1663" s="326" t="s">
        <v>29406</v>
      </c>
      <c r="C1663" s="327">
        <v>127422</v>
      </c>
      <c r="D1663" s="391" t="s">
        <v>15315</v>
      </c>
      <c r="E1663" s="328">
        <v>14591.2</v>
      </c>
      <c r="F1663" s="329">
        <v>42991</v>
      </c>
      <c r="G1663" s="328">
        <v>14591.2</v>
      </c>
      <c r="H1663" s="347">
        <f t="shared" si="22"/>
        <v>0</v>
      </c>
      <c r="I1663" s="331" t="s">
        <v>15214</v>
      </c>
    </row>
    <row r="1664" spans="1:9" x14ac:dyDescent="0.25">
      <c r="A1664" s="319">
        <v>42991</v>
      </c>
      <c r="B1664" s="320" t="s">
        <v>29407</v>
      </c>
      <c r="C1664" s="321">
        <v>127423</v>
      </c>
      <c r="D1664" s="390" t="s">
        <v>15309</v>
      </c>
      <c r="E1664" s="322">
        <v>6174</v>
      </c>
      <c r="F1664" s="323">
        <v>42992</v>
      </c>
      <c r="G1664" s="322">
        <v>6174</v>
      </c>
      <c r="H1664" s="322">
        <f t="shared" si="22"/>
        <v>0</v>
      </c>
      <c r="I1664" s="325" t="s">
        <v>15214</v>
      </c>
    </row>
    <row r="1665" spans="1:9" x14ac:dyDescent="0.25">
      <c r="A1665" s="359">
        <v>42991</v>
      </c>
      <c r="B1665" s="326" t="s">
        <v>29408</v>
      </c>
      <c r="C1665" s="327">
        <v>127424</v>
      </c>
      <c r="D1665" s="391" t="s">
        <v>15759</v>
      </c>
      <c r="E1665" s="328">
        <v>3254.12</v>
      </c>
      <c r="F1665" s="329">
        <v>42992</v>
      </c>
      <c r="G1665" s="328">
        <v>3254.12</v>
      </c>
      <c r="H1665" s="347">
        <f t="shared" si="22"/>
        <v>0</v>
      </c>
      <c r="I1665" s="331" t="s">
        <v>15214</v>
      </c>
    </row>
    <row r="1666" spans="1:9" ht="30" x14ac:dyDescent="0.25">
      <c r="A1666" s="319">
        <v>42991</v>
      </c>
      <c r="B1666" s="320" t="s">
        <v>29409</v>
      </c>
      <c r="C1666" s="321">
        <v>127425</v>
      </c>
      <c r="D1666" s="390" t="s">
        <v>15745</v>
      </c>
      <c r="E1666" s="322">
        <v>3128.12</v>
      </c>
      <c r="F1666" s="323" t="s">
        <v>29160</v>
      </c>
      <c r="G1666" s="334">
        <f>2397.12+731</f>
        <v>3128.12</v>
      </c>
      <c r="H1666" s="334">
        <f t="shared" si="22"/>
        <v>0</v>
      </c>
      <c r="I1666" s="325" t="s">
        <v>15214</v>
      </c>
    </row>
    <row r="1667" spans="1:9" x14ac:dyDescent="0.25">
      <c r="A1667" s="359">
        <v>42991</v>
      </c>
      <c r="B1667" s="326" t="s">
        <v>29410</v>
      </c>
      <c r="C1667" s="327">
        <v>127426</v>
      </c>
      <c r="D1667" s="391" t="s">
        <v>5828</v>
      </c>
      <c r="E1667" s="328">
        <v>9432.7999999999993</v>
      </c>
      <c r="F1667" s="329">
        <v>42992</v>
      </c>
      <c r="G1667" s="328">
        <v>9432.7999999999993</v>
      </c>
      <c r="H1667" s="347">
        <f t="shared" si="22"/>
        <v>0</v>
      </c>
      <c r="I1667" s="331" t="s">
        <v>15214</v>
      </c>
    </row>
    <row r="1668" spans="1:9" x14ac:dyDescent="0.25">
      <c r="A1668" s="319">
        <v>42991</v>
      </c>
      <c r="B1668" s="320" t="s">
        <v>29411</v>
      </c>
      <c r="C1668" s="321">
        <v>127427</v>
      </c>
      <c r="D1668" s="390" t="s">
        <v>15442</v>
      </c>
      <c r="E1668" s="322">
        <v>18319.5</v>
      </c>
      <c r="F1668" s="323">
        <v>42999</v>
      </c>
      <c r="G1668" s="322">
        <v>18319.5</v>
      </c>
      <c r="H1668" s="322">
        <f t="shared" si="22"/>
        <v>0</v>
      </c>
      <c r="I1668" s="325" t="s">
        <v>15214</v>
      </c>
    </row>
    <row r="1669" spans="1:9" ht="15.75" x14ac:dyDescent="0.25">
      <c r="A1669" s="359">
        <v>42991</v>
      </c>
      <c r="B1669" s="326" t="s">
        <v>29412</v>
      </c>
      <c r="C1669" s="327">
        <v>127428</v>
      </c>
      <c r="D1669" s="345" t="s">
        <v>95</v>
      </c>
      <c r="E1669" s="328">
        <v>0</v>
      </c>
      <c r="F1669" s="346" t="s">
        <v>95</v>
      </c>
      <c r="G1669" s="328">
        <v>0</v>
      </c>
      <c r="H1669" s="347">
        <f t="shared" si="22"/>
        <v>0</v>
      </c>
      <c r="I1669" s="331" t="s">
        <v>95</v>
      </c>
    </row>
    <row r="1670" spans="1:9" x14ac:dyDescent="0.25">
      <c r="A1670" s="319">
        <v>42991</v>
      </c>
      <c r="B1670" s="320" t="s">
        <v>29413</v>
      </c>
      <c r="C1670" s="321">
        <v>127429</v>
      </c>
      <c r="D1670" s="390" t="s">
        <v>15614</v>
      </c>
      <c r="E1670" s="322">
        <v>4029.7</v>
      </c>
      <c r="F1670" s="323">
        <v>42997</v>
      </c>
      <c r="G1670" s="322">
        <v>4029.7</v>
      </c>
      <c r="H1670" s="322">
        <f t="shared" si="22"/>
        <v>0</v>
      </c>
      <c r="I1670" s="325" t="s">
        <v>15214</v>
      </c>
    </row>
    <row r="1671" spans="1:9" x14ac:dyDescent="0.25">
      <c r="A1671" s="359">
        <v>42991</v>
      </c>
      <c r="B1671" s="326" t="s">
        <v>29414</v>
      </c>
      <c r="C1671" s="327">
        <v>127430</v>
      </c>
      <c r="D1671" s="391" t="s">
        <v>15407</v>
      </c>
      <c r="E1671" s="328">
        <v>6396.2</v>
      </c>
      <c r="F1671" s="329">
        <v>42991</v>
      </c>
      <c r="G1671" s="328">
        <v>6396.2</v>
      </c>
      <c r="H1671" s="347">
        <f t="shared" si="22"/>
        <v>0</v>
      </c>
      <c r="I1671" s="331" t="s">
        <v>15214</v>
      </c>
    </row>
    <row r="1672" spans="1:9" x14ac:dyDescent="0.25">
      <c r="A1672" s="319">
        <v>42991</v>
      </c>
      <c r="B1672" s="320" t="s">
        <v>29415</v>
      </c>
      <c r="C1672" s="321">
        <v>127431</v>
      </c>
      <c r="D1672" s="390" t="s">
        <v>15246</v>
      </c>
      <c r="E1672" s="322">
        <v>201349.05</v>
      </c>
      <c r="F1672" s="323">
        <v>42997</v>
      </c>
      <c r="G1672" s="322">
        <v>201349.05</v>
      </c>
      <c r="H1672" s="322">
        <f t="shared" si="22"/>
        <v>0</v>
      </c>
      <c r="I1672" s="325" t="s">
        <v>15214</v>
      </c>
    </row>
    <row r="1673" spans="1:9" x14ac:dyDescent="0.25">
      <c r="A1673" s="359">
        <v>42991</v>
      </c>
      <c r="B1673" s="326" t="s">
        <v>29416</v>
      </c>
      <c r="C1673" s="327">
        <v>127432</v>
      </c>
      <c r="D1673" s="391" t="s">
        <v>15246</v>
      </c>
      <c r="E1673" s="328">
        <v>350636.28</v>
      </c>
      <c r="F1673" s="329">
        <v>42997</v>
      </c>
      <c r="G1673" s="328">
        <v>350636.28</v>
      </c>
      <c r="H1673" s="347">
        <f t="shared" si="22"/>
        <v>0</v>
      </c>
      <c r="I1673" s="331" t="s">
        <v>15214</v>
      </c>
    </row>
    <row r="1674" spans="1:9" ht="15.75" x14ac:dyDescent="0.25">
      <c r="A1674" s="319">
        <v>42991</v>
      </c>
      <c r="B1674" s="320" t="s">
        <v>29417</v>
      </c>
      <c r="C1674" s="321">
        <v>127433</v>
      </c>
      <c r="D1674" s="332" t="s">
        <v>95</v>
      </c>
      <c r="E1674" s="322">
        <v>0</v>
      </c>
      <c r="F1674" s="333" t="s">
        <v>95</v>
      </c>
      <c r="G1674" s="322">
        <v>0</v>
      </c>
      <c r="H1674" s="322">
        <f t="shared" si="22"/>
        <v>0</v>
      </c>
      <c r="I1674" s="325" t="s">
        <v>95</v>
      </c>
    </row>
    <row r="1675" spans="1:9" ht="15.75" x14ac:dyDescent="0.25">
      <c r="A1675" s="359">
        <v>42991</v>
      </c>
      <c r="B1675" s="326" t="s">
        <v>29418</v>
      </c>
      <c r="C1675" s="327">
        <v>127434</v>
      </c>
      <c r="D1675" s="345" t="s">
        <v>95</v>
      </c>
      <c r="E1675" s="328">
        <v>0</v>
      </c>
      <c r="F1675" s="346" t="s">
        <v>95</v>
      </c>
      <c r="G1675" s="328">
        <v>0</v>
      </c>
      <c r="H1675" s="347">
        <f t="shared" si="22"/>
        <v>0</v>
      </c>
      <c r="I1675" s="331" t="s">
        <v>95</v>
      </c>
    </row>
    <row r="1676" spans="1:9" x14ac:dyDescent="0.25">
      <c r="A1676" s="319">
        <v>42991</v>
      </c>
      <c r="B1676" s="320" t="s">
        <v>29419</v>
      </c>
      <c r="C1676" s="321">
        <v>127435</v>
      </c>
      <c r="D1676" s="390" t="s">
        <v>15413</v>
      </c>
      <c r="E1676" s="322">
        <v>4193.8999999999996</v>
      </c>
      <c r="F1676" s="323">
        <v>42991</v>
      </c>
      <c r="G1676" s="322">
        <v>4193.8999999999996</v>
      </c>
      <c r="H1676" s="322">
        <f t="shared" si="22"/>
        <v>0</v>
      </c>
      <c r="I1676" s="325" t="s">
        <v>15214</v>
      </c>
    </row>
    <row r="1677" spans="1:9" x14ac:dyDescent="0.25">
      <c r="A1677" s="359">
        <v>42991</v>
      </c>
      <c r="B1677" s="326" t="s">
        <v>29420</v>
      </c>
      <c r="C1677" s="327">
        <v>127436</v>
      </c>
      <c r="D1677" s="391" t="s">
        <v>15748</v>
      </c>
      <c r="E1677" s="328">
        <v>3479.22</v>
      </c>
      <c r="F1677" s="329">
        <v>42991</v>
      </c>
      <c r="G1677" s="328">
        <v>3479.22</v>
      </c>
      <c r="H1677" s="347">
        <f t="shared" si="22"/>
        <v>0</v>
      </c>
      <c r="I1677" s="331" t="s">
        <v>15214</v>
      </c>
    </row>
    <row r="1678" spans="1:9" x14ac:dyDescent="0.25">
      <c r="A1678" s="319">
        <v>42991</v>
      </c>
      <c r="B1678" s="320" t="s">
        <v>29421</v>
      </c>
      <c r="C1678" s="321">
        <v>127437</v>
      </c>
      <c r="D1678" s="390" t="s">
        <v>15748</v>
      </c>
      <c r="E1678" s="322">
        <v>745.2</v>
      </c>
      <c r="F1678" s="323">
        <v>42991</v>
      </c>
      <c r="G1678" s="322">
        <v>745.2</v>
      </c>
      <c r="H1678" s="322">
        <f t="shared" si="22"/>
        <v>0</v>
      </c>
      <c r="I1678" s="325" t="s">
        <v>15214</v>
      </c>
    </row>
    <row r="1679" spans="1:9" x14ac:dyDescent="0.25">
      <c r="A1679" s="359">
        <v>42991</v>
      </c>
      <c r="B1679" s="326" t="s">
        <v>29422</v>
      </c>
      <c r="C1679" s="327">
        <v>127438</v>
      </c>
      <c r="D1679" s="391" t="s">
        <v>15246</v>
      </c>
      <c r="E1679" s="328">
        <v>73485.460000000006</v>
      </c>
      <c r="F1679" s="329">
        <v>42997</v>
      </c>
      <c r="G1679" s="328">
        <v>73485.460000000006</v>
      </c>
      <c r="H1679" s="347">
        <f t="shared" si="22"/>
        <v>0</v>
      </c>
      <c r="I1679" s="331" t="s">
        <v>15214</v>
      </c>
    </row>
    <row r="1680" spans="1:9" x14ac:dyDescent="0.25">
      <c r="A1680" s="319">
        <v>42991</v>
      </c>
      <c r="B1680" s="320" t="s">
        <v>29423</v>
      </c>
      <c r="C1680" s="321">
        <v>127439</v>
      </c>
      <c r="D1680" s="390" t="s">
        <v>15246</v>
      </c>
      <c r="E1680" s="322">
        <v>7889.4</v>
      </c>
      <c r="F1680" s="323">
        <v>42997</v>
      </c>
      <c r="G1680" s="322">
        <v>7889.4</v>
      </c>
      <c r="H1680" s="322">
        <f t="shared" si="22"/>
        <v>0</v>
      </c>
      <c r="I1680" s="325" t="s">
        <v>15214</v>
      </c>
    </row>
    <row r="1681" spans="1:9" ht="15.75" x14ac:dyDescent="0.25">
      <c r="A1681" s="359">
        <v>42991</v>
      </c>
      <c r="B1681" s="326" t="s">
        <v>29424</v>
      </c>
      <c r="C1681" s="327">
        <v>127440</v>
      </c>
      <c r="D1681" s="345" t="s">
        <v>95</v>
      </c>
      <c r="E1681" s="328">
        <v>0</v>
      </c>
      <c r="F1681" s="346" t="s">
        <v>95</v>
      </c>
      <c r="G1681" s="328">
        <v>0</v>
      </c>
      <c r="H1681" s="347">
        <f t="shared" si="22"/>
        <v>0</v>
      </c>
      <c r="I1681" s="331" t="s">
        <v>95</v>
      </c>
    </row>
    <row r="1682" spans="1:9" x14ac:dyDescent="0.25">
      <c r="A1682" s="319">
        <v>42991</v>
      </c>
      <c r="B1682" s="320" t="s">
        <v>29425</v>
      </c>
      <c r="C1682" s="321">
        <v>127441</v>
      </c>
      <c r="D1682" s="390" t="s">
        <v>15936</v>
      </c>
      <c r="E1682" s="322">
        <v>21279.599999999999</v>
      </c>
      <c r="F1682" s="323">
        <v>42991</v>
      </c>
      <c r="G1682" s="322">
        <v>21279.599999999999</v>
      </c>
      <c r="H1682" s="322">
        <f t="shared" si="22"/>
        <v>0</v>
      </c>
      <c r="I1682" s="325" t="s">
        <v>15214</v>
      </c>
    </row>
    <row r="1683" spans="1:9" ht="15.75" x14ac:dyDescent="0.25">
      <c r="A1683" s="359">
        <v>42991</v>
      </c>
      <c r="B1683" s="326" t="s">
        <v>29426</v>
      </c>
      <c r="C1683" s="327">
        <v>127442</v>
      </c>
      <c r="D1683" s="345" t="s">
        <v>95</v>
      </c>
      <c r="E1683" s="328">
        <v>0</v>
      </c>
      <c r="F1683" s="346" t="s">
        <v>95</v>
      </c>
      <c r="G1683" s="328">
        <v>0</v>
      </c>
      <c r="H1683" s="347">
        <f t="shared" si="22"/>
        <v>0</v>
      </c>
      <c r="I1683" s="331" t="s">
        <v>95</v>
      </c>
    </row>
    <row r="1684" spans="1:9" x14ac:dyDescent="0.25">
      <c r="A1684" s="319">
        <v>42991</v>
      </c>
      <c r="B1684" s="320" t="s">
        <v>29427</v>
      </c>
      <c r="C1684" s="321">
        <v>127443</v>
      </c>
      <c r="D1684" s="390" t="s">
        <v>15263</v>
      </c>
      <c r="E1684" s="322">
        <v>1083.7</v>
      </c>
      <c r="F1684" s="323">
        <v>42991</v>
      </c>
      <c r="G1684" s="322">
        <v>1083.7</v>
      </c>
      <c r="H1684" s="322">
        <f t="shared" si="22"/>
        <v>0</v>
      </c>
      <c r="I1684" s="325" t="s">
        <v>15214</v>
      </c>
    </row>
    <row r="1685" spans="1:9" x14ac:dyDescent="0.25">
      <c r="A1685" s="359">
        <v>42991</v>
      </c>
      <c r="B1685" s="326" t="s">
        <v>29428</v>
      </c>
      <c r="C1685" s="327">
        <v>127444</v>
      </c>
      <c r="D1685" s="391" t="s">
        <v>15789</v>
      </c>
      <c r="E1685" s="328">
        <v>24480.2</v>
      </c>
      <c r="F1685" s="329">
        <v>42998</v>
      </c>
      <c r="G1685" s="328">
        <v>24480.2</v>
      </c>
      <c r="H1685" s="347">
        <f t="shared" si="22"/>
        <v>0</v>
      </c>
      <c r="I1685" s="331" t="s">
        <v>15214</v>
      </c>
    </row>
    <row r="1686" spans="1:9" x14ac:dyDescent="0.25">
      <c r="A1686" s="319">
        <v>42991</v>
      </c>
      <c r="B1686" s="320" t="s">
        <v>29429</v>
      </c>
      <c r="C1686" s="321">
        <v>127445</v>
      </c>
      <c r="D1686" s="390" t="s">
        <v>15435</v>
      </c>
      <c r="E1686" s="322">
        <v>8967.6</v>
      </c>
      <c r="F1686" s="323">
        <v>42992</v>
      </c>
      <c r="G1686" s="322">
        <v>8967.6</v>
      </c>
      <c r="H1686" s="322">
        <f t="shared" si="22"/>
        <v>0</v>
      </c>
      <c r="I1686" s="325" t="s">
        <v>15214</v>
      </c>
    </row>
    <row r="1687" spans="1:9" x14ac:dyDescent="0.25">
      <c r="A1687" s="359">
        <v>42991</v>
      </c>
      <c r="B1687" s="326" t="s">
        <v>29430</v>
      </c>
      <c r="C1687" s="327">
        <v>127446</v>
      </c>
      <c r="D1687" s="391" t="s">
        <v>15642</v>
      </c>
      <c r="E1687" s="328">
        <v>6014.4</v>
      </c>
      <c r="F1687" s="329">
        <v>42992</v>
      </c>
      <c r="G1687" s="328">
        <v>6014.4</v>
      </c>
      <c r="H1687" s="347">
        <f t="shared" si="22"/>
        <v>0</v>
      </c>
      <c r="I1687" s="331" t="s">
        <v>15214</v>
      </c>
    </row>
    <row r="1688" spans="1:9" ht="15.75" x14ac:dyDescent="0.25">
      <c r="A1688" s="319">
        <v>42992</v>
      </c>
      <c r="B1688" s="320" t="s">
        <v>29431</v>
      </c>
      <c r="C1688" s="321">
        <v>127447</v>
      </c>
      <c r="D1688" s="332" t="s">
        <v>95</v>
      </c>
      <c r="E1688" s="322">
        <v>0</v>
      </c>
      <c r="F1688" s="333" t="s">
        <v>95</v>
      </c>
      <c r="G1688" s="322">
        <v>0</v>
      </c>
      <c r="H1688" s="322">
        <f t="shared" si="22"/>
        <v>0</v>
      </c>
      <c r="I1688" s="398" t="s">
        <v>95</v>
      </c>
    </row>
    <row r="1689" spans="1:9" x14ac:dyDescent="0.25">
      <c r="A1689" s="359">
        <v>42992</v>
      </c>
      <c r="B1689" s="326" t="s">
        <v>29432</v>
      </c>
      <c r="C1689" s="327">
        <v>127448</v>
      </c>
      <c r="D1689" s="391" t="s">
        <v>21386</v>
      </c>
      <c r="E1689" s="328">
        <v>15227.85</v>
      </c>
      <c r="F1689" s="329">
        <v>42992</v>
      </c>
      <c r="G1689" s="328">
        <v>15227.85</v>
      </c>
      <c r="H1689" s="347">
        <f t="shared" si="22"/>
        <v>0</v>
      </c>
      <c r="I1689" s="331" t="s">
        <v>15214</v>
      </c>
    </row>
    <row r="1690" spans="1:9" x14ac:dyDescent="0.25">
      <c r="A1690" s="319">
        <v>42992</v>
      </c>
      <c r="B1690" s="320" t="s">
        <v>29433</v>
      </c>
      <c r="C1690" s="321">
        <v>127449</v>
      </c>
      <c r="D1690" s="390" t="s">
        <v>15213</v>
      </c>
      <c r="E1690" s="322">
        <v>66479.600000000006</v>
      </c>
      <c r="F1690" s="323">
        <v>42993</v>
      </c>
      <c r="G1690" s="322">
        <v>66479.600000000006</v>
      </c>
      <c r="H1690" s="322">
        <f t="shared" si="22"/>
        <v>0</v>
      </c>
      <c r="I1690" s="325" t="s">
        <v>15214</v>
      </c>
    </row>
    <row r="1691" spans="1:9" x14ac:dyDescent="0.25">
      <c r="A1691" s="359">
        <v>42992</v>
      </c>
      <c r="B1691" s="326" t="s">
        <v>29434</v>
      </c>
      <c r="C1691" s="327">
        <v>127450</v>
      </c>
      <c r="D1691" s="391" t="s">
        <v>15216</v>
      </c>
      <c r="E1691" s="328">
        <v>1246</v>
      </c>
      <c r="F1691" s="329">
        <v>42992</v>
      </c>
      <c r="G1691" s="328">
        <v>1246</v>
      </c>
      <c r="H1691" s="347">
        <f t="shared" si="22"/>
        <v>0</v>
      </c>
      <c r="I1691" s="331" t="s">
        <v>15214</v>
      </c>
    </row>
    <row r="1692" spans="1:9" x14ac:dyDescent="0.25">
      <c r="A1692" s="319">
        <v>42992</v>
      </c>
      <c r="B1692" s="320" t="s">
        <v>29435</v>
      </c>
      <c r="C1692" s="321">
        <v>127451</v>
      </c>
      <c r="D1692" s="390" t="s">
        <v>15272</v>
      </c>
      <c r="E1692" s="322">
        <v>25504.85</v>
      </c>
      <c r="F1692" s="323">
        <v>42992</v>
      </c>
      <c r="G1692" s="322">
        <v>25504.85</v>
      </c>
      <c r="H1692" s="322">
        <f t="shared" si="22"/>
        <v>0</v>
      </c>
      <c r="I1692" s="325" t="s">
        <v>15214</v>
      </c>
    </row>
    <row r="1693" spans="1:9" x14ac:dyDescent="0.25">
      <c r="A1693" s="359">
        <v>42992</v>
      </c>
      <c r="B1693" s="326" t="s">
        <v>29436</v>
      </c>
      <c r="C1693" s="327">
        <v>127452</v>
      </c>
      <c r="D1693" s="391" t="s">
        <v>18544</v>
      </c>
      <c r="E1693" s="328">
        <v>4227.6000000000004</v>
      </c>
      <c r="F1693" s="329">
        <v>42992</v>
      </c>
      <c r="G1693" s="328">
        <v>4227.6000000000004</v>
      </c>
      <c r="H1693" s="347">
        <f t="shared" si="22"/>
        <v>0</v>
      </c>
      <c r="I1693" s="331" t="s">
        <v>15214</v>
      </c>
    </row>
    <row r="1694" spans="1:9" x14ac:dyDescent="0.25">
      <c r="A1694" s="319">
        <v>42992</v>
      </c>
      <c r="B1694" s="320" t="s">
        <v>29437</v>
      </c>
      <c r="C1694" s="321">
        <v>127453</v>
      </c>
      <c r="D1694" s="390" t="s">
        <v>15230</v>
      </c>
      <c r="E1694" s="322">
        <v>12085.4</v>
      </c>
      <c r="F1694" s="323">
        <v>42997</v>
      </c>
      <c r="G1694" s="322">
        <v>12085.4</v>
      </c>
      <c r="H1694" s="322">
        <f t="shared" si="22"/>
        <v>0</v>
      </c>
      <c r="I1694" s="325" t="s">
        <v>15214</v>
      </c>
    </row>
    <row r="1695" spans="1:9" x14ac:dyDescent="0.25">
      <c r="A1695" s="359">
        <v>42992</v>
      </c>
      <c r="B1695" s="326" t="s">
        <v>29438</v>
      </c>
      <c r="C1695" s="327">
        <v>127454</v>
      </c>
      <c r="D1695" s="391" t="s">
        <v>15272</v>
      </c>
      <c r="E1695" s="328">
        <v>1140.8</v>
      </c>
      <c r="F1695" s="329">
        <v>42992</v>
      </c>
      <c r="G1695" s="328">
        <v>1140.8</v>
      </c>
      <c r="H1695" s="347">
        <f t="shared" si="22"/>
        <v>0</v>
      </c>
      <c r="I1695" s="331" t="s">
        <v>15214</v>
      </c>
    </row>
    <row r="1696" spans="1:9" ht="15.75" x14ac:dyDescent="0.25">
      <c r="A1696" s="319">
        <v>42992</v>
      </c>
      <c r="B1696" s="320" t="s">
        <v>29439</v>
      </c>
      <c r="C1696" s="321">
        <v>127455</v>
      </c>
      <c r="D1696" s="332" t="s">
        <v>95</v>
      </c>
      <c r="E1696" s="322">
        <v>0</v>
      </c>
      <c r="F1696" s="333" t="s">
        <v>95</v>
      </c>
      <c r="G1696" s="322">
        <v>0</v>
      </c>
      <c r="H1696" s="322">
        <f t="shared" si="22"/>
        <v>0</v>
      </c>
      <c r="I1696" s="325" t="s">
        <v>95</v>
      </c>
    </row>
    <row r="1697" spans="1:9" x14ac:dyDescent="0.25">
      <c r="A1697" s="359">
        <v>42992</v>
      </c>
      <c r="B1697" s="326" t="s">
        <v>29440</v>
      </c>
      <c r="C1697" s="327">
        <v>127456</v>
      </c>
      <c r="D1697" s="391" t="s">
        <v>15242</v>
      </c>
      <c r="E1697" s="328">
        <v>15241.6</v>
      </c>
      <c r="F1697" s="329">
        <v>42993</v>
      </c>
      <c r="G1697" s="328">
        <v>15241.6</v>
      </c>
      <c r="H1697" s="347">
        <f t="shared" si="22"/>
        <v>0</v>
      </c>
      <c r="I1697" s="331" t="s">
        <v>15214</v>
      </c>
    </row>
    <row r="1698" spans="1:9" x14ac:dyDescent="0.25">
      <c r="A1698" s="319">
        <v>42992</v>
      </c>
      <c r="B1698" s="320" t="s">
        <v>29441</v>
      </c>
      <c r="C1698" s="321">
        <v>127457</v>
      </c>
      <c r="D1698" s="390" t="s">
        <v>15348</v>
      </c>
      <c r="E1698" s="322">
        <v>3297.4</v>
      </c>
      <c r="F1698" s="323">
        <v>42993</v>
      </c>
      <c r="G1698" s="322">
        <v>3297.4</v>
      </c>
      <c r="H1698" s="322">
        <f t="shared" si="22"/>
        <v>0</v>
      </c>
      <c r="I1698" s="325" t="s">
        <v>15214</v>
      </c>
    </row>
    <row r="1699" spans="1:9" x14ac:dyDescent="0.25">
      <c r="A1699" s="359">
        <v>42992</v>
      </c>
      <c r="B1699" s="326" t="s">
        <v>29442</v>
      </c>
      <c r="C1699" s="327">
        <v>127458</v>
      </c>
      <c r="D1699" s="391" t="s">
        <v>15240</v>
      </c>
      <c r="E1699" s="328">
        <v>4180.7</v>
      </c>
      <c r="F1699" s="329">
        <v>42993</v>
      </c>
      <c r="G1699" s="328">
        <v>4180.7</v>
      </c>
      <c r="H1699" s="347">
        <f t="shared" si="22"/>
        <v>0</v>
      </c>
      <c r="I1699" s="331" t="s">
        <v>15214</v>
      </c>
    </row>
    <row r="1700" spans="1:9" x14ac:dyDescent="0.25">
      <c r="A1700" s="319">
        <v>42992</v>
      </c>
      <c r="B1700" s="320" t="s">
        <v>29443</v>
      </c>
      <c r="C1700" s="321">
        <v>127459</v>
      </c>
      <c r="D1700" s="390" t="s">
        <v>19780</v>
      </c>
      <c r="E1700" s="322">
        <v>11488.3</v>
      </c>
      <c r="F1700" s="323">
        <v>42996</v>
      </c>
      <c r="G1700" s="322">
        <v>11488.3</v>
      </c>
      <c r="H1700" s="322">
        <f t="shared" si="22"/>
        <v>0</v>
      </c>
      <c r="I1700" s="325" t="s">
        <v>15214</v>
      </c>
    </row>
    <row r="1701" spans="1:9" x14ac:dyDescent="0.25">
      <c r="A1701" s="359">
        <v>42992</v>
      </c>
      <c r="B1701" s="326" t="s">
        <v>29444</v>
      </c>
      <c r="C1701" s="327">
        <v>127460</v>
      </c>
      <c r="D1701" s="391" t="s">
        <v>15263</v>
      </c>
      <c r="E1701" s="328">
        <v>1730.8</v>
      </c>
      <c r="F1701" s="329">
        <v>42992</v>
      </c>
      <c r="G1701" s="328">
        <v>1730.8</v>
      </c>
      <c r="H1701" s="347">
        <f t="shared" si="22"/>
        <v>0</v>
      </c>
      <c r="I1701" s="331" t="s">
        <v>15214</v>
      </c>
    </row>
    <row r="1702" spans="1:9" x14ac:dyDescent="0.25">
      <c r="A1702" s="319">
        <v>42992</v>
      </c>
      <c r="B1702" s="320" t="s">
        <v>29445</v>
      </c>
      <c r="C1702" s="321">
        <v>127461</v>
      </c>
      <c r="D1702" s="390" t="s">
        <v>15263</v>
      </c>
      <c r="E1702" s="322">
        <v>92</v>
      </c>
      <c r="F1702" s="323">
        <v>42992</v>
      </c>
      <c r="G1702" s="322">
        <v>92</v>
      </c>
      <c r="H1702" s="322">
        <f t="shared" si="22"/>
        <v>0</v>
      </c>
      <c r="I1702" s="325" t="s">
        <v>15214</v>
      </c>
    </row>
    <row r="1703" spans="1:9" x14ac:dyDescent="0.25">
      <c r="A1703" s="359">
        <v>42992</v>
      </c>
      <c r="B1703" s="326" t="s">
        <v>29446</v>
      </c>
      <c r="C1703" s="327">
        <v>127462</v>
      </c>
      <c r="D1703" s="391" t="s">
        <v>15226</v>
      </c>
      <c r="E1703" s="328">
        <v>3115.4</v>
      </c>
      <c r="F1703" s="329">
        <v>42996</v>
      </c>
      <c r="G1703" s="328">
        <v>3115.4</v>
      </c>
      <c r="H1703" s="347">
        <f t="shared" si="22"/>
        <v>0</v>
      </c>
      <c r="I1703" s="331" t="s">
        <v>15214</v>
      </c>
    </row>
    <row r="1704" spans="1:9" x14ac:dyDescent="0.25">
      <c r="A1704" s="319">
        <v>42992</v>
      </c>
      <c r="B1704" s="320" t="s">
        <v>29447</v>
      </c>
      <c r="C1704" s="321">
        <v>127463</v>
      </c>
      <c r="D1704" s="390" t="s">
        <v>15352</v>
      </c>
      <c r="E1704" s="322">
        <v>454.4</v>
      </c>
      <c r="F1704" s="323">
        <v>42992</v>
      </c>
      <c r="G1704" s="322">
        <v>454.4</v>
      </c>
      <c r="H1704" s="322">
        <f t="shared" si="22"/>
        <v>0</v>
      </c>
      <c r="I1704" s="325" t="s">
        <v>15214</v>
      </c>
    </row>
    <row r="1705" spans="1:9" x14ac:dyDescent="0.25">
      <c r="A1705" s="359">
        <v>42992</v>
      </c>
      <c r="B1705" s="326" t="s">
        <v>29448</v>
      </c>
      <c r="C1705" s="327">
        <v>127464</v>
      </c>
      <c r="D1705" s="391" t="s">
        <v>15223</v>
      </c>
      <c r="E1705" s="328">
        <v>68661</v>
      </c>
      <c r="F1705" s="329">
        <v>43019</v>
      </c>
      <c r="G1705" s="328">
        <v>68661</v>
      </c>
      <c r="H1705" s="347">
        <f t="shared" si="22"/>
        <v>0</v>
      </c>
      <c r="I1705" s="331" t="s">
        <v>15214</v>
      </c>
    </row>
    <row r="1706" spans="1:9" x14ac:dyDescent="0.25">
      <c r="A1706" s="319">
        <v>42992</v>
      </c>
      <c r="B1706" s="320" t="s">
        <v>29449</v>
      </c>
      <c r="C1706" s="321">
        <v>127465</v>
      </c>
      <c r="D1706" s="390" t="s">
        <v>15371</v>
      </c>
      <c r="E1706" s="322">
        <v>5328</v>
      </c>
      <c r="F1706" s="323">
        <v>42993</v>
      </c>
      <c r="G1706" s="322">
        <v>5328</v>
      </c>
      <c r="H1706" s="322">
        <f t="shared" si="22"/>
        <v>0</v>
      </c>
      <c r="I1706" s="325" t="s">
        <v>15214</v>
      </c>
    </row>
    <row r="1707" spans="1:9" x14ac:dyDescent="0.25">
      <c r="A1707" s="359">
        <v>42992</v>
      </c>
      <c r="B1707" s="326" t="s">
        <v>29450</v>
      </c>
      <c r="C1707" s="327">
        <v>127466</v>
      </c>
      <c r="D1707" s="391" t="s">
        <v>15232</v>
      </c>
      <c r="E1707" s="328">
        <v>14481.57</v>
      </c>
      <c r="F1707" s="329">
        <v>42999</v>
      </c>
      <c r="G1707" s="328">
        <v>14481.57</v>
      </c>
      <c r="H1707" s="347">
        <f t="shared" si="22"/>
        <v>0</v>
      </c>
      <c r="I1707" s="331" t="s">
        <v>15214</v>
      </c>
    </row>
    <row r="1708" spans="1:9" x14ac:dyDescent="0.25">
      <c r="A1708" s="319">
        <v>42992</v>
      </c>
      <c r="B1708" s="320" t="s">
        <v>29451</v>
      </c>
      <c r="C1708" s="321">
        <v>127467</v>
      </c>
      <c r="D1708" s="390" t="s">
        <v>15280</v>
      </c>
      <c r="E1708" s="322">
        <v>7137.6</v>
      </c>
      <c r="F1708" s="323">
        <v>42992</v>
      </c>
      <c r="G1708" s="322">
        <v>7137.6</v>
      </c>
      <c r="H1708" s="322">
        <f t="shared" si="22"/>
        <v>0</v>
      </c>
      <c r="I1708" s="325" t="s">
        <v>15214</v>
      </c>
    </row>
    <row r="1709" spans="1:9" x14ac:dyDescent="0.25">
      <c r="A1709" s="359">
        <v>42992</v>
      </c>
      <c r="B1709" s="326" t="s">
        <v>29452</v>
      </c>
      <c r="C1709" s="327">
        <v>127468</v>
      </c>
      <c r="D1709" s="391" t="s">
        <v>15326</v>
      </c>
      <c r="E1709" s="328">
        <v>4744.8</v>
      </c>
      <c r="F1709" s="329">
        <v>42992</v>
      </c>
      <c r="G1709" s="328">
        <v>4744.8</v>
      </c>
      <c r="H1709" s="347">
        <f t="shared" si="22"/>
        <v>0</v>
      </c>
      <c r="I1709" s="331" t="s">
        <v>15214</v>
      </c>
    </row>
    <row r="1710" spans="1:9" x14ac:dyDescent="0.25">
      <c r="A1710" s="319">
        <v>42992</v>
      </c>
      <c r="B1710" s="320" t="s">
        <v>29453</v>
      </c>
      <c r="C1710" s="321">
        <v>127469</v>
      </c>
      <c r="D1710" s="390" t="s">
        <v>15326</v>
      </c>
      <c r="E1710" s="322">
        <v>118.8</v>
      </c>
      <c r="F1710" s="323">
        <v>42992</v>
      </c>
      <c r="G1710" s="322">
        <v>118.8</v>
      </c>
      <c r="H1710" s="322">
        <f t="shared" si="22"/>
        <v>0</v>
      </c>
      <c r="I1710" s="325" t="s">
        <v>15214</v>
      </c>
    </row>
    <row r="1711" spans="1:9" x14ac:dyDescent="0.25">
      <c r="A1711" s="359">
        <v>42992</v>
      </c>
      <c r="B1711" s="326" t="s">
        <v>29454</v>
      </c>
      <c r="C1711" s="327">
        <v>127470</v>
      </c>
      <c r="D1711" s="391" t="s">
        <v>15714</v>
      </c>
      <c r="E1711" s="328">
        <v>390</v>
      </c>
      <c r="F1711" s="329">
        <v>42992</v>
      </c>
      <c r="G1711" s="328">
        <v>390</v>
      </c>
      <c r="H1711" s="347">
        <f t="shared" si="22"/>
        <v>0</v>
      </c>
      <c r="I1711" s="331" t="s">
        <v>15214</v>
      </c>
    </row>
    <row r="1712" spans="1:9" x14ac:dyDescent="0.25">
      <c r="A1712" s="319">
        <v>42992</v>
      </c>
      <c r="B1712" s="320" t="s">
        <v>29455</v>
      </c>
      <c r="C1712" s="321">
        <v>127471</v>
      </c>
      <c r="D1712" s="390" t="s">
        <v>15448</v>
      </c>
      <c r="E1712" s="322">
        <v>173690.38</v>
      </c>
      <c r="F1712" s="323">
        <v>42993</v>
      </c>
      <c r="G1712" s="322">
        <v>173690.38</v>
      </c>
      <c r="H1712" s="322">
        <f t="shared" si="22"/>
        <v>0</v>
      </c>
      <c r="I1712" s="325" t="s">
        <v>15214</v>
      </c>
    </row>
    <row r="1713" spans="1:9" x14ac:dyDescent="0.25">
      <c r="A1713" s="359">
        <v>42992</v>
      </c>
      <c r="B1713" s="326" t="s">
        <v>29456</v>
      </c>
      <c r="C1713" s="327">
        <v>127472</v>
      </c>
      <c r="D1713" s="391" t="s">
        <v>15523</v>
      </c>
      <c r="E1713" s="328">
        <v>3600</v>
      </c>
      <c r="F1713" s="329">
        <v>42992</v>
      </c>
      <c r="G1713" s="328">
        <v>3600</v>
      </c>
      <c r="H1713" s="347">
        <f t="shared" ref="H1713:H1776" si="23">E1713-G1713</f>
        <v>0</v>
      </c>
      <c r="I1713" s="331" t="s">
        <v>15214</v>
      </c>
    </row>
    <row r="1714" spans="1:9" x14ac:dyDescent="0.25">
      <c r="A1714" s="319">
        <v>42992</v>
      </c>
      <c r="B1714" s="320" t="s">
        <v>29457</v>
      </c>
      <c r="C1714" s="321">
        <v>127473</v>
      </c>
      <c r="D1714" s="390" t="s">
        <v>15334</v>
      </c>
      <c r="E1714" s="322">
        <v>2808</v>
      </c>
      <c r="F1714" s="323">
        <v>42992</v>
      </c>
      <c r="G1714" s="322">
        <v>2808</v>
      </c>
      <c r="H1714" s="322">
        <f t="shared" si="23"/>
        <v>0</v>
      </c>
      <c r="I1714" s="325" t="s">
        <v>15214</v>
      </c>
    </row>
    <row r="1715" spans="1:9" x14ac:dyDescent="0.25">
      <c r="A1715" s="359">
        <v>42992</v>
      </c>
      <c r="B1715" s="326" t="s">
        <v>29458</v>
      </c>
      <c r="C1715" s="327">
        <v>127474</v>
      </c>
      <c r="D1715" s="391" t="s">
        <v>16171</v>
      </c>
      <c r="E1715" s="328">
        <v>2342.64</v>
      </c>
      <c r="F1715" s="329">
        <v>42992</v>
      </c>
      <c r="G1715" s="328">
        <v>2342.64</v>
      </c>
      <c r="H1715" s="347">
        <f t="shared" si="23"/>
        <v>0</v>
      </c>
      <c r="I1715" s="331" t="s">
        <v>15214</v>
      </c>
    </row>
    <row r="1716" spans="1:9" x14ac:dyDescent="0.25">
      <c r="A1716" s="319">
        <v>42992</v>
      </c>
      <c r="B1716" s="320" t="s">
        <v>29459</v>
      </c>
      <c r="C1716" s="321">
        <v>127475</v>
      </c>
      <c r="D1716" s="390" t="s">
        <v>15438</v>
      </c>
      <c r="E1716" s="322">
        <v>539.20000000000005</v>
      </c>
      <c r="F1716" s="323">
        <v>42992</v>
      </c>
      <c r="G1716" s="322">
        <v>539.20000000000005</v>
      </c>
      <c r="H1716" s="322">
        <f t="shared" si="23"/>
        <v>0</v>
      </c>
      <c r="I1716" s="325" t="s">
        <v>15214</v>
      </c>
    </row>
    <row r="1717" spans="1:9" x14ac:dyDescent="0.25">
      <c r="A1717" s="359">
        <v>42992</v>
      </c>
      <c r="B1717" s="326" t="s">
        <v>29460</v>
      </c>
      <c r="C1717" s="327">
        <v>127476</v>
      </c>
      <c r="D1717" s="391" t="s">
        <v>15344</v>
      </c>
      <c r="E1717" s="328">
        <v>5845</v>
      </c>
      <c r="F1717" s="329">
        <v>42992</v>
      </c>
      <c r="G1717" s="328">
        <v>5845</v>
      </c>
      <c r="H1717" s="347">
        <f t="shared" si="23"/>
        <v>0</v>
      </c>
      <c r="I1717" s="331" t="s">
        <v>15214</v>
      </c>
    </row>
    <row r="1718" spans="1:9" x14ac:dyDescent="0.25">
      <c r="A1718" s="319">
        <v>42992</v>
      </c>
      <c r="B1718" s="320" t="s">
        <v>29461</v>
      </c>
      <c r="C1718" s="321">
        <v>127477</v>
      </c>
      <c r="D1718" s="390" t="s">
        <v>15315</v>
      </c>
      <c r="E1718" s="322">
        <v>3145.8</v>
      </c>
      <c r="F1718" s="323">
        <v>42992</v>
      </c>
      <c r="G1718" s="322">
        <v>3145.8</v>
      </c>
      <c r="H1718" s="322">
        <f t="shared" si="23"/>
        <v>0</v>
      </c>
      <c r="I1718" s="325" t="s">
        <v>15214</v>
      </c>
    </row>
    <row r="1719" spans="1:9" ht="30" x14ac:dyDescent="0.25">
      <c r="A1719" s="359">
        <v>42992</v>
      </c>
      <c r="B1719" s="326" t="s">
        <v>29462</v>
      </c>
      <c r="C1719" s="327">
        <v>127478</v>
      </c>
      <c r="D1719" s="391" t="s">
        <v>15480</v>
      </c>
      <c r="E1719" s="328">
        <v>15622.6</v>
      </c>
      <c r="F1719" s="329" t="s">
        <v>29291</v>
      </c>
      <c r="G1719" s="347">
        <f>14000+1622.6</f>
        <v>15622.6</v>
      </c>
      <c r="H1719" s="347">
        <f t="shared" si="23"/>
        <v>0</v>
      </c>
      <c r="I1719" s="331" t="s">
        <v>15214</v>
      </c>
    </row>
    <row r="1720" spans="1:9" x14ac:dyDescent="0.25">
      <c r="A1720" s="319">
        <v>42992</v>
      </c>
      <c r="B1720" s="320" t="s">
        <v>29463</v>
      </c>
      <c r="C1720" s="321">
        <v>127479</v>
      </c>
      <c r="D1720" s="390" t="s">
        <v>15284</v>
      </c>
      <c r="E1720" s="322">
        <v>1893.6</v>
      </c>
      <c r="F1720" s="323">
        <v>42992</v>
      </c>
      <c r="G1720" s="322">
        <v>1893.6</v>
      </c>
      <c r="H1720" s="322">
        <f t="shared" si="23"/>
        <v>0</v>
      </c>
      <c r="I1720" s="325" t="s">
        <v>15214</v>
      </c>
    </row>
    <row r="1721" spans="1:9" ht="30" x14ac:dyDescent="0.25">
      <c r="A1721" s="359">
        <v>42992</v>
      </c>
      <c r="B1721" s="326" t="s">
        <v>29464</v>
      </c>
      <c r="C1721" s="327">
        <v>127480</v>
      </c>
      <c r="D1721" s="391" t="s">
        <v>15234</v>
      </c>
      <c r="E1721" s="328">
        <v>8475</v>
      </c>
      <c r="F1721" s="329" t="s">
        <v>29291</v>
      </c>
      <c r="G1721" s="328">
        <f>1428.2+7046.8</f>
        <v>8475</v>
      </c>
      <c r="H1721" s="347">
        <f t="shared" si="23"/>
        <v>0</v>
      </c>
      <c r="I1721" s="331" t="s">
        <v>15214</v>
      </c>
    </row>
    <row r="1722" spans="1:9" x14ac:dyDescent="0.25">
      <c r="A1722" s="319">
        <v>42992</v>
      </c>
      <c r="B1722" s="320" t="s">
        <v>29465</v>
      </c>
      <c r="C1722" s="321">
        <v>127481</v>
      </c>
      <c r="D1722" s="390" t="s">
        <v>23218</v>
      </c>
      <c r="E1722" s="322">
        <v>3282.4</v>
      </c>
      <c r="F1722" s="323">
        <v>42992</v>
      </c>
      <c r="G1722" s="322">
        <v>3282.4</v>
      </c>
      <c r="H1722" s="322">
        <f t="shared" si="23"/>
        <v>0</v>
      </c>
      <c r="I1722" s="325" t="s">
        <v>15214</v>
      </c>
    </row>
    <row r="1723" spans="1:9" x14ac:dyDescent="0.25">
      <c r="A1723" s="359">
        <v>42992</v>
      </c>
      <c r="B1723" s="326" t="s">
        <v>29466</v>
      </c>
      <c r="C1723" s="327">
        <v>127482</v>
      </c>
      <c r="D1723" s="391" t="s">
        <v>15530</v>
      </c>
      <c r="E1723" s="328">
        <v>820.8</v>
      </c>
      <c r="F1723" s="329">
        <v>42992</v>
      </c>
      <c r="G1723" s="328">
        <v>820.8</v>
      </c>
      <c r="H1723" s="347">
        <f t="shared" si="23"/>
        <v>0</v>
      </c>
      <c r="I1723" s="331" t="s">
        <v>15214</v>
      </c>
    </row>
    <row r="1724" spans="1:9" ht="30" x14ac:dyDescent="0.25">
      <c r="A1724" s="319">
        <v>42992</v>
      </c>
      <c r="B1724" s="320" t="s">
        <v>29467</v>
      </c>
      <c r="C1724" s="321">
        <v>127483</v>
      </c>
      <c r="D1724" s="390" t="s">
        <v>15236</v>
      </c>
      <c r="E1724" s="322">
        <v>14890.2</v>
      </c>
      <c r="F1724" s="323" t="s">
        <v>29468</v>
      </c>
      <c r="G1724" s="334">
        <f>10000+4890.2</f>
        <v>14890.2</v>
      </c>
      <c r="H1724" s="334">
        <f t="shared" si="23"/>
        <v>0</v>
      </c>
      <c r="I1724" s="325" t="s">
        <v>15214</v>
      </c>
    </row>
    <row r="1725" spans="1:9" x14ac:dyDescent="0.25">
      <c r="A1725" s="359">
        <v>42992</v>
      </c>
      <c r="B1725" s="326" t="s">
        <v>29469</v>
      </c>
      <c r="C1725" s="327">
        <v>127484</v>
      </c>
      <c r="D1725" s="391" t="s">
        <v>15668</v>
      </c>
      <c r="E1725" s="328">
        <v>7038.9</v>
      </c>
      <c r="F1725" s="329">
        <v>42993</v>
      </c>
      <c r="G1725" s="328">
        <v>7038.9</v>
      </c>
      <c r="H1725" s="347">
        <f t="shared" si="23"/>
        <v>0</v>
      </c>
      <c r="I1725" s="331" t="s">
        <v>15214</v>
      </c>
    </row>
    <row r="1726" spans="1:9" x14ac:dyDescent="0.25">
      <c r="A1726" s="319">
        <v>42992</v>
      </c>
      <c r="B1726" s="320" t="s">
        <v>29470</v>
      </c>
      <c r="C1726" s="321">
        <v>127485</v>
      </c>
      <c r="D1726" s="390" t="s">
        <v>15238</v>
      </c>
      <c r="E1726" s="322">
        <v>3839.4</v>
      </c>
      <c r="F1726" s="323">
        <v>42997</v>
      </c>
      <c r="G1726" s="322">
        <v>3839.4</v>
      </c>
      <c r="H1726" s="322">
        <f t="shared" si="23"/>
        <v>0</v>
      </c>
      <c r="I1726" s="325" t="s">
        <v>15214</v>
      </c>
    </row>
    <row r="1727" spans="1:9" ht="45" x14ac:dyDescent="0.25">
      <c r="A1727" s="359">
        <v>42992</v>
      </c>
      <c r="B1727" s="326" t="s">
        <v>29471</v>
      </c>
      <c r="C1727" s="327">
        <v>127486</v>
      </c>
      <c r="D1727" s="391" t="s">
        <v>15258</v>
      </c>
      <c r="E1727" s="328">
        <v>23414.85</v>
      </c>
      <c r="F1727" s="329" t="s">
        <v>29472</v>
      </c>
      <c r="G1727" s="328">
        <f>6000+10000+7414.85</f>
        <v>23414.85</v>
      </c>
      <c r="H1727" s="347">
        <f t="shared" si="23"/>
        <v>0</v>
      </c>
      <c r="I1727" s="331" t="s">
        <v>15214</v>
      </c>
    </row>
    <row r="1728" spans="1:9" ht="45" x14ac:dyDescent="0.25">
      <c r="A1728" s="319">
        <v>42992</v>
      </c>
      <c r="B1728" s="320" t="s">
        <v>29473</v>
      </c>
      <c r="C1728" s="321">
        <v>127487</v>
      </c>
      <c r="D1728" s="390" t="s">
        <v>15256</v>
      </c>
      <c r="E1728" s="322">
        <v>17399</v>
      </c>
      <c r="F1728" s="323" t="s">
        <v>29474</v>
      </c>
      <c r="G1728" s="334">
        <f>7000+7510+2889</f>
        <v>17399</v>
      </c>
      <c r="H1728" s="334">
        <f t="shared" si="23"/>
        <v>0</v>
      </c>
      <c r="I1728" s="325" t="s">
        <v>15214</v>
      </c>
    </row>
    <row r="1729" spans="1:9" x14ac:dyDescent="0.25">
      <c r="A1729" s="359">
        <v>42992</v>
      </c>
      <c r="B1729" s="326" t="s">
        <v>29475</v>
      </c>
      <c r="C1729" s="327">
        <v>127488</v>
      </c>
      <c r="D1729" s="391" t="s">
        <v>15526</v>
      </c>
      <c r="E1729" s="328">
        <v>19707</v>
      </c>
      <c r="F1729" s="329">
        <v>42992</v>
      </c>
      <c r="G1729" s="328">
        <v>19707</v>
      </c>
      <c r="H1729" s="347">
        <f t="shared" si="23"/>
        <v>0</v>
      </c>
      <c r="I1729" s="331" t="s">
        <v>15214</v>
      </c>
    </row>
    <row r="1730" spans="1:9" x14ac:dyDescent="0.25">
      <c r="A1730" s="319">
        <v>42992</v>
      </c>
      <c r="B1730" s="320" t="s">
        <v>29476</v>
      </c>
      <c r="C1730" s="321">
        <v>127489</v>
      </c>
      <c r="D1730" s="390" t="s">
        <v>15358</v>
      </c>
      <c r="E1730" s="322">
        <v>1842.4</v>
      </c>
      <c r="F1730" s="323">
        <v>42992</v>
      </c>
      <c r="G1730" s="322">
        <v>1842.4</v>
      </c>
      <c r="H1730" s="322">
        <f t="shared" si="23"/>
        <v>0</v>
      </c>
      <c r="I1730" s="325" t="s">
        <v>15214</v>
      </c>
    </row>
    <row r="1731" spans="1:9" x14ac:dyDescent="0.25">
      <c r="A1731" s="359">
        <v>42992</v>
      </c>
      <c r="B1731" s="326" t="s">
        <v>29477</v>
      </c>
      <c r="C1731" s="327">
        <v>127490</v>
      </c>
      <c r="D1731" s="391" t="s">
        <v>15332</v>
      </c>
      <c r="E1731" s="328">
        <v>3036.8</v>
      </c>
      <c r="F1731" s="329">
        <v>42992</v>
      </c>
      <c r="G1731" s="328">
        <v>3036.8</v>
      </c>
      <c r="H1731" s="347">
        <f t="shared" si="23"/>
        <v>0</v>
      </c>
      <c r="I1731" s="331" t="s">
        <v>15214</v>
      </c>
    </row>
    <row r="1732" spans="1:9" x14ac:dyDescent="0.25">
      <c r="A1732" s="319">
        <v>42992</v>
      </c>
      <c r="B1732" s="320" t="s">
        <v>29478</v>
      </c>
      <c r="C1732" s="321">
        <v>127491</v>
      </c>
      <c r="D1732" s="390" t="s">
        <v>15328</v>
      </c>
      <c r="E1732" s="322">
        <v>15147.1</v>
      </c>
      <c r="F1732" s="323">
        <v>43001</v>
      </c>
      <c r="G1732" s="322">
        <v>15147.1</v>
      </c>
      <c r="H1732" s="322">
        <f t="shared" si="23"/>
        <v>0</v>
      </c>
      <c r="I1732" s="325" t="s">
        <v>15214</v>
      </c>
    </row>
    <row r="1733" spans="1:9" x14ac:dyDescent="0.25">
      <c r="A1733" s="359">
        <v>42992</v>
      </c>
      <c r="B1733" s="326" t="s">
        <v>29479</v>
      </c>
      <c r="C1733" s="327">
        <v>127492</v>
      </c>
      <c r="D1733" s="391" t="s">
        <v>15356</v>
      </c>
      <c r="E1733" s="328">
        <v>925.6</v>
      </c>
      <c r="F1733" s="329">
        <v>42992</v>
      </c>
      <c r="G1733" s="328">
        <v>925.6</v>
      </c>
      <c r="H1733" s="347">
        <f t="shared" si="23"/>
        <v>0</v>
      </c>
      <c r="I1733" s="331" t="s">
        <v>15214</v>
      </c>
    </row>
    <row r="1734" spans="1:9" x14ac:dyDescent="0.25">
      <c r="A1734" s="319">
        <v>42992</v>
      </c>
      <c r="B1734" s="320" t="s">
        <v>29480</v>
      </c>
      <c r="C1734" s="321">
        <v>127493</v>
      </c>
      <c r="D1734" s="390" t="s">
        <v>29150</v>
      </c>
      <c r="E1734" s="322">
        <v>10299.15</v>
      </c>
      <c r="F1734" s="323">
        <v>42996</v>
      </c>
      <c r="G1734" s="322">
        <v>10299.15</v>
      </c>
      <c r="H1734" s="322">
        <f t="shared" si="23"/>
        <v>0</v>
      </c>
      <c r="I1734" s="325" t="s">
        <v>15214</v>
      </c>
    </row>
    <row r="1735" spans="1:9" ht="15.75" x14ac:dyDescent="0.25">
      <c r="A1735" s="359">
        <v>42992</v>
      </c>
      <c r="B1735" s="326" t="s">
        <v>29481</v>
      </c>
      <c r="C1735" s="327">
        <v>127494</v>
      </c>
      <c r="D1735" s="400" t="s">
        <v>95</v>
      </c>
      <c r="E1735" s="328">
        <v>0</v>
      </c>
      <c r="F1735" s="346" t="s">
        <v>95</v>
      </c>
      <c r="G1735" s="328">
        <v>0</v>
      </c>
      <c r="H1735" s="347">
        <f t="shared" si="23"/>
        <v>0</v>
      </c>
      <c r="I1735" s="331" t="s">
        <v>95</v>
      </c>
    </row>
    <row r="1736" spans="1:9" x14ac:dyDescent="0.25">
      <c r="A1736" s="319">
        <v>42992</v>
      </c>
      <c r="B1736" s="320" t="s">
        <v>29482</v>
      </c>
      <c r="C1736" s="321">
        <v>127495</v>
      </c>
      <c r="D1736" s="390" t="s">
        <v>15324</v>
      </c>
      <c r="E1736" s="322">
        <v>1142</v>
      </c>
      <c r="F1736" s="323">
        <v>42992</v>
      </c>
      <c r="G1736" s="322">
        <v>1142</v>
      </c>
      <c r="H1736" s="322">
        <f t="shared" si="23"/>
        <v>0</v>
      </c>
      <c r="I1736" s="325" t="s">
        <v>15214</v>
      </c>
    </row>
    <row r="1737" spans="1:9" x14ac:dyDescent="0.25">
      <c r="A1737" s="359">
        <v>42992</v>
      </c>
      <c r="B1737" s="326" t="s">
        <v>29483</v>
      </c>
      <c r="C1737" s="327">
        <v>127496</v>
      </c>
      <c r="D1737" s="391" t="s">
        <v>15261</v>
      </c>
      <c r="E1737" s="328">
        <v>16530.8</v>
      </c>
      <c r="F1737" s="329">
        <v>42992</v>
      </c>
      <c r="G1737" s="328">
        <v>16530.8</v>
      </c>
      <c r="H1737" s="347">
        <f t="shared" si="23"/>
        <v>0</v>
      </c>
      <c r="I1737" s="331" t="s">
        <v>15214</v>
      </c>
    </row>
    <row r="1738" spans="1:9" x14ac:dyDescent="0.25">
      <c r="A1738" s="319">
        <v>42992</v>
      </c>
      <c r="B1738" s="320" t="s">
        <v>29484</v>
      </c>
      <c r="C1738" s="321">
        <v>127497</v>
      </c>
      <c r="D1738" s="390" t="s">
        <v>15261</v>
      </c>
      <c r="E1738" s="322">
        <v>13536.85</v>
      </c>
      <c r="F1738" s="323">
        <v>42992</v>
      </c>
      <c r="G1738" s="322">
        <v>13536.85</v>
      </c>
      <c r="H1738" s="322">
        <f t="shared" si="23"/>
        <v>0</v>
      </c>
      <c r="I1738" s="325" t="s">
        <v>15214</v>
      </c>
    </row>
    <row r="1739" spans="1:9" x14ac:dyDescent="0.25">
      <c r="A1739" s="359">
        <v>42992</v>
      </c>
      <c r="B1739" s="326" t="s">
        <v>29485</v>
      </c>
      <c r="C1739" s="327">
        <v>127498</v>
      </c>
      <c r="D1739" s="391" t="s">
        <v>15248</v>
      </c>
      <c r="E1739" s="328">
        <v>51401.599999999999</v>
      </c>
      <c r="F1739" s="329">
        <v>42992</v>
      </c>
      <c r="G1739" s="328">
        <v>51401.599999999999</v>
      </c>
      <c r="H1739" s="347">
        <f t="shared" si="23"/>
        <v>0</v>
      </c>
      <c r="I1739" s="331" t="s">
        <v>15214</v>
      </c>
    </row>
    <row r="1740" spans="1:9" x14ac:dyDescent="0.25">
      <c r="A1740" s="319">
        <v>42992</v>
      </c>
      <c r="B1740" s="320" t="s">
        <v>29486</v>
      </c>
      <c r="C1740" s="321">
        <v>127499</v>
      </c>
      <c r="D1740" s="390" t="s">
        <v>15220</v>
      </c>
      <c r="E1740" s="322">
        <v>2400</v>
      </c>
      <c r="F1740" s="323">
        <v>42992</v>
      </c>
      <c r="G1740" s="322">
        <v>2400</v>
      </c>
      <c r="H1740" s="322">
        <f t="shared" si="23"/>
        <v>0</v>
      </c>
      <c r="I1740" s="325" t="s">
        <v>15214</v>
      </c>
    </row>
    <row r="1741" spans="1:9" x14ac:dyDescent="0.25">
      <c r="A1741" s="359">
        <v>42992</v>
      </c>
      <c r="B1741" s="326" t="s">
        <v>29487</v>
      </c>
      <c r="C1741" s="327">
        <v>127500</v>
      </c>
      <c r="D1741" s="391" t="s">
        <v>16108</v>
      </c>
      <c r="E1741" s="328">
        <v>372.84</v>
      </c>
      <c r="F1741" s="329">
        <v>42992</v>
      </c>
      <c r="G1741" s="328">
        <v>372.84</v>
      </c>
      <c r="H1741" s="347">
        <f t="shared" si="23"/>
        <v>0</v>
      </c>
      <c r="I1741" s="331" t="s">
        <v>15214</v>
      </c>
    </row>
    <row r="1742" spans="1:9" x14ac:dyDescent="0.25">
      <c r="A1742" s="319">
        <v>42992</v>
      </c>
      <c r="B1742" s="320" t="s">
        <v>29488</v>
      </c>
      <c r="C1742" s="321">
        <v>127501</v>
      </c>
      <c r="D1742" s="390" t="s">
        <v>15278</v>
      </c>
      <c r="E1742" s="322">
        <v>6055</v>
      </c>
      <c r="F1742" s="323">
        <v>42992</v>
      </c>
      <c r="G1742" s="322">
        <v>6055</v>
      </c>
      <c r="H1742" s="322">
        <f t="shared" si="23"/>
        <v>0</v>
      </c>
      <c r="I1742" s="325" t="s">
        <v>15214</v>
      </c>
    </row>
    <row r="1743" spans="1:9" x14ac:dyDescent="0.25">
      <c r="A1743" s="359">
        <v>42992</v>
      </c>
      <c r="B1743" s="326" t="s">
        <v>29489</v>
      </c>
      <c r="C1743" s="327">
        <v>127502</v>
      </c>
      <c r="D1743" s="391" t="s">
        <v>15537</v>
      </c>
      <c r="E1743" s="328">
        <v>17521.599999999999</v>
      </c>
      <c r="F1743" s="329">
        <v>42993</v>
      </c>
      <c r="G1743" s="328">
        <v>17521.599999999999</v>
      </c>
      <c r="H1743" s="347">
        <f t="shared" si="23"/>
        <v>0</v>
      </c>
      <c r="I1743" s="331" t="s">
        <v>15214</v>
      </c>
    </row>
    <row r="1744" spans="1:9" x14ac:dyDescent="0.25">
      <c r="A1744" s="319">
        <v>42992</v>
      </c>
      <c r="B1744" s="320" t="s">
        <v>29490</v>
      </c>
      <c r="C1744" s="321">
        <v>127503</v>
      </c>
      <c r="D1744" s="390" t="s">
        <v>15539</v>
      </c>
      <c r="E1744" s="322">
        <v>13102.15</v>
      </c>
      <c r="F1744" s="323">
        <v>42993</v>
      </c>
      <c r="G1744" s="322">
        <v>13102.15</v>
      </c>
      <c r="H1744" s="322">
        <f t="shared" si="23"/>
        <v>0</v>
      </c>
      <c r="I1744" s="325" t="s">
        <v>15214</v>
      </c>
    </row>
    <row r="1745" spans="1:9" x14ac:dyDescent="0.25">
      <c r="A1745" s="359">
        <v>42992</v>
      </c>
      <c r="B1745" s="326" t="s">
        <v>29491</v>
      </c>
      <c r="C1745" s="327">
        <v>127504</v>
      </c>
      <c r="D1745" s="391" t="s">
        <v>15544</v>
      </c>
      <c r="E1745" s="328">
        <v>2881.2</v>
      </c>
      <c r="F1745" s="329">
        <v>42993</v>
      </c>
      <c r="G1745" s="328">
        <v>2881.2</v>
      </c>
      <c r="H1745" s="347">
        <f t="shared" si="23"/>
        <v>0</v>
      </c>
      <c r="I1745" s="331" t="s">
        <v>15214</v>
      </c>
    </row>
    <row r="1746" spans="1:9" x14ac:dyDescent="0.25">
      <c r="A1746" s="319">
        <v>42992</v>
      </c>
      <c r="B1746" s="320" t="s">
        <v>29492</v>
      </c>
      <c r="C1746" s="321">
        <v>127505</v>
      </c>
      <c r="D1746" s="390" t="s">
        <v>15699</v>
      </c>
      <c r="E1746" s="322">
        <v>1421</v>
      </c>
      <c r="F1746" s="323">
        <v>42993</v>
      </c>
      <c r="G1746" s="322">
        <v>1421</v>
      </c>
      <c r="H1746" s="322">
        <f t="shared" si="23"/>
        <v>0</v>
      </c>
      <c r="I1746" s="325" t="s">
        <v>15214</v>
      </c>
    </row>
    <row r="1747" spans="1:9" x14ac:dyDescent="0.25">
      <c r="A1747" s="359">
        <v>42992</v>
      </c>
      <c r="B1747" s="326" t="s">
        <v>29493</v>
      </c>
      <c r="C1747" s="327">
        <v>127506</v>
      </c>
      <c r="D1747" s="391" t="s">
        <v>15555</v>
      </c>
      <c r="E1747" s="328">
        <v>40800.199999999997</v>
      </c>
      <c r="F1747" s="329">
        <v>42993</v>
      </c>
      <c r="G1747" s="328">
        <v>40800.199999999997</v>
      </c>
      <c r="H1747" s="347">
        <f t="shared" si="23"/>
        <v>0</v>
      </c>
      <c r="I1747" s="331" t="s">
        <v>15214</v>
      </c>
    </row>
    <row r="1748" spans="1:9" x14ac:dyDescent="0.25">
      <c r="A1748" s="319">
        <v>42992</v>
      </c>
      <c r="B1748" s="320" t="s">
        <v>29494</v>
      </c>
      <c r="C1748" s="321">
        <v>127507</v>
      </c>
      <c r="D1748" s="390" t="s">
        <v>17462</v>
      </c>
      <c r="E1748" s="322">
        <v>4007.2</v>
      </c>
      <c r="F1748" s="323">
        <v>42992</v>
      </c>
      <c r="G1748" s="322">
        <v>4007.2</v>
      </c>
      <c r="H1748" s="322">
        <f t="shared" si="23"/>
        <v>0</v>
      </c>
      <c r="I1748" s="325" t="s">
        <v>15214</v>
      </c>
    </row>
    <row r="1749" spans="1:9" x14ac:dyDescent="0.25">
      <c r="A1749" s="359">
        <v>42992</v>
      </c>
      <c r="B1749" s="326" t="s">
        <v>29495</v>
      </c>
      <c r="C1749" s="327">
        <v>127508</v>
      </c>
      <c r="D1749" s="391" t="s">
        <v>15699</v>
      </c>
      <c r="E1749" s="328">
        <v>6123.6</v>
      </c>
      <c r="F1749" s="329">
        <v>42993</v>
      </c>
      <c r="G1749" s="328">
        <v>6123.6</v>
      </c>
      <c r="H1749" s="347">
        <f t="shared" si="23"/>
        <v>0</v>
      </c>
      <c r="I1749" s="331" t="s">
        <v>15214</v>
      </c>
    </row>
    <row r="1750" spans="1:9" x14ac:dyDescent="0.25">
      <c r="A1750" s="319">
        <v>42992</v>
      </c>
      <c r="B1750" s="320" t="s">
        <v>29496</v>
      </c>
      <c r="C1750" s="321">
        <v>127509</v>
      </c>
      <c r="D1750" s="390" t="s">
        <v>15557</v>
      </c>
      <c r="E1750" s="322">
        <v>8158.45</v>
      </c>
      <c r="F1750" s="323">
        <v>42993</v>
      </c>
      <c r="G1750" s="322">
        <v>8158.45</v>
      </c>
      <c r="H1750" s="322">
        <f t="shared" si="23"/>
        <v>0</v>
      </c>
      <c r="I1750" s="325" t="s">
        <v>15214</v>
      </c>
    </row>
    <row r="1751" spans="1:9" x14ac:dyDescent="0.25">
      <c r="A1751" s="359">
        <v>42992</v>
      </c>
      <c r="B1751" s="326" t="s">
        <v>29497</v>
      </c>
      <c r="C1751" s="327">
        <v>127510</v>
      </c>
      <c r="D1751" s="391" t="s">
        <v>15442</v>
      </c>
      <c r="E1751" s="328">
        <v>47206.2</v>
      </c>
      <c r="F1751" s="329">
        <v>42999</v>
      </c>
      <c r="G1751" s="328">
        <v>47206.2</v>
      </c>
      <c r="H1751" s="347">
        <f t="shared" si="23"/>
        <v>0</v>
      </c>
      <c r="I1751" s="331" t="s">
        <v>15214</v>
      </c>
    </row>
    <row r="1752" spans="1:9" x14ac:dyDescent="0.25">
      <c r="A1752" s="319">
        <v>42992</v>
      </c>
      <c r="B1752" s="320" t="s">
        <v>29498</v>
      </c>
      <c r="C1752" s="321">
        <v>127511</v>
      </c>
      <c r="D1752" s="390" t="s">
        <v>15442</v>
      </c>
      <c r="E1752" s="322">
        <v>4534.3999999999996</v>
      </c>
      <c r="F1752" s="323">
        <v>42999</v>
      </c>
      <c r="G1752" s="322">
        <v>4534.3999999999996</v>
      </c>
      <c r="H1752" s="322">
        <f t="shared" si="23"/>
        <v>0</v>
      </c>
      <c r="I1752" s="325" t="s">
        <v>15214</v>
      </c>
    </row>
    <row r="1753" spans="1:9" x14ac:dyDescent="0.25">
      <c r="A1753" s="359">
        <v>42992</v>
      </c>
      <c r="B1753" s="326" t="s">
        <v>29499</v>
      </c>
      <c r="C1753" s="327">
        <v>127512</v>
      </c>
      <c r="D1753" s="391" t="s">
        <v>29500</v>
      </c>
      <c r="E1753" s="328">
        <v>3360</v>
      </c>
      <c r="F1753" s="329">
        <v>42992</v>
      </c>
      <c r="G1753" s="328">
        <v>3360</v>
      </c>
      <c r="H1753" s="347">
        <f t="shared" si="23"/>
        <v>0</v>
      </c>
      <c r="I1753" s="331" t="s">
        <v>15214</v>
      </c>
    </row>
    <row r="1754" spans="1:9" x14ac:dyDescent="0.25">
      <c r="A1754" s="319">
        <v>42992</v>
      </c>
      <c r="B1754" s="320" t="s">
        <v>29501</v>
      </c>
      <c r="C1754" s="321">
        <v>127513</v>
      </c>
      <c r="D1754" s="390" t="s">
        <v>15835</v>
      </c>
      <c r="E1754" s="322">
        <v>11215</v>
      </c>
      <c r="F1754" s="323">
        <v>42992</v>
      </c>
      <c r="G1754" s="322">
        <v>11215</v>
      </c>
      <c r="H1754" s="322">
        <f t="shared" si="23"/>
        <v>0</v>
      </c>
      <c r="I1754" s="325" t="s">
        <v>15214</v>
      </c>
    </row>
    <row r="1755" spans="1:9" x14ac:dyDescent="0.25">
      <c r="A1755" s="359">
        <v>42992</v>
      </c>
      <c r="B1755" s="326" t="s">
        <v>29502</v>
      </c>
      <c r="C1755" s="327">
        <v>127514</v>
      </c>
      <c r="D1755" s="391" t="s">
        <v>15396</v>
      </c>
      <c r="E1755" s="328">
        <v>8272.64</v>
      </c>
      <c r="F1755" s="329">
        <v>42992</v>
      </c>
      <c r="G1755" s="328">
        <v>8272.64</v>
      </c>
      <c r="H1755" s="347">
        <f t="shared" si="23"/>
        <v>0</v>
      </c>
      <c r="I1755" s="331" t="s">
        <v>15214</v>
      </c>
    </row>
    <row r="1756" spans="1:9" x14ac:dyDescent="0.25">
      <c r="A1756" s="319">
        <v>42992</v>
      </c>
      <c r="B1756" s="320" t="s">
        <v>29503</v>
      </c>
      <c r="C1756" s="321">
        <v>127515</v>
      </c>
      <c r="D1756" s="390" t="s">
        <v>15309</v>
      </c>
      <c r="E1756" s="322">
        <v>13752.1</v>
      </c>
      <c r="F1756" s="323">
        <v>42992</v>
      </c>
      <c r="G1756" s="322">
        <v>13752.1</v>
      </c>
      <c r="H1756" s="322">
        <f t="shared" si="23"/>
        <v>0</v>
      </c>
      <c r="I1756" s="325" t="s">
        <v>15214</v>
      </c>
    </row>
    <row r="1757" spans="1:9" ht="15.75" x14ac:dyDescent="0.25">
      <c r="A1757" s="359">
        <v>42992</v>
      </c>
      <c r="B1757" s="326" t="s">
        <v>29504</v>
      </c>
      <c r="C1757" s="327">
        <v>127516</v>
      </c>
      <c r="D1757" s="345" t="s">
        <v>95</v>
      </c>
      <c r="E1757" s="328">
        <v>0</v>
      </c>
      <c r="F1757" s="346" t="s">
        <v>95</v>
      </c>
      <c r="G1757" s="328">
        <v>0</v>
      </c>
      <c r="H1757" s="347">
        <f t="shared" si="23"/>
        <v>0</v>
      </c>
      <c r="I1757" s="331" t="s">
        <v>95</v>
      </c>
    </row>
    <row r="1758" spans="1:9" x14ac:dyDescent="0.25">
      <c r="A1758" s="319">
        <v>42992</v>
      </c>
      <c r="B1758" s="320" t="s">
        <v>29505</v>
      </c>
      <c r="C1758" s="321">
        <v>127517</v>
      </c>
      <c r="D1758" s="390" t="s">
        <v>15301</v>
      </c>
      <c r="E1758" s="322">
        <v>3065</v>
      </c>
      <c r="F1758" s="323">
        <v>42992</v>
      </c>
      <c r="G1758" s="322">
        <v>3065</v>
      </c>
      <c r="H1758" s="322">
        <f t="shared" si="23"/>
        <v>0</v>
      </c>
      <c r="I1758" s="325" t="s">
        <v>15214</v>
      </c>
    </row>
    <row r="1759" spans="1:9" x14ac:dyDescent="0.25">
      <c r="A1759" s="359">
        <v>42992</v>
      </c>
      <c r="B1759" s="326" t="s">
        <v>29506</v>
      </c>
      <c r="C1759" s="327">
        <v>127518</v>
      </c>
      <c r="D1759" s="391" t="s">
        <v>15315</v>
      </c>
      <c r="E1759" s="328">
        <v>806.6</v>
      </c>
      <c r="F1759" s="329">
        <v>42992</v>
      </c>
      <c r="G1759" s="328">
        <v>806.6</v>
      </c>
      <c r="H1759" s="347">
        <f t="shared" si="23"/>
        <v>0</v>
      </c>
      <c r="I1759" s="331" t="s">
        <v>15214</v>
      </c>
    </row>
    <row r="1760" spans="1:9" x14ac:dyDescent="0.25">
      <c r="A1760" s="319">
        <v>42992</v>
      </c>
      <c r="B1760" s="320" t="s">
        <v>29507</v>
      </c>
      <c r="C1760" s="321">
        <v>127519</v>
      </c>
      <c r="D1760" s="390" t="s">
        <v>15265</v>
      </c>
      <c r="E1760" s="322">
        <v>3070</v>
      </c>
      <c r="F1760" s="323">
        <v>42992</v>
      </c>
      <c r="G1760" s="322">
        <v>3070</v>
      </c>
      <c r="H1760" s="322">
        <f t="shared" si="23"/>
        <v>0</v>
      </c>
      <c r="I1760" s="325" t="s">
        <v>15214</v>
      </c>
    </row>
    <row r="1761" spans="1:9" x14ac:dyDescent="0.25">
      <c r="A1761" s="359">
        <v>42992</v>
      </c>
      <c r="B1761" s="326" t="s">
        <v>29508</v>
      </c>
      <c r="C1761" s="327">
        <v>127520</v>
      </c>
      <c r="D1761" s="391" t="s">
        <v>15272</v>
      </c>
      <c r="E1761" s="328">
        <v>4895.7</v>
      </c>
      <c r="F1761" s="329">
        <v>42992</v>
      </c>
      <c r="G1761" s="328">
        <v>4895.7</v>
      </c>
      <c r="H1761" s="347">
        <f t="shared" si="23"/>
        <v>0</v>
      </c>
      <c r="I1761" s="331" t="s">
        <v>15214</v>
      </c>
    </row>
    <row r="1762" spans="1:9" x14ac:dyDescent="0.25">
      <c r="A1762" s="319">
        <v>42992</v>
      </c>
      <c r="B1762" s="320" t="s">
        <v>29509</v>
      </c>
      <c r="C1762" s="321">
        <v>127521</v>
      </c>
      <c r="D1762" s="390" t="s">
        <v>15317</v>
      </c>
      <c r="E1762" s="322">
        <v>5486.2</v>
      </c>
      <c r="F1762" s="323">
        <v>42993</v>
      </c>
      <c r="G1762" s="322">
        <v>5486.2</v>
      </c>
      <c r="H1762" s="322">
        <f t="shared" si="23"/>
        <v>0</v>
      </c>
      <c r="I1762" s="325" t="s">
        <v>15214</v>
      </c>
    </row>
    <row r="1763" spans="1:9" x14ac:dyDescent="0.25">
      <c r="A1763" s="359">
        <v>42992</v>
      </c>
      <c r="B1763" s="326" t="s">
        <v>29510</v>
      </c>
      <c r="C1763" s="327">
        <v>127522</v>
      </c>
      <c r="D1763" s="391" t="s">
        <v>23215</v>
      </c>
      <c r="E1763" s="328">
        <v>2714.8</v>
      </c>
      <c r="F1763" s="329">
        <v>42992</v>
      </c>
      <c r="G1763" s="328">
        <v>2714.8</v>
      </c>
      <c r="H1763" s="347">
        <f t="shared" si="23"/>
        <v>0</v>
      </c>
      <c r="I1763" s="331" t="s">
        <v>15214</v>
      </c>
    </row>
    <row r="1764" spans="1:9" x14ac:dyDescent="0.25">
      <c r="A1764" s="319">
        <v>42992</v>
      </c>
      <c r="B1764" s="320" t="s">
        <v>29511</v>
      </c>
      <c r="C1764" s="321">
        <v>127523</v>
      </c>
      <c r="D1764" s="390" t="s">
        <v>15254</v>
      </c>
      <c r="E1764" s="322">
        <v>5850</v>
      </c>
      <c r="F1764" s="323">
        <v>42993</v>
      </c>
      <c r="G1764" s="322">
        <v>5850</v>
      </c>
      <c r="H1764" s="322">
        <f t="shared" si="23"/>
        <v>0</v>
      </c>
      <c r="I1764" s="325" t="s">
        <v>15214</v>
      </c>
    </row>
    <row r="1765" spans="1:9" x14ac:dyDescent="0.25">
      <c r="A1765" s="359">
        <v>42992</v>
      </c>
      <c r="B1765" s="326" t="s">
        <v>29512</v>
      </c>
      <c r="C1765" s="327">
        <v>127524</v>
      </c>
      <c r="D1765" s="391" t="s">
        <v>15315</v>
      </c>
      <c r="E1765" s="328">
        <v>2053.1</v>
      </c>
      <c r="F1765" s="329">
        <v>42992</v>
      </c>
      <c r="G1765" s="328">
        <v>2053.1</v>
      </c>
      <c r="H1765" s="347">
        <f t="shared" si="23"/>
        <v>0</v>
      </c>
      <c r="I1765" s="331" t="s">
        <v>15214</v>
      </c>
    </row>
    <row r="1766" spans="1:9" x14ac:dyDescent="0.25">
      <c r="A1766" s="319">
        <v>42992</v>
      </c>
      <c r="B1766" s="320" t="s">
        <v>29513</v>
      </c>
      <c r="C1766" s="321">
        <v>127525</v>
      </c>
      <c r="D1766" s="390" t="s">
        <v>15415</v>
      </c>
      <c r="E1766" s="322">
        <v>3940.8</v>
      </c>
      <c r="F1766" s="323">
        <v>42996</v>
      </c>
      <c r="G1766" s="322">
        <v>3940.8</v>
      </c>
      <c r="H1766" s="322">
        <f t="shared" si="23"/>
        <v>0</v>
      </c>
      <c r="I1766" s="325" t="s">
        <v>15214</v>
      </c>
    </row>
    <row r="1767" spans="1:9" x14ac:dyDescent="0.25">
      <c r="A1767" s="359">
        <v>42992</v>
      </c>
      <c r="B1767" s="326" t="s">
        <v>29514</v>
      </c>
      <c r="C1767" s="327">
        <v>127526</v>
      </c>
      <c r="D1767" s="391" t="s">
        <v>15338</v>
      </c>
      <c r="E1767" s="328">
        <v>10411.200000000001</v>
      </c>
      <c r="F1767" s="329">
        <v>42997</v>
      </c>
      <c r="G1767" s="328">
        <v>10411.200000000001</v>
      </c>
      <c r="H1767" s="347">
        <f t="shared" si="23"/>
        <v>0</v>
      </c>
      <c r="I1767" s="331" t="s">
        <v>15214</v>
      </c>
    </row>
    <row r="1768" spans="1:9" x14ac:dyDescent="0.25">
      <c r="A1768" s="319">
        <v>42992</v>
      </c>
      <c r="B1768" s="320" t="s">
        <v>29515</v>
      </c>
      <c r="C1768" s="321">
        <v>127527</v>
      </c>
      <c r="D1768" s="390" t="s">
        <v>15291</v>
      </c>
      <c r="E1768" s="322">
        <v>1279</v>
      </c>
      <c r="F1768" s="323">
        <v>42992</v>
      </c>
      <c r="G1768" s="322">
        <v>1279</v>
      </c>
      <c r="H1768" s="322">
        <f t="shared" si="23"/>
        <v>0</v>
      </c>
      <c r="I1768" s="325" t="s">
        <v>15214</v>
      </c>
    </row>
    <row r="1769" spans="1:9" ht="30" x14ac:dyDescent="0.25">
      <c r="A1769" s="359">
        <v>42992</v>
      </c>
      <c r="B1769" s="326" t="s">
        <v>29516</v>
      </c>
      <c r="C1769" s="327">
        <v>127528</v>
      </c>
      <c r="D1769" s="391" t="s">
        <v>15252</v>
      </c>
      <c r="E1769" s="328">
        <v>16253.84</v>
      </c>
      <c r="F1769" s="329" t="s">
        <v>29291</v>
      </c>
      <c r="G1769" s="347">
        <f>3500+12753.84</f>
        <v>16253.84</v>
      </c>
      <c r="H1769" s="347">
        <f t="shared" si="23"/>
        <v>0</v>
      </c>
      <c r="I1769" s="331" t="s">
        <v>15214</v>
      </c>
    </row>
    <row r="1770" spans="1:9" x14ac:dyDescent="0.25">
      <c r="A1770" s="319">
        <v>42992</v>
      </c>
      <c r="B1770" s="320" t="s">
        <v>29517</v>
      </c>
      <c r="C1770" s="321">
        <v>127529</v>
      </c>
      <c r="D1770" s="390" t="s">
        <v>15244</v>
      </c>
      <c r="E1770" s="322">
        <v>13779.9</v>
      </c>
      <c r="F1770" s="323">
        <v>42993</v>
      </c>
      <c r="G1770" s="322">
        <v>13779.9</v>
      </c>
      <c r="H1770" s="322">
        <f t="shared" si="23"/>
        <v>0</v>
      </c>
      <c r="I1770" s="325" t="s">
        <v>15214</v>
      </c>
    </row>
    <row r="1771" spans="1:9" x14ac:dyDescent="0.25">
      <c r="A1771" s="359">
        <v>42992</v>
      </c>
      <c r="B1771" s="326" t="s">
        <v>29518</v>
      </c>
      <c r="C1771" s="327">
        <v>127530</v>
      </c>
      <c r="D1771" s="391" t="s">
        <v>23937</v>
      </c>
      <c r="E1771" s="328">
        <v>4292.3999999999996</v>
      </c>
      <c r="F1771" s="329">
        <v>42992</v>
      </c>
      <c r="G1771" s="328">
        <v>4292.3999999999996</v>
      </c>
      <c r="H1771" s="347">
        <f t="shared" si="23"/>
        <v>0</v>
      </c>
      <c r="I1771" s="331" t="s">
        <v>15214</v>
      </c>
    </row>
    <row r="1772" spans="1:9" x14ac:dyDescent="0.25">
      <c r="A1772" s="319">
        <v>42992</v>
      </c>
      <c r="B1772" s="320" t="s">
        <v>29519</v>
      </c>
      <c r="C1772" s="321">
        <v>127531</v>
      </c>
      <c r="D1772" s="390" t="s">
        <v>15748</v>
      </c>
      <c r="E1772" s="322">
        <v>2726.8</v>
      </c>
      <c r="F1772" s="323">
        <v>42992</v>
      </c>
      <c r="G1772" s="322">
        <v>2726.8</v>
      </c>
      <c r="H1772" s="322">
        <f t="shared" si="23"/>
        <v>0</v>
      </c>
      <c r="I1772" s="325" t="s">
        <v>15214</v>
      </c>
    </row>
    <row r="1773" spans="1:9" x14ac:dyDescent="0.25">
      <c r="A1773" s="359">
        <v>42992</v>
      </c>
      <c r="B1773" s="326" t="s">
        <v>29520</v>
      </c>
      <c r="C1773" s="327">
        <v>127532</v>
      </c>
      <c r="D1773" s="391" t="s">
        <v>15296</v>
      </c>
      <c r="E1773" s="328">
        <v>12698.4</v>
      </c>
      <c r="F1773" s="329">
        <v>43000</v>
      </c>
      <c r="G1773" s="328">
        <v>12698.4</v>
      </c>
      <c r="H1773" s="347">
        <f t="shared" si="23"/>
        <v>0</v>
      </c>
      <c r="I1773" s="331" t="s">
        <v>15214</v>
      </c>
    </row>
    <row r="1774" spans="1:9" x14ac:dyDescent="0.25">
      <c r="A1774" s="319">
        <v>42992</v>
      </c>
      <c r="B1774" s="320" t="s">
        <v>29521</v>
      </c>
      <c r="C1774" s="321">
        <v>127533</v>
      </c>
      <c r="D1774" s="390" t="s">
        <v>15244</v>
      </c>
      <c r="E1774" s="322">
        <v>13853</v>
      </c>
      <c r="F1774" s="323">
        <v>42993</v>
      </c>
      <c r="G1774" s="322">
        <v>13853</v>
      </c>
      <c r="H1774" s="322">
        <f t="shared" si="23"/>
        <v>0</v>
      </c>
      <c r="I1774" s="325" t="s">
        <v>15214</v>
      </c>
    </row>
    <row r="1775" spans="1:9" x14ac:dyDescent="0.25">
      <c r="A1775" s="359">
        <v>42992</v>
      </c>
      <c r="B1775" s="326" t="s">
        <v>29522</v>
      </c>
      <c r="C1775" s="327">
        <v>127534</v>
      </c>
      <c r="D1775" s="391" t="s">
        <v>15315</v>
      </c>
      <c r="E1775" s="328">
        <v>935.4</v>
      </c>
      <c r="F1775" s="329">
        <v>42992</v>
      </c>
      <c r="G1775" s="328">
        <v>935.4</v>
      </c>
      <c r="H1775" s="347">
        <f t="shared" si="23"/>
        <v>0</v>
      </c>
      <c r="I1775" s="331" t="s">
        <v>15214</v>
      </c>
    </row>
    <row r="1776" spans="1:9" x14ac:dyDescent="0.25">
      <c r="A1776" s="319">
        <v>42992</v>
      </c>
      <c r="B1776" s="320" t="s">
        <v>29523</v>
      </c>
      <c r="C1776" s="321">
        <v>127535</v>
      </c>
      <c r="D1776" s="390" t="s">
        <v>15566</v>
      </c>
      <c r="E1776" s="322">
        <v>3580.65</v>
      </c>
      <c r="F1776" s="323">
        <v>42992</v>
      </c>
      <c r="G1776" s="322">
        <v>3580.65</v>
      </c>
      <c r="H1776" s="322">
        <f t="shared" si="23"/>
        <v>0</v>
      </c>
      <c r="I1776" s="325" t="s">
        <v>15214</v>
      </c>
    </row>
    <row r="1777" spans="1:9" x14ac:dyDescent="0.25">
      <c r="A1777" s="359">
        <v>42992</v>
      </c>
      <c r="B1777" s="326" t="s">
        <v>29524</v>
      </c>
      <c r="C1777" s="327">
        <v>127536</v>
      </c>
      <c r="D1777" s="391" t="s">
        <v>15378</v>
      </c>
      <c r="E1777" s="328">
        <v>2226.2199999999998</v>
      </c>
      <c r="F1777" s="329">
        <v>42992</v>
      </c>
      <c r="G1777" s="328">
        <v>2226.2199999999998</v>
      </c>
      <c r="H1777" s="347">
        <f t="shared" ref="H1777:H1840" si="24">E1777-G1777</f>
        <v>0</v>
      </c>
      <c r="I1777" s="331" t="s">
        <v>15214</v>
      </c>
    </row>
    <row r="1778" spans="1:9" x14ac:dyDescent="0.25">
      <c r="A1778" s="319">
        <v>42992</v>
      </c>
      <c r="B1778" s="320" t="s">
        <v>29525</v>
      </c>
      <c r="C1778" s="321">
        <v>127537</v>
      </c>
      <c r="D1778" s="390" t="s">
        <v>19768</v>
      </c>
      <c r="E1778" s="322">
        <v>1440</v>
      </c>
      <c r="F1778" s="323">
        <v>42992</v>
      </c>
      <c r="G1778" s="322">
        <v>1440</v>
      </c>
      <c r="H1778" s="322">
        <f t="shared" si="24"/>
        <v>0</v>
      </c>
      <c r="I1778" s="325" t="s">
        <v>15214</v>
      </c>
    </row>
    <row r="1779" spans="1:9" x14ac:dyDescent="0.25">
      <c r="A1779" s="359">
        <v>42992</v>
      </c>
      <c r="B1779" s="326" t="s">
        <v>29526</v>
      </c>
      <c r="C1779" s="327">
        <v>127538</v>
      </c>
      <c r="D1779" s="391" t="s">
        <v>15315</v>
      </c>
      <c r="E1779" s="328">
        <v>2456.9</v>
      </c>
      <c r="F1779" s="329">
        <v>42993</v>
      </c>
      <c r="G1779" s="328">
        <v>2456.9</v>
      </c>
      <c r="H1779" s="347">
        <f t="shared" si="24"/>
        <v>0</v>
      </c>
      <c r="I1779" s="331" t="s">
        <v>15214</v>
      </c>
    </row>
    <row r="1780" spans="1:9" x14ac:dyDescent="0.25">
      <c r="A1780" s="319">
        <v>42992</v>
      </c>
      <c r="B1780" s="320" t="s">
        <v>29527</v>
      </c>
      <c r="C1780" s="321">
        <v>127539</v>
      </c>
      <c r="D1780" s="390" t="s">
        <v>15274</v>
      </c>
      <c r="E1780" s="322">
        <v>3154</v>
      </c>
      <c r="F1780" s="323">
        <v>42992</v>
      </c>
      <c r="G1780" s="322">
        <v>3154</v>
      </c>
      <c r="H1780" s="322">
        <f t="shared" si="24"/>
        <v>0</v>
      </c>
      <c r="I1780" s="325" t="s">
        <v>15214</v>
      </c>
    </row>
    <row r="1781" spans="1:9" x14ac:dyDescent="0.25">
      <c r="A1781" s="359">
        <v>42992</v>
      </c>
      <c r="B1781" s="326" t="s">
        <v>29528</v>
      </c>
      <c r="C1781" s="327">
        <v>127540</v>
      </c>
      <c r="D1781" s="391" t="s">
        <v>15433</v>
      </c>
      <c r="E1781" s="328">
        <v>899.1</v>
      </c>
      <c r="F1781" s="329">
        <v>42992</v>
      </c>
      <c r="G1781" s="328">
        <v>899.1</v>
      </c>
      <c r="H1781" s="347">
        <f t="shared" si="24"/>
        <v>0</v>
      </c>
      <c r="I1781" s="331" t="s">
        <v>15214</v>
      </c>
    </row>
    <row r="1782" spans="1:9" x14ac:dyDescent="0.25">
      <c r="A1782" s="319">
        <v>42992</v>
      </c>
      <c r="B1782" s="320" t="s">
        <v>29529</v>
      </c>
      <c r="C1782" s="321">
        <v>127541</v>
      </c>
      <c r="D1782" s="390" t="s">
        <v>15298</v>
      </c>
      <c r="E1782" s="322">
        <v>7327.95</v>
      </c>
      <c r="F1782" s="323">
        <v>42996</v>
      </c>
      <c r="G1782" s="322">
        <v>7327.95</v>
      </c>
      <c r="H1782" s="322">
        <f t="shared" si="24"/>
        <v>0</v>
      </c>
      <c r="I1782" s="325" t="s">
        <v>15214</v>
      </c>
    </row>
    <row r="1783" spans="1:9" x14ac:dyDescent="0.25">
      <c r="A1783" s="359">
        <v>42992</v>
      </c>
      <c r="B1783" s="326" t="s">
        <v>29530</v>
      </c>
      <c r="C1783" s="327">
        <v>127542</v>
      </c>
      <c r="D1783" s="391" t="s">
        <v>15274</v>
      </c>
      <c r="E1783" s="328">
        <v>3156.8</v>
      </c>
      <c r="F1783" s="329">
        <v>42992</v>
      </c>
      <c r="G1783" s="328">
        <v>3156.8</v>
      </c>
      <c r="H1783" s="347">
        <f t="shared" si="24"/>
        <v>0</v>
      </c>
      <c r="I1783" s="331" t="s">
        <v>15214</v>
      </c>
    </row>
    <row r="1784" spans="1:9" x14ac:dyDescent="0.25">
      <c r="A1784" s="319">
        <v>42992</v>
      </c>
      <c r="B1784" s="320" t="s">
        <v>29531</v>
      </c>
      <c r="C1784" s="321">
        <v>127543</v>
      </c>
      <c r="D1784" s="390" t="s">
        <v>15282</v>
      </c>
      <c r="E1784" s="322">
        <v>3624.1</v>
      </c>
      <c r="F1784" s="323">
        <v>42992</v>
      </c>
      <c r="G1784" s="322">
        <v>3624.1</v>
      </c>
      <c r="H1784" s="322">
        <f t="shared" si="24"/>
        <v>0</v>
      </c>
      <c r="I1784" s="325" t="s">
        <v>15214</v>
      </c>
    </row>
    <row r="1785" spans="1:9" x14ac:dyDescent="0.25">
      <c r="A1785" s="359">
        <v>42992</v>
      </c>
      <c r="B1785" s="326" t="s">
        <v>29532</v>
      </c>
      <c r="C1785" s="327">
        <v>127544</v>
      </c>
      <c r="D1785" s="391" t="s">
        <v>15716</v>
      </c>
      <c r="E1785" s="328">
        <v>3052.92</v>
      </c>
      <c r="F1785" s="329">
        <v>42992</v>
      </c>
      <c r="G1785" s="328">
        <v>3052.92</v>
      </c>
      <c r="H1785" s="347">
        <f t="shared" si="24"/>
        <v>0</v>
      </c>
      <c r="I1785" s="331" t="s">
        <v>15214</v>
      </c>
    </row>
    <row r="1786" spans="1:9" x14ac:dyDescent="0.25">
      <c r="A1786" s="319">
        <v>42992</v>
      </c>
      <c r="B1786" s="320" t="s">
        <v>29533</v>
      </c>
      <c r="C1786" s="321">
        <v>127545</v>
      </c>
      <c r="D1786" s="390" t="s">
        <v>15716</v>
      </c>
      <c r="E1786" s="322">
        <v>193.8</v>
      </c>
      <c r="F1786" s="323">
        <v>42992</v>
      </c>
      <c r="G1786" s="322">
        <v>193.8</v>
      </c>
      <c r="H1786" s="322">
        <f t="shared" si="24"/>
        <v>0</v>
      </c>
      <c r="I1786" s="325" t="s">
        <v>15214</v>
      </c>
    </row>
    <row r="1787" spans="1:9" x14ac:dyDescent="0.25">
      <c r="A1787" s="359">
        <v>42992</v>
      </c>
      <c r="B1787" s="326" t="s">
        <v>29534</v>
      </c>
      <c r="C1787" s="327">
        <v>127546</v>
      </c>
      <c r="D1787" s="391" t="s">
        <v>15282</v>
      </c>
      <c r="E1787" s="328">
        <v>165</v>
      </c>
      <c r="F1787" s="329">
        <v>42992</v>
      </c>
      <c r="G1787" s="328">
        <v>165</v>
      </c>
      <c r="H1787" s="347">
        <f t="shared" si="24"/>
        <v>0</v>
      </c>
      <c r="I1787" s="331" t="s">
        <v>15214</v>
      </c>
    </row>
    <row r="1788" spans="1:9" x14ac:dyDescent="0.25">
      <c r="A1788" s="319">
        <v>42992</v>
      </c>
      <c r="B1788" s="320" t="s">
        <v>29535</v>
      </c>
      <c r="C1788" s="321">
        <v>127547</v>
      </c>
      <c r="D1788" s="390" t="s">
        <v>15387</v>
      </c>
      <c r="E1788" s="322">
        <v>1444.8</v>
      </c>
      <c r="F1788" s="323">
        <v>42993</v>
      </c>
      <c r="G1788" s="322">
        <v>1444.8</v>
      </c>
      <c r="H1788" s="322">
        <f t="shared" si="24"/>
        <v>0</v>
      </c>
      <c r="I1788" s="325" t="s">
        <v>15214</v>
      </c>
    </row>
    <row r="1789" spans="1:9" x14ac:dyDescent="0.25">
      <c r="A1789" s="359">
        <v>42992</v>
      </c>
      <c r="B1789" s="326" t="s">
        <v>29536</v>
      </c>
      <c r="C1789" s="327">
        <v>127548</v>
      </c>
      <c r="D1789" s="391" t="s">
        <v>15263</v>
      </c>
      <c r="E1789" s="328">
        <v>179.4</v>
      </c>
      <c r="F1789" s="329">
        <v>42992</v>
      </c>
      <c r="G1789" s="328">
        <v>179.4</v>
      </c>
      <c r="H1789" s="347">
        <f t="shared" si="24"/>
        <v>0</v>
      </c>
      <c r="I1789" s="331" t="s">
        <v>15214</v>
      </c>
    </row>
    <row r="1790" spans="1:9" x14ac:dyDescent="0.25">
      <c r="A1790" s="319">
        <v>42992</v>
      </c>
      <c r="B1790" s="320" t="s">
        <v>29537</v>
      </c>
      <c r="C1790" s="321">
        <v>127549</v>
      </c>
      <c r="D1790" s="390" t="s">
        <v>15725</v>
      </c>
      <c r="E1790" s="322">
        <v>26866</v>
      </c>
      <c r="F1790" s="323">
        <v>42996</v>
      </c>
      <c r="G1790" s="322">
        <v>26866</v>
      </c>
      <c r="H1790" s="322">
        <f t="shared" si="24"/>
        <v>0</v>
      </c>
      <c r="I1790" s="325" t="s">
        <v>15214</v>
      </c>
    </row>
    <row r="1791" spans="1:9" ht="30" x14ac:dyDescent="0.25">
      <c r="A1791" s="359">
        <v>42992</v>
      </c>
      <c r="B1791" s="326" t="s">
        <v>29538</v>
      </c>
      <c r="C1791" s="327">
        <v>127550</v>
      </c>
      <c r="D1791" s="391" t="s">
        <v>15628</v>
      </c>
      <c r="E1791" s="328">
        <v>16654.22</v>
      </c>
      <c r="F1791" s="329" t="s">
        <v>29539</v>
      </c>
      <c r="G1791" s="328">
        <f>3000+13654.22</f>
        <v>16654.22</v>
      </c>
      <c r="H1791" s="347">
        <f t="shared" si="24"/>
        <v>0</v>
      </c>
      <c r="I1791" s="331" t="s">
        <v>15214</v>
      </c>
    </row>
    <row r="1792" spans="1:9" x14ac:dyDescent="0.25">
      <c r="A1792" s="319">
        <v>42992</v>
      </c>
      <c r="B1792" s="320" t="s">
        <v>29540</v>
      </c>
      <c r="C1792" s="321">
        <v>127551</v>
      </c>
      <c r="D1792" s="390" t="s">
        <v>15391</v>
      </c>
      <c r="E1792" s="322">
        <v>14481.8</v>
      </c>
      <c r="F1792" s="323">
        <v>42993</v>
      </c>
      <c r="G1792" s="322">
        <v>14481.8</v>
      </c>
      <c r="H1792" s="322">
        <f t="shared" si="24"/>
        <v>0</v>
      </c>
      <c r="I1792" s="325" t="s">
        <v>15214</v>
      </c>
    </row>
    <row r="1793" spans="1:9" x14ac:dyDescent="0.25">
      <c r="A1793" s="359">
        <v>42992</v>
      </c>
      <c r="B1793" s="326" t="s">
        <v>29541</v>
      </c>
      <c r="C1793" s="327">
        <v>127552</v>
      </c>
      <c r="D1793" s="391" t="s">
        <v>15590</v>
      </c>
      <c r="E1793" s="328">
        <v>33307.050000000003</v>
      </c>
      <c r="F1793" s="329">
        <v>42998</v>
      </c>
      <c r="G1793" s="328">
        <v>33307.050000000003</v>
      </c>
      <c r="H1793" s="347">
        <f t="shared" si="24"/>
        <v>0</v>
      </c>
      <c r="I1793" s="331" t="s">
        <v>15214</v>
      </c>
    </row>
    <row r="1794" spans="1:9" ht="15.75" x14ac:dyDescent="0.25">
      <c r="A1794" s="319">
        <v>42992</v>
      </c>
      <c r="B1794" s="320" t="s">
        <v>29542</v>
      </c>
      <c r="C1794" s="321">
        <v>127553</v>
      </c>
      <c r="D1794" s="332" t="s">
        <v>95</v>
      </c>
      <c r="E1794" s="322">
        <v>0</v>
      </c>
      <c r="F1794" s="333" t="s">
        <v>95</v>
      </c>
      <c r="G1794" s="322">
        <v>0</v>
      </c>
      <c r="H1794" s="322">
        <f t="shared" si="24"/>
        <v>0</v>
      </c>
      <c r="I1794" s="325" t="s">
        <v>95</v>
      </c>
    </row>
    <row r="1795" spans="1:9" x14ac:dyDescent="0.25">
      <c r="A1795" s="359">
        <v>42992</v>
      </c>
      <c r="B1795" s="326" t="s">
        <v>29543</v>
      </c>
      <c r="C1795" s="327">
        <v>127554</v>
      </c>
      <c r="D1795" s="391" t="s">
        <v>15267</v>
      </c>
      <c r="E1795" s="328">
        <v>64851.5</v>
      </c>
      <c r="F1795" s="329">
        <v>42992</v>
      </c>
      <c r="G1795" s="328">
        <v>64851.5</v>
      </c>
      <c r="H1795" s="347">
        <f t="shared" si="24"/>
        <v>0</v>
      </c>
      <c r="I1795" s="331" t="s">
        <v>15214</v>
      </c>
    </row>
    <row r="1796" spans="1:9" x14ac:dyDescent="0.25">
      <c r="A1796" s="319">
        <v>42992</v>
      </c>
      <c r="B1796" s="320" t="s">
        <v>29544</v>
      </c>
      <c r="C1796" s="321">
        <v>127555</v>
      </c>
      <c r="D1796" s="390" t="s">
        <v>19756</v>
      </c>
      <c r="E1796" s="322">
        <v>822.3</v>
      </c>
      <c r="F1796" s="323">
        <v>42992</v>
      </c>
      <c r="G1796" s="322">
        <v>822.3</v>
      </c>
      <c r="H1796" s="322">
        <f t="shared" si="24"/>
        <v>0</v>
      </c>
      <c r="I1796" s="325" t="s">
        <v>15214</v>
      </c>
    </row>
    <row r="1797" spans="1:9" x14ac:dyDescent="0.25">
      <c r="A1797" s="359">
        <v>42992</v>
      </c>
      <c r="B1797" s="326" t="s">
        <v>29545</v>
      </c>
      <c r="C1797" s="327">
        <v>127556</v>
      </c>
      <c r="D1797" s="391" t="s">
        <v>15987</v>
      </c>
      <c r="E1797" s="328">
        <v>3862.8</v>
      </c>
      <c r="F1797" s="329">
        <v>42992</v>
      </c>
      <c r="G1797" s="328">
        <v>3862.8</v>
      </c>
      <c r="H1797" s="347">
        <f t="shared" si="24"/>
        <v>0</v>
      </c>
      <c r="I1797" s="331" t="s">
        <v>15214</v>
      </c>
    </row>
    <row r="1798" spans="1:9" x14ac:dyDescent="0.25">
      <c r="A1798" s="319">
        <v>42992</v>
      </c>
      <c r="B1798" s="320" t="s">
        <v>29546</v>
      </c>
      <c r="C1798" s="321">
        <v>127557</v>
      </c>
      <c r="D1798" s="390" t="s">
        <v>15566</v>
      </c>
      <c r="E1798" s="322">
        <v>2336.8000000000002</v>
      </c>
      <c r="F1798" s="323">
        <v>42992</v>
      </c>
      <c r="G1798" s="322">
        <v>2336.8000000000002</v>
      </c>
      <c r="H1798" s="322">
        <f t="shared" si="24"/>
        <v>0</v>
      </c>
      <c r="I1798" s="325" t="s">
        <v>15214</v>
      </c>
    </row>
    <row r="1799" spans="1:9" x14ac:dyDescent="0.25">
      <c r="A1799" s="359">
        <v>42992</v>
      </c>
      <c r="B1799" s="326" t="s">
        <v>29547</v>
      </c>
      <c r="C1799" s="327">
        <v>127558</v>
      </c>
      <c r="D1799" s="391" t="s">
        <v>15276</v>
      </c>
      <c r="E1799" s="328">
        <v>7200</v>
      </c>
      <c r="F1799" s="329">
        <v>42993</v>
      </c>
      <c r="G1799" s="328">
        <v>7200</v>
      </c>
      <c r="H1799" s="347">
        <f t="shared" si="24"/>
        <v>0</v>
      </c>
      <c r="I1799" s="331" t="s">
        <v>15214</v>
      </c>
    </row>
    <row r="1800" spans="1:9" x14ac:dyDescent="0.25">
      <c r="A1800" s="319">
        <v>42992</v>
      </c>
      <c r="B1800" s="320" t="s">
        <v>29548</v>
      </c>
      <c r="C1800" s="321">
        <v>127559</v>
      </c>
      <c r="D1800" s="390" t="s">
        <v>15398</v>
      </c>
      <c r="E1800" s="322">
        <v>3483</v>
      </c>
      <c r="F1800" s="323">
        <v>42992</v>
      </c>
      <c r="G1800" s="322">
        <v>3483</v>
      </c>
      <c r="H1800" s="322">
        <f t="shared" si="24"/>
        <v>0</v>
      </c>
      <c r="I1800" s="325" t="s">
        <v>15214</v>
      </c>
    </row>
    <row r="1801" spans="1:9" x14ac:dyDescent="0.25">
      <c r="A1801" s="359">
        <v>42992</v>
      </c>
      <c r="B1801" s="326" t="s">
        <v>29549</v>
      </c>
      <c r="C1801" s="327">
        <v>127560</v>
      </c>
      <c r="D1801" s="391" t="s">
        <v>15624</v>
      </c>
      <c r="E1801" s="328">
        <v>37680</v>
      </c>
      <c r="F1801" s="329">
        <v>42995</v>
      </c>
      <c r="G1801" s="328">
        <v>37680</v>
      </c>
      <c r="H1801" s="347">
        <f t="shared" si="24"/>
        <v>0</v>
      </c>
      <c r="I1801" s="331" t="s">
        <v>15214</v>
      </c>
    </row>
    <row r="1802" spans="1:9" x14ac:dyDescent="0.25">
      <c r="A1802" s="319">
        <v>42992</v>
      </c>
      <c r="B1802" s="320" t="s">
        <v>29550</v>
      </c>
      <c r="C1802" s="321">
        <v>127561</v>
      </c>
      <c r="D1802" s="390" t="s">
        <v>15782</v>
      </c>
      <c r="E1802" s="322">
        <v>1564</v>
      </c>
      <c r="F1802" s="323">
        <v>42993</v>
      </c>
      <c r="G1802" s="322">
        <v>1564</v>
      </c>
      <c r="H1802" s="322">
        <f t="shared" si="24"/>
        <v>0</v>
      </c>
      <c r="I1802" s="325" t="s">
        <v>15214</v>
      </c>
    </row>
    <row r="1803" spans="1:9" x14ac:dyDescent="0.25">
      <c r="A1803" s="359">
        <v>42992</v>
      </c>
      <c r="B1803" s="326" t="s">
        <v>29551</v>
      </c>
      <c r="C1803" s="327">
        <v>127562</v>
      </c>
      <c r="D1803" s="391" t="s">
        <v>15274</v>
      </c>
      <c r="E1803" s="328">
        <v>2194.1999999999998</v>
      </c>
      <c r="F1803" s="329">
        <v>42993</v>
      </c>
      <c r="G1803" s="328">
        <v>2194.1999999999998</v>
      </c>
      <c r="H1803" s="347">
        <f t="shared" si="24"/>
        <v>0</v>
      </c>
      <c r="I1803" s="331" t="s">
        <v>15214</v>
      </c>
    </row>
    <row r="1804" spans="1:9" x14ac:dyDescent="0.25">
      <c r="A1804" s="319">
        <v>42992</v>
      </c>
      <c r="B1804" s="320" t="s">
        <v>29552</v>
      </c>
      <c r="C1804" s="321">
        <v>127563</v>
      </c>
      <c r="D1804" s="390" t="s">
        <v>18773</v>
      </c>
      <c r="E1804" s="322">
        <v>40400.800000000003</v>
      </c>
      <c r="F1804" s="323">
        <v>42992</v>
      </c>
      <c r="G1804" s="322">
        <v>40400.800000000003</v>
      </c>
      <c r="H1804" s="322">
        <f t="shared" si="24"/>
        <v>0</v>
      </c>
      <c r="I1804" s="325" t="s">
        <v>15214</v>
      </c>
    </row>
    <row r="1805" spans="1:9" x14ac:dyDescent="0.25">
      <c r="A1805" s="359">
        <v>42992</v>
      </c>
      <c r="B1805" s="326" t="s">
        <v>29553</v>
      </c>
      <c r="C1805" s="327">
        <v>127564</v>
      </c>
      <c r="D1805" s="391" t="s">
        <v>17800</v>
      </c>
      <c r="E1805" s="328">
        <v>5520.2</v>
      </c>
      <c r="F1805" s="329">
        <v>42993</v>
      </c>
      <c r="G1805" s="328">
        <v>5520.2</v>
      </c>
      <c r="H1805" s="347">
        <f t="shared" si="24"/>
        <v>0</v>
      </c>
      <c r="I1805" s="331" t="s">
        <v>15214</v>
      </c>
    </row>
    <row r="1806" spans="1:9" ht="30" x14ac:dyDescent="0.25">
      <c r="A1806" s="319">
        <v>42992</v>
      </c>
      <c r="B1806" s="320" t="s">
        <v>29554</v>
      </c>
      <c r="C1806" s="321">
        <v>127565</v>
      </c>
      <c r="D1806" s="390" t="s">
        <v>15448</v>
      </c>
      <c r="E1806" s="322">
        <v>32129.3</v>
      </c>
      <c r="F1806" s="323" t="s">
        <v>29555</v>
      </c>
      <c r="G1806" s="334">
        <f>20000+12129.3</f>
        <v>32129.3</v>
      </c>
      <c r="H1806" s="334">
        <f t="shared" si="24"/>
        <v>0</v>
      </c>
      <c r="I1806" s="325" t="s">
        <v>15214</v>
      </c>
    </row>
    <row r="1807" spans="1:9" x14ac:dyDescent="0.25">
      <c r="A1807" s="359">
        <v>42992</v>
      </c>
      <c r="B1807" s="326" t="s">
        <v>29556</v>
      </c>
      <c r="C1807" s="327">
        <v>127566</v>
      </c>
      <c r="D1807" s="391" t="s">
        <v>15912</v>
      </c>
      <c r="E1807" s="328">
        <v>4542.72</v>
      </c>
      <c r="F1807" s="329">
        <v>42993</v>
      </c>
      <c r="G1807" s="328">
        <v>4542.72</v>
      </c>
      <c r="H1807" s="347">
        <f t="shared" si="24"/>
        <v>0</v>
      </c>
      <c r="I1807" s="331" t="s">
        <v>15214</v>
      </c>
    </row>
    <row r="1808" spans="1:9" x14ac:dyDescent="0.25">
      <c r="A1808" s="319">
        <v>42992</v>
      </c>
      <c r="B1808" s="320" t="s">
        <v>29557</v>
      </c>
      <c r="C1808" s="321">
        <v>127567</v>
      </c>
      <c r="D1808" s="390" t="s">
        <v>15423</v>
      </c>
      <c r="E1808" s="322">
        <v>2673.1</v>
      </c>
      <c r="F1808" s="323">
        <v>42992</v>
      </c>
      <c r="G1808" s="322">
        <v>2673.1</v>
      </c>
      <c r="H1808" s="322">
        <f t="shared" si="24"/>
        <v>0</v>
      </c>
      <c r="I1808" s="325" t="s">
        <v>15214</v>
      </c>
    </row>
    <row r="1809" spans="1:9" x14ac:dyDescent="0.25">
      <c r="A1809" s="359">
        <v>42992</v>
      </c>
      <c r="B1809" s="326" t="s">
        <v>29558</v>
      </c>
      <c r="C1809" s="327">
        <v>127568</v>
      </c>
      <c r="D1809" s="391" t="s">
        <v>19767</v>
      </c>
      <c r="E1809" s="328">
        <v>17449.2</v>
      </c>
      <c r="F1809" s="329">
        <v>42993</v>
      </c>
      <c r="G1809" s="328">
        <v>17449.2</v>
      </c>
      <c r="H1809" s="347">
        <f t="shared" si="24"/>
        <v>0</v>
      </c>
      <c r="I1809" s="331" t="s">
        <v>15214</v>
      </c>
    </row>
    <row r="1810" spans="1:9" x14ac:dyDescent="0.25">
      <c r="A1810" s="319">
        <v>42992</v>
      </c>
      <c r="B1810" s="320" t="s">
        <v>29559</v>
      </c>
      <c r="C1810" s="321">
        <v>127569</v>
      </c>
      <c r="D1810" s="390" t="s">
        <v>19773</v>
      </c>
      <c r="E1810" s="322">
        <v>5634.48</v>
      </c>
      <c r="F1810" s="323">
        <v>43001</v>
      </c>
      <c r="G1810" s="322">
        <v>5634.48</v>
      </c>
      <c r="H1810" s="322">
        <f t="shared" si="24"/>
        <v>0</v>
      </c>
      <c r="I1810" s="325" t="s">
        <v>15214</v>
      </c>
    </row>
    <row r="1811" spans="1:9" x14ac:dyDescent="0.25">
      <c r="A1811" s="359">
        <v>42992</v>
      </c>
      <c r="B1811" s="326" t="s">
        <v>29560</v>
      </c>
      <c r="C1811" s="327">
        <v>127570</v>
      </c>
      <c r="D1811" s="391" t="s">
        <v>5575</v>
      </c>
      <c r="E1811" s="328">
        <v>18659.8</v>
      </c>
      <c r="F1811" s="329">
        <v>42993</v>
      </c>
      <c r="G1811" s="328">
        <v>18659.8</v>
      </c>
      <c r="H1811" s="347">
        <f t="shared" si="24"/>
        <v>0</v>
      </c>
      <c r="I1811" s="331" t="s">
        <v>15214</v>
      </c>
    </row>
    <row r="1812" spans="1:9" x14ac:dyDescent="0.25">
      <c r="A1812" s="319">
        <v>42992</v>
      </c>
      <c r="B1812" s="320" t="s">
        <v>29561</v>
      </c>
      <c r="C1812" s="321">
        <v>127571</v>
      </c>
      <c r="D1812" s="390" t="s">
        <v>15417</v>
      </c>
      <c r="E1812" s="322">
        <v>4596.6000000000004</v>
      </c>
      <c r="F1812" s="323">
        <v>42993</v>
      </c>
      <c r="G1812" s="322">
        <v>4596.6000000000004</v>
      </c>
      <c r="H1812" s="322">
        <f t="shared" si="24"/>
        <v>0</v>
      </c>
      <c r="I1812" s="325" t="s">
        <v>15214</v>
      </c>
    </row>
    <row r="1813" spans="1:9" x14ac:dyDescent="0.25">
      <c r="A1813" s="359">
        <v>42992</v>
      </c>
      <c r="B1813" s="326" t="s">
        <v>29562</v>
      </c>
      <c r="C1813" s="327">
        <v>127572</v>
      </c>
      <c r="D1813" s="391" t="s">
        <v>15396</v>
      </c>
      <c r="E1813" s="328">
        <v>6847.16</v>
      </c>
      <c r="F1813" s="329">
        <v>42992</v>
      </c>
      <c r="G1813" s="328">
        <v>6847.16</v>
      </c>
      <c r="H1813" s="347">
        <f t="shared" si="24"/>
        <v>0</v>
      </c>
      <c r="I1813" s="331" t="s">
        <v>15214</v>
      </c>
    </row>
    <row r="1814" spans="1:9" x14ac:dyDescent="0.25">
      <c r="A1814" s="319">
        <v>42992</v>
      </c>
      <c r="B1814" s="320" t="s">
        <v>29563</v>
      </c>
      <c r="C1814" s="321">
        <v>127573</v>
      </c>
      <c r="D1814" s="390" t="s">
        <v>15365</v>
      </c>
      <c r="E1814" s="322">
        <v>229400</v>
      </c>
      <c r="F1814" s="323">
        <v>42994</v>
      </c>
      <c r="G1814" s="322">
        <v>229400</v>
      </c>
      <c r="H1814" s="322">
        <f t="shared" si="24"/>
        <v>0</v>
      </c>
      <c r="I1814" s="325" t="s">
        <v>15214</v>
      </c>
    </row>
    <row r="1815" spans="1:9" x14ac:dyDescent="0.25">
      <c r="A1815" s="359">
        <v>42992</v>
      </c>
      <c r="B1815" s="326" t="s">
        <v>29564</v>
      </c>
      <c r="C1815" s="327">
        <v>127574</v>
      </c>
      <c r="D1815" s="391" t="s">
        <v>15246</v>
      </c>
      <c r="E1815" s="328">
        <v>269852.40000000002</v>
      </c>
      <c r="F1815" s="329">
        <v>42997</v>
      </c>
      <c r="G1815" s="328">
        <v>269852.40000000002</v>
      </c>
      <c r="H1815" s="347">
        <f t="shared" si="24"/>
        <v>0</v>
      </c>
      <c r="I1815" s="331" t="s">
        <v>15214</v>
      </c>
    </row>
    <row r="1816" spans="1:9" x14ac:dyDescent="0.25">
      <c r="A1816" s="319">
        <v>42992</v>
      </c>
      <c r="B1816" s="320" t="s">
        <v>29565</v>
      </c>
      <c r="C1816" s="321">
        <v>127575</v>
      </c>
      <c r="D1816" s="390" t="s">
        <v>15246</v>
      </c>
      <c r="E1816" s="322">
        <v>205132.06</v>
      </c>
      <c r="F1816" s="323">
        <v>42997</v>
      </c>
      <c r="G1816" s="322">
        <v>205132.06</v>
      </c>
      <c r="H1816" s="322">
        <f t="shared" si="24"/>
        <v>0</v>
      </c>
      <c r="I1816" s="325" t="s">
        <v>15214</v>
      </c>
    </row>
    <row r="1817" spans="1:9" x14ac:dyDescent="0.25">
      <c r="A1817" s="359">
        <v>42992</v>
      </c>
      <c r="B1817" s="326" t="s">
        <v>29566</v>
      </c>
      <c r="C1817" s="327">
        <v>127576</v>
      </c>
      <c r="D1817" s="391" t="s">
        <v>15868</v>
      </c>
      <c r="E1817" s="328">
        <v>9620</v>
      </c>
      <c r="F1817" s="329">
        <v>42993</v>
      </c>
      <c r="G1817" s="328">
        <v>9620</v>
      </c>
      <c r="H1817" s="347">
        <f t="shared" si="24"/>
        <v>0</v>
      </c>
      <c r="I1817" s="331" t="s">
        <v>15214</v>
      </c>
    </row>
    <row r="1818" spans="1:9" x14ac:dyDescent="0.25">
      <c r="A1818" s="319">
        <v>42992</v>
      </c>
      <c r="B1818" s="320" t="s">
        <v>29567</v>
      </c>
      <c r="C1818" s="321">
        <v>127577</v>
      </c>
      <c r="D1818" s="390" t="s">
        <v>16383</v>
      </c>
      <c r="E1818" s="322">
        <v>928.2</v>
      </c>
      <c r="F1818" s="323">
        <v>42993</v>
      </c>
      <c r="G1818" s="322">
        <v>928.2</v>
      </c>
      <c r="H1818" s="322">
        <f t="shared" si="24"/>
        <v>0</v>
      </c>
      <c r="I1818" s="325" t="s">
        <v>15214</v>
      </c>
    </row>
    <row r="1819" spans="1:9" x14ac:dyDescent="0.25">
      <c r="A1819" s="359">
        <v>42992</v>
      </c>
      <c r="B1819" s="326" t="s">
        <v>29568</v>
      </c>
      <c r="C1819" s="327">
        <v>127578</v>
      </c>
      <c r="D1819" s="391" t="s">
        <v>16383</v>
      </c>
      <c r="E1819" s="328">
        <v>254.8</v>
      </c>
      <c r="F1819" s="329">
        <v>42993</v>
      </c>
      <c r="G1819" s="328">
        <v>254.8</v>
      </c>
      <c r="H1819" s="347">
        <f t="shared" si="24"/>
        <v>0</v>
      </c>
      <c r="I1819" s="331" t="s">
        <v>15214</v>
      </c>
    </row>
    <row r="1820" spans="1:9" x14ac:dyDescent="0.25">
      <c r="A1820" s="319">
        <v>42992</v>
      </c>
      <c r="B1820" s="320" t="s">
        <v>29569</v>
      </c>
      <c r="C1820" s="321">
        <v>127579</v>
      </c>
      <c r="D1820" s="390" t="s">
        <v>15541</v>
      </c>
      <c r="E1820" s="322">
        <v>3160.3</v>
      </c>
      <c r="F1820" s="323">
        <v>42993</v>
      </c>
      <c r="G1820" s="322">
        <v>3160.3</v>
      </c>
      <c r="H1820" s="322">
        <f t="shared" si="24"/>
        <v>0</v>
      </c>
      <c r="I1820" s="325" t="s">
        <v>15214</v>
      </c>
    </row>
    <row r="1821" spans="1:9" x14ac:dyDescent="0.25">
      <c r="A1821" s="359">
        <v>42992</v>
      </c>
      <c r="B1821" s="326" t="s">
        <v>29570</v>
      </c>
      <c r="C1821" s="327">
        <v>127580</v>
      </c>
      <c r="D1821" s="391" t="s">
        <v>21441</v>
      </c>
      <c r="E1821" s="328">
        <v>515</v>
      </c>
      <c r="F1821" s="329">
        <v>42993</v>
      </c>
      <c r="G1821" s="328">
        <v>515</v>
      </c>
      <c r="H1821" s="347">
        <f t="shared" si="24"/>
        <v>0</v>
      </c>
      <c r="I1821" s="331" t="s">
        <v>15214</v>
      </c>
    </row>
    <row r="1822" spans="1:9" x14ac:dyDescent="0.25">
      <c r="A1822" s="319">
        <v>42992</v>
      </c>
      <c r="B1822" s="320" t="s">
        <v>29571</v>
      </c>
      <c r="C1822" s="321">
        <v>127581</v>
      </c>
      <c r="D1822" s="390" t="s">
        <v>15810</v>
      </c>
      <c r="E1822" s="322">
        <v>1418.04</v>
      </c>
      <c r="F1822" s="323">
        <v>42992</v>
      </c>
      <c r="G1822" s="322">
        <v>1418.04</v>
      </c>
      <c r="H1822" s="322">
        <f t="shared" si="24"/>
        <v>0</v>
      </c>
      <c r="I1822" s="325" t="s">
        <v>15214</v>
      </c>
    </row>
    <row r="1823" spans="1:9" x14ac:dyDescent="0.25">
      <c r="A1823" s="359">
        <v>42992</v>
      </c>
      <c r="B1823" s="326" t="s">
        <v>29572</v>
      </c>
      <c r="C1823" s="327">
        <v>127582</v>
      </c>
      <c r="D1823" s="391" t="s">
        <v>28577</v>
      </c>
      <c r="E1823" s="328">
        <v>4210.6499999999996</v>
      </c>
      <c r="F1823" s="329">
        <v>42993</v>
      </c>
      <c r="G1823" s="328">
        <v>4210.6499999999996</v>
      </c>
      <c r="H1823" s="347">
        <f t="shared" si="24"/>
        <v>0</v>
      </c>
      <c r="I1823" s="331" t="s">
        <v>15214</v>
      </c>
    </row>
    <row r="1824" spans="1:9" x14ac:dyDescent="0.25">
      <c r="A1824" s="319">
        <v>42992</v>
      </c>
      <c r="B1824" s="320" t="s">
        <v>29573</v>
      </c>
      <c r="C1824" s="321">
        <v>127583</v>
      </c>
      <c r="D1824" s="390" t="s">
        <v>15407</v>
      </c>
      <c r="E1824" s="322">
        <v>31165.200000000001</v>
      </c>
      <c r="F1824" s="323">
        <v>42992</v>
      </c>
      <c r="G1824" s="322">
        <v>31165.200000000001</v>
      </c>
      <c r="H1824" s="322">
        <f t="shared" si="24"/>
        <v>0</v>
      </c>
      <c r="I1824" s="325" t="s">
        <v>15214</v>
      </c>
    </row>
    <row r="1825" spans="1:9" x14ac:dyDescent="0.25">
      <c r="A1825" s="359">
        <v>42992</v>
      </c>
      <c r="B1825" s="326" t="s">
        <v>29574</v>
      </c>
      <c r="C1825" s="327">
        <v>127584</v>
      </c>
      <c r="D1825" s="391" t="s">
        <v>17708</v>
      </c>
      <c r="E1825" s="328">
        <v>5110.7</v>
      </c>
      <c r="F1825" s="329">
        <v>42993</v>
      </c>
      <c r="G1825" s="328">
        <v>5110.7</v>
      </c>
      <c r="H1825" s="347">
        <f t="shared" si="24"/>
        <v>0</v>
      </c>
      <c r="I1825" s="331" t="s">
        <v>15214</v>
      </c>
    </row>
    <row r="1826" spans="1:9" x14ac:dyDescent="0.25">
      <c r="A1826" s="319">
        <v>42992</v>
      </c>
      <c r="B1826" s="320" t="s">
        <v>29575</v>
      </c>
      <c r="C1826" s="321">
        <v>127585</v>
      </c>
      <c r="D1826" s="390" t="s">
        <v>19697</v>
      </c>
      <c r="E1826" s="322">
        <v>1124</v>
      </c>
      <c r="F1826" s="323">
        <v>42993</v>
      </c>
      <c r="G1826" s="322">
        <v>1124</v>
      </c>
      <c r="H1826" s="322">
        <f t="shared" si="24"/>
        <v>0</v>
      </c>
      <c r="I1826" s="325" t="s">
        <v>15214</v>
      </c>
    </row>
    <row r="1827" spans="1:9" x14ac:dyDescent="0.25">
      <c r="A1827" s="359">
        <v>42992</v>
      </c>
      <c r="B1827" s="326" t="s">
        <v>29576</v>
      </c>
      <c r="C1827" s="327">
        <v>127586</v>
      </c>
      <c r="D1827" s="391" t="s">
        <v>28577</v>
      </c>
      <c r="E1827" s="328">
        <v>780</v>
      </c>
      <c r="F1827" s="329">
        <v>42993</v>
      </c>
      <c r="G1827" s="328">
        <v>780</v>
      </c>
      <c r="H1827" s="347">
        <f t="shared" si="24"/>
        <v>0</v>
      </c>
      <c r="I1827" s="331" t="s">
        <v>15214</v>
      </c>
    </row>
    <row r="1828" spans="1:9" x14ac:dyDescent="0.25">
      <c r="A1828" s="319">
        <v>42992</v>
      </c>
      <c r="B1828" s="320" t="s">
        <v>29577</v>
      </c>
      <c r="C1828" s="321">
        <v>127587</v>
      </c>
      <c r="D1828" s="390" t="s">
        <v>15361</v>
      </c>
      <c r="E1828" s="322">
        <v>16672</v>
      </c>
      <c r="F1828" s="323">
        <v>42993</v>
      </c>
      <c r="G1828" s="322">
        <v>16672</v>
      </c>
      <c r="H1828" s="322">
        <f t="shared" si="24"/>
        <v>0</v>
      </c>
      <c r="I1828" s="325" t="s">
        <v>15214</v>
      </c>
    </row>
    <row r="1829" spans="1:9" x14ac:dyDescent="0.25">
      <c r="A1829" s="359">
        <v>42992</v>
      </c>
      <c r="B1829" s="326" t="s">
        <v>29578</v>
      </c>
      <c r="C1829" s="327">
        <v>127588</v>
      </c>
      <c r="D1829" s="391" t="s">
        <v>15890</v>
      </c>
      <c r="E1829" s="328">
        <v>10028.5</v>
      </c>
      <c r="F1829" s="329">
        <v>42998</v>
      </c>
      <c r="G1829" s="328">
        <v>10028.5</v>
      </c>
      <c r="H1829" s="347">
        <f t="shared" si="24"/>
        <v>0</v>
      </c>
      <c r="I1829" s="331" t="s">
        <v>15214</v>
      </c>
    </row>
    <row r="1830" spans="1:9" x14ac:dyDescent="0.25">
      <c r="A1830" s="319">
        <v>42992</v>
      </c>
      <c r="B1830" s="320" t="s">
        <v>29579</v>
      </c>
      <c r="C1830" s="321">
        <v>127589</v>
      </c>
      <c r="D1830" s="390" t="s">
        <v>15632</v>
      </c>
      <c r="E1830" s="322">
        <v>18633.599999999999</v>
      </c>
      <c r="F1830" s="323">
        <v>42993</v>
      </c>
      <c r="G1830" s="322">
        <v>18633.599999999999</v>
      </c>
      <c r="H1830" s="322">
        <f t="shared" si="24"/>
        <v>0</v>
      </c>
      <c r="I1830" s="325" t="s">
        <v>15214</v>
      </c>
    </row>
    <row r="1831" spans="1:9" x14ac:dyDescent="0.25">
      <c r="A1831" s="359">
        <v>42992</v>
      </c>
      <c r="B1831" s="326" t="s">
        <v>29580</v>
      </c>
      <c r="C1831" s="327">
        <v>127590</v>
      </c>
      <c r="D1831" s="391" t="s">
        <v>15246</v>
      </c>
      <c r="E1831" s="328">
        <v>51820.4</v>
      </c>
      <c r="F1831" s="329">
        <v>42997</v>
      </c>
      <c r="G1831" s="328">
        <v>51820.4</v>
      </c>
      <c r="H1831" s="347">
        <f t="shared" si="24"/>
        <v>0</v>
      </c>
      <c r="I1831" s="331" t="s">
        <v>15214</v>
      </c>
    </row>
    <row r="1832" spans="1:9" x14ac:dyDescent="0.25">
      <c r="A1832" s="319">
        <v>42992</v>
      </c>
      <c r="B1832" s="320" t="s">
        <v>29581</v>
      </c>
      <c r="C1832" s="321">
        <v>127591</v>
      </c>
      <c r="D1832" s="390" t="s">
        <v>15920</v>
      </c>
      <c r="E1832" s="322">
        <v>28686.400000000001</v>
      </c>
      <c r="F1832" s="323">
        <v>42994</v>
      </c>
      <c r="G1832" s="322">
        <v>28686.400000000001</v>
      </c>
      <c r="H1832" s="322">
        <f t="shared" si="24"/>
        <v>0</v>
      </c>
      <c r="I1832" s="325" t="s">
        <v>15214</v>
      </c>
    </row>
    <row r="1833" spans="1:9" ht="15.75" x14ac:dyDescent="0.25">
      <c r="A1833" s="359">
        <v>42992</v>
      </c>
      <c r="B1833" s="326" t="s">
        <v>29582</v>
      </c>
      <c r="C1833" s="327">
        <v>127592</v>
      </c>
      <c r="D1833" s="345" t="s">
        <v>95</v>
      </c>
      <c r="E1833" s="328">
        <v>0</v>
      </c>
      <c r="F1833" s="346" t="s">
        <v>95</v>
      </c>
      <c r="G1833" s="328">
        <v>0</v>
      </c>
      <c r="H1833" s="347">
        <f t="shared" si="24"/>
        <v>0</v>
      </c>
      <c r="I1833" s="331" t="s">
        <v>95</v>
      </c>
    </row>
    <row r="1834" spans="1:9" x14ac:dyDescent="0.25">
      <c r="A1834" s="319">
        <v>42992</v>
      </c>
      <c r="B1834" s="320" t="s">
        <v>29583</v>
      </c>
      <c r="C1834" s="321">
        <v>127593</v>
      </c>
      <c r="D1834" s="390" t="s">
        <v>15223</v>
      </c>
      <c r="E1834" s="322">
        <v>37292.32</v>
      </c>
      <c r="F1834" s="323">
        <v>42992</v>
      </c>
      <c r="G1834" s="322">
        <v>37292.32</v>
      </c>
      <c r="H1834" s="322">
        <f t="shared" si="24"/>
        <v>0</v>
      </c>
      <c r="I1834" s="325" t="s">
        <v>15214</v>
      </c>
    </row>
    <row r="1835" spans="1:9" ht="15.75" x14ac:dyDescent="0.25">
      <c r="A1835" s="359">
        <v>42992</v>
      </c>
      <c r="B1835" s="326" t="s">
        <v>29584</v>
      </c>
      <c r="C1835" s="327">
        <v>127594</v>
      </c>
      <c r="D1835" s="345" t="s">
        <v>95</v>
      </c>
      <c r="E1835" s="328">
        <v>0</v>
      </c>
      <c r="F1835" s="346" t="s">
        <v>95</v>
      </c>
      <c r="G1835" s="328">
        <v>0</v>
      </c>
      <c r="H1835" s="347">
        <f t="shared" si="24"/>
        <v>0</v>
      </c>
      <c r="I1835" s="331" t="s">
        <v>95</v>
      </c>
    </row>
    <row r="1836" spans="1:9" x14ac:dyDescent="0.25">
      <c r="A1836" s="319">
        <v>42992</v>
      </c>
      <c r="B1836" s="320" t="s">
        <v>29585</v>
      </c>
      <c r="C1836" s="321">
        <v>127595</v>
      </c>
      <c r="D1836" s="390" t="s">
        <v>15444</v>
      </c>
      <c r="E1836" s="322">
        <v>3676.4</v>
      </c>
      <c r="F1836" s="323">
        <v>42993</v>
      </c>
      <c r="G1836" s="322">
        <v>3676.4</v>
      </c>
      <c r="H1836" s="322">
        <f t="shared" si="24"/>
        <v>0</v>
      </c>
      <c r="I1836" s="325" t="s">
        <v>15214</v>
      </c>
    </row>
    <row r="1837" spans="1:9" ht="15.75" x14ac:dyDescent="0.25">
      <c r="A1837" s="359">
        <v>42992</v>
      </c>
      <c r="B1837" s="326" t="s">
        <v>29586</v>
      </c>
      <c r="C1837" s="327">
        <v>127596</v>
      </c>
      <c r="D1837" s="345" t="s">
        <v>95</v>
      </c>
      <c r="E1837" s="328">
        <v>0</v>
      </c>
      <c r="F1837" s="346" t="s">
        <v>95</v>
      </c>
      <c r="G1837" s="328">
        <v>0</v>
      </c>
      <c r="H1837" s="347">
        <f t="shared" si="24"/>
        <v>0</v>
      </c>
      <c r="I1837" s="331" t="s">
        <v>95</v>
      </c>
    </row>
    <row r="1838" spans="1:9" x14ac:dyDescent="0.25">
      <c r="A1838" s="319">
        <v>42992</v>
      </c>
      <c r="B1838" s="320" t="s">
        <v>29587</v>
      </c>
      <c r="C1838" s="321">
        <v>127597</v>
      </c>
      <c r="D1838" s="390" t="s">
        <v>15442</v>
      </c>
      <c r="E1838" s="322">
        <v>600</v>
      </c>
      <c r="F1838" s="323">
        <v>42992</v>
      </c>
      <c r="G1838" s="322">
        <v>600</v>
      </c>
      <c r="H1838" s="322">
        <f t="shared" si="24"/>
        <v>0</v>
      </c>
      <c r="I1838" s="325" t="s">
        <v>15214</v>
      </c>
    </row>
    <row r="1839" spans="1:9" x14ac:dyDescent="0.25">
      <c r="A1839" s="359">
        <v>42992</v>
      </c>
      <c r="B1839" s="326" t="s">
        <v>29588</v>
      </c>
      <c r="C1839" s="327">
        <v>127598</v>
      </c>
      <c r="D1839" s="391" t="s">
        <v>15930</v>
      </c>
      <c r="E1839" s="328">
        <v>7239</v>
      </c>
      <c r="F1839" s="329">
        <v>42993</v>
      </c>
      <c r="G1839" s="328">
        <v>7239</v>
      </c>
      <c r="H1839" s="347">
        <f t="shared" si="24"/>
        <v>0</v>
      </c>
      <c r="I1839" s="399" t="s">
        <v>29589</v>
      </c>
    </row>
    <row r="1840" spans="1:9" x14ac:dyDescent="0.25">
      <c r="A1840" s="319">
        <v>42992</v>
      </c>
      <c r="B1840" s="320" t="s">
        <v>29590</v>
      </c>
      <c r="C1840" s="321">
        <v>127599</v>
      </c>
      <c r="D1840" s="390" t="s">
        <v>17462</v>
      </c>
      <c r="E1840" s="322">
        <v>3534.4</v>
      </c>
      <c r="F1840" s="323">
        <v>42992</v>
      </c>
      <c r="G1840" s="322">
        <v>3534.4</v>
      </c>
      <c r="H1840" s="322">
        <f t="shared" si="24"/>
        <v>0</v>
      </c>
      <c r="I1840" s="325" t="s">
        <v>15214</v>
      </c>
    </row>
    <row r="1841" spans="1:9" x14ac:dyDescent="0.25">
      <c r="A1841" s="359">
        <v>42992</v>
      </c>
      <c r="B1841" s="326" t="s">
        <v>29591</v>
      </c>
      <c r="C1841" s="327">
        <v>127600</v>
      </c>
      <c r="D1841" s="391" t="s">
        <v>15346</v>
      </c>
      <c r="E1841" s="328">
        <v>1757.6</v>
      </c>
      <c r="F1841" s="329">
        <v>42992</v>
      </c>
      <c r="G1841" s="328">
        <v>1757.6</v>
      </c>
      <c r="H1841" s="347">
        <f t="shared" ref="H1841:H1904" si="25">E1841-G1841</f>
        <v>0</v>
      </c>
      <c r="I1841" s="331" t="s">
        <v>15214</v>
      </c>
    </row>
    <row r="1842" spans="1:9" x14ac:dyDescent="0.25">
      <c r="A1842" s="319">
        <v>42992</v>
      </c>
      <c r="B1842" s="320" t="s">
        <v>29592</v>
      </c>
      <c r="C1842" s="321">
        <v>127601</v>
      </c>
      <c r="D1842" s="390" t="s">
        <v>15220</v>
      </c>
      <c r="E1842" s="322">
        <v>5040</v>
      </c>
      <c r="F1842" s="323">
        <v>42993</v>
      </c>
      <c r="G1842" s="322">
        <v>5040</v>
      </c>
      <c r="H1842" s="322">
        <f t="shared" si="25"/>
        <v>0</v>
      </c>
      <c r="I1842" s="325" t="s">
        <v>15214</v>
      </c>
    </row>
    <row r="1843" spans="1:9" x14ac:dyDescent="0.25">
      <c r="A1843" s="359">
        <v>42992</v>
      </c>
      <c r="B1843" s="326" t="s">
        <v>29593</v>
      </c>
      <c r="C1843" s="327">
        <v>127602</v>
      </c>
      <c r="D1843" s="391" t="s">
        <v>15250</v>
      </c>
      <c r="E1843" s="328">
        <v>78728.67</v>
      </c>
      <c r="F1843" s="329">
        <v>43001</v>
      </c>
      <c r="G1843" s="328">
        <v>78728.67</v>
      </c>
      <c r="H1843" s="347">
        <f t="shared" si="25"/>
        <v>0</v>
      </c>
      <c r="I1843" s="331" t="s">
        <v>15214</v>
      </c>
    </row>
    <row r="1844" spans="1:9" x14ac:dyDescent="0.25">
      <c r="A1844" s="319">
        <v>42992</v>
      </c>
      <c r="B1844" s="320" t="s">
        <v>29594</v>
      </c>
      <c r="C1844" s="321">
        <v>127603</v>
      </c>
      <c r="D1844" s="390" t="s">
        <v>15642</v>
      </c>
      <c r="E1844" s="322">
        <v>1879.5</v>
      </c>
      <c r="F1844" s="323">
        <v>42992</v>
      </c>
      <c r="G1844" s="322">
        <v>1879.5</v>
      </c>
      <c r="H1844" s="322">
        <f t="shared" si="25"/>
        <v>0</v>
      </c>
      <c r="I1844" s="325" t="s">
        <v>15214</v>
      </c>
    </row>
    <row r="1845" spans="1:9" x14ac:dyDescent="0.25">
      <c r="A1845" s="359">
        <v>42992</v>
      </c>
      <c r="B1845" s="326" t="s">
        <v>29595</v>
      </c>
      <c r="C1845" s="327">
        <v>127604</v>
      </c>
      <c r="D1845" s="391" t="s">
        <v>15642</v>
      </c>
      <c r="E1845" s="328">
        <v>2026.5</v>
      </c>
      <c r="F1845" s="329">
        <v>42992</v>
      </c>
      <c r="G1845" s="328">
        <v>2026.5</v>
      </c>
      <c r="H1845" s="347">
        <f t="shared" si="25"/>
        <v>0</v>
      </c>
      <c r="I1845" s="331" t="s">
        <v>15214</v>
      </c>
    </row>
    <row r="1846" spans="1:9" x14ac:dyDescent="0.25">
      <c r="A1846" s="319">
        <v>42992</v>
      </c>
      <c r="B1846" s="320" t="s">
        <v>29596</v>
      </c>
      <c r="C1846" s="321">
        <v>127605</v>
      </c>
      <c r="D1846" s="390" t="s">
        <v>15315</v>
      </c>
      <c r="E1846" s="322">
        <v>140.4</v>
      </c>
      <c r="F1846" s="323">
        <v>42992</v>
      </c>
      <c r="G1846" s="322">
        <v>140.4</v>
      </c>
      <c r="H1846" s="322">
        <f t="shared" si="25"/>
        <v>0</v>
      </c>
      <c r="I1846" s="325" t="s">
        <v>15214</v>
      </c>
    </row>
    <row r="1847" spans="1:9" x14ac:dyDescent="0.25">
      <c r="A1847" s="359">
        <v>42992</v>
      </c>
      <c r="B1847" s="326" t="s">
        <v>29597</v>
      </c>
      <c r="C1847" s="327">
        <v>127606</v>
      </c>
      <c r="D1847" s="391" t="s">
        <v>5757</v>
      </c>
      <c r="E1847" s="328">
        <v>850</v>
      </c>
      <c r="F1847" s="329">
        <v>42992</v>
      </c>
      <c r="G1847" s="328">
        <v>850</v>
      </c>
      <c r="H1847" s="347">
        <f t="shared" si="25"/>
        <v>0</v>
      </c>
      <c r="I1847" s="331" t="s">
        <v>15214</v>
      </c>
    </row>
    <row r="1848" spans="1:9" x14ac:dyDescent="0.25">
      <c r="A1848" s="319">
        <v>42992</v>
      </c>
      <c r="B1848" s="320" t="s">
        <v>29598</v>
      </c>
      <c r="C1848" s="321">
        <v>127607</v>
      </c>
      <c r="D1848" s="390" t="s">
        <v>15315</v>
      </c>
      <c r="E1848" s="322">
        <v>32</v>
      </c>
      <c r="F1848" s="323">
        <v>42992</v>
      </c>
      <c r="G1848" s="322">
        <v>32</v>
      </c>
      <c r="H1848" s="322">
        <f t="shared" si="25"/>
        <v>0</v>
      </c>
      <c r="I1848" s="325" t="s">
        <v>15214</v>
      </c>
    </row>
    <row r="1849" spans="1:9" x14ac:dyDescent="0.25">
      <c r="A1849" s="359">
        <v>42992</v>
      </c>
      <c r="B1849" s="326" t="s">
        <v>29599</v>
      </c>
      <c r="C1849" s="327">
        <v>127608</v>
      </c>
      <c r="D1849" s="391" t="s">
        <v>15246</v>
      </c>
      <c r="E1849" s="328">
        <v>129115.44</v>
      </c>
      <c r="F1849" s="329">
        <v>42997</v>
      </c>
      <c r="G1849" s="328">
        <v>129115.44</v>
      </c>
      <c r="H1849" s="347">
        <f t="shared" si="25"/>
        <v>0</v>
      </c>
      <c r="I1849" s="331" t="s">
        <v>15214</v>
      </c>
    </row>
    <row r="1850" spans="1:9" x14ac:dyDescent="0.25">
      <c r="A1850" s="319">
        <v>42992</v>
      </c>
      <c r="B1850" s="320" t="s">
        <v>29600</v>
      </c>
      <c r="C1850" s="321">
        <v>127609</v>
      </c>
      <c r="D1850" s="390" t="s">
        <v>15435</v>
      </c>
      <c r="E1850" s="322">
        <v>8579.2000000000007</v>
      </c>
      <c r="F1850" s="323">
        <v>42992</v>
      </c>
      <c r="G1850" s="322">
        <v>8579.2000000000007</v>
      </c>
      <c r="H1850" s="322">
        <f t="shared" si="25"/>
        <v>0</v>
      </c>
      <c r="I1850" s="325" t="s">
        <v>15214</v>
      </c>
    </row>
    <row r="1851" spans="1:9" x14ac:dyDescent="0.25">
      <c r="A1851" s="359">
        <v>42992</v>
      </c>
      <c r="B1851" s="326" t="s">
        <v>29601</v>
      </c>
      <c r="C1851" s="327">
        <v>127610</v>
      </c>
      <c r="D1851" s="391" t="s">
        <v>15315</v>
      </c>
      <c r="E1851" s="328">
        <v>148.80000000000001</v>
      </c>
      <c r="F1851" s="329">
        <v>42992</v>
      </c>
      <c r="G1851" s="328">
        <v>148.80000000000001</v>
      </c>
      <c r="H1851" s="347">
        <f t="shared" si="25"/>
        <v>0</v>
      </c>
      <c r="I1851" s="331" t="s">
        <v>15214</v>
      </c>
    </row>
    <row r="1852" spans="1:9" x14ac:dyDescent="0.25">
      <c r="A1852" s="319">
        <v>42992</v>
      </c>
      <c r="B1852" s="320" t="s">
        <v>29602</v>
      </c>
      <c r="C1852" s="321">
        <v>127611</v>
      </c>
      <c r="D1852" s="390" t="s">
        <v>15315</v>
      </c>
      <c r="E1852" s="322">
        <v>70.2</v>
      </c>
      <c r="F1852" s="323">
        <v>42995</v>
      </c>
      <c r="G1852" s="322">
        <v>70.2</v>
      </c>
      <c r="H1852" s="322">
        <f t="shared" si="25"/>
        <v>0</v>
      </c>
      <c r="I1852" s="325" t="s">
        <v>15214</v>
      </c>
    </row>
    <row r="1853" spans="1:9" x14ac:dyDescent="0.25">
      <c r="A1853" s="359">
        <v>42992</v>
      </c>
      <c r="B1853" s="326" t="s">
        <v>29603</v>
      </c>
      <c r="C1853" s="327">
        <v>127612</v>
      </c>
      <c r="D1853" s="391" t="s">
        <v>15246</v>
      </c>
      <c r="E1853" s="328">
        <v>37830.6</v>
      </c>
      <c r="F1853" s="329">
        <v>42997</v>
      </c>
      <c r="G1853" s="328">
        <v>37830.6</v>
      </c>
      <c r="H1853" s="347">
        <f t="shared" si="25"/>
        <v>0</v>
      </c>
      <c r="I1853" s="331" t="s">
        <v>15214</v>
      </c>
    </row>
    <row r="1854" spans="1:9" x14ac:dyDescent="0.25">
      <c r="A1854" s="319">
        <v>42993</v>
      </c>
      <c r="B1854" s="320" t="s">
        <v>29604</v>
      </c>
      <c r="C1854" s="321">
        <v>127613</v>
      </c>
      <c r="D1854" s="390" t="s">
        <v>15330</v>
      </c>
      <c r="E1854" s="322">
        <v>1484.6</v>
      </c>
      <c r="F1854" s="323">
        <v>42993</v>
      </c>
      <c r="G1854" s="322">
        <v>1484.6</v>
      </c>
      <c r="H1854" s="322">
        <f t="shared" si="25"/>
        <v>0</v>
      </c>
      <c r="I1854" s="325" t="s">
        <v>15214</v>
      </c>
    </row>
    <row r="1855" spans="1:9" x14ac:dyDescent="0.25">
      <c r="A1855" s="359">
        <v>42993</v>
      </c>
      <c r="B1855" s="326" t="s">
        <v>29605</v>
      </c>
      <c r="C1855" s="327">
        <v>127614</v>
      </c>
      <c r="D1855" s="391" t="s">
        <v>21386</v>
      </c>
      <c r="E1855" s="328">
        <v>24476.15</v>
      </c>
      <c r="F1855" s="329">
        <v>42996</v>
      </c>
      <c r="G1855" s="328">
        <v>24476.15</v>
      </c>
      <c r="H1855" s="347">
        <f t="shared" si="25"/>
        <v>0</v>
      </c>
      <c r="I1855" s="331" t="s">
        <v>15214</v>
      </c>
    </row>
    <row r="1856" spans="1:9" x14ac:dyDescent="0.25">
      <c r="A1856" s="319">
        <v>42993</v>
      </c>
      <c r="B1856" s="320" t="s">
        <v>29606</v>
      </c>
      <c r="C1856" s="321">
        <v>127615</v>
      </c>
      <c r="D1856" s="390" t="s">
        <v>15315</v>
      </c>
      <c r="E1856" s="322">
        <v>3864.9</v>
      </c>
      <c r="F1856" s="323">
        <v>42993</v>
      </c>
      <c r="G1856" s="322">
        <v>3864.9</v>
      </c>
      <c r="H1856" s="322">
        <f t="shared" si="25"/>
        <v>0</v>
      </c>
      <c r="I1856" s="325" t="s">
        <v>15214</v>
      </c>
    </row>
    <row r="1857" spans="1:9" x14ac:dyDescent="0.25">
      <c r="A1857" s="359">
        <v>42993</v>
      </c>
      <c r="B1857" s="326" t="s">
        <v>29607</v>
      </c>
      <c r="C1857" s="327">
        <v>127616</v>
      </c>
      <c r="D1857" s="391" t="s">
        <v>15213</v>
      </c>
      <c r="E1857" s="328">
        <v>81110.649999999994</v>
      </c>
      <c r="F1857" s="329">
        <v>42998</v>
      </c>
      <c r="G1857" s="328">
        <v>81110.649999999994</v>
      </c>
      <c r="H1857" s="347">
        <f t="shared" si="25"/>
        <v>0</v>
      </c>
      <c r="I1857" s="331" t="s">
        <v>15214</v>
      </c>
    </row>
    <row r="1858" spans="1:9" x14ac:dyDescent="0.25">
      <c r="A1858" s="319">
        <v>42993</v>
      </c>
      <c r="B1858" s="320" t="s">
        <v>29608</v>
      </c>
      <c r="C1858" s="321">
        <v>127617</v>
      </c>
      <c r="D1858" s="390" t="s">
        <v>15665</v>
      </c>
      <c r="E1858" s="322">
        <v>955.8</v>
      </c>
      <c r="F1858" s="323">
        <v>42993</v>
      </c>
      <c r="G1858" s="322">
        <v>955.8</v>
      </c>
      <c r="H1858" s="322">
        <f t="shared" si="25"/>
        <v>0</v>
      </c>
      <c r="I1858" s="325" t="s">
        <v>15214</v>
      </c>
    </row>
    <row r="1859" spans="1:9" x14ac:dyDescent="0.25">
      <c r="A1859" s="359">
        <v>42993</v>
      </c>
      <c r="B1859" s="326" t="s">
        <v>29609</v>
      </c>
      <c r="C1859" s="327">
        <v>127618</v>
      </c>
      <c r="D1859" s="391" t="s">
        <v>15216</v>
      </c>
      <c r="E1859" s="328">
        <v>1358</v>
      </c>
      <c r="F1859" s="329">
        <v>42993</v>
      </c>
      <c r="G1859" s="328">
        <v>1358</v>
      </c>
      <c r="H1859" s="347">
        <f t="shared" si="25"/>
        <v>0</v>
      </c>
      <c r="I1859" s="331" t="s">
        <v>15214</v>
      </c>
    </row>
    <row r="1860" spans="1:9" x14ac:dyDescent="0.25">
      <c r="A1860" s="319">
        <v>42993</v>
      </c>
      <c r="B1860" s="320" t="s">
        <v>29610</v>
      </c>
      <c r="C1860" s="321">
        <v>127619</v>
      </c>
      <c r="D1860" s="390" t="s">
        <v>15272</v>
      </c>
      <c r="E1860" s="322">
        <v>48372.800000000003</v>
      </c>
      <c r="F1860" s="323">
        <v>42993</v>
      </c>
      <c r="G1860" s="322">
        <v>48372.800000000003</v>
      </c>
      <c r="H1860" s="322">
        <f t="shared" si="25"/>
        <v>0</v>
      </c>
      <c r="I1860" s="325" t="s">
        <v>15214</v>
      </c>
    </row>
    <row r="1861" spans="1:9" x14ac:dyDescent="0.25">
      <c r="A1861" s="359">
        <v>42993</v>
      </c>
      <c r="B1861" s="326" t="s">
        <v>29611</v>
      </c>
      <c r="C1861" s="327">
        <v>127620</v>
      </c>
      <c r="D1861" s="391" t="s">
        <v>15272</v>
      </c>
      <c r="E1861" s="328">
        <v>1176</v>
      </c>
      <c r="F1861" s="329">
        <v>42993</v>
      </c>
      <c r="G1861" s="328">
        <v>1176</v>
      </c>
      <c r="H1861" s="347">
        <f t="shared" si="25"/>
        <v>0</v>
      </c>
      <c r="I1861" s="331" t="s">
        <v>15214</v>
      </c>
    </row>
    <row r="1862" spans="1:9" x14ac:dyDescent="0.25">
      <c r="A1862" s="319">
        <v>42993</v>
      </c>
      <c r="B1862" s="320" t="s">
        <v>29612</v>
      </c>
      <c r="C1862" s="321">
        <v>127621</v>
      </c>
      <c r="D1862" s="390" t="s">
        <v>15272</v>
      </c>
      <c r="E1862" s="322">
        <v>3141.8</v>
      </c>
      <c r="F1862" s="323">
        <v>42993</v>
      </c>
      <c r="G1862" s="322">
        <v>3141.8</v>
      </c>
      <c r="H1862" s="322">
        <f t="shared" si="25"/>
        <v>0</v>
      </c>
      <c r="I1862" s="325" t="s">
        <v>15214</v>
      </c>
    </row>
    <row r="1863" spans="1:9" x14ac:dyDescent="0.25">
      <c r="A1863" s="359">
        <v>42993</v>
      </c>
      <c r="B1863" s="326" t="s">
        <v>29613</v>
      </c>
      <c r="C1863" s="327">
        <v>127622</v>
      </c>
      <c r="D1863" s="391" t="s">
        <v>15263</v>
      </c>
      <c r="E1863" s="328">
        <v>4625</v>
      </c>
      <c r="F1863" s="329">
        <v>42993</v>
      </c>
      <c r="G1863" s="328">
        <v>4625</v>
      </c>
      <c r="H1863" s="347">
        <f t="shared" si="25"/>
        <v>0</v>
      </c>
      <c r="I1863" s="331" t="s">
        <v>15214</v>
      </c>
    </row>
    <row r="1864" spans="1:9" x14ac:dyDescent="0.25">
      <c r="A1864" s="319">
        <v>42993</v>
      </c>
      <c r="B1864" s="320" t="s">
        <v>29614</v>
      </c>
      <c r="C1864" s="321">
        <v>127623</v>
      </c>
      <c r="D1864" s="390" t="s">
        <v>15309</v>
      </c>
      <c r="E1864" s="322">
        <v>20319.8</v>
      </c>
      <c r="F1864" s="323">
        <v>42993</v>
      </c>
      <c r="G1864" s="322">
        <v>20319.8</v>
      </c>
      <c r="H1864" s="322">
        <f t="shared" si="25"/>
        <v>0</v>
      </c>
      <c r="I1864" s="325" t="s">
        <v>15214</v>
      </c>
    </row>
    <row r="1865" spans="1:9" x14ac:dyDescent="0.25">
      <c r="A1865" s="359">
        <v>42993</v>
      </c>
      <c r="B1865" s="326" t="s">
        <v>29615</v>
      </c>
      <c r="C1865" s="327">
        <v>127624</v>
      </c>
      <c r="D1865" s="391" t="s">
        <v>16064</v>
      </c>
      <c r="E1865" s="328">
        <v>5920.2</v>
      </c>
      <c r="F1865" s="329">
        <v>42993</v>
      </c>
      <c r="G1865" s="328">
        <v>5920.2</v>
      </c>
      <c r="H1865" s="347">
        <f t="shared" si="25"/>
        <v>0</v>
      </c>
      <c r="I1865" s="331" t="s">
        <v>15214</v>
      </c>
    </row>
    <row r="1866" spans="1:9" x14ac:dyDescent="0.25">
      <c r="A1866" s="319">
        <v>42993</v>
      </c>
      <c r="B1866" s="320" t="s">
        <v>29616</v>
      </c>
      <c r="C1866" s="321">
        <v>127625</v>
      </c>
      <c r="D1866" s="390" t="s">
        <v>15415</v>
      </c>
      <c r="E1866" s="322">
        <v>3275.8</v>
      </c>
      <c r="F1866" s="323">
        <v>42996</v>
      </c>
      <c r="G1866" s="322">
        <v>3275.8</v>
      </c>
      <c r="H1866" s="322">
        <f t="shared" si="25"/>
        <v>0</v>
      </c>
      <c r="I1866" s="325" t="s">
        <v>15214</v>
      </c>
    </row>
    <row r="1867" spans="1:9" x14ac:dyDescent="0.25">
      <c r="A1867" s="359">
        <v>42993</v>
      </c>
      <c r="B1867" s="326" t="s">
        <v>29617</v>
      </c>
      <c r="C1867" s="327">
        <v>127626</v>
      </c>
      <c r="D1867" s="391" t="s">
        <v>15317</v>
      </c>
      <c r="E1867" s="328">
        <v>713</v>
      </c>
      <c r="F1867" s="329">
        <v>42998</v>
      </c>
      <c r="G1867" s="328">
        <v>713</v>
      </c>
      <c r="H1867" s="347">
        <f t="shared" si="25"/>
        <v>0</v>
      </c>
      <c r="I1867" s="331" t="s">
        <v>15214</v>
      </c>
    </row>
    <row r="1868" spans="1:9" x14ac:dyDescent="0.25">
      <c r="A1868" s="319">
        <v>42993</v>
      </c>
      <c r="B1868" s="320" t="s">
        <v>29618</v>
      </c>
      <c r="C1868" s="321">
        <v>127627</v>
      </c>
      <c r="D1868" s="390" t="s">
        <v>15309</v>
      </c>
      <c r="E1868" s="322">
        <v>322.39999999999998</v>
      </c>
      <c r="F1868" s="323">
        <v>42993</v>
      </c>
      <c r="G1868" s="322">
        <v>322.39999999999998</v>
      </c>
      <c r="H1868" s="322">
        <f t="shared" si="25"/>
        <v>0</v>
      </c>
      <c r="I1868" s="325" t="s">
        <v>15214</v>
      </c>
    </row>
    <row r="1869" spans="1:9" x14ac:dyDescent="0.25">
      <c r="A1869" s="359">
        <v>42993</v>
      </c>
      <c r="B1869" s="326" t="s">
        <v>29619</v>
      </c>
      <c r="C1869" s="327">
        <v>127628</v>
      </c>
      <c r="D1869" s="391" t="s">
        <v>15438</v>
      </c>
      <c r="E1869" s="328">
        <v>7468.6</v>
      </c>
      <c r="F1869" s="329">
        <v>42993</v>
      </c>
      <c r="G1869" s="328">
        <v>7468.6</v>
      </c>
      <c r="H1869" s="347">
        <f t="shared" si="25"/>
        <v>0</v>
      </c>
      <c r="I1869" s="331" t="s">
        <v>15214</v>
      </c>
    </row>
    <row r="1870" spans="1:9" x14ac:dyDescent="0.25">
      <c r="A1870" s="319">
        <v>42993</v>
      </c>
      <c r="B1870" s="320" t="s">
        <v>29620</v>
      </c>
      <c r="C1870" s="321">
        <v>127629</v>
      </c>
      <c r="D1870" s="390" t="s">
        <v>15226</v>
      </c>
      <c r="E1870" s="322">
        <v>1729.7</v>
      </c>
      <c r="F1870" s="323">
        <v>42996</v>
      </c>
      <c r="G1870" s="322">
        <v>1729.7</v>
      </c>
      <c r="H1870" s="322">
        <f t="shared" si="25"/>
        <v>0</v>
      </c>
      <c r="I1870" s="325" t="s">
        <v>15214</v>
      </c>
    </row>
    <row r="1871" spans="1:9" x14ac:dyDescent="0.25">
      <c r="A1871" s="359">
        <v>42993</v>
      </c>
      <c r="B1871" s="326" t="s">
        <v>29621</v>
      </c>
      <c r="C1871" s="327">
        <v>127630</v>
      </c>
      <c r="D1871" s="391" t="s">
        <v>15322</v>
      </c>
      <c r="E1871" s="328">
        <v>512.20000000000005</v>
      </c>
      <c r="F1871" s="329">
        <v>42993</v>
      </c>
      <c r="G1871" s="328">
        <v>512.20000000000005</v>
      </c>
      <c r="H1871" s="347">
        <f t="shared" si="25"/>
        <v>0</v>
      </c>
      <c r="I1871" s="331" t="s">
        <v>15214</v>
      </c>
    </row>
    <row r="1872" spans="1:9" x14ac:dyDescent="0.25">
      <c r="A1872" s="319">
        <v>42993</v>
      </c>
      <c r="B1872" s="320" t="s">
        <v>29622</v>
      </c>
      <c r="C1872" s="321">
        <v>127631</v>
      </c>
      <c r="D1872" s="390" t="s">
        <v>15242</v>
      </c>
      <c r="E1872" s="322">
        <v>8991</v>
      </c>
      <c r="F1872" s="323">
        <v>42993</v>
      </c>
      <c r="G1872" s="322">
        <v>8991</v>
      </c>
      <c r="H1872" s="322">
        <f t="shared" si="25"/>
        <v>0</v>
      </c>
      <c r="I1872" s="325" t="s">
        <v>15214</v>
      </c>
    </row>
    <row r="1873" spans="1:9" x14ac:dyDescent="0.25">
      <c r="A1873" s="359">
        <v>42993</v>
      </c>
      <c r="B1873" s="326" t="s">
        <v>29623</v>
      </c>
      <c r="C1873" s="327">
        <v>127632</v>
      </c>
      <c r="D1873" s="391" t="s">
        <v>15644</v>
      </c>
      <c r="E1873" s="328">
        <v>3080</v>
      </c>
      <c r="F1873" s="329">
        <v>42993</v>
      </c>
      <c r="G1873" s="328">
        <v>3080</v>
      </c>
      <c r="H1873" s="347">
        <f t="shared" si="25"/>
        <v>0</v>
      </c>
      <c r="I1873" s="331" t="s">
        <v>15214</v>
      </c>
    </row>
    <row r="1874" spans="1:9" x14ac:dyDescent="0.25">
      <c r="A1874" s="319">
        <v>42993</v>
      </c>
      <c r="B1874" s="320" t="s">
        <v>29624</v>
      </c>
      <c r="C1874" s="321">
        <v>127633</v>
      </c>
      <c r="D1874" s="390" t="s">
        <v>15234</v>
      </c>
      <c r="E1874" s="322">
        <v>3767.4</v>
      </c>
      <c r="F1874" s="323">
        <v>42999</v>
      </c>
      <c r="G1874" s="322">
        <v>3767.4</v>
      </c>
      <c r="H1874" s="322">
        <f t="shared" si="25"/>
        <v>0</v>
      </c>
      <c r="I1874" s="325" t="s">
        <v>15214</v>
      </c>
    </row>
    <row r="1875" spans="1:9" x14ac:dyDescent="0.25">
      <c r="A1875" s="359">
        <v>42993</v>
      </c>
      <c r="B1875" s="326" t="s">
        <v>29625</v>
      </c>
      <c r="C1875" s="327">
        <v>127634</v>
      </c>
      <c r="D1875" s="391" t="s">
        <v>19302</v>
      </c>
      <c r="E1875" s="328">
        <v>1440</v>
      </c>
      <c r="F1875" s="329">
        <v>42993</v>
      </c>
      <c r="G1875" s="328">
        <v>1440</v>
      </c>
      <c r="H1875" s="347">
        <f t="shared" si="25"/>
        <v>0</v>
      </c>
      <c r="I1875" s="331" t="s">
        <v>15214</v>
      </c>
    </row>
    <row r="1876" spans="1:9" x14ac:dyDescent="0.25">
      <c r="A1876" s="319">
        <v>42993</v>
      </c>
      <c r="B1876" s="320" t="s">
        <v>29626</v>
      </c>
      <c r="C1876" s="321">
        <v>127635</v>
      </c>
      <c r="D1876" s="390" t="s">
        <v>16958</v>
      </c>
      <c r="E1876" s="322">
        <v>2553.1999999999998</v>
      </c>
      <c r="F1876" s="323">
        <v>42993</v>
      </c>
      <c r="G1876" s="322">
        <v>2553.1999999999998</v>
      </c>
      <c r="H1876" s="322">
        <f t="shared" si="25"/>
        <v>0</v>
      </c>
      <c r="I1876" s="325" t="s">
        <v>15214</v>
      </c>
    </row>
    <row r="1877" spans="1:9" ht="15.75" x14ac:dyDescent="0.25">
      <c r="A1877" s="359">
        <v>42993</v>
      </c>
      <c r="B1877" s="326" t="s">
        <v>29627</v>
      </c>
      <c r="C1877" s="327">
        <v>127636</v>
      </c>
      <c r="D1877" s="345" t="s">
        <v>95</v>
      </c>
      <c r="E1877" s="328">
        <v>0</v>
      </c>
      <c r="F1877" s="346" t="s">
        <v>95</v>
      </c>
      <c r="G1877" s="328">
        <v>0</v>
      </c>
      <c r="H1877" s="347">
        <f t="shared" si="25"/>
        <v>0</v>
      </c>
      <c r="I1877" s="331" t="s">
        <v>95</v>
      </c>
    </row>
    <row r="1878" spans="1:9" x14ac:dyDescent="0.25">
      <c r="A1878" s="319">
        <v>42993</v>
      </c>
      <c r="B1878" s="320" t="s">
        <v>29628</v>
      </c>
      <c r="C1878" s="321">
        <v>127637</v>
      </c>
      <c r="D1878" s="390" t="s">
        <v>15240</v>
      </c>
      <c r="E1878" s="322">
        <v>3072.3</v>
      </c>
      <c r="F1878" s="323">
        <v>42996</v>
      </c>
      <c r="G1878" s="322">
        <v>3072.3</v>
      </c>
      <c r="H1878" s="322">
        <f t="shared" si="25"/>
        <v>0</v>
      </c>
      <c r="I1878" s="325" t="s">
        <v>15214</v>
      </c>
    </row>
    <row r="1879" spans="1:9" ht="15.75" x14ac:dyDescent="0.25">
      <c r="A1879" s="359">
        <v>42993</v>
      </c>
      <c r="B1879" s="326" t="s">
        <v>29629</v>
      </c>
      <c r="C1879" s="327">
        <v>127638</v>
      </c>
      <c r="D1879" s="345" t="s">
        <v>95</v>
      </c>
      <c r="E1879" s="328">
        <v>0</v>
      </c>
      <c r="F1879" s="346" t="s">
        <v>95</v>
      </c>
      <c r="G1879" s="328">
        <v>0</v>
      </c>
      <c r="H1879" s="347">
        <f t="shared" si="25"/>
        <v>0</v>
      </c>
      <c r="I1879" s="331" t="s">
        <v>95</v>
      </c>
    </row>
    <row r="1880" spans="1:9" x14ac:dyDescent="0.25">
      <c r="A1880" s="319">
        <v>42993</v>
      </c>
      <c r="B1880" s="320" t="s">
        <v>29630</v>
      </c>
      <c r="C1880" s="321">
        <v>127639</v>
      </c>
      <c r="D1880" s="390" t="s">
        <v>15348</v>
      </c>
      <c r="E1880" s="322">
        <v>3525.3</v>
      </c>
      <c r="F1880" s="323">
        <v>42996</v>
      </c>
      <c r="G1880" s="322">
        <v>3525.3</v>
      </c>
      <c r="H1880" s="322">
        <f t="shared" si="25"/>
        <v>0</v>
      </c>
      <c r="I1880" s="325" t="s">
        <v>15214</v>
      </c>
    </row>
    <row r="1881" spans="1:9" x14ac:dyDescent="0.25">
      <c r="A1881" s="359">
        <v>42993</v>
      </c>
      <c r="B1881" s="326" t="s">
        <v>29631</v>
      </c>
      <c r="C1881" s="327">
        <v>127640</v>
      </c>
      <c r="D1881" s="391" t="s">
        <v>15230</v>
      </c>
      <c r="E1881" s="328">
        <v>20618.55</v>
      </c>
      <c r="F1881" s="329">
        <v>42997</v>
      </c>
      <c r="G1881" s="328">
        <v>20618.55</v>
      </c>
      <c r="H1881" s="347">
        <f t="shared" si="25"/>
        <v>0</v>
      </c>
      <c r="I1881" s="331" t="s">
        <v>15214</v>
      </c>
    </row>
    <row r="1882" spans="1:9" x14ac:dyDescent="0.25">
      <c r="A1882" s="319">
        <v>42993</v>
      </c>
      <c r="B1882" s="320" t="s">
        <v>29632</v>
      </c>
      <c r="C1882" s="321">
        <v>127641</v>
      </c>
      <c r="D1882" s="390" t="s">
        <v>16261</v>
      </c>
      <c r="E1882" s="322">
        <v>7862.4</v>
      </c>
      <c r="F1882" s="323">
        <v>42993</v>
      </c>
      <c r="G1882" s="322">
        <v>7862.4</v>
      </c>
      <c r="H1882" s="322">
        <f t="shared" si="25"/>
        <v>0</v>
      </c>
      <c r="I1882" s="325" t="s">
        <v>15214</v>
      </c>
    </row>
    <row r="1883" spans="1:9" x14ac:dyDescent="0.25">
      <c r="A1883" s="359">
        <v>42993</v>
      </c>
      <c r="B1883" s="326" t="s">
        <v>29633</v>
      </c>
      <c r="C1883" s="327">
        <v>127642</v>
      </c>
      <c r="D1883" s="391" t="s">
        <v>19780</v>
      </c>
      <c r="E1883" s="328">
        <v>884</v>
      </c>
      <c r="F1883" s="329">
        <v>42997</v>
      </c>
      <c r="G1883" s="328">
        <v>884</v>
      </c>
      <c r="H1883" s="347">
        <f t="shared" si="25"/>
        <v>0</v>
      </c>
      <c r="I1883" s="331" t="s">
        <v>15214</v>
      </c>
    </row>
    <row r="1884" spans="1:9" x14ac:dyDescent="0.25">
      <c r="A1884" s="319">
        <v>42993</v>
      </c>
      <c r="B1884" s="320" t="s">
        <v>29634</v>
      </c>
      <c r="C1884" s="321">
        <v>127643</v>
      </c>
      <c r="D1884" s="390" t="s">
        <v>17950</v>
      </c>
      <c r="E1884" s="322">
        <v>12889.5</v>
      </c>
      <c r="F1884" s="323">
        <v>42993</v>
      </c>
      <c r="G1884" s="322">
        <v>12889.5</v>
      </c>
      <c r="H1884" s="322">
        <f t="shared" si="25"/>
        <v>0</v>
      </c>
      <c r="I1884" s="325" t="s">
        <v>15214</v>
      </c>
    </row>
    <row r="1885" spans="1:9" ht="15.75" x14ac:dyDescent="0.25">
      <c r="A1885" s="359">
        <v>42993</v>
      </c>
      <c r="B1885" s="326" t="s">
        <v>29635</v>
      </c>
      <c r="C1885" s="327">
        <v>127644</v>
      </c>
      <c r="D1885" s="345" t="s">
        <v>95</v>
      </c>
      <c r="E1885" s="328">
        <v>0</v>
      </c>
      <c r="F1885" s="346" t="s">
        <v>95</v>
      </c>
      <c r="G1885" s="328">
        <v>0</v>
      </c>
      <c r="H1885" s="347">
        <f t="shared" si="25"/>
        <v>0</v>
      </c>
      <c r="I1885" s="399" t="s">
        <v>28783</v>
      </c>
    </row>
    <row r="1886" spans="1:9" x14ac:dyDescent="0.25">
      <c r="A1886" s="319">
        <v>42993</v>
      </c>
      <c r="B1886" s="320" t="s">
        <v>29636</v>
      </c>
      <c r="C1886" s="321">
        <v>127645</v>
      </c>
      <c r="D1886" s="390" t="s">
        <v>15553</v>
      </c>
      <c r="E1886" s="322">
        <v>1626.8</v>
      </c>
      <c r="F1886" s="323">
        <v>42993</v>
      </c>
      <c r="G1886" s="322">
        <v>1626.8</v>
      </c>
      <c r="H1886" s="322">
        <f t="shared" si="25"/>
        <v>0</v>
      </c>
      <c r="I1886" s="325" t="s">
        <v>15214</v>
      </c>
    </row>
    <row r="1887" spans="1:9" x14ac:dyDescent="0.25">
      <c r="A1887" s="359">
        <v>42993</v>
      </c>
      <c r="B1887" s="326" t="s">
        <v>29637</v>
      </c>
      <c r="C1887" s="327">
        <v>127646</v>
      </c>
      <c r="D1887" s="391" t="s">
        <v>15258</v>
      </c>
      <c r="E1887" s="328">
        <v>11146.2</v>
      </c>
      <c r="F1887" s="329">
        <v>42997</v>
      </c>
      <c r="G1887" s="328">
        <v>11146.2</v>
      </c>
      <c r="H1887" s="347">
        <f t="shared" si="25"/>
        <v>0</v>
      </c>
      <c r="I1887" s="331" t="s">
        <v>15214</v>
      </c>
    </row>
    <row r="1888" spans="1:9" x14ac:dyDescent="0.25">
      <c r="A1888" s="319">
        <v>42993</v>
      </c>
      <c r="B1888" s="320" t="s">
        <v>29638</v>
      </c>
      <c r="C1888" s="321">
        <v>127647</v>
      </c>
      <c r="D1888" s="390" t="s">
        <v>15330</v>
      </c>
      <c r="E1888" s="322">
        <v>5110</v>
      </c>
      <c r="F1888" s="323">
        <v>42993</v>
      </c>
      <c r="G1888" s="322">
        <v>5110</v>
      </c>
      <c r="H1888" s="322">
        <f t="shared" si="25"/>
        <v>0</v>
      </c>
      <c r="I1888" s="325" t="s">
        <v>15214</v>
      </c>
    </row>
    <row r="1889" spans="1:9" x14ac:dyDescent="0.25">
      <c r="A1889" s="359">
        <v>42993</v>
      </c>
      <c r="B1889" s="326" t="s">
        <v>29639</v>
      </c>
      <c r="C1889" s="327">
        <v>127648</v>
      </c>
      <c r="D1889" s="391" t="s">
        <v>15238</v>
      </c>
      <c r="E1889" s="328">
        <v>3537.8</v>
      </c>
      <c r="F1889" s="329">
        <v>42997</v>
      </c>
      <c r="G1889" s="328">
        <v>3537.8</v>
      </c>
      <c r="H1889" s="347">
        <f t="shared" si="25"/>
        <v>0</v>
      </c>
      <c r="I1889" s="331" t="s">
        <v>15214</v>
      </c>
    </row>
    <row r="1890" spans="1:9" x14ac:dyDescent="0.25">
      <c r="A1890" s="319">
        <v>42993</v>
      </c>
      <c r="B1890" s="320" t="s">
        <v>29640</v>
      </c>
      <c r="C1890" s="321">
        <v>127649</v>
      </c>
      <c r="D1890" s="390" t="s">
        <v>17950</v>
      </c>
      <c r="E1890" s="322">
        <v>756</v>
      </c>
      <c r="F1890" s="323">
        <v>42993</v>
      </c>
      <c r="G1890" s="322">
        <v>756</v>
      </c>
      <c r="H1890" s="322">
        <f t="shared" si="25"/>
        <v>0</v>
      </c>
      <c r="I1890" s="325" t="s">
        <v>15214</v>
      </c>
    </row>
    <row r="1891" spans="1:9" x14ac:dyDescent="0.25">
      <c r="A1891" s="359">
        <v>42993</v>
      </c>
      <c r="B1891" s="326" t="s">
        <v>29641</v>
      </c>
      <c r="C1891" s="327">
        <v>127650</v>
      </c>
      <c r="D1891" s="391" t="s">
        <v>15238</v>
      </c>
      <c r="E1891" s="328">
        <v>2634.4</v>
      </c>
      <c r="F1891" s="329">
        <v>42997</v>
      </c>
      <c r="G1891" s="328">
        <v>2634.4</v>
      </c>
      <c r="H1891" s="347">
        <f t="shared" si="25"/>
        <v>0</v>
      </c>
      <c r="I1891" s="331" t="s">
        <v>15214</v>
      </c>
    </row>
    <row r="1892" spans="1:9" x14ac:dyDescent="0.25">
      <c r="A1892" s="319">
        <v>42993</v>
      </c>
      <c r="B1892" s="320" t="s">
        <v>29642</v>
      </c>
      <c r="C1892" s="321">
        <v>127651</v>
      </c>
      <c r="D1892" s="390" t="s">
        <v>15258</v>
      </c>
      <c r="E1892" s="322">
        <v>829.4</v>
      </c>
      <c r="F1892" s="323">
        <v>42996</v>
      </c>
      <c r="G1892" s="322">
        <v>829.4</v>
      </c>
      <c r="H1892" s="322">
        <f t="shared" si="25"/>
        <v>0</v>
      </c>
      <c r="I1892" s="325" t="s">
        <v>15214</v>
      </c>
    </row>
    <row r="1893" spans="1:9" ht="15.75" x14ac:dyDescent="0.25">
      <c r="A1893" s="359">
        <v>42993</v>
      </c>
      <c r="B1893" s="326" t="s">
        <v>29643</v>
      </c>
      <c r="C1893" s="327">
        <v>127652</v>
      </c>
      <c r="D1893" s="345" t="s">
        <v>95</v>
      </c>
      <c r="E1893" s="328">
        <v>0</v>
      </c>
      <c r="F1893" s="346" t="s">
        <v>95</v>
      </c>
      <c r="G1893" s="328">
        <v>0</v>
      </c>
      <c r="H1893" s="347">
        <f t="shared" si="25"/>
        <v>0</v>
      </c>
      <c r="I1893" s="331" t="s">
        <v>95</v>
      </c>
    </row>
    <row r="1894" spans="1:9" x14ac:dyDescent="0.25">
      <c r="A1894" s="319">
        <v>42993</v>
      </c>
      <c r="B1894" s="320" t="s">
        <v>29644</v>
      </c>
      <c r="C1894" s="321">
        <v>127653</v>
      </c>
      <c r="D1894" s="390" t="s">
        <v>15315</v>
      </c>
      <c r="E1894" s="322">
        <v>19057.900000000001</v>
      </c>
      <c r="F1894" s="323">
        <v>42993</v>
      </c>
      <c r="G1894" s="322">
        <v>19057.900000000001</v>
      </c>
      <c r="H1894" s="322">
        <f t="shared" si="25"/>
        <v>0</v>
      </c>
      <c r="I1894" s="325" t="s">
        <v>15214</v>
      </c>
    </row>
    <row r="1895" spans="1:9" x14ac:dyDescent="0.25">
      <c r="A1895" s="359">
        <v>42993</v>
      </c>
      <c r="B1895" s="326" t="s">
        <v>29645</v>
      </c>
      <c r="C1895" s="327">
        <v>127654</v>
      </c>
      <c r="D1895" s="391" t="s">
        <v>15818</v>
      </c>
      <c r="E1895" s="328">
        <v>9480.9500000000007</v>
      </c>
      <c r="F1895" s="329">
        <v>42993</v>
      </c>
      <c r="G1895" s="328">
        <v>9480.9500000000007</v>
      </c>
      <c r="H1895" s="347">
        <f t="shared" si="25"/>
        <v>0</v>
      </c>
      <c r="I1895" s="331" t="s">
        <v>15214</v>
      </c>
    </row>
    <row r="1896" spans="1:9" x14ac:dyDescent="0.25">
      <c r="A1896" s="319">
        <v>42993</v>
      </c>
      <c r="B1896" s="320" t="s">
        <v>29646</v>
      </c>
      <c r="C1896" s="321">
        <v>127655</v>
      </c>
      <c r="D1896" s="390" t="s">
        <v>15232</v>
      </c>
      <c r="E1896" s="322">
        <v>13056.62</v>
      </c>
      <c r="F1896" s="323">
        <v>42999</v>
      </c>
      <c r="G1896" s="322">
        <v>13056.62</v>
      </c>
      <c r="H1896" s="322">
        <f t="shared" si="25"/>
        <v>0</v>
      </c>
      <c r="I1896" s="325" t="s">
        <v>15214</v>
      </c>
    </row>
    <row r="1897" spans="1:9" x14ac:dyDescent="0.25">
      <c r="A1897" s="359">
        <v>42993</v>
      </c>
      <c r="B1897" s="326" t="s">
        <v>29647</v>
      </c>
      <c r="C1897" s="327">
        <v>127656</v>
      </c>
      <c r="D1897" s="391" t="s">
        <v>17929</v>
      </c>
      <c r="E1897" s="328">
        <v>2990</v>
      </c>
      <c r="F1897" s="329">
        <v>42993</v>
      </c>
      <c r="G1897" s="328">
        <v>2990</v>
      </c>
      <c r="H1897" s="347">
        <f t="shared" si="25"/>
        <v>0</v>
      </c>
      <c r="I1897" s="331" t="s">
        <v>15214</v>
      </c>
    </row>
    <row r="1898" spans="1:9" x14ac:dyDescent="0.25">
      <c r="A1898" s="319">
        <v>42993</v>
      </c>
      <c r="B1898" s="320" t="s">
        <v>29648</v>
      </c>
      <c r="C1898" s="321">
        <v>127657</v>
      </c>
      <c r="D1898" s="390" t="s">
        <v>19461</v>
      </c>
      <c r="E1898" s="322">
        <v>3997.3</v>
      </c>
      <c r="F1898" s="323">
        <v>42993</v>
      </c>
      <c r="G1898" s="322">
        <v>3997.3</v>
      </c>
      <c r="H1898" s="322">
        <f t="shared" si="25"/>
        <v>0</v>
      </c>
      <c r="I1898" s="325" t="s">
        <v>15214</v>
      </c>
    </row>
    <row r="1899" spans="1:9" x14ac:dyDescent="0.25">
      <c r="A1899" s="359">
        <v>42993</v>
      </c>
      <c r="B1899" s="326" t="s">
        <v>29649</v>
      </c>
      <c r="C1899" s="327">
        <v>127658</v>
      </c>
      <c r="D1899" s="391" t="s">
        <v>15261</v>
      </c>
      <c r="E1899" s="328">
        <v>3444.5</v>
      </c>
      <c r="F1899" s="329">
        <v>42993</v>
      </c>
      <c r="G1899" s="328">
        <v>3444.5</v>
      </c>
      <c r="H1899" s="347">
        <f t="shared" si="25"/>
        <v>0</v>
      </c>
      <c r="I1899" s="331" t="s">
        <v>15214</v>
      </c>
    </row>
    <row r="1900" spans="1:9" x14ac:dyDescent="0.25">
      <c r="A1900" s="319">
        <v>42993</v>
      </c>
      <c r="B1900" s="320" t="s">
        <v>29650</v>
      </c>
      <c r="C1900" s="321">
        <v>127659</v>
      </c>
      <c r="D1900" s="390" t="s">
        <v>15987</v>
      </c>
      <c r="E1900" s="322">
        <v>1090.4000000000001</v>
      </c>
      <c r="F1900" s="323">
        <v>42993</v>
      </c>
      <c r="G1900" s="322">
        <v>1090.4000000000001</v>
      </c>
      <c r="H1900" s="322">
        <f t="shared" si="25"/>
        <v>0</v>
      </c>
      <c r="I1900" s="325" t="s">
        <v>15214</v>
      </c>
    </row>
    <row r="1901" spans="1:9" x14ac:dyDescent="0.25">
      <c r="A1901" s="359">
        <v>42993</v>
      </c>
      <c r="B1901" s="326" t="s">
        <v>29651</v>
      </c>
      <c r="C1901" s="327">
        <v>127660</v>
      </c>
      <c r="D1901" s="391" t="s">
        <v>15371</v>
      </c>
      <c r="E1901" s="328">
        <v>7870.2</v>
      </c>
      <c r="F1901" s="329">
        <v>42996</v>
      </c>
      <c r="G1901" s="328">
        <v>7870.2</v>
      </c>
      <c r="H1901" s="347">
        <f t="shared" si="25"/>
        <v>0</v>
      </c>
      <c r="I1901" s="331" t="s">
        <v>15214</v>
      </c>
    </row>
    <row r="1902" spans="1:9" x14ac:dyDescent="0.25">
      <c r="A1902" s="319">
        <v>42993</v>
      </c>
      <c r="B1902" s="320" t="s">
        <v>29652</v>
      </c>
      <c r="C1902" s="321">
        <v>127661</v>
      </c>
      <c r="D1902" s="390" t="s">
        <v>17462</v>
      </c>
      <c r="E1902" s="322">
        <v>5915.8</v>
      </c>
      <c r="F1902" s="323">
        <v>42993</v>
      </c>
      <c r="G1902" s="322">
        <v>5915.8</v>
      </c>
      <c r="H1902" s="322">
        <f t="shared" si="25"/>
        <v>0</v>
      </c>
      <c r="I1902" s="325" t="s">
        <v>15214</v>
      </c>
    </row>
    <row r="1903" spans="1:9" ht="15.75" x14ac:dyDescent="0.25">
      <c r="A1903" s="359">
        <v>42993</v>
      </c>
      <c r="B1903" s="326" t="s">
        <v>29653</v>
      </c>
      <c r="C1903" s="327">
        <v>127662</v>
      </c>
      <c r="D1903" s="345" t="s">
        <v>95</v>
      </c>
      <c r="E1903" s="328">
        <v>0</v>
      </c>
      <c r="F1903" s="346" t="s">
        <v>95</v>
      </c>
      <c r="G1903" s="328">
        <v>0</v>
      </c>
      <c r="H1903" s="347">
        <f t="shared" si="25"/>
        <v>0</v>
      </c>
      <c r="I1903" s="331" t="s">
        <v>95</v>
      </c>
    </row>
    <row r="1904" spans="1:9" x14ac:dyDescent="0.25">
      <c r="A1904" s="319">
        <v>42993</v>
      </c>
      <c r="B1904" s="320" t="s">
        <v>29654</v>
      </c>
      <c r="C1904" s="321">
        <v>127663</v>
      </c>
      <c r="D1904" s="390" t="s">
        <v>15328</v>
      </c>
      <c r="E1904" s="322">
        <v>59535.08</v>
      </c>
      <c r="F1904" s="323">
        <v>43001</v>
      </c>
      <c r="G1904" s="322">
        <v>59535.08</v>
      </c>
      <c r="H1904" s="322">
        <f t="shared" si="25"/>
        <v>0</v>
      </c>
      <c r="I1904" s="325" t="s">
        <v>15214</v>
      </c>
    </row>
    <row r="1905" spans="1:9" ht="15.75" x14ac:dyDescent="0.25">
      <c r="A1905" s="359">
        <v>42993</v>
      </c>
      <c r="B1905" s="326" t="s">
        <v>29655</v>
      </c>
      <c r="C1905" s="327">
        <v>127664</v>
      </c>
      <c r="D1905" s="345" t="s">
        <v>95</v>
      </c>
      <c r="E1905" s="328">
        <v>0</v>
      </c>
      <c r="F1905" s="346" t="s">
        <v>95</v>
      </c>
      <c r="G1905" s="328">
        <v>0</v>
      </c>
      <c r="H1905" s="347">
        <f t="shared" ref="H1905:H1968" si="26">E1905-G1905</f>
        <v>0</v>
      </c>
      <c r="I1905" s="331" t="s">
        <v>95</v>
      </c>
    </row>
    <row r="1906" spans="1:9" x14ac:dyDescent="0.25">
      <c r="A1906" s="319">
        <v>42993</v>
      </c>
      <c r="B1906" s="320" t="s">
        <v>29656</v>
      </c>
      <c r="C1906" s="321">
        <v>127665</v>
      </c>
      <c r="D1906" s="390" t="s">
        <v>15326</v>
      </c>
      <c r="E1906" s="322">
        <v>3256.2</v>
      </c>
      <c r="F1906" s="323">
        <v>42993</v>
      </c>
      <c r="G1906" s="322">
        <v>3256.2</v>
      </c>
      <c r="H1906" s="322">
        <f t="shared" si="26"/>
        <v>0</v>
      </c>
      <c r="I1906" s="325" t="s">
        <v>15214</v>
      </c>
    </row>
    <row r="1907" spans="1:9" x14ac:dyDescent="0.25">
      <c r="A1907" s="359">
        <v>42993</v>
      </c>
      <c r="B1907" s="326" t="s">
        <v>29657</v>
      </c>
      <c r="C1907" s="327">
        <v>127666</v>
      </c>
      <c r="D1907" s="391" t="s">
        <v>16023</v>
      </c>
      <c r="E1907" s="328">
        <v>2310.5</v>
      </c>
      <c r="F1907" s="329">
        <v>42993</v>
      </c>
      <c r="G1907" s="328">
        <v>2310.5</v>
      </c>
      <c r="H1907" s="347">
        <f t="shared" si="26"/>
        <v>0</v>
      </c>
      <c r="I1907" s="331" t="s">
        <v>15214</v>
      </c>
    </row>
    <row r="1908" spans="1:9" x14ac:dyDescent="0.25">
      <c r="A1908" s="319">
        <v>42993</v>
      </c>
      <c r="B1908" s="320" t="s">
        <v>29658</v>
      </c>
      <c r="C1908" s="321">
        <v>127667</v>
      </c>
      <c r="D1908" s="390" t="s">
        <v>15284</v>
      </c>
      <c r="E1908" s="322">
        <v>1152.8</v>
      </c>
      <c r="F1908" s="323">
        <v>42993</v>
      </c>
      <c r="G1908" s="322">
        <v>1152.8</v>
      </c>
      <c r="H1908" s="322">
        <f t="shared" si="26"/>
        <v>0</v>
      </c>
      <c r="I1908" s="325" t="s">
        <v>15214</v>
      </c>
    </row>
    <row r="1909" spans="1:9" x14ac:dyDescent="0.25">
      <c r="A1909" s="359">
        <v>42993</v>
      </c>
      <c r="B1909" s="326" t="s">
        <v>29659</v>
      </c>
      <c r="C1909" s="327">
        <v>127668</v>
      </c>
      <c r="D1909" s="391" t="s">
        <v>19768</v>
      </c>
      <c r="E1909" s="328">
        <v>3840</v>
      </c>
      <c r="F1909" s="329">
        <v>42993</v>
      </c>
      <c r="G1909" s="328">
        <v>3840</v>
      </c>
      <c r="H1909" s="347">
        <f t="shared" si="26"/>
        <v>0</v>
      </c>
      <c r="I1909" s="331" t="s">
        <v>15214</v>
      </c>
    </row>
    <row r="1910" spans="1:9" ht="30" x14ac:dyDescent="0.25">
      <c r="A1910" s="319">
        <v>42993</v>
      </c>
      <c r="B1910" s="320" t="s">
        <v>29660</v>
      </c>
      <c r="C1910" s="321">
        <v>127669</v>
      </c>
      <c r="D1910" s="390" t="s">
        <v>15248</v>
      </c>
      <c r="E1910" s="322">
        <v>23897.78</v>
      </c>
      <c r="F1910" s="323" t="s">
        <v>29661</v>
      </c>
      <c r="G1910" s="334">
        <f>10000+13897.78</f>
        <v>23897.78</v>
      </c>
      <c r="H1910" s="334">
        <f t="shared" si="26"/>
        <v>0</v>
      </c>
      <c r="I1910" s="325" t="s">
        <v>15214</v>
      </c>
    </row>
    <row r="1911" spans="1:9" x14ac:dyDescent="0.25">
      <c r="A1911" s="359">
        <v>42993</v>
      </c>
      <c r="B1911" s="326" t="s">
        <v>29662</v>
      </c>
      <c r="C1911" s="327">
        <v>127670</v>
      </c>
      <c r="D1911" s="391" t="s">
        <v>15223</v>
      </c>
      <c r="E1911" s="328">
        <v>58860</v>
      </c>
      <c r="F1911" s="329">
        <v>43019</v>
      </c>
      <c r="G1911" s="328">
        <v>58860</v>
      </c>
      <c r="H1911" s="347">
        <f t="shared" si="26"/>
        <v>0</v>
      </c>
      <c r="I1911" s="331" t="s">
        <v>15214</v>
      </c>
    </row>
    <row r="1912" spans="1:9" x14ac:dyDescent="0.25">
      <c r="A1912" s="319">
        <v>42993</v>
      </c>
      <c r="B1912" s="320" t="s">
        <v>29663</v>
      </c>
      <c r="C1912" s="321">
        <v>127671</v>
      </c>
      <c r="D1912" s="390" t="s">
        <v>15541</v>
      </c>
      <c r="E1912" s="322">
        <v>3195.1</v>
      </c>
      <c r="F1912" s="323">
        <v>42994</v>
      </c>
      <c r="G1912" s="322">
        <v>3195.1</v>
      </c>
      <c r="H1912" s="322">
        <f t="shared" si="26"/>
        <v>0</v>
      </c>
      <c r="I1912" s="325" t="s">
        <v>15214</v>
      </c>
    </row>
    <row r="1913" spans="1:9" x14ac:dyDescent="0.25">
      <c r="A1913" s="359">
        <v>42993</v>
      </c>
      <c r="B1913" s="326" t="s">
        <v>29664</v>
      </c>
      <c r="C1913" s="327">
        <v>127672</v>
      </c>
      <c r="D1913" s="391" t="s">
        <v>15858</v>
      </c>
      <c r="E1913" s="328">
        <v>6626.6</v>
      </c>
      <c r="F1913" s="329">
        <v>42993</v>
      </c>
      <c r="G1913" s="328">
        <v>6626.6</v>
      </c>
      <c r="H1913" s="347">
        <f t="shared" si="26"/>
        <v>0</v>
      </c>
      <c r="I1913" s="331" t="s">
        <v>15214</v>
      </c>
    </row>
    <row r="1914" spans="1:9" x14ac:dyDescent="0.25">
      <c r="A1914" s="319">
        <v>42993</v>
      </c>
      <c r="B1914" s="320" t="s">
        <v>29665</v>
      </c>
      <c r="C1914" s="321">
        <v>127673</v>
      </c>
      <c r="D1914" s="390" t="s">
        <v>15344</v>
      </c>
      <c r="E1914" s="322">
        <v>5710</v>
      </c>
      <c r="F1914" s="323">
        <v>42993</v>
      </c>
      <c r="G1914" s="322">
        <v>5710</v>
      </c>
      <c r="H1914" s="322">
        <f t="shared" si="26"/>
        <v>0</v>
      </c>
      <c r="I1914" s="325" t="s">
        <v>15214</v>
      </c>
    </row>
    <row r="1915" spans="1:9" x14ac:dyDescent="0.25">
      <c r="A1915" s="359">
        <v>42993</v>
      </c>
      <c r="B1915" s="326" t="s">
        <v>29666</v>
      </c>
      <c r="C1915" s="327">
        <v>127674</v>
      </c>
      <c r="D1915" s="391" t="s">
        <v>15265</v>
      </c>
      <c r="E1915" s="328">
        <v>5148.8</v>
      </c>
      <c r="F1915" s="329">
        <v>42996</v>
      </c>
      <c r="G1915" s="328">
        <v>5148.8</v>
      </c>
      <c r="H1915" s="347">
        <f t="shared" si="26"/>
        <v>0</v>
      </c>
      <c r="I1915" s="331" t="s">
        <v>15214</v>
      </c>
    </row>
    <row r="1916" spans="1:9" x14ac:dyDescent="0.25">
      <c r="A1916" s="319">
        <v>42993</v>
      </c>
      <c r="B1916" s="320" t="s">
        <v>29667</v>
      </c>
      <c r="C1916" s="321">
        <v>127675</v>
      </c>
      <c r="D1916" s="390" t="s">
        <v>15324</v>
      </c>
      <c r="E1916" s="322">
        <v>2400</v>
      </c>
      <c r="F1916" s="323">
        <v>42993</v>
      </c>
      <c r="G1916" s="322">
        <v>2400</v>
      </c>
      <c r="H1916" s="322">
        <f t="shared" si="26"/>
        <v>0</v>
      </c>
      <c r="I1916" s="325" t="s">
        <v>15214</v>
      </c>
    </row>
    <row r="1917" spans="1:9" x14ac:dyDescent="0.25">
      <c r="A1917" s="359">
        <v>42993</v>
      </c>
      <c r="B1917" s="326" t="s">
        <v>29668</v>
      </c>
      <c r="C1917" s="327">
        <v>127676</v>
      </c>
      <c r="D1917" s="391" t="s">
        <v>15526</v>
      </c>
      <c r="E1917" s="328">
        <v>10120</v>
      </c>
      <c r="F1917" s="329">
        <v>42993</v>
      </c>
      <c r="G1917" s="328">
        <v>10120</v>
      </c>
      <c r="H1917" s="347">
        <f t="shared" si="26"/>
        <v>0</v>
      </c>
      <c r="I1917" s="331" t="s">
        <v>15214</v>
      </c>
    </row>
    <row r="1918" spans="1:9" x14ac:dyDescent="0.25">
      <c r="A1918" s="319">
        <v>42993</v>
      </c>
      <c r="B1918" s="320" t="s">
        <v>29669</v>
      </c>
      <c r="C1918" s="321">
        <v>127677</v>
      </c>
      <c r="D1918" s="390" t="s">
        <v>15280</v>
      </c>
      <c r="E1918" s="322">
        <v>7187</v>
      </c>
      <c r="F1918" s="323">
        <v>42993</v>
      </c>
      <c r="G1918" s="322">
        <v>7187</v>
      </c>
      <c r="H1918" s="322">
        <f t="shared" si="26"/>
        <v>0</v>
      </c>
      <c r="I1918" s="325" t="s">
        <v>15214</v>
      </c>
    </row>
    <row r="1919" spans="1:9" x14ac:dyDescent="0.25">
      <c r="A1919" s="359">
        <v>42993</v>
      </c>
      <c r="B1919" s="326" t="s">
        <v>29670</v>
      </c>
      <c r="C1919" s="327">
        <v>127678</v>
      </c>
      <c r="D1919" s="391" t="s">
        <v>15358</v>
      </c>
      <c r="E1919" s="328">
        <v>4258.2</v>
      </c>
      <c r="F1919" s="329">
        <v>42993</v>
      </c>
      <c r="G1919" s="328">
        <v>4258.2</v>
      </c>
      <c r="H1919" s="347">
        <f t="shared" si="26"/>
        <v>0</v>
      </c>
      <c r="I1919" s="331" t="s">
        <v>15214</v>
      </c>
    </row>
    <row r="1920" spans="1:9" x14ac:dyDescent="0.25">
      <c r="A1920" s="319">
        <v>42993</v>
      </c>
      <c r="B1920" s="320" t="s">
        <v>29671</v>
      </c>
      <c r="C1920" s="321">
        <v>127679</v>
      </c>
      <c r="D1920" s="390" t="s">
        <v>17210</v>
      </c>
      <c r="E1920" s="322">
        <v>15890</v>
      </c>
      <c r="F1920" s="323">
        <v>42993</v>
      </c>
      <c r="G1920" s="322">
        <v>15890</v>
      </c>
      <c r="H1920" s="322">
        <f t="shared" si="26"/>
        <v>0</v>
      </c>
      <c r="I1920" s="325" t="s">
        <v>15214</v>
      </c>
    </row>
    <row r="1921" spans="1:9" x14ac:dyDescent="0.25">
      <c r="A1921" s="359">
        <v>42993</v>
      </c>
      <c r="B1921" s="326" t="s">
        <v>29672</v>
      </c>
      <c r="C1921" s="327">
        <v>127680</v>
      </c>
      <c r="D1921" s="391" t="s">
        <v>15336</v>
      </c>
      <c r="E1921" s="328">
        <v>16282.6</v>
      </c>
      <c r="F1921" s="329">
        <v>42993</v>
      </c>
      <c r="G1921" s="328">
        <v>16282.6</v>
      </c>
      <c r="H1921" s="347">
        <f t="shared" si="26"/>
        <v>0</v>
      </c>
      <c r="I1921" s="331" t="s">
        <v>15214</v>
      </c>
    </row>
    <row r="1922" spans="1:9" x14ac:dyDescent="0.25">
      <c r="A1922" s="319">
        <v>42993</v>
      </c>
      <c r="B1922" s="320" t="s">
        <v>29673</v>
      </c>
      <c r="C1922" s="321">
        <v>127681</v>
      </c>
      <c r="D1922" s="390" t="s">
        <v>15356</v>
      </c>
      <c r="E1922" s="322">
        <v>3204.8</v>
      </c>
      <c r="F1922" s="323">
        <v>42993</v>
      </c>
      <c r="G1922" s="322">
        <v>3204.8</v>
      </c>
      <c r="H1922" s="322">
        <f t="shared" si="26"/>
        <v>0</v>
      </c>
      <c r="I1922" s="325" t="s">
        <v>15214</v>
      </c>
    </row>
    <row r="1923" spans="1:9" x14ac:dyDescent="0.25">
      <c r="A1923" s="359">
        <v>42993</v>
      </c>
      <c r="B1923" s="326" t="s">
        <v>29674</v>
      </c>
      <c r="C1923" s="327">
        <v>127682</v>
      </c>
      <c r="D1923" s="391" t="s">
        <v>15272</v>
      </c>
      <c r="E1923" s="328">
        <v>1105.4000000000001</v>
      </c>
      <c r="F1923" s="329">
        <v>42993</v>
      </c>
      <c r="G1923" s="328">
        <v>1105.4000000000001</v>
      </c>
      <c r="H1923" s="347">
        <f t="shared" si="26"/>
        <v>0</v>
      </c>
      <c r="I1923" s="331" t="s">
        <v>15214</v>
      </c>
    </row>
    <row r="1924" spans="1:9" x14ac:dyDescent="0.25">
      <c r="A1924" s="319">
        <v>42993</v>
      </c>
      <c r="B1924" s="320" t="s">
        <v>29675</v>
      </c>
      <c r="C1924" s="321">
        <v>127683</v>
      </c>
      <c r="D1924" s="390" t="s">
        <v>15396</v>
      </c>
      <c r="E1924" s="322">
        <v>4477.68</v>
      </c>
      <c r="F1924" s="323">
        <v>42993</v>
      </c>
      <c r="G1924" s="322">
        <v>4477.68</v>
      </c>
      <c r="H1924" s="322">
        <f t="shared" si="26"/>
        <v>0</v>
      </c>
      <c r="I1924" s="325" t="s">
        <v>15214</v>
      </c>
    </row>
    <row r="1925" spans="1:9" x14ac:dyDescent="0.25">
      <c r="A1925" s="359">
        <v>42993</v>
      </c>
      <c r="B1925" s="326" t="s">
        <v>29676</v>
      </c>
      <c r="C1925" s="327">
        <v>127684</v>
      </c>
      <c r="D1925" s="391" t="s">
        <v>15396</v>
      </c>
      <c r="E1925" s="328">
        <v>168</v>
      </c>
      <c r="F1925" s="329">
        <v>42993</v>
      </c>
      <c r="G1925" s="328">
        <v>168</v>
      </c>
      <c r="H1925" s="347">
        <f t="shared" si="26"/>
        <v>0</v>
      </c>
      <c r="I1925" s="331" t="s">
        <v>15214</v>
      </c>
    </row>
    <row r="1926" spans="1:9" x14ac:dyDescent="0.25">
      <c r="A1926" s="319">
        <v>42993</v>
      </c>
      <c r="B1926" s="320" t="s">
        <v>29677</v>
      </c>
      <c r="C1926" s="321">
        <v>127685</v>
      </c>
      <c r="D1926" s="390" t="s">
        <v>15278</v>
      </c>
      <c r="E1926" s="322">
        <v>2342.64</v>
      </c>
      <c r="F1926" s="323">
        <v>42993</v>
      </c>
      <c r="G1926" s="322">
        <v>2342.64</v>
      </c>
      <c r="H1926" s="322">
        <f t="shared" si="26"/>
        <v>0</v>
      </c>
      <c r="I1926" s="325" t="s">
        <v>15214</v>
      </c>
    </row>
    <row r="1927" spans="1:9" x14ac:dyDescent="0.25">
      <c r="A1927" s="359">
        <v>42993</v>
      </c>
      <c r="B1927" s="326" t="s">
        <v>29678</v>
      </c>
      <c r="C1927" s="327">
        <v>127686</v>
      </c>
      <c r="D1927" s="391" t="s">
        <v>15278</v>
      </c>
      <c r="E1927" s="328">
        <v>387.4</v>
      </c>
      <c r="F1927" s="329">
        <v>42993</v>
      </c>
      <c r="G1927" s="328">
        <v>387.4</v>
      </c>
      <c r="H1927" s="347">
        <f t="shared" si="26"/>
        <v>0</v>
      </c>
      <c r="I1927" s="331" t="s">
        <v>15214</v>
      </c>
    </row>
    <row r="1928" spans="1:9" x14ac:dyDescent="0.25">
      <c r="A1928" s="319">
        <v>42993</v>
      </c>
      <c r="B1928" s="320" t="s">
        <v>29679</v>
      </c>
      <c r="C1928" s="321">
        <v>127687</v>
      </c>
      <c r="D1928" s="390" t="s">
        <v>15562</v>
      </c>
      <c r="E1928" s="322">
        <v>3575</v>
      </c>
      <c r="F1928" s="323">
        <v>42993</v>
      </c>
      <c r="G1928" s="322">
        <v>3575</v>
      </c>
      <c r="H1928" s="322">
        <f t="shared" si="26"/>
        <v>0</v>
      </c>
      <c r="I1928" s="325" t="s">
        <v>15214</v>
      </c>
    </row>
    <row r="1929" spans="1:9" x14ac:dyDescent="0.25">
      <c r="A1929" s="359">
        <v>42993</v>
      </c>
      <c r="B1929" s="326" t="s">
        <v>29680</v>
      </c>
      <c r="C1929" s="327">
        <v>127688</v>
      </c>
      <c r="D1929" s="391" t="s">
        <v>15315</v>
      </c>
      <c r="E1929" s="328">
        <v>690</v>
      </c>
      <c r="F1929" s="329">
        <v>42993</v>
      </c>
      <c r="G1929" s="328">
        <v>690</v>
      </c>
      <c r="H1929" s="347">
        <f t="shared" si="26"/>
        <v>0</v>
      </c>
      <c r="I1929" s="331" t="s">
        <v>15214</v>
      </c>
    </row>
    <row r="1930" spans="1:9" x14ac:dyDescent="0.25">
      <c r="A1930" s="319">
        <v>42993</v>
      </c>
      <c r="B1930" s="320" t="s">
        <v>29681</v>
      </c>
      <c r="C1930" s="321">
        <v>127689</v>
      </c>
      <c r="D1930" s="390" t="s">
        <v>15378</v>
      </c>
      <c r="E1930" s="322">
        <v>1983</v>
      </c>
      <c r="F1930" s="323">
        <v>42993</v>
      </c>
      <c r="G1930" s="322">
        <v>1983</v>
      </c>
      <c r="H1930" s="322">
        <f t="shared" si="26"/>
        <v>0</v>
      </c>
      <c r="I1930" s="325" t="s">
        <v>15214</v>
      </c>
    </row>
    <row r="1931" spans="1:9" ht="15.75" x14ac:dyDescent="0.25">
      <c r="A1931" s="359">
        <v>42993</v>
      </c>
      <c r="B1931" s="326" t="s">
        <v>29682</v>
      </c>
      <c r="C1931" s="327">
        <v>127690</v>
      </c>
      <c r="D1931" s="345" t="s">
        <v>95</v>
      </c>
      <c r="E1931" s="328">
        <v>0</v>
      </c>
      <c r="F1931" s="346" t="s">
        <v>95</v>
      </c>
      <c r="G1931" s="328">
        <v>0</v>
      </c>
      <c r="H1931" s="347">
        <f t="shared" si="26"/>
        <v>0</v>
      </c>
      <c r="I1931" s="331" t="s">
        <v>95</v>
      </c>
    </row>
    <row r="1932" spans="1:9" ht="30" x14ac:dyDescent="0.25">
      <c r="A1932" s="319">
        <v>42993</v>
      </c>
      <c r="B1932" s="320" t="s">
        <v>29683</v>
      </c>
      <c r="C1932" s="321">
        <v>127691</v>
      </c>
      <c r="D1932" s="390" t="s">
        <v>15373</v>
      </c>
      <c r="E1932" s="322">
        <v>14707.2</v>
      </c>
      <c r="F1932" s="323" t="s">
        <v>29684</v>
      </c>
      <c r="G1932" s="334">
        <f>113+14594.2</f>
        <v>14707.2</v>
      </c>
      <c r="H1932" s="334">
        <f t="shared" si="26"/>
        <v>0</v>
      </c>
      <c r="I1932" s="325" t="s">
        <v>15214</v>
      </c>
    </row>
    <row r="1933" spans="1:9" x14ac:dyDescent="0.25">
      <c r="A1933" s="359">
        <v>42993</v>
      </c>
      <c r="B1933" s="326" t="s">
        <v>29685</v>
      </c>
      <c r="C1933" s="327">
        <v>127692</v>
      </c>
      <c r="D1933" s="391" t="s">
        <v>15367</v>
      </c>
      <c r="E1933" s="328">
        <v>6000</v>
      </c>
      <c r="F1933" s="329">
        <v>42994</v>
      </c>
      <c r="G1933" s="328">
        <v>6000</v>
      </c>
      <c r="H1933" s="347">
        <f t="shared" si="26"/>
        <v>0</v>
      </c>
      <c r="I1933" s="331" t="s">
        <v>15214</v>
      </c>
    </row>
    <row r="1934" spans="1:9" x14ac:dyDescent="0.25">
      <c r="A1934" s="319">
        <v>42993</v>
      </c>
      <c r="B1934" s="320" t="s">
        <v>29686</v>
      </c>
      <c r="C1934" s="321">
        <v>127693</v>
      </c>
      <c r="D1934" s="390" t="s">
        <v>15725</v>
      </c>
      <c r="E1934" s="322">
        <v>26124</v>
      </c>
      <c r="F1934" s="323">
        <v>42996</v>
      </c>
      <c r="G1934" s="322">
        <v>26124</v>
      </c>
      <c r="H1934" s="322">
        <f t="shared" si="26"/>
        <v>0</v>
      </c>
      <c r="I1934" s="325" t="s">
        <v>15214</v>
      </c>
    </row>
    <row r="1935" spans="1:9" x14ac:dyDescent="0.25">
      <c r="A1935" s="359">
        <v>42993</v>
      </c>
      <c r="B1935" s="326" t="s">
        <v>29687</v>
      </c>
      <c r="C1935" s="327">
        <v>127694</v>
      </c>
      <c r="D1935" s="391" t="s">
        <v>15398</v>
      </c>
      <c r="E1935" s="328">
        <v>3538.4</v>
      </c>
      <c r="F1935" s="329">
        <v>42993</v>
      </c>
      <c r="G1935" s="328">
        <v>3538.4</v>
      </c>
      <c r="H1935" s="347">
        <f t="shared" si="26"/>
        <v>0</v>
      </c>
      <c r="I1935" s="331" t="s">
        <v>15214</v>
      </c>
    </row>
    <row r="1936" spans="1:9" x14ac:dyDescent="0.25">
      <c r="A1936" s="319">
        <v>42993</v>
      </c>
      <c r="B1936" s="320" t="s">
        <v>29688</v>
      </c>
      <c r="C1936" s="321">
        <v>127695</v>
      </c>
      <c r="D1936" s="390" t="s">
        <v>16383</v>
      </c>
      <c r="E1936" s="322">
        <v>9788.7999999999993</v>
      </c>
      <c r="F1936" s="323">
        <v>42993</v>
      </c>
      <c r="G1936" s="322">
        <v>9788.7999999999993</v>
      </c>
      <c r="H1936" s="322">
        <f t="shared" si="26"/>
        <v>0</v>
      </c>
      <c r="I1936" s="325" t="s">
        <v>15214</v>
      </c>
    </row>
    <row r="1937" spans="1:9" x14ac:dyDescent="0.25">
      <c r="A1937" s="359">
        <v>42993</v>
      </c>
      <c r="B1937" s="326" t="s">
        <v>29689</v>
      </c>
      <c r="C1937" s="327">
        <v>127696</v>
      </c>
      <c r="D1937" s="391" t="s">
        <v>15594</v>
      </c>
      <c r="E1937" s="328">
        <v>1876.8</v>
      </c>
      <c r="F1937" s="329">
        <v>42993</v>
      </c>
      <c r="G1937" s="328">
        <v>1876.8</v>
      </c>
      <c r="H1937" s="347">
        <f t="shared" si="26"/>
        <v>0</v>
      </c>
      <c r="I1937" s="331" t="s">
        <v>15214</v>
      </c>
    </row>
    <row r="1938" spans="1:9" x14ac:dyDescent="0.25">
      <c r="A1938" s="319">
        <v>42993</v>
      </c>
      <c r="B1938" s="320" t="s">
        <v>29690</v>
      </c>
      <c r="C1938" s="321">
        <v>127697</v>
      </c>
      <c r="D1938" s="390" t="s">
        <v>15380</v>
      </c>
      <c r="E1938" s="322">
        <v>42074.8</v>
      </c>
      <c r="F1938" s="323">
        <v>43004</v>
      </c>
      <c r="G1938" s="322">
        <v>42074.8</v>
      </c>
      <c r="H1938" s="322">
        <f t="shared" si="26"/>
        <v>0</v>
      </c>
      <c r="I1938" s="325" t="s">
        <v>15214</v>
      </c>
    </row>
    <row r="1939" spans="1:9" x14ac:dyDescent="0.25">
      <c r="A1939" s="359">
        <v>42993</v>
      </c>
      <c r="B1939" s="326" t="s">
        <v>29691</v>
      </c>
      <c r="C1939" s="327">
        <v>127698</v>
      </c>
      <c r="D1939" s="391" t="s">
        <v>16093</v>
      </c>
      <c r="E1939" s="328">
        <v>6828</v>
      </c>
      <c r="F1939" s="329">
        <v>42993</v>
      </c>
      <c r="G1939" s="328">
        <v>6828</v>
      </c>
      <c r="H1939" s="347">
        <f t="shared" si="26"/>
        <v>0</v>
      </c>
      <c r="I1939" s="331" t="s">
        <v>15214</v>
      </c>
    </row>
    <row r="1940" spans="1:9" x14ac:dyDescent="0.25">
      <c r="A1940" s="319">
        <v>42993</v>
      </c>
      <c r="B1940" s="320" t="s">
        <v>29692</v>
      </c>
      <c r="C1940" s="321">
        <v>127699</v>
      </c>
      <c r="D1940" s="390" t="s">
        <v>15592</v>
      </c>
      <c r="E1940" s="322">
        <v>20165.599999999999</v>
      </c>
      <c r="F1940" s="323">
        <v>42993</v>
      </c>
      <c r="G1940" s="322">
        <v>20165.599999999999</v>
      </c>
      <c r="H1940" s="322">
        <f t="shared" si="26"/>
        <v>0</v>
      </c>
      <c r="I1940" s="325" t="s">
        <v>15214</v>
      </c>
    </row>
    <row r="1941" spans="1:9" x14ac:dyDescent="0.25">
      <c r="A1941" s="359">
        <v>42993</v>
      </c>
      <c r="B1941" s="326" t="s">
        <v>29693</v>
      </c>
      <c r="C1941" s="327">
        <v>127700</v>
      </c>
      <c r="D1941" s="391" t="s">
        <v>15716</v>
      </c>
      <c r="E1941" s="328">
        <v>11960.6</v>
      </c>
      <c r="F1941" s="329">
        <v>42993</v>
      </c>
      <c r="G1941" s="328">
        <v>11960.6</v>
      </c>
      <c r="H1941" s="347">
        <f t="shared" si="26"/>
        <v>0</v>
      </c>
      <c r="I1941" s="331" t="s">
        <v>15214</v>
      </c>
    </row>
    <row r="1942" spans="1:9" x14ac:dyDescent="0.25">
      <c r="A1942" s="319">
        <v>42993</v>
      </c>
      <c r="B1942" s="320" t="s">
        <v>29694</v>
      </c>
      <c r="C1942" s="321">
        <v>127701</v>
      </c>
      <c r="D1942" s="390" t="s">
        <v>15382</v>
      </c>
      <c r="E1942" s="322">
        <v>12003.6</v>
      </c>
      <c r="F1942" s="323">
        <v>43004</v>
      </c>
      <c r="G1942" s="322">
        <v>12003.6</v>
      </c>
      <c r="H1942" s="322">
        <f t="shared" si="26"/>
        <v>0</v>
      </c>
      <c r="I1942" s="325" t="s">
        <v>15214</v>
      </c>
    </row>
    <row r="1943" spans="1:9" x14ac:dyDescent="0.25">
      <c r="A1943" s="359">
        <v>42993</v>
      </c>
      <c r="B1943" s="326" t="s">
        <v>29695</v>
      </c>
      <c r="C1943" s="327">
        <v>127702</v>
      </c>
      <c r="D1943" s="391" t="s">
        <v>15389</v>
      </c>
      <c r="E1943" s="328">
        <v>17389.099999999999</v>
      </c>
      <c r="F1943" s="329">
        <v>43004</v>
      </c>
      <c r="G1943" s="328">
        <v>17389.099999999999</v>
      </c>
      <c r="H1943" s="347">
        <f t="shared" si="26"/>
        <v>0</v>
      </c>
      <c r="I1943" s="331" t="s">
        <v>15214</v>
      </c>
    </row>
    <row r="1944" spans="1:9" x14ac:dyDescent="0.25">
      <c r="A1944" s="319">
        <v>42993</v>
      </c>
      <c r="B1944" s="320" t="s">
        <v>29696</v>
      </c>
      <c r="C1944" s="321">
        <v>127703</v>
      </c>
      <c r="D1944" s="390" t="s">
        <v>23937</v>
      </c>
      <c r="E1944" s="322">
        <v>3292.8</v>
      </c>
      <c r="F1944" s="323">
        <v>42994</v>
      </c>
      <c r="G1944" s="322">
        <v>3292.8</v>
      </c>
      <c r="H1944" s="322">
        <f t="shared" si="26"/>
        <v>0</v>
      </c>
      <c r="I1944" s="325" t="s">
        <v>15214</v>
      </c>
    </row>
    <row r="1945" spans="1:9" x14ac:dyDescent="0.25">
      <c r="A1945" s="359">
        <v>42993</v>
      </c>
      <c r="B1945" s="326" t="s">
        <v>29697</v>
      </c>
      <c r="C1945" s="327">
        <v>127704</v>
      </c>
      <c r="D1945" s="391" t="s">
        <v>15549</v>
      </c>
      <c r="E1945" s="328">
        <v>11264.36</v>
      </c>
      <c r="F1945" s="329">
        <v>42993</v>
      </c>
      <c r="G1945" s="328">
        <v>11264.36</v>
      </c>
      <c r="H1945" s="347">
        <f t="shared" si="26"/>
        <v>0</v>
      </c>
      <c r="I1945" s="331" t="s">
        <v>15214</v>
      </c>
    </row>
    <row r="1946" spans="1:9" x14ac:dyDescent="0.25">
      <c r="A1946" s="319">
        <v>42993</v>
      </c>
      <c r="B1946" s="320" t="s">
        <v>29698</v>
      </c>
      <c r="C1946" s="321">
        <v>127705</v>
      </c>
      <c r="D1946" s="390" t="s">
        <v>15252</v>
      </c>
      <c r="E1946" s="322">
        <v>4746</v>
      </c>
      <c r="F1946" s="323">
        <v>42993</v>
      </c>
      <c r="G1946" s="322">
        <v>4746</v>
      </c>
      <c r="H1946" s="322">
        <f t="shared" si="26"/>
        <v>0</v>
      </c>
      <c r="I1946" s="325" t="s">
        <v>15214</v>
      </c>
    </row>
    <row r="1947" spans="1:9" x14ac:dyDescent="0.25">
      <c r="A1947" s="359">
        <v>42993</v>
      </c>
      <c r="B1947" s="326" t="s">
        <v>29699</v>
      </c>
      <c r="C1947" s="327">
        <v>127706</v>
      </c>
      <c r="D1947" s="391" t="s">
        <v>15369</v>
      </c>
      <c r="E1947" s="328">
        <v>35499.4</v>
      </c>
      <c r="F1947" s="329">
        <v>43004</v>
      </c>
      <c r="G1947" s="328">
        <v>35499.4</v>
      </c>
      <c r="H1947" s="347">
        <f t="shared" si="26"/>
        <v>0</v>
      </c>
      <c r="I1947" s="331" t="s">
        <v>15214</v>
      </c>
    </row>
    <row r="1948" spans="1:9" ht="15.75" x14ac:dyDescent="0.25">
      <c r="A1948" s="319">
        <v>42993</v>
      </c>
      <c r="B1948" s="320" t="s">
        <v>29700</v>
      </c>
      <c r="C1948" s="321">
        <v>127707</v>
      </c>
      <c r="D1948" s="332" t="s">
        <v>95</v>
      </c>
      <c r="E1948" s="322">
        <v>0</v>
      </c>
      <c r="F1948" s="333" t="s">
        <v>95</v>
      </c>
      <c r="G1948" s="322">
        <v>0</v>
      </c>
      <c r="H1948" s="322">
        <f t="shared" si="26"/>
        <v>0</v>
      </c>
      <c r="I1948" s="325" t="s">
        <v>95</v>
      </c>
    </row>
    <row r="1949" spans="1:9" x14ac:dyDescent="0.25">
      <c r="A1949" s="359">
        <v>42993</v>
      </c>
      <c r="B1949" s="326" t="s">
        <v>29701</v>
      </c>
      <c r="C1949" s="327">
        <v>127708</v>
      </c>
      <c r="D1949" s="391" t="s">
        <v>15590</v>
      </c>
      <c r="E1949" s="328">
        <v>20792</v>
      </c>
      <c r="F1949" s="329">
        <v>42998</v>
      </c>
      <c r="G1949" s="328">
        <v>20792</v>
      </c>
      <c r="H1949" s="347">
        <f t="shared" si="26"/>
        <v>0</v>
      </c>
      <c r="I1949" s="331" t="s">
        <v>15214</v>
      </c>
    </row>
    <row r="1950" spans="1:9" x14ac:dyDescent="0.25">
      <c r="A1950" s="319">
        <v>42993</v>
      </c>
      <c r="B1950" s="320" t="s">
        <v>29702</v>
      </c>
      <c r="C1950" s="321">
        <v>127709</v>
      </c>
      <c r="D1950" s="390" t="s">
        <v>15572</v>
      </c>
      <c r="E1950" s="322">
        <v>8103.76</v>
      </c>
      <c r="F1950" s="323">
        <v>42993</v>
      </c>
      <c r="G1950" s="322">
        <v>8103.76</v>
      </c>
      <c r="H1950" s="322">
        <f t="shared" si="26"/>
        <v>0</v>
      </c>
      <c r="I1950" s="325" t="s">
        <v>15214</v>
      </c>
    </row>
    <row r="1951" spans="1:9" ht="15.75" x14ac:dyDescent="0.25">
      <c r="A1951" s="359">
        <v>42993</v>
      </c>
      <c r="B1951" s="326" t="s">
        <v>29703</v>
      </c>
      <c r="C1951" s="327">
        <v>127710</v>
      </c>
      <c r="D1951" s="400" t="s">
        <v>95</v>
      </c>
      <c r="E1951" s="328">
        <v>0</v>
      </c>
      <c r="F1951" s="346" t="s">
        <v>95</v>
      </c>
      <c r="G1951" s="328">
        <v>0</v>
      </c>
      <c r="H1951" s="347">
        <f t="shared" si="26"/>
        <v>0</v>
      </c>
      <c r="I1951" s="331" t="s">
        <v>95</v>
      </c>
    </row>
    <row r="1952" spans="1:9" x14ac:dyDescent="0.25">
      <c r="A1952" s="319">
        <v>42993</v>
      </c>
      <c r="B1952" s="320" t="s">
        <v>29704</v>
      </c>
      <c r="C1952" s="321">
        <v>127711</v>
      </c>
      <c r="D1952" s="390" t="s">
        <v>15642</v>
      </c>
      <c r="E1952" s="322">
        <v>3071</v>
      </c>
      <c r="F1952" s="323">
        <v>42993</v>
      </c>
      <c r="G1952" s="322">
        <v>3071</v>
      </c>
      <c r="H1952" s="322">
        <f t="shared" si="26"/>
        <v>0</v>
      </c>
      <c r="I1952" s="325" t="s">
        <v>15214</v>
      </c>
    </row>
    <row r="1953" spans="1:9" x14ac:dyDescent="0.25">
      <c r="A1953" s="359">
        <v>42993</v>
      </c>
      <c r="B1953" s="326" t="s">
        <v>29705</v>
      </c>
      <c r="C1953" s="327">
        <v>127712</v>
      </c>
      <c r="D1953" s="391" t="s">
        <v>15391</v>
      </c>
      <c r="E1953" s="328">
        <v>14918.4</v>
      </c>
      <c r="F1953" s="329">
        <v>42996</v>
      </c>
      <c r="G1953" s="328">
        <v>14918.4</v>
      </c>
      <c r="H1953" s="347">
        <f t="shared" si="26"/>
        <v>0</v>
      </c>
      <c r="I1953" s="331" t="s">
        <v>15214</v>
      </c>
    </row>
    <row r="1954" spans="1:9" x14ac:dyDescent="0.25">
      <c r="A1954" s="319">
        <v>42993</v>
      </c>
      <c r="B1954" s="320" t="s">
        <v>29706</v>
      </c>
      <c r="C1954" s="321">
        <v>127713</v>
      </c>
      <c r="D1954" s="390" t="s">
        <v>15568</v>
      </c>
      <c r="E1954" s="322">
        <v>6904.4</v>
      </c>
      <c r="F1954" s="323">
        <v>42993</v>
      </c>
      <c r="G1954" s="322">
        <v>6904.4</v>
      </c>
      <c r="H1954" s="322">
        <f t="shared" si="26"/>
        <v>0</v>
      </c>
      <c r="I1954" s="325" t="s">
        <v>15214</v>
      </c>
    </row>
    <row r="1955" spans="1:9" x14ac:dyDescent="0.25">
      <c r="A1955" s="359">
        <v>42993</v>
      </c>
      <c r="B1955" s="326" t="s">
        <v>29707</v>
      </c>
      <c r="C1955" s="327">
        <v>127714</v>
      </c>
      <c r="D1955" s="391" t="s">
        <v>15315</v>
      </c>
      <c r="E1955" s="328">
        <v>421.8</v>
      </c>
      <c r="F1955" s="329">
        <v>42993</v>
      </c>
      <c r="G1955" s="328">
        <v>421.8</v>
      </c>
      <c r="H1955" s="347">
        <f t="shared" si="26"/>
        <v>0</v>
      </c>
      <c r="I1955" s="331" t="s">
        <v>15214</v>
      </c>
    </row>
    <row r="1956" spans="1:9" x14ac:dyDescent="0.25">
      <c r="A1956" s="319">
        <v>42993</v>
      </c>
      <c r="B1956" s="320" t="s">
        <v>29708</v>
      </c>
      <c r="C1956" s="321">
        <v>127715</v>
      </c>
      <c r="D1956" s="390" t="s">
        <v>15282</v>
      </c>
      <c r="E1956" s="322">
        <v>3285.5</v>
      </c>
      <c r="F1956" s="323">
        <v>42993</v>
      </c>
      <c r="G1956" s="322">
        <v>3285.5</v>
      </c>
      <c r="H1956" s="322">
        <f t="shared" si="26"/>
        <v>0</v>
      </c>
      <c r="I1956" s="325" t="s">
        <v>15214</v>
      </c>
    </row>
    <row r="1957" spans="1:9" x14ac:dyDescent="0.25">
      <c r="A1957" s="359">
        <v>42993</v>
      </c>
      <c r="B1957" s="326" t="s">
        <v>29709</v>
      </c>
      <c r="C1957" s="327">
        <v>127716</v>
      </c>
      <c r="D1957" s="391" t="s">
        <v>15699</v>
      </c>
      <c r="E1957" s="328">
        <v>32132.45</v>
      </c>
      <c r="F1957" s="329">
        <v>42996</v>
      </c>
      <c r="G1957" s="328">
        <v>32132.45</v>
      </c>
      <c r="H1957" s="347">
        <f t="shared" si="26"/>
        <v>0</v>
      </c>
      <c r="I1957" s="331" t="s">
        <v>15214</v>
      </c>
    </row>
    <row r="1958" spans="1:9" x14ac:dyDescent="0.25">
      <c r="A1958" s="319">
        <v>42993</v>
      </c>
      <c r="B1958" s="320" t="s">
        <v>29710</v>
      </c>
      <c r="C1958" s="321">
        <v>127717</v>
      </c>
      <c r="D1958" s="390" t="s">
        <v>15559</v>
      </c>
      <c r="E1958" s="322">
        <v>12146.15</v>
      </c>
      <c r="F1958" s="323">
        <v>42996</v>
      </c>
      <c r="G1958" s="322">
        <v>12146.15</v>
      </c>
      <c r="H1958" s="322">
        <f t="shared" si="26"/>
        <v>0</v>
      </c>
      <c r="I1958" s="325" t="s">
        <v>15214</v>
      </c>
    </row>
    <row r="1959" spans="1:9" x14ac:dyDescent="0.25">
      <c r="A1959" s="359">
        <v>42993</v>
      </c>
      <c r="B1959" s="326" t="s">
        <v>29711</v>
      </c>
      <c r="C1959" s="327">
        <v>127718</v>
      </c>
      <c r="D1959" s="391" t="s">
        <v>15555</v>
      </c>
      <c r="E1959" s="328">
        <v>4942.8500000000004</v>
      </c>
      <c r="F1959" s="329">
        <v>42996</v>
      </c>
      <c r="G1959" s="328">
        <v>4942.8500000000004</v>
      </c>
      <c r="H1959" s="347">
        <f t="shared" si="26"/>
        <v>0</v>
      </c>
      <c r="I1959" s="331" t="s">
        <v>15214</v>
      </c>
    </row>
    <row r="1960" spans="1:9" x14ac:dyDescent="0.25">
      <c r="A1960" s="319">
        <v>42993</v>
      </c>
      <c r="B1960" s="320" t="s">
        <v>29712</v>
      </c>
      <c r="C1960" s="321">
        <v>127719</v>
      </c>
      <c r="D1960" s="390" t="s">
        <v>15539</v>
      </c>
      <c r="E1960" s="322">
        <v>24385</v>
      </c>
      <c r="F1960" s="323">
        <v>42996</v>
      </c>
      <c r="G1960" s="322">
        <v>24385</v>
      </c>
      <c r="H1960" s="322">
        <f t="shared" si="26"/>
        <v>0</v>
      </c>
      <c r="I1960" s="325" t="s">
        <v>15214</v>
      </c>
    </row>
    <row r="1961" spans="1:9" x14ac:dyDescent="0.25">
      <c r="A1961" s="359">
        <v>42993</v>
      </c>
      <c r="B1961" s="326" t="s">
        <v>29713</v>
      </c>
      <c r="C1961" s="327">
        <v>127720</v>
      </c>
      <c r="D1961" s="391" t="s">
        <v>15699</v>
      </c>
      <c r="E1961" s="328">
        <v>33218.050000000003</v>
      </c>
      <c r="F1961" s="329">
        <v>42996</v>
      </c>
      <c r="G1961" s="328">
        <v>33218.050000000003</v>
      </c>
      <c r="H1961" s="347">
        <f t="shared" si="26"/>
        <v>0</v>
      </c>
      <c r="I1961" s="331" t="s">
        <v>15214</v>
      </c>
    </row>
    <row r="1962" spans="1:9" x14ac:dyDescent="0.25">
      <c r="A1962" s="319">
        <v>42993</v>
      </c>
      <c r="B1962" s="320" t="s">
        <v>29714</v>
      </c>
      <c r="C1962" s="321">
        <v>127721</v>
      </c>
      <c r="D1962" s="390" t="s">
        <v>15284</v>
      </c>
      <c r="E1962" s="322">
        <v>1055</v>
      </c>
      <c r="F1962" s="323">
        <v>42993</v>
      </c>
      <c r="G1962" s="322">
        <v>1055</v>
      </c>
      <c r="H1962" s="322">
        <f t="shared" si="26"/>
        <v>0</v>
      </c>
      <c r="I1962" s="325" t="s">
        <v>15214</v>
      </c>
    </row>
    <row r="1963" spans="1:9" x14ac:dyDescent="0.25">
      <c r="A1963" s="359">
        <v>42993</v>
      </c>
      <c r="B1963" s="326" t="s">
        <v>29715</v>
      </c>
      <c r="C1963" s="327">
        <v>127722</v>
      </c>
      <c r="D1963" s="391" t="s">
        <v>15699</v>
      </c>
      <c r="E1963" s="328">
        <v>3896</v>
      </c>
      <c r="F1963" s="329">
        <v>42996</v>
      </c>
      <c r="G1963" s="328">
        <v>3896</v>
      </c>
      <c r="H1963" s="347">
        <f t="shared" si="26"/>
        <v>0</v>
      </c>
      <c r="I1963" s="331" t="s">
        <v>15214</v>
      </c>
    </row>
    <row r="1964" spans="1:9" x14ac:dyDescent="0.25">
      <c r="A1964" s="319">
        <v>42993</v>
      </c>
      <c r="B1964" s="320" t="s">
        <v>29716</v>
      </c>
      <c r="C1964" s="321">
        <v>127723</v>
      </c>
      <c r="D1964" s="390" t="s">
        <v>29500</v>
      </c>
      <c r="E1964" s="322">
        <v>3458</v>
      </c>
      <c r="F1964" s="323">
        <v>42994</v>
      </c>
      <c r="G1964" s="322">
        <v>3458</v>
      </c>
      <c r="H1964" s="322">
        <f t="shared" si="26"/>
        <v>0</v>
      </c>
      <c r="I1964" s="325" t="s">
        <v>15214</v>
      </c>
    </row>
    <row r="1965" spans="1:9" x14ac:dyDescent="0.25">
      <c r="A1965" s="359">
        <v>42993</v>
      </c>
      <c r="B1965" s="326" t="s">
        <v>29717</v>
      </c>
      <c r="C1965" s="327">
        <v>127724</v>
      </c>
      <c r="D1965" s="391" t="s">
        <v>15596</v>
      </c>
      <c r="E1965" s="328">
        <v>2400</v>
      </c>
      <c r="F1965" s="329">
        <v>42994</v>
      </c>
      <c r="G1965" s="328">
        <v>2400</v>
      </c>
      <c r="H1965" s="347">
        <f t="shared" si="26"/>
        <v>0</v>
      </c>
      <c r="I1965" s="331" t="s">
        <v>15214</v>
      </c>
    </row>
    <row r="1966" spans="1:9" x14ac:dyDescent="0.25">
      <c r="A1966" s="319">
        <v>42993</v>
      </c>
      <c r="B1966" s="320" t="s">
        <v>29718</v>
      </c>
      <c r="C1966" s="321">
        <v>127725</v>
      </c>
      <c r="D1966" s="390" t="s">
        <v>16048</v>
      </c>
      <c r="E1966" s="322">
        <v>532.4</v>
      </c>
      <c r="F1966" s="323">
        <v>42993</v>
      </c>
      <c r="G1966" s="322">
        <v>532.4</v>
      </c>
      <c r="H1966" s="322">
        <f t="shared" si="26"/>
        <v>0</v>
      </c>
      <c r="I1966" s="325" t="s">
        <v>15214</v>
      </c>
    </row>
    <row r="1967" spans="1:9" x14ac:dyDescent="0.25">
      <c r="A1967" s="359">
        <v>42993</v>
      </c>
      <c r="B1967" s="326" t="s">
        <v>29719</v>
      </c>
      <c r="C1967" s="327">
        <v>127726</v>
      </c>
      <c r="D1967" s="391" t="s">
        <v>15311</v>
      </c>
      <c r="E1967" s="328">
        <v>1550.4</v>
      </c>
      <c r="F1967" s="329">
        <v>42994</v>
      </c>
      <c r="G1967" s="328">
        <v>1550.4</v>
      </c>
      <c r="H1967" s="347">
        <f t="shared" si="26"/>
        <v>0</v>
      </c>
      <c r="I1967" s="331" t="s">
        <v>15214</v>
      </c>
    </row>
    <row r="1968" spans="1:9" x14ac:dyDescent="0.25">
      <c r="A1968" s="319">
        <v>42993</v>
      </c>
      <c r="B1968" s="320" t="s">
        <v>29720</v>
      </c>
      <c r="C1968" s="321">
        <v>127727</v>
      </c>
      <c r="D1968" s="390" t="s">
        <v>15320</v>
      </c>
      <c r="E1968" s="322">
        <v>5046.2</v>
      </c>
      <c r="F1968" s="323">
        <v>42994</v>
      </c>
      <c r="G1968" s="322">
        <v>5046.2</v>
      </c>
      <c r="H1968" s="322">
        <f t="shared" si="26"/>
        <v>0</v>
      </c>
      <c r="I1968" s="325" t="s">
        <v>15214</v>
      </c>
    </row>
    <row r="1969" spans="1:9" x14ac:dyDescent="0.25">
      <c r="A1969" s="359">
        <v>42993</v>
      </c>
      <c r="B1969" s="326" t="s">
        <v>29721</v>
      </c>
      <c r="C1969" s="327">
        <v>127728</v>
      </c>
      <c r="D1969" s="391" t="s">
        <v>15291</v>
      </c>
      <c r="E1969" s="328">
        <v>1056</v>
      </c>
      <c r="F1969" s="329">
        <v>42994</v>
      </c>
      <c r="G1969" s="328">
        <v>1056</v>
      </c>
      <c r="H1969" s="347">
        <f t="shared" ref="H1969:H2032" si="27">E1969-G1969</f>
        <v>0</v>
      </c>
      <c r="I1969" s="331" t="s">
        <v>15214</v>
      </c>
    </row>
    <row r="1970" spans="1:9" x14ac:dyDescent="0.25">
      <c r="A1970" s="319">
        <v>42993</v>
      </c>
      <c r="B1970" s="320" t="s">
        <v>29722</v>
      </c>
      <c r="C1970" s="321">
        <v>127729</v>
      </c>
      <c r="D1970" s="390" t="s">
        <v>15396</v>
      </c>
      <c r="E1970" s="322">
        <v>5576.4</v>
      </c>
      <c r="F1970" s="323">
        <v>42993</v>
      </c>
      <c r="G1970" s="322">
        <v>5576.4</v>
      </c>
      <c r="H1970" s="322">
        <f t="shared" si="27"/>
        <v>0</v>
      </c>
      <c r="I1970" s="325" t="s">
        <v>15214</v>
      </c>
    </row>
    <row r="1971" spans="1:9" x14ac:dyDescent="0.25">
      <c r="A1971" s="359">
        <v>42993</v>
      </c>
      <c r="B1971" s="326" t="s">
        <v>29723</v>
      </c>
      <c r="C1971" s="327">
        <v>127730</v>
      </c>
      <c r="D1971" s="391" t="s">
        <v>15537</v>
      </c>
      <c r="E1971" s="328">
        <v>27766.5</v>
      </c>
      <c r="F1971" s="329">
        <v>42996</v>
      </c>
      <c r="G1971" s="328">
        <v>27766.5</v>
      </c>
      <c r="H1971" s="347">
        <f t="shared" si="27"/>
        <v>0</v>
      </c>
      <c r="I1971" s="331" t="s">
        <v>15214</v>
      </c>
    </row>
    <row r="1972" spans="1:9" x14ac:dyDescent="0.25">
      <c r="A1972" s="319">
        <v>42993</v>
      </c>
      <c r="B1972" s="320" t="s">
        <v>29724</v>
      </c>
      <c r="C1972" s="321">
        <v>127731</v>
      </c>
      <c r="D1972" s="390" t="s">
        <v>15557</v>
      </c>
      <c r="E1972" s="322">
        <v>9147.7999999999993</v>
      </c>
      <c r="F1972" s="323">
        <v>42996</v>
      </c>
      <c r="G1972" s="322">
        <v>9147.7999999999993</v>
      </c>
      <c r="H1972" s="322">
        <f t="shared" si="27"/>
        <v>0</v>
      </c>
      <c r="I1972" s="325" t="s">
        <v>15214</v>
      </c>
    </row>
    <row r="1973" spans="1:9" x14ac:dyDescent="0.25">
      <c r="A1973" s="359">
        <v>42993</v>
      </c>
      <c r="B1973" s="326" t="s">
        <v>29725</v>
      </c>
      <c r="C1973" s="327">
        <v>127732</v>
      </c>
      <c r="D1973" s="391" t="s">
        <v>15699</v>
      </c>
      <c r="E1973" s="328">
        <v>326.39999999999998</v>
      </c>
      <c r="F1973" s="329">
        <v>42996</v>
      </c>
      <c r="G1973" s="328">
        <v>326.39999999999998</v>
      </c>
      <c r="H1973" s="347">
        <f t="shared" si="27"/>
        <v>0</v>
      </c>
      <c r="I1973" s="331" t="s">
        <v>15214</v>
      </c>
    </row>
    <row r="1974" spans="1:9" x14ac:dyDescent="0.25">
      <c r="A1974" s="319">
        <v>42993</v>
      </c>
      <c r="B1974" s="320" t="s">
        <v>29726</v>
      </c>
      <c r="C1974" s="321">
        <v>127733</v>
      </c>
      <c r="D1974" s="390" t="s">
        <v>15301</v>
      </c>
      <c r="E1974" s="322">
        <v>4352.5</v>
      </c>
      <c r="F1974" s="323">
        <v>42994</v>
      </c>
      <c r="G1974" s="322">
        <v>4352.5</v>
      </c>
      <c r="H1974" s="322">
        <f t="shared" si="27"/>
        <v>0</v>
      </c>
      <c r="I1974" s="325" t="s">
        <v>15214</v>
      </c>
    </row>
    <row r="1975" spans="1:9" ht="30" x14ac:dyDescent="0.25">
      <c r="A1975" s="359">
        <v>42993</v>
      </c>
      <c r="B1975" s="326" t="s">
        <v>29727</v>
      </c>
      <c r="C1975" s="327">
        <v>127734</v>
      </c>
      <c r="D1975" s="391" t="s">
        <v>15246</v>
      </c>
      <c r="E1975" s="328">
        <v>366848.92</v>
      </c>
      <c r="F1975" s="329" t="s">
        <v>29728</v>
      </c>
      <c r="G1975" s="347">
        <f>153496.05+213352.87</f>
        <v>366848.92</v>
      </c>
      <c r="H1975" s="347">
        <f t="shared" si="27"/>
        <v>0</v>
      </c>
      <c r="I1975" s="331" t="s">
        <v>15214</v>
      </c>
    </row>
    <row r="1976" spans="1:9" x14ac:dyDescent="0.25">
      <c r="A1976" s="319">
        <v>42993</v>
      </c>
      <c r="B1976" s="320" t="s">
        <v>29729</v>
      </c>
      <c r="C1976" s="321">
        <v>127735</v>
      </c>
      <c r="D1976" s="390" t="s">
        <v>15246</v>
      </c>
      <c r="E1976" s="322">
        <v>60101</v>
      </c>
      <c r="F1976" s="323">
        <v>42999</v>
      </c>
      <c r="G1976" s="322">
        <v>60101</v>
      </c>
      <c r="H1976" s="322">
        <f t="shared" si="27"/>
        <v>0</v>
      </c>
      <c r="I1976" s="325" t="s">
        <v>15214</v>
      </c>
    </row>
    <row r="1977" spans="1:9" x14ac:dyDescent="0.25">
      <c r="A1977" s="359">
        <v>42993</v>
      </c>
      <c r="B1977" s="326" t="s">
        <v>29730</v>
      </c>
      <c r="C1977" s="327">
        <v>127736</v>
      </c>
      <c r="D1977" s="391" t="s">
        <v>15338</v>
      </c>
      <c r="E1977" s="328">
        <v>11246.4</v>
      </c>
      <c r="F1977" s="329">
        <v>43000</v>
      </c>
      <c r="G1977" s="328">
        <v>11246.4</v>
      </c>
      <c r="H1977" s="347">
        <f t="shared" si="27"/>
        <v>0</v>
      </c>
      <c r="I1977" s="331" t="s">
        <v>15214</v>
      </c>
    </row>
    <row r="1978" spans="1:9" x14ac:dyDescent="0.25">
      <c r="A1978" s="319">
        <v>42993</v>
      </c>
      <c r="B1978" s="320" t="s">
        <v>29731</v>
      </c>
      <c r="C1978" s="321">
        <v>127737</v>
      </c>
      <c r="D1978" s="390" t="s">
        <v>15365</v>
      </c>
      <c r="E1978" s="322">
        <v>461250</v>
      </c>
      <c r="F1978" s="323">
        <v>42994</v>
      </c>
      <c r="G1978" s="322">
        <v>461250</v>
      </c>
      <c r="H1978" s="322">
        <f t="shared" si="27"/>
        <v>0</v>
      </c>
      <c r="I1978" s="325" t="s">
        <v>15214</v>
      </c>
    </row>
    <row r="1979" spans="1:9" x14ac:dyDescent="0.25">
      <c r="A1979" s="359">
        <v>42993</v>
      </c>
      <c r="B1979" s="326" t="s">
        <v>29732</v>
      </c>
      <c r="C1979" s="327">
        <v>127738</v>
      </c>
      <c r="D1979" s="391" t="s">
        <v>15276</v>
      </c>
      <c r="E1979" s="328">
        <v>3840</v>
      </c>
      <c r="F1979" s="329">
        <v>42994</v>
      </c>
      <c r="G1979" s="328">
        <v>3840</v>
      </c>
      <c r="H1979" s="347">
        <f t="shared" si="27"/>
        <v>0</v>
      </c>
      <c r="I1979" s="331" t="s">
        <v>15214</v>
      </c>
    </row>
    <row r="1980" spans="1:9" x14ac:dyDescent="0.25">
      <c r="A1980" s="319">
        <v>42993</v>
      </c>
      <c r="B1980" s="320" t="s">
        <v>29733</v>
      </c>
      <c r="C1980" s="321">
        <v>127739</v>
      </c>
      <c r="D1980" s="390" t="s">
        <v>15782</v>
      </c>
      <c r="E1980" s="322">
        <v>1357</v>
      </c>
      <c r="F1980" s="323">
        <v>42994</v>
      </c>
      <c r="G1980" s="322">
        <v>1357</v>
      </c>
      <c r="H1980" s="322">
        <f t="shared" si="27"/>
        <v>0</v>
      </c>
      <c r="I1980" s="325" t="s">
        <v>15214</v>
      </c>
    </row>
    <row r="1981" spans="1:9" x14ac:dyDescent="0.25">
      <c r="A1981" s="359">
        <v>42993</v>
      </c>
      <c r="B1981" s="326" t="s">
        <v>29734</v>
      </c>
      <c r="C1981" s="327">
        <v>127740</v>
      </c>
      <c r="D1981" s="391" t="s">
        <v>15417</v>
      </c>
      <c r="E1981" s="328">
        <v>3858.7</v>
      </c>
      <c r="F1981" s="329">
        <v>42994</v>
      </c>
      <c r="G1981" s="328">
        <v>3858.7</v>
      </c>
      <c r="H1981" s="347">
        <f t="shared" si="27"/>
        <v>0</v>
      </c>
      <c r="I1981" s="331" t="s">
        <v>15214</v>
      </c>
    </row>
    <row r="1982" spans="1:9" x14ac:dyDescent="0.25">
      <c r="A1982" s="319">
        <v>42993</v>
      </c>
      <c r="B1982" s="320" t="s">
        <v>29735</v>
      </c>
      <c r="C1982" s="321">
        <v>127741</v>
      </c>
      <c r="D1982" s="390" t="s">
        <v>16732</v>
      </c>
      <c r="E1982" s="322">
        <v>1171.32</v>
      </c>
      <c r="F1982" s="323">
        <v>42993</v>
      </c>
      <c r="G1982" s="322">
        <v>1171.32</v>
      </c>
      <c r="H1982" s="322">
        <f t="shared" si="27"/>
        <v>0</v>
      </c>
      <c r="I1982" s="325" t="s">
        <v>15214</v>
      </c>
    </row>
    <row r="1983" spans="1:9" x14ac:dyDescent="0.25">
      <c r="A1983" s="359">
        <v>42993</v>
      </c>
      <c r="B1983" s="326" t="s">
        <v>29736</v>
      </c>
      <c r="C1983" s="327">
        <v>127742</v>
      </c>
      <c r="D1983" s="391" t="s">
        <v>15261</v>
      </c>
      <c r="E1983" s="328">
        <v>20351.419999999998</v>
      </c>
      <c r="F1983" s="329">
        <v>42993</v>
      </c>
      <c r="G1983" s="328">
        <v>20351.419999999998</v>
      </c>
      <c r="H1983" s="347">
        <f t="shared" si="27"/>
        <v>0</v>
      </c>
      <c r="I1983" s="331" t="s">
        <v>15214</v>
      </c>
    </row>
    <row r="1984" spans="1:9" x14ac:dyDescent="0.25">
      <c r="A1984" s="319">
        <v>42993</v>
      </c>
      <c r="B1984" s="320" t="s">
        <v>29737</v>
      </c>
      <c r="C1984" s="321">
        <v>127743</v>
      </c>
      <c r="D1984" s="390" t="s">
        <v>15252</v>
      </c>
      <c r="E1984" s="322">
        <v>4023.8</v>
      </c>
      <c r="F1984" s="323">
        <v>42993</v>
      </c>
      <c r="G1984" s="322">
        <v>4023.8</v>
      </c>
      <c r="H1984" s="322">
        <f t="shared" si="27"/>
        <v>0</v>
      </c>
      <c r="I1984" s="325" t="s">
        <v>15214</v>
      </c>
    </row>
    <row r="1985" spans="1:9" x14ac:dyDescent="0.25">
      <c r="A1985" s="359">
        <v>42993</v>
      </c>
      <c r="B1985" s="326" t="s">
        <v>29738</v>
      </c>
      <c r="C1985" s="327">
        <v>127744</v>
      </c>
      <c r="D1985" s="391" t="s">
        <v>15328</v>
      </c>
      <c r="E1985" s="328">
        <v>1929.2</v>
      </c>
      <c r="F1985" s="329">
        <v>43001</v>
      </c>
      <c r="G1985" s="328">
        <v>1929.2</v>
      </c>
      <c r="H1985" s="347">
        <f t="shared" si="27"/>
        <v>0</v>
      </c>
      <c r="I1985" s="331" t="s">
        <v>15214</v>
      </c>
    </row>
    <row r="1986" spans="1:9" x14ac:dyDescent="0.25">
      <c r="A1986" s="319">
        <v>42993</v>
      </c>
      <c r="B1986" s="320" t="s">
        <v>29739</v>
      </c>
      <c r="C1986" s="321">
        <v>127745</v>
      </c>
      <c r="D1986" s="390" t="s">
        <v>15328</v>
      </c>
      <c r="E1986" s="322">
        <v>3248</v>
      </c>
      <c r="F1986" s="323">
        <v>43001</v>
      </c>
      <c r="G1986" s="322">
        <v>3248</v>
      </c>
      <c r="H1986" s="322">
        <f t="shared" si="27"/>
        <v>0</v>
      </c>
      <c r="I1986" s="325" t="s">
        <v>15214</v>
      </c>
    </row>
    <row r="1987" spans="1:9" ht="15.75" x14ac:dyDescent="0.25">
      <c r="A1987" s="359">
        <v>42993</v>
      </c>
      <c r="B1987" s="326" t="s">
        <v>29740</v>
      </c>
      <c r="C1987" s="327">
        <v>127746</v>
      </c>
      <c r="D1987" s="345" t="s">
        <v>95</v>
      </c>
      <c r="E1987" s="328">
        <v>0</v>
      </c>
      <c r="F1987" s="346" t="s">
        <v>95</v>
      </c>
      <c r="G1987" s="328">
        <v>0</v>
      </c>
      <c r="H1987" s="347">
        <f t="shared" si="27"/>
        <v>0</v>
      </c>
      <c r="I1987" s="331" t="s">
        <v>95</v>
      </c>
    </row>
    <row r="1988" spans="1:9" x14ac:dyDescent="0.25">
      <c r="A1988" s="319">
        <v>42993</v>
      </c>
      <c r="B1988" s="320" t="s">
        <v>29741</v>
      </c>
      <c r="C1988" s="321">
        <v>127747</v>
      </c>
      <c r="D1988" s="390" t="s">
        <v>15628</v>
      </c>
      <c r="E1988" s="322">
        <v>1171.32</v>
      </c>
      <c r="F1988" s="323">
        <v>42993</v>
      </c>
      <c r="G1988" s="322">
        <v>1171.32</v>
      </c>
      <c r="H1988" s="322">
        <f t="shared" si="27"/>
        <v>0</v>
      </c>
      <c r="I1988" s="325" t="s">
        <v>15214</v>
      </c>
    </row>
    <row r="1989" spans="1:9" x14ac:dyDescent="0.25">
      <c r="A1989" s="359">
        <v>42993</v>
      </c>
      <c r="B1989" s="326" t="s">
        <v>29742</v>
      </c>
      <c r="C1989" s="327">
        <v>127748</v>
      </c>
      <c r="D1989" s="391" t="s">
        <v>15920</v>
      </c>
      <c r="E1989" s="328">
        <v>35046.800000000003</v>
      </c>
      <c r="F1989" s="329">
        <v>42994</v>
      </c>
      <c r="G1989" s="328">
        <v>35046.800000000003</v>
      </c>
      <c r="H1989" s="347">
        <f t="shared" si="27"/>
        <v>0</v>
      </c>
      <c r="I1989" s="331" t="s">
        <v>15214</v>
      </c>
    </row>
    <row r="1990" spans="1:9" x14ac:dyDescent="0.25">
      <c r="A1990" s="319">
        <v>42993</v>
      </c>
      <c r="B1990" s="320" t="s">
        <v>29743</v>
      </c>
      <c r="C1990" s="321">
        <v>127749</v>
      </c>
      <c r="D1990" s="390" t="s">
        <v>15346</v>
      </c>
      <c r="E1990" s="322">
        <v>1652.4</v>
      </c>
      <c r="F1990" s="323">
        <v>42994</v>
      </c>
      <c r="G1990" s="322">
        <v>1652.4</v>
      </c>
      <c r="H1990" s="322">
        <f t="shared" si="27"/>
        <v>0</v>
      </c>
      <c r="I1990" s="325" t="s">
        <v>15214</v>
      </c>
    </row>
    <row r="1991" spans="1:9" x14ac:dyDescent="0.25">
      <c r="A1991" s="359">
        <v>42993</v>
      </c>
      <c r="B1991" s="326" t="s">
        <v>29744</v>
      </c>
      <c r="C1991" s="327">
        <v>127750</v>
      </c>
      <c r="D1991" s="391" t="s">
        <v>17235</v>
      </c>
      <c r="E1991" s="328">
        <v>2923.56</v>
      </c>
      <c r="F1991" s="329">
        <v>42994</v>
      </c>
      <c r="G1991" s="328">
        <v>2923.56</v>
      </c>
      <c r="H1991" s="347">
        <f t="shared" si="27"/>
        <v>0</v>
      </c>
      <c r="I1991" s="331" t="s">
        <v>15214</v>
      </c>
    </row>
    <row r="1992" spans="1:9" x14ac:dyDescent="0.25">
      <c r="A1992" s="319">
        <v>42993</v>
      </c>
      <c r="B1992" s="320" t="s">
        <v>29745</v>
      </c>
      <c r="C1992" s="321">
        <v>127751</v>
      </c>
      <c r="D1992" s="390" t="s">
        <v>15244</v>
      </c>
      <c r="E1992" s="322">
        <v>12704.2</v>
      </c>
      <c r="F1992" s="323">
        <v>42997</v>
      </c>
      <c r="G1992" s="322">
        <v>12704.2</v>
      </c>
      <c r="H1992" s="322">
        <f t="shared" si="27"/>
        <v>0</v>
      </c>
      <c r="I1992" s="325" t="s">
        <v>15214</v>
      </c>
    </row>
    <row r="1993" spans="1:9" x14ac:dyDescent="0.25">
      <c r="A1993" s="359">
        <v>42993</v>
      </c>
      <c r="B1993" s="326" t="s">
        <v>29746</v>
      </c>
      <c r="C1993" s="327">
        <v>127752</v>
      </c>
      <c r="D1993" s="391" t="s">
        <v>15322</v>
      </c>
      <c r="E1993" s="328">
        <v>2529.6</v>
      </c>
      <c r="F1993" s="329">
        <v>42993</v>
      </c>
      <c r="G1993" s="328">
        <v>2529.6</v>
      </c>
      <c r="H1993" s="347">
        <f t="shared" si="27"/>
        <v>0</v>
      </c>
      <c r="I1993" s="331" t="s">
        <v>15214</v>
      </c>
    </row>
    <row r="1994" spans="1:9" x14ac:dyDescent="0.25">
      <c r="A1994" s="319">
        <v>42993</v>
      </c>
      <c r="B1994" s="320" t="s">
        <v>29747</v>
      </c>
      <c r="C1994" s="321">
        <v>127753</v>
      </c>
      <c r="D1994" s="390" t="s">
        <v>15246</v>
      </c>
      <c r="E1994" s="322">
        <v>11517</v>
      </c>
      <c r="F1994" s="323">
        <v>42999</v>
      </c>
      <c r="G1994" s="322">
        <v>11517</v>
      </c>
      <c r="H1994" s="322">
        <f t="shared" si="27"/>
        <v>0</v>
      </c>
      <c r="I1994" s="325" t="s">
        <v>15214</v>
      </c>
    </row>
    <row r="1995" spans="1:9" x14ac:dyDescent="0.25">
      <c r="A1995" s="359">
        <v>42993</v>
      </c>
      <c r="B1995" s="326" t="s">
        <v>29748</v>
      </c>
      <c r="C1995" s="327">
        <v>127754</v>
      </c>
      <c r="D1995" s="391" t="s">
        <v>15267</v>
      </c>
      <c r="E1995" s="328">
        <v>66249.05</v>
      </c>
      <c r="F1995" s="329">
        <v>42998</v>
      </c>
      <c r="G1995" s="328">
        <v>66249.05</v>
      </c>
      <c r="H1995" s="347">
        <f t="shared" si="27"/>
        <v>0</v>
      </c>
      <c r="I1995" s="331" t="s">
        <v>15214</v>
      </c>
    </row>
    <row r="1996" spans="1:9" x14ac:dyDescent="0.25">
      <c r="A1996" s="319">
        <v>42993</v>
      </c>
      <c r="B1996" s="320" t="s">
        <v>29749</v>
      </c>
      <c r="C1996" s="321">
        <v>127755</v>
      </c>
      <c r="D1996" s="390" t="s">
        <v>15238</v>
      </c>
      <c r="E1996" s="322">
        <v>7889.8</v>
      </c>
      <c r="F1996" s="323">
        <v>42996</v>
      </c>
      <c r="G1996" s="322">
        <v>7889.8</v>
      </c>
      <c r="H1996" s="322">
        <f t="shared" si="27"/>
        <v>0</v>
      </c>
      <c r="I1996" s="325" t="s">
        <v>15214</v>
      </c>
    </row>
    <row r="1997" spans="1:9" x14ac:dyDescent="0.25">
      <c r="A1997" s="359">
        <v>42993</v>
      </c>
      <c r="B1997" s="326" t="s">
        <v>29750</v>
      </c>
      <c r="C1997" s="327">
        <v>127756</v>
      </c>
      <c r="D1997" s="391" t="s">
        <v>15433</v>
      </c>
      <c r="E1997" s="328">
        <v>1028.8</v>
      </c>
      <c r="F1997" s="329">
        <v>42993</v>
      </c>
      <c r="G1997" s="328">
        <v>1028.8</v>
      </c>
      <c r="H1997" s="347">
        <f t="shared" si="27"/>
        <v>0</v>
      </c>
      <c r="I1997" s="331" t="s">
        <v>15214</v>
      </c>
    </row>
    <row r="1998" spans="1:9" x14ac:dyDescent="0.25">
      <c r="A1998" s="319">
        <v>42993</v>
      </c>
      <c r="B1998" s="320" t="s">
        <v>29751</v>
      </c>
      <c r="C1998" s="321">
        <v>127757</v>
      </c>
      <c r="D1998" s="390" t="s">
        <v>15263</v>
      </c>
      <c r="E1998" s="322">
        <v>925.6</v>
      </c>
      <c r="F1998" s="323">
        <v>42993</v>
      </c>
      <c r="G1998" s="322">
        <v>925.6</v>
      </c>
      <c r="H1998" s="322">
        <f t="shared" si="27"/>
        <v>0</v>
      </c>
      <c r="I1998" s="325" t="s">
        <v>15214</v>
      </c>
    </row>
    <row r="1999" spans="1:9" x14ac:dyDescent="0.25">
      <c r="A1999" s="359">
        <v>42993</v>
      </c>
      <c r="B1999" s="326" t="s">
        <v>29752</v>
      </c>
      <c r="C1999" s="327">
        <v>127758</v>
      </c>
      <c r="D1999" s="391" t="s">
        <v>15681</v>
      </c>
      <c r="E1999" s="328">
        <v>2472</v>
      </c>
      <c r="F1999" s="329">
        <v>42993</v>
      </c>
      <c r="G1999" s="328">
        <v>2472</v>
      </c>
      <c r="H1999" s="347">
        <f t="shared" si="27"/>
        <v>0</v>
      </c>
      <c r="I1999" s="331" t="s">
        <v>15214</v>
      </c>
    </row>
    <row r="2000" spans="1:9" x14ac:dyDescent="0.25">
      <c r="A2000" s="319">
        <v>42993</v>
      </c>
      <c r="B2000" s="320" t="s">
        <v>29753</v>
      </c>
      <c r="C2000" s="321">
        <v>127759</v>
      </c>
      <c r="D2000" s="390" t="s">
        <v>16129</v>
      </c>
      <c r="E2000" s="322">
        <v>4291.2</v>
      </c>
      <c r="F2000" s="323">
        <v>43000</v>
      </c>
      <c r="G2000" s="322">
        <v>4291.2</v>
      </c>
      <c r="H2000" s="322">
        <f t="shared" si="27"/>
        <v>0</v>
      </c>
      <c r="I2000" s="325" t="s">
        <v>15214</v>
      </c>
    </row>
    <row r="2001" spans="1:9" x14ac:dyDescent="0.25">
      <c r="A2001" s="359">
        <v>42993</v>
      </c>
      <c r="B2001" s="326" t="s">
        <v>29754</v>
      </c>
      <c r="C2001" s="327">
        <v>127760</v>
      </c>
      <c r="D2001" s="391" t="s">
        <v>17462</v>
      </c>
      <c r="E2001" s="328">
        <v>1653.6</v>
      </c>
      <c r="F2001" s="329">
        <v>42993</v>
      </c>
      <c r="G2001" s="328">
        <v>1653.6</v>
      </c>
      <c r="H2001" s="347">
        <f t="shared" si="27"/>
        <v>0</v>
      </c>
      <c r="I2001" s="331" t="s">
        <v>15214</v>
      </c>
    </row>
    <row r="2002" spans="1:9" x14ac:dyDescent="0.25">
      <c r="A2002" s="319">
        <v>42993</v>
      </c>
      <c r="B2002" s="320" t="s">
        <v>29755</v>
      </c>
      <c r="C2002" s="321">
        <v>127761</v>
      </c>
      <c r="D2002" s="390" t="s">
        <v>15818</v>
      </c>
      <c r="E2002" s="322">
        <v>3162</v>
      </c>
      <c r="F2002" s="323">
        <v>42994</v>
      </c>
      <c r="G2002" s="322">
        <v>3162</v>
      </c>
      <c r="H2002" s="322">
        <f t="shared" si="27"/>
        <v>0</v>
      </c>
      <c r="I2002" s="325" t="s">
        <v>15214</v>
      </c>
    </row>
    <row r="2003" spans="1:9" x14ac:dyDescent="0.25">
      <c r="A2003" s="359">
        <v>42993</v>
      </c>
      <c r="B2003" s="326" t="s">
        <v>29756</v>
      </c>
      <c r="C2003" s="327">
        <v>127762</v>
      </c>
      <c r="D2003" s="391" t="s">
        <v>15246</v>
      </c>
      <c r="E2003" s="328">
        <v>16047.2</v>
      </c>
      <c r="F2003" s="329">
        <v>42999</v>
      </c>
      <c r="G2003" s="328">
        <v>16047.2</v>
      </c>
      <c r="H2003" s="347">
        <f t="shared" si="27"/>
        <v>0</v>
      </c>
      <c r="I2003" s="331" t="s">
        <v>15214</v>
      </c>
    </row>
    <row r="2004" spans="1:9" x14ac:dyDescent="0.25">
      <c r="A2004" s="319">
        <v>42993</v>
      </c>
      <c r="B2004" s="320" t="s">
        <v>29757</v>
      </c>
      <c r="C2004" s="321">
        <v>127763</v>
      </c>
      <c r="D2004" s="390" t="s">
        <v>15594</v>
      </c>
      <c r="E2004" s="322">
        <v>405</v>
      </c>
      <c r="F2004" s="323">
        <v>42994</v>
      </c>
      <c r="G2004" s="322">
        <v>405</v>
      </c>
      <c r="H2004" s="322">
        <f t="shared" si="27"/>
        <v>0</v>
      </c>
      <c r="I2004" s="325" t="s">
        <v>15214</v>
      </c>
    </row>
    <row r="2005" spans="1:9" x14ac:dyDescent="0.25">
      <c r="A2005" s="359">
        <v>42993</v>
      </c>
      <c r="B2005" s="326" t="s">
        <v>29758</v>
      </c>
      <c r="C2005" s="327">
        <v>127764</v>
      </c>
      <c r="D2005" s="391" t="s">
        <v>15365</v>
      </c>
      <c r="E2005" s="328">
        <v>460280</v>
      </c>
      <c r="F2005" s="329">
        <v>43002</v>
      </c>
      <c r="G2005" s="328">
        <v>460280</v>
      </c>
      <c r="H2005" s="347">
        <f t="shared" si="27"/>
        <v>0</v>
      </c>
      <c r="I2005" s="331" t="s">
        <v>15214</v>
      </c>
    </row>
    <row r="2006" spans="1:9" x14ac:dyDescent="0.25">
      <c r="A2006" s="319">
        <v>42993</v>
      </c>
      <c r="B2006" s="320" t="s">
        <v>29759</v>
      </c>
      <c r="C2006" s="321">
        <v>127765</v>
      </c>
      <c r="D2006" s="390" t="s">
        <v>15668</v>
      </c>
      <c r="E2006" s="322">
        <v>8421.4</v>
      </c>
      <c r="F2006" s="323">
        <v>42996</v>
      </c>
      <c r="G2006" s="322">
        <v>8421.4</v>
      </c>
      <c r="H2006" s="322">
        <f t="shared" si="27"/>
        <v>0</v>
      </c>
      <c r="I2006" s="325" t="s">
        <v>15214</v>
      </c>
    </row>
    <row r="2007" spans="1:9" x14ac:dyDescent="0.25">
      <c r="A2007" s="359">
        <v>42993</v>
      </c>
      <c r="B2007" s="326" t="s">
        <v>29760</v>
      </c>
      <c r="C2007" s="327">
        <v>127766</v>
      </c>
      <c r="D2007" s="391" t="s">
        <v>15642</v>
      </c>
      <c r="E2007" s="328">
        <v>8091.3</v>
      </c>
      <c r="F2007" s="329">
        <v>42994</v>
      </c>
      <c r="G2007" s="328">
        <v>8091.3</v>
      </c>
      <c r="H2007" s="347">
        <f t="shared" si="27"/>
        <v>0</v>
      </c>
      <c r="I2007" s="331" t="s">
        <v>15214</v>
      </c>
    </row>
    <row r="2008" spans="1:9" x14ac:dyDescent="0.25">
      <c r="A2008" s="319">
        <v>42994</v>
      </c>
      <c r="B2008" s="320" t="s">
        <v>29761</v>
      </c>
      <c r="C2008" s="321">
        <v>127767</v>
      </c>
      <c r="D2008" s="390" t="s">
        <v>19302</v>
      </c>
      <c r="E2008" s="322">
        <v>1680</v>
      </c>
      <c r="F2008" s="323">
        <v>42994</v>
      </c>
      <c r="G2008" s="322">
        <v>1680</v>
      </c>
      <c r="H2008" s="322">
        <f t="shared" si="27"/>
        <v>0</v>
      </c>
      <c r="I2008" s="325" t="s">
        <v>15214</v>
      </c>
    </row>
    <row r="2009" spans="1:9" x14ac:dyDescent="0.25">
      <c r="A2009" s="359">
        <v>42994</v>
      </c>
      <c r="B2009" s="326" t="s">
        <v>29762</v>
      </c>
      <c r="C2009" s="327">
        <v>127768</v>
      </c>
      <c r="D2009" s="391" t="s">
        <v>15220</v>
      </c>
      <c r="E2009" s="328">
        <v>4080</v>
      </c>
      <c r="F2009" s="329">
        <v>42994</v>
      </c>
      <c r="G2009" s="328">
        <v>4080</v>
      </c>
      <c r="H2009" s="347">
        <f t="shared" si="27"/>
        <v>0</v>
      </c>
      <c r="I2009" s="331" t="s">
        <v>15214</v>
      </c>
    </row>
    <row r="2010" spans="1:9" x14ac:dyDescent="0.25">
      <c r="A2010" s="319">
        <v>42994</v>
      </c>
      <c r="B2010" s="320" t="s">
        <v>29763</v>
      </c>
      <c r="C2010" s="321">
        <v>127769</v>
      </c>
      <c r="D2010" s="390" t="s">
        <v>15407</v>
      </c>
      <c r="E2010" s="322">
        <v>13314</v>
      </c>
      <c r="F2010" s="323">
        <v>42994</v>
      </c>
      <c r="G2010" s="322">
        <v>13314</v>
      </c>
      <c r="H2010" s="322">
        <f t="shared" si="27"/>
        <v>0</v>
      </c>
      <c r="I2010" s="325" t="s">
        <v>15214</v>
      </c>
    </row>
    <row r="2011" spans="1:9" x14ac:dyDescent="0.25">
      <c r="A2011" s="359">
        <v>42994</v>
      </c>
      <c r="B2011" s="326" t="s">
        <v>29764</v>
      </c>
      <c r="C2011" s="327">
        <v>127770</v>
      </c>
      <c r="D2011" s="391" t="s">
        <v>15230</v>
      </c>
      <c r="E2011" s="328">
        <v>9192</v>
      </c>
      <c r="F2011" s="329">
        <v>42997</v>
      </c>
      <c r="G2011" s="328">
        <v>9192</v>
      </c>
      <c r="H2011" s="347">
        <f t="shared" si="27"/>
        <v>0</v>
      </c>
      <c r="I2011" s="331" t="s">
        <v>15214</v>
      </c>
    </row>
    <row r="2012" spans="1:9" x14ac:dyDescent="0.25">
      <c r="A2012" s="319">
        <v>42994</v>
      </c>
      <c r="B2012" s="320" t="s">
        <v>29765</v>
      </c>
      <c r="C2012" s="321">
        <v>127771</v>
      </c>
      <c r="D2012" s="390" t="s">
        <v>15480</v>
      </c>
      <c r="E2012" s="322">
        <v>3658.2</v>
      </c>
      <c r="F2012" s="323">
        <v>42997</v>
      </c>
      <c r="G2012" s="322">
        <v>3658.2</v>
      </c>
      <c r="H2012" s="322">
        <f t="shared" si="27"/>
        <v>0</v>
      </c>
      <c r="I2012" s="325" t="s">
        <v>15214</v>
      </c>
    </row>
    <row r="2013" spans="1:9" x14ac:dyDescent="0.25">
      <c r="A2013" s="359">
        <v>42994</v>
      </c>
      <c r="B2013" s="326" t="s">
        <v>29766</v>
      </c>
      <c r="C2013" s="327">
        <v>127772</v>
      </c>
      <c r="D2013" s="391" t="s">
        <v>15668</v>
      </c>
      <c r="E2013" s="328">
        <v>6380.4</v>
      </c>
      <c r="F2013" s="329">
        <v>42998</v>
      </c>
      <c r="G2013" s="328">
        <v>6380.4</v>
      </c>
      <c r="H2013" s="347">
        <f t="shared" si="27"/>
        <v>0</v>
      </c>
      <c r="I2013" s="331" t="s">
        <v>15214</v>
      </c>
    </row>
    <row r="2014" spans="1:9" x14ac:dyDescent="0.25">
      <c r="A2014" s="319">
        <v>42994</v>
      </c>
      <c r="B2014" s="320" t="s">
        <v>29767</v>
      </c>
      <c r="C2014" s="321">
        <v>127773</v>
      </c>
      <c r="D2014" s="390" t="s">
        <v>15238</v>
      </c>
      <c r="E2014" s="322">
        <v>3338.4</v>
      </c>
      <c r="F2014" s="323">
        <v>42997</v>
      </c>
      <c r="G2014" s="322">
        <v>3338.4</v>
      </c>
      <c r="H2014" s="322">
        <f t="shared" si="27"/>
        <v>0</v>
      </c>
      <c r="I2014" s="325" t="s">
        <v>15214</v>
      </c>
    </row>
    <row r="2015" spans="1:9" x14ac:dyDescent="0.25">
      <c r="A2015" s="359">
        <v>42994</v>
      </c>
      <c r="B2015" s="326" t="s">
        <v>29768</v>
      </c>
      <c r="C2015" s="327">
        <v>127774</v>
      </c>
      <c r="D2015" s="391" t="s">
        <v>15248</v>
      </c>
      <c r="E2015" s="328">
        <v>21417.86</v>
      </c>
      <c r="F2015" s="329">
        <v>42994</v>
      </c>
      <c r="G2015" s="328">
        <v>21417.86</v>
      </c>
      <c r="H2015" s="347">
        <f t="shared" si="27"/>
        <v>0</v>
      </c>
      <c r="I2015" s="331" t="s">
        <v>15214</v>
      </c>
    </row>
    <row r="2016" spans="1:9" x14ac:dyDescent="0.25">
      <c r="A2016" s="319">
        <v>42994</v>
      </c>
      <c r="B2016" s="320" t="s">
        <v>29769</v>
      </c>
      <c r="C2016" s="321">
        <v>127775</v>
      </c>
      <c r="D2016" s="390" t="s">
        <v>19780</v>
      </c>
      <c r="E2016" s="322">
        <v>16060.2</v>
      </c>
      <c r="F2016" s="323">
        <v>42997</v>
      </c>
      <c r="G2016" s="322">
        <v>16060.2</v>
      </c>
      <c r="H2016" s="322">
        <f t="shared" si="27"/>
        <v>0</v>
      </c>
      <c r="I2016" s="325" t="s">
        <v>15214</v>
      </c>
    </row>
    <row r="2017" spans="1:9" x14ac:dyDescent="0.25">
      <c r="A2017" s="359">
        <v>42994</v>
      </c>
      <c r="B2017" s="326" t="s">
        <v>29770</v>
      </c>
      <c r="C2017" s="327">
        <v>127776</v>
      </c>
      <c r="D2017" s="391" t="s">
        <v>15250</v>
      </c>
      <c r="E2017" s="328">
        <v>74693.36</v>
      </c>
      <c r="F2017" s="329">
        <v>43001</v>
      </c>
      <c r="G2017" s="328">
        <v>74693.36</v>
      </c>
      <c r="H2017" s="347">
        <f t="shared" si="27"/>
        <v>0</v>
      </c>
      <c r="I2017" s="331" t="s">
        <v>15214</v>
      </c>
    </row>
    <row r="2018" spans="1:9" x14ac:dyDescent="0.25">
      <c r="A2018" s="319">
        <v>42994</v>
      </c>
      <c r="B2018" s="320" t="s">
        <v>29771</v>
      </c>
      <c r="C2018" s="321">
        <v>127777</v>
      </c>
      <c r="D2018" s="390" t="s">
        <v>15242</v>
      </c>
      <c r="E2018" s="322">
        <v>19242</v>
      </c>
      <c r="F2018" s="323">
        <v>42994</v>
      </c>
      <c r="G2018" s="322">
        <v>19242</v>
      </c>
      <c r="H2018" s="322">
        <f t="shared" si="27"/>
        <v>0</v>
      </c>
      <c r="I2018" s="325" t="s">
        <v>15214</v>
      </c>
    </row>
    <row r="2019" spans="1:9" x14ac:dyDescent="0.25">
      <c r="A2019" s="359">
        <v>42994</v>
      </c>
      <c r="B2019" s="326" t="s">
        <v>29772</v>
      </c>
      <c r="C2019" s="327">
        <v>127778</v>
      </c>
      <c r="D2019" s="391" t="s">
        <v>15223</v>
      </c>
      <c r="E2019" s="328">
        <v>64105</v>
      </c>
      <c r="F2019" s="329">
        <v>43019</v>
      </c>
      <c r="G2019" s="328">
        <v>64105</v>
      </c>
      <c r="H2019" s="347">
        <f t="shared" si="27"/>
        <v>0</v>
      </c>
      <c r="I2019" s="331" t="s">
        <v>15214</v>
      </c>
    </row>
    <row r="2020" spans="1:9" x14ac:dyDescent="0.25">
      <c r="A2020" s="319">
        <v>42994</v>
      </c>
      <c r="B2020" s="320" t="s">
        <v>29773</v>
      </c>
      <c r="C2020" s="321">
        <v>127779</v>
      </c>
      <c r="D2020" s="390" t="s">
        <v>15596</v>
      </c>
      <c r="E2020" s="322">
        <v>1680</v>
      </c>
      <c r="F2020" s="323">
        <v>42994</v>
      </c>
      <c r="G2020" s="322">
        <v>1680</v>
      </c>
      <c r="H2020" s="322">
        <f t="shared" si="27"/>
        <v>0</v>
      </c>
      <c r="I2020" s="325" t="s">
        <v>15214</v>
      </c>
    </row>
    <row r="2021" spans="1:9" x14ac:dyDescent="0.25">
      <c r="A2021" s="359">
        <v>42994</v>
      </c>
      <c r="B2021" s="326" t="s">
        <v>29774</v>
      </c>
      <c r="C2021" s="327">
        <v>127780</v>
      </c>
      <c r="D2021" s="391" t="s">
        <v>15274</v>
      </c>
      <c r="E2021" s="328">
        <v>2680</v>
      </c>
      <c r="F2021" s="329">
        <v>42994</v>
      </c>
      <c r="G2021" s="328">
        <v>2680</v>
      </c>
      <c r="H2021" s="347">
        <f t="shared" si="27"/>
        <v>0</v>
      </c>
      <c r="I2021" s="331" t="s">
        <v>15214</v>
      </c>
    </row>
    <row r="2022" spans="1:9" x14ac:dyDescent="0.25">
      <c r="A2022" s="319">
        <v>42994</v>
      </c>
      <c r="B2022" s="320" t="s">
        <v>29775</v>
      </c>
      <c r="C2022" s="321">
        <v>127781</v>
      </c>
      <c r="D2022" s="390" t="s">
        <v>15311</v>
      </c>
      <c r="E2022" s="322">
        <v>1512</v>
      </c>
      <c r="F2022" s="323">
        <v>42994</v>
      </c>
      <c r="G2022" s="322">
        <v>1512</v>
      </c>
      <c r="H2022" s="322">
        <f t="shared" si="27"/>
        <v>0</v>
      </c>
      <c r="I2022" s="325" t="s">
        <v>15214</v>
      </c>
    </row>
    <row r="2023" spans="1:9" ht="45" x14ac:dyDescent="0.25">
      <c r="A2023" s="359">
        <v>42994</v>
      </c>
      <c r="B2023" s="326" t="s">
        <v>29776</v>
      </c>
      <c r="C2023" s="327">
        <v>127782</v>
      </c>
      <c r="D2023" s="391" t="s">
        <v>15258</v>
      </c>
      <c r="E2023" s="328">
        <v>19398.599999999999</v>
      </c>
      <c r="F2023" s="329" t="s">
        <v>29777</v>
      </c>
      <c r="G2023" s="328">
        <f>4400+6000+8998.6</f>
        <v>19398.599999999999</v>
      </c>
      <c r="H2023" s="347">
        <f t="shared" si="27"/>
        <v>0</v>
      </c>
      <c r="I2023" s="331" t="s">
        <v>15214</v>
      </c>
    </row>
    <row r="2024" spans="1:9" x14ac:dyDescent="0.25">
      <c r="A2024" s="319">
        <v>42994</v>
      </c>
      <c r="B2024" s="320" t="s">
        <v>29778</v>
      </c>
      <c r="C2024" s="321">
        <v>127783</v>
      </c>
      <c r="D2024" s="390" t="s">
        <v>15301</v>
      </c>
      <c r="E2024" s="322">
        <v>3360</v>
      </c>
      <c r="F2024" s="323">
        <v>42994</v>
      </c>
      <c r="G2024" s="322">
        <v>3360</v>
      </c>
      <c r="H2024" s="322">
        <f t="shared" si="27"/>
        <v>0</v>
      </c>
      <c r="I2024" s="325" t="s">
        <v>15214</v>
      </c>
    </row>
    <row r="2025" spans="1:9" x14ac:dyDescent="0.25">
      <c r="A2025" s="359">
        <v>42994</v>
      </c>
      <c r="B2025" s="326" t="s">
        <v>29779</v>
      </c>
      <c r="C2025" s="327">
        <v>127784</v>
      </c>
      <c r="D2025" s="391" t="s">
        <v>15305</v>
      </c>
      <c r="E2025" s="328">
        <v>2925</v>
      </c>
      <c r="F2025" s="329">
        <v>42994</v>
      </c>
      <c r="G2025" s="328">
        <v>2925</v>
      </c>
      <c r="H2025" s="347">
        <f t="shared" si="27"/>
        <v>0</v>
      </c>
      <c r="I2025" s="331" t="s">
        <v>15214</v>
      </c>
    </row>
    <row r="2026" spans="1:9" x14ac:dyDescent="0.25">
      <c r="A2026" s="319">
        <v>42994</v>
      </c>
      <c r="B2026" s="320" t="s">
        <v>29780</v>
      </c>
      <c r="C2026" s="321">
        <v>127785</v>
      </c>
      <c r="D2026" s="390" t="s">
        <v>15326</v>
      </c>
      <c r="E2026" s="322">
        <v>5138</v>
      </c>
      <c r="F2026" s="323">
        <v>42994</v>
      </c>
      <c r="G2026" s="322">
        <v>5138</v>
      </c>
      <c r="H2026" s="322">
        <f t="shared" si="27"/>
        <v>0</v>
      </c>
      <c r="I2026" s="325" t="s">
        <v>15214</v>
      </c>
    </row>
    <row r="2027" spans="1:9" ht="30" x14ac:dyDescent="0.25">
      <c r="A2027" s="359">
        <v>42994</v>
      </c>
      <c r="B2027" s="326" t="s">
        <v>29781</v>
      </c>
      <c r="C2027" s="327">
        <v>127786</v>
      </c>
      <c r="D2027" s="391" t="s">
        <v>15234</v>
      </c>
      <c r="E2027" s="328">
        <v>9492.6</v>
      </c>
      <c r="F2027" s="329" t="s">
        <v>29782</v>
      </c>
      <c r="G2027" s="347">
        <f>3000+6492.6</f>
        <v>9492.6</v>
      </c>
      <c r="H2027" s="347">
        <f t="shared" si="27"/>
        <v>0</v>
      </c>
      <c r="I2027" s="331" t="s">
        <v>15214</v>
      </c>
    </row>
    <row r="2028" spans="1:9" x14ac:dyDescent="0.25">
      <c r="A2028" s="319">
        <v>42994</v>
      </c>
      <c r="B2028" s="320" t="s">
        <v>29783</v>
      </c>
      <c r="C2028" s="321">
        <v>127787</v>
      </c>
      <c r="D2028" s="390" t="s">
        <v>15246</v>
      </c>
      <c r="E2028" s="322">
        <v>36716.400000000001</v>
      </c>
      <c r="F2028" s="323">
        <v>42999</v>
      </c>
      <c r="G2028" s="322">
        <v>36716.400000000001</v>
      </c>
      <c r="H2028" s="322">
        <f t="shared" si="27"/>
        <v>0</v>
      </c>
      <c r="I2028" s="325" t="s">
        <v>15214</v>
      </c>
    </row>
    <row r="2029" spans="1:9" x14ac:dyDescent="0.25">
      <c r="A2029" s="359">
        <v>42994</v>
      </c>
      <c r="B2029" s="326" t="s">
        <v>29784</v>
      </c>
      <c r="C2029" s="327">
        <v>127788</v>
      </c>
      <c r="D2029" s="391" t="s">
        <v>15236</v>
      </c>
      <c r="E2029" s="328">
        <v>9395.1</v>
      </c>
      <c r="F2029" s="329">
        <v>42997</v>
      </c>
      <c r="G2029" s="328">
        <v>9395.1</v>
      </c>
      <c r="H2029" s="347">
        <f t="shared" si="27"/>
        <v>0</v>
      </c>
      <c r="I2029" s="331" t="s">
        <v>15214</v>
      </c>
    </row>
    <row r="2030" spans="1:9" x14ac:dyDescent="0.25">
      <c r="A2030" s="319">
        <v>42994</v>
      </c>
      <c r="B2030" s="320" t="s">
        <v>29785</v>
      </c>
      <c r="C2030" s="321">
        <v>127789</v>
      </c>
      <c r="D2030" s="390" t="s">
        <v>15315</v>
      </c>
      <c r="E2030" s="322">
        <v>3390.8</v>
      </c>
      <c r="F2030" s="323">
        <v>42994</v>
      </c>
      <c r="G2030" s="322">
        <v>3390.8</v>
      </c>
      <c r="H2030" s="322">
        <f t="shared" si="27"/>
        <v>0</v>
      </c>
      <c r="I2030" s="325" t="s">
        <v>15214</v>
      </c>
    </row>
    <row r="2031" spans="1:9" x14ac:dyDescent="0.25">
      <c r="A2031" s="359">
        <v>42994</v>
      </c>
      <c r="B2031" s="326" t="s">
        <v>29786</v>
      </c>
      <c r="C2031" s="327">
        <v>127790</v>
      </c>
      <c r="D2031" s="391" t="s">
        <v>15320</v>
      </c>
      <c r="E2031" s="328">
        <v>3270.6</v>
      </c>
      <c r="F2031" s="329">
        <v>42994</v>
      </c>
      <c r="G2031" s="328">
        <v>3270.6</v>
      </c>
      <c r="H2031" s="347">
        <f t="shared" si="27"/>
        <v>0</v>
      </c>
      <c r="I2031" s="331" t="s">
        <v>15214</v>
      </c>
    </row>
    <row r="2032" spans="1:9" x14ac:dyDescent="0.25">
      <c r="A2032" s="319">
        <v>42994</v>
      </c>
      <c r="B2032" s="320" t="s">
        <v>29787</v>
      </c>
      <c r="C2032" s="321">
        <v>127791</v>
      </c>
      <c r="D2032" s="390" t="s">
        <v>15480</v>
      </c>
      <c r="E2032" s="322">
        <v>3694.8</v>
      </c>
      <c r="F2032" s="323">
        <v>42997</v>
      </c>
      <c r="G2032" s="322">
        <v>3694.8</v>
      </c>
      <c r="H2032" s="322">
        <f t="shared" si="27"/>
        <v>0</v>
      </c>
      <c r="I2032" s="325" t="s">
        <v>15214</v>
      </c>
    </row>
    <row r="2033" spans="1:9" x14ac:dyDescent="0.25">
      <c r="A2033" s="359">
        <v>42994</v>
      </c>
      <c r="B2033" s="326" t="s">
        <v>29788</v>
      </c>
      <c r="C2033" s="327">
        <v>127792</v>
      </c>
      <c r="D2033" s="391" t="s">
        <v>15307</v>
      </c>
      <c r="E2033" s="328">
        <v>2688.4</v>
      </c>
      <c r="F2033" s="329">
        <v>42994</v>
      </c>
      <c r="G2033" s="328">
        <v>2688.4</v>
      </c>
      <c r="H2033" s="347">
        <f t="shared" ref="H2033:H2096" si="28">E2033-G2033</f>
        <v>0</v>
      </c>
      <c r="I2033" s="331" t="s">
        <v>15214</v>
      </c>
    </row>
    <row r="2034" spans="1:9" x14ac:dyDescent="0.25">
      <c r="A2034" s="319">
        <v>42994</v>
      </c>
      <c r="B2034" s="320" t="s">
        <v>29789</v>
      </c>
      <c r="C2034" s="321">
        <v>127793</v>
      </c>
      <c r="D2034" s="390" t="s">
        <v>29500</v>
      </c>
      <c r="E2034" s="322">
        <v>5760</v>
      </c>
      <c r="F2034" s="323">
        <v>42994</v>
      </c>
      <c r="G2034" s="322">
        <v>5760</v>
      </c>
      <c r="H2034" s="322">
        <f t="shared" si="28"/>
        <v>0</v>
      </c>
      <c r="I2034" s="325" t="s">
        <v>15214</v>
      </c>
    </row>
    <row r="2035" spans="1:9" x14ac:dyDescent="0.25">
      <c r="A2035" s="359">
        <v>42994</v>
      </c>
      <c r="B2035" s="326" t="s">
        <v>29790</v>
      </c>
      <c r="C2035" s="327">
        <v>127794</v>
      </c>
      <c r="D2035" s="391" t="s">
        <v>15745</v>
      </c>
      <c r="E2035" s="328">
        <v>1860.36</v>
      </c>
      <c r="F2035" s="329">
        <v>42994</v>
      </c>
      <c r="G2035" s="328">
        <v>1860.36</v>
      </c>
      <c r="H2035" s="347">
        <f t="shared" si="28"/>
        <v>0</v>
      </c>
      <c r="I2035" s="331" t="s">
        <v>15214</v>
      </c>
    </row>
    <row r="2036" spans="1:9" x14ac:dyDescent="0.25">
      <c r="A2036" s="319">
        <v>42994</v>
      </c>
      <c r="B2036" s="320" t="s">
        <v>29791</v>
      </c>
      <c r="C2036" s="321">
        <v>127795</v>
      </c>
      <c r="D2036" s="390" t="s">
        <v>15291</v>
      </c>
      <c r="E2036" s="322">
        <v>1200</v>
      </c>
      <c r="F2036" s="323">
        <v>42994</v>
      </c>
      <c r="G2036" s="322">
        <v>1200</v>
      </c>
      <c r="H2036" s="322">
        <f t="shared" si="28"/>
        <v>0</v>
      </c>
      <c r="I2036" s="325" t="s">
        <v>15214</v>
      </c>
    </row>
    <row r="2037" spans="1:9" x14ac:dyDescent="0.25">
      <c r="A2037" s="359">
        <v>42994</v>
      </c>
      <c r="B2037" s="326" t="s">
        <v>29792</v>
      </c>
      <c r="C2037" s="327">
        <v>127796</v>
      </c>
      <c r="D2037" s="391" t="s">
        <v>15305</v>
      </c>
      <c r="E2037" s="328">
        <v>904.4</v>
      </c>
      <c r="F2037" s="329">
        <v>42994</v>
      </c>
      <c r="G2037" s="328">
        <v>904.4</v>
      </c>
      <c r="H2037" s="347">
        <f t="shared" si="28"/>
        <v>0</v>
      </c>
      <c r="I2037" s="331" t="s">
        <v>15214</v>
      </c>
    </row>
    <row r="2038" spans="1:9" x14ac:dyDescent="0.25">
      <c r="A2038" s="319">
        <v>42994</v>
      </c>
      <c r="B2038" s="320" t="s">
        <v>29793</v>
      </c>
      <c r="C2038" s="321">
        <v>127797</v>
      </c>
      <c r="D2038" s="390" t="s">
        <v>15280</v>
      </c>
      <c r="E2038" s="322">
        <v>7666.8</v>
      </c>
      <c r="F2038" s="323">
        <v>42994</v>
      </c>
      <c r="G2038" s="322">
        <v>7666.8</v>
      </c>
      <c r="H2038" s="322">
        <f t="shared" si="28"/>
        <v>0</v>
      </c>
      <c r="I2038" s="325" t="s">
        <v>15214</v>
      </c>
    </row>
    <row r="2039" spans="1:9" x14ac:dyDescent="0.25">
      <c r="A2039" s="359">
        <v>42994</v>
      </c>
      <c r="B2039" s="326" t="s">
        <v>29794</v>
      </c>
      <c r="C2039" s="327">
        <v>127798</v>
      </c>
      <c r="D2039" s="391" t="s">
        <v>16463</v>
      </c>
      <c r="E2039" s="328">
        <v>3042</v>
      </c>
      <c r="F2039" s="329">
        <v>42994</v>
      </c>
      <c r="G2039" s="328">
        <v>3042</v>
      </c>
      <c r="H2039" s="347">
        <f t="shared" si="28"/>
        <v>0</v>
      </c>
      <c r="I2039" s="331" t="s">
        <v>15214</v>
      </c>
    </row>
    <row r="2040" spans="1:9" x14ac:dyDescent="0.25">
      <c r="A2040" s="319">
        <v>42994</v>
      </c>
      <c r="B2040" s="320" t="s">
        <v>29795</v>
      </c>
      <c r="C2040" s="321">
        <v>127799</v>
      </c>
      <c r="D2040" s="390" t="s">
        <v>15309</v>
      </c>
      <c r="E2040" s="322">
        <v>9758.2999999999993</v>
      </c>
      <c r="F2040" s="323">
        <v>42994</v>
      </c>
      <c r="G2040" s="322">
        <v>9758.2999999999993</v>
      </c>
      <c r="H2040" s="322">
        <f t="shared" si="28"/>
        <v>0</v>
      </c>
      <c r="I2040" s="325" t="s">
        <v>15214</v>
      </c>
    </row>
    <row r="2041" spans="1:9" x14ac:dyDescent="0.25">
      <c r="A2041" s="359">
        <v>42994</v>
      </c>
      <c r="B2041" s="326" t="s">
        <v>29796</v>
      </c>
      <c r="C2041" s="327">
        <v>127800</v>
      </c>
      <c r="D2041" s="391" t="s">
        <v>15526</v>
      </c>
      <c r="E2041" s="328">
        <v>7393.6</v>
      </c>
      <c r="F2041" s="329">
        <v>42994</v>
      </c>
      <c r="G2041" s="328">
        <v>7393.6</v>
      </c>
      <c r="H2041" s="347">
        <f t="shared" si="28"/>
        <v>0</v>
      </c>
      <c r="I2041" s="331" t="s">
        <v>15214</v>
      </c>
    </row>
    <row r="2042" spans="1:9" x14ac:dyDescent="0.25">
      <c r="A2042" s="319">
        <v>42994</v>
      </c>
      <c r="B2042" s="320" t="s">
        <v>29797</v>
      </c>
      <c r="C2042" s="321">
        <v>127801</v>
      </c>
      <c r="D2042" s="390" t="s">
        <v>17210</v>
      </c>
      <c r="E2042" s="322">
        <v>5945</v>
      </c>
      <c r="F2042" s="323">
        <v>42994</v>
      </c>
      <c r="G2042" s="322">
        <v>5945</v>
      </c>
      <c r="H2042" s="322">
        <f t="shared" si="28"/>
        <v>0</v>
      </c>
      <c r="I2042" s="325" t="s">
        <v>15214</v>
      </c>
    </row>
    <row r="2043" spans="1:9" x14ac:dyDescent="0.25">
      <c r="A2043" s="359">
        <v>42994</v>
      </c>
      <c r="B2043" s="326" t="s">
        <v>29798</v>
      </c>
      <c r="C2043" s="327">
        <v>127802</v>
      </c>
      <c r="D2043" s="391" t="s">
        <v>15523</v>
      </c>
      <c r="E2043" s="328">
        <v>4800</v>
      </c>
      <c r="F2043" s="329">
        <v>42994</v>
      </c>
      <c r="G2043" s="328">
        <v>4800</v>
      </c>
      <c r="H2043" s="347">
        <f t="shared" si="28"/>
        <v>0</v>
      </c>
      <c r="I2043" s="331" t="s">
        <v>15214</v>
      </c>
    </row>
    <row r="2044" spans="1:9" x14ac:dyDescent="0.25">
      <c r="A2044" s="319">
        <v>42994</v>
      </c>
      <c r="B2044" s="320" t="s">
        <v>29799</v>
      </c>
      <c r="C2044" s="321">
        <v>127803</v>
      </c>
      <c r="D2044" s="390" t="s">
        <v>15334</v>
      </c>
      <c r="E2044" s="322">
        <v>4032</v>
      </c>
      <c r="F2044" s="323">
        <v>42994</v>
      </c>
      <c r="G2044" s="322">
        <v>4032</v>
      </c>
      <c r="H2044" s="322">
        <f t="shared" si="28"/>
        <v>0</v>
      </c>
      <c r="I2044" s="325" t="s">
        <v>15214</v>
      </c>
    </row>
    <row r="2045" spans="1:9" x14ac:dyDescent="0.25">
      <c r="A2045" s="359">
        <v>42994</v>
      </c>
      <c r="B2045" s="326" t="s">
        <v>29800</v>
      </c>
      <c r="C2045" s="327">
        <v>127804</v>
      </c>
      <c r="D2045" s="391" t="s">
        <v>15315</v>
      </c>
      <c r="E2045" s="328">
        <v>1680.8</v>
      </c>
      <c r="F2045" s="329">
        <v>42994</v>
      </c>
      <c r="G2045" s="328">
        <v>1680.8</v>
      </c>
      <c r="H2045" s="347">
        <f t="shared" si="28"/>
        <v>0</v>
      </c>
      <c r="I2045" s="331" t="s">
        <v>15214</v>
      </c>
    </row>
    <row r="2046" spans="1:9" x14ac:dyDescent="0.25">
      <c r="A2046" s="319">
        <v>42994</v>
      </c>
      <c r="B2046" s="320" t="s">
        <v>29801</v>
      </c>
      <c r="C2046" s="321">
        <v>127805</v>
      </c>
      <c r="D2046" s="390" t="s">
        <v>15742</v>
      </c>
      <c r="E2046" s="322">
        <v>1739.5</v>
      </c>
      <c r="F2046" s="323">
        <v>42994</v>
      </c>
      <c r="G2046" s="322">
        <v>1739.5</v>
      </c>
      <c r="H2046" s="322">
        <f t="shared" si="28"/>
        <v>0</v>
      </c>
      <c r="I2046" s="325" t="s">
        <v>15214</v>
      </c>
    </row>
    <row r="2047" spans="1:9" x14ac:dyDescent="0.25">
      <c r="A2047" s="359">
        <v>42994</v>
      </c>
      <c r="B2047" s="326" t="s">
        <v>29802</v>
      </c>
      <c r="C2047" s="327">
        <v>127806</v>
      </c>
      <c r="D2047" s="391" t="s">
        <v>15324</v>
      </c>
      <c r="E2047" s="328">
        <v>1713</v>
      </c>
      <c r="F2047" s="329">
        <v>42994</v>
      </c>
      <c r="G2047" s="328">
        <v>1713</v>
      </c>
      <c r="H2047" s="347">
        <f t="shared" si="28"/>
        <v>0</v>
      </c>
      <c r="I2047" s="331" t="s">
        <v>15214</v>
      </c>
    </row>
    <row r="2048" spans="1:9" x14ac:dyDescent="0.25">
      <c r="A2048" s="319">
        <v>42994</v>
      </c>
      <c r="B2048" s="320" t="s">
        <v>29803</v>
      </c>
      <c r="C2048" s="321">
        <v>127807</v>
      </c>
      <c r="D2048" s="390" t="s">
        <v>15858</v>
      </c>
      <c r="E2048" s="322">
        <v>472.5</v>
      </c>
      <c r="F2048" s="323">
        <v>42994</v>
      </c>
      <c r="G2048" s="322">
        <v>472.5</v>
      </c>
      <c r="H2048" s="322">
        <f t="shared" si="28"/>
        <v>0</v>
      </c>
      <c r="I2048" s="325" t="s">
        <v>15214</v>
      </c>
    </row>
    <row r="2049" spans="1:9" x14ac:dyDescent="0.25">
      <c r="A2049" s="359">
        <v>42994</v>
      </c>
      <c r="B2049" s="326" t="s">
        <v>29804</v>
      </c>
      <c r="C2049" s="327">
        <v>127808</v>
      </c>
      <c r="D2049" s="391" t="s">
        <v>15438</v>
      </c>
      <c r="E2049" s="328">
        <v>8215.2000000000007</v>
      </c>
      <c r="F2049" s="329">
        <v>42994</v>
      </c>
      <c r="G2049" s="328">
        <v>8215.2000000000007</v>
      </c>
      <c r="H2049" s="347">
        <f t="shared" si="28"/>
        <v>0</v>
      </c>
      <c r="I2049" s="331" t="s">
        <v>15214</v>
      </c>
    </row>
    <row r="2050" spans="1:9" x14ac:dyDescent="0.25">
      <c r="A2050" s="319">
        <v>42994</v>
      </c>
      <c r="B2050" s="320" t="s">
        <v>29805</v>
      </c>
      <c r="C2050" s="321">
        <v>127809</v>
      </c>
      <c r="D2050" s="390" t="s">
        <v>15342</v>
      </c>
      <c r="E2050" s="322">
        <v>686.4</v>
      </c>
      <c r="F2050" s="323">
        <v>42994</v>
      </c>
      <c r="G2050" s="322">
        <v>686.4</v>
      </c>
      <c r="H2050" s="322">
        <f t="shared" si="28"/>
        <v>0</v>
      </c>
      <c r="I2050" s="325" t="s">
        <v>15214</v>
      </c>
    </row>
    <row r="2051" spans="1:9" x14ac:dyDescent="0.25">
      <c r="A2051" s="359">
        <v>42994</v>
      </c>
      <c r="B2051" s="326" t="s">
        <v>29806</v>
      </c>
      <c r="C2051" s="327">
        <v>127810</v>
      </c>
      <c r="D2051" s="391" t="s">
        <v>15530</v>
      </c>
      <c r="E2051" s="328">
        <v>6736.1</v>
      </c>
      <c r="F2051" s="329">
        <v>42994</v>
      </c>
      <c r="G2051" s="328">
        <v>6736.1</v>
      </c>
      <c r="H2051" s="347">
        <f t="shared" si="28"/>
        <v>0</v>
      </c>
      <c r="I2051" s="331" t="s">
        <v>15214</v>
      </c>
    </row>
    <row r="2052" spans="1:9" x14ac:dyDescent="0.25">
      <c r="A2052" s="319">
        <v>42994</v>
      </c>
      <c r="B2052" s="320" t="s">
        <v>29807</v>
      </c>
      <c r="C2052" s="321">
        <v>127811</v>
      </c>
      <c r="D2052" s="390" t="s">
        <v>15987</v>
      </c>
      <c r="E2052" s="322">
        <v>873.6</v>
      </c>
      <c r="F2052" s="323">
        <v>42994</v>
      </c>
      <c r="G2052" s="322">
        <v>873.6</v>
      </c>
      <c r="H2052" s="322">
        <f t="shared" si="28"/>
        <v>0</v>
      </c>
      <c r="I2052" s="325" t="s">
        <v>15214</v>
      </c>
    </row>
    <row r="2053" spans="1:9" x14ac:dyDescent="0.25">
      <c r="A2053" s="359">
        <v>42994</v>
      </c>
      <c r="B2053" s="326" t="s">
        <v>29808</v>
      </c>
      <c r="C2053" s="327">
        <v>127812</v>
      </c>
      <c r="D2053" s="391" t="s">
        <v>17210</v>
      </c>
      <c r="E2053" s="328">
        <v>12915</v>
      </c>
      <c r="F2053" s="329">
        <v>42994</v>
      </c>
      <c r="G2053" s="328">
        <v>12915</v>
      </c>
      <c r="H2053" s="347">
        <f t="shared" si="28"/>
        <v>0</v>
      </c>
      <c r="I2053" s="331" t="s">
        <v>15214</v>
      </c>
    </row>
    <row r="2054" spans="1:9" x14ac:dyDescent="0.25">
      <c r="A2054" s="319">
        <v>42994</v>
      </c>
      <c r="B2054" s="320" t="s">
        <v>29809</v>
      </c>
      <c r="C2054" s="321">
        <v>127813</v>
      </c>
      <c r="D2054" s="390" t="s">
        <v>15315</v>
      </c>
      <c r="E2054" s="322">
        <v>12292.8</v>
      </c>
      <c r="F2054" s="323">
        <v>42994</v>
      </c>
      <c r="G2054" s="322">
        <v>12292.8</v>
      </c>
      <c r="H2054" s="322">
        <f t="shared" si="28"/>
        <v>0</v>
      </c>
      <c r="I2054" s="325" t="s">
        <v>15214</v>
      </c>
    </row>
    <row r="2055" spans="1:9" x14ac:dyDescent="0.25">
      <c r="A2055" s="359">
        <v>42994</v>
      </c>
      <c r="B2055" s="326" t="s">
        <v>29810</v>
      </c>
      <c r="C2055" s="327">
        <v>127814</v>
      </c>
      <c r="D2055" s="391" t="s">
        <v>15716</v>
      </c>
      <c r="E2055" s="328">
        <v>14359.7</v>
      </c>
      <c r="F2055" s="329">
        <v>42994</v>
      </c>
      <c r="G2055" s="328">
        <v>14359.7</v>
      </c>
      <c r="H2055" s="347">
        <f t="shared" si="28"/>
        <v>0</v>
      </c>
      <c r="I2055" s="331" t="s">
        <v>15214</v>
      </c>
    </row>
    <row r="2056" spans="1:9" x14ac:dyDescent="0.25">
      <c r="A2056" s="319">
        <v>42994</v>
      </c>
      <c r="B2056" s="320" t="s">
        <v>29811</v>
      </c>
      <c r="C2056" s="321">
        <v>127815</v>
      </c>
      <c r="D2056" s="390" t="s">
        <v>15315</v>
      </c>
      <c r="E2056" s="322">
        <v>2971.8</v>
      </c>
      <c r="F2056" s="323">
        <v>42994</v>
      </c>
      <c r="G2056" s="322">
        <v>2971.8</v>
      </c>
      <c r="H2056" s="322">
        <f t="shared" si="28"/>
        <v>0</v>
      </c>
      <c r="I2056" s="325" t="s">
        <v>15214</v>
      </c>
    </row>
    <row r="2057" spans="1:9" x14ac:dyDescent="0.25">
      <c r="A2057" s="359">
        <v>42994</v>
      </c>
      <c r="B2057" s="326" t="s">
        <v>29812</v>
      </c>
      <c r="C2057" s="327">
        <v>127816</v>
      </c>
      <c r="D2057" s="391" t="s">
        <v>15706</v>
      </c>
      <c r="E2057" s="328">
        <v>2706.6</v>
      </c>
      <c r="F2057" s="329">
        <v>42994</v>
      </c>
      <c r="G2057" s="328">
        <v>2706.6</v>
      </c>
      <c r="H2057" s="347">
        <f t="shared" si="28"/>
        <v>0</v>
      </c>
      <c r="I2057" s="331" t="s">
        <v>15214</v>
      </c>
    </row>
    <row r="2058" spans="1:9" x14ac:dyDescent="0.25">
      <c r="A2058" s="319">
        <v>42994</v>
      </c>
      <c r="B2058" s="320" t="s">
        <v>29813</v>
      </c>
      <c r="C2058" s="321">
        <v>127817</v>
      </c>
      <c r="D2058" s="390" t="s">
        <v>15322</v>
      </c>
      <c r="E2058" s="322">
        <v>2979.6</v>
      </c>
      <c r="F2058" s="323">
        <v>42994</v>
      </c>
      <c r="G2058" s="322">
        <v>2979.6</v>
      </c>
      <c r="H2058" s="322">
        <f t="shared" si="28"/>
        <v>0</v>
      </c>
      <c r="I2058" s="325" t="s">
        <v>15214</v>
      </c>
    </row>
    <row r="2059" spans="1:9" x14ac:dyDescent="0.25">
      <c r="A2059" s="359">
        <v>42994</v>
      </c>
      <c r="B2059" s="326" t="s">
        <v>29814</v>
      </c>
      <c r="C2059" s="327">
        <v>127818</v>
      </c>
      <c r="D2059" s="391" t="s">
        <v>15315</v>
      </c>
      <c r="E2059" s="328">
        <v>33.6</v>
      </c>
      <c r="F2059" s="329">
        <v>42994</v>
      </c>
      <c r="G2059" s="328">
        <v>33.6</v>
      </c>
      <c r="H2059" s="347">
        <f t="shared" si="28"/>
        <v>0</v>
      </c>
      <c r="I2059" s="331" t="s">
        <v>15214</v>
      </c>
    </row>
    <row r="2060" spans="1:9" x14ac:dyDescent="0.25">
      <c r="A2060" s="319">
        <v>42994</v>
      </c>
      <c r="B2060" s="320" t="s">
        <v>29815</v>
      </c>
      <c r="C2060" s="321">
        <v>127819</v>
      </c>
      <c r="D2060" s="390" t="s">
        <v>15572</v>
      </c>
      <c r="E2060" s="322">
        <v>3836.12</v>
      </c>
      <c r="F2060" s="323">
        <v>42995</v>
      </c>
      <c r="G2060" s="322">
        <v>3836.12</v>
      </c>
      <c r="H2060" s="322">
        <f t="shared" si="28"/>
        <v>0</v>
      </c>
      <c r="I2060" s="325" t="s">
        <v>15214</v>
      </c>
    </row>
    <row r="2061" spans="1:9" x14ac:dyDescent="0.25">
      <c r="A2061" s="359">
        <v>42994</v>
      </c>
      <c r="B2061" s="326" t="s">
        <v>29816</v>
      </c>
      <c r="C2061" s="327">
        <v>127820</v>
      </c>
      <c r="D2061" s="391" t="s">
        <v>15378</v>
      </c>
      <c r="E2061" s="328">
        <v>5383.1</v>
      </c>
      <c r="F2061" s="329">
        <v>42994</v>
      </c>
      <c r="G2061" s="328">
        <v>5383.1</v>
      </c>
      <c r="H2061" s="347">
        <f t="shared" si="28"/>
        <v>0</v>
      </c>
      <c r="I2061" s="331" t="s">
        <v>15214</v>
      </c>
    </row>
    <row r="2062" spans="1:9" x14ac:dyDescent="0.25">
      <c r="A2062" s="319">
        <v>42994</v>
      </c>
      <c r="B2062" s="320" t="s">
        <v>29817</v>
      </c>
      <c r="C2062" s="321">
        <v>127821</v>
      </c>
      <c r="D2062" s="390" t="s">
        <v>15361</v>
      </c>
      <c r="E2062" s="322">
        <v>20166.7</v>
      </c>
      <c r="F2062" s="323">
        <v>42994</v>
      </c>
      <c r="G2062" s="322">
        <v>20166.7</v>
      </c>
      <c r="H2062" s="322">
        <f t="shared" si="28"/>
        <v>0</v>
      </c>
      <c r="I2062" s="325" t="s">
        <v>15214</v>
      </c>
    </row>
    <row r="2063" spans="1:9" x14ac:dyDescent="0.25">
      <c r="A2063" s="359">
        <v>42994</v>
      </c>
      <c r="B2063" s="326" t="s">
        <v>29818</v>
      </c>
      <c r="C2063" s="327">
        <v>127822</v>
      </c>
      <c r="D2063" s="391" t="s">
        <v>15276</v>
      </c>
      <c r="E2063" s="328">
        <v>5760</v>
      </c>
      <c r="F2063" s="329">
        <v>42995</v>
      </c>
      <c r="G2063" s="328">
        <v>5760</v>
      </c>
      <c r="H2063" s="347">
        <f t="shared" si="28"/>
        <v>0</v>
      </c>
      <c r="I2063" s="331" t="s">
        <v>15214</v>
      </c>
    </row>
    <row r="2064" spans="1:9" ht="15.75" x14ac:dyDescent="0.25">
      <c r="A2064" s="319">
        <v>42994</v>
      </c>
      <c r="B2064" s="320" t="s">
        <v>29819</v>
      </c>
      <c r="C2064" s="321">
        <v>127823</v>
      </c>
      <c r="D2064" s="332" t="s">
        <v>95</v>
      </c>
      <c r="E2064" s="322">
        <v>0</v>
      </c>
      <c r="F2064" s="333" t="s">
        <v>95</v>
      </c>
      <c r="G2064" s="322">
        <v>0</v>
      </c>
      <c r="H2064" s="322">
        <f t="shared" si="28"/>
        <v>0</v>
      </c>
      <c r="I2064" s="325" t="s">
        <v>95</v>
      </c>
    </row>
    <row r="2065" spans="1:9" x14ac:dyDescent="0.25">
      <c r="A2065" s="359">
        <v>42994</v>
      </c>
      <c r="B2065" s="326" t="s">
        <v>29820</v>
      </c>
      <c r="C2065" s="327">
        <v>127824</v>
      </c>
      <c r="D2065" s="391" t="s">
        <v>17708</v>
      </c>
      <c r="E2065" s="328">
        <v>8108.3</v>
      </c>
      <c r="F2065" s="329">
        <v>42994</v>
      </c>
      <c r="G2065" s="328">
        <v>8108.3</v>
      </c>
      <c r="H2065" s="347">
        <f t="shared" si="28"/>
        <v>0</v>
      </c>
      <c r="I2065" s="331" t="s">
        <v>15214</v>
      </c>
    </row>
    <row r="2066" spans="1:9" x14ac:dyDescent="0.25">
      <c r="A2066" s="319">
        <v>42994</v>
      </c>
      <c r="B2066" s="320" t="s">
        <v>29821</v>
      </c>
      <c r="C2066" s="321">
        <v>127825</v>
      </c>
      <c r="D2066" s="390" t="s">
        <v>15725</v>
      </c>
      <c r="E2066" s="322">
        <v>56200</v>
      </c>
      <c r="F2066" s="323">
        <v>42996</v>
      </c>
      <c r="G2066" s="322">
        <v>56200</v>
      </c>
      <c r="H2066" s="322">
        <f t="shared" si="28"/>
        <v>0</v>
      </c>
      <c r="I2066" s="325" t="s">
        <v>15214</v>
      </c>
    </row>
    <row r="2067" spans="1:9" x14ac:dyDescent="0.25">
      <c r="A2067" s="359">
        <v>42994</v>
      </c>
      <c r="B2067" s="326" t="s">
        <v>29822</v>
      </c>
      <c r="C2067" s="327">
        <v>127826</v>
      </c>
      <c r="D2067" s="391" t="s">
        <v>15930</v>
      </c>
      <c r="E2067" s="328">
        <v>858.8</v>
      </c>
      <c r="F2067" s="329">
        <v>42995</v>
      </c>
      <c r="G2067" s="328">
        <v>858.8</v>
      </c>
      <c r="H2067" s="347">
        <f t="shared" si="28"/>
        <v>0</v>
      </c>
      <c r="I2067" s="331" t="s">
        <v>15214</v>
      </c>
    </row>
    <row r="2068" spans="1:9" x14ac:dyDescent="0.25">
      <c r="A2068" s="319">
        <v>42994</v>
      </c>
      <c r="B2068" s="320" t="s">
        <v>29823</v>
      </c>
      <c r="C2068" s="321">
        <v>127827</v>
      </c>
      <c r="D2068" s="390" t="s">
        <v>28488</v>
      </c>
      <c r="E2068" s="322">
        <v>9987</v>
      </c>
      <c r="F2068" s="323">
        <v>42997</v>
      </c>
      <c r="G2068" s="322">
        <v>9987</v>
      </c>
      <c r="H2068" s="322">
        <f t="shared" si="28"/>
        <v>0</v>
      </c>
      <c r="I2068" s="325" t="s">
        <v>15214</v>
      </c>
    </row>
    <row r="2069" spans="1:9" x14ac:dyDescent="0.25">
      <c r="A2069" s="359">
        <v>42994</v>
      </c>
      <c r="B2069" s="326" t="s">
        <v>29824</v>
      </c>
      <c r="C2069" s="327">
        <v>127828</v>
      </c>
      <c r="D2069" s="391" t="s">
        <v>15263</v>
      </c>
      <c r="E2069" s="328">
        <v>1190.9000000000001</v>
      </c>
      <c r="F2069" s="329">
        <v>42994</v>
      </c>
      <c r="G2069" s="328">
        <v>1190.9000000000001</v>
      </c>
      <c r="H2069" s="347">
        <f t="shared" si="28"/>
        <v>0</v>
      </c>
      <c r="I2069" s="331" t="s">
        <v>15214</v>
      </c>
    </row>
    <row r="2070" spans="1:9" x14ac:dyDescent="0.25">
      <c r="A2070" s="319">
        <v>42994</v>
      </c>
      <c r="B2070" s="320" t="s">
        <v>29825</v>
      </c>
      <c r="C2070" s="321">
        <v>127829</v>
      </c>
      <c r="D2070" s="390" t="s">
        <v>15417</v>
      </c>
      <c r="E2070" s="322">
        <v>4916.2</v>
      </c>
      <c r="F2070" s="323">
        <v>42995</v>
      </c>
      <c r="G2070" s="322">
        <v>4916.2</v>
      </c>
      <c r="H2070" s="322">
        <f t="shared" si="28"/>
        <v>0</v>
      </c>
      <c r="I2070" s="325" t="s">
        <v>15214</v>
      </c>
    </row>
    <row r="2071" spans="1:9" x14ac:dyDescent="0.25">
      <c r="A2071" s="359">
        <v>42994</v>
      </c>
      <c r="B2071" s="326" t="s">
        <v>29826</v>
      </c>
      <c r="C2071" s="327">
        <v>127830</v>
      </c>
      <c r="D2071" s="391" t="s">
        <v>23937</v>
      </c>
      <c r="E2071" s="328">
        <v>2232.5</v>
      </c>
      <c r="F2071" s="329">
        <v>42994</v>
      </c>
      <c r="G2071" s="328">
        <v>2232.5</v>
      </c>
      <c r="H2071" s="347">
        <f t="shared" si="28"/>
        <v>0</v>
      </c>
      <c r="I2071" s="331" t="s">
        <v>15214</v>
      </c>
    </row>
    <row r="2072" spans="1:9" x14ac:dyDescent="0.25">
      <c r="A2072" s="319">
        <v>42994</v>
      </c>
      <c r="B2072" s="320" t="s">
        <v>29827</v>
      </c>
      <c r="C2072" s="321">
        <v>127831</v>
      </c>
      <c r="D2072" s="390" t="s">
        <v>15549</v>
      </c>
      <c r="E2072" s="322">
        <v>2421.8000000000002</v>
      </c>
      <c r="F2072" s="323">
        <v>42994</v>
      </c>
      <c r="G2072" s="322">
        <v>2421.8000000000002</v>
      </c>
      <c r="H2072" s="322">
        <f t="shared" si="28"/>
        <v>0</v>
      </c>
      <c r="I2072" s="325" t="s">
        <v>15214</v>
      </c>
    </row>
    <row r="2073" spans="1:9" x14ac:dyDescent="0.25">
      <c r="A2073" s="359">
        <v>42994</v>
      </c>
      <c r="B2073" s="326" t="s">
        <v>29828</v>
      </c>
      <c r="C2073" s="327">
        <v>127832</v>
      </c>
      <c r="D2073" s="391" t="s">
        <v>15549</v>
      </c>
      <c r="E2073" s="328">
        <v>1205.2</v>
      </c>
      <c r="F2073" s="329">
        <v>42994</v>
      </c>
      <c r="G2073" s="328">
        <v>1205.2</v>
      </c>
      <c r="H2073" s="347">
        <f t="shared" si="28"/>
        <v>0</v>
      </c>
      <c r="I2073" s="331" t="s">
        <v>15214</v>
      </c>
    </row>
    <row r="2074" spans="1:9" x14ac:dyDescent="0.25">
      <c r="A2074" s="319">
        <v>42994</v>
      </c>
      <c r="B2074" s="320" t="s">
        <v>29829</v>
      </c>
      <c r="C2074" s="321">
        <v>127833</v>
      </c>
      <c r="D2074" s="390" t="s">
        <v>19768</v>
      </c>
      <c r="E2074" s="322">
        <v>1440</v>
      </c>
      <c r="F2074" s="323">
        <v>42994</v>
      </c>
      <c r="G2074" s="322">
        <v>1440</v>
      </c>
      <c r="H2074" s="322">
        <f t="shared" si="28"/>
        <v>0</v>
      </c>
      <c r="I2074" s="325" t="s">
        <v>15214</v>
      </c>
    </row>
    <row r="2075" spans="1:9" x14ac:dyDescent="0.25">
      <c r="A2075" s="359">
        <v>42994</v>
      </c>
      <c r="B2075" s="326" t="s">
        <v>29830</v>
      </c>
      <c r="C2075" s="327">
        <v>127834</v>
      </c>
      <c r="D2075" s="391" t="s">
        <v>15228</v>
      </c>
      <c r="E2075" s="328">
        <v>5203.3999999999996</v>
      </c>
      <c r="F2075" s="329">
        <v>42994</v>
      </c>
      <c r="G2075" s="328">
        <v>5203.3999999999996</v>
      </c>
      <c r="H2075" s="347">
        <f t="shared" si="28"/>
        <v>0</v>
      </c>
      <c r="I2075" s="331" t="s">
        <v>15214</v>
      </c>
    </row>
    <row r="2076" spans="1:9" x14ac:dyDescent="0.25">
      <c r="A2076" s="319">
        <v>42994</v>
      </c>
      <c r="B2076" s="320" t="s">
        <v>29831</v>
      </c>
      <c r="C2076" s="321">
        <v>127835</v>
      </c>
      <c r="D2076" s="390" t="s">
        <v>15213</v>
      </c>
      <c r="E2076" s="322">
        <v>5587.2</v>
      </c>
      <c r="F2076" s="323">
        <v>42998</v>
      </c>
      <c r="G2076" s="322">
        <v>5587.2</v>
      </c>
      <c r="H2076" s="322">
        <f t="shared" si="28"/>
        <v>0</v>
      </c>
      <c r="I2076" s="325" t="s">
        <v>15214</v>
      </c>
    </row>
    <row r="2077" spans="1:9" x14ac:dyDescent="0.25">
      <c r="A2077" s="359">
        <v>42994</v>
      </c>
      <c r="B2077" s="326" t="s">
        <v>29832</v>
      </c>
      <c r="C2077" s="327">
        <v>127836</v>
      </c>
      <c r="D2077" s="391" t="s">
        <v>15789</v>
      </c>
      <c r="E2077" s="328">
        <v>32461</v>
      </c>
      <c r="F2077" s="329">
        <v>43001</v>
      </c>
      <c r="G2077" s="328">
        <v>32461</v>
      </c>
      <c r="H2077" s="347">
        <f t="shared" si="28"/>
        <v>0</v>
      </c>
      <c r="I2077" s="331" t="s">
        <v>15214</v>
      </c>
    </row>
    <row r="2078" spans="1:9" x14ac:dyDescent="0.25">
      <c r="A2078" s="319">
        <v>42994</v>
      </c>
      <c r="B2078" s="320" t="s">
        <v>29833</v>
      </c>
      <c r="C2078" s="321">
        <v>127837</v>
      </c>
      <c r="D2078" s="390" t="s">
        <v>15246</v>
      </c>
      <c r="E2078" s="322">
        <v>33497.800000000003</v>
      </c>
      <c r="F2078" s="323">
        <v>42999</v>
      </c>
      <c r="G2078" s="322">
        <v>33497.800000000003</v>
      </c>
      <c r="H2078" s="322">
        <f t="shared" si="28"/>
        <v>0</v>
      </c>
      <c r="I2078" s="325" t="s">
        <v>15214</v>
      </c>
    </row>
    <row r="2079" spans="1:9" x14ac:dyDescent="0.25">
      <c r="A2079" s="359">
        <v>42994</v>
      </c>
      <c r="B2079" s="326" t="s">
        <v>29834</v>
      </c>
      <c r="C2079" s="327">
        <v>127838</v>
      </c>
      <c r="D2079" s="391" t="s">
        <v>15433</v>
      </c>
      <c r="E2079" s="328">
        <v>801</v>
      </c>
      <c r="F2079" s="329">
        <v>42994</v>
      </c>
      <c r="G2079" s="328">
        <v>801</v>
      </c>
      <c r="H2079" s="347">
        <f t="shared" si="28"/>
        <v>0</v>
      </c>
      <c r="I2079" s="331" t="s">
        <v>15214</v>
      </c>
    </row>
    <row r="2080" spans="1:9" ht="30" x14ac:dyDescent="0.25">
      <c r="A2080" s="319">
        <v>42994</v>
      </c>
      <c r="B2080" s="320" t="s">
        <v>29835</v>
      </c>
      <c r="C2080" s="321">
        <v>127839</v>
      </c>
      <c r="D2080" s="390" t="s">
        <v>15624</v>
      </c>
      <c r="E2080" s="322">
        <v>32202</v>
      </c>
      <c r="F2080" s="323" t="s">
        <v>29836</v>
      </c>
      <c r="G2080" s="334">
        <f>10000+22202</f>
        <v>32202</v>
      </c>
      <c r="H2080" s="334">
        <f t="shared" si="28"/>
        <v>0</v>
      </c>
      <c r="I2080" s="325" t="s">
        <v>15214</v>
      </c>
    </row>
    <row r="2081" spans="1:9" ht="30" x14ac:dyDescent="0.25">
      <c r="A2081" s="359">
        <v>42994</v>
      </c>
      <c r="B2081" s="326" t="s">
        <v>29837</v>
      </c>
      <c r="C2081" s="327">
        <v>127840</v>
      </c>
      <c r="D2081" s="391" t="s">
        <v>15407</v>
      </c>
      <c r="E2081" s="328">
        <v>3903.6</v>
      </c>
      <c r="F2081" s="329" t="s">
        <v>29838</v>
      </c>
      <c r="G2081" s="347">
        <f>3500+403.6</f>
        <v>3903.6</v>
      </c>
      <c r="H2081" s="347">
        <f t="shared" si="28"/>
        <v>0</v>
      </c>
      <c r="I2081" s="331" t="s">
        <v>15214</v>
      </c>
    </row>
    <row r="2082" spans="1:9" x14ac:dyDescent="0.25">
      <c r="A2082" s="319">
        <v>42994</v>
      </c>
      <c r="B2082" s="320" t="s">
        <v>29839</v>
      </c>
      <c r="C2082" s="321">
        <v>127841</v>
      </c>
      <c r="D2082" s="390" t="s">
        <v>5873</v>
      </c>
      <c r="E2082" s="322">
        <v>32124.560000000001</v>
      </c>
      <c r="F2082" s="323">
        <v>42999</v>
      </c>
      <c r="G2082" s="322">
        <v>32124.560000000001</v>
      </c>
      <c r="H2082" s="322">
        <f t="shared" si="28"/>
        <v>0</v>
      </c>
      <c r="I2082" s="325" t="s">
        <v>15214</v>
      </c>
    </row>
    <row r="2083" spans="1:9" x14ac:dyDescent="0.25">
      <c r="A2083" s="359">
        <v>42994</v>
      </c>
      <c r="B2083" s="326" t="s">
        <v>29840</v>
      </c>
      <c r="C2083" s="327">
        <v>127842</v>
      </c>
      <c r="D2083" s="391" t="s">
        <v>15391</v>
      </c>
      <c r="E2083" s="328">
        <v>10582</v>
      </c>
      <c r="F2083" s="329">
        <v>42996</v>
      </c>
      <c r="G2083" s="328">
        <v>10582</v>
      </c>
      <c r="H2083" s="347">
        <f t="shared" si="28"/>
        <v>0</v>
      </c>
      <c r="I2083" s="331" t="s">
        <v>15214</v>
      </c>
    </row>
    <row r="2084" spans="1:9" x14ac:dyDescent="0.25">
      <c r="A2084" s="319">
        <v>42994</v>
      </c>
      <c r="B2084" s="320" t="s">
        <v>29841</v>
      </c>
      <c r="C2084" s="321">
        <v>127843</v>
      </c>
      <c r="D2084" s="390" t="s">
        <v>15642</v>
      </c>
      <c r="E2084" s="322">
        <v>8183.7</v>
      </c>
      <c r="F2084" s="323">
        <v>42994</v>
      </c>
      <c r="G2084" s="322">
        <v>8183.7</v>
      </c>
      <c r="H2084" s="322">
        <f t="shared" si="28"/>
        <v>0</v>
      </c>
      <c r="I2084" s="325" t="s">
        <v>15214</v>
      </c>
    </row>
    <row r="2085" spans="1:9" x14ac:dyDescent="0.25">
      <c r="A2085" s="359">
        <v>42994</v>
      </c>
      <c r="B2085" s="326" t="s">
        <v>29842</v>
      </c>
      <c r="C2085" s="327">
        <v>127844</v>
      </c>
      <c r="D2085" s="391" t="s">
        <v>15322</v>
      </c>
      <c r="E2085" s="328">
        <v>2553.6</v>
      </c>
      <c r="F2085" s="329">
        <v>42998</v>
      </c>
      <c r="G2085" s="328">
        <v>2553.6</v>
      </c>
      <c r="H2085" s="347">
        <f t="shared" si="28"/>
        <v>0</v>
      </c>
      <c r="I2085" s="331" t="s">
        <v>15214</v>
      </c>
    </row>
    <row r="2086" spans="1:9" x14ac:dyDescent="0.25">
      <c r="A2086" s="319">
        <v>42994</v>
      </c>
      <c r="B2086" s="320" t="s">
        <v>29843</v>
      </c>
      <c r="C2086" s="321">
        <v>127845</v>
      </c>
      <c r="D2086" s="390" t="s">
        <v>15541</v>
      </c>
      <c r="E2086" s="322">
        <v>1658.2</v>
      </c>
      <c r="F2086" s="323">
        <v>42995</v>
      </c>
      <c r="G2086" s="322">
        <v>1658.2</v>
      </c>
      <c r="H2086" s="322">
        <f t="shared" si="28"/>
        <v>0</v>
      </c>
      <c r="I2086" s="325" t="s">
        <v>15214</v>
      </c>
    </row>
    <row r="2087" spans="1:9" x14ac:dyDescent="0.25">
      <c r="A2087" s="359">
        <v>42994</v>
      </c>
      <c r="B2087" s="326" t="s">
        <v>29844</v>
      </c>
      <c r="C2087" s="327">
        <v>127846</v>
      </c>
      <c r="D2087" s="391" t="s">
        <v>15315</v>
      </c>
      <c r="E2087" s="328">
        <v>23501.4</v>
      </c>
      <c r="F2087" s="329">
        <v>42995</v>
      </c>
      <c r="G2087" s="328">
        <v>23501.4</v>
      </c>
      <c r="H2087" s="347">
        <f t="shared" si="28"/>
        <v>0</v>
      </c>
      <c r="I2087" s="331" t="s">
        <v>15214</v>
      </c>
    </row>
    <row r="2088" spans="1:9" x14ac:dyDescent="0.25">
      <c r="A2088" s="319">
        <v>42995</v>
      </c>
      <c r="B2088" s="320" t="s">
        <v>29845</v>
      </c>
      <c r="C2088" s="321">
        <v>127847</v>
      </c>
      <c r="D2088" s="390" t="s">
        <v>15681</v>
      </c>
      <c r="E2088" s="322">
        <v>2409.6</v>
      </c>
      <c r="F2088" s="323">
        <v>42995</v>
      </c>
      <c r="G2088" s="322">
        <v>2409.6</v>
      </c>
      <c r="H2088" s="322">
        <f t="shared" si="28"/>
        <v>0</v>
      </c>
      <c r="I2088" s="325" t="s">
        <v>15214</v>
      </c>
    </row>
    <row r="2089" spans="1:9" x14ac:dyDescent="0.25">
      <c r="A2089" s="359">
        <v>42995</v>
      </c>
      <c r="B2089" s="326" t="s">
        <v>29846</v>
      </c>
      <c r="C2089" s="327">
        <v>127848</v>
      </c>
      <c r="D2089" s="391" t="s">
        <v>17462</v>
      </c>
      <c r="E2089" s="328">
        <v>10206.9</v>
      </c>
      <c r="F2089" s="329">
        <v>42995</v>
      </c>
      <c r="G2089" s="328">
        <v>10206.9</v>
      </c>
      <c r="H2089" s="347">
        <f t="shared" si="28"/>
        <v>0</v>
      </c>
      <c r="I2089" s="331" t="s">
        <v>15214</v>
      </c>
    </row>
    <row r="2090" spans="1:9" x14ac:dyDescent="0.25">
      <c r="A2090" s="319">
        <v>42995</v>
      </c>
      <c r="B2090" s="320" t="s">
        <v>29847</v>
      </c>
      <c r="C2090" s="321">
        <v>127849</v>
      </c>
      <c r="D2090" s="390" t="s">
        <v>15242</v>
      </c>
      <c r="E2090" s="322">
        <v>7263</v>
      </c>
      <c r="F2090" s="323">
        <v>42996</v>
      </c>
      <c r="G2090" s="322">
        <v>7263</v>
      </c>
      <c r="H2090" s="322">
        <f t="shared" si="28"/>
        <v>0</v>
      </c>
      <c r="I2090" s="325" t="s">
        <v>15214</v>
      </c>
    </row>
    <row r="2091" spans="1:9" x14ac:dyDescent="0.25">
      <c r="A2091" s="359">
        <v>42995</v>
      </c>
      <c r="B2091" s="326" t="s">
        <v>29848</v>
      </c>
      <c r="C2091" s="327">
        <v>127850</v>
      </c>
      <c r="D2091" s="391" t="s">
        <v>15668</v>
      </c>
      <c r="E2091" s="328">
        <v>8465.6</v>
      </c>
      <c r="F2091" s="329">
        <v>42998</v>
      </c>
      <c r="G2091" s="328">
        <v>8465.6</v>
      </c>
      <c r="H2091" s="347">
        <f t="shared" si="28"/>
        <v>0</v>
      </c>
      <c r="I2091" s="331" t="s">
        <v>15214</v>
      </c>
    </row>
    <row r="2092" spans="1:9" x14ac:dyDescent="0.25">
      <c r="A2092" s="319">
        <v>42995</v>
      </c>
      <c r="B2092" s="320" t="s">
        <v>29849</v>
      </c>
      <c r="C2092" s="321">
        <v>127851</v>
      </c>
      <c r="D2092" s="390" t="s">
        <v>15272</v>
      </c>
      <c r="E2092" s="322">
        <v>24923.9</v>
      </c>
      <c r="F2092" s="323">
        <v>42995</v>
      </c>
      <c r="G2092" s="322">
        <v>24923.9</v>
      </c>
      <c r="H2092" s="322">
        <f t="shared" si="28"/>
        <v>0</v>
      </c>
      <c r="I2092" s="325" t="s">
        <v>15214</v>
      </c>
    </row>
    <row r="2093" spans="1:9" x14ac:dyDescent="0.25">
      <c r="A2093" s="359">
        <v>42995</v>
      </c>
      <c r="B2093" s="326" t="s">
        <v>29850</v>
      </c>
      <c r="C2093" s="327">
        <v>127852</v>
      </c>
      <c r="D2093" s="391" t="s">
        <v>15668</v>
      </c>
      <c r="E2093" s="328">
        <v>19210.2</v>
      </c>
      <c r="F2093" s="329">
        <v>42998</v>
      </c>
      <c r="G2093" s="328">
        <v>19210.2</v>
      </c>
      <c r="H2093" s="347">
        <f t="shared" si="28"/>
        <v>0</v>
      </c>
      <c r="I2093" s="331" t="s">
        <v>15214</v>
      </c>
    </row>
    <row r="2094" spans="1:9" x14ac:dyDescent="0.25">
      <c r="A2094" s="319">
        <v>42995</v>
      </c>
      <c r="B2094" s="320" t="s">
        <v>29851</v>
      </c>
      <c r="C2094" s="321">
        <v>127853</v>
      </c>
      <c r="D2094" s="390" t="s">
        <v>16249</v>
      </c>
      <c r="E2094" s="322">
        <v>2733.7</v>
      </c>
      <c r="F2094" s="323">
        <v>42995</v>
      </c>
      <c r="G2094" s="322">
        <v>2733.7</v>
      </c>
      <c r="H2094" s="322">
        <f t="shared" si="28"/>
        <v>0</v>
      </c>
      <c r="I2094" s="325" t="s">
        <v>15214</v>
      </c>
    </row>
    <row r="2095" spans="1:9" x14ac:dyDescent="0.25">
      <c r="A2095" s="359">
        <v>42995</v>
      </c>
      <c r="B2095" s="326" t="s">
        <v>29852</v>
      </c>
      <c r="C2095" s="327">
        <v>127854</v>
      </c>
      <c r="D2095" s="391" t="s">
        <v>19302</v>
      </c>
      <c r="E2095" s="328">
        <v>1440</v>
      </c>
      <c r="F2095" s="329">
        <v>42996</v>
      </c>
      <c r="G2095" s="328">
        <v>1440</v>
      </c>
      <c r="H2095" s="347">
        <f t="shared" si="28"/>
        <v>0</v>
      </c>
      <c r="I2095" s="331" t="s">
        <v>15214</v>
      </c>
    </row>
    <row r="2096" spans="1:9" x14ac:dyDescent="0.25">
      <c r="A2096" s="319">
        <v>42995</v>
      </c>
      <c r="B2096" s="320" t="s">
        <v>29853</v>
      </c>
      <c r="C2096" s="321">
        <v>127855</v>
      </c>
      <c r="D2096" s="390" t="s">
        <v>15220</v>
      </c>
      <c r="E2096" s="322">
        <v>5040</v>
      </c>
      <c r="F2096" s="323">
        <v>42996</v>
      </c>
      <c r="G2096" s="322">
        <v>5040</v>
      </c>
      <c r="H2096" s="322">
        <f t="shared" si="28"/>
        <v>0</v>
      </c>
      <c r="I2096" s="325" t="s">
        <v>15214</v>
      </c>
    </row>
    <row r="2097" spans="1:9" x14ac:dyDescent="0.25">
      <c r="A2097" s="359">
        <v>42995</v>
      </c>
      <c r="B2097" s="326" t="s">
        <v>29854</v>
      </c>
      <c r="C2097" s="327">
        <v>127856</v>
      </c>
      <c r="D2097" s="391" t="s">
        <v>15352</v>
      </c>
      <c r="E2097" s="328">
        <v>438.4</v>
      </c>
      <c r="F2097" s="329">
        <v>42995</v>
      </c>
      <c r="G2097" s="328">
        <v>438.4</v>
      </c>
      <c r="H2097" s="347">
        <f t="shared" ref="H2097:H2160" si="29">E2097-G2097</f>
        <v>0</v>
      </c>
      <c r="I2097" s="331" t="s">
        <v>15214</v>
      </c>
    </row>
    <row r="2098" spans="1:9" x14ac:dyDescent="0.25">
      <c r="A2098" s="319">
        <v>42995</v>
      </c>
      <c r="B2098" s="320" t="s">
        <v>29855</v>
      </c>
      <c r="C2098" s="321">
        <v>127857</v>
      </c>
      <c r="D2098" s="390" t="s">
        <v>15365</v>
      </c>
      <c r="E2098" s="322">
        <v>12502.08</v>
      </c>
      <c r="F2098" s="323">
        <v>42999</v>
      </c>
      <c r="G2098" s="322">
        <v>12502.08</v>
      </c>
      <c r="H2098" s="322">
        <f t="shared" si="29"/>
        <v>0</v>
      </c>
      <c r="I2098" s="325" t="s">
        <v>15214</v>
      </c>
    </row>
    <row r="2099" spans="1:9" x14ac:dyDescent="0.25">
      <c r="A2099" s="359">
        <v>42995</v>
      </c>
      <c r="B2099" s="326" t="s">
        <v>29856</v>
      </c>
      <c r="C2099" s="327">
        <v>127858</v>
      </c>
      <c r="D2099" s="391" t="s">
        <v>15324</v>
      </c>
      <c r="E2099" s="328">
        <v>1713</v>
      </c>
      <c r="F2099" s="329">
        <v>42996</v>
      </c>
      <c r="G2099" s="328">
        <v>1713</v>
      </c>
      <c r="H2099" s="347">
        <f t="shared" si="29"/>
        <v>0</v>
      </c>
      <c r="I2099" s="331" t="s">
        <v>15214</v>
      </c>
    </row>
    <row r="2100" spans="1:9" x14ac:dyDescent="0.25">
      <c r="A2100" s="319">
        <v>42995</v>
      </c>
      <c r="B2100" s="320" t="s">
        <v>29857</v>
      </c>
      <c r="C2100" s="321">
        <v>127859</v>
      </c>
      <c r="D2100" s="390" t="s">
        <v>15223</v>
      </c>
      <c r="E2100" s="322">
        <v>45162</v>
      </c>
      <c r="F2100" s="323">
        <v>43019</v>
      </c>
      <c r="G2100" s="322">
        <v>45162</v>
      </c>
      <c r="H2100" s="322">
        <f t="shared" si="29"/>
        <v>0</v>
      </c>
      <c r="I2100" s="325" t="s">
        <v>15214</v>
      </c>
    </row>
    <row r="2101" spans="1:9" x14ac:dyDescent="0.25">
      <c r="A2101" s="359">
        <v>42995</v>
      </c>
      <c r="B2101" s="326" t="s">
        <v>29858</v>
      </c>
      <c r="C2101" s="327">
        <v>127860</v>
      </c>
      <c r="D2101" s="391" t="s">
        <v>15407</v>
      </c>
      <c r="E2101" s="328">
        <v>5618.7</v>
      </c>
      <c r="F2101" s="329">
        <v>42995</v>
      </c>
      <c r="G2101" s="328">
        <v>5618.7</v>
      </c>
      <c r="H2101" s="347">
        <f t="shared" si="29"/>
        <v>0</v>
      </c>
      <c r="I2101" s="331" t="s">
        <v>15214</v>
      </c>
    </row>
    <row r="2102" spans="1:9" ht="30" x14ac:dyDescent="0.25">
      <c r="A2102" s="319">
        <v>42995</v>
      </c>
      <c r="B2102" s="320" t="s">
        <v>29859</v>
      </c>
      <c r="C2102" s="321">
        <v>127861</v>
      </c>
      <c r="D2102" s="390" t="s">
        <v>15385</v>
      </c>
      <c r="E2102" s="322">
        <v>7730</v>
      </c>
      <c r="F2102" s="323" t="s">
        <v>29860</v>
      </c>
      <c r="G2102" s="334">
        <f>4000+3730</f>
        <v>7730</v>
      </c>
      <c r="H2102" s="334">
        <f t="shared" si="29"/>
        <v>0</v>
      </c>
      <c r="I2102" s="325" t="s">
        <v>15214</v>
      </c>
    </row>
    <row r="2103" spans="1:9" x14ac:dyDescent="0.25">
      <c r="A2103" s="359">
        <v>42995</v>
      </c>
      <c r="B2103" s="326" t="s">
        <v>29861</v>
      </c>
      <c r="C2103" s="327">
        <v>127862</v>
      </c>
      <c r="D2103" s="391" t="s">
        <v>15510</v>
      </c>
      <c r="E2103" s="328">
        <v>13972.8</v>
      </c>
      <c r="F2103" s="329">
        <v>42995</v>
      </c>
      <c r="G2103" s="328">
        <v>13972.8</v>
      </c>
      <c r="H2103" s="347">
        <f t="shared" si="29"/>
        <v>0</v>
      </c>
      <c r="I2103" s="331" t="s">
        <v>15214</v>
      </c>
    </row>
    <row r="2104" spans="1:9" x14ac:dyDescent="0.25">
      <c r="A2104" s="319">
        <v>42995</v>
      </c>
      <c r="B2104" s="320" t="s">
        <v>29862</v>
      </c>
      <c r="C2104" s="321">
        <v>127863</v>
      </c>
      <c r="D2104" s="390" t="s">
        <v>15261</v>
      </c>
      <c r="E2104" s="322">
        <v>5604.3</v>
      </c>
      <c r="F2104" s="323">
        <v>42995</v>
      </c>
      <c r="G2104" s="322">
        <v>5604.3</v>
      </c>
      <c r="H2104" s="322">
        <f t="shared" si="29"/>
        <v>0</v>
      </c>
      <c r="I2104" s="325" t="s">
        <v>15214</v>
      </c>
    </row>
    <row r="2105" spans="1:9" x14ac:dyDescent="0.25">
      <c r="A2105" s="359">
        <v>42995</v>
      </c>
      <c r="B2105" s="326" t="s">
        <v>29863</v>
      </c>
      <c r="C2105" s="327">
        <v>127864</v>
      </c>
      <c r="D2105" s="391" t="s">
        <v>16023</v>
      </c>
      <c r="E2105" s="328">
        <v>1008.8</v>
      </c>
      <c r="F2105" s="329">
        <v>42995</v>
      </c>
      <c r="G2105" s="328">
        <v>1008.8</v>
      </c>
      <c r="H2105" s="347">
        <f t="shared" si="29"/>
        <v>0</v>
      </c>
      <c r="I2105" s="331" t="s">
        <v>15214</v>
      </c>
    </row>
    <row r="2106" spans="1:9" x14ac:dyDescent="0.25">
      <c r="A2106" s="319">
        <v>42995</v>
      </c>
      <c r="B2106" s="320" t="s">
        <v>29864</v>
      </c>
      <c r="C2106" s="321">
        <v>127865</v>
      </c>
      <c r="D2106" s="390" t="s">
        <v>15261</v>
      </c>
      <c r="E2106" s="322">
        <v>13672.5</v>
      </c>
      <c r="F2106" s="323">
        <v>42995</v>
      </c>
      <c r="G2106" s="322">
        <v>13672.5</v>
      </c>
      <c r="H2106" s="322">
        <f t="shared" si="29"/>
        <v>0</v>
      </c>
      <c r="I2106" s="325" t="s">
        <v>15214</v>
      </c>
    </row>
    <row r="2107" spans="1:9" x14ac:dyDescent="0.25">
      <c r="A2107" s="359">
        <v>42995</v>
      </c>
      <c r="B2107" s="326" t="s">
        <v>29865</v>
      </c>
      <c r="C2107" s="327">
        <v>127866</v>
      </c>
      <c r="D2107" s="391" t="s">
        <v>15280</v>
      </c>
      <c r="E2107" s="328">
        <v>510.6</v>
      </c>
      <c r="F2107" s="329">
        <v>42995</v>
      </c>
      <c r="G2107" s="328">
        <v>510.6</v>
      </c>
      <c r="H2107" s="347">
        <f t="shared" si="29"/>
        <v>0</v>
      </c>
      <c r="I2107" s="331" t="s">
        <v>15214</v>
      </c>
    </row>
    <row r="2108" spans="1:9" x14ac:dyDescent="0.25">
      <c r="A2108" s="319">
        <v>42995</v>
      </c>
      <c r="B2108" s="320" t="s">
        <v>29866</v>
      </c>
      <c r="C2108" s="321">
        <v>127867</v>
      </c>
      <c r="D2108" s="390" t="s">
        <v>15562</v>
      </c>
      <c r="E2108" s="322">
        <v>3116.4</v>
      </c>
      <c r="F2108" s="323">
        <v>42995</v>
      </c>
      <c r="G2108" s="322">
        <v>3116.4</v>
      </c>
      <c r="H2108" s="322">
        <f t="shared" si="29"/>
        <v>0</v>
      </c>
      <c r="I2108" s="325" t="s">
        <v>15214</v>
      </c>
    </row>
    <row r="2109" spans="1:9" x14ac:dyDescent="0.25">
      <c r="A2109" s="359">
        <v>42995</v>
      </c>
      <c r="B2109" s="326" t="s">
        <v>29867</v>
      </c>
      <c r="C2109" s="327">
        <v>127868</v>
      </c>
      <c r="D2109" s="391" t="s">
        <v>15280</v>
      </c>
      <c r="E2109" s="328">
        <v>3700</v>
      </c>
      <c r="F2109" s="329">
        <v>42995</v>
      </c>
      <c r="G2109" s="328">
        <v>3700</v>
      </c>
      <c r="H2109" s="347">
        <f t="shared" si="29"/>
        <v>0</v>
      </c>
      <c r="I2109" s="331" t="s">
        <v>15214</v>
      </c>
    </row>
    <row r="2110" spans="1:9" x14ac:dyDescent="0.25">
      <c r="A2110" s="319">
        <v>42995</v>
      </c>
      <c r="B2110" s="320" t="s">
        <v>29868</v>
      </c>
      <c r="C2110" s="321">
        <v>127869</v>
      </c>
      <c r="D2110" s="390" t="s">
        <v>15263</v>
      </c>
      <c r="E2110" s="322">
        <v>2074.8000000000002</v>
      </c>
      <c r="F2110" s="323">
        <v>42995</v>
      </c>
      <c r="G2110" s="322">
        <v>2074.8000000000002</v>
      </c>
      <c r="H2110" s="322">
        <f t="shared" si="29"/>
        <v>0</v>
      </c>
      <c r="I2110" s="325" t="s">
        <v>15214</v>
      </c>
    </row>
    <row r="2111" spans="1:9" x14ac:dyDescent="0.25">
      <c r="A2111" s="359">
        <v>42995</v>
      </c>
      <c r="B2111" s="326" t="s">
        <v>29869</v>
      </c>
      <c r="C2111" s="327">
        <v>127870</v>
      </c>
      <c r="D2111" s="391" t="s">
        <v>15248</v>
      </c>
      <c r="E2111" s="328">
        <v>24619.919999999998</v>
      </c>
      <c r="F2111" s="329">
        <v>42995</v>
      </c>
      <c r="G2111" s="328">
        <v>24619.919999999998</v>
      </c>
      <c r="H2111" s="347">
        <f t="shared" si="29"/>
        <v>0</v>
      </c>
      <c r="I2111" s="331" t="s">
        <v>15214</v>
      </c>
    </row>
    <row r="2112" spans="1:9" x14ac:dyDescent="0.25">
      <c r="A2112" s="319">
        <v>42995</v>
      </c>
      <c r="B2112" s="320" t="s">
        <v>29870</v>
      </c>
      <c r="C2112" s="321">
        <v>127871</v>
      </c>
      <c r="D2112" s="390" t="s">
        <v>15315</v>
      </c>
      <c r="E2112" s="322">
        <v>3325.2</v>
      </c>
      <c r="F2112" s="323">
        <v>42995</v>
      </c>
      <c r="G2112" s="322">
        <v>3325.2</v>
      </c>
      <c r="H2112" s="322">
        <f t="shared" si="29"/>
        <v>0</v>
      </c>
      <c r="I2112" s="325" t="s">
        <v>15214</v>
      </c>
    </row>
    <row r="2113" spans="1:9" x14ac:dyDescent="0.25">
      <c r="A2113" s="359">
        <v>42995</v>
      </c>
      <c r="B2113" s="326" t="s">
        <v>29871</v>
      </c>
      <c r="C2113" s="327">
        <v>127872</v>
      </c>
      <c r="D2113" s="391" t="s">
        <v>15706</v>
      </c>
      <c r="E2113" s="328">
        <v>2417.4</v>
      </c>
      <c r="F2113" s="329">
        <v>42995</v>
      </c>
      <c r="G2113" s="328">
        <v>2417.4</v>
      </c>
      <c r="H2113" s="347">
        <f t="shared" si="29"/>
        <v>0</v>
      </c>
      <c r="I2113" s="331" t="s">
        <v>15214</v>
      </c>
    </row>
    <row r="2114" spans="1:9" x14ac:dyDescent="0.25">
      <c r="A2114" s="319">
        <v>42995</v>
      </c>
      <c r="B2114" s="320" t="s">
        <v>29872</v>
      </c>
      <c r="C2114" s="321">
        <v>127873</v>
      </c>
      <c r="D2114" s="390" t="s">
        <v>15315</v>
      </c>
      <c r="E2114" s="322">
        <v>2763.6</v>
      </c>
      <c r="F2114" s="323">
        <v>42995</v>
      </c>
      <c r="G2114" s="322">
        <v>2763.6</v>
      </c>
      <c r="H2114" s="322">
        <f t="shared" si="29"/>
        <v>0</v>
      </c>
      <c r="I2114" s="325" t="s">
        <v>15214</v>
      </c>
    </row>
    <row r="2115" spans="1:9" x14ac:dyDescent="0.25">
      <c r="A2115" s="359">
        <v>42995</v>
      </c>
      <c r="B2115" s="326" t="s">
        <v>29873</v>
      </c>
      <c r="C2115" s="327">
        <v>127874</v>
      </c>
      <c r="D2115" s="391" t="s">
        <v>15340</v>
      </c>
      <c r="E2115" s="328">
        <v>9776.1</v>
      </c>
      <c r="F2115" s="329">
        <v>42995</v>
      </c>
      <c r="G2115" s="328">
        <v>9776.1</v>
      </c>
      <c r="H2115" s="347">
        <f t="shared" si="29"/>
        <v>0</v>
      </c>
      <c r="I2115" s="331" t="s">
        <v>15214</v>
      </c>
    </row>
    <row r="2116" spans="1:9" x14ac:dyDescent="0.25">
      <c r="A2116" s="319">
        <v>42995</v>
      </c>
      <c r="B2116" s="320" t="s">
        <v>29874</v>
      </c>
      <c r="C2116" s="321">
        <v>127875</v>
      </c>
      <c r="D2116" s="390" t="s">
        <v>15378</v>
      </c>
      <c r="E2116" s="322">
        <v>2263</v>
      </c>
      <c r="F2116" s="323">
        <v>42995</v>
      </c>
      <c r="G2116" s="322">
        <v>2263</v>
      </c>
      <c r="H2116" s="322">
        <f t="shared" si="29"/>
        <v>0</v>
      </c>
      <c r="I2116" s="325" t="s">
        <v>15214</v>
      </c>
    </row>
    <row r="2117" spans="1:9" x14ac:dyDescent="0.25">
      <c r="A2117" s="359">
        <v>42995</v>
      </c>
      <c r="B2117" s="326" t="s">
        <v>29875</v>
      </c>
      <c r="C2117" s="327">
        <v>127876</v>
      </c>
      <c r="D2117" s="391" t="s">
        <v>15254</v>
      </c>
      <c r="E2117" s="328">
        <v>11046.74</v>
      </c>
      <c r="F2117" s="329">
        <v>42997</v>
      </c>
      <c r="G2117" s="328">
        <v>11046.74</v>
      </c>
      <c r="H2117" s="347">
        <f t="shared" si="29"/>
        <v>0</v>
      </c>
      <c r="I2117" s="331" t="s">
        <v>15214</v>
      </c>
    </row>
    <row r="2118" spans="1:9" x14ac:dyDescent="0.25">
      <c r="A2118" s="319">
        <v>42995</v>
      </c>
      <c r="B2118" s="320" t="s">
        <v>29876</v>
      </c>
      <c r="C2118" s="321">
        <v>127877</v>
      </c>
      <c r="D2118" s="390" t="s">
        <v>15252</v>
      </c>
      <c r="E2118" s="322">
        <v>1747.6</v>
      </c>
      <c r="F2118" s="323">
        <v>42996</v>
      </c>
      <c r="G2118" s="322">
        <v>1747.6</v>
      </c>
      <c r="H2118" s="322">
        <f t="shared" si="29"/>
        <v>0</v>
      </c>
      <c r="I2118" s="325" t="s">
        <v>15214</v>
      </c>
    </row>
    <row r="2119" spans="1:9" x14ac:dyDescent="0.25">
      <c r="A2119" s="359">
        <v>42995</v>
      </c>
      <c r="B2119" s="326" t="s">
        <v>29877</v>
      </c>
      <c r="C2119" s="327">
        <v>127878</v>
      </c>
      <c r="D2119" s="391" t="s">
        <v>15244</v>
      </c>
      <c r="E2119" s="328">
        <v>11915.5</v>
      </c>
      <c r="F2119" s="329">
        <v>42997</v>
      </c>
      <c r="G2119" s="328">
        <v>11915.5</v>
      </c>
      <c r="H2119" s="347">
        <f t="shared" si="29"/>
        <v>0</v>
      </c>
      <c r="I2119" s="331" t="s">
        <v>15214</v>
      </c>
    </row>
    <row r="2120" spans="1:9" x14ac:dyDescent="0.25">
      <c r="A2120" s="319">
        <v>42995</v>
      </c>
      <c r="B2120" s="320" t="s">
        <v>29878</v>
      </c>
      <c r="C2120" s="321">
        <v>127879</v>
      </c>
      <c r="D2120" s="390" t="s">
        <v>15530</v>
      </c>
      <c r="E2120" s="322">
        <v>3264</v>
      </c>
      <c r="F2120" s="323">
        <v>42995</v>
      </c>
      <c r="G2120" s="322">
        <v>3264</v>
      </c>
      <c r="H2120" s="322">
        <f t="shared" si="29"/>
        <v>0</v>
      </c>
      <c r="I2120" s="325" t="s">
        <v>15214</v>
      </c>
    </row>
    <row r="2121" spans="1:9" x14ac:dyDescent="0.25">
      <c r="A2121" s="359">
        <v>42995</v>
      </c>
      <c r="B2121" s="326" t="s">
        <v>29879</v>
      </c>
      <c r="C2121" s="327">
        <v>127880</v>
      </c>
      <c r="D2121" s="391" t="s">
        <v>23937</v>
      </c>
      <c r="E2121" s="328">
        <v>3475.2</v>
      </c>
      <c r="F2121" s="329">
        <v>42996</v>
      </c>
      <c r="G2121" s="328">
        <v>3475.2</v>
      </c>
      <c r="H2121" s="347">
        <f t="shared" si="29"/>
        <v>0</v>
      </c>
      <c r="I2121" s="331" t="s">
        <v>15214</v>
      </c>
    </row>
    <row r="2122" spans="1:9" x14ac:dyDescent="0.25">
      <c r="A2122" s="319">
        <v>42995</v>
      </c>
      <c r="B2122" s="320" t="s">
        <v>29880</v>
      </c>
      <c r="C2122" s="321">
        <v>127881</v>
      </c>
      <c r="D2122" s="390" t="s">
        <v>15334</v>
      </c>
      <c r="E2122" s="322">
        <v>1752</v>
      </c>
      <c r="F2122" s="323">
        <v>42995</v>
      </c>
      <c r="G2122" s="322">
        <v>1752</v>
      </c>
      <c r="H2122" s="322">
        <f t="shared" si="29"/>
        <v>0</v>
      </c>
      <c r="I2122" s="325" t="s">
        <v>15214</v>
      </c>
    </row>
    <row r="2123" spans="1:9" x14ac:dyDescent="0.25">
      <c r="A2123" s="359">
        <v>42995</v>
      </c>
      <c r="B2123" s="326" t="s">
        <v>29881</v>
      </c>
      <c r="C2123" s="327">
        <v>127882</v>
      </c>
      <c r="D2123" s="391" t="s">
        <v>15523</v>
      </c>
      <c r="E2123" s="328">
        <v>3840</v>
      </c>
      <c r="F2123" s="329">
        <v>42995</v>
      </c>
      <c r="G2123" s="328">
        <v>3840</v>
      </c>
      <c r="H2123" s="347">
        <f t="shared" si="29"/>
        <v>0</v>
      </c>
      <c r="I2123" s="331" t="s">
        <v>15214</v>
      </c>
    </row>
    <row r="2124" spans="1:9" x14ac:dyDescent="0.25">
      <c r="A2124" s="319">
        <v>42995</v>
      </c>
      <c r="B2124" s="320" t="s">
        <v>29882</v>
      </c>
      <c r="C2124" s="321">
        <v>127883</v>
      </c>
      <c r="D2124" s="390" t="s">
        <v>15336</v>
      </c>
      <c r="E2124" s="322">
        <v>2002.2</v>
      </c>
      <c r="F2124" s="323">
        <v>42995</v>
      </c>
      <c r="G2124" s="322">
        <v>2002.2</v>
      </c>
      <c r="H2124" s="322">
        <f t="shared" si="29"/>
        <v>0</v>
      </c>
      <c r="I2124" s="325" t="s">
        <v>15214</v>
      </c>
    </row>
    <row r="2125" spans="1:9" x14ac:dyDescent="0.25">
      <c r="A2125" s="359">
        <v>42995</v>
      </c>
      <c r="B2125" s="326" t="s">
        <v>29883</v>
      </c>
      <c r="C2125" s="327">
        <v>127884</v>
      </c>
      <c r="D2125" s="391" t="s">
        <v>15358</v>
      </c>
      <c r="E2125" s="328">
        <v>803.7</v>
      </c>
      <c r="F2125" s="329">
        <v>42995</v>
      </c>
      <c r="G2125" s="328">
        <v>803.7</v>
      </c>
      <c r="H2125" s="347">
        <f t="shared" si="29"/>
        <v>0</v>
      </c>
      <c r="I2125" s="331" t="s">
        <v>15214</v>
      </c>
    </row>
    <row r="2126" spans="1:9" x14ac:dyDescent="0.25">
      <c r="A2126" s="319">
        <v>42995</v>
      </c>
      <c r="B2126" s="320" t="s">
        <v>29884</v>
      </c>
      <c r="C2126" s="321">
        <v>127885</v>
      </c>
      <c r="D2126" s="390" t="s">
        <v>15526</v>
      </c>
      <c r="E2126" s="322">
        <v>5992.4</v>
      </c>
      <c r="F2126" s="323">
        <v>42995</v>
      </c>
      <c r="G2126" s="322">
        <v>5992.4</v>
      </c>
      <c r="H2126" s="322">
        <f t="shared" si="29"/>
        <v>0</v>
      </c>
      <c r="I2126" s="325" t="s">
        <v>15214</v>
      </c>
    </row>
    <row r="2127" spans="1:9" x14ac:dyDescent="0.25">
      <c r="A2127" s="359">
        <v>42995</v>
      </c>
      <c r="B2127" s="326" t="s">
        <v>29885</v>
      </c>
      <c r="C2127" s="327">
        <v>127886</v>
      </c>
      <c r="D2127" s="391" t="s">
        <v>15401</v>
      </c>
      <c r="E2127" s="328">
        <v>2730</v>
      </c>
      <c r="F2127" s="329">
        <v>42995</v>
      </c>
      <c r="G2127" s="328">
        <v>2730</v>
      </c>
      <c r="H2127" s="347">
        <f t="shared" si="29"/>
        <v>0</v>
      </c>
      <c r="I2127" s="331" t="s">
        <v>15214</v>
      </c>
    </row>
    <row r="2128" spans="1:9" x14ac:dyDescent="0.25">
      <c r="A2128" s="319">
        <v>42995</v>
      </c>
      <c r="B2128" s="320" t="s">
        <v>29886</v>
      </c>
      <c r="C2128" s="321">
        <v>127887</v>
      </c>
      <c r="D2128" s="390" t="s">
        <v>15332</v>
      </c>
      <c r="E2128" s="322">
        <v>3296.2</v>
      </c>
      <c r="F2128" s="323">
        <v>42995</v>
      </c>
      <c r="G2128" s="322">
        <v>3296.2</v>
      </c>
      <c r="H2128" s="322">
        <f t="shared" si="29"/>
        <v>0</v>
      </c>
      <c r="I2128" s="325" t="s">
        <v>15214</v>
      </c>
    </row>
    <row r="2129" spans="1:9" ht="30" x14ac:dyDescent="0.25">
      <c r="A2129" s="359">
        <v>42995</v>
      </c>
      <c r="B2129" s="326" t="s">
        <v>29887</v>
      </c>
      <c r="C2129" s="327">
        <v>127888</v>
      </c>
      <c r="D2129" s="391" t="s">
        <v>15407</v>
      </c>
      <c r="E2129" s="328">
        <v>9781.6</v>
      </c>
      <c r="F2129" s="329" t="s">
        <v>29888</v>
      </c>
      <c r="G2129" s="347">
        <f>8800+981.6</f>
        <v>9781.6</v>
      </c>
      <c r="H2129" s="347">
        <f t="shared" si="29"/>
        <v>0</v>
      </c>
      <c r="I2129" s="331" t="s">
        <v>15214</v>
      </c>
    </row>
    <row r="2130" spans="1:9" x14ac:dyDescent="0.25">
      <c r="A2130" s="319">
        <v>42995</v>
      </c>
      <c r="B2130" s="320" t="s">
        <v>29889</v>
      </c>
      <c r="C2130" s="321">
        <v>127889</v>
      </c>
      <c r="D2130" s="390" t="s">
        <v>15284</v>
      </c>
      <c r="E2130" s="322">
        <v>1148</v>
      </c>
      <c r="F2130" s="323">
        <v>42995</v>
      </c>
      <c r="G2130" s="322">
        <v>1148</v>
      </c>
      <c r="H2130" s="322">
        <f t="shared" si="29"/>
        <v>0</v>
      </c>
      <c r="I2130" s="325" t="s">
        <v>15214</v>
      </c>
    </row>
    <row r="2131" spans="1:9" x14ac:dyDescent="0.25">
      <c r="A2131" s="359">
        <v>42995</v>
      </c>
      <c r="B2131" s="326" t="s">
        <v>29890</v>
      </c>
      <c r="C2131" s="327">
        <v>127890</v>
      </c>
      <c r="D2131" s="391" t="s">
        <v>15577</v>
      </c>
      <c r="E2131" s="328">
        <v>414</v>
      </c>
      <c r="F2131" s="329">
        <v>42995</v>
      </c>
      <c r="G2131" s="328">
        <v>414</v>
      </c>
      <c r="H2131" s="347">
        <f t="shared" si="29"/>
        <v>0</v>
      </c>
      <c r="I2131" s="331" t="s">
        <v>15214</v>
      </c>
    </row>
    <row r="2132" spans="1:9" x14ac:dyDescent="0.25">
      <c r="A2132" s="319">
        <v>42995</v>
      </c>
      <c r="B2132" s="320" t="s">
        <v>29891</v>
      </c>
      <c r="C2132" s="321">
        <v>127891</v>
      </c>
      <c r="D2132" s="390" t="s">
        <v>15398</v>
      </c>
      <c r="E2132" s="322">
        <v>4289.8</v>
      </c>
      <c r="F2132" s="323">
        <v>42995</v>
      </c>
      <c r="G2132" s="322">
        <v>4289.8</v>
      </c>
      <c r="H2132" s="322">
        <f t="shared" si="29"/>
        <v>0</v>
      </c>
      <c r="I2132" s="325" t="s">
        <v>15214</v>
      </c>
    </row>
    <row r="2133" spans="1:9" x14ac:dyDescent="0.25">
      <c r="A2133" s="359">
        <v>42995</v>
      </c>
      <c r="B2133" s="326" t="s">
        <v>29892</v>
      </c>
      <c r="C2133" s="327">
        <v>127892</v>
      </c>
      <c r="D2133" s="391" t="s">
        <v>15315</v>
      </c>
      <c r="E2133" s="328">
        <v>475.2</v>
      </c>
      <c r="F2133" s="329">
        <v>42995</v>
      </c>
      <c r="G2133" s="328">
        <v>475.2</v>
      </c>
      <c r="H2133" s="347">
        <f t="shared" si="29"/>
        <v>0</v>
      </c>
      <c r="I2133" s="331" t="s">
        <v>15214</v>
      </c>
    </row>
    <row r="2134" spans="1:9" x14ac:dyDescent="0.25">
      <c r="A2134" s="319">
        <v>42995</v>
      </c>
      <c r="B2134" s="320" t="s">
        <v>29893</v>
      </c>
      <c r="C2134" s="321">
        <v>127893</v>
      </c>
      <c r="D2134" s="390" t="s">
        <v>15315</v>
      </c>
      <c r="E2134" s="322">
        <v>526.79999999999995</v>
      </c>
      <c r="F2134" s="323">
        <v>42995</v>
      </c>
      <c r="G2134" s="322">
        <v>526.79999999999995</v>
      </c>
      <c r="H2134" s="322">
        <f t="shared" si="29"/>
        <v>0</v>
      </c>
      <c r="I2134" s="325" t="s">
        <v>15214</v>
      </c>
    </row>
    <row r="2135" spans="1:9" x14ac:dyDescent="0.25">
      <c r="A2135" s="359">
        <v>42995</v>
      </c>
      <c r="B2135" s="326" t="s">
        <v>29894</v>
      </c>
      <c r="C2135" s="327">
        <v>127894</v>
      </c>
      <c r="D2135" s="391" t="s">
        <v>15265</v>
      </c>
      <c r="E2135" s="328">
        <v>2680</v>
      </c>
      <c r="F2135" s="329">
        <v>42996</v>
      </c>
      <c r="G2135" s="328">
        <v>2680</v>
      </c>
      <c r="H2135" s="347">
        <f t="shared" si="29"/>
        <v>0</v>
      </c>
      <c r="I2135" s="331" t="s">
        <v>15214</v>
      </c>
    </row>
    <row r="2136" spans="1:9" x14ac:dyDescent="0.25">
      <c r="A2136" s="319">
        <v>42995</v>
      </c>
      <c r="B2136" s="320" t="s">
        <v>29895</v>
      </c>
      <c r="C2136" s="321">
        <v>127895</v>
      </c>
      <c r="D2136" s="390" t="s">
        <v>15320</v>
      </c>
      <c r="E2136" s="322">
        <v>3174</v>
      </c>
      <c r="F2136" s="323">
        <v>42996</v>
      </c>
      <c r="G2136" s="322">
        <v>3174</v>
      </c>
      <c r="H2136" s="322">
        <f t="shared" si="29"/>
        <v>0</v>
      </c>
      <c r="I2136" s="325" t="s">
        <v>15214</v>
      </c>
    </row>
    <row r="2137" spans="1:9" x14ac:dyDescent="0.25">
      <c r="A2137" s="359">
        <v>42995</v>
      </c>
      <c r="B2137" s="326" t="s">
        <v>29896</v>
      </c>
      <c r="C2137" s="327">
        <v>127896</v>
      </c>
      <c r="D2137" s="391" t="s">
        <v>16313</v>
      </c>
      <c r="E2137" s="328">
        <v>4887.7</v>
      </c>
      <c r="F2137" s="329">
        <v>42996</v>
      </c>
      <c r="G2137" s="328">
        <v>4887.7</v>
      </c>
      <c r="H2137" s="347">
        <f t="shared" si="29"/>
        <v>0</v>
      </c>
      <c r="I2137" s="331" t="s">
        <v>15214</v>
      </c>
    </row>
    <row r="2138" spans="1:9" x14ac:dyDescent="0.25">
      <c r="A2138" s="319">
        <v>42995</v>
      </c>
      <c r="B2138" s="320" t="s">
        <v>29897</v>
      </c>
      <c r="C2138" s="321">
        <v>127897</v>
      </c>
      <c r="D2138" s="390" t="s">
        <v>15326</v>
      </c>
      <c r="E2138" s="322">
        <v>4019.4</v>
      </c>
      <c r="F2138" s="323">
        <v>42995</v>
      </c>
      <c r="G2138" s="322">
        <v>4019.4</v>
      </c>
      <c r="H2138" s="322">
        <f t="shared" si="29"/>
        <v>0</v>
      </c>
      <c r="I2138" s="325" t="s">
        <v>15214</v>
      </c>
    </row>
    <row r="2139" spans="1:9" x14ac:dyDescent="0.25">
      <c r="A2139" s="359">
        <v>42995</v>
      </c>
      <c r="B2139" s="326" t="s">
        <v>29898</v>
      </c>
      <c r="C2139" s="327">
        <v>127898</v>
      </c>
      <c r="D2139" s="391" t="s">
        <v>15282</v>
      </c>
      <c r="E2139" s="328">
        <v>3439.9</v>
      </c>
      <c r="F2139" s="329">
        <v>42995</v>
      </c>
      <c r="G2139" s="328">
        <v>3439.9</v>
      </c>
      <c r="H2139" s="347">
        <f t="shared" si="29"/>
        <v>0</v>
      </c>
      <c r="I2139" s="331" t="s">
        <v>15214</v>
      </c>
    </row>
    <row r="2140" spans="1:9" x14ac:dyDescent="0.25">
      <c r="A2140" s="319">
        <v>42995</v>
      </c>
      <c r="B2140" s="320" t="s">
        <v>29899</v>
      </c>
      <c r="C2140" s="321">
        <v>127899</v>
      </c>
      <c r="D2140" s="390" t="s">
        <v>15725</v>
      </c>
      <c r="E2140" s="322">
        <v>6487.2</v>
      </c>
      <c r="F2140" s="323">
        <v>42998</v>
      </c>
      <c r="G2140" s="322">
        <v>6487.2</v>
      </c>
      <c r="H2140" s="322">
        <f t="shared" si="29"/>
        <v>0</v>
      </c>
      <c r="I2140" s="325" t="s">
        <v>15214</v>
      </c>
    </row>
    <row r="2141" spans="1:9" x14ac:dyDescent="0.25">
      <c r="A2141" s="359">
        <v>42995</v>
      </c>
      <c r="B2141" s="326" t="s">
        <v>29900</v>
      </c>
      <c r="C2141" s="327">
        <v>127900</v>
      </c>
      <c r="D2141" s="391" t="s">
        <v>19768</v>
      </c>
      <c r="E2141" s="328">
        <v>1440</v>
      </c>
      <c r="F2141" s="329">
        <v>42995</v>
      </c>
      <c r="G2141" s="328">
        <v>1440</v>
      </c>
      <c r="H2141" s="347">
        <f t="shared" si="29"/>
        <v>0</v>
      </c>
      <c r="I2141" s="331" t="s">
        <v>15214</v>
      </c>
    </row>
    <row r="2142" spans="1:9" x14ac:dyDescent="0.25">
      <c r="A2142" s="319">
        <v>42995</v>
      </c>
      <c r="B2142" s="320" t="s">
        <v>29901</v>
      </c>
      <c r="C2142" s="321">
        <v>127901</v>
      </c>
      <c r="D2142" s="390" t="s">
        <v>15391</v>
      </c>
      <c r="E2142" s="322">
        <v>9649.6</v>
      </c>
      <c r="F2142" s="323">
        <v>42996</v>
      </c>
      <c r="G2142" s="322">
        <v>9649.6</v>
      </c>
      <c r="H2142" s="322">
        <f t="shared" si="29"/>
        <v>0</v>
      </c>
      <c r="I2142" s="325" t="s">
        <v>15214</v>
      </c>
    </row>
    <row r="2143" spans="1:9" x14ac:dyDescent="0.25">
      <c r="A2143" s="359">
        <v>42995</v>
      </c>
      <c r="B2143" s="326" t="s">
        <v>29902</v>
      </c>
      <c r="C2143" s="327">
        <v>127902</v>
      </c>
      <c r="D2143" s="391" t="s">
        <v>15568</v>
      </c>
      <c r="E2143" s="328">
        <v>15359.8</v>
      </c>
      <c r="F2143" s="329">
        <v>42996</v>
      </c>
      <c r="G2143" s="328">
        <v>15359.8</v>
      </c>
      <c r="H2143" s="347">
        <f t="shared" si="29"/>
        <v>0</v>
      </c>
      <c r="I2143" s="331" t="s">
        <v>15214</v>
      </c>
    </row>
    <row r="2144" spans="1:9" x14ac:dyDescent="0.25">
      <c r="A2144" s="319">
        <v>42995</v>
      </c>
      <c r="B2144" s="320" t="s">
        <v>29903</v>
      </c>
      <c r="C2144" s="321">
        <v>127903</v>
      </c>
      <c r="D2144" s="390" t="s">
        <v>15590</v>
      </c>
      <c r="E2144" s="322">
        <v>25704</v>
      </c>
      <c r="F2144" s="323">
        <v>42998</v>
      </c>
      <c r="G2144" s="322">
        <v>25704</v>
      </c>
      <c r="H2144" s="322">
        <f t="shared" si="29"/>
        <v>0</v>
      </c>
      <c r="I2144" s="325" t="s">
        <v>15214</v>
      </c>
    </row>
    <row r="2145" spans="1:9" x14ac:dyDescent="0.25">
      <c r="A2145" s="359">
        <v>42995</v>
      </c>
      <c r="B2145" s="326" t="s">
        <v>29904</v>
      </c>
      <c r="C2145" s="327">
        <v>127904</v>
      </c>
      <c r="D2145" s="391" t="s">
        <v>19776</v>
      </c>
      <c r="E2145" s="328">
        <v>5062.3999999999996</v>
      </c>
      <c r="F2145" s="329">
        <v>42996</v>
      </c>
      <c r="G2145" s="328">
        <v>5062.3999999999996</v>
      </c>
      <c r="H2145" s="347">
        <f t="shared" si="29"/>
        <v>0</v>
      </c>
      <c r="I2145" s="331" t="s">
        <v>15214</v>
      </c>
    </row>
    <row r="2146" spans="1:9" x14ac:dyDescent="0.25">
      <c r="A2146" s="319">
        <v>42995</v>
      </c>
      <c r="B2146" s="320" t="s">
        <v>29905</v>
      </c>
      <c r="C2146" s="321">
        <v>127905</v>
      </c>
      <c r="D2146" s="390" t="s">
        <v>16286</v>
      </c>
      <c r="E2146" s="322">
        <v>4075.2</v>
      </c>
      <c r="F2146" s="323">
        <v>42995</v>
      </c>
      <c r="G2146" s="322">
        <v>4075.2</v>
      </c>
      <c r="H2146" s="322">
        <f t="shared" si="29"/>
        <v>0</v>
      </c>
      <c r="I2146" s="325" t="s">
        <v>15214</v>
      </c>
    </row>
    <row r="2147" spans="1:9" x14ac:dyDescent="0.25">
      <c r="A2147" s="359">
        <v>42995</v>
      </c>
      <c r="B2147" s="326" t="s">
        <v>29906</v>
      </c>
      <c r="C2147" s="327">
        <v>127906</v>
      </c>
      <c r="D2147" s="391" t="s">
        <v>17462</v>
      </c>
      <c r="E2147" s="328">
        <v>2453.1</v>
      </c>
      <c r="F2147" s="329">
        <v>42995</v>
      </c>
      <c r="G2147" s="328">
        <v>2453.1</v>
      </c>
      <c r="H2147" s="347">
        <f t="shared" si="29"/>
        <v>0</v>
      </c>
      <c r="I2147" s="331" t="s">
        <v>15214</v>
      </c>
    </row>
    <row r="2148" spans="1:9" x14ac:dyDescent="0.25">
      <c r="A2148" s="319">
        <v>42995</v>
      </c>
      <c r="B2148" s="320" t="s">
        <v>29907</v>
      </c>
      <c r="C2148" s="321">
        <v>127907</v>
      </c>
      <c r="D2148" s="390" t="s">
        <v>19699</v>
      </c>
      <c r="E2148" s="322">
        <v>1440</v>
      </c>
      <c r="F2148" s="323">
        <v>42995</v>
      </c>
      <c r="G2148" s="322">
        <v>1440</v>
      </c>
      <c r="H2148" s="322">
        <f t="shared" si="29"/>
        <v>0</v>
      </c>
      <c r="I2148" s="325" t="s">
        <v>15214</v>
      </c>
    </row>
    <row r="2149" spans="1:9" x14ac:dyDescent="0.25">
      <c r="A2149" s="359">
        <v>42995</v>
      </c>
      <c r="B2149" s="326" t="s">
        <v>29908</v>
      </c>
      <c r="C2149" s="327">
        <v>127908</v>
      </c>
      <c r="D2149" s="391" t="s">
        <v>19699</v>
      </c>
      <c r="E2149" s="328">
        <v>1596</v>
      </c>
      <c r="F2149" s="329">
        <v>42995</v>
      </c>
      <c r="G2149" s="328">
        <v>1596</v>
      </c>
      <c r="H2149" s="347">
        <f t="shared" si="29"/>
        <v>0</v>
      </c>
      <c r="I2149" s="331" t="s">
        <v>15214</v>
      </c>
    </row>
    <row r="2150" spans="1:9" x14ac:dyDescent="0.25">
      <c r="A2150" s="319">
        <v>42995</v>
      </c>
      <c r="B2150" s="320" t="s">
        <v>29909</v>
      </c>
      <c r="C2150" s="321">
        <v>127909</v>
      </c>
      <c r="D2150" s="390" t="s">
        <v>15246</v>
      </c>
      <c r="E2150" s="322">
        <v>3692.4</v>
      </c>
      <c r="F2150" s="323">
        <v>42999</v>
      </c>
      <c r="G2150" s="322">
        <v>3692.4</v>
      </c>
      <c r="H2150" s="322">
        <f t="shared" si="29"/>
        <v>0</v>
      </c>
      <c r="I2150" s="325" t="s">
        <v>15214</v>
      </c>
    </row>
    <row r="2151" spans="1:9" x14ac:dyDescent="0.25">
      <c r="A2151" s="359">
        <v>42995</v>
      </c>
      <c r="B2151" s="326" t="s">
        <v>29910</v>
      </c>
      <c r="C2151" s="327">
        <v>127910</v>
      </c>
      <c r="D2151" s="391" t="s">
        <v>15328</v>
      </c>
      <c r="E2151" s="328">
        <v>109642.76</v>
      </c>
      <c r="F2151" s="329">
        <v>43001</v>
      </c>
      <c r="G2151" s="328">
        <v>109642.76</v>
      </c>
      <c r="H2151" s="347">
        <f t="shared" si="29"/>
        <v>0</v>
      </c>
      <c r="I2151" s="331" t="s">
        <v>15214</v>
      </c>
    </row>
    <row r="2152" spans="1:9" x14ac:dyDescent="0.25">
      <c r="A2152" s="319">
        <v>42995</v>
      </c>
      <c r="B2152" s="320" t="s">
        <v>29911</v>
      </c>
      <c r="C2152" s="321">
        <v>127911</v>
      </c>
      <c r="D2152" s="390" t="s">
        <v>17462</v>
      </c>
      <c r="E2152" s="322">
        <v>3438.5</v>
      </c>
      <c r="F2152" s="323">
        <v>42995</v>
      </c>
      <c r="G2152" s="322">
        <v>3438.5</v>
      </c>
      <c r="H2152" s="322">
        <f t="shared" si="29"/>
        <v>0</v>
      </c>
      <c r="I2152" s="325" t="s">
        <v>15214</v>
      </c>
    </row>
    <row r="2153" spans="1:9" x14ac:dyDescent="0.25">
      <c r="A2153" s="359">
        <v>42995</v>
      </c>
      <c r="B2153" s="326" t="s">
        <v>29912</v>
      </c>
      <c r="C2153" s="327">
        <v>127912</v>
      </c>
      <c r="D2153" s="391" t="s">
        <v>15628</v>
      </c>
      <c r="E2153" s="328">
        <v>4116.5</v>
      </c>
      <c r="F2153" s="329">
        <v>42995</v>
      </c>
      <c r="G2153" s="328">
        <v>4116.5</v>
      </c>
      <c r="H2153" s="347">
        <f t="shared" si="29"/>
        <v>0</v>
      </c>
      <c r="I2153" s="331" t="s">
        <v>15214</v>
      </c>
    </row>
    <row r="2154" spans="1:9" x14ac:dyDescent="0.25">
      <c r="A2154" s="319">
        <v>42995</v>
      </c>
      <c r="B2154" s="320" t="s">
        <v>29913</v>
      </c>
      <c r="C2154" s="321">
        <v>127913</v>
      </c>
      <c r="D2154" s="390" t="s">
        <v>19680</v>
      </c>
      <c r="E2154" s="322">
        <v>380</v>
      </c>
      <c r="F2154" s="323">
        <v>42998</v>
      </c>
      <c r="G2154" s="322">
        <v>380</v>
      </c>
      <c r="H2154" s="322">
        <f t="shared" si="29"/>
        <v>0</v>
      </c>
      <c r="I2154" s="325" t="s">
        <v>15214</v>
      </c>
    </row>
    <row r="2155" spans="1:9" x14ac:dyDescent="0.25">
      <c r="A2155" s="359">
        <v>42995</v>
      </c>
      <c r="B2155" s="326" t="s">
        <v>29914</v>
      </c>
      <c r="C2155" s="327">
        <v>127914</v>
      </c>
      <c r="D2155" s="391" t="s">
        <v>15435</v>
      </c>
      <c r="E2155" s="328">
        <v>8895.7999999999993</v>
      </c>
      <c r="F2155" s="329">
        <v>42995</v>
      </c>
      <c r="G2155" s="328">
        <v>8895.7999999999993</v>
      </c>
      <c r="H2155" s="347">
        <f t="shared" si="29"/>
        <v>0</v>
      </c>
      <c r="I2155" s="331" t="s">
        <v>15214</v>
      </c>
    </row>
    <row r="2156" spans="1:9" x14ac:dyDescent="0.25">
      <c r="A2156" s="319">
        <v>42995</v>
      </c>
      <c r="B2156" s="320" t="s">
        <v>29915</v>
      </c>
      <c r="C2156" s="321">
        <v>127915</v>
      </c>
      <c r="D2156" s="390" t="s">
        <v>15577</v>
      </c>
      <c r="E2156" s="322">
        <v>866.4</v>
      </c>
      <c r="F2156" s="323">
        <v>42995</v>
      </c>
      <c r="G2156" s="322">
        <v>866.4</v>
      </c>
      <c r="H2156" s="322">
        <f t="shared" si="29"/>
        <v>0</v>
      </c>
      <c r="I2156" s="325" t="s">
        <v>15214</v>
      </c>
    </row>
    <row r="2157" spans="1:9" x14ac:dyDescent="0.25">
      <c r="A2157" s="359">
        <v>42995</v>
      </c>
      <c r="B2157" s="326" t="s">
        <v>29916</v>
      </c>
      <c r="C2157" s="327">
        <v>127916</v>
      </c>
      <c r="D2157" s="391" t="s">
        <v>15322</v>
      </c>
      <c r="E2157" s="328">
        <v>580.79999999999995</v>
      </c>
      <c r="F2157" s="329">
        <v>42995</v>
      </c>
      <c r="G2157" s="328">
        <v>580.79999999999995</v>
      </c>
      <c r="H2157" s="347">
        <f t="shared" si="29"/>
        <v>0</v>
      </c>
      <c r="I2157" s="331" t="s">
        <v>15214</v>
      </c>
    </row>
    <row r="2158" spans="1:9" x14ac:dyDescent="0.25">
      <c r="A2158" s="319">
        <v>42995</v>
      </c>
      <c r="B2158" s="320" t="s">
        <v>29917</v>
      </c>
      <c r="C2158" s="321">
        <v>127917</v>
      </c>
      <c r="D2158" s="390" t="s">
        <v>15644</v>
      </c>
      <c r="E2158" s="322">
        <v>3870</v>
      </c>
      <c r="F2158" s="323">
        <v>42996</v>
      </c>
      <c r="G2158" s="322">
        <v>3870</v>
      </c>
      <c r="H2158" s="322">
        <f t="shared" si="29"/>
        <v>0</v>
      </c>
      <c r="I2158" s="325" t="s">
        <v>15214</v>
      </c>
    </row>
    <row r="2159" spans="1:9" x14ac:dyDescent="0.25">
      <c r="A2159" s="359">
        <v>42996</v>
      </c>
      <c r="B2159" s="326" t="s">
        <v>29918</v>
      </c>
      <c r="C2159" s="327">
        <v>127918</v>
      </c>
      <c r="D2159" s="391" t="s">
        <v>21386</v>
      </c>
      <c r="E2159" s="328">
        <v>7252.2</v>
      </c>
      <c r="F2159" s="329">
        <v>42997</v>
      </c>
      <c r="G2159" s="328">
        <v>7252.2</v>
      </c>
      <c r="H2159" s="347">
        <f t="shared" si="29"/>
        <v>0</v>
      </c>
      <c r="I2159" s="331" t="s">
        <v>15214</v>
      </c>
    </row>
    <row r="2160" spans="1:9" x14ac:dyDescent="0.25">
      <c r="A2160" s="319">
        <v>42996</v>
      </c>
      <c r="B2160" s="320" t="s">
        <v>29919</v>
      </c>
      <c r="C2160" s="321">
        <v>127919</v>
      </c>
      <c r="D2160" s="390" t="s">
        <v>15242</v>
      </c>
      <c r="E2160" s="322">
        <v>5211</v>
      </c>
      <c r="F2160" s="323">
        <v>42996</v>
      </c>
      <c r="G2160" s="322">
        <v>5211</v>
      </c>
      <c r="H2160" s="322">
        <f t="shared" si="29"/>
        <v>0</v>
      </c>
      <c r="I2160" s="325" t="s">
        <v>15214</v>
      </c>
    </row>
    <row r="2161" spans="1:9" x14ac:dyDescent="0.25">
      <c r="A2161" s="359">
        <v>42996</v>
      </c>
      <c r="B2161" s="326" t="s">
        <v>29920</v>
      </c>
      <c r="C2161" s="327">
        <v>127920</v>
      </c>
      <c r="D2161" s="391" t="s">
        <v>15213</v>
      </c>
      <c r="E2161" s="328">
        <v>40346</v>
      </c>
      <c r="F2161" s="329">
        <v>42998</v>
      </c>
      <c r="G2161" s="328">
        <v>40346</v>
      </c>
      <c r="H2161" s="347">
        <f t="shared" ref="H2161:H2224" si="30">E2161-G2161</f>
        <v>0</v>
      </c>
      <c r="I2161" s="331" t="s">
        <v>15214</v>
      </c>
    </row>
    <row r="2162" spans="1:9" x14ac:dyDescent="0.25">
      <c r="A2162" s="319">
        <v>42996</v>
      </c>
      <c r="B2162" s="320" t="s">
        <v>29921</v>
      </c>
      <c r="C2162" s="321">
        <v>127921</v>
      </c>
      <c r="D2162" s="390" t="s">
        <v>15216</v>
      </c>
      <c r="E2162" s="322">
        <v>1943.2</v>
      </c>
      <c r="F2162" s="323">
        <v>42996</v>
      </c>
      <c r="G2162" s="322">
        <v>1943.2</v>
      </c>
      <c r="H2162" s="322">
        <f t="shared" si="30"/>
        <v>0</v>
      </c>
      <c r="I2162" s="325" t="s">
        <v>15214</v>
      </c>
    </row>
    <row r="2163" spans="1:9" x14ac:dyDescent="0.25">
      <c r="A2163" s="359">
        <v>42996</v>
      </c>
      <c r="B2163" s="326" t="s">
        <v>29922</v>
      </c>
      <c r="C2163" s="327">
        <v>127922</v>
      </c>
      <c r="D2163" s="391" t="s">
        <v>15487</v>
      </c>
      <c r="E2163" s="328">
        <v>162.4</v>
      </c>
      <c r="F2163" s="329">
        <v>42996</v>
      </c>
      <c r="G2163" s="328">
        <v>162.4</v>
      </c>
      <c r="H2163" s="347">
        <f t="shared" si="30"/>
        <v>0</v>
      </c>
      <c r="I2163" s="331" t="s">
        <v>15214</v>
      </c>
    </row>
    <row r="2164" spans="1:9" x14ac:dyDescent="0.25">
      <c r="A2164" s="319">
        <v>42996</v>
      </c>
      <c r="B2164" s="320" t="s">
        <v>29923</v>
      </c>
      <c r="C2164" s="321">
        <v>127923</v>
      </c>
      <c r="D2164" s="390" t="s">
        <v>15230</v>
      </c>
      <c r="E2164" s="322">
        <v>9056</v>
      </c>
      <c r="F2164" s="323">
        <v>43000</v>
      </c>
      <c r="G2164" s="322">
        <v>9056</v>
      </c>
      <c r="H2164" s="322">
        <f t="shared" si="30"/>
        <v>0</v>
      </c>
      <c r="I2164" s="325" t="s">
        <v>15214</v>
      </c>
    </row>
    <row r="2165" spans="1:9" x14ac:dyDescent="0.25">
      <c r="A2165" s="359">
        <v>42996</v>
      </c>
      <c r="B2165" s="326" t="s">
        <v>29924</v>
      </c>
      <c r="C2165" s="327">
        <v>127924</v>
      </c>
      <c r="D2165" s="391" t="s">
        <v>15298</v>
      </c>
      <c r="E2165" s="328">
        <v>10074.1</v>
      </c>
      <c r="F2165" s="329">
        <v>43000</v>
      </c>
      <c r="G2165" s="328">
        <v>10074.1</v>
      </c>
      <c r="H2165" s="347">
        <f t="shared" si="30"/>
        <v>0</v>
      </c>
      <c r="I2165" s="331" t="s">
        <v>15214</v>
      </c>
    </row>
    <row r="2166" spans="1:9" x14ac:dyDescent="0.25">
      <c r="A2166" s="319">
        <v>42996</v>
      </c>
      <c r="B2166" s="320" t="s">
        <v>29925</v>
      </c>
      <c r="C2166" s="321">
        <v>127925</v>
      </c>
      <c r="D2166" s="390" t="s">
        <v>15223</v>
      </c>
      <c r="E2166" s="322">
        <v>48978</v>
      </c>
      <c r="F2166" s="323">
        <v>43019</v>
      </c>
      <c r="G2166" s="322">
        <v>48978</v>
      </c>
      <c r="H2166" s="322">
        <f t="shared" si="30"/>
        <v>0</v>
      </c>
      <c r="I2166" s="325" t="s">
        <v>15214</v>
      </c>
    </row>
    <row r="2167" spans="1:9" x14ac:dyDescent="0.25">
      <c r="A2167" s="359">
        <v>42996</v>
      </c>
      <c r="B2167" s="326" t="s">
        <v>29926</v>
      </c>
      <c r="C2167" s="327">
        <v>127926</v>
      </c>
      <c r="D2167" s="391" t="s">
        <v>15263</v>
      </c>
      <c r="E2167" s="328">
        <v>3998.9</v>
      </c>
      <c r="F2167" s="329">
        <v>42996</v>
      </c>
      <c r="G2167" s="328">
        <v>3998.9</v>
      </c>
      <c r="H2167" s="347">
        <f t="shared" si="30"/>
        <v>0</v>
      </c>
      <c r="I2167" s="331" t="s">
        <v>15214</v>
      </c>
    </row>
    <row r="2168" spans="1:9" x14ac:dyDescent="0.25">
      <c r="A2168" s="319">
        <v>42996</v>
      </c>
      <c r="B2168" s="320" t="s">
        <v>29927</v>
      </c>
      <c r="C2168" s="321">
        <v>127927</v>
      </c>
      <c r="D2168" s="390" t="s">
        <v>15220</v>
      </c>
      <c r="E2168" s="322">
        <v>2400</v>
      </c>
      <c r="F2168" s="323">
        <v>42996</v>
      </c>
      <c r="G2168" s="322">
        <v>2400</v>
      </c>
      <c r="H2168" s="322">
        <f t="shared" si="30"/>
        <v>0</v>
      </c>
      <c r="I2168" s="325" t="s">
        <v>15214</v>
      </c>
    </row>
    <row r="2169" spans="1:9" x14ac:dyDescent="0.25">
      <c r="A2169" s="359">
        <v>42996</v>
      </c>
      <c r="B2169" s="326" t="s">
        <v>29928</v>
      </c>
      <c r="C2169" s="327">
        <v>127928</v>
      </c>
      <c r="D2169" s="391" t="s">
        <v>19302</v>
      </c>
      <c r="E2169" s="328">
        <v>960</v>
      </c>
      <c r="F2169" s="329">
        <v>42996</v>
      </c>
      <c r="G2169" s="328">
        <v>960</v>
      </c>
      <c r="H2169" s="347">
        <f t="shared" si="30"/>
        <v>0</v>
      </c>
      <c r="I2169" s="331" t="s">
        <v>15214</v>
      </c>
    </row>
    <row r="2170" spans="1:9" x14ac:dyDescent="0.25">
      <c r="A2170" s="319">
        <v>42996</v>
      </c>
      <c r="B2170" s="320" t="s">
        <v>29929</v>
      </c>
      <c r="C2170" s="321">
        <v>127929</v>
      </c>
      <c r="D2170" s="390" t="s">
        <v>15324</v>
      </c>
      <c r="E2170" s="322">
        <v>1713</v>
      </c>
      <c r="F2170" s="323">
        <v>42996</v>
      </c>
      <c r="G2170" s="322">
        <v>1713</v>
      </c>
      <c r="H2170" s="322">
        <f t="shared" si="30"/>
        <v>0</v>
      </c>
      <c r="I2170" s="325" t="s">
        <v>15214</v>
      </c>
    </row>
    <row r="2171" spans="1:9" x14ac:dyDescent="0.25">
      <c r="A2171" s="359">
        <v>42996</v>
      </c>
      <c r="B2171" s="326" t="s">
        <v>29930</v>
      </c>
      <c r="C2171" s="327">
        <v>127930</v>
      </c>
      <c r="D2171" s="391" t="s">
        <v>15272</v>
      </c>
      <c r="E2171" s="328">
        <v>28232.560000000001</v>
      </c>
      <c r="F2171" s="329">
        <v>42996</v>
      </c>
      <c r="G2171" s="328">
        <v>28232.560000000001</v>
      </c>
      <c r="H2171" s="347">
        <f t="shared" si="30"/>
        <v>0</v>
      </c>
      <c r="I2171" s="331" t="s">
        <v>15214</v>
      </c>
    </row>
    <row r="2172" spans="1:9" x14ac:dyDescent="0.25">
      <c r="A2172" s="319">
        <v>42996</v>
      </c>
      <c r="B2172" s="320" t="s">
        <v>29931</v>
      </c>
      <c r="C2172" s="321">
        <v>127931</v>
      </c>
      <c r="D2172" s="390" t="s">
        <v>15475</v>
      </c>
      <c r="E2172" s="322">
        <v>6575.4</v>
      </c>
      <c r="F2172" s="323">
        <v>42999</v>
      </c>
      <c r="G2172" s="322">
        <v>6575.4</v>
      </c>
      <c r="H2172" s="322">
        <f t="shared" si="30"/>
        <v>0</v>
      </c>
      <c r="I2172" s="325" t="s">
        <v>15214</v>
      </c>
    </row>
    <row r="2173" spans="1:9" x14ac:dyDescent="0.25">
      <c r="A2173" s="359">
        <v>42996</v>
      </c>
      <c r="B2173" s="326" t="s">
        <v>29932</v>
      </c>
      <c r="C2173" s="327">
        <v>127932</v>
      </c>
      <c r="D2173" s="391" t="s">
        <v>15226</v>
      </c>
      <c r="E2173" s="328">
        <v>3327.1</v>
      </c>
      <c r="F2173" s="329">
        <v>42999</v>
      </c>
      <c r="G2173" s="328">
        <v>3327.1</v>
      </c>
      <c r="H2173" s="347">
        <f t="shared" si="30"/>
        <v>0</v>
      </c>
      <c r="I2173" s="331" t="s">
        <v>15214</v>
      </c>
    </row>
    <row r="2174" spans="1:9" x14ac:dyDescent="0.25">
      <c r="A2174" s="319">
        <v>42996</v>
      </c>
      <c r="B2174" s="320" t="s">
        <v>29933</v>
      </c>
      <c r="C2174" s="321">
        <v>127933</v>
      </c>
      <c r="D2174" s="390" t="s">
        <v>15338</v>
      </c>
      <c r="E2174" s="322">
        <v>4963.2</v>
      </c>
      <c r="F2174" s="323">
        <v>42996</v>
      </c>
      <c r="G2174" s="322">
        <v>4963.2</v>
      </c>
      <c r="H2174" s="322">
        <f t="shared" si="30"/>
        <v>0</v>
      </c>
      <c r="I2174" s="325" t="s">
        <v>15214</v>
      </c>
    </row>
    <row r="2175" spans="1:9" x14ac:dyDescent="0.25">
      <c r="A2175" s="359">
        <v>42996</v>
      </c>
      <c r="B2175" s="326" t="s">
        <v>29934</v>
      </c>
      <c r="C2175" s="327">
        <v>127934</v>
      </c>
      <c r="D2175" s="391" t="s">
        <v>15340</v>
      </c>
      <c r="E2175" s="328">
        <v>3013.5</v>
      </c>
      <c r="F2175" s="329">
        <v>42996</v>
      </c>
      <c r="G2175" s="328">
        <v>3013.5</v>
      </c>
      <c r="H2175" s="347">
        <f t="shared" si="30"/>
        <v>0</v>
      </c>
      <c r="I2175" s="331" t="s">
        <v>15214</v>
      </c>
    </row>
    <row r="2176" spans="1:9" x14ac:dyDescent="0.25">
      <c r="A2176" s="319">
        <v>42996</v>
      </c>
      <c r="B2176" s="320" t="s">
        <v>29935</v>
      </c>
      <c r="C2176" s="321">
        <v>127935</v>
      </c>
      <c r="D2176" s="390" t="s">
        <v>15240</v>
      </c>
      <c r="E2176" s="322">
        <v>3091.2</v>
      </c>
      <c r="F2176" s="323">
        <v>42997</v>
      </c>
      <c r="G2176" s="322">
        <v>3091.2</v>
      </c>
      <c r="H2176" s="322">
        <f t="shared" si="30"/>
        <v>0</v>
      </c>
      <c r="I2176" s="325" t="s">
        <v>15214</v>
      </c>
    </row>
    <row r="2177" spans="1:9" x14ac:dyDescent="0.25">
      <c r="A2177" s="359">
        <v>42996</v>
      </c>
      <c r="B2177" s="326" t="s">
        <v>29936</v>
      </c>
      <c r="C2177" s="327">
        <v>127936</v>
      </c>
      <c r="D2177" s="391" t="s">
        <v>15748</v>
      </c>
      <c r="E2177" s="328">
        <v>1816.6</v>
      </c>
      <c r="F2177" s="329">
        <v>42996</v>
      </c>
      <c r="G2177" s="328">
        <v>1816.6</v>
      </c>
      <c r="H2177" s="347">
        <f t="shared" si="30"/>
        <v>0</v>
      </c>
      <c r="I2177" s="331" t="s">
        <v>15214</v>
      </c>
    </row>
    <row r="2178" spans="1:9" x14ac:dyDescent="0.25">
      <c r="A2178" s="319">
        <v>42996</v>
      </c>
      <c r="B2178" s="320" t="s">
        <v>29937</v>
      </c>
      <c r="C2178" s="321">
        <v>127937</v>
      </c>
      <c r="D2178" s="390" t="s">
        <v>15348</v>
      </c>
      <c r="E2178" s="322">
        <v>262.8</v>
      </c>
      <c r="F2178" s="323">
        <v>42996</v>
      </c>
      <c r="G2178" s="322">
        <v>262.8</v>
      </c>
      <c r="H2178" s="322">
        <f t="shared" si="30"/>
        <v>0</v>
      </c>
      <c r="I2178" s="325" t="s">
        <v>15214</v>
      </c>
    </row>
    <row r="2179" spans="1:9" x14ac:dyDescent="0.25">
      <c r="A2179" s="359">
        <v>42996</v>
      </c>
      <c r="B2179" s="326" t="s">
        <v>29938</v>
      </c>
      <c r="C2179" s="327">
        <v>127938</v>
      </c>
      <c r="D2179" s="391" t="s">
        <v>15523</v>
      </c>
      <c r="E2179" s="328">
        <v>2164.8000000000002</v>
      </c>
      <c r="F2179" s="329">
        <v>42996</v>
      </c>
      <c r="G2179" s="328">
        <v>2164.8000000000002</v>
      </c>
      <c r="H2179" s="347">
        <f t="shared" si="30"/>
        <v>0</v>
      </c>
      <c r="I2179" s="331" t="s">
        <v>15214</v>
      </c>
    </row>
    <row r="2180" spans="1:9" x14ac:dyDescent="0.25">
      <c r="A2180" s="319">
        <v>42996</v>
      </c>
      <c r="B2180" s="320" t="s">
        <v>29939</v>
      </c>
      <c r="C2180" s="321">
        <v>127939</v>
      </c>
      <c r="D2180" s="390" t="s">
        <v>15858</v>
      </c>
      <c r="E2180" s="322">
        <v>1171.32</v>
      </c>
      <c r="F2180" s="323">
        <v>42996</v>
      </c>
      <c r="G2180" s="322">
        <v>1171.32</v>
      </c>
      <c r="H2180" s="322">
        <f t="shared" si="30"/>
        <v>0</v>
      </c>
      <c r="I2180" s="325" t="s">
        <v>15214</v>
      </c>
    </row>
    <row r="2181" spans="1:9" x14ac:dyDescent="0.25">
      <c r="A2181" s="359">
        <v>42996</v>
      </c>
      <c r="B2181" s="326" t="s">
        <v>29940</v>
      </c>
      <c r="C2181" s="327">
        <v>127940</v>
      </c>
      <c r="D2181" s="391" t="s">
        <v>15526</v>
      </c>
      <c r="E2181" s="328">
        <v>4690.3999999999996</v>
      </c>
      <c r="F2181" s="329">
        <v>42996</v>
      </c>
      <c r="G2181" s="328">
        <v>4690.3999999999996</v>
      </c>
      <c r="H2181" s="347">
        <f t="shared" si="30"/>
        <v>0</v>
      </c>
      <c r="I2181" s="331" t="s">
        <v>15214</v>
      </c>
    </row>
    <row r="2182" spans="1:9" x14ac:dyDescent="0.25">
      <c r="A2182" s="319">
        <v>42996</v>
      </c>
      <c r="B2182" s="320" t="s">
        <v>29941</v>
      </c>
      <c r="C2182" s="321">
        <v>127941</v>
      </c>
      <c r="D2182" s="390" t="s">
        <v>15742</v>
      </c>
      <c r="E2182" s="322">
        <v>3025.8</v>
      </c>
      <c r="F2182" s="323">
        <v>42996</v>
      </c>
      <c r="G2182" s="322">
        <v>3025.8</v>
      </c>
      <c r="H2182" s="322">
        <f t="shared" si="30"/>
        <v>0</v>
      </c>
      <c r="I2182" s="325" t="s">
        <v>15214</v>
      </c>
    </row>
    <row r="2183" spans="1:9" x14ac:dyDescent="0.25">
      <c r="A2183" s="359">
        <v>42996</v>
      </c>
      <c r="B2183" s="326" t="s">
        <v>29942</v>
      </c>
      <c r="C2183" s="327">
        <v>127942</v>
      </c>
      <c r="D2183" s="391" t="s">
        <v>15248</v>
      </c>
      <c r="E2183" s="328">
        <v>20155.599999999999</v>
      </c>
      <c r="F2183" s="329">
        <v>42996</v>
      </c>
      <c r="G2183" s="328">
        <v>20155.599999999999</v>
      </c>
      <c r="H2183" s="347">
        <f t="shared" si="30"/>
        <v>0</v>
      </c>
      <c r="I2183" s="331" t="s">
        <v>15214</v>
      </c>
    </row>
    <row r="2184" spans="1:9" x14ac:dyDescent="0.25">
      <c r="A2184" s="319">
        <v>42996</v>
      </c>
      <c r="B2184" s="320" t="s">
        <v>29943</v>
      </c>
      <c r="C2184" s="321">
        <v>127943</v>
      </c>
      <c r="D2184" s="390" t="s">
        <v>15358</v>
      </c>
      <c r="E2184" s="322">
        <v>2406.4</v>
      </c>
      <c r="F2184" s="323">
        <v>42996</v>
      </c>
      <c r="G2184" s="322">
        <v>2406.4</v>
      </c>
      <c r="H2184" s="322">
        <f t="shared" si="30"/>
        <v>0</v>
      </c>
      <c r="I2184" s="325" t="s">
        <v>15214</v>
      </c>
    </row>
    <row r="2185" spans="1:9" x14ac:dyDescent="0.25">
      <c r="A2185" s="359">
        <v>42996</v>
      </c>
      <c r="B2185" s="326" t="s">
        <v>29944</v>
      </c>
      <c r="C2185" s="327">
        <v>127944</v>
      </c>
      <c r="D2185" s="391" t="s">
        <v>15336</v>
      </c>
      <c r="E2185" s="328">
        <v>6208.7</v>
      </c>
      <c r="F2185" s="329">
        <v>42996</v>
      </c>
      <c r="G2185" s="328">
        <v>6208.7</v>
      </c>
      <c r="H2185" s="347">
        <f t="shared" si="30"/>
        <v>0</v>
      </c>
      <c r="I2185" s="331" t="s">
        <v>15214</v>
      </c>
    </row>
    <row r="2186" spans="1:9" x14ac:dyDescent="0.25">
      <c r="A2186" s="319">
        <v>42996</v>
      </c>
      <c r="B2186" s="320" t="s">
        <v>29945</v>
      </c>
      <c r="C2186" s="321">
        <v>127945</v>
      </c>
      <c r="D2186" s="390" t="s">
        <v>15340</v>
      </c>
      <c r="E2186" s="322">
        <v>1581</v>
      </c>
      <c r="F2186" s="323">
        <v>42996</v>
      </c>
      <c r="G2186" s="322">
        <v>1581</v>
      </c>
      <c r="H2186" s="322">
        <f t="shared" si="30"/>
        <v>0</v>
      </c>
      <c r="I2186" s="325" t="s">
        <v>15214</v>
      </c>
    </row>
    <row r="2187" spans="1:9" x14ac:dyDescent="0.25">
      <c r="A2187" s="359">
        <v>42996</v>
      </c>
      <c r="B2187" s="326" t="s">
        <v>29946</v>
      </c>
      <c r="C2187" s="327">
        <v>127946</v>
      </c>
      <c r="D2187" s="391" t="s">
        <v>15332</v>
      </c>
      <c r="E2187" s="328">
        <v>3409.64</v>
      </c>
      <c r="F2187" s="329">
        <v>42996</v>
      </c>
      <c r="G2187" s="328">
        <v>3409.64</v>
      </c>
      <c r="H2187" s="347">
        <f t="shared" si="30"/>
        <v>0</v>
      </c>
      <c r="I2187" s="331" t="s">
        <v>15214</v>
      </c>
    </row>
    <row r="2188" spans="1:9" x14ac:dyDescent="0.25">
      <c r="A2188" s="319">
        <v>42996</v>
      </c>
      <c r="B2188" s="320" t="s">
        <v>29947</v>
      </c>
      <c r="C2188" s="321">
        <v>127947</v>
      </c>
      <c r="D2188" s="390" t="s">
        <v>15371</v>
      </c>
      <c r="E2188" s="322">
        <v>3259.4</v>
      </c>
      <c r="F2188" s="323">
        <v>42997</v>
      </c>
      <c r="G2188" s="322">
        <v>3259.4</v>
      </c>
      <c r="H2188" s="322">
        <f t="shared" si="30"/>
        <v>0</v>
      </c>
      <c r="I2188" s="325" t="s">
        <v>15214</v>
      </c>
    </row>
    <row r="2189" spans="1:9" x14ac:dyDescent="0.25">
      <c r="A2189" s="359">
        <v>42996</v>
      </c>
      <c r="B2189" s="326" t="s">
        <v>29948</v>
      </c>
      <c r="C2189" s="327">
        <v>127948</v>
      </c>
      <c r="D2189" s="391" t="s">
        <v>15228</v>
      </c>
      <c r="E2189" s="328">
        <v>5446.4</v>
      </c>
      <c r="F2189" s="329">
        <v>42996</v>
      </c>
      <c r="G2189" s="328">
        <v>5446.4</v>
      </c>
      <c r="H2189" s="347">
        <f t="shared" si="30"/>
        <v>0</v>
      </c>
      <c r="I2189" s="331" t="s">
        <v>15214</v>
      </c>
    </row>
    <row r="2190" spans="1:9" x14ac:dyDescent="0.25">
      <c r="A2190" s="319">
        <v>42996</v>
      </c>
      <c r="B2190" s="320" t="s">
        <v>29949</v>
      </c>
      <c r="C2190" s="321">
        <v>127949</v>
      </c>
      <c r="D2190" s="390" t="s">
        <v>15250</v>
      </c>
      <c r="E2190" s="322">
        <v>113126.66</v>
      </c>
      <c r="F2190" s="323">
        <v>43001</v>
      </c>
      <c r="G2190" s="322">
        <v>113126.66</v>
      </c>
      <c r="H2190" s="322">
        <f t="shared" si="30"/>
        <v>0</v>
      </c>
      <c r="I2190" s="325" t="s">
        <v>15214</v>
      </c>
    </row>
    <row r="2191" spans="1:9" x14ac:dyDescent="0.25">
      <c r="A2191" s="359">
        <v>42996</v>
      </c>
      <c r="B2191" s="326" t="s">
        <v>29950</v>
      </c>
      <c r="C2191" s="327">
        <v>127950</v>
      </c>
      <c r="D2191" s="391" t="s">
        <v>15326</v>
      </c>
      <c r="E2191" s="328">
        <v>2481.1999999999998</v>
      </c>
      <c r="F2191" s="329">
        <v>42996</v>
      </c>
      <c r="G2191" s="328">
        <v>2481.1999999999998</v>
      </c>
      <c r="H2191" s="347">
        <f t="shared" si="30"/>
        <v>0</v>
      </c>
      <c r="I2191" s="331" t="s">
        <v>15214</v>
      </c>
    </row>
    <row r="2192" spans="1:9" x14ac:dyDescent="0.25">
      <c r="A2192" s="319">
        <v>42996</v>
      </c>
      <c r="B2192" s="320" t="s">
        <v>29951</v>
      </c>
      <c r="C2192" s="321">
        <v>127951</v>
      </c>
      <c r="D2192" s="390" t="s">
        <v>15326</v>
      </c>
      <c r="E2192" s="322">
        <v>3843.5</v>
      </c>
      <c r="F2192" s="323">
        <v>42996</v>
      </c>
      <c r="G2192" s="322">
        <v>3843.5</v>
      </c>
      <c r="H2192" s="322">
        <f t="shared" si="30"/>
        <v>0</v>
      </c>
      <c r="I2192" s="325" t="s">
        <v>15214</v>
      </c>
    </row>
    <row r="2193" spans="1:9" x14ac:dyDescent="0.25">
      <c r="A2193" s="359">
        <v>42996</v>
      </c>
      <c r="B2193" s="326" t="s">
        <v>29952</v>
      </c>
      <c r="C2193" s="327">
        <v>127952</v>
      </c>
      <c r="D2193" s="391" t="s">
        <v>5575</v>
      </c>
      <c r="E2193" s="328">
        <v>6746.4</v>
      </c>
      <c r="F2193" s="329">
        <v>42999</v>
      </c>
      <c r="G2193" s="328">
        <v>6746.4</v>
      </c>
      <c r="H2193" s="347">
        <f t="shared" si="30"/>
        <v>0</v>
      </c>
      <c r="I2193" s="331" t="s">
        <v>15214</v>
      </c>
    </row>
    <row r="2194" spans="1:9" x14ac:dyDescent="0.25">
      <c r="A2194" s="319">
        <v>42996</v>
      </c>
      <c r="B2194" s="320" t="s">
        <v>29953</v>
      </c>
      <c r="C2194" s="321">
        <v>127953</v>
      </c>
      <c r="D2194" s="390" t="s">
        <v>15987</v>
      </c>
      <c r="E2194" s="322">
        <v>1355.4</v>
      </c>
      <c r="F2194" s="323">
        <v>42996</v>
      </c>
      <c r="G2194" s="322">
        <v>1355.4</v>
      </c>
      <c r="H2194" s="322">
        <f t="shared" si="30"/>
        <v>0</v>
      </c>
      <c r="I2194" s="325" t="s">
        <v>15214</v>
      </c>
    </row>
    <row r="2195" spans="1:9" x14ac:dyDescent="0.25">
      <c r="A2195" s="359">
        <v>42996</v>
      </c>
      <c r="B2195" s="326" t="s">
        <v>29954</v>
      </c>
      <c r="C2195" s="327">
        <v>127954</v>
      </c>
      <c r="D2195" s="391" t="s">
        <v>15365</v>
      </c>
      <c r="E2195" s="328">
        <v>38070.6</v>
      </c>
      <c r="F2195" s="329">
        <v>42999</v>
      </c>
      <c r="G2195" s="328">
        <v>38070.6</v>
      </c>
      <c r="H2195" s="347">
        <f t="shared" si="30"/>
        <v>0</v>
      </c>
      <c r="I2195" s="331" t="s">
        <v>15214</v>
      </c>
    </row>
    <row r="2196" spans="1:9" x14ac:dyDescent="0.25">
      <c r="A2196" s="319">
        <v>42996</v>
      </c>
      <c r="B2196" s="320" t="s">
        <v>29955</v>
      </c>
      <c r="C2196" s="321">
        <v>127955</v>
      </c>
      <c r="D2196" s="390" t="s">
        <v>15448</v>
      </c>
      <c r="E2196" s="322">
        <v>149335.85999999999</v>
      </c>
      <c r="F2196" s="323">
        <v>43001</v>
      </c>
      <c r="G2196" s="322">
        <v>149335.85999999999</v>
      </c>
      <c r="H2196" s="322">
        <f t="shared" si="30"/>
        <v>0</v>
      </c>
      <c r="I2196" s="325" t="s">
        <v>15214</v>
      </c>
    </row>
    <row r="2197" spans="1:9" ht="15.75" x14ac:dyDescent="0.25">
      <c r="A2197" s="359">
        <v>42996</v>
      </c>
      <c r="B2197" s="326" t="s">
        <v>29956</v>
      </c>
      <c r="C2197" s="327">
        <v>127956</v>
      </c>
      <c r="D2197" s="345" t="s">
        <v>95</v>
      </c>
      <c r="E2197" s="328">
        <v>0</v>
      </c>
      <c r="F2197" s="346" t="s">
        <v>95</v>
      </c>
      <c r="G2197" s="328">
        <v>0</v>
      </c>
      <c r="H2197" s="347">
        <f t="shared" si="30"/>
        <v>0</v>
      </c>
      <c r="I2197" s="331" t="s">
        <v>95</v>
      </c>
    </row>
    <row r="2198" spans="1:9" x14ac:dyDescent="0.25">
      <c r="A2198" s="319">
        <v>42996</v>
      </c>
      <c r="B2198" s="320" t="s">
        <v>29957</v>
      </c>
      <c r="C2198" s="321">
        <v>127957</v>
      </c>
      <c r="D2198" s="390" t="s">
        <v>15280</v>
      </c>
      <c r="E2198" s="322">
        <v>4666.6000000000004</v>
      </c>
      <c r="F2198" s="323">
        <v>42996</v>
      </c>
      <c r="G2198" s="322">
        <v>4666.6000000000004</v>
      </c>
      <c r="H2198" s="322">
        <f t="shared" si="30"/>
        <v>0</v>
      </c>
      <c r="I2198" s="325" t="s">
        <v>15214</v>
      </c>
    </row>
    <row r="2199" spans="1:9" x14ac:dyDescent="0.25">
      <c r="A2199" s="359">
        <v>42996</v>
      </c>
      <c r="B2199" s="326" t="s">
        <v>29958</v>
      </c>
      <c r="C2199" s="327">
        <v>127958</v>
      </c>
      <c r="D2199" s="391" t="s">
        <v>16383</v>
      </c>
      <c r="E2199" s="328">
        <v>9842.4</v>
      </c>
      <c r="F2199" s="329">
        <v>42996</v>
      </c>
      <c r="G2199" s="328">
        <v>9842.4</v>
      </c>
      <c r="H2199" s="347">
        <f t="shared" si="30"/>
        <v>0</v>
      </c>
      <c r="I2199" s="331" t="s">
        <v>15214</v>
      </c>
    </row>
    <row r="2200" spans="1:9" x14ac:dyDescent="0.25">
      <c r="A2200" s="319">
        <v>42996</v>
      </c>
      <c r="B2200" s="320" t="s">
        <v>29959</v>
      </c>
      <c r="C2200" s="321">
        <v>127959</v>
      </c>
      <c r="D2200" s="390" t="s">
        <v>15232</v>
      </c>
      <c r="E2200" s="322">
        <v>6963.2</v>
      </c>
      <c r="F2200" s="323">
        <v>42999</v>
      </c>
      <c r="G2200" s="322">
        <v>6963.2</v>
      </c>
      <c r="H2200" s="322">
        <f t="shared" si="30"/>
        <v>0</v>
      </c>
      <c r="I2200" s="325" t="s">
        <v>15214</v>
      </c>
    </row>
    <row r="2201" spans="1:9" x14ac:dyDescent="0.25">
      <c r="A2201" s="359">
        <v>42996</v>
      </c>
      <c r="B2201" s="326" t="s">
        <v>29960</v>
      </c>
      <c r="C2201" s="327">
        <v>127960</v>
      </c>
      <c r="D2201" s="391" t="s">
        <v>15256</v>
      </c>
      <c r="E2201" s="328">
        <v>5673</v>
      </c>
      <c r="F2201" s="329">
        <v>43003</v>
      </c>
      <c r="G2201" s="328">
        <v>5673</v>
      </c>
      <c r="H2201" s="347">
        <f t="shared" si="30"/>
        <v>0</v>
      </c>
      <c r="I2201" s="331" t="s">
        <v>15214</v>
      </c>
    </row>
    <row r="2202" spans="1:9" x14ac:dyDescent="0.25">
      <c r="A2202" s="319">
        <v>42996</v>
      </c>
      <c r="B2202" s="320" t="s">
        <v>29961</v>
      </c>
      <c r="C2202" s="321">
        <v>127961</v>
      </c>
      <c r="D2202" s="390" t="s">
        <v>15236</v>
      </c>
      <c r="E2202" s="322">
        <v>6138.6</v>
      </c>
      <c r="F2202" s="323">
        <v>42999</v>
      </c>
      <c r="G2202" s="322">
        <v>6138.6</v>
      </c>
      <c r="H2202" s="322">
        <f t="shared" si="30"/>
        <v>0</v>
      </c>
      <c r="I2202" s="325" t="s">
        <v>15214</v>
      </c>
    </row>
    <row r="2203" spans="1:9" x14ac:dyDescent="0.25">
      <c r="A2203" s="359">
        <v>42996</v>
      </c>
      <c r="B2203" s="326" t="s">
        <v>29962</v>
      </c>
      <c r="C2203" s="327">
        <v>127962</v>
      </c>
      <c r="D2203" s="391" t="s">
        <v>19780</v>
      </c>
      <c r="E2203" s="328">
        <v>16434.599999999999</v>
      </c>
      <c r="F2203" s="329">
        <v>42998</v>
      </c>
      <c r="G2203" s="328">
        <v>16434.599999999999</v>
      </c>
      <c r="H2203" s="347">
        <f t="shared" si="30"/>
        <v>0</v>
      </c>
      <c r="I2203" s="331" t="s">
        <v>15214</v>
      </c>
    </row>
    <row r="2204" spans="1:9" x14ac:dyDescent="0.25">
      <c r="A2204" s="319">
        <v>42996</v>
      </c>
      <c r="B2204" s="320" t="s">
        <v>29963</v>
      </c>
      <c r="C2204" s="321">
        <v>127963</v>
      </c>
      <c r="D2204" s="390" t="s">
        <v>15258</v>
      </c>
      <c r="E2204" s="322">
        <v>9687.6</v>
      </c>
      <c r="F2204" s="323">
        <v>42997</v>
      </c>
      <c r="G2204" s="322">
        <v>9687.6</v>
      </c>
      <c r="H2204" s="322">
        <f t="shared" si="30"/>
        <v>0</v>
      </c>
      <c r="I2204" s="325" t="s">
        <v>15214</v>
      </c>
    </row>
    <row r="2205" spans="1:9" x14ac:dyDescent="0.25">
      <c r="A2205" s="359">
        <v>42996</v>
      </c>
      <c r="B2205" s="326" t="s">
        <v>29964</v>
      </c>
      <c r="C2205" s="327">
        <v>127964</v>
      </c>
      <c r="D2205" s="391" t="s">
        <v>15668</v>
      </c>
      <c r="E2205" s="328">
        <v>21684</v>
      </c>
      <c r="F2205" s="329">
        <v>42998</v>
      </c>
      <c r="G2205" s="328">
        <v>21684</v>
      </c>
      <c r="H2205" s="347">
        <f t="shared" si="30"/>
        <v>0</v>
      </c>
      <c r="I2205" s="331" t="s">
        <v>15214</v>
      </c>
    </row>
    <row r="2206" spans="1:9" x14ac:dyDescent="0.25">
      <c r="A2206" s="319">
        <v>42996</v>
      </c>
      <c r="B2206" s="320" t="s">
        <v>29965</v>
      </c>
      <c r="C2206" s="321">
        <v>127965</v>
      </c>
      <c r="D2206" s="390" t="s">
        <v>15480</v>
      </c>
      <c r="E2206" s="322">
        <v>3850.2</v>
      </c>
      <c r="F2206" s="323">
        <v>42997</v>
      </c>
      <c r="G2206" s="322">
        <v>3850.2</v>
      </c>
      <c r="H2206" s="322">
        <f t="shared" si="30"/>
        <v>0</v>
      </c>
      <c r="I2206" s="325" t="s">
        <v>15214</v>
      </c>
    </row>
    <row r="2207" spans="1:9" x14ac:dyDescent="0.25">
      <c r="A2207" s="359">
        <v>42996</v>
      </c>
      <c r="B2207" s="326" t="s">
        <v>29966</v>
      </c>
      <c r="C2207" s="327">
        <v>127966</v>
      </c>
      <c r="D2207" s="391" t="s">
        <v>15238</v>
      </c>
      <c r="E2207" s="328">
        <v>6520.92</v>
      </c>
      <c r="F2207" s="329">
        <v>42998</v>
      </c>
      <c r="G2207" s="328">
        <v>6520.92</v>
      </c>
      <c r="H2207" s="347">
        <f t="shared" si="30"/>
        <v>0</v>
      </c>
      <c r="I2207" s="331" t="s">
        <v>15214</v>
      </c>
    </row>
    <row r="2208" spans="1:9" x14ac:dyDescent="0.25">
      <c r="A2208" s="319">
        <v>42996</v>
      </c>
      <c r="B2208" s="320" t="s">
        <v>29967</v>
      </c>
      <c r="C2208" s="321">
        <v>127967</v>
      </c>
      <c r="D2208" s="390" t="s">
        <v>15284</v>
      </c>
      <c r="E2208" s="322">
        <v>1590.8</v>
      </c>
      <c r="F2208" s="323">
        <v>42996</v>
      </c>
      <c r="G2208" s="322">
        <v>1590.8</v>
      </c>
      <c r="H2208" s="322">
        <f t="shared" si="30"/>
        <v>0</v>
      </c>
      <c r="I2208" s="325" t="s">
        <v>15214</v>
      </c>
    </row>
    <row r="2209" spans="1:9" x14ac:dyDescent="0.25">
      <c r="A2209" s="359">
        <v>42996</v>
      </c>
      <c r="B2209" s="326" t="s">
        <v>29968</v>
      </c>
      <c r="C2209" s="327">
        <v>127968</v>
      </c>
      <c r="D2209" s="391" t="s">
        <v>15401</v>
      </c>
      <c r="E2209" s="328">
        <v>3104.9</v>
      </c>
      <c r="F2209" s="329">
        <v>42996</v>
      </c>
      <c r="G2209" s="328">
        <v>3104.9</v>
      </c>
      <c r="H2209" s="347">
        <f t="shared" si="30"/>
        <v>0</v>
      </c>
      <c r="I2209" s="331" t="s">
        <v>15214</v>
      </c>
    </row>
    <row r="2210" spans="1:9" x14ac:dyDescent="0.25">
      <c r="A2210" s="319">
        <v>42996</v>
      </c>
      <c r="B2210" s="320" t="s">
        <v>29969</v>
      </c>
      <c r="C2210" s="321">
        <v>127969</v>
      </c>
      <c r="D2210" s="390" t="s">
        <v>15394</v>
      </c>
      <c r="E2210" s="322">
        <v>13666.6</v>
      </c>
      <c r="F2210" s="323">
        <v>43001</v>
      </c>
      <c r="G2210" s="322">
        <v>13666.6</v>
      </c>
      <c r="H2210" s="322">
        <f t="shared" si="30"/>
        <v>0</v>
      </c>
      <c r="I2210" s="325" t="s">
        <v>15214</v>
      </c>
    </row>
    <row r="2211" spans="1:9" x14ac:dyDescent="0.25">
      <c r="A2211" s="359">
        <v>42996</v>
      </c>
      <c r="B2211" s="326" t="s">
        <v>29970</v>
      </c>
      <c r="C2211" s="327">
        <v>127970</v>
      </c>
      <c r="D2211" s="391" t="s">
        <v>16484</v>
      </c>
      <c r="E2211" s="328">
        <v>1842.2</v>
      </c>
      <c r="F2211" s="329">
        <v>42996</v>
      </c>
      <c r="G2211" s="328">
        <v>1842.2</v>
      </c>
      <c r="H2211" s="347">
        <f t="shared" si="30"/>
        <v>0</v>
      </c>
      <c r="I2211" s="331" t="s">
        <v>15214</v>
      </c>
    </row>
    <row r="2212" spans="1:9" ht="30" x14ac:dyDescent="0.25">
      <c r="A2212" s="319">
        <v>42996</v>
      </c>
      <c r="B2212" s="320" t="s">
        <v>29971</v>
      </c>
      <c r="C2212" s="321">
        <v>127971</v>
      </c>
      <c r="D2212" s="390" t="s">
        <v>15373</v>
      </c>
      <c r="E2212" s="322">
        <v>15120</v>
      </c>
      <c r="F2212" s="323" t="s">
        <v>29972</v>
      </c>
      <c r="G2212" s="334">
        <f>14000+1120</f>
        <v>15120</v>
      </c>
      <c r="H2212" s="334">
        <f t="shared" si="30"/>
        <v>0</v>
      </c>
      <c r="I2212" s="325" t="s">
        <v>15214</v>
      </c>
    </row>
    <row r="2213" spans="1:9" ht="15.75" x14ac:dyDescent="0.25">
      <c r="A2213" s="359">
        <v>42996</v>
      </c>
      <c r="B2213" s="326" t="s">
        <v>29973</v>
      </c>
      <c r="C2213" s="327">
        <v>127972</v>
      </c>
      <c r="D2213" s="345" t="s">
        <v>95</v>
      </c>
      <c r="E2213" s="328">
        <v>0</v>
      </c>
      <c r="F2213" s="346" t="s">
        <v>95</v>
      </c>
      <c r="G2213" s="328">
        <v>0</v>
      </c>
      <c r="H2213" s="347">
        <f t="shared" si="30"/>
        <v>0</v>
      </c>
      <c r="I2213" s="331" t="s">
        <v>95</v>
      </c>
    </row>
    <row r="2214" spans="1:9" x14ac:dyDescent="0.25">
      <c r="A2214" s="319">
        <v>42996</v>
      </c>
      <c r="B2214" s="320" t="s">
        <v>29974</v>
      </c>
      <c r="C2214" s="321">
        <v>127973</v>
      </c>
      <c r="D2214" s="390" t="s">
        <v>15419</v>
      </c>
      <c r="E2214" s="322">
        <v>48365.9</v>
      </c>
      <c r="F2214" s="323">
        <v>43000</v>
      </c>
      <c r="G2214" s="322">
        <v>48365.9</v>
      </c>
      <c r="H2214" s="322">
        <f t="shared" si="30"/>
        <v>0</v>
      </c>
      <c r="I2214" s="325" t="s">
        <v>15214</v>
      </c>
    </row>
    <row r="2215" spans="1:9" x14ac:dyDescent="0.25">
      <c r="A2215" s="359">
        <v>42996</v>
      </c>
      <c r="B2215" s="326" t="s">
        <v>29975</v>
      </c>
      <c r="C2215" s="327">
        <v>127974</v>
      </c>
      <c r="D2215" s="391" t="s">
        <v>15369</v>
      </c>
      <c r="E2215" s="328">
        <v>18796.400000000001</v>
      </c>
      <c r="F2215" s="329">
        <v>43014</v>
      </c>
      <c r="G2215" s="328">
        <v>18796.400000000001</v>
      </c>
      <c r="H2215" s="347">
        <f t="shared" si="30"/>
        <v>0</v>
      </c>
      <c r="I2215" s="331" t="s">
        <v>15214</v>
      </c>
    </row>
    <row r="2216" spans="1:9" x14ac:dyDescent="0.25">
      <c r="A2216" s="319">
        <v>42996</v>
      </c>
      <c r="B2216" s="320" t="s">
        <v>29976</v>
      </c>
      <c r="C2216" s="321">
        <v>127975</v>
      </c>
      <c r="D2216" s="390" t="s">
        <v>15278</v>
      </c>
      <c r="E2216" s="322">
        <v>3292.5</v>
      </c>
      <c r="F2216" s="323">
        <v>42996</v>
      </c>
      <c r="G2216" s="322">
        <v>3292.5</v>
      </c>
      <c r="H2216" s="322">
        <f t="shared" si="30"/>
        <v>0</v>
      </c>
      <c r="I2216" s="325" t="s">
        <v>15214</v>
      </c>
    </row>
    <row r="2217" spans="1:9" x14ac:dyDescent="0.25">
      <c r="A2217" s="359">
        <v>42996</v>
      </c>
      <c r="B2217" s="326" t="s">
        <v>29977</v>
      </c>
      <c r="C2217" s="327">
        <v>127976</v>
      </c>
      <c r="D2217" s="391" t="s">
        <v>15380</v>
      </c>
      <c r="E2217" s="328">
        <v>31468.6</v>
      </c>
      <c r="F2217" s="329">
        <v>43014</v>
      </c>
      <c r="G2217" s="328">
        <v>31468.6</v>
      </c>
      <c r="H2217" s="347">
        <f t="shared" si="30"/>
        <v>0</v>
      </c>
      <c r="I2217" s="331" t="s">
        <v>15214</v>
      </c>
    </row>
    <row r="2218" spans="1:9" x14ac:dyDescent="0.25">
      <c r="A2218" s="319">
        <v>42996</v>
      </c>
      <c r="B2218" s="320" t="s">
        <v>29978</v>
      </c>
      <c r="C2218" s="321">
        <v>127977</v>
      </c>
      <c r="D2218" s="390" t="s">
        <v>15389</v>
      </c>
      <c r="E2218" s="322">
        <v>16862.099999999999</v>
      </c>
      <c r="F2218" s="323">
        <v>43014</v>
      </c>
      <c r="G2218" s="322">
        <v>16862.099999999999</v>
      </c>
      <c r="H2218" s="322">
        <f t="shared" si="30"/>
        <v>0</v>
      </c>
      <c r="I2218" s="325" t="s">
        <v>15214</v>
      </c>
    </row>
    <row r="2219" spans="1:9" ht="15.75" x14ac:dyDescent="0.25">
      <c r="A2219" s="359">
        <v>42996</v>
      </c>
      <c r="B2219" s="326" t="s">
        <v>29979</v>
      </c>
      <c r="C2219" s="327">
        <v>127978</v>
      </c>
      <c r="D2219" s="345" t="s">
        <v>95</v>
      </c>
      <c r="E2219" s="328">
        <v>0</v>
      </c>
      <c r="F2219" s="346" t="s">
        <v>95</v>
      </c>
      <c r="G2219" s="328">
        <v>0</v>
      </c>
      <c r="H2219" s="347">
        <f t="shared" si="30"/>
        <v>0</v>
      </c>
      <c r="I2219" s="331" t="s">
        <v>95</v>
      </c>
    </row>
    <row r="2220" spans="1:9" x14ac:dyDescent="0.25">
      <c r="A2220" s="319">
        <v>42996</v>
      </c>
      <c r="B2220" s="320" t="s">
        <v>29980</v>
      </c>
      <c r="C2220" s="321">
        <v>127979</v>
      </c>
      <c r="D2220" s="390" t="s">
        <v>15382</v>
      </c>
      <c r="E2220" s="322">
        <v>11303.2</v>
      </c>
      <c r="F2220" s="323">
        <v>43014</v>
      </c>
      <c r="G2220" s="322">
        <v>11303.2</v>
      </c>
      <c r="H2220" s="322">
        <f t="shared" si="30"/>
        <v>0</v>
      </c>
      <c r="I2220" s="325" t="s">
        <v>15214</v>
      </c>
    </row>
    <row r="2221" spans="1:9" x14ac:dyDescent="0.25">
      <c r="A2221" s="359">
        <v>42996</v>
      </c>
      <c r="B2221" s="326" t="s">
        <v>29981</v>
      </c>
      <c r="C2221" s="327">
        <v>127980</v>
      </c>
      <c r="D2221" s="391" t="s">
        <v>15267</v>
      </c>
      <c r="E2221" s="328">
        <v>4183.2</v>
      </c>
      <c r="F2221" s="329">
        <v>42998</v>
      </c>
      <c r="G2221" s="328">
        <v>4183.2</v>
      </c>
      <c r="H2221" s="347">
        <f t="shared" si="30"/>
        <v>0</v>
      </c>
      <c r="I2221" s="331" t="s">
        <v>15214</v>
      </c>
    </row>
    <row r="2222" spans="1:9" x14ac:dyDescent="0.25">
      <c r="A2222" s="319">
        <v>42996</v>
      </c>
      <c r="B2222" s="320" t="s">
        <v>29982</v>
      </c>
      <c r="C2222" s="321">
        <v>127981</v>
      </c>
      <c r="D2222" s="390" t="s">
        <v>15530</v>
      </c>
      <c r="E2222" s="322">
        <v>3308</v>
      </c>
      <c r="F2222" s="323">
        <v>42996</v>
      </c>
      <c r="G2222" s="322">
        <v>3308</v>
      </c>
      <c r="H2222" s="322">
        <f t="shared" si="30"/>
        <v>0</v>
      </c>
      <c r="I2222" s="325" t="s">
        <v>15214</v>
      </c>
    </row>
    <row r="2223" spans="1:9" x14ac:dyDescent="0.25">
      <c r="A2223" s="359">
        <v>42996</v>
      </c>
      <c r="B2223" s="326" t="s">
        <v>29983</v>
      </c>
      <c r="C2223" s="327">
        <v>127982</v>
      </c>
      <c r="D2223" s="391" t="s">
        <v>18544</v>
      </c>
      <c r="E2223" s="328">
        <v>4560.3999999999996</v>
      </c>
      <c r="F2223" s="329">
        <v>42996</v>
      </c>
      <c r="G2223" s="328">
        <v>4560.3999999999996</v>
      </c>
      <c r="H2223" s="347">
        <f t="shared" si="30"/>
        <v>0</v>
      </c>
      <c r="I2223" s="331" t="s">
        <v>15214</v>
      </c>
    </row>
    <row r="2224" spans="1:9" x14ac:dyDescent="0.25">
      <c r="A2224" s="319">
        <v>42996</v>
      </c>
      <c r="B2224" s="320" t="s">
        <v>29984</v>
      </c>
      <c r="C2224" s="321">
        <v>127983</v>
      </c>
      <c r="D2224" s="390" t="s">
        <v>29500</v>
      </c>
      <c r="E2224" s="322">
        <v>3364.8</v>
      </c>
      <c r="F2224" s="323">
        <v>42996</v>
      </c>
      <c r="G2224" s="322">
        <v>3364.8</v>
      </c>
      <c r="H2224" s="322">
        <f t="shared" si="30"/>
        <v>0</v>
      </c>
      <c r="I2224" s="325" t="s">
        <v>15214</v>
      </c>
    </row>
    <row r="2225" spans="1:9" x14ac:dyDescent="0.25">
      <c r="A2225" s="359">
        <v>42996</v>
      </c>
      <c r="B2225" s="326" t="s">
        <v>29985</v>
      </c>
      <c r="C2225" s="327">
        <v>127984</v>
      </c>
      <c r="D2225" s="391" t="s">
        <v>15320</v>
      </c>
      <c r="E2225" s="328">
        <v>2401.1999999999998</v>
      </c>
      <c r="F2225" s="329">
        <v>42996</v>
      </c>
      <c r="G2225" s="328">
        <v>2401.1999999999998</v>
      </c>
      <c r="H2225" s="347">
        <f t="shared" ref="H2225:H2288" si="31">E2225-G2225</f>
        <v>0</v>
      </c>
      <c r="I2225" s="331" t="s">
        <v>15214</v>
      </c>
    </row>
    <row r="2226" spans="1:9" x14ac:dyDescent="0.25">
      <c r="A2226" s="319">
        <v>42996</v>
      </c>
      <c r="B2226" s="320" t="s">
        <v>29986</v>
      </c>
      <c r="C2226" s="321">
        <v>127985</v>
      </c>
      <c r="D2226" s="390" t="s">
        <v>15305</v>
      </c>
      <c r="E2226" s="322">
        <v>1755.6</v>
      </c>
      <c r="F2226" s="323">
        <v>42996</v>
      </c>
      <c r="G2226" s="322">
        <v>1755.6</v>
      </c>
      <c r="H2226" s="322">
        <f t="shared" si="31"/>
        <v>0</v>
      </c>
      <c r="I2226" s="325" t="s">
        <v>15214</v>
      </c>
    </row>
    <row r="2227" spans="1:9" x14ac:dyDescent="0.25">
      <c r="A2227" s="359">
        <v>42996</v>
      </c>
      <c r="B2227" s="326" t="s">
        <v>29987</v>
      </c>
      <c r="C2227" s="327">
        <v>127986</v>
      </c>
      <c r="D2227" s="391" t="s">
        <v>15583</v>
      </c>
      <c r="E2227" s="328">
        <v>3075</v>
      </c>
      <c r="F2227" s="329">
        <v>42996</v>
      </c>
      <c r="G2227" s="328">
        <v>3075</v>
      </c>
      <c r="H2227" s="347">
        <f t="shared" si="31"/>
        <v>0</v>
      </c>
      <c r="I2227" s="331" t="s">
        <v>15214</v>
      </c>
    </row>
    <row r="2228" spans="1:9" x14ac:dyDescent="0.25">
      <c r="A2228" s="319">
        <v>42996</v>
      </c>
      <c r="B2228" s="320" t="s">
        <v>29988</v>
      </c>
      <c r="C2228" s="321">
        <v>127987</v>
      </c>
      <c r="D2228" s="390" t="s">
        <v>15583</v>
      </c>
      <c r="E2228" s="322">
        <v>1690</v>
      </c>
      <c r="F2228" s="323">
        <v>42998</v>
      </c>
      <c r="G2228" s="322">
        <v>1690</v>
      </c>
      <c r="H2228" s="322">
        <f t="shared" si="31"/>
        <v>0</v>
      </c>
      <c r="I2228" s="325" t="s">
        <v>15214</v>
      </c>
    </row>
    <row r="2229" spans="1:9" ht="15.75" x14ac:dyDescent="0.25">
      <c r="A2229" s="359">
        <v>42996</v>
      </c>
      <c r="B2229" s="326" t="s">
        <v>29989</v>
      </c>
      <c r="C2229" s="327">
        <v>127988</v>
      </c>
      <c r="D2229" s="345" t="s">
        <v>95</v>
      </c>
      <c r="E2229" s="328">
        <v>0</v>
      </c>
      <c r="F2229" s="346" t="s">
        <v>95</v>
      </c>
      <c r="G2229" s="328">
        <v>0</v>
      </c>
      <c r="H2229" s="347">
        <f t="shared" si="31"/>
        <v>0</v>
      </c>
      <c r="I2229" s="331" t="s">
        <v>95</v>
      </c>
    </row>
    <row r="2230" spans="1:9" x14ac:dyDescent="0.25">
      <c r="A2230" s="319">
        <v>42996</v>
      </c>
      <c r="B2230" s="320" t="s">
        <v>29990</v>
      </c>
      <c r="C2230" s="321">
        <v>127989</v>
      </c>
      <c r="D2230" s="390" t="s">
        <v>15307</v>
      </c>
      <c r="E2230" s="322">
        <v>4736.8</v>
      </c>
      <c r="F2230" s="323">
        <v>42996</v>
      </c>
      <c r="G2230" s="322">
        <v>4736.8</v>
      </c>
      <c r="H2230" s="322">
        <f t="shared" si="31"/>
        <v>0</v>
      </c>
      <c r="I2230" s="325" t="s">
        <v>15214</v>
      </c>
    </row>
    <row r="2231" spans="1:9" x14ac:dyDescent="0.25">
      <c r="A2231" s="359">
        <v>42996</v>
      </c>
      <c r="B2231" s="326" t="s">
        <v>29991</v>
      </c>
      <c r="C2231" s="327">
        <v>127990</v>
      </c>
      <c r="D2231" s="391" t="s">
        <v>15317</v>
      </c>
      <c r="E2231" s="328">
        <v>1632.8</v>
      </c>
      <c r="F2231" s="329">
        <v>42996</v>
      </c>
      <c r="G2231" s="328">
        <v>1632.8</v>
      </c>
      <c r="H2231" s="347">
        <f t="shared" si="31"/>
        <v>0</v>
      </c>
      <c r="I2231" s="331" t="s">
        <v>15214</v>
      </c>
    </row>
    <row r="2232" spans="1:9" x14ac:dyDescent="0.25">
      <c r="A2232" s="319">
        <v>42996</v>
      </c>
      <c r="B2232" s="320" t="s">
        <v>29992</v>
      </c>
      <c r="C2232" s="321">
        <v>127991</v>
      </c>
      <c r="D2232" s="390" t="s">
        <v>15309</v>
      </c>
      <c r="E2232" s="322">
        <v>17765.900000000001</v>
      </c>
      <c r="F2232" s="323">
        <v>42996</v>
      </c>
      <c r="G2232" s="322">
        <v>17765.900000000001</v>
      </c>
      <c r="H2232" s="322">
        <f t="shared" si="31"/>
        <v>0</v>
      </c>
      <c r="I2232" s="325" t="s">
        <v>15214</v>
      </c>
    </row>
    <row r="2233" spans="1:9" x14ac:dyDescent="0.25">
      <c r="A2233" s="359">
        <v>42996</v>
      </c>
      <c r="B2233" s="326" t="s">
        <v>29993</v>
      </c>
      <c r="C2233" s="327">
        <v>127992</v>
      </c>
      <c r="D2233" s="391" t="s">
        <v>15315</v>
      </c>
      <c r="E2233" s="328">
        <v>1709.48</v>
      </c>
      <c r="F2233" s="329">
        <v>42996</v>
      </c>
      <c r="G2233" s="328">
        <v>1709.48</v>
      </c>
      <c r="H2233" s="347">
        <f t="shared" si="31"/>
        <v>0</v>
      </c>
      <c r="I2233" s="331" t="s">
        <v>15214</v>
      </c>
    </row>
    <row r="2234" spans="1:9" x14ac:dyDescent="0.25">
      <c r="A2234" s="319">
        <v>42996</v>
      </c>
      <c r="B2234" s="320" t="s">
        <v>29994</v>
      </c>
      <c r="C2234" s="321">
        <v>127993</v>
      </c>
      <c r="D2234" s="390" t="s">
        <v>15311</v>
      </c>
      <c r="E2234" s="322">
        <v>2124.54</v>
      </c>
      <c r="F2234" s="323">
        <v>42996</v>
      </c>
      <c r="G2234" s="322">
        <v>2124.54</v>
      </c>
      <c r="H2234" s="322">
        <f t="shared" si="31"/>
        <v>0</v>
      </c>
      <c r="I2234" s="325" t="s">
        <v>15214</v>
      </c>
    </row>
    <row r="2235" spans="1:9" x14ac:dyDescent="0.25">
      <c r="A2235" s="359">
        <v>42996</v>
      </c>
      <c r="B2235" s="326" t="s">
        <v>29995</v>
      </c>
      <c r="C2235" s="327">
        <v>127994</v>
      </c>
      <c r="D2235" s="391" t="s">
        <v>15398</v>
      </c>
      <c r="E2235" s="328">
        <v>7364.6</v>
      </c>
      <c r="F2235" s="329">
        <v>43000</v>
      </c>
      <c r="G2235" s="328">
        <v>7364.6</v>
      </c>
      <c r="H2235" s="347">
        <f t="shared" si="31"/>
        <v>0</v>
      </c>
      <c r="I2235" s="331" t="s">
        <v>15214</v>
      </c>
    </row>
    <row r="2236" spans="1:9" x14ac:dyDescent="0.25">
      <c r="A2236" s="319">
        <v>42996</v>
      </c>
      <c r="B2236" s="320" t="s">
        <v>29996</v>
      </c>
      <c r="C2236" s="321">
        <v>127995</v>
      </c>
      <c r="D2236" s="390" t="s">
        <v>15920</v>
      </c>
      <c r="E2236" s="322">
        <v>15382.2</v>
      </c>
      <c r="F2236" s="323">
        <v>42996</v>
      </c>
      <c r="G2236" s="322">
        <v>15382.2</v>
      </c>
      <c r="H2236" s="322">
        <f t="shared" si="31"/>
        <v>0</v>
      </c>
      <c r="I2236" s="325" t="s">
        <v>15214</v>
      </c>
    </row>
    <row r="2237" spans="1:9" x14ac:dyDescent="0.25">
      <c r="A2237" s="359">
        <v>42996</v>
      </c>
      <c r="B2237" s="326" t="s">
        <v>29997</v>
      </c>
      <c r="C2237" s="327">
        <v>127996</v>
      </c>
      <c r="D2237" s="391" t="s">
        <v>16249</v>
      </c>
      <c r="E2237" s="328">
        <v>1190</v>
      </c>
      <c r="F2237" s="329">
        <v>42996</v>
      </c>
      <c r="G2237" s="328">
        <v>1190</v>
      </c>
      <c r="H2237" s="347">
        <f t="shared" si="31"/>
        <v>0</v>
      </c>
      <c r="I2237" s="331" t="s">
        <v>15214</v>
      </c>
    </row>
    <row r="2238" spans="1:9" x14ac:dyDescent="0.25">
      <c r="A2238" s="319">
        <v>42996</v>
      </c>
      <c r="B2238" s="320" t="s">
        <v>29998</v>
      </c>
      <c r="C2238" s="321">
        <v>127997</v>
      </c>
      <c r="D2238" s="390" t="s">
        <v>15286</v>
      </c>
      <c r="E2238" s="322">
        <v>6983.6</v>
      </c>
      <c r="F2238" s="323">
        <v>42996</v>
      </c>
      <c r="G2238" s="322">
        <v>6983.6</v>
      </c>
      <c r="H2238" s="322">
        <f t="shared" si="31"/>
        <v>0</v>
      </c>
      <c r="I2238" s="325" t="s">
        <v>15214</v>
      </c>
    </row>
    <row r="2239" spans="1:9" x14ac:dyDescent="0.25">
      <c r="A2239" s="359">
        <v>42996</v>
      </c>
      <c r="B2239" s="326" t="s">
        <v>29999</v>
      </c>
      <c r="C2239" s="327">
        <v>127998</v>
      </c>
      <c r="D2239" s="391" t="s">
        <v>15291</v>
      </c>
      <c r="E2239" s="328">
        <v>576</v>
      </c>
      <c r="F2239" s="329">
        <v>42996</v>
      </c>
      <c r="G2239" s="328">
        <v>576</v>
      </c>
      <c r="H2239" s="347">
        <f t="shared" si="31"/>
        <v>0</v>
      </c>
      <c r="I2239" s="331" t="s">
        <v>15214</v>
      </c>
    </row>
    <row r="2240" spans="1:9" x14ac:dyDescent="0.25">
      <c r="A2240" s="319">
        <v>42996</v>
      </c>
      <c r="B2240" s="320" t="s">
        <v>30000</v>
      </c>
      <c r="C2240" s="321">
        <v>127999</v>
      </c>
      <c r="D2240" s="390" t="s">
        <v>15396</v>
      </c>
      <c r="E2240" s="322">
        <v>3586.1</v>
      </c>
      <c r="F2240" s="323">
        <v>42996</v>
      </c>
      <c r="G2240" s="322">
        <v>3586.1</v>
      </c>
      <c r="H2240" s="322">
        <f t="shared" si="31"/>
        <v>0</v>
      </c>
      <c r="I2240" s="325" t="s">
        <v>15214</v>
      </c>
    </row>
    <row r="2241" spans="1:9" x14ac:dyDescent="0.25">
      <c r="A2241" s="359">
        <v>42996</v>
      </c>
      <c r="B2241" s="326" t="s">
        <v>30001</v>
      </c>
      <c r="C2241" s="327">
        <v>128000</v>
      </c>
      <c r="D2241" s="391" t="s">
        <v>15409</v>
      </c>
      <c r="E2241" s="328">
        <v>15510</v>
      </c>
      <c r="F2241" s="329">
        <v>42996</v>
      </c>
      <c r="G2241" s="328">
        <v>15510</v>
      </c>
      <c r="H2241" s="347">
        <f t="shared" si="31"/>
        <v>0</v>
      </c>
      <c r="I2241" s="331" t="s">
        <v>15214</v>
      </c>
    </row>
    <row r="2242" spans="1:9" ht="15.75" x14ac:dyDescent="0.25">
      <c r="A2242" s="319">
        <v>42996</v>
      </c>
      <c r="B2242" s="320" t="s">
        <v>30002</v>
      </c>
      <c r="C2242" s="321">
        <v>128001</v>
      </c>
      <c r="D2242" s="332" t="s">
        <v>95</v>
      </c>
      <c r="E2242" s="322">
        <v>0</v>
      </c>
      <c r="F2242" s="333" t="s">
        <v>95</v>
      </c>
      <c r="G2242" s="322">
        <v>0</v>
      </c>
      <c r="H2242" s="322">
        <f t="shared" si="31"/>
        <v>0</v>
      </c>
      <c r="I2242" s="325" t="s">
        <v>95</v>
      </c>
    </row>
    <row r="2243" spans="1:9" x14ac:dyDescent="0.25">
      <c r="A2243" s="359">
        <v>42996</v>
      </c>
      <c r="B2243" s="326" t="s">
        <v>30003</v>
      </c>
      <c r="C2243" s="327">
        <v>128002</v>
      </c>
      <c r="D2243" s="391" t="s">
        <v>15539</v>
      </c>
      <c r="E2243" s="328">
        <v>15015</v>
      </c>
      <c r="F2243" s="329">
        <v>42997</v>
      </c>
      <c r="G2243" s="328">
        <v>15015</v>
      </c>
      <c r="H2243" s="347">
        <f t="shared" si="31"/>
        <v>0</v>
      </c>
      <c r="I2243" s="331" t="s">
        <v>15214</v>
      </c>
    </row>
    <row r="2244" spans="1:9" x14ac:dyDescent="0.25">
      <c r="A2244" s="319">
        <v>42996</v>
      </c>
      <c r="B2244" s="320" t="s">
        <v>30004</v>
      </c>
      <c r="C2244" s="321">
        <v>128003</v>
      </c>
      <c r="D2244" s="390" t="s">
        <v>15537</v>
      </c>
      <c r="E2244" s="322">
        <v>20831.099999999999</v>
      </c>
      <c r="F2244" s="323">
        <v>42997</v>
      </c>
      <c r="G2244" s="322">
        <v>20831.099999999999</v>
      </c>
      <c r="H2244" s="322">
        <f t="shared" si="31"/>
        <v>0</v>
      </c>
      <c r="I2244" s="325" t="s">
        <v>15214</v>
      </c>
    </row>
    <row r="2245" spans="1:9" x14ac:dyDescent="0.25">
      <c r="A2245" s="359">
        <v>42996</v>
      </c>
      <c r="B2245" s="326" t="s">
        <v>30005</v>
      </c>
      <c r="C2245" s="327">
        <v>128004</v>
      </c>
      <c r="D2245" s="391" t="s">
        <v>15555</v>
      </c>
      <c r="E2245" s="328">
        <v>7502.5</v>
      </c>
      <c r="F2245" s="329">
        <v>42997</v>
      </c>
      <c r="G2245" s="328">
        <v>7502.5</v>
      </c>
      <c r="H2245" s="347">
        <f t="shared" si="31"/>
        <v>0</v>
      </c>
      <c r="I2245" s="331" t="s">
        <v>15214</v>
      </c>
    </row>
    <row r="2246" spans="1:9" x14ac:dyDescent="0.25">
      <c r="A2246" s="319">
        <v>42996</v>
      </c>
      <c r="B2246" s="320" t="s">
        <v>30006</v>
      </c>
      <c r="C2246" s="321">
        <v>128005</v>
      </c>
      <c r="D2246" s="390" t="s">
        <v>15244</v>
      </c>
      <c r="E2246" s="322">
        <v>11074.1</v>
      </c>
      <c r="F2246" s="323">
        <v>42997</v>
      </c>
      <c r="G2246" s="322">
        <v>11074.1</v>
      </c>
      <c r="H2246" s="322">
        <f t="shared" si="31"/>
        <v>0</v>
      </c>
      <c r="I2246" s="325" t="s">
        <v>15214</v>
      </c>
    </row>
    <row r="2247" spans="1:9" x14ac:dyDescent="0.25">
      <c r="A2247" s="359">
        <v>42996</v>
      </c>
      <c r="B2247" s="326" t="s">
        <v>30007</v>
      </c>
      <c r="C2247" s="327">
        <v>128006</v>
      </c>
      <c r="D2247" s="391" t="s">
        <v>15252</v>
      </c>
      <c r="E2247" s="328">
        <v>3570.6</v>
      </c>
      <c r="F2247" s="329">
        <v>42996</v>
      </c>
      <c r="G2247" s="328">
        <v>3570.6</v>
      </c>
      <c r="H2247" s="347">
        <f t="shared" si="31"/>
        <v>0</v>
      </c>
      <c r="I2247" s="331" t="s">
        <v>15214</v>
      </c>
    </row>
    <row r="2248" spans="1:9" x14ac:dyDescent="0.25">
      <c r="A2248" s="319">
        <v>42996</v>
      </c>
      <c r="B2248" s="320" t="s">
        <v>30008</v>
      </c>
      <c r="C2248" s="321">
        <v>128007</v>
      </c>
      <c r="D2248" s="390" t="s">
        <v>15246</v>
      </c>
      <c r="E2248" s="322">
        <v>83567.5</v>
      </c>
      <c r="F2248" s="323">
        <v>42999</v>
      </c>
      <c r="G2248" s="322">
        <v>83567.5</v>
      </c>
      <c r="H2248" s="322">
        <f t="shared" si="31"/>
        <v>0</v>
      </c>
      <c r="I2248" s="325" t="s">
        <v>15214</v>
      </c>
    </row>
    <row r="2249" spans="1:9" x14ac:dyDescent="0.25">
      <c r="A2249" s="359">
        <v>42996</v>
      </c>
      <c r="B2249" s="326" t="s">
        <v>30009</v>
      </c>
      <c r="C2249" s="327">
        <v>128008</v>
      </c>
      <c r="D2249" s="391" t="s">
        <v>15442</v>
      </c>
      <c r="E2249" s="328">
        <v>27549</v>
      </c>
      <c r="F2249" s="329">
        <v>42999</v>
      </c>
      <c r="G2249" s="328">
        <v>27549</v>
      </c>
      <c r="H2249" s="347">
        <f t="shared" si="31"/>
        <v>0</v>
      </c>
      <c r="I2249" s="331" t="s">
        <v>15214</v>
      </c>
    </row>
    <row r="2250" spans="1:9" ht="15.75" x14ac:dyDescent="0.25">
      <c r="A2250" s="319">
        <v>42996</v>
      </c>
      <c r="B2250" s="320" t="s">
        <v>30010</v>
      </c>
      <c r="C2250" s="321">
        <v>128009</v>
      </c>
      <c r="D2250" s="332" t="s">
        <v>95</v>
      </c>
      <c r="E2250" s="322">
        <v>0</v>
      </c>
      <c r="F2250" s="333" t="s">
        <v>95</v>
      </c>
      <c r="G2250" s="322">
        <v>0</v>
      </c>
      <c r="H2250" s="322">
        <f t="shared" si="31"/>
        <v>0</v>
      </c>
      <c r="I2250" s="325" t="s">
        <v>95</v>
      </c>
    </row>
    <row r="2251" spans="1:9" x14ac:dyDescent="0.25">
      <c r="A2251" s="359">
        <v>42996</v>
      </c>
      <c r="B2251" s="326" t="s">
        <v>30011</v>
      </c>
      <c r="C2251" s="327">
        <v>128010</v>
      </c>
      <c r="D2251" s="391" t="s">
        <v>19768</v>
      </c>
      <c r="E2251" s="328">
        <v>1440</v>
      </c>
      <c r="F2251" s="329">
        <v>42996</v>
      </c>
      <c r="G2251" s="328">
        <v>1440</v>
      </c>
      <c r="H2251" s="347">
        <f t="shared" si="31"/>
        <v>0</v>
      </c>
      <c r="I2251" s="331" t="s">
        <v>15214</v>
      </c>
    </row>
    <row r="2252" spans="1:9" x14ac:dyDescent="0.25">
      <c r="A2252" s="319">
        <v>42996</v>
      </c>
      <c r="B2252" s="320" t="s">
        <v>30012</v>
      </c>
      <c r="C2252" s="321">
        <v>128011</v>
      </c>
      <c r="D2252" s="390" t="s">
        <v>15423</v>
      </c>
      <c r="E2252" s="322">
        <v>1755.4</v>
      </c>
      <c r="F2252" s="323">
        <v>42996</v>
      </c>
      <c r="G2252" s="322">
        <v>1755.4</v>
      </c>
      <c r="H2252" s="322">
        <f t="shared" si="31"/>
        <v>0</v>
      </c>
      <c r="I2252" s="325" t="s">
        <v>15214</v>
      </c>
    </row>
    <row r="2253" spans="1:9" x14ac:dyDescent="0.25">
      <c r="A2253" s="359">
        <v>42996</v>
      </c>
      <c r="B2253" s="326" t="s">
        <v>30013</v>
      </c>
      <c r="C2253" s="327">
        <v>128012</v>
      </c>
      <c r="D2253" s="391" t="s">
        <v>15624</v>
      </c>
      <c r="E2253" s="328">
        <v>31846.5</v>
      </c>
      <c r="F2253" s="329">
        <v>42998</v>
      </c>
      <c r="G2253" s="328">
        <v>31846.5</v>
      </c>
      <c r="H2253" s="347">
        <f t="shared" si="31"/>
        <v>0</v>
      </c>
      <c r="I2253" s="331" t="s">
        <v>15214</v>
      </c>
    </row>
    <row r="2254" spans="1:9" x14ac:dyDescent="0.25">
      <c r="A2254" s="319">
        <v>42996</v>
      </c>
      <c r="B2254" s="320" t="s">
        <v>30014</v>
      </c>
      <c r="C2254" s="321">
        <v>128013</v>
      </c>
      <c r="D2254" s="390" t="s">
        <v>15246</v>
      </c>
      <c r="E2254" s="322">
        <v>234208.98</v>
      </c>
      <c r="F2254" s="323">
        <v>42999</v>
      </c>
      <c r="G2254" s="322">
        <v>234208.98</v>
      </c>
      <c r="H2254" s="322">
        <f t="shared" si="31"/>
        <v>0</v>
      </c>
      <c r="I2254" s="325" t="s">
        <v>15214</v>
      </c>
    </row>
    <row r="2255" spans="1:9" x14ac:dyDescent="0.25">
      <c r="A2255" s="359">
        <v>42996</v>
      </c>
      <c r="B2255" s="326" t="s">
        <v>30015</v>
      </c>
      <c r="C2255" s="327">
        <v>128014</v>
      </c>
      <c r="D2255" s="391" t="s">
        <v>15378</v>
      </c>
      <c r="E2255" s="328">
        <v>10872</v>
      </c>
      <c r="F2255" s="329">
        <v>43003</v>
      </c>
      <c r="G2255" s="328">
        <v>10872</v>
      </c>
      <c r="H2255" s="347">
        <f t="shared" si="31"/>
        <v>0</v>
      </c>
      <c r="I2255" s="331" t="s">
        <v>15214</v>
      </c>
    </row>
    <row r="2256" spans="1:9" x14ac:dyDescent="0.25">
      <c r="A2256" s="319">
        <v>42996</v>
      </c>
      <c r="B2256" s="320" t="s">
        <v>30016</v>
      </c>
      <c r="C2256" s="321">
        <v>128015</v>
      </c>
      <c r="D2256" s="390" t="s">
        <v>17462</v>
      </c>
      <c r="E2256" s="322">
        <v>4125.5</v>
      </c>
      <c r="F2256" s="323">
        <v>42996</v>
      </c>
      <c r="G2256" s="322">
        <v>4125.5</v>
      </c>
      <c r="H2256" s="322">
        <f t="shared" si="31"/>
        <v>0</v>
      </c>
      <c r="I2256" s="325" t="s">
        <v>15214</v>
      </c>
    </row>
    <row r="2257" spans="1:9" x14ac:dyDescent="0.25">
      <c r="A2257" s="359">
        <v>42996</v>
      </c>
      <c r="B2257" s="326" t="s">
        <v>30017</v>
      </c>
      <c r="C2257" s="327">
        <v>128016</v>
      </c>
      <c r="D2257" s="391" t="s">
        <v>16313</v>
      </c>
      <c r="E2257" s="328">
        <v>4813.2</v>
      </c>
      <c r="F2257" s="329">
        <v>42996</v>
      </c>
      <c r="G2257" s="328">
        <v>4813.2</v>
      </c>
      <c r="H2257" s="347">
        <f t="shared" si="31"/>
        <v>0</v>
      </c>
      <c r="I2257" s="331" t="s">
        <v>15214</v>
      </c>
    </row>
    <row r="2258" spans="1:9" x14ac:dyDescent="0.25">
      <c r="A2258" s="319">
        <v>42996</v>
      </c>
      <c r="B2258" s="320" t="s">
        <v>30018</v>
      </c>
      <c r="C2258" s="321">
        <v>128017</v>
      </c>
      <c r="D2258" s="390" t="s">
        <v>15276</v>
      </c>
      <c r="E2258" s="322">
        <v>2400</v>
      </c>
      <c r="F2258" s="323">
        <v>42997</v>
      </c>
      <c r="G2258" s="322">
        <v>2400</v>
      </c>
      <c r="H2258" s="322">
        <f t="shared" si="31"/>
        <v>0</v>
      </c>
      <c r="I2258" s="325" t="s">
        <v>15214</v>
      </c>
    </row>
    <row r="2259" spans="1:9" x14ac:dyDescent="0.25">
      <c r="A2259" s="359">
        <v>42996</v>
      </c>
      <c r="B2259" s="326" t="s">
        <v>30019</v>
      </c>
      <c r="C2259" s="327">
        <v>128018</v>
      </c>
      <c r="D2259" s="391" t="s">
        <v>15417</v>
      </c>
      <c r="E2259" s="328">
        <v>2359.4</v>
      </c>
      <c r="F2259" s="329">
        <v>42997</v>
      </c>
      <c r="G2259" s="328">
        <v>2359.4</v>
      </c>
      <c r="H2259" s="347">
        <f t="shared" si="31"/>
        <v>0</v>
      </c>
      <c r="I2259" s="331" t="s">
        <v>15214</v>
      </c>
    </row>
    <row r="2260" spans="1:9" x14ac:dyDescent="0.25">
      <c r="A2260" s="319">
        <v>42996</v>
      </c>
      <c r="B2260" s="320" t="s">
        <v>30020</v>
      </c>
      <c r="C2260" s="321">
        <v>128019</v>
      </c>
      <c r="D2260" s="390" t="s">
        <v>16286</v>
      </c>
      <c r="E2260" s="322">
        <v>722.88</v>
      </c>
      <c r="F2260" s="323">
        <v>42996</v>
      </c>
      <c r="G2260" s="322">
        <v>722.88</v>
      </c>
      <c r="H2260" s="322">
        <f t="shared" si="31"/>
        <v>0</v>
      </c>
      <c r="I2260" s="325" t="s">
        <v>15214</v>
      </c>
    </row>
    <row r="2261" spans="1:9" ht="15.75" x14ac:dyDescent="0.25">
      <c r="A2261" s="359">
        <v>42996</v>
      </c>
      <c r="B2261" s="326" t="s">
        <v>30021</v>
      </c>
      <c r="C2261" s="327">
        <v>128020</v>
      </c>
      <c r="D2261" s="345" t="s">
        <v>95</v>
      </c>
      <c r="E2261" s="328">
        <v>0</v>
      </c>
      <c r="F2261" s="346" t="s">
        <v>95</v>
      </c>
      <c r="G2261" s="328">
        <v>0</v>
      </c>
      <c r="H2261" s="347">
        <f t="shared" si="31"/>
        <v>0</v>
      </c>
      <c r="I2261" s="331" t="s">
        <v>95</v>
      </c>
    </row>
    <row r="2262" spans="1:9" x14ac:dyDescent="0.25">
      <c r="A2262" s="319">
        <v>42996</v>
      </c>
      <c r="B2262" s="320" t="s">
        <v>30022</v>
      </c>
      <c r="C2262" s="321">
        <v>128021</v>
      </c>
      <c r="D2262" s="390" t="s">
        <v>15930</v>
      </c>
      <c r="E2262" s="322">
        <v>8413.2000000000007</v>
      </c>
      <c r="F2262" s="323">
        <v>42997</v>
      </c>
      <c r="G2262" s="322">
        <v>8413.2000000000007</v>
      </c>
      <c r="H2262" s="322">
        <f t="shared" si="31"/>
        <v>0</v>
      </c>
      <c r="I2262" s="325" t="s">
        <v>15214</v>
      </c>
    </row>
    <row r="2263" spans="1:9" x14ac:dyDescent="0.25">
      <c r="A2263" s="359">
        <v>42996</v>
      </c>
      <c r="B2263" s="326" t="s">
        <v>30023</v>
      </c>
      <c r="C2263" s="327">
        <v>128022</v>
      </c>
      <c r="D2263" s="391" t="s">
        <v>15934</v>
      </c>
      <c r="E2263" s="328">
        <v>1420.4</v>
      </c>
      <c r="F2263" s="329">
        <v>42997</v>
      </c>
      <c r="G2263" s="328">
        <v>1420.4</v>
      </c>
      <c r="H2263" s="347">
        <f t="shared" si="31"/>
        <v>0</v>
      </c>
      <c r="I2263" s="331" t="s">
        <v>15214</v>
      </c>
    </row>
    <row r="2264" spans="1:9" x14ac:dyDescent="0.25">
      <c r="A2264" s="319">
        <v>42996</v>
      </c>
      <c r="B2264" s="320" t="s">
        <v>30024</v>
      </c>
      <c r="C2264" s="321">
        <v>128023</v>
      </c>
      <c r="D2264" s="390" t="s">
        <v>15365</v>
      </c>
      <c r="E2264" s="322">
        <v>393260</v>
      </c>
      <c r="F2264" s="323">
        <v>42999</v>
      </c>
      <c r="G2264" s="322">
        <v>393260</v>
      </c>
      <c r="H2264" s="322">
        <f t="shared" si="31"/>
        <v>0</v>
      </c>
      <c r="I2264" s="325" t="s">
        <v>15214</v>
      </c>
    </row>
    <row r="2265" spans="1:9" x14ac:dyDescent="0.25">
      <c r="A2265" s="359">
        <v>42996</v>
      </c>
      <c r="B2265" s="326" t="s">
        <v>30025</v>
      </c>
      <c r="C2265" s="327">
        <v>128024</v>
      </c>
      <c r="D2265" s="391" t="s">
        <v>23937</v>
      </c>
      <c r="E2265" s="328">
        <v>3559.2</v>
      </c>
      <c r="F2265" s="329">
        <v>42996</v>
      </c>
      <c r="G2265" s="328">
        <v>3559.2</v>
      </c>
      <c r="H2265" s="347">
        <f t="shared" si="31"/>
        <v>0</v>
      </c>
      <c r="I2265" s="331" t="s">
        <v>15214</v>
      </c>
    </row>
    <row r="2266" spans="1:9" x14ac:dyDescent="0.25">
      <c r="A2266" s="319">
        <v>42996</v>
      </c>
      <c r="B2266" s="320" t="s">
        <v>30026</v>
      </c>
      <c r="C2266" s="321">
        <v>128025</v>
      </c>
      <c r="D2266" s="390" t="s">
        <v>15246</v>
      </c>
      <c r="E2266" s="322">
        <v>72732.05</v>
      </c>
      <c r="F2266" s="323">
        <v>42999</v>
      </c>
      <c r="G2266" s="322">
        <v>72732.05</v>
      </c>
      <c r="H2266" s="322">
        <f t="shared" si="31"/>
        <v>0</v>
      </c>
      <c r="I2266" s="325" t="s">
        <v>15214</v>
      </c>
    </row>
    <row r="2267" spans="1:9" x14ac:dyDescent="0.25">
      <c r="A2267" s="359">
        <v>42996</v>
      </c>
      <c r="B2267" s="326" t="s">
        <v>30027</v>
      </c>
      <c r="C2267" s="327">
        <v>128026</v>
      </c>
      <c r="D2267" s="391" t="s">
        <v>15600</v>
      </c>
      <c r="E2267" s="328">
        <v>11005.6</v>
      </c>
      <c r="F2267" s="329">
        <v>42997</v>
      </c>
      <c r="G2267" s="328">
        <v>11005.6</v>
      </c>
      <c r="H2267" s="347">
        <f t="shared" si="31"/>
        <v>0</v>
      </c>
      <c r="I2267" s="331" t="s">
        <v>15214</v>
      </c>
    </row>
    <row r="2268" spans="1:9" x14ac:dyDescent="0.25">
      <c r="A2268" s="319">
        <v>42996</v>
      </c>
      <c r="B2268" s="320" t="s">
        <v>30028</v>
      </c>
      <c r="C2268" s="321">
        <v>128027</v>
      </c>
      <c r="D2268" s="390" t="s">
        <v>5883</v>
      </c>
      <c r="E2268" s="322">
        <v>3366.8</v>
      </c>
      <c r="F2268" s="323">
        <v>43011</v>
      </c>
      <c r="G2268" s="322">
        <v>3366.8</v>
      </c>
      <c r="H2268" s="322">
        <f t="shared" si="31"/>
        <v>0</v>
      </c>
      <c r="I2268" s="325" t="s">
        <v>15214</v>
      </c>
    </row>
    <row r="2269" spans="1:9" ht="15.75" x14ac:dyDescent="0.25">
      <c r="A2269" s="359">
        <v>42996</v>
      </c>
      <c r="B2269" s="326" t="s">
        <v>30029</v>
      </c>
      <c r="C2269" s="327">
        <v>128028</v>
      </c>
      <c r="D2269" s="400" t="s">
        <v>95</v>
      </c>
      <c r="E2269" s="328">
        <v>0</v>
      </c>
      <c r="F2269" s="346" t="s">
        <v>95</v>
      </c>
      <c r="G2269" s="328">
        <v>0</v>
      </c>
      <c r="H2269" s="347">
        <f t="shared" si="31"/>
        <v>0</v>
      </c>
      <c r="I2269" s="331" t="s">
        <v>95</v>
      </c>
    </row>
    <row r="2270" spans="1:9" x14ac:dyDescent="0.25">
      <c r="A2270" s="319">
        <v>42996</v>
      </c>
      <c r="B2270" s="320" t="s">
        <v>30030</v>
      </c>
      <c r="C2270" s="321">
        <v>128029</v>
      </c>
      <c r="D2270" s="390" t="s">
        <v>15263</v>
      </c>
      <c r="E2270" s="322">
        <v>262.2</v>
      </c>
      <c r="F2270" s="323">
        <v>42996</v>
      </c>
      <c r="G2270" s="322">
        <v>262.2</v>
      </c>
      <c r="H2270" s="322">
        <f t="shared" si="31"/>
        <v>0</v>
      </c>
      <c r="I2270" s="325" t="s">
        <v>15214</v>
      </c>
    </row>
    <row r="2271" spans="1:9" x14ac:dyDescent="0.25">
      <c r="A2271" s="359">
        <v>42996</v>
      </c>
      <c r="B2271" s="326" t="s">
        <v>30031</v>
      </c>
      <c r="C2271" s="327">
        <v>128030</v>
      </c>
      <c r="D2271" s="391" t="s">
        <v>15315</v>
      </c>
      <c r="E2271" s="328">
        <v>460.6</v>
      </c>
      <c r="F2271" s="329">
        <v>42996</v>
      </c>
      <c r="G2271" s="328">
        <v>460.6</v>
      </c>
      <c r="H2271" s="347">
        <f t="shared" si="31"/>
        <v>0</v>
      </c>
      <c r="I2271" s="331" t="s">
        <v>15214</v>
      </c>
    </row>
    <row r="2272" spans="1:9" x14ac:dyDescent="0.25">
      <c r="A2272" s="319">
        <v>42996</v>
      </c>
      <c r="B2272" s="320" t="s">
        <v>30032</v>
      </c>
      <c r="C2272" s="321">
        <v>128031</v>
      </c>
      <c r="D2272" s="390" t="s">
        <v>15315</v>
      </c>
      <c r="E2272" s="322">
        <v>325.8</v>
      </c>
      <c r="F2272" s="323">
        <v>42996</v>
      </c>
      <c r="G2272" s="322">
        <v>325.8</v>
      </c>
      <c r="H2272" s="322">
        <f t="shared" si="31"/>
        <v>0</v>
      </c>
      <c r="I2272" s="325" t="s">
        <v>15214</v>
      </c>
    </row>
    <row r="2273" spans="1:9" x14ac:dyDescent="0.25">
      <c r="A2273" s="359">
        <v>42996</v>
      </c>
      <c r="B2273" s="326" t="s">
        <v>30033</v>
      </c>
      <c r="C2273" s="327">
        <v>128032</v>
      </c>
      <c r="D2273" s="391" t="s">
        <v>15868</v>
      </c>
      <c r="E2273" s="328">
        <v>12401.6</v>
      </c>
      <c r="F2273" s="329">
        <v>42997</v>
      </c>
      <c r="G2273" s="328">
        <v>12401.6</v>
      </c>
      <c r="H2273" s="347">
        <f t="shared" si="31"/>
        <v>0</v>
      </c>
      <c r="I2273" s="331" t="s">
        <v>15214</v>
      </c>
    </row>
    <row r="2274" spans="1:9" x14ac:dyDescent="0.25">
      <c r="A2274" s="319">
        <v>42996</v>
      </c>
      <c r="B2274" s="320" t="s">
        <v>30034</v>
      </c>
      <c r="C2274" s="321">
        <v>128033</v>
      </c>
      <c r="D2274" s="390" t="s">
        <v>15391</v>
      </c>
      <c r="E2274" s="322">
        <v>7651.6</v>
      </c>
      <c r="F2274" s="323">
        <v>42998</v>
      </c>
      <c r="G2274" s="322">
        <v>7651.6</v>
      </c>
      <c r="H2274" s="322">
        <f t="shared" si="31"/>
        <v>0</v>
      </c>
      <c r="I2274" s="325" t="s">
        <v>15214</v>
      </c>
    </row>
    <row r="2275" spans="1:9" x14ac:dyDescent="0.25">
      <c r="A2275" s="359">
        <v>42996</v>
      </c>
      <c r="B2275" s="326" t="s">
        <v>30035</v>
      </c>
      <c r="C2275" s="327">
        <v>128034</v>
      </c>
      <c r="D2275" s="391" t="s">
        <v>15617</v>
      </c>
      <c r="E2275" s="328">
        <v>44017.8</v>
      </c>
      <c r="F2275" s="329">
        <v>42996</v>
      </c>
      <c r="G2275" s="328">
        <v>44017.8</v>
      </c>
      <c r="H2275" s="347">
        <f t="shared" si="31"/>
        <v>0</v>
      </c>
      <c r="I2275" s="331" t="s">
        <v>15214</v>
      </c>
    </row>
    <row r="2276" spans="1:9" x14ac:dyDescent="0.25">
      <c r="A2276" s="319">
        <v>42996</v>
      </c>
      <c r="B2276" s="320" t="s">
        <v>30036</v>
      </c>
      <c r="C2276" s="321">
        <v>128035</v>
      </c>
      <c r="D2276" s="390" t="s">
        <v>15322</v>
      </c>
      <c r="E2276" s="322">
        <v>1195.2</v>
      </c>
      <c r="F2276" s="323">
        <v>42996</v>
      </c>
      <c r="G2276" s="322">
        <v>1195.2</v>
      </c>
      <c r="H2276" s="322">
        <f t="shared" si="31"/>
        <v>0</v>
      </c>
      <c r="I2276" s="325" t="s">
        <v>15214</v>
      </c>
    </row>
    <row r="2277" spans="1:9" x14ac:dyDescent="0.25">
      <c r="A2277" s="359">
        <v>42996</v>
      </c>
      <c r="B2277" s="326" t="s">
        <v>30037</v>
      </c>
      <c r="C2277" s="327">
        <v>128036</v>
      </c>
      <c r="D2277" s="391" t="s">
        <v>15387</v>
      </c>
      <c r="E2277" s="328">
        <v>1322.22</v>
      </c>
      <c r="F2277" s="329">
        <v>42996</v>
      </c>
      <c r="G2277" s="328">
        <v>1322.22</v>
      </c>
      <c r="H2277" s="347">
        <f t="shared" si="31"/>
        <v>0</v>
      </c>
      <c r="I2277" s="331" t="s">
        <v>15214</v>
      </c>
    </row>
    <row r="2278" spans="1:9" x14ac:dyDescent="0.25">
      <c r="A2278" s="319">
        <v>42996</v>
      </c>
      <c r="B2278" s="320" t="s">
        <v>30038</v>
      </c>
      <c r="C2278" s="321">
        <v>128037</v>
      </c>
      <c r="D2278" s="390" t="s">
        <v>15592</v>
      </c>
      <c r="E2278" s="322">
        <v>9356.4</v>
      </c>
      <c r="F2278" s="323">
        <v>42996</v>
      </c>
      <c r="G2278" s="322">
        <v>9356.4</v>
      </c>
      <c r="H2278" s="322">
        <f t="shared" si="31"/>
        <v>0</v>
      </c>
      <c r="I2278" s="325" t="s">
        <v>15214</v>
      </c>
    </row>
    <row r="2279" spans="1:9" x14ac:dyDescent="0.25">
      <c r="A2279" s="359">
        <v>42996</v>
      </c>
      <c r="B2279" s="326" t="s">
        <v>30039</v>
      </c>
      <c r="C2279" s="327">
        <v>128038</v>
      </c>
      <c r="D2279" s="391" t="s">
        <v>15226</v>
      </c>
      <c r="E2279" s="328">
        <v>1100</v>
      </c>
      <c r="F2279" s="329">
        <v>42999</v>
      </c>
      <c r="G2279" s="328">
        <v>1100</v>
      </c>
      <c r="H2279" s="347">
        <f t="shared" si="31"/>
        <v>0</v>
      </c>
      <c r="I2279" s="331" t="s">
        <v>15214</v>
      </c>
    </row>
    <row r="2280" spans="1:9" x14ac:dyDescent="0.25">
      <c r="A2280" s="319">
        <v>42996</v>
      </c>
      <c r="B2280" s="320" t="s">
        <v>30040</v>
      </c>
      <c r="C2280" s="321">
        <v>128039</v>
      </c>
      <c r="D2280" s="390" t="s">
        <v>15444</v>
      </c>
      <c r="E2280" s="322">
        <v>2636.4</v>
      </c>
      <c r="F2280" s="323">
        <v>42997</v>
      </c>
      <c r="G2280" s="322">
        <v>2636.4</v>
      </c>
      <c r="H2280" s="322">
        <f t="shared" si="31"/>
        <v>0</v>
      </c>
      <c r="I2280" s="325" t="s">
        <v>15214</v>
      </c>
    </row>
    <row r="2281" spans="1:9" x14ac:dyDescent="0.25">
      <c r="A2281" s="359">
        <v>42996</v>
      </c>
      <c r="B2281" s="326" t="s">
        <v>30041</v>
      </c>
      <c r="C2281" s="327">
        <v>128040</v>
      </c>
      <c r="D2281" s="391" t="s">
        <v>15365</v>
      </c>
      <c r="E2281" s="328">
        <v>416465</v>
      </c>
      <c r="F2281" s="329">
        <v>42999</v>
      </c>
      <c r="G2281" s="328">
        <v>416465</v>
      </c>
      <c r="H2281" s="347">
        <f t="shared" si="31"/>
        <v>0</v>
      </c>
      <c r="I2281" s="331" t="s">
        <v>15214</v>
      </c>
    </row>
    <row r="2282" spans="1:9" x14ac:dyDescent="0.25">
      <c r="A2282" s="319">
        <v>42996</v>
      </c>
      <c r="B2282" s="320" t="s">
        <v>30042</v>
      </c>
      <c r="C2282" s="321">
        <v>128041</v>
      </c>
      <c r="D2282" s="390" t="s">
        <v>5880</v>
      </c>
      <c r="E2282" s="322">
        <v>76598.399999999994</v>
      </c>
      <c r="F2282" s="323">
        <v>42997</v>
      </c>
      <c r="G2282" s="322">
        <v>76598.399999999994</v>
      </c>
      <c r="H2282" s="322">
        <f t="shared" si="31"/>
        <v>0</v>
      </c>
      <c r="I2282" s="325" t="s">
        <v>15214</v>
      </c>
    </row>
    <row r="2283" spans="1:9" x14ac:dyDescent="0.25">
      <c r="A2283" s="359">
        <v>42996</v>
      </c>
      <c r="B2283" s="326" t="s">
        <v>30043</v>
      </c>
      <c r="C2283" s="327">
        <v>128042</v>
      </c>
      <c r="D2283" s="391" t="s">
        <v>19754</v>
      </c>
      <c r="E2283" s="328">
        <v>27393</v>
      </c>
      <c r="F2283" s="329">
        <v>42997</v>
      </c>
      <c r="G2283" s="328">
        <v>27393</v>
      </c>
      <c r="H2283" s="347">
        <f t="shared" si="31"/>
        <v>0</v>
      </c>
      <c r="I2283" s="331" t="s">
        <v>15214</v>
      </c>
    </row>
    <row r="2284" spans="1:9" x14ac:dyDescent="0.25">
      <c r="A2284" s="319">
        <v>42996</v>
      </c>
      <c r="B2284" s="320" t="s">
        <v>30044</v>
      </c>
      <c r="C2284" s="321">
        <v>128043</v>
      </c>
      <c r="D2284" s="390" t="s">
        <v>15315</v>
      </c>
      <c r="E2284" s="322">
        <v>420</v>
      </c>
      <c r="F2284" s="323">
        <v>42996</v>
      </c>
      <c r="G2284" s="322">
        <v>420</v>
      </c>
      <c r="H2284" s="322">
        <f t="shared" si="31"/>
        <v>0</v>
      </c>
      <c r="I2284" s="325" t="s">
        <v>15214</v>
      </c>
    </row>
    <row r="2285" spans="1:9" x14ac:dyDescent="0.25">
      <c r="A2285" s="359">
        <v>42996</v>
      </c>
      <c r="B2285" s="326" t="s">
        <v>30045</v>
      </c>
      <c r="C2285" s="327">
        <v>128044</v>
      </c>
      <c r="D2285" s="391" t="s">
        <v>15435</v>
      </c>
      <c r="E2285" s="328">
        <v>8298</v>
      </c>
      <c r="F2285" s="329">
        <v>42996</v>
      </c>
      <c r="G2285" s="328">
        <v>8298</v>
      </c>
      <c r="H2285" s="347">
        <f t="shared" si="31"/>
        <v>0</v>
      </c>
      <c r="I2285" s="331" t="s">
        <v>15214</v>
      </c>
    </row>
    <row r="2286" spans="1:9" x14ac:dyDescent="0.25">
      <c r="A2286" s="319">
        <v>42996</v>
      </c>
      <c r="B2286" s="320" t="s">
        <v>30046</v>
      </c>
      <c r="C2286" s="321">
        <v>128045</v>
      </c>
      <c r="D2286" s="390" t="s">
        <v>19765</v>
      </c>
      <c r="E2286" s="322">
        <v>3500</v>
      </c>
      <c r="F2286" s="323">
        <v>42999</v>
      </c>
      <c r="G2286" s="322">
        <v>3500</v>
      </c>
      <c r="H2286" s="322">
        <f t="shared" si="31"/>
        <v>0</v>
      </c>
      <c r="I2286" s="325" t="s">
        <v>15214</v>
      </c>
    </row>
    <row r="2287" spans="1:9" x14ac:dyDescent="0.25">
      <c r="A2287" s="359">
        <v>42996</v>
      </c>
      <c r="B2287" s="326" t="s">
        <v>30047</v>
      </c>
      <c r="C2287" s="327">
        <v>128046</v>
      </c>
      <c r="D2287" s="391" t="s">
        <v>27668</v>
      </c>
      <c r="E2287" s="328">
        <v>3500</v>
      </c>
      <c r="F2287" s="329">
        <v>42999</v>
      </c>
      <c r="G2287" s="328">
        <v>3500</v>
      </c>
      <c r="H2287" s="347">
        <f t="shared" si="31"/>
        <v>0</v>
      </c>
      <c r="I2287" s="331" t="s">
        <v>15214</v>
      </c>
    </row>
    <row r="2288" spans="1:9" x14ac:dyDescent="0.25">
      <c r="A2288" s="319">
        <v>42996</v>
      </c>
      <c r="B2288" s="320" t="s">
        <v>30048</v>
      </c>
      <c r="C2288" s="321">
        <v>128047</v>
      </c>
      <c r="D2288" s="390" t="s">
        <v>15818</v>
      </c>
      <c r="E2288" s="322">
        <v>5073.6000000000004</v>
      </c>
      <c r="F2288" s="323">
        <v>42998</v>
      </c>
      <c r="G2288" s="322">
        <v>5073.6000000000004</v>
      </c>
      <c r="H2288" s="322">
        <f t="shared" si="31"/>
        <v>0</v>
      </c>
      <c r="I2288" s="325" t="s">
        <v>15214</v>
      </c>
    </row>
    <row r="2289" spans="1:9" x14ac:dyDescent="0.25">
      <c r="A2289" s="359">
        <v>42996</v>
      </c>
      <c r="B2289" s="326" t="s">
        <v>30049</v>
      </c>
      <c r="C2289" s="327">
        <v>128048</v>
      </c>
      <c r="D2289" s="391" t="s">
        <v>19680</v>
      </c>
      <c r="E2289" s="328">
        <v>148</v>
      </c>
      <c r="F2289" s="329">
        <v>42996</v>
      </c>
      <c r="G2289" s="328">
        <v>148</v>
      </c>
      <c r="H2289" s="347">
        <f t="shared" ref="H2289:H2352" si="32">E2289-G2289</f>
        <v>0</v>
      </c>
      <c r="I2289" s="331" t="s">
        <v>15214</v>
      </c>
    </row>
    <row r="2290" spans="1:9" x14ac:dyDescent="0.25">
      <c r="A2290" s="319">
        <v>42996</v>
      </c>
      <c r="B2290" s="320" t="s">
        <v>30050</v>
      </c>
      <c r="C2290" s="321">
        <v>128049</v>
      </c>
      <c r="D2290" s="390" t="s">
        <v>15246</v>
      </c>
      <c r="E2290" s="322">
        <v>6576.4</v>
      </c>
      <c r="F2290" s="323">
        <v>42999</v>
      </c>
      <c r="G2290" s="322">
        <v>6576.4</v>
      </c>
      <c r="H2290" s="322">
        <f t="shared" si="32"/>
        <v>0</v>
      </c>
      <c r="I2290" s="325" t="s">
        <v>15214</v>
      </c>
    </row>
    <row r="2291" spans="1:9" x14ac:dyDescent="0.25">
      <c r="A2291" s="359">
        <v>42997</v>
      </c>
      <c r="B2291" s="326" t="s">
        <v>30051</v>
      </c>
      <c r="C2291" s="327">
        <v>128050</v>
      </c>
      <c r="D2291" s="391" t="s">
        <v>21386</v>
      </c>
      <c r="E2291" s="328">
        <v>10405.200000000001</v>
      </c>
      <c r="F2291" s="329">
        <v>42998</v>
      </c>
      <c r="G2291" s="328">
        <v>10405.200000000001</v>
      </c>
      <c r="H2291" s="347">
        <f t="shared" si="32"/>
        <v>0</v>
      </c>
      <c r="I2291" s="331" t="s">
        <v>15214</v>
      </c>
    </row>
    <row r="2292" spans="1:9" x14ac:dyDescent="0.25">
      <c r="A2292" s="319">
        <v>42997</v>
      </c>
      <c r="B2292" s="320" t="s">
        <v>30052</v>
      </c>
      <c r="C2292" s="321">
        <v>128051</v>
      </c>
      <c r="D2292" s="390" t="s">
        <v>15242</v>
      </c>
      <c r="E2292" s="322">
        <v>5482.4</v>
      </c>
      <c r="F2292" s="323">
        <v>42997</v>
      </c>
      <c r="G2292" s="322">
        <v>5482.4</v>
      </c>
      <c r="H2292" s="322">
        <f t="shared" si="32"/>
        <v>0</v>
      </c>
      <c r="I2292" s="325" t="s">
        <v>15214</v>
      </c>
    </row>
    <row r="2293" spans="1:9" x14ac:dyDescent="0.25">
      <c r="A2293" s="359">
        <v>42997</v>
      </c>
      <c r="B2293" s="326" t="s">
        <v>30053</v>
      </c>
      <c r="C2293" s="327">
        <v>128052</v>
      </c>
      <c r="D2293" s="391" t="s">
        <v>15330</v>
      </c>
      <c r="E2293" s="328">
        <v>3327.1</v>
      </c>
      <c r="F2293" s="329">
        <v>42997</v>
      </c>
      <c r="G2293" s="328">
        <v>3327.1</v>
      </c>
      <c r="H2293" s="347">
        <f t="shared" si="32"/>
        <v>0</v>
      </c>
      <c r="I2293" s="331" t="s">
        <v>15214</v>
      </c>
    </row>
    <row r="2294" spans="1:9" ht="15.75" x14ac:dyDescent="0.25">
      <c r="A2294" s="319">
        <v>42997</v>
      </c>
      <c r="B2294" s="320" t="s">
        <v>30054</v>
      </c>
      <c r="C2294" s="321">
        <v>128053</v>
      </c>
      <c r="D2294" s="332" t="s">
        <v>95</v>
      </c>
      <c r="E2294" s="322">
        <v>0</v>
      </c>
      <c r="F2294" s="333" t="s">
        <v>95</v>
      </c>
      <c r="G2294" s="322">
        <v>0</v>
      </c>
      <c r="H2294" s="322">
        <f t="shared" si="32"/>
        <v>0</v>
      </c>
      <c r="I2294" s="325" t="s">
        <v>95</v>
      </c>
    </row>
    <row r="2295" spans="1:9" x14ac:dyDescent="0.25">
      <c r="A2295" s="359">
        <v>42997</v>
      </c>
      <c r="B2295" s="326" t="s">
        <v>30055</v>
      </c>
      <c r="C2295" s="327">
        <v>128054</v>
      </c>
      <c r="D2295" s="391" t="s">
        <v>15448</v>
      </c>
      <c r="E2295" s="328">
        <v>122499.3</v>
      </c>
      <c r="F2295" s="329">
        <v>43001</v>
      </c>
      <c r="G2295" s="328">
        <v>122499.3</v>
      </c>
      <c r="H2295" s="347">
        <f t="shared" si="32"/>
        <v>0</v>
      </c>
      <c r="I2295" s="331" t="s">
        <v>15214</v>
      </c>
    </row>
    <row r="2296" spans="1:9" x14ac:dyDescent="0.25">
      <c r="A2296" s="319">
        <v>42997</v>
      </c>
      <c r="B2296" s="320" t="s">
        <v>30056</v>
      </c>
      <c r="C2296" s="321">
        <v>128055</v>
      </c>
      <c r="D2296" s="390" t="s">
        <v>30057</v>
      </c>
      <c r="E2296" s="322">
        <v>3588</v>
      </c>
      <c r="F2296" s="323">
        <v>42998</v>
      </c>
      <c r="G2296" s="322">
        <v>3588</v>
      </c>
      <c r="H2296" s="322">
        <f t="shared" si="32"/>
        <v>0</v>
      </c>
      <c r="I2296" s="325" t="s">
        <v>15214</v>
      </c>
    </row>
    <row r="2297" spans="1:9" ht="30" x14ac:dyDescent="0.25">
      <c r="A2297" s="359">
        <v>42997</v>
      </c>
      <c r="B2297" s="326" t="s">
        <v>30058</v>
      </c>
      <c r="C2297" s="327">
        <v>128056</v>
      </c>
      <c r="D2297" s="391" t="s">
        <v>15258</v>
      </c>
      <c r="E2297" s="328">
        <v>13002.6</v>
      </c>
      <c r="F2297" s="329" t="s">
        <v>30059</v>
      </c>
      <c r="G2297" s="328">
        <f>4000+9002.6</f>
        <v>13002.6</v>
      </c>
      <c r="H2297" s="347">
        <f t="shared" si="32"/>
        <v>0</v>
      </c>
      <c r="I2297" s="331" t="s">
        <v>15214</v>
      </c>
    </row>
    <row r="2298" spans="1:9" x14ac:dyDescent="0.25">
      <c r="A2298" s="319">
        <v>42997</v>
      </c>
      <c r="B2298" s="320" t="s">
        <v>30060</v>
      </c>
      <c r="C2298" s="321">
        <v>128057</v>
      </c>
      <c r="D2298" s="390" t="s">
        <v>18258</v>
      </c>
      <c r="E2298" s="322">
        <v>10724</v>
      </c>
      <c r="F2298" s="323">
        <v>42997</v>
      </c>
      <c r="G2298" s="322">
        <v>10724</v>
      </c>
      <c r="H2298" s="322">
        <f t="shared" si="32"/>
        <v>0</v>
      </c>
      <c r="I2298" s="325" t="s">
        <v>15214</v>
      </c>
    </row>
    <row r="2299" spans="1:9" x14ac:dyDescent="0.25">
      <c r="A2299" s="359">
        <v>42997</v>
      </c>
      <c r="B2299" s="326" t="s">
        <v>30061</v>
      </c>
      <c r="C2299" s="327">
        <v>128058</v>
      </c>
      <c r="D2299" s="391" t="s">
        <v>15232</v>
      </c>
      <c r="E2299" s="328">
        <v>527.1</v>
      </c>
      <c r="F2299" s="329">
        <v>42997</v>
      </c>
      <c r="G2299" s="328">
        <v>527.1</v>
      </c>
      <c r="H2299" s="347">
        <f t="shared" si="32"/>
        <v>0</v>
      </c>
      <c r="I2299" s="331" t="s">
        <v>15214</v>
      </c>
    </row>
    <row r="2300" spans="1:9" x14ac:dyDescent="0.25">
      <c r="A2300" s="319">
        <v>42997</v>
      </c>
      <c r="B2300" s="320" t="s">
        <v>30062</v>
      </c>
      <c r="C2300" s="321">
        <v>128059</v>
      </c>
      <c r="D2300" s="390" t="s">
        <v>18258</v>
      </c>
      <c r="E2300" s="322">
        <v>1568.7</v>
      </c>
      <c r="F2300" s="323">
        <v>42997</v>
      </c>
      <c r="G2300" s="322">
        <v>1568.7</v>
      </c>
      <c r="H2300" s="322">
        <f t="shared" si="32"/>
        <v>0</v>
      </c>
      <c r="I2300" s="325" t="s">
        <v>15214</v>
      </c>
    </row>
    <row r="2301" spans="1:9" ht="15.75" x14ac:dyDescent="0.25">
      <c r="A2301" s="359">
        <v>42997</v>
      </c>
      <c r="B2301" s="326" t="s">
        <v>30063</v>
      </c>
      <c r="C2301" s="327">
        <v>128060</v>
      </c>
      <c r="D2301" s="345" t="s">
        <v>95</v>
      </c>
      <c r="E2301" s="328">
        <v>0</v>
      </c>
      <c r="F2301" s="346" t="s">
        <v>95</v>
      </c>
      <c r="G2301" s="328">
        <v>0</v>
      </c>
      <c r="H2301" s="347">
        <f t="shared" si="32"/>
        <v>0</v>
      </c>
      <c r="I2301" s="331" t="s">
        <v>95</v>
      </c>
    </row>
    <row r="2302" spans="1:9" x14ac:dyDescent="0.25">
      <c r="A2302" s="319">
        <v>42997</v>
      </c>
      <c r="B2302" s="320" t="s">
        <v>30064</v>
      </c>
      <c r="C2302" s="321">
        <v>128061</v>
      </c>
      <c r="D2302" s="390" t="s">
        <v>15338</v>
      </c>
      <c r="E2302" s="322">
        <v>10249.200000000001</v>
      </c>
      <c r="F2302" s="323">
        <v>43000</v>
      </c>
      <c r="G2302" s="322">
        <v>10249.200000000001</v>
      </c>
      <c r="H2302" s="322">
        <f t="shared" si="32"/>
        <v>0</v>
      </c>
      <c r="I2302" s="325" t="s">
        <v>15214</v>
      </c>
    </row>
    <row r="2303" spans="1:9" x14ac:dyDescent="0.25">
      <c r="A2303" s="359">
        <v>42997</v>
      </c>
      <c r="B2303" s="326" t="s">
        <v>30065</v>
      </c>
      <c r="C2303" s="327">
        <v>128062</v>
      </c>
      <c r="D2303" s="391" t="s">
        <v>15307</v>
      </c>
      <c r="E2303" s="328">
        <v>2153.6</v>
      </c>
      <c r="F2303" s="329">
        <v>42997</v>
      </c>
      <c r="G2303" s="328">
        <v>2153.6</v>
      </c>
      <c r="H2303" s="347">
        <f t="shared" si="32"/>
        <v>0</v>
      </c>
      <c r="I2303" s="331" t="s">
        <v>15214</v>
      </c>
    </row>
    <row r="2304" spans="1:9" x14ac:dyDescent="0.25">
      <c r="A2304" s="319">
        <v>42997</v>
      </c>
      <c r="B2304" s="320" t="s">
        <v>30066</v>
      </c>
      <c r="C2304" s="321">
        <v>128063</v>
      </c>
      <c r="D2304" s="390" t="s">
        <v>15309</v>
      </c>
      <c r="E2304" s="322">
        <v>6921.6</v>
      </c>
      <c r="F2304" s="323">
        <v>42997</v>
      </c>
      <c r="G2304" s="322">
        <v>6921.6</v>
      </c>
      <c r="H2304" s="322">
        <f t="shared" si="32"/>
        <v>0</v>
      </c>
      <c r="I2304" s="325" t="s">
        <v>15214</v>
      </c>
    </row>
    <row r="2305" spans="1:9" x14ac:dyDescent="0.25">
      <c r="A2305" s="359">
        <v>42997</v>
      </c>
      <c r="B2305" s="326" t="s">
        <v>30067</v>
      </c>
      <c r="C2305" s="327">
        <v>128064</v>
      </c>
      <c r="D2305" s="391" t="s">
        <v>15317</v>
      </c>
      <c r="E2305" s="328">
        <v>3321.6</v>
      </c>
      <c r="F2305" s="329">
        <v>42999</v>
      </c>
      <c r="G2305" s="328">
        <v>3321.6</v>
      </c>
      <c r="H2305" s="347">
        <f t="shared" si="32"/>
        <v>0</v>
      </c>
      <c r="I2305" s="331" t="s">
        <v>15214</v>
      </c>
    </row>
    <row r="2306" spans="1:9" x14ac:dyDescent="0.25">
      <c r="A2306" s="319">
        <v>42997</v>
      </c>
      <c r="B2306" s="320" t="s">
        <v>30068</v>
      </c>
      <c r="C2306" s="321">
        <v>128065</v>
      </c>
      <c r="D2306" s="390" t="s">
        <v>15272</v>
      </c>
      <c r="E2306" s="322">
        <v>24188.6</v>
      </c>
      <c r="F2306" s="323">
        <v>42997</v>
      </c>
      <c r="G2306" s="322">
        <v>24188.6</v>
      </c>
      <c r="H2306" s="322">
        <f t="shared" si="32"/>
        <v>0</v>
      </c>
      <c r="I2306" s="325" t="s">
        <v>15214</v>
      </c>
    </row>
    <row r="2307" spans="1:9" x14ac:dyDescent="0.25">
      <c r="A2307" s="359">
        <v>42997</v>
      </c>
      <c r="B2307" s="326" t="s">
        <v>30069</v>
      </c>
      <c r="C2307" s="327">
        <v>128066</v>
      </c>
      <c r="D2307" s="391" t="s">
        <v>15475</v>
      </c>
      <c r="E2307" s="328">
        <v>4394.7</v>
      </c>
      <c r="F2307" s="329">
        <v>42999</v>
      </c>
      <c r="G2307" s="328">
        <v>4394.7</v>
      </c>
      <c r="H2307" s="347">
        <f t="shared" si="32"/>
        <v>0</v>
      </c>
      <c r="I2307" s="331" t="s">
        <v>15214</v>
      </c>
    </row>
    <row r="2308" spans="1:9" x14ac:dyDescent="0.25">
      <c r="A2308" s="319">
        <v>42997</v>
      </c>
      <c r="B2308" s="320" t="s">
        <v>30070</v>
      </c>
      <c r="C2308" s="321">
        <v>128067</v>
      </c>
      <c r="D2308" s="390" t="s">
        <v>15258</v>
      </c>
      <c r="E2308" s="322">
        <v>508</v>
      </c>
      <c r="F2308" s="323">
        <v>42998</v>
      </c>
      <c r="G2308" s="322">
        <v>508</v>
      </c>
      <c r="H2308" s="322">
        <f t="shared" si="32"/>
        <v>0</v>
      </c>
      <c r="I2308" s="325" t="s">
        <v>15214</v>
      </c>
    </row>
    <row r="2309" spans="1:9" x14ac:dyDescent="0.25">
      <c r="A2309" s="359">
        <v>42997</v>
      </c>
      <c r="B2309" s="326" t="s">
        <v>30071</v>
      </c>
      <c r="C2309" s="327">
        <v>128068</v>
      </c>
      <c r="D2309" s="391" t="s">
        <v>15234</v>
      </c>
      <c r="E2309" s="328">
        <v>3824</v>
      </c>
      <c r="F2309" s="329">
        <v>42999</v>
      </c>
      <c r="G2309" s="328">
        <v>3824</v>
      </c>
      <c r="H2309" s="347">
        <f t="shared" si="32"/>
        <v>0</v>
      </c>
      <c r="I2309" s="331" t="s">
        <v>15214</v>
      </c>
    </row>
    <row r="2310" spans="1:9" x14ac:dyDescent="0.25">
      <c r="A2310" s="319">
        <v>42997</v>
      </c>
      <c r="B2310" s="320" t="s">
        <v>30072</v>
      </c>
      <c r="C2310" s="321">
        <v>128069</v>
      </c>
      <c r="D2310" s="390" t="s">
        <v>15987</v>
      </c>
      <c r="E2310" s="322">
        <v>4435.2</v>
      </c>
      <c r="F2310" s="323">
        <v>42997</v>
      </c>
      <c r="G2310" s="322">
        <v>4435.2</v>
      </c>
      <c r="H2310" s="322">
        <f t="shared" si="32"/>
        <v>0</v>
      </c>
      <c r="I2310" s="325" t="s">
        <v>15214</v>
      </c>
    </row>
    <row r="2311" spans="1:9" x14ac:dyDescent="0.25">
      <c r="A2311" s="359">
        <v>42997</v>
      </c>
      <c r="B2311" s="326" t="s">
        <v>30073</v>
      </c>
      <c r="C2311" s="327">
        <v>128070</v>
      </c>
      <c r="D2311" s="391" t="s">
        <v>15523</v>
      </c>
      <c r="E2311" s="328">
        <v>1440</v>
      </c>
      <c r="F2311" s="329">
        <v>42997</v>
      </c>
      <c r="G2311" s="328">
        <v>1440</v>
      </c>
      <c r="H2311" s="347">
        <f t="shared" si="32"/>
        <v>0</v>
      </c>
      <c r="I2311" s="331" t="s">
        <v>15214</v>
      </c>
    </row>
    <row r="2312" spans="1:9" ht="30" x14ac:dyDescent="0.25">
      <c r="A2312" s="319">
        <v>42997</v>
      </c>
      <c r="B2312" s="320" t="s">
        <v>30074</v>
      </c>
      <c r="C2312" s="321">
        <v>128071</v>
      </c>
      <c r="D2312" s="390" t="s">
        <v>15371</v>
      </c>
      <c r="E2312" s="322">
        <v>9961.2999999999993</v>
      </c>
      <c r="F2312" s="323" t="s">
        <v>30075</v>
      </c>
      <c r="G2312" s="334">
        <f>6000+3961.3</f>
        <v>9961.2999999999993</v>
      </c>
      <c r="H2312" s="334">
        <f t="shared" si="32"/>
        <v>0</v>
      </c>
      <c r="I2312" s="325" t="s">
        <v>15214</v>
      </c>
    </row>
    <row r="2313" spans="1:9" x14ac:dyDescent="0.25">
      <c r="A2313" s="359">
        <v>42997</v>
      </c>
      <c r="B2313" s="326" t="s">
        <v>30076</v>
      </c>
      <c r="C2313" s="327">
        <v>128072</v>
      </c>
      <c r="D2313" s="391" t="s">
        <v>15668</v>
      </c>
      <c r="E2313" s="328">
        <v>9960.6</v>
      </c>
      <c r="F2313" s="329">
        <v>42998</v>
      </c>
      <c r="G2313" s="328">
        <v>9960.6</v>
      </c>
      <c r="H2313" s="347">
        <f t="shared" si="32"/>
        <v>0</v>
      </c>
      <c r="I2313" s="331" t="s">
        <v>15214</v>
      </c>
    </row>
    <row r="2314" spans="1:9" ht="30" x14ac:dyDescent="0.25">
      <c r="A2314" s="319">
        <v>42997</v>
      </c>
      <c r="B2314" s="320" t="s">
        <v>30077</v>
      </c>
      <c r="C2314" s="321">
        <v>128073</v>
      </c>
      <c r="D2314" s="390" t="s">
        <v>15256</v>
      </c>
      <c r="E2314" s="322">
        <v>6030</v>
      </c>
      <c r="F2314" s="323" t="s">
        <v>30059</v>
      </c>
      <c r="G2314" s="334">
        <f>2400+3630</f>
        <v>6030</v>
      </c>
      <c r="H2314" s="334">
        <f t="shared" si="32"/>
        <v>0</v>
      </c>
      <c r="I2314" s="325" t="s">
        <v>15214</v>
      </c>
    </row>
    <row r="2315" spans="1:9" x14ac:dyDescent="0.25">
      <c r="A2315" s="359">
        <v>42997</v>
      </c>
      <c r="B2315" s="326" t="s">
        <v>30078</v>
      </c>
      <c r="C2315" s="327">
        <v>128074</v>
      </c>
      <c r="D2315" s="391" t="s">
        <v>15261</v>
      </c>
      <c r="E2315" s="328">
        <v>4954.2</v>
      </c>
      <c r="F2315" s="329">
        <v>42997</v>
      </c>
      <c r="G2315" s="328">
        <v>4954.2</v>
      </c>
      <c r="H2315" s="347">
        <f t="shared" si="32"/>
        <v>0</v>
      </c>
      <c r="I2315" s="331" t="s">
        <v>15214</v>
      </c>
    </row>
    <row r="2316" spans="1:9" x14ac:dyDescent="0.25">
      <c r="A2316" s="319">
        <v>42997</v>
      </c>
      <c r="B2316" s="320" t="s">
        <v>30079</v>
      </c>
      <c r="C2316" s="321">
        <v>128075</v>
      </c>
      <c r="D2316" s="390" t="s">
        <v>15315</v>
      </c>
      <c r="E2316" s="322">
        <v>11696.1</v>
      </c>
      <c r="F2316" s="323">
        <v>42997</v>
      </c>
      <c r="G2316" s="322">
        <v>11696.1</v>
      </c>
      <c r="H2316" s="322">
        <f t="shared" si="32"/>
        <v>0</v>
      </c>
      <c r="I2316" s="325" t="s">
        <v>15214</v>
      </c>
    </row>
    <row r="2317" spans="1:9" x14ac:dyDescent="0.25">
      <c r="A2317" s="359">
        <v>42997</v>
      </c>
      <c r="B2317" s="326" t="s">
        <v>30080</v>
      </c>
      <c r="C2317" s="327">
        <v>128076</v>
      </c>
      <c r="D2317" s="391" t="s">
        <v>15223</v>
      </c>
      <c r="E2317" s="328">
        <v>67005</v>
      </c>
      <c r="F2317" s="329">
        <v>43019</v>
      </c>
      <c r="G2317" s="328">
        <v>67005</v>
      </c>
      <c r="H2317" s="347">
        <f t="shared" si="32"/>
        <v>0</v>
      </c>
      <c r="I2317" s="331" t="s">
        <v>15214</v>
      </c>
    </row>
    <row r="2318" spans="1:9" x14ac:dyDescent="0.25">
      <c r="A2318" s="319">
        <v>42997</v>
      </c>
      <c r="B2318" s="320" t="s">
        <v>30081</v>
      </c>
      <c r="C2318" s="321">
        <v>128077</v>
      </c>
      <c r="D2318" s="390" t="s">
        <v>15742</v>
      </c>
      <c r="E2318" s="322">
        <v>2009</v>
      </c>
      <c r="F2318" s="323">
        <v>42997</v>
      </c>
      <c r="G2318" s="322">
        <v>2009</v>
      </c>
      <c r="H2318" s="322">
        <f t="shared" si="32"/>
        <v>0</v>
      </c>
      <c r="I2318" s="325" t="s">
        <v>15214</v>
      </c>
    </row>
    <row r="2319" spans="1:9" x14ac:dyDescent="0.25">
      <c r="A2319" s="359">
        <v>42997</v>
      </c>
      <c r="B2319" s="326" t="s">
        <v>30082</v>
      </c>
      <c r="C2319" s="327">
        <v>128078</v>
      </c>
      <c r="D2319" s="391" t="s">
        <v>16171</v>
      </c>
      <c r="E2319" s="328">
        <v>348.3</v>
      </c>
      <c r="F2319" s="329">
        <v>42997</v>
      </c>
      <c r="G2319" s="328">
        <v>348.3</v>
      </c>
      <c r="H2319" s="347">
        <f t="shared" si="32"/>
        <v>0</v>
      </c>
      <c r="I2319" s="331" t="s">
        <v>15214</v>
      </c>
    </row>
    <row r="2320" spans="1:9" x14ac:dyDescent="0.25">
      <c r="A2320" s="319">
        <v>42997</v>
      </c>
      <c r="B2320" s="320" t="s">
        <v>30083</v>
      </c>
      <c r="C2320" s="321">
        <v>128079</v>
      </c>
      <c r="D2320" s="390" t="s">
        <v>15240</v>
      </c>
      <c r="E2320" s="322">
        <v>3748.1</v>
      </c>
      <c r="F2320" s="323">
        <v>42997</v>
      </c>
      <c r="G2320" s="322">
        <v>3748.1</v>
      </c>
      <c r="H2320" s="322">
        <f t="shared" si="32"/>
        <v>0</v>
      </c>
      <c r="I2320" s="325" t="s">
        <v>15214</v>
      </c>
    </row>
    <row r="2321" spans="1:9" x14ac:dyDescent="0.25">
      <c r="A2321" s="359">
        <v>42997</v>
      </c>
      <c r="B2321" s="326" t="s">
        <v>30084</v>
      </c>
      <c r="C2321" s="327">
        <v>128080</v>
      </c>
      <c r="D2321" s="391" t="s">
        <v>15261</v>
      </c>
      <c r="E2321" s="328">
        <v>21682.400000000001</v>
      </c>
      <c r="F2321" s="329">
        <v>42997</v>
      </c>
      <c r="G2321" s="328">
        <v>21682.400000000001</v>
      </c>
      <c r="H2321" s="347">
        <f t="shared" si="32"/>
        <v>0</v>
      </c>
      <c r="I2321" s="331" t="s">
        <v>15214</v>
      </c>
    </row>
    <row r="2322" spans="1:9" x14ac:dyDescent="0.25">
      <c r="A2322" s="319">
        <v>42997</v>
      </c>
      <c r="B2322" s="320" t="s">
        <v>30085</v>
      </c>
      <c r="C2322" s="321">
        <v>128081</v>
      </c>
      <c r="D2322" s="390" t="s">
        <v>15336</v>
      </c>
      <c r="E2322" s="322">
        <v>1245.5</v>
      </c>
      <c r="F2322" s="323">
        <v>42997</v>
      </c>
      <c r="G2322" s="322">
        <v>1245.5</v>
      </c>
      <c r="H2322" s="322">
        <f t="shared" si="32"/>
        <v>0</v>
      </c>
      <c r="I2322" s="325" t="s">
        <v>15214</v>
      </c>
    </row>
    <row r="2323" spans="1:9" x14ac:dyDescent="0.25">
      <c r="A2323" s="359">
        <v>42997</v>
      </c>
      <c r="B2323" s="326" t="s">
        <v>30086</v>
      </c>
      <c r="C2323" s="327">
        <v>128082</v>
      </c>
      <c r="D2323" s="391" t="s">
        <v>15248</v>
      </c>
      <c r="E2323" s="328">
        <v>17702</v>
      </c>
      <c r="F2323" s="329">
        <v>42997</v>
      </c>
      <c r="G2323" s="328">
        <v>17702</v>
      </c>
      <c r="H2323" s="347">
        <f t="shared" si="32"/>
        <v>0</v>
      </c>
      <c r="I2323" s="331" t="s">
        <v>15214</v>
      </c>
    </row>
    <row r="2324" spans="1:9" x14ac:dyDescent="0.25">
      <c r="A2324" s="319">
        <v>42997</v>
      </c>
      <c r="B2324" s="320" t="s">
        <v>30087</v>
      </c>
      <c r="C2324" s="321">
        <v>128083</v>
      </c>
      <c r="D2324" s="390" t="s">
        <v>15220</v>
      </c>
      <c r="E2324" s="322">
        <v>2400</v>
      </c>
      <c r="F2324" s="323">
        <v>42997</v>
      </c>
      <c r="G2324" s="322">
        <v>2400</v>
      </c>
      <c r="H2324" s="322">
        <f t="shared" si="32"/>
        <v>0</v>
      </c>
      <c r="I2324" s="325" t="s">
        <v>15214</v>
      </c>
    </row>
    <row r="2325" spans="1:9" ht="30" x14ac:dyDescent="0.25">
      <c r="A2325" s="359">
        <v>42997</v>
      </c>
      <c r="B2325" s="326" t="s">
        <v>30088</v>
      </c>
      <c r="C2325" s="327">
        <v>128084</v>
      </c>
      <c r="D2325" s="391" t="s">
        <v>15328</v>
      </c>
      <c r="E2325" s="328">
        <v>60091.8</v>
      </c>
      <c r="F2325" s="329" t="s">
        <v>30089</v>
      </c>
      <c r="G2325" s="347">
        <f>22450.99+37640.81</f>
        <v>60091.8</v>
      </c>
      <c r="H2325" s="347">
        <f t="shared" si="32"/>
        <v>0</v>
      </c>
      <c r="I2325" s="331" t="s">
        <v>15214</v>
      </c>
    </row>
    <row r="2326" spans="1:9" x14ac:dyDescent="0.25">
      <c r="A2326" s="319">
        <v>42997</v>
      </c>
      <c r="B2326" s="320" t="s">
        <v>30090</v>
      </c>
      <c r="C2326" s="321">
        <v>128085</v>
      </c>
      <c r="D2326" s="390" t="s">
        <v>15228</v>
      </c>
      <c r="E2326" s="322">
        <v>4780.8</v>
      </c>
      <c r="F2326" s="323">
        <v>42997</v>
      </c>
      <c r="G2326" s="322">
        <v>4780.8</v>
      </c>
      <c r="H2326" s="322">
        <f t="shared" si="32"/>
        <v>0</v>
      </c>
      <c r="I2326" s="325" t="s">
        <v>15214</v>
      </c>
    </row>
    <row r="2327" spans="1:9" x14ac:dyDescent="0.25">
      <c r="A2327" s="359">
        <v>42997</v>
      </c>
      <c r="B2327" s="326" t="s">
        <v>30091</v>
      </c>
      <c r="C2327" s="327">
        <v>128086</v>
      </c>
      <c r="D2327" s="391" t="s">
        <v>15358</v>
      </c>
      <c r="E2327" s="328">
        <v>2021</v>
      </c>
      <c r="F2327" s="329">
        <v>42997</v>
      </c>
      <c r="G2327" s="328">
        <v>2021</v>
      </c>
      <c r="H2327" s="347">
        <f t="shared" si="32"/>
        <v>0</v>
      </c>
      <c r="I2327" s="331" t="s">
        <v>15214</v>
      </c>
    </row>
    <row r="2328" spans="1:9" x14ac:dyDescent="0.25">
      <c r="A2328" s="319">
        <v>42997</v>
      </c>
      <c r="B2328" s="320" t="s">
        <v>30092</v>
      </c>
      <c r="C2328" s="321">
        <v>128087</v>
      </c>
      <c r="D2328" s="390" t="s">
        <v>15348</v>
      </c>
      <c r="E2328" s="322">
        <v>711.6</v>
      </c>
      <c r="F2328" s="323">
        <v>42998</v>
      </c>
      <c r="G2328" s="322">
        <v>711.6</v>
      </c>
      <c r="H2328" s="322">
        <f t="shared" si="32"/>
        <v>0</v>
      </c>
      <c r="I2328" s="325" t="s">
        <v>15214</v>
      </c>
    </row>
    <row r="2329" spans="1:9" ht="15.75" x14ac:dyDescent="0.25">
      <c r="A2329" s="359">
        <v>42997</v>
      </c>
      <c r="B2329" s="326" t="s">
        <v>30093</v>
      </c>
      <c r="C2329" s="327">
        <v>128088</v>
      </c>
      <c r="D2329" s="345" t="s">
        <v>95</v>
      </c>
      <c r="E2329" s="328">
        <v>0</v>
      </c>
      <c r="F2329" s="346" t="s">
        <v>95</v>
      </c>
      <c r="G2329" s="328">
        <v>0</v>
      </c>
      <c r="H2329" s="347">
        <f t="shared" si="32"/>
        <v>0</v>
      </c>
      <c r="I2329" s="331" t="s">
        <v>95</v>
      </c>
    </row>
    <row r="2330" spans="1:9" x14ac:dyDescent="0.25">
      <c r="A2330" s="319">
        <v>42997</v>
      </c>
      <c r="B2330" s="320" t="s">
        <v>30094</v>
      </c>
      <c r="C2330" s="321">
        <v>128089</v>
      </c>
      <c r="D2330" s="390" t="s">
        <v>15213</v>
      </c>
      <c r="E2330" s="322">
        <v>40430.1</v>
      </c>
      <c r="F2330" s="323">
        <v>42998</v>
      </c>
      <c r="G2330" s="322">
        <v>40430.1</v>
      </c>
      <c r="H2330" s="322">
        <f t="shared" si="32"/>
        <v>0</v>
      </c>
      <c r="I2330" s="325" t="s">
        <v>15214</v>
      </c>
    </row>
    <row r="2331" spans="1:9" x14ac:dyDescent="0.25">
      <c r="A2331" s="359">
        <v>42997</v>
      </c>
      <c r="B2331" s="326" t="s">
        <v>30095</v>
      </c>
      <c r="C2331" s="327">
        <v>128090</v>
      </c>
      <c r="D2331" s="391" t="s">
        <v>15232</v>
      </c>
      <c r="E2331" s="328">
        <v>7249.6</v>
      </c>
      <c r="F2331" s="329">
        <v>43006</v>
      </c>
      <c r="G2331" s="328">
        <v>7249.6</v>
      </c>
      <c r="H2331" s="347">
        <f t="shared" si="32"/>
        <v>0</v>
      </c>
      <c r="I2331" s="331" t="s">
        <v>15214</v>
      </c>
    </row>
    <row r="2332" spans="1:9" ht="30" x14ac:dyDescent="0.25">
      <c r="A2332" s="319">
        <v>42997</v>
      </c>
      <c r="B2332" s="320" t="s">
        <v>30096</v>
      </c>
      <c r="C2332" s="321">
        <v>128091</v>
      </c>
      <c r="D2332" s="390" t="s">
        <v>15238</v>
      </c>
      <c r="E2332" s="322">
        <v>5273.8</v>
      </c>
      <c r="F2332" s="323" t="s">
        <v>30097</v>
      </c>
      <c r="G2332" s="322">
        <f>2500+2773.8</f>
        <v>5273.8</v>
      </c>
      <c r="H2332" s="322">
        <f t="shared" si="32"/>
        <v>0</v>
      </c>
      <c r="I2332" s="325" t="s">
        <v>15214</v>
      </c>
    </row>
    <row r="2333" spans="1:9" x14ac:dyDescent="0.25">
      <c r="A2333" s="359">
        <v>42997</v>
      </c>
      <c r="B2333" s="326" t="s">
        <v>30098</v>
      </c>
      <c r="C2333" s="327">
        <v>128092</v>
      </c>
      <c r="D2333" s="391" t="s">
        <v>15236</v>
      </c>
      <c r="E2333" s="328">
        <v>6855</v>
      </c>
      <c r="F2333" s="329">
        <v>43000</v>
      </c>
      <c r="G2333" s="328">
        <v>6855</v>
      </c>
      <c r="H2333" s="347">
        <f t="shared" si="32"/>
        <v>0</v>
      </c>
      <c r="I2333" s="331" t="s">
        <v>15214</v>
      </c>
    </row>
    <row r="2334" spans="1:9" x14ac:dyDescent="0.25">
      <c r="A2334" s="319">
        <v>42997</v>
      </c>
      <c r="B2334" s="320" t="s">
        <v>30099</v>
      </c>
      <c r="C2334" s="321">
        <v>128093</v>
      </c>
      <c r="D2334" s="390" t="s">
        <v>15230</v>
      </c>
      <c r="E2334" s="322">
        <v>10263.6</v>
      </c>
      <c r="F2334" s="323">
        <v>43000</v>
      </c>
      <c r="G2334" s="322">
        <v>10263.6</v>
      </c>
      <c r="H2334" s="322">
        <f t="shared" si="32"/>
        <v>0</v>
      </c>
      <c r="I2334" s="325" t="s">
        <v>15214</v>
      </c>
    </row>
    <row r="2335" spans="1:9" x14ac:dyDescent="0.25">
      <c r="A2335" s="359">
        <v>42997</v>
      </c>
      <c r="B2335" s="326" t="s">
        <v>30100</v>
      </c>
      <c r="C2335" s="327">
        <v>128094</v>
      </c>
      <c r="D2335" s="391" t="s">
        <v>15309</v>
      </c>
      <c r="E2335" s="328">
        <v>2046</v>
      </c>
      <c r="F2335" s="329">
        <v>42997</v>
      </c>
      <c r="G2335" s="328">
        <v>2046</v>
      </c>
      <c r="H2335" s="347">
        <f t="shared" si="32"/>
        <v>0</v>
      </c>
      <c r="I2335" s="331" t="s">
        <v>15214</v>
      </c>
    </row>
    <row r="2336" spans="1:9" x14ac:dyDescent="0.25">
      <c r="A2336" s="319">
        <v>42997</v>
      </c>
      <c r="B2336" s="320" t="s">
        <v>30101</v>
      </c>
      <c r="C2336" s="321">
        <v>128095</v>
      </c>
      <c r="D2336" s="390" t="s">
        <v>15530</v>
      </c>
      <c r="E2336" s="322">
        <v>3268</v>
      </c>
      <c r="F2336" s="323">
        <v>42997</v>
      </c>
      <c r="G2336" s="322">
        <v>3268</v>
      </c>
      <c r="H2336" s="322">
        <f t="shared" si="32"/>
        <v>0</v>
      </c>
      <c r="I2336" s="325" t="s">
        <v>15214</v>
      </c>
    </row>
    <row r="2337" spans="1:9" x14ac:dyDescent="0.25">
      <c r="A2337" s="359">
        <v>42997</v>
      </c>
      <c r="B2337" s="326" t="s">
        <v>30102</v>
      </c>
      <c r="C2337" s="327">
        <v>128096</v>
      </c>
      <c r="D2337" s="391" t="s">
        <v>15858</v>
      </c>
      <c r="E2337" s="328">
        <v>2342.64</v>
      </c>
      <c r="F2337" s="329">
        <v>42997</v>
      </c>
      <c r="G2337" s="328">
        <v>2342.64</v>
      </c>
      <c r="H2337" s="347">
        <f t="shared" si="32"/>
        <v>0</v>
      </c>
      <c r="I2337" s="331" t="s">
        <v>15214</v>
      </c>
    </row>
    <row r="2338" spans="1:9" x14ac:dyDescent="0.25">
      <c r="A2338" s="319">
        <v>42997</v>
      </c>
      <c r="B2338" s="320" t="s">
        <v>30103</v>
      </c>
      <c r="C2338" s="321">
        <v>128097</v>
      </c>
      <c r="D2338" s="390" t="s">
        <v>15344</v>
      </c>
      <c r="E2338" s="322">
        <v>2190</v>
      </c>
      <c r="F2338" s="323">
        <v>42997</v>
      </c>
      <c r="G2338" s="322">
        <v>2190</v>
      </c>
      <c r="H2338" s="322">
        <f t="shared" si="32"/>
        <v>0</v>
      </c>
      <c r="I2338" s="325" t="s">
        <v>15214</v>
      </c>
    </row>
    <row r="2339" spans="1:9" x14ac:dyDescent="0.25">
      <c r="A2339" s="359">
        <v>42997</v>
      </c>
      <c r="B2339" s="326" t="s">
        <v>30104</v>
      </c>
      <c r="C2339" s="327">
        <v>128098</v>
      </c>
      <c r="D2339" s="391" t="s">
        <v>15334</v>
      </c>
      <c r="E2339" s="328">
        <v>1320</v>
      </c>
      <c r="F2339" s="329">
        <v>42997</v>
      </c>
      <c r="G2339" s="328">
        <v>1320</v>
      </c>
      <c r="H2339" s="347">
        <f t="shared" si="32"/>
        <v>0</v>
      </c>
      <c r="I2339" s="331" t="s">
        <v>15214</v>
      </c>
    </row>
    <row r="2340" spans="1:9" x14ac:dyDescent="0.25">
      <c r="A2340" s="319">
        <v>42997</v>
      </c>
      <c r="B2340" s="320" t="s">
        <v>30105</v>
      </c>
      <c r="C2340" s="321">
        <v>128099</v>
      </c>
      <c r="D2340" s="390" t="s">
        <v>15526</v>
      </c>
      <c r="E2340" s="322">
        <v>4585</v>
      </c>
      <c r="F2340" s="323">
        <v>42997</v>
      </c>
      <c r="G2340" s="322">
        <v>4585</v>
      </c>
      <c r="H2340" s="322">
        <f t="shared" si="32"/>
        <v>0</v>
      </c>
      <c r="I2340" s="325" t="s">
        <v>15214</v>
      </c>
    </row>
    <row r="2341" spans="1:9" x14ac:dyDescent="0.25">
      <c r="A2341" s="359">
        <v>42997</v>
      </c>
      <c r="B2341" s="326" t="s">
        <v>30106</v>
      </c>
      <c r="C2341" s="327">
        <v>128100</v>
      </c>
      <c r="D2341" s="391" t="s">
        <v>18544</v>
      </c>
      <c r="E2341" s="328">
        <v>6526</v>
      </c>
      <c r="F2341" s="329">
        <v>42997</v>
      </c>
      <c r="G2341" s="328">
        <v>6526</v>
      </c>
      <c r="H2341" s="347">
        <f t="shared" si="32"/>
        <v>0</v>
      </c>
      <c r="I2341" s="331" t="s">
        <v>15214</v>
      </c>
    </row>
    <row r="2342" spans="1:9" x14ac:dyDescent="0.25">
      <c r="A2342" s="319">
        <v>42997</v>
      </c>
      <c r="B2342" s="320" t="s">
        <v>30107</v>
      </c>
      <c r="C2342" s="321">
        <v>128101</v>
      </c>
      <c r="D2342" s="390" t="s">
        <v>15332</v>
      </c>
      <c r="E2342" s="322">
        <v>2865</v>
      </c>
      <c r="F2342" s="323">
        <v>42997</v>
      </c>
      <c r="G2342" s="322">
        <v>2865</v>
      </c>
      <c r="H2342" s="322">
        <f t="shared" si="32"/>
        <v>0</v>
      </c>
      <c r="I2342" s="325" t="s">
        <v>15214</v>
      </c>
    </row>
    <row r="2343" spans="1:9" x14ac:dyDescent="0.25">
      <c r="A2343" s="359">
        <v>42997</v>
      </c>
      <c r="B2343" s="326" t="s">
        <v>30108</v>
      </c>
      <c r="C2343" s="327">
        <v>128102</v>
      </c>
      <c r="D2343" s="391" t="s">
        <v>15280</v>
      </c>
      <c r="E2343" s="328">
        <v>2008.9</v>
      </c>
      <c r="F2343" s="329">
        <v>42997</v>
      </c>
      <c r="G2343" s="328">
        <v>2008.9</v>
      </c>
      <c r="H2343" s="347">
        <f t="shared" si="32"/>
        <v>0</v>
      </c>
      <c r="I2343" s="331" t="s">
        <v>15214</v>
      </c>
    </row>
    <row r="2344" spans="1:9" x14ac:dyDescent="0.25">
      <c r="A2344" s="319">
        <v>42997</v>
      </c>
      <c r="B2344" s="320" t="s">
        <v>30109</v>
      </c>
      <c r="C2344" s="321">
        <v>128103</v>
      </c>
      <c r="D2344" s="390" t="s">
        <v>15280</v>
      </c>
      <c r="E2344" s="322">
        <v>4757.2</v>
      </c>
      <c r="F2344" s="323">
        <v>42997</v>
      </c>
      <c r="G2344" s="322">
        <v>4757.2</v>
      </c>
      <c r="H2344" s="322">
        <f t="shared" si="32"/>
        <v>0</v>
      </c>
      <c r="I2344" s="325" t="s">
        <v>15214</v>
      </c>
    </row>
    <row r="2345" spans="1:9" x14ac:dyDescent="0.25">
      <c r="A2345" s="359">
        <v>42997</v>
      </c>
      <c r="B2345" s="326" t="s">
        <v>30110</v>
      </c>
      <c r="C2345" s="327">
        <v>128104</v>
      </c>
      <c r="D2345" s="391" t="s">
        <v>15315</v>
      </c>
      <c r="E2345" s="328">
        <v>2722</v>
      </c>
      <c r="F2345" s="329">
        <v>42997</v>
      </c>
      <c r="G2345" s="328">
        <v>2722</v>
      </c>
      <c r="H2345" s="347">
        <f t="shared" si="32"/>
        <v>0</v>
      </c>
      <c r="I2345" s="331" t="s">
        <v>15214</v>
      </c>
    </row>
    <row r="2346" spans="1:9" ht="15.75" x14ac:dyDescent="0.25">
      <c r="A2346" s="319">
        <v>42997</v>
      </c>
      <c r="B2346" s="320" t="s">
        <v>30111</v>
      </c>
      <c r="C2346" s="321">
        <v>128105</v>
      </c>
      <c r="D2346" s="332" t="s">
        <v>95</v>
      </c>
      <c r="E2346" s="322">
        <v>0</v>
      </c>
      <c r="F2346" s="333" t="s">
        <v>95</v>
      </c>
      <c r="G2346" s="322">
        <v>0</v>
      </c>
      <c r="H2346" s="322">
        <f t="shared" si="32"/>
        <v>0</v>
      </c>
      <c r="I2346" s="325" t="s">
        <v>95</v>
      </c>
    </row>
    <row r="2347" spans="1:9" x14ac:dyDescent="0.25">
      <c r="A2347" s="359">
        <v>42997</v>
      </c>
      <c r="B2347" s="326" t="s">
        <v>30112</v>
      </c>
      <c r="C2347" s="327">
        <v>128106</v>
      </c>
      <c r="D2347" s="391" t="s">
        <v>15728</v>
      </c>
      <c r="E2347" s="328">
        <v>13867.2</v>
      </c>
      <c r="F2347" s="329">
        <v>42997</v>
      </c>
      <c r="G2347" s="328">
        <v>13867.2</v>
      </c>
      <c r="H2347" s="347">
        <f t="shared" si="32"/>
        <v>0</v>
      </c>
      <c r="I2347" s="331" t="s">
        <v>15214</v>
      </c>
    </row>
    <row r="2348" spans="1:9" x14ac:dyDescent="0.25">
      <c r="A2348" s="319">
        <v>42997</v>
      </c>
      <c r="B2348" s="320" t="s">
        <v>30113</v>
      </c>
      <c r="C2348" s="321">
        <v>128107</v>
      </c>
      <c r="D2348" s="390" t="s">
        <v>15246</v>
      </c>
      <c r="E2348" s="322">
        <v>303.39999999999998</v>
      </c>
      <c r="F2348" s="323">
        <v>42999</v>
      </c>
      <c r="G2348" s="322">
        <v>303.39999999999998</v>
      </c>
      <c r="H2348" s="322">
        <f t="shared" si="32"/>
        <v>0</v>
      </c>
      <c r="I2348" s="325" t="s">
        <v>15214</v>
      </c>
    </row>
    <row r="2349" spans="1:9" x14ac:dyDescent="0.25">
      <c r="A2349" s="359">
        <v>42997</v>
      </c>
      <c r="B2349" s="326" t="s">
        <v>30114</v>
      </c>
      <c r="C2349" s="327">
        <v>128108</v>
      </c>
      <c r="D2349" s="391" t="s">
        <v>16139</v>
      </c>
      <c r="E2349" s="328">
        <v>3006.9</v>
      </c>
      <c r="F2349" s="329">
        <v>42998</v>
      </c>
      <c r="G2349" s="328">
        <v>3006.9</v>
      </c>
      <c r="H2349" s="347">
        <f t="shared" si="32"/>
        <v>0</v>
      </c>
      <c r="I2349" s="331" t="s">
        <v>15214</v>
      </c>
    </row>
    <row r="2350" spans="1:9" x14ac:dyDescent="0.25">
      <c r="A2350" s="319">
        <v>42997</v>
      </c>
      <c r="B2350" s="320" t="s">
        <v>30115</v>
      </c>
      <c r="C2350" s="321">
        <v>128109</v>
      </c>
      <c r="D2350" s="390" t="s">
        <v>15315</v>
      </c>
      <c r="E2350" s="322">
        <v>436.6</v>
      </c>
      <c r="F2350" s="323">
        <v>42997</v>
      </c>
      <c r="G2350" s="322">
        <v>436.6</v>
      </c>
      <c r="H2350" s="322">
        <f t="shared" si="32"/>
        <v>0</v>
      </c>
      <c r="I2350" s="325" t="s">
        <v>15214</v>
      </c>
    </row>
    <row r="2351" spans="1:9" x14ac:dyDescent="0.25">
      <c r="A2351" s="359">
        <v>42997</v>
      </c>
      <c r="B2351" s="326" t="s">
        <v>30116</v>
      </c>
      <c r="C2351" s="327">
        <v>128110</v>
      </c>
      <c r="D2351" s="391" t="s">
        <v>19742</v>
      </c>
      <c r="E2351" s="328">
        <v>31746.05</v>
      </c>
      <c r="F2351" s="329">
        <v>42998</v>
      </c>
      <c r="G2351" s="328">
        <v>31746.05</v>
      </c>
      <c r="H2351" s="347">
        <f t="shared" si="32"/>
        <v>0</v>
      </c>
      <c r="I2351" s="331" t="s">
        <v>15214</v>
      </c>
    </row>
    <row r="2352" spans="1:9" x14ac:dyDescent="0.25">
      <c r="A2352" s="319">
        <v>42997</v>
      </c>
      <c r="B2352" s="320" t="s">
        <v>30117</v>
      </c>
      <c r="C2352" s="321">
        <v>128111</v>
      </c>
      <c r="D2352" s="390" t="s">
        <v>15324</v>
      </c>
      <c r="E2352" s="322">
        <v>1671.2</v>
      </c>
      <c r="F2352" s="323">
        <v>42997</v>
      </c>
      <c r="G2352" s="322">
        <v>1671.2</v>
      </c>
      <c r="H2352" s="322">
        <f t="shared" si="32"/>
        <v>0</v>
      </c>
      <c r="I2352" s="325" t="s">
        <v>15214</v>
      </c>
    </row>
    <row r="2353" spans="1:9" x14ac:dyDescent="0.25">
      <c r="A2353" s="359">
        <v>42997</v>
      </c>
      <c r="B2353" s="326" t="s">
        <v>30118</v>
      </c>
      <c r="C2353" s="327">
        <v>128112</v>
      </c>
      <c r="D2353" s="391" t="s">
        <v>15378</v>
      </c>
      <c r="E2353" s="328">
        <v>671.6</v>
      </c>
      <c r="F2353" s="329">
        <v>42997</v>
      </c>
      <c r="G2353" s="328">
        <v>671.6</v>
      </c>
      <c r="H2353" s="347">
        <f t="shared" ref="H2353:H2416" si="33">E2353-G2353</f>
        <v>0</v>
      </c>
      <c r="I2353" s="331" t="s">
        <v>15214</v>
      </c>
    </row>
    <row r="2354" spans="1:9" x14ac:dyDescent="0.25">
      <c r="A2354" s="319">
        <v>42997</v>
      </c>
      <c r="B2354" s="320" t="s">
        <v>30119</v>
      </c>
      <c r="C2354" s="321">
        <v>128113</v>
      </c>
      <c r="D2354" s="390" t="s">
        <v>19964</v>
      </c>
      <c r="E2354" s="322">
        <v>4167.8999999999996</v>
      </c>
      <c r="F2354" s="323">
        <v>42997</v>
      </c>
      <c r="G2354" s="322">
        <v>4167.8999999999996</v>
      </c>
      <c r="H2354" s="322">
        <f t="shared" si="33"/>
        <v>0</v>
      </c>
      <c r="I2354" s="325" t="s">
        <v>15214</v>
      </c>
    </row>
    <row r="2355" spans="1:9" x14ac:dyDescent="0.25">
      <c r="A2355" s="359">
        <v>42997</v>
      </c>
      <c r="B2355" s="326" t="s">
        <v>30120</v>
      </c>
      <c r="C2355" s="327">
        <v>128114</v>
      </c>
      <c r="D2355" s="391" t="s">
        <v>15537</v>
      </c>
      <c r="E2355" s="328">
        <v>20863.900000000001</v>
      </c>
      <c r="F2355" s="329">
        <v>42998</v>
      </c>
      <c r="G2355" s="328">
        <v>20863.900000000001</v>
      </c>
      <c r="H2355" s="347">
        <f t="shared" si="33"/>
        <v>0</v>
      </c>
      <c r="I2355" s="331" t="s">
        <v>15214</v>
      </c>
    </row>
    <row r="2356" spans="1:9" x14ac:dyDescent="0.25">
      <c r="A2356" s="319">
        <v>42997</v>
      </c>
      <c r="B2356" s="320" t="s">
        <v>30121</v>
      </c>
      <c r="C2356" s="321">
        <v>128115</v>
      </c>
      <c r="D2356" s="390" t="s">
        <v>15559</v>
      </c>
      <c r="E2356" s="322">
        <v>11510.3</v>
      </c>
      <c r="F2356" s="323">
        <v>42999</v>
      </c>
      <c r="G2356" s="322">
        <v>11510.3</v>
      </c>
      <c r="H2356" s="322">
        <f t="shared" si="33"/>
        <v>0</v>
      </c>
      <c r="I2356" s="325" t="s">
        <v>15214</v>
      </c>
    </row>
    <row r="2357" spans="1:9" x14ac:dyDescent="0.25">
      <c r="A2357" s="359">
        <v>42997</v>
      </c>
      <c r="B2357" s="326" t="s">
        <v>30122</v>
      </c>
      <c r="C2357" s="327">
        <v>128116</v>
      </c>
      <c r="D2357" s="391" t="s">
        <v>15555</v>
      </c>
      <c r="E2357" s="328">
        <v>34016.050000000003</v>
      </c>
      <c r="F2357" s="329">
        <v>42998</v>
      </c>
      <c r="G2357" s="328">
        <v>34016.050000000003</v>
      </c>
      <c r="H2357" s="347">
        <f t="shared" si="33"/>
        <v>0</v>
      </c>
      <c r="I2357" s="331" t="s">
        <v>15214</v>
      </c>
    </row>
    <row r="2358" spans="1:9" x14ac:dyDescent="0.25">
      <c r="A2358" s="319">
        <v>42997</v>
      </c>
      <c r="B2358" s="320" t="s">
        <v>30123</v>
      </c>
      <c r="C2358" s="321">
        <v>128117</v>
      </c>
      <c r="D2358" s="390" t="s">
        <v>15699</v>
      </c>
      <c r="E2358" s="322">
        <v>957</v>
      </c>
      <c r="F2358" s="323">
        <v>42998</v>
      </c>
      <c r="G2358" s="322">
        <v>957</v>
      </c>
      <c r="H2358" s="322">
        <f t="shared" si="33"/>
        <v>0</v>
      </c>
      <c r="I2358" s="325" t="s">
        <v>15214</v>
      </c>
    </row>
    <row r="2359" spans="1:9" x14ac:dyDescent="0.25">
      <c r="A2359" s="359">
        <v>42997</v>
      </c>
      <c r="B2359" s="326" t="s">
        <v>30124</v>
      </c>
      <c r="C2359" s="327">
        <v>128118</v>
      </c>
      <c r="D2359" s="391" t="s">
        <v>15699</v>
      </c>
      <c r="E2359" s="328">
        <v>3387</v>
      </c>
      <c r="F2359" s="329">
        <v>42998</v>
      </c>
      <c r="G2359" s="328">
        <v>3387</v>
      </c>
      <c r="H2359" s="347">
        <f t="shared" si="33"/>
        <v>0</v>
      </c>
      <c r="I2359" s="331" t="s">
        <v>15214</v>
      </c>
    </row>
    <row r="2360" spans="1:9" x14ac:dyDescent="0.25">
      <c r="A2360" s="319">
        <v>42997</v>
      </c>
      <c r="B2360" s="320" t="s">
        <v>30125</v>
      </c>
      <c r="C2360" s="321">
        <v>128119</v>
      </c>
      <c r="D2360" s="390" t="s">
        <v>15557</v>
      </c>
      <c r="E2360" s="322">
        <v>8386.9</v>
      </c>
      <c r="F2360" s="323">
        <v>42998</v>
      </c>
      <c r="G2360" s="322">
        <v>8386.9</v>
      </c>
      <c r="H2360" s="322">
        <f t="shared" si="33"/>
        <v>0</v>
      </c>
      <c r="I2360" s="325" t="s">
        <v>15214</v>
      </c>
    </row>
    <row r="2361" spans="1:9" x14ac:dyDescent="0.25">
      <c r="A2361" s="359">
        <v>42997</v>
      </c>
      <c r="B2361" s="326" t="s">
        <v>30126</v>
      </c>
      <c r="C2361" s="327">
        <v>128120</v>
      </c>
      <c r="D2361" s="391" t="s">
        <v>15254</v>
      </c>
      <c r="E2361" s="328">
        <v>4349.5</v>
      </c>
      <c r="F2361" s="329">
        <v>42997</v>
      </c>
      <c r="G2361" s="328">
        <v>4349.5</v>
      </c>
      <c r="H2361" s="347">
        <f t="shared" si="33"/>
        <v>0</v>
      </c>
      <c r="I2361" s="331" t="s">
        <v>15214</v>
      </c>
    </row>
    <row r="2362" spans="1:9" x14ac:dyDescent="0.25">
      <c r="A2362" s="319">
        <v>42997</v>
      </c>
      <c r="B2362" s="320" t="s">
        <v>30127</v>
      </c>
      <c r="C2362" s="321">
        <v>128121</v>
      </c>
      <c r="D2362" s="390" t="s">
        <v>19302</v>
      </c>
      <c r="E2362" s="322">
        <v>720</v>
      </c>
      <c r="F2362" s="323">
        <v>42997</v>
      </c>
      <c r="G2362" s="322">
        <v>720</v>
      </c>
      <c r="H2362" s="322">
        <f t="shared" si="33"/>
        <v>0</v>
      </c>
      <c r="I2362" s="325" t="s">
        <v>15214</v>
      </c>
    </row>
    <row r="2363" spans="1:9" x14ac:dyDescent="0.25">
      <c r="A2363" s="359">
        <v>42997</v>
      </c>
      <c r="B2363" s="326" t="s">
        <v>30128</v>
      </c>
      <c r="C2363" s="327">
        <v>128122</v>
      </c>
      <c r="D2363" s="391" t="s">
        <v>15549</v>
      </c>
      <c r="E2363" s="328">
        <v>8964.2000000000007</v>
      </c>
      <c r="F2363" s="329">
        <v>42997</v>
      </c>
      <c r="G2363" s="328">
        <v>8964.2000000000007</v>
      </c>
      <c r="H2363" s="347">
        <f t="shared" si="33"/>
        <v>0</v>
      </c>
      <c r="I2363" s="331" t="s">
        <v>15214</v>
      </c>
    </row>
    <row r="2364" spans="1:9" x14ac:dyDescent="0.25">
      <c r="A2364" s="319">
        <v>42997</v>
      </c>
      <c r="B2364" s="320" t="s">
        <v>30129</v>
      </c>
      <c r="C2364" s="321">
        <v>128123</v>
      </c>
      <c r="D2364" s="390" t="s">
        <v>15315</v>
      </c>
      <c r="E2364" s="322">
        <v>840</v>
      </c>
      <c r="F2364" s="323">
        <v>42997</v>
      </c>
      <c r="G2364" s="322">
        <v>840</v>
      </c>
      <c r="H2364" s="322">
        <f t="shared" si="33"/>
        <v>0</v>
      </c>
      <c r="I2364" s="325" t="s">
        <v>15214</v>
      </c>
    </row>
    <row r="2365" spans="1:9" x14ac:dyDescent="0.25">
      <c r="A2365" s="359">
        <v>42997</v>
      </c>
      <c r="B2365" s="326" t="s">
        <v>30130</v>
      </c>
      <c r="C2365" s="327">
        <v>128124</v>
      </c>
      <c r="D2365" s="391" t="s">
        <v>15244</v>
      </c>
      <c r="E2365" s="328">
        <v>20897.2</v>
      </c>
      <c r="F2365" s="329">
        <v>43003</v>
      </c>
      <c r="G2365" s="328">
        <v>20897.2</v>
      </c>
      <c r="H2365" s="347">
        <f t="shared" si="33"/>
        <v>0</v>
      </c>
      <c r="I2365" s="331" t="s">
        <v>15214</v>
      </c>
    </row>
    <row r="2366" spans="1:9" x14ac:dyDescent="0.25">
      <c r="A2366" s="319">
        <v>42997</v>
      </c>
      <c r="B2366" s="320" t="s">
        <v>30131</v>
      </c>
      <c r="C2366" s="321">
        <v>128125</v>
      </c>
      <c r="D2366" s="390" t="s">
        <v>15252</v>
      </c>
      <c r="E2366" s="322">
        <v>5775.7</v>
      </c>
      <c r="F2366" s="323">
        <v>43005</v>
      </c>
      <c r="G2366" s="322">
        <v>5775.7</v>
      </c>
      <c r="H2366" s="322">
        <f t="shared" si="33"/>
        <v>0</v>
      </c>
      <c r="I2366" s="325" t="s">
        <v>15214</v>
      </c>
    </row>
    <row r="2367" spans="1:9" x14ac:dyDescent="0.25">
      <c r="A2367" s="359">
        <v>42997</v>
      </c>
      <c r="B2367" s="326" t="s">
        <v>30132</v>
      </c>
      <c r="C2367" s="327">
        <v>128126</v>
      </c>
      <c r="D2367" s="391" t="s">
        <v>15263</v>
      </c>
      <c r="E2367" s="328">
        <v>1920.2</v>
      </c>
      <c r="F2367" s="329">
        <v>42997</v>
      </c>
      <c r="G2367" s="328">
        <v>1920.2</v>
      </c>
      <c r="H2367" s="347">
        <f t="shared" si="33"/>
        <v>0</v>
      </c>
      <c r="I2367" s="331" t="s">
        <v>15214</v>
      </c>
    </row>
    <row r="2368" spans="1:9" x14ac:dyDescent="0.25">
      <c r="A2368" s="319">
        <v>42997</v>
      </c>
      <c r="B2368" s="320" t="s">
        <v>30133</v>
      </c>
      <c r="C2368" s="321">
        <v>128127</v>
      </c>
      <c r="D2368" s="390" t="s">
        <v>23937</v>
      </c>
      <c r="E2368" s="322">
        <v>3585.6</v>
      </c>
      <c r="F2368" s="323">
        <v>42997</v>
      </c>
      <c r="G2368" s="322">
        <v>3585.6</v>
      </c>
      <c r="H2368" s="322">
        <f t="shared" si="33"/>
        <v>0</v>
      </c>
      <c r="I2368" s="325" t="s">
        <v>15214</v>
      </c>
    </row>
    <row r="2369" spans="1:9" x14ac:dyDescent="0.25">
      <c r="A2369" s="359">
        <v>42997</v>
      </c>
      <c r="B2369" s="326" t="s">
        <v>30134</v>
      </c>
      <c r="C2369" s="327">
        <v>128128</v>
      </c>
      <c r="D2369" s="391" t="s">
        <v>15566</v>
      </c>
      <c r="E2369" s="328">
        <v>2911</v>
      </c>
      <c r="F2369" s="329">
        <v>42997</v>
      </c>
      <c r="G2369" s="328">
        <v>2911</v>
      </c>
      <c r="H2369" s="347">
        <f t="shared" si="33"/>
        <v>0</v>
      </c>
      <c r="I2369" s="331" t="s">
        <v>15214</v>
      </c>
    </row>
    <row r="2370" spans="1:9" x14ac:dyDescent="0.25">
      <c r="A2370" s="319">
        <v>42997</v>
      </c>
      <c r="B2370" s="320" t="s">
        <v>30135</v>
      </c>
      <c r="C2370" s="321">
        <v>128129</v>
      </c>
      <c r="D2370" s="390" t="s">
        <v>17057</v>
      </c>
      <c r="E2370" s="322">
        <v>906.4</v>
      </c>
      <c r="F2370" s="323">
        <v>42997</v>
      </c>
      <c r="G2370" s="322">
        <v>906.4</v>
      </c>
      <c r="H2370" s="322">
        <f t="shared" si="33"/>
        <v>0</v>
      </c>
      <c r="I2370" s="325" t="s">
        <v>15214</v>
      </c>
    </row>
    <row r="2371" spans="1:9" x14ac:dyDescent="0.25">
      <c r="A2371" s="359">
        <v>42997</v>
      </c>
      <c r="B2371" s="326" t="s">
        <v>30136</v>
      </c>
      <c r="C2371" s="327">
        <v>128130</v>
      </c>
      <c r="D2371" s="391" t="s">
        <v>15315</v>
      </c>
      <c r="E2371" s="328">
        <v>387.4</v>
      </c>
      <c r="F2371" s="329">
        <v>42997</v>
      </c>
      <c r="G2371" s="328">
        <v>387.4</v>
      </c>
      <c r="H2371" s="347">
        <f t="shared" si="33"/>
        <v>0</v>
      </c>
      <c r="I2371" s="331" t="s">
        <v>15214</v>
      </c>
    </row>
    <row r="2372" spans="1:9" x14ac:dyDescent="0.25">
      <c r="A2372" s="319">
        <v>42997</v>
      </c>
      <c r="B2372" s="320" t="s">
        <v>30137</v>
      </c>
      <c r="C2372" s="321">
        <v>128131</v>
      </c>
      <c r="D2372" s="390" t="s">
        <v>15315</v>
      </c>
      <c r="E2372" s="322">
        <v>1188.2</v>
      </c>
      <c r="F2372" s="323">
        <v>42997</v>
      </c>
      <c r="G2372" s="322">
        <v>1188.2</v>
      </c>
      <c r="H2372" s="322">
        <f t="shared" si="33"/>
        <v>0</v>
      </c>
      <c r="I2372" s="325" t="s">
        <v>15214</v>
      </c>
    </row>
    <row r="2373" spans="1:9" x14ac:dyDescent="0.25">
      <c r="A2373" s="359">
        <v>42997</v>
      </c>
      <c r="B2373" s="326" t="s">
        <v>30138</v>
      </c>
      <c r="C2373" s="327">
        <v>128132</v>
      </c>
      <c r="D2373" s="391" t="s">
        <v>15499</v>
      </c>
      <c r="E2373" s="328">
        <v>4223</v>
      </c>
      <c r="F2373" s="329">
        <v>42997</v>
      </c>
      <c r="G2373" s="328">
        <v>4223</v>
      </c>
      <c r="H2373" s="347">
        <f t="shared" si="33"/>
        <v>0</v>
      </c>
      <c r="I2373" s="331" t="s">
        <v>15214</v>
      </c>
    </row>
    <row r="2374" spans="1:9" x14ac:dyDescent="0.25">
      <c r="A2374" s="319">
        <v>42997</v>
      </c>
      <c r="B2374" s="320" t="s">
        <v>30139</v>
      </c>
      <c r="C2374" s="321">
        <v>128133</v>
      </c>
      <c r="D2374" s="390" t="s">
        <v>15562</v>
      </c>
      <c r="E2374" s="322">
        <v>1186</v>
      </c>
      <c r="F2374" s="323">
        <v>42997</v>
      </c>
      <c r="G2374" s="322">
        <v>1186</v>
      </c>
      <c r="H2374" s="322">
        <f t="shared" si="33"/>
        <v>0</v>
      </c>
      <c r="I2374" s="325" t="s">
        <v>15214</v>
      </c>
    </row>
    <row r="2375" spans="1:9" x14ac:dyDescent="0.25">
      <c r="A2375" s="359">
        <v>42997</v>
      </c>
      <c r="B2375" s="326" t="s">
        <v>30140</v>
      </c>
      <c r="C2375" s="327">
        <v>128134</v>
      </c>
      <c r="D2375" s="391" t="s">
        <v>15346</v>
      </c>
      <c r="E2375" s="328">
        <v>1281.5999999999999</v>
      </c>
      <c r="F2375" s="329">
        <v>42997</v>
      </c>
      <c r="G2375" s="328">
        <v>1281.5999999999999</v>
      </c>
      <c r="H2375" s="347">
        <f t="shared" si="33"/>
        <v>0</v>
      </c>
      <c r="I2375" s="331" t="s">
        <v>15214</v>
      </c>
    </row>
    <row r="2376" spans="1:9" x14ac:dyDescent="0.25">
      <c r="A2376" s="319">
        <v>42997</v>
      </c>
      <c r="B2376" s="320" t="s">
        <v>30141</v>
      </c>
      <c r="C2376" s="321">
        <v>128135</v>
      </c>
      <c r="D2376" s="390" t="s">
        <v>15267</v>
      </c>
      <c r="E2376" s="322">
        <v>5479.5</v>
      </c>
      <c r="F2376" s="323">
        <v>42997</v>
      </c>
      <c r="G2376" s="322">
        <v>5479.5</v>
      </c>
      <c r="H2376" s="322">
        <f t="shared" si="33"/>
        <v>0</v>
      </c>
      <c r="I2376" s="325" t="s">
        <v>15214</v>
      </c>
    </row>
    <row r="2377" spans="1:9" x14ac:dyDescent="0.25">
      <c r="A2377" s="359">
        <v>42997</v>
      </c>
      <c r="B2377" s="326" t="s">
        <v>30142</v>
      </c>
      <c r="C2377" s="327">
        <v>128136</v>
      </c>
      <c r="D2377" s="391" t="s">
        <v>15396</v>
      </c>
      <c r="E2377" s="328">
        <v>7317.1</v>
      </c>
      <c r="F2377" s="329">
        <v>42997</v>
      </c>
      <c r="G2377" s="328">
        <v>7317.1</v>
      </c>
      <c r="H2377" s="347">
        <f t="shared" si="33"/>
        <v>0</v>
      </c>
      <c r="I2377" s="331" t="s">
        <v>15214</v>
      </c>
    </row>
    <row r="2378" spans="1:9" x14ac:dyDescent="0.25">
      <c r="A2378" s="319">
        <v>42997</v>
      </c>
      <c r="B2378" s="320" t="s">
        <v>30143</v>
      </c>
      <c r="C2378" s="321">
        <v>128137</v>
      </c>
      <c r="D2378" s="390" t="s">
        <v>15282</v>
      </c>
      <c r="E2378" s="322">
        <v>3613.5</v>
      </c>
      <c r="F2378" s="323">
        <v>42997</v>
      </c>
      <c r="G2378" s="322">
        <v>3613.5</v>
      </c>
      <c r="H2378" s="322">
        <f t="shared" si="33"/>
        <v>0</v>
      </c>
      <c r="I2378" s="325" t="s">
        <v>15214</v>
      </c>
    </row>
    <row r="2379" spans="1:9" x14ac:dyDescent="0.25">
      <c r="A2379" s="359">
        <v>42997</v>
      </c>
      <c r="B2379" s="326" t="s">
        <v>30144</v>
      </c>
      <c r="C2379" s="327">
        <v>128138</v>
      </c>
      <c r="D2379" s="391" t="s">
        <v>15398</v>
      </c>
      <c r="E2379" s="328">
        <v>3186.8</v>
      </c>
      <c r="F2379" s="329">
        <v>42997</v>
      </c>
      <c r="G2379" s="328">
        <v>3186.8</v>
      </c>
      <c r="H2379" s="347">
        <f t="shared" si="33"/>
        <v>0</v>
      </c>
      <c r="I2379" s="331" t="s">
        <v>15214</v>
      </c>
    </row>
    <row r="2380" spans="1:9" x14ac:dyDescent="0.25">
      <c r="A2380" s="319">
        <v>42997</v>
      </c>
      <c r="B2380" s="320" t="s">
        <v>30145</v>
      </c>
      <c r="C2380" s="321">
        <v>128139</v>
      </c>
      <c r="D2380" s="390" t="s">
        <v>15398</v>
      </c>
      <c r="E2380" s="322">
        <v>1220.8</v>
      </c>
      <c r="F2380" s="323">
        <v>42997</v>
      </c>
      <c r="G2380" s="322">
        <v>1220.8</v>
      </c>
      <c r="H2380" s="322">
        <f t="shared" si="33"/>
        <v>0</v>
      </c>
      <c r="I2380" s="325" t="s">
        <v>15214</v>
      </c>
    </row>
    <row r="2381" spans="1:9" x14ac:dyDescent="0.25">
      <c r="A2381" s="359">
        <v>42997</v>
      </c>
      <c r="B2381" s="326" t="s">
        <v>30146</v>
      </c>
      <c r="C2381" s="327">
        <v>128140</v>
      </c>
      <c r="D2381" s="391" t="s">
        <v>15636</v>
      </c>
      <c r="E2381" s="328">
        <v>12828.2</v>
      </c>
      <c r="F2381" s="329">
        <v>42997</v>
      </c>
      <c r="G2381" s="328">
        <v>12828.2</v>
      </c>
      <c r="H2381" s="347">
        <f t="shared" si="33"/>
        <v>0</v>
      </c>
      <c r="I2381" s="331" t="s">
        <v>15214</v>
      </c>
    </row>
    <row r="2382" spans="1:9" x14ac:dyDescent="0.25">
      <c r="A2382" s="319">
        <v>42997</v>
      </c>
      <c r="B2382" s="320" t="s">
        <v>30147</v>
      </c>
      <c r="C2382" s="321">
        <v>128141</v>
      </c>
      <c r="D2382" s="390" t="s">
        <v>19768</v>
      </c>
      <c r="E2382" s="322">
        <v>1440</v>
      </c>
      <c r="F2382" s="323">
        <v>42997</v>
      </c>
      <c r="G2382" s="322">
        <v>1440</v>
      </c>
      <c r="H2382" s="322">
        <f t="shared" si="33"/>
        <v>0</v>
      </c>
      <c r="I2382" s="325" t="s">
        <v>15214</v>
      </c>
    </row>
    <row r="2383" spans="1:9" x14ac:dyDescent="0.25">
      <c r="A2383" s="359">
        <v>42997</v>
      </c>
      <c r="B2383" s="326" t="s">
        <v>30148</v>
      </c>
      <c r="C2383" s="327">
        <v>128142</v>
      </c>
      <c r="D2383" s="391" t="s">
        <v>15315</v>
      </c>
      <c r="E2383" s="328">
        <v>260</v>
      </c>
      <c r="F2383" s="329">
        <v>42997</v>
      </c>
      <c r="G2383" s="328">
        <v>260</v>
      </c>
      <c r="H2383" s="347">
        <f t="shared" si="33"/>
        <v>0</v>
      </c>
      <c r="I2383" s="331" t="s">
        <v>15214</v>
      </c>
    </row>
    <row r="2384" spans="1:9" x14ac:dyDescent="0.25">
      <c r="A2384" s="319">
        <v>42997</v>
      </c>
      <c r="B2384" s="320" t="s">
        <v>30149</v>
      </c>
      <c r="C2384" s="321">
        <v>128143</v>
      </c>
      <c r="D2384" s="390" t="s">
        <v>15315</v>
      </c>
      <c r="E2384" s="322">
        <v>417.6</v>
      </c>
      <c r="F2384" s="323">
        <v>42997</v>
      </c>
      <c r="G2384" s="322">
        <v>417.6</v>
      </c>
      <c r="H2384" s="322">
        <f t="shared" si="33"/>
        <v>0</v>
      </c>
      <c r="I2384" s="325" t="s">
        <v>15214</v>
      </c>
    </row>
    <row r="2385" spans="1:9" x14ac:dyDescent="0.25">
      <c r="A2385" s="359">
        <v>42997</v>
      </c>
      <c r="B2385" s="326" t="s">
        <v>30150</v>
      </c>
      <c r="C2385" s="327">
        <v>128144</v>
      </c>
      <c r="D2385" s="391" t="s">
        <v>15404</v>
      </c>
      <c r="E2385" s="328">
        <v>15417.6</v>
      </c>
      <c r="F2385" s="329">
        <v>42997</v>
      </c>
      <c r="G2385" s="328">
        <v>15417.6</v>
      </c>
      <c r="H2385" s="347">
        <f t="shared" si="33"/>
        <v>0</v>
      </c>
      <c r="I2385" s="331" t="s">
        <v>15214</v>
      </c>
    </row>
    <row r="2386" spans="1:9" x14ac:dyDescent="0.25">
      <c r="A2386" s="319">
        <v>42997</v>
      </c>
      <c r="B2386" s="320" t="s">
        <v>30151</v>
      </c>
      <c r="C2386" s="321">
        <v>128145</v>
      </c>
      <c r="D2386" s="390" t="s">
        <v>15320</v>
      </c>
      <c r="E2386" s="322">
        <v>2332.1999999999998</v>
      </c>
      <c r="F2386" s="323">
        <v>42998</v>
      </c>
      <c r="G2386" s="322">
        <v>2332.1999999999998</v>
      </c>
      <c r="H2386" s="322">
        <f t="shared" si="33"/>
        <v>0</v>
      </c>
      <c r="I2386" s="325" t="s">
        <v>15214</v>
      </c>
    </row>
    <row r="2387" spans="1:9" x14ac:dyDescent="0.25">
      <c r="A2387" s="359">
        <v>42997</v>
      </c>
      <c r="B2387" s="326" t="s">
        <v>30152</v>
      </c>
      <c r="C2387" s="327">
        <v>128146</v>
      </c>
      <c r="D2387" s="391" t="s">
        <v>15291</v>
      </c>
      <c r="E2387" s="328">
        <v>1440</v>
      </c>
      <c r="F2387" s="329">
        <v>42998</v>
      </c>
      <c r="G2387" s="328">
        <v>1440</v>
      </c>
      <c r="H2387" s="347">
        <f t="shared" si="33"/>
        <v>0</v>
      </c>
      <c r="I2387" s="331" t="s">
        <v>15214</v>
      </c>
    </row>
    <row r="2388" spans="1:9" ht="15.75" x14ac:dyDescent="0.25">
      <c r="A2388" s="319">
        <v>42997</v>
      </c>
      <c r="B2388" s="320" t="s">
        <v>30153</v>
      </c>
      <c r="C2388" s="321">
        <v>128147</v>
      </c>
      <c r="D2388" s="332" t="s">
        <v>95</v>
      </c>
      <c r="E2388" s="322">
        <v>0</v>
      </c>
      <c r="F2388" s="333" t="s">
        <v>95</v>
      </c>
      <c r="G2388" s="322">
        <v>0</v>
      </c>
      <c r="H2388" s="322">
        <f t="shared" si="33"/>
        <v>0</v>
      </c>
      <c r="I2388" s="325" t="s">
        <v>95</v>
      </c>
    </row>
    <row r="2389" spans="1:9" x14ac:dyDescent="0.25">
      <c r="A2389" s="359">
        <v>42997</v>
      </c>
      <c r="B2389" s="326" t="s">
        <v>30154</v>
      </c>
      <c r="C2389" s="327">
        <v>128148</v>
      </c>
      <c r="D2389" s="391" t="s">
        <v>15311</v>
      </c>
      <c r="E2389" s="328">
        <v>1728.9</v>
      </c>
      <c r="F2389" s="329">
        <v>42998</v>
      </c>
      <c r="G2389" s="328">
        <v>1728.9</v>
      </c>
      <c r="H2389" s="347">
        <f t="shared" si="33"/>
        <v>0</v>
      </c>
      <c r="I2389" s="331" t="s">
        <v>15214</v>
      </c>
    </row>
    <row r="2390" spans="1:9" x14ac:dyDescent="0.25">
      <c r="A2390" s="319">
        <v>42997</v>
      </c>
      <c r="B2390" s="320" t="s">
        <v>30155</v>
      </c>
      <c r="C2390" s="321">
        <v>128149</v>
      </c>
      <c r="D2390" s="390" t="s">
        <v>15391</v>
      </c>
      <c r="E2390" s="322">
        <v>8676</v>
      </c>
      <c r="F2390" s="323">
        <v>42999</v>
      </c>
      <c r="G2390" s="322">
        <v>8676</v>
      </c>
      <c r="H2390" s="322">
        <f t="shared" si="33"/>
        <v>0</v>
      </c>
      <c r="I2390" s="325" t="s">
        <v>15214</v>
      </c>
    </row>
    <row r="2391" spans="1:9" x14ac:dyDescent="0.25">
      <c r="A2391" s="359">
        <v>42997</v>
      </c>
      <c r="B2391" s="326" t="s">
        <v>30156</v>
      </c>
      <c r="C2391" s="327">
        <v>128150</v>
      </c>
      <c r="D2391" s="391" t="s">
        <v>17862</v>
      </c>
      <c r="E2391" s="328">
        <v>3326.4</v>
      </c>
      <c r="F2391" s="329">
        <v>42997</v>
      </c>
      <c r="G2391" s="328">
        <v>3326.4</v>
      </c>
      <c r="H2391" s="347">
        <f t="shared" si="33"/>
        <v>0</v>
      </c>
      <c r="I2391" s="331" t="s">
        <v>15214</v>
      </c>
    </row>
    <row r="2392" spans="1:9" x14ac:dyDescent="0.25">
      <c r="A2392" s="319">
        <v>42997</v>
      </c>
      <c r="B2392" s="320" t="s">
        <v>30157</v>
      </c>
      <c r="C2392" s="321">
        <v>128151</v>
      </c>
      <c r="D2392" s="390" t="s">
        <v>17862</v>
      </c>
      <c r="E2392" s="322">
        <v>2217.6</v>
      </c>
      <c r="F2392" s="323">
        <v>42997</v>
      </c>
      <c r="G2392" s="322">
        <v>2217.6</v>
      </c>
      <c r="H2392" s="322">
        <f t="shared" si="33"/>
        <v>0</v>
      </c>
      <c r="I2392" s="325" t="s">
        <v>15214</v>
      </c>
    </row>
    <row r="2393" spans="1:9" x14ac:dyDescent="0.25">
      <c r="A2393" s="359">
        <v>42997</v>
      </c>
      <c r="B2393" s="326" t="s">
        <v>30158</v>
      </c>
      <c r="C2393" s="327">
        <v>128152</v>
      </c>
      <c r="D2393" s="391" t="s">
        <v>15315</v>
      </c>
      <c r="E2393" s="328">
        <v>1665</v>
      </c>
      <c r="F2393" s="329">
        <v>42997</v>
      </c>
      <c r="G2393" s="328">
        <v>1665</v>
      </c>
      <c r="H2393" s="347">
        <f t="shared" si="33"/>
        <v>0</v>
      </c>
      <c r="I2393" s="331" t="s">
        <v>15214</v>
      </c>
    </row>
    <row r="2394" spans="1:9" x14ac:dyDescent="0.25">
      <c r="A2394" s="319">
        <v>42997</v>
      </c>
      <c r="B2394" s="320" t="s">
        <v>30159</v>
      </c>
      <c r="C2394" s="321">
        <v>128153</v>
      </c>
      <c r="D2394" s="390" t="s">
        <v>19697</v>
      </c>
      <c r="E2394" s="322">
        <v>1040</v>
      </c>
      <c r="F2394" s="323">
        <v>42997</v>
      </c>
      <c r="G2394" s="322">
        <v>1040</v>
      </c>
      <c r="H2394" s="322">
        <f t="shared" si="33"/>
        <v>0</v>
      </c>
      <c r="I2394" s="325" t="s">
        <v>15214</v>
      </c>
    </row>
    <row r="2395" spans="1:9" x14ac:dyDescent="0.25">
      <c r="A2395" s="359">
        <v>42997</v>
      </c>
      <c r="B2395" s="326" t="s">
        <v>30160</v>
      </c>
      <c r="C2395" s="327">
        <v>128154</v>
      </c>
      <c r="D2395" s="391" t="s">
        <v>15284</v>
      </c>
      <c r="E2395" s="328">
        <v>1285</v>
      </c>
      <c r="F2395" s="329">
        <v>42997</v>
      </c>
      <c r="G2395" s="328">
        <v>1285</v>
      </c>
      <c r="H2395" s="347">
        <f t="shared" si="33"/>
        <v>0</v>
      </c>
      <c r="I2395" s="331" t="s">
        <v>15214</v>
      </c>
    </row>
    <row r="2396" spans="1:9" x14ac:dyDescent="0.25">
      <c r="A2396" s="319">
        <v>42997</v>
      </c>
      <c r="B2396" s="320" t="s">
        <v>30161</v>
      </c>
      <c r="C2396" s="321">
        <v>128155</v>
      </c>
      <c r="D2396" s="390" t="s">
        <v>15298</v>
      </c>
      <c r="E2396" s="322">
        <v>1418.8</v>
      </c>
      <c r="F2396" s="323">
        <v>42997</v>
      </c>
      <c r="G2396" s="322">
        <v>1418.8</v>
      </c>
      <c r="H2396" s="322">
        <f t="shared" si="33"/>
        <v>0</v>
      </c>
      <c r="I2396" s="325" t="s">
        <v>15214</v>
      </c>
    </row>
    <row r="2397" spans="1:9" x14ac:dyDescent="0.25">
      <c r="A2397" s="359">
        <v>42997</v>
      </c>
      <c r="B2397" s="326" t="s">
        <v>30162</v>
      </c>
      <c r="C2397" s="327">
        <v>128156</v>
      </c>
      <c r="D2397" s="391" t="s">
        <v>15423</v>
      </c>
      <c r="E2397" s="328">
        <v>1692</v>
      </c>
      <c r="F2397" s="329">
        <v>42997</v>
      </c>
      <c r="G2397" s="328">
        <v>1692</v>
      </c>
      <c r="H2397" s="347">
        <f t="shared" si="33"/>
        <v>0</v>
      </c>
      <c r="I2397" s="331" t="s">
        <v>15214</v>
      </c>
    </row>
    <row r="2398" spans="1:9" x14ac:dyDescent="0.25">
      <c r="A2398" s="319">
        <v>42997</v>
      </c>
      <c r="B2398" s="320" t="s">
        <v>30163</v>
      </c>
      <c r="C2398" s="321">
        <v>128157</v>
      </c>
      <c r="D2398" s="390" t="s">
        <v>15423</v>
      </c>
      <c r="E2398" s="322">
        <v>258</v>
      </c>
      <c r="F2398" s="323">
        <v>42997</v>
      </c>
      <c r="G2398" s="322">
        <v>258</v>
      </c>
      <c r="H2398" s="322">
        <f t="shared" si="33"/>
        <v>0</v>
      </c>
      <c r="I2398" s="325" t="s">
        <v>15214</v>
      </c>
    </row>
    <row r="2399" spans="1:9" x14ac:dyDescent="0.25">
      <c r="A2399" s="359">
        <v>42997</v>
      </c>
      <c r="B2399" s="326" t="s">
        <v>30164</v>
      </c>
      <c r="C2399" s="327">
        <v>128158</v>
      </c>
      <c r="D2399" s="391" t="s">
        <v>15423</v>
      </c>
      <c r="E2399" s="328">
        <v>124</v>
      </c>
      <c r="F2399" s="329">
        <v>42997</v>
      </c>
      <c r="G2399" s="328">
        <v>124</v>
      </c>
      <c r="H2399" s="347">
        <f t="shared" si="33"/>
        <v>0</v>
      </c>
      <c r="I2399" s="331" t="s">
        <v>15214</v>
      </c>
    </row>
    <row r="2400" spans="1:9" ht="30" x14ac:dyDescent="0.25">
      <c r="A2400" s="319">
        <v>42997</v>
      </c>
      <c r="B2400" s="320" t="s">
        <v>30165</v>
      </c>
      <c r="C2400" s="321">
        <v>128159</v>
      </c>
      <c r="D2400" s="390" t="s">
        <v>15246</v>
      </c>
      <c r="E2400" s="322">
        <v>370283.05</v>
      </c>
      <c r="F2400" s="323" t="s">
        <v>30166</v>
      </c>
      <c r="G2400" s="334">
        <f>276579.16+93703.89</f>
        <v>370283.05</v>
      </c>
      <c r="H2400" s="334">
        <f t="shared" si="33"/>
        <v>0</v>
      </c>
      <c r="I2400" s="325" t="s">
        <v>15214</v>
      </c>
    </row>
    <row r="2401" spans="1:9" x14ac:dyDescent="0.25">
      <c r="A2401" s="359">
        <v>42997</v>
      </c>
      <c r="B2401" s="326" t="s">
        <v>30167</v>
      </c>
      <c r="C2401" s="327">
        <v>128160</v>
      </c>
      <c r="D2401" s="391" t="s">
        <v>15530</v>
      </c>
      <c r="E2401" s="328">
        <v>1510.2</v>
      </c>
      <c r="F2401" s="329">
        <v>42997</v>
      </c>
      <c r="G2401" s="328">
        <v>1510.2</v>
      </c>
      <c r="H2401" s="347">
        <f t="shared" si="33"/>
        <v>0</v>
      </c>
      <c r="I2401" s="331" t="s">
        <v>15214</v>
      </c>
    </row>
    <row r="2402" spans="1:9" x14ac:dyDescent="0.25">
      <c r="A2402" s="319">
        <v>42997</v>
      </c>
      <c r="B2402" s="320" t="s">
        <v>30168</v>
      </c>
      <c r="C2402" s="321">
        <v>128161</v>
      </c>
      <c r="D2402" s="390" t="s">
        <v>15322</v>
      </c>
      <c r="E2402" s="322">
        <v>755</v>
      </c>
      <c r="F2402" s="323">
        <v>42997</v>
      </c>
      <c r="G2402" s="322">
        <v>755</v>
      </c>
      <c r="H2402" s="322">
        <f t="shared" si="33"/>
        <v>0</v>
      </c>
      <c r="I2402" s="325" t="s">
        <v>15214</v>
      </c>
    </row>
    <row r="2403" spans="1:9" ht="15.75" x14ac:dyDescent="0.25">
      <c r="A2403" s="359">
        <v>42997</v>
      </c>
      <c r="B2403" s="326" t="s">
        <v>30169</v>
      </c>
      <c r="C2403" s="327">
        <v>128162</v>
      </c>
      <c r="D2403" s="345" t="s">
        <v>95</v>
      </c>
      <c r="E2403" s="328">
        <v>0</v>
      </c>
      <c r="F2403" s="346" t="s">
        <v>95</v>
      </c>
      <c r="G2403" s="328">
        <v>0</v>
      </c>
      <c r="H2403" s="347">
        <f t="shared" si="33"/>
        <v>0</v>
      </c>
      <c r="I2403" s="331" t="s">
        <v>95</v>
      </c>
    </row>
    <row r="2404" spans="1:9" ht="15.75" x14ac:dyDescent="0.25">
      <c r="A2404" s="319">
        <v>42997</v>
      </c>
      <c r="B2404" s="320" t="s">
        <v>30170</v>
      </c>
      <c r="C2404" s="321">
        <v>128163</v>
      </c>
      <c r="D2404" s="332" t="s">
        <v>95</v>
      </c>
      <c r="E2404" s="322">
        <v>0</v>
      </c>
      <c r="F2404" s="333" t="s">
        <v>95</v>
      </c>
      <c r="G2404" s="322">
        <v>0</v>
      </c>
      <c r="H2404" s="322">
        <f t="shared" si="33"/>
        <v>0</v>
      </c>
      <c r="I2404" s="325" t="s">
        <v>95</v>
      </c>
    </row>
    <row r="2405" spans="1:9" ht="15.75" x14ac:dyDescent="0.25">
      <c r="A2405" s="359">
        <v>42998</v>
      </c>
      <c r="B2405" s="326" t="s">
        <v>30171</v>
      </c>
      <c r="C2405" s="327">
        <v>128164</v>
      </c>
      <c r="D2405" s="345" t="s">
        <v>95</v>
      </c>
      <c r="E2405" s="328">
        <v>0</v>
      </c>
      <c r="F2405" s="346" t="s">
        <v>95</v>
      </c>
      <c r="G2405" s="328">
        <v>0</v>
      </c>
      <c r="H2405" s="347">
        <f t="shared" si="33"/>
        <v>0</v>
      </c>
      <c r="I2405" s="331" t="s">
        <v>95</v>
      </c>
    </row>
    <row r="2406" spans="1:9" x14ac:dyDescent="0.25">
      <c r="A2406" s="319">
        <v>42998</v>
      </c>
      <c r="B2406" s="320" t="s">
        <v>30172</v>
      </c>
      <c r="C2406" s="321">
        <v>128165</v>
      </c>
      <c r="D2406" s="390" t="s">
        <v>21386</v>
      </c>
      <c r="E2406" s="322">
        <v>10162.6</v>
      </c>
      <c r="F2406" s="323">
        <v>42999</v>
      </c>
      <c r="G2406" s="322">
        <v>10162.6</v>
      </c>
      <c r="H2406" s="322">
        <f t="shared" si="33"/>
        <v>0</v>
      </c>
      <c r="I2406" s="325" t="s">
        <v>15214</v>
      </c>
    </row>
    <row r="2407" spans="1:9" ht="30" x14ac:dyDescent="0.25">
      <c r="A2407" s="359">
        <v>42998</v>
      </c>
      <c r="B2407" s="326" t="s">
        <v>30173</v>
      </c>
      <c r="C2407" s="327">
        <v>128166</v>
      </c>
      <c r="D2407" s="391" t="s">
        <v>15213</v>
      </c>
      <c r="E2407" s="328">
        <v>48430</v>
      </c>
      <c r="F2407" s="329" t="s">
        <v>30097</v>
      </c>
      <c r="G2407" s="347">
        <f>33200+15230</f>
        <v>48430</v>
      </c>
      <c r="H2407" s="347">
        <f t="shared" si="33"/>
        <v>0</v>
      </c>
      <c r="I2407" s="331" t="s">
        <v>15214</v>
      </c>
    </row>
    <row r="2408" spans="1:9" x14ac:dyDescent="0.25">
      <c r="A2408" s="319">
        <v>42998</v>
      </c>
      <c r="B2408" s="320" t="s">
        <v>30174</v>
      </c>
      <c r="C2408" s="321">
        <v>128167</v>
      </c>
      <c r="D2408" s="390" t="s">
        <v>17462</v>
      </c>
      <c r="E2408" s="322">
        <v>7112.4</v>
      </c>
      <c r="F2408" s="323">
        <v>42998</v>
      </c>
      <c r="G2408" s="322">
        <v>7112.4</v>
      </c>
      <c r="H2408" s="322">
        <f t="shared" si="33"/>
        <v>0</v>
      </c>
      <c r="I2408" s="325" t="s">
        <v>15214</v>
      </c>
    </row>
    <row r="2409" spans="1:9" x14ac:dyDescent="0.25">
      <c r="A2409" s="359">
        <v>42998</v>
      </c>
      <c r="B2409" s="326" t="s">
        <v>30175</v>
      </c>
      <c r="C2409" s="327">
        <v>128168</v>
      </c>
      <c r="D2409" s="391" t="s">
        <v>15242</v>
      </c>
      <c r="E2409" s="328">
        <v>5310.8</v>
      </c>
      <c r="F2409" s="329">
        <v>42998</v>
      </c>
      <c r="G2409" s="328">
        <v>5310.8</v>
      </c>
      <c r="H2409" s="347">
        <f t="shared" si="33"/>
        <v>0</v>
      </c>
      <c r="I2409" s="331" t="s">
        <v>15214</v>
      </c>
    </row>
    <row r="2410" spans="1:9" ht="15.75" x14ac:dyDescent="0.25">
      <c r="A2410" s="319">
        <v>42998</v>
      </c>
      <c r="B2410" s="320" t="s">
        <v>30176</v>
      </c>
      <c r="C2410" s="321">
        <v>128169</v>
      </c>
      <c r="D2410" s="332" t="s">
        <v>95</v>
      </c>
      <c r="E2410" s="322">
        <v>0</v>
      </c>
      <c r="F2410" s="333" t="s">
        <v>95</v>
      </c>
      <c r="G2410" s="322">
        <v>0</v>
      </c>
      <c r="H2410" s="322">
        <f t="shared" si="33"/>
        <v>0</v>
      </c>
      <c r="I2410" s="325" t="s">
        <v>95</v>
      </c>
    </row>
    <row r="2411" spans="1:9" x14ac:dyDescent="0.25">
      <c r="A2411" s="359">
        <v>42998</v>
      </c>
      <c r="B2411" s="326" t="s">
        <v>30177</v>
      </c>
      <c r="C2411" s="327">
        <v>128170</v>
      </c>
      <c r="D2411" s="391" t="s">
        <v>15258</v>
      </c>
      <c r="E2411" s="328">
        <v>7277.4</v>
      </c>
      <c r="F2411" s="329">
        <v>43000</v>
      </c>
      <c r="G2411" s="328">
        <v>7277.4</v>
      </c>
      <c r="H2411" s="347">
        <f t="shared" si="33"/>
        <v>0</v>
      </c>
      <c r="I2411" s="331" t="s">
        <v>15214</v>
      </c>
    </row>
    <row r="2412" spans="1:9" x14ac:dyDescent="0.25">
      <c r="A2412" s="319">
        <v>42998</v>
      </c>
      <c r="B2412" s="320" t="s">
        <v>30178</v>
      </c>
      <c r="C2412" s="321">
        <v>128171</v>
      </c>
      <c r="D2412" s="390" t="s">
        <v>15369</v>
      </c>
      <c r="E2412" s="322">
        <v>20339.3</v>
      </c>
      <c r="F2412" s="323">
        <v>43014</v>
      </c>
      <c r="G2412" s="322">
        <v>20339.3</v>
      </c>
      <c r="H2412" s="322">
        <f t="shared" si="33"/>
        <v>0</v>
      </c>
      <c r="I2412" s="325" t="s">
        <v>15214</v>
      </c>
    </row>
    <row r="2413" spans="1:9" x14ac:dyDescent="0.25">
      <c r="A2413" s="359">
        <v>42998</v>
      </c>
      <c r="B2413" s="326" t="s">
        <v>30179</v>
      </c>
      <c r="C2413" s="327">
        <v>128172</v>
      </c>
      <c r="D2413" s="391" t="s">
        <v>15263</v>
      </c>
      <c r="E2413" s="328">
        <v>2713.6</v>
      </c>
      <c r="F2413" s="329">
        <v>42998</v>
      </c>
      <c r="G2413" s="328">
        <v>2713.6</v>
      </c>
      <c r="H2413" s="347">
        <f t="shared" si="33"/>
        <v>0</v>
      </c>
      <c r="I2413" s="331" t="s">
        <v>15214</v>
      </c>
    </row>
    <row r="2414" spans="1:9" x14ac:dyDescent="0.25">
      <c r="A2414" s="319">
        <v>42998</v>
      </c>
      <c r="B2414" s="320" t="s">
        <v>30180</v>
      </c>
      <c r="C2414" s="321">
        <v>128173</v>
      </c>
      <c r="D2414" s="390" t="s">
        <v>15232</v>
      </c>
      <c r="E2414" s="322">
        <v>6232</v>
      </c>
      <c r="F2414" s="323">
        <v>43006</v>
      </c>
      <c r="G2414" s="322">
        <v>6232</v>
      </c>
      <c r="H2414" s="322">
        <f t="shared" si="33"/>
        <v>0</v>
      </c>
      <c r="I2414" s="325" t="s">
        <v>15214</v>
      </c>
    </row>
    <row r="2415" spans="1:9" x14ac:dyDescent="0.25">
      <c r="A2415" s="359">
        <v>42998</v>
      </c>
      <c r="B2415" s="326" t="s">
        <v>30181</v>
      </c>
      <c r="C2415" s="327">
        <v>128174</v>
      </c>
      <c r="D2415" s="391" t="s">
        <v>15373</v>
      </c>
      <c r="E2415" s="328">
        <v>10070.4</v>
      </c>
      <c r="F2415" s="329">
        <v>43001</v>
      </c>
      <c r="G2415" s="328">
        <v>10070.4</v>
      </c>
      <c r="H2415" s="347">
        <f t="shared" si="33"/>
        <v>0</v>
      </c>
      <c r="I2415" s="331" t="s">
        <v>15214</v>
      </c>
    </row>
    <row r="2416" spans="1:9" x14ac:dyDescent="0.25">
      <c r="A2416" s="319">
        <v>42998</v>
      </c>
      <c r="B2416" s="320" t="s">
        <v>30182</v>
      </c>
      <c r="C2416" s="321">
        <v>128175</v>
      </c>
      <c r="D2416" s="390" t="s">
        <v>15380</v>
      </c>
      <c r="E2416" s="322">
        <v>12843.6</v>
      </c>
      <c r="F2416" s="323">
        <v>43014</v>
      </c>
      <c r="G2416" s="322">
        <v>12843.6</v>
      </c>
      <c r="H2416" s="322">
        <f t="shared" si="33"/>
        <v>0</v>
      </c>
      <c r="I2416" s="325" t="s">
        <v>15214</v>
      </c>
    </row>
    <row r="2417" spans="1:9" x14ac:dyDescent="0.25">
      <c r="A2417" s="359">
        <v>42998</v>
      </c>
      <c r="B2417" s="326" t="s">
        <v>30183</v>
      </c>
      <c r="C2417" s="327">
        <v>128176</v>
      </c>
      <c r="D2417" s="391" t="s">
        <v>15272</v>
      </c>
      <c r="E2417" s="328">
        <v>20242.400000000001</v>
      </c>
      <c r="F2417" s="329">
        <v>42998</v>
      </c>
      <c r="G2417" s="328">
        <v>20242.400000000001</v>
      </c>
      <c r="H2417" s="347">
        <f t="shared" ref="H2417:H2480" si="34">E2417-G2417</f>
        <v>0</v>
      </c>
      <c r="I2417" s="331" t="s">
        <v>15214</v>
      </c>
    </row>
    <row r="2418" spans="1:9" x14ac:dyDescent="0.25">
      <c r="A2418" s="319">
        <v>42998</v>
      </c>
      <c r="B2418" s="320" t="s">
        <v>30184</v>
      </c>
      <c r="C2418" s="321">
        <v>128177</v>
      </c>
      <c r="D2418" s="390" t="s">
        <v>15389</v>
      </c>
      <c r="E2418" s="322">
        <v>11756.2</v>
      </c>
      <c r="F2418" s="323">
        <v>43014</v>
      </c>
      <c r="G2418" s="322">
        <v>11756.2</v>
      </c>
      <c r="H2418" s="322">
        <f t="shared" si="34"/>
        <v>0</v>
      </c>
      <c r="I2418" s="325" t="s">
        <v>15214</v>
      </c>
    </row>
    <row r="2419" spans="1:9" x14ac:dyDescent="0.25">
      <c r="A2419" s="359">
        <v>42998</v>
      </c>
      <c r="B2419" s="326" t="s">
        <v>30185</v>
      </c>
      <c r="C2419" s="327">
        <v>128178</v>
      </c>
      <c r="D2419" s="391" t="s">
        <v>15382</v>
      </c>
      <c r="E2419" s="328">
        <v>11681.4</v>
      </c>
      <c r="F2419" s="329">
        <v>43014</v>
      </c>
      <c r="G2419" s="328">
        <v>11681.4</v>
      </c>
      <c r="H2419" s="347">
        <f t="shared" si="34"/>
        <v>0</v>
      </c>
      <c r="I2419" s="331" t="s">
        <v>15214</v>
      </c>
    </row>
    <row r="2420" spans="1:9" x14ac:dyDescent="0.25">
      <c r="A2420" s="319">
        <v>42998</v>
      </c>
      <c r="B2420" s="320" t="s">
        <v>30186</v>
      </c>
      <c r="C2420" s="321">
        <v>128179</v>
      </c>
      <c r="D2420" s="390" t="s">
        <v>15681</v>
      </c>
      <c r="E2420" s="322">
        <v>2308.8000000000002</v>
      </c>
      <c r="F2420" s="323">
        <v>42998</v>
      </c>
      <c r="G2420" s="322">
        <v>2308.8000000000002</v>
      </c>
      <c r="H2420" s="322">
        <f t="shared" si="34"/>
        <v>0</v>
      </c>
      <c r="I2420" s="325" t="s">
        <v>15214</v>
      </c>
    </row>
    <row r="2421" spans="1:9" x14ac:dyDescent="0.25">
      <c r="A2421" s="359">
        <v>42998</v>
      </c>
      <c r="B2421" s="326" t="s">
        <v>30187</v>
      </c>
      <c r="C2421" s="327">
        <v>128180</v>
      </c>
      <c r="D2421" s="391" t="s">
        <v>15234</v>
      </c>
      <c r="E2421" s="328">
        <v>3830.2</v>
      </c>
      <c r="F2421" s="329">
        <v>43000</v>
      </c>
      <c r="G2421" s="328">
        <v>3830.2</v>
      </c>
      <c r="H2421" s="347">
        <f t="shared" si="34"/>
        <v>0</v>
      </c>
      <c r="I2421" s="331" t="s">
        <v>15214</v>
      </c>
    </row>
    <row r="2422" spans="1:9" x14ac:dyDescent="0.25">
      <c r="A2422" s="319">
        <v>42998</v>
      </c>
      <c r="B2422" s="320" t="s">
        <v>30188</v>
      </c>
      <c r="C2422" s="321">
        <v>128181</v>
      </c>
      <c r="D2422" s="390" t="s">
        <v>19302</v>
      </c>
      <c r="E2422" s="322">
        <v>960</v>
      </c>
      <c r="F2422" s="323">
        <v>42998</v>
      </c>
      <c r="G2422" s="322">
        <v>960</v>
      </c>
      <c r="H2422" s="322">
        <f t="shared" si="34"/>
        <v>0</v>
      </c>
      <c r="I2422" s="325" t="s">
        <v>15214</v>
      </c>
    </row>
    <row r="2423" spans="1:9" x14ac:dyDescent="0.25">
      <c r="A2423" s="359">
        <v>42998</v>
      </c>
      <c r="B2423" s="326" t="s">
        <v>30189</v>
      </c>
      <c r="C2423" s="327">
        <v>128182</v>
      </c>
      <c r="D2423" s="391" t="s">
        <v>15220</v>
      </c>
      <c r="E2423" s="328">
        <v>2160</v>
      </c>
      <c r="F2423" s="329">
        <v>42998</v>
      </c>
      <c r="G2423" s="328">
        <v>2160</v>
      </c>
      <c r="H2423" s="347">
        <f t="shared" si="34"/>
        <v>0</v>
      </c>
      <c r="I2423" s="331" t="s">
        <v>15214</v>
      </c>
    </row>
    <row r="2424" spans="1:9" x14ac:dyDescent="0.25">
      <c r="A2424" s="319">
        <v>42998</v>
      </c>
      <c r="B2424" s="320" t="s">
        <v>30190</v>
      </c>
      <c r="C2424" s="321">
        <v>128183</v>
      </c>
      <c r="D2424" s="390" t="s">
        <v>19780</v>
      </c>
      <c r="E2424" s="322">
        <v>10045.799999999999</v>
      </c>
      <c r="F2424" s="323">
        <v>43001</v>
      </c>
      <c r="G2424" s="322">
        <v>10045.799999999999</v>
      </c>
      <c r="H2424" s="322">
        <f t="shared" si="34"/>
        <v>0</v>
      </c>
      <c r="I2424" s="325" t="s">
        <v>15214</v>
      </c>
    </row>
    <row r="2425" spans="1:9" ht="30" x14ac:dyDescent="0.25">
      <c r="A2425" s="359">
        <v>42998</v>
      </c>
      <c r="B2425" s="326" t="s">
        <v>30191</v>
      </c>
      <c r="C2425" s="327">
        <v>128184</v>
      </c>
      <c r="D2425" s="391" t="s">
        <v>15230</v>
      </c>
      <c r="E2425" s="328">
        <v>9756</v>
      </c>
      <c r="F2425" s="329" t="s">
        <v>31606</v>
      </c>
      <c r="G2425" s="347">
        <f>6000+3756</f>
        <v>9756</v>
      </c>
      <c r="H2425" s="347">
        <f t="shared" si="34"/>
        <v>0</v>
      </c>
      <c r="I2425" s="331" t="s">
        <v>15214</v>
      </c>
    </row>
    <row r="2426" spans="1:9" x14ac:dyDescent="0.25">
      <c r="A2426" s="319">
        <v>42998</v>
      </c>
      <c r="B2426" s="320" t="s">
        <v>30192</v>
      </c>
      <c r="C2426" s="321">
        <v>128185</v>
      </c>
      <c r="D2426" s="390" t="s">
        <v>15238</v>
      </c>
      <c r="E2426" s="322">
        <v>756</v>
      </c>
      <c r="F2426" s="323">
        <v>43001</v>
      </c>
      <c r="G2426" s="322">
        <v>756</v>
      </c>
      <c r="H2426" s="322">
        <f t="shared" si="34"/>
        <v>0</v>
      </c>
      <c r="I2426" s="325" t="s">
        <v>15214</v>
      </c>
    </row>
    <row r="2427" spans="1:9" x14ac:dyDescent="0.25">
      <c r="A2427" s="359">
        <v>42998</v>
      </c>
      <c r="B2427" s="326" t="s">
        <v>30193</v>
      </c>
      <c r="C2427" s="327">
        <v>128186</v>
      </c>
      <c r="D2427" s="391" t="s">
        <v>15668</v>
      </c>
      <c r="E2427" s="328">
        <v>6575.4</v>
      </c>
      <c r="F2427" s="329" t="s">
        <v>30194</v>
      </c>
      <c r="G2427" s="328">
        <v>6575.4</v>
      </c>
      <c r="H2427" s="347">
        <f t="shared" si="34"/>
        <v>0</v>
      </c>
      <c r="I2427" s="331" t="s">
        <v>15214</v>
      </c>
    </row>
    <row r="2428" spans="1:9" x14ac:dyDescent="0.25">
      <c r="A2428" s="319">
        <v>42998</v>
      </c>
      <c r="B2428" s="320" t="s">
        <v>30195</v>
      </c>
      <c r="C2428" s="321">
        <v>128187</v>
      </c>
      <c r="D2428" s="390" t="s">
        <v>15480</v>
      </c>
      <c r="E2428" s="322">
        <v>3416.4</v>
      </c>
      <c r="F2428" s="323">
        <v>43003</v>
      </c>
      <c r="G2428" s="322">
        <v>3416.4</v>
      </c>
      <c r="H2428" s="322">
        <f t="shared" si="34"/>
        <v>0</v>
      </c>
      <c r="I2428" s="325" t="s">
        <v>15214</v>
      </c>
    </row>
    <row r="2429" spans="1:9" x14ac:dyDescent="0.25">
      <c r="A2429" s="359">
        <v>42998</v>
      </c>
      <c r="B2429" s="326" t="s">
        <v>30196</v>
      </c>
      <c r="C2429" s="327">
        <v>128188</v>
      </c>
      <c r="D2429" s="391" t="s">
        <v>15371</v>
      </c>
      <c r="E2429" s="328">
        <v>2935.1</v>
      </c>
      <c r="F2429" s="329">
        <v>42998</v>
      </c>
      <c r="G2429" s="328">
        <v>2935.1</v>
      </c>
      <c r="H2429" s="347">
        <f t="shared" si="34"/>
        <v>0</v>
      </c>
      <c r="I2429" s="331" t="s">
        <v>15214</v>
      </c>
    </row>
    <row r="2430" spans="1:9" x14ac:dyDescent="0.25">
      <c r="A2430" s="319">
        <v>42998</v>
      </c>
      <c r="B2430" s="320" t="s">
        <v>30197</v>
      </c>
      <c r="C2430" s="321">
        <v>128189</v>
      </c>
      <c r="D2430" s="390" t="s">
        <v>15250</v>
      </c>
      <c r="E2430" s="322">
        <v>65670.350000000006</v>
      </c>
      <c r="F2430" s="323">
        <v>43001</v>
      </c>
      <c r="G2430" s="322">
        <v>65670.350000000006</v>
      </c>
      <c r="H2430" s="322">
        <f t="shared" si="34"/>
        <v>0</v>
      </c>
      <c r="I2430" s="325" t="s">
        <v>15214</v>
      </c>
    </row>
    <row r="2431" spans="1:9" x14ac:dyDescent="0.25">
      <c r="A2431" s="359">
        <v>42998</v>
      </c>
      <c r="B2431" s="326" t="s">
        <v>30198</v>
      </c>
      <c r="C2431" s="327">
        <v>128190</v>
      </c>
      <c r="D2431" s="391" t="s">
        <v>15301</v>
      </c>
      <c r="E2431" s="328">
        <v>3155.6</v>
      </c>
      <c r="F2431" s="329">
        <v>42998</v>
      </c>
      <c r="G2431" s="328">
        <v>3155.6</v>
      </c>
      <c r="H2431" s="347">
        <f t="shared" si="34"/>
        <v>0</v>
      </c>
      <c r="I2431" s="331" t="s">
        <v>15214</v>
      </c>
    </row>
    <row r="2432" spans="1:9" x14ac:dyDescent="0.25">
      <c r="A2432" s="319">
        <v>42998</v>
      </c>
      <c r="B2432" s="320" t="s">
        <v>30199</v>
      </c>
      <c r="C2432" s="321">
        <v>128191</v>
      </c>
      <c r="D2432" s="390" t="s">
        <v>15307</v>
      </c>
      <c r="E2432" s="322">
        <v>2212.8000000000002</v>
      </c>
      <c r="F2432" s="323">
        <v>42998</v>
      </c>
      <c r="G2432" s="322">
        <v>2212.8000000000002</v>
      </c>
      <c r="H2432" s="322">
        <f t="shared" si="34"/>
        <v>0</v>
      </c>
      <c r="I2432" s="325" t="s">
        <v>15214</v>
      </c>
    </row>
    <row r="2433" spans="1:9" ht="15.75" x14ac:dyDescent="0.25">
      <c r="A2433" s="359">
        <v>42998</v>
      </c>
      <c r="B2433" s="326" t="s">
        <v>30200</v>
      </c>
      <c r="C2433" s="327">
        <v>128192</v>
      </c>
      <c r="D2433" s="345" t="s">
        <v>95</v>
      </c>
      <c r="E2433" s="328">
        <v>0</v>
      </c>
      <c r="F2433" s="346" t="s">
        <v>95</v>
      </c>
      <c r="G2433" s="328">
        <v>0</v>
      </c>
      <c r="H2433" s="347">
        <f t="shared" si="34"/>
        <v>0</v>
      </c>
      <c r="I2433" s="331" t="s">
        <v>95</v>
      </c>
    </row>
    <row r="2434" spans="1:9" x14ac:dyDescent="0.25">
      <c r="A2434" s="319">
        <v>42998</v>
      </c>
      <c r="B2434" s="320" t="s">
        <v>30201</v>
      </c>
      <c r="C2434" s="321">
        <v>128193</v>
      </c>
      <c r="D2434" s="390" t="s">
        <v>15367</v>
      </c>
      <c r="E2434" s="322">
        <v>4800</v>
      </c>
      <c r="F2434" s="323">
        <v>42999</v>
      </c>
      <c r="G2434" s="322">
        <v>4800</v>
      </c>
      <c r="H2434" s="322">
        <f t="shared" si="34"/>
        <v>0</v>
      </c>
      <c r="I2434" s="325" t="s">
        <v>15214</v>
      </c>
    </row>
    <row r="2435" spans="1:9" x14ac:dyDescent="0.25">
      <c r="A2435" s="359">
        <v>42998</v>
      </c>
      <c r="B2435" s="326" t="s">
        <v>30202</v>
      </c>
      <c r="C2435" s="327">
        <v>128194</v>
      </c>
      <c r="D2435" s="391" t="s">
        <v>15305</v>
      </c>
      <c r="E2435" s="328">
        <v>1267.2</v>
      </c>
      <c r="F2435" s="329">
        <v>42998</v>
      </c>
      <c r="G2435" s="328">
        <v>1267.2</v>
      </c>
      <c r="H2435" s="347">
        <f t="shared" si="34"/>
        <v>0</v>
      </c>
      <c r="I2435" s="331" t="s">
        <v>15214</v>
      </c>
    </row>
    <row r="2436" spans="1:9" x14ac:dyDescent="0.25">
      <c r="A2436" s="319">
        <v>42998</v>
      </c>
      <c r="B2436" s="320" t="s">
        <v>30203</v>
      </c>
      <c r="C2436" s="321">
        <v>128195</v>
      </c>
      <c r="D2436" s="390" t="s">
        <v>29500</v>
      </c>
      <c r="E2436" s="322">
        <v>7680</v>
      </c>
      <c r="F2436" s="323">
        <v>42998</v>
      </c>
      <c r="G2436" s="322">
        <v>7680</v>
      </c>
      <c r="H2436" s="322">
        <f t="shared" si="34"/>
        <v>0</v>
      </c>
      <c r="I2436" s="325" t="s">
        <v>15214</v>
      </c>
    </row>
    <row r="2437" spans="1:9" x14ac:dyDescent="0.25">
      <c r="A2437" s="359">
        <v>42998</v>
      </c>
      <c r="B2437" s="326" t="s">
        <v>30204</v>
      </c>
      <c r="C2437" s="327">
        <v>128196</v>
      </c>
      <c r="D2437" s="391" t="s">
        <v>15407</v>
      </c>
      <c r="E2437" s="328">
        <v>6717.5</v>
      </c>
      <c r="F2437" s="329">
        <v>42998</v>
      </c>
      <c r="G2437" s="328">
        <v>6717.5</v>
      </c>
      <c r="H2437" s="347">
        <f t="shared" si="34"/>
        <v>0</v>
      </c>
      <c r="I2437" s="331" t="s">
        <v>15214</v>
      </c>
    </row>
    <row r="2438" spans="1:9" x14ac:dyDescent="0.25">
      <c r="A2438" s="319">
        <v>42998</v>
      </c>
      <c r="B2438" s="320" t="s">
        <v>30205</v>
      </c>
      <c r="C2438" s="321">
        <v>128197</v>
      </c>
      <c r="D2438" s="390" t="s">
        <v>15320</v>
      </c>
      <c r="E2438" s="322">
        <v>2833.6</v>
      </c>
      <c r="F2438" s="323">
        <v>42998</v>
      </c>
      <c r="G2438" s="322">
        <v>2833.6</v>
      </c>
      <c r="H2438" s="322">
        <f t="shared" si="34"/>
        <v>0</v>
      </c>
      <c r="I2438" s="325" t="s">
        <v>15214</v>
      </c>
    </row>
    <row r="2439" spans="1:9" x14ac:dyDescent="0.25">
      <c r="A2439" s="359">
        <v>42998</v>
      </c>
      <c r="B2439" s="326" t="s">
        <v>30206</v>
      </c>
      <c r="C2439" s="327">
        <v>128198</v>
      </c>
      <c r="D2439" s="391" t="s">
        <v>15274</v>
      </c>
      <c r="E2439" s="328">
        <v>2680</v>
      </c>
      <c r="F2439" s="329">
        <v>42998</v>
      </c>
      <c r="G2439" s="328">
        <v>2680</v>
      </c>
      <c r="H2439" s="347">
        <f t="shared" si="34"/>
        <v>0</v>
      </c>
      <c r="I2439" s="331" t="s">
        <v>15214</v>
      </c>
    </row>
    <row r="2440" spans="1:9" ht="30" x14ac:dyDescent="0.25">
      <c r="A2440" s="319">
        <v>42998</v>
      </c>
      <c r="B2440" s="320" t="s">
        <v>30207</v>
      </c>
      <c r="C2440" s="321">
        <v>128199</v>
      </c>
      <c r="D2440" s="390" t="s">
        <v>15223</v>
      </c>
      <c r="E2440" s="322">
        <v>59274</v>
      </c>
      <c r="F2440" s="323" t="s">
        <v>31621</v>
      </c>
      <c r="G2440" s="334">
        <f>36739.08+22534.92</f>
        <v>59274</v>
      </c>
      <c r="H2440" s="334">
        <f t="shared" si="34"/>
        <v>0</v>
      </c>
      <c r="I2440" s="325" t="s">
        <v>15214</v>
      </c>
    </row>
    <row r="2441" spans="1:9" x14ac:dyDescent="0.25">
      <c r="A2441" s="359">
        <v>42998</v>
      </c>
      <c r="B2441" s="326" t="s">
        <v>30208</v>
      </c>
      <c r="C2441" s="327">
        <v>128200</v>
      </c>
      <c r="D2441" s="391" t="s">
        <v>15311</v>
      </c>
      <c r="E2441" s="328">
        <v>357.7</v>
      </c>
      <c r="F2441" s="329">
        <v>42998</v>
      </c>
      <c r="G2441" s="328">
        <v>357.7</v>
      </c>
      <c r="H2441" s="347">
        <f t="shared" si="34"/>
        <v>0</v>
      </c>
      <c r="I2441" s="331" t="s">
        <v>15214</v>
      </c>
    </row>
    <row r="2442" spans="1:9" x14ac:dyDescent="0.25">
      <c r="A2442" s="319">
        <v>42998</v>
      </c>
      <c r="B2442" s="320" t="s">
        <v>30209</v>
      </c>
      <c r="C2442" s="321">
        <v>128201</v>
      </c>
      <c r="D2442" s="390" t="s">
        <v>15309</v>
      </c>
      <c r="E2442" s="322">
        <v>6284.6</v>
      </c>
      <c r="F2442" s="323">
        <v>42998</v>
      </c>
      <c r="G2442" s="322">
        <v>6284.6</v>
      </c>
      <c r="H2442" s="322">
        <f t="shared" si="34"/>
        <v>0</v>
      </c>
      <c r="I2442" s="325" t="s">
        <v>15214</v>
      </c>
    </row>
    <row r="2443" spans="1:9" x14ac:dyDescent="0.25">
      <c r="A2443" s="359">
        <v>42998</v>
      </c>
      <c r="B2443" s="326" t="s">
        <v>30210</v>
      </c>
      <c r="C2443" s="327">
        <v>128202</v>
      </c>
      <c r="D2443" s="391" t="s">
        <v>15745</v>
      </c>
      <c r="E2443" s="328">
        <v>1762.56</v>
      </c>
      <c r="F2443" s="329">
        <v>42998</v>
      </c>
      <c r="G2443" s="328">
        <v>1762.56</v>
      </c>
      <c r="H2443" s="347">
        <f t="shared" si="34"/>
        <v>0</v>
      </c>
      <c r="I2443" s="331" t="s">
        <v>15214</v>
      </c>
    </row>
    <row r="2444" spans="1:9" x14ac:dyDescent="0.25">
      <c r="A2444" s="319">
        <v>42998</v>
      </c>
      <c r="B2444" s="320" t="s">
        <v>30211</v>
      </c>
      <c r="C2444" s="321">
        <v>128203</v>
      </c>
      <c r="D2444" s="390" t="s">
        <v>15526</v>
      </c>
      <c r="E2444" s="322">
        <v>2795</v>
      </c>
      <c r="F2444" s="323">
        <v>42998</v>
      </c>
      <c r="G2444" s="322">
        <v>2795</v>
      </c>
      <c r="H2444" s="322">
        <f t="shared" si="34"/>
        <v>0</v>
      </c>
      <c r="I2444" s="325" t="s">
        <v>15214</v>
      </c>
    </row>
    <row r="2445" spans="1:9" x14ac:dyDescent="0.25">
      <c r="A2445" s="359">
        <v>42998</v>
      </c>
      <c r="B2445" s="326" t="s">
        <v>30212</v>
      </c>
      <c r="C2445" s="327">
        <v>128204</v>
      </c>
      <c r="D2445" s="391" t="s">
        <v>15340</v>
      </c>
      <c r="E2445" s="328">
        <v>7278.3</v>
      </c>
      <c r="F2445" s="329">
        <v>42998</v>
      </c>
      <c r="G2445" s="328">
        <v>7278.3</v>
      </c>
      <c r="H2445" s="347">
        <f t="shared" si="34"/>
        <v>0</v>
      </c>
      <c r="I2445" s="331" t="s">
        <v>15214</v>
      </c>
    </row>
    <row r="2446" spans="1:9" x14ac:dyDescent="0.25">
      <c r="A2446" s="319">
        <v>42998</v>
      </c>
      <c r="B2446" s="320" t="s">
        <v>30213</v>
      </c>
      <c r="C2446" s="321">
        <v>128205</v>
      </c>
      <c r="D2446" s="390" t="s">
        <v>15732</v>
      </c>
      <c r="E2446" s="322">
        <v>1535</v>
      </c>
      <c r="F2446" s="323">
        <v>42998</v>
      </c>
      <c r="G2446" s="322">
        <v>1535</v>
      </c>
      <c r="H2446" s="322">
        <f t="shared" si="34"/>
        <v>0</v>
      </c>
      <c r="I2446" s="325" t="s">
        <v>15214</v>
      </c>
    </row>
    <row r="2447" spans="1:9" x14ac:dyDescent="0.25">
      <c r="A2447" s="359">
        <v>42998</v>
      </c>
      <c r="B2447" s="326" t="s">
        <v>30214</v>
      </c>
      <c r="C2447" s="327">
        <v>128206</v>
      </c>
      <c r="D2447" s="391" t="s">
        <v>15358</v>
      </c>
      <c r="E2447" s="328">
        <v>1729.6</v>
      </c>
      <c r="F2447" s="329">
        <v>42998</v>
      </c>
      <c r="G2447" s="328">
        <v>1729.6</v>
      </c>
      <c r="H2447" s="347">
        <f t="shared" si="34"/>
        <v>0</v>
      </c>
      <c r="I2447" s="331" t="s">
        <v>15214</v>
      </c>
    </row>
    <row r="2448" spans="1:9" x14ac:dyDescent="0.25">
      <c r="A2448" s="319">
        <v>42998</v>
      </c>
      <c r="B2448" s="320" t="s">
        <v>30215</v>
      </c>
      <c r="C2448" s="321">
        <v>128207</v>
      </c>
      <c r="D2448" s="390" t="s">
        <v>15553</v>
      </c>
      <c r="E2448" s="322">
        <v>770</v>
      </c>
      <c r="F2448" s="323">
        <v>42998</v>
      </c>
      <c r="G2448" s="322">
        <v>770</v>
      </c>
      <c r="H2448" s="322">
        <f t="shared" si="34"/>
        <v>0</v>
      </c>
      <c r="I2448" s="325" t="s">
        <v>15214</v>
      </c>
    </row>
    <row r="2449" spans="1:9" x14ac:dyDescent="0.25">
      <c r="A2449" s="359">
        <v>42998</v>
      </c>
      <c r="B2449" s="326" t="s">
        <v>30216</v>
      </c>
      <c r="C2449" s="327">
        <v>128208</v>
      </c>
      <c r="D2449" s="391" t="s">
        <v>15336</v>
      </c>
      <c r="E2449" s="328">
        <v>8295.5</v>
      </c>
      <c r="F2449" s="329">
        <v>42998</v>
      </c>
      <c r="G2449" s="328">
        <v>8295.5</v>
      </c>
      <c r="H2449" s="347">
        <f t="shared" si="34"/>
        <v>0</v>
      </c>
      <c r="I2449" s="331" t="s">
        <v>15214</v>
      </c>
    </row>
    <row r="2450" spans="1:9" x14ac:dyDescent="0.25">
      <c r="A2450" s="319">
        <v>42998</v>
      </c>
      <c r="B2450" s="320" t="s">
        <v>30217</v>
      </c>
      <c r="C2450" s="321">
        <v>128209</v>
      </c>
      <c r="D2450" s="390" t="s">
        <v>15344</v>
      </c>
      <c r="E2450" s="322">
        <v>2105</v>
      </c>
      <c r="F2450" s="323">
        <v>42998</v>
      </c>
      <c r="G2450" s="322">
        <v>2105</v>
      </c>
      <c r="H2450" s="322">
        <f t="shared" si="34"/>
        <v>0</v>
      </c>
      <c r="I2450" s="325" t="s">
        <v>15214</v>
      </c>
    </row>
    <row r="2451" spans="1:9" x14ac:dyDescent="0.25">
      <c r="A2451" s="359">
        <v>42998</v>
      </c>
      <c r="B2451" s="326" t="s">
        <v>30218</v>
      </c>
      <c r="C2451" s="327">
        <v>128210</v>
      </c>
      <c r="D2451" s="391" t="s">
        <v>15278</v>
      </c>
      <c r="E2451" s="328">
        <v>2875.2</v>
      </c>
      <c r="F2451" s="329">
        <v>42998</v>
      </c>
      <c r="G2451" s="328">
        <v>2875.2</v>
      </c>
      <c r="H2451" s="347">
        <f t="shared" si="34"/>
        <v>0</v>
      </c>
      <c r="I2451" s="331" t="s">
        <v>15214</v>
      </c>
    </row>
    <row r="2452" spans="1:9" x14ac:dyDescent="0.25">
      <c r="A2452" s="319">
        <v>42998</v>
      </c>
      <c r="B2452" s="320" t="s">
        <v>30219</v>
      </c>
      <c r="C2452" s="321">
        <v>128211</v>
      </c>
      <c r="D2452" s="390" t="s">
        <v>15742</v>
      </c>
      <c r="E2452" s="322">
        <v>2479.4</v>
      </c>
      <c r="F2452" s="323">
        <v>42998</v>
      </c>
      <c r="G2452" s="322">
        <v>2479.4</v>
      </c>
      <c r="H2452" s="322">
        <f t="shared" si="34"/>
        <v>0</v>
      </c>
      <c r="I2452" s="325" t="s">
        <v>15214</v>
      </c>
    </row>
    <row r="2453" spans="1:9" ht="15.75" x14ac:dyDescent="0.25">
      <c r="A2453" s="359">
        <v>42998</v>
      </c>
      <c r="B2453" s="326" t="s">
        <v>30220</v>
      </c>
      <c r="C2453" s="327">
        <v>128212</v>
      </c>
      <c r="D2453" s="345" t="s">
        <v>95</v>
      </c>
      <c r="E2453" s="328">
        <v>0</v>
      </c>
      <c r="F2453" s="346" t="s">
        <v>95</v>
      </c>
      <c r="G2453" s="328">
        <v>0</v>
      </c>
      <c r="H2453" s="347">
        <f t="shared" si="34"/>
        <v>0</v>
      </c>
      <c r="I2453" s="331" t="s">
        <v>95</v>
      </c>
    </row>
    <row r="2454" spans="1:9" x14ac:dyDescent="0.25">
      <c r="A2454" s="319">
        <v>42998</v>
      </c>
      <c r="B2454" s="320" t="s">
        <v>30221</v>
      </c>
      <c r="C2454" s="321">
        <v>128213</v>
      </c>
      <c r="D2454" s="390" t="s">
        <v>15348</v>
      </c>
      <c r="E2454" s="322">
        <v>3158.4</v>
      </c>
      <c r="F2454" s="323">
        <v>42999</v>
      </c>
      <c r="G2454" s="322">
        <v>3158.4</v>
      </c>
      <c r="H2454" s="322">
        <f t="shared" si="34"/>
        <v>0</v>
      </c>
      <c r="I2454" s="325" t="s">
        <v>15214</v>
      </c>
    </row>
    <row r="2455" spans="1:9" x14ac:dyDescent="0.25">
      <c r="A2455" s="359">
        <v>42998</v>
      </c>
      <c r="B2455" s="326" t="s">
        <v>30222</v>
      </c>
      <c r="C2455" s="327">
        <v>128214</v>
      </c>
      <c r="D2455" s="391" t="s">
        <v>16171</v>
      </c>
      <c r="E2455" s="328">
        <v>359.1</v>
      </c>
      <c r="F2455" s="329">
        <v>42998</v>
      </c>
      <c r="G2455" s="328">
        <v>359.1</v>
      </c>
      <c r="H2455" s="347">
        <f t="shared" si="34"/>
        <v>0</v>
      </c>
      <c r="I2455" s="331" t="s">
        <v>15214</v>
      </c>
    </row>
    <row r="2456" spans="1:9" ht="30" x14ac:dyDescent="0.25">
      <c r="A2456" s="319">
        <v>42998</v>
      </c>
      <c r="B2456" s="320" t="s">
        <v>30223</v>
      </c>
      <c r="C2456" s="321">
        <v>128215</v>
      </c>
      <c r="D2456" s="390" t="s">
        <v>15248</v>
      </c>
      <c r="E2456" s="322">
        <v>30764.400000000001</v>
      </c>
      <c r="F2456" s="323" t="s">
        <v>30224</v>
      </c>
      <c r="G2456" s="334">
        <f>25000+5764.4</f>
        <v>30764.400000000001</v>
      </c>
      <c r="H2456" s="334">
        <f t="shared" si="34"/>
        <v>0</v>
      </c>
      <c r="I2456" s="325" t="s">
        <v>15214</v>
      </c>
    </row>
    <row r="2457" spans="1:9" x14ac:dyDescent="0.25">
      <c r="A2457" s="359">
        <v>42998</v>
      </c>
      <c r="B2457" s="326" t="s">
        <v>30225</v>
      </c>
      <c r="C2457" s="327">
        <v>128216</v>
      </c>
      <c r="D2457" s="391" t="s">
        <v>15280</v>
      </c>
      <c r="E2457" s="328">
        <v>5257</v>
      </c>
      <c r="F2457" s="329">
        <v>42998</v>
      </c>
      <c r="G2457" s="328">
        <v>5257</v>
      </c>
      <c r="H2457" s="347">
        <f t="shared" si="34"/>
        <v>0</v>
      </c>
      <c r="I2457" s="331" t="s">
        <v>15214</v>
      </c>
    </row>
    <row r="2458" spans="1:9" x14ac:dyDescent="0.25">
      <c r="A2458" s="319">
        <v>42998</v>
      </c>
      <c r="B2458" s="320" t="s">
        <v>30226</v>
      </c>
      <c r="C2458" s="321">
        <v>128217</v>
      </c>
      <c r="D2458" s="390" t="s">
        <v>18544</v>
      </c>
      <c r="E2458" s="322">
        <v>7974.2</v>
      </c>
      <c r="F2458" s="323">
        <v>42998</v>
      </c>
      <c r="G2458" s="322">
        <v>7974.2</v>
      </c>
      <c r="H2458" s="322">
        <f t="shared" si="34"/>
        <v>0</v>
      </c>
      <c r="I2458" s="325" t="s">
        <v>15214</v>
      </c>
    </row>
    <row r="2459" spans="1:9" x14ac:dyDescent="0.25">
      <c r="A2459" s="359">
        <v>42998</v>
      </c>
      <c r="B2459" s="326" t="s">
        <v>30227</v>
      </c>
      <c r="C2459" s="327">
        <v>128218</v>
      </c>
      <c r="D2459" s="391" t="s">
        <v>15324</v>
      </c>
      <c r="E2459" s="328">
        <v>1713</v>
      </c>
      <c r="F2459" s="329">
        <v>42998</v>
      </c>
      <c r="G2459" s="328">
        <v>1713</v>
      </c>
      <c r="H2459" s="347">
        <f t="shared" si="34"/>
        <v>0</v>
      </c>
      <c r="I2459" s="331" t="s">
        <v>15214</v>
      </c>
    </row>
    <row r="2460" spans="1:9" x14ac:dyDescent="0.25">
      <c r="A2460" s="319">
        <v>42998</v>
      </c>
      <c r="B2460" s="320" t="s">
        <v>30228</v>
      </c>
      <c r="C2460" s="321">
        <v>128219</v>
      </c>
      <c r="D2460" s="390" t="s">
        <v>15858</v>
      </c>
      <c r="E2460" s="322">
        <v>334.8</v>
      </c>
      <c r="F2460" s="323">
        <v>42998</v>
      </c>
      <c r="G2460" s="322">
        <v>334.8</v>
      </c>
      <c r="H2460" s="322">
        <f t="shared" si="34"/>
        <v>0</v>
      </c>
      <c r="I2460" s="325" t="s">
        <v>15214</v>
      </c>
    </row>
    <row r="2461" spans="1:9" x14ac:dyDescent="0.25">
      <c r="A2461" s="359">
        <v>42998</v>
      </c>
      <c r="B2461" s="326" t="s">
        <v>30229</v>
      </c>
      <c r="C2461" s="327">
        <v>128220</v>
      </c>
      <c r="D2461" s="391" t="s">
        <v>16171</v>
      </c>
      <c r="E2461" s="328">
        <v>413.1</v>
      </c>
      <c r="F2461" s="329">
        <v>42998</v>
      </c>
      <c r="G2461" s="328">
        <v>413.1</v>
      </c>
      <c r="H2461" s="347">
        <f t="shared" si="34"/>
        <v>0</v>
      </c>
      <c r="I2461" s="331" t="s">
        <v>15214</v>
      </c>
    </row>
    <row r="2462" spans="1:9" x14ac:dyDescent="0.25">
      <c r="A2462" s="319">
        <v>42998</v>
      </c>
      <c r="B2462" s="320" t="s">
        <v>30230</v>
      </c>
      <c r="C2462" s="321">
        <v>128221</v>
      </c>
      <c r="D2462" s="390" t="s">
        <v>15438</v>
      </c>
      <c r="E2462" s="322">
        <v>1978.9</v>
      </c>
      <c r="F2462" s="323">
        <v>42998</v>
      </c>
      <c r="G2462" s="322">
        <v>1978.9</v>
      </c>
      <c r="H2462" s="322">
        <f t="shared" si="34"/>
        <v>0</v>
      </c>
      <c r="I2462" s="325" t="s">
        <v>15214</v>
      </c>
    </row>
    <row r="2463" spans="1:9" x14ac:dyDescent="0.25">
      <c r="A2463" s="359">
        <v>42998</v>
      </c>
      <c r="B2463" s="326" t="s">
        <v>30231</v>
      </c>
      <c r="C2463" s="327">
        <v>128222</v>
      </c>
      <c r="D2463" s="391" t="s">
        <v>15590</v>
      </c>
      <c r="E2463" s="328">
        <v>30839.02</v>
      </c>
      <c r="F2463" s="329">
        <v>43017</v>
      </c>
      <c r="G2463" s="328">
        <v>30839.02</v>
      </c>
      <c r="H2463" s="347">
        <f t="shared" si="34"/>
        <v>0</v>
      </c>
      <c r="I2463" s="331" t="s">
        <v>15214</v>
      </c>
    </row>
    <row r="2464" spans="1:9" ht="15.75" x14ac:dyDescent="0.25">
      <c r="A2464" s="319">
        <v>42998</v>
      </c>
      <c r="B2464" s="320" t="s">
        <v>30232</v>
      </c>
      <c r="C2464" s="321">
        <v>128223</v>
      </c>
      <c r="D2464" s="332" t="s">
        <v>95</v>
      </c>
      <c r="E2464" s="322">
        <v>0</v>
      </c>
      <c r="F2464" s="333" t="s">
        <v>95</v>
      </c>
      <c r="G2464" s="322">
        <v>0</v>
      </c>
      <c r="H2464" s="322">
        <f t="shared" si="34"/>
        <v>0</v>
      </c>
      <c r="I2464" s="325" t="s">
        <v>95</v>
      </c>
    </row>
    <row r="2465" spans="1:9" x14ac:dyDescent="0.25">
      <c r="A2465" s="359">
        <v>42998</v>
      </c>
      <c r="B2465" s="326" t="s">
        <v>30233</v>
      </c>
      <c r="C2465" s="327">
        <v>128224</v>
      </c>
      <c r="D2465" s="391" t="s">
        <v>19773</v>
      </c>
      <c r="E2465" s="328">
        <v>5559</v>
      </c>
      <c r="F2465" s="329">
        <v>43001</v>
      </c>
      <c r="G2465" s="328">
        <v>5559</v>
      </c>
      <c r="H2465" s="347">
        <f t="shared" si="34"/>
        <v>0</v>
      </c>
      <c r="I2465" s="331" t="s">
        <v>15214</v>
      </c>
    </row>
    <row r="2466" spans="1:9" x14ac:dyDescent="0.25">
      <c r="A2466" s="319">
        <v>42998</v>
      </c>
      <c r="B2466" s="320" t="s">
        <v>30234</v>
      </c>
      <c r="C2466" s="321">
        <v>128225</v>
      </c>
      <c r="D2466" s="390" t="s">
        <v>19776</v>
      </c>
      <c r="E2466" s="322">
        <v>8608.2000000000007</v>
      </c>
      <c r="F2466" s="323">
        <v>42998</v>
      </c>
      <c r="G2466" s="322">
        <v>8608.2000000000007</v>
      </c>
      <c r="H2466" s="322">
        <f t="shared" si="34"/>
        <v>0</v>
      </c>
      <c r="I2466" s="325" t="s">
        <v>15214</v>
      </c>
    </row>
    <row r="2467" spans="1:9" x14ac:dyDescent="0.25">
      <c r="A2467" s="359">
        <v>42998</v>
      </c>
      <c r="B2467" s="326" t="s">
        <v>30235</v>
      </c>
      <c r="C2467" s="327">
        <v>128226</v>
      </c>
      <c r="D2467" s="391" t="s">
        <v>15387</v>
      </c>
      <c r="E2467" s="328">
        <v>2898.48</v>
      </c>
      <c r="F2467" s="329">
        <v>42998</v>
      </c>
      <c r="G2467" s="328">
        <v>2898.48</v>
      </c>
      <c r="H2467" s="347">
        <f t="shared" si="34"/>
        <v>0</v>
      </c>
      <c r="I2467" s="331" t="s">
        <v>15214</v>
      </c>
    </row>
    <row r="2468" spans="1:9" x14ac:dyDescent="0.25">
      <c r="A2468" s="319">
        <v>42998</v>
      </c>
      <c r="B2468" s="320" t="s">
        <v>30236</v>
      </c>
      <c r="C2468" s="321">
        <v>128227</v>
      </c>
      <c r="D2468" s="390" t="s">
        <v>15244</v>
      </c>
      <c r="E2468" s="322">
        <v>8188.9</v>
      </c>
      <c r="F2468" s="323">
        <v>42998</v>
      </c>
      <c r="G2468" s="322">
        <v>8188.9</v>
      </c>
      <c r="H2468" s="322">
        <f t="shared" si="34"/>
        <v>0</v>
      </c>
      <c r="I2468" s="325" t="s">
        <v>15214</v>
      </c>
    </row>
    <row r="2469" spans="1:9" x14ac:dyDescent="0.25">
      <c r="A2469" s="359">
        <v>42998</v>
      </c>
      <c r="B2469" s="326" t="s">
        <v>30237</v>
      </c>
      <c r="C2469" s="327">
        <v>128228</v>
      </c>
      <c r="D2469" s="391" t="s">
        <v>15361</v>
      </c>
      <c r="E2469" s="328">
        <v>8634.6</v>
      </c>
      <c r="F2469" s="329">
        <v>42998</v>
      </c>
      <c r="G2469" s="328">
        <v>8634.6</v>
      </c>
      <c r="H2469" s="347">
        <f t="shared" si="34"/>
        <v>0</v>
      </c>
      <c r="I2469" s="331" t="s">
        <v>15214</v>
      </c>
    </row>
    <row r="2470" spans="1:9" x14ac:dyDescent="0.25">
      <c r="A2470" s="319">
        <v>42998</v>
      </c>
      <c r="B2470" s="320" t="s">
        <v>30238</v>
      </c>
      <c r="C2470" s="321">
        <v>128229</v>
      </c>
      <c r="D2470" s="390" t="s">
        <v>15228</v>
      </c>
      <c r="E2470" s="322">
        <v>5810</v>
      </c>
      <c r="F2470" s="323">
        <v>42998</v>
      </c>
      <c r="G2470" s="322">
        <v>5810</v>
      </c>
      <c r="H2470" s="322">
        <f t="shared" si="34"/>
        <v>0</v>
      </c>
      <c r="I2470" s="325" t="s">
        <v>15214</v>
      </c>
    </row>
    <row r="2471" spans="1:9" x14ac:dyDescent="0.25">
      <c r="A2471" s="359">
        <v>42998</v>
      </c>
      <c r="B2471" s="326" t="s">
        <v>30239</v>
      </c>
      <c r="C2471" s="327">
        <v>128230</v>
      </c>
      <c r="D2471" s="391" t="s">
        <v>15537</v>
      </c>
      <c r="E2471" s="328">
        <v>12764.7</v>
      </c>
      <c r="F2471" s="329">
        <v>42999</v>
      </c>
      <c r="G2471" s="328">
        <v>12764.7</v>
      </c>
      <c r="H2471" s="347">
        <f t="shared" si="34"/>
        <v>0</v>
      </c>
      <c r="I2471" s="331" t="s">
        <v>15214</v>
      </c>
    </row>
    <row r="2472" spans="1:9" ht="15.75" x14ac:dyDescent="0.25">
      <c r="A2472" s="319">
        <v>42998</v>
      </c>
      <c r="B2472" s="320" t="s">
        <v>30240</v>
      </c>
      <c r="C2472" s="321">
        <v>128231</v>
      </c>
      <c r="D2472" s="332" t="s">
        <v>95</v>
      </c>
      <c r="E2472" s="322">
        <v>0</v>
      </c>
      <c r="F2472" s="333" t="s">
        <v>95</v>
      </c>
      <c r="G2472" s="322">
        <v>0</v>
      </c>
      <c r="H2472" s="322">
        <f t="shared" si="34"/>
        <v>0</v>
      </c>
      <c r="I2472" s="398" t="s">
        <v>30241</v>
      </c>
    </row>
    <row r="2473" spans="1:9" x14ac:dyDescent="0.25">
      <c r="A2473" s="359">
        <v>42998</v>
      </c>
      <c r="B2473" s="326" t="s">
        <v>30242</v>
      </c>
      <c r="C2473" s="327">
        <v>128232</v>
      </c>
      <c r="D2473" s="391" t="s">
        <v>15539</v>
      </c>
      <c r="E2473" s="328">
        <v>9933.2999999999993</v>
      </c>
      <c r="F2473" s="329">
        <v>42999</v>
      </c>
      <c r="G2473" s="328">
        <v>9933.2999999999993</v>
      </c>
      <c r="H2473" s="347">
        <f t="shared" si="34"/>
        <v>0</v>
      </c>
      <c r="I2473" s="331" t="s">
        <v>15214</v>
      </c>
    </row>
    <row r="2474" spans="1:9" x14ac:dyDescent="0.25">
      <c r="A2474" s="319">
        <v>42998</v>
      </c>
      <c r="B2474" s="320" t="s">
        <v>30243</v>
      </c>
      <c r="C2474" s="321">
        <v>128233</v>
      </c>
      <c r="D2474" s="390" t="s">
        <v>15557</v>
      </c>
      <c r="E2474" s="322">
        <v>7482.9</v>
      </c>
      <c r="F2474" s="323">
        <v>42999</v>
      </c>
      <c r="G2474" s="322">
        <v>7482.9</v>
      </c>
      <c r="H2474" s="322">
        <f t="shared" si="34"/>
        <v>0</v>
      </c>
      <c r="I2474" s="325" t="s">
        <v>15214</v>
      </c>
    </row>
    <row r="2475" spans="1:9" x14ac:dyDescent="0.25">
      <c r="A2475" s="359">
        <v>42998</v>
      </c>
      <c r="B2475" s="326" t="s">
        <v>30244</v>
      </c>
      <c r="C2475" s="327">
        <v>128234</v>
      </c>
      <c r="D2475" s="391" t="s">
        <v>15699</v>
      </c>
      <c r="E2475" s="328">
        <v>402.3</v>
      </c>
      <c r="F2475" s="329">
        <v>42999</v>
      </c>
      <c r="G2475" s="328">
        <v>402.3</v>
      </c>
      <c r="H2475" s="347">
        <f t="shared" si="34"/>
        <v>0</v>
      </c>
      <c r="I2475" s="331" t="s">
        <v>15214</v>
      </c>
    </row>
    <row r="2476" spans="1:9" x14ac:dyDescent="0.25">
      <c r="A2476" s="319">
        <v>42998</v>
      </c>
      <c r="B2476" s="320" t="s">
        <v>30245</v>
      </c>
      <c r="C2476" s="321">
        <v>128235</v>
      </c>
      <c r="D2476" s="390" t="s">
        <v>15378</v>
      </c>
      <c r="E2476" s="322">
        <v>728</v>
      </c>
      <c r="F2476" s="323">
        <v>42998</v>
      </c>
      <c r="G2476" s="322">
        <v>728</v>
      </c>
      <c r="H2476" s="322">
        <f t="shared" si="34"/>
        <v>0</v>
      </c>
      <c r="I2476" s="325" t="s">
        <v>15214</v>
      </c>
    </row>
    <row r="2477" spans="1:9" x14ac:dyDescent="0.25">
      <c r="A2477" s="359">
        <v>42998</v>
      </c>
      <c r="B2477" s="326" t="s">
        <v>30246</v>
      </c>
      <c r="C2477" s="327">
        <v>128236</v>
      </c>
      <c r="D2477" s="391" t="s">
        <v>15315</v>
      </c>
      <c r="E2477" s="328">
        <v>569.6</v>
      </c>
      <c r="F2477" s="329">
        <v>42998</v>
      </c>
      <c r="G2477" s="328">
        <v>569.6</v>
      </c>
      <c r="H2477" s="347">
        <f t="shared" si="34"/>
        <v>0</v>
      </c>
      <c r="I2477" s="331" t="s">
        <v>15214</v>
      </c>
    </row>
    <row r="2478" spans="1:9" x14ac:dyDescent="0.25">
      <c r="A2478" s="319">
        <v>42998</v>
      </c>
      <c r="B2478" s="320" t="s">
        <v>30247</v>
      </c>
      <c r="C2478" s="321">
        <v>128237</v>
      </c>
      <c r="D2478" s="390" t="s">
        <v>16261</v>
      </c>
      <c r="E2478" s="322">
        <v>7045.6</v>
      </c>
      <c r="F2478" s="323">
        <v>42998</v>
      </c>
      <c r="G2478" s="322">
        <v>7045.6</v>
      </c>
      <c r="H2478" s="322">
        <f t="shared" si="34"/>
        <v>0</v>
      </c>
      <c r="I2478" s="325" t="s">
        <v>15214</v>
      </c>
    </row>
    <row r="2479" spans="1:9" x14ac:dyDescent="0.25">
      <c r="A2479" s="359">
        <v>42998</v>
      </c>
      <c r="B2479" s="326" t="s">
        <v>30248</v>
      </c>
      <c r="C2479" s="327">
        <v>128238</v>
      </c>
      <c r="D2479" s="391" t="s">
        <v>15276</v>
      </c>
      <c r="E2479" s="328">
        <v>3360</v>
      </c>
      <c r="F2479" s="329">
        <v>42999</v>
      </c>
      <c r="G2479" s="328">
        <v>3360</v>
      </c>
      <c r="H2479" s="347">
        <f t="shared" si="34"/>
        <v>0</v>
      </c>
      <c r="I2479" s="331" t="s">
        <v>15214</v>
      </c>
    </row>
    <row r="2480" spans="1:9" x14ac:dyDescent="0.25">
      <c r="A2480" s="319">
        <v>42998</v>
      </c>
      <c r="B2480" s="320" t="s">
        <v>30249</v>
      </c>
      <c r="C2480" s="321">
        <v>128239</v>
      </c>
      <c r="D2480" s="390" t="s">
        <v>16288</v>
      </c>
      <c r="E2480" s="322">
        <v>997.02</v>
      </c>
      <c r="F2480" s="323">
        <v>42999</v>
      </c>
      <c r="G2480" s="322">
        <v>997.02</v>
      </c>
      <c r="H2480" s="322">
        <f t="shared" si="34"/>
        <v>0</v>
      </c>
      <c r="I2480" s="325" t="s">
        <v>15214</v>
      </c>
    </row>
    <row r="2481" spans="1:9" x14ac:dyDescent="0.25">
      <c r="A2481" s="359">
        <v>42998</v>
      </c>
      <c r="B2481" s="326" t="s">
        <v>30250</v>
      </c>
      <c r="C2481" s="327">
        <v>128240</v>
      </c>
      <c r="D2481" s="391" t="s">
        <v>15326</v>
      </c>
      <c r="E2481" s="328">
        <v>2938.4</v>
      </c>
      <c r="F2481" s="329">
        <v>42998</v>
      </c>
      <c r="G2481" s="328">
        <v>2938.4</v>
      </c>
      <c r="H2481" s="347">
        <f t="shared" ref="H2481:H2544" si="35">E2481-G2481</f>
        <v>0</v>
      </c>
      <c r="I2481" s="331" t="s">
        <v>15214</v>
      </c>
    </row>
    <row r="2482" spans="1:9" x14ac:dyDescent="0.25">
      <c r="A2482" s="319">
        <v>42998</v>
      </c>
      <c r="B2482" s="320" t="s">
        <v>30251</v>
      </c>
      <c r="C2482" s="321">
        <v>128241</v>
      </c>
      <c r="D2482" s="390" t="s">
        <v>15725</v>
      </c>
      <c r="E2482" s="322">
        <v>17963.8</v>
      </c>
      <c r="F2482" s="323">
        <v>43000</v>
      </c>
      <c r="G2482" s="322">
        <v>17963.8</v>
      </c>
      <c r="H2482" s="322">
        <f t="shared" si="35"/>
        <v>0</v>
      </c>
      <c r="I2482" s="325" t="s">
        <v>15214</v>
      </c>
    </row>
    <row r="2483" spans="1:9" x14ac:dyDescent="0.25">
      <c r="A2483" s="359">
        <v>42998</v>
      </c>
      <c r="B2483" s="326" t="s">
        <v>30252</v>
      </c>
      <c r="C2483" s="327">
        <v>128242</v>
      </c>
      <c r="D2483" s="391" t="s">
        <v>15759</v>
      </c>
      <c r="E2483" s="328">
        <v>1292.5</v>
      </c>
      <c r="F2483" s="329">
        <v>42999</v>
      </c>
      <c r="G2483" s="328">
        <v>1292.5</v>
      </c>
      <c r="H2483" s="347">
        <f t="shared" si="35"/>
        <v>0</v>
      </c>
      <c r="I2483" s="331" t="s">
        <v>15214</v>
      </c>
    </row>
    <row r="2484" spans="1:9" x14ac:dyDescent="0.25">
      <c r="A2484" s="319">
        <v>42998</v>
      </c>
      <c r="B2484" s="320" t="s">
        <v>30253</v>
      </c>
      <c r="C2484" s="321">
        <v>128243</v>
      </c>
      <c r="D2484" s="390" t="s">
        <v>15920</v>
      </c>
      <c r="E2484" s="322">
        <v>13416</v>
      </c>
      <c r="F2484" s="323">
        <v>42999</v>
      </c>
      <c r="G2484" s="322">
        <v>13416</v>
      </c>
      <c r="H2484" s="322">
        <f t="shared" si="35"/>
        <v>0</v>
      </c>
      <c r="I2484" s="325" t="s">
        <v>15214</v>
      </c>
    </row>
    <row r="2485" spans="1:9" x14ac:dyDescent="0.25">
      <c r="A2485" s="359">
        <v>42998</v>
      </c>
      <c r="B2485" s="326" t="s">
        <v>30254</v>
      </c>
      <c r="C2485" s="327">
        <v>128244</v>
      </c>
      <c r="D2485" s="391" t="s">
        <v>30255</v>
      </c>
      <c r="E2485" s="328">
        <v>5300</v>
      </c>
      <c r="F2485" s="329">
        <v>42999</v>
      </c>
      <c r="G2485" s="328">
        <v>5300</v>
      </c>
      <c r="H2485" s="347">
        <f t="shared" si="35"/>
        <v>0</v>
      </c>
      <c r="I2485" s="331" t="s">
        <v>15214</v>
      </c>
    </row>
    <row r="2486" spans="1:9" x14ac:dyDescent="0.25">
      <c r="A2486" s="319">
        <v>42998</v>
      </c>
      <c r="B2486" s="320" t="s">
        <v>30256</v>
      </c>
      <c r="C2486" s="321">
        <v>128245</v>
      </c>
      <c r="D2486" s="390" t="s">
        <v>15398</v>
      </c>
      <c r="E2486" s="322">
        <v>3333.1</v>
      </c>
      <c r="F2486" s="323">
        <v>42998</v>
      </c>
      <c r="G2486" s="322">
        <v>3333.1</v>
      </c>
      <c r="H2486" s="322">
        <f t="shared" si="35"/>
        <v>0</v>
      </c>
      <c r="I2486" s="325" t="s">
        <v>15214</v>
      </c>
    </row>
    <row r="2487" spans="1:9" ht="15.75" x14ac:dyDescent="0.25">
      <c r="A2487" s="359">
        <v>42998</v>
      </c>
      <c r="B2487" s="326" t="s">
        <v>30257</v>
      </c>
      <c r="C2487" s="327">
        <v>128246</v>
      </c>
      <c r="D2487" s="345" t="s">
        <v>95</v>
      </c>
      <c r="E2487" s="328">
        <v>0</v>
      </c>
      <c r="F2487" s="346" t="s">
        <v>95</v>
      </c>
      <c r="G2487" s="328">
        <v>0</v>
      </c>
      <c r="H2487" s="347">
        <f t="shared" si="35"/>
        <v>0</v>
      </c>
      <c r="I2487" s="331" t="s">
        <v>95</v>
      </c>
    </row>
    <row r="2488" spans="1:9" x14ac:dyDescent="0.25">
      <c r="A2488" s="319">
        <v>42998</v>
      </c>
      <c r="B2488" s="320" t="s">
        <v>30258</v>
      </c>
      <c r="C2488" s="321">
        <v>128247</v>
      </c>
      <c r="D2488" s="390" t="s">
        <v>15628</v>
      </c>
      <c r="E2488" s="322">
        <v>1079.2</v>
      </c>
      <c r="F2488" s="323">
        <v>42998</v>
      </c>
      <c r="G2488" s="322">
        <v>1079.2</v>
      </c>
      <c r="H2488" s="322">
        <f t="shared" si="35"/>
        <v>0</v>
      </c>
      <c r="I2488" s="325" t="s">
        <v>15214</v>
      </c>
    </row>
    <row r="2489" spans="1:9" x14ac:dyDescent="0.25">
      <c r="A2489" s="359">
        <v>42998</v>
      </c>
      <c r="B2489" s="326" t="s">
        <v>30259</v>
      </c>
      <c r="C2489" s="327">
        <v>128248</v>
      </c>
      <c r="D2489" s="391" t="s">
        <v>15884</v>
      </c>
      <c r="E2489" s="328">
        <v>2003.2</v>
      </c>
      <c r="F2489" s="329">
        <v>42998</v>
      </c>
      <c r="G2489" s="328">
        <v>2003.2</v>
      </c>
      <c r="H2489" s="347">
        <f t="shared" si="35"/>
        <v>0</v>
      </c>
      <c r="I2489" s="331" t="s">
        <v>15214</v>
      </c>
    </row>
    <row r="2490" spans="1:9" ht="30" x14ac:dyDescent="0.25">
      <c r="A2490" s="319">
        <v>42998</v>
      </c>
      <c r="B2490" s="320" t="s">
        <v>30260</v>
      </c>
      <c r="C2490" s="321">
        <v>128249</v>
      </c>
      <c r="D2490" s="390" t="s">
        <v>15628</v>
      </c>
      <c r="E2490" s="322">
        <v>15897.3</v>
      </c>
      <c r="F2490" s="323" t="s">
        <v>30261</v>
      </c>
      <c r="G2490" s="334">
        <f>3000+12897.3</f>
        <v>15897.3</v>
      </c>
      <c r="H2490" s="334">
        <f t="shared" si="35"/>
        <v>0</v>
      </c>
      <c r="I2490" s="325" t="s">
        <v>15214</v>
      </c>
    </row>
    <row r="2491" spans="1:9" x14ac:dyDescent="0.25">
      <c r="A2491" s="359">
        <v>42998</v>
      </c>
      <c r="B2491" s="326" t="s">
        <v>30262</v>
      </c>
      <c r="C2491" s="327">
        <v>128250</v>
      </c>
      <c r="D2491" s="391" t="s">
        <v>15716</v>
      </c>
      <c r="E2491" s="328">
        <v>3540</v>
      </c>
      <c r="F2491" s="329">
        <v>42998</v>
      </c>
      <c r="G2491" s="328">
        <v>3540</v>
      </c>
      <c r="H2491" s="347">
        <f t="shared" si="35"/>
        <v>0</v>
      </c>
      <c r="I2491" s="331" t="s">
        <v>15214</v>
      </c>
    </row>
    <row r="2492" spans="1:9" x14ac:dyDescent="0.25">
      <c r="A2492" s="319">
        <v>42998</v>
      </c>
      <c r="B2492" s="320" t="s">
        <v>30263</v>
      </c>
      <c r="C2492" s="321">
        <v>128251</v>
      </c>
      <c r="D2492" s="390" t="s">
        <v>15322</v>
      </c>
      <c r="E2492" s="322">
        <v>503</v>
      </c>
      <c r="F2492" s="323">
        <v>42998</v>
      </c>
      <c r="G2492" s="322">
        <v>503</v>
      </c>
      <c r="H2492" s="322">
        <f t="shared" si="35"/>
        <v>0</v>
      </c>
      <c r="I2492" s="325" t="s">
        <v>15214</v>
      </c>
    </row>
    <row r="2493" spans="1:9" x14ac:dyDescent="0.25">
      <c r="A2493" s="359">
        <v>42998</v>
      </c>
      <c r="B2493" s="326" t="s">
        <v>30264</v>
      </c>
      <c r="C2493" s="327">
        <v>128252</v>
      </c>
      <c r="D2493" s="391" t="s">
        <v>18076</v>
      </c>
      <c r="E2493" s="328">
        <v>1225</v>
      </c>
      <c r="F2493" s="329">
        <v>42998</v>
      </c>
      <c r="G2493" s="328">
        <v>1225</v>
      </c>
      <c r="H2493" s="347">
        <f t="shared" si="35"/>
        <v>0</v>
      </c>
      <c r="I2493" s="331" t="s">
        <v>15214</v>
      </c>
    </row>
    <row r="2494" spans="1:9" x14ac:dyDescent="0.25">
      <c r="A2494" s="319">
        <v>42998</v>
      </c>
      <c r="B2494" s="320" t="s">
        <v>30265</v>
      </c>
      <c r="C2494" s="321">
        <v>128253</v>
      </c>
      <c r="D2494" s="390" t="s">
        <v>15413</v>
      </c>
      <c r="E2494" s="322">
        <v>2277</v>
      </c>
      <c r="F2494" s="323">
        <v>42998</v>
      </c>
      <c r="G2494" s="322">
        <v>2277</v>
      </c>
      <c r="H2494" s="322">
        <f t="shared" si="35"/>
        <v>0</v>
      </c>
      <c r="I2494" s="325" t="s">
        <v>15214</v>
      </c>
    </row>
    <row r="2495" spans="1:9" x14ac:dyDescent="0.25">
      <c r="A2495" s="359">
        <v>42998</v>
      </c>
      <c r="B2495" s="326" t="s">
        <v>30266</v>
      </c>
      <c r="C2495" s="327">
        <v>128254</v>
      </c>
      <c r="D2495" s="391" t="s">
        <v>15315</v>
      </c>
      <c r="E2495" s="328">
        <v>2222.64</v>
      </c>
      <c r="F2495" s="329">
        <v>42998</v>
      </c>
      <c r="G2495" s="328">
        <v>2222.64</v>
      </c>
      <c r="H2495" s="347">
        <f t="shared" si="35"/>
        <v>0</v>
      </c>
      <c r="I2495" s="331" t="s">
        <v>15214</v>
      </c>
    </row>
    <row r="2496" spans="1:9" x14ac:dyDescent="0.25">
      <c r="A2496" s="319">
        <v>42998</v>
      </c>
      <c r="B2496" s="320" t="s">
        <v>30267</v>
      </c>
      <c r="C2496" s="321">
        <v>128255</v>
      </c>
      <c r="D2496" s="390" t="s">
        <v>15315</v>
      </c>
      <c r="E2496" s="322">
        <v>648.6</v>
      </c>
      <c r="F2496" s="323">
        <v>42998</v>
      </c>
      <c r="G2496" s="322">
        <v>648.6</v>
      </c>
      <c r="H2496" s="322">
        <f t="shared" si="35"/>
        <v>0</v>
      </c>
      <c r="I2496" s="325" t="s">
        <v>15214</v>
      </c>
    </row>
    <row r="2497" spans="1:9" x14ac:dyDescent="0.25">
      <c r="A2497" s="359">
        <v>42998</v>
      </c>
      <c r="B2497" s="326" t="s">
        <v>30268</v>
      </c>
      <c r="C2497" s="327">
        <v>128256</v>
      </c>
      <c r="D2497" s="391" t="s">
        <v>15423</v>
      </c>
      <c r="E2497" s="328">
        <v>2640</v>
      </c>
      <c r="F2497" s="329">
        <v>42998</v>
      </c>
      <c r="G2497" s="328">
        <v>2640</v>
      </c>
      <c r="H2497" s="347">
        <f t="shared" si="35"/>
        <v>0</v>
      </c>
      <c r="I2497" s="331" t="s">
        <v>15214</v>
      </c>
    </row>
    <row r="2498" spans="1:9" x14ac:dyDescent="0.25">
      <c r="A2498" s="319">
        <v>42998</v>
      </c>
      <c r="B2498" s="320" t="s">
        <v>30269</v>
      </c>
      <c r="C2498" s="321">
        <v>128257</v>
      </c>
      <c r="D2498" s="390" t="s">
        <v>15240</v>
      </c>
      <c r="E2498" s="322">
        <v>3307.2</v>
      </c>
      <c r="F2498" s="323">
        <v>42999</v>
      </c>
      <c r="G2498" s="322">
        <v>3307.2</v>
      </c>
      <c r="H2498" s="322">
        <f t="shared" si="35"/>
        <v>0</v>
      </c>
      <c r="I2498" s="325" t="s">
        <v>15214</v>
      </c>
    </row>
    <row r="2499" spans="1:9" x14ac:dyDescent="0.25">
      <c r="A2499" s="359">
        <v>42998</v>
      </c>
      <c r="B2499" s="326" t="s">
        <v>30270</v>
      </c>
      <c r="C2499" s="327">
        <v>128258</v>
      </c>
      <c r="D2499" s="391" t="s">
        <v>15592</v>
      </c>
      <c r="E2499" s="328">
        <v>11890.2</v>
      </c>
      <c r="F2499" s="329">
        <v>42999</v>
      </c>
      <c r="G2499" s="328">
        <v>11890.2</v>
      </c>
      <c r="H2499" s="347">
        <f t="shared" si="35"/>
        <v>0</v>
      </c>
      <c r="I2499" s="331" t="s">
        <v>15214</v>
      </c>
    </row>
    <row r="2500" spans="1:9" x14ac:dyDescent="0.25">
      <c r="A2500" s="319">
        <v>42998</v>
      </c>
      <c r="B2500" s="320" t="s">
        <v>30271</v>
      </c>
      <c r="C2500" s="321">
        <v>128259</v>
      </c>
      <c r="D2500" s="390" t="s">
        <v>16732</v>
      </c>
      <c r="E2500" s="322">
        <v>31877.38</v>
      </c>
      <c r="F2500" s="323">
        <v>42999</v>
      </c>
      <c r="G2500" s="322">
        <v>31877.38</v>
      </c>
      <c r="H2500" s="322">
        <f t="shared" si="35"/>
        <v>0</v>
      </c>
      <c r="I2500" s="325" t="s">
        <v>15214</v>
      </c>
    </row>
    <row r="2501" spans="1:9" x14ac:dyDescent="0.25">
      <c r="A2501" s="359">
        <v>42998</v>
      </c>
      <c r="B2501" s="326" t="s">
        <v>30272</v>
      </c>
      <c r="C2501" s="327">
        <v>128260</v>
      </c>
      <c r="D2501" s="391" t="s">
        <v>15407</v>
      </c>
      <c r="E2501" s="328">
        <v>3214.4</v>
      </c>
      <c r="F2501" s="329">
        <v>42998</v>
      </c>
      <c r="G2501" s="328">
        <v>3214.4</v>
      </c>
      <c r="H2501" s="347">
        <f t="shared" si="35"/>
        <v>0</v>
      </c>
      <c r="I2501" s="331" t="s">
        <v>15214</v>
      </c>
    </row>
    <row r="2502" spans="1:9" x14ac:dyDescent="0.25">
      <c r="A2502" s="319">
        <v>42998</v>
      </c>
      <c r="B2502" s="320" t="s">
        <v>30273</v>
      </c>
      <c r="C2502" s="321">
        <v>128261</v>
      </c>
      <c r="D2502" s="390" t="s">
        <v>15246</v>
      </c>
      <c r="E2502" s="322">
        <v>185043.3</v>
      </c>
      <c r="F2502" s="323">
        <v>43003</v>
      </c>
      <c r="G2502" s="322">
        <v>185043.3</v>
      </c>
      <c r="H2502" s="322">
        <f t="shared" si="35"/>
        <v>0</v>
      </c>
      <c r="I2502" s="325" t="s">
        <v>15214</v>
      </c>
    </row>
    <row r="2503" spans="1:9" x14ac:dyDescent="0.25">
      <c r="A2503" s="359">
        <v>42998</v>
      </c>
      <c r="B2503" s="326" t="s">
        <v>30274</v>
      </c>
      <c r="C2503" s="327">
        <v>128262</v>
      </c>
      <c r="D2503" s="391" t="s">
        <v>15541</v>
      </c>
      <c r="E2503" s="328">
        <v>606.29999999999995</v>
      </c>
      <c r="F2503" s="329">
        <v>42999</v>
      </c>
      <c r="G2503" s="328">
        <v>606.29999999999995</v>
      </c>
      <c r="H2503" s="347">
        <f t="shared" si="35"/>
        <v>0</v>
      </c>
      <c r="I2503" s="331" t="s">
        <v>15214</v>
      </c>
    </row>
    <row r="2504" spans="1:9" x14ac:dyDescent="0.25">
      <c r="A2504" s="319">
        <v>42998</v>
      </c>
      <c r="B2504" s="320" t="s">
        <v>30275</v>
      </c>
      <c r="C2504" s="321">
        <v>128263</v>
      </c>
      <c r="D2504" s="390" t="s">
        <v>15246</v>
      </c>
      <c r="E2504" s="322">
        <v>69069.64</v>
      </c>
      <c r="F2504" s="323">
        <v>43003</v>
      </c>
      <c r="G2504" s="322">
        <v>69069.64</v>
      </c>
      <c r="H2504" s="322">
        <f t="shared" si="35"/>
        <v>0</v>
      </c>
      <c r="I2504" s="325" t="s">
        <v>15214</v>
      </c>
    </row>
    <row r="2505" spans="1:9" x14ac:dyDescent="0.25">
      <c r="A2505" s="359">
        <v>42998</v>
      </c>
      <c r="B2505" s="326" t="s">
        <v>30276</v>
      </c>
      <c r="C2505" s="327">
        <v>128264</v>
      </c>
      <c r="D2505" s="391" t="s">
        <v>15263</v>
      </c>
      <c r="E2505" s="328">
        <v>898.6</v>
      </c>
      <c r="F2505" s="329">
        <v>42998</v>
      </c>
      <c r="G2505" s="328">
        <v>898.6</v>
      </c>
      <c r="H2505" s="347">
        <f t="shared" si="35"/>
        <v>0</v>
      </c>
      <c r="I2505" s="331" t="s">
        <v>15214</v>
      </c>
    </row>
    <row r="2506" spans="1:9" x14ac:dyDescent="0.25">
      <c r="A2506" s="319">
        <v>42998</v>
      </c>
      <c r="B2506" s="320" t="s">
        <v>30277</v>
      </c>
      <c r="C2506" s="321">
        <v>128265</v>
      </c>
      <c r="D2506" s="390" t="s">
        <v>16522</v>
      </c>
      <c r="E2506" s="322">
        <v>11641.9</v>
      </c>
      <c r="F2506" s="363" t="s">
        <v>30278</v>
      </c>
      <c r="G2506" s="155">
        <v>11641.9</v>
      </c>
      <c r="H2506" s="322">
        <f t="shared" si="35"/>
        <v>0</v>
      </c>
      <c r="I2506" s="325" t="s">
        <v>15214</v>
      </c>
    </row>
    <row r="2507" spans="1:9" x14ac:dyDescent="0.25">
      <c r="A2507" s="359">
        <v>42998</v>
      </c>
      <c r="B2507" s="326" t="s">
        <v>30279</v>
      </c>
      <c r="C2507" s="327">
        <v>128266</v>
      </c>
      <c r="D2507" s="391" t="s">
        <v>15365</v>
      </c>
      <c r="E2507" s="328">
        <v>234285.5</v>
      </c>
      <c r="F2507" s="329">
        <v>43001</v>
      </c>
      <c r="G2507" s="328">
        <v>234285.5</v>
      </c>
      <c r="H2507" s="347">
        <f t="shared" si="35"/>
        <v>0</v>
      </c>
      <c r="I2507" s="331" t="s">
        <v>15214</v>
      </c>
    </row>
    <row r="2508" spans="1:9" x14ac:dyDescent="0.25">
      <c r="A2508" s="319">
        <v>42998</v>
      </c>
      <c r="B2508" s="320" t="s">
        <v>30280</v>
      </c>
      <c r="C2508" s="321">
        <v>128267</v>
      </c>
      <c r="D2508" s="390" t="s">
        <v>15365</v>
      </c>
      <c r="E2508" s="322">
        <v>235508</v>
      </c>
      <c r="F2508" s="323">
        <v>43001</v>
      </c>
      <c r="G2508" s="322">
        <v>235508</v>
      </c>
      <c r="H2508" s="322">
        <f t="shared" si="35"/>
        <v>0</v>
      </c>
      <c r="I2508" s="325" t="s">
        <v>15214</v>
      </c>
    </row>
    <row r="2509" spans="1:9" x14ac:dyDescent="0.25">
      <c r="A2509" s="359">
        <v>42998</v>
      </c>
      <c r="B2509" s="326" t="s">
        <v>30281</v>
      </c>
      <c r="C2509" s="327">
        <v>128268</v>
      </c>
      <c r="D2509" s="391" t="s">
        <v>15890</v>
      </c>
      <c r="E2509" s="328">
        <v>4258.1000000000004</v>
      </c>
      <c r="F2509" s="329">
        <v>43004</v>
      </c>
      <c r="G2509" s="328">
        <v>4258.1000000000004</v>
      </c>
      <c r="H2509" s="347">
        <f t="shared" si="35"/>
        <v>0</v>
      </c>
      <c r="I2509" s="331" t="s">
        <v>15214</v>
      </c>
    </row>
    <row r="2510" spans="1:9" x14ac:dyDescent="0.25">
      <c r="A2510" s="319">
        <v>42998</v>
      </c>
      <c r="B2510" s="320" t="s">
        <v>30282</v>
      </c>
      <c r="C2510" s="321">
        <v>128269</v>
      </c>
      <c r="D2510" s="390" t="s">
        <v>15789</v>
      </c>
      <c r="E2510" s="322">
        <v>24486.799999999999</v>
      </c>
      <c r="F2510" s="323">
        <v>43005</v>
      </c>
      <c r="G2510" s="322">
        <v>24486.799999999999</v>
      </c>
      <c r="H2510" s="322">
        <f t="shared" si="35"/>
        <v>0</v>
      </c>
      <c r="I2510" s="325" t="s">
        <v>15214</v>
      </c>
    </row>
    <row r="2511" spans="1:9" x14ac:dyDescent="0.25">
      <c r="A2511" s="359">
        <v>42998</v>
      </c>
      <c r="B2511" s="326" t="s">
        <v>30283</v>
      </c>
      <c r="C2511" s="327">
        <v>128270</v>
      </c>
      <c r="D2511" s="391" t="s">
        <v>28488</v>
      </c>
      <c r="E2511" s="328">
        <v>4706.8</v>
      </c>
      <c r="F2511" s="329">
        <v>42999</v>
      </c>
      <c r="G2511" s="328">
        <v>4706.8</v>
      </c>
      <c r="H2511" s="347">
        <f t="shared" si="35"/>
        <v>0</v>
      </c>
      <c r="I2511" s="331" t="s">
        <v>15214</v>
      </c>
    </row>
    <row r="2512" spans="1:9" x14ac:dyDescent="0.25">
      <c r="A2512" s="319">
        <v>42998</v>
      </c>
      <c r="B2512" s="320" t="s">
        <v>30284</v>
      </c>
      <c r="C2512" s="321">
        <v>128271</v>
      </c>
      <c r="D2512" s="390" t="s">
        <v>15435</v>
      </c>
      <c r="E2512" s="322">
        <v>8413.2000000000007</v>
      </c>
      <c r="F2512" s="323">
        <v>42998</v>
      </c>
      <c r="G2512" s="322">
        <v>8413.2000000000007</v>
      </c>
      <c r="H2512" s="322">
        <f t="shared" si="35"/>
        <v>0</v>
      </c>
      <c r="I2512" s="325" t="s">
        <v>15214</v>
      </c>
    </row>
    <row r="2513" spans="1:9" x14ac:dyDescent="0.25">
      <c r="A2513" s="359">
        <v>42998</v>
      </c>
      <c r="B2513" s="326" t="s">
        <v>30285</v>
      </c>
      <c r="C2513" s="327">
        <v>128272</v>
      </c>
      <c r="D2513" s="391" t="s">
        <v>15444</v>
      </c>
      <c r="E2513" s="328">
        <v>1864.2</v>
      </c>
      <c r="F2513" s="329">
        <v>42998</v>
      </c>
      <c r="G2513" s="328">
        <v>1864.2</v>
      </c>
      <c r="H2513" s="347">
        <f t="shared" si="35"/>
        <v>0</v>
      </c>
      <c r="I2513" s="331" t="s">
        <v>15214</v>
      </c>
    </row>
    <row r="2514" spans="1:9" ht="96.75" x14ac:dyDescent="0.25">
      <c r="A2514" s="319">
        <v>42998</v>
      </c>
      <c r="B2514" s="320" t="s">
        <v>30286</v>
      </c>
      <c r="C2514" s="321">
        <v>128273</v>
      </c>
      <c r="D2514" s="390" t="s">
        <v>19761</v>
      </c>
      <c r="E2514" s="322">
        <v>4550</v>
      </c>
      <c r="F2514" s="410" t="s">
        <v>35724</v>
      </c>
      <c r="G2514" s="364">
        <f>500+200+300+500+500+500+200+350+300+300+300+200+400</f>
        <v>4550</v>
      </c>
      <c r="H2514" s="334">
        <f t="shared" si="35"/>
        <v>0</v>
      </c>
      <c r="I2514" s="325" t="s">
        <v>15214</v>
      </c>
    </row>
    <row r="2515" spans="1:9" x14ac:dyDescent="0.25">
      <c r="A2515" s="359">
        <v>42999</v>
      </c>
      <c r="B2515" s="326" t="s">
        <v>30287</v>
      </c>
      <c r="C2515" s="327">
        <v>128274</v>
      </c>
      <c r="D2515" s="391" t="s">
        <v>21386</v>
      </c>
      <c r="E2515" s="328">
        <v>9492</v>
      </c>
      <c r="F2515" s="329">
        <v>43000</v>
      </c>
      <c r="G2515" s="328">
        <v>9492</v>
      </c>
      <c r="H2515" s="347">
        <f t="shared" si="35"/>
        <v>0</v>
      </c>
      <c r="I2515" s="331" t="s">
        <v>15214</v>
      </c>
    </row>
    <row r="2516" spans="1:9" x14ac:dyDescent="0.25">
      <c r="A2516" s="319">
        <v>42999</v>
      </c>
      <c r="B2516" s="320" t="s">
        <v>30288</v>
      </c>
      <c r="C2516" s="321">
        <v>128275</v>
      </c>
      <c r="D2516" s="390" t="s">
        <v>21386</v>
      </c>
      <c r="E2516" s="322">
        <v>410.4</v>
      </c>
      <c r="F2516" s="323">
        <v>42999</v>
      </c>
      <c r="G2516" s="322">
        <v>410.4</v>
      </c>
      <c r="H2516" s="322">
        <f t="shared" si="35"/>
        <v>0</v>
      </c>
      <c r="I2516" s="325" t="s">
        <v>15214</v>
      </c>
    </row>
    <row r="2517" spans="1:9" x14ac:dyDescent="0.25">
      <c r="A2517" s="359">
        <v>42999</v>
      </c>
      <c r="B2517" s="326" t="s">
        <v>30289</v>
      </c>
      <c r="C2517" s="327">
        <v>128276</v>
      </c>
      <c r="D2517" s="391" t="s">
        <v>15213</v>
      </c>
      <c r="E2517" s="328">
        <v>23009.200000000001</v>
      </c>
      <c r="F2517" s="329">
        <v>43000</v>
      </c>
      <c r="G2517" s="328">
        <v>23009.200000000001</v>
      </c>
      <c r="H2517" s="347">
        <f t="shared" si="35"/>
        <v>0</v>
      </c>
      <c r="I2517" s="331" t="s">
        <v>15214</v>
      </c>
    </row>
    <row r="2518" spans="1:9" x14ac:dyDescent="0.25">
      <c r="A2518" s="319">
        <v>42999</v>
      </c>
      <c r="B2518" s="320" t="s">
        <v>30290</v>
      </c>
      <c r="C2518" s="321">
        <v>128277</v>
      </c>
      <c r="D2518" s="390" t="s">
        <v>15330</v>
      </c>
      <c r="E2518" s="322">
        <v>3640</v>
      </c>
      <c r="F2518" s="323">
        <v>42999</v>
      </c>
      <c r="G2518" s="322">
        <v>3640</v>
      </c>
      <c r="H2518" s="322">
        <f t="shared" si="35"/>
        <v>0</v>
      </c>
      <c r="I2518" s="325" t="s">
        <v>15214</v>
      </c>
    </row>
    <row r="2519" spans="1:9" x14ac:dyDescent="0.25">
      <c r="A2519" s="359">
        <v>42999</v>
      </c>
      <c r="B2519" s="326" t="s">
        <v>30291</v>
      </c>
      <c r="C2519" s="327">
        <v>128278</v>
      </c>
      <c r="D2519" s="391" t="s">
        <v>15665</v>
      </c>
      <c r="E2519" s="328">
        <v>504.8</v>
      </c>
      <c r="F2519" s="329">
        <v>42999</v>
      </c>
      <c r="G2519" s="328">
        <v>504.8</v>
      </c>
      <c r="H2519" s="347">
        <f t="shared" si="35"/>
        <v>0</v>
      </c>
      <c r="I2519" s="331" t="s">
        <v>15214</v>
      </c>
    </row>
    <row r="2520" spans="1:9" x14ac:dyDescent="0.25">
      <c r="A2520" s="319">
        <v>42999</v>
      </c>
      <c r="B2520" s="320" t="s">
        <v>30292</v>
      </c>
      <c r="C2520" s="321">
        <v>128279</v>
      </c>
      <c r="D2520" s="390" t="s">
        <v>15665</v>
      </c>
      <c r="E2520" s="322">
        <v>456.4</v>
      </c>
      <c r="F2520" s="323">
        <v>42999</v>
      </c>
      <c r="G2520" s="322">
        <v>456.4</v>
      </c>
      <c r="H2520" s="322">
        <f t="shared" si="35"/>
        <v>0</v>
      </c>
      <c r="I2520" s="325" t="s">
        <v>15214</v>
      </c>
    </row>
    <row r="2521" spans="1:9" x14ac:dyDescent="0.25">
      <c r="A2521" s="359">
        <v>42999</v>
      </c>
      <c r="B2521" s="326" t="s">
        <v>30293</v>
      </c>
      <c r="C2521" s="327">
        <v>128280</v>
      </c>
      <c r="D2521" s="391" t="s">
        <v>15242</v>
      </c>
      <c r="E2521" s="328">
        <v>5253.6</v>
      </c>
      <c r="F2521" s="329">
        <v>43000</v>
      </c>
      <c r="G2521" s="328">
        <v>5253.6</v>
      </c>
      <c r="H2521" s="347">
        <f t="shared" si="35"/>
        <v>0</v>
      </c>
      <c r="I2521" s="331" t="s">
        <v>15214</v>
      </c>
    </row>
    <row r="2522" spans="1:9" x14ac:dyDescent="0.25">
      <c r="A2522" s="319">
        <v>42999</v>
      </c>
      <c r="B2522" s="320" t="s">
        <v>30294</v>
      </c>
      <c r="C2522" s="321">
        <v>128281</v>
      </c>
      <c r="D2522" s="390" t="s">
        <v>30057</v>
      </c>
      <c r="E2522" s="322">
        <v>3510</v>
      </c>
      <c r="F2522" s="323">
        <v>43000</v>
      </c>
      <c r="G2522" s="322">
        <v>3510</v>
      </c>
      <c r="H2522" s="322">
        <f t="shared" si="35"/>
        <v>0</v>
      </c>
      <c r="I2522" s="325" t="s">
        <v>15214</v>
      </c>
    </row>
    <row r="2523" spans="1:9" x14ac:dyDescent="0.25">
      <c r="A2523" s="359">
        <v>42999</v>
      </c>
      <c r="B2523" s="326" t="s">
        <v>30295</v>
      </c>
      <c r="C2523" s="327">
        <v>128282</v>
      </c>
      <c r="D2523" s="391" t="s">
        <v>15352</v>
      </c>
      <c r="E2523" s="328">
        <v>402.9</v>
      </c>
      <c r="F2523" s="329">
        <v>42999</v>
      </c>
      <c r="G2523" s="328">
        <v>402.9</v>
      </c>
      <c r="H2523" s="347">
        <f t="shared" si="35"/>
        <v>0</v>
      </c>
      <c r="I2523" s="331" t="s">
        <v>15214</v>
      </c>
    </row>
    <row r="2524" spans="1:9" x14ac:dyDescent="0.25">
      <c r="A2524" s="319">
        <v>42999</v>
      </c>
      <c r="B2524" s="320" t="s">
        <v>30296</v>
      </c>
      <c r="C2524" s="321">
        <v>128283</v>
      </c>
      <c r="D2524" s="390" t="s">
        <v>15668</v>
      </c>
      <c r="E2524" s="322">
        <v>12589.2</v>
      </c>
      <c r="F2524" s="323">
        <v>43003</v>
      </c>
      <c r="G2524" s="322">
        <v>12589.2</v>
      </c>
      <c r="H2524" s="322">
        <f t="shared" si="35"/>
        <v>0</v>
      </c>
      <c r="I2524" s="325" t="s">
        <v>15214</v>
      </c>
    </row>
    <row r="2525" spans="1:9" x14ac:dyDescent="0.25">
      <c r="A2525" s="359">
        <v>42999</v>
      </c>
      <c r="B2525" s="326" t="s">
        <v>30297</v>
      </c>
      <c r="C2525" s="327">
        <v>128284</v>
      </c>
      <c r="D2525" s="391" t="s">
        <v>15213</v>
      </c>
      <c r="E2525" s="328">
        <v>324</v>
      </c>
      <c r="F2525" s="329">
        <v>43000</v>
      </c>
      <c r="G2525" s="328">
        <v>324</v>
      </c>
      <c r="H2525" s="347">
        <f t="shared" si="35"/>
        <v>0</v>
      </c>
      <c r="I2525" s="331" t="s">
        <v>15214</v>
      </c>
    </row>
    <row r="2526" spans="1:9" x14ac:dyDescent="0.25">
      <c r="A2526" s="319">
        <v>42999</v>
      </c>
      <c r="B2526" s="320" t="s">
        <v>30298</v>
      </c>
      <c r="C2526" s="321">
        <v>128285</v>
      </c>
      <c r="D2526" s="390" t="s">
        <v>15220</v>
      </c>
      <c r="E2526" s="322">
        <v>2400</v>
      </c>
      <c r="F2526" s="323">
        <v>42999</v>
      </c>
      <c r="G2526" s="322">
        <v>2400</v>
      </c>
      <c r="H2526" s="322">
        <f t="shared" si="35"/>
        <v>0</v>
      </c>
      <c r="I2526" s="325" t="s">
        <v>15214</v>
      </c>
    </row>
    <row r="2527" spans="1:9" x14ac:dyDescent="0.25">
      <c r="A2527" s="359">
        <v>42999</v>
      </c>
      <c r="B2527" s="326" t="s">
        <v>30299</v>
      </c>
      <c r="C2527" s="327">
        <v>128286</v>
      </c>
      <c r="D2527" s="391" t="s">
        <v>19780</v>
      </c>
      <c r="E2527" s="328">
        <v>6466.2</v>
      </c>
      <c r="F2527" s="329">
        <v>43000</v>
      </c>
      <c r="G2527" s="328">
        <v>6466.2</v>
      </c>
      <c r="H2527" s="347">
        <f t="shared" si="35"/>
        <v>0</v>
      </c>
      <c r="I2527" s="331" t="s">
        <v>15214</v>
      </c>
    </row>
    <row r="2528" spans="1:9" x14ac:dyDescent="0.25">
      <c r="A2528" s="319">
        <v>42999</v>
      </c>
      <c r="B2528" s="320" t="s">
        <v>30300</v>
      </c>
      <c r="C2528" s="321">
        <v>128287</v>
      </c>
      <c r="D2528" s="390" t="s">
        <v>15234</v>
      </c>
      <c r="E2528" s="322">
        <v>3494.4</v>
      </c>
      <c r="F2528" s="323">
        <v>43001</v>
      </c>
      <c r="G2528" s="322">
        <v>3494.4</v>
      </c>
      <c r="H2528" s="322">
        <f t="shared" si="35"/>
        <v>0</v>
      </c>
      <c r="I2528" s="325" t="s">
        <v>15214</v>
      </c>
    </row>
    <row r="2529" spans="1:9" ht="30" x14ac:dyDescent="0.25">
      <c r="A2529" s="359">
        <v>42999</v>
      </c>
      <c r="B2529" s="326" t="s">
        <v>30301</v>
      </c>
      <c r="C2529" s="327">
        <v>128288</v>
      </c>
      <c r="D2529" s="391" t="s">
        <v>15250</v>
      </c>
      <c r="E2529" s="328">
        <v>30839.02</v>
      </c>
      <c r="F2529" s="329" t="s">
        <v>30089</v>
      </c>
      <c r="G2529" s="328">
        <f>12363.64+18475.38</f>
        <v>30839.02</v>
      </c>
      <c r="H2529" s="347">
        <f t="shared" si="35"/>
        <v>0</v>
      </c>
      <c r="I2529" s="331" t="s">
        <v>15214</v>
      </c>
    </row>
    <row r="2530" spans="1:9" x14ac:dyDescent="0.25">
      <c r="A2530" s="319">
        <v>42999</v>
      </c>
      <c r="B2530" s="320" t="s">
        <v>30302</v>
      </c>
      <c r="C2530" s="321">
        <v>128289</v>
      </c>
      <c r="D2530" s="390" t="s">
        <v>15238</v>
      </c>
      <c r="E2530" s="322">
        <v>1051.2</v>
      </c>
      <c r="F2530" s="323">
        <v>43001</v>
      </c>
      <c r="G2530" s="322">
        <v>1051.2</v>
      </c>
      <c r="H2530" s="322">
        <f t="shared" si="35"/>
        <v>0</v>
      </c>
      <c r="I2530" s="325" t="s">
        <v>15214</v>
      </c>
    </row>
    <row r="2531" spans="1:9" ht="30" x14ac:dyDescent="0.25">
      <c r="A2531" s="359">
        <v>42999</v>
      </c>
      <c r="B2531" s="326" t="s">
        <v>30303</v>
      </c>
      <c r="C2531" s="327">
        <v>128290</v>
      </c>
      <c r="D2531" s="391" t="s">
        <v>15475</v>
      </c>
      <c r="E2531" s="328">
        <v>6973.2</v>
      </c>
      <c r="F2531" s="329" t="s">
        <v>30304</v>
      </c>
      <c r="G2531" s="328">
        <f>2800+4173.2</f>
        <v>6973.2</v>
      </c>
      <c r="H2531" s="347">
        <f t="shared" si="35"/>
        <v>0</v>
      </c>
      <c r="I2531" s="331" t="s">
        <v>15214</v>
      </c>
    </row>
    <row r="2532" spans="1:9" x14ac:dyDescent="0.25">
      <c r="A2532" s="319">
        <v>42999</v>
      </c>
      <c r="B2532" s="320" t="s">
        <v>30305</v>
      </c>
      <c r="C2532" s="321">
        <v>128291</v>
      </c>
      <c r="D2532" s="390" t="s">
        <v>15230</v>
      </c>
      <c r="E2532" s="322">
        <v>6947.4</v>
      </c>
      <c r="F2532" s="323">
        <v>43003</v>
      </c>
      <c r="G2532" s="322">
        <v>6947.4</v>
      </c>
      <c r="H2532" s="322">
        <f t="shared" si="35"/>
        <v>0</v>
      </c>
      <c r="I2532" s="325" t="s">
        <v>15214</v>
      </c>
    </row>
    <row r="2533" spans="1:9" x14ac:dyDescent="0.25">
      <c r="A2533" s="359">
        <v>42999</v>
      </c>
      <c r="B2533" s="326" t="s">
        <v>30306</v>
      </c>
      <c r="C2533" s="327">
        <v>128292</v>
      </c>
      <c r="D2533" s="391" t="s">
        <v>15258</v>
      </c>
      <c r="E2533" s="328">
        <v>7222.8</v>
      </c>
      <c r="F2533" s="329">
        <v>43003</v>
      </c>
      <c r="G2533" s="328">
        <v>7222.8</v>
      </c>
      <c r="H2533" s="347">
        <f t="shared" si="35"/>
        <v>0</v>
      </c>
      <c r="I2533" s="331" t="s">
        <v>15214</v>
      </c>
    </row>
    <row r="2534" spans="1:9" x14ac:dyDescent="0.25">
      <c r="A2534" s="319">
        <v>42999</v>
      </c>
      <c r="B2534" s="320" t="s">
        <v>30307</v>
      </c>
      <c r="C2534" s="321">
        <v>128293</v>
      </c>
      <c r="D2534" s="390" t="s">
        <v>15334</v>
      </c>
      <c r="E2534" s="322">
        <v>1560</v>
      </c>
      <c r="F2534" s="323">
        <v>42999</v>
      </c>
      <c r="G2534" s="322">
        <v>1560</v>
      </c>
      <c r="H2534" s="322">
        <f t="shared" si="35"/>
        <v>0</v>
      </c>
      <c r="I2534" s="325" t="s">
        <v>15214</v>
      </c>
    </row>
    <row r="2535" spans="1:9" x14ac:dyDescent="0.25">
      <c r="A2535" s="359">
        <v>42999</v>
      </c>
      <c r="B2535" s="326" t="s">
        <v>30308</v>
      </c>
      <c r="C2535" s="327">
        <v>128294</v>
      </c>
      <c r="D2535" s="391" t="s">
        <v>15480</v>
      </c>
      <c r="E2535" s="328">
        <v>4045.2</v>
      </c>
      <c r="F2535" s="329">
        <v>42999</v>
      </c>
      <c r="G2535" s="328">
        <v>4045.2</v>
      </c>
      <c r="H2535" s="347">
        <f t="shared" si="35"/>
        <v>0</v>
      </c>
      <c r="I2535" s="331" t="s">
        <v>15214</v>
      </c>
    </row>
    <row r="2536" spans="1:9" x14ac:dyDescent="0.25">
      <c r="A2536" s="319">
        <v>42999</v>
      </c>
      <c r="B2536" s="320" t="s">
        <v>30309</v>
      </c>
      <c r="C2536" s="321">
        <v>128295</v>
      </c>
      <c r="D2536" s="390" t="s">
        <v>15858</v>
      </c>
      <c r="E2536" s="322">
        <v>5856.6</v>
      </c>
      <c r="F2536" s="323">
        <v>42999</v>
      </c>
      <c r="G2536" s="322">
        <v>5856.6</v>
      </c>
      <c r="H2536" s="322">
        <f t="shared" si="35"/>
        <v>0</v>
      </c>
      <c r="I2536" s="325" t="s">
        <v>15214</v>
      </c>
    </row>
    <row r="2537" spans="1:9" ht="15.75" x14ac:dyDescent="0.25">
      <c r="A2537" s="359">
        <v>42999</v>
      </c>
      <c r="B2537" s="326" t="s">
        <v>30310</v>
      </c>
      <c r="C2537" s="327">
        <v>128296</v>
      </c>
      <c r="D2537" s="345" t="s">
        <v>95</v>
      </c>
      <c r="E2537" s="328">
        <v>0</v>
      </c>
      <c r="F2537" s="346" t="s">
        <v>95</v>
      </c>
      <c r="G2537" s="328">
        <v>0</v>
      </c>
      <c r="H2537" s="347">
        <f t="shared" si="35"/>
        <v>0</v>
      </c>
      <c r="I2537" s="331" t="s">
        <v>95</v>
      </c>
    </row>
    <row r="2538" spans="1:9" x14ac:dyDescent="0.25">
      <c r="A2538" s="319">
        <v>42999</v>
      </c>
      <c r="B2538" s="320" t="s">
        <v>30311</v>
      </c>
      <c r="C2538" s="321">
        <v>128297</v>
      </c>
      <c r="D2538" s="390" t="s">
        <v>15232</v>
      </c>
      <c r="E2538" s="322">
        <v>4010.7</v>
      </c>
      <c r="F2538" s="323">
        <v>43006</v>
      </c>
      <c r="G2538" s="322">
        <v>4010.7</v>
      </c>
      <c r="H2538" s="322">
        <f t="shared" si="35"/>
        <v>0</v>
      </c>
      <c r="I2538" s="325" t="s">
        <v>15214</v>
      </c>
    </row>
    <row r="2539" spans="1:9" x14ac:dyDescent="0.25">
      <c r="A2539" s="359">
        <v>42999</v>
      </c>
      <c r="B2539" s="326" t="s">
        <v>30312</v>
      </c>
      <c r="C2539" s="327">
        <v>128298</v>
      </c>
      <c r="D2539" s="391" t="s">
        <v>15236</v>
      </c>
      <c r="E2539" s="328">
        <v>4111.8</v>
      </c>
      <c r="F2539" s="329">
        <v>43001</v>
      </c>
      <c r="G2539" s="328">
        <v>4111.8</v>
      </c>
      <c r="H2539" s="347">
        <f t="shared" si="35"/>
        <v>0</v>
      </c>
      <c r="I2539" s="331" t="s">
        <v>15214</v>
      </c>
    </row>
    <row r="2540" spans="1:9" x14ac:dyDescent="0.25">
      <c r="A2540" s="319">
        <v>42999</v>
      </c>
      <c r="B2540" s="320" t="s">
        <v>30313</v>
      </c>
      <c r="C2540" s="321">
        <v>128299</v>
      </c>
      <c r="D2540" s="390" t="s">
        <v>15272</v>
      </c>
      <c r="E2540" s="322">
        <v>20475.8</v>
      </c>
      <c r="F2540" s="323">
        <v>42999</v>
      </c>
      <c r="G2540" s="322">
        <v>20475.8</v>
      </c>
      <c r="H2540" s="322">
        <f t="shared" si="35"/>
        <v>0</v>
      </c>
      <c r="I2540" s="325" t="s">
        <v>15214</v>
      </c>
    </row>
    <row r="2541" spans="1:9" x14ac:dyDescent="0.25">
      <c r="A2541" s="359">
        <v>42999</v>
      </c>
      <c r="B2541" s="326" t="s">
        <v>30314</v>
      </c>
      <c r="C2541" s="327">
        <v>128300</v>
      </c>
      <c r="D2541" s="391" t="s">
        <v>15223</v>
      </c>
      <c r="E2541" s="328">
        <v>51964</v>
      </c>
      <c r="F2541" s="329">
        <v>43020</v>
      </c>
      <c r="G2541" s="328">
        <v>51964</v>
      </c>
      <c r="H2541" s="347">
        <f t="shared" si="35"/>
        <v>0</v>
      </c>
      <c r="I2541" s="331" t="s">
        <v>15214</v>
      </c>
    </row>
    <row r="2542" spans="1:9" x14ac:dyDescent="0.25">
      <c r="A2542" s="319">
        <v>42999</v>
      </c>
      <c r="B2542" s="320" t="s">
        <v>30315</v>
      </c>
      <c r="C2542" s="321">
        <v>128301</v>
      </c>
      <c r="D2542" s="390" t="s">
        <v>17462</v>
      </c>
      <c r="E2542" s="322">
        <v>4951.5</v>
      </c>
      <c r="F2542" s="323">
        <v>42999</v>
      </c>
      <c r="G2542" s="322">
        <v>4951.5</v>
      </c>
      <c r="H2542" s="322">
        <f t="shared" si="35"/>
        <v>0</v>
      </c>
      <c r="I2542" s="325" t="s">
        <v>15214</v>
      </c>
    </row>
    <row r="2543" spans="1:9" x14ac:dyDescent="0.25">
      <c r="A2543" s="359">
        <v>42999</v>
      </c>
      <c r="B2543" s="326" t="s">
        <v>30316</v>
      </c>
      <c r="C2543" s="327">
        <v>128302</v>
      </c>
      <c r="D2543" s="391" t="s">
        <v>15250</v>
      </c>
      <c r="E2543" s="328">
        <v>37918.21</v>
      </c>
      <c r="F2543" s="329">
        <v>43008</v>
      </c>
      <c r="G2543" s="328">
        <v>37918.21</v>
      </c>
      <c r="H2543" s="347">
        <f t="shared" si="35"/>
        <v>0</v>
      </c>
      <c r="I2543" s="331" t="s">
        <v>15214</v>
      </c>
    </row>
    <row r="2544" spans="1:9" x14ac:dyDescent="0.25">
      <c r="A2544" s="319">
        <v>42999</v>
      </c>
      <c r="B2544" s="320" t="s">
        <v>30317</v>
      </c>
      <c r="C2544" s="321">
        <v>128303</v>
      </c>
      <c r="D2544" s="390" t="s">
        <v>15315</v>
      </c>
      <c r="E2544" s="322">
        <v>14464</v>
      </c>
      <c r="F2544" s="323">
        <v>42999</v>
      </c>
      <c r="G2544" s="322">
        <v>14464</v>
      </c>
      <c r="H2544" s="322">
        <f t="shared" si="35"/>
        <v>0</v>
      </c>
      <c r="I2544" s="325" t="s">
        <v>15214</v>
      </c>
    </row>
    <row r="2545" spans="1:9" x14ac:dyDescent="0.25">
      <c r="A2545" s="359">
        <v>42999</v>
      </c>
      <c r="B2545" s="326" t="s">
        <v>30318</v>
      </c>
      <c r="C2545" s="327">
        <v>128304</v>
      </c>
      <c r="D2545" s="391" t="s">
        <v>15371</v>
      </c>
      <c r="E2545" s="328">
        <v>4970.8999999999996</v>
      </c>
      <c r="F2545" s="329">
        <v>43000</v>
      </c>
      <c r="G2545" s="328">
        <v>4970.8999999999996</v>
      </c>
      <c r="H2545" s="347">
        <f t="shared" ref="H2545:H2608" si="36">E2545-G2545</f>
        <v>0</v>
      </c>
      <c r="I2545" s="331" t="s">
        <v>15214</v>
      </c>
    </row>
    <row r="2546" spans="1:9" x14ac:dyDescent="0.25">
      <c r="A2546" s="319">
        <v>42999</v>
      </c>
      <c r="B2546" s="320" t="s">
        <v>30319</v>
      </c>
      <c r="C2546" s="321">
        <v>128305</v>
      </c>
      <c r="D2546" s="390" t="s">
        <v>15324</v>
      </c>
      <c r="E2546" s="322">
        <v>2855</v>
      </c>
      <c r="F2546" s="323">
        <v>42999</v>
      </c>
      <c r="G2546" s="322">
        <v>2855</v>
      </c>
      <c r="H2546" s="322">
        <f t="shared" si="36"/>
        <v>0</v>
      </c>
      <c r="I2546" s="325" t="s">
        <v>15214</v>
      </c>
    </row>
    <row r="2547" spans="1:9" ht="15.75" x14ac:dyDescent="0.25">
      <c r="A2547" s="359">
        <v>42999</v>
      </c>
      <c r="B2547" s="326" t="s">
        <v>30320</v>
      </c>
      <c r="C2547" s="327">
        <v>128306</v>
      </c>
      <c r="D2547" s="345" t="s">
        <v>95</v>
      </c>
      <c r="E2547" s="328">
        <v>0</v>
      </c>
      <c r="F2547" s="346" t="s">
        <v>95</v>
      </c>
      <c r="G2547" s="328">
        <v>0</v>
      </c>
      <c r="H2547" s="347">
        <f t="shared" si="36"/>
        <v>0</v>
      </c>
      <c r="I2547" s="331" t="s">
        <v>95</v>
      </c>
    </row>
    <row r="2548" spans="1:9" x14ac:dyDescent="0.25">
      <c r="A2548" s="319">
        <v>42999</v>
      </c>
      <c r="B2548" s="320" t="s">
        <v>30321</v>
      </c>
      <c r="C2548" s="321">
        <v>128307</v>
      </c>
      <c r="D2548" s="390" t="s">
        <v>15617</v>
      </c>
      <c r="E2548" s="322">
        <v>32071.200000000001</v>
      </c>
      <c r="F2548" s="323">
        <v>42999</v>
      </c>
      <c r="G2548" s="322">
        <v>32071.200000000001</v>
      </c>
      <c r="H2548" s="322">
        <f t="shared" si="36"/>
        <v>0</v>
      </c>
      <c r="I2548" s="325" t="s">
        <v>15214</v>
      </c>
    </row>
    <row r="2549" spans="1:9" x14ac:dyDescent="0.25">
      <c r="A2549" s="359">
        <v>42999</v>
      </c>
      <c r="B2549" s="326" t="s">
        <v>30322</v>
      </c>
      <c r="C2549" s="327">
        <v>128308</v>
      </c>
      <c r="D2549" s="391" t="s">
        <v>15246</v>
      </c>
      <c r="E2549" s="328">
        <v>10583.6</v>
      </c>
      <c r="F2549" s="329">
        <v>43003</v>
      </c>
      <c r="G2549" s="328">
        <v>10583.6</v>
      </c>
      <c r="H2549" s="347">
        <f t="shared" si="36"/>
        <v>0</v>
      </c>
      <c r="I2549" s="331" t="s">
        <v>15214</v>
      </c>
    </row>
    <row r="2550" spans="1:9" x14ac:dyDescent="0.25">
      <c r="A2550" s="319">
        <v>42999</v>
      </c>
      <c r="B2550" s="320" t="s">
        <v>30323</v>
      </c>
      <c r="C2550" s="321">
        <v>128309</v>
      </c>
      <c r="D2550" s="390" t="s">
        <v>15317</v>
      </c>
      <c r="E2550" s="322">
        <v>1595</v>
      </c>
      <c r="F2550" s="323">
        <v>43001</v>
      </c>
      <c r="G2550" s="322">
        <v>1595</v>
      </c>
      <c r="H2550" s="322">
        <f t="shared" si="36"/>
        <v>0</v>
      </c>
      <c r="I2550" s="325" t="s">
        <v>15214</v>
      </c>
    </row>
    <row r="2551" spans="1:9" x14ac:dyDescent="0.25">
      <c r="A2551" s="359">
        <v>42999</v>
      </c>
      <c r="B2551" s="326" t="s">
        <v>30324</v>
      </c>
      <c r="C2551" s="327">
        <v>128310</v>
      </c>
      <c r="D2551" s="391" t="s">
        <v>15415</v>
      </c>
      <c r="E2551" s="328">
        <v>3345.6</v>
      </c>
      <c r="F2551" s="329">
        <v>43001</v>
      </c>
      <c r="G2551" s="328">
        <v>3345.6</v>
      </c>
      <c r="H2551" s="347">
        <f t="shared" si="36"/>
        <v>0</v>
      </c>
      <c r="I2551" s="331" t="s">
        <v>15214</v>
      </c>
    </row>
    <row r="2552" spans="1:9" x14ac:dyDescent="0.25">
      <c r="A2552" s="319">
        <v>42999</v>
      </c>
      <c r="B2552" s="320" t="s">
        <v>30325</v>
      </c>
      <c r="C2552" s="321">
        <v>128311</v>
      </c>
      <c r="D2552" s="390" t="s">
        <v>15523</v>
      </c>
      <c r="E2552" s="322">
        <v>2160</v>
      </c>
      <c r="F2552" s="323">
        <v>42999</v>
      </c>
      <c r="G2552" s="322">
        <v>2160</v>
      </c>
      <c r="H2552" s="322">
        <f t="shared" si="36"/>
        <v>0</v>
      </c>
      <c r="I2552" s="325" t="s">
        <v>15214</v>
      </c>
    </row>
    <row r="2553" spans="1:9" x14ac:dyDescent="0.25">
      <c r="A2553" s="359">
        <v>42999</v>
      </c>
      <c r="B2553" s="326" t="s">
        <v>30326</v>
      </c>
      <c r="C2553" s="327">
        <v>128312</v>
      </c>
      <c r="D2553" s="391" t="s">
        <v>15526</v>
      </c>
      <c r="E2553" s="328">
        <v>8190.5</v>
      </c>
      <c r="F2553" s="329">
        <v>42999</v>
      </c>
      <c r="G2553" s="328">
        <v>8190.5</v>
      </c>
      <c r="H2553" s="347">
        <f t="shared" si="36"/>
        <v>0</v>
      </c>
      <c r="I2553" s="331" t="s">
        <v>15214</v>
      </c>
    </row>
    <row r="2554" spans="1:9" x14ac:dyDescent="0.25">
      <c r="A2554" s="319">
        <v>42999</v>
      </c>
      <c r="B2554" s="320" t="s">
        <v>30327</v>
      </c>
      <c r="C2554" s="321">
        <v>128313</v>
      </c>
      <c r="D2554" s="390" t="s">
        <v>15861</v>
      </c>
      <c r="E2554" s="322">
        <v>2144.3000000000002</v>
      </c>
      <c r="F2554" s="323">
        <v>42999</v>
      </c>
      <c r="G2554" s="322">
        <v>2144.3000000000002</v>
      </c>
      <c r="H2554" s="322">
        <f t="shared" si="36"/>
        <v>0</v>
      </c>
      <c r="I2554" s="325" t="s">
        <v>15214</v>
      </c>
    </row>
    <row r="2555" spans="1:9" x14ac:dyDescent="0.25">
      <c r="A2555" s="359">
        <v>42999</v>
      </c>
      <c r="B2555" s="326" t="s">
        <v>30328</v>
      </c>
      <c r="C2555" s="327">
        <v>128314</v>
      </c>
      <c r="D2555" s="391" t="s">
        <v>15358</v>
      </c>
      <c r="E2555" s="328">
        <v>2162</v>
      </c>
      <c r="F2555" s="329">
        <v>42999</v>
      </c>
      <c r="G2555" s="328">
        <v>2162</v>
      </c>
      <c r="H2555" s="347">
        <f t="shared" si="36"/>
        <v>0</v>
      </c>
      <c r="I2555" s="331" t="s">
        <v>15214</v>
      </c>
    </row>
    <row r="2556" spans="1:9" x14ac:dyDescent="0.25">
      <c r="A2556" s="319">
        <v>42999</v>
      </c>
      <c r="B2556" s="320" t="s">
        <v>30329</v>
      </c>
      <c r="C2556" s="321">
        <v>128315</v>
      </c>
      <c r="D2556" s="390" t="s">
        <v>16522</v>
      </c>
      <c r="E2556" s="322">
        <v>9512.7999999999993</v>
      </c>
      <c r="F2556" s="323" t="s">
        <v>30278</v>
      </c>
      <c r="G2556" s="322">
        <v>9512.7999999999993</v>
      </c>
      <c r="H2556" s="322">
        <f t="shared" si="36"/>
        <v>0</v>
      </c>
      <c r="I2556" s="325" t="s">
        <v>15214</v>
      </c>
    </row>
    <row r="2557" spans="1:9" x14ac:dyDescent="0.25">
      <c r="A2557" s="359">
        <v>42999</v>
      </c>
      <c r="B2557" s="326" t="s">
        <v>30330</v>
      </c>
      <c r="C2557" s="327">
        <v>128316</v>
      </c>
      <c r="D2557" s="391" t="s">
        <v>15263</v>
      </c>
      <c r="E2557" s="328">
        <v>3246</v>
      </c>
      <c r="F2557" s="329">
        <v>42999</v>
      </c>
      <c r="G2557" s="328">
        <v>3246</v>
      </c>
      <c r="H2557" s="347">
        <f t="shared" si="36"/>
        <v>0</v>
      </c>
      <c r="I2557" s="331" t="s">
        <v>15214</v>
      </c>
    </row>
    <row r="2558" spans="1:9" x14ac:dyDescent="0.25">
      <c r="A2558" s="319">
        <v>42999</v>
      </c>
      <c r="B2558" s="320" t="s">
        <v>30331</v>
      </c>
      <c r="C2558" s="321">
        <v>128317</v>
      </c>
      <c r="D2558" s="390" t="s">
        <v>15240</v>
      </c>
      <c r="E2558" s="322">
        <v>432</v>
      </c>
      <c r="F2558" s="323">
        <v>42999</v>
      </c>
      <c r="G2558" s="322">
        <v>432</v>
      </c>
      <c r="H2558" s="322">
        <f t="shared" si="36"/>
        <v>0</v>
      </c>
      <c r="I2558" s="325" t="s">
        <v>15214</v>
      </c>
    </row>
    <row r="2559" spans="1:9" x14ac:dyDescent="0.25">
      <c r="A2559" s="359">
        <v>42999</v>
      </c>
      <c r="B2559" s="326" t="s">
        <v>30332</v>
      </c>
      <c r="C2559" s="327">
        <v>128318</v>
      </c>
      <c r="D2559" s="391" t="s">
        <v>15338</v>
      </c>
      <c r="E2559" s="328">
        <v>12611.6</v>
      </c>
      <c r="F2559" s="329">
        <v>43003</v>
      </c>
      <c r="G2559" s="328">
        <v>12611.6</v>
      </c>
      <c r="H2559" s="347">
        <f t="shared" si="36"/>
        <v>0</v>
      </c>
      <c r="I2559" s="331" t="s">
        <v>15214</v>
      </c>
    </row>
    <row r="2560" spans="1:9" x14ac:dyDescent="0.25">
      <c r="A2560" s="319">
        <v>42999</v>
      </c>
      <c r="B2560" s="320" t="s">
        <v>30333</v>
      </c>
      <c r="C2560" s="321">
        <v>128319</v>
      </c>
      <c r="D2560" s="390" t="s">
        <v>15342</v>
      </c>
      <c r="E2560" s="322">
        <v>1069.2</v>
      </c>
      <c r="F2560" s="323">
        <v>42999</v>
      </c>
      <c r="G2560" s="322">
        <v>1069.2</v>
      </c>
      <c r="H2560" s="322">
        <f t="shared" si="36"/>
        <v>0</v>
      </c>
      <c r="I2560" s="325" t="s">
        <v>15214</v>
      </c>
    </row>
    <row r="2561" spans="1:9" x14ac:dyDescent="0.25">
      <c r="A2561" s="359">
        <v>42999</v>
      </c>
      <c r="B2561" s="326" t="s">
        <v>30334</v>
      </c>
      <c r="C2561" s="327">
        <v>128320</v>
      </c>
      <c r="D2561" s="391" t="s">
        <v>15280</v>
      </c>
      <c r="E2561" s="328">
        <v>7065</v>
      </c>
      <c r="F2561" s="329">
        <v>42999</v>
      </c>
      <c r="G2561" s="328">
        <v>7065</v>
      </c>
      <c r="H2561" s="347">
        <f t="shared" si="36"/>
        <v>0</v>
      </c>
      <c r="I2561" s="331" t="s">
        <v>15214</v>
      </c>
    </row>
    <row r="2562" spans="1:9" x14ac:dyDescent="0.25">
      <c r="A2562" s="319">
        <v>42999</v>
      </c>
      <c r="B2562" s="320" t="s">
        <v>30335</v>
      </c>
      <c r="C2562" s="321">
        <v>128321</v>
      </c>
      <c r="D2562" s="390" t="s">
        <v>15568</v>
      </c>
      <c r="E2562" s="322">
        <v>15128.1</v>
      </c>
      <c r="F2562" s="323">
        <v>42999</v>
      </c>
      <c r="G2562" s="322">
        <v>15128.1</v>
      </c>
      <c r="H2562" s="322">
        <f t="shared" si="36"/>
        <v>0</v>
      </c>
      <c r="I2562" s="325" t="s">
        <v>15214</v>
      </c>
    </row>
    <row r="2563" spans="1:9" x14ac:dyDescent="0.25">
      <c r="A2563" s="359">
        <v>42999</v>
      </c>
      <c r="B2563" s="326" t="s">
        <v>30336</v>
      </c>
      <c r="C2563" s="327">
        <v>128322</v>
      </c>
      <c r="D2563" s="391" t="s">
        <v>15278</v>
      </c>
      <c r="E2563" s="328">
        <v>5278.4</v>
      </c>
      <c r="F2563" s="329">
        <v>42999</v>
      </c>
      <c r="G2563" s="328">
        <v>5278.4</v>
      </c>
      <c r="H2563" s="347">
        <f t="shared" si="36"/>
        <v>0</v>
      </c>
      <c r="I2563" s="331" t="s">
        <v>15214</v>
      </c>
    </row>
    <row r="2564" spans="1:9" x14ac:dyDescent="0.25">
      <c r="A2564" s="319">
        <v>42999</v>
      </c>
      <c r="B2564" s="320" t="s">
        <v>30337</v>
      </c>
      <c r="C2564" s="321">
        <v>128323</v>
      </c>
      <c r="D2564" s="390" t="s">
        <v>5828</v>
      </c>
      <c r="E2564" s="322">
        <v>9246.2999999999993</v>
      </c>
      <c r="F2564" s="323">
        <v>42999</v>
      </c>
      <c r="G2564" s="322">
        <v>9246.2999999999993</v>
      </c>
      <c r="H2564" s="322">
        <f t="shared" si="36"/>
        <v>0</v>
      </c>
      <c r="I2564" s="325" t="s">
        <v>15214</v>
      </c>
    </row>
    <row r="2565" spans="1:9" ht="15.75" x14ac:dyDescent="0.25">
      <c r="A2565" s="359">
        <v>42999</v>
      </c>
      <c r="B2565" s="326" t="s">
        <v>30338</v>
      </c>
      <c r="C2565" s="327">
        <v>128324</v>
      </c>
      <c r="D2565" s="345" t="s">
        <v>95</v>
      </c>
      <c r="E2565" s="328">
        <v>0</v>
      </c>
      <c r="F2565" s="346" t="s">
        <v>95</v>
      </c>
      <c r="G2565" s="328">
        <v>0</v>
      </c>
      <c r="H2565" s="347">
        <f t="shared" si="36"/>
        <v>0</v>
      </c>
      <c r="I2565" s="331" t="s">
        <v>95</v>
      </c>
    </row>
    <row r="2566" spans="1:9" x14ac:dyDescent="0.25">
      <c r="A2566" s="319">
        <v>42999</v>
      </c>
      <c r="B2566" s="320" t="s">
        <v>30339</v>
      </c>
      <c r="C2566" s="321">
        <v>128325</v>
      </c>
      <c r="D2566" s="390" t="s">
        <v>16108</v>
      </c>
      <c r="E2566" s="322">
        <v>1024.3</v>
      </c>
      <c r="F2566" s="323">
        <v>42999</v>
      </c>
      <c r="G2566" s="322">
        <v>1024.3</v>
      </c>
      <c r="H2566" s="322">
        <f t="shared" si="36"/>
        <v>0</v>
      </c>
      <c r="I2566" s="325" t="s">
        <v>15214</v>
      </c>
    </row>
    <row r="2567" spans="1:9" x14ac:dyDescent="0.25">
      <c r="A2567" s="359">
        <v>42999</v>
      </c>
      <c r="B2567" s="326" t="s">
        <v>30340</v>
      </c>
      <c r="C2567" s="327">
        <v>128326</v>
      </c>
      <c r="D2567" s="391" t="s">
        <v>15818</v>
      </c>
      <c r="E2567" s="328">
        <v>4028</v>
      </c>
      <c r="F2567" s="329">
        <v>42999</v>
      </c>
      <c r="G2567" s="328">
        <v>4028</v>
      </c>
      <c r="H2567" s="347">
        <f t="shared" si="36"/>
        <v>0</v>
      </c>
      <c r="I2567" s="331" t="s">
        <v>15214</v>
      </c>
    </row>
    <row r="2568" spans="1:9" x14ac:dyDescent="0.25">
      <c r="A2568" s="319">
        <v>42999</v>
      </c>
      <c r="B2568" s="320" t="s">
        <v>30341</v>
      </c>
      <c r="C2568" s="321">
        <v>128327</v>
      </c>
      <c r="D2568" s="390" t="s">
        <v>15530</v>
      </c>
      <c r="E2568" s="322">
        <v>2295.3000000000002</v>
      </c>
      <c r="F2568" s="323">
        <v>42999</v>
      </c>
      <c r="G2568" s="322">
        <v>2295.3000000000002</v>
      </c>
      <c r="H2568" s="322">
        <f t="shared" si="36"/>
        <v>0</v>
      </c>
      <c r="I2568" s="325" t="s">
        <v>15214</v>
      </c>
    </row>
    <row r="2569" spans="1:9" x14ac:dyDescent="0.25">
      <c r="A2569" s="359">
        <v>42999</v>
      </c>
      <c r="B2569" s="326" t="s">
        <v>30342</v>
      </c>
      <c r="C2569" s="327">
        <v>128328</v>
      </c>
      <c r="D2569" s="391" t="s">
        <v>15407</v>
      </c>
      <c r="E2569" s="328">
        <v>6785.4</v>
      </c>
      <c r="F2569" s="329">
        <v>42999</v>
      </c>
      <c r="G2569" s="328">
        <v>6785.4</v>
      </c>
      <c r="H2569" s="347">
        <f t="shared" si="36"/>
        <v>0</v>
      </c>
      <c r="I2569" s="331" t="s">
        <v>15214</v>
      </c>
    </row>
    <row r="2570" spans="1:9" x14ac:dyDescent="0.25">
      <c r="A2570" s="319">
        <v>42999</v>
      </c>
      <c r="B2570" s="320" t="s">
        <v>30343</v>
      </c>
      <c r="C2570" s="321">
        <v>128329</v>
      </c>
      <c r="D2570" s="390" t="s">
        <v>15328</v>
      </c>
      <c r="E2570" s="322">
        <v>111787.41</v>
      </c>
      <c r="F2570" s="323">
        <v>43008</v>
      </c>
      <c r="G2570" s="322">
        <v>111787.41</v>
      </c>
      <c r="H2570" s="322">
        <f t="shared" si="36"/>
        <v>0</v>
      </c>
      <c r="I2570" s="325" t="s">
        <v>15214</v>
      </c>
    </row>
    <row r="2571" spans="1:9" x14ac:dyDescent="0.25">
      <c r="A2571" s="359">
        <v>42999</v>
      </c>
      <c r="B2571" s="326" t="s">
        <v>30344</v>
      </c>
      <c r="C2571" s="327">
        <v>128330</v>
      </c>
      <c r="D2571" s="391" t="s">
        <v>15261</v>
      </c>
      <c r="E2571" s="328">
        <v>7619.77</v>
      </c>
      <c r="F2571" s="329">
        <v>42999</v>
      </c>
      <c r="G2571" s="328">
        <v>7619.77</v>
      </c>
      <c r="H2571" s="347">
        <f t="shared" si="36"/>
        <v>0</v>
      </c>
      <c r="I2571" s="331" t="s">
        <v>15214</v>
      </c>
    </row>
    <row r="2572" spans="1:9" ht="15.75" x14ac:dyDescent="0.25">
      <c r="A2572" s="319">
        <v>42999</v>
      </c>
      <c r="B2572" s="320" t="s">
        <v>30345</v>
      </c>
      <c r="C2572" s="321">
        <v>128331</v>
      </c>
      <c r="D2572" s="332" t="s">
        <v>95</v>
      </c>
      <c r="E2572" s="322">
        <v>0</v>
      </c>
      <c r="F2572" s="333" t="s">
        <v>95</v>
      </c>
      <c r="G2572" s="322">
        <v>0</v>
      </c>
      <c r="H2572" s="322">
        <f t="shared" si="36"/>
        <v>0</v>
      </c>
      <c r="I2572" s="325" t="s">
        <v>95</v>
      </c>
    </row>
    <row r="2573" spans="1:9" x14ac:dyDescent="0.25">
      <c r="A2573" s="359">
        <v>42999</v>
      </c>
      <c r="B2573" s="326" t="s">
        <v>30346</v>
      </c>
      <c r="C2573" s="327">
        <v>128332</v>
      </c>
      <c r="D2573" s="391" t="s">
        <v>16116</v>
      </c>
      <c r="E2573" s="328">
        <v>48942.8</v>
      </c>
      <c r="F2573" s="329">
        <v>42999</v>
      </c>
      <c r="G2573" s="328">
        <v>48942.8</v>
      </c>
      <c r="H2573" s="347">
        <f t="shared" si="36"/>
        <v>0</v>
      </c>
      <c r="I2573" s="331" t="s">
        <v>15214</v>
      </c>
    </row>
    <row r="2574" spans="1:9" x14ac:dyDescent="0.25">
      <c r="A2574" s="319">
        <v>42999</v>
      </c>
      <c r="B2574" s="320" t="s">
        <v>30347</v>
      </c>
      <c r="C2574" s="321">
        <v>128333</v>
      </c>
      <c r="D2574" s="390" t="s">
        <v>23937</v>
      </c>
      <c r="E2574" s="322">
        <v>3947.7</v>
      </c>
      <c r="F2574" s="323">
        <v>42999</v>
      </c>
      <c r="G2574" s="322">
        <v>3947.7</v>
      </c>
      <c r="H2574" s="322">
        <f t="shared" si="36"/>
        <v>0</v>
      </c>
      <c r="I2574" s="325" t="s">
        <v>15214</v>
      </c>
    </row>
    <row r="2575" spans="1:9" x14ac:dyDescent="0.25">
      <c r="A2575" s="359">
        <v>42999</v>
      </c>
      <c r="B2575" s="326" t="s">
        <v>30348</v>
      </c>
      <c r="C2575" s="327">
        <v>128334</v>
      </c>
      <c r="D2575" s="391" t="s">
        <v>15252</v>
      </c>
      <c r="E2575" s="328">
        <v>4699</v>
      </c>
      <c r="F2575" s="329">
        <v>43002</v>
      </c>
      <c r="G2575" s="328">
        <v>4699</v>
      </c>
      <c r="H2575" s="347">
        <f t="shared" si="36"/>
        <v>0</v>
      </c>
      <c r="I2575" s="331" t="s">
        <v>15214</v>
      </c>
    </row>
    <row r="2576" spans="1:9" ht="45" x14ac:dyDescent="0.25">
      <c r="A2576" s="319">
        <v>42999</v>
      </c>
      <c r="B2576" s="320" t="s">
        <v>30349</v>
      </c>
      <c r="C2576" s="321">
        <v>128335</v>
      </c>
      <c r="D2576" s="390" t="s">
        <v>15228</v>
      </c>
      <c r="E2576" s="322">
        <v>33142.18</v>
      </c>
      <c r="F2576" s="323" t="s">
        <v>30350</v>
      </c>
      <c r="G2576" s="334">
        <f>4000+9000+20142.18</f>
        <v>33142.18</v>
      </c>
      <c r="H2576" s="334">
        <f t="shared" si="36"/>
        <v>0</v>
      </c>
      <c r="I2576" s="325" t="s">
        <v>15214</v>
      </c>
    </row>
    <row r="2577" spans="1:9" x14ac:dyDescent="0.25">
      <c r="A2577" s="359">
        <v>42999</v>
      </c>
      <c r="B2577" s="326" t="s">
        <v>30351</v>
      </c>
      <c r="C2577" s="327">
        <v>128336</v>
      </c>
      <c r="D2577" s="391" t="s">
        <v>15244</v>
      </c>
      <c r="E2577" s="328">
        <v>10173.1</v>
      </c>
      <c r="F2577" s="329">
        <v>43003</v>
      </c>
      <c r="G2577" s="328">
        <v>10173.1</v>
      </c>
      <c r="H2577" s="347">
        <f t="shared" si="36"/>
        <v>0</v>
      </c>
      <c r="I2577" s="331" t="s">
        <v>15214</v>
      </c>
    </row>
    <row r="2578" spans="1:9" x14ac:dyDescent="0.25">
      <c r="A2578" s="319">
        <v>42999</v>
      </c>
      <c r="B2578" s="320" t="s">
        <v>30352</v>
      </c>
      <c r="C2578" s="321">
        <v>128337</v>
      </c>
      <c r="D2578" s="390" t="s">
        <v>16116</v>
      </c>
      <c r="E2578" s="322">
        <v>735.2</v>
      </c>
      <c r="F2578" s="323">
        <v>42999</v>
      </c>
      <c r="G2578" s="322">
        <v>735.2</v>
      </c>
      <c r="H2578" s="322">
        <f t="shared" si="36"/>
        <v>0</v>
      </c>
      <c r="I2578" s="325" t="s">
        <v>15214</v>
      </c>
    </row>
    <row r="2579" spans="1:9" x14ac:dyDescent="0.25">
      <c r="A2579" s="359">
        <v>42999</v>
      </c>
      <c r="B2579" s="326" t="s">
        <v>30353</v>
      </c>
      <c r="C2579" s="327">
        <v>128338</v>
      </c>
      <c r="D2579" s="391" t="s">
        <v>15226</v>
      </c>
      <c r="E2579" s="328">
        <v>1161.3</v>
      </c>
      <c r="F2579" s="329">
        <v>43001</v>
      </c>
      <c r="G2579" s="328">
        <v>1161.3</v>
      </c>
      <c r="H2579" s="347">
        <f t="shared" si="36"/>
        <v>0</v>
      </c>
      <c r="I2579" s="331" t="s">
        <v>15214</v>
      </c>
    </row>
    <row r="2580" spans="1:9" x14ac:dyDescent="0.25">
      <c r="A2580" s="319">
        <v>42999</v>
      </c>
      <c r="B2580" s="320" t="s">
        <v>30354</v>
      </c>
      <c r="C2580" s="321">
        <v>128339</v>
      </c>
      <c r="D2580" s="390" t="s">
        <v>23218</v>
      </c>
      <c r="E2580" s="322">
        <v>4147.2</v>
      </c>
      <c r="F2580" s="323">
        <v>42999</v>
      </c>
      <c r="G2580" s="322">
        <v>4147.2</v>
      </c>
      <c r="H2580" s="322">
        <f t="shared" si="36"/>
        <v>0</v>
      </c>
      <c r="I2580" s="325" t="s">
        <v>15214</v>
      </c>
    </row>
    <row r="2581" spans="1:9" x14ac:dyDescent="0.25">
      <c r="A2581" s="359">
        <v>42999</v>
      </c>
      <c r="B2581" s="326" t="s">
        <v>30355</v>
      </c>
      <c r="C2581" s="327">
        <v>128340</v>
      </c>
      <c r="D2581" s="391" t="s">
        <v>15265</v>
      </c>
      <c r="E2581" s="328">
        <v>2955</v>
      </c>
      <c r="F2581" s="329">
        <v>42999</v>
      </c>
      <c r="G2581" s="328">
        <v>2955</v>
      </c>
      <c r="H2581" s="347">
        <f t="shared" si="36"/>
        <v>0</v>
      </c>
      <c r="I2581" s="331" t="s">
        <v>15214</v>
      </c>
    </row>
    <row r="2582" spans="1:9" x14ac:dyDescent="0.25">
      <c r="A2582" s="319">
        <v>42999</v>
      </c>
      <c r="B2582" s="320" t="s">
        <v>30356</v>
      </c>
      <c r="C2582" s="321">
        <v>128341</v>
      </c>
      <c r="D2582" s="390" t="s">
        <v>23215</v>
      </c>
      <c r="E2582" s="322">
        <v>5030.3999999999996</v>
      </c>
      <c r="F2582" s="323">
        <v>42999</v>
      </c>
      <c r="G2582" s="322">
        <v>5030.3999999999996</v>
      </c>
      <c r="H2582" s="322">
        <f t="shared" si="36"/>
        <v>0</v>
      </c>
      <c r="I2582" s="325" t="s">
        <v>15214</v>
      </c>
    </row>
    <row r="2583" spans="1:9" x14ac:dyDescent="0.25">
      <c r="A2583" s="359">
        <v>42999</v>
      </c>
      <c r="B2583" s="326" t="s">
        <v>30357</v>
      </c>
      <c r="C2583" s="327">
        <v>128342</v>
      </c>
      <c r="D2583" s="391" t="s">
        <v>15510</v>
      </c>
      <c r="E2583" s="328">
        <v>2433.1999999999998</v>
      </c>
      <c r="F2583" s="329">
        <v>42999</v>
      </c>
      <c r="G2583" s="328">
        <v>2433.1999999999998</v>
      </c>
      <c r="H2583" s="347">
        <f t="shared" si="36"/>
        <v>0</v>
      </c>
      <c r="I2583" s="331" t="s">
        <v>15214</v>
      </c>
    </row>
    <row r="2584" spans="1:9" x14ac:dyDescent="0.25">
      <c r="A2584" s="319">
        <v>42999</v>
      </c>
      <c r="B2584" s="320" t="s">
        <v>30358</v>
      </c>
      <c r="C2584" s="321">
        <v>128343</v>
      </c>
      <c r="D2584" s="390" t="s">
        <v>15510</v>
      </c>
      <c r="E2584" s="322">
        <v>1562.4</v>
      </c>
      <c r="F2584" s="323">
        <v>42999</v>
      </c>
      <c r="G2584" s="322">
        <v>1562.4</v>
      </c>
      <c r="H2584" s="322">
        <f t="shared" si="36"/>
        <v>0</v>
      </c>
      <c r="I2584" s="325" t="s">
        <v>15214</v>
      </c>
    </row>
    <row r="2585" spans="1:9" x14ac:dyDescent="0.25">
      <c r="A2585" s="359">
        <v>42999</v>
      </c>
      <c r="B2585" s="326" t="s">
        <v>30359</v>
      </c>
      <c r="C2585" s="327">
        <v>128344</v>
      </c>
      <c r="D2585" s="391" t="s">
        <v>15298</v>
      </c>
      <c r="E2585" s="328">
        <v>1213.3</v>
      </c>
      <c r="F2585" s="329">
        <v>42999</v>
      </c>
      <c r="G2585" s="328">
        <v>1213.3</v>
      </c>
      <c r="H2585" s="347">
        <f t="shared" si="36"/>
        <v>0</v>
      </c>
      <c r="I2585" s="331" t="s">
        <v>15214</v>
      </c>
    </row>
    <row r="2586" spans="1:9" x14ac:dyDescent="0.25">
      <c r="A2586" s="319">
        <v>42999</v>
      </c>
      <c r="B2586" s="320" t="s">
        <v>30360</v>
      </c>
      <c r="C2586" s="321">
        <v>128345</v>
      </c>
      <c r="D2586" s="390" t="s">
        <v>15444</v>
      </c>
      <c r="E2586" s="322">
        <v>2953.6</v>
      </c>
      <c r="F2586" s="323">
        <v>42999</v>
      </c>
      <c r="G2586" s="322">
        <v>2953.6</v>
      </c>
      <c r="H2586" s="322">
        <f t="shared" si="36"/>
        <v>0</v>
      </c>
      <c r="I2586" s="325" t="s">
        <v>15214</v>
      </c>
    </row>
    <row r="2587" spans="1:9" x14ac:dyDescent="0.25">
      <c r="A2587" s="359">
        <v>42999</v>
      </c>
      <c r="B2587" s="326" t="s">
        <v>30361</v>
      </c>
      <c r="C2587" s="327">
        <v>128346</v>
      </c>
      <c r="D2587" s="391" t="s">
        <v>15699</v>
      </c>
      <c r="E2587" s="328">
        <v>32293.88</v>
      </c>
      <c r="F2587" s="329">
        <v>43001</v>
      </c>
      <c r="G2587" s="328">
        <v>32293.88</v>
      </c>
      <c r="H2587" s="347">
        <f t="shared" si="36"/>
        <v>0</v>
      </c>
      <c r="I2587" s="331" t="s">
        <v>15214</v>
      </c>
    </row>
    <row r="2588" spans="1:9" x14ac:dyDescent="0.25">
      <c r="A2588" s="319">
        <v>42999</v>
      </c>
      <c r="B2588" s="320" t="s">
        <v>30362</v>
      </c>
      <c r="C2588" s="321">
        <v>128347</v>
      </c>
      <c r="D2588" s="390" t="s">
        <v>15699</v>
      </c>
      <c r="E2588" s="322">
        <v>3256.5</v>
      </c>
      <c r="F2588" s="323">
        <v>43001</v>
      </c>
      <c r="G2588" s="322">
        <v>3256.5</v>
      </c>
      <c r="H2588" s="322">
        <f t="shared" si="36"/>
        <v>0</v>
      </c>
      <c r="I2588" s="325" t="s">
        <v>15214</v>
      </c>
    </row>
    <row r="2589" spans="1:9" x14ac:dyDescent="0.25">
      <c r="A2589" s="359">
        <v>42999</v>
      </c>
      <c r="B2589" s="326" t="s">
        <v>30363</v>
      </c>
      <c r="C2589" s="327">
        <v>128348</v>
      </c>
      <c r="D2589" s="391" t="s">
        <v>15378</v>
      </c>
      <c r="E2589" s="328">
        <v>1450</v>
      </c>
      <c r="F2589" s="329">
        <v>42999</v>
      </c>
      <c r="G2589" s="328">
        <v>1450</v>
      </c>
      <c r="H2589" s="347">
        <f t="shared" si="36"/>
        <v>0</v>
      </c>
      <c r="I2589" s="331" t="s">
        <v>15214</v>
      </c>
    </row>
    <row r="2590" spans="1:9" x14ac:dyDescent="0.25">
      <c r="A2590" s="319">
        <v>42999</v>
      </c>
      <c r="B2590" s="320" t="s">
        <v>30364</v>
      </c>
      <c r="C2590" s="321">
        <v>128349</v>
      </c>
      <c r="D2590" s="390" t="s">
        <v>15423</v>
      </c>
      <c r="E2590" s="322">
        <v>3110.4</v>
      </c>
      <c r="F2590" s="323">
        <v>42999</v>
      </c>
      <c r="G2590" s="322">
        <v>3110.4</v>
      </c>
      <c r="H2590" s="322">
        <f t="shared" si="36"/>
        <v>0</v>
      </c>
      <c r="I2590" s="325" t="s">
        <v>15214</v>
      </c>
    </row>
    <row r="2591" spans="1:9" x14ac:dyDescent="0.25">
      <c r="A2591" s="359">
        <v>42999</v>
      </c>
      <c r="B2591" s="326" t="s">
        <v>30365</v>
      </c>
      <c r="C2591" s="327">
        <v>128350</v>
      </c>
      <c r="D2591" s="391" t="s">
        <v>15326</v>
      </c>
      <c r="E2591" s="328">
        <v>6186.8</v>
      </c>
      <c r="F2591" s="329">
        <v>42999</v>
      </c>
      <c r="G2591" s="328">
        <v>6186.8</v>
      </c>
      <c r="H2591" s="347">
        <f t="shared" si="36"/>
        <v>0</v>
      </c>
      <c r="I2591" s="331" t="s">
        <v>15214</v>
      </c>
    </row>
    <row r="2592" spans="1:9" x14ac:dyDescent="0.25">
      <c r="A2592" s="319">
        <v>42999</v>
      </c>
      <c r="B2592" s="320" t="s">
        <v>30366</v>
      </c>
      <c r="C2592" s="321">
        <v>128351</v>
      </c>
      <c r="D2592" s="390" t="s">
        <v>15396</v>
      </c>
      <c r="E2592" s="322">
        <v>3652.7</v>
      </c>
      <c r="F2592" s="323">
        <v>42999</v>
      </c>
      <c r="G2592" s="322">
        <v>3652.7</v>
      </c>
      <c r="H2592" s="322">
        <f t="shared" si="36"/>
        <v>0</v>
      </c>
      <c r="I2592" s="325" t="s">
        <v>15214</v>
      </c>
    </row>
    <row r="2593" spans="1:9" x14ac:dyDescent="0.25">
      <c r="A2593" s="359">
        <v>42999</v>
      </c>
      <c r="B2593" s="326" t="s">
        <v>30367</v>
      </c>
      <c r="C2593" s="327">
        <v>128352</v>
      </c>
      <c r="D2593" s="391" t="s">
        <v>15396</v>
      </c>
      <c r="E2593" s="328">
        <v>629.20000000000005</v>
      </c>
      <c r="F2593" s="329">
        <v>42999</v>
      </c>
      <c r="G2593" s="328">
        <v>629.20000000000005</v>
      </c>
      <c r="H2593" s="347">
        <f t="shared" si="36"/>
        <v>0</v>
      </c>
      <c r="I2593" s="331" t="s">
        <v>15214</v>
      </c>
    </row>
    <row r="2594" spans="1:9" x14ac:dyDescent="0.25">
      <c r="A2594" s="319">
        <v>42999</v>
      </c>
      <c r="B2594" s="320" t="s">
        <v>30368</v>
      </c>
      <c r="C2594" s="321">
        <v>128353</v>
      </c>
      <c r="D2594" s="390" t="s">
        <v>18773</v>
      </c>
      <c r="E2594" s="322">
        <v>35475</v>
      </c>
      <c r="F2594" s="323">
        <v>42999</v>
      </c>
      <c r="G2594" s="322">
        <v>35475</v>
      </c>
      <c r="H2594" s="322">
        <f t="shared" si="36"/>
        <v>0</v>
      </c>
      <c r="I2594" s="325" t="s">
        <v>15214</v>
      </c>
    </row>
    <row r="2595" spans="1:9" x14ac:dyDescent="0.25">
      <c r="A2595" s="359">
        <v>42999</v>
      </c>
      <c r="B2595" s="326" t="s">
        <v>30369</v>
      </c>
      <c r="C2595" s="327">
        <v>128354</v>
      </c>
      <c r="D2595" s="391" t="s">
        <v>15987</v>
      </c>
      <c r="E2595" s="328">
        <v>624</v>
      </c>
      <c r="F2595" s="329">
        <v>42999</v>
      </c>
      <c r="G2595" s="328">
        <v>624</v>
      </c>
      <c r="H2595" s="347">
        <f t="shared" si="36"/>
        <v>0</v>
      </c>
      <c r="I2595" s="331" t="s">
        <v>15214</v>
      </c>
    </row>
    <row r="2596" spans="1:9" x14ac:dyDescent="0.25">
      <c r="A2596" s="319">
        <v>42999</v>
      </c>
      <c r="B2596" s="320" t="s">
        <v>30370</v>
      </c>
      <c r="C2596" s="321">
        <v>128355</v>
      </c>
      <c r="D2596" s="390" t="s">
        <v>15276</v>
      </c>
      <c r="E2596" s="322">
        <v>2400</v>
      </c>
      <c r="F2596" s="323">
        <v>43000</v>
      </c>
      <c r="G2596" s="322">
        <v>2400</v>
      </c>
      <c r="H2596" s="322">
        <f t="shared" si="36"/>
        <v>0</v>
      </c>
      <c r="I2596" s="325" t="s">
        <v>15214</v>
      </c>
    </row>
    <row r="2597" spans="1:9" x14ac:dyDescent="0.25">
      <c r="A2597" s="359">
        <v>42999</v>
      </c>
      <c r="B2597" s="326" t="s">
        <v>30371</v>
      </c>
      <c r="C2597" s="327">
        <v>128356</v>
      </c>
      <c r="D2597" s="391" t="s">
        <v>15284</v>
      </c>
      <c r="E2597" s="328">
        <v>964.8</v>
      </c>
      <c r="F2597" s="329">
        <v>42999</v>
      </c>
      <c r="G2597" s="328">
        <v>964.8</v>
      </c>
      <c r="H2597" s="347">
        <f t="shared" si="36"/>
        <v>0</v>
      </c>
      <c r="I2597" s="331" t="s">
        <v>15214</v>
      </c>
    </row>
    <row r="2598" spans="1:9" x14ac:dyDescent="0.25">
      <c r="A2598" s="319">
        <v>42999</v>
      </c>
      <c r="B2598" s="320" t="s">
        <v>30372</v>
      </c>
      <c r="C2598" s="321">
        <v>128357</v>
      </c>
      <c r="D2598" s="390" t="s">
        <v>15562</v>
      </c>
      <c r="E2598" s="322">
        <v>3327.1</v>
      </c>
      <c r="F2598" s="323">
        <v>42999</v>
      </c>
      <c r="G2598" s="322">
        <v>3327.1</v>
      </c>
      <c r="H2598" s="322">
        <f t="shared" si="36"/>
        <v>0</v>
      </c>
      <c r="I2598" s="325" t="s">
        <v>15214</v>
      </c>
    </row>
    <row r="2599" spans="1:9" x14ac:dyDescent="0.25">
      <c r="A2599" s="359">
        <v>42999</v>
      </c>
      <c r="B2599" s="326" t="s">
        <v>30373</v>
      </c>
      <c r="C2599" s="327">
        <v>128358</v>
      </c>
      <c r="D2599" s="391" t="s">
        <v>15320</v>
      </c>
      <c r="E2599" s="328">
        <v>3059</v>
      </c>
      <c r="F2599" s="329">
        <v>42999</v>
      </c>
      <c r="G2599" s="328">
        <v>3059</v>
      </c>
      <c r="H2599" s="347">
        <f t="shared" si="36"/>
        <v>0</v>
      </c>
      <c r="I2599" s="331" t="s">
        <v>15214</v>
      </c>
    </row>
    <row r="2600" spans="1:9" x14ac:dyDescent="0.25">
      <c r="A2600" s="319">
        <v>42999</v>
      </c>
      <c r="B2600" s="320" t="s">
        <v>30374</v>
      </c>
      <c r="C2600" s="321">
        <v>128359</v>
      </c>
      <c r="D2600" s="390" t="s">
        <v>15301</v>
      </c>
      <c r="E2600" s="322">
        <v>505</v>
      </c>
      <c r="F2600" s="323">
        <v>42999</v>
      </c>
      <c r="G2600" s="322">
        <v>505</v>
      </c>
      <c r="H2600" s="322">
        <f t="shared" si="36"/>
        <v>0</v>
      </c>
      <c r="I2600" s="325" t="s">
        <v>15214</v>
      </c>
    </row>
    <row r="2601" spans="1:9" x14ac:dyDescent="0.25">
      <c r="A2601" s="359">
        <v>42999</v>
      </c>
      <c r="B2601" s="326" t="s">
        <v>30375</v>
      </c>
      <c r="C2601" s="327">
        <v>128360</v>
      </c>
      <c r="D2601" s="391" t="s">
        <v>15291</v>
      </c>
      <c r="E2601" s="328">
        <v>883.2</v>
      </c>
      <c r="F2601" s="329">
        <v>42999</v>
      </c>
      <c r="G2601" s="328">
        <v>883.2</v>
      </c>
      <c r="H2601" s="347">
        <f t="shared" si="36"/>
        <v>0</v>
      </c>
      <c r="I2601" s="331" t="s">
        <v>15214</v>
      </c>
    </row>
    <row r="2602" spans="1:9" x14ac:dyDescent="0.25">
      <c r="A2602" s="319">
        <v>42999</v>
      </c>
      <c r="B2602" s="320" t="s">
        <v>30376</v>
      </c>
      <c r="C2602" s="321">
        <v>128361</v>
      </c>
      <c r="D2602" s="390" t="s">
        <v>15305</v>
      </c>
      <c r="E2602" s="322">
        <v>1232</v>
      </c>
      <c r="F2602" s="323">
        <v>42999</v>
      </c>
      <c r="G2602" s="322">
        <v>1232</v>
      </c>
      <c r="H2602" s="322">
        <f t="shared" si="36"/>
        <v>0</v>
      </c>
      <c r="I2602" s="325" t="s">
        <v>15214</v>
      </c>
    </row>
    <row r="2603" spans="1:9" x14ac:dyDescent="0.25">
      <c r="A2603" s="359">
        <v>42999</v>
      </c>
      <c r="B2603" s="326" t="s">
        <v>30377</v>
      </c>
      <c r="C2603" s="327">
        <v>128362</v>
      </c>
      <c r="D2603" s="391" t="s">
        <v>15309</v>
      </c>
      <c r="E2603" s="328">
        <v>5945.7</v>
      </c>
      <c r="F2603" s="329">
        <v>42999</v>
      </c>
      <c r="G2603" s="328">
        <v>5945.7</v>
      </c>
      <c r="H2603" s="347">
        <f t="shared" si="36"/>
        <v>0</v>
      </c>
      <c r="I2603" s="331" t="s">
        <v>15214</v>
      </c>
    </row>
    <row r="2604" spans="1:9" ht="15.75" x14ac:dyDescent="0.25">
      <c r="A2604" s="319">
        <v>42999</v>
      </c>
      <c r="B2604" s="320" t="s">
        <v>30378</v>
      </c>
      <c r="C2604" s="321">
        <v>128363</v>
      </c>
      <c r="D2604" s="332" t="s">
        <v>95</v>
      </c>
      <c r="E2604" s="322">
        <v>0</v>
      </c>
      <c r="F2604" s="333" t="s">
        <v>95</v>
      </c>
      <c r="G2604" s="322">
        <v>0</v>
      </c>
      <c r="H2604" s="322">
        <f t="shared" si="36"/>
        <v>0</v>
      </c>
      <c r="I2604" s="325" t="s">
        <v>95</v>
      </c>
    </row>
    <row r="2605" spans="1:9" x14ac:dyDescent="0.25">
      <c r="A2605" s="359">
        <v>42999</v>
      </c>
      <c r="B2605" s="326" t="s">
        <v>30379</v>
      </c>
      <c r="C2605" s="327">
        <v>128364</v>
      </c>
      <c r="D2605" s="391" t="s">
        <v>15716</v>
      </c>
      <c r="E2605" s="328">
        <v>5308</v>
      </c>
      <c r="F2605" s="329">
        <v>42999</v>
      </c>
      <c r="G2605" s="328">
        <v>5308</v>
      </c>
      <c r="H2605" s="347">
        <f t="shared" si="36"/>
        <v>0</v>
      </c>
      <c r="I2605" s="331" t="s">
        <v>15214</v>
      </c>
    </row>
    <row r="2606" spans="1:9" x14ac:dyDescent="0.25">
      <c r="A2606" s="319">
        <v>42999</v>
      </c>
      <c r="B2606" s="320" t="s">
        <v>30380</v>
      </c>
      <c r="C2606" s="321">
        <v>128365</v>
      </c>
      <c r="D2606" s="390" t="s">
        <v>15315</v>
      </c>
      <c r="E2606" s="322">
        <v>833.2</v>
      </c>
      <c r="F2606" s="323">
        <v>42999</v>
      </c>
      <c r="G2606" s="322">
        <v>833.2</v>
      </c>
      <c r="H2606" s="322">
        <f t="shared" si="36"/>
        <v>0</v>
      </c>
      <c r="I2606" s="325" t="s">
        <v>15214</v>
      </c>
    </row>
    <row r="2607" spans="1:9" x14ac:dyDescent="0.25">
      <c r="A2607" s="359">
        <v>42999</v>
      </c>
      <c r="B2607" s="326" t="s">
        <v>30381</v>
      </c>
      <c r="C2607" s="327">
        <v>128366</v>
      </c>
      <c r="D2607" s="391" t="s">
        <v>19756</v>
      </c>
      <c r="E2607" s="328">
        <v>446.4</v>
      </c>
      <c r="F2607" s="329">
        <v>42999</v>
      </c>
      <c r="G2607" s="328">
        <v>446.4</v>
      </c>
      <c r="H2607" s="347">
        <f t="shared" si="36"/>
        <v>0</v>
      </c>
      <c r="I2607" s="331" t="s">
        <v>15214</v>
      </c>
    </row>
    <row r="2608" spans="1:9" x14ac:dyDescent="0.25">
      <c r="A2608" s="319">
        <v>42999</v>
      </c>
      <c r="B2608" s="320" t="s">
        <v>30382</v>
      </c>
      <c r="C2608" s="321">
        <v>128367</v>
      </c>
      <c r="D2608" s="390" t="s">
        <v>15782</v>
      </c>
      <c r="E2608" s="322">
        <v>1476.6</v>
      </c>
      <c r="F2608" s="323">
        <v>43000</v>
      </c>
      <c r="G2608" s="322">
        <v>1476.6</v>
      </c>
      <c r="H2608" s="322">
        <f t="shared" si="36"/>
        <v>0</v>
      </c>
      <c r="I2608" s="325" t="s">
        <v>15214</v>
      </c>
    </row>
    <row r="2609" spans="1:9" x14ac:dyDescent="0.25">
      <c r="A2609" s="359">
        <v>42999</v>
      </c>
      <c r="B2609" s="326" t="s">
        <v>30383</v>
      </c>
      <c r="C2609" s="327">
        <v>128368</v>
      </c>
      <c r="D2609" s="391" t="s">
        <v>15417</v>
      </c>
      <c r="E2609" s="328">
        <v>2721.3</v>
      </c>
      <c r="F2609" s="329">
        <v>43000</v>
      </c>
      <c r="G2609" s="328">
        <v>2721.3</v>
      </c>
      <c r="H2609" s="347">
        <f t="shared" ref="H2609:H2672" si="37">E2609-G2609</f>
        <v>0</v>
      </c>
      <c r="I2609" s="331" t="s">
        <v>15214</v>
      </c>
    </row>
    <row r="2610" spans="1:9" x14ac:dyDescent="0.25">
      <c r="A2610" s="319">
        <v>42999</v>
      </c>
      <c r="B2610" s="320" t="s">
        <v>30384</v>
      </c>
      <c r="C2610" s="321">
        <v>128369</v>
      </c>
      <c r="D2610" s="390" t="s">
        <v>15282</v>
      </c>
      <c r="E2610" s="322">
        <v>2906.5</v>
      </c>
      <c r="F2610" s="323">
        <v>42999</v>
      </c>
      <c r="G2610" s="322">
        <v>2906.5</v>
      </c>
      <c r="H2610" s="322">
        <f t="shared" si="37"/>
        <v>0</v>
      </c>
      <c r="I2610" s="325" t="s">
        <v>15214</v>
      </c>
    </row>
    <row r="2611" spans="1:9" x14ac:dyDescent="0.25">
      <c r="A2611" s="359">
        <v>42999</v>
      </c>
      <c r="B2611" s="326" t="s">
        <v>30385</v>
      </c>
      <c r="C2611" s="327">
        <v>128370</v>
      </c>
      <c r="D2611" s="391" t="s">
        <v>15856</v>
      </c>
      <c r="E2611" s="328">
        <v>770</v>
      </c>
      <c r="F2611" s="329">
        <v>43000</v>
      </c>
      <c r="G2611" s="328">
        <v>770</v>
      </c>
      <c r="H2611" s="347">
        <f t="shared" si="37"/>
        <v>0</v>
      </c>
      <c r="I2611" s="331" t="s">
        <v>15214</v>
      </c>
    </row>
    <row r="2612" spans="1:9" x14ac:dyDescent="0.25">
      <c r="A2612" s="319">
        <v>42999</v>
      </c>
      <c r="B2612" s="320" t="s">
        <v>30386</v>
      </c>
      <c r="C2612" s="321">
        <v>128371</v>
      </c>
      <c r="D2612" s="390" t="s">
        <v>15725</v>
      </c>
      <c r="E2612" s="322">
        <v>24951</v>
      </c>
      <c r="F2612" s="323">
        <v>43000</v>
      </c>
      <c r="G2612" s="322">
        <v>24951</v>
      </c>
      <c r="H2612" s="322">
        <f t="shared" si="37"/>
        <v>0</v>
      </c>
      <c r="I2612" s="325" t="s">
        <v>15214</v>
      </c>
    </row>
    <row r="2613" spans="1:9" x14ac:dyDescent="0.25">
      <c r="A2613" s="359">
        <v>42999</v>
      </c>
      <c r="B2613" s="326" t="s">
        <v>30387</v>
      </c>
      <c r="C2613" s="327">
        <v>128372</v>
      </c>
      <c r="D2613" s="391" t="s">
        <v>16093</v>
      </c>
      <c r="E2613" s="328">
        <v>3369.6</v>
      </c>
      <c r="F2613" s="329">
        <v>42999</v>
      </c>
      <c r="G2613" s="328">
        <v>3369.6</v>
      </c>
      <c r="H2613" s="347">
        <f t="shared" si="37"/>
        <v>0</v>
      </c>
      <c r="I2613" s="331" t="s">
        <v>15214</v>
      </c>
    </row>
    <row r="2614" spans="1:9" x14ac:dyDescent="0.25">
      <c r="A2614" s="319">
        <v>42999</v>
      </c>
      <c r="B2614" s="320" t="s">
        <v>30388</v>
      </c>
      <c r="C2614" s="321">
        <v>128373</v>
      </c>
      <c r="D2614" s="390" t="s">
        <v>30255</v>
      </c>
      <c r="E2614" s="322">
        <v>5243</v>
      </c>
      <c r="F2614" s="323">
        <v>43000</v>
      </c>
      <c r="G2614" s="322">
        <v>5243</v>
      </c>
      <c r="H2614" s="322">
        <f t="shared" si="37"/>
        <v>0</v>
      </c>
      <c r="I2614" s="325" t="s">
        <v>15214</v>
      </c>
    </row>
    <row r="2615" spans="1:9" x14ac:dyDescent="0.25">
      <c r="A2615" s="359">
        <v>42999</v>
      </c>
      <c r="B2615" s="326" t="s">
        <v>30389</v>
      </c>
      <c r="C2615" s="327">
        <v>128374</v>
      </c>
      <c r="D2615" s="391" t="s">
        <v>15930</v>
      </c>
      <c r="E2615" s="328">
        <v>6286</v>
      </c>
      <c r="F2615" s="329">
        <v>43000</v>
      </c>
      <c r="G2615" s="328">
        <v>6286</v>
      </c>
      <c r="H2615" s="347">
        <f t="shared" si="37"/>
        <v>0</v>
      </c>
      <c r="I2615" s="331" t="s">
        <v>15214</v>
      </c>
    </row>
    <row r="2616" spans="1:9" x14ac:dyDescent="0.25">
      <c r="A2616" s="319">
        <v>42999</v>
      </c>
      <c r="B2616" s="320" t="s">
        <v>30390</v>
      </c>
      <c r="C2616" s="321">
        <v>128375</v>
      </c>
      <c r="D2616" s="390" t="s">
        <v>17708</v>
      </c>
      <c r="E2616" s="322">
        <v>5326.84</v>
      </c>
      <c r="F2616" s="323">
        <v>43000</v>
      </c>
      <c r="G2616" s="322">
        <v>5326.84</v>
      </c>
      <c r="H2616" s="322">
        <f t="shared" si="37"/>
        <v>0</v>
      </c>
      <c r="I2616" s="325" t="s">
        <v>15214</v>
      </c>
    </row>
    <row r="2617" spans="1:9" x14ac:dyDescent="0.25">
      <c r="A2617" s="359">
        <v>42999</v>
      </c>
      <c r="B2617" s="326" t="s">
        <v>30391</v>
      </c>
      <c r="C2617" s="327">
        <v>128376</v>
      </c>
      <c r="D2617" s="391" t="s">
        <v>21441</v>
      </c>
      <c r="E2617" s="328">
        <v>1126.5</v>
      </c>
      <c r="F2617" s="329">
        <v>43000</v>
      </c>
      <c r="G2617" s="328">
        <v>1126.5</v>
      </c>
      <c r="H2617" s="347">
        <f t="shared" si="37"/>
        <v>0</v>
      </c>
      <c r="I2617" s="331" t="s">
        <v>15214</v>
      </c>
    </row>
    <row r="2618" spans="1:9" x14ac:dyDescent="0.25">
      <c r="A2618" s="319">
        <v>42999</v>
      </c>
      <c r="B2618" s="320" t="s">
        <v>30392</v>
      </c>
      <c r="C2618" s="321">
        <v>128377</v>
      </c>
      <c r="D2618" s="390" t="s">
        <v>15835</v>
      </c>
      <c r="E2618" s="322">
        <v>14137.9</v>
      </c>
      <c r="F2618" s="323">
        <v>43000</v>
      </c>
      <c r="G2618" s="322">
        <v>14137.9</v>
      </c>
      <c r="H2618" s="322">
        <f t="shared" si="37"/>
        <v>0</v>
      </c>
      <c r="I2618" s="325" t="s">
        <v>15214</v>
      </c>
    </row>
    <row r="2619" spans="1:9" x14ac:dyDescent="0.25">
      <c r="A2619" s="359">
        <v>42999</v>
      </c>
      <c r="B2619" s="326" t="s">
        <v>30393</v>
      </c>
      <c r="C2619" s="327">
        <v>128378</v>
      </c>
      <c r="D2619" s="391" t="s">
        <v>15391</v>
      </c>
      <c r="E2619" s="328">
        <v>7910</v>
      </c>
      <c r="F2619" s="329">
        <v>43000</v>
      </c>
      <c r="G2619" s="328">
        <v>7910</v>
      </c>
      <c r="H2619" s="347">
        <f t="shared" si="37"/>
        <v>0</v>
      </c>
      <c r="I2619" s="331" t="s">
        <v>15214</v>
      </c>
    </row>
    <row r="2620" spans="1:9" x14ac:dyDescent="0.25">
      <c r="A2620" s="319">
        <v>42999</v>
      </c>
      <c r="B2620" s="320" t="s">
        <v>30394</v>
      </c>
      <c r="C2620" s="321">
        <v>128379</v>
      </c>
      <c r="D2620" s="390" t="s">
        <v>15592</v>
      </c>
      <c r="E2620" s="322">
        <v>7783.2</v>
      </c>
      <c r="F2620" s="323">
        <v>43000</v>
      </c>
      <c r="G2620" s="322">
        <v>7783.2</v>
      </c>
      <c r="H2620" s="322">
        <f t="shared" si="37"/>
        <v>0</v>
      </c>
      <c r="I2620" s="325" t="s">
        <v>15214</v>
      </c>
    </row>
    <row r="2621" spans="1:9" x14ac:dyDescent="0.25">
      <c r="A2621" s="359">
        <v>42999</v>
      </c>
      <c r="B2621" s="326" t="s">
        <v>30395</v>
      </c>
      <c r="C2621" s="327">
        <v>128380</v>
      </c>
      <c r="D2621" s="391" t="s">
        <v>16732</v>
      </c>
      <c r="E2621" s="328">
        <v>3311.6</v>
      </c>
      <c r="F2621" s="329">
        <v>43000</v>
      </c>
      <c r="G2621" s="328">
        <v>3311.6</v>
      </c>
      <c r="H2621" s="347">
        <f t="shared" si="37"/>
        <v>0</v>
      </c>
      <c r="I2621" s="331" t="s">
        <v>15214</v>
      </c>
    </row>
    <row r="2622" spans="1:9" x14ac:dyDescent="0.25">
      <c r="A2622" s="319">
        <v>42999</v>
      </c>
      <c r="B2622" s="320" t="s">
        <v>30396</v>
      </c>
      <c r="C2622" s="321">
        <v>128381</v>
      </c>
      <c r="D2622" s="390" t="s">
        <v>15387</v>
      </c>
      <c r="E2622" s="322">
        <v>1090.5999999999999</v>
      </c>
      <c r="F2622" s="323">
        <v>43000</v>
      </c>
      <c r="G2622" s="322">
        <v>1090.5999999999999</v>
      </c>
      <c r="H2622" s="322">
        <f t="shared" si="37"/>
        <v>0</v>
      </c>
      <c r="I2622" s="325" t="s">
        <v>15214</v>
      </c>
    </row>
    <row r="2623" spans="1:9" ht="15.75" x14ac:dyDescent="0.25">
      <c r="A2623" s="359">
        <v>42999</v>
      </c>
      <c r="B2623" s="326" t="s">
        <v>30397</v>
      </c>
      <c r="C2623" s="327">
        <v>128382</v>
      </c>
      <c r="D2623" s="345" t="s">
        <v>95</v>
      </c>
      <c r="E2623" s="328">
        <v>0</v>
      </c>
      <c r="F2623" s="346" t="s">
        <v>95</v>
      </c>
      <c r="G2623" s="328">
        <v>0</v>
      </c>
      <c r="H2623" s="347">
        <f t="shared" si="37"/>
        <v>0</v>
      </c>
      <c r="I2623" s="331" t="s">
        <v>95</v>
      </c>
    </row>
    <row r="2624" spans="1:9" x14ac:dyDescent="0.25">
      <c r="A2624" s="319">
        <v>42999</v>
      </c>
      <c r="B2624" s="320" t="s">
        <v>30398</v>
      </c>
      <c r="C2624" s="321">
        <v>128383</v>
      </c>
      <c r="D2624" s="390" t="s">
        <v>16297</v>
      </c>
      <c r="E2624" s="322">
        <v>3333.5</v>
      </c>
      <c r="F2624" s="323">
        <v>42999</v>
      </c>
      <c r="G2624" s="322">
        <v>3333.5</v>
      </c>
      <c r="H2624" s="322">
        <f t="shared" si="37"/>
        <v>0</v>
      </c>
      <c r="I2624" s="325" t="s">
        <v>15214</v>
      </c>
    </row>
    <row r="2625" spans="1:9" x14ac:dyDescent="0.25">
      <c r="A2625" s="359">
        <v>42999</v>
      </c>
      <c r="B2625" s="326" t="s">
        <v>30399</v>
      </c>
      <c r="C2625" s="327">
        <v>128384</v>
      </c>
      <c r="D2625" s="391" t="s">
        <v>15315</v>
      </c>
      <c r="E2625" s="328">
        <v>782.8</v>
      </c>
      <c r="F2625" s="329">
        <v>42999</v>
      </c>
      <c r="G2625" s="328">
        <v>782.8</v>
      </c>
      <c r="H2625" s="347">
        <f t="shared" si="37"/>
        <v>0</v>
      </c>
      <c r="I2625" s="331" t="s">
        <v>15214</v>
      </c>
    </row>
    <row r="2626" spans="1:9" x14ac:dyDescent="0.25">
      <c r="A2626" s="319">
        <v>42999</v>
      </c>
      <c r="B2626" s="320" t="s">
        <v>30400</v>
      </c>
      <c r="C2626" s="321">
        <v>128385</v>
      </c>
      <c r="D2626" s="390" t="s">
        <v>19773</v>
      </c>
      <c r="E2626" s="322">
        <v>7177.4</v>
      </c>
      <c r="F2626" s="323">
        <v>43001</v>
      </c>
      <c r="G2626" s="322">
        <v>7177.4</v>
      </c>
      <c r="H2626" s="322">
        <f t="shared" si="37"/>
        <v>0</v>
      </c>
      <c r="I2626" s="325" t="s">
        <v>15214</v>
      </c>
    </row>
    <row r="2627" spans="1:9" x14ac:dyDescent="0.25">
      <c r="A2627" s="359">
        <v>42999</v>
      </c>
      <c r="B2627" s="326" t="s">
        <v>30401</v>
      </c>
      <c r="C2627" s="327">
        <v>128386</v>
      </c>
      <c r="D2627" s="391" t="s">
        <v>15213</v>
      </c>
      <c r="E2627" s="328">
        <v>1904.4</v>
      </c>
      <c r="F2627" s="329">
        <v>43001</v>
      </c>
      <c r="G2627" s="328">
        <v>1904.4</v>
      </c>
      <c r="H2627" s="347">
        <f t="shared" si="37"/>
        <v>0</v>
      </c>
      <c r="I2627" s="331" t="s">
        <v>15214</v>
      </c>
    </row>
    <row r="2628" spans="1:9" x14ac:dyDescent="0.25">
      <c r="A2628" s="319">
        <v>42999</v>
      </c>
      <c r="B2628" s="320" t="s">
        <v>30402</v>
      </c>
      <c r="C2628" s="321">
        <v>128387</v>
      </c>
      <c r="D2628" s="390" t="s">
        <v>15315</v>
      </c>
      <c r="E2628" s="322">
        <v>129.6</v>
      </c>
      <c r="F2628" s="323">
        <v>42999</v>
      </c>
      <c r="G2628" s="322">
        <v>129.6</v>
      </c>
      <c r="H2628" s="322">
        <f t="shared" si="37"/>
        <v>0</v>
      </c>
      <c r="I2628" s="325" t="s">
        <v>15214</v>
      </c>
    </row>
    <row r="2629" spans="1:9" x14ac:dyDescent="0.25">
      <c r="A2629" s="359">
        <v>42999</v>
      </c>
      <c r="B2629" s="326" t="s">
        <v>30403</v>
      </c>
      <c r="C2629" s="327">
        <v>128388</v>
      </c>
      <c r="D2629" s="391" t="s">
        <v>15246</v>
      </c>
      <c r="E2629" s="328">
        <v>244015.38</v>
      </c>
      <c r="F2629" s="329">
        <v>43003</v>
      </c>
      <c r="G2629" s="328">
        <v>244015.38</v>
      </c>
      <c r="H2629" s="347">
        <f t="shared" si="37"/>
        <v>0</v>
      </c>
      <c r="I2629" s="331" t="s">
        <v>15214</v>
      </c>
    </row>
    <row r="2630" spans="1:9" x14ac:dyDescent="0.25">
      <c r="A2630" s="319">
        <v>42999</v>
      </c>
      <c r="B2630" s="320" t="s">
        <v>30404</v>
      </c>
      <c r="C2630" s="321">
        <v>128389</v>
      </c>
      <c r="D2630" s="390" t="s">
        <v>15419</v>
      </c>
      <c r="E2630" s="322">
        <v>38885</v>
      </c>
      <c r="F2630" s="323">
        <v>43014</v>
      </c>
      <c r="G2630" s="322">
        <v>38885</v>
      </c>
      <c r="H2630" s="322">
        <f t="shared" si="37"/>
        <v>0</v>
      </c>
      <c r="I2630" s="325" t="s">
        <v>15214</v>
      </c>
    </row>
    <row r="2631" spans="1:9" ht="15.75" x14ac:dyDescent="0.25">
      <c r="A2631" s="359">
        <v>42999</v>
      </c>
      <c r="B2631" s="326" t="s">
        <v>30405</v>
      </c>
      <c r="C2631" s="327">
        <v>128390</v>
      </c>
      <c r="D2631" s="345" t="s">
        <v>95</v>
      </c>
      <c r="E2631" s="328">
        <v>0</v>
      </c>
      <c r="F2631" s="346" t="s">
        <v>95</v>
      </c>
      <c r="G2631" s="328">
        <v>0</v>
      </c>
      <c r="H2631" s="347">
        <f t="shared" si="37"/>
        <v>0</v>
      </c>
      <c r="I2631" s="331" t="s">
        <v>95</v>
      </c>
    </row>
    <row r="2632" spans="1:9" x14ac:dyDescent="0.25">
      <c r="A2632" s="319">
        <v>42999</v>
      </c>
      <c r="B2632" s="320" t="s">
        <v>30406</v>
      </c>
      <c r="C2632" s="321">
        <v>128391</v>
      </c>
      <c r="D2632" s="390" t="s">
        <v>15246</v>
      </c>
      <c r="E2632" s="322">
        <v>17194.7</v>
      </c>
      <c r="F2632" s="323">
        <v>43003</v>
      </c>
      <c r="G2632" s="322">
        <v>17194.7</v>
      </c>
      <c r="H2632" s="322">
        <f t="shared" si="37"/>
        <v>0</v>
      </c>
      <c r="I2632" s="325" t="s">
        <v>15214</v>
      </c>
    </row>
    <row r="2633" spans="1:9" ht="15.75" x14ac:dyDescent="0.25">
      <c r="A2633" s="359">
        <v>42999</v>
      </c>
      <c r="B2633" s="326" t="s">
        <v>30407</v>
      </c>
      <c r="C2633" s="327">
        <v>128392</v>
      </c>
      <c r="D2633" s="345" t="s">
        <v>95</v>
      </c>
      <c r="E2633" s="328">
        <v>0</v>
      </c>
      <c r="F2633" s="346" t="s">
        <v>95</v>
      </c>
      <c r="G2633" s="328">
        <v>0</v>
      </c>
      <c r="H2633" s="347">
        <f t="shared" si="37"/>
        <v>0</v>
      </c>
      <c r="I2633" s="331" t="s">
        <v>95</v>
      </c>
    </row>
    <row r="2634" spans="1:9" x14ac:dyDescent="0.25">
      <c r="A2634" s="319">
        <v>42999</v>
      </c>
      <c r="B2634" s="320" t="s">
        <v>30408</v>
      </c>
      <c r="C2634" s="321">
        <v>128393</v>
      </c>
      <c r="D2634" s="390" t="s">
        <v>15419</v>
      </c>
      <c r="E2634" s="322">
        <v>45005.8</v>
      </c>
      <c r="F2634" s="323">
        <v>43006</v>
      </c>
      <c r="G2634" s="322">
        <v>45005.8</v>
      </c>
      <c r="H2634" s="322">
        <f t="shared" si="37"/>
        <v>0</v>
      </c>
      <c r="I2634" s="325" t="s">
        <v>15214</v>
      </c>
    </row>
    <row r="2635" spans="1:9" x14ac:dyDescent="0.25">
      <c r="A2635" s="359">
        <v>42999</v>
      </c>
      <c r="B2635" s="326" t="s">
        <v>30409</v>
      </c>
      <c r="C2635" s="327">
        <v>128394</v>
      </c>
      <c r="D2635" s="391" t="s">
        <v>15624</v>
      </c>
      <c r="E2635" s="328">
        <v>31784.9</v>
      </c>
      <c r="F2635" s="329">
        <v>43005</v>
      </c>
      <c r="G2635" s="328">
        <v>31784.9</v>
      </c>
      <c r="H2635" s="347">
        <f t="shared" si="37"/>
        <v>0</v>
      </c>
      <c r="I2635" s="331" t="s">
        <v>15214</v>
      </c>
    </row>
    <row r="2636" spans="1:9" x14ac:dyDescent="0.25">
      <c r="A2636" s="319">
        <v>42999</v>
      </c>
      <c r="B2636" s="320" t="s">
        <v>30410</v>
      </c>
      <c r="C2636" s="321">
        <v>128395</v>
      </c>
      <c r="D2636" s="390" t="s">
        <v>15936</v>
      </c>
      <c r="E2636" s="322">
        <v>18005.400000000001</v>
      </c>
      <c r="F2636" s="323">
        <v>42999</v>
      </c>
      <c r="G2636" s="322">
        <v>18005.400000000001</v>
      </c>
      <c r="H2636" s="322">
        <f t="shared" si="37"/>
        <v>0</v>
      </c>
      <c r="I2636" s="325" t="s">
        <v>15214</v>
      </c>
    </row>
    <row r="2637" spans="1:9" x14ac:dyDescent="0.25">
      <c r="A2637" s="359">
        <v>42999</v>
      </c>
      <c r="B2637" s="326" t="s">
        <v>30411</v>
      </c>
      <c r="C2637" s="327">
        <v>128396</v>
      </c>
      <c r="D2637" s="391" t="s">
        <v>15267</v>
      </c>
      <c r="E2637" s="328">
        <v>18383.3</v>
      </c>
      <c r="F2637" s="329">
        <v>42999</v>
      </c>
      <c r="G2637" s="328">
        <v>18383.3</v>
      </c>
      <c r="H2637" s="347">
        <f t="shared" si="37"/>
        <v>0</v>
      </c>
      <c r="I2637" s="331" t="s">
        <v>15214</v>
      </c>
    </row>
    <row r="2638" spans="1:9" x14ac:dyDescent="0.25">
      <c r="A2638" s="319">
        <v>42999</v>
      </c>
      <c r="B2638" s="320" t="s">
        <v>30412</v>
      </c>
      <c r="C2638" s="321">
        <v>128397</v>
      </c>
      <c r="D2638" s="390" t="s">
        <v>15365</v>
      </c>
      <c r="E2638" s="322">
        <v>240240</v>
      </c>
      <c r="F2638" s="323">
        <v>43006</v>
      </c>
      <c r="G2638" s="322">
        <v>240240</v>
      </c>
      <c r="H2638" s="322">
        <f t="shared" si="37"/>
        <v>0</v>
      </c>
      <c r="I2638" s="325" t="s">
        <v>15214</v>
      </c>
    </row>
    <row r="2639" spans="1:9" x14ac:dyDescent="0.25">
      <c r="A2639" s="359">
        <v>42999</v>
      </c>
      <c r="B2639" s="326" t="s">
        <v>30413</v>
      </c>
      <c r="C2639" s="327">
        <v>128398</v>
      </c>
      <c r="D2639" s="391" t="s">
        <v>15435</v>
      </c>
      <c r="E2639" s="328">
        <v>7664.4</v>
      </c>
      <c r="F2639" s="329">
        <v>42999</v>
      </c>
      <c r="G2639" s="328">
        <v>7664.4</v>
      </c>
      <c r="H2639" s="347">
        <f t="shared" si="37"/>
        <v>0</v>
      </c>
      <c r="I2639" s="331" t="s">
        <v>15214</v>
      </c>
    </row>
    <row r="2640" spans="1:9" x14ac:dyDescent="0.25">
      <c r="A2640" s="319">
        <v>42999</v>
      </c>
      <c r="B2640" s="320" t="s">
        <v>30414</v>
      </c>
      <c r="C2640" s="321">
        <v>128399</v>
      </c>
      <c r="D2640" s="390" t="s">
        <v>19765</v>
      </c>
      <c r="E2640" s="322">
        <v>3500</v>
      </c>
      <c r="F2640" s="323">
        <v>43003</v>
      </c>
      <c r="G2640" s="322">
        <v>3500</v>
      </c>
      <c r="H2640" s="322">
        <f t="shared" si="37"/>
        <v>0</v>
      </c>
      <c r="I2640" s="325" t="s">
        <v>15214</v>
      </c>
    </row>
    <row r="2641" spans="1:9" x14ac:dyDescent="0.25">
      <c r="A2641" s="359">
        <v>42999</v>
      </c>
      <c r="B2641" s="326" t="s">
        <v>30415</v>
      </c>
      <c r="C2641" s="327">
        <v>128400</v>
      </c>
      <c r="D2641" s="391" t="s">
        <v>15284</v>
      </c>
      <c r="E2641" s="328">
        <v>744</v>
      </c>
      <c r="F2641" s="329">
        <v>42999</v>
      </c>
      <c r="G2641" s="328">
        <v>744</v>
      </c>
      <c r="H2641" s="347">
        <f t="shared" si="37"/>
        <v>0</v>
      </c>
      <c r="I2641" s="331" t="s">
        <v>15214</v>
      </c>
    </row>
    <row r="2642" spans="1:9" x14ac:dyDescent="0.25">
      <c r="A2642" s="319">
        <v>42999</v>
      </c>
      <c r="B2642" s="320" t="s">
        <v>30416</v>
      </c>
      <c r="C2642" s="321">
        <v>128401</v>
      </c>
      <c r="D2642" s="390" t="s">
        <v>15246</v>
      </c>
      <c r="E2642" s="322">
        <v>88671.3</v>
      </c>
      <c r="F2642" s="323">
        <v>43003</v>
      </c>
      <c r="G2642" s="322">
        <v>88671.3</v>
      </c>
      <c r="H2642" s="322">
        <f t="shared" si="37"/>
        <v>0</v>
      </c>
      <c r="I2642" s="325" t="s">
        <v>15214</v>
      </c>
    </row>
    <row r="2643" spans="1:9" ht="15.75" x14ac:dyDescent="0.25">
      <c r="A2643" s="359">
        <v>42999</v>
      </c>
      <c r="B2643" s="326" t="s">
        <v>30417</v>
      </c>
      <c r="C2643" s="327">
        <v>128402</v>
      </c>
      <c r="D2643" s="345" t="s">
        <v>95</v>
      </c>
      <c r="E2643" s="328">
        <v>0</v>
      </c>
      <c r="F2643" s="346" t="s">
        <v>95</v>
      </c>
      <c r="G2643" s="328">
        <v>0</v>
      </c>
      <c r="H2643" s="347">
        <f t="shared" si="37"/>
        <v>0</v>
      </c>
      <c r="I2643" s="331" t="s">
        <v>95</v>
      </c>
    </row>
    <row r="2644" spans="1:9" x14ac:dyDescent="0.25">
      <c r="A2644" s="319">
        <v>42999</v>
      </c>
      <c r="B2644" s="320" t="s">
        <v>30418</v>
      </c>
      <c r="C2644" s="321">
        <v>128403</v>
      </c>
      <c r="D2644" s="390" t="s">
        <v>15246</v>
      </c>
      <c r="E2644" s="322">
        <v>10084.4</v>
      </c>
      <c r="F2644" s="323">
        <v>43003</v>
      </c>
      <c r="G2644" s="322">
        <v>10084.4</v>
      </c>
      <c r="H2644" s="322">
        <f t="shared" si="37"/>
        <v>0</v>
      </c>
      <c r="I2644" s="325" t="s">
        <v>15214</v>
      </c>
    </row>
    <row r="2645" spans="1:9" x14ac:dyDescent="0.25">
      <c r="A2645" s="359">
        <v>42999</v>
      </c>
      <c r="B2645" s="326" t="s">
        <v>30419</v>
      </c>
      <c r="C2645" s="327">
        <v>128404</v>
      </c>
      <c r="D2645" s="391" t="s">
        <v>15642</v>
      </c>
      <c r="E2645" s="328">
        <v>6169.8</v>
      </c>
      <c r="F2645" s="329">
        <v>42999</v>
      </c>
      <c r="G2645" s="328">
        <v>6169.8</v>
      </c>
      <c r="H2645" s="347">
        <f t="shared" si="37"/>
        <v>0</v>
      </c>
      <c r="I2645" s="331" t="s">
        <v>15214</v>
      </c>
    </row>
    <row r="2646" spans="1:9" x14ac:dyDescent="0.25">
      <c r="A2646" s="319">
        <v>42999</v>
      </c>
      <c r="B2646" s="320" t="s">
        <v>30420</v>
      </c>
      <c r="C2646" s="321">
        <v>128405</v>
      </c>
      <c r="D2646" s="390" t="s">
        <v>19680</v>
      </c>
      <c r="E2646" s="322">
        <v>144</v>
      </c>
      <c r="F2646" s="323">
        <v>42999</v>
      </c>
      <c r="G2646" s="322">
        <v>144</v>
      </c>
      <c r="H2646" s="322">
        <f t="shared" si="37"/>
        <v>0</v>
      </c>
      <c r="I2646" s="325" t="s">
        <v>15214</v>
      </c>
    </row>
    <row r="2647" spans="1:9" x14ac:dyDescent="0.25">
      <c r="A2647" s="359">
        <v>42999</v>
      </c>
      <c r="B2647" s="326" t="s">
        <v>30421</v>
      </c>
      <c r="C2647" s="327">
        <v>128406</v>
      </c>
      <c r="D2647" s="391" t="s">
        <v>15644</v>
      </c>
      <c r="E2647" s="328">
        <v>3464.3</v>
      </c>
      <c r="F2647" s="329">
        <v>43000</v>
      </c>
      <c r="G2647" s="328">
        <v>3464.3</v>
      </c>
      <c r="H2647" s="347">
        <f t="shared" si="37"/>
        <v>0</v>
      </c>
      <c r="I2647" s="331" t="s">
        <v>15214</v>
      </c>
    </row>
    <row r="2648" spans="1:9" x14ac:dyDescent="0.25">
      <c r="A2648" s="319">
        <v>43000</v>
      </c>
      <c r="B2648" s="320" t="s">
        <v>30422</v>
      </c>
      <c r="C2648" s="321">
        <v>128407</v>
      </c>
      <c r="D2648" s="390" t="s">
        <v>21386</v>
      </c>
      <c r="E2648" s="322">
        <v>10284.299999999999</v>
      </c>
      <c r="F2648" s="323">
        <v>43000</v>
      </c>
      <c r="G2648" s="322">
        <v>10284.299999999999</v>
      </c>
      <c r="H2648" s="322">
        <f t="shared" si="37"/>
        <v>0</v>
      </c>
      <c r="I2648" s="325" t="s">
        <v>15214</v>
      </c>
    </row>
    <row r="2649" spans="1:9" x14ac:dyDescent="0.25">
      <c r="A2649" s="359">
        <v>43000</v>
      </c>
      <c r="B2649" s="326" t="s">
        <v>30423</v>
      </c>
      <c r="C2649" s="327">
        <v>128408</v>
      </c>
      <c r="D2649" s="391" t="s">
        <v>15213</v>
      </c>
      <c r="E2649" s="328">
        <v>48999.6</v>
      </c>
      <c r="F2649" s="329">
        <v>43001</v>
      </c>
      <c r="G2649" s="328">
        <v>48999.6</v>
      </c>
      <c r="H2649" s="347">
        <f t="shared" si="37"/>
        <v>0</v>
      </c>
      <c r="I2649" s="331" t="s">
        <v>15214</v>
      </c>
    </row>
    <row r="2650" spans="1:9" x14ac:dyDescent="0.25">
      <c r="A2650" s="319">
        <v>43000</v>
      </c>
      <c r="B2650" s="320" t="s">
        <v>30424</v>
      </c>
      <c r="C2650" s="321">
        <v>128409</v>
      </c>
      <c r="D2650" s="390" t="s">
        <v>15216</v>
      </c>
      <c r="E2650" s="322">
        <v>2640.4</v>
      </c>
      <c r="F2650" s="323">
        <v>43000</v>
      </c>
      <c r="G2650" s="322">
        <v>2640.4</v>
      </c>
      <c r="H2650" s="322">
        <f t="shared" si="37"/>
        <v>0</v>
      </c>
      <c r="I2650" s="325" t="s">
        <v>15214</v>
      </c>
    </row>
    <row r="2651" spans="1:9" x14ac:dyDescent="0.25">
      <c r="A2651" s="359">
        <v>43000</v>
      </c>
      <c r="B2651" s="326" t="s">
        <v>30425</v>
      </c>
      <c r="C2651" s="327">
        <v>128410</v>
      </c>
      <c r="D2651" s="391" t="s">
        <v>15324</v>
      </c>
      <c r="E2651" s="328">
        <v>3426</v>
      </c>
      <c r="F2651" s="329">
        <v>43000</v>
      </c>
      <c r="G2651" s="328">
        <v>3426</v>
      </c>
      <c r="H2651" s="347">
        <f t="shared" si="37"/>
        <v>0</v>
      </c>
      <c r="I2651" s="331" t="s">
        <v>15214</v>
      </c>
    </row>
    <row r="2652" spans="1:9" x14ac:dyDescent="0.25">
      <c r="A2652" s="319">
        <v>43000</v>
      </c>
      <c r="B2652" s="320" t="s">
        <v>30426</v>
      </c>
      <c r="C2652" s="321">
        <v>128411</v>
      </c>
      <c r="D2652" s="390" t="s">
        <v>19302</v>
      </c>
      <c r="E2652" s="322">
        <v>1440</v>
      </c>
      <c r="F2652" s="323">
        <v>43000</v>
      </c>
      <c r="G2652" s="322">
        <v>1440</v>
      </c>
      <c r="H2652" s="322">
        <f t="shared" si="37"/>
        <v>0</v>
      </c>
      <c r="I2652" s="325" t="s">
        <v>15214</v>
      </c>
    </row>
    <row r="2653" spans="1:9" x14ac:dyDescent="0.25">
      <c r="A2653" s="359">
        <v>43000</v>
      </c>
      <c r="B2653" s="326" t="s">
        <v>30427</v>
      </c>
      <c r="C2653" s="327">
        <v>128412</v>
      </c>
      <c r="D2653" s="391" t="s">
        <v>15274</v>
      </c>
      <c r="E2653" s="328">
        <v>4980</v>
      </c>
      <c r="F2653" s="329">
        <v>43001</v>
      </c>
      <c r="G2653" s="328">
        <v>4980</v>
      </c>
      <c r="H2653" s="347">
        <f t="shared" si="37"/>
        <v>0</v>
      </c>
      <c r="I2653" s="331" t="s">
        <v>15214</v>
      </c>
    </row>
    <row r="2654" spans="1:9" x14ac:dyDescent="0.25">
      <c r="A2654" s="319">
        <v>43000</v>
      </c>
      <c r="B2654" s="320" t="s">
        <v>30428</v>
      </c>
      <c r="C2654" s="321">
        <v>128413</v>
      </c>
      <c r="D2654" s="390" t="s">
        <v>15537</v>
      </c>
      <c r="E2654" s="322">
        <v>28968.1</v>
      </c>
      <c r="F2654" s="323">
        <v>43000</v>
      </c>
      <c r="G2654" s="322">
        <v>28968.1</v>
      </c>
      <c r="H2654" s="322">
        <f t="shared" si="37"/>
        <v>0</v>
      </c>
      <c r="I2654" s="325" t="s">
        <v>15214</v>
      </c>
    </row>
    <row r="2655" spans="1:9" ht="30" x14ac:dyDescent="0.25">
      <c r="A2655" s="359">
        <v>43000</v>
      </c>
      <c r="B2655" s="326" t="s">
        <v>30429</v>
      </c>
      <c r="C2655" s="327">
        <v>128414</v>
      </c>
      <c r="D2655" s="391" t="s">
        <v>15258</v>
      </c>
      <c r="E2655" s="328">
        <v>10288.200000000001</v>
      </c>
      <c r="F2655" s="329" t="s">
        <v>30430</v>
      </c>
      <c r="G2655" s="347">
        <f>5000+5288.2</f>
        <v>10288.200000000001</v>
      </c>
      <c r="H2655" s="347">
        <f t="shared" si="37"/>
        <v>0</v>
      </c>
      <c r="I2655" s="331" t="s">
        <v>15214</v>
      </c>
    </row>
    <row r="2656" spans="1:9" x14ac:dyDescent="0.25">
      <c r="A2656" s="319">
        <v>43000</v>
      </c>
      <c r="B2656" s="320" t="s">
        <v>30431</v>
      </c>
      <c r="C2656" s="321">
        <v>128415</v>
      </c>
      <c r="D2656" s="390" t="s">
        <v>15378</v>
      </c>
      <c r="E2656" s="322">
        <v>4396</v>
      </c>
      <c r="F2656" s="323">
        <v>43000</v>
      </c>
      <c r="G2656" s="322">
        <v>4396</v>
      </c>
      <c r="H2656" s="322">
        <f t="shared" si="37"/>
        <v>0</v>
      </c>
      <c r="I2656" s="325" t="s">
        <v>15214</v>
      </c>
    </row>
    <row r="2657" spans="1:9" x14ac:dyDescent="0.25">
      <c r="A2657" s="359">
        <v>43000</v>
      </c>
      <c r="B2657" s="326" t="s">
        <v>30432</v>
      </c>
      <c r="C2657" s="327">
        <v>128416</v>
      </c>
      <c r="D2657" s="391" t="s">
        <v>15448</v>
      </c>
      <c r="E2657" s="328">
        <v>206832.36</v>
      </c>
      <c r="F2657" s="329">
        <v>43004</v>
      </c>
      <c r="G2657" s="328">
        <v>206832.36</v>
      </c>
      <c r="H2657" s="347">
        <f t="shared" si="37"/>
        <v>0</v>
      </c>
      <c r="I2657" s="331" t="s">
        <v>15214</v>
      </c>
    </row>
    <row r="2658" spans="1:9" x14ac:dyDescent="0.25">
      <c r="A2658" s="319">
        <v>43000</v>
      </c>
      <c r="B2658" s="320" t="s">
        <v>30433</v>
      </c>
      <c r="C2658" s="321">
        <v>128417</v>
      </c>
      <c r="D2658" s="390" t="s">
        <v>15442</v>
      </c>
      <c r="E2658" s="322">
        <v>1386</v>
      </c>
      <c r="F2658" s="323">
        <v>43000</v>
      </c>
      <c r="G2658" s="322">
        <v>1386</v>
      </c>
      <c r="H2658" s="322">
        <f t="shared" si="37"/>
        <v>0</v>
      </c>
      <c r="I2658" s="325" t="s">
        <v>15214</v>
      </c>
    </row>
    <row r="2659" spans="1:9" x14ac:dyDescent="0.25">
      <c r="A2659" s="359">
        <v>43000</v>
      </c>
      <c r="B2659" s="326" t="s">
        <v>30434</v>
      </c>
      <c r="C2659" s="327">
        <v>128418</v>
      </c>
      <c r="D2659" s="391" t="s">
        <v>15448</v>
      </c>
      <c r="E2659" s="328">
        <v>115601</v>
      </c>
      <c r="F2659" s="329">
        <v>43008</v>
      </c>
      <c r="G2659" s="328">
        <v>115601</v>
      </c>
      <c r="H2659" s="347">
        <f t="shared" si="37"/>
        <v>0</v>
      </c>
      <c r="I2659" s="331" t="s">
        <v>15214</v>
      </c>
    </row>
    <row r="2660" spans="1:9" x14ac:dyDescent="0.25">
      <c r="A2660" s="319">
        <v>43000</v>
      </c>
      <c r="B2660" s="320" t="s">
        <v>30435</v>
      </c>
      <c r="C2660" s="321">
        <v>128419</v>
      </c>
      <c r="D2660" s="390" t="s">
        <v>15234</v>
      </c>
      <c r="E2660" s="322">
        <v>3564.6</v>
      </c>
      <c r="F2660" s="323">
        <v>43001</v>
      </c>
      <c r="G2660" s="322">
        <v>3564.6</v>
      </c>
      <c r="H2660" s="322">
        <f t="shared" si="37"/>
        <v>0</v>
      </c>
      <c r="I2660" s="325" t="s">
        <v>15214</v>
      </c>
    </row>
    <row r="2661" spans="1:9" x14ac:dyDescent="0.25">
      <c r="A2661" s="359">
        <v>43000</v>
      </c>
      <c r="B2661" s="326" t="s">
        <v>30436</v>
      </c>
      <c r="C2661" s="327">
        <v>128420</v>
      </c>
      <c r="D2661" s="391" t="s">
        <v>15220</v>
      </c>
      <c r="E2661" s="328">
        <v>2640</v>
      </c>
      <c r="F2661" s="329">
        <v>43000</v>
      </c>
      <c r="G2661" s="328">
        <v>2640</v>
      </c>
      <c r="H2661" s="347">
        <f t="shared" si="37"/>
        <v>0</v>
      </c>
      <c r="I2661" s="331" t="s">
        <v>15214</v>
      </c>
    </row>
    <row r="2662" spans="1:9" ht="15.75" x14ac:dyDescent="0.25">
      <c r="A2662" s="319">
        <v>43000</v>
      </c>
      <c r="B2662" s="320" t="s">
        <v>30437</v>
      </c>
      <c r="C2662" s="321">
        <v>128421</v>
      </c>
      <c r="D2662" s="332" t="s">
        <v>95</v>
      </c>
      <c r="E2662" s="322">
        <v>0</v>
      </c>
      <c r="F2662" s="333" t="s">
        <v>95</v>
      </c>
      <c r="G2662" s="322">
        <v>0</v>
      </c>
      <c r="H2662" s="322">
        <f t="shared" si="37"/>
        <v>0</v>
      </c>
      <c r="I2662" s="325" t="s">
        <v>95</v>
      </c>
    </row>
    <row r="2663" spans="1:9" ht="15.75" x14ac:dyDescent="0.25">
      <c r="A2663" s="359">
        <v>43000</v>
      </c>
      <c r="B2663" s="326" t="s">
        <v>30438</v>
      </c>
      <c r="C2663" s="327">
        <v>128422</v>
      </c>
      <c r="D2663" s="345" t="s">
        <v>95</v>
      </c>
      <c r="E2663" s="328">
        <v>0</v>
      </c>
      <c r="F2663" s="346" t="s">
        <v>95</v>
      </c>
      <c r="G2663" s="328">
        <v>0</v>
      </c>
      <c r="H2663" s="347">
        <f t="shared" si="37"/>
        <v>0</v>
      </c>
      <c r="I2663" s="331" t="s">
        <v>95</v>
      </c>
    </row>
    <row r="2664" spans="1:9" ht="30" x14ac:dyDescent="0.25">
      <c r="A2664" s="319">
        <v>43000</v>
      </c>
      <c r="B2664" s="320" t="s">
        <v>30439</v>
      </c>
      <c r="C2664" s="321">
        <v>128423</v>
      </c>
      <c r="D2664" s="390" t="s">
        <v>19780</v>
      </c>
      <c r="E2664" s="322">
        <v>10358.4</v>
      </c>
      <c r="F2664" s="323" t="s">
        <v>30059</v>
      </c>
      <c r="G2664" s="334">
        <f>5000+5358.4</f>
        <v>10358.4</v>
      </c>
      <c r="H2664" s="334">
        <f t="shared" si="37"/>
        <v>0</v>
      </c>
      <c r="I2664" s="325" t="s">
        <v>15214</v>
      </c>
    </row>
    <row r="2665" spans="1:9" x14ac:dyDescent="0.25">
      <c r="A2665" s="359">
        <v>43000</v>
      </c>
      <c r="B2665" s="326" t="s">
        <v>30440</v>
      </c>
      <c r="C2665" s="327">
        <v>128424</v>
      </c>
      <c r="D2665" s="391" t="s">
        <v>15242</v>
      </c>
      <c r="E2665" s="328">
        <v>5366.4</v>
      </c>
      <c r="F2665" s="329">
        <v>43000</v>
      </c>
      <c r="G2665" s="328">
        <v>5366.4</v>
      </c>
      <c r="H2665" s="347">
        <f t="shared" si="37"/>
        <v>0</v>
      </c>
      <c r="I2665" s="331" t="s">
        <v>15214</v>
      </c>
    </row>
    <row r="2666" spans="1:9" ht="15.75" x14ac:dyDescent="0.25">
      <c r="A2666" s="319">
        <v>43000</v>
      </c>
      <c r="B2666" s="320" t="s">
        <v>30441</v>
      </c>
      <c r="C2666" s="321">
        <v>128425</v>
      </c>
      <c r="D2666" s="332" t="s">
        <v>95</v>
      </c>
      <c r="E2666" s="322">
        <v>0</v>
      </c>
      <c r="F2666" s="333" t="s">
        <v>95</v>
      </c>
      <c r="G2666" s="322">
        <v>0</v>
      </c>
      <c r="H2666" s="322">
        <f t="shared" si="37"/>
        <v>0</v>
      </c>
      <c r="I2666" s="325" t="s">
        <v>95</v>
      </c>
    </row>
    <row r="2667" spans="1:9" x14ac:dyDescent="0.25">
      <c r="A2667" s="359">
        <v>43000</v>
      </c>
      <c r="B2667" s="326" t="s">
        <v>30442</v>
      </c>
      <c r="C2667" s="327">
        <v>128426</v>
      </c>
      <c r="D2667" s="391" t="s">
        <v>15668</v>
      </c>
      <c r="E2667" s="328">
        <v>14313</v>
      </c>
      <c r="F2667" s="329">
        <v>43003</v>
      </c>
      <c r="G2667" s="328">
        <v>14313</v>
      </c>
      <c r="H2667" s="347">
        <f t="shared" si="37"/>
        <v>0</v>
      </c>
      <c r="I2667" s="331" t="s">
        <v>15214</v>
      </c>
    </row>
    <row r="2668" spans="1:9" x14ac:dyDescent="0.25">
      <c r="A2668" s="319">
        <v>43000</v>
      </c>
      <c r="B2668" s="320" t="s">
        <v>30443</v>
      </c>
      <c r="C2668" s="321">
        <v>128427</v>
      </c>
      <c r="D2668" s="390" t="s">
        <v>15236</v>
      </c>
      <c r="E2668" s="322">
        <v>3159</v>
      </c>
      <c r="F2668" s="323">
        <v>43003</v>
      </c>
      <c r="G2668" s="322">
        <v>3159</v>
      </c>
      <c r="H2668" s="322">
        <f t="shared" si="37"/>
        <v>0</v>
      </c>
      <c r="I2668" s="325" t="s">
        <v>15214</v>
      </c>
    </row>
    <row r="2669" spans="1:9" x14ac:dyDescent="0.25">
      <c r="A2669" s="359">
        <v>43000</v>
      </c>
      <c r="B2669" s="326" t="s">
        <v>30444</v>
      </c>
      <c r="C2669" s="327">
        <v>128428</v>
      </c>
      <c r="D2669" s="391" t="s">
        <v>15272</v>
      </c>
      <c r="E2669" s="328">
        <v>22165.1</v>
      </c>
      <c r="F2669" s="329">
        <v>43000</v>
      </c>
      <c r="G2669" s="328">
        <v>22165.1</v>
      </c>
      <c r="H2669" s="347">
        <f t="shared" si="37"/>
        <v>0</v>
      </c>
      <c r="I2669" s="331" t="s">
        <v>15214</v>
      </c>
    </row>
    <row r="2670" spans="1:9" x14ac:dyDescent="0.25">
      <c r="A2670" s="319">
        <v>43000</v>
      </c>
      <c r="B2670" s="320" t="s">
        <v>30445</v>
      </c>
      <c r="C2670" s="321">
        <v>128429</v>
      </c>
      <c r="D2670" s="390" t="s">
        <v>15272</v>
      </c>
      <c r="E2670" s="322">
        <v>13556.4</v>
      </c>
      <c r="F2670" s="323">
        <v>43000</v>
      </c>
      <c r="G2670" s="322">
        <v>13556.4</v>
      </c>
      <c r="H2670" s="322">
        <f t="shared" si="37"/>
        <v>0</v>
      </c>
      <c r="I2670" s="325" t="s">
        <v>15214</v>
      </c>
    </row>
    <row r="2671" spans="1:9" x14ac:dyDescent="0.25">
      <c r="A2671" s="359">
        <v>43000</v>
      </c>
      <c r="B2671" s="326" t="s">
        <v>30446</v>
      </c>
      <c r="C2671" s="327">
        <v>128430</v>
      </c>
      <c r="D2671" s="391" t="s">
        <v>15681</v>
      </c>
      <c r="E2671" s="328">
        <v>1756.8</v>
      </c>
      <c r="F2671" s="329">
        <v>43000</v>
      </c>
      <c r="G2671" s="328">
        <v>1756.8</v>
      </c>
      <c r="H2671" s="347">
        <f t="shared" si="37"/>
        <v>0</v>
      </c>
      <c r="I2671" s="331" t="s">
        <v>15214</v>
      </c>
    </row>
    <row r="2672" spans="1:9" ht="15.75" x14ac:dyDescent="0.25">
      <c r="A2672" s="319">
        <v>43000</v>
      </c>
      <c r="B2672" s="320" t="s">
        <v>30447</v>
      </c>
      <c r="C2672" s="321">
        <v>128431</v>
      </c>
      <c r="D2672" s="332" t="s">
        <v>95</v>
      </c>
      <c r="E2672" s="322">
        <v>0</v>
      </c>
      <c r="F2672" s="333" t="s">
        <v>95</v>
      </c>
      <c r="G2672" s="322">
        <v>0</v>
      </c>
      <c r="H2672" s="322">
        <f t="shared" si="37"/>
        <v>0</v>
      </c>
      <c r="I2672" s="325" t="s">
        <v>95</v>
      </c>
    </row>
    <row r="2673" spans="1:9" ht="15.75" x14ac:dyDescent="0.25">
      <c r="A2673" s="359">
        <v>43000</v>
      </c>
      <c r="B2673" s="326" t="s">
        <v>30448</v>
      </c>
      <c r="C2673" s="327">
        <v>128432</v>
      </c>
      <c r="D2673" s="345" t="s">
        <v>95</v>
      </c>
      <c r="E2673" s="328">
        <v>0</v>
      </c>
      <c r="F2673" s="346" t="s">
        <v>95</v>
      </c>
      <c r="G2673" s="328">
        <v>0</v>
      </c>
      <c r="H2673" s="347">
        <f t="shared" ref="H2673:H2736" si="38">E2673-G2673</f>
        <v>0</v>
      </c>
      <c r="I2673" s="331" t="s">
        <v>95</v>
      </c>
    </row>
    <row r="2674" spans="1:9" x14ac:dyDescent="0.25">
      <c r="A2674" s="319">
        <v>43000</v>
      </c>
      <c r="B2674" s="320" t="s">
        <v>30449</v>
      </c>
      <c r="C2674" s="321">
        <v>128433</v>
      </c>
      <c r="D2674" s="390" t="s">
        <v>15371</v>
      </c>
      <c r="E2674" s="322">
        <v>5093.8999999999996</v>
      </c>
      <c r="F2674" s="323">
        <v>43001</v>
      </c>
      <c r="G2674" s="322">
        <v>5093.8999999999996</v>
      </c>
      <c r="H2674" s="322">
        <f t="shared" si="38"/>
        <v>0</v>
      </c>
      <c r="I2674" s="325" t="s">
        <v>15214</v>
      </c>
    </row>
    <row r="2675" spans="1:9" x14ac:dyDescent="0.25">
      <c r="A2675" s="359">
        <v>43000</v>
      </c>
      <c r="B2675" s="326" t="s">
        <v>30450</v>
      </c>
      <c r="C2675" s="327">
        <v>128434</v>
      </c>
      <c r="D2675" s="391" t="s">
        <v>5575</v>
      </c>
      <c r="E2675" s="328">
        <v>4241.3999999999996</v>
      </c>
      <c r="F2675" s="329">
        <v>43003</v>
      </c>
      <c r="G2675" s="328">
        <v>4241.3999999999996</v>
      </c>
      <c r="H2675" s="347">
        <f t="shared" si="38"/>
        <v>0</v>
      </c>
      <c r="I2675" s="331" t="s">
        <v>15214</v>
      </c>
    </row>
    <row r="2676" spans="1:9" x14ac:dyDescent="0.25">
      <c r="A2676" s="319">
        <v>43000</v>
      </c>
      <c r="B2676" s="320" t="s">
        <v>30451</v>
      </c>
      <c r="C2676" s="321">
        <v>128435</v>
      </c>
      <c r="D2676" s="390" t="s">
        <v>15480</v>
      </c>
      <c r="E2676" s="322">
        <v>245.7</v>
      </c>
      <c r="F2676" s="323">
        <v>43001</v>
      </c>
      <c r="G2676" s="322">
        <v>245.7</v>
      </c>
      <c r="H2676" s="322">
        <f t="shared" si="38"/>
        <v>0</v>
      </c>
      <c r="I2676" s="325" t="s">
        <v>15214</v>
      </c>
    </row>
    <row r="2677" spans="1:9" x14ac:dyDescent="0.25">
      <c r="A2677" s="359">
        <v>43000</v>
      </c>
      <c r="B2677" s="326" t="s">
        <v>30452</v>
      </c>
      <c r="C2677" s="327">
        <v>128436</v>
      </c>
      <c r="D2677" s="391" t="s">
        <v>17462</v>
      </c>
      <c r="E2677" s="328">
        <v>8960</v>
      </c>
      <c r="F2677" s="329">
        <v>43000</v>
      </c>
      <c r="G2677" s="328">
        <v>8960</v>
      </c>
      <c r="H2677" s="347">
        <f t="shared" si="38"/>
        <v>0</v>
      </c>
      <c r="I2677" s="331" t="s">
        <v>15214</v>
      </c>
    </row>
    <row r="2678" spans="1:9" ht="30" x14ac:dyDescent="0.25">
      <c r="A2678" s="319">
        <v>43000</v>
      </c>
      <c r="B2678" s="320" t="s">
        <v>30453</v>
      </c>
      <c r="C2678" s="321">
        <v>128437</v>
      </c>
      <c r="D2678" s="390" t="s">
        <v>15256</v>
      </c>
      <c r="E2678" s="322">
        <v>6122.2</v>
      </c>
      <c r="F2678" s="323" t="s">
        <v>30430</v>
      </c>
      <c r="G2678" s="334">
        <f>2100+4022.2</f>
        <v>6122.2</v>
      </c>
      <c r="H2678" s="334">
        <f t="shared" si="38"/>
        <v>0</v>
      </c>
      <c r="I2678" s="325" t="s">
        <v>15214</v>
      </c>
    </row>
    <row r="2679" spans="1:9" x14ac:dyDescent="0.25">
      <c r="A2679" s="359">
        <v>43000</v>
      </c>
      <c r="B2679" s="326" t="s">
        <v>30454</v>
      </c>
      <c r="C2679" s="327">
        <v>128438</v>
      </c>
      <c r="D2679" s="391" t="s">
        <v>15230</v>
      </c>
      <c r="E2679" s="328">
        <v>10352</v>
      </c>
      <c r="F2679" s="329">
        <v>43003</v>
      </c>
      <c r="G2679" s="328">
        <v>10352</v>
      </c>
      <c r="H2679" s="347">
        <f t="shared" si="38"/>
        <v>0</v>
      </c>
      <c r="I2679" s="331" t="s">
        <v>15214</v>
      </c>
    </row>
    <row r="2680" spans="1:9" x14ac:dyDescent="0.25">
      <c r="A2680" s="319">
        <v>43000</v>
      </c>
      <c r="B2680" s="320" t="s">
        <v>30455</v>
      </c>
      <c r="C2680" s="321">
        <v>128439</v>
      </c>
      <c r="D2680" s="390" t="s">
        <v>30057</v>
      </c>
      <c r="E2680" s="322">
        <v>576</v>
      </c>
      <c r="F2680" s="323">
        <v>43001</v>
      </c>
      <c r="G2680" s="322">
        <v>576</v>
      </c>
      <c r="H2680" s="322">
        <f t="shared" si="38"/>
        <v>0</v>
      </c>
      <c r="I2680" s="325" t="s">
        <v>15214</v>
      </c>
    </row>
    <row r="2681" spans="1:9" x14ac:dyDescent="0.25">
      <c r="A2681" s="359">
        <v>43000</v>
      </c>
      <c r="B2681" s="326" t="s">
        <v>30456</v>
      </c>
      <c r="C2681" s="327">
        <v>128440</v>
      </c>
      <c r="D2681" s="391" t="s">
        <v>15356</v>
      </c>
      <c r="E2681" s="328">
        <v>475</v>
      </c>
      <c r="F2681" s="329">
        <v>43000</v>
      </c>
      <c r="G2681" s="328">
        <v>475</v>
      </c>
      <c r="H2681" s="347">
        <f t="shared" si="38"/>
        <v>0</v>
      </c>
      <c r="I2681" s="331" t="s">
        <v>15214</v>
      </c>
    </row>
    <row r="2682" spans="1:9" x14ac:dyDescent="0.25">
      <c r="A2682" s="319">
        <v>43000</v>
      </c>
      <c r="B2682" s="320" t="s">
        <v>30457</v>
      </c>
      <c r="C2682" s="321">
        <v>128441</v>
      </c>
      <c r="D2682" s="390" t="s">
        <v>18544</v>
      </c>
      <c r="E2682" s="322">
        <v>7438.6</v>
      </c>
      <c r="F2682" s="323">
        <v>43000</v>
      </c>
      <c r="G2682" s="322">
        <v>7438.6</v>
      </c>
      <c r="H2682" s="322">
        <f t="shared" si="38"/>
        <v>0</v>
      </c>
      <c r="I2682" s="325" t="s">
        <v>15214</v>
      </c>
    </row>
    <row r="2683" spans="1:9" x14ac:dyDescent="0.25">
      <c r="A2683" s="359">
        <v>43000</v>
      </c>
      <c r="B2683" s="326" t="s">
        <v>30458</v>
      </c>
      <c r="C2683" s="327">
        <v>128442</v>
      </c>
      <c r="D2683" s="391" t="s">
        <v>15348</v>
      </c>
      <c r="E2683" s="328">
        <v>3081.6</v>
      </c>
      <c r="F2683" s="329">
        <v>43002</v>
      </c>
      <c r="G2683" s="328">
        <v>3081.6</v>
      </c>
      <c r="H2683" s="347">
        <f t="shared" si="38"/>
        <v>0</v>
      </c>
      <c r="I2683" s="331" t="s">
        <v>15214</v>
      </c>
    </row>
    <row r="2684" spans="1:9" x14ac:dyDescent="0.25">
      <c r="A2684" s="319">
        <v>43000</v>
      </c>
      <c r="B2684" s="320" t="s">
        <v>30459</v>
      </c>
      <c r="C2684" s="321">
        <v>128443</v>
      </c>
      <c r="D2684" s="390" t="s">
        <v>15240</v>
      </c>
      <c r="E2684" s="322">
        <v>2702.4</v>
      </c>
      <c r="F2684" s="323">
        <v>43001</v>
      </c>
      <c r="G2684" s="322">
        <v>2702.4</v>
      </c>
      <c r="H2684" s="322">
        <f t="shared" si="38"/>
        <v>0</v>
      </c>
      <c r="I2684" s="325" t="s">
        <v>15214</v>
      </c>
    </row>
    <row r="2685" spans="1:9" x14ac:dyDescent="0.25">
      <c r="A2685" s="359">
        <v>43000</v>
      </c>
      <c r="B2685" s="326" t="s">
        <v>30460</v>
      </c>
      <c r="C2685" s="327">
        <v>128444</v>
      </c>
      <c r="D2685" s="391" t="s">
        <v>15261</v>
      </c>
      <c r="E2685" s="328">
        <v>15523</v>
      </c>
      <c r="F2685" s="329">
        <v>43000</v>
      </c>
      <c r="G2685" s="328">
        <v>15523</v>
      </c>
      <c r="H2685" s="347">
        <f t="shared" si="38"/>
        <v>0</v>
      </c>
      <c r="I2685" s="331" t="s">
        <v>15214</v>
      </c>
    </row>
    <row r="2686" spans="1:9" x14ac:dyDescent="0.25">
      <c r="A2686" s="319">
        <v>43000</v>
      </c>
      <c r="B2686" s="320" t="s">
        <v>30461</v>
      </c>
      <c r="C2686" s="321">
        <v>128445</v>
      </c>
      <c r="D2686" s="390" t="s">
        <v>16023</v>
      </c>
      <c r="E2686" s="322">
        <v>2175.3000000000002</v>
      </c>
      <c r="F2686" s="323">
        <v>43000</v>
      </c>
      <c r="G2686" s="322">
        <v>2175.3000000000002</v>
      </c>
      <c r="H2686" s="322">
        <f t="shared" si="38"/>
        <v>0</v>
      </c>
      <c r="I2686" s="325" t="s">
        <v>15214</v>
      </c>
    </row>
    <row r="2687" spans="1:9" x14ac:dyDescent="0.25">
      <c r="A2687" s="359">
        <v>43000</v>
      </c>
      <c r="B2687" s="326" t="s">
        <v>30462</v>
      </c>
      <c r="C2687" s="327">
        <v>128446</v>
      </c>
      <c r="D2687" s="391" t="s">
        <v>15232</v>
      </c>
      <c r="E2687" s="328">
        <v>7709.6</v>
      </c>
      <c r="F2687" s="329">
        <v>43006</v>
      </c>
      <c r="G2687" s="328">
        <v>7709.6</v>
      </c>
      <c r="H2687" s="347">
        <f t="shared" si="38"/>
        <v>0</v>
      </c>
      <c r="I2687" s="331" t="s">
        <v>15214</v>
      </c>
    </row>
    <row r="2688" spans="1:9" x14ac:dyDescent="0.25">
      <c r="A2688" s="319">
        <v>43000</v>
      </c>
      <c r="B2688" s="320" t="s">
        <v>30463</v>
      </c>
      <c r="C2688" s="321">
        <v>128447</v>
      </c>
      <c r="D2688" s="390" t="s">
        <v>15332</v>
      </c>
      <c r="E2688" s="322">
        <v>3985</v>
      </c>
      <c r="F2688" s="323">
        <v>43000</v>
      </c>
      <c r="G2688" s="322">
        <v>3985</v>
      </c>
      <c r="H2688" s="322">
        <f t="shared" si="38"/>
        <v>0</v>
      </c>
      <c r="I2688" s="325" t="s">
        <v>15214</v>
      </c>
    </row>
    <row r="2689" spans="1:9" ht="15.75" x14ac:dyDescent="0.25">
      <c r="A2689" s="359">
        <v>43000</v>
      </c>
      <c r="B2689" s="326" t="s">
        <v>30464</v>
      </c>
      <c r="C2689" s="327">
        <v>128448</v>
      </c>
      <c r="D2689" s="345" t="s">
        <v>95</v>
      </c>
      <c r="E2689" s="328">
        <v>0</v>
      </c>
      <c r="F2689" s="346" t="s">
        <v>95</v>
      </c>
      <c r="G2689" s="328">
        <v>0</v>
      </c>
      <c r="H2689" s="347">
        <f t="shared" si="38"/>
        <v>0</v>
      </c>
      <c r="I2689" s="331" t="s">
        <v>95</v>
      </c>
    </row>
    <row r="2690" spans="1:9" x14ac:dyDescent="0.25">
      <c r="A2690" s="319">
        <v>43000</v>
      </c>
      <c r="B2690" s="320" t="s">
        <v>30465</v>
      </c>
      <c r="C2690" s="321">
        <v>128449</v>
      </c>
      <c r="D2690" s="390" t="s">
        <v>15238</v>
      </c>
      <c r="E2690" s="322">
        <v>6396.3</v>
      </c>
      <c r="F2690" s="323">
        <v>43003</v>
      </c>
      <c r="G2690" s="322">
        <v>6396.3</v>
      </c>
      <c r="H2690" s="322">
        <f t="shared" si="38"/>
        <v>0</v>
      </c>
      <c r="I2690" s="325" t="s">
        <v>15214</v>
      </c>
    </row>
    <row r="2691" spans="1:9" x14ac:dyDescent="0.25">
      <c r="A2691" s="359">
        <v>43000</v>
      </c>
      <c r="B2691" s="326" t="s">
        <v>30466</v>
      </c>
      <c r="C2691" s="327">
        <v>128450</v>
      </c>
      <c r="D2691" s="391" t="s">
        <v>16484</v>
      </c>
      <c r="E2691" s="328">
        <v>1611.5</v>
      </c>
      <c r="F2691" s="329">
        <v>43000</v>
      </c>
      <c r="G2691" s="328">
        <v>1611.5</v>
      </c>
      <c r="H2691" s="347">
        <f t="shared" si="38"/>
        <v>0</v>
      </c>
      <c r="I2691" s="331" t="s">
        <v>15214</v>
      </c>
    </row>
    <row r="2692" spans="1:9" x14ac:dyDescent="0.25">
      <c r="A2692" s="319">
        <v>43000</v>
      </c>
      <c r="B2692" s="320" t="s">
        <v>30467</v>
      </c>
      <c r="C2692" s="321">
        <v>128451</v>
      </c>
      <c r="D2692" s="390" t="s">
        <v>15248</v>
      </c>
      <c r="E2692" s="322">
        <v>26820.82</v>
      </c>
      <c r="F2692" s="323">
        <v>43000</v>
      </c>
      <c r="G2692" s="322">
        <v>26820.82</v>
      </c>
      <c r="H2692" s="322">
        <f t="shared" si="38"/>
        <v>0</v>
      </c>
      <c r="I2692" s="325" t="s">
        <v>15214</v>
      </c>
    </row>
    <row r="2693" spans="1:9" ht="15.75" x14ac:dyDescent="0.25">
      <c r="A2693" s="359">
        <v>43000</v>
      </c>
      <c r="B2693" s="326" t="s">
        <v>30468</v>
      </c>
      <c r="C2693" s="327">
        <v>128452</v>
      </c>
      <c r="D2693" s="345" t="s">
        <v>95</v>
      </c>
      <c r="E2693" s="328">
        <v>0</v>
      </c>
      <c r="F2693" s="346" t="s">
        <v>95</v>
      </c>
      <c r="G2693" s="328">
        <v>0</v>
      </c>
      <c r="H2693" s="347">
        <f t="shared" si="38"/>
        <v>0</v>
      </c>
      <c r="I2693" s="331" t="s">
        <v>95</v>
      </c>
    </row>
    <row r="2694" spans="1:9" x14ac:dyDescent="0.25">
      <c r="A2694" s="319">
        <v>43000</v>
      </c>
      <c r="B2694" s="320" t="s">
        <v>30469</v>
      </c>
      <c r="C2694" s="321">
        <v>128453</v>
      </c>
      <c r="D2694" s="390" t="s">
        <v>15298</v>
      </c>
      <c r="E2694" s="322">
        <v>12826.3</v>
      </c>
      <c r="F2694" s="323">
        <v>43004</v>
      </c>
      <c r="G2694" s="322">
        <v>12826.3</v>
      </c>
      <c r="H2694" s="322">
        <f t="shared" si="38"/>
        <v>0</v>
      </c>
      <c r="I2694" s="325" t="s">
        <v>15214</v>
      </c>
    </row>
    <row r="2695" spans="1:9" x14ac:dyDescent="0.25">
      <c r="A2695" s="359">
        <v>43000</v>
      </c>
      <c r="B2695" s="326" t="s">
        <v>30470</v>
      </c>
      <c r="C2695" s="327">
        <v>128454</v>
      </c>
      <c r="D2695" s="391" t="s">
        <v>15396</v>
      </c>
      <c r="E2695" s="328">
        <v>5157.3999999999996</v>
      </c>
      <c r="F2695" s="329">
        <v>43000</v>
      </c>
      <c r="G2695" s="328">
        <v>5157.3999999999996</v>
      </c>
      <c r="H2695" s="347">
        <f t="shared" si="38"/>
        <v>0</v>
      </c>
      <c r="I2695" s="331" t="s">
        <v>15214</v>
      </c>
    </row>
    <row r="2696" spans="1:9" x14ac:dyDescent="0.25">
      <c r="A2696" s="319">
        <v>43000</v>
      </c>
      <c r="B2696" s="320" t="s">
        <v>30471</v>
      </c>
      <c r="C2696" s="321">
        <v>128455</v>
      </c>
      <c r="D2696" s="390" t="s">
        <v>16383</v>
      </c>
      <c r="E2696" s="322">
        <v>10031</v>
      </c>
      <c r="F2696" s="323">
        <v>43000</v>
      </c>
      <c r="G2696" s="322">
        <v>10031</v>
      </c>
      <c r="H2696" s="322">
        <f t="shared" si="38"/>
        <v>0</v>
      </c>
      <c r="I2696" s="325" t="s">
        <v>15214</v>
      </c>
    </row>
    <row r="2697" spans="1:9" x14ac:dyDescent="0.25">
      <c r="A2697" s="359">
        <v>43000</v>
      </c>
      <c r="B2697" s="326" t="s">
        <v>30472</v>
      </c>
      <c r="C2697" s="327">
        <v>128456</v>
      </c>
      <c r="D2697" s="391" t="s">
        <v>15223</v>
      </c>
      <c r="E2697" s="328">
        <v>65325.599999999999</v>
      </c>
      <c r="F2697" s="329">
        <v>43020</v>
      </c>
      <c r="G2697" s="328">
        <v>65325.599999999999</v>
      </c>
      <c r="H2697" s="347">
        <f t="shared" si="38"/>
        <v>0</v>
      </c>
      <c r="I2697" s="331" t="s">
        <v>15214</v>
      </c>
    </row>
    <row r="2698" spans="1:9" x14ac:dyDescent="0.25">
      <c r="A2698" s="319">
        <v>43000</v>
      </c>
      <c r="B2698" s="320" t="s">
        <v>30473</v>
      </c>
      <c r="C2698" s="321">
        <v>128457</v>
      </c>
      <c r="D2698" s="390" t="s">
        <v>15315</v>
      </c>
      <c r="E2698" s="322">
        <v>1844.6</v>
      </c>
      <c r="F2698" s="323">
        <v>43000</v>
      </c>
      <c r="G2698" s="322">
        <v>1844.6</v>
      </c>
      <c r="H2698" s="322">
        <f t="shared" si="38"/>
        <v>0</v>
      </c>
      <c r="I2698" s="325" t="s">
        <v>15214</v>
      </c>
    </row>
    <row r="2699" spans="1:9" x14ac:dyDescent="0.25">
      <c r="A2699" s="359">
        <v>43000</v>
      </c>
      <c r="B2699" s="326" t="s">
        <v>30474</v>
      </c>
      <c r="C2699" s="327">
        <v>128458</v>
      </c>
      <c r="D2699" s="391" t="s">
        <v>15246</v>
      </c>
      <c r="E2699" s="328">
        <v>37071.1</v>
      </c>
      <c r="F2699" s="329">
        <v>43003</v>
      </c>
      <c r="G2699" s="328">
        <v>37071.1</v>
      </c>
      <c r="H2699" s="347">
        <f t="shared" si="38"/>
        <v>0</v>
      </c>
      <c r="I2699" s="331" t="s">
        <v>15214</v>
      </c>
    </row>
    <row r="2700" spans="1:9" x14ac:dyDescent="0.25">
      <c r="A2700" s="319">
        <v>43000</v>
      </c>
      <c r="B2700" s="320" t="s">
        <v>30475</v>
      </c>
      <c r="C2700" s="321">
        <v>128459</v>
      </c>
      <c r="D2700" s="390" t="s">
        <v>15280</v>
      </c>
      <c r="E2700" s="322">
        <v>6565.7</v>
      </c>
      <c r="F2700" s="323">
        <v>43000</v>
      </c>
      <c r="G2700" s="322">
        <v>6565.7</v>
      </c>
      <c r="H2700" s="322">
        <f t="shared" si="38"/>
        <v>0</v>
      </c>
      <c r="I2700" s="325" t="s">
        <v>15214</v>
      </c>
    </row>
    <row r="2701" spans="1:9" x14ac:dyDescent="0.25">
      <c r="A2701" s="359">
        <v>43000</v>
      </c>
      <c r="B2701" s="326" t="s">
        <v>30476</v>
      </c>
      <c r="C2701" s="327">
        <v>128460</v>
      </c>
      <c r="D2701" s="391" t="s">
        <v>15280</v>
      </c>
      <c r="E2701" s="328">
        <v>210</v>
      </c>
      <c r="F2701" s="329">
        <v>43000</v>
      </c>
      <c r="G2701" s="328">
        <v>210</v>
      </c>
      <c r="H2701" s="347">
        <f t="shared" si="38"/>
        <v>0</v>
      </c>
      <c r="I2701" s="331" t="s">
        <v>15214</v>
      </c>
    </row>
    <row r="2702" spans="1:9" x14ac:dyDescent="0.25">
      <c r="A2702" s="319">
        <v>43000</v>
      </c>
      <c r="B2702" s="320" t="s">
        <v>30477</v>
      </c>
      <c r="C2702" s="321">
        <v>128461</v>
      </c>
      <c r="D2702" s="390" t="s">
        <v>15810</v>
      </c>
      <c r="E2702" s="322">
        <v>1032.0999999999999</v>
      </c>
      <c r="F2702" s="323">
        <v>43000</v>
      </c>
      <c r="G2702" s="322">
        <v>1032.0999999999999</v>
      </c>
      <c r="H2702" s="322">
        <f t="shared" si="38"/>
        <v>0</v>
      </c>
      <c r="I2702" s="325" t="s">
        <v>15214</v>
      </c>
    </row>
    <row r="2703" spans="1:9" ht="15.75" x14ac:dyDescent="0.25">
      <c r="A2703" s="359">
        <v>43000</v>
      </c>
      <c r="B2703" s="326" t="s">
        <v>30478</v>
      </c>
      <c r="C2703" s="327">
        <v>128462</v>
      </c>
      <c r="D2703" s="345" t="s">
        <v>95</v>
      </c>
      <c r="E2703" s="328">
        <v>0</v>
      </c>
      <c r="F2703" s="346" t="s">
        <v>95</v>
      </c>
      <c r="G2703" s="328">
        <v>0</v>
      </c>
      <c r="H2703" s="347">
        <f t="shared" si="38"/>
        <v>0</v>
      </c>
      <c r="I2703" s="331" t="s">
        <v>95</v>
      </c>
    </row>
    <row r="2704" spans="1:9" x14ac:dyDescent="0.25">
      <c r="A2704" s="319">
        <v>43000</v>
      </c>
      <c r="B2704" s="320" t="s">
        <v>30479</v>
      </c>
      <c r="C2704" s="321">
        <v>128463</v>
      </c>
      <c r="D2704" s="390" t="s">
        <v>15244</v>
      </c>
      <c r="E2704" s="322">
        <v>8564.2000000000007</v>
      </c>
      <c r="F2704" s="323">
        <v>43002</v>
      </c>
      <c r="G2704" s="322">
        <v>8564.2000000000007</v>
      </c>
      <c r="H2704" s="322">
        <f t="shared" si="38"/>
        <v>0</v>
      </c>
      <c r="I2704" s="325" t="s">
        <v>15214</v>
      </c>
    </row>
    <row r="2705" spans="1:9" x14ac:dyDescent="0.25">
      <c r="A2705" s="359">
        <v>43000</v>
      </c>
      <c r="B2705" s="326" t="s">
        <v>30480</v>
      </c>
      <c r="C2705" s="327">
        <v>128464</v>
      </c>
      <c r="D2705" s="391" t="s">
        <v>15263</v>
      </c>
      <c r="E2705" s="328">
        <v>3183.8</v>
      </c>
      <c r="F2705" s="329">
        <v>43000</v>
      </c>
      <c r="G2705" s="328">
        <v>3183.8</v>
      </c>
      <c r="H2705" s="347">
        <f t="shared" si="38"/>
        <v>0</v>
      </c>
      <c r="I2705" s="331" t="s">
        <v>15214</v>
      </c>
    </row>
    <row r="2706" spans="1:9" x14ac:dyDescent="0.25">
      <c r="A2706" s="319">
        <v>43000</v>
      </c>
      <c r="B2706" s="320" t="s">
        <v>30481</v>
      </c>
      <c r="C2706" s="321">
        <v>128465</v>
      </c>
      <c r="D2706" s="390" t="s">
        <v>15549</v>
      </c>
      <c r="E2706" s="322">
        <v>9267.2000000000007</v>
      </c>
      <c r="F2706" s="323">
        <v>43000</v>
      </c>
      <c r="G2706" s="322">
        <v>9267.2000000000007</v>
      </c>
      <c r="H2706" s="322">
        <f t="shared" si="38"/>
        <v>0</v>
      </c>
      <c r="I2706" s="325" t="s">
        <v>15214</v>
      </c>
    </row>
    <row r="2707" spans="1:9" x14ac:dyDescent="0.25">
      <c r="A2707" s="359">
        <v>43000</v>
      </c>
      <c r="B2707" s="326" t="s">
        <v>30482</v>
      </c>
      <c r="C2707" s="327">
        <v>128466</v>
      </c>
      <c r="D2707" s="391" t="s">
        <v>23937</v>
      </c>
      <c r="E2707" s="328">
        <v>4091.4</v>
      </c>
      <c r="F2707" s="329">
        <v>43003</v>
      </c>
      <c r="G2707" s="328">
        <v>4091.4</v>
      </c>
      <c r="H2707" s="347">
        <f t="shared" si="38"/>
        <v>0</v>
      </c>
      <c r="I2707" s="331" t="s">
        <v>15214</v>
      </c>
    </row>
    <row r="2708" spans="1:9" x14ac:dyDescent="0.25">
      <c r="A2708" s="319">
        <v>43000</v>
      </c>
      <c r="B2708" s="320" t="s">
        <v>30483</v>
      </c>
      <c r="C2708" s="321">
        <v>128467</v>
      </c>
      <c r="D2708" s="390" t="s">
        <v>15367</v>
      </c>
      <c r="E2708" s="322">
        <v>6000</v>
      </c>
      <c r="F2708" s="323">
        <v>43001</v>
      </c>
      <c r="G2708" s="322">
        <v>6000</v>
      </c>
      <c r="H2708" s="322">
        <f t="shared" si="38"/>
        <v>0</v>
      </c>
      <c r="I2708" s="325" t="s">
        <v>15214</v>
      </c>
    </row>
    <row r="2709" spans="1:9" ht="45" x14ac:dyDescent="0.25">
      <c r="A2709" s="359">
        <v>43000</v>
      </c>
      <c r="B2709" s="326" t="s">
        <v>30484</v>
      </c>
      <c r="C2709" s="327">
        <v>128468</v>
      </c>
      <c r="D2709" s="391" t="s">
        <v>15373</v>
      </c>
      <c r="E2709" s="328">
        <v>17945.599999999999</v>
      </c>
      <c r="F2709" s="329" t="s">
        <v>30485</v>
      </c>
      <c r="G2709" s="347">
        <f>3110+14000+835.6</f>
        <v>17945.599999999999</v>
      </c>
      <c r="H2709" s="347">
        <f t="shared" si="38"/>
        <v>0</v>
      </c>
      <c r="I2709" s="331" t="s">
        <v>15214</v>
      </c>
    </row>
    <row r="2710" spans="1:9" x14ac:dyDescent="0.25">
      <c r="A2710" s="319">
        <v>43000</v>
      </c>
      <c r="B2710" s="320" t="s">
        <v>30486</v>
      </c>
      <c r="C2710" s="321">
        <v>128469</v>
      </c>
      <c r="D2710" s="390" t="s">
        <v>15340</v>
      </c>
      <c r="E2710" s="322">
        <v>7279.4</v>
      </c>
      <c r="F2710" s="323">
        <v>43000</v>
      </c>
      <c r="G2710" s="322">
        <v>7279.4</v>
      </c>
      <c r="H2710" s="322">
        <f t="shared" si="38"/>
        <v>0</v>
      </c>
      <c r="I2710" s="325" t="s">
        <v>15214</v>
      </c>
    </row>
    <row r="2711" spans="1:9" x14ac:dyDescent="0.25">
      <c r="A2711" s="359">
        <v>43000</v>
      </c>
      <c r="B2711" s="326" t="s">
        <v>30487</v>
      </c>
      <c r="C2711" s="327">
        <v>128470</v>
      </c>
      <c r="D2711" s="391" t="s">
        <v>15254</v>
      </c>
      <c r="E2711" s="328">
        <v>12364.4</v>
      </c>
      <c r="F2711" s="329">
        <v>43003</v>
      </c>
      <c r="G2711" s="328">
        <v>12364.4</v>
      </c>
      <c r="H2711" s="347">
        <f t="shared" si="38"/>
        <v>0</v>
      </c>
      <c r="I2711" s="331" t="s">
        <v>15214</v>
      </c>
    </row>
    <row r="2712" spans="1:9" x14ac:dyDescent="0.25">
      <c r="A2712" s="319">
        <v>43000</v>
      </c>
      <c r="B2712" s="320" t="s">
        <v>30488</v>
      </c>
      <c r="C2712" s="321">
        <v>128471</v>
      </c>
      <c r="D2712" s="390" t="s">
        <v>15334</v>
      </c>
      <c r="E2712" s="322">
        <v>3528</v>
      </c>
      <c r="F2712" s="323">
        <v>43000</v>
      </c>
      <c r="G2712" s="322">
        <v>3528</v>
      </c>
      <c r="H2712" s="322">
        <f t="shared" si="38"/>
        <v>0</v>
      </c>
      <c r="I2712" s="325" t="s">
        <v>15214</v>
      </c>
    </row>
    <row r="2713" spans="1:9" x14ac:dyDescent="0.25">
      <c r="A2713" s="359">
        <v>43000</v>
      </c>
      <c r="B2713" s="326" t="s">
        <v>30489</v>
      </c>
      <c r="C2713" s="327">
        <v>128472</v>
      </c>
      <c r="D2713" s="391" t="s">
        <v>15326</v>
      </c>
      <c r="E2713" s="328">
        <v>14049.2</v>
      </c>
      <c r="F2713" s="329">
        <v>43000</v>
      </c>
      <c r="G2713" s="328">
        <v>14049.2</v>
      </c>
      <c r="H2713" s="347">
        <f t="shared" si="38"/>
        <v>0</v>
      </c>
      <c r="I2713" s="331" t="s">
        <v>15214</v>
      </c>
    </row>
    <row r="2714" spans="1:9" ht="30" x14ac:dyDescent="0.25">
      <c r="A2714" s="319">
        <v>43000</v>
      </c>
      <c r="B2714" s="320" t="s">
        <v>30490</v>
      </c>
      <c r="C2714" s="321">
        <v>128473</v>
      </c>
      <c r="D2714" s="390" t="s">
        <v>15394</v>
      </c>
      <c r="E2714" s="322">
        <v>21347.8</v>
      </c>
      <c r="F2714" s="323" t="s">
        <v>30491</v>
      </c>
      <c r="G2714" s="334">
        <f>16000+5347.8</f>
        <v>21347.8</v>
      </c>
      <c r="H2714" s="334">
        <f t="shared" si="38"/>
        <v>0</v>
      </c>
      <c r="I2714" s="325" t="s">
        <v>15214</v>
      </c>
    </row>
    <row r="2715" spans="1:9" x14ac:dyDescent="0.25">
      <c r="A2715" s="359">
        <v>43000</v>
      </c>
      <c r="B2715" s="326" t="s">
        <v>30492</v>
      </c>
      <c r="C2715" s="327">
        <v>128474</v>
      </c>
      <c r="D2715" s="391" t="s">
        <v>15530</v>
      </c>
      <c r="E2715" s="328">
        <v>4034</v>
      </c>
      <c r="F2715" s="329">
        <v>43000</v>
      </c>
      <c r="G2715" s="328">
        <v>4034</v>
      </c>
      <c r="H2715" s="347">
        <f t="shared" si="38"/>
        <v>0</v>
      </c>
      <c r="I2715" s="331" t="s">
        <v>15214</v>
      </c>
    </row>
    <row r="2716" spans="1:9" x14ac:dyDescent="0.25">
      <c r="A2716" s="319">
        <v>43000</v>
      </c>
      <c r="B2716" s="320" t="s">
        <v>30493</v>
      </c>
      <c r="C2716" s="321">
        <v>128475</v>
      </c>
      <c r="D2716" s="390" t="s">
        <v>15523</v>
      </c>
      <c r="E2716" s="322">
        <v>2760</v>
      </c>
      <c r="F2716" s="323">
        <v>43000</v>
      </c>
      <c r="G2716" s="322">
        <v>2760</v>
      </c>
      <c r="H2716" s="322">
        <f t="shared" si="38"/>
        <v>0</v>
      </c>
      <c r="I2716" s="325" t="s">
        <v>15214</v>
      </c>
    </row>
    <row r="2717" spans="1:9" x14ac:dyDescent="0.25">
      <c r="A2717" s="359">
        <v>43000</v>
      </c>
      <c r="B2717" s="326" t="s">
        <v>30494</v>
      </c>
      <c r="C2717" s="327">
        <v>128476</v>
      </c>
      <c r="D2717" s="391" t="s">
        <v>15315</v>
      </c>
      <c r="E2717" s="328">
        <v>3712</v>
      </c>
      <c r="F2717" s="329">
        <v>43000</v>
      </c>
      <c r="G2717" s="328">
        <v>3712</v>
      </c>
      <c r="H2717" s="347">
        <f t="shared" si="38"/>
        <v>0</v>
      </c>
      <c r="I2717" s="331" t="s">
        <v>15214</v>
      </c>
    </row>
    <row r="2718" spans="1:9" x14ac:dyDescent="0.25">
      <c r="A2718" s="319">
        <v>43000</v>
      </c>
      <c r="B2718" s="320" t="s">
        <v>30495</v>
      </c>
      <c r="C2718" s="321">
        <v>128477</v>
      </c>
      <c r="D2718" s="390" t="s">
        <v>15858</v>
      </c>
      <c r="E2718" s="322">
        <v>385</v>
      </c>
      <c r="F2718" s="323">
        <v>43000</v>
      </c>
      <c r="G2718" s="322">
        <v>385</v>
      </c>
      <c r="H2718" s="322">
        <f t="shared" si="38"/>
        <v>0</v>
      </c>
      <c r="I2718" s="325" t="s">
        <v>15214</v>
      </c>
    </row>
    <row r="2719" spans="1:9" x14ac:dyDescent="0.25">
      <c r="A2719" s="359">
        <v>43000</v>
      </c>
      <c r="B2719" s="326" t="s">
        <v>30496</v>
      </c>
      <c r="C2719" s="327">
        <v>128478</v>
      </c>
      <c r="D2719" s="391" t="s">
        <v>16171</v>
      </c>
      <c r="E2719" s="328">
        <v>1171.32</v>
      </c>
      <c r="F2719" s="329">
        <v>43000</v>
      </c>
      <c r="G2719" s="328">
        <v>1171.32</v>
      </c>
      <c r="H2719" s="347">
        <f t="shared" si="38"/>
        <v>0</v>
      </c>
      <c r="I2719" s="331" t="s">
        <v>15214</v>
      </c>
    </row>
    <row r="2720" spans="1:9" x14ac:dyDescent="0.25">
      <c r="A2720" s="319">
        <v>43000</v>
      </c>
      <c r="B2720" s="320" t="s">
        <v>30497</v>
      </c>
      <c r="C2720" s="321">
        <v>128479</v>
      </c>
      <c r="D2720" s="390" t="s">
        <v>15326</v>
      </c>
      <c r="E2720" s="322">
        <v>2565</v>
      </c>
      <c r="F2720" s="323">
        <v>43000</v>
      </c>
      <c r="G2720" s="322">
        <v>2565</v>
      </c>
      <c r="H2720" s="322">
        <f t="shared" si="38"/>
        <v>0</v>
      </c>
      <c r="I2720" s="325" t="s">
        <v>15214</v>
      </c>
    </row>
    <row r="2721" spans="1:9" x14ac:dyDescent="0.25">
      <c r="A2721" s="359">
        <v>43000</v>
      </c>
      <c r="B2721" s="326" t="s">
        <v>30498</v>
      </c>
      <c r="C2721" s="327">
        <v>128480</v>
      </c>
      <c r="D2721" s="391" t="s">
        <v>15354</v>
      </c>
      <c r="E2721" s="328">
        <v>6824.8</v>
      </c>
      <c r="F2721" s="329">
        <v>43000</v>
      </c>
      <c r="G2721" s="328">
        <v>6824.8</v>
      </c>
      <c r="H2721" s="347">
        <f t="shared" si="38"/>
        <v>0</v>
      </c>
      <c r="I2721" s="331" t="s">
        <v>15214</v>
      </c>
    </row>
    <row r="2722" spans="1:9" x14ac:dyDescent="0.25">
      <c r="A2722" s="319">
        <v>43000</v>
      </c>
      <c r="B2722" s="320" t="s">
        <v>30499</v>
      </c>
      <c r="C2722" s="321">
        <v>128481</v>
      </c>
      <c r="D2722" s="390" t="s">
        <v>15530</v>
      </c>
      <c r="E2722" s="322">
        <v>469.2</v>
      </c>
      <c r="F2722" s="323">
        <v>43000</v>
      </c>
      <c r="G2722" s="322">
        <v>469.2</v>
      </c>
      <c r="H2722" s="322">
        <f t="shared" si="38"/>
        <v>0</v>
      </c>
      <c r="I2722" s="325" t="s">
        <v>15214</v>
      </c>
    </row>
    <row r="2723" spans="1:9" x14ac:dyDescent="0.25">
      <c r="A2723" s="359">
        <v>43000</v>
      </c>
      <c r="B2723" s="326" t="s">
        <v>30500</v>
      </c>
      <c r="C2723" s="327">
        <v>128482</v>
      </c>
      <c r="D2723" s="391" t="s">
        <v>15369</v>
      </c>
      <c r="E2723" s="328">
        <v>29923.9</v>
      </c>
      <c r="F2723" s="329">
        <v>43014</v>
      </c>
      <c r="G2723" s="328">
        <v>29923.9</v>
      </c>
      <c r="H2723" s="347">
        <f t="shared" si="38"/>
        <v>0</v>
      </c>
      <c r="I2723" s="331" t="s">
        <v>15214</v>
      </c>
    </row>
    <row r="2724" spans="1:9" x14ac:dyDescent="0.25">
      <c r="A2724" s="319">
        <v>43000</v>
      </c>
      <c r="B2724" s="320" t="s">
        <v>30501</v>
      </c>
      <c r="C2724" s="321">
        <v>128483</v>
      </c>
      <c r="D2724" s="390" t="s">
        <v>15336</v>
      </c>
      <c r="E2724" s="322">
        <v>5947.8</v>
      </c>
      <c r="F2724" s="323">
        <v>43000</v>
      </c>
      <c r="G2724" s="322">
        <v>5947.8</v>
      </c>
      <c r="H2724" s="322">
        <f t="shared" si="38"/>
        <v>0</v>
      </c>
      <c r="I2724" s="325" t="s">
        <v>15214</v>
      </c>
    </row>
    <row r="2725" spans="1:9" x14ac:dyDescent="0.25">
      <c r="A2725" s="359">
        <v>43000</v>
      </c>
      <c r="B2725" s="326" t="s">
        <v>30502</v>
      </c>
      <c r="C2725" s="327">
        <v>128484</v>
      </c>
      <c r="D2725" s="391" t="s">
        <v>15380</v>
      </c>
      <c r="E2725" s="328">
        <v>20602</v>
      </c>
      <c r="F2725" s="329">
        <v>43014</v>
      </c>
      <c r="G2725" s="328">
        <v>20602</v>
      </c>
      <c r="H2725" s="347">
        <f t="shared" si="38"/>
        <v>0</v>
      </c>
      <c r="I2725" s="331" t="s">
        <v>15214</v>
      </c>
    </row>
    <row r="2726" spans="1:9" x14ac:dyDescent="0.25">
      <c r="A2726" s="319">
        <v>43000</v>
      </c>
      <c r="B2726" s="320" t="s">
        <v>30503</v>
      </c>
      <c r="C2726" s="321">
        <v>128485</v>
      </c>
      <c r="D2726" s="390" t="s">
        <v>15358</v>
      </c>
      <c r="E2726" s="322">
        <v>2764.6</v>
      </c>
      <c r="F2726" s="323">
        <v>43000</v>
      </c>
      <c r="G2726" s="322">
        <v>2764.6</v>
      </c>
      <c r="H2726" s="322">
        <f t="shared" si="38"/>
        <v>0</v>
      </c>
      <c r="I2726" s="325" t="s">
        <v>15214</v>
      </c>
    </row>
    <row r="2727" spans="1:9" x14ac:dyDescent="0.25">
      <c r="A2727" s="359">
        <v>43000</v>
      </c>
      <c r="B2727" s="326" t="s">
        <v>30504</v>
      </c>
      <c r="C2727" s="327">
        <v>128486</v>
      </c>
      <c r="D2727" s="391" t="s">
        <v>15389</v>
      </c>
      <c r="E2727" s="328">
        <v>18753.2</v>
      </c>
      <c r="F2727" s="329">
        <v>43014</v>
      </c>
      <c r="G2727" s="328">
        <v>18753.2</v>
      </c>
      <c r="H2727" s="347">
        <f t="shared" si="38"/>
        <v>0</v>
      </c>
      <c r="I2727" s="331" t="s">
        <v>15214</v>
      </c>
    </row>
    <row r="2728" spans="1:9" x14ac:dyDescent="0.25">
      <c r="A2728" s="319">
        <v>43000</v>
      </c>
      <c r="B2728" s="320" t="s">
        <v>30505</v>
      </c>
      <c r="C2728" s="321">
        <v>128487</v>
      </c>
      <c r="D2728" s="390" t="s">
        <v>15278</v>
      </c>
      <c r="E2728" s="322">
        <v>8089.8</v>
      </c>
      <c r="F2728" s="323">
        <v>43000</v>
      </c>
      <c r="G2728" s="322">
        <v>8089.8</v>
      </c>
      <c r="H2728" s="322">
        <f t="shared" si="38"/>
        <v>0</v>
      </c>
      <c r="I2728" s="325" t="s">
        <v>15214</v>
      </c>
    </row>
    <row r="2729" spans="1:9" x14ac:dyDescent="0.25">
      <c r="A2729" s="359">
        <v>43000</v>
      </c>
      <c r="B2729" s="326" t="s">
        <v>30506</v>
      </c>
      <c r="C2729" s="327">
        <v>128488</v>
      </c>
      <c r="D2729" s="391" t="s">
        <v>15706</v>
      </c>
      <c r="E2729" s="328">
        <v>3055</v>
      </c>
      <c r="F2729" s="329">
        <v>43000</v>
      </c>
      <c r="G2729" s="328">
        <v>3055</v>
      </c>
      <c r="H2729" s="347">
        <f t="shared" si="38"/>
        <v>0</v>
      </c>
      <c r="I2729" s="331" t="s">
        <v>15214</v>
      </c>
    </row>
    <row r="2730" spans="1:9" x14ac:dyDescent="0.25">
      <c r="A2730" s="319">
        <v>43000</v>
      </c>
      <c r="B2730" s="320" t="s">
        <v>30507</v>
      </c>
      <c r="C2730" s="321">
        <v>128489</v>
      </c>
      <c r="D2730" s="390" t="s">
        <v>15315</v>
      </c>
      <c r="E2730" s="322">
        <v>2711.9</v>
      </c>
      <c r="F2730" s="323">
        <v>43000</v>
      </c>
      <c r="G2730" s="322">
        <v>2711.9</v>
      </c>
      <c r="H2730" s="322">
        <f t="shared" si="38"/>
        <v>0</v>
      </c>
      <c r="I2730" s="325" t="s">
        <v>15214</v>
      </c>
    </row>
    <row r="2731" spans="1:9" x14ac:dyDescent="0.25">
      <c r="A2731" s="359">
        <v>43000</v>
      </c>
      <c r="B2731" s="326" t="s">
        <v>30508</v>
      </c>
      <c r="C2731" s="327">
        <v>128490</v>
      </c>
      <c r="D2731" s="391" t="s">
        <v>15382</v>
      </c>
      <c r="E2731" s="328">
        <v>11291.8</v>
      </c>
      <c r="F2731" s="329">
        <v>43014</v>
      </c>
      <c r="G2731" s="328">
        <v>11291.8</v>
      </c>
      <c r="H2731" s="347">
        <f t="shared" si="38"/>
        <v>0</v>
      </c>
      <c r="I2731" s="331" t="s">
        <v>15214</v>
      </c>
    </row>
    <row r="2732" spans="1:9" x14ac:dyDescent="0.25">
      <c r="A2732" s="319">
        <v>43000</v>
      </c>
      <c r="B2732" s="320" t="s">
        <v>30509</v>
      </c>
      <c r="C2732" s="321">
        <v>128491</v>
      </c>
      <c r="D2732" s="390" t="s">
        <v>15526</v>
      </c>
      <c r="E2732" s="322">
        <v>4041.6</v>
      </c>
      <c r="F2732" s="323">
        <v>43000</v>
      </c>
      <c r="G2732" s="322">
        <v>4041.6</v>
      </c>
      <c r="H2732" s="322">
        <f t="shared" si="38"/>
        <v>0</v>
      </c>
      <c r="I2732" s="325" t="s">
        <v>15214</v>
      </c>
    </row>
    <row r="2733" spans="1:9" x14ac:dyDescent="0.25">
      <c r="A2733" s="359">
        <v>43000</v>
      </c>
      <c r="B2733" s="326" t="s">
        <v>30510</v>
      </c>
      <c r="C2733" s="327">
        <v>128492</v>
      </c>
      <c r="D2733" s="391" t="s">
        <v>15344</v>
      </c>
      <c r="E2733" s="328">
        <v>1838.4</v>
      </c>
      <c r="F2733" s="329">
        <v>43000</v>
      </c>
      <c r="G2733" s="328">
        <v>1838.4</v>
      </c>
      <c r="H2733" s="347">
        <f t="shared" si="38"/>
        <v>0</v>
      </c>
      <c r="I2733" s="331" t="s">
        <v>15214</v>
      </c>
    </row>
    <row r="2734" spans="1:9" x14ac:dyDescent="0.25">
      <c r="A2734" s="319">
        <v>43000</v>
      </c>
      <c r="B2734" s="320" t="s">
        <v>30511</v>
      </c>
      <c r="C2734" s="321">
        <v>128493</v>
      </c>
      <c r="D2734" s="390" t="s">
        <v>17210</v>
      </c>
      <c r="E2734" s="322">
        <v>5160</v>
      </c>
      <c r="F2734" s="323">
        <v>43000</v>
      </c>
      <c r="G2734" s="322">
        <v>5160</v>
      </c>
      <c r="H2734" s="322">
        <f t="shared" si="38"/>
        <v>0</v>
      </c>
      <c r="I2734" s="325" t="s">
        <v>15214</v>
      </c>
    </row>
    <row r="2735" spans="1:9" x14ac:dyDescent="0.25">
      <c r="A2735" s="359">
        <v>43000</v>
      </c>
      <c r="B2735" s="326" t="s">
        <v>30512</v>
      </c>
      <c r="C2735" s="327">
        <v>128494</v>
      </c>
      <c r="D2735" s="391" t="s">
        <v>15328</v>
      </c>
      <c r="E2735" s="328">
        <v>1833.2</v>
      </c>
      <c r="F2735" s="329">
        <v>43008</v>
      </c>
      <c r="G2735" s="328">
        <v>1833.2</v>
      </c>
      <c r="H2735" s="347">
        <f t="shared" si="38"/>
        <v>0</v>
      </c>
      <c r="I2735" s="331" t="s">
        <v>15214</v>
      </c>
    </row>
    <row r="2736" spans="1:9" x14ac:dyDescent="0.25">
      <c r="A2736" s="319">
        <v>43000</v>
      </c>
      <c r="B2736" s="320" t="s">
        <v>30513</v>
      </c>
      <c r="C2736" s="321">
        <v>128495</v>
      </c>
      <c r="D2736" s="390" t="s">
        <v>15348</v>
      </c>
      <c r="E2736" s="322">
        <v>122.4</v>
      </c>
      <c r="F2736" s="323">
        <v>43000</v>
      </c>
      <c r="G2736" s="322">
        <v>122.4</v>
      </c>
      <c r="H2736" s="322">
        <f t="shared" si="38"/>
        <v>0</v>
      </c>
      <c r="I2736" s="325" t="s">
        <v>15214</v>
      </c>
    </row>
    <row r="2737" spans="1:9" x14ac:dyDescent="0.25">
      <c r="A2737" s="359">
        <v>43000</v>
      </c>
      <c r="B2737" s="326" t="s">
        <v>30514</v>
      </c>
      <c r="C2737" s="327">
        <v>128496</v>
      </c>
      <c r="D2737" s="391" t="s">
        <v>17057</v>
      </c>
      <c r="E2737" s="328">
        <v>3034.4</v>
      </c>
      <c r="F2737" s="329">
        <v>43000</v>
      </c>
      <c r="G2737" s="328">
        <v>3034.4</v>
      </c>
      <c r="H2737" s="347">
        <f t="shared" ref="H2737:H2800" si="39">E2737-G2737</f>
        <v>0</v>
      </c>
      <c r="I2737" s="331" t="s">
        <v>15214</v>
      </c>
    </row>
    <row r="2738" spans="1:9" x14ac:dyDescent="0.25">
      <c r="A2738" s="319">
        <v>43000</v>
      </c>
      <c r="B2738" s="320" t="s">
        <v>30515</v>
      </c>
      <c r="C2738" s="321">
        <v>128497</v>
      </c>
      <c r="D2738" s="390" t="s">
        <v>15272</v>
      </c>
      <c r="E2738" s="322">
        <v>5933.2</v>
      </c>
      <c r="F2738" s="323">
        <v>43000</v>
      </c>
      <c r="G2738" s="322">
        <v>5933.2</v>
      </c>
      <c r="H2738" s="322">
        <f t="shared" si="39"/>
        <v>0</v>
      </c>
      <c r="I2738" s="325" t="s">
        <v>15214</v>
      </c>
    </row>
    <row r="2739" spans="1:9" x14ac:dyDescent="0.25">
      <c r="A2739" s="359">
        <v>43000</v>
      </c>
      <c r="B2739" s="326" t="s">
        <v>30516</v>
      </c>
      <c r="C2739" s="327">
        <v>128498</v>
      </c>
      <c r="D2739" s="391" t="s">
        <v>15315</v>
      </c>
      <c r="E2739" s="328">
        <v>280</v>
      </c>
      <c r="F2739" s="329">
        <v>43000</v>
      </c>
      <c r="G2739" s="328">
        <v>280</v>
      </c>
      <c r="H2739" s="347">
        <f t="shared" si="39"/>
        <v>0</v>
      </c>
      <c r="I2739" s="331" t="s">
        <v>15214</v>
      </c>
    </row>
    <row r="2740" spans="1:9" x14ac:dyDescent="0.25">
      <c r="A2740" s="319">
        <v>43000</v>
      </c>
      <c r="B2740" s="320" t="s">
        <v>30517</v>
      </c>
      <c r="C2740" s="321">
        <v>128499</v>
      </c>
      <c r="D2740" s="390" t="s">
        <v>30518</v>
      </c>
      <c r="E2740" s="322">
        <v>345.6</v>
      </c>
      <c r="F2740" s="323">
        <v>43001</v>
      </c>
      <c r="G2740" s="322">
        <v>345.6</v>
      </c>
      <c r="H2740" s="322">
        <f t="shared" si="39"/>
        <v>0</v>
      </c>
      <c r="I2740" s="325" t="s">
        <v>15214</v>
      </c>
    </row>
    <row r="2741" spans="1:9" x14ac:dyDescent="0.25">
      <c r="A2741" s="359">
        <v>43000</v>
      </c>
      <c r="B2741" s="326" t="s">
        <v>30519</v>
      </c>
      <c r="C2741" s="327">
        <v>128500</v>
      </c>
      <c r="D2741" s="391" t="s">
        <v>15415</v>
      </c>
      <c r="E2741" s="328">
        <v>439.2</v>
      </c>
      <c r="F2741" s="329">
        <v>43001</v>
      </c>
      <c r="G2741" s="328">
        <v>439.2</v>
      </c>
      <c r="H2741" s="347">
        <f t="shared" si="39"/>
        <v>0</v>
      </c>
      <c r="I2741" s="331" t="s">
        <v>15214</v>
      </c>
    </row>
    <row r="2742" spans="1:9" x14ac:dyDescent="0.25">
      <c r="A2742" s="319">
        <v>43000</v>
      </c>
      <c r="B2742" s="320" t="s">
        <v>30520</v>
      </c>
      <c r="C2742" s="321">
        <v>128501</v>
      </c>
      <c r="D2742" s="390" t="s">
        <v>15291</v>
      </c>
      <c r="E2742" s="322">
        <v>1150</v>
      </c>
      <c r="F2742" s="323">
        <v>43001</v>
      </c>
      <c r="G2742" s="322">
        <v>1150</v>
      </c>
      <c r="H2742" s="322">
        <f t="shared" si="39"/>
        <v>0</v>
      </c>
      <c r="I2742" s="325" t="s">
        <v>15214</v>
      </c>
    </row>
    <row r="2743" spans="1:9" x14ac:dyDescent="0.25">
      <c r="A2743" s="359">
        <v>43000</v>
      </c>
      <c r="B2743" s="326" t="s">
        <v>30521</v>
      </c>
      <c r="C2743" s="327">
        <v>128502</v>
      </c>
      <c r="D2743" s="391" t="s">
        <v>15276</v>
      </c>
      <c r="E2743" s="328">
        <v>3220</v>
      </c>
      <c r="F2743" s="329">
        <v>43001</v>
      </c>
      <c r="G2743" s="328">
        <v>3220</v>
      </c>
      <c r="H2743" s="347">
        <f t="shared" si="39"/>
        <v>0</v>
      </c>
      <c r="I2743" s="331" t="s">
        <v>15214</v>
      </c>
    </row>
    <row r="2744" spans="1:9" x14ac:dyDescent="0.25">
      <c r="A2744" s="319">
        <v>43000</v>
      </c>
      <c r="B2744" s="320" t="s">
        <v>30522</v>
      </c>
      <c r="C2744" s="321">
        <v>128503</v>
      </c>
      <c r="D2744" s="390" t="s">
        <v>29500</v>
      </c>
      <c r="E2744" s="322">
        <v>3220</v>
      </c>
      <c r="F2744" s="323">
        <v>43001</v>
      </c>
      <c r="G2744" s="322">
        <v>3220</v>
      </c>
      <c r="H2744" s="322">
        <f t="shared" si="39"/>
        <v>0</v>
      </c>
      <c r="I2744" s="325" t="s">
        <v>15214</v>
      </c>
    </row>
    <row r="2745" spans="1:9" x14ac:dyDescent="0.25">
      <c r="A2745" s="359">
        <v>43000</v>
      </c>
      <c r="B2745" s="326" t="s">
        <v>30523</v>
      </c>
      <c r="C2745" s="327">
        <v>128504</v>
      </c>
      <c r="D2745" s="391" t="s">
        <v>15315</v>
      </c>
      <c r="E2745" s="328">
        <v>1393.8</v>
      </c>
      <c r="F2745" s="329">
        <v>43001</v>
      </c>
      <c r="G2745" s="328">
        <v>1393.8</v>
      </c>
      <c r="H2745" s="347">
        <f t="shared" si="39"/>
        <v>0</v>
      </c>
      <c r="I2745" s="331" t="s">
        <v>15214</v>
      </c>
    </row>
    <row r="2746" spans="1:9" x14ac:dyDescent="0.25">
      <c r="A2746" s="319">
        <v>43000</v>
      </c>
      <c r="B2746" s="320" t="s">
        <v>30524</v>
      </c>
      <c r="C2746" s="321">
        <v>128505</v>
      </c>
      <c r="D2746" s="390" t="s">
        <v>15317</v>
      </c>
      <c r="E2746" s="322">
        <v>1425</v>
      </c>
      <c r="F2746" s="323">
        <v>43003</v>
      </c>
      <c r="G2746" s="322">
        <v>1425</v>
      </c>
      <c r="H2746" s="322">
        <f t="shared" si="39"/>
        <v>0</v>
      </c>
      <c r="I2746" s="325" t="s">
        <v>15214</v>
      </c>
    </row>
    <row r="2747" spans="1:9" x14ac:dyDescent="0.25">
      <c r="A2747" s="359">
        <v>43000</v>
      </c>
      <c r="B2747" s="326" t="s">
        <v>30525</v>
      </c>
      <c r="C2747" s="327">
        <v>128506</v>
      </c>
      <c r="D2747" s="391" t="s">
        <v>15417</v>
      </c>
      <c r="E2747" s="328">
        <v>3588</v>
      </c>
      <c r="F2747" s="329">
        <v>43001</v>
      </c>
      <c r="G2747" s="328">
        <v>3588</v>
      </c>
      <c r="H2747" s="347">
        <f t="shared" si="39"/>
        <v>0</v>
      </c>
      <c r="I2747" s="331" t="s">
        <v>15214</v>
      </c>
    </row>
    <row r="2748" spans="1:9" x14ac:dyDescent="0.25">
      <c r="A2748" s="319">
        <v>43000</v>
      </c>
      <c r="B2748" s="320" t="s">
        <v>30526</v>
      </c>
      <c r="C2748" s="321">
        <v>128507</v>
      </c>
      <c r="D2748" s="390" t="s">
        <v>15782</v>
      </c>
      <c r="E2748" s="322">
        <v>1309.5</v>
      </c>
      <c r="F2748" s="323">
        <v>43001</v>
      </c>
      <c r="G2748" s="322">
        <v>1309.5</v>
      </c>
      <c r="H2748" s="322">
        <f t="shared" si="39"/>
        <v>0</v>
      </c>
      <c r="I2748" s="325" t="s">
        <v>15214</v>
      </c>
    </row>
    <row r="2749" spans="1:9" ht="15.75" x14ac:dyDescent="0.25">
      <c r="A2749" s="359">
        <v>43000</v>
      </c>
      <c r="B2749" s="326" t="s">
        <v>30527</v>
      </c>
      <c r="C2749" s="327">
        <v>128508</v>
      </c>
      <c r="D2749" s="345" t="s">
        <v>95</v>
      </c>
      <c r="E2749" s="328">
        <v>0</v>
      </c>
      <c r="F2749" s="346" t="s">
        <v>95</v>
      </c>
      <c r="G2749" s="328">
        <v>0</v>
      </c>
      <c r="H2749" s="347">
        <f t="shared" si="39"/>
        <v>0</v>
      </c>
      <c r="I2749" s="331" t="s">
        <v>95</v>
      </c>
    </row>
    <row r="2750" spans="1:9" x14ac:dyDescent="0.25">
      <c r="A2750" s="319">
        <v>43000</v>
      </c>
      <c r="B2750" s="320" t="s">
        <v>30528</v>
      </c>
      <c r="C2750" s="321">
        <v>128509</v>
      </c>
      <c r="D2750" s="390" t="s">
        <v>15309</v>
      </c>
      <c r="E2750" s="322">
        <v>13964.6</v>
      </c>
      <c r="F2750" s="323">
        <v>43001</v>
      </c>
      <c r="G2750" s="322">
        <v>13964.6</v>
      </c>
      <c r="H2750" s="322">
        <f t="shared" si="39"/>
        <v>0</v>
      </c>
      <c r="I2750" s="325" t="s">
        <v>15214</v>
      </c>
    </row>
    <row r="2751" spans="1:9" x14ac:dyDescent="0.25">
      <c r="A2751" s="359">
        <v>43000</v>
      </c>
      <c r="B2751" s="326" t="s">
        <v>30529</v>
      </c>
      <c r="C2751" s="327">
        <v>128510</v>
      </c>
      <c r="D2751" s="391" t="s">
        <v>15748</v>
      </c>
      <c r="E2751" s="328">
        <v>3087.62</v>
      </c>
      <c r="F2751" s="329">
        <v>43001</v>
      </c>
      <c r="G2751" s="328">
        <v>3087.62</v>
      </c>
      <c r="H2751" s="347">
        <f t="shared" si="39"/>
        <v>0</v>
      </c>
      <c r="I2751" s="331" t="s">
        <v>15214</v>
      </c>
    </row>
    <row r="2752" spans="1:9" x14ac:dyDescent="0.25">
      <c r="A2752" s="319">
        <v>43000</v>
      </c>
      <c r="B2752" s="320" t="s">
        <v>30530</v>
      </c>
      <c r="C2752" s="321">
        <v>128511</v>
      </c>
      <c r="D2752" s="390" t="s">
        <v>15284</v>
      </c>
      <c r="E2752" s="322">
        <v>1645.2</v>
      </c>
      <c r="F2752" s="323">
        <v>43000</v>
      </c>
      <c r="G2752" s="322">
        <v>1645.2</v>
      </c>
      <c r="H2752" s="322">
        <f t="shared" si="39"/>
        <v>0</v>
      </c>
      <c r="I2752" s="325" t="s">
        <v>15214</v>
      </c>
    </row>
    <row r="2753" spans="1:9" x14ac:dyDescent="0.25">
      <c r="A2753" s="359">
        <v>43000</v>
      </c>
      <c r="B2753" s="326" t="s">
        <v>30531</v>
      </c>
      <c r="C2753" s="327">
        <v>128512</v>
      </c>
      <c r="D2753" s="391" t="s">
        <v>15311</v>
      </c>
      <c r="E2753" s="328">
        <v>2757.6</v>
      </c>
      <c r="F2753" s="329">
        <v>43001</v>
      </c>
      <c r="G2753" s="328">
        <v>2757.6</v>
      </c>
      <c r="H2753" s="347">
        <f t="shared" si="39"/>
        <v>0</v>
      </c>
      <c r="I2753" s="331" t="s">
        <v>15214</v>
      </c>
    </row>
    <row r="2754" spans="1:9" x14ac:dyDescent="0.25">
      <c r="A2754" s="319">
        <v>43000</v>
      </c>
      <c r="B2754" s="320" t="s">
        <v>30532</v>
      </c>
      <c r="C2754" s="321">
        <v>128513</v>
      </c>
      <c r="D2754" s="390" t="s">
        <v>15553</v>
      </c>
      <c r="E2754" s="322">
        <v>1339.62</v>
      </c>
      <c r="F2754" s="323">
        <v>43000</v>
      </c>
      <c r="G2754" s="322">
        <v>1339.62</v>
      </c>
      <c r="H2754" s="322">
        <f t="shared" si="39"/>
        <v>0</v>
      </c>
      <c r="I2754" s="325" t="s">
        <v>15214</v>
      </c>
    </row>
    <row r="2755" spans="1:9" x14ac:dyDescent="0.25">
      <c r="A2755" s="359">
        <v>43000</v>
      </c>
      <c r="B2755" s="326" t="s">
        <v>30533</v>
      </c>
      <c r="C2755" s="327">
        <v>128514</v>
      </c>
      <c r="D2755" s="391" t="s">
        <v>30255</v>
      </c>
      <c r="E2755" s="328">
        <v>6894.3</v>
      </c>
      <c r="F2755" s="329">
        <v>43001</v>
      </c>
      <c r="G2755" s="328">
        <v>6894.3</v>
      </c>
      <c r="H2755" s="347">
        <f t="shared" si="39"/>
        <v>0</v>
      </c>
      <c r="I2755" s="331" t="s">
        <v>15214</v>
      </c>
    </row>
    <row r="2756" spans="1:9" x14ac:dyDescent="0.25">
      <c r="A2756" s="319">
        <v>43000</v>
      </c>
      <c r="B2756" s="320" t="s">
        <v>30534</v>
      </c>
      <c r="C2756" s="321">
        <v>128515</v>
      </c>
      <c r="D2756" s="390" t="s">
        <v>15442</v>
      </c>
      <c r="E2756" s="322">
        <v>6690.8</v>
      </c>
      <c r="F2756" s="323">
        <v>43011</v>
      </c>
      <c r="G2756" s="322">
        <v>6690.8</v>
      </c>
      <c r="H2756" s="322">
        <f t="shared" si="39"/>
        <v>0</v>
      </c>
      <c r="I2756" s="325" t="s">
        <v>15214</v>
      </c>
    </row>
    <row r="2757" spans="1:9" x14ac:dyDescent="0.25">
      <c r="A2757" s="359">
        <v>43000</v>
      </c>
      <c r="B2757" s="326" t="s">
        <v>30535</v>
      </c>
      <c r="C2757" s="327">
        <v>128516</v>
      </c>
      <c r="D2757" s="391" t="s">
        <v>15282</v>
      </c>
      <c r="E2757" s="328">
        <v>3799.3</v>
      </c>
      <c r="F2757" s="329">
        <v>43000</v>
      </c>
      <c r="G2757" s="328">
        <v>3799.3</v>
      </c>
      <c r="H2757" s="347">
        <f t="shared" si="39"/>
        <v>0</v>
      </c>
      <c r="I2757" s="331" t="s">
        <v>15214</v>
      </c>
    </row>
    <row r="2758" spans="1:9" x14ac:dyDescent="0.25">
      <c r="A2758" s="319">
        <v>43000</v>
      </c>
      <c r="B2758" s="320" t="s">
        <v>30536</v>
      </c>
      <c r="C2758" s="321">
        <v>128517</v>
      </c>
      <c r="D2758" s="390" t="s">
        <v>15338</v>
      </c>
      <c r="E2758" s="322">
        <v>12403</v>
      </c>
      <c r="F2758" s="323">
        <v>43004</v>
      </c>
      <c r="G2758" s="322">
        <v>12403</v>
      </c>
      <c r="H2758" s="322">
        <f t="shared" si="39"/>
        <v>0</v>
      </c>
      <c r="I2758" s="325" t="s">
        <v>15214</v>
      </c>
    </row>
    <row r="2759" spans="1:9" ht="15.75" x14ac:dyDescent="0.25">
      <c r="A2759" s="359">
        <v>43000</v>
      </c>
      <c r="B2759" s="326" t="s">
        <v>30537</v>
      </c>
      <c r="C2759" s="327">
        <v>128518</v>
      </c>
      <c r="D2759" s="345" t="s">
        <v>95</v>
      </c>
      <c r="E2759" s="328">
        <v>0</v>
      </c>
      <c r="F2759" s="346" t="s">
        <v>95</v>
      </c>
      <c r="G2759" s="328">
        <v>0</v>
      </c>
      <c r="H2759" s="347">
        <f t="shared" si="39"/>
        <v>0</v>
      </c>
      <c r="I2759" s="331" t="s">
        <v>95</v>
      </c>
    </row>
    <row r="2760" spans="1:9" x14ac:dyDescent="0.25">
      <c r="A2760" s="319">
        <v>43000</v>
      </c>
      <c r="B2760" s="320" t="s">
        <v>30538</v>
      </c>
      <c r="C2760" s="321">
        <v>128519</v>
      </c>
      <c r="D2760" s="390" t="s">
        <v>15267</v>
      </c>
      <c r="E2760" s="322">
        <v>7339.2</v>
      </c>
      <c r="F2760" s="323">
        <v>43002</v>
      </c>
      <c r="G2760" s="322">
        <v>7339.2</v>
      </c>
      <c r="H2760" s="322">
        <f t="shared" si="39"/>
        <v>0</v>
      </c>
      <c r="I2760" s="325" t="s">
        <v>15214</v>
      </c>
    </row>
    <row r="2761" spans="1:9" x14ac:dyDescent="0.25">
      <c r="A2761" s="359">
        <v>43000</v>
      </c>
      <c r="B2761" s="326" t="s">
        <v>30539</v>
      </c>
      <c r="C2761" s="327">
        <v>128520</v>
      </c>
      <c r="D2761" s="391" t="s">
        <v>15246</v>
      </c>
      <c r="E2761" s="328">
        <v>2869.6</v>
      </c>
      <c r="F2761" s="329">
        <v>43003</v>
      </c>
      <c r="G2761" s="328">
        <v>2869.6</v>
      </c>
      <c r="H2761" s="347">
        <f t="shared" si="39"/>
        <v>0</v>
      </c>
      <c r="I2761" s="331" t="s">
        <v>15214</v>
      </c>
    </row>
    <row r="2762" spans="1:9" x14ac:dyDescent="0.25">
      <c r="A2762" s="319">
        <v>43000</v>
      </c>
      <c r="B2762" s="320" t="s">
        <v>30540</v>
      </c>
      <c r="C2762" s="321">
        <v>128521</v>
      </c>
      <c r="D2762" s="390" t="s">
        <v>15433</v>
      </c>
      <c r="E2762" s="322">
        <v>2771.3</v>
      </c>
      <c r="F2762" s="323">
        <v>43000</v>
      </c>
      <c r="G2762" s="322">
        <v>2771.3</v>
      </c>
      <c r="H2762" s="322">
        <f t="shared" si="39"/>
        <v>0</v>
      </c>
      <c r="I2762" s="325" t="s">
        <v>15214</v>
      </c>
    </row>
    <row r="2763" spans="1:9" x14ac:dyDescent="0.25">
      <c r="A2763" s="359">
        <v>43000</v>
      </c>
      <c r="B2763" s="326" t="s">
        <v>30541</v>
      </c>
      <c r="C2763" s="327">
        <v>128522</v>
      </c>
      <c r="D2763" s="391" t="s">
        <v>15433</v>
      </c>
      <c r="E2763" s="328">
        <v>65</v>
      </c>
      <c r="F2763" s="329">
        <v>43000</v>
      </c>
      <c r="G2763" s="328">
        <v>65</v>
      </c>
      <c r="H2763" s="347">
        <f t="shared" si="39"/>
        <v>0</v>
      </c>
      <c r="I2763" s="331" t="s">
        <v>15214</v>
      </c>
    </row>
    <row r="2764" spans="1:9" x14ac:dyDescent="0.25">
      <c r="A2764" s="319">
        <v>43000</v>
      </c>
      <c r="B2764" s="320" t="s">
        <v>30542</v>
      </c>
      <c r="C2764" s="321">
        <v>128523</v>
      </c>
      <c r="D2764" s="390" t="s">
        <v>15987</v>
      </c>
      <c r="E2764" s="322">
        <v>1252</v>
      </c>
      <c r="F2764" s="323">
        <v>43000</v>
      </c>
      <c r="G2764" s="322">
        <v>1252</v>
      </c>
      <c r="H2764" s="322">
        <f t="shared" si="39"/>
        <v>0</v>
      </c>
      <c r="I2764" s="325" t="s">
        <v>15214</v>
      </c>
    </row>
    <row r="2765" spans="1:9" x14ac:dyDescent="0.25">
      <c r="A2765" s="359">
        <v>43000</v>
      </c>
      <c r="B2765" s="326" t="s">
        <v>30543</v>
      </c>
      <c r="C2765" s="327">
        <v>128524</v>
      </c>
      <c r="D2765" s="391" t="s">
        <v>15284</v>
      </c>
      <c r="E2765" s="328">
        <v>498</v>
      </c>
      <c r="F2765" s="329">
        <v>43000</v>
      </c>
      <c r="G2765" s="328">
        <v>498</v>
      </c>
      <c r="H2765" s="347">
        <f t="shared" si="39"/>
        <v>0</v>
      </c>
      <c r="I2765" s="331" t="s">
        <v>15214</v>
      </c>
    </row>
    <row r="2766" spans="1:9" x14ac:dyDescent="0.25">
      <c r="A2766" s="319">
        <v>43000</v>
      </c>
      <c r="B2766" s="320" t="s">
        <v>30544</v>
      </c>
      <c r="C2766" s="321">
        <v>128525</v>
      </c>
      <c r="D2766" s="390" t="s">
        <v>15398</v>
      </c>
      <c r="E2766" s="322">
        <v>7180.62</v>
      </c>
      <c r="F2766" s="323">
        <v>43007</v>
      </c>
      <c r="G2766" s="322">
        <v>7180.62</v>
      </c>
      <c r="H2766" s="322">
        <f t="shared" si="39"/>
        <v>0</v>
      </c>
      <c r="I2766" s="325" t="s">
        <v>15214</v>
      </c>
    </row>
    <row r="2767" spans="1:9" x14ac:dyDescent="0.25">
      <c r="A2767" s="359">
        <v>43000</v>
      </c>
      <c r="B2767" s="326" t="s">
        <v>30545</v>
      </c>
      <c r="C2767" s="327">
        <v>128526</v>
      </c>
      <c r="D2767" s="391" t="s">
        <v>15725</v>
      </c>
      <c r="E2767" s="328">
        <v>17770</v>
      </c>
      <c r="F2767" s="329">
        <v>43002</v>
      </c>
      <c r="G2767" s="328">
        <v>17770</v>
      </c>
      <c r="H2767" s="347">
        <f t="shared" si="39"/>
        <v>0</v>
      </c>
      <c r="I2767" s="331" t="s">
        <v>15214</v>
      </c>
    </row>
    <row r="2768" spans="1:9" ht="15.75" x14ac:dyDescent="0.25">
      <c r="A2768" s="319">
        <v>43000</v>
      </c>
      <c r="B2768" s="320" t="s">
        <v>30546</v>
      </c>
      <c r="C2768" s="321">
        <v>128527</v>
      </c>
      <c r="D2768" s="332" t="s">
        <v>95</v>
      </c>
      <c r="E2768" s="322">
        <v>0</v>
      </c>
      <c r="F2768" s="333" t="s">
        <v>95</v>
      </c>
      <c r="G2768" s="322">
        <v>0</v>
      </c>
      <c r="H2768" s="322">
        <f t="shared" si="39"/>
        <v>0</v>
      </c>
      <c r="I2768" s="325" t="s">
        <v>95</v>
      </c>
    </row>
    <row r="2769" spans="1:9" x14ac:dyDescent="0.25">
      <c r="A2769" s="359">
        <v>43000</v>
      </c>
      <c r="B2769" s="326" t="s">
        <v>30547</v>
      </c>
      <c r="C2769" s="327">
        <v>128528</v>
      </c>
      <c r="D2769" s="391" t="s">
        <v>15361</v>
      </c>
      <c r="E2769" s="328">
        <v>10100.700000000001</v>
      </c>
      <c r="F2769" s="329">
        <v>43001</v>
      </c>
      <c r="G2769" s="328">
        <v>10100.700000000001</v>
      </c>
      <c r="H2769" s="347">
        <f t="shared" si="39"/>
        <v>0</v>
      </c>
      <c r="I2769" s="331" t="s">
        <v>15214</v>
      </c>
    </row>
    <row r="2770" spans="1:9" x14ac:dyDescent="0.25">
      <c r="A2770" s="319">
        <v>43000</v>
      </c>
      <c r="B2770" s="320" t="s">
        <v>30548</v>
      </c>
      <c r="C2770" s="321">
        <v>128529</v>
      </c>
      <c r="D2770" s="390" t="s">
        <v>16048</v>
      </c>
      <c r="E2770" s="322">
        <v>5311.6</v>
      </c>
      <c r="F2770" s="323">
        <v>43000</v>
      </c>
      <c r="G2770" s="322">
        <v>5311.6</v>
      </c>
      <c r="H2770" s="322">
        <f t="shared" si="39"/>
        <v>0</v>
      </c>
      <c r="I2770" s="325" t="s">
        <v>15214</v>
      </c>
    </row>
    <row r="2771" spans="1:9" x14ac:dyDescent="0.25">
      <c r="A2771" s="359">
        <v>43000</v>
      </c>
      <c r="B2771" s="326" t="s">
        <v>30549</v>
      </c>
      <c r="C2771" s="327">
        <v>128530</v>
      </c>
      <c r="D2771" s="391" t="s">
        <v>15544</v>
      </c>
      <c r="E2771" s="328">
        <v>1653.4</v>
      </c>
      <c r="F2771" s="329">
        <v>43001</v>
      </c>
      <c r="G2771" s="328">
        <v>1653.4</v>
      </c>
      <c r="H2771" s="347">
        <f t="shared" si="39"/>
        <v>0</v>
      </c>
      <c r="I2771" s="331" t="s">
        <v>15214</v>
      </c>
    </row>
    <row r="2772" spans="1:9" ht="15.75" x14ac:dyDescent="0.25">
      <c r="A2772" s="319">
        <v>43000</v>
      </c>
      <c r="B2772" s="320" t="s">
        <v>30550</v>
      </c>
      <c r="C2772" s="321">
        <v>128531</v>
      </c>
      <c r="D2772" s="332" t="s">
        <v>95</v>
      </c>
      <c r="E2772" s="322">
        <v>0</v>
      </c>
      <c r="F2772" s="333" t="s">
        <v>95</v>
      </c>
      <c r="G2772" s="322">
        <v>0</v>
      </c>
      <c r="H2772" s="322">
        <f t="shared" si="39"/>
        <v>0</v>
      </c>
      <c r="I2772" s="325" t="s">
        <v>95</v>
      </c>
    </row>
    <row r="2773" spans="1:9" x14ac:dyDescent="0.25">
      <c r="A2773" s="359">
        <v>43000</v>
      </c>
      <c r="B2773" s="326" t="s">
        <v>30551</v>
      </c>
      <c r="C2773" s="327">
        <v>128532</v>
      </c>
      <c r="D2773" s="391" t="s">
        <v>15315</v>
      </c>
      <c r="E2773" s="328">
        <v>2203.42</v>
      </c>
      <c r="F2773" s="329">
        <v>43001</v>
      </c>
      <c r="G2773" s="328">
        <v>2203.42</v>
      </c>
      <c r="H2773" s="347">
        <f t="shared" si="39"/>
        <v>0</v>
      </c>
      <c r="I2773" s="331" t="s">
        <v>15214</v>
      </c>
    </row>
    <row r="2774" spans="1:9" x14ac:dyDescent="0.25">
      <c r="A2774" s="319">
        <v>43000</v>
      </c>
      <c r="B2774" s="320" t="s">
        <v>30552</v>
      </c>
      <c r="C2774" s="321">
        <v>128533</v>
      </c>
      <c r="D2774" s="390" t="s">
        <v>15376</v>
      </c>
      <c r="E2774" s="322">
        <v>2796.2</v>
      </c>
      <c r="F2774" s="323">
        <v>43001</v>
      </c>
      <c r="G2774" s="322">
        <v>2796.2</v>
      </c>
      <c r="H2774" s="322">
        <f t="shared" si="39"/>
        <v>0</v>
      </c>
      <c r="I2774" s="325" t="s">
        <v>15214</v>
      </c>
    </row>
    <row r="2775" spans="1:9" x14ac:dyDescent="0.25">
      <c r="A2775" s="359">
        <v>43000</v>
      </c>
      <c r="B2775" s="326" t="s">
        <v>30553</v>
      </c>
      <c r="C2775" s="327">
        <v>128534</v>
      </c>
      <c r="D2775" s="391" t="s">
        <v>15391</v>
      </c>
      <c r="E2775" s="328">
        <v>7976.4</v>
      </c>
      <c r="F2775" s="329">
        <v>43001</v>
      </c>
      <c r="G2775" s="328">
        <v>7976.4</v>
      </c>
      <c r="H2775" s="347">
        <f t="shared" si="39"/>
        <v>0</v>
      </c>
      <c r="I2775" s="331" t="s">
        <v>15214</v>
      </c>
    </row>
    <row r="2776" spans="1:9" x14ac:dyDescent="0.25">
      <c r="A2776" s="319">
        <v>43000</v>
      </c>
      <c r="B2776" s="320" t="s">
        <v>30554</v>
      </c>
      <c r="C2776" s="321">
        <v>128535</v>
      </c>
      <c r="D2776" s="390" t="s">
        <v>15213</v>
      </c>
      <c r="E2776" s="322">
        <v>6632</v>
      </c>
      <c r="F2776" s="323">
        <v>43002</v>
      </c>
      <c r="G2776" s="322">
        <v>6632</v>
      </c>
      <c r="H2776" s="322">
        <f t="shared" si="39"/>
        <v>0</v>
      </c>
      <c r="I2776" s="325" t="s">
        <v>15214</v>
      </c>
    </row>
    <row r="2777" spans="1:9" x14ac:dyDescent="0.25">
      <c r="A2777" s="359">
        <v>43000</v>
      </c>
      <c r="B2777" s="326" t="s">
        <v>30555</v>
      </c>
      <c r="C2777" s="327">
        <v>128536</v>
      </c>
      <c r="D2777" s="391" t="s">
        <v>15594</v>
      </c>
      <c r="E2777" s="328">
        <v>1665.6</v>
      </c>
      <c r="F2777" s="329">
        <v>43001</v>
      </c>
      <c r="G2777" s="328">
        <v>1665.6</v>
      </c>
      <c r="H2777" s="347">
        <f t="shared" si="39"/>
        <v>0</v>
      </c>
      <c r="I2777" s="331" t="s">
        <v>15214</v>
      </c>
    </row>
    <row r="2778" spans="1:9" x14ac:dyDescent="0.25">
      <c r="A2778" s="319">
        <v>43000</v>
      </c>
      <c r="B2778" s="320" t="s">
        <v>30556</v>
      </c>
      <c r="C2778" s="321">
        <v>128537</v>
      </c>
      <c r="D2778" s="390" t="s">
        <v>15568</v>
      </c>
      <c r="E2778" s="322">
        <v>5417.1</v>
      </c>
      <c r="F2778" s="323">
        <v>43001</v>
      </c>
      <c r="G2778" s="322">
        <v>5417.1</v>
      </c>
      <c r="H2778" s="322">
        <f t="shared" si="39"/>
        <v>0</v>
      </c>
      <c r="I2778" s="325" t="s">
        <v>15214</v>
      </c>
    </row>
    <row r="2779" spans="1:9" x14ac:dyDescent="0.25">
      <c r="A2779" s="359">
        <v>43000</v>
      </c>
      <c r="B2779" s="326" t="s">
        <v>30557</v>
      </c>
      <c r="C2779" s="327">
        <v>128538</v>
      </c>
      <c r="D2779" s="391" t="s">
        <v>15246</v>
      </c>
      <c r="E2779" s="328">
        <v>4352</v>
      </c>
      <c r="F2779" s="329">
        <v>43003</v>
      </c>
      <c r="G2779" s="328">
        <v>4352</v>
      </c>
      <c r="H2779" s="347">
        <f t="shared" si="39"/>
        <v>0</v>
      </c>
      <c r="I2779" s="331" t="s">
        <v>15214</v>
      </c>
    </row>
    <row r="2780" spans="1:9" ht="30" x14ac:dyDescent="0.25">
      <c r="A2780" s="319">
        <v>43000</v>
      </c>
      <c r="B2780" s="320" t="s">
        <v>30558</v>
      </c>
      <c r="C2780" s="321">
        <v>128539</v>
      </c>
      <c r="D2780" s="390" t="s">
        <v>15296</v>
      </c>
      <c r="E2780" s="322">
        <v>17975</v>
      </c>
      <c r="F2780" s="363" t="s">
        <v>31616</v>
      </c>
      <c r="G2780" s="364">
        <f>4905+13070</f>
        <v>17975</v>
      </c>
      <c r="H2780" s="334">
        <f t="shared" si="39"/>
        <v>0</v>
      </c>
      <c r="I2780" s="325" t="s">
        <v>15214</v>
      </c>
    </row>
    <row r="2781" spans="1:9" ht="15.75" x14ac:dyDescent="0.25">
      <c r="A2781" s="359">
        <v>43000</v>
      </c>
      <c r="B2781" s="326" t="s">
        <v>30559</v>
      </c>
      <c r="C2781" s="327">
        <v>128540</v>
      </c>
      <c r="D2781" s="345" t="s">
        <v>95</v>
      </c>
      <c r="E2781" s="328">
        <v>0</v>
      </c>
      <c r="F2781" s="346" t="s">
        <v>95</v>
      </c>
      <c r="G2781" s="328">
        <v>0</v>
      </c>
      <c r="H2781" s="347">
        <f t="shared" si="39"/>
        <v>0</v>
      </c>
      <c r="I2781" s="331" t="s">
        <v>95</v>
      </c>
    </row>
    <row r="2782" spans="1:9" x14ac:dyDescent="0.25">
      <c r="A2782" s="319">
        <v>43000</v>
      </c>
      <c r="B2782" s="320" t="s">
        <v>30560</v>
      </c>
      <c r="C2782" s="321">
        <v>128541</v>
      </c>
      <c r="D2782" s="390" t="s">
        <v>15581</v>
      </c>
      <c r="E2782" s="322">
        <v>9661.2000000000007</v>
      </c>
      <c r="F2782" s="323">
        <v>43004</v>
      </c>
      <c r="G2782" s="322">
        <v>9661.2000000000007</v>
      </c>
      <c r="H2782" s="322">
        <f t="shared" si="39"/>
        <v>0</v>
      </c>
      <c r="I2782" s="325" t="s">
        <v>15214</v>
      </c>
    </row>
    <row r="2783" spans="1:9" x14ac:dyDescent="0.25">
      <c r="A2783" s="359">
        <v>43000</v>
      </c>
      <c r="B2783" s="326" t="s">
        <v>30561</v>
      </c>
      <c r="C2783" s="327">
        <v>128542</v>
      </c>
      <c r="D2783" s="391" t="s">
        <v>16093</v>
      </c>
      <c r="E2783" s="328">
        <v>3352.8</v>
      </c>
      <c r="F2783" s="329">
        <v>43000</v>
      </c>
      <c r="G2783" s="328">
        <v>3352.8</v>
      </c>
      <c r="H2783" s="347">
        <f t="shared" si="39"/>
        <v>0</v>
      </c>
      <c r="I2783" s="331" t="s">
        <v>15214</v>
      </c>
    </row>
    <row r="2784" spans="1:9" x14ac:dyDescent="0.25">
      <c r="A2784" s="319">
        <v>43000</v>
      </c>
      <c r="B2784" s="320" t="s">
        <v>30562</v>
      </c>
      <c r="C2784" s="321">
        <v>128543</v>
      </c>
      <c r="D2784" s="390" t="s">
        <v>15322</v>
      </c>
      <c r="E2784" s="322">
        <v>2870.4</v>
      </c>
      <c r="F2784" s="323">
        <v>43000</v>
      </c>
      <c r="G2784" s="322">
        <v>2870.4</v>
      </c>
      <c r="H2784" s="322">
        <f t="shared" si="39"/>
        <v>0</v>
      </c>
      <c r="I2784" s="325" t="s">
        <v>15214</v>
      </c>
    </row>
    <row r="2785" spans="1:9" x14ac:dyDescent="0.25">
      <c r="A2785" s="359">
        <v>43000</v>
      </c>
      <c r="B2785" s="326" t="s">
        <v>30563</v>
      </c>
      <c r="C2785" s="327">
        <v>128544</v>
      </c>
      <c r="D2785" s="391" t="s">
        <v>19699</v>
      </c>
      <c r="E2785" s="328">
        <v>1610</v>
      </c>
      <c r="F2785" s="329">
        <v>43000</v>
      </c>
      <c r="G2785" s="328">
        <v>1610</v>
      </c>
      <c r="H2785" s="347">
        <f t="shared" si="39"/>
        <v>0</v>
      </c>
      <c r="I2785" s="331" t="s">
        <v>15214</v>
      </c>
    </row>
    <row r="2786" spans="1:9" x14ac:dyDescent="0.25">
      <c r="A2786" s="319">
        <v>43000</v>
      </c>
      <c r="B2786" s="320" t="s">
        <v>30564</v>
      </c>
      <c r="C2786" s="321">
        <v>128545</v>
      </c>
      <c r="D2786" s="390" t="s">
        <v>15444</v>
      </c>
      <c r="E2786" s="322">
        <v>1484.6</v>
      </c>
      <c r="F2786" s="323">
        <v>43001</v>
      </c>
      <c r="G2786" s="322">
        <v>1484.6</v>
      </c>
      <c r="H2786" s="322">
        <f t="shared" si="39"/>
        <v>0</v>
      </c>
      <c r="I2786" s="325" t="s">
        <v>15214</v>
      </c>
    </row>
    <row r="2787" spans="1:9" ht="30" x14ac:dyDescent="0.25">
      <c r="A2787" s="359">
        <v>43000</v>
      </c>
      <c r="B2787" s="326" t="s">
        <v>30565</v>
      </c>
      <c r="C2787" s="327">
        <v>128546</v>
      </c>
      <c r="D2787" s="391" t="s">
        <v>15407</v>
      </c>
      <c r="E2787" s="328">
        <v>3602</v>
      </c>
      <c r="F2787" s="329" t="s">
        <v>30304</v>
      </c>
      <c r="G2787" s="347">
        <f>3300+302</f>
        <v>3602</v>
      </c>
      <c r="H2787" s="347">
        <f t="shared" si="39"/>
        <v>0</v>
      </c>
      <c r="I2787" s="331" t="s">
        <v>15214</v>
      </c>
    </row>
    <row r="2788" spans="1:9" x14ac:dyDescent="0.25">
      <c r="A2788" s="319">
        <v>43000</v>
      </c>
      <c r="B2788" s="320" t="s">
        <v>30566</v>
      </c>
      <c r="C2788" s="321">
        <v>128547</v>
      </c>
      <c r="D2788" s="390" t="s">
        <v>15315</v>
      </c>
      <c r="E2788" s="322">
        <v>672.5</v>
      </c>
      <c r="F2788" s="323">
        <v>43000</v>
      </c>
      <c r="G2788" s="322">
        <v>672.5</v>
      </c>
      <c r="H2788" s="322">
        <f t="shared" si="39"/>
        <v>0</v>
      </c>
      <c r="I2788" s="325" t="s">
        <v>15214</v>
      </c>
    </row>
    <row r="2789" spans="1:9" x14ac:dyDescent="0.25">
      <c r="A2789" s="359">
        <v>43000</v>
      </c>
      <c r="B2789" s="326" t="s">
        <v>30567</v>
      </c>
      <c r="C2789" s="327">
        <v>128548</v>
      </c>
      <c r="D2789" s="391" t="s">
        <v>16129</v>
      </c>
      <c r="E2789" s="328">
        <v>5708</v>
      </c>
      <c r="F2789" s="329">
        <v>43007</v>
      </c>
      <c r="G2789" s="328">
        <v>5708</v>
      </c>
      <c r="H2789" s="347">
        <f t="shared" si="39"/>
        <v>0</v>
      </c>
      <c r="I2789" s="331" t="s">
        <v>15214</v>
      </c>
    </row>
    <row r="2790" spans="1:9" x14ac:dyDescent="0.25">
      <c r="A2790" s="319">
        <v>43000</v>
      </c>
      <c r="B2790" s="320" t="s">
        <v>30568</v>
      </c>
      <c r="C2790" s="321">
        <v>128549</v>
      </c>
      <c r="D2790" s="390" t="s">
        <v>15884</v>
      </c>
      <c r="E2790" s="322">
        <v>1150</v>
      </c>
      <c r="F2790" s="323">
        <v>43000</v>
      </c>
      <c r="G2790" s="322">
        <v>1150</v>
      </c>
      <c r="H2790" s="322">
        <f t="shared" si="39"/>
        <v>0</v>
      </c>
      <c r="I2790" s="325" t="s">
        <v>15214</v>
      </c>
    </row>
    <row r="2791" spans="1:9" ht="15.75" x14ac:dyDescent="0.25">
      <c r="A2791" s="359">
        <v>43000</v>
      </c>
      <c r="B2791" s="326" t="s">
        <v>30569</v>
      </c>
      <c r="C2791" s="327">
        <v>128550</v>
      </c>
      <c r="D2791" s="345" t="s">
        <v>95</v>
      </c>
      <c r="E2791" s="328">
        <v>0</v>
      </c>
      <c r="F2791" s="346" t="s">
        <v>95</v>
      </c>
      <c r="G2791" s="328">
        <v>0</v>
      </c>
      <c r="H2791" s="347">
        <f t="shared" si="39"/>
        <v>0</v>
      </c>
      <c r="I2791" s="331" t="s">
        <v>95</v>
      </c>
    </row>
    <row r="2792" spans="1:9" x14ac:dyDescent="0.25">
      <c r="A2792" s="319">
        <v>43000</v>
      </c>
      <c r="B2792" s="320" t="s">
        <v>30570</v>
      </c>
      <c r="C2792" s="321">
        <v>128551</v>
      </c>
      <c r="D2792" s="390" t="s">
        <v>15435</v>
      </c>
      <c r="E2792" s="322">
        <v>9097.2000000000007</v>
      </c>
      <c r="F2792" s="323">
        <v>43000</v>
      </c>
      <c r="G2792" s="322">
        <v>9097.2000000000007</v>
      </c>
      <c r="H2792" s="322">
        <f t="shared" si="39"/>
        <v>0</v>
      </c>
      <c r="I2792" s="325" t="s">
        <v>15214</v>
      </c>
    </row>
    <row r="2793" spans="1:9" x14ac:dyDescent="0.25">
      <c r="A2793" s="359">
        <v>43000</v>
      </c>
      <c r="B2793" s="326" t="s">
        <v>30571</v>
      </c>
      <c r="C2793" s="327">
        <v>128552</v>
      </c>
      <c r="D2793" s="391" t="s">
        <v>15246</v>
      </c>
      <c r="E2793" s="328">
        <v>132647.25</v>
      </c>
      <c r="F2793" s="329">
        <v>43003</v>
      </c>
      <c r="G2793" s="328">
        <v>132647.25</v>
      </c>
      <c r="H2793" s="347">
        <f t="shared" si="39"/>
        <v>0</v>
      </c>
      <c r="I2793" s="331" t="s">
        <v>15214</v>
      </c>
    </row>
    <row r="2794" spans="1:9" x14ac:dyDescent="0.25">
      <c r="A2794" s="319">
        <v>43000</v>
      </c>
      <c r="B2794" s="320" t="s">
        <v>30572</v>
      </c>
      <c r="C2794" s="321">
        <v>128553</v>
      </c>
      <c r="D2794" s="390" t="s">
        <v>15421</v>
      </c>
      <c r="E2794" s="322">
        <v>810.5</v>
      </c>
      <c r="F2794" s="323">
        <v>43000</v>
      </c>
      <c r="G2794" s="322">
        <v>810.5</v>
      </c>
      <c r="H2794" s="322">
        <f t="shared" si="39"/>
        <v>0</v>
      </c>
      <c r="I2794" s="325" t="s">
        <v>15214</v>
      </c>
    </row>
    <row r="2795" spans="1:9" x14ac:dyDescent="0.25">
      <c r="A2795" s="359">
        <v>43000</v>
      </c>
      <c r="B2795" s="326" t="s">
        <v>30573</v>
      </c>
      <c r="C2795" s="327">
        <v>128554</v>
      </c>
      <c r="D2795" s="391" t="s">
        <v>15246</v>
      </c>
      <c r="E2795" s="328">
        <v>151639.66</v>
      </c>
      <c r="F2795" s="329">
        <v>43003</v>
      </c>
      <c r="G2795" s="328">
        <v>151639.66</v>
      </c>
      <c r="H2795" s="347">
        <f t="shared" si="39"/>
        <v>0</v>
      </c>
      <c r="I2795" s="331" t="s">
        <v>15214</v>
      </c>
    </row>
    <row r="2796" spans="1:9" x14ac:dyDescent="0.25">
      <c r="A2796" s="319">
        <v>43000</v>
      </c>
      <c r="B2796" s="320" t="s">
        <v>30574</v>
      </c>
      <c r="C2796" s="321">
        <v>128555</v>
      </c>
      <c r="D2796" s="390" t="s">
        <v>15681</v>
      </c>
      <c r="E2796" s="322">
        <v>1392</v>
      </c>
      <c r="F2796" s="323">
        <v>43000</v>
      </c>
      <c r="G2796" s="322">
        <v>1392</v>
      </c>
      <c r="H2796" s="322">
        <f t="shared" si="39"/>
        <v>0</v>
      </c>
      <c r="I2796" s="325" t="s">
        <v>15214</v>
      </c>
    </row>
    <row r="2797" spans="1:9" x14ac:dyDescent="0.25">
      <c r="A2797" s="359">
        <v>43000</v>
      </c>
      <c r="B2797" s="326" t="s">
        <v>30575</v>
      </c>
      <c r="C2797" s="327">
        <v>128556</v>
      </c>
      <c r="D2797" s="391" t="s">
        <v>15628</v>
      </c>
      <c r="E2797" s="328">
        <v>4803.2</v>
      </c>
      <c r="F2797" s="329">
        <v>43000</v>
      </c>
      <c r="G2797" s="328">
        <v>4803.2</v>
      </c>
      <c r="H2797" s="347">
        <f t="shared" si="39"/>
        <v>0</v>
      </c>
      <c r="I2797" s="331" t="s">
        <v>15214</v>
      </c>
    </row>
    <row r="2798" spans="1:9" ht="15.75" x14ac:dyDescent="0.25">
      <c r="A2798" s="319">
        <v>43000</v>
      </c>
      <c r="B2798" s="320" t="s">
        <v>30576</v>
      </c>
      <c r="C2798" s="321">
        <v>128557</v>
      </c>
      <c r="D2798" s="332" t="s">
        <v>95</v>
      </c>
      <c r="E2798" s="322">
        <v>0</v>
      </c>
      <c r="F2798" s="333" t="s">
        <v>95</v>
      </c>
      <c r="G2798" s="322">
        <v>0</v>
      </c>
      <c r="H2798" s="322">
        <f t="shared" si="39"/>
        <v>0</v>
      </c>
      <c r="I2798" s="325" t="s">
        <v>95</v>
      </c>
    </row>
    <row r="2799" spans="1:9" x14ac:dyDescent="0.25">
      <c r="A2799" s="359">
        <v>43000</v>
      </c>
      <c r="B2799" s="326" t="s">
        <v>30577</v>
      </c>
      <c r="C2799" s="327">
        <v>128558</v>
      </c>
      <c r="D2799" s="391" t="s">
        <v>15541</v>
      </c>
      <c r="E2799" s="328">
        <v>1269.2</v>
      </c>
      <c r="F2799" s="329">
        <v>43001</v>
      </c>
      <c r="G2799" s="328">
        <v>1269.2</v>
      </c>
      <c r="H2799" s="347">
        <f t="shared" si="39"/>
        <v>0</v>
      </c>
      <c r="I2799" s="331" t="s">
        <v>15214</v>
      </c>
    </row>
    <row r="2800" spans="1:9" x14ac:dyDescent="0.25">
      <c r="A2800" s="319">
        <v>43000</v>
      </c>
      <c r="B2800" s="320" t="s">
        <v>30578</v>
      </c>
      <c r="C2800" s="321">
        <v>128559</v>
      </c>
      <c r="D2800" s="390" t="s">
        <v>15250</v>
      </c>
      <c r="E2800" s="322">
        <v>98004.02</v>
      </c>
      <c r="F2800" s="323">
        <v>43008</v>
      </c>
      <c r="G2800" s="322">
        <v>98004.02</v>
      </c>
      <c r="H2800" s="322">
        <f t="shared" si="39"/>
        <v>0</v>
      </c>
      <c r="I2800" s="325" t="s">
        <v>15214</v>
      </c>
    </row>
    <row r="2801" spans="1:9" x14ac:dyDescent="0.25">
      <c r="A2801" s="359">
        <v>43000</v>
      </c>
      <c r="B2801" s="326" t="s">
        <v>30579</v>
      </c>
      <c r="C2801" s="327">
        <v>128560</v>
      </c>
      <c r="D2801" s="391" t="s">
        <v>15336</v>
      </c>
      <c r="E2801" s="328">
        <v>1570.8</v>
      </c>
      <c r="F2801" s="329">
        <v>43001</v>
      </c>
      <c r="G2801" s="328">
        <v>1570.8</v>
      </c>
      <c r="H2801" s="347">
        <f t="shared" ref="H2801:H2864" si="40">E2801-G2801</f>
        <v>0</v>
      </c>
      <c r="I2801" s="331" t="s">
        <v>15214</v>
      </c>
    </row>
    <row r="2802" spans="1:9" x14ac:dyDescent="0.25">
      <c r="A2802" s="319">
        <v>43001</v>
      </c>
      <c r="B2802" s="320" t="s">
        <v>30580</v>
      </c>
      <c r="C2802" s="321">
        <v>128561</v>
      </c>
      <c r="D2802" s="390" t="s">
        <v>21386</v>
      </c>
      <c r="E2802" s="322">
        <v>10834.2</v>
      </c>
      <c r="F2802" s="323">
        <v>43002</v>
      </c>
      <c r="G2802" s="322">
        <v>10834.2</v>
      </c>
      <c r="H2802" s="322">
        <f t="shared" si="40"/>
        <v>0</v>
      </c>
      <c r="I2802" s="325" t="s">
        <v>15214</v>
      </c>
    </row>
    <row r="2803" spans="1:9" ht="30" x14ac:dyDescent="0.25">
      <c r="A2803" s="359">
        <v>43001</v>
      </c>
      <c r="B2803" s="326" t="s">
        <v>30581</v>
      </c>
      <c r="C2803" s="327">
        <v>128562</v>
      </c>
      <c r="D2803" s="391" t="s">
        <v>15213</v>
      </c>
      <c r="E2803" s="328">
        <v>44354.7</v>
      </c>
      <c r="F2803" s="349" t="s">
        <v>30582</v>
      </c>
      <c r="G2803" s="347">
        <f>34000+10354.7</f>
        <v>44354.7</v>
      </c>
      <c r="H2803" s="347">
        <f t="shared" si="40"/>
        <v>0</v>
      </c>
      <c r="I2803" s="331" t="s">
        <v>15214</v>
      </c>
    </row>
    <row r="2804" spans="1:9" x14ac:dyDescent="0.25">
      <c r="A2804" s="319">
        <v>43001</v>
      </c>
      <c r="B2804" s="320" t="s">
        <v>30583</v>
      </c>
      <c r="C2804" s="321">
        <v>128563</v>
      </c>
      <c r="D2804" s="390" t="s">
        <v>15230</v>
      </c>
      <c r="E2804" s="322">
        <v>19234.5</v>
      </c>
      <c r="F2804" s="323">
        <v>43004</v>
      </c>
      <c r="G2804" s="322">
        <v>19234.5</v>
      </c>
      <c r="H2804" s="322">
        <f t="shared" si="40"/>
        <v>0</v>
      </c>
      <c r="I2804" s="325" t="s">
        <v>15214</v>
      </c>
    </row>
    <row r="2805" spans="1:9" x14ac:dyDescent="0.25">
      <c r="A2805" s="359">
        <v>43001</v>
      </c>
      <c r="B2805" s="326" t="s">
        <v>30584</v>
      </c>
      <c r="C2805" s="327">
        <v>128564</v>
      </c>
      <c r="D2805" s="391" t="s">
        <v>15272</v>
      </c>
      <c r="E2805" s="328">
        <v>39109.199999999997</v>
      </c>
      <c r="F2805" s="329">
        <v>43001</v>
      </c>
      <c r="G2805" s="328">
        <v>39109.199999999997</v>
      </c>
      <c r="H2805" s="347">
        <f t="shared" si="40"/>
        <v>0</v>
      </c>
      <c r="I2805" s="331" t="s">
        <v>15214</v>
      </c>
    </row>
    <row r="2806" spans="1:9" x14ac:dyDescent="0.25">
      <c r="A2806" s="319">
        <v>43001</v>
      </c>
      <c r="B2806" s="320" t="s">
        <v>30585</v>
      </c>
      <c r="C2806" s="321">
        <v>128565</v>
      </c>
      <c r="D2806" s="390" t="s">
        <v>17462</v>
      </c>
      <c r="E2806" s="322">
        <v>8771</v>
      </c>
      <c r="F2806" s="323">
        <v>43001</v>
      </c>
      <c r="G2806" s="322">
        <v>8771</v>
      </c>
      <c r="H2806" s="322">
        <f t="shared" si="40"/>
        <v>0</v>
      </c>
      <c r="I2806" s="325" t="s">
        <v>15214</v>
      </c>
    </row>
    <row r="2807" spans="1:9" x14ac:dyDescent="0.25">
      <c r="A2807" s="359">
        <v>43001</v>
      </c>
      <c r="B2807" s="326" t="s">
        <v>30586</v>
      </c>
      <c r="C2807" s="327">
        <v>128566</v>
      </c>
      <c r="D2807" s="391" t="s">
        <v>15232</v>
      </c>
      <c r="E2807" s="328">
        <v>15760</v>
      </c>
      <c r="F2807" s="329">
        <v>43006</v>
      </c>
      <c r="G2807" s="328">
        <v>15760</v>
      </c>
      <c r="H2807" s="347">
        <f t="shared" si="40"/>
        <v>0</v>
      </c>
      <c r="I2807" s="331" t="s">
        <v>15214</v>
      </c>
    </row>
    <row r="2808" spans="1:9" x14ac:dyDescent="0.25">
      <c r="A2808" s="319">
        <v>43001</v>
      </c>
      <c r="B2808" s="320" t="s">
        <v>30587</v>
      </c>
      <c r="C2808" s="321">
        <v>128567</v>
      </c>
      <c r="D2808" s="390" t="s">
        <v>15315</v>
      </c>
      <c r="E2808" s="322">
        <v>612.5</v>
      </c>
      <c r="F2808" s="323">
        <v>43001</v>
      </c>
      <c r="G2808" s="322">
        <v>612.5</v>
      </c>
      <c r="H2808" s="322">
        <f t="shared" si="40"/>
        <v>0</v>
      </c>
      <c r="I2808" s="325" t="s">
        <v>15214</v>
      </c>
    </row>
    <row r="2809" spans="1:9" x14ac:dyDescent="0.25">
      <c r="A2809" s="359">
        <v>43001</v>
      </c>
      <c r="B2809" s="326" t="s">
        <v>30588</v>
      </c>
      <c r="C2809" s="327">
        <v>128568</v>
      </c>
      <c r="D2809" s="391" t="s">
        <v>15242</v>
      </c>
      <c r="E2809" s="328">
        <v>9718</v>
      </c>
      <c r="F2809" s="329">
        <v>43002</v>
      </c>
      <c r="G2809" s="328">
        <v>9718</v>
      </c>
      <c r="H2809" s="347">
        <f t="shared" si="40"/>
        <v>0</v>
      </c>
      <c r="I2809" s="331" t="s">
        <v>15214</v>
      </c>
    </row>
    <row r="2810" spans="1:9" ht="30" x14ac:dyDescent="0.25">
      <c r="A2810" s="319">
        <v>43001</v>
      </c>
      <c r="B2810" s="320" t="s">
        <v>30589</v>
      </c>
      <c r="C2810" s="321">
        <v>128569</v>
      </c>
      <c r="D2810" s="390" t="s">
        <v>15668</v>
      </c>
      <c r="E2810" s="322">
        <v>19975.8</v>
      </c>
      <c r="F2810" s="323" t="s">
        <v>30430</v>
      </c>
      <c r="G2810" s="334">
        <f>10000+9975.8</f>
        <v>19975.8</v>
      </c>
      <c r="H2810" s="334">
        <f t="shared" si="40"/>
        <v>0</v>
      </c>
      <c r="I2810" s="325" t="s">
        <v>15214</v>
      </c>
    </row>
    <row r="2811" spans="1:9" ht="45" x14ac:dyDescent="0.25">
      <c r="A2811" s="359">
        <v>43001</v>
      </c>
      <c r="B2811" s="326" t="s">
        <v>30590</v>
      </c>
      <c r="C2811" s="327">
        <v>128570</v>
      </c>
      <c r="D2811" s="391" t="s">
        <v>19780</v>
      </c>
      <c r="E2811" s="328">
        <v>38794.199999999997</v>
      </c>
      <c r="F2811" s="329" t="s">
        <v>30591</v>
      </c>
      <c r="G2811" s="347">
        <f>15000+15000+4000+4794.2</f>
        <v>38794.199999999997</v>
      </c>
      <c r="H2811" s="347">
        <f t="shared" si="40"/>
        <v>0</v>
      </c>
      <c r="I2811" s="331" t="s">
        <v>15214</v>
      </c>
    </row>
    <row r="2812" spans="1:9" x14ac:dyDescent="0.25">
      <c r="A2812" s="319">
        <v>43001</v>
      </c>
      <c r="B2812" s="320" t="s">
        <v>30592</v>
      </c>
      <c r="C2812" s="321">
        <v>128571</v>
      </c>
      <c r="D2812" s="390" t="s">
        <v>15220</v>
      </c>
      <c r="E2812" s="322">
        <v>5060</v>
      </c>
      <c r="F2812" s="323">
        <v>43001</v>
      </c>
      <c r="G2812" s="322">
        <v>5060</v>
      </c>
      <c r="H2812" s="322">
        <f t="shared" si="40"/>
        <v>0</v>
      </c>
      <c r="I2812" s="325" t="s">
        <v>15214</v>
      </c>
    </row>
    <row r="2813" spans="1:9" x14ac:dyDescent="0.25">
      <c r="A2813" s="359">
        <v>43001</v>
      </c>
      <c r="B2813" s="326" t="s">
        <v>30593</v>
      </c>
      <c r="C2813" s="327">
        <v>128572</v>
      </c>
      <c r="D2813" s="391" t="s">
        <v>19302</v>
      </c>
      <c r="E2813" s="328">
        <v>1380</v>
      </c>
      <c r="F2813" s="329">
        <v>43001</v>
      </c>
      <c r="G2813" s="328">
        <v>1380</v>
      </c>
      <c r="H2813" s="347">
        <f t="shared" si="40"/>
        <v>0</v>
      </c>
      <c r="I2813" s="331" t="s">
        <v>15214</v>
      </c>
    </row>
    <row r="2814" spans="1:9" x14ac:dyDescent="0.25">
      <c r="A2814" s="319">
        <v>43001</v>
      </c>
      <c r="B2814" s="320" t="s">
        <v>30594</v>
      </c>
      <c r="C2814" s="321">
        <v>128573</v>
      </c>
      <c r="D2814" s="390" t="s">
        <v>5556</v>
      </c>
      <c r="E2814" s="322">
        <v>36868.25</v>
      </c>
      <c r="F2814" s="323">
        <v>43006</v>
      </c>
      <c r="G2814" s="322">
        <v>36868.25</v>
      </c>
      <c r="H2814" s="322">
        <f t="shared" si="40"/>
        <v>0</v>
      </c>
      <c r="I2814" s="325" t="s">
        <v>15214</v>
      </c>
    </row>
    <row r="2815" spans="1:9" ht="15.75" x14ac:dyDescent="0.25">
      <c r="A2815" s="359">
        <v>43001</v>
      </c>
      <c r="B2815" s="326" t="s">
        <v>30595</v>
      </c>
      <c r="C2815" s="327">
        <v>128574</v>
      </c>
      <c r="D2815" s="345" t="s">
        <v>95</v>
      </c>
      <c r="E2815" s="328">
        <v>0</v>
      </c>
      <c r="F2815" s="346" t="s">
        <v>95</v>
      </c>
      <c r="G2815" s="328">
        <v>0</v>
      </c>
      <c r="H2815" s="347">
        <f t="shared" si="40"/>
        <v>0</v>
      </c>
      <c r="I2815" s="331" t="s">
        <v>95</v>
      </c>
    </row>
    <row r="2816" spans="1:9" ht="30" x14ac:dyDescent="0.25">
      <c r="A2816" s="319">
        <v>43001</v>
      </c>
      <c r="B2816" s="320" t="s">
        <v>30596</v>
      </c>
      <c r="C2816" s="321">
        <v>128575</v>
      </c>
      <c r="D2816" s="390" t="s">
        <v>5575</v>
      </c>
      <c r="E2816" s="322">
        <v>10627.6</v>
      </c>
      <c r="F2816" s="323" t="s">
        <v>30430</v>
      </c>
      <c r="G2816" s="334">
        <f>4000+6627.6</f>
        <v>10627.6</v>
      </c>
      <c r="H2816" s="334">
        <f t="shared" si="40"/>
        <v>0</v>
      </c>
      <c r="I2816" s="325" t="s">
        <v>15214</v>
      </c>
    </row>
    <row r="2817" spans="1:9" x14ac:dyDescent="0.25">
      <c r="A2817" s="359">
        <v>43001</v>
      </c>
      <c r="B2817" s="326" t="s">
        <v>30597</v>
      </c>
      <c r="C2817" s="327">
        <v>128576</v>
      </c>
      <c r="D2817" s="391" t="s">
        <v>15376</v>
      </c>
      <c r="E2817" s="328">
        <v>8595.2000000000007</v>
      </c>
      <c r="F2817" s="329">
        <v>43001</v>
      </c>
      <c r="G2817" s="328">
        <v>8595.2000000000007</v>
      </c>
      <c r="H2817" s="347">
        <f t="shared" si="40"/>
        <v>0</v>
      </c>
      <c r="I2817" s="331" t="s">
        <v>15214</v>
      </c>
    </row>
    <row r="2818" spans="1:9" x14ac:dyDescent="0.25">
      <c r="A2818" s="319">
        <v>43001</v>
      </c>
      <c r="B2818" s="320" t="s">
        <v>30598</v>
      </c>
      <c r="C2818" s="321">
        <v>128577</v>
      </c>
      <c r="D2818" s="390" t="s">
        <v>15391</v>
      </c>
      <c r="E2818" s="322">
        <v>11444.4</v>
      </c>
      <c r="F2818" s="323">
        <v>43003</v>
      </c>
      <c r="G2818" s="322">
        <v>11444.4</v>
      </c>
      <c r="H2818" s="322">
        <f t="shared" si="40"/>
        <v>0</v>
      </c>
      <c r="I2818" s="325" t="s">
        <v>15214</v>
      </c>
    </row>
    <row r="2819" spans="1:9" x14ac:dyDescent="0.25">
      <c r="A2819" s="359">
        <v>43001</v>
      </c>
      <c r="B2819" s="326" t="s">
        <v>30599</v>
      </c>
      <c r="C2819" s="327">
        <v>128578</v>
      </c>
      <c r="D2819" s="391" t="s">
        <v>15668</v>
      </c>
      <c r="E2819" s="328">
        <v>4637.8</v>
      </c>
      <c r="F2819" s="329">
        <v>43003</v>
      </c>
      <c r="G2819" s="328">
        <v>4637.8</v>
      </c>
      <c r="H2819" s="347">
        <f t="shared" si="40"/>
        <v>0</v>
      </c>
      <c r="I2819" s="331" t="s">
        <v>15214</v>
      </c>
    </row>
    <row r="2820" spans="1:9" x14ac:dyDescent="0.25">
      <c r="A2820" s="319">
        <v>43001</v>
      </c>
      <c r="B2820" s="320" t="s">
        <v>30600</v>
      </c>
      <c r="C2820" s="321">
        <v>128579</v>
      </c>
      <c r="D2820" s="390" t="s">
        <v>15716</v>
      </c>
      <c r="E2820" s="322">
        <v>16723.2</v>
      </c>
      <c r="F2820" s="323">
        <v>43001</v>
      </c>
      <c r="G2820" s="322">
        <v>16723.2</v>
      </c>
      <c r="H2820" s="322">
        <f t="shared" si="40"/>
        <v>0</v>
      </c>
      <c r="I2820" s="325" t="s">
        <v>15214</v>
      </c>
    </row>
    <row r="2821" spans="1:9" x14ac:dyDescent="0.25">
      <c r="A2821" s="359">
        <v>43001</v>
      </c>
      <c r="B2821" s="326" t="s">
        <v>30601</v>
      </c>
      <c r="C2821" s="327">
        <v>128580</v>
      </c>
      <c r="D2821" s="391" t="s">
        <v>15315</v>
      </c>
      <c r="E2821" s="328">
        <v>3564</v>
      </c>
      <c r="F2821" s="329">
        <v>43001</v>
      </c>
      <c r="G2821" s="328">
        <v>3564</v>
      </c>
      <c r="H2821" s="347">
        <f t="shared" si="40"/>
        <v>0</v>
      </c>
      <c r="I2821" s="331" t="s">
        <v>15214</v>
      </c>
    </row>
    <row r="2822" spans="1:9" ht="45" x14ac:dyDescent="0.25">
      <c r="A2822" s="319">
        <v>43001</v>
      </c>
      <c r="B2822" s="320" t="s">
        <v>30602</v>
      </c>
      <c r="C2822" s="321">
        <v>128581</v>
      </c>
      <c r="D2822" s="390" t="s">
        <v>15258</v>
      </c>
      <c r="E2822" s="322">
        <v>18985.2</v>
      </c>
      <c r="F2822" s="323" t="s">
        <v>30603</v>
      </c>
      <c r="G2822" s="334">
        <f>6000+5000+7985.2</f>
        <v>18985.2</v>
      </c>
      <c r="H2822" s="334">
        <f t="shared" si="40"/>
        <v>0</v>
      </c>
      <c r="I2822" s="325" t="s">
        <v>15214</v>
      </c>
    </row>
    <row r="2823" spans="1:9" x14ac:dyDescent="0.25">
      <c r="A2823" s="359">
        <v>43001</v>
      </c>
      <c r="B2823" s="326" t="s">
        <v>30604</v>
      </c>
      <c r="C2823" s="327">
        <v>128582</v>
      </c>
      <c r="D2823" s="391" t="s">
        <v>15298</v>
      </c>
      <c r="E2823" s="328">
        <v>800</v>
      </c>
      <c r="F2823" s="329">
        <v>43001</v>
      </c>
      <c r="G2823" s="328">
        <v>800</v>
      </c>
      <c r="H2823" s="347">
        <f t="shared" si="40"/>
        <v>0</v>
      </c>
      <c r="I2823" s="331" t="s">
        <v>15214</v>
      </c>
    </row>
    <row r="2824" spans="1:9" x14ac:dyDescent="0.25">
      <c r="A2824" s="319">
        <v>43001</v>
      </c>
      <c r="B2824" s="320" t="s">
        <v>30605</v>
      </c>
      <c r="C2824" s="321">
        <v>128583</v>
      </c>
      <c r="D2824" s="390" t="s">
        <v>15716</v>
      </c>
      <c r="E2824" s="322">
        <v>1122</v>
      </c>
      <c r="F2824" s="323">
        <v>43001</v>
      </c>
      <c r="G2824" s="322">
        <v>1122</v>
      </c>
      <c r="H2824" s="322">
        <f t="shared" si="40"/>
        <v>0</v>
      </c>
      <c r="I2824" s="325" t="s">
        <v>15214</v>
      </c>
    </row>
    <row r="2825" spans="1:9" x14ac:dyDescent="0.25">
      <c r="A2825" s="359">
        <v>43001</v>
      </c>
      <c r="B2825" s="326" t="s">
        <v>30606</v>
      </c>
      <c r="C2825" s="327">
        <v>128584</v>
      </c>
      <c r="D2825" s="391" t="s">
        <v>15716</v>
      </c>
      <c r="E2825" s="328">
        <v>389.5</v>
      </c>
      <c r="F2825" s="329">
        <v>43001</v>
      </c>
      <c r="G2825" s="328">
        <v>389.5</v>
      </c>
      <c r="H2825" s="347">
        <f t="shared" si="40"/>
        <v>0</v>
      </c>
      <c r="I2825" s="331" t="s">
        <v>15214</v>
      </c>
    </row>
    <row r="2826" spans="1:9" x14ac:dyDescent="0.25">
      <c r="A2826" s="319">
        <v>43001</v>
      </c>
      <c r="B2826" s="320" t="s">
        <v>30607</v>
      </c>
      <c r="C2826" s="321">
        <v>128585</v>
      </c>
      <c r="D2826" s="390" t="s">
        <v>15236</v>
      </c>
      <c r="E2826" s="322">
        <v>9960.6</v>
      </c>
      <c r="F2826" s="323">
        <v>43004</v>
      </c>
      <c r="G2826" s="322">
        <v>9960.6</v>
      </c>
      <c r="H2826" s="322">
        <f t="shared" si="40"/>
        <v>0</v>
      </c>
      <c r="I2826" s="325" t="s">
        <v>15214</v>
      </c>
    </row>
    <row r="2827" spans="1:9" x14ac:dyDescent="0.25">
      <c r="A2827" s="359">
        <v>43001</v>
      </c>
      <c r="B2827" s="326" t="s">
        <v>30608</v>
      </c>
      <c r="C2827" s="327">
        <v>128586</v>
      </c>
      <c r="D2827" s="391" t="s">
        <v>15475</v>
      </c>
      <c r="E2827" s="328">
        <v>3393</v>
      </c>
      <c r="F2827" s="329">
        <v>43005</v>
      </c>
      <c r="G2827" s="328">
        <v>3393</v>
      </c>
      <c r="H2827" s="347">
        <f t="shared" si="40"/>
        <v>0</v>
      </c>
      <c r="I2827" s="331" t="s">
        <v>15214</v>
      </c>
    </row>
    <row r="2828" spans="1:9" ht="30" x14ac:dyDescent="0.25">
      <c r="A2828" s="319">
        <v>43001</v>
      </c>
      <c r="B2828" s="320" t="s">
        <v>30609</v>
      </c>
      <c r="C2828" s="321">
        <v>128587</v>
      </c>
      <c r="D2828" s="390" t="s">
        <v>15256</v>
      </c>
      <c r="E2828" s="322">
        <v>10019.5</v>
      </c>
      <c r="F2828" s="323" t="s">
        <v>30610</v>
      </c>
      <c r="G2828" s="334">
        <f>6000+4019.5</f>
        <v>10019.5</v>
      </c>
      <c r="H2828" s="334">
        <f t="shared" si="40"/>
        <v>0</v>
      </c>
      <c r="I2828" s="325" t="s">
        <v>15214</v>
      </c>
    </row>
    <row r="2829" spans="1:9" x14ac:dyDescent="0.25">
      <c r="A2829" s="359">
        <v>43001</v>
      </c>
      <c r="B2829" s="326" t="s">
        <v>30611</v>
      </c>
      <c r="C2829" s="327">
        <v>128588</v>
      </c>
      <c r="D2829" s="391" t="s">
        <v>30057</v>
      </c>
      <c r="E2829" s="328">
        <v>6708</v>
      </c>
      <c r="F2829" s="329">
        <v>43004</v>
      </c>
      <c r="G2829" s="328">
        <v>6708</v>
      </c>
      <c r="H2829" s="347">
        <f t="shared" si="40"/>
        <v>0</v>
      </c>
      <c r="I2829" s="331" t="s">
        <v>15214</v>
      </c>
    </row>
    <row r="2830" spans="1:9" ht="15.75" x14ac:dyDescent="0.25">
      <c r="A2830" s="319">
        <v>43001</v>
      </c>
      <c r="B2830" s="320" t="s">
        <v>30612</v>
      </c>
      <c r="C2830" s="321">
        <v>128589</v>
      </c>
      <c r="D2830" s="332" t="s">
        <v>95</v>
      </c>
      <c r="E2830" s="322">
        <v>0</v>
      </c>
      <c r="F2830" s="333" t="s">
        <v>95</v>
      </c>
      <c r="G2830" s="322">
        <v>0</v>
      </c>
      <c r="H2830" s="322">
        <f t="shared" si="40"/>
        <v>0</v>
      </c>
      <c r="I2830" s="325" t="s">
        <v>95</v>
      </c>
    </row>
    <row r="2831" spans="1:9" ht="30" x14ac:dyDescent="0.25">
      <c r="A2831" s="359">
        <v>43001</v>
      </c>
      <c r="B2831" s="326" t="s">
        <v>30613</v>
      </c>
      <c r="C2831" s="327">
        <v>128590</v>
      </c>
      <c r="D2831" s="391" t="s">
        <v>15223</v>
      </c>
      <c r="E2831" s="328">
        <v>57125.5</v>
      </c>
      <c r="F2831" s="329" t="s">
        <v>31624</v>
      </c>
      <c r="G2831" s="347">
        <f>10175.48+46950.02</f>
        <v>57125.5</v>
      </c>
      <c r="H2831" s="347">
        <f t="shared" si="40"/>
        <v>0</v>
      </c>
      <c r="I2831" s="331" t="s">
        <v>15214</v>
      </c>
    </row>
    <row r="2832" spans="1:9" ht="15.75" x14ac:dyDescent="0.25">
      <c r="A2832" s="319">
        <v>43001</v>
      </c>
      <c r="B2832" s="320" t="s">
        <v>30614</v>
      </c>
      <c r="C2832" s="321">
        <v>128591</v>
      </c>
      <c r="D2832" s="332" t="s">
        <v>95</v>
      </c>
      <c r="E2832" s="322">
        <v>0</v>
      </c>
      <c r="F2832" s="333" t="s">
        <v>95</v>
      </c>
      <c r="G2832" s="322">
        <v>0</v>
      </c>
      <c r="H2832" s="322">
        <f t="shared" si="40"/>
        <v>0</v>
      </c>
      <c r="I2832" s="325" t="s">
        <v>95</v>
      </c>
    </row>
    <row r="2833" spans="1:9" x14ac:dyDescent="0.25">
      <c r="A2833" s="359">
        <v>43001</v>
      </c>
      <c r="B2833" s="326" t="s">
        <v>30615</v>
      </c>
      <c r="C2833" s="327">
        <v>128592</v>
      </c>
      <c r="D2833" s="391" t="s">
        <v>15655</v>
      </c>
      <c r="E2833" s="328">
        <v>7676.9</v>
      </c>
      <c r="F2833" s="329">
        <v>43001</v>
      </c>
      <c r="G2833" s="328">
        <v>7676.9</v>
      </c>
      <c r="H2833" s="347">
        <f t="shared" si="40"/>
        <v>0</v>
      </c>
      <c r="I2833" s="331" t="s">
        <v>15214</v>
      </c>
    </row>
    <row r="2834" spans="1:9" ht="30" x14ac:dyDescent="0.25">
      <c r="A2834" s="319">
        <v>43001</v>
      </c>
      <c r="B2834" s="320" t="s">
        <v>30616</v>
      </c>
      <c r="C2834" s="321">
        <v>128593</v>
      </c>
      <c r="D2834" s="390" t="s">
        <v>15234</v>
      </c>
      <c r="E2834" s="322">
        <v>9789</v>
      </c>
      <c r="F2834" s="323" t="s">
        <v>30617</v>
      </c>
      <c r="G2834" s="334">
        <f>5500+4289</f>
        <v>9789</v>
      </c>
      <c r="H2834" s="334">
        <f t="shared" si="40"/>
        <v>0</v>
      </c>
      <c r="I2834" s="325" t="s">
        <v>15214</v>
      </c>
    </row>
    <row r="2835" spans="1:9" ht="30" x14ac:dyDescent="0.25">
      <c r="A2835" s="359">
        <v>43001</v>
      </c>
      <c r="B2835" s="326" t="s">
        <v>30618</v>
      </c>
      <c r="C2835" s="327">
        <v>128594</v>
      </c>
      <c r="D2835" s="391" t="s">
        <v>15480</v>
      </c>
      <c r="E2835" s="328">
        <v>8182.8</v>
      </c>
      <c r="F2835" s="329" t="s">
        <v>30619</v>
      </c>
      <c r="G2835" s="347">
        <f>5500+2682.8</f>
        <v>8182.8</v>
      </c>
      <c r="H2835" s="347">
        <f t="shared" si="40"/>
        <v>0</v>
      </c>
      <c r="I2835" s="331" t="s">
        <v>15214</v>
      </c>
    </row>
    <row r="2836" spans="1:9" x14ac:dyDescent="0.25">
      <c r="A2836" s="319">
        <v>43001</v>
      </c>
      <c r="B2836" s="320" t="s">
        <v>30620</v>
      </c>
      <c r="C2836" s="321">
        <v>128595</v>
      </c>
      <c r="D2836" s="390" t="s">
        <v>15238</v>
      </c>
      <c r="E2836" s="322">
        <v>11305</v>
      </c>
      <c r="F2836" s="323">
        <v>43004</v>
      </c>
      <c r="G2836" s="322">
        <v>11305</v>
      </c>
      <c r="H2836" s="322">
        <f t="shared" si="40"/>
        <v>0</v>
      </c>
      <c r="I2836" s="325" t="s">
        <v>15214</v>
      </c>
    </row>
    <row r="2837" spans="1:9" x14ac:dyDescent="0.25">
      <c r="A2837" s="359">
        <v>43001</v>
      </c>
      <c r="B2837" s="326" t="s">
        <v>30621</v>
      </c>
      <c r="C2837" s="327">
        <v>128596</v>
      </c>
      <c r="D2837" s="391" t="s">
        <v>15263</v>
      </c>
      <c r="E2837" s="328">
        <v>2601.6</v>
      </c>
      <c r="F2837" s="329">
        <v>43001</v>
      </c>
      <c r="G2837" s="328">
        <v>2601.6</v>
      </c>
      <c r="H2837" s="347">
        <f t="shared" si="40"/>
        <v>0</v>
      </c>
      <c r="I2837" s="331" t="s">
        <v>15214</v>
      </c>
    </row>
    <row r="2838" spans="1:9" x14ac:dyDescent="0.25">
      <c r="A2838" s="319">
        <v>43001</v>
      </c>
      <c r="B2838" s="320" t="s">
        <v>30622</v>
      </c>
      <c r="C2838" s="321">
        <v>128597</v>
      </c>
      <c r="D2838" s="390" t="s">
        <v>15371</v>
      </c>
      <c r="E2838" s="322">
        <v>4682.2</v>
      </c>
      <c r="F2838" s="323">
        <v>43002</v>
      </c>
      <c r="G2838" s="322">
        <v>4682.2</v>
      </c>
      <c r="H2838" s="322">
        <f t="shared" si="40"/>
        <v>0</v>
      </c>
      <c r="I2838" s="325" t="s">
        <v>15214</v>
      </c>
    </row>
    <row r="2839" spans="1:9" x14ac:dyDescent="0.25">
      <c r="A2839" s="359">
        <v>43001</v>
      </c>
      <c r="B2839" s="326" t="s">
        <v>30623</v>
      </c>
      <c r="C2839" s="327">
        <v>128598</v>
      </c>
      <c r="D2839" s="391" t="s">
        <v>15438</v>
      </c>
      <c r="E2839" s="328">
        <v>7349.5</v>
      </c>
      <c r="F2839" s="329">
        <v>43001</v>
      </c>
      <c r="G2839" s="328">
        <v>7349.5</v>
      </c>
      <c r="H2839" s="347">
        <f t="shared" si="40"/>
        <v>0</v>
      </c>
      <c r="I2839" s="331" t="s">
        <v>15214</v>
      </c>
    </row>
    <row r="2840" spans="1:9" x14ac:dyDescent="0.25">
      <c r="A2840" s="319">
        <v>43001</v>
      </c>
      <c r="B2840" s="320" t="s">
        <v>30624</v>
      </c>
      <c r="C2840" s="321">
        <v>128599</v>
      </c>
      <c r="D2840" s="390" t="s">
        <v>15987</v>
      </c>
      <c r="E2840" s="322">
        <v>920</v>
      </c>
      <c r="F2840" s="323">
        <v>43001</v>
      </c>
      <c r="G2840" s="322">
        <v>920</v>
      </c>
      <c r="H2840" s="322">
        <f t="shared" si="40"/>
        <v>0</v>
      </c>
      <c r="I2840" s="325" t="s">
        <v>15214</v>
      </c>
    </row>
    <row r="2841" spans="1:9" ht="15.75" x14ac:dyDescent="0.25">
      <c r="A2841" s="359">
        <v>43001</v>
      </c>
      <c r="B2841" s="326" t="s">
        <v>30625</v>
      </c>
      <c r="C2841" s="327">
        <v>128600</v>
      </c>
      <c r="D2841" s="345" t="s">
        <v>95</v>
      </c>
      <c r="E2841" s="328">
        <v>0</v>
      </c>
      <c r="F2841" s="346" t="s">
        <v>95</v>
      </c>
      <c r="G2841" s="328">
        <v>0</v>
      </c>
      <c r="H2841" s="347">
        <f t="shared" si="40"/>
        <v>0</v>
      </c>
      <c r="I2841" s="331" t="s">
        <v>95</v>
      </c>
    </row>
    <row r="2842" spans="1:9" x14ac:dyDescent="0.25">
      <c r="A2842" s="319">
        <v>43001</v>
      </c>
      <c r="B2842" s="320" t="s">
        <v>30626</v>
      </c>
      <c r="C2842" s="321">
        <v>128601</v>
      </c>
      <c r="D2842" s="390" t="s">
        <v>15523</v>
      </c>
      <c r="E2842" s="322">
        <v>4600</v>
      </c>
      <c r="F2842" s="323">
        <v>43001</v>
      </c>
      <c r="G2842" s="322">
        <v>4600</v>
      </c>
      <c r="H2842" s="322">
        <f t="shared" si="40"/>
        <v>0</v>
      </c>
      <c r="I2842" s="325" t="s">
        <v>15214</v>
      </c>
    </row>
    <row r="2843" spans="1:9" x14ac:dyDescent="0.25">
      <c r="A2843" s="359">
        <v>43001</v>
      </c>
      <c r="B2843" s="326" t="s">
        <v>30627</v>
      </c>
      <c r="C2843" s="327">
        <v>128602</v>
      </c>
      <c r="D2843" s="391" t="s">
        <v>5583</v>
      </c>
      <c r="E2843" s="328">
        <v>3426.5</v>
      </c>
      <c r="F2843" s="329">
        <v>43001</v>
      </c>
      <c r="G2843" s="328">
        <v>3426.5</v>
      </c>
      <c r="H2843" s="347">
        <f t="shared" si="40"/>
        <v>0</v>
      </c>
      <c r="I2843" s="331" t="s">
        <v>15214</v>
      </c>
    </row>
    <row r="2844" spans="1:9" x14ac:dyDescent="0.25">
      <c r="A2844" s="319">
        <v>43001</v>
      </c>
      <c r="B2844" s="320" t="s">
        <v>30628</v>
      </c>
      <c r="C2844" s="321">
        <v>128603</v>
      </c>
      <c r="D2844" s="390" t="s">
        <v>15912</v>
      </c>
      <c r="E2844" s="322">
        <v>4799.3599999999997</v>
      </c>
      <c r="F2844" s="323">
        <v>43001</v>
      </c>
      <c r="G2844" s="322">
        <v>4799.3599999999997</v>
      </c>
      <c r="H2844" s="322">
        <f t="shared" si="40"/>
        <v>0</v>
      </c>
      <c r="I2844" s="325" t="s">
        <v>15214</v>
      </c>
    </row>
    <row r="2845" spans="1:9" x14ac:dyDescent="0.25">
      <c r="A2845" s="359">
        <v>43001</v>
      </c>
      <c r="B2845" s="326" t="s">
        <v>30629</v>
      </c>
      <c r="C2845" s="327">
        <v>128604</v>
      </c>
      <c r="D2845" s="391" t="s">
        <v>15334</v>
      </c>
      <c r="E2845" s="328">
        <v>3550</v>
      </c>
      <c r="F2845" s="329">
        <v>43001</v>
      </c>
      <c r="G2845" s="328">
        <v>3550</v>
      </c>
      <c r="H2845" s="347">
        <f t="shared" si="40"/>
        <v>0</v>
      </c>
      <c r="I2845" s="331" t="s">
        <v>15214</v>
      </c>
    </row>
    <row r="2846" spans="1:9" x14ac:dyDescent="0.25">
      <c r="A2846" s="319">
        <v>43001</v>
      </c>
      <c r="B2846" s="320" t="s">
        <v>30630</v>
      </c>
      <c r="C2846" s="321">
        <v>128605</v>
      </c>
      <c r="D2846" s="390" t="s">
        <v>17210</v>
      </c>
      <c r="E2846" s="322">
        <v>5481.6</v>
      </c>
      <c r="F2846" s="323">
        <v>43001</v>
      </c>
      <c r="G2846" s="322">
        <v>5481.6</v>
      </c>
      <c r="H2846" s="322">
        <f t="shared" si="40"/>
        <v>0</v>
      </c>
      <c r="I2846" s="325" t="s">
        <v>15214</v>
      </c>
    </row>
    <row r="2847" spans="1:9" x14ac:dyDescent="0.25">
      <c r="A2847" s="359">
        <v>43001</v>
      </c>
      <c r="B2847" s="326" t="s">
        <v>30631</v>
      </c>
      <c r="C2847" s="327">
        <v>128606</v>
      </c>
      <c r="D2847" s="391" t="s">
        <v>15858</v>
      </c>
      <c r="E2847" s="328">
        <v>2727.64</v>
      </c>
      <c r="F2847" s="329">
        <v>43001</v>
      </c>
      <c r="G2847" s="328">
        <v>2727.64</v>
      </c>
      <c r="H2847" s="347">
        <f t="shared" si="40"/>
        <v>0</v>
      </c>
      <c r="I2847" s="331" t="s">
        <v>15214</v>
      </c>
    </row>
    <row r="2848" spans="1:9" x14ac:dyDescent="0.25">
      <c r="A2848" s="319">
        <v>43001</v>
      </c>
      <c r="B2848" s="320" t="s">
        <v>30632</v>
      </c>
      <c r="C2848" s="321">
        <v>128607</v>
      </c>
      <c r="D2848" s="390" t="s">
        <v>15240</v>
      </c>
      <c r="E2848" s="322">
        <v>3219.5</v>
      </c>
      <c r="F2848" s="323">
        <v>43003</v>
      </c>
      <c r="G2848" s="322">
        <v>3219.5</v>
      </c>
      <c r="H2848" s="322">
        <f t="shared" si="40"/>
        <v>0</v>
      </c>
      <c r="I2848" s="325" t="s">
        <v>15214</v>
      </c>
    </row>
    <row r="2849" spans="1:9" x14ac:dyDescent="0.25">
      <c r="A2849" s="359">
        <v>43001</v>
      </c>
      <c r="B2849" s="326" t="s">
        <v>30633</v>
      </c>
      <c r="C2849" s="327">
        <v>128608</v>
      </c>
      <c r="D2849" s="391" t="s">
        <v>15332</v>
      </c>
      <c r="E2849" s="328">
        <v>4595</v>
      </c>
      <c r="F2849" s="329">
        <v>43001</v>
      </c>
      <c r="G2849" s="328">
        <v>4595</v>
      </c>
      <c r="H2849" s="347">
        <f t="shared" si="40"/>
        <v>0</v>
      </c>
      <c r="I2849" s="331" t="s">
        <v>15214</v>
      </c>
    </row>
    <row r="2850" spans="1:9" x14ac:dyDescent="0.25">
      <c r="A2850" s="319">
        <v>43001</v>
      </c>
      <c r="B2850" s="320" t="s">
        <v>30634</v>
      </c>
      <c r="C2850" s="321">
        <v>128609</v>
      </c>
      <c r="D2850" s="390" t="s">
        <v>15332</v>
      </c>
      <c r="E2850" s="322">
        <v>210</v>
      </c>
      <c r="F2850" s="323">
        <v>43001</v>
      </c>
      <c r="G2850" s="322">
        <v>210</v>
      </c>
      <c r="H2850" s="322">
        <f t="shared" si="40"/>
        <v>0</v>
      </c>
      <c r="I2850" s="325" t="s">
        <v>15214</v>
      </c>
    </row>
    <row r="2851" spans="1:9" x14ac:dyDescent="0.25">
      <c r="A2851" s="359">
        <v>43001</v>
      </c>
      <c r="B2851" s="326" t="s">
        <v>30635</v>
      </c>
      <c r="C2851" s="327">
        <v>128610</v>
      </c>
      <c r="D2851" s="391" t="s">
        <v>15344</v>
      </c>
      <c r="E2851" s="328">
        <v>2404.8000000000002</v>
      </c>
      <c r="F2851" s="329">
        <v>43001</v>
      </c>
      <c r="G2851" s="328">
        <v>2404.8000000000002</v>
      </c>
      <c r="H2851" s="347">
        <f t="shared" si="40"/>
        <v>0</v>
      </c>
      <c r="I2851" s="331" t="s">
        <v>15214</v>
      </c>
    </row>
    <row r="2852" spans="1:9" x14ac:dyDescent="0.25">
      <c r="A2852" s="319">
        <v>43001</v>
      </c>
      <c r="B2852" s="320" t="s">
        <v>30636</v>
      </c>
      <c r="C2852" s="321">
        <v>128611</v>
      </c>
      <c r="D2852" s="390" t="s">
        <v>15340</v>
      </c>
      <c r="E2852" s="322">
        <v>1521.84</v>
      </c>
      <c r="F2852" s="323">
        <v>43001</v>
      </c>
      <c r="G2852" s="322">
        <v>1521.84</v>
      </c>
      <c r="H2852" s="322">
        <f t="shared" si="40"/>
        <v>0</v>
      </c>
      <c r="I2852" s="325" t="s">
        <v>15214</v>
      </c>
    </row>
    <row r="2853" spans="1:9" x14ac:dyDescent="0.25">
      <c r="A2853" s="359">
        <v>43001</v>
      </c>
      <c r="B2853" s="326" t="s">
        <v>30637</v>
      </c>
      <c r="C2853" s="327">
        <v>128612</v>
      </c>
      <c r="D2853" s="391" t="s">
        <v>15280</v>
      </c>
      <c r="E2853" s="328">
        <v>5103.6000000000004</v>
      </c>
      <c r="F2853" s="329">
        <v>43001</v>
      </c>
      <c r="G2853" s="328">
        <v>5103.6000000000004</v>
      </c>
      <c r="H2853" s="347">
        <f t="shared" si="40"/>
        <v>0</v>
      </c>
      <c r="I2853" s="331" t="s">
        <v>15214</v>
      </c>
    </row>
    <row r="2854" spans="1:9" x14ac:dyDescent="0.25">
      <c r="A2854" s="319">
        <v>43001</v>
      </c>
      <c r="B2854" s="320" t="s">
        <v>30638</v>
      </c>
      <c r="C2854" s="321">
        <v>128613</v>
      </c>
      <c r="D2854" s="390" t="s">
        <v>15526</v>
      </c>
      <c r="E2854" s="322">
        <v>4867.2</v>
      </c>
      <c r="F2854" s="323">
        <v>43001</v>
      </c>
      <c r="G2854" s="322">
        <v>4867.2</v>
      </c>
      <c r="H2854" s="322">
        <f t="shared" si="40"/>
        <v>0</v>
      </c>
      <c r="I2854" s="325" t="s">
        <v>15214</v>
      </c>
    </row>
    <row r="2855" spans="1:9" x14ac:dyDescent="0.25">
      <c r="A2855" s="359">
        <v>43001</v>
      </c>
      <c r="B2855" s="326" t="s">
        <v>30639</v>
      </c>
      <c r="C2855" s="327">
        <v>128614</v>
      </c>
      <c r="D2855" s="391" t="s">
        <v>15396</v>
      </c>
      <c r="E2855" s="328">
        <v>8833.86</v>
      </c>
      <c r="F2855" s="329">
        <v>43001</v>
      </c>
      <c r="G2855" s="328">
        <v>8833.86</v>
      </c>
      <c r="H2855" s="347">
        <f t="shared" si="40"/>
        <v>0</v>
      </c>
      <c r="I2855" s="331" t="s">
        <v>15214</v>
      </c>
    </row>
    <row r="2856" spans="1:9" x14ac:dyDescent="0.25">
      <c r="A2856" s="319">
        <v>43001</v>
      </c>
      <c r="B2856" s="320" t="s">
        <v>30640</v>
      </c>
      <c r="C2856" s="321">
        <v>128615</v>
      </c>
      <c r="D2856" s="390" t="s">
        <v>17950</v>
      </c>
      <c r="E2856" s="322">
        <v>4092</v>
      </c>
      <c r="F2856" s="323">
        <v>43001</v>
      </c>
      <c r="G2856" s="322">
        <v>4092</v>
      </c>
      <c r="H2856" s="322">
        <f t="shared" si="40"/>
        <v>0</v>
      </c>
      <c r="I2856" s="325" t="s">
        <v>15214</v>
      </c>
    </row>
    <row r="2857" spans="1:9" x14ac:dyDescent="0.25">
      <c r="A2857" s="359">
        <v>43001</v>
      </c>
      <c r="B2857" s="326" t="s">
        <v>30641</v>
      </c>
      <c r="C2857" s="327">
        <v>128616</v>
      </c>
      <c r="D2857" s="391" t="s">
        <v>15358</v>
      </c>
      <c r="E2857" s="328">
        <v>4241.2</v>
      </c>
      <c r="F2857" s="329">
        <v>43001</v>
      </c>
      <c r="G2857" s="328">
        <v>4241.2</v>
      </c>
      <c r="H2857" s="347">
        <f t="shared" si="40"/>
        <v>0</v>
      </c>
      <c r="I2857" s="331" t="s">
        <v>15214</v>
      </c>
    </row>
    <row r="2858" spans="1:9" x14ac:dyDescent="0.25">
      <c r="A2858" s="319">
        <v>43001</v>
      </c>
      <c r="B2858" s="320" t="s">
        <v>30642</v>
      </c>
      <c r="C2858" s="321">
        <v>128617</v>
      </c>
      <c r="D2858" s="390" t="s">
        <v>15315</v>
      </c>
      <c r="E2858" s="322">
        <v>3392</v>
      </c>
      <c r="F2858" s="323">
        <v>43001</v>
      </c>
      <c r="G2858" s="322">
        <v>3392</v>
      </c>
      <c r="H2858" s="322">
        <f t="shared" si="40"/>
        <v>0</v>
      </c>
      <c r="I2858" s="325" t="s">
        <v>15214</v>
      </c>
    </row>
    <row r="2859" spans="1:9" x14ac:dyDescent="0.25">
      <c r="A2859" s="359">
        <v>43001</v>
      </c>
      <c r="B2859" s="326" t="s">
        <v>30643</v>
      </c>
      <c r="C2859" s="327">
        <v>128618</v>
      </c>
      <c r="D2859" s="391" t="s">
        <v>15592</v>
      </c>
      <c r="E2859" s="328">
        <v>7537</v>
      </c>
      <c r="F2859" s="329">
        <v>43001</v>
      </c>
      <c r="G2859" s="328">
        <v>7537</v>
      </c>
      <c r="H2859" s="347">
        <f t="shared" si="40"/>
        <v>0</v>
      </c>
      <c r="I2859" s="331" t="s">
        <v>15214</v>
      </c>
    </row>
    <row r="2860" spans="1:9" x14ac:dyDescent="0.25">
      <c r="A2860" s="319">
        <v>43001</v>
      </c>
      <c r="B2860" s="320" t="s">
        <v>30644</v>
      </c>
      <c r="C2860" s="321">
        <v>128619</v>
      </c>
      <c r="D2860" s="390" t="s">
        <v>15655</v>
      </c>
      <c r="E2860" s="322">
        <v>22688</v>
      </c>
      <c r="F2860" s="323" t="s">
        <v>25455</v>
      </c>
      <c r="G2860" s="322">
        <v>22688</v>
      </c>
      <c r="H2860" s="322">
        <f t="shared" si="40"/>
        <v>0</v>
      </c>
      <c r="I2860" s="325" t="s">
        <v>15214</v>
      </c>
    </row>
    <row r="2861" spans="1:9" x14ac:dyDescent="0.25">
      <c r="A2861" s="359">
        <v>43001</v>
      </c>
      <c r="B2861" s="326" t="s">
        <v>30645</v>
      </c>
      <c r="C2861" s="327">
        <v>128620</v>
      </c>
      <c r="D2861" s="391" t="s">
        <v>15324</v>
      </c>
      <c r="E2861" s="328">
        <v>2755</v>
      </c>
      <c r="F2861" s="329">
        <v>43001</v>
      </c>
      <c r="G2861" s="328">
        <v>2755</v>
      </c>
      <c r="H2861" s="347">
        <f t="shared" si="40"/>
        <v>0</v>
      </c>
      <c r="I2861" s="331" t="s">
        <v>15214</v>
      </c>
    </row>
    <row r="2862" spans="1:9" x14ac:dyDescent="0.25">
      <c r="A2862" s="319">
        <v>43001</v>
      </c>
      <c r="B2862" s="320" t="s">
        <v>30646</v>
      </c>
      <c r="C2862" s="321">
        <v>128621</v>
      </c>
      <c r="D2862" s="390" t="s">
        <v>15336</v>
      </c>
      <c r="E2862" s="322">
        <v>10396</v>
      </c>
      <c r="F2862" s="323">
        <v>43001</v>
      </c>
      <c r="G2862" s="322">
        <v>10396</v>
      </c>
      <c r="H2862" s="322">
        <f t="shared" si="40"/>
        <v>0</v>
      </c>
      <c r="I2862" s="325" t="s">
        <v>15214</v>
      </c>
    </row>
    <row r="2863" spans="1:9" x14ac:dyDescent="0.25">
      <c r="A2863" s="359">
        <v>43001</v>
      </c>
      <c r="B2863" s="326" t="s">
        <v>30647</v>
      </c>
      <c r="C2863" s="327">
        <v>128622</v>
      </c>
      <c r="D2863" s="391" t="s">
        <v>15278</v>
      </c>
      <c r="E2863" s="328">
        <v>6731.1</v>
      </c>
      <c r="F2863" s="329">
        <v>43001</v>
      </c>
      <c r="G2863" s="328">
        <v>6731.1</v>
      </c>
      <c r="H2863" s="347">
        <f t="shared" si="40"/>
        <v>0</v>
      </c>
      <c r="I2863" s="331" t="s">
        <v>15214</v>
      </c>
    </row>
    <row r="2864" spans="1:9" x14ac:dyDescent="0.25">
      <c r="A2864" s="319">
        <v>43001</v>
      </c>
      <c r="B2864" s="320" t="s">
        <v>30648</v>
      </c>
      <c r="C2864" s="321">
        <v>128623</v>
      </c>
      <c r="D2864" s="390" t="s">
        <v>29500</v>
      </c>
      <c r="E2864" s="322">
        <v>4600</v>
      </c>
      <c r="F2864" s="323">
        <v>43002</v>
      </c>
      <c r="G2864" s="322">
        <v>4600</v>
      </c>
      <c r="H2864" s="322">
        <f t="shared" si="40"/>
        <v>0</v>
      </c>
      <c r="I2864" s="325" t="s">
        <v>15214</v>
      </c>
    </row>
    <row r="2865" spans="1:9" x14ac:dyDescent="0.25">
      <c r="A2865" s="359">
        <v>43001</v>
      </c>
      <c r="B2865" s="326" t="s">
        <v>30649</v>
      </c>
      <c r="C2865" s="327">
        <v>128624</v>
      </c>
      <c r="D2865" s="391" t="s">
        <v>15745</v>
      </c>
      <c r="E2865" s="328">
        <v>1897.36</v>
      </c>
      <c r="F2865" s="329">
        <v>43002</v>
      </c>
      <c r="G2865" s="328">
        <v>1897.36</v>
      </c>
      <c r="H2865" s="347">
        <f t="shared" ref="H2865:H2928" si="41">E2865-G2865</f>
        <v>0</v>
      </c>
      <c r="I2865" s="331" t="s">
        <v>15214</v>
      </c>
    </row>
    <row r="2866" spans="1:9" ht="30" x14ac:dyDescent="0.25">
      <c r="A2866" s="319">
        <v>43001</v>
      </c>
      <c r="B2866" s="320" t="s">
        <v>30650</v>
      </c>
      <c r="C2866" s="321">
        <v>128625</v>
      </c>
      <c r="D2866" s="390" t="s">
        <v>15530</v>
      </c>
      <c r="E2866" s="322">
        <v>3104.4</v>
      </c>
      <c r="F2866" s="323" t="s">
        <v>30651</v>
      </c>
      <c r="G2866" s="334">
        <f>2900+204.4</f>
        <v>3104.4</v>
      </c>
      <c r="H2866" s="334">
        <f t="shared" si="41"/>
        <v>0</v>
      </c>
      <c r="I2866" s="325" t="s">
        <v>15214</v>
      </c>
    </row>
    <row r="2867" spans="1:9" x14ac:dyDescent="0.25">
      <c r="A2867" s="359">
        <v>43001</v>
      </c>
      <c r="B2867" s="326" t="s">
        <v>30652</v>
      </c>
      <c r="C2867" s="327">
        <v>128626</v>
      </c>
      <c r="D2867" s="391" t="s">
        <v>15301</v>
      </c>
      <c r="E2867" s="328">
        <v>3868.8</v>
      </c>
      <c r="F2867" s="329">
        <v>43002</v>
      </c>
      <c r="G2867" s="328">
        <v>3868.8</v>
      </c>
      <c r="H2867" s="347">
        <f t="shared" si="41"/>
        <v>0</v>
      </c>
      <c r="I2867" s="331" t="s">
        <v>15214</v>
      </c>
    </row>
    <row r="2868" spans="1:9" x14ac:dyDescent="0.25">
      <c r="A2868" s="319">
        <v>43001</v>
      </c>
      <c r="B2868" s="320" t="s">
        <v>30653</v>
      </c>
      <c r="C2868" s="321">
        <v>128627</v>
      </c>
      <c r="D2868" s="390" t="s">
        <v>16064</v>
      </c>
      <c r="E2868" s="322">
        <v>4926.6000000000004</v>
      </c>
      <c r="F2868" s="323">
        <v>43002</v>
      </c>
      <c r="G2868" s="322">
        <v>4926.6000000000004</v>
      </c>
      <c r="H2868" s="322">
        <f t="shared" si="41"/>
        <v>0</v>
      </c>
      <c r="I2868" s="325" t="s">
        <v>15214</v>
      </c>
    </row>
    <row r="2869" spans="1:9" x14ac:dyDescent="0.25">
      <c r="A2869" s="359">
        <v>43001</v>
      </c>
      <c r="B2869" s="326" t="s">
        <v>30654</v>
      </c>
      <c r="C2869" s="327">
        <v>128628</v>
      </c>
      <c r="D2869" s="391" t="s">
        <v>15320</v>
      </c>
      <c r="E2869" s="328">
        <v>2232</v>
      </c>
      <c r="F2869" s="329">
        <v>43002</v>
      </c>
      <c r="G2869" s="328">
        <v>2232</v>
      </c>
      <c r="H2869" s="347">
        <f t="shared" si="41"/>
        <v>0</v>
      </c>
      <c r="I2869" s="331" t="s">
        <v>15214</v>
      </c>
    </row>
    <row r="2870" spans="1:9" x14ac:dyDescent="0.25">
      <c r="A2870" s="319">
        <v>43001</v>
      </c>
      <c r="B2870" s="320" t="s">
        <v>30655</v>
      </c>
      <c r="C2870" s="321">
        <v>128629</v>
      </c>
      <c r="D2870" s="390" t="s">
        <v>15261</v>
      </c>
      <c r="E2870" s="322">
        <v>10756.5</v>
      </c>
      <c r="F2870" s="323">
        <v>43001</v>
      </c>
      <c r="G2870" s="322">
        <v>10756.5</v>
      </c>
      <c r="H2870" s="322">
        <f t="shared" si="41"/>
        <v>0</v>
      </c>
      <c r="I2870" s="325" t="s">
        <v>15214</v>
      </c>
    </row>
    <row r="2871" spans="1:9" x14ac:dyDescent="0.25">
      <c r="A2871" s="359">
        <v>43001</v>
      </c>
      <c r="B2871" s="326" t="s">
        <v>30656</v>
      </c>
      <c r="C2871" s="327">
        <v>128630</v>
      </c>
      <c r="D2871" s="391" t="s">
        <v>15706</v>
      </c>
      <c r="E2871" s="328">
        <v>4710.8</v>
      </c>
      <c r="F2871" s="329">
        <v>43001</v>
      </c>
      <c r="G2871" s="328">
        <v>4710.8</v>
      </c>
      <c r="H2871" s="347">
        <f t="shared" si="41"/>
        <v>0</v>
      </c>
      <c r="I2871" s="331" t="s">
        <v>15214</v>
      </c>
    </row>
    <row r="2872" spans="1:9" x14ac:dyDescent="0.25">
      <c r="A2872" s="319">
        <v>43001</v>
      </c>
      <c r="B2872" s="320" t="s">
        <v>30657</v>
      </c>
      <c r="C2872" s="321">
        <v>128631</v>
      </c>
      <c r="D2872" s="390" t="s">
        <v>15248</v>
      </c>
      <c r="E2872" s="322">
        <v>11733.2</v>
      </c>
      <c r="F2872" s="323">
        <v>43001</v>
      </c>
      <c r="G2872" s="322">
        <v>11733.2</v>
      </c>
      <c r="H2872" s="322">
        <f t="shared" si="41"/>
        <v>0</v>
      </c>
      <c r="I2872" s="325" t="s">
        <v>15214</v>
      </c>
    </row>
    <row r="2873" spans="1:9" x14ac:dyDescent="0.25">
      <c r="A2873" s="359">
        <v>43001</v>
      </c>
      <c r="B2873" s="326" t="s">
        <v>30658</v>
      </c>
      <c r="C2873" s="327">
        <v>128632</v>
      </c>
      <c r="D2873" s="391" t="s">
        <v>15415</v>
      </c>
      <c r="E2873" s="328">
        <v>965</v>
      </c>
      <c r="F2873" s="329">
        <v>43003</v>
      </c>
      <c r="G2873" s="328">
        <v>965</v>
      </c>
      <c r="H2873" s="347">
        <f t="shared" si="41"/>
        <v>0</v>
      </c>
      <c r="I2873" s="331" t="s">
        <v>15214</v>
      </c>
    </row>
    <row r="2874" spans="1:9" x14ac:dyDescent="0.25">
      <c r="A2874" s="319">
        <v>43001</v>
      </c>
      <c r="B2874" s="320" t="s">
        <v>30659</v>
      </c>
      <c r="C2874" s="321">
        <v>128633</v>
      </c>
      <c r="D2874" s="390" t="s">
        <v>15596</v>
      </c>
      <c r="E2874" s="322">
        <v>920</v>
      </c>
      <c r="F2874" s="323">
        <v>43002</v>
      </c>
      <c r="G2874" s="322">
        <v>920</v>
      </c>
      <c r="H2874" s="322">
        <f t="shared" si="41"/>
        <v>0</v>
      </c>
      <c r="I2874" s="325" t="s">
        <v>15214</v>
      </c>
    </row>
    <row r="2875" spans="1:9" x14ac:dyDescent="0.25">
      <c r="A2875" s="359">
        <v>43001</v>
      </c>
      <c r="B2875" s="326" t="s">
        <v>30660</v>
      </c>
      <c r="C2875" s="327">
        <v>128634</v>
      </c>
      <c r="D2875" s="391" t="s">
        <v>15562</v>
      </c>
      <c r="E2875" s="328">
        <v>1250.2</v>
      </c>
      <c r="F2875" s="329">
        <v>43001</v>
      </c>
      <c r="G2875" s="328">
        <v>1250.2</v>
      </c>
      <c r="H2875" s="347">
        <f t="shared" si="41"/>
        <v>0</v>
      </c>
      <c r="I2875" s="331" t="s">
        <v>15214</v>
      </c>
    </row>
    <row r="2876" spans="1:9" x14ac:dyDescent="0.25">
      <c r="A2876" s="319">
        <v>43001</v>
      </c>
      <c r="B2876" s="320" t="s">
        <v>30661</v>
      </c>
      <c r="C2876" s="321">
        <v>128635</v>
      </c>
      <c r="D2876" s="390" t="s">
        <v>15583</v>
      </c>
      <c r="E2876" s="322">
        <v>787.4</v>
      </c>
      <c r="F2876" s="323">
        <v>43005</v>
      </c>
      <c r="G2876" s="322">
        <v>787.4</v>
      </c>
      <c r="H2876" s="322">
        <f t="shared" si="41"/>
        <v>0</v>
      </c>
      <c r="I2876" s="325" t="s">
        <v>15214</v>
      </c>
    </row>
    <row r="2877" spans="1:9" x14ac:dyDescent="0.25">
      <c r="A2877" s="359">
        <v>43001</v>
      </c>
      <c r="B2877" s="326" t="s">
        <v>30662</v>
      </c>
      <c r="C2877" s="327">
        <v>128636</v>
      </c>
      <c r="D2877" s="391" t="s">
        <v>15315</v>
      </c>
      <c r="E2877" s="328">
        <v>818.8</v>
      </c>
      <c r="F2877" s="329">
        <v>43002</v>
      </c>
      <c r="G2877" s="328">
        <v>818.8</v>
      </c>
      <c r="H2877" s="347">
        <f t="shared" si="41"/>
        <v>0</v>
      </c>
      <c r="I2877" s="331" t="s">
        <v>15214</v>
      </c>
    </row>
    <row r="2878" spans="1:9" x14ac:dyDescent="0.25">
      <c r="A2878" s="319">
        <v>43001</v>
      </c>
      <c r="B2878" s="320" t="s">
        <v>30663</v>
      </c>
      <c r="C2878" s="321">
        <v>128637</v>
      </c>
      <c r="D2878" s="390" t="s">
        <v>15311</v>
      </c>
      <c r="E2878" s="322">
        <v>2519.2399999999998</v>
      </c>
      <c r="F2878" s="323">
        <v>43002</v>
      </c>
      <c r="G2878" s="322">
        <v>2519.2399999999998</v>
      </c>
      <c r="H2878" s="322">
        <f t="shared" si="41"/>
        <v>0</v>
      </c>
      <c r="I2878" s="325" t="s">
        <v>15214</v>
      </c>
    </row>
    <row r="2879" spans="1:9" x14ac:dyDescent="0.25">
      <c r="A2879" s="359">
        <v>43001</v>
      </c>
      <c r="B2879" s="326" t="s">
        <v>30664</v>
      </c>
      <c r="C2879" s="327">
        <v>128638</v>
      </c>
      <c r="D2879" s="391" t="s">
        <v>15315</v>
      </c>
      <c r="E2879" s="328">
        <v>110</v>
      </c>
      <c r="F2879" s="329">
        <v>43002</v>
      </c>
      <c r="G2879" s="328">
        <v>110</v>
      </c>
      <c r="H2879" s="347">
        <f t="shared" si="41"/>
        <v>0</v>
      </c>
      <c r="I2879" s="331" t="s">
        <v>15214</v>
      </c>
    </row>
    <row r="2880" spans="1:9" x14ac:dyDescent="0.25">
      <c r="A2880" s="319">
        <v>43001</v>
      </c>
      <c r="B2880" s="320" t="s">
        <v>30665</v>
      </c>
      <c r="C2880" s="321">
        <v>128639</v>
      </c>
      <c r="D2880" s="390" t="s">
        <v>15307</v>
      </c>
      <c r="E2880" s="322">
        <v>4004.8</v>
      </c>
      <c r="F2880" s="323">
        <v>43002</v>
      </c>
      <c r="G2880" s="322">
        <v>4004.8</v>
      </c>
      <c r="H2880" s="322">
        <f t="shared" si="41"/>
        <v>0</v>
      </c>
      <c r="I2880" s="325" t="s">
        <v>15214</v>
      </c>
    </row>
    <row r="2881" spans="1:9" x14ac:dyDescent="0.25">
      <c r="A2881" s="359">
        <v>43001</v>
      </c>
      <c r="B2881" s="326" t="s">
        <v>30666</v>
      </c>
      <c r="C2881" s="327">
        <v>128640</v>
      </c>
      <c r="D2881" s="391" t="s">
        <v>15236</v>
      </c>
      <c r="E2881" s="328">
        <v>1452</v>
      </c>
      <c r="F2881" s="329">
        <v>43002</v>
      </c>
      <c r="G2881" s="328">
        <v>1452</v>
      </c>
      <c r="H2881" s="347">
        <f t="shared" si="41"/>
        <v>0</v>
      </c>
      <c r="I2881" s="331" t="s">
        <v>15214</v>
      </c>
    </row>
    <row r="2882" spans="1:9" x14ac:dyDescent="0.25">
      <c r="A2882" s="319">
        <v>43001</v>
      </c>
      <c r="B2882" s="320" t="s">
        <v>30667</v>
      </c>
      <c r="C2882" s="321">
        <v>128641</v>
      </c>
      <c r="D2882" s="390" t="s">
        <v>15626</v>
      </c>
      <c r="E2882" s="322">
        <v>3728</v>
      </c>
      <c r="F2882" s="323">
        <v>43002</v>
      </c>
      <c r="G2882" s="322">
        <v>3728</v>
      </c>
      <c r="H2882" s="322">
        <f t="shared" si="41"/>
        <v>0</v>
      </c>
      <c r="I2882" s="325" t="s">
        <v>15214</v>
      </c>
    </row>
    <row r="2883" spans="1:9" x14ac:dyDescent="0.25">
      <c r="A2883" s="359">
        <v>43001</v>
      </c>
      <c r="B2883" s="326" t="s">
        <v>30668</v>
      </c>
      <c r="C2883" s="327">
        <v>128642</v>
      </c>
      <c r="D2883" s="391" t="s">
        <v>15291</v>
      </c>
      <c r="E2883" s="328">
        <v>920</v>
      </c>
      <c r="F2883" s="329">
        <v>43002</v>
      </c>
      <c r="G2883" s="328">
        <v>920</v>
      </c>
      <c r="H2883" s="347">
        <f t="shared" si="41"/>
        <v>0</v>
      </c>
      <c r="I2883" s="331" t="s">
        <v>15214</v>
      </c>
    </row>
    <row r="2884" spans="1:9" x14ac:dyDescent="0.25">
      <c r="A2884" s="319">
        <v>43001</v>
      </c>
      <c r="B2884" s="320" t="s">
        <v>30669</v>
      </c>
      <c r="C2884" s="321">
        <v>128643</v>
      </c>
      <c r="D2884" s="390" t="s">
        <v>15276</v>
      </c>
      <c r="E2884" s="322">
        <v>5520</v>
      </c>
      <c r="F2884" s="323">
        <v>43002</v>
      </c>
      <c r="G2884" s="322">
        <v>5520</v>
      </c>
      <c r="H2884" s="322">
        <f t="shared" si="41"/>
        <v>0</v>
      </c>
      <c r="I2884" s="325" t="s">
        <v>15214</v>
      </c>
    </row>
    <row r="2885" spans="1:9" x14ac:dyDescent="0.25">
      <c r="A2885" s="359">
        <v>43001</v>
      </c>
      <c r="B2885" s="326" t="s">
        <v>30670</v>
      </c>
      <c r="C2885" s="327">
        <v>128644</v>
      </c>
      <c r="D2885" s="391" t="s">
        <v>15252</v>
      </c>
      <c r="E2885" s="328">
        <v>9734.1</v>
      </c>
      <c r="F2885" s="329">
        <v>43001</v>
      </c>
      <c r="G2885" s="328">
        <v>9734.1</v>
      </c>
      <c r="H2885" s="347">
        <f t="shared" si="41"/>
        <v>0</v>
      </c>
      <c r="I2885" s="331" t="s">
        <v>15214</v>
      </c>
    </row>
    <row r="2886" spans="1:9" x14ac:dyDescent="0.25">
      <c r="A2886" s="319">
        <v>43001</v>
      </c>
      <c r="B2886" s="320" t="s">
        <v>30671</v>
      </c>
      <c r="C2886" s="321">
        <v>128645</v>
      </c>
      <c r="D2886" s="390" t="s">
        <v>15417</v>
      </c>
      <c r="E2886" s="322">
        <v>3827.2</v>
      </c>
      <c r="F2886" s="323">
        <v>43002</v>
      </c>
      <c r="G2886" s="322">
        <v>3827.2</v>
      </c>
      <c r="H2886" s="322">
        <f t="shared" si="41"/>
        <v>0</v>
      </c>
      <c r="I2886" s="325" t="s">
        <v>15214</v>
      </c>
    </row>
    <row r="2887" spans="1:9" x14ac:dyDescent="0.25">
      <c r="A2887" s="359">
        <v>43001</v>
      </c>
      <c r="B2887" s="326" t="s">
        <v>30672</v>
      </c>
      <c r="C2887" s="327">
        <v>128646</v>
      </c>
      <c r="D2887" s="391" t="s">
        <v>15378</v>
      </c>
      <c r="E2887" s="328">
        <v>2003.5</v>
      </c>
      <c r="F2887" s="329">
        <v>43001</v>
      </c>
      <c r="G2887" s="328">
        <v>2003.5</v>
      </c>
      <c r="H2887" s="347">
        <f t="shared" si="41"/>
        <v>0</v>
      </c>
      <c r="I2887" s="331" t="s">
        <v>15214</v>
      </c>
    </row>
    <row r="2888" spans="1:9" ht="15.75" x14ac:dyDescent="0.25">
      <c r="A2888" s="319">
        <v>43001</v>
      </c>
      <c r="B2888" s="320" t="s">
        <v>30673</v>
      </c>
      <c r="C2888" s="321">
        <v>128647</v>
      </c>
      <c r="D2888" s="332" t="s">
        <v>95</v>
      </c>
      <c r="E2888" s="322">
        <v>0</v>
      </c>
      <c r="F2888" s="333" t="s">
        <v>95</v>
      </c>
      <c r="G2888" s="322">
        <v>0</v>
      </c>
      <c r="H2888" s="322">
        <f t="shared" si="41"/>
        <v>0</v>
      </c>
      <c r="I2888" s="325" t="s">
        <v>95</v>
      </c>
    </row>
    <row r="2889" spans="1:9" x14ac:dyDescent="0.25">
      <c r="A2889" s="359">
        <v>43001</v>
      </c>
      <c r="B2889" s="326" t="s">
        <v>30674</v>
      </c>
      <c r="C2889" s="327">
        <v>128648</v>
      </c>
      <c r="D2889" s="391" t="s">
        <v>15782</v>
      </c>
      <c r="E2889" s="328">
        <v>1507.5</v>
      </c>
      <c r="F2889" s="329">
        <v>43002</v>
      </c>
      <c r="G2889" s="328">
        <v>1507.5</v>
      </c>
      <c r="H2889" s="347">
        <f t="shared" si="41"/>
        <v>0</v>
      </c>
      <c r="I2889" s="331" t="s">
        <v>15214</v>
      </c>
    </row>
    <row r="2890" spans="1:9" x14ac:dyDescent="0.25">
      <c r="A2890" s="319">
        <v>43001</v>
      </c>
      <c r="B2890" s="320" t="s">
        <v>30675</v>
      </c>
      <c r="C2890" s="321">
        <v>128649</v>
      </c>
      <c r="D2890" s="390" t="s">
        <v>30255</v>
      </c>
      <c r="E2890" s="322">
        <v>6144.6</v>
      </c>
      <c r="F2890" s="323">
        <v>43002</v>
      </c>
      <c r="G2890" s="322">
        <v>6144.6</v>
      </c>
      <c r="H2890" s="322">
        <f t="shared" si="41"/>
        <v>0</v>
      </c>
      <c r="I2890" s="325" t="s">
        <v>15214</v>
      </c>
    </row>
    <row r="2891" spans="1:9" x14ac:dyDescent="0.25">
      <c r="A2891" s="359">
        <v>43001</v>
      </c>
      <c r="B2891" s="326" t="s">
        <v>30676</v>
      </c>
      <c r="C2891" s="327">
        <v>128650</v>
      </c>
      <c r="D2891" s="391" t="s">
        <v>18890</v>
      </c>
      <c r="E2891" s="328">
        <v>11916.8</v>
      </c>
      <c r="F2891" s="329">
        <v>43001</v>
      </c>
      <c r="G2891" s="328">
        <v>11916.8</v>
      </c>
      <c r="H2891" s="347">
        <f t="shared" si="41"/>
        <v>0</v>
      </c>
      <c r="I2891" s="331" t="s">
        <v>15214</v>
      </c>
    </row>
    <row r="2892" spans="1:9" x14ac:dyDescent="0.25">
      <c r="A2892" s="319">
        <v>43001</v>
      </c>
      <c r="B2892" s="320" t="s">
        <v>30677</v>
      </c>
      <c r="C2892" s="321">
        <v>128651</v>
      </c>
      <c r="D2892" s="390" t="s">
        <v>15244</v>
      </c>
      <c r="E2892" s="322">
        <v>27448.9</v>
      </c>
      <c r="F2892" s="323">
        <v>43011</v>
      </c>
      <c r="G2892" s="322">
        <v>27448.9</v>
      </c>
      <c r="H2892" s="322">
        <f t="shared" si="41"/>
        <v>0</v>
      </c>
      <c r="I2892" s="325" t="s">
        <v>15214</v>
      </c>
    </row>
    <row r="2893" spans="1:9" x14ac:dyDescent="0.25">
      <c r="A2893" s="359">
        <v>43001</v>
      </c>
      <c r="B2893" s="326" t="s">
        <v>30678</v>
      </c>
      <c r="C2893" s="327">
        <v>128652</v>
      </c>
      <c r="D2893" s="391" t="s">
        <v>15246</v>
      </c>
      <c r="E2893" s="328">
        <v>8489.6</v>
      </c>
      <c r="F2893" s="329">
        <v>43003</v>
      </c>
      <c r="G2893" s="328">
        <v>8489.6</v>
      </c>
      <c r="H2893" s="347">
        <f t="shared" si="41"/>
        <v>0</v>
      </c>
      <c r="I2893" s="331" t="s">
        <v>15214</v>
      </c>
    </row>
    <row r="2894" spans="1:9" x14ac:dyDescent="0.25">
      <c r="A2894" s="319">
        <v>43001</v>
      </c>
      <c r="B2894" s="320" t="s">
        <v>30679</v>
      </c>
      <c r="C2894" s="321">
        <v>128653</v>
      </c>
      <c r="D2894" s="390" t="s">
        <v>15614</v>
      </c>
      <c r="E2894" s="322">
        <v>6316.8</v>
      </c>
      <c r="F2894" s="323">
        <v>43004</v>
      </c>
      <c r="G2894" s="322">
        <v>6316.8</v>
      </c>
      <c r="H2894" s="322">
        <f t="shared" si="41"/>
        <v>0</v>
      </c>
      <c r="I2894" s="325" t="s">
        <v>15214</v>
      </c>
    </row>
    <row r="2895" spans="1:9" x14ac:dyDescent="0.25">
      <c r="A2895" s="359">
        <v>43001</v>
      </c>
      <c r="B2895" s="326" t="s">
        <v>30680</v>
      </c>
      <c r="C2895" s="327">
        <v>128654</v>
      </c>
      <c r="D2895" s="391" t="s">
        <v>15728</v>
      </c>
      <c r="E2895" s="328">
        <v>12837.6</v>
      </c>
      <c r="F2895" s="329">
        <v>43001</v>
      </c>
      <c r="G2895" s="328">
        <v>12837.6</v>
      </c>
      <c r="H2895" s="347">
        <f t="shared" si="41"/>
        <v>0</v>
      </c>
      <c r="I2895" s="331" t="s">
        <v>15214</v>
      </c>
    </row>
    <row r="2896" spans="1:9" x14ac:dyDescent="0.25">
      <c r="A2896" s="319">
        <v>43001</v>
      </c>
      <c r="B2896" s="320" t="s">
        <v>30681</v>
      </c>
      <c r="C2896" s="321">
        <v>128655</v>
      </c>
      <c r="D2896" s="390" t="s">
        <v>15577</v>
      </c>
      <c r="E2896" s="322">
        <v>317.2</v>
      </c>
      <c r="F2896" s="323">
        <v>43001</v>
      </c>
      <c r="G2896" s="322">
        <v>317.2</v>
      </c>
      <c r="H2896" s="322">
        <f t="shared" si="41"/>
        <v>0</v>
      </c>
      <c r="I2896" s="325" t="s">
        <v>15214</v>
      </c>
    </row>
    <row r="2897" spans="1:9" x14ac:dyDescent="0.25">
      <c r="A2897" s="359">
        <v>43001</v>
      </c>
      <c r="B2897" s="326" t="s">
        <v>30682</v>
      </c>
      <c r="C2897" s="327">
        <v>128656</v>
      </c>
      <c r="D2897" s="391" t="s">
        <v>15557</v>
      </c>
      <c r="E2897" s="328">
        <v>6312</v>
      </c>
      <c r="F2897" s="329">
        <v>43003</v>
      </c>
      <c r="G2897" s="328">
        <v>6312</v>
      </c>
      <c r="H2897" s="347">
        <f t="shared" si="41"/>
        <v>0</v>
      </c>
      <c r="I2897" s="331" t="s">
        <v>15214</v>
      </c>
    </row>
    <row r="2898" spans="1:9" x14ac:dyDescent="0.25">
      <c r="A2898" s="319">
        <v>43001</v>
      </c>
      <c r="B2898" s="320" t="s">
        <v>30683</v>
      </c>
      <c r="C2898" s="321">
        <v>128657</v>
      </c>
      <c r="D2898" s="390" t="s">
        <v>15398</v>
      </c>
      <c r="E2898" s="322">
        <v>3124.2</v>
      </c>
      <c r="F2898" s="323">
        <v>43001</v>
      </c>
      <c r="G2898" s="322">
        <v>3124.2</v>
      </c>
      <c r="H2898" s="322">
        <f t="shared" si="41"/>
        <v>0</v>
      </c>
      <c r="I2898" s="325" t="s">
        <v>15214</v>
      </c>
    </row>
    <row r="2899" spans="1:9" x14ac:dyDescent="0.25">
      <c r="A2899" s="359">
        <v>43001</v>
      </c>
      <c r="B2899" s="326" t="s">
        <v>30684</v>
      </c>
      <c r="C2899" s="327">
        <v>128658</v>
      </c>
      <c r="D2899" s="391" t="s">
        <v>15539</v>
      </c>
      <c r="E2899" s="328">
        <v>18102.3</v>
      </c>
      <c r="F2899" s="329">
        <v>43003</v>
      </c>
      <c r="G2899" s="328">
        <v>18102.3</v>
      </c>
      <c r="H2899" s="347">
        <f t="shared" si="41"/>
        <v>0</v>
      </c>
      <c r="I2899" s="331" t="s">
        <v>15214</v>
      </c>
    </row>
    <row r="2900" spans="1:9" x14ac:dyDescent="0.25">
      <c r="A2900" s="319">
        <v>43001</v>
      </c>
      <c r="B2900" s="320" t="s">
        <v>30685</v>
      </c>
      <c r="C2900" s="321">
        <v>128659</v>
      </c>
      <c r="D2900" s="390" t="s">
        <v>15537</v>
      </c>
      <c r="E2900" s="322">
        <v>29245.599999999999</v>
      </c>
      <c r="F2900" s="323">
        <v>43003</v>
      </c>
      <c r="G2900" s="322">
        <v>29245.599999999999</v>
      </c>
      <c r="H2900" s="322">
        <f t="shared" si="41"/>
        <v>0</v>
      </c>
      <c r="I2900" s="325" t="s">
        <v>15214</v>
      </c>
    </row>
    <row r="2901" spans="1:9" x14ac:dyDescent="0.25">
      <c r="A2901" s="359">
        <v>43001</v>
      </c>
      <c r="B2901" s="326" t="s">
        <v>30686</v>
      </c>
      <c r="C2901" s="327">
        <v>128660</v>
      </c>
      <c r="D2901" s="391" t="s">
        <v>15315</v>
      </c>
      <c r="E2901" s="328">
        <v>598.79999999999995</v>
      </c>
      <c r="F2901" s="329">
        <v>43001</v>
      </c>
      <c r="G2901" s="328">
        <v>598.79999999999995</v>
      </c>
      <c r="H2901" s="347">
        <f t="shared" si="41"/>
        <v>0</v>
      </c>
      <c r="I2901" s="331" t="s">
        <v>15214</v>
      </c>
    </row>
    <row r="2902" spans="1:9" x14ac:dyDescent="0.25">
      <c r="A2902" s="319">
        <v>43001</v>
      </c>
      <c r="B2902" s="320" t="s">
        <v>30687</v>
      </c>
      <c r="C2902" s="321">
        <v>128661</v>
      </c>
      <c r="D2902" s="390" t="s">
        <v>15559</v>
      </c>
      <c r="E2902" s="322">
        <v>17142.5</v>
      </c>
      <c r="F2902" s="323">
        <v>43003</v>
      </c>
      <c r="G2902" s="322">
        <v>17142.5</v>
      </c>
      <c r="H2902" s="322">
        <f t="shared" si="41"/>
        <v>0</v>
      </c>
      <c r="I2902" s="325" t="s">
        <v>15214</v>
      </c>
    </row>
    <row r="2903" spans="1:9" x14ac:dyDescent="0.25">
      <c r="A2903" s="359">
        <v>43001</v>
      </c>
      <c r="B2903" s="326" t="s">
        <v>30688</v>
      </c>
      <c r="C2903" s="327">
        <v>128662</v>
      </c>
      <c r="D2903" s="391" t="s">
        <v>15748</v>
      </c>
      <c r="E2903" s="328">
        <v>1545.2</v>
      </c>
      <c r="F2903" s="329">
        <v>43001</v>
      </c>
      <c r="G2903" s="328">
        <v>1545.2</v>
      </c>
      <c r="H2903" s="347">
        <f t="shared" si="41"/>
        <v>0</v>
      </c>
      <c r="I2903" s="331" t="s">
        <v>15214</v>
      </c>
    </row>
    <row r="2904" spans="1:9" x14ac:dyDescent="0.25">
      <c r="A2904" s="319">
        <v>43001</v>
      </c>
      <c r="B2904" s="320" t="s">
        <v>30689</v>
      </c>
      <c r="C2904" s="321">
        <v>128663</v>
      </c>
      <c r="D2904" s="390" t="s">
        <v>15748</v>
      </c>
      <c r="E2904" s="322">
        <v>380</v>
      </c>
      <c r="F2904" s="323">
        <v>43001</v>
      </c>
      <c r="G2904" s="322">
        <v>380</v>
      </c>
      <c r="H2904" s="322">
        <f t="shared" si="41"/>
        <v>0</v>
      </c>
      <c r="I2904" s="325" t="s">
        <v>15214</v>
      </c>
    </row>
    <row r="2905" spans="1:9" x14ac:dyDescent="0.25">
      <c r="A2905" s="359">
        <v>43001</v>
      </c>
      <c r="B2905" s="326" t="s">
        <v>30690</v>
      </c>
      <c r="C2905" s="327">
        <v>128664</v>
      </c>
      <c r="D2905" s="391" t="s">
        <v>15226</v>
      </c>
      <c r="E2905" s="328">
        <v>825.1</v>
      </c>
      <c r="F2905" s="329">
        <v>43003</v>
      </c>
      <c r="G2905" s="328">
        <v>825.1</v>
      </c>
      <c r="H2905" s="347">
        <f t="shared" si="41"/>
        <v>0</v>
      </c>
      <c r="I2905" s="331" t="s">
        <v>15214</v>
      </c>
    </row>
    <row r="2906" spans="1:9" ht="15.75" x14ac:dyDescent="0.25">
      <c r="A2906" s="319">
        <v>43001</v>
      </c>
      <c r="B2906" s="320" t="s">
        <v>30691</v>
      </c>
      <c r="C2906" s="321">
        <v>128665</v>
      </c>
      <c r="D2906" s="332" t="s">
        <v>95</v>
      </c>
      <c r="E2906" s="322">
        <v>0</v>
      </c>
      <c r="F2906" s="333" t="s">
        <v>95</v>
      </c>
      <c r="G2906" s="322">
        <v>0</v>
      </c>
      <c r="H2906" s="322">
        <f t="shared" si="41"/>
        <v>0</v>
      </c>
      <c r="I2906" s="325" t="s">
        <v>95</v>
      </c>
    </row>
    <row r="2907" spans="1:9" x14ac:dyDescent="0.25">
      <c r="A2907" s="359">
        <v>43001</v>
      </c>
      <c r="B2907" s="326" t="s">
        <v>30692</v>
      </c>
      <c r="C2907" s="327">
        <v>128666</v>
      </c>
      <c r="D2907" s="391" t="s">
        <v>15315</v>
      </c>
      <c r="E2907" s="328">
        <v>667.7</v>
      </c>
      <c r="F2907" s="329">
        <v>43001</v>
      </c>
      <c r="G2907" s="328">
        <v>667.7</v>
      </c>
      <c r="H2907" s="347">
        <f t="shared" si="41"/>
        <v>0</v>
      </c>
      <c r="I2907" s="331" t="s">
        <v>15214</v>
      </c>
    </row>
    <row r="2908" spans="1:9" x14ac:dyDescent="0.25">
      <c r="A2908" s="319">
        <v>43001</v>
      </c>
      <c r="B2908" s="320" t="s">
        <v>30693</v>
      </c>
      <c r="C2908" s="321">
        <v>128667</v>
      </c>
      <c r="D2908" s="390" t="s">
        <v>15748</v>
      </c>
      <c r="E2908" s="322">
        <v>464.4</v>
      </c>
      <c r="F2908" s="323">
        <v>43001</v>
      </c>
      <c r="G2908" s="322">
        <v>464.4</v>
      </c>
      <c r="H2908" s="322">
        <f t="shared" si="41"/>
        <v>0</v>
      </c>
      <c r="I2908" s="325" t="s">
        <v>15214</v>
      </c>
    </row>
    <row r="2909" spans="1:9" x14ac:dyDescent="0.25">
      <c r="A2909" s="359">
        <v>43001</v>
      </c>
      <c r="B2909" s="326" t="s">
        <v>30694</v>
      </c>
      <c r="C2909" s="327">
        <v>128668</v>
      </c>
      <c r="D2909" s="391" t="s">
        <v>15699</v>
      </c>
      <c r="E2909" s="328">
        <v>5109.8999999999996</v>
      </c>
      <c r="F2909" s="329">
        <v>43003</v>
      </c>
      <c r="G2909" s="328">
        <v>5109.8999999999996</v>
      </c>
      <c r="H2909" s="347">
        <f t="shared" si="41"/>
        <v>0</v>
      </c>
      <c r="I2909" s="331" t="s">
        <v>15214</v>
      </c>
    </row>
    <row r="2910" spans="1:9" x14ac:dyDescent="0.25">
      <c r="A2910" s="319">
        <v>43001</v>
      </c>
      <c r="B2910" s="320" t="s">
        <v>30695</v>
      </c>
      <c r="C2910" s="321">
        <v>128669</v>
      </c>
      <c r="D2910" s="390" t="s">
        <v>15555</v>
      </c>
      <c r="E2910" s="322">
        <v>9457.1</v>
      </c>
      <c r="F2910" s="323">
        <v>43003</v>
      </c>
      <c r="G2910" s="322">
        <v>9457.1</v>
      </c>
      <c r="H2910" s="322">
        <f t="shared" si="41"/>
        <v>0</v>
      </c>
      <c r="I2910" s="325" t="s">
        <v>15214</v>
      </c>
    </row>
    <row r="2911" spans="1:9" x14ac:dyDescent="0.25">
      <c r="A2911" s="359">
        <v>43001</v>
      </c>
      <c r="B2911" s="326" t="s">
        <v>30696</v>
      </c>
      <c r="C2911" s="327">
        <v>128670</v>
      </c>
      <c r="D2911" s="391" t="s">
        <v>15699</v>
      </c>
      <c r="E2911" s="328">
        <v>829.4</v>
      </c>
      <c r="F2911" s="329">
        <v>43003</v>
      </c>
      <c r="G2911" s="328">
        <v>829.4</v>
      </c>
      <c r="H2911" s="347">
        <f t="shared" si="41"/>
        <v>0</v>
      </c>
      <c r="I2911" s="331" t="s">
        <v>15214</v>
      </c>
    </row>
    <row r="2912" spans="1:9" x14ac:dyDescent="0.25">
      <c r="A2912" s="319">
        <v>43001</v>
      </c>
      <c r="B2912" s="320" t="s">
        <v>30697</v>
      </c>
      <c r="C2912" s="321">
        <v>128671</v>
      </c>
      <c r="D2912" s="390" t="s">
        <v>15890</v>
      </c>
      <c r="E2912" s="322">
        <v>8682</v>
      </c>
      <c r="F2912" s="323">
        <v>43004</v>
      </c>
      <c r="G2912" s="322">
        <v>8682</v>
      </c>
      <c r="H2912" s="322">
        <f t="shared" si="41"/>
        <v>0</v>
      </c>
      <c r="I2912" s="325" t="s">
        <v>15214</v>
      </c>
    </row>
    <row r="2913" spans="1:9" ht="15.75" x14ac:dyDescent="0.25">
      <c r="A2913" s="359">
        <v>43001</v>
      </c>
      <c r="B2913" s="326" t="s">
        <v>30698</v>
      </c>
      <c r="C2913" s="327">
        <v>128672</v>
      </c>
      <c r="D2913" s="345" t="s">
        <v>95</v>
      </c>
      <c r="E2913" s="328">
        <v>0</v>
      </c>
      <c r="F2913" s="346" t="s">
        <v>95</v>
      </c>
      <c r="G2913" s="328">
        <v>0</v>
      </c>
      <c r="H2913" s="347">
        <f t="shared" si="41"/>
        <v>0</v>
      </c>
      <c r="I2913" s="331" t="s">
        <v>95</v>
      </c>
    </row>
    <row r="2914" spans="1:9" x14ac:dyDescent="0.25">
      <c r="A2914" s="319">
        <v>43001</v>
      </c>
      <c r="B2914" s="320" t="s">
        <v>30699</v>
      </c>
      <c r="C2914" s="321">
        <v>128673</v>
      </c>
      <c r="D2914" s="390" t="s">
        <v>15282</v>
      </c>
      <c r="E2914" s="322">
        <v>2209</v>
      </c>
      <c r="F2914" s="323">
        <v>43001</v>
      </c>
      <c r="G2914" s="322">
        <v>2209</v>
      </c>
      <c r="H2914" s="322">
        <f t="shared" si="41"/>
        <v>0</v>
      </c>
      <c r="I2914" s="325" t="s">
        <v>15214</v>
      </c>
    </row>
    <row r="2915" spans="1:9" x14ac:dyDescent="0.25">
      <c r="A2915" s="359">
        <v>43001</v>
      </c>
      <c r="B2915" s="326" t="s">
        <v>30700</v>
      </c>
      <c r="C2915" s="327">
        <v>128674</v>
      </c>
      <c r="D2915" s="391" t="s">
        <v>15315</v>
      </c>
      <c r="E2915" s="328">
        <v>1660.8</v>
      </c>
      <c r="F2915" s="329">
        <v>43001</v>
      </c>
      <c r="G2915" s="328">
        <v>1660.8</v>
      </c>
      <c r="H2915" s="347">
        <f t="shared" si="41"/>
        <v>0</v>
      </c>
      <c r="I2915" s="331" t="s">
        <v>15214</v>
      </c>
    </row>
    <row r="2916" spans="1:9" x14ac:dyDescent="0.25">
      <c r="A2916" s="319">
        <v>43001</v>
      </c>
      <c r="B2916" s="320" t="s">
        <v>30701</v>
      </c>
      <c r="C2916" s="321">
        <v>128675</v>
      </c>
      <c r="D2916" s="390" t="s">
        <v>15818</v>
      </c>
      <c r="E2916" s="322">
        <v>1564.5</v>
      </c>
      <c r="F2916" s="323">
        <v>43001</v>
      </c>
      <c r="G2916" s="322">
        <v>1564.5</v>
      </c>
      <c r="H2916" s="322">
        <f t="shared" si="41"/>
        <v>0</v>
      </c>
      <c r="I2916" s="325" t="s">
        <v>15214</v>
      </c>
    </row>
    <row r="2917" spans="1:9" x14ac:dyDescent="0.25">
      <c r="A2917" s="359">
        <v>43001</v>
      </c>
      <c r="B2917" s="326" t="s">
        <v>30702</v>
      </c>
      <c r="C2917" s="327">
        <v>128676</v>
      </c>
      <c r="D2917" s="391" t="s">
        <v>15818</v>
      </c>
      <c r="E2917" s="328">
        <v>600</v>
      </c>
      <c r="F2917" s="329">
        <v>43001</v>
      </c>
      <c r="G2917" s="328">
        <v>600</v>
      </c>
      <c r="H2917" s="347">
        <f t="shared" si="41"/>
        <v>0</v>
      </c>
      <c r="I2917" s="331" t="s">
        <v>15214</v>
      </c>
    </row>
    <row r="2918" spans="1:9" x14ac:dyDescent="0.25">
      <c r="A2918" s="319">
        <v>43001</v>
      </c>
      <c r="B2918" s="320" t="s">
        <v>30703</v>
      </c>
      <c r="C2918" s="321">
        <v>128677</v>
      </c>
      <c r="D2918" s="390" t="s">
        <v>15284</v>
      </c>
      <c r="E2918" s="322">
        <v>1668.4</v>
      </c>
      <c r="F2918" s="323">
        <v>43001</v>
      </c>
      <c r="G2918" s="322">
        <v>1668.4</v>
      </c>
      <c r="H2918" s="322">
        <f t="shared" si="41"/>
        <v>0</v>
      </c>
      <c r="I2918" s="325" t="s">
        <v>15214</v>
      </c>
    </row>
    <row r="2919" spans="1:9" x14ac:dyDescent="0.25">
      <c r="A2919" s="359">
        <v>43001</v>
      </c>
      <c r="B2919" s="326" t="s">
        <v>30704</v>
      </c>
      <c r="C2919" s="327">
        <v>128678</v>
      </c>
      <c r="D2919" s="391" t="s">
        <v>17462</v>
      </c>
      <c r="E2919" s="328">
        <v>5929</v>
      </c>
      <c r="F2919" s="329">
        <v>43001</v>
      </c>
      <c r="G2919" s="328">
        <v>5929</v>
      </c>
      <c r="H2919" s="347">
        <f t="shared" si="41"/>
        <v>0</v>
      </c>
      <c r="I2919" s="331" t="s">
        <v>15214</v>
      </c>
    </row>
    <row r="2920" spans="1:9" ht="15.75" x14ac:dyDescent="0.25">
      <c r="A2920" s="319">
        <v>43001</v>
      </c>
      <c r="B2920" s="320" t="s">
        <v>30705</v>
      </c>
      <c r="C2920" s="321">
        <v>128679</v>
      </c>
      <c r="D2920" s="332" t="s">
        <v>95</v>
      </c>
      <c r="E2920" s="322">
        <v>0</v>
      </c>
      <c r="F2920" s="333" t="s">
        <v>95</v>
      </c>
      <c r="G2920" s="322">
        <v>0</v>
      </c>
      <c r="H2920" s="322">
        <f t="shared" si="41"/>
        <v>0</v>
      </c>
      <c r="I2920" s="325" t="s">
        <v>95</v>
      </c>
    </row>
    <row r="2921" spans="1:9" x14ac:dyDescent="0.25">
      <c r="A2921" s="359">
        <v>43001</v>
      </c>
      <c r="B2921" s="326" t="s">
        <v>30706</v>
      </c>
      <c r="C2921" s="327">
        <v>128680</v>
      </c>
      <c r="D2921" s="391" t="s">
        <v>15315</v>
      </c>
      <c r="E2921" s="328">
        <v>747.2</v>
      </c>
      <c r="F2921" s="329">
        <v>43001</v>
      </c>
      <c r="G2921" s="328">
        <v>747.2</v>
      </c>
      <c r="H2921" s="347">
        <f t="shared" si="41"/>
        <v>0</v>
      </c>
      <c r="I2921" s="331" t="s">
        <v>15214</v>
      </c>
    </row>
    <row r="2922" spans="1:9" x14ac:dyDescent="0.25">
      <c r="A2922" s="319">
        <v>43001</v>
      </c>
      <c r="B2922" s="320" t="s">
        <v>30707</v>
      </c>
      <c r="C2922" s="321">
        <v>128681</v>
      </c>
      <c r="D2922" s="390" t="s">
        <v>15365</v>
      </c>
      <c r="E2922" s="322">
        <v>30110.400000000001</v>
      </c>
      <c r="F2922" s="323">
        <v>43006</v>
      </c>
      <c r="G2922" s="322">
        <v>30110.400000000001</v>
      </c>
      <c r="H2922" s="322">
        <f t="shared" si="41"/>
        <v>0</v>
      </c>
      <c r="I2922" s="325" t="s">
        <v>15214</v>
      </c>
    </row>
    <row r="2923" spans="1:9" x14ac:dyDescent="0.25">
      <c r="A2923" s="359">
        <v>43001</v>
      </c>
      <c r="B2923" s="326" t="s">
        <v>30708</v>
      </c>
      <c r="C2923" s="327">
        <v>128682</v>
      </c>
      <c r="D2923" s="391" t="s">
        <v>15541</v>
      </c>
      <c r="E2923" s="328">
        <v>1170.3</v>
      </c>
      <c r="F2923" s="329">
        <v>43001</v>
      </c>
      <c r="G2923" s="328">
        <v>1170.3</v>
      </c>
      <c r="H2923" s="347">
        <f t="shared" si="41"/>
        <v>0</v>
      </c>
      <c r="I2923" s="331" t="s">
        <v>15214</v>
      </c>
    </row>
    <row r="2924" spans="1:9" x14ac:dyDescent="0.25">
      <c r="A2924" s="319">
        <v>43001</v>
      </c>
      <c r="B2924" s="320" t="s">
        <v>30709</v>
      </c>
      <c r="C2924" s="321">
        <v>128683</v>
      </c>
      <c r="D2924" s="390" t="s">
        <v>16958</v>
      </c>
      <c r="E2924" s="322">
        <v>2054</v>
      </c>
      <c r="F2924" s="323">
        <v>43002</v>
      </c>
      <c r="G2924" s="322">
        <v>2054</v>
      </c>
      <c r="H2924" s="322">
        <f t="shared" si="41"/>
        <v>0</v>
      </c>
      <c r="I2924" s="325" t="s">
        <v>15214</v>
      </c>
    </row>
    <row r="2925" spans="1:9" x14ac:dyDescent="0.25">
      <c r="A2925" s="359">
        <v>43001</v>
      </c>
      <c r="B2925" s="326" t="s">
        <v>30710</v>
      </c>
      <c r="C2925" s="327">
        <v>128684</v>
      </c>
      <c r="D2925" s="391" t="s">
        <v>15213</v>
      </c>
      <c r="E2925" s="328">
        <v>7105.8</v>
      </c>
      <c r="F2925" s="329">
        <v>43002</v>
      </c>
      <c r="G2925" s="328">
        <v>7105.8</v>
      </c>
      <c r="H2925" s="347">
        <f t="shared" si="41"/>
        <v>0</v>
      </c>
      <c r="I2925" s="331" t="s">
        <v>15214</v>
      </c>
    </row>
    <row r="2926" spans="1:9" x14ac:dyDescent="0.25">
      <c r="A2926" s="319">
        <v>43001</v>
      </c>
      <c r="B2926" s="320" t="s">
        <v>30711</v>
      </c>
      <c r="C2926" s="321">
        <v>128685</v>
      </c>
      <c r="D2926" s="390" t="s">
        <v>15628</v>
      </c>
      <c r="E2926" s="322">
        <v>3040.8</v>
      </c>
      <c r="F2926" s="323">
        <v>43001</v>
      </c>
      <c r="G2926" s="322">
        <v>3040.8</v>
      </c>
      <c r="H2926" s="322">
        <f t="shared" si="41"/>
        <v>0</v>
      </c>
      <c r="I2926" s="325" t="s">
        <v>15214</v>
      </c>
    </row>
    <row r="2927" spans="1:9" x14ac:dyDescent="0.25">
      <c r="A2927" s="359">
        <v>43001</v>
      </c>
      <c r="B2927" s="326" t="s">
        <v>30712</v>
      </c>
      <c r="C2927" s="327">
        <v>128686</v>
      </c>
      <c r="D2927" s="391" t="s">
        <v>15642</v>
      </c>
      <c r="E2927" s="328">
        <v>2284.8000000000002</v>
      </c>
      <c r="F2927" s="329">
        <v>43001</v>
      </c>
      <c r="G2927" s="328">
        <v>2284.8000000000002</v>
      </c>
      <c r="H2927" s="347">
        <f t="shared" si="41"/>
        <v>0</v>
      </c>
      <c r="I2927" s="331" t="s">
        <v>15214</v>
      </c>
    </row>
    <row r="2928" spans="1:9" ht="30" x14ac:dyDescent="0.25">
      <c r="A2928" s="319">
        <v>43001</v>
      </c>
      <c r="B2928" s="320" t="s">
        <v>30713</v>
      </c>
      <c r="C2928" s="321">
        <v>128687</v>
      </c>
      <c r="D2928" s="390" t="s">
        <v>15328</v>
      </c>
      <c r="E2928" s="322">
        <v>84990.98</v>
      </c>
      <c r="F2928" s="323" t="s">
        <v>31622</v>
      </c>
      <c r="G2928" s="334">
        <f>40167.08+44823.9</f>
        <v>84990.98000000001</v>
      </c>
      <c r="H2928" s="334">
        <f t="shared" si="41"/>
        <v>0</v>
      </c>
      <c r="I2928" s="325" t="s">
        <v>15214</v>
      </c>
    </row>
    <row r="2929" spans="1:9" x14ac:dyDescent="0.25">
      <c r="A2929" s="359">
        <v>43001</v>
      </c>
      <c r="B2929" s="326" t="s">
        <v>30714</v>
      </c>
      <c r="C2929" s="327">
        <v>128688</v>
      </c>
      <c r="D2929" s="391" t="s">
        <v>15348</v>
      </c>
      <c r="E2929" s="328">
        <v>2829.4</v>
      </c>
      <c r="F2929" s="329">
        <v>43004</v>
      </c>
      <c r="G2929" s="328">
        <v>2829.4</v>
      </c>
      <c r="H2929" s="347">
        <f t="shared" ref="H2929:H2992" si="42">E2929-G2929</f>
        <v>0</v>
      </c>
      <c r="I2929" s="331" t="s">
        <v>15214</v>
      </c>
    </row>
    <row r="2930" spans="1:9" x14ac:dyDescent="0.25">
      <c r="A2930" s="319">
        <v>43001</v>
      </c>
      <c r="B2930" s="320" t="s">
        <v>30715</v>
      </c>
      <c r="C2930" s="321">
        <v>128689</v>
      </c>
      <c r="D2930" s="390" t="s">
        <v>15315</v>
      </c>
      <c r="E2930" s="322">
        <v>412.3</v>
      </c>
      <c r="F2930" s="323">
        <v>43001</v>
      </c>
      <c r="G2930" s="322">
        <v>412.3</v>
      </c>
      <c r="H2930" s="322">
        <f t="shared" si="42"/>
        <v>0</v>
      </c>
      <c r="I2930" s="325" t="s">
        <v>15214</v>
      </c>
    </row>
    <row r="2931" spans="1:9" x14ac:dyDescent="0.25">
      <c r="A2931" s="359">
        <v>43001</v>
      </c>
      <c r="B2931" s="326" t="s">
        <v>30716</v>
      </c>
      <c r="C2931" s="327">
        <v>128690</v>
      </c>
      <c r="D2931" s="391" t="s">
        <v>15365</v>
      </c>
      <c r="E2931" s="328">
        <v>433985</v>
      </c>
      <c r="F2931" s="329">
        <v>43006</v>
      </c>
      <c r="G2931" s="328">
        <v>433985</v>
      </c>
      <c r="H2931" s="347">
        <f t="shared" si="42"/>
        <v>0</v>
      </c>
      <c r="I2931" s="331" t="s">
        <v>15214</v>
      </c>
    </row>
    <row r="2932" spans="1:9" x14ac:dyDescent="0.25">
      <c r="A2932" s="319">
        <v>43001</v>
      </c>
      <c r="B2932" s="320" t="s">
        <v>30717</v>
      </c>
      <c r="C2932" s="321">
        <v>128691</v>
      </c>
      <c r="D2932" s="390" t="s">
        <v>15365</v>
      </c>
      <c r="E2932" s="322">
        <v>411918.5</v>
      </c>
      <c r="F2932" s="323">
        <v>43002</v>
      </c>
      <c r="G2932" s="322">
        <v>411918.5</v>
      </c>
      <c r="H2932" s="322">
        <f t="shared" si="42"/>
        <v>0</v>
      </c>
      <c r="I2932" s="325" t="s">
        <v>15214</v>
      </c>
    </row>
    <row r="2933" spans="1:9" x14ac:dyDescent="0.25">
      <c r="A2933" s="359">
        <v>43001</v>
      </c>
      <c r="B2933" s="326" t="s">
        <v>30718</v>
      </c>
      <c r="C2933" s="327">
        <v>128692</v>
      </c>
      <c r="D2933" s="391" t="s">
        <v>15361</v>
      </c>
      <c r="E2933" s="328">
        <v>16037.6</v>
      </c>
      <c r="F2933" s="329">
        <v>43003</v>
      </c>
      <c r="G2933" s="328">
        <v>16037.6</v>
      </c>
      <c r="H2933" s="347">
        <f t="shared" si="42"/>
        <v>0</v>
      </c>
      <c r="I2933" s="331" t="s">
        <v>15214</v>
      </c>
    </row>
    <row r="2934" spans="1:9" x14ac:dyDescent="0.25">
      <c r="A2934" s="319">
        <v>43001</v>
      </c>
      <c r="B2934" s="320" t="s">
        <v>30719</v>
      </c>
      <c r="C2934" s="321">
        <v>128693</v>
      </c>
      <c r="D2934" s="390" t="s">
        <v>15361</v>
      </c>
      <c r="E2934" s="322">
        <v>383.4</v>
      </c>
      <c r="F2934" s="323">
        <v>43003</v>
      </c>
      <c r="G2934" s="322">
        <v>383.4</v>
      </c>
      <c r="H2934" s="322">
        <f t="shared" si="42"/>
        <v>0</v>
      </c>
      <c r="I2934" s="325" t="s">
        <v>15214</v>
      </c>
    </row>
    <row r="2935" spans="1:9" x14ac:dyDescent="0.25">
      <c r="A2935" s="359">
        <v>43001</v>
      </c>
      <c r="B2935" s="326" t="s">
        <v>30720</v>
      </c>
      <c r="C2935" s="327">
        <v>128694</v>
      </c>
      <c r="D2935" s="391" t="s">
        <v>15789</v>
      </c>
      <c r="E2935" s="328">
        <v>32904.800000000003</v>
      </c>
      <c r="F2935" s="329">
        <v>43008</v>
      </c>
      <c r="G2935" s="328">
        <v>32904.800000000003</v>
      </c>
      <c r="H2935" s="347">
        <f t="shared" si="42"/>
        <v>0</v>
      </c>
      <c r="I2935" s="331" t="s">
        <v>15214</v>
      </c>
    </row>
    <row r="2936" spans="1:9" x14ac:dyDescent="0.25">
      <c r="A2936" s="319">
        <v>43001</v>
      </c>
      <c r="B2936" s="320" t="s">
        <v>30721</v>
      </c>
      <c r="C2936" s="321">
        <v>128695</v>
      </c>
      <c r="D2936" s="390" t="s">
        <v>15361</v>
      </c>
      <c r="E2936" s="322">
        <v>777.2</v>
      </c>
      <c r="F2936" s="323">
        <v>43003</v>
      </c>
      <c r="G2936" s="322">
        <v>777.2</v>
      </c>
      <c r="H2936" s="322">
        <f t="shared" si="42"/>
        <v>0</v>
      </c>
      <c r="I2936" s="325" t="s">
        <v>15214</v>
      </c>
    </row>
    <row r="2937" spans="1:9" x14ac:dyDescent="0.25">
      <c r="A2937" s="359">
        <v>43001</v>
      </c>
      <c r="B2937" s="326" t="s">
        <v>30722</v>
      </c>
      <c r="C2937" s="327">
        <v>128696</v>
      </c>
      <c r="D2937" s="391" t="s">
        <v>17708</v>
      </c>
      <c r="E2937" s="328">
        <v>3533.6</v>
      </c>
      <c r="F2937" s="329">
        <v>43003</v>
      </c>
      <c r="G2937" s="328">
        <v>3533.6</v>
      </c>
      <c r="H2937" s="347">
        <f t="shared" si="42"/>
        <v>0</v>
      </c>
      <c r="I2937" s="331" t="s">
        <v>15214</v>
      </c>
    </row>
    <row r="2938" spans="1:9" x14ac:dyDescent="0.25">
      <c r="A2938" s="319">
        <v>43001</v>
      </c>
      <c r="B2938" s="320" t="s">
        <v>30723</v>
      </c>
      <c r="C2938" s="321">
        <v>128697</v>
      </c>
      <c r="D2938" s="390" t="s">
        <v>16383</v>
      </c>
      <c r="E2938" s="322">
        <v>799.2</v>
      </c>
      <c r="F2938" s="323">
        <v>43003</v>
      </c>
      <c r="G2938" s="322">
        <v>799.2</v>
      </c>
      <c r="H2938" s="322">
        <f t="shared" si="42"/>
        <v>0</v>
      </c>
      <c r="I2938" s="325" t="s">
        <v>15214</v>
      </c>
    </row>
    <row r="2939" spans="1:9" x14ac:dyDescent="0.25">
      <c r="A2939" s="359">
        <v>43001</v>
      </c>
      <c r="B2939" s="326" t="s">
        <v>30724</v>
      </c>
      <c r="C2939" s="327">
        <v>128698</v>
      </c>
      <c r="D2939" s="391" t="s">
        <v>15725</v>
      </c>
      <c r="E2939" s="328">
        <v>24779.599999999999</v>
      </c>
      <c r="F2939" s="329">
        <v>43002</v>
      </c>
      <c r="G2939" s="328">
        <v>24779.599999999999</v>
      </c>
      <c r="H2939" s="347">
        <f t="shared" si="42"/>
        <v>0</v>
      </c>
      <c r="I2939" s="331" t="s">
        <v>15214</v>
      </c>
    </row>
    <row r="2940" spans="1:9" x14ac:dyDescent="0.25">
      <c r="A2940" s="319">
        <v>43001</v>
      </c>
      <c r="B2940" s="320" t="s">
        <v>30725</v>
      </c>
      <c r="C2940" s="321">
        <v>128699</v>
      </c>
      <c r="D2940" s="390" t="s">
        <v>15510</v>
      </c>
      <c r="E2940" s="322">
        <v>2261</v>
      </c>
      <c r="F2940" s="323">
        <v>43001</v>
      </c>
      <c r="G2940" s="322">
        <v>2261</v>
      </c>
      <c r="H2940" s="322">
        <f t="shared" si="42"/>
        <v>0</v>
      </c>
      <c r="I2940" s="325" t="s">
        <v>15214</v>
      </c>
    </row>
    <row r="2941" spans="1:9" x14ac:dyDescent="0.25">
      <c r="A2941" s="359">
        <v>43001</v>
      </c>
      <c r="B2941" s="326" t="s">
        <v>30726</v>
      </c>
      <c r="C2941" s="327">
        <v>128700</v>
      </c>
      <c r="D2941" s="391" t="s">
        <v>15407</v>
      </c>
      <c r="E2941" s="328">
        <v>2178</v>
      </c>
      <c r="F2941" s="329">
        <v>43001</v>
      </c>
      <c r="G2941" s="328">
        <v>2178</v>
      </c>
      <c r="H2941" s="347">
        <f t="shared" si="42"/>
        <v>0</v>
      </c>
      <c r="I2941" s="331" t="s">
        <v>15214</v>
      </c>
    </row>
    <row r="2942" spans="1:9" x14ac:dyDescent="0.25">
      <c r="A2942" s="319">
        <v>43001</v>
      </c>
      <c r="B2942" s="320" t="s">
        <v>30727</v>
      </c>
      <c r="C2942" s="321">
        <v>128701</v>
      </c>
      <c r="D2942" s="390" t="s">
        <v>15510</v>
      </c>
      <c r="E2942" s="322">
        <v>775.2</v>
      </c>
      <c r="F2942" s="323">
        <v>43001</v>
      </c>
      <c r="G2942" s="322">
        <v>775.2</v>
      </c>
      <c r="H2942" s="322">
        <f t="shared" si="42"/>
        <v>0</v>
      </c>
      <c r="I2942" s="325" t="s">
        <v>15214</v>
      </c>
    </row>
    <row r="2943" spans="1:9" x14ac:dyDescent="0.25">
      <c r="A2943" s="359">
        <v>43001</v>
      </c>
      <c r="B2943" s="326" t="s">
        <v>30728</v>
      </c>
      <c r="C2943" s="327">
        <v>128702</v>
      </c>
      <c r="D2943" s="391" t="s">
        <v>15322</v>
      </c>
      <c r="E2943" s="328">
        <v>5073.6000000000004</v>
      </c>
      <c r="F2943" s="329">
        <v>43007</v>
      </c>
      <c r="G2943" s="328">
        <v>5073.6000000000004</v>
      </c>
      <c r="H2943" s="347">
        <f t="shared" si="42"/>
        <v>0</v>
      </c>
      <c r="I2943" s="331" t="s">
        <v>15214</v>
      </c>
    </row>
    <row r="2944" spans="1:9" x14ac:dyDescent="0.25">
      <c r="A2944" s="319">
        <v>43001</v>
      </c>
      <c r="B2944" s="320" t="s">
        <v>30729</v>
      </c>
      <c r="C2944" s="321">
        <v>128703</v>
      </c>
      <c r="D2944" s="390" t="s">
        <v>30730</v>
      </c>
      <c r="E2944" s="322">
        <v>7444.8</v>
      </c>
      <c r="F2944" s="323">
        <v>43001</v>
      </c>
      <c r="G2944" s="322">
        <v>7444.8</v>
      </c>
      <c r="H2944" s="322">
        <f t="shared" si="42"/>
        <v>0</v>
      </c>
      <c r="I2944" s="325" t="s">
        <v>15214</v>
      </c>
    </row>
    <row r="2945" spans="1:9" x14ac:dyDescent="0.25">
      <c r="A2945" s="359">
        <v>43001</v>
      </c>
      <c r="B2945" s="326" t="s">
        <v>30731</v>
      </c>
      <c r="C2945" s="327">
        <v>128704</v>
      </c>
      <c r="D2945" s="391" t="s">
        <v>15267</v>
      </c>
      <c r="E2945" s="328">
        <v>21661.3</v>
      </c>
      <c r="F2945" s="329">
        <v>43002</v>
      </c>
      <c r="G2945" s="328">
        <v>21661.3</v>
      </c>
      <c r="H2945" s="347">
        <f t="shared" si="42"/>
        <v>0</v>
      </c>
      <c r="I2945" s="331" t="s">
        <v>15214</v>
      </c>
    </row>
    <row r="2946" spans="1:9" x14ac:dyDescent="0.25">
      <c r="A2946" s="319">
        <v>43001</v>
      </c>
      <c r="B2946" s="320" t="s">
        <v>30732</v>
      </c>
      <c r="C2946" s="321">
        <v>128705</v>
      </c>
      <c r="D2946" s="390" t="s">
        <v>15378</v>
      </c>
      <c r="E2946" s="322">
        <v>1762</v>
      </c>
      <c r="F2946" s="323">
        <v>43001</v>
      </c>
      <c r="G2946" s="322">
        <v>1762</v>
      </c>
      <c r="H2946" s="322">
        <f t="shared" si="42"/>
        <v>0</v>
      </c>
      <c r="I2946" s="325" t="s">
        <v>15214</v>
      </c>
    </row>
    <row r="2947" spans="1:9" x14ac:dyDescent="0.25">
      <c r="A2947" s="359">
        <v>43001</v>
      </c>
      <c r="B2947" s="326" t="s">
        <v>30733</v>
      </c>
      <c r="C2947" s="327">
        <v>128706</v>
      </c>
      <c r="D2947" s="391" t="s">
        <v>30734</v>
      </c>
      <c r="E2947" s="328">
        <v>629.20000000000005</v>
      </c>
      <c r="F2947" s="329">
        <v>43001</v>
      </c>
      <c r="G2947" s="328">
        <v>629.20000000000005</v>
      </c>
      <c r="H2947" s="347">
        <f t="shared" si="42"/>
        <v>0</v>
      </c>
      <c r="I2947" s="331" t="s">
        <v>15214</v>
      </c>
    </row>
    <row r="2948" spans="1:9" x14ac:dyDescent="0.25">
      <c r="A2948" s="319">
        <v>43001</v>
      </c>
      <c r="B2948" s="320" t="s">
        <v>30735</v>
      </c>
      <c r="C2948" s="321">
        <v>128707</v>
      </c>
      <c r="D2948" s="390" t="s">
        <v>15681</v>
      </c>
      <c r="E2948" s="322">
        <v>2780</v>
      </c>
      <c r="F2948" s="323">
        <v>43001</v>
      </c>
      <c r="G2948" s="322">
        <v>2780</v>
      </c>
      <c r="H2948" s="322">
        <f t="shared" si="42"/>
        <v>0</v>
      </c>
      <c r="I2948" s="325" t="s">
        <v>15214</v>
      </c>
    </row>
    <row r="2949" spans="1:9" x14ac:dyDescent="0.25">
      <c r="A2949" s="359">
        <v>43001</v>
      </c>
      <c r="B2949" s="326" t="s">
        <v>30736</v>
      </c>
      <c r="C2949" s="327">
        <v>128708</v>
      </c>
      <c r="D2949" s="391" t="s">
        <v>15246</v>
      </c>
      <c r="E2949" s="328">
        <v>311442.78000000003</v>
      </c>
      <c r="F2949" s="329">
        <v>43003</v>
      </c>
      <c r="G2949" s="328">
        <v>311442.78000000003</v>
      </c>
      <c r="H2949" s="347">
        <f t="shared" si="42"/>
        <v>0</v>
      </c>
      <c r="I2949" s="331" t="s">
        <v>15214</v>
      </c>
    </row>
    <row r="2950" spans="1:9" x14ac:dyDescent="0.25">
      <c r="A2950" s="319">
        <v>43001</v>
      </c>
      <c r="B2950" s="320" t="s">
        <v>30737</v>
      </c>
      <c r="C2950" s="321">
        <v>128709</v>
      </c>
      <c r="D2950" s="390" t="s">
        <v>15246</v>
      </c>
      <c r="E2950" s="322">
        <v>1400</v>
      </c>
      <c r="F2950" s="323">
        <v>43003</v>
      </c>
      <c r="G2950" s="322">
        <v>1400</v>
      </c>
      <c r="H2950" s="322">
        <f t="shared" si="42"/>
        <v>0</v>
      </c>
      <c r="I2950" s="325" t="s">
        <v>15214</v>
      </c>
    </row>
    <row r="2951" spans="1:9" x14ac:dyDescent="0.25">
      <c r="A2951" s="359">
        <v>43001</v>
      </c>
      <c r="B2951" s="326" t="s">
        <v>30738</v>
      </c>
      <c r="C2951" s="327">
        <v>128710</v>
      </c>
      <c r="D2951" s="391" t="s">
        <v>15246</v>
      </c>
      <c r="E2951" s="328">
        <v>158475.98000000001</v>
      </c>
      <c r="F2951" s="329">
        <v>43003</v>
      </c>
      <c r="G2951" s="328">
        <v>158475.98000000001</v>
      </c>
      <c r="H2951" s="347">
        <f t="shared" si="42"/>
        <v>0</v>
      </c>
      <c r="I2951" s="331" t="s">
        <v>15214</v>
      </c>
    </row>
    <row r="2952" spans="1:9" x14ac:dyDescent="0.25">
      <c r="A2952" s="319">
        <v>43001</v>
      </c>
      <c r="B2952" s="320" t="s">
        <v>30739</v>
      </c>
      <c r="C2952" s="321">
        <v>128711</v>
      </c>
      <c r="D2952" s="390" t="s">
        <v>15642</v>
      </c>
      <c r="E2952" s="322">
        <v>7618.8</v>
      </c>
      <c r="F2952" s="323">
        <v>43002</v>
      </c>
      <c r="G2952" s="322">
        <v>7618.8</v>
      </c>
      <c r="H2952" s="322">
        <f t="shared" si="42"/>
        <v>0</v>
      </c>
      <c r="I2952" s="325" t="s">
        <v>15214</v>
      </c>
    </row>
    <row r="2953" spans="1:9" x14ac:dyDescent="0.25">
      <c r="A2953" s="359">
        <v>43002</v>
      </c>
      <c r="B2953" s="326" t="s">
        <v>30740</v>
      </c>
      <c r="C2953" s="327">
        <v>128712</v>
      </c>
      <c r="D2953" s="391" t="s">
        <v>21386</v>
      </c>
      <c r="E2953" s="328">
        <v>9324.9</v>
      </c>
      <c r="F2953" s="329">
        <v>43003</v>
      </c>
      <c r="G2953" s="328">
        <v>9324.9</v>
      </c>
      <c r="H2953" s="347">
        <f t="shared" si="42"/>
        <v>0</v>
      </c>
      <c r="I2953" s="331" t="s">
        <v>15214</v>
      </c>
    </row>
    <row r="2954" spans="1:9" ht="30" x14ac:dyDescent="0.25">
      <c r="A2954" s="319">
        <v>43002</v>
      </c>
      <c r="B2954" s="320" t="s">
        <v>30741</v>
      </c>
      <c r="C2954" s="321">
        <v>128713</v>
      </c>
      <c r="D2954" s="390" t="s">
        <v>15213</v>
      </c>
      <c r="E2954" s="322">
        <v>44168</v>
      </c>
      <c r="F2954" s="323" t="s">
        <v>30742</v>
      </c>
      <c r="G2954" s="334">
        <f>25000+19168</f>
        <v>44168</v>
      </c>
      <c r="H2954" s="334">
        <f t="shared" si="42"/>
        <v>0</v>
      </c>
      <c r="I2954" s="325" t="s">
        <v>15214</v>
      </c>
    </row>
    <row r="2955" spans="1:9" x14ac:dyDescent="0.25">
      <c r="A2955" s="359">
        <v>43002</v>
      </c>
      <c r="B2955" s="326" t="s">
        <v>30743</v>
      </c>
      <c r="C2955" s="327">
        <v>128714</v>
      </c>
      <c r="D2955" s="391" t="s">
        <v>15668</v>
      </c>
      <c r="E2955" s="328">
        <v>10276.5</v>
      </c>
      <c r="F2955" s="329">
        <v>43006</v>
      </c>
      <c r="G2955" s="328">
        <v>10276.5</v>
      </c>
      <c r="H2955" s="347">
        <f t="shared" si="42"/>
        <v>0</v>
      </c>
      <c r="I2955" s="331" t="s">
        <v>15214</v>
      </c>
    </row>
    <row r="2956" spans="1:9" x14ac:dyDescent="0.25">
      <c r="A2956" s="319">
        <v>43002</v>
      </c>
      <c r="B2956" s="320" t="s">
        <v>30744</v>
      </c>
      <c r="C2956" s="321">
        <v>128715</v>
      </c>
      <c r="D2956" s="390" t="s">
        <v>15272</v>
      </c>
      <c r="E2956" s="322">
        <v>24531.1</v>
      </c>
      <c r="F2956" s="323">
        <v>43002</v>
      </c>
      <c r="G2956" s="322">
        <v>24531.1</v>
      </c>
      <c r="H2956" s="322">
        <f t="shared" si="42"/>
        <v>0</v>
      </c>
      <c r="I2956" s="325" t="s">
        <v>15214</v>
      </c>
    </row>
    <row r="2957" spans="1:9" ht="39" x14ac:dyDescent="0.25">
      <c r="A2957" s="359">
        <v>43002</v>
      </c>
      <c r="B2957" s="326" t="s">
        <v>30745</v>
      </c>
      <c r="C2957" s="327">
        <v>128716</v>
      </c>
      <c r="D2957" s="391" t="s">
        <v>15228</v>
      </c>
      <c r="E2957" s="328">
        <v>30236.25</v>
      </c>
      <c r="F2957" s="404" t="s">
        <v>30746</v>
      </c>
      <c r="G2957" s="347">
        <f>10000+7000+5000+5000+3236.25</f>
        <v>30236.25</v>
      </c>
      <c r="H2957" s="347">
        <f t="shared" si="42"/>
        <v>0</v>
      </c>
      <c r="I2957" s="331" t="s">
        <v>15214</v>
      </c>
    </row>
    <row r="2958" spans="1:9" x14ac:dyDescent="0.25">
      <c r="A2958" s="319">
        <v>43002</v>
      </c>
      <c r="B2958" s="320" t="s">
        <v>30747</v>
      </c>
      <c r="C2958" s="321">
        <v>128717</v>
      </c>
      <c r="D2958" s="390" t="s">
        <v>15242</v>
      </c>
      <c r="E2958" s="322">
        <v>9133.2000000000007</v>
      </c>
      <c r="F2958" s="323">
        <v>43002</v>
      </c>
      <c r="G2958" s="322">
        <v>9133.2000000000007</v>
      </c>
      <c r="H2958" s="322">
        <f t="shared" si="42"/>
        <v>0</v>
      </c>
      <c r="I2958" s="325" t="s">
        <v>15214</v>
      </c>
    </row>
    <row r="2959" spans="1:9" x14ac:dyDescent="0.25">
      <c r="A2959" s="359">
        <v>43002</v>
      </c>
      <c r="B2959" s="326" t="s">
        <v>30748</v>
      </c>
      <c r="C2959" s="327">
        <v>128718</v>
      </c>
      <c r="D2959" s="391" t="s">
        <v>15220</v>
      </c>
      <c r="E2959" s="328">
        <v>4830</v>
      </c>
      <c r="F2959" s="329">
        <v>43002</v>
      </c>
      <c r="G2959" s="328">
        <v>4830</v>
      </c>
      <c r="H2959" s="347">
        <f t="shared" si="42"/>
        <v>0</v>
      </c>
      <c r="I2959" s="331" t="s">
        <v>15214</v>
      </c>
    </row>
    <row r="2960" spans="1:9" x14ac:dyDescent="0.25">
      <c r="A2960" s="319">
        <v>43002</v>
      </c>
      <c r="B2960" s="320" t="s">
        <v>30749</v>
      </c>
      <c r="C2960" s="321">
        <v>128719</v>
      </c>
      <c r="D2960" s="390" t="s">
        <v>19302</v>
      </c>
      <c r="E2960" s="322">
        <v>1610</v>
      </c>
      <c r="F2960" s="323">
        <v>43002</v>
      </c>
      <c r="G2960" s="322">
        <v>1610</v>
      </c>
      <c r="H2960" s="322">
        <f t="shared" si="42"/>
        <v>0</v>
      </c>
      <c r="I2960" s="325" t="s">
        <v>15214</v>
      </c>
    </row>
    <row r="2961" spans="1:9" x14ac:dyDescent="0.25">
      <c r="A2961" s="359">
        <v>43002</v>
      </c>
      <c r="B2961" s="326" t="s">
        <v>30750</v>
      </c>
      <c r="C2961" s="327">
        <v>128720</v>
      </c>
      <c r="D2961" s="391" t="s">
        <v>15324</v>
      </c>
      <c r="E2961" s="328">
        <v>1653</v>
      </c>
      <c r="F2961" s="329">
        <v>43002</v>
      </c>
      <c r="G2961" s="328">
        <v>1653</v>
      </c>
      <c r="H2961" s="347">
        <f t="shared" si="42"/>
        <v>0</v>
      </c>
      <c r="I2961" s="331" t="s">
        <v>15214</v>
      </c>
    </row>
    <row r="2962" spans="1:9" x14ac:dyDescent="0.25">
      <c r="A2962" s="319">
        <v>43002</v>
      </c>
      <c r="B2962" s="320" t="s">
        <v>30751</v>
      </c>
      <c r="C2962" s="321">
        <v>128721</v>
      </c>
      <c r="D2962" s="390" t="s">
        <v>15596</v>
      </c>
      <c r="E2962" s="322">
        <v>1150</v>
      </c>
      <c r="F2962" s="323">
        <v>43002</v>
      </c>
      <c r="G2962" s="322">
        <v>1150</v>
      </c>
      <c r="H2962" s="322">
        <f t="shared" si="42"/>
        <v>0</v>
      </c>
      <c r="I2962" s="325" t="s">
        <v>15214</v>
      </c>
    </row>
    <row r="2963" spans="1:9" x14ac:dyDescent="0.25">
      <c r="A2963" s="359">
        <v>43002</v>
      </c>
      <c r="B2963" s="326" t="s">
        <v>30752</v>
      </c>
      <c r="C2963" s="327">
        <v>128722</v>
      </c>
      <c r="D2963" s="391" t="s">
        <v>17462</v>
      </c>
      <c r="E2963" s="328">
        <v>9290.4</v>
      </c>
      <c r="F2963" s="329">
        <v>43002</v>
      </c>
      <c r="G2963" s="328">
        <v>9290.4</v>
      </c>
      <c r="H2963" s="347">
        <f t="shared" si="42"/>
        <v>0</v>
      </c>
      <c r="I2963" s="331" t="s">
        <v>15214</v>
      </c>
    </row>
    <row r="2964" spans="1:9" x14ac:dyDescent="0.25">
      <c r="A2964" s="319">
        <v>43002</v>
      </c>
      <c r="B2964" s="320" t="s">
        <v>30753</v>
      </c>
      <c r="C2964" s="321">
        <v>128723</v>
      </c>
      <c r="D2964" s="390" t="s">
        <v>17462</v>
      </c>
      <c r="E2964" s="322">
        <v>112</v>
      </c>
      <c r="F2964" s="323">
        <v>43002</v>
      </c>
      <c r="G2964" s="322">
        <v>112</v>
      </c>
      <c r="H2964" s="322">
        <f t="shared" si="42"/>
        <v>0</v>
      </c>
      <c r="I2964" s="325" t="s">
        <v>15214</v>
      </c>
    </row>
    <row r="2965" spans="1:9" x14ac:dyDescent="0.25">
      <c r="A2965" s="359">
        <v>43002</v>
      </c>
      <c r="B2965" s="326" t="s">
        <v>30754</v>
      </c>
      <c r="C2965" s="327">
        <v>128724</v>
      </c>
      <c r="D2965" s="391" t="s">
        <v>15378</v>
      </c>
      <c r="E2965" s="328">
        <v>3863.7</v>
      </c>
      <c r="F2965" s="329">
        <v>43002</v>
      </c>
      <c r="G2965" s="328">
        <v>3863.7</v>
      </c>
      <c r="H2965" s="347">
        <f t="shared" si="42"/>
        <v>0</v>
      </c>
      <c r="I2965" s="331" t="s">
        <v>15214</v>
      </c>
    </row>
    <row r="2966" spans="1:9" x14ac:dyDescent="0.25">
      <c r="A2966" s="319">
        <v>43002</v>
      </c>
      <c r="B2966" s="320" t="s">
        <v>30755</v>
      </c>
      <c r="C2966" s="321">
        <v>128725</v>
      </c>
      <c r="D2966" s="390" t="s">
        <v>15246</v>
      </c>
      <c r="E2966" s="322">
        <v>6844</v>
      </c>
      <c r="F2966" s="323">
        <v>43003</v>
      </c>
      <c r="G2966" s="322">
        <v>6844</v>
      </c>
      <c r="H2966" s="322">
        <f t="shared" si="42"/>
        <v>0</v>
      </c>
      <c r="I2966" s="325" t="s">
        <v>15214</v>
      </c>
    </row>
    <row r="2967" spans="1:9" x14ac:dyDescent="0.25">
      <c r="A2967" s="359">
        <v>43002</v>
      </c>
      <c r="B2967" s="326" t="s">
        <v>30756</v>
      </c>
      <c r="C2967" s="327">
        <v>128726</v>
      </c>
      <c r="D2967" s="391" t="s">
        <v>15250</v>
      </c>
      <c r="E2967" s="328">
        <v>41025.870000000003</v>
      </c>
      <c r="F2967" s="329">
        <v>43008</v>
      </c>
      <c r="G2967" s="328">
        <v>41025.870000000003</v>
      </c>
      <c r="H2967" s="347">
        <f t="shared" si="42"/>
        <v>0</v>
      </c>
      <c r="I2967" s="331" t="s">
        <v>15214</v>
      </c>
    </row>
    <row r="2968" spans="1:9" x14ac:dyDescent="0.25">
      <c r="A2968" s="319">
        <v>43002</v>
      </c>
      <c r="B2968" s="320" t="s">
        <v>30757</v>
      </c>
      <c r="C2968" s="321">
        <v>128727</v>
      </c>
      <c r="D2968" s="390" t="s">
        <v>15365</v>
      </c>
      <c r="E2968" s="322">
        <v>9355.5</v>
      </c>
      <c r="F2968" s="323">
        <v>43006</v>
      </c>
      <c r="G2968" s="322">
        <v>9355.5</v>
      </c>
      <c r="H2968" s="322">
        <f t="shared" si="42"/>
        <v>0</v>
      </c>
      <c r="I2968" s="325" t="s">
        <v>15214</v>
      </c>
    </row>
    <row r="2969" spans="1:9" x14ac:dyDescent="0.25">
      <c r="A2969" s="359">
        <v>43002</v>
      </c>
      <c r="B2969" s="326" t="s">
        <v>30758</v>
      </c>
      <c r="C2969" s="327">
        <v>128728</v>
      </c>
      <c r="D2969" s="391" t="s">
        <v>15315</v>
      </c>
      <c r="E2969" s="328">
        <v>2834</v>
      </c>
      <c r="F2969" s="329">
        <v>43002</v>
      </c>
      <c r="G2969" s="328">
        <v>2834</v>
      </c>
      <c r="H2969" s="347">
        <f t="shared" si="42"/>
        <v>0</v>
      </c>
      <c r="I2969" s="331" t="s">
        <v>15214</v>
      </c>
    </row>
    <row r="2970" spans="1:9" ht="15.75" x14ac:dyDescent="0.25">
      <c r="A2970" s="319">
        <v>43002</v>
      </c>
      <c r="B2970" s="320" t="s">
        <v>30759</v>
      </c>
      <c r="C2970" s="321">
        <v>128729</v>
      </c>
      <c r="D2970" s="332" t="s">
        <v>95</v>
      </c>
      <c r="E2970" s="322">
        <v>0</v>
      </c>
      <c r="F2970" s="333" t="s">
        <v>95</v>
      </c>
      <c r="G2970" s="322">
        <v>0</v>
      </c>
      <c r="H2970" s="322">
        <f t="shared" si="42"/>
        <v>0</v>
      </c>
      <c r="I2970" s="325" t="s">
        <v>95</v>
      </c>
    </row>
    <row r="2971" spans="1:9" x14ac:dyDescent="0.25">
      <c r="A2971" s="359">
        <v>43002</v>
      </c>
      <c r="B2971" s="326" t="s">
        <v>30760</v>
      </c>
      <c r="C2971" s="327">
        <v>128730</v>
      </c>
      <c r="D2971" s="391" t="s">
        <v>15438</v>
      </c>
      <c r="E2971" s="328">
        <v>2558.8000000000002</v>
      </c>
      <c r="F2971" s="329">
        <v>43002</v>
      </c>
      <c r="G2971" s="328">
        <v>2558.8000000000002</v>
      </c>
      <c r="H2971" s="347">
        <f t="shared" si="42"/>
        <v>0</v>
      </c>
      <c r="I2971" s="331" t="s">
        <v>15214</v>
      </c>
    </row>
    <row r="2972" spans="1:9" x14ac:dyDescent="0.25">
      <c r="A2972" s="319">
        <v>43002</v>
      </c>
      <c r="B2972" s="320" t="s">
        <v>30761</v>
      </c>
      <c r="C2972" s="321">
        <v>128731</v>
      </c>
      <c r="D2972" s="390" t="s">
        <v>15340</v>
      </c>
      <c r="E2972" s="322">
        <v>12320.4</v>
      </c>
      <c r="F2972" s="323">
        <v>43002</v>
      </c>
      <c r="G2972" s="322">
        <v>12320.4</v>
      </c>
      <c r="H2972" s="322">
        <f t="shared" si="42"/>
        <v>0</v>
      </c>
      <c r="I2972" s="325" t="s">
        <v>15214</v>
      </c>
    </row>
    <row r="2973" spans="1:9" x14ac:dyDescent="0.25">
      <c r="A2973" s="359">
        <v>43002</v>
      </c>
      <c r="B2973" s="326" t="s">
        <v>30762</v>
      </c>
      <c r="C2973" s="327">
        <v>128732</v>
      </c>
      <c r="D2973" s="391" t="s">
        <v>15334</v>
      </c>
      <c r="E2973" s="328">
        <v>3666</v>
      </c>
      <c r="F2973" s="329">
        <v>43002</v>
      </c>
      <c r="G2973" s="328">
        <v>3666</v>
      </c>
      <c r="H2973" s="347">
        <f t="shared" si="42"/>
        <v>0</v>
      </c>
      <c r="I2973" s="331" t="s">
        <v>15214</v>
      </c>
    </row>
    <row r="2974" spans="1:9" x14ac:dyDescent="0.25">
      <c r="A2974" s="319">
        <v>43002</v>
      </c>
      <c r="B2974" s="320" t="s">
        <v>30763</v>
      </c>
      <c r="C2974" s="321">
        <v>128733</v>
      </c>
      <c r="D2974" s="390" t="s">
        <v>15523</v>
      </c>
      <c r="E2974" s="322">
        <v>3680</v>
      </c>
      <c r="F2974" s="323">
        <v>43002</v>
      </c>
      <c r="G2974" s="322">
        <v>3680</v>
      </c>
      <c r="H2974" s="322">
        <f t="shared" si="42"/>
        <v>0</v>
      </c>
      <c r="I2974" s="325" t="s">
        <v>15214</v>
      </c>
    </row>
    <row r="2975" spans="1:9" x14ac:dyDescent="0.25">
      <c r="A2975" s="359">
        <v>43002</v>
      </c>
      <c r="B2975" s="326" t="s">
        <v>30764</v>
      </c>
      <c r="C2975" s="327">
        <v>128734</v>
      </c>
      <c r="D2975" s="391" t="s">
        <v>15263</v>
      </c>
      <c r="E2975" s="328">
        <v>1601.6</v>
      </c>
      <c r="F2975" s="329">
        <v>43002</v>
      </c>
      <c r="G2975" s="328">
        <v>1601.6</v>
      </c>
      <c r="H2975" s="347">
        <f t="shared" si="42"/>
        <v>0</v>
      </c>
      <c r="I2975" s="331" t="s">
        <v>15214</v>
      </c>
    </row>
    <row r="2976" spans="1:9" x14ac:dyDescent="0.25">
      <c r="A2976" s="319">
        <v>43002</v>
      </c>
      <c r="B2976" s="320" t="s">
        <v>30765</v>
      </c>
      <c r="C2976" s="321">
        <v>128735</v>
      </c>
      <c r="D2976" s="390" t="s">
        <v>15358</v>
      </c>
      <c r="E2976" s="322">
        <v>2640.4</v>
      </c>
      <c r="F2976" s="323">
        <v>43002</v>
      </c>
      <c r="G2976" s="322">
        <v>2640.4</v>
      </c>
      <c r="H2976" s="322">
        <f t="shared" si="42"/>
        <v>0</v>
      </c>
      <c r="I2976" s="325" t="s">
        <v>15214</v>
      </c>
    </row>
    <row r="2977" spans="1:9" x14ac:dyDescent="0.25">
      <c r="A2977" s="359">
        <v>43002</v>
      </c>
      <c r="B2977" s="326" t="s">
        <v>30766</v>
      </c>
      <c r="C2977" s="327">
        <v>128736</v>
      </c>
      <c r="D2977" s="391" t="s">
        <v>15336</v>
      </c>
      <c r="E2977" s="328">
        <v>814.2</v>
      </c>
      <c r="F2977" s="329">
        <v>43002</v>
      </c>
      <c r="G2977" s="328">
        <v>814.2</v>
      </c>
      <c r="H2977" s="347">
        <f t="shared" si="42"/>
        <v>0</v>
      </c>
      <c r="I2977" s="331" t="s">
        <v>15214</v>
      </c>
    </row>
    <row r="2978" spans="1:9" x14ac:dyDescent="0.25">
      <c r="A2978" s="319">
        <v>43002</v>
      </c>
      <c r="B2978" s="320" t="s">
        <v>30767</v>
      </c>
      <c r="C2978" s="321">
        <v>128737</v>
      </c>
      <c r="D2978" s="390" t="s">
        <v>15332</v>
      </c>
      <c r="E2978" s="322">
        <v>4230</v>
      </c>
      <c r="F2978" s="323">
        <v>43002</v>
      </c>
      <c r="G2978" s="322">
        <v>4230</v>
      </c>
      <c r="H2978" s="322">
        <f t="shared" si="42"/>
        <v>0</v>
      </c>
      <c r="I2978" s="325" t="s">
        <v>15214</v>
      </c>
    </row>
    <row r="2979" spans="1:9" x14ac:dyDescent="0.25">
      <c r="A2979" s="359">
        <v>43002</v>
      </c>
      <c r="B2979" s="326" t="s">
        <v>30768</v>
      </c>
      <c r="C2979" s="327">
        <v>128738</v>
      </c>
      <c r="D2979" s="391" t="s">
        <v>16023</v>
      </c>
      <c r="E2979" s="328">
        <v>1913.9</v>
      </c>
      <c r="F2979" s="329">
        <v>43002</v>
      </c>
      <c r="G2979" s="328">
        <v>1913.9</v>
      </c>
      <c r="H2979" s="347">
        <f t="shared" si="42"/>
        <v>0</v>
      </c>
      <c r="I2979" s="331" t="s">
        <v>15214</v>
      </c>
    </row>
    <row r="2980" spans="1:9" x14ac:dyDescent="0.25">
      <c r="A2980" s="319">
        <v>43002</v>
      </c>
      <c r="B2980" s="320" t="s">
        <v>30769</v>
      </c>
      <c r="C2980" s="321">
        <v>128739</v>
      </c>
      <c r="D2980" s="390" t="s">
        <v>15280</v>
      </c>
      <c r="E2980" s="322">
        <v>5358.4</v>
      </c>
      <c r="F2980" s="323">
        <v>43002</v>
      </c>
      <c r="G2980" s="322">
        <v>5358.4</v>
      </c>
      <c r="H2980" s="322">
        <f t="shared" si="42"/>
        <v>0</v>
      </c>
      <c r="I2980" s="325" t="s">
        <v>15214</v>
      </c>
    </row>
    <row r="2981" spans="1:9" x14ac:dyDescent="0.25">
      <c r="A2981" s="359">
        <v>43002</v>
      </c>
      <c r="B2981" s="326" t="s">
        <v>30770</v>
      </c>
      <c r="C2981" s="327">
        <v>128740</v>
      </c>
      <c r="D2981" s="391" t="s">
        <v>15562</v>
      </c>
      <c r="E2981" s="328">
        <v>3576</v>
      </c>
      <c r="F2981" s="329">
        <v>43002</v>
      </c>
      <c r="G2981" s="328">
        <v>3576</v>
      </c>
      <c r="H2981" s="347">
        <f t="shared" si="42"/>
        <v>0</v>
      </c>
      <c r="I2981" s="331" t="s">
        <v>15214</v>
      </c>
    </row>
    <row r="2982" spans="1:9" x14ac:dyDescent="0.25">
      <c r="A2982" s="319">
        <v>43002</v>
      </c>
      <c r="B2982" s="320" t="s">
        <v>30771</v>
      </c>
      <c r="C2982" s="321">
        <v>128741</v>
      </c>
      <c r="D2982" s="390" t="s">
        <v>15526</v>
      </c>
      <c r="E2982" s="322">
        <v>4080</v>
      </c>
      <c r="F2982" s="323">
        <v>43002</v>
      </c>
      <c r="G2982" s="322">
        <v>4080</v>
      </c>
      <c r="H2982" s="322">
        <f t="shared" si="42"/>
        <v>0</v>
      </c>
      <c r="I2982" s="325" t="s">
        <v>15214</v>
      </c>
    </row>
    <row r="2983" spans="1:9" x14ac:dyDescent="0.25">
      <c r="A2983" s="359">
        <v>43002</v>
      </c>
      <c r="B2983" s="326" t="s">
        <v>30772</v>
      </c>
      <c r="C2983" s="327">
        <v>128742</v>
      </c>
      <c r="D2983" s="391" t="s">
        <v>15530</v>
      </c>
      <c r="E2983" s="328">
        <v>3422.1</v>
      </c>
      <c r="F2983" s="329">
        <v>43002</v>
      </c>
      <c r="G2983" s="328">
        <v>3422.1</v>
      </c>
      <c r="H2983" s="347">
        <f t="shared" si="42"/>
        <v>0</v>
      </c>
      <c r="I2983" s="331" t="s">
        <v>15214</v>
      </c>
    </row>
    <row r="2984" spans="1:9" x14ac:dyDescent="0.25">
      <c r="A2984" s="319">
        <v>43002</v>
      </c>
      <c r="B2984" s="320" t="s">
        <v>30773</v>
      </c>
      <c r="C2984" s="321">
        <v>128743</v>
      </c>
      <c r="D2984" s="390" t="s">
        <v>15250</v>
      </c>
      <c r="E2984" s="322">
        <v>30999.54</v>
      </c>
      <c r="F2984" s="323">
        <v>43008</v>
      </c>
      <c r="G2984" s="322">
        <v>30999.54</v>
      </c>
      <c r="H2984" s="322">
        <f t="shared" si="42"/>
        <v>0</v>
      </c>
      <c r="I2984" s="325" t="s">
        <v>15214</v>
      </c>
    </row>
    <row r="2985" spans="1:9" x14ac:dyDescent="0.25">
      <c r="A2985" s="359">
        <v>43002</v>
      </c>
      <c r="B2985" s="326" t="s">
        <v>30774</v>
      </c>
      <c r="C2985" s="327">
        <v>128744</v>
      </c>
      <c r="D2985" s="391" t="s">
        <v>15398</v>
      </c>
      <c r="E2985" s="328">
        <v>413.4</v>
      </c>
      <c r="F2985" s="329">
        <v>43002</v>
      </c>
      <c r="G2985" s="328">
        <v>413.4</v>
      </c>
      <c r="H2985" s="347">
        <f t="shared" si="42"/>
        <v>0</v>
      </c>
      <c r="I2985" s="331" t="s">
        <v>15214</v>
      </c>
    </row>
    <row r="2986" spans="1:9" x14ac:dyDescent="0.25">
      <c r="A2986" s="319">
        <v>43002</v>
      </c>
      <c r="B2986" s="320" t="s">
        <v>30775</v>
      </c>
      <c r="C2986" s="321">
        <v>128745</v>
      </c>
      <c r="D2986" s="390" t="s">
        <v>15577</v>
      </c>
      <c r="E2986" s="322">
        <v>135</v>
      </c>
      <c r="F2986" s="323">
        <v>43002</v>
      </c>
      <c r="G2986" s="322">
        <v>135</v>
      </c>
      <c r="H2986" s="322">
        <f t="shared" si="42"/>
        <v>0</v>
      </c>
      <c r="I2986" s="325" t="s">
        <v>15214</v>
      </c>
    </row>
    <row r="2987" spans="1:9" x14ac:dyDescent="0.25">
      <c r="A2987" s="359">
        <v>43002</v>
      </c>
      <c r="B2987" s="326" t="s">
        <v>30776</v>
      </c>
      <c r="C2987" s="327">
        <v>128746</v>
      </c>
      <c r="D2987" s="391" t="s">
        <v>15549</v>
      </c>
      <c r="E2987" s="328">
        <v>3664</v>
      </c>
      <c r="F2987" s="329">
        <v>43002</v>
      </c>
      <c r="G2987" s="328">
        <v>3664</v>
      </c>
      <c r="H2987" s="347">
        <f t="shared" si="42"/>
        <v>0</v>
      </c>
      <c r="I2987" s="331" t="s">
        <v>15214</v>
      </c>
    </row>
    <row r="2988" spans="1:9" x14ac:dyDescent="0.25">
      <c r="A2988" s="319">
        <v>43002</v>
      </c>
      <c r="B2988" s="320" t="s">
        <v>30777</v>
      </c>
      <c r="C2988" s="321">
        <v>128747</v>
      </c>
      <c r="D2988" s="390" t="s">
        <v>15244</v>
      </c>
      <c r="E2988" s="322">
        <v>13599.3</v>
      </c>
      <c r="F2988" s="323">
        <v>43003</v>
      </c>
      <c r="G2988" s="322">
        <v>13599.3</v>
      </c>
      <c r="H2988" s="322">
        <f t="shared" si="42"/>
        <v>0</v>
      </c>
      <c r="I2988" s="325" t="s">
        <v>15214</v>
      </c>
    </row>
    <row r="2989" spans="1:9" x14ac:dyDescent="0.25">
      <c r="A2989" s="359">
        <v>43002</v>
      </c>
      <c r="B2989" s="326" t="s">
        <v>30778</v>
      </c>
      <c r="C2989" s="327">
        <v>128748</v>
      </c>
      <c r="D2989" s="391" t="s">
        <v>15252</v>
      </c>
      <c r="E2989" s="328">
        <v>3614.4</v>
      </c>
      <c r="F2989" s="329">
        <v>43002</v>
      </c>
      <c r="G2989" s="328">
        <v>3614.4</v>
      </c>
      <c r="H2989" s="347">
        <f t="shared" si="42"/>
        <v>0</v>
      </c>
      <c r="I2989" s="331" t="s">
        <v>15214</v>
      </c>
    </row>
    <row r="2990" spans="1:9" x14ac:dyDescent="0.25">
      <c r="A2990" s="319">
        <v>43002</v>
      </c>
      <c r="B2990" s="320" t="s">
        <v>30779</v>
      </c>
      <c r="C2990" s="321">
        <v>128749</v>
      </c>
      <c r="D2990" s="390" t="s">
        <v>15326</v>
      </c>
      <c r="E2990" s="322">
        <v>3357</v>
      </c>
      <c r="F2990" s="323">
        <v>43002</v>
      </c>
      <c r="G2990" s="322">
        <v>3357</v>
      </c>
      <c r="H2990" s="322">
        <f t="shared" si="42"/>
        <v>0</v>
      </c>
      <c r="I2990" s="325" t="s">
        <v>15214</v>
      </c>
    </row>
    <row r="2991" spans="1:9" x14ac:dyDescent="0.25">
      <c r="A2991" s="359">
        <v>43002</v>
      </c>
      <c r="B2991" s="326" t="s">
        <v>30780</v>
      </c>
      <c r="C2991" s="327">
        <v>128750</v>
      </c>
      <c r="D2991" s="391" t="s">
        <v>15510</v>
      </c>
      <c r="E2991" s="328">
        <v>10650.9</v>
      </c>
      <c r="F2991" s="329">
        <v>43002</v>
      </c>
      <c r="G2991" s="328">
        <v>10650.9</v>
      </c>
      <c r="H2991" s="347">
        <f t="shared" si="42"/>
        <v>0</v>
      </c>
      <c r="I2991" s="331" t="s">
        <v>15214</v>
      </c>
    </row>
    <row r="2992" spans="1:9" x14ac:dyDescent="0.25">
      <c r="A2992" s="319">
        <v>43002</v>
      </c>
      <c r="B2992" s="320" t="s">
        <v>30781</v>
      </c>
      <c r="C2992" s="321">
        <v>128751</v>
      </c>
      <c r="D2992" s="390" t="s">
        <v>15315</v>
      </c>
      <c r="E2992" s="322">
        <v>947.6</v>
      </c>
      <c r="F2992" s="323">
        <v>43002</v>
      </c>
      <c r="G2992" s="322">
        <v>947.6</v>
      </c>
      <c r="H2992" s="322">
        <f t="shared" si="42"/>
        <v>0</v>
      </c>
      <c r="I2992" s="325" t="s">
        <v>15214</v>
      </c>
    </row>
    <row r="2993" spans="1:10" x14ac:dyDescent="0.25">
      <c r="A2993" s="359">
        <v>43002</v>
      </c>
      <c r="B2993" s="326" t="s">
        <v>30782</v>
      </c>
      <c r="C2993" s="327">
        <v>128752</v>
      </c>
      <c r="D2993" s="391" t="s">
        <v>15284</v>
      </c>
      <c r="E2993" s="328">
        <v>1158.8</v>
      </c>
      <c r="F2993" s="329">
        <v>43002</v>
      </c>
      <c r="G2993" s="328">
        <v>1158.8</v>
      </c>
      <c r="H2993" s="347">
        <f t="shared" ref="H2993:H3056" si="43">E2993-G2993</f>
        <v>0</v>
      </c>
      <c r="I2993" s="331" t="s">
        <v>15214</v>
      </c>
    </row>
    <row r="2994" spans="1:10" x14ac:dyDescent="0.25">
      <c r="A2994" s="319">
        <v>43002</v>
      </c>
      <c r="B2994" s="320" t="s">
        <v>30783</v>
      </c>
      <c r="C2994" s="321">
        <v>128753</v>
      </c>
      <c r="D2994" s="390" t="s">
        <v>15624</v>
      </c>
      <c r="E2994" s="322">
        <v>30041.55</v>
      </c>
      <c r="F2994" s="323">
        <v>43008</v>
      </c>
      <c r="G2994" s="322">
        <v>30041.55</v>
      </c>
      <c r="H2994" s="322">
        <f t="shared" si="43"/>
        <v>0</v>
      </c>
      <c r="I2994" s="325" t="s">
        <v>15214</v>
      </c>
    </row>
    <row r="2995" spans="1:10" x14ac:dyDescent="0.25">
      <c r="A2995" s="359">
        <v>43002</v>
      </c>
      <c r="B2995" s="326" t="s">
        <v>30784</v>
      </c>
      <c r="C2995" s="327">
        <v>128754</v>
      </c>
      <c r="D2995" s="391" t="s">
        <v>15315</v>
      </c>
      <c r="E2995" s="328">
        <v>46.8</v>
      </c>
      <c r="F2995" s="329">
        <v>43002</v>
      </c>
      <c r="G2995" s="328">
        <v>46.8</v>
      </c>
      <c r="H2995" s="347">
        <f t="shared" si="43"/>
        <v>0</v>
      </c>
      <c r="I2995" s="331" t="s">
        <v>15214</v>
      </c>
    </row>
    <row r="2996" spans="1:10" x14ac:dyDescent="0.25">
      <c r="A2996" s="319">
        <v>43002</v>
      </c>
      <c r="B2996" s="320" t="s">
        <v>30785</v>
      </c>
      <c r="C2996" s="321">
        <v>128755</v>
      </c>
      <c r="D2996" s="390" t="s">
        <v>15213</v>
      </c>
      <c r="E2996" s="322">
        <v>11245.8</v>
      </c>
      <c r="F2996" s="323">
        <v>43003</v>
      </c>
      <c r="G2996" s="322">
        <v>11245.8</v>
      </c>
      <c r="H2996" s="322">
        <f t="shared" si="43"/>
        <v>0</v>
      </c>
      <c r="I2996" s="325" t="s">
        <v>15214</v>
      </c>
    </row>
    <row r="2997" spans="1:10" ht="15.75" x14ac:dyDescent="0.25">
      <c r="A2997" s="359">
        <v>43002</v>
      </c>
      <c r="B2997" s="326" t="s">
        <v>30786</v>
      </c>
      <c r="C2997" s="327">
        <v>128756</v>
      </c>
      <c r="D2997" s="345" t="s">
        <v>95</v>
      </c>
      <c r="E2997" s="328">
        <v>0</v>
      </c>
      <c r="F2997" s="346" t="s">
        <v>95</v>
      </c>
      <c r="G2997" s="328">
        <v>0</v>
      </c>
      <c r="H2997" s="347">
        <f t="shared" si="43"/>
        <v>0</v>
      </c>
      <c r="I2997" s="399" t="s">
        <v>30787</v>
      </c>
    </row>
    <row r="2998" spans="1:10" x14ac:dyDescent="0.25">
      <c r="A2998" s="319">
        <v>43002</v>
      </c>
      <c r="B2998" s="320" t="s">
        <v>30788</v>
      </c>
      <c r="C2998" s="321">
        <v>128757</v>
      </c>
      <c r="D2998" s="390" t="s">
        <v>15315</v>
      </c>
      <c r="E2998" s="322">
        <v>4286</v>
      </c>
      <c r="F2998" s="323">
        <v>43002</v>
      </c>
      <c r="G2998" s="322">
        <v>4286</v>
      </c>
      <c r="H2998" s="322">
        <f t="shared" si="43"/>
        <v>0</v>
      </c>
      <c r="I2998" s="325" t="s">
        <v>15214</v>
      </c>
      <c r="J2998" s="399" t="s">
        <v>30787</v>
      </c>
    </row>
    <row r="2999" spans="1:10" x14ac:dyDescent="0.25">
      <c r="A2999" s="359">
        <v>43002</v>
      </c>
      <c r="B2999" s="326" t="s">
        <v>30789</v>
      </c>
      <c r="C2999" s="327">
        <v>128758</v>
      </c>
      <c r="D2999" s="391" t="s">
        <v>15371</v>
      </c>
      <c r="E2999" s="328">
        <v>2913.6</v>
      </c>
      <c r="F2999" s="329">
        <v>43003</v>
      </c>
      <c r="G2999" s="328">
        <v>2913.6</v>
      </c>
      <c r="H2999" s="347">
        <f t="shared" si="43"/>
        <v>0</v>
      </c>
      <c r="I2999" s="331" t="s">
        <v>15214</v>
      </c>
      <c r="J2999" s="399" t="s">
        <v>30787</v>
      </c>
    </row>
    <row r="3000" spans="1:10" x14ac:dyDescent="0.25">
      <c r="A3000" s="319">
        <v>43002</v>
      </c>
      <c r="B3000" s="320" t="s">
        <v>30790</v>
      </c>
      <c r="C3000" s="321">
        <v>128759</v>
      </c>
      <c r="D3000" s="390" t="s">
        <v>15282</v>
      </c>
      <c r="E3000" s="322">
        <v>2997.1</v>
      </c>
      <c r="F3000" s="323">
        <v>43002</v>
      </c>
      <c r="G3000" s="322">
        <v>2997.1</v>
      </c>
      <c r="H3000" s="322">
        <f t="shared" si="43"/>
        <v>0</v>
      </c>
      <c r="I3000" s="325" t="s">
        <v>15214</v>
      </c>
      <c r="J3000" s="399" t="s">
        <v>30787</v>
      </c>
    </row>
    <row r="3001" spans="1:10" x14ac:dyDescent="0.25">
      <c r="A3001" s="359">
        <v>43002</v>
      </c>
      <c r="B3001" s="326" t="s">
        <v>30791</v>
      </c>
      <c r="C3001" s="327">
        <v>128760</v>
      </c>
      <c r="D3001" s="391" t="s">
        <v>15385</v>
      </c>
      <c r="E3001" s="328">
        <v>8304</v>
      </c>
      <c r="F3001" s="329">
        <v>43003</v>
      </c>
      <c r="G3001" s="328">
        <v>8304</v>
      </c>
      <c r="H3001" s="347">
        <f t="shared" si="43"/>
        <v>0</v>
      </c>
      <c r="I3001" s="331" t="s">
        <v>15214</v>
      </c>
      <c r="J3001" s="399" t="s">
        <v>30787</v>
      </c>
    </row>
    <row r="3002" spans="1:10" x14ac:dyDescent="0.25">
      <c r="A3002" s="319">
        <v>43002</v>
      </c>
      <c r="B3002" s="320" t="s">
        <v>30792</v>
      </c>
      <c r="C3002" s="321">
        <v>128761</v>
      </c>
      <c r="D3002" s="390" t="s">
        <v>15510</v>
      </c>
      <c r="E3002" s="322">
        <v>12226.5</v>
      </c>
      <c r="F3002" s="323">
        <v>43002</v>
      </c>
      <c r="G3002" s="322">
        <v>12226.5</v>
      </c>
      <c r="H3002" s="322">
        <f t="shared" si="43"/>
        <v>0</v>
      </c>
      <c r="I3002" s="325" t="s">
        <v>15214</v>
      </c>
      <c r="J3002" s="399" t="s">
        <v>30787</v>
      </c>
    </row>
    <row r="3003" spans="1:10" x14ac:dyDescent="0.25">
      <c r="A3003" s="359">
        <v>43002</v>
      </c>
      <c r="B3003" s="326" t="s">
        <v>30793</v>
      </c>
      <c r="C3003" s="327">
        <v>128762</v>
      </c>
      <c r="D3003" s="391" t="s">
        <v>15378</v>
      </c>
      <c r="E3003" s="328">
        <v>468</v>
      </c>
      <c r="F3003" s="329">
        <v>43002</v>
      </c>
      <c r="G3003" s="328">
        <v>468</v>
      </c>
      <c r="H3003" s="347">
        <f t="shared" si="43"/>
        <v>0</v>
      </c>
      <c r="I3003" s="331" t="s">
        <v>15214</v>
      </c>
      <c r="J3003" s="399" t="s">
        <v>30787</v>
      </c>
    </row>
    <row r="3004" spans="1:10" x14ac:dyDescent="0.25">
      <c r="A3004" s="319">
        <v>43002</v>
      </c>
      <c r="B3004" s="320" t="s">
        <v>30794</v>
      </c>
      <c r="C3004" s="321">
        <v>128763</v>
      </c>
      <c r="D3004" s="390" t="s">
        <v>15725</v>
      </c>
      <c r="E3004" s="322">
        <v>6382.8</v>
      </c>
      <c r="F3004" s="323">
        <v>43005</v>
      </c>
      <c r="G3004" s="322">
        <v>6382.8</v>
      </c>
      <c r="H3004" s="322">
        <f t="shared" si="43"/>
        <v>0</v>
      </c>
      <c r="I3004" s="325" t="s">
        <v>15214</v>
      </c>
      <c r="J3004" s="399" t="s">
        <v>30787</v>
      </c>
    </row>
    <row r="3005" spans="1:10" ht="30" x14ac:dyDescent="0.25">
      <c r="A3005" s="359">
        <v>43002</v>
      </c>
      <c r="B3005" s="326" t="s">
        <v>30795</v>
      </c>
      <c r="C3005" s="327">
        <v>128764</v>
      </c>
      <c r="D3005" s="391" t="s">
        <v>15421</v>
      </c>
      <c r="E3005" s="328">
        <v>2652</v>
      </c>
      <c r="F3005" s="329" t="s">
        <v>30582</v>
      </c>
      <c r="G3005" s="328">
        <f>2100+552</f>
        <v>2652</v>
      </c>
      <c r="H3005" s="347">
        <f t="shared" si="43"/>
        <v>0</v>
      </c>
      <c r="I3005" s="331" t="s">
        <v>15214</v>
      </c>
      <c r="J3005" s="399" t="s">
        <v>30787</v>
      </c>
    </row>
    <row r="3006" spans="1:10" x14ac:dyDescent="0.25">
      <c r="A3006" s="319">
        <v>43002</v>
      </c>
      <c r="B3006" s="320" t="s">
        <v>30796</v>
      </c>
      <c r="C3006" s="321">
        <v>128765</v>
      </c>
      <c r="D3006" s="390" t="s">
        <v>15810</v>
      </c>
      <c r="E3006" s="322">
        <v>423.5</v>
      </c>
      <c r="F3006" s="323">
        <v>43002</v>
      </c>
      <c r="G3006" s="322">
        <v>423.5</v>
      </c>
      <c r="H3006" s="322">
        <f t="shared" si="43"/>
        <v>0</v>
      </c>
      <c r="I3006" s="325" t="s">
        <v>15214</v>
      </c>
      <c r="J3006" s="399" t="s">
        <v>30787</v>
      </c>
    </row>
    <row r="3007" spans="1:10" x14ac:dyDescent="0.25">
      <c r="A3007" s="359">
        <v>43002</v>
      </c>
      <c r="B3007" s="326" t="s">
        <v>30797</v>
      </c>
      <c r="C3007" s="327">
        <v>128766</v>
      </c>
      <c r="D3007" s="391" t="s">
        <v>15435</v>
      </c>
      <c r="E3007" s="328">
        <v>7441.2</v>
      </c>
      <c r="F3007" s="329">
        <v>43002</v>
      </c>
      <c r="G3007" s="328">
        <v>7441.2</v>
      </c>
      <c r="H3007" s="347">
        <f t="shared" si="43"/>
        <v>0</v>
      </c>
      <c r="I3007" s="331" t="s">
        <v>15214</v>
      </c>
      <c r="J3007" s="399" t="s">
        <v>30787</v>
      </c>
    </row>
    <row r="3008" spans="1:10" x14ac:dyDescent="0.25">
      <c r="A3008" s="319">
        <v>43002</v>
      </c>
      <c r="B3008" s="320" t="s">
        <v>30798</v>
      </c>
      <c r="C3008" s="321">
        <v>128767</v>
      </c>
      <c r="D3008" s="390" t="s">
        <v>15541</v>
      </c>
      <c r="E3008" s="322">
        <v>1690.76</v>
      </c>
      <c r="F3008" s="323">
        <v>43002</v>
      </c>
      <c r="G3008" s="322">
        <v>1690.76</v>
      </c>
      <c r="H3008" s="322">
        <f t="shared" si="43"/>
        <v>0</v>
      </c>
      <c r="I3008" s="325" t="s">
        <v>15214</v>
      </c>
      <c r="J3008" s="399" t="s">
        <v>30787</v>
      </c>
    </row>
    <row r="3009" spans="1:10" x14ac:dyDescent="0.25">
      <c r="A3009" s="359">
        <v>43002</v>
      </c>
      <c r="B3009" s="326" t="s">
        <v>30799</v>
      </c>
      <c r="C3009" s="327">
        <v>128768</v>
      </c>
      <c r="D3009" s="391" t="s">
        <v>15265</v>
      </c>
      <c r="E3009" s="328">
        <v>2750</v>
      </c>
      <c r="F3009" s="329">
        <v>43002</v>
      </c>
      <c r="G3009" s="328">
        <v>2750</v>
      </c>
      <c r="H3009" s="347">
        <f t="shared" si="43"/>
        <v>0</v>
      </c>
      <c r="I3009" s="331" t="s">
        <v>15214</v>
      </c>
      <c r="J3009" s="399" t="s">
        <v>30787</v>
      </c>
    </row>
    <row r="3010" spans="1:10" x14ac:dyDescent="0.25">
      <c r="A3010" s="319">
        <v>43002</v>
      </c>
      <c r="B3010" s="320" t="s">
        <v>30800</v>
      </c>
      <c r="C3010" s="321">
        <v>128769</v>
      </c>
      <c r="D3010" s="390" t="s">
        <v>15407</v>
      </c>
      <c r="E3010" s="322">
        <v>1218</v>
      </c>
      <c r="F3010" s="323">
        <v>43002</v>
      </c>
      <c r="G3010" s="322">
        <v>1218</v>
      </c>
      <c r="H3010" s="322">
        <f t="shared" si="43"/>
        <v>0</v>
      </c>
      <c r="I3010" s="325" t="s">
        <v>15214</v>
      </c>
      <c r="J3010" s="399" t="s">
        <v>30787</v>
      </c>
    </row>
    <row r="3011" spans="1:10" x14ac:dyDescent="0.25">
      <c r="A3011" s="359">
        <v>43002</v>
      </c>
      <c r="B3011" s="326" t="s">
        <v>30801</v>
      </c>
      <c r="C3011" s="327">
        <v>128770</v>
      </c>
      <c r="D3011" s="391" t="s">
        <v>15284</v>
      </c>
      <c r="E3011" s="328">
        <v>705.6</v>
      </c>
      <c r="F3011" s="329">
        <v>43002</v>
      </c>
      <c r="G3011" s="328">
        <v>705.6</v>
      </c>
      <c r="H3011" s="347">
        <f t="shared" si="43"/>
        <v>0</v>
      </c>
      <c r="I3011" s="331" t="s">
        <v>15214</v>
      </c>
      <c r="J3011" s="399" t="s">
        <v>30787</v>
      </c>
    </row>
    <row r="3012" spans="1:10" x14ac:dyDescent="0.25">
      <c r="A3012" s="319">
        <v>43002</v>
      </c>
      <c r="B3012" s="320" t="s">
        <v>30802</v>
      </c>
      <c r="C3012" s="321">
        <v>128771</v>
      </c>
      <c r="D3012" s="390" t="s">
        <v>15315</v>
      </c>
      <c r="E3012" s="322">
        <v>153</v>
      </c>
      <c r="F3012" s="323">
        <v>43002</v>
      </c>
      <c r="G3012" s="322">
        <v>153</v>
      </c>
      <c r="H3012" s="322">
        <f t="shared" si="43"/>
        <v>0</v>
      </c>
      <c r="I3012" s="325" t="s">
        <v>15214</v>
      </c>
      <c r="J3012" s="399" t="s">
        <v>30787</v>
      </c>
    </row>
    <row r="3013" spans="1:10" x14ac:dyDescent="0.25">
      <c r="A3013" s="359">
        <v>43002</v>
      </c>
      <c r="B3013" s="326" t="s">
        <v>30803</v>
      </c>
      <c r="C3013" s="327">
        <v>128772</v>
      </c>
      <c r="D3013" s="391" t="s">
        <v>15223</v>
      </c>
      <c r="E3013" s="328">
        <v>45175.8</v>
      </c>
      <c r="F3013" s="329">
        <v>43024</v>
      </c>
      <c r="G3013" s="328">
        <v>45175.8</v>
      </c>
      <c r="H3013" s="347">
        <f t="shared" si="43"/>
        <v>0</v>
      </c>
      <c r="I3013" s="331" t="s">
        <v>15214</v>
      </c>
      <c r="J3013" s="399" t="s">
        <v>30787</v>
      </c>
    </row>
    <row r="3014" spans="1:10" x14ac:dyDescent="0.25">
      <c r="A3014" s="319">
        <v>43002</v>
      </c>
      <c r="B3014" s="320" t="s">
        <v>30804</v>
      </c>
      <c r="C3014" s="321">
        <v>128773</v>
      </c>
      <c r="D3014" s="390" t="s">
        <v>16126</v>
      </c>
      <c r="E3014" s="322">
        <v>795.6</v>
      </c>
      <c r="F3014" s="323">
        <v>43003</v>
      </c>
      <c r="G3014" s="322">
        <v>795.6</v>
      </c>
      <c r="H3014" s="322">
        <f t="shared" si="43"/>
        <v>0</v>
      </c>
      <c r="I3014" s="325" t="s">
        <v>15214</v>
      </c>
      <c r="J3014" s="399" t="s">
        <v>30787</v>
      </c>
    </row>
    <row r="3015" spans="1:10" x14ac:dyDescent="0.25">
      <c r="A3015" s="359">
        <v>43002</v>
      </c>
      <c r="B3015" s="326" t="s">
        <v>30805</v>
      </c>
      <c r="C3015" s="327">
        <v>128774</v>
      </c>
      <c r="D3015" s="391" t="s">
        <v>15644</v>
      </c>
      <c r="E3015" s="328">
        <v>3345.6</v>
      </c>
      <c r="F3015" s="329">
        <v>43003</v>
      </c>
      <c r="G3015" s="328">
        <v>3345.6</v>
      </c>
      <c r="H3015" s="347">
        <f t="shared" si="43"/>
        <v>0</v>
      </c>
      <c r="I3015" s="331" t="s">
        <v>15214</v>
      </c>
      <c r="J3015" s="399" t="s">
        <v>30787</v>
      </c>
    </row>
    <row r="3016" spans="1:10" x14ac:dyDescent="0.25">
      <c r="A3016" s="319">
        <v>43003</v>
      </c>
      <c r="B3016" s="320" t="s">
        <v>30806</v>
      </c>
      <c r="C3016" s="321">
        <v>128775</v>
      </c>
      <c r="D3016" s="390" t="s">
        <v>21386</v>
      </c>
      <c r="E3016" s="322">
        <v>9582.2999999999993</v>
      </c>
      <c r="F3016" s="323">
        <v>43004</v>
      </c>
      <c r="G3016" s="322">
        <v>9582.2999999999993</v>
      </c>
      <c r="H3016" s="322">
        <f t="shared" si="43"/>
        <v>0</v>
      </c>
      <c r="I3016" s="325" t="s">
        <v>15214</v>
      </c>
    </row>
    <row r="3017" spans="1:10" ht="30" x14ac:dyDescent="0.25">
      <c r="A3017" s="359">
        <v>43003</v>
      </c>
      <c r="B3017" s="326" t="s">
        <v>30807</v>
      </c>
      <c r="C3017" s="327">
        <v>128776</v>
      </c>
      <c r="D3017" s="391" t="s">
        <v>15213</v>
      </c>
      <c r="E3017" s="328">
        <v>42127.8</v>
      </c>
      <c r="F3017" s="329" t="s">
        <v>30430</v>
      </c>
      <c r="G3017" s="347">
        <f>39000+3127.8</f>
        <v>42127.8</v>
      </c>
      <c r="H3017" s="347">
        <f t="shared" si="43"/>
        <v>0</v>
      </c>
      <c r="I3017" s="331" t="s">
        <v>15214</v>
      </c>
    </row>
    <row r="3018" spans="1:10" x14ac:dyDescent="0.25">
      <c r="A3018" s="319">
        <v>43003</v>
      </c>
      <c r="B3018" s="320" t="s">
        <v>30808</v>
      </c>
      <c r="C3018" s="321">
        <v>128777</v>
      </c>
      <c r="D3018" s="390" t="s">
        <v>15272</v>
      </c>
      <c r="E3018" s="322">
        <v>17566</v>
      </c>
      <c r="F3018" s="323">
        <v>43003</v>
      </c>
      <c r="G3018" s="322">
        <v>17566</v>
      </c>
      <c r="H3018" s="322">
        <f t="shared" si="43"/>
        <v>0</v>
      </c>
      <c r="I3018" s="325" t="s">
        <v>15214</v>
      </c>
    </row>
    <row r="3019" spans="1:10" x14ac:dyDescent="0.25">
      <c r="A3019" s="359">
        <v>43003</v>
      </c>
      <c r="B3019" s="326" t="s">
        <v>30809</v>
      </c>
      <c r="C3019" s="327">
        <v>128778</v>
      </c>
      <c r="D3019" s="391" t="s">
        <v>15263</v>
      </c>
      <c r="E3019" s="328">
        <v>2734.8</v>
      </c>
      <c r="F3019" s="329">
        <v>43003</v>
      </c>
      <c r="G3019" s="328">
        <v>2734.8</v>
      </c>
      <c r="H3019" s="347">
        <f t="shared" si="43"/>
        <v>0</v>
      </c>
      <c r="I3019" s="331" t="s">
        <v>15214</v>
      </c>
    </row>
    <row r="3020" spans="1:10" x14ac:dyDescent="0.25">
      <c r="A3020" s="319">
        <v>43003</v>
      </c>
      <c r="B3020" s="320" t="s">
        <v>30810</v>
      </c>
      <c r="C3020" s="321">
        <v>128779</v>
      </c>
      <c r="D3020" s="390" t="s">
        <v>15263</v>
      </c>
      <c r="E3020" s="322">
        <v>665.2</v>
      </c>
      <c r="F3020" s="323">
        <v>43003</v>
      </c>
      <c r="G3020" s="322">
        <v>665.2</v>
      </c>
      <c r="H3020" s="322">
        <f t="shared" si="43"/>
        <v>0</v>
      </c>
      <c r="I3020" s="325" t="s">
        <v>15214</v>
      </c>
    </row>
    <row r="3021" spans="1:10" x14ac:dyDescent="0.25">
      <c r="A3021" s="359">
        <v>43003</v>
      </c>
      <c r="B3021" s="326" t="s">
        <v>30811</v>
      </c>
      <c r="C3021" s="327">
        <v>128780</v>
      </c>
      <c r="D3021" s="391" t="s">
        <v>15371</v>
      </c>
      <c r="E3021" s="328">
        <v>5424</v>
      </c>
      <c r="F3021" s="329">
        <v>43004</v>
      </c>
      <c r="G3021" s="328">
        <v>5424</v>
      </c>
      <c r="H3021" s="347">
        <f t="shared" si="43"/>
        <v>0</v>
      </c>
      <c r="I3021" s="331" t="s">
        <v>15214</v>
      </c>
    </row>
    <row r="3022" spans="1:10" x14ac:dyDescent="0.25">
      <c r="A3022" s="319">
        <v>43003</v>
      </c>
      <c r="B3022" s="320" t="s">
        <v>30812</v>
      </c>
      <c r="C3022" s="321">
        <v>128781</v>
      </c>
      <c r="D3022" s="390" t="s">
        <v>17462</v>
      </c>
      <c r="E3022" s="322">
        <v>4929.1000000000004</v>
      </c>
      <c r="F3022" s="323">
        <v>43003</v>
      </c>
      <c r="G3022" s="322">
        <v>4929.1000000000004</v>
      </c>
      <c r="H3022" s="322">
        <f t="shared" si="43"/>
        <v>0</v>
      </c>
      <c r="I3022" s="325" t="s">
        <v>15214</v>
      </c>
    </row>
    <row r="3023" spans="1:10" x14ac:dyDescent="0.25">
      <c r="A3023" s="359">
        <v>43003</v>
      </c>
      <c r="B3023" s="326" t="s">
        <v>30813</v>
      </c>
      <c r="C3023" s="327">
        <v>128782</v>
      </c>
      <c r="D3023" s="391" t="s">
        <v>15242</v>
      </c>
      <c r="E3023" s="328">
        <v>4579.5</v>
      </c>
      <c r="F3023" s="329">
        <v>43003</v>
      </c>
      <c r="G3023" s="328">
        <v>4579.5</v>
      </c>
      <c r="H3023" s="347">
        <f t="shared" si="43"/>
        <v>0</v>
      </c>
      <c r="I3023" s="331" t="s">
        <v>15214</v>
      </c>
    </row>
    <row r="3024" spans="1:10" x14ac:dyDescent="0.25">
      <c r="A3024" s="319">
        <v>43003</v>
      </c>
      <c r="B3024" s="320" t="s">
        <v>30814</v>
      </c>
      <c r="C3024" s="321">
        <v>128783</v>
      </c>
      <c r="D3024" s="390" t="s">
        <v>16484</v>
      </c>
      <c r="E3024" s="322">
        <v>1507</v>
      </c>
      <c r="F3024" s="323">
        <v>43003</v>
      </c>
      <c r="G3024" s="322">
        <v>1507</v>
      </c>
      <c r="H3024" s="322">
        <f t="shared" si="43"/>
        <v>0</v>
      </c>
      <c r="I3024" s="325" t="s">
        <v>15214</v>
      </c>
    </row>
    <row r="3025" spans="1:9" x14ac:dyDescent="0.25">
      <c r="A3025" s="359">
        <v>43003</v>
      </c>
      <c r="B3025" s="326" t="s">
        <v>30815</v>
      </c>
      <c r="C3025" s="327">
        <v>128784</v>
      </c>
      <c r="D3025" s="391" t="s">
        <v>15378</v>
      </c>
      <c r="E3025" s="328">
        <v>1550</v>
      </c>
      <c r="F3025" s="329">
        <v>43003</v>
      </c>
      <c r="G3025" s="328">
        <v>1550</v>
      </c>
      <c r="H3025" s="347">
        <f t="shared" si="43"/>
        <v>0</v>
      </c>
      <c r="I3025" s="331" t="s">
        <v>15214</v>
      </c>
    </row>
    <row r="3026" spans="1:9" x14ac:dyDescent="0.25">
      <c r="A3026" s="319">
        <v>43003</v>
      </c>
      <c r="B3026" s="320" t="s">
        <v>30816</v>
      </c>
      <c r="C3026" s="321">
        <v>128785</v>
      </c>
      <c r="D3026" s="390" t="s">
        <v>15378</v>
      </c>
      <c r="E3026" s="322">
        <v>12341.8</v>
      </c>
      <c r="F3026" s="323">
        <v>43010</v>
      </c>
      <c r="G3026" s="322">
        <v>12341.8</v>
      </c>
      <c r="H3026" s="322">
        <f t="shared" si="43"/>
        <v>0</v>
      </c>
      <c r="I3026" s="325" t="s">
        <v>15214</v>
      </c>
    </row>
    <row r="3027" spans="1:9" x14ac:dyDescent="0.25">
      <c r="A3027" s="359">
        <v>43003</v>
      </c>
      <c r="B3027" s="326" t="s">
        <v>30817</v>
      </c>
      <c r="C3027" s="327">
        <v>128786</v>
      </c>
      <c r="D3027" s="391" t="s">
        <v>15378</v>
      </c>
      <c r="E3027" s="328">
        <v>5844.3</v>
      </c>
      <c r="F3027" s="329">
        <v>43003</v>
      </c>
      <c r="G3027" s="328">
        <v>5844.3</v>
      </c>
      <c r="H3027" s="347">
        <f t="shared" si="43"/>
        <v>0</v>
      </c>
      <c r="I3027" s="331" t="s">
        <v>15214</v>
      </c>
    </row>
    <row r="3028" spans="1:9" x14ac:dyDescent="0.25">
      <c r="A3028" s="319">
        <v>43003</v>
      </c>
      <c r="B3028" s="320" t="s">
        <v>30818</v>
      </c>
      <c r="C3028" s="321">
        <v>128787</v>
      </c>
      <c r="D3028" s="390" t="s">
        <v>15510</v>
      </c>
      <c r="E3028" s="322">
        <v>23696.400000000001</v>
      </c>
      <c r="F3028" s="323">
        <v>43003</v>
      </c>
      <c r="G3028" s="322">
        <v>23696.400000000001</v>
      </c>
      <c r="H3028" s="322">
        <f t="shared" si="43"/>
        <v>0</v>
      </c>
      <c r="I3028" s="325" t="s">
        <v>15214</v>
      </c>
    </row>
    <row r="3029" spans="1:9" ht="15.75" x14ac:dyDescent="0.25">
      <c r="A3029" s="359">
        <v>43003</v>
      </c>
      <c r="B3029" s="326" t="s">
        <v>30819</v>
      </c>
      <c r="C3029" s="327">
        <v>128788</v>
      </c>
      <c r="D3029" s="345" t="s">
        <v>95</v>
      </c>
      <c r="E3029" s="328">
        <v>0</v>
      </c>
      <c r="F3029" s="346" t="s">
        <v>95</v>
      </c>
      <c r="G3029" s="328">
        <v>0</v>
      </c>
      <c r="H3029" s="347">
        <f t="shared" si="43"/>
        <v>0</v>
      </c>
      <c r="I3029" s="331" t="s">
        <v>95</v>
      </c>
    </row>
    <row r="3030" spans="1:9" x14ac:dyDescent="0.25">
      <c r="A3030" s="319">
        <v>43003</v>
      </c>
      <c r="B3030" s="320" t="s">
        <v>30820</v>
      </c>
      <c r="C3030" s="321">
        <v>128789</v>
      </c>
      <c r="D3030" s="390" t="s">
        <v>15278</v>
      </c>
      <c r="E3030" s="322">
        <v>5501.1</v>
      </c>
      <c r="F3030" s="323">
        <v>43003</v>
      </c>
      <c r="G3030" s="322">
        <v>5501.1</v>
      </c>
      <c r="H3030" s="322">
        <f t="shared" si="43"/>
        <v>0</v>
      </c>
      <c r="I3030" s="325" t="s">
        <v>15214</v>
      </c>
    </row>
    <row r="3031" spans="1:9" x14ac:dyDescent="0.25">
      <c r="A3031" s="359">
        <v>43003</v>
      </c>
      <c r="B3031" s="326" t="s">
        <v>30821</v>
      </c>
      <c r="C3031" s="327">
        <v>128790</v>
      </c>
      <c r="D3031" s="391" t="s">
        <v>15250</v>
      </c>
      <c r="E3031" s="328">
        <v>7419.1</v>
      </c>
      <c r="F3031" s="329">
        <v>43008</v>
      </c>
      <c r="G3031" s="328">
        <v>7419.1</v>
      </c>
      <c r="H3031" s="347">
        <f t="shared" si="43"/>
        <v>0</v>
      </c>
      <c r="I3031" s="331" t="s">
        <v>15214</v>
      </c>
    </row>
    <row r="3032" spans="1:9" x14ac:dyDescent="0.25">
      <c r="A3032" s="319">
        <v>43003</v>
      </c>
      <c r="B3032" s="320" t="s">
        <v>30822</v>
      </c>
      <c r="C3032" s="321">
        <v>128791</v>
      </c>
      <c r="D3032" s="390" t="s">
        <v>15223</v>
      </c>
      <c r="E3032" s="322">
        <v>48495.4</v>
      </c>
      <c r="F3032" s="323">
        <v>43024</v>
      </c>
      <c r="G3032" s="322">
        <v>48495.4</v>
      </c>
      <c r="H3032" s="322">
        <f t="shared" si="43"/>
        <v>0</v>
      </c>
      <c r="I3032" s="325" t="s">
        <v>15214</v>
      </c>
    </row>
    <row r="3033" spans="1:9" ht="15.75" x14ac:dyDescent="0.25">
      <c r="A3033" s="359">
        <v>43003</v>
      </c>
      <c r="B3033" s="326" t="s">
        <v>30823</v>
      </c>
      <c r="C3033" s="327">
        <v>128792</v>
      </c>
      <c r="D3033" s="345" t="s">
        <v>95</v>
      </c>
      <c r="E3033" s="328">
        <v>0</v>
      </c>
      <c r="F3033" s="346" t="s">
        <v>95</v>
      </c>
      <c r="G3033" s="328">
        <v>0</v>
      </c>
      <c r="H3033" s="347">
        <f t="shared" si="43"/>
        <v>0</v>
      </c>
      <c r="I3033" s="331" t="s">
        <v>95</v>
      </c>
    </row>
    <row r="3034" spans="1:9" x14ac:dyDescent="0.25">
      <c r="A3034" s="319">
        <v>43003</v>
      </c>
      <c r="B3034" s="320" t="s">
        <v>30824</v>
      </c>
      <c r="C3034" s="321">
        <v>128793</v>
      </c>
      <c r="D3034" s="390" t="s">
        <v>15261</v>
      </c>
      <c r="E3034" s="322">
        <v>16474.599999999999</v>
      </c>
      <c r="F3034" s="323">
        <v>43003</v>
      </c>
      <c r="G3034" s="322">
        <v>16474.599999999999</v>
      </c>
      <c r="H3034" s="322">
        <f t="shared" si="43"/>
        <v>0</v>
      </c>
      <c r="I3034" s="325" t="s">
        <v>15214</v>
      </c>
    </row>
    <row r="3035" spans="1:9" x14ac:dyDescent="0.25">
      <c r="A3035" s="359">
        <v>43003</v>
      </c>
      <c r="B3035" s="326" t="s">
        <v>30825</v>
      </c>
      <c r="C3035" s="327">
        <v>128794</v>
      </c>
      <c r="D3035" s="391" t="s">
        <v>15438</v>
      </c>
      <c r="E3035" s="328">
        <v>4229.6000000000004</v>
      </c>
      <c r="F3035" s="329">
        <v>43003</v>
      </c>
      <c r="G3035" s="328">
        <v>4229.6000000000004</v>
      </c>
      <c r="H3035" s="347">
        <f t="shared" si="43"/>
        <v>0</v>
      </c>
      <c r="I3035" s="331" t="s">
        <v>15214</v>
      </c>
    </row>
    <row r="3036" spans="1:9" x14ac:dyDescent="0.25">
      <c r="A3036" s="319">
        <v>43003</v>
      </c>
      <c r="B3036" s="320" t="s">
        <v>30826</v>
      </c>
      <c r="C3036" s="321">
        <v>128795</v>
      </c>
      <c r="D3036" s="390" t="s">
        <v>15220</v>
      </c>
      <c r="E3036" s="322">
        <v>1840</v>
      </c>
      <c r="F3036" s="323">
        <v>43003</v>
      </c>
      <c r="G3036" s="322">
        <v>1840</v>
      </c>
      <c r="H3036" s="322">
        <f t="shared" si="43"/>
        <v>0</v>
      </c>
      <c r="I3036" s="325" t="s">
        <v>15214</v>
      </c>
    </row>
    <row r="3037" spans="1:9" x14ac:dyDescent="0.25">
      <c r="A3037" s="359">
        <v>43003</v>
      </c>
      <c r="B3037" s="326" t="s">
        <v>30827</v>
      </c>
      <c r="C3037" s="327">
        <v>128796</v>
      </c>
      <c r="D3037" s="391" t="s">
        <v>15261</v>
      </c>
      <c r="E3037" s="328">
        <v>6084</v>
      </c>
      <c r="F3037" s="329">
        <v>43003</v>
      </c>
      <c r="G3037" s="328">
        <v>6084</v>
      </c>
      <c r="H3037" s="347">
        <f t="shared" si="43"/>
        <v>0</v>
      </c>
      <c r="I3037" s="331" t="s">
        <v>15214</v>
      </c>
    </row>
    <row r="3038" spans="1:9" x14ac:dyDescent="0.25">
      <c r="A3038" s="319">
        <v>43003</v>
      </c>
      <c r="B3038" s="320" t="s">
        <v>30828</v>
      </c>
      <c r="C3038" s="321">
        <v>128797</v>
      </c>
      <c r="D3038" s="390" t="s">
        <v>15248</v>
      </c>
      <c r="E3038" s="322">
        <v>5531.34</v>
      </c>
      <c r="F3038" s="323">
        <v>43003</v>
      </c>
      <c r="G3038" s="322">
        <v>5531.34</v>
      </c>
      <c r="H3038" s="322">
        <f t="shared" si="43"/>
        <v>0</v>
      </c>
      <c r="I3038" s="325" t="s">
        <v>15214</v>
      </c>
    </row>
    <row r="3039" spans="1:9" x14ac:dyDescent="0.25">
      <c r="A3039" s="359">
        <v>43003</v>
      </c>
      <c r="B3039" s="326" t="s">
        <v>30829</v>
      </c>
      <c r="C3039" s="327">
        <v>128798</v>
      </c>
      <c r="D3039" s="391" t="s">
        <v>15286</v>
      </c>
      <c r="E3039" s="328">
        <v>8908.7999999999993</v>
      </c>
      <c r="F3039" s="329">
        <v>43003</v>
      </c>
      <c r="G3039" s="328">
        <v>8908.7999999999993</v>
      </c>
      <c r="H3039" s="347">
        <f t="shared" si="43"/>
        <v>0</v>
      </c>
      <c r="I3039" s="331" t="s">
        <v>15214</v>
      </c>
    </row>
    <row r="3040" spans="1:9" x14ac:dyDescent="0.25">
      <c r="A3040" s="319">
        <v>43003</v>
      </c>
      <c r="B3040" s="320" t="s">
        <v>30830</v>
      </c>
      <c r="C3040" s="321">
        <v>128799</v>
      </c>
      <c r="D3040" s="390" t="s">
        <v>15320</v>
      </c>
      <c r="E3040" s="322">
        <v>2250</v>
      </c>
      <c r="F3040" s="323">
        <v>43003</v>
      </c>
      <c r="G3040" s="322">
        <v>2250</v>
      </c>
      <c r="H3040" s="322">
        <f t="shared" si="43"/>
        <v>0</v>
      </c>
      <c r="I3040" s="325" t="s">
        <v>15214</v>
      </c>
    </row>
    <row r="3041" spans="1:9" x14ac:dyDescent="0.25">
      <c r="A3041" s="359">
        <v>43003</v>
      </c>
      <c r="B3041" s="326" t="s">
        <v>30831</v>
      </c>
      <c r="C3041" s="327">
        <v>128800</v>
      </c>
      <c r="D3041" s="391" t="s">
        <v>15307</v>
      </c>
      <c r="E3041" s="328">
        <v>801.5</v>
      </c>
      <c r="F3041" s="329">
        <v>43003</v>
      </c>
      <c r="G3041" s="328">
        <v>801.5</v>
      </c>
      <c r="H3041" s="347">
        <f t="shared" si="43"/>
        <v>0</v>
      </c>
      <c r="I3041" s="331" t="s">
        <v>15214</v>
      </c>
    </row>
    <row r="3042" spans="1:9" x14ac:dyDescent="0.25">
      <c r="A3042" s="319">
        <v>43003</v>
      </c>
      <c r="B3042" s="320" t="s">
        <v>30832</v>
      </c>
      <c r="C3042" s="321">
        <v>128801</v>
      </c>
      <c r="D3042" s="390" t="s">
        <v>15309</v>
      </c>
      <c r="E3042" s="322">
        <v>12517.2</v>
      </c>
      <c r="F3042" s="323">
        <v>43003</v>
      </c>
      <c r="G3042" s="322">
        <v>12517.2</v>
      </c>
      <c r="H3042" s="322">
        <f t="shared" si="43"/>
        <v>0</v>
      </c>
      <c r="I3042" s="325" t="s">
        <v>15214</v>
      </c>
    </row>
    <row r="3043" spans="1:9" x14ac:dyDescent="0.25">
      <c r="A3043" s="359">
        <v>43003</v>
      </c>
      <c r="B3043" s="326" t="s">
        <v>30833</v>
      </c>
      <c r="C3043" s="327">
        <v>128802</v>
      </c>
      <c r="D3043" s="391" t="s">
        <v>15376</v>
      </c>
      <c r="E3043" s="328">
        <v>11454.8</v>
      </c>
      <c r="F3043" s="329">
        <v>43003</v>
      </c>
      <c r="G3043" s="328">
        <v>11454.8</v>
      </c>
      <c r="H3043" s="347">
        <f t="shared" si="43"/>
        <v>0</v>
      </c>
      <c r="I3043" s="331" t="s">
        <v>15214</v>
      </c>
    </row>
    <row r="3044" spans="1:9" x14ac:dyDescent="0.25">
      <c r="A3044" s="319">
        <v>43003</v>
      </c>
      <c r="B3044" s="320" t="s">
        <v>30834</v>
      </c>
      <c r="C3044" s="321">
        <v>128803</v>
      </c>
      <c r="D3044" s="390" t="s">
        <v>15415</v>
      </c>
      <c r="E3044" s="322">
        <v>3196</v>
      </c>
      <c r="F3044" s="323">
        <v>43005</v>
      </c>
      <c r="G3044" s="322">
        <v>3196</v>
      </c>
      <c r="H3044" s="322">
        <f t="shared" si="43"/>
        <v>0</v>
      </c>
      <c r="I3044" s="325" t="s">
        <v>15214</v>
      </c>
    </row>
    <row r="3045" spans="1:9" x14ac:dyDescent="0.25">
      <c r="A3045" s="359">
        <v>43003</v>
      </c>
      <c r="B3045" s="326" t="s">
        <v>30835</v>
      </c>
      <c r="C3045" s="327">
        <v>128804</v>
      </c>
      <c r="D3045" s="391" t="s">
        <v>15317</v>
      </c>
      <c r="E3045" s="328">
        <v>3106</v>
      </c>
      <c r="F3045" s="329">
        <v>43004</v>
      </c>
      <c r="G3045" s="328">
        <v>3106</v>
      </c>
      <c r="H3045" s="347">
        <f t="shared" si="43"/>
        <v>0</v>
      </c>
      <c r="I3045" s="331" t="s">
        <v>15214</v>
      </c>
    </row>
    <row r="3046" spans="1:9" x14ac:dyDescent="0.25">
      <c r="A3046" s="319">
        <v>43003</v>
      </c>
      <c r="B3046" s="320" t="s">
        <v>30836</v>
      </c>
      <c r="C3046" s="321">
        <v>128805</v>
      </c>
      <c r="D3046" s="390" t="s">
        <v>15301</v>
      </c>
      <c r="E3046" s="322">
        <v>3582.9</v>
      </c>
      <c r="F3046" s="323">
        <v>43003</v>
      </c>
      <c r="G3046" s="322">
        <v>3582.9</v>
      </c>
      <c r="H3046" s="322">
        <f t="shared" si="43"/>
        <v>0</v>
      </c>
      <c r="I3046" s="325" t="s">
        <v>15214</v>
      </c>
    </row>
    <row r="3047" spans="1:9" x14ac:dyDescent="0.25">
      <c r="A3047" s="359">
        <v>43003</v>
      </c>
      <c r="B3047" s="326" t="s">
        <v>30837</v>
      </c>
      <c r="C3047" s="327">
        <v>128806</v>
      </c>
      <c r="D3047" s="391" t="s">
        <v>15376</v>
      </c>
      <c r="E3047" s="328">
        <v>5759.6</v>
      </c>
      <c r="F3047" s="329">
        <v>43003</v>
      </c>
      <c r="G3047" s="328">
        <v>5759.6</v>
      </c>
      <c r="H3047" s="347">
        <f t="shared" si="43"/>
        <v>0</v>
      </c>
      <c r="I3047" s="331" t="s">
        <v>15214</v>
      </c>
    </row>
    <row r="3048" spans="1:9" x14ac:dyDescent="0.25">
      <c r="A3048" s="319">
        <v>43003</v>
      </c>
      <c r="B3048" s="320" t="s">
        <v>30838</v>
      </c>
      <c r="C3048" s="321">
        <v>128807</v>
      </c>
      <c r="D3048" s="390" t="s">
        <v>15274</v>
      </c>
      <c r="E3048" s="322">
        <v>2870</v>
      </c>
      <c r="F3048" s="323">
        <v>43003</v>
      </c>
      <c r="G3048" s="322">
        <v>2870</v>
      </c>
      <c r="H3048" s="322">
        <f t="shared" si="43"/>
        <v>0</v>
      </c>
      <c r="I3048" s="325" t="s">
        <v>15214</v>
      </c>
    </row>
    <row r="3049" spans="1:9" x14ac:dyDescent="0.25">
      <c r="A3049" s="359">
        <v>43003</v>
      </c>
      <c r="B3049" s="326" t="s">
        <v>30839</v>
      </c>
      <c r="C3049" s="327">
        <v>128808</v>
      </c>
      <c r="D3049" s="391" t="s">
        <v>15334</v>
      </c>
      <c r="E3049" s="328">
        <v>2722</v>
      </c>
      <c r="F3049" s="329">
        <v>43003</v>
      </c>
      <c r="G3049" s="328">
        <v>2722</v>
      </c>
      <c r="H3049" s="347">
        <f t="shared" si="43"/>
        <v>0</v>
      </c>
      <c r="I3049" s="331" t="s">
        <v>15214</v>
      </c>
    </row>
    <row r="3050" spans="1:9" x14ac:dyDescent="0.25">
      <c r="A3050" s="319">
        <v>43003</v>
      </c>
      <c r="B3050" s="320" t="s">
        <v>30840</v>
      </c>
      <c r="C3050" s="321">
        <v>128809</v>
      </c>
      <c r="D3050" s="390" t="s">
        <v>15523</v>
      </c>
      <c r="E3050" s="322">
        <v>2070</v>
      </c>
      <c r="F3050" s="323">
        <v>43003</v>
      </c>
      <c r="G3050" s="322">
        <v>2070</v>
      </c>
      <c r="H3050" s="322">
        <f t="shared" si="43"/>
        <v>0</v>
      </c>
      <c r="I3050" s="325" t="s">
        <v>15214</v>
      </c>
    </row>
    <row r="3051" spans="1:9" x14ac:dyDescent="0.25">
      <c r="A3051" s="359">
        <v>43003</v>
      </c>
      <c r="B3051" s="326" t="s">
        <v>30841</v>
      </c>
      <c r="C3051" s="327">
        <v>128810</v>
      </c>
      <c r="D3051" s="391" t="s">
        <v>15240</v>
      </c>
      <c r="E3051" s="328">
        <v>2951.6</v>
      </c>
      <c r="F3051" s="329">
        <v>43004</v>
      </c>
      <c r="G3051" s="328">
        <v>2951.6</v>
      </c>
      <c r="H3051" s="347">
        <f t="shared" si="43"/>
        <v>0</v>
      </c>
      <c r="I3051" s="331" t="s">
        <v>15214</v>
      </c>
    </row>
    <row r="3052" spans="1:9" x14ac:dyDescent="0.25">
      <c r="A3052" s="319">
        <v>43003</v>
      </c>
      <c r="B3052" s="320" t="s">
        <v>30842</v>
      </c>
      <c r="C3052" s="321">
        <v>128811</v>
      </c>
      <c r="D3052" s="390" t="s">
        <v>15336</v>
      </c>
      <c r="E3052" s="322">
        <v>6090.4</v>
      </c>
      <c r="F3052" s="323">
        <v>43003</v>
      </c>
      <c r="G3052" s="322">
        <v>6090.4</v>
      </c>
      <c r="H3052" s="322">
        <f t="shared" si="43"/>
        <v>0</v>
      </c>
      <c r="I3052" s="325" t="s">
        <v>15214</v>
      </c>
    </row>
    <row r="3053" spans="1:9" x14ac:dyDescent="0.25">
      <c r="A3053" s="359">
        <v>43003</v>
      </c>
      <c r="B3053" s="326" t="s">
        <v>30843</v>
      </c>
      <c r="C3053" s="327">
        <v>128812</v>
      </c>
      <c r="D3053" s="391" t="s">
        <v>15742</v>
      </c>
      <c r="E3053" s="328">
        <v>2944.6</v>
      </c>
      <c r="F3053" s="329">
        <v>43003</v>
      </c>
      <c r="G3053" s="328">
        <v>2944.6</v>
      </c>
      <c r="H3053" s="347">
        <f t="shared" si="43"/>
        <v>0</v>
      </c>
      <c r="I3053" s="331" t="s">
        <v>15214</v>
      </c>
    </row>
    <row r="3054" spans="1:9" x14ac:dyDescent="0.25">
      <c r="A3054" s="319">
        <v>43003</v>
      </c>
      <c r="B3054" s="320" t="s">
        <v>30844</v>
      </c>
      <c r="C3054" s="321">
        <v>128813</v>
      </c>
      <c r="D3054" s="390" t="s">
        <v>15526</v>
      </c>
      <c r="E3054" s="322">
        <v>1516.8</v>
      </c>
      <c r="F3054" s="323">
        <v>43003</v>
      </c>
      <c r="G3054" s="322">
        <v>1516.8</v>
      </c>
      <c r="H3054" s="322">
        <f t="shared" si="43"/>
        <v>0</v>
      </c>
      <c r="I3054" s="325" t="s">
        <v>15214</v>
      </c>
    </row>
    <row r="3055" spans="1:9" x14ac:dyDescent="0.25">
      <c r="A3055" s="359">
        <v>43003</v>
      </c>
      <c r="B3055" s="326" t="s">
        <v>30845</v>
      </c>
      <c r="C3055" s="327">
        <v>128814</v>
      </c>
      <c r="D3055" s="391" t="s">
        <v>15526</v>
      </c>
      <c r="E3055" s="328">
        <v>2178</v>
      </c>
      <c r="F3055" s="329">
        <v>43003</v>
      </c>
      <c r="G3055" s="328">
        <v>2178</v>
      </c>
      <c r="H3055" s="347">
        <f t="shared" si="43"/>
        <v>0</v>
      </c>
      <c r="I3055" s="331" t="s">
        <v>15214</v>
      </c>
    </row>
    <row r="3056" spans="1:9" x14ac:dyDescent="0.25">
      <c r="A3056" s="319">
        <v>43003</v>
      </c>
      <c r="B3056" s="320" t="s">
        <v>30846</v>
      </c>
      <c r="C3056" s="321">
        <v>128815</v>
      </c>
      <c r="D3056" s="390" t="s">
        <v>15340</v>
      </c>
      <c r="E3056" s="322">
        <v>4735.2</v>
      </c>
      <c r="F3056" s="323">
        <v>43003</v>
      </c>
      <c r="G3056" s="322">
        <v>4735.2</v>
      </c>
      <c r="H3056" s="322">
        <f t="shared" si="43"/>
        <v>0</v>
      </c>
      <c r="I3056" s="325" t="s">
        <v>15214</v>
      </c>
    </row>
    <row r="3057" spans="1:9" x14ac:dyDescent="0.25">
      <c r="A3057" s="359">
        <v>43003</v>
      </c>
      <c r="B3057" s="326" t="s">
        <v>30847</v>
      </c>
      <c r="C3057" s="327">
        <v>128816</v>
      </c>
      <c r="D3057" s="391" t="s">
        <v>15332</v>
      </c>
      <c r="E3057" s="328">
        <v>3030</v>
      </c>
      <c r="F3057" s="329">
        <v>43003</v>
      </c>
      <c r="G3057" s="328">
        <v>3030</v>
      </c>
      <c r="H3057" s="347">
        <f t="shared" ref="H3057:H3120" si="44">E3057-G3057</f>
        <v>0</v>
      </c>
      <c r="I3057" s="331" t="s">
        <v>15214</v>
      </c>
    </row>
    <row r="3058" spans="1:9" x14ac:dyDescent="0.25">
      <c r="A3058" s="319">
        <v>43003</v>
      </c>
      <c r="B3058" s="320" t="s">
        <v>30848</v>
      </c>
      <c r="C3058" s="321">
        <v>128817</v>
      </c>
      <c r="D3058" s="390" t="s">
        <v>15284</v>
      </c>
      <c r="E3058" s="322">
        <v>1389.6</v>
      </c>
      <c r="F3058" s="323">
        <v>43003</v>
      </c>
      <c r="G3058" s="322">
        <v>1389.6</v>
      </c>
      <c r="H3058" s="322">
        <f t="shared" si="44"/>
        <v>0</v>
      </c>
      <c r="I3058" s="325" t="s">
        <v>15214</v>
      </c>
    </row>
    <row r="3059" spans="1:9" x14ac:dyDescent="0.25">
      <c r="A3059" s="359">
        <v>43003</v>
      </c>
      <c r="B3059" s="326" t="s">
        <v>30849</v>
      </c>
      <c r="C3059" s="327">
        <v>128818</v>
      </c>
      <c r="D3059" s="391" t="s">
        <v>5828</v>
      </c>
      <c r="E3059" s="328">
        <v>9515</v>
      </c>
      <c r="F3059" s="329">
        <v>43003</v>
      </c>
      <c r="G3059" s="328">
        <v>9515</v>
      </c>
      <c r="H3059" s="347">
        <f t="shared" si="44"/>
        <v>0</v>
      </c>
      <c r="I3059" s="331" t="s">
        <v>15214</v>
      </c>
    </row>
    <row r="3060" spans="1:9" x14ac:dyDescent="0.25">
      <c r="A3060" s="319">
        <v>43003</v>
      </c>
      <c r="B3060" s="320" t="s">
        <v>30850</v>
      </c>
      <c r="C3060" s="321">
        <v>128819</v>
      </c>
      <c r="D3060" s="390" t="s">
        <v>15226</v>
      </c>
      <c r="E3060" s="322">
        <v>1442.9</v>
      </c>
      <c r="F3060" s="323">
        <v>43004</v>
      </c>
      <c r="G3060" s="322">
        <v>1442.9</v>
      </c>
      <c r="H3060" s="322">
        <f t="shared" si="44"/>
        <v>0</v>
      </c>
      <c r="I3060" s="325" t="s">
        <v>15214</v>
      </c>
    </row>
    <row r="3061" spans="1:9" x14ac:dyDescent="0.25">
      <c r="A3061" s="359">
        <v>43003</v>
      </c>
      <c r="B3061" s="326" t="s">
        <v>30851</v>
      </c>
      <c r="C3061" s="327">
        <v>128820</v>
      </c>
      <c r="D3061" s="391" t="s">
        <v>15324</v>
      </c>
      <c r="E3061" s="328">
        <v>1653</v>
      </c>
      <c r="F3061" s="329">
        <v>43003</v>
      </c>
      <c r="G3061" s="328">
        <v>1653</v>
      </c>
      <c r="H3061" s="347">
        <f t="shared" si="44"/>
        <v>0</v>
      </c>
      <c r="I3061" s="331" t="s">
        <v>15214</v>
      </c>
    </row>
    <row r="3062" spans="1:9" x14ac:dyDescent="0.25">
      <c r="A3062" s="319">
        <v>43003</v>
      </c>
      <c r="B3062" s="320" t="s">
        <v>30852</v>
      </c>
      <c r="C3062" s="321">
        <v>128821</v>
      </c>
      <c r="D3062" s="390" t="s">
        <v>15267</v>
      </c>
      <c r="E3062" s="322">
        <v>8064</v>
      </c>
      <c r="F3062" s="323">
        <v>43003</v>
      </c>
      <c r="G3062" s="322">
        <v>8064</v>
      </c>
      <c r="H3062" s="322">
        <f t="shared" si="44"/>
        <v>0</v>
      </c>
      <c r="I3062" s="325" t="s">
        <v>15214</v>
      </c>
    </row>
    <row r="3063" spans="1:9" x14ac:dyDescent="0.25">
      <c r="A3063" s="359">
        <v>43003</v>
      </c>
      <c r="B3063" s="326" t="s">
        <v>30853</v>
      </c>
      <c r="C3063" s="327">
        <v>128822</v>
      </c>
      <c r="D3063" s="391" t="s">
        <v>15338</v>
      </c>
      <c r="E3063" s="328">
        <v>9579.2000000000007</v>
      </c>
      <c r="F3063" s="329">
        <v>43006</v>
      </c>
      <c r="G3063" s="328">
        <v>9579.2000000000007</v>
      </c>
      <c r="H3063" s="347">
        <f t="shared" si="44"/>
        <v>0</v>
      </c>
      <c r="I3063" s="331" t="s">
        <v>15214</v>
      </c>
    </row>
    <row r="3064" spans="1:9" x14ac:dyDescent="0.25">
      <c r="A3064" s="319">
        <v>43003</v>
      </c>
      <c r="B3064" s="320" t="s">
        <v>30854</v>
      </c>
      <c r="C3064" s="321">
        <v>128823</v>
      </c>
      <c r="D3064" s="390" t="s">
        <v>15315</v>
      </c>
      <c r="E3064" s="322">
        <v>2209</v>
      </c>
      <c r="F3064" s="323">
        <v>43003</v>
      </c>
      <c r="G3064" s="322">
        <v>2209</v>
      </c>
      <c r="H3064" s="322">
        <f t="shared" si="44"/>
        <v>0</v>
      </c>
      <c r="I3064" s="325" t="s">
        <v>15214</v>
      </c>
    </row>
    <row r="3065" spans="1:9" x14ac:dyDescent="0.25">
      <c r="A3065" s="359">
        <v>43003</v>
      </c>
      <c r="B3065" s="326" t="s">
        <v>30855</v>
      </c>
      <c r="C3065" s="327">
        <v>128824</v>
      </c>
      <c r="D3065" s="391" t="s">
        <v>18544</v>
      </c>
      <c r="E3065" s="328">
        <v>4820</v>
      </c>
      <c r="F3065" s="329">
        <v>43003</v>
      </c>
      <c r="G3065" s="328">
        <v>4820</v>
      </c>
      <c r="H3065" s="347">
        <f t="shared" si="44"/>
        <v>0</v>
      </c>
      <c r="I3065" s="331" t="s">
        <v>15214</v>
      </c>
    </row>
    <row r="3066" spans="1:9" x14ac:dyDescent="0.25">
      <c r="A3066" s="319">
        <v>43003</v>
      </c>
      <c r="B3066" s="320" t="s">
        <v>30856</v>
      </c>
      <c r="C3066" s="321">
        <v>128825</v>
      </c>
      <c r="D3066" s="390" t="s">
        <v>19302</v>
      </c>
      <c r="E3066" s="322">
        <v>713</v>
      </c>
      <c r="F3066" s="323">
        <v>43003</v>
      </c>
      <c r="G3066" s="322">
        <v>713</v>
      </c>
      <c r="H3066" s="322">
        <f t="shared" si="44"/>
        <v>0</v>
      </c>
      <c r="I3066" s="325" t="s">
        <v>15214</v>
      </c>
    </row>
    <row r="3067" spans="1:9" ht="30" x14ac:dyDescent="0.25">
      <c r="A3067" s="359">
        <v>43003</v>
      </c>
      <c r="B3067" s="326" t="s">
        <v>30857</v>
      </c>
      <c r="C3067" s="327">
        <v>128826</v>
      </c>
      <c r="D3067" s="391" t="s">
        <v>15246</v>
      </c>
      <c r="E3067" s="328">
        <v>181322</v>
      </c>
      <c r="F3067" s="329" t="s">
        <v>30858</v>
      </c>
      <c r="G3067" s="328">
        <f>80582.55+100739.45</f>
        <v>181322</v>
      </c>
      <c r="H3067" s="347">
        <f t="shared" si="44"/>
        <v>0</v>
      </c>
      <c r="I3067" s="331" t="s">
        <v>15214</v>
      </c>
    </row>
    <row r="3068" spans="1:9" x14ac:dyDescent="0.25">
      <c r="A3068" s="319">
        <v>43003</v>
      </c>
      <c r="B3068" s="320" t="s">
        <v>30859</v>
      </c>
      <c r="C3068" s="321">
        <v>128827</v>
      </c>
      <c r="D3068" s="390" t="s">
        <v>15254</v>
      </c>
      <c r="E3068" s="322">
        <v>4375.8</v>
      </c>
      <c r="F3068" s="323">
        <v>43003</v>
      </c>
      <c r="G3068" s="322">
        <v>4375.8</v>
      </c>
      <c r="H3068" s="322">
        <f t="shared" si="44"/>
        <v>0</v>
      </c>
      <c r="I3068" s="325" t="s">
        <v>15214</v>
      </c>
    </row>
    <row r="3069" spans="1:9" x14ac:dyDescent="0.25">
      <c r="A3069" s="359">
        <v>43003</v>
      </c>
      <c r="B3069" s="326" t="s">
        <v>30860</v>
      </c>
      <c r="C3069" s="327">
        <v>128828</v>
      </c>
      <c r="D3069" s="391" t="s">
        <v>15252</v>
      </c>
      <c r="E3069" s="328">
        <v>4325.2</v>
      </c>
      <c r="F3069" s="329">
        <v>43005</v>
      </c>
      <c r="G3069" s="328">
        <v>4325.2</v>
      </c>
      <c r="H3069" s="347">
        <f t="shared" si="44"/>
        <v>0</v>
      </c>
      <c r="I3069" s="331" t="s">
        <v>15214</v>
      </c>
    </row>
    <row r="3070" spans="1:9" x14ac:dyDescent="0.25">
      <c r="A3070" s="319">
        <v>43003</v>
      </c>
      <c r="B3070" s="320" t="s">
        <v>30861</v>
      </c>
      <c r="C3070" s="321">
        <v>128829</v>
      </c>
      <c r="D3070" s="390" t="s">
        <v>15244</v>
      </c>
      <c r="E3070" s="322">
        <v>13366.4</v>
      </c>
      <c r="F3070" s="323">
        <v>43003</v>
      </c>
      <c r="G3070" s="322">
        <v>13366.4</v>
      </c>
      <c r="H3070" s="322">
        <f t="shared" si="44"/>
        <v>0</v>
      </c>
      <c r="I3070" s="325" t="s">
        <v>15214</v>
      </c>
    </row>
    <row r="3071" spans="1:9" x14ac:dyDescent="0.25">
      <c r="A3071" s="359">
        <v>43003</v>
      </c>
      <c r="B3071" s="326" t="s">
        <v>30862</v>
      </c>
      <c r="C3071" s="327">
        <v>128830</v>
      </c>
      <c r="D3071" s="391" t="s">
        <v>23937</v>
      </c>
      <c r="E3071" s="328">
        <v>3266.5</v>
      </c>
      <c r="F3071" s="329">
        <v>43003</v>
      </c>
      <c r="G3071" s="328">
        <v>3266.5</v>
      </c>
      <c r="H3071" s="347">
        <f t="shared" si="44"/>
        <v>0</v>
      </c>
      <c r="I3071" s="331" t="s">
        <v>15214</v>
      </c>
    </row>
    <row r="3072" spans="1:9" x14ac:dyDescent="0.25">
      <c r="A3072" s="319">
        <v>43003</v>
      </c>
      <c r="B3072" s="320" t="s">
        <v>30863</v>
      </c>
      <c r="C3072" s="321">
        <v>128831</v>
      </c>
      <c r="D3072" s="390" t="s">
        <v>15326</v>
      </c>
      <c r="E3072" s="322">
        <v>13713</v>
      </c>
      <c r="F3072" s="323">
        <v>43003</v>
      </c>
      <c r="G3072" s="322">
        <v>13713</v>
      </c>
      <c r="H3072" s="322">
        <f t="shared" si="44"/>
        <v>0</v>
      </c>
      <c r="I3072" s="325" t="s">
        <v>15214</v>
      </c>
    </row>
    <row r="3073" spans="1:9" x14ac:dyDescent="0.25">
      <c r="A3073" s="359">
        <v>43003</v>
      </c>
      <c r="B3073" s="326" t="s">
        <v>30864</v>
      </c>
      <c r="C3073" s="327">
        <v>128832</v>
      </c>
      <c r="D3073" s="391" t="s">
        <v>15448</v>
      </c>
      <c r="E3073" s="328">
        <v>110256.86</v>
      </c>
      <c r="F3073" s="329">
        <v>43008</v>
      </c>
      <c r="G3073" s="328">
        <v>110256.86</v>
      </c>
      <c r="H3073" s="347">
        <f t="shared" si="44"/>
        <v>0</v>
      </c>
      <c r="I3073" s="331" t="s">
        <v>15214</v>
      </c>
    </row>
    <row r="3074" spans="1:9" x14ac:dyDescent="0.25">
      <c r="A3074" s="319">
        <v>43003</v>
      </c>
      <c r="B3074" s="320" t="s">
        <v>30865</v>
      </c>
      <c r="C3074" s="321">
        <v>128833</v>
      </c>
      <c r="D3074" s="390" t="s">
        <v>15389</v>
      </c>
      <c r="E3074" s="322">
        <v>17694</v>
      </c>
      <c r="F3074" s="323">
        <v>43014</v>
      </c>
      <c r="G3074" s="322">
        <v>17694</v>
      </c>
      <c r="H3074" s="322">
        <f t="shared" si="44"/>
        <v>0</v>
      </c>
      <c r="I3074" s="325" t="s">
        <v>15214</v>
      </c>
    </row>
    <row r="3075" spans="1:9" x14ac:dyDescent="0.25">
      <c r="A3075" s="359">
        <v>43003</v>
      </c>
      <c r="B3075" s="326" t="s">
        <v>30866</v>
      </c>
      <c r="C3075" s="327">
        <v>128834</v>
      </c>
      <c r="D3075" s="391" t="s">
        <v>15369</v>
      </c>
      <c r="E3075" s="328">
        <v>27226</v>
      </c>
      <c r="F3075" s="329">
        <v>43014</v>
      </c>
      <c r="G3075" s="328">
        <v>27226</v>
      </c>
      <c r="H3075" s="347">
        <f t="shared" si="44"/>
        <v>0</v>
      </c>
      <c r="I3075" s="331" t="s">
        <v>15214</v>
      </c>
    </row>
    <row r="3076" spans="1:9" x14ac:dyDescent="0.25">
      <c r="A3076" s="319">
        <v>43003</v>
      </c>
      <c r="B3076" s="320" t="s">
        <v>30867</v>
      </c>
      <c r="C3076" s="321">
        <v>128835</v>
      </c>
      <c r="D3076" s="390" t="s">
        <v>15382</v>
      </c>
      <c r="E3076" s="322">
        <v>11801.7</v>
      </c>
      <c r="F3076" s="323">
        <v>43014</v>
      </c>
      <c r="G3076" s="322">
        <v>11801.7</v>
      </c>
      <c r="H3076" s="322">
        <f t="shared" si="44"/>
        <v>0</v>
      </c>
      <c r="I3076" s="325" t="s">
        <v>15214</v>
      </c>
    </row>
    <row r="3077" spans="1:9" x14ac:dyDescent="0.25">
      <c r="A3077" s="359">
        <v>43003</v>
      </c>
      <c r="B3077" s="326" t="s">
        <v>30868</v>
      </c>
      <c r="C3077" s="327">
        <v>128836</v>
      </c>
      <c r="D3077" s="391" t="s">
        <v>15380</v>
      </c>
      <c r="E3077" s="328">
        <v>38742.1</v>
      </c>
      <c r="F3077" s="329">
        <v>43014</v>
      </c>
      <c r="G3077" s="328">
        <v>38742.1</v>
      </c>
      <c r="H3077" s="347">
        <f t="shared" si="44"/>
        <v>0</v>
      </c>
      <c r="I3077" s="331" t="s">
        <v>15214</v>
      </c>
    </row>
    <row r="3078" spans="1:9" x14ac:dyDescent="0.25">
      <c r="A3078" s="319">
        <v>43003</v>
      </c>
      <c r="B3078" s="320" t="s">
        <v>30869</v>
      </c>
      <c r="C3078" s="321">
        <v>128837</v>
      </c>
      <c r="D3078" s="390" t="s">
        <v>15373</v>
      </c>
      <c r="E3078" s="322">
        <v>17571.2</v>
      </c>
      <c r="F3078" s="323">
        <v>43006</v>
      </c>
      <c r="G3078" s="322">
        <f>1594+15977.2</f>
        <v>17571.2</v>
      </c>
      <c r="H3078" s="322">
        <f t="shared" si="44"/>
        <v>0</v>
      </c>
      <c r="I3078" s="325" t="s">
        <v>15214</v>
      </c>
    </row>
    <row r="3079" spans="1:9" ht="15.75" x14ac:dyDescent="0.25">
      <c r="A3079" s="359">
        <v>43003</v>
      </c>
      <c r="B3079" s="326" t="s">
        <v>30870</v>
      </c>
      <c r="C3079" s="327">
        <v>128838</v>
      </c>
      <c r="D3079" s="345" t="s">
        <v>95</v>
      </c>
      <c r="E3079" s="328">
        <v>0</v>
      </c>
      <c r="F3079" s="346" t="s">
        <v>95</v>
      </c>
      <c r="G3079" s="328">
        <v>0</v>
      </c>
      <c r="H3079" s="347">
        <f t="shared" si="44"/>
        <v>0</v>
      </c>
      <c r="I3079" s="331" t="s">
        <v>95</v>
      </c>
    </row>
    <row r="3080" spans="1:9" x14ac:dyDescent="0.25">
      <c r="A3080" s="319">
        <v>43003</v>
      </c>
      <c r="B3080" s="320" t="s">
        <v>30871</v>
      </c>
      <c r="C3080" s="321">
        <v>128839</v>
      </c>
      <c r="D3080" s="390" t="s">
        <v>15230</v>
      </c>
      <c r="E3080" s="322">
        <v>10102.799999999999</v>
      </c>
      <c r="F3080" s="323">
        <v>43007</v>
      </c>
      <c r="G3080" s="322">
        <v>10102.799999999999</v>
      </c>
      <c r="H3080" s="322">
        <f t="shared" si="44"/>
        <v>0</v>
      </c>
      <c r="I3080" s="325" t="s">
        <v>15214</v>
      </c>
    </row>
    <row r="3081" spans="1:9" x14ac:dyDescent="0.25">
      <c r="A3081" s="359">
        <v>43003</v>
      </c>
      <c r="B3081" s="326" t="s">
        <v>30872</v>
      </c>
      <c r="C3081" s="327">
        <v>128840</v>
      </c>
      <c r="D3081" s="391" t="s">
        <v>15232</v>
      </c>
      <c r="E3081" s="328">
        <v>6957.6</v>
      </c>
      <c r="F3081" s="329">
        <v>43006</v>
      </c>
      <c r="G3081" s="328">
        <v>6957.6</v>
      </c>
      <c r="H3081" s="347">
        <f t="shared" si="44"/>
        <v>0</v>
      </c>
      <c r="I3081" s="331" t="s">
        <v>15214</v>
      </c>
    </row>
    <row r="3082" spans="1:9" x14ac:dyDescent="0.25">
      <c r="A3082" s="319">
        <v>43003</v>
      </c>
      <c r="B3082" s="320" t="s">
        <v>30873</v>
      </c>
      <c r="C3082" s="321">
        <v>128841</v>
      </c>
      <c r="D3082" s="390" t="s">
        <v>15234</v>
      </c>
      <c r="E3082" s="322">
        <v>4104</v>
      </c>
      <c r="F3082" s="323">
        <v>43006</v>
      </c>
      <c r="G3082" s="322">
        <v>4104</v>
      </c>
      <c r="H3082" s="322">
        <f t="shared" si="44"/>
        <v>0</v>
      </c>
      <c r="I3082" s="325" t="s">
        <v>15214</v>
      </c>
    </row>
    <row r="3083" spans="1:9" x14ac:dyDescent="0.25">
      <c r="A3083" s="359">
        <v>43003</v>
      </c>
      <c r="B3083" s="326" t="s">
        <v>30874</v>
      </c>
      <c r="C3083" s="327">
        <v>128842</v>
      </c>
      <c r="D3083" s="391" t="s">
        <v>15236</v>
      </c>
      <c r="E3083" s="328">
        <v>3339.8</v>
      </c>
      <c r="F3083" s="329">
        <v>43005</v>
      </c>
      <c r="G3083" s="328">
        <v>3339.8</v>
      </c>
      <c r="H3083" s="347">
        <f t="shared" si="44"/>
        <v>0</v>
      </c>
      <c r="I3083" s="331" t="s">
        <v>15214</v>
      </c>
    </row>
    <row r="3084" spans="1:9" x14ac:dyDescent="0.25">
      <c r="A3084" s="319">
        <v>43003</v>
      </c>
      <c r="B3084" s="320" t="s">
        <v>30875</v>
      </c>
      <c r="C3084" s="321">
        <v>128843</v>
      </c>
      <c r="D3084" s="390" t="s">
        <v>15475</v>
      </c>
      <c r="E3084" s="322">
        <v>10632.4</v>
      </c>
      <c r="F3084" s="323">
        <v>43005</v>
      </c>
      <c r="G3084" s="322">
        <v>10632.4</v>
      </c>
      <c r="H3084" s="322">
        <f t="shared" si="44"/>
        <v>0</v>
      </c>
      <c r="I3084" s="325" t="s">
        <v>15214</v>
      </c>
    </row>
    <row r="3085" spans="1:9" x14ac:dyDescent="0.25">
      <c r="A3085" s="359">
        <v>43003</v>
      </c>
      <c r="B3085" s="326" t="s">
        <v>30876</v>
      </c>
      <c r="C3085" s="327">
        <v>128844</v>
      </c>
      <c r="D3085" s="391" t="s">
        <v>15668</v>
      </c>
      <c r="E3085" s="328">
        <v>12798.4</v>
      </c>
      <c r="F3085" s="329">
        <v>43006</v>
      </c>
      <c r="G3085" s="328">
        <v>12798.4</v>
      </c>
      <c r="H3085" s="347">
        <f t="shared" si="44"/>
        <v>0</v>
      </c>
      <c r="I3085" s="331" t="s">
        <v>15214</v>
      </c>
    </row>
    <row r="3086" spans="1:9" ht="30" x14ac:dyDescent="0.25">
      <c r="A3086" s="319">
        <v>43003</v>
      </c>
      <c r="B3086" s="320" t="s">
        <v>30877</v>
      </c>
      <c r="C3086" s="321">
        <v>128845</v>
      </c>
      <c r="D3086" s="390" t="s">
        <v>15238</v>
      </c>
      <c r="E3086" s="322">
        <v>5495.4</v>
      </c>
      <c r="F3086" s="323" t="s">
        <v>30878</v>
      </c>
      <c r="G3086" s="334">
        <f>3000+2495.4</f>
        <v>5495.4</v>
      </c>
      <c r="H3086" s="334">
        <f t="shared" si="44"/>
        <v>0</v>
      </c>
      <c r="I3086" s="325" t="s">
        <v>15214</v>
      </c>
    </row>
    <row r="3087" spans="1:9" x14ac:dyDescent="0.25">
      <c r="A3087" s="359">
        <v>43003</v>
      </c>
      <c r="B3087" s="326" t="s">
        <v>30879</v>
      </c>
      <c r="C3087" s="327">
        <v>128846</v>
      </c>
      <c r="D3087" s="391" t="s">
        <v>15258</v>
      </c>
      <c r="E3087" s="328">
        <v>2933.6</v>
      </c>
      <c r="F3087" s="329">
        <v>43005</v>
      </c>
      <c r="G3087" s="328">
        <v>2933.6</v>
      </c>
      <c r="H3087" s="347">
        <f t="shared" si="44"/>
        <v>0</v>
      </c>
      <c r="I3087" s="331" t="s">
        <v>15214</v>
      </c>
    </row>
    <row r="3088" spans="1:9" ht="30" x14ac:dyDescent="0.25">
      <c r="A3088" s="319">
        <v>43003</v>
      </c>
      <c r="B3088" s="320" t="s">
        <v>30880</v>
      </c>
      <c r="C3088" s="321">
        <v>128847</v>
      </c>
      <c r="D3088" s="390" t="s">
        <v>15256</v>
      </c>
      <c r="E3088" s="322">
        <v>5135.7</v>
      </c>
      <c r="F3088" s="323" t="s">
        <v>30742</v>
      </c>
      <c r="G3088" s="334">
        <f>1500+3635.7</f>
        <v>5135.7</v>
      </c>
      <c r="H3088" s="334">
        <f t="shared" si="44"/>
        <v>0</v>
      </c>
      <c r="I3088" s="325" t="s">
        <v>15214</v>
      </c>
    </row>
    <row r="3089" spans="1:9" x14ac:dyDescent="0.25">
      <c r="A3089" s="359">
        <v>43003</v>
      </c>
      <c r="B3089" s="326" t="s">
        <v>30881</v>
      </c>
      <c r="C3089" s="327">
        <v>128848</v>
      </c>
      <c r="D3089" s="391" t="s">
        <v>15315</v>
      </c>
      <c r="E3089" s="328">
        <v>780</v>
      </c>
      <c r="F3089" s="329">
        <v>43003</v>
      </c>
      <c r="G3089" s="328">
        <v>780</v>
      </c>
      <c r="H3089" s="347">
        <f t="shared" si="44"/>
        <v>0</v>
      </c>
      <c r="I3089" s="331" t="s">
        <v>15214</v>
      </c>
    </row>
    <row r="3090" spans="1:9" x14ac:dyDescent="0.25">
      <c r="A3090" s="319">
        <v>43003</v>
      </c>
      <c r="B3090" s="320" t="s">
        <v>30882</v>
      </c>
      <c r="C3090" s="321">
        <v>128849</v>
      </c>
      <c r="D3090" s="390" t="s">
        <v>15555</v>
      </c>
      <c r="E3090" s="322">
        <v>32243.75</v>
      </c>
      <c r="F3090" s="323">
        <v>43004</v>
      </c>
      <c r="G3090" s="322">
        <v>32243.75</v>
      </c>
      <c r="H3090" s="322">
        <f t="shared" si="44"/>
        <v>0</v>
      </c>
      <c r="I3090" s="325" t="s">
        <v>15214</v>
      </c>
    </row>
    <row r="3091" spans="1:9" x14ac:dyDescent="0.25">
      <c r="A3091" s="359">
        <v>43003</v>
      </c>
      <c r="B3091" s="326" t="s">
        <v>30883</v>
      </c>
      <c r="C3091" s="327">
        <v>128850</v>
      </c>
      <c r="D3091" s="391" t="s">
        <v>15315</v>
      </c>
      <c r="E3091" s="328">
        <v>410.8</v>
      </c>
      <c r="F3091" s="329">
        <v>43003</v>
      </c>
      <c r="G3091" s="328">
        <v>410.8</v>
      </c>
      <c r="H3091" s="347">
        <f t="shared" si="44"/>
        <v>0</v>
      </c>
      <c r="I3091" s="331" t="s">
        <v>15214</v>
      </c>
    </row>
    <row r="3092" spans="1:9" x14ac:dyDescent="0.25">
      <c r="A3092" s="319">
        <v>43003</v>
      </c>
      <c r="B3092" s="320" t="s">
        <v>30884</v>
      </c>
      <c r="C3092" s="321">
        <v>128851</v>
      </c>
      <c r="D3092" s="390" t="s">
        <v>15699</v>
      </c>
      <c r="E3092" s="322">
        <v>3809.6</v>
      </c>
      <c r="F3092" s="323">
        <v>43004</v>
      </c>
      <c r="G3092" s="322">
        <v>3809.6</v>
      </c>
      <c r="H3092" s="322">
        <f t="shared" si="44"/>
        <v>0</v>
      </c>
      <c r="I3092" s="325" t="s">
        <v>15214</v>
      </c>
    </row>
    <row r="3093" spans="1:9" x14ac:dyDescent="0.25">
      <c r="A3093" s="359">
        <v>43003</v>
      </c>
      <c r="B3093" s="326" t="s">
        <v>30885</v>
      </c>
      <c r="C3093" s="327">
        <v>128852</v>
      </c>
      <c r="D3093" s="391" t="s">
        <v>15537</v>
      </c>
      <c r="E3093" s="328">
        <v>18858.2</v>
      </c>
      <c r="F3093" s="329">
        <v>43004</v>
      </c>
      <c r="G3093" s="328">
        <v>18858.2</v>
      </c>
      <c r="H3093" s="347">
        <f t="shared" si="44"/>
        <v>0</v>
      </c>
      <c r="I3093" s="331" t="s">
        <v>15214</v>
      </c>
    </row>
    <row r="3094" spans="1:9" x14ac:dyDescent="0.25">
      <c r="A3094" s="319">
        <v>43003</v>
      </c>
      <c r="B3094" s="320" t="s">
        <v>30886</v>
      </c>
      <c r="C3094" s="321">
        <v>128853</v>
      </c>
      <c r="D3094" s="390" t="s">
        <v>15539</v>
      </c>
      <c r="E3094" s="322">
        <v>15405.2</v>
      </c>
      <c r="F3094" s="323">
        <v>43004</v>
      </c>
      <c r="G3094" s="322">
        <v>15405.2</v>
      </c>
      <c r="H3094" s="322">
        <f t="shared" si="44"/>
        <v>0</v>
      </c>
      <c r="I3094" s="325" t="s">
        <v>15214</v>
      </c>
    </row>
    <row r="3095" spans="1:9" x14ac:dyDescent="0.25">
      <c r="A3095" s="359">
        <v>43003</v>
      </c>
      <c r="B3095" s="326" t="s">
        <v>30887</v>
      </c>
      <c r="C3095" s="327">
        <v>128854</v>
      </c>
      <c r="D3095" s="391" t="s">
        <v>15559</v>
      </c>
      <c r="E3095" s="328">
        <v>1090.4000000000001</v>
      </c>
      <c r="F3095" s="329">
        <v>43004</v>
      </c>
      <c r="G3095" s="328">
        <v>1090.4000000000001</v>
      </c>
      <c r="H3095" s="347">
        <f t="shared" si="44"/>
        <v>0</v>
      </c>
      <c r="I3095" s="331" t="s">
        <v>15214</v>
      </c>
    </row>
    <row r="3096" spans="1:9" x14ac:dyDescent="0.25">
      <c r="A3096" s="319">
        <v>43003</v>
      </c>
      <c r="B3096" s="320" t="s">
        <v>30888</v>
      </c>
      <c r="C3096" s="321">
        <v>128855</v>
      </c>
      <c r="D3096" s="390" t="s">
        <v>15557</v>
      </c>
      <c r="E3096" s="322">
        <v>1342.6</v>
      </c>
      <c r="F3096" s="323">
        <v>43004</v>
      </c>
      <c r="G3096" s="322">
        <v>1342.6</v>
      </c>
      <c r="H3096" s="322">
        <f t="shared" si="44"/>
        <v>0</v>
      </c>
      <c r="I3096" s="325" t="s">
        <v>15214</v>
      </c>
    </row>
    <row r="3097" spans="1:9" x14ac:dyDescent="0.25">
      <c r="A3097" s="359">
        <v>43003</v>
      </c>
      <c r="B3097" s="326" t="s">
        <v>30889</v>
      </c>
      <c r="C3097" s="327">
        <v>128856</v>
      </c>
      <c r="D3097" s="391" t="s">
        <v>15342</v>
      </c>
      <c r="E3097" s="328">
        <v>610.79999999999995</v>
      </c>
      <c r="F3097" s="329">
        <v>43003</v>
      </c>
      <c r="G3097" s="328">
        <v>610.79999999999995</v>
      </c>
      <c r="H3097" s="347">
        <f t="shared" si="44"/>
        <v>0</v>
      </c>
      <c r="I3097" s="331" t="s">
        <v>15214</v>
      </c>
    </row>
    <row r="3098" spans="1:9" x14ac:dyDescent="0.25">
      <c r="A3098" s="319">
        <v>43003</v>
      </c>
      <c r="B3098" s="320" t="s">
        <v>30890</v>
      </c>
      <c r="C3098" s="321">
        <v>128857</v>
      </c>
      <c r="D3098" s="390" t="s">
        <v>15699</v>
      </c>
      <c r="E3098" s="322">
        <v>2496</v>
      </c>
      <c r="F3098" s="323">
        <v>43004</v>
      </c>
      <c r="G3098" s="322">
        <v>2496</v>
      </c>
      <c r="H3098" s="322">
        <f t="shared" si="44"/>
        <v>0</v>
      </c>
      <c r="I3098" s="325" t="s">
        <v>15214</v>
      </c>
    </row>
    <row r="3099" spans="1:9" x14ac:dyDescent="0.25">
      <c r="A3099" s="359">
        <v>43003</v>
      </c>
      <c r="B3099" s="326" t="s">
        <v>30891</v>
      </c>
      <c r="C3099" s="327">
        <v>128858</v>
      </c>
      <c r="D3099" s="391" t="s">
        <v>15699</v>
      </c>
      <c r="E3099" s="328">
        <v>6283.2</v>
      </c>
      <c r="F3099" s="329">
        <v>43004</v>
      </c>
      <c r="G3099" s="328">
        <v>6283.2</v>
      </c>
      <c r="H3099" s="347">
        <f t="shared" si="44"/>
        <v>0</v>
      </c>
      <c r="I3099" s="331" t="s">
        <v>15214</v>
      </c>
    </row>
    <row r="3100" spans="1:9" x14ac:dyDescent="0.25">
      <c r="A3100" s="319">
        <v>43003</v>
      </c>
      <c r="B3100" s="320" t="s">
        <v>30892</v>
      </c>
      <c r="C3100" s="321">
        <v>128859</v>
      </c>
      <c r="D3100" s="390" t="s">
        <v>15282</v>
      </c>
      <c r="E3100" s="322">
        <v>2642.9</v>
      </c>
      <c r="F3100" s="323">
        <v>43003</v>
      </c>
      <c r="G3100" s="322">
        <v>2642.9</v>
      </c>
      <c r="H3100" s="322">
        <f t="shared" si="44"/>
        <v>0</v>
      </c>
      <c r="I3100" s="325" t="s">
        <v>15214</v>
      </c>
    </row>
    <row r="3101" spans="1:9" x14ac:dyDescent="0.25">
      <c r="A3101" s="359">
        <v>43003</v>
      </c>
      <c r="B3101" s="326" t="s">
        <v>30893</v>
      </c>
      <c r="C3101" s="327">
        <v>128860</v>
      </c>
      <c r="D3101" s="391" t="s">
        <v>15566</v>
      </c>
      <c r="E3101" s="328">
        <v>2914.6</v>
      </c>
      <c r="F3101" s="329">
        <v>43003</v>
      </c>
      <c r="G3101" s="328">
        <v>2914.6</v>
      </c>
      <c r="H3101" s="347">
        <f t="shared" si="44"/>
        <v>0</v>
      </c>
      <c r="I3101" s="331" t="s">
        <v>15214</v>
      </c>
    </row>
    <row r="3102" spans="1:9" x14ac:dyDescent="0.25">
      <c r="A3102" s="319">
        <v>43003</v>
      </c>
      <c r="B3102" s="320" t="s">
        <v>30894</v>
      </c>
      <c r="C3102" s="321">
        <v>128861</v>
      </c>
      <c r="D3102" s="390" t="s">
        <v>15315</v>
      </c>
      <c r="E3102" s="322">
        <v>127.6</v>
      </c>
      <c r="F3102" s="323">
        <v>43003</v>
      </c>
      <c r="G3102" s="322">
        <v>127.6</v>
      </c>
      <c r="H3102" s="322">
        <f t="shared" si="44"/>
        <v>0</v>
      </c>
      <c r="I3102" s="325" t="s">
        <v>15214</v>
      </c>
    </row>
    <row r="3103" spans="1:9" x14ac:dyDescent="0.25">
      <c r="A3103" s="359">
        <v>43003</v>
      </c>
      <c r="B3103" s="326" t="s">
        <v>30895</v>
      </c>
      <c r="C3103" s="327">
        <v>128862</v>
      </c>
      <c r="D3103" s="391" t="s">
        <v>15213</v>
      </c>
      <c r="E3103" s="328">
        <v>6133.4</v>
      </c>
      <c r="F3103" s="329">
        <v>43004</v>
      </c>
      <c r="G3103" s="328">
        <v>6133.4</v>
      </c>
      <c r="H3103" s="347">
        <f t="shared" si="44"/>
        <v>0</v>
      </c>
      <c r="I3103" s="331" t="s">
        <v>15214</v>
      </c>
    </row>
    <row r="3104" spans="1:9" x14ac:dyDescent="0.25">
      <c r="A3104" s="319">
        <v>43003</v>
      </c>
      <c r="B3104" s="320" t="s">
        <v>30896</v>
      </c>
      <c r="C3104" s="321">
        <v>128863</v>
      </c>
      <c r="D3104" s="390" t="s">
        <v>15987</v>
      </c>
      <c r="E3104" s="322">
        <v>1141.2</v>
      </c>
      <c r="F3104" s="323">
        <v>43003</v>
      </c>
      <c r="G3104" s="322">
        <v>1141.2</v>
      </c>
      <c r="H3104" s="322">
        <f t="shared" si="44"/>
        <v>0</v>
      </c>
      <c r="I3104" s="325" t="s">
        <v>15214</v>
      </c>
    </row>
    <row r="3105" spans="1:9" x14ac:dyDescent="0.25">
      <c r="A3105" s="359">
        <v>43003</v>
      </c>
      <c r="B3105" s="326" t="s">
        <v>30897</v>
      </c>
      <c r="C3105" s="327">
        <v>128864</v>
      </c>
      <c r="D3105" s="391" t="s">
        <v>15398</v>
      </c>
      <c r="E3105" s="328">
        <v>1202</v>
      </c>
      <c r="F3105" s="329">
        <v>43003</v>
      </c>
      <c r="G3105" s="328">
        <v>1202</v>
      </c>
      <c r="H3105" s="347">
        <f t="shared" si="44"/>
        <v>0</v>
      </c>
      <c r="I3105" s="331" t="s">
        <v>15214</v>
      </c>
    </row>
    <row r="3106" spans="1:9" x14ac:dyDescent="0.25">
      <c r="A3106" s="319">
        <v>43003</v>
      </c>
      <c r="B3106" s="320" t="s">
        <v>30898</v>
      </c>
      <c r="C3106" s="321">
        <v>128865</v>
      </c>
      <c r="D3106" s="390" t="s">
        <v>30255</v>
      </c>
      <c r="E3106" s="322">
        <v>10892.7</v>
      </c>
      <c r="F3106" s="323">
        <v>43005</v>
      </c>
      <c r="G3106" s="322">
        <v>10892.7</v>
      </c>
      <c r="H3106" s="322">
        <f t="shared" si="44"/>
        <v>0</v>
      </c>
      <c r="I3106" s="325" t="s">
        <v>15214</v>
      </c>
    </row>
    <row r="3107" spans="1:9" x14ac:dyDescent="0.25">
      <c r="A3107" s="359">
        <v>43003</v>
      </c>
      <c r="B3107" s="326" t="s">
        <v>30899</v>
      </c>
      <c r="C3107" s="327">
        <v>128866</v>
      </c>
      <c r="D3107" s="391" t="s">
        <v>15930</v>
      </c>
      <c r="E3107" s="328">
        <v>5732.4</v>
      </c>
      <c r="F3107" s="329">
        <v>43005</v>
      </c>
      <c r="G3107" s="328">
        <v>5732.4</v>
      </c>
      <c r="H3107" s="347">
        <f t="shared" si="44"/>
        <v>0</v>
      </c>
      <c r="I3107" s="331" t="s">
        <v>15214</v>
      </c>
    </row>
    <row r="3108" spans="1:9" x14ac:dyDescent="0.25">
      <c r="A3108" s="319">
        <v>43003</v>
      </c>
      <c r="B3108" s="320" t="s">
        <v>30900</v>
      </c>
      <c r="C3108" s="321">
        <v>128867</v>
      </c>
      <c r="D3108" s="390" t="s">
        <v>15276</v>
      </c>
      <c r="E3108" s="322">
        <v>2300</v>
      </c>
      <c r="F3108" s="323">
        <v>43005</v>
      </c>
      <c r="G3108" s="322">
        <v>2300</v>
      </c>
      <c r="H3108" s="322">
        <f t="shared" si="44"/>
        <v>0</v>
      </c>
      <c r="I3108" s="325" t="s">
        <v>15214</v>
      </c>
    </row>
    <row r="3109" spans="1:9" x14ac:dyDescent="0.25">
      <c r="A3109" s="359">
        <v>43003</v>
      </c>
      <c r="B3109" s="326" t="s">
        <v>30901</v>
      </c>
      <c r="C3109" s="327">
        <v>128868</v>
      </c>
      <c r="D3109" s="391" t="s">
        <v>15600</v>
      </c>
      <c r="E3109" s="328">
        <v>8536.6</v>
      </c>
      <c r="F3109" s="329">
        <v>43005</v>
      </c>
      <c r="G3109" s="328">
        <v>8536.6</v>
      </c>
      <c r="H3109" s="347">
        <f t="shared" si="44"/>
        <v>0</v>
      </c>
      <c r="I3109" s="331" t="s">
        <v>15214</v>
      </c>
    </row>
    <row r="3110" spans="1:9" x14ac:dyDescent="0.25">
      <c r="A3110" s="319">
        <v>43003</v>
      </c>
      <c r="B3110" s="320" t="s">
        <v>30902</v>
      </c>
      <c r="C3110" s="321">
        <v>128869</v>
      </c>
      <c r="D3110" s="390" t="s">
        <v>18076</v>
      </c>
      <c r="E3110" s="322">
        <v>3430</v>
      </c>
      <c r="F3110" s="323">
        <v>43003</v>
      </c>
      <c r="G3110" s="322">
        <v>3430</v>
      </c>
      <c r="H3110" s="322">
        <f t="shared" si="44"/>
        <v>0</v>
      </c>
      <c r="I3110" s="325" t="s">
        <v>15214</v>
      </c>
    </row>
    <row r="3111" spans="1:9" x14ac:dyDescent="0.25">
      <c r="A3111" s="359">
        <v>43003</v>
      </c>
      <c r="B3111" s="326" t="s">
        <v>30903</v>
      </c>
      <c r="C3111" s="327">
        <v>128870</v>
      </c>
      <c r="D3111" s="391" t="s">
        <v>15423</v>
      </c>
      <c r="E3111" s="328">
        <v>3588.2</v>
      </c>
      <c r="F3111" s="329">
        <v>43003</v>
      </c>
      <c r="G3111" s="328">
        <v>3588.2</v>
      </c>
      <c r="H3111" s="347">
        <f t="shared" si="44"/>
        <v>0</v>
      </c>
      <c r="I3111" s="331" t="s">
        <v>15214</v>
      </c>
    </row>
    <row r="3112" spans="1:9" x14ac:dyDescent="0.25">
      <c r="A3112" s="319">
        <v>43003</v>
      </c>
      <c r="B3112" s="320" t="s">
        <v>30904</v>
      </c>
      <c r="C3112" s="321">
        <v>128871</v>
      </c>
      <c r="D3112" s="390" t="s">
        <v>15417</v>
      </c>
      <c r="E3112" s="322">
        <v>1780.2</v>
      </c>
      <c r="F3112" s="323">
        <v>43005</v>
      </c>
      <c r="G3112" s="322">
        <v>1780.2</v>
      </c>
      <c r="H3112" s="322">
        <f t="shared" si="44"/>
        <v>0</v>
      </c>
      <c r="I3112" s="325" t="s">
        <v>15214</v>
      </c>
    </row>
    <row r="3113" spans="1:9" x14ac:dyDescent="0.25">
      <c r="A3113" s="359">
        <v>43003</v>
      </c>
      <c r="B3113" s="326" t="s">
        <v>30905</v>
      </c>
      <c r="C3113" s="327">
        <v>128872</v>
      </c>
      <c r="D3113" s="391" t="s">
        <v>15920</v>
      </c>
      <c r="E3113" s="328">
        <v>16242.6</v>
      </c>
      <c r="F3113" s="329">
        <v>43005</v>
      </c>
      <c r="G3113" s="328">
        <v>16242.6</v>
      </c>
      <c r="H3113" s="347">
        <f t="shared" si="44"/>
        <v>0</v>
      </c>
      <c r="I3113" s="331" t="s">
        <v>15214</v>
      </c>
    </row>
    <row r="3114" spans="1:9" x14ac:dyDescent="0.25">
      <c r="A3114" s="319">
        <v>43003</v>
      </c>
      <c r="B3114" s="320" t="s">
        <v>30906</v>
      </c>
      <c r="C3114" s="321">
        <v>128873</v>
      </c>
      <c r="D3114" s="390" t="s">
        <v>15592</v>
      </c>
      <c r="E3114" s="322">
        <v>12793.4</v>
      </c>
      <c r="F3114" s="323">
        <v>43004</v>
      </c>
      <c r="G3114" s="322">
        <v>12793.4</v>
      </c>
      <c r="H3114" s="322">
        <f t="shared" si="44"/>
        <v>0</v>
      </c>
      <c r="I3114" s="325" t="s">
        <v>15214</v>
      </c>
    </row>
    <row r="3115" spans="1:9" x14ac:dyDescent="0.25">
      <c r="A3115" s="359">
        <v>43003</v>
      </c>
      <c r="B3115" s="326" t="s">
        <v>30907</v>
      </c>
      <c r="C3115" s="327">
        <v>128874</v>
      </c>
      <c r="D3115" s="391" t="s">
        <v>19697</v>
      </c>
      <c r="E3115" s="328">
        <v>1013.4</v>
      </c>
      <c r="F3115" s="329">
        <v>43004</v>
      </c>
      <c r="G3115" s="328">
        <v>1013.4</v>
      </c>
      <c r="H3115" s="347">
        <f t="shared" si="44"/>
        <v>0</v>
      </c>
      <c r="I3115" s="331" t="s">
        <v>15214</v>
      </c>
    </row>
    <row r="3116" spans="1:9" x14ac:dyDescent="0.25">
      <c r="A3116" s="319">
        <v>43003</v>
      </c>
      <c r="B3116" s="320" t="s">
        <v>30908</v>
      </c>
      <c r="C3116" s="321">
        <v>128875</v>
      </c>
      <c r="D3116" s="390" t="s">
        <v>15391</v>
      </c>
      <c r="E3116" s="322">
        <v>7806.4</v>
      </c>
      <c r="F3116" s="323">
        <v>43005</v>
      </c>
      <c r="G3116" s="322">
        <v>7806.4</v>
      </c>
      <c r="H3116" s="322">
        <f t="shared" si="44"/>
        <v>0</v>
      </c>
      <c r="I3116" s="325" t="s">
        <v>15214</v>
      </c>
    </row>
    <row r="3117" spans="1:9" x14ac:dyDescent="0.25">
      <c r="A3117" s="359">
        <v>43003</v>
      </c>
      <c r="B3117" s="326" t="s">
        <v>30909</v>
      </c>
      <c r="C3117" s="327">
        <v>128876</v>
      </c>
      <c r="D3117" s="391" t="s">
        <v>15298</v>
      </c>
      <c r="E3117" s="328">
        <v>46</v>
      </c>
      <c r="F3117" s="329">
        <v>43003</v>
      </c>
      <c r="G3117" s="328">
        <v>46</v>
      </c>
      <c r="H3117" s="347">
        <f t="shared" si="44"/>
        <v>0</v>
      </c>
      <c r="I3117" s="331" t="s">
        <v>15214</v>
      </c>
    </row>
    <row r="3118" spans="1:9" x14ac:dyDescent="0.25">
      <c r="A3118" s="319">
        <v>43003</v>
      </c>
      <c r="B3118" s="320" t="s">
        <v>30910</v>
      </c>
      <c r="C3118" s="321">
        <v>128877</v>
      </c>
      <c r="D3118" s="390" t="s">
        <v>15530</v>
      </c>
      <c r="E3118" s="322">
        <v>1684.7</v>
      </c>
      <c r="F3118" s="323">
        <v>43003</v>
      </c>
      <c r="G3118" s="322">
        <v>1684.7</v>
      </c>
      <c r="H3118" s="322">
        <f t="shared" si="44"/>
        <v>0</v>
      </c>
      <c r="I3118" s="325" t="s">
        <v>15214</v>
      </c>
    </row>
    <row r="3119" spans="1:9" x14ac:dyDescent="0.25">
      <c r="A3119" s="359">
        <v>43003</v>
      </c>
      <c r="B3119" s="326" t="s">
        <v>30911</v>
      </c>
      <c r="C3119" s="327">
        <v>128878</v>
      </c>
      <c r="D3119" s="391" t="s">
        <v>15662</v>
      </c>
      <c r="E3119" s="328">
        <v>1100.8</v>
      </c>
      <c r="F3119" s="329">
        <v>43003</v>
      </c>
      <c r="G3119" s="328">
        <v>1100.8</v>
      </c>
      <c r="H3119" s="347">
        <f t="shared" si="44"/>
        <v>0</v>
      </c>
      <c r="I3119" s="331" t="s">
        <v>15214</v>
      </c>
    </row>
    <row r="3120" spans="1:9" x14ac:dyDescent="0.25">
      <c r="A3120" s="319">
        <v>43003</v>
      </c>
      <c r="B3120" s="320" t="s">
        <v>30912</v>
      </c>
      <c r="C3120" s="321">
        <v>128879</v>
      </c>
      <c r="D3120" s="390" t="s">
        <v>19699</v>
      </c>
      <c r="E3120" s="322">
        <v>2208</v>
      </c>
      <c r="F3120" s="323">
        <v>43003</v>
      </c>
      <c r="G3120" s="322">
        <v>2208</v>
      </c>
      <c r="H3120" s="322">
        <f t="shared" si="44"/>
        <v>0</v>
      </c>
      <c r="I3120" s="325" t="s">
        <v>15214</v>
      </c>
    </row>
    <row r="3121" spans="1:9" x14ac:dyDescent="0.25">
      <c r="A3121" s="359">
        <v>43003</v>
      </c>
      <c r="B3121" s="326" t="s">
        <v>30913</v>
      </c>
      <c r="C3121" s="327">
        <v>128880</v>
      </c>
      <c r="D3121" s="391" t="s">
        <v>15284</v>
      </c>
      <c r="E3121" s="328">
        <v>696</v>
      </c>
      <c r="F3121" s="329">
        <v>43003</v>
      </c>
      <c r="G3121" s="328">
        <v>696</v>
      </c>
      <c r="H3121" s="347">
        <f t="shared" ref="H3121:H3184" si="45">E3121-G3121</f>
        <v>0</v>
      </c>
      <c r="I3121" s="331" t="s">
        <v>15214</v>
      </c>
    </row>
    <row r="3122" spans="1:9" x14ac:dyDescent="0.25">
      <c r="A3122" s="319">
        <v>43003</v>
      </c>
      <c r="B3122" s="320" t="s">
        <v>30914</v>
      </c>
      <c r="C3122" s="321">
        <v>128881</v>
      </c>
      <c r="D3122" s="390" t="s">
        <v>15315</v>
      </c>
      <c r="E3122" s="322">
        <v>5841</v>
      </c>
      <c r="F3122" s="323">
        <v>43004</v>
      </c>
      <c r="G3122" s="322">
        <v>5841</v>
      </c>
      <c r="H3122" s="322">
        <f t="shared" si="45"/>
        <v>0</v>
      </c>
      <c r="I3122" s="325" t="s">
        <v>15214</v>
      </c>
    </row>
    <row r="3123" spans="1:9" ht="15.75" x14ac:dyDescent="0.25">
      <c r="A3123" s="359">
        <v>43003</v>
      </c>
      <c r="B3123" s="326" t="s">
        <v>30915</v>
      </c>
      <c r="C3123" s="327">
        <v>128882</v>
      </c>
      <c r="D3123" s="345" t="s">
        <v>95</v>
      </c>
      <c r="E3123" s="328">
        <v>0</v>
      </c>
      <c r="F3123" s="346" t="s">
        <v>95</v>
      </c>
      <c r="G3123" s="328">
        <v>0</v>
      </c>
      <c r="H3123" s="347">
        <f t="shared" si="45"/>
        <v>0</v>
      </c>
      <c r="I3123" s="399" t="s">
        <v>28783</v>
      </c>
    </row>
    <row r="3124" spans="1:9" ht="15.75" x14ac:dyDescent="0.25">
      <c r="A3124" s="319">
        <v>43003</v>
      </c>
      <c r="B3124" s="320" t="s">
        <v>30916</v>
      </c>
      <c r="C3124" s="321">
        <v>128883</v>
      </c>
      <c r="D3124" s="332" t="s">
        <v>95</v>
      </c>
      <c r="E3124" s="322">
        <v>0</v>
      </c>
      <c r="F3124" s="333" t="s">
        <v>95</v>
      </c>
      <c r="G3124" s="322">
        <v>0</v>
      </c>
      <c r="H3124" s="322">
        <f t="shared" si="45"/>
        <v>0</v>
      </c>
      <c r="I3124" s="325" t="s">
        <v>95</v>
      </c>
    </row>
    <row r="3125" spans="1:9" x14ac:dyDescent="0.25">
      <c r="A3125" s="359">
        <v>43003</v>
      </c>
      <c r="B3125" s="326" t="s">
        <v>30917</v>
      </c>
      <c r="C3125" s="327">
        <v>128884</v>
      </c>
      <c r="D3125" s="391" t="s">
        <v>15315</v>
      </c>
      <c r="E3125" s="328">
        <v>3021</v>
      </c>
      <c r="F3125" s="329">
        <v>43003</v>
      </c>
      <c r="G3125" s="328">
        <v>3021</v>
      </c>
      <c r="H3125" s="347">
        <f t="shared" si="45"/>
        <v>0</v>
      </c>
      <c r="I3125" s="331" t="s">
        <v>15214</v>
      </c>
    </row>
    <row r="3126" spans="1:9" x14ac:dyDescent="0.25">
      <c r="A3126" s="319">
        <v>43003</v>
      </c>
      <c r="B3126" s="320" t="s">
        <v>30918</v>
      </c>
      <c r="C3126" s="321">
        <v>128885</v>
      </c>
      <c r="D3126" s="390" t="s">
        <v>15903</v>
      </c>
      <c r="E3126" s="322">
        <v>47452.800000000003</v>
      </c>
      <c r="F3126" s="323">
        <v>43003</v>
      </c>
      <c r="G3126" s="322">
        <v>47452.800000000003</v>
      </c>
      <c r="H3126" s="322">
        <f t="shared" si="45"/>
        <v>0</v>
      </c>
      <c r="I3126" s="325" t="s">
        <v>15214</v>
      </c>
    </row>
    <row r="3127" spans="1:9" x14ac:dyDescent="0.25">
      <c r="A3127" s="359">
        <v>43003</v>
      </c>
      <c r="B3127" s="326" t="s">
        <v>30919</v>
      </c>
      <c r="C3127" s="327">
        <v>128886</v>
      </c>
      <c r="D3127" s="391" t="s">
        <v>5880</v>
      </c>
      <c r="E3127" s="328">
        <v>79456</v>
      </c>
      <c r="F3127" s="329">
        <v>43006</v>
      </c>
      <c r="G3127" s="328">
        <v>79456</v>
      </c>
      <c r="H3127" s="347">
        <f t="shared" si="45"/>
        <v>0</v>
      </c>
      <c r="I3127" s="331" t="s">
        <v>15214</v>
      </c>
    </row>
    <row r="3128" spans="1:9" x14ac:dyDescent="0.25">
      <c r="A3128" s="319">
        <v>43003</v>
      </c>
      <c r="B3128" s="320" t="s">
        <v>30920</v>
      </c>
      <c r="C3128" s="321">
        <v>128887</v>
      </c>
      <c r="D3128" s="390" t="s">
        <v>15435</v>
      </c>
      <c r="E3128" s="322">
        <v>7675.2</v>
      </c>
      <c r="F3128" s="323">
        <v>43003</v>
      </c>
      <c r="G3128" s="322">
        <v>7675.2</v>
      </c>
      <c r="H3128" s="322">
        <f t="shared" si="45"/>
        <v>0</v>
      </c>
      <c r="I3128" s="325" t="s">
        <v>15214</v>
      </c>
    </row>
    <row r="3129" spans="1:9" x14ac:dyDescent="0.25">
      <c r="A3129" s="359">
        <v>43003</v>
      </c>
      <c r="B3129" s="326" t="s">
        <v>30921</v>
      </c>
      <c r="C3129" s="327">
        <v>128888</v>
      </c>
      <c r="D3129" s="391" t="s">
        <v>15263</v>
      </c>
      <c r="E3129" s="328">
        <v>1756</v>
      </c>
      <c r="F3129" s="329">
        <v>43003</v>
      </c>
      <c r="G3129" s="328">
        <v>1756</v>
      </c>
      <c r="H3129" s="347">
        <f t="shared" si="45"/>
        <v>0</v>
      </c>
      <c r="I3129" s="331" t="s">
        <v>15214</v>
      </c>
    </row>
    <row r="3130" spans="1:9" x14ac:dyDescent="0.25">
      <c r="A3130" s="319">
        <v>43003</v>
      </c>
      <c r="B3130" s="320" t="s">
        <v>30922</v>
      </c>
      <c r="C3130" s="321">
        <v>128889</v>
      </c>
      <c r="D3130" s="390" t="s">
        <v>15435</v>
      </c>
      <c r="E3130" s="322">
        <v>118.4</v>
      </c>
      <c r="F3130" s="323">
        <v>43003</v>
      </c>
      <c r="G3130" s="322">
        <v>118.4</v>
      </c>
      <c r="H3130" s="322">
        <f t="shared" si="45"/>
        <v>0</v>
      </c>
      <c r="I3130" s="325" t="s">
        <v>15214</v>
      </c>
    </row>
    <row r="3131" spans="1:9" x14ac:dyDescent="0.25">
      <c r="A3131" s="359">
        <v>43003</v>
      </c>
      <c r="B3131" s="326" t="s">
        <v>30923</v>
      </c>
      <c r="C3131" s="327">
        <v>128890</v>
      </c>
      <c r="D3131" s="391" t="s">
        <v>15263</v>
      </c>
      <c r="E3131" s="328">
        <v>46</v>
      </c>
      <c r="F3131" s="329">
        <v>43003</v>
      </c>
      <c r="G3131" s="328">
        <v>46</v>
      </c>
      <c r="H3131" s="347">
        <f t="shared" si="45"/>
        <v>0</v>
      </c>
      <c r="I3131" s="331" t="s">
        <v>15214</v>
      </c>
    </row>
    <row r="3132" spans="1:9" ht="30" x14ac:dyDescent="0.25">
      <c r="A3132" s="319">
        <v>43003</v>
      </c>
      <c r="B3132" s="320" t="s">
        <v>30924</v>
      </c>
      <c r="C3132" s="321">
        <v>128891</v>
      </c>
      <c r="D3132" s="390" t="s">
        <v>15407</v>
      </c>
      <c r="E3132" s="322">
        <v>1362.4</v>
      </c>
      <c r="F3132" s="323" t="s">
        <v>30925</v>
      </c>
      <c r="G3132" s="334">
        <f>1290+72.4</f>
        <v>1362.4</v>
      </c>
      <c r="H3132" s="334">
        <f t="shared" si="45"/>
        <v>0</v>
      </c>
      <c r="I3132" s="325" t="s">
        <v>15214</v>
      </c>
    </row>
    <row r="3133" spans="1:9" x14ac:dyDescent="0.25">
      <c r="A3133" s="359">
        <v>43003</v>
      </c>
      <c r="B3133" s="326" t="s">
        <v>30926</v>
      </c>
      <c r="C3133" s="327">
        <v>128892</v>
      </c>
      <c r="D3133" s="391" t="s">
        <v>15365</v>
      </c>
      <c r="E3133" s="328">
        <v>422902</v>
      </c>
      <c r="F3133" s="329">
        <v>43006</v>
      </c>
      <c r="G3133" s="328">
        <v>422902</v>
      </c>
      <c r="H3133" s="347">
        <f t="shared" si="45"/>
        <v>0</v>
      </c>
      <c r="I3133" s="331" t="s">
        <v>15214</v>
      </c>
    </row>
    <row r="3134" spans="1:9" x14ac:dyDescent="0.25">
      <c r="A3134" s="319">
        <v>43003</v>
      </c>
      <c r="B3134" s="320" t="s">
        <v>30927</v>
      </c>
      <c r="C3134" s="321">
        <v>128893</v>
      </c>
      <c r="D3134" s="390" t="s">
        <v>15246</v>
      </c>
      <c r="E3134" s="322">
        <v>120824.96000000001</v>
      </c>
      <c r="F3134" s="323">
        <v>43008</v>
      </c>
      <c r="G3134" s="322">
        <v>120824.96000000001</v>
      </c>
      <c r="H3134" s="322">
        <f t="shared" si="45"/>
        <v>0</v>
      </c>
      <c r="I3134" s="325" t="s">
        <v>15214</v>
      </c>
    </row>
    <row r="3135" spans="1:9" x14ac:dyDescent="0.25">
      <c r="A3135" s="359">
        <v>43003</v>
      </c>
      <c r="B3135" s="326" t="s">
        <v>30928</v>
      </c>
      <c r="C3135" s="327">
        <v>128894</v>
      </c>
      <c r="D3135" s="391" t="s">
        <v>15246</v>
      </c>
      <c r="E3135" s="328">
        <v>25268.76</v>
      </c>
      <c r="F3135" s="329">
        <v>43008</v>
      </c>
      <c r="G3135" s="328">
        <v>25268.76</v>
      </c>
      <c r="H3135" s="347">
        <f t="shared" si="45"/>
        <v>0</v>
      </c>
      <c r="I3135" s="331" t="s">
        <v>15214</v>
      </c>
    </row>
    <row r="3136" spans="1:9" x14ac:dyDescent="0.25">
      <c r="A3136" s="319">
        <v>43003</v>
      </c>
      <c r="B3136" s="320" t="s">
        <v>30929</v>
      </c>
      <c r="C3136" s="321">
        <v>128895</v>
      </c>
      <c r="D3136" s="390" t="s">
        <v>15818</v>
      </c>
      <c r="E3136" s="322">
        <v>2629.2</v>
      </c>
      <c r="F3136" s="323">
        <v>43004</v>
      </c>
      <c r="G3136" s="322">
        <v>2629.2</v>
      </c>
      <c r="H3136" s="322">
        <f t="shared" si="45"/>
        <v>0</v>
      </c>
      <c r="I3136" s="325" t="s">
        <v>15214</v>
      </c>
    </row>
    <row r="3137" spans="1:9" ht="15.75" x14ac:dyDescent="0.25">
      <c r="A3137" s="359">
        <v>43003</v>
      </c>
      <c r="B3137" s="326" t="s">
        <v>30930</v>
      </c>
      <c r="C3137" s="327">
        <v>128896</v>
      </c>
      <c r="D3137" s="345" t="s">
        <v>95</v>
      </c>
      <c r="E3137" s="328">
        <v>0</v>
      </c>
      <c r="F3137" s="346" t="s">
        <v>95</v>
      </c>
      <c r="G3137" s="328">
        <v>0</v>
      </c>
      <c r="H3137" s="347">
        <f t="shared" si="45"/>
        <v>0</v>
      </c>
      <c r="I3137" s="331" t="s">
        <v>95</v>
      </c>
    </row>
    <row r="3138" spans="1:9" x14ac:dyDescent="0.25">
      <c r="A3138" s="319">
        <v>43003</v>
      </c>
      <c r="B3138" s="320" t="s">
        <v>30931</v>
      </c>
      <c r="C3138" s="321">
        <v>128897</v>
      </c>
      <c r="D3138" s="390" t="s">
        <v>15642</v>
      </c>
      <c r="E3138" s="322">
        <v>4218.8999999999996</v>
      </c>
      <c r="F3138" s="323">
        <v>43004</v>
      </c>
      <c r="G3138" s="322">
        <v>4218.8999999999996</v>
      </c>
      <c r="H3138" s="322">
        <f t="shared" si="45"/>
        <v>0</v>
      </c>
      <c r="I3138" s="325" t="s">
        <v>15214</v>
      </c>
    </row>
    <row r="3139" spans="1:9" x14ac:dyDescent="0.25">
      <c r="A3139" s="359">
        <v>43004</v>
      </c>
      <c r="B3139" s="326" t="s">
        <v>30932</v>
      </c>
      <c r="C3139" s="327">
        <v>128898</v>
      </c>
      <c r="D3139" s="391" t="s">
        <v>21386</v>
      </c>
      <c r="E3139" s="328">
        <v>9406.7999999999993</v>
      </c>
      <c r="F3139" s="329">
        <v>43005</v>
      </c>
      <c r="G3139" s="328">
        <v>9406.7999999999993</v>
      </c>
      <c r="H3139" s="347">
        <f t="shared" si="45"/>
        <v>0</v>
      </c>
      <c r="I3139" s="331" t="s">
        <v>15214</v>
      </c>
    </row>
    <row r="3140" spans="1:9" ht="15.75" x14ac:dyDescent="0.25">
      <c r="A3140" s="319">
        <v>43004</v>
      </c>
      <c r="B3140" s="320" t="s">
        <v>30933</v>
      </c>
      <c r="C3140" s="321">
        <v>128899</v>
      </c>
      <c r="D3140" s="332" t="s">
        <v>95</v>
      </c>
      <c r="E3140" s="322">
        <v>0</v>
      </c>
      <c r="F3140" s="333" t="s">
        <v>95</v>
      </c>
      <c r="G3140" s="322">
        <v>0</v>
      </c>
      <c r="H3140" s="322">
        <f t="shared" si="45"/>
        <v>0</v>
      </c>
      <c r="I3140" s="325" t="s">
        <v>95</v>
      </c>
    </row>
    <row r="3141" spans="1:9" ht="30" x14ac:dyDescent="0.25">
      <c r="A3141" s="359">
        <v>43004</v>
      </c>
      <c r="B3141" s="326" t="s">
        <v>30934</v>
      </c>
      <c r="C3141" s="327">
        <v>128900</v>
      </c>
      <c r="D3141" s="391" t="s">
        <v>15213</v>
      </c>
      <c r="E3141" s="328">
        <v>44027.3</v>
      </c>
      <c r="F3141" s="329" t="s">
        <v>30935</v>
      </c>
      <c r="G3141" s="328">
        <f>25000+19027.3</f>
        <v>44027.3</v>
      </c>
      <c r="H3141" s="347">
        <f t="shared" si="45"/>
        <v>0</v>
      </c>
      <c r="I3141" s="331" t="s">
        <v>15214</v>
      </c>
    </row>
    <row r="3142" spans="1:9" x14ac:dyDescent="0.25">
      <c r="A3142" s="319">
        <v>43004</v>
      </c>
      <c r="B3142" s="320" t="s">
        <v>30936</v>
      </c>
      <c r="C3142" s="321">
        <v>128901</v>
      </c>
      <c r="D3142" s="390" t="s">
        <v>15272</v>
      </c>
      <c r="E3142" s="322">
        <v>19540.330000000002</v>
      </c>
      <c r="F3142" s="323">
        <v>43004</v>
      </c>
      <c r="G3142" s="322">
        <v>19540.330000000002</v>
      </c>
      <c r="H3142" s="322">
        <f t="shared" si="45"/>
        <v>0</v>
      </c>
      <c r="I3142" s="325" t="s">
        <v>15214</v>
      </c>
    </row>
    <row r="3143" spans="1:9" x14ac:dyDescent="0.25">
      <c r="A3143" s="359">
        <v>43004</v>
      </c>
      <c r="B3143" s="326" t="s">
        <v>30937</v>
      </c>
      <c r="C3143" s="327">
        <v>128902</v>
      </c>
      <c r="D3143" s="391" t="s">
        <v>18544</v>
      </c>
      <c r="E3143" s="328">
        <v>3796.2</v>
      </c>
      <c r="F3143" s="329">
        <v>43004</v>
      </c>
      <c r="G3143" s="328">
        <v>3796.2</v>
      </c>
      <c r="H3143" s="347">
        <f t="shared" si="45"/>
        <v>0</v>
      </c>
      <c r="I3143" s="331" t="s">
        <v>15214</v>
      </c>
    </row>
    <row r="3144" spans="1:9" x14ac:dyDescent="0.25">
      <c r="A3144" s="319">
        <v>43004</v>
      </c>
      <c r="B3144" s="320" t="s">
        <v>30938</v>
      </c>
      <c r="C3144" s="321">
        <v>128903</v>
      </c>
      <c r="D3144" s="390" t="s">
        <v>30939</v>
      </c>
      <c r="E3144" s="322">
        <v>9159.1</v>
      </c>
      <c r="F3144" s="323">
        <v>43007</v>
      </c>
      <c r="G3144" s="322">
        <v>9159.1</v>
      </c>
      <c r="H3144" s="322">
        <f t="shared" si="45"/>
        <v>0</v>
      </c>
      <c r="I3144" s="325" t="s">
        <v>15214</v>
      </c>
    </row>
    <row r="3145" spans="1:9" x14ac:dyDescent="0.25">
      <c r="A3145" s="359">
        <v>43004</v>
      </c>
      <c r="B3145" s="326" t="s">
        <v>30940</v>
      </c>
      <c r="C3145" s="327">
        <v>128904</v>
      </c>
      <c r="D3145" s="391" t="s">
        <v>15348</v>
      </c>
      <c r="E3145" s="328">
        <v>930</v>
      </c>
      <c r="F3145" s="329">
        <v>43005</v>
      </c>
      <c r="G3145" s="328">
        <v>930</v>
      </c>
      <c r="H3145" s="347">
        <f t="shared" si="45"/>
        <v>0</v>
      </c>
      <c r="I3145" s="331" t="s">
        <v>15214</v>
      </c>
    </row>
    <row r="3146" spans="1:9" x14ac:dyDescent="0.25">
      <c r="A3146" s="319">
        <v>43004</v>
      </c>
      <c r="B3146" s="320" t="s">
        <v>30941</v>
      </c>
      <c r="C3146" s="321">
        <v>128905</v>
      </c>
      <c r="D3146" s="390" t="s">
        <v>15240</v>
      </c>
      <c r="E3146" s="322">
        <v>3149</v>
      </c>
      <c r="F3146" s="323">
        <v>43006</v>
      </c>
      <c r="G3146" s="322">
        <v>3149</v>
      </c>
      <c r="H3146" s="322">
        <f t="shared" si="45"/>
        <v>0</v>
      </c>
      <c r="I3146" s="325" t="s">
        <v>15214</v>
      </c>
    </row>
    <row r="3147" spans="1:9" x14ac:dyDescent="0.25">
      <c r="A3147" s="359">
        <v>43004</v>
      </c>
      <c r="B3147" s="326" t="s">
        <v>30942</v>
      </c>
      <c r="C3147" s="327">
        <v>128906</v>
      </c>
      <c r="D3147" s="391" t="s">
        <v>15716</v>
      </c>
      <c r="E3147" s="328">
        <v>9981.7000000000007</v>
      </c>
      <c r="F3147" s="329">
        <v>43004</v>
      </c>
      <c r="G3147" s="328">
        <v>9981.7000000000007</v>
      </c>
      <c r="H3147" s="347">
        <f t="shared" si="45"/>
        <v>0</v>
      </c>
      <c r="I3147" s="331" t="s">
        <v>15214</v>
      </c>
    </row>
    <row r="3148" spans="1:9" x14ac:dyDescent="0.25">
      <c r="A3148" s="319">
        <v>43004</v>
      </c>
      <c r="B3148" s="320" t="s">
        <v>30943</v>
      </c>
      <c r="C3148" s="321">
        <v>128907</v>
      </c>
      <c r="D3148" s="390" t="s">
        <v>15332</v>
      </c>
      <c r="E3148" s="322">
        <v>2385</v>
      </c>
      <c r="F3148" s="323">
        <v>43004</v>
      </c>
      <c r="G3148" s="322">
        <v>2385</v>
      </c>
      <c r="H3148" s="322">
        <f t="shared" si="45"/>
        <v>0</v>
      </c>
      <c r="I3148" s="325" t="s">
        <v>15214</v>
      </c>
    </row>
    <row r="3149" spans="1:9" x14ac:dyDescent="0.25">
      <c r="A3149" s="359">
        <v>43004</v>
      </c>
      <c r="B3149" s="326" t="s">
        <v>30944</v>
      </c>
      <c r="C3149" s="327">
        <v>128908</v>
      </c>
      <c r="D3149" s="391" t="s">
        <v>15356</v>
      </c>
      <c r="E3149" s="328">
        <v>930</v>
      </c>
      <c r="F3149" s="329">
        <v>43004</v>
      </c>
      <c r="G3149" s="328">
        <v>930</v>
      </c>
      <c r="H3149" s="347">
        <f t="shared" si="45"/>
        <v>0</v>
      </c>
      <c r="I3149" s="331" t="s">
        <v>15214</v>
      </c>
    </row>
    <row r="3150" spans="1:9" x14ac:dyDescent="0.25">
      <c r="A3150" s="319">
        <v>43004</v>
      </c>
      <c r="B3150" s="320" t="s">
        <v>30945</v>
      </c>
      <c r="C3150" s="321">
        <v>128909</v>
      </c>
      <c r="D3150" s="390" t="s">
        <v>15348</v>
      </c>
      <c r="E3150" s="322">
        <v>216</v>
      </c>
      <c r="F3150" s="323">
        <v>43005</v>
      </c>
      <c r="G3150" s="322">
        <v>216</v>
      </c>
      <c r="H3150" s="322">
        <f t="shared" si="45"/>
        <v>0</v>
      </c>
      <c r="I3150" s="325" t="s">
        <v>15214</v>
      </c>
    </row>
    <row r="3151" spans="1:9" x14ac:dyDescent="0.25">
      <c r="A3151" s="359">
        <v>43004</v>
      </c>
      <c r="B3151" s="326" t="s">
        <v>30946</v>
      </c>
      <c r="C3151" s="327">
        <v>128910</v>
      </c>
      <c r="D3151" s="391" t="s">
        <v>15242</v>
      </c>
      <c r="E3151" s="328">
        <v>4439.3999999999996</v>
      </c>
      <c r="F3151" s="329">
        <v>43004</v>
      </c>
      <c r="G3151" s="328">
        <v>4439.3999999999996</v>
      </c>
      <c r="H3151" s="347">
        <f t="shared" si="45"/>
        <v>0</v>
      </c>
      <c r="I3151" s="331" t="s">
        <v>15214</v>
      </c>
    </row>
    <row r="3152" spans="1:9" x14ac:dyDescent="0.25">
      <c r="A3152" s="319">
        <v>43004</v>
      </c>
      <c r="B3152" s="320" t="s">
        <v>30947</v>
      </c>
      <c r="C3152" s="321">
        <v>128911</v>
      </c>
      <c r="D3152" s="390" t="s">
        <v>15220</v>
      </c>
      <c r="E3152" s="322">
        <v>2300</v>
      </c>
      <c r="F3152" s="323">
        <v>43004</v>
      </c>
      <c r="G3152" s="322">
        <v>2300</v>
      </c>
      <c r="H3152" s="322">
        <f t="shared" si="45"/>
        <v>0</v>
      </c>
      <c r="I3152" s="325" t="s">
        <v>15214</v>
      </c>
    </row>
    <row r="3153" spans="1:9" x14ac:dyDescent="0.25">
      <c r="A3153" s="359">
        <v>43004</v>
      </c>
      <c r="B3153" s="326" t="s">
        <v>30948</v>
      </c>
      <c r="C3153" s="327">
        <v>128912</v>
      </c>
      <c r="D3153" s="391" t="s">
        <v>17235</v>
      </c>
      <c r="E3153" s="328">
        <v>455.4</v>
      </c>
      <c r="F3153" s="329">
        <v>43004</v>
      </c>
      <c r="G3153" s="328">
        <v>455.4</v>
      </c>
      <c r="H3153" s="347">
        <f t="shared" si="45"/>
        <v>0</v>
      </c>
      <c r="I3153" s="331" t="s">
        <v>15214</v>
      </c>
    </row>
    <row r="3154" spans="1:9" x14ac:dyDescent="0.25">
      <c r="A3154" s="319">
        <v>43004</v>
      </c>
      <c r="B3154" s="320" t="s">
        <v>30949</v>
      </c>
      <c r="C3154" s="321">
        <v>128913</v>
      </c>
      <c r="D3154" s="390" t="s">
        <v>30950</v>
      </c>
      <c r="E3154" s="322">
        <v>11970</v>
      </c>
      <c r="F3154" s="323">
        <v>43004</v>
      </c>
      <c r="G3154" s="322">
        <v>11970</v>
      </c>
      <c r="H3154" s="322">
        <f t="shared" si="45"/>
        <v>0</v>
      </c>
      <c r="I3154" s="325" t="s">
        <v>15214</v>
      </c>
    </row>
    <row r="3155" spans="1:9" x14ac:dyDescent="0.25">
      <c r="A3155" s="359">
        <v>43004</v>
      </c>
      <c r="B3155" s="326" t="s">
        <v>30951</v>
      </c>
      <c r="C3155" s="327">
        <v>128914</v>
      </c>
      <c r="D3155" s="391" t="s">
        <v>15226</v>
      </c>
      <c r="E3155" s="328">
        <v>1409.06</v>
      </c>
      <c r="F3155" s="329">
        <v>43005</v>
      </c>
      <c r="G3155" s="328">
        <v>1409.06</v>
      </c>
      <c r="H3155" s="347">
        <f t="shared" si="45"/>
        <v>0</v>
      </c>
      <c r="I3155" s="331" t="s">
        <v>15214</v>
      </c>
    </row>
    <row r="3156" spans="1:9" x14ac:dyDescent="0.25">
      <c r="A3156" s="319">
        <v>43004</v>
      </c>
      <c r="B3156" s="320" t="s">
        <v>30952</v>
      </c>
      <c r="C3156" s="321">
        <v>128915</v>
      </c>
      <c r="D3156" s="390" t="s">
        <v>15246</v>
      </c>
      <c r="E3156" s="322">
        <v>592</v>
      </c>
      <c r="F3156" s="323">
        <v>43008</v>
      </c>
      <c r="G3156" s="322">
        <v>592</v>
      </c>
      <c r="H3156" s="322">
        <f t="shared" si="45"/>
        <v>0</v>
      </c>
      <c r="I3156" s="325" t="s">
        <v>15214</v>
      </c>
    </row>
    <row r="3157" spans="1:9" x14ac:dyDescent="0.25">
      <c r="A3157" s="359">
        <v>43004</v>
      </c>
      <c r="B3157" s="326" t="s">
        <v>30953</v>
      </c>
      <c r="C3157" s="327">
        <v>128916</v>
      </c>
      <c r="D3157" s="391" t="s">
        <v>5828</v>
      </c>
      <c r="E3157" s="328">
        <v>9909.76</v>
      </c>
      <c r="F3157" s="329">
        <v>43004</v>
      </c>
      <c r="G3157" s="328">
        <v>9909.76</v>
      </c>
      <c r="H3157" s="347">
        <f t="shared" si="45"/>
        <v>0</v>
      </c>
      <c r="I3157" s="331" t="s">
        <v>15214</v>
      </c>
    </row>
    <row r="3158" spans="1:9" x14ac:dyDescent="0.25">
      <c r="A3158" s="319">
        <v>43004</v>
      </c>
      <c r="B3158" s="320" t="s">
        <v>30954</v>
      </c>
      <c r="C3158" s="321">
        <v>128917</v>
      </c>
      <c r="D3158" s="390" t="s">
        <v>15234</v>
      </c>
      <c r="E3158" s="322">
        <v>2766.4</v>
      </c>
      <c r="F3158" s="323">
        <v>43006</v>
      </c>
      <c r="G3158" s="322">
        <v>2766.4</v>
      </c>
      <c r="H3158" s="322">
        <f t="shared" si="45"/>
        <v>0</v>
      </c>
      <c r="I3158" s="325" t="s">
        <v>15214</v>
      </c>
    </row>
    <row r="3159" spans="1:9" x14ac:dyDescent="0.25">
      <c r="A3159" s="359">
        <v>43004</v>
      </c>
      <c r="B3159" s="326" t="s">
        <v>30955</v>
      </c>
      <c r="C3159" s="327">
        <v>128918</v>
      </c>
      <c r="D3159" s="391" t="s">
        <v>15338</v>
      </c>
      <c r="E3159" s="328">
        <v>10017</v>
      </c>
      <c r="F3159" s="329">
        <v>43007</v>
      </c>
      <c r="G3159" s="328">
        <v>10017</v>
      </c>
      <c r="H3159" s="347">
        <f t="shared" si="45"/>
        <v>0</v>
      </c>
      <c r="I3159" s="331" t="s">
        <v>15214</v>
      </c>
    </row>
    <row r="3160" spans="1:9" x14ac:dyDescent="0.25">
      <c r="A3160" s="319">
        <v>43004</v>
      </c>
      <c r="B3160" s="320" t="s">
        <v>30956</v>
      </c>
      <c r="C3160" s="321">
        <v>128919</v>
      </c>
      <c r="D3160" s="390" t="s">
        <v>17462</v>
      </c>
      <c r="E3160" s="322">
        <v>1822.8</v>
      </c>
      <c r="F3160" s="323">
        <v>43004</v>
      </c>
      <c r="G3160" s="322">
        <v>1822.8</v>
      </c>
      <c r="H3160" s="322">
        <f t="shared" si="45"/>
        <v>0</v>
      </c>
      <c r="I3160" s="325" t="s">
        <v>15214</v>
      </c>
    </row>
    <row r="3161" spans="1:9" x14ac:dyDescent="0.25">
      <c r="A3161" s="359">
        <v>43004</v>
      </c>
      <c r="B3161" s="326" t="s">
        <v>30957</v>
      </c>
      <c r="C3161" s="327">
        <v>128920</v>
      </c>
      <c r="D3161" s="391" t="s">
        <v>15728</v>
      </c>
      <c r="E3161" s="328">
        <v>28987.200000000001</v>
      </c>
      <c r="F3161" s="329">
        <v>43004</v>
      </c>
      <c r="G3161" s="328">
        <v>28987.200000000001</v>
      </c>
      <c r="H3161" s="347">
        <f t="shared" si="45"/>
        <v>0</v>
      </c>
      <c r="I3161" s="331" t="s">
        <v>15214</v>
      </c>
    </row>
    <row r="3162" spans="1:9" ht="30" x14ac:dyDescent="0.25">
      <c r="A3162" s="319">
        <v>43004</v>
      </c>
      <c r="B3162" s="320" t="s">
        <v>30958</v>
      </c>
      <c r="C3162" s="321">
        <v>128921</v>
      </c>
      <c r="D3162" s="390" t="s">
        <v>15258</v>
      </c>
      <c r="E3162" s="322">
        <v>9857.2000000000007</v>
      </c>
      <c r="F3162" s="323" t="s">
        <v>30959</v>
      </c>
      <c r="G3162" s="334">
        <f>2000+7857.2</f>
        <v>9857.2000000000007</v>
      </c>
      <c r="H3162" s="334">
        <f t="shared" si="45"/>
        <v>0</v>
      </c>
      <c r="I3162" s="325" t="s">
        <v>15214</v>
      </c>
    </row>
    <row r="3163" spans="1:9" x14ac:dyDescent="0.25">
      <c r="A3163" s="359">
        <v>43004</v>
      </c>
      <c r="B3163" s="326" t="s">
        <v>30960</v>
      </c>
      <c r="C3163" s="327">
        <v>128922</v>
      </c>
      <c r="D3163" s="391" t="s">
        <v>15742</v>
      </c>
      <c r="E3163" s="328">
        <v>1518.1</v>
      </c>
      <c r="F3163" s="329">
        <v>43004</v>
      </c>
      <c r="G3163" s="328">
        <v>1518.1</v>
      </c>
      <c r="H3163" s="347">
        <f t="shared" si="45"/>
        <v>0</v>
      </c>
      <c r="I3163" s="331" t="s">
        <v>15214</v>
      </c>
    </row>
    <row r="3164" spans="1:9" x14ac:dyDescent="0.25">
      <c r="A3164" s="319">
        <v>43004</v>
      </c>
      <c r="B3164" s="320" t="s">
        <v>30961</v>
      </c>
      <c r="C3164" s="321">
        <v>128923</v>
      </c>
      <c r="D3164" s="390" t="s">
        <v>15523</v>
      </c>
      <c r="E3164" s="322">
        <v>1150</v>
      </c>
      <c r="F3164" s="323">
        <v>43004</v>
      </c>
      <c r="G3164" s="322">
        <v>1150</v>
      </c>
      <c r="H3164" s="322">
        <f t="shared" si="45"/>
        <v>0</v>
      </c>
      <c r="I3164" s="325" t="s">
        <v>15214</v>
      </c>
    </row>
    <row r="3165" spans="1:9" x14ac:dyDescent="0.25">
      <c r="A3165" s="359">
        <v>43004</v>
      </c>
      <c r="B3165" s="326" t="s">
        <v>30962</v>
      </c>
      <c r="C3165" s="327">
        <v>128924</v>
      </c>
      <c r="D3165" s="391" t="s">
        <v>15328</v>
      </c>
      <c r="E3165" s="328">
        <v>108333.8</v>
      </c>
      <c r="F3165" s="329">
        <v>43021</v>
      </c>
      <c r="G3165" s="328">
        <v>108333.8</v>
      </c>
      <c r="H3165" s="347">
        <f t="shared" si="45"/>
        <v>0</v>
      </c>
      <c r="I3165" s="331" t="s">
        <v>15214</v>
      </c>
    </row>
    <row r="3166" spans="1:9" x14ac:dyDescent="0.25">
      <c r="A3166" s="319">
        <v>43004</v>
      </c>
      <c r="B3166" s="320" t="s">
        <v>30963</v>
      </c>
      <c r="C3166" s="321">
        <v>128925</v>
      </c>
      <c r="D3166" s="390" t="s">
        <v>15336</v>
      </c>
      <c r="E3166" s="322">
        <v>1913.6</v>
      </c>
      <c r="F3166" s="323">
        <v>43004</v>
      </c>
      <c r="G3166" s="322">
        <v>1913.6</v>
      </c>
      <c r="H3166" s="322">
        <f t="shared" si="45"/>
        <v>0</v>
      </c>
      <c r="I3166" s="325" t="s">
        <v>15214</v>
      </c>
    </row>
    <row r="3167" spans="1:9" x14ac:dyDescent="0.25">
      <c r="A3167" s="359">
        <v>43004</v>
      </c>
      <c r="B3167" s="326" t="s">
        <v>30964</v>
      </c>
      <c r="C3167" s="327">
        <v>128926</v>
      </c>
      <c r="D3167" s="391" t="s">
        <v>15315</v>
      </c>
      <c r="E3167" s="328">
        <v>12281.6</v>
      </c>
      <c r="F3167" s="329">
        <v>43004</v>
      </c>
      <c r="G3167" s="328">
        <v>12281.6</v>
      </c>
      <c r="H3167" s="347">
        <f t="shared" si="45"/>
        <v>0</v>
      </c>
      <c r="I3167" s="331" t="s">
        <v>15214</v>
      </c>
    </row>
    <row r="3168" spans="1:9" x14ac:dyDescent="0.25">
      <c r="A3168" s="319">
        <v>43004</v>
      </c>
      <c r="B3168" s="320" t="s">
        <v>30965</v>
      </c>
      <c r="C3168" s="321">
        <v>128927</v>
      </c>
      <c r="D3168" s="390" t="s">
        <v>15256</v>
      </c>
      <c r="E3168" s="322">
        <v>2901.5</v>
      </c>
      <c r="F3168" s="323">
        <v>43007</v>
      </c>
      <c r="G3168" s="322">
        <v>2901.5</v>
      </c>
      <c r="H3168" s="322">
        <f t="shared" si="45"/>
        <v>0</v>
      </c>
      <c r="I3168" s="325" t="s">
        <v>15214</v>
      </c>
    </row>
    <row r="3169" spans="1:9" x14ac:dyDescent="0.25">
      <c r="A3169" s="359">
        <v>43004</v>
      </c>
      <c r="B3169" s="326" t="s">
        <v>30966</v>
      </c>
      <c r="C3169" s="327">
        <v>128928</v>
      </c>
      <c r="D3169" s="391" t="s">
        <v>15232</v>
      </c>
      <c r="E3169" s="328">
        <v>6615.4</v>
      </c>
      <c r="F3169" s="329">
        <v>43013</v>
      </c>
      <c r="G3169" s="328">
        <v>6615.4</v>
      </c>
      <c r="H3169" s="347">
        <f t="shared" si="45"/>
        <v>0</v>
      </c>
      <c r="I3169" s="331" t="s">
        <v>15214</v>
      </c>
    </row>
    <row r="3170" spans="1:9" x14ac:dyDescent="0.25">
      <c r="A3170" s="319">
        <v>43004</v>
      </c>
      <c r="B3170" s="320" t="s">
        <v>30967</v>
      </c>
      <c r="C3170" s="321">
        <v>128929</v>
      </c>
      <c r="D3170" s="390" t="s">
        <v>15334</v>
      </c>
      <c r="E3170" s="322">
        <v>810</v>
      </c>
      <c r="F3170" s="323">
        <v>43004</v>
      </c>
      <c r="G3170" s="322">
        <v>810</v>
      </c>
      <c r="H3170" s="322">
        <f t="shared" si="45"/>
        <v>0</v>
      </c>
      <c r="I3170" s="325" t="s">
        <v>15214</v>
      </c>
    </row>
    <row r="3171" spans="1:9" x14ac:dyDescent="0.25">
      <c r="A3171" s="359">
        <v>43004</v>
      </c>
      <c r="B3171" s="326" t="s">
        <v>30968</v>
      </c>
      <c r="C3171" s="327">
        <v>128930</v>
      </c>
      <c r="D3171" s="391" t="s">
        <v>19780</v>
      </c>
      <c r="E3171" s="328">
        <v>9859.2000000000007</v>
      </c>
      <c r="F3171" s="329">
        <v>43006</v>
      </c>
      <c r="G3171" s="328">
        <v>9859.2000000000007</v>
      </c>
      <c r="H3171" s="347">
        <f t="shared" si="45"/>
        <v>0</v>
      </c>
      <c r="I3171" s="331" t="s">
        <v>15214</v>
      </c>
    </row>
    <row r="3172" spans="1:9" ht="30" x14ac:dyDescent="0.25">
      <c r="A3172" s="319">
        <v>43004</v>
      </c>
      <c r="B3172" s="320" t="s">
        <v>30969</v>
      </c>
      <c r="C3172" s="321">
        <v>128931</v>
      </c>
      <c r="D3172" s="390" t="s">
        <v>5575</v>
      </c>
      <c r="E3172" s="322">
        <v>5829.2</v>
      </c>
      <c r="F3172" s="323" t="s">
        <v>30959</v>
      </c>
      <c r="G3172" s="334">
        <f>4500+1329.2</f>
        <v>5829.2</v>
      </c>
      <c r="H3172" s="334">
        <f t="shared" si="45"/>
        <v>0</v>
      </c>
      <c r="I3172" s="325" t="s">
        <v>15214</v>
      </c>
    </row>
    <row r="3173" spans="1:9" x14ac:dyDescent="0.25">
      <c r="A3173" s="359">
        <v>43004</v>
      </c>
      <c r="B3173" s="326" t="s">
        <v>30970</v>
      </c>
      <c r="C3173" s="327">
        <v>128932</v>
      </c>
      <c r="D3173" s="391" t="s">
        <v>15480</v>
      </c>
      <c r="E3173" s="328">
        <v>3199.6</v>
      </c>
      <c r="F3173" s="329">
        <v>43005</v>
      </c>
      <c r="G3173" s="328">
        <v>3199.6</v>
      </c>
      <c r="H3173" s="347">
        <f t="shared" si="45"/>
        <v>0</v>
      </c>
      <c r="I3173" s="331" t="s">
        <v>15214</v>
      </c>
    </row>
    <row r="3174" spans="1:9" x14ac:dyDescent="0.25">
      <c r="A3174" s="319">
        <v>43004</v>
      </c>
      <c r="B3174" s="320" t="s">
        <v>30971</v>
      </c>
      <c r="C3174" s="321">
        <v>128933</v>
      </c>
      <c r="D3174" s="390" t="s">
        <v>15230</v>
      </c>
      <c r="E3174" s="322">
        <v>5522.4</v>
      </c>
      <c r="F3174" s="323">
        <v>43007</v>
      </c>
      <c r="G3174" s="322">
        <v>5522.4</v>
      </c>
      <c r="H3174" s="322">
        <f t="shared" si="45"/>
        <v>0</v>
      </c>
      <c r="I3174" s="325" t="s">
        <v>15214</v>
      </c>
    </row>
    <row r="3175" spans="1:9" x14ac:dyDescent="0.25">
      <c r="A3175" s="359">
        <v>43004</v>
      </c>
      <c r="B3175" s="326" t="s">
        <v>30972</v>
      </c>
      <c r="C3175" s="327">
        <v>128934</v>
      </c>
      <c r="D3175" s="391" t="s">
        <v>15238</v>
      </c>
      <c r="E3175" s="328">
        <v>1889.5</v>
      </c>
      <c r="F3175" s="329">
        <v>43008</v>
      </c>
      <c r="G3175" s="328">
        <v>1889.5</v>
      </c>
      <c r="H3175" s="347">
        <f t="shared" si="45"/>
        <v>0</v>
      </c>
      <c r="I3175" s="331" t="s">
        <v>15214</v>
      </c>
    </row>
    <row r="3176" spans="1:9" x14ac:dyDescent="0.25">
      <c r="A3176" s="319">
        <v>43004</v>
      </c>
      <c r="B3176" s="320" t="s">
        <v>30973</v>
      </c>
      <c r="C3176" s="321">
        <v>128935</v>
      </c>
      <c r="D3176" s="390" t="s">
        <v>30057</v>
      </c>
      <c r="E3176" s="322">
        <v>3724</v>
      </c>
      <c r="F3176" s="323">
        <v>43005</v>
      </c>
      <c r="G3176" s="322">
        <v>3724</v>
      </c>
      <c r="H3176" s="322">
        <f t="shared" si="45"/>
        <v>0</v>
      </c>
      <c r="I3176" s="325" t="s">
        <v>15214</v>
      </c>
    </row>
    <row r="3177" spans="1:9" x14ac:dyDescent="0.25">
      <c r="A3177" s="359">
        <v>43004</v>
      </c>
      <c r="B3177" s="326" t="s">
        <v>30974</v>
      </c>
      <c r="C3177" s="327">
        <v>128936</v>
      </c>
      <c r="D3177" s="391" t="s">
        <v>15568</v>
      </c>
      <c r="E3177" s="328">
        <v>13117.02</v>
      </c>
      <c r="F3177" s="329">
        <v>43004</v>
      </c>
      <c r="G3177" s="328">
        <v>13117.02</v>
      </c>
      <c r="H3177" s="347">
        <f t="shared" si="45"/>
        <v>0</v>
      </c>
      <c r="I3177" s="331" t="s">
        <v>15214</v>
      </c>
    </row>
    <row r="3178" spans="1:9" x14ac:dyDescent="0.25">
      <c r="A3178" s="319">
        <v>43004</v>
      </c>
      <c r="B3178" s="320" t="s">
        <v>30975</v>
      </c>
      <c r="C3178" s="321">
        <v>128937</v>
      </c>
      <c r="D3178" s="390" t="s">
        <v>15668</v>
      </c>
      <c r="E3178" s="322">
        <v>16628.8</v>
      </c>
      <c r="F3178" s="323">
        <v>43006</v>
      </c>
      <c r="G3178" s="322">
        <v>16628.8</v>
      </c>
      <c r="H3178" s="322">
        <f t="shared" si="45"/>
        <v>0</v>
      </c>
      <c r="I3178" s="325" t="s">
        <v>15214</v>
      </c>
    </row>
    <row r="3179" spans="1:9" x14ac:dyDescent="0.25">
      <c r="A3179" s="359">
        <v>43004</v>
      </c>
      <c r="B3179" s="326" t="s">
        <v>30976</v>
      </c>
      <c r="C3179" s="327">
        <v>128938</v>
      </c>
      <c r="D3179" s="391" t="s">
        <v>15475</v>
      </c>
      <c r="E3179" s="328">
        <v>2986.8</v>
      </c>
      <c r="F3179" s="329">
        <v>43006</v>
      </c>
      <c r="G3179" s="328">
        <v>2986.8</v>
      </c>
      <c r="H3179" s="347">
        <f t="shared" si="45"/>
        <v>0</v>
      </c>
      <c r="I3179" s="331" t="s">
        <v>15214</v>
      </c>
    </row>
    <row r="3180" spans="1:9" x14ac:dyDescent="0.25">
      <c r="A3180" s="319">
        <v>43004</v>
      </c>
      <c r="B3180" s="320" t="s">
        <v>30977</v>
      </c>
      <c r="C3180" s="321">
        <v>128939</v>
      </c>
      <c r="D3180" s="390" t="s">
        <v>15236</v>
      </c>
      <c r="E3180" s="322">
        <v>3336.4</v>
      </c>
      <c r="F3180" s="323">
        <v>43006</v>
      </c>
      <c r="G3180" s="322">
        <v>3336.4</v>
      </c>
      <c r="H3180" s="322">
        <f t="shared" si="45"/>
        <v>0</v>
      </c>
      <c r="I3180" s="325" t="s">
        <v>15214</v>
      </c>
    </row>
    <row r="3181" spans="1:9" x14ac:dyDescent="0.25">
      <c r="A3181" s="359">
        <v>43004</v>
      </c>
      <c r="B3181" s="326" t="s">
        <v>30978</v>
      </c>
      <c r="C3181" s="327">
        <v>128940</v>
      </c>
      <c r="D3181" s="391" t="s">
        <v>15358</v>
      </c>
      <c r="E3181" s="328">
        <v>6440.3</v>
      </c>
      <c r="F3181" s="329">
        <v>43004</v>
      </c>
      <c r="G3181" s="328">
        <v>6440.3</v>
      </c>
      <c r="H3181" s="347">
        <f t="shared" si="45"/>
        <v>0</v>
      </c>
      <c r="I3181" s="331" t="s">
        <v>15214</v>
      </c>
    </row>
    <row r="3182" spans="1:9" ht="30" x14ac:dyDescent="0.25">
      <c r="A3182" s="319">
        <v>43004</v>
      </c>
      <c r="B3182" s="320" t="s">
        <v>30979</v>
      </c>
      <c r="C3182" s="321">
        <v>128941</v>
      </c>
      <c r="D3182" s="390" t="s">
        <v>15223</v>
      </c>
      <c r="E3182" s="322">
        <v>54751.199999999997</v>
      </c>
      <c r="F3182" s="323" t="s">
        <v>31626</v>
      </c>
      <c r="G3182" s="334">
        <f>45925.18+8826.02</f>
        <v>54751.199999999997</v>
      </c>
      <c r="H3182" s="334">
        <f t="shared" si="45"/>
        <v>0</v>
      </c>
      <c r="I3182" s="325" t="s">
        <v>15214</v>
      </c>
    </row>
    <row r="3183" spans="1:9" x14ac:dyDescent="0.25">
      <c r="A3183" s="359">
        <v>43004</v>
      </c>
      <c r="B3183" s="326" t="s">
        <v>30980</v>
      </c>
      <c r="C3183" s="327">
        <v>128942</v>
      </c>
      <c r="D3183" s="391" t="s">
        <v>15248</v>
      </c>
      <c r="E3183" s="328">
        <v>8897</v>
      </c>
      <c r="F3183" s="329">
        <v>43004</v>
      </c>
      <c r="G3183" s="328">
        <v>8897</v>
      </c>
      <c r="H3183" s="347">
        <f t="shared" si="45"/>
        <v>0</v>
      </c>
      <c r="I3183" s="331" t="s">
        <v>15214</v>
      </c>
    </row>
    <row r="3184" spans="1:9" x14ac:dyDescent="0.25">
      <c r="A3184" s="319">
        <v>43004</v>
      </c>
      <c r="B3184" s="320" t="s">
        <v>30981</v>
      </c>
      <c r="C3184" s="321">
        <v>128943</v>
      </c>
      <c r="D3184" s="390" t="s">
        <v>17950</v>
      </c>
      <c r="E3184" s="322">
        <v>8583</v>
      </c>
      <c r="F3184" s="323">
        <v>43004</v>
      </c>
      <c r="G3184" s="322">
        <v>8583</v>
      </c>
      <c r="H3184" s="322">
        <f t="shared" si="45"/>
        <v>0</v>
      </c>
      <c r="I3184" s="325" t="s">
        <v>15214</v>
      </c>
    </row>
    <row r="3185" spans="1:9" x14ac:dyDescent="0.25">
      <c r="A3185" s="359">
        <v>43004</v>
      </c>
      <c r="B3185" s="326" t="s">
        <v>30982</v>
      </c>
      <c r="C3185" s="327">
        <v>128944</v>
      </c>
      <c r="D3185" s="391" t="s">
        <v>15291</v>
      </c>
      <c r="E3185" s="328">
        <v>731.4</v>
      </c>
      <c r="F3185" s="329">
        <v>43004</v>
      </c>
      <c r="G3185" s="328">
        <v>731.4</v>
      </c>
      <c r="H3185" s="347">
        <f t="shared" ref="H3185:H3248" si="46">E3185-G3185</f>
        <v>0</v>
      </c>
      <c r="I3185" s="331" t="s">
        <v>15214</v>
      </c>
    </row>
    <row r="3186" spans="1:9" x14ac:dyDescent="0.25">
      <c r="A3186" s="319">
        <v>43004</v>
      </c>
      <c r="B3186" s="320" t="s">
        <v>30983</v>
      </c>
      <c r="C3186" s="321">
        <v>128945</v>
      </c>
      <c r="D3186" s="390" t="s">
        <v>16383</v>
      </c>
      <c r="E3186" s="322">
        <v>10000</v>
      </c>
      <c r="F3186" s="323">
        <v>43004</v>
      </c>
      <c r="G3186" s="322">
        <v>10000</v>
      </c>
      <c r="H3186" s="322">
        <f t="shared" si="46"/>
        <v>0</v>
      </c>
      <c r="I3186" s="325" t="s">
        <v>15214</v>
      </c>
    </row>
    <row r="3187" spans="1:9" x14ac:dyDescent="0.25">
      <c r="A3187" s="359">
        <v>43004</v>
      </c>
      <c r="B3187" s="326" t="s">
        <v>30984</v>
      </c>
      <c r="C3187" s="327">
        <v>128946</v>
      </c>
      <c r="D3187" s="391" t="s">
        <v>15305</v>
      </c>
      <c r="E3187" s="328">
        <v>908.9</v>
      </c>
      <c r="F3187" s="329">
        <v>43004</v>
      </c>
      <c r="G3187" s="328">
        <v>908.9</v>
      </c>
      <c r="H3187" s="347">
        <f t="shared" si="46"/>
        <v>0</v>
      </c>
      <c r="I3187" s="331" t="s">
        <v>15214</v>
      </c>
    </row>
    <row r="3188" spans="1:9" x14ac:dyDescent="0.25">
      <c r="A3188" s="319">
        <v>43004</v>
      </c>
      <c r="B3188" s="320" t="s">
        <v>30985</v>
      </c>
      <c r="C3188" s="321">
        <v>128947</v>
      </c>
      <c r="D3188" s="390" t="s">
        <v>15320</v>
      </c>
      <c r="E3188" s="322">
        <v>2209.5</v>
      </c>
      <c r="F3188" s="323">
        <v>43005</v>
      </c>
      <c r="G3188" s="322">
        <v>2209.5</v>
      </c>
      <c r="H3188" s="322">
        <f t="shared" si="46"/>
        <v>0</v>
      </c>
      <c r="I3188" s="325" t="s">
        <v>15214</v>
      </c>
    </row>
    <row r="3189" spans="1:9" x14ac:dyDescent="0.25">
      <c r="A3189" s="359">
        <v>43004</v>
      </c>
      <c r="B3189" s="326" t="s">
        <v>30986</v>
      </c>
      <c r="C3189" s="327">
        <v>128948</v>
      </c>
      <c r="D3189" s="391" t="s">
        <v>15307</v>
      </c>
      <c r="E3189" s="328">
        <v>1846.4</v>
      </c>
      <c r="F3189" s="329">
        <v>43004</v>
      </c>
      <c r="G3189" s="328">
        <v>1846.4</v>
      </c>
      <c r="H3189" s="347">
        <f t="shared" si="46"/>
        <v>0</v>
      </c>
      <c r="I3189" s="331" t="s">
        <v>15214</v>
      </c>
    </row>
    <row r="3190" spans="1:9" x14ac:dyDescent="0.25">
      <c r="A3190" s="319">
        <v>43004</v>
      </c>
      <c r="B3190" s="320" t="s">
        <v>30987</v>
      </c>
      <c r="C3190" s="321">
        <v>128949</v>
      </c>
      <c r="D3190" s="390" t="s">
        <v>15317</v>
      </c>
      <c r="E3190" s="322">
        <v>2867</v>
      </c>
      <c r="F3190" s="323">
        <v>43006</v>
      </c>
      <c r="G3190" s="322">
        <v>2867</v>
      </c>
      <c r="H3190" s="322">
        <f t="shared" si="46"/>
        <v>0</v>
      </c>
      <c r="I3190" s="325" t="s">
        <v>15214</v>
      </c>
    </row>
    <row r="3191" spans="1:9" x14ac:dyDescent="0.25">
      <c r="A3191" s="359">
        <v>43004</v>
      </c>
      <c r="B3191" s="326" t="s">
        <v>30988</v>
      </c>
      <c r="C3191" s="327">
        <v>128950</v>
      </c>
      <c r="D3191" s="391" t="s">
        <v>15920</v>
      </c>
      <c r="E3191" s="328">
        <v>18225.2</v>
      </c>
      <c r="F3191" s="329">
        <v>43006</v>
      </c>
      <c r="G3191" s="328">
        <v>18225.2</v>
      </c>
      <c r="H3191" s="347">
        <f t="shared" si="46"/>
        <v>0</v>
      </c>
      <c r="I3191" s="331" t="s">
        <v>15214</v>
      </c>
    </row>
    <row r="3192" spans="1:9" x14ac:dyDescent="0.25">
      <c r="A3192" s="319">
        <v>43004</v>
      </c>
      <c r="B3192" s="320" t="s">
        <v>30989</v>
      </c>
      <c r="C3192" s="321">
        <v>128951</v>
      </c>
      <c r="D3192" s="390" t="s">
        <v>15315</v>
      </c>
      <c r="E3192" s="322">
        <v>4673.6000000000004</v>
      </c>
      <c r="F3192" s="323">
        <v>43004</v>
      </c>
      <c r="G3192" s="322">
        <v>4673.6000000000004</v>
      </c>
      <c r="H3192" s="322">
        <f t="shared" si="46"/>
        <v>0</v>
      </c>
      <c r="I3192" s="325" t="s">
        <v>15214</v>
      </c>
    </row>
    <row r="3193" spans="1:9" x14ac:dyDescent="0.25">
      <c r="A3193" s="359">
        <v>43004</v>
      </c>
      <c r="B3193" s="326" t="s">
        <v>30990</v>
      </c>
      <c r="C3193" s="327">
        <v>128952</v>
      </c>
      <c r="D3193" s="391" t="s">
        <v>15510</v>
      </c>
      <c r="E3193" s="328">
        <v>29039.599999999999</v>
      </c>
      <c r="F3193" s="329">
        <v>43004</v>
      </c>
      <c r="G3193" s="328">
        <v>29039.599999999999</v>
      </c>
      <c r="H3193" s="347">
        <f t="shared" si="46"/>
        <v>0</v>
      </c>
      <c r="I3193" s="331" t="s">
        <v>15214</v>
      </c>
    </row>
    <row r="3194" spans="1:9" x14ac:dyDescent="0.25">
      <c r="A3194" s="319">
        <v>43004</v>
      </c>
      <c r="B3194" s="320" t="s">
        <v>30991</v>
      </c>
      <c r="C3194" s="321">
        <v>128953</v>
      </c>
      <c r="D3194" s="390" t="s">
        <v>15263</v>
      </c>
      <c r="E3194" s="322">
        <v>1366.9</v>
      </c>
      <c r="F3194" s="323">
        <v>43004</v>
      </c>
      <c r="G3194" s="322">
        <v>1366.9</v>
      </c>
      <c r="H3194" s="322">
        <f t="shared" si="46"/>
        <v>0</v>
      </c>
      <c r="I3194" s="325" t="s">
        <v>15214</v>
      </c>
    </row>
    <row r="3195" spans="1:9" x14ac:dyDescent="0.25">
      <c r="A3195" s="359">
        <v>43004</v>
      </c>
      <c r="B3195" s="326" t="s">
        <v>30992</v>
      </c>
      <c r="C3195" s="327">
        <v>128954</v>
      </c>
      <c r="D3195" s="391" t="s">
        <v>17462</v>
      </c>
      <c r="E3195" s="328">
        <v>4699.1000000000004</v>
      </c>
      <c r="F3195" s="329">
        <v>43004</v>
      </c>
      <c r="G3195" s="328">
        <v>4699.1000000000004</v>
      </c>
      <c r="H3195" s="347">
        <f t="shared" si="46"/>
        <v>0</v>
      </c>
      <c r="I3195" s="331" t="s">
        <v>15214</v>
      </c>
    </row>
    <row r="3196" spans="1:9" x14ac:dyDescent="0.25">
      <c r="A3196" s="319">
        <v>43004</v>
      </c>
      <c r="B3196" s="320" t="s">
        <v>30993</v>
      </c>
      <c r="C3196" s="321">
        <v>128955</v>
      </c>
      <c r="D3196" s="390" t="s">
        <v>15280</v>
      </c>
      <c r="E3196" s="322">
        <v>5820.8</v>
      </c>
      <c r="F3196" s="323">
        <v>43004</v>
      </c>
      <c r="G3196" s="322">
        <v>5820.8</v>
      </c>
      <c r="H3196" s="322">
        <f t="shared" si="46"/>
        <v>0</v>
      </c>
      <c r="I3196" s="325" t="s">
        <v>15214</v>
      </c>
    </row>
    <row r="3197" spans="1:9" x14ac:dyDescent="0.25">
      <c r="A3197" s="359">
        <v>43004</v>
      </c>
      <c r="B3197" s="326" t="s">
        <v>30994</v>
      </c>
      <c r="C3197" s="327">
        <v>128956</v>
      </c>
      <c r="D3197" s="391" t="s">
        <v>15624</v>
      </c>
      <c r="E3197" s="328">
        <v>16466.2</v>
      </c>
      <c r="F3197" s="329">
        <v>43005</v>
      </c>
      <c r="G3197" s="328">
        <v>16466.2</v>
      </c>
      <c r="H3197" s="347">
        <f t="shared" si="46"/>
        <v>0</v>
      </c>
      <c r="I3197" s="331" t="s">
        <v>15214</v>
      </c>
    </row>
    <row r="3198" spans="1:9" x14ac:dyDescent="0.25">
      <c r="A3198" s="319">
        <v>43004</v>
      </c>
      <c r="B3198" s="320" t="s">
        <v>30995</v>
      </c>
      <c r="C3198" s="321">
        <v>128957</v>
      </c>
      <c r="D3198" s="390" t="s">
        <v>15596</v>
      </c>
      <c r="E3198" s="322">
        <v>900</v>
      </c>
      <c r="F3198" s="323">
        <v>43004</v>
      </c>
      <c r="G3198" s="322">
        <v>900</v>
      </c>
      <c r="H3198" s="322">
        <f t="shared" si="46"/>
        <v>0</v>
      </c>
      <c r="I3198" s="325" t="s">
        <v>15214</v>
      </c>
    </row>
    <row r="3199" spans="1:9" x14ac:dyDescent="0.25">
      <c r="A3199" s="359">
        <v>43004</v>
      </c>
      <c r="B3199" s="326" t="s">
        <v>30996</v>
      </c>
      <c r="C3199" s="327">
        <v>128958</v>
      </c>
      <c r="D3199" s="391" t="s">
        <v>15587</v>
      </c>
      <c r="E3199" s="328">
        <v>446</v>
      </c>
      <c r="F3199" s="329">
        <v>43004</v>
      </c>
      <c r="G3199" s="328">
        <v>446</v>
      </c>
      <c r="H3199" s="347">
        <f t="shared" si="46"/>
        <v>0</v>
      </c>
      <c r="I3199" s="331" t="s">
        <v>15214</v>
      </c>
    </row>
    <row r="3200" spans="1:9" x14ac:dyDescent="0.25">
      <c r="A3200" s="319">
        <v>43004</v>
      </c>
      <c r="B3200" s="320" t="s">
        <v>30997</v>
      </c>
      <c r="C3200" s="321">
        <v>128959</v>
      </c>
      <c r="D3200" s="390" t="s">
        <v>15562</v>
      </c>
      <c r="E3200" s="322">
        <v>3988.8</v>
      </c>
      <c r="F3200" s="323">
        <v>43004</v>
      </c>
      <c r="G3200" s="322">
        <v>3988.8</v>
      </c>
      <c r="H3200" s="322">
        <f t="shared" si="46"/>
        <v>0</v>
      </c>
      <c r="I3200" s="325" t="s">
        <v>15214</v>
      </c>
    </row>
    <row r="3201" spans="1:9" x14ac:dyDescent="0.25">
      <c r="A3201" s="359">
        <v>43004</v>
      </c>
      <c r="B3201" s="326" t="s">
        <v>30998</v>
      </c>
      <c r="C3201" s="327">
        <v>128960</v>
      </c>
      <c r="D3201" s="391" t="s">
        <v>15371</v>
      </c>
      <c r="E3201" s="328">
        <v>3988.7</v>
      </c>
      <c r="F3201" s="329">
        <v>43005</v>
      </c>
      <c r="G3201" s="328">
        <v>3988.7</v>
      </c>
      <c r="H3201" s="347">
        <f t="shared" si="46"/>
        <v>0</v>
      </c>
      <c r="I3201" s="331" t="s">
        <v>15214</v>
      </c>
    </row>
    <row r="3202" spans="1:9" x14ac:dyDescent="0.25">
      <c r="A3202" s="319">
        <v>43004</v>
      </c>
      <c r="B3202" s="320" t="s">
        <v>30999</v>
      </c>
      <c r="C3202" s="321">
        <v>128961</v>
      </c>
      <c r="D3202" s="390" t="s">
        <v>15326</v>
      </c>
      <c r="E3202" s="322">
        <v>3399.2</v>
      </c>
      <c r="F3202" s="323">
        <v>43004</v>
      </c>
      <c r="G3202" s="322">
        <v>3399.2</v>
      </c>
      <c r="H3202" s="322">
        <f t="shared" si="46"/>
        <v>0</v>
      </c>
      <c r="I3202" s="325" t="s">
        <v>15214</v>
      </c>
    </row>
    <row r="3203" spans="1:9" x14ac:dyDescent="0.25">
      <c r="A3203" s="359">
        <v>43004</v>
      </c>
      <c r="B3203" s="326" t="s">
        <v>31000</v>
      </c>
      <c r="C3203" s="327">
        <v>128962</v>
      </c>
      <c r="D3203" s="391" t="s">
        <v>15326</v>
      </c>
      <c r="E3203" s="328">
        <v>1274.4000000000001</v>
      </c>
      <c r="F3203" s="329">
        <v>43004</v>
      </c>
      <c r="G3203" s="328">
        <v>1274.4000000000001</v>
      </c>
      <c r="H3203" s="347">
        <f t="shared" si="46"/>
        <v>0</v>
      </c>
      <c r="I3203" s="331" t="s">
        <v>15214</v>
      </c>
    </row>
    <row r="3204" spans="1:9" x14ac:dyDescent="0.25">
      <c r="A3204" s="319">
        <v>43004</v>
      </c>
      <c r="B3204" s="320" t="s">
        <v>31001</v>
      </c>
      <c r="C3204" s="321">
        <v>128963</v>
      </c>
      <c r="D3204" s="390" t="s">
        <v>15315</v>
      </c>
      <c r="E3204" s="322">
        <v>2722</v>
      </c>
      <c r="F3204" s="323">
        <v>43004</v>
      </c>
      <c r="G3204" s="322">
        <v>2722</v>
      </c>
      <c r="H3204" s="322">
        <f t="shared" si="46"/>
        <v>0</v>
      </c>
      <c r="I3204" s="325" t="s">
        <v>15214</v>
      </c>
    </row>
    <row r="3205" spans="1:9" x14ac:dyDescent="0.25">
      <c r="A3205" s="359">
        <v>43004</v>
      </c>
      <c r="B3205" s="326" t="s">
        <v>31002</v>
      </c>
      <c r="C3205" s="327">
        <v>128964</v>
      </c>
      <c r="D3205" s="391" t="s">
        <v>15539</v>
      </c>
      <c r="E3205" s="328">
        <v>15279.8</v>
      </c>
      <c r="F3205" s="329">
        <v>43005</v>
      </c>
      <c r="G3205" s="328">
        <v>15279.8</v>
      </c>
      <c r="H3205" s="347">
        <f t="shared" si="46"/>
        <v>0</v>
      </c>
      <c r="I3205" s="331" t="s">
        <v>15214</v>
      </c>
    </row>
    <row r="3206" spans="1:9" ht="15.75" x14ac:dyDescent="0.25">
      <c r="A3206" s="319">
        <v>43004</v>
      </c>
      <c r="B3206" s="320" t="s">
        <v>31003</v>
      </c>
      <c r="C3206" s="321">
        <v>128965</v>
      </c>
      <c r="D3206" s="332" t="s">
        <v>95</v>
      </c>
      <c r="E3206" s="322">
        <v>0</v>
      </c>
      <c r="F3206" s="333" t="s">
        <v>95</v>
      </c>
      <c r="G3206" s="322">
        <v>0</v>
      </c>
      <c r="H3206" s="322">
        <f t="shared" si="46"/>
        <v>0</v>
      </c>
      <c r="I3206" s="325" t="s">
        <v>95</v>
      </c>
    </row>
    <row r="3207" spans="1:9" x14ac:dyDescent="0.25">
      <c r="A3207" s="359">
        <v>43004</v>
      </c>
      <c r="B3207" s="326" t="s">
        <v>31004</v>
      </c>
      <c r="C3207" s="327">
        <v>128966</v>
      </c>
      <c r="D3207" s="391" t="s">
        <v>15242</v>
      </c>
      <c r="E3207" s="328">
        <v>4552.8</v>
      </c>
      <c r="F3207" s="329">
        <v>43004</v>
      </c>
      <c r="G3207" s="328">
        <v>4552.8</v>
      </c>
      <c r="H3207" s="347">
        <f t="shared" si="46"/>
        <v>0</v>
      </c>
      <c r="I3207" s="331" t="s">
        <v>15214</v>
      </c>
    </row>
    <row r="3208" spans="1:9" ht="15.75" x14ac:dyDescent="0.25">
      <c r="A3208" s="319">
        <v>43004</v>
      </c>
      <c r="B3208" s="320" t="s">
        <v>31005</v>
      </c>
      <c r="C3208" s="321">
        <v>128967</v>
      </c>
      <c r="D3208" s="332" t="s">
        <v>95</v>
      </c>
      <c r="E3208" s="322">
        <v>0</v>
      </c>
      <c r="F3208" s="333" t="s">
        <v>95</v>
      </c>
      <c r="G3208" s="322">
        <v>0</v>
      </c>
      <c r="H3208" s="322">
        <f t="shared" si="46"/>
        <v>0</v>
      </c>
      <c r="I3208" s="325" t="s">
        <v>95</v>
      </c>
    </row>
    <row r="3209" spans="1:9" x14ac:dyDescent="0.25">
      <c r="A3209" s="359">
        <v>43004</v>
      </c>
      <c r="B3209" s="326" t="s">
        <v>31006</v>
      </c>
      <c r="C3209" s="327">
        <v>128968</v>
      </c>
      <c r="D3209" s="391" t="s">
        <v>15398</v>
      </c>
      <c r="E3209" s="328">
        <v>3666.2</v>
      </c>
      <c r="F3209" s="329">
        <v>43004</v>
      </c>
      <c r="G3209" s="328">
        <v>3666.2</v>
      </c>
      <c r="H3209" s="347">
        <f t="shared" si="46"/>
        <v>0</v>
      </c>
      <c r="I3209" s="331" t="s">
        <v>15214</v>
      </c>
    </row>
    <row r="3210" spans="1:9" x14ac:dyDescent="0.25">
      <c r="A3210" s="319">
        <v>43004</v>
      </c>
      <c r="B3210" s="320" t="s">
        <v>31007</v>
      </c>
      <c r="C3210" s="321">
        <v>128969</v>
      </c>
      <c r="D3210" s="390" t="s">
        <v>15549</v>
      </c>
      <c r="E3210" s="322">
        <v>3401.6</v>
      </c>
      <c r="F3210" s="323">
        <v>43004</v>
      </c>
      <c r="G3210" s="322">
        <v>3401.6</v>
      </c>
      <c r="H3210" s="322">
        <f t="shared" si="46"/>
        <v>0</v>
      </c>
      <c r="I3210" s="325" t="s">
        <v>15214</v>
      </c>
    </row>
    <row r="3211" spans="1:9" x14ac:dyDescent="0.25">
      <c r="A3211" s="359">
        <v>43004</v>
      </c>
      <c r="B3211" s="326" t="s">
        <v>31008</v>
      </c>
      <c r="C3211" s="327">
        <v>128970</v>
      </c>
      <c r="D3211" s="391" t="s">
        <v>15699</v>
      </c>
      <c r="E3211" s="328">
        <v>2952.6</v>
      </c>
      <c r="F3211" s="329">
        <v>43005</v>
      </c>
      <c r="G3211" s="328">
        <v>2952.6</v>
      </c>
      <c r="H3211" s="347">
        <f t="shared" si="46"/>
        <v>0</v>
      </c>
      <c r="I3211" s="331" t="s">
        <v>15214</v>
      </c>
    </row>
    <row r="3212" spans="1:9" x14ac:dyDescent="0.25">
      <c r="A3212" s="319">
        <v>43004</v>
      </c>
      <c r="B3212" s="320" t="s">
        <v>31009</v>
      </c>
      <c r="C3212" s="321">
        <v>128971</v>
      </c>
      <c r="D3212" s="390" t="s">
        <v>15298</v>
      </c>
      <c r="E3212" s="322">
        <v>9446</v>
      </c>
      <c r="F3212" s="323">
        <v>43007</v>
      </c>
      <c r="G3212" s="322">
        <v>9446</v>
      </c>
      <c r="H3212" s="322">
        <f t="shared" si="46"/>
        <v>0</v>
      </c>
      <c r="I3212" s="325" t="s">
        <v>15214</v>
      </c>
    </row>
    <row r="3213" spans="1:9" x14ac:dyDescent="0.25">
      <c r="A3213" s="359">
        <v>43004</v>
      </c>
      <c r="B3213" s="326" t="s">
        <v>31010</v>
      </c>
      <c r="C3213" s="327">
        <v>128972</v>
      </c>
      <c r="D3213" s="391" t="s">
        <v>15559</v>
      </c>
      <c r="E3213" s="328">
        <v>6714.6</v>
      </c>
      <c r="F3213" s="329">
        <v>43005</v>
      </c>
      <c r="G3213" s="328">
        <v>6714.6</v>
      </c>
      <c r="H3213" s="347">
        <f t="shared" si="46"/>
        <v>0</v>
      </c>
      <c r="I3213" s="331" t="s">
        <v>15214</v>
      </c>
    </row>
    <row r="3214" spans="1:9" x14ac:dyDescent="0.25">
      <c r="A3214" s="319">
        <v>43004</v>
      </c>
      <c r="B3214" s="320" t="s">
        <v>31011</v>
      </c>
      <c r="C3214" s="321">
        <v>128973</v>
      </c>
      <c r="D3214" s="390" t="s">
        <v>15252</v>
      </c>
      <c r="E3214" s="322">
        <v>5056.1000000000004</v>
      </c>
      <c r="F3214" s="323">
        <v>43007</v>
      </c>
      <c r="G3214" s="322">
        <v>5056.1000000000004</v>
      </c>
      <c r="H3214" s="322">
        <f t="shared" si="46"/>
        <v>0</v>
      </c>
      <c r="I3214" s="325" t="s">
        <v>15214</v>
      </c>
    </row>
    <row r="3215" spans="1:9" x14ac:dyDescent="0.25">
      <c r="A3215" s="359">
        <v>43004</v>
      </c>
      <c r="B3215" s="326" t="s">
        <v>31012</v>
      </c>
      <c r="C3215" s="327">
        <v>128974</v>
      </c>
      <c r="D3215" s="391" t="s">
        <v>15244</v>
      </c>
      <c r="E3215" s="328">
        <v>612.79999999999995</v>
      </c>
      <c r="F3215" s="329">
        <v>43004</v>
      </c>
      <c r="G3215" s="328">
        <v>612.79999999999995</v>
      </c>
      <c r="H3215" s="347">
        <f t="shared" si="46"/>
        <v>0</v>
      </c>
      <c r="I3215" s="331" t="s">
        <v>15214</v>
      </c>
    </row>
    <row r="3216" spans="1:9" x14ac:dyDescent="0.25">
      <c r="A3216" s="319">
        <v>43004</v>
      </c>
      <c r="B3216" s="320" t="s">
        <v>31013</v>
      </c>
      <c r="C3216" s="321">
        <v>128975</v>
      </c>
      <c r="D3216" s="390" t="s">
        <v>23937</v>
      </c>
      <c r="E3216" s="322">
        <v>2979.8</v>
      </c>
      <c r="F3216" s="323">
        <v>43005</v>
      </c>
      <c r="G3216" s="322">
        <v>2979.8</v>
      </c>
      <c r="H3216" s="322">
        <f t="shared" si="46"/>
        <v>0</v>
      </c>
      <c r="I3216" s="325" t="s">
        <v>15214</v>
      </c>
    </row>
    <row r="3217" spans="1:9" x14ac:dyDescent="0.25">
      <c r="A3217" s="359">
        <v>43004</v>
      </c>
      <c r="B3217" s="326" t="s">
        <v>31014</v>
      </c>
      <c r="C3217" s="327">
        <v>128976</v>
      </c>
      <c r="D3217" s="391" t="s">
        <v>15987</v>
      </c>
      <c r="E3217" s="328">
        <v>2705.6</v>
      </c>
      <c r="F3217" s="329">
        <v>43004</v>
      </c>
      <c r="G3217" s="328">
        <v>2705.6</v>
      </c>
      <c r="H3217" s="347">
        <f t="shared" si="46"/>
        <v>0</v>
      </c>
      <c r="I3217" s="331" t="s">
        <v>15214</v>
      </c>
    </row>
    <row r="3218" spans="1:9" x14ac:dyDescent="0.25">
      <c r="A3218" s="319">
        <v>43004</v>
      </c>
      <c r="B3218" s="320" t="s">
        <v>31015</v>
      </c>
      <c r="C3218" s="321">
        <v>128977</v>
      </c>
      <c r="D3218" s="390" t="s">
        <v>15396</v>
      </c>
      <c r="E3218" s="322">
        <v>6187.9</v>
      </c>
      <c r="F3218" s="323">
        <v>43004</v>
      </c>
      <c r="G3218" s="322">
        <v>6187.9</v>
      </c>
      <c r="H3218" s="322">
        <f t="shared" si="46"/>
        <v>0</v>
      </c>
      <c r="I3218" s="325" t="s">
        <v>15214</v>
      </c>
    </row>
    <row r="3219" spans="1:9" x14ac:dyDescent="0.25">
      <c r="A3219" s="359">
        <v>43004</v>
      </c>
      <c r="B3219" s="326" t="s">
        <v>31016</v>
      </c>
      <c r="C3219" s="327">
        <v>128978</v>
      </c>
      <c r="D3219" s="391" t="s">
        <v>15699</v>
      </c>
      <c r="E3219" s="328">
        <v>32712.6</v>
      </c>
      <c r="F3219" s="329">
        <v>43005</v>
      </c>
      <c r="G3219" s="328">
        <v>32712.6</v>
      </c>
      <c r="H3219" s="347">
        <f t="shared" si="46"/>
        <v>0</v>
      </c>
      <c r="I3219" s="331" t="s">
        <v>15214</v>
      </c>
    </row>
    <row r="3220" spans="1:9" x14ac:dyDescent="0.25">
      <c r="A3220" s="319">
        <v>43004</v>
      </c>
      <c r="B3220" s="320" t="s">
        <v>31017</v>
      </c>
      <c r="C3220" s="321">
        <v>128979</v>
      </c>
      <c r="D3220" s="390" t="s">
        <v>15537</v>
      </c>
      <c r="E3220" s="322">
        <v>17053.400000000001</v>
      </c>
      <c r="F3220" s="323">
        <v>43005</v>
      </c>
      <c r="G3220" s="322">
        <v>17053.400000000001</v>
      </c>
      <c r="H3220" s="322">
        <f t="shared" si="46"/>
        <v>0</v>
      </c>
      <c r="I3220" s="325" t="s">
        <v>15214</v>
      </c>
    </row>
    <row r="3221" spans="1:9" x14ac:dyDescent="0.25">
      <c r="A3221" s="359">
        <v>43004</v>
      </c>
      <c r="B3221" s="326" t="s">
        <v>31018</v>
      </c>
      <c r="C3221" s="327">
        <v>128980</v>
      </c>
      <c r="D3221" s="391" t="s">
        <v>15555</v>
      </c>
      <c r="E3221" s="328">
        <v>2858.4</v>
      </c>
      <c r="F3221" s="329">
        <v>43005</v>
      </c>
      <c r="G3221" s="328">
        <v>2858.4</v>
      </c>
      <c r="H3221" s="347">
        <f t="shared" si="46"/>
        <v>0</v>
      </c>
      <c r="I3221" s="331" t="s">
        <v>15214</v>
      </c>
    </row>
    <row r="3222" spans="1:9" x14ac:dyDescent="0.25">
      <c r="A3222" s="319">
        <v>43004</v>
      </c>
      <c r="B3222" s="320" t="s">
        <v>31019</v>
      </c>
      <c r="C3222" s="321">
        <v>128981</v>
      </c>
      <c r="D3222" s="390" t="s">
        <v>15557</v>
      </c>
      <c r="E3222" s="322">
        <v>6294.4</v>
      </c>
      <c r="F3222" s="323">
        <v>43005</v>
      </c>
      <c r="G3222" s="322">
        <v>6294.4</v>
      </c>
      <c r="H3222" s="322">
        <f t="shared" si="46"/>
        <v>0</v>
      </c>
      <c r="I3222" s="325" t="s">
        <v>15214</v>
      </c>
    </row>
    <row r="3223" spans="1:9" x14ac:dyDescent="0.25">
      <c r="A3223" s="359">
        <v>43004</v>
      </c>
      <c r="B3223" s="326" t="s">
        <v>31020</v>
      </c>
      <c r="C3223" s="327">
        <v>128982</v>
      </c>
      <c r="D3223" s="391" t="s">
        <v>15444</v>
      </c>
      <c r="E3223" s="328">
        <v>2886.4</v>
      </c>
      <c r="F3223" s="329">
        <v>43004</v>
      </c>
      <c r="G3223" s="328">
        <v>2886.4</v>
      </c>
      <c r="H3223" s="347">
        <f t="shared" si="46"/>
        <v>0</v>
      </c>
      <c r="I3223" s="331" t="s">
        <v>15214</v>
      </c>
    </row>
    <row r="3224" spans="1:9" x14ac:dyDescent="0.25">
      <c r="A3224" s="319">
        <v>43004</v>
      </c>
      <c r="B3224" s="320" t="s">
        <v>31021</v>
      </c>
      <c r="C3224" s="321">
        <v>128983</v>
      </c>
      <c r="D3224" s="390" t="s">
        <v>15577</v>
      </c>
      <c r="E3224" s="322">
        <v>608</v>
      </c>
      <c r="F3224" s="323">
        <v>43004</v>
      </c>
      <c r="G3224" s="322">
        <v>608</v>
      </c>
      <c r="H3224" s="322">
        <f t="shared" si="46"/>
        <v>0</v>
      </c>
      <c r="I3224" s="325" t="s">
        <v>15214</v>
      </c>
    </row>
    <row r="3225" spans="1:9" x14ac:dyDescent="0.25">
      <c r="A3225" s="359">
        <v>43004</v>
      </c>
      <c r="B3225" s="326" t="s">
        <v>31022</v>
      </c>
      <c r="C3225" s="327">
        <v>128984</v>
      </c>
      <c r="D3225" s="391" t="s">
        <v>15361</v>
      </c>
      <c r="E3225" s="328">
        <v>11929.5</v>
      </c>
      <c r="F3225" s="329">
        <v>43004</v>
      </c>
      <c r="G3225" s="328">
        <v>11929.5</v>
      </c>
      <c r="H3225" s="347">
        <f t="shared" si="46"/>
        <v>0</v>
      </c>
      <c r="I3225" s="331" t="s">
        <v>15214</v>
      </c>
    </row>
    <row r="3226" spans="1:9" x14ac:dyDescent="0.25">
      <c r="A3226" s="319">
        <v>43004</v>
      </c>
      <c r="B3226" s="320" t="s">
        <v>31023</v>
      </c>
      <c r="C3226" s="321">
        <v>128985</v>
      </c>
      <c r="D3226" s="390" t="s">
        <v>15282</v>
      </c>
      <c r="E3226" s="322">
        <v>2005.6</v>
      </c>
      <c r="F3226" s="323">
        <v>43004</v>
      </c>
      <c r="G3226" s="322">
        <v>2005.6</v>
      </c>
      <c r="H3226" s="322">
        <f t="shared" si="46"/>
        <v>0</v>
      </c>
      <c r="I3226" s="325" t="s">
        <v>15214</v>
      </c>
    </row>
    <row r="3227" spans="1:9" x14ac:dyDescent="0.25">
      <c r="A3227" s="359">
        <v>43004</v>
      </c>
      <c r="B3227" s="326" t="s">
        <v>31024</v>
      </c>
      <c r="C3227" s="327">
        <v>128986</v>
      </c>
      <c r="D3227" s="391" t="s">
        <v>15387</v>
      </c>
      <c r="E3227" s="328">
        <v>1687.9</v>
      </c>
      <c r="F3227" s="329">
        <v>43004</v>
      </c>
      <c r="G3227" s="328">
        <v>1687.9</v>
      </c>
      <c r="H3227" s="347">
        <f t="shared" si="46"/>
        <v>0</v>
      </c>
      <c r="I3227" s="331" t="s">
        <v>15214</v>
      </c>
    </row>
    <row r="3228" spans="1:9" x14ac:dyDescent="0.25">
      <c r="A3228" s="319">
        <v>43004</v>
      </c>
      <c r="B3228" s="320" t="s">
        <v>31025</v>
      </c>
      <c r="C3228" s="321">
        <v>128987</v>
      </c>
      <c r="D3228" s="390" t="s">
        <v>15417</v>
      </c>
      <c r="E3228" s="322">
        <v>2200</v>
      </c>
      <c r="F3228" s="323">
        <v>43004</v>
      </c>
      <c r="G3228" s="322">
        <v>2200</v>
      </c>
      <c r="H3228" s="322">
        <f t="shared" si="46"/>
        <v>0</v>
      </c>
      <c r="I3228" s="325" t="s">
        <v>15214</v>
      </c>
    </row>
    <row r="3229" spans="1:9" x14ac:dyDescent="0.25">
      <c r="A3229" s="359">
        <v>43004</v>
      </c>
      <c r="B3229" s="326" t="s">
        <v>31026</v>
      </c>
      <c r="C3229" s="327">
        <v>128988</v>
      </c>
      <c r="D3229" s="391" t="s">
        <v>15276</v>
      </c>
      <c r="E3229" s="328">
        <v>1800</v>
      </c>
      <c r="F3229" s="329">
        <v>43004</v>
      </c>
      <c r="G3229" s="328">
        <v>1800</v>
      </c>
      <c r="H3229" s="347">
        <f t="shared" si="46"/>
        <v>0</v>
      </c>
      <c r="I3229" s="331" t="s">
        <v>15214</v>
      </c>
    </row>
    <row r="3230" spans="1:9" x14ac:dyDescent="0.25">
      <c r="A3230" s="319">
        <v>43004</v>
      </c>
      <c r="B3230" s="320" t="s">
        <v>31027</v>
      </c>
      <c r="C3230" s="321">
        <v>128989</v>
      </c>
      <c r="D3230" s="390" t="s">
        <v>15378</v>
      </c>
      <c r="E3230" s="322">
        <v>928</v>
      </c>
      <c r="F3230" s="323">
        <v>43004</v>
      </c>
      <c r="G3230" s="322">
        <v>928</v>
      </c>
      <c r="H3230" s="322">
        <f t="shared" si="46"/>
        <v>0</v>
      </c>
      <c r="I3230" s="325" t="s">
        <v>15214</v>
      </c>
    </row>
    <row r="3231" spans="1:9" x14ac:dyDescent="0.25">
      <c r="A3231" s="359">
        <v>43004</v>
      </c>
      <c r="B3231" s="326" t="s">
        <v>31028</v>
      </c>
      <c r="C3231" s="327">
        <v>128990</v>
      </c>
      <c r="D3231" s="391" t="s">
        <v>15391</v>
      </c>
      <c r="E3231" s="328">
        <v>6028.8</v>
      </c>
      <c r="F3231" s="329">
        <v>43005</v>
      </c>
      <c r="G3231" s="328">
        <v>6028.8</v>
      </c>
      <c r="H3231" s="347">
        <f t="shared" si="46"/>
        <v>0</v>
      </c>
      <c r="I3231" s="331" t="s">
        <v>15214</v>
      </c>
    </row>
    <row r="3232" spans="1:9" x14ac:dyDescent="0.25">
      <c r="A3232" s="319">
        <v>43004</v>
      </c>
      <c r="B3232" s="320" t="s">
        <v>31029</v>
      </c>
      <c r="C3232" s="321">
        <v>128991</v>
      </c>
      <c r="D3232" s="390" t="s">
        <v>15594</v>
      </c>
      <c r="E3232" s="322">
        <v>2515.1999999999998</v>
      </c>
      <c r="F3232" s="323">
        <v>43004</v>
      </c>
      <c r="G3232" s="322">
        <v>2515.1999999999998</v>
      </c>
      <c r="H3232" s="322">
        <f t="shared" si="46"/>
        <v>0</v>
      </c>
      <c r="I3232" s="325" t="s">
        <v>15214</v>
      </c>
    </row>
    <row r="3233" spans="1:9" ht="15.75" x14ac:dyDescent="0.25">
      <c r="A3233" s="359">
        <v>43004</v>
      </c>
      <c r="B3233" s="326" t="s">
        <v>31030</v>
      </c>
      <c r="C3233" s="327">
        <v>128992</v>
      </c>
      <c r="D3233" s="345" t="s">
        <v>95</v>
      </c>
      <c r="E3233" s="328">
        <v>0</v>
      </c>
      <c r="F3233" s="346" t="s">
        <v>95</v>
      </c>
      <c r="G3233" s="328">
        <v>0</v>
      </c>
      <c r="H3233" s="347">
        <f t="shared" si="46"/>
        <v>0</v>
      </c>
      <c r="I3233" s="331" t="s">
        <v>95</v>
      </c>
    </row>
    <row r="3234" spans="1:9" x14ac:dyDescent="0.25">
      <c r="A3234" s="319">
        <v>43004</v>
      </c>
      <c r="B3234" s="320" t="s">
        <v>31031</v>
      </c>
      <c r="C3234" s="321">
        <v>128993</v>
      </c>
      <c r="D3234" s="390" t="s">
        <v>15385</v>
      </c>
      <c r="E3234" s="322">
        <v>9700</v>
      </c>
      <c r="F3234" s="323">
        <v>43004</v>
      </c>
      <c r="G3234" s="322">
        <v>9700</v>
      </c>
      <c r="H3234" s="322">
        <f t="shared" si="46"/>
        <v>0</v>
      </c>
      <c r="I3234" s="325" t="s">
        <v>15214</v>
      </c>
    </row>
    <row r="3235" spans="1:9" x14ac:dyDescent="0.25">
      <c r="A3235" s="359">
        <v>43004</v>
      </c>
      <c r="B3235" s="326" t="s">
        <v>31032</v>
      </c>
      <c r="C3235" s="327">
        <v>128994</v>
      </c>
      <c r="D3235" s="391" t="s">
        <v>15782</v>
      </c>
      <c r="E3235" s="328">
        <v>1397.5</v>
      </c>
      <c r="F3235" s="329">
        <v>43004</v>
      </c>
      <c r="G3235" s="328">
        <v>1397.5</v>
      </c>
      <c r="H3235" s="347">
        <f t="shared" si="46"/>
        <v>0</v>
      </c>
      <c r="I3235" s="331" t="s">
        <v>15214</v>
      </c>
    </row>
    <row r="3236" spans="1:9" x14ac:dyDescent="0.25">
      <c r="A3236" s="319">
        <v>43004</v>
      </c>
      <c r="B3236" s="320" t="s">
        <v>31033</v>
      </c>
      <c r="C3236" s="321">
        <v>128995</v>
      </c>
      <c r="D3236" s="390" t="s">
        <v>15934</v>
      </c>
      <c r="E3236" s="322">
        <v>780.3</v>
      </c>
      <c r="F3236" s="323">
        <v>43004</v>
      </c>
      <c r="G3236" s="322">
        <v>780.3</v>
      </c>
      <c r="H3236" s="322">
        <f t="shared" si="46"/>
        <v>0</v>
      </c>
      <c r="I3236" s="325" t="s">
        <v>15214</v>
      </c>
    </row>
    <row r="3237" spans="1:9" x14ac:dyDescent="0.25">
      <c r="A3237" s="359">
        <v>43004</v>
      </c>
      <c r="B3237" s="326" t="s">
        <v>31034</v>
      </c>
      <c r="C3237" s="327">
        <v>128996</v>
      </c>
      <c r="D3237" s="391" t="s">
        <v>15296</v>
      </c>
      <c r="E3237" s="328">
        <v>56944</v>
      </c>
      <c r="F3237" s="329">
        <v>43014</v>
      </c>
      <c r="G3237" s="328">
        <v>56944</v>
      </c>
      <c r="H3237" s="347">
        <f t="shared" si="46"/>
        <v>0</v>
      </c>
      <c r="I3237" s="331" t="s">
        <v>15214</v>
      </c>
    </row>
    <row r="3238" spans="1:9" x14ac:dyDescent="0.25">
      <c r="A3238" s="319">
        <v>43004</v>
      </c>
      <c r="B3238" s="320" t="s">
        <v>31035</v>
      </c>
      <c r="C3238" s="321">
        <v>128997</v>
      </c>
      <c r="D3238" s="390" t="s">
        <v>30255</v>
      </c>
      <c r="E3238" s="322">
        <v>5546.8</v>
      </c>
      <c r="F3238" s="323">
        <v>43004</v>
      </c>
      <c r="G3238" s="322">
        <v>5546.8</v>
      </c>
      <c r="H3238" s="322">
        <f t="shared" si="46"/>
        <v>0</v>
      </c>
      <c r="I3238" s="325" t="s">
        <v>15214</v>
      </c>
    </row>
    <row r="3239" spans="1:9" x14ac:dyDescent="0.25">
      <c r="A3239" s="359">
        <v>43004</v>
      </c>
      <c r="B3239" s="326" t="s">
        <v>31036</v>
      </c>
      <c r="C3239" s="327">
        <v>128998</v>
      </c>
      <c r="D3239" s="391" t="s">
        <v>15315</v>
      </c>
      <c r="E3239" s="328">
        <v>1990.3</v>
      </c>
      <c r="F3239" s="329">
        <v>43004</v>
      </c>
      <c r="G3239" s="328">
        <v>1990.3</v>
      </c>
      <c r="H3239" s="347">
        <f t="shared" si="46"/>
        <v>0</v>
      </c>
      <c r="I3239" s="331" t="s">
        <v>15214</v>
      </c>
    </row>
    <row r="3240" spans="1:9" x14ac:dyDescent="0.25">
      <c r="A3240" s="319">
        <v>43004</v>
      </c>
      <c r="B3240" s="320" t="s">
        <v>31037</v>
      </c>
      <c r="C3240" s="321">
        <v>128999</v>
      </c>
      <c r="D3240" s="390" t="s">
        <v>15284</v>
      </c>
      <c r="E3240" s="322">
        <v>1225.5</v>
      </c>
      <c r="F3240" s="323">
        <v>43004</v>
      </c>
      <c r="G3240" s="322">
        <v>1225.5</v>
      </c>
      <c r="H3240" s="322">
        <f t="shared" si="46"/>
        <v>0</v>
      </c>
      <c r="I3240" s="325" t="s">
        <v>15214</v>
      </c>
    </row>
    <row r="3241" spans="1:9" x14ac:dyDescent="0.25">
      <c r="A3241" s="359">
        <v>43004</v>
      </c>
      <c r="B3241" s="326" t="s">
        <v>31038</v>
      </c>
      <c r="C3241" s="327">
        <v>129000</v>
      </c>
      <c r="D3241" s="391" t="s">
        <v>15617</v>
      </c>
      <c r="E3241" s="328">
        <v>43547.199999999997</v>
      </c>
      <c r="F3241" s="329">
        <v>43004</v>
      </c>
      <c r="G3241" s="328">
        <v>43547.199999999997</v>
      </c>
      <c r="H3241" s="347">
        <f t="shared" si="46"/>
        <v>0</v>
      </c>
      <c r="I3241" s="331" t="s">
        <v>15214</v>
      </c>
    </row>
    <row r="3242" spans="1:9" x14ac:dyDescent="0.25">
      <c r="A3242" s="319">
        <v>43004</v>
      </c>
      <c r="B3242" s="320" t="s">
        <v>31039</v>
      </c>
      <c r="C3242" s="321">
        <v>129001</v>
      </c>
      <c r="D3242" s="390" t="s">
        <v>15442</v>
      </c>
      <c r="E3242" s="322">
        <v>19891.2</v>
      </c>
      <c r="F3242" s="323">
        <v>43011</v>
      </c>
      <c r="G3242" s="322">
        <v>19891.2</v>
      </c>
      <c r="H3242" s="322">
        <f t="shared" si="46"/>
        <v>0</v>
      </c>
      <c r="I3242" s="325" t="s">
        <v>15214</v>
      </c>
    </row>
    <row r="3243" spans="1:9" ht="15.75" x14ac:dyDescent="0.25">
      <c r="A3243" s="359">
        <v>43004</v>
      </c>
      <c r="B3243" s="326" t="s">
        <v>31040</v>
      </c>
      <c r="C3243" s="327">
        <v>129002</v>
      </c>
      <c r="D3243" s="345" t="s">
        <v>95</v>
      </c>
      <c r="E3243" s="328">
        <v>0</v>
      </c>
      <c r="F3243" s="346" t="s">
        <v>95</v>
      </c>
      <c r="G3243" s="328">
        <v>0</v>
      </c>
      <c r="H3243" s="347">
        <f t="shared" si="46"/>
        <v>0</v>
      </c>
      <c r="I3243" s="331" t="s">
        <v>95</v>
      </c>
    </row>
    <row r="3244" spans="1:9" x14ac:dyDescent="0.25">
      <c r="A3244" s="319">
        <v>43004</v>
      </c>
      <c r="B3244" s="320" t="s">
        <v>31041</v>
      </c>
      <c r="C3244" s="321">
        <v>129003</v>
      </c>
      <c r="D3244" s="390" t="s">
        <v>15541</v>
      </c>
      <c r="E3244" s="322">
        <v>1276</v>
      </c>
      <c r="F3244" s="323">
        <v>43004</v>
      </c>
      <c r="G3244" s="322">
        <v>1276</v>
      </c>
      <c r="H3244" s="322">
        <f t="shared" si="46"/>
        <v>0</v>
      </c>
      <c r="I3244" s="325" t="s">
        <v>15214</v>
      </c>
    </row>
    <row r="3245" spans="1:9" ht="15.75" x14ac:dyDescent="0.25">
      <c r="A3245" s="359">
        <v>43004</v>
      </c>
      <c r="B3245" s="326" t="s">
        <v>31042</v>
      </c>
      <c r="C3245" s="327">
        <v>129004</v>
      </c>
      <c r="D3245" s="345" t="s">
        <v>95</v>
      </c>
      <c r="E3245" s="328">
        <v>0</v>
      </c>
      <c r="F3245" s="346" t="s">
        <v>95</v>
      </c>
      <c r="G3245" s="328">
        <v>0</v>
      </c>
      <c r="H3245" s="347">
        <f t="shared" si="46"/>
        <v>0</v>
      </c>
      <c r="I3245" s="331" t="s">
        <v>95</v>
      </c>
    </row>
    <row r="3246" spans="1:9" x14ac:dyDescent="0.25">
      <c r="A3246" s="319">
        <v>43004</v>
      </c>
      <c r="B3246" s="320" t="s">
        <v>31043</v>
      </c>
      <c r="C3246" s="321">
        <v>129005</v>
      </c>
      <c r="D3246" s="390" t="s">
        <v>15632</v>
      </c>
      <c r="E3246" s="322">
        <v>18283.8</v>
      </c>
      <c r="F3246" s="323">
        <v>43004</v>
      </c>
      <c r="G3246" s="322">
        <v>18283.8</v>
      </c>
      <c r="H3246" s="322">
        <f t="shared" si="46"/>
        <v>0</v>
      </c>
      <c r="I3246" s="325" t="s">
        <v>15214</v>
      </c>
    </row>
    <row r="3247" spans="1:9" x14ac:dyDescent="0.25">
      <c r="A3247" s="359">
        <v>43004</v>
      </c>
      <c r="B3247" s="326" t="s">
        <v>31044</v>
      </c>
      <c r="C3247" s="327">
        <v>129006</v>
      </c>
      <c r="D3247" s="391" t="s">
        <v>15246</v>
      </c>
      <c r="E3247" s="328">
        <v>107482.8</v>
      </c>
      <c r="F3247" s="329">
        <v>43008</v>
      </c>
      <c r="G3247" s="328">
        <v>107482.8</v>
      </c>
      <c r="H3247" s="347">
        <f t="shared" si="46"/>
        <v>0</v>
      </c>
      <c r="I3247" s="331" t="s">
        <v>15214</v>
      </c>
    </row>
    <row r="3248" spans="1:9" x14ac:dyDescent="0.25">
      <c r="A3248" s="319">
        <v>43004</v>
      </c>
      <c r="B3248" s="320" t="s">
        <v>31045</v>
      </c>
      <c r="C3248" s="321">
        <v>129007</v>
      </c>
      <c r="D3248" s="390" t="s">
        <v>15246</v>
      </c>
      <c r="E3248" s="322">
        <v>178719.92</v>
      </c>
      <c r="F3248" s="323">
        <v>43008</v>
      </c>
      <c r="G3248" s="322">
        <v>178719.92</v>
      </c>
      <c r="H3248" s="322">
        <f t="shared" si="46"/>
        <v>0</v>
      </c>
      <c r="I3248" s="325" t="s">
        <v>15214</v>
      </c>
    </row>
    <row r="3249" spans="1:9" x14ac:dyDescent="0.25">
      <c r="A3249" s="359">
        <v>43004</v>
      </c>
      <c r="B3249" s="326" t="s">
        <v>31046</v>
      </c>
      <c r="C3249" s="327">
        <v>129008</v>
      </c>
      <c r="D3249" s="391" t="s">
        <v>15409</v>
      </c>
      <c r="E3249" s="328">
        <v>12810</v>
      </c>
      <c r="F3249" s="329">
        <v>43004</v>
      </c>
      <c r="G3249" s="328">
        <v>12810</v>
      </c>
      <c r="H3249" s="347">
        <f t="shared" ref="H3249:H3312" si="47">E3249-G3249</f>
        <v>0</v>
      </c>
      <c r="I3249" s="331" t="s">
        <v>15214</v>
      </c>
    </row>
    <row r="3250" spans="1:9" x14ac:dyDescent="0.25">
      <c r="A3250" s="319">
        <v>43004</v>
      </c>
      <c r="B3250" s="320" t="s">
        <v>31047</v>
      </c>
      <c r="C3250" s="321">
        <v>129009</v>
      </c>
      <c r="D3250" s="390" t="s">
        <v>15315</v>
      </c>
      <c r="E3250" s="322">
        <v>1265.4000000000001</v>
      </c>
      <c r="F3250" s="323">
        <v>43004</v>
      </c>
      <c r="G3250" s="322">
        <v>1265.4000000000001</v>
      </c>
      <c r="H3250" s="322">
        <f t="shared" si="47"/>
        <v>0</v>
      </c>
      <c r="I3250" s="325" t="s">
        <v>15214</v>
      </c>
    </row>
    <row r="3251" spans="1:9" x14ac:dyDescent="0.25">
      <c r="A3251" s="359">
        <v>43004</v>
      </c>
      <c r="B3251" s="326" t="s">
        <v>31048</v>
      </c>
      <c r="C3251" s="327">
        <v>129010</v>
      </c>
      <c r="D3251" s="391" t="s">
        <v>15433</v>
      </c>
      <c r="E3251" s="328">
        <v>715.8</v>
      </c>
      <c r="F3251" s="329">
        <v>43004</v>
      </c>
      <c r="G3251" s="328">
        <v>715.8</v>
      </c>
      <c r="H3251" s="347">
        <f t="shared" si="47"/>
        <v>0</v>
      </c>
      <c r="I3251" s="331" t="s">
        <v>15214</v>
      </c>
    </row>
    <row r="3252" spans="1:9" x14ac:dyDescent="0.25">
      <c r="A3252" s="319">
        <v>43004</v>
      </c>
      <c r="B3252" s="320" t="s">
        <v>31049</v>
      </c>
      <c r="C3252" s="321">
        <v>129011</v>
      </c>
      <c r="D3252" s="390" t="s">
        <v>15628</v>
      </c>
      <c r="E3252" s="322">
        <v>7994.8</v>
      </c>
      <c r="F3252" s="323">
        <v>43010</v>
      </c>
      <c r="G3252" s="322">
        <v>7994.8</v>
      </c>
      <c r="H3252" s="322">
        <f t="shared" si="47"/>
        <v>0</v>
      </c>
      <c r="I3252" s="325" t="s">
        <v>15214</v>
      </c>
    </row>
    <row r="3253" spans="1:9" x14ac:dyDescent="0.25">
      <c r="A3253" s="359">
        <v>43004</v>
      </c>
      <c r="B3253" s="326" t="s">
        <v>31050</v>
      </c>
      <c r="C3253" s="327">
        <v>129012</v>
      </c>
      <c r="D3253" s="391" t="s">
        <v>19680</v>
      </c>
      <c r="E3253" s="328">
        <v>256</v>
      </c>
      <c r="F3253" s="329">
        <v>43004</v>
      </c>
      <c r="G3253" s="328">
        <v>256</v>
      </c>
      <c r="H3253" s="347">
        <f t="shared" si="47"/>
        <v>0</v>
      </c>
      <c r="I3253" s="331" t="s">
        <v>15214</v>
      </c>
    </row>
    <row r="3254" spans="1:9" x14ac:dyDescent="0.25">
      <c r="A3254" s="319">
        <v>43004</v>
      </c>
      <c r="B3254" s="320" t="s">
        <v>31051</v>
      </c>
      <c r="C3254" s="321">
        <v>129013</v>
      </c>
      <c r="D3254" s="390" t="s">
        <v>15284</v>
      </c>
      <c r="E3254" s="322">
        <v>1160.0999999999999</v>
      </c>
      <c r="F3254" s="323">
        <v>43004</v>
      </c>
      <c r="G3254" s="322">
        <v>1160.0999999999999</v>
      </c>
      <c r="H3254" s="322">
        <f t="shared" si="47"/>
        <v>0</v>
      </c>
      <c r="I3254" s="325" t="s">
        <v>15214</v>
      </c>
    </row>
    <row r="3255" spans="1:9" x14ac:dyDescent="0.25">
      <c r="A3255" s="359">
        <v>43004</v>
      </c>
      <c r="B3255" s="326" t="s">
        <v>31052</v>
      </c>
      <c r="C3255" s="327">
        <v>129014</v>
      </c>
      <c r="D3255" s="391" t="s">
        <v>15365</v>
      </c>
      <c r="E3255" s="328">
        <v>236880</v>
      </c>
      <c r="F3255" s="329">
        <v>43007</v>
      </c>
      <c r="G3255" s="328">
        <v>236880</v>
      </c>
      <c r="H3255" s="347">
        <f t="shared" si="47"/>
        <v>0</v>
      </c>
      <c r="I3255" s="331" t="s">
        <v>15214</v>
      </c>
    </row>
    <row r="3256" spans="1:9" x14ac:dyDescent="0.25">
      <c r="A3256" s="319">
        <v>43004</v>
      </c>
      <c r="B3256" s="320" t="s">
        <v>31053</v>
      </c>
      <c r="C3256" s="321">
        <v>129015</v>
      </c>
      <c r="D3256" s="390" t="s">
        <v>15642</v>
      </c>
      <c r="E3256" s="322">
        <v>2169.3000000000002</v>
      </c>
      <c r="F3256" s="323">
        <v>43004</v>
      </c>
      <c r="G3256" s="322">
        <v>2169.3000000000002</v>
      </c>
      <c r="H3256" s="322">
        <f t="shared" si="47"/>
        <v>0</v>
      </c>
      <c r="I3256" s="325" t="s">
        <v>15214</v>
      </c>
    </row>
    <row r="3257" spans="1:9" x14ac:dyDescent="0.25">
      <c r="A3257" s="359">
        <v>43004</v>
      </c>
      <c r="B3257" s="326" t="s">
        <v>31054</v>
      </c>
      <c r="C3257" s="327">
        <v>129016</v>
      </c>
      <c r="D3257" s="391" t="s">
        <v>5757</v>
      </c>
      <c r="E3257" s="328">
        <v>2634</v>
      </c>
      <c r="F3257" s="329">
        <v>43004</v>
      </c>
      <c r="G3257" s="328">
        <v>2634</v>
      </c>
      <c r="H3257" s="347">
        <f t="shared" si="47"/>
        <v>0</v>
      </c>
      <c r="I3257" s="331" t="s">
        <v>15214</v>
      </c>
    </row>
    <row r="3258" spans="1:9" x14ac:dyDescent="0.25">
      <c r="A3258" s="319">
        <v>43005</v>
      </c>
      <c r="B3258" s="320" t="s">
        <v>31055</v>
      </c>
      <c r="C3258" s="321">
        <v>129017</v>
      </c>
      <c r="D3258" s="390" t="s">
        <v>21386</v>
      </c>
      <c r="E3258" s="322">
        <v>9036.4</v>
      </c>
      <c r="F3258" s="323">
        <v>43006</v>
      </c>
      <c r="G3258" s="322">
        <v>9036.4</v>
      </c>
      <c r="H3258" s="322">
        <f t="shared" si="47"/>
        <v>0</v>
      </c>
      <c r="I3258" s="325" t="s">
        <v>15214</v>
      </c>
    </row>
    <row r="3259" spans="1:9" x14ac:dyDescent="0.25">
      <c r="A3259" s="359">
        <v>43005</v>
      </c>
      <c r="B3259" s="326" t="s">
        <v>31056</v>
      </c>
      <c r="C3259" s="327">
        <v>129018</v>
      </c>
      <c r="D3259" s="391" t="s">
        <v>15213</v>
      </c>
      <c r="E3259" s="328">
        <v>49572.9</v>
      </c>
      <c r="F3259" s="329">
        <v>43006</v>
      </c>
      <c r="G3259" s="328">
        <v>49572.9</v>
      </c>
      <c r="H3259" s="347">
        <f t="shared" si="47"/>
        <v>0</v>
      </c>
      <c r="I3259" s="331" t="s">
        <v>15214</v>
      </c>
    </row>
    <row r="3260" spans="1:9" x14ac:dyDescent="0.25">
      <c r="A3260" s="319">
        <v>43005</v>
      </c>
      <c r="B3260" s="320" t="s">
        <v>31057</v>
      </c>
      <c r="C3260" s="321">
        <v>129019</v>
      </c>
      <c r="D3260" s="390" t="s">
        <v>15365</v>
      </c>
      <c r="E3260" s="322">
        <v>15127.5</v>
      </c>
      <c r="F3260" s="323">
        <v>43012</v>
      </c>
      <c r="G3260" s="322">
        <v>15127.5</v>
      </c>
      <c r="H3260" s="322">
        <f t="shared" si="47"/>
        <v>0</v>
      </c>
      <c r="I3260" s="325" t="s">
        <v>15214</v>
      </c>
    </row>
    <row r="3261" spans="1:9" x14ac:dyDescent="0.25">
      <c r="A3261" s="359">
        <v>43005</v>
      </c>
      <c r="B3261" s="326" t="s">
        <v>31058</v>
      </c>
      <c r="C3261" s="327">
        <v>129020</v>
      </c>
      <c r="D3261" s="391" t="s">
        <v>15216</v>
      </c>
      <c r="E3261" s="328">
        <v>1293.5999999999999</v>
      </c>
      <c r="F3261" s="329">
        <v>43005</v>
      </c>
      <c r="G3261" s="328">
        <v>1293.5999999999999</v>
      </c>
      <c r="H3261" s="347">
        <f t="shared" si="47"/>
        <v>0</v>
      </c>
      <c r="I3261" s="331" t="s">
        <v>15214</v>
      </c>
    </row>
    <row r="3262" spans="1:9" x14ac:dyDescent="0.25">
      <c r="A3262" s="319">
        <v>43005</v>
      </c>
      <c r="B3262" s="320" t="s">
        <v>31059</v>
      </c>
      <c r="C3262" s="321">
        <v>129021</v>
      </c>
      <c r="D3262" s="390" t="s">
        <v>15272</v>
      </c>
      <c r="E3262" s="322">
        <v>19509.599999999999</v>
      </c>
      <c r="F3262" s="323">
        <v>43005</v>
      </c>
      <c r="G3262" s="322">
        <v>19509.599999999999</v>
      </c>
      <c r="H3262" s="322">
        <f t="shared" si="47"/>
        <v>0</v>
      </c>
      <c r="I3262" s="325" t="s">
        <v>15214</v>
      </c>
    </row>
    <row r="3263" spans="1:9" x14ac:dyDescent="0.25">
      <c r="A3263" s="359">
        <v>43005</v>
      </c>
      <c r="B3263" s="326" t="s">
        <v>31060</v>
      </c>
      <c r="C3263" s="327">
        <v>129022</v>
      </c>
      <c r="D3263" s="391" t="s">
        <v>15230</v>
      </c>
      <c r="E3263" s="328">
        <v>9297.6</v>
      </c>
      <c r="F3263" s="329">
        <v>43007</v>
      </c>
      <c r="G3263" s="328">
        <v>9297.6</v>
      </c>
      <c r="H3263" s="347">
        <f t="shared" si="47"/>
        <v>0</v>
      </c>
      <c r="I3263" s="331" t="s">
        <v>15214</v>
      </c>
    </row>
    <row r="3264" spans="1:9" x14ac:dyDescent="0.25">
      <c r="A3264" s="319">
        <v>43005</v>
      </c>
      <c r="B3264" s="320" t="s">
        <v>31061</v>
      </c>
      <c r="C3264" s="321">
        <v>129023</v>
      </c>
      <c r="D3264" s="390" t="s">
        <v>15232</v>
      </c>
      <c r="E3264" s="322">
        <v>6466.2</v>
      </c>
      <c r="F3264" s="323">
        <v>43013</v>
      </c>
      <c r="G3264" s="322">
        <v>6466.2</v>
      </c>
      <c r="H3264" s="322">
        <f t="shared" si="47"/>
        <v>0</v>
      </c>
      <c r="I3264" s="325" t="s">
        <v>15214</v>
      </c>
    </row>
    <row r="3265" spans="1:9" x14ac:dyDescent="0.25">
      <c r="A3265" s="359">
        <v>43005</v>
      </c>
      <c r="B3265" s="326" t="s">
        <v>31062</v>
      </c>
      <c r="C3265" s="327">
        <v>129024</v>
      </c>
      <c r="D3265" s="391" t="s">
        <v>15352</v>
      </c>
      <c r="E3265" s="328">
        <v>755.4</v>
      </c>
      <c r="F3265" s="329">
        <v>43005</v>
      </c>
      <c r="G3265" s="328">
        <v>755.4</v>
      </c>
      <c r="H3265" s="347">
        <f t="shared" si="47"/>
        <v>0</v>
      </c>
      <c r="I3265" s="331" t="s">
        <v>15214</v>
      </c>
    </row>
    <row r="3266" spans="1:9" x14ac:dyDescent="0.25">
      <c r="A3266" s="319">
        <v>43005</v>
      </c>
      <c r="B3266" s="320" t="s">
        <v>31063</v>
      </c>
      <c r="C3266" s="321">
        <v>129025</v>
      </c>
      <c r="D3266" s="390" t="s">
        <v>15246</v>
      </c>
      <c r="E3266" s="322">
        <v>110965.7</v>
      </c>
      <c r="F3266" s="323">
        <v>43008</v>
      </c>
      <c r="G3266" s="322">
        <v>110965.7</v>
      </c>
      <c r="H3266" s="322">
        <f t="shared" si="47"/>
        <v>0</v>
      </c>
      <c r="I3266" s="325" t="s">
        <v>15214</v>
      </c>
    </row>
    <row r="3267" spans="1:9" ht="30" x14ac:dyDescent="0.25">
      <c r="A3267" s="359">
        <v>43005</v>
      </c>
      <c r="B3267" s="326" t="s">
        <v>31064</v>
      </c>
      <c r="C3267" s="327">
        <v>129026</v>
      </c>
      <c r="D3267" s="391" t="s">
        <v>15250</v>
      </c>
      <c r="E3267" s="328">
        <v>66337.119999999995</v>
      </c>
      <c r="F3267" s="329" t="s">
        <v>31623</v>
      </c>
      <c r="G3267" s="347">
        <f>64179.38+2157.74</f>
        <v>66337.119999999995</v>
      </c>
      <c r="H3267" s="347">
        <f t="shared" si="47"/>
        <v>0</v>
      </c>
      <c r="I3267" s="331" t="s">
        <v>15214</v>
      </c>
    </row>
    <row r="3268" spans="1:9" x14ac:dyDescent="0.25">
      <c r="A3268" s="319">
        <v>43005</v>
      </c>
      <c r="B3268" s="320" t="s">
        <v>31065</v>
      </c>
      <c r="C3268" s="321">
        <v>129027</v>
      </c>
      <c r="D3268" s="390" t="s">
        <v>15263</v>
      </c>
      <c r="E3268" s="322">
        <v>2560.1999999999998</v>
      </c>
      <c r="F3268" s="323">
        <v>43005</v>
      </c>
      <c r="G3268" s="322">
        <v>2560.1999999999998</v>
      </c>
      <c r="H3268" s="322">
        <f t="shared" si="47"/>
        <v>0</v>
      </c>
      <c r="I3268" s="325" t="s">
        <v>15214</v>
      </c>
    </row>
    <row r="3269" spans="1:9" x14ac:dyDescent="0.25">
      <c r="A3269" s="359">
        <v>43005</v>
      </c>
      <c r="B3269" s="326" t="s">
        <v>31066</v>
      </c>
      <c r="C3269" s="327">
        <v>129028</v>
      </c>
      <c r="D3269" s="391" t="s">
        <v>17462</v>
      </c>
      <c r="E3269" s="328">
        <v>5360.6</v>
      </c>
      <c r="F3269" s="329">
        <v>43005</v>
      </c>
      <c r="G3269" s="328">
        <v>5360.6</v>
      </c>
      <c r="H3269" s="347">
        <f t="shared" si="47"/>
        <v>0</v>
      </c>
      <c r="I3269" s="331" t="s">
        <v>15214</v>
      </c>
    </row>
    <row r="3270" spans="1:9" x14ac:dyDescent="0.25">
      <c r="A3270" s="319">
        <v>43005</v>
      </c>
      <c r="B3270" s="320" t="s">
        <v>31067</v>
      </c>
      <c r="C3270" s="321">
        <v>129029</v>
      </c>
      <c r="D3270" s="390" t="s">
        <v>15284</v>
      </c>
      <c r="E3270" s="322">
        <v>730.2</v>
      </c>
      <c r="F3270" s="323">
        <v>43005</v>
      </c>
      <c r="G3270" s="322">
        <v>730.2</v>
      </c>
      <c r="H3270" s="322">
        <f t="shared" si="47"/>
        <v>0</v>
      </c>
      <c r="I3270" s="325" t="s">
        <v>15214</v>
      </c>
    </row>
    <row r="3271" spans="1:9" x14ac:dyDescent="0.25">
      <c r="A3271" s="359">
        <v>43005</v>
      </c>
      <c r="B3271" s="326" t="s">
        <v>31068</v>
      </c>
      <c r="C3271" s="327">
        <v>129030</v>
      </c>
      <c r="D3271" s="391" t="s">
        <v>15628</v>
      </c>
      <c r="E3271" s="328">
        <v>5649.4</v>
      </c>
      <c r="F3271" s="329">
        <v>43010</v>
      </c>
      <c r="G3271" s="328">
        <v>5649.4</v>
      </c>
      <c r="H3271" s="347">
        <f t="shared" si="47"/>
        <v>0</v>
      </c>
      <c r="I3271" s="331" t="s">
        <v>15214</v>
      </c>
    </row>
    <row r="3272" spans="1:9" x14ac:dyDescent="0.25">
      <c r="A3272" s="319">
        <v>43005</v>
      </c>
      <c r="B3272" s="320" t="s">
        <v>31069</v>
      </c>
      <c r="C3272" s="321">
        <v>129031</v>
      </c>
      <c r="D3272" s="390" t="s">
        <v>19302</v>
      </c>
      <c r="E3272" s="322">
        <v>675</v>
      </c>
      <c r="F3272" s="323">
        <v>43005</v>
      </c>
      <c r="G3272" s="322">
        <v>675</v>
      </c>
      <c r="H3272" s="322">
        <f t="shared" si="47"/>
        <v>0</v>
      </c>
      <c r="I3272" s="325" t="s">
        <v>15214</v>
      </c>
    </row>
    <row r="3273" spans="1:9" x14ac:dyDescent="0.25">
      <c r="A3273" s="359">
        <v>43005</v>
      </c>
      <c r="B3273" s="326" t="s">
        <v>31070</v>
      </c>
      <c r="C3273" s="327">
        <v>129032</v>
      </c>
      <c r="D3273" s="391" t="s">
        <v>15220</v>
      </c>
      <c r="E3273" s="328">
        <v>2250</v>
      </c>
      <c r="F3273" s="329">
        <v>43005</v>
      </c>
      <c r="G3273" s="328">
        <v>2250</v>
      </c>
      <c r="H3273" s="347">
        <f t="shared" si="47"/>
        <v>0</v>
      </c>
      <c r="I3273" s="331" t="s">
        <v>15214</v>
      </c>
    </row>
    <row r="3274" spans="1:9" x14ac:dyDescent="0.25">
      <c r="A3274" s="319">
        <v>43005</v>
      </c>
      <c r="B3274" s="320" t="s">
        <v>31071</v>
      </c>
      <c r="C3274" s="321">
        <v>129033</v>
      </c>
      <c r="D3274" s="390" t="s">
        <v>15324</v>
      </c>
      <c r="E3274" s="322">
        <v>1095</v>
      </c>
      <c r="F3274" s="323">
        <v>43005</v>
      </c>
      <c r="G3274" s="322">
        <v>1095</v>
      </c>
      <c r="H3274" s="322">
        <f t="shared" si="47"/>
        <v>0</v>
      </c>
      <c r="I3274" s="325" t="s">
        <v>15214</v>
      </c>
    </row>
    <row r="3275" spans="1:9" x14ac:dyDescent="0.25">
      <c r="A3275" s="359">
        <v>43005</v>
      </c>
      <c r="B3275" s="326" t="s">
        <v>31072</v>
      </c>
      <c r="C3275" s="327">
        <v>129034</v>
      </c>
      <c r="D3275" s="391" t="s">
        <v>15242</v>
      </c>
      <c r="E3275" s="328">
        <v>4720.8</v>
      </c>
      <c r="F3275" s="329">
        <v>43005</v>
      </c>
      <c r="G3275" s="328">
        <v>4720.8</v>
      </c>
      <c r="H3275" s="347">
        <f t="shared" si="47"/>
        <v>0</v>
      </c>
      <c r="I3275" s="331" t="s">
        <v>15214</v>
      </c>
    </row>
    <row r="3276" spans="1:9" x14ac:dyDescent="0.25">
      <c r="A3276" s="319">
        <v>43005</v>
      </c>
      <c r="B3276" s="320" t="s">
        <v>31073</v>
      </c>
      <c r="C3276" s="321">
        <v>129035</v>
      </c>
      <c r="D3276" s="390" t="s">
        <v>15338</v>
      </c>
      <c r="E3276" s="322">
        <v>10686.8</v>
      </c>
      <c r="F3276" s="323">
        <v>43010</v>
      </c>
      <c r="G3276" s="322">
        <v>10686.8</v>
      </c>
      <c r="H3276" s="322">
        <f t="shared" si="47"/>
        <v>0</v>
      </c>
      <c r="I3276" s="325" t="s">
        <v>15214</v>
      </c>
    </row>
    <row r="3277" spans="1:9" x14ac:dyDescent="0.25">
      <c r="A3277" s="359">
        <v>43005</v>
      </c>
      <c r="B3277" s="326" t="s">
        <v>31074</v>
      </c>
      <c r="C3277" s="327">
        <v>129036</v>
      </c>
      <c r="D3277" s="391" t="s">
        <v>15356</v>
      </c>
      <c r="E3277" s="328">
        <v>870</v>
      </c>
      <c r="F3277" s="329">
        <v>43005</v>
      </c>
      <c r="G3277" s="328">
        <v>870</v>
      </c>
      <c r="H3277" s="347">
        <f t="shared" si="47"/>
        <v>0</v>
      </c>
      <c r="I3277" s="331" t="s">
        <v>15214</v>
      </c>
    </row>
    <row r="3278" spans="1:9" x14ac:dyDescent="0.25">
      <c r="A3278" s="319">
        <v>43005</v>
      </c>
      <c r="B3278" s="320" t="s">
        <v>31075</v>
      </c>
      <c r="C3278" s="321">
        <v>129037</v>
      </c>
      <c r="D3278" s="390" t="s">
        <v>15274</v>
      </c>
      <c r="E3278" s="322">
        <v>2250</v>
      </c>
      <c r="F3278" s="323">
        <v>43005</v>
      </c>
      <c r="G3278" s="322">
        <v>2250</v>
      </c>
      <c r="H3278" s="322">
        <f t="shared" si="47"/>
        <v>0</v>
      </c>
      <c r="I3278" s="325" t="s">
        <v>15214</v>
      </c>
    </row>
    <row r="3279" spans="1:9" x14ac:dyDescent="0.25">
      <c r="A3279" s="359">
        <v>43005</v>
      </c>
      <c r="B3279" s="326" t="s">
        <v>31076</v>
      </c>
      <c r="C3279" s="327">
        <v>129038</v>
      </c>
      <c r="D3279" s="391" t="s">
        <v>15348</v>
      </c>
      <c r="E3279" s="328">
        <v>3031.5</v>
      </c>
      <c r="F3279" s="329">
        <v>43007</v>
      </c>
      <c r="G3279" s="328">
        <v>3031.5</v>
      </c>
      <c r="H3279" s="347">
        <f t="shared" si="47"/>
        <v>0</v>
      </c>
      <c r="I3279" s="331" t="s">
        <v>15214</v>
      </c>
    </row>
    <row r="3280" spans="1:9" x14ac:dyDescent="0.25">
      <c r="A3280" s="319">
        <v>43005</v>
      </c>
      <c r="B3280" s="320" t="s">
        <v>31077</v>
      </c>
      <c r="C3280" s="321">
        <v>129039</v>
      </c>
      <c r="D3280" s="390" t="s">
        <v>15371</v>
      </c>
      <c r="E3280" s="322">
        <v>5434</v>
      </c>
      <c r="F3280" s="323">
        <v>43006</v>
      </c>
      <c r="G3280" s="322">
        <v>5434</v>
      </c>
      <c r="H3280" s="322">
        <f t="shared" si="47"/>
        <v>0</v>
      </c>
      <c r="I3280" s="325" t="s">
        <v>15214</v>
      </c>
    </row>
    <row r="3281" spans="1:9" x14ac:dyDescent="0.25">
      <c r="A3281" s="359">
        <v>43005</v>
      </c>
      <c r="B3281" s="326" t="s">
        <v>31078</v>
      </c>
      <c r="C3281" s="327">
        <v>129040</v>
      </c>
      <c r="D3281" s="391" t="s">
        <v>15332</v>
      </c>
      <c r="E3281" s="328">
        <v>2375</v>
      </c>
      <c r="F3281" s="329">
        <v>43005</v>
      </c>
      <c r="G3281" s="328">
        <v>2375</v>
      </c>
      <c r="H3281" s="347">
        <f t="shared" si="47"/>
        <v>0</v>
      </c>
      <c r="I3281" s="331" t="s">
        <v>15214</v>
      </c>
    </row>
    <row r="3282" spans="1:9" x14ac:dyDescent="0.25">
      <c r="A3282" s="319">
        <v>43005</v>
      </c>
      <c r="B3282" s="320" t="s">
        <v>31079</v>
      </c>
      <c r="C3282" s="321">
        <v>129041</v>
      </c>
      <c r="D3282" s="390" t="s">
        <v>15236</v>
      </c>
      <c r="E3282" s="322">
        <v>4934.6000000000004</v>
      </c>
      <c r="F3282" s="323">
        <v>43007</v>
      </c>
      <c r="G3282" s="322">
        <v>4934.6000000000004</v>
      </c>
      <c r="H3282" s="322">
        <f t="shared" si="47"/>
        <v>0</v>
      </c>
      <c r="I3282" s="325" t="s">
        <v>15214</v>
      </c>
    </row>
    <row r="3283" spans="1:9" x14ac:dyDescent="0.25">
      <c r="A3283" s="359">
        <v>43005</v>
      </c>
      <c r="B3283" s="326" t="s">
        <v>31080</v>
      </c>
      <c r="C3283" s="327">
        <v>129042</v>
      </c>
      <c r="D3283" s="391" t="s">
        <v>15480</v>
      </c>
      <c r="E3283" s="328">
        <v>3435.2</v>
      </c>
      <c r="F3283" s="329">
        <v>43007</v>
      </c>
      <c r="G3283" s="328">
        <v>3435.2</v>
      </c>
      <c r="H3283" s="347">
        <f t="shared" si="47"/>
        <v>0</v>
      </c>
      <c r="I3283" s="331" t="s">
        <v>15214</v>
      </c>
    </row>
    <row r="3284" spans="1:9" ht="30" x14ac:dyDescent="0.25">
      <c r="A3284" s="319">
        <v>43005</v>
      </c>
      <c r="B3284" s="320" t="s">
        <v>31081</v>
      </c>
      <c r="C3284" s="321">
        <v>129043</v>
      </c>
      <c r="D3284" s="390" t="s">
        <v>15256</v>
      </c>
      <c r="E3284" s="322">
        <v>4126.8</v>
      </c>
      <c r="F3284" s="323" t="s">
        <v>31082</v>
      </c>
      <c r="G3284" s="334">
        <f>1500+2626.8</f>
        <v>4126.8</v>
      </c>
      <c r="H3284" s="334">
        <f t="shared" si="47"/>
        <v>0</v>
      </c>
      <c r="I3284" s="325" t="s">
        <v>15214</v>
      </c>
    </row>
    <row r="3285" spans="1:9" x14ac:dyDescent="0.25">
      <c r="A3285" s="359">
        <v>43005</v>
      </c>
      <c r="B3285" s="326" t="s">
        <v>31083</v>
      </c>
      <c r="C3285" s="327">
        <v>129044</v>
      </c>
      <c r="D3285" s="391" t="s">
        <v>28651</v>
      </c>
      <c r="E3285" s="328">
        <v>6254.8</v>
      </c>
      <c r="F3285" s="329">
        <v>43008</v>
      </c>
      <c r="G3285" s="328">
        <v>6254.8</v>
      </c>
      <c r="H3285" s="347">
        <f t="shared" si="47"/>
        <v>0</v>
      </c>
      <c r="I3285" s="331" t="s">
        <v>15214</v>
      </c>
    </row>
    <row r="3286" spans="1:9" x14ac:dyDescent="0.25">
      <c r="A3286" s="319">
        <v>43005</v>
      </c>
      <c r="B3286" s="320" t="s">
        <v>31084</v>
      </c>
      <c r="C3286" s="321">
        <v>129045</v>
      </c>
      <c r="D3286" s="390" t="s">
        <v>30057</v>
      </c>
      <c r="E3286" s="322">
        <v>3938.4</v>
      </c>
      <c r="F3286" s="323">
        <v>43006</v>
      </c>
      <c r="G3286" s="322">
        <v>3938.4</v>
      </c>
      <c r="H3286" s="322">
        <f t="shared" si="47"/>
        <v>0</v>
      </c>
      <c r="I3286" s="325" t="s">
        <v>15214</v>
      </c>
    </row>
    <row r="3287" spans="1:9" ht="30" x14ac:dyDescent="0.25">
      <c r="A3287" s="359">
        <v>43005</v>
      </c>
      <c r="B3287" s="326" t="s">
        <v>31085</v>
      </c>
      <c r="C3287" s="327">
        <v>129046</v>
      </c>
      <c r="D3287" s="391" t="s">
        <v>15258</v>
      </c>
      <c r="E3287" s="328">
        <v>10510.8</v>
      </c>
      <c r="F3287" s="329" t="s">
        <v>31082</v>
      </c>
      <c r="G3287" s="328">
        <f>4000+6510.8</f>
        <v>10510.8</v>
      </c>
      <c r="H3287" s="347">
        <f t="shared" si="47"/>
        <v>0</v>
      </c>
      <c r="I3287" s="331" t="s">
        <v>15214</v>
      </c>
    </row>
    <row r="3288" spans="1:9" ht="30" x14ac:dyDescent="0.25">
      <c r="A3288" s="319">
        <v>43005</v>
      </c>
      <c r="B3288" s="320" t="s">
        <v>31086</v>
      </c>
      <c r="C3288" s="321">
        <v>129047</v>
      </c>
      <c r="D3288" s="390" t="s">
        <v>15668</v>
      </c>
      <c r="E3288" s="322">
        <v>18399.599999999999</v>
      </c>
      <c r="F3288" s="323" t="s">
        <v>31608</v>
      </c>
      <c r="G3288" s="334">
        <f>12000+6399.6</f>
        <v>18399.599999999999</v>
      </c>
      <c r="H3288" s="334">
        <f t="shared" si="47"/>
        <v>0</v>
      </c>
      <c r="I3288" s="325" t="s">
        <v>15214</v>
      </c>
    </row>
    <row r="3289" spans="1:9" x14ac:dyDescent="0.25">
      <c r="A3289" s="359">
        <v>43005</v>
      </c>
      <c r="B3289" s="326" t="s">
        <v>31087</v>
      </c>
      <c r="C3289" s="327">
        <v>129048</v>
      </c>
      <c r="D3289" s="391" t="s">
        <v>15234</v>
      </c>
      <c r="E3289" s="328">
        <v>3366.8</v>
      </c>
      <c r="F3289" s="329">
        <v>43008</v>
      </c>
      <c r="G3289" s="328">
        <v>3366.8</v>
      </c>
      <c r="H3289" s="347">
        <f t="shared" si="47"/>
        <v>0</v>
      </c>
      <c r="I3289" s="331" t="s">
        <v>15214</v>
      </c>
    </row>
    <row r="3290" spans="1:9" x14ac:dyDescent="0.25">
      <c r="A3290" s="319">
        <v>43005</v>
      </c>
      <c r="B3290" s="320" t="s">
        <v>31088</v>
      </c>
      <c r="C3290" s="321">
        <v>129049</v>
      </c>
      <c r="D3290" s="390" t="s">
        <v>15407</v>
      </c>
      <c r="E3290" s="322">
        <v>4622.3999999999996</v>
      </c>
      <c r="F3290" s="323">
        <v>43005</v>
      </c>
      <c r="G3290" s="322">
        <v>4622.3999999999996</v>
      </c>
      <c r="H3290" s="322">
        <f t="shared" si="47"/>
        <v>0</v>
      </c>
      <c r="I3290" s="325" t="s">
        <v>15214</v>
      </c>
    </row>
    <row r="3291" spans="1:9" x14ac:dyDescent="0.25">
      <c r="A3291" s="359">
        <v>43005</v>
      </c>
      <c r="B3291" s="326" t="s">
        <v>31089</v>
      </c>
      <c r="C3291" s="327">
        <v>129050</v>
      </c>
      <c r="D3291" s="391" t="s">
        <v>15438</v>
      </c>
      <c r="E3291" s="328">
        <v>5616.6</v>
      </c>
      <c r="F3291" s="329">
        <v>43005</v>
      </c>
      <c r="G3291" s="328">
        <v>5616.6</v>
      </c>
      <c r="H3291" s="347">
        <f t="shared" si="47"/>
        <v>0</v>
      </c>
      <c r="I3291" s="331" t="s">
        <v>15214</v>
      </c>
    </row>
    <row r="3292" spans="1:9" x14ac:dyDescent="0.25">
      <c r="A3292" s="319">
        <v>43005</v>
      </c>
      <c r="B3292" s="320" t="s">
        <v>31090</v>
      </c>
      <c r="C3292" s="321">
        <v>129051</v>
      </c>
      <c r="D3292" s="390" t="s">
        <v>15261</v>
      </c>
      <c r="E3292" s="322">
        <v>13119.8</v>
      </c>
      <c r="F3292" s="323">
        <v>43005</v>
      </c>
      <c r="G3292" s="322">
        <v>13119.8</v>
      </c>
      <c r="H3292" s="322">
        <f t="shared" si="47"/>
        <v>0</v>
      </c>
      <c r="I3292" s="325" t="s">
        <v>15214</v>
      </c>
    </row>
    <row r="3293" spans="1:9" x14ac:dyDescent="0.25">
      <c r="A3293" s="359">
        <v>43005</v>
      </c>
      <c r="B3293" s="326" t="s">
        <v>31091</v>
      </c>
      <c r="C3293" s="327">
        <v>129052</v>
      </c>
      <c r="D3293" s="391" t="s">
        <v>15226</v>
      </c>
      <c r="E3293" s="328">
        <v>1127.4000000000001</v>
      </c>
      <c r="F3293" s="329">
        <v>43007</v>
      </c>
      <c r="G3293" s="328">
        <v>1127.4000000000001</v>
      </c>
      <c r="H3293" s="347">
        <f t="shared" si="47"/>
        <v>0</v>
      </c>
      <c r="I3293" s="331" t="s">
        <v>15214</v>
      </c>
    </row>
    <row r="3294" spans="1:9" x14ac:dyDescent="0.25">
      <c r="A3294" s="319">
        <v>43005</v>
      </c>
      <c r="B3294" s="320" t="s">
        <v>31092</v>
      </c>
      <c r="C3294" s="321">
        <v>129053</v>
      </c>
      <c r="D3294" s="390" t="s">
        <v>15223</v>
      </c>
      <c r="E3294" s="322">
        <v>54020.4</v>
      </c>
      <c r="F3294" s="323">
        <v>43026</v>
      </c>
      <c r="G3294" s="322">
        <v>54020.4</v>
      </c>
      <c r="H3294" s="322">
        <f t="shared" si="47"/>
        <v>0</v>
      </c>
      <c r="I3294" s="325" t="s">
        <v>15214</v>
      </c>
    </row>
    <row r="3295" spans="1:9" x14ac:dyDescent="0.25">
      <c r="A3295" s="359">
        <v>43005</v>
      </c>
      <c r="B3295" s="326" t="s">
        <v>31093</v>
      </c>
      <c r="C3295" s="327">
        <v>129054</v>
      </c>
      <c r="D3295" s="391" t="s">
        <v>15261</v>
      </c>
      <c r="E3295" s="328">
        <v>14988.3</v>
      </c>
      <c r="F3295" s="329">
        <v>43005</v>
      </c>
      <c r="G3295" s="328">
        <v>14988.3</v>
      </c>
      <c r="H3295" s="347">
        <f t="shared" si="47"/>
        <v>0</v>
      </c>
      <c r="I3295" s="331" t="s">
        <v>15214</v>
      </c>
    </row>
    <row r="3296" spans="1:9" x14ac:dyDescent="0.25">
      <c r="A3296" s="319">
        <v>43005</v>
      </c>
      <c r="B3296" s="320" t="s">
        <v>31094</v>
      </c>
      <c r="C3296" s="321">
        <v>129055</v>
      </c>
      <c r="D3296" s="390" t="s">
        <v>15248</v>
      </c>
      <c r="E3296" s="322">
        <v>10511.2</v>
      </c>
      <c r="F3296" s="323">
        <v>43005</v>
      </c>
      <c r="G3296" s="322">
        <v>10511.2</v>
      </c>
      <c r="H3296" s="322">
        <f t="shared" si="47"/>
        <v>0</v>
      </c>
      <c r="I3296" s="325" t="s">
        <v>15214</v>
      </c>
    </row>
    <row r="3297" spans="1:9" x14ac:dyDescent="0.25">
      <c r="A3297" s="359">
        <v>43005</v>
      </c>
      <c r="B3297" s="326" t="s">
        <v>31095</v>
      </c>
      <c r="C3297" s="327">
        <v>129056</v>
      </c>
      <c r="D3297" s="391" t="s">
        <v>15415</v>
      </c>
      <c r="E3297" s="328">
        <v>3388.7</v>
      </c>
      <c r="F3297" s="329">
        <v>43008</v>
      </c>
      <c r="G3297" s="328">
        <v>3388.7</v>
      </c>
      <c r="H3297" s="347">
        <f t="shared" si="47"/>
        <v>0</v>
      </c>
      <c r="I3297" s="331" t="s">
        <v>15214</v>
      </c>
    </row>
    <row r="3298" spans="1:9" ht="15.75" x14ac:dyDescent="0.25">
      <c r="A3298" s="319">
        <v>43005</v>
      </c>
      <c r="B3298" s="320" t="s">
        <v>31096</v>
      </c>
      <c r="C3298" s="321">
        <v>129057</v>
      </c>
      <c r="D3298" s="332" t="s">
        <v>95</v>
      </c>
      <c r="E3298" s="322">
        <v>0</v>
      </c>
      <c r="F3298" s="333" t="s">
        <v>95</v>
      </c>
      <c r="G3298" s="322">
        <v>0</v>
      </c>
      <c r="H3298" s="322">
        <f t="shared" si="47"/>
        <v>0</v>
      </c>
      <c r="I3298" s="325" t="s">
        <v>95</v>
      </c>
    </row>
    <row r="3299" spans="1:9" x14ac:dyDescent="0.25">
      <c r="A3299" s="359">
        <v>43005</v>
      </c>
      <c r="B3299" s="326" t="s">
        <v>31097</v>
      </c>
      <c r="C3299" s="327">
        <v>129058</v>
      </c>
      <c r="D3299" s="391" t="s">
        <v>15313</v>
      </c>
      <c r="E3299" s="328">
        <v>5734</v>
      </c>
      <c r="F3299" s="329">
        <v>43005</v>
      </c>
      <c r="G3299" s="328">
        <v>5734</v>
      </c>
      <c r="H3299" s="347">
        <f t="shared" si="47"/>
        <v>0</v>
      </c>
      <c r="I3299" s="331" t="s">
        <v>15214</v>
      </c>
    </row>
    <row r="3300" spans="1:9" x14ac:dyDescent="0.25">
      <c r="A3300" s="319">
        <v>43005</v>
      </c>
      <c r="B3300" s="320" t="s">
        <v>31098</v>
      </c>
      <c r="C3300" s="321">
        <v>129059</v>
      </c>
      <c r="D3300" s="390" t="s">
        <v>15583</v>
      </c>
      <c r="E3300" s="322">
        <v>1424.1</v>
      </c>
      <c r="F3300" s="323">
        <v>43008</v>
      </c>
      <c r="G3300" s="322">
        <v>1424.1</v>
      </c>
      <c r="H3300" s="322">
        <f t="shared" si="47"/>
        <v>0</v>
      </c>
      <c r="I3300" s="325" t="s">
        <v>15214</v>
      </c>
    </row>
    <row r="3301" spans="1:9" x14ac:dyDescent="0.25">
      <c r="A3301" s="359">
        <v>43005</v>
      </c>
      <c r="B3301" s="326" t="s">
        <v>31099</v>
      </c>
      <c r="C3301" s="327">
        <v>129060</v>
      </c>
      <c r="D3301" s="391" t="s">
        <v>15320</v>
      </c>
      <c r="E3301" s="328">
        <v>2244.6</v>
      </c>
      <c r="F3301" s="329">
        <v>43005</v>
      </c>
      <c r="G3301" s="328">
        <v>2244.6</v>
      </c>
      <c r="H3301" s="347">
        <f t="shared" si="47"/>
        <v>0</v>
      </c>
      <c r="I3301" s="331" t="s">
        <v>15214</v>
      </c>
    </row>
    <row r="3302" spans="1:9" x14ac:dyDescent="0.25">
      <c r="A3302" s="319">
        <v>43005</v>
      </c>
      <c r="B3302" s="320" t="s">
        <v>31100</v>
      </c>
      <c r="C3302" s="321">
        <v>129061</v>
      </c>
      <c r="D3302" s="390" t="s">
        <v>15748</v>
      </c>
      <c r="E3302" s="322">
        <v>2422.4</v>
      </c>
      <c r="F3302" s="323">
        <v>43005</v>
      </c>
      <c r="G3302" s="322">
        <v>2422.4</v>
      </c>
      <c r="H3302" s="322">
        <f t="shared" si="47"/>
        <v>0</v>
      </c>
      <c r="I3302" s="325" t="s">
        <v>15214</v>
      </c>
    </row>
    <row r="3303" spans="1:9" x14ac:dyDescent="0.25">
      <c r="A3303" s="359">
        <v>43005</v>
      </c>
      <c r="B3303" s="326" t="s">
        <v>31101</v>
      </c>
      <c r="C3303" s="327">
        <v>129062</v>
      </c>
      <c r="D3303" s="391" t="s">
        <v>15309</v>
      </c>
      <c r="E3303" s="328">
        <v>3429.12</v>
      </c>
      <c r="F3303" s="329">
        <v>43005</v>
      </c>
      <c r="G3303" s="328">
        <v>3429.12</v>
      </c>
      <c r="H3303" s="347">
        <f t="shared" si="47"/>
        <v>0</v>
      </c>
      <c r="I3303" s="331" t="s">
        <v>15214</v>
      </c>
    </row>
    <row r="3304" spans="1:9" x14ac:dyDescent="0.25">
      <c r="A3304" s="319">
        <v>43005</v>
      </c>
      <c r="B3304" s="320" t="s">
        <v>31102</v>
      </c>
      <c r="C3304" s="321">
        <v>129063</v>
      </c>
      <c r="D3304" s="390" t="s">
        <v>15278</v>
      </c>
      <c r="E3304" s="322">
        <v>6061.3</v>
      </c>
      <c r="F3304" s="323">
        <v>43005</v>
      </c>
      <c r="G3304" s="322">
        <v>6061.3</v>
      </c>
      <c r="H3304" s="322">
        <f t="shared" si="47"/>
        <v>0</v>
      </c>
      <c r="I3304" s="325" t="s">
        <v>15214</v>
      </c>
    </row>
    <row r="3305" spans="1:9" x14ac:dyDescent="0.25">
      <c r="A3305" s="359">
        <v>43005</v>
      </c>
      <c r="B3305" s="326" t="s">
        <v>31103</v>
      </c>
      <c r="C3305" s="327">
        <v>129064</v>
      </c>
      <c r="D3305" s="391" t="s">
        <v>15334</v>
      </c>
      <c r="E3305" s="328">
        <v>2193</v>
      </c>
      <c r="F3305" s="329">
        <v>43006</v>
      </c>
      <c r="G3305" s="328">
        <v>2193</v>
      </c>
      <c r="H3305" s="347">
        <f t="shared" si="47"/>
        <v>0</v>
      </c>
      <c r="I3305" s="331" t="s">
        <v>15214</v>
      </c>
    </row>
    <row r="3306" spans="1:9" x14ac:dyDescent="0.25">
      <c r="A3306" s="319">
        <v>43005</v>
      </c>
      <c r="B3306" s="320" t="s">
        <v>31104</v>
      </c>
      <c r="C3306" s="321">
        <v>129065</v>
      </c>
      <c r="D3306" s="390" t="s">
        <v>15307</v>
      </c>
      <c r="E3306" s="322">
        <v>2032</v>
      </c>
      <c r="F3306" s="323">
        <v>43005</v>
      </c>
      <c r="G3306" s="322">
        <v>2032</v>
      </c>
      <c r="H3306" s="322">
        <f t="shared" si="47"/>
        <v>0</v>
      </c>
      <c r="I3306" s="325" t="s">
        <v>15214</v>
      </c>
    </row>
    <row r="3307" spans="1:9" x14ac:dyDescent="0.25">
      <c r="A3307" s="359">
        <v>43005</v>
      </c>
      <c r="B3307" s="326" t="s">
        <v>31105</v>
      </c>
      <c r="C3307" s="327">
        <v>129066</v>
      </c>
      <c r="D3307" s="391" t="s">
        <v>15759</v>
      </c>
      <c r="E3307" s="328">
        <v>2120.06</v>
      </c>
      <c r="F3307" s="329">
        <v>43005</v>
      </c>
      <c r="G3307" s="328">
        <v>2120.06</v>
      </c>
      <c r="H3307" s="347">
        <f t="shared" si="47"/>
        <v>0</v>
      </c>
      <c r="I3307" s="331" t="s">
        <v>15214</v>
      </c>
    </row>
    <row r="3308" spans="1:9" x14ac:dyDescent="0.25">
      <c r="A3308" s="319">
        <v>43005</v>
      </c>
      <c r="B3308" s="320" t="s">
        <v>31106</v>
      </c>
      <c r="C3308" s="321">
        <v>129067</v>
      </c>
      <c r="D3308" s="390" t="s">
        <v>15311</v>
      </c>
      <c r="E3308" s="322">
        <v>2581.8000000000002</v>
      </c>
      <c r="F3308" s="323">
        <v>43005</v>
      </c>
      <c r="G3308" s="322">
        <v>2581.8000000000002</v>
      </c>
      <c r="H3308" s="322">
        <f t="shared" si="47"/>
        <v>0</v>
      </c>
      <c r="I3308" s="325" t="s">
        <v>15214</v>
      </c>
    </row>
    <row r="3309" spans="1:9" x14ac:dyDescent="0.25">
      <c r="A3309" s="359">
        <v>43005</v>
      </c>
      <c r="B3309" s="326" t="s">
        <v>31107</v>
      </c>
      <c r="C3309" s="327">
        <v>129068</v>
      </c>
      <c r="D3309" s="391" t="s">
        <v>15280</v>
      </c>
      <c r="E3309" s="328">
        <v>4740.6000000000004</v>
      </c>
      <c r="F3309" s="329">
        <v>43005</v>
      </c>
      <c r="G3309" s="328">
        <v>4740.6000000000004</v>
      </c>
      <c r="H3309" s="347">
        <f t="shared" si="47"/>
        <v>0</v>
      </c>
      <c r="I3309" s="331" t="s">
        <v>15214</v>
      </c>
    </row>
    <row r="3310" spans="1:9" x14ac:dyDescent="0.25">
      <c r="A3310" s="319">
        <v>43005</v>
      </c>
      <c r="B3310" s="320" t="s">
        <v>31108</v>
      </c>
      <c r="C3310" s="321">
        <v>129069</v>
      </c>
      <c r="D3310" s="390" t="s">
        <v>15510</v>
      </c>
      <c r="E3310" s="322">
        <v>34758.6</v>
      </c>
      <c r="F3310" s="323">
        <v>43005</v>
      </c>
      <c r="G3310" s="322">
        <v>34758.6</v>
      </c>
      <c r="H3310" s="322">
        <f t="shared" si="47"/>
        <v>0</v>
      </c>
      <c r="I3310" s="325" t="s">
        <v>15214</v>
      </c>
    </row>
    <row r="3311" spans="1:9" x14ac:dyDescent="0.25">
      <c r="A3311" s="359">
        <v>43005</v>
      </c>
      <c r="B3311" s="326" t="s">
        <v>31109</v>
      </c>
      <c r="C3311" s="327">
        <v>129070</v>
      </c>
      <c r="D3311" s="391" t="s">
        <v>15745</v>
      </c>
      <c r="E3311" s="328">
        <v>1908.56</v>
      </c>
      <c r="F3311" s="329">
        <v>43005</v>
      </c>
      <c r="G3311" s="328">
        <v>1908.56</v>
      </c>
      <c r="H3311" s="347">
        <f t="shared" si="47"/>
        <v>0</v>
      </c>
      <c r="I3311" s="331" t="s">
        <v>15214</v>
      </c>
    </row>
    <row r="3312" spans="1:9" x14ac:dyDescent="0.25">
      <c r="A3312" s="319">
        <v>43005</v>
      </c>
      <c r="B3312" s="320" t="s">
        <v>31110</v>
      </c>
      <c r="C3312" s="321">
        <v>129071</v>
      </c>
      <c r="D3312" s="390" t="s">
        <v>15706</v>
      </c>
      <c r="E3312" s="322">
        <v>1747.2</v>
      </c>
      <c r="F3312" s="323">
        <v>43005</v>
      </c>
      <c r="G3312" s="322">
        <v>1747.2</v>
      </c>
      <c r="H3312" s="322">
        <f t="shared" si="47"/>
        <v>0</v>
      </c>
      <c r="I3312" s="325" t="s">
        <v>15214</v>
      </c>
    </row>
    <row r="3313" spans="1:9" x14ac:dyDescent="0.25">
      <c r="A3313" s="359">
        <v>43005</v>
      </c>
      <c r="B3313" s="326" t="s">
        <v>31111</v>
      </c>
      <c r="C3313" s="327">
        <v>129072</v>
      </c>
      <c r="D3313" s="391" t="s">
        <v>23937</v>
      </c>
      <c r="E3313" s="328">
        <v>3578.58</v>
      </c>
      <c r="F3313" s="329">
        <v>43005</v>
      </c>
      <c r="G3313" s="328">
        <v>3578.58</v>
      </c>
      <c r="H3313" s="347">
        <f t="shared" ref="H3313:H3376" si="48">E3313-G3313</f>
        <v>0</v>
      </c>
      <c r="I3313" s="331" t="s">
        <v>15214</v>
      </c>
    </row>
    <row r="3314" spans="1:9" x14ac:dyDescent="0.25">
      <c r="A3314" s="319">
        <v>43005</v>
      </c>
      <c r="B3314" s="320" t="s">
        <v>31112</v>
      </c>
      <c r="C3314" s="321">
        <v>129073</v>
      </c>
      <c r="D3314" s="390" t="s">
        <v>15530</v>
      </c>
      <c r="E3314" s="322">
        <v>1489.2</v>
      </c>
      <c r="F3314" s="323">
        <v>43005</v>
      </c>
      <c r="G3314" s="322">
        <v>1489.2</v>
      </c>
      <c r="H3314" s="322">
        <f t="shared" si="48"/>
        <v>0</v>
      </c>
      <c r="I3314" s="325" t="s">
        <v>15214</v>
      </c>
    </row>
    <row r="3315" spans="1:9" x14ac:dyDescent="0.25">
      <c r="A3315" s="359">
        <v>43005</v>
      </c>
      <c r="B3315" s="326" t="s">
        <v>31113</v>
      </c>
      <c r="C3315" s="327">
        <v>129074</v>
      </c>
      <c r="D3315" s="391" t="s">
        <v>15322</v>
      </c>
      <c r="E3315" s="328">
        <v>726.1</v>
      </c>
      <c r="F3315" s="329">
        <v>43005</v>
      </c>
      <c r="G3315" s="328">
        <v>726.1</v>
      </c>
      <c r="H3315" s="347">
        <f t="shared" si="48"/>
        <v>0</v>
      </c>
      <c r="I3315" s="331" t="s">
        <v>15214</v>
      </c>
    </row>
    <row r="3316" spans="1:9" x14ac:dyDescent="0.25">
      <c r="A3316" s="319">
        <v>43005</v>
      </c>
      <c r="B3316" s="320" t="s">
        <v>31114</v>
      </c>
      <c r="C3316" s="321">
        <v>129075</v>
      </c>
      <c r="D3316" s="390" t="s">
        <v>15404</v>
      </c>
      <c r="E3316" s="322">
        <v>11640.3</v>
      </c>
      <c r="F3316" s="323">
        <v>43005</v>
      </c>
      <c r="G3316" s="322">
        <v>11640.3</v>
      </c>
      <c r="H3316" s="322">
        <f t="shared" si="48"/>
        <v>0</v>
      </c>
      <c r="I3316" s="325" t="s">
        <v>15214</v>
      </c>
    </row>
    <row r="3317" spans="1:9" x14ac:dyDescent="0.25">
      <c r="A3317" s="359">
        <v>43005</v>
      </c>
      <c r="B3317" s="326" t="s">
        <v>31115</v>
      </c>
      <c r="C3317" s="327">
        <v>129076</v>
      </c>
      <c r="D3317" s="391" t="s">
        <v>15315</v>
      </c>
      <c r="E3317" s="328">
        <v>400</v>
      </c>
      <c r="F3317" s="329">
        <v>43005</v>
      </c>
      <c r="G3317" s="328">
        <v>400</v>
      </c>
      <c r="H3317" s="347">
        <f t="shared" si="48"/>
        <v>0</v>
      </c>
      <c r="I3317" s="331" t="s">
        <v>15214</v>
      </c>
    </row>
    <row r="3318" spans="1:9" x14ac:dyDescent="0.25">
      <c r="A3318" s="319">
        <v>43005</v>
      </c>
      <c r="B3318" s="320" t="s">
        <v>31116</v>
      </c>
      <c r="C3318" s="321">
        <v>129077</v>
      </c>
      <c r="D3318" s="390" t="s">
        <v>18544</v>
      </c>
      <c r="E3318" s="322">
        <v>7065</v>
      </c>
      <c r="F3318" s="323">
        <v>43005</v>
      </c>
      <c r="G3318" s="322">
        <v>7065</v>
      </c>
      <c r="H3318" s="322">
        <f t="shared" si="48"/>
        <v>0</v>
      </c>
      <c r="I3318" s="325" t="s">
        <v>15214</v>
      </c>
    </row>
    <row r="3319" spans="1:9" x14ac:dyDescent="0.25">
      <c r="A3319" s="359">
        <v>43005</v>
      </c>
      <c r="B3319" s="326" t="s">
        <v>31117</v>
      </c>
      <c r="C3319" s="327">
        <v>129078</v>
      </c>
      <c r="D3319" s="391" t="s">
        <v>15254</v>
      </c>
      <c r="E3319" s="328">
        <v>8831</v>
      </c>
      <c r="F3319" s="329">
        <v>43007</v>
      </c>
      <c r="G3319" s="328">
        <v>8831</v>
      </c>
      <c r="H3319" s="347">
        <f t="shared" si="48"/>
        <v>0</v>
      </c>
      <c r="I3319" s="331" t="s">
        <v>15214</v>
      </c>
    </row>
    <row r="3320" spans="1:9" x14ac:dyDescent="0.25">
      <c r="A3320" s="319">
        <v>43005</v>
      </c>
      <c r="B3320" s="320" t="s">
        <v>31118</v>
      </c>
      <c r="C3320" s="321">
        <v>129079</v>
      </c>
      <c r="D3320" s="390" t="s">
        <v>15252</v>
      </c>
      <c r="E3320" s="322">
        <v>5306.1</v>
      </c>
      <c r="F3320" s="323">
        <v>43007</v>
      </c>
      <c r="G3320" s="322">
        <v>5306.1</v>
      </c>
      <c r="H3320" s="322">
        <f t="shared" si="48"/>
        <v>0</v>
      </c>
      <c r="I3320" s="325" t="s">
        <v>15214</v>
      </c>
    </row>
    <row r="3321" spans="1:9" x14ac:dyDescent="0.25">
      <c r="A3321" s="359">
        <v>43005</v>
      </c>
      <c r="B3321" s="326" t="s">
        <v>31119</v>
      </c>
      <c r="C3321" s="327">
        <v>129080</v>
      </c>
      <c r="D3321" s="391" t="s">
        <v>15326</v>
      </c>
      <c r="E3321" s="328">
        <v>3883.7</v>
      </c>
      <c r="F3321" s="329">
        <v>43005</v>
      </c>
      <c r="G3321" s="328">
        <v>3883.7</v>
      </c>
      <c r="H3321" s="347">
        <f t="shared" si="48"/>
        <v>0</v>
      </c>
      <c r="I3321" s="331" t="s">
        <v>15214</v>
      </c>
    </row>
    <row r="3322" spans="1:9" x14ac:dyDescent="0.25">
      <c r="A3322" s="319">
        <v>43005</v>
      </c>
      <c r="B3322" s="320" t="s">
        <v>31120</v>
      </c>
      <c r="C3322" s="321">
        <v>129081</v>
      </c>
      <c r="D3322" s="390" t="s">
        <v>15858</v>
      </c>
      <c r="E3322" s="322">
        <v>2682.64</v>
      </c>
      <c r="F3322" s="323">
        <v>43006</v>
      </c>
      <c r="G3322" s="322">
        <v>2682.64</v>
      </c>
      <c r="H3322" s="322">
        <f t="shared" si="48"/>
        <v>0</v>
      </c>
      <c r="I3322" s="325" t="s">
        <v>15214</v>
      </c>
    </row>
    <row r="3323" spans="1:9" x14ac:dyDescent="0.25">
      <c r="A3323" s="359">
        <v>43005</v>
      </c>
      <c r="B3323" s="326" t="s">
        <v>31121</v>
      </c>
      <c r="C3323" s="327">
        <v>129082</v>
      </c>
      <c r="D3323" s="391" t="s">
        <v>15378</v>
      </c>
      <c r="E3323" s="328">
        <v>1497.4</v>
      </c>
      <c r="F3323" s="329">
        <v>43005</v>
      </c>
      <c r="G3323" s="328">
        <v>1497.4</v>
      </c>
      <c r="H3323" s="347">
        <f t="shared" si="48"/>
        <v>0</v>
      </c>
      <c r="I3323" s="331" t="s">
        <v>15214</v>
      </c>
    </row>
    <row r="3324" spans="1:9" x14ac:dyDescent="0.25">
      <c r="A3324" s="319">
        <v>43005</v>
      </c>
      <c r="B3324" s="320" t="s">
        <v>31122</v>
      </c>
      <c r="C3324" s="321">
        <v>129083</v>
      </c>
      <c r="D3324" s="390" t="s">
        <v>17950</v>
      </c>
      <c r="E3324" s="322">
        <v>7912.7</v>
      </c>
      <c r="F3324" s="323">
        <v>43006</v>
      </c>
      <c r="G3324" s="322">
        <v>7912.7</v>
      </c>
      <c r="H3324" s="322">
        <f t="shared" si="48"/>
        <v>0</v>
      </c>
      <c r="I3324" s="325" t="s">
        <v>15214</v>
      </c>
    </row>
    <row r="3325" spans="1:9" x14ac:dyDescent="0.25">
      <c r="A3325" s="359">
        <v>43005</v>
      </c>
      <c r="B3325" s="326" t="s">
        <v>31123</v>
      </c>
      <c r="C3325" s="327">
        <v>129084</v>
      </c>
      <c r="D3325" s="391" t="s">
        <v>15340</v>
      </c>
      <c r="E3325" s="328">
        <v>3662.4</v>
      </c>
      <c r="F3325" s="329">
        <v>43006</v>
      </c>
      <c r="G3325" s="328">
        <v>3662.4</v>
      </c>
      <c r="H3325" s="347">
        <f t="shared" si="48"/>
        <v>0</v>
      </c>
      <c r="I3325" s="331" t="s">
        <v>15214</v>
      </c>
    </row>
    <row r="3326" spans="1:9" x14ac:dyDescent="0.25">
      <c r="A3326" s="319">
        <v>43005</v>
      </c>
      <c r="B3326" s="320" t="s">
        <v>31124</v>
      </c>
      <c r="C3326" s="321">
        <v>129085</v>
      </c>
      <c r="D3326" s="390" t="s">
        <v>15987</v>
      </c>
      <c r="E3326" s="322">
        <v>768</v>
      </c>
      <c r="F3326" s="323">
        <v>43005</v>
      </c>
      <c r="G3326" s="322">
        <v>768</v>
      </c>
      <c r="H3326" s="322">
        <f t="shared" si="48"/>
        <v>0</v>
      </c>
      <c r="I3326" s="325" t="s">
        <v>15214</v>
      </c>
    </row>
    <row r="3327" spans="1:9" x14ac:dyDescent="0.25">
      <c r="A3327" s="359">
        <v>43005</v>
      </c>
      <c r="B3327" s="326" t="s">
        <v>31125</v>
      </c>
      <c r="C3327" s="327">
        <v>129086</v>
      </c>
      <c r="D3327" s="391" t="s">
        <v>17210</v>
      </c>
      <c r="E3327" s="328">
        <v>3219.5</v>
      </c>
      <c r="F3327" s="329">
        <v>43006</v>
      </c>
      <c r="G3327" s="328">
        <v>3219.5</v>
      </c>
      <c r="H3327" s="347">
        <f t="shared" si="48"/>
        <v>0</v>
      </c>
      <c r="I3327" s="331" t="s">
        <v>15214</v>
      </c>
    </row>
    <row r="3328" spans="1:9" x14ac:dyDescent="0.25">
      <c r="A3328" s="319">
        <v>43005</v>
      </c>
      <c r="B3328" s="320" t="s">
        <v>31126</v>
      </c>
      <c r="C3328" s="321">
        <v>129087</v>
      </c>
      <c r="D3328" s="390" t="s">
        <v>19773</v>
      </c>
      <c r="E3328" s="322">
        <v>5095.58</v>
      </c>
      <c r="F3328" s="323">
        <v>43010</v>
      </c>
      <c r="G3328" s="322">
        <v>5095.58</v>
      </c>
      <c r="H3328" s="322">
        <f t="shared" si="48"/>
        <v>0</v>
      </c>
      <c r="I3328" s="325" t="s">
        <v>15214</v>
      </c>
    </row>
    <row r="3329" spans="1:9" x14ac:dyDescent="0.25">
      <c r="A3329" s="359">
        <v>43005</v>
      </c>
      <c r="B3329" s="326" t="s">
        <v>31127</v>
      </c>
      <c r="C3329" s="327">
        <v>129088</v>
      </c>
      <c r="D3329" s="391" t="s">
        <v>15336</v>
      </c>
      <c r="E3329" s="328">
        <v>7334.2</v>
      </c>
      <c r="F3329" s="329">
        <v>43006</v>
      </c>
      <c r="G3329" s="328">
        <v>7334.2</v>
      </c>
      <c r="H3329" s="347">
        <f t="shared" si="48"/>
        <v>0</v>
      </c>
      <c r="I3329" s="331" t="s">
        <v>15214</v>
      </c>
    </row>
    <row r="3330" spans="1:9" x14ac:dyDescent="0.25">
      <c r="A3330" s="319">
        <v>43005</v>
      </c>
      <c r="B3330" s="320" t="s">
        <v>31128</v>
      </c>
      <c r="C3330" s="321">
        <v>129089</v>
      </c>
      <c r="D3330" s="390" t="s">
        <v>15358</v>
      </c>
      <c r="E3330" s="322">
        <v>1944.8</v>
      </c>
      <c r="F3330" s="323">
        <v>43006</v>
      </c>
      <c r="G3330" s="322">
        <v>1944.8</v>
      </c>
      <c r="H3330" s="322">
        <f t="shared" si="48"/>
        <v>0</v>
      </c>
      <c r="I3330" s="325" t="s">
        <v>15214</v>
      </c>
    </row>
    <row r="3331" spans="1:9" x14ac:dyDescent="0.25">
      <c r="A3331" s="359">
        <v>43005</v>
      </c>
      <c r="B3331" s="326" t="s">
        <v>31129</v>
      </c>
      <c r="C3331" s="327">
        <v>129090</v>
      </c>
      <c r="D3331" s="391" t="s">
        <v>15523</v>
      </c>
      <c r="E3331" s="328">
        <v>1350</v>
      </c>
      <c r="F3331" s="329">
        <v>43006</v>
      </c>
      <c r="G3331" s="328">
        <v>1350</v>
      </c>
      <c r="H3331" s="347">
        <f t="shared" si="48"/>
        <v>0</v>
      </c>
      <c r="I3331" s="331" t="s">
        <v>15214</v>
      </c>
    </row>
    <row r="3332" spans="1:9" x14ac:dyDescent="0.25">
      <c r="A3332" s="319">
        <v>43005</v>
      </c>
      <c r="B3332" s="320" t="s">
        <v>31130</v>
      </c>
      <c r="C3332" s="321">
        <v>129091</v>
      </c>
      <c r="D3332" s="390" t="s">
        <v>15732</v>
      </c>
      <c r="E3332" s="322">
        <v>2751.5</v>
      </c>
      <c r="F3332" s="323">
        <v>43006</v>
      </c>
      <c r="G3332" s="322">
        <v>2751.5</v>
      </c>
      <c r="H3332" s="322">
        <f t="shared" si="48"/>
        <v>0</v>
      </c>
      <c r="I3332" s="325" t="s">
        <v>15214</v>
      </c>
    </row>
    <row r="3333" spans="1:9" x14ac:dyDescent="0.25">
      <c r="A3333" s="359">
        <v>43005</v>
      </c>
      <c r="B3333" s="326" t="s">
        <v>31131</v>
      </c>
      <c r="C3333" s="327">
        <v>129092</v>
      </c>
      <c r="D3333" s="391" t="s">
        <v>15315</v>
      </c>
      <c r="E3333" s="328">
        <v>601.6</v>
      </c>
      <c r="F3333" s="329">
        <v>43006</v>
      </c>
      <c r="G3333" s="328">
        <v>601.6</v>
      </c>
      <c r="H3333" s="347">
        <f t="shared" si="48"/>
        <v>0</v>
      </c>
      <c r="I3333" s="331" t="s">
        <v>15214</v>
      </c>
    </row>
    <row r="3334" spans="1:9" x14ac:dyDescent="0.25">
      <c r="A3334" s="319">
        <v>43005</v>
      </c>
      <c r="B3334" s="320" t="s">
        <v>31132</v>
      </c>
      <c r="C3334" s="321">
        <v>129093</v>
      </c>
      <c r="D3334" s="390" t="s">
        <v>15553</v>
      </c>
      <c r="E3334" s="322">
        <v>1664</v>
      </c>
      <c r="F3334" s="323">
        <v>43006</v>
      </c>
      <c r="G3334" s="322">
        <v>1664</v>
      </c>
      <c r="H3334" s="322">
        <f t="shared" si="48"/>
        <v>0</v>
      </c>
      <c r="I3334" s="325" t="s">
        <v>15214</v>
      </c>
    </row>
    <row r="3335" spans="1:9" x14ac:dyDescent="0.25">
      <c r="A3335" s="359">
        <v>43005</v>
      </c>
      <c r="B3335" s="326" t="s">
        <v>31133</v>
      </c>
      <c r="C3335" s="327">
        <v>129094</v>
      </c>
      <c r="D3335" s="391" t="s">
        <v>15557</v>
      </c>
      <c r="E3335" s="328">
        <v>835.3</v>
      </c>
      <c r="F3335" s="329">
        <v>43007</v>
      </c>
      <c r="G3335" s="328">
        <v>835.3</v>
      </c>
      <c r="H3335" s="347">
        <f t="shared" si="48"/>
        <v>0</v>
      </c>
      <c r="I3335" s="331" t="s">
        <v>15214</v>
      </c>
    </row>
    <row r="3336" spans="1:9" x14ac:dyDescent="0.25">
      <c r="A3336" s="319">
        <v>43005</v>
      </c>
      <c r="B3336" s="320" t="s">
        <v>31134</v>
      </c>
      <c r="C3336" s="321">
        <v>129095</v>
      </c>
      <c r="D3336" s="390" t="s">
        <v>15537</v>
      </c>
      <c r="E3336" s="322">
        <v>15728.2</v>
      </c>
      <c r="F3336" s="323">
        <v>43007</v>
      </c>
      <c r="G3336" s="322">
        <v>15728.2</v>
      </c>
      <c r="H3336" s="322">
        <f t="shared" si="48"/>
        <v>0</v>
      </c>
      <c r="I3336" s="325" t="s">
        <v>15214</v>
      </c>
    </row>
    <row r="3337" spans="1:9" x14ac:dyDescent="0.25">
      <c r="A3337" s="359">
        <v>43005</v>
      </c>
      <c r="B3337" s="326" t="s">
        <v>31135</v>
      </c>
      <c r="C3337" s="327">
        <v>129096</v>
      </c>
      <c r="D3337" s="391" t="s">
        <v>15539</v>
      </c>
      <c r="E3337" s="328">
        <v>15952.4</v>
      </c>
      <c r="F3337" s="329">
        <v>43007</v>
      </c>
      <c r="G3337" s="328">
        <v>15952.4</v>
      </c>
      <c r="H3337" s="347">
        <f t="shared" si="48"/>
        <v>0</v>
      </c>
      <c r="I3337" s="331" t="s">
        <v>15214</v>
      </c>
    </row>
    <row r="3338" spans="1:9" x14ac:dyDescent="0.25">
      <c r="A3338" s="319">
        <v>43005</v>
      </c>
      <c r="B3338" s="320" t="s">
        <v>31136</v>
      </c>
      <c r="C3338" s="321">
        <v>129097</v>
      </c>
      <c r="D3338" s="390" t="s">
        <v>15699</v>
      </c>
      <c r="E3338" s="322">
        <v>3507.4</v>
      </c>
      <c r="F3338" s="323">
        <v>43007</v>
      </c>
      <c r="G3338" s="322">
        <v>3507.4</v>
      </c>
      <c r="H3338" s="322">
        <f t="shared" si="48"/>
        <v>0</v>
      </c>
      <c r="I3338" s="325" t="s">
        <v>15214</v>
      </c>
    </row>
    <row r="3339" spans="1:9" x14ac:dyDescent="0.25">
      <c r="A3339" s="359">
        <v>43005</v>
      </c>
      <c r="B3339" s="326" t="s">
        <v>31137</v>
      </c>
      <c r="C3339" s="327">
        <v>129098</v>
      </c>
      <c r="D3339" s="391" t="s">
        <v>19964</v>
      </c>
      <c r="E3339" s="328">
        <v>3586</v>
      </c>
      <c r="F3339" s="329">
        <v>43005</v>
      </c>
      <c r="G3339" s="328">
        <v>3586</v>
      </c>
      <c r="H3339" s="347">
        <f t="shared" si="48"/>
        <v>0</v>
      </c>
      <c r="I3339" s="331" t="s">
        <v>15214</v>
      </c>
    </row>
    <row r="3340" spans="1:9" x14ac:dyDescent="0.25">
      <c r="A3340" s="319">
        <v>43005</v>
      </c>
      <c r="B3340" s="320" t="s">
        <v>31138</v>
      </c>
      <c r="C3340" s="321">
        <v>129099</v>
      </c>
      <c r="D3340" s="390" t="s">
        <v>19964</v>
      </c>
      <c r="E3340" s="322">
        <v>1407</v>
      </c>
      <c r="F3340" s="323">
        <v>43005</v>
      </c>
      <c r="G3340" s="322">
        <v>1407</v>
      </c>
      <c r="H3340" s="322">
        <f t="shared" si="48"/>
        <v>0</v>
      </c>
      <c r="I3340" s="325" t="s">
        <v>15214</v>
      </c>
    </row>
    <row r="3341" spans="1:9" x14ac:dyDescent="0.25">
      <c r="A3341" s="359">
        <v>43005</v>
      </c>
      <c r="B3341" s="326" t="s">
        <v>31139</v>
      </c>
      <c r="C3341" s="327">
        <v>129100</v>
      </c>
      <c r="D3341" s="391" t="s">
        <v>19964</v>
      </c>
      <c r="E3341" s="328">
        <v>210</v>
      </c>
      <c r="F3341" s="329">
        <v>43005</v>
      </c>
      <c r="G3341" s="328">
        <v>210</v>
      </c>
      <c r="H3341" s="347">
        <f t="shared" si="48"/>
        <v>0</v>
      </c>
      <c r="I3341" s="331" t="s">
        <v>15214</v>
      </c>
    </row>
    <row r="3342" spans="1:9" x14ac:dyDescent="0.25">
      <c r="A3342" s="319">
        <v>43005</v>
      </c>
      <c r="B3342" s="320" t="s">
        <v>31140</v>
      </c>
      <c r="C3342" s="321">
        <v>129101</v>
      </c>
      <c r="D3342" s="390" t="s">
        <v>15342</v>
      </c>
      <c r="E3342" s="322">
        <v>673.2</v>
      </c>
      <c r="F3342" s="323">
        <v>43006</v>
      </c>
      <c r="G3342" s="322">
        <v>673.2</v>
      </c>
      <c r="H3342" s="322">
        <f t="shared" si="48"/>
        <v>0</v>
      </c>
      <c r="I3342" s="325" t="s">
        <v>15214</v>
      </c>
    </row>
    <row r="3343" spans="1:9" x14ac:dyDescent="0.25">
      <c r="A3343" s="359">
        <v>43005</v>
      </c>
      <c r="B3343" s="326" t="s">
        <v>31141</v>
      </c>
      <c r="C3343" s="327">
        <v>129102</v>
      </c>
      <c r="D3343" s="391" t="s">
        <v>15315</v>
      </c>
      <c r="E3343" s="328">
        <v>6089.4</v>
      </c>
      <c r="F3343" s="329">
        <v>43006</v>
      </c>
      <c r="G3343" s="328">
        <v>6089.4</v>
      </c>
      <c r="H3343" s="347">
        <f t="shared" si="48"/>
        <v>0</v>
      </c>
      <c r="I3343" s="331" t="s">
        <v>15214</v>
      </c>
    </row>
    <row r="3344" spans="1:9" x14ac:dyDescent="0.25">
      <c r="A3344" s="319">
        <v>43005</v>
      </c>
      <c r="B3344" s="320" t="s">
        <v>31142</v>
      </c>
      <c r="C3344" s="321">
        <v>129103</v>
      </c>
      <c r="D3344" s="390" t="s">
        <v>15725</v>
      </c>
      <c r="E3344" s="322">
        <v>20228.599999999999</v>
      </c>
      <c r="F3344" s="323">
        <v>43006</v>
      </c>
      <c r="G3344" s="322">
        <v>20228.599999999999</v>
      </c>
      <c r="H3344" s="322">
        <f t="shared" si="48"/>
        <v>0</v>
      </c>
      <c r="I3344" s="325" t="s">
        <v>15214</v>
      </c>
    </row>
    <row r="3345" spans="1:9" ht="15.75" x14ac:dyDescent="0.25">
      <c r="A3345" s="359">
        <v>43005</v>
      </c>
      <c r="B3345" s="326" t="s">
        <v>31143</v>
      </c>
      <c r="C3345" s="327">
        <v>129104</v>
      </c>
      <c r="D3345" s="345" t="s">
        <v>95</v>
      </c>
      <c r="E3345" s="328">
        <v>0</v>
      </c>
      <c r="F3345" s="346" t="s">
        <v>95</v>
      </c>
      <c r="G3345" s="328">
        <v>0</v>
      </c>
      <c r="H3345" s="347">
        <f t="shared" si="48"/>
        <v>0</v>
      </c>
      <c r="I3345" s="331" t="s">
        <v>95</v>
      </c>
    </row>
    <row r="3346" spans="1:9" x14ac:dyDescent="0.25">
      <c r="A3346" s="319">
        <v>43005</v>
      </c>
      <c r="B3346" s="320" t="s">
        <v>31144</v>
      </c>
      <c r="C3346" s="321">
        <v>129105</v>
      </c>
      <c r="D3346" s="390" t="s">
        <v>15369</v>
      </c>
      <c r="E3346" s="322">
        <v>26762.7</v>
      </c>
      <c r="F3346" s="323">
        <v>43014</v>
      </c>
      <c r="G3346" s="322">
        <v>26762.7</v>
      </c>
      <c r="H3346" s="322">
        <f t="shared" si="48"/>
        <v>0</v>
      </c>
      <c r="I3346" s="325" t="s">
        <v>15214</v>
      </c>
    </row>
    <row r="3347" spans="1:9" ht="45" x14ac:dyDescent="0.25">
      <c r="A3347" s="359">
        <v>43005</v>
      </c>
      <c r="B3347" s="326" t="s">
        <v>31145</v>
      </c>
      <c r="C3347" s="327">
        <v>129106</v>
      </c>
      <c r="D3347" s="391" t="s">
        <v>15373</v>
      </c>
      <c r="E3347" s="328">
        <v>21352.6</v>
      </c>
      <c r="F3347" s="329" t="s">
        <v>31611</v>
      </c>
      <c r="G3347" s="347">
        <f>1594+10000+9758.6</f>
        <v>21352.6</v>
      </c>
      <c r="H3347" s="347">
        <f t="shared" si="48"/>
        <v>0</v>
      </c>
      <c r="I3347" s="331" t="s">
        <v>15214</v>
      </c>
    </row>
    <row r="3348" spans="1:9" x14ac:dyDescent="0.25">
      <c r="A3348" s="319">
        <v>43005</v>
      </c>
      <c r="B3348" s="320" t="s">
        <v>31146</v>
      </c>
      <c r="C3348" s="321">
        <v>129107</v>
      </c>
      <c r="D3348" s="390" t="s">
        <v>15394</v>
      </c>
      <c r="E3348" s="322">
        <v>14932.2</v>
      </c>
      <c r="F3348" s="323">
        <v>43008</v>
      </c>
      <c r="G3348" s="322">
        <v>14932.2</v>
      </c>
      <c r="H3348" s="322">
        <f t="shared" si="48"/>
        <v>0</v>
      </c>
      <c r="I3348" s="325" t="s">
        <v>15214</v>
      </c>
    </row>
    <row r="3349" spans="1:9" x14ac:dyDescent="0.25">
      <c r="A3349" s="359">
        <v>43005</v>
      </c>
      <c r="B3349" s="326" t="s">
        <v>31147</v>
      </c>
      <c r="C3349" s="327">
        <v>129108</v>
      </c>
      <c r="D3349" s="391" t="s">
        <v>15380</v>
      </c>
      <c r="E3349" s="328">
        <v>33073.199999999997</v>
      </c>
      <c r="F3349" s="329">
        <v>43014</v>
      </c>
      <c r="G3349" s="328">
        <v>33073.199999999997</v>
      </c>
      <c r="H3349" s="347">
        <f t="shared" si="48"/>
        <v>0</v>
      </c>
      <c r="I3349" s="331" t="s">
        <v>15214</v>
      </c>
    </row>
    <row r="3350" spans="1:9" x14ac:dyDescent="0.25">
      <c r="A3350" s="319">
        <v>43005</v>
      </c>
      <c r="B3350" s="320" t="s">
        <v>31148</v>
      </c>
      <c r="C3350" s="321">
        <v>129109</v>
      </c>
      <c r="D3350" s="390" t="s">
        <v>15389</v>
      </c>
      <c r="E3350" s="322">
        <v>16014.2</v>
      </c>
      <c r="F3350" s="323">
        <v>43014</v>
      </c>
      <c r="G3350" s="322">
        <v>16014.2</v>
      </c>
      <c r="H3350" s="322">
        <f t="shared" si="48"/>
        <v>0</v>
      </c>
      <c r="I3350" s="325" t="s">
        <v>15214</v>
      </c>
    </row>
    <row r="3351" spans="1:9" x14ac:dyDescent="0.25">
      <c r="A3351" s="359">
        <v>43005</v>
      </c>
      <c r="B3351" s="326" t="s">
        <v>31149</v>
      </c>
      <c r="C3351" s="327">
        <v>129110</v>
      </c>
      <c r="D3351" s="391" t="s">
        <v>15382</v>
      </c>
      <c r="E3351" s="328">
        <v>11257.3</v>
      </c>
      <c r="F3351" s="329">
        <v>43014</v>
      </c>
      <c r="G3351" s="328">
        <v>11257.3</v>
      </c>
      <c r="H3351" s="347">
        <f t="shared" si="48"/>
        <v>0</v>
      </c>
      <c r="I3351" s="331" t="s">
        <v>15214</v>
      </c>
    </row>
    <row r="3352" spans="1:9" x14ac:dyDescent="0.25">
      <c r="A3352" s="319">
        <v>43005</v>
      </c>
      <c r="B3352" s="320" t="s">
        <v>31150</v>
      </c>
      <c r="C3352" s="321">
        <v>129111</v>
      </c>
      <c r="D3352" s="390" t="s">
        <v>15367</v>
      </c>
      <c r="E3352" s="322">
        <v>5900</v>
      </c>
      <c r="F3352" s="323">
        <v>43006</v>
      </c>
      <c r="G3352" s="322">
        <v>5900</v>
      </c>
      <c r="H3352" s="322">
        <f t="shared" si="48"/>
        <v>0</v>
      </c>
      <c r="I3352" s="325" t="s">
        <v>15214</v>
      </c>
    </row>
    <row r="3353" spans="1:9" x14ac:dyDescent="0.25">
      <c r="A3353" s="359">
        <v>43005</v>
      </c>
      <c r="B3353" s="326" t="s">
        <v>31151</v>
      </c>
      <c r="C3353" s="327">
        <v>129112</v>
      </c>
      <c r="D3353" s="391" t="s">
        <v>15282</v>
      </c>
      <c r="E3353" s="328">
        <v>1088.2</v>
      </c>
      <c r="F3353" s="329">
        <v>43005</v>
      </c>
      <c r="G3353" s="328">
        <v>1088.2</v>
      </c>
      <c r="H3353" s="347">
        <f t="shared" si="48"/>
        <v>0</v>
      </c>
      <c r="I3353" s="331" t="s">
        <v>15214</v>
      </c>
    </row>
    <row r="3354" spans="1:9" x14ac:dyDescent="0.25">
      <c r="A3354" s="319">
        <v>43005</v>
      </c>
      <c r="B3354" s="320" t="s">
        <v>31152</v>
      </c>
      <c r="C3354" s="321">
        <v>129113</v>
      </c>
      <c r="D3354" s="390" t="s">
        <v>15665</v>
      </c>
      <c r="E3354" s="322">
        <v>552.79999999999995</v>
      </c>
      <c r="F3354" s="323">
        <v>43005</v>
      </c>
      <c r="G3354" s="322">
        <v>552.79999999999995</v>
      </c>
      <c r="H3354" s="322">
        <f t="shared" si="48"/>
        <v>0</v>
      </c>
      <c r="I3354" s="325" t="s">
        <v>15214</v>
      </c>
    </row>
    <row r="3355" spans="1:9" x14ac:dyDescent="0.25">
      <c r="A3355" s="359">
        <v>43005</v>
      </c>
      <c r="B3355" s="326" t="s">
        <v>31153</v>
      </c>
      <c r="C3355" s="327">
        <v>129114</v>
      </c>
      <c r="D3355" s="391" t="s">
        <v>17950</v>
      </c>
      <c r="E3355" s="328">
        <v>2021.6</v>
      </c>
      <c r="F3355" s="329">
        <v>43005</v>
      </c>
      <c r="G3355" s="328">
        <v>2021.6</v>
      </c>
      <c r="H3355" s="347">
        <f t="shared" si="48"/>
        <v>0</v>
      </c>
      <c r="I3355" s="331" t="s">
        <v>15214</v>
      </c>
    </row>
    <row r="3356" spans="1:9" x14ac:dyDescent="0.25">
      <c r="A3356" s="319">
        <v>43005</v>
      </c>
      <c r="B3356" s="320" t="s">
        <v>31154</v>
      </c>
      <c r="C3356" s="321">
        <v>129115</v>
      </c>
      <c r="D3356" s="390" t="s">
        <v>16286</v>
      </c>
      <c r="E3356" s="322">
        <v>3355.2</v>
      </c>
      <c r="F3356" s="323">
        <v>43005</v>
      </c>
      <c r="G3356" s="322">
        <v>3355.2</v>
      </c>
      <c r="H3356" s="322">
        <f t="shared" si="48"/>
        <v>0</v>
      </c>
      <c r="I3356" s="325" t="s">
        <v>15214</v>
      </c>
    </row>
    <row r="3357" spans="1:9" x14ac:dyDescent="0.25">
      <c r="A3357" s="359">
        <v>43005</v>
      </c>
      <c r="B3357" s="326" t="s">
        <v>31155</v>
      </c>
      <c r="C3357" s="327">
        <v>129116</v>
      </c>
      <c r="D3357" s="391" t="s">
        <v>15417</v>
      </c>
      <c r="E3357" s="328">
        <v>1831.2</v>
      </c>
      <c r="F3357" s="329">
        <v>43006</v>
      </c>
      <c r="G3357" s="328">
        <v>1831.2</v>
      </c>
      <c r="H3357" s="347">
        <f t="shared" si="48"/>
        <v>0</v>
      </c>
      <c r="I3357" s="331" t="s">
        <v>15214</v>
      </c>
    </row>
    <row r="3358" spans="1:9" x14ac:dyDescent="0.25">
      <c r="A3358" s="319">
        <v>43005</v>
      </c>
      <c r="B3358" s="320" t="s">
        <v>31156</v>
      </c>
      <c r="C3358" s="321">
        <v>129117</v>
      </c>
      <c r="D3358" s="390" t="s">
        <v>15396</v>
      </c>
      <c r="E3358" s="322">
        <v>4499.9399999999996</v>
      </c>
      <c r="F3358" s="323">
        <v>43005</v>
      </c>
      <c r="G3358" s="322">
        <v>4499.9399999999996</v>
      </c>
      <c r="H3358" s="322">
        <f t="shared" si="48"/>
        <v>0</v>
      </c>
      <c r="I3358" s="325" t="s">
        <v>15214</v>
      </c>
    </row>
    <row r="3359" spans="1:9" x14ac:dyDescent="0.25">
      <c r="A3359" s="359">
        <v>43005</v>
      </c>
      <c r="B3359" s="326" t="s">
        <v>31157</v>
      </c>
      <c r="C3359" s="327">
        <v>129118</v>
      </c>
      <c r="D3359" s="391" t="s">
        <v>15276</v>
      </c>
      <c r="E3359" s="328">
        <v>2150</v>
      </c>
      <c r="F3359" s="329">
        <v>43006</v>
      </c>
      <c r="G3359" s="328">
        <v>2150</v>
      </c>
      <c r="H3359" s="347">
        <f t="shared" si="48"/>
        <v>0</v>
      </c>
      <c r="I3359" s="331" t="s">
        <v>15214</v>
      </c>
    </row>
    <row r="3360" spans="1:9" x14ac:dyDescent="0.25">
      <c r="A3360" s="319">
        <v>43005</v>
      </c>
      <c r="B3360" s="320" t="s">
        <v>31158</v>
      </c>
      <c r="C3360" s="321">
        <v>129119</v>
      </c>
      <c r="D3360" s="390" t="s">
        <v>15614</v>
      </c>
      <c r="E3360" s="322">
        <v>5846.8</v>
      </c>
      <c r="F3360" s="323">
        <v>43008</v>
      </c>
      <c r="G3360" s="322">
        <v>5846.8</v>
      </c>
      <c r="H3360" s="322">
        <f t="shared" si="48"/>
        <v>0</v>
      </c>
      <c r="I3360" s="325" t="s">
        <v>15214</v>
      </c>
    </row>
    <row r="3361" spans="1:9" x14ac:dyDescent="0.25">
      <c r="A3361" s="359">
        <v>43005</v>
      </c>
      <c r="B3361" s="326" t="s">
        <v>31159</v>
      </c>
      <c r="C3361" s="327">
        <v>129120</v>
      </c>
      <c r="D3361" s="391" t="s">
        <v>28488</v>
      </c>
      <c r="E3361" s="328">
        <v>6989.4</v>
      </c>
      <c r="F3361" s="329">
        <v>43008</v>
      </c>
      <c r="G3361" s="328">
        <v>6989.4</v>
      </c>
      <c r="H3361" s="347">
        <f t="shared" si="48"/>
        <v>0</v>
      </c>
      <c r="I3361" s="331" t="s">
        <v>15214</v>
      </c>
    </row>
    <row r="3362" spans="1:9" x14ac:dyDescent="0.25">
      <c r="A3362" s="319">
        <v>43005</v>
      </c>
      <c r="B3362" s="320" t="s">
        <v>31160</v>
      </c>
      <c r="C3362" s="321">
        <v>129121</v>
      </c>
      <c r="D3362" s="390" t="s">
        <v>15617</v>
      </c>
      <c r="E3362" s="322">
        <v>25399.8</v>
      </c>
      <c r="F3362" s="323">
        <v>43006</v>
      </c>
      <c r="G3362" s="322">
        <v>25399.8</v>
      </c>
      <c r="H3362" s="322">
        <f t="shared" si="48"/>
        <v>0</v>
      </c>
      <c r="I3362" s="325" t="s">
        <v>15214</v>
      </c>
    </row>
    <row r="3363" spans="1:9" x14ac:dyDescent="0.25">
      <c r="A3363" s="359">
        <v>43005</v>
      </c>
      <c r="B3363" s="326" t="s">
        <v>31161</v>
      </c>
      <c r="C3363" s="327">
        <v>129122</v>
      </c>
      <c r="D3363" s="391" t="s">
        <v>15284</v>
      </c>
      <c r="E3363" s="328">
        <v>1118.5999999999999</v>
      </c>
      <c r="F3363" s="329">
        <v>43005</v>
      </c>
      <c r="G3363" s="328">
        <v>1118.5999999999999</v>
      </c>
      <c r="H3363" s="347">
        <f t="shared" si="48"/>
        <v>0</v>
      </c>
      <c r="I3363" s="331" t="s">
        <v>15214</v>
      </c>
    </row>
    <row r="3364" spans="1:9" x14ac:dyDescent="0.25">
      <c r="A3364" s="319">
        <v>43005</v>
      </c>
      <c r="B3364" s="320" t="s">
        <v>31162</v>
      </c>
      <c r="C3364" s="321">
        <v>129123</v>
      </c>
      <c r="D3364" s="390" t="s">
        <v>15391</v>
      </c>
      <c r="E3364" s="322">
        <v>4726.3999999999996</v>
      </c>
      <c r="F3364" s="323">
        <v>43006</v>
      </c>
      <c r="G3364" s="322">
        <v>4726.3999999999996</v>
      </c>
      <c r="H3364" s="322">
        <f t="shared" si="48"/>
        <v>0</v>
      </c>
      <c r="I3364" s="325" t="s">
        <v>15214</v>
      </c>
    </row>
    <row r="3365" spans="1:9" ht="15.75" x14ac:dyDescent="0.25">
      <c r="A3365" s="359">
        <v>43005</v>
      </c>
      <c r="B3365" s="326" t="s">
        <v>31163</v>
      </c>
      <c r="C3365" s="327">
        <v>129124</v>
      </c>
      <c r="D3365" s="345" t="s">
        <v>95</v>
      </c>
      <c r="E3365" s="328">
        <v>0</v>
      </c>
      <c r="F3365" s="346" t="s">
        <v>95</v>
      </c>
      <c r="G3365" s="328">
        <v>0</v>
      </c>
      <c r="H3365" s="347">
        <f t="shared" si="48"/>
        <v>0</v>
      </c>
      <c r="I3365" s="331" t="s">
        <v>95</v>
      </c>
    </row>
    <row r="3366" spans="1:9" x14ac:dyDescent="0.25">
      <c r="A3366" s="319">
        <v>43005</v>
      </c>
      <c r="B3366" s="320" t="s">
        <v>31164</v>
      </c>
      <c r="C3366" s="321">
        <v>129125</v>
      </c>
      <c r="D3366" s="390" t="s">
        <v>30255</v>
      </c>
      <c r="E3366" s="322">
        <v>5733</v>
      </c>
      <c r="F3366" s="323">
        <v>43006</v>
      </c>
      <c r="G3366" s="322">
        <v>5733</v>
      </c>
      <c r="H3366" s="322">
        <f t="shared" si="48"/>
        <v>0</v>
      </c>
      <c r="I3366" s="325" t="s">
        <v>15214</v>
      </c>
    </row>
    <row r="3367" spans="1:9" x14ac:dyDescent="0.25">
      <c r="A3367" s="359">
        <v>43005</v>
      </c>
      <c r="B3367" s="326" t="s">
        <v>31165</v>
      </c>
      <c r="C3367" s="327">
        <v>129126</v>
      </c>
      <c r="D3367" s="391" t="s">
        <v>15315</v>
      </c>
      <c r="E3367" s="328">
        <v>1256.2</v>
      </c>
      <c r="F3367" s="329">
        <v>43006</v>
      </c>
      <c r="G3367" s="328">
        <v>1256.2</v>
      </c>
      <c r="H3367" s="347">
        <f t="shared" si="48"/>
        <v>0</v>
      </c>
      <c r="I3367" s="331" t="s">
        <v>15214</v>
      </c>
    </row>
    <row r="3368" spans="1:9" x14ac:dyDescent="0.25">
      <c r="A3368" s="319">
        <v>43005</v>
      </c>
      <c r="B3368" s="320" t="s">
        <v>31166</v>
      </c>
      <c r="C3368" s="321">
        <v>129127</v>
      </c>
      <c r="D3368" s="390" t="s">
        <v>21445</v>
      </c>
      <c r="E3368" s="322">
        <v>2083.5</v>
      </c>
      <c r="F3368" s="323">
        <v>43006</v>
      </c>
      <c r="G3368" s="322">
        <v>2083.5</v>
      </c>
      <c r="H3368" s="322">
        <f t="shared" si="48"/>
        <v>0</v>
      </c>
      <c r="I3368" s="325" t="s">
        <v>15214</v>
      </c>
    </row>
    <row r="3369" spans="1:9" x14ac:dyDescent="0.25">
      <c r="A3369" s="359">
        <v>43005</v>
      </c>
      <c r="B3369" s="326" t="s">
        <v>31167</v>
      </c>
      <c r="C3369" s="327">
        <v>129128</v>
      </c>
      <c r="D3369" s="391" t="s">
        <v>15387</v>
      </c>
      <c r="E3369" s="328">
        <v>2198.48</v>
      </c>
      <c r="F3369" s="329">
        <v>43006</v>
      </c>
      <c r="G3369" s="328">
        <v>2198.48</v>
      </c>
      <c r="H3369" s="347">
        <f t="shared" si="48"/>
        <v>0</v>
      </c>
      <c r="I3369" s="331" t="s">
        <v>15214</v>
      </c>
    </row>
    <row r="3370" spans="1:9" x14ac:dyDescent="0.25">
      <c r="A3370" s="319">
        <v>43005</v>
      </c>
      <c r="B3370" s="320" t="s">
        <v>31168</v>
      </c>
      <c r="C3370" s="321">
        <v>129129</v>
      </c>
      <c r="D3370" s="390" t="s">
        <v>15716</v>
      </c>
      <c r="E3370" s="322">
        <v>6536.4</v>
      </c>
      <c r="F3370" s="323">
        <v>43005</v>
      </c>
      <c r="G3370" s="322">
        <v>6536.4</v>
      </c>
      <c r="H3370" s="322">
        <f t="shared" si="48"/>
        <v>0</v>
      </c>
      <c r="I3370" s="325" t="s">
        <v>15214</v>
      </c>
    </row>
    <row r="3371" spans="1:9" x14ac:dyDescent="0.25">
      <c r="A3371" s="359">
        <v>43005</v>
      </c>
      <c r="B3371" s="326" t="s">
        <v>31169</v>
      </c>
      <c r="C3371" s="327">
        <v>129130</v>
      </c>
      <c r="D3371" s="391" t="s">
        <v>15315</v>
      </c>
      <c r="E3371" s="328">
        <v>572.70000000000005</v>
      </c>
      <c r="F3371" s="329">
        <v>43005</v>
      </c>
      <c r="G3371" s="328">
        <v>572.70000000000005</v>
      </c>
      <c r="H3371" s="347">
        <f t="shared" si="48"/>
        <v>0</v>
      </c>
      <c r="I3371" s="331" t="s">
        <v>15214</v>
      </c>
    </row>
    <row r="3372" spans="1:9" x14ac:dyDescent="0.25">
      <c r="A3372" s="319">
        <v>43005</v>
      </c>
      <c r="B3372" s="320" t="s">
        <v>31170</v>
      </c>
      <c r="C3372" s="321">
        <v>129131</v>
      </c>
      <c r="D3372" s="390" t="s">
        <v>15581</v>
      </c>
      <c r="E3372" s="322">
        <v>8632.7999999999993</v>
      </c>
      <c r="F3372" s="323">
        <v>43008</v>
      </c>
      <c r="G3372" s="322">
        <v>8632.7999999999993</v>
      </c>
      <c r="H3372" s="322">
        <f t="shared" si="48"/>
        <v>0</v>
      </c>
      <c r="I3372" s="325" t="s">
        <v>15214</v>
      </c>
    </row>
    <row r="3373" spans="1:9" x14ac:dyDescent="0.25">
      <c r="A3373" s="359">
        <v>43005</v>
      </c>
      <c r="B3373" s="326" t="s">
        <v>31171</v>
      </c>
      <c r="C3373" s="327">
        <v>129132</v>
      </c>
      <c r="D3373" s="391" t="s">
        <v>15385</v>
      </c>
      <c r="E3373" s="328">
        <v>11114.4</v>
      </c>
      <c r="F3373" s="329">
        <v>43006</v>
      </c>
      <c r="G3373" s="328">
        <v>11114.4</v>
      </c>
      <c r="H3373" s="347">
        <f t="shared" si="48"/>
        <v>0</v>
      </c>
      <c r="I3373" s="331" t="s">
        <v>15214</v>
      </c>
    </row>
    <row r="3374" spans="1:9" x14ac:dyDescent="0.25">
      <c r="A3374" s="319">
        <v>43005</v>
      </c>
      <c r="B3374" s="320" t="s">
        <v>31172</v>
      </c>
      <c r="C3374" s="321">
        <v>129133</v>
      </c>
      <c r="D3374" s="390" t="s">
        <v>15380</v>
      </c>
      <c r="E3374" s="322">
        <v>60</v>
      </c>
      <c r="F3374" s="323">
        <v>43006</v>
      </c>
      <c r="G3374" s="322">
        <v>60</v>
      </c>
      <c r="H3374" s="322">
        <f t="shared" si="48"/>
        <v>0</v>
      </c>
      <c r="I3374" s="325" t="s">
        <v>15214</v>
      </c>
    </row>
    <row r="3375" spans="1:9" x14ac:dyDescent="0.25">
      <c r="A3375" s="359">
        <v>43005</v>
      </c>
      <c r="B3375" s="326" t="s">
        <v>31173</v>
      </c>
      <c r="C3375" s="327">
        <v>129134</v>
      </c>
      <c r="D3375" s="391" t="s">
        <v>15315</v>
      </c>
      <c r="E3375" s="328">
        <v>1078</v>
      </c>
      <c r="F3375" s="329">
        <v>43006</v>
      </c>
      <c r="G3375" s="328">
        <v>1078</v>
      </c>
      <c r="H3375" s="347">
        <f t="shared" si="48"/>
        <v>0</v>
      </c>
      <c r="I3375" s="331" t="s">
        <v>15214</v>
      </c>
    </row>
    <row r="3376" spans="1:9" x14ac:dyDescent="0.25">
      <c r="A3376" s="319">
        <v>43005</v>
      </c>
      <c r="B3376" s="320" t="s">
        <v>31174</v>
      </c>
      <c r="C3376" s="321">
        <v>129135</v>
      </c>
      <c r="D3376" s="390" t="s">
        <v>15246</v>
      </c>
      <c r="E3376" s="322">
        <v>115492.18</v>
      </c>
      <c r="F3376" s="323">
        <v>43008</v>
      </c>
      <c r="G3376" s="322">
        <v>115492.18</v>
      </c>
      <c r="H3376" s="322">
        <f t="shared" si="48"/>
        <v>0</v>
      </c>
      <c r="I3376" s="325" t="s">
        <v>15214</v>
      </c>
    </row>
    <row r="3377" spans="1:9" x14ac:dyDescent="0.25">
      <c r="A3377" s="359">
        <v>43005</v>
      </c>
      <c r="B3377" s="326" t="s">
        <v>31175</v>
      </c>
      <c r="C3377" s="327">
        <v>129136</v>
      </c>
      <c r="D3377" s="391" t="s">
        <v>15246</v>
      </c>
      <c r="E3377" s="328">
        <v>185711.84</v>
      </c>
      <c r="F3377" s="329">
        <v>43008</v>
      </c>
      <c r="G3377" s="328">
        <v>185711.84</v>
      </c>
      <c r="H3377" s="347">
        <f t="shared" ref="H3377:H3440" si="49">E3377-G3377</f>
        <v>0</v>
      </c>
      <c r="I3377" s="331" t="s">
        <v>15214</v>
      </c>
    </row>
    <row r="3378" spans="1:9" x14ac:dyDescent="0.25">
      <c r="A3378" s="319">
        <v>43005</v>
      </c>
      <c r="B3378" s="320" t="s">
        <v>31176</v>
      </c>
      <c r="C3378" s="321">
        <v>129137</v>
      </c>
      <c r="D3378" s="390" t="s">
        <v>5883</v>
      </c>
      <c r="E3378" s="322">
        <v>9159.9</v>
      </c>
      <c r="F3378" s="323">
        <v>43011</v>
      </c>
      <c r="G3378" s="322">
        <v>9159.9</v>
      </c>
      <c r="H3378" s="322">
        <f t="shared" si="49"/>
        <v>0</v>
      </c>
      <c r="I3378" s="325" t="s">
        <v>15214</v>
      </c>
    </row>
    <row r="3379" spans="1:9" x14ac:dyDescent="0.25">
      <c r="A3379" s="359">
        <v>43005</v>
      </c>
      <c r="B3379" s="326" t="s">
        <v>31177</v>
      </c>
      <c r="C3379" s="327">
        <v>129138</v>
      </c>
      <c r="D3379" s="391" t="s">
        <v>15444</v>
      </c>
      <c r="E3379" s="328">
        <v>2800</v>
      </c>
      <c r="F3379" s="329">
        <v>43006</v>
      </c>
      <c r="G3379" s="328">
        <v>2800</v>
      </c>
      <c r="H3379" s="347">
        <f t="shared" si="49"/>
        <v>0</v>
      </c>
      <c r="I3379" s="331" t="s">
        <v>15214</v>
      </c>
    </row>
    <row r="3380" spans="1:9" x14ac:dyDescent="0.25">
      <c r="A3380" s="319">
        <v>43005</v>
      </c>
      <c r="B3380" s="320" t="s">
        <v>31178</v>
      </c>
      <c r="C3380" s="321">
        <v>129139</v>
      </c>
      <c r="D3380" s="390" t="s">
        <v>16249</v>
      </c>
      <c r="E3380" s="322">
        <v>4109.7</v>
      </c>
      <c r="F3380" s="323">
        <v>43005</v>
      </c>
      <c r="G3380" s="322">
        <v>4109.7</v>
      </c>
      <c r="H3380" s="322">
        <f t="shared" si="49"/>
        <v>0</v>
      </c>
      <c r="I3380" s="325" t="s">
        <v>15214</v>
      </c>
    </row>
    <row r="3381" spans="1:9" x14ac:dyDescent="0.25">
      <c r="A3381" s="359">
        <v>43005</v>
      </c>
      <c r="B3381" s="326" t="s">
        <v>31179</v>
      </c>
      <c r="C3381" s="327">
        <v>129140</v>
      </c>
      <c r="D3381" s="391" t="s">
        <v>15298</v>
      </c>
      <c r="E3381" s="328">
        <v>46</v>
      </c>
      <c r="F3381" s="329">
        <v>43005</v>
      </c>
      <c r="G3381" s="328">
        <v>46</v>
      </c>
      <c r="H3381" s="347">
        <f t="shared" si="49"/>
        <v>0</v>
      </c>
      <c r="I3381" s="331" t="s">
        <v>15214</v>
      </c>
    </row>
    <row r="3382" spans="1:9" x14ac:dyDescent="0.25">
      <c r="A3382" s="319">
        <v>43005</v>
      </c>
      <c r="B3382" s="320" t="s">
        <v>31180</v>
      </c>
      <c r="C3382" s="321">
        <v>129141</v>
      </c>
      <c r="D3382" s="390" t="s">
        <v>15423</v>
      </c>
      <c r="E3382" s="322">
        <v>4936.3999999999996</v>
      </c>
      <c r="F3382" s="323">
        <v>43005</v>
      </c>
      <c r="G3382" s="322">
        <v>4936.3999999999996</v>
      </c>
      <c r="H3382" s="322">
        <f t="shared" si="49"/>
        <v>0</v>
      </c>
      <c r="I3382" s="325" t="s">
        <v>15214</v>
      </c>
    </row>
    <row r="3383" spans="1:9" x14ac:dyDescent="0.25">
      <c r="A3383" s="359">
        <v>43005</v>
      </c>
      <c r="B3383" s="326" t="s">
        <v>31181</v>
      </c>
      <c r="C3383" s="327">
        <v>129142</v>
      </c>
      <c r="D3383" s="391" t="s">
        <v>15592</v>
      </c>
      <c r="E3383" s="328">
        <v>10999.7</v>
      </c>
      <c r="F3383" s="329">
        <v>43006</v>
      </c>
      <c r="G3383" s="328">
        <v>10999.7</v>
      </c>
      <c r="H3383" s="347">
        <f t="shared" si="49"/>
        <v>0</v>
      </c>
      <c r="I3383" s="331" t="s">
        <v>15214</v>
      </c>
    </row>
    <row r="3384" spans="1:9" x14ac:dyDescent="0.25">
      <c r="A3384" s="319">
        <v>43005</v>
      </c>
      <c r="B3384" s="320" t="s">
        <v>31182</v>
      </c>
      <c r="C3384" s="321">
        <v>129143</v>
      </c>
      <c r="D3384" s="390" t="s">
        <v>15789</v>
      </c>
      <c r="E3384" s="322">
        <v>25451.200000000001</v>
      </c>
      <c r="F3384" s="323">
        <v>43012</v>
      </c>
      <c r="G3384" s="322">
        <v>25451.200000000001</v>
      </c>
      <c r="H3384" s="322">
        <f t="shared" si="49"/>
        <v>0</v>
      </c>
      <c r="I3384" s="325" t="s">
        <v>15214</v>
      </c>
    </row>
    <row r="3385" spans="1:9" x14ac:dyDescent="0.25">
      <c r="A3385" s="359">
        <v>43005</v>
      </c>
      <c r="B3385" s="326" t="s">
        <v>31183</v>
      </c>
      <c r="C3385" s="327">
        <v>129144</v>
      </c>
      <c r="D3385" s="391" t="s">
        <v>15263</v>
      </c>
      <c r="E3385" s="328">
        <v>445</v>
      </c>
      <c r="F3385" s="329">
        <v>43005</v>
      </c>
      <c r="G3385" s="328">
        <v>445</v>
      </c>
      <c r="H3385" s="347">
        <f t="shared" si="49"/>
        <v>0</v>
      </c>
      <c r="I3385" s="331" t="s">
        <v>15214</v>
      </c>
    </row>
    <row r="3386" spans="1:9" x14ac:dyDescent="0.25">
      <c r="A3386" s="319">
        <v>43005</v>
      </c>
      <c r="B3386" s="320" t="s">
        <v>31184</v>
      </c>
      <c r="C3386" s="321">
        <v>129145</v>
      </c>
      <c r="D3386" s="390" t="s">
        <v>15642</v>
      </c>
      <c r="E3386" s="322">
        <v>5730.9</v>
      </c>
      <c r="F3386" s="323">
        <v>43005</v>
      </c>
      <c r="G3386" s="322">
        <v>5730.9</v>
      </c>
      <c r="H3386" s="322">
        <f t="shared" si="49"/>
        <v>0</v>
      </c>
      <c r="I3386" s="325" t="s">
        <v>15214</v>
      </c>
    </row>
    <row r="3387" spans="1:9" x14ac:dyDescent="0.25">
      <c r="A3387" s="359">
        <v>43005</v>
      </c>
      <c r="B3387" s="326" t="s">
        <v>31185</v>
      </c>
      <c r="C3387" s="327">
        <v>129146</v>
      </c>
      <c r="D3387" s="391" t="s">
        <v>15365</v>
      </c>
      <c r="E3387" s="328">
        <v>436320</v>
      </c>
      <c r="F3387" s="329">
        <v>43007</v>
      </c>
      <c r="G3387" s="328">
        <v>436320</v>
      </c>
      <c r="H3387" s="347">
        <f t="shared" si="49"/>
        <v>0</v>
      </c>
      <c r="I3387" s="331" t="s">
        <v>15214</v>
      </c>
    </row>
    <row r="3388" spans="1:9" x14ac:dyDescent="0.25">
      <c r="A3388" s="319">
        <v>43005</v>
      </c>
      <c r="B3388" s="320" t="s">
        <v>31186</v>
      </c>
      <c r="C3388" s="321">
        <v>129147</v>
      </c>
      <c r="D3388" s="390" t="s">
        <v>15435</v>
      </c>
      <c r="E3388" s="322">
        <v>8776.7999999999993</v>
      </c>
      <c r="F3388" s="323">
        <v>43005</v>
      </c>
      <c r="G3388" s="322">
        <v>8776.7999999999993</v>
      </c>
      <c r="H3388" s="322">
        <f t="shared" si="49"/>
        <v>0</v>
      </c>
      <c r="I3388" s="325" t="s">
        <v>15214</v>
      </c>
    </row>
    <row r="3389" spans="1:9" x14ac:dyDescent="0.25">
      <c r="A3389" s="359">
        <v>43005</v>
      </c>
      <c r="B3389" s="326" t="s">
        <v>31187</v>
      </c>
      <c r="C3389" s="327">
        <v>129148</v>
      </c>
      <c r="D3389" s="391" t="s">
        <v>19680</v>
      </c>
      <c r="E3389" s="328">
        <v>141</v>
      </c>
      <c r="F3389" s="329">
        <v>43005</v>
      </c>
      <c r="G3389" s="328">
        <v>141</v>
      </c>
      <c r="H3389" s="347">
        <f t="shared" si="49"/>
        <v>0</v>
      </c>
      <c r="I3389" s="331" t="s">
        <v>15214</v>
      </c>
    </row>
    <row r="3390" spans="1:9" x14ac:dyDescent="0.25">
      <c r="A3390" s="319">
        <v>43005</v>
      </c>
      <c r="B3390" s="320" t="s">
        <v>31188</v>
      </c>
      <c r="C3390" s="321">
        <v>129149</v>
      </c>
      <c r="D3390" s="390" t="s">
        <v>15246</v>
      </c>
      <c r="E3390" s="322">
        <v>8000</v>
      </c>
      <c r="F3390" s="323">
        <v>43008</v>
      </c>
      <c r="G3390" s="322">
        <v>8000</v>
      </c>
      <c r="H3390" s="322">
        <f t="shared" si="49"/>
        <v>0</v>
      </c>
      <c r="I3390" s="325" t="s">
        <v>15214</v>
      </c>
    </row>
    <row r="3391" spans="1:9" x14ac:dyDescent="0.25">
      <c r="A3391" s="359">
        <v>43006</v>
      </c>
      <c r="B3391" s="326" t="s">
        <v>31189</v>
      </c>
      <c r="C3391" s="327">
        <v>129150</v>
      </c>
      <c r="D3391" s="391" t="s">
        <v>21386</v>
      </c>
      <c r="E3391" s="328">
        <v>9430.2000000000007</v>
      </c>
      <c r="F3391" s="329">
        <v>43007</v>
      </c>
      <c r="G3391" s="328">
        <v>9430.2000000000007</v>
      </c>
      <c r="H3391" s="347">
        <f t="shared" si="49"/>
        <v>0</v>
      </c>
      <c r="I3391" s="331" t="s">
        <v>15214</v>
      </c>
    </row>
    <row r="3392" spans="1:9" x14ac:dyDescent="0.25">
      <c r="A3392" s="319">
        <v>43006</v>
      </c>
      <c r="B3392" s="320" t="s">
        <v>31190</v>
      </c>
      <c r="C3392" s="321">
        <v>129151</v>
      </c>
      <c r="D3392" s="390" t="s">
        <v>15213</v>
      </c>
      <c r="E3392" s="322">
        <v>38564.800000000003</v>
      </c>
      <c r="F3392" s="323">
        <v>43007</v>
      </c>
      <c r="G3392" s="322">
        <v>38564.800000000003</v>
      </c>
      <c r="H3392" s="322">
        <f t="shared" si="49"/>
        <v>0</v>
      </c>
      <c r="I3392" s="325" t="s">
        <v>15214</v>
      </c>
    </row>
    <row r="3393" spans="1:9" x14ac:dyDescent="0.25">
      <c r="A3393" s="359">
        <v>43006</v>
      </c>
      <c r="B3393" s="326" t="s">
        <v>31191</v>
      </c>
      <c r="C3393" s="327">
        <v>129152</v>
      </c>
      <c r="D3393" s="391" t="s">
        <v>15920</v>
      </c>
      <c r="E3393" s="328">
        <v>6154.4</v>
      </c>
      <c r="F3393" s="329">
        <v>43006</v>
      </c>
      <c r="G3393" s="328">
        <v>6154.4</v>
      </c>
      <c r="H3393" s="347">
        <f t="shared" si="49"/>
        <v>0</v>
      </c>
      <c r="I3393" s="331" t="s">
        <v>15214</v>
      </c>
    </row>
    <row r="3394" spans="1:9" x14ac:dyDescent="0.25">
      <c r="A3394" s="319">
        <v>43006</v>
      </c>
      <c r="B3394" s="320" t="s">
        <v>31192</v>
      </c>
      <c r="C3394" s="321">
        <v>129153</v>
      </c>
      <c r="D3394" s="390" t="s">
        <v>15230</v>
      </c>
      <c r="E3394" s="322">
        <v>9601.7999999999993</v>
      </c>
      <c r="F3394" s="323">
        <v>43011</v>
      </c>
      <c r="G3394" s="322">
        <v>9601.7999999999993</v>
      </c>
      <c r="H3394" s="322">
        <f t="shared" si="49"/>
        <v>0</v>
      </c>
      <c r="I3394" s="325" t="s">
        <v>15214</v>
      </c>
    </row>
    <row r="3395" spans="1:9" ht="15.75" x14ac:dyDescent="0.25">
      <c r="A3395" s="359">
        <v>43006</v>
      </c>
      <c r="B3395" s="326" t="s">
        <v>31193</v>
      </c>
      <c r="C3395" s="327">
        <v>129154</v>
      </c>
      <c r="D3395" s="345" t="s">
        <v>95</v>
      </c>
      <c r="E3395" s="328">
        <v>0</v>
      </c>
      <c r="F3395" s="346" t="s">
        <v>95</v>
      </c>
      <c r="G3395" s="328">
        <v>0</v>
      </c>
      <c r="H3395" s="347">
        <f t="shared" si="49"/>
        <v>0</v>
      </c>
      <c r="I3395" s="331" t="s">
        <v>95</v>
      </c>
    </row>
    <row r="3396" spans="1:9" x14ac:dyDescent="0.25">
      <c r="A3396" s="319">
        <v>43006</v>
      </c>
      <c r="B3396" s="320" t="s">
        <v>31194</v>
      </c>
      <c r="C3396" s="321">
        <v>129155</v>
      </c>
      <c r="D3396" s="390" t="s">
        <v>15480</v>
      </c>
      <c r="E3396" s="322">
        <v>3678.4</v>
      </c>
      <c r="F3396" s="323">
        <v>43010</v>
      </c>
      <c r="G3396" s="322">
        <v>3678.4</v>
      </c>
      <c r="H3396" s="322">
        <f t="shared" si="49"/>
        <v>0</v>
      </c>
      <c r="I3396" s="325" t="s">
        <v>15214</v>
      </c>
    </row>
    <row r="3397" spans="1:9" ht="30" x14ac:dyDescent="0.25">
      <c r="A3397" s="359">
        <v>43006</v>
      </c>
      <c r="B3397" s="326" t="s">
        <v>31195</v>
      </c>
      <c r="C3397" s="327">
        <v>129156</v>
      </c>
      <c r="D3397" s="391" t="s">
        <v>15234</v>
      </c>
      <c r="E3397" s="328">
        <v>3427.6</v>
      </c>
      <c r="F3397" s="329" t="s">
        <v>31609</v>
      </c>
      <c r="G3397" s="347">
        <f>1000+2427.6</f>
        <v>3427.6</v>
      </c>
      <c r="H3397" s="347">
        <f t="shared" si="49"/>
        <v>0</v>
      </c>
      <c r="I3397" s="331" t="s">
        <v>15214</v>
      </c>
    </row>
    <row r="3398" spans="1:9" x14ac:dyDescent="0.25">
      <c r="A3398" s="319">
        <v>43006</v>
      </c>
      <c r="B3398" s="320" t="s">
        <v>31196</v>
      </c>
      <c r="C3398" s="321">
        <v>129157</v>
      </c>
      <c r="D3398" s="390" t="s">
        <v>15242</v>
      </c>
      <c r="E3398" s="322">
        <v>12504</v>
      </c>
      <c r="F3398" s="323">
        <v>43006</v>
      </c>
      <c r="G3398" s="322">
        <v>12504</v>
      </c>
      <c r="H3398" s="322">
        <f t="shared" si="49"/>
        <v>0</v>
      </c>
      <c r="I3398" s="325" t="s">
        <v>15214</v>
      </c>
    </row>
    <row r="3399" spans="1:9" ht="30" x14ac:dyDescent="0.25">
      <c r="A3399" s="359">
        <v>43006</v>
      </c>
      <c r="B3399" s="326" t="s">
        <v>31197</v>
      </c>
      <c r="C3399" s="327">
        <v>129158</v>
      </c>
      <c r="D3399" s="391" t="s">
        <v>15223</v>
      </c>
      <c r="E3399" s="328">
        <v>45574.2</v>
      </c>
      <c r="F3399" s="329" t="s">
        <v>31627</v>
      </c>
      <c r="G3399" s="347">
        <f>41089.58+4484.62</f>
        <v>45574.200000000004</v>
      </c>
      <c r="H3399" s="347">
        <f t="shared" si="49"/>
        <v>0</v>
      </c>
      <c r="I3399" s="331" t="s">
        <v>15214</v>
      </c>
    </row>
    <row r="3400" spans="1:9" x14ac:dyDescent="0.25">
      <c r="A3400" s="319">
        <v>43006</v>
      </c>
      <c r="B3400" s="320" t="s">
        <v>31198</v>
      </c>
      <c r="C3400" s="321">
        <v>129159</v>
      </c>
      <c r="D3400" s="390" t="s">
        <v>15256</v>
      </c>
      <c r="E3400" s="322">
        <v>336.3</v>
      </c>
      <c r="F3400" s="323">
        <v>43008</v>
      </c>
      <c r="G3400" s="322">
        <v>336.3</v>
      </c>
      <c r="H3400" s="322">
        <f t="shared" si="49"/>
        <v>0</v>
      </c>
      <c r="I3400" s="325" t="s">
        <v>15214</v>
      </c>
    </row>
    <row r="3401" spans="1:9" x14ac:dyDescent="0.25">
      <c r="A3401" s="359">
        <v>43006</v>
      </c>
      <c r="B3401" s="326" t="s">
        <v>31199</v>
      </c>
      <c r="C3401" s="327">
        <v>129160</v>
      </c>
      <c r="D3401" s="391" t="s">
        <v>15636</v>
      </c>
      <c r="E3401" s="328">
        <v>17234.599999999999</v>
      </c>
      <c r="F3401" s="329">
        <v>43006</v>
      </c>
      <c r="G3401" s="328">
        <v>17234.599999999999</v>
      </c>
      <c r="H3401" s="347">
        <f t="shared" si="49"/>
        <v>0</v>
      </c>
      <c r="I3401" s="331" t="s">
        <v>15214</v>
      </c>
    </row>
    <row r="3402" spans="1:9" x14ac:dyDescent="0.25">
      <c r="A3402" s="319">
        <v>43006</v>
      </c>
      <c r="B3402" s="320" t="s">
        <v>31200</v>
      </c>
      <c r="C3402" s="321">
        <v>129161</v>
      </c>
      <c r="D3402" s="390" t="s">
        <v>15284</v>
      </c>
      <c r="E3402" s="322">
        <v>1485</v>
      </c>
      <c r="F3402" s="323">
        <v>43006</v>
      </c>
      <c r="G3402" s="322">
        <v>1485</v>
      </c>
      <c r="H3402" s="322">
        <f t="shared" si="49"/>
        <v>0</v>
      </c>
      <c r="I3402" s="325" t="s">
        <v>15214</v>
      </c>
    </row>
    <row r="3403" spans="1:9" ht="15.75" x14ac:dyDescent="0.25">
      <c r="A3403" s="359">
        <v>43006</v>
      </c>
      <c r="B3403" s="326" t="s">
        <v>31201</v>
      </c>
      <c r="C3403" s="327">
        <v>129162</v>
      </c>
      <c r="D3403" s="345" t="s">
        <v>95</v>
      </c>
      <c r="E3403" s="328">
        <v>0</v>
      </c>
      <c r="F3403" s="346" t="s">
        <v>95</v>
      </c>
      <c r="G3403" s="328">
        <v>0</v>
      </c>
      <c r="H3403" s="347">
        <f t="shared" si="49"/>
        <v>0</v>
      </c>
      <c r="I3403" s="331" t="s">
        <v>95</v>
      </c>
    </row>
    <row r="3404" spans="1:9" x14ac:dyDescent="0.25">
      <c r="A3404" s="319">
        <v>43006</v>
      </c>
      <c r="B3404" s="320" t="s">
        <v>31202</v>
      </c>
      <c r="C3404" s="321">
        <v>129163</v>
      </c>
      <c r="D3404" s="390" t="s">
        <v>19780</v>
      </c>
      <c r="E3404" s="322">
        <v>10856.6</v>
      </c>
      <c r="F3404" s="323">
        <v>43007</v>
      </c>
      <c r="G3404" s="322">
        <v>10856.6</v>
      </c>
      <c r="H3404" s="322">
        <f t="shared" si="49"/>
        <v>0</v>
      </c>
      <c r="I3404" s="325" t="s">
        <v>15214</v>
      </c>
    </row>
    <row r="3405" spans="1:9" x14ac:dyDescent="0.25">
      <c r="A3405" s="359">
        <v>43006</v>
      </c>
      <c r="B3405" s="326" t="s">
        <v>31203</v>
      </c>
      <c r="C3405" s="327">
        <v>129164</v>
      </c>
      <c r="D3405" s="391" t="s">
        <v>15263</v>
      </c>
      <c r="E3405" s="328">
        <v>3464</v>
      </c>
      <c r="F3405" s="329">
        <v>43006</v>
      </c>
      <c r="G3405" s="328">
        <v>3464</v>
      </c>
      <c r="H3405" s="347">
        <f t="shared" si="49"/>
        <v>0</v>
      </c>
      <c r="I3405" s="331" t="s">
        <v>15214</v>
      </c>
    </row>
    <row r="3406" spans="1:9" x14ac:dyDescent="0.25">
      <c r="A3406" s="319">
        <v>43006</v>
      </c>
      <c r="B3406" s="320" t="s">
        <v>31204</v>
      </c>
      <c r="C3406" s="321">
        <v>129165</v>
      </c>
      <c r="D3406" s="390" t="s">
        <v>15272</v>
      </c>
      <c r="E3406" s="322">
        <v>18519.599999999999</v>
      </c>
      <c r="F3406" s="323">
        <v>43006</v>
      </c>
      <c r="G3406" s="322">
        <v>18519.599999999999</v>
      </c>
      <c r="H3406" s="322">
        <f t="shared" si="49"/>
        <v>0</v>
      </c>
      <c r="I3406" s="325" t="s">
        <v>15214</v>
      </c>
    </row>
    <row r="3407" spans="1:9" x14ac:dyDescent="0.25">
      <c r="A3407" s="359">
        <v>43006</v>
      </c>
      <c r="B3407" s="326" t="s">
        <v>31205</v>
      </c>
      <c r="C3407" s="327">
        <v>129166</v>
      </c>
      <c r="D3407" s="391" t="s">
        <v>15523</v>
      </c>
      <c r="E3407" s="328">
        <v>1505</v>
      </c>
      <c r="F3407" s="329">
        <v>43006</v>
      </c>
      <c r="G3407" s="328">
        <v>1505</v>
      </c>
      <c r="H3407" s="347">
        <f t="shared" si="49"/>
        <v>0</v>
      </c>
      <c r="I3407" s="331" t="s">
        <v>15214</v>
      </c>
    </row>
    <row r="3408" spans="1:9" x14ac:dyDescent="0.25">
      <c r="A3408" s="319">
        <v>43006</v>
      </c>
      <c r="B3408" s="320" t="s">
        <v>31206</v>
      </c>
      <c r="C3408" s="321">
        <v>129167</v>
      </c>
      <c r="D3408" s="390" t="s">
        <v>15668</v>
      </c>
      <c r="E3408" s="322">
        <v>13452</v>
      </c>
      <c r="F3408" s="323">
        <v>43010</v>
      </c>
      <c r="G3408" s="322">
        <v>13452</v>
      </c>
      <c r="H3408" s="322">
        <f t="shared" si="49"/>
        <v>0</v>
      </c>
      <c r="I3408" s="325" t="s">
        <v>15214</v>
      </c>
    </row>
    <row r="3409" spans="1:9" x14ac:dyDescent="0.25">
      <c r="A3409" s="359">
        <v>43006</v>
      </c>
      <c r="B3409" s="326" t="s">
        <v>31207</v>
      </c>
      <c r="C3409" s="327">
        <v>129168</v>
      </c>
      <c r="D3409" s="391" t="s">
        <v>15258</v>
      </c>
      <c r="E3409" s="328">
        <v>11692.6</v>
      </c>
      <c r="F3409" s="329">
        <v>43010</v>
      </c>
      <c r="G3409" s="328">
        <v>11692.6</v>
      </c>
      <c r="H3409" s="347">
        <f t="shared" si="49"/>
        <v>0</v>
      </c>
      <c r="I3409" s="331" t="s">
        <v>15214</v>
      </c>
    </row>
    <row r="3410" spans="1:9" x14ac:dyDescent="0.25">
      <c r="A3410" s="319">
        <v>43006</v>
      </c>
      <c r="B3410" s="320" t="s">
        <v>31208</v>
      </c>
      <c r="C3410" s="321">
        <v>129169</v>
      </c>
      <c r="D3410" s="390" t="s">
        <v>30057</v>
      </c>
      <c r="E3410" s="322">
        <v>3822.8</v>
      </c>
      <c r="F3410" s="323">
        <v>43007</v>
      </c>
      <c r="G3410" s="322">
        <v>3822.8</v>
      </c>
      <c r="H3410" s="322">
        <f t="shared" si="49"/>
        <v>0</v>
      </c>
      <c r="I3410" s="325" t="s">
        <v>15214</v>
      </c>
    </row>
    <row r="3411" spans="1:9" x14ac:dyDescent="0.25">
      <c r="A3411" s="359">
        <v>43006</v>
      </c>
      <c r="B3411" s="326" t="s">
        <v>31209</v>
      </c>
      <c r="C3411" s="327">
        <v>129170</v>
      </c>
      <c r="D3411" s="391" t="s">
        <v>5575</v>
      </c>
      <c r="E3411" s="328">
        <v>405.4</v>
      </c>
      <c r="F3411" s="329">
        <v>43007</v>
      </c>
      <c r="G3411" s="328">
        <v>405.4</v>
      </c>
      <c r="H3411" s="347">
        <f t="shared" si="49"/>
        <v>0</v>
      </c>
      <c r="I3411" s="331" t="s">
        <v>15214</v>
      </c>
    </row>
    <row r="3412" spans="1:9" ht="15.75" x14ac:dyDescent="0.25">
      <c r="A3412" s="319">
        <v>43006</v>
      </c>
      <c r="B3412" s="320" t="s">
        <v>31210</v>
      </c>
      <c r="C3412" s="321">
        <v>129171</v>
      </c>
      <c r="D3412" s="332" t="s">
        <v>95</v>
      </c>
      <c r="E3412" s="322">
        <v>0</v>
      </c>
      <c r="F3412" s="333" t="s">
        <v>95</v>
      </c>
      <c r="G3412" s="322">
        <v>0</v>
      </c>
      <c r="H3412" s="322">
        <f t="shared" si="49"/>
        <v>0</v>
      </c>
      <c r="I3412" s="325" t="s">
        <v>95</v>
      </c>
    </row>
    <row r="3413" spans="1:9" x14ac:dyDescent="0.25">
      <c r="A3413" s="359">
        <v>43006</v>
      </c>
      <c r="B3413" s="326" t="s">
        <v>31211</v>
      </c>
      <c r="C3413" s="327">
        <v>129172</v>
      </c>
      <c r="D3413" s="391" t="s">
        <v>15232</v>
      </c>
      <c r="E3413" s="328">
        <v>3203.2</v>
      </c>
      <c r="F3413" s="329">
        <v>43013</v>
      </c>
      <c r="G3413" s="328">
        <v>3203.2</v>
      </c>
      <c r="H3413" s="347">
        <f t="shared" si="49"/>
        <v>0</v>
      </c>
      <c r="I3413" s="331" t="s">
        <v>15214</v>
      </c>
    </row>
    <row r="3414" spans="1:9" x14ac:dyDescent="0.25">
      <c r="A3414" s="319">
        <v>43006</v>
      </c>
      <c r="B3414" s="320" t="s">
        <v>31212</v>
      </c>
      <c r="C3414" s="321">
        <v>129173</v>
      </c>
      <c r="D3414" s="390" t="s">
        <v>15226</v>
      </c>
      <c r="E3414" s="322">
        <v>1113.2</v>
      </c>
      <c r="F3414" s="323">
        <v>43006</v>
      </c>
      <c r="G3414" s="322">
        <v>1113.2</v>
      </c>
      <c r="H3414" s="322">
        <f t="shared" si="49"/>
        <v>0</v>
      </c>
      <c r="I3414" s="325" t="s">
        <v>15214</v>
      </c>
    </row>
    <row r="3415" spans="1:9" x14ac:dyDescent="0.25">
      <c r="A3415" s="359">
        <v>43006</v>
      </c>
      <c r="B3415" s="326" t="s">
        <v>31213</v>
      </c>
      <c r="C3415" s="327">
        <v>129174</v>
      </c>
      <c r="D3415" s="391" t="s">
        <v>15236</v>
      </c>
      <c r="E3415" s="328">
        <v>3085.6</v>
      </c>
      <c r="F3415" s="329">
        <v>43008</v>
      </c>
      <c r="G3415" s="328">
        <v>3085.6</v>
      </c>
      <c r="H3415" s="347">
        <f t="shared" si="49"/>
        <v>0</v>
      </c>
      <c r="I3415" s="331" t="s">
        <v>15214</v>
      </c>
    </row>
    <row r="3416" spans="1:9" x14ac:dyDescent="0.25">
      <c r="A3416" s="319">
        <v>43006</v>
      </c>
      <c r="B3416" s="320" t="s">
        <v>31214</v>
      </c>
      <c r="C3416" s="321">
        <v>129175</v>
      </c>
      <c r="D3416" s="390" t="s">
        <v>15330</v>
      </c>
      <c r="E3416" s="322">
        <v>3518.4</v>
      </c>
      <c r="F3416" s="323">
        <v>43006</v>
      </c>
      <c r="G3416" s="322">
        <v>3518.4</v>
      </c>
      <c r="H3416" s="322">
        <f t="shared" si="49"/>
        <v>0</v>
      </c>
      <c r="I3416" s="325" t="s">
        <v>15214</v>
      </c>
    </row>
    <row r="3417" spans="1:9" x14ac:dyDescent="0.25">
      <c r="A3417" s="359">
        <v>43006</v>
      </c>
      <c r="B3417" s="326" t="s">
        <v>31215</v>
      </c>
      <c r="C3417" s="327">
        <v>129176</v>
      </c>
      <c r="D3417" s="391" t="s">
        <v>15256</v>
      </c>
      <c r="E3417" s="328">
        <v>1755.6</v>
      </c>
      <c r="F3417" s="329">
        <v>43008</v>
      </c>
      <c r="G3417" s="328">
        <v>1755.6</v>
      </c>
      <c r="H3417" s="347">
        <f t="shared" si="49"/>
        <v>0</v>
      </c>
      <c r="I3417" s="331" t="s">
        <v>15214</v>
      </c>
    </row>
    <row r="3418" spans="1:9" x14ac:dyDescent="0.25">
      <c r="A3418" s="319">
        <v>43006</v>
      </c>
      <c r="B3418" s="320" t="s">
        <v>31216</v>
      </c>
      <c r="C3418" s="321">
        <v>129177</v>
      </c>
      <c r="D3418" s="390" t="s">
        <v>15334</v>
      </c>
      <c r="E3418" s="322">
        <v>2576</v>
      </c>
      <c r="F3418" s="323">
        <v>43006</v>
      </c>
      <c r="G3418" s="322">
        <v>2576</v>
      </c>
      <c r="H3418" s="322">
        <f t="shared" si="49"/>
        <v>0</v>
      </c>
      <c r="I3418" s="325" t="s">
        <v>15214</v>
      </c>
    </row>
    <row r="3419" spans="1:9" x14ac:dyDescent="0.25">
      <c r="A3419" s="359">
        <v>43006</v>
      </c>
      <c r="B3419" s="326" t="s">
        <v>31217</v>
      </c>
      <c r="C3419" s="327">
        <v>129178</v>
      </c>
      <c r="D3419" s="391" t="s">
        <v>15315</v>
      </c>
      <c r="E3419" s="328">
        <v>732</v>
      </c>
      <c r="F3419" s="329">
        <v>43006</v>
      </c>
      <c r="G3419" s="328">
        <v>732</v>
      </c>
      <c r="H3419" s="347">
        <f t="shared" si="49"/>
        <v>0</v>
      </c>
      <c r="I3419" s="331" t="s">
        <v>15214</v>
      </c>
    </row>
    <row r="3420" spans="1:9" x14ac:dyDescent="0.25">
      <c r="A3420" s="319">
        <v>43006</v>
      </c>
      <c r="B3420" s="320" t="s">
        <v>31218</v>
      </c>
      <c r="C3420" s="321">
        <v>129179</v>
      </c>
      <c r="D3420" s="390" t="s">
        <v>15338</v>
      </c>
      <c r="E3420" s="322">
        <v>9881.7999999999993</v>
      </c>
      <c r="F3420" s="323">
        <v>43011</v>
      </c>
      <c r="G3420" s="322">
        <v>9881.7999999999993</v>
      </c>
      <c r="H3420" s="322">
        <f t="shared" si="49"/>
        <v>0</v>
      </c>
      <c r="I3420" s="325" t="s">
        <v>15214</v>
      </c>
    </row>
    <row r="3421" spans="1:9" x14ac:dyDescent="0.25">
      <c r="A3421" s="359">
        <v>43006</v>
      </c>
      <c r="B3421" s="326" t="s">
        <v>31219</v>
      </c>
      <c r="C3421" s="327">
        <v>129180</v>
      </c>
      <c r="D3421" s="391" t="s">
        <v>15324</v>
      </c>
      <c r="E3421" s="328">
        <v>1570</v>
      </c>
      <c r="F3421" s="329">
        <v>43006</v>
      </c>
      <c r="G3421" s="328">
        <v>1570</v>
      </c>
      <c r="H3421" s="347">
        <f t="shared" si="49"/>
        <v>0</v>
      </c>
      <c r="I3421" s="331" t="s">
        <v>15214</v>
      </c>
    </row>
    <row r="3422" spans="1:9" x14ac:dyDescent="0.25">
      <c r="A3422" s="319">
        <v>43006</v>
      </c>
      <c r="B3422" s="320" t="s">
        <v>31220</v>
      </c>
      <c r="C3422" s="321">
        <v>129181</v>
      </c>
      <c r="D3422" s="390" t="s">
        <v>16484</v>
      </c>
      <c r="E3422" s="322">
        <v>1419</v>
      </c>
      <c r="F3422" s="323">
        <v>43006</v>
      </c>
      <c r="G3422" s="322">
        <v>1419</v>
      </c>
      <c r="H3422" s="322">
        <f t="shared" si="49"/>
        <v>0</v>
      </c>
      <c r="I3422" s="325" t="s">
        <v>15214</v>
      </c>
    </row>
    <row r="3423" spans="1:9" x14ac:dyDescent="0.25">
      <c r="A3423" s="359">
        <v>43006</v>
      </c>
      <c r="B3423" s="326" t="s">
        <v>31221</v>
      </c>
      <c r="C3423" s="327">
        <v>129182</v>
      </c>
      <c r="D3423" s="391" t="s">
        <v>15858</v>
      </c>
      <c r="E3423" s="328">
        <v>2342.64</v>
      </c>
      <c r="F3423" s="329">
        <v>43006</v>
      </c>
      <c r="G3423" s="328">
        <v>2342.64</v>
      </c>
      <c r="H3423" s="347">
        <f t="shared" si="49"/>
        <v>0</v>
      </c>
      <c r="I3423" s="331" t="s">
        <v>15214</v>
      </c>
    </row>
    <row r="3424" spans="1:9" x14ac:dyDescent="0.25">
      <c r="A3424" s="319">
        <v>43006</v>
      </c>
      <c r="B3424" s="320" t="s">
        <v>31222</v>
      </c>
      <c r="C3424" s="321">
        <v>129183</v>
      </c>
      <c r="D3424" s="390" t="s">
        <v>15526</v>
      </c>
      <c r="E3424" s="322">
        <v>4041</v>
      </c>
      <c r="F3424" s="323">
        <v>43006</v>
      </c>
      <c r="G3424" s="322">
        <v>4041</v>
      </c>
      <c r="H3424" s="322">
        <f t="shared" si="49"/>
        <v>0</v>
      </c>
      <c r="I3424" s="325" t="s">
        <v>15214</v>
      </c>
    </row>
    <row r="3425" spans="1:9" x14ac:dyDescent="0.25">
      <c r="A3425" s="359">
        <v>43006</v>
      </c>
      <c r="B3425" s="326" t="s">
        <v>31223</v>
      </c>
      <c r="C3425" s="327">
        <v>129184</v>
      </c>
      <c r="D3425" s="391" t="s">
        <v>15861</v>
      </c>
      <c r="E3425" s="328">
        <v>4079.8</v>
      </c>
      <c r="F3425" s="329">
        <v>43006</v>
      </c>
      <c r="G3425" s="328">
        <v>4079.8</v>
      </c>
      <c r="H3425" s="347">
        <f t="shared" si="49"/>
        <v>0</v>
      </c>
      <c r="I3425" s="331" t="s">
        <v>15214</v>
      </c>
    </row>
    <row r="3426" spans="1:9" x14ac:dyDescent="0.25">
      <c r="A3426" s="319">
        <v>43006</v>
      </c>
      <c r="B3426" s="320" t="s">
        <v>31224</v>
      </c>
      <c r="C3426" s="321">
        <v>129185</v>
      </c>
      <c r="D3426" s="390" t="s">
        <v>15884</v>
      </c>
      <c r="E3426" s="322">
        <v>3066</v>
      </c>
      <c r="F3426" s="323">
        <v>43006</v>
      </c>
      <c r="G3426" s="322">
        <v>3066</v>
      </c>
      <c r="H3426" s="322">
        <f t="shared" si="49"/>
        <v>0</v>
      </c>
      <c r="I3426" s="325" t="s">
        <v>15214</v>
      </c>
    </row>
    <row r="3427" spans="1:9" x14ac:dyDescent="0.25">
      <c r="A3427" s="359">
        <v>43006</v>
      </c>
      <c r="B3427" s="326" t="s">
        <v>31225</v>
      </c>
      <c r="C3427" s="327">
        <v>129186</v>
      </c>
      <c r="D3427" s="391" t="s">
        <v>15748</v>
      </c>
      <c r="E3427" s="328">
        <v>1586.7</v>
      </c>
      <c r="F3427" s="329">
        <v>43006</v>
      </c>
      <c r="G3427" s="328">
        <v>1586.7</v>
      </c>
      <c r="H3427" s="347">
        <f t="shared" si="49"/>
        <v>0</v>
      </c>
      <c r="I3427" s="331" t="s">
        <v>15214</v>
      </c>
    </row>
    <row r="3428" spans="1:9" x14ac:dyDescent="0.25">
      <c r="A3428" s="319">
        <v>43006</v>
      </c>
      <c r="B3428" s="320" t="s">
        <v>31226</v>
      </c>
      <c r="C3428" s="321">
        <v>129187</v>
      </c>
      <c r="D3428" s="390" t="s">
        <v>15358</v>
      </c>
      <c r="E3428" s="322">
        <v>2100</v>
      </c>
      <c r="F3428" s="323">
        <v>43006</v>
      </c>
      <c r="G3428" s="322">
        <v>2100</v>
      </c>
      <c r="H3428" s="322">
        <f t="shared" si="49"/>
        <v>0</v>
      </c>
      <c r="I3428" s="325" t="s">
        <v>15214</v>
      </c>
    </row>
    <row r="3429" spans="1:9" x14ac:dyDescent="0.25">
      <c r="A3429" s="359">
        <v>43006</v>
      </c>
      <c r="B3429" s="326" t="s">
        <v>31227</v>
      </c>
      <c r="C3429" s="327">
        <v>129188</v>
      </c>
      <c r="D3429" s="391" t="s">
        <v>15332</v>
      </c>
      <c r="E3429" s="328">
        <v>2275</v>
      </c>
      <c r="F3429" s="329">
        <v>43006</v>
      </c>
      <c r="G3429" s="328">
        <v>2275</v>
      </c>
      <c r="H3429" s="347">
        <f t="shared" si="49"/>
        <v>0</v>
      </c>
      <c r="I3429" s="331" t="s">
        <v>15214</v>
      </c>
    </row>
    <row r="3430" spans="1:9" x14ac:dyDescent="0.25">
      <c r="A3430" s="319">
        <v>43006</v>
      </c>
      <c r="B3430" s="320" t="s">
        <v>31228</v>
      </c>
      <c r="C3430" s="321">
        <v>129189</v>
      </c>
      <c r="D3430" s="390" t="s">
        <v>15407</v>
      </c>
      <c r="E3430" s="322">
        <v>7033.2</v>
      </c>
      <c r="F3430" s="323">
        <v>43006</v>
      </c>
      <c r="G3430" s="322">
        <v>7033.2</v>
      </c>
      <c r="H3430" s="322">
        <f t="shared" si="49"/>
        <v>0</v>
      </c>
      <c r="I3430" s="325" t="s">
        <v>15214</v>
      </c>
    </row>
    <row r="3431" spans="1:9" x14ac:dyDescent="0.25">
      <c r="A3431" s="359">
        <v>43006</v>
      </c>
      <c r="B3431" s="326" t="s">
        <v>31229</v>
      </c>
      <c r="C3431" s="327">
        <v>129190</v>
      </c>
      <c r="D3431" s="391" t="s">
        <v>15240</v>
      </c>
      <c r="E3431" s="328">
        <v>3294.7</v>
      </c>
      <c r="F3431" s="329">
        <v>43007</v>
      </c>
      <c r="G3431" s="328">
        <v>3294.7</v>
      </c>
      <c r="H3431" s="347">
        <f t="shared" si="49"/>
        <v>0</v>
      </c>
      <c r="I3431" s="331" t="s">
        <v>15214</v>
      </c>
    </row>
    <row r="3432" spans="1:9" x14ac:dyDescent="0.25">
      <c r="A3432" s="319">
        <v>43006</v>
      </c>
      <c r="B3432" s="320" t="s">
        <v>31230</v>
      </c>
      <c r="C3432" s="321">
        <v>129191</v>
      </c>
      <c r="D3432" s="390" t="s">
        <v>15348</v>
      </c>
      <c r="E3432" s="322">
        <v>450</v>
      </c>
      <c r="F3432" s="323">
        <v>43006</v>
      </c>
      <c r="G3432" s="322">
        <v>450</v>
      </c>
      <c r="H3432" s="322">
        <f t="shared" si="49"/>
        <v>0</v>
      </c>
      <c r="I3432" s="325" t="s">
        <v>15214</v>
      </c>
    </row>
    <row r="3433" spans="1:9" x14ac:dyDescent="0.25">
      <c r="A3433" s="359">
        <v>43006</v>
      </c>
      <c r="B3433" s="326" t="s">
        <v>31231</v>
      </c>
      <c r="C3433" s="327">
        <v>129192</v>
      </c>
      <c r="D3433" s="391" t="s">
        <v>15250</v>
      </c>
      <c r="E3433" s="328">
        <v>33157.64</v>
      </c>
      <c r="F3433" s="329">
        <v>43022</v>
      </c>
      <c r="G3433" s="328">
        <v>33157.64</v>
      </c>
      <c r="H3433" s="347">
        <f t="shared" si="49"/>
        <v>0</v>
      </c>
      <c r="I3433" s="331" t="s">
        <v>15214</v>
      </c>
    </row>
    <row r="3434" spans="1:9" x14ac:dyDescent="0.25">
      <c r="A3434" s="319">
        <v>43006</v>
      </c>
      <c r="B3434" s="320" t="s">
        <v>31232</v>
      </c>
      <c r="C3434" s="321">
        <v>129193</v>
      </c>
      <c r="D3434" s="390" t="s">
        <v>15220</v>
      </c>
      <c r="E3434" s="322">
        <v>2150</v>
      </c>
      <c r="F3434" s="323">
        <v>43006</v>
      </c>
      <c r="G3434" s="322">
        <v>2150</v>
      </c>
      <c r="H3434" s="322">
        <f t="shared" si="49"/>
        <v>0</v>
      </c>
      <c r="I3434" s="325" t="s">
        <v>15214</v>
      </c>
    </row>
    <row r="3435" spans="1:9" ht="15.75" x14ac:dyDescent="0.25">
      <c r="A3435" s="359">
        <v>43006</v>
      </c>
      <c r="B3435" s="326" t="s">
        <v>31233</v>
      </c>
      <c r="C3435" s="327">
        <v>129194</v>
      </c>
      <c r="D3435" s="345" t="s">
        <v>95</v>
      </c>
      <c r="E3435" s="328">
        <v>0</v>
      </c>
      <c r="F3435" s="346" t="s">
        <v>95</v>
      </c>
      <c r="G3435" s="328">
        <v>0</v>
      </c>
      <c r="H3435" s="347">
        <f t="shared" si="49"/>
        <v>0</v>
      </c>
      <c r="I3435" s="331" t="s">
        <v>95</v>
      </c>
    </row>
    <row r="3436" spans="1:9" x14ac:dyDescent="0.25">
      <c r="A3436" s="319">
        <v>43006</v>
      </c>
      <c r="B3436" s="320" t="s">
        <v>31234</v>
      </c>
      <c r="C3436" s="321">
        <v>129195</v>
      </c>
      <c r="D3436" s="390" t="s">
        <v>15328</v>
      </c>
      <c r="E3436" s="322">
        <v>31426.58</v>
      </c>
      <c r="F3436" s="323">
        <v>43021</v>
      </c>
      <c r="G3436" s="322">
        <v>31426.58</v>
      </c>
      <c r="H3436" s="322">
        <f t="shared" si="49"/>
        <v>0</v>
      </c>
      <c r="I3436" s="325" t="s">
        <v>15214</v>
      </c>
    </row>
    <row r="3437" spans="1:9" x14ac:dyDescent="0.25">
      <c r="A3437" s="359">
        <v>43006</v>
      </c>
      <c r="B3437" s="326" t="s">
        <v>31235</v>
      </c>
      <c r="C3437" s="327">
        <v>129196</v>
      </c>
      <c r="D3437" s="391" t="s">
        <v>15328</v>
      </c>
      <c r="E3437" s="328">
        <v>3815.7</v>
      </c>
      <c r="F3437" s="329">
        <v>43021</v>
      </c>
      <c r="G3437" s="328">
        <v>3815.7</v>
      </c>
      <c r="H3437" s="347">
        <f t="shared" si="49"/>
        <v>0</v>
      </c>
      <c r="I3437" s="331" t="s">
        <v>15214</v>
      </c>
    </row>
    <row r="3438" spans="1:9" ht="30" x14ac:dyDescent="0.25">
      <c r="A3438" s="319">
        <v>43006</v>
      </c>
      <c r="B3438" s="320" t="s">
        <v>31236</v>
      </c>
      <c r="C3438" s="321">
        <v>129197</v>
      </c>
      <c r="D3438" s="390" t="s">
        <v>15903</v>
      </c>
      <c r="E3438" s="322">
        <v>30931.200000000001</v>
      </c>
      <c r="F3438" s="323" t="s">
        <v>31610</v>
      </c>
      <c r="G3438" s="334">
        <f>29500+1431.2</f>
        <v>30931.200000000001</v>
      </c>
      <c r="H3438" s="334">
        <f t="shared" si="49"/>
        <v>0</v>
      </c>
      <c r="I3438" s="325" t="s">
        <v>15214</v>
      </c>
    </row>
    <row r="3439" spans="1:9" x14ac:dyDescent="0.25">
      <c r="A3439" s="359">
        <v>43006</v>
      </c>
      <c r="B3439" s="326" t="s">
        <v>31237</v>
      </c>
      <c r="C3439" s="327">
        <v>129198</v>
      </c>
      <c r="D3439" s="391" t="s">
        <v>15248</v>
      </c>
      <c r="E3439" s="328">
        <v>11704.2</v>
      </c>
      <c r="F3439" s="329">
        <v>43006</v>
      </c>
      <c r="G3439" s="328">
        <v>11704.2</v>
      </c>
      <c r="H3439" s="347">
        <f t="shared" si="49"/>
        <v>0</v>
      </c>
      <c r="I3439" s="331" t="s">
        <v>15214</v>
      </c>
    </row>
    <row r="3440" spans="1:9" x14ac:dyDescent="0.25">
      <c r="A3440" s="319">
        <v>43006</v>
      </c>
      <c r="B3440" s="320" t="s">
        <v>31238</v>
      </c>
      <c r="C3440" s="321">
        <v>129199</v>
      </c>
      <c r="D3440" s="390" t="s">
        <v>15280</v>
      </c>
      <c r="E3440" s="322">
        <v>6564.6</v>
      </c>
      <c r="F3440" s="323">
        <v>43006</v>
      </c>
      <c r="G3440" s="322">
        <v>6564.6</v>
      </c>
      <c r="H3440" s="322">
        <f t="shared" si="49"/>
        <v>0</v>
      </c>
      <c r="I3440" s="325" t="s">
        <v>15214</v>
      </c>
    </row>
    <row r="3441" spans="1:9" x14ac:dyDescent="0.25">
      <c r="A3441" s="359">
        <v>43006</v>
      </c>
      <c r="B3441" s="326" t="s">
        <v>31239</v>
      </c>
      <c r="C3441" s="327">
        <v>129200</v>
      </c>
      <c r="D3441" s="391" t="s">
        <v>15920</v>
      </c>
      <c r="E3441" s="328">
        <v>28798</v>
      </c>
      <c r="F3441" s="329">
        <v>43006</v>
      </c>
      <c r="G3441" s="328">
        <v>28798</v>
      </c>
      <c r="H3441" s="347">
        <f t="shared" ref="H3441:H3504" si="50">E3441-G3441</f>
        <v>0</v>
      </c>
      <c r="I3441" s="331" t="s">
        <v>15214</v>
      </c>
    </row>
    <row r="3442" spans="1:9" x14ac:dyDescent="0.25">
      <c r="A3442" s="319">
        <v>43006</v>
      </c>
      <c r="B3442" s="320" t="s">
        <v>31240</v>
      </c>
      <c r="C3442" s="321">
        <v>129201</v>
      </c>
      <c r="D3442" s="390" t="s">
        <v>15303</v>
      </c>
      <c r="E3442" s="322">
        <v>3923.7</v>
      </c>
      <c r="F3442" s="323">
        <v>43006</v>
      </c>
      <c r="G3442" s="322">
        <v>3923.7</v>
      </c>
      <c r="H3442" s="322">
        <f t="shared" si="50"/>
        <v>0</v>
      </c>
      <c r="I3442" s="325" t="s">
        <v>15214</v>
      </c>
    </row>
    <row r="3443" spans="1:9" x14ac:dyDescent="0.25">
      <c r="A3443" s="359">
        <v>43006</v>
      </c>
      <c r="B3443" s="326" t="s">
        <v>31241</v>
      </c>
      <c r="C3443" s="327">
        <v>129202</v>
      </c>
      <c r="D3443" s="391" t="s">
        <v>15317</v>
      </c>
      <c r="E3443" s="328">
        <v>2791.8</v>
      </c>
      <c r="F3443" s="329">
        <v>43008</v>
      </c>
      <c r="G3443" s="328">
        <v>2791.8</v>
      </c>
      <c r="H3443" s="347">
        <f t="shared" si="50"/>
        <v>0</v>
      </c>
      <c r="I3443" s="331" t="s">
        <v>15214</v>
      </c>
    </row>
    <row r="3444" spans="1:9" x14ac:dyDescent="0.25">
      <c r="A3444" s="319">
        <v>43006</v>
      </c>
      <c r="B3444" s="320" t="s">
        <v>31242</v>
      </c>
      <c r="C3444" s="321">
        <v>129203</v>
      </c>
      <c r="D3444" s="390" t="s">
        <v>15301</v>
      </c>
      <c r="E3444" s="322">
        <v>3220.8</v>
      </c>
      <c r="F3444" s="323">
        <v>43006</v>
      </c>
      <c r="G3444" s="322">
        <v>3220.8</v>
      </c>
      <c r="H3444" s="322">
        <f t="shared" si="50"/>
        <v>0</v>
      </c>
      <c r="I3444" s="325" t="s">
        <v>15214</v>
      </c>
    </row>
    <row r="3445" spans="1:9" ht="15.75" x14ac:dyDescent="0.25">
      <c r="A3445" s="359">
        <v>43006</v>
      </c>
      <c r="B3445" s="326" t="s">
        <v>31243</v>
      </c>
      <c r="C3445" s="327">
        <v>129204</v>
      </c>
      <c r="D3445" s="345" t="s">
        <v>95</v>
      </c>
      <c r="E3445" s="328">
        <v>0</v>
      </c>
      <c r="F3445" s="346" t="s">
        <v>95</v>
      </c>
      <c r="G3445" s="328">
        <v>0</v>
      </c>
      <c r="H3445" s="347">
        <f t="shared" si="50"/>
        <v>0</v>
      </c>
      <c r="I3445" s="331" t="s">
        <v>95</v>
      </c>
    </row>
    <row r="3446" spans="1:9" x14ac:dyDescent="0.25">
      <c r="A3446" s="319">
        <v>43006</v>
      </c>
      <c r="B3446" s="320" t="s">
        <v>31244</v>
      </c>
      <c r="C3446" s="321">
        <v>129205</v>
      </c>
      <c r="D3446" s="390" t="s">
        <v>23206</v>
      </c>
      <c r="E3446" s="322">
        <v>4625.6000000000004</v>
      </c>
      <c r="F3446" s="323">
        <v>43006</v>
      </c>
      <c r="G3446" s="322">
        <v>4625.6000000000004</v>
      </c>
      <c r="H3446" s="322">
        <f t="shared" si="50"/>
        <v>0</v>
      </c>
      <c r="I3446" s="325" t="s">
        <v>15214</v>
      </c>
    </row>
    <row r="3447" spans="1:9" x14ac:dyDescent="0.25">
      <c r="A3447" s="359">
        <v>43006</v>
      </c>
      <c r="B3447" s="326" t="s">
        <v>31245</v>
      </c>
      <c r="C3447" s="327">
        <v>129206</v>
      </c>
      <c r="D3447" s="391" t="s">
        <v>15305</v>
      </c>
      <c r="E3447" s="328">
        <v>995.2</v>
      </c>
      <c r="F3447" s="329">
        <v>43006</v>
      </c>
      <c r="G3447" s="328">
        <v>995.2</v>
      </c>
      <c r="H3447" s="347">
        <f t="shared" si="50"/>
        <v>0</v>
      </c>
      <c r="I3447" s="331" t="s">
        <v>15214</v>
      </c>
    </row>
    <row r="3448" spans="1:9" x14ac:dyDescent="0.25">
      <c r="A3448" s="319">
        <v>43006</v>
      </c>
      <c r="B3448" s="320" t="s">
        <v>31246</v>
      </c>
      <c r="C3448" s="321">
        <v>129207</v>
      </c>
      <c r="D3448" s="390" t="s">
        <v>23218</v>
      </c>
      <c r="E3448" s="322">
        <v>4449.2</v>
      </c>
      <c r="F3448" s="323">
        <v>43006</v>
      </c>
      <c r="G3448" s="322">
        <v>4449.2</v>
      </c>
      <c r="H3448" s="322">
        <f t="shared" si="50"/>
        <v>0</v>
      </c>
      <c r="I3448" s="325" t="s">
        <v>15214</v>
      </c>
    </row>
    <row r="3449" spans="1:9" x14ac:dyDescent="0.25">
      <c r="A3449" s="359">
        <v>43006</v>
      </c>
      <c r="B3449" s="326" t="s">
        <v>31247</v>
      </c>
      <c r="C3449" s="327">
        <v>129208</v>
      </c>
      <c r="D3449" s="391" t="s">
        <v>15596</v>
      </c>
      <c r="E3449" s="328">
        <v>860</v>
      </c>
      <c r="F3449" s="329">
        <v>43006</v>
      </c>
      <c r="G3449" s="328">
        <v>860</v>
      </c>
      <c r="H3449" s="347">
        <f t="shared" si="50"/>
        <v>0</v>
      </c>
      <c r="I3449" s="331" t="s">
        <v>15214</v>
      </c>
    </row>
    <row r="3450" spans="1:9" x14ac:dyDescent="0.25">
      <c r="A3450" s="319">
        <v>43006</v>
      </c>
      <c r="B3450" s="320" t="s">
        <v>31248</v>
      </c>
      <c r="C3450" s="321">
        <v>129209</v>
      </c>
      <c r="D3450" s="390" t="s">
        <v>15291</v>
      </c>
      <c r="E3450" s="322">
        <v>645</v>
      </c>
      <c r="F3450" s="323">
        <v>43006</v>
      </c>
      <c r="G3450" s="322">
        <v>645</v>
      </c>
      <c r="H3450" s="322">
        <f t="shared" si="50"/>
        <v>0</v>
      </c>
      <c r="I3450" s="325" t="s">
        <v>15214</v>
      </c>
    </row>
    <row r="3451" spans="1:9" ht="30" x14ac:dyDescent="0.25">
      <c r="A3451" s="359">
        <v>43006</v>
      </c>
      <c r="B3451" s="326" t="s">
        <v>31249</v>
      </c>
      <c r="C3451" s="327">
        <v>129210</v>
      </c>
      <c r="D3451" s="391" t="s">
        <v>15407</v>
      </c>
      <c r="E3451" s="328">
        <v>7622</v>
      </c>
      <c r="F3451" s="329" t="s">
        <v>31608</v>
      </c>
      <c r="G3451" s="347">
        <f>6500+1122</f>
        <v>7622</v>
      </c>
      <c r="H3451" s="347">
        <f t="shared" si="50"/>
        <v>0</v>
      </c>
      <c r="I3451" s="331" t="s">
        <v>15214</v>
      </c>
    </row>
    <row r="3452" spans="1:9" x14ac:dyDescent="0.25">
      <c r="A3452" s="319">
        <v>43006</v>
      </c>
      <c r="B3452" s="320" t="s">
        <v>31250</v>
      </c>
      <c r="C3452" s="321">
        <v>129211</v>
      </c>
      <c r="D3452" s="390" t="s">
        <v>15442</v>
      </c>
      <c r="E3452" s="322">
        <v>16676</v>
      </c>
      <c r="F3452" s="323">
        <v>43011</v>
      </c>
      <c r="G3452" s="322">
        <v>16676</v>
      </c>
      <c r="H3452" s="322">
        <f t="shared" si="50"/>
        <v>0</v>
      </c>
      <c r="I3452" s="325" t="s">
        <v>15214</v>
      </c>
    </row>
    <row r="3453" spans="1:9" x14ac:dyDescent="0.25">
      <c r="A3453" s="359">
        <v>43006</v>
      </c>
      <c r="B3453" s="326" t="s">
        <v>31251</v>
      </c>
      <c r="C3453" s="327">
        <v>129212</v>
      </c>
      <c r="D3453" s="391" t="s">
        <v>15274</v>
      </c>
      <c r="E3453" s="328">
        <v>3993.2</v>
      </c>
      <c r="F3453" s="329">
        <v>43006</v>
      </c>
      <c r="G3453" s="328">
        <v>3993.2</v>
      </c>
      <c r="H3453" s="347">
        <f t="shared" si="50"/>
        <v>0</v>
      </c>
      <c r="I3453" s="331" t="s">
        <v>15214</v>
      </c>
    </row>
    <row r="3454" spans="1:9" x14ac:dyDescent="0.25">
      <c r="A3454" s="319">
        <v>43006</v>
      </c>
      <c r="B3454" s="320" t="s">
        <v>31252</v>
      </c>
      <c r="C3454" s="321">
        <v>129213</v>
      </c>
      <c r="D3454" s="390" t="s">
        <v>15890</v>
      </c>
      <c r="E3454" s="322">
        <v>9358</v>
      </c>
      <c r="F3454" s="323">
        <v>43008</v>
      </c>
      <c r="G3454" s="322">
        <v>9358</v>
      </c>
      <c r="H3454" s="322">
        <f t="shared" si="50"/>
        <v>0</v>
      </c>
      <c r="I3454" s="325" t="s">
        <v>15214</v>
      </c>
    </row>
    <row r="3455" spans="1:9" x14ac:dyDescent="0.25">
      <c r="A3455" s="359">
        <v>43006</v>
      </c>
      <c r="B3455" s="326" t="s">
        <v>31253</v>
      </c>
      <c r="C3455" s="327">
        <v>129214</v>
      </c>
      <c r="D3455" s="391" t="s">
        <v>15246</v>
      </c>
      <c r="E3455" s="328">
        <v>181578.84</v>
      </c>
      <c r="F3455" s="329">
        <v>43008</v>
      </c>
      <c r="G3455" s="328">
        <v>181578.84</v>
      </c>
      <c r="H3455" s="347">
        <f t="shared" si="50"/>
        <v>0</v>
      </c>
      <c r="I3455" s="331" t="s">
        <v>15214</v>
      </c>
    </row>
    <row r="3456" spans="1:9" x14ac:dyDescent="0.25">
      <c r="A3456" s="319">
        <v>43006</v>
      </c>
      <c r="B3456" s="320" t="s">
        <v>31254</v>
      </c>
      <c r="C3456" s="321">
        <v>129215</v>
      </c>
      <c r="D3456" s="390" t="s">
        <v>15371</v>
      </c>
      <c r="E3456" s="322">
        <v>3605.5</v>
      </c>
      <c r="F3456" s="323">
        <v>43007</v>
      </c>
      <c r="G3456" s="322">
        <v>3605.5</v>
      </c>
      <c r="H3456" s="322">
        <f t="shared" si="50"/>
        <v>0</v>
      </c>
      <c r="I3456" s="325" t="s">
        <v>15214</v>
      </c>
    </row>
    <row r="3457" spans="1:9" x14ac:dyDescent="0.25">
      <c r="A3457" s="359">
        <v>43006</v>
      </c>
      <c r="B3457" s="326" t="s">
        <v>31255</v>
      </c>
      <c r="C3457" s="327">
        <v>129216</v>
      </c>
      <c r="D3457" s="391" t="s">
        <v>15252</v>
      </c>
      <c r="E3457" s="328">
        <v>3856.6</v>
      </c>
      <c r="F3457" s="405">
        <v>43009</v>
      </c>
      <c r="G3457" s="158">
        <v>3856.6</v>
      </c>
      <c r="H3457" s="347">
        <f t="shared" si="50"/>
        <v>0</v>
      </c>
      <c r="I3457" s="331" t="s">
        <v>15214</v>
      </c>
    </row>
    <row r="3458" spans="1:9" x14ac:dyDescent="0.25">
      <c r="A3458" s="319">
        <v>43006</v>
      </c>
      <c r="B3458" s="320" t="s">
        <v>31256</v>
      </c>
      <c r="C3458" s="321">
        <v>129217</v>
      </c>
      <c r="D3458" s="390" t="s">
        <v>15549</v>
      </c>
      <c r="E3458" s="322">
        <v>3946.4</v>
      </c>
      <c r="F3458" s="323">
        <v>43006</v>
      </c>
      <c r="G3458" s="322">
        <v>3946.4</v>
      </c>
      <c r="H3458" s="322">
        <f t="shared" si="50"/>
        <v>0</v>
      </c>
      <c r="I3458" s="325" t="s">
        <v>15214</v>
      </c>
    </row>
    <row r="3459" spans="1:9" x14ac:dyDescent="0.25">
      <c r="A3459" s="359">
        <v>43006</v>
      </c>
      <c r="B3459" s="326" t="s">
        <v>31257</v>
      </c>
      <c r="C3459" s="327">
        <v>129218</v>
      </c>
      <c r="D3459" s="391" t="s">
        <v>23937</v>
      </c>
      <c r="E3459" s="328">
        <v>3661.3</v>
      </c>
      <c r="F3459" s="329">
        <v>43007</v>
      </c>
      <c r="G3459" s="328">
        <v>3661.3</v>
      </c>
      <c r="H3459" s="347">
        <f t="shared" si="50"/>
        <v>0</v>
      </c>
      <c r="I3459" s="331" t="s">
        <v>15214</v>
      </c>
    </row>
    <row r="3460" spans="1:9" x14ac:dyDescent="0.25">
      <c r="A3460" s="319">
        <v>43006</v>
      </c>
      <c r="B3460" s="320" t="s">
        <v>31258</v>
      </c>
      <c r="C3460" s="321">
        <v>129219</v>
      </c>
      <c r="D3460" s="390" t="s">
        <v>15298</v>
      </c>
      <c r="E3460" s="322">
        <v>332.6</v>
      </c>
      <c r="F3460" s="323">
        <v>43006</v>
      </c>
      <c r="G3460" s="322">
        <v>332.6</v>
      </c>
      <c r="H3460" s="322">
        <f t="shared" si="50"/>
        <v>0</v>
      </c>
      <c r="I3460" s="325" t="s">
        <v>15214</v>
      </c>
    </row>
    <row r="3461" spans="1:9" x14ac:dyDescent="0.25">
      <c r="A3461" s="359">
        <v>43006</v>
      </c>
      <c r="B3461" s="326" t="s">
        <v>31259</v>
      </c>
      <c r="C3461" s="327">
        <v>129220</v>
      </c>
      <c r="D3461" s="391" t="s">
        <v>15311</v>
      </c>
      <c r="E3461" s="328">
        <v>2617.1999999999998</v>
      </c>
      <c r="F3461" s="329">
        <v>43006</v>
      </c>
      <c r="G3461" s="328">
        <v>2617.1999999999998</v>
      </c>
      <c r="H3461" s="347">
        <f t="shared" si="50"/>
        <v>0</v>
      </c>
      <c r="I3461" s="331" t="s">
        <v>15214</v>
      </c>
    </row>
    <row r="3462" spans="1:9" x14ac:dyDescent="0.25">
      <c r="A3462" s="319">
        <v>43006</v>
      </c>
      <c r="B3462" s="320" t="s">
        <v>31260</v>
      </c>
      <c r="C3462" s="321">
        <v>129221</v>
      </c>
      <c r="D3462" s="390" t="s">
        <v>15313</v>
      </c>
      <c r="E3462" s="322">
        <v>5687</v>
      </c>
      <c r="F3462" s="323">
        <v>43008</v>
      </c>
      <c r="G3462" s="322">
        <v>5687</v>
      </c>
      <c r="H3462" s="322">
        <f t="shared" si="50"/>
        <v>0</v>
      </c>
      <c r="I3462" s="325" t="s">
        <v>15214</v>
      </c>
    </row>
    <row r="3463" spans="1:9" x14ac:dyDescent="0.25">
      <c r="A3463" s="359">
        <v>43006</v>
      </c>
      <c r="B3463" s="326" t="s">
        <v>31261</v>
      </c>
      <c r="C3463" s="327">
        <v>129222</v>
      </c>
      <c r="D3463" s="391" t="s">
        <v>15346</v>
      </c>
      <c r="E3463" s="328">
        <v>3810.3</v>
      </c>
      <c r="F3463" s="329">
        <v>43006</v>
      </c>
      <c r="G3463" s="328">
        <v>3810.3</v>
      </c>
      <c r="H3463" s="347">
        <f t="shared" si="50"/>
        <v>0</v>
      </c>
      <c r="I3463" s="331" t="s">
        <v>15214</v>
      </c>
    </row>
    <row r="3464" spans="1:9" x14ac:dyDescent="0.25">
      <c r="A3464" s="319">
        <v>43006</v>
      </c>
      <c r="B3464" s="320" t="s">
        <v>31262</v>
      </c>
      <c r="C3464" s="321">
        <v>129223</v>
      </c>
      <c r="D3464" s="390" t="s">
        <v>15346</v>
      </c>
      <c r="E3464" s="322">
        <v>1772.8</v>
      </c>
      <c r="F3464" s="323">
        <v>43006</v>
      </c>
      <c r="G3464" s="322">
        <v>1772.8</v>
      </c>
      <c r="H3464" s="322">
        <f t="shared" si="50"/>
        <v>0</v>
      </c>
      <c r="I3464" s="325" t="s">
        <v>15214</v>
      </c>
    </row>
    <row r="3465" spans="1:9" x14ac:dyDescent="0.25">
      <c r="A3465" s="359">
        <v>43006</v>
      </c>
      <c r="B3465" s="326" t="s">
        <v>31263</v>
      </c>
      <c r="C3465" s="327">
        <v>129224</v>
      </c>
      <c r="D3465" s="391" t="s">
        <v>15346</v>
      </c>
      <c r="E3465" s="328">
        <v>280</v>
      </c>
      <c r="F3465" s="329">
        <v>43006</v>
      </c>
      <c r="G3465" s="328">
        <v>280</v>
      </c>
      <c r="H3465" s="347">
        <f t="shared" si="50"/>
        <v>0</v>
      </c>
      <c r="I3465" s="331" t="s">
        <v>15214</v>
      </c>
    </row>
    <row r="3466" spans="1:9" x14ac:dyDescent="0.25">
      <c r="A3466" s="319">
        <v>43006</v>
      </c>
      <c r="B3466" s="320" t="s">
        <v>31264</v>
      </c>
      <c r="C3466" s="321">
        <v>129225</v>
      </c>
      <c r="D3466" s="390" t="s">
        <v>15577</v>
      </c>
      <c r="E3466" s="322">
        <v>260</v>
      </c>
      <c r="F3466" s="323">
        <v>43006</v>
      </c>
      <c r="G3466" s="322">
        <v>260</v>
      </c>
      <c r="H3466" s="322">
        <f t="shared" si="50"/>
        <v>0</v>
      </c>
      <c r="I3466" s="325" t="s">
        <v>15214</v>
      </c>
    </row>
    <row r="3467" spans="1:9" x14ac:dyDescent="0.25">
      <c r="A3467" s="359">
        <v>43006</v>
      </c>
      <c r="B3467" s="326" t="s">
        <v>31265</v>
      </c>
      <c r="C3467" s="327">
        <v>129226</v>
      </c>
      <c r="D3467" s="391" t="s">
        <v>15378</v>
      </c>
      <c r="E3467" s="328">
        <v>1173.5999999999999</v>
      </c>
      <c r="F3467" s="329">
        <v>43006</v>
      </c>
      <c r="G3467" s="328">
        <v>1173.5999999999999</v>
      </c>
      <c r="H3467" s="347">
        <f t="shared" si="50"/>
        <v>0</v>
      </c>
      <c r="I3467" s="331" t="s">
        <v>15214</v>
      </c>
    </row>
    <row r="3468" spans="1:9" x14ac:dyDescent="0.25">
      <c r="A3468" s="319">
        <v>43006</v>
      </c>
      <c r="B3468" s="320" t="s">
        <v>31266</v>
      </c>
      <c r="C3468" s="321">
        <v>129227</v>
      </c>
      <c r="D3468" s="390" t="s">
        <v>16732</v>
      </c>
      <c r="E3468" s="322">
        <v>28943.7</v>
      </c>
      <c r="F3468" s="323">
        <v>43006</v>
      </c>
      <c r="G3468" s="322">
        <v>28943.7</v>
      </c>
      <c r="H3468" s="322">
        <f t="shared" si="50"/>
        <v>0</v>
      </c>
      <c r="I3468" s="325" t="s">
        <v>15214</v>
      </c>
    </row>
    <row r="3469" spans="1:9" x14ac:dyDescent="0.25">
      <c r="A3469" s="359">
        <v>43006</v>
      </c>
      <c r="B3469" s="326" t="s">
        <v>31267</v>
      </c>
      <c r="C3469" s="327">
        <v>129228</v>
      </c>
      <c r="D3469" s="391" t="s">
        <v>19776</v>
      </c>
      <c r="E3469" s="328">
        <v>8950</v>
      </c>
      <c r="F3469" s="329">
        <v>43006</v>
      </c>
      <c r="G3469" s="328">
        <v>8950</v>
      </c>
      <c r="H3469" s="347">
        <f t="shared" si="50"/>
        <v>0</v>
      </c>
      <c r="I3469" s="331" t="s">
        <v>15214</v>
      </c>
    </row>
    <row r="3470" spans="1:9" x14ac:dyDescent="0.25">
      <c r="A3470" s="319">
        <v>43006</v>
      </c>
      <c r="B3470" s="320" t="s">
        <v>31268</v>
      </c>
      <c r="C3470" s="321">
        <v>129229</v>
      </c>
      <c r="D3470" s="390" t="s">
        <v>15391</v>
      </c>
      <c r="E3470" s="322">
        <v>6584.4</v>
      </c>
      <c r="F3470" s="323">
        <v>43007</v>
      </c>
      <c r="G3470" s="322">
        <v>6584.4</v>
      </c>
      <c r="H3470" s="322">
        <f t="shared" si="50"/>
        <v>0</v>
      </c>
      <c r="I3470" s="325" t="s">
        <v>15214</v>
      </c>
    </row>
    <row r="3471" spans="1:9" ht="15.75" x14ac:dyDescent="0.25">
      <c r="A3471" s="359">
        <v>43006</v>
      </c>
      <c r="B3471" s="326" t="s">
        <v>31269</v>
      </c>
      <c r="C3471" s="327">
        <v>129230</v>
      </c>
      <c r="D3471" s="345" t="s">
        <v>95</v>
      </c>
      <c r="E3471" s="328">
        <v>0</v>
      </c>
      <c r="F3471" s="346" t="s">
        <v>95</v>
      </c>
      <c r="G3471" s="328">
        <v>0</v>
      </c>
      <c r="H3471" s="347">
        <f t="shared" si="50"/>
        <v>0</v>
      </c>
      <c r="I3471" s="331" t="s">
        <v>95</v>
      </c>
    </row>
    <row r="3472" spans="1:9" x14ac:dyDescent="0.25">
      <c r="A3472" s="319">
        <v>43006</v>
      </c>
      <c r="B3472" s="320" t="s">
        <v>31270</v>
      </c>
      <c r="C3472" s="321">
        <v>129231</v>
      </c>
      <c r="D3472" s="390" t="s">
        <v>15387</v>
      </c>
      <c r="E3472" s="322">
        <v>1171.2</v>
      </c>
      <c r="F3472" s="323">
        <v>43006</v>
      </c>
      <c r="G3472" s="322">
        <v>1171.2</v>
      </c>
      <c r="H3472" s="322">
        <f t="shared" si="50"/>
        <v>0</v>
      </c>
      <c r="I3472" s="325" t="s">
        <v>15214</v>
      </c>
    </row>
    <row r="3473" spans="1:9" x14ac:dyDescent="0.25">
      <c r="A3473" s="359">
        <v>43006</v>
      </c>
      <c r="B3473" s="326" t="s">
        <v>31271</v>
      </c>
      <c r="C3473" s="327">
        <v>129232</v>
      </c>
      <c r="D3473" s="391" t="s">
        <v>15385</v>
      </c>
      <c r="E3473" s="328">
        <v>4664</v>
      </c>
      <c r="F3473" s="329">
        <v>43006</v>
      </c>
      <c r="G3473" s="328">
        <v>4664</v>
      </c>
      <c r="H3473" s="347">
        <f t="shared" si="50"/>
        <v>0</v>
      </c>
      <c r="I3473" s="331" t="s">
        <v>15214</v>
      </c>
    </row>
    <row r="3474" spans="1:9" x14ac:dyDescent="0.25">
      <c r="A3474" s="319">
        <v>43006</v>
      </c>
      <c r="B3474" s="320" t="s">
        <v>31272</v>
      </c>
      <c r="C3474" s="321">
        <v>129233</v>
      </c>
      <c r="D3474" s="390" t="s">
        <v>15725</v>
      </c>
      <c r="E3474" s="322">
        <v>23380.6</v>
      </c>
      <c r="F3474" s="323">
        <v>43008</v>
      </c>
      <c r="G3474" s="322">
        <v>23380.6</v>
      </c>
      <c r="H3474" s="322">
        <f t="shared" si="50"/>
        <v>0</v>
      </c>
      <c r="I3474" s="325" t="s">
        <v>15214</v>
      </c>
    </row>
    <row r="3475" spans="1:9" ht="15.75" x14ac:dyDescent="0.25">
      <c r="A3475" s="359">
        <v>43006</v>
      </c>
      <c r="B3475" s="326" t="s">
        <v>31273</v>
      </c>
      <c r="C3475" s="327">
        <v>129234</v>
      </c>
      <c r="D3475" s="345" t="s">
        <v>95</v>
      </c>
      <c r="E3475" s="328">
        <v>0</v>
      </c>
      <c r="F3475" s="346" t="s">
        <v>95</v>
      </c>
      <c r="G3475" s="328">
        <v>0</v>
      </c>
      <c r="H3475" s="347">
        <f t="shared" si="50"/>
        <v>0</v>
      </c>
      <c r="I3475" s="331" t="s">
        <v>95</v>
      </c>
    </row>
    <row r="3476" spans="1:9" x14ac:dyDescent="0.25">
      <c r="A3476" s="319">
        <v>43006</v>
      </c>
      <c r="B3476" s="320" t="s">
        <v>31274</v>
      </c>
      <c r="C3476" s="321">
        <v>129235</v>
      </c>
      <c r="D3476" s="390" t="s">
        <v>21441</v>
      </c>
      <c r="E3476" s="322">
        <v>980</v>
      </c>
      <c r="F3476" s="323">
        <v>43006</v>
      </c>
      <c r="G3476" s="322">
        <v>980</v>
      </c>
      <c r="H3476" s="322">
        <f t="shared" si="50"/>
        <v>0</v>
      </c>
      <c r="I3476" s="325" t="s">
        <v>15214</v>
      </c>
    </row>
    <row r="3477" spans="1:9" x14ac:dyDescent="0.25">
      <c r="A3477" s="359">
        <v>43006</v>
      </c>
      <c r="B3477" s="326" t="s">
        <v>31275</v>
      </c>
      <c r="C3477" s="327">
        <v>129236</v>
      </c>
      <c r="D3477" s="391" t="s">
        <v>15284</v>
      </c>
      <c r="E3477" s="328">
        <v>414</v>
      </c>
      <c r="F3477" s="329">
        <v>43006</v>
      </c>
      <c r="G3477" s="328">
        <v>414</v>
      </c>
      <c r="H3477" s="347">
        <f t="shared" si="50"/>
        <v>0</v>
      </c>
      <c r="I3477" s="331" t="s">
        <v>15214</v>
      </c>
    </row>
    <row r="3478" spans="1:9" x14ac:dyDescent="0.25">
      <c r="A3478" s="319">
        <v>43006</v>
      </c>
      <c r="B3478" s="320" t="s">
        <v>31276</v>
      </c>
      <c r="C3478" s="321">
        <v>129237</v>
      </c>
      <c r="D3478" s="390" t="s">
        <v>15315</v>
      </c>
      <c r="E3478" s="322">
        <v>3320</v>
      </c>
      <c r="F3478" s="323">
        <v>43006</v>
      </c>
      <c r="G3478" s="322">
        <v>3320</v>
      </c>
      <c r="H3478" s="322">
        <f t="shared" si="50"/>
        <v>0</v>
      </c>
      <c r="I3478" s="325" t="s">
        <v>15214</v>
      </c>
    </row>
    <row r="3479" spans="1:9" x14ac:dyDescent="0.25">
      <c r="A3479" s="359">
        <v>43006</v>
      </c>
      <c r="B3479" s="326" t="s">
        <v>31277</v>
      </c>
      <c r="C3479" s="327">
        <v>129238</v>
      </c>
      <c r="D3479" s="391" t="s">
        <v>15398</v>
      </c>
      <c r="E3479" s="328">
        <v>3962.7</v>
      </c>
      <c r="F3479" s="329">
        <v>43006</v>
      </c>
      <c r="G3479" s="328">
        <v>3962.7</v>
      </c>
      <c r="H3479" s="347">
        <f t="shared" si="50"/>
        <v>0</v>
      </c>
      <c r="I3479" s="331" t="s">
        <v>15214</v>
      </c>
    </row>
    <row r="3480" spans="1:9" x14ac:dyDescent="0.25">
      <c r="A3480" s="319">
        <v>43006</v>
      </c>
      <c r="B3480" s="320" t="s">
        <v>31278</v>
      </c>
      <c r="C3480" s="321">
        <v>129239</v>
      </c>
      <c r="D3480" s="390" t="s">
        <v>15282</v>
      </c>
      <c r="E3480" s="322">
        <v>3079.8</v>
      </c>
      <c r="F3480" s="323">
        <v>43006</v>
      </c>
      <c r="G3480" s="322">
        <v>3079.8</v>
      </c>
      <c r="H3480" s="322">
        <f t="shared" si="50"/>
        <v>0</v>
      </c>
      <c r="I3480" s="325" t="s">
        <v>15214</v>
      </c>
    </row>
    <row r="3481" spans="1:9" x14ac:dyDescent="0.25">
      <c r="A3481" s="359">
        <v>43006</v>
      </c>
      <c r="B3481" s="326" t="s">
        <v>31279</v>
      </c>
      <c r="C3481" s="327">
        <v>129240</v>
      </c>
      <c r="D3481" s="391" t="s">
        <v>18773</v>
      </c>
      <c r="E3481" s="328">
        <v>31800.6</v>
      </c>
      <c r="F3481" s="329">
        <v>43006</v>
      </c>
      <c r="G3481" s="328">
        <v>31800.6</v>
      </c>
      <c r="H3481" s="347">
        <f t="shared" si="50"/>
        <v>0</v>
      </c>
      <c r="I3481" s="331" t="s">
        <v>15214</v>
      </c>
    </row>
    <row r="3482" spans="1:9" x14ac:dyDescent="0.25">
      <c r="A3482" s="319">
        <v>43006</v>
      </c>
      <c r="B3482" s="320" t="s">
        <v>31280</v>
      </c>
      <c r="C3482" s="321">
        <v>129241</v>
      </c>
      <c r="D3482" s="390" t="s">
        <v>15246</v>
      </c>
      <c r="E3482" s="322">
        <v>34210.6</v>
      </c>
      <c r="F3482" s="323">
        <v>43008</v>
      </c>
      <c r="G3482" s="322">
        <v>34210.6</v>
      </c>
      <c r="H3482" s="322">
        <f t="shared" si="50"/>
        <v>0</v>
      </c>
      <c r="I3482" s="325" t="s">
        <v>15214</v>
      </c>
    </row>
    <row r="3483" spans="1:9" ht="15.75" x14ac:dyDescent="0.25">
      <c r="A3483" s="359">
        <v>43006</v>
      </c>
      <c r="B3483" s="326" t="s">
        <v>31281</v>
      </c>
      <c r="C3483" s="327">
        <v>129242</v>
      </c>
      <c r="D3483" s="345" t="s">
        <v>95</v>
      </c>
      <c r="E3483" s="328">
        <v>0</v>
      </c>
      <c r="F3483" s="346" t="s">
        <v>95</v>
      </c>
      <c r="G3483" s="328">
        <v>0</v>
      </c>
      <c r="H3483" s="347">
        <f t="shared" si="50"/>
        <v>0</v>
      </c>
      <c r="I3483" s="331" t="s">
        <v>95</v>
      </c>
    </row>
    <row r="3484" spans="1:9" x14ac:dyDescent="0.25">
      <c r="A3484" s="319">
        <v>43006</v>
      </c>
      <c r="B3484" s="320" t="s">
        <v>31282</v>
      </c>
      <c r="C3484" s="321">
        <v>129243</v>
      </c>
      <c r="D3484" s="390" t="s">
        <v>15246</v>
      </c>
      <c r="E3484" s="322">
        <v>4871.2</v>
      </c>
      <c r="F3484" s="323">
        <v>43008</v>
      </c>
      <c r="G3484" s="322">
        <v>4871.2</v>
      </c>
      <c r="H3484" s="322">
        <f t="shared" si="50"/>
        <v>0</v>
      </c>
      <c r="I3484" s="325" t="s">
        <v>15214</v>
      </c>
    </row>
    <row r="3485" spans="1:9" x14ac:dyDescent="0.25">
      <c r="A3485" s="359">
        <v>43006</v>
      </c>
      <c r="B3485" s="326" t="s">
        <v>31283</v>
      </c>
      <c r="C3485" s="327">
        <v>129244</v>
      </c>
      <c r="D3485" s="391" t="s">
        <v>15284</v>
      </c>
      <c r="E3485" s="328">
        <v>620.5</v>
      </c>
      <c r="F3485" s="329">
        <v>43006</v>
      </c>
      <c r="G3485" s="328">
        <v>620.5</v>
      </c>
      <c r="H3485" s="347">
        <f t="shared" si="50"/>
        <v>0</v>
      </c>
      <c r="I3485" s="331" t="s">
        <v>15214</v>
      </c>
    </row>
    <row r="3486" spans="1:9" x14ac:dyDescent="0.25">
      <c r="A3486" s="319">
        <v>43006</v>
      </c>
      <c r="B3486" s="320" t="s">
        <v>31284</v>
      </c>
      <c r="C3486" s="321">
        <v>129245</v>
      </c>
      <c r="D3486" s="390" t="s">
        <v>15246</v>
      </c>
      <c r="E3486" s="322">
        <v>231863.8</v>
      </c>
      <c r="F3486" s="323">
        <v>43008</v>
      </c>
      <c r="G3486" s="322">
        <v>231863.8</v>
      </c>
      <c r="H3486" s="322">
        <f t="shared" si="50"/>
        <v>0</v>
      </c>
      <c r="I3486" s="325" t="s">
        <v>15214</v>
      </c>
    </row>
    <row r="3487" spans="1:9" x14ac:dyDescent="0.25">
      <c r="A3487" s="359">
        <v>43006</v>
      </c>
      <c r="B3487" s="326" t="s">
        <v>31285</v>
      </c>
      <c r="C3487" s="327">
        <v>129246</v>
      </c>
      <c r="D3487" s="391" t="s">
        <v>31286</v>
      </c>
      <c r="E3487" s="328">
        <v>32016</v>
      </c>
      <c r="F3487" s="329">
        <v>43006</v>
      </c>
      <c r="G3487" s="328">
        <v>32016</v>
      </c>
      <c r="H3487" s="347">
        <f t="shared" si="50"/>
        <v>0</v>
      </c>
      <c r="I3487" s="331" t="s">
        <v>15214</v>
      </c>
    </row>
    <row r="3488" spans="1:9" x14ac:dyDescent="0.25">
      <c r="A3488" s="319">
        <v>43006</v>
      </c>
      <c r="B3488" s="320" t="s">
        <v>31287</v>
      </c>
      <c r="C3488" s="321">
        <v>129247</v>
      </c>
      <c r="D3488" s="390" t="s">
        <v>19773</v>
      </c>
      <c r="E3488" s="322">
        <v>5219</v>
      </c>
      <c r="F3488" s="323">
        <v>43029</v>
      </c>
      <c r="G3488" s="322">
        <v>5219</v>
      </c>
      <c r="H3488" s="322">
        <f t="shared" si="50"/>
        <v>0</v>
      </c>
      <c r="I3488" s="325" t="s">
        <v>15214</v>
      </c>
    </row>
    <row r="3489" spans="1:9" x14ac:dyDescent="0.25">
      <c r="A3489" s="359">
        <v>43006</v>
      </c>
      <c r="B3489" s="326" t="s">
        <v>31288</v>
      </c>
      <c r="C3489" s="327">
        <v>129248</v>
      </c>
      <c r="D3489" s="391" t="s">
        <v>15246</v>
      </c>
      <c r="E3489" s="328">
        <v>23102.400000000001</v>
      </c>
      <c r="F3489" s="329">
        <v>43008</v>
      </c>
      <c r="G3489" s="328">
        <v>23102.400000000001</v>
      </c>
      <c r="H3489" s="347">
        <f t="shared" si="50"/>
        <v>0</v>
      </c>
      <c r="I3489" s="331" t="s">
        <v>15214</v>
      </c>
    </row>
    <row r="3490" spans="1:9" x14ac:dyDescent="0.25">
      <c r="A3490" s="319">
        <v>43006</v>
      </c>
      <c r="B3490" s="320" t="s">
        <v>31289</v>
      </c>
      <c r="C3490" s="321">
        <v>129249</v>
      </c>
      <c r="D3490" s="390" t="s">
        <v>15315</v>
      </c>
      <c r="E3490" s="322">
        <v>672</v>
      </c>
      <c r="F3490" s="323">
        <v>43006</v>
      </c>
      <c r="G3490" s="322">
        <v>672</v>
      </c>
      <c r="H3490" s="322">
        <f t="shared" si="50"/>
        <v>0</v>
      </c>
      <c r="I3490" s="325" t="s">
        <v>15214</v>
      </c>
    </row>
    <row r="3491" spans="1:9" x14ac:dyDescent="0.25">
      <c r="A3491" s="359">
        <v>43006</v>
      </c>
      <c r="B3491" s="326" t="s">
        <v>31290</v>
      </c>
      <c r="C3491" s="327">
        <v>129250</v>
      </c>
      <c r="D3491" s="391" t="s">
        <v>27668</v>
      </c>
      <c r="E3491" s="328">
        <v>3500</v>
      </c>
      <c r="F3491" s="329">
        <v>43008</v>
      </c>
      <c r="G3491" s="328">
        <v>3500</v>
      </c>
      <c r="H3491" s="347">
        <f t="shared" si="50"/>
        <v>0</v>
      </c>
      <c r="I3491" s="331" t="s">
        <v>15214</v>
      </c>
    </row>
    <row r="3492" spans="1:9" x14ac:dyDescent="0.25">
      <c r="A3492" s="319">
        <v>43006</v>
      </c>
      <c r="B3492" s="320" t="s">
        <v>31291</v>
      </c>
      <c r="C3492" s="321">
        <v>129251</v>
      </c>
      <c r="D3492" s="390" t="s">
        <v>19765</v>
      </c>
      <c r="E3492" s="322">
        <v>3500</v>
      </c>
      <c r="F3492" s="323">
        <v>43008</v>
      </c>
      <c r="G3492" s="322">
        <v>3500</v>
      </c>
      <c r="H3492" s="322">
        <f t="shared" si="50"/>
        <v>0</v>
      </c>
      <c r="I3492" s="325" t="s">
        <v>15214</v>
      </c>
    </row>
    <row r="3493" spans="1:9" x14ac:dyDescent="0.25">
      <c r="A3493" s="359">
        <v>43006</v>
      </c>
      <c r="B3493" s="326" t="s">
        <v>31292</v>
      </c>
      <c r="C3493" s="327">
        <v>129252</v>
      </c>
      <c r="D3493" s="391" t="s">
        <v>15417</v>
      </c>
      <c r="E3493" s="328">
        <v>1747.2</v>
      </c>
      <c r="F3493" s="329">
        <v>43007</v>
      </c>
      <c r="G3493" s="328">
        <v>1747.2</v>
      </c>
      <c r="H3493" s="347">
        <f t="shared" si="50"/>
        <v>0</v>
      </c>
      <c r="I3493" s="331" t="s">
        <v>15214</v>
      </c>
    </row>
    <row r="3494" spans="1:9" x14ac:dyDescent="0.25">
      <c r="A3494" s="319">
        <v>43006</v>
      </c>
      <c r="B3494" s="320" t="s">
        <v>31293</v>
      </c>
      <c r="C3494" s="321">
        <v>129253</v>
      </c>
      <c r="D3494" s="390" t="s">
        <v>15930</v>
      </c>
      <c r="E3494" s="322">
        <v>7911.2</v>
      </c>
      <c r="F3494" s="323">
        <v>43007</v>
      </c>
      <c r="G3494" s="322">
        <v>7911.2</v>
      </c>
      <c r="H3494" s="322">
        <f t="shared" si="50"/>
        <v>0</v>
      </c>
      <c r="I3494" s="325" t="s">
        <v>15214</v>
      </c>
    </row>
    <row r="3495" spans="1:9" x14ac:dyDescent="0.25">
      <c r="A3495" s="359">
        <v>43006</v>
      </c>
      <c r="B3495" s="326" t="s">
        <v>31294</v>
      </c>
      <c r="C3495" s="327">
        <v>129254</v>
      </c>
      <c r="D3495" s="391" t="s">
        <v>15276</v>
      </c>
      <c r="E3495" s="328">
        <v>4300</v>
      </c>
      <c r="F3495" s="329">
        <v>43007</v>
      </c>
      <c r="G3495" s="328">
        <v>4300</v>
      </c>
      <c r="H3495" s="347">
        <f t="shared" si="50"/>
        <v>0</v>
      </c>
      <c r="I3495" s="331" t="s">
        <v>15214</v>
      </c>
    </row>
    <row r="3496" spans="1:9" x14ac:dyDescent="0.25">
      <c r="A3496" s="319">
        <v>43006</v>
      </c>
      <c r="B3496" s="320" t="s">
        <v>31295</v>
      </c>
      <c r="C3496" s="321">
        <v>129255</v>
      </c>
      <c r="D3496" s="390" t="s">
        <v>15315</v>
      </c>
      <c r="E3496" s="322">
        <v>3492.3</v>
      </c>
      <c r="F3496" s="323">
        <v>43006</v>
      </c>
      <c r="G3496" s="322">
        <v>3492.3</v>
      </c>
      <c r="H3496" s="322">
        <f t="shared" si="50"/>
        <v>0</v>
      </c>
      <c r="I3496" s="325" t="s">
        <v>15214</v>
      </c>
    </row>
    <row r="3497" spans="1:9" x14ac:dyDescent="0.25">
      <c r="A3497" s="359">
        <v>43006</v>
      </c>
      <c r="B3497" s="326" t="s">
        <v>31296</v>
      </c>
      <c r="C3497" s="327">
        <v>129256</v>
      </c>
      <c r="D3497" s="391" t="s">
        <v>30255</v>
      </c>
      <c r="E3497" s="328">
        <v>5782</v>
      </c>
      <c r="F3497" s="329">
        <v>43007</v>
      </c>
      <c r="G3497" s="328">
        <v>5782</v>
      </c>
      <c r="H3497" s="347">
        <f t="shared" si="50"/>
        <v>0</v>
      </c>
      <c r="I3497" s="331" t="s">
        <v>15214</v>
      </c>
    </row>
    <row r="3498" spans="1:9" x14ac:dyDescent="0.25">
      <c r="A3498" s="319">
        <v>43006</v>
      </c>
      <c r="B3498" s="320" t="s">
        <v>31297</v>
      </c>
      <c r="C3498" s="321">
        <v>129257</v>
      </c>
      <c r="D3498" s="390" t="s">
        <v>15444</v>
      </c>
      <c r="E3498" s="322">
        <v>2945</v>
      </c>
      <c r="F3498" s="323">
        <v>43007</v>
      </c>
      <c r="G3498" s="322">
        <v>2945</v>
      </c>
      <c r="H3498" s="322">
        <f t="shared" si="50"/>
        <v>0</v>
      </c>
      <c r="I3498" s="325" t="s">
        <v>15214</v>
      </c>
    </row>
    <row r="3499" spans="1:9" x14ac:dyDescent="0.25">
      <c r="A3499" s="359">
        <v>43006</v>
      </c>
      <c r="B3499" s="326" t="s">
        <v>31298</v>
      </c>
      <c r="C3499" s="327">
        <v>129258</v>
      </c>
      <c r="D3499" s="391" t="s">
        <v>15681</v>
      </c>
      <c r="E3499" s="328">
        <v>2361.6</v>
      </c>
      <c r="F3499" s="329">
        <v>43006</v>
      </c>
      <c r="G3499" s="328">
        <v>2361.6</v>
      </c>
      <c r="H3499" s="347">
        <f t="shared" si="50"/>
        <v>0</v>
      </c>
      <c r="I3499" s="331" t="s">
        <v>15214</v>
      </c>
    </row>
    <row r="3500" spans="1:9" x14ac:dyDescent="0.25">
      <c r="A3500" s="319">
        <v>43006</v>
      </c>
      <c r="B3500" s="320" t="s">
        <v>31299</v>
      </c>
      <c r="C3500" s="321">
        <v>129259</v>
      </c>
      <c r="D3500" s="390" t="s">
        <v>15890</v>
      </c>
      <c r="E3500" s="322">
        <v>126</v>
      </c>
      <c r="F3500" s="323">
        <v>43008</v>
      </c>
      <c r="G3500" s="322">
        <v>126</v>
      </c>
      <c r="H3500" s="322">
        <f t="shared" si="50"/>
        <v>0</v>
      </c>
      <c r="I3500" s="325" t="s">
        <v>15214</v>
      </c>
    </row>
    <row r="3501" spans="1:9" x14ac:dyDescent="0.25">
      <c r="A3501" s="359">
        <v>43006</v>
      </c>
      <c r="B3501" s="326" t="s">
        <v>31300</v>
      </c>
      <c r="C3501" s="327">
        <v>129260</v>
      </c>
      <c r="D3501" s="391" t="s">
        <v>18076</v>
      </c>
      <c r="E3501" s="328">
        <v>980</v>
      </c>
      <c r="F3501" s="329">
        <v>43006</v>
      </c>
      <c r="G3501" s="328">
        <v>980</v>
      </c>
      <c r="H3501" s="347">
        <f t="shared" si="50"/>
        <v>0</v>
      </c>
      <c r="I3501" s="331" t="s">
        <v>15214</v>
      </c>
    </row>
    <row r="3502" spans="1:9" x14ac:dyDescent="0.25">
      <c r="A3502" s="319">
        <v>43006</v>
      </c>
      <c r="B3502" s="320" t="s">
        <v>31301</v>
      </c>
      <c r="C3502" s="321">
        <v>129261</v>
      </c>
      <c r="D3502" s="390" t="s">
        <v>15541</v>
      </c>
      <c r="E3502" s="322">
        <v>693</v>
      </c>
      <c r="F3502" s="323">
        <v>43006</v>
      </c>
      <c r="G3502" s="322">
        <v>693</v>
      </c>
      <c r="H3502" s="322">
        <f t="shared" si="50"/>
        <v>0</v>
      </c>
      <c r="I3502" s="325" t="s">
        <v>15214</v>
      </c>
    </row>
    <row r="3503" spans="1:9" x14ac:dyDescent="0.25">
      <c r="A3503" s="359">
        <v>43006</v>
      </c>
      <c r="B3503" s="326" t="s">
        <v>31302</v>
      </c>
      <c r="C3503" s="327">
        <v>129262</v>
      </c>
      <c r="D3503" s="391" t="s">
        <v>15644</v>
      </c>
      <c r="E3503" s="328">
        <v>2718</v>
      </c>
      <c r="F3503" s="329">
        <v>43006</v>
      </c>
      <c r="G3503" s="328">
        <v>2718</v>
      </c>
      <c r="H3503" s="347">
        <f t="shared" si="50"/>
        <v>0</v>
      </c>
      <c r="I3503" s="331" t="s">
        <v>15214</v>
      </c>
    </row>
    <row r="3504" spans="1:9" x14ac:dyDescent="0.25">
      <c r="A3504" s="319">
        <v>43006</v>
      </c>
      <c r="B3504" s="320" t="s">
        <v>31303</v>
      </c>
      <c r="C3504" s="321">
        <v>129263</v>
      </c>
      <c r="D3504" s="390" t="s">
        <v>15433</v>
      </c>
      <c r="E3504" s="322">
        <v>1290.3</v>
      </c>
      <c r="F3504" s="323">
        <v>43006</v>
      </c>
      <c r="G3504" s="322">
        <v>1290.3</v>
      </c>
      <c r="H3504" s="322">
        <f t="shared" si="50"/>
        <v>0</v>
      </c>
      <c r="I3504" s="325" t="s">
        <v>15214</v>
      </c>
    </row>
    <row r="3505" spans="1:9" x14ac:dyDescent="0.25">
      <c r="A3505" s="359">
        <v>43006</v>
      </c>
      <c r="B3505" s="326" t="s">
        <v>31304</v>
      </c>
      <c r="C3505" s="327">
        <v>129264</v>
      </c>
      <c r="D3505" s="391" t="s">
        <v>15624</v>
      </c>
      <c r="E3505" s="328">
        <v>28385.7</v>
      </c>
      <c r="F3505" s="329">
        <v>43012</v>
      </c>
      <c r="G3505" s="328">
        <v>28385.7</v>
      </c>
      <c r="H3505" s="347">
        <f t="shared" ref="H3505:H3568" si="51">E3505-G3505</f>
        <v>0</v>
      </c>
      <c r="I3505" s="331" t="s">
        <v>15214</v>
      </c>
    </row>
    <row r="3506" spans="1:9" x14ac:dyDescent="0.25">
      <c r="A3506" s="319">
        <v>43006</v>
      </c>
      <c r="B3506" s="320" t="s">
        <v>31305</v>
      </c>
      <c r="C3506" s="321">
        <v>129265</v>
      </c>
      <c r="D3506" s="390" t="s">
        <v>15421</v>
      </c>
      <c r="E3506" s="322">
        <v>2377.8000000000002</v>
      </c>
      <c r="F3506" s="323">
        <v>43006</v>
      </c>
      <c r="G3506" s="322">
        <v>2377.8000000000002</v>
      </c>
      <c r="H3506" s="322">
        <f t="shared" si="51"/>
        <v>0</v>
      </c>
      <c r="I3506" s="325" t="s">
        <v>15214</v>
      </c>
    </row>
    <row r="3507" spans="1:9" x14ac:dyDescent="0.25">
      <c r="A3507" s="359">
        <v>43006</v>
      </c>
      <c r="B3507" s="326" t="s">
        <v>31306</v>
      </c>
      <c r="C3507" s="327">
        <v>129266</v>
      </c>
      <c r="D3507" s="391" t="s">
        <v>15642</v>
      </c>
      <c r="E3507" s="328">
        <v>6657</v>
      </c>
      <c r="F3507" s="329">
        <v>43006</v>
      </c>
      <c r="G3507" s="328">
        <v>6657</v>
      </c>
      <c r="H3507" s="347">
        <f t="shared" si="51"/>
        <v>0</v>
      </c>
      <c r="I3507" s="331" t="s">
        <v>15214</v>
      </c>
    </row>
    <row r="3508" spans="1:9" x14ac:dyDescent="0.25">
      <c r="A3508" s="319">
        <v>43006</v>
      </c>
      <c r="B3508" s="320" t="s">
        <v>31307</v>
      </c>
      <c r="C3508" s="321">
        <v>129267</v>
      </c>
      <c r="D3508" s="390" t="s">
        <v>15435</v>
      </c>
      <c r="E3508" s="322">
        <v>8485.2000000000007</v>
      </c>
      <c r="F3508" s="323">
        <v>43006</v>
      </c>
      <c r="G3508" s="322">
        <v>8485.2000000000007</v>
      </c>
      <c r="H3508" s="322">
        <f t="shared" si="51"/>
        <v>0</v>
      </c>
      <c r="I3508" s="325" t="s">
        <v>15214</v>
      </c>
    </row>
    <row r="3509" spans="1:9" x14ac:dyDescent="0.25">
      <c r="A3509" s="359">
        <v>43006</v>
      </c>
      <c r="B3509" s="326" t="s">
        <v>31308</v>
      </c>
      <c r="C3509" s="327">
        <v>129268</v>
      </c>
      <c r="D3509" s="391" t="s">
        <v>15818</v>
      </c>
      <c r="E3509" s="328">
        <v>4236.3999999999996</v>
      </c>
      <c r="F3509" s="329">
        <v>43006</v>
      </c>
      <c r="G3509" s="328">
        <v>4236.3999999999996</v>
      </c>
      <c r="H3509" s="347">
        <f t="shared" si="51"/>
        <v>0</v>
      </c>
      <c r="I3509" s="331" t="s">
        <v>15214</v>
      </c>
    </row>
    <row r="3510" spans="1:9" ht="15.75" x14ac:dyDescent="0.25">
      <c r="A3510" s="319">
        <v>43006</v>
      </c>
      <c r="B3510" s="320" t="s">
        <v>31309</v>
      </c>
      <c r="C3510" s="321">
        <v>129269</v>
      </c>
      <c r="D3510" s="332" t="s">
        <v>95</v>
      </c>
      <c r="E3510" s="322">
        <v>0</v>
      </c>
      <c r="F3510" s="333" t="s">
        <v>95</v>
      </c>
      <c r="G3510" s="322">
        <v>0</v>
      </c>
      <c r="H3510" s="322">
        <f t="shared" si="51"/>
        <v>0</v>
      </c>
      <c r="I3510" s="325" t="s">
        <v>95</v>
      </c>
    </row>
    <row r="3511" spans="1:9" x14ac:dyDescent="0.25">
      <c r="A3511" s="359">
        <v>43006</v>
      </c>
      <c r="B3511" s="326" t="s">
        <v>31310</v>
      </c>
      <c r="C3511" s="327">
        <v>129270</v>
      </c>
      <c r="D3511" s="391" t="s">
        <v>19680</v>
      </c>
      <c r="E3511" s="328">
        <v>154</v>
      </c>
      <c r="F3511" s="329">
        <v>43007</v>
      </c>
      <c r="G3511" s="328">
        <v>154</v>
      </c>
      <c r="H3511" s="347">
        <f t="shared" si="51"/>
        <v>0</v>
      </c>
      <c r="I3511" s="331" t="s">
        <v>15214</v>
      </c>
    </row>
    <row r="3512" spans="1:9" x14ac:dyDescent="0.25">
      <c r="A3512" s="319">
        <v>43006</v>
      </c>
      <c r="B3512" s="320" t="s">
        <v>31311</v>
      </c>
      <c r="C3512" s="321">
        <v>129271</v>
      </c>
      <c r="D3512" s="390" t="s">
        <v>16116</v>
      </c>
      <c r="E3512" s="322">
        <v>33975.279999999999</v>
      </c>
      <c r="F3512" s="323">
        <v>43007</v>
      </c>
      <c r="G3512" s="322">
        <v>33975.279999999999</v>
      </c>
      <c r="H3512" s="322">
        <f t="shared" si="51"/>
        <v>0</v>
      </c>
      <c r="I3512" s="325" t="s">
        <v>15214</v>
      </c>
    </row>
    <row r="3513" spans="1:9" x14ac:dyDescent="0.25">
      <c r="A3513" s="359">
        <v>43007</v>
      </c>
      <c r="B3513" s="326" t="s">
        <v>31312</v>
      </c>
      <c r="C3513" s="327">
        <v>129272</v>
      </c>
      <c r="D3513" s="391" t="s">
        <v>21386</v>
      </c>
      <c r="E3513" s="328">
        <v>9414.6</v>
      </c>
      <c r="F3513" s="329">
        <v>43007</v>
      </c>
      <c r="G3513" s="328">
        <v>9414.6</v>
      </c>
      <c r="H3513" s="347">
        <f t="shared" si="51"/>
        <v>0</v>
      </c>
      <c r="I3513" s="331" t="s">
        <v>15214</v>
      </c>
    </row>
    <row r="3514" spans="1:9" x14ac:dyDescent="0.25">
      <c r="A3514" s="319">
        <v>43007</v>
      </c>
      <c r="B3514" s="320" t="s">
        <v>31313</v>
      </c>
      <c r="C3514" s="321">
        <v>129273</v>
      </c>
      <c r="D3514" s="390" t="s">
        <v>15213</v>
      </c>
      <c r="E3514" s="322">
        <v>52211.6</v>
      </c>
      <c r="F3514" s="323">
        <v>43008</v>
      </c>
      <c r="G3514" s="322">
        <v>52211.6</v>
      </c>
      <c r="H3514" s="322">
        <f t="shared" si="51"/>
        <v>0</v>
      </c>
      <c r="I3514" s="325" t="s">
        <v>15214</v>
      </c>
    </row>
    <row r="3515" spans="1:9" x14ac:dyDescent="0.25">
      <c r="A3515" s="359">
        <v>43007</v>
      </c>
      <c r="B3515" s="326" t="s">
        <v>31314</v>
      </c>
      <c r="C3515" s="327">
        <v>129274</v>
      </c>
      <c r="D3515" s="391" t="s">
        <v>15216</v>
      </c>
      <c r="E3515" s="328">
        <v>3805.2</v>
      </c>
      <c r="F3515" s="329">
        <v>43007</v>
      </c>
      <c r="G3515" s="328">
        <v>3805.2</v>
      </c>
      <c r="H3515" s="347">
        <f t="shared" si="51"/>
        <v>0</v>
      </c>
      <c r="I3515" s="331" t="s">
        <v>15214</v>
      </c>
    </row>
    <row r="3516" spans="1:9" x14ac:dyDescent="0.25">
      <c r="A3516" s="319">
        <v>43007</v>
      </c>
      <c r="B3516" s="320" t="s">
        <v>31315</v>
      </c>
      <c r="C3516" s="321">
        <v>129275</v>
      </c>
      <c r="D3516" s="390" t="s">
        <v>15330</v>
      </c>
      <c r="E3516" s="322">
        <v>3375.6</v>
      </c>
      <c r="F3516" s="323">
        <v>43007</v>
      </c>
      <c r="G3516" s="322">
        <v>3375.6</v>
      </c>
      <c r="H3516" s="322">
        <f t="shared" si="51"/>
        <v>0</v>
      </c>
      <c r="I3516" s="325" t="s">
        <v>15214</v>
      </c>
    </row>
    <row r="3517" spans="1:9" x14ac:dyDescent="0.25">
      <c r="A3517" s="359">
        <v>43007</v>
      </c>
      <c r="B3517" s="326" t="s">
        <v>31316</v>
      </c>
      <c r="C3517" s="327">
        <v>129276</v>
      </c>
      <c r="D3517" s="391" t="s">
        <v>15234</v>
      </c>
      <c r="E3517" s="328">
        <v>3275.6</v>
      </c>
      <c r="F3517" s="329">
        <v>43011</v>
      </c>
      <c r="G3517" s="328">
        <v>3275.6</v>
      </c>
      <c r="H3517" s="347">
        <f t="shared" si="51"/>
        <v>0</v>
      </c>
      <c r="I3517" s="331" t="s">
        <v>15214</v>
      </c>
    </row>
    <row r="3518" spans="1:9" x14ac:dyDescent="0.25">
      <c r="A3518" s="319">
        <v>43007</v>
      </c>
      <c r="B3518" s="320" t="s">
        <v>31317</v>
      </c>
      <c r="C3518" s="321">
        <v>129277</v>
      </c>
      <c r="D3518" s="390" t="s">
        <v>30939</v>
      </c>
      <c r="E3518" s="322">
        <v>13581.2</v>
      </c>
      <c r="F3518" s="323">
        <v>43007</v>
      </c>
      <c r="G3518" s="322">
        <v>13581.2</v>
      </c>
      <c r="H3518" s="322">
        <f t="shared" si="51"/>
        <v>0</v>
      </c>
      <c r="I3518" s="325" t="s">
        <v>15214</v>
      </c>
    </row>
    <row r="3519" spans="1:9" x14ac:dyDescent="0.25">
      <c r="A3519" s="359">
        <v>43007</v>
      </c>
      <c r="B3519" s="326" t="s">
        <v>31318</v>
      </c>
      <c r="C3519" s="327">
        <v>129278</v>
      </c>
      <c r="D3519" s="391" t="s">
        <v>19780</v>
      </c>
      <c r="E3519" s="328">
        <v>7144</v>
      </c>
      <c r="F3519" s="329">
        <v>43010</v>
      </c>
      <c r="G3519" s="328">
        <v>7144</v>
      </c>
      <c r="H3519" s="347">
        <f t="shared" si="51"/>
        <v>0</v>
      </c>
      <c r="I3519" s="331" t="s">
        <v>15214</v>
      </c>
    </row>
    <row r="3520" spans="1:9" x14ac:dyDescent="0.25">
      <c r="A3520" s="319">
        <v>43007</v>
      </c>
      <c r="B3520" s="320" t="s">
        <v>31319</v>
      </c>
      <c r="C3520" s="321">
        <v>129279</v>
      </c>
      <c r="D3520" s="390" t="s">
        <v>15238</v>
      </c>
      <c r="E3520" s="322">
        <v>4381.3999999999996</v>
      </c>
      <c r="F3520" s="323">
        <v>43010</v>
      </c>
      <c r="G3520" s="322">
        <v>4381.3999999999996</v>
      </c>
      <c r="H3520" s="322">
        <f t="shared" si="51"/>
        <v>0</v>
      </c>
      <c r="I3520" s="325" t="s">
        <v>15214</v>
      </c>
    </row>
    <row r="3521" spans="1:9" x14ac:dyDescent="0.25">
      <c r="A3521" s="359">
        <v>43007</v>
      </c>
      <c r="B3521" s="326" t="s">
        <v>31320</v>
      </c>
      <c r="C3521" s="327">
        <v>129280</v>
      </c>
      <c r="D3521" s="391" t="s">
        <v>15236</v>
      </c>
      <c r="E3521" s="328">
        <v>3480.8</v>
      </c>
      <c r="F3521" s="329">
        <v>43010</v>
      </c>
      <c r="G3521" s="328">
        <v>3480.8</v>
      </c>
      <c r="H3521" s="347">
        <f t="shared" si="51"/>
        <v>0</v>
      </c>
      <c r="I3521" s="331" t="s">
        <v>15214</v>
      </c>
    </row>
    <row r="3522" spans="1:9" x14ac:dyDescent="0.25">
      <c r="A3522" s="319">
        <v>43007</v>
      </c>
      <c r="B3522" s="320" t="s">
        <v>31321</v>
      </c>
      <c r="C3522" s="321">
        <v>129281</v>
      </c>
      <c r="D3522" s="390" t="s">
        <v>15230</v>
      </c>
      <c r="E3522" s="322">
        <v>16294.2</v>
      </c>
      <c r="F3522" s="323">
        <v>43010</v>
      </c>
      <c r="G3522" s="322">
        <v>16294.2</v>
      </c>
      <c r="H3522" s="322">
        <f t="shared" si="51"/>
        <v>0</v>
      </c>
      <c r="I3522" s="325" t="s">
        <v>15214</v>
      </c>
    </row>
    <row r="3523" spans="1:9" ht="30" x14ac:dyDescent="0.25">
      <c r="A3523" s="359">
        <v>43007</v>
      </c>
      <c r="B3523" s="326" t="s">
        <v>31322</v>
      </c>
      <c r="C3523" s="327">
        <v>129282</v>
      </c>
      <c r="D3523" s="391" t="s">
        <v>15256</v>
      </c>
      <c r="E3523" s="328">
        <v>7700.7</v>
      </c>
      <c r="F3523" s="329" t="s">
        <v>31612</v>
      </c>
      <c r="G3523" s="328">
        <f>7000+700.7</f>
        <v>7700.7</v>
      </c>
      <c r="H3523" s="347">
        <f t="shared" si="51"/>
        <v>0</v>
      </c>
      <c r="I3523" s="331" t="s">
        <v>15214</v>
      </c>
    </row>
    <row r="3524" spans="1:9" x14ac:dyDescent="0.25">
      <c r="A3524" s="319">
        <v>43007</v>
      </c>
      <c r="B3524" s="320" t="s">
        <v>31323</v>
      </c>
      <c r="C3524" s="321">
        <v>129283</v>
      </c>
      <c r="D3524" s="390" t="s">
        <v>15232</v>
      </c>
      <c r="E3524" s="322">
        <v>6442.8</v>
      </c>
      <c r="F3524" s="323">
        <v>43013</v>
      </c>
      <c r="G3524" s="322">
        <v>6442.8</v>
      </c>
      <c r="H3524" s="322">
        <f t="shared" si="51"/>
        <v>0</v>
      </c>
      <c r="I3524" s="325" t="s">
        <v>15214</v>
      </c>
    </row>
    <row r="3525" spans="1:9" x14ac:dyDescent="0.25">
      <c r="A3525" s="359">
        <v>43007</v>
      </c>
      <c r="B3525" s="326" t="s">
        <v>31324</v>
      </c>
      <c r="C3525" s="327">
        <v>129284</v>
      </c>
      <c r="D3525" s="391" t="s">
        <v>15668</v>
      </c>
      <c r="E3525" s="328">
        <v>18526.900000000001</v>
      </c>
      <c r="F3525" s="329">
        <v>43010</v>
      </c>
      <c r="G3525" s="328">
        <v>18526.900000000001</v>
      </c>
      <c r="H3525" s="347">
        <f t="shared" si="51"/>
        <v>0</v>
      </c>
      <c r="I3525" s="331" t="s">
        <v>15214</v>
      </c>
    </row>
    <row r="3526" spans="1:9" x14ac:dyDescent="0.25">
      <c r="A3526" s="319">
        <v>43007</v>
      </c>
      <c r="B3526" s="320" t="s">
        <v>31325</v>
      </c>
      <c r="C3526" s="321">
        <v>129285</v>
      </c>
      <c r="D3526" s="390" t="s">
        <v>15480</v>
      </c>
      <c r="E3526" s="322">
        <v>7014.8</v>
      </c>
      <c r="F3526" s="323">
        <v>43008</v>
      </c>
      <c r="G3526" s="322">
        <v>7014.8</v>
      </c>
      <c r="H3526" s="322">
        <f t="shared" si="51"/>
        <v>0</v>
      </c>
      <c r="I3526" s="325" t="s">
        <v>15214</v>
      </c>
    </row>
    <row r="3527" spans="1:9" x14ac:dyDescent="0.25">
      <c r="A3527" s="359">
        <v>43007</v>
      </c>
      <c r="B3527" s="326" t="s">
        <v>31326</v>
      </c>
      <c r="C3527" s="327">
        <v>129286</v>
      </c>
      <c r="D3527" s="391" t="s">
        <v>30939</v>
      </c>
      <c r="E3527" s="328">
        <v>9009.2999999999993</v>
      </c>
      <c r="F3527" s="329">
        <v>43007</v>
      </c>
      <c r="G3527" s="328">
        <v>9009.2999999999993</v>
      </c>
      <c r="H3527" s="347">
        <f t="shared" si="51"/>
        <v>0</v>
      </c>
      <c r="I3527" s="331" t="s">
        <v>15214</v>
      </c>
    </row>
    <row r="3528" spans="1:9" x14ac:dyDescent="0.25">
      <c r="A3528" s="319">
        <v>43007</v>
      </c>
      <c r="B3528" s="320" t="s">
        <v>31327</v>
      </c>
      <c r="C3528" s="321">
        <v>129287</v>
      </c>
      <c r="D3528" s="390" t="s">
        <v>30939</v>
      </c>
      <c r="E3528" s="322">
        <v>754.4</v>
      </c>
      <c r="F3528" s="323">
        <v>43008</v>
      </c>
      <c r="G3528" s="322">
        <v>754.4</v>
      </c>
      <c r="H3528" s="322">
        <f t="shared" si="51"/>
        <v>0</v>
      </c>
      <c r="I3528" s="325" t="s">
        <v>15214</v>
      </c>
    </row>
    <row r="3529" spans="1:9" x14ac:dyDescent="0.25">
      <c r="A3529" s="359">
        <v>43007</v>
      </c>
      <c r="B3529" s="326" t="s">
        <v>31328</v>
      </c>
      <c r="C3529" s="327">
        <v>129288</v>
      </c>
      <c r="D3529" s="391" t="s">
        <v>30057</v>
      </c>
      <c r="E3529" s="328">
        <v>4370</v>
      </c>
      <c r="F3529" s="329">
        <v>43008</v>
      </c>
      <c r="G3529" s="328">
        <v>4370</v>
      </c>
      <c r="H3529" s="347">
        <f t="shared" si="51"/>
        <v>0</v>
      </c>
      <c r="I3529" s="331" t="s">
        <v>15214</v>
      </c>
    </row>
    <row r="3530" spans="1:9" x14ac:dyDescent="0.25">
      <c r="A3530" s="319">
        <v>43007</v>
      </c>
      <c r="B3530" s="320" t="s">
        <v>31329</v>
      </c>
      <c r="C3530" s="321">
        <v>129289</v>
      </c>
      <c r="D3530" s="390" t="s">
        <v>5575</v>
      </c>
      <c r="E3530" s="322">
        <v>3321.2</v>
      </c>
      <c r="F3530" s="323">
        <v>43008</v>
      </c>
      <c r="G3530" s="322">
        <v>3321.2</v>
      </c>
      <c r="H3530" s="322">
        <f t="shared" si="51"/>
        <v>0</v>
      </c>
      <c r="I3530" s="325" t="s">
        <v>15214</v>
      </c>
    </row>
    <row r="3531" spans="1:9" x14ac:dyDescent="0.25">
      <c r="A3531" s="359">
        <v>43007</v>
      </c>
      <c r="B3531" s="326" t="s">
        <v>31330</v>
      </c>
      <c r="C3531" s="327">
        <v>129290</v>
      </c>
      <c r="D3531" s="391" t="s">
        <v>15258</v>
      </c>
      <c r="E3531" s="328">
        <v>14504.6</v>
      </c>
      <c r="F3531" s="329">
        <v>43011</v>
      </c>
      <c r="G3531" s="328">
        <v>14504.6</v>
      </c>
      <c r="H3531" s="347">
        <f t="shared" si="51"/>
        <v>0</v>
      </c>
      <c r="I3531" s="331" t="s">
        <v>15214</v>
      </c>
    </row>
    <row r="3532" spans="1:9" x14ac:dyDescent="0.25">
      <c r="A3532" s="319">
        <v>43007</v>
      </c>
      <c r="B3532" s="320" t="s">
        <v>31331</v>
      </c>
      <c r="C3532" s="321">
        <v>129291</v>
      </c>
      <c r="D3532" s="390" t="s">
        <v>15448</v>
      </c>
      <c r="E3532" s="322">
        <v>203074.5</v>
      </c>
      <c r="F3532" s="323">
        <v>43008</v>
      </c>
      <c r="G3532" s="322">
        <v>203074.5</v>
      </c>
      <c r="H3532" s="322">
        <f t="shared" si="51"/>
        <v>0</v>
      </c>
      <c r="I3532" s="325" t="s">
        <v>15214</v>
      </c>
    </row>
    <row r="3533" spans="1:9" x14ac:dyDescent="0.25">
      <c r="A3533" s="359">
        <v>43007</v>
      </c>
      <c r="B3533" s="326" t="s">
        <v>31332</v>
      </c>
      <c r="C3533" s="327">
        <v>129292</v>
      </c>
      <c r="D3533" s="391" t="s">
        <v>15382</v>
      </c>
      <c r="E3533" s="328">
        <v>9557.9</v>
      </c>
      <c r="F3533" s="329">
        <v>43014</v>
      </c>
      <c r="G3533" s="328">
        <v>9557.9</v>
      </c>
      <c r="H3533" s="347">
        <f t="shared" si="51"/>
        <v>0</v>
      </c>
      <c r="I3533" s="331" t="s">
        <v>15214</v>
      </c>
    </row>
    <row r="3534" spans="1:9" x14ac:dyDescent="0.25">
      <c r="A3534" s="319">
        <v>43007</v>
      </c>
      <c r="B3534" s="320" t="s">
        <v>31333</v>
      </c>
      <c r="C3534" s="321">
        <v>129293</v>
      </c>
      <c r="D3534" s="390" t="s">
        <v>15272</v>
      </c>
      <c r="E3534" s="322">
        <v>28762.6</v>
      </c>
      <c r="F3534" s="323">
        <v>43007</v>
      </c>
      <c r="G3534" s="322">
        <v>28762.6</v>
      </c>
      <c r="H3534" s="322">
        <f t="shared" si="51"/>
        <v>0</v>
      </c>
      <c r="I3534" s="325" t="s">
        <v>15214</v>
      </c>
    </row>
    <row r="3535" spans="1:9" ht="30" x14ac:dyDescent="0.25">
      <c r="A3535" s="359">
        <v>43007</v>
      </c>
      <c r="B3535" s="326" t="s">
        <v>31334</v>
      </c>
      <c r="C3535" s="327">
        <v>129294</v>
      </c>
      <c r="D3535" s="391" t="s">
        <v>15373</v>
      </c>
      <c r="E3535" s="328">
        <v>13080.6</v>
      </c>
      <c r="F3535" s="329" t="s">
        <v>31615</v>
      </c>
      <c r="G3535" s="347">
        <f>6242+6838.6</f>
        <v>13080.6</v>
      </c>
      <c r="H3535" s="347">
        <f t="shared" si="51"/>
        <v>0</v>
      </c>
      <c r="I3535" s="331" t="s">
        <v>15214</v>
      </c>
    </row>
    <row r="3536" spans="1:9" x14ac:dyDescent="0.25">
      <c r="A3536" s="319">
        <v>43007</v>
      </c>
      <c r="B3536" s="320" t="s">
        <v>31335</v>
      </c>
      <c r="C3536" s="321">
        <v>129295</v>
      </c>
      <c r="D3536" s="390" t="s">
        <v>15369</v>
      </c>
      <c r="E3536" s="322">
        <v>21249</v>
      </c>
      <c r="F3536" s="323">
        <v>43022</v>
      </c>
      <c r="G3536" s="322">
        <v>21249</v>
      </c>
      <c r="H3536" s="322">
        <f t="shared" si="51"/>
        <v>0</v>
      </c>
      <c r="I3536" s="325" t="s">
        <v>15214</v>
      </c>
    </row>
    <row r="3537" spans="1:9" x14ac:dyDescent="0.25">
      <c r="A3537" s="359">
        <v>43007</v>
      </c>
      <c r="B3537" s="326" t="s">
        <v>31336</v>
      </c>
      <c r="C3537" s="327">
        <v>129296</v>
      </c>
      <c r="D3537" s="391" t="s">
        <v>17462</v>
      </c>
      <c r="E3537" s="328">
        <v>6314</v>
      </c>
      <c r="F3537" s="329">
        <v>43007</v>
      </c>
      <c r="G3537" s="328">
        <v>6314</v>
      </c>
      <c r="H3537" s="347">
        <f t="shared" si="51"/>
        <v>0</v>
      </c>
      <c r="I3537" s="331" t="s">
        <v>15214</v>
      </c>
    </row>
    <row r="3538" spans="1:9" x14ac:dyDescent="0.25">
      <c r="A3538" s="319">
        <v>43007</v>
      </c>
      <c r="B3538" s="320" t="s">
        <v>31337</v>
      </c>
      <c r="C3538" s="321">
        <v>129297</v>
      </c>
      <c r="D3538" s="390" t="s">
        <v>15389</v>
      </c>
      <c r="E3538" s="322">
        <v>18926.2</v>
      </c>
      <c r="F3538" s="323">
        <v>43014</v>
      </c>
      <c r="G3538" s="322">
        <v>18926.2</v>
      </c>
      <c r="H3538" s="322">
        <f t="shared" si="51"/>
        <v>0</v>
      </c>
      <c r="I3538" s="325" t="s">
        <v>15214</v>
      </c>
    </row>
    <row r="3539" spans="1:9" x14ac:dyDescent="0.25">
      <c r="A3539" s="359">
        <v>43007</v>
      </c>
      <c r="B3539" s="326" t="s">
        <v>31338</v>
      </c>
      <c r="C3539" s="327">
        <v>129298</v>
      </c>
      <c r="D3539" s="391" t="s">
        <v>16023</v>
      </c>
      <c r="E3539" s="328">
        <v>2939.5</v>
      </c>
      <c r="F3539" s="329">
        <v>43007</v>
      </c>
      <c r="G3539" s="328">
        <v>2939.5</v>
      </c>
      <c r="H3539" s="347">
        <f t="shared" si="51"/>
        <v>0</v>
      </c>
      <c r="I3539" s="331" t="s">
        <v>15214</v>
      </c>
    </row>
    <row r="3540" spans="1:9" ht="26.25" x14ac:dyDescent="0.25">
      <c r="A3540" s="319">
        <v>43007</v>
      </c>
      <c r="B3540" s="320" t="s">
        <v>31339</v>
      </c>
      <c r="C3540" s="321">
        <v>129299</v>
      </c>
      <c r="D3540" s="390" t="s">
        <v>15228</v>
      </c>
      <c r="E3540" s="322">
        <v>27228.9</v>
      </c>
      <c r="F3540" s="406" t="s">
        <v>31605</v>
      </c>
      <c r="G3540" s="364">
        <f>4500+15000+7728.9</f>
        <v>27228.9</v>
      </c>
      <c r="H3540" s="334">
        <f t="shared" si="51"/>
        <v>0</v>
      </c>
      <c r="I3540" s="325" t="s">
        <v>15214</v>
      </c>
    </row>
    <row r="3541" spans="1:9" x14ac:dyDescent="0.25">
      <c r="A3541" s="359">
        <v>43007</v>
      </c>
      <c r="B3541" s="326" t="s">
        <v>31340</v>
      </c>
      <c r="C3541" s="327">
        <v>129300</v>
      </c>
      <c r="D3541" s="391" t="s">
        <v>15315</v>
      </c>
      <c r="E3541" s="328">
        <v>4276.8</v>
      </c>
      <c r="F3541" s="329">
        <v>43007</v>
      </c>
      <c r="G3541" s="328">
        <v>4276.8</v>
      </c>
      <c r="H3541" s="347">
        <f t="shared" si="51"/>
        <v>0</v>
      </c>
      <c r="I3541" s="331" t="s">
        <v>15214</v>
      </c>
    </row>
    <row r="3542" spans="1:9" x14ac:dyDescent="0.25">
      <c r="A3542" s="319">
        <v>43007</v>
      </c>
      <c r="B3542" s="320" t="s">
        <v>31341</v>
      </c>
      <c r="C3542" s="321">
        <v>129301</v>
      </c>
      <c r="D3542" s="390" t="s">
        <v>15263</v>
      </c>
      <c r="E3542" s="322">
        <v>657.2</v>
      </c>
      <c r="F3542" s="323">
        <v>43007</v>
      </c>
      <c r="G3542" s="322">
        <v>657.2</v>
      </c>
      <c r="H3542" s="322">
        <f t="shared" si="51"/>
        <v>0</v>
      </c>
      <c r="I3542" s="325" t="s">
        <v>15214</v>
      </c>
    </row>
    <row r="3543" spans="1:9" x14ac:dyDescent="0.25">
      <c r="A3543" s="359">
        <v>43007</v>
      </c>
      <c r="B3543" s="326" t="s">
        <v>31342</v>
      </c>
      <c r="C3543" s="327">
        <v>129302</v>
      </c>
      <c r="D3543" s="391" t="s">
        <v>15367</v>
      </c>
      <c r="E3543" s="328">
        <v>7080</v>
      </c>
      <c r="F3543" s="329">
        <v>43008</v>
      </c>
      <c r="G3543" s="328">
        <v>7080</v>
      </c>
      <c r="H3543" s="347">
        <f t="shared" si="51"/>
        <v>0</v>
      </c>
      <c r="I3543" s="331" t="s">
        <v>15214</v>
      </c>
    </row>
    <row r="3544" spans="1:9" x14ac:dyDescent="0.25">
      <c r="A3544" s="319">
        <v>43007</v>
      </c>
      <c r="B3544" s="320" t="s">
        <v>31343</v>
      </c>
      <c r="C3544" s="321">
        <v>129303</v>
      </c>
      <c r="D3544" s="390" t="s">
        <v>15242</v>
      </c>
      <c r="E3544" s="322">
        <v>4424</v>
      </c>
      <c r="F3544" s="323">
        <v>43007</v>
      </c>
      <c r="G3544" s="322">
        <v>4424</v>
      </c>
      <c r="H3544" s="322">
        <f t="shared" si="51"/>
        <v>0</v>
      </c>
      <c r="I3544" s="325" t="s">
        <v>15214</v>
      </c>
    </row>
    <row r="3545" spans="1:9" ht="30" x14ac:dyDescent="0.25">
      <c r="A3545" s="359">
        <v>43007</v>
      </c>
      <c r="B3545" s="326" t="s">
        <v>31344</v>
      </c>
      <c r="C3545" s="327">
        <v>129304</v>
      </c>
      <c r="D3545" s="391" t="s">
        <v>15394</v>
      </c>
      <c r="E3545" s="328">
        <v>14935.8</v>
      </c>
      <c r="F3545" s="329" t="s">
        <v>31619</v>
      </c>
      <c r="G3545" s="328">
        <f>14000+935.8</f>
        <v>14935.8</v>
      </c>
      <c r="H3545" s="347">
        <f t="shared" si="51"/>
        <v>0</v>
      </c>
      <c r="I3545" s="331" t="s">
        <v>15214</v>
      </c>
    </row>
    <row r="3546" spans="1:9" x14ac:dyDescent="0.25">
      <c r="A3546" s="319">
        <v>43007</v>
      </c>
      <c r="B3546" s="320" t="s">
        <v>31345</v>
      </c>
      <c r="C3546" s="321">
        <v>129305</v>
      </c>
      <c r="D3546" s="390" t="s">
        <v>15280</v>
      </c>
      <c r="E3546" s="322">
        <v>9639.4</v>
      </c>
      <c r="F3546" s="323">
        <v>43007</v>
      </c>
      <c r="G3546" s="322">
        <v>9639.4</v>
      </c>
      <c r="H3546" s="322">
        <f t="shared" si="51"/>
        <v>0</v>
      </c>
      <c r="I3546" s="325" t="s">
        <v>15214</v>
      </c>
    </row>
    <row r="3547" spans="1:9" x14ac:dyDescent="0.25">
      <c r="A3547" s="359">
        <v>43007</v>
      </c>
      <c r="B3547" s="326" t="s">
        <v>31346</v>
      </c>
      <c r="C3547" s="327">
        <v>129306</v>
      </c>
      <c r="D3547" s="391" t="s">
        <v>15371</v>
      </c>
      <c r="E3547" s="328">
        <v>4025.1</v>
      </c>
      <c r="F3547" s="329">
        <v>43008</v>
      </c>
      <c r="G3547" s="328">
        <v>4025.1</v>
      </c>
      <c r="H3547" s="347">
        <f t="shared" si="51"/>
        <v>0</v>
      </c>
      <c r="I3547" s="331" t="s">
        <v>15214</v>
      </c>
    </row>
    <row r="3548" spans="1:9" ht="15.75" x14ac:dyDescent="0.25">
      <c r="A3548" s="319">
        <v>43007</v>
      </c>
      <c r="B3548" s="320" t="s">
        <v>31347</v>
      </c>
      <c r="C3548" s="321">
        <v>129307</v>
      </c>
      <c r="D3548" s="332" t="s">
        <v>95</v>
      </c>
      <c r="E3548" s="322">
        <v>0</v>
      </c>
      <c r="F3548" s="333" t="s">
        <v>95</v>
      </c>
      <c r="G3548" s="322">
        <v>0</v>
      </c>
      <c r="H3548" s="322">
        <f t="shared" si="51"/>
        <v>0</v>
      </c>
      <c r="I3548" s="325" t="s">
        <v>95</v>
      </c>
    </row>
    <row r="3549" spans="1:9" x14ac:dyDescent="0.25">
      <c r="A3549" s="359">
        <v>43007</v>
      </c>
      <c r="B3549" s="326" t="s">
        <v>31348</v>
      </c>
      <c r="C3549" s="327">
        <v>129308</v>
      </c>
      <c r="D3549" s="391" t="s">
        <v>15380</v>
      </c>
      <c r="E3549" s="328">
        <v>38798.800000000003</v>
      </c>
      <c r="F3549" s="329">
        <v>43014</v>
      </c>
      <c r="G3549" s="328">
        <v>38798.800000000003</v>
      </c>
      <c r="H3549" s="347">
        <f t="shared" si="51"/>
        <v>0</v>
      </c>
      <c r="I3549" s="331" t="s">
        <v>15214</v>
      </c>
    </row>
    <row r="3550" spans="1:9" x14ac:dyDescent="0.25">
      <c r="A3550" s="319">
        <v>43007</v>
      </c>
      <c r="B3550" s="320" t="s">
        <v>31349</v>
      </c>
      <c r="C3550" s="321">
        <v>129309</v>
      </c>
      <c r="D3550" s="390" t="s">
        <v>15523</v>
      </c>
      <c r="E3550" s="322">
        <v>2580</v>
      </c>
      <c r="F3550" s="323">
        <v>43007</v>
      </c>
      <c r="G3550" s="322">
        <v>2580</v>
      </c>
      <c r="H3550" s="322">
        <f t="shared" si="51"/>
        <v>0</v>
      </c>
      <c r="I3550" s="325" t="s">
        <v>15214</v>
      </c>
    </row>
    <row r="3551" spans="1:9" x14ac:dyDescent="0.25">
      <c r="A3551" s="359">
        <v>43007</v>
      </c>
      <c r="B3551" s="326" t="s">
        <v>31350</v>
      </c>
      <c r="C3551" s="327">
        <v>129310</v>
      </c>
      <c r="D3551" s="391" t="s">
        <v>15334</v>
      </c>
      <c r="E3551" s="328">
        <v>2256</v>
      </c>
      <c r="F3551" s="329">
        <v>43007</v>
      </c>
      <c r="G3551" s="328">
        <v>2256</v>
      </c>
      <c r="H3551" s="347">
        <f t="shared" si="51"/>
        <v>0</v>
      </c>
      <c r="I3551" s="331" t="s">
        <v>15214</v>
      </c>
    </row>
    <row r="3552" spans="1:9" x14ac:dyDescent="0.25">
      <c r="A3552" s="319">
        <v>43007</v>
      </c>
      <c r="B3552" s="320" t="s">
        <v>31351</v>
      </c>
      <c r="C3552" s="321">
        <v>129311</v>
      </c>
      <c r="D3552" s="390" t="s">
        <v>16383</v>
      </c>
      <c r="E3552" s="322">
        <v>9984</v>
      </c>
      <c r="F3552" s="323">
        <v>43007</v>
      </c>
      <c r="G3552" s="322">
        <v>9984</v>
      </c>
      <c r="H3552" s="322">
        <f t="shared" si="51"/>
        <v>0</v>
      </c>
      <c r="I3552" s="325" t="s">
        <v>15214</v>
      </c>
    </row>
    <row r="3553" spans="1:9" x14ac:dyDescent="0.25">
      <c r="A3553" s="359">
        <v>43007</v>
      </c>
      <c r="B3553" s="326" t="s">
        <v>31352</v>
      </c>
      <c r="C3553" s="327">
        <v>129312</v>
      </c>
      <c r="D3553" s="391" t="s">
        <v>16171</v>
      </c>
      <c r="E3553" s="328">
        <v>1171.32</v>
      </c>
      <c r="F3553" s="329">
        <v>43007</v>
      </c>
      <c r="G3553" s="328">
        <v>1171.32</v>
      </c>
      <c r="H3553" s="347">
        <f t="shared" si="51"/>
        <v>0</v>
      </c>
      <c r="I3553" s="331" t="s">
        <v>15214</v>
      </c>
    </row>
    <row r="3554" spans="1:9" x14ac:dyDescent="0.25">
      <c r="A3554" s="319">
        <v>43007</v>
      </c>
      <c r="B3554" s="320" t="s">
        <v>31353</v>
      </c>
      <c r="C3554" s="321">
        <v>129313</v>
      </c>
      <c r="D3554" s="390" t="s">
        <v>15421</v>
      </c>
      <c r="E3554" s="322">
        <v>600</v>
      </c>
      <c r="F3554" s="323">
        <v>43007</v>
      </c>
      <c r="G3554" s="322">
        <v>600</v>
      </c>
      <c r="H3554" s="322">
        <f t="shared" si="51"/>
        <v>0</v>
      </c>
      <c r="I3554" s="325" t="s">
        <v>15214</v>
      </c>
    </row>
    <row r="3555" spans="1:9" x14ac:dyDescent="0.25">
      <c r="A3555" s="359">
        <v>43007</v>
      </c>
      <c r="B3555" s="326" t="s">
        <v>31354</v>
      </c>
      <c r="C3555" s="327">
        <v>129314</v>
      </c>
      <c r="D3555" s="391" t="s">
        <v>15858</v>
      </c>
      <c r="E3555" s="328">
        <v>3853.96</v>
      </c>
      <c r="F3555" s="329">
        <v>43007</v>
      </c>
      <c r="G3555" s="328">
        <v>3853.96</v>
      </c>
      <c r="H3555" s="347">
        <f t="shared" si="51"/>
        <v>0</v>
      </c>
      <c r="I3555" s="331" t="s">
        <v>15214</v>
      </c>
    </row>
    <row r="3556" spans="1:9" x14ac:dyDescent="0.25">
      <c r="A3556" s="319">
        <v>43007</v>
      </c>
      <c r="B3556" s="320" t="s">
        <v>31355</v>
      </c>
      <c r="C3556" s="321">
        <v>129315</v>
      </c>
      <c r="D3556" s="390" t="s">
        <v>15728</v>
      </c>
      <c r="E3556" s="322">
        <v>11836.8</v>
      </c>
      <c r="F3556" s="323">
        <v>43007</v>
      </c>
      <c r="G3556" s="322">
        <v>11836.8</v>
      </c>
      <c r="H3556" s="322">
        <f t="shared" si="51"/>
        <v>0</v>
      </c>
      <c r="I3556" s="325" t="s">
        <v>15214</v>
      </c>
    </row>
    <row r="3557" spans="1:9" x14ac:dyDescent="0.25">
      <c r="A3557" s="359">
        <v>43007</v>
      </c>
      <c r="B3557" s="326" t="s">
        <v>31356</v>
      </c>
      <c r="C3557" s="327">
        <v>129316</v>
      </c>
      <c r="D3557" s="391" t="s">
        <v>15223</v>
      </c>
      <c r="E3557" s="328">
        <v>53192</v>
      </c>
      <c r="F3557" s="329">
        <v>43029</v>
      </c>
      <c r="G3557" s="328">
        <v>53192</v>
      </c>
      <c r="H3557" s="347">
        <f t="shared" si="51"/>
        <v>0</v>
      </c>
      <c r="I3557" s="331" t="s">
        <v>15214</v>
      </c>
    </row>
    <row r="3558" spans="1:9" x14ac:dyDescent="0.25">
      <c r="A3558" s="319">
        <v>43007</v>
      </c>
      <c r="B3558" s="320" t="s">
        <v>31357</v>
      </c>
      <c r="C3558" s="321">
        <v>129317</v>
      </c>
      <c r="D3558" s="390" t="s">
        <v>15240</v>
      </c>
      <c r="E3558" s="322">
        <v>2791.8</v>
      </c>
      <c r="F3558" s="323">
        <v>43008</v>
      </c>
      <c r="G3558" s="322">
        <v>2791.8</v>
      </c>
      <c r="H3558" s="322">
        <f t="shared" si="51"/>
        <v>0</v>
      </c>
      <c r="I3558" s="325" t="s">
        <v>15214</v>
      </c>
    </row>
    <row r="3559" spans="1:9" x14ac:dyDescent="0.25">
      <c r="A3559" s="359">
        <v>43007</v>
      </c>
      <c r="B3559" s="326" t="s">
        <v>31358</v>
      </c>
      <c r="C3559" s="327">
        <v>129318</v>
      </c>
      <c r="D3559" s="391" t="s">
        <v>15354</v>
      </c>
      <c r="E3559" s="328">
        <v>2406.4</v>
      </c>
      <c r="F3559" s="329">
        <v>43007</v>
      </c>
      <c r="G3559" s="328">
        <v>2406.4</v>
      </c>
      <c r="H3559" s="347">
        <f t="shared" si="51"/>
        <v>0</v>
      </c>
      <c r="I3559" s="331" t="s">
        <v>15214</v>
      </c>
    </row>
    <row r="3560" spans="1:9" ht="15.75" x14ac:dyDescent="0.25">
      <c r="A3560" s="319">
        <v>43007</v>
      </c>
      <c r="B3560" s="320" t="s">
        <v>31359</v>
      </c>
      <c r="C3560" s="321">
        <v>129319</v>
      </c>
      <c r="D3560" s="332" t="s">
        <v>95</v>
      </c>
      <c r="E3560" s="322">
        <v>0</v>
      </c>
      <c r="F3560" s="333" t="s">
        <v>95</v>
      </c>
      <c r="G3560" s="322">
        <v>0</v>
      </c>
      <c r="H3560" s="322">
        <f t="shared" si="51"/>
        <v>0</v>
      </c>
      <c r="I3560" s="325" t="s">
        <v>95</v>
      </c>
    </row>
    <row r="3561" spans="1:9" x14ac:dyDescent="0.25">
      <c r="A3561" s="359">
        <v>43007</v>
      </c>
      <c r="B3561" s="326" t="s">
        <v>31360</v>
      </c>
      <c r="C3561" s="327">
        <v>129320</v>
      </c>
      <c r="D3561" s="391" t="s">
        <v>15220</v>
      </c>
      <c r="E3561" s="328">
        <v>2365</v>
      </c>
      <c r="F3561" s="329">
        <v>43007</v>
      </c>
      <c r="G3561" s="328">
        <v>2365</v>
      </c>
      <c r="H3561" s="347">
        <f t="shared" si="51"/>
        <v>0</v>
      </c>
      <c r="I3561" s="331" t="s">
        <v>15214</v>
      </c>
    </row>
    <row r="3562" spans="1:9" x14ac:dyDescent="0.25">
      <c r="A3562" s="319">
        <v>43007</v>
      </c>
      <c r="B3562" s="320" t="s">
        <v>31361</v>
      </c>
      <c r="C3562" s="321">
        <v>129321</v>
      </c>
      <c r="D3562" s="390" t="s">
        <v>15220</v>
      </c>
      <c r="E3562" s="322">
        <v>3049.2</v>
      </c>
      <c r="F3562" s="323">
        <v>43007</v>
      </c>
      <c r="G3562" s="322">
        <v>3049.2</v>
      </c>
      <c r="H3562" s="322">
        <f t="shared" si="51"/>
        <v>0</v>
      </c>
      <c r="I3562" s="325" t="s">
        <v>15214</v>
      </c>
    </row>
    <row r="3563" spans="1:9" ht="15.75" x14ac:dyDescent="0.25">
      <c r="A3563" s="359">
        <v>43007</v>
      </c>
      <c r="B3563" s="326" t="s">
        <v>31362</v>
      </c>
      <c r="C3563" s="327">
        <v>129322</v>
      </c>
      <c r="D3563" s="345" t="s">
        <v>95</v>
      </c>
      <c r="E3563" s="328">
        <v>0</v>
      </c>
      <c r="F3563" s="346" t="s">
        <v>95</v>
      </c>
      <c r="G3563" s="328">
        <v>0</v>
      </c>
      <c r="H3563" s="347">
        <f t="shared" si="51"/>
        <v>0</v>
      </c>
      <c r="I3563" s="331" t="s">
        <v>95</v>
      </c>
    </row>
    <row r="3564" spans="1:9" x14ac:dyDescent="0.25">
      <c r="A3564" s="319">
        <v>43007</v>
      </c>
      <c r="B3564" s="320" t="s">
        <v>31363</v>
      </c>
      <c r="C3564" s="321">
        <v>129323</v>
      </c>
      <c r="D3564" s="390" t="s">
        <v>5556</v>
      </c>
      <c r="E3564" s="322">
        <v>64911.05</v>
      </c>
      <c r="F3564" s="323">
        <v>43012</v>
      </c>
      <c r="G3564" s="322">
        <v>64911.05</v>
      </c>
      <c r="H3564" s="322">
        <f t="shared" si="51"/>
        <v>0</v>
      </c>
      <c r="I3564" s="325" t="s">
        <v>15214</v>
      </c>
    </row>
    <row r="3565" spans="1:9" x14ac:dyDescent="0.25">
      <c r="A3565" s="359">
        <v>43007</v>
      </c>
      <c r="B3565" s="326" t="s">
        <v>31364</v>
      </c>
      <c r="C3565" s="327">
        <v>129324</v>
      </c>
      <c r="D3565" s="391" t="s">
        <v>15577</v>
      </c>
      <c r="E3565" s="328">
        <v>734.4</v>
      </c>
      <c r="F3565" s="329">
        <v>43007</v>
      </c>
      <c r="G3565" s="328">
        <v>734.4</v>
      </c>
      <c r="H3565" s="347">
        <f t="shared" si="51"/>
        <v>0</v>
      </c>
      <c r="I3565" s="331" t="s">
        <v>15214</v>
      </c>
    </row>
    <row r="3566" spans="1:9" x14ac:dyDescent="0.25">
      <c r="A3566" s="319">
        <v>43007</v>
      </c>
      <c r="B3566" s="320" t="s">
        <v>31365</v>
      </c>
      <c r="C3566" s="321">
        <v>129325</v>
      </c>
      <c r="D3566" s="390" t="s">
        <v>15340</v>
      </c>
      <c r="E3566" s="322">
        <v>3336</v>
      </c>
      <c r="F3566" s="323">
        <v>43007</v>
      </c>
      <c r="G3566" s="322">
        <v>3336</v>
      </c>
      <c r="H3566" s="322">
        <f t="shared" si="51"/>
        <v>0</v>
      </c>
      <c r="I3566" s="325" t="s">
        <v>15214</v>
      </c>
    </row>
    <row r="3567" spans="1:9" x14ac:dyDescent="0.25">
      <c r="A3567" s="359">
        <v>43007</v>
      </c>
      <c r="B3567" s="326" t="s">
        <v>31366</v>
      </c>
      <c r="C3567" s="327">
        <v>129326</v>
      </c>
      <c r="D3567" s="391" t="s">
        <v>15278</v>
      </c>
      <c r="E3567" s="328">
        <v>10639.22</v>
      </c>
      <c r="F3567" s="329">
        <v>43007</v>
      </c>
      <c r="G3567" s="328">
        <v>10639.22</v>
      </c>
      <c r="H3567" s="347">
        <f t="shared" si="51"/>
        <v>0</v>
      </c>
      <c r="I3567" s="331" t="s">
        <v>15214</v>
      </c>
    </row>
    <row r="3568" spans="1:9" ht="15.75" x14ac:dyDescent="0.25">
      <c r="A3568" s="319">
        <v>43007</v>
      </c>
      <c r="B3568" s="320" t="s">
        <v>31367</v>
      </c>
      <c r="C3568" s="321">
        <v>129327</v>
      </c>
      <c r="D3568" s="332" t="s">
        <v>95</v>
      </c>
      <c r="E3568" s="322">
        <v>0</v>
      </c>
      <c r="F3568" s="333" t="s">
        <v>95</v>
      </c>
      <c r="G3568" s="322">
        <v>0</v>
      </c>
      <c r="H3568" s="322">
        <f t="shared" si="51"/>
        <v>0</v>
      </c>
      <c r="I3568" s="325" t="s">
        <v>95</v>
      </c>
    </row>
    <row r="3569" spans="1:9" x14ac:dyDescent="0.25">
      <c r="A3569" s="359">
        <v>43007</v>
      </c>
      <c r="B3569" s="326" t="s">
        <v>31368</v>
      </c>
      <c r="C3569" s="327">
        <v>129328</v>
      </c>
      <c r="D3569" s="391" t="s">
        <v>15226</v>
      </c>
      <c r="E3569" s="328">
        <v>1355.2</v>
      </c>
      <c r="F3569" s="329">
        <v>43008</v>
      </c>
      <c r="G3569" s="328">
        <v>1355.2</v>
      </c>
      <c r="H3569" s="347">
        <f t="shared" ref="H3569:H3632" si="52">E3569-G3569</f>
        <v>0</v>
      </c>
      <c r="I3569" s="331" t="s">
        <v>15214</v>
      </c>
    </row>
    <row r="3570" spans="1:9" x14ac:dyDescent="0.25">
      <c r="A3570" s="319">
        <v>43007</v>
      </c>
      <c r="B3570" s="320" t="s">
        <v>31369</v>
      </c>
      <c r="C3570" s="321">
        <v>129329</v>
      </c>
      <c r="D3570" s="390" t="s">
        <v>19302</v>
      </c>
      <c r="E3570" s="322">
        <v>860</v>
      </c>
      <c r="F3570" s="323">
        <v>43007</v>
      </c>
      <c r="G3570" s="322">
        <v>860</v>
      </c>
      <c r="H3570" s="322">
        <f t="shared" si="52"/>
        <v>0</v>
      </c>
      <c r="I3570" s="325" t="s">
        <v>15214</v>
      </c>
    </row>
    <row r="3571" spans="1:9" x14ac:dyDescent="0.25">
      <c r="A3571" s="359">
        <v>43007</v>
      </c>
      <c r="B3571" s="326" t="s">
        <v>31370</v>
      </c>
      <c r="C3571" s="327">
        <v>129330</v>
      </c>
      <c r="D3571" s="391" t="s">
        <v>15261</v>
      </c>
      <c r="E3571" s="328">
        <v>9037.2000000000007</v>
      </c>
      <c r="F3571" s="329">
        <v>43007</v>
      </c>
      <c r="G3571" s="328">
        <v>9037.2000000000007</v>
      </c>
      <c r="H3571" s="347">
        <f t="shared" si="52"/>
        <v>0</v>
      </c>
      <c r="I3571" s="331" t="s">
        <v>15214</v>
      </c>
    </row>
    <row r="3572" spans="1:9" x14ac:dyDescent="0.25">
      <c r="A3572" s="319">
        <v>43007</v>
      </c>
      <c r="B3572" s="320" t="s">
        <v>31371</v>
      </c>
      <c r="C3572" s="321">
        <v>129331</v>
      </c>
      <c r="D3572" s="390" t="s">
        <v>16732</v>
      </c>
      <c r="E3572" s="322">
        <v>3313.6</v>
      </c>
      <c r="F3572" s="323">
        <v>43007</v>
      </c>
      <c r="G3572" s="322">
        <v>3313.6</v>
      </c>
      <c r="H3572" s="322">
        <f t="shared" si="52"/>
        <v>0</v>
      </c>
      <c r="I3572" s="325" t="s">
        <v>15214</v>
      </c>
    </row>
    <row r="3573" spans="1:9" x14ac:dyDescent="0.25">
      <c r="A3573" s="359">
        <v>43007</v>
      </c>
      <c r="B3573" s="326" t="s">
        <v>31372</v>
      </c>
      <c r="C3573" s="327">
        <v>129332</v>
      </c>
      <c r="D3573" s="391" t="s">
        <v>15348</v>
      </c>
      <c r="E3573" s="328">
        <v>2777.7</v>
      </c>
      <c r="F3573" s="329">
        <v>43010</v>
      </c>
      <c r="G3573" s="328">
        <v>2777.7</v>
      </c>
      <c r="H3573" s="347">
        <f t="shared" si="52"/>
        <v>0</v>
      </c>
      <c r="I3573" s="331" t="s">
        <v>15214</v>
      </c>
    </row>
    <row r="3574" spans="1:9" x14ac:dyDescent="0.25">
      <c r="A3574" s="319">
        <v>43007</v>
      </c>
      <c r="B3574" s="320" t="s">
        <v>31373</v>
      </c>
      <c r="C3574" s="321">
        <v>129333</v>
      </c>
      <c r="D3574" s="390" t="s">
        <v>15261</v>
      </c>
      <c r="E3574" s="322">
        <v>20154</v>
      </c>
      <c r="F3574" s="323">
        <v>43007</v>
      </c>
      <c r="G3574" s="322">
        <v>20154</v>
      </c>
      <c r="H3574" s="322">
        <f t="shared" si="52"/>
        <v>0</v>
      </c>
      <c r="I3574" s="325" t="s">
        <v>15214</v>
      </c>
    </row>
    <row r="3575" spans="1:9" x14ac:dyDescent="0.25">
      <c r="A3575" s="359">
        <v>43007</v>
      </c>
      <c r="B3575" s="326" t="s">
        <v>31374</v>
      </c>
      <c r="C3575" s="327">
        <v>129334</v>
      </c>
      <c r="D3575" s="391" t="s">
        <v>15261</v>
      </c>
      <c r="E3575" s="328">
        <v>1263.5999999999999</v>
      </c>
      <c r="F3575" s="329">
        <v>43007</v>
      </c>
      <c r="G3575" s="328">
        <v>1263.5999999999999</v>
      </c>
      <c r="H3575" s="347">
        <f t="shared" si="52"/>
        <v>0</v>
      </c>
      <c r="I3575" s="331" t="s">
        <v>15214</v>
      </c>
    </row>
    <row r="3576" spans="1:9" x14ac:dyDescent="0.25">
      <c r="A3576" s="319">
        <v>43007</v>
      </c>
      <c r="B3576" s="320" t="s">
        <v>31375</v>
      </c>
      <c r="C3576" s="321">
        <v>129335</v>
      </c>
      <c r="D3576" s="390" t="s">
        <v>15272</v>
      </c>
      <c r="E3576" s="322">
        <v>5604.6</v>
      </c>
      <c r="F3576" s="323">
        <v>43007</v>
      </c>
      <c r="G3576" s="322">
        <v>5604.6</v>
      </c>
      <c r="H3576" s="322">
        <f t="shared" si="52"/>
        <v>0</v>
      </c>
      <c r="I3576" s="325" t="s">
        <v>15214</v>
      </c>
    </row>
    <row r="3577" spans="1:9" x14ac:dyDescent="0.25">
      <c r="A3577" s="359">
        <v>43007</v>
      </c>
      <c r="B3577" s="326" t="s">
        <v>31376</v>
      </c>
      <c r="C3577" s="327">
        <v>129336</v>
      </c>
      <c r="D3577" s="391" t="s">
        <v>15332</v>
      </c>
      <c r="E3577" s="328">
        <v>2335</v>
      </c>
      <c r="F3577" s="329">
        <v>43007</v>
      </c>
      <c r="G3577" s="328">
        <v>2335</v>
      </c>
      <c r="H3577" s="347">
        <f t="shared" si="52"/>
        <v>0</v>
      </c>
      <c r="I3577" s="331" t="s">
        <v>15214</v>
      </c>
    </row>
    <row r="3578" spans="1:9" x14ac:dyDescent="0.25">
      <c r="A3578" s="319">
        <v>43007</v>
      </c>
      <c r="B3578" s="320" t="s">
        <v>31377</v>
      </c>
      <c r="C3578" s="321">
        <v>129337</v>
      </c>
      <c r="D3578" s="390" t="s">
        <v>15315</v>
      </c>
      <c r="E3578" s="322">
        <v>7242.8</v>
      </c>
      <c r="F3578" s="323">
        <v>43007</v>
      </c>
      <c r="G3578" s="322">
        <v>7242.8</v>
      </c>
      <c r="H3578" s="322">
        <f t="shared" si="52"/>
        <v>0</v>
      </c>
      <c r="I3578" s="325" t="s">
        <v>15214</v>
      </c>
    </row>
    <row r="3579" spans="1:9" x14ac:dyDescent="0.25">
      <c r="A3579" s="359">
        <v>43007</v>
      </c>
      <c r="B3579" s="326" t="s">
        <v>31378</v>
      </c>
      <c r="C3579" s="327">
        <v>129338</v>
      </c>
      <c r="D3579" s="391" t="s">
        <v>15562</v>
      </c>
      <c r="E3579" s="328">
        <v>1536</v>
      </c>
      <c r="F3579" s="329">
        <v>43007</v>
      </c>
      <c r="G3579" s="328">
        <v>1536</v>
      </c>
      <c r="H3579" s="347">
        <f t="shared" si="52"/>
        <v>0</v>
      </c>
      <c r="I3579" s="331" t="s">
        <v>15214</v>
      </c>
    </row>
    <row r="3580" spans="1:9" ht="15.75" x14ac:dyDescent="0.25">
      <c r="A3580" s="319">
        <v>43007</v>
      </c>
      <c r="B3580" s="320" t="s">
        <v>31379</v>
      </c>
      <c r="C3580" s="321">
        <v>129339</v>
      </c>
      <c r="D3580" s="332" t="s">
        <v>95</v>
      </c>
      <c r="E3580" s="322">
        <v>0</v>
      </c>
      <c r="F3580" s="333" t="s">
        <v>95</v>
      </c>
      <c r="G3580" s="322">
        <v>0</v>
      </c>
      <c r="H3580" s="322">
        <f t="shared" si="52"/>
        <v>0</v>
      </c>
      <c r="I3580" s="325" t="s">
        <v>95</v>
      </c>
    </row>
    <row r="3581" spans="1:9" x14ac:dyDescent="0.25">
      <c r="A3581" s="359">
        <v>43007</v>
      </c>
      <c r="B3581" s="326" t="s">
        <v>31380</v>
      </c>
      <c r="C3581" s="327">
        <v>129340</v>
      </c>
      <c r="D3581" s="391" t="s">
        <v>15322</v>
      </c>
      <c r="E3581" s="328">
        <v>2764.4</v>
      </c>
      <c r="F3581" s="329">
        <v>43007</v>
      </c>
      <c r="G3581" s="328">
        <v>2764.4</v>
      </c>
      <c r="H3581" s="347">
        <f t="shared" si="52"/>
        <v>0</v>
      </c>
      <c r="I3581" s="331" t="s">
        <v>15214</v>
      </c>
    </row>
    <row r="3582" spans="1:9" ht="30" x14ac:dyDescent="0.25">
      <c r="A3582" s="319">
        <v>43007</v>
      </c>
      <c r="B3582" s="320" t="s">
        <v>31381</v>
      </c>
      <c r="C3582" s="321">
        <v>129341</v>
      </c>
      <c r="D3582" s="390" t="s">
        <v>15346</v>
      </c>
      <c r="E3582" s="322">
        <v>4676.7</v>
      </c>
      <c r="F3582" s="323" t="s">
        <v>31082</v>
      </c>
      <c r="G3582" s="334">
        <f>3000+1676.7</f>
        <v>4676.7</v>
      </c>
      <c r="H3582" s="334">
        <f t="shared" si="52"/>
        <v>0</v>
      </c>
      <c r="I3582" s="325" t="s">
        <v>15214</v>
      </c>
    </row>
    <row r="3583" spans="1:9" x14ac:dyDescent="0.25">
      <c r="A3583" s="359">
        <v>43007</v>
      </c>
      <c r="B3583" s="326" t="s">
        <v>31382</v>
      </c>
      <c r="C3583" s="327">
        <v>129342</v>
      </c>
      <c r="D3583" s="391" t="s">
        <v>15358</v>
      </c>
      <c r="E3583" s="328">
        <v>2780.4</v>
      </c>
      <c r="F3583" s="329">
        <v>43007</v>
      </c>
      <c r="G3583" s="328">
        <v>2780.4</v>
      </c>
      <c r="H3583" s="347">
        <f t="shared" si="52"/>
        <v>0</v>
      </c>
      <c r="I3583" s="331" t="s">
        <v>15214</v>
      </c>
    </row>
    <row r="3584" spans="1:9" x14ac:dyDescent="0.25">
      <c r="A3584" s="319">
        <v>43007</v>
      </c>
      <c r="B3584" s="320" t="s">
        <v>31383</v>
      </c>
      <c r="C3584" s="321">
        <v>129343</v>
      </c>
      <c r="D3584" s="390" t="s">
        <v>15246</v>
      </c>
      <c r="E3584" s="322">
        <v>4358.3999999999996</v>
      </c>
      <c r="F3584" s="323">
        <v>43008</v>
      </c>
      <c r="G3584" s="322">
        <v>4358.3999999999996</v>
      </c>
      <c r="H3584" s="322">
        <f t="shared" si="52"/>
        <v>0</v>
      </c>
      <c r="I3584" s="325" t="s">
        <v>15214</v>
      </c>
    </row>
    <row r="3585" spans="1:9" x14ac:dyDescent="0.25">
      <c r="A3585" s="359">
        <v>43007</v>
      </c>
      <c r="B3585" s="326" t="s">
        <v>31384</v>
      </c>
      <c r="C3585" s="327">
        <v>129344</v>
      </c>
      <c r="D3585" s="391" t="s">
        <v>15336</v>
      </c>
      <c r="E3585" s="328">
        <v>5178.6000000000004</v>
      </c>
      <c r="F3585" s="329">
        <v>43007</v>
      </c>
      <c r="G3585" s="328">
        <v>5178.6000000000004</v>
      </c>
      <c r="H3585" s="347">
        <f t="shared" si="52"/>
        <v>0</v>
      </c>
      <c r="I3585" s="331" t="s">
        <v>15214</v>
      </c>
    </row>
    <row r="3586" spans="1:9" x14ac:dyDescent="0.25">
      <c r="A3586" s="319">
        <v>43007</v>
      </c>
      <c r="B3586" s="320" t="s">
        <v>31385</v>
      </c>
      <c r="C3586" s="321">
        <v>129345</v>
      </c>
      <c r="D3586" s="390" t="s">
        <v>15526</v>
      </c>
      <c r="E3586" s="322">
        <v>3883.5</v>
      </c>
      <c r="F3586" s="323">
        <v>43007</v>
      </c>
      <c r="G3586" s="322">
        <v>3883.5</v>
      </c>
      <c r="H3586" s="322">
        <f t="shared" si="52"/>
        <v>0</v>
      </c>
      <c r="I3586" s="325" t="s">
        <v>15214</v>
      </c>
    </row>
    <row r="3587" spans="1:9" ht="15.75" x14ac:dyDescent="0.25">
      <c r="A3587" s="359">
        <v>43007</v>
      </c>
      <c r="B3587" s="326" t="s">
        <v>31386</v>
      </c>
      <c r="C3587" s="327">
        <v>129346</v>
      </c>
      <c r="D3587" s="345" t="s">
        <v>95</v>
      </c>
      <c r="E3587" s="328">
        <v>0</v>
      </c>
      <c r="F3587" s="346" t="s">
        <v>95</v>
      </c>
      <c r="G3587" s="328">
        <v>0</v>
      </c>
      <c r="H3587" s="347">
        <f t="shared" si="52"/>
        <v>0</v>
      </c>
      <c r="I3587" s="331" t="s">
        <v>95</v>
      </c>
    </row>
    <row r="3588" spans="1:9" x14ac:dyDescent="0.25">
      <c r="A3588" s="319">
        <v>43007</v>
      </c>
      <c r="B3588" s="320" t="s">
        <v>31387</v>
      </c>
      <c r="C3588" s="321">
        <v>129347</v>
      </c>
      <c r="D3588" s="390" t="s">
        <v>15328</v>
      </c>
      <c r="E3588" s="322">
        <v>6225.6</v>
      </c>
      <c r="F3588" s="323">
        <v>43021</v>
      </c>
      <c r="G3588" s="322">
        <v>6225.6</v>
      </c>
      <c r="H3588" s="322">
        <f t="shared" si="52"/>
        <v>0</v>
      </c>
      <c r="I3588" s="325" t="s">
        <v>15214</v>
      </c>
    </row>
    <row r="3589" spans="1:9" x14ac:dyDescent="0.25">
      <c r="A3589" s="359">
        <v>43007</v>
      </c>
      <c r="B3589" s="326" t="s">
        <v>31388</v>
      </c>
      <c r="C3589" s="327">
        <v>129348</v>
      </c>
      <c r="D3589" s="391" t="s">
        <v>15284</v>
      </c>
      <c r="E3589" s="328">
        <v>1655.4</v>
      </c>
      <c r="F3589" s="329">
        <v>43007</v>
      </c>
      <c r="G3589" s="328">
        <v>1655.4</v>
      </c>
      <c r="H3589" s="347">
        <f t="shared" si="52"/>
        <v>0</v>
      </c>
      <c r="I3589" s="331" t="s">
        <v>15214</v>
      </c>
    </row>
    <row r="3590" spans="1:9" x14ac:dyDescent="0.25">
      <c r="A3590" s="319">
        <v>43007</v>
      </c>
      <c r="B3590" s="320" t="s">
        <v>31389</v>
      </c>
      <c r="C3590" s="321">
        <v>129349</v>
      </c>
      <c r="D3590" s="390" t="s">
        <v>5828</v>
      </c>
      <c r="E3590" s="322">
        <v>5305</v>
      </c>
      <c r="F3590" s="323">
        <v>43007</v>
      </c>
      <c r="G3590" s="322">
        <v>5305</v>
      </c>
      <c r="H3590" s="322">
        <f t="shared" si="52"/>
        <v>0</v>
      </c>
      <c r="I3590" s="325" t="s">
        <v>15214</v>
      </c>
    </row>
    <row r="3591" spans="1:9" ht="15.75" x14ac:dyDescent="0.25">
      <c r="A3591" s="359">
        <v>43007</v>
      </c>
      <c r="B3591" s="326" t="s">
        <v>31390</v>
      </c>
      <c r="C3591" s="327">
        <v>129350</v>
      </c>
      <c r="D3591" s="400" t="s">
        <v>95</v>
      </c>
      <c r="E3591" s="328">
        <v>0</v>
      </c>
      <c r="F3591" s="346" t="s">
        <v>95</v>
      </c>
      <c r="G3591" s="328">
        <v>0</v>
      </c>
      <c r="H3591" s="347">
        <f t="shared" si="52"/>
        <v>0</v>
      </c>
      <c r="I3591" s="331" t="s">
        <v>95</v>
      </c>
    </row>
    <row r="3592" spans="1:9" x14ac:dyDescent="0.25">
      <c r="A3592" s="319">
        <v>43007</v>
      </c>
      <c r="B3592" s="320" t="s">
        <v>31391</v>
      </c>
      <c r="C3592" s="321">
        <v>129351</v>
      </c>
      <c r="D3592" s="390" t="s">
        <v>16171</v>
      </c>
      <c r="E3592" s="322">
        <v>318.60000000000002</v>
      </c>
      <c r="F3592" s="323">
        <v>43007</v>
      </c>
      <c r="G3592" s="322">
        <v>318.60000000000002</v>
      </c>
      <c r="H3592" s="322">
        <f t="shared" si="52"/>
        <v>0</v>
      </c>
      <c r="I3592" s="325" t="s">
        <v>15214</v>
      </c>
    </row>
    <row r="3593" spans="1:9" x14ac:dyDescent="0.25">
      <c r="A3593" s="359">
        <v>43007</v>
      </c>
      <c r="B3593" s="326" t="s">
        <v>31392</v>
      </c>
      <c r="C3593" s="327">
        <v>129352</v>
      </c>
      <c r="D3593" s="391" t="s">
        <v>18544</v>
      </c>
      <c r="E3593" s="328">
        <v>5717.6</v>
      </c>
      <c r="F3593" s="329">
        <v>43007</v>
      </c>
      <c r="G3593" s="328">
        <v>5717.6</v>
      </c>
      <c r="H3593" s="347">
        <f t="shared" si="52"/>
        <v>0</v>
      </c>
      <c r="I3593" s="331" t="s">
        <v>15214</v>
      </c>
    </row>
    <row r="3594" spans="1:9" x14ac:dyDescent="0.25">
      <c r="A3594" s="319">
        <v>43007</v>
      </c>
      <c r="B3594" s="320" t="s">
        <v>31393</v>
      </c>
      <c r="C3594" s="321">
        <v>129353</v>
      </c>
      <c r="D3594" s="390" t="s">
        <v>15298</v>
      </c>
      <c r="E3594" s="322">
        <v>15713.1</v>
      </c>
      <c r="F3594" s="323">
        <v>43017</v>
      </c>
      <c r="G3594" s="322">
        <v>15713.1</v>
      </c>
      <c r="H3594" s="322">
        <f t="shared" si="52"/>
        <v>0</v>
      </c>
      <c r="I3594" s="325" t="s">
        <v>15214</v>
      </c>
    </row>
    <row r="3595" spans="1:9" x14ac:dyDescent="0.25">
      <c r="A3595" s="359">
        <v>43007</v>
      </c>
      <c r="B3595" s="326" t="s">
        <v>31394</v>
      </c>
      <c r="C3595" s="327">
        <v>129354</v>
      </c>
      <c r="D3595" s="391" t="s">
        <v>15326</v>
      </c>
      <c r="E3595" s="328">
        <v>8309.7999999999993</v>
      </c>
      <c r="F3595" s="329">
        <v>43007</v>
      </c>
      <c r="G3595" s="328">
        <v>8309.7999999999993</v>
      </c>
      <c r="H3595" s="347">
        <f t="shared" si="52"/>
        <v>0</v>
      </c>
      <c r="I3595" s="331" t="s">
        <v>15214</v>
      </c>
    </row>
    <row r="3596" spans="1:9" x14ac:dyDescent="0.25">
      <c r="A3596" s="319">
        <v>43007</v>
      </c>
      <c r="B3596" s="320" t="s">
        <v>31395</v>
      </c>
      <c r="C3596" s="321">
        <v>129355</v>
      </c>
      <c r="D3596" s="390" t="s">
        <v>15244</v>
      </c>
      <c r="E3596" s="322">
        <v>24429.3</v>
      </c>
      <c r="F3596" s="323">
        <v>43017</v>
      </c>
      <c r="G3596" s="322">
        <v>24429.3</v>
      </c>
      <c r="H3596" s="322">
        <f t="shared" si="52"/>
        <v>0</v>
      </c>
      <c r="I3596" s="325" t="s">
        <v>15214</v>
      </c>
    </row>
    <row r="3597" spans="1:9" x14ac:dyDescent="0.25">
      <c r="A3597" s="359">
        <v>43007</v>
      </c>
      <c r="B3597" s="326" t="s">
        <v>31396</v>
      </c>
      <c r="C3597" s="327">
        <v>129356</v>
      </c>
      <c r="D3597" s="391" t="s">
        <v>15252</v>
      </c>
      <c r="E3597" s="328">
        <v>5030.6000000000004</v>
      </c>
      <c r="F3597" s="361">
        <v>43009</v>
      </c>
      <c r="G3597" s="362">
        <v>5030.6000000000004</v>
      </c>
      <c r="H3597" s="347">
        <f t="shared" si="52"/>
        <v>0</v>
      </c>
      <c r="I3597" s="331" t="s">
        <v>15214</v>
      </c>
    </row>
    <row r="3598" spans="1:9" x14ac:dyDescent="0.25">
      <c r="A3598" s="319">
        <v>43007</v>
      </c>
      <c r="B3598" s="320" t="s">
        <v>31397</v>
      </c>
      <c r="C3598" s="321">
        <v>129357</v>
      </c>
      <c r="D3598" s="390" t="s">
        <v>23937</v>
      </c>
      <c r="E3598" s="322">
        <v>449.4</v>
      </c>
      <c r="F3598" s="323">
        <v>43007</v>
      </c>
      <c r="G3598" s="322">
        <v>449.4</v>
      </c>
      <c r="H3598" s="322">
        <f t="shared" si="52"/>
        <v>0</v>
      </c>
      <c r="I3598" s="325" t="s">
        <v>15214</v>
      </c>
    </row>
    <row r="3599" spans="1:9" x14ac:dyDescent="0.25">
      <c r="A3599" s="359">
        <v>43007</v>
      </c>
      <c r="B3599" s="326" t="s">
        <v>31398</v>
      </c>
      <c r="C3599" s="327">
        <v>129358</v>
      </c>
      <c r="D3599" s="391" t="s">
        <v>15396</v>
      </c>
      <c r="E3599" s="328">
        <v>4731.32</v>
      </c>
      <c r="F3599" s="329">
        <v>43007</v>
      </c>
      <c r="G3599" s="328">
        <v>4731.32</v>
      </c>
      <c r="H3599" s="347">
        <f t="shared" si="52"/>
        <v>0</v>
      </c>
      <c r="I3599" s="331" t="s">
        <v>15214</v>
      </c>
    </row>
    <row r="3600" spans="1:9" x14ac:dyDescent="0.25">
      <c r="A3600" s="319">
        <v>43007</v>
      </c>
      <c r="B3600" s="320" t="s">
        <v>31399</v>
      </c>
      <c r="C3600" s="321">
        <v>129359</v>
      </c>
      <c r="D3600" s="390" t="s">
        <v>15315</v>
      </c>
      <c r="E3600" s="322">
        <v>1268.4000000000001</v>
      </c>
      <c r="F3600" s="323">
        <v>43008</v>
      </c>
      <c r="G3600" s="322">
        <v>1268.4000000000001</v>
      </c>
      <c r="H3600" s="322">
        <f t="shared" si="52"/>
        <v>0</v>
      </c>
      <c r="I3600" s="325" t="s">
        <v>15214</v>
      </c>
    </row>
    <row r="3601" spans="1:9" x14ac:dyDescent="0.25">
      <c r="A3601" s="359">
        <v>43007</v>
      </c>
      <c r="B3601" s="326" t="s">
        <v>31400</v>
      </c>
      <c r="C3601" s="327">
        <v>129360</v>
      </c>
      <c r="D3601" s="391" t="s">
        <v>15315</v>
      </c>
      <c r="E3601" s="328">
        <v>2049.7800000000002</v>
      </c>
      <c r="F3601" s="329">
        <v>43008</v>
      </c>
      <c r="G3601" s="328">
        <v>2049.7800000000002</v>
      </c>
      <c r="H3601" s="347">
        <f t="shared" si="52"/>
        <v>0</v>
      </c>
      <c r="I3601" s="331" t="s">
        <v>15214</v>
      </c>
    </row>
    <row r="3602" spans="1:9" x14ac:dyDescent="0.25">
      <c r="A3602" s="319">
        <v>43007</v>
      </c>
      <c r="B3602" s="320" t="s">
        <v>31401</v>
      </c>
      <c r="C3602" s="321">
        <v>129361</v>
      </c>
      <c r="D3602" s="390" t="s">
        <v>15596</v>
      </c>
      <c r="E3602" s="322">
        <v>1290</v>
      </c>
      <c r="F3602" s="323">
        <v>43008</v>
      </c>
      <c r="G3602" s="322">
        <v>1290</v>
      </c>
      <c r="H3602" s="322">
        <f t="shared" si="52"/>
        <v>0</v>
      </c>
      <c r="I3602" s="325" t="s">
        <v>15214</v>
      </c>
    </row>
    <row r="3603" spans="1:9" x14ac:dyDescent="0.25">
      <c r="A3603" s="359">
        <v>43007</v>
      </c>
      <c r="B3603" s="326" t="s">
        <v>31402</v>
      </c>
      <c r="C3603" s="327">
        <v>129362</v>
      </c>
      <c r="D3603" s="391" t="s">
        <v>15291</v>
      </c>
      <c r="E3603" s="328">
        <v>645</v>
      </c>
      <c r="F3603" s="329">
        <v>43008</v>
      </c>
      <c r="G3603" s="328">
        <v>645</v>
      </c>
      <c r="H3603" s="347">
        <f t="shared" si="52"/>
        <v>0</v>
      </c>
      <c r="I3603" s="331" t="s">
        <v>15214</v>
      </c>
    </row>
    <row r="3604" spans="1:9" x14ac:dyDescent="0.25">
      <c r="A3604" s="319">
        <v>43007</v>
      </c>
      <c r="B3604" s="320" t="s">
        <v>31403</v>
      </c>
      <c r="C3604" s="321">
        <v>129363</v>
      </c>
      <c r="D3604" s="390" t="s">
        <v>15276</v>
      </c>
      <c r="E3604" s="322">
        <v>4300</v>
      </c>
      <c r="F3604" s="323">
        <v>43008</v>
      </c>
      <c r="G3604" s="322">
        <v>4300</v>
      </c>
      <c r="H3604" s="322">
        <f t="shared" si="52"/>
        <v>0</v>
      </c>
      <c r="I3604" s="325" t="s">
        <v>15214</v>
      </c>
    </row>
    <row r="3605" spans="1:9" x14ac:dyDescent="0.25">
      <c r="A3605" s="359">
        <v>43007</v>
      </c>
      <c r="B3605" s="326" t="s">
        <v>31404</v>
      </c>
      <c r="C3605" s="327">
        <v>129364</v>
      </c>
      <c r="D3605" s="391" t="s">
        <v>17452</v>
      </c>
      <c r="E3605" s="328">
        <v>1720</v>
      </c>
      <c r="F3605" s="329">
        <v>43008</v>
      </c>
      <c r="G3605" s="328">
        <v>1720</v>
      </c>
      <c r="H3605" s="347">
        <f t="shared" si="52"/>
        <v>0</v>
      </c>
      <c r="I3605" s="331" t="s">
        <v>15214</v>
      </c>
    </row>
    <row r="3606" spans="1:9" x14ac:dyDescent="0.25">
      <c r="A3606" s="319">
        <v>43007</v>
      </c>
      <c r="B3606" s="320" t="s">
        <v>31405</v>
      </c>
      <c r="C3606" s="321">
        <v>129365</v>
      </c>
      <c r="D3606" s="390" t="s">
        <v>16277</v>
      </c>
      <c r="E3606" s="322">
        <v>2262.5</v>
      </c>
      <c r="F3606" s="323">
        <v>43008</v>
      </c>
      <c r="G3606" s="322">
        <v>2262.5</v>
      </c>
      <c r="H3606" s="322">
        <f t="shared" si="52"/>
        <v>0</v>
      </c>
      <c r="I3606" s="325" t="s">
        <v>15214</v>
      </c>
    </row>
    <row r="3607" spans="1:9" x14ac:dyDescent="0.25">
      <c r="A3607" s="359">
        <v>43007</v>
      </c>
      <c r="B3607" s="326" t="s">
        <v>31406</v>
      </c>
      <c r="C3607" s="327">
        <v>129366</v>
      </c>
      <c r="D3607" s="391" t="s">
        <v>15987</v>
      </c>
      <c r="E3607" s="328">
        <v>1611.3</v>
      </c>
      <c r="F3607" s="329">
        <v>43007</v>
      </c>
      <c r="G3607" s="328">
        <v>1611.3</v>
      </c>
      <c r="H3607" s="347">
        <f t="shared" si="52"/>
        <v>0</v>
      </c>
      <c r="I3607" s="331" t="s">
        <v>15214</v>
      </c>
    </row>
    <row r="3608" spans="1:9" x14ac:dyDescent="0.25">
      <c r="A3608" s="319">
        <v>43007</v>
      </c>
      <c r="B3608" s="320" t="s">
        <v>31407</v>
      </c>
      <c r="C3608" s="321">
        <v>129367</v>
      </c>
      <c r="D3608" s="390" t="s">
        <v>17800</v>
      </c>
      <c r="E3608" s="322">
        <v>368.5</v>
      </c>
      <c r="F3608" s="323">
        <v>43008</v>
      </c>
      <c r="G3608" s="322">
        <v>368.5</v>
      </c>
      <c r="H3608" s="322">
        <f t="shared" si="52"/>
        <v>0</v>
      </c>
      <c r="I3608" s="325" t="s">
        <v>15214</v>
      </c>
    </row>
    <row r="3609" spans="1:9" x14ac:dyDescent="0.25">
      <c r="A3609" s="359">
        <v>43007</v>
      </c>
      <c r="B3609" s="326" t="s">
        <v>31408</v>
      </c>
      <c r="C3609" s="327">
        <v>129368</v>
      </c>
      <c r="D3609" s="391" t="s">
        <v>15510</v>
      </c>
      <c r="E3609" s="328">
        <v>13856.7</v>
      </c>
      <c r="F3609" s="329">
        <v>43008</v>
      </c>
      <c r="G3609" s="328">
        <v>13856.7</v>
      </c>
      <c r="H3609" s="347">
        <f t="shared" si="52"/>
        <v>0</v>
      </c>
      <c r="I3609" s="331" t="s">
        <v>15214</v>
      </c>
    </row>
    <row r="3610" spans="1:9" x14ac:dyDescent="0.25">
      <c r="A3610" s="319">
        <v>43007</v>
      </c>
      <c r="B3610" s="320" t="s">
        <v>31409</v>
      </c>
      <c r="C3610" s="321">
        <v>129369</v>
      </c>
      <c r="D3610" s="390" t="s">
        <v>16288</v>
      </c>
      <c r="E3610" s="322">
        <v>873.6</v>
      </c>
      <c r="F3610" s="363">
        <v>43009</v>
      </c>
      <c r="G3610" s="155">
        <v>873.6</v>
      </c>
      <c r="H3610" s="322">
        <f t="shared" si="52"/>
        <v>0</v>
      </c>
      <c r="I3610" s="325" t="s">
        <v>15214</v>
      </c>
    </row>
    <row r="3611" spans="1:9" x14ac:dyDescent="0.25">
      <c r="A3611" s="359">
        <v>43007</v>
      </c>
      <c r="B3611" s="326" t="s">
        <v>31410</v>
      </c>
      <c r="C3611" s="327">
        <v>129370</v>
      </c>
      <c r="D3611" s="391" t="s">
        <v>15317</v>
      </c>
      <c r="E3611" s="328">
        <v>345.8</v>
      </c>
      <c r="F3611" s="329">
        <v>43008</v>
      </c>
      <c r="G3611" s="328">
        <v>345.8</v>
      </c>
      <c r="H3611" s="347">
        <f t="shared" si="52"/>
        <v>0</v>
      </c>
      <c r="I3611" s="331" t="s">
        <v>15214</v>
      </c>
    </row>
    <row r="3612" spans="1:9" x14ac:dyDescent="0.25">
      <c r="A3612" s="319">
        <v>43007</v>
      </c>
      <c r="B3612" s="320" t="s">
        <v>31411</v>
      </c>
      <c r="C3612" s="321">
        <v>129371</v>
      </c>
      <c r="D3612" s="390" t="s">
        <v>15782</v>
      </c>
      <c r="E3612" s="322">
        <v>1668.7</v>
      </c>
      <c r="F3612" s="323">
        <v>43008</v>
      </c>
      <c r="G3612" s="322">
        <v>1668.7</v>
      </c>
      <c r="H3612" s="322">
        <f t="shared" si="52"/>
        <v>0</v>
      </c>
      <c r="I3612" s="325" t="s">
        <v>15214</v>
      </c>
    </row>
    <row r="3613" spans="1:9" x14ac:dyDescent="0.25">
      <c r="A3613" s="359">
        <v>43007</v>
      </c>
      <c r="B3613" s="326" t="s">
        <v>31412</v>
      </c>
      <c r="C3613" s="327">
        <v>129372</v>
      </c>
      <c r="D3613" s="391" t="s">
        <v>15810</v>
      </c>
      <c r="E3613" s="328">
        <v>645.6</v>
      </c>
      <c r="F3613" s="329">
        <v>43007</v>
      </c>
      <c r="G3613" s="328">
        <v>645.6</v>
      </c>
      <c r="H3613" s="347">
        <f t="shared" si="52"/>
        <v>0</v>
      </c>
      <c r="I3613" s="331" t="s">
        <v>15214</v>
      </c>
    </row>
    <row r="3614" spans="1:9" x14ac:dyDescent="0.25">
      <c r="A3614" s="319">
        <v>43007</v>
      </c>
      <c r="B3614" s="320" t="s">
        <v>31413</v>
      </c>
      <c r="C3614" s="321">
        <v>129373</v>
      </c>
      <c r="D3614" s="390" t="s">
        <v>15307</v>
      </c>
      <c r="E3614" s="322">
        <v>2051.1999999999998</v>
      </c>
      <c r="F3614" s="323">
        <v>43008</v>
      </c>
      <c r="G3614" s="322">
        <v>2051.1999999999998</v>
      </c>
      <c r="H3614" s="322">
        <f t="shared" si="52"/>
        <v>0</v>
      </c>
      <c r="I3614" s="325" t="s">
        <v>15214</v>
      </c>
    </row>
    <row r="3615" spans="1:9" x14ac:dyDescent="0.25">
      <c r="A3615" s="359">
        <v>43007</v>
      </c>
      <c r="B3615" s="326" t="s">
        <v>31414</v>
      </c>
      <c r="C3615" s="327">
        <v>129374</v>
      </c>
      <c r="D3615" s="391" t="s">
        <v>15398</v>
      </c>
      <c r="E3615" s="328">
        <v>8757.2999999999993</v>
      </c>
      <c r="F3615" s="329">
        <v>43020</v>
      </c>
      <c r="G3615" s="328">
        <v>8757.2999999999993</v>
      </c>
      <c r="H3615" s="347">
        <f t="shared" si="52"/>
        <v>0</v>
      </c>
      <c r="I3615" s="331" t="s">
        <v>15214</v>
      </c>
    </row>
    <row r="3616" spans="1:9" ht="15.75" x14ac:dyDescent="0.25">
      <c r="A3616" s="319">
        <v>43007</v>
      </c>
      <c r="B3616" s="320" t="s">
        <v>31415</v>
      </c>
      <c r="C3616" s="321">
        <v>129375</v>
      </c>
      <c r="D3616" s="332" t="s">
        <v>95</v>
      </c>
      <c r="E3616" s="322">
        <v>0</v>
      </c>
      <c r="F3616" s="333" t="s">
        <v>95</v>
      </c>
      <c r="G3616" s="322">
        <v>0</v>
      </c>
      <c r="H3616" s="322">
        <f t="shared" si="52"/>
        <v>0</v>
      </c>
      <c r="I3616" s="325" t="s">
        <v>95</v>
      </c>
    </row>
    <row r="3617" spans="1:9" x14ac:dyDescent="0.25">
      <c r="A3617" s="359">
        <v>43007</v>
      </c>
      <c r="B3617" s="326" t="s">
        <v>31416</v>
      </c>
      <c r="C3617" s="327">
        <v>129376</v>
      </c>
      <c r="D3617" s="391" t="s">
        <v>15699</v>
      </c>
      <c r="E3617" s="328">
        <v>29188.5</v>
      </c>
      <c r="F3617" s="329">
        <v>43008</v>
      </c>
      <c r="G3617" s="328">
        <v>29188.5</v>
      </c>
      <c r="H3617" s="347">
        <f t="shared" si="52"/>
        <v>0</v>
      </c>
      <c r="I3617" s="331" t="s">
        <v>15214</v>
      </c>
    </row>
    <row r="3618" spans="1:9" x14ac:dyDescent="0.25">
      <c r="A3618" s="319">
        <v>43007</v>
      </c>
      <c r="B3618" s="320" t="s">
        <v>31417</v>
      </c>
      <c r="C3618" s="321">
        <v>129377</v>
      </c>
      <c r="D3618" s="390" t="s">
        <v>15378</v>
      </c>
      <c r="E3618" s="322">
        <v>2883.2</v>
      </c>
      <c r="F3618" s="323">
        <v>43007</v>
      </c>
      <c r="G3618" s="322">
        <v>2883.2</v>
      </c>
      <c r="H3618" s="322">
        <f t="shared" si="52"/>
        <v>0</v>
      </c>
      <c r="I3618" s="325" t="s">
        <v>15214</v>
      </c>
    </row>
    <row r="3619" spans="1:9" x14ac:dyDescent="0.25">
      <c r="A3619" s="359">
        <v>43007</v>
      </c>
      <c r="B3619" s="326" t="s">
        <v>31418</v>
      </c>
      <c r="C3619" s="327">
        <v>129378</v>
      </c>
      <c r="D3619" s="391" t="s">
        <v>15313</v>
      </c>
      <c r="E3619" s="328">
        <v>14740</v>
      </c>
      <c r="F3619" s="329">
        <v>43008</v>
      </c>
      <c r="G3619" s="328">
        <v>14740</v>
      </c>
      <c r="H3619" s="347">
        <f t="shared" si="52"/>
        <v>0</v>
      </c>
      <c r="I3619" s="331" t="s">
        <v>15214</v>
      </c>
    </row>
    <row r="3620" spans="1:9" x14ac:dyDescent="0.25">
      <c r="A3620" s="319">
        <v>43007</v>
      </c>
      <c r="B3620" s="320" t="s">
        <v>31419</v>
      </c>
      <c r="C3620" s="321">
        <v>129379</v>
      </c>
      <c r="D3620" s="390" t="s">
        <v>15315</v>
      </c>
      <c r="E3620" s="322">
        <v>2323.1999999999998</v>
      </c>
      <c r="F3620" s="323">
        <v>43007</v>
      </c>
      <c r="G3620" s="322">
        <v>2323.1999999999998</v>
      </c>
      <c r="H3620" s="322">
        <f t="shared" si="52"/>
        <v>0</v>
      </c>
      <c r="I3620" s="325" t="s">
        <v>15214</v>
      </c>
    </row>
    <row r="3621" spans="1:9" x14ac:dyDescent="0.25">
      <c r="A3621" s="359">
        <v>43007</v>
      </c>
      <c r="B3621" s="326" t="s">
        <v>31420</v>
      </c>
      <c r="C3621" s="327">
        <v>129380</v>
      </c>
      <c r="D3621" s="391" t="s">
        <v>15282</v>
      </c>
      <c r="E3621" s="328">
        <v>3046.4</v>
      </c>
      <c r="F3621" s="329">
        <v>43007</v>
      </c>
      <c r="G3621" s="328">
        <v>3046.4</v>
      </c>
      <c r="H3621" s="347">
        <f t="shared" si="52"/>
        <v>0</v>
      </c>
      <c r="I3621" s="331" t="s">
        <v>15214</v>
      </c>
    </row>
    <row r="3622" spans="1:9" x14ac:dyDescent="0.25">
      <c r="A3622" s="319">
        <v>43007</v>
      </c>
      <c r="B3622" s="320" t="s">
        <v>31421</v>
      </c>
      <c r="C3622" s="321">
        <v>129381</v>
      </c>
      <c r="D3622" s="390" t="s">
        <v>15315</v>
      </c>
      <c r="E3622" s="322">
        <v>840.8</v>
      </c>
      <c r="F3622" s="323">
        <v>43008</v>
      </c>
      <c r="G3622" s="322">
        <v>840.8</v>
      </c>
      <c r="H3622" s="322">
        <f t="shared" si="52"/>
        <v>0</v>
      </c>
      <c r="I3622" s="325" t="s">
        <v>15214</v>
      </c>
    </row>
    <row r="3623" spans="1:9" x14ac:dyDescent="0.25">
      <c r="A3623" s="359">
        <v>43007</v>
      </c>
      <c r="B3623" s="326" t="s">
        <v>31422</v>
      </c>
      <c r="C3623" s="327">
        <v>129382</v>
      </c>
      <c r="D3623" s="391" t="s">
        <v>15309</v>
      </c>
      <c r="E3623" s="328">
        <v>16159.6</v>
      </c>
      <c r="F3623" s="329">
        <v>43008</v>
      </c>
      <c r="G3623" s="328">
        <v>16159.6</v>
      </c>
      <c r="H3623" s="347">
        <f t="shared" si="52"/>
        <v>0</v>
      </c>
      <c r="I3623" s="331" t="s">
        <v>15214</v>
      </c>
    </row>
    <row r="3624" spans="1:9" x14ac:dyDescent="0.25">
      <c r="A3624" s="319">
        <v>43007</v>
      </c>
      <c r="B3624" s="320" t="s">
        <v>31423</v>
      </c>
      <c r="C3624" s="321">
        <v>129383</v>
      </c>
      <c r="D3624" s="390" t="s">
        <v>15415</v>
      </c>
      <c r="E3624" s="322">
        <v>2867</v>
      </c>
      <c r="F3624" s="323">
        <v>43011</v>
      </c>
      <c r="G3624" s="322">
        <v>2867</v>
      </c>
      <c r="H3624" s="322">
        <f t="shared" si="52"/>
        <v>0</v>
      </c>
      <c r="I3624" s="325" t="s">
        <v>15214</v>
      </c>
    </row>
    <row r="3625" spans="1:9" x14ac:dyDescent="0.25">
      <c r="A3625" s="359">
        <v>43007</v>
      </c>
      <c r="B3625" s="326" t="s">
        <v>31424</v>
      </c>
      <c r="C3625" s="327">
        <v>129384</v>
      </c>
      <c r="D3625" s="391" t="s">
        <v>15555</v>
      </c>
      <c r="E3625" s="328">
        <v>8841</v>
      </c>
      <c r="F3625" s="329">
        <v>43008</v>
      </c>
      <c r="G3625" s="328">
        <v>8841</v>
      </c>
      <c r="H3625" s="347">
        <f t="shared" si="52"/>
        <v>0</v>
      </c>
      <c r="I3625" s="331" t="s">
        <v>15214</v>
      </c>
    </row>
    <row r="3626" spans="1:9" x14ac:dyDescent="0.25">
      <c r="A3626" s="319">
        <v>43007</v>
      </c>
      <c r="B3626" s="320" t="s">
        <v>31425</v>
      </c>
      <c r="C3626" s="321">
        <v>129385</v>
      </c>
      <c r="D3626" s="390" t="s">
        <v>15699</v>
      </c>
      <c r="E3626" s="322">
        <v>4567.3999999999996</v>
      </c>
      <c r="F3626" s="323">
        <v>43008</v>
      </c>
      <c r="G3626" s="322">
        <v>4567.3999999999996</v>
      </c>
      <c r="H3626" s="322">
        <f t="shared" si="52"/>
        <v>0</v>
      </c>
      <c r="I3626" s="325" t="s">
        <v>15214</v>
      </c>
    </row>
    <row r="3627" spans="1:9" x14ac:dyDescent="0.25">
      <c r="A3627" s="359">
        <v>43007</v>
      </c>
      <c r="B3627" s="326" t="s">
        <v>31426</v>
      </c>
      <c r="C3627" s="327">
        <v>129386</v>
      </c>
      <c r="D3627" s="391" t="s">
        <v>15539</v>
      </c>
      <c r="E3627" s="328">
        <v>10396.799999999999</v>
      </c>
      <c r="F3627" s="329">
        <v>43008</v>
      </c>
      <c r="G3627" s="328">
        <v>10396.799999999999</v>
      </c>
      <c r="H3627" s="347">
        <f t="shared" si="52"/>
        <v>0</v>
      </c>
      <c r="I3627" s="331" t="s">
        <v>15214</v>
      </c>
    </row>
    <row r="3628" spans="1:9" x14ac:dyDescent="0.25">
      <c r="A3628" s="319">
        <v>43007</v>
      </c>
      <c r="B3628" s="320" t="s">
        <v>31427</v>
      </c>
      <c r="C3628" s="321">
        <v>129387</v>
      </c>
      <c r="D3628" s="390" t="s">
        <v>16108</v>
      </c>
      <c r="E3628" s="322">
        <v>2984.2</v>
      </c>
      <c r="F3628" s="323">
        <v>43007</v>
      </c>
      <c r="G3628" s="322">
        <v>2984.2</v>
      </c>
      <c r="H3628" s="322">
        <f t="shared" si="52"/>
        <v>0</v>
      </c>
      <c r="I3628" s="325" t="s">
        <v>15214</v>
      </c>
    </row>
    <row r="3629" spans="1:9" x14ac:dyDescent="0.25">
      <c r="A3629" s="359">
        <v>43007</v>
      </c>
      <c r="B3629" s="326" t="s">
        <v>31428</v>
      </c>
      <c r="C3629" s="327">
        <v>129388</v>
      </c>
      <c r="D3629" s="391" t="s">
        <v>15537</v>
      </c>
      <c r="E3629" s="328">
        <v>19147.3</v>
      </c>
      <c r="F3629" s="329">
        <v>43008</v>
      </c>
      <c r="G3629" s="328">
        <v>19147.3</v>
      </c>
      <c r="H3629" s="347">
        <f t="shared" si="52"/>
        <v>0</v>
      </c>
      <c r="I3629" s="331" t="s">
        <v>15214</v>
      </c>
    </row>
    <row r="3630" spans="1:9" x14ac:dyDescent="0.25">
      <c r="A3630" s="319">
        <v>43007</v>
      </c>
      <c r="B3630" s="320" t="s">
        <v>31429</v>
      </c>
      <c r="C3630" s="321">
        <v>129389</v>
      </c>
      <c r="D3630" s="390" t="s">
        <v>15557</v>
      </c>
      <c r="E3630" s="322">
        <v>10577.4</v>
      </c>
      <c r="F3630" s="323">
        <v>43008</v>
      </c>
      <c r="G3630" s="322">
        <v>10577.4</v>
      </c>
      <c r="H3630" s="322">
        <f t="shared" si="52"/>
        <v>0</v>
      </c>
      <c r="I3630" s="325" t="s">
        <v>15214</v>
      </c>
    </row>
    <row r="3631" spans="1:9" x14ac:dyDescent="0.25">
      <c r="A3631" s="359">
        <v>43007</v>
      </c>
      <c r="B3631" s="326" t="s">
        <v>31430</v>
      </c>
      <c r="C3631" s="327">
        <v>129390</v>
      </c>
      <c r="D3631" s="391" t="s">
        <v>15417</v>
      </c>
      <c r="E3631" s="328">
        <v>4212.6000000000004</v>
      </c>
      <c r="F3631" s="329">
        <v>43008</v>
      </c>
      <c r="G3631" s="328">
        <v>4212.6000000000004</v>
      </c>
      <c r="H3631" s="347">
        <f t="shared" si="52"/>
        <v>0</v>
      </c>
      <c r="I3631" s="331" t="s">
        <v>15214</v>
      </c>
    </row>
    <row r="3632" spans="1:9" x14ac:dyDescent="0.25">
      <c r="A3632" s="319">
        <v>43007</v>
      </c>
      <c r="B3632" s="320" t="s">
        <v>31431</v>
      </c>
      <c r="C3632" s="321">
        <v>129391</v>
      </c>
      <c r="D3632" s="390" t="s">
        <v>15600</v>
      </c>
      <c r="E3632" s="322">
        <v>1953.4</v>
      </c>
      <c r="F3632" s="363">
        <v>43009</v>
      </c>
      <c r="G3632" s="155">
        <v>1953.4</v>
      </c>
      <c r="H3632" s="322">
        <f t="shared" si="52"/>
        <v>0</v>
      </c>
      <c r="I3632" s="325" t="s">
        <v>15214</v>
      </c>
    </row>
    <row r="3633" spans="1:9" x14ac:dyDescent="0.25">
      <c r="A3633" s="359">
        <v>43007</v>
      </c>
      <c r="B3633" s="326" t="s">
        <v>31432</v>
      </c>
      <c r="C3633" s="327">
        <v>129392</v>
      </c>
      <c r="D3633" s="391" t="s">
        <v>15396</v>
      </c>
      <c r="E3633" s="328">
        <v>1868.4</v>
      </c>
      <c r="F3633" s="329">
        <v>43007</v>
      </c>
      <c r="G3633" s="328">
        <v>1868.4</v>
      </c>
      <c r="H3633" s="347">
        <f t="shared" ref="H3633:H3696" si="53">E3633-G3633</f>
        <v>0</v>
      </c>
      <c r="I3633" s="331" t="s">
        <v>15214</v>
      </c>
    </row>
    <row r="3634" spans="1:9" x14ac:dyDescent="0.25">
      <c r="A3634" s="319">
        <v>43007</v>
      </c>
      <c r="B3634" s="320" t="s">
        <v>31433</v>
      </c>
      <c r="C3634" s="321">
        <v>129393</v>
      </c>
      <c r="D3634" s="390" t="s">
        <v>15415</v>
      </c>
      <c r="E3634" s="322">
        <v>974.2</v>
      </c>
      <c r="F3634" s="323">
        <v>43008</v>
      </c>
      <c r="G3634" s="322">
        <v>974.2</v>
      </c>
      <c r="H3634" s="322">
        <f t="shared" si="53"/>
        <v>0</v>
      </c>
      <c r="I3634" s="325" t="s">
        <v>15214</v>
      </c>
    </row>
    <row r="3635" spans="1:9" x14ac:dyDescent="0.25">
      <c r="A3635" s="359">
        <v>43007</v>
      </c>
      <c r="B3635" s="326" t="s">
        <v>31434</v>
      </c>
      <c r="C3635" s="327">
        <v>129394</v>
      </c>
      <c r="D3635" s="391" t="s">
        <v>15267</v>
      </c>
      <c r="E3635" s="328">
        <v>6805</v>
      </c>
      <c r="F3635" s="329">
        <v>43007</v>
      </c>
      <c r="G3635" s="328">
        <v>6805</v>
      </c>
      <c r="H3635" s="347">
        <f t="shared" si="53"/>
        <v>0</v>
      </c>
      <c r="I3635" s="331" t="s">
        <v>15214</v>
      </c>
    </row>
    <row r="3636" spans="1:9" x14ac:dyDescent="0.25">
      <c r="A3636" s="319">
        <v>43007</v>
      </c>
      <c r="B3636" s="320" t="s">
        <v>31435</v>
      </c>
      <c r="C3636" s="321">
        <v>129395</v>
      </c>
      <c r="D3636" s="390" t="s">
        <v>15338</v>
      </c>
      <c r="E3636" s="322">
        <v>4360.2</v>
      </c>
      <c r="F3636" s="323">
        <v>43010</v>
      </c>
      <c r="G3636" s="322">
        <v>4360.2</v>
      </c>
      <c r="H3636" s="322">
        <f t="shared" si="53"/>
        <v>0</v>
      </c>
      <c r="I3636" s="325" t="s">
        <v>15214</v>
      </c>
    </row>
    <row r="3637" spans="1:9" x14ac:dyDescent="0.25">
      <c r="A3637" s="359">
        <v>43007</v>
      </c>
      <c r="B3637" s="326" t="s">
        <v>31436</v>
      </c>
      <c r="C3637" s="327">
        <v>129396</v>
      </c>
      <c r="D3637" s="391" t="s">
        <v>15541</v>
      </c>
      <c r="E3637" s="328">
        <v>1849.6</v>
      </c>
      <c r="F3637" s="329">
        <v>43007</v>
      </c>
      <c r="G3637" s="328">
        <v>1849.6</v>
      </c>
      <c r="H3637" s="347">
        <f t="shared" si="53"/>
        <v>0</v>
      </c>
      <c r="I3637" s="331" t="s">
        <v>15214</v>
      </c>
    </row>
    <row r="3638" spans="1:9" x14ac:dyDescent="0.25">
      <c r="A3638" s="319">
        <v>43007</v>
      </c>
      <c r="B3638" s="320" t="s">
        <v>31437</v>
      </c>
      <c r="C3638" s="321">
        <v>129397</v>
      </c>
      <c r="D3638" s="390" t="s">
        <v>15315</v>
      </c>
      <c r="E3638" s="322">
        <v>193.5</v>
      </c>
      <c r="F3638" s="323">
        <v>43007</v>
      </c>
      <c r="G3638" s="322">
        <v>193.5</v>
      </c>
      <c r="H3638" s="322">
        <f t="shared" si="53"/>
        <v>0</v>
      </c>
      <c r="I3638" s="325" t="s">
        <v>15214</v>
      </c>
    </row>
    <row r="3639" spans="1:9" x14ac:dyDescent="0.25">
      <c r="A3639" s="359">
        <v>43007</v>
      </c>
      <c r="B3639" s="326" t="s">
        <v>31438</v>
      </c>
      <c r="C3639" s="327">
        <v>129398</v>
      </c>
      <c r="D3639" s="391" t="s">
        <v>16048</v>
      </c>
      <c r="E3639" s="328">
        <v>5765.7</v>
      </c>
      <c r="F3639" s="329">
        <v>43007</v>
      </c>
      <c r="G3639" s="328">
        <v>5765.7</v>
      </c>
      <c r="H3639" s="347">
        <f t="shared" si="53"/>
        <v>0</v>
      </c>
      <c r="I3639" s="331" t="s">
        <v>15214</v>
      </c>
    </row>
    <row r="3640" spans="1:9" x14ac:dyDescent="0.25">
      <c r="A3640" s="319">
        <v>43007</v>
      </c>
      <c r="B3640" s="320" t="s">
        <v>31439</v>
      </c>
      <c r="C3640" s="321">
        <v>129399</v>
      </c>
      <c r="D3640" s="390" t="s">
        <v>15391</v>
      </c>
      <c r="E3640" s="322">
        <v>10186.6</v>
      </c>
      <c r="F3640" s="323">
        <v>43008</v>
      </c>
      <c r="G3640" s="322">
        <v>10186.6</v>
      </c>
      <c r="H3640" s="322">
        <f t="shared" si="53"/>
        <v>0</v>
      </c>
      <c r="I3640" s="325" t="s">
        <v>15214</v>
      </c>
    </row>
    <row r="3641" spans="1:9" x14ac:dyDescent="0.25">
      <c r="A3641" s="359">
        <v>43007</v>
      </c>
      <c r="B3641" s="326" t="s">
        <v>31440</v>
      </c>
      <c r="C3641" s="327">
        <v>129400</v>
      </c>
      <c r="D3641" s="391" t="s">
        <v>16732</v>
      </c>
      <c r="E3641" s="328">
        <v>26589</v>
      </c>
      <c r="F3641" s="329">
        <v>43008</v>
      </c>
      <c r="G3641" s="328">
        <v>26589</v>
      </c>
      <c r="H3641" s="347">
        <f t="shared" si="53"/>
        <v>0</v>
      </c>
      <c r="I3641" s="331" t="s">
        <v>15214</v>
      </c>
    </row>
    <row r="3642" spans="1:9" x14ac:dyDescent="0.25">
      <c r="A3642" s="319">
        <v>43007</v>
      </c>
      <c r="B3642" s="320" t="s">
        <v>31441</v>
      </c>
      <c r="C3642" s="321">
        <v>129401</v>
      </c>
      <c r="D3642" s="390" t="s">
        <v>16732</v>
      </c>
      <c r="E3642" s="322">
        <v>1171.32</v>
      </c>
      <c r="F3642" s="323">
        <v>43008</v>
      </c>
      <c r="G3642" s="322">
        <v>1171.32</v>
      </c>
      <c r="H3642" s="322">
        <f t="shared" si="53"/>
        <v>0</v>
      </c>
      <c r="I3642" s="325" t="s">
        <v>15214</v>
      </c>
    </row>
    <row r="3643" spans="1:9" x14ac:dyDescent="0.25">
      <c r="A3643" s="359">
        <v>43007</v>
      </c>
      <c r="B3643" s="326" t="s">
        <v>31442</v>
      </c>
      <c r="C3643" s="327">
        <v>129402</v>
      </c>
      <c r="D3643" s="391" t="s">
        <v>17708</v>
      </c>
      <c r="E3643" s="328">
        <v>2030.4</v>
      </c>
      <c r="F3643" s="329">
        <v>43008</v>
      </c>
      <c r="G3643" s="328">
        <v>2030.4</v>
      </c>
      <c r="H3643" s="347">
        <f t="shared" si="53"/>
        <v>0</v>
      </c>
      <c r="I3643" s="331" t="s">
        <v>15214</v>
      </c>
    </row>
    <row r="3644" spans="1:9" x14ac:dyDescent="0.25">
      <c r="A3644" s="319">
        <v>43007</v>
      </c>
      <c r="B3644" s="320" t="s">
        <v>31443</v>
      </c>
      <c r="C3644" s="321">
        <v>129403</v>
      </c>
      <c r="D3644" s="390" t="s">
        <v>15716</v>
      </c>
      <c r="E3644" s="322">
        <v>6438.9</v>
      </c>
      <c r="F3644" s="323">
        <v>43007</v>
      </c>
      <c r="G3644" s="322">
        <v>6438.9</v>
      </c>
      <c r="H3644" s="322">
        <f t="shared" si="53"/>
        <v>0</v>
      </c>
      <c r="I3644" s="325" t="s">
        <v>15214</v>
      </c>
    </row>
    <row r="3645" spans="1:9" x14ac:dyDescent="0.25">
      <c r="A3645" s="359">
        <v>43007</v>
      </c>
      <c r="B3645" s="326" t="s">
        <v>31444</v>
      </c>
      <c r="C3645" s="327">
        <v>129404</v>
      </c>
      <c r="D3645" s="391" t="s">
        <v>15433</v>
      </c>
      <c r="E3645" s="328">
        <v>1493.7</v>
      </c>
      <c r="F3645" s="329">
        <v>43007</v>
      </c>
      <c r="G3645" s="328">
        <v>1493.7</v>
      </c>
      <c r="H3645" s="347">
        <f t="shared" si="53"/>
        <v>0</v>
      </c>
      <c r="I3645" s="331" t="s">
        <v>15214</v>
      </c>
    </row>
    <row r="3646" spans="1:9" x14ac:dyDescent="0.25">
      <c r="A3646" s="319">
        <v>43007</v>
      </c>
      <c r="B3646" s="320" t="s">
        <v>31445</v>
      </c>
      <c r="C3646" s="321">
        <v>129405</v>
      </c>
      <c r="D3646" s="390" t="s">
        <v>16383</v>
      </c>
      <c r="E3646" s="322">
        <v>224</v>
      </c>
      <c r="F3646" s="323">
        <v>43008</v>
      </c>
      <c r="G3646" s="322">
        <v>224</v>
      </c>
      <c r="H3646" s="322">
        <f t="shared" si="53"/>
        <v>0</v>
      </c>
      <c r="I3646" s="325" t="s">
        <v>15214</v>
      </c>
    </row>
    <row r="3647" spans="1:9" x14ac:dyDescent="0.25">
      <c r="A3647" s="359">
        <v>43007</v>
      </c>
      <c r="B3647" s="326" t="s">
        <v>31446</v>
      </c>
      <c r="C3647" s="327">
        <v>129406</v>
      </c>
      <c r="D3647" s="391" t="s">
        <v>16129</v>
      </c>
      <c r="E3647" s="328">
        <v>6029.6</v>
      </c>
      <c r="F3647" s="329">
        <v>43021</v>
      </c>
      <c r="G3647" s="328">
        <v>6029.6</v>
      </c>
      <c r="H3647" s="347">
        <f t="shared" si="53"/>
        <v>0</v>
      </c>
      <c r="I3647" s="331" t="s">
        <v>15214</v>
      </c>
    </row>
    <row r="3648" spans="1:9" x14ac:dyDescent="0.25">
      <c r="A3648" s="319">
        <v>43007</v>
      </c>
      <c r="B3648" s="320" t="s">
        <v>31447</v>
      </c>
      <c r="C3648" s="321">
        <v>129407</v>
      </c>
      <c r="D3648" s="390" t="s">
        <v>15594</v>
      </c>
      <c r="E3648" s="322">
        <v>1540.8</v>
      </c>
      <c r="F3648" s="323">
        <v>43008</v>
      </c>
      <c r="G3648" s="322">
        <v>1540.8</v>
      </c>
      <c r="H3648" s="322">
        <f t="shared" si="53"/>
        <v>0</v>
      </c>
      <c r="I3648" s="325" t="s">
        <v>15214</v>
      </c>
    </row>
    <row r="3649" spans="1:9" x14ac:dyDescent="0.25">
      <c r="A3649" s="359">
        <v>43007</v>
      </c>
      <c r="B3649" s="326" t="s">
        <v>31448</v>
      </c>
      <c r="C3649" s="327">
        <v>129408</v>
      </c>
      <c r="D3649" s="391" t="s">
        <v>15594</v>
      </c>
      <c r="E3649" s="328">
        <v>369</v>
      </c>
      <c r="F3649" s="329">
        <v>43008</v>
      </c>
      <c r="G3649" s="328">
        <v>369</v>
      </c>
      <c r="H3649" s="347">
        <f t="shared" si="53"/>
        <v>0</v>
      </c>
      <c r="I3649" s="331" t="s">
        <v>15214</v>
      </c>
    </row>
    <row r="3650" spans="1:9" x14ac:dyDescent="0.25">
      <c r="A3650" s="319">
        <v>43007</v>
      </c>
      <c r="B3650" s="320" t="s">
        <v>31449</v>
      </c>
      <c r="C3650" s="321">
        <v>129409</v>
      </c>
      <c r="D3650" s="390" t="s">
        <v>15246</v>
      </c>
      <c r="E3650" s="322">
        <v>290648.8</v>
      </c>
      <c r="F3650" s="323">
        <v>43008</v>
      </c>
      <c r="G3650" s="322">
        <v>290648.8</v>
      </c>
      <c r="H3650" s="322">
        <f t="shared" si="53"/>
        <v>0</v>
      </c>
      <c r="I3650" s="325" t="s">
        <v>15214</v>
      </c>
    </row>
    <row r="3651" spans="1:9" x14ac:dyDescent="0.25">
      <c r="A3651" s="359">
        <v>43007</v>
      </c>
      <c r="B3651" s="326" t="s">
        <v>31450</v>
      </c>
      <c r="C3651" s="327">
        <v>129410</v>
      </c>
      <c r="D3651" s="391" t="s">
        <v>15284</v>
      </c>
      <c r="E3651" s="328">
        <v>1212</v>
      </c>
      <c r="F3651" s="329">
        <v>43007</v>
      </c>
      <c r="G3651" s="328">
        <v>1212</v>
      </c>
      <c r="H3651" s="347">
        <f t="shared" si="53"/>
        <v>0</v>
      </c>
      <c r="I3651" s="331" t="s">
        <v>15214</v>
      </c>
    </row>
    <row r="3652" spans="1:9" x14ac:dyDescent="0.25">
      <c r="A3652" s="319">
        <v>43007</v>
      </c>
      <c r="B3652" s="320" t="s">
        <v>31451</v>
      </c>
      <c r="C3652" s="321">
        <v>129411</v>
      </c>
      <c r="D3652" s="390" t="s">
        <v>15315</v>
      </c>
      <c r="E3652" s="322">
        <v>1565.3</v>
      </c>
      <c r="F3652" s="323">
        <v>43008</v>
      </c>
      <c r="G3652" s="322">
        <v>1565.3</v>
      </c>
      <c r="H3652" s="322">
        <f t="shared" si="53"/>
        <v>0</v>
      </c>
      <c r="I3652" s="325" t="s">
        <v>15214</v>
      </c>
    </row>
    <row r="3653" spans="1:9" x14ac:dyDescent="0.25">
      <c r="A3653" s="359">
        <v>43007</v>
      </c>
      <c r="B3653" s="326" t="s">
        <v>31452</v>
      </c>
      <c r="C3653" s="327">
        <v>129412</v>
      </c>
      <c r="D3653" s="391" t="s">
        <v>15365</v>
      </c>
      <c r="E3653" s="328">
        <v>444174</v>
      </c>
      <c r="F3653" s="329">
        <v>43012</v>
      </c>
      <c r="G3653" s="328">
        <v>444174</v>
      </c>
      <c r="H3653" s="347">
        <f t="shared" si="53"/>
        <v>0</v>
      </c>
      <c r="I3653" s="331" t="s">
        <v>15214</v>
      </c>
    </row>
    <row r="3654" spans="1:9" x14ac:dyDescent="0.25">
      <c r="A3654" s="319">
        <v>43007</v>
      </c>
      <c r="B3654" s="320" t="s">
        <v>31453</v>
      </c>
      <c r="C3654" s="321">
        <v>129413</v>
      </c>
      <c r="D3654" s="390" t="s">
        <v>15568</v>
      </c>
      <c r="E3654" s="322">
        <v>12598.5</v>
      </c>
      <c r="F3654" s="323">
        <v>43008</v>
      </c>
      <c r="G3654" s="322">
        <v>12598.5</v>
      </c>
      <c r="H3654" s="322">
        <f t="shared" si="53"/>
        <v>0</v>
      </c>
      <c r="I3654" s="325" t="s">
        <v>15214</v>
      </c>
    </row>
    <row r="3655" spans="1:9" x14ac:dyDescent="0.25">
      <c r="A3655" s="359">
        <v>43007</v>
      </c>
      <c r="B3655" s="326" t="s">
        <v>31454</v>
      </c>
      <c r="C3655" s="327">
        <v>129414</v>
      </c>
      <c r="D3655" s="391" t="s">
        <v>15592</v>
      </c>
      <c r="E3655" s="328">
        <v>13745.6</v>
      </c>
      <c r="F3655" s="329">
        <v>43008</v>
      </c>
      <c r="G3655" s="328">
        <v>13745.6</v>
      </c>
      <c r="H3655" s="347">
        <f t="shared" si="53"/>
        <v>0</v>
      </c>
      <c r="I3655" s="331" t="s">
        <v>15214</v>
      </c>
    </row>
    <row r="3656" spans="1:9" ht="15.75" x14ac:dyDescent="0.25">
      <c r="A3656" s="319">
        <v>43007</v>
      </c>
      <c r="B3656" s="320" t="s">
        <v>31455</v>
      </c>
      <c r="C3656" s="321">
        <v>129415</v>
      </c>
      <c r="D3656" s="332" t="s">
        <v>95</v>
      </c>
      <c r="E3656" s="322">
        <v>0</v>
      </c>
      <c r="F3656" s="333" t="s">
        <v>95</v>
      </c>
      <c r="G3656" s="322">
        <v>0</v>
      </c>
      <c r="H3656" s="322">
        <f t="shared" si="53"/>
        <v>0</v>
      </c>
      <c r="I3656" s="325" t="s">
        <v>95</v>
      </c>
    </row>
    <row r="3657" spans="1:9" x14ac:dyDescent="0.25">
      <c r="A3657" s="359">
        <v>43007</v>
      </c>
      <c r="B3657" s="326" t="s">
        <v>31456</v>
      </c>
      <c r="C3657" s="327">
        <v>129416</v>
      </c>
      <c r="D3657" s="391" t="s">
        <v>15322</v>
      </c>
      <c r="E3657" s="328">
        <v>3115.2</v>
      </c>
      <c r="F3657" s="329">
        <v>43007</v>
      </c>
      <c r="G3657" s="328">
        <v>3115.2</v>
      </c>
      <c r="H3657" s="347">
        <f t="shared" si="53"/>
        <v>0</v>
      </c>
      <c r="I3657" s="331" t="s">
        <v>15214</v>
      </c>
    </row>
    <row r="3658" spans="1:9" x14ac:dyDescent="0.25">
      <c r="A3658" s="319">
        <v>43007</v>
      </c>
      <c r="B3658" s="320" t="s">
        <v>31457</v>
      </c>
      <c r="C3658" s="321">
        <v>129417</v>
      </c>
      <c r="D3658" s="390" t="s">
        <v>15246</v>
      </c>
      <c r="E3658" s="322">
        <v>3658.2</v>
      </c>
      <c r="F3658" s="323">
        <v>43008</v>
      </c>
      <c r="G3658" s="322">
        <v>3658.2</v>
      </c>
      <c r="H3658" s="322">
        <f t="shared" si="53"/>
        <v>0</v>
      </c>
      <c r="I3658" s="325" t="s">
        <v>15214</v>
      </c>
    </row>
    <row r="3659" spans="1:9" x14ac:dyDescent="0.25">
      <c r="A3659" s="359">
        <v>43007</v>
      </c>
      <c r="B3659" s="326" t="s">
        <v>31458</v>
      </c>
      <c r="C3659" s="327">
        <v>129418</v>
      </c>
      <c r="D3659" s="391" t="s">
        <v>15246</v>
      </c>
      <c r="E3659" s="328">
        <v>58101.120000000003</v>
      </c>
      <c r="F3659" s="329">
        <v>43008</v>
      </c>
      <c r="G3659" s="328">
        <v>58101.120000000003</v>
      </c>
      <c r="H3659" s="347">
        <f t="shared" si="53"/>
        <v>0</v>
      </c>
      <c r="I3659" s="331" t="s">
        <v>15214</v>
      </c>
    </row>
    <row r="3660" spans="1:9" x14ac:dyDescent="0.25">
      <c r="A3660" s="319">
        <v>43007</v>
      </c>
      <c r="B3660" s="320" t="s">
        <v>31459</v>
      </c>
      <c r="C3660" s="321">
        <v>129419</v>
      </c>
      <c r="D3660" s="390" t="s">
        <v>15284</v>
      </c>
      <c r="E3660" s="322">
        <v>2092.5</v>
      </c>
      <c r="F3660" s="323">
        <v>43007</v>
      </c>
      <c r="G3660" s="322">
        <v>2092.5</v>
      </c>
      <c r="H3660" s="322">
        <f t="shared" si="53"/>
        <v>0</v>
      </c>
      <c r="I3660" s="325" t="s">
        <v>15214</v>
      </c>
    </row>
    <row r="3661" spans="1:9" ht="30" x14ac:dyDescent="0.25">
      <c r="A3661" s="359">
        <v>43007</v>
      </c>
      <c r="B3661" s="326" t="s">
        <v>31460</v>
      </c>
      <c r="C3661" s="327">
        <v>129420</v>
      </c>
      <c r="D3661" s="391" t="s">
        <v>15246</v>
      </c>
      <c r="E3661" s="328">
        <v>13345</v>
      </c>
      <c r="F3661" s="329" t="s">
        <v>31609</v>
      </c>
      <c r="G3661" s="328">
        <f>6758.97+6586.03</f>
        <v>13345</v>
      </c>
      <c r="H3661" s="347">
        <f t="shared" si="53"/>
        <v>0</v>
      </c>
      <c r="I3661" s="331" t="s">
        <v>15214</v>
      </c>
    </row>
    <row r="3662" spans="1:9" x14ac:dyDescent="0.25">
      <c r="A3662" s="319">
        <v>43007</v>
      </c>
      <c r="B3662" s="320" t="s">
        <v>31461</v>
      </c>
      <c r="C3662" s="321">
        <v>129421</v>
      </c>
      <c r="D3662" s="390" t="s">
        <v>17462</v>
      </c>
      <c r="E3662" s="322">
        <v>2231.4</v>
      </c>
      <c r="F3662" s="323">
        <v>43007</v>
      </c>
      <c r="G3662" s="322">
        <v>2231.4</v>
      </c>
      <c r="H3662" s="322">
        <f t="shared" si="53"/>
        <v>0</v>
      </c>
      <c r="I3662" s="325" t="s">
        <v>15214</v>
      </c>
    </row>
    <row r="3663" spans="1:9" x14ac:dyDescent="0.25">
      <c r="A3663" s="359">
        <v>43007</v>
      </c>
      <c r="B3663" s="326" t="s">
        <v>31462</v>
      </c>
      <c r="C3663" s="327">
        <v>129422</v>
      </c>
      <c r="D3663" s="391" t="s">
        <v>15725</v>
      </c>
      <c r="E3663" s="328">
        <v>25149.8</v>
      </c>
      <c r="F3663" s="329">
        <v>43008</v>
      </c>
      <c r="G3663" s="328">
        <v>25149.8</v>
      </c>
      <c r="H3663" s="347">
        <f t="shared" si="53"/>
        <v>0</v>
      </c>
      <c r="I3663" s="331" t="s">
        <v>15214</v>
      </c>
    </row>
    <row r="3664" spans="1:9" ht="15.75" x14ac:dyDescent="0.25">
      <c r="A3664" s="319">
        <v>43007</v>
      </c>
      <c r="B3664" s="320" t="s">
        <v>31463</v>
      </c>
      <c r="C3664" s="321">
        <v>129423</v>
      </c>
      <c r="D3664" s="332" t="s">
        <v>95</v>
      </c>
      <c r="E3664" s="322">
        <v>0</v>
      </c>
      <c r="F3664" s="333" t="s">
        <v>95</v>
      </c>
      <c r="G3664" s="322">
        <v>0</v>
      </c>
      <c r="H3664" s="322">
        <f t="shared" si="53"/>
        <v>0</v>
      </c>
      <c r="I3664" s="325" t="s">
        <v>95</v>
      </c>
    </row>
    <row r="3665" spans="1:9" x14ac:dyDescent="0.25">
      <c r="A3665" s="359">
        <v>43007</v>
      </c>
      <c r="B3665" s="326" t="s">
        <v>31464</v>
      </c>
      <c r="C3665" s="327">
        <v>129424</v>
      </c>
      <c r="D3665" s="391" t="s">
        <v>15435</v>
      </c>
      <c r="E3665" s="328">
        <v>8035.2</v>
      </c>
      <c r="F3665" s="329">
        <v>43007</v>
      </c>
      <c r="G3665" s="328">
        <v>8035.2</v>
      </c>
      <c r="H3665" s="347">
        <f t="shared" si="53"/>
        <v>0</v>
      </c>
      <c r="I3665" s="331" t="s">
        <v>15214</v>
      </c>
    </row>
    <row r="3666" spans="1:9" x14ac:dyDescent="0.25">
      <c r="A3666" s="319">
        <v>43007</v>
      </c>
      <c r="B3666" s="320" t="s">
        <v>31465</v>
      </c>
      <c r="C3666" s="321">
        <v>129425</v>
      </c>
      <c r="D3666" s="390" t="s">
        <v>17634</v>
      </c>
      <c r="E3666" s="322">
        <v>1694</v>
      </c>
      <c r="F3666" s="323">
        <v>43007</v>
      </c>
      <c r="G3666" s="322">
        <v>1694</v>
      </c>
      <c r="H3666" s="322">
        <f t="shared" si="53"/>
        <v>0</v>
      </c>
      <c r="I3666" s="325" t="s">
        <v>15214</v>
      </c>
    </row>
    <row r="3667" spans="1:9" x14ac:dyDescent="0.25">
      <c r="A3667" s="359">
        <v>43007</v>
      </c>
      <c r="B3667" s="326" t="s">
        <v>31466</v>
      </c>
      <c r="C3667" s="327">
        <v>129426</v>
      </c>
      <c r="D3667" s="391" t="s">
        <v>15365</v>
      </c>
      <c r="E3667" s="328">
        <v>439200</v>
      </c>
      <c r="F3667" s="329">
        <v>43012</v>
      </c>
      <c r="G3667" s="328">
        <v>439200</v>
      </c>
      <c r="H3667" s="347">
        <f t="shared" si="53"/>
        <v>0</v>
      </c>
      <c r="I3667" s="331" t="s">
        <v>15214</v>
      </c>
    </row>
    <row r="3668" spans="1:9" x14ac:dyDescent="0.25">
      <c r="A3668" s="319">
        <v>43007</v>
      </c>
      <c r="B3668" s="320" t="s">
        <v>31467</v>
      </c>
      <c r="C3668" s="321">
        <v>129427</v>
      </c>
      <c r="D3668" s="390" t="s">
        <v>15423</v>
      </c>
      <c r="E3668" s="322">
        <v>2028.4</v>
      </c>
      <c r="F3668" s="323">
        <v>43007</v>
      </c>
      <c r="G3668" s="322">
        <v>2028.4</v>
      </c>
      <c r="H3668" s="322">
        <f t="shared" si="53"/>
        <v>0</v>
      </c>
      <c r="I3668" s="325" t="s">
        <v>15214</v>
      </c>
    </row>
    <row r="3669" spans="1:9" x14ac:dyDescent="0.25">
      <c r="A3669" s="359">
        <v>43007</v>
      </c>
      <c r="B3669" s="326" t="s">
        <v>31468</v>
      </c>
      <c r="C3669" s="327">
        <v>129428</v>
      </c>
      <c r="D3669" s="391" t="s">
        <v>15681</v>
      </c>
      <c r="E3669" s="328">
        <v>6046</v>
      </c>
      <c r="F3669" s="329">
        <v>43007</v>
      </c>
      <c r="G3669" s="328">
        <v>6046</v>
      </c>
      <c r="H3669" s="347">
        <f t="shared" si="53"/>
        <v>0</v>
      </c>
      <c r="I3669" s="331" t="s">
        <v>15214</v>
      </c>
    </row>
    <row r="3670" spans="1:9" x14ac:dyDescent="0.25">
      <c r="A3670" s="319">
        <v>43007</v>
      </c>
      <c r="B3670" s="320" t="s">
        <v>31469</v>
      </c>
      <c r="C3670" s="321">
        <v>129429</v>
      </c>
      <c r="D3670" s="390" t="s">
        <v>15250</v>
      </c>
      <c r="E3670" s="322">
        <v>95816.92</v>
      </c>
      <c r="F3670" s="323">
        <v>43022</v>
      </c>
      <c r="G3670" s="322">
        <v>95816.92</v>
      </c>
      <c r="H3670" s="322">
        <f t="shared" si="53"/>
        <v>0</v>
      </c>
      <c r="I3670" s="325" t="s">
        <v>15214</v>
      </c>
    </row>
    <row r="3671" spans="1:9" x14ac:dyDescent="0.25">
      <c r="A3671" s="359">
        <v>43007</v>
      </c>
      <c r="B3671" s="326" t="s">
        <v>31470</v>
      </c>
      <c r="C3671" s="327">
        <v>129430</v>
      </c>
      <c r="D3671" s="391" t="s">
        <v>15642</v>
      </c>
      <c r="E3671" s="328">
        <v>6510</v>
      </c>
      <c r="F3671" s="329">
        <v>43007</v>
      </c>
      <c r="G3671" s="328">
        <v>6510</v>
      </c>
      <c r="H3671" s="347">
        <f t="shared" si="53"/>
        <v>0</v>
      </c>
      <c r="I3671" s="331" t="s">
        <v>15214</v>
      </c>
    </row>
    <row r="3672" spans="1:9" x14ac:dyDescent="0.25">
      <c r="A3672" s="319">
        <v>43007</v>
      </c>
      <c r="B3672" s="320" t="s">
        <v>31471</v>
      </c>
      <c r="C3672" s="321">
        <v>129431</v>
      </c>
      <c r="D3672" s="390" t="s">
        <v>5757</v>
      </c>
      <c r="E3672" s="322">
        <v>408</v>
      </c>
      <c r="F3672" s="323">
        <v>43008</v>
      </c>
      <c r="G3672" s="322">
        <v>408</v>
      </c>
      <c r="H3672" s="322">
        <f t="shared" si="53"/>
        <v>0</v>
      </c>
      <c r="I3672" s="325" t="s">
        <v>15214</v>
      </c>
    </row>
    <row r="3673" spans="1:9" x14ac:dyDescent="0.25">
      <c r="A3673" s="359">
        <v>43008</v>
      </c>
      <c r="B3673" s="326" t="s">
        <v>31472</v>
      </c>
      <c r="C3673" s="327">
        <v>129432</v>
      </c>
      <c r="D3673" s="391" t="s">
        <v>21386</v>
      </c>
      <c r="E3673" s="328">
        <v>9503.7999999999993</v>
      </c>
      <c r="F3673" s="361">
        <v>43009</v>
      </c>
      <c r="G3673" s="362">
        <v>9503.7999999999993</v>
      </c>
      <c r="H3673" s="347">
        <f t="shared" si="53"/>
        <v>0</v>
      </c>
      <c r="I3673" s="331" t="s">
        <v>15214</v>
      </c>
    </row>
    <row r="3674" spans="1:9" x14ac:dyDescent="0.25">
      <c r="A3674" s="319">
        <v>43008</v>
      </c>
      <c r="B3674" s="320" t="s">
        <v>31473</v>
      </c>
      <c r="C3674" s="321">
        <v>129433</v>
      </c>
      <c r="D3674" s="390" t="s">
        <v>21386</v>
      </c>
      <c r="E3674" s="322">
        <v>545.4</v>
      </c>
      <c r="F3674" s="363">
        <v>43009</v>
      </c>
      <c r="G3674" s="155">
        <v>545.4</v>
      </c>
      <c r="H3674" s="322">
        <f t="shared" si="53"/>
        <v>0</v>
      </c>
      <c r="I3674" s="325" t="s">
        <v>15214</v>
      </c>
    </row>
    <row r="3675" spans="1:9" x14ac:dyDescent="0.25">
      <c r="A3675" s="359">
        <v>43008</v>
      </c>
      <c r="B3675" s="326" t="s">
        <v>31474</v>
      </c>
      <c r="C3675" s="327">
        <v>129434</v>
      </c>
      <c r="D3675" s="391" t="s">
        <v>15213</v>
      </c>
      <c r="E3675" s="328">
        <v>43023</v>
      </c>
      <c r="F3675" s="361">
        <v>43009</v>
      </c>
      <c r="G3675" s="362">
        <v>43023</v>
      </c>
      <c r="H3675" s="347">
        <f t="shared" si="53"/>
        <v>0</v>
      </c>
      <c r="I3675" s="331" t="s">
        <v>15214</v>
      </c>
    </row>
    <row r="3676" spans="1:9" x14ac:dyDescent="0.25">
      <c r="A3676" s="319">
        <v>43008</v>
      </c>
      <c r="B3676" s="320" t="s">
        <v>31475</v>
      </c>
      <c r="C3676" s="321">
        <v>129435</v>
      </c>
      <c r="D3676" s="390" t="s">
        <v>15232</v>
      </c>
      <c r="E3676" s="322">
        <v>15451.8</v>
      </c>
      <c r="F3676" s="363">
        <v>43013</v>
      </c>
      <c r="G3676" s="155">
        <v>15451.8</v>
      </c>
      <c r="H3676" s="322">
        <f t="shared" si="53"/>
        <v>0</v>
      </c>
      <c r="I3676" s="325" t="s">
        <v>15214</v>
      </c>
    </row>
    <row r="3677" spans="1:9" ht="30" x14ac:dyDescent="0.25">
      <c r="A3677" s="359">
        <v>43008</v>
      </c>
      <c r="B3677" s="326" t="s">
        <v>31476</v>
      </c>
      <c r="C3677" s="327">
        <v>129436</v>
      </c>
      <c r="D3677" s="391" t="s">
        <v>15480</v>
      </c>
      <c r="E3677" s="328">
        <v>9994</v>
      </c>
      <c r="F3677" s="361" t="s">
        <v>31612</v>
      </c>
      <c r="G3677" s="362">
        <f>5000+4994</f>
        <v>9994</v>
      </c>
      <c r="H3677" s="347">
        <f t="shared" si="53"/>
        <v>0</v>
      </c>
      <c r="I3677" s="331" t="s">
        <v>15214</v>
      </c>
    </row>
    <row r="3678" spans="1:9" ht="30" x14ac:dyDescent="0.25">
      <c r="A3678" s="319">
        <v>43008</v>
      </c>
      <c r="B3678" s="320" t="s">
        <v>31477</v>
      </c>
      <c r="C3678" s="321">
        <v>129437</v>
      </c>
      <c r="D3678" s="390" t="s">
        <v>15258</v>
      </c>
      <c r="E3678" s="322">
        <v>17702.3</v>
      </c>
      <c r="F3678" s="363" t="s">
        <v>31613</v>
      </c>
      <c r="G3678" s="364">
        <f>8702+9000.3</f>
        <v>17702.3</v>
      </c>
      <c r="H3678" s="334">
        <f t="shared" si="53"/>
        <v>0</v>
      </c>
      <c r="I3678" s="325" t="s">
        <v>15214</v>
      </c>
    </row>
    <row r="3679" spans="1:9" x14ac:dyDescent="0.25">
      <c r="A3679" s="359">
        <v>43008</v>
      </c>
      <c r="B3679" s="326" t="s">
        <v>31478</v>
      </c>
      <c r="C3679" s="327">
        <v>129438</v>
      </c>
      <c r="D3679" s="391" t="s">
        <v>15238</v>
      </c>
      <c r="E3679" s="328">
        <v>5611.8</v>
      </c>
      <c r="F3679" s="361">
        <v>43011</v>
      </c>
      <c r="G3679" s="362">
        <v>5611.8</v>
      </c>
      <c r="H3679" s="347">
        <f t="shared" si="53"/>
        <v>0</v>
      </c>
      <c r="I3679" s="331" t="s">
        <v>15214</v>
      </c>
    </row>
    <row r="3680" spans="1:9" x14ac:dyDescent="0.25">
      <c r="A3680" s="319">
        <v>43008</v>
      </c>
      <c r="B3680" s="320" t="s">
        <v>31479</v>
      </c>
      <c r="C3680" s="321">
        <v>129439</v>
      </c>
      <c r="D3680" s="390" t="s">
        <v>5575</v>
      </c>
      <c r="E3680" s="322">
        <v>6960</v>
      </c>
      <c r="F3680" s="363">
        <v>43010</v>
      </c>
      <c r="G3680" s="155">
        <v>6960</v>
      </c>
      <c r="H3680" s="322">
        <f t="shared" si="53"/>
        <v>0</v>
      </c>
      <c r="I3680" s="325" t="s">
        <v>15214</v>
      </c>
    </row>
    <row r="3681" spans="1:9" x14ac:dyDescent="0.25">
      <c r="A3681" s="359">
        <v>43008</v>
      </c>
      <c r="B3681" s="326" t="s">
        <v>31480</v>
      </c>
      <c r="C3681" s="327">
        <v>129440</v>
      </c>
      <c r="D3681" s="391" t="s">
        <v>30057</v>
      </c>
      <c r="E3681" s="328">
        <v>3184.4</v>
      </c>
      <c r="F3681" s="361">
        <v>43010</v>
      </c>
      <c r="G3681" s="362">
        <v>3184.4</v>
      </c>
      <c r="H3681" s="347">
        <f t="shared" si="53"/>
        <v>0</v>
      </c>
      <c r="I3681" s="331" t="s">
        <v>15214</v>
      </c>
    </row>
    <row r="3682" spans="1:9" x14ac:dyDescent="0.25">
      <c r="A3682" s="319">
        <v>43008</v>
      </c>
      <c r="B3682" s="320" t="s">
        <v>31481</v>
      </c>
      <c r="C3682" s="321">
        <v>129441</v>
      </c>
      <c r="D3682" s="390" t="s">
        <v>15234</v>
      </c>
      <c r="E3682" s="322">
        <v>6703.2</v>
      </c>
      <c r="F3682" s="363">
        <v>43014</v>
      </c>
      <c r="G3682" s="155">
        <v>6703.2</v>
      </c>
      <c r="H3682" s="322">
        <f t="shared" si="53"/>
        <v>0</v>
      </c>
      <c r="I3682" s="325" t="s">
        <v>15214</v>
      </c>
    </row>
    <row r="3683" spans="1:9" x14ac:dyDescent="0.25">
      <c r="A3683" s="359">
        <v>43008</v>
      </c>
      <c r="B3683" s="326" t="s">
        <v>31482</v>
      </c>
      <c r="C3683" s="327">
        <v>129442</v>
      </c>
      <c r="D3683" s="391" t="s">
        <v>15480</v>
      </c>
      <c r="E3683" s="328">
        <v>10396.799999999999</v>
      </c>
      <c r="F3683" s="361">
        <v>43011</v>
      </c>
      <c r="G3683" s="362">
        <v>10396.799999999999</v>
      </c>
      <c r="H3683" s="347">
        <f t="shared" si="53"/>
        <v>0</v>
      </c>
      <c r="I3683" s="331" t="s">
        <v>15214</v>
      </c>
    </row>
    <row r="3684" spans="1:9" x14ac:dyDescent="0.25">
      <c r="A3684" s="319">
        <v>43008</v>
      </c>
      <c r="B3684" s="320" t="s">
        <v>31483</v>
      </c>
      <c r="C3684" s="321">
        <v>129443</v>
      </c>
      <c r="D3684" s="390" t="s">
        <v>15236</v>
      </c>
      <c r="E3684" s="322">
        <v>10294.4</v>
      </c>
      <c r="F3684" s="363">
        <v>43011</v>
      </c>
      <c r="G3684" s="155">
        <v>10294.4</v>
      </c>
      <c r="H3684" s="322">
        <f t="shared" si="53"/>
        <v>0</v>
      </c>
      <c r="I3684" s="325" t="s">
        <v>15214</v>
      </c>
    </row>
    <row r="3685" spans="1:9" x14ac:dyDescent="0.25">
      <c r="A3685" s="359">
        <v>43008</v>
      </c>
      <c r="B3685" s="326" t="s">
        <v>31484</v>
      </c>
      <c r="C3685" s="327">
        <v>129444</v>
      </c>
      <c r="D3685" s="391" t="s">
        <v>17462</v>
      </c>
      <c r="E3685" s="328">
        <v>6504.8</v>
      </c>
      <c r="F3685" s="329">
        <v>43008</v>
      </c>
      <c r="G3685" s="328">
        <v>6504.8</v>
      </c>
      <c r="H3685" s="347">
        <f t="shared" si="53"/>
        <v>0</v>
      </c>
      <c r="I3685" s="331" t="s">
        <v>15214</v>
      </c>
    </row>
    <row r="3686" spans="1:9" x14ac:dyDescent="0.25">
      <c r="A3686" s="319">
        <v>43008</v>
      </c>
      <c r="B3686" s="320" t="s">
        <v>31485</v>
      </c>
      <c r="C3686" s="321">
        <v>129445</v>
      </c>
      <c r="D3686" s="390" t="s">
        <v>15242</v>
      </c>
      <c r="E3686" s="322">
        <v>4280</v>
      </c>
      <c r="F3686" s="323">
        <v>43008</v>
      </c>
      <c r="G3686" s="322">
        <v>4280</v>
      </c>
      <c r="H3686" s="322">
        <f t="shared" si="53"/>
        <v>0</v>
      </c>
      <c r="I3686" s="325" t="s">
        <v>15214</v>
      </c>
    </row>
    <row r="3687" spans="1:9" x14ac:dyDescent="0.25">
      <c r="A3687" s="359">
        <v>43008</v>
      </c>
      <c r="B3687" s="326" t="s">
        <v>31486</v>
      </c>
      <c r="C3687" s="327">
        <v>129446</v>
      </c>
      <c r="D3687" s="391" t="s">
        <v>15230</v>
      </c>
      <c r="E3687" s="328">
        <v>19851</v>
      </c>
      <c r="F3687" s="329">
        <v>43011</v>
      </c>
      <c r="G3687" s="328">
        <v>19851</v>
      </c>
      <c r="H3687" s="347">
        <f t="shared" si="53"/>
        <v>0</v>
      </c>
      <c r="I3687" s="331" t="s">
        <v>15214</v>
      </c>
    </row>
    <row r="3688" spans="1:9" ht="30" x14ac:dyDescent="0.25">
      <c r="A3688" s="319">
        <v>43008</v>
      </c>
      <c r="B3688" s="320" t="s">
        <v>31487</v>
      </c>
      <c r="C3688" s="321">
        <v>129447</v>
      </c>
      <c r="D3688" s="390" t="s">
        <v>19780</v>
      </c>
      <c r="E3688" s="322">
        <v>27846</v>
      </c>
      <c r="F3688" s="373" t="s">
        <v>31612</v>
      </c>
      <c r="G3688" s="364">
        <f>7000+20846</f>
        <v>27846</v>
      </c>
      <c r="H3688" s="334">
        <f t="shared" si="53"/>
        <v>0</v>
      </c>
      <c r="I3688" s="325" t="s">
        <v>15214</v>
      </c>
    </row>
    <row r="3689" spans="1:9" x14ac:dyDescent="0.25">
      <c r="A3689" s="359">
        <v>43008</v>
      </c>
      <c r="B3689" s="326" t="s">
        <v>31488</v>
      </c>
      <c r="C3689" s="327">
        <v>129448</v>
      </c>
      <c r="D3689" s="391" t="s">
        <v>15655</v>
      </c>
      <c r="E3689" s="328">
        <v>31696.799999999999</v>
      </c>
      <c r="F3689" s="329">
        <v>43008</v>
      </c>
      <c r="G3689" s="328">
        <v>31696.799999999999</v>
      </c>
      <c r="H3689" s="347">
        <f t="shared" si="53"/>
        <v>0</v>
      </c>
      <c r="I3689" s="331" t="s">
        <v>15214</v>
      </c>
    </row>
    <row r="3690" spans="1:9" x14ac:dyDescent="0.25">
      <c r="A3690" s="319">
        <v>43008</v>
      </c>
      <c r="B3690" s="320" t="s">
        <v>31489</v>
      </c>
      <c r="C3690" s="321">
        <v>129449</v>
      </c>
      <c r="D3690" s="390" t="s">
        <v>15407</v>
      </c>
      <c r="E3690" s="322">
        <v>1920</v>
      </c>
      <c r="F3690" s="323">
        <v>43008</v>
      </c>
      <c r="G3690" s="322">
        <v>1920</v>
      </c>
      <c r="H3690" s="322">
        <f t="shared" si="53"/>
        <v>0</v>
      </c>
      <c r="I3690" s="325" t="s">
        <v>15214</v>
      </c>
    </row>
    <row r="3691" spans="1:9" x14ac:dyDescent="0.25">
      <c r="A3691" s="359">
        <v>43008</v>
      </c>
      <c r="B3691" s="326" t="s">
        <v>31490</v>
      </c>
      <c r="C3691" s="327">
        <v>129450</v>
      </c>
      <c r="D3691" s="391" t="s">
        <v>15636</v>
      </c>
      <c r="E3691" s="328">
        <v>4612.8</v>
      </c>
      <c r="F3691" s="329">
        <v>43008</v>
      </c>
      <c r="G3691" s="328">
        <v>4612.8</v>
      </c>
      <c r="H3691" s="347">
        <f t="shared" si="53"/>
        <v>0</v>
      </c>
      <c r="I3691" s="331" t="s">
        <v>15214</v>
      </c>
    </row>
    <row r="3692" spans="1:9" x14ac:dyDescent="0.25">
      <c r="A3692" s="319">
        <v>43008</v>
      </c>
      <c r="B3692" s="320" t="s">
        <v>31491</v>
      </c>
      <c r="C3692" s="321">
        <v>129451</v>
      </c>
      <c r="D3692" s="390" t="s">
        <v>15668</v>
      </c>
      <c r="E3692" s="322">
        <v>22317.4</v>
      </c>
      <c r="F3692" s="323">
        <v>43010</v>
      </c>
      <c r="G3692" s="322">
        <v>22317.4</v>
      </c>
      <c r="H3692" s="322">
        <f t="shared" si="53"/>
        <v>0</v>
      </c>
      <c r="I3692" s="325" t="s">
        <v>15214</v>
      </c>
    </row>
    <row r="3693" spans="1:9" x14ac:dyDescent="0.25">
      <c r="A3693" s="359">
        <v>43008</v>
      </c>
      <c r="B3693" s="326" t="s">
        <v>31492</v>
      </c>
      <c r="C3693" s="327">
        <v>129452</v>
      </c>
      <c r="D3693" s="391" t="s">
        <v>15272</v>
      </c>
      <c r="E3693" s="328">
        <v>30136.9</v>
      </c>
      <c r="F3693" s="329">
        <v>43008</v>
      </c>
      <c r="G3693" s="328">
        <v>30136.9</v>
      </c>
      <c r="H3693" s="347">
        <f t="shared" si="53"/>
        <v>0</v>
      </c>
      <c r="I3693" s="331" t="s">
        <v>15214</v>
      </c>
    </row>
    <row r="3694" spans="1:9" x14ac:dyDescent="0.25">
      <c r="A3694" s="319">
        <v>43008</v>
      </c>
      <c r="B3694" s="320" t="s">
        <v>31493</v>
      </c>
      <c r="C3694" s="321">
        <v>129453</v>
      </c>
      <c r="D3694" s="390" t="s">
        <v>15223</v>
      </c>
      <c r="E3694" s="322">
        <v>47600</v>
      </c>
      <c r="F3694" s="323">
        <v>43029</v>
      </c>
      <c r="G3694" s="322">
        <v>47600</v>
      </c>
      <c r="H3694" s="322">
        <f t="shared" si="53"/>
        <v>0</v>
      </c>
      <c r="I3694" s="325" t="s">
        <v>15214</v>
      </c>
    </row>
    <row r="3695" spans="1:9" ht="15.75" x14ac:dyDescent="0.25">
      <c r="A3695" s="359">
        <v>43008</v>
      </c>
      <c r="B3695" s="326" t="s">
        <v>31494</v>
      </c>
      <c r="C3695" s="327">
        <v>129454</v>
      </c>
      <c r="D3695" s="345" t="s">
        <v>95</v>
      </c>
      <c r="E3695" s="328">
        <v>0</v>
      </c>
      <c r="F3695" s="346" t="s">
        <v>95</v>
      </c>
      <c r="G3695" s="328">
        <v>0</v>
      </c>
      <c r="H3695" s="347">
        <f t="shared" si="53"/>
        <v>0</v>
      </c>
      <c r="I3695" s="331" t="s">
        <v>95</v>
      </c>
    </row>
    <row r="3696" spans="1:9" ht="15.75" x14ac:dyDescent="0.25">
      <c r="A3696" s="319">
        <v>43008</v>
      </c>
      <c r="B3696" s="320" t="s">
        <v>31495</v>
      </c>
      <c r="C3696" s="321">
        <v>129455</v>
      </c>
      <c r="D3696" s="332" t="s">
        <v>95</v>
      </c>
      <c r="E3696" s="322">
        <v>0</v>
      </c>
      <c r="F3696" s="333" t="s">
        <v>95</v>
      </c>
      <c r="G3696" s="322">
        <v>0</v>
      </c>
      <c r="H3696" s="322">
        <f t="shared" si="53"/>
        <v>0</v>
      </c>
      <c r="I3696" s="325" t="s">
        <v>95</v>
      </c>
    </row>
    <row r="3697" spans="1:9" ht="30" x14ac:dyDescent="0.25">
      <c r="A3697" s="359">
        <v>43008</v>
      </c>
      <c r="B3697" s="326" t="s">
        <v>31496</v>
      </c>
      <c r="C3697" s="327">
        <v>129456</v>
      </c>
      <c r="D3697" s="391" t="s">
        <v>15256</v>
      </c>
      <c r="E3697" s="328">
        <v>11482.6</v>
      </c>
      <c r="F3697" s="329" t="s">
        <v>31613</v>
      </c>
      <c r="G3697" s="347">
        <f>9500+1982.6</f>
        <v>11482.6</v>
      </c>
      <c r="H3697" s="347">
        <f t="shared" ref="H3697:H3760" si="54">E3697-G3697</f>
        <v>0</v>
      </c>
      <c r="I3697" s="331" t="s">
        <v>15214</v>
      </c>
    </row>
    <row r="3698" spans="1:9" x14ac:dyDescent="0.25">
      <c r="A3698" s="319">
        <v>43008</v>
      </c>
      <c r="B3698" s="320" t="s">
        <v>31497</v>
      </c>
      <c r="C3698" s="321">
        <v>129457</v>
      </c>
      <c r="D3698" s="390" t="s">
        <v>15248</v>
      </c>
      <c r="E3698" s="322">
        <v>39302.04</v>
      </c>
      <c r="F3698" s="323">
        <v>43008</v>
      </c>
      <c r="G3698" s="322">
        <v>39302.04</v>
      </c>
      <c r="H3698" s="322">
        <f t="shared" si="54"/>
        <v>0</v>
      </c>
      <c r="I3698" s="325" t="s">
        <v>15214</v>
      </c>
    </row>
    <row r="3699" spans="1:9" x14ac:dyDescent="0.25">
      <c r="A3699" s="359">
        <v>43008</v>
      </c>
      <c r="B3699" s="326" t="s">
        <v>31498</v>
      </c>
      <c r="C3699" s="327">
        <v>129458</v>
      </c>
      <c r="D3699" s="391" t="s">
        <v>15523</v>
      </c>
      <c r="E3699" s="328">
        <v>4300</v>
      </c>
      <c r="F3699" s="329">
        <v>43008</v>
      </c>
      <c r="G3699" s="328">
        <v>4300</v>
      </c>
      <c r="H3699" s="347">
        <f t="shared" si="54"/>
        <v>0</v>
      </c>
      <c r="I3699" s="331" t="s">
        <v>15214</v>
      </c>
    </row>
    <row r="3700" spans="1:9" x14ac:dyDescent="0.25">
      <c r="A3700" s="319">
        <v>43008</v>
      </c>
      <c r="B3700" s="320" t="s">
        <v>31499</v>
      </c>
      <c r="C3700" s="321">
        <v>129459</v>
      </c>
      <c r="D3700" s="390" t="s">
        <v>15334</v>
      </c>
      <c r="E3700" s="322">
        <v>3632</v>
      </c>
      <c r="F3700" s="323">
        <v>43008</v>
      </c>
      <c r="G3700" s="322">
        <v>3632</v>
      </c>
      <c r="H3700" s="322">
        <f t="shared" si="54"/>
        <v>0</v>
      </c>
      <c r="I3700" s="325" t="s">
        <v>15214</v>
      </c>
    </row>
    <row r="3701" spans="1:9" x14ac:dyDescent="0.25">
      <c r="A3701" s="359">
        <v>43008</v>
      </c>
      <c r="B3701" s="326" t="s">
        <v>31500</v>
      </c>
      <c r="C3701" s="327">
        <v>129460</v>
      </c>
      <c r="D3701" s="391" t="s">
        <v>15858</v>
      </c>
      <c r="E3701" s="328">
        <v>1171.32</v>
      </c>
      <c r="F3701" s="329">
        <v>43008</v>
      </c>
      <c r="G3701" s="328">
        <v>1171.32</v>
      </c>
      <c r="H3701" s="347">
        <f t="shared" si="54"/>
        <v>0</v>
      </c>
      <c r="I3701" s="331" t="s">
        <v>15214</v>
      </c>
    </row>
    <row r="3702" spans="1:9" x14ac:dyDescent="0.25">
      <c r="A3702" s="319">
        <v>43008</v>
      </c>
      <c r="B3702" s="320" t="s">
        <v>31501</v>
      </c>
      <c r="C3702" s="321">
        <v>129461</v>
      </c>
      <c r="D3702" s="390" t="s">
        <v>15371</v>
      </c>
      <c r="E3702" s="322">
        <v>3819.3</v>
      </c>
      <c r="F3702" s="363">
        <v>43009</v>
      </c>
      <c r="G3702" s="155">
        <v>3819.3</v>
      </c>
      <c r="H3702" s="322">
        <f t="shared" si="54"/>
        <v>0</v>
      </c>
      <c r="I3702" s="325" t="s">
        <v>15214</v>
      </c>
    </row>
    <row r="3703" spans="1:9" x14ac:dyDescent="0.25">
      <c r="A3703" s="359">
        <v>43008</v>
      </c>
      <c r="B3703" s="326" t="s">
        <v>31502</v>
      </c>
      <c r="C3703" s="327">
        <v>129462</v>
      </c>
      <c r="D3703" s="391" t="s">
        <v>15220</v>
      </c>
      <c r="E3703" s="328">
        <v>4945</v>
      </c>
      <c r="F3703" s="329">
        <v>43008</v>
      </c>
      <c r="G3703" s="328">
        <v>4945</v>
      </c>
      <c r="H3703" s="347">
        <f t="shared" si="54"/>
        <v>0</v>
      </c>
      <c r="I3703" s="331" t="s">
        <v>15214</v>
      </c>
    </row>
    <row r="3704" spans="1:9" x14ac:dyDescent="0.25">
      <c r="A3704" s="319">
        <v>43008</v>
      </c>
      <c r="B3704" s="320" t="s">
        <v>31503</v>
      </c>
      <c r="C3704" s="321">
        <v>129463</v>
      </c>
      <c r="D3704" s="390" t="s">
        <v>19302</v>
      </c>
      <c r="E3704" s="322">
        <v>1075</v>
      </c>
      <c r="F3704" s="323">
        <v>43008</v>
      </c>
      <c r="G3704" s="322">
        <v>1075</v>
      </c>
      <c r="H3704" s="322">
        <f t="shared" si="54"/>
        <v>0</v>
      </c>
      <c r="I3704" s="325" t="s">
        <v>15214</v>
      </c>
    </row>
    <row r="3705" spans="1:9" x14ac:dyDescent="0.25">
      <c r="A3705" s="359">
        <v>43008</v>
      </c>
      <c r="B3705" s="326" t="s">
        <v>31504</v>
      </c>
      <c r="C3705" s="327">
        <v>129464</v>
      </c>
      <c r="D3705" s="391" t="s">
        <v>15315</v>
      </c>
      <c r="E3705" s="328">
        <v>16484.3</v>
      </c>
      <c r="F3705" s="329">
        <v>43008</v>
      </c>
      <c r="G3705" s="328">
        <v>16484.3</v>
      </c>
      <c r="H3705" s="347">
        <f t="shared" si="54"/>
        <v>0</v>
      </c>
      <c r="I3705" s="331" t="s">
        <v>15214</v>
      </c>
    </row>
    <row r="3706" spans="1:9" x14ac:dyDescent="0.25">
      <c r="A3706" s="319">
        <v>43008</v>
      </c>
      <c r="B3706" s="320" t="s">
        <v>31505</v>
      </c>
      <c r="C3706" s="321">
        <v>129465</v>
      </c>
      <c r="D3706" s="390" t="s">
        <v>15226</v>
      </c>
      <c r="E3706" s="322">
        <v>1302.4000000000001</v>
      </c>
      <c r="F3706" s="323">
        <v>43010</v>
      </c>
      <c r="G3706" s="322">
        <v>1302.4000000000001</v>
      </c>
      <c r="H3706" s="322">
        <f t="shared" si="54"/>
        <v>0</v>
      </c>
      <c r="I3706" s="325" t="s">
        <v>15214</v>
      </c>
    </row>
    <row r="3707" spans="1:9" x14ac:dyDescent="0.25">
      <c r="A3707" s="359">
        <v>43008</v>
      </c>
      <c r="B3707" s="326" t="s">
        <v>31506</v>
      </c>
      <c r="C3707" s="327">
        <v>129466</v>
      </c>
      <c r="D3707" s="391" t="s">
        <v>15261</v>
      </c>
      <c r="E3707" s="328">
        <v>6861.16</v>
      </c>
      <c r="F3707" s="329">
        <v>43008</v>
      </c>
      <c r="G3707" s="328">
        <v>6861.16</v>
      </c>
      <c r="H3707" s="347">
        <f t="shared" si="54"/>
        <v>0</v>
      </c>
      <c r="I3707" s="331" t="s">
        <v>15214</v>
      </c>
    </row>
    <row r="3708" spans="1:9" x14ac:dyDescent="0.25">
      <c r="A3708" s="319">
        <v>43008</v>
      </c>
      <c r="B3708" s="320" t="s">
        <v>31507</v>
      </c>
      <c r="C3708" s="321">
        <v>129467</v>
      </c>
      <c r="D3708" s="390" t="s">
        <v>15261</v>
      </c>
      <c r="E3708" s="322">
        <v>6344</v>
      </c>
      <c r="F3708" s="323">
        <v>43008</v>
      </c>
      <c r="G3708" s="322">
        <v>6344</v>
      </c>
      <c r="H3708" s="322">
        <f t="shared" si="54"/>
        <v>0</v>
      </c>
      <c r="I3708" s="325" t="s">
        <v>15214</v>
      </c>
    </row>
    <row r="3709" spans="1:9" x14ac:dyDescent="0.25">
      <c r="A3709" s="359">
        <v>43008</v>
      </c>
      <c r="B3709" s="326" t="s">
        <v>31508</v>
      </c>
      <c r="C3709" s="327">
        <v>129468</v>
      </c>
      <c r="D3709" s="391" t="s">
        <v>15261</v>
      </c>
      <c r="E3709" s="328">
        <v>5911.2</v>
      </c>
      <c r="F3709" s="329">
        <v>43008</v>
      </c>
      <c r="G3709" s="328">
        <v>5911.2</v>
      </c>
      <c r="H3709" s="347">
        <f t="shared" si="54"/>
        <v>0</v>
      </c>
      <c r="I3709" s="331" t="s">
        <v>15214</v>
      </c>
    </row>
    <row r="3710" spans="1:9" x14ac:dyDescent="0.25">
      <c r="A3710" s="319">
        <v>43008</v>
      </c>
      <c r="B3710" s="320" t="s">
        <v>31509</v>
      </c>
      <c r="C3710" s="321">
        <v>129469</v>
      </c>
      <c r="D3710" s="390" t="s">
        <v>17950</v>
      </c>
      <c r="E3710" s="322">
        <v>10701.6</v>
      </c>
      <c r="F3710" s="323">
        <v>43008</v>
      </c>
      <c r="G3710" s="322">
        <v>10701.6</v>
      </c>
      <c r="H3710" s="322">
        <f t="shared" si="54"/>
        <v>0</v>
      </c>
      <c r="I3710" s="325" t="s">
        <v>15214</v>
      </c>
    </row>
    <row r="3711" spans="1:9" x14ac:dyDescent="0.25">
      <c r="A3711" s="359">
        <v>43008</v>
      </c>
      <c r="B3711" s="326" t="s">
        <v>31510</v>
      </c>
      <c r="C3711" s="327">
        <v>129470</v>
      </c>
      <c r="D3711" s="391" t="s">
        <v>15280</v>
      </c>
      <c r="E3711" s="328">
        <v>6012</v>
      </c>
      <c r="F3711" s="329">
        <v>43008</v>
      </c>
      <c r="G3711" s="328">
        <v>6012</v>
      </c>
      <c r="H3711" s="347">
        <f t="shared" si="54"/>
        <v>0</v>
      </c>
      <c r="I3711" s="331" t="s">
        <v>15214</v>
      </c>
    </row>
    <row r="3712" spans="1:9" x14ac:dyDescent="0.25">
      <c r="A3712" s="319">
        <v>43008</v>
      </c>
      <c r="B3712" s="320" t="s">
        <v>31511</v>
      </c>
      <c r="C3712" s="321">
        <v>129471</v>
      </c>
      <c r="D3712" s="390" t="s">
        <v>15263</v>
      </c>
      <c r="E3712" s="322">
        <v>2588.6999999999998</v>
      </c>
      <c r="F3712" s="323">
        <v>43008</v>
      </c>
      <c r="G3712" s="322">
        <v>2588.6999999999998</v>
      </c>
      <c r="H3712" s="322">
        <f t="shared" si="54"/>
        <v>0</v>
      </c>
      <c r="I3712" s="325" t="s">
        <v>15214</v>
      </c>
    </row>
    <row r="3713" spans="1:9" x14ac:dyDescent="0.25">
      <c r="A3713" s="359">
        <v>43008</v>
      </c>
      <c r="B3713" s="326" t="s">
        <v>31512</v>
      </c>
      <c r="C3713" s="327">
        <v>129472</v>
      </c>
      <c r="D3713" s="391" t="s">
        <v>17950</v>
      </c>
      <c r="E3713" s="328">
        <v>422.4</v>
      </c>
      <c r="F3713" s="329">
        <v>43008</v>
      </c>
      <c r="G3713" s="328">
        <v>422.4</v>
      </c>
      <c r="H3713" s="347">
        <f t="shared" si="54"/>
        <v>0</v>
      </c>
      <c r="I3713" s="331" t="s">
        <v>15214</v>
      </c>
    </row>
    <row r="3714" spans="1:9" x14ac:dyDescent="0.25">
      <c r="A3714" s="319">
        <v>43008</v>
      </c>
      <c r="B3714" s="320" t="s">
        <v>31513</v>
      </c>
      <c r="C3714" s="321">
        <v>129473</v>
      </c>
      <c r="D3714" s="390" t="s">
        <v>15246</v>
      </c>
      <c r="E3714" s="322">
        <v>2554.5</v>
      </c>
      <c r="F3714" s="323">
        <v>43010</v>
      </c>
      <c r="G3714" s="322">
        <v>2554.5</v>
      </c>
      <c r="H3714" s="322">
        <f t="shared" si="54"/>
        <v>0</v>
      </c>
      <c r="I3714" s="325" t="s">
        <v>15214</v>
      </c>
    </row>
    <row r="3715" spans="1:9" x14ac:dyDescent="0.25">
      <c r="A3715" s="359">
        <v>43008</v>
      </c>
      <c r="B3715" s="326" t="s">
        <v>31514</v>
      </c>
      <c r="C3715" s="327">
        <v>129474</v>
      </c>
      <c r="D3715" s="391" t="s">
        <v>15324</v>
      </c>
      <c r="E3715" s="328">
        <v>2702.5</v>
      </c>
      <c r="F3715" s="329">
        <v>43008</v>
      </c>
      <c r="G3715" s="328">
        <v>2702.5</v>
      </c>
      <c r="H3715" s="347">
        <f t="shared" si="54"/>
        <v>0</v>
      </c>
      <c r="I3715" s="331" t="s">
        <v>15214</v>
      </c>
    </row>
    <row r="3716" spans="1:9" x14ac:dyDescent="0.25">
      <c r="A3716" s="319">
        <v>43008</v>
      </c>
      <c r="B3716" s="320" t="s">
        <v>31515</v>
      </c>
      <c r="C3716" s="321">
        <v>129475</v>
      </c>
      <c r="D3716" s="390" t="s">
        <v>15278</v>
      </c>
      <c r="E3716" s="322">
        <v>2429.8000000000002</v>
      </c>
      <c r="F3716" s="323">
        <v>43008</v>
      </c>
      <c r="G3716" s="322">
        <v>2429.8000000000002</v>
      </c>
      <c r="H3716" s="322">
        <f t="shared" si="54"/>
        <v>0</v>
      </c>
      <c r="I3716" s="325" t="s">
        <v>15214</v>
      </c>
    </row>
    <row r="3717" spans="1:9" x14ac:dyDescent="0.25">
      <c r="A3717" s="359">
        <v>43008</v>
      </c>
      <c r="B3717" s="326" t="s">
        <v>31516</v>
      </c>
      <c r="C3717" s="327">
        <v>129476</v>
      </c>
      <c r="D3717" s="391" t="s">
        <v>15284</v>
      </c>
      <c r="E3717" s="328">
        <v>2484.9</v>
      </c>
      <c r="F3717" s="329">
        <v>43008</v>
      </c>
      <c r="G3717" s="328">
        <v>2484.9</v>
      </c>
      <c r="H3717" s="347">
        <f t="shared" si="54"/>
        <v>0</v>
      </c>
      <c r="I3717" s="331" t="s">
        <v>15214</v>
      </c>
    </row>
    <row r="3718" spans="1:9" x14ac:dyDescent="0.25">
      <c r="A3718" s="319">
        <v>43008</v>
      </c>
      <c r="B3718" s="320" t="s">
        <v>31517</v>
      </c>
      <c r="C3718" s="321">
        <v>129477</v>
      </c>
      <c r="D3718" s="390" t="s">
        <v>15328</v>
      </c>
      <c r="E3718" s="322">
        <v>115837.22</v>
      </c>
      <c r="F3718" s="323">
        <v>43021</v>
      </c>
      <c r="G3718" s="322">
        <v>115837.22</v>
      </c>
      <c r="H3718" s="322">
        <f t="shared" si="54"/>
        <v>0</v>
      </c>
      <c r="I3718" s="325" t="s">
        <v>15214</v>
      </c>
    </row>
    <row r="3719" spans="1:9" x14ac:dyDescent="0.25">
      <c r="A3719" s="359">
        <v>43008</v>
      </c>
      <c r="B3719" s="326" t="s">
        <v>31518</v>
      </c>
      <c r="C3719" s="327">
        <v>129478</v>
      </c>
      <c r="D3719" s="391" t="s">
        <v>15378</v>
      </c>
      <c r="E3719" s="328">
        <v>2895.2</v>
      </c>
      <c r="F3719" s="329">
        <v>43008</v>
      </c>
      <c r="G3719" s="328">
        <v>2895.2</v>
      </c>
      <c r="H3719" s="347">
        <f t="shared" si="54"/>
        <v>0</v>
      </c>
      <c r="I3719" s="331" t="s">
        <v>15214</v>
      </c>
    </row>
    <row r="3720" spans="1:9" x14ac:dyDescent="0.25">
      <c r="A3720" s="319">
        <v>43008</v>
      </c>
      <c r="B3720" s="320" t="s">
        <v>31519</v>
      </c>
      <c r="C3720" s="321">
        <v>129479</v>
      </c>
      <c r="D3720" s="390" t="s">
        <v>15340</v>
      </c>
      <c r="E3720" s="322">
        <v>2777.4</v>
      </c>
      <c r="F3720" s="323">
        <v>43008</v>
      </c>
      <c r="G3720" s="322">
        <v>2777.4</v>
      </c>
      <c r="H3720" s="322">
        <f t="shared" si="54"/>
        <v>0</v>
      </c>
      <c r="I3720" s="325" t="s">
        <v>15214</v>
      </c>
    </row>
    <row r="3721" spans="1:9" x14ac:dyDescent="0.25">
      <c r="A3721" s="359">
        <v>43008</v>
      </c>
      <c r="B3721" s="326" t="s">
        <v>31520</v>
      </c>
      <c r="C3721" s="327">
        <v>129480</v>
      </c>
      <c r="D3721" s="391" t="s">
        <v>15356</v>
      </c>
      <c r="E3721" s="328">
        <v>2782.4</v>
      </c>
      <c r="F3721" s="329">
        <v>43008</v>
      </c>
      <c r="G3721" s="328">
        <v>2782.4</v>
      </c>
      <c r="H3721" s="347">
        <f t="shared" si="54"/>
        <v>0</v>
      </c>
      <c r="I3721" s="331" t="s">
        <v>15214</v>
      </c>
    </row>
    <row r="3722" spans="1:9" x14ac:dyDescent="0.25">
      <c r="A3722" s="319">
        <v>43008</v>
      </c>
      <c r="B3722" s="320" t="s">
        <v>31521</v>
      </c>
      <c r="C3722" s="321">
        <v>129481</v>
      </c>
      <c r="D3722" s="390" t="s">
        <v>15315</v>
      </c>
      <c r="E3722" s="322">
        <v>8168.3</v>
      </c>
      <c r="F3722" s="323">
        <v>43008</v>
      </c>
      <c r="G3722" s="322">
        <v>8168.3</v>
      </c>
      <c r="H3722" s="322">
        <f t="shared" si="54"/>
        <v>0</v>
      </c>
      <c r="I3722" s="325" t="s">
        <v>15214</v>
      </c>
    </row>
    <row r="3723" spans="1:9" x14ac:dyDescent="0.25">
      <c r="A3723" s="359">
        <v>43008</v>
      </c>
      <c r="B3723" s="326" t="s">
        <v>31522</v>
      </c>
      <c r="C3723" s="327">
        <v>129482</v>
      </c>
      <c r="D3723" s="391" t="s">
        <v>15526</v>
      </c>
      <c r="E3723" s="328">
        <v>3645</v>
      </c>
      <c r="F3723" s="329">
        <v>43008</v>
      </c>
      <c r="G3723" s="328">
        <v>3645</v>
      </c>
      <c r="H3723" s="347">
        <f t="shared" si="54"/>
        <v>0</v>
      </c>
      <c r="I3723" s="331" t="s">
        <v>15214</v>
      </c>
    </row>
    <row r="3724" spans="1:9" x14ac:dyDescent="0.25">
      <c r="A3724" s="319">
        <v>43008</v>
      </c>
      <c r="B3724" s="320" t="s">
        <v>31523</v>
      </c>
      <c r="C3724" s="321">
        <v>129483</v>
      </c>
      <c r="D3724" s="390" t="s">
        <v>17210</v>
      </c>
      <c r="E3724" s="322">
        <v>3640.5</v>
      </c>
      <c r="F3724" s="323">
        <v>43008</v>
      </c>
      <c r="G3724" s="322">
        <v>3640.5</v>
      </c>
      <c r="H3724" s="322">
        <f t="shared" si="54"/>
        <v>0</v>
      </c>
      <c r="I3724" s="325" t="s">
        <v>15214</v>
      </c>
    </row>
    <row r="3725" spans="1:9" x14ac:dyDescent="0.25">
      <c r="A3725" s="359">
        <v>43008</v>
      </c>
      <c r="B3725" s="326" t="s">
        <v>31524</v>
      </c>
      <c r="C3725" s="327">
        <v>129484</v>
      </c>
      <c r="D3725" s="391" t="s">
        <v>15742</v>
      </c>
      <c r="E3725" s="328">
        <v>1768.8</v>
      </c>
      <c r="F3725" s="329">
        <v>43008</v>
      </c>
      <c r="G3725" s="328">
        <v>1768.8</v>
      </c>
      <c r="H3725" s="347">
        <f t="shared" si="54"/>
        <v>0</v>
      </c>
      <c r="I3725" s="331" t="s">
        <v>15214</v>
      </c>
    </row>
    <row r="3726" spans="1:9" x14ac:dyDescent="0.25">
      <c r="A3726" s="319">
        <v>43008</v>
      </c>
      <c r="B3726" s="320" t="s">
        <v>31525</v>
      </c>
      <c r="C3726" s="321">
        <v>129485</v>
      </c>
      <c r="D3726" s="390" t="s">
        <v>15328</v>
      </c>
      <c r="E3726" s="322">
        <v>7141.46</v>
      </c>
      <c r="F3726" s="323">
        <v>43021</v>
      </c>
      <c r="G3726" s="322">
        <v>7141.46</v>
      </c>
      <c r="H3726" s="322">
        <f t="shared" si="54"/>
        <v>0</v>
      </c>
      <c r="I3726" s="325" t="s">
        <v>15214</v>
      </c>
    </row>
    <row r="3727" spans="1:9" x14ac:dyDescent="0.25">
      <c r="A3727" s="359">
        <v>43008</v>
      </c>
      <c r="B3727" s="326" t="s">
        <v>31526</v>
      </c>
      <c r="C3727" s="327">
        <v>129486</v>
      </c>
      <c r="D3727" s="391" t="s">
        <v>15332</v>
      </c>
      <c r="E3727" s="328">
        <v>2430</v>
      </c>
      <c r="F3727" s="329">
        <v>43008</v>
      </c>
      <c r="G3727" s="328">
        <v>2430</v>
      </c>
      <c r="H3727" s="347">
        <f t="shared" si="54"/>
        <v>0</v>
      </c>
      <c r="I3727" s="331" t="s">
        <v>15214</v>
      </c>
    </row>
    <row r="3728" spans="1:9" x14ac:dyDescent="0.25">
      <c r="A3728" s="319">
        <v>43008</v>
      </c>
      <c r="B3728" s="320" t="s">
        <v>31527</v>
      </c>
      <c r="C3728" s="321">
        <v>129487</v>
      </c>
      <c r="D3728" s="390" t="s">
        <v>15748</v>
      </c>
      <c r="E3728" s="322">
        <v>1138</v>
      </c>
      <c r="F3728" s="323">
        <v>43008</v>
      </c>
      <c r="G3728" s="322">
        <v>1138</v>
      </c>
      <c r="H3728" s="322">
        <f t="shared" si="54"/>
        <v>0</v>
      </c>
      <c r="I3728" s="325" t="s">
        <v>15214</v>
      </c>
    </row>
    <row r="3729" spans="1:9" x14ac:dyDescent="0.25">
      <c r="A3729" s="359">
        <v>43008</v>
      </c>
      <c r="B3729" s="326" t="s">
        <v>31528</v>
      </c>
      <c r="C3729" s="327">
        <v>129488</v>
      </c>
      <c r="D3729" s="391" t="s">
        <v>15346</v>
      </c>
      <c r="E3729" s="328">
        <v>2777.6</v>
      </c>
      <c r="F3729" s="329">
        <v>43008</v>
      </c>
      <c r="G3729" s="328">
        <v>2777.6</v>
      </c>
      <c r="H3729" s="347">
        <f t="shared" si="54"/>
        <v>0</v>
      </c>
      <c r="I3729" s="331" t="s">
        <v>15214</v>
      </c>
    </row>
    <row r="3730" spans="1:9" x14ac:dyDescent="0.25">
      <c r="A3730" s="319">
        <v>43008</v>
      </c>
      <c r="B3730" s="320" t="s">
        <v>31529</v>
      </c>
      <c r="C3730" s="321">
        <v>129489</v>
      </c>
      <c r="D3730" s="390" t="s">
        <v>15358</v>
      </c>
      <c r="E3730" s="322">
        <v>3129</v>
      </c>
      <c r="F3730" s="323">
        <v>43008</v>
      </c>
      <c r="G3730" s="322">
        <v>3129</v>
      </c>
      <c r="H3730" s="322">
        <f t="shared" si="54"/>
        <v>0</v>
      </c>
      <c r="I3730" s="325" t="s">
        <v>15214</v>
      </c>
    </row>
    <row r="3731" spans="1:9" x14ac:dyDescent="0.25">
      <c r="A3731" s="359">
        <v>43008</v>
      </c>
      <c r="B3731" s="326" t="s">
        <v>31530</v>
      </c>
      <c r="C3731" s="327">
        <v>129490</v>
      </c>
      <c r="D3731" s="391" t="s">
        <v>15298</v>
      </c>
      <c r="E3731" s="328">
        <v>615.5</v>
      </c>
      <c r="F3731" s="329">
        <v>43008</v>
      </c>
      <c r="G3731" s="328">
        <v>615.5</v>
      </c>
      <c r="H3731" s="347">
        <f t="shared" si="54"/>
        <v>0</v>
      </c>
      <c r="I3731" s="331" t="s">
        <v>15214</v>
      </c>
    </row>
    <row r="3732" spans="1:9" x14ac:dyDescent="0.25">
      <c r="A3732" s="319">
        <v>43008</v>
      </c>
      <c r="B3732" s="320" t="s">
        <v>31531</v>
      </c>
      <c r="C3732" s="321">
        <v>129491</v>
      </c>
      <c r="D3732" s="390" t="s">
        <v>15346</v>
      </c>
      <c r="E3732" s="322">
        <v>3243.1</v>
      </c>
      <c r="F3732" s="323">
        <v>43008</v>
      </c>
      <c r="G3732" s="322">
        <v>3243.1</v>
      </c>
      <c r="H3732" s="322">
        <f t="shared" si="54"/>
        <v>0</v>
      </c>
      <c r="I3732" s="325" t="s">
        <v>15214</v>
      </c>
    </row>
    <row r="3733" spans="1:9" x14ac:dyDescent="0.25">
      <c r="A3733" s="359">
        <v>43008</v>
      </c>
      <c r="B3733" s="326" t="s">
        <v>31532</v>
      </c>
      <c r="C3733" s="327">
        <v>129492</v>
      </c>
      <c r="D3733" s="391" t="s">
        <v>15336</v>
      </c>
      <c r="E3733" s="328">
        <v>13070.4</v>
      </c>
      <c r="F3733" s="329">
        <v>43008</v>
      </c>
      <c r="G3733" s="328">
        <v>13070.4</v>
      </c>
      <c r="H3733" s="347">
        <f t="shared" si="54"/>
        <v>0</v>
      </c>
      <c r="I3733" s="331" t="s">
        <v>15214</v>
      </c>
    </row>
    <row r="3734" spans="1:9" x14ac:dyDescent="0.25">
      <c r="A3734" s="319">
        <v>43008</v>
      </c>
      <c r="B3734" s="320" t="s">
        <v>31533</v>
      </c>
      <c r="C3734" s="321">
        <v>129493</v>
      </c>
      <c r="D3734" s="390" t="s">
        <v>15240</v>
      </c>
      <c r="E3734" s="322">
        <v>880</v>
      </c>
      <c r="F3734" s="323">
        <v>43010</v>
      </c>
      <c r="G3734" s="322">
        <v>880</v>
      </c>
      <c r="H3734" s="322">
        <f t="shared" si="54"/>
        <v>0</v>
      </c>
      <c r="I3734" s="325" t="s">
        <v>15214</v>
      </c>
    </row>
    <row r="3735" spans="1:9" x14ac:dyDescent="0.25">
      <c r="A3735" s="359">
        <v>43008</v>
      </c>
      <c r="B3735" s="326" t="s">
        <v>31534</v>
      </c>
      <c r="C3735" s="327">
        <v>129494</v>
      </c>
      <c r="D3735" s="391" t="s">
        <v>15301</v>
      </c>
      <c r="E3735" s="328">
        <v>4049.5</v>
      </c>
      <c r="F3735" s="329">
        <v>43008</v>
      </c>
      <c r="G3735" s="328">
        <v>4049.5</v>
      </c>
      <c r="H3735" s="347">
        <f t="shared" si="54"/>
        <v>0</v>
      </c>
      <c r="I3735" s="331" t="s">
        <v>15214</v>
      </c>
    </row>
    <row r="3736" spans="1:9" x14ac:dyDescent="0.25">
      <c r="A3736" s="319">
        <v>43008</v>
      </c>
      <c r="B3736" s="320" t="s">
        <v>31535</v>
      </c>
      <c r="C3736" s="321">
        <v>129495</v>
      </c>
      <c r="D3736" s="390" t="s">
        <v>15274</v>
      </c>
      <c r="E3736" s="322">
        <v>3480.3</v>
      </c>
      <c r="F3736" s="323">
        <v>43008</v>
      </c>
      <c r="G3736" s="322">
        <v>3480.3</v>
      </c>
      <c r="H3736" s="322">
        <f t="shared" si="54"/>
        <v>0</v>
      </c>
      <c r="I3736" s="325" t="s">
        <v>15214</v>
      </c>
    </row>
    <row r="3737" spans="1:9" x14ac:dyDescent="0.25">
      <c r="A3737" s="359">
        <v>43008</v>
      </c>
      <c r="B3737" s="326" t="s">
        <v>31536</v>
      </c>
      <c r="C3737" s="327">
        <v>129496</v>
      </c>
      <c r="D3737" s="391" t="s">
        <v>17235</v>
      </c>
      <c r="E3737" s="328">
        <v>1198.56</v>
      </c>
      <c r="F3737" s="329">
        <v>43008</v>
      </c>
      <c r="G3737" s="328">
        <v>1198.56</v>
      </c>
      <c r="H3737" s="347">
        <f t="shared" si="54"/>
        <v>0</v>
      </c>
      <c r="I3737" s="331" t="s">
        <v>15214</v>
      </c>
    </row>
    <row r="3738" spans="1:9" x14ac:dyDescent="0.25">
      <c r="A3738" s="319">
        <v>43008</v>
      </c>
      <c r="B3738" s="320" t="s">
        <v>31537</v>
      </c>
      <c r="C3738" s="321">
        <v>129497</v>
      </c>
      <c r="D3738" s="390" t="s">
        <v>15317</v>
      </c>
      <c r="E3738" s="322">
        <v>2548.1999999999998</v>
      </c>
      <c r="F3738" s="323">
        <v>43010</v>
      </c>
      <c r="G3738" s="322">
        <v>2548.1999999999998</v>
      </c>
      <c r="H3738" s="322">
        <f t="shared" si="54"/>
        <v>0</v>
      </c>
      <c r="I3738" s="325" t="s">
        <v>15214</v>
      </c>
    </row>
    <row r="3739" spans="1:9" x14ac:dyDescent="0.25">
      <c r="A3739" s="359">
        <v>43008</v>
      </c>
      <c r="B3739" s="326" t="s">
        <v>31538</v>
      </c>
      <c r="C3739" s="327">
        <v>129498</v>
      </c>
      <c r="D3739" s="391" t="s">
        <v>15745</v>
      </c>
      <c r="E3739" s="328">
        <v>1648.96</v>
      </c>
      <c r="F3739" s="329">
        <v>43008</v>
      </c>
      <c r="G3739" s="328">
        <v>1648.96</v>
      </c>
      <c r="H3739" s="347">
        <f t="shared" si="54"/>
        <v>0</v>
      </c>
      <c r="I3739" s="331" t="s">
        <v>15214</v>
      </c>
    </row>
    <row r="3740" spans="1:9" x14ac:dyDescent="0.25">
      <c r="A3740" s="319">
        <v>43008</v>
      </c>
      <c r="B3740" s="320" t="s">
        <v>31539</v>
      </c>
      <c r="C3740" s="321">
        <v>129499</v>
      </c>
      <c r="D3740" s="390" t="s">
        <v>15499</v>
      </c>
      <c r="E3740" s="322">
        <v>10152.4</v>
      </c>
      <c r="F3740" s="323">
        <v>43008</v>
      </c>
      <c r="G3740" s="322">
        <v>10152.4</v>
      </c>
      <c r="H3740" s="322">
        <f t="shared" si="54"/>
        <v>0</v>
      </c>
      <c r="I3740" s="325" t="s">
        <v>15214</v>
      </c>
    </row>
    <row r="3741" spans="1:9" x14ac:dyDescent="0.25">
      <c r="A3741" s="359">
        <v>43008</v>
      </c>
      <c r="B3741" s="326" t="s">
        <v>31540</v>
      </c>
      <c r="C3741" s="327">
        <v>129500</v>
      </c>
      <c r="D3741" s="391" t="s">
        <v>15530</v>
      </c>
      <c r="E3741" s="328">
        <v>3003.9</v>
      </c>
      <c r="F3741" s="329">
        <v>43008</v>
      </c>
      <c r="G3741" s="328">
        <v>3003.9</v>
      </c>
      <c r="H3741" s="347">
        <f t="shared" si="54"/>
        <v>0</v>
      </c>
      <c r="I3741" s="331" t="s">
        <v>15214</v>
      </c>
    </row>
    <row r="3742" spans="1:9" x14ac:dyDescent="0.25">
      <c r="A3742" s="319">
        <v>43008</v>
      </c>
      <c r="B3742" s="320" t="s">
        <v>31541</v>
      </c>
      <c r="C3742" s="321">
        <v>129501</v>
      </c>
      <c r="D3742" s="390" t="s">
        <v>15309</v>
      </c>
      <c r="E3742" s="322">
        <v>1825.2</v>
      </c>
      <c r="F3742" s="323">
        <v>43008</v>
      </c>
      <c r="G3742" s="322">
        <v>1825.2</v>
      </c>
      <c r="H3742" s="322">
        <f t="shared" si="54"/>
        <v>0</v>
      </c>
      <c r="I3742" s="325" t="s">
        <v>15214</v>
      </c>
    </row>
    <row r="3743" spans="1:9" x14ac:dyDescent="0.25">
      <c r="A3743" s="359">
        <v>43008</v>
      </c>
      <c r="B3743" s="326" t="s">
        <v>31542</v>
      </c>
      <c r="C3743" s="327">
        <v>129502</v>
      </c>
      <c r="D3743" s="391" t="s">
        <v>17800</v>
      </c>
      <c r="E3743" s="328">
        <v>4170.6000000000004</v>
      </c>
      <c r="F3743" s="329">
        <v>43008</v>
      </c>
      <c r="G3743" s="328">
        <v>4170.6000000000004</v>
      </c>
      <c r="H3743" s="347">
        <f t="shared" si="54"/>
        <v>0</v>
      </c>
      <c r="I3743" s="331" t="s">
        <v>15214</v>
      </c>
    </row>
    <row r="3744" spans="1:9" x14ac:dyDescent="0.25">
      <c r="A3744" s="319">
        <v>43008</v>
      </c>
      <c r="B3744" s="320" t="s">
        <v>31543</v>
      </c>
      <c r="C3744" s="321">
        <v>129503</v>
      </c>
      <c r="D3744" s="390" t="s">
        <v>15596</v>
      </c>
      <c r="E3744" s="322">
        <v>1290</v>
      </c>
      <c r="F3744" s="323">
        <v>43008</v>
      </c>
      <c r="G3744" s="322">
        <v>1290</v>
      </c>
      <c r="H3744" s="322">
        <f t="shared" si="54"/>
        <v>0</v>
      </c>
      <c r="I3744" s="325" t="s">
        <v>15214</v>
      </c>
    </row>
    <row r="3745" spans="1:9" x14ac:dyDescent="0.25">
      <c r="A3745" s="359">
        <v>43008</v>
      </c>
      <c r="B3745" s="326" t="s">
        <v>31544</v>
      </c>
      <c r="C3745" s="327">
        <v>129504</v>
      </c>
      <c r="D3745" s="391" t="s">
        <v>15748</v>
      </c>
      <c r="E3745" s="328">
        <v>1673.52</v>
      </c>
      <c r="F3745" s="329">
        <v>43008</v>
      </c>
      <c r="G3745" s="328">
        <v>1673.52</v>
      </c>
      <c r="H3745" s="347">
        <f t="shared" si="54"/>
        <v>0</v>
      </c>
      <c r="I3745" s="331" t="s">
        <v>15214</v>
      </c>
    </row>
    <row r="3746" spans="1:9" x14ac:dyDescent="0.25">
      <c r="A3746" s="319">
        <v>43008</v>
      </c>
      <c r="B3746" s="320" t="s">
        <v>31545</v>
      </c>
      <c r="C3746" s="321">
        <v>129505</v>
      </c>
      <c r="D3746" s="390" t="s">
        <v>15307</v>
      </c>
      <c r="E3746" s="322">
        <v>2412.8000000000002</v>
      </c>
      <c r="F3746" s="323">
        <v>43008</v>
      </c>
      <c r="G3746" s="322">
        <v>2412.8000000000002</v>
      </c>
      <c r="H3746" s="322">
        <f t="shared" si="54"/>
        <v>0</v>
      </c>
      <c r="I3746" s="325" t="s">
        <v>15214</v>
      </c>
    </row>
    <row r="3747" spans="1:9" x14ac:dyDescent="0.25">
      <c r="A3747" s="359">
        <v>43008</v>
      </c>
      <c r="B3747" s="326" t="s">
        <v>31546</v>
      </c>
      <c r="C3747" s="327">
        <v>129506</v>
      </c>
      <c r="D3747" s="391" t="s">
        <v>16108</v>
      </c>
      <c r="E3747" s="328">
        <v>1814.3</v>
      </c>
      <c r="F3747" s="329">
        <v>43008</v>
      </c>
      <c r="G3747" s="328">
        <v>1814.3</v>
      </c>
      <c r="H3747" s="347">
        <f t="shared" si="54"/>
        <v>0</v>
      </c>
      <c r="I3747" s="331" t="s">
        <v>15214</v>
      </c>
    </row>
    <row r="3748" spans="1:9" x14ac:dyDescent="0.25">
      <c r="A3748" s="319">
        <v>43008</v>
      </c>
      <c r="B3748" s="320" t="s">
        <v>31547</v>
      </c>
      <c r="C3748" s="321">
        <v>129507</v>
      </c>
      <c r="D3748" s="390" t="s">
        <v>15291</v>
      </c>
      <c r="E3748" s="322">
        <v>860</v>
      </c>
      <c r="F3748" s="323">
        <v>43008</v>
      </c>
      <c r="G3748" s="322">
        <v>860</v>
      </c>
      <c r="H3748" s="322">
        <f t="shared" si="54"/>
        <v>0</v>
      </c>
      <c r="I3748" s="325" t="s">
        <v>15214</v>
      </c>
    </row>
    <row r="3749" spans="1:9" x14ac:dyDescent="0.25">
      <c r="A3749" s="359">
        <v>43008</v>
      </c>
      <c r="B3749" s="326" t="s">
        <v>31548</v>
      </c>
      <c r="C3749" s="327">
        <v>129508</v>
      </c>
      <c r="D3749" s="391" t="s">
        <v>15313</v>
      </c>
      <c r="E3749" s="328">
        <v>15409</v>
      </c>
      <c r="F3749" s="329">
        <v>43008</v>
      </c>
      <c r="G3749" s="328">
        <v>15409</v>
      </c>
      <c r="H3749" s="347">
        <f t="shared" si="54"/>
        <v>0</v>
      </c>
      <c r="I3749" s="331" t="s">
        <v>15214</v>
      </c>
    </row>
    <row r="3750" spans="1:9" x14ac:dyDescent="0.25">
      <c r="A3750" s="319">
        <v>43008</v>
      </c>
      <c r="B3750" s="320" t="s">
        <v>31549</v>
      </c>
      <c r="C3750" s="321">
        <v>129509</v>
      </c>
      <c r="D3750" s="390" t="s">
        <v>23937</v>
      </c>
      <c r="E3750" s="322">
        <v>3355.8</v>
      </c>
      <c r="F3750" s="323">
        <v>43008</v>
      </c>
      <c r="G3750" s="322">
        <v>3355.8</v>
      </c>
      <c r="H3750" s="322">
        <f t="shared" si="54"/>
        <v>0</v>
      </c>
      <c r="I3750" s="325" t="s">
        <v>15214</v>
      </c>
    </row>
    <row r="3751" spans="1:9" x14ac:dyDescent="0.25">
      <c r="A3751" s="359">
        <v>43008</v>
      </c>
      <c r="B3751" s="326" t="s">
        <v>31550</v>
      </c>
      <c r="C3751" s="327">
        <v>129510</v>
      </c>
      <c r="D3751" s="391" t="s">
        <v>15549</v>
      </c>
      <c r="E3751" s="328">
        <v>8888.2000000000007</v>
      </c>
      <c r="F3751" s="329">
        <v>43008</v>
      </c>
      <c r="G3751" s="328">
        <v>8888.2000000000007</v>
      </c>
      <c r="H3751" s="347">
        <f t="shared" si="54"/>
        <v>0</v>
      </c>
      <c r="I3751" s="331" t="s">
        <v>15214</v>
      </c>
    </row>
    <row r="3752" spans="1:9" x14ac:dyDescent="0.25">
      <c r="A3752" s="319">
        <v>43008</v>
      </c>
      <c r="B3752" s="320" t="s">
        <v>31551</v>
      </c>
      <c r="C3752" s="321">
        <v>129511</v>
      </c>
      <c r="D3752" s="390" t="s">
        <v>15252</v>
      </c>
      <c r="E3752" s="322">
        <v>8142.3</v>
      </c>
      <c r="F3752" s="323">
        <v>43010</v>
      </c>
      <c r="G3752" s="322">
        <v>8142.3</v>
      </c>
      <c r="H3752" s="322">
        <f t="shared" si="54"/>
        <v>0</v>
      </c>
      <c r="I3752" s="325" t="s">
        <v>15214</v>
      </c>
    </row>
    <row r="3753" spans="1:9" x14ac:dyDescent="0.25">
      <c r="A3753" s="359">
        <v>43008</v>
      </c>
      <c r="B3753" s="326" t="s">
        <v>31552</v>
      </c>
      <c r="C3753" s="327">
        <v>129512</v>
      </c>
      <c r="D3753" s="391" t="s">
        <v>15254</v>
      </c>
      <c r="E3753" s="328">
        <v>2377.6</v>
      </c>
      <c r="F3753" s="329">
        <v>43011</v>
      </c>
      <c r="G3753" s="328">
        <v>2377.6</v>
      </c>
      <c r="H3753" s="347">
        <f t="shared" si="54"/>
        <v>0</v>
      </c>
      <c r="I3753" s="331" t="s">
        <v>15214</v>
      </c>
    </row>
    <row r="3754" spans="1:9" x14ac:dyDescent="0.25">
      <c r="A3754" s="319">
        <v>43008</v>
      </c>
      <c r="B3754" s="320" t="s">
        <v>31553</v>
      </c>
      <c r="C3754" s="321">
        <v>129513</v>
      </c>
      <c r="D3754" s="390" t="s">
        <v>15244</v>
      </c>
      <c r="E3754" s="322">
        <v>9574.6</v>
      </c>
      <c r="F3754" s="323">
        <v>43010</v>
      </c>
      <c r="G3754" s="322">
        <v>9574.6</v>
      </c>
      <c r="H3754" s="322">
        <f t="shared" si="54"/>
        <v>0</v>
      </c>
      <c r="I3754" s="325" t="s">
        <v>15214</v>
      </c>
    </row>
    <row r="3755" spans="1:9" x14ac:dyDescent="0.25">
      <c r="A3755" s="359">
        <v>43008</v>
      </c>
      <c r="B3755" s="326" t="s">
        <v>31554</v>
      </c>
      <c r="C3755" s="327">
        <v>129514</v>
      </c>
      <c r="D3755" s="391" t="s">
        <v>15549</v>
      </c>
      <c r="E3755" s="328">
        <v>616</v>
      </c>
      <c r="F3755" s="329">
        <v>43008</v>
      </c>
      <c r="G3755" s="328">
        <v>616</v>
      </c>
      <c r="H3755" s="347">
        <f t="shared" si="54"/>
        <v>0</v>
      </c>
      <c r="I3755" s="331" t="s">
        <v>15214</v>
      </c>
    </row>
    <row r="3756" spans="1:9" x14ac:dyDescent="0.25">
      <c r="A3756" s="319">
        <v>43008</v>
      </c>
      <c r="B3756" s="320" t="s">
        <v>31555</v>
      </c>
      <c r="C3756" s="321">
        <v>129515</v>
      </c>
      <c r="D3756" s="390" t="s">
        <v>15396</v>
      </c>
      <c r="E3756" s="322">
        <v>6266.4</v>
      </c>
      <c r="F3756" s="323">
        <v>43008</v>
      </c>
      <c r="G3756" s="322">
        <v>6266.4</v>
      </c>
      <c r="H3756" s="322">
        <f t="shared" si="54"/>
        <v>0</v>
      </c>
      <c r="I3756" s="325" t="s">
        <v>15214</v>
      </c>
    </row>
    <row r="3757" spans="1:9" x14ac:dyDescent="0.25">
      <c r="A3757" s="359">
        <v>43008</v>
      </c>
      <c r="B3757" s="326" t="s">
        <v>31556</v>
      </c>
      <c r="C3757" s="327">
        <v>129516</v>
      </c>
      <c r="D3757" s="391" t="s">
        <v>15284</v>
      </c>
      <c r="E3757" s="328">
        <v>684</v>
      </c>
      <c r="F3757" s="329">
        <v>43008</v>
      </c>
      <c r="G3757" s="328">
        <v>684</v>
      </c>
      <c r="H3757" s="347">
        <f t="shared" si="54"/>
        <v>0</v>
      </c>
      <c r="I3757" s="331" t="s">
        <v>15214</v>
      </c>
    </row>
    <row r="3758" spans="1:9" x14ac:dyDescent="0.25">
      <c r="A3758" s="319">
        <v>43008</v>
      </c>
      <c r="B3758" s="320" t="s">
        <v>31557</v>
      </c>
      <c r="C3758" s="321">
        <v>129517</v>
      </c>
      <c r="D3758" s="390" t="s">
        <v>15555</v>
      </c>
      <c r="E3758" s="322">
        <v>30761.45</v>
      </c>
      <c r="F3758" s="323">
        <v>43010</v>
      </c>
      <c r="G3758" s="322">
        <v>30761.45</v>
      </c>
      <c r="H3758" s="322">
        <f t="shared" si="54"/>
        <v>0</v>
      </c>
      <c r="I3758" s="325" t="s">
        <v>15214</v>
      </c>
    </row>
    <row r="3759" spans="1:9" x14ac:dyDescent="0.25">
      <c r="A3759" s="359">
        <v>43008</v>
      </c>
      <c r="B3759" s="326" t="s">
        <v>31558</v>
      </c>
      <c r="C3759" s="327">
        <v>129518</v>
      </c>
      <c r="D3759" s="391" t="s">
        <v>15699</v>
      </c>
      <c r="E3759" s="328">
        <v>1640.7</v>
      </c>
      <c r="F3759" s="329">
        <v>43010</v>
      </c>
      <c r="G3759" s="328">
        <v>1640.7</v>
      </c>
      <c r="H3759" s="347">
        <f t="shared" si="54"/>
        <v>0</v>
      </c>
      <c r="I3759" s="331" t="s">
        <v>15214</v>
      </c>
    </row>
    <row r="3760" spans="1:9" x14ac:dyDescent="0.25">
      <c r="A3760" s="319">
        <v>43008</v>
      </c>
      <c r="B3760" s="320" t="s">
        <v>31559</v>
      </c>
      <c r="C3760" s="321">
        <v>129519</v>
      </c>
      <c r="D3760" s="390" t="s">
        <v>15559</v>
      </c>
      <c r="E3760" s="322">
        <v>7565.6</v>
      </c>
      <c r="F3760" s="323">
        <v>43010</v>
      </c>
      <c r="G3760" s="322">
        <v>7565.6</v>
      </c>
      <c r="H3760" s="322">
        <f t="shared" si="54"/>
        <v>0</v>
      </c>
      <c r="I3760" s="325" t="s">
        <v>15214</v>
      </c>
    </row>
    <row r="3761" spans="1:9" x14ac:dyDescent="0.25">
      <c r="A3761" s="359">
        <v>43008</v>
      </c>
      <c r="B3761" s="326" t="s">
        <v>31560</v>
      </c>
      <c r="C3761" s="327">
        <v>129520</v>
      </c>
      <c r="D3761" s="391" t="s">
        <v>15315</v>
      </c>
      <c r="E3761" s="328">
        <v>506.8</v>
      </c>
      <c r="F3761" s="329">
        <v>43008</v>
      </c>
      <c r="G3761" s="328">
        <v>506.8</v>
      </c>
      <c r="H3761" s="347">
        <f t="shared" ref="H3761:H3805" si="55">E3761-G3761</f>
        <v>0</v>
      </c>
      <c r="I3761" s="331" t="s">
        <v>15214</v>
      </c>
    </row>
    <row r="3762" spans="1:9" x14ac:dyDescent="0.25">
      <c r="A3762" s="319">
        <v>43008</v>
      </c>
      <c r="B3762" s="320" t="s">
        <v>31561</v>
      </c>
      <c r="C3762" s="321">
        <v>129521</v>
      </c>
      <c r="D3762" s="390" t="s">
        <v>15398</v>
      </c>
      <c r="E3762" s="322">
        <v>2876</v>
      </c>
      <c r="F3762" s="323">
        <v>43008</v>
      </c>
      <c r="G3762" s="322">
        <v>2876</v>
      </c>
      <c r="H3762" s="322">
        <f t="shared" si="55"/>
        <v>0</v>
      </c>
      <c r="I3762" s="325" t="s">
        <v>15214</v>
      </c>
    </row>
    <row r="3763" spans="1:9" x14ac:dyDescent="0.25">
      <c r="A3763" s="359">
        <v>43008</v>
      </c>
      <c r="B3763" s="326" t="s">
        <v>31562</v>
      </c>
      <c r="C3763" s="327">
        <v>129522</v>
      </c>
      <c r="D3763" s="391" t="s">
        <v>15539</v>
      </c>
      <c r="E3763" s="328">
        <v>13224.8</v>
      </c>
      <c r="F3763" s="329">
        <v>43010</v>
      </c>
      <c r="G3763" s="328">
        <v>13224.8</v>
      </c>
      <c r="H3763" s="347">
        <f t="shared" si="55"/>
        <v>0</v>
      </c>
      <c r="I3763" s="331" t="s">
        <v>15214</v>
      </c>
    </row>
    <row r="3764" spans="1:9" x14ac:dyDescent="0.25">
      <c r="A3764" s="319">
        <v>43008</v>
      </c>
      <c r="B3764" s="320" t="s">
        <v>31563</v>
      </c>
      <c r="C3764" s="321">
        <v>129523</v>
      </c>
      <c r="D3764" s="390" t="s">
        <v>15699</v>
      </c>
      <c r="E3764" s="322">
        <v>547.6</v>
      </c>
      <c r="F3764" s="323">
        <v>43010</v>
      </c>
      <c r="G3764" s="322">
        <v>547.6</v>
      </c>
      <c r="H3764" s="322">
        <f t="shared" si="55"/>
        <v>0</v>
      </c>
      <c r="I3764" s="325" t="s">
        <v>15214</v>
      </c>
    </row>
    <row r="3765" spans="1:9" x14ac:dyDescent="0.25">
      <c r="A3765" s="359">
        <v>43008</v>
      </c>
      <c r="B3765" s="326" t="s">
        <v>31564</v>
      </c>
      <c r="C3765" s="327">
        <v>129524</v>
      </c>
      <c r="D3765" s="391" t="s">
        <v>15537</v>
      </c>
      <c r="E3765" s="328">
        <v>18459</v>
      </c>
      <c r="F3765" s="329">
        <v>43010</v>
      </c>
      <c r="G3765" s="328">
        <v>18459</v>
      </c>
      <c r="H3765" s="347">
        <f t="shared" si="55"/>
        <v>0</v>
      </c>
      <c r="I3765" s="331" t="s">
        <v>15214</v>
      </c>
    </row>
    <row r="3766" spans="1:9" x14ac:dyDescent="0.25">
      <c r="A3766" s="319">
        <v>43008</v>
      </c>
      <c r="B3766" s="320" t="s">
        <v>31565</v>
      </c>
      <c r="C3766" s="321">
        <v>129525</v>
      </c>
      <c r="D3766" s="390" t="s">
        <v>15566</v>
      </c>
      <c r="E3766" s="322">
        <v>3667.3</v>
      </c>
      <c r="F3766" s="323">
        <v>43008</v>
      </c>
      <c r="G3766" s="322">
        <v>3667.3</v>
      </c>
      <c r="H3766" s="322">
        <f t="shared" si="55"/>
        <v>0</v>
      </c>
      <c r="I3766" s="325" t="s">
        <v>15214</v>
      </c>
    </row>
    <row r="3767" spans="1:9" x14ac:dyDescent="0.25">
      <c r="A3767" s="359">
        <v>43008</v>
      </c>
      <c r="B3767" s="326" t="s">
        <v>31566</v>
      </c>
      <c r="C3767" s="327">
        <v>129526</v>
      </c>
      <c r="D3767" s="391" t="s">
        <v>15282</v>
      </c>
      <c r="E3767" s="328">
        <v>3221</v>
      </c>
      <c r="F3767" s="329">
        <v>43008</v>
      </c>
      <c r="G3767" s="328">
        <v>3221</v>
      </c>
      <c r="H3767" s="347">
        <f t="shared" si="55"/>
        <v>0</v>
      </c>
      <c r="I3767" s="331" t="s">
        <v>15214</v>
      </c>
    </row>
    <row r="3768" spans="1:9" x14ac:dyDescent="0.25">
      <c r="A3768" s="319">
        <v>43008</v>
      </c>
      <c r="B3768" s="320" t="s">
        <v>31567</v>
      </c>
      <c r="C3768" s="321">
        <v>129527</v>
      </c>
      <c r="D3768" s="390" t="s">
        <v>15699</v>
      </c>
      <c r="E3768" s="322">
        <v>6163.5</v>
      </c>
      <c r="F3768" s="323">
        <v>43010</v>
      </c>
      <c r="G3768" s="322">
        <v>6163.5</v>
      </c>
      <c r="H3768" s="322">
        <f t="shared" si="55"/>
        <v>0</v>
      </c>
      <c r="I3768" s="325" t="s">
        <v>15214</v>
      </c>
    </row>
    <row r="3769" spans="1:9" x14ac:dyDescent="0.25">
      <c r="A3769" s="359">
        <v>43008</v>
      </c>
      <c r="B3769" s="326" t="s">
        <v>31568</v>
      </c>
      <c r="C3769" s="327">
        <v>129528</v>
      </c>
      <c r="D3769" s="391" t="s">
        <v>15987</v>
      </c>
      <c r="E3769" s="328">
        <v>3050.4</v>
      </c>
      <c r="F3769" s="329">
        <v>43008</v>
      </c>
      <c r="G3769" s="328">
        <v>3050.4</v>
      </c>
      <c r="H3769" s="347">
        <f t="shared" si="55"/>
        <v>0</v>
      </c>
      <c r="I3769" s="331" t="s">
        <v>15214</v>
      </c>
    </row>
    <row r="3770" spans="1:9" x14ac:dyDescent="0.25">
      <c r="A3770" s="319">
        <v>43008</v>
      </c>
      <c r="B3770" s="320" t="s">
        <v>31569</v>
      </c>
      <c r="C3770" s="321">
        <v>129529</v>
      </c>
      <c r="D3770" s="390" t="s">
        <v>15566</v>
      </c>
      <c r="E3770" s="322">
        <v>4342.3999999999996</v>
      </c>
      <c r="F3770" s="323">
        <v>43008</v>
      </c>
      <c r="G3770" s="322">
        <v>4342.3999999999996</v>
      </c>
      <c r="H3770" s="322">
        <f t="shared" si="55"/>
        <v>0</v>
      </c>
      <c r="I3770" s="325" t="s">
        <v>15214</v>
      </c>
    </row>
    <row r="3771" spans="1:9" x14ac:dyDescent="0.25">
      <c r="A3771" s="359">
        <v>43008</v>
      </c>
      <c r="B3771" s="326" t="s">
        <v>31570</v>
      </c>
      <c r="C3771" s="327">
        <v>129530</v>
      </c>
      <c r="D3771" s="391" t="s">
        <v>15725</v>
      </c>
      <c r="E3771" s="328">
        <v>26824.6</v>
      </c>
      <c r="F3771" s="329">
        <v>43008</v>
      </c>
      <c r="G3771" s="328">
        <v>26824.6</v>
      </c>
      <c r="H3771" s="347">
        <f t="shared" si="55"/>
        <v>0</v>
      </c>
      <c r="I3771" s="331" t="s">
        <v>15214</v>
      </c>
    </row>
    <row r="3772" spans="1:9" ht="15.75" x14ac:dyDescent="0.25">
      <c r="A3772" s="319">
        <v>43008</v>
      </c>
      <c r="B3772" s="320" t="s">
        <v>31571</v>
      </c>
      <c r="C3772" s="321">
        <v>129531</v>
      </c>
      <c r="D3772" s="332" t="s">
        <v>95</v>
      </c>
      <c r="E3772" s="322">
        <v>0</v>
      </c>
      <c r="F3772" s="333" t="s">
        <v>95</v>
      </c>
      <c r="G3772" s="322">
        <v>0</v>
      </c>
      <c r="H3772" s="322">
        <f t="shared" si="55"/>
        <v>0</v>
      </c>
      <c r="I3772" s="325" t="s">
        <v>95</v>
      </c>
    </row>
    <row r="3773" spans="1:9" x14ac:dyDescent="0.25">
      <c r="A3773" s="359">
        <v>43008</v>
      </c>
      <c r="B3773" s="326" t="s">
        <v>31572</v>
      </c>
      <c r="C3773" s="327">
        <v>129532</v>
      </c>
      <c r="D3773" s="391" t="s">
        <v>15391</v>
      </c>
      <c r="E3773" s="328">
        <v>12344.2</v>
      </c>
      <c r="F3773" s="329">
        <v>43010</v>
      </c>
      <c r="G3773" s="328">
        <v>12344.2</v>
      </c>
      <c r="H3773" s="347">
        <f t="shared" si="55"/>
        <v>0</v>
      </c>
      <c r="I3773" s="331" t="s">
        <v>15214</v>
      </c>
    </row>
    <row r="3774" spans="1:9" ht="30" x14ac:dyDescent="0.25">
      <c r="A3774" s="319">
        <v>43008</v>
      </c>
      <c r="B3774" s="320" t="s">
        <v>31573</v>
      </c>
      <c r="C3774" s="321">
        <v>129533</v>
      </c>
      <c r="D3774" s="390" t="s">
        <v>15716</v>
      </c>
      <c r="E3774" s="322">
        <v>15658.5</v>
      </c>
      <c r="F3774" s="323" t="s">
        <v>31614</v>
      </c>
      <c r="G3774" s="334">
        <f>15300+358.5</f>
        <v>15658.5</v>
      </c>
      <c r="H3774" s="334">
        <f t="shared" si="55"/>
        <v>0</v>
      </c>
      <c r="I3774" s="325" t="s">
        <v>15214</v>
      </c>
    </row>
    <row r="3775" spans="1:9" x14ac:dyDescent="0.25">
      <c r="A3775" s="359">
        <v>43008</v>
      </c>
      <c r="B3775" s="326" t="s">
        <v>31574</v>
      </c>
      <c r="C3775" s="327">
        <v>129534</v>
      </c>
      <c r="D3775" s="391" t="s">
        <v>19964</v>
      </c>
      <c r="E3775" s="328">
        <v>616</v>
      </c>
      <c r="F3775" s="329">
        <v>43008</v>
      </c>
      <c r="G3775" s="328">
        <v>616</v>
      </c>
      <c r="H3775" s="347">
        <f t="shared" si="55"/>
        <v>0</v>
      </c>
      <c r="I3775" s="331" t="s">
        <v>15214</v>
      </c>
    </row>
    <row r="3776" spans="1:9" x14ac:dyDescent="0.25">
      <c r="A3776" s="319">
        <v>43008</v>
      </c>
      <c r="B3776" s="320" t="s">
        <v>31575</v>
      </c>
      <c r="C3776" s="321">
        <v>129535</v>
      </c>
      <c r="D3776" s="390" t="s">
        <v>15276</v>
      </c>
      <c r="E3776" s="322">
        <v>3440</v>
      </c>
      <c r="F3776" s="363">
        <v>43009</v>
      </c>
      <c r="G3776" s="155">
        <v>3440</v>
      </c>
      <c r="H3776" s="322">
        <f t="shared" si="55"/>
        <v>0</v>
      </c>
      <c r="I3776" s="325" t="s">
        <v>15214</v>
      </c>
    </row>
    <row r="3777" spans="1:9" x14ac:dyDescent="0.25">
      <c r="A3777" s="359">
        <v>43008</v>
      </c>
      <c r="B3777" s="326" t="s">
        <v>31576</v>
      </c>
      <c r="C3777" s="327">
        <v>129536</v>
      </c>
      <c r="D3777" s="391" t="s">
        <v>19964</v>
      </c>
      <c r="E3777" s="328">
        <v>686</v>
      </c>
      <c r="F3777" s="329">
        <v>43008</v>
      </c>
      <c r="G3777" s="328">
        <v>686</v>
      </c>
      <c r="H3777" s="347">
        <f t="shared" si="55"/>
        <v>0</v>
      </c>
      <c r="I3777" s="331" t="s">
        <v>15214</v>
      </c>
    </row>
    <row r="3778" spans="1:9" x14ac:dyDescent="0.25">
      <c r="A3778" s="319">
        <v>43008</v>
      </c>
      <c r="B3778" s="320" t="s">
        <v>31577</v>
      </c>
      <c r="C3778" s="321">
        <v>129537</v>
      </c>
      <c r="D3778" s="390" t="s">
        <v>15315</v>
      </c>
      <c r="E3778" s="322">
        <v>1449.4</v>
      </c>
      <c r="F3778" s="323">
        <v>43008</v>
      </c>
      <c r="G3778" s="322">
        <v>1449.4</v>
      </c>
      <c r="H3778" s="322">
        <f t="shared" si="55"/>
        <v>0</v>
      </c>
      <c r="I3778" s="325" t="s">
        <v>15214</v>
      </c>
    </row>
    <row r="3779" spans="1:9" x14ac:dyDescent="0.25">
      <c r="A3779" s="359">
        <v>43008</v>
      </c>
      <c r="B3779" s="326" t="s">
        <v>31578</v>
      </c>
      <c r="C3779" s="327">
        <v>129538</v>
      </c>
      <c r="D3779" s="391" t="s">
        <v>15417</v>
      </c>
      <c r="E3779" s="328">
        <v>3670.8</v>
      </c>
      <c r="F3779" s="361">
        <v>43009</v>
      </c>
      <c r="G3779" s="362">
        <v>3670.8</v>
      </c>
      <c r="H3779" s="347">
        <f t="shared" si="55"/>
        <v>0</v>
      </c>
      <c r="I3779" s="331" t="s">
        <v>15214</v>
      </c>
    </row>
    <row r="3780" spans="1:9" x14ac:dyDescent="0.25">
      <c r="A3780" s="319">
        <v>43008</v>
      </c>
      <c r="B3780" s="320" t="s">
        <v>31579</v>
      </c>
      <c r="C3780" s="321">
        <v>129539</v>
      </c>
      <c r="D3780" s="390" t="s">
        <v>15920</v>
      </c>
      <c r="E3780" s="322">
        <v>22941.200000000001</v>
      </c>
      <c r="F3780" s="363">
        <v>43009</v>
      </c>
      <c r="G3780" s="155">
        <v>22941.200000000001</v>
      </c>
      <c r="H3780" s="322">
        <f t="shared" si="55"/>
        <v>0</v>
      </c>
      <c r="I3780" s="325" t="s">
        <v>15214</v>
      </c>
    </row>
    <row r="3781" spans="1:9" x14ac:dyDescent="0.25">
      <c r="A3781" s="359">
        <v>43008</v>
      </c>
      <c r="B3781" s="326" t="s">
        <v>31580</v>
      </c>
      <c r="C3781" s="327">
        <v>129540</v>
      </c>
      <c r="D3781" s="391" t="s">
        <v>15600</v>
      </c>
      <c r="E3781" s="328">
        <v>3221.4</v>
      </c>
      <c r="F3781" s="361">
        <v>43009</v>
      </c>
      <c r="G3781" s="362">
        <v>3221.4</v>
      </c>
      <c r="H3781" s="347">
        <f t="shared" si="55"/>
        <v>0</v>
      </c>
      <c r="I3781" s="331" t="s">
        <v>15214</v>
      </c>
    </row>
    <row r="3782" spans="1:9" x14ac:dyDescent="0.25">
      <c r="A3782" s="319">
        <v>43008</v>
      </c>
      <c r="B3782" s="320" t="s">
        <v>31581</v>
      </c>
      <c r="C3782" s="321">
        <v>129541</v>
      </c>
      <c r="D3782" s="390" t="s">
        <v>15315</v>
      </c>
      <c r="E3782" s="322">
        <v>14567.3</v>
      </c>
      <c r="F3782" s="323">
        <v>43008</v>
      </c>
      <c r="G3782" s="322">
        <v>14567.3</v>
      </c>
      <c r="H3782" s="322">
        <f t="shared" si="55"/>
        <v>0</v>
      </c>
      <c r="I3782" s="325" t="s">
        <v>15214</v>
      </c>
    </row>
    <row r="3783" spans="1:9" x14ac:dyDescent="0.25">
      <c r="A3783" s="359">
        <v>43008</v>
      </c>
      <c r="B3783" s="326" t="s">
        <v>31582</v>
      </c>
      <c r="C3783" s="327">
        <v>129542</v>
      </c>
      <c r="D3783" s="391" t="s">
        <v>15246</v>
      </c>
      <c r="E3783" s="328">
        <v>128474.08</v>
      </c>
      <c r="F3783" s="329">
        <v>43010</v>
      </c>
      <c r="G3783" s="328">
        <v>128474.08</v>
      </c>
      <c r="H3783" s="347">
        <f t="shared" si="55"/>
        <v>0</v>
      </c>
      <c r="I3783" s="331" t="s">
        <v>15214</v>
      </c>
    </row>
    <row r="3784" spans="1:9" x14ac:dyDescent="0.25">
      <c r="A3784" s="319">
        <v>43008</v>
      </c>
      <c r="B3784" s="320" t="s">
        <v>31583</v>
      </c>
      <c r="C3784" s="321">
        <v>129543</v>
      </c>
      <c r="D3784" s="390" t="s">
        <v>17462</v>
      </c>
      <c r="E3784" s="322">
        <v>2750.3</v>
      </c>
      <c r="F3784" s="323">
        <v>43008</v>
      </c>
      <c r="G3784" s="322">
        <v>2750.3</v>
      </c>
      <c r="H3784" s="322">
        <f t="shared" si="55"/>
        <v>0</v>
      </c>
      <c r="I3784" s="325" t="s">
        <v>15214</v>
      </c>
    </row>
    <row r="3785" spans="1:9" ht="30" x14ac:dyDescent="0.25">
      <c r="A3785" s="359">
        <v>43008</v>
      </c>
      <c r="B3785" s="326" t="s">
        <v>31584</v>
      </c>
      <c r="C3785" s="327">
        <v>129544</v>
      </c>
      <c r="D3785" s="391" t="s">
        <v>15246</v>
      </c>
      <c r="E3785" s="328">
        <v>228287.5</v>
      </c>
      <c r="F3785" s="361" t="s">
        <v>31612</v>
      </c>
      <c r="G3785" s="362">
        <f>51942.39+176345.11</f>
        <v>228287.5</v>
      </c>
      <c r="H3785" s="347">
        <f t="shared" si="55"/>
        <v>0</v>
      </c>
      <c r="I3785" s="331" t="s">
        <v>15214</v>
      </c>
    </row>
    <row r="3786" spans="1:9" x14ac:dyDescent="0.25">
      <c r="A3786" s="319">
        <v>43008</v>
      </c>
      <c r="B3786" s="320" t="s">
        <v>31585</v>
      </c>
      <c r="C3786" s="321">
        <v>129545</v>
      </c>
      <c r="D3786" s="390" t="s">
        <v>15568</v>
      </c>
      <c r="E3786" s="322">
        <v>677</v>
      </c>
      <c r="F3786" s="323">
        <v>43012</v>
      </c>
      <c r="G3786" s="322">
        <v>677</v>
      </c>
      <c r="H3786" s="322">
        <f t="shared" si="55"/>
        <v>0</v>
      </c>
      <c r="I3786" s="325" t="s">
        <v>15214</v>
      </c>
    </row>
    <row r="3787" spans="1:9" x14ac:dyDescent="0.25">
      <c r="A3787" s="359">
        <v>43008</v>
      </c>
      <c r="B3787" s="326" t="s">
        <v>31586</v>
      </c>
      <c r="C3787" s="327">
        <v>129546</v>
      </c>
      <c r="D3787" s="391" t="s">
        <v>15284</v>
      </c>
      <c r="E3787" s="328">
        <v>616.5</v>
      </c>
      <c r="F3787" s="329">
        <v>43008</v>
      </c>
      <c r="G3787" s="328">
        <v>616.5</v>
      </c>
      <c r="H3787" s="347">
        <f t="shared" si="55"/>
        <v>0</v>
      </c>
      <c r="I3787" s="331" t="s">
        <v>15214</v>
      </c>
    </row>
    <row r="3788" spans="1:9" x14ac:dyDescent="0.25">
      <c r="A3788" s="319">
        <v>43008</v>
      </c>
      <c r="B3788" s="320" t="s">
        <v>31587</v>
      </c>
      <c r="C3788" s="321">
        <v>129547</v>
      </c>
      <c r="D3788" s="390" t="s">
        <v>15246</v>
      </c>
      <c r="E3788" s="322">
        <v>54077.599999999999</v>
      </c>
      <c r="F3788" s="323">
        <v>43010</v>
      </c>
      <c r="G3788" s="322">
        <v>54077.599999999999</v>
      </c>
      <c r="H3788" s="322">
        <f t="shared" si="55"/>
        <v>0</v>
      </c>
      <c r="I3788" s="325" t="s">
        <v>15214</v>
      </c>
    </row>
    <row r="3789" spans="1:9" x14ac:dyDescent="0.25">
      <c r="A3789" s="359">
        <v>43008</v>
      </c>
      <c r="B3789" s="326" t="s">
        <v>31588</v>
      </c>
      <c r="C3789" s="327">
        <v>129548</v>
      </c>
      <c r="D3789" s="391" t="s">
        <v>15818</v>
      </c>
      <c r="E3789" s="328">
        <v>6148</v>
      </c>
      <c r="F3789" s="329">
        <v>43008</v>
      </c>
      <c r="G3789" s="328">
        <v>6148</v>
      </c>
      <c r="H3789" s="347">
        <f t="shared" si="55"/>
        <v>0</v>
      </c>
      <c r="I3789" s="331" t="s">
        <v>15214</v>
      </c>
    </row>
    <row r="3790" spans="1:9" x14ac:dyDescent="0.25">
      <c r="A3790" s="319">
        <v>43008</v>
      </c>
      <c r="B3790" s="320" t="s">
        <v>31589</v>
      </c>
      <c r="C3790" s="321">
        <v>129549</v>
      </c>
      <c r="D3790" s="390" t="s">
        <v>15246</v>
      </c>
      <c r="E3790" s="322">
        <v>30548</v>
      </c>
      <c r="F3790" s="323">
        <v>43010</v>
      </c>
      <c r="G3790" s="322">
        <v>30548</v>
      </c>
      <c r="H3790" s="322">
        <f t="shared" si="55"/>
        <v>0</v>
      </c>
      <c r="I3790" s="325" t="s">
        <v>15214</v>
      </c>
    </row>
    <row r="3791" spans="1:9" x14ac:dyDescent="0.25">
      <c r="A3791" s="359">
        <v>43008</v>
      </c>
      <c r="B3791" s="326" t="s">
        <v>31590</v>
      </c>
      <c r="C3791" s="327">
        <v>129550</v>
      </c>
      <c r="D3791" s="391" t="s">
        <v>15315</v>
      </c>
      <c r="E3791" s="328">
        <v>1474.4</v>
      </c>
      <c r="F3791" s="329">
        <v>43008</v>
      </c>
      <c r="G3791" s="328">
        <v>1474.4</v>
      </c>
      <c r="H3791" s="347">
        <f t="shared" si="55"/>
        <v>0</v>
      </c>
      <c r="I3791" s="331" t="s">
        <v>15214</v>
      </c>
    </row>
    <row r="3792" spans="1:9" x14ac:dyDescent="0.25">
      <c r="A3792" s="319">
        <v>43008</v>
      </c>
      <c r="B3792" s="320" t="s">
        <v>31591</v>
      </c>
      <c r="C3792" s="321">
        <v>129551</v>
      </c>
      <c r="D3792" s="390" t="s">
        <v>15407</v>
      </c>
      <c r="E3792" s="322">
        <v>9477.7000000000007</v>
      </c>
      <c r="F3792" s="323">
        <v>43008</v>
      </c>
      <c r="G3792" s="322">
        <v>9477.7000000000007</v>
      </c>
      <c r="H3792" s="322">
        <f t="shared" si="55"/>
        <v>0</v>
      </c>
      <c r="I3792" s="325" t="s">
        <v>15214</v>
      </c>
    </row>
    <row r="3793" spans="1:9" x14ac:dyDescent="0.25">
      <c r="A3793" s="359">
        <v>43008</v>
      </c>
      <c r="B3793" s="326" t="s">
        <v>31592</v>
      </c>
      <c r="C3793" s="327">
        <v>129552</v>
      </c>
      <c r="D3793" s="391" t="s">
        <v>15624</v>
      </c>
      <c r="E3793" s="328">
        <v>30757.200000000001</v>
      </c>
      <c r="F3793" s="329">
        <v>43011</v>
      </c>
      <c r="G3793" s="328">
        <v>30757.200000000001</v>
      </c>
      <c r="H3793" s="347">
        <f t="shared" si="55"/>
        <v>0</v>
      </c>
      <c r="I3793" s="331" t="s">
        <v>15214</v>
      </c>
    </row>
    <row r="3794" spans="1:9" ht="15.75" x14ac:dyDescent="0.25">
      <c r="A3794" s="319">
        <v>43008</v>
      </c>
      <c r="B3794" s="320" t="s">
        <v>31593</v>
      </c>
      <c r="C3794" s="321">
        <v>129553</v>
      </c>
      <c r="D3794" s="332" t="s">
        <v>95</v>
      </c>
      <c r="E3794" s="322">
        <v>0</v>
      </c>
      <c r="F3794" s="333" t="s">
        <v>95</v>
      </c>
      <c r="G3794" s="322">
        <v>0</v>
      </c>
      <c r="H3794" s="322">
        <f t="shared" si="55"/>
        <v>0</v>
      </c>
      <c r="I3794" s="325" t="s">
        <v>95</v>
      </c>
    </row>
    <row r="3795" spans="1:9" x14ac:dyDescent="0.25">
      <c r="A3795" s="359">
        <v>43008</v>
      </c>
      <c r="B3795" s="326" t="s">
        <v>31594</v>
      </c>
      <c r="C3795" s="327">
        <v>129554</v>
      </c>
      <c r="D3795" s="391" t="s">
        <v>15250</v>
      </c>
      <c r="E3795" s="328">
        <v>67122.399999999994</v>
      </c>
      <c r="F3795" s="329">
        <v>43022</v>
      </c>
      <c r="G3795" s="328">
        <v>67122.399999999994</v>
      </c>
      <c r="H3795" s="347">
        <f t="shared" si="55"/>
        <v>0</v>
      </c>
      <c r="I3795" s="331" t="s">
        <v>15214</v>
      </c>
    </row>
    <row r="3796" spans="1:9" x14ac:dyDescent="0.25">
      <c r="A3796" s="319">
        <v>43008</v>
      </c>
      <c r="B3796" s="320" t="s">
        <v>31595</v>
      </c>
      <c r="C3796" s="321">
        <v>129555</v>
      </c>
      <c r="D3796" s="390" t="s">
        <v>15250</v>
      </c>
      <c r="E3796" s="322">
        <v>90</v>
      </c>
      <c r="F3796" s="323">
        <v>43022</v>
      </c>
      <c r="G3796" s="322">
        <v>90</v>
      </c>
      <c r="H3796" s="322">
        <f t="shared" si="55"/>
        <v>0</v>
      </c>
      <c r="I3796" s="325" t="s">
        <v>15214</v>
      </c>
    </row>
    <row r="3797" spans="1:9" x14ac:dyDescent="0.25">
      <c r="A3797" s="359">
        <v>43008</v>
      </c>
      <c r="B3797" s="326" t="s">
        <v>31596</v>
      </c>
      <c r="C3797" s="327">
        <v>129556</v>
      </c>
      <c r="D3797" s="391" t="s">
        <v>15315</v>
      </c>
      <c r="E3797" s="328">
        <v>956.2</v>
      </c>
      <c r="F3797" s="329">
        <v>43008</v>
      </c>
      <c r="G3797" s="328">
        <v>956.2</v>
      </c>
      <c r="H3797" s="347">
        <f t="shared" si="55"/>
        <v>0</v>
      </c>
      <c r="I3797" s="331" t="s">
        <v>15214</v>
      </c>
    </row>
    <row r="3798" spans="1:9" ht="15.75" x14ac:dyDescent="0.25">
      <c r="A3798" s="319">
        <v>43008</v>
      </c>
      <c r="B3798" s="320" t="s">
        <v>31597</v>
      </c>
      <c r="C3798" s="321">
        <v>129557</v>
      </c>
      <c r="D3798" s="332" t="s">
        <v>95</v>
      </c>
      <c r="E3798" s="322">
        <v>0</v>
      </c>
      <c r="F3798" s="333" t="s">
        <v>95</v>
      </c>
      <c r="G3798" s="322">
        <v>0</v>
      </c>
      <c r="H3798" s="322">
        <f t="shared" si="55"/>
        <v>0</v>
      </c>
      <c r="I3798" s="325" t="s">
        <v>95</v>
      </c>
    </row>
    <row r="3799" spans="1:9" x14ac:dyDescent="0.25">
      <c r="A3799" s="359">
        <v>43008</v>
      </c>
      <c r="B3799" s="326" t="s">
        <v>31598</v>
      </c>
      <c r="C3799" s="327">
        <v>129558</v>
      </c>
      <c r="D3799" s="391" t="s">
        <v>15789</v>
      </c>
      <c r="E3799" s="328">
        <v>27051.200000000001</v>
      </c>
      <c r="F3799" s="329">
        <v>43015</v>
      </c>
      <c r="G3799" s="328">
        <v>27051.200000000001</v>
      </c>
      <c r="H3799" s="347">
        <f t="shared" si="55"/>
        <v>0</v>
      </c>
      <c r="I3799" s="331" t="s">
        <v>15214</v>
      </c>
    </row>
    <row r="3800" spans="1:9" x14ac:dyDescent="0.25">
      <c r="A3800" s="319">
        <v>43008</v>
      </c>
      <c r="B3800" s="320" t="s">
        <v>31599</v>
      </c>
      <c r="C3800" s="321">
        <v>129559</v>
      </c>
      <c r="D3800" s="390" t="s">
        <v>15810</v>
      </c>
      <c r="E3800" s="322">
        <v>329.6</v>
      </c>
      <c r="F3800" s="323">
        <v>43008</v>
      </c>
      <c r="G3800" s="322">
        <v>329.6</v>
      </c>
      <c r="H3800" s="322">
        <f t="shared" si="55"/>
        <v>0</v>
      </c>
      <c r="I3800" s="325" t="s">
        <v>15214</v>
      </c>
    </row>
    <row r="3801" spans="1:9" x14ac:dyDescent="0.25">
      <c r="A3801" s="359">
        <v>43008</v>
      </c>
      <c r="B3801" s="326" t="s">
        <v>31600</v>
      </c>
      <c r="C3801" s="327">
        <v>129560</v>
      </c>
      <c r="D3801" s="391" t="s">
        <v>15322</v>
      </c>
      <c r="E3801" s="328">
        <v>3434.4</v>
      </c>
      <c r="F3801" s="329">
        <v>43012</v>
      </c>
      <c r="G3801" s="328">
        <v>3434.4</v>
      </c>
      <c r="H3801" s="347">
        <f t="shared" si="55"/>
        <v>0</v>
      </c>
      <c r="I3801" s="331" t="s">
        <v>15214</v>
      </c>
    </row>
    <row r="3802" spans="1:9" x14ac:dyDescent="0.25">
      <c r="A3802" s="319">
        <v>43008</v>
      </c>
      <c r="B3802" s="320" t="s">
        <v>31601</v>
      </c>
      <c r="C3802" s="321">
        <v>129561</v>
      </c>
      <c r="D3802" s="390" t="s">
        <v>19699</v>
      </c>
      <c r="E3802" s="322">
        <v>1505</v>
      </c>
      <c r="F3802" s="323">
        <v>43008</v>
      </c>
      <c r="G3802" s="322">
        <v>1505</v>
      </c>
      <c r="H3802" s="322">
        <f t="shared" si="55"/>
        <v>0</v>
      </c>
      <c r="I3802" s="325" t="s">
        <v>15214</v>
      </c>
    </row>
    <row r="3803" spans="1:9" x14ac:dyDescent="0.25">
      <c r="A3803" s="359">
        <v>43008</v>
      </c>
      <c r="B3803" s="326" t="s">
        <v>31602</v>
      </c>
      <c r="C3803" s="327">
        <v>129562</v>
      </c>
      <c r="D3803" s="391" t="s">
        <v>15284</v>
      </c>
      <c r="E3803" s="328">
        <v>733.5</v>
      </c>
      <c r="F3803" s="329">
        <v>43008</v>
      </c>
      <c r="G3803" s="328">
        <v>733.5</v>
      </c>
      <c r="H3803" s="347">
        <f t="shared" si="55"/>
        <v>0</v>
      </c>
      <c r="I3803" s="331" t="s">
        <v>15214</v>
      </c>
    </row>
    <row r="3804" spans="1:9" x14ac:dyDescent="0.25">
      <c r="A3804" s="319">
        <v>43008</v>
      </c>
      <c r="B3804" s="320" t="s">
        <v>31603</v>
      </c>
      <c r="C3804" s="321">
        <v>129563</v>
      </c>
      <c r="D3804" s="390" t="s">
        <v>5556</v>
      </c>
      <c r="E3804" s="322">
        <v>51311.4</v>
      </c>
      <c r="F3804" s="323">
        <v>43012</v>
      </c>
      <c r="G3804" s="322">
        <v>51311.4</v>
      </c>
      <c r="H3804" s="322">
        <f t="shared" si="55"/>
        <v>0</v>
      </c>
      <c r="I3804" s="325" t="s">
        <v>15214</v>
      </c>
    </row>
    <row r="3805" spans="1:9" ht="15.75" thickBot="1" x14ac:dyDescent="0.3">
      <c r="A3805" s="359">
        <v>43008</v>
      </c>
      <c r="B3805" s="419" t="s">
        <v>31604</v>
      </c>
      <c r="C3805" s="412">
        <v>129564</v>
      </c>
      <c r="D3805" s="411" t="s">
        <v>15642</v>
      </c>
      <c r="E3805" s="374">
        <v>8763.2999999999993</v>
      </c>
      <c r="F3805" s="413">
        <v>43008</v>
      </c>
      <c r="G3805" s="374">
        <v>8763.2999999999993</v>
      </c>
      <c r="H3805" s="414">
        <f t="shared" si="55"/>
        <v>0</v>
      </c>
      <c r="I3805" s="378" t="s">
        <v>15214</v>
      </c>
    </row>
    <row r="3806" spans="1:9" ht="19.5" thickTop="1" x14ac:dyDescent="0.3">
      <c r="E3806" s="407">
        <f>SUM(E3:E3805)</f>
        <v>51202271.780000024</v>
      </c>
      <c r="F3806" s="408"/>
      <c r="G3806" s="22">
        <f>SUM(G3:G3805)</f>
        <v>51172204.580000028</v>
      </c>
      <c r="H3806" s="22">
        <f>SUM(H3:H3805)</f>
        <v>30067.200000000001</v>
      </c>
    </row>
    <row r="3810" spans="5:7" ht="15.75" thickBot="1" x14ac:dyDescent="0.3"/>
    <row r="3811" spans="5:7" ht="27" thickBot="1" x14ac:dyDescent="0.45">
      <c r="E3811" s="409" t="s">
        <v>19785</v>
      </c>
      <c r="F3811" s="445">
        <f>E3806-G3806</f>
        <v>30067.19999999553</v>
      </c>
      <c r="G3811" s="446"/>
    </row>
  </sheetData>
  <mergeCells count="1">
    <mergeCell ref="F3811:G3811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2BBBA-E8E5-42E1-960D-FF73980CF6F5}">
  <sheetPr>
    <tabColor rgb="FF7030A0"/>
  </sheetPr>
  <dimension ref="A1:I4003"/>
  <sheetViews>
    <sheetView tabSelected="1" workbookViewId="0">
      <pane xSplit="3" ySplit="1" topLeftCell="E3126" activePane="bottomRight" state="frozen"/>
      <selection pane="topRight" activeCell="D1" sqref="D1"/>
      <selection pane="bottomLeft" activeCell="A2" sqref="A2"/>
      <selection pane="bottomRight" activeCell="F3139" sqref="F3139"/>
    </sheetView>
  </sheetViews>
  <sheetFormatPr baseColWidth="10" defaultRowHeight="15" x14ac:dyDescent="0.25"/>
  <cols>
    <col min="1" max="1" width="10.7109375" style="420" bestFit="1" customWidth="1"/>
    <col min="2" max="2" width="13" style="71" bestFit="1" customWidth="1"/>
    <col min="3" max="3" width="15" hidden="1" customWidth="1"/>
    <col min="4" max="4" width="55.42578125" bestFit="1" customWidth="1"/>
    <col min="5" max="5" width="16.85546875" customWidth="1"/>
    <col min="6" max="6" width="13.42578125" style="303" bestFit="1" customWidth="1"/>
    <col min="7" max="7" width="17.7109375" customWidth="1"/>
    <col min="8" max="8" width="19.7109375" style="301" customWidth="1"/>
    <col min="9" max="9" width="11.7109375" bestFit="1" customWidth="1"/>
  </cols>
  <sheetData>
    <row r="1" spans="1:9" x14ac:dyDescent="0.25">
      <c r="A1" s="420" t="s">
        <v>19811</v>
      </c>
      <c r="B1" s="71" t="s">
        <v>19812</v>
      </c>
      <c r="C1" s="300" t="s">
        <v>19813</v>
      </c>
      <c r="D1" t="s">
        <v>19671</v>
      </c>
      <c r="E1" t="s">
        <v>19672</v>
      </c>
      <c r="F1" s="303" t="s">
        <v>19814</v>
      </c>
      <c r="G1" t="s">
        <v>19815</v>
      </c>
      <c r="H1" s="301" t="s">
        <v>19816</v>
      </c>
      <c r="I1" t="s">
        <v>19675</v>
      </c>
    </row>
    <row r="2" spans="1:9" x14ac:dyDescent="0.25">
      <c r="A2" s="420">
        <v>43009</v>
      </c>
      <c r="B2" s="302" t="s">
        <v>31629</v>
      </c>
      <c r="C2">
        <v>129565</v>
      </c>
      <c r="D2" s="275" t="s">
        <v>21386</v>
      </c>
      <c r="E2" s="301">
        <v>8470.7999999999993</v>
      </c>
      <c r="F2" s="303">
        <v>43009</v>
      </c>
      <c r="G2" s="301">
        <v>8470.7999999999993</v>
      </c>
      <c r="H2" s="301">
        <f>Tabla15[[#This Row],[Importe]]-Tabla15[[#This Row],[Pagado]]</f>
        <v>0</v>
      </c>
      <c r="I2" s="275" t="s">
        <v>15214</v>
      </c>
    </row>
    <row r="3" spans="1:9" x14ac:dyDescent="0.25">
      <c r="A3" s="420">
        <v>43009</v>
      </c>
      <c r="B3" s="302" t="s">
        <v>31630</v>
      </c>
      <c r="C3">
        <v>129566</v>
      </c>
      <c r="D3" s="275" t="s">
        <v>15213</v>
      </c>
      <c r="E3" s="301">
        <v>46746.7</v>
      </c>
      <c r="F3" s="303">
        <v>43010</v>
      </c>
      <c r="G3" s="301">
        <v>46746.7</v>
      </c>
      <c r="H3" s="301">
        <f>Tabla15[[#This Row],[Importe]]-Tabla15[[#This Row],[Pagado]]</f>
        <v>0</v>
      </c>
      <c r="I3" s="275" t="s">
        <v>15214</v>
      </c>
    </row>
    <row r="4" spans="1:9" x14ac:dyDescent="0.25">
      <c r="A4" s="420">
        <v>43009</v>
      </c>
      <c r="B4" s="302" t="s">
        <v>31631</v>
      </c>
      <c r="C4">
        <v>129567</v>
      </c>
      <c r="D4" s="275" t="s">
        <v>15315</v>
      </c>
      <c r="E4" s="301">
        <v>5658</v>
      </c>
      <c r="F4" s="303">
        <v>43009</v>
      </c>
      <c r="G4" s="301">
        <v>5658</v>
      </c>
      <c r="H4" s="301">
        <f>Tabla15[[#This Row],[Importe]]-Tabla15[[#This Row],[Pagado]]</f>
        <v>0</v>
      </c>
      <c r="I4" s="275" t="s">
        <v>15214</v>
      </c>
    </row>
    <row r="5" spans="1:9" x14ac:dyDescent="0.25">
      <c r="A5" s="420">
        <v>43009</v>
      </c>
      <c r="B5" s="302" t="s">
        <v>31632</v>
      </c>
      <c r="C5">
        <v>129568</v>
      </c>
      <c r="D5" s="275" t="s">
        <v>15272</v>
      </c>
      <c r="E5" s="301">
        <v>36777.699999999997</v>
      </c>
      <c r="F5" s="303">
        <v>43009</v>
      </c>
      <c r="G5" s="301">
        <v>36777.699999999997</v>
      </c>
      <c r="H5" s="301">
        <f>Tabla15[[#This Row],[Importe]]-Tabla15[[#This Row],[Pagado]]</f>
        <v>0</v>
      </c>
      <c r="I5" s="275" t="s">
        <v>15214</v>
      </c>
    </row>
    <row r="6" spans="1:9" x14ac:dyDescent="0.25">
      <c r="A6" s="420">
        <v>43009</v>
      </c>
      <c r="B6" s="302" t="s">
        <v>31633</v>
      </c>
      <c r="C6">
        <v>129569</v>
      </c>
      <c r="D6" s="275" t="s">
        <v>15242</v>
      </c>
      <c r="E6" s="301">
        <v>8664</v>
      </c>
      <c r="F6" s="303">
        <v>43009</v>
      </c>
      <c r="G6" s="301">
        <v>8664</v>
      </c>
      <c r="H6" s="301">
        <f>Tabla15[[#This Row],[Importe]]-Tabla15[[#This Row],[Pagado]]</f>
        <v>0</v>
      </c>
      <c r="I6" s="275" t="s">
        <v>15214</v>
      </c>
    </row>
    <row r="7" spans="1:9" x14ac:dyDescent="0.25">
      <c r="A7" s="420">
        <v>43009</v>
      </c>
      <c r="B7" s="302" t="s">
        <v>31634</v>
      </c>
      <c r="C7">
        <v>129570</v>
      </c>
      <c r="D7" s="275" t="s">
        <v>17462</v>
      </c>
      <c r="E7" s="301">
        <v>10280.200000000001</v>
      </c>
      <c r="F7" s="303">
        <v>43009</v>
      </c>
      <c r="G7" s="301">
        <v>10280.200000000001</v>
      </c>
      <c r="H7" s="301">
        <f>Tabla15[[#This Row],[Importe]]-Tabla15[[#This Row],[Pagado]]</f>
        <v>0</v>
      </c>
      <c r="I7" s="275" t="s">
        <v>15214</v>
      </c>
    </row>
    <row r="8" spans="1:9" x14ac:dyDescent="0.25">
      <c r="A8" s="420">
        <v>43009</v>
      </c>
      <c r="B8" s="302" t="s">
        <v>31635</v>
      </c>
      <c r="C8">
        <v>129571</v>
      </c>
      <c r="D8" s="275" t="s">
        <v>15487</v>
      </c>
      <c r="E8" s="301">
        <v>8720</v>
      </c>
      <c r="F8" s="303">
        <v>43009</v>
      </c>
      <c r="G8" s="301">
        <v>8720</v>
      </c>
      <c r="H8" s="301">
        <f>Tabla15[[#This Row],[Importe]]-Tabla15[[#This Row],[Pagado]]</f>
        <v>0</v>
      </c>
      <c r="I8" s="275" t="s">
        <v>15214</v>
      </c>
    </row>
    <row r="9" spans="1:9" x14ac:dyDescent="0.25">
      <c r="A9" s="420">
        <v>43009</v>
      </c>
      <c r="B9" s="302" t="s">
        <v>31636</v>
      </c>
      <c r="C9">
        <v>129572</v>
      </c>
      <c r="D9" s="275" t="s">
        <v>16116</v>
      </c>
      <c r="E9" s="301">
        <v>17623.599999999999</v>
      </c>
      <c r="F9" s="303">
        <v>43009</v>
      </c>
      <c r="G9" s="301">
        <v>17623.599999999999</v>
      </c>
      <c r="H9" s="301">
        <f>Tabla15[[#This Row],[Importe]]-Tabla15[[#This Row],[Pagado]]</f>
        <v>0</v>
      </c>
      <c r="I9" s="275" t="s">
        <v>15214</v>
      </c>
    </row>
    <row r="10" spans="1:9" x14ac:dyDescent="0.25">
      <c r="A10" s="420">
        <v>43009</v>
      </c>
      <c r="B10" s="302" t="s">
        <v>31637</v>
      </c>
      <c r="C10">
        <v>129573</v>
      </c>
      <c r="D10" s="275" t="s">
        <v>15371</v>
      </c>
      <c r="E10" s="301">
        <v>2678.4</v>
      </c>
      <c r="F10" s="303">
        <v>43010</v>
      </c>
      <c r="G10" s="301">
        <v>2678.4</v>
      </c>
      <c r="H10" s="301">
        <f>Tabla15[[#This Row],[Importe]]-Tabla15[[#This Row],[Pagado]]</f>
        <v>0</v>
      </c>
      <c r="I10" s="275" t="s">
        <v>15214</v>
      </c>
    </row>
    <row r="11" spans="1:9" ht="15.75" x14ac:dyDescent="0.25">
      <c r="A11" s="420">
        <v>43009</v>
      </c>
      <c r="B11" s="302" t="s">
        <v>31638</v>
      </c>
      <c r="C11">
        <v>129574</v>
      </c>
      <c r="D11" s="248" t="s">
        <v>95</v>
      </c>
      <c r="E11" s="301">
        <v>0</v>
      </c>
      <c r="F11" s="243" t="s">
        <v>95</v>
      </c>
      <c r="G11" s="301">
        <v>0</v>
      </c>
      <c r="H11" s="301">
        <f>Tabla15[[#This Row],[Importe]]-Tabla15[[#This Row],[Pagado]]</f>
        <v>0</v>
      </c>
      <c r="I11" s="275" t="s">
        <v>95</v>
      </c>
    </row>
    <row r="12" spans="1:9" x14ac:dyDescent="0.25">
      <c r="A12" s="420">
        <v>43009</v>
      </c>
      <c r="B12" s="302" t="s">
        <v>31639</v>
      </c>
      <c r="C12">
        <v>129575</v>
      </c>
      <c r="D12" s="275" t="s">
        <v>15220</v>
      </c>
      <c r="E12" s="301">
        <v>4515</v>
      </c>
      <c r="F12" s="303">
        <v>43010</v>
      </c>
      <c r="G12" s="301">
        <v>4515</v>
      </c>
      <c r="H12" s="301">
        <f>Tabla15[[#This Row],[Importe]]-Tabla15[[#This Row],[Pagado]]</f>
        <v>0</v>
      </c>
      <c r="I12" s="275" t="s">
        <v>15214</v>
      </c>
    </row>
    <row r="13" spans="1:9" x14ac:dyDescent="0.25">
      <c r="A13" s="420">
        <v>43009</v>
      </c>
      <c r="B13" s="302" t="s">
        <v>31640</v>
      </c>
      <c r="C13">
        <v>129576</v>
      </c>
      <c r="D13" s="275" t="s">
        <v>15668</v>
      </c>
      <c r="E13" s="301">
        <v>21870.6</v>
      </c>
      <c r="F13" s="303">
        <v>43010</v>
      </c>
      <c r="G13" s="301">
        <v>21870.6</v>
      </c>
      <c r="H13" s="301">
        <f>Tabla15[[#This Row],[Importe]]-Tabla15[[#This Row],[Pagado]]</f>
        <v>0</v>
      </c>
      <c r="I13" s="275" t="s">
        <v>15214</v>
      </c>
    </row>
    <row r="14" spans="1:9" x14ac:dyDescent="0.25">
      <c r="A14" s="420">
        <v>43009</v>
      </c>
      <c r="B14" s="302" t="s">
        <v>31641</v>
      </c>
      <c r="C14">
        <v>129577</v>
      </c>
      <c r="D14" s="275" t="s">
        <v>15315</v>
      </c>
      <c r="E14" s="301">
        <v>3480.4</v>
      </c>
      <c r="F14" s="303">
        <v>43009</v>
      </c>
      <c r="G14" s="301">
        <v>3480.4</v>
      </c>
      <c r="H14" s="301">
        <f>Tabla15[[#This Row],[Importe]]-Tabla15[[#This Row],[Pagado]]</f>
        <v>0</v>
      </c>
      <c r="I14" s="275" t="s">
        <v>15214</v>
      </c>
    </row>
    <row r="15" spans="1:9" x14ac:dyDescent="0.25">
      <c r="A15" s="420">
        <v>43009</v>
      </c>
      <c r="B15" s="302" t="s">
        <v>31642</v>
      </c>
      <c r="C15">
        <v>129578</v>
      </c>
      <c r="D15" s="275" t="s">
        <v>15250</v>
      </c>
      <c r="E15" s="301">
        <v>5251.2</v>
      </c>
      <c r="F15" s="303">
        <v>43022</v>
      </c>
      <c r="G15" s="301">
        <v>5251.2</v>
      </c>
      <c r="H15" s="301">
        <f>Tabla15[[#This Row],[Importe]]-Tabla15[[#This Row],[Pagado]]</f>
        <v>0</v>
      </c>
      <c r="I15" s="275" t="s">
        <v>15214</v>
      </c>
    </row>
    <row r="16" spans="1:9" x14ac:dyDescent="0.25">
      <c r="A16" s="420">
        <v>43009</v>
      </c>
      <c r="B16" s="302" t="s">
        <v>31643</v>
      </c>
      <c r="C16">
        <v>129579</v>
      </c>
      <c r="D16" s="275" t="s">
        <v>15728</v>
      </c>
      <c r="E16" s="301">
        <v>11820.6</v>
      </c>
      <c r="F16" s="303">
        <v>43009</v>
      </c>
      <c r="G16" s="301">
        <v>11820.6</v>
      </c>
      <c r="H16" s="301">
        <f>Tabla15[[#This Row],[Importe]]-Tabla15[[#This Row],[Pagado]]</f>
        <v>0</v>
      </c>
      <c r="I16" s="275" t="s">
        <v>15214</v>
      </c>
    </row>
    <row r="17" spans="1:9" x14ac:dyDescent="0.25">
      <c r="A17" s="420">
        <v>43009</v>
      </c>
      <c r="B17" s="302" t="s">
        <v>31644</v>
      </c>
      <c r="C17">
        <v>129580</v>
      </c>
      <c r="D17" s="275" t="s">
        <v>15263</v>
      </c>
      <c r="E17" s="301">
        <v>2131.1999999999998</v>
      </c>
      <c r="F17" s="303">
        <v>43009</v>
      </c>
      <c r="G17" s="301">
        <v>2131.1999999999998</v>
      </c>
      <c r="H17" s="301">
        <f>Tabla15[[#This Row],[Importe]]-Tabla15[[#This Row],[Pagado]]</f>
        <v>0</v>
      </c>
      <c r="I17" s="275" t="s">
        <v>15214</v>
      </c>
    </row>
    <row r="18" spans="1:9" ht="30" x14ac:dyDescent="0.25">
      <c r="A18" s="420">
        <v>43009</v>
      </c>
      <c r="B18" s="302" t="s">
        <v>31645</v>
      </c>
      <c r="C18">
        <v>129581</v>
      </c>
      <c r="D18" s="275" t="s">
        <v>15530</v>
      </c>
      <c r="E18" s="301">
        <v>5499.3</v>
      </c>
      <c r="F18" s="303" t="s">
        <v>31646</v>
      </c>
      <c r="G18" s="305">
        <f>5000+499.3</f>
        <v>5499.3</v>
      </c>
      <c r="H18" s="305">
        <f>Tabla15[[#This Row],[Importe]]-Tabla15[[#This Row],[Pagado]]</f>
        <v>0</v>
      </c>
      <c r="I18" s="275" t="s">
        <v>15214</v>
      </c>
    </row>
    <row r="19" spans="1:9" x14ac:dyDescent="0.25">
      <c r="A19" s="420">
        <v>43009</v>
      </c>
      <c r="B19" s="302" t="s">
        <v>31647</v>
      </c>
      <c r="C19">
        <v>129582</v>
      </c>
      <c r="D19" s="275" t="s">
        <v>15340</v>
      </c>
      <c r="E19" s="301">
        <v>13785.9</v>
      </c>
      <c r="F19" s="303">
        <v>44106</v>
      </c>
      <c r="G19" s="301">
        <v>13785.9</v>
      </c>
      <c r="H19" s="301">
        <f>Tabla15[[#This Row],[Importe]]-Tabla15[[#This Row],[Pagado]]</f>
        <v>0</v>
      </c>
      <c r="I19" s="275" t="s">
        <v>15214</v>
      </c>
    </row>
    <row r="20" spans="1:9" x14ac:dyDescent="0.25">
      <c r="A20" s="420">
        <v>43009</v>
      </c>
      <c r="B20" s="302" t="s">
        <v>31648</v>
      </c>
      <c r="C20">
        <v>129583</v>
      </c>
      <c r="D20" s="275" t="s">
        <v>15280</v>
      </c>
      <c r="E20" s="301">
        <v>4054.8</v>
      </c>
      <c r="F20" s="303">
        <v>43009</v>
      </c>
      <c r="G20" s="301">
        <v>4054.8</v>
      </c>
      <c r="H20" s="301">
        <f>Tabla15[[#This Row],[Importe]]-Tabla15[[#This Row],[Pagado]]</f>
        <v>0</v>
      </c>
      <c r="I20" s="275" t="s">
        <v>15214</v>
      </c>
    </row>
    <row r="21" spans="1:9" x14ac:dyDescent="0.25">
      <c r="A21" s="420">
        <v>43009</v>
      </c>
      <c r="B21" s="302" t="s">
        <v>31649</v>
      </c>
      <c r="C21">
        <v>129584</v>
      </c>
      <c r="D21" s="275" t="s">
        <v>15858</v>
      </c>
      <c r="E21" s="301">
        <v>2682.64</v>
      </c>
      <c r="F21" s="303">
        <v>43010</v>
      </c>
      <c r="G21" s="301">
        <v>2682.64</v>
      </c>
      <c r="H21" s="301">
        <f>Tabla15[[#This Row],[Importe]]-Tabla15[[#This Row],[Pagado]]</f>
        <v>0</v>
      </c>
      <c r="I21" s="275" t="s">
        <v>15214</v>
      </c>
    </row>
    <row r="22" spans="1:9" x14ac:dyDescent="0.25">
      <c r="A22" s="420">
        <v>43009</v>
      </c>
      <c r="B22" s="302" t="s">
        <v>31650</v>
      </c>
      <c r="C22">
        <v>129585</v>
      </c>
      <c r="D22" s="275" t="s">
        <v>15912</v>
      </c>
      <c r="E22" s="301">
        <v>3490.4</v>
      </c>
      <c r="F22" s="303">
        <v>43010</v>
      </c>
      <c r="G22" s="301">
        <v>3490.4</v>
      </c>
      <c r="H22" s="301">
        <f>Tabla15[[#This Row],[Importe]]-Tabla15[[#This Row],[Pagado]]</f>
        <v>0</v>
      </c>
      <c r="I22" s="275" t="s">
        <v>15214</v>
      </c>
    </row>
    <row r="23" spans="1:9" x14ac:dyDescent="0.25">
      <c r="A23" s="420">
        <v>43009</v>
      </c>
      <c r="B23" s="302" t="s">
        <v>31651</v>
      </c>
      <c r="C23">
        <v>129586</v>
      </c>
      <c r="D23" s="275" t="s">
        <v>15334</v>
      </c>
      <c r="E23" s="301">
        <v>1840</v>
      </c>
      <c r="F23" s="303">
        <v>43010</v>
      </c>
      <c r="G23" s="301">
        <v>1840</v>
      </c>
      <c r="H23" s="301">
        <f>Tabla15[[#This Row],[Importe]]-Tabla15[[#This Row],[Pagado]]</f>
        <v>0</v>
      </c>
      <c r="I23" s="275" t="s">
        <v>15214</v>
      </c>
    </row>
    <row r="24" spans="1:9" x14ac:dyDescent="0.25">
      <c r="A24" s="420">
        <v>43009</v>
      </c>
      <c r="B24" s="302" t="s">
        <v>31652</v>
      </c>
      <c r="C24">
        <v>129587</v>
      </c>
      <c r="D24" s="275" t="s">
        <v>15523</v>
      </c>
      <c r="E24" s="301">
        <v>3440</v>
      </c>
      <c r="F24" s="303">
        <v>43010</v>
      </c>
      <c r="G24" s="301">
        <v>3440</v>
      </c>
      <c r="H24" s="301">
        <f>Tabla15[[#This Row],[Importe]]-Tabla15[[#This Row],[Pagado]]</f>
        <v>0</v>
      </c>
      <c r="I24" s="275" t="s">
        <v>15214</v>
      </c>
    </row>
    <row r="25" spans="1:9" x14ac:dyDescent="0.25">
      <c r="A25" s="420">
        <v>43009</v>
      </c>
      <c r="B25" s="302" t="s">
        <v>31653</v>
      </c>
      <c r="C25">
        <v>129588</v>
      </c>
      <c r="D25" s="275" t="s">
        <v>15315</v>
      </c>
      <c r="E25" s="301">
        <v>1143</v>
      </c>
      <c r="F25" s="303">
        <v>43009</v>
      </c>
      <c r="G25" s="301">
        <v>1143</v>
      </c>
      <c r="H25" s="301">
        <f>Tabla15[[#This Row],[Importe]]-Tabla15[[#This Row],[Pagado]]</f>
        <v>0</v>
      </c>
      <c r="I25" s="275" t="s">
        <v>15214</v>
      </c>
    </row>
    <row r="26" spans="1:9" x14ac:dyDescent="0.25">
      <c r="A26" s="420">
        <v>43009</v>
      </c>
      <c r="B26" s="302" t="s">
        <v>31654</v>
      </c>
      <c r="C26">
        <v>129589</v>
      </c>
      <c r="D26" s="275" t="s">
        <v>15289</v>
      </c>
      <c r="E26" s="301">
        <v>312</v>
      </c>
      <c r="F26" s="303">
        <v>43009</v>
      </c>
      <c r="G26" s="301">
        <v>312</v>
      </c>
      <c r="H26" s="301">
        <f>Tabla15[[#This Row],[Importe]]-Tabla15[[#This Row],[Pagado]]</f>
        <v>0</v>
      </c>
      <c r="I26" s="275" t="s">
        <v>15214</v>
      </c>
    </row>
    <row r="27" spans="1:9" x14ac:dyDescent="0.25">
      <c r="A27" s="420">
        <v>43009</v>
      </c>
      <c r="B27" s="302" t="s">
        <v>31655</v>
      </c>
      <c r="C27">
        <v>129590</v>
      </c>
      <c r="D27" s="275" t="s">
        <v>15358</v>
      </c>
      <c r="E27" s="301">
        <v>1717.8</v>
      </c>
      <c r="F27" s="303">
        <v>43010</v>
      </c>
      <c r="G27" s="301">
        <v>1717.8</v>
      </c>
      <c r="H27" s="301">
        <f>Tabla15[[#This Row],[Importe]]-Tabla15[[#This Row],[Pagado]]</f>
        <v>0</v>
      </c>
      <c r="I27" s="275" t="s">
        <v>15214</v>
      </c>
    </row>
    <row r="28" spans="1:9" x14ac:dyDescent="0.25">
      <c r="A28" s="420">
        <v>43009</v>
      </c>
      <c r="B28" s="302" t="s">
        <v>31656</v>
      </c>
      <c r="C28">
        <v>129591</v>
      </c>
      <c r="D28" s="275" t="s">
        <v>15315</v>
      </c>
      <c r="E28" s="301">
        <v>4913.3999999999996</v>
      </c>
      <c r="F28" s="303">
        <v>43010</v>
      </c>
      <c r="G28" s="301">
        <v>4913.3999999999996</v>
      </c>
      <c r="H28" s="301">
        <f>Tabla15[[#This Row],[Importe]]-Tabla15[[#This Row],[Pagado]]</f>
        <v>0</v>
      </c>
      <c r="I28" s="275" t="s">
        <v>15214</v>
      </c>
    </row>
    <row r="29" spans="1:9" x14ac:dyDescent="0.25">
      <c r="A29" s="420">
        <v>43009</v>
      </c>
      <c r="B29" s="302" t="s">
        <v>31657</v>
      </c>
      <c r="C29">
        <v>129592</v>
      </c>
      <c r="D29" s="275" t="s">
        <v>15378</v>
      </c>
      <c r="E29" s="301">
        <v>3610.4</v>
      </c>
      <c r="F29" s="303">
        <v>43009</v>
      </c>
      <c r="G29" s="301">
        <v>3610.4</v>
      </c>
      <c r="H29" s="301">
        <f>Tabla15[[#This Row],[Importe]]-Tabla15[[#This Row],[Pagado]]</f>
        <v>0</v>
      </c>
      <c r="I29" s="275" t="s">
        <v>15214</v>
      </c>
    </row>
    <row r="30" spans="1:9" x14ac:dyDescent="0.25">
      <c r="A30" s="420">
        <v>43009</v>
      </c>
      <c r="B30" s="302" t="s">
        <v>31658</v>
      </c>
      <c r="C30">
        <v>129593</v>
      </c>
      <c r="D30" s="275" t="s">
        <v>15510</v>
      </c>
      <c r="E30" s="301">
        <v>840</v>
      </c>
      <c r="F30" s="303">
        <v>43009</v>
      </c>
      <c r="G30" s="301">
        <v>840</v>
      </c>
      <c r="H30" s="301">
        <f>Tabla15[[#This Row],[Importe]]-Tabla15[[#This Row],[Pagado]]</f>
        <v>0</v>
      </c>
      <c r="I30" s="275" t="s">
        <v>15214</v>
      </c>
    </row>
    <row r="31" spans="1:9" x14ac:dyDescent="0.25">
      <c r="A31" s="420">
        <v>43009</v>
      </c>
      <c r="B31" s="302" t="s">
        <v>31659</v>
      </c>
      <c r="C31">
        <v>129594</v>
      </c>
      <c r="D31" s="275" t="s">
        <v>15332</v>
      </c>
      <c r="E31" s="301">
        <v>4345</v>
      </c>
      <c r="F31" s="303">
        <v>43010</v>
      </c>
      <c r="G31" s="301">
        <v>4345</v>
      </c>
      <c r="H31" s="301">
        <f>Tabla15[[#This Row],[Importe]]-Tabla15[[#This Row],[Pagado]]</f>
        <v>0</v>
      </c>
      <c r="I31" s="275" t="s">
        <v>15214</v>
      </c>
    </row>
    <row r="32" spans="1:9" x14ac:dyDescent="0.25">
      <c r="A32" s="420">
        <v>43009</v>
      </c>
      <c r="B32" s="302" t="s">
        <v>31660</v>
      </c>
      <c r="C32">
        <v>129595</v>
      </c>
      <c r="D32" s="275" t="s">
        <v>23937</v>
      </c>
      <c r="E32" s="301">
        <v>3433.5</v>
      </c>
      <c r="F32" s="303">
        <v>43010</v>
      </c>
      <c r="G32" s="301">
        <v>3433.5</v>
      </c>
      <c r="H32" s="301">
        <f>Tabla15[[#This Row],[Importe]]-Tabla15[[#This Row],[Pagado]]</f>
        <v>0</v>
      </c>
      <c r="I32" s="275" t="s">
        <v>15214</v>
      </c>
    </row>
    <row r="33" spans="1:9" x14ac:dyDescent="0.25">
      <c r="A33" s="420">
        <v>43009</v>
      </c>
      <c r="B33" s="302" t="s">
        <v>31661</v>
      </c>
      <c r="C33">
        <v>129596</v>
      </c>
      <c r="D33" s="275" t="s">
        <v>15322</v>
      </c>
      <c r="E33" s="301">
        <v>5519.6</v>
      </c>
      <c r="F33" s="303">
        <v>43009</v>
      </c>
      <c r="G33" s="301">
        <v>5519.6</v>
      </c>
      <c r="H33" s="301">
        <f>Tabla15[[#This Row],[Importe]]-Tabla15[[#This Row],[Pagado]]</f>
        <v>0</v>
      </c>
      <c r="I33" s="275" t="s">
        <v>15214</v>
      </c>
    </row>
    <row r="34" spans="1:9" x14ac:dyDescent="0.25">
      <c r="A34" s="420">
        <v>43009</v>
      </c>
      <c r="B34" s="302" t="s">
        <v>31662</v>
      </c>
      <c r="C34">
        <v>129597</v>
      </c>
      <c r="D34" s="275" t="s">
        <v>15291</v>
      </c>
      <c r="E34" s="301">
        <v>516</v>
      </c>
      <c r="F34" s="303">
        <v>43010</v>
      </c>
      <c r="G34" s="301">
        <v>516</v>
      </c>
      <c r="H34" s="301">
        <f>Tabla15[[#This Row],[Importe]]-Tabla15[[#This Row],[Pagado]]</f>
        <v>0</v>
      </c>
      <c r="I34" s="275" t="s">
        <v>15214</v>
      </c>
    </row>
    <row r="35" spans="1:9" x14ac:dyDescent="0.25">
      <c r="A35" s="420">
        <v>43009</v>
      </c>
      <c r="B35" s="302" t="s">
        <v>31663</v>
      </c>
      <c r="C35">
        <v>129598</v>
      </c>
      <c r="D35" s="275" t="s">
        <v>15252</v>
      </c>
      <c r="E35" s="301">
        <v>5005.3</v>
      </c>
      <c r="F35" s="303">
        <v>43013</v>
      </c>
      <c r="G35" s="301">
        <v>5005.3</v>
      </c>
      <c r="H35" s="301">
        <f>Tabla15[[#This Row],[Importe]]-Tabla15[[#This Row],[Pagado]]</f>
        <v>0</v>
      </c>
      <c r="I35" s="275" t="s">
        <v>15214</v>
      </c>
    </row>
    <row r="36" spans="1:9" x14ac:dyDescent="0.25">
      <c r="A36" s="420">
        <v>43009</v>
      </c>
      <c r="B36" s="302" t="s">
        <v>31664</v>
      </c>
      <c r="C36">
        <v>129599</v>
      </c>
      <c r="D36" s="275" t="s">
        <v>15244</v>
      </c>
      <c r="E36" s="301">
        <v>14581.6</v>
      </c>
      <c r="F36" s="303">
        <v>43013</v>
      </c>
      <c r="G36" s="301">
        <v>14581.6</v>
      </c>
      <c r="H36" s="301">
        <f>Tabla15[[#This Row],[Importe]]-Tabla15[[#This Row],[Pagado]]</f>
        <v>0</v>
      </c>
      <c r="I36" s="275" t="s">
        <v>15214</v>
      </c>
    </row>
    <row r="37" spans="1:9" x14ac:dyDescent="0.25">
      <c r="A37" s="420">
        <v>43009</v>
      </c>
      <c r="B37" s="302" t="s">
        <v>31665</v>
      </c>
      <c r="C37">
        <v>129600</v>
      </c>
      <c r="D37" s="275" t="s">
        <v>15352</v>
      </c>
      <c r="E37" s="301">
        <v>618.6</v>
      </c>
      <c r="F37" s="303">
        <v>43009</v>
      </c>
      <c r="G37" s="301">
        <v>618.6</v>
      </c>
      <c r="H37" s="301">
        <f>Tabla15[[#This Row],[Importe]]-Tabla15[[#This Row],[Pagado]]</f>
        <v>0</v>
      </c>
      <c r="I37" s="275" t="s">
        <v>15214</v>
      </c>
    </row>
    <row r="38" spans="1:9" x14ac:dyDescent="0.25">
      <c r="A38" s="420">
        <v>43009</v>
      </c>
      <c r="B38" s="302" t="s">
        <v>31666</v>
      </c>
      <c r="C38">
        <v>129601</v>
      </c>
      <c r="D38" s="275" t="s">
        <v>15324</v>
      </c>
      <c r="E38" s="301">
        <v>1081</v>
      </c>
      <c r="F38" s="303">
        <v>43010</v>
      </c>
      <c r="G38" s="301">
        <v>1081</v>
      </c>
      <c r="H38" s="301">
        <f>Tabla15[[#This Row],[Importe]]-Tabla15[[#This Row],[Pagado]]</f>
        <v>0</v>
      </c>
      <c r="I38" s="275" t="s">
        <v>15214</v>
      </c>
    </row>
    <row r="39" spans="1:9" x14ac:dyDescent="0.25">
      <c r="A39" s="420">
        <v>43009</v>
      </c>
      <c r="B39" s="302" t="s">
        <v>31667</v>
      </c>
      <c r="C39">
        <v>129602</v>
      </c>
      <c r="D39" s="275" t="s">
        <v>15315</v>
      </c>
      <c r="E39" s="301">
        <v>1188</v>
      </c>
      <c r="F39" s="303">
        <v>43009</v>
      </c>
      <c r="G39" s="301">
        <v>1188</v>
      </c>
      <c r="H39" s="301">
        <f>Tabla15[[#This Row],[Importe]]-Tabla15[[#This Row],[Pagado]]</f>
        <v>0</v>
      </c>
      <c r="I39" s="275" t="s">
        <v>15214</v>
      </c>
    </row>
    <row r="40" spans="1:9" x14ac:dyDescent="0.25">
      <c r="A40" s="420">
        <v>43009</v>
      </c>
      <c r="B40" s="302" t="s">
        <v>31668</v>
      </c>
      <c r="C40">
        <v>129603</v>
      </c>
      <c r="D40" s="275" t="s">
        <v>19776</v>
      </c>
      <c r="E40" s="301">
        <v>5472.6</v>
      </c>
      <c r="F40" s="303">
        <v>43010</v>
      </c>
      <c r="G40" s="301">
        <v>5472.6</v>
      </c>
      <c r="H40" s="301">
        <f>Tabla15[[#This Row],[Importe]]-Tabla15[[#This Row],[Pagado]]</f>
        <v>0</v>
      </c>
      <c r="I40" s="275" t="s">
        <v>15214</v>
      </c>
    </row>
    <row r="41" spans="1:9" x14ac:dyDescent="0.25">
      <c r="A41" s="420">
        <v>43009</v>
      </c>
      <c r="B41" s="302" t="s">
        <v>31669</v>
      </c>
      <c r="C41">
        <v>129604</v>
      </c>
      <c r="D41" s="275" t="s">
        <v>15305</v>
      </c>
      <c r="E41" s="301">
        <v>1152</v>
      </c>
      <c r="F41" s="303">
        <v>43010</v>
      </c>
      <c r="G41" s="301">
        <v>1152</v>
      </c>
      <c r="H41" s="301">
        <f>Tabla15[[#This Row],[Importe]]-Tabla15[[#This Row],[Pagado]]</f>
        <v>0</v>
      </c>
      <c r="I41" s="275" t="s">
        <v>15214</v>
      </c>
    </row>
    <row r="42" spans="1:9" x14ac:dyDescent="0.25">
      <c r="A42" s="420">
        <v>43009</v>
      </c>
      <c r="B42" s="302" t="s">
        <v>31670</v>
      </c>
      <c r="C42">
        <v>129605</v>
      </c>
      <c r="D42" s="275" t="s">
        <v>15284</v>
      </c>
      <c r="E42" s="301">
        <v>309.60000000000002</v>
      </c>
      <c r="F42" s="303">
        <v>43009</v>
      </c>
      <c r="G42" s="301">
        <v>309.60000000000002</v>
      </c>
      <c r="H42" s="301">
        <f>Tabla15[[#This Row],[Importe]]-Tabla15[[#This Row],[Pagado]]</f>
        <v>0</v>
      </c>
      <c r="I42" s="275" t="s">
        <v>15214</v>
      </c>
    </row>
    <row r="43" spans="1:9" x14ac:dyDescent="0.25">
      <c r="A43" s="420">
        <v>43009</v>
      </c>
      <c r="B43" s="302" t="s">
        <v>31671</v>
      </c>
      <c r="C43">
        <v>129606</v>
      </c>
      <c r="D43" s="275" t="s">
        <v>15311</v>
      </c>
      <c r="E43" s="301">
        <v>2184.8000000000002</v>
      </c>
      <c r="F43" s="303">
        <v>43010</v>
      </c>
      <c r="G43" s="301">
        <v>2184.8000000000002</v>
      </c>
      <c r="H43" s="301">
        <f>Tabla15[[#This Row],[Importe]]-Tabla15[[#This Row],[Pagado]]</f>
        <v>0</v>
      </c>
      <c r="I43" s="275" t="s">
        <v>15214</v>
      </c>
    </row>
    <row r="44" spans="1:9" x14ac:dyDescent="0.25">
      <c r="A44" s="420">
        <v>43009</v>
      </c>
      <c r="B44" s="302" t="s">
        <v>31672</v>
      </c>
      <c r="C44">
        <v>129607</v>
      </c>
      <c r="D44" s="275" t="s">
        <v>15284</v>
      </c>
      <c r="E44" s="301">
        <v>675</v>
      </c>
      <c r="F44" s="303">
        <v>43009</v>
      </c>
      <c r="G44" s="301">
        <v>675</v>
      </c>
      <c r="H44" s="301">
        <f>Tabla15[[#This Row],[Importe]]-Tabla15[[#This Row],[Pagado]]</f>
        <v>0</v>
      </c>
      <c r="I44" s="275" t="s">
        <v>15214</v>
      </c>
    </row>
    <row r="45" spans="1:9" x14ac:dyDescent="0.25">
      <c r="A45" s="420">
        <v>43009</v>
      </c>
      <c r="B45" s="302" t="s">
        <v>31673</v>
      </c>
      <c r="C45">
        <v>129608</v>
      </c>
      <c r="D45" s="275" t="s">
        <v>15725</v>
      </c>
      <c r="E45" s="301">
        <v>6382.8</v>
      </c>
      <c r="F45" s="303">
        <v>43012</v>
      </c>
      <c r="G45" s="301">
        <v>6382.8</v>
      </c>
      <c r="H45" s="301">
        <f>Tabla15[[#This Row],[Importe]]-Tabla15[[#This Row],[Pagado]]</f>
        <v>0</v>
      </c>
      <c r="I45" s="275" t="s">
        <v>15214</v>
      </c>
    </row>
    <row r="46" spans="1:9" x14ac:dyDescent="0.25">
      <c r="A46" s="420">
        <v>43009</v>
      </c>
      <c r="B46" s="302" t="s">
        <v>31674</v>
      </c>
      <c r="C46">
        <v>129609</v>
      </c>
      <c r="D46" s="275" t="s">
        <v>15298</v>
      </c>
      <c r="E46" s="301">
        <v>921</v>
      </c>
      <c r="F46" s="303">
        <v>43009</v>
      </c>
      <c r="G46" s="301">
        <v>921</v>
      </c>
      <c r="H46" s="301">
        <f>Tabla15[[#This Row],[Importe]]-Tabla15[[#This Row],[Pagado]]</f>
        <v>0</v>
      </c>
      <c r="I46" s="275" t="s">
        <v>15214</v>
      </c>
    </row>
    <row r="47" spans="1:9" x14ac:dyDescent="0.25">
      <c r="A47" s="420">
        <v>43009</v>
      </c>
      <c r="B47" s="302" t="s">
        <v>31675</v>
      </c>
      <c r="C47">
        <v>129610</v>
      </c>
      <c r="D47" s="275" t="s">
        <v>15326</v>
      </c>
      <c r="E47" s="301">
        <v>4398</v>
      </c>
      <c r="F47" s="303">
        <v>43009</v>
      </c>
      <c r="G47" s="301">
        <v>4398</v>
      </c>
      <c r="H47" s="301">
        <f>Tabla15[[#This Row],[Importe]]-Tabla15[[#This Row],[Pagado]]</f>
        <v>0</v>
      </c>
      <c r="I47" s="275" t="s">
        <v>15214</v>
      </c>
    </row>
    <row r="48" spans="1:9" x14ac:dyDescent="0.25">
      <c r="A48" s="420">
        <v>43009</v>
      </c>
      <c r="B48" s="302" t="s">
        <v>31676</v>
      </c>
      <c r="C48">
        <v>129611</v>
      </c>
      <c r="D48" s="275" t="s">
        <v>15987</v>
      </c>
      <c r="E48" s="301">
        <v>1610.2</v>
      </c>
      <c r="F48" s="303">
        <v>43009</v>
      </c>
      <c r="G48" s="301">
        <v>1610.2</v>
      </c>
      <c r="H48" s="301">
        <f>Tabla15[[#This Row],[Importe]]-Tabla15[[#This Row],[Pagado]]</f>
        <v>0</v>
      </c>
      <c r="I48" s="275" t="s">
        <v>15214</v>
      </c>
    </row>
    <row r="49" spans="1:9" x14ac:dyDescent="0.25">
      <c r="A49" s="420">
        <v>43009</v>
      </c>
      <c r="B49" s="302" t="s">
        <v>31677</v>
      </c>
      <c r="C49">
        <v>129612</v>
      </c>
      <c r="D49" s="275" t="s">
        <v>15282</v>
      </c>
      <c r="E49" s="301">
        <v>3870.8</v>
      </c>
      <c r="F49" s="303">
        <v>43009</v>
      </c>
      <c r="G49" s="301">
        <v>3870.8</v>
      </c>
      <c r="H49" s="301">
        <f>Tabla15[[#This Row],[Importe]]-Tabla15[[#This Row],[Pagado]]</f>
        <v>0</v>
      </c>
      <c r="I49" s="275" t="s">
        <v>15214</v>
      </c>
    </row>
    <row r="50" spans="1:9" x14ac:dyDescent="0.25">
      <c r="A50" s="420">
        <v>43009</v>
      </c>
      <c r="B50" s="302" t="s">
        <v>31678</v>
      </c>
      <c r="C50">
        <v>129613</v>
      </c>
      <c r="D50" s="275" t="s">
        <v>15315</v>
      </c>
      <c r="E50" s="301">
        <v>982.8</v>
      </c>
      <c r="F50" s="303">
        <v>43009</v>
      </c>
      <c r="G50" s="301">
        <v>982.8</v>
      </c>
      <c r="H50" s="301">
        <f>Tabla15[[#This Row],[Importe]]-Tabla15[[#This Row],[Pagado]]</f>
        <v>0</v>
      </c>
      <c r="I50" s="275" t="s">
        <v>15214</v>
      </c>
    </row>
    <row r="51" spans="1:9" x14ac:dyDescent="0.25">
      <c r="A51" s="420">
        <v>43009</v>
      </c>
      <c r="B51" s="302" t="s">
        <v>31679</v>
      </c>
      <c r="C51">
        <v>129614</v>
      </c>
      <c r="D51" s="275" t="s">
        <v>15223</v>
      </c>
      <c r="E51" s="301">
        <v>40736</v>
      </c>
      <c r="F51" s="303">
        <v>43029</v>
      </c>
      <c r="G51" s="301">
        <v>40736</v>
      </c>
      <c r="H51" s="301">
        <f>Tabla15[[#This Row],[Importe]]-Tabla15[[#This Row],[Pagado]]</f>
        <v>0</v>
      </c>
      <c r="I51" s="275" t="s">
        <v>15214</v>
      </c>
    </row>
    <row r="52" spans="1:9" x14ac:dyDescent="0.25">
      <c r="A52" s="420">
        <v>43009</v>
      </c>
      <c r="B52" s="302" t="s">
        <v>31680</v>
      </c>
      <c r="C52">
        <v>129615</v>
      </c>
      <c r="D52" s="275" t="s">
        <v>15213</v>
      </c>
      <c r="E52" s="301">
        <v>7645.2</v>
      </c>
      <c r="F52" s="303">
        <v>43010</v>
      </c>
      <c r="G52" s="301">
        <v>7645.2</v>
      </c>
      <c r="H52" s="301">
        <f>Tabla15[[#This Row],[Importe]]-Tabla15[[#This Row],[Pagado]]</f>
        <v>0</v>
      </c>
      <c r="I52" s="275" t="s">
        <v>15214</v>
      </c>
    </row>
    <row r="53" spans="1:9" x14ac:dyDescent="0.25">
      <c r="A53" s="420">
        <v>43009</v>
      </c>
      <c r="B53" s="302" t="s">
        <v>31681</v>
      </c>
      <c r="C53">
        <v>129616</v>
      </c>
      <c r="D53" s="275" t="s">
        <v>19756</v>
      </c>
      <c r="E53" s="301">
        <v>1328.2</v>
      </c>
      <c r="F53" s="303">
        <v>43009</v>
      </c>
      <c r="G53" s="301">
        <v>1328.2</v>
      </c>
      <c r="H53" s="301">
        <f>Tabla15[[#This Row],[Importe]]-Tabla15[[#This Row],[Pagado]]</f>
        <v>0</v>
      </c>
      <c r="I53" s="275" t="s">
        <v>15214</v>
      </c>
    </row>
    <row r="54" spans="1:9" x14ac:dyDescent="0.25">
      <c r="A54" s="420">
        <v>43009</v>
      </c>
      <c r="B54" s="302" t="s">
        <v>31682</v>
      </c>
      <c r="C54">
        <v>129617</v>
      </c>
      <c r="D54" s="275" t="s">
        <v>15566</v>
      </c>
      <c r="E54" s="301">
        <v>1128.4000000000001</v>
      </c>
      <c r="F54" s="303">
        <v>43009</v>
      </c>
      <c r="G54" s="301">
        <v>1128.4000000000001</v>
      </c>
      <c r="H54" s="301">
        <f>Tabla15[[#This Row],[Importe]]-Tabla15[[#This Row],[Pagado]]</f>
        <v>0</v>
      </c>
      <c r="I54" s="275" t="s">
        <v>15214</v>
      </c>
    </row>
    <row r="55" spans="1:9" x14ac:dyDescent="0.25">
      <c r="A55" s="420">
        <v>43009</v>
      </c>
      <c r="B55" s="302" t="s">
        <v>31683</v>
      </c>
      <c r="C55">
        <v>129618</v>
      </c>
      <c r="D55" s="275" t="s">
        <v>15284</v>
      </c>
      <c r="E55" s="301">
        <v>372</v>
      </c>
      <c r="F55" s="303">
        <v>43009</v>
      </c>
      <c r="G55" s="301">
        <v>372</v>
      </c>
      <c r="H55" s="301">
        <f>Tabla15[[#This Row],[Importe]]-Tabla15[[#This Row],[Pagado]]</f>
        <v>0</v>
      </c>
      <c r="I55" s="275" t="s">
        <v>15214</v>
      </c>
    </row>
    <row r="56" spans="1:9" x14ac:dyDescent="0.25">
      <c r="A56" s="420">
        <v>43009</v>
      </c>
      <c r="B56" s="302" t="s">
        <v>31684</v>
      </c>
      <c r="C56">
        <v>129619</v>
      </c>
      <c r="D56" s="275" t="s">
        <v>15315</v>
      </c>
      <c r="E56" s="301">
        <v>712.4</v>
      </c>
      <c r="F56" s="303">
        <v>43009</v>
      </c>
      <c r="G56" s="301">
        <v>712.4</v>
      </c>
      <c r="H56" s="301">
        <f>Tabla15[[#This Row],[Importe]]-Tabla15[[#This Row],[Pagado]]</f>
        <v>0</v>
      </c>
      <c r="I56" s="275" t="s">
        <v>15214</v>
      </c>
    </row>
    <row r="57" spans="1:9" x14ac:dyDescent="0.25">
      <c r="A57" s="420">
        <v>43009</v>
      </c>
      <c r="B57" s="302" t="s">
        <v>31685</v>
      </c>
      <c r="C57">
        <v>129620</v>
      </c>
      <c r="D57" s="275" t="s">
        <v>15644</v>
      </c>
      <c r="E57" s="301">
        <v>3402</v>
      </c>
      <c r="F57" s="303">
        <v>43011</v>
      </c>
      <c r="G57" s="301">
        <v>3402</v>
      </c>
      <c r="H57" s="301">
        <f>Tabla15[[#This Row],[Importe]]-Tabla15[[#This Row],[Pagado]]</f>
        <v>0</v>
      </c>
      <c r="I57" s="275" t="s">
        <v>15214</v>
      </c>
    </row>
    <row r="58" spans="1:9" x14ac:dyDescent="0.25">
      <c r="A58" s="420">
        <v>43009</v>
      </c>
      <c r="B58" s="302" t="s">
        <v>31686</v>
      </c>
      <c r="C58">
        <v>129621</v>
      </c>
      <c r="D58" s="275" t="s">
        <v>15315</v>
      </c>
      <c r="E58" s="301">
        <v>1983</v>
      </c>
      <c r="F58" s="303">
        <v>43009</v>
      </c>
      <c r="G58" s="301">
        <v>1983</v>
      </c>
      <c r="H58" s="301">
        <f>Tabla15[[#This Row],[Importe]]-Tabla15[[#This Row],[Pagado]]</f>
        <v>0</v>
      </c>
      <c r="I58" s="275" t="s">
        <v>15214</v>
      </c>
    </row>
    <row r="59" spans="1:9" x14ac:dyDescent="0.25">
      <c r="A59" s="420">
        <v>43009</v>
      </c>
      <c r="B59" s="302" t="s">
        <v>31687</v>
      </c>
      <c r="C59">
        <v>129622</v>
      </c>
      <c r="D59" s="275" t="s">
        <v>15315</v>
      </c>
      <c r="E59" s="301">
        <v>1935</v>
      </c>
      <c r="F59" s="303">
        <v>43009</v>
      </c>
      <c r="G59" s="301">
        <v>1935</v>
      </c>
      <c r="H59" s="301">
        <f>Tabla15[[#This Row],[Importe]]-Tabla15[[#This Row],[Pagado]]</f>
        <v>0</v>
      </c>
      <c r="I59" s="275" t="s">
        <v>15214</v>
      </c>
    </row>
    <row r="60" spans="1:9" x14ac:dyDescent="0.25">
      <c r="A60" s="420">
        <v>43009</v>
      </c>
      <c r="B60" s="302" t="s">
        <v>31688</v>
      </c>
      <c r="C60">
        <v>129623</v>
      </c>
      <c r="D60" s="275" t="s">
        <v>15435</v>
      </c>
      <c r="E60" s="301">
        <v>8755.2000000000007</v>
      </c>
      <c r="F60" s="303">
        <v>43009</v>
      </c>
      <c r="G60" s="301">
        <v>8755.2000000000007</v>
      </c>
      <c r="H60" s="301">
        <f>Tabla15[[#This Row],[Importe]]-Tabla15[[#This Row],[Pagado]]</f>
        <v>0</v>
      </c>
      <c r="I60" s="275" t="s">
        <v>15214</v>
      </c>
    </row>
    <row r="61" spans="1:9" x14ac:dyDescent="0.25">
      <c r="A61" s="420">
        <v>43009</v>
      </c>
      <c r="B61" s="302" t="s">
        <v>31689</v>
      </c>
      <c r="C61">
        <v>129624</v>
      </c>
      <c r="D61" s="275" t="s">
        <v>15541</v>
      </c>
      <c r="E61" s="301">
        <v>1059.2</v>
      </c>
      <c r="F61" s="303">
        <v>43010</v>
      </c>
      <c r="G61" s="301">
        <v>1059.2</v>
      </c>
      <c r="H61" s="301">
        <f>Tabla15[[#This Row],[Importe]]-Tabla15[[#This Row],[Pagado]]</f>
        <v>0</v>
      </c>
      <c r="I61" s="275" t="s">
        <v>15214</v>
      </c>
    </row>
    <row r="62" spans="1:9" x14ac:dyDescent="0.25">
      <c r="A62" s="420">
        <v>43009</v>
      </c>
      <c r="B62" s="302" t="s">
        <v>31690</v>
      </c>
      <c r="C62">
        <v>129625</v>
      </c>
      <c r="D62" s="275" t="s">
        <v>16126</v>
      </c>
      <c r="E62" s="301">
        <v>681.6</v>
      </c>
      <c r="F62" s="303">
        <v>43011</v>
      </c>
      <c r="G62" s="301">
        <v>681.6</v>
      </c>
      <c r="H62" s="301">
        <f>Tabla15[[#This Row],[Importe]]-Tabla15[[#This Row],[Pagado]]</f>
        <v>0</v>
      </c>
      <c r="I62" s="275" t="s">
        <v>15214</v>
      </c>
    </row>
    <row r="63" spans="1:9" x14ac:dyDescent="0.25">
      <c r="A63" s="420">
        <v>43010</v>
      </c>
      <c r="B63" s="302" t="s">
        <v>31691</v>
      </c>
      <c r="C63">
        <v>129626</v>
      </c>
      <c r="D63" s="275" t="s">
        <v>21386</v>
      </c>
      <c r="E63" s="301">
        <v>9997.7999999999993</v>
      </c>
      <c r="F63" s="303">
        <v>43011</v>
      </c>
      <c r="G63" s="301">
        <v>9997.7999999999993</v>
      </c>
      <c r="H63" s="301">
        <f>Tabla15[[#This Row],[Importe]]-Tabla15[[#This Row],[Pagado]]</f>
        <v>0</v>
      </c>
      <c r="I63" s="275" t="s">
        <v>15214</v>
      </c>
    </row>
    <row r="64" spans="1:9" x14ac:dyDescent="0.25">
      <c r="A64" s="420">
        <v>43010</v>
      </c>
      <c r="B64" s="302" t="s">
        <v>31692</v>
      </c>
      <c r="C64">
        <v>129627</v>
      </c>
      <c r="D64" s="275" t="s">
        <v>15213</v>
      </c>
      <c r="E64" s="301">
        <v>43137.9</v>
      </c>
      <c r="F64" s="303">
        <v>43011</v>
      </c>
      <c r="G64" s="301">
        <v>43137.9</v>
      </c>
      <c r="H64" s="301">
        <f>Tabla15[[#This Row],[Importe]]-Tabla15[[#This Row],[Pagado]]</f>
        <v>0</v>
      </c>
      <c r="I64" s="275" t="s">
        <v>15214</v>
      </c>
    </row>
    <row r="65" spans="1:9" x14ac:dyDescent="0.25">
      <c r="A65" s="420">
        <v>43010</v>
      </c>
      <c r="B65" s="302" t="s">
        <v>31693</v>
      </c>
      <c r="C65">
        <v>129628</v>
      </c>
      <c r="D65" s="275" t="s">
        <v>15242</v>
      </c>
      <c r="E65" s="301">
        <v>4896</v>
      </c>
      <c r="F65" s="303">
        <v>43011</v>
      </c>
      <c r="G65" s="301">
        <v>4896</v>
      </c>
      <c r="H65" s="301">
        <f>Tabla15[[#This Row],[Importe]]-Tabla15[[#This Row],[Pagado]]</f>
        <v>0</v>
      </c>
      <c r="I65" s="275" t="s">
        <v>15214</v>
      </c>
    </row>
    <row r="66" spans="1:9" x14ac:dyDescent="0.25">
      <c r="A66" s="420">
        <v>43010</v>
      </c>
      <c r="B66" s="302" t="s">
        <v>31694</v>
      </c>
      <c r="C66">
        <v>129629</v>
      </c>
      <c r="D66" s="275" t="s">
        <v>29150</v>
      </c>
      <c r="E66" s="301">
        <v>4530.8</v>
      </c>
      <c r="F66" s="303">
        <v>43010</v>
      </c>
      <c r="G66" s="301">
        <v>4530.8</v>
      </c>
      <c r="H66" s="301">
        <f>Tabla15[[#This Row],[Importe]]-Tabla15[[#This Row],[Pagado]]</f>
        <v>0</v>
      </c>
      <c r="I66" s="275" t="s">
        <v>15214</v>
      </c>
    </row>
    <row r="67" spans="1:9" x14ac:dyDescent="0.25">
      <c r="A67" s="420">
        <v>43010</v>
      </c>
      <c r="B67" s="302" t="s">
        <v>31695</v>
      </c>
      <c r="C67">
        <v>129630</v>
      </c>
      <c r="D67" s="275" t="s">
        <v>15407</v>
      </c>
      <c r="E67" s="301">
        <v>1505.6</v>
      </c>
      <c r="F67" s="303">
        <v>43010</v>
      </c>
      <c r="G67" s="301">
        <v>1505.6</v>
      </c>
      <c r="H67" s="301">
        <f>Tabla15[[#This Row],[Importe]]-Tabla15[[#This Row],[Pagado]]</f>
        <v>0</v>
      </c>
      <c r="I67" s="275" t="s">
        <v>15214</v>
      </c>
    </row>
    <row r="68" spans="1:9" x14ac:dyDescent="0.25">
      <c r="A68" s="420">
        <v>43010</v>
      </c>
      <c r="B68" s="302" t="s">
        <v>31696</v>
      </c>
      <c r="C68">
        <v>129631</v>
      </c>
      <c r="D68" s="275" t="s">
        <v>15232</v>
      </c>
      <c r="E68" s="301">
        <v>6185.4</v>
      </c>
      <c r="F68" s="303">
        <v>43013</v>
      </c>
      <c r="G68" s="301">
        <v>6185.4</v>
      </c>
      <c r="H68" s="301">
        <f>Tabla15[[#This Row],[Importe]]-Tabla15[[#This Row],[Pagado]]</f>
        <v>0</v>
      </c>
      <c r="I68" s="275" t="s">
        <v>15214</v>
      </c>
    </row>
    <row r="69" spans="1:9" x14ac:dyDescent="0.25">
      <c r="A69" s="420">
        <v>43010</v>
      </c>
      <c r="B69" s="302" t="s">
        <v>31697</v>
      </c>
      <c r="C69">
        <v>129632</v>
      </c>
      <c r="D69" s="275" t="s">
        <v>30057</v>
      </c>
      <c r="E69" s="301">
        <v>3283.2</v>
      </c>
      <c r="F69" s="303">
        <v>43011</v>
      </c>
      <c r="G69" s="301">
        <v>3283.2</v>
      </c>
      <c r="H69" s="301">
        <f>Tabla15[[#This Row],[Importe]]-Tabla15[[#This Row],[Pagado]]</f>
        <v>0</v>
      </c>
      <c r="I69" s="275" t="s">
        <v>15214</v>
      </c>
    </row>
    <row r="70" spans="1:9" x14ac:dyDescent="0.25">
      <c r="A70" s="420">
        <v>43010</v>
      </c>
      <c r="B70" s="302" t="s">
        <v>31698</v>
      </c>
      <c r="C70">
        <v>129633</v>
      </c>
      <c r="D70" s="275" t="s">
        <v>15234</v>
      </c>
      <c r="E70" s="301">
        <v>2941.2</v>
      </c>
      <c r="F70" s="303">
        <v>43011</v>
      </c>
      <c r="G70" s="301">
        <v>2941.2</v>
      </c>
      <c r="H70" s="301">
        <f>Tabla15[[#This Row],[Importe]]-Tabla15[[#This Row],[Pagado]]</f>
        <v>0</v>
      </c>
      <c r="I70" s="275" t="s">
        <v>15214</v>
      </c>
    </row>
    <row r="71" spans="1:9" x14ac:dyDescent="0.25">
      <c r="A71" s="420">
        <v>43010</v>
      </c>
      <c r="B71" s="302" t="s">
        <v>31699</v>
      </c>
      <c r="C71">
        <v>129634</v>
      </c>
      <c r="D71" s="275" t="s">
        <v>15487</v>
      </c>
      <c r="E71" s="301">
        <v>7054.9</v>
      </c>
      <c r="F71" s="303">
        <v>43010</v>
      </c>
      <c r="G71" s="301">
        <v>7054.9</v>
      </c>
      <c r="H71" s="301">
        <f>Tabla15[[#This Row],[Importe]]-Tabla15[[#This Row],[Pagado]]</f>
        <v>0</v>
      </c>
      <c r="I71" s="275" t="s">
        <v>15214</v>
      </c>
    </row>
    <row r="72" spans="1:9" x14ac:dyDescent="0.25">
      <c r="A72" s="420">
        <v>43010</v>
      </c>
      <c r="B72" s="302" t="s">
        <v>31700</v>
      </c>
      <c r="C72">
        <v>129635</v>
      </c>
      <c r="D72" s="275" t="s">
        <v>15236</v>
      </c>
      <c r="E72" s="301">
        <v>3333.8</v>
      </c>
      <c r="F72" s="303">
        <v>43012</v>
      </c>
      <c r="G72" s="301">
        <v>3333.8</v>
      </c>
      <c r="H72" s="301">
        <f>Tabla15[[#This Row],[Importe]]-Tabla15[[#This Row],[Pagado]]</f>
        <v>0</v>
      </c>
      <c r="I72" s="275" t="s">
        <v>15214</v>
      </c>
    </row>
    <row r="73" spans="1:9" ht="30" x14ac:dyDescent="0.25">
      <c r="A73" s="420">
        <v>43010</v>
      </c>
      <c r="B73" s="302" t="s">
        <v>31701</v>
      </c>
      <c r="C73">
        <v>129636</v>
      </c>
      <c r="D73" s="275" t="s">
        <v>15258</v>
      </c>
      <c r="E73" s="301">
        <v>10488</v>
      </c>
      <c r="F73" s="303" t="s">
        <v>31702</v>
      </c>
      <c r="G73" s="305">
        <f>2500+7988</f>
        <v>10488</v>
      </c>
      <c r="H73" s="305">
        <f>Tabla15[[#This Row],[Importe]]-Tabla15[[#This Row],[Pagado]]</f>
        <v>0</v>
      </c>
      <c r="I73" s="275" t="s">
        <v>15214</v>
      </c>
    </row>
    <row r="74" spans="1:9" x14ac:dyDescent="0.25">
      <c r="A74" s="420">
        <v>43010</v>
      </c>
      <c r="B74" s="302" t="s">
        <v>31703</v>
      </c>
      <c r="C74">
        <v>129637</v>
      </c>
      <c r="D74" s="275" t="s">
        <v>15338</v>
      </c>
      <c r="E74" s="301">
        <v>7790.4</v>
      </c>
      <c r="F74" s="303">
        <v>43013</v>
      </c>
      <c r="G74" s="301">
        <v>7790.4</v>
      </c>
      <c r="H74" s="301">
        <f>Tabla15[[#This Row],[Importe]]-Tabla15[[#This Row],[Pagado]]</f>
        <v>0</v>
      </c>
      <c r="I74" s="275" t="s">
        <v>15214</v>
      </c>
    </row>
    <row r="75" spans="1:9" ht="30" x14ac:dyDescent="0.25">
      <c r="A75" s="420">
        <v>43010</v>
      </c>
      <c r="B75" s="302" t="s">
        <v>31704</v>
      </c>
      <c r="C75">
        <v>129638</v>
      </c>
      <c r="D75" s="275" t="s">
        <v>19780</v>
      </c>
      <c r="E75" s="301">
        <v>8975.6</v>
      </c>
      <c r="F75" s="303" t="s">
        <v>31613</v>
      </c>
      <c r="G75" s="305">
        <f>3000+5975.6</f>
        <v>8975.6</v>
      </c>
      <c r="H75" s="305">
        <f>Tabla15[[#This Row],[Importe]]-Tabla15[[#This Row],[Pagado]]</f>
        <v>0</v>
      </c>
      <c r="I75" s="275" t="s">
        <v>15214</v>
      </c>
    </row>
    <row r="76" spans="1:9" x14ac:dyDescent="0.25">
      <c r="A76" s="420">
        <v>43010</v>
      </c>
      <c r="B76" s="302" t="s">
        <v>31705</v>
      </c>
      <c r="C76">
        <v>129639</v>
      </c>
      <c r="D76" s="275" t="s">
        <v>15324</v>
      </c>
      <c r="E76" s="301">
        <v>1081</v>
      </c>
      <c r="F76" s="303">
        <v>43010</v>
      </c>
      <c r="G76" s="301">
        <v>1081</v>
      </c>
      <c r="H76" s="301">
        <f>Tabla15[[#This Row],[Importe]]-Tabla15[[#This Row],[Pagado]]</f>
        <v>0</v>
      </c>
      <c r="I76" s="275" t="s">
        <v>15214</v>
      </c>
    </row>
    <row r="77" spans="1:9" x14ac:dyDescent="0.25">
      <c r="A77" s="420">
        <v>43010</v>
      </c>
      <c r="B77" s="302" t="s">
        <v>31706</v>
      </c>
      <c r="C77">
        <v>129640</v>
      </c>
      <c r="D77" s="275" t="s">
        <v>15272</v>
      </c>
      <c r="E77" s="301">
        <v>21688.400000000001</v>
      </c>
      <c r="F77" s="303">
        <v>43010</v>
      </c>
      <c r="G77" s="301">
        <v>21688.400000000001</v>
      </c>
      <c r="H77" s="301">
        <f>Tabla15[[#This Row],[Importe]]-Tabla15[[#This Row],[Pagado]]</f>
        <v>0</v>
      </c>
      <c r="I77" s="275" t="s">
        <v>15214</v>
      </c>
    </row>
    <row r="78" spans="1:9" x14ac:dyDescent="0.25">
      <c r="A78" s="420">
        <v>43010</v>
      </c>
      <c r="B78" s="302" t="s">
        <v>31707</v>
      </c>
      <c r="C78">
        <v>129641</v>
      </c>
      <c r="D78" s="275" t="s">
        <v>15263</v>
      </c>
      <c r="E78" s="301">
        <v>4508.1000000000004</v>
      </c>
      <c r="F78" s="303">
        <v>43010</v>
      </c>
      <c r="G78" s="301">
        <v>4508.1000000000004</v>
      </c>
      <c r="H78" s="301">
        <f>Tabla15[[#This Row],[Importe]]-Tabla15[[#This Row],[Pagado]]</f>
        <v>0</v>
      </c>
      <c r="I78" s="275" t="s">
        <v>15214</v>
      </c>
    </row>
    <row r="79" spans="1:9" x14ac:dyDescent="0.25">
      <c r="A79" s="420">
        <v>43010</v>
      </c>
      <c r="B79" s="302" t="s">
        <v>31708</v>
      </c>
      <c r="C79">
        <v>129642</v>
      </c>
      <c r="D79" s="275" t="s">
        <v>15226</v>
      </c>
      <c r="E79" s="301">
        <v>1592.8</v>
      </c>
      <c r="F79" s="303">
        <v>43011</v>
      </c>
      <c r="G79" s="301">
        <v>1592.8</v>
      </c>
      <c r="H79" s="301">
        <f>Tabla15[[#This Row],[Importe]]-Tabla15[[#This Row],[Pagado]]</f>
        <v>0</v>
      </c>
      <c r="I79" s="275" t="s">
        <v>15214</v>
      </c>
    </row>
    <row r="80" spans="1:9" x14ac:dyDescent="0.25">
      <c r="A80" s="420">
        <v>43010</v>
      </c>
      <c r="B80" s="302" t="s">
        <v>31709</v>
      </c>
      <c r="C80">
        <v>129643</v>
      </c>
      <c r="D80" s="275" t="s">
        <v>15230</v>
      </c>
      <c r="E80" s="301">
        <v>8928</v>
      </c>
      <c r="F80" s="303">
        <v>43012</v>
      </c>
      <c r="G80" s="301">
        <v>8928</v>
      </c>
      <c r="H80" s="301">
        <f>Tabla15[[#This Row],[Importe]]-Tabla15[[#This Row],[Pagado]]</f>
        <v>0</v>
      </c>
      <c r="I80" s="275" t="s">
        <v>15214</v>
      </c>
    </row>
    <row r="81" spans="1:9" x14ac:dyDescent="0.25">
      <c r="A81" s="420">
        <v>43010</v>
      </c>
      <c r="B81" s="302" t="s">
        <v>31710</v>
      </c>
      <c r="C81">
        <v>129644</v>
      </c>
      <c r="D81" s="275" t="s">
        <v>15246</v>
      </c>
      <c r="E81" s="301">
        <v>92893.2</v>
      </c>
      <c r="F81" s="303">
        <v>43011</v>
      </c>
      <c r="G81" s="301">
        <v>92893.2</v>
      </c>
      <c r="H81" s="301">
        <f>Tabla15[[#This Row],[Importe]]-Tabla15[[#This Row],[Pagado]]</f>
        <v>0</v>
      </c>
      <c r="I81" s="275" t="s">
        <v>15214</v>
      </c>
    </row>
    <row r="82" spans="1:9" x14ac:dyDescent="0.25">
      <c r="A82" s="420">
        <v>43010</v>
      </c>
      <c r="B82" s="302" t="s">
        <v>31711</v>
      </c>
      <c r="C82">
        <v>129645</v>
      </c>
      <c r="D82" s="275" t="s">
        <v>15334</v>
      </c>
      <c r="E82" s="301">
        <v>2772</v>
      </c>
      <c r="F82" s="303">
        <v>43010</v>
      </c>
      <c r="G82" s="301">
        <v>2772</v>
      </c>
      <c r="H82" s="301">
        <f>Tabla15[[#This Row],[Importe]]-Tabla15[[#This Row],[Pagado]]</f>
        <v>0</v>
      </c>
      <c r="I82" s="275" t="s">
        <v>15214</v>
      </c>
    </row>
    <row r="83" spans="1:9" x14ac:dyDescent="0.25">
      <c r="A83" s="420">
        <v>43010</v>
      </c>
      <c r="B83" s="302" t="s">
        <v>31712</v>
      </c>
      <c r="C83">
        <v>129646</v>
      </c>
      <c r="D83" s="275" t="s">
        <v>15385</v>
      </c>
      <c r="E83" s="301">
        <v>14132.8</v>
      </c>
      <c r="F83" s="303">
        <v>43010</v>
      </c>
      <c r="G83" s="301">
        <v>14132.8</v>
      </c>
      <c r="H83" s="301">
        <f>Tabla15[[#This Row],[Importe]]-Tabla15[[#This Row],[Pagado]]</f>
        <v>0</v>
      </c>
      <c r="I83" s="275" t="s">
        <v>15214</v>
      </c>
    </row>
    <row r="84" spans="1:9" ht="30" x14ac:dyDescent="0.25">
      <c r="A84" s="420">
        <v>43010</v>
      </c>
      <c r="B84" s="302" t="s">
        <v>31713</v>
      </c>
      <c r="C84">
        <v>129647</v>
      </c>
      <c r="D84" s="275" t="s">
        <v>15480</v>
      </c>
      <c r="E84" s="301">
        <v>3617.6</v>
      </c>
      <c r="F84" s="303" t="s">
        <v>31613</v>
      </c>
      <c r="G84" s="421">
        <f>1000+2617.6</f>
        <v>3617.6</v>
      </c>
      <c r="H84" s="421">
        <f>Tabla15[[#This Row],[Importe]]-Tabla15[[#This Row],[Pagado]]</f>
        <v>0</v>
      </c>
      <c r="I84" s="275" t="s">
        <v>15214</v>
      </c>
    </row>
    <row r="85" spans="1:9" x14ac:dyDescent="0.25">
      <c r="A85" s="420">
        <v>43010</v>
      </c>
      <c r="B85" s="302" t="s">
        <v>31714</v>
      </c>
      <c r="C85">
        <v>129648</v>
      </c>
      <c r="D85" s="275" t="s">
        <v>5575</v>
      </c>
      <c r="E85" s="301">
        <v>6399.2</v>
      </c>
      <c r="F85" s="303">
        <v>43011</v>
      </c>
      <c r="G85" s="301">
        <v>6399.2</v>
      </c>
      <c r="H85" s="301">
        <f>Tabla15[[#This Row],[Importe]]-Tabla15[[#This Row],[Pagado]]</f>
        <v>0</v>
      </c>
      <c r="I85" s="275" t="s">
        <v>15214</v>
      </c>
    </row>
    <row r="86" spans="1:9" x14ac:dyDescent="0.25">
      <c r="A86" s="420">
        <v>43010</v>
      </c>
      <c r="B86" s="302" t="s">
        <v>31715</v>
      </c>
      <c r="C86">
        <v>129649</v>
      </c>
      <c r="D86" s="275" t="s">
        <v>15336</v>
      </c>
      <c r="E86" s="301">
        <v>5031.6000000000004</v>
      </c>
      <c r="F86" s="303">
        <v>43010</v>
      </c>
      <c r="G86" s="301">
        <v>5031.6000000000004</v>
      </c>
      <c r="H86" s="301">
        <f>Tabla15[[#This Row],[Importe]]-Tabla15[[#This Row],[Pagado]]</f>
        <v>0</v>
      </c>
      <c r="I86" s="275" t="s">
        <v>15214</v>
      </c>
    </row>
    <row r="87" spans="1:9" x14ac:dyDescent="0.25">
      <c r="A87" s="420">
        <v>43010</v>
      </c>
      <c r="B87" s="302" t="s">
        <v>31716</v>
      </c>
      <c r="C87">
        <v>129650</v>
      </c>
      <c r="D87" s="275" t="s">
        <v>17462</v>
      </c>
      <c r="E87" s="301">
        <v>5796.7</v>
      </c>
      <c r="F87" s="303">
        <v>43010</v>
      </c>
      <c r="G87" s="301">
        <v>5796.7</v>
      </c>
      <c r="H87" s="301">
        <f>Tabla15[[#This Row],[Importe]]-Tabla15[[#This Row],[Pagado]]</f>
        <v>0</v>
      </c>
      <c r="I87" s="275" t="s">
        <v>15214</v>
      </c>
    </row>
    <row r="88" spans="1:9" x14ac:dyDescent="0.25">
      <c r="A88" s="420">
        <v>43010</v>
      </c>
      <c r="B88" s="302" t="s">
        <v>31717</v>
      </c>
      <c r="C88">
        <v>129651</v>
      </c>
      <c r="D88" s="275" t="s">
        <v>15725</v>
      </c>
      <c r="E88" s="301">
        <v>2008</v>
      </c>
      <c r="F88" s="303">
        <v>43010</v>
      </c>
      <c r="G88" s="301">
        <v>2008</v>
      </c>
      <c r="H88" s="301">
        <f>Tabla15[[#This Row],[Importe]]-Tabla15[[#This Row],[Pagado]]</f>
        <v>0</v>
      </c>
      <c r="I88" s="275" t="s">
        <v>15214</v>
      </c>
    </row>
    <row r="89" spans="1:9" x14ac:dyDescent="0.25">
      <c r="A89" s="420">
        <v>43010</v>
      </c>
      <c r="B89" s="302" t="s">
        <v>31718</v>
      </c>
      <c r="C89">
        <v>129652</v>
      </c>
      <c r="D89" s="275" t="s">
        <v>15725</v>
      </c>
      <c r="E89" s="301">
        <v>246</v>
      </c>
      <c r="F89" s="303">
        <v>43010</v>
      </c>
      <c r="G89" s="301">
        <v>246</v>
      </c>
      <c r="H89" s="301">
        <f>Tabla15[[#This Row],[Importe]]-Tabla15[[#This Row],[Pagado]]</f>
        <v>0</v>
      </c>
      <c r="I89" s="275" t="s">
        <v>15214</v>
      </c>
    </row>
    <row r="90" spans="1:9" x14ac:dyDescent="0.25">
      <c r="A90" s="420">
        <v>43010</v>
      </c>
      <c r="B90" s="302" t="s">
        <v>31719</v>
      </c>
      <c r="C90">
        <v>129653</v>
      </c>
      <c r="D90" s="275" t="s">
        <v>15356</v>
      </c>
      <c r="E90" s="301">
        <v>489.8</v>
      </c>
      <c r="F90" s="303">
        <v>43010</v>
      </c>
      <c r="G90" s="301">
        <v>489.8</v>
      </c>
      <c r="H90" s="301">
        <f>Tabla15[[#This Row],[Importe]]-Tabla15[[#This Row],[Pagado]]</f>
        <v>0</v>
      </c>
      <c r="I90" s="275" t="s">
        <v>15214</v>
      </c>
    </row>
    <row r="91" spans="1:9" x14ac:dyDescent="0.25">
      <c r="A91" s="420">
        <v>43010</v>
      </c>
      <c r="B91" s="302" t="s">
        <v>31720</v>
      </c>
      <c r="C91">
        <v>129654</v>
      </c>
      <c r="D91" s="275" t="s">
        <v>15238</v>
      </c>
      <c r="E91" s="301">
        <v>5449.4</v>
      </c>
      <c r="F91" s="303">
        <v>43012</v>
      </c>
      <c r="G91" s="301">
        <v>5449.4</v>
      </c>
      <c r="H91" s="301">
        <f>Tabla15[[#This Row],[Importe]]-Tabla15[[#This Row],[Pagado]]</f>
        <v>0</v>
      </c>
      <c r="I91" s="275" t="s">
        <v>15214</v>
      </c>
    </row>
    <row r="92" spans="1:9" x14ac:dyDescent="0.25">
      <c r="A92" s="420">
        <v>43010</v>
      </c>
      <c r="B92" s="302" t="s">
        <v>31721</v>
      </c>
      <c r="C92">
        <v>129655</v>
      </c>
      <c r="D92" s="275" t="s">
        <v>15240</v>
      </c>
      <c r="E92" s="301">
        <v>3008</v>
      </c>
      <c r="F92" s="303">
        <v>43012</v>
      </c>
      <c r="G92" s="301">
        <v>3008</v>
      </c>
      <c r="H92" s="301">
        <f>Tabla15[[#This Row],[Importe]]-Tabla15[[#This Row],[Pagado]]</f>
        <v>0</v>
      </c>
      <c r="I92" s="275" t="s">
        <v>15214</v>
      </c>
    </row>
    <row r="93" spans="1:9" x14ac:dyDescent="0.25">
      <c r="A93" s="420">
        <v>43010</v>
      </c>
      <c r="B93" s="302" t="s">
        <v>31722</v>
      </c>
      <c r="C93">
        <v>129656</v>
      </c>
      <c r="D93" s="275" t="s">
        <v>15748</v>
      </c>
      <c r="E93" s="301">
        <v>1560.9</v>
      </c>
      <c r="F93" s="303">
        <v>44106</v>
      </c>
      <c r="G93" s="301">
        <v>1560.9</v>
      </c>
      <c r="H93" s="301">
        <f>Tabla15[[#This Row],[Importe]]-Tabla15[[#This Row],[Pagado]]</f>
        <v>0</v>
      </c>
      <c r="I93" s="275" t="s">
        <v>15214</v>
      </c>
    </row>
    <row r="94" spans="1:9" x14ac:dyDescent="0.25">
      <c r="A94" s="420">
        <v>43010</v>
      </c>
      <c r="B94" s="302" t="s">
        <v>31723</v>
      </c>
      <c r="C94">
        <v>129657</v>
      </c>
      <c r="D94" s="275" t="s">
        <v>15592</v>
      </c>
      <c r="E94" s="301">
        <v>10587.9</v>
      </c>
      <c r="F94" s="303">
        <v>43010</v>
      </c>
      <c r="G94" s="301">
        <v>10587.9</v>
      </c>
      <c r="H94" s="301">
        <f>Tabla15[[#This Row],[Importe]]-Tabla15[[#This Row],[Pagado]]</f>
        <v>0</v>
      </c>
      <c r="I94" s="275" t="s">
        <v>15214</v>
      </c>
    </row>
    <row r="95" spans="1:9" x14ac:dyDescent="0.25">
      <c r="A95" s="420">
        <v>43010</v>
      </c>
      <c r="B95" s="302" t="s">
        <v>31724</v>
      </c>
      <c r="C95">
        <v>129658</v>
      </c>
      <c r="D95" s="275" t="s">
        <v>16484</v>
      </c>
      <c r="E95" s="301">
        <v>1248.5</v>
      </c>
      <c r="F95" s="303">
        <v>43010</v>
      </c>
      <c r="G95" s="301">
        <v>1248.5</v>
      </c>
      <c r="H95" s="301">
        <f>Tabla15[[#This Row],[Importe]]-Tabla15[[#This Row],[Pagado]]</f>
        <v>0</v>
      </c>
      <c r="I95" s="275" t="s">
        <v>15214</v>
      </c>
    </row>
    <row r="96" spans="1:9" x14ac:dyDescent="0.25">
      <c r="A96" s="420">
        <v>43010</v>
      </c>
      <c r="B96" s="302" t="s">
        <v>31725</v>
      </c>
      <c r="C96">
        <v>129659</v>
      </c>
      <c r="D96" s="275" t="s">
        <v>18258</v>
      </c>
      <c r="E96" s="301">
        <v>12139.4</v>
      </c>
      <c r="F96" s="303">
        <v>43010</v>
      </c>
      <c r="G96" s="301">
        <v>12139.4</v>
      </c>
      <c r="H96" s="301">
        <f>Tabla15[[#This Row],[Importe]]-Tabla15[[#This Row],[Pagado]]</f>
        <v>0</v>
      </c>
      <c r="I96" s="275" t="s">
        <v>15214</v>
      </c>
    </row>
    <row r="97" spans="1:9" ht="30" x14ac:dyDescent="0.25">
      <c r="A97" s="420">
        <v>43010</v>
      </c>
      <c r="B97" s="302" t="s">
        <v>31726</v>
      </c>
      <c r="C97">
        <v>129660</v>
      </c>
      <c r="D97" s="275" t="s">
        <v>15668</v>
      </c>
      <c r="E97" s="301">
        <v>20084.900000000001</v>
      </c>
      <c r="F97" s="303" t="s">
        <v>31727</v>
      </c>
      <c r="G97" s="301">
        <f>7433.5+12651.4</f>
        <v>20084.900000000001</v>
      </c>
      <c r="H97" s="301">
        <f>Tabla15[[#This Row],[Importe]]-Tabla15[[#This Row],[Pagado]]</f>
        <v>0</v>
      </c>
      <c r="I97" s="275" t="s">
        <v>15214</v>
      </c>
    </row>
    <row r="98" spans="1:9" x14ac:dyDescent="0.25">
      <c r="A98" s="420">
        <v>43010</v>
      </c>
      <c r="B98" s="302" t="s">
        <v>31728</v>
      </c>
      <c r="C98">
        <v>129661</v>
      </c>
      <c r="D98" s="275" t="s">
        <v>15553</v>
      </c>
      <c r="E98" s="301">
        <v>2672.6</v>
      </c>
      <c r="F98" s="303">
        <v>43010</v>
      </c>
      <c r="G98" s="301">
        <v>2672.6</v>
      </c>
      <c r="H98" s="301">
        <f>Tabla15[[#This Row],[Importe]]-Tabla15[[#This Row],[Pagado]]</f>
        <v>0</v>
      </c>
      <c r="I98" s="275" t="s">
        <v>15214</v>
      </c>
    </row>
    <row r="99" spans="1:9" ht="30" x14ac:dyDescent="0.25">
      <c r="A99" s="420">
        <v>43010</v>
      </c>
      <c r="B99" s="302" t="s">
        <v>31729</v>
      </c>
      <c r="C99">
        <v>129662</v>
      </c>
      <c r="D99" s="275" t="s">
        <v>15256</v>
      </c>
      <c r="E99" s="301">
        <v>4565</v>
      </c>
      <c r="F99" s="303" t="s">
        <v>31702</v>
      </c>
      <c r="G99" s="305">
        <f>4170+395</f>
        <v>4565</v>
      </c>
      <c r="H99" s="305">
        <f>Tabla15[[#This Row],[Importe]]-Tabla15[[#This Row],[Pagado]]</f>
        <v>0</v>
      </c>
      <c r="I99" s="275" t="s">
        <v>15214</v>
      </c>
    </row>
    <row r="100" spans="1:9" x14ac:dyDescent="0.25">
      <c r="A100" s="420">
        <v>43010</v>
      </c>
      <c r="B100" s="302" t="s">
        <v>31730</v>
      </c>
      <c r="C100">
        <v>129663</v>
      </c>
      <c r="D100" s="275" t="s">
        <v>15526</v>
      </c>
      <c r="E100" s="301">
        <v>6292.8</v>
      </c>
      <c r="F100" s="303">
        <v>43010</v>
      </c>
      <c r="G100" s="301">
        <v>6292.8</v>
      </c>
      <c r="H100" s="301">
        <f>Tabla15[[#This Row],[Importe]]-Tabla15[[#This Row],[Pagado]]</f>
        <v>0</v>
      </c>
      <c r="I100" s="275" t="s">
        <v>15214</v>
      </c>
    </row>
    <row r="101" spans="1:9" x14ac:dyDescent="0.25">
      <c r="A101" s="420">
        <v>43010</v>
      </c>
      <c r="B101" s="302" t="s">
        <v>31731</v>
      </c>
      <c r="C101">
        <v>129664</v>
      </c>
      <c r="D101" s="275" t="s">
        <v>15332</v>
      </c>
      <c r="E101" s="301">
        <v>4394.3999999999996</v>
      </c>
      <c r="F101" s="303">
        <v>43010</v>
      </c>
      <c r="G101" s="301">
        <v>4394.3999999999996</v>
      </c>
      <c r="H101" s="301">
        <f>Tabla15[[#This Row],[Importe]]-Tabla15[[#This Row],[Pagado]]</f>
        <v>0</v>
      </c>
      <c r="I101" s="275" t="s">
        <v>15214</v>
      </c>
    </row>
    <row r="102" spans="1:9" x14ac:dyDescent="0.25">
      <c r="A102" s="420">
        <v>43010</v>
      </c>
      <c r="B102" s="302" t="s">
        <v>31732</v>
      </c>
      <c r="C102">
        <v>129665</v>
      </c>
      <c r="D102" s="275" t="s">
        <v>15371</v>
      </c>
      <c r="E102" s="301">
        <v>5869.4</v>
      </c>
      <c r="F102" s="303">
        <v>43011</v>
      </c>
      <c r="G102" s="301">
        <v>5869.4</v>
      </c>
      <c r="H102" s="301">
        <f>Tabla15[[#This Row],[Importe]]-Tabla15[[#This Row],[Pagado]]</f>
        <v>0</v>
      </c>
      <c r="I102" s="275" t="s">
        <v>15214</v>
      </c>
    </row>
    <row r="103" spans="1:9" x14ac:dyDescent="0.25">
      <c r="A103" s="420">
        <v>43010</v>
      </c>
      <c r="B103" s="302" t="s">
        <v>31733</v>
      </c>
      <c r="C103">
        <v>129666</v>
      </c>
      <c r="D103" s="275" t="s">
        <v>15340</v>
      </c>
      <c r="E103" s="301">
        <v>6778.6</v>
      </c>
      <c r="F103" s="303">
        <v>43010</v>
      </c>
      <c r="G103" s="301">
        <v>6778.6</v>
      </c>
      <c r="H103" s="301">
        <f>Tabla15[[#This Row],[Importe]]-Tabla15[[#This Row],[Pagado]]</f>
        <v>0</v>
      </c>
      <c r="I103" s="275" t="s">
        <v>15214</v>
      </c>
    </row>
    <row r="104" spans="1:9" x14ac:dyDescent="0.25">
      <c r="A104" s="420">
        <v>43010</v>
      </c>
      <c r="B104" s="302" t="s">
        <v>31734</v>
      </c>
      <c r="C104">
        <v>129667</v>
      </c>
      <c r="D104" s="275" t="s">
        <v>15278</v>
      </c>
      <c r="E104" s="301">
        <v>3066.6</v>
      </c>
      <c r="F104" s="303">
        <v>43010</v>
      </c>
      <c r="G104" s="301">
        <v>3066.6</v>
      </c>
      <c r="H104" s="301">
        <f>Tabla15[[#This Row],[Importe]]-Tabla15[[#This Row],[Pagado]]</f>
        <v>0</v>
      </c>
      <c r="I104" s="275" t="s">
        <v>15214</v>
      </c>
    </row>
    <row r="105" spans="1:9" x14ac:dyDescent="0.25">
      <c r="A105" s="420">
        <v>43010</v>
      </c>
      <c r="B105" s="302" t="s">
        <v>31735</v>
      </c>
      <c r="C105">
        <v>129668</v>
      </c>
      <c r="D105" s="275" t="s">
        <v>15261</v>
      </c>
      <c r="E105" s="301">
        <v>21498.7</v>
      </c>
      <c r="F105" s="303">
        <v>43010</v>
      </c>
      <c r="G105" s="301">
        <v>21498.7</v>
      </c>
      <c r="H105" s="301">
        <f>Tabla15[[#This Row],[Importe]]-Tabla15[[#This Row],[Pagado]]</f>
        <v>0</v>
      </c>
      <c r="I105" s="275" t="s">
        <v>15214</v>
      </c>
    </row>
    <row r="106" spans="1:9" x14ac:dyDescent="0.25">
      <c r="A106" s="420">
        <v>43010</v>
      </c>
      <c r="B106" s="302" t="s">
        <v>31736</v>
      </c>
      <c r="C106">
        <v>129669</v>
      </c>
      <c r="D106" s="275" t="s">
        <v>15562</v>
      </c>
      <c r="E106" s="301">
        <v>325.60000000000002</v>
      </c>
      <c r="F106" s="303">
        <v>43010</v>
      </c>
      <c r="G106" s="301">
        <v>325.60000000000002</v>
      </c>
      <c r="H106" s="301">
        <f>Tabla15[[#This Row],[Importe]]-Tabla15[[#This Row],[Pagado]]</f>
        <v>0</v>
      </c>
      <c r="I106" s="275" t="s">
        <v>15214</v>
      </c>
    </row>
    <row r="107" spans="1:9" x14ac:dyDescent="0.25">
      <c r="A107" s="420">
        <v>43010</v>
      </c>
      <c r="B107" s="302" t="s">
        <v>31737</v>
      </c>
      <c r="C107">
        <v>129670</v>
      </c>
      <c r="D107" s="275" t="s">
        <v>15248</v>
      </c>
      <c r="E107" s="301">
        <v>24839.9</v>
      </c>
      <c r="F107" s="303">
        <v>43010</v>
      </c>
      <c r="G107" s="301">
        <v>24839.9</v>
      </c>
      <c r="H107" s="301">
        <f>Tabla15[[#This Row],[Importe]]-Tabla15[[#This Row],[Pagado]]</f>
        <v>0</v>
      </c>
      <c r="I107" s="275" t="s">
        <v>15214</v>
      </c>
    </row>
    <row r="108" spans="1:9" x14ac:dyDescent="0.25">
      <c r="A108" s="420">
        <v>43010</v>
      </c>
      <c r="B108" s="302" t="s">
        <v>31738</v>
      </c>
      <c r="C108">
        <v>129671</v>
      </c>
      <c r="D108" s="275" t="s">
        <v>15280</v>
      </c>
      <c r="E108" s="301">
        <v>5146.3500000000004</v>
      </c>
      <c r="F108" s="303">
        <v>43010</v>
      </c>
      <c r="G108" s="301">
        <v>5146.3500000000004</v>
      </c>
      <c r="H108" s="301">
        <f>Tabla15[[#This Row],[Importe]]-Tabla15[[#This Row],[Pagado]]</f>
        <v>0</v>
      </c>
      <c r="I108" s="275" t="s">
        <v>15214</v>
      </c>
    </row>
    <row r="109" spans="1:9" x14ac:dyDescent="0.25">
      <c r="A109" s="420">
        <v>43010</v>
      </c>
      <c r="B109" s="302" t="s">
        <v>31739</v>
      </c>
      <c r="C109">
        <v>129672</v>
      </c>
      <c r="D109" s="275" t="s">
        <v>15248</v>
      </c>
      <c r="E109" s="301">
        <v>1171.32</v>
      </c>
      <c r="F109" s="303">
        <v>43010</v>
      </c>
      <c r="G109" s="301">
        <v>1171.32</v>
      </c>
      <c r="H109" s="301">
        <f>Tabla15[[#This Row],[Importe]]-Tabla15[[#This Row],[Pagado]]</f>
        <v>0</v>
      </c>
      <c r="I109" s="275" t="s">
        <v>15214</v>
      </c>
    </row>
    <row r="110" spans="1:9" x14ac:dyDescent="0.25">
      <c r="A110" s="420">
        <v>43010</v>
      </c>
      <c r="B110" s="302" t="s">
        <v>31740</v>
      </c>
      <c r="C110">
        <v>129673</v>
      </c>
      <c r="D110" s="275" t="s">
        <v>15220</v>
      </c>
      <c r="E110" s="301">
        <v>1720</v>
      </c>
      <c r="F110" s="303">
        <v>43012</v>
      </c>
      <c r="G110" s="301">
        <v>1720</v>
      </c>
      <c r="H110" s="301">
        <f>Tabla15[[#This Row],[Importe]]-Tabla15[[#This Row],[Pagado]]</f>
        <v>0</v>
      </c>
      <c r="I110" s="275" t="s">
        <v>15214</v>
      </c>
    </row>
    <row r="111" spans="1:9" x14ac:dyDescent="0.25">
      <c r="A111" s="420">
        <v>43010</v>
      </c>
      <c r="B111" s="302" t="s">
        <v>31741</v>
      </c>
      <c r="C111">
        <v>129674</v>
      </c>
      <c r="D111" s="275" t="s">
        <v>15348</v>
      </c>
      <c r="E111" s="301">
        <v>3084.7</v>
      </c>
      <c r="F111" s="303">
        <v>43013</v>
      </c>
      <c r="G111" s="301">
        <v>3084.7</v>
      </c>
      <c r="H111" s="301">
        <f>Tabla15[[#This Row],[Importe]]-Tabla15[[#This Row],[Pagado]]</f>
        <v>0</v>
      </c>
      <c r="I111" s="275" t="s">
        <v>15214</v>
      </c>
    </row>
    <row r="112" spans="1:9" x14ac:dyDescent="0.25">
      <c r="A112" s="420">
        <v>43010</v>
      </c>
      <c r="B112" s="302" t="s">
        <v>31742</v>
      </c>
      <c r="C112">
        <v>129675</v>
      </c>
      <c r="D112" s="275" t="s">
        <v>15668</v>
      </c>
      <c r="E112" s="301">
        <v>3527.8</v>
      </c>
      <c r="F112" s="303">
        <v>43014</v>
      </c>
      <c r="G112" s="301">
        <v>3527.8</v>
      </c>
      <c r="H112" s="301">
        <f>Tabla15[[#This Row],[Importe]]-Tabla15[[#This Row],[Pagado]]</f>
        <v>0</v>
      </c>
      <c r="I112" s="275" t="s">
        <v>15214</v>
      </c>
    </row>
    <row r="113" spans="1:9" x14ac:dyDescent="0.25">
      <c r="A113" s="420">
        <v>43010</v>
      </c>
      <c r="B113" s="302" t="s">
        <v>31743</v>
      </c>
      <c r="C113">
        <v>129676</v>
      </c>
      <c r="D113" s="275" t="s">
        <v>15344</v>
      </c>
      <c r="E113" s="301">
        <v>2335.5</v>
      </c>
      <c r="F113" s="303">
        <v>43010</v>
      </c>
      <c r="G113" s="301">
        <v>2335.5</v>
      </c>
      <c r="H113" s="301">
        <f>Tabla15[[#This Row],[Importe]]-Tabla15[[#This Row],[Pagado]]</f>
        <v>0</v>
      </c>
      <c r="I113" s="275" t="s">
        <v>15214</v>
      </c>
    </row>
    <row r="114" spans="1:9" x14ac:dyDescent="0.25">
      <c r="A114" s="420">
        <v>43010</v>
      </c>
      <c r="B114" s="302" t="s">
        <v>31744</v>
      </c>
      <c r="C114">
        <v>129677</v>
      </c>
      <c r="D114" s="275" t="s">
        <v>15340</v>
      </c>
      <c r="E114" s="301">
        <v>288.39999999999998</v>
      </c>
      <c r="F114" s="303">
        <v>43010</v>
      </c>
      <c r="G114" s="301">
        <v>288.39999999999998</v>
      </c>
      <c r="H114" s="301">
        <f>Tabla15[[#This Row],[Importe]]-Tabla15[[#This Row],[Pagado]]</f>
        <v>0</v>
      </c>
      <c r="I114" s="275" t="s">
        <v>15214</v>
      </c>
    </row>
    <row r="115" spans="1:9" x14ac:dyDescent="0.25">
      <c r="A115" s="420">
        <v>43010</v>
      </c>
      <c r="B115" s="302" t="s">
        <v>31745</v>
      </c>
      <c r="C115">
        <v>129678</v>
      </c>
      <c r="D115" s="275" t="s">
        <v>16171</v>
      </c>
      <c r="E115" s="301">
        <v>442.8</v>
      </c>
      <c r="F115" s="303">
        <v>43010</v>
      </c>
      <c r="G115" s="301">
        <v>442.8</v>
      </c>
      <c r="H115" s="301">
        <f>Tabla15[[#This Row],[Importe]]-Tabla15[[#This Row],[Pagado]]</f>
        <v>0</v>
      </c>
      <c r="I115" s="275" t="s">
        <v>15214</v>
      </c>
    </row>
    <row r="116" spans="1:9" x14ac:dyDescent="0.25">
      <c r="A116" s="420">
        <v>43010</v>
      </c>
      <c r="B116" s="302" t="s">
        <v>31746</v>
      </c>
      <c r="C116">
        <v>129679</v>
      </c>
      <c r="D116" s="275" t="s">
        <v>15858</v>
      </c>
      <c r="E116" s="301">
        <v>367.2</v>
      </c>
      <c r="F116" s="303">
        <v>43010</v>
      </c>
      <c r="G116" s="301">
        <v>367.2</v>
      </c>
      <c r="H116" s="301">
        <f>Tabla15[[#This Row],[Importe]]-Tabla15[[#This Row],[Pagado]]</f>
        <v>0</v>
      </c>
      <c r="I116" s="275" t="s">
        <v>15214</v>
      </c>
    </row>
    <row r="117" spans="1:9" x14ac:dyDescent="0.25">
      <c r="A117" s="420">
        <v>43010</v>
      </c>
      <c r="B117" s="302" t="s">
        <v>31747</v>
      </c>
      <c r="C117">
        <v>129680</v>
      </c>
      <c r="D117" s="275" t="s">
        <v>5880</v>
      </c>
      <c r="E117" s="301">
        <v>75520</v>
      </c>
      <c r="F117" s="303">
        <v>43026</v>
      </c>
      <c r="G117" s="301">
        <v>75520</v>
      </c>
      <c r="H117" s="301">
        <f>Tabla15[[#This Row],[Importe]]-Tabla15[[#This Row],[Pagado]]</f>
        <v>0</v>
      </c>
      <c r="I117" s="275" t="s">
        <v>15214</v>
      </c>
    </row>
    <row r="118" spans="1:9" x14ac:dyDescent="0.25">
      <c r="A118" s="420">
        <v>43010</v>
      </c>
      <c r="B118" s="302" t="s">
        <v>31748</v>
      </c>
      <c r="C118">
        <v>129681</v>
      </c>
      <c r="D118" s="275" t="s">
        <v>15438</v>
      </c>
      <c r="E118" s="301">
        <v>979.6</v>
      </c>
      <c r="F118" s="303">
        <v>43010</v>
      </c>
      <c r="G118" s="301">
        <v>979.6</v>
      </c>
      <c r="H118" s="301">
        <f>Tabla15[[#This Row],[Importe]]-Tabla15[[#This Row],[Pagado]]</f>
        <v>0</v>
      </c>
      <c r="I118" s="275" t="s">
        <v>15214</v>
      </c>
    </row>
    <row r="119" spans="1:9" x14ac:dyDescent="0.25">
      <c r="A119" s="420">
        <v>43010</v>
      </c>
      <c r="B119" s="302" t="s">
        <v>31749</v>
      </c>
      <c r="C119">
        <v>129682</v>
      </c>
      <c r="D119" s="275" t="s">
        <v>15315</v>
      </c>
      <c r="E119" s="301">
        <v>7412.9</v>
      </c>
      <c r="F119" s="303">
        <v>43010</v>
      </c>
      <c r="G119" s="301">
        <v>7412.9</v>
      </c>
      <c r="H119" s="301">
        <f>Tabla15[[#This Row],[Importe]]-Tabla15[[#This Row],[Pagado]]</f>
        <v>0</v>
      </c>
      <c r="I119" s="275" t="s">
        <v>15214</v>
      </c>
    </row>
    <row r="120" spans="1:9" x14ac:dyDescent="0.25">
      <c r="A120" s="420">
        <v>43010</v>
      </c>
      <c r="B120" s="302" t="s">
        <v>31750</v>
      </c>
      <c r="C120">
        <v>129683</v>
      </c>
      <c r="D120" s="275" t="s">
        <v>5828</v>
      </c>
      <c r="E120" s="301">
        <v>9030</v>
      </c>
      <c r="F120" s="303">
        <v>43010</v>
      </c>
      <c r="G120" s="301">
        <v>9030</v>
      </c>
      <c r="H120" s="301">
        <f>Tabla15[[#This Row],[Importe]]-Tabla15[[#This Row],[Pagado]]</f>
        <v>0</v>
      </c>
      <c r="I120" s="275" t="s">
        <v>15214</v>
      </c>
    </row>
    <row r="121" spans="1:9" x14ac:dyDescent="0.25">
      <c r="A121" s="420">
        <v>43010</v>
      </c>
      <c r="B121" s="302" t="s">
        <v>31751</v>
      </c>
      <c r="C121">
        <v>129684</v>
      </c>
      <c r="D121" s="275" t="s">
        <v>15549</v>
      </c>
      <c r="E121" s="301">
        <v>1861.9</v>
      </c>
      <c r="F121" s="303">
        <v>43010</v>
      </c>
      <c r="G121" s="301">
        <v>1861.9</v>
      </c>
      <c r="H121" s="301">
        <f>Tabla15[[#This Row],[Importe]]-Tabla15[[#This Row],[Pagado]]</f>
        <v>0</v>
      </c>
      <c r="I121" s="275" t="s">
        <v>15214</v>
      </c>
    </row>
    <row r="122" spans="1:9" x14ac:dyDescent="0.25">
      <c r="A122" s="420">
        <v>43010</v>
      </c>
      <c r="B122" s="302" t="s">
        <v>31752</v>
      </c>
      <c r="C122">
        <v>129685</v>
      </c>
      <c r="D122" s="275" t="s">
        <v>15530</v>
      </c>
      <c r="E122" s="301">
        <v>2964</v>
      </c>
      <c r="F122" s="303">
        <v>43010</v>
      </c>
      <c r="G122" s="301">
        <v>2964</v>
      </c>
      <c r="H122" s="301">
        <f>Tabla15[[#This Row],[Importe]]-Tabla15[[#This Row],[Pagado]]</f>
        <v>0</v>
      </c>
      <c r="I122" s="275" t="s">
        <v>15214</v>
      </c>
    </row>
    <row r="123" spans="1:9" x14ac:dyDescent="0.25">
      <c r="A123" s="420">
        <v>43010</v>
      </c>
      <c r="B123" s="302" t="s">
        <v>31753</v>
      </c>
      <c r="C123">
        <v>129686</v>
      </c>
      <c r="D123" s="275" t="s">
        <v>15394</v>
      </c>
      <c r="E123" s="301">
        <v>1235.5999999999999</v>
      </c>
      <c r="F123" s="303">
        <v>43011</v>
      </c>
      <c r="G123" s="301">
        <v>1235.5999999999999</v>
      </c>
      <c r="H123" s="301">
        <f>Tabla15[[#This Row],[Importe]]-Tabla15[[#This Row],[Pagado]]</f>
        <v>0</v>
      </c>
      <c r="I123" s="275" t="s">
        <v>15214</v>
      </c>
    </row>
    <row r="124" spans="1:9" x14ac:dyDescent="0.25">
      <c r="A124" s="420">
        <v>43010</v>
      </c>
      <c r="B124" s="302" t="s">
        <v>31754</v>
      </c>
      <c r="C124">
        <v>129687</v>
      </c>
      <c r="D124" s="275" t="s">
        <v>15373</v>
      </c>
      <c r="E124" s="301">
        <v>7135.2</v>
      </c>
      <c r="F124" s="303">
        <v>43013</v>
      </c>
      <c r="G124" s="301">
        <v>7135.2</v>
      </c>
      <c r="H124" s="301">
        <f>Tabla15[[#This Row],[Importe]]-Tabla15[[#This Row],[Pagado]]</f>
        <v>0</v>
      </c>
      <c r="I124" s="275" t="s">
        <v>15214</v>
      </c>
    </row>
    <row r="125" spans="1:9" x14ac:dyDescent="0.25">
      <c r="A125" s="420">
        <v>43010</v>
      </c>
      <c r="B125" s="302" t="s">
        <v>31755</v>
      </c>
      <c r="C125">
        <v>129688</v>
      </c>
      <c r="D125" s="275" t="s">
        <v>15387</v>
      </c>
      <c r="E125" s="301">
        <v>1765.2</v>
      </c>
      <c r="F125" s="303">
        <v>43012</v>
      </c>
      <c r="G125" s="301">
        <v>1765.2</v>
      </c>
      <c r="H125" s="301">
        <f>Tabla15[[#This Row],[Importe]]-Tabla15[[#This Row],[Pagado]]</f>
        <v>0</v>
      </c>
      <c r="I125" s="275" t="s">
        <v>15214</v>
      </c>
    </row>
    <row r="126" spans="1:9" ht="15.75" x14ac:dyDescent="0.25">
      <c r="A126" s="420">
        <v>43010</v>
      </c>
      <c r="B126" s="302" t="s">
        <v>31756</v>
      </c>
      <c r="C126">
        <v>129689</v>
      </c>
      <c r="D126" s="248" t="s">
        <v>95</v>
      </c>
      <c r="E126" s="301">
        <v>0</v>
      </c>
      <c r="F126" s="243" t="s">
        <v>95</v>
      </c>
      <c r="G126" s="301">
        <v>0</v>
      </c>
      <c r="H126" s="301">
        <f>Tabla15[[#This Row],[Importe]]-Tabla15[[#This Row],[Pagado]]</f>
        <v>0</v>
      </c>
      <c r="I126" s="275" t="s">
        <v>95</v>
      </c>
    </row>
    <row r="127" spans="1:9" x14ac:dyDescent="0.25">
      <c r="A127" s="420">
        <v>43010</v>
      </c>
      <c r="B127" s="302" t="s">
        <v>31757</v>
      </c>
      <c r="C127">
        <v>129690</v>
      </c>
      <c r="D127" s="275" t="s">
        <v>15244</v>
      </c>
      <c r="E127" s="301">
        <v>8329.1</v>
      </c>
      <c r="F127" s="303">
        <v>43011</v>
      </c>
      <c r="G127" s="301">
        <v>8329.1</v>
      </c>
      <c r="H127" s="301">
        <f>Tabla15[[#This Row],[Importe]]-Tabla15[[#This Row],[Pagado]]</f>
        <v>0</v>
      </c>
      <c r="I127" s="275" t="s">
        <v>15214</v>
      </c>
    </row>
    <row r="128" spans="1:9" x14ac:dyDescent="0.25">
      <c r="A128" s="420">
        <v>43010</v>
      </c>
      <c r="B128" s="302" t="s">
        <v>31758</v>
      </c>
      <c r="C128">
        <v>129691</v>
      </c>
      <c r="D128" s="275" t="s">
        <v>15252</v>
      </c>
      <c r="E128" s="301">
        <v>3719.2</v>
      </c>
      <c r="F128" s="303">
        <v>43013</v>
      </c>
      <c r="G128" s="301">
        <v>3719.2</v>
      </c>
      <c r="H128" s="301">
        <f>Tabla15[[#This Row],[Importe]]-Tabla15[[#This Row],[Pagado]]</f>
        <v>0</v>
      </c>
      <c r="I128" s="275" t="s">
        <v>15214</v>
      </c>
    </row>
    <row r="129" spans="1:9" x14ac:dyDescent="0.25">
      <c r="A129" s="420">
        <v>43010</v>
      </c>
      <c r="B129" s="302" t="s">
        <v>31759</v>
      </c>
      <c r="C129">
        <v>129692</v>
      </c>
      <c r="D129" s="275" t="s">
        <v>15294</v>
      </c>
      <c r="E129" s="301">
        <v>27990</v>
      </c>
      <c r="F129" s="303">
        <v>43010</v>
      </c>
      <c r="G129" s="301">
        <v>27990</v>
      </c>
      <c r="H129" s="301">
        <f>Tabla15[[#This Row],[Importe]]-Tabla15[[#This Row],[Pagado]]</f>
        <v>0</v>
      </c>
      <c r="I129" s="275" t="s">
        <v>15214</v>
      </c>
    </row>
    <row r="130" spans="1:9" x14ac:dyDescent="0.25">
      <c r="A130" s="420">
        <v>43010</v>
      </c>
      <c r="B130" s="302" t="s">
        <v>31760</v>
      </c>
      <c r="C130">
        <v>129693</v>
      </c>
      <c r="D130" s="275" t="s">
        <v>15254</v>
      </c>
      <c r="E130" s="301">
        <v>2371.1999999999998</v>
      </c>
      <c r="F130" s="303">
        <v>43011</v>
      </c>
      <c r="G130" s="301">
        <v>2371.1999999999998</v>
      </c>
      <c r="H130" s="301">
        <f>Tabla15[[#This Row],[Importe]]-Tabla15[[#This Row],[Pagado]]</f>
        <v>0</v>
      </c>
      <c r="I130" s="275" t="s">
        <v>15214</v>
      </c>
    </row>
    <row r="131" spans="1:9" x14ac:dyDescent="0.25">
      <c r="A131" s="420">
        <v>43010</v>
      </c>
      <c r="B131" s="302" t="s">
        <v>31761</v>
      </c>
      <c r="C131">
        <v>129694</v>
      </c>
      <c r="D131" s="275" t="s">
        <v>17708</v>
      </c>
      <c r="E131" s="301">
        <v>2668.2</v>
      </c>
      <c r="F131" s="303">
        <v>43012</v>
      </c>
      <c r="G131" s="301">
        <v>2668.2</v>
      </c>
      <c r="H131" s="301">
        <f>Tabla15[[#This Row],[Importe]]-Tabla15[[#This Row],[Pagado]]</f>
        <v>0</v>
      </c>
      <c r="I131" s="275" t="s">
        <v>15214</v>
      </c>
    </row>
    <row r="132" spans="1:9" x14ac:dyDescent="0.25">
      <c r="A132" s="420">
        <v>43010</v>
      </c>
      <c r="B132" s="302" t="s">
        <v>31762</v>
      </c>
      <c r="C132">
        <v>129695</v>
      </c>
      <c r="D132" s="275" t="s">
        <v>15315</v>
      </c>
      <c r="E132" s="301">
        <v>2094.4</v>
      </c>
      <c r="F132" s="303">
        <v>43010</v>
      </c>
      <c r="G132" s="301">
        <v>2094.4</v>
      </c>
      <c r="H132" s="301">
        <f>Tabla15[[#This Row],[Importe]]-Tabla15[[#This Row],[Pagado]]</f>
        <v>0</v>
      </c>
      <c r="I132" s="275" t="s">
        <v>15214</v>
      </c>
    </row>
    <row r="133" spans="1:9" x14ac:dyDescent="0.25">
      <c r="A133" s="420">
        <v>43010</v>
      </c>
      <c r="B133" s="302" t="s">
        <v>31763</v>
      </c>
      <c r="C133">
        <v>129696</v>
      </c>
      <c r="D133" s="275" t="s">
        <v>16732</v>
      </c>
      <c r="E133" s="301">
        <v>28809</v>
      </c>
      <c r="F133" s="303">
        <v>43012</v>
      </c>
      <c r="G133" s="301">
        <v>28809</v>
      </c>
      <c r="H133" s="301">
        <f>Tabla15[[#This Row],[Importe]]-Tabla15[[#This Row],[Pagado]]</f>
        <v>0</v>
      </c>
      <c r="I133" s="275" t="s">
        <v>15214</v>
      </c>
    </row>
    <row r="134" spans="1:9" x14ac:dyDescent="0.25">
      <c r="A134" s="420">
        <v>43010</v>
      </c>
      <c r="B134" s="302" t="s">
        <v>31764</v>
      </c>
      <c r="C134">
        <v>129697</v>
      </c>
      <c r="D134" s="275" t="s">
        <v>15868</v>
      </c>
      <c r="E134" s="301">
        <v>9629.5</v>
      </c>
      <c r="F134" s="303">
        <v>43012</v>
      </c>
      <c r="G134" s="301">
        <v>9629.5</v>
      </c>
      <c r="H134" s="301">
        <f>Tabla15[[#This Row],[Importe]]-Tabla15[[#This Row],[Pagado]]</f>
        <v>0</v>
      </c>
      <c r="I134" s="275" t="s">
        <v>15214</v>
      </c>
    </row>
    <row r="135" spans="1:9" x14ac:dyDescent="0.25">
      <c r="A135" s="420">
        <v>43010</v>
      </c>
      <c r="B135" s="302" t="s">
        <v>31765</v>
      </c>
      <c r="C135">
        <v>129698</v>
      </c>
      <c r="D135" s="275" t="s">
        <v>15568</v>
      </c>
      <c r="E135" s="301">
        <v>6904.6</v>
      </c>
      <c r="F135" s="303">
        <v>43012</v>
      </c>
      <c r="G135" s="301">
        <v>6904.6</v>
      </c>
      <c r="H135" s="301">
        <f>Tabla15[[#This Row],[Importe]]-Tabla15[[#This Row],[Pagado]]</f>
        <v>0</v>
      </c>
      <c r="I135" s="275" t="s">
        <v>15214</v>
      </c>
    </row>
    <row r="136" spans="1:9" ht="30" x14ac:dyDescent="0.25">
      <c r="A136" s="420">
        <v>43010</v>
      </c>
      <c r="B136" s="302" t="s">
        <v>31766</v>
      </c>
      <c r="C136">
        <v>129699</v>
      </c>
      <c r="D136" s="275" t="s">
        <v>15223</v>
      </c>
      <c r="E136" s="301">
        <v>59912</v>
      </c>
      <c r="F136" s="303" t="s">
        <v>31767</v>
      </c>
      <c r="G136" s="305">
        <f>20509.38+39402.62</f>
        <v>59912</v>
      </c>
      <c r="H136" s="305">
        <f>Tabla15[[#This Row],[Importe]]-Tabla15[[#This Row],[Pagado]]</f>
        <v>0</v>
      </c>
      <c r="I136" s="275" t="s">
        <v>15214</v>
      </c>
    </row>
    <row r="137" spans="1:9" x14ac:dyDescent="0.25">
      <c r="A137" s="420">
        <v>43010</v>
      </c>
      <c r="B137" s="302" t="s">
        <v>31768</v>
      </c>
      <c r="C137">
        <v>129700</v>
      </c>
      <c r="D137" s="275" t="s">
        <v>15361</v>
      </c>
      <c r="E137" s="301">
        <v>14553</v>
      </c>
      <c r="F137" s="303">
        <v>43012</v>
      </c>
      <c r="G137" s="301">
        <v>14553</v>
      </c>
      <c r="H137" s="301">
        <f>Tabla15[[#This Row],[Importe]]-Tabla15[[#This Row],[Pagado]]</f>
        <v>0</v>
      </c>
      <c r="I137" s="275" t="s">
        <v>15214</v>
      </c>
    </row>
    <row r="138" spans="1:9" x14ac:dyDescent="0.25">
      <c r="A138" s="420">
        <v>43010</v>
      </c>
      <c r="B138" s="302" t="s">
        <v>31769</v>
      </c>
      <c r="C138">
        <v>129701</v>
      </c>
      <c r="D138" s="275" t="s">
        <v>15380</v>
      </c>
      <c r="E138" s="301">
        <v>30167.200000000001</v>
      </c>
      <c r="F138" s="303">
        <v>43022</v>
      </c>
      <c r="G138" s="301">
        <v>30167.200000000001</v>
      </c>
      <c r="H138" s="301">
        <f>Tabla15[[#This Row],[Importe]]-Tabla15[[#This Row],[Pagado]]</f>
        <v>0</v>
      </c>
      <c r="I138" s="275" t="s">
        <v>15214</v>
      </c>
    </row>
    <row r="139" spans="1:9" ht="30" x14ac:dyDescent="0.25">
      <c r="A139" s="420">
        <v>43010</v>
      </c>
      <c r="B139" s="302" t="s">
        <v>31770</v>
      </c>
      <c r="C139">
        <v>129702</v>
      </c>
      <c r="D139" s="275" t="s">
        <v>15346</v>
      </c>
      <c r="E139" s="301">
        <v>5346</v>
      </c>
      <c r="F139" s="303" t="s">
        <v>31612</v>
      </c>
      <c r="G139" s="305">
        <f>3900+1446</f>
        <v>5346</v>
      </c>
      <c r="H139" s="305">
        <f>Tabla15[[#This Row],[Importe]]-Tabla15[[#This Row],[Pagado]]</f>
        <v>0</v>
      </c>
      <c r="I139" s="275" t="s">
        <v>15214</v>
      </c>
    </row>
    <row r="140" spans="1:9" x14ac:dyDescent="0.25">
      <c r="A140" s="420">
        <v>43010</v>
      </c>
      <c r="B140" s="302" t="s">
        <v>31771</v>
      </c>
      <c r="C140">
        <v>129703</v>
      </c>
      <c r="D140" s="275" t="s">
        <v>15389</v>
      </c>
      <c r="E140" s="301">
        <v>16247.8</v>
      </c>
      <c r="F140" s="303">
        <v>43022</v>
      </c>
      <c r="G140" s="301">
        <v>16247.8</v>
      </c>
      <c r="H140" s="301">
        <f>Tabla15[[#This Row],[Importe]]-Tabla15[[#This Row],[Pagado]]</f>
        <v>0</v>
      </c>
      <c r="I140" s="275" t="s">
        <v>15214</v>
      </c>
    </row>
    <row r="141" spans="1:9" x14ac:dyDescent="0.25">
      <c r="A141" s="420">
        <v>43010</v>
      </c>
      <c r="B141" s="302" t="s">
        <v>31772</v>
      </c>
      <c r="C141">
        <v>129704</v>
      </c>
      <c r="D141" s="275" t="s">
        <v>18890</v>
      </c>
      <c r="E141" s="301">
        <v>17455.2</v>
      </c>
      <c r="F141" s="303">
        <v>43012</v>
      </c>
      <c r="G141" s="301">
        <v>17455.2</v>
      </c>
      <c r="H141" s="301">
        <f>Tabla15[[#This Row],[Importe]]-Tabla15[[#This Row],[Pagado]]</f>
        <v>0</v>
      </c>
      <c r="I141" s="275" t="s">
        <v>15214</v>
      </c>
    </row>
    <row r="142" spans="1:9" x14ac:dyDescent="0.25">
      <c r="A142" s="420">
        <v>43010</v>
      </c>
      <c r="B142" s="302" t="s">
        <v>31773</v>
      </c>
      <c r="C142">
        <v>129705</v>
      </c>
      <c r="D142" s="275" t="s">
        <v>15382</v>
      </c>
      <c r="E142" s="301">
        <v>10240.5</v>
      </c>
      <c r="F142" s="303">
        <v>43022</v>
      </c>
      <c r="G142" s="301">
        <v>10240.5</v>
      </c>
      <c r="H142" s="301">
        <f>Tabla15[[#This Row],[Importe]]-Tabla15[[#This Row],[Pagado]]</f>
        <v>0</v>
      </c>
      <c r="I142" s="275" t="s">
        <v>15214</v>
      </c>
    </row>
    <row r="143" spans="1:9" x14ac:dyDescent="0.25">
      <c r="A143" s="420">
        <v>43010</v>
      </c>
      <c r="B143" s="302" t="s">
        <v>31774</v>
      </c>
      <c r="C143">
        <v>129706</v>
      </c>
      <c r="D143" s="275" t="s">
        <v>15369</v>
      </c>
      <c r="E143" s="301">
        <v>26543</v>
      </c>
      <c r="F143" s="303">
        <v>43022</v>
      </c>
      <c r="G143" s="301">
        <v>26543</v>
      </c>
      <c r="H143" s="301">
        <f>Tabla15[[#This Row],[Importe]]-Tabla15[[#This Row],[Pagado]]</f>
        <v>0</v>
      </c>
      <c r="I143" s="275" t="s">
        <v>15214</v>
      </c>
    </row>
    <row r="144" spans="1:9" x14ac:dyDescent="0.25">
      <c r="A144" s="420">
        <v>43010</v>
      </c>
      <c r="B144" s="302" t="s">
        <v>31775</v>
      </c>
      <c r="C144">
        <v>129707</v>
      </c>
      <c r="D144" s="275" t="s">
        <v>15286</v>
      </c>
      <c r="E144" s="301">
        <v>7185.6</v>
      </c>
      <c r="F144" s="303">
        <v>43011</v>
      </c>
      <c r="G144" s="301">
        <v>7185.6</v>
      </c>
      <c r="H144" s="301">
        <f>Tabla15[[#This Row],[Importe]]-Tabla15[[#This Row],[Pagado]]</f>
        <v>0</v>
      </c>
      <c r="I144" s="275" t="s">
        <v>15214</v>
      </c>
    </row>
    <row r="145" spans="1:9" x14ac:dyDescent="0.25">
      <c r="A145" s="420">
        <v>43010</v>
      </c>
      <c r="B145" s="302" t="s">
        <v>31776</v>
      </c>
      <c r="C145">
        <v>129708</v>
      </c>
      <c r="D145" s="275" t="s">
        <v>15596</v>
      </c>
      <c r="E145" s="301">
        <v>860</v>
      </c>
      <c r="F145" s="303">
        <v>43011</v>
      </c>
      <c r="G145" s="301">
        <v>860</v>
      </c>
      <c r="H145" s="301">
        <f>Tabla15[[#This Row],[Importe]]-Tabla15[[#This Row],[Pagado]]</f>
        <v>0</v>
      </c>
      <c r="I145" s="275" t="s">
        <v>15214</v>
      </c>
    </row>
    <row r="146" spans="1:9" x14ac:dyDescent="0.25">
      <c r="A146" s="420">
        <v>43010</v>
      </c>
      <c r="B146" s="302" t="s">
        <v>31777</v>
      </c>
      <c r="C146">
        <v>129709</v>
      </c>
      <c r="D146" s="275" t="s">
        <v>15291</v>
      </c>
      <c r="E146" s="301">
        <v>645</v>
      </c>
      <c r="F146" s="303">
        <v>43011</v>
      </c>
      <c r="G146" s="301">
        <v>645</v>
      </c>
      <c r="H146" s="301">
        <f>Tabla15[[#This Row],[Importe]]-Tabla15[[#This Row],[Pagado]]</f>
        <v>0</v>
      </c>
      <c r="I146" s="275" t="s">
        <v>15214</v>
      </c>
    </row>
    <row r="147" spans="1:9" ht="15.75" x14ac:dyDescent="0.25">
      <c r="A147" s="420">
        <v>43010</v>
      </c>
      <c r="B147" s="302" t="s">
        <v>31778</v>
      </c>
      <c r="C147">
        <v>129710</v>
      </c>
      <c r="D147" s="282" t="s">
        <v>95</v>
      </c>
      <c r="E147" s="301">
        <v>0</v>
      </c>
      <c r="F147" s="243" t="s">
        <v>95</v>
      </c>
      <c r="G147" s="301">
        <v>0</v>
      </c>
      <c r="H147" s="301">
        <f>Tabla15[[#This Row],[Importe]]-Tabla15[[#This Row],[Pagado]]</f>
        <v>0</v>
      </c>
      <c r="I147" s="275" t="s">
        <v>95</v>
      </c>
    </row>
    <row r="148" spans="1:9" x14ac:dyDescent="0.25">
      <c r="A148" s="420">
        <v>43010</v>
      </c>
      <c r="B148" s="302" t="s">
        <v>31779</v>
      </c>
      <c r="C148">
        <v>129711</v>
      </c>
      <c r="D148" s="275" t="s">
        <v>16229</v>
      </c>
      <c r="E148" s="301">
        <v>4640.3999999999996</v>
      </c>
      <c r="F148" s="303">
        <v>43011</v>
      </c>
      <c r="G148" s="301">
        <v>4640.3999999999996</v>
      </c>
      <c r="H148" s="301">
        <f>Tabla15[[#This Row],[Importe]]-Tabla15[[#This Row],[Pagado]]</f>
        <v>0</v>
      </c>
      <c r="I148" s="275" t="s">
        <v>15214</v>
      </c>
    </row>
    <row r="149" spans="1:9" x14ac:dyDescent="0.25">
      <c r="A149" s="420">
        <v>43010</v>
      </c>
      <c r="B149" s="302" t="s">
        <v>31780</v>
      </c>
      <c r="C149">
        <v>129712</v>
      </c>
      <c r="D149" s="275" t="s">
        <v>15305</v>
      </c>
      <c r="E149" s="301">
        <v>1062.4000000000001</v>
      </c>
      <c r="F149" s="303">
        <v>43011</v>
      </c>
      <c r="G149" s="301">
        <v>1062.4000000000001</v>
      </c>
      <c r="H149" s="301">
        <f>Tabla15[[#This Row],[Importe]]-Tabla15[[#This Row],[Pagado]]</f>
        <v>0</v>
      </c>
      <c r="I149" s="275" t="s">
        <v>15214</v>
      </c>
    </row>
    <row r="150" spans="1:9" x14ac:dyDescent="0.25">
      <c r="A150" s="420">
        <v>43010</v>
      </c>
      <c r="B150" s="302" t="s">
        <v>31781</v>
      </c>
      <c r="C150">
        <v>129713</v>
      </c>
      <c r="D150" s="275" t="s">
        <v>15583</v>
      </c>
      <c r="E150" s="301">
        <v>1252.8</v>
      </c>
      <c r="F150" s="303">
        <v>43011</v>
      </c>
      <c r="G150" s="301">
        <v>1252.8</v>
      </c>
      <c r="H150" s="301">
        <f>Tabla15[[#This Row],[Importe]]-Tabla15[[#This Row],[Pagado]]</f>
        <v>0</v>
      </c>
      <c r="I150" s="275" t="s">
        <v>15214</v>
      </c>
    </row>
    <row r="151" spans="1:9" x14ac:dyDescent="0.25">
      <c r="A151" s="420">
        <v>43010</v>
      </c>
      <c r="B151" s="302" t="s">
        <v>31782</v>
      </c>
      <c r="C151">
        <v>129714</v>
      </c>
      <c r="D151" s="275" t="s">
        <v>15415</v>
      </c>
      <c r="E151" s="301">
        <v>3744.9</v>
      </c>
      <c r="F151" s="303">
        <v>43012</v>
      </c>
      <c r="G151" s="301">
        <v>3744.9</v>
      </c>
      <c r="H151" s="301">
        <f>Tabla15[[#This Row],[Importe]]-Tabla15[[#This Row],[Pagado]]</f>
        <v>0</v>
      </c>
      <c r="I151" s="275" t="s">
        <v>15214</v>
      </c>
    </row>
    <row r="152" spans="1:9" x14ac:dyDescent="0.25">
      <c r="A152" s="420">
        <v>43010</v>
      </c>
      <c r="B152" s="302" t="s">
        <v>31783</v>
      </c>
      <c r="C152">
        <v>129715</v>
      </c>
      <c r="D152" s="275" t="s">
        <v>15307</v>
      </c>
      <c r="E152" s="301">
        <v>3013.2</v>
      </c>
      <c r="F152" s="303">
        <v>43011</v>
      </c>
      <c r="G152" s="301">
        <v>3013.2</v>
      </c>
      <c r="H152" s="301">
        <f>Tabla15[[#This Row],[Importe]]-Tabla15[[#This Row],[Pagado]]</f>
        <v>0</v>
      </c>
      <c r="I152" s="275" t="s">
        <v>15214</v>
      </c>
    </row>
    <row r="153" spans="1:9" x14ac:dyDescent="0.25">
      <c r="A153" s="420">
        <v>43010</v>
      </c>
      <c r="B153" s="302" t="s">
        <v>31784</v>
      </c>
      <c r="C153">
        <v>129716</v>
      </c>
      <c r="D153" s="275" t="s">
        <v>15276</v>
      </c>
      <c r="E153" s="301">
        <v>3440</v>
      </c>
      <c r="F153" s="303">
        <v>43011</v>
      </c>
      <c r="G153" s="301">
        <v>3440</v>
      </c>
      <c r="H153" s="301">
        <f>Tabla15[[#This Row],[Importe]]-Tabla15[[#This Row],[Pagado]]</f>
        <v>0</v>
      </c>
      <c r="I153" s="275" t="s">
        <v>15214</v>
      </c>
    </row>
    <row r="154" spans="1:9" x14ac:dyDescent="0.25">
      <c r="A154" s="420">
        <v>43010</v>
      </c>
      <c r="B154" s="302" t="s">
        <v>31785</v>
      </c>
      <c r="C154">
        <v>129717</v>
      </c>
      <c r="D154" s="275" t="s">
        <v>15782</v>
      </c>
      <c r="E154" s="301">
        <v>1385.8</v>
      </c>
      <c r="F154" s="303">
        <v>43011</v>
      </c>
      <c r="G154" s="301">
        <v>1385.8</v>
      </c>
      <c r="H154" s="301">
        <f>Tabla15[[#This Row],[Importe]]-Tabla15[[#This Row],[Pagado]]</f>
        <v>0</v>
      </c>
      <c r="I154" s="275" t="s">
        <v>15214</v>
      </c>
    </row>
    <row r="155" spans="1:9" x14ac:dyDescent="0.25">
      <c r="A155" s="420">
        <v>43010</v>
      </c>
      <c r="B155" s="302" t="s">
        <v>31786</v>
      </c>
      <c r="C155">
        <v>129718</v>
      </c>
      <c r="D155" s="275" t="s">
        <v>15617</v>
      </c>
      <c r="E155" s="301">
        <v>13192.4</v>
      </c>
      <c r="F155" s="303">
        <v>43011</v>
      </c>
      <c r="G155" s="301">
        <v>13192.4</v>
      </c>
      <c r="H155" s="301">
        <f>Tabla15[[#This Row],[Importe]]-Tabla15[[#This Row],[Pagado]]</f>
        <v>0</v>
      </c>
      <c r="I155" s="275" t="s">
        <v>15214</v>
      </c>
    </row>
    <row r="156" spans="1:9" x14ac:dyDescent="0.25">
      <c r="A156" s="420">
        <v>43010</v>
      </c>
      <c r="B156" s="302" t="s">
        <v>31787</v>
      </c>
      <c r="C156">
        <v>129719</v>
      </c>
      <c r="D156" s="275" t="s">
        <v>15417</v>
      </c>
      <c r="E156" s="301">
        <v>1713.6</v>
      </c>
      <c r="F156" s="303">
        <v>43011</v>
      </c>
      <c r="G156" s="301">
        <v>1713.6</v>
      </c>
      <c r="H156" s="301">
        <f>Tabla15[[#This Row],[Importe]]-Tabla15[[#This Row],[Pagado]]</f>
        <v>0</v>
      </c>
      <c r="I156" s="275" t="s">
        <v>15214</v>
      </c>
    </row>
    <row r="157" spans="1:9" x14ac:dyDescent="0.25">
      <c r="A157" s="420">
        <v>43010</v>
      </c>
      <c r="B157" s="302" t="s">
        <v>31788</v>
      </c>
      <c r="C157">
        <v>129720</v>
      </c>
      <c r="D157" s="275" t="s">
        <v>15934</v>
      </c>
      <c r="E157" s="301">
        <v>992.3</v>
      </c>
      <c r="F157" s="303">
        <v>43011</v>
      </c>
      <c r="G157" s="301">
        <v>992.3</v>
      </c>
      <c r="H157" s="301">
        <f>Tabla15[[#This Row],[Importe]]-Tabla15[[#This Row],[Pagado]]</f>
        <v>0</v>
      </c>
      <c r="I157" s="275" t="s">
        <v>15214</v>
      </c>
    </row>
    <row r="158" spans="1:9" x14ac:dyDescent="0.25">
      <c r="A158" s="420">
        <v>43010</v>
      </c>
      <c r="B158" s="302" t="s">
        <v>31789</v>
      </c>
      <c r="C158">
        <v>129721</v>
      </c>
      <c r="D158" s="275" t="s">
        <v>15309</v>
      </c>
      <c r="E158" s="301">
        <v>9459.2000000000007</v>
      </c>
      <c r="F158" s="303">
        <v>43011</v>
      </c>
      <c r="G158" s="301">
        <v>9459.2000000000007</v>
      </c>
      <c r="H158" s="301">
        <f>Tabla15[[#This Row],[Importe]]-Tabla15[[#This Row],[Pagado]]</f>
        <v>0</v>
      </c>
      <c r="I158" s="275" t="s">
        <v>15214</v>
      </c>
    </row>
    <row r="159" spans="1:9" x14ac:dyDescent="0.25">
      <c r="A159" s="420">
        <v>43010</v>
      </c>
      <c r="B159" s="302" t="s">
        <v>31790</v>
      </c>
      <c r="C159">
        <v>129722</v>
      </c>
      <c r="D159" s="275" t="s">
        <v>17800</v>
      </c>
      <c r="E159" s="301">
        <v>5317.2</v>
      </c>
      <c r="F159" s="303">
        <v>43011</v>
      </c>
      <c r="G159" s="301">
        <v>5317.2</v>
      </c>
      <c r="H159" s="301">
        <f>Tabla15[[#This Row],[Importe]]-Tabla15[[#This Row],[Pagado]]</f>
        <v>0</v>
      </c>
      <c r="I159" s="275" t="s">
        <v>15214</v>
      </c>
    </row>
    <row r="160" spans="1:9" x14ac:dyDescent="0.25">
      <c r="A160" s="420">
        <v>43010</v>
      </c>
      <c r="B160" s="302" t="s">
        <v>31791</v>
      </c>
      <c r="C160">
        <v>129723</v>
      </c>
      <c r="D160" s="275" t="s">
        <v>15284</v>
      </c>
      <c r="E160" s="301">
        <v>2036.3</v>
      </c>
      <c r="F160" s="303">
        <v>43010</v>
      </c>
      <c r="G160" s="301">
        <v>2036.3</v>
      </c>
      <c r="H160" s="301">
        <f>Tabla15[[#This Row],[Importe]]-Tabla15[[#This Row],[Pagado]]</f>
        <v>0</v>
      </c>
      <c r="I160" s="275" t="s">
        <v>15214</v>
      </c>
    </row>
    <row r="161" spans="1:9" ht="15.75" x14ac:dyDescent="0.25">
      <c r="A161" s="420">
        <v>43010</v>
      </c>
      <c r="B161" s="302" t="s">
        <v>31792</v>
      </c>
      <c r="C161">
        <v>129724</v>
      </c>
      <c r="D161" s="248" t="s">
        <v>95</v>
      </c>
      <c r="E161" s="301">
        <v>0</v>
      </c>
      <c r="F161" s="243" t="s">
        <v>95</v>
      </c>
      <c r="G161" s="301">
        <v>0</v>
      </c>
      <c r="H161" s="301">
        <f>Tabla15[[#This Row],[Importe]]-Tabla15[[#This Row],[Pagado]]</f>
        <v>0</v>
      </c>
      <c r="I161" s="275" t="s">
        <v>95</v>
      </c>
    </row>
    <row r="162" spans="1:9" x14ac:dyDescent="0.25">
      <c r="A162" s="420">
        <v>43010</v>
      </c>
      <c r="B162" s="302" t="s">
        <v>31793</v>
      </c>
      <c r="C162">
        <v>129725</v>
      </c>
      <c r="D162" s="275" t="s">
        <v>19302</v>
      </c>
      <c r="E162" s="301">
        <v>860</v>
      </c>
      <c r="F162" s="303">
        <v>43010</v>
      </c>
      <c r="G162" s="301">
        <v>860</v>
      </c>
      <c r="H162" s="301">
        <f>Tabla15[[#This Row],[Importe]]-Tabla15[[#This Row],[Pagado]]</f>
        <v>0</v>
      </c>
      <c r="I162" s="275" t="s">
        <v>15214</v>
      </c>
    </row>
    <row r="163" spans="1:9" x14ac:dyDescent="0.25">
      <c r="A163" s="420">
        <v>43010</v>
      </c>
      <c r="B163" s="302" t="s">
        <v>31794</v>
      </c>
      <c r="C163">
        <v>129726</v>
      </c>
      <c r="D163" s="275" t="s">
        <v>15298</v>
      </c>
      <c r="E163" s="301">
        <v>1514.3</v>
      </c>
      <c r="F163" s="303">
        <v>43010</v>
      </c>
      <c r="G163" s="301">
        <v>1514.3</v>
      </c>
      <c r="H163" s="301">
        <f>Tabla15[[#This Row],[Importe]]-Tabla15[[#This Row],[Pagado]]</f>
        <v>0</v>
      </c>
      <c r="I163" s="275" t="s">
        <v>15214</v>
      </c>
    </row>
    <row r="164" spans="1:9" x14ac:dyDescent="0.25">
      <c r="A164" s="420">
        <v>43010</v>
      </c>
      <c r="B164" s="302" t="s">
        <v>31795</v>
      </c>
      <c r="C164">
        <v>129727</v>
      </c>
      <c r="D164" s="275" t="s">
        <v>15378</v>
      </c>
      <c r="E164" s="301">
        <v>9432.9</v>
      </c>
      <c r="F164" s="303">
        <v>43017</v>
      </c>
      <c r="G164" s="301">
        <v>9432.9</v>
      </c>
      <c r="H164" s="301">
        <f>Tabla15[[#This Row],[Importe]]-Tabla15[[#This Row],[Pagado]]</f>
        <v>0</v>
      </c>
      <c r="I164" s="275" t="s">
        <v>15214</v>
      </c>
    </row>
    <row r="165" spans="1:9" x14ac:dyDescent="0.25">
      <c r="A165" s="420">
        <v>43010</v>
      </c>
      <c r="B165" s="302" t="s">
        <v>31796</v>
      </c>
      <c r="C165">
        <v>129728</v>
      </c>
      <c r="D165" s="275" t="s">
        <v>15378</v>
      </c>
      <c r="E165" s="301">
        <v>1928.4</v>
      </c>
      <c r="F165" s="303">
        <v>43017</v>
      </c>
      <c r="G165" s="301">
        <v>1928.4</v>
      </c>
      <c r="H165" s="301">
        <f>Tabla15[[#This Row],[Importe]]-Tabla15[[#This Row],[Pagado]]</f>
        <v>0</v>
      </c>
      <c r="I165" s="275" t="s">
        <v>15214</v>
      </c>
    </row>
    <row r="166" spans="1:9" x14ac:dyDescent="0.25">
      <c r="A166" s="420">
        <v>43010</v>
      </c>
      <c r="B166" s="302" t="s">
        <v>31797</v>
      </c>
      <c r="C166">
        <v>129729</v>
      </c>
      <c r="D166" s="275" t="s">
        <v>15267</v>
      </c>
      <c r="E166" s="301">
        <v>10192.299999999999</v>
      </c>
      <c r="F166" s="303">
        <v>43010</v>
      </c>
      <c r="G166" s="301">
        <v>10192.299999999999</v>
      </c>
      <c r="H166" s="301">
        <f>Tabla15[[#This Row],[Importe]]-Tabla15[[#This Row],[Pagado]]</f>
        <v>0</v>
      </c>
      <c r="I166" s="275" t="s">
        <v>15214</v>
      </c>
    </row>
    <row r="167" spans="1:9" x14ac:dyDescent="0.25">
      <c r="A167" s="420">
        <v>43010</v>
      </c>
      <c r="B167" s="302" t="s">
        <v>31798</v>
      </c>
      <c r="C167">
        <v>129730</v>
      </c>
      <c r="D167" s="275" t="s">
        <v>15282</v>
      </c>
      <c r="E167" s="301">
        <v>2530.4</v>
      </c>
      <c r="F167" s="303">
        <v>43010</v>
      </c>
      <c r="G167" s="301">
        <v>2530.4</v>
      </c>
      <c r="H167" s="301">
        <f>Tabla15[[#This Row],[Importe]]-Tabla15[[#This Row],[Pagado]]</f>
        <v>0</v>
      </c>
      <c r="I167" s="275" t="s">
        <v>15214</v>
      </c>
    </row>
    <row r="168" spans="1:9" x14ac:dyDescent="0.25">
      <c r="A168" s="420">
        <v>43010</v>
      </c>
      <c r="B168" s="302" t="s">
        <v>31799</v>
      </c>
      <c r="C168">
        <v>129731</v>
      </c>
      <c r="D168" s="275" t="s">
        <v>15315</v>
      </c>
      <c r="E168" s="301">
        <v>131.1</v>
      </c>
      <c r="F168" s="303">
        <v>43010</v>
      </c>
      <c r="G168" s="301">
        <v>131.1</v>
      </c>
      <c r="H168" s="301">
        <f>Tabla15[[#This Row],[Importe]]-Tabla15[[#This Row],[Pagado]]</f>
        <v>0</v>
      </c>
      <c r="I168" s="275" t="s">
        <v>15214</v>
      </c>
    </row>
    <row r="169" spans="1:9" x14ac:dyDescent="0.25">
      <c r="A169" s="420">
        <v>43010</v>
      </c>
      <c r="B169" s="302" t="s">
        <v>31800</v>
      </c>
      <c r="C169">
        <v>129732</v>
      </c>
      <c r="D169" s="275" t="s">
        <v>15419</v>
      </c>
      <c r="E169" s="301">
        <v>6678</v>
      </c>
      <c r="F169" s="303">
        <v>43020</v>
      </c>
      <c r="G169" s="301">
        <v>6678</v>
      </c>
      <c r="H169" s="301">
        <f>Tabla15[[#This Row],[Importe]]-Tabla15[[#This Row],[Pagado]]</f>
        <v>0</v>
      </c>
      <c r="I169" s="275" t="s">
        <v>15214</v>
      </c>
    </row>
    <row r="170" spans="1:9" x14ac:dyDescent="0.25">
      <c r="A170" s="420">
        <v>43010</v>
      </c>
      <c r="B170" s="302" t="s">
        <v>31801</v>
      </c>
      <c r="C170">
        <v>129733</v>
      </c>
      <c r="D170" s="275" t="s">
        <v>15396</v>
      </c>
      <c r="E170" s="301">
        <v>4910.32</v>
      </c>
      <c r="F170" s="303">
        <v>43010</v>
      </c>
      <c r="G170" s="301">
        <v>4910.32</v>
      </c>
      <c r="H170" s="301">
        <f>Tabla15[[#This Row],[Importe]]-Tabla15[[#This Row],[Pagado]]</f>
        <v>0</v>
      </c>
      <c r="I170" s="275" t="s">
        <v>15214</v>
      </c>
    </row>
    <row r="171" spans="1:9" x14ac:dyDescent="0.25">
      <c r="A171" s="420">
        <v>43010</v>
      </c>
      <c r="B171" s="302" t="s">
        <v>31802</v>
      </c>
      <c r="C171">
        <v>129734</v>
      </c>
      <c r="D171" s="275" t="s">
        <v>15537</v>
      </c>
      <c r="E171" s="301">
        <v>8633.6</v>
      </c>
      <c r="F171" s="303">
        <v>43011</v>
      </c>
      <c r="G171" s="301">
        <v>8633.6</v>
      </c>
      <c r="H171" s="301">
        <f>Tabla15[[#This Row],[Importe]]-Tabla15[[#This Row],[Pagado]]</f>
        <v>0</v>
      </c>
      <c r="I171" s="275" t="s">
        <v>15214</v>
      </c>
    </row>
    <row r="172" spans="1:9" x14ac:dyDescent="0.25">
      <c r="A172" s="420">
        <v>43010</v>
      </c>
      <c r="B172" s="302" t="s">
        <v>31803</v>
      </c>
      <c r="C172">
        <v>129735</v>
      </c>
      <c r="D172" s="275" t="s">
        <v>15419</v>
      </c>
      <c r="E172" s="301">
        <v>29095</v>
      </c>
      <c r="F172" s="303">
        <v>43018</v>
      </c>
      <c r="G172" s="301">
        <v>29095</v>
      </c>
      <c r="H172" s="301">
        <f>Tabla15[[#This Row],[Importe]]-Tabla15[[#This Row],[Pagado]]</f>
        <v>0</v>
      </c>
      <c r="I172" s="275" t="s">
        <v>15214</v>
      </c>
    </row>
    <row r="173" spans="1:9" x14ac:dyDescent="0.25">
      <c r="A173" s="420">
        <v>43010</v>
      </c>
      <c r="B173" s="302" t="s">
        <v>31804</v>
      </c>
      <c r="C173">
        <v>129736</v>
      </c>
      <c r="D173" s="275" t="s">
        <v>15539</v>
      </c>
      <c r="E173" s="301">
        <v>9047.7999999999993</v>
      </c>
      <c r="F173" s="303">
        <v>43011</v>
      </c>
      <c r="G173" s="301">
        <v>9047.7999999999993</v>
      </c>
      <c r="H173" s="301">
        <f>Tabla15[[#This Row],[Importe]]-Tabla15[[#This Row],[Pagado]]</f>
        <v>0</v>
      </c>
      <c r="I173" s="275" t="s">
        <v>15214</v>
      </c>
    </row>
    <row r="174" spans="1:9" x14ac:dyDescent="0.25">
      <c r="A174" s="420">
        <v>43010</v>
      </c>
      <c r="B174" s="302" t="s">
        <v>31805</v>
      </c>
      <c r="C174">
        <v>129737</v>
      </c>
      <c r="D174" s="275" t="s">
        <v>15557</v>
      </c>
      <c r="E174" s="301">
        <v>2956</v>
      </c>
      <c r="F174" s="303">
        <v>43011</v>
      </c>
      <c r="G174" s="301">
        <v>2956</v>
      </c>
      <c r="H174" s="301">
        <f>Tabla15[[#This Row],[Importe]]-Tabla15[[#This Row],[Pagado]]</f>
        <v>0</v>
      </c>
      <c r="I174" s="275" t="s">
        <v>15214</v>
      </c>
    </row>
    <row r="175" spans="1:9" x14ac:dyDescent="0.25">
      <c r="A175" s="420">
        <v>43010</v>
      </c>
      <c r="B175" s="302" t="s">
        <v>31806</v>
      </c>
      <c r="C175">
        <v>129738</v>
      </c>
      <c r="D175" s="275" t="s">
        <v>15398</v>
      </c>
      <c r="E175" s="301">
        <v>3617.2</v>
      </c>
      <c r="F175" s="303">
        <v>43010</v>
      </c>
      <c r="G175" s="301">
        <v>3617.2</v>
      </c>
      <c r="H175" s="301">
        <f>Tabla15[[#This Row],[Importe]]-Tabla15[[#This Row],[Pagado]]</f>
        <v>0</v>
      </c>
      <c r="I175" s="275" t="s">
        <v>15214</v>
      </c>
    </row>
    <row r="176" spans="1:9" x14ac:dyDescent="0.25">
      <c r="A176" s="420">
        <v>43010</v>
      </c>
      <c r="B176" s="302" t="s">
        <v>31807</v>
      </c>
      <c r="C176">
        <v>129739</v>
      </c>
      <c r="D176" s="275" t="s">
        <v>15419</v>
      </c>
      <c r="E176" s="301">
        <v>2184</v>
      </c>
      <c r="F176" s="303">
        <v>43017</v>
      </c>
      <c r="G176" s="301">
        <v>2184</v>
      </c>
      <c r="H176" s="301">
        <f>Tabla15[[#This Row],[Importe]]-Tabla15[[#This Row],[Pagado]]</f>
        <v>0</v>
      </c>
      <c r="I176" s="275" t="s">
        <v>15214</v>
      </c>
    </row>
    <row r="177" spans="1:9" x14ac:dyDescent="0.25">
      <c r="A177" s="420">
        <v>43010</v>
      </c>
      <c r="B177" s="302" t="s">
        <v>31808</v>
      </c>
      <c r="C177">
        <v>129740</v>
      </c>
      <c r="D177" s="275" t="s">
        <v>15699</v>
      </c>
      <c r="E177" s="301">
        <v>3790.9</v>
      </c>
      <c r="F177" s="303">
        <v>43011</v>
      </c>
      <c r="G177" s="301">
        <v>3790.9</v>
      </c>
      <c r="H177" s="301">
        <f>Tabla15[[#This Row],[Importe]]-Tabla15[[#This Row],[Pagado]]</f>
        <v>0</v>
      </c>
      <c r="I177" s="275" t="s">
        <v>15214</v>
      </c>
    </row>
    <row r="178" spans="1:9" x14ac:dyDescent="0.25">
      <c r="A178" s="420">
        <v>43010</v>
      </c>
      <c r="B178" s="302" t="s">
        <v>31809</v>
      </c>
      <c r="C178">
        <v>129741</v>
      </c>
      <c r="D178" s="275" t="s">
        <v>15555</v>
      </c>
      <c r="E178" s="301">
        <v>3205.8</v>
      </c>
      <c r="F178" s="303">
        <v>43011</v>
      </c>
      <c r="G178" s="301">
        <v>3205.8</v>
      </c>
      <c r="H178" s="301">
        <f>Tabla15[[#This Row],[Importe]]-Tabla15[[#This Row],[Pagado]]</f>
        <v>0</v>
      </c>
      <c r="I178" s="275" t="s">
        <v>15214</v>
      </c>
    </row>
    <row r="179" spans="1:9" x14ac:dyDescent="0.25">
      <c r="A179" s="420">
        <v>43010</v>
      </c>
      <c r="B179" s="302" t="s">
        <v>31810</v>
      </c>
      <c r="C179">
        <v>129742</v>
      </c>
      <c r="D179" s="275" t="s">
        <v>15423</v>
      </c>
      <c r="E179" s="301">
        <v>4346.6000000000004</v>
      </c>
      <c r="F179" s="303">
        <v>43010</v>
      </c>
      <c r="G179" s="301">
        <v>4346.6000000000004</v>
      </c>
      <c r="H179" s="301">
        <f>Tabla15[[#This Row],[Importe]]-Tabla15[[#This Row],[Pagado]]</f>
        <v>0</v>
      </c>
      <c r="I179" s="275" t="s">
        <v>15214</v>
      </c>
    </row>
    <row r="180" spans="1:9" x14ac:dyDescent="0.25">
      <c r="A180" s="420">
        <v>43010</v>
      </c>
      <c r="B180" s="302" t="s">
        <v>31811</v>
      </c>
      <c r="C180">
        <v>129743</v>
      </c>
      <c r="D180" s="275" t="s">
        <v>15566</v>
      </c>
      <c r="E180" s="301">
        <v>1164.4000000000001</v>
      </c>
      <c r="F180" s="303">
        <v>43010</v>
      </c>
      <c r="G180" s="301">
        <v>1164.4000000000001</v>
      </c>
      <c r="H180" s="301">
        <f>Tabla15[[#This Row],[Importe]]-Tabla15[[#This Row],[Pagado]]</f>
        <v>0</v>
      </c>
      <c r="I180" s="275" t="s">
        <v>15214</v>
      </c>
    </row>
    <row r="181" spans="1:9" x14ac:dyDescent="0.25">
      <c r="A181" s="420">
        <v>43010</v>
      </c>
      <c r="B181" s="302" t="s">
        <v>31812</v>
      </c>
      <c r="C181">
        <v>129744</v>
      </c>
      <c r="D181" s="275" t="s">
        <v>15423</v>
      </c>
      <c r="E181" s="301">
        <v>93.6</v>
      </c>
      <c r="F181" s="303">
        <v>43010</v>
      </c>
      <c r="G181" s="301">
        <v>93.6</v>
      </c>
      <c r="H181" s="301">
        <f>Tabla15[[#This Row],[Importe]]-Tabla15[[#This Row],[Pagado]]</f>
        <v>0</v>
      </c>
      <c r="I181" s="275" t="s">
        <v>15214</v>
      </c>
    </row>
    <row r="182" spans="1:9" x14ac:dyDescent="0.25">
      <c r="A182" s="420">
        <v>43010</v>
      </c>
      <c r="B182" s="302" t="s">
        <v>31813</v>
      </c>
      <c r="C182">
        <v>129745</v>
      </c>
      <c r="D182" s="275" t="s">
        <v>15284</v>
      </c>
      <c r="E182" s="301">
        <v>940.5</v>
      </c>
      <c r="F182" s="303">
        <v>43010</v>
      </c>
      <c r="G182" s="301">
        <v>940.5</v>
      </c>
      <c r="H182" s="301">
        <f>Tabla15[[#This Row],[Importe]]-Tabla15[[#This Row],[Pagado]]</f>
        <v>0</v>
      </c>
      <c r="I182" s="275" t="s">
        <v>15214</v>
      </c>
    </row>
    <row r="183" spans="1:9" x14ac:dyDescent="0.25">
      <c r="A183" s="420">
        <v>43010</v>
      </c>
      <c r="B183" s="302" t="s">
        <v>31814</v>
      </c>
      <c r="C183">
        <v>129746</v>
      </c>
      <c r="D183" s="275" t="s">
        <v>22902</v>
      </c>
      <c r="E183" s="301">
        <v>3010</v>
      </c>
      <c r="F183" s="303">
        <v>43010</v>
      </c>
      <c r="G183" s="301">
        <v>3010</v>
      </c>
      <c r="H183" s="301">
        <f>Tabla15[[#This Row],[Importe]]-Tabla15[[#This Row],[Pagado]]</f>
        <v>0</v>
      </c>
      <c r="I183" s="275" t="s">
        <v>15214</v>
      </c>
    </row>
    <row r="184" spans="1:9" x14ac:dyDescent="0.25">
      <c r="A184" s="420">
        <v>43010</v>
      </c>
      <c r="B184" s="302" t="s">
        <v>31815</v>
      </c>
      <c r="C184">
        <v>129747</v>
      </c>
      <c r="D184" s="275" t="s">
        <v>19699</v>
      </c>
      <c r="E184" s="301">
        <v>156</v>
      </c>
      <c r="F184" s="303">
        <v>43010</v>
      </c>
      <c r="G184" s="301">
        <v>156</v>
      </c>
      <c r="H184" s="301">
        <f>Tabla15[[#This Row],[Importe]]-Tabla15[[#This Row],[Pagado]]</f>
        <v>0</v>
      </c>
      <c r="I184" s="275" t="s">
        <v>15214</v>
      </c>
    </row>
    <row r="185" spans="1:9" x14ac:dyDescent="0.25">
      <c r="A185" s="420">
        <v>43010</v>
      </c>
      <c r="B185" s="302" t="s">
        <v>31816</v>
      </c>
      <c r="C185">
        <v>129748</v>
      </c>
      <c r="D185" s="275" t="s">
        <v>15246</v>
      </c>
      <c r="E185" s="301">
        <v>43682.5</v>
      </c>
      <c r="F185" s="303">
        <v>43011</v>
      </c>
      <c r="G185" s="301">
        <v>43682.5</v>
      </c>
      <c r="H185" s="301">
        <f>Tabla15[[#This Row],[Importe]]-Tabla15[[#This Row],[Pagado]]</f>
        <v>0</v>
      </c>
      <c r="I185" s="275" t="s">
        <v>15214</v>
      </c>
    </row>
    <row r="186" spans="1:9" x14ac:dyDescent="0.25">
      <c r="A186" s="420">
        <v>43010</v>
      </c>
      <c r="B186" s="302" t="s">
        <v>31817</v>
      </c>
      <c r="C186">
        <v>129749</v>
      </c>
      <c r="D186" s="275" t="s">
        <v>15365</v>
      </c>
      <c r="E186" s="301">
        <v>400372</v>
      </c>
      <c r="F186" s="303">
        <v>43022</v>
      </c>
      <c r="G186" s="301">
        <v>400372</v>
      </c>
      <c r="H186" s="301">
        <f>Tabla15[[#This Row],[Importe]]-Tabla15[[#This Row],[Pagado]]</f>
        <v>0</v>
      </c>
      <c r="I186" s="275" t="s">
        <v>15214</v>
      </c>
    </row>
    <row r="187" spans="1:9" x14ac:dyDescent="0.25">
      <c r="A187" s="420">
        <v>43010</v>
      </c>
      <c r="B187" s="302" t="s">
        <v>31818</v>
      </c>
      <c r="C187">
        <v>129750</v>
      </c>
      <c r="D187" s="275" t="s">
        <v>15246</v>
      </c>
      <c r="E187" s="301">
        <v>7410.48</v>
      </c>
      <c r="F187" s="303">
        <v>43011</v>
      </c>
      <c r="G187" s="301">
        <v>7410.48</v>
      </c>
      <c r="H187" s="301">
        <f>Tabla15[[#This Row],[Importe]]-Tabla15[[#This Row],[Pagado]]</f>
        <v>0</v>
      </c>
      <c r="I187" s="275" t="s">
        <v>15214</v>
      </c>
    </row>
    <row r="188" spans="1:9" x14ac:dyDescent="0.25">
      <c r="A188" s="420">
        <v>43010</v>
      </c>
      <c r="B188" s="302" t="s">
        <v>31819</v>
      </c>
      <c r="C188">
        <v>129751</v>
      </c>
      <c r="D188" s="275" t="s">
        <v>5556</v>
      </c>
      <c r="E188" s="301">
        <v>29102.1</v>
      </c>
      <c r="F188" s="303">
        <v>43012</v>
      </c>
      <c r="G188" s="301">
        <v>29102.1</v>
      </c>
      <c r="H188" s="301">
        <f>Tabla15[[#This Row],[Importe]]-Tabla15[[#This Row],[Pagado]]</f>
        <v>0</v>
      </c>
      <c r="I188" s="275" t="s">
        <v>15214</v>
      </c>
    </row>
    <row r="189" spans="1:9" x14ac:dyDescent="0.25">
      <c r="A189" s="420">
        <v>43010</v>
      </c>
      <c r="B189" s="302" t="s">
        <v>31820</v>
      </c>
      <c r="C189">
        <v>129752</v>
      </c>
      <c r="D189" s="275" t="s">
        <v>15326</v>
      </c>
      <c r="E189" s="301">
        <v>3217.6</v>
      </c>
      <c r="F189" s="303">
        <v>43010</v>
      </c>
      <c r="G189" s="301">
        <v>3217.6</v>
      </c>
      <c r="H189" s="301">
        <f>Tabla15[[#This Row],[Importe]]-Tabla15[[#This Row],[Pagado]]</f>
        <v>0</v>
      </c>
      <c r="I189" s="275" t="s">
        <v>15214</v>
      </c>
    </row>
    <row r="190" spans="1:9" x14ac:dyDescent="0.25">
      <c r="A190" s="420">
        <v>43010</v>
      </c>
      <c r="B190" s="302" t="s">
        <v>31821</v>
      </c>
      <c r="C190">
        <v>129753</v>
      </c>
      <c r="D190" s="275" t="s">
        <v>15326</v>
      </c>
      <c r="E190" s="301">
        <v>2256</v>
      </c>
      <c r="F190" s="303">
        <v>43010</v>
      </c>
      <c r="G190" s="301">
        <v>2256</v>
      </c>
      <c r="H190" s="301">
        <f>Tabla15[[#This Row],[Importe]]-Tabla15[[#This Row],[Pagado]]</f>
        <v>0</v>
      </c>
      <c r="I190" s="275" t="s">
        <v>15214</v>
      </c>
    </row>
    <row r="191" spans="1:9" x14ac:dyDescent="0.25">
      <c r="A191" s="420">
        <v>43010</v>
      </c>
      <c r="B191" s="302" t="s">
        <v>31822</v>
      </c>
      <c r="C191">
        <v>129754</v>
      </c>
      <c r="D191" s="275" t="s">
        <v>15315</v>
      </c>
      <c r="E191" s="301">
        <v>634.79999999999995</v>
      </c>
      <c r="F191" s="303">
        <v>43010</v>
      </c>
      <c r="G191" s="301">
        <v>634.79999999999995</v>
      </c>
      <c r="H191" s="301">
        <f>Tabla15[[#This Row],[Importe]]-Tabla15[[#This Row],[Pagado]]</f>
        <v>0</v>
      </c>
      <c r="I191" s="275" t="s">
        <v>15214</v>
      </c>
    </row>
    <row r="192" spans="1:9" x14ac:dyDescent="0.25">
      <c r="A192" s="420">
        <v>43010</v>
      </c>
      <c r="B192" s="302" t="s">
        <v>31823</v>
      </c>
      <c r="C192">
        <v>129755</v>
      </c>
      <c r="D192" s="275" t="s">
        <v>15444</v>
      </c>
      <c r="E192" s="301">
        <v>2594.6</v>
      </c>
      <c r="F192" s="303">
        <v>43011</v>
      </c>
      <c r="G192" s="301">
        <v>2594.6</v>
      </c>
      <c r="H192" s="301">
        <f>Tabla15[[#This Row],[Importe]]-Tabla15[[#This Row],[Pagado]]</f>
        <v>0</v>
      </c>
      <c r="I192" s="275" t="s">
        <v>15214</v>
      </c>
    </row>
    <row r="193" spans="1:9" x14ac:dyDescent="0.25">
      <c r="A193" s="420">
        <v>43010</v>
      </c>
      <c r="B193" s="302" t="s">
        <v>31824</v>
      </c>
      <c r="C193">
        <v>129756</v>
      </c>
      <c r="D193" s="275" t="s">
        <v>5883</v>
      </c>
      <c r="E193" s="301">
        <v>9229.44</v>
      </c>
      <c r="F193" s="303">
        <v>43039</v>
      </c>
      <c r="G193" s="301">
        <v>9229.44</v>
      </c>
      <c r="H193" s="301">
        <f>Tabla15[[#This Row],[Importe]]-Tabla15[[#This Row],[Pagado]]</f>
        <v>0</v>
      </c>
      <c r="I193" s="275" t="s">
        <v>15214</v>
      </c>
    </row>
    <row r="194" spans="1:9" x14ac:dyDescent="0.25">
      <c r="A194" s="420">
        <v>43010</v>
      </c>
      <c r="B194" s="302" t="s">
        <v>31825</v>
      </c>
      <c r="C194">
        <v>129757</v>
      </c>
      <c r="D194" s="275" t="s">
        <v>15328</v>
      </c>
      <c r="E194" s="301">
        <v>67209.210000000006</v>
      </c>
      <c r="F194" s="303">
        <v>43021</v>
      </c>
      <c r="G194" s="301">
        <v>67209.210000000006</v>
      </c>
      <c r="H194" s="301">
        <f>Tabla15[[#This Row],[Importe]]-Tabla15[[#This Row],[Pagado]]</f>
        <v>0</v>
      </c>
      <c r="I194" s="275" t="s">
        <v>15214</v>
      </c>
    </row>
    <row r="195" spans="1:9" ht="30" x14ac:dyDescent="0.25">
      <c r="A195" s="420">
        <v>43010</v>
      </c>
      <c r="B195" s="302" t="s">
        <v>31826</v>
      </c>
      <c r="C195">
        <v>129758</v>
      </c>
      <c r="D195" s="275" t="s">
        <v>15407</v>
      </c>
      <c r="E195" s="301">
        <v>6396</v>
      </c>
      <c r="F195" s="303" t="s">
        <v>31827</v>
      </c>
      <c r="G195" s="305">
        <f>2596+3800</f>
        <v>6396</v>
      </c>
      <c r="H195" s="305">
        <f>Tabla15[[#This Row],[Importe]]-Tabla15[[#This Row],[Pagado]]</f>
        <v>0</v>
      </c>
      <c r="I195" s="275" t="s">
        <v>15214</v>
      </c>
    </row>
    <row r="196" spans="1:9" x14ac:dyDescent="0.25">
      <c r="A196" s="420">
        <v>43010</v>
      </c>
      <c r="B196" s="302" t="s">
        <v>31828</v>
      </c>
      <c r="C196">
        <v>129759</v>
      </c>
      <c r="D196" s="275" t="s">
        <v>15284</v>
      </c>
      <c r="E196" s="301">
        <v>1056</v>
      </c>
      <c r="F196" s="303">
        <v>43010</v>
      </c>
      <c r="G196" s="301">
        <v>1056</v>
      </c>
      <c r="H196" s="301">
        <f>Tabla15[[#This Row],[Importe]]-Tabla15[[#This Row],[Pagado]]</f>
        <v>0</v>
      </c>
      <c r="I196" s="275" t="s">
        <v>15214</v>
      </c>
    </row>
    <row r="197" spans="1:9" x14ac:dyDescent="0.25">
      <c r="A197" s="420">
        <v>43010</v>
      </c>
      <c r="B197" s="302" t="s">
        <v>31829</v>
      </c>
      <c r="C197">
        <v>129760</v>
      </c>
      <c r="D197" s="275" t="s">
        <v>15413</v>
      </c>
      <c r="E197" s="301">
        <v>3358.4</v>
      </c>
      <c r="F197" s="303">
        <v>43010</v>
      </c>
      <c r="G197" s="301">
        <v>3358.4</v>
      </c>
      <c r="H197" s="301">
        <f>Tabla15[[#This Row],[Importe]]-Tabla15[[#This Row],[Pagado]]</f>
        <v>0</v>
      </c>
      <c r="I197" s="275" t="s">
        <v>15214</v>
      </c>
    </row>
    <row r="198" spans="1:9" x14ac:dyDescent="0.25">
      <c r="A198" s="420">
        <v>43010</v>
      </c>
      <c r="B198" s="302" t="s">
        <v>31830</v>
      </c>
      <c r="C198">
        <v>129761</v>
      </c>
      <c r="D198" s="275" t="s">
        <v>15317</v>
      </c>
      <c r="E198" s="301">
        <v>2928.1</v>
      </c>
      <c r="F198" s="303">
        <v>43012</v>
      </c>
      <c r="G198" s="301">
        <v>2928.1</v>
      </c>
      <c r="H198" s="301">
        <f>Tabla15[[#This Row],[Importe]]-Tabla15[[#This Row],[Pagado]]</f>
        <v>0</v>
      </c>
      <c r="I198" s="275" t="s">
        <v>15214</v>
      </c>
    </row>
    <row r="199" spans="1:9" x14ac:dyDescent="0.25">
      <c r="A199" s="420">
        <v>43010</v>
      </c>
      <c r="B199" s="302" t="s">
        <v>31831</v>
      </c>
      <c r="C199">
        <v>129762</v>
      </c>
      <c r="D199" s="275" t="s">
        <v>15742</v>
      </c>
      <c r="E199" s="301">
        <v>2949.2</v>
      </c>
      <c r="F199" s="303">
        <v>43011</v>
      </c>
      <c r="G199" s="301">
        <v>2949.2</v>
      </c>
      <c r="H199" s="301">
        <f>Tabla15[[#This Row],[Importe]]-Tabla15[[#This Row],[Pagado]]</f>
        <v>0</v>
      </c>
      <c r="I199" s="275" t="s">
        <v>15214</v>
      </c>
    </row>
    <row r="200" spans="1:9" x14ac:dyDescent="0.25">
      <c r="A200" s="420">
        <v>43010</v>
      </c>
      <c r="B200" s="302" t="s">
        <v>31832</v>
      </c>
      <c r="C200">
        <v>129763</v>
      </c>
      <c r="D200" s="275" t="s">
        <v>15391</v>
      </c>
      <c r="E200" s="301">
        <v>6609.2</v>
      </c>
      <c r="F200" s="303">
        <v>43012</v>
      </c>
      <c r="G200" s="301">
        <v>6609.2</v>
      </c>
      <c r="H200" s="301">
        <f>Tabla15[[#This Row],[Importe]]-Tabla15[[#This Row],[Pagado]]</f>
        <v>0</v>
      </c>
      <c r="I200" s="275" t="s">
        <v>15214</v>
      </c>
    </row>
    <row r="201" spans="1:9" x14ac:dyDescent="0.25">
      <c r="A201" s="420">
        <v>43010</v>
      </c>
      <c r="B201" s="302" t="s">
        <v>31833</v>
      </c>
      <c r="C201">
        <v>129764</v>
      </c>
      <c r="D201" s="275" t="s">
        <v>15903</v>
      </c>
      <c r="E201" s="301">
        <v>32134.400000000001</v>
      </c>
      <c r="F201" s="303">
        <v>43010</v>
      </c>
      <c r="G201" s="301">
        <v>32134.400000000001</v>
      </c>
      <c r="H201" s="301">
        <f>Tabla15[[#This Row],[Importe]]-Tabla15[[#This Row],[Pagado]]</f>
        <v>0</v>
      </c>
      <c r="I201" s="275" t="s">
        <v>15214</v>
      </c>
    </row>
    <row r="202" spans="1:9" ht="30" x14ac:dyDescent="0.25">
      <c r="A202" s="420">
        <v>43010</v>
      </c>
      <c r="B202" s="302" t="s">
        <v>31834</v>
      </c>
      <c r="C202">
        <v>129765</v>
      </c>
      <c r="D202" s="275" t="s">
        <v>15628</v>
      </c>
      <c r="E202" s="301">
        <v>15874.5</v>
      </c>
      <c r="F202" s="303" t="s">
        <v>31835</v>
      </c>
      <c r="G202" s="305">
        <f>2650+13224.5</f>
        <v>15874.5</v>
      </c>
      <c r="H202" s="305">
        <f>Tabla15[[#This Row],[Importe]]-Tabla15[[#This Row],[Pagado]]</f>
        <v>0</v>
      </c>
      <c r="I202" s="275" t="s">
        <v>15214</v>
      </c>
    </row>
    <row r="203" spans="1:9" x14ac:dyDescent="0.25">
      <c r="A203" s="420">
        <v>43010</v>
      </c>
      <c r="B203" s="302" t="s">
        <v>31836</v>
      </c>
      <c r="C203">
        <v>129766</v>
      </c>
      <c r="D203" s="275" t="s">
        <v>19765</v>
      </c>
      <c r="E203" s="301">
        <v>3500</v>
      </c>
      <c r="F203" s="303" t="s">
        <v>31837</v>
      </c>
      <c r="G203" s="301">
        <v>3500</v>
      </c>
      <c r="H203" s="301">
        <f>Tabla15[[#This Row],[Importe]]-Tabla15[[#This Row],[Pagado]]</f>
        <v>0</v>
      </c>
      <c r="I203" s="275" t="s">
        <v>15214</v>
      </c>
    </row>
    <row r="204" spans="1:9" x14ac:dyDescent="0.25">
      <c r="A204" s="420">
        <v>43010</v>
      </c>
      <c r="B204" s="302" t="s">
        <v>31838</v>
      </c>
      <c r="C204">
        <v>129767</v>
      </c>
      <c r="D204" s="275" t="s">
        <v>27668</v>
      </c>
      <c r="E204" s="301">
        <v>3500</v>
      </c>
      <c r="F204" s="303">
        <v>43017</v>
      </c>
      <c r="G204" s="301">
        <v>3500</v>
      </c>
      <c r="H204" s="301">
        <f>Tabla15[[#This Row],[Importe]]-Tabla15[[#This Row],[Pagado]]</f>
        <v>0</v>
      </c>
      <c r="I204" s="275" t="s">
        <v>15214</v>
      </c>
    </row>
    <row r="205" spans="1:9" ht="30" x14ac:dyDescent="0.25">
      <c r="A205" s="420">
        <v>43010</v>
      </c>
      <c r="B205" s="302" t="s">
        <v>31839</v>
      </c>
      <c r="C205">
        <v>129768</v>
      </c>
      <c r="D205" s="275" t="s">
        <v>15246</v>
      </c>
      <c r="E205" s="301">
        <v>49572.72</v>
      </c>
      <c r="F205" s="303" t="s">
        <v>31615</v>
      </c>
      <c r="G205" s="305">
        <f>16239.21+33333.51</f>
        <v>49572.72</v>
      </c>
      <c r="H205" s="305">
        <f>Tabla15[[#This Row],[Importe]]-Tabla15[[#This Row],[Pagado]]</f>
        <v>0</v>
      </c>
      <c r="I205" s="275" t="s">
        <v>15214</v>
      </c>
    </row>
    <row r="206" spans="1:9" x14ac:dyDescent="0.25">
      <c r="A206" s="420">
        <v>43010</v>
      </c>
      <c r="B206" s="302" t="s">
        <v>31840</v>
      </c>
      <c r="C206">
        <v>129769</v>
      </c>
      <c r="D206" s="275" t="s">
        <v>5556</v>
      </c>
      <c r="E206" s="301">
        <v>26909.9</v>
      </c>
      <c r="F206" s="303">
        <v>43012</v>
      </c>
      <c r="G206" s="301">
        <v>26909.9</v>
      </c>
      <c r="H206" s="301">
        <f>Tabla15[[#This Row],[Importe]]-Tabla15[[#This Row],[Pagado]]</f>
        <v>0</v>
      </c>
      <c r="I206" s="275" t="s">
        <v>15214</v>
      </c>
    </row>
    <row r="207" spans="1:9" x14ac:dyDescent="0.25">
      <c r="A207" s="420">
        <v>43010</v>
      </c>
      <c r="B207" s="302" t="s">
        <v>31841</v>
      </c>
      <c r="C207">
        <v>129770</v>
      </c>
      <c r="D207" s="275" t="s">
        <v>15315</v>
      </c>
      <c r="E207" s="301">
        <v>92</v>
      </c>
      <c r="F207" s="303">
        <v>43010</v>
      </c>
      <c r="G207" s="301">
        <v>92</v>
      </c>
      <c r="H207" s="301">
        <f>Tabla15[[#This Row],[Importe]]-Tabla15[[#This Row],[Pagado]]</f>
        <v>0</v>
      </c>
      <c r="I207" s="275" t="s">
        <v>15214</v>
      </c>
    </row>
    <row r="208" spans="1:9" x14ac:dyDescent="0.25">
      <c r="A208" s="420">
        <v>43010</v>
      </c>
      <c r="B208" s="302" t="s">
        <v>31842</v>
      </c>
      <c r="C208">
        <v>129771</v>
      </c>
      <c r="D208" s="275" t="s">
        <v>15246</v>
      </c>
      <c r="E208" s="301">
        <v>81592</v>
      </c>
      <c r="F208" s="303">
        <v>43013</v>
      </c>
      <c r="G208" s="301">
        <v>81592</v>
      </c>
      <c r="H208" s="301">
        <f>Tabla15[[#This Row],[Importe]]-Tabla15[[#This Row],[Pagado]]</f>
        <v>0</v>
      </c>
      <c r="I208" s="275" t="s">
        <v>15214</v>
      </c>
    </row>
    <row r="209" spans="1:9" x14ac:dyDescent="0.25">
      <c r="A209" s="420">
        <v>43010</v>
      </c>
      <c r="B209" s="302" t="s">
        <v>31843</v>
      </c>
      <c r="C209">
        <v>129772</v>
      </c>
      <c r="D209" s="275" t="s">
        <v>15365</v>
      </c>
      <c r="E209" s="301">
        <v>409670</v>
      </c>
      <c r="F209" s="303">
        <v>43012</v>
      </c>
      <c r="G209" s="301">
        <v>409670</v>
      </c>
      <c r="H209" s="301">
        <f>Tabla15[[#This Row],[Importe]]-Tabla15[[#This Row],[Pagado]]</f>
        <v>0</v>
      </c>
      <c r="I209" s="275" t="s">
        <v>15214</v>
      </c>
    </row>
    <row r="210" spans="1:9" ht="15.75" x14ac:dyDescent="0.25">
      <c r="A210" s="420">
        <v>43011</v>
      </c>
      <c r="B210" s="302" t="s">
        <v>31844</v>
      </c>
      <c r="C210">
        <v>129773</v>
      </c>
      <c r="D210" s="248" t="s">
        <v>95</v>
      </c>
      <c r="E210" s="301">
        <v>0</v>
      </c>
      <c r="F210" s="243" t="s">
        <v>95</v>
      </c>
      <c r="G210" s="301">
        <v>0</v>
      </c>
      <c r="H210" s="301">
        <f>Tabla15[[#This Row],[Importe]]-Tabla15[[#This Row],[Pagado]]</f>
        <v>0</v>
      </c>
      <c r="I210" s="275" t="s">
        <v>95</v>
      </c>
    </row>
    <row r="211" spans="1:9" x14ac:dyDescent="0.25">
      <c r="A211" s="420">
        <v>43011</v>
      </c>
      <c r="B211" s="302" t="s">
        <v>31845</v>
      </c>
      <c r="C211">
        <v>129774</v>
      </c>
      <c r="D211" s="275" t="s">
        <v>15213</v>
      </c>
      <c r="E211" s="301">
        <v>44467.6</v>
      </c>
      <c r="F211" s="303">
        <v>43012</v>
      </c>
      <c r="G211" s="301">
        <v>44467.6</v>
      </c>
      <c r="H211" s="301">
        <f>Tabla15[[#This Row],[Importe]]-Tabla15[[#This Row],[Pagado]]</f>
        <v>0</v>
      </c>
      <c r="I211" s="275" t="s">
        <v>15214</v>
      </c>
    </row>
    <row r="212" spans="1:9" x14ac:dyDescent="0.25">
      <c r="A212" s="420">
        <v>43011</v>
      </c>
      <c r="B212" s="302" t="s">
        <v>31846</v>
      </c>
      <c r="C212">
        <v>129775</v>
      </c>
      <c r="D212" s="275" t="s">
        <v>21386</v>
      </c>
      <c r="E212" s="301">
        <v>9224.1</v>
      </c>
      <c r="F212" s="303">
        <v>43012</v>
      </c>
      <c r="G212" s="301">
        <v>9224.1</v>
      </c>
      <c r="H212" s="301">
        <f>Tabla15[[#This Row],[Importe]]-Tabla15[[#This Row],[Pagado]]</f>
        <v>0</v>
      </c>
      <c r="I212" s="275" t="s">
        <v>15214</v>
      </c>
    </row>
    <row r="213" spans="1:9" x14ac:dyDescent="0.25">
      <c r="A213" s="420">
        <v>43011</v>
      </c>
      <c r="B213" s="302" t="s">
        <v>31847</v>
      </c>
      <c r="C213">
        <v>129776</v>
      </c>
      <c r="D213" s="275" t="s">
        <v>15242</v>
      </c>
      <c r="E213" s="301">
        <v>4600</v>
      </c>
      <c r="F213" s="303">
        <v>43011</v>
      </c>
      <c r="G213" s="301">
        <v>4600</v>
      </c>
      <c r="H213" s="301">
        <f>Tabla15[[#This Row],[Importe]]-Tabla15[[#This Row],[Pagado]]</f>
        <v>0</v>
      </c>
      <c r="I213" s="275" t="s">
        <v>15214</v>
      </c>
    </row>
    <row r="214" spans="1:9" x14ac:dyDescent="0.25">
      <c r="A214" s="420">
        <v>43011</v>
      </c>
      <c r="B214" s="302" t="s">
        <v>31848</v>
      </c>
      <c r="C214">
        <v>129777</v>
      </c>
      <c r="D214" s="275" t="s">
        <v>15230</v>
      </c>
      <c r="E214" s="301">
        <v>8766.6</v>
      </c>
      <c r="F214" s="303">
        <v>43015</v>
      </c>
      <c r="G214" s="301">
        <v>8766.6</v>
      </c>
      <c r="H214" s="301">
        <f>Tabla15[[#This Row],[Importe]]-Tabla15[[#This Row],[Pagado]]</f>
        <v>0</v>
      </c>
      <c r="I214" s="275" t="s">
        <v>15214</v>
      </c>
    </row>
    <row r="215" spans="1:9" x14ac:dyDescent="0.25">
      <c r="A215" s="420">
        <v>43011</v>
      </c>
      <c r="B215" s="302" t="s">
        <v>31849</v>
      </c>
      <c r="C215">
        <v>129778</v>
      </c>
      <c r="D215" s="275" t="s">
        <v>15232</v>
      </c>
      <c r="E215" s="301">
        <v>5776</v>
      </c>
      <c r="F215" s="303">
        <v>43013</v>
      </c>
      <c r="G215" s="301">
        <v>5776</v>
      </c>
      <c r="H215" s="301">
        <f>Tabla15[[#This Row],[Importe]]-Tabla15[[#This Row],[Pagado]]</f>
        <v>0</v>
      </c>
      <c r="I215" s="275" t="s">
        <v>15214</v>
      </c>
    </row>
    <row r="216" spans="1:9" x14ac:dyDescent="0.25">
      <c r="A216" s="420">
        <v>43011</v>
      </c>
      <c r="B216" s="302" t="s">
        <v>31850</v>
      </c>
      <c r="C216">
        <v>129779</v>
      </c>
      <c r="D216" s="275" t="s">
        <v>15284</v>
      </c>
      <c r="E216" s="301">
        <v>2065.5</v>
      </c>
      <c r="F216" s="303">
        <v>43011</v>
      </c>
      <c r="G216" s="301">
        <v>2065.5</v>
      </c>
      <c r="H216" s="301">
        <f>Tabla15[[#This Row],[Importe]]-Tabla15[[#This Row],[Pagado]]</f>
        <v>0</v>
      </c>
      <c r="I216" s="275" t="s">
        <v>15214</v>
      </c>
    </row>
    <row r="217" spans="1:9" x14ac:dyDescent="0.25">
      <c r="A217" s="420">
        <v>43011</v>
      </c>
      <c r="B217" s="302" t="s">
        <v>31851</v>
      </c>
      <c r="C217">
        <v>129780</v>
      </c>
      <c r="D217" s="275" t="s">
        <v>30939</v>
      </c>
      <c r="E217" s="301">
        <v>7133.6</v>
      </c>
      <c r="F217" s="303">
        <v>43014</v>
      </c>
      <c r="G217" s="301">
        <v>7133.6</v>
      </c>
      <c r="H217" s="301">
        <f>Tabla15[[#This Row],[Importe]]-Tabla15[[#This Row],[Pagado]]</f>
        <v>0</v>
      </c>
      <c r="I217" s="275" t="s">
        <v>15214</v>
      </c>
    </row>
    <row r="218" spans="1:9" x14ac:dyDescent="0.25">
      <c r="A218" s="420">
        <v>43011</v>
      </c>
      <c r="B218" s="302" t="s">
        <v>31852</v>
      </c>
      <c r="C218">
        <v>129781</v>
      </c>
      <c r="D218" s="275" t="s">
        <v>15348</v>
      </c>
      <c r="E218" s="301">
        <v>2967</v>
      </c>
      <c r="F218" s="303">
        <v>43013</v>
      </c>
      <c r="G218" s="301">
        <v>2967</v>
      </c>
      <c r="H218" s="301">
        <f>Tabla15[[#This Row],[Importe]]-Tabla15[[#This Row],[Pagado]]</f>
        <v>0</v>
      </c>
      <c r="I218" s="275" t="s">
        <v>15214</v>
      </c>
    </row>
    <row r="219" spans="1:9" x14ac:dyDescent="0.25">
      <c r="A219" s="420">
        <v>43011</v>
      </c>
      <c r="B219" s="302" t="s">
        <v>31853</v>
      </c>
      <c r="C219">
        <v>129782</v>
      </c>
      <c r="D219" s="275" t="s">
        <v>15240</v>
      </c>
      <c r="E219" s="301">
        <v>3326.4</v>
      </c>
      <c r="F219" s="303">
        <v>43012</v>
      </c>
      <c r="G219" s="301">
        <v>3326.4</v>
      </c>
      <c r="H219" s="301">
        <f>Tabla15[[#This Row],[Importe]]-Tabla15[[#This Row],[Pagado]]</f>
        <v>0</v>
      </c>
      <c r="I219" s="275" t="s">
        <v>15214</v>
      </c>
    </row>
    <row r="220" spans="1:9" ht="30" x14ac:dyDescent="0.25">
      <c r="A220" s="420">
        <v>43011</v>
      </c>
      <c r="B220" s="302" t="s">
        <v>31854</v>
      </c>
      <c r="C220">
        <v>129783</v>
      </c>
      <c r="D220" s="275" t="s">
        <v>15258</v>
      </c>
      <c r="E220" s="301">
        <v>9575.6</v>
      </c>
      <c r="F220" s="303" t="s">
        <v>31855</v>
      </c>
      <c r="G220" s="305">
        <f>3000+6575.6</f>
        <v>9575.6</v>
      </c>
      <c r="H220" s="305">
        <f>Tabla15[[#This Row],[Importe]]-Tabla15[[#This Row],[Pagado]]</f>
        <v>0</v>
      </c>
      <c r="I220" s="275" t="s">
        <v>15214</v>
      </c>
    </row>
    <row r="221" spans="1:9" x14ac:dyDescent="0.25">
      <c r="A221" s="420">
        <v>43011</v>
      </c>
      <c r="B221" s="302" t="s">
        <v>31856</v>
      </c>
      <c r="C221">
        <v>129784</v>
      </c>
      <c r="D221" s="275" t="s">
        <v>17462</v>
      </c>
      <c r="E221" s="301">
        <v>7323.5</v>
      </c>
      <c r="F221" s="303">
        <v>43011</v>
      </c>
      <c r="G221" s="301">
        <v>7323.5</v>
      </c>
      <c r="H221" s="301">
        <f>Tabla15[[#This Row],[Importe]]-Tabla15[[#This Row],[Pagado]]</f>
        <v>0</v>
      </c>
      <c r="I221" s="275" t="s">
        <v>15214</v>
      </c>
    </row>
    <row r="222" spans="1:9" x14ac:dyDescent="0.25">
      <c r="A222" s="420">
        <v>43011</v>
      </c>
      <c r="B222" s="302" t="s">
        <v>31857</v>
      </c>
      <c r="C222">
        <v>129785</v>
      </c>
      <c r="D222" s="275" t="s">
        <v>15668</v>
      </c>
      <c r="E222" s="301">
        <v>12557.8</v>
      </c>
      <c r="F222" s="303">
        <v>43014</v>
      </c>
      <c r="G222" s="301">
        <v>12557.8</v>
      </c>
      <c r="H222" s="301">
        <f>Tabla15[[#This Row],[Importe]]-Tabla15[[#This Row],[Pagado]]</f>
        <v>0</v>
      </c>
      <c r="I222" s="275" t="s">
        <v>15214</v>
      </c>
    </row>
    <row r="223" spans="1:9" x14ac:dyDescent="0.25">
      <c r="A223" s="420">
        <v>43011</v>
      </c>
      <c r="B223" s="302" t="s">
        <v>31858</v>
      </c>
      <c r="C223">
        <v>129786</v>
      </c>
      <c r="D223" s="275" t="s">
        <v>18258</v>
      </c>
      <c r="E223" s="301">
        <v>10453.200000000001</v>
      </c>
      <c r="F223" s="303">
        <v>43011</v>
      </c>
      <c r="G223" s="301">
        <v>10453.200000000001</v>
      </c>
      <c r="H223" s="301">
        <f>Tabla15[[#This Row],[Importe]]-Tabla15[[#This Row],[Pagado]]</f>
        <v>0</v>
      </c>
      <c r="I223" s="275" t="s">
        <v>15214</v>
      </c>
    </row>
    <row r="224" spans="1:9" x14ac:dyDescent="0.25">
      <c r="A224" s="420">
        <v>43011</v>
      </c>
      <c r="B224" s="302" t="s">
        <v>31859</v>
      </c>
      <c r="C224">
        <v>129787</v>
      </c>
      <c r="D224" s="275" t="s">
        <v>15226</v>
      </c>
      <c r="E224" s="301">
        <v>2943.6</v>
      </c>
      <c r="F224" s="303">
        <v>43013</v>
      </c>
      <c r="G224" s="301">
        <v>2943.6</v>
      </c>
      <c r="H224" s="301">
        <f>Tabla15[[#This Row],[Importe]]-Tabla15[[#This Row],[Pagado]]</f>
        <v>0</v>
      </c>
      <c r="I224" s="275" t="s">
        <v>15214</v>
      </c>
    </row>
    <row r="225" spans="1:9" ht="30" x14ac:dyDescent="0.25">
      <c r="A225" s="420">
        <v>43011</v>
      </c>
      <c r="B225" s="302" t="s">
        <v>31860</v>
      </c>
      <c r="C225">
        <v>129788</v>
      </c>
      <c r="D225" s="275" t="s">
        <v>15238</v>
      </c>
      <c r="E225" s="301">
        <v>3174.6</v>
      </c>
      <c r="F225" s="303" t="s">
        <v>31855</v>
      </c>
      <c r="G225" s="301">
        <f>2000+1174.6</f>
        <v>3174.6</v>
      </c>
      <c r="H225" s="301">
        <f>Tabla15[[#This Row],[Importe]]-Tabla15[[#This Row],[Pagado]]</f>
        <v>0</v>
      </c>
      <c r="I225" s="275" t="s">
        <v>15214</v>
      </c>
    </row>
    <row r="226" spans="1:9" x14ac:dyDescent="0.25">
      <c r="A226" s="420">
        <v>43011</v>
      </c>
      <c r="B226" s="302" t="s">
        <v>31861</v>
      </c>
      <c r="C226">
        <v>129789</v>
      </c>
      <c r="D226" s="275" t="s">
        <v>15324</v>
      </c>
      <c r="E226" s="301">
        <v>1081</v>
      </c>
      <c r="F226" s="303">
        <v>43011</v>
      </c>
      <c r="G226" s="301">
        <v>1081</v>
      </c>
      <c r="H226" s="301">
        <f>Tabla15[[#This Row],[Importe]]-Tabla15[[#This Row],[Pagado]]</f>
        <v>0</v>
      </c>
      <c r="I226" s="275" t="s">
        <v>15214</v>
      </c>
    </row>
    <row r="227" spans="1:9" x14ac:dyDescent="0.25">
      <c r="A227" s="420">
        <v>43011</v>
      </c>
      <c r="B227" s="302" t="s">
        <v>31862</v>
      </c>
      <c r="C227">
        <v>129790</v>
      </c>
      <c r="D227" s="275" t="s">
        <v>15220</v>
      </c>
      <c r="E227" s="301">
        <v>1505</v>
      </c>
      <c r="F227" s="303">
        <v>43011</v>
      </c>
      <c r="G227" s="301">
        <v>1505</v>
      </c>
      <c r="H227" s="301">
        <f>Tabla15[[#This Row],[Importe]]-Tabla15[[#This Row],[Pagado]]</f>
        <v>0</v>
      </c>
      <c r="I227" s="275" t="s">
        <v>15214</v>
      </c>
    </row>
    <row r="228" spans="1:9" x14ac:dyDescent="0.25">
      <c r="A228" s="420">
        <v>43011</v>
      </c>
      <c r="B228" s="302" t="s">
        <v>31863</v>
      </c>
      <c r="C228">
        <v>129791</v>
      </c>
      <c r="D228" s="275" t="s">
        <v>17235</v>
      </c>
      <c r="E228" s="301">
        <v>430</v>
      </c>
      <c r="F228" s="303">
        <v>43011</v>
      </c>
      <c r="G228" s="301">
        <v>430</v>
      </c>
      <c r="H228" s="301">
        <f>Tabla15[[#This Row],[Importe]]-Tabla15[[#This Row],[Pagado]]</f>
        <v>0</v>
      </c>
      <c r="I228" s="275" t="s">
        <v>15214</v>
      </c>
    </row>
    <row r="229" spans="1:9" x14ac:dyDescent="0.25">
      <c r="A229" s="420">
        <v>43011</v>
      </c>
      <c r="B229" s="302" t="s">
        <v>31864</v>
      </c>
      <c r="C229">
        <v>129792</v>
      </c>
      <c r="D229" s="275" t="s">
        <v>15475</v>
      </c>
      <c r="E229" s="301">
        <v>3404</v>
      </c>
      <c r="F229" s="303">
        <v>43013</v>
      </c>
      <c r="G229" s="301">
        <v>3404</v>
      </c>
      <c r="H229" s="301">
        <f>Tabla15[[#This Row],[Importe]]-Tabla15[[#This Row],[Pagado]]</f>
        <v>0</v>
      </c>
      <c r="I229" s="275" t="s">
        <v>15214</v>
      </c>
    </row>
    <row r="230" spans="1:9" x14ac:dyDescent="0.25">
      <c r="A230" s="420">
        <v>43011</v>
      </c>
      <c r="B230" s="302" t="s">
        <v>31865</v>
      </c>
      <c r="C230">
        <v>129793</v>
      </c>
      <c r="D230" s="275" t="s">
        <v>15480</v>
      </c>
      <c r="E230" s="301">
        <v>3211.6</v>
      </c>
      <c r="F230" s="303">
        <v>43013</v>
      </c>
      <c r="G230" s="301">
        <v>3211.6</v>
      </c>
      <c r="H230" s="301">
        <f>Tabla15[[#This Row],[Importe]]-Tabla15[[#This Row],[Pagado]]</f>
        <v>0</v>
      </c>
      <c r="I230" s="275" t="s">
        <v>15214</v>
      </c>
    </row>
    <row r="231" spans="1:9" ht="30" x14ac:dyDescent="0.25">
      <c r="A231" s="420">
        <v>43011</v>
      </c>
      <c r="B231" s="302" t="s">
        <v>31866</v>
      </c>
      <c r="C231">
        <v>129794</v>
      </c>
      <c r="D231" s="275" t="s">
        <v>19780</v>
      </c>
      <c r="E231" s="301">
        <v>10471</v>
      </c>
      <c r="F231" s="303" t="s">
        <v>31702</v>
      </c>
      <c r="G231" s="305">
        <f>4500+5971</f>
        <v>10471</v>
      </c>
      <c r="H231" s="305">
        <f>Tabla15[[#This Row],[Importe]]-Tabla15[[#This Row],[Pagado]]</f>
        <v>0</v>
      </c>
      <c r="I231" s="275" t="s">
        <v>15214</v>
      </c>
    </row>
    <row r="232" spans="1:9" x14ac:dyDescent="0.25">
      <c r="A232" s="420">
        <v>43011</v>
      </c>
      <c r="B232" s="302" t="s">
        <v>31867</v>
      </c>
      <c r="C232">
        <v>129795</v>
      </c>
      <c r="D232" s="275" t="s">
        <v>15234</v>
      </c>
      <c r="E232" s="301">
        <v>3108</v>
      </c>
      <c r="F232" s="303">
        <v>43013</v>
      </c>
      <c r="G232" s="301">
        <v>3108</v>
      </c>
      <c r="H232" s="301">
        <f>Tabla15[[#This Row],[Importe]]-Tabla15[[#This Row],[Pagado]]</f>
        <v>0</v>
      </c>
      <c r="I232" s="275" t="s">
        <v>15214</v>
      </c>
    </row>
    <row r="233" spans="1:9" x14ac:dyDescent="0.25">
      <c r="A233" s="420">
        <v>43011</v>
      </c>
      <c r="B233" s="302" t="s">
        <v>31868</v>
      </c>
      <c r="C233">
        <v>129796</v>
      </c>
      <c r="D233" s="275" t="s">
        <v>15315</v>
      </c>
      <c r="E233" s="301">
        <v>8670</v>
      </c>
      <c r="F233" s="303">
        <v>43011</v>
      </c>
      <c r="G233" s="301">
        <v>8670</v>
      </c>
      <c r="H233" s="301">
        <f>Tabla15[[#This Row],[Importe]]-Tabla15[[#This Row],[Pagado]]</f>
        <v>0</v>
      </c>
      <c r="I233" s="275" t="s">
        <v>15214</v>
      </c>
    </row>
    <row r="234" spans="1:9" x14ac:dyDescent="0.25">
      <c r="A234" s="420">
        <v>43011</v>
      </c>
      <c r="B234" s="302" t="s">
        <v>31869</v>
      </c>
      <c r="C234">
        <v>129797</v>
      </c>
      <c r="D234" s="275" t="s">
        <v>15537</v>
      </c>
      <c r="E234" s="301">
        <v>12580</v>
      </c>
      <c r="F234" s="303">
        <v>43012</v>
      </c>
      <c r="G234" s="301">
        <v>12580</v>
      </c>
      <c r="H234" s="301">
        <f>Tabla15[[#This Row],[Importe]]-Tabla15[[#This Row],[Pagado]]</f>
        <v>0</v>
      </c>
      <c r="I234" s="275" t="s">
        <v>15214</v>
      </c>
    </row>
    <row r="235" spans="1:9" x14ac:dyDescent="0.25">
      <c r="A235" s="420">
        <v>43011</v>
      </c>
      <c r="B235" s="302" t="s">
        <v>31870</v>
      </c>
      <c r="C235">
        <v>129798</v>
      </c>
      <c r="D235" s="275" t="s">
        <v>15539</v>
      </c>
      <c r="E235" s="301">
        <v>9272.2000000000007</v>
      </c>
      <c r="F235" s="303">
        <v>43012</v>
      </c>
      <c r="G235" s="301">
        <v>9272.2000000000007</v>
      </c>
      <c r="H235" s="301">
        <f>Tabla15[[#This Row],[Importe]]-Tabla15[[#This Row],[Pagado]]</f>
        <v>0</v>
      </c>
      <c r="I235" s="275" t="s">
        <v>15214</v>
      </c>
    </row>
    <row r="236" spans="1:9" x14ac:dyDescent="0.25">
      <c r="A236" s="420">
        <v>43011</v>
      </c>
      <c r="B236" s="302" t="s">
        <v>31871</v>
      </c>
      <c r="C236">
        <v>129799</v>
      </c>
      <c r="D236" s="275" t="s">
        <v>15555</v>
      </c>
      <c r="E236" s="301">
        <v>29880.9</v>
      </c>
      <c r="F236" s="303">
        <v>43012</v>
      </c>
      <c r="G236" s="301">
        <v>29880.9</v>
      </c>
      <c r="H236" s="301">
        <f>Tabla15[[#This Row],[Importe]]-Tabla15[[#This Row],[Pagado]]</f>
        <v>0</v>
      </c>
      <c r="I236" s="275" t="s">
        <v>15214</v>
      </c>
    </row>
    <row r="237" spans="1:9" x14ac:dyDescent="0.25">
      <c r="A237" s="420">
        <v>43011</v>
      </c>
      <c r="B237" s="302" t="s">
        <v>31872</v>
      </c>
      <c r="C237">
        <v>129800</v>
      </c>
      <c r="D237" s="275" t="s">
        <v>15559</v>
      </c>
      <c r="E237" s="301">
        <v>6667.4</v>
      </c>
      <c r="F237" s="303">
        <v>43012</v>
      </c>
      <c r="G237" s="301">
        <v>6667.4</v>
      </c>
      <c r="H237" s="301">
        <f>Tabla15[[#This Row],[Importe]]-Tabla15[[#This Row],[Pagado]]</f>
        <v>0</v>
      </c>
      <c r="I237" s="275" t="s">
        <v>15214</v>
      </c>
    </row>
    <row r="238" spans="1:9" x14ac:dyDescent="0.25">
      <c r="A238" s="420">
        <v>43011</v>
      </c>
      <c r="B238" s="302" t="s">
        <v>31873</v>
      </c>
      <c r="C238">
        <v>129801</v>
      </c>
      <c r="D238" s="275" t="s">
        <v>15371</v>
      </c>
      <c r="E238" s="301">
        <v>4346.3</v>
      </c>
      <c r="F238" s="303">
        <v>43012</v>
      </c>
      <c r="G238" s="301">
        <v>4346.3</v>
      </c>
      <c r="H238" s="301">
        <f>Tabla15[[#This Row],[Importe]]-Tabla15[[#This Row],[Pagado]]</f>
        <v>0</v>
      </c>
      <c r="I238" s="275" t="s">
        <v>15214</v>
      </c>
    </row>
    <row r="239" spans="1:9" x14ac:dyDescent="0.25">
      <c r="A239" s="420">
        <v>43011</v>
      </c>
      <c r="B239" s="302" t="s">
        <v>31874</v>
      </c>
      <c r="C239">
        <v>129802</v>
      </c>
      <c r="D239" s="275" t="s">
        <v>15442</v>
      </c>
      <c r="E239" s="301">
        <v>704</v>
      </c>
      <c r="F239" s="303">
        <v>43011</v>
      </c>
      <c r="G239" s="301">
        <v>704</v>
      </c>
      <c r="H239" s="301">
        <f>Tabla15[[#This Row],[Importe]]-Tabla15[[#This Row],[Pagado]]</f>
        <v>0</v>
      </c>
      <c r="I239" s="275" t="s">
        <v>15214</v>
      </c>
    </row>
    <row r="240" spans="1:9" x14ac:dyDescent="0.25">
      <c r="A240" s="420">
        <v>43011</v>
      </c>
      <c r="B240" s="302" t="s">
        <v>31875</v>
      </c>
      <c r="C240">
        <v>129803</v>
      </c>
      <c r="D240" s="275" t="s">
        <v>15236</v>
      </c>
      <c r="E240" s="301">
        <v>4374.6000000000004</v>
      </c>
      <c r="F240" s="303">
        <v>43013</v>
      </c>
      <c r="G240" s="301">
        <v>4374.6000000000004</v>
      </c>
      <c r="H240" s="301">
        <f>Tabla15[[#This Row],[Importe]]-Tabla15[[#This Row],[Pagado]]</f>
        <v>0</v>
      </c>
      <c r="I240" s="275" t="s">
        <v>15214</v>
      </c>
    </row>
    <row r="241" spans="1:9" x14ac:dyDescent="0.25">
      <c r="A241" s="420">
        <v>43011</v>
      </c>
      <c r="B241" s="302" t="s">
        <v>31876</v>
      </c>
      <c r="C241">
        <v>129804</v>
      </c>
      <c r="D241" s="275" t="s">
        <v>15338</v>
      </c>
      <c r="E241" s="301">
        <v>5028.6000000000004</v>
      </c>
      <c r="F241" s="303">
        <v>43013</v>
      </c>
      <c r="G241" s="301">
        <v>5028.6000000000004</v>
      </c>
      <c r="H241" s="301">
        <f>Tabla15[[#This Row],[Importe]]-Tabla15[[#This Row],[Pagado]]</f>
        <v>0</v>
      </c>
      <c r="I241" s="275" t="s">
        <v>15214</v>
      </c>
    </row>
    <row r="242" spans="1:9" x14ac:dyDescent="0.25">
      <c r="A242" s="420">
        <v>43011</v>
      </c>
      <c r="B242" s="302" t="s">
        <v>31877</v>
      </c>
      <c r="C242">
        <v>129805</v>
      </c>
      <c r="D242" s="275" t="s">
        <v>15263</v>
      </c>
      <c r="E242" s="301">
        <v>3182</v>
      </c>
      <c r="F242" s="303">
        <v>43011</v>
      </c>
      <c r="G242" s="301">
        <v>3182</v>
      </c>
      <c r="H242" s="301">
        <f>Tabla15[[#This Row],[Importe]]-Tabla15[[#This Row],[Pagado]]</f>
        <v>0</v>
      </c>
      <c r="I242" s="275" t="s">
        <v>15214</v>
      </c>
    </row>
    <row r="243" spans="1:9" x14ac:dyDescent="0.25">
      <c r="A243" s="420">
        <v>43011</v>
      </c>
      <c r="B243" s="302" t="s">
        <v>31878</v>
      </c>
      <c r="C243">
        <v>129806</v>
      </c>
      <c r="D243" s="275" t="s">
        <v>30057</v>
      </c>
      <c r="E243" s="301">
        <v>3790.4</v>
      </c>
      <c r="F243" s="303">
        <v>43012</v>
      </c>
      <c r="G243" s="301">
        <v>3790.4</v>
      </c>
      <c r="H243" s="301">
        <f>Tabla15[[#This Row],[Importe]]-Tabla15[[#This Row],[Pagado]]</f>
        <v>0</v>
      </c>
      <c r="I243" s="275" t="s">
        <v>15214</v>
      </c>
    </row>
    <row r="244" spans="1:9" x14ac:dyDescent="0.25">
      <c r="A244" s="420">
        <v>43011</v>
      </c>
      <c r="B244" s="302" t="s">
        <v>31879</v>
      </c>
      <c r="C244">
        <v>129807</v>
      </c>
      <c r="D244" s="275" t="s">
        <v>15699</v>
      </c>
      <c r="E244" s="301">
        <v>2934.1</v>
      </c>
      <c r="F244" s="303">
        <v>43012</v>
      </c>
      <c r="G244" s="301">
        <v>2934.1</v>
      </c>
      <c r="H244" s="301">
        <f>Tabla15[[#This Row],[Importe]]-Tabla15[[#This Row],[Pagado]]</f>
        <v>0</v>
      </c>
      <c r="I244" s="275" t="s">
        <v>15214</v>
      </c>
    </row>
    <row r="245" spans="1:9" x14ac:dyDescent="0.25">
      <c r="A245" s="420">
        <v>43011</v>
      </c>
      <c r="B245" s="302" t="s">
        <v>31880</v>
      </c>
      <c r="C245">
        <v>129808</v>
      </c>
      <c r="D245" s="275" t="s">
        <v>15699</v>
      </c>
      <c r="E245" s="301">
        <v>3743.2</v>
      </c>
      <c r="F245" s="303">
        <v>43012</v>
      </c>
      <c r="G245" s="301">
        <v>3743.2</v>
      </c>
      <c r="H245" s="301">
        <f>Tabla15[[#This Row],[Importe]]-Tabla15[[#This Row],[Pagado]]</f>
        <v>0</v>
      </c>
      <c r="I245" s="275" t="s">
        <v>15214</v>
      </c>
    </row>
    <row r="246" spans="1:9" x14ac:dyDescent="0.25">
      <c r="A246" s="420">
        <v>43011</v>
      </c>
      <c r="B246" s="302" t="s">
        <v>31881</v>
      </c>
      <c r="C246">
        <v>129809</v>
      </c>
      <c r="D246" s="275" t="s">
        <v>5575</v>
      </c>
      <c r="E246" s="301">
        <v>262.2</v>
      </c>
      <c r="F246" s="303">
        <v>43012</v>
      </c>
      <c r="G246" s="301">
        <v>262.2</v>
      </c>
      <c r="H246" s="301">
        <f>Tabla15[[#This Row],[Importe]]-Tabla15[[#This Row],[Pagado]]</f>
        <v>0</v>
      </c>
      <c r="I246" s="275" t="s">
        <v>15214</v>
      </c>
    </row>
    <row r="247" spans="1:9" ht="30" x14ac:dyDescent="0.25">
      <c r="A247" s="420">
        <v>43011</v>
      </c>
      <c r="B247" s="302" t="s">
        <v>31882</v>
      </c>
      <c r="C247">
        <v>129810</v>
      </c>
      <c r="D247" s="275" t="s">
        <v>15256</v>
      </c>
      <c r="E247" s="301">
        <v>6064.7</v>
      </c>
      <c r="F247" s="303" t="s">
        <v>31619</v>
      </c>
      <c r="G247" s="305">
        <f>5500+564.7</f>
        <v>6064.7</v>
      </c>
      <c r="H247" s="305">
        <f>Tabla15[[#This Row],[Importe]]-Tabla15[[#This Row],[Pagado]]</f>
        <v>0</v>
      </c>
      <c r="I247" s="275" t="s">
        <v>15214</v>
      </c>
    </row>
    <row r="248" spans="1:9" x14ac:dyDescent="0.25">
      <c r="A248" s="420">
        <v>43011</v>
      </c>
      <c r="B248" s="302" t="s">
        <v>31883</v>
      </c>
      <c r="C248">
        <v>129811</v>
      </c>
      <c r="D248" s="275" t="s">
        <v>15557</v>
      </c>
      <c r="E248" s="301">
        <v>3660.1</v>
      </c>
      <c r="F248" s="303">
        <v>43012</v>
      </c>
      <c r="G248" s="301">
        <v>3660.1</v>
      </c>
      <c r="H248" s="301">
        <f>Tabla15[[#This Row],[Importe]]-Tabla15[[#This Row],[Pagado]]</f>
        <v>0</v>
      </c>
      <c r="I248" s="275" t="s">
        <v>15214</v>
      </c>
    </row>
    <row r="249" spans="1:9" ht="15.75" x14ac:dyDescent="0.25">
      <c r="A249" s="420">
        <v>43011</v>
      </c>
      <c r="B249" s="302" t="s">
        <v>31884</v>
      </c>
      <c r="C249">
        <v>129812</v>
      </c>
      <c r="D249" s="248" t="s">
        <v>95</v>
      </c>
      <c r="E249" s="301">
        <v>0</v>
      </c>
      <c r="F249" s="243" t="s">
        <v>95</v>
      </c>
      <c r="G249" s="301">
        <v>0</v>
      </c>
      <c r="H249" s="301">
        <f>Tabla15[[#This Row],[Importe]]-Tabla15[[#This Row],[Pagado]]</f>
        <v>0</v>
      </c>
      <c r="I249" s="282" t="s">
        <v>31885</v>
      </c>
    </row>
    <row r="250" spans="1:9" x14ac:dyDescent="0.25">
      <c r="A250" s="420">
        <v>43011</v>
      </c>
      <c r="B250" s="302" t="s">
        <v>31886</v>
      </c>
      <c r="C250">
        <v>129813</v>
      </c>
      <c r="D250" s="275" t="s">
        <v>15272</v>
      </c>
      <c r="E250" s="301">
        <v>18682.8</v>
      </c>
      <c r="F250" s="303">
        <v>43011</v>
      </c>
      <c r="G250" s="301">
        <v>18682.8</v>
      </c>
      <c r="H250" s="301">
        <f>Tabla15[[#This Row],[Importe]]-Tabla15[[#This Row],[Pagado]]</f>
        <v>0</v>
      </c>
      <c r="I250" s="275" t="s">
        <v>15214</v>
      </c>
    </row>
    <row r="251" spans="1:9" x14ac:dyDescent="0.25">
      <c r="A251" s="420">
        <v>43011</v>
      </c>
      <c r="B251" s="302" t="s">
        <v>31887</v>
      </c>
      <c r="C251">
        <v>129814</v>
      </c>
      <c r="D251" s="275" t="s">
        <v>15553</v>
      </c>
      <c r="E251" s="301">
        <v>29598.799999999999</v>
      </c>
      <c r="F251" s="303">
        <v>43011</v>
      </c>
      <c r="G251" s="301">
        <v>29598.799999999999</v>
      </c>
      <c r="H251" s="301">
        <f>Tabla15[[#This Row],[Importe]]-Tabla15[[#This Row],[Pagado]]</f>
        <v>0</v>
      </c>
      <c r="I251" s="275" t="s">
        <v>15214</v>
      </c>
    </row>
    <row r="252" spans="1:9" x14ac:dyDescent="0.25">
      <c r="A252" s="420">
        <v>43011</v>
      </c>
      <c r="B252" s="302" t="s">
        <v>31888</v>
      </c>
      <c r="C252">
        <v>129815</v>
      </c>
      <c r="D252" s="275" t="s">
        <v>15228</v>
      </c>
      <c r="E252" s="301">
        <v>3584</v>
      </c>
      <c r="F252" s="303">
        <v>43011</v>
      </c>
      <c r="G252" s="301">
        <v>3584</v>
      </c>
      <c r="H252" s="301">
        <f>Tabla15[[#This Row],[Importe]]-Tabla15[[#This Row],[Pagado]]</f>
        <v>0</v>
      </c>
      <c r="I252" s="275" t="s">
        <v>15214</v>
      </c>
    </row>
    <row r="253" spans="1:9" x14ac:dyDescent="0.25">
      <c r="A253" s="420">
        <v>43011</v>
      </c>
      <c r="B253" s="302" t="s">
        <v>31889</v>
      </c>
      <c r="C253">
        <v>129816</v>
      </c>
      <c r="D253" s="275" t="s">
        <v>15250</v>
      </c>
      <c r="E253" s="301">
        <v>66333.399999999994</v>
      </c>
      <c r="F253" s="303">
        <v>43022</v>
      </c>
      <c r="G253" s="301">
        <v>66333.399999999994</v>
      </c>
      <c r="H253" s="301">
        <f>Tabla15[[#This Row],[Importe]]-Tabla15[[#This Row],[Pagado]]</f>
        <v>0</v>
      </c>
      <c r="I253" s="275" t="s">
        <v>15214</v>
      </c>
    </row>
    <row r="254" spans="1:9" x14ac:dyDescent="0.25">
      <c r="A254" s="420">
        <v>43011</v>
      </c>
      <c r="B254" s="302" t="s">
        <v>31890</v>
      </c>
      <c r="C254">
        <v>129817</v>
      </c>
      <c r="D254" s="275" t="s">
        <v>15448</v>
      </c>
      <c r="E254" s="301">
        <v>119933.1</v>
      </c>
      <c r="F254" s="303">
        <v>43011</v>
      </c>
      <c r="G254" s="301">
        <v>119933.1</v>
      </c>
      <c r="H254" s="301">
        <f>Tabla15[[#This Row],[Importe]]-Tabla15[[#This Row],[Pagado]]</f>
        <v>0</v>
      </c>
      <c r="I254" s="275" t="s">
        <v>15214</v>
      </c>
    </row>
    <row r="255" spans="1:9" ht="15.75" x14ac:dyDescent="0.25">
      <c r="A255" s="420">
        <v>43011</v>
      </c>
      <c r="B255" s="302" t="s">
        <v>31891</v>
      </c>
      <c r="C255">
        <v>129818</v>
      </c>
      <c r="D255" s="248" t="s">
        <v>95</v>
      </c>
      <c r="E255" s="301">
        <v>0</v>
      </c>
      <c r="F255" s="243" t="s">
        <v>95</v>
      </c>
      <c r="G255" s="301">
        <v>0</v>
      </c>
      <c r="H255" s="301">
        <f>Tabla15[[#This Row],[Importe]]-Tabla15[[#This Row],[Pagado]]</f>
        <v>0</v>
      </c>
      <c r="I255" s="275" t="s">
        <v>95</v>
      </c>
    </row>
    <row r="256" spans="1:9" x14ac:dyDescent="0.25">
      <c r="A256" s="420">
        <v>43011</v>
      </c>
      <c r="B256" s="302" t="s">
        <v>31892</v>
      </c>
      <c r="C256">
        <v>129819</v>
      </c>
      <c r="D256" s="275" t="s">
        <v>15699</v>
      </c>
      <c r="E256" s="301">
        <v>2808.3</v>
      </c>
      <c r="F256" s="303">
        <v>43012</v>
      </c>
      <c r="G256" s="301">
        <v>2808.3</v>
      </c>
      <c r="H256" s="301">
        <f>Tabla15[[#This Row],[Importe]]-Tabla15[[#This Row],[Pagado]]</f>
        <v>0</v>
      </c>
      <c r="I256" s="275" t="s">
        <v>15214</v>
      </c>
    </row>
    <row r="257" spans="1:9" x14ac:dyDescent="0.25">
      <c r="A257" s="420">
        <v>43011</v>
      </c>
      <c r="B257" s="302" t="s">
        <v>31893</v>
      </c>
      <c r="C257">
        <v>129820</v>
      </c>
      <c r="D257" s="275" t="s">
        <v>15858</v>
      </c>
      <c r="E257" s="301">
        <v>2604.54</v>
      </c>
      <c r="F257" s="303">
        <v>43011</v>
      </c>
      <c r="G257" s="301">
        <v>2604.54</v>
      </c>
      <c r="H257" s="301">
        <f>Tabla15[[#This Row],[Importe]]-Tabla15[[#This Row],[Pagado]]</f>
        <v>0</v>
      </c>
      <c r="I257" s="275" t="s">
        <v>15214</v>
      </c>
    </row>
    <row r="258" spans="1:9" x14ac:dyDescent="0.25">
      <c r="A258" s="420">
        <v>43011</v>
      </c>
      <c r="B258" s="302" t="s">
        <v>31894</v>
      </c>
      <c r="C258">
        <v>129821</v>
      </c>
      <c r="D258" s="275" t="s">
        <v>15334</v>
      </c>
      <c r="E258" s="301">
        <v>843.7</v>
      </c>
      <c r="F258" s="303">
        <v>43011</v>
      </c>
      <c r="G258" s="301">
        <v>843.7</v>
      </c>
      <c r="H258" s="301">
        <f>Tabla15[[#This Row],[Importe]]-Tabla15[[#This Row],[Pagado]]</f>
        <v>0</v>
      </c>
      <c r="I258" s="275" t="s">
        <v>15214</v>
      </c>
    </row>
    <row r="259" spans="1:9" x14ac:dyDescent="0.25">
      <c r="A259" s="420">
        <v>43011</v>
      </c>
      <c r="B259" s="302" t="s">
        <v>31895</v>
      </c>
      <c r="C259">
        <v>129822</v>
      </c>
      <c r="D259" s="275" t="s">
        <v>15523</v>
      </c>
      <c r="E259" s="301">
        <v>1930.7</v>
      </c>
      <c r="F259" s="303">
        <v>43011</v>
      </c>
      <c r="G259" s="301">
        <v>1930.7</v>
      </c>
      <c r="H259" s="301">
        <f>Tabla15[[#This Row],[Importe]]-Tabla15[[#This Row],[Pagado]]</f>
        <v>0</v>
      </c>
      <c r="I259" s="275" t="s">
        <v>15214</v>
      </c>
    </row>
    <row r="260" spans="1:9" x14ac:dyDescent="0.25">
      <c r="A260" s="420">
        <v>43011</v>
      </c>
      <c r="B260" s="302" t="s">
        <v>31896</v>
      </c>
      <c r="C260">
        <v>129823</v>
      </c>
      <c r="D260" s="275" t="s">
        <v>15344</v>
      </c>
      <c r="E260" s="301">
        <v>2785.5</v>
      </c>
      <c r="F260" s="303">
        <v>43011</v>
      </c>
      <c r="G260" s="301">
        <v>2785.5</v>
      </c>
      <c r="H260" s="301">
        <f>Tabla15[[#This Row],[Importe]]-Tabla15[[#This Row],[Pagado]]</f>
        <v>0</v>
      </c>
      <c r="I260" s="275" t="s">
        <v>15214</v>
      </c>
    </row>
    <row r="261" spans="1:9" x14ac:dyDescent="0.25">
      <c r="A261" s="420">
        <v>43011</v>
      </c>
      <c r="B261" s="302" t="s">
        <v>31897</v>
      </c>
      <c r="C261">
        <v>129824</v>
      </c>
      <c r="D261" s="275" t="s">
        <v>15358</v>
      </c>
      <c r="E261" s="301">
        <v>2087.4</v>
      </c>
      <c r="F261" s="303">
        <v>43011</v>
      </c>
      <c r="G261" s="301">
        <v>2087.4</v>
      </c>
      <c r="H261" s="301">
        <f>Tabla15[[#This Row],[Importe]]-Tabla15[[#This Row],[Pagado]]</f>
        <v>0</v>
      </c>
      <c r="I261" s="275" t="s">
        <v>15214</v>
      </c>
    </row>
    <row r="262" spans="1:9" x14ac:dyDescent="0.25">
      <c r="A262" s="420">
        <v>43011</v>
      </c>
      <c r="B262" s="302" t="s">
        <v>31898</v>
      </c>
      <c r="C262">
        <v>129825</v>
      </c>
      <c r="D262" s="275" t="s">
        <v>15356</v>
      </c>
      <c r="E262" s="301">
        <v>2668</v>
      </c>
      <c r="F262" s="303">
        <v>43011</v>
      </c>
      <c r="G262" s="301">
        <v>2668</v>
      </c>
      <c r="H262" s="301">
        <f>Tabla15[[#This Row],[Importe]]-Tabla15[[#This Row],[Pagado]]</f>
        <v>0</v>
      </c>
      <c r="I262" s="275" t="s">
        <v>15214</v>
      </c>
    </row>
    <row r="263" spans="1:9" x14ac:dyDescent="0.25">
      <c r="A263" s="420">
        <v>43011</v>
      </c>
      <c r="B263" s="302" t="s">
        <v>31899</v>
      </c>
      <c r="C263">
        <v>129826</v>
      </c>
      <c r="D263" s="275" t="s">
        <v>15742</v>
      </c>
      <c r="E263" s="301">
        <v>2116.4</v>
      </c>
      <c r="F263" s="303">
        <v>43011</v>
      </c>
      <c r="G263" s="301">
        <v>2116.4</v>
      </c>
      <c r="H263" s="301">
        <f>Tabla15[[#This Row],[Importe]]-Tabla15[[#This Row],[Pagado]]</f>
        <v>0</v>
      </c>
      <c r="I263" s="275" t="s">
        <v>15214</v>
      </c>
    </row>
    <row r="264" spans="1:9" x14ac:dyDescent="0.25">
      <c r="A264" s="420">
        <v>43011</v>
      </c>
      <c r="B264" s="302" t="s">
        <v>31900</v>
      </c>
      <c r="C264">
        <v>129827</v>
      </c>
      <c r="D264" s="275" t="s">
        <v>15332</v>
      </c>
      <c r="E264" s="301">
        <v>3245</v>
      </c>
      <c r="F264" s="303">
        <v>43011</v>
      </c>
      <c r="G264" s="301">
        <v>3245</v>
      </c>
      <c r="H264" s="301">
        <f>Tabla15[[#This Row],[Importe]]-Tabla15[[#This Row],[Pagado]]</f>
        <v>0</v>
      </c>
      <c r="I264" s="275" t="s">
        <v>15214</v>
      </c>
    </row>
    <row r="265" spans="1:9" x14ac:dyDescent="0.25">
      <c r="A265" s="420">
        <v>43011</v>
      </c>
      <c r="B265" s="302" t="s">
        <v>31901</v>
      </c>
      <c r="C265">
        <v>129828</v>
      </c>
      <c r="D265" s="275" t="s">
        <v>18544</v>
      </c>
      <c r="E265" s="301">
        <v>6104</v>
      </c>
      <c r="F265" s="303">
        <v>43011</v>
      </c>
      <c r="G265" s="301">
        <v>6104</v>
      </c>
      <c r="H265" s="301">
        <f>Tabla15[[#This Row],[Importe]]-Tabla15[[#This Row],[Pagado]]</f>
        <v>0</v>
      </c>
      <c r="I265" s="275" t="s">
        <v>15214</v>
      </c>
    </row>
    <row r="266" spans="1:9" x14ac:dyDescent="0.25">
      <c r="A266" s="420">
        <v>43011</v>
      </c>
      <c r="B266" s="302" t="s">
        <v>31902</v>
      </c>
      <c r="C266">
        <v>129829</v>
      </c>
      <c r="D266" s="275" t="s">
        <v>15246</v>
      </c>
      <c r="E266" s="301">
        <v>136762.70000000001</v>
      </c>
      <c r="F266" s="303">
        <v>43013</v>
      </c>
      <c r="G266" s="301">
        <v>136762.70000000001</v>
      </c>
      <c r="H266" s="301">
        <f>Tabla15[[#This Row],[Importe]]-Tabla15[[#This Row],[Pagado]]</f>
        <v>0</v>
      </c>
      <c r="I266" s="275" t="s">
        <v>15214</v>
      </c>
    </row>
    <row r="267" spans="1:9" x14ac:dyDescent="0.25">
      <c r="A267" s="420">
        <v>43011</v>
      </c>
      <c r="B267" s="302" t="s">
        <v>31903</v>
      </c>
      <c r="C267">
        <v>129830</v>
      </c>
      <c r="D267" s="275" t="s">
        <v>15280</v>
      </c>
      <c r="E267" s="301">
        <v>4038.4</v>
      </c>
      <c r="F267" s="303">
        <v>43011</v>
      </c>
      <c r="G267" s="301">
        <v>4038.4</v>
      </c>
      <c r="H267" s="301">
        <f>Tabla15[[#This Row],[Importe]]-Tabla15[[#This Row],[Pagado]]</f>
        <v>0</v>
      </c>
      <c r="I267" s="275" t="s">
        <v>15214</v>
      </c>
    </row>
    <row r="268" spans="1:9" x14ac:dyDescent="0.25">
      <c r="A268" s="420">
        <v>43011</v>
      </c>
      <c r="B268" s="302" t="s">
        <v>31904</v>
      </c>
      <c r="C268">
        <v>129831</v>
      </c>
      <c r="D268" s="275" t="s">
        <v>15280</v>
      </c>
      <c r="E268" s="301">
        <v>450.3</v>
      </c>
      <c r="F268" s="303">
        <v>43011</v>
      </c>
      <c r="G268" s="301">
        <v>450.3</v>
      </c>
      <c r="H268" s="301">
        <f>Tabla15[[#This Row],[Importe]]-Tabla15[[#This Row],[Pagado]]</f>
        <v>0</v>
      </c>
      <c r="I268" s="275" t="s">
        <v>15214</v>
      </c>
    </row>
    <row r="269" spans="1:9" x14ac:dyDescent="0.25">
      <c r="A269" s="420">
        <v>43011</v>
      </c>
      <c r="B269" s="302" t="s">
        <v>31905</v>
      </c>
      <c r="C269">
        <v>129832</v>
      </c>
      <c r="D269" s="275" t="s">
        <v>15438</v>
      </c>
      <c r="E269" s="301">
        <v>1325.2</v>
      </c>
      <c r="F269" s="303">
        <v>43011</v>
      </c>
      <c r="G269" s="301">
        <v>1325.2</v>
      </c>
      <c r="H269" s="301">
        <f>Tabla15[[#This Row],[Importe]]-Tabla15[[#This Row],[Pagado]]</f>
        <v>0</v>
      </c>
      <c r="I269" s="275" t="s">
        <v>15214</v>
      </c>
    </row>
    <row r="270" spans="1:9" x14ac:dyDescent="0.25">
      <c r="A270" s="420">
        <v>43011</v>
      </c>
      <c r="B270" s="302" t="s">
        <v>31906</v>
      </c>
      <c r="C270">
        <v>129833</v>
      </c>
      <c r="D270" s="275" t="s">
        <v>16740</v>
      </c>
      <c r="E270" s="301">
        <v>1504.2</v>
      </c>
      <c r="F270" s="303">
        <v>43011</v>
      </c>
      <c r="G270" s="301">
        <v>1504.2</v>
      </c>
      <c r="H270" s="301">
        <f>Tabla15[[#This Row],[Importe]]-Tabla15[[#This Row],[Pagado]]</f>
        <v>0</v>
      </c>
      <c r="I270" s="275" t="s">
        <v>15214</v>
      </c>
    </row>
    <row r="271" spans="1:9" x14ac:dyDescent="0.25">
      <c r="A271" s="420">
        <v>43011</v>
      </c>
      <c r="B271" s="302" t="s">
        <v>31907</v>
      </c>
      <c r="C271">
        <v>129834</v>
      </c>
      <c r="D271" s="275" t="s">
        <v>15261</v>
      </c>
      <c r="E271" s="301">
        <v>12015.2</v>
      </c>
      <c r="F271" s="303">
        <v>43011</v>
      </c>
      <c r="G271" s="301">
        <v>12015.2</v>
      </c>
      <c r="H271" s="301">
        <f>Tabla15[[#This Row],[Importe]]-Tabla15[[#This Row],[Pagado]]</f>
        <v>0</v>
      </c>
      <c r="I271" s="275" t="s">
        <v>15214</v>
      </c>
    </row>
    <row r="272" spans="1:9" x14ac:dyDescent="0.25">
      <c r="A272" s="420">
        <v>43011</v>
      </c>
      <c r="B272" s="302" t="s">
        <v>31908</v>
      </c>
      <c r="C272">
        <v>129835</v>
      </c>
      <c r="D272" s="275" t="s">
        <v>15549</v>
      </c>
      <c r="E272" s="301">
        <v>1086</v>
      </c>
      <c r="F272" s="303">
        <v>43011</v>
      </c>
      <c r="G272" s="301">
        <v>1086</v>
      </c>
      <c r="H272" s="301">
        <f>Tabla15[[#This Row],[Importe]]-Tabla15[[#This Row],[Pagado]]</f>
        <v>0</v>
      </c>
      <c r="I272" s="275" t="s">
        <v>15214</v>
      </c>
    </row>
    <row r="273" spans="1:9" x14ac:dyDescent="0.25">
      <c r="A273" s="420">
        <v>43011</v>
      </c>
      <c r="B273" s="302" t="s">
        <v>31909</v>
      </c>
      <c r="C273">
        <v>129836</v>
      </c>
      <c r="D273" s="275" t="s">
        <v>15261</v>
      </c>
      <c r="E273" s="301">
        <v>9036.64</v>
      </c>
      <c r="F273" s="303">
        <v>43011</v>
      </c>
      <c r="G273" s="301">
        <v>9036.64</v>
      </c>
      <c r="H273" s="301">
        <f>Tabla15[[#This Row],[Importe]]-Tabla15[[#This Row],[Pagado]]</f>
        <v>0</v>
      </c>
      <c r="I273" s="275" t="s">
        <v>15214</v>
      </c>
    </row>
    <row r="274" spans="1:9" x14ac:dyDescent="0.25">
      <c r="A274" s="420">
        <v>43011</v>
      </c>
      <c r="B274" s="302" t="s">
        <v>31910</v>
      </c>
      <c r="C274">
        <v>129837</v>
      </c>
      <c r="D274" s="275" t="s">
        <v>15549</v>
      </c>
      <c r="E274" s="301">
        <v>518.20000000000005</v>
      </c>
      <c r="F274" s="303">
        <v>43011</v>
      </c>
      <c r="G274" s="301">
        <v>518.20000000000005</v>
      </c>
      <c r="H274" s="301">
        <f>Tabla15[[#This Row],[Importe]]-Tabla15[[#This Row],[Pagado]]</f>
        <v>0</v>
      </c>
      <c r="I274" s="275" t="s">
        <v>15214</v>
      </c>
    </row>
    <row r="275" spans="1:9" x14ac:dyDescent="0.25">
      <c r="A275" s="420">
        <v>43011</v>
      </c>
      <c r="B275" s="302" t="s">
        <v>31911</v>
      </c>
      <c r="C275">
        <v>129838</v>
      </c>
      <c r="D275" s="275" t="s">
        <v>15248</v>
      </c>
      <c r="E275" s="301">
        <v>22939.1</v>
      </c>
      <c r="F275" s="303">
        <v>43011</v>
      </c>
      <c r="G275" s="301">
        <v>22939.1</v>
      </c>
      <c r="H275" s="301">
        <f>Tabla15[[#This Row],[Importe]]-Tabla15[[#This Row],[Pagado]]</f>
        <v>0</v>
      </c>
      <c r="I275" s="275" t="s">
        <v>15214</v>
      </c>
    </row>
    <row r="276" spans="1:9" x14ac:dyDescent="0.25">
      <c r="A276" s="420">
        <v>43011</v>
      </c>
      <c r="B276" s="302" t="s">
        <v>31912</v>
      </c>
      <c r="C276">
        <v>129839</v>
      </c>
      <c r="D276" s="275" t="s">
        <v>15903</v>
      </c>
      <c r="E276" s="301">
        <v>32225.599999999999</v>
      </c>
      <c r="F276" s="303">
        <v>43011</v>
      </c>
      <c r="G276" s="301">
        <v>32225.599999999999</v>
      </c>
      <c r="H276" s="301">
        <f>Tabla15[[#This Row],[Importe]]-Tabla15[[#This Row],[Pagado]]</f>
        <v>0</v>
      </c>
      <c r="I276" s="275" t="s">
        <v>15214</v>
      </c>
    </row>
    <row r="277" spans="1:9" x14ac:dyDescent="0.25">
      <c r="A277" s="420">
        <v>43011</v>
      </c>
      <c r="B277" s="302" t="s">
        <v>31913</v>
      </c>
      <c r="C277">
        <v>129840</v>
      </c>
      <c r="D277" s="275" t="s">
        <v>15562</v>
      </c>
      <c r="E277" s="301">
        <v>2998.6</v>
      </c>
      <c r="F277" s="303">
        <v>43011</v>
      </c>
      <c r="G277" s="301">
        <v>2998.6</v>
      </c>
      <c r="H277" s="301">
        <f>Tabla15[[#This Row],[Importe]]-Tabla15[[#This Row],[Pagado]]</f>
        <v>0</v>
      </c>
      <c r="I277" s="275" t="s">
        <v>15214</v>
      </c>
    </row>
    <row r="278" spans="1:9" x14ac:dyDescent="0.25">
      <c r="A278" s="420">
        <v>43011</v>
      </c>
      <c r="B278" s="302" t="s">
        <v>31914</v>
      </c>
      <c r="C278">
        <v>129841</v>
      </c>
      <c r="D278" s="275" t="s">
        <v>15668</v>
      </c>
      <c r="E278" s="301">
        <v>2786.1</v>
      </c>
      <c r="F278" s="303">
        <v>43014</v>
      </c>
      <c r="G278" s="301">
        <v>2786.1</v>
      </c>
      <c r="H278" s="301">
        <f>Tabla15[[#This Row],[Importe]]-Tabla15[[#This Row],[Pagado]]</f>
        <v>0</v>
      </c>
      <c r="I278" s="275" t="s">
        <v>15214</v>
      </c>
    </row>
    <row r="279" spans="1:9" x14ac:dyDescent="0.25">
      <c r="A279" s="420">
        <v>43011</v>
      </c>
      <c r="B279" s="302" t="s">
        <v>31915</v>
      </c>
      <c r="C279">
        <v>129842</v>
      </c>
      <c r="D279" s="275" t="s">
        <v>30255</v>
      </c>
      <c r="E279" s="301">
        <v>5164.6000000000004</v>
      </c>
      <c r="F279" s="303">
        <v>43011</v>
      </c>
      <c r="G279" s="301">
        <v>5164.6000000000004</v>
      </c>
      <c r="H279" s="301">
        <f>Tabla15[[#This Row],[Importe]]-Tabla15[[#This Row],[Pagado]]</f>
        <v>0</v>
      </c>
      <c r="I279" s="275" t="s">
        <v>15214</v>
      </c>
    </row>
    <row r="280" spans="1:9" x14ac:dyDescent="0.25">
      <c r="A280" s="420">
        <v>43011</v>
      </c>
      <c r="B280" s="302" t="s">
        <v>31916</v>
      </c>
      <c r="C280">
        <v>129843</v>
      </c>
      <c r="D280" s="275" t="s">
        <v>15291</v>
      </c>
      <c r="E280" s="301">
        <v>688</v>
      </c>
      <c r="F280" s="303">
        <v>43011</v>
      </c>
      <c r="G280" s="301">
        <v>688</v>
      </c>
      <c r="H280" s="301">
        <f>Tabla15[[#This Row],[Importe]]-Tabla15[[#This Row],[Pagado]]</f>
        <v>0</v>
      </c>
      <c r="I280" s="275" t="s">
        <v>15214</v>
      </c>
    </row>
    <row r="281" spans="1:9" x14ac:dyDescent="0.25">
      <c r="A281" s="420">
        <v>43011</v>
      </c>
      <c r="B281" s="302" t="s">
        <v>31917</v>
      </c>
      <c r="C281">
        <v>129844</v>
      </c>
      <c r="D281" s="275" t="s">
        <v>15309</v>
      </c>
      <c r="E281" s="301">
        <v>4903.8</v>
      </c>
      <c r="F281" s="303">
        <v>43011</v>
      </c>
      <c r="G281" s="301">
        <v>4903.8</v>
      </c>
      <c r="H281" s="301">
        <f>Tabla15[[#This Row],[Importe]]-Tabla15[[#This Row],[Pagado]]</f>
        <v>0</v>
      </c>
      <c r="I281" s="275" t="s">
        <v>15214</v>
      </c>
    </row>
    <row r="282" spans="1:9" x14ac:dyDescent="0.25">
      <c r="A282" s="420">
        <v>43011</v>
      </c>
      <c r="B282" s="302" t="s">
        <v>31918</v>
      </c>
      <c r="C282">
        <v>129845</v>
      </c>
      <c r="D282" s="275" t="s">
        <v>15307</v>
      </c>
      <c r="E282" s="301">
        <v>3194</v>
      </c>
      <c r="F282" s="303">
        <v>43011</v>
      </c>
      <c r="G282" s="301">
        <v>3194</v>
      </c>
      <c r="H282" s="301">
        <f>Tabla15[[#This Row],[Importe]]-Tabla15[[#This Row],[Pagado]]</f>
        <v>0</v>
      </c>
      <c r="I282" s="275" t="s">
        <v>15214</v>
      </c>
    </row>
    <row r="283" spans="1:9" x14ac:dyDescent="0.25">
      <c r="A283" s="420">
        <v>43011</v>
      </c>
      <c r="B283" s="302" t="s">
        <v>31919</v>
      </c>
      <c r="C283">
        <v>129846</v>
      </c>
      <c r="D283" s="275" t="s">
        <v>15699</v>
      </c>
      <c r="E283" s="301">
        <v>6274.4</v>
      </c>
      <c r="F283" s="303">
        <v>43012</v>
      </c>
      <c r="G283" s="301">
        <v>6274.4</v>
      </c>
      <c r="H283" s="301">
        <f>Tabla15[[#This Row],[Importe]]-Tabla15[[#This Row],[Pagado]]</f>
        <v>0</v>
      </c>
      <c r="I283" s="275" t="s">
        <v>15214</v>
      </c>
    </row>
    <row r="284" spans="1:9" x14ac:dyDescent="0.25">
      <c r="A284" s="420">
        <v>43011</v>
      </c>
      <c r="B284" s="302" t="s">
        <v>31920</v>
      </c>
      <c r="C284">
        <v>129847</v>
      </c>
      <c r="D284" s="275" t="s">
        <v>15577</v>
      </c>
      <c r="E284" s="301">
        <v>299</v>
      </c>
      <c r="F284" s="303">
        <v>43011</v>
      </c>
      <c r="G284" s="301">
        <v>299</v>
      </c>
      <c r="H284" s="301">
        <f>Tabla15[[#This Row],[Importe]]-Tabla15[[#This Row],[Pagado]]</f>
        <v>0</v>
      </c>
      <c r="I284" s="275" t="s">
        <v>15214</v>
      </c>
    </row>
    <row r="285" spans="1:9" x14ac:dyDescent="0.25">
      <c r="A285" s="420">
        <v>43011</v>
      </c>
      <c r="B285" s="302" t="s">
        <v>31921</v>
      </c>
      <c r="C285">
        <v>129848</v>
      </c>
      <c r="D285" s="275" t="s">
        <v>15313</v>
      </c>
      <c r="E285" s="301">
        <v>13142.2</v>
      </c>
      <c r="F285" s="303">
        <v>43013</v>
      </c>
      <c r="G285" s="301">
        <v>13142.2</v>
      </c>
      <c r="H285" s="301">
        <f>Tabla15[[#This Row],[Importe]]-Tabla15[[#This Row],[Pagado]]</f>
        <v>0</v>
      </c>
      <c r="I285" s="275" t="s">
        <v>15214</v>
      </c>
    </row>
    <row r="286" spans="1:9" x14ac:dyDescent="0.25">
      <c r="A286" s="420">
        <v>43011</v>
      </c>
      <c r="B286" s="302" t="s">
        <v>31922</v>
      </c>
      <c r="C286">
        <v>129849</v>
      </c>
      <c r="D286" s="275" t="s">
        <v>15315</v>
      </c>
      <c r="E286" s="301">
        <v>1318.2</v>
      </c>
      <c r="F286" s="303">
        <v>43011</v>
      </c>
      <c r="G286" s="301">
        <v>1318.2</v>
      </c>
      <c r="H286" s="301">
        <f>Tabla15[[#This Row],[Importe]]-Tabla15[[#This Row],[Pagado]]</f>
        <v>0</v>
      </c>
      <c r="I286" s="275" t="s">
        <v>15214</v>
      </c>
    </row>
    <row r="287" spans="1:9" x14ac:dyDescent="0.25">
      <c r="A287" s="420">
        <v>43011</v>
      </c>
      <c r="B287" s="302" t="s">
        <v>31923</v>
      </c>
      <c r="C287">
        <v>129850</v>
      </c>
      <c r="D287" s="275" t="s">
        <v>15315</v>
      </c>
      <c r="E287" s="301">
        <v>384.8</v>
      </c>
      <c r="F287" s="303">
        <v>43011</v>
      </c>
      <c r="G287" s="301">
        <v>384.8</v>
      </c>
      <c r="H287" s="301">
        <f>Tabla15[[#This Row],[Importe]]-Tabla15[[#This Row],[Pagado]]</f>
        <v>0</v>
      </c>
      <c r="I287" s="275" t="s">
        <v>15214</v>
      </c>
    </row>
    <row r="288" spans="1:9" x14ac:dyDescent="0.25">
      <c r="A288" s="420">
        <v>43011</v>
      </c>
      <c r="B288" s="302" t="s">
        <v>31924</v>
      </c>
      <c r="C288">
        <v>129851</v>
      </c>
      <c r="D288" s="275" t="s">
        <v>15276</v>
      </c>
      <c r="E288" s="301">
        <v>2580</v>
      </c>
      <c r="F288" s="303">
        <v>43011</v>
      </c>
      <c r="G288" s="301">
        <v>2580</v>
      </c>
      <c r="H288" s="301">
        <f>Tabla15[[#This Row],[Importe]]-Tabla15[[#This Row],[Pagado]]</f>
        <v>0</v>
      </c>
      <c r="I288" s="275" t="s">
        <v>15214</v>
      </c>
    </row>
    <row r="289" spans="1:9" x14ac:dyDescent="0.25">
      <c r="A289" s="420">
        <v>43011</v>
      </c>
      <c r="B289" s="302" t="s">
        <v>31925</v>
      </c>
      <c r="C289">
        <v>129852</v>
      </c>
      <c r="D289" s="275" t="s">
        <v>15311</v>
      </c>
      <c r="E289" s="301">
        <v>1988.2</v>
      </c>
      <c r="F289" s="303">
        <v>43011</v>
      </c>
      <c r="G289" s="301">
        <v>1988.2</v>
      </c>
      <c r="H289" s="301">
        <f>Tabla15[[#This Row],[Importe]]-Tabla15[[#This Row],[Pagado]]</f>
        <v>0</v>
      </c>
      <c r="I289" s="275" t="s">
        <v>15214</v>
      </c>
    </row>
    <row r="290" spans="1:9" x14ac:dyDescent="0.25">
      <c r="A290" s="420">
        <v>43011</v>
      </c>
      <c r="B290" s="302" t="s">
        <v>31926</v>
      </c>
      <c r="C290">
        <v>129853</v>
      </c>
      <c r="D290" s="275" t="s">
        <v>15254</v>
      </c>
      <c r="E290" s="301">
        <v>8185.8</v>
      </c>
      <c r="F290" s="303">
        <v>43011</v>
      </c>
      <c r="G290" s="301">
        <v>8185.8</v>
      </c>
      <c r="H290" s="301">
        <f>Tabla15[[#This Row],[Importe]]-Tabla15[[#This Row],[Pagado]]</f>
        <v>0</v>
      </c>
      <c r="I290" s="275" t="s">
        <v>15214</v>
      </c>
    </row>
    <row r="291" spans="1:9" x14ac:dyDescent="0.25">
      <c r="A291" s="420">
        <v>43011</v>
      </c>
      <c r="B291" s="302" t="s">
        <v>31927</v>
      </c>
      <c r="C291">
        <v>129854</v>
      </c>
      <c r="D291" s="275" t="s">
        <v>15252</v>
      </c>
      <c r="E291" s="301">
        <v>3787.5</v>
      </c>
      <c r="F291" s="303">
        <v>43013</v>
      </c>
      <c r="G291" s="301">
        <v>3787.5</v>
      </c>
      <c r="H291" s="301">
        <f>Tabla15[[#This Row],[Importe]]-Tabla15[[#This Row],[Pagado]]</f>
        <v>0</v>
      </c>
      <c r="I291" s="275" t="s">
        <v>15214</v>
      </c>
    </row>
    <row r="292" spans="1:9" x14ac:dyDescent="0.25">
      <c r="A292" s="420">
        <v>43011</v>
      </c>
      <c r="B292" s="302" t="s">
        <v>31928</v>
      </c>
      <c r="C292">
        <v>129855</v>
      </c>
      <c r="D292" s="275" t="s">
        <v>23937</v>
      </c>
      <c r="E292" s="301">
        <v>3170.8</v>
      </c>
      <c r="F292" s="303">
        <v>43011</v>
      </c>
      <c r="G292" s="301">
        <v>3170.8</v>
      </c>
      <c r="H292" s="301">
        <f>Tabla15[[#This Row],[Importe]]-Tabla15[[#This Row],[Pagado]]</f>
        <v>0</v>
      </c>
      <c r="I292" s="275" t="s">
        <v>15214</v>
      </c>
    </row>
    <row r="293" spans="1:9" x14ac:dyDescent="0.25">
      <c r="A293" s="420">
        <v>43011</v>
      </c>
      <c r="B293" s="302" t="s">
        <v>31929</v>
      </c>
      <c r="C293">
        <v>129856</v>
      </c>
      <c r="D293" s="275" t="s">
        <v>5828</v>
      </c>
      <c r="E293" s="301">
        <v>9282.56</v>
      </c>
      <c r="F293" s="303">
        <v>43011</v>
      </c>
      <c r="G293" s="301">
        <v>9282.56</v>
      </c>
      <c r="H293" s="301">
        <f>Tabla15[[#This Row],[Importe]]-Tabla15[[#This Row],[Pagado]]</f>
        <v>0</v>
      </c>
      <c r="I293" s="275" t="s">
        <v>15214</v>
      </c>
    </row>
    <row r="294" spans="1:9" ht="30" x14ac:dyDescent="0.25">
      <c r="A294" s="420">
        <v>43011</v>
      </c>
      <c r="B294" s="302" t="s">
        <v>31930</v>
      </c>
      <c r="C294">
        <v>129857</v>
      </c>
      <c r="D294" s="275" t="s">
        <v>15244</v>
      </c>
      <c r="E294" s="301">
        <v>8839.6</v>
      </c>
      <c r="F294" s="303" t="s">
        <v>31615</v>
      </c>
      <c r="G294" s="305">
        <f>5500+3339.6</f>
        <v>8839.6</v>
      </c>
      <c r="H294" s="305">
        <f>Tabla15[[#This Row],[Importe]]-Tabla15[[#This Row],[Pagado]]</f>
        <v>0</v>
      </c>
      <c r="I294" s="275" t="s">
        <v>15214</v>
      </c>
    </row>
    <row r="295" spans="1:9" x14ac:dyDescent="0.25">
      <c r="A295" s="420">
        <v>43011</v>
      </c>
      <c r="B295" s="302" t="s">
        <v>31931</v>
      </c>
      <c r="C295">
        <v>129858</v>
      </c>
      <c r="D295" s="275" t="s">
        <v>15223</v>
      </c>
      <c r="E295" s="301">
        <v>62648</v>
      </c>
      <c r="F295" s="303">
        <v>43036</v>
      </c>
      <c r="G295" s="301">
        <v>62648</v>
      </c>
      <c r="H295" s="301">
        <f>Tabla15[[#This Row],[Importe]]-Tabla15[[#This Row],[Pagado]]</f>
        <v>0</v>
      </c>
      <c r="I295" s="275" t="s">
        <v>15214</v>
      </c>
    </row>
    <row r="296" spans="1:9" x14ac:dyDescent="0.25">
      <c r="A296" s="420">
        <v>43011</v>
      </c>
      <c r="B296" s="302" t="s">
        <v>31932</v>
      </c>
      <c r="C296">
        <v>129859</v>
      </c>
      <c r="D296" s="275" t="s">
        <v>15404</v>
      </c>
      <c r="E296" s="301">
        <v>10886.4</v>
      </c>
      <c r="F296" s="303">
        <v>43011</v>
      </c>
      <c r="G296" s="301">
        <v>10886.4</v>
      </c>
      <c r="H296" s="301">
        <f>Tabla15[[#This Row],[Importe]]-Tabla15[[#This Row],[Pagado]]</f>
        <v>0</v>
      </c>
      <c r="I296" s="275" t="s">
        <v>15214</v>
      </c>
    </row>
    <row r="297" spans="1:9" x14ac:dyDescent="0.25">
      <c r="A297" s="420">
        <v>43011</v>
      </c>
      <c r="B297" s="302" t="s">
        <v>31933</v>
      </c>
      <c r="C297">
        <v>129860</v>
      </c>
      <c r="D297" s="275" t="s">
        <v>15728</v>
      </c>
      <c r="E297" s="301">
        <v>15387.6</v>
      </c>
      <c r="F297" s="303">
        <v>43011</v>
      </c>
      <c r="G297" s="301">
        <v>15387.6</v>
      </c>
      <c r="H297" s="301">
        <f>Tabla15[[#This Row],[Importe]]-Tabla15[[#This Row],[Pagado]]</f>
        <v>0</v>
      </c>
      <c r="I297" s="275" t="s">
        <v>15214</v>
      </c>
    </row>
    <row r="298" spans="1:9" x14ac:dyDescent="0.25">
      <c r="A298" s="420">
        <v>43011</v>
      </c>
      <c r="B298" s="302" t="s">
        <v>31934</v>
      </c>
      <c r="C298">
        <v>129861</v>
      </c>
      <c r="D298" s="275" t="s">
        <v>15421</v>
      </c>
      <c r="E298" s="301">
        <v>2963.6</v>
      </c>
      <c r="F298" s="303">
        <v>43011</v>
      </c>
      <c r="G298" s="301">
        <v>2963.6</v>
      </c>
      <c r="H298" s="301">
        <f>Tabla15[[#This Row],[Importe]]-Tabla15[[#This Row],[Pagado]]</f>
        <v>0</v>
      </c>
      <c r="I298" s="275" t="s">
        <v>15214</v>
      </c>
    </row>
    <row r="299" spans="1:9" x14ac:dyDescent="0.25">
      <c r="A299" s="420">
        <v>43011</v>
      </c>
      <c r="B299" s="302" t="s">
        <v>31935</v>
      </c>
      <c r="C299">
        <v>129862</v>
      </c>
      <c r="D299" s="275" t="s">
        <v>15213</v>
      </c>
      <c r="E299" s="301">
        <v>1401.4</v>
      </c>
      <c r="F299" s="303">
        <v>43012</v>
      </c>
      <c r="G299" s="301">
        <v>1401.4</v>
      </c>
      <c r="H299" s="301">
        <f>Tabla15[[#This Row],[Importe]]-Tabla15[[#This Row],[Pagado]]</f>
        <v>0</v>
      </c>
      <c r="I299" s="275" t="s">
        <v>15214</v>
      </c>
    </row>
    <row r="300" spans="1:9" x14ac:dyDescent="0.25">
      <c r="A300" s="420">
        <v>43011</v>
      </c>
      <c r="B300" s="302" t="s">
        <v>31936</v>
      </c>
      <c r="C300">
        <v>129863</v>
      </c>
      <c r="D300" s="275" t="s">
        <v>15342</v>
      </c>
      <c r="E300" s="301">
        <v>1173.4000000000001</v>
      </c>
      <c r="F300" s="303">
        <v>43013</v>
      </c>
      <c r="G300" s="301">
        <v>1173.4000000000001</v>
      </c>
      <c r="H300" s="301">
        <f>Tabla15[[#This Row],[Importe]]-Tabla15[[#This Row],[Pagado]]</f>
        <v>0</v>
      </c>
      <c r="I300" s="275" t="s">
        <v>15214</v>
      </c>
    </row>
    <row r="301" spans="1:9" x14ac:dyDescent="0.25">
      <c r="A301" s="420">
        <v>43011</v>
      </c>
      <c r="B301" s="302" t="s">
        <v>31937</v>
      </c>
      <c r="C301">
        <v>129864</v>
      </c>
      <c r="D301" s="275" t="s">
        <v>15298</v>
      </c>
      <c r="E301" s="301">
        <v>9255.5</v>
      </c>
      <c r="F301" s="303">
        <v>43013</v>
      </c>
      <c r="G301" s="301">
        <v>9255.5</v>
      </c>
      <c r="H301" s="301">
        <f>Tabla15[[#This Row],[Importe]]-Tabla15[[#This Row],[Pagado]]</f>
        <v>0</v>
      </c>
      <c r="I301" s="275" t="s">
        <v>15214</v>
      </c>
    </row>
    <row r="302" spans="1:9" x14ac:dyDescent="0.25">
      <c r="A302" s="420">
        <v>43011</v>
      </c>
      <c r="B302" s="302" t="s">
        <v>31938</v>
      </c>
      <c r="C302">
        <v>129865</v>
      </c>
      <c r="D302" s="275" t="s">
        <v>15987</v>
      </c>
      <c r="E302" s="301">
        <v>633.6</v>
      </c>
      <c r="F302" s="303">
        <v>43011</v>
      </c>
      <c r="G302" s="301">
        <v>633.6</v>
      </c>
      <c r="H302" s="301">
        <f>Tabla15[[#This Row],[Importe]]-Tabla15[[#This Row],[Pagado]]</f>
        <v>0</v>
      </c>
      <c r="I302" s="275" t="s">
        <v>15214</v>
      </c>
    </row>
    <row r="303" spans="1:9" x14ac:dyDescent="0.25">
      <c r="A303" s="420">
        <v>43011</v>
      </c>
      <c r="B303" s="302" t="s">
        <v>31939</v>
      </c>
      <c r="C303">
        <v>129866</v>
      </c>
      <c r="D303" s="275" t="s">
        <v>15282</v>
      </c>
      <c r="E303" s="301">
        <v>3434.9</v>
      </c>
      <c r="F303" s="303">
        <v>43011</v>
      </c>
      <c r="G303" s="301">
        <v>3434.9</v>
      </c>
      <c r="H303" s="301">
        <f>Tabla15[[#This Row],[Importe]]-Tabla15[[#This Row],[Pagado]]</f>
        <v>0</v>
      </c>
      <c r="I303" s="275" t="s">
        <v>15214</v>
      </c>
    </row>
    <row r="304" spans="1:9" x14ac:dyDescent="0.25">
      <c r="A304" s="420">
        <v>43011</v>
      </c>
      <c r="B304" s="302" t="s">
        <v>31940</v>
      </c>
      <c r="C304">
        <v>129867</v>
      </c>
      <c r="D304" s="275" t="s">
        <v>15396</v>
      </c>
      <c r="E304" s="301">
        <v>3324</v>
      </c>
      <c r="F304" s="303">
        <v>43011</v>
      </c>
      <c r="G304" s="301">
        <v>3324</v>
      </c>
      <c r="H304" s="301">
        <f>Tabla15[[#This Row],[Importe]]-Tabla15[[#This Row],[Pagado]]</f>
        <v>0</v>
      </c>
      <c r="I304" s="275" t="s">
        <v>15214</v>
      </c>
    </row>
    <row r="305" spans="1:9" x14ac:dyDescent="0.25">
      <c r="A305" s="420">
        <v>43011</v>
      </c>
      <c r="B305" s="302" t="s">
        <v>31941</v>
      </c>
      <c r="C305">
        <v>129868</v>
      </c>
      <c r="D305" s="275" t="s">
        <v>15566</v>
      </c>
      <c r="E305" s="301">
        <v>1899</v>
      </c>
      <c r="F305" s="303">
        <v>43011</v>
      </c>
      <c r="G305" s="301">
        <v>1899</v>
      </c>
      <c r="H305" s="301">
        <f>Tabla15[[#This Row],[Importe]]-Tabla15[[#This Row],[Pagado]]</f>
        <v>0</v>
      </c>
      <c r="I305" s="275" t="s">
        <v>15214</v>
      </c>
    </row>
    <row r="306" spans="1:9" ht="15.75" x14ac:dyDescent="0.25">
      <c r="A306" s="420">
        <v>43011</v>
      </c>
      <c r="B306" s="302" t="s">
        <v>31942</v>
      </c>
      <c r="C306">
        <v>129869</v>
      </c>
      <c r="D306" s="248" t="s">
        <v>95</v>
      </c>
      <c r="E306" s="301">
        <v>0</v>
      </c>
      <c r="F306" s="243" t="s">
        <v>95</v>
      </c>
      <c r="G306" s="301">
        <v>0</v>
      </c>
      <c r="H306" s="301">
        <f>Tabla15[[#This Row],[Importe]]-Tabla15[[#This Row],[Pagado]]</f>
        <v>0</v>
      </c>
      <c r="I306" s="275" t="s">
        <v>95</v>
      </c>
    </row>
    <row r="307" spans="1:9" x14ac:dyDescent="0.25">
      <c r="A307" s="420">
        <v>43011</v>
      </c>
      <c r="B307" s="302" t="s">
        <v>31943</v>
      </c>
      <c r="C307">
        <v>129870</v>
      </c>
      <c r="D307" s="275" t="s">
        <v>15284</v>
      </c>
      <c r="E307" s="301">
        <v>956.8</v>
      </c>
      <c r="F307" s="303">
        <v>43011</v>
      </c>
      <c r="G307" s="301">
        <v>956.8</v>
      </c>
      <c r="H307" s="301">
        <f>Tabla15[[#This Row],[Importe]]-Tabla15[[#This Row],[Pagado]]</f>
        <v>0</v>
      </c>
      <c r="I307" s="275" t="s">
        <v>15214</v>
      </c>
    </row>
    <row r="308" spans="1:9" x14ac:dyDescent="0.25">
      <c r="A308" s="420">
        <v>43011</v>
      </c>
      <c r="B308" s="302" t="s">
        <v>31944</v>
      </c>
      <c r="C308">
        <v>129871</v>
      </c>
      <c r="D308" s="275" t="s">
        <v>16093</v>
      </c>
      <c r="E308" s="301">
        <v>2746.2</v>
      </c>
      <c r="F308" s="303">
        <v>43011</v>
      </c>
      <c r="G308" s="301">
        <v>2746.2</v>
      </c>
      <c r="H308" s="301">
        <f>Tabla15[[#This Row],[Importe]]-Tabla15[[#This Row],[Pagado]]</f>
        <v>0</v>
      </c>
      <c r="I308" s="275" t="s">
        <v>15214</v>
      </c>
    </row>
    <row r="309" spans="1:9" x14ac:dyDescent="0.25">
      <c r="A309" s="420">
        <v>43011</v>
      </c>
      <c r="B309" s="302" t="s">
        <v>31945</v>
      </c>
      <c r="C309">
        <v>129872</v>
      </c>
      <c r="D309" s="275" t="s">
        <v>15398</v>
      </c>
      <c r="E309" s="301">
        <v>3225.3</v>
      </c>
      <c r="F309" s="303">
        <v>43011</v>
      </c>
      <c r="G309" s="301">
        <v>3225.3</v>
      </c>
      <c r="H309" s="301">
        <f>Tabla15[[#This Row],[Importe]]-Tabla15[[#This Row],[Pagado]]</f>
        <v>0</v>
      </c>
      <c r="I309" s="275" t="s">
        <v>15214</v>
      </c>
    </row>
    <row r="310" spans="1:9" x14ac:dyDescent="0.25">
      <c r="A310" s="420">
        <v>43011</v>
      </c>
      <c r="B310" s="302" t="s">
        <v>31946</v>
      </c>
      <c r="C310">
        <v>129873</v>
      </c>
      <c r="D310" s="275" t="s">
        <v>15315</v>
      </c>
      <c r="E310" s="301">
        <v>621.6</v>
      </c>
      <c r="F310" s="303">
        <v>43011</v>
      </c>
      <c r="G310" s="301">
        <v>621.6</v>
      </c>
      <c r="H310" s="301">
        <f>Tabla15[[#This Row],[Importe]]-Tabla15[[#This Row],[Pagado]]</f>
        <v>0</v>
      </c>
      <c r="I310" s="275" t="s">
        <v>15214</v>
      </c>
    </row>
    <row r="311" spans="1:9" x14ac:dyDescent="0.25">
      <c r="A311" s="420">
        <v>43011</v>
      </c>
      <c r="B311" s="302" t="s">
        <v>31947</v>
      </c>
      <c r="C311">
        <v>129874</v>
      </c>
      <c r="D311" s="275" t="s">
        <v>15246</v>
      </c>
      <c r="E311" s="301">
        <v>208568.18</v>
      </c>
      <c r="F311" s="303">
        <v>43013</v>
      </c>
      <c r="G311" s="301">
        <v>208568.18</v>
      </c>
      <c r="H311" s="301">
        <f>Tabla15[[#This Row],[Importe]]-Tabla15[[#This Row],[Pagado]]</f>
        <v>0</v>
      </c>
      <c r="I311" s="275" t="s">
        <v>15214</v>
      </c>
    </row>
    <row r="312" spans="1:9" x14ac:dyDescent="0.25">
      <c r="A312" s="420">
        <v>43011</v>
      </c>
      <c r="B312" s="302" t="s">
        <v>31948</v>
      </c>
      <c r="C312">
        <v>129875</v>
      </c>
      <c r="D312" s="275" t="s">
        <v>5664</v>
      </c>
      <c r="E312" s="301">
        <v>165.6</v>
      </c>
      <c r="F312" s="303">
        <v>43011</v>
      </c>
      <c r="G312" s="301">
        <v>165.6</v>
      </c>
      <c r="H312" s="301">
        <f>Tabla15[[#This Row],[Importe]]-Tabla15[[#This Row],[Pagado]]</f>
        <v>0</v>
      </c>
      <c r="I312" s="275" t="s">
        <v>15214</v>
      </c>
    </row>
    <row r="313" spans="1:9" x14ac:dyDescent="0.25">
      <c r="A313" s="420">
        <v>43011</v>
      </c>
      <c r="B313" s="302" t="s">
        <v>31949</v>
      </c>
      <c r="C313">
        <v>129876</v>
      </c>
      <c r="D313" s="275" t="s">
        <v>15409</v>
      </c>
      <c r="E313" s="301">
        <v>12040</v>
      </c>
      <c r="F313" s="303">
        <v>43011</v>
      </c>
      <c r="G313" s="301">
        <v>12040</v>
      </c>
      <c r="H313" s="301">
        <f>Tabla15[[#This Row],[Importe]]-Tabla15[[#This Row],[Pagado]]</f>
        <v>0</v>
      </c>
      <c r="I313" s="275" t="s">
        <v>15214</v>
      </c>
    </row>
    <row r="314" spans="1:9" x14ac:dyDescent="0.25">
      <c r="A314" s="420">
        <v>43011</v>
      </c>
      <c r="B314" s="302" t="s">
        <v>31950</v>
      </c>
      <c r="C314">
        <v>129877</v>
      </c>
      <c r="D314" s="275" t="s">
        <v>15417</v>
      </c>
      <c r="E314" s="301">
        <v>1633.8</v>
      </c>
      <c r="F314" s="303">
        <v>43011</v>
      </c>
      <c r="G314" s="301">
        <v>1633.8</v>
      </c>
      <c r="H314" s="301">
        <f>Tabla15[[#This Row],[Importe]]-Tabla15[[#This Row],[Pagado]]</f>
        <v>0</v>
      </c>
      <c r="I314" s="275" t="s">
        <v>15214</v>
      </c>
    </row>
    <row r="315" spans="1:9" x14ac:dyDescent="0.25">
      <c r="A315" s="420">
        <v>43011</v>
      </c>
      <c r="B315" s="302" t="s">
        <v>31951</v>
      </c>
      <c r="C315">
        <v>129878</v>
      </c>
      <c r="D315" s="275" t="s">
        <v>15920</v>
      </c>
      <c r="E315" s="301">
        <v>11504.6</v>
      </c>
      <c r="F315" s="303">
        <v>43011</v>
      </c>
      <c r="G315" s="301">
        <v>11504.6</v>
      </c>
      <c r="H315" s="301">
        <f>Tabla15[[#This Row],[Importe]]-Tabla15[[#This Row],[Pagado]]</f>
        <v>0</v>
      </c>
      <c r="I315" s="275" t="s">
        <v>15214</v>
      </c>
    </row>
    <row r="316" spans="1:9" x14ac:dyDescent="0.25">
      <c r="A316" s="420">
        <v>43011</v>
      </c>
      <c r="B316" s="302" t="s">
        <v>31952</v>
      </c>
      <c r="C316">
        <v>129879</v>
      </c>
      <c r="D316" s="275" t="s">
        <v>15315</v>
      </c>
      <c r="E316" s="301">
        <v>2908.8</v>
      </c>
      <c r="F316" s="303">
        <v>43011</v>
      </c>
      <c r="G316" s="301">
        <v>2908.8</v>
      </c>
      <c r="H316" s="301">
        <f>Tabla15[[#This Row],[Importe]]-Tabla15[[#This Row],[Pagado]]</f>
        <v>0</v>
      </c>
      <c r="I316" s="275" t="s">
        <v>15214</v>
      </c>
    </row>
    <row r="317" spans="1:9" x14ac:dyDescent="0.25">
      <c r="A317" s="420">
        <v>43011</v>
      </c>
      <c r="B317" s="302" t="s">
        <v>31953</v>
      </c>
      <c r="C317">
        <v>129880</v>
      </c>
      <c r="D317" s="275" t="s">
        <v>15284</v>
      </c>
      <c r="E317" s="301">
        <v>1143</v>
      </c>
      <c r="F317" s="303">
        <v>43011</v>
      </c>
      <c r="G317" s="301">
        <v>1143</v>
      </c>
      <c r="H317" s="301">
        <f>Tabla15[[#This Row],[Importe]]-Tabla15[[#This Row],[Pagado]]</f>
        <v>0</v>
      </c>
      <c r="I317" s="275" t="s">
        <v>15214</v>
      </c>
    </row>
    <row r="318" spans="1:9" x14ac:dyDescent="0.25">
      <c r="A318" s="420">
        <v>43011</v>
      </c>
      <c r="B318" s="302" t="s">
        <v>31954</v>
      </c>
      <c r="C318">
        <v>129881</v>
      </c>
      <c r="D318" s="275" t="s">
        <v>15387</v>
      </c>
      <c r="E318" s="301">
        <v>2765.87</v>
      </c>
      <c r="F318" s="303">
        <v>43011</v>
      </c>
      <c r="G318" s="301">
        <v>2765.87</v>
      </c>
      <c r="H318" s="301">
        <f>Tabla15[[#This Row],[Importe]]-Tabla15[[#This Row],[Pagado]]</f>
        <v>0</v>
      </c>
      <c r="I318" s="275" t="s">
        <v>15214</v>
      </c>
    </row>
    <row r="319" spans="1:9" x14ac:dyDescent="0.25">
      <c r="A319" s="420">
        <v>43011</v>
      </c>
      <c r="B319" s="302" t="s">
        <v>31955</v>
      </c>
      <c r="C319">
        <v>129882</v>
      </c>
      <c r="D319" s="275" t="s">
        <v>15594</v>
      </c>
      <c r="E319" s="301">
        <v>2359.8000000000002</v>
      </c>
      <c r="F319" s="303">
        <v>43011</v>
      </c>
      <c r="G319" s="301">
        <v>2359.8000000000002</v>
      </c>
      <c r="H319" s="301">
        <f>Tabla15[[#This Row],[Importe]]-Tabla15[[#This Row],[Pagado]]</f>
        <v>0</v>
      </c>
      <c r="I319" s="275" t="s">
        <v>15214</v>
      </c>
    </row>
    <row r="320" spans="1:9" ht="30" x14ac:dyDescent="0.25">
      <c r="A320" s="420">
        <v>43011</v>
      </c>
      <c r="B320" s="302" t="s">
        <v>31956</v>
      </c>
      <c r="C320">
        <v>129883</v>
      </c>
      <c r="D320" s="275" t="s">
        <v>15246</v>
      </c>
      <c r="E320" s="301">
        <v>123854.2</v>
      </c>
      <c r="F320" s="303" t="s">
        <v>31855</v>
      </c>
      <c r="G320" s="305">
        <f>56556.85+67297.35</f>
        <v>123854.20000000001</v>
      </c>
      <c r="H320" s="305">
        <f>Tabla15[[#This Row],[Importe]]-Tabla15[[#This Row],[Pagado]]</f>
        <v>0</v>
      </c>
      <c r="I320" s="275" t="s">
        <v>15214</v>
      </c>
    </row>
    <row r="321" spans="1:9" x14ac:dyDescent="0.25">
      <c r="A321" s="420">
        <v>43011</v>
      </c>
      <c r="B321" s="302" t="s">
        <v>31957</v>
      </c>
      <c r="C321">
        <v>129884</v>
      </c>
      <c r="D321" s="275" t="s">
        <v>15444</v>
      </c>
      <c r="E321" s="301">
        <v>1904.2</v>
      </c>
      <c r="F321" s="303">
        <v>43011</v>
      </c>
      <c r="G321" s="301">
        <v>1904.2</v>
      </c>
      <c r="H321" s="301">
        <f>Tabla15[[#This Row],[Importe]]-Tabla15[[#This Row],[Pagado]]</f>
        <v>0</v>
      </c>
      <c r="I321" s="275" t="s">
        <v>15214</v>
      </c>
    </row>
    <row r="322" spans="1:9" x14ac:dyDescent="0.25">
      <c r="A322" s="420">
        <v>43011</v>
      </c>
      <c r="B322" s="302" t="s">
        <v>31958</v>
      </c>
      <c r="C322">
        <v>129885</v>
      </c>
      <c r="D322" s="275" t="s">
        <v>15246</v>
      </c>
      <c r="E322" s="301">
        <v>4224</v>
      </c>
      <c r="F322" s="303">
        <v>43014</v>
      </c>
      <c r="G322" s="301">
        <v>4224</v>
      </c>
      <c r="H322" s="301">
        <f>Tabla15[[#This Row],[Importe]]-Tabla15[[#This Row],[Pagado]]</f>
        <v>0</v>
      </c>
      <c r="I322" s="275" t="s">
        <v>15214</v>
      </c>
    </row>
    <row r="323" spans="1:9" x14ac:dyDescent="0.25">
      <c r="A323" s="420">
        <v>43011</v>
      </c>
      <c r="B323" s="302" t="s">
        <v>31959</v>
      </c>
      <c r="C323">
        <v>129886</v>
      </c>
      <c r="D323" s="275" t="s">
        <v>15444</v>
      </c>
      <c r="E323" s="301">
        <v>2665.6</v>
      </c>
      <c r="F323" s="303">
        <v>43014</v>
      </c>
      <c r="G323" s="301">
        <v>2665.6</v>
      </c>
      <c r="H323" s="301">
        <f>Tabla15[[#This Row],[Importe]]-Tabla15[[#This Row],[Pagado]]</f>
        <v>0</v>
      </c>
      <c r="I323" s="275" t="s">
        <v>15214</v>
      </c>
    </row>
    <row r="324" spans="1:9" x14ac:dyDescent="0.25">
      <c r="A324" s="420">
        <v>43011</v>
      </c>
      <c r="B324" s="302" t="s">
        <v>31960</v>
      </c>
      <c r="C324">
        <v>129887</v>
      </c>
      <c r="D324" s="275" t="s">
        <v>15903</v>
      </c>
      <c r="E324" s="301">
        <v>32497.599999999999</v>
      </c>
      <c r="F324" s="303">
        <v>43011</v>
      </c>
      <c r="G324" s="301">
        <v>32497.599999999999</v>
      </c>
      <c r="H324" s="301">
        <f>Tabla15[[#This Row],[Importe]]-Tabla15[[#This Row],[Pagado]]</f>
        <v>0</v>
      </c>
      <c r="I324" s="275" t="s">
        <v>15214</v>
      </c>
    </row>
    <row r="325" spans="1:9" x14ac:dyDescent="0.25">
      <c r="A325" s="420">
        <v>43011</v>
      </c>
      <c r="B325" s="302" t="s">
        <v>31961</v>
      </c>
      <c r="C325">
        <v>129888</v>
      </c>
      <c r="D325" s="275" t="s">
        <v>15541</v>
      </c>
      <c r="E325" s="301">
        <v>1139</v>
      </c>
      <c r="F325" s="303">
        <v>43013</v>
      </c>
      <c r="G325" s="301">
        <v>1139</v>
      </c>
      <c r="H325" s="301">
        <f>Tabla15[[#This Row],[Importe]]-Tabla15[[#This Row],[Pagado]]</f>
        <v>0</v>
      </c>
      <c r="I325" s="275" t="s">
        <v>15214</v>
      </c>
    </row>
    <row r="326" spans="1:9" x14ac:dyDescent="0.25">
      <c r="A326" s="420">
        <v>43011</v>
      </c>
      <c r="B326" s="302" t="s">
        <v>31962</v>
      </c>
      <c r="C326">
        <v>129889</v>
      </c>
      <c r="D326" s="275" t="s">
        <v>15624</v>
      </c>
      <c r="E326" s="301">
        <v>29192.7</v>
      </c>
      <c r="F326" s="303">
        <v>43012</v>
      </c>
      <c r="G326" s="301">
        <v>29192.7</v>
      </c>
      <c r="H326" s="301">
        <f>Tabla15[[#This Row],[Importe]]-Tabla15[[#This Row],[Pagado]]</f>
        <v>0</v>
      </c>
      <c r="I326" s="275" t="s">
        <v>15214</v>
      </c>
    </row>
    <row r="327" spans="1:9" x14ac:dyDescent="0.25">
      <c r="A327" s="420">
        <v>43011</v>
      </c>
      <c r="B327" s="302" t="s">
        <v>31963</v>
      </c>
      <c r="C327">
        <v>129890</v>
      </c>
      <c r="D327" s="275" t="s">
        <v>15433</v>
      </c>
      <c r="E327" s="301">
        <v>208</v>
      </c>
      <c r="F327" s="303">
        <v>43011</v>
      </c>
      <c r="G327" s="301">
        <v>208</v>
      </c>
      <c r="H327" s="301">
        <f>Tabla15[[#This Row],[Importe]]-Tabla15[[#This Row],[Pagado]]</f>
        <v>0</v>
      </c>
      <c r="I327" s="275" t="s">
        <v>15214</v>
      </c>
    </row>
    <row r="328" spans="1:9" x14ac:dyDescent="0.25">
      <c r="A328" s="420">
        <v>43011</v>
      </c>
      <c r="B328" s="302" t="s">
        <v>31964</v>
      </c>
      <c r="C328">
        <v>129891</v>
      </c>
      <c r="D328" s="275" t="s">
        <v>15315</v>
      </c>
      <c r="E328" s="301">
        <v>2614.4</v>
      </c>
      <c r="F328" s="303">
        <v>43011</v>
      </c>
      <c r="G328" s="301">
        <v>2614.4</v>
      </c>
      <c r="H328" s="301">
        <f>Tabla15[[#This Row],[Importe]]-Tabla15[[#This Row],[Pagado]]</f>
        <v>0</v>
      </c>
      <c r="I328" s="275" t="s">
        <v>15214</v>
      </c>
    </row>
    <row r="329" spans="1:9" x14ac:dyDescent="0.25">
      <c r="A329" s="420">
        <v>43011</v>
      </c>
      <c r="B329" s="302" t="s">
        <v>31965</v>
      </c>
      <c r="C329">
        <v>129892</v>
      </c>
      <c r="D329" s="275" t="s">
        <v>15365</v>
      </c>
      <c r="E329" s="301">
        <v>244614</v>
      </c>
      <c r="F329" s="303">
        <v>43012</v>
      </c>
      <c r="G329" s="301">
        <v>244614</v>
      </c>
      <c r="H329" s="301">
        <f>Tabla15[[#This Row],[Importe]]-Tabla15[[#This Row],[Pagado]]</f>
        <v>0</v>
      </c>
      <c r="I329" s="275" t="s">
        <v>15214</v>
      </c>
    </row>
    <row r="330" spans="1:9" x14ac:dyDescent="0.25">
      <c r="A330" s="420">
        <v>43011</v>
      </c>
      <c r="B330" s="302" t="s">
        <v>31966</v>
      </c>
      <c r="C330">
        <v>129893</v>
      </c>
      <c r="D330" s="275" t="s">
        <v>15365</v>
      </c>
      <c r="E330" s="301">
        <v>35708.6</v>
      </c>
      <c r="F330" s="303">
        <v>43015</v>
      </c>
      <c r="G330" s="301">
        <v>35708.6</v>
      </c>
      <c r="H330" s="301">
        <f>Tabla15[[#This Row],[Importe]]-Tabla15[[#This Row],[Pagado]]</f>
        <v>0</v>
      </c>
      <c r="I330" s="275" t="s">
        <v>15214</v>
      </c>
    </row>
    <row r="331" spans="1:9" x14ac:dyDescent="0.25">
      <c r="A331" s="420">
        <v>43011</v>
      </c>
      <c r="B331" s="302" t="s">
        <v>31967</v>
      </c>
      <c r="C331">
        <v>129894</v>
      </c>
      <c r="D331" s="275" t="s">
        <v>19680</v>
      </c>
      <c r="E331" s="301">
        <v>147.69999999999999</v>
      </c>
      <c r="F331" s="303">
        <v>43011</v>
      </c>
      <c r="G331" s="301">
        <v>147.69999999999999</v>
      </c>
      <c r="H331" s="301">
        <f>Tabla15[[#This Row],[Importe]]-Tabla15[[#This Row],[Pagado]]</f>
        <v>0</v>
      </c>
      <c r="I331" s="275" t="s">
        <v>15214</v>
      </c>
    </row>
    <row r="332" spans="1:9" x14ac:dyDescent="0.25">
      <c r="A332" s="420">
        <v>43011</v>
      </c>
      <c r="B332" s="302" t="s">
        <v>31968</v>
      </c>
      <c r="C332">
        <v>129895</v>
      </c>
      <c r="D332" s="275" t="s">
        <v>15435</v>
      </c>
      <c r="E332" s="301">
        <v>8193.6</v>
      </c>
      <c r="F332" s="303">
        <v>43011</v>
      </c>
      <c r="G332" s="301">
        <v>8193.6</v>
      </c>
      <c r="H332" s="301">
        <f>Tabla15[[#This Row],[Importe]]-Tabla15[[#This Row],[Pagado]]</f>
        <v>0</v>
      </c>
      <c r="I332" s="275" t="s">
        <v>15214</v>
      </c>
    </row>
    <row r="333" spans="1:9" x14ac:dyDescent="0.25">
      <c r="A333" s="420">
        <v>43011</v>
      </c>
      <c r="B333" s="302" t="s">
        <v>31969</v>
      </c>
      <c r="C333">
        <v>129896</v>
      </c>
      <c r="D333" s="275" t="s">
        <v>5757</v>
      </c>
      <c r="E333" s="301">
        <v>1390</v>
      </c>
      <c r="F333" s="303">
        <v>43011</v>
      </c>
      <c r="G333" s="301">
        <v>1390</v>
      </c>
      <c r="H333" s="301">
        <f>Tabla15[[#This Row],[Importe]]-Tabla15[[#This Row],[Pagado]]</f>
        <v>0</v>
      </c>
      <c r="I333" s="275" t="s">
        <v>15214</v>
      </c>
    </row>
    <row r="334" spans="1:9" x14ac:dyDescent="0.25">
      <c r="A334" s="420">
        <v>43011</v>
      </c>
      <c r="B334" s="302" t="s">
        <v>31970</v>
      </c>
      <c r="C334">
        <v>129897</v>
      </c>
      <c r="D334" s="275" t="s">
        <v>15448</v>
      </c>
      <c r="E334" s="301">
        <v>249.2</v>
      </c>
      <c r="F334" s="303">
        <v>43019</v>
      </c>
      <c r="G334" s="301">
        <v>249.2</v>
      </c>
      <c r="H334" s="301">
        <f>Tabla15[[#This Row],[Importe]]-Tabla15[[#This Row],[Pagado]]</f>
        <v>0</v>
      </c>
      <c r="I334" s="275" t="s">
        <v>15214</v>
      </c>
    </row>
    <row r="335" spans="1:9" x14ac:dyDescent="0.25">
      <c r="A335" s="420">
        <v>43012</v>
      </c>
      <c r="B335" s="302" t="s">
        <v>31971</v>
      </c>
      <c r="C335">
        <v>129898</v>
      </c>
      <c r="D335" s="275" t="s">
        <v>21386</v>
      </c>
      <c r="E335" s="301">
        <v>8683</v>
      </c>
      <c r="F335" s="303">
        <v>43013</v>
      </c>
      <c r="G335" s="301">
        <v>8683</v>
      </c>
      <c r="H335" s="301">
        <f>Tabla15[[#This Row],[Importe]]-Tabla15[[#This Row],[Pagado]]</f>
        <v>0</v>
      </c>
      <c r="I335" s="275" t="s">
        <v>15214</v>
      </c>
    </row>
    <row r="336" spans="1:9" x14ac:dyDescent="0.25">
      <c r="A336" s="420">
        <v>43012</v>
      </c>
      <c r="B336" s="302" t="s">
        <v>31972</v>
      </c>
      <c r="C336">
        <v>129899</v>
      </c>
      <c r="D336" s="275" t="s">
        <v>15324</v>
      </c>
      <c r="E336" s="301">
        <v>2162</v>
      </c>
      <c r="F336" s="303">
        <v>43013</v>
      </c>
      <c r="G336" s="301">
        <v>2162</v>
      </c>
      <c r="H336" s="301">
        <f>Tabla15[[#This Row],[Importe]]-Tabla15[[#This Row],[Pagado]]</f>
        <v>0</v>
      </c>
      <c r="I336" s="275" t="s">
        <v>15214</v>
      </c>
    </row>
    <row r="337" spans="1:9" x14ac:dyDescent="0.25">
      <c r="A337" s="420">
        <v>43012</v>
      </c>
      <c r="B337" s="302" t="s">
        <v>31973</v>
      </c>
      <c r="C337">
        <v>129900</v>
      </c>
      <c r="D337" s="275" t="s">
        <v>19302</v>
      </c>
      <c r="E337" s="301">
        <v>880</v>
      </c>
      <c r="F337" s="303">
        <v>43013</v>
      </c>
      <c r="G337" s="301">
        <v>880</v>
      </c>
      <c r="H337" s="301">
        <f>Tabla15[[#This Row],[Importe]]-Tabla15[[#This Row],[Pagado]]</f>
        <v>0</v>
      </c>
      <c r="I337" s="275" t="s">
        <v>15214</v>
      </c>
    </row>
    <row r="338" spans="1:9" x14ac:dyDescent="0.25">
      <c r="A338" s="420">
        <v>43012</v>
      </c>
      <c r="B338" s="302" t="s">
        <v>31974</v>
      </c>
      <c r="C338">
        <v>129901</v>
      </c>
      <c r="D338" s="275" t="s">
        <v>15274</v>
      </c>
      <c r="E338" s="301">
        <v>2740</v>
      </c>
      <c r="F338" s="303">
        <v>43013</v>
      </c>
      <c r="G338" s="301">
        <v>2740</v>
      </c>
      <c r="H338" s="301">
        <f>Tabla15[[#This Row],[Importe]]-Tabla15[[#This Row],[Pagado]]</f>
        <v>0</v>
      </c>
      <c r="I338" s="275" t="s">
        <v>15214</v>
      </c>
    </row>
    <row r="339" spans="1:9" x14ac:dyDescent="0.25">
      <c r="A339" s="420">
        <v>43012</v>
      </c>
      <c r="B339" s="302" t="s">
        <v>31975</v>
      </c>
      <c r="C339">
        <v>129902</v>
      </c>
      <c r="D339" s="275" t="s">
        <v>15220</v>
      </c>
      <c r="E339" s="301">
        <v>1980</v>
      </c>
      <c r="F339" s="303">
        <v>43013</v>
      </c>
      <c r="G339" s="301">
        <v>1980</v>
      </c>
      <c r="H339" s="301">
        <f>Tabla15[[#This Row],[Importe]]-Tabla15[[#This Row],[Pagado]]</f>
        <v>0</v>
      </c>
      <c r="I339" s="275" t="s">
        <v>15214</v>
      </c>
    </row>
    <row r="340" spans="1:9" ht="15.75" x14ac:dyDescent="0.25">
      <c r="A340" s="420">
        <v>43012</v>
      </c>
      <c r="B340" s="302" t="s">
        <v>31976</v>
      </c>
      <c r="C340">
        <v>129903</v>
      </c>
      <c r="D340" s="248" t="s">
        <v>95</v>
      </c>
      <c r="E340" s="301">
        <v>0</v>
      </c>
      <c r="F340" s="243" t="s">
        <v>95</v>
      </c>
      <c r="G340" s="301">
        <v>0</v>
      </c>
      <c r="H340" s="301">
        <f>Tabla15[[#This Row],[Importe]]-Tabla15[[#This Row],[Pagado]]</f>
        <v>0</v>
      </c>
      <c r="I340" s="275" t="s">
        <v>95</v>
      </c>
    </row>
    <row r="341" spans="1:9" x14ac:dyDescent="0.25">
      <c r="A341" s="420">
        <v>43012</v>
      </c>
      <c r="B341" s="302" t="s">
        <v>31977</v>
      </c>
      <c r="C341">
        <v>129904</v>
      </c>
      <c r="D341" s="275" t="s">
        <v>21386</v>
      </c>
      <c r="E341" s="301">
        <v>283.5</v>
      </c>
      <c r="F341" s="303">
        <v>43012</v>
      </c>
      <c r="G341" s="301">
        <v>283.5</v>
      </c>
      <c r="H341" s="301">
        <f>Tabla15[[#This Row],[Importe]]-Tabla15[[#This Row],[Pagado]]</f>
        <v>0</v>
      </c>
      <c r="I341" s="275" t="s">
        <v>15214</v>
      </c>
    </row>
    <row r="342" spans="1:9" ht="30" x14ac:dyDescent="0.25">
      <c r="A342" s="420">
        <v>43012</v>
      </c>
      <c r="B342" s="302" t="s">
        <v>31978</v>
      </c>
      <c r="C342">
        <v>129905</v>
      </c>
      <c r="D342" s="275" t="s">
        <v>15213</v>
      </c>
      <c r="E342" s="301">
        <v>44832.4</v>
      </c>
      <c r="F342" s="303" t="s">
        <v>31855</v>
      </c>
      <c r="G342" s="305">
        <f>36832.4+8000</f>
        <v>44832.4</v>
      </c>
      <c r="H342" s="305">
        <f>Tabla15[[#This Row],[Importe]]-Tabla15[[#This Row],[Pagado]]</f>
        <v>0</v>
      </c>
      <c r="I342" s="275" t="s">
        <v>15214</v>
      </c>
    </row>
    <row r="343" spans="1:9" x14ac:dyDescent="0.25">
      <c r="A343" s="420">
        <v>43012</v>
      </c>
      <c r="B343" s="302" t="s">
        <v>31979</v>
      </c>
      <c r="C343">
        <v>129906</v>
      </c>
      <c r="D343" s="275" t="s">
        <v>15230</v>
      </c>
      <c r="E343" s="301">
        <v>9273.2999999999993</v>
      </c>
      <c r="F343" s="303">
        <v>43015</v>
      </c>
      <c r="G343" s="301">
        <v>9273.2999999999993</v>
      </c>
      <c r="H343" s="301">
        <f>Tabla15[[#This Row],[Importe]]-Tabla15[[#This Row],[Pagado]]</f>
        <v>0</v>
      </c>
      <c r="I343" s="275" t="s">
        <v>15214</v>
      </c>
    </row>
    <row r="344" spans="1:9" x14ac:dyDescent="0.25">
      <c r="A344" s="420">
        <v>43012</v>
      </c>
      <c r="B344" s="302" t="s">
        <v>31980</v>
      </c>
      <c r="C344">
        <v>129907</v>
      </c>
      <c r="D344" s="275" t="s">
        <v>15232</v>
      </c>
      <c r="E344" s="301">
        <v>6277.6</v>
      </c>
      <c r="F344" s="303">
        <v>43020</v>
      </c>
      <c r="G344" s="301">
        <v>6277.6</v>
      </c>
      <c r="H344" s="301">
        <f>Tabla15[[#This Row],[Importe]]-Tabla15[[#This Row],[Pagado]]</f>
        <v>0</v>
      </c>
      <c r="I344" s="275" t="s">
        <v>15214</v>
      </c>
    </row>
    <row r="345" spans="1:9" x14ac:dyDescent="0.25">
      <c r="A345" s="420">
        <v>43012</v>
      </c>
      <c r="B345" s="302" t="s">
        <v>31981</v>
      </c>
      <c r="C345">
        <v>129908</v>
      </c>
      <c r="D345" s="275" t="s">
        <v>30057</v>
      </c>
      <c r="E345" s="301">
        <v>3448.4</v>
      </c>
      <c r="F345" s="303">
        <v>43013</v>
      </c>
      <c r="G345" s="301">
        <v>3448.4</v>
      </c>
      <c r="H345" s="301">
        <f>Tabla15[[#This Row],[Importe]]-Tabla15[[#This Row],[Pagado]]</f>
        <v>0</v>
      </c>
      <c r="I345" s="275" t="s">
        <v>15214</v>
      </c>
    </row>
    <row r="346" spans="1:9" x14ac:dyDescent="0.25">
      <c r="A346" s="420">
        <v>43012</v>
      </c>
      <c r="B346" s="302" t="s">
        <v>31982</v>
      </c>
      <c r="C346">
        <v>129909</v>
      </c>
      <c r="D346" s="275" t="s">
        <v>15242</v>
      </c>
      <c r="E346" s="301">
        <v>4296</v>
      </c>
      <c r="F346" s="303">
        <v>43013</v>
      </c>
      <c r="G346" s="301">
        <v>4296</v>
      </c>
      <c r="H346" s="301">
        <f>Tabla15[[#This Row],[Importe]]-Tabla15[[#This Row],[Pagado]]</f>
        <v>0</v>
      </c>
      <c r="I346" s="275" t="s">
        <v>15214</v>
      </c>
    </row>
    <row r="347" spans="1:9" x14ac:dyDescent="0.25">
      <c r="A347" s="420">
        <v>43012</v>
      </c>
      <c r="B347" s="302" t="s">
        <v>31983</v>
      </c>
      <c r="C347">
        <v>129910</v>
      </c>
      <c r="D347" s="275" t="s">
        <v>15240</v>
      </c>
      <c r="E347" s="301">
        <v>3247.6</v>
      </c>
      <c r="F347" s="303">
        <v>43014</v>
      </c>
      <c r="G347" s="301">
        <v>3247.6</v>
      </c>
      <c r="H347" s="301">
        <f>Tabla15[[#This Row],[Importe]]-Tabla15[[#This Row],[Pagado]]</f>
        <v>0</v>
      </c>
      <c r="I347" s="275" t="s">
        <v>15214</v>
      </c>
    </row>
    <row r="348" spans="1:9" x14ac:dyDescent="0.25">
      <c r="A348" s="420">
        <v>43012</v>
      </c>
      <c r="B348" s="302" t="s">
        <v>31984</v>
      </c>
      <c r="C348">
        <v>129911</v>
      </c>
      <c r="D348" s="275" t="s">
        <v>19780</v>
      </c>
      <c r="E348" s="301">
        <v>10064</v>
      </c>
      <c r="F348" s="303">
        <v>43014</v>
      </c>
      <c r="G348" s="301">
        <v>10064</v>
      </c>
      <c r="H348" s="301">
        <f>Tabla15[[#This Row],[Importe]]-Tabla15[[#This Row],[Pagado]]</f>
        <v>0</v>
      </c>
      <c r="I348" s="275" t="s">
        <v>15214</v>
      </c>
    </row>
    <row r="349" spans="1:9" x14ac:dyDescent="0.25">
      <c r="A349" s="420">
        <v>43012</v>
      </c>
      <c r="B349" s="302" t="s">
        <v>31985</v>
      </c>
      <c r="C349">
        <v>129912</v>
      </c>
      <c r="D349" s="275" t="s">
        <v>15256</v>
      </c>
      <c r="E349" s="301">
        <v>3586.2</v>
      </c>
      <c r="F349" s="303">
        <v>43015</v>
      </c>
      <c r="G349" s="301">
        <v>3586.2</v>
      </c>
      <c r="H349" s="301">
        <f>Tabla15[[#This Row],[Importe]]-Tabla15[[#This Row],[Pagado]]</f>
        <v>0</v>
      </c>
      <c r="I349" s="275" t="s">
        <v>15214</v>
      </c>
    </row>
    <row r="350" spans="1:9" x14ac:dyDescent="0.25">
      <c r="A350" s="420">
        <v>43012</v>
      </c>
      <c r="B350" s="302" t="s">
        <v>31986</v>
      </c>
      <c r="C350">
        <v>129913</v>
      </c>
      <c r="D350" s="275" t="s">
        <v>18544</v>
      </c>
      <c r="E350" s="301">
        <v>5484.2</v>
      </c>
      <c r="F350" s="303">
        <v>43012</v>
      </c>
      <c r="G350" s="301">
        <v>5484.2</v>
      </c>
      <c r="H350" s="301">
        <f>Tabla15[[#This Row],[Importe]]-Tabla15[[#This Row],[Pagado]]</f>
        <v>0</v>
      </c>
      <c r="I350" s="275" t="s">
        <v>15214</v>
      </c>
    </row>
    <row r="351" spans="1:9" x14ac:dyDescent="0.25">
      <c r="A351" s="420">
        <v>43012</v>
      </c>
      <c r="B351" s="302" t="s">
        <v>31987</v>
      </c>
      <c r="C351">
        <v>129914</v>
      </c>
      <c r="D351" s="275" t="s">
        <v>15234</v>
      </c>
      <c r="E351" s="301">
        <v>3034</v>
      </c>
      <c r="F351" s="303">
        <v>43013</v>
      </c>
      <c r="G351" s="301">
        <v>3034</v>
      </c>
      <c r="H351" s="301">
        <f>Tabla15[[#This Row],[Importe]]-Tabla15[[#This Row],[Pagado]]</f>
        <v>0</v>
      </c>
      <c r="I351" s="275" t="s">
        <v>15214</v>
      </c>
    </row>
    <row r="352" spans="1:9" x14ac:dyDescent="0.25">
      <c r="A352" s="420">
        <v>43012</v>
      </c>
      <c r="B352" s="302" t="s">
        <v>31988</v>
      </c>
      <c r="C352">
        <v>129915</v>
      </c>
      <c r="D352" s="275" t="s">
        <v>15238</v>
      </c>
      <c r="E352" s="301">
        <v>684</v>
      </c>
      <c r="F352" s="303">
        <v>43014</v>
      </c>
      <c r="G352" s="301">
        <v>684</v>
      </c>
      <c r="H352" s="301">
        <f>Tabla15[[#This Row],[Importe]]-Tabla15[[#This Row],[Pagado]]</f>
        <v>0</v>
      </c>
      <c r="I352" s="275" t="s">
        <v>15214</v>
      </c>
    </row>
    <row r="353" spans="1:9" x14ac:dyDescent="0.25">
      <c r="A353" s="420">
        <v>43012</v>
      </c>
      <c r="B353" s="302" t="s">
        <v>31989</v>
      </c>
      <c r="C353">
        <v>129916</v>
      </c>
      <c r="D353" s="275" t="s">
        <v>15480</v>
      </c>
      <c r="E353" s="301">
        <v>3567.8</v>
      </c>
      <c r="F353" s="303">
        <v>43014</v>
      </c>
      <c r="G353" s="301">
        <v>3567.8</v>
      </c>
      <c r="H353" s="301">
        <f>Tabla15[[#This Row],[Importe]]-Tabla15[[#This Row],[Pagado]]</f>
        <v>0</v>
      </c>
      <c r="I353" s="275" t="s">
        <v>15214</v>
      </c>
    </row>
    <row r="354" spans="1:9" ht="30" x14ac:dyDescent="0.25">
      <c r="A354" s="420">
        <v>43012</v>
      </c>
      <c r="B354" s="302" t="s">
        <v>31990</v>
      </c>
      <c r="C354">
        <v>129917</v>
      </c>
      <c r="D354" s="275" t="s">
        <v>15258</v>
      </c>
      <c r="E354" s="301">
        <v>9719.9</v>
      </c>
      <c r="F354" s="303" t="s">
        <v>31991</v>
      </c>
      <c r="G354" s="305">
        <f>2000+7719.9</f>
        <v>9719.9</v>
      </c>
      <c r="H354" s="305">
        <f>Tabla15[[#This Row],[Importe]]-Tabla15[[#This Row],[Pagado]]</f>
        <v>0</v>
      </c>
      <c r="I354" s="275" t="s">
        <v>15214</v>
      </c>
    </row>
    <row r="355" spans="1:9" x14ac:dyDescent="0.25">
      <c r="A355" s="420">
        <v>43012</v>
      </c>
      <c r="B355" s="302" t="s">
        <v>31992</v>
      </c>
      <c r="C355">
        <v>129918</v>
      </c>
      <c r="D355" s="275" t="s">
        <v>15487</v>
      </c>
      <c r="E355" s="301">
        <v>6528.6</v>
      </c>
      <c r="F355" s="303">
        <v>43012</v>
      </c>
      <c r="G355" s="301">
        <v>6528.6</v>
      </c>
      <c r="H355" s="301">
        <f>Tabla15[[#This Row],[Importe]]-Tabla15[[#This Row],[Pagado]]</f>
        <v>0</v>
      </c>
      <c r="I355" s="275" t="s">
        <v>15214</v>
      </c>
    </row>
    <row r="356" spans="1:9" x14ac:dyDescent="0.25">
      <c r="A356" s="420">
        <v>43012</v>
      </c>
      <c r="B356" s="302" t="s">
        <v>31993</v>
      </c>
      <c r="C356">
        <v>129919</v>
      </c>
      <c r="D356" s="275" t="s">
        <v>15265</v>
      </c>
      <c r="E356" s="301">
        <v>2731.2</v>
      </c>
      <c r="F356" s="303">
        <v>43013</v>
      </c>
      <c r="G356" s="301">
        <v>2731.2</v>
      </c>
      <c r="H356" s="301">
        <f>Tabla15[[#This Row],[Importe]]-Tabla15[[#This Row],[Pagado]]</f>
        <v>0</v>
      </c>
      <c r="I356" s="275" t="s">
        <v>15214</v>
      </c>
    </row>
    <row r="357" spans="1:9" x14ac:dyDescent="0.25">
      <c r="A357" s="420">
        <v>43012</v>
      </c>
      <c r="B357" s="302" t="s">
        <v>31994</v>
      </c>
      <c r="C357">
        <v>129920</v>
      </c>
      <c r="D357" s="275" t="s">
        <v>15272</v>
      </c>
      <c r="E357" s="301">
        <v>18017.7</v>
      </c>
      <c r="F357" s="303">
        <v>43012</v>
      </c>
      <c r="G357" s="301">
        <v>18017.7</v>
      </c>
      <c r="H357" s="301">
        <f>Tabla15[[#This Row],[Importe]]-Tabla15[[#This Row],[Pagado]]</f>
        <v>0</v>
      </c>
      <c r="I357" s="275" t="s">
        <v>15214</v>
      </c>
    </row>
    <row r="358" spans="1:9" x14ac:dyDescent="0.25">
      <c r="A358" s="420">
        <v>43012</v>
      </c>
      <c r="B358" s="302" t="s">
        <v>31995</v>
      </c>
      <c r="C358">
        <v>129921</v>
      </c>
      <c r="D358" s="275" t="s">
        <v>15352</v>
      </c>
      <c r="E358" s="301">
        <v>348.2</v>
      </c>
      <c r="F358" s="303">
        <v>43012</v>
      </c>
      <c r="G358" s="301">
        <v>348.2</v>
      </c>
      <c r="H358" s="301">
        <f>Tabla15[[#This Row],[Importe]]-Tabla15[[#This Row],[Pagado]]</f>
        <v>0</v>
      </c>
      <c r="I358" s="275" t="s">
        <v>15214</v>
      </c>
    </row>
    <row r="359" spans="1:9" x14ac:dyDescent="0.25">
      <c r="A359" s="420">
        <v>43012</v>
      </c>
      <c r="B359" s="302" t="s">
        <v>31996</v>
      </c>
      <c r="C359">
        <v>129922</v>
      </c>
      <c r="D359" s="275" t="s">
        <v>15315</v>
      </c>
      <c r="E359" s="301">
        <v>9680.2000000000007</v>
      </c>
      <c r="F359" s="303">
        <v>43012</v>
      </c>
      <c r="G359" s="301">
        <v>9680.2000000000007</v>
      </c>
      <c r="H359" s="301">
        <f>Tabla15[[#This Row],[Importe]]-Tabla15[[#This Row],[Pagado]]</f>
        <v>0</v>
      </c>
      <c r="I359" s="275" t="s">
        <v>15214</v>
      </c>
    </row>
    <row r="360" spans="1:9" x14ac:dyDescent="0.25">
      <c r="A360" s="420">
        <v>43012</v>
      </c>
      <c r="B360" s="302" t="s">
        <v>31997</v>
      </c>
      <c r="C360">
        <v>129923</v>
      </c>
      <c r="D360" s="275" t="s">
        <v>15330</v>
      </c>
      <c r="E360" s="301">
        <v>3122</v>
      </c>
      <c r="F360" s="303">
        <v>43013</v>
      </c>
      <c r="G360" s="301">
        <v>3122</v>
      </c>
      <c r="H360" s="301">
        <f>Tabla15[[#This Row],[Importe]]-Tabla15[[#This Row],[Pagado]]</f>
        <v>0</v>
      </c>
      <c r="I360" s="275" t="s">
        <v>15214</v>
      </c>
    </row>
    <row r="361" spans="1:9" x14ac:dyDescent="0.25">
      <c r="A361" s="420">
        <v>43012</v>
      </c>
      <c r="B361" s="302" t="s">
        <v>31998</v>
      </c>
      <c r="C361">
        <v>129924</v>
      </c>
      <c r="D361" s="275" t="s">
        <v>15213</v>
      </c>
      <c r="E361" s="301">
        <v>904.2</v>
      </c>
      <c r="F361" s="303">
        <v>43013</v>
      </c>
      <c r="G361" s="301">
        <v>904.2</v>
      </c>
      <c r="H361" s="301">
        <f>Tabla15[[#This Row],[Importe]]-Tabla15[[#This Row],[Pagado]]</f>
        <v>0</v>
      </c>
      <c r="I361" s="275" t="s">
        <v>15214</v>
      </c>
    </row>
    <row r="362" spans="1:9" x14ac:dyDescent="0.25">
      <c r="A362" s="420">
        <v>43012</v>
      </c>
      <c r="B362" s="302" t="s">
        <v>31999</v>
      </c>
      <c r="C362">
        <v>129925</v>
      </c>
      <c r="D362" s="275" t="s">
        <v>15338</v>
      </c>
      <c r="E362" s="301">
        <v>11156</v>
      </c>
      <c r="F362" s="303">
        <v>43014</v>
      </c>
      <c r="G362" s="301">
        <v>11156</v>
      </c>
      <c r="H362" s="301">
        <f>Tabla15[[#This Row],[Importe]]-Tabla15[[#This Row],[Pagado]]</f>
        <v>0</v>
      </c>
      <c r="I362" s="275" t="s">
        <v>15214</v>
      </c>
    </row>
    <row r="363" spans="1:9" x14ac:dyDescent="0.25">
      <c r="A363" s="420">
        <v>43012</v>
      </c>
      <c r="B363" s="302" t="s">
        <v>32000</v>
      </c>
      <c r="C363">
        <v>129926</v>
      </c>
      <c r="D363" s="275" t="s">
        <v>15263</v>
      </c>
      <c r="E363" s="301">
        <v>1265.7</v>
      </c>
      <c r="F363" s="303">
        <v>43012</v>
      </c>
      <c r="G363" s="301">
        <v>1265.7</v>
      </c>
      <c r="H363" s="301">
        <f>Tabla15[[#This Row],[Importe]]-Tabla15[[#This Row],[Pagado]]</f>
        <v>0</v>
      </c>
      <c r="I363" s="275" t="s">
        <v>15214</v>
      </c>
    </row>
    <row r="364" spans="1:9" x14ac:dyDescent="0.25">
      <c r="A364" s="420">
        <v>43012</v>
      </c>
      <c r="B364" s="302" t="s">
        <v>32001</v>
      </c>
      <c r="C364">
        <v>129927</v>
      </c>
      <c r="D364" s="275" t="s">
        <v>15415</v>
      </c>
      <c r="E364" s="301">
        <v>3036</v>
      </c>
      <c r="F364" s="303">
        <v>43013</v>
      </c>
      <c r="G364" s="301">
        <v>3036</v>
      </c>
      <c r="H364" s="301">
        <f>Tabla15[[#This Row],[Importe]]-Tabla15[[#This Row],[Pagado]]</f>
        <v>0</v>
      </c>
      <c r="I364" s="275" t="s">
        <v>15214</v>
      </c>
    </row>
    <row r="365" spans="1:9" x14ac:dyDescent="0.25">
      <c r="A365" s="420">
        <v>43012</v>
      </c>
      <c r="B365" s="302" t="s">
        <v>32002</v>
      </c>
      <c r="C365">
        <v>129928</v>
      </c>
      <c r="D365" s="275" t="s">
        <v>15236</v>
      </c>
      <c r="E365" s="301">
        <v>3610.8</v>
      </c>
      <c r="F365" s="303">
        <v>43014</v>
      </c>
      <c r="G365" s="301">
        <v>3610.8</v>
      </c>
      <c r="H365" s="301">
        <f>Tabla15[[#This Row],[Importe]]-Tabla15[[#This Row],[Pagado]]</f>
        <v>0</v>
      </c>
      <c r="I365" s="275" t="s">
        <v>15214</v>
      </c>
    </row>
    <row r="366" spans="1:9" x14ac:dyDescent="0.25">
      <c r="A366" s="420">
        <v>43012</v>
      </c>
      <c r="B366" s="302" t="s">
        <v>32003</v>
      </c>
      <c r="C366">
        <v>129929</v>
      </c>
      <c r="D366" s="275" t="s">
        <v>15668</v>
      </c>
      <c r="E366" s="301">
        <v>17970.2</v>
      </c>
      <c r="F366" s="303">
        <v>43012</v>
      </c>
      <c r="G366" s="301">
        <v>17970.2</v>
      </c>
      <c r="H366" s="301">
        <f>Tabla15[[#This Row],[Importe]]-Tabla15[[#This Row],[Pagado]]</f>
        <v>0</v>
      </c>
      <c r="I366" s="275" t="s">
        <v>15214</v>
      </c>
    </row>
    <row r="367" spans="1:9" ht="15.75" x14ac:dyDescent="0.25">
      <c r="A367" s="420">
        <v>43012</v>
      </c>
      <c r="B367" s="302" t="s">
        <v>32004</v>
      </c>
      <c r="C367">
        <v>129930</v>
      </c>
      <c r="D367" s="248" t="s">
        <v>95</v>
      </c>
      <c r="E367" s="301">
        <v>0</v>
      </c>
      <c r="F367" s="243" t="s">
        <v>95</v>
      </c>
      <c r="G367" s="301">
        <v>0</v>
      </c>
      <c r="H367" s="301">
        <f>Tabla15[[#This Row],[Importe]]-Tabla15[[#This Row],[Pagado]]</f>
        <v>0</v>
      </c>
      <c r="I367" s="275" t="s">
        <v>95</v>
      </c>
    </row>
    <row r="368" spans="1:9" x14ac:dyDescent="0.25">
      <c r="A368" s="420">
        <v>43012</v>
      </c>
      <c r="B368" s="302" t="s">
        <v>32005</v>
      </c>
      <c r="C368">
        <v>129931</v>
      </c>
      <c r="D368" s="275" t="s">
        <v>15223</v>
      </c>
      <c r="E368" s="301">
        <v>61836</v>
      </c>
      <c r="F368" s="303">
        <v>43036</v>
      </c>
      <c r="G368" s="301">
        <v>61836</v>
      </c>
      <c r="H368" s="301">
        <f>Tabla15[[#This Row],[Importe]]-Tabla15[[#This Row],[Pagado]]</f>
        <v>0</v>
      </c>
      <c r="I368" s="275" t="s">
        <v>15214</v>
      </c>
    </row>
    <row r="369" spans="1:9" x14ac:dyDescent="0.25">
      <c r="A369" s="420">
        <v>43012</v>
      </c>
      <c r="B369" s="302" t="s">
        <v>32006</v>
      </c>
      <c r="C369">
        <v>129932</v>
      </c>
      <c r="D369" s="275" t="s">
        <v>15334</v>
      </c>
      <c r="E369" s="301">
        <v>2280</v>
      </c>
      <c r="F369" s="303">
        <v>43012</v>
      </c>
      <c r="G369" s="301">
        <v>2280</v>
      </c>
      <c r="H369" s="301">
        <f>Tabla15[[#This Row],[Importe]]-Tabla15[[#This Row],[Pagado]]</f>
        <v>0</v>
      </c>
      <c r="I369" s="275" t="s">
        <v>15214</v>
      </c>
    </row>
    <row r="370" spans="1:9" x14ac:dyDescent="0.25">
      <c r="A370" s="420">
        <v>43012</v>
      </c>
      <c r="B370" s="302" t="s">
        <v>32007</v>
      </c>
      <c r="C370">
        <v>129933</v>
      </c>
      <c r="D370" s="275" t="s">
        <v>15317</v>
      </c>
      <c r="E370" s="301">
        <v>3566</v>
      </c>
      <c r="F370" s="303">
        <v>43013</v>
      </c>
      <c r="G370" s="301">
        <v>3566</v>
      </c>
      <c r="H370" s="301">
        <f>Tabla15[[#This Row],[Importe]]-Tabla15[[#This Row],[Pagado]]</f>
        <v>0</v>
      </c>
      <c r="I370" s="275" t="s">
        <v>15214</v>
      </c>
    </row>
    <row r="371" spans="1:9" x14ac:dyDescent="0.25">
      <c r="A371" s="420">
        <v>43012</v>
      </c>
      <c r="B371" s="302" t="s">
        <v>32008</v>
      </c>
      <c r="C371">
        <v>129934</v>
      </c>
      <c r="D371" s="275" t="s">
        <v>17462</v>
      </c>
      <c r="E371" s="301">
        <v>5500.8</v>
      </c>
      <c r="F371" s="303">
        <v>43012</v>
      </c>
      <c r="G371" s="301">
        <v>5500.8</v>
      </c>
      <c r="H371" s="301">
        <f>Tabla15[[#This Row],[Importe]]-Tabla15[[#This Row],[Pagado]]</f>
        <v>0</v>
      </c>
      <c r="I371" s="275" t="s">
        <v>15214</v>
      </c>
    </row>
    <row r="372" spans="1:9" x14ac:dyDescent="0.25">
      <c r="A372" s="420">
        <v>43012</v>
      </c>
      <c r="B372" s="302" t="s">
        <v>32009</v>
      </c>
      <c r="C372">
        <v>129935</v>
      </c>
      <c r="D372" s="275" t="s">
        <v>17462</v>
      </c>
      <c r="E372" s="301">
        <v>162.4</v>
      </c>
      <c r="F372" s="303">
        <v>43012</v>
      </c>
      <c r="G372" s="301">
        <v>162.4</v>
      </c>
      <c r="H372" s="301">
        <f>Tabla15[[#This Row],[Importe]]-Tabla15[[#This Row],[Pagado]]</f>
        <v>0</v>
      </c>
      <c r="I372" s="275" t="s">
        <v>15214</v>
      </c>
    </row>
    <row r="373" spans="1:9" x14ac:dyDescent="0.25">
      <c r="A373" s="420">
        <v>43012</v>
      </c>
      <c r="B373" s="302" t="s">
        <v>32010</v>
      </c>
      <c r="C373">
        <v>129936</v>
      </c>
      <c r="D373" s="275" t="s">
        <v>15248</v>
      </c>
      <c r="E373" s="301">
        <v>23192.5</v>
      </c>
      <c r="F373" s="303">
        <v>43012</v>
      </c>
      <c r="G373" s="301">
        <v>23192.5</v>
      </c>
      <c r="H373" s="301">
        <f>Tabla15[[#This Row],[Importe]]-Tabla15[[#This Row],[Pagado]]</f>
        <v>0</v>
      </c>
      <c r="I373" s="275" t="s">
        <v>15214</v>
      </c>
    </row>
    <row r="374" spans="1:9" x14ac:dyDescent="0.25">
      <c r="A374" s="420">
        <v>43012</v>
      </c>
      <c r="B374" s="302" t="s">
        <v>32011</v>
      </c>
      <c r="C374">
        <v>129937</v>
      </c>
      <c r="D374" s="275" t="s">
        <v>15732</v>
      </c>
      <c r="E374" s="301">
        <v>2849.1</v>
      </c>
      <c r="F374" s="303">
        <v>43012</v>
      </c>
      <c r="G374" s="301">
        <v>2849.1</v>
      </c>
      <c r="H374" s="301">
        <f>Tabla15[[#This Row],[Importe]]-Tabla15[[#This Row],[Pagado]]</f>
        <v>0</v>
      </c>
      <c r="I374" s="275" t="s">
        <v>15214</v>
      </c>
    </row>
    <row r="375" spans="1:9" x14ac:dyDescent="0.25">
      <c r="A375" s="420">
        <v>43012</v>
      </c>
      <c r="B375" s="302" t="s">
        <v>32012</v>
      </c>
      <c r="C375">
        <v>129938</v>
      </c>
      <c r="D375" s="275" t="s">
        <v>15344</v>
      </c>
      <c r="E375" s="301">
        <v>2470.5</v>
      </c>
      <c r="F375" s="303">
        <v>43012</v>
      </c>
      <c r="G375" s="301">
        <v>2470.5</v>
      </c>
      <c r="H375" s="301">
        <f>Tabla15[[#This Row],[Importe]]-Tabla15[[#This Row],[Pagado]]</f>
        <v>0</v>
      </c>
      <c r="I375" s="275" t="s">
        <v>15214</v>
      </c>
    </row>
    <row r="376" spans="1:9" x14ac:dyDescent="0.25">
      <c r="A376" s="420">
        <v>43012</v>
      </c>
      <c r="B376" s="302" t="s">
        <v>32013</v>
      </c>
      <c r="C376">
        <v>129939</v>
      </c>
      <c r="D376" s="275" t="s">
        <v>15332</v>
      </c>
      <c r="E376" s="301">
        <v>3749</v>
      </c>
      <c r="F376" s="303">
        <v>43012</v>
      </c>
      <c r="G376" s="301">
        <v>3749</v>
      </c>
      <c r="H376" s="301">
        <f>Tabla15[[#This Row],[Importe]]-Tabla15[[#This Row],[Pagado]]</f>
        <v>0</v>
      </c>
      <c r="I376" s="275" t="s">
        <v>15214</v>
      </c>
    </row>
    <row r="377" spans="1:9" x14ac:dyDescent="0.25">
      <c r="A377" s="420">
        <v>43012</v>
      </c>
      <c r="B377" s="302" t="s">
        <v>32014</v>
      </c>
      <c r="C377">
        <v>129940</v>
      </c>
      <c r="D377" s="275" t="s">
        <v>15336</v>
      </c>
      <c r="E377" s="301">
        <v>5661.6</v>
      </c>
      <c r="F377" s="303">
        <v>43012</v>
      </c>
      <c r="G377" s="301">
        <v>5661.6</v>
      </c>
      <c r="H377" s="301">
        <f>Tabla15[[#This Row],[Importe]]-Tabla15[[#This Row],[Pagado]]</f>
        <v>0</v>
      </c>
      <c r="I377" s="275" t="s">
        <v>15214</v>
      </c>
    </row>
    <row r="378" spans="1:9" x14ac:dyDescent="0.25">
      <c r="A378" s="420">
        <v>43012</v>
      </c>
      <c r="B378" s="302" t="s">
        <v>32015</v>
      </c>
      <c r="C378">
        <v>129941</v>
      </c>
      <c r="D378" s="275" t="s">
        <v>15681</v>
      </c>
      <c r="E378" s="301">
        <v>2244.8000000000002</v>
      </c>
      <c r="F378" s="303">
        <v>43012</v>
      </c>
      <c r="G378" s="301">
        <v>2244.8000000000002</v>
      </c>
      <c r="H378" s="301">
        <f>Tabla15[[#This Row],[Importe]]-Tabla15[[#This Row],[Pagado]]</f>
        <v>0</v>
      </c>
      <c r="I378" s="275" t="s">
        <v>15214</v>
      </c>
    </row>
    <row r="379" spans="1:9" x14ac:dyDescent="0.25">
      <c r="A379" s="420">
        <v>43012</v>
      </c>
      <c r="B379" s="302" t="s">
        <v>32016</v>
      </c>
      <c r="C379">
        <v>129942</v>
      </c>
      <c r="D379" s="275" t="s">
        <v>15309</v>
      </c>
      <c r="E379" s="301">
        <v>2111.5</v>
      </c>
      <c r="F379" s="303">
        <v>43012</v>
      </c>
      <c r="G379" s="301">
        <v>2111.5</v>
      </c>
      <c r="H379" s="301">
        <f>Tabla15[[#This Row],[Importe]]-Tabla15[[#This Row],[Pagado]]</f>
        <v>0</v>
      </c>
      <c r="I379" s="275" t="s">
        <v>15214</v>
      </c>
    </row>
    <row r="380" spans="1:9" x14ac:dyDescent="0.25">
      <c r="A380" s="420">
        <v>43012</v>
      </c>
      <c r="B380" s="302" t="s">
        <v>32017</v>
      </c>
      <c r="C380">
        <v>129943</v>
      </c>
      <c r="D380" s="275" t="s">
        <v>15371</v>
      </c>
      <c r="E380" s="301">
        <v>4774.1000000000004</v>
      </c>
      <c r="F380" s="303">
        <v>43013</v>
      </c>
      <c r="G380" s="301">
        <v>4774.1000000000004</v>
      </c>
      <c r="H380" s="301">
        <f>Tabla15[[#This Row],[Importe]]-Tabla15[[#This Row],[Pagado]]</f>
        <v>0</v>
      </c>
      <c r="I380" s="275" t="s">
        <v>15214</v>
      </c>
    </row>
    <row r="381" spans="1:9" x14ac:dyDescent="0.25">
      <c r="A381" s="420">
        <v>43012</v>
      </c>
      <c r="B381" s="302" t="s">
        <v>32018</v>
      </c>
      <c r="C381">
        <v>129944</v>
      </c>
      <c r="D381" s="275" t="s">
        <v>15742</v>
      </c>
      <c r="E381" s="301">
        <v>1962.4</v>
      </c>
      <c r="F381" s="303">
        <v>43012</v>
      </c>
      <c r="G381" s="301">
        <v>1962.4</v>
      </c>
      <c r="H381" s="301">
        <f>Tabla15[[#This Row],[Importe]]-Tabla15[[#This Row],[Pagado]]</f>
        <v>0</v>
      </c>
      <c r="I381" s="275" t="s">
        <v>15214</v>
      </c>
    </row>
    <row r="382" spans="1:9" x14ac:dyDescent="0.25">
      <c r="A382" s="420">
        <v>43012</v>
      </c>
      <c r="B382" s="302" t="s">
        <v>32019</v>
      </c>
      <c r="C382">
        <v>129945</v>
      </c>
      <c r="D382" s="275" t="s">
        <v>15523</v>
      </c>
      <c r="E382" s="301">
        <v>1570.8</v>
      </c>
      <c r="F382" s="303">
        <v>43012</v>
      </c>
      <c r="G382" s="301">
        <v>1570.8</v>
      </c>
      <c r="H382" s="301">
        <f>Tabla15[[#This Row],[Importe]]-Tabla15[[#This Row],[Pagado]]</f>
        <v>0</v>
      </c>
      <c r="I382" s="275" t="s">
        <v>15214</v>
      </c>
    </row>
    <row r="383" spans="1:9" x14ac:dyDescent="0.25">
      <c r="A383" s="420">
        <v>43012</v>
      </c>
      <c r="B383" s="302" t="s">
        <v>32020</v>
      </c>
      <c r="C383">
        <v>129946</v>
      </c>
      <c r="D383" s="275" t="s">
        <v>15309</v>
      </c>
      <c r="E383" s="301">
        <v>4729.3</v>
      </c>
      <c r="F383" s="303">
        <v>43012</v>
      </c>
      <c r="G383" s="301">
        <v>4729.3</v>
      </c>
      <c r="H383" s="301">
        <f>Tabla15[[#This Row],[Importe]]-Tabla15[[#This Row],[Pagado]]</f>
        <v>0</v>
      </c>
      <c r="I383" s="275" t="s">
        <v>15214</v>
      </c>
    </row>
    <row r="384" spans="1:9" x14ac:dyDescent="0.25">
      <c r="A384" s="420">
        <v>43012</v>
      </c>
      <c r="B384" s="302" t="s">
        <v>32021</v>
      </c>
      <c r="C384">
        <v>129947</v>
      </c>
      <c r="D384" s="275" t="s">
        <v>15228</v>
      </c>
      <c r="E384" s="301">
        <v>8601.6</v>
      </c>
      <c r="F384" s="303">
        <v>43012</v>
      </c>
      <c r="G384" s="301">
        <v>8601.6</v>
      </c>
      <c r="H384" s="301">
        <f>Tabla15[[#This Row],[Importe]]-Tabla15[[#This Row],[Pagado]]</f>
        <v>0</v>
      </c>
      <c r="I384" s="275" t="s">
        <v>15214</v>
      </c>
    </row>
    <row r="385" spans="1:9" x14ac:dyDescent="0.25">
      <c r="A385" s="420">
        <v>43012</v>
      </c>
      <c r="B385" s="302" t="s">
        <v>32022</v>
      </c>
      <c r="C385">
        <v>129948</v>
      </c>
      <c r="D385" s="275" t="s">
        <v>17800</v>
      </c>
      <c r="E385" s="301">
        <v>3744</v>
      </c>
      <c r="F385" s="303">
        <v>43012</v>
      </c>
      <c r="G385" s="301">
        <v>3744</v>
      </c>
      <c r="H385" s="301">
        <f>Tabla15[[#This Row],[Importe]]-Tabla15[[#This Row],[Pagado]]</f>
        <v>0</v>
      </c>
      <c r="I385" s="275" t="s">
        <v>15214</v>
      </c>
    </row>
    <row r="386" spans="1:9" x14ac:dyDescent="0.25">
      <c r="A386" s="420">
        <v>43012</v>
      </c>
      <c r="B386" s="302" t="s">
        <v>32023</v>
      </c>
      <c r="C386">
        <v>129949</v>
      </c>
      <c r="D386" s="275" t="s">
        <v>15530</v>
      </c>
      <c r="E386" s="301">
        <v>1577.4</v>
      </c>
      <c r="F386" s="303">
        <v>43012</v>
      </c>
      <c r="G386" s="301">
        <v>1577.4</v>
      </c>
      <c r="H386" s="301">
        <f>Tabla15[[#This Row],[Importe]]-Tabla15[[#This Row],[Pagado]]</f>
        <v>0</v>
      </c>
      <c r="I386" s="275" t="s">
        <v>15214</v>
      </c>
    </row>
    <row r="387" spans="1:9" x14ac:dyDescent="0.25">
      <c r="A387" s="420">
        <v>43012</v>
      </c>
      <c r="B387" s="302" t="s">
        <v>32024</v>
      </c>
      <c r="C387">
        <v>129950</v>
      </c>
      <c r="D387" s="275" t="s">
        <v>15307</v>
      </c>
      <c r="E387" s="301">
        <v>1607.1</v>
      </c>
      <c r="F387" s="303">
        <v>43012</v>
      </c>
      <c r="G387" s="301">
        <v>1607.1</v>
      </c>
      <c r="H387" s="301">
        <f>Tabla15[[#This Row],[Importe]]-Tabla15[[#This Row],[Pagado]]</f>
        <v>0</v>
      </c>
      <c r="I387" s="275" t="s">
        <v>15214</v>
      </c>
    </row>
    <row r="388" spans="1:9" x14ac:dyDescent="0.25">
      <c r="A388" s="420">
        <v>43012</v>
      </c>
      <c r="B388" s="302" t="s">
        <v>32025</v>
      </c>
      <c r="C388">
        <v>129951</v>
      </c>
      <c r="D388" s="275" t="s">
        <v>15305</v>
      </c>
      <c r="E388" s="301">
        <v>1399.3</v>
      </c>
      <c r="F388" s="303">
        <v>43012</v>
      </c>
      <c r="G388" s="301">
        <v>1399.3</v>
      </c>
      <c r="H388" s="301">
        <f>Tabla15[[#This Row],[Importe]]-Tabla15[[#This Row],[Pagado]]</f>
        <v>0</v>
      </c>
      <c r="I388" s="275" t="s">
        <v>15214</v>
      </c>
    </row>
    <row r="389" spans="1:9" x14ac:dyDescent="0.25">
      <c r="A389" s="420">
        <v>43012</v>
      </c>
      <c r="B389" s="302" t="s">
        <v>32026</v>
      </c>
      <c r="C389">
        <v>129952</v>
      </c>
      <c r="D389" s="275" t="s">
        <v>15248</v>
      </c>
      <c r="E389" s="301">
        <v>1600.3</v>
      </c>
      <c r="F389" s="303">
        <v>43012</v>
      </c>
      <c r="G389" s="301">
        <v>1600.3</v>
      </c>
      <c r="H389" s="301">
        <f>Tabla15[[#This Row],[Importe]]-Tabla15[[#This Row],[Pagado]]</f>
        <v>0</v>
      </c>
      <c r="I389" s="275" t="s">
        <v>15214</v>
      </c>
    </row>
    <row r="390" spans="1:9" x14ac:dyDescent="0.25">
      <c r="A390" s="420">
        <v>43012</v>
      </c>
      <c r="B390" s="302" t="s">
        <v>32027</v>
      </c>
      <c r="C390">
        <v>129953</v>
      </c>
      <c r="D390" s="275" t="s">
        <v>15526</v>
      </c>
      <c r="E390" s="301">
        <v>6730.4</v>
      </c>
      <c r="F390" s="303">
        <v>43012</v>
      </c>
      <c r="G390" s="301">
        <v>6730.4</v>
      </c>
      <c r="H390" s="301">
        <f>Tabla15[[#This Row],[Importe]]-Tabla15[[#This Row],[Pagado]]</f>
        <v>0</v>
      </c>
      <c r="I390" s="275" t="s">
        <v>15214</v>
      </c>
    </row>
    <row r="391" spans="1:9" x14ac:dyDescent="0.25">
      <c r="A391" s="420">
        <v>43012</v>
      </c>
      <c r="B391" s="302" t="s">
        <v>32028</v>
      </c>
      <c r="C391">
        <v>129954</v>
      </c>
      <c r="D391" s="275" t="s">
        <v>15340</v>
      </c>
      <c r="E391" s="301">
        <v>8494.7999999999993</v>
      </c>
      <c r="F391" s="303">
        <v>43012</v>
      </c>
      <c r="G391" s="301">
        <v>8494.7999999999993</v>
      </c>
      <c r="H391" s="301">
        <f>Tabla15[[#This Row],[Importe]]-Tabla15[[#This Row],[Pagado]]</f>
        <v>0</v>
      </c>
      <c r="I391" s="275" t="s">
        <v>15214</v>
      </c>
    </row>
    <row r="392" spans="1:9" x14ac:dyDescent="0.25">
      <c r="A392" s="420">
        <v>43012</v>
      </c>
      <c r="B392" s="302" t="s">
        <v>32029</v>
      </c>
      <c r="C392">
        <v>129955</v>
      </c>
      <c r="D392" s="275" t="s">
        <v>15276</v>
      </c>
      <c r="E392" s="301">
        <v>2200</v>
      </c>
      <c r="F392" s="303">
        <v>43012</v>
      </c>
      <c r="G392" s="301">
        <v>2200</v>
      </c>
      <c r="H392" s="301">
        <f>Tabla15[[#This Row],[Importe]]-Tabla15[[#This Row],[Pagado]]</f>
        <v>0</v>
      </c>
      <c r="I392" s="275" t="s">
        <v>15214</v>
      </c>
    </row>
    <row r="393" spans="1:9" x14ac:dyDescent="0.25">
      <c r="A393" s="420">
        <v>43012</v>
      </c>
      <c r="B393" s="302" t="s">
        <v>32030</v>
      </c>
      <c r="C393">
        <v>129956</v>
      </c>
      <c r="D393" s="275" t="s">
        <v>15748</v>
      </c>
      <c r="E393" s="301">
        <v>4002.64</v>
      </c>
      <c r="F393" s="303">
        <v>43012</v>
      </c>
      <c r="G393" s="301">
        <v>4002.64</v>
      </c>
      <c r="H393" s="301">
        <f>Tabla15[[#This Row],[Importe]]-Tabla15[[#This Row],[Pagado]]</f>
        <v>0</v>
      </c>
      <c r="I393" s="275" t="s">
        <v>15214</v>
      </c>
    </row>
    <row r="394" spans="1:9" x14ac:dyDescent="0.25">
      <c r="A394" s="420">
        <v>43012</v>
      </c>
      <c r="B394" s="302" t="s">
        <v>32031</v>
      </c>
      <c r="C394">
        <v>129957</v>
      </c>
      <c r="D394" s="275" t="s">
        <v>15417</v>
      </c>
      <c r="E394" s="301">
        <v>1680</v>
      </c>
      <c r="F394" s="303">
        <v>43012</v>
      </c>
      <c r="G394" s="301">
        <v>1680</v>
      </c>
      <c r="H394" s="301">
        <f>Tabla15[[#This Row],[Importe]]-Tabla15[[#This Row],[Pagado]]</f>
        <v>0</v>
      </c>
      <c r="I394" s="275" t="s">
        <v>15214</v>
      </c>
    </row>
    <row r="395" spans="1:9" x14ac:dyDescent="0.25">
      <c r="A395" s="420">
        <v>43012</v>
      </c>
      <c r="B395" s="302" t="s">
        <v>32032</v>
      </c>
      <c r="C395">
        <v>129958</v>
      </c>
      <c r="D395" s="275" t="s">
        <v>15280</v>
      </c>
      <c r="E395" s="301">
        <v>6368.3</v>
      </c>
      <c r="F395" s="303">
        <v>43012</v>
      </c>
      <c r="G395" s="301">
        <v>6368.3</v>
      </c>
      <c r="H395" s="301">
        <f>Tabla15[[#This Row],[Importe]]-Tabla15[[#This Row],[Pagado]]</f>
        <v>0</v>
      </c>
      <c r="I395" s="275" t="s">
        <v>15214</v>
      </c>
    </row>
    <row r="396" spans="1:9" x14ac:dyDescent="0.25">
      <c r="A396" s="420">
        <v>43012</v>
      </c>
      <c r="B396" s="302" t="s">
        <v>32033</v>
      </c>
      <c r="C396">
        <v>129959</v>
      </c>
      <c r="D396" s="275" t="s">
        <v>16383</v>
      </c>
      <c r="E396" s="301">
        <v>9999.99</v>
      </c>
      <c r="F396" s="303">
        <v>43012</v>
      </c>
      <c r="G396" s="301">
        <v>9999.99</v>
      </c>
      <c r="H396" s="301">
        <f>Tabla15[[#This Row],[Importe]]-Tabla15[[#This Row],[Pagado]]</f>
        <v>0</v>
      </c>
      <c r="I396" s="275" t="s">
        <v>15214</v>
      </c>
    </row>
    <row r="397" spans="1:9" x14ac:dyDescent="0.25">
      <c r="A397" s="420">
        <v>43012</v>
      </c>
      <c r="B397" s="302" t="s">
        <v>32034</v>
      </c>
      <c r="C397">
        <v>129960</v>
      </c>
      <c r="D397" s="275" t="s">
        <v>15278</v>
      </c>
      <c r="E397" s="301">
        <v>6712.9</v>
      </c>
      <c r="F397" s="303">
        <v>43012</v>
      </c>
      <c r="G397" s="301">
        <v>6712.9</v>
      </c>
      <c r="H397" s="301">
        <f>Tabla15[[#This Row],[Importe]]-Tabla15[[#This Row],[Pagado]]</f>
        <v>0</v>
      </c>
      <c r="I397" s="275" t="s">
        <v>15214</v>
      </c>
    </row>
    <row r="398" spans="1:9" x14ac:dyDescent="0.25">
      <c r="A398" s="420">
        <v>43012</v>
      </c>
      <c r="B398" s="302" t="s">
        <v>32035</v>
      </c>
      <c r="C398">
        <v>129961</v>
      </c>
      <c r="D398" s="275" t="s">
        <v>15587</v>
      </c>
      <c r="E398" s="301">
        <v>418.9</v>
      </c>
      <c r="F398" s="303">
        <v>43012</v>
      </c>
      <c r="G398" s="301">
        <v>418.9</v>
      </c>
      <c r="H398" s="301">
        <f>Tabla15[[#This Row],[Importe]]-Tabla15[[#This Row],[Pagado]]</f>
        <v>0</v>
      </c>
      <c r="I398" s="275" t="s">
        <v>15214</v>
      </c>
    </row>
    <row r="399" spans="1:9" x14ac:dyDescent="0.25">
      <c r="A399" s="420">
        <v>43012</v>
      </c>
      <c r="B399" s="302" t="s">
        <v>32036</v>
      </c>
      <c r="C399">
        <v>129962</v>
      </c>
      <c r="D399" s="275" t="s">
        <v>15246</v>
      </c>
      <c r="E399" s="301">
        <v>51527</v>
      </c>
      <c r="F399" s="303">
        <v>43014</v>
      </c>
      <c r="G399" s="301">
        <v>51527</v>
      </c>
      <c r="H399" s="301">
        <f>Tabla15[[#This Row],[Importe]]-Tabla15[[#This Row],[Pagado]]</f>
        <v>0</v>
      </c>
      <c r="I399" s="275" t="s">
        <v>15214</v>
      </c>
    </row>
    <row r="400" spans="1:9" x14ac:dyDescent="0.25">
      <c r="A400" s="420">
        <v>43012</v>
      </c>
      <c r="B400" s="302" t="s">
        <v>32037</v>
      </c>
      <c r="C400">
        <v>129963</v>
      </c>
      <c r="D400" s="275" t="s">
        <v>15322</v>
      </c>
      <c r="E400" s="301">
        <v>875.1</v>
      </c>
      <c r="F400" s="303">
        <v>43012</v>
      </c>
      <c r="G400" s="301">
        <v>875.1</v>
      </c>
      <c r="H400" s="301">
        <f>Tabla15[[#This Row],[Importe]]-Tabla15[[#This Row],[Pagado]]</f>
        <v>0</v>
      </c>
      <c r="I400" s="275" t="s">
        <v>15214</v>
      </c>
    </row>
    <row r="401" spans="1:9" x14ac:dyDescent="0.25">
      <c r="A401" s="420">
        <v>43012</v>
      </c>
      <c r="B401" s="302" t="s">
        <v>32038</v>
      </c>
      <c r="C401">
        <v>129964</v>
      </c>
      <c r="D401" s="275" t="s">
        <v>30255</v>
      </c>
      <c r="E401" s="301">
        <v>5451.74</v>
      </c>
      <c r="F401" s="303">
        <v>43012</v>
      </c>
      <c r="G401" s="301">
        <v>5451.74</v>
      </c>
      <c r="H401" s="301">
        <f>Tabla15[[#This Row],[Importe]]-Tabla15[[#This Row],[Pagado]]</f>
        <v>0</v>
      </c>
      <c r="I401" s="275" t="s">
        <v>15214</v>
      </c>
    </row>
    <row r="402" spans="1:9" x14ac:dyDescent="0.25">
      <c r="A402" s="420">
        <v>43012</v>
      </c>
      <c r="B402" s="302" t="s">
        <v>32039</v>
      </c>
      <c r="C402">
        <v>129965</v>
      </c>
      <c r="D402" s="275" t="s">
        <v>15759</v>
      </c>
      <c r="E402" s="301">
        <v>1761.06</v>
      </c>
      <c r="F402" s="303">
        <v>43012</v>
      </c>
      <c r="G402" s="301">
        <v>1761.06</v>
      </c>
      <c r="H402" s="301">
        <f>Tabla15[[#This Row],[Importe]]-Tabla15[[#This Row],[Pagado]]</f>
        <v>0</v>
      </c>
      <c r="I402" s="275" t="s">
        <v>15214</v>
      </c>
    </row>
    <row r="403" spans="1:9" x14ac:dyDescent="0.25">
      <c r="A403" s="420">
        <v>43012</v>
      </c>
      <c r="B403" s="302" t="s">
        <v>32040</v>
      </c>
      <c r="C403">
        <v>129966</v>
      </c>
      <c r="D403" s="275" t="s">
        <v>15745</v>
      </c>
      <c r="E403" s="301">
        <v>1748.56</v>
      </c>
      <c r="F403" s="303">
        <v>43012</v>
      </c>
      <c r="G403" s="301">
        <v>1748.56</v>
      </c>
      <c r="H403" s="301">
        <f>Tabla15[[#This Row],[Importe]]-Tabla15[[#This Row],[Pagado]]</f>
        <v>0</v>
      </c>
      <c r="I403" s="275" t="s">
        <v>15214</v>
      </c>
    </row>
    <row r="404" spans="1:9" x14ac:dyDescent="0.25">
      <c r="A404" s="420">
        <v>43012</v>
      </c>
      <c r="B404" s="302" t="s">
        <v>32041</v>
      </c>
      <c r="C404">
        <v>129967</v>
      </c>
      <c r="D404" s="275" t="s">
        <v>15313</v>
      </c>
      <c r="E404" s="301">
        <v>5004.8</v>
      </c>
      <c r="F404" s="303">
        <v>43013</v>
      </c>
      <c r="G404" s="301">
        <v>5004.8</v>
      </c>
      <c r="H404" s="301">
        <f>Tabla15[[#This Row],[Importe]]-Tabla15[[#This Row],[Pagado]]</f>
        <v>0</v>
      </c>
      <c r="I404" s="275" t="s">
        <v>15214</v>
      </c>
    </row>
    <row r="405" spans="1:9" x14ac:dyDescent="0.25">
      <c r="A405" s="420">
        <v>43012</v>
      </c>
      <c r="B405" s="302" t="s">
        <v>32042</v>
      </c>
      <c r="C405">
        <v>129968</v>
      </c>
      <c r="D405" s="275" t="s">
        <v>19776</v>
      </c>
      <c r="E405" s="301">
        <v>9771.7999999999993</v>
      </c>
      <c r="F405" s="303">
        <v>43012</v>
      </c>
      <c r="G405" s="301">
        <v>9771.7999999999993</v>
      </c>
      <c r="H405" s="301">
        <f>Tabla15[[#This Row],[Importe]]-Tabla15[[#This Row],[Pagado]]</f>
        <v>0</v>
      </c>
      <c r="I405" s="275" t="s">
        <v>15214</v>
      </c>
    </row>
    <row r="406" spans="1:9" x14ac:dyDescent="0.25">
      <c r="A406" s="420">
        <v>43012</v>
      </c>
      <c r="B406" s="302" t="s">
        <v>32043</v>
      </c>
      <c r="C406">
        <v>129969</v>
      </c>
      <c r="D406" s="275" t="s">
        <v>15315</v>
      </c>
      <c r="E406" s="301">
        <v>866.8</v>
      </c>
      <c r="F406" s="303">
        <v>43012</v>
      </c>
      <c r="G406" s="301">
        <v>866.8</v>
      </c>
      <c r="H406" s="301">
        <f>Tabla15[[#This Row],[Importe]]-Tabla15[[#This Row],[Pagado]]</f>
        <v>0</v>
      </c>
      <c r="I406" s="275" t="s">
        <v>15214</v>
      </c>
    </row>
    <row r="407" spans="1:9" x14ac:dyDescent="0.25">
      <c r="A407" s="420">
        <v>43012</v>
      </c>
      <c r="B407" s="302" t="s">
        <v>32044</v>
      </c>
      <c r="C407">
        <v>129970</v>
      </c>
      <c r="D407" s="275" t="s">
        <v>17708</v>
      </c>
      <c r="E407" s="301">
        <v>3146.2</v>
      </c>
      <c r="F407" s="303">
        <v>43012</v>
      </c>
      <c r="G407" s="301">
        <v>3146.2</v>
      </c>
      <c r="H407" s="301">
        <f>Tabla15[[#This Row],[Importe]]-Tabla15[[#This Row],[Pagado]]</f>
        <v>0</v>
      </c>
      <c r="I407" s="275" t="s">
        <v>15214</v>
      </c>
    </row>
    <row r="408" spans="1:9" x14ac:dyDescent="0.25">
      <c r="A408" s="420">
        <v>43012</v>
      </c>
      <c r="B408" s="302" t="s">
        <v>32045</v>
      </c>
      <c r="C408">
        <v>129971</v>
      </c>
      <c r="D408" s="275" t="s">
        <v>15387</v>
      </c>
      <c r="E408" s="301">
        <v>1295.4000000000001</v>
      </c>
      <c r="F408" s="303">
        <v>43012</v>
      </c>
      <c r="G408" s="301">
        <v>1295.4000000000001</v>
      </c>
      <c r="H408" s="301">
        <f>Tabla15[[#This Row],[Importe]]-Tabla15[[#This Row],[Pagado]]</f>
        <v>0</v>
      </c>
      <c r="I408" s="275" t="s">
        <v>15214</v>
      </c>
    </row>
    <row r="409" spans="1:9" x14ac:dyDescent="0.25">
      <c r="A409" s="420">
        <v>43012</v>
      </c>
      <c r="B409" s="302" t="s">
        <v>32046</v>
      </c>
      <c r="C409">
        <v>129972</v>
      </c>
      <c r="D409" s="275" t="s">
        <v>15614</v>
      </c>
      <c r="E409" s="301">
        <v>5332</v>
      </c>
      <c r="F409" s="303">
        <v>43018</v>
      </c>
      <c r="G409" s="301">
        <v>5332</v>
      </c>
      <c r="H409" s="301">
        <f>Tabla15[[#This Row],[Importe]]-Tabla15[[#This Row],[Pagado]]</f>
        <v>0</v>
      </c>
      <c r="I409" s="275" t="s">
        <v>15214</v>
      </c>
    </row>
    <row r="410" spans="1:9" x14ac:dyDescent="0.25">
      <c r="A410" s="420">
        <v>43012</v>
      </c>
      <c r="B410" s="302" t="s">
        <v>32047</v>
      </c>
      <c r="C410">
        <v>129973</v>
      </c>
      <c r="D410" s="275" t="s">
        <v>15376</v>
      </c>
      <c r="E410" s="301">
        <v>1055.5999999999999</v>
      </c>
      <c r="F410" s="303">
        <v>43012</v>
      </c>
      <c r="G410" s="301">
        <v>1055.5999999999999</v>
      </c>
      <c r="H410" s="301">
        <f>Tabla15[[#This Row],[Importe]]-Tabla15[[#This Row],[Pagado]]</f>
        <v>0</v>
      </c>
      <c r="I410" s="275" t="s">
        <v>15214</v>
      </c>
    </row>
    <row r="411" spans="1:9" x14ac:dyDescent="0.25">
      <c r="A411" s="420">
        <v>43012</v>
      </c>
      <c r="B411" s="302" t="s">
        <v>32048</v>
      </c>
      <c r="C411">
        <v>129974</v>
      </c>
      <c r="D411" s="275" t="s">
        <v>15987</v>
      </c>
      <c r="E411" s="301">
        <v>2905.6</v>
      </c>
      <c r="F411" s="303">
        <v>43012</v>
      </c>
      <c r="G411" s="301">
        <v>2905.6</v>
      </c>
      <c r="H411" s="301">
        <f>Tabla15[[#This Row],[Importe]]-Tabla15[[#This Row],[Pagado]]</f>
        <v>0</v>
      </c>
      <c r="I411" s="275" t="s">
        <v>15214</v>
      </c>
    </row>
    <row r="412" spans="1:9" x14ac:dyDescent="0.25">
      <c r="A412" s="420">
        <v>43012</v>
      </c>
      <c r="B412" s="302" t="s">
        <v>32049</v>
      </c>
      <c r="C412">
        <v>129975</v>
      </c>
      <c r="D412" s="275" t="s">
        <v>15315</v>
      </c>
      <c r="E412" s="301">
        <v>957</v>
      </c>
      <c r="F412" s="303">
        <v>43012</v>
      </c>
      <c r="G412" s="301">
        <v>957</v>
      </c>
      <c r="H412" s="301">
        <f>Tabla15[[#This Row],[Importe]]-Tabla15[[#This Row],[Pagado]]</f>
        <v>0</v>
      </c>
      <c r="I412" s="275" t="s">
        <v>15214</v>
      </c>
    </row>
    <row r="413" spans="1:9" ht="15.75" x14ac:dyDescent="0.25">
      <c r="A413" s="420">
        <v>43012</v>
      </c>
      <c r="B413" s="302" t="s">
        <v>32050</v>
      </c>
      <c r="C413">
        <v>129976</v>
      </c>
      <c r="D413" s="248" t="s">
        <v>95</v>
      </c>
      <c r="E413" s="301">
        <v>0</v>
      </c>
      <c r="F413" s="243" t="s">
        <v>95</v>
      </c>
      <c r="G413" s="301">
        <v>0</v>
      </c>
      <c r="H413" s="301">
        <f>Tabla15[[#This Row],[Importe]]-Tabla15[[#This Row],[Pagado]]</f>
        <v>0</v>
      </c>
      <c r="I413" s="275" t="s">
        <v>95</v>
      </c>
    </row>
    <row r="414" spans="1:9" ht="15.75" x14ac:dyDescent="0.25">
      <c r="A414" s="420">
        <v>43012</v>
      </c>
      <c r="B414" s="302" t="s">
        <v>32051</v>
      </c>
      <c r="C414">
        <v>129977</v>
      </c>
      <c r="D414" s="248" t="s">
        <v>95</v>
      </c>
      <c r="E414" s="301">
        <v>0</v>
      </c>
      <c r="F414" s="243" t="s">
        <v>95</v>
      </c>
      <c r="G414" s="301">
        <v>0</v>
      </c>
      <c r="H414" s="301">
        <f>Tabla15[[#This Row],[Importe]]-Tabla15[[#This Row],[Pagado]]</f>
        <v>0</v>
      </c>
      <c r="I414" s="275" t="s">
        <v>95</v>
      </c>
    </row>
    <row r="415" spans="1:9" x14ac:dyDescent="0.25">
      <c r="A415" s="420">
        <v>43012</v>
      </c>
      <c r="B415" s="302" t="s">
        <v>32052</v>
      </c>
      <c r="C415">
        <v>129978</v>
      </c>
      <c r="D415" s="275" t="s">
        <v>15592</v>
      </c>
      <c r="E415" s="301">
        <v>9433.2000000000007</v>
      </c>
      <c r="F415" s="303">
        <v>43012</v>
      </c>
      <c r="G415" s="301">
        <v>9433.2000000000007</v>
      </c>
      <c r="H415" s="301">
        <f>Tabla15[[#This Row],[Importe]]-Tabla15[[#This Row],[Pagado]]</f>
        <v>0</v>
      </c>
      <c r="I415" s="275" t="s">
        <v>15214</v>
      </c>
    </row>
    <row r="416" spans="1:9" x14ac:dyDescent="0.25">
      <c r="A416" s="420">
        <v>43012</v>
      </c>
      <c r="B416" s="302" t="s">
        <v>32053</v>
      </c>
      <c r="C416">
        <v>129979</v>
      </c>
      <c r="D416" s="275" t="s">
        <v>15541</v>
      </c>
      <c r="E416" s="301">
        <v>840</v>
      </c>
      <c r="F416" s="303">
        <v>43012</v>
      </c>
      <c r="G416" s="301">
        <v>840</v>
      </c>
      <c r="H416" s="301">
        <f>Tabla15[[#This Row],[Importe]]-Tabla15[[#This Row],[Pagado]]</f>
        <v>0</v>
      </c>
      <c r="I416" s="275" t="s">
        <v>15214</v>
      </c>
    </row>
    <row r="417" spans="1:9" x14ac:dyDescent="0.25">
      <c r="A417" s="420">
        <v>43012</v>
      </c>
      <c r="B417" s="302" t="s">
        <v>32054</v>
      </c>
      <c r="C417">
        <v>129980</v>
      </c>
      <c r="D417" s="275" t="s">
        <v>16383</v>
      </c>
      <c r="E417" s="301">
        <v>190.4</v>
      </c>
      <c r="F417" s="303">
        <v>43012</v>
      </c>
      <c r="G417" s="301">
        <v>190.4</v>
      </c>
      <c r="H417" s="301">
        <f>Tabla15[[#This Row],[Importe]]-Tabla15[[#This Row],[Pagado]]</f>
        <v>0</v>
      </c>
      <c r="I417" s="275" t="s">
        <v>15214</v>
      </c>
    </row>
    <row r="418" spans="1:9" x14ac:dyDescent="0.25">
      <c r="A418" s="420">
        <v>43012</v>
      </c>
      <c r="B418" s="302" t="s">
        <v>32055</v>
      </c>
      <c r="C418">
        <v>129981</v>
      </c>
      <c r="D418" s="275" t="s">
        <v>15549</v>
      </c>
      <c r="E418" s="301">
        <v>9308.2999999999993</v>
      </c>
      <c r="F418" s="303">
        <v>43013</v>
      </c>
      <c r="G418" s="301">
        <v>9308.2999999999993</v>
      </c>
      <c r="H418" s="301">
        <f>Tabla15[[#This Row],[Importe]]-Tabla15[[#This Row],[Pagado]]</f>
        <v>0</v>
      </c>
      <c r="I418" s="275" t="s">
        <v>15214</v>
      </c>
    </row>
    <row r="419" spans="1:9" x14ac:dyDescent="0.25">
      <c r="A419" s="420">
        <v>43012</v>
      </c>
      <c r="B419" s="302" t="s">
        <v>32056</v>
      </c>
      <c r="C419">
        <v>129982</v>
      </c>
      <c r="D419" s="275" t="s">
        <v>23937</v>
      </c>
      <c r="E419" s="301">
        <v>4847.6000000000004</v>
      </c>
      <c r="F419" s="303">
        <v>43013</v>
      </c>
      <c r="G419" s="301">
        <v>4847.6000000000004</v>
      </c>
      <c r="H419" s="301">
        <f>Tabla15[[#This Row],[Importe]]-Tabla15[[#This Row],[Pagado]]</f>
        <v>0</v>
      </c>
      <c r="I419" s="275" t="s">
        <v>15214</v>
      </c>
    </row>
    <row r="420" spans="1:9" x14ac:dyDescent="0.25">
      <c r="A420" s="420">
        <v>43012</v>
      </c>
      <c r="B420" s="302" t="s">
        <v>32057</v>
      </c>
      <c r="C420">
        <v>129983</v>
      </c>
      <c r="D420" s="275" t="s">
        <v>15252</v>
      </c>
      <c r="E420" s="301">
        <v>3738.5</v>
      </c>
      <c r="F420" s="303">
        <v>43017</v>
      </c>
      <c r="G420" s="301">
        <v>3738.5</v>
      </c>
      <c r="H420" s="301">
        <f>Tabla15[[#This Row],[Importe]]-Tabla15[[#This Row],[Pagado]]</f>
        <v>0</v>
      </c>
      <c r="I420" s="275" t="s">
        <v>15214</v>
      </c>
    </row>
    <row r="421" spans="1:9" x14ac:dyDescent="0.25">
      <c r="A421" s="420">
        <v>43012</v>
      </c>
      <c r="B421" s="302" t="s">
        <v>32058</v>
      </c>
      <c r="C421">
        <v>129984</v>
      </c>
      <c r="D421" s="275" t="s">
        <v>17862</v>
      </c>
      <c r="E421" s="301">
        <v>2433.4</v>
      </c>
      <c r="F421" s="303">
        <v>43012</v>
      </c>
      <c r="G421" s="301">
        <v>2433.4</v>
      </c>
      <c r="H421" s="301">
        <f>Tabla15[[#This Row],[Importe]]-Tabla15[[#This Row],[Pagado]]</f>
        <v>0</v>
      </c>
      <c r="I421" s="275" t="s">
        <v>15214</v>
      </c>
    </row>
    <row r="422" spans="1:9" x14ac:dyDescent="0.25">
      <c r="A422" s="420">
        <v>43012</v>
      </c>
      <c r="B422" s="302" t="s">
        <v>32059</v>
      </c>
      <c r="C422">
        <v>129985</v>
      </c>
      <c r="D422" s="275" t="s">
        <v>15246</v>
      </c>
      <c r="E422" s="301">
        <v>1834.9</v>
      </c>
      <c r="F422" s="303">
        <v>43014</v>
      </c>
      <c r="G422" s="301">
        <v>1834.9</v>
      </c>
      <c r="H422" s="301">
        <f>Tabla15[[#This Row],[Importe]]-Tabla15[[#This Row],[Pagado]]</f>
        <v>0</v>
      </c>
      <c r="I422" s="275" t="s">
        <v>15214</v>
      </c>
    </row>
    <row r="423" spans="1:9" x14ac:dyDescent="0.25">
      <c r="A423" s="420">
        <v>43012</v>
      </c>
      <c r="B423" s="302" t="s">
        <v>32060</v>
      </c>
      <c r="C423">
        <v>129986</v>
      </c>
      <c r="D423" s="275" t="s">
        <v>15282</v>
      </c>
      <c r="E423" s="301">
        <v>2736.8</v>
      </c>
      <c r="F423" s="303">
        <v>43012</v>
      </c>
      <c r="G423" s="301">
        <v>2736.8</v>
      </c>
      <c r="H423" s="301">
        <f>Tabla15[[#This Row],[Importe]]-Tabla15[[#This Row],[Pagado]]</f>
        <v>0</v>
      </c>
      <c r="I423" s="275" t="s">
        <v>15214</v>
      </c>
    </row>
    <row r="424" spans="1:9" x14ac:dyDescent="0.25">
      <c r="A424" s="420">
        <v>43012</v>
      </c>
      <c r="B424" s="302" t="s">
        <v>32061</v>
      </c>
      <c r="C424">
        <v>129987</v>
      </c>
      <c r="D424" s="275" t="s">
        <v>15361</v>
      </c>
      <c r="E424" s="301">
        <v>11859.9</v>
      </c>
      <c r="F424" s="303">
        <v>43012</v>
      </c>
      <c r="G424" s="301">
        <v>11859.9</v>
      </c>
      <c r="H424" s="301">
        <f>Tabla15[[#This Row],[Importe]]-Tabla15[[#This Row],[Pagado]]</f>
        <v>0</v>
      </c>
      <c r="I424" s="275" t="s">
        <v>15214</v>
      </c>
    </row>
    <row r="425" spans="1:9" x14ac:dyDescent="0.25">
      <c r="A425" s="420">
        <v>43012</v>
      </c>
      <c r="B425" s="302" t="s">
        <v>32062</v>
      </c>
      <c r="C425">
        <v>129988</v>
      </c>
      <c r="D425" s="275" t="s">
        <v>15856</v>
      </c>
      <c r="E425" s="301">
        <v>2462</v>
      </c>
      <c r="F425" s="303">
        <v>43012</v>
      </c>
      <c r="G425" s="301">
        <v>2462</v>
      </c>
      <c r="H425" s="301">
        <f>Tabla15[[#This Row],[Importe]]-Tabla15[[#This Row],[Pagado]]</f>
        <v>0</v>
      </c>
      <c r="I425" s="275" t="s">
        <v>15214</v>
      </c>
    </row>
    <row r="426" spans="1:9" x14ac:dyDescent="0.25">
      <c r="A426" s="420">
        <v>43012</v>
      </c>
      <c r="B426" s="302" t="s">
        <v>32063</v>
      </c>
      <c r="C426">
        <v>129989</v>
      </c>
      <c r="D426" s="275" t="s">
        <v>15725</v>
      </c>
      <c r="E426" s="301">
        <v>19990.2</v>
      </c>
      <c r="F426" s="303">
        <v>43014</v>
      </c>
      <c r="G426" s="301">
        <v>19990.2</v>
      </c>
      <c r="H426" s="301">
        <f>Tabla15[[#This Row],[Importe]]-Tabla15[[#This Row],[Pagado]]</f>
        <v>0</v>
      </c>
      <c r="I426" s="275" t="s">
        <v>15214</v>
      </c>
    </row>
    <row r="427" spans="1:9" x14ac:dyDescent="0.25">
      <c r="A427" s="420">
        <v>43012</v>
      </c>
      <c r="B427" s="302" t="s">
        <v>32064</v>
      </c>
      <c r="C427">
        <v>129990</v>
      </c>
      <c r="D427" s="275" t="s">
        <v>15725</v>
      </c>
      <c r="E427" s="301">
        <v>680</v>
      </c>
      <c r="F427" s="303">
        <v>43012</v>
      </c>
      <c r="G427" s="301">
        <v>680</v>
      </c>
      <c r="H427" s="301">
        <f>Tabla15[[#This Row],[Importe]]-Tabla15[[#This Row],[Pagado]]</f>
        <v>0</v>
      </c>
      <c r="I427" s="275" t="s">
        <v>15214</v>
      </c>
    </row>
    <row r="428" spans="1:9" x14ac:dyDescent="0.25">
      <c r="A428" s="420">
        <v>43012</v>
      </c>
      <c r="B428" s="302" t="s">
        <v>32065</v>
      </c>
      <c r="C428">
        <v>129991</v>
      </c>
      <c r="D428" s="275" t="s">
        <v>15566</v>
      </c>
      <c r="E428" s="301">
        <v>2982.2</v>
      </c>
      <c r="F428" s="303">
        <v>43012</v>
      </c>
      <c r="G428" s="301">
        <v>2982.2</v>
      </c>
      <c r="H428" s="301">
        <f>Tabla15[[#This Row],[Importe]]-Tabla15[[#This Row],[Pagado]]</f>
        <v>0</v>
      </c>
      <c r="I428" s="275" t="s">
        <v>15214</v>
      </c>
    </row>
    <row r="429" spans="1:9" x14ac:dyDescent="0.25">
      <c r="A429" s="420">
        <v>43012</v>
      </c>
      <c r="B429" s="302" t="s">
        <v>32066</v>
      </c>
      <c r="C429">
        <v>129992</v>
      </c>
      <c r="D429" s="275" t="s">
        <v>15581</v>
      </c>
      <c r="E429" s="301">
        <v>13108</v>
      </c>
      <c r="F429" s="303">
        <v>43019</v>
      </c>
      <c r="G429" s="301">
        <v>13108</v>
      </c>
      <c r="H429" s="301">
        <f>Tabla15[[#This Row],[Importe]]-Tabla15[[#This Row],[Pagado]]</f>
        <v>0</v>
      </c>
      <c r="I429" s="275" t="s">
        <v>15214</v>
      </c>
    </row>
    <row r="430" spans="1:9" x14ac:dyDescent="0.25">
      <c r="A430" s="420">
        <v>43012</v>
      </c>
      <c r="B430" s="302" t="s">
        <v>32067</v>
      </c>
      <c r="C430">
        <v>129993</v>
      </c>
      <c r="D430" s="275" t="s">
        <v>15699</v>
      </c>
      <c r="E430" s="301">
        <v>2163.84</v>
      </c>
      <c r="F430" s="303">
        <v>43012</v>
      </c>
      <c r="G430" s="301">
        <v>2163.84</v>
      </c>
      <c r="H430" s="301">
        <f>Tabla15[[#This Row],[Importe]]-Tabla15[[#This Row],[Pagado]]</f>
        <v>0</v>
      </c>
      <c r="I430" s="275" t="s">
        <v>15214</v>
      </c>
    </row>
    <row r="431" spans="1:9" x14ac:dyDescent="0.25">
      <c r="A431" s="420">
        <v>43012</v>
      </c>
      <c r="B431" s="302" t="s">
        <v>32068</v>
      </c>
      <c r="C431">
        <v>129994</v>
      </c>
      <c r="D431" s="275" t="s">
        <v>15557</v>
      </c>
      <c r="E431" s="301">
        <v>2997</v>
      </c>
      <c r="F431" s="303">
        <v>43013</v>
      </c>
      <c r="G431" s="301">
        <v>2997</v>
      </c>
      <c r="H431" s="301">
        <f>Tabla15[[#This Row],[Importe]]-Tabla15[[#This Row],[Pagado]]</f>
        <v>0</v>
      </c>
      <c r="I431" s="275" t="s">
        <v>15214</v>
      </c>
    </row>
    <row r="432" spans="1:9" ht="15.75" x14ac:dyDescent="0.25">
      <c r="A432" s="420">
        <v>43012</v>
      </c>
      <c r="B432" s="302" t="s">
        <v>32069</v>
      </c>
      <c r="C432">
        <v>129995</v>
      </c>
      <c r="D432" s="248" t="s">
        <v>95</v>
      </c>
      <c r="E432" s="301">
        <v>0</v>
      </c>
      <c r="F432" s="243" t="s">
        <v>95</v>
      </c>
      <c r="G432" s="301">
        <v>0</v>
      </c>
      <c r="H432" s="301">
        <f>Tabla15[[#This Row],[Importe]]-Tabla15[[#This Row],[Pagado]]</f>
        <v>0</v>
      </c>
      <c r="I432" s="275" t="s">
        <v>95</v>
      </c>
    </row>
    <row r="433" spans="1:9" x14ac:dyDescent="0.25">
      <c r="A433" s="420">
        <v>43012</v>
      </c>
      <c r="B433" s="302" t="s">
        <v>32070</v>
      </c>
      <c r="C433">
        <v>129996</v>
      </c>
      <c r="D433" s="275" t="s">
        <v>15716</v>
      </c>
      <c r="E433" s="301">
        <v>6281.4</v>
      </c>
      <c r="F433" s="303">
        <v>43012</v>
      </c>
      <c r="G433" s="301">
        <v>6281.4</v>
      </c>
      <c r="H433" s="301">
        <f>Tabla15[[#This Row],[Importe]]-Tabla15[[#This Row],[Pagado]]</f>
        <v>0</v>
      </c>
      <c r="I433" s="275" t="s">
        <v>15214</v>
      </c>
    </row>
    <row r="434" spans="1:9" ht="15.75" x14ac:dyDescent="0.25">
      <c r="A434" s="420">
        <v>43012</v>
      </c>
      <c r="B434" s="302" t="s">
        <v>32071</v>
      </c>
      <c r="C434">
        <v>129997</v>
      </c>
      <c r="D434" s="248" t="s">
        <v>95</v>
      </c>
      <c r="E434" s="301">
        <v>0</v>
      </c>
      <c r="F434" s="243" t="s">
        <v>95</v>
      </c>
      <c r="G434" s="301">
        <v>0</v>
      </c>
      <c r="H434" s="301">
        <f>Tabla15[[#This Row],[Importe]]-Tabla15[[#This Row],[Pagado]]</f>
        <v>0</v>
      </c>
      <c r="I434" s="275" t="s">
        <v>95</v>
      </c>
    </row>
    <row r="435" spans="1:9" x14ac:dyDescent="0.25">
      <c r="A435" s="420">
        <v>43012</v>
      </c>
      <c r="B435" s="302" t="s">
        <v>32072</v>
      </c>
      <c r="C435">
        <v>129998</v>
      </c>
      <c r="D435" s="275" t="s">
        <v>15284</v>
      </c>
      <c r="E435" s="301">
        <v>1422.9</v>
      </c>
      <c r="F435" s="303">
        <v>43012</v>
      </c>
      <c r="G435" s="301">
        <v>1422.9</v>
      </c>
      <c r="H435" s="301">
        <f>Tabla15[[#This Row],[Importe]]-Tabla15[[#This Row],[Pagado]]</f>
        <v>0</v>
      </c>
      <c r="I435" s="275" t="s">
        <v>15214</v>
      </c>
    </row>
    <row r="436" spans="1:9" x14ac:dyDescent="0.25">
      <c r="A436" s="420">
        <v>43012</v>
      </c>
      <c r="B436" s="302" t="s">
        <v>32073</v>
      </c>
      <c r="C436">
        <v>129999</v>
      </c>
      <c r="D436" s="275" t="s">
        <v>15699</v>
      </c>
      <c r="E436" s="301">
        <v>5316.3</v>
      </c>
      <c r="F436" s="303">
        <v>43013</v>
      </c>
      <c r="G436" s="301">
        <v>5316.3</v>
      </c>
      <c r="H436" s="301">
        <f>Tabla15[[#This Row],[Importe]]-Tabla15[[#This Row],[Pagado]]</f>
        <v>0</v>
      </c>
      <c r="I436" s="275" t="s">
        <v>15214</v>
      </c>
    </row>
    <row r="437" spans="1:9" x14ac:dyDescent="0.25">
      <c r="A437" s="420">
        <v>43012</v>
      </c>
      <c r="B437" s="302" t="s">
        <v>32074</v>
      </c>
      <c r="C437">
        <v>130000</v>
      </c>
      <c r="D437" s="275" t="s">
        <v>15419</v>
      </c>
      <c r="E437" s="301">
        <v>40516</v>
      </c>
      <c r="F437" s="303">
        <v>43028</v>
      </c>
      <c r="G437" s="301">
        <v>40516</v>
      </c>
      <c r="H437" s="301">
        <f>Tabla15[[#This Row],[Importe]]-Tabla15[[#This Row],[Pagado]]</f>
        <v>0</v>
      </c>
      <c r="I437" s="275" t="s">
        <v>15214</v>
      </c>
    </row>
    <row r="438" spans="1:9" x14ac:dyDescent="0.25">
      <c r="A438" s="420">
        <v>43012</v>
      </c>
      <c r="B438" s="302" t="s">
        <v>32075</v>
      </c>
      <c r="C438">
        <v>130001</v>
      </c>
      <c r="D438" s="275" t="s">
        <v>19742</v>
      </c>
      <c r="E438" s="301">
        <v>30269.02</v>
      </c>
      <c r="F438" s="303">
        <v>43013</v>
      </c>
      <c r="G438" s="301">
        <v>30269.02</v>
      </c>
      <c r="H438" s="301">
        <f>Tabla15[[#This Row],[Importe]]-Tabla15[[#This Row],[Pagado]]</f>
        <v>0</v>
      </c>
      <c r="I438" s="275" t="s">
        <v>15214</v>
      </c>
    </row>
    <row r="439" spans="1:9" x14ac:dyDescent="0.25">
      <c r="A439" s="420">
        <v>43012</v>
      </c>
      <c r="B439" s="302" t="s">
        <v>32076</v>
      </c>
      <c r="C439">
        <v>130002</v>
      </c>
      <c r="D439" s="275" t="s">
        <v>15537</v>
      </c>
      <c r="E439" s="301">
        <v>13663</v>
      </c>
      <c r="F439" s="303">
        <v>43013</v>
      </c>
      <c r="G439" s="301">
        <v>13663</v>
      </c>
      <c r="H439" s="301">
        <f>Tabla15[[#This Row],[Importe]]-Tabla15[[#This Row],[Pagado]]</f>
        <v>0</v>
      </c>
      <c r="I439" s="275" t="s">
        <v>15214</v>
      </c>
    </row>
    <row r="440" spans="1:9" x14ac:dyDescent="0.25">
      <c r="A440" s="420">
        <v>43012</v>
      </c>
      <c r="B440" s="302" t="s">
        <v>32077</v>
      </c>
      <c r="C440">
        <v>130003</v>
      </c>
      <c r="D440" s="275" t="s">
        <v>15555</v>
      </c>
      <c r="E440" s="301">
        <v>353.4</v>
      </c>
      <c r="F440" s="303">
        <v>43013</v>
      </c>
      <c r="G440" s="301">
        <v>353.4</v>
      </c>
      <c r="H440" s="301">
        <f>Tabla15[[#This Row],[Importe]]-Tabla15[[#This Row],[Pagado]]</f>
        <v>0</v>
      </c>
      <c r="I440" s="275" t="s">
        <v>15214</v>
      </c>
    </row>
    <row r="441" spans="1:9" x14ac:dyDescent="0.25">
      <c r="A441" s="420">
        <v>43012</v>
      </c>
      <c r="B441" s="302" t="s">
        <v>32078</v>
      </c>
      <c r="C441">
        <v>130004</v>
      </c>
      <c r="D441" s="275" t="s">
        <v>15699</v>
      </c>
      <c r="E441" s="301">
        <v>3253.6</v>
      </c>
      <c r="F441" s="303">
        <v>43013</v>
      </c>
      <c r="G441" s="301">
        <v>3253.6</v>
      </c>
      <c r="H441" s="301">
        <f>Tabla15[[#This Row],[Importe]]-Tabla15[[#This Row],[Pagado]]</f>
        <v>0</v>
      </c>
      <c r="I441" s="275" t="s">
        <v>15214</v>
      </c>
    </row>
    <row r="442" spans="1:9" x14ac:dyDescent="0.25">
      <c r="A442" s="420">
        <v>43012</v>
      </c>
      <c r="B442" s="302" t="s">
        <v>32079</v>
      </c>
      <c r="C442">
        <v>130005</v>
      </c>
      <c r="D442" s="275" t="s">
        <v>15246</v>
      </c>
      <c r="E442" s="301">
        <v>115873.97</v>
      </c>
      <c r="F442" s="303">
        <v>43014</v>
      </c>
      <c r="G442" s="301">
        <v>115873.97</v>
      </c>
      <c r="H442" s="301">
        <f>Tabla15[[#This Row],[Importe]]-Tabla15[[#This Row],[Pagado]]</f>
        <v>0</v>
      </c>
      <c r="I442" s="275" t="s">
        <v>15214</v>
      </c>
    </row>
    <row r="443" spans="1:9" x14ac:dyDescent="0.25">
      <c r="A443" s="420">
        <v>43012</v>
      </c>
      <c r="B443" s="302" t="s">
        <v>32080</v>
      </c>
      <c r="C443">
        <v>130006</v>
      </c>
      <c r="D443" s="275" t="s">
        <v>15444</v>
      </c>
      <c r="E443" s="301">
        <v>3169.9</v>
      </c>
      <c r="F443" s="303">
        <v>43013</v>
      </c>
      <c r="G443" s="301">
        <v>3169.9</v>
      </c>
      <c r="H443" s="301">
        <f>Tabla15[[#This Row],[Importe]]-Tabla15[[#This Row],[Pagado]]</f>
        <v>0</v>
      </c>
      <c r="I443" s="275" t="s">
        <v>15214</v>
      </c>
    </row>
    <row r="444" spans="1:9" ht="15.75" x14ac:dyDescent="0.25">
      <c r="A444" s="420">
        <v>43012</v>
      </c>
      <c r="B444" s="302" t="s">
        <v>32081</v>
      </c>
      <c r="C444">
        <v>130007</v>
      </c>
      <c r="D444" s="248" t="s">
        <v>95</v>
      </c>
      <c r="E444" s="301">
        <v>0</v>
      </c>
      <c r="F444" s="243" t="s">
        <v>95</v>
      </c>
      <c r="G444" s="301">
        <v>0</v>
      </c>
      <c r="H444" s="301">
        <f>Tabla15[[#This Row],[Importe]]-Tabla15[[#This Row],[Pagado]]</f>
        <v>0</v>
      </c>
      <c r="I444" s="275" t="s">
        <v>95</v>
      </c>
    </row>
    <row r="445" spans="1:9" ht="45" x14ac:dyDescent="0.25">
      <c r="A445" s="420">
        <v>43012</v>
      </c>
      <c r="B445" s="302" t="s">
        <v>32082</v>
      </c>
      <c r="C445">
        <v>130008</v>
      </c>
      <c r="D445" s="275" t="s">
        <v>15373</v>
      </c>
      <c r="E445" s="301">
        <v>21853</v>
      </c>
      <c r="F445" s="303" t="s">
        <v>32083</v>
      </c>
      <c r="G445" s="305">
        <f>1027+16000+4826</f>
        <v>21853</v>
      </c>
      <c r="H445" s="305">
        <f>Tabla15[[#This Row],[Importe]]-Tabla15[[#This Row],[Pagado]]</f>
        <v>0</v>
      </c>
      <c r="I445" s="275" t="s">
        <v>15214</v>
      </c>
    </row>
    <row r="446" spans="1:9" x14ac:dyDescent="0.25">
      <c r="A446" s="420">
        <v>43012</v>
      </c>
      <c r="B446" s="302" t="s">
        <v>32084</v>
      </c>
      <c r="C446">
        <v>130009</v>
      </c>
      <c r="D446" s="275" t="s">
        <v>15394</v>
      </c>
      <c r="E446" s="301">
        <v>15950.3</v>
      </c>
      <c r="F446" s="303">
        <v>43015</v>
      </c>
      <c r="G446" s="301">
        <v>15950.3</v>
      </c>
      <c r="H446" s="301">
        <f>Tabla15[[#This Row],[Importe]]-Tabla15[[#This Row],[Pagado]]</f>
        <v>0</v>
      </c>
      <c r="I446" s="275" t="s">
        <v>15214</v>
      </c>
    </row>
    <row r="447" spans="1:9" x14ac:dyDescent="0.25">
      <c r="A447" s="420">
        <v>43012</v>
      </c>
      <c r="B447" s="302" t="s">
        <v>32085</v>
      </c>
      <c r="C447">
        <v>130010</v>
      </c>
      <c r="D447" s="275" t="s">
        <v>15389</v>
      </c>
      <c r="E447" s="301">
        <v>10672.2</v>
      </c>
      <c r="F447" s="303">
        <v>43022</v>
      </c>
      <c r="G447" s="301">
        <v>10672.2</v>
      </c>
      <c r="H447" s="301">
        <f>Tabla15[[#This Row],[Importe]]-Tabla15[[#This Row],[Pagado]]</f>
        <v>0</v>
      </c>
      <c r="I447" s="275" t="s">
        <v>15214</v>
      </c>
    </row>
    <row r="448" spans="1:9" x14ac:dyDescent="0.25">
      <c r="A448" s="420">
        <v>43012</v>
      </c>
      <c r="B448" s="302" t="s">
        <v>32086</v>
      </c>
      <c r="C448">
        <v>130011</v>
      </c>
      <c r="D448" s="275" t="s">
        <v>15382</v>
      </c>
      <c r="E448" s="301">
        <v>10645</v>
      </c>
      <c r="F448" s="303">
        <v>43022</v>
      </c>
      <c r="G448" s="301">
        <v>10645</v>
      </c>
      <c r="H448" s="301">
        <f>Tabla15[[#This Row],[Importe]]-Tabla15[[#This Row],[Pagado]]</f>
        <v>0</v>
      </c>
      <c r="I448" s="275" t="s">
        <v>15214</v>
      </c>
    </row>
    <row r="449" spans="1:9" x14ac:dyDescent="0.25">
      <c r="A449" s="420">
        <v>43012</v>
      </c>
      <c r="B449" s="302" t="s">
        <v>32087</v>
      </c>
      <c r="C449">
        <v>130012</v>
      </c>
      <c r="D449" s="275" t="s">
        <v>15367</v>
      </c>
      <c r="E449" s="301">
        <v>5900</v>
      </c>
      <c r="F449" s="303">
        <v>43013</v>
      </c>
      <c r="G449" s="301">
        <v>5900</v>
      </c>
      <c r="H449" s="301">
        <f>Tabla15[[#This Row],[Importe]]-Tabla15[[#This Row],[Pagado]]</f>
        <v>0</v>
      </c>
      <c r="I449" s="275" t="s">
        <v>15214</v>
      </c>
    </row>
    <row r="450" spans="1:9" ht="15.75" x14ac:dyDescent="0.25">
      <c r="A450" s="420">
        <v>43012</v>
      </c>
      <c r="B450" s="302" t="s">
        <v>32088</v>
      </c>
      <c r="C450">
        <v>130013</v>
      </c>
      <c r="D450" s="248" t="s">
        <v>95</v>
      </c>
      <c r="E450" s="301">
        <v>0</v>
      </c>
      <c r="F450" s="243" t="s">
        <v>95</v>
      </c>
      <c r="G450" s="301">
        <v>0</v>
      </c>
      <c r="H450" s="301">
        <f>Tabla15[[#This Row],[Importe]]-Tabla15[[#This Row],[Pagado]]</f>
        <v>0</v>
      </c>
      <c r="I450" s="275" t="s">
        <v>95</v>
      </c>
    </row>
    <row r="451" spans="1:9" ht="15.75" x14ac:dyDescent="0.25">
      <c r="A451" s="420">
        <v>43012</v>
      </c>
      <c r="B451" s="302" t="s">
        <v>32089</v>
      </c>
      <c r="C451">
        <v>130014</v>
      </c>
      <c r="D451" s="248" t="s">
        <v>95</v>
      </c>
      <c r="E451" s="301">
        <v>0</v>
      </c>
      <c r="F451" s="243" t="s">
        <v>95</v>
      </c>
      <c r="G451" s="301">
        <v>0</v>
      </c>
      <c r="H451" s="301">
        <f>Tabla15[[#This Row],[Importe]]-Tabla15[[#This Row],[Pagado]]</f>
        <v>0</v>
      </c>
      <c r="I451" s="275" t="s">
        <v>95</v>
      </c>
    </row>
    <row r="452" spans="1:9" ht="15.75" x14ac:dyDescent="0.25">
      <c r="A452" s="420">
        <v>43012</v>
      </c>
      <c r="B452" s="302" t="s">
        <v>32090</v>
      </c>
      <c r="C452">
        <v>130015</v>
      </c>
      <c r="D452" s="248" t="s">
        <v>95</v>
      </c>
      <c r="E452" s="301">
        <v>0</v>
      </c>
      <c r="F452" s="243" t="s">
        <v>95</v>
      </c>
      <c r="G452" s="301">
        <v>0</v>
      </c>
      <c r="H452" s="301">
        <f>Tabla15[[#This Row],[Importe]]-Tabla15[[#This Row],[Pagado]]</f>
        <v>0</v>
      </c>
      <c r="I452" s="275" t="s">
        <v>95</v>
      </c>
    </row>
    <row r="453" spans="1:9" x14ac:dyDescent="0.25">
      <c r="A453" s="420">
        <v>43012</v>
      </c>
      <c r="B453" s="302" t="s">
        <v>32091</v>
      </c>
      <c r="C453">
        <v>130016</v>
      </c>
      <c r="D453" s="275" t="s">
        <v>15315</v>
      </c>
      <c r="E453" s="301">
        <v>2448</v>
      </c>
      <c r="F453" s="303">
        <v>43013</v>
      </c>
      <c r="G453" s="301">
        <v>2448</v>
      </c>
      <c r="H453" s="301">
        <f>Tabla15[[#This Row],[Importe]]-Tabla15[[#This Row],[Pagado]]</f>
        <v>0</v>
      </c>
      <c r="I453" s="275" t="s">
        <v>15214</v>
      </c>
    </row>
    <row r="454" spans="1:9" x14ac:dyDescent="0.25">
      <c r="A454" s="420">
        <v>43012</v>
      </c>
      <c r="B454" s="302" t="s">
        <v>32092</v>
      </c>
      <c r="C454">
        <v>130017</v>
      </c>
      <c r="D454" s="275" t="s">
        <v>19765</v>
      </c>
      <c r="E454" s="301">
        <v>1500</v>
      </c>
      <c r="F454" s="303">
        <v>43020</v>
      </c>
      <c r="G454" s="301">
        <v>1500</v>
      </c>
      <c r="H454" s="301">
        <f>Tabla15[[#This Row],[Importe]]-Tabla15[[#This Row],[Pagado]]</f>
        <v>0</v>
      </c>
      <c r="I454" s="275" t="s">
        <v>15214</v>
      </c>
    </row>
    <row r="455" spans="1:9" x14ac:dyDescent="0.25">
      <c r="A455" s="420">
        <v>43012</v>
      </c>
      <c r="B455" s="302" t="s">
        <v>32093</v>
      </c>
      <c r="C455">
        <v>130018</v>
      </c>
      <c r="D455" s="275" t="s">
        <v>15378</v>
      </c>
      <c r="E455" s="301">
        <v>1296</v>
      </c>
      <c r="F455" s="303">
        <v>43012</v>
      </c>
      <c r="G455" s="301">
        <v>1296</v>
      </c>
      <c r="H455" s="301">
        <f>Tabla15[[#This Row],[Importe]]-Tabla15[[#This Row],[Pagado]]</f>
        <v>0</v>
      </c>
      <c r="I455" s="275" t="s">
        <v>15214</v>
      </c>
    </row>
    <row r="456" spans="1:9" x14ac:dyDescent="0.25">
      <c r="A456" s="420">
        <v>43012</v>
      </c>
      <c r="B456" s="302" t="s">
        <v>32094</v>
      </c>
      <c r="C456">
        <v>130019</v>
      </c>
      <c r="D456" s="275" t="s">
        <v>15246</v>
      </c>
      <c r="E456" s="301">
        <v>250328.5</v>
      </c>
      <c r="F456" s="303">
        <v>43014</v>
      </c>
      <c r="G456" s="301">
        <v>250328.5</v>
      </c>
      <c r="H456" s="301">
        <f>Tabla15[[#This Row],[Importe]]-Tabla15[[#This Row],[Pagado]]</f>
        <v>0</v>
      </c>
      <c r="I456" s="275" t="s">
        <v>15214</v>
      </c>
    </row>
    <row r="457" spans="1:9" x14ac:dyDescent="0.25">
      <c r="A457" s="420">
        <v>43012</v>
      </c>
      <c r="B457" s="302" t="s">
        <v>32095</v>
      </c>
      <c r="C457">
        <v>130020</v>
      </c>
      <c r="D457" s="275" t="s">
        <v>15369</v>
      </c>
      <c r="E457" s="301">
        <v>24137.4</v>
      </c>
      <c r="F457" s="303">
        <v>43022</v>
      </c>
      <c r="G457" s="301">
        <v>24137.4</v>
      </c>
      <c r="H457" s="301">
        <f>Tabla15[[#This Row],[Importe]]-Tabla15[[#This Row],[Pagado]]</f>
        <v>0</v>
      </c>
      <c r="I457" s="275" t="s">
        <v>15214</v>
      </c>
    </row>
    <row r="458" spans="1:9" x14ac:dyDescent="0.25">
      <c r="A458" s="420">
        <v>43012</v>
      </c>
      <c r="B458" s="302" t="s">
        <v>32096</v>
      </c>
      <c r="C458">
        <v>130021</v>
      </c>
      <c r="D458" s="275" t="s">
        <v>15246</v>
      </c>
      <c r="E458" s="301">
        <v>8365.7000000000007</v>
      </c>
      <c r="F458" s="303">
        <v>43014</v>
      </c>
      <c r="G458" s="301">
        <v>8365.7000000000007</v>
      </c>
      <c r="H458" s="301">
        <f>Tabla15[[#This Row],[Importe]]-Tabla15[[#This Row],[Pagado]]</f>
        <v>0</v>
      </c>
      <c r="I458" s="275" t="s">
        <v>15214</v>
      </c>
    </row>
    <row r="459" spans="1:9" x14ac:dyDescent="0.25">
      <c r="A459" s="420">
        <v>43012</v>
      </c>
      <c r="B459" s="302" t="s">
        <v>32097</v>
      </c>
      <c r="C459">
        <v>130022</v>
      </c>
      <c r="D459" s="275" t="s">
        <v>15380</v>
      </c>
      <c r="E459" s="301">
        <v>32706.400000000001</v>
      </c>
      <c r="F459" s="303">
        <v>43022</v>
      </c>
      <c r="G459" s="301">
        <v>32706.400000000001</v>
      </c>
      <c r="H459" s="301">
        <f>Tabla15[[#This Row],[Importe]]-Tabla15[[#This Row],[Pagado]]</f>
        <v>0</v>
      </c>
      <c r="I459" s="275" t="s">
        <v>15214</v>
      </c>
    </row>
    <row r="460" spans="1:9" x14ac:dyDescent="0.25">
      <c r="A460" s="420">
        <v>43012</v>
      </c>
      <c r="B460" s="302" t="s">
        <v>32098</v>
      </c>
      <c r="C460">
        <v>130023</v>
      </c>
      <c r="D460" s="275" t="s">
        <v>5828</v>
      </c>
      <c r="E460" s="301">
        <v>8467.2000000000007</v>
      </c>
      <c r="F460" s="303">
        <v>43012</v>
      </c>
      <c r="G460" s="301">
        <v>8467.2000000000007</v>
      </c>
      <c r="H460" s="301">
        <f>Tabla15[[#This Row],[Importe]]-Tabla15[[#This Row],[Pagado]]</f>
        <v>0</v>
      </c>
      <c r="I460" s="275" t="s">
        <v>15214</v>
      </c>
    </row>
    <row r="461" spans="1:9" x14ac:dyDescent="0.25">
      <c r="A461" s="420">
        <v>43012</v>
      </c>
      <c r="B461" s="302" t="s">
        <v>32099</v>
      </c>
      <c r="C461">
        <v>130024</v>
      </c>
      <c r="D461" s="275" t="s">
        <v>15263</v>
      </c>
      <c r="E461" s="301">
        <v>1430.6</v>
      </c>
      <c r="F461" s="303">
        <v>43012</v>
      </c>
      <c r="G461" s="301">
        <v>1430.6</v>
      </c>
      <c r="H461" s="301">
        <f>Tabla15[[#This Row],[Importe]]-Tabla15[[#This Row],[Pagado]]</f>
        <v>0</v>
      </c>
      <c r="I461" s="275" t="s">
        <v>15214</v>
      </c>
    </row>
    <row r="462" spans="1:9" x14ac:dyDescent="0.25">
      <c r="A462" s="420">
        <v>43012</v>
      </c>
      <c r="B462" s="302" t="s">
        <v>32100</v>
      </c>
      <c r="C462">
        <v>130025</v>
      </c>
      <c r="D462" s="275" t="s">
        <v>15553</v>
      </c>
      <c r="E462" s="301">
        <v>29411.25</v>
      </c>
      <c r="F462" s="303">
        <v>43012</v>
      </c>
      <c r="G462" s="301">
        <v>29411.25</v>
      </c>
      <c r="H462" s="301">
        <f>Tabla15[[#This Row],[Importe]]-Tabla15[[#This Row],[Pagado]]</f>
        <v>0</v>
      </c>
      <c r="I462" s="275" t="s">
        <v>15214</v>
      </c>
    </row>
    <row r="463" spans="1:9" x14ac:dyDescent="0.25">
      <c r="A463" s="420">
        <v>43012</v>
      </c>
      <c r="B463" s="302" t="s">
        <v>32101</v>
      </c>
      <c r="C463">
        <v>130026</v>
      </c>
      <c r="D463" s="275" t="s">
        <v>15757</v>
      </c>
      <c r="E463" s="301">
        <v>4600</v>
      </c>
      <c r="F463" s="303">
        <v>43012</v>
      </c>
      <c r="G463" s="301">
        <v>4600</v>
      </c>
      <c r="H463" s="301">
        <f>Tabla15[[#This Row],[Importe]]-Tabla15[[#This Row],[Pagado]]</f>
        <v>0</v>
      </c>
      <c r="I463" s="275" t="s">
        <v>15214</v>
      </c>
    </row>
    <row r="464" spans="1:9" x14ac:dyDescent="0.25">
      <c r="A464" s="420">
        <v>43012</v>
      </c>
      <c r="B464" s="302" t="s">
        <v>32102</v>
      </c>
      <c r="C464">
        <v>130027</v>
      </c>
      <c r="D464" s="275" t="s">
        <v>28488</v>
      </c>
      <c r="E464" s="301">
        <v>7919.2</v>
      </c>
      <c r="F464" s="303">
        <v>43019</v>
      </c>
      <c r="G464" s="301">
        <v>7919.2</v>
      </c>
      <c r="H464" s="301">
        <f>Tabla15[[#This Row],[Importe]]-Tabla15[[#This Row],[Pagado]]</f>
        <v>0</v>
      </c>
      <c r="I464" s="275" t="s">
        <v>15214</v>
      </c>
    </row>
    <row r="465" spans="1:9" x14ac:dyDescent="0.25">
      <c r="A465" s="420">
        <v>43012</v>
      </c>
      <c r="B465" s="302" t="s">
        <v>32103</v>
      </c>
      <c r="C465">
        <v>130028</v>
      </c>
      <c r="D465" s="275" t="s">
        <v>15890</v>
      </c>
      <c r="E465" s="301">
        <v>9369</v>
      </c>
      <c r="F465" s="303">
        <v>43018</v>
      </c>
      <c r="G465" s="301">
        <v>9369</v>
      </c>
      <c r="H465" s="301">
        <f>Tabla15[[#This Row],[Importe]]-Tabla15[[#This Row],[Pagado]]</f>
        <v>0</v>
      </c>
      <c r="I465" s="275" t="s">
        <v>15214</v>
      </c>
    </row>
    <row r="466" spans="1:9" ht="15.75" x14ac:dyDescent="0.25">
      <c r="A466" s="420">
        <v>43012</v>
      </c>
      <c r="B466" s="302" t="s">
        <v>32104</v>
      </c>
      <c r="C466">
        <v>130029</v>
      </c>
      <c r="D466" s="248" t="s">
        <v>95</v>
      </c>
      <c r="E466" s="301">
        <v>0</v>
      </c>
      <c r="F466" s="243" t="s">
        <v>95</v>
      </c>
      <c r="G466" s="301">
        <v>0</v>
      </c>
      <c r="H466" s="301">
        <f>Tabla15[[#This Row],[Importe]]-Tabla15[[#This Row],[Pagado]]</f>
        <v>0</v>
      </c>
      <c r="I466" s="275" t="s">
        <v>95</v>
      </c>
    </row>
    <row r="467" spans="1:9" x14ac:dyDescent="0.25">
      <c r="A467" s="420">
        <v>43012</v>
      </c>
      <c r="B467" s="302" t="s">
        <v>32105</v>
      </c>
      <c r="C467">
        <v>130030</v>
      </c>
      <c r="D467" s="275" t="s">
        <v>15315</v>
      </c>
      <c r="E467" s="301">
        <v>4766.7</v>
      </c>
      <c r="F467" s="303">
        <v>43012</v>
      </c>
      <c r="G467" s="301">
        <v>4766.7</v>
      </c>
      <c r="H467" s="301">
        <f>Tabla15[[#This Row],[Importe]]-Tabla15[[#This Row],[Pagado]]</f>
        <v>0</v>
      </c>
      <c r="I467" s="275" t="s">
        <v>15214</v>
      </c>
    </row>
    <row r="468" spans="1:9" x14ac:dyDescent="0.25">
      <c r="A468" s="420">
        <v>43012</v>
      </c>
      <c r="B468" s="302" t="s">
        <v>32106</v>
      </c>
      <c r="C468">
        <v>130031</v>
      </c>
      <c r="D468" s="275" t="s">
        <v>19780</v>
      </c>
      <c r="E468" s="301">
        <v>201</v>
      </c>
      <c r="F468" s="303">
        <v>43013</v>
      </c>
      <c r="G468" s="301">
        <v>201</v>
      </c>
      <c r="H468" s="301">
        <f>Tabla15[[#This Row],[Importe]]-Tabla15[[#This Row],[Pagado]]</f>
        <v>0</v>
      </c>
      <c r="I468" s="275" t="s">
        <v>15214</v>
      </c>
    </row>
    <row r="469" spans="1:9" x14ac:dyDescent="0.25">
      <c r="A469" s="420">
        <v>43012</v>
      </c>
      <c r="B469" s="302" t="s">
        <v>32107</v>
      </c>
      <c r="C469">
        <v>130032</v>
      </c>
      <c r="D469" s="275" t="s">
        <v>15480</v>
      </c>
      <c r="E469" s="301">
        <v>221.4</v>
      </c>
      <c r="F469" s="303">
        <v>43013</v>
      </c>
      <c r="G469" s="301">
        <v>221.4</v>
      </c>
      <c r="H469" s="301">
        <f>Tabla15[[#This Row],[Importe]]-Tabla15[[#This Row],[Pagado]]</f>
        <v>0</v>
      </c>
      <c r="I469" s="275" t="s">
        <v>15214</v>
      </c>
    </row>
    <row r="470" spans="1:9" x14ac:dyDescent="0.25">
      <c r="A470" s="420">
        <v>43012</v>
      </c>
      <c r="B470" s="302" t="s">
        <v>32108</v>
      </c>
      <c r="C470">
        <v>130033</v>
      </c>
      <c r="D470" s="275" t="s">
        <v>17929</v>
      </c>
      <c r="E470" s="301">
        <v>920.4</v>
      </c>
      <c r="F470" s="303">
        <v>43012</v>
      </c>
      <c r="G470" s="301">
        <v>920.4</v>
      </c>
      <c r="H470" s="301">
        <f>Tabla15[[#This Row],[Importe]]-Tabla15[[#This Row],[Pagado]]</f>
        <v>0</v>
      </c>
      <c r="I470" s="275" t="s">
        <v>15214</v>
      </c>
    </row>
    <row r="471" spans="1:9" x14ac:dyDescent="0.25">
      <c r="A471" s="420">
        <v>43012</v>
      </c>
      <c r="B471" s="302" t="s">
        <v>32109</v>
      </c>
      <c r="C471">
        <v>130034</v>
      </c>
      <c r="D471" s="275" t="s">
        <v>15284</v>
      </c>
      <c r="E471" s="301">
        <v>855.3</v>
      </c>
      <c r="F471" s="303">
        <v>43012</v>
      </c>
      <c r="G471" s="301">
        <v>855.3</v>
      </c>
      <c r="H471" s="301">
        <f>Tabla15[[#This Row],[Importe]]-Tabla15[[#This Row],[Pagado]]</f>
        <v>0</v>
      </c>
      <c r="I471" s="275" t="s">
        <v>15214</v>
      </c>
    </row>
    <row r="472" spans="1:9" x14ac:dyDescent="0.25">
      <c r="A472" s="420">
        <v>43012</v>
      </c>
      <c r="B472" s="302" t="s">
        <v>32110</v>
      </c>
      <c r="C472">
        <v>130035</v>
      </c>
      <c r="D472" s="275" t="s">
        <v>15413</v>
      </c>
      <c r="E472" s="301">
        <v>3363.2</v>
      </c>
      <c r="F472" s="303">
        <v>43012</v>
      </c>
      <c r="G472" s="301">
        <v>3363.2</v>
      </c>
      <c r="H472" s="301">
        <f>Tabla15[[#This Row],[Importe]]-Tabla15[[#This Row],[Pagado]]</f>
        <v>0</v>
      </c>
      <c r="I472" s="275" t="s">
        <v>15214</v>
      </c>
    </row>
    <row r="473" spans="1:9" x14ac:dyDescent="0.25">
      <c r="A473" s="420">
        <v>43012</v>
      </c>
      <c r="B473" s="302" t="s">
        <v>32111</v>
      </c>
      <c r="C473">
        <v>130036</v>
      </c>
      <c r="D473" s="275" t="s">
        <v>15419</v>
      </c>
      <c r="E473" s="301">
        <v>2427.5</v>
      </c>
      <c r="F473" s="303">
        <v>43017</v>
      </c>
      <c r="G473" s="301">
        <v>2427.5</v>
      </c>
      <c r="H473" s="301">
        <f>Tabla15[[#This Row],[Importe]]-Tabla15[[#This Row],[Pagado]]</f>
        <v>0</v>
      </c>
      <c r="I473" s="275" t="s">
        <v>15214</v>
      </c>
    </row>
    <row r="474" spans="1:9" x14ac:dyDescent="0.25">
      <c r="A474" s="420">
        <v>43012</v>
      </c>
      <c r="B474" s="302" t="s">
        <v>32112</v>
      </c>
      <c r="C474">
        <v>130037</v>
      </c>
      <c r="D474" s="275" t="s">
        <v>15423</v>
      </c>
      <c r="E474" s="301">
        <v>1919.6</v>
      </c>
      <c r="F474" s="303">
        <v>43012</v>
      </c>
      <c r="G474" s="301">
        <v>1919.6</v>
      </c>
      <c r="H474" s="301">
        <f>Tabla15[[#This Row],[Importe]]-Tabla15[[#This Row],[Pagado]]</f>
        <v>0</v>
      </c>
      <c r="I474" s="275" t="s">
        <v>15214</v>
      </c>
    </row>
    <row r="475" spans="1:9" x14ac:dyDescent="0.25">
      <c r="A475" s="420">
        <v>43012</v>
      </c>
      <c r="B475" s="302" t="s">
        <v>32113</v>
      </c>
      <c r="C475">
        <v>130038</v>
      </c>
      <c r="D475" s="275" t="s">
        <v>15365</v>
      </c>
      <c r="E475" s="301">
        <v>225852</v>
      </c>
      <c r="F475" s="303">
        <v>43015</v>
      </c>
      <c r="G475" s="301">
        <v>225852</v>
      </c>
      <c r="H475" s="301">
        <f>Tabla15[[#This Row],[Importe]]-Tabla15[[#This Row],[Pagado]]</f>
        <v>0</v>
      </c>
      <c r="I475" s="275" t="s">
        <v>15214</v>
      </c>
    </row>
    <row r="476" spans="1:9" x14ac:dyDescent="0.25">
      <c r="A476" s="420">
        <v>43012</v>
      </c>
      <c r="B476" s="302" t="s">
        <v>32114</v>
      </c>
      <c r="C476">
        <v>130039</v>
      </c>
      <c r="D476" s="275" t="s">
        <v>15328</v>
      </c>
      <c r="E476" s="301">
        <v>63144.5</v>
      </c>
      <c r="F476" s="303">
        <v>43021</v>
      </c>
      <c r="G476" s="301">
        <v>63144.5</v>
      </c>
      <c r="H476" s="301">
        <f>Tabla15[[#This Row],[Importe]]-Tabla15[[#This Row],[Pagado]]</f>
        <v>0</v>
      </c>
      <c r="I476" s="275" t="s">
        <v>15214</v>
      </c>
    </row>
    <row r="477" spans="1:9" x14ac:dyDescent="0.25">
      <c r="A477" s="420">
        <v>43012</v>
      </c>
      <c r="B477" s="302" t="s">
        <v>32115</v>
      </c>
      <c r="C477">
        <v>130040</v>
      </c>
      <c r="D477" s="275" t="s">
        <v>15391</v>
      </c>
      <c r="E477" s="301">
        <v>6438.4</v>
      </c>
      <c r="F477" s="303">
        <v>43014</v>
      </c>
      <c r="G477" s="301">
        <v>6438.4</v>
      </c>
      <c r="H477" s="301">
        <f>Tabla15[[#This Row],[Importe]]-Tabla15[[#This Row],[Pagado]]</f>
        <v>0</v>
      </c>
      <c r="I477" s="275" t="s">
        <v>15214</v>
      </c>
    </row>
    <row r="478" spans="1:9" x14ac:dyDescent="0.25">
      <c r="A478" s="420">
        <v>43012</v>
      </c>
      <c r="B478" s="302" t="s">
        <v>32116</v>
      </c>
      <c r="C478">
        <v>130041</v>
      </c>
      <c r="D478" s="275" t="s">
        <v>15789</v>
      </c>
      <c r="E478" s="301">
        <v>22413.599999999999</v>
      </c>
      <c r="F478" s="303">
        <v>43019</v>
      </c>
      <c r="G478" s="301">
        <v>22413.599999999999</v>
      </c>
      <c r="H478" s="301">
        <f>Tabla15[[#This Row],[Importe]]-Tabla15[[#This Row],[Pagado]]</f>
        <v>0</v>
      </c>
      <c r="I478" s="275" t="s">
        <v>15214</v>
      </c>
    </row>
    <row r="479" spans="1:9" x14ac:dyDescent="0.25">
      <c r="A479" s="420">
        <v>43012</v>
      </c>
      <c r="B479" s="302" t="s">
        <v>32117</v>
      </c>
      <c r="C479">
        <v>130042</v>
      </c>
      <c r="D479" s="275" t="s">
        <v>15315</v>
      </c>
      <c r="E479" s="301">
        <v>5652.48</v>
      </c>
      <c r="F479" s="303">
        <v>43012</v>
      </c>
      <c r="G479" s="301">
        <v>5652.48</v>
      </c>
      <c r="H479" s="301">
        <f>Tabla15[[#This Row],[Importe]]-Tabla15[[#This Row],[Pagado]]</f>
        <v>0</v>
      </c>
      <c r="I479" s="275" t="s">
        <v>15214</v>
      </c>
    </row>
    <row r="480" spans="1:9" x14ac:dyDescent="0.25">
      <c r="A480" s="420">
        <v>43012</v>
      </c>
      <c r="B480" s="302" t="s">
        <v>32118</v>
      </c>
      <c r="C480">
        <v>130043</v>
      </c>
      <c r="D480" s="275" t="s">
        <v>15315</v>
      </c>
      <c r="E480" s="301">
        <v>3967.9</v>
      </c>
      <c r="F480" s="303">
        <v>43012</v>
      </c>
      <c r="G480" s="301">
        <v>3967.9</v>
      </c>
      <c r="H480" s="301">
        <f>Tabla15[[#This Row],[Importe]]-Tabla15[[#This Row],[Pagado]]</f>
        <v>0</v>
      </c>
      <c r="I480" s="275" t="s">
        <v>15214</v>
      </c>
    </row>
    <row r="481" spans="1:9" x14ac:dyDescent="0.25">
      <c r="A481" s="420">
        <v>43012</v>
      </c>
      <c r="B481" s="302" t="s">
        <v>32119</v>
      </c>
      <c r="C481">
        <v>130044</v>
      </c>
      <c r="D481" s="275" t="s">
        <v>16313</v>
      </c>
      <c r="E481" s="301">
        <v>4197.6000000000004</v>
      </c>
      <c r="F481" s="303">
        <v>43012</v>
      </c>
      <c r="G481" s="301">
        <v>4197.6000000000004</v>
      </c>
      <c r="H481" s="301">
        <f>Tabla15[[#This Row],[Importe]]-Tabla15[[#This Row],[Pagado]]</f>
        <v>0</v>
      </c>
      <c r="I481" s="275" t="s">
        <v>15214</v>
      </c>
    </row>
    <row r="482" spans="1:9" x14ac:dyDescent="0.25">
      <c r="A482" s="420">
        <v>43012</v>
      </c>
      <c r="B482" s="302" t="s">
        <v>32120</v>
      </c>
      <c r="C482">
        <v>130045</v>
      </c>
      <c r="D482" s="275" t="s">
        <v>15435</v>
      </c>
      <c r="E482" s="301">
        <v>7401.6</v>
      </c>
      <c r="F482" s="303">
        <v>43012</v>
      </c>
      <c r="G482" s="301">
        <v>7401.6</v>
      </c>
      <c r="H482" s="301">
        <f>Tabla15[[#This Row],[Importe]]-Tabla15[[#This Row],[Pagado]]</f>
        <v>0</v>
      </c>
      <c r="I482" s="275" t="s">
        <v>15214</v>
      </c>
    </row>
    <row r="483" spans="1:9" x14ac:dyDescent="0.25">
      <c r="A483" s="420">
        <v>43012</v>
      </c>
      <c r="B483" s="302" t="s">
        <v>32121</v>
      </c>
      <c r="C483">
        <v>130046</v>
      </c>
      <c r="D483" s="275" t="s">
        <v>15644</v>
      </c>
      <c r="E483" s="301">
        <v>3213</v>
      </c>
      <c r="F483" s="303">
        <v>43013</v>
      </c>
      <c r="G483" s="301">
        <v>3213</v>
      </c>
      <c r="H483" s="301">
        <f>Tabla15[[#This Row],[Importe]]-Tabla15[[#This Row],[Pagado]]</f>
        <v>0</v>
      </c>
      <c r="I483" s="275" t="s">
        <v>15214</v>
      </c>
    </row>
    <row r="484" spans="1:9" x14ac:dyDescent="0.25">
      <c r="A484" s="420">
        <v>43012</v>
      </c>
      <c r="B484" s="302" t="s">
        <v>32122</v>
      </c>
      <c r="C484">
        <v>130047</v>
      </c>
      <c r="D484" s="275" t="s">
        <v>15818</v>
      </c>
      <c r="E484" s="301">
        <v>3476.8</v>
      </c>
      <c r="F484" s="303">
        <v>43013</v>
      </c>
      <c r="G484" s="301">
        <v>3476.8</v>
      </c>
      <c r="H484" s="301">
        <f>Tabla15[[#This Row],[Importe]]-Tabla15[[#This Row],[Pagado]]</f>
        <v>0</v>
      </c>
      <c r="I484" s="275" t="s">
        <v>15214</v>
      </c>
    </row>
    <row r="485" spans="1:9" x14ac:dyDescent="0.25">
      <c r="A485" s="420">
        <v>43013</v>
      </c>
      <c r="B485" s="302" t="s">
        <v>32123</v>
      </c>
      <c r="C485">
        <v>130048</v>
      </c>
      <c r="D485" s="275" t="s">
        <v>15213</v>
      </c>
      <c r="E485" s="301">
        <v>3082.1</v>
      </c>
      <c r="F485" s="303">
        <v>43013</v>
      </c>
      <c r="G485" s="301">
        <v>3082.1</v>
      </c>
      <c r="H485" s="301">
        <f>Tabla15[[#This Row],[Importe]]-Tabla15[[#This Row],[Pagado]]</f>
        <v>0</v>
      </c>
      <c r="I485" s="275" t="s">
        <v>15214</v>
      </c>
    </row>
    <row r="486" spans="1:9" x14ac:dyDescent="0.25">
      <c r="A486" s="420">
        <v>43013</v>
      </c>
      <c r="B486" s="302" t="s">
        <v>32124</v>
      </c>
      <c r="C486">
        <v>130049</v>
      </c>
      <c r="D486" s="275" t="s">
        <v>21386</v>
      </c>
      <c r="E486" s="301">
        <v>9834.6</v>
      </c>
      <c r="F486" s="303">
        <v>43014</v>
      </c>
      <c r="G486" s="301">
        <v>9834.6</v>
      </c>
      <c r="H486" s="301">
        <f>Tabla15[[#This Row],[Importe]]-Tabla15[[#This Row],[Pagado]]</f>
        <v>0</v>
      </c>
      <c r="I486" s="275" t="s">
        <v>15214</v>
      </c>
    </row>
    <row r="487" spans="1:9" x14ac:dyDescent="0.25">
      <c r="A487" s="420">
        <v>43013</v>
      </c>
      <c r="B487" s="302" t="s">
        <v>32125</v>
      </c>
      <c r="C487">
        <v>130050</v>
      </c>
      <c r="D487" s="275" t="s">
        <v>21386</v>
      </c>
      <c r="E487" s="301">
        <v>494.1</v>
      </c>
      <c r="F487" s="303">
        <v>43013</v>
      </c>
      <c r="G487" s="301">
        <v>494.1</v>
      </c>
      <c r="H487" s="301">
        <f>Tabla15[[#This Row],[Importe]]-Tabla15[[#This Row],[Pagado]]</f>
        <v>0</v>
      </c>
      <c r="I487" s="275" t="s">
        <v>15214</v>
      </c>
    </row>
    <row r="488" spans="1:9" x14ac:dyDescent="0.25">
      <c r="A488" s="420">
        <v>43013</v>
      </c>
      <c r="B488" s="302" t="s">
        <v>32126</v>
      </c>
      <c r="C488">
        <v>130051</v>
      </c>
      <c r="D488" s="275" t="s">
        <v>15213</v>
      </c>
      <c r="E488" s="301">
        <v>45531.6</v>
      </c>
      <c r="F488" s="303">
        <v>43014</v>
      </c>
      <c r="G488" s="301">
        <v>45531.6</v>
      </c>
      <c r="H488" s="301">
        <f>Tabla15[[#This Row],[Importe]]-Tabla15[[#This Row],[Pagado]]</f>
        <v>0</v>
      </c>
      <c r="I488" s="275" t="s">
        <v>15214</v>
      </c>
    </row>
    <row r="489" spans="1:9" x14ac:dyDescent="0.25">
      <c r="A489" s="420">
        <v>43013</v>
      </c>
      <c r="B489" s="302" t="s">
        <v>32127</v>
      </c>
      <c r="C489">
        <v>130052</v>
      </c>
      <c r="D489" s="275" t="s">
        <v>15348</v>
      </c>
      <c r="E489" s="301">
        <v>1320.2</v>
      </c>
      <c r="F489" s="303">
        <v>43014</v>
      </c>
      <c r="G489" s="301">
        <v>1320.2</v>
      </c>
      <c r="H489" s="301">
        <f>Tabla15[[#This Row],[Importe]]-Tabla15[[#This Row],[Pagado]]</f>
        <v>0</v>
      </c>
      <c r="I489" s="275" t="s">
        <v>15214</v>
      </c>
    </row>
    <row r="490" spans="1:9" x14ac:dyDescent="0.25">
      <c r="A490" s="420">
        <v>43013</v>
      </c>
      <c r="B490" s="302" t="s">
        <v>32128</v>
      </c>
      <c r="C490">
        <v>130053</v>
      </c>
      <c r="D490" s="275" t="s">
        <v>15242</v>
      </c>
      <c r="E490" s="301">
        <v>4184</v>
      </c>
      <c r="F490" s="303">
        <v>43013</v>
      </c>
      <c r="G490" s="301">
        <v>4184</v>
      </c>
      <c r="H490" s="301">
        <f>Tabla15[[#This Row],[Importe]]-Tabla15[[#This Row],[Pagado]]</f>
        <v>0</v>
      </c>
      <c r="I490" s="275" t="s">
        <v>15214</v>
      </c>
    </row>
    <row r="491" spans="1:9" x14ac:dyDescent="0.25">
      <c r="A491" s="420">
        <v>43013</v>
      </c>
      <c r="B491" s="302" t="s">
        <v>32129</v>
      </c>
      <c r="C491">
        <v>130054</v>
      </c>
      <c r="D491" s="275" t="s">
        <v>18544</v>
      </c>
      <c r="E491" s="301">
        <v>5497.2</v>
      </c>
      <c r="F491" s="303">
        <v>43013</v>
      </c>
      <c r="G491" s="301">
        <v>5497.2</v>
      </c>
      <c r="H491" s="301">
        <f>Tabla15[[#This Row],[Importe]]-Tabla15[[#This Row],[Pagado]]</f>
        <v>0</v>
      </c>
      <c r="I491" s="275" t="s">
        <v>15214</v>
      </c>
    </row>
    <row r="492" spans="1:9" ht="30" x14ac:dyDescent="0.25">
      <c r="A492" s="420">
        <v>43013</v>
      </c>
      <c r="B492" s="302" t="s">
        <v>32130</v>
      </c>
      <c r="C492">
        <v>130055</v>
      </c>
      <c r="D492" s="275" t="s">
        <v>15230</v>
      </c>
      <c r="E492" s="301">
        <v>9089.6</v>
      </c>
      <c r="F492" s="303" t="s">
        <v>32131</v>
      </c>
      <c r="G492" s="305">
        <f>6300+2789.6</f>
        <v>9089.6</v>
      </c>
      <c r="H492" s="305">
        <f>Tabla15[[#This Row],[Importe]]-Tabla15[[#This Row],[Pagado]]</f>
        <v>0</v>
      </c>
      <c r="I492" s="275" t="s">
        <v>15214</v>
      </c>
    </row>
    <row r="493" spans="1:9" x14ac:dyDescent="0.25">
      <c r="A493" s="420">
        <v>43013</v>
      </c>
      <c r="B493" s="302" t="s">
        <v>32132</v>
      </c>
      <c r="C493">
        <v>130056</v>
      </c>
      <c r="D493" s="275" t="s">
        <v>15232</v>
      </c>
      <c r="E493" s="301">
        <v>6049.6</v>
      </c>
      <c r="F493" s="303">
        <v>43020</v>
      </c>
      <c r="G493" s="301">
        <v>6049.6</v>
      </c>
      <c r="H493" s="301">
        <f>Tabla15[[#This Row],[Importe]]-Tabla15[[#This Row],[Pagado]]</f>
        <v>0</v>
      </c>
      <c r="I493" s="275" t="s">
        <v>15214</v>
      </c>
    </row>
    <row r="494" spans="1:9" x14ac:dyDescent="0.25">
      <c r="A494" s="420">
        <v>43013</v>
      </c>
      <c r="B494" s="302" t="s">
        <v>32133</v>
      </c>
      <c r="C494">
        <v>130057</v>
      </c>
      <c r="D494" s="275" t="s">
        <v>15234</v>
      </c>
      <c r="E494" s="301">
        <v>3182</v>
      </c>
      <c r="F494" s="303">
        <v>43015</v>
      </c>
      <c r="G494" s="301">
        <v>3182</v>
      </c>
      <c r="H494" s="301">
        <f>Tabla15[[#This Row],[Importe]]-Tabla15[[#This Row],[Pagado]]</f>
        <v>0</v>
      </c>
      <c r="I494" s="275" t="s">
        <v>15214</v>
      </c>
    </row>
    <row r="495" spans="1:9" x14ac:dyDescent="0.25">
      <c r="A495" s="420">
        <v>43013</v>
      </c>
      <c r="B495" s="302" t="s">
        <v>32134</v>
      </c>
      <c r="C495">
        <v>130058</v>
      </c>
      <c r="D495" s="275" t="s">
        <v>15240</v>
      </c>
      <c r="E495" s="301">
        <v>3146.4</v>
      </c>
      <c r="F495" s="303">
        <v>43014</v>
      </c>
      <c r="G495" s="301">
        <v>3146.4</v>
      </c>
      <c r="H495" s="301">
        <f>Tabla15[[#This Row],[Importe]]-Tabla15[[#This Row],[Pagado]]</f>
        <v>0</v>
      </c>
      <c r="I495" s="275" t="s">
        <v>15214</v>
      </c>
    </row>
    <row r="496" spans="1:9" ht="30" x14ac:dyDescent="0.25">
      <c r="A496" s="420">
        <v>43013</v>
      </c>
      <c r="B496" s="302" t="s">
        <v>32135</v>
      </c>
      <c r="C496">
        <v>130059</v>
      </c>
      <c r="D496" s="275" t="s">
        <v>19780</v>
      </c>
      <c r="E496" s="301">
        <v>9242.6</v>
      </c>
      <c r="F496" s="303" t="s">
        <v>31991</v>
      </c>
      <c r="G496" s="305">
        <f>5000+4242.6</f>
        <v>9242.6</v>
      </c>
      <c r="H496" s="305">
        <f>Tabla15[[#This Row],[Importe]]-Tabla15[[#This Row],[Pagado]]</f>
        <v>0</v>
      </c>
      <c r="I496" s="275" t="s">
        <v>15214</v>
      </c>
    </row>
    <row r="497" spans="1:9" x14ac:dyDescent="0.25">
      <c r="A497" s="420">
        <v>43013</v>
      </c>
      <c r="B497" s="302" t="s">
        <v>32136</v>
      </c>
      <c r="C497">
        <v>130060</v>
      </c>
      <c r="D497" s="275" t="s">
        <v>15324</v>
      </c>
      <c r="E497" s="301">
        <v>2680</v>
      </c>
      <c r="F497" s="303">
        <v>43013</v>
      </c>
      <c r="G497" s="301">
        <v>2680</v>
      </c>
      <c r="H497" s="301">
        <f>Tabla15[[#This Row],[Importe]]-Tabla15[[#This Row],[Pagado]]</f>
        <v>0</v>
      </c>
      <c r="I497" s="275" t="s">
        <v>15214</v>
      </c>
    </row>
    <row r="498" spans="1:9" x14ac:dyDescent="0.25">
      <c r="A498" s="420">
        <v>43013</v>
      </c>
      <c r="B498" s="302" t="s">
        <v>32137</v>
      </c>
      <c r="C498">
        <v>130061</v>
      </c>
      <c r="D498" s="275" t="s">
        <v>15220</v>
      </c>
      <c r="E498" s="301">
        <v>2200</v>
      </c>
      <c r="F498" s="303">
        <v>43013</v>
      </c>
      <c r="G498" s="301">
        <v>2200</v>
      </c>
      <c r="H498" s="301">
        <f>Tabla15[[#This Row],[Importe]]-Tabla15[[#This Row],[Pagado]]</f>
        <v>0</v>
      </c>
      <c r="I498" s="275" t="s">
        <v>15214</v>
      </c>
    </row>
    <row r="499" spans="1:9" x14ac:dyDescent="0.25">
      <c r="A499" s="420">
        <v>43013</v>
      </c>
      <c r="B499" s="302" t="s">
        <v>32138</v>
      </c>
      <c r="C499">
        <v>130062</v>
      </c>
      <c r="D499" s="275" t="s">
        <v>15596</v>
      </c>
      <c r="E499" s="301">
        <v>880</v>
      </c>
      <c r="F499" s="303">
        <v>43013</v>
      </c>
      <c r="G499" s="301">
        <v>880</v>
      </c>
      <c r="H499" s="301">
        <f>Tabla15[[#This Row],[Importe]]-Tabla15[[#This Row],[Pagado]]</f>
        <v>0</v>
      </c>
      <c r="I499" s="275" t="s">
        <v>15214</v>
      </c>
    </row>
    <row r="500" spans="1:9" x14ac:dyDescent="0.25">
      <c r="A500" s="420">
        <v>43013</v>
      </c>
      <c r="B500" s="302" t="s">
        <v>32139</v>
      </c>
      <c r="C500">
        <v>130063</v>
      </c>
      <c r="D500" s="275" t="s">
        <v>15274</v>
      </c>
      <c r="E500" s="301">
        <v>3399.6</v>
      </c>
      <c r="F500" s="303">
        <v>43013</v>
      </c>
      <c r="G500" s="301">
        <v>3399.6</v>
      </c>
      <c r="H500" s="301">
        <f>Tabla15[[#This Row],[Importe]]-Tabla15[[#This Row],[Pagado]]</f>
        <v>0</v>
      </c>
      <c r="I500" s="275" t="s">
        <v>15214</v>
      </c>
    </row>
    <row r="501" spans="1:9" x14ac:dyDescent="0.25">
      <c r="A501" s="420">
        <v>43013</v>
      </c>
      <c r="B501" s="302" t="s">
        <v>32140</v>
      </c>
      <c r="C501">
        <v>130064</v>
      </c>
      <c r="D501" s="275" t="s">
        <v>15226</v>
      </c>
      <c r="E501" s="301">
        <v>1849.6</v>
      </c>
      <c r="F501" s="303">
        <v>43014</v>
      </c>
      <c r="G501" s="301">
        <v>1849.6</v>
      </c>
      <c r="H501" s="301">
        <f>Tabla15[[#This Row],[Importe]]-Tabla15[[#This Row],[Pagado]]</f>
        <v>0</v>
      </c>
      <c r="I501" s="275" t="s">
        <v>15214</v>
      </c>
    </row>
    <row r="502" spans="1:9" ht="30" x14ac:dyDescent="0.25">
      <c r="A502" s="420">
        <v>43013</v>
      </c>
      <c r="B502" s="302" t="s">
        <v>32141</v>
      </c>
      <c r="C502">
        <v>130065</v>
      </c>
      <c r="D502" s="275" t="s">
        <v>15258</v>
      </c>
      <c r="E502" s="301">
        <v>12676.2</v>
      </c>
      <c r="F502" s="303" t="s">
        <v>32142</v>
      </c>
      <c r="G502" s="305">
        <f>6700+5976.2</f>
        <v>12676.2</v>
      </c>
      <c r="H502" s="305">
        <f>Tabla15[[#This Row],[Importe]]-Tabla15[[#This Row],[Pagado]]</f>
        <v>0</v>
      </c>
      <c r="I502" s="275" t="s">
        <v>15214</v>
      </c>
    </row>
    <row r="503" spans="1:9" x14ac:dyDescent="0.25">
      <c r="A503" s="420">
        <v>43013</v>
      </c>
      <c r="B503" s="302" t="s">
        <v>32143</v>
      </c>
      <c r="C503">
        <v>130066</v>
      </c>
      <c r="D503" s="275" t="s">
        <v>15365</v>
      </c>
      <c r="E503" s="301">
        <v>52750.5</v>
      </c>
      <c r="F503" s="303">
        <v>43015</v>
      </c>
      <c r="G503" s="301">
        <v>52750.5</v>
      </c>
      <c r="H503" s="301">
        <f>Tabla15[[#This Row],[Importe]]-Tabla15[[#This Row],[Pagado]]</f>
        <v>0</v>
      </c>
      <c r="I503" s="275" t="s">
        <v>15214</v>
      </c>
    </row>
    <row r="504" spans="1:9" x14ac:dyDescent="0.25">
      <c r="A504" s="420">
        <v>43013</v>
      </c>
      <c r="B504" s="302" t="s">
        <v>32144</v>
      </c>
      <c r="C504">
        <v>130067</v>
      </c>
      <c r="D504" s="275" t="s">
        <v>15267</v>
      </c>
      <c r="E504" s="301">
        <v>3552</v>
      </c>
      <c r="F504" s="303">
        <v>43062</v>
      </c>
      <c r="G504" s="301">
        <v>3552</v>
      </c>
      <c r="H504" s="301">
        <f>Tabla15[[#This Row],[Importe]]-Tabla15[[#This Row],[Pagado]]</f>
        <v>0</v>
      </c>
      <c r="I504" s="275" t="s">
        <v>15214</v>
      </c>
    </row>
    <row r="505" spans="1:9" x14ac:dyDescent="0.25">
      <c r="A505" s="420">
        <v>43013</v>
      </c>
      <c r="B505" s="302" t="s">
        <v>32145</v>
      </c>
      <c r="C505">
        <v>130068</v>
      </c>
      <c r="D505" s="275" t="s">
        <v>15668</v>
      </c>
      <c r="E505" s="301">
        <v>16647.8</v>
      </c>
      <c r="F505" s="303">
        <v>43015</v>
      </c>
      <c r="G505" s="301">
        <v>16647.8</v>
      </c>
      <c r="H505" s="301">
        <f>Tabla15[[#This Row],[Importe]]-Tabla15[[#This Row],[Pagado]]</f>
        <v>0</v>
      </c>
      <c r="I505" s="275" t="s">
        <v>15214</v>
      </c>
    </row>
    <row r="506" spans="1:9" x14ac:dyDescent="0.25">
      <c r="A506" s="420">
        <v>43013</v>
      </c>
      <c r="B506" s="302" t="s">
        <v>32146</v>
      </c>
      <c r="C506">
        <v>130069</v>
      </c>
      <c r="D506" s="275" t="s">
        <v>15238</v>
      </c>
      <c r="E506" s="301">
        <v>3444.5</v>
      </c>
      <c r="F506" s="303">
        <v>43015</v>
      </c>
      <c r="G506" s="301">
        <v>3444.5</v>
      </c>
      <c r="H506" s="301">
        <f>Tabla15[[#This Row],[Importe]]-Tabla15[[#This Row],[Pagado]]</f>
        <v>0</v>
      </c>
      <c r="I506" s="275" t="s">
        <v>15214</v>
      </c>
    </row>
    <row r="507" spans="1:9" x14ac:dyDescent="0.25">
      <c r="A507" s="420">
        <v>43013</v>
      </c>
      <c r="B507" s="302" t="s">
        <v>32147</v>
      </c>
      <c r="C507">
        <v>130070</v>
      </c>
      <c r="D507" s="275" t="s">
        <v>15236</v>
      </c>
      <c r="E507" s="301">
        <v>3349.2</v>
      </c>
      <c r="F507" s="303">
        <v>43015</v>
      </c>
      <c r="G507" s="301">
        <v>3349.2</v>
      </c>
      <c r="H507" s="301">
        <f>Tabla15[[#This Row],[Importe]]-Tabla15[[#This Row],[Pagado]]</f>
        <v>0</v>
      </c>
      <c r="I507" s="275" t="s">
        <v>15214</v>
      </c>
    </row>
    <row r="508" spans="1:9" x14ac:dyDescent="0.25">
      <c r="A508" s="420">
        <v>43013</v>
      </c>
      <c r="B508" s="302" t="s">
        <v>32148</v>
      </c>
      <c r="C508">
        <v>130071</v>
      </c>
      <c r="D508" s="275" t="s">
        <v>15334</v>
      </c>
      <c r="E508" s="301">
        <v>2720</v>
      </c>
      <c r="F508" s="303">
        <v>43013</v>
      </c>
      <c r="G508" s="301">
        <v>2720</v>
      </c>
      <c r="H508" s="301">
        <f>Tabla15[[#This Row],[Importe]]-Tabla15[[#This Row],[Pagado]]</f>
        <v>0</v>
      </c>
      <c r="I508" s="275" t="s">
        <v>15214</v>
      </c>
    </row>
    <row r="509" spans="1:9" x14ac:dyDescent="0.25">
      <c r="A509" s="420">
        <v>43013</v>
      </c>
      <c r="B509" s="302" t="s">
        <v>32149</v>
      </c>
      <c r="C509">
        <v>130072</v>
      </c>
      <c r="D509" s="275" t="s">
        <v>15256</v>
      </c>
      <c r="E509" s="301">
        <v>2258.6</v>
      </c>
      <c r="F509" s="303">
        <v>43015</v>
      </c>
      <c r="G509" s="301">
        <v>2258.6</v>
      </c>
      <c r="H509" s="301">
        <f>Tabla15[[#This Row],[Importe]]-Tabla15[[#This Row],[Pagado]]</f>
        <v>0</v>
      </c>
      <c r="I509" s="275" t="s">
        <v>15214</v>
      </c>
    </row>
    <row r="510" spans="1:9" x14ac:dyDescent="0.25">
      <c r="A510" s="420">
        <v>43013</v>
      </c>
      <c r="B510" s="302" t="s">
        <v>32150</v>
      </c>
      <c r="C510">
        <v>130073</v>
      </c>
      <c r="D510" s="275" t="s">
        <v>30057</v>
      </c>
      <c r="E510" s="301">
        <v>3700.6</v>
      </c>
      <c r="F510" s="303">
        <v>43014</v>
      </c>
      <c r="G510" s="301">
        <v>3700.6</v>
      </c>
      <c r="H510" s="301">
        <f>Tabla15[[#This Row],[Importe]]-Tabla15[[#This Row],[Pagado]]</f>
        <v>0</v>
      </c>
      <c r="I510" s="275" t="s">
        <v>15214</v>
      </c>
    </row>
    <row r="511" spans="1:9" x14ac:dyDescent="0.25">
      <c r="A511" s="420">
        <v>43013</v>
      </c>
      <c r="B511" s="302" t="s">
        <v>32151</v>
      </c>
      <c r="C511">
        <v>130074</v>
      </c>
      <c r="D511" s="275" t="s">
        <v>15258</v>
      </c>
      <c r="E511" s="301">
        <v>423.7</v>
      </c>
      <c r="F511" s="303">
        <v>43014</v>
      </c>
      <c r="G511" s="301">
        <v>423.7</v>
      </c>
      <c r="H511" s="301">
        <f>Tabla15[[#This Row],[Importe]]-Tabla15[[#This Row],[Pagado]]</f>
        <v>0</v>
      </c>
      <c r="I511" s="275" t="s">
        <v>15214</v>
      </c>
    </row>
    <row r="512" spans="1:9" x14ac:dyDescent="0.25">
      <c r="A512" s="420">
        <v>43013</v>
      </c>
      <c r="B512" s="302" t="s">
        <v>32152</v>
      </c>
      <c r="C512">
        <v>130075</v>
      </c>
      <c r="D512" s="275" t="s">
        <v>15250</v>
      </c>
      <c r="E512" s="301">
        <v>131013.02</v>
      </c>
      <c r="F512" s="303">
        <v>43022</v>
      </c>
      <c r="G512" s="301">
        <v>131013.02</v>
      </c>
      <c r="H512" s="301">
        <f>Tabla15[[#This Row],[Importe]]-Tabla15[[#This Row],[Pagado]]</f>
        <v>0</v>
      </c>
      <c r="I512" s="275" t="s">
        <v>15214</v>
      </c>
    </row>
    <row r="513" spans="1:9" x14ac:dyDescent="0.25">
      <c r="A513" s="420">
        <v>43013</v>
      </c>
      <c r="B513" s="302" t="s">
        <v>32153</v>
      </c>
      <c r="C513">
        <v>130076</v>
      </c>
      <c r="D513" s="275" t="s">
        <v>15272</v>
      </c>
      <c r="E513" s="301">
        <v>14803.3</v>
      </c>
      <c r="F513" s="303">
        <v>43013</v>
      </c>
      <c r="G513" s="301">
        <v>14803.3</v>
      </c>
      <c r="H513" s="301">
        <f>Tabla15[[#This Row],[Importe]]-Tabla15[[#This Row],[Pagado]]</f>
        <v>0</v>
      </c>
      <c r="I513" s="275" t="s">
        <v>15214</v>
      </c>
    </row>
    <row r="514" spans="1:9" x14ac:dyDescent="0.25">
      <c r="A514" s="420">
        <v>43013</v>
      </c>
      <c r="B514" s="302" t="s">
        <v>32154</v>
      </c>
      <c r="C514">
        <v>130077</v>
      </c>
      <c r="D514" s="275" t="s">
        <v>15250</v>
      </c>
      <c r="E514" s="301">
        <v>1942.4</v>
      </c>
      <c r="F514" s="303">
        <v>43022</v>
      </c>
      <c r="G514" s="301">
        <v>1942.4</v>
      </c>
      <c r="H514" s="301">
        <f>Tabla15[[#This Row],[Importe]]-Tabla15[[#This Row],[Pagado]]</f>
        <v>0</v>
      </c>
      <c r="I514" s="275" t="s">
        <v>15214</v>
      </c>
    </row>
    <row r="515" spans="1:9" x14ac:dyDescent="0.25">
      <c r="A515" s="420">
        <v>43013</v>
      </c>
      <c r="B515" s="302" t="s">
        <v>32155</v>
      </c>
      <c r="C515">
        <v>130078</v>
      </c>
      <c r="D515" s="275" t="s">
        <v>15303</v>
      </c>
      <c r="E515" s="301">
        <v>2948</v>
      </c>
      <c r="F515" s="303">
        <v>43013</v>
      </c>
      <c r="G515" s="301">
        <v>2948</v>
      </c>
      <c r="H515" s="301">
        <f>Tabla15[[#This Row],[Importe]]-Tabla15[[#This Row],[Pagado]]</f>
        <v>0</v>
      </c>
      <c r="I515" s="275" t="s">
        <v>15214</v>
      </c>
    </row>
    <row r="516" spans="1:9" x14ac:dyDescent="0.25">
      <c r="A516" s="420">
        <v>43013</v>
      </c>
      <c r="B516" s="302" t="s">
        <v>32156</v>
      </c>
      <c r="C516">
        <v>130079</v>
      </c>
      <c r="D516" s="275" t="s">
        <v>15371</v>
      </c>
      <c r="E516" s="301">
        <v>5804.5</v>
      </c>
      <c r="F516" s="303">
        <v>43015</v>
      </c>
      <c r="G516" s="301">
        <v>5804.5</v>
      </c>
      <c r="H516" s="301">
        <f>Tabla15[[#This Row],[Importe]]-Tabla15[[#This Row],[Pagado]]</f>
        <v>0</v>
      </c>
      <c r="I516" s="275" t="s">
        <v>15214</v>
      </c>
    </row>
    <row r="517" spans="1:9" x14ac:dyDescent="0.25">
      <c r="A517" s="420">
        <v>43013</v>
      </c>
      <c r="B517" s="302" t="s">
        <v>32157</v>
      </c>
      <c r="C517">
        <v>130080</v>
      </c>
      <c r="D517" s="275" t="s">
        <v>17462</v>
      </c>
      <c r="E517" s="301">
        <v>6849.3</v>
      </c>
      <c r="F517" s="303">
        <v>43013</v>
      </c>
      <c r="G517" s="301">
        <v>6849.3</v>
      </c>
      <c r="H517" s="301">
        <f>Tabla15[[#This Row],[Importe]]-Tabla15[[#This Row],[Pagado]]</f>
        <v>0</v>
      </c>
      <c r="I517" s="275" t="s">
        <v>15214</v>
      </c>
    </row>
    <row r="518" spans="1:9" x14ac:dyDescent="0.25">
      <c r="A518" s="420">
        <v>43013</v>
      </c>
      <c r="B518" s="302" t="s">
        <v>32158</v>
      </c>
      <c r="C518">
        <v>130081</v>
      </c>
      <c r="D518" s="275" t="s">
        <v>15309</v>
      </c>
      <c r="E518" s="301">
        <v>12914.5</v>
      </c>
      <c r="F518" s="303">
        <v>43013</v>
      </c>
      <c r="G518" s="301">
        <v>12914.5</v>
      </c>
      <c r="H518" s="301">
        <f>Tabla15[[#This Row],[Importe]]-Tabla15[[#This Row],[Pagado]]</f>
        <v>0</v>
      </c>
      <c r="I518" s="275" t="s">
        <v>15214</v>
      </c>
    </row>
    <row r="519" spans="1:9" x14ac:dyDescent="0.25">
      <c r="A519" s="420">
        <v>43013</v>
      </c>
      <c r="B519" s="302" t="s">
        <v>32159</v>
      </c>
      <c r="C519">
        <v>130082</v>
      </c>
      <c r="D519" s="275" t="s">
        <v>15835</v>
      </c>
      <c r="E519" s="301">
        <v>13835.6</v>
      </c>
      <c r="F519" s="303">
        <v>43013</v>
      </c>
      <c r="G519" s="301">
        <v>13835.6</v>
      </c>
      <c r="H519" s="301">
        <f>Tabla15[[#This Row],[Importe]]-Tabla15[[#This Row],[Pagado]]</f>
        <v>0</v>
      </c>
      <c r="I519" s="275" t="s">
        <v>15214</v>
      </c>
    </row>
    <row r="520" spans="1:9" x14ac:dyDescent="0.25">
      <c r="A520" s="420">
        <v>43013</v>
      </c>
      <c r="B520" s="302" t="s">
        <v>32160</v>
      </c>
      <c r="C520">
        <v>130083</v>
      </c>
      <c r="D520" s="275" t="s">
        <v>15583</v>
      </c>
      <c r="E520" s="301">
        <v>1502.4</v>
      </c>
      <c r="F520" s="303">
        <v>43014</v>
      </c>
      <c r="G520" s="301">
        <v>1502.4</v>
      </c>
      <c r="H520" s="301">
        <f>Tabla15[[#This Row],[Importe]]-Tabla15[[#This Row],[Pagado]]</f>
        <v>0</v>
      </c>
      <c r="I520" s="275" t="s">
        <v>15214</v>
      </c>
    </row>
    <row r="521" spans="1:9" x14ac:dyDescent="0.25">
      <c r="A521" s="420">
        <v>43013</v>
      </c>
      <c r="B521" s="302" t="s">
        <v>32161</v>
      </c>
      <c r="C521">
        <v>130084</v>
      </c>
      <c r="D521" s="275" t="s">
        <v>16484</v>
      </c>
      <c r="E521" s="301">
        <v>1298</v>
      </c>
      <c r="F521" s="303">
        <v>43013</v>
      </c>
      <c r="G521" s="301">
        <v>1298</v>
      </c>
      <c r="H521" s="301">
        <f>Tabla15[[#This Row],[Importe]]-Tabla15[[#This Row],[Pagado]]</f>
        <v>0</v>
      </c>
      <c r="I521" s="275" t="s">
        <v>15214</v>
      </c>
    </row>
    <row r="522" spans="1:9" x14ac:dyDescent="0.25">
      <c r="A522" s="420">
        <v>43013</v>
      </c>
      <c r="B522" s="302" t="s">
        <v>32162</v>
      </c>
      <c r="C522">
        <v>130085</v>
      </c>
      <c r="D522" s="275" t="s">
        <v>15415</v>
      </c>
      <c r="E522" s="301">
        <v>3510.9</v>
      </c>
      <c r="F522" s="303">
        <v>43018</v>
      </c>
      <c r="G522" s="301">
        <v>3510.9</v>
      </c>
      <c r="H522" s="301">
        <f>Tabla15[[#This Row],[Importe]]-Tabla15[[#This Row],[Pagado]]</f>
        <v>0</v>
      </c>
      <c r="I522" s="275" t="s">
        <v>15214</v>
      </c>
    </row>
    <row r="523" spans="1:9" x14ac:dyDescent="0.25">
      <c r="A523" s="420">
        <v>43013</v>
      </c>
      <c r="B523" s="302" t="s">
        <v>32163</v>
      </c>
      <c r="C523">
        <v>130086</v>
      </c>
      <c r="D523" s="275" t="s">
        <v>15313</v>
      </c>
      <c r="E523" s="301">
        <v>3494.4</v>
      </c>
      <c r="F523" s="303">
        <v>43013</v>
      </c>
      <c r="G523" s="301">
        <v>3494.4</v>
      </c>
      <c r="H523" s="301">
        <f>Tabla15[[#This Row],[Importe]]-Tabla15[[#This Row],[Pagado]]</f>
        <v>0</v>
      </c>
      <c r="I523" s="275" t="s">
        <v>15214</v>
      </c>
    </row>
    <row r="524" spans="1:9" x14ac:dyDescent="0.25">
      <c r="A524" s="420">
        <v>43013</v>
      </c>
      <c r="B524" s="302" t="s">
        <v>32164</v>
      </c>
      <c r="C524">
        <v>130087</v>
      </c>
      <c r="D524" s="275" t="s">
        <v>15523</v>
      </c>
      <c r="E524" s="301">
        <v>1760</v>
      </c>
      <c r="F524" s="303">
        <v>43013</v>
      </c>
      <c r="G524" s="301">
        <v>1760</v>
      </c>
      <c r="H524" s="301">
        <f>Tabla15[[#This Row],[Importe]]-Tabla15[[#This Row],[Pagado]]</f>
        <v>0</v>
      </c>
      <c r="I524" s="275" t="s">
        <v>15214</v>
      </c>
    </row>
    <row r="525" spans="1:9" x14ac:dyDescent="0.25">
      <c r="A525" s="420">
        <v>43013</v>
      </c>
      <c r="B525" s="302" t="s">
        <v>32165</v>
      </c>
      <c r="C525">
        <v>130088</v>
      </c>
      <c r="D525" s="275" t="s">
        <v>15858</v>
      </c>
      <c r="E525" s="301">
        <v>4150.96</v>
      </c>
      <c r="F525" s="303">
        <v>43013</v>
      </c>
      <c r="G525" s="301">
        <v>4150.96</v>
      </c>
      <c r="H525" s="301">
        <f>Tabla15[[#This Row],[Importe]]-Tabla15[[#This Row],[Pagado]]</f>
        <v>0</v>
      </c>
      <c r="I525" s="275" t="s">
        <v>15214</v>
      </c>
    </row>
    <row r="526" spans="1:9" x14ac:dyDescent="0.25">
      <c r="A526" s="420">
        <v>43013</v>
      </c>
      <c r="B526" s="302" t="s">
        <v>32166</v>
      </c>
      <c r="C526">
        <v>130089</v>
      </c>
      <c r="D526" s="275" t="s">
        <v>15344</v>
      </c>
      <c r="E526" s="301">
        <v>2011.5</v>
      </c>
      <c r="F526" s="303">
        <v>43013</v>
      </c>
      <c r="G526" s="301">
        <v>2011.5</v>
      </c>
      <c r="H526" s="301">
        <f>Tabla15[[#This Row],[Importe]]-Tabla15[[#This Row],[Pagado]]</f>
        <v>0</v>
      </c>
      <c r="I526" s="275" t="s">
        <v>15214</v>
      </c>
    </row>
    <row r="527" spans="1:9" x14ac:dyDescent="0.25">
      <c r="A527" s="420">
        <v>43013</v>
      </c>
      <c r="B527" s="302" t="s">
        <v>32167</v>
      </c>
      <c r="C527">
        <v>130090</v>
      </c>
      <c r="D527" s="275" t="s">
        <v>15284</v>
      </c>
      <c r="E527" s="301">
        <v>1363.5</v>
      </c>
      <c r="F527" s="303">
        <v>43013</v>
      </c>
      <c r="G527" s="301">
        <v>1363.5</v>
      </c>
      <c r="H527" s="301">
        <f>Tabla15[[#This Row],[Importe]]-Tabla15[[#This Row],[Pagado]]</f>
        <v>0</v>
      </c>
      <c r="I527" s="275" t="s">
        <v>15214</v>
      </c>
    </row>
    <row r="528" spans="1:9" x14ac:dyDescent="0.25">
      <c r="A528" s="420">
        <v>43013</v>
      </c>
      <c r="B528" s="302" t="s">
        <v>32168</v>
      </c>
      <c r="C528">
        <v>130091</v>
      </c>
      <c r="D528" s="275" t="s">
        <v>15301</v>
      </c>
      <c r="E528" s="301">
        <v>3224.2</v>
      </c>
      <c r="F528" s="303">
        <v>43013</v>
      </c>
      <c r="G528" s="301">
        <v>3224.2</v>
      </c>
      <c r="H528" s="301">
        <f>Tabla15[[#This Row],[Importe]]-Tabla15[[#This Row],[Pagado]]</f>
        <v>0</v>
      </c>
      <c r="I528" s="275" t="s">
        <v>15214</v>
      </c>
    </row>
    <row r="529" spans="1:9" x14ac:dyDescent="0.25">
      <c r="A529" s="420">
        <v>43013</v>
      </c>
      <c r="B529" s="302" t="s">
        <v>32169</v>
      </c>
      <c r="C529">
        <v>130092</v>
      </c>
      <c r="D529" s="275" t="s">
        <v>15617</v>
      </c>
      <c r="E529" s="301">
        <v>26341.8</v>
      </c>
      <c r="F529" s="303">
        <v>43013</v>
      </c>
      <c r="G529" s="301">
        <v>26341.8</v>
      </c>
      <c r="H529" s="301">
        <f>Tabla15[[#This Row],[Importe]]-Tabla15[[#This Row],[Pagado]]</f>
        <v>0</v>
      </c>
      <c r="I529" s="275" t="s">
        <v>15214</v>
      </c>
    </row>
    <row r="530" spans="1:9" ht="15.75" x14ac:dyDescent="0.25">
      <c r="A530" s="420">
        <v>43013</v>
      </c>
      <c r="B530" s="302" t="s">
        <v>32170</v>
      </c>
      <c r="C530">
        <v>130093</v>
      </c>
      <c r="D530" s="248" t="s">
        <v>95</v>
      </c>
      <c r="E530" s="301">
        <v>0</v>
      </c>
      <c r="F530" s="243" t="s">
        <v>95</v>
      </c>
      <c r="G530" s="301">
        <v>0</v>
      </c>
      <c r="H530" s="301">
        <f>Tabla15[[#This Row],[Importe]]-Tabla15[[#This Row],[Pagado]]</f>
        <v>0</v>
      </c>
      <c r="I530" s="275" t="s">
        <v>95</v>
      </c>
    </row>
    <row r="531" spans="1:9" x14ac:dyDescent="0.25">
      <c r="A531" s="420">
        <v>43013</v>
      </c>
      <c r="B531" s="302" t="s">
        <v>32171</v>
      </c>
      <c r="C531">
        <v>130094</v>
      </c>
      <c r="D531" s="275" t="s">
        <v>15315</v>
      </c>
      <c r="E531" s="301">
        <v>905.4</v>
      </c>
      <c r="F531" s="303">
        <v>43013</v>
      </c>
      <c r="G531" s="301">
        <v>905.4</v>
      </c>
      <c r="H531" s="301">
        <f>Tabla15[[#This Row],[Importe]]-Tabla15[[#This Row],[Pagado]]</f>
        <v>0</v>
      </c>
      <c r="I531" s="275" t="s">
        <v>15214</v>
      </c>
    </row>
    <row r="532" spans="1:9" x14ac:dyDescent="0.25">
      <c r="A532" s="420">
        <v>43013</v>
      </c>
      <c r="B532" s="302" t="s">
        <v>32172</v>
      </c>
      <c r="C532">
        <v>130095</v>
      </c>
      <c r="D532" s="275" t="s">
        <v>15261</v>
      </c>
      <c r="E532" s="301">
        <v>7733.4</v>
      </c>
      <c r="F532" s="303">
        <v>43013</v>
      </c>
      <c r="G532" s="301">
        <v>7733.4</v>
      </c>
      <c r="H532" s="301">
        <f>Tabla15[[#This Row],[Importe]]-Tabla15[[#This Row],[Pagado]]</f>
        <v>0</v>
      </c>
      <c r="I532" s="275" t="s">
        <v>15214</v>
      </c>
    </row>
    <row r="533" spans="1:9" x14ac:dyDescent="0.25">
      <c r="A533" s="420">
        <v>43013</v>
      </c>
      <c r="B533" s="302" t="s">
        <v>32173</v>
      </c>
      <c r="C533">
        <v>130096</v>
      </c>
      <c r="D533" s="275" t="s">
        <v>15261</v>
      </c>
      <c r="E533" s="301">
        <v>10562.4</v>
      </c>
      <c r="F533" s="303">
        <v>43013</v>
      </c>
      <c r="G533" s="301">
        <v>10562.4</v>
      </c>
      <c r="H533" s="301">
        <f>Tabla15[[#This Row],[Importe]]-Tabla15[[#This Row],[Pagado]]</f>
        <v>0</v>
      </c>
      <c r="I533" s="275" t="s">
        <v>15214</v>
      </c>
    </row>
    <row r="534" spans="1:9" x14ac:dyDescent="0.25">
      <c r="A534" s="420">
        <v>43013</v>
      </c>
      <c r="B534" s="302" t="s">
        <v>32174</v>
      </c>
      <c r="C534">
        <v>130097</v>
      </c>
      <c r="D534" s="275" t="s">
        <v>15223</v>
      </c>
      <c r="E534" s="301">
        <v>51512.4</v>
      </c>
      <c r="F534" s="303">
        <v>43036</v>
      </c>
      <c r="G534" s="301">
        <v>51512.4</v>
      </c>
      <c r="H534" s="301">
        <f>Tabla15[[#This Row],[Importe]]-Tabla15[[#This Row],[Pagado]]</f>
        <v>0</v>
      </c>
      <c r="I534" s="275" t="s">
        <v>15214</v>
      </c>
    </row>
    <row r="535" spans="1:9" x14ac:dyDescent="0.25">
      <c r="A535" s="420">
        <v>43013</v>
      </c>
      <c r="B535" s="302" t="s">
        <v>32175</v>
      </c>
      <c r="C535">
        <v>130098</v>
      </c>
      <c r="D535" s="275" t="s">
        <v>15438</v>
      </c>
      <c r="E535" s="301">
        <v>5782.6</v>
      </c>
      <c r="F535" s="303">
        <v>43013</v>
      </c>
      <c r="G535" s="301">
        <v>5782.6</v>
      </c>
      <c r="H535" s="301">
        <f>Tabla15[[#This Row],[Importe]]-Tabla15[[#This Row],[Pagado]]</f>
        <v>0</v>
      </c>
      <c r="I535" s="275" t="s">
        <v>15214</v>
      </c>
    </row>
    <row r="536" spans="1:9" x14ac:dyDescent="0.25">
      <c r="A536" s="420">
        <v>43013</v>
      </c>
      <c r="B536" s="302" t="s">
        <v>32176</v>
      </c>
      <c r="C536">
        <v>130099</v>
      </c>
      <c r="D536" s="275" t="s">
        <v>15338</v>
      </c>
      <c r="E536" s="301">
        <v>11451.4</v>
      </c>
      <c r="F536" s="303">
        <v>43017</v>
      </c>
      <c r="G536" s="301">
        <v>11451.4</v>
      </c>
      <c r="H536" s="301">
        <f>Tabla15[[#This Row],[Importe]]-Tabla15[[#This Row],[Pagado]]</f>
        <v>0</v>
      </c>
      <c r="I536" s="275" t="s">
        <v>15214</v>
      </c>
    </row>
    <row r="537" spans="1:9" x14ac:dyDescent="0.25">
      <c r="A537" s="420">
        <v>43013</v>
      </c>
      <c r="B537" s="302" t="s">
        <v>32177</v>
      </c>
      <c r="C537">
        <v>130100</v>
      </c>
      <c r="D537" s="275" t="s">
        <v>5828</v>
      </c>
      <c r="E537" s="301">
        <v>8780.7999999999993</v>
      </c>
      <c r="F537" s="303">
        <v>43013</v>
      </c>
      <c r="G537" s="301">
        <v>8780.7999999999993</v>
      </c>
      <c r="H537" s="301">
        <f>Tabla15[[#This Row],[Importe]]-Tabla15[[#This Row],[Pagado]]</f>
        <v>0</v>
      </c>
      <c r="I537" s="275" t="s">
        <v>15214</v>
      </c>
    </row>
    <row r="538" spans="1:9" x14ac:dyDescent="0.25">
      <c r="A538" s="420">
        <v>43013</v>
      </c>
      <c r="B538" s="302" t="s">
        <v>32178</v>
      </c>
      <c r="C538">
        <v>130101</v>
      </c>
      <c r="D538" s="275" t="s">
        <v>16740</v>
      </c>
      <c r="E538" s="301">
        <v>1116</v>
      </c>
      <c r="F538" s="303">
        <v>43013</v>
      </c>
      <c r="G538" s="301">
        <v>1116</v>
      </c>
      <c r="H538" s="301">
        <f>Tabla15[[#This Row],[Importe]]-Tabla15[[#This Row],[Pagado]]</f>
        <v>0</v>
      </c>
      <c r="I538" s="275" t="s">
        <v>15214</v>
      </c>
    </row>
    <row r="539" spans="1:9" x14ac:dyDescent="0.25">
      <c r="A539" s="420">
        <v>43013</v>
      </c>
      <c r="B539" s="302" t="s">
        <v>32179</v>
      </c>
      <c r="C539">
        <v>130102</v>
      </c>
      <c r="D539" s="275" t="s">
        <v>15407</v>
      </c>
      <c r="E539" s="301">
        <v>3020</v>
      </c>
      <c r="F539" s="303">
        <v>43013</v>
      </c>
      <c r="G539" s="301">
        <v>3020</v>
      </c>
      <c r="H539" s="301">
        <f>Tabla15[[#This Row],[Importe]]-Tabla15[[#This Row],[Pagado]]</f>
        <v>0</v>
      </c>
      <c r="I539" s="275" t="s">
        <v>15214</v>
      </c>
    </row>
    <row r="540" spans="1:9" x14ac:dyDescent="0.25">
      <c r="A540" s="420">
        <v>43013</v>
      </c>
      <c r="B540" s="302" t="s">
        <v>32180</v>
      </c>
      <c r="C540">
        <v>130103</v>
      </c>
      <c r="D540" s="275" t="s">
        <v>15328</v>
      </c>
      <c r="E540" s="301">
        <v>34383</v>
      </c>
      <c r="F540" s="303">
        <v>43021</v>
      </c>
      <c r="G540" s="301">
        <v>34383</v>
      </c>
      <c r="H540" s="301">
        <f>Tabla15[[#This Row],[Importe]]-Tabla15[[#This Row],[Pagado]]</f>
        <v>0</v>
      </c>
      <c r="I540" s="275" t="s">
        <v>15214</v>
      </c>
    </row>
    <row r="541" spans="1:9" ht="15.75" x14ac:dyDescent="0.25">
      <c r="A541" s="420">
        <v>43013</v>
      </c>
      <c r="B541" s="302" t="s">
        <v>32181</v>
      </c>
      <c r="C541">
        <v>130104</v>
      </c>
      <c r="D541" s="248" t="s">
        <v>95</v>
      </c>
      <c r="E541" s="301">
        <v>0</v>
      </c>
      <c r="F541" s="243" t="s">
        <v>95</v>
      </c>
      <c r="G541" s="301">
        <v>0</v>
      </c>
      <c r="H541" s="301">
        <f>Tabla15[[#This Row],[Importe]]-Tabla15[[#This Row],[Pagado]]</f>
        <v>0</v>
      </c>
      <c r="I541" s="275" t="s">
        <v>95</v>
      </c>
    </row>
    <row r="542" spans="1:9" x14ac:dyDescent="0.25">
      <c r="A542" s="420">
        <v>43013</v>
      </c>
      <c r="B542" s="302" t="s">
        <v>32182</v>
      </c>
      <c r="C542">
        <v>130105</v>
      </c>
      <c r="D542" s="275" t="s">
        <v>15280</v>
      </c>
      <c r="E542" s="301">
        <v>6496.6</v>
      </c>
      <c r="F542" s="303">
        <v>43013</v>
      </c>
      <c r="G542" s="301">
        <v>6496.6</v>
      </c>
      <c r="H542" s="301">
        <f>Tabla15[[#This Row],[Importe]]-Tabla15[[#This Row],[Pagado]]</f>
        <v>0</v>
      </c>
      <c r="I542" s="275" t="s">
        <v>15214</v>
      </c>
    </row>
    <row r="543" spans="1:9" x14ac:dyDescent="0.25">
      <c r="A543" s="420">
        <v>43013</v>
      </c>
      <c r="B543" s="302" t="s">
        <v>32183</v>
      </c>
      <c r="C543">
        <v>130106</v>
      </c>
      <c r="D543" s="275" t="s">
        <v>15358</v>
      </c>
      <c r="E543" s="301">
        <v>1045.8</v>
      </c>
      <c r="F543" s="303">
        <v>43013</v>
      </c>
      <c r="G543" s="301">
        <v>1045.8</v>
      </c>
      <c r="H543" s="301">
        <f>Tabla15[[#This Row],[Importe]]-Tabla15[[#This Row],[Pagado]]</f>
        <v>0</v>
      </c>
      <c r="I543" s="275" t="s">
        <v>15214</v>
      </c>
    </row>
    <row r="544" spans="1:9" x14ac:dyDescent="0.25">
      <c r="A544" s="420">
        <v>43013</v>
      </c>
      <c r="B544" s="302" t="s">
        <v>32184</v>
      </c>
      <c r="C544">
        <v>130107</v>
      </c>
      <c r="D544" s="275" t="s">
        <v>15248</v>
      </c>
      <c r="E544" s="301">
        <v>16295.7</v>
      </c>
      <c r="F544" s="303">
        <v>43013</v>
      </c>
      <c r="G544" s="301">
        <v>16295.7</v>
      </c>
      <c r="H544" s="301">
        <f>Tabla15[[#This Row],[Importe]]-Tabla15[[#This Row],[Pagado]]</f>
        <v>0</v>
      </c>
      <c r="I544" s="275" t="s">
        <v>15214</v>
      </c>
    </row>
    <row r="545" spans="1:9" x14ac:dyDescent="0.25">
      <c r="A545" s="420">
        <v>43013</v>
      </c>
      <c r="B545" s="302" t="s">
        <v>32185</v>
      </c>
      <c r="C545">
        <v>130108</v>
      </c>
      <c r="D545" s="275" t="s">
        <v>15537</v>
      </c>
      <c r="E545" s="301">
        <v>15214.4</v>
      </c>
      <c r="F545" s="303">
        <v>43014</v>
      </c>
      <c r="G545" s="301">
        <v>15214.4</v>
      </c>
      <c r="H545" s="301">
        <f>Tabla15[[#This Row],[Importe]]-Tabla15[[#This Row],[Pagado]]</f>
        <v>0</v>
      </c>
      <c r="I545" s="275" t="s">
        <v>15214</v>
      </c>
    </row>
    <row r="546" spans="1:9" x14ac:dyDescent="0.25">
      <c r="A546" s="420">
        <v>43013</v>
      </c>
      <c r="B546" s="302" t="s">
        <v>32186</v>
      </c>
      <c r="C546">
        <v>130109</v>
      </c>
      <c r="D546" s="275" t="s">
        <v>16338</v>
      </c>
      <c r="E546" s="301">
        <v>9950.4</v>
      </c>
      <c r="F546" s="303">
        <v>43014</v>
      </c>
      <c r="G546" s="301">
        <v>9950.4</v>
      </c>
      <c r="H546" s="301">
        <f>Tabla15[[#This Row],[Importe]]-Tabla15[[#This Row],[Pagado]]</f>
        <v>0</v>
      </c>
      <c r="I546" s="275" t="s">
        <v>15214</v>
      </c>
    </row>
    <row r="547" spans="1:9" x14ac:dyDescent="0.25">
      <c r="A547" s="420">
        <v>43013</v>
      </c>
      <c r="B547" s="302" t="s">
        <v>32187</v>
      </c>
      <c r="C547">
        <v>130110</v>
      </c>
      <c r="D547" s="275" t="s">
        <v>15699</v>
      </c>
      <c r="E547" s="301">
        <v>6460.2</v>
      </c>
      <c r="F547" s="303">
        <v>43014</v>
      </c>
      <c r="G547" s="301">
        <v>6460.2</v>
      </c>
      <c r="H547" s="301">
        <f>Tabla15[[#This Row],[Importe]]-Tabla15[[#This Row],[Pagado]]</f>
        <v>0</v>
      </c>
      <c r="I547" s="275" t="s">
        <v>15214</v>
      </c>
    </row>
    <row r="548" spans="1:9" x14ac:dyDescent="0.25">
      <c r="A548" s="420">
        <v>43013</v>
      </c>
      <c r="B548" s="302" t="s">
        <v>32188</v>
      </c>
      <c r="C548">
        <v>130111</v>
      </c>
      <c r="D548" s="275" t="s">
        <v>17057</v>
      </c>
      <c r="E548" s="301">
        <v>2361.4</v>
      </c>
      <c r="F548" s="303">
        <v>43013</v>
      </c>
      <c r="G548" s="301">
        <v>2361.4</v>
      </c>
      <c r="H548" s="301">
        <f>Tabla15[[#This Row],[Importe]]-Tabla15[[#This Row],[Pagado]]</f>
        <v>0</v>
      </c>
      <c r="I548" s="275" t="s">
        <v>15214</v>
      </c>
    </row>
    <row r="549" spans="1:9" x14ac:dyDescent="0.25">
      <c r="A549" s="420">
        <v>43013</v>
      </c>
      <c r="B549" s="302" t="s">
        <v>32189</v>
      </c>
      <c r="C549">
        <v>130112</v>
      </c>
      <c r="D549" s="275" t="s">
        <v>15298</v>
      </c>
      <c r="E549" s="301">
        <v>18770.099999999999</v>
      </c>
      <c r="F549" s="303">
        <v>43020</v>
      </c>
      <c r="G549" s="301">
        <v>18770.099999999999</v>
      </c>
      <c r="H549" s="301">
        <f>Tabla15[[#This Row],[Importe]]-Tabla15[[#This Row],[Pagado]]</f>
        <v>0</v>
      </c>
      <c r="I549" s="275" t="s">
        <v>15214</v>
      </c>
    </row>
    <row r="550" spans="1:9" x14ac:dyDescent="0.25">
      <c r="A550" s="420">
        <v>43013</v>
      </c>
      <c r="B550" s="302" t="s">
        <v>32190</v>
      </c>
      <c r="C550">
        <v>130113</v>
      </c>
      <c r="D550" s="275" t="s">
        <v>19756</v>
      </c>
      <c r="E550" s="301">
        <v>993.4</v>
      </c>
      <c r="F550" s="303">
        <v>43013</v>
      </c>
      <c r="G550" s="301">
        <v>993.4</v>
      </c>
      <c r="H550" s="301">
        <f>Tabla15[[#This Row],[Importe]]-Tabla15[[#This Row],[Pagado]]</f>
        <v>0</v>
      </c>
      <c r="I550" s="275" t="s">
        <v>15214</v>
      </c>
    </row>
    <row r="551" spans="1:9" x14ac:dyDescent="0.25">
      <c r="A551" s="420">
        <v>43013</v>
      </c>
      <c r="B551" s="302" t="s">
        <v>32191</v>
      </c>
      <c r="C551">
        <v>130114</v>
      </c>
      <c r="D551" s="275" t="s">
        <v>15699</v>
      </c>
      <c r="E551" s="301">
        <v>30496.48</v>
      </c>
      <c r="F551" s="303">
        <v>43014</v>
      </c>
      <c r="G551" s="301">
        <v>30496.48</v>
      </c>
      <c r="H551" s="301">
        <f>Tabla15[[#This Row],[Importe]]-Tabla15[[#This Row],[Pagado]]</f>
        <v>0</v>
      </c>
      <c r="I551" s="275" t="s">
        <v>15214</v>
      </c>
    </row>
    <row r="552" spans="1:9" x14ac:dyDescent="0.25">
      <c r="A552" s="420">
        <v>43013</v>
      </c>
      <c r="B552" s="302" t="s">
        <v>32192</v>
      </c>
      <c r="C552">
        <v>130115</v>
      </c>
      <c r="D552" s="275" t="s">
        <v>15699</v>
      </c>
      <c r="E552" s="301">
        <v>667.2</v>
      </c>
      <c r="F552" s="303">
        <v>43014</v>
      </c>
      <c r="G552" s="301">
        <v>667.2</v>
      </c>
      <c r="H552" s="301">
        <f>Tabla15[[#This Row],[Importe]]-Tabla15[[#This Row],[Pagado]]</f>
        <v>0</v>
      </c>
      <c r="I552" s="275" t="s">
        <v>15214</v>
      </c>
    </row>
    <row r="553" spans="1:9" x14ac:dyDescent="0.25">
      <c r="A553" s="420">
        <v>43013</v>
      </c>
      <c r="B553" s="302" t="s">
        <v>32193</v>
      </c>
      <c r="C553">
        <v>130116</v>
      </c>
      <c r="D553" s="275" t="s">
        <v>15246</v>
      </c>
      <c r="E553" s="301">
        <v>307296.73</v>
      </c>
      <c r="F553" s="303">
        <v>43014</v>
      </c>
      <c r="G553" s="301">
        <v>307296.73</v>
      </c>
      <c r="H553" s="301">
        <f>Tabla15[[#This Row],[Importe]]-Tabla15[[#This Row],[Pagado]]</f>
        <v>0</v>
      </c>
      <c r="I553" s="275" t="s">
        <v>15214</v>
      </c>
    </row>
    <row r="554" spans="1:9" x14ac:dyDescent="0.25">
      <c r="A554" s="420">
        <v>43013</v>
      </c>
      <c r="B554" s="302" t="s">
        <v>32194</v>
      </c>
      <c r="C554">
        <v>130117</v>
      </c>
      <c r="D554" s="275" t="s">
        <v>15252</v>
      </c>
      <c r="E554" s="301">
        <v>5505.5</v>
      </c>
      <c r="F554" s="303">
        <v>43014</v>
      </c>
      <c r="G554" s="301">
        <v>5505.5</v>
      </c>
      <c r="H554" s="301">
        <f>Tabla15[[#This Row],[Importe]]-Tabla15[[#This Row],[Pagado]]</f>
        <v>0</v>
      </c>
      <c r="I554" s="275" t="s">
        <v>15214</v>
      </c>
    </row>
    <row r="555" spans="1:9" x14ac:dyDescent="0.25">
      <c r="A555" s="420">
        <v>43013</v>
      </c>
      <c r="B555" s="302" t="s">
        <v>32195</v>
      </c>
      <c r="C555">
        <v>130118</v>
      </c>
      <c r="D555" s="275" t="s">
        <v>15244</v>
      </c>
      <c r="E555" s="301">
        <v>9088.7000000000007</v>
      </c>
      <c r="F555" s="303">
        <v>43013</v>
      </c>
      <c r="G555" s="301">
        <v>9088.7000000000007</v>
      </c>
      <c r="H555" s="301">
        <f>Tabla15[[#This Row],[Importe]]-Tabla15[[#This Row],[Pagado]]</f>
        <v>0</v>
      </c>
      <c r="I555" s="275" t="s">
        <v>15214</v>
      </c>
    </row>
    <row r="556" spans="1:9" x14ac:dyDescent="0.25">
      <c r="A556" s="420">
        <v>43013</v>
      </c>
      <c r="B556" s="302" t="s">
        <v>32196</v>
      </c>
      <c r="C556">
        <v>130119</v>
      </c>
      <c r="D556" s="275" t="s">
        <v>23937</v>
      </c>
      <c r="E556" s="301">
        <v>99</v>
      </c>
      <c r="F556" s="303">
        <v>43013</v>
      </c>
      <c r="G556" s="301">
        <v>99</v>
      </c>
      <c r="H556" s="301">
        <f>Tabla15[[#This Row],[Importe]]-Tabla15[[#This Row],[Pagado]]</f>
        <v>0</v>
      </c>
      <c r="I556" s="275" t="s">
        <v>15214</v>
      </c>
    </row>
    <row r="557" spans="1:9" x14ac:dyDescent="0.25">
      <c r="A557" s="420">
        <v>43013</v>
      </c>
      <c r="B557" s="302" t="s">
        <v>32197</v>
      </c>
      <c r="C557">
        <v>130120</v>
      </c>
      <c r="D557" s="275" t="s">
        <v>15396</v>
      </c>
      <c r="E557" s="301">
        <v>6542.02</v>
      </c>
      <c r="F557" s="303">
        <v>43013</v>
      </c>
      <c r="G557" s="301">
        <v>6542.02</v>
      </c>
      <c r="H557" s="301">
        <f>Tabla15[[#This Row],[Importe]]-Tabla15[[#This Row],[Pagado]]</f>
        <v>0</v>
      </c>
      <c r="I557" s="275" t="s">
        <v>15214</v>
      </c>
    </row>
    <row r="558" spans="1:9" x14ac:dyDescent="0.25">
      <c r="A558" s="420">
        <v>43013</v>
      </c>
      <c r="B558" s="302" t="s">
        <v>32198</v>
      </c>
      <c r="C558">
        <v>130121</v>
      </c>
      <c r="D558" s="275" t="s">
        <v>15559</v>
      </c>
      <c r="E558" s="301">
        <v>3083.4</v>
      </c>
      <c r="F558" s="303">
        <v>43014</v>
      </c>
      <c r="G558" s="301">
        <v>3083.4</v>
      </c>
      <c r="H558" s="301">
        <f>Tabla15[[#This Row],[Importe]]-Tabla15[[#This Row],[Pagado]]</f>
        <v>0</v>
      </c>
      <c r="I558" s="275" t="s">
        <v>15214</v>
      </c>
    </row>
    <row r="559" spans="1:9" x14ac:dyDescent="0.25">
      <c r="A559" s="420">
        <v>43013</v>
      </c>
      <c r="B559" s="302" t="s">
        <v>32199</v>
      </c>
      <c r="C559">
        <v>130122</v>
      </c>
      <c r="D559" s="275" t="s">
        <v>23215</v>
      </c>
      <c r="E559" s="301">
        <v>4372.8</v>
      </c>
      <c r="F559" s="303">
        <v>43013</v>
      </c>
      <c r="G559" s="301">
        <v>4372.8</v>
      </c>
      <c r="H559" s="301">
        <f>Tabla15[[#This Row],[Importe]]-Tabla15[[#This Row],[Pagado]]</f>
        <v>0</v>
      </c>
      <c r="I559" s="275" t="s">
        <v>15214</v>
      </c>
    </row>
    <row r="560" spans="1:9" ht="15.75" x14ac:dyDescent="0.25">
      <c r="A560" s="420">
        <v>43013</v>
      </c>
      <c r="B560" s="302" t="s">
        <v>32200</v>
      </c>
      <c r="C560">
        <v>130123</v>
      </c>
      <c r="D560" s="248" t="s">
        <v>95</v>
      </c>
      <c r="E560" s="301">
        <v>0</v>
      </c>
      <c r="F560" s="243" t="s">
        <v>95</v>
      </c>
      <c r="G560" s="301">
        <v>0</v>
      </c>
      <c r="H560" s="301">
        <f>Tabla15[[#This Row],[Importe]]-Tabla15[[#This Row],[Pagado]]</f>
        <v>0</v>
      </c>
      <c r="I560" s="275" t="s">
        <v>95</v>
      </c>
    </row>
    <row r="561" spans="1:9" ht="15.75" x14ac:dyDescent="0.25">
      <c r="A561" s="420">
        <v>43013</v>
      </c>
      <c r="B561" s="302" t="s">
        <v>32201</v>
      </c>
      <c r="C561">
        <v>130124</v>
      </c>
      <c r="D561" s="248" t="s">
        <v>95</v>
      </c>
      <c r="E561" s="301">
        <v>0</v>
      </c>
      <c r="F561" s="243" t="s">
        <v>95</v>
      </c>
      <c r="G561" s="301">
        <v>0</v>
      </c>
      <c r="H561" s="301">
        <f>Tabla15[[#This Row],[Importe]]-Tabla15[[#This Row],[Pagado]]</f>
        <v>0</v>
      </c>
      <c r="I561" s="275" t="s">
        <v>95</v>
      </c>
    </row>
    <row r="562" spans="1:9" x14ac:dyDescent="0.25">
      <c r="A562" s="420">
        <v>43013</v>
      </c>
      <c r="B562" s="302" t="s">
        <v>32202</v>
      </c>
      <c r="C562">
        <v>130125</v>
      </c>
      <c r="D562" s="275" t="s">
        <v>15246</v>
      </c>
      <c r="E562" s="301">
        <v>8155.6</v>
      </c>
      <c r="F562" s="303">
        <v>43014</v>
      </c>
      <c r="G562" s="301">
        <v>8155.6</v>
      </c>
      <c r="H562" s="301">
        <f>Tabla15[[#This Row],[Importe]]-Tabla15[[#This Row],[Pagado]]</f>
        <v>0</v>
      </c>
      <c r="I562" s="275" t="s">
        <v>15214</v>
      </c>
    </row>
    <row r="563" spans="1:9" x14ac:dyDescent="0.25">
      <c r="A563" s="420">
        <v>43013</v>
      </c>
      <c r="B563" s="302" t="s">
        <v>32203</v>
      </c>
      <c r="C563">
        <v>130126</v>
      </c>
      <c r="D563" s="275" t="s">
        <v>15699</v>
      </c>
      <c r="E563" s="301">
        <v>3171.8</v>
      </c>
      <c r="F563" s="303">
        <v>43014</v>
      </c>
      <c r="G563" s="301">
        <v>3171.8</v>
      </c>
      <c r="H563" s="301">
        <f>Tabla15[[#This Row],[Importe]]-Tabla15[[#This Row],[Pagado]]</f>
        <v>0</v>
      </c>
      <c r="I563" s="275" t="s">
        <v>15214</v>
      </c>
    </row>
    <row r="564" spans="1:9" x14ac:dyDescent="0.25">
      <c r="A564" s="420">
        <v>43013</v>
      </c>
      <c r="B564" s="302" t="s">
        <v>32204</v>
      </c>
      <c r="C564">
        <v>130127</v>
      </c>
      <c r="D564" s="275" t="s">
        <v>15555</v>
      </c>
      <c r="E564" s="301">
        <v>7438.1</v>
      </c>
      <c r="F564" s="303">
        <v>43014</v>
      </c>
      <c r="G564" s="301">
        <v>7438.1</v>
      </c>
      <c r="H564" s="301">
        <f>Tabla15[[#This Row],[Importe]]-Tabla15[[#This Row],[Pagado]]</f>
        <v>0</v>
      </c>
      <c r="I564" s="275" t="s">
        <v>15214</v>
      </c>
    </row>
    <row r="565" spans="1:9" ht="15.75" x14ac:dyDescent="0.25">
      <c r="A565" s="420">
        <v>43013</v>
      </c>
      <c r="B565" s="302" t="s">
        <v>32205</v>
      </c>
      <c r="C565">
        <v>130128</v>
      </c>
      <c r="D565" s="248" t="s">
        <v>95</v>
      </c>
      <c r="E565" s="301">
        <v>0</v>
      </c>
      <c r="F565" s="243" t="s">
        <v>95</v>
      </c>
      <c r="G565" s="301">
        <v>0</v>
      </c>
      <c r="H565" s="301">
        <f>Tabla15[[#This Row],[Importe]]-Tabla15[[#This Row],[Pagado]]</f>
        <v>0</v>
      </c>
      <c r="I565" s="275" t="s">
        <v>95</v>
      </c>
    </row>
    <row r="566" spans="1:9" x14ac:dyDescent="0.25">
      <c r="A566" s="420">
        <v>43013</v>
      </c>
      <c r="B566" s="302" t="s">
        <v>32206</v>
      </c>
      <c r="C566">
        <v>130129</v>
      </c>
      <c r="D566" s="275" t="s">
        <v>15725</v>
      </c>
      <c r="E566" s="301">
        <v>25797.9</v>
      </c>
      <c r="F566" s="303">
        <v>43014</v>
      </c>
      <c r="G566" s="301">
        <v>25797.9</v>
      </c>
      <c r="H566" s="301">
        <f>Tabla15[[#This Row],[Importe]]-Tabla15[[#This Row],[Pagado]]</f>
        <v>0</v>
      </c>
      <c r="I566" s="275" t="s">
        <v>15214</v>
      </c>
    </row>
    <row r="567" spans="1:9" x14ac:dyDescent="0.25">
      <c r="A567" s="420">
        <v>43013</v>
      </c>
      <c r="B567" s="302" t="s">
        <v>32207</v>
      </c>
      <c r="C567">
        <v>130130</v>
      </c>
      <c r="D567" s="275" t="s">
        <v>15987</v>
      </c>
      <c r="E567" s="301">
        <v>873.6</v>
      </c>
      <c r="F567" s="303">
        <v>43013</v>
      </c>
      <c r="G567" s="301">
        <v>873.6</v>
      </c>
      <c r="H567" s="301">
        <f>Tabla15[[#This Row],[Importe]]-Tabla15[[#This Row],[Pagado]]</f>
        <v>0</v>
      </c>
      <c r="I567" s="275" t="s">
        <v>15214</v>
      </c>
    </row>
    <row r="568" spans="1:9" x14ac:dyDescent="0.25">
      <c r="A568" s="420">
        <v>43013</v>
      </c>
      <c r="B568" s="302" t="s">
        <v>32208</v>
      </c>
      <c r="C568">
        <v>130131</v>
      </c>
      <c r="D568" s="275" t="s">
        <v>15361</v>
      </c>
      <c r="E568" s="301">
        <v>5476.3</v>
      </c>
      <c r="F568" s="303">
        <v>43014</v>
      </c>
      <c r="G568" s="301">
        <v>5476.3</v>
      </c>
      <c r="H568" s="301">
        <f>Tabla15[[#This Row],[Importe]]-Tabla15[[#This Row],[Pagado]]</f>
        <v>0</v>
      </c>
      <c r="I568" s="275" t="s">
        <v>15214</v>
      </c>
    </row>
    <row r="569" spans="1:9" x14ac:dyDescent="0.25">
      <c r="A569" s="420">
        <v>43013</v>
      </c>
      <c r="B569" s="302" t="s">
        <v>32209</v>
      </c>
      <c r="C569">
        <v>130132</v>
      </c>
      <c r="D569" s="275" t="s">
        <v>15361</v>
      </c>
      <c r="E569" s="301">
        <v>243</v>
      </c>
      <c r="F569" s="303">
        <v>43014</v>
      </c>
      <c r="G569" s="301">
        <v>243</v>
      </c>
      <c r="H569" s="301">
        <f>Tabla15[[#This Row],[Importe]]-Tabla15[[#This Row],[Pagado]]</f>
        <v>0</v>
      </c>
      <c r="I569" s="275" t="s">
        <v>15214</v>
      </c>
    </row>
    <row r="570" spans="1:9" x14ac:dyDescent="0.25">
      <c r="A570" s="420">
        <v>43013</v>
      </c>
      <c r="B570" s="302" t="s">
        <v>32210</v>
      </c>
      <c r="C570">
        <v>130133</v>
      </c>
      <c r="D570" s="275" t="s">
        <v>15378</v>
      </c>
      <c r="E570" s="301">
        <v>1607.2</v>
      </c>
      <c r="F570" s="303">
        <v>43013</v>
      </c>
      <c r="G570" s="301">
        <v>1607.2</v>
      </c>
      <c r="H570" s="301">
        <f>Tabla15[[#This Row],[Importe]]-Tabla15[[#This Row],[Pagado]]</f>
        <v>0</v>
      </c>
      <c r="I570" s="275" t="s">
        <v>15214</v>
      </c>
    </row>
    <row r="571" spans="1:9" x14ac:dyDescent="0.25">
      <c r="A571" s="420">
        <v>43013</v>
      </c>
      <c r="B571" s="302" t="s">
        <v>32211</v>
      </c>
      <c r="C571">
        <v>130134</v>
      </c>
      <c r="D571" s="275" t="s">
        <v>15398</v>
      </c>
      <c r="E571" s="301">
        <v>3287.7</v>
      </c>
      <c r="F571" s="303">
        <v>43013</v>
      </c>
      <c r="G571" s="301">
        <v>3287.7</v>
      </c>
      <c r="H571" s="301">
        <f>Tabla15[[#This Row],[Importe]]-Tabla15[[#This Row],[Pagado]]</f>
        <v>0</v>
      </c>
      <c r="I571" s="275" t="s">
        <v>15214</v>
      </c>
    </row>
    <row r="572" spans="1:9" x14ac:dyDescent="0.25">
      <c r="A572" s="420">
        <v>43013</v>
      </c>
      <c r="B572" s="302" t="s">
        <v>32212</v>
      </c>
      <c r="C572">
        <v>130135</v>
      </c>
      <c r="D572" s="275" t="s">
        <v>15391</v>
      </c>
      <c r="E572" s="301">
        <v>7315.2</v>
      </c>
      <c r="F572" s="303">
        <v>43015</v>
      </c>
      <c r="G572" s="301">
        <v>7315.2</v>
      </c>
      <c r="H572" s="301">
        <f>Tabla15[[#This Row],[Importe]]-Tabla15[[#This Row],[Pagado]]</f>
        <v>0</v>
      </c>
      <c r="I572" s="275" t="s">
        <v>15214</v>
      </c>
    </row>
    <row r="573" spans="1:9" x14ac:dyDescent="0.25">
      <c r="A573" s="420">
        <v>43013</v>
      </c>
      <c r="B573" s="302" t="s">
        <v>32213</v>
      </c>
      <c r="C573">
        <v>130136</v>
      </c>
      <c r="D573" s="275" t="s">
        <v>15284</v>
      </c>
      <c r="E573" s="301">
        <v>578.6</v>
      </c>
      <c r="F573" s="303">
        <v>43013</v>
      </c>
      <c r="G573" s="301">
        <v>578.6</v>
      </c>
      <c r="H573" s="301">
        <f>Tabla15[[#This Row],[Importe]]-Tabla15[[#This Row],[Pagado]]</f>
        <v>0</v>
      </c>
      <c r="I573" s="275" t="s">
        <v>15214</v>
      </c>
    </row>
    <row r="574" spans="1:9" x14ac:dyDescent="0.25">
      <c r="A574" s="420">
        <v>43013</v>
      </c>
      <c r="B574" s="302" t="s">
        <v>32214</v>
      </c>
      <c r="C574">
        <v>130137</v>
      </c>
      <c r="D574" s="275" t="s">
        <v>15213</v>
      </c>
      <c r="E574" s="301">
        <v>9664.4</v>
      </c>
      <c r="F574" s="303">
        <v>43014</v>
      </c>
      <c r="G574" s="301">
        <v>9664.4</v>
      </c>
      <c r="H574" s="301">
        <f>Tabla15[[#This Row],[Importe]]-Tabla15[[#This Row],[Pagado]]</f>
        <v>0</v>
      </c>
      <c r="I574" s="275" t="s">
        <v>15214</v>
      </c>
    </row>
    <row r="575" spans="1:9" x14ac:dyDescent="0.25">
      <c r="A575" s="420">
        <v>43013</v>
      </c>
      <c r="B575" s="302" t="s">
        <v>32215</v>
      </c>
      <c r="C575">
        <v>130138</v>
      </c>
      <c r="D575" s="275" t="s">
        <v>15315</v>
      </c>
      <c r="E575" s="301">
        <v>2622.6</v>
      </c>
      <c r="F575" s="303">
        <v>43013</v>
      </c>
      <c r="G575" s="301">
        <v>2622.6</v>
      </c>
      <c r="H575" s="301">
        <f>Tabla15[[#This Row],[Importe]]-Tabla15[[#This Row],[Pagado]]</f>
        <v>0</v>
      </c>
      <c r="I575" s="275" t="s">
        <v>15214</v>
      </c>
    </row>
    <row r="576" spans="1:9" x14ac:dyDescent="0.25">
      <c r="A576" s="420">
        <v>43013</v>
      </c>
      <c r="B576" s="302" t="s">
        <v>32216</v>
      </c>
      <c r="C576">
        <v>130139</v>
      </c>
      <c r="D576" s="275" t="s">
        <v>21441</v>
      </c>
      <c r="E576" s="301">
        <v>835</v>
      </c>
      <c r="F576" s="303">
        <v>43014</v>
      </c>
      <c r="G576" s="301">
        <v>835</v>
      </c>
      <c r="H576" s="301">
        <f>Tabla15[[#This Row],[Importe]]-Tabla15[[#This Row],[Pagado]]</f>
        <v>0</v>
      </c>
      <c r="I576" s="275" t="s">
        <v>15214</v>
      </c>
    </row>
    <row r="577" spans="1:9" x14ac:dyDescent="0.25">
      <c r="A577" s="420">
        <v>43013</v>
      </c>
      <c r="B577" s="302" t="s">
        <v>32217</v>
      </c>
      <c r="C577">
        <v>130140</v>
      </c>
      <c r="D577" s="275" t="s">
        <v>21441</v>
      </c>
      <c r="E577" s="301">
        <v>500</v>
      </c>
      <c r="F577" s="303">
        <v>43014</v>
      </c>
      <c r="G577" s="301">
        <v>500</v>
      </c>
      <c r="H577" s="301">
        <f>Tabla15[[#This Row],[Importe]]-Tabla15[[#This Row],[Pagado]]</f>
        <v>0</v>
      </c>
      <c r="I577" s="275" t="s">
        <v>15214</v>
      </c>
    </row>
    <row r="578" spans="1:9" x14ac:dyDescent="0.25">
      <c r="A578" s="420">
        <v>43013</v>
      </c>
      <c r="B578" s="302" t="s">
        <v>32218</v>
      </c>
      <c r="C578">
        <v>130141</v>
      </c>
      <c r="D578" s="275" t="s">
        <v>15284</v>
      </c>
      <c r="E578" s="301">
        <v>616.5</v>
      </c>
      <c r="F578" s="303">
        <v>43013</v>
      </c>
      <c r="G578" s="301">
        <v>616.5</v>
      </c>
      <c r="H578" s="301">
        <f>Tabla15[[#This Row],[Importe]]-Tabla15[[#This Row],[Pagado]]</f>
        <v>0</v>
      </c>
      <c r="I578" s="275" t="s">
        <v>15214</v>
      </c>
    </row>
    <row r="579" spans="1:9" x14ac:dyDescent="0.25">
      <c r="A579" s="420">
        <v>43013</v>
      </c>
      <c r="B579" s="302" t="s">
        <v>32219</v>
      </c>
      <c r="C579">
        <v>130142</v>
      </c>
      <c r="D579" s="275" t="s">
        <v>15385</v>
      </c>
      <c r="E579" s="301">
        <v>4464</v>
      </c>
      <c r="F579" s="303">
        <v>43014</v>
      </c>
      <c r="G579" s="301">
        <v>4464</v>
      </c>
      <c r="H579" s="301">
        <f>Tabla15[[#This Row],[Importe]]-Tabla15[[#This Row],[Pagado]]</f>
        <v>0</v>
      </c>
      <c r="I579" s="275" t="s">
        <v>15214</v>
      </c>
    </row>
    <row r="580" spans="1:9" x14ac:dyDescent="0.25">
      <c r="A580" s="420">
        <v>43013</v>
      </c>
      <c r="B580" s="302" t="s">
        <v>32220</v>
      </c>
      <c r="C580">
        <v>130143</v>
      </c>
      <c r="D580" s="275" t="s">
        <v>15282</v>
      </c>
      <c r="E580" s="301">
        <v>2870.4</v>
      </c>
      <c r="F580" s="303">
        <v>43013</v>
      </c>
      <c r="G580" s="301">
        <v>2870.4</v>
      </c>
      <c r="H580" s="301">
        <f>Tabla15[[#This Row],[Importe]]-Tabla15[[#This Row],[Pagado]]</f>
        <v>0</v>
      </c>
      <c r="I580" s="275" t="s">
        <v>15214</v>
      </c>
    </row>
    <row r="581" spans="1:9" x14ac:dyDescent="0.25">
      <c r="A581" s="420">
        <v>43013</v>
      </c>
      <c r="B581" s="302" t="s">
        <v>32221</v>
      </c>
      <c r="C581">
        <v>130144</v>
      </c>
      <c r="D581" s="275" t="s">
        <v>15332</v>
      </c>
      <c r="E581" s="301">
        <v>3723.28</v>
      </c>
      <c r="F581" s="303">
        <v>43013</v>
      </c>
      <c r="G581" s="301">
        <v>3723.28</v>
      </c>
      <c r="H581" s="301">
        <f>Tabla15[[#This Row],[Importe]]-Tabla15[[#This Row],[Pagado]]</f>
        <v>0</v>
      </c>
      <c r="I581" s="275" t="s">
        <v>15214</v>
      </c>
    </row>
    <row r="582" spans="1:9" x14ac:dyDescent="0.25">
      <c r="A582" s="420">
        <v>43013</v>
      </c>
      <c r="B582" s="302" t="s">
        <v>32222</v>
      </c>
      <c r="C582">
        <v>130145</v>
      </c>
      <c r="D582" s="275" t="s">
        <v>16093</v>
      </c>
      <c r="E582" s="301">
        <v>3137.6</v>
      </c>
      <c r="F582" s="303">
        <v>43013</v>
      </c>
      <c r="G582" s="301">
        <v>3137.6</v>
      </c>
      <c r="H582" s="301">
        <f>Tabla15[[#This Row],[Importe]]-Tabla15[[#This Row],[Pagado]]</f>
        <v>0</v>
      </c>
      <c r="I582" s="275" t="s">
        <v>15214</v>
      </c>
    </row>
    <row r="583" spans="1:9" ht="30" x14ac:dyDescent="0.25">
      <c r="A583" s="420">
        <v>43013</v>
      </c>
      <c r="B583" s="302" t="s">
        <v>32223</v>
      </c>
      <c r="C583">
        <v>130146</v>
      </c>
      <c r="D583" s="275" t="s">
        <v>15407</v>
      </c>
      <c r="E583" s="301">
        <v>14845.1</v>
      </c>
      <c r="F583" s="303" t="s">
        <v>32224</v>
      </c>
      <c r="G583" s="305">
        <f>7000+7845.1</f>
        <v>14845.1</v>
      </c>
      <c r="H583" s="305">
        <f>Tabla15[[#This Row],[Importe]]-Tabla15[[#This Row],[Pagado]]</f>
        <v>0</v>
      </c>
      <c r="I583" s="275" t="s">
        <v>15214</v>
      </c>
    </row>
    <row r="584" spans="1:9" ht="30" x14ac:dyDescent="0.25">
      <c r="A584" s="420">
        <v>43013</v>
      </c>
      <c r="B584" s="302" t="s">
        <v>32225</v>
      </c>
      <c r="C584">
        <v>130147</v>
      </c>
      <c r="D584" s="275" t="s">
        <v>15246</v>
      </c>
      <c r="E584" s="301">
        <v>105486.39999999999</v>
      </c>
      <c r="F584" s="303" t="s">
        <v>32226</v>
      </c>
      <c r="G584" s="305">
        <f>49188.31+56298.09</f>
        <v>105486.39999999999</v>
      </c>
      <c r="H584" s="305">
        <f>Tabla15[[#This Row],[Importe]]-Tabla15[[#This Row],[Pagado]]</f>
        <v>0</v>
      </c>
      <c r="I584" s="275" t="s">
        <v>15214</v>
      </c>
    </row>
    <row r="585" spans="1:9" x14ac:dyDescent="0.25">
      <c r="A585" s="420">
        <v>43013</v>
      </c>
      <c r="B585" s="302" t="s">
        <v>32227</v>
      </c>
      <c r="C585">
        <v>130148</v>
      </c>
      <c r="D585" s="275" t="s">
        <v>18773</v>
      </c>
      <c r="E585" s="301">
        <v>28112</v>
      </c>
      <c r="F585" s="303">
        <v>43013</v>
      </c>
      <c r="G585" s="301">
        <v>28112</v>
      </c>
      <c r="H585" s="301">
        <f>Tabla15[[#This Row],[Importe]]-Tabla15[[#This Row],[Pagado]]</f>
        <v>0</v>
      </c>
      <c r="I585" s="275" t="s">
        <v>15214</v>
      </c>
    </row>
    <row r="586" spans="1:9" x14ac:dyDescent="0.25">
      <c r="A586" s="420">
        <v>43013</v>
      </c>
      <c r="B586" s="302" t="s">
        <v>32228</v>
      </c>
      <c r="C586">
        <v>130149</v>
      </c>
      <c r="D586" s="275" t="s">
        <v>19773</v>
      </c>
      <c r="E586" s="301">
        <v>9313.9599999999991</v>
      </c>
      <c r="F586" s="303">
        <v>43029</v>
      </c>
      <c r="G586" s="301">
        <v>9313.9599999999991</v>
      </c>
      <c r="H586" s="301">
        <f>Tabla15[[#This Row],[Importe]]-Tabla15[[#This Row],[Pagado]]</f>
        <v>0</v>
      </c>
      <c r="I586" s="275" t="s">
        <v>15214</v>
      </c>
    </row>
    <row r="587" spans="1:9" x14ac:dyDescent="0.25">
      <c r="A587" s="420">
        <v>43013</v>
      </c>
      <c r="B587" s="302" t="s">
        <v>32229</v>
      </c>
      <c r="C587">
        <v>130150</v>
      </c>
      <c r="D587" s="275" t="s">
        <v>19461</v>
      </c>
      <c r="E587" s="301">
        <v>1708.5</v>
      </c>
      <c r="F587" s="303">
        <v>43013</v>
      </c>
      <c r="G587" s="301">
        <v>1708.5</v>
      </c>
      <c r="H587" s="301">
        <f>Tabla15[[#This Row],[Importe]]-Tabla15[[#This Row],[Pagado]]</f>
        <v>0</v>
      </c>
      <c r="I587" s="275" t="s">
        <v>15214</v>
      </c>
    </row>
    <row r="588" spans="1:9" x14ac:dyDescent="0.25">
      <c r="A588" s="420">
        <v>43013</v>
      </c>
      <c r="B588" s="302" t="s">
        <v>32230</v>
      </c>
      <c r="C588">
        <v>130151</v>
      </c>
      <c r="D588" s="275" t="s">
        <v>15903</v>
      </c>
      <c r="E588" s="301">
        <v>32108.799999999999</v>
      </c>
      <c r="F588" s="303">
        <v>43013</v>
      </c>
      <c r="G588" s="301">
        <v>32108.799999999999</v>
      </c>
      <c r="H588" s="301">
        <f>Tabla15[[#This Row],[Importe]]-Tabla15[[#This Row],[Pagado]]</f>
        <v>0</v>
      </c>
      <c r="I588" s="275" t="s">
        <v>15214</v>
      </c>
    </row>
    <row r="589" spans="1:9" x14ac:dyDescent="0.25">
      <c r="A589" s="420">
        <v>43013</v>
      </c>
      <c r="B589" s="302" t="s">
        <v>32231</v>
      </c>
      <c r="C589">
        <v>130152</v>
      </c>
      <c r="D589" s="275" t="s">
        <v>15930</v>
      </c>
      <c r="E589" s="301">
        <v>5293.2</v>
      </c>
      <c r="F589" s="303">
        <v>43014</v>
      </c>
      <c r="G589" s="301">
        <v>5293.2</v>
      </c>
      <c r="H589" s="301">
        <f>Tabla15[[#This Row],[Importe]]-Tabla15[[#This Row],[Pagado]]</f>
        <v>0</v>
      </c>
      <c r="I589" s="275" t="s">
        <v>15214</v>
      </c>
    </row>
    <row r="590" spans="1:9" x14ac:dyDescent="0.25">
      <c r="A590" s="420">
        <v>43013</v>
      </c>
      <c r="B590" s="302" t="s">
        <v>32232</v>
      </c>
      <c r="C590">
        <v>130153</v>
      </c>
      <c r="D590" s="275" t="s">
        <v>15782</v>
      </c>
      <c r="E590" s="301">
        <v>721.6</v>
      </c>
      <c r="F590" s="303">
        <v>43014</v>
      </c>
      <c r="G590" s="301">
        <v>721.6</v>
      </c>
      <c r="H590" s="301">
        <f>Tabla15[[#This Row],[Importe]]-Tabla15[[#This Row],[Pagado]]</f>
        <v>0</v>
      </c>
      <c r="I590" s="275" t="s">
        <v>15214</v>
      </c>
    </row>
    <row r="591" spans="1:9" x14ac:dyDescent="0.25">
      <c r="A591" s="420">
        <v>43013</v>
      </c>
      <c r="B591" s="302" t="s">
        <v>32233</v>
      </c>
      <c r="C591">
        <v>130154</v>
      </c>
      <c r="D591" s="275" t="s">
        <v>15291</v>
      </c>
      <c r="E591" s="301">
        <v>528</v>
      </c>
      <c r="F591" s="303">
        <v>43014</v>
      </c>
      <c r="G591" s="301">
        <v>528</v>
      </c>
      <c r="H591" s="301">
        <f>Tabla15[[#This Row],[Importe]]-Tabla15[[#This Row],[Pagado]]</f>
        <v>0</v>
      </c>
      <c r="I591" s="275" t="s">
        <v>15214</v>
      </c>
    </row>
    <row r="592" spans="1:9" x14ac:dyDescent="0.25">
      <c r="A592" s="420">
        <v>43013</v>
      </c>
      <c r="B592" s="302" t="s">
        <v>32234</v>
      </c>
      <c r="C592">
        <v>130155</v>
      </c>
      <c r="D592" s="275" t="s">
        <v>15342</v>
      </c>
      <c r="E592" s="301">
        <v>767.2</v>
      </c>
      <c r="F592" s="303">
        <v>43013</v>
      </c>
      <c r="G592" s="301">
        <v>767.2</v>
      </c>
      <c r="H592" s="301">
        <f>Tabla15[[#This Row],[Importe]]-Tabla15[[#This Row],[Pagado]]</f>
        <v>0</v>
      </c>
      <c r="I592" s="275" t="s">
        <v>15214</v>
      </c>
    </row>
    <row r="593" spans="1:9" ht="30" x14ac:dyDescent="0.25">
      <c r="A593" s="420">
        <v>43013</v>
      </c>
      <c r="B593" s="302" t="s">
        <v>32235</v>
      </c>
      <c r="C593">
        <v>130156</v>
      </c>
      <c r="D593" s="275" t="s">
        <v>15267</v>
      </c>
      <c r="E593" s="301">
        <v>40488.1</v>
      </c>
      <c r="F593" s="303" t="s">
        <v>35726</v>
      </c>
      <c r="G593" s="305">
        <f>545.8+39942.3</f>
        <v>40488.100000000006</v>
      </c>
      <c r="H593" s="305">
        <f>Tabla15[[#This Row],[Importe]]-Tabla15[[#This Row],[Pagado]]</f>
        <v>0</v>
      </c>
      <c r="I593" s="275" t="s">
        <v>15214</v>
      </c>
    </row>
    <row r="594" spans="1:9" ht="15.75" x14ac:dyDescent="0.25">
      <c r="A594" s="420">
        <v>43013</v>
      </c>
      <c r="B594" s="302" t="s">
        <v>32236</v>
      </c>
      <c r="C594">
        <v>130157</v>
      </c>
      <c r="D594" s="248" t="s">
        <v>95</v>
      </c>
      <c r="E594" s="301">
        <v>0</v>
      </c>
      <c r="F594" s="243" t="s">
        <v>95</v>
      </c>
      <c r="G594" s="301">
        <v>0</v>
      </c>
      <c r="H594" s="301">
        <f>Tabla15[[#This Row],[Importe]]-Tabla15[[#This Row],[Pagado]]</f>
        <v>0</v>
      </c>
      <c r="I594" s="275" t="s">
        <v>95</v>
      </c>
    </row>
    <row r="595" spans="1:9" x14ac:dyDescent="0.25">
      <c r="A595" s="420">
        <v>43013</v>
      </c>
      <c r="B595" s="302" t="s">
        <v>32237</v>
      </c>
      <c r="C595">
        <v>130158</v>
      </c>
      <c r="D595" s="275" t="s">
        <v>15276</v>
      </c>
      <c r="E595" s="301">
        <v>1760</v>
      </c>
      <c r="F595" s="303">
        <v>43014</v>
      </c>
      <c r="G595" s="301">
        <v>1760</v>
      </c>
      <c r="H595" s="301">
        <f>Tabla15[[#This Row],[Importe]]-Tabla15[[#This Row],[Pagado]]</f>
        <v>0</v>
      </c>
      <c r="I595" s="275" t="s">
        <v>15214</v>
      </c>
    </row>
    <row r="596" spans="1:9" x14ac:dyDescent="0.25">
      <c r="A596" s="420">
        <v>43013</v>
      </c>
      <c r="B596" s="302" t="s">
        <v>32238</v>
      </c>
      <c r="C596">
        <v>130159</v>
      </c>
      <c r="D596" s="275" t="s">
        <v>15356</v>
      </c>
      <c r="E596" s="301">
        <v>380</v>
      </c>
      <c r="F596" s="303">
        <v>43013</v>
      </c>
      <c r="G596" s="301">
        <v>380</v>
      </c>
      <c r="H596" s="301">
        <f>Tabla15[[#This Row],[Importe]]-Tabla15[[#This Row],[Pagado]]</f>
        <v>0</v>
      </c>
      <c r="I596" s="275" t="s">
        <v>15214</v>
      </c>
    </row>
    <row r="597" spans="1:9" x14ac:dyDescent="0.25">
      <c r="A597" s="420">
        <v>43013</v>
      </c>
      <c r="B597" s="302" t="s">
        <v>32239</v>
      </c>
      <c r="C597">
        <v>130160</v>
      </c>
      <c r="D597" s="275" t="s">
        <v>15782</v>
      </c>
      <c r="E597" s="301">
        <v>410</v>
      </c>
      <c r="F597" s="303">
        <v>43014</v>
      </c>
      <c r="G597" s="301">
        <v>410</v>
      </c>
      <c r="H597" s="301">
        <f>Tabla15[[#This Row],[Importe]]-Tabla15[[#This Row],[Pagado]]</f>
        <v>0</v>
      </c>
      <c r="I597" s="275" t="s">
        <v>15214</v>
      </c>
    </row>
    <row r="598" spans="1:9" x14ac:dyDescent="0.25">
      <c r="A598" s="420">
        <v>43013</v>
      </c>
      <c r="B598" s="302" t="s">
        <v>32240</v>
      </c>
      <c r="C598">
        <v>130161</v>
      </c>
      <c r="D598" s="275" t="s">
        <v>15423</v>
      </c>
      <c r="E598" s="301">
        <v>1980</v>
      </c>
      <c r="F598" s="303">
        <v>43013</v>
      </c>
      <c r="G598" s="301">
        <v>1980</v>
      </c>
      <c r="H598" s="301">
        <f>Tabla15[[#This Row],[Importe]]-Tabla15[[#This Row],[Pagado]]</f>
        <v>0</v>
      </c>
      <c r="I598" s="275" t="s">
        <v>15214</v>
      </c>
    </row>
    <row r="599" spans="1:9" x14ac:dyDescent="0.25">
      <c r="A599" s="420">
        <v>43013</v>
      </c>
      <c r="B599" s="302" t="s">
        <v>32241</v>
      </c>
      <c r="C599">
        <v>130162</v>
      </c>
      <c r="D599" s="275" t="s">
        <v>16313</v>
      </c>
      <c r="E599" s="301">
        <v>1872</v>
      </c>
      <c r="F599" s="303">
        <v>43017</v>
      </c>
      <c r="G599" s="301">
        <v>1872</v>
      </c>
      <c r="H599" s="301">
        <f>Tabla15[[#This Row],[Importe]]-Tabla15[[#This Row],[Pagado]]</f>
        <v>0</v>
      </c>
      <c r="I599" s="275" t="s">
        <v>15214</v>
      </c>
    </row>
    <row r="600" spans="1:9" x14ac:dyDescent="0.25">
      <c r="A600" s="420">
        <v>43013</v>
      </c>
      <c r="B600" s="302" t="s">
        <v>32242</v>
      </c>
      <c r="C600">
        <v>130163</v>
      </c>
      <c r="D600" s="275" t="s">
        <v>15444</v>
      </c>
      <c r="E600" s="301">
        <v>2564.3000000000002</v>
      </c>
      <c r="F600" s="303">
        <v>43014</v>
      </c>
      <c r="G600" s="301">
        <v>2564.3000000000002</v>
      </c>
      <c r="H600" s="301">
        <f>Tabla15[[#This Row],[Importe]]-Tabla15[[#This Row],[Pagado]]</f>
        <v>0</v>
      </c>
      <c r="I600" s="275" t="s">
        <v>15214</v>
      </c>
    </row>
    <row r="601" spans="1:9" x14ac:dyDescent="0.25">
      <c r="A601" s="420">
        <v>43013</v>
      </c>
      <c r="B601" s="302" t="s">
        <v>32243</v>
      </c>
      <c r="C601">
        <v>130164</v>
      </c>
      <c r="D601" s="275" t="s">
        <v>15284</v>
      </c>
      <c r="E601" s="301">
        <v>684</v>
      </c>
      <c r="F601" s="303">
        <v>43013</v>
      </c>
      <c r="G601" s="301">
        <v>684</v>
      </c>
      <c r="H601" s="301">
        <f>Tabla15[[#This Row],[Importe]]-Tabla15[[#This Row],[Pagado]]</f>
        <v>0</v>
      </c>
      <c r="I601" s="275" t="s">
        <v>15214</v>
      </c>
    </row>
    <row r="602" spans="1:9" x14ac:dyDescent="0.25">
      <c r="A602" s="420">
        <v>43013</v>
      </c>
      <c r="B602" s="302" t="s">
        <v>32244</v>
      </c>
      <c r="C602">
        <v>130165</v>
      </c>
      <c r="D602" s="275" t="s">
        <v>27668</v>
      </c>
      <c r="E602" s="301">
        <v>3500</v>
      </c>
      <c r="F602" s="303">
        <v>43017</v>
      </c>
      <c r="G602" s="301">
        <v>3500</v>
      </c>
      <c r="H602" s="301">
        <f>Tabla15[[#This Row],[Importe]]-Tabla15[[#This Row],[Pagado]]</f>
        <v>0</v>
      </c>
      <c r="I602" s="275" t="s">
        <v>15214</v>
      </c>
    </row>
    <row r="603" spans="1:9" x14ac:dyDescent="0.25">
      <c r="A603" s="420">
        <v>43013</v>
      </c>
      <c r="B603" s="302" t="s">
        <v>32245</v>
      </c>
      <c r="C603">
        <v>130166</v>
      </c>
      <c r="D603" s="275" t="s">
        <v>15284</v>
      </c>
      <c r="E603" s="301">
        <v>438.7</v>
      </c>
      <c r="F603" s="303">
        <v>43013</v>
      </c>
      <c r="G603" s="301">
        <v>438.7</v>
      </c>
      <c r="H603" s="301">
        <f>Tabla15[[#This Row],[Importe]]-Tabla15[[#This Row],[Pagado]]</f>
        <v>0</v>
      </c>
      <c r="I603" s="275" t="s">
        <v>15214</v>
      </c>
    </row>
    <row r="604" spans="1:9" x14ac:dyDescent="0.25">
      <c r="A604" s="420">
        <v>43013</v>
      </c>
      <c r="B604" s="302" t="s">
        <v>32246</v>
      </c>
      <c r="C604">
        <v>130167</v>
      </c>
      <c r="D604" s="275" t="s">
        <v>15246</v>
      </c>
      <c r="E604" s="301">
        <v>15573.2</v>
      </c>
      <c r="F604" s="303">
        <v>43015</v>
      </c>
      <c r="G604" s="301">
        <v>15573.2</v>
      </c>
      <c r="H604" s="301">
        <f>Tabla15[[#This Row],[Importe]]-Tabla15[[#This Row],[Pagado]]</f>
        <v>0</v>
      </c>
      <c r="I604" s="275" t="s">
        <v>15214</v>
      </c>
    </row>
    <row r="605" spans="1:9" x14ac:dyDescent="0.25">
      <c r="A605" s="420">
        <v>43013</v>
      </c>
      <c r="B605" s="302" t="s">
        <v>32247</v>
      </c>
      <c r="C605">
        <v>130168</v>
      </c>
      <c r="D605" s="275" t="s">
        <v>15624</v>
      </c>
      <c r="E605" s="301">
        <v>29543</v>
      </c>
      <c r="F605" s="303">
        <v>43015</v>
      </c>
      <c r="G605" s="301">
        <v>29543</v>
      </c>
      <c r="H605" s="301">
        <f>Tabla15[[#This Row],[Importe]]-Tabla15[[#This Row],[Pagado]]</f>
        <v>0</v>
      </c>
      <c r="I605" s="275" t="s">
        <v>15214</v>
      </c>
    </row>
    <row r="606" spans="1:9" x14ac:dyDescent="0.25">
      <c r="A606" s="420">
        <v>43013</v>
      </c>
      <c r="B606" s="302" t="s">
        <v>32248</v>
      </c>
      <c r="C606">
        <v>130169</v>
      </c>
      <c r="D606" s="275" t="s">
        <v>19765</v>
      </c>
      <c r="E606" s="301">
        <v>3500</v>
      </c>
      <c r="F606" s="303">
        <v>43017</v>
      </c>
      <c r="G606" s="301">
        <v>3500</v>
      </c>
      <c r="H606" s="301">
        <f>Tabla15[[#This Row],[Importe]]-Tabla15[[#This Row],[Pagado]]</f>
        <v>0</v>
      </c>
      <c r="I606" s="275" t="s">
        <v>15214</v>
      </c>
    </row>
    <row r="607" spans="1:9" x14ac:dyDescent="0.25">
      <c r="A607" s="420">
        <v>43013</v>
      </c>
      <c r="B607" s="302" t="s">
        <v>32249</v>
      </c>
      <c r="C607">
        <v>130170</v>
      </c>
      <c r="D607" s="275" t="s">
        <v>19680</v>
      </c>
      <c r="E607" s="301">
        <v>124</v>
      </c>
      <c r="F607" s="303">
        <v>43013</v>
      </c>
      <c r="G607" s="301">
        <v>124</v>
      </c>
      <c r="H607" s="301">
        <f>Tabla15[[#This Row],[Importe]]-Tabla15[[#This Row],[Pagado]]</f>
        <v>0</v>
      </c>
      <c r="I607" s="275" t="s">
        <v>15214</v>
      </c>
    </row>
    <row r="608" spans="1:9" x14ac:dyDescent="0.25">
      <c r="A608" s="420">
        <v>43013</v>
      </c>
      <c r="B608" s="302" t="s">
        <v>32250</v>
      </c>
      <c r="C608">
        <v>130171</v>
      </c>
      <c r="D608" s="275" t="s">
        <v>15541</v>
      </c>
      <c r="E608" s="301">
        <v>928.8</v>
      </c>
      <c r="F608" s="303">
        <v>43014</v>
      </c>
      <c r="G608" s="301">
        <v>928.8</v>
      </c>
      <c r="H608" s="301">
        <f>Tabla15[[#This Row],[Importe]]-Tabla15[[#This Row],[Pagado]]</f>
        <v>0</v>
      </c>
      <c r="I608" s="275" t="s">
        <v>15214</v>
      </c>
    </row>
    <row r="609" spans="1:9" x14ac:dyDescent="0.25">
      <c r="A609" s="420">
        <v>43013</v>
      </c>
      <c r="B609" s="302" t="s">
        <v>32251</v>
      </c>
      <c r="C609">
        <v>130172</v>
      </c>
      <c r="D609" s="275" t="s">
        <v>15642</v>
      </c>
      <c r="E609" s="301">
        <v>6881.7</v>
      </c>
      <c r="F609" s="303">
        <v>43014</v>
      </c>
      <c r="G609" s="301">
        <v>6881.7</v>
      </c>
      <c r="H609" s="301">
        <f>Tabla15[[#This Row],[Importe]]-Tabla15[[#This Row],[Pagado]]</f>
        <v>0</v>
      </c>
      <c r="I609" s="275" t="s">
        <v>15214</v>
      </c>
    </row>
    <row r="610" spans="1:9" x14ac:dyDescent="0.25">
      <c r="A610" s="420">
        <v>43013</v>
      </c>
      <c r="B610" s="302" t="s">
        <v>32252</v>
      </c>
      <c r="C610">
        <v>130173</v>
      </c>
      <c r="D610" s="275" t="s">
        <v>15365</v>
      </c>
      <c r="E610" s="301">
        <v>210160</v>
      </c>
      <c r="F610" s="303">
        <v>43015</v>
      </c>
      <c r="G610" s="301">
        <v>210160</v>
      </c>
      <c r="H610" s="301">
        <f>Tabla15[[#This Row],[Importe]]-Tabla15[[#This Row],[Pagado]]</f>
        <v>0</v>
      </c>
      <c r="I610" s="275" t="s">
        <v>15214</v>
      </c>
    </row>
    <row r="611" spans="1:9" x14ac:dyDescent="0.25">
      <c r="A611" s="420">
        <v>43013</v>
      </c>
      <c r="B611" s="302" t="s">
        <v>32253</v>
      </c>
      <c r="C611">
        <v>130174</v>
      </c>
      <c r="D611" s="275" t="s">
        <v>15920</v>
      </c>
      <c r="E611" s="301">
        <v>12636.2</v>
      </c>
      <c r="F611" s="303">
        <v>43014</v>
      </c>
      <c r="G611" s="301">
        <v>12636.2</v>
      </c>
      <c r="H611" s="301">
        <f>Tabla15[[#This Row],[Importe]]-Tabla15[[#This Row],[Pagado]]</f>
        <v>0</v>
      </c>
      <c r="I611" s="275" t="s">
        <v>15214</v>
      </c>
    </row>
    <row r="612" spans="1:9" x14ac:dyDescent="0.25">
      <c r="A612" s="420">
        <v>43014</v>
      </c>
      <c r="B612" s="302" t="s">
        <v>32254</v>
      </c>
      <c r="C612">
        <v>130175</v>
      </c>
      <c r="D612" s="275" t="s">
        <v>21386</v>
      </c>
      <c r="E612" s="301">
        <v>8512</v>
      </c>
      <c r="F612" s="303">
        <v>43015</v>
      </c>
      <c r="G612" s="301">
        <v>8512</v>
      </c>
      <c r="H612" s="301">
        <f>Tabla15[[#This Row],[Importe]]-Tabla15[[#This Row],[Pagado]]</f>
        <v>0</v>
      </c>
      <c r="I612" s="275" t="s">
        <v>15214</v>
      </c>
    </row>
    <row r="613" spans="1:9" x14ac:dyDescent="0.25">
      <c r="A613" s="420">
        <v>43014</v>
      </c>
      <c r="B613" s="302" t="s">
        <v>32255</v>
      </c>
      <c r="C613">
        <v>130176</v>
      </c>
      <c r="D613" s="275" t="s">
        <v>15213</v>
      </c>
      <c r="E613" s="301">
        <v>54921.2</v>
      </c>
      <c r="F613" s="303">
        <v>43015</v>
      </c>
      <c r="G613" s="301">
        <v>54921.2</v>
      </c>
      <c r="H613" s="301">
        <f>Tabla15[[#This Row],[Importe]]-Tabla15[[#This Row],[Pagado]]</f>
        <v>0</v>
      </c>
      <c r="I613" s="275" t="s">
        <v>15214</v>
      </c>
    </row>
    <row r="614" spans="1:9" x14ac:dyDescent="0.25">
      <c r="A614" s="420">
        <v>43014</v>
      </c>
      <c r="B614" s="302" t="s">
        <v>32256</v>
      </c>
      <c r="C614">
        <v>130177</v>
      </c>
      <c r="D614" s="275" t="s">
        <v>15242</v>
      </c>
      <c r="E614" s="301">
        <v>9200</v>
      </c>
      <c r="F614" s="303">
        <v>43014</v>
      </c>
      <c r="G614" s="301">
        <v>9200</v>
      </c>
      <c r="H614" s="301">
        <f>Tabla15[[#This Row],[Importe]]-Tabla15[[#This Row],[Pagado]]</f>
        <v>0</v>
      </c>
      <c r="I614" s="275" t="s">
        <v>15214</v>
      </c>
    </row>
    <row r="615" spans="1:9" x14ac:dyDescent="0.25">
      <c r="A615" s="420">
        <v>43014</v>
      </c>
      <c r="B615" s="302" t="s">
        <v>32257</v>
      </c>
      <c r="C615">
        <v>130178</v>
      </c>
      <c r="D615" s="275" t="s">
        <v>15617</v>
      </c>
      <c r="E615" s="301">
        <v>35279.199999999997</v>
      </c>
      <c r="F615" s="303">
        <v>43014</v>
      </c>
      <c r="G615" s="301">
        <v>35279.199999999997</v>
      </c>
      <c r="H615" s="301">
        <f>Tabla15[[#This Row],[Importe]]-Tabla15[[#This Row],[Pagado]]</f>
        <v>0</v>
      </c>
      <c r="I615" s="275" t="s">
        <v>15214</v>
      </c>
    </row>
    <row r="616" spans="1:9" x14ac:dyDescent="0.25">
      <c r="A616" s="420">
        <v>43014</v>
      </c>
      <c r="B616" s="302" t="s">
        <v>32258</v>
      </c>
      <c r="C616">
        <v>130179</v>
      </c>
      <c r="D616" s="275" t="s">
        <v>15216</v>
      </c>
      <c r="E616" s="301">
        <v>537.6</v>
      </c>
      <c r="F616" s="303">
        <v>43014</v>
      </c>
      <c r="G616" s="301">
        <v>537.6</v>
      </c>
      <c r="H616" s="301">
        <f>Tabla15[[#This Row],[Importe]]-Tabla15[[#This Row],[Pagado]]</f>
        <v>0</v>
      </c>
      <c r="I616" s="275" t="s">
        <v>15214</v>
      </c>
    </row>
    <row r="617" spans="1:9" x14ac:dyDescent="0.25">
      <c r="A617" s="420">
        <v>43014</v>
      </c>
      <c r="B617" s="302" t="s">
        <v>32259</v>
      </c>
      <c r="C617">
        <v>130180</v>
      </c>
      <c r="D617" s="275" t="s">
        <v>16064</v>
      </c>
      <c r="E617" s="301">
        <v>4761</v>
      </c>
      <c r="F617" s="303">
        <v>43014</v>
      </c>
      <c r="G617" s="301">
        <v>4761</v>
      </c>
      <c r="H617" s="301">
        <f>Tabla15[[#This Row],[Importe]]-Tabla15[[#This Row],[Pagado]]</f>
        <v>0</v>
      </c>
      <c r="I617" s="275" t="s">
        <v>15214</v>
      </c>
    </row>
    <row r="618" spans="1:9" ht="30" x14ac:dyDescent="0.25">
      <c r="A618" s="420">
        <v>43014</v>
      </c>
      <c r="B618" s="302" t="s">
        <v>32260</v>
      </c>
      <c r="C618">
        <v>130181</v>
      </c>
      <c r="D618" s="275" t="s">
        <v>15230</v>
      </c>
      <c r="E618" s="301">
        <v>12099.2</v>
      </c>
      <c r="F618" s="303" t="s">
        <v>32261</v>
      </c>
      <c r="G618" s="305">
        <f>6100+5999.2</f>
        <v>12099.2</v>
      </c>
      <c r="H618" s="305">
        <f>Tabla15[[#This Row],[Importe]]-Tabla15[[#This Row],[Pagado]]</f>
        <v>0</v>
      </c>
      <c r="I618" s="275" t="s">
        <v>15214</v>
      </c>
    </row>
    <row r="619" spans="1:9" x14ac:dyDescent="0.25">
      <c r="A619" s="420">
        <v>43014</v>
      </c>
      <c r="B619" s="302" t="s">
        <v>32262</v>
      </c>
      <c r="C619">
        <v>130182</v>
      </c>
      <c r="D619" s="275" t="s">
        <v>15596</v>
      </c>
      <c r="E619" s="301">
        <v>1320</v>
      </c>
      <c r="F619" s="303">
        <v>43014</v>
      </c>
      <c r="G619" s="301">
        <v>1320</v>
      </c>
      <c r="H619" s="301">
        <f>Tabla15[[#This Row],[Importe]]-Tabla15[[#This Row],[Pagado]]</f>
        <v>0</v>
      </c>
      <c r="I619" s="275" t="s">
        <v>15214</v>
      </c>
    </row>
    <row r="620" spans="1:9" x14ac:dyDescent="0.25">
      <c r="A620" s="420">
        <v>43014</v>
      </c>
      <c r="B620" s="302" t="s">
        <v>32263</v>
      </c>
      <c r="C620">
        <v>130183</v>
      </c>
      <c r="D620" s="275" t="s">
        <v>15317</v>
      </c>
      <c r="E620" s="301">
        <v>2585.1999999999998</v>
      </c>
      <c r="F620" s="303">
        <v>43017</v>
      </c>
      <c r="G620" s="301">
        <v>2585.1999999999998</v>
      </c>
      <c r="H620" s="301">
        <f>Tabla15[[#This Row],[Importe]]-Tabla15[[#This Row],[Pagado]]</f>
        <v>0</v>
      </c>
      <c r="I620" s="275" t="s">
        <v>15214</v>
      </c>
    </row>
    <row r="621" spans="1:9" x14ac:dyDescent="0.25">
      <c r="A621" s="420">
        <v>43014</v>
      </c>
      <c r="B621" s="302" t="s">
        <v>32264</v>
      </c>
      <c r="C621">
        <v>130184</v>
      </c>
      <c r="D621" s="275" t="s">
        <v>15232</v>
      </c>
      <c r="E621" s="301">
        <v>5532.8</v>
      </c>
      <c r="F621" s="303">
        <v>43020</v>
      </c>
      <c r="G621" s="301">
        <v>5532.8</v>
      </c>
      <c r="H621" s="301">
        <f>Tabla15[[#This Row],[Importe]]-Tabla15[[#This Row],[Pagado]]</f>
        <v>0</v>
      </c>
      <c r="I621" s="275" t="s">
        <v>15214</v>
      </c>
    </row>
    <row r="622" spans="1:9" x14ac:dyDescent="0.25">
      <c r="A622" s="420">
        <v>43014</v>
      </c>
      <c r="B622" s="302" t="s">
        <v>32265</v>
      </c>
      <c r="C622">
        <v>130185</v>
      </c>
      <c r="D622" s="275" t="s">
        <v>15272</v>
      </c>
      <c r="E622" s="301">
        <v>19205.900000000001</v>
      </c>
      <c r="F622" s="303">
        <v>43014</v>
      </c>
      <c r="G622" s="301">
        <v>19205.900000000001</v>
      </c>
      <c r="H622" s="301">
        <f>Tabla15[[#This Row],[Importe]]-Tabla15[[#This Row],[Pagado]]</f>
        <v>0</v>
      </c>
      <c r="I622" s="275" t="s">
        <v>15214</v>
      </c>
    </row>
    <row r="623" spans="1:9" ht="30" x14ac:dyDescent="0.25">
      <c r="A623" s="420">
        <v>43014</v>
      </c>
      <c r="B623" s="302" t="s">
        <v>32266</v>
      </c>
      <c r="C623">
        <v>130186</v>
      </c>
      <c r="D623" s="275" t="s">
        <v>28651</v>
      </c>
      <c r="E623" s="301">
        <v>9560.7999999999993</v>
      </c>
      <c r="F623" s="303" t="s">
        <v>32131</v>
      </c>
      <c r="G623" s="305">
        <f>7500+2060.8</f>
        <v>9560.7999999999993</v>
      </c>
      <c r="H623" s="305">
        <f>Tabla15[[#This Row],[Importe]]-Tabla15[[#This Row],[Pagado]]</f>
        <v>0</v>
      </c>
      <c r="I623" s="275" t="s">
        <v>15214</v>
      </c>
    </row>
    <row r="624" spans="1:9" x14ac:dyDescent="0.25">
      <c r="A624" s="420">
        <v>43014</v>
      </c>
      <c r="B624" s="302" t="s">
        <v>32267</v>
      </c>
      <c r="C624">
        <v>130187</v>
      </c>
      <c r="D624" s="275" t="s">
        <v>15240</v>
      </c>
      <c r="E624" s="301">
        <v>3090.6</v>
      </c>
      <c r="F624" s="303">
        <v>43015</v>
      </c>
      <c r="G624" s="301">
        <v>3090.6</v>
      </c>
      <c r="H624" s="301">
        <f>Tabla15[[#This Row],[Importe]]-Tabla15[[#This Row],[Pagado]]</f>
        <v>0</v>
      </c>
      <c r="I624" s="275" t="s">
        <v>15214</v>
      </c>
    </row>
    <row r="625" spans="1:9" x14ac:dyDescent="0.25">
      <c r="A625" s="420">
        <v>43014</v>
      </c>
      <c r="B625" s="302" t="s">
        <v>32268</v>
      </c>
      <c r="C625">
        <v>130188</v>
      </c>
      <c r="D625" s="275" t="s">
        <v>15348</v>
      </c>
      <c r="E625" s="301">
        <v>2966</v>
      </c>
      <c r="F625" s="303">
        <v>43015</v>
      </c>
      <c r="G625" s="301">
        <v>2966</v>
      </c>
      <c r="H625" s="301">
        <f>Tabla15[[#This Row],[Importe]]-Tabla15[[#This Row],[Pagado]]</f>
        <v>0</v>
      </c>
      <c r="I625" s="275" t="s">
        <v>15214</v>
      </c>
    </row>
    <row r="626" spans="1:9" x14ac:dyDescent="0.25">
      <c r="A626" s="420">
        <v>43014</v>
      </c>
      <c r="B626" s="302" t="s">
        <v>32269</v>
      </c>
      <c r="C626">
        <v>130189</v>
      </c>
      <c r="D626" s="275" t="s">
        <v>30057</v>
      </c>
      <c r="E626" s="301">
        <v>5912.6</v>
      </c>
      <c r="F626" s="303">
        <v>43015</v>
      </c>
      <c r="G626" s="301">
        <v>5912.6</v>
      </c>
      <c r="H626" s="301">
        <f>Tabla15[[#This Row],[Importe]]-Tabla15[[#This Row],[Pagado]]</f>
        <v>0</v>
      </c>
      <c r="I626" s="275" t="s">
        <v>15214</v>
      </c>
    </row>
    <row r="627" spans="1:9" x14ac:dyDescent="0.25">
      <c r="A627" s="420">
        <v>43014</v>
      </c>
      <c r="B627" s="302" t="s">
        <v>32270</v>
      </c>
      <c r="C627">
        <v>130190</v>
      </c>
      <c r="D627" s="275" t="s">
        <v>5575</v>
      </c>
      <c r="E627" s="301">
        <v>3350.6</v>
      </c>
      <c r="F627" s="303">
        <v>43015</v>
      </c>
      <c r="G627" s="301">
        <v>3350.6</v>
      </c>
      <c r="H627" s="301">
        <f>Tabla15[[#This Row],[Importe]]-Tabla15[[#This Row],[Pagado]]</f>
        <v>0</v>
      </c>
      <c r="I627" s="275" t="s">
        <v>15214</v>
      </c>
    </row>
    <row r="628" spans="1:9" x14ac:dyDescent="0.25">
      <c r="A628" s="420">
        <v>43014</v>
      </c>
      <c r="B628" s="302" t="s">
        <v>32271</v>
      </c>
      <c r="C628">
        <v>130191</v>
      </c>
      <c r="D628" s="275" t="s">
        <v>18544</v>
      </c>
      <c r="E628" s="301">
        <v>4552.8</v>
      </c>
      <c r="F628" s="303">
        <v>43014</v>
      </c>
      <c r="G628" s="301">
        <v>4552.8</v>
      </c>
      <c r="H628" s="301">
        <f>Tabla15[[#This Row],[Importe]]-Tabla15[[#This Row],[Pagado]]</f>
        <v>0</v>
      </c>
      <c r="I628" s="275" t="s">
        <v>15214</v>
      </c>
    </row>
    <row r="629" spans="1:9" x14ac:dyDescent="0.25">
      <c r="A629" s="420">
        <v>43014</v>
      </c>
      <c r="B629" s="302" t="s">
        <v>32272</v>
      </c>
      <c r="C629">
        <v>130192</v>
      </c>
      <c r="D629" s="275" t="s">
        <v>15315</v>
      </c>
      <c r="E629" s="301">
        <v>5047.3</v>
      </c>
      <c r="F629" s="303">
        <v>43014</v>
      </c>
      <c r="G629" s="301">
        <v>5047.3</v>
      </c>
      <c r="H629" s="301">
        <f>Tabla15[[#This Row],[Importe]]-Tabla15[[#This Row],[Pagado]]</f>
        <v>0</v>
      </c>
      <c r="I629" s="275" t="s">
        <v>15214</v>
      </c>
    </row>
    <row r="630" spans="1:9" ht="15.75" x14ac:dyDescent="0.25">
      <c r="A630" s="420">
        <v>43014</v>
      </c>
      <c r="B630" s="302" t="s">
        <v>32273</v>
      </c>
      <c r="C630">
        <v>130193</v>
      </c>
      <c r="D630" s="248" t="s">
        <v>95</v>
      </c>
      <c r="E630" s="301">
        <v>0</v>
      </c>
      <c r="F630" s="243" t="s">
        <v>95</v>
      </c>
      <c r="G630" s="301">
        <v>0</v>
      </c>
      <c r="H630" s="301">
        <f>Tabla15[[#This Row],[Importe]]-Tabla15[[#This Row],[Pagado]]</f>
        <v>0</v>
      </c>
      <c r="I630" s="275" t="s">
        <v>95</v>
      </c>
    </row>
    <row r="631" spans="1:9" ht="30" x14ac:dyDescent="0.25">
      <c r="A631" s="420">
        <v>43014</v>
      </c>
      <c r="B631" s="302" t="s">
        <v>32274</v>
      </c>
      <c r="C631">
        <v>130194</v>
      </c>
      <c r="D631" s="275" t="s">
        <v>15258</v>
      </c>
      <c r="E631" s="301">
        <v>9534.2999999999993</v>
      </c>
      <c r="F631" s="303" t="s">
        <v>32131</v>
      </c>
      <c r="G631" s="305">
        <f>3000+6534.3</f>
        <v>9534.2999999999993</v>
      </c>
      <c r="H631" s="305">
        <f>Tabla15[[#This Row],[Importe]]-Tabla15[[#This Row],[Pagado]]</f>
        <v>0</v>
      </c>
      <c r="I631" s="275" t="s">
        <v>15214</v>
      </c>
    </row>
    <row r="632" spans="1:9" x14ac:dyDescent="0.25">
      <c r="A632" s="420">
        <v>43014</v>
      </c>
      <c r="B632" s="302" t="s">
        <v>32275</v>
      </c>
      <c r="C632">
        <v>130195</v>
      </c>
      <c r="D632" s="275" t="s">
        <v>15487</v>
      </c>
      <c r="E632" s="301">
        <v>5499</v>
      </c>
      <c r="F632" s="303">
        <v>43014</v>
      </c>
      <c r="G632" s="301">
        <v>5499</v>
      </c>
      <c r="H632" s="301">
        <f>Tabla15[[#This Row],[Importe]]-Tabla15[[#This Row],[Pagado]]</f>
        <v>0</v>
      </c>
      <c r="I632" s="275" t="s">
        <v>15214</v>
      </c>
    </row>
    <row r="633" spans="1:9" x14ac:dyDescent="0.25">
      <c r="A633" s="420">
        <v>43014</v>
      </c>
      <c r="B633" s="302" t="s">
        <v>32276</v>
      </c>
      <c r="C633">
        <v>130196</v>
      </c>
      <c r="D633" s="275" t="s">
        <v>16116</v>
      </c>
      <c r="E633" s="301">
        <v>33304.32</v>
      </c>
      <c r="F633" s="303">
        <v>43014</v>
      </c>
      <c r="G633" s="301">
        <v>33304.32</v>
      </c>
      <c r="H633" s="301">
        <f>Tabla15[[#This Row],[Importe]]-Tabla15[[#This Row],[Pagado]]</f>
        <v>0</v>
      </c>
      <c r="I633" s="275" t="s">
        <v>15214</v>
      </c>
    </row>
    <row r="634" spans="1:9" x14ac:dyDescent="0.25">
      <c r="A634" s="420">
        <v>43014</v>
      </c>
      <c r="B634" s="302" t="s">
        <v>32277</v>
      </c>
      <c r="C634">
        <v>130197</v>
      </c>
      <c r="D634" s="275" t="s">
        <v>15315</v>
      </c>
      <c r="E634" s="301">
        <v>2678.56</v>
      </c>
      <c r="F634" s="303">
        <v>43014</v>
      </c>
      <c r="G634" s="301">
        <v>2678.56</v>
      </c>
      <c r="H634" s="301">
        <f>Tabla15[[#This Row],[Importe]]-Tabla15[[#This Row],[Pagado]]</f>
        <v>0</v>
      </c>
      <c r="I634" s="275" t="s">
        <v>15214</v>
      </c>
    </row>
    <row r="635" spans="1:9" x14ac:dyDescent="0.25">
      <c r="A635" s="420">
        <v>43014</v>
      </c>
      <c r="B635" s="302" t="s">
        <v>32278</v>
      </c>
      <c r="C635">
        <v>130198</v>
      </c>
      <c r="D635" s="275" t="s">
        <v>15668</v>
      </c>
      <c r="E635" s="301">
        <v>19276.8</v>
      </c>
      <c r="F635" s="303">
        <v>43015</v>
      </c>
      <c r="G635" s="301">
        <v>19276.8</v>
      </c>
      <c r="H635" s="301">
        <f>Tabla15[[#This Row],[Importe]]-Tabla15[[#This Row],[Pagado]]</f>
        <v>0</v>
      </c>
      <c r="I635" s="275" t="s">
        <v>15214</v>
      </c>
    </row>
    <row r="636" spans="1:9" x14ac:dyDescent="0.25">
      <c r="A636" s="420">
        <v>43014</v>
      </c>
      <c r="B636" s="302" t="s">
        <v>32279</v>
      </c>
      <c r="C636">
        <v>130199</v>
      </c>
      <c r="D636" s="275" t="s">
        <v>15315</v>
      </c>
      <c r="E636" s="301">
        <v>17994.3</v>
      </c>
      <c r="F636" s="303">
        <v>43014</v>
      </c>
      <c r="G636" s="301">
        <v>17994.3</v>
      </c>
      <c r="H636" s="301">
        <f>Tabla15[[#This Row],[Importe]]-Tabla15[[#This Row],[Pagado]]</f>
        <v>0</v>
      </c>
      <c r="I636" s="275" t="s">
        <v>15214</v>
      </c>
    </row>
    <row r="637" spans="1:9" x14ac:dyDescent="0.25">
      <c r="A637" s="420">
        <v>43014</v>
      </c>
      <c r="B637" s="302" t="s">
        <v>32280</v>
      </c>
      <c r="C637">
        <v>130200</v>
      </c>
      <c r="D637" s="275" t="s">
        <v>15315</v>
      </c>
      <c r="E637" s="301">
        <v>155</v>
      </c>
      <c r="F637" s="303">
        <v>43014</v>
      </c>
      <c r="G637" s="301">
        <v>155</v>
      </c>
      <c r="H637" s="301">
        <f>Tabla15[[#This Row],[Importe]]-Tabla15[[#This Row],[Pagado]]</f>
        <v>0</v>
      </c>
      <c r="I637" s="275" t="s">
        <v>15214</v>
      </c>
    </row>
    <row r="638" spans="1:9" x14ac:dyDescent="0.25">
      <c r="A638" s="420">
        <v>43014</v>
      </c>
      <c r="B638" s="302" t="s">
        <v>32281</v>
      </c>
      <c r="C638">
        <v>130201</v>
      </c>
      <c r="D638" s="275" t="s">
        <v>30939</v>
      </c>
      <c r="E638" s="301">
        <v>6645.2</v>
      </c>
      <c r="F638" s="303">
        <v>43017</v>
      </c>
      <c r="G638" s="301">
        <v>6645.2</v>
      </c>
      <c r="H638" s="301">
        <f>Tabla15[[#This Row],[Importe]]-Tabla15[[#This Row],[Pagado]]</f>
        <v>0</v>
      </c>
      <c r="I638" s="275" t="s">
        <v>15214</v>
      </c>
    </row>
    <row r="639" spans="1:9" x14ac:dyDescent="0.25">
      <c r="A639" s="420">
        <v>43014</v>
      </c>
      <c r="B639" s="302" t="s">
        <v>32282</v>
      </c>
      <c r="C639">
        <v>130202</v>
      </c>
      <c r="D639" s="275" t="s">
        <v>15234</v>
      </c>
      <c r="E639" s="301">
        <v>3663</v>
      </c>
      <c r="F639" s="303">
        <v>43017</v>
      </c>
      <c r="G639" s="301">
        <v>3663</v>
      </c>
      <c r="H639" s="301">
        <f>Tabla15[[#This Row],[Importe]]-Tabla15[[#This Row],[Pagado]]</f>
        <v>0</v>
      </c>
      <c r="I639" s="275" t="s">
        <v>15214</v>
      </c>
    </row>
    <row r="640" spans="1:9" x14ac:dyDescent="0.25">
      <c r="A640" s="420">
        <v>43014</v>
      </c>
      <c r="B640" s="302" t="s">
        <v>32283</v>
      </c>
      <c r="C640">
        <v>130203</v>
      </c>
      <c r="D640" s="275" t="s">
        <v>15238</v>
      </c>
      <c r="E640" s="301">
        <v>5867.9</v>
      </c>
      <c r="F640" s="303">
        <v>43017</v>
      </c>
      <c r="G640" s="301">
        <v>5867.9</v>
      </c>
      <c r="H640" s="301">
        <f>Tabla15[[#This Row],[Importe]]-Tabla15[[#This Row],[Pagado]]</f>
        <v>0</v>
      </c>
      <c r="I640" s="275" t="s">
        <v>15214</v>
      </c>
    </row>
    <row r="641" spans="1:9" x14ac:dyDescent="0.25">
      <c r="A641" s="420">
        <v>43014</v>
      </c>
      <c r="B641" s="302" t="s">
        <v>32284</v>
      </c>
      <c r="C641">
        <v>130204</v>
      </c>
      <c r="D641" s="275" t="s">
        <v>17462</v>
      </c>
      <c r="E641" s="301">
        <v>6438.4</v>
      </c>
      <c r="F641" s="303">
        <v>43014</v>
      </c>
      <c r="G641" s="301">
        <v>6438.4</v>
      </c>
      <c r="H641" s="301">
        <f>Tabla15[[#This Row],[Importe]]-Tabla15[[#This Row],[Pagado]]</f>
        <v>0</v>
      </c>
      <c r="I641" s="275" t="s">
        <v>15214</v>
      </c>
    </row>
    <row r="642" spans="1:9" x14ac:dyDescent="0.25">
      <c r="A642" s="420">
        <v>43014</v>
      </c>
      <c r="B642" s="302" t="s">
        <v>32285</v>
      </c>
      <c r="C642">
        <v>130205</v>
      </c>
      <c r="D642" s="275" t="s">
        <v>15371</v>
      </c>
      <c r="E642" s="301">
        <v>984.6</v>
      </c>
      <c r="F642" s="303">
        <v>43014</v>
      </c>
      <c r="G642" s="301">
        <v>984.6</v>
      </c>
      <c r="H642" s="301">
        <f>Tabla15[[#This Row],[Importe]]-Tabla15[[#This Row],[Pagado]]</f>
        <v>0</v>
      </c>
      <c r="I642" s="275" t="s">
        <v>15214</v>
      </c>
    </row>
    <row r="643" spans="1:9" x14ac:dyDescent="0.25">
      <c r="A643" s="420">
        <v>43014</v>
      </c>
      <c r="B643" s="302" t="s">
        <v>32286</v>
      </c>
      <c r="C643">
        <v>130206</v>
      </c>
      <c r="D643" s="275" t="s">
        <v>15448</v>
      </c>
      <c r="E643" s="301">
        <v>192840.3</v>
      </c>
      <c r="F643" s="303">
        <v>43015</v>
      </c>
      <c r="G643" s="301">
        <v>192840.3</v>
      </c>
      <c r="H643" s="301">
        <f>Tabla15[[#This Row],[Importe]]-Tabla15[[#This Row],[Pagado]]</f>
        <v>0</v>
      </c>
      <c r="I643" s="275" t="s">
        <v>15214</v>
      </c>
    </row>
    <row r="644" spans="1:9" ht="15.75" x14ac:dyDescent="0.25">
      <c r="A644" s="420">
        <v>43014</v>
      </c>
      <c r="B644" s="302" t="s">
        <v>32287</v>
      </c>
      <c r="C644">
        <v>130207</v>
      </c>
      <c r="D644" s="248" t="s">
        <v>95</v>
      </c>
      <c r="E644" s="301">
        <v>0</v>
      </c>
      <c r="F644" s="243" t="s">
        <v>95</v>
      </c>
      <c r="G644" s="301">
        <v>0</v>
      </c>
      <c r="H644" s="301">
        <f>Tabla15[[#This Row],[Importe]]-Tabla15[[#This Row],[Pagado]]</f>
        <v>0</v>
      </c>
      <c r="I644" s="275" t="s">
        <v>95</v>
      </c>
    </row>
    <row r="645" spans="1:9" ht="30" x14ac:dyDescent="0.25">
      <c r="A645" s="420">
        <v>43014</v>
      </c>
      <c r="B645" s="302" t="s">
        <v>32288</v>
      </c>
      <c r="C645">
        <v>130208</v>
      </c>
      <c r="D645" s="275" t="s">
        <v>15256</v>
      </c>
      <c r="E645" s="301">
        <v>8353.4</v>
      </c>
      <c r="F645" s="303" t="s">
        <v>32289</v>
      </c>
      <c r="G645" s="305">
        <f>5200+3153.4</f>
        <v>8353.4</v>
      </c>
      <c r="H645" s="305">
        <f>Tabla15[[#This Row],[Importe]]-Tabla15[[#This Row],[Pagado]]</f>
        <v>0</v>
      </c>
      <c r="I645" s="275" t="s">
        <v>15214</v>
      </c>
    </row>
    <row r="646" spans="1:9" x14ac:dyDescent="0.25">
      <c r="A646" s="420">
        <v>43014</v>
      </c>
      <c r="B646" s="302" t="s">
        <v>32290</v>
      </c>
      <c r="C646">
        <v>130209</v>
      </c>
      <c r="D646" s="275" t="s">
        <v>15232</v>
      </c>
      <c r="E646" s="301">
        <v>1842.4</v>
      </c>
      <c r="F646" s="303">
        <v>43020</v>
      </c>
      <c r="G646" s="301">
        <v>1842.4</v>
      </c>
      <c r="H646" s="301">
        <f>Tabla15[[#This Row],[Importe]]-Tabla15[[#This Row],[Pagado]]</f>
        <v>0</v>
      </c>
      <c r="I646" s="275" t="s">
        <v>15214</v>
      </c>
    </row>
    <row r="647" spans="1:9" ht="15.75" x14ac:dyDescent="0.25">
      <c r="A647" s="420">
        <v>43014</v>
      </c>
      <c r="B647" s="302" t="s">
        <v>32291</v>
      </c>
      <c r="C647">
        <v>130210</v>
      </c>
      <c r="D647" s="248" t="s">
        <v>95</v>
      </c>
      <c r="E647" s="301">
        <v>0</v>
      </c>
      <c r="F647" s="243" t="s">
        <v>95</v>
      </c>
      <c r="G647" s="301">
        <v>0</v>
      </c>
      <c r="H647" s="301">
        <f>Tabla15[[#This Row],[Importe]]-Tabla15[[#This Row],[Pagado]]</f>
        <v>0</v>
      </c>
      <c r="I647" s="275" t="s">
        <v>95</v>
      </c>
    </row>
    <row r="648" spans="1:9" ht="30" x14ac:dyDescent="0.25">
      <c r="A648" s="420">
        <v>43014</v>
      </c>
      <c r="B648" s="302" t="s">
        <v>32292</v>
      </c>
      <c r="C648">
        <v>130211</v>
      </c>
      <c r="D648" s="275" t="s">
        <v>15480</v>
      </c>
      <c r="E648" s="301">
        <v>3724.02</v>
      </c>
      <c r="F648" s="303" t="s">
        <v>32293</v>
      </c>
      <c r="G648" s="305">
        <f>2500+1224.02</f>
        <v>3724.02</v>
      </c>
      <c r="H648" s="305">
        <f>Tabla15[[#This Row],[Importe]]-Tabla15[[#This Row],[Pagado]]</f>
        <v>0</v>
      </c>
      <c r="I648" s="275" t="s">
        <v>15214</v>
      </c>
    </row>
    <row r="649" spans="1:9" x14ac:dyDescent="0.25">
      <c r="A649" s="420">
        <v>43014</v>
      </c>
      <c r="B649" s="302" t="s">
        <v>32294</v>
      </c>
      <c r="C649">
        <v>130212</v>
      </c>
      <c r="D649" s="275" t="s">
        <v>15220</v>
      </c>
      <c r="E649" s="301">
        <v>2420</v>
      </c>
      <c r="F649" s="303">
        <v>43014</v>
      </c>
      <c r="G649" s="301">
        <v>2420</v>
      </c>
      <c r="H649" s="301">
        <f>Tabla15[[#This Row],[Importe]]-Tabla15[[#This Row],[Pagado]]</f>
        <v>0</v>
      </c>
      <c r="I649" s="275" t="s">
        <v>15214</v>
      </c>
    </row>
    <row r="650" spans="1:9" x14ac:dyDescent="0.25">
      <c r="A650" s="420">
        <v>43014</v>
      </c>
      <c r="B650" s="302" t="s">
        <v>32295</v>
      </c>
      <c r="C650">
        <v>130213</v>
      </c>
      <c r="D650" s="275" t="s">
        <v>15324</v>
      </c>
      <c r="E650" s="301">
        <v>2080</v>
      </c>
      <c r="F650" s="303">
        <v>43014</v>
      </c>
      <c r="G650" s="301">
        <v>2080</v>
      </c>
      <c r="H650" s="301">
        <f>Tabla15[[#This Row],[Importe]]-Tabla15[[#This Row],[Pagado]]</f>
        <v>0</v>
      </c>
      <c r="I650" s="275" t="s">
        <v>15214</v>
      </c>
    </row>
    <row r="651" spans="1:9" x14ac:dyDescent="0.25">
      <c r="A651" s="420">
        <v>43014</v>
      </c>
      <c r="B651" s="302" t="s">
        <v>32296</v>
      </c>
      <c r="C651">
        <v>130214</v>
      </c>
      <c r="D651" s="275" t="s">
        <v>19302</v>
      </c>
      <c r="E651" s="301">
        <v>880</v>
      </c>
      <c r="F651" s="303">
        <v>43014</v>
      </c>
      <c r="G651" s="301">
        <v>880</v>
      </c>
      <c r="H651" s="301">
        <f>Tabla15[[#This Row],[Importe]]-Tabla15[[#This Row],[Pagado]]</f>
        <v>0</v>
      </c>
      <c r="I651" s="275" t="s">
        <v>15214</v>
      </c>
    </row>
    <row r="652" spans="1:9" x14ac:dyDescent="0.25">
      <c r="A652" s="420">
        <v>43014</v>
      </c>
      <c r="B652" s="302" t="s">
        <v>32297</v>
      </c>
      <c r="C652">
        <v>130215</v>
      </c>
      <c r="D652" s="275" t="s">
        <v>15226</v>
      </c>
      <c r="E652" s="301">
        <v>2131.1999999999998</v>
      </c>
      <c r="F652" s="303">
        <v>43015</v>
      </c>
      <c r="G652" s="301">
        <v>2131.1999999999998</v>
      </c>
      <c r="H652" s="301">
        <f>Tabla15[[#This Row],[Importe]]-Tabla15[[#This Row],[Pagado]]</f>
        <v>0</v>
      </c>
      <c r="I652" s="275" t="s">
        <v>15214</v>
      </c>
    </row>
    <row r="653" spans="1:9" x14ac:dyDescent="0.25">
      <c r="A653" s="420">
        <v>43014</v>
      </c>
      <c r="B653" s="302" t="s">
        <v>32298</v>
      </c>
      <c r="C653">
        <v>130216</v>
      </c>
      <c r="D653" s="275" t="s">
        <v>15338</v>
      </c>
      <c r="E653" s="301">
        <v>8927</v>
      </c>
      <c r="F653" s="303">
        <v>43018</v>
      </c>
      <c r="G653" s="301">
        <v>8927</v>
      </c>
      <c r="H653" s="301">
        <f>Tabla15[[#This Row],[Importe]]-Tabla15[[#This Row],[Pagado]]</f>
        <v>0</v>
      </c>
      <c r="I653" s="275" t="s">
        <v>15214</v>
      </c>
    </row>
    <row r="654" spans="1:9" x14ac:dyDescent="0.25">
      <c r="A654" s="420">
        <v>43014</v>
      </c>
      <c r="B654" s="302" t="s">
        <v>32299</v>
      </c>
      <c r="C654">
        <v>130217</v>
      </c>
      <c r="D654" s="275" t="s">
        <v>15315</v>
      </c>
      <c r="E654" s="301">
        <v>8128.8</v>
      </c>
      <c r="F654" s="303">
        <v>43014</v>
      </c>
      <c r="G654" s="301">
        <v>8128.8</v>
      </c>
      <c r="H654" s="301">
        <f>Tabla15[[#This Row],[Importe]]-Tabla15[[#This Row],[Pagado]]</f>
        <v>0</v>
      </c>
      <c r="I654" s="275" t="s">
        <v>15214</v>
      </c>
    </row>
    <row r="655" spans="1:9" x14ac:dyDescent="0.25">
      <c r="A655" s="420">
        <v>43014</v>
      </c>
      <c r="B655" s="302" t="s">
        <v>32300</v>
      </c>
      <c r="C655">
        <v>130218</v>
      </c>
      <c r="D655" s="275" t="s">
        <v>16023</v>
      </c>
      <c r="E655" s="301">
        <v>2077.7600000000002</v>
      </c>
      <c r="F655" s="303">
        <v>43014</v>
      </c>
      <c r="G655" s="301">
        <v>2077.7600000000002</v>
      </c>
      <c r="H655" s="301">
        <f>Tabla15[[#This Row],[Importe]]-Tabla15[[#This Row],[Pagado]]</f>
        <v>0</v>
      </c>
      <c r="I655" s="275" t="s">
        <v>15214</v>
      </c>
    </row>
    <row r="656" spans="1:9" x14ac:dyDescent="0.25">
      <c r="A656" s="420">
        <v>43014</v>
      </c>
      <c r="B656" s="302" t="s">
        <v>32301</v>
      </c>
      <c r="C656">
        <v>130219</v>
      </c>
      <c r="D656" s="275" t="s">
        <v>15334</v>
      </c>
      <c r="E656" s="301">
        <v>2280</v>
      </c>
      <c r="F656" s="303">
        <v>43014</v>
      </c>
      <c r="G656" s="301">
        <v>2280</v>
      </c>
      <c r="H656" s="301">
        <f>Tabla15[[#This Row],[Importe]]-Tabla15[[#This Row],[Pagado]]</f>
        <v>0</v>
      </c>
      <c r="I656" s="275" t="s">
        <v>15214</v>
      </c>
    </row>
    <row r="657" spans="1:9" ht="45" x14ac:dyDescent="0.25">
      <c r="A657" s="420">
        <v>43014</v>
      </c>
      <c r="B657" s="302" t="s">
        <v>32302</v>
      </c>
      <c r="C657">
        <v>130220</v>
      </c>
      <c r="D657" s="275" t="s">
        <v>15228</v>
      </c>
      <c r="E657" s="301">
        <v>29289.73</v>
      </c>
      <c r="F657" s="303" t="s">
        <v>32303</v>
      </c>
      <c r="G657" s="305">
        <f>10000+10000+9289.73</f>
        <v>29289.73</v>
      </c>
      <c r="H657" s="305">
        <f>Tabla15[[#This Row],[Importe]]-Tabla15[[#This Row],[Pagado]]</f>
        <v>0</v>
      </c>
      <c r="I657" s="275" t="s">
        <v>15214</v>
      </c>
    </row>
    <row r="658" spans="1:9" x14ac:dyDescent="0.25">
      <c r="A658" s="420">
        <v>43014</v>
      </c>
      <c r="B658" s="302" t="s">
        <v>32304</v>
      </c>
      <c r="C658">
        <v>130221</v>
      </c>
      <c r="D658" s="275" t="s">
        <v>15284</v>
      </c>
      <c r="E658" s="301">
        <v>1625.4</v>
      </c>
      <c r="F658" s="303">
        <v>43014</v>
      </c>
      <c r="G658" s="301">
        <v>1625.4</v>
      </c>
      <c r="H658" s="301">
        <f>Tabla15[[#This Row],[Importe]]-Tabla15[[#This Row],[Pagado]]</f>
        <v>0</v>
      </c>
      <c r="I658" s="275" t="s">
        <v>15214</v>
      </c>
    </row>
    <row r="659" spans="1:9" x14ac:dyDescent="0.25">
      <c r="A659" s="420">
        <v>43014</v>
      </c>
      <c r="B659" s="302" t="s">
        <v>32305</v>
      </c>
      <c r="C659">
        <v>130222</v>
      </c>
      <c r="D659" s="275" t="s">
        <v>15748</v>
      </c>
      <c r="E659" s="301">
        <v>4971.8999999999996</v>
      </c>
      <c r="F659" s="303">
        <v>43014</v>
      </c>
      <c r="G659" s="301">
        <v>4971.8999999999996</v>
      </c>
      <c r="H659" s="301">
        <f>Tabla15[[#This Row],[Importe]]-Tabla15[[#This Row],[Pagado]]</f>
        <v>0</v>
      </c>
      <c r="I659" s="275" t="s">
        <v>15214</v>
      </c>
    </row>
    <row r="660" spans="1:9" x14ac:dyDescent="0.25">
      <c r="A660" s="420">
        <v>43014</v>
      </c>
      <c r="B660" s="302" t="s">
        <v>32306</v>
      </c>
      <c r="C660">
        <v>130223</v>
      </c>
      <c r="D660" s="275" t="s">
        <v>15315</v>
      </c>
      <c r="E660" s="301">
        <v>7031.6</v>
      </c>
      <c r="F660" s="303">
        <v>43014</v>
      </c>
      <c r="G660" s="301">
        <v>7031.6</v>
      </c>
      <c r="H660" s="301">
        <f>Tabla15[[#This Row],[Importe]]-Tabla15[[#This Row],[Pagado]]</f>
        <v>0</v>
      </c>
      <c r="I660" s="275" t="s">
        <v>15214</v>
      </c>
    </row>
    <row r="661" spans="1:9" x14ac:dyDescent="0.25">
      <c r="A661" s="420">
        <v>43014</v>
      </c>
      <c r="B661" s="302" t="s">
        <v>32307</v>
      </c>
      <c r="C661">
        <v>130224</v>
      </c>
      <c r="D661" s="275" t="s">
        <v>15681</v>
      </c>
      <c r="E661" s="301">
        <v>2654.2</v>
      </c>
      <c r="F661" s="303">
        <v>43014</v>
      </c>
      <c r="G661" s="301">
        <v>2654.2</v>
      </c>
      <c r="H661" s="301">
        <f>Tabla15[[#This Row],[Importe]]-Tabla15[[#This Row],[Pagado]]</f>
        <v>0</v>
      </c>
      <c r="I661" s="275" t="s">
        <v>15214</v>
      </c>
    </row>
    <row r="662" spans="1:9" x14ac:dyDescent="0.25">
      <c r="A662" s="420">
        <v>43014</v>
      </c>
      <c r="B662" s="302" t="s">
        <v>32308</v>
      </c>
      <c r="C662">
        <v>130225</v>
      </c>
      <c r="D662" s="275" t="s">
        <v>15278</v>
      </c>
      <c r="E662" s="301">
        <v>9835.2000000000007</v>
      </c>
      <c r="F662" s="303">
        <v>43014</v>
      </c>
      <c r="G662" s="301">
        <v>9835.2000000000007</v>
      </c>
      <c r="H662" s="301">
        <f>Tabla15[[#This Row],[Importe]]-Tabla15[[#This Row],[Pagado]]</f>
        <v>0</v>
      </c>
      <c r="I662" s="275" t="s">
        <v>15214</v>
      </c>
    </row>
    <row r="663" spans="1:9" x14ac:dyDescent="0.25">
      <c r="A663" s="420">
        <v>43014</v>
      </c>
      <c r="B663" s="302" t="s">
        <v>32309</v>
      </c>
      <c r="C663">
        <v>130226</v>
      </c>
      <c r="D663" s="275" t="s">
        <v>15280</v>
      </c>
      <c r="E663" s="301">
        <v>5657.5</v>
      </c>
      <c r="F663" s="303">
        <v>43014</v>
      </c>
      <c r="G663" s="301">
        <v>5657.5</v>
      </c>
      <c r="H663" s="301">
        <f>Tabla15[[#This Row],[Importe]]-Tabla15[[#This Row],[Pagado]]</f>
        <v>0</v>
      </c>
      <c r="I663" s="275" t="s">
        <v>15214</v>
      </c>
    </row>
    <row r="664" spans="1:9" ht="15.75" x14ac:dyDescent="0.25">
      <c r="A664" s="420">
        <v>43014</v>
      </c>
      <c r="B664" s="302" t="s">
        <v>32310</v>
      </c>
      <c r="C664">
        <v>130227</v>
      </c>
      <c r="D664" s="248" t="s">
        <v>95</v>
      </c>
      <c r="E664" s="301">
        <v>0</v>
      </c>
      <c r="F664" s="243" t="s">
        <v>95</v>
      </c>
      <c r="G664" s="301">
        <v>0</v>
      </c>
      <c r="H664" s="301">
        <f>Tabla15[[#This Row],[Importe]]-Tabla15[[#This Row],[Pagado]]</f>
        <v>0</v>
      </c>
      <c r="I664" s="275" t="s">
        <v>95</v>
      </c>
    </row>
    <row r="665" spans="1:9" x14ac:dyDescent="0.25">
      <c r="A665" s="420">
        <v>43014</v>
      </c>
      <c r="B665" s="302" t="s">
        <v>32311</v>
      </c>
      <c r="C665">
        <v>130228</v>
      </c>
      <c r="D665" s="275" t="s">
        <v>15912</v>
      </c>
      <c r="E665" s="301">
        <v>2717</v>
      </c>
      <c r="F665" s="303">
        <v>43014</v>
      </c>
      <c r="G665" s="301">
        <v>2717</v>
      </c>
      <c r="H665" s="301">
        <f>Tabla15[[#This Row],[Importe]]-Tabla15[[#This Row],[Pagado]]</f>
        <v>0</v>
      </c>
      <c r="I665" s="275" t="s">
        <v>15214</v>
      </c>
    </row>
    <row r="666" spans="1:9" x14ac:dyDescent="0.25">
      <c r="A666" s="420">
        <v>43014</v>
      </c>
      <c r="B666" s="302" t="s">
        <v>32312</v>
      </c>
      <c r="C666">
        <v>130229</v>
      </c>
      <c r="D666" s="275" t="s">
        <v>15549</v>
      </c>
      <c r="E666" s="301">
        <v>2225.8000000000002</v>
      </c>
      <c r="F666" s="303">
        <v>43014</v>
      </c>
      <c r="G666" s="301">
        <v>2225.8000000000002</v>
      </c>
      <c r="H666" s="301">
        <f>Tabla15[[#This Row],[Importe]]-Tabla15[[#This Row],[Pagado]]</f>
        <v>0</v>
      </c>
      <c r="I666" s="275" t="s">
        <v>15214</v>
      </c>
    </row>
    <row r="667" spans="1:9" x14ac:dyDescent="0.25">
      <c r="A667" s="420">
        <v>43014</v>
      </c>
      <c r="B667" s="302" t="s">
        <v>32313</v>
      </c>
      <c r="C667">
        <v>130230</v>
      </c>
      <c r="D667" s="275" t="s">
        <v>15246</v>
      </c>
      <c r="E667" s="301">
        <v>24796</v>
      </c>
      <c r="F667" s="303">
        <v>43015</v>
      </c>
      <c r="G667" s="301">
        <v>24796</v>
      </c>
      <c r="H667" s="301">
        <f>Tabla15[[#This Row],[Importe]]-Tabla15[[#This Row],[Pagado]]</f>
        <v>0</v>
      </c>
      <c r="I667" s="275" t="s">
        <v>15214</v>
      </c>
    </row>
    <row r="668" spans="1:9" x14ac:dyDescent="0.25">
      <c r="A668" s="420">
        <v>43014</v>
      </c>
      <c r="B668" s="302" t="s">
        <v>32314</v>
      </c>
      <c r="C668">
        <v>130231</v>
      </c>
      <c r="D668" s="275" t="s">
        <v>15526</v>
      </c>
      <c r="E668" s="301">
        <v>3764.6</v>
      </c>
      <c r="F668" s="303">
        <v>43014</v>
      </c>
      <c r="G668" s="301">
        <v>3764.6</v>
      </c>
      <c r="H668" s="301">
        <f>Tabla15[[#This Row],[Importe]]-Tabla15[[#This Row],[Pagado]]</f>
        <v>0</v>
      </c>
      <c r="I668" s="275" t="s">
        <v>15214</v>
      </c>
    </row>
    <row r="669" spans="1:9" x14ac:dyDescent="0.25">
      <c r="A669" s="420">
        <v>43014</v>
      </c>
      <c r="B669" s="302" t="s">
        <v>32315</v>
      </c>
      <c r="C669">
        <v>130232</v>
      </c>
      <c r="D669" s="275" t="s">
        <v>15577</v>
      </c>
      <c r="E669" s="301">
        <v>868.5</v>
      </c>
      <c r="F669" s="303">
        <v>43014</v>
      </c>
      <c r="G669" s="301">
        <v>868.5</v>
      </c>
      <c r="H669" s="301">
        <f>Tabla15[[#This Row],[Importe]]-Tabla15[[#This Row],[Pagado]]</f>
        <v>0</v>
      </c>
      <c r="I669" s="275" t="s">
        <v>15214</v>
      </c>
    </row>
    <row r="670" spans="1:9" x14ac:dyDescent="0.25">
      <c r="A670" s="420">
        <v>43014</v>
      </c>
      <c r="B670" s="302" t="s">
        <v>32316</v>
      </c>
      <c r="C670">
        <v>130233</v>
      </c>
      <c r="D670" s="275" t="s">
        <v>15250</v>
      </c>
      <c r="E670" s="301">
        <v>96730.16</v>
      </c>
      <c r="F670" s="303">
        <v>43022</v>
      </c>
      <c r="G670" s="301">
        <v>96730.16</v>
      </c>
      <c r="H670" s="301">
        <f>Tabla15[[#This Row],[Importe]]-Tabla15[[#This Row],[Pagado]]</f>
        <v>0</v>
      </c>
      <c r="I670" s="275" t="s">
        <v>15214</v>
      </c>
    </row>
    <row r="671" spans="1:9" x14ac:dyDescent="0.25">
      <c r="A671" s="420">
        <v>43014</v>
      </c>
      <c r="B671" s="302" t="s">
        <v>32317</v>
      </c>
      <c r="C671">
        <v>130234</v>
      </c>
      <c r="D671" s="275" t="s">
        <v>17210</v>
      </c>
      <c r="E671" s="301">
        <v>4140</v>
      </c>
      <c r="F671" s="303">
        <v>43014</v>
      </c>
      <c r="G671" s="301">
        <v>4140</v>
      </c>
      <c r="H671" s="301">
        <f>Tabla15[[#This Row],[Importe]]-Tabla15[[#This Row],[Pagado]]</f>
        <v>0</v>
      </c>
      <c r="I671" s="275" t="s">
        <v>15214</v>
      </c>
    </row>
    <row r="672" spans="1:9" x14ac:dyDescent="0.25">
      <c r="A672" s="420">
        <v>43014</v>
      </c>
      <c r="B672" s="302" t="s">
        <v>32318</v>
      </c>
      <c r="C672">
        <v>130235</v>
      </c>
      <c r="D672" s="275" t="s">
        <v>15523</v>
      </c>
      <c r="E672" s="301">
        <v>1764.4</v>
      </c>
      <c r="F672" s="303">
        <v>43014</v>
      </c>
      <c r="G672" s="301">
        <v>1764.4</v>
      </c>
      <c r="H672" s="301">
        <f>Tabla15[[#This Row],[Importe]]-Tabla15[[#This Row],[Pagado]]</f>
        <v>0</v>
      </c>
      <c r="I672" s="275" t="s">
        <v>15214</v>
      </c>
    </row>
    <row r="673" spans="1:9" x14ac:dyDescent="0.25">
      <c r="A673" s="420">
        <v>43014</v>
      </c>
      <c r="B673" s="302" t="s">
        <v>32319</v>
      </c>
      <c r="C673">
        <v>130236</v>
      </c>
      <c r="D673" s="275" t="s">
        <v>15223</v>
      </c>
      <c r="E673" s="301">
        <v>47469.8</v>
      </c>
      <c r="F673" s="303">
        <v>43036</v>
      </c>
      <c r="G673" s="301">
        <v>47469.8</v>
      </c>
      <c r="H673" s="301">
        <f>Tabla15[[#This Row],[Importe]]-Tabla15[[#This Row],[Pagado]]</f>
        <v>0</v>
      </c>
      <c r="I673" s="275" t="s">
        <v>15214</v>
      </c>
    </row>
    <row r="674" spans="1:9" x14ac:dyDescent="0.25">
      <c r="A674" s="420">
        <v>43014</v>
      </c>
      <c r="B674" s="302" t="s">
        <v>32320</v>
      </c>
      <c r="C674">
        <v>130237</v>
      </c>
      <c r="D674" s="275" t="s">
        <v>15858</v>
      </c>
      <c r="E674" s="301">
        <v>3837.96</v>
      </c>
      <c r="F674" s="303">
        <v>43014</v>
      </c>
      <c r="G674" s="301">
        <v>3837.96</v>
      </c>
      <c r="H674" s="301">
        <f>Tabla15[[#This Row],[Importe]]-Tabla15[[#This Row],[Pagado]]</f>
        <v>0</v>
      </c>
      <c r="I674" s="275" t="s">
        <v>15214</v>
      </c>
    </row>
    <row r="675" spans="1:9" x14ac:dyDescent="0.25">
      <c r="A675" s="420">
        <v>43014</v>
      </c>
      <c r="B675" s="302" t="s">
        <v>32321</v>
      </c>
      <c r="C675">
        <v>130238</v>
      </c>
      <c r="D675" s="275" t="s">
        <v>15356</v>
      </c>
      <c r="E675" s="301">
        <v>870</v>
      </c>
      <c r="F675" s="303">
        <v>43014</v>
      </c>
      <c r="G675" s="301">
        <v>870</v>
      </c>
      <c r="H675" s="301">
        <f>Tabla15[[#This Row],[Importe]]-Tabla15[[#This Row],[Pagado]]</f>
        <v>0</v>
      </c>
      <c r="I675" s="275" t="s">
        <v>15214</v>
      </c>
    </row>
    <row r="676" spans="1:9" x14ac:dyDescent="0.25">
      <c r="A676" s="420">
        <v>43014</v>
      </c>
      <c r="B676" s="302" t="s">
        <v>32322</v>
      </c>
      <c r="C676">
        <v>130239</v>
      </c>
      <c r="D676" s="275" t="s">
        <v>15861</v>
      </c>
      <c r="E676" s="301">
        <v>2313</v>
      </c>
      <c r="F676" s="303">
        <v>43014</v>
      </c>
      <c r="G676" s="301">
        <v>2313</v>
      </c>
      <c r="H676" s="301">
        <f>Tabla15[[#This Row],[Importe]]-Tabla15[[#This Row],[Pagado]]</f>
        <v>0</v>
      </c>
      <c r="I676" s="275" t="s">
        <v>15214</v>
      </c>
    </row>
    <row r="677" spans="1:9" x14ac:dyDescent="0.25">
      <c r="A677" s="420">
        <v>43014</v>
      </c>
      <c r="B677" s="302" t="s">
        <v>32323</v>
      </c>
      <c r="C677">
        <v>130240</v>
      </c>
      <c r="D677" s="275" t="s">
        <v>15358</v>
      </c>
      <c r="E677" s="301">
        <v>2515.5</v>
      </c>
      <c r="F677" s="303">
        <v>43014</v>
      </c>
      <c r="G677" s="301">
        <v>2515.5</v>
      </c>
      <c r="H677" s="301">
        <f>Tabla15[[#This Row],[Importe]]-Tabla15[[#This Row],[Pagado]]</f>
        <v>0</v>
      </c>
      <c r="I677" s="275" t="s">
        <v>15214</v>
      </c>
    </row>
    <row r="678" spans="1:9" x14ac:dyDescent="0.25">
      <c r="A678" s="420">
        <v>43014</v>
      </c>
      <c r="B678" s="302" t="s">
        <v>32324</v>
      </c>
      <c r="C678">
        <v>130241</v>
      </c>
      <c r="D678" s="275" t="s">
        <v>15336</v>
      </c>
      <c r="E678" s="301">
        <v>5508.3</v>
      </c>
      <c r="F678" s="303">
        <v>43014</v>
      </c>
      <c r="G678" s="301">
        <v>5508.3</v>
      </c>
      <c r="H678" s="301">
        <f>Tabla15[[#This Row],[Importe]]-Tabla15[[#This Row],[Pagado]]</f>
        <v>0</v>
      </c>
      <c r="I678" s="275" t="s">
        <v>15214</v>
      </c>
    </row>
    <row r="679" spans="1:9" x14ac:dyDescent="0.25">
      <c r="A679" s="420">
        <v>43014</v>
      </c>
      <c r="B679" s="302" t="s">
        <v>32325</v>
      </c>
      <c r="C679">
        <v>130242</v>
      </c>
      <c r="D679" s="275" t="s">
        <v>15236</v>
      </c>
      <c r="E679" s="301">
        <v>6620.2</v>
      </c>
      <c r="F679" s="303">
        <v>43017</v>
      </c>
      <c r="G679" s="301">
        <v>6620.2</v>
      </c>
      <c r="H679" s="301">
        <f>Tabla15[[#This Row],[Importe]]-Tabla15[[#This Row],[Pagado]]</f>
        <v>0</v>
      </c>
      <c r="I679" s="275" t="s">
        <v>15214</v>
      </c>
    </row>
    <row r="680" spans="1:9" x14ac:dyDescent="0.25">
      <c r="A680" s="420">
        <v>43014</v>
      </c>
      <c r="B680" s="302" t="s">
        <v>32326</v>
      </c>
      <c r="C680">
        <v>130243</v>
      </c>
      <c r="D680" s="275" t="s">
        <v>15248</v>
      </c>
      <c r="E680" s="301">
        <v>29582.02</v>
      </c>
      <c r="F680" s="303">
        <v>43014</v>
      </c>
      <c r="G680" s="301">
        <v>29582.02</v>
      </c>
      <c r="H680" s="301">
        <f>Tabla15[[#This Row],[Importe]]-Tabla15[[#This Row],[Pagado]]</f>
        <v>0</v>
      </c>
      <c r="I680" s="275" t="s">
        <v>15214</v>
      </c>
    </row>
    <row r="681" spans="1:9" x14ac:dyDescent="0.25">
      <c r="A681" s="420">
        <v>43014</v>
      </c>
      <c r="B681" s="302" t="s">
        <v>32327</v>
      </c>
      <c r="C681">
        <v>130244</v>
      </c>
      <c r="D681" s="275" t="s">
        <v>5828</v>
      </c>
      <c r="E681" s="301">
        <v>8310.4</v>
      </c>
      <c r="F681" s="303">
        <v>43014</v>
      </c>
      <c r="G681" s="301">
        <v>8310.4</v>
      </c>
      <c r="H681" s="301">
        <f>Tabla15[[#This Row],[Importe]]-Tabla15[[#This Row],[Pagado]]</f>
        <v>0</v>
      </c>
      <c r="I681" s="275" t="s">
        <v>15214</v>
      </c>
    </row>
    <row r="682" spans="1:9" x14ac:dyDescent="0.25">
      <c r="A682" s="420">
        <v>43014</v>
      </c>
      <c r="B682" s="302" t="s">
        <v>32328</v>
      </c>
      <c r="C682">
        <v>130245</v>
      </c>
      <c r="D682" s="275" t="s">
        <v>15315</v>
      </c>
      <c r="E682" s="301">
        <v>3738.1</v>
      </c>
      <c r="F682" s="303">
        <v>43014</v>
      </c>
      <c r="G682" s="301">
        <v>3738.1</v>
      </c>
      <c r="H682" s="301">
        <f>Tabla15[[#This Row],[Importe]]-Tabla15[[#This Row],[Pagado]]</f>
        <v>0</v>
      </c>
      <c r="I682" s="275" t="s">
        <v>15214</v>
      </c>
    </row>
    <row r="683" spans="1:9" ht="15.75" x14ac:dyDescent="0.25">
      <c r="A683" s="420">
        <v>43014</v>
      </c>
      <c r="B683" s="302" t="s">
        <v>32329</v>
      </c>
      <c r="C683">
        <v>130246</v>
      </c>
      <c r="D683" s="248" t="s">
        <v>95</v>
      </c>
      <c r="E683" s="301">
        <v>0</v>
      </c>
      <c r="F683" s="243" t="s">
        <v>95</v>
      </c>
      <c r="G683" s="301">
        <v>0</v>
      </c>
      <c r="H683" s="301">
        <f>Tabla15[[#This Row],[Importe]]-Tabla15[[#This Row],[Pagado]]</f>
        <v>0</v>
      </c>
      <c r="I683" s="275" t="s">
        <v>95</v>
      </c>
    </row>
    <row r="684" spans="1:9" x14ac:dyDescent="0.25">
      <c r="A684" s="420">
        <v>43014</v>
      </c>
      <c r="B684" s="302" t="s">
        <v>32330</v>
      </c>
      <c r="C684">
        <v>130247</v>
      </c>
      <c r="D684" s="275" t="s">
        <v>15315</v>
      </c>
      <c r="E684" s="301">
        <v>2889</v>
      </c>
      <c r="F684" s="303">
        <v>43014</v>
      </c>
      <c r="G684" s="301">
        <v>2889</v>
      </c>
      <c r="H684" s="301">
        <f>Tabla15[[#This Row],[Importe]]-Tabla15[[#This Row],[Pagado]]</f>
        <v>0</v>
      </c>
      <c r="I684" s="275" t="s">
        <v>15214</v>
      </c>
    </row>
    <row r="685" spans="1:9" ht="15.75" x14ac:dyDescent="0.25">
      <c r="A685" s="420">
        <v>43014</v>
      </c>
      <c r="B685" s="302" t="s">
        <v>32331</v>
      </c>
      <c r="C685">
        <v>130248</v>
      </c>
      <c r="D685" s="248" t="s">
        <v>95</v>
      </c>
      <c r="E685" s="301">
        <v>0</v>
      </c>
      <c r="F685" s="243" t="s">
        <v>95</v>
      </c>
      <c r="G685" s="301">
        <v>0</v>
      </c>
      <c r="H685" s="301">
        <f>Tabla15[[#This Row],[Importe]]-Tabla15[[#This Row],[Pagado]]</f>
        <v>0</v>
      </c>
      <c r="I685" s="275" t="s">
        <v>95</v>
      </c>
    </row>
    <row r="686" spans="1:9" x14ac:dyDescent="0.25">
      <c r="A686" s="420">
        <v>43014</v>
      </c>
      <c r="B686" s="302" t="s">
        <v>32332</v>
      </c>
      <c r="C686">
        <v>130249</v>
      </c>
      <c r="D686" s="275" t="s">
        <v>15326</v>
      </c>
      <c r="E686" s="301">
        <v>4957.6000000000004</v>
      </c>
      <c r="F686" s="303">
        <v>43014</v>
      </c>
      <c r="G686" s="301">
        <v>4957.6000000000004</v>
      </c>
      <c r="H686" s="301">
        <f>Tabla15[[#This Row],[Importe]]-Tabla15[[#This Row],[Pagado]]</f>
        <v>0</v>
      </c>
      <c r="I686" s="275" t="s">
        <v>15214</v>
      </c>
    </row>
    <row r="687" spans="1:9" x14ac:dyDescent="0.25">
      <c r="A687" s="420">
        <v>43014</v>
      </c>
      <c r="B687" s="302" t="s">
        <v>32333</v>
      </c>
      <c r="C687">
        <v>130250</v>
      </c>
      <c r="D687" s="275" t="s">
        <v>15326</v>
      </c>
      <c r="E687" s="301">
        <v>4641.8</v>
      </c>
      <c r="F687" s="303">
        <v>43014</v>
      </c>
      <c r="G687" s="301">
        <v>4641.8</v>
      </c>
      <c r="H687" s="301">
        <f>Tabla15[[#This Row],[Importe]]-Tabla15[[#This Row],[Pagado]]</f>
        <v>0</v>
      </c>
      <c r="I687" s="275" t="s">
        <v>15214</v>
      </c>
    </row>
    <row r="688" spans="1:9" x14ac:dyDescent="0.25">
      <c r="A688" s="420">
        <v>43014</v>
      </c>
      <c r="B688" s="302" t="s">
        <v>32334</v>
      </c>
      <c r="C688">
        <v>130251</v>
      </c>
      <c r="D688" s="275" t="s">
        <v>16126</v>
      </c>
      <c r="E688" s="301">
        <v>5878.9</v>
      </c>
      <c r="F688" s="303">
        <v>43014</v>
      </c>
      <c r="G688" s="301">
        <v>5878.9</v>
      </c>
      <c r="H688" s="301">
        <f>Tabla15[[#This Row],[Importe]]-Tabla15[[#This Row],[Pagado]]</f>
        <v>0</v>
      </c>
      <c r="I688" s="275" t="s">
        <v>15214</v>
      </c>
    </row>
    <row r="689" spans="1:9" x14ac:dyDescent="0.25">
      <c r="A689" s="420">
        <v>43014</v>
      </c>
      <c r="B689" s="302" t="s">
        <v>32335</v>
      </c>
      <c r="C689">
        <v>130252</v>
      </c>
      <c r="D689" s="275" t="s">
        <v>15394</v>
      </c>
      <c r="E689" s="301">
        <v>15708.9</v>
      </c>
      <c r="F689" s="303">
        <v>43018</v>
      </c>
      <c r="G689" s="301">
        <v>15708.9</v>
      </c>
      <c r="H689" s="301">
        <f>Tabla15[[#This Row],[Importe]]-Tabla15[[#This Row],[Pagado]]</f>
        <v>0</v>
      </c>
      <c r="I689" s="275" t="s">
        <v>15214</v>
      </c>
    </row>
    <row r="690" spans="1:9" x14ac:dyDescent="0.25">
      <c r="A690" s="420">
        <v>43014</v>
      </c>
      <c r="B690" s="302" t="s">
        <v>32336</v>
      </c>
      <c r="C690">
        <v>130253</v>
      </c>
      <c r="D690" s="275" t="s">
        <v>15394</v>
      </c>
      <c r="E690" s="301">
        <v>605</v>
      </c>
      <c r="F690" s="303">
        <v>43015</v>
      </c>
      <c r="G690" s="301">
        <v>605</v>
      </c>
      <c r="H690" s="301">
        <f>Tabla15[[#This Row],[Importe]]-Tabla15[[#This Row],[Pagado]]</f>
        <v>0</v>
      </c>
      <c r="I690" s="275" t="s">
        <v>15214</v>
      </c>
    </row>
    <row r="691" spans="1:9" x14ac:dyDescent="0.25">
      <c r="A691" s="420">
        <v>43014</v>
      </c>
      <c r="B691" s="302" t="s">
        <v>32337</v>
      </c>
      <c r="C691">
        <v>130254</v>
      </c>
      <c r="D691" s="275" t="s">
        <v>23937</v>
      </c>
      <c r="E691" s="301">
        <v>2976.2</v>
      </c>
      <c r="F691" s="303">
        <v>43014</v>
      </c>
      <c r="G691" s="301">
        <v>2976.2</v>
      </c>
      <c r="H691" s="301">
        <f>Tabla15[[#This Row],[Importe]]-Tabla15[[#This Row],[Pagado]]</f>
        <v>0</v>
      </c>
      <c r="I691" s="275" t="s">
        <v>15214</v>
      </c>
    </row>
    <row r="692" spans="1:9" x14ac:dyDescent="0.25">
      <c r="A692" s="420">
        <v>43014</v>
      </c>
      <c r="B692" s="302" t="s">
        <v>32338</v>
      </c>
      <c r="C692">
        <v>130255</v>
      </c>
      <c r="D692" s="275" t="s">
        <v>15562</v>
      </c>
      <c r="E692" s="301">
        <v>3432</v>
      </c>
      <c r="F692" s="303">
        <v>43014</v>
      </c>
      <c r="G692" s="301">
        <v>3432</v>
      </c>
      <c r="H692" s="301">
        <f>Tabla15[[#This Row],[Importe]]-Tabla15[[#This Row],[Pagado]]</f>
        <v>0</v>
      </c>
      <c r="I692" s="275" t="s">
        <v>15214</v>
      </c>
    </row>
    <row r="693" spans="1:9" x14ac:dyDescent="0.25">
      <c r="A693" s="420">
        <v>43014</v>
      </c>
      <c r="B693" s="302" t="s">
        <v>32339</v>
      </c>
      <c r="C693">
        <v>130256</v>
      </c>
      <c r="D693" s="275" t="s">
        <v>15549</v>
      </c>
      <c r="E693" s="301">
        <v>7168.2</v>
      </c>
      <c r="F693" s="303">
        <v>43015</v>
      </c>
      <c r="G693" s="301">
        <v>7168.2</v>
      </c>
      <c r="H693" s="301">
        <f>Tabla15[[#This Row],[Importe]]-Tabla15[[#This Row],[Pagado]]</f>
        <v>0</v>
      </c>
      <c r="I693" s="275" t="s">
        <v>15214</v>
      </c>
    </row>
    <row r="694" spans="1:9" x14ac:dyDescent="0.25">
      <c r="A694" s="420">
        <v>43014</v>
      </c>
      <c r="B694" s="302" t="s">
        <v>32340</v>
      </c>
      <c r="C694">
        <v>130257</v>
      </c>
      <c r="D694" s="275" t="s">
        <v>15254</v>
      </c>
      <c r="E694" s="301">
        <v>6500.4</v>
      </c>
      <c r="F694" s="303">
        <v>43017</v>
      </c>
      <c r="G694" s="301">
        <v>6500.4</v>
      </c>
      <c r="H694" s="301">
        <f>Tabla15[[#This Row],[Importe]]-Tabla15[[#This Row],[Pagado]]</f>
        <v>0</v>
      </c>
      <c r="I694" s="275" t="s">
        <v>15214</v>
      </c>
    </row>
    <row r="695" spans="1:9" x14ac:dyDescent="0.25">
      <c r="A695" s="420">
        <v>43014</v>
      </c>
      <c r="B695" s="302" t="s">
        <v>32341</v>
      </c>
      <c r="C695">
        <v>130258</v>
      </c>
      <c r="D695" s="275" t="s">
        <v>15252</v>
      </c>
      <c r="E695" s="301">
        <v>2086.9</v>
      </c>
      <c r="F695" s="303">
        <v>43020</v>
      </c>
      <c r="G695" s="301">
        <v>2086.9</v>
      </c>
      <c r="H695" s="301">
        <f>Tabla15[[#This Row],[Importe]]-Tabla15[[#This Row],[Pagado]]</f>
        <v>0</v>
      </c>
      <c r="I695" s="275" t="s">
        <v>15214</v>
      </c>
    </row>
    <row r="696" spans="1:9" x14ac:dyDescent="0.25">
      <c r="A696" s="420">
        <v>43014</v>
      </c>
      <c r="B696" s="302" t="s">
        <v>32342</v>
      </c>
      <c r="C696">
        <v>130259</v>
      </c>
      <c r="D696" s="275" t="s">
        <v>15244</v>
      </c>
      <c r="E696" s="301">
        <v>13602.5</v>
      </c>
      <c r="F696" s="303">
        <v>43017</v>
      </c>
      <c r="G696" s="301">
        <v>13602.5</v>
      </c>
      <c r="H696" s="301">
        <f>Tabla15[[#This Row],[Importe]]-Tabla15[[#This Row],[Pagado]]</f>
        <v>0</v>
      </c>
      <c r="I696" s="275" t="s">
        <v>15214</v>
      </c>
    </row>
    <row r="697" spans="1:9" x14ac:dyDescent="0.25">
      <c r="A697" s="420">
        <v>43014</v>
      </c>
      <c r="B697" s="302" t="s">
        <v>32343</v>
      </c>
      <c r="C697">
        <v>130260</v>
      </c>
      <c r="D697" s="275" t="s">
        <v>15373</v>
      </c>
      <c r="E697" s="301">
        <v>16655.599999999999</v>
      </c>
      <c r="F697" s="303">
        <v>43018</v>
      </c>
      <c r="G697" s="301">
        <v>16655.599999999999</v>
      </c>
      <c r="H697" s="301">
        <f>Tabla15[[#This Row],[Importe]]-Tabla15[[#This Row],[Pagado]]</f>
        <v>0</v>
      </c>
      <c r="I697" s="275" t="s">
        <v>15214</v>
      </c>
    </row>
    <row r="698" spans="1:9" x14ac:dyDescent="0.25">
      <c r="A698" s="420">
        <v>43014</v>
      </c>
      <c r="B698" s="302" t="s">
        <v>32344</v>
      </c>
      <c r="C698">
        <v>130261</v>
      </c>
      <c r="D698" s="275" t="s">
        <v>15315</v>
      </c>
      <c r="E698" s="301">
        <v>2358</v>
      </c>
      <c r="F698" s="303">
        <v>43014</v>
      </c>
      <c r="G698" s="301">
        <v>2358</v>
      </c>
      <c r="H698" s="301">
        <f>Tabla15[[#This Row],[Importe]]-Tabla15[[#This Row],[Pagado]]</f>
        <v>0</v>
      </c>
      <c r="I698" s="275" t="s">
        <v>15214</v>
      </c>
    </row>
    <row r="699" spans="1:9" x14ac:dyDescent="0.25">
      <c r="A699" s="420">
        <v>43014</v>
      </c>
      <c r="B699" s="302" t="s">
        <v>32345</v>
      </c>
      <c r="C699">
        <v>130262</v>
      </c>
      <c r="D699" s="275" t="s">
        <v>15367</v>
      </c>
      <c r="E699" s="301">
        <v>7080</v>
      </c>
      <c r="F699" s="303">
        <v>43015</v>
      </c>
      <c r="G699" s="301">
        <v>7080</v>
      </c>
      <c r="H699" s="301">
        <f>Tabla15[[#This Row],[Importe]]-Tabla15[[#This Row],[Pagado]]</f>
        <v>0</v>
      </c>
      <c r="I699" s="275" t="s">
        <v>15214</v>
      </c>
    </row>
    <row r="700" spans="1:9" x14ac:dyDescent="0.25">
      <c r="A700" s="420">
        <v>43014</v>
      </c>
      <c r="B700" s="302" t="s">
        <v>32346</v>
      </c>
      <c r="C700">
        <v>130263</v>
      </c>
      <c r="D700" s="275" t="s">
        <v>15716</v>
      </c>
      <c r="E700" s="301">
        <v>6577.4</v>
      </c>
      <c r="F700" s="303">
        <v>43014</v>
      </c>
      <c r="G700" s="301">
        <v>6577.4</v>
      </c>
      <c r="H700" s="301">
        <f>Tabla15[[#This Row],[Importe]]-Tabla15[[#This Row],[Pagado]]</f>
        <v>0</v>
      </c>
      <c r="I700" s="275" t="s">
        <v>15214</v>
      </c>
    </row>
    <row r="701" spans="1:9" x14ac:dyDescent="0.25">
      <c r="A701" s="420">
        <v>43014</v>
      </c>
      <c r="B701" s="302" t="s">
        <v>32347</v>
      </c>
      <c r="C701">
        <v>130264</v>
      </c>
      <c r="D701" s="275" t="s">
        <v>15284</v>
      </c>
      <c r="E701" s="301">
        <v>2693</v>
      </c>
      <c r="F701" s="303">
        <v>43014</v>
      </c>
      <c r="G701" s="301">
        <v>2693</v>
      </c>
      <c r="H701" s="301">
        <f>Tabla15[[#This Row],[Importe]]-Tabla15[[#This Row],[Pagado]]</f>
        <v>0</v>
      </c>
      <c r="I701" s="275" t="s">
        <v>15214</v>
      </c>
    </row>
    <row r="702" spans="1:9" x14ac:dyDescent="0.25">
      <c r="A702" s="420">
        <v>43014</v>
      </c>
      <c r="B702" s="302" t="s">
        <v>32348</v>
      </c>
      <c r="C702">
        <v>130265</v>
      </c>
      <c r="D702" s="275" t="s">
        <v>15330</v>
      </c>
      <c r="E702" s="301">
        <v>455.4</v>
      </c>
      <c r="F702" s="303">
        <v>43014</v>
      </c>
      <c r="G702" s="301">
        <v>455.4</v>
      </c>
      <c r="H702" s="301">
        <f>Tabla15[[#This Row],[Importe]]-Tabla15[[#This Row],[Pagado]]</f>
        <v>0</v>
      </c>
      <c r="I702" s="275" t="s">
        <v>15214</v>
      </c>
    </row>
    <row r="703" spans="1:9" x14ac:dyDescent="0.25">
      <c r="A703" s="420">
        <v>43014</v>
      </c>
      <c r="B703" s="302" t="s">
        <v>32349</v>
      </c>
      <c r="C703">
        <v>130266</v>
      </c>
      <c r="D703" s="275" t="s">
        <v>15396</v>
      </c>
      <c r="E703" s="301">
        <v>5815.96</v>
      </c>
      <c r="F703" s="303">
        <v>43014</v>
      </c>
      <c r="G703" s="301">
        <v>5815.96</v>
      </c>
      <c r="H703" s="301">
        <f>Tabla15[[#This Row],[Importe]]-Tabla15[[#This Row],[Pagado]]</f>
        <v>0</v>
      </c>
      <c r="I703" s="275" t="s">
        <v>15214</v>
      </c>
    </row>
    <row r="704" spans="1:9" x14ac:dyDescent="0.25">
      <c r="A704" s="420">
        <v>43014</v>
      </c>
      <c r="B704" s="302" t="s">
        <v>32350</v>
      </c>
      <c r="C704">
        <v>130267</v>
      </c>
      <c r="D704" s="275" t="s">
        <v>15391</v>
      </c>
      <c r="E704" s="301">
        <v>10278.4</v>
      </c>
      <c r="F704" s="303">
        <v>43015</v>
      </c>
      <c r="G704" s="301">
        <v>10278.4</v>
      </c>
      <c r="H704" s="301">
        <f>Tabla15[[#This Row],[Importe]]-Tabla15[[#This Row],[Pagado]]</f>
        <v>0</v>
      </c>
      <c r="I704" s="275" t="s">
        <v>15214</v>
      </c>
    </row>
    <row r="705" spans="1:9" x14ac:dyDescent="0.25">
      <c r="A705" s="420">
        <v>43014</v>
      </c>
      <c r="B705" s="302" t="s">
        <v>32351</v>
      </c>
      <c r="C705">
        <v>130268</v>
      </c>
      <c r="D705" s="275" t="s">
        <v>15387</v>
      </c>
      <c r="E705" s="301">
        <v>744.48</v>
      </c>
      <c r="F705" s="303">
        <v>43014</v>
      </c>
      <c r="G705" s="301">
        <v>744.48</v>
      </c>
      <c r="H705" s="301">
        <f>Tabla15[[#This Row],[Importe]]-Tabla15[[#This Row],[Pagado]]</f>
        <v>0</v>
      </c>
      <c r="I705" s="275" t="s">
        <v>15214</v>
      </c>
    </row>
    <row r="706" spans="1:9" x14ac:dyDescent="0.25">
      <c r="A706" s="420">
        <v>43014</v>
      </c>
      <c r="B706" s="302" t="s">
        <v>32352</v>
      </c>
      <c r="C706">
        <v>130269</v>
      </c>
      <c r="D706" s="275" t="s">
        <v>15594</v>
      </c>
      <c r="E706" s="301">
        <v>1564</v>
      </c>
      <c r="F706" s="303">
        <v>43014</v>
      </c>
      <c r="G706" s="301">
        <v>1564</v>
      </c>
      <c r="H706" s="301">
        <f>Tabla15[[#This Row],[Importe]]-Tabla15[[#This Row],[Pagado]]</f>
        <v>0</v>
      </c>
      <c r="I706" s="275" t="s">
        <v>15214</v>
      </c>
    </row>
    <row r="707" spans="1:9" x14ac:dyDescent="0.25">
      <c r="A707" s="420">
        <v>43014</v>
      </c>
      <c r="B707" s="302" t="s">
        <v>32353</v>
      </c>
      <c r="C707">
        <v>130270</v>
      </c>
      <c r="D707" s="275" t="s">
        <v>15592</v>
      </c>
      <c r="E707" s="301">
        <v>10771.5</v>
      </c>
      <c r="F707" s="303">
        <v>43014</v>
      </c>
      <c r="G707" s="301">
        <v>10771.5</v>
      </c>
      <c r="H707" s="301">
        <f>Tabla15[[#This Row],[Importe]]-Tabla15[[#This Row],[Pagado]]</f>
        <v>0</v>
      </c>
      <c r="I707" s="275" t="s">
        <v>15214</v>
      </c>
    </row>
    <row r="708" spans="1:9" ht="15.75" x14ac:dyDescent="0.25">
      <c r="A708" s="420">
        <v>43014</v>
      </c>
      <c r="B708" s="302" t="s">
        <v>32354</v>
      </c>
      <c r="C708">
        <v>130271</v>
      </c>
      <c r="D708" s="248" t="s">
        <v>95</v>
      </c>
      <c r="E708" s="301">
        <v>0</v>
      </c>
      <c r="F708" s="243" t="s">
        <v>95</v>
      </c>
      <c r="G708" s="301">
        <v>0</v>
      </c>
      <c r="H708" s="301">
        <f>Tabla15[[#This Row],[Importe]]-Tabla15[[#This Row],[Pagado]]</f>
        <v>0</v>
      </c>
      <c r="I708" s="275" t="s">
        <v>95</v>
      </c>
    </row>
    <row r="709" spans="1:9" x14ac:dyDescent="0.25">
      <c r="A709" s="420">
        <v>43014</v>
      </c>
      <c r="B709" s="302" t="s">
        <v>32355</v>
      </c>
      <c r="C709">
        <v>130272</v>
      </c>
      <c r="D709" s="275" t="s">
        <v>15725</v>
      </c>
      <c r="E709" s="301">
        <v>26094.400000000001</v>
      </c>
      <c r="F709" s="303">
        <v>43016</v>
      </c>
      <c r="G709" s="301">
        <v>26094.400000000001</v>
      </c>
      <c r="H709" s="301">
        <f>Tabla15[[#This Row],[Importe]]-Tabla15[[#This Row],[Pagado]]</f>
        <v>0</v>
      </c>
      <c r="I709" s="275" t="s">
        <v>15214</v>
      </c>
    </row>
    <row r="710" spans="1:9" x14ac:dyDescent="0.25">
      <c r="A710" s="420">
        <v>43014</v>
      </c>
      <c r="B710" s="302" t="s">
        <v>32356</v>
      </c>
      <c r="C710">
        <v>130273</v>
      </c>
      <c r="D710" s="275" t="s">
        <v>15276</v>
      </c>
      <c r="E710" s="301">
        <v>3520</v>
      </c>
      <c r="F710" s="303">
        <v>43015</v>
      </c>
      <c r="G710" s="301">
        <v>3520</v>
      </c>
      <c r="H710" s="301">
        <f>Tabla15[[#This Row],[Importe]]-Tabla15[[#This Row],[Pagado]]</f>
        <v>0</v>
      </c>
      <c r="I710" s="275" t="s">
        <v>15214</v>
      </c>
    </row>
    <row r="711" spans="1:9" x14ac:dyDescent="0.25">
      <c r="A711" s="420">
        <v>43014</v>
      </c>
      <c r="B711" s="302" t="s">
        <v>32357</v>
      </c>
      <c r="C711">
        <v>130274</v>
      </c>
      <c r="D711" s="275" t="s">
        <v>15380</v>
      </c>
      <c r="E711" s="301">
        <v>35550</v>
      </c>
      <c r="F711" s="303">
        <v>43022</v>
      </c>
      <c r="G711" s="301">
        <v>35550</v>
      </c>
      <c r="H711" s="301">
        <f>Tabla15[[#This Row],[Importe]]-Tabla15[[#This Row],[Pagado]]</f>
        <v>0</v>
      </c>
      <c r="I711" s="275" t="s">
        <v>15214</v>
      </c>
    </row>
    <row r="712" spans="1:9" x14ac:dyDescent="0.25">
      <c r="A712" s="420">
        <v>43014</v>
      </c>
      <c r="B712" s="302" t="s">
        <v>32358</v>
      </c>
      <c r="C712">
        <v>130275</v>
      </c>
      <c r="D712" s="275" t="s">
        <v>15398</v>
      </c>
      <c r="E712" s="301">
        <v>4687.5</v>
      </c>
      <c r="F712" s="303">
        <v>43014</v>
      </c>
      <c r="G712" s="301">
        <v>4687.5</v>
      </c>
      <c r="H712" s="301">
        <f>Tabla15[[#This Row],[Importe]]-Tabla15[[#This Row],[Pagado]]</f>
        <v>0</v>
      </c>
      <c r="I712" s="275" t="s">
        <v>15214</v>
      </c>
    </row>
    <row r="713" spans="1:9" x14ac:dyDescent="0.25">
      <c r="A713" s="420">
        <v>43014</v>
      </c>
      <c r="B713" s="302" t="s">
        <v>32359</v>
      </c>
      <c r="C713">
        <v>130276</v>
      </c>
      <c r="D713" s="275" t="s">
        <v>15382</v>
      </c>
      <c r="E713" s="301">
        <v>11547.5</v>
      </c>
      <c r="F713" s="303">
        <v>43022</v>
      </c>
      <c r="G713" s="301">
        <v>11547.5</v>
      </c>
      <c r="H713" s="301">
        <f>Tabla15[[#This Row],[Importe]]-Tabla15[[#This Row],[Pagado]]</f>
        <v>0</v>
      </c>
      <c r="I713" s="275" t="s">
        <v>15214</v>
      </c>
    </row>
    <row r="714" spans="1:9" x14ac:dyDescent="0.25">
      <c r="A714" s="420">
        <v>43014</v>
      </c>
      <c r="B714" s="302" t="s">
        <v>32360</v>
      </c>
      <c r="C714">
        <v>130277</v>
      </c>
      <c r="D714" s="275" t="s">
        <v>15369</v>
      </c>
      <c r="E714" s="301">
        <v>23007.5</v>
      </c>
      <c r="F714" s="303">
        <v>43035</v>
      </c>
      <c r="G714" s="301">
        <v>23007.5</v>
      </c>
      <c r="H714" s="301">
        <f>Tabla15[[#This Row],[Importe]]-Tabla15[[#This Row],[Pagado]]</f>
        <v>0</v>
      </c>
      <c r="I714" s="275" t="s">
        <v>15214</v>
      </c>
    </row>
    <row r="715" spans="1:9" x14ac:dyDescent="0.25">
      <c r="A715" s="420">
        <v>43014</v>
      </c>
      <c r="B715" s="302" t="s">
        <v>32361</v>
      </c>
      <c r="C715">
        <v>130278</v>
      </c>
      <c r="D715" s="275" t="s">
        <v>15389</v>
      </c>
      <c r="E715" s="301">
        <v>16932.7</v>
      </c>
      <c r="F715" s="303">
        <v>43022</v>
      </c>
      <c r="G715" s="301">
        <v>16932.7</v>
      </c>
      <c r="H715" s="301">
        <f>Tabla15[[#This Row],[Importe]]-Tabla15[[#This Row],[Pagado]]</f>
        <v>0</v>
      </c>
      <c r="I715" s="275" t="s">
        <v>15214</v>
      </c>
    </row>
    <row r="716" spans="1:9" ht="15.75" x14ac:dyDescent="0.25">
      <c r="A716" s="420">
        <v>43014</v>
      </c>
      <c r="B716" s="302" t="s">
        <v>32362</v>
      </c>
      <c r="C716">
        <v>130279</v>
      </c>
      <c r="D716" s="248" t="s">
        <v>95</v>
      </c>
      <c r="E716" s="301">
        <v>0</v>
      </c>
      <c r="F716" s="243" t="s">
        <v>95</v>
      </c>
      <c r="G716" s="301">
        <v>0</v>
      </c>
      <c r="H716" s="301">
        <f>Tabla15[[#This Row],[Importe]]-Tabla15[[#This Row],[Pagado]]</f>
        <v>0</v>
      </c>
      <c r="I716" s="275" t="s">
        <v>95</v>
      </c>
    </row>
    <row r="717" spans="1:9" x14ac:dyDescent="0.25">
      <c r="A717" s="420">
        <v>43014</v>
      </c>
      <c r="B717" s="302" t="s">
        <v>32363</v>
      </c>
      <c r="C717">
        <v>130280</v>
      </c>
      <c r="D717" s="275" t="s">
        <v>15600</v>
      </c>
      <c r="E717" s="301">
        <v>2563.3000000000002</v>
      </c>
      <c r="F717" s="303">
        <v>43015</v>
      </c>
      <c r="G717" s="301">
        <v>2563.3000000000002</v>
      </c>
      <c r="H717" s="301">
        <f>Tabla15[[#This Row],[Importe]]-Tabla15[[#This Row],[Pagado]]</f>
        <v>0</v>
      </c>
      <c r="I717" s="275" t="s">
        <v>15214</v>
      </c>
    </row>
    <row r="718" spans="1:9" x14ac:dyDescent="0.25">
      <c r="A718" s="420">
        <v>43014</v>
      </c>
      <c r="B718" s="302" t="s">
        <v>32364</v>
      </c>
      <c r="C718">
        <v>130281</v>
      </c>
      <c r="D718" s="275" t="s">
        <v>15417</v>
      </c>
      <c r="E718" s="301">
        <v>1818.9</v>
      </c>
      <c r="F718" s="303">
        <v>43015</v>
      </c>
      <c r="G718" s="301">
        <v>1818.9</v>
      </c>
      <c r="H718" s="301">
        <f>Tabla15[[#This Row],[Importe]]-Tabla15[[#This Row],[Pagado]]</f>
        <v>0</v>
      </c>
      <c r="I718" s="275" t="s">
        <v>15214</v>
      </c>
    </row>
    <row r="719" spans="1:9" x14ac:dyDescent="0.25">
      <c r="A719" s="420">
        <v>43014</v>
      </c>
      <c r="B719" s="302" t="s">
        <v>32365</v>
      </c>
      <c r="C719">
        <v>130282</v>
      </c>
      <c r="D719" s="275" t="s">
        <v>16277</v>
      </c>
      <c r="E719" s="301">
        <v>1338.6</v>
      </c>
      <c r="F719" s="303">
        <v>43015</v>
      </c>
      <c r="G719" s="301">
        <v>1338.6</v>
      </c>
      <c r="H719" s="301">
        <f>Tabla15[[#This Row],[Importe]]-Tabla15[[#This Row],[Pagado]]</f>
        <v>0</v>
      </c>
      <c r="I719" s="275" t="s">
        <v>15214</v>
      </c>
    </row>
    <row r="720" spans="1:9" x14ac:dyDescent="0.25">
      <c r="A720" s="420">
        <v>43014</v>
      </c>
      <c r="B720" s="302" t="s">
        <v>32366</v>
      </c>
      <c r="C720">
        <v>130283</v>
      </c>
      <c r="D720" s="275" t="s">
        <v>15291</v>
      </c>
      <c r="E720" s="301">
        <v>880</v>
      </c>
      <c r="F720" s="303">
        <v>43015</v>
      </c>
      <c r="G720" s="301">
        <v>880</v>
      </c>
      <c r="H720" s="301">
        <f>Tabla15[[#This Row],[Importe]]-Tabla15[[#This Row],[Pagado]]</f>
        <v>0</v>
      </c>
      <c r="I720" s="275" t="s">
        <v>15214</v>
      </c>
    </row>
    <row r="721" spans="1:9" x14ac:dyDescent="0.25">
      <c r="A721" s="420">
        <v>43014</v>
      </c>
      <c r="B721" s="302" t="s">
        <v>32367</v>
      </c>
      <c r="C721">
        <v>130284</v>
      </c>
      <c r="D721" s="275" t="s">
        <v>15810</v>
      </c>
      <c r="E721" s="301">
        <v>667.5</v>
      </c>
      <c r="F721" s="303">
        <v>43014</v>
      </c>
      <c r="G721" s="301">
        <v>667.5</v>
      </c>
      <c r="H721" s="301">
        <f>Tabla15[[#This Row],[Importe]]-Tabla15[[#This Row],[Pagado]]</f>
        <v>0</v>
      </c>
      <c r="I721" s="275" t="s">
        <v>15214</v>
      </c>
    </row>
    <row r="722" spans="1:9" x14ac:dyDescent="0.25">
      <c r="A722" s="420">
        <v>43014</v>
      </c>
      <c r="B722" s="302" t="s">
        <v>32368</v>
      </c>
      <c r="C722">
        <v>130285</v>
      </c>
      <c r="D722" s="275" t="s">
        <v>15305</v>
      </c>
      <c r="E722" s="301">
        <v>1059.3</v>
      </c>
      <c r="F722" s="303">
        <v>43015</v>
      </c>
      <c r="G722" s="301">
        <v>1059.3</v>
      </c>
      <c r="H722" s="301">
        <f>Tabla15[[#This Row],[Importe]]-Tabla15[[#This Row],[Pagado]]</f>
        <v>0</v>
      </c>
      <c r="I722" s="275" t="s">
        <v>15214</v>
      </c>
    </row>
    <row r="723" spans="1:9" x14ac:dyDescent="0.25">
      <c r="A723" s="420">
        <v>43014</v>
      </c>
      <c r="B723" s="302" t="s">
        <v>32369</v>
      </c>
      <c r="C723">
        <v>130286</v>
      </c>
      <c r="D723" s="275" t="s">
        <v>15309</v>
      </c>
      <c r="E723" s="301">
        <v>7563.8</v>
      </c>
      <c r="F723" s="303">
        <v>43015</v>
      </c>
      <c r="G723" s="301">
        <v>7563.8</v>
      </c>
      <c r="H723" s="301">
        <f>Tabla15[[#This Row],[Importe]]-Tabla15[[#This Row],[Pagado]]</f>
        <v>0</v>
      </c>
      <c r="I723" s="275" t="s">
        <v>15214</v>
      </c>
    </row>
    <row r="724" spans="1:9" x14ac:dyDescent="0.25">
      <c r="A724" s="420">
        <v>43014</v>
      </c>
      <c r="B724" s="302" t="s">
        <v>32370</v>
      </c>
      <c r="C724">
        <v>130287</v>
      </c>
      <c r="D724" s="275" t="s">
        <v>15315</v>
      </c>
      <c r="E724" s="301">
        <v>987.8</v>
      </c>
      <c r="F724" s="303">
        <v>43015</v>
      </c>
      <c r="G724" s="301">
        <v>987.8</v>
      </c>
      <c r="H724" s="301">
        <f>Tabla15[[#This Row],[Importe]]-Tabla15[[#This Row],[Pagado]]</f>
        <v>0</v>
      </c>
      <c r="I724" s="275" t="s">
        <v>15214</v>
      </c>
    </row>
    <row r="725" spans="1:9" x14ac:dyDescent="0.25">
      <c r="A725" s="420">
        <v>43014</v>
      </c>
      <c r="B725" s="302" t="s">
        <v>32371</v>
      </c>
      <c r="C725">
        <v>130288</v>
      </c>
      <c r="D725" s="275" t="s">
        <v>15282</v>
      </c>
      <c r="E725" s="301">
        <v>3060.1</v>
      </c>
      <c r="F725" s="303">
        <v>43014</v>
      </c>
      <c r="G725" s="301">
        <v>3060.1</v>
      </c>
      <c r="H725" s="301">
        <f>Tabla15[[#This Row],[Importe]]-Tabla15[[#This Row],[Pagado]]</f>
        <v>0</v>
      </c>
      <c r="I725" s="275" t="s">
        <v>15214</v>
      </c>
    </row>
    <row r="726" spans="1:9" x14ac:dyDescent="0.25">
      <c r="A726" s="420">
        <v>43014</v>
      </c>
      <c r="B726" s="302" t="s">
        <v>32372</v>
      </c>
      <c r="C726">
        <v>130289</v>
      </c>
      <c r="D726" s="275" t="s">
        <v>15566</v>
      </c>
      <c r="E726" s="301">
        <v>3182</v>
      </c>
      <c r="F726" s="303">
        <v>43014</v>
      </c>
      <c r="G726" s="301">
        <v>3182</v>
      </c>
      <c r="H726" s="301">
        <f>Tabla15[[#This Row],[Importe]]-Tabla15[[#This Row],[Pagado]]</f>
        <v>0</v>
      </c>
      <c r="I726" s="275" t="s">
        <v>15214</v>
      </c>
    </row>
    <row r="727" spans="1:9" x14ac:dyDescent="0.25">
      <c r="A727" s="420">
        <v>43014</v>
      </c>
      <c r="B727" s="302" t="s">
        <v>32373</v>
      </c>
      <c r="C727">
        <v>130290</v>
      </c>
      <c r="D727" s="275" t="s">
        <v>15311</v>
      </c>
      <c r="E727" s="301">
        <v>1884.72</v>
      </c>
      <c r="F727" s="303">
        <v>43015</v>
      </c>
      <c r="G727" s="301">
        <v>1884.72</v>
      </c>
      <c r="H727" s="301">
        <f>Tabla15[[#This Row],[Importe]]-Tabla15[[#This Row],[Pagado]]</f>
        <v>0</v>
      </c>
      <c r="I727" s="275" t="s">
        <v>15214</v>
      </c>
    </row>
    <row r="728" spans="1:9" x14ac:dyDescent="0.25">
      <c r="A728" s="420">
        <v>43014</v>
      </c>
      <c r="B728" s="302" t="s">
        <v>32374</v>
      </c>
      <c r="C728">
        <v>130291</v>
      </c>
      <c r="D728" s="275" t="s">
        <v>15748</v>
      </c>
      <c r="E728" s="301">
        <v>2952.7</v>
      </c>
      <c r="F728" s="303">
        <v>43015</v>
      </c>
      <c r="G728" s="301">
        <v>2952.7</v>
      </c>
      <c r="H728" s="301">
        <f>Tabla15[[#This Row],[Importe]]-Tabla15[[#This Row],[Pagado]]</f>
        <v>0</v>
      </c>
      <c r="I728" s="275" t="s">
        <v>15214</v>
      </c>
    </row>
    <row r="729" spans="1:9" x14ac:dyDescent="0.25">
      <c r="A729" s="420">
        <v>43014</v>
      </c>
      <c r="B729" s="302" t="s">
        <v>32375</v>
      </c>
      <c r="C729">
        <v>130292</v>
      </c>
      <c r="D729" s="275" t="s">
        <v>15313</v>
      </c>
      <c r="E729" s="301">
        <v>10556.2</v>
      </c>
      <c r="F729" s="303">
        <v>43018</v>
      </c>
      <c r="G729" s="301">
        <v>10556.2</v>
      </c>
      <c r="H729" s="301">
        <f>Tabla15[[#This Row],[Importe]]-Tabla15[[#This Row],[Pagado]]</f>
        <v>0</v>
      </c>
      <c r="I729" s="275" t="s">
        <v>15214</v>
      </c>
    </row>
    <row r="730" spans="1:9" x14ac:dyDescent="0.25">
      <c r="A730" s="420">
        <v>43014</v>
      </c>
      <c r="B730" s="302" t="s">
        <v>32376</v>
      </c>
      <c r="C730">
        <v>130293</v>
      </c>
      <c r="D730" s="275" t="s">
        <v>15320</v>
      </c>
      <c r="E730" s="301">
        <v>3246.6</v>
      </c>
      <c r="F730" s="303">
        <v>43015</v>
      </c>
      <c r="G730" s="301">
        <v>3246.6</v>
      </c>
      <c r="H730" s="301">
        <f>Tabla15[[#This Row],[Importe]]-Tabla15[[#This Row],[Pagado]]</f>
        <v>0</v>
      </c>
      <c r="I730" s="275" t="s">
        <v>15214</v>
      </c>
    </row>
    <row r="731" spans="1:9" x14ac:dyDescent="0.25">
      <c r="A731" s="420">
        <v>43014</v>
      </c>
      <c r="B731" s="302" t="s">
        <v>32377</v>
      </c>
      <c r="C731">
        <v>130294</v>
      </c>
      <c r="D731" s="275" t="s">
        <v>15583</v>
      </c>
      <c r="E731" s="301">
        <v>1473.6</v>
      </c>
      <c r="F731" s="303">
        <v>43020</v>
      </c>
      <c r="G731" s="301">
        <v>1473.6</v>
      </c>
      <c r="H731" s="301">
        <f>Tabla15[[#This Row],[Importe]]-Tabla15[[#This Row],[Pagado]]</f>
        <v>0</v>
      </c>
      <c r="I731" s="275" t="s">
        <v>15214</v>
      </c>
    </row>
    <row r="732" spans="1:9" x14ac:dyDescent="0.25">
      <c r="A732" s="420">
        <v>43014</v>
      </c>
      <c r="B732" s="302" t="s">
        <v>32378</v>
      </c>
      <c r="C732">
        <v>130295</v>
      </c>
      <c r="D732" s="275" t="s">
        <v>15748</v>
      </c>
      <c r="E732" s="301">
        <v>1171.32</v>
      </c>
      <c r="F732" s="303">
        <v>43015</v>
      </c>
      <c r="G732" s="301">
        <v>1171.32</v>
      </c>
      <c r="H732" s="301">
        <f>Tabla15[[#This Row],[Importe]]-Tabla15[[#This Row],[Pagado]]</f>
        <v>0</v>
      </c>
      <c r="I732" s="275" t="s">
        <v>15214</v>
      </c>
    </row>
    <row r="733" spans="1:9" x14ac:dyDescent="0.25">
      <c r="A733" s="420">
        <v>43014</v>
      </c>
      <c r="B733" s="302" t="s">
        <v>32379</v>
      </c>
      <c r="C733">
        <v>130296</v>
      </c>
      <c r="D733" s="275" t="s">
        <v>15328</v>
      </c>
      <c r="E733" s="301">
        <v>93401.04</v>
      </c>
      <c r="F733" s="303">
        <v>43021</v>
      </c>
      <c r="G733" s="301">
        <v>93401.04</v>
      </c>
      <c r="H733" s="301">
        <f>Tabla15[[#This Row],[Importe]]-Tabla15[[#This Row],[Pagado]]</f>
        <v>0</v>
      </c>
      <c r="I733" s="275" t="s">
        <v>15214</v>
      </c>
    </row>
    <row r="734" spans="1:9" x14ac:dyDescent="0.25">
      <c r="A734" s="420">
        <v>43014</v>
      </c>
      <c r="B734" s="302" t="s">
        <v>32380</v>
      </c>
      <c r="C734">
        <v>130297</v>
      </c>
      <c r="D734" s="275" t="s">
        <v>16288</v>
      </c>
      <c r="E734" s="301">
        <v>985.6</v>
      </c>
      <c r="F734" s="303">
        <v>43015</v>
      </c>
      <c r="G734" s="301">
        <v>985.6</v>
      </c>
      <c r="H734" s="301">
        <f>Tabla15[[#This Row],[Importe]]-Tabla15[[#This Row],[Pagado]]</f>
        <v>0</v>
      </c>
      <c r="I734" s="275" t="s">
        <v>15214</v>
      </c>
    </row>
    <row r="735" spans="1:9" x14ac:dyDescent="0.25">
      <c r="A735" s="420">
        <v>43014</v>
      </c>
      <c r="B735" s="302" t="s">
        <v>32381</v>
      </c>
      <c r="C735">
        <v>130298</v>
      </c>
      <c r="D735" s="275" t="s">
        <v>15315</v>
      </c>
      <c r="E735" s="301">
        <v>1798.16</v>
      </c>
      <c r="F735" s="303">
        <v>43015</v>
      </c>
      <c r="G735" s="301">
        <v>1798.16</v>
      </c>
      <c r="H735" s="301">
        <f>Tabla15[[#This Row],[Importe]]-Tabla15[[#This Row],[Pagado]]</f>
        <v>0</v>
      </c>
      <c r="I735" s="275" t="s">
        <v>15214</v>
      </c>
    </row>
    <row r="736" spans="1:9" x14ac:dyDescent="0.25">
      <c r="A736" s="420">
        <v>43014</v>
      </c>
      <c r="B736" s="302" t="s">
        <v>32382</v>
      </c>
      <c r="C736">
        <v>130299</v>
      </c>
      <c r="D736" s="275" t="s">
        <v>15378</v>
      </c>
      <c r="E736" s="301">
        <v>3189.1</v>
      </c>
      <c r="F736" s="303">
        <v>43014</v>
      </c>
      <c r="G736" s="301">
        <v>3189.1</v>
      </c>
      <c r="H736" s="301">
        <f>Tabla15[[#This Row],[Importe]]-Tabla15[[#This Row],[Pagado]]</f>
        <v>0</v>
      </c>
      <c r="I736" s="275" t="s">
        <v>15214</v>
      </c>
    </row>
    <row r="737" spans="1:9" x14ac:dyDescent="0.25">
      <c r="A737" s="420">
        <v>43014</v>
      </c>
      <c r="B737" s="302" t="s">
        <v>32383</v>
      </c>
      <c r="C737">
        <v>130300</v>
      </c>
      <c r="D737" s="275" t="s">
        <v>15555</v>
      </c>
      <c r="E737" s="301">
        <v>2438.4</v>
      </c>
      <c r="F737" s="303">
        <v>43015</v>
      </c>
      <c r="G737" s="301">
        <v>2438.4</v>
      </c>
      <c r="H737" s="301">
        <f>Tabla15[[#This Row],[Importe]]-Tabla15[[#This Row],[Pagado]]</f>
        <v>0</v>
      </c>
      <c r="I737" s="275" t="s">
        <v>15214</v>
      </c>
    </row>
    <row r="738" spans="1:9" x14ac:dyDescent="0.25">
      <c r="A738" s="420">
        <v>43014</v>
      </c>
      <c r="B738" s="302" t="s">
        <v>32384</v>
      </c>
      <c r="C738">
        <v>130301</v>
      </c>
      <c r="D738" s="275" t="s">
        <v>15559</v>
      </c>
      <c r="E738" s="301">
        <v>9766.7999999999993</v>
      </c>
      <c r="F738" s="303">
        <v>43015</v>
      </c>
      <c r="G738" s="301">
        <v>9766.7999999999993</v>
      </c>
      <c r="H738" s="301">
        <f>Tabla15[[#This Row],[Importe]]-Tabla15[[#This Row],[Pagado]]</f>
        <v>0</v>
      </c>
      <c r="I738" s="275" t="s">
        <v>15214</v>
      </c>
    </row>
    <row r="739" spans="1:9" x14ac:dyDescent="0.25">
      <c r="A739" s="420">
        <v>43014</v>
      </c>
      <c r="B739" s="302" t="s">
        <v>32385</v>
      </c>
      <c r="C739">
        <v>130302</v>
      </c>
      <c r="D739" s="275" t="s">
        <v>15699</v>
      </c>
      <c r="E739" s="301">
        <v>3367</v>
      </c>
      <c r="F739" s="303">
        <v>43015</v>
      </c>
      <c r="G739" s="301">
        <v>3367</v>
      </c>
      <c r="H739" s="301">
        <f>Tabla15[[#This Row],[Importe]]-Tabla15[[#This Row],[Pagado]]</f>
        <v>0</v>
      </c>
      <c r="I739" s="275" t="s">
        <v>15214</v>
      </c>
    </row>
    <row r="740" spans="1:9" x14ac:dyDescent="0.25">
      <c r="A740" s="420">
        <v>43014</v>
      </c>
      <c r="B740" s="302" t="s">
        <v>32386</v>
      </c>
      <c r="C740">
        <v>130303</v>
      </c>
      <c r="D740" s="275" t="s">
        <v>15539</v>
      </c>
      <c r="E740" s="301">
        <v>14455.9</v>
      </c>
      <c r="F740" s="303">
        <v>43015</v>
      </c>
      <c r="G740" s="301">
        <v>14455.9</v>
      </c>
      <c r="H740" s="301">
        <f>Tabla15[[#This Row],[Importe]]-Tabla15[[#This Row],[Pagado]]</f>
        <v>0</v>
      </c>
      <c r="I740" s="275" t="s">
        <v>15214</v>
      </c>
    </row>
    <row r="741" spans="1:9" x14ac:dyDescent="0.25">
      <c r="A741" s="420">
        <v>43014</v>
      </c>
      <c r="B741" s="302" t="s">
        <v>32387</v>
      </c>
      <c r="C741">
        <v>130304</v>
      </c>
      <c r="D741" s="275" t="s">
        <v>15537</v>
      </c>
      <c r="E741" s="301">
        <v>14896.2</v>
      </c>
      <c r="F741" s="303">
        <v>43015</v>
      </c>
      <c r="G741" s="301">
        <v>14896.2</v>
      </c>
      <c r="H741" s="301">
        <f>Tabla15[[#This Row],[Importe]]-Tabla15[[#This Row],[Pagado]]</f>
        <v>0</v>
      </c>
      <c r="I741" s="275" t="s">
        <v>15214</v>
      </c>
    </row>
    <row r="742" spans="1:9" x14ac:dyDescent="0.25">
      <c r="A742" s="420">
        <v>43014</v>
      </c>
      <c r="B742" s="302" t="s">
        <v>32388</v>
      </c>
      <c r="C742">
        <v>130305</v>
      </c>
      <c r="D742" s="275" t="s">
        <v>16129</v>
      </c>
      <c r="E742" s="301">
        <v>3993.4</v>
      </c>
      <c r="F742" s="303">
        <v>43014</v>
      </c>
      <c r="G742" s="301">
        <v>3993.4</v>
      </c>
      <c r="H742" s="301">
        <f>Tabla15[[#This Row],[Importe]]-Tabla15[[#This Row],[Pagado]]</f>
        <v>0</v>
      </c>
      <c r="I742" s="275" t="s">
        <v>15214</v>
      </c>
    </row>
    <row r="743" spans="1:9" x14ac:dyDescent="0.25">
      <c r="A743" s="420">
        <v>43014</v>
      </c>
      <c r="B743" s="302" t="s">
        <v>32389</v>
      </c>
      <c r="C743">
        <v>130306</v>
      </c>
      <c r="D743" s="275" t="s">
        <v>15419</v>
      </c>
      <c r="E743" s="301">
        <v>22138.1</v>
      </c>
      <c r="F743" s="303">
        <v>43021</v>
      </c>
      <c r="G743" s="301">
        <v>22138.1</v>
      </c>
      <c r="H743" s="301">
        <f>Tabla15[[#This Row],[Importe]]-Tabla15[[#This Row],[Pagado]]</f>
        <v>0</v>
      </c>
      <c r="I743" s="275" t="s">
        <v>15214</v>
      </c>
    </row>
    <row r="744" spans="1:9" x14ac:dyDescent="0.25">
      <c r="A744" s="420">
        <v>43014</v>
      </c>
      <c r="B744" s="302" t="s">
        <v>32390</v>
      </c>
      <c r="C744">
        <v>130307</v>
      </c>
      <c r="D744" s="275" t="s">
        <v>15267</v>
      </c>
      <c r="E744" s="301">
        <v>7776.9</v>
      </c>
      <c r="F744" s="303">
        <v>43014</v>
      </c>
      <c r="G744" s="301">
        <v>7776.9</v>
      </c>
      <c r="H744" s="301">
        <f>Tabla15[[#This Row],[Importe]]-Tabla15[[#This Row],[Pagado]]</f>
        <v>0</v>
      </c>
      <c r="I744" s="275" t="s">
        <v>15214</v>
      </c>
    </row>
    <row r="745" spans="1:9" ht="15.75" x14ac:dyDescent="0.25">
      <c r="A745" s="420">
        <v>43014</v>
      </c>
      <c r="B745" s="302" t="s">
        <v>32391</v>
      </c>
      <c r="C745">
        <v>130308</v>
      </c>
      <c r="D745" s="248" t="s">
        <v>95</v>
      </c>
      <c r="E745" s="301">
        <v>0</v>
      </c>
      <c r="F745" s="243" t="s">
        <v>95</v>
      </c>
      <c r="G745" s="301">
        <v>0</v>
      </c>
      <c r="H745" s="301">
        <f>Tabla15[[#This Row],[Importe]]-Tabla15[[#This Row],[Pagado]]</f>
        <v>0</v>
      </c>
      <c r="I745" s="275" t="s">
        <v>95</v>
      </c>
    </row>
    <row r="746" spans="1:9" x14ac:dyDescent="0.25">
      <c r="A746" s="420">
        <v>43014</v>
      </c>
      <c r="B746" s="302" t="s">
        <v>32392</v>
      </c>
      <c r="C746">
        <v>130309</v>
      </c>
      <c r="D746" s="275" t="s">
        <v>15699</v>
      </c>
      <c r="E746" s="301">
        <v>3689.4</v>
      </c>
      <c r="F746" s="303">
        <v>43015</v>
      </c>
      <c r="G746" s="301">
        <v>3689.4</v>
      </c>
      <c r="H746" s="301">
        <f>Tabla15[[#This Row],[Importe]]-Tabla15[[#This Row],[Pagado]]</f>
        <v>0</v>
      </c>
      <c r="I746" s="275" t="s">
        <v>15214</v>
      </c>
    </row>
    <row r="747" spans="1:9" x14ac:dyDescent="0.25">
      <c r="A747" s="420">
        <v>43014</v>
      </c>
      <c r="B747" s="302" t="s">
        <v>32393</v>
      </c>
      <c r="C747">
        <v>130310</v>
      </c>
      <c r="D747" s="275" t="s">
        <v>15557</v>
      </c>
      <c r="E747" s="301">
        <v>6687.6</v>
      </c>
      <c r="F747" s="303">
        <v>43015</v>
      </c>
      <c r="G747" s="301">
        <v>6687.6</v>
      </c>
      <c r="H747" s="301">
        <f>Tabla15[[#This Row],[Importe]]-Tabla15[[#This Row],[Pagado]]</f>
        <v>0</v>
      </c>
      <c r="I747" s="275" t="s">
        <v>15214</v>
      </c>
    </row>
    <row r="748" spans="1:9" x14ac:dyDescent="0.25">
      <c r="A748" s="420">
        <v>43014</v>
      </c>
      <c r="B748" s="302" t="s">
        <v>32394</v>
      </c>
      <c r="C748">
        <v>130311</v>
      </c>
      <c r="D748" s="275" t="s">
        <v>16048</v>
      </c>
      <c r="E748" s="301">
        <v>5407.5</v>
      </c>
      <c r="F748" s="303">
        <v>43014</v>
      </c>
      <c r="G748" s="301">
        <v>5407.5</v>
      </c>
      <c r="H748" s="301">
        <f>Tabla15[[#This Row],[Importe]]-Tabla15[[#This Row],[Pagado]]</f>
        <v>0</v>
      </c>
      <c r="I748" s="275" t="s">
        <v>15214</v>
      </c>
    </row>
    <row r="749" spans="1:9" x14ac:dyDescent="0.25">
      <c r="A749" s="420">
        <v>43014</v>
      </c>
      <c r="B749" s="302" t="s">
        <v>32395</v>
      </c>
      <c r="C749">
        <v>130312</v>
      </c>
      <c r="D749" s="275" t="s">
        <v>16048</v>
      </c>
      <c r="E749" s="301">
        <v>414</v>
      </c>
      <c r="F749" s="303">
        <v>43014</v>
      </c>
      <c r="G749" s="301">
        <v>414</v>
      </c>
      <c r="H749" s="301">
        <f>Tabla15[[#This Row],[Importe]]-Tabla15[[#This Row],[Pagado]]</f>
        <v>0</v>
      </c>
      <c r="I749" s="275" t="s">
        <v>15214</v>
      </c>
    </row>
    <row r="750" spans="1:9" x14ac:dyDescent="0.25">
      <c r="A750" s="420">
        <v>43014</v>
      </c>
      <c r="B750" s="302" t="s">
        <v>32396</v>
      </c>
      <c r="C750">
        <v>130313</v>
      </c>
      <c r="D750" s="275" t="s">
        <v>15706</v>
      </c>
      <c r="E750" s="301">
        <v>774.8</v>
      </c>
      <c r="F750" s="303">
        <v>43014</v>
      </c>
      <c r="G750" s="301">
        <v>774.8</v>
      </c>
      <c r="H750" s="301">
        <f>Tabla15[[#This Row],[Importe]]-Tabla15[[#This Row],[Pagado]]</f>
        <v>0</v>
      </c>
      <c r="I750" s="275" t="s">
        <v>15214</v>
      </c>
    </row>
    <row r="751" spans="1:9" ht="15.75" x14ac:dyDescent="0.25">
      <c r="A751" s="420">
        <v>43014</v>
      </c>
      <c r="B751" s="302" t="s">
        <v>32397</v>
      </c>
      <c r="C751">
        <v>130314</v>
      </c>
      <c r="D751" s="248" t="s">
        <v>95</v>
      </c>
      <c r="E751" s="301">
        <v>0</v>
      </c>
      <c r="F751" s="243" t="s">
        <v>95</v>
      </c>
      <c r="G751" s="301">
        <v>0</v>
      </c>
      <c r="H751" s="301">
        <f>Tabla15[[#This Row],[Importe]]-Tabla15[[#This Row],[Pagado]]</f>
        <v>0</v>
      </c>
      <c r="I751" s="275" t="s">
        <v>95</v>
      </c>
    </row>
    <row r="752" spans="1:9" x14ac:dyDescent="0.25">
      <c r="A752" s="420">
        <v>43014</v>
      </c>
      <c r="B752" s="302" t="s">
        <v>32398</v>
      </c>
      <c r="C752">
        <v>130315</v>
      </c>
      <c r="D752" s="275" t="s">
        <v>15433</v>
      </c>
      <c r="E752" s="301">
        <v>1575.1</v>
      </c>
      <c r="F752" s="303">
        <v>43014</v>
      </c>
      <c r="G752" s="301">
        <v>1575.1</v>
      </c>
      <c r="H752" s="301">
        <f>Tabla15[[#This Row],[Importe]]-Tabla15[[#This Row],[Pagado]]</f>
        <v>0</v>
      </c>
      <c r="I752" s="275" t="s">
        <v>15214</v>
      </c>
    </row>
    <row r="753" spans="1:9" ht="15.75" x14ac:dyDescent="0.25">
      <c r="A753" s="420">
        <v>43014</v>
      </c>
      <c r="B753" s="302" t="s">
        <v>32399</v>
      </c>
      <c r="C753">
        <v>130316</v>
      </c>
      <c r="D753" s="248" t="s">
        <v>95</v>
      </c>
      <c r="E753" s="301">
        <v>0</v>
      </c>
      <c r="F753" s="243" t="s">
        <v>95</v>
      </c>
      <c r="G753" s="301">
        <v>0</v>
      </c>
      <c r="H753" s="301">
        <f>Tabla15[[#This Row],[Importe]]-Tabla15[[#This Row],[Pagado]]</f>
        <v>0</v>
      </c>
      <c r="I753" s="275" t="s">
        <v>95</v>
      </c>
    </row>
    <row r="754" spans="1:9" x14ac:dyDescent="0.25">
      <c r="A754" s="420">
        <v>43014</v>
      </c>
      <c r="B754" s="302" t="s">
        <v>32400</v>
      </c>
      <c r="C754">
        <v>130317</v>
      </c>
      <c r="D754" s="275" t="s">
        <v>15628</v>
      </c>
      <c r="E754" s="301">
        <v>10900.8</v>
      </c>
      <c r="F754" s="303">
        <v>43014</v>
      </c>
      <c r="G754" s="301">
        <v>10900.8</v>
      </c>
      <c r="H754" s="301">
        <f>Tabla15[[#This Row],[Importe]]-Tabla15[[#This Row],[Pagado]]</f>
        <v>0</v>
      </c>
      <c r="I754" s="275" t="s">
        <v>15214</v>
      </c>
    </row>
    <row r="755" spans="1:9" x14ac:dyDescent="0.25">
      <c r="A755" s="420">
        <v>43014</v>
      </c>
      <c r="B755" s="302" t="s">
        <v>32401</v>
      </c>
      <c r="C755">
        <v>130318</v>
      </c>
      <c r="D755" s="275" t="s">
        <v>15263</v>
      </c>
      <c r="E755" s="301">
        <v>1266.8</v>
      </c>
      <c r="F755" s="303">
        <v>43014</v>
      </c>
      <c r="G755" s="301">
        <v>1266.8</v>
      </c>
      <c r="H755" s="301">
        <f>Tabla15[[#This Row],[Importe]]-Tabla15[[#This Row],[Pagado]]</f>
        <v>0</v>
      </c>
      <c r="I755" s="275" t="s">
        <v>15214</v>
      </c>
    </row>
    <row r="756" spans="1:9" x14ac:dyDescent="0.25">
      <c r="A756" s="420">
        <v>43014</v>
      </c>
      <c r="B756" s="302" t="s">
        <v>32402</v>
      </c>
      <c r="C756">
        <v>130319</v>
      </c>
      <c r="D756" s="275" t="s">
        <v>15263</v>
      </c>
      <c r="E756" s="301">
        <v>262.2</v>
      </c>
      <c r="F756" s="303">
        <v>43014</v>
      </c>
      <c r="G756" s="301">
        <v>262.2</v>
      </c>
      <c r="H756" s="301">
        <f>Tabla15[[#This Row],[Importe]]-Tabla15[[#This Row],[Pagado]]</f>
        <v>0</v>
      </c>
      <c r="I756" s="275" t="s">
        <v>15214</v>
      </c>
    </row>
    <row r="757" spans="1:9" x14ac:dyDescent="0.25">
      <c r="A757" s="420">
        <v>43014</v>
      </c>
      <c r="B757" s="302" t="s">
        <v>32403</v>
      </c>
      <c r="C757">
        <v>130320</v>
      </c>
      <c r="D757" s="275" t="s">
        <v>15322</v>
      </c>
      <c r="E757" s="301">
        <v>1922.8</v>
      </c>
      <c r="F757" s="303">
        <v>43014</v>
      </c>
      <c r="G757" s="301">
        <v>1922.8</v>
      </c>
      <c r="H757" s="301">
        <f>Tabla15[[#This Row],[Importe]]-Tabla15[[#This Row],[Pagado]]</f>
        <v>0</v>
      </c>
      <c r="I757" s="275" t="s">
        <v>15214</v>
      </c>
    </row>
    <row r="758" spans="1:9" x14ac:dyDescent="0.25">
      <c r="A758" s="420">
        <v>43014</v>
      </c>
      <c r="B758" s="302" t="s">
        <v>32404</v>
      </c>
      <c r="C758">
        <v>130321</v>
      </c>
      <c r="D758" s="275" t="s">
        <v>15365</v>
      </c>
      <c r="E758" s="301">
        <v>405055</v>
      </c>
      <c r="F758" s="303">
        <v>43022</v>
      </c>
      <c r="G758" s="301">
        <v>405055</v>
      </c>
      <c r="H758" s="301">
        <f>Tabla15[[#This Row],[Importe]]-Tabla15[[#This Row],[Pagado]]</f>
        <v>0</v>
      </c>
      <c r="I758" s="275" t="s">
        <v>15214</v>
      </c>
    </row>
    <row r="759" spans="1:9" ht="15.75" x14ac:dyDescent="0.25">
      <c r="A759" s="420">
        <v>43014</v>
      </c>
      <c r="B759" s="302" t="s">
        <v>32405</v>
      </c>
      <c r="C759">
        <v>130322</v>
      </c>
      <c r="D759" s="248" t="s">
        <v>95</v>
      </c>
      <c r="E759" s="301">
        <v>0</v>
      </c>
      <c r="F759" s="243" t="s">
        <v>95</v>
      </c>
      <c r="G759" s="301">
        <v>0</v>
      </c>
      <c r="H759" s="301">
        <f>Tabla15[[#This Row],[Importe]]-Tabla15[[#This Row],[Pagado]]</f>
        <v>0</v>
      </c>
      <c r="I759" s="275" t="s">
        <v>95</v>
      </c>
    </row>
    <row r="760" spans="1:9" ht="30" x14ac:dyDescent="0.25">
      <c r="A760" s="420">
        <v>43014</v>
      </c>
      <c r="B760" s="302" t="s">
        <v>32406</v>
      </c>
      <c r="C760">
        <v>130323</v>
      </c>
      <c r="D760" s="275" t="s">
        <v>15246</v>
      </c>
      <c r="E760" s="301">
        <v>214727.24</v>
      </c>
      <c r="F760" s="303" t="s">
        <v>32131</v>
      </c>
      <c r="G760" s="305">
        <f>160964.54+53762.7</f>
        <v>214727.24</v>
      </c>
      <c r="H760" s="305">
        <f>Tabla15[[#This Row],[Importe]]-Tabla15[[#This Row],[Pagado]]</f>
        <v>0</v>
      </c>
      <c r="I760" s="275" t="s">
        <v>15214</v>
      </c>
    </row>
    <row r="761" spans="1:9" x14ac:dyDescent="0.25">
      <c r="A761" s="420">
        <v>43014</v>
      </c>
      <c r="B761" s="302" t="s">
        <v>32407</v>
      </c>
      <c r="C761">
        <v>130324</v>
      </c>
      <c r="D761" s="275" t="s">
        <v>15246</v>
      </c>
      <c r="E761" s="301">
        <v>169002.7</v>
      </c>
      <c r="F761" s="303">
        <v>43015</v>
      </c>
      <c r="G761" s="301">
        <v>169002.7</v>
      </c>
      <c r="H761" s="301">
        <f>Tabla15[[#This Row],[Importe]]-Tabla15[[#This Row],[Pagado]]</f>
        <v>0</v>
      </c>
      <c r="I761" s="275" t="s">
        <v>15214</v>
      </c>
    </row>
    <row r="762" spans="1:9" x14ac:dyDescent="0.25">
      <c r="A762" s="420">
        <v>43014</v>
      </c>
      <c r="B762" s="302" t="s">
        <v>32408</v>
      </c>
      <c r="C762">
        <v>130325</v>
      </c>
      <c r="D762" s="275" t="s">
        <v>15435</v>
      </c>
      <c r="E762" s="301">
        <v>9114.2000000000007</v>
      </c>
      <c r="F762" s="303">
        <v>43014</v>
      </c>
      <c r="G762" s="301">
        <v>9114.2000000000007</v>
      </c>
      <c r="H762" s="301">
        <f>Tabla15[[#This Row],[Importe]]-Tabla15[[#This Row],[Pagado]]</f>
        <v>0</v>
      </c>
      <c r="I762" s="275" t="s">
        <v>15214</v>
      </c>
    </row>
    <row r="763" spans="1:9" x14ac:dyDescent="0.25">
      <c r="A763" s="420">
        <v>43014</v>
      </c>
      <c r="B763" s="302" t="s">
        <v>32409</v>
      </c>
      <c r="C763">
        <v>130326</v>
      </c>
      <c r="D763" s="275" t="s">
        <v>15442</v>
      </c>
      <c r="E763" s="301">
        <v>21500.400000000001</v>
      </c>
      <c r="F763" s="303">
        <v>43024</v>
      </c>
      <c r="G763" s="301">
        <v>21500.400000000001</v>
      </c>
      <c r="H763" s="301">
        <f>Tabla15[[#This Row],[Importe]]-Tabla15[[#This Row],[Pagado]]</f>
        <v>0</v>
      </c>
      <c r="I763" s="275" t="s">
        <v>15214</v>
      </c>
    </row>
    <row r="764" spans="1:9" ht="15.75" x14ac:dyDescent="0.25">
      <c r="A764" s="420">
        <v>43014</v>
      </c>
      <c r="B764" s="302" t="s">
        <v>32410</v>
      </c>
      <c r="C764">
        <v>130327</v>
      </c>
      <c r="D764" s="248" t="s">
        <v>95</v>
      </c>
      <c r="E764" s="301">
        <v>0</v>
      </c>
      <c r="F764" s="243" t="s">
        <v>95</v>
      </c>
      <c r="G764" s="301">
        <v>0</v>
      </c>
      <c r="H764" s="301">
        <f>Tabla15[[#This Row],[Importe]]-Tabla15[[#This Row],[Pagado]]</f>
        <v>0</v>
      </c>
      <c r="I764" s="275" t="s">
        <v>95</v>
      </c>
    </row>
    <row r="765" spans="1:9" x14ac:dyDescent="0.25">
      <c r="A765" s="420">
        <v>43014</v>
      </c>
      <c r="B765" s="302" t="s">
        <v>32411</v>
      </c>
      <c r="C765">
        <v>130328</v>
      </c>
      <c r="D765" s="275" t="s">
        <v>16958</v>
      </c>
      <c r="E765" s="301">
        <v>2611.6999999999998</v>
      </c>
      <c r="F765" s="303">
        <v>43015</v>
      </c>
      <c r="G765" s="301">
        <v>2611.6999999999998</v>
      </c>
      <c r="H765" s="301">
        <f>Tabla15[[#This Row],[Importe]]-Tabla15[[#This Row],[Pagado]]</f>
        <v>0</v>
      </c>
      <c r="I765" s="275" t="s">
        <v>15214</v>
      </c>
    </row>
    <row r="766" spans="1:9" x14ac:dyDescent="0.25">
      <c r="A766" s="420">
        <v>43014</v>
      </c>
      <c r="B766" s="302" t="s">
        <v>32412</v>
      </c>
      <c r="C766">
        <v>130329</v>
      </c>
      <c r="D766" s="275" t="s">
        <v>15632</v>
      </c>
      <c r="E766" s="301">
        <v>10825.8</v>
      </c>
      <c r="F766" s="303">
        <v>43015</v>
      </c>
      <c r="G766" s="301">
        <v>10825.8</v>
      </c>
      <c r="H766" s="301">
        <f>Tabla15[[#This Row],[Importe]]-Tabla15[[#This Row],[Pagado]]</f>
        <v>0</v>
      </c>
      <c r="I766" s="275" t="s">
        <v>15214</v>
      </c>
    </row>
    <row r="767" spans="1:9" x14ac:dyDescent="0.25">
      <c r="A767" s="420">
        <v>43014</v>
      </c>
      <c r="B767" s="302" t="s">
        <v>32413</v>
      </c>
      <c r="C767">
        <v>130330</v>
      </c>
      <c r="D767" s="275" t="s">
        <v>15541</v>
      </c>
      <c r="E767" s="301">
        <v>1673.4</v>
      </c>
      <c r="F767" s="303">
        <v>43015</v>
      </c>
      <c r="G767" s="301">
        <v>1673.4</v>
      </c>
      <c r="H767" s="301">
        <f>Tabla15[[#This Row],[Importe]]-Tabla15[[#This Row],[Pagado]]</f>
        <v>0</v>
      </c>
      <c r="I767" s="275" t="s">
        <v>15214</v>
      </c>
    </row>
    <row r="768" spans="1:9" x14ac:dyDescent="0.25">
      <c r="A768" s="420">
        <v>43014</v>
      </c>
      <c r="B768" s="302" t="s">
        <v>32414</v>
      </c>
      <c r="C768">
        <v>130331</v>
      </c>
      <c r="D768" s="275" t="s">
        <v>15284</v>
      </c>
      <c r="E768" s="301">
        <v>1098.5</v>
      </c>
      <c r="F768" s="303">
        <v>43014</v>
      </c>
      <c r="G768" s="301">
        <v>1098.5</v>
      </c>
      <c r="H768" s="301">
        <f>Tabla15[[#This Row],[Importe]]-Tabla15[[#This Row],[Pagado]]</f>
        <v>0</v>
      </c>
      <c r="I768" s="275" t="s">
        <v>15214</v>
      </c>
    </row>
    <row r="769" spans="1:9" x14ac:dyDescent="0.25">
      <c r="A769" s="420">
        <v>43014</v>
      </c>
      <c r="B769" s="302" t="s">
        <v>32415</v>
      </c>
      <c r="C769">
        <v>130332</v>
      </c>
      <c r="D769" s="275" t="s">
        <v>15365</v>
      </c>
      <c r="E769" s="301">
        <v>3400</v>
      </c>
      <c r="F769" s="303">
        <v>43022</v>
      </c>
      <c r="G769" s="301">
        <v>3400</v>
      </c>
      <c r="H769" s="301">
        <f>Tabla15[[#This Row],[Importe]]-Tabla15[[#This Row],[Pagado]]</f>
        <v>0</v>
      </c>
      <c r="I769" s="275" t="s">
        <v>15214</v>
      </c>
    </row>
    <row r="770" spans="1:9" x14ac:dyDescent="0.25">
      <c r="A770" s="420">
        <v>43014</v>
      </c>
      <c r="B770" s="302" t="s">
        <v>32416</v>
      </c>
      <c r="C770">
        <v>130333</v>
      </c>
      <c r="D770" s="275" t="s">
        <v>19699</v>
      </c>
      <c r="E770" s="301">
        <v>1320</v>
      </c>
      <c r="F770" s="303">
        <v>43014</v>
      </c>
      <c r="G770" s="301">
        <v>1320</v>
      </c>
      <c r="H770" s="301">
        <f>Tabla15[[#This Row],[Importe]]-Tabla15[[#This Row],[Pagado]]</f>
        <v>0</v>
      </c>
      <c r="I770" s="275" t="s">
        <v>15214</v>
      </c>
    </row>
    <row r="771" spans="1:9" ht="30" x14ac:dyDescent="0.25">
      <c r="A771" s="420">
        <v>43014</v>
      </c>
      <c r="B771" s="302" t="s">
        <v>32417</v>
      </c>
      <c r="C771">
        <v>130334</v>
      </c>
      <c r="D771" s="275" t="s">
        <v>15920</v>
      </c>
      <c r="E771" s="301">
        <v>16730.2</v>
      </c>
      <c r="F771" s="303" t="s">
        <v>32418</v>
      </c>
      <c r="G771" s="305">
        <f>9500+7230.2</f>
        <v>16730.2</v>
      </c>
      <c r="H771" s="305">
        <f>Tabla15[[#This Row],[Importe]]-Tabla15[[#This Row],[Pagado]]</f>
        <v>0</v>
      </c>
      <c r="I771" s="275" t="s">
        <v>15214</v>
      </c>
    </row>
    <row r="772" spans="1:9" x14ac:dyDescent="0.25">
      <c r="A772" s="420">
        <v>43014</v>
      </c>
      <c r="B772" s="302" t="s">
        <v>32419</v>
      </c>
      <c r="C772">
        <v>130335</v>
      </c>
      <c r="D772" s="275" t="s">
        <v>16217</v>
      </c>
      <c r="E772" s="301">
        <v>2490</v>
      </c>
      <c r="F772" s="303">
        <v>43014</v>
      </c>
      <c r="G772" s="301">
        <v>2490</v>
      </c>
      <c r="H772" s="301">
        <f>Tabla15[[#This Row],[Importe]]-Tabla15[[#This Row],[Pagado]]</f>
        <v>0</v>
      </c>
      <c r="I772" s="275" t="s">
        <v>15214</v>
      </c>
    </row>
    <row r="773" spans="1:9" x14ac:dyDescent="0.25">
      <c r="A773" s="420">
        <v>43014</v>
      </c>
      <c r="B773" s="302" t="s">
        <v>32420</v>
      </c>
      <c r="C773">
        <v>130336</v>
      </c>
      <c r="D773" s="275" t="s">
        <v>15920</v>
      </c>
      <c r="E773" s="301">
        <v>3929.6</v>
      </c>
      <c r="F773" s="303">
        <v>43022</v>
      </c>
      <c r="G773" s="301">
        <v>3929.6</v>
      </c>
      <c r="H773" s="301">
        <f>Tabla15[[#This Row],[Importe]]-Tabla15[[#This Row],[Pagado]]</f>
        <v>0</v>
      </c>
      <c r="I773" s="275" t="s">
        <v>15214</v>
      </c>
    </row>
    <row r="774" spans="1:9" x14ac:dyDescent="0.25">
      <c r="A774" s="420">
        <v>43014</v>
      </c>
      <c r="B774" s="302" t="s">
        <v>32421</v>
      </c>
      <c r="C774">
        <v>130337</v>
      </c>
      <c r="D774" s="275" t="s">
        <v>15421</v>
      </c>
      <c r="E774" s="301">
        <v>2696</v>
      </c>
      <c r="F774" s="303">
        <v>43014</v>
      </c>
      <c r="G774" s="301">
        <v>2696</v>
      </c>
      <c r="H774" s="301">
        <f>Tabla15[[#This Row],[Importe]]-Tabla15[[#This Row],[Pagado]]</f>
        <v>0</v>
      </c>
      <c r="I774" s="275" t="s">
        <v>15214</v>
      </c>
    </row>
    <row r="775" spans="1:9" x14ac:dyDescent="0.25">
      <c r="A775" s="420">
        <v>43014</v>
      </c>
      <c r="B775" s="302" t="s">
        <v>32422</v>
      </c>
      <c r="C775">
        <v>130338</v>
      </c>
      <c r="D775" s="275" t="s">
        <v>15407</v>
      </c>
      <c r="E775" s="301">
        <v>1175</v>
      </c>
      <c r="F775" s="303">
        <v>43014</v>
      </c>
      <c r="G775" s="301">
        <v>1175</v>
      </c>
      <c r="H775" s="301">
        <f>Tabla15[[#This Row],[Importe]]-Tabla15[[#This Row],[Pagado]]</f>
        <v>0</v>
      </c>
      <c r="I775" s="275" t="s">
        <v>15214</v>
      </c>
    </row>
    <row r="776" spans="1:9" x14ac:dyDescent="0.25">
      <c r="A776" s="420">
        <v>43014</v>
      </c>
      <c r="B776" s="302" t="s">
        <v>32423</v>
      </c>
      <c r="C776">
        <v>130339</v>
      </c>
      <c r="D776" s="275" t="s">
        <v>15315</v>
      </c>
      <c r="E776" s="301">
        <v>6337.8</v>
      </c>
      <c r="F776" s="303">
        <v>43017</v>
      </c>
      <c r="G776" s="301">
        <v>6337.8</v>
      </c>
      <c r="H776" s="301">
        <f>Tabla15[[#This Row],[Importe]]-Tabla15[[#This Row],[Pagado]]</f>
        <v>0</v>
      </c>
      <c r="I776" s="275" t="s">
        <v>15214</v>
      </c>
    </row>
    <row r="777" spans="1:9" x14ac:dyDescent="0.25">
      <c r="A777" s="420">
        <v>43015</v>
      </c>
      <c r="B777" s="302" t="s">
        <v>32424</v>
      </c>
      <c r="C777">
        <v>130340</v>
      </c>
      <c r="D777" s="275" t="s">
        <v>21386</v>
      </c>
      <c r="E777" s="301">
        <v>9264.7999999999993</v>
      </c>
      <c r="F777" s="303">
        <v>43016</v>
      </c>
      <c r="G777" s="301">
        <v>9264.7999999999993</v>
      </c>
      <c r="H777" s="301">
        <f>Tabla15[[#This Row],[Importe]]-Tabla15[[#This Row],[Pagado]]</f>
        <v>0</v>
      </c>
      <c r="I777" s="275" t="s">
        <v>15214</v>
      </c>
    </row>
    <row r="778" spans="1:9" x14ac:dyDescent="0.25">
      <c r="A778" s="420">
        <v>43015</v>
      </c>
      <c r="B778" s="302" t="s">
        <v>32425</v>
      </c>
      <c r="C778">
        <v>130341</v>
      </c>
      <c r="D778" s="275" t="s">
        <v>15213</v>
      </c>
      <c r="E778" s="301">
        <v>53832.7</v>
      </c>
      <c r="F778" s="303">
        <v>43016</v>
      </c>
      <c r="G778" s="301">
        <v>53832.7</v>
      </c>
      <c r="H778" s="301">
        <f>Tabla15[[#This Row],[Importe]]-Tabla15[[#This Row],[Pagado]]</f>
        <v>0</v>
      </c>
      <c r="I778" s="275" t="s">
        <v>15214</v>
      </c>
    </row>
    <row r="779" spans="1:9" x14ac:dyDescent="0.25">
      <c r="A779" s="420">
        <v>43015</v>
      </c>
      <c r="B779" s="302" t="s">
        <v>32426</v>
      </c>
      <c r="C779">
        <v>130342</v>
      </c>
      <c r="D779" s="275" t="s">
        <v>15216</v>
      </c>
      <c r="E779" s="301">
        <v>966</v>
      </c>
      <c r="F779" s="303">
        <v>43015</v>
      </c>
      <c r="G779" s="301">
        <v>966</v>
      </c>
      <c r="H779" s="301">
        <f>Tabla15[[#This Row],[Importe]]-Tabla15[[#This Row],[Pagado]]</f>
        <v>0</v>
      </c>
      <c r="I779" s="275" t="s">
        <v>15214</v>
      </c>
    </row>
    <row r="780" spans="1:9" x14ac:dyDescent="0.25">
      <c r="A780" s="420">
        <v>43015</v>
      </c>
      <c r="B780" s="302" t="s">
        <v>32427</v>
      </c>
      <c r="C780">
        <v>130343</v>
      </c>
      <c r="D780" s="275" t="s">
        <v>15250</v>
      </c>
      <c r="E780" s="301">
        <v>7731.5</v>
      </c>
      <c r="F780" s="303">
        <v>43022</v>
      </c>
      <c r="G780" s="301">
        <v>7731.5</v>
      </c>
      <c r="H780" s="301">
        <f>Tabla15[[#This Row],[Importe]]-Tabla15[[#This Row],[Pagado]]</f>
        <v>0</v>
      </c>
      <c r="I780" s="275" t="s">
        <v>15214</v>
      </c>
    </row>
    <row r="781" spans="1:9" x14ac:dyDescent="0.25">
      <c r="A781" s="420">
        <v>43015</v>
      </c>
      <c r="B781" s="302" t="s">
        <v>32428</v>
      </c>
      <c r="C781">
        <v>130344</v>
      </c>
      <c r="D781" s="275" t="s">
        <v>15220</v>
      </c>
      <c r="E781" s="301">
        <v>5060</v>
      </c>
      <c r="F781" s="303">
        <v>43015</v>
      </c>
      <c r="G781" s="301">
        <v>5060</v>
      </c>
      <c r="H781" s="301">
        <f>Tabla15[[#This Row],[Importe]]-Tabla15[[#This Row],[Pagado]]</f>
        <v>0</v>
      </c>
      <c r="I781" s="275" t="s">
        <v>15214</v>
      </c>
    </row>
    <row r="782" spans="1:9" x14ac:dyDescent="0.25">
      <c r="A782" s="420">
        <v>43015</v>
      </c>
      <c r="B782" s="302" t="s">
        <v>32429</v>
      </c>
      <c r="C782">
        <v>130345</v>
      </c>
      <c r="D782" s="275" t="s">
        <v>19302</v>
      </c>
      <c r="E782" s="301">
        <v>1320</v>
      </c>
      <c r="F782" s="303">
        <v>43015</v>
      </c>
      <c r="G782" s="301">
        <v>1320</v>
      </c>
      <c r="H782" s="301">
        <f>Tabla15[[#This Row],[Importe]]-Tabla15[[#This Row],[Pagado]]</f>
        <v>0</v>
      </c>
      <c r="I782" s="275" t="s">
        <v>15214</v>
      </c>
    </row>
    <row r="783" spans="1:9" x14ac:dyDescent="0.25">
      <c r="A783" s="420">
        <v>43015</v>
      </c>
      <c r="B783" s="302" t="s">
        <v>32430</v>
      </c>
      <c r="C783">
        <v>130346</v>
      </c>
      <c r="D783" s="275" t="s">
        <v>15230</v>
      </c>
      <c r="E783" s="301">
        <v>18924</v>
      </c>
      <c r="F783" s="303">
        <v>43018</v>
      </c>
      <c r="G783" s="301">
        <v>18924</v>
      </c>
      <c r="H783" s="301">
        <f>Tabla15[[#This Row],[Importe]]-Tabla15[[#This Row],[Pagado]]</f>
        <v>0</v>
      </c>
      <c r="I783" s="275" t="s">
        <v>15214</v>
      </c>
    </row>
    <row r="784" spans="1:9" x14ac:dyDescent="0.25">
      <c r="A784" s="420">
        <v>43015</v>
      </c>
      <c r="B784" s="302" t="s">
        <v>32431</v>
      </c>
      <c r="C784">
        <v>130347</v>
      </c>
      <c r="D784" s="275" t="s">
        <v>15232</v>
      </c>
      <c r="E784" s="301">
        <v>11738.2</v>
      </c>
      <c r="F784" s="303">
        <v>43020</v>
      </c>
      <c r="G784" s="301">
        <v>11738.2</v>
      </c>
      <c r="H784" s="301">
        <f>Tabla15[[#This Row],[Importe]]-Tabla15[[#This Row],[Pagado]]</f>
        <v>0</v>
      </c>
      <c r="I784" s="275" t="s">
        <v>15214</v>
      </c>
    </row>
    <row r="785" spans="1:9" x14ac:dyDescent="0.25">
      <c r="A785" s="420">
        <v>43015</v>
      </c>
      <c r="B785" s="302" t="s">
        <v>32432</v>
      </c>
      <c r="C785">
        <v>130348</v>
      </c>
      <c r="D785" s="275" t="s">
        <v>15272</v>
      </c>
      <c r="E785" s="301">
        <v>25231.599999999999</v>
      </c>
      <c r="F785" s="303">
        <v>43015</v>
      </c>
      <c r="G785" s="301">
        <v>25231.599999999999</v>
      </c>
      <c r="H785" s="301">
        <f>Tabla15[[#This Row],[Importe]]-Tabla15[[#This Row],[Pagado]]</f>
        <v>0</v>
      </c>
      <c r="I785" s="275" t="s">
        <v>15214</v>
      </c>
    </row>
    <row r="786" spans="1:9" x14ac:dyDescent="0.25">
      <c r="A786" s="420">
        <v>43015</v>
      </c>
      <c r="B786" s="302" t="s">
        <v>32433</v>
      </c>
      <c r="C786">
        <v>130349</v>
      </c>
      <c r="D786" s="275" t="s">
        <v>15226</v>
      </c>
      <c r="E786" s="301">
        <v>1269</v>
      </c>
      <c r="F786" s="303">
        <v>43017</v>
      </c>
      <c r="G786" s="301">
        <v>1269</v>
      </c>
      <c r="H786" s="301">
        <f>Tabla15[[#This Row],[Importe]]-Tabla15[[#This Row],[Pagado]]</f>
        <v>0</v>
      </c>
      <c r="I786" s="275" t="s">
        <v>15214</v>
      </c>
    </row>
    <row r="787" spans="1:9" x14ac:dyDescent="0.25">
      <c r="A787" s="420">
        <v>43015</v>
      </c>
      <c r="B787" s="302" t="s">
        <v>32434</v>
      </c>
      <c r="C787">
        <v>130350</v>
      </c>
      <c r="D787" s="275" t="s">
        <v>15324</v>
      </c>
      <c r="E787" s="301">
        <v>2240</v>
      </c>
      <c r="F787" s="303">
        <v>43015</v>
      </c>
      <c r="G787" s="301">
        <v>2240</v>
      </c>
      <c r="H787" s="301">
        <f>Tabla15[[#This Row],[Importe]]-Tabla15[[#This Row],[Pagado]]</f>
        <v>0</v>
      </c>
      <c r="I787" s="275" t="s">
        <v>15214</v>
      </c>
    </row>
    <row r="788" spans="1:9" x14ac:dyDescent="0.25">
      <c r="A788" s="420">
        <v>43015</v>
      </c>
      <c r="B788" s="302" t="s">
        <v>32435</v>
      </c>
      <c r="C788">
        <v>130351</v>
      </c>
      <c r="D788" s="275" t="s">
        <v>30057</v>
      </c>
      <c r="E788" s="301">
        <v>6933.8</v>
      </c>
      <c r="F788" s="303">
        <v>43017</v>
      </c>
      <c r="G788" s="301">
        <v>6933.8</v>
      </c>
      <c r="H788" s="301">
        <f>Tabla15[[#This Row],[Importe]]-Tabla15[[#This Row],[Pagado]]</f>
        <v>0</v>
      </c>
      <c r="I788" s="275" t="s">
        <v>15214</v>
      </c>
    </row>
    <row r="789" spans="1:9" x14ac:dyDescent="0.25">
      <c r="A789" s="420">
        <v>43015</v>
      </c>
      <c r="B789" s="302" t="s">
        <v>32436</v>
      </c>
      <c r="C789">
        <v>130352</v>
      </c>
      <c r="D789" s="275" t="s">
        <v>15258</v>
      </c>
      <c r="E789" s="301">
        <v>19161.900000000001</v>
      </c>
      <c r="F789" s="303">
        <v>43018</v>
      </c>
      <c r="G789" s="301">
        <v>19161.900000000001</v>
      </c>
      <c r="H789" s="301">
        <f>Tabla15[[#This Row],[Importe]]-Tabla15[[#This Row],[Pagado]]</f>
        <v>0</v>
      </c>
      <c r="I789" s="275" t="s">
        <v>15214</v>
      </c>
    </row>
    <row r="790" spans="1:9" x14ac:dyDescent="0.25">
      <c r="A790" s="420">
        <v>43015</v>
      </c>
      <c r="B790" s="302" t="s">
        <v>32437</v>
      </c>
      <c r="C790">
        <v>130353</v>
      </c>
      <c r="D790" s="275" t="s">
        <v>15480</v>
      </c>
      <c r="E790" s="301">
        <v>17160.599999999999</v>
      </c>
      <c r="F790" s="303">
        <v>43018</v>
      </c>
      <c r="G790" s="301">
        <v>17160.599999999999</v>
      </c>
      <c r="H790" s="301">
        <f>Tabla15[[#This Row],[Importe]]-Tabla15[[#This Row],[Pagado]]</f>
        <v>0</v>
      </c>
      <c r="I790" s="275" t="s">
        <v>15214</v>
      </c>
    </row>
    <row r="791" spans="1:9" x14ac:dyDescent="0.25">
      <c r="A791" s="420">
        <v>43015</v>
      </c>
      <c r="B791" s="302" t="s">
        <v>32438</v>
      </c>
      <c r="C791">
        <v>130354</v>
      </c>
      <c r="D791" s="275" t="s">
        <v>5575</v>
      </c>
      <c r="E791" s="301">
        <v>3145</v>
      </c>
      <c r="F791" s="303">
        <v>43019</v>
      </c>
      <c r="G791" s="301">
        <v>3145</v>
      </c>
      <c r="H791" s="301">
        <f>Tabla15[[#This Row],[Importe]]-Tabla15[[#This Row],[Pagado]]</f>
        <v>0</v>
      </c>
      <c r="I791" s="275" t="s">
        <v>15214</v>
      </c>
    </row>
    <row r="792" spans="1:9" x14ac:dyDescent="0.25">
      <c r="A792" s="420">
        <v>43015</v>
      </c>
      <c r="B792" s="302" t="s">
        <v>32439</v>
      </c>
      <c r="C792">
        <v>130355</v>
      </c>
      <c r="D792" s="275" t="s">
        <v>15307</v>
      </c>
      <c r="E792" s="301">
        <v>18339.400000000001</v>
      </c>
      <c r="F792" s="303">
        <v>43015</v>
      </c>
      <c r="G792" s="301">
        <v>18339.400000000001</v>
      </c>
      <c r="H792" s="301">
        <f>Tabla15[[#This Row],[Importe]]-Tabla15[[#This Row],[Pagado]]</f>
        <v>0</v>
      </c>
      <c r="I792" s="275" t="s">
        <v>15214</v>
      </c>
    </row>
    <row r="793" spans="1:9" x14ac:dyDescent="0.25">
      <c r="A793" s="420">
        <v>43015</v>
      </c>
      <c r="B793" s="302" t="s">
        <v>32440</v>
      </c>
      <c r="C793">
        <v>130356</v>
      </c>
      <c r="D793" s="275" t="s">
        <v>15596</v>
      </c>
      <c r="E793" s="301">
        <v>1100</v>
      </c>
      <c r="F793" s="303">
        <v>43015</v>
      </c>
      <c r="G793" s="301">
        <v>1100</v>
      </c>
      <c r="H793" s="301">
        <f>Tabla15[[#This Row],[Importe]]-Tabla15[[#This Row],[Pagado]]</f>
        <v>0</v>
      </c>
      <c r="I793" s="275" t="s">
        <v>15214</v>
      </c>
    </row>
    <row r="794" spans="1:9" x14ac:dyDescent="0.25">
      <c r="A794" s="420">
        <v>43015</v>
      </c>
      <c r="B794" s="302" t="s">
        <v>32441</v>
      </c>
      <c r="C794">
        <v>130357</v>
      </c>
      <c r="D794" s="275" t="s">
        <v>15480</v>
      </c>
      <c r="E794" s="301">
        <v>6504.4</v>
      </c>
      <c r="F794" s="303">
        <v>43018</v>
      </c>
      <c r="G794" s="301">
        <v>6504.4</v>
      </c>
      <c r="H794" s="301">
        <f>Tabla15[[#This Row],[Importe]]-Tabla15[[#This Row],[Pagado]]</f>
        <v>0</v>
      </c>
      <c r="I794" s="275" t="s">
        <v>15214</v>
      </c>
    </row>
    <row r="795" spans="1:9" x14ac:dyDescent="0.25">
      <c r="A795" s="420">
        <v>43015</v>
      </c>
      <c r="B795" s="302" t="s">
        <v>32442</v>
      </c>
      <c r="C795">
        <v>130358</v>
      </c>
      <c r="D795" s="275" t="s">
        <v>5575</v>
      </c>
      <c r="E795" s="301">
        <v>6996.8</v>
      </c>
      <c r="F795" s="303">
        <v>43017</v>
      </c>
      <c r="G795" s="301">
        <v>6996.8</v>
      </c>
      <c r="H795" s="301">
        <f>Tabla15[[#This Row],[Importe]]-Tabla15[[#This Row],[Pagado]]</f>
        <v>0</v>
      </c>
      <c r="I795" s="275" t="s">
        <v>15214</v>
      </c>
    </row>
    <row r="796" spans="1:9" ht="30" x14ac:dyDescent="0.25">
      <c r="A796" s="420">
        <v>43015</v>
      </c>
      <c r="B796" s="302" t="s">
        <v>32443</v>
      </c>
      <c r="C796">
        <v>130359</v>
      </c>
      <c r="D796" s="275" t="s">
        <v>19780</v>
      </c>
      <c r="E796" s="301">
        <v>28601</v>
      </c>
      <c r="F796" s="303" t="s">
        <v>32142</v>
      </c>
      <c r="G796" s="305">
        <f>10000+18601</f>
        <v>28601</v>
      </c>
      <c r="H796" s="305">
        <f>Tabla15[[#This Row],[Importe]]-Tabla15[[#This Row],[Pagado]]</f>
        <v>0</v>
      </c>
      <c r="I796" s="275" t="s">
        <v>15214</v>
      </c>
    </row>
    <row r="797" spans="1:9" ht="30" x14ac:dyDescent="0.25">
      <c r="A797" s="420">
        <v>43015</v>
      </c>
      <c r="B797" s="302" t="s">
        <v>32444</v>
      </c>
      <c r="C797">
        <v>130360</v>
      </c>
      <c r="D797" s="275" t="s">
        <v>15234</v>
      </c>
      <c r="E797" s="301">
        <v>9679.2000000000007</v>
      </c>
      <c r="F797" s="303" t="s">
        <v>32445</v>
      </c>
      <c r="G797" s="305">
        <f>8000+1679.2</f>
        <v>9679.2000000000007</v>
      </c>
      <c r="H797" s="305">
        <f>Tabla15[[#This Row],[Importe]]-Tabla15[[#This Row],[Pagado]]</f>
        <v>0</v>
      </c>
      <c r="I797" s="275" t="s">
        <v>15214</v>
      </c>
    </row>
    <row r="798" spans="1:9" x14ac:dyDescent="0.25">
      <c r="A798" s="420">
        <v>43015</v>
      </c>
      <c r="B798" s="302" t="s">
        <v>32446</v>
      </c>
      <c r="C798">
        <v>130361</v>
      </c>
      <c r="D798" s="275" t="s">
        <v>15668</v>
      </c>
      <c r="E798" s="301">
        <v>21748.400000000001</v>
      </c>
      <c r="F798" s="303">
        <v>43017</v>
      </c>
      <c r="G798" s="301">
        <v>21748.400000000001</v>
      </c>
      <c r="H798" s="301">
        <f>Tabla15[[#This Row],[Importe]]-Tabla15[[#This Row],[Pagado]]</f>
        <v>0</v>
      </c>
      <c r="I798" s="275" t="s">
        <v>15214</v>
      </c>
    </row>
    <row r="799" spans="1:9" x14ac:dyDescent="0.25">
      <c r="A799" s="420">
        <v>43015</v>
      </c>
      <c r="B799" s="302" t="s">
        <v>32447</v>
      </c>
      <c r="C799">
        <v>130362</v>
      </c>
      <c r="D799" s="275" t="s">
        <v>15681</v>
      </c>
      <c r="E799" s="301">
        <v>2760</v>
      </c>
      <c r="F799" s="303">
        <v>43015</v>
      </c>
      <c r="G799" s="301">
        <v>2760</v>
      </c>
      <c r="H799" s="301">
        <f>Tabla15[[#This Row],[Importe]]-Tabla15[[#This Row],[Pagado]]</f>
        <v>0</v>
      </c>
      <c r="I799" s="275" t="s">
        <v>15214</v>
      </c>
    </row>
    <row r="800" spans="1:9" x14ac:dyDescent="0.25">
      <c r="A800" s="420">
        <v>43015</v>
      </c>
      <c r="B800" s="302" t="s">
        <v>32448</v>
      </c>
      <c r="C800">
        <v>130363</v>
      </c>
      <c r="D800" s="275" t="s">
        <v>15238</v>
      </c>
      <c r="E800" s="301">
        <v>7794.6</v>
      </c>
      <c r="F800" s="303">
        <v>43018</v>
      </c>
      <c r="G800" s="301">
        <v>7794.6</v>
      </c>
      <c r="H800" s="301">
        <f>Tabla15[[#This Row],[Importe]]-Tabla15[[#This Row],[Pagado]]</f>
        <v>0</v>
      </c>
      <c r="I800" s="275" t="s">
        <v>15214</v>
      </c>
    </row>
    <row r="801" spans="1:9" x14ac:dyDescent="0.25">
      <c r="A801" s="420">
        <v>43015</v>
      </c>
      <c r="B801" s="302" t="s">
        <v>32449</v>
      </c>
      <c r="C801">
        <v>130364</v>
      </c>
      <c r="D801" s="275" t="s">
        <v>15681</v>
      </c>
      <c r="E801" s="301">
        <v>70</v>
      </c>
      <c r="F801" s="303">
        <v>43015</v>
      </c>
      <c r="G801" s="301">
        <v>70</v>
      </c>
      <c r="H801" s="301">
        <f>Tabla15[[#This Row],[Importe]]-Tabla15[[#This Row],[Pagado]]</f>
        <v>0</v>
      </c>
      <c r="I801" s="275" t="s">
        <v>15214</v>
      </c>
    </row>
    <row r="802" spans="1:9" x14ac:dyDescent="0.25">
      <c r="A802" s="420">
        <v>43015</v>
      </c>
      <c r="B802" s="302" t="s">
        <v>32450</v>
      </c>
      <c r="C802">
        <v>130365</v>
      </c>
      <c r="D802" s="275" t="s">
        <v>15236</v>
      </c>
      <c r="E802" s="301">
        <v>9421.9</v>
      </c>
      <c r="F802" s="303">
        <v>43018</v>
      </c>
      <c r="G802" s="301">
        <v>9421.9</v>
      </c>
      <c r="H802" s="301">
        <f>Tabla15[[#This Row],[Importe]]-Tabla15[[#This Row],[Pagado]]</f>
        <v>0</v>
      </c>
      <c r="I802" s="275" t="s">
        <v>15214</v>
      </c>
    </row>
    <row r="803" spans="1:9" ht="45" x14ac:dyDescent="0.25">
      <c r="A803" s="420">
        <v>43015</v>
      </c>
      <c r="B803" s="302" t="s">
        <v>32451</v>
      </c>
      <c r="C803">
        <v>130366</v>
      </c>
      <c r="D803" s="275" t="s">
        <v>15256</v>
      </c>
      <c r="E803" s="301">
        <v>12843.6</v>
      </c>
      <c r="F803" s="303" t="s">
        <v>32452</v>
      </c>
      <c r="G803" s="305">
        <f>1800+5450+5593.6</f>
        <v>12843.6</v>
      </c>
      <c r="H803" s="305">
        <f>Tabla15[[#This Row],[Importe]]-Tabla15[[#This Row],[Pagado]]</f>
        <v>0</v>
      </c>
      <c r="I803" s="275" t="s">
        <v>15214</v>
      </c>
    </row>
    <row r="804" spans="1:9" x14ac:dyDescent="0.25">
      <c r="A804" s="420">
        <v>43015</v>
      </c>
      <c r="B804" s="302" t="s">
        <v>32453</v>
      </c>
      <c r="C804">
        <v>130367</v>
      </c>
      <c r="D804" s="275" t="s">
        <v>15242</v>
      </c>
      <c r="E804" s="301">
        <v>8800</v>
      </c>
      <c r="F804" s="303">
        <v>43015</v>
      </c>
      <c r="G804" s="301">
        <v>8800</v>
      </c>
      <c r="H804" s="301">
        <f>Tabla15[[#This Row],[Importe]]-Tabla15[[#This Row],[Pagado]]</f>
        <v>0</v>
      </c>
      <c r="I804" s="275" t="s">
        <v>15214</v>
      </c>
    </row>
    <row r="805" spans="1:9" x14ac:dyDescent="0.25">
      <c r="A805" s="420">
        <v>43015</v>
      </c>
      <c r="B805" s="302" t="s">
        <v>32454</v>
      </c>
      <c r="C805">
        <v>130368</v>
      </c>
      <c r="D805" s="275" t="s">
        <v>15523</v>
      </c>
      <c r="E805" s="301">
        <v>4400</v>
      </c>
      <c r="F805" s="303">
        <v>43015</v>
      </c>
      <c r="G805" s="301">
        <v>4400</v>
      </c>
      <c r="H805" s="301">
        <f>Tabla15[[#This Row],[Importe]]-Tabla15[[#This Row],[Pagado]]</f>
        <v>0</v>
      </c>
      <c r="I805" s="275" t="s">
        <v>15214</v>
      </c>
    </row>
    <row r="806" spans="1:9" x14ac:dyDescent="0.25">
      <c r="A806" s="420">
        <v>43015</v>
      </c>
      <c r="B806" s="302" t="s">
        <v>32455</v>
      </c>
      <c r="C806">
        <v>130369</v>
      </c>
      <c r="D806" s="275" t="s">
        <v>15858</v>
      </c>
      <c r="E806" s="301">
        <v>3022.64</v>
      </c>
      <c r="F806" s="303">
        <v>43015</v>
      </c>
      <c r="G806" s="301">
        <v>3022.64</v>
      </c>
      <c r="H806" s="301">
        <f>Tabla15[[#This Row],[Importe]]-Tabla15[[#This Row],[Pagado]]</f>
        <v>0</v>
      </c>
      <c r="I806" s="275" t="s">
        <v>15214</v>
      </c>
    </row>
    <row r="807" spans="1:9" x14ac:dyDescent="0.25">
      <c r="A807" s="420">
        <v>43015</v>
      </c>
      <c r="B807" s="302" t="s">
        <v>32456</v>
      </c>
      <c r="C807">
        <v>130370</v>
      </c>
      <c r="D807" s="275" t="s">
        <v>15438</v>
      </c>
      <c r="E807" s="301">
        <v>2323.3000000000002</v>
      </c>
      <c r="F807" s="303">
        <v>43015</v>
      </c>
      <c r="G807" s="301">
        <v>2323.3000000000002</v>
      </c>
      <c r="H807" s="301">
        <f>Tabla15[[#This Row],[Importe]]-Tabla15[[#This Row],[Pagado]]</f>
        <v>0</v>
      </c>
      <c r="I807" s="275" t="s">
        <v>15214</v>
      </c>
    </row>
    <row r="808" spans="1:9" x14ac:dyDescent="0.25">
      <c r="A808" s="420">
        <v>43015</v>
      </c>
      <c r="B808" s="302" t="s">
        <v>32457</v>
      </c>
      <c r="C808">
        <v>130371</v>
      </c>
      <c r="D808" s="275" t="s">
        <v>15356</v>
      </c>
      <c r="E808" s="301">
        <v>2852</v>
      </c>
      <c r="F808" s="303">
        <v>43015</v>
      </c>
      <c r="G808" s="301">
        <v>2852</v>
      </c>
      <c r="H808" s="301">
        <f>Tabla15[[#This Row],[Importe]]-Tabla15[[#This Row],[Pagado]]</f>
        <v>0</v>
      </c>
      <c r="I808" s="275" t="s">
        <v>15214</v>
      </c>
    </row>
    <row r="809" spans="1:9" x14ac:dyDescent="0.25">
      <c r="A809" s="420">
        <v>43015</v>
      </c>
      <c r="B809" s="302" t="s">
        <v>32458</v>
      </c>
      <c r="C809">
        <v>130372</v>
      </c>
      <c r="D809" s="275" t="s">
        <v>15757</v>
      </c>
      <c r="E809" s="301">
        <v>3920</v>
      </c>
      <c r="F809" s="303">
        <v>43015</v>
      </c>
      <c r="G809" s="301">
        <v>3920</v>
      </c>
      <c r="H809" s="301">
        <f>Tabla15[[#This Row],[Importe]]-Tabla15[[#This Row],[Pagado]]</f>
        <v>0</v>
      </c>
      <c r="I809" s="275" t="s">
        <v>15214</v>
      </c>
    </row>
    <row r="810" spans="1:9" x14ac:dyDescent="0.25">
      <c r="A810" s="420">
        <v>43015</v>
      </c>
      <c r="B810" s="302" t="s">
        <v>32459</v>
      </c>
      <c r="C810">
        <v>130373</v>
      </c>
      <c r="D810" s="275" t="s">
        <v>15336</v>
      </c>
      <c r="E810" s="301">
        <v>9812.6</v>
      </c>
      <c r="F810" s="303">
        <v>43015</v>
      </c>
      <c r="G810" s="301">
        <v>9812.6</v>
      </c>
      <c r="H810" s="301">
        <f>Tabla15[[#This Row],[Importe]]-Tabla15[[#This Row],[Pagado]]</f>
        <v>0</v>
      </c>
      <c r="I810" s="275" t="s">
        <v>15214</v>
      </c>
    </row>
    <row r="811" spans="1:9" x14ac:dyDescent="0.25">
      <c r="A811" s="420">
        <v>43015</v>
      </c>
      <c r="B811" s="302" t="s">
        <v>32460</v>
      </c>
      <c r="C811">
        <v>130374</v>
      </c>
      <c r="D811" s="275" t="s">
        <v>15263</v>
      </c>
      <c r="E811" s="301">
        <v>2155.5</v>
      </c>
      <c r="F811" s="303">
        <v>43015</v>
      </c>
      <c r="G811" s="301">
        <v>2155.5</v>
      </c>
      <c r="H811" s="301">
        <f>Tabla15[[#This Row],[Importe]]-Tabla15[[#This Row],[Pagado]]</f>
        <v>0</v>
      </c>
      <c r="I811" s="275" t="s">
        <v>15214</v>
      </c>
    </row>
    <row r="812" spans="1:9" x14ac:dyDescent="0.25">
      <c r="A812" s="420">
        <v>43015</v>
      </c>
      <c r="B812" s="302" t="s">
        <v>32461</v>
      </c>
      <c r="C812">
        <v>130375</v>
      </c>
      <c r="D812" s="275" t="s">
        <v>15348</v>
      </c>
      <c r="E812" s="301">
        <v>2792.2</v>
      </c>
      <c r="F812" s="303">
        <v>43017</v>
      </c>
      <c r="G812" s="301">
        <v>2792.2</v>
      </c>
      <c r="H812" s="301">
        <f>Tabla15[[#This Row],[Importe]]-Tabla15[[#This Row],[Pagado]]</f>
        <v>0</v>
      </c>
      <c r="I812" s="275" t="s">
        <v>15214</v>
      </c>
    </row>
    <row r="813" spans="1:9" x14ac:dyDescent="0.25">
      <c r="A813" s="420">
        <v>43015</v>
      </c>
      <c r="B813" s="302" t="s">
        <v>32462</v>
      </c>
      <c r="C813">
        <v>130376</v>
      </c>
      <c r="D813" s="275" t="s">
        <v>15284</v>
      </c>
      <c r="E813" s="301">
        <v>1616.8</v>
      </c>
      <c r="F813" s="303">
        <v>43015</v>
      </c>
      <c r="G813" s="301">
        <v>1616.8</v>
      </c>
      <c r="H813" s="301">
        <f>Tabla15[[#This Row],[Importe]]-Tabla15[[#This Row],[Pagado]]</f>
        <v>0</v>
      </c>
      <c r="I813" s="275" t="s">
        <v>15214</v>
      </c>
    </row>
    <row r="814" spans="1:9" x14ac:dyDescent="0.25">
      <c r="A814" s="420">
        <v>43015</v>
      </c>
      <c r="B814" s="302" t="s">
        <v>32463</v>
      </c>
      <c r="C814">
        <v>130377</v>
      </c>
      <c r="D814" s="275" t="s">
        <v>15371</v>
      </c>
      <c r="E814" s="301">
        <v>4338.8</v>
      </c>
      <c r="F814" s="303">
        <v>43016</v>
      </c>
      <c r="G814" s="301">
        <v>4338.8</v>
      </c>
      <c r="H814" s="301">
        <f>Tabla15[[#This Row],[Importe]]-Tabla15[[#This Row],[Pagado]]</f>
        <v>0</v>
      </c>
      <c r="I814" s="275" t="s">
        <v>15214</v>
      </c>
    </row>
    <row r="815" spans="1:9" x14ac:dyDescent="0.25">
      <c r="A815" s="420">
        <v>43015</v>
      </c>
      <c r="B815" s="302" t="s">
        <v>32464</v>
      </c>
      <c r="C815">
        <v>130378</v>
      </c>
      <c r="D815" s="275" t="s">
        <v>15240</v>
      </c>
      <c r="E815" s="301">
        <v>896.4</v>
      </c>
      <c r="F815" s="303">
        <v>43017</v>
      </c>
      <c r="G815" s="301">
        <v>896.4</v>
      </c>
      <c r="H815" s="301">
        <f>Tabla15[[#This Row],[Importe]]-Tabla15[[#This Row],[Pagado]]</f>
        <v>0</v>
      </c>
      <c r="I815" s="275" t="s">
        <v>15214</v>
      </c>
    </row>
    <row r="816" spans="1:9" x14ac:dyDescent="0.25">
      <c r="A816" s="420">
        <v>43015</v>
      </c>
      <c r="B816" s="302" t="s">
        <v>32465</v>
      </c>
      <c r="C816">
        <v>130379</v>
      </c>
      <c r="D816" s="275" t="s">
        <v>15714</v>
      </c>
      <c r="E816" s="301">
        <v>700</v>
      </c>
      <c r="F816" s="303">
        <v>43015</v>
      </c>
      <c r="G816" s="301">
        <v>700</v>
      </c>
      <c r="H816" s="301">
        <f>Tabla15[[#This Row],[Importe]]-Tabla15[[#This Row],[Pagado]]</f>
        <v>0</v>
      </c>
      <c r="I816" s="275" t="s">
        <v>15214</v>
      </c>
    </row>
    <row r="817" spans="1:9" x14ac:dyDescent="0.25">
      <c r="A817" s="420">
        <v>43015</v>
      </c>
      <c r="B817" s="302" t="s">
        <v>32466</v>
      </c>
      <c r="C817">
        <v>130380</v>
      </c>
      <c r="D817" s="275" t="s">
        <v>15742</v>
      </c>
      <c r="E817" s="301">
        <v>1755</v>
      </c>
      <c r="F817" s="303">
        <v>43015</v>
      </c>
      <c r="G817" s="301">
        <v>1755</v>
      </c>
      <c r="H817" s="301">
        <f>Tabla15[[#This Row],[Importe]]-Tabla15[[#This Row],[Pagado]]</f>
        <v>0</v>
      </c>
      <c r="I817" s="275" t="s">
        <v>15214</v>
      </c>
    </row>
    <row r="818" spans="1:9" x14ac:dyDescent="0.25">
      <c r="A818" s="420">
        <v>43015</v>
      </c>
      <c r="B818" s="302" t="s">
        <v>32467</v>
      </c>
      <c r="C818">
        <v>130381</v>
      </c>
      <c r="D818" s="275" t="s">
        <v>15526</v>
      </c>
      <c r="E818" s="301">
        <v>3997.4</v>
      </c>
      <c r="F818" s="303">
        <v>43015</v>
      </c>
      <c r="G818" s="301">
        <v>3997.4</v>
      </c>
      <c r="H818" s="301">
        <f>Tabla15[[#This Row],[Importe]]-Tabla15[[#This Row],[Pagado]]</f>
        <v>0</v>
      </c>
      <c r="I818" s="275" t="s">
        <v>15214</v>
      </c>
    </row>
    <row r="819" spans="1:9" x14ac:dyDescent="0.25">
      <c r="A819" s="420">
        <v>43015</v>
      </c>
      <c r="B819" s="302" t="s">
        <v>32468</v>
      </c>
      <c r="C819">
        <v>130382</v>
      </c>
      <c r="D819" s="275" t="s">
        <v>15344</v>
      </c>
      <c r="E819" s="301">
        <v>2005.6</v>
      </c>
      <c r="F819" s="303">
        <v>43015</v>
      </c>
      <c r="G819" s="301">
        <v>2005.6</v>
      </c>
      <c r="H819" s="301">
        <f>Tabla15[[#This Row],[Importe]]-Tabla15[[#This Row],[Pagado]]</f>
        <v>0</v>
      </c>
      <c r="I819" s="275" t="s">
        <v>15214</v>
      </c>
    </row>
    <row r="820" spans="1:9" x14ac:dyDescent="0.25">
      <c r="A820" s="420">
        <v>43015</v>
      </c>
      <c r="B820" s="302" t="s">
        <v>32469</v>
      </c>
      <c r="C820">
        <v>130383</v>
      </c>
      <c r="D820" s="275" t="s">
        <v>15358</v>
      </c>
      <c r="E820" s="301">
        <v>2932.6</v>
      </c>
      <c r="F820" s="303">
        <v>43015</v>
      </c>
      <c r="G820" s="301">
        <v>2932.6</v>
      </c>
      <c r="H820" s="301">
        <f>Tabla15[[#This Row],[Importe]]-Tabla15[[#This Row],[Pagado]]</f>
        <v>0</v>
      </c>
      <c r="I820" s="275" t="s">
        <v>15214</v>
      </c>
    </row>
    <row r="821" spans="1:9" x14ac:dyDescent="0.25">
      <c r="A821" s="420">
        <v>43015</v>
      </c>
      <c r="B821" s="302" t="s">
        <v>32470</v>
      </c>
      <c r="C821">
        <v>130384</v>
      </c>
      <c r="D821" s="275" t="s">
        <v>15334</v>
      </c>
      <c r="E821" s="301">
        <v>3404</v>
      </c>
      <c r="F821" s="303">
        <v>43015</v>
      </c>
      <c r="G821" s="301">
        <v>3404</v>
      </c>
      <c r="H821" s="301">
        <f>Tabla15[[#This Row],[Importe]]-Tabla15[[#This Row],[Pagado]]</f>
        <v>0</v>
      </c>
      <c r="I821" s="275" t="s">
        <v>15214</v>
      </c>
    </row>
    <row r="822" spans="1:9" x14ac:dyDescent="0.25">
      <c r="A822" s="420">
        <v>43015</v>
      </c>
      <c r="B822" s="302" t="s">
        <v>32471</v>
      </c>
      <c r="C822">
        <v>130385</v>
      </c>
      <c r="D822" s="275" t="s">
        <v>15748</v>
      </c>
      <c r="E822" s="301">
        <v>421.1</v>
      </c>
      <c r="F822" s="303">
        <v>43015</v>
      </c>
      <c r="G822" s="301">
        <v>421.1</v>
      </c>
      <c r="H822" s="301">
        <f>Tabla15[[#This Row],[Importe]]-Tabla15[[#This Row],[Pagado]]</f>
        <v>0</v>
      </c>
      <c r="I822" s="275" t="s">
        <v>15214</v>
      </c>
    </row>
    <row r="823" spans="1:9" x14ac:dyDescent="0.25">
      <c r="A823" s="420">
        <v>43015</v>
      </c>
      <c r="B823" s="302" t="s">
        <v>32472</v>
      </c>
      <c r="C823">
        <v>130386</v>
      </c>
      <c r="D823" s="275" t="s">
        <v>17462</v>
      </c>
      <c r="E823" s="301">
        <v>5450.8</v>
      </c>
      <c r="F823" s="303">
        <v>43015</v>
      </c>
      <c r="G823" s="301">
        <v>5450.8</v>
      </c>
      <c r="H823" s="301">
        <f>Tabla15[[#This Row],[Importe]]-Tabla15[[#This Row],[Pagado]]</f>
        <v>0</v>
      </c>
      <c r="I823" s="275" t="s">
        <v>15214</v>
      </c>
    </row>
    <row r="824" spans="1:9" x14ac:dyDescent="0.25">
      <c r="A824" s="420">
        <v>43015</v>
      </c>
      <c r="B824" s="302" t="s">
        <v>32473</v>
      </c>
      <c r="C824">
        <v>130387</v>
      </c>
      <c r="D824" s="275" t="s">
        <v>15861</v>
      </c>
      <c r="E824" s="301">
        <v>2092.3000000000002</v>
      </c>
      <c r="F824" s="303">
        <v>43015</v>
      </c>
      <c r="G824" s="301">
        <v>2092.3000000000002</v>
      </c>
      <c r="H824" s="301">
        <f>Tabla15[[#This Row],[Importe]]-Tabla15[[#This Row],[Pagado]]</f>
        <v>0</v>
      </c>
      <c r="I824" s="275" t="s">
        <v>15214</v>
      </c>
    </row>
    <row r="825" spans="1:9" x14ac:dyDescent="0.25">
      <c r="A825" s="420">
        <v>43015</v>
      </c>
      <c r="B825" s="302" t="s">
        <v>32474</v>
      </c>
      <c r="C825">
        <v>130388</v>
      </c>
      <c r="D825" s="275" t="s">
        <v>15336</v>
      </c>
      <c r="E825" s="301">
        <v>1346.4</v>
      </c>
      <c r="F825" s="303">
        <v>43015</v>
      </c>
      <c r="G825" s="301">
        <v>1346.4</v>
      </c>
      <c r="H825" s="301">
        <f>Tabla15[[#This Row],[Importe]]-Tabla15[[#This Row],[Pagado]]</f>
        <v>0</v>
      </c>
      <c r="I825" s="275" t="s">
        <v>15214</v>
      </c>
    </row>
    <row r="826" spans="1:9" x14ac:dyDescent="0.25">
      <c r="A826" s="420">
        <v>43015</v>
      </c>
      <c r="B826" s="302" t="s">
        <v>32475</v>
      </c>
      <c r="C826">
        <v>130389</v>
      </c>
      <c r="D826" s="275" t="s">
        <v>15261</v>
      </c>
      <c r="E826" s="301">
        <v>6169.8</v>
      </c>
      <c r="F826" s="303">
        <v>43015</v>
      </c>
      <c r="G826" s="301">
        <v>6169.8</v>
      </c>
      <c r="H826" s="301">
        <f>Tabla15[[#This Row],[Importe]]-Tabla15[[#This Row],[Pagado]]</f>
        <v>0</v>
      </c>
      <c r="I826" s="275" t="s">
        <v>15214</v>
      </c>
    </row>
    <row r="827" spans="1:9" x14ac:dyDescent="0.25">
      <c r="A827" s="420">
        <v>43015</v>
      </c>
      <c r="B827" s="302" t="s">
        <v>32476</v>
      </c>
      <c r="C827">
        <v>130390</v>
      </c>
      <c r="D827" s="275" t="s">
        <v>15261</v>
      </c>
      <c r="E827" s="301">
        <v>13462.6</v>
      </c>
      <c r="F827" s="303">
        <v>43015</v>
      </c>
      <c r="G827" s="301">
        <v>13462.6</v>
      </c>
      <c r="H827" s="301">
        <f>Tabla15[[#This Row],[Importe]]-Tabla15[[#This Row],[Pagado]]</f>
        <v>0</v>
      </c>
      <c r="I827" s="275" t="s">
        <v>15214</v>
      </c>
    </row>
    <row r="828" spans="1:9" x14ac:dyDescent="0.25">
      <c r="A828" s="420">
        <v>43015</v>
      </c>
      <c r="B828" s="302" t="s">
        <v>32477</v>
      </c>
      <c r="C828">
        <v>130391</v>
      </c>
      <c r="D828" s="275" t="s">
        <v>15248</v>
      </c>
      <c r="E828" s="301">
        <v>31186.3</v>
      </c>
      <c r="F828" s="303">
        <v>43015</v>
      </c>
      <c r="G828" s="301">
        <v>31186.3</v>
      </c>
      <c r="H828" s="301">
        <f>Tabla15[[#This Row],[Importe]]-Tabla15[[#This Row],[Pagado]]</f>
        <v>0</v>
      </c>
      <c r="I828" s="275" t="s">
        <v>15214</v>
      </c>
    </row>
    <row r="829" spans="1:9" x14ac:dyDescent="0.25">
      <c r="A829" s="420">
        <v>43015</v>
      </c>
      <c r="B829" s="302" t="s">
        <v>32478</v>
      </c>
      <c r="C829">
        <v>130392</v>
      </c>
      <c r="D829" s="275" t="s">
        <v>15276</v>
      </c>
      <c r="E829" s="301">
        <v>5280</v>
      </c>
      <c r="F829" s="303">
        <v>43015</v>
      </c>
      <c r="G829" s="301">
        <v>5280</v>
      </c>
      <c r="H829" s="301">
        <f>Tabla15[[#This Row],[Importe]]-Tabla15[[#This Row],[Pagado]]</f>
        <v>0</v>
      </c>
      <c r="I829" s="275" t="s">
        <v>15214</v>
      </c>
    </row>
    <row r="830" spans="1:9" x14ac:dyDescent="0.25">
      <c r="A830" s="420">
        <v>43015</v>
      </c>
      <c r="B830" s="302" t="s">
        <v>32479</v>
      </c>
      <c r="C830">
        <v>130393</v>
      </c>
      <c r="D830" s="275" t="s">
        <v>15291</v>
      </c>
      <c r="E830" s="301">
        <v>880</v>
      </c>
      <c r="F830" s="303">
        <v>43015</v>
      </c>
      <c r="G830" s="301">
        <v>880</v>
      </c>
      <c r="H830" s="301">
        <f>Tabla15[[#This Row],[Importe]]-Tabla15[[#This Row],[Pagado]]</f>
        <v>0</v>
      </c>
      <c r="I830" s="275" t="s">
        <v>15214</v>
      </c>
    </row>
    <row r="831" spans="1:9" x14ac:dyDescent="0.25">
      <c r="A831" s="420">
        <v>43015</v>
      </c>
      <c r="B831" s="302" t="s">
        <v>32480</v>
      </c>
      <c r="C831">
        <v>130394</v>
      </c>
      <c r="D831" s="275" t="s">
        <v>15782</v>
      </c>
      <c r="E831" s="301">
        <v>1377.6</v>
      </c>
      <c r="F831" s="303">
        <v>43015</v>
      </c>
      <c r="G831" s="301">
        <v>1377.6</v>
      </c>
      <c r="H831" s="301">
        <f>Tabla15[[#This Row],[Importe]]-Tabla15[[#This Row],[Pagado]]</f>
        <v>0</v>
      </c>
      <c r="I831" s="275" t="s">
        <v>15214</v>
      </c>
    </row>
    <row r="832" spans="1:9" x14ac:dyDescent="0.25">
      <c r="A832" s="420">
        <v>43015</v>
      </c>
      <c r="B832" s="302" t="s">
        <v>32481</v>
      </c>
      <c r="C832">
        <v>130395</v>
      </c>
      <c r="D832" s="275" t="s">
        <v>15352</v>
      </c>
      <c r="E832" s="301">
        <v>322</v>
      </c>
      <c r="F832" s="303">
        <v>43015</v>
      </c>
      <c r="G832" s="301">
        <v>322</v>
      </c>
      <c r="H832" s="301">
        <f>Tabla15[[#This Row],[Importe]]-Tabla15[[#This Row],[Pagado]]</f>
        <v>0</v>
      </c>
      <c r="I832" s="275" t="s">
        <v>15214</v>
      </c>
    </row>
    <row r="833" spans="1:9" x14ac:dyDescent="0.25">
      <c r="A833" s="420">
        <v>43015</v>
      </c>
      <c r="B833" s="302" t="s">
        <v>32482</v>
      </c>
      <c r="C833">
        <v>130396</v>
      </c>
      <c r="D833" s="275" t="s">
        <v>15417</v>
      </c>
      <c r="E833" s="301">
        <v>3452.9</v>
      </c>
      <c r="F833" s="303">
        <v>43015</v>
      </c>
      <c r="G833" s="301">
        <v>3452.9</v>
      </c>
      <c r="H833" s="301">
        <f>Tabla15[[#This Row],[Importe]]-Tabla15[[#This Row],[Pagado]]</f>
        <v>0</v>
      </c>
      <c r="I833" s="275" t="s">
        <v>15214</v>
      </c>
    </row>
    <row r="834" spans="1:9" x14ac:dyDescent="0.25">
      <c r="A834" s="420">
        <v>43015</v>
      </c>
      <c r="B834" s="302" t="s">
        <v>32483</v>
      </c>
      <c r="C834">
        <v>130397</v>
      </c>
      <c r="D834" s="275" t="s">
        <v>16277</v>
      </c>
      <c r="E834" s="301">
        <v>2188.6</v>
      </c>
      <c r="F834" s="303">
        <v>43015</v>
      </c>
      <c r="G834" s="301">
        <v>2188.6</v>
      </c>
      <c r="H834" s="301">
        <f>Tabla15[[#This Row],[Importe]]-Tabla15[[#This Row],[Pagado]]</f>
        <v>0</v>
      </c>
      <c r="I834" s="275" t="s">
        <v>15214</v>
      </c>
    </row>
    <row r="835" spans="1:9" x14ac:dyDescent="0.25">
      <c r="A835" s="420">
        <v>43015</v>
      </c>
      <c r="B835" s="302" t="s">
        <v>32484</v>
      </c>
      <c r="C835">
        <v>130398</v>
      </c>
      <c r="D835" s="275" t="s">
        <v>15280</v>
      </c>
      <c r="E835" s="301">
        <v>6609.5</v>
      </c>
      <c r="F835" s="303">
        <v>43015</v>
      </c>
      <c r="G835" s="301">
        <v>6609.5</v>
      </c>
      <c r="H835" s="301">
        <f>Tabla15[[#This Row],[Importe]]-Tabla15[[#This Row],[Pagado]]</f>
        <v>0</v>
      </c>
      <c r="I835" s="275" t="s">
        <v>15214</v>
      </c>
    </row>
    <row r="836" spans="1:9" x14ac:dyDescent="0.25">
      <c r="A836" s="420">
        <v>43015</v>
      </c>
      <c r="B836" s="302" t="s">
        <v>32485</v>
      </c>
      <c r="C836">
        <v>130399</v>
      </c>
      <c r="D836" s="275" t="s">
        <v>16740</v>
      </c>
      <c r="E836" s="301">
        <v>2387.8000000000002</v>
      </c>
      <c r="F836" s="303">
        <v>43015</v>
      </c>
      <c r="G836" s="301">
        <v>2387.8000000000002</v>
      </c>
      <c r="H836" s="301">
        <f>Tabla15[[#This Row],[Importe]]-Tabla15[[#This Row],[Pagado]]</f>
        <v>0</v>
      </c>
      <c r="I836" s="275" t="s">
        <v>15214</v>
      </c>
    </row>
    <row r="837" spans="1:9" x14ac:dyDescent="0.25">
      <c r="A837" s="420">
        <v>43015</v>
      </c>
      <c r="B837" s="302" t="s">
        <v>32486</v>
      </c>
      <c r="C837">
        <v>130400</v>
      </c>
      <c r="D837" s="275" t="s">
        <v>15305</v>
      </c>
      <c r="E837" s="301">
        <v>2932.8</v>
      </c>
      <c r="F837" s="303">
        <v>43015</v>
      </c>
      <c r="G837" s="301">
        <v>2932.8</v>
      </c>
      <c r="H837" s="301">
        <f>Tabla15[[#This Row],[Importe]]-Tabla15[[#This Row],[Pagado]]</f>
        <v>0</v>
      </c>
      <c r="I837" s="275" t="s">
        <v>15214</v>
      </c>
    </row>
    <row r="838" spans="1:9" x14ac:dyDescent="0.25">
      <c r="A838" s="420">
        <v>43015</v>
      </c>
      <c r="B838" s="302" t="s">
        <v>32487</v>
      </c>
      <c r="C838">
        <v>130401</v>
      </c>
      <c r="D838" s="275" t="s">
        <v>15301</v>
      </c>
      <c r="E838" s="301">
        <v>3919.9</v>
      </c>
      <c r="F838" s="303">
        <v>43015</v>
      </c>
      <c r="G838" s="301">
        <v>3919.9</v>
      </c>
      <c r="H838" s="301">
        <f>Tabla15[[#This Row],[Importe]]-Tabla15[[#This Row],[Pagado]]</f>
        <v>0</v>
      </c>
      <c r="I838" s="275" t="s">
        <v>15214</v>
      </c>
    </row>
    <row r="839" spans="1:9" x14ac:dyDescent="0.25">
      <c r="A839" s="420">
        <v>43015</v>
      </c>
      <c r="B839" s="302" t="s">
        <v>32488</v>
      </c>
      <c r="C839">
        <v>130402</v>
      </c>
      <c r="D839" s="275" t="s">
        <v>15311</v>
      </c>
      <c r="E839" s="301">
        <v>3984.6</v>
      </c>
      <c r="F839" s="303">
        <v>43015</v>
      </c>
      <c r="G839" s="301">
        <v>3984.6</v>
      </c>
      <c r="H839" s="301">
        <f>Tabla15[[#This Row],[Importe]]-Tabla15[[#This Row],[Pagado]]</f>
        <v>0</v>
      </c>
      <c r="I839" s="275" t="s">
        <v>15214</v>
      </c>
    </row>
    <row r="840" spans="1:9" x14ac:dyDescent="0.25">
      <c r="A840" s="420">
        <v>43015</v>
      </c>
      <c r="B840" s="302" t="s">
        <v>32489</v>
      </c>
      <c r="C840">
        <v>130403</v>
      </c>
      <c r="D840" s="275" t="s">
        <v>15745</v>
      </c>
      <c r="E840" s="301">
        <v>1878.56</v>
      </c>
      <c r="F840" s="303">
        <v>43015</v>
      </c>
      <c r="G840" s="301">
        <v>1878.56</v>
      </c>
      <c r="H840" s="301">
        <f>Tabla15[[#This Row],[Importe]]-Tabla15[[#This Row],[Pagado]]</f>
        <v>0</v>
      </c>
      <c r="I840" s="275" t="s">
        <v>15214</v>
      </c>
    </row>
    <row r="841" spans="1:9" x14ac:dyDescent="0.25">
      <c r="A841" s="420">
        <v>43015</v>
      </c>
      <c r="B841" s="302" t="s">
        <v>32490</v>
      </c>
      <c r="C841">
        <v>130404</v>
      </c>
      <c r="D841" s="275" t="s">
        <v>15320</v>
      </c>
      <c r="E841" s="301">
        <v>3133.2</v>
      </c>
      <c r="F841" s="303">
        <v>43015</v>
      </c>
      <c r="G841" s="301">
        <v>3133.2</v>
      </c>
      <c r="H841" s="301">
        <f>Tabla15[[#This Row],[Importe]]-Tabla15[[#This Row],[Pagado]]</f>
        <v>0</v>
      </c>
      <c r="I841" s="275" t="s">
        <v>15214</v>
      </c>
    </row>
    <row r="842" spans="1:9" x14ac:dyDescent="0.25">
      <c r="A842" s="420">
        <v>43015</v>
      </c>
      <c r="B842" s="302" t="s">
        <v>32491</v>
      </c>
      <c r="C842">
        <v>130405</v>
      </c>
      <c r="D842" s="275" t="s">
        <v>16229</v>
      </c>
      <c r="E842" s="301">
        <v>3660.2</v>
      </c>
      <c r="F842" s="303">
        <v>43015</v>
      </c>
      <c r="G842" s="301">
        <v>3660.2</v>
      </c>
      <c r="H842" s="301">
        <f>Tabla15[[#This Row],[Importe]]-Tabla15[[#This Row],[Pagado]]</f>
        <v>0</v>
      </c>
      <c r="I842" s="275" t="s">
        <v>15214</v>
      </c>
    </row>
    <row r="843" spans="1:9" x14ac:dyDescent="0.25">
      <c r="A843" s="420">
        <v>43015</v>
      </c>
      <c r="B843" s="302" t="s">
        <v>32492</v>
      </c>
      <c r="C843">
        <v>130406</v>
      </c>
      <c r="D843" s="275" t="s">
        <v>15313</v>
      </c>
      <c r="E843" s="301">
        <v>8770</v>
      </c>
      <c r="F843" s="303">
        <v>43018</v>
      </c>
      <c r="G843" s="301">
        <v>8770</v>
      </c>
      <c r="H843" s="301">
        <f>Tabla15[[#This Row],[Importe]]-Tabla15[[#This Row],[Pagado]]</f>
        <v>0</v>
      </c>
      <c r="I843" s="275" t="s">
        <v>15214</v>
      </c>
    </row>
    <row r="844" spans="1:9" x14ac:dyDescent="0.25">
      <c r="A844" s="420">
        <v>43015</v>
      </c>
      <c r="B844" s="302" t="s">
        <v>32493</v>
      </c>
      <c r="C844">
        <v>130407</v>
      </c>
      <c r="D844" s="275" t="s">
        <v>15340</v>
      </c>
      <c r="E844" s="301">
        <v>3309.8</v>
      </c>
      <c r="F844" s="303">
        <v>43015</v>
      </c>
      <c r="G844" s="301">
        <v>3309.8</v>
      </c>
      <c r="H844" s="301">
        <f>Tabla15[[#This Row],[Importe]]-Tabla15[[#This Row],[Pagado]]</f>
        <v>0</v>
      </c>
      <c r="I844" s="275" t="s">
        <v>15214</v>
      </c>
    </row>
    <row r="845" spans="1:9" x14ac:dyDescent="0.25">
      <c r="A845" s="420">
        <v>43015</v>
      </c>
      <c r="B845" s="302" t="s">
        <v>32494</v>
      </c>
      <c r="C845">
        <v>130408</v>
      </c>
      <c r="D845" s="275" t="s">
        <v>15624</v>
      </c>
      <c r="E845" s="301">
        <v>31464.9</v>
      </c>
      <c r="F845" s="303">
        <v>43015</v>
      </c>
      <c r="G845" s="301">
        <v>31464.9</v>
      </c>
      <c r="H845" s="301">
        <f>Tabla15[[#This Row],[Importe]]-Tabla15[[#This Row],[Pagado]]</f>
        <v>0</v>
      </c>
      <c r="I845" s="275" t="s">
        <v>15214</v>
      </c>
    </row>
    <row r="846" spans="1:9" x14ac:dyDescent="0.25">
      <c r="A846" s="420">
        <v>43015</v>
      </c>
      <c r="B846" s="302" t="s">
        <v>32495</v>
      </c>
      <c r="C846">
        <v>130409</v>
      </c>
      <c r="D846" s="275" t="s">
        <v>15624</v>
      </c>
      <c r="E846" s="301">
        <v>2492</v>
      </c>
      <c r="F846" s="303">
        <v>43015</v>
      </c>
      <c r="G846" s="301">
        <v>2492</v>
      </c>
      <c r="H846" s="301">
        <f>Tabla15[[#This Row],[Importe]]-Tabla15[[#This Row],[Pagado]]</f>
        <v>0</v>
      </c>
      <c r="I846" s="275" t="s">
        <v>15214</v>
      </c>
    </row>
    <row r="847" spans="1:9" x14ac:dyDescent="0.25">
      <c r="A847" s="420">
        <v>43015</v>
      </c>
      <c r="B847" s="302" t="s">
        <v>32496</v>
      </c>
      <c r="C847">
        <v>130410</v>
      </c>
      <c r="D847" s="275" t="s">
        <v>15549</v>
      </c>
      <c r="E847" s="301">
        <v>197.6</v>
      </c>
      <c r="F847" s="303">
        <v>43015</v>
      </c>
      <c r="G847" s="301">
        <v>197.6</v>
      </c>
      <c r="H847" s="301">
        <f>Tabla15[[#This Row],[Importe]]-Tabla15[[#This Row],[Pagado]]</f>
        <v>0</v>
      </c>
      <c r="I847" s="275" t="s">
        <v>15214</v>
      </c>
    </row>
    <row r="848" spans="1:9" ht="30" x14ac:dyDescent="0.25">
      <c r="A848" s="420">
        <v>43015</v>
      </c>
      <c r="B848" s="302" t="s">
        <v>32497</v>
      </c>
      <c r="C848">
        <v>130411</v>
      </c>
      <c r="D848" s="275" t="s">
        <v>15223</v>
      </c>
      <c r="E848" s="301">
        <v>49282</v>
      </c>
      <c r="F848" s="303" t="s">
        <v>35718</v>
      </c>
      <c r="G848" s="305">
        <f>40547.88+8734.12</f>
        <v>49282</v>
      </c>
      <c r="H848" s="305">
        <f>Tabla15[[#This Row],[Importe]]-Tabla15[[#This Row],[Pagado]]</f>
        <v>0</v>
      </c>
      <c r="I848" s="275" t="s">
        <v>15214</v>
      </c>
    </row>
    <row r="849" spans="1:9" x14ac:dyDescent="0.25">
      <c r="A849" s="420">
        <v>43015</v>
      </c>
      <c r="B849" s="302" t="s">
        <v>32498</v>
      </c>
      <c r="C849">
        <v>130412</v>
      </c>
      <c r="D849" s="275" t="s">
        <v>15313</v>
      </c>
      <c r="E849" s="301">
        <v>1657.6</v>
      </c>
      <c r="F849" s="303">
        <v>43018</v>
      </c>
      <c r="G849" s="301">
        <v>1657.6</v>
      </c>
      <c r="H849" s="301">
        <f>Tabla15[[#This Row],[Importe]]-Tabla15[[#This Row],[Pagado]]</f>
        <v>0</v>
      </c>
      <c r="I849" s="275" t="s">
        <v>15214</v>
      </c>
    </row>
    <row r="850" spans="1:9" x14ac:dyDescent="0.25">
      <c r="A850" s="420">
        <v>43015</v>
      </c>
      <c r="B850" s="302" t="s">
        <v>32499</v>
      </c>
      <c r="C850">
        <v>130413</v>
      </c>
      <c r="D850" s="275" t="s">
        <v>15396</v>
      </c>
      <c r="E850" s="301">
        <v>7483.1</v>
      </c>
      <c r="F850" s="303">
        <v>43015</v>
      </c>
      <c r="G850" s="301">
        <v>7483.1</v>
      </c>
      <c r="H850" s="301">
        <f>Tabla15[[#This Row],[Importe]]-Tabla15[[#This Row],[Pagado]]</f>
        <v>0</v>
      </c>
      <c r="I850" s="275" t="s">
        <v>15214</v>
      </c>
    </row>
    <row r="851" spans="1:9" x14ac:dyDescent="0.25">
      <c r="A851" s="420">
        <v>43015</v>
      </c>
      <c r="B851" s="302" t="s">
        <v>32500</v>
      </c>
      <c r="C851">
        <v>130414</v>
      </c>
      <c r="D851" s="275" t="s">
        <v>5583</v>
      </c>
      <c r="E851" s="301">
        <v>2594.1999999999998</v>
      </c>
      <c r="F851" s="303">
        <v>43015</v>
      </c>
      <c r="G851" s="301">
        <v>2594.1999999999998</v>
      </c>
      <c r="H851" s="301">
        <f>Tabla15[[#This Row],[Importe]]-Tabla15[[#This Row],[Pagado]]</f>
        <v>0</v>
      </c>
      <c r="I851" s="275" t="s">
        <v>15214</v>
      </c>
    </row>
    <row r="852" spans="1:9" x14ac:dyDescent="0.25">
      <c r="A852" s="420">
        <v>43015</v>
      </c>
      <c r="B852" s="302" t="s">
        <v>32501</v>
      </c>
      <c r="C852">
        <v>130415</v>
      </c>
      <c r="D852" s="275" t="s">
        <v>15315</v>
      </c>
      <c r="E852" s="301">
        <v>3391.5</v>
      </c>
      <c r="F852" s="303">
        <v>43015</v>
      </c>
      <c r="G852" s="301">
        <v>3391.5</v>
      </c>
      <c r="H852" s="301">
        <f>Tabla15[[#This Row],[Importe]]-Tabla15[[#This Row],[Pagado]]</f>
        <v>0</v>
      </c>
      <c r="I852" s="275" t="s">
        <v>15214</v>
      </c>
    </row>
    <row r="853" spans="1:9" x14ac:dyDescent="0.25">
      <c r="A853" s="420">
        <v>43015</v>
      </c>
      <c r="B853" s="302" t="s">
        <v>32502</v>
      </c>
      <c r="C853">
        <v>130416</v>
      </c>
      <c r="D853" s="275" t="s">
        <v>15315</v>
      </c>
      <c r="E853" s="301">
        <v>3275.5</v>
      </c>
      <c r="F853" s="303">
        <v>43015</v>
      </c>
      <c r="G853" s="301">
        <v>3275.5</v>
      </c>
      <c r="H853" s="301">
        <f>Tabla15[[#This Row],[Importe]]-Tabla15[[#This Row],[Pagado]]</f>
        <v>0</v>
      </c>
      <c r="I853" s="275" t="s">
        <v>15214</v>
      </c>
    </row>
    <row r="854" spans="1:9" x14ac:dyDescent="0.25">
      <c r="A854" s="420">
        <v>43015</v>
      </c>
      <c r="B854" s="302" t="s">
        <v>32503</v>
      </c>
      <c r="C854">
        <v>130417</v>
      </c>
      <c r="D854" s="275" t="s">
        <v>31286</v>
      </c>
      <c r="E854" s="301">
        <v>15234</v>
      </c>
      <c r="F854" s="303">
        <v>43015</v>
      </c>
      <c r="G854" s="301">
        <v>15234</v>
      </c>
      <c r="H854" s="301">
        <f>Tabla15[[#This Row],[Importe]]-Tabla15[[#This Row],[Pagado]]</f>
        <v>0</v>
      </c>
      <c r="I854" s="275" t="s">
        <v>15214</v>
      </c>
    </row>
    <row r="855" spans="1:9" x14ac:dyDescent="0.25">
      <c r="A855" s="420">
        <v>43015</v>
      </c>
      <c r="B855" s="302" t="s">
        <v>32504</v>
      </c>
      <c r="C855">
        <v>130418</v>
      </c>
      <c r="D855" s="275" t="s">
        <v>16108</v>
      </c>
      <c r="E855" s="301">
        <v>1922.4</v>
      </c>
      <c r="F855" s="303">
        <v>43015</v>
      </c>
      <c r="G855" s="301">
        <v>1922.4</v>
      </c>
      <c r="H855" s="301">
        <f>Tabla15[[#This Row],[Importe]]-Tabla15[[#This Row],[Pagado]]</f>
        <v>0</v>
      </c>
      <c r="I855" s="275" t="s">
        <v>15214</v>
      </c>
    </row>
    <row r="856" spans="1:9" x14ac:dyDescent="0.25">
      <c r="A856" s="420">
        <v>43015</v>
      </c>
      <c r="B856" s="302" t="s">
        <v>32505</v>
      </c>
      <c r="C856">
        <v>130419</v>
      </c>
      <c r="D856" s="275" t="s">
        <v>23937</v>
      </c>
      <c r="E856" s="301">
        <v>4267.3</v>
      </c>
      <c r="F856" s="303">
        <v>43015</v>
      </c>
      <c r="G856" s="301">
        <v>4267.3</v>
      </c>
      <c r="H856" s="301">
        <f>Tabla15[[#This Row],[Importe]]-Tabla15[[#This Row],[Pagado]]</f>
        <v>0</v>
      </c>
      <c r="I856" s="275" t="s">
        <v>15214</v>
      </c>
    </row>
    <row r="857" spans="1:9" x14ac:dyDescent="0.25">
      <c r="A857" s="420">
        <v>43015</v>
      </c>
      <c r="B857" s="302" t="s">
        <v>32506</v>
      </c>
      <c r="C857">
        <v>130420</v>
      </c>
      <c r="D857" s="275" t="s">
        <v>15252</v>
      </c>
      <c r="E857" s="301">
        <v>8553.1</v>
      </c>
      <c r="F857" s="303">
        <v>43017</v>
      </c>
      <c r="G857" s="301">
        <v>8553.1</v>
      </c>
      <c r="H857" s="301">
        <f>Tabla15[[#This Row],[Importe]]-Tabla15[[#This Row],[Pagado]]</f>
        <v>0</v>
      </c>
      <c r="I857" s="275" t="s">
        <v>15214</v>
      </c>
    </row>
    <row r="858" spans="1:9" x14ac:dyDescent="0.25">
      <c r="A858" s="420">
        <v>43015</v>
      </c>
      <c r="B858" s="302" t="s">
        <v>32507</v>
      </c>
      <c r="C858">
        <v>130421</v>
      </c>
      <c r="D858" s="275" t="s">
        <v>15244</v>
      </c>
      <c r="E858" s="301">
        <v>18188.900000000001</v>
      </c>
      <c r="F858" s="303">
        <v>43017</v>
      </c>
      <c r="G858" s="301">
        <v>18188.900000000001</v>
      </c>
      <c r="H858" s="301">
        <f>Tabla15[[#This Row],[Importe]]-Tabla15[[#This Row],[Pagado]]</f>
        <v>0</v>
      </c>
      <c r="I858" s="275" t="s">
        <v>15214</v>
      </c>
    </row>
    <row r="859" spans="1:9" x14ac:dyDescent="0.25">
      <c r="A859" s="420">
        <v>43015</v>
      </c>
      <c r="B859" s="302" t="s">
        <v>32508</v>
      </c>
      <c r="C859">
        <v>130422</v>
      </c>
      <c r="D859" s="275" t="s">
        <v>15398</v>
      </c>
      <c r="E859" s="301">
        <v>2895.2</v>
      </c>
      <c r="F859" s="303">
        <v>43015</v>
      </c>
      <c r="G859" s="301">
        <v>2895.2</v>
      </c>
      <c r="H859" s="301">
        <f>Tabla15[[#This Row],[Importe]]-Tabla15[[#This Row],[Pagado]]</f>
        <v>0</v>
      </c>
      <c r="I859" s="275" t="s">
        <v>15214</v>
      </c>
    </row>
    <row r="860" spans="1:9" x14ac:dyDescent="0.25">
      <c r="A860" s="420">
        <v>43015</v>
      </c>
      <c r="B860" s="302" t="s">
        <v>32509</v>
      </c>
      <c r="C860">
        <v>130423</v>
      </c>
      <c r="D860" s="275" t="s">
        <v>15510</v>
      </c>
      <c r="E860" s="301">
        <v>1665</v>
      </c>
      <c r="F860" s="303">
        <v>43015</v>
      </c>
      <c r="G860" s="301">
        <v>1665</v>
      </c>
      <c r="H860" s="301">
        <f>Tabla15[[#This Row],[Importe]]-Tabla15[[#This Row],[Pagado]]</f>
        <v>0</v>
      </c>
      <c r="I860" s="275" t="s">
        <v>15214</v>
      </c>
    </row>
    <row r="861" spans="1:9" x14ac:dyDescent="0.25">
      <c r="A861" s="420">
        <v>43015</v>
      </c>
      <c r="B861" s="302" t="s">
        <v>32510</v>
      </c>
      <c r="C861">
        <v>130424</v>
      </c>
      <c r="D861" s="275" t="s">
        <v>15346</v>
      </c>
      <c r="E861" s="301">
        <v>735.9</v>
      </c>
      <c r="F861" s="303">
        <v>43015</v>
      </c>
      <c r="G861" s="301">
        <v>735.9</v>
      </c>
      <c r="H861" s="301">
        <f>Tabla15[[#This Row],[Importe]]-Tabla15[[#This Row],[Pagado]]</f>
        <v>0</v>
      </c>
      <c r="I861" s="275" t="s">
        <v>15214</v>
      </c>
    </row>
    <row r="862" spans="1:9" x14ac:dyDescent="0.25">
      <c r="A862" s="420">
        <v>43015</v>
      </c>
      <c r="B862" s="302" t="s">
        <v>32511</v>
      </c>
      <c r="C862">
        <v>130425</v>
      </c>
      <c r="D862" s="275" t="s">
        <v>15246</v>
      </c>
      <c r="E862" s="301">
        <v>146746.20000000001</v>
      </c>
      <c r="F862" s="303">
        <v>43017</v>
      </c>
      <c r="G862" s="301">
        <v>146746.20000000001</v>
      </c>
      <c r="H862" s="301">
        <f>Tabla15[[#This Row],[Importe]]-Tabla15[[#This Row],[Pagado]]</f>
        <v>0</v>
      </c>
      <c r="I862" s="275" t="s">
        <v>15214</v>
      </c>
    </row>
    <row r="863" spans="1:9" x14ac:dyDescent="0.25">
      <c r="A863" s="420">
        <v>43015</v>
      </c>
      <c r="B863" s="302" t="s">
        <v>32512</v>
      </c>
      <c r="C863">
        <v>130426</v>
      </c>
      <c r="D863" s="275" t="s">
        <v>15315</v>
      </c>
      <c r="E863" s="301">
        <v>3489.4</v>
      </c>
      <c r="F863" s="303">
        <v>43015</v>
      </c>
      <c r="G863" s="301">
        <v>3489.4</v>
      </c>
      <c r="H863" s="301">
        <f>Tabla15[[#This Row],[Importe]]-Tabla15[[#This Row],[Pagado]]</f>
        <v>0</v>
      </c>
      <c r="I863" s="275" t="s">
        <v>15214</v>
      </c>
    </row>
    <row r="864" spans="1:9" x14ac:dyDescent="0.25">
      <c r="A864" s="420">
        <v>43015</v>
      </c>
      <c r="B864" s="302" t="s">
        <v>32513</v>
      </c>
      <c r="C864">
        <v>130427</v>
      </c>
      <c r="D864" s="275" t="s">
        <v>15391</v>
      </c>
      <c r="E864" s="301">
        <v>15948.8</v>
      </c>
      <c r="F864" s="303">
        <v>43019</v>
      </c>
      <c r="G864" s="301">
        <v>15948.8</v>
      </c>
      <c r="H864" s="301">
        <f>Tabla15[[#This Row],[Importe]]-Tabla15[[#This Row],[Pagado]]</f>
        <v>0</v>
      </c>
      <c r="I864" s="275" t="s">
        <v>15214</v>
      </c>
    </row>
    <row r="865" spans="1:9" x14ac:dyDescent="0.25">
      <c r="A865" s="420">
        <v>43015</v>
      </c>
      <c r="B865" s="302" t="s">
        <v>32514</v>
      </c>
      <c r="C865">
        <v>130428</v>
      </c>
      <c r="D865" s="275" t="s">
        <v>15530</v>
      </c>
      <c r="E865" s="301">
        <v>3299.7</v>
      </c>
      <c r="F865" s="303">
        <v>43015</v>
      </c>
      <c r="G865" s="301">
        <v>3299.7</v>
      </c>
      <c r="H865" s="301">
        <f>Tabla15[[#This Row],[Importe]]-Tabla15[[#This Row],[Pagado]]</f>
        <v>0</v>
      </c>
      <c r="I865" s="275" t="s">
        <v>15214</v>
      </c>
    </row>
    <row r="866" spans="1:9" x14ac:dyDescent="0.25">
      <c r="A866" s="420">
        <v>43015</v>
      </c>
      <c r="B866" s="302" t="s">
        <v>32515</v>
      </c>
      <c r="C866">
        <v>130429</v>
      </c>
      <c r="D866" s="275" t="s">
        <v>15361</v>
      </c>
      <c r="E866" s="301">
        <v>12777.5</v>
      </c>
      <c r="F866" s="303">
        <v>43016</v>
      </c>
      <c r="G866" s="301">
        <v>12777.5</v>
      </c>
      <c r="H866" s="301">
        <f>Tabla15[[#This Row],[Importe]]-Tabla15[[#This Row],[Pagado]]</f>
        <v>0</v>
      </c>
      <c r="I866" s="275" t="s">
        <v>15214</v>
      </c>
    </row>
    <row r="867" spans="1:9" x14ac:dyDescent="0.25">
      <c r="A867" s="420">
        <v>43015</v>
      </c>
      <c r="B867" s="302" t="s">
        <v>32516</v>
      </c>
      <c r="C867">
        <v>130430</v>
      </c>
      <c r="D867" s="275" t="s">
        <v>15246</v>
      </c>
      <c r="E867" s="301">
        <v>306477.76</v>
      </c>
      <c r="F867" s="303">
        <v>43017</v>
      </c>
      <c r="G867" s="301">
        <v>306477.76</v>
      </c>
      <c r="H867" s="301">
        <f>Tabla15[[#This Row],[Importe]]-Tabla15[[#This Row],[Pagado]]</f>
        <v>0</v>
      </c>
      <c r="I867" s="275" t="s">
        <v>15214</v>
      </c>
    </row>
    <row r="868" spans="1:9" x14ac:dyDescent="0.25">
      <c r="A868" s="420">
        <v>43015</v>
      </c>
      <c r="B868" s="302" t="s">
        <v>32517</v>
      </c>
      <c r="C868">
        <v>130431</v>
      </c>
      <c r="D868" s="275" t="s">
        <v>15280</v>
      </c>
      <c r="E868" s="301">
        <v>1395.2</v>
      </c>
      <c r="F868" s="303">
        <v>43015</v>
      </c>
      <c r="G868" s="301">
        <v>1395.2</v>
      </c>
      <c r="H868" s="301">
        <f>Tabla15[[#This Row],[Importe]]-Tabla15[[#This Row],[Pagado]]</f>
        <v>0</v>
      </c>
      <c r="I868" s="275" t="s">
        <v>15214</v>
      </c>
    </row>
    <row r="869" spans="1:9" x14ac:dyDescent="0.25">
      <c r="A869" s="420">
        <v>43015</v>
      </c>
      <c r="B869" s="302" t="s">
        <v>32518</v>
      </c>
      <c r="C869">
        <v>130432</v>
      </c>
      <c r="D869" s="275" t="s">
        <v>19697</v>
      </c>
      <c r="E869" s="301">
        <v>910.8</v>
      </c>
      <c r="F869" s="303">
        <v>43016</v>
      </c>
      <c r="G869" s="301">
        <v>910.8</v>
      </c>
      <c r="H869" s="301">
        <f>Tabla15[[#This Row],[Importe]]-Tabla15[[#This Row],[Pagado]]</f>
        <v>0</v>
      </c>
      <c r="I869" s="275" t="s">
        <v>15214</v>
      </c>
    </row>
    <row r="870" spans="1:9" ht="15.75" x14ac:dyDescent="0.25">
      <c r="A870" s="420">
        <v>43015</v>
      </c>
      <c r="B870" s="302" t="s">
        <v>32519</v>
      </c>
      <c r="C870">
        <v>130433</v>
      </c>
      <c r="D870" s="248" t="s">
        <v>95</v>
      </c>
      <c r="E870" s="301">
        <v>0</v>
      </c>
      <c r="F870" s="243" t="s">
        <v>95</v>
      </c>
      <c r="G870" s="301">
        <v>0</v>
      </c>
      <c r="H870" s="301">
        <f>Tabla15[[#This Row],[Importe]]-Tabla15[[#This Row],[Pagado]]</f>
        <v>0</v>
      </c>
      <c r="I870" s="275" t="s">
        <v>95</v>
      </c>
    </row>
    <row r="871" spans="1:9" x14ac:dyDescent="0.25">
      <c r="A871" s="420">
        <v>43015</v>
      </c>
      <c r="B871" s="302" t="s">
        <v>32520</v>
      </c>
      <c r="C871">
        <v>130434</v>
      </c>
      <c r="D871" s="275" t="s">
        <v>15280</v>
      </c>
      <c r="E871" s="301">
        <v>1116.4000000000001</v>
      </c>
      <c r="F871" s="303">
        <v>43015</v>
      </c>
      <c r="G871" s="301">
        <v>1116.4000000000001</v>
      </c>
      <c r="H871" s="301">
        <f>Tabla15[[#This Row],[Importe]]-Tabla15[[#This Row],[Pagado]]</f>
        <v>0</v>
      </c>
      <c r="I871" s="275" t="s">
        <v>15214</v>
      </c>
    </row>
    <row r="872" spans="1:9" x14ac:dyDescent="0.25">
      <c r="A872" s="420">
        <v>43015</v>
      </c>
      <c r="B872" s="302" t="s">
        <v>32521</v>
      </c>
      <c r="C872">
        <v>130435</v>
      </c>
      <c r="D872" s="275" t="s">
        <v>21445</v>
      </c>
      <c r="E872" s="301">
        <v>2257.1999999999998</v>
      </c>
      <c r="F872" s="303">
        <v>43015</v>
      </c>
      <c r="G872" s="301">
        <v>2257.1999999999998</v>
      </c>
      <c r="H872" s="301">
        <f>Tabla15[[#This Row],[Importe]]-Tabla15[[#This Row],[Pagado]]</f>
        <v>0</v>
      </c>
      <c r="I872" s="275" t="s">
        <v>15214</v>
      </c>
    </row>
    <row r="873" spans="1:9" x14ac:dyDescent="0.25">
      <c r="A873" s="420">
        <v>43015</v>
      </c>
      <c r="B873" s="302" t="s">
        <v>32522</v>
      </c>
      <c r="C873">
        <v>130436</v>
      </c>
      <c r="D873" s="275" t="s">
        <v>15725</v>
      </c>
      <c r="E873" s="301">
        <v>27117</v>
      </c>
      <c r="F873" s="303">
        <v>43016</v>
      </c>
      <c r="G873" s="301">
        <v>27117</v>
      </c>
      <c r="H873" s="301">
        <f>Tabla15[[#This Row],[Importe]]-Tabla15[[#This Row],[Pagado]]</f>
        <v>0</v>
      </c>
      <c r="I873" s="275" t="s">
        <v>15214</v>
      </c>
    </row>
    <row r="874" spans="1:9" ht="15.75" x14ac:dyDescent="0.25">
      <c r="A874" s="420">
        <v>43015</v>
      </c>
      <c r="B874" s="302" t="s">
        <v>32523</v>
      </c>
      <c r="C874">
        <v>130437</v>
      </c>
      <c r="D874" s="248" t="s">
        <v>95</v>
      </c>
      <c r="E874" s="301">
        <v>0</v>
      </c>
      <c r="F874" s="243" t="s">
        <v>95</v>
      </c>
      <c r="G874" s="301">
        <v>0</v>
      </c>
      <c r="H874" s="301">
        <f>Tabla15[[#This Row],[Importe]]-Tabla15[[#This Row],[Pagado]]</f>
        <v>0</v>
      </c>
      <c r="I874" s="275" t="s">
        <v>95</v>
      </c>
    </row>
    <row r="875" spans="1:9" x14ac:dyDescent="0.25">
      <c r="A875" s="420">
        <v>43015</v>
      </c>
      <c r="B875" s="302" t="s">
        <v>32524</v>
      </c>
      <c r="C875">
        <v>130438</v>
      </c>
      <c r="D875" s="275" t="s">
        <v>16383</v>
      </c>
      <c r="E875" s="301">
        <v>260.39999999999998</v>
      </c>
      <c r="F875" s="303">
        <v>43016</v>
      </c>
      <c r="G875" s="301">
        <v>260.39999999999998</v>
      </c>
      <c r="H875" s="301">
        <f>Tabla15[[#This Row],[Importe]]-Tabla15[[#This Row],[Pagado]]</f>
        <v>0</v>
      </c>
      <c r="I875" s="275" t="s">
        <v>15214</v>
      </c>
    </row>
    <row r="876" spans="1:9" x14ac:dyDescent="0.25">
      <c r="A876" s="420">
        <v>43015</v>
      </c>
      <c r="B876" s="302" t="s">
        <v>32525</v>
      </c>
      <c r="C876">
        <v>130439</v>
      </c>
      <c r="D876" s="275" t="s">
        <v>15272</v>
      </c>
      <c r="E876" s="301">
        <v>5053.8</v>
      </c>
      <c r="F876" s="303">
        <v>43015</v>
      </c>
      <c r="G876" s="301">
        <v>5053.8</v>
      </c>
      <c r="H876" s="301">
        <f>Tabla15[[#This Row],[Importe]]-Tabla15[[#This Row],[Pagado]]</f>
        <v>0</v>
      </c>
      <c r="I876" s="275" t="s">
        <v>15214</v>
      </c>
    </row>
    <row r="877" spans="1:9" x14ac:dyDescent="0.25">
      <c r="A877" s="420">
        <v>43015</v>
      </c>
      <c r="B877" s="302" t="s">
        <v>32526</v>
      </c>
      <c r="C877">
        <v>130440</v>
      </c>
      <c r="D877" s="275" t="s">
        <v>15315</v>
      </c>
      <c r="E877" s="301">
        <v>870</v>
      </c>
      <c r="F877" s="303">
        <v>43016</v>
      </c>
      <c r="G877" s="301">
        <v>870</v>
      </c>
      <c r="H877" s="301">
        <f>Tabla15[[#This Row],[Importe]]-Tabla15[[#This Row],[Pagado]]</f>
        <v>0</v>
      </c>
      <c r="I877" s="275" t="s">
        <v>15214</v>
      </c>
    </row>
    <row r="878" spans="1:9" x14ac:dyDescent="0.25">
      <c r="A878" s="420">
        <v>43015</v>
      </c>
      <c r="B878" s="302" t="s">
        <v>32527</v>
      </c>
      <c r="C878">
        <v>130441</v>
      </c>
      <c r="D878" s="275" t="s">
        <v>15298</v>
      </c>
      <c r="E878" s="301">
        <v>46</v>
      </c>
      <c r="F878" s="303">
        <v>43015</v>
      </c>
      <c r="G878" s="301">
        <v>46</v>
      </c>
      <c r="H878" s="301">
        <f>Tabla15[[#This Row],[Importe]]-Tabla15[[#This Row],[Pagado]]</f>
        <v>0</v>
      </c>
      <c r="I878" s="275" t="s">
        <v>15214</v>
      </c>
    </row>
    <row r="879" spans="1:9" x14ac:dyDescent="0.25">
      <c r="A879" s="420">
        <v>43015</v>
      </c>
      <c r="B879" s="302" t="s">
        <v>32528</v>
      </c>
      <c r="C879">
        <v>130442</v>
      </c>
      <c r="D879" s="275" t="s">
        <v>15987</v>
      </c>
      <c r="E879" s="301">
        <v>1040</v>
      </c>
      <c r="F879" s="303">
        <v>43015</v>
      </c>
      <c r="G879" s="301">
        <v>1040</v>
      </c>
      <c r="H879" s="301">
        <f>Tabla15[[#This Row],[Importe]]-Tabla15[[#This Row],[Pagado]]</f>
        <v>0</v>
      </c>
      <c r="I879" s="275" t="s">
        <v>15214</v>
      </c>
    </row>
    <row r="880" spans="1:9" x14ac:dyDescent="0.25">
      <c r="A880" s="420">
        <v>43015</v>
      </c>
      <c r="B880" s="302" t="s">
        <v>32529</v>
      </c>
      <c r="C880">
        <v>130443</v>
      </c>
      <c r="D880" s="275" t="s">
        <v>15716</v>
      </c>
      <c r="E880" s="301">
        <v>12599.8</v>
      </c>
      <c r="F880" s="303">
        <v>43015</v>
      </c>
      <c r="G880" s="301">
        <v>12599.8</v>
      </c>
      <c r="H880" s="301">
        <f>Tabla15[[#This Row],[Importe]]-Tabla15[[#This Row],[Pagado]]</f>
        <v>0</v>
      </c>
      <c r="I880" s="275" t="s">
        <v>15214</v>
      </c>
    </row>
    <row r="881" spans="1:9" x14ac:dyDescent="0.25">
      <c r="A881" s="420">
        <v>43015</v>
      </c>
      <c r="B881" s="302" t="s">
        <v>32530</v>
      </c>
      <c r="C881">
        <v>130444</v>
      </c>
      <c r="D881" s="275" t="s">
        <v>15537</v>
      </c>
      <c r="E881" s="301">
        <v>26913.599999999999</v>
      </c>
      <c r="F881" s="303">
        <v>43017</v>
      </c>
      <c r="G881" s="301">
        <v>26913.599999999999</v>
      </c>
      <c r="H881" s="301">
        <f>Tabla15[[#This Row],[Importe]]-Tabla15[[#This Row],[Pagado]]</f>
        <v>0</v>
      </c>
      <c r="I881" s="275" t="s">
        <v>15214</v>
      </c>
    </row>
    <row r="882" spans="1:9" x14ac:dyDescent="0.25">
      <c r="A882" s="420">
        <v>43015</v>
      </c>
      <c r="B882" s="302" t="s">
        <v>32531</v>
      </c>
      <c r="C882">
        <v>130445</v>
      </c>
      <c r="D882" s="275" t="s">
        <v>15544</v>
      </c>
      <c r="E882" s="301">
        <v>374.4</v>
      </c>
      <c r="F882" s="303">
        <v>43017</v>
      </c>
      <c r="G882" s="301">
        <v>374.4</v>
      </c>
      <c r="H882" s="301">
        <f>Tabla15[[#This Row],[Importe]]-Tabla15[[#This Row],[Pagado]]</f>
        <v>0</v>
      </c>
      <c r="I882" s="275" t="s">
        <v>15214</v>
      </c>
    </row>
    <row r="883" spans="1:9" x14ac:dyDescent="0.25">
      <c r="A883" s="420">
        <v>43015</v>
      </c>
      <c r="B883" s="302" t="s">
        <v>32532</v>
      </c>
      <c r="C883">
        <v>130446</v>
      </c>
      <c r="D883" s="275" t="s">
        <v>15539</v>
      </c>
      <c r="E883" s="301">
        <v>22740.2</v>
      </c>
      <c r="F883" s="303">
        <v>43017</v>
      </c>
      <c r="G883" s="301">
        <v>22740.2</v>
      </c>
      <c r="H883" s="301">
        <f>Tabla15[[#This Row],[Importe]]-Tabla15[[#This Row],[Pagado]]</f>
        <v>0</v>
      </c>
      <c r="I883" s="275" t="s">
        <v>15214</v>
      </c>
    </row>
    <row r="884" spans="1:9" x14ac:dyDescent="0.25">
      <c r="A884" s="420">
        <v>43015</v>
      </c>
      <c r="B884" s="302" t="s">
        <v>32533</v>
      </c>
      <c r="C884">
        <v>130447</v>
      </c>
      <c r="D884" s="275" t="s">
        <v>15315</v>
      </c>
      <c r="E884" s="301">
        <v>1081</v>
      </c>
      <c r="F884" s="303">
        <v>43015</v>
      </c>
      <c r="G884" s="301">
        <v>1081</v>
      </c>
      <c r="H884" s="301">
        <f>Tabla15[[#This Row],[Importe]]-Tabla15[[#This Row],[Pagado]]</f>
        <v>0</v>
      </c>
      <c r="I884" s="275" t="s">
        <v>15214</v>
      </c>
    </row>
    <row r="885" spans="1:9" ht="15.75" x14ac:dyDescent="0.25">
      <c r="A885" s="420">
        <v>43015</v>
      </c>
      <c r="B885" s="302" t="s">
        <v>32534</v>
      </c>
      <c r="C885">
        <v>130448</v>
      </c>
      <c r="D885" s="248" t="s">
        <v>95</v>
      </c>
      <c r="E885" s="301">
        <v>0</v>
      </c>
      <c r="F885" s="243" t="s">
        <v>95</v>
      </c>
      <c r="G885" s="301">
        <v>0</v>
      </c>
      <c r="H885" s="301">
        <f>Tabla15[[#This Row],[Importe]]-Tabla15[[#This Row],[Pagado]]</f>
        <v>0</v>
      </c>
      <c r="I885" s="275" t="s">
        <v>95</v>
      </c>
    </row>
    <row r="886" spans="1:9" x14ac:dyDescent="0.25">
      <c r="A886" s="420">
        <v>43015</v>
      </c>
      <c r="B886" s="302" t="s">
        <v>32535</v>
      </c>
      <c r="C886">
        <v>130449</v>
      </c>
      <c r="D886" s="275" t="s">
        <v>15699</v>
      </c>
      <c r="E886" s="301">
        <v>18969.400000000001</v>
      </c>
      <c r="F886" s="303">
        <v>43017</v>
      </c>
      <c r="G886" s="301">
        <v>18969.400000000001</v>
      </c>
      <c r="H886" s="301">
        <f>Tabla15[[#This Row],[Importe]]-Tabla15[[#This Row],[Pagado]]</f>
        <v>0</v>
      </c>
      <c r="I886" s="275" t="s">
        <v>15214</v>
      </c>
    </row>
    <row r="887" spans="1:9" x14ac:dyDescent="0.25">
      <c r="A887" s="420">
        <v>43015</v>
      </c>
      <c r="B887" s="302" t="s">
        <v>32536</v>
      </c>
      <c r="C887">
        <v>130450</v>
      </c>
      <c r="D887" s="275" t="s">
        <v>15555</v>
      </c>
      <c r="E887" s="301">
        <v>31839.85</v>
      </c>
      <c r="F887" s="303">
        <v>43017</v>
      </c>
      <c r="G887" s="301">
        <v>31839.85</v>
      </c>
      <c r="H887" s="301">
        <f>Tabla15[[#This Row],[Importe]]-Tabla15[[#This Row],[Pagado]]</f>
        <v>0</v>
      </c>
      <c r="I887" s="275" t="s">
        <v>15214</v>
      </c>
    </row>
    <row r="888" spans="1:9" x14ac:dyDescent="0.25">
      <c r="A888" s="420">
        <v>43015</v>
      </c>
      <c r="B888" s="302" t="s">
        <v>32537</v>
      </c>
      <c r="C888">
        <v>130451</v>
      </c>
      <c r="D888" s="275" t="s">
        <v>15699</v>
      </c>
      <c r="E888" s="301">
        <v>8199.7999999999993</v>
      </c>
      <c r="F888" s="303">
        <v>43017</v>
      </c>
      <c r="G888" s="301">
        <v>8199.7999999999993</v>
      </c>
      <c r="H888" s="301">
        <f>Tabla15[[#This Row],[Importe]]-Tabla15[[#This Row],[Pagado]]</f>
        <v>0</v>
      </c>
      <c r="I888" s="275" t="s">
        <v>15214</v>
      </c>
    </row>
    <row r="889" spans="1:9" x14ac:dyDescent="0.25">
      <c r="A889" s="420">
        <v>43015</v>
      </c>
      <c r="B889" s="302" t="s">
        <v>32538</v>
      </c>
      <c r="C889">
        <v>130452</v>
      </c>
      <c r="D889" s="275" t="s">
        <v>15250</v>
      </c>
      <c r="E889" s="301">
        <v>5630.6</v>
      </c>
      <c r="F889" s="303">
        <v>43022</v>
      </c>
      <c r="G889" s="301">
        <v>5630.6</v>
      </c>
      <c r="H889" s="301">
        <f>Tabla15[[#This Row],[Importe]]-Tabla15[[#This Row],[Pagado]]</f>
        <v>0</v>
      </c>
      <c r="I889" s="275" t="s">
        <v>15214</v>
      </c>
    </row>
    <row r="890" spans="1:9" x14ac:dyDescent="0.25">
      <c r="A890" s="420">
        <v>43015</v>
      </c>
      <c r="B890" s="302" t="s">
        <v>32539</v>
      </c>
      <c r="C890">
        <v>130453</v>
      </c>
      <c r="D890" s="275" t="s">
        <v>15263</v>
      </c>
      <c r="E890" s="301">
        <v>1227.9000000000001</v>
      </c>
      <c r="F890" s="303">
        <v>43015</v>
      </c>
      <c r="G890" s="301">
        <v>1227.9000000000001</v>
      </c>
      <c r="H890" s="301">
        <f>Tabla15[[#This Row],[Importe]]-Tabla15[[#This Row],[Pagado]]</f>
        <v>0</v>
      </c>
      <c r="I890" s="275" t="s">
        <v>15214</v>
      </c>
    </row>
    <row r="891" spans="1:9" x14ac:dyDescent="0.25">
      <c r="A891" s="420">
        <v>43015</v>
      </c>
      <c r="B891" s="302" t="s">
        <v>32540</v>
      </c>
      <c r="C891">
        <v>130454</v>
      </c>
      <c r="D891" s="275" t="s">
        <v>15699</v>
      </c>
      <c r="E891" s="301">
        <v>3238.98</v>
      </c>
      <c r="F891" s="303">
        <v>43017</v>
      </c>
      <c r="G891" s="301">
        <v>3238.98</v>
      </c>
      <c r="H891" s="301">
        <f>Tabla15[[#This Row],[Importe]]-Tabla15[[#This Row],[Pagado]]</f>
        <v>0</v>
      </c>
      <c r="I891" s="275" t="s">
        <v>15214</v>
      </c>
    </row>
    <row r="892" spans="1:9" x14ac:dyDescent="0.25">
      <c r="A892" s="420">
        <v>43015</v>
      </c>
      <c r="B892" s="302" t="s">
        <v>32541</v>
      </c>
      <c r="C892">
        <v>130455</v>
      </c>
      <c r="D892" s="275" t="s">
        <v>15407</v>
      </c>
      <c r="E892" s="301">
        <v>15126.6</v>
      </c>
      <c r="F892" s="303">
        <v>43015</v>
      </c>
      <c r="G892" s="301">
        <v>15126.6</v>
      </c>
      <c r="H892" s="301">
        <f>Tabla15[[#This Row],[Importe]]-Tabla15[[#This Row],[Pagado]]</f>
        <v>0</v>
      </c>
      <c r="I892" s="275" t="s">
        <v>15214</v>
      </c>
    </row>
    <row r="893" spans="1:9" x14ac:dyDescent="0.25">
      <c r="A893" s="420">
        <v>43015</v>
      </c>
      <c r="B893" s="302" t="s">
        <v>32542</v>
      </c>
      <c r="C893">
        <v>130456</v>
      </c>
      <c r="D893" s="275" t="s">
        <v>15309</v>
      </c>
      <c r="E893" s="301">
        <v>6345.5</v>
      </c>
      <c r="F893" s="303">
        <v>43017</v>
      </c>
      <c r="G893" s="301">
        <v>6345.5</v>
      </c>
      <c r="H893" s="301">
        <f>Tabla15[[#This Row],[Importe]]-Tabla15[[#This Row],[Pagado]]</f>
        <v>0</v>
      </c>
      <c r="I893" s="275" t="s">
        <v>15214</v>
      </c>
    </row>
    <row r="894" spans="1:9" x14ac:dyDescent="0.25">
      <c r="A894" s="420">
        <v>43015</v>
      </c>
      <c r="B894" s="302" t="s">
        <v>32543</v>
      </c>
      <c r="C894">
        <v>130457</v>
      </c>
      <c r="D894" s="275" t="s">
        <v>15920</v>
      </c>
      <c r="E894" s="301">
        <v>9171</v>
      </c>
      <c r="F894" s="303">
        <v>43017</v>
      </c>
      <c r="G894" s="301">
        <v>9171</v>
      </c>
      <c r="H894" s="301">
        <f>Tabla15[[#This Row],[Importe]]-Tabla15[[#This Row],[Pagado]]</f>
        <v>0</v>
      </c>
      <c r="I894" s="275" t="s">
        <v>15214</v>
      </c>
    </row>
    <row r="895" spans="1:9" x14ac:dyDescent="0.25">
      <c r="A895" s="420">
        <v>43015</v>
      </c>
      <c r="B895" s="302" t="s">
        <v>32544</v>
      </c>
      <c r="C895">
        <v>130458</v>
      </c>
      <c r="D895" s="275" t="s">
        <v>15920</v>
      </c>
      <c r="E895" s="301">
        <v>11582.8</v>
      </c>
      <c r="F895" s="303">
        <v>43017</v>
      </c>
      <c r="G895" s="301">
        <v>11582.8</v>
      </c>
      <c r="H895" s="301">
        <f>Tabla15[[#This Row],[Importe]]-Tabla15[[#This Row],[Pagado]]</f>
        <v>0</v>
      </c>
      <c r="I895" s="275" t="s">
        <v>15214</v>
      </c>
    </row>
    <row r="896" spans="1:9" x14ac:dyDescent="0.25">
      <c r="A896" s="420">
        <v>43015</v>
      </c>
      <c r="B896" s="302" t="s">
        <v>32545</v>
      </c>
      <c r="C896">
        <v>130459</v>
      </c>
      <c r="D896" s="275" t="s">
        <v>17708</v>
      </c>
      <c r="E896" s="301">
        <v>4660.32</v>
      </c>
      <c r="F896" s="303">
        <v>43016</v>
      </c>
      <c r="G896" s="301">
        <v>4660.32</v>
      </c>
      <c r="H896" s="301">
        <f>Tabla15[[#This Row],[Importe]]-Tabla15[[#This Row],[Pagado]]</f>
        <v>0</v>
      </c>
      <c r="I896" s="275" t="s">
        <v>15214</v>
      </c>
    </row>
    <row r="897" spans="1:9" x14ac:dyDescent="0.25">
      <c r="A897" s="420">
        <v>43015</v>
      </c>
      <c r="B897" s="302" t="s">
        <v>32546</v>
      </c>
      <c r="C897">
        <v>130460</v>
      </c>
      <c r="D897" s="275" t="s">
        <v>15322</v>
      </c>
      <c r="E897" s="301">
        <v>4655.2</v>
      </c>
      <c r="F897" s="303">
        <v>43018</v>
      </c>
      <c r="G897" s="301">
        <v>4655.2</v>
      </c>
      <c r="H897" s="301">
        <f>Tabla15[[#This Row],[Importe]]-Tabla15[[#This Row],[Pagado]]</f>
        <v>0</v>
      </c>
      <c r="I897" s="275" t="s">
        <v>15214</v>
      </c>
    </row>
    <row r="898" spans="1:9" x14ac:dyDescent="0.25">
      <c r="A898" s="420">
        <v>43015</v>
      </c>
      <c r="B898" s="302" t="s">
        <v>32547</v>
      </c>
      <c r="C898">
        <v>130461</v>
      </c>
      <c r="D898" s="275" t="s">
        <v>15789</v>
      </c>
      <c r="E898" s="301">
        <v>24411.7</v>
      </c>
      <c r="F898" s="303">
        <v>43022</v>
      </c>
      <c r="G898" s="301">
        <v>24411.7</v>
      </c>
      <c r="H898" s="301">
        <f>Tabla15[[#This Row],[Importe]]-Tabla15[[#This Row],[Pagado]]</f>
        <v>0</v>
      </c>
      <c r="I898" s="275" t="s">
        <v>15214</v>
      </c>
    </row>
    <row r="899" spans="1:9" x14ac:dyDescent="0.25">
      <c r="A899" s="420">
        <v>43015</v>
      </c>
      <c r="B899" s="302" t="s">
        <v>32548</v>
      </c>
      <c r="C899">
        <v>130462</v>
      </c>
      <c r="D899" s="275" t="s">
        <v>15284</v>
      </c>
      <c r="E899" s="301">
        <v>989</v>
      </c>
      <c r="F899" s="303">
        <v>43015</v>
      </c>
      <c r="G899" s="301">
        <v>989</v>
      </c>
      <c r="H899" s="301">
        <f>Tabla15[[#This Row],[Importe]]-Tabla15[[#This Row],[Pagado]]</f>
        <v>0</v>
      </c>
      <c r="I899" s="275" t="s">
        <v>15214</v>
      </c>
    </row>
    <row r="900" spans="1:9" x14ac:dyDescent="0.25">
      <c r="A900" s="420">
        <v>43015</v>
      </c>
      <c r="B900" s="302" t="s">
        <v>32549</v>
      </c>
      <c r="C900">
        <v>130463</v>
      </c>
      <c r="D900" s="275" t="s">
        <v>17462</v>
      </c>
      <c r="E900" s="301">
        <v>2688</v>
      </c>
      <c r="F900" s="303">
        <v>43015</v>
      </c>
      <c r="G900" s="301">
        <v>2688</v>
      </c>
      <c r="H900" s="301">
        <f>Tabla15[[#This Row],[Importe]]-Tabla15[[#This Row],[Pagado]]</f>
        <v>0</v>
      </c>
      <c r="I900" s="275" t="s">
        <v>15214</v>
      </c>
    </row>
    <row r="901" spans="1:9" x14ac:dyDescent="0.25">
      <c r="A901" s="420">
        <v>43015</v>
      </c>
      <c r="B901" s="302" t="s">
        <v>32550</v>
      </c>
      <c r="C901">
        <v>130464</v>
      </c>
      <c r="D901" s="275" t="s">
        <v>15315</v>
      </c>
      <c r="E901" s="301">
        <v>4224</v>
      </c>
      <c r="F901" s="303">
        <v>43017</v>
      </c>
      <c r="G901" s="301">
        <v>4224</v>
      </c>
      <c r="H901" s="301">
        <f>Tabla15[[#This Row],[Importe]]-Tabla15[[#This Row],[Pagado]]</f>
        <v>0</v>
      </c>
      <c r="I901" s="275" t="s">
        <v>15214</v>
      </c>
    </row>
    <row r="902" spans="1:9" x14ac:dyDescent="0.25">
      <c r="A902" s="420">
        <v>43015</v>
      </c>
      <c r="B902" s="302" t="s">
        <v>32551</v>
      </c>
      <c r="C902">
        <v>130465</v>
      </c>
      <c r="D902" s="275" t="s">
        <v>15315</v>
      </c>
      <c r="E902" s="301">
        <v>1097.4000000000001</v>
      </c>
      <c r="F902" s="303">
        <v>43017</v>
      </c>
      <c r="G902" s="301">
        <v>1097.4000000000001</v>
      </c>
      <c r="H902" s="301">
        <f>Tabla15[[#This Row],[Importe]]-Tabla15[[#This Row],[Pagado]]</f>
        <v>0</v>
      </c>
      <c r="I902" s="275" t="s">
        <v>15214</v>
      </c>
    </row>
    <row r="903" spans="1:9" x14ac:dyDescent="0.25">
      <c r="A903" s="420">
        <v>43015</v>
      </c>
      <c r="B903" s="302" t="s">
        <v>32552</v>
      </c>
      <c r="C903">
        <v>130466</v>
      </c>
      <c r="D903" s="275" t="s">
        <v>15328</v>
      </c>
      <c r="E903" s="301">
        <v>36840.9</v>
      </c>
      <c r="F903" s="303">
        <v>43021</v>
      </c>
      <c r="G903" s="301">
        <v>36840.9</v>
      </c>
      <c r="H903" s="301">
        <f>Tabla15[[#This Row],[Importe]]-Tabla15[[#This Row],[Pagado]]</f>
        <v>0</v>
      </c>
      <c r="I903" s="275" t="s">
        <v>15214</v>
      </c>
    </row>
    <row r="904" spans="1:9" x14ac:dyDescent="0.25">
      <c r="A904" s="420">
        <v>43015</v>
      </c>
      <c r="B904" s="302" t="s">
        <v>32553</v>
      </c>
      <c r="C904">
        <v>130467</v>
      </c>
      <c r="D904" s="275" t="s">
        <v>15246</v>
      </c>
      <c r="E904" s="301">
        <v>42472.639999999999</v>
      </c>
      <c r="F904" s="303">
        <v>43017</v>
      </c>
      <c r="G904" s="301">
        <v>42472.639999999999</v>
      </c>
      <c r="H904" s="301">
        <f>Tabla15[[#This Row],[Importe]]-Tabla15[[#This Row],[Pagado]]</f>
        <v>0</v>
      </c>
      <c r="I904" s="275" t="s">
        <v>15214</v>
      </c>
    </row>
    <row r="905" spans="1:9" x14ac:dyDescent="0.25">
      <c r="A905" s="420">
        <v>43015</v>
      </c>
      <c r="B905" s="302" t="s">
        <v>32554</v>
      </c>
      <c r="C905">
        <v>130468</v>
      </c>
      <c r="D905" s="275" t="s">
        <v>15250</v>
      </c>
      <c r="E905" s="301">
        <v>1198.56</v>
      </c>
      <c r="F905" s="303">
        <v>43022</v>
      </c>
      <c r="G905" s="301">
        <v>1198.56</v>
      </c>
      <c r="H905" s="301">
        <f>Tabla15[[#This Row],[Importe]]-Tabla15[[#This Row],[Pagado]]</f>
        <v>0</v>
      </c>
      <c r="I905" s="275" t="s">
        <v>15214</v>
      </c>
    </row>
    <row r="906" spans="1:9" x14ac:dyDescent="0.25">
      <c r="A906" s="420">
        <v>43015</v>
      </c>
      <c r="B906" s="302" t="s">
        <v>32555</v>
      </c>
      <c r="C906">
        <v>130469</v>
      </c>
      <c r="D906" s="275" t="s">
        <v>15365</v>
      </c>
      <c r="E906" s="301">
        <v>8911</v>
      </c>
      <c r="F906" s="303">
        <v>43022</v>
      </c>
      <c r="G906" s="301">
        <v>8911</v>
      </c>
      <c r="H906" s="301">
        <f>Tabla15[[#This Row],[Importe]]-Tabla15[[#This Row],[Pagado]]</f>
        <v>0</v>
      </c>
      <c r="I906" s="275" t="s">
        <v>15214</v>
      </c>
    </row>
    <row r="907" spans="1:9" x14ac:dyDescent="0.25">
      <c r="A907" s="420">
        <v>43015</v>
      </c>
      <c r="B907" s="302" t="s">
        <v>32556</v>
      </c>
      <c r="C907">
        <v>130470</v>
      </c>
      <c r="D907" s="275" t="s">
        <v>15541</v>
      </c>
      <c r="E907" s="301">
        <v>2338</v>
      </c>
      <c r="F907" s="303">
        <v>43016</v>
      </c>
      <c r="G907" s="301">
        <v>2338</v>
      </c>
      <c r="H907" s="301">
        <f>Tabla15[[#This Row],[Importe]]-Tabla15[[#This Row],[Pagado]]</f>
        <v>0</v>
      </c>
      <c r="I907" s="275" t="s">
        <v>15214</v>
      </c>
    </row>
    <row r="908" spans="1:9" x14ac:dyDescent="0.25">
      <c r="A908" s="420">
        <v>43015</v>
      </c>
      <c r="B908" s="302" t="s">
        <v>32557</v>
      </c>
      <c r="C908">
        <v>130471</v>
      </c>
      <c r="D908" s="275" t="s">
        <v>15378</v>
      </c>
      <c r="E908" s="301">
        <v>471.6</v>
      </c>
      <c r="F908" s="303">
        <v>43015</v>
      </c>
      <c r="G908" s="301">
        <v>471.6</v>
      </c>
      <c r="H908" s="301">
        <f>Tabla15[[#This Row],[Importe]]-Tabla15[[#This Row],[Pagado]]</f>
        <v>0</v>
      </c>
      <c r="I908" s="275" t="s">
        <v>15214</v>
      </c>
    </row>
    <row r="909" spans="1:9" x14ac:dyDescent="0.25">
      <c r="A909" s="420">
        <v>43015</v>
      </c>
      <c r="B909" s="302" t="s">
        <v>32558</v>
      </c>
      <c r="C909">
        <v>130472</v>
      </c>
      <c r="D909" s="275" t="s">
        <v>15378</v>
      </c>
      <c r="E909" s="301">
        <v>565.29999999999995</v>
      </c>
      <c r="F909" s="303">
        <v>43015</v>
      </c>
      <c r="G909" s="301">
        <v>565.29999999999995</v>
      </c>
      <c r="H909" s="301">
        <f>Tabla15[[#This Row],[Importe]]-Tabla15[[#This Row],[Pagado]]</f>
        <v>0</v>
      </c>
      <c r="I909" s="275" t="s">
        <v>15214</v>
      </c>
    </row>
    <row r="910" spans="1:9" x14ac:dyDescent="0.25">
      <c r="A910" s="420">
        <v>43015</v>
      </c>
      <c r="B910" s="302" t="s">
        <v>32559</v>
      </c>
      <c r="C910">
        <v>130473</v>
      </c>
      <c r="D910" s="275" t="s">
        <v>15644</v>
      </c>
      <c r="E910" s="301">
        <v>2741.6</v>
      </c>
      <c r="F910" s="303">
        <v>43018</v>
      </c>
      <c r="G910" s="301">
        <v>2741.6</v>
      </c>
      <c r="H910" s="301">
        <f>Tabla15[[#This Row],[Importe]]-Tabla15[[#This Row],[Pagado]]</f>
        <v>0</v>
      </c>
      <c r="I910" s="275" t="s">
        <v>15214</v>
      </c>
    </row>
    <row r="911" spans="1:9" x14ac:dyDescent="0.25">
      <c r="A911" s="420">
        <v>43015</v>
      </c>
      <c r="B911" s="302" t="s">
        <v>32560</v>
      </c>
      <c r="C911">
        <v>130474</v>
      </c>
      <c r="D911" s="275" t="s">
        <v>15642</v>
      </c>
      <c r="E911" s="301">
        <v>117</v>
      </c>
      <c r="F911" s="303">
        <v>43016</v>
      </c>
      <c r="G911" s="301">
        <v>117</v>
      </c>
      <c r="H911" s="301">
        <f>Tabla15[[#This Row],[Importe]]-Tabla15[[#This Row],[Pagado]]</f>
        <v>0</v>
      </c>
      <c r="I911" s="275" t="s">
        <v>15214</v>
      </c>
    </row>
    <row r="912" spans="1:9" ht="30" x14ac:dyDescent="0.25">
      <c r="A912" s="420">
        <v>43016</v>
      </c>
      <c r="B912" s="302" t="s">
        <v>32561</v>
      </c>
      <c r="C912">
        <v>130475</v>
      </c>
      <c r="D912" s="275" t="s">
        <v>15213</v>
      </c>
      <c r="E912" s="301">
        <v>47788.800000000003</v>
      </c>
      <c r="F912" s="303" t="s">
        <v>32142</v>
      </c>
      <c r="G912" s="305">
        <f>37500+10288.8</f>
        <v>47788.800000000003</v>
      </c>
      <c r="H912" s="305">
        <f>Tabla15[[#This Row],[Importe]]-Tabla15[[#This Row],[Pagado]]</f>
        <v>0</v>
      </c>
      <c r="I912" s="275" t="s">
        <v>15214</v>
      </c>
    </row>
    <row r="913" spans="1:9" ht="15.75" x14ac:dyDescent="0.25">
      <c r="A913" s="420">
        <v>43016</v>
      </c>
      <c r="B913" s="302" t="s">
        <v>32562</v>
      </c>
      <c r="C913">
        <v>130476</v>
      </c>
      <c r="D913" s="248" t="s">
        <v>95</v>
      </c>
      <c r="E913" s="301">
        <v>0</v>
      </c>
      <c r="F913" s="243" t="s">
        <v>95</v>
      </c>
      <c r="G913" s="301">
        <v>0</v>
      </c>
      <c r="H913" s="301">
        <f>Tabla15[[#This Row],[Importe]]-Tabla15[[#This Row],[Pagado]]</f>
        <v>0</v>
      </c>
      <c r="I913" s="275" t="s">
        <v>95</v>
      </c>
    </row>
    <row r="914" spans="1:9" x14ac:dyDescent="0.25">
      <c r="A914" s="420">
        <v>43016</v>
      </c>
      <c r="B914" s="302" t="s">
        <v>32563</v>
      </c>
      <c r="C914">
        <v>130477</v>
      </c>
      <c r="D914" s="275" t="s">
        <v>21386</v>
      </c>
      <c r="E914" s="301">
        <v>9131.6</v>
      </c>
      <c r="F914" s="303">
        <v>43017</v>
      </c>
      <c r="G914" s="301">
        <v>9131.6</v>
      </c>
      <c r="H914" s="301">
        <f>Tabla15[[#This Row],[Importe]]-Tabla15[[#This Row],[Pagado]]</f>
        <v>0</v>
      </c>
      <c r="I914" s="275" t="s">
        <v>15214</v>
      </c>
    </row>
    <row r="915" spans="1:9" x14ac:dyDescent="0.25">
      <c r="A915" s="420">
        <v>43016</v>
      </c>
      <c r="B915" s="302" t="s">
        <v>32564</v>
      </c>
      <c r="C915">
        <v>130478</v>
      </c>
      <c r="D915" s="275" t="s">
        <v>17462</v>
      </c>
      <c r="E915" s="301">
        <v>6542.4</v>
      </c>
      <c r="F915" s="303">
        <v>43016</v>
      </c>
      <c r="G915" s="301">
        <v>6542.4</v>
      </c>
      <c r="H915" s="301">
        <f>Tabla15[[#This Row],[Importe]]-Tabla15[[#This Row],[Pagado]]</f>
        <v>0</v>
      </c>
      <c r="I915" s="275" t="s">
        <v>15214</v>
      </c>
    </row>
    <row r="916" spans="1:9" x14ac:dyDescent="0.25">
      <c r="A916" s="420">
        <v>43016</v>
      </c>
      <c r="B916" s="302" t="s">
        <v>32565</v>
      </c>
      <c r="C916">
        <v>130479</v>
      </c>
      <c r="D916" s="275" t="s">
        <v>15810</v>
      </c>
      <c r="E916" s="301">
        <v>716.1</v>
      </c>
      <c r="F916" s="303">
        <v>43016</v>
      </c>
      <c r="G916" s="301">
        <v>716.1</v>
      </c>
      <c r="H916" s="301">
        <f>Tabla15[[#This Row],[Importe]]-Tabla15[[#This Row],[Pagado]]</f>
        <v>0</v>
      </c>
      <c r="I916" s="275" t="s">
        <v>15214</v>
      </c>
    </row>
    <row r="917" spans="1:9" x14ac:dyDescent="0.25">
      <c r="A917" s="420">
        <v>43016</v>
      </c>
      <c r="B917" s="302" t="s">
        <v>32566</v>
      </c>
      <c r="C917">
        <v>130480</v>
      </c>
      <c r="D917" s="275" t="s">
        <v>15246</v>
      </c>
      <c r="E917" s="301">
        <v>71604.479999999996</v>
      </c>
      <c r="F917" s="303">
        <v>43017</v>
      </c>
      <c r="G917" s="301">
        <v>71604.479999999996</v>
      </c>
      <c r="H917" s="301">
        <f>Tabla15[[#This Row],[Importe]]-Tabla15[[#This Row],[Pagado]]</f>
        <v>0</v>
      </c>
      <c r="I917" s="275" t="s">
        <v>15214</v>
      </c>
    </row>
    <row r="918" spans="1:9" x14ac:dyDescent="0.25">
      <c r="A918" s="420">
        <v>43016</v>
      </c>
      <c r="B918" s="302" t="s">
        <v>32567</v>
      </c>
      <c r="C918">
        <v>130481</v>
      </c>
      <c r="D918" s="275" t="s">
        <v>15267</v>
      </c>
      <c r="E918" s="301">
        <v>14825.4</v>
      </c>
      <c r="F918" s="303">
        <v>43016</v>
      </c>
      <c r="G918" s="301">
        <v>14825.4</v>
      </c>
      <c r="H918" s="301">
        <f>Tabla15[[#This Row],[Importe]]-Tabla15[[#This Row],[Pagado]]</f>
        <v>0</v>
      </c>
      <c r="I918" s="275" t="s">
        <v>15214</v>
      </c>
    </row>
    <row r="919" spans="1:9" x14ac:dyDescent="0.25">
      <c r="A919" s="420">
        <v>43016</v>
      </c>
      <c r="B919" s="302" t="s">
        <v>32568</v>
      </c>
      <c r="C919">
        <v>130482</v>
      </c>
      <c r="D919" s="275" t="s">
        <v>19302</v>
      </c>
      <c r="E919" s="301">
        <v>1100</v>
      </c>
      <c r="F919" s="303">
        <v>43016</v>
      </c>
      <c r="G919" s="301">
        <v>1100</v>
      </c>
      <c r="H919" s="301">
        <f>Tabla15[[#This Row],[Importe]]-Tabla15[[#This Row],[Pagado]]</f>
        <v>0</v>
      </c>
      <c r="I919" s="275" t="s">
        <v>15214</v>
      </c>
    </row>
    <row r="920" spans="1:9" x14ac:dyDescent="0.25">
      <c r="A920" s="420">
        <v>43016</v>
      </c>
      <c r="B920" s="302" t="s">
        <v>32569</v>
      </c>
      <c r="C920">
        <v>130483</v>
      </c>
      <c r="D920" s="275" t="s">
        <v>15220</v>
      </c>
      <c r="E920" s="301">
        <v>4620</v>
      </c>
      <c r="F920" s="303">
        <v>43016</v>
      </c>
      <c r="G920" s="301">
        <v>4620</v>
      </c>
      <c r="H920" s="301">
        <f>Tabla15[[#This Row],[Importe]]-Tabla15[[#This Row],[Pagado]]</f>
        <v>0</v>
      </c>
      <c r="I920" s="275" t="s">
        <v>15214</v>
      </c>
    </row>
    <row r="921" spans="1:9" ht="15.75" x14ac:dyDescent="0.25">
      <c r="A921" s="420">
        <v>43016</v>
      </c>
      <c r="B921" s="302" t="s">
        <v>32570</v>
      </c>
      <c r="C921">
        <v>130484</v>
      </c>
      <c r="D921" s="248" t="s">
        <v>95</v>
      </c>
      <c r="E921" s="301">
        <v>0</v>
      </c>
      <c r="F921" s="243" t="s">
        <v>95</v>
      </c>
      <c r="G921" s="301">
        <v>0</v>
      </c>
      <c r="H921" s="301">
        <f>Tabla15[[#This Row],[Importe]]-Tabla15[[#This Row],[Pagado]]</f>
        <v>0</v>
      </c>
      <c r="I921" s="275" t="s">
        <v>95</v>
      </c>
    </row>
    <row r="922" spans="1:9" x14ac:dyDescent="0.25">
      <c r="A922" s="420">
        <v>43016</v>
      </c>
      <c r="B922" s="302" t="s">
        <v>32571</v>
      </c>
      <c r="C922">
        <v>130485</v>
      </c>
      <c r="D922" s="275" t="s">
        <v>15272</v>
      </c>
      <c r="E922" s="301">
        <v>26752.799999999999</v>
      </c>
      <c r="F922" s="303">
        <v>43016</v>
      </c>
      <c r="G922" s="301">
        <v>26752.799999999999</v>
      </c>
      <c r="H922" s="301">
        <f>Tabla15[[#This Row],[Importe]]-Tabla15[[#This Row],[Pagado]]</f>
        <v>0</v>
      </c>
      <c r="I922" s="275" t="s">
        <v>15214</v>
      </c>
    </row>
    <row r="923" spans="1:9" x14ac:dyDescent="0.25">
      <c r="A923" s="420">
        <v>43016</v>
      </c>
      <c r="B923" s="302" t="s">
        <v>32572</v>
      </c>
      <c r="C923">
        <v>130486</v>
      </c>
      <c r="D923" s="275" t="s">
        <v>15487</v>
      </c>
      <c r="E923" s="301">
        <v>8226.4</v>
      </c>
      <c r="F923" s="303">
        <v>43016</v>
      </c>
      <c r="G923" s="301">
        <v>8226.4</v>
      </c>
      <c r="H923" s="301">
        <f>Tabla15[[#This Row],[Importe]]-Tabla15[[#This Row],[Pagado]]</f>
        <v>0</v>
      </c>
      <c r="I923" s="275" t="s">
        <v>15214</v>
      </c>
    </row>
    <row r="924" spans="1:9" x14ac:dyDescent="0.25">
      <c r="A924" s="420">
        <v>43016</v>
      </c>
      <c r="B924" s="302" t="s">
        <v>32573</v>
      </c>
      <c r="C924">
        <v>130487</v>
      </c>
      <c r="D924" s="275" t="s">
        <v>15577</v>
      </c>
      <c r="E924" s="301">
        <v>911.5</v>
      </c>
      <c r="F924" s="303">
        <v>43016</v>
      </c>
      <c r="G924" s="301">
        <v>911.5</v>
      </c>
      <c r="H924" s="301">
        <f>Tabla15[[#This Row],[Importe]]-Tabla15[[#This Row],[Pagado]]</f>
        <v>0</v>
      </c>
      <c r="I924" s="275" t="s">
        <v>15214</v>
      </c>
    </row>
    <row r="925" spans="1:9" x14ac:dyDescent="0.25">
      <c r="A925" s="420">
        <v>43016</v>
      </c>
      <c r="B925" s="302" t="s">
        <v>32574</v>
      </c>
      <c r="C925">
        <v>130488</v>
      </c>
      <c r="D925" s="275" t="s">
        <v>15725</v>
      </c>
      <c r="E925" s="301">
        <v>6505.2</v>
      </c>
      <c r="F925" s="303">
        <v>43019</v>
      </c>
      <c r="G925" s="301">
        <v>6505.2</v>
      </c>
      <c r="H925" s="301">
        <f>Tabla15[[#This Row],[Importe]]-Tabla15[[#This Row],[Pagado]]</f>
        <v>0</v>
      </c>
      <c r="I925" s="275" t="s">
        <v>15214</v>
      </c>
    </row>
    <row r="926" spans="1:9" x14ac:dyDescent="0.25">
      <c r="A926" s="420">
        <v>43016</v>
      </c>
      <c r="B926" s="302" t="s">
        <v>32575</v>
      </c>
      <c r="C926">
        <v>130489</v>
      </c>
      <c r="D926" s="275" t="s">
        <v>15244</v>
      </c>
      <c r="E926" s="301">
        <v>9897.5</v>
      </c>
      <c r="F926" s="303">
        <v>43016</v>
      </c>
      <c r="G926" s="301">
        <v>9897.5</v>
      </c>
      <c r="H926" s="301">
        <f>Tabla15[[#This Row],[Importe]]-Tabla15[[#This Row],[Pagado]]</f>
        <v>0</v>
      </c>
      <c r="I926" s="275" t="s">
        <v>15214</v>
      </c>
    </row>
    <row r="927" spans="1:9" x14ac:dyDescent="0.25">
      <c r="A927" s="420">
        <v>43016</v>
      </c>
      <c r="B927" s="302" t="s">
        <v>32576</v>
      </c>
      <c r="C927">
        <v>130490</v>
      </c>
      <c r="D927" s="275" t="s">
        <v>19776</v>
      </c>
      <c r="E927" s="301">
        <v>4734.3</v>
      </c>
      <c r="F927" s="303">
        <v>43016</v>
      </c>
      <c r="G927" s="301">
        <v>4734.3</v>
      </c>
      <c r="H927" s="301">
        <f>Tabla15[[#This Row],[Importe]]-Tabla15[[#This Row],[Pagado]]</f>
        <v>0</v>
      </c>
      <c r="I927" s="275" t="s">
        <v>15214</v>
      </c>
    </row>
    <row r="928" spans="1:9" x14ac:dyDescent="0.25">
      <c r="A928" s="420">
        <v>43016</v>
      </c>
      <c r="B928" s="302" t="s">
        <v>32577</v>
      </c>
      <c r="C928">
        <v>130491</v>
      </c>
      <c r="D928" s="275" t="s">
        <v>15562</v>
      </c>
      <c r="E928" s="301">
        <v>3207.2</v>
      </c>
      <c r="F928" s="303">
        <v>43016</v>
      </c>
      <c r="G928" s="301">
        <v>3207.2</v>
      </c>
      <c r="H928" s="301">
        <f>Tabla15[[#This Row],[Importe]]-Tabla15[[#This Row],[Pagado]]</f>
        <v>0</v>
      </c>
      <c r="I928" s="275" t="s">
        <v>15214</v>
      </c>
    </row>
    <row r="929" spans="1:9" x14ac:dyDescent="0.25">
      <c r="A929" s="420">
        <v>43016</v>
      </c>
      <c r="B929" s="302" t="s">
        <v>32578</v>
      </c>
      <c r="C929">
        <v>130492</v>
      </c>
      <c r="D929" s="275" t="s">
        <v>15252</v>
      </c>
      <c r="E929" s="301">
        <v>6841.3</v>
      </c>
      <c r="F929" s="303">
        <v>43016</v>
      </c>
      <c r="G929" s="301">
        <v>6841.3</v>
      </c>
      <c r="H929" s="301">
        <f>Tabla15[[#This Row],[Importe]]-Tabla15[[#This Row],[Pagado]]</f>
        <v>0</v>
      </c>
      <c r="I929" s="275" t="s">
        <v>15214</v>
      </c>
    </row>
    <row r="930" spans="1:9" x14ac:dyDescent="0.25">
      <c r="A930" s="420">
        <v>43016</v>
      </c>
      <c r="B930" s="302" t="s">
        <v>32579</v>
      </c>
      <c r="C930">
        <v>130493</v>
      </c>
      <c r="D930" s="275" t="s">
        <v>15668</v>
      </c>
      <c r="E930" s="301">
        <v>15643.6</v>
      </c>
      <c r="F930" s="303">
        <v>43018</v>
      </c>
      <c r="G930" s="301">
        <v>15643.6</v>
      </c>
      <c r="H930" s="301">
        <f>Tabla15[[#This Row],[Importe]]-Tabla15[[#This Row],[Pagado]]</f>
        <v>0</v>
      </c>
      <c r="I930" s="275" t="s">
        <v>15214</v>
      </c>
    </row>
    <row r="931" spans="1:9" x14ac:dyDescent="0.25">
      <c r="A931" s="420">
        <v>43016</v>
      </c>
      <c r="B931" s="302" t="s">
        <v>32580</v>
      </c>
      <c r="C931">
        <v>130494</v>
      </c>
      <c r="D931" s="275" t="s">
        <v>15315</v>
      </c>
      <c r="E931" s="301">
        <v>1033.5</v>
      </c>
      <c r="F931" s="303">
        <v>43016</v>
      </c>
      <c r="G931" s="301">
        <v>1033.5</v>
      </c>
      <c r="H931" s="301">
        <f>Tabla15[[#This Row],[Importe]]-Tabla15[[#This Row],[Pagado]]</f>
        <v>0</v>
      </c>
      <c r="I931" s="275" t="s">
        <v>15214</v>
      </c>
    </row>
    <row r="932" spans="1:9" x14ac:dyDescent="0.25">
      <c r="A932" s="420">
        <v>43016</v>
      </c>
      <c r="B932" s="302" t="s">
        <v>32581</v>
      </c>
      <c r="C932">
        <v>130495</v>
      </c>
      <c r="D932" s="275" t="s">
        <v>15315</v>
      </c>
      <c r="E932" s="301">
        <v>220</v>
      </c>
      <c r="F932" s="303">
        <v>43016</v>
      </c>
      <c r="G932" s="301">
        <v>220</v>
      </c>
      <c r="H932" s="301">
        <f>Tabla15[[#This Row],[Importe]]-Tabla15[[#This Row],[Pagado]]</f>
        <v>0</v>
      </c>
      <c r="I932" s="275" t="s">
        <v>15214</v>
      </c>
    </row>
    <row r="933" spans="1:9" x14ac:dyDescent="0.25">
      <c r="A933" s="420">
        <v>43016</v>
      </c>
      <c r="B933" s="302" t="s">
        <v>32582</v>
      </c>
      <c r="C933">
        <v>130496</v>
      </c>
      <c r="D933" s="275" t="s">
        <v>15280</v>
      </c>
      <c r="E933" s="301">
        <v>4734.3999999999996</v>
      </c>
      <c r="F933" s="303">
        <v>43016</v>
      </c>
      <c r="G933" s="301">
        <v>4734.3999999999996</v>
      </c>
      <c r="H933" s="301">
        <f>Tabla15[[#This Row],[Importe]]-Tabla15[[#This Row],[Pagado]]</f>
        <v>0</v>
      </c>
      <c r="I933" s="275" t="s">
        <v>15214</v>
      </c>
    </row>
    <row r="934" spans="1:9" ht="15.75" x14ac:dyDescent="0.25">
      <c r="A934" s="420">
        <v>43016</v>
      </c>
      <c r="B934" s="302" t="s">
        <v>32583</v>
      </c>
      <c r="C934">
        <v>130497</v>
      </c>
      <c r="D934" s="248" t="s">
        <v>95</v>
      </c>
      <c r="E934" s="301">
        <v>0</v>
      </c>
      <c r="F934" s="243" t="s">
        <v>95</v>
      </c>
      <c r="G934" s="301">
        <v>0</v>
      </c>
      <c r="H934" s="301">
        <f>Tabla15[[#This Row],[Importe]]-Tabla15[[#This Row],[Pagado]]</f>
        <v>0</v>
      </c>
      <c r="I934" s="275" t="s">
        <v>95</v>
      </c>
    </row>
    <row r="935" spans="1:9" x14ac:dyDescent="0.25">
      <c r="A935" s="420">
        <v>43016</v>
      </c>
      <c r="B935" s="302" t="s">
        <v>32584</v>
      </c>
      <c r="C935">
        <v>130498</v>
      </c>
      <c r="D935" s="275" t="s">
        <v>16023</v>
      </c>
      <c r="E935" s="301">
        <v>1554.9</v>
      </c>
      <c r="F935" s="303">
        <v>43016</v>
      </c>
      <c r="G935" s="301">
        <v>1554.9</v>
      </c>
      <c r="H935" s="301">
        <f>Tabla15[[#This Row],[Importe]]-Tabla15[[#This Row],[Pagado]]</f>
        <v>0</v>
      </c>
      <c r="I935" s="275" t="s">
        <v>15214</v>
      </c>
    </row>
    <row r="936" spans="1:9" x14ac:dyDescent="0.25">
      <c r="A936" s="420">
        <v>43016</v>
      </c>
      <c r="B936" s="302" t="s">
        <v>32585</v>
      </c>
      <c r="C936">
        <v>130499</v>
      </c>
      <c r="D936" s="275" t="s">
        <v>15242</v>
      </c>
      <c r="E936" s="301">
        <v>8118</v>
      </c>
      <c r="F936" s="303">
        <v>43017</v>
      </c>
      <c r="G936" s="301">
        <v>8118</v>
      </c>
      <c r="H936" s="301">
        <f>Tabla15[[#This Row],[Importe]]-Tabla15[[#This Row],[Pagado]]</f>
        <v>0</v>
      </c>
      <c r="I936" s="275" t="s">
        <v>15214</v>
      </c>
    </row>
    <row r="937" spans="1:9" x14ac:dyDescent="0.25">
      <c r="A937" s="420">
        <v>43016</v>
      </c>
      <c r="B937" s="302" t="s">
        <v>32586</v>
      </c>
      <c r="C937">
        <v>130500</v>
      </c>
      <c r="D937" s="275" t="s">
        <v>16249</v>
      </c>
      <c r="E937" s="301">
        <v>2881.4</v>
      </c>
      <c r="F937" s="303">
        <v>43016</v>
      </c>
      <c r="G937" s="301">
        <v>2881.4</v>
      </c>
      <c r="H937" s="301">
        <f>Tabla15[[#This Row],[Importe]]-Tabla15[[#This Row],[Pagado]]</f>
        <v>0</v>
      </c>
      <c r="I937" s="275" t="s">
        <v>15214</v>
      </c>
    </row>
    <row r="938" spans="1:9" x14ac:dyDescent="0.25">
      <c r="A938" s="420">
        <v>43016</v>
      </c>
      <c r="B938" s="302" t="s">
        <v>32587</v>
      </c>
      <c r="C938">
        <v>130501</v>
      </c>
      <c r="D938" s="275" t="s">
        <v>16249</v>
      </c>
      <c r="E938" s="301">
        <v>348</v>
      </c>
      <c r="F938" s="303">
        <v>43016</v>
      </c>
      <c r="G938" s="301">
        <v>348</v>
      </c>
      <c r="H938" s="301">
        <f>Tabla15[[#This Row],[Importe]]-Tabla15[[#This Row],[Pagado]]</f>
        <v>0</v>
      </c>
      <c r="I938" s="275" t="s">
        <v>15214</v>
      </c>
    </row>
    <row r="939" spans="1:9" x14ac:dyDescent="0.25">
      <c r="A939" s="420">
        <v>43016</v>
      </c>
      <c r="B939" s="302" t="s">
        <v>32588</v>
      </c>
      <c r="C939">
        <v>130502</v>
      </c>
      <c r="D939" s="275" t="s">
        <v>15716</v>
      </c>
      <c r="E939" s="301">
        <v>1561.6</v>
      </c>
      <c r="F939" s="303">
        <v>43016</v>
      </c>
      <c r="G939" s="301">
        <v>1561.6</v>
      </c>
      <c r="H939" s="301">
        <f>Tabla15[[#This Row],[Importe]]-Tabla15[[#This Row],[Pagado]]</f>
        <v>0</v>
      </c>
      <c r="I939" s="275" t="s">
        <v>15214</v>
      </c>
    </row>
    <row r="940" spans="1:9" x14ac:dyDescent="0.25">
      <c r="A940" s="420">
        <v>43016</v>
      </c>
      <c r="B940" s="302" t="s">
        <v>32589</v>
      </c>
      <c r="C940">
        <v>130503</v>
      </c>
      <c r="D940" s="275" t="s">
        <v>15371</v>
      </c>
      <c r="E940" s="301">
        <v>3726.9</v>
      </c>
      <c r="F940" s="303">
        <v>43017</v>
      </c>
      <c r="G940" s="301">
        <v>3726.9</v>
      </c>
      <c r="H940" s="301">
        <f>Tabla15[[#This Row],[Importe]]-Tabla15[[#This Row],[Pagado]]</f>
        <v>0</v>
      </c>
      <c r="I940" s="275" t="s">
        <v>15214</v>
      </c>
    </row>
    <row r="941" spans="1:9" ht="30" x14ac:dyDescent="0.25">
      <c r="A941" s="420">
        <v>43016</v>
      </c>
      <c r="B941" s="302" t="s">
        <v>32590</v>
      </c>
      <c r="C941">
        <v>130504</v>
      </c>
      <c r="D941" s="275" t="s">
        <v>15530</v>
      </c>
      <c r="E941" s="301">
        <v>3508.4</v>
      </c>
      <c r="F941" s="303" t="s">
        <v>32591</v>
      </c>
      <c r="G941" s="305">
        <f>3308.4+200</f>
        <v>3508.4</v>
      </c>
      <c r="H941" s="305">
        <f>Tabla15[[#This Row],[Importe]]-Tabla15[[#This Row],[Pagado]]</f>
        <v>0</v>
      </c>
      <c r="I941" s="275" t="s">
        <v>15214</v>
      </c>
    </row>
    <row r="942" spans="1:9" x14ac:dyDescent="0.25">
      <c r="A942" s="420">
        <v>43016</v>
      </c>
      <c r="B942" s="302" t="s">
        <v>32592</v>
      </c>
      <c r="C942">
        <v>130505</v>
      </c>
      <c r="D942" s="275" t="s">
        <v>19756</v>
      </c>
      <c r="E942" s="301">
        <v>1017</v>
      </c>
      <c r="F942" s="303">
        <v>43016</v>
      </c>
      <c r="G942" s="301">
        <v>1017</v>
      </c>
      <c r="H942" s="301">
        <f>Tabla15[[#This Row],[Importe]]-Tabla15[[#This Row],[Pagado]]</f>
        <v>0</v>
      </c>
      <c r="I942" s="275" t="s">
        <v>15214</v>
      </c>
    </row>
    <row r="943" spans="1:9" x14ac:dyDescent="0.25">
      <c r="A943" s="420">
        <v>43016</v>
      </c>
      <c r="B943" s="302" t="s">
        <v>32593</v>
      </c>
      <c r="C943">
        <v>130506</v>
      </c>
      <c r="D943" s="275" t="s">
        <v>15315</v>
      </c>
      <c r="E943" s="301">
        <v>1322.2</v>
      </c>
      <c r="F943" s="303">
        <v>43016</v>
      </c>
      <c r="G943" s="301">
        <v>1322.2</v>
      </c>
      <c r="H943" s="301">
        <f>Tabla15[[#This Row],[Importe]]-Tabla15[[#This Row],[Pagado]]</f>
        <v>0</v>
      </c>
      <c r="I943" s="275" t="s">
        <v>15214</v>
      </c>
    </row>
    <row r="944" spans="1:9" x14ac:dyDescent="0.25">
      <c r="A944" s="420">
        <v>43016</v>
      </c>
      <c r="B944" s="302" t="s">
        <v>32594</v>
      </c>
      <c r="C944">
        <v>130507</v>
      </c>
      <c r="D944" s="275" t="s">
        <v>15358</v>
      </c>
      <c r="E944" s="301">
        <v>1887.7</v>
      </c>
      <c r="F944" s="303">
        <v>43017</v>
      </c>
      <c r="G944" s="301">
        <v>1887.7</v>
      </c>
      <c r="H944" s="301">
        <f>Tabla15[[#This Row],[Importe]]-Tabla15[[#This Row],[Pagado]]</f>
        <v>0</v>
      </c>
      <c r="I944" s="275" t="s">
        <v>15214</v>
      </c>
    </row>
    <row r="945" spans="1:9" x14ac:dyDescent="0.25">
      <c r="A945" s="420">
        <v>43016</v>
      </c>
      <c r="B945" s="302" t="s">
        <v>32595</v>
      </c>
      <c r="C945">
        <v>130508</v>
      </c>
      <c r="D945" s="275" t="s">
        <v>15523</v>
      </c>
      <c r="E945" s="301">
        <v>3520</v>
      </c>
      <c r="F945" s="303">
        <v>43017</v>
      </c>
      <c r="G945" s="301">
        <v>3520</v>
      </c>
      <c r="H945" s="301">
        <f>Tabla15[[#This Row],[Importe]]-Tabla15[[#This Row],[Pagado]]</f>
        <v>0</v>
      </c>
      <c r="I945" s="275" t="s">
        <v>15214</v>
      </c>
    </row>
    <row r="946" spans="1:9" x14ac:dyDescent="0.25">
      <c r="A946" s="420">
        <v>43016</v>
      </c>
      <c r="B946" s="302" t="s">
        <v>32596</v>
      </c>
      <c r="C946">
        <v>130509</v>
      </c>
      <c r="D946" s="275" t="s">
        <v>15344</v>
      </c>
      <c r="E946" s="301">
        <v>1899.8</v>
      </c>
      <c r="F946" s="303">
        <v>43017</v>
      </c>
      <c r="G946" s="301">
        <v>1899.8</v>
      </c>
      <c r="H946" s="301">
        <f>Tabla15[[#This Row],[Importe]]-Tabla15[[#This Row],[Pagado]]</f>
        <v>0</v>
      </c>
      <c r="I946" s="275" t="s">
        <v>15214</v>
      </c>
    </row>
    <row r="947" spans="1:9" x14ac:dyDescent="0.25">
      <c r="A947" s="420">
        <v>43016</v>
      </c>
      <c r="B947" s="302" t="s">
        <v>32597</v>
      </c>
      <c r="C947">
        <v>130510</v>
      </c>
      <c r="D947" s="275" t="s">
        <v>15858</v>
      </c>
      <c r="E947" s="301">
        <v>2342.64</v>
      </c>
      <c r="F947" s="303">
        <v>43017</v>
      </c>
      <c r="G947" s="301">
        <v>2342.64</v>
      </c>
      <c r="H947" s="301">
        <f>Tabla15[[#This Row],[Importe]]-Tabla15[[#This Row],[Pagado]]</f>
        <v>0</v>
      </c>
      <c r="I947" s="275" t="s">
        <v>15214</v>
      </c>
    </row>
    <row r="948" spans="1:9" x14ac:dyDescent="0.25">
      <c r="A948" s="420">
        <v>43016</v>
      </c>
      <c r="B948" s="302" t="s">
        <v>32598</v>
      </c>
      <c r="C948">
        <v>130511</v>
      </c>
      <c r="D948" s="275" t="s">
        <v>15332</v>
      </c>
      <c r="E948" s="301">
        <v>2735</v>
      </c>
      <c r="F948" s="303">
        <v>43017</v>
      </c>
      <c r="G948" s="301">
        <v>2735</v>
      </c>
      <c r="H948" s="301">
        <f>Tabla15[[#This Row],[Importe]]-Tabla15[[#This Row],[Pagado]]</f>
        <v>0</v>
      </c>
      <c r="I948" s="275" t="s">
        <v>15214</v>
      </c>
    </row>
    <row r="949" spans="1:9" x14ac:dyDescent="0.25">
      <c r="A949" s="420">
        <v>43016</v>
      </c>
      <c r="B949" s="302" t="s">
        <v>32599</v>
      </c>
      <c r="C949">
        <v>130512</v>
      </c>
      <c r="D949" s="275" t="s">
        <v>15291</v>
      </c>
      <c r="E949" s="301">
        <v>792</v>
      </c>
      <c r="F949" s="303">
        <v>43017</v>
      </c>
      <c r="G949" s="301">
        <v>792</v>
      </c>
      <c r="H949" s="301">
        <f>Tabla15[[#This Row],[Importe]]-Tabla15[[#This Row],[Pagado]]</f>
        <v>0</v>
      </c>
      <c r="I949" s="275" t="s">
        <v>15214</v>
      </c>
    </row>
    <row r="950" spans="1:9" x14ac:dyDescent="0.25">
      <c r="A950" s="420">
        <v>43016</v>
      </c>
      <c r="B950" s="302" t="s">
        <v>32600</v>
      </c>
      <c r="C950">
        <v>130513</v>
      </c>
      <c r="D950" s="275" t="s">
        <v>15324</v>
      </c>
      <c r="E950" s="301">
        <v>1632</v>
      </c>
      <c r="F950" s="303">
        <v>43017</v>
      </c>
      <c r="G950" s="301">
        <v>1632</v>
      </c>
      <c r="H950" s="301">
        <f>Tabla15[[#This Row],[Importe]]-Tabla15[[#This Row],[Pagado]]</f>
        <v>0</v>
      </c>
      <c r="I950" s="275" t="s">
        <v>15214</v>
      </c>
    </row>
    <row r="951" spans="1:9" x14ac:dyDescent="0.25">
      <c r="A951" s="420">
        <v>43016</v>
      </c>
      <c r="B951" s="302" t="s">
        <v>32601</v>
      </c>
      <c r="C951">
        <v>130514</v>
      </c>
      <c r="D951" s="275" t="s">
        <v>15313</v>
      </c>
      <c r="E951" s="301">
        <v>4806.3999999999996</v>
      </c>
      <c r="F951" s="303">
        <v>43018</v>
      </c>
      <c r="G951" s="301">
        <v>4806.3999999999996</v>
      </c>
      <c r="H951" s="301">
        <f>Tabla15[[#This Row],[Importe]]-Tabla15[[#This Row],[Pagado]]</f>
        <v>0</v>
      </c>
      <c r="I951" s="275" t="s">
        <v>15214</v>
      </c>
    </row>
    <row r="952" spans="1:9" x14ac:dyDescent="0.25">
      <c r="A952" s="420">
        <v>43016</v>
      </c>
      <c r="B952" s="302" t="s">
        <v>32602</v>
      </c>
      <c r="C952">
        <v>130515</v>
      </c>
      <c r="D952" s="275" t="s">
        <v>15398</v>
      </c>
      <c r="E952" s="301">
        <v>497.42</v>
      </c>
      <c r="F952" s="303">
        <v>43016</v>
      </c>
      <c r="G952" s="301">
        <v>497.42</v>
      </c>
      <c r="H952" s="301">
        <f>Tabla15[[#This Row],[Importe]]-Tabla15[[#This Row],[Pagado]]</f>
        <v>0</v>
      </c>
      <c r="I952" s="275" t="s">
        <v>15214</v>
      </c>
    </row>
    <row r="953" spans="1:9" x14ac:dyDescent="0.25">
      <c r="A953" s="420">
        <v>43016</v>
      </c>
      <c r="B953" s="302" t="s">
        <v>32603</v>
      </c>
      <c r="C953">
        <v>130516</v>
      </c>
      <c r="D953" s="275" t="s">
        <v>15632</v>
      </c>
      <c r="E953" s="301">
        <v>1008</v>
      </c>
      <c r="F953" s="303">
        <v>43016</v>
      </c>
      <c r="G953" s="301">
        <v>1008</v>
      </c>
      <c r="H953" s="301">
        <f>Tabla15[[#This Row],[Importe]]-Tabla15[[#This Row],[Pagado]]</f>
        <v>0</v>
      </c>
      <c r="I953" s="275" t="s">
        <v>15214</v>
      </c>
    </row>
    <row r="954" spans="1:9" x14ac:dyDescent="0.25">
      <c r="A954" s="420">
        <v>43016</v>
      </c>
      <c r="B954" s="302" t="s">
        <v>32604</v>
      </c>
      <c r="C954">
        <v>130517</v>
      </c>
      <c r="D954" s="275" t="s">
        <v>16126</v>
      </c>
      <c r="E954" s="301">
        <v>1696.3</v>
      </c>
      <c r="F954" s="303">
        <v>43016</v>
      </c>
      <c r="G954" s="301">
        <v>1696.3</v>
      </c>
      <c r="H954" s="301">
        <f>Tabla15[[#This Row],[Importe]]-Tabla15[[#This Row],[Pagado]]</f>
        <v>0</v>
      </c>
      <c r="I954" s="275" t="s">
        <v>15214</v>
      </c>
    </row>
    <row r="955" spans="1:9" x14ac:dyDescent="0.25">
      <c r="A955" s="420">
        <v>43016</v>
      </c>
      <c r="B955" s="302" t="s">
        <v>32605</v>
      </c>
      <c r="C955">
        <v>130518</v>
      </c>
      <c r="D955" s="275" t="s">
        <v>15541</v>
      </c>
      <c r="E955" s="301">
        <v>1075</v>
      </c>
      <c r="F955" s="303">
        <v>43016</v>
      </c>
      <c r="G955" s="301">
        <v>1075</v>
      </c>
      <c r="H955" s="301">
        <f>Tabla15[[#This Row],[Importe]]-Tabla15[[#This Row],[Pagado]]</f>
        <v>0</v>
      </c>
      <c r="I955" s="275" t="s">
        <v>15214</v>
      </c>
    </row>
    <row r="956" spans="1:9" x14ac:dyDescent="0.25">
      <c r="A956" s="420">
        <v>43016</v>
      </c>
      <c r="B956" s="302" t="s">
        <v>32606</v>
      </c>
      <c r="C956">
        <v>130519</v>
      </c>
      <c r="D956" s="275" t="s">
        <v>15354</v>
      </c>
      <c r="E956" s="301">
        <v>3454.4</v>
      </c>
      <c r="F956" s="303">
        <v>43017</v>
      </c>
      <c r="G956" s="301">
        <v>3454.4</v>
      </c>
      <c r="H956" s="301">
        <f>Tabla15[[#This Row],[Importe]]-Tabla15[[#This Row],[Pagado]]</f>
        <v>0</v>
      </c>
      <c r="I956" s="275" t="s">
        <v>15214</v>
      </c>
    </row>
    <row r="957" spans="1:9" x14ac:dyDescent="0.25">
      <c r="A957" s="420">
        <v>43016</v>
      </c>
      <c r="B957" s="302" t="s">
        <v>32607</v>
      </c>
      <c r="C957">
        <v>130520</v>
      </c>
      <c r="D957" s="275" t="s">
        <v>15987</v>
      </c>
      <c r="E957" s="301">
        <v>2467.1999999999998</v>
      </c>
      <c r="F957" s="303">
        <v>43016</v>
      </c>
      <c r="G957" s="301">
        <v>2467.1999999999998</v>
      </c>
      <c r="H957" s="301">
        <f>Tabla15[[#This Row],[Importe]]-Tabla15[[#This Row],[Pagado]]</f>
        <v>0</v>
      </c>
      <c r="I957" s="275" t="s">
        <v>15214</v>
      </c>
    </row>
    <row r="958" spans="1:9" x14ac:dyDescent="0.25">
      <c r="A958" s="420">
        <v>43016</v>
      </c>
      <c r="B958" s="302" t="s">
        <v>32608</v>
      </c>
      <c r="C958">
        <v>130521</v>
      </c>
      <c r="D958" s="275" t="s">
        <v>15340</v>
      </c>
      <c r="E958" s="301">
        <v>10634.1</v>
      </c>
      <c r="F958" s="303">
        <v>43017</v>
      </c>
      <c r="G958" s="301">
        <v>10634.1</v>
      </c>
      <c r="H958" s="301">
        <f>Tabla15[[#This Row],[Importe]]-Tabla15[[#This Row],[Pagado]]</f>
        <v>0</v>
      </c>
      <c r="I958" s="275" t="s">
        <v>15214</v>
      </c>
    </row>
    <row r="959" spans="1:9" x14ac:dyDescent="0.25">
      <c r="A959" s="420">
        <v>43016</v>
      </c>
      <c r="B959" s="302" t="s">
        <v>32609</v>
      </c>
      <c r="C959">
        <v>130522</v>
      </c>
      <c r="D959" s="275" t="s">
        <v>15987</v>
      </c>
      <c r="E959" s="301">
        <v>352</v>
      </c>
      <c r="F959" s="303">
        <v>43016</v>
      </c>
      <c r="G959" s="301">
        <v>352</v>
      </c>
      <c r="H959" s="301">
        <f>Tabla15[[#This Row],[Importe]]-Tabla15[[#This Row],[Pagado]]</f>
        <v>0</v>
      </c>
      <c r="I959" s="275" t="s">
        <v>15214</v>
      </c>
    </row>
    <row r="960" spans="1:9" x14ac:dyDescent="0.25">
      <c r="A960" s="420">
        <v>43016</v>
      </c>
      <c r="B960" s="302" t="s">
        <v>32610</v>
      </c>
      <c r="C960">
        <v>130523</v>
      </c>
      <c r="D960" s="275" t="s">
        <v>15890</v>
      </c>
      <c r="E960" s="301">
        <v>3591</v>
      </c>
      <c r="F960" s="303">
        <v>43018</v>
      </c>
      <c r="G960" s="301">
        <v>3591</v>
      </c>
      <c r="H960" s="301">
        <f>Tabla15[[#This Row],[Importe]]-Tabla15[[#This Row],[Pagado]]</f>
        <v>0</v>
      </c>
      <c r="I960" s="275" t="s">
        <v>15214</v>
      </c>
    </row>
    <row r="961" spans="1:9" x14ac:dyDescent="0.25">
      <c r="A961" s="420">
        <v>43016</v>
      </c>
      <c r="B961" s="302" t="s">
        <v>32611</v>
      </c>
      <c r="C961">
        <v>130524</v>
      </c>
      <c r="D961" s="275" t="s">
        <v>15378</v>
      </c>
      <c r="E961" s="301">
        <v>3444.8</v>
      </c>
      <c r="F961" s="303">
        <v>43016</v>
      </c>
      <c r="G961" s="301">
        <v>3444.8</v>
      </c>
      <c r="H961" s="301">
        <f>Tabla15[[#This Row],[Importe]]-Tabla15[[#This Row],[Pagado]]</f>
        <v>0</v>
      </c>
      <c r="I961" s="275" t="s">
        <v>15214</v>
      </c>
    </row>
    <row r="962" spans="1:9" x14ac:dyDescent="0.25">
      <c r="A962" s="420">
        <v>43016</v>
      </c>
      <c r="B962" s="302" t="s">
        <v>32612</v>
      </c>
      <c r="C962">
        <v>130525</v>
      </c>
      <c r="D962" s="275" t="s">
        <v>15284</v>
      </c>
      <c r="E962" s="301">
        <v>807.8</v>
      </c>
      <c r="F962" s="303">
        <v>43016</v>
      </c>
      <c r="G962" s="301">
        <v>807.8</v>
      </c>
      <c r="H962" s="301">
        <f>Tabla15[[#This Row],[Importe]]-Tabla15[[#This Row],[Pagado]]</f>
        <v>0</v>
      </c>
      <c r="I962" s="275" t="s">
        <v>15214</v>
      </c>
    </row>
    <row r="963" spans="1:9" x14ac:dyDescent="0.25">
      <c r="A963" s="420">
        <v>43016</v>
      </c>
      <c r="B963" s="302" t="s">
        <v>32613</v>
      </c>
      <c r="C963">
        <v>130526</v>
      </c>
      <c r="D963" s="275" t="s">
        <v>15263</v>
      </c>
      <c r="E963" s="301">
        <v>1292.8</v>
      </c>
      <c r="F963" s="303">
        <v>43016</v>
      </c>
      <c r="G963" s="301">
        <v>1292.8</v>
      </c>
      <c r="H963" s="301">
        <f>Tabla15[[#This Row],[Importe]]-Tabla15[[#This Row],[Pagado]]</f>
        <v>0</v>
      </c>
      <c r="I963" s="275" t="s">
        <v>15214</v>
      </c>
    </row>
    <row r="964" spans="1:9" x14ac:dyDescent="0.25">
      <c r="A964" s="420">
        <v>43016</v>
      </c>
      <c r="B964" s="302" t="s">
        <v>32614</v>
      </c>
      <c r="C964">
        <v>130527</v>
      </c>
      <c r="D964" s="275" t="s">
        <v>15228</v>
      </c>
      <c r="E964" s="301">
        <v>8280</v>
      </c>
      <c r="F964" s="303">
        <v>43016</v>
      </c>
      <c r="G964" s="301">
        <v>8280</v>
      </c>
      <c r="H964" s="301">
        <f>Tabla15[[#This Row],[Importe]]-Tabla15[[#This Row],[Pagado]]</f>
        <v>0</v>
      </c>
      <c r="I964" s="275" t="s">
        <v>15214</v>
      </c>
    </row>
    <row r="965" spans="1:9" x14ac:dyDescent="0.25">
      <c r="A965" s="420">
        <v>43016</v>
      </c>
      <c r="B965" s="302" t="s">
        <v>32615</v>
      </c>
      <c r="C965">
        <v>130528</v>
      </c>
      <c r="D965" s="275" t="s">
        <v>15326</v>
      </c>
      <c r="E965" s="301">
        <v>2943.6</v>
      </c>
      <c r="F965" s="303">
        <v>43016</v>
      </c>
      <c r="G965" s="301">
        <v>2943.6</v>
      </c>
      <c r="H965" s="301">
        <f>Tabla15[[#This Row],[Importe]]-Tabla15[[#This Row],[Pagado]]</f>
        <v>0</v>
      </c>
      <c r="I965" s="275" t="s">
        <v>15214</v>
      </c>
    </row>
    <row r="966" spans="1:9" x14ac:dyDescent="0.25">
      <c r="A966" s="420">
        <v>43016</v>
      </c>
      <c r="B966" s="302" t="s">
        <v>32616</v>
      </c>
      <c r="C966">
        <v>130529</v>
      </c>
      <c r="D966" s="275" t="s">
        <v>15282</v>
      </c>
      <c r="E966" s="301">
        <v>3483.1</v>
      </c>
      <c r="F966" s="303">
        <v>43016</v>
      </c>
      <c r="G966" s="301">
        <v>3483.1</v>
      </c>
      <c r="H966" s="301">
        <f>Tabla15[[#This Row],[Importe]]-Tabla15[[#This Row],[Pagado]]</f>
        <v>0</v>
      </c>
      <c r="I966" s="275" t="s">
        <v>15214</v>
      </c>
    </row>
    <row r="967" spans="1:9" x14ac:dyDescent="0.25">
      <c r="A967" s="420">
        <v>43016</v>
      </c>
      <c r="B967" s="302" t="s">
        <v>32617</v>
      </c>
      <c r="C967">
        <v>130530</v>
      </c>
      <c r="D967" s="275" t="s">
        <v>15282</v>
      </c>
      <c r="E967" s="301">
        <v>344.1</v>
      </c>
      <c r="F967" s="303">
        <v>43016</v>
      </c>
      <c r="G967" s="301">
        <v>344.1</v>
      </c>
      <c r="H967" s="301">
        <f>Tabla15[[#This Row],[Importe]]-Tabla15[[#This Row],[Pagado]]</f>
        <v>0</v>
      </c>
      <c r="I967" s="275" t="s">
        <v>15214</v>
      </c>
    </row>
    <row r="968" spans="1:9" x14ac:dyDescent="0.25">
      <c r="A968" s="420">
        <v>43016</v>
      </c>
      <c r="B968" s="302" t="s">
        <v>32618</v>
      </c>
      <c r="C968">
        <v>130531</v>
      </c>
      <c r="D968" s="275" t="s">
        <v>15284</v>
      </c>
      <c r="E968" s="301">
        <v>376.4</v>
      </c>
      <c r="F968" s="303">
        <v>43016</v>
      </c>
      <c r="G968" s="301">
        <v>376.4</v>
      </c>
      <c r="H968" s="301">
        <f>Tabla15[[#This Row],[Importe]]-Tabla15[[#This Row],[Pagado]]</f>
        <v>0</v>
      </c>
      <c r="I968" s="275" t="s">
        <v>15214</v>
      </c>
    </row>
    <row r="969" spans="1:9" x14ac:dyDescent="0.25">
      <c r="A969" s="420">
        <v>43016</v>
      </c>
      <c r="B969" s="302" t="s">
        <v>32619</v>
      </c>
      <c r="C969">
        <v>130532</v>
      </c>
      <c r="D969" s="275" t="s">
        <v>15352</v>
      </c>
      <c r="E969" s="301">
        <v>278.39999999999998</v>
      </c>
      <c r="F969" s="303">
        <v>43016</v>
      </c>
      <c r="G969" s="301">
        <v>278.39999999999998</v>
      </c>
      <c r="H969" s="301">
        <f>Tabla15[[#This Row],[Importe]]-Tabla15[[#This Row],[Pagado]]</f>
        <v>0</v>
      </c>
      <c r="I969" s="275" t="s">
        <v>15214</v>
      </c>
    </row>
    <row r="970" spans="1:9" x14ac:dyDescent="0.25">
      <c r="A970" s="420">
        <v>43016</v>
      </c>
      <c r="B970" s="302" t="s">
        <v>32620</v>
      </c>
      <c r="C970">
        <v>130533</v>
      </c>
      <c r="D970" s="275" t="s">
        <v>15223</v>
      </c>
      <c r="E970" s="301">
        <v>20319.599999999999</v>
      </c>
      <c r="F970" s="303">
        <v>43045</v>
      </c>
      <c r="G970" s="301">
        <v>20319.599999999999</v>
      </c>
      <c r="H970" s="301">
        <f>Tabla15[[#This Row],[Importe]]-Tabla15[[#This Row],[Pagado]]</f>
        <v>0</v>
      </c>
      <c r="I970" s="275" t="s">
        <v>15214</v>
      </c>
    </row>
    <row r="971" spans="1:9" x14ac:dyDescent="0.25">
      <c r="A971" s="420">
        <v>43016</v>
      </c>
      <c r="B971" s="302" t="s">
        <v>32621</v>
      </c>
      <c r="C971">
        <v>130534</v>
      </c>
      <c r="D971" s="275" t="s">
        <v>17462</v>
      </c>
      <c r="E971" s="301">
        <v>1334.4</v>
      </c>
      <c r="F971" s="303">
        <v>43016</v>
      </c>
      <c r="G971" s="301">
        <v>1334.4</v>
      </c>
      <c r="H971" s="301">
        <f>Tabla15[[#This Row],[Importe]]-Tabla15[[#This Row],[Pagado]]</f>
        <v>0</v>
      </c>
      <c r="I971" s="275" t="s">
        <v>15214</v>
      </c>
    </row>
    <row r="972" spans="1:9" x14ac:dyDescent="0.25">
      <c r="A972" s="420">
        <v>43016</v>
      </c>
      <c r="B972" s="302" t="s">
        <v>32622</v>
      </c>
      <c r="C972">
        <v>130535</v>
      </c>
      <c r="D972" s="275" t="s">
        <v>15435</v>
      </c>
      <c r="E972" s="301">
        <v>7308</v>
      </c>
      <c r="F972" s="303">
        <v>43016</v>
      </c>
      <c r="G972" s="301">
        <v>7308</v>
      </c>
      <c r="H972" s="301">
        <f>Tabla15[[#This Row],[Importe]]-Tabla15[[#This Row],[Pagado]]</f>
        <v>0</v>
      </c>
      <c r="I972" s="275" t="s">
        <v>15214</v>
      </c>
    </row>
    <row r="973" spans="1:9" x14ac:dyDescent="0.25">
      <c r="A973" s="420">
        <v>43016</v>
      </c>
      <c r="B973" s="302" t="s">
        <v>32623</v>
      </c>
      <c r="C973">
        <v>130536</v>
      </c>
      <c r="D973" s="275" t="s">
        <v>15250</v>
      </c>
      <c r="E973" s="301">
        <v>402.5</v>
      </c>
      <c r="F973" s="303">
        <v>43022</v>
      </c>
      <c r="G973" s="301">
        <v>402.5</v>
      </c>
      <c r="H973" s="301">
        <f>Tabla15[[#This Row],[Importe]]-Tabla15[[#This Row],[Pagado]]</f>
        <v>0</v>
      </c>
      <c r="I973" s="275" t="s">
        <v>15214</v>
      </c>
    </row>
    <row r="974" spans="1:9" x14ac:dyDescent="0.25">
      <c r="A974" s="420">
        <v>43016</v>
      </c>
      <c r="B974" s="302" t="s">
        <v>32624</v>
      </c>
      <c r="C974">
        <v>130537</v>
      </c>
      <c r="D974" s="275" t="s">
        <v>15566</v>
      </c>
      <c r="E974" s="301">
        <v>329.6</v>
      </c>
      <c r="F974" s="303">
        <v>43016</v>
      </c>
      <c r="G974" s="301">
        <v>329.6</v>
      </c>
      <c r="H974" s="301">
        <f>Tabla15[[#This Row],[Importe]]-Tabla15[[#This Row],[Pagado]]</f>
        <v>0</v>
      </c>
      <c r="I974" s="275" t="s">
        <v>15214</v>
      </c>
    </row>
    <row r="975" spans="1:9" x14ac:dyDescent="0.25">
      <c r="A975" s="420">
        <v>43016</v>
      </c>
      <c r="B975" s="302" t="s">
        <v>32625</v>
      </c>
      <c r="C975">
        <v>130538</v>
      </c>
      <c r="D975" s="275" t="s">
        <v>15250</v>
      </c>
      <c r="E975" s="301">
        <v>233.6</v>
      </c>
      <c r="F975" s="303">
        <v>43022</v>
      </c>
      <c r="G975" s="301">
        <v>233.6</v>
      </c>
      <c r="H975" s="301">
        <f>Tabla15[[#This Row],[Importe]]-Tabla15[[#This Row],[Pagado]]</f>
        <v>0</v>
      </c>
      <c r="I975" s="275" t="s">
        <v>15214</v>
      </c>
    </row>
    <row r="976" spans="1:9" x14ac:dyDescent="0.25">
      <c r="A976" s="420">
        <v>43016</v>
      </c>
      <c r="B976" s="302" t="s">
        <v>32626</v>
      </c>
      <c r="C976">
        <v>130539</v>
      </c>
      <c r="D976" s="275" t="s">
        <v>15378</v>
      </c>
      <c r="E976" s="301">
        <v>330</v>
      </c>
      <c r="F976" s="303">
        <v>43016</v>
      </c>
      <c r="G976" s="301">
        <v>330</v>
      </c>
      <c r="H976" s="301">
        <f>Tabla15[[#This Row],[Importe]]-Tabla15[[#This Row],[Pagado]]</f>
        <v>0</v>
      </c>
      <c r="I976" s="275" t="s">
        <v>15214</v>
      </c>
    </row>
    <row r="977" spans="1:9" x14ac:dyDescent="0.25">
      <c r="A977" s="420">
        <v>43016</v>
      </c>
      <c r="B977" s="302" t="s">
        <v>32627</v>
      </c>
      <c r="C977">
        <v>130540</v>
      </c>
      <c r="D977" s="275" t="s">
        <v>15250</v>
      </c>
      <c r="E977" s="301">
        <v>29314.400000000001</v>
      </c>
      <c r="F977" s="303">
        <v>43022</v>
      </c>
      <c r="G977" s="301">
        <v>29314.400000000001</v>
      </c>
      <c r="H977" s="301">
        <f>Tabla15[[#This Row],[Importe]]-Tabla15[[#This Row],[Pagado]]</f>
        <v>0</v>
      </c>
      <c r="I977" s="275" t="s">
        <v>15214</v>
      </c>
    </row>
    <row r="978" spans="1:9" x14ac:dyDescent="0.25">
      <c r="A978" s="420">
        <v>43016</v>
      </c>
      <c r="B978" s="302" t="s">
        <v>32628</v>
      </c>
      <c r="C978">
        <v>130541</v>
      </c>
      <c r="D978" s="275" t="s">
        <v>15250</v>
      </c>
      <c r="E978" s="301">
        <v>27574.5</v>
      </c>
      <c r="F978" s="303">
        <v>43022</v>
      </c>
      <c r="G978" s="301">
        <v>27574.5</v>
      </c>
      <c r="H978" s="301">
        <f>Tabla15[[#This Row],[Importe]]-Tabla15[[#This Row],[Pagado]]</f>
        <v>0</v>
      </c>
      <c r="I978" s="275" t="s">
        <v>15214</v>
      </c>
    </row>
    <row r="979" spans="1:9" x14ac:dyDescent="0.25">
      <c r="A979" s="420">
        <v>43016</v>
      </c>
      <c r="B979" s="302" t="s">
        <v>32629</v>
      </c>
      <c r="C979">
        <v>130542</v>
      </c>
      <c r="D979" s="275" t="s">
        <v>15284</v>
      </c>
      <c r="E979" s="301">
        <v>690</v>
      </c>
      <c r="F979" s="303">
        <v>43017</v>
      </c>
      <c r="G979" s="301">
        <v>690</v>
      </c>
      <c r="H979" s="301">
        <f>Tabla15[[#This Row],[Importe]]-Tabla15[[#This Row],[Pagado]]</f>
        <v>0</v>
      </c>
      <c r="I979" s="275" t="s">
        <v>15214</v>
      </c>
    </row>
    <row r="980" spans="1:9" x14ac:dyDescent="0.25">
      <c r="A980" s="420">
        <v>43016</v>
      </c>
      <c r="B980" s="302" t="s">
        <v>32630</v>
      </c>
      <c r="C980">
        <v>130543</v>
      </c>
      <c r="D980" s="275" t="s">
        <v>15315</v>
      </c>
      <c r="E980" s="301">
        <v>40</v>
      </c>
      <c r="F980" s="303">
        <v>43017</v>
      </c>
      <c r="G980" s="301">
        <v>40</v>
      </c>
      <c r="H980" s="301">
        <f>Tabla15[[#This Row],[Importe]]-Tabla15[[#This Row],[Pagado]]</f>
        <v>0</v>
      </c>
      <c r="I980" s="275" t="s">
        <v>15214</v>
      </c>
    </row>
    <row r="981" spans="1:9" x14ac:dyDescent="0.25">
      <c r="A981" s="420">
        <v>43016</v>
      </c>
      <c r="B981" s="302" t="s">
        <v>32631</v>
      </c>
      <c r="C981">
        <v>130544</v>
      </c>
      <c r="D981" s="275" t="s">
        <v>15438</v>
      </c>
      <c r="E981" s="301">
        <v>1998.6</v>
      </c>
      <c r="F981" s="303">
        <v>43017</v>
      </c>
      <c r="G981" s="301">
        <v>1998.6</v>
      </c>
      <c r="H981" s="301">
        <f>Tabla15[[#This Row],[Importe]]-Tabla15[[#This Row],[Pagado]]</f>
        <v>0</v>
      </c>
      <c r="I981" s="275" t="s">
        <v>15214</v>
      </c>
    </row>
    <row r="982" spans="1:9" x14ac:dyDescent="0.25">
      <c r="A982" s="420">
        <v>43016</v>
      </c>
      <c r="B982" s="302" t="s">
        <v>32632</v>
      </c>
      <c r="C982">
        <v>130545</v>
      </c>
      <c r="D982" s="275" t="s">
        <v>15298</v>
      </c>
      <c r="E982" s="301">
        <v>529</v>
      </c>
      <c r="F982" s="303">
        <v>43017</v>
      </c>
      <c r="G982" s="301">
        <v>529</v>
      </c>
      <c r="H982" s="301">
        <f>Tabla15[[#This Row],[Importe]]-Tabla15[[#This Row],[Pagado]]</f>
        <v>0</v>
      </c>
      <c r="I982" s="275" t="s">
        <v>15214</v>
      </c>
    </row>
    <row r="983" spans="1:9" x14ac:dyDescent="0.25">
      <c r="A983" s="420">
        <v>43017</v>
      </c>
      <c r="B983" s="302" t="s">
        <v>32633</v>
      </c>
      <c r="C983">
        <v>130546</v>
      </c>
      <c r="D983" s="275" t="s">
        <v>21386</v>
      </c>
      <c r="E983" s="301">
        <v>11614.3</v>
      </c>
      <c r="F983" s="303">
        <v>43018</v>
      </c>
      <c r="G983" s="301">
        <v>11614.3</v>
      </c>
      <c r="H983" s="301">
        <f>Tabla15[[#This Row],[Importe]]-Tabla15[[#This Row],[Pagado]]</f>
        <v>0</v>
      </c>
      <c r="I983" s="275" t="s">
        <v>15214</v>
      </c>
    </row>
    <row r="984" spans="1:9" x14ac:dyDescent="0.25">
      <c r="A984" s="420">
        <v>43017</v>
      </c>
      <c r="B984" s="302" t="s">
        <v>32634</v>
      </c>
      <c r="C984">
        <v>130547</v>
      </c>
      <c r="D984" s="275" t="s">
        <v>15213</v>
      </c>
      <c r="E984" s="301">
        <v>41750.6</v>
      </c>
      <c r="F984" s="303">
        <v>43018</v>
      </c>
      <c r="G984" s="301">
        <v>41750.6</v>
      </c>
      <c r="H984" s="301">
        <f>Tabla15[[#This Row],[Importe]]-Tabla15[[#This Row],[Pagado]]</f>
        <v>0</v>
      </c>
      <c r="I984" s="275" t="s">
        <v>15214</v>
      </c>
    </row>
    <row r="985" spans="1:9" x14ac:dyDescent="0.25">
      <c r="A985" s="420">
        <v>43017</v>
      </c>
      <c r="B985" s="302" t="s">
        <v>32635</v>
      </c>
      <c r="C985">
        <v>130548</v>
      </c>
      <c r="D985" s="275" t="s">
        <v>15213</v>
      </c>
      <c r="E985" s="301">
        <v>676.4</v>
      </c>
      <c r="F985" s="303">
        <v>43018</v>
      </c>
      <c r="G985" s="301">
        <v>676.4</v>
      </c>
      <c r="H985" s="301">
        <f>Tabla15[[#This Row],[Importe]]-Tabla15[[#This Row],[Pagado]]</f>
        <v>0</v>
      </c>
      <c r="I985" s="275" t="s">
        <v>15214</v>
      </c>
    </row>
    <row r="986" spans="1:9" x14ac:dyDescent="0.25">
      <c r="A986" s="420">
        <v>43017</v>
      </c>
      <c r="B986" s="302" t="s">
        <v>32636</v>
      </c>
      <c r="C986">
        <v>130549</v>
      </c>
      <c r="D986" s="275" t="s">
        <v>15242</v>
      </c>
      <c r="E986" s="301">
        <v>4354.2</v>
      </c>
      <c r="F986" s="303">
        <v>43017</v>
      </c>
      <c r="G986" s="301">
        <v>4354.2</v>
      </c>
      <c r="H986" s="301">
        <f>Tabla15[[#This Row],[Importe]]-Tabla15[[#This Row],[Pagado]]</f>
        <v>0</v>
      </c>
      <c r="I986" s="275" t="s">
        <v>15214</v>
      </c>
    </row>
    <row r="987" spans="1:9" x14ac:dyDescent="0.25">
      <c r="A987" s="420">
        <v>43017</v>
      </c>
      <c r="B987" s="302" t="s">
        <v>32637</v>
      </c>
      <c r="C987">
        <v>130550</v>
      </c>
      <c r="D987" s="275" t="s">
        <v>15272</v>
      </c>
      <c r="E987" s="301">
        <v>25916.9</v>
      </c>
      <c r="F987" s="303">
        <v>43017</v>
      </c>
      <c r="G987" s="301">
        <v>25916.9</v>
      </c>
      <c r="H987" s="301">
        <f>Tabla15[[#This Row],[Importe]]-Tabla15[[#This Row],[Pagado]]</f>
        <v>0</v>
      </c>
      <c r="I987" s="275" t="s">
        <v>15214</v>
      </c>
    </row>
    <row r="988" spans="1:9" x14ac:dyDescent="0.25">
      <c r="A988" s="420">
        <v>43017</v>
      </c>
      <c r="B988" s="302" t="s">
        <v>32638</v>
      </c>
      <c r="C988">
        <v>130551</v>
      </c>
      <c r="D988" s="275" t="s">
        <v>15230</v>
      </c>
      <c r="E988" s="301">
        <v>10374</v>
      </c>
      <c r="F988" s="303">
        <v>43020</v>
      </c>
      <c r="G988" s="301">
        <v>10374</v>
      </c>
      <c r="H988" s="301">
        <f>Tabla15[[#This Row],[Importe]]-Tabla15[[#This Row],[Pagado]]</f>
        <v>0</v>
      </c>
      <c r="I988" s="275" t="s">
        <v>15214</v>
      </c>
    </row>
    <row r="989" spans="1:9" x14ac:dyDescent="0.25">
      <c r="A989" s="420">
        <v>43017</v>
      </c>
      <c r="B989" s="302" t="s">
        <v>32639</v>
      </c>
      <c r="C989">
        <v>130552</v>
      </c>
      <c r="D989" s="275" t="s">
        <v>15232</v>
      </c>
      <c r="E989" s="301">
        <v>6885.6</v>
      </c>
      <c r="F989" s="303">
        <v>43020</v>
      </c>
      <c r="G989" s="301">
        <v>6885.6</v>
      </c>
      <c r="H989" s="301">
        <f>Tabla15[[#This Row],[Importe]]-Tabla15[[#This Row],[Pagado]]</f>
        <v>0</v>
      </c>
      <c r="I989" s="275" t="s">
        <v>15214</v>
      </c>
    </row>
    <row r="990" spans="1:9" x14ac:dyDescent="0.25">
      <c r="A990" s="420">
        <v>43017</v>
      </c>
      <c r="B990" s="302" t="s">
        <v>32640</v>
      </c>
      <c r="C990">
        <v>130553</v>
      </c>
      <c r="D990" s="275" t="s">
        <v>5556</v>
      </c>
      <c r="E990" s="301">
        <v>28656.400000000001</v>
      </c>
      <c r="F990" s="303">
        <v>43020</v>
      </c>
      <c r="G990" s="301">
        <v>28656.400000000001</v>
      </c>
      <c r="H990" s="301">
        <f>Tabla15[[#This Row],[Importe]]-Tabla15[[#This Row],[Pagado]]</f>
        <v>0</v>
      </c>
      <c r="I990" s="275" t="s">
        <v>15214</v>
      </c>
    </row>
    <row r="991" spans="1:9" x14ac:dyDescent="0.25">
      <c r="A991" s="420">
        <v>43017</v>
      </c>
      <c r="B991" s="302" t="s">
        <v>32641</v>
      </c>
      <c r="C991">
        <v>130554</v>
      </c>
      <c r="D991" s="275" t="s">
        <v>15487</v>
      </c>
      <c r="E991" s="301">
        <v>7020.1</v>
      </c>
      <c r="F991" s="303">
        <v>43017</v>
      </c>
      <c r="G991" s="301">
        <v>7020.1</v>
      </c>
      <c r="H991" s="301">
        <f>Tabla15[[#This Row],[Importe]]-Tabla15[[#This Row],[Pagado]]</f>
        <v>0</v>
      </c>
      <c r="I991" s="275" t="s">
        <v>15214</v>
      </c>
    </row>
    <row r="992" spans="1:9" x14ac:dyDescent="0.25">
      <c r="A992" s="420">
        <v>43017</v>
      </c>
      <c r="B992" s="302" t="s">
        <v>32642</v>
      </c>
      <c r="C992">
        <v>130555</v>
      </c>
      <c r="D992" s="275" t="s">
        <v>15317</v>
      </c>
      <c r="E992" s="301">
        <v>2976.2</v>
      </c>
      <c r="F992" s="303">
        <v>43019</v>
      </c>
      <c r="G992" s="301">
        <v>2976.2</v>
      </c>
      <c r="H992" s="301">
        <f>Tabla15[[#This Row],[Importe]]-Tabla15[[#This Row],[Pagado]]</f>
        <v>0</v>
      </c>
      <c r="I992" s="275" t="s">
        <v>15214</v>
      </c>
    </row>
    <row r="993" spans="1:9" x14ac:dyDescent="0.25">
      <c r="A993" s="420">
        <v>43017</v>
      </c>
      <c r="B993" s="302" t="s">
        <v>32643</v>
      </c>
      <c r="C993">
        <v>130556</v>
      </c>
      <c r="D993" s="275" t="s">
        <v>15480</v>
      </c>
      <c r="E993" s="301">
        <v>169.86</v>
      </c>
      <c r="F993" s="303">
        <v>43018</v>
      </c>
      <c r="G993" s="301">
        <v>169.86</v>
      </c>
      <c r="H993" s="301">
        <f>Tabla15[[#This Row],[Importe]]-Tabla15[[#This Row],[Pagado]]</f>
        <v>0</v>
      </c>
      <c r="I993" s="275" t="s">
        <v>15214</v>
      </c>
    </row>
    <row r="994" spans="1:9" x14ac:dyDescent="0.25">
      <c r="A994" s="420">
        <v>43017</v>
      </c>
      <c r="B994" s="302" t="s">
        <v>32644</v>
      </c>
      <c r="C994">
        <v>130557</v>
      </c>
      <c r="D994" s="275" t="s">
        <v>5873</v>
      </c>
      <c r="E994" s="301">
        <v>28398.36</v>
      </c>
      <c r="F994" s="303">
        <v>43017</v>
      </c>
      <c r="G994" s="301">
        <v>28398.36</v>
      </c>
      <c r="H994" s="301">
        <f>Tabla15[[#This Row],[Importe]]-Tabla15[[#This Row],[Pagado]]</f>
        <v>0</v>
      </c>
      <c r="I994" s="275" t="s">
        <v>15214</v>
      </c>
    </row>
    <row r="995" spans="1:9" ht="30" x14ac:dyDescent="0.25">
      <c r="A995" s="420">
        <v>43017</v>
      </c>
      <c r="B995" s="302" t="s">
        <v>32645</v>
      </c>
      <c r="C995">
        <v>130558</v>
      </c>
      <c r="D995" s="275" t="s">
        <v>19780</v>
      </c>
      <c r="E995" s="301">
        <v>14637.2</v>
      </c>
      <c r="F995" s="303" t="s">
        <v>31621</v>
      </c>
      <c r="G995" s="301">
        <f>13000+1637.2</f>
        <v>14637.2</v>
      </c>
      <c r="H995" s="301">
        <f>Tabla15[[#This Row],[Importe]]-Tabla15[[#This Row],[Pagado]]</f>
        <v>0</v>
      </c>
      <c r="I995" s="275" t="s">
        <v>15214</v>
      </c>
    </row>
    <row r="996" spans="1:9" x14ac:dyDescent="0.25">
      <c r="A996" s="420">
        <v>43017</v>
      </c>
      <c r="B996" s="302" t="s">
        <v>32646</v>
      </c>
      <c r="C996">
        <v>130559</v>
      </c>
      <c r="D996" s="275" t="s">
        <v>15220</v>
      </c>
      <c r="E996" s="301">
        <v>1980</v>
      </c>
      <c r="F996" s="303">
        <v>43017</v>
      </c>
      <c r="G996" s="301">
        <v>1980</v>
      </c>
      <c r="H996" s="301">
        <f>Tabla15[[#This Row],[Importe]]-Tabla15[[#This Row],[Pagado]]</f>
        <v>0</v>
      </c>
      <c r="I996" s="275" t="s">
        <v>15214</v>
      </c>
    </row>
    <row r="997" spans="1:9" x14ac:dyDescent="0.25">
      <c r="A997" s="420">
        <v>43017</v>
      </c>
      <c r="B997" s="302" t="s">
        <v>32647</v>
      </c>
      <c r="C997">
        <v>130560</v>
      </c>
      <c r="D997" s="275" t="s">
        <v>19302</v>
      </c>
      <c r="E997" s="301">
        <v>1100</v>
      </c>
      <c r="F997" s="303">
        <v>43017</v>
      </c>
      <c r="G997" s="301">
        <v>1100</v>
      </c>
      <c r="H997" s="301">
        <f>Tabla15[[#This Row],[Importe]]-Tabla15[[#This Row],[Pagado]]</f>
        <v>0</v>
      </c>
      <c r="I997" s="275" t="s">
        <v>15214</v>
      </c>
    </row>
    <row r="998" spans="1:9" x14ac:dyDescent="0.25">
      <c r="A998" s="420">
        <v>43017</v>
      </c>
      <c r="B998" s="302" t="s">
        <v>32648</v>
      </c>
      <c r="C998">
        <v>130561</v>
      </c>
      <c r="D998" s="275" t="s">
        <v>15324</v>
      </c>
      <c r="E998" s="301">
        <v>1632</v>
      </c>
      <c r="F998" s="303">
        <v>43017</v>
      </c>
      <c r="G998" s="301">
        <v>1632</v>
      </c>
      <c r="H998" s="301">
        <f>Tabla15[[#This Row],[Importe]]-Tabla15[[#This Row],[Pagado]]</f>
        <v>0</v>
      </c>
      <c r="I998" s="275" t="s">
        <v>15214</v>
      </c>
    </row>
    <row r="999" spans="1:9" ht="30" x14ac:dyDescent="0.25">
      <c r="A999" s="420">
        <v>43017</v>
      </c>
      <c r="B999" s="302" t="s">
        <v>32649</v>
      </c>
      <c r="C999">
        <v>130562</v>
      </c>
      <c r="D999" s="275" t="s">
        <v>15328</v>
      </c>
      <c r="E999" s="301">
        <v>106525.5</v>
      </c>
      <c r="F999" s="303" t="s">
        <v>32650</v>
      </c>
      <c r="G999" s="305">
        <f>83991+22534.5</f>
        <v>106525.5</v>
      </c>
      <c r="H999" s="305">
        <f>Tabla15[[#This Row],[Importe]]-Tabla15[[#This Row],[Pagado]]</f>
        <v>0</v>
      </c>
      <c r="I999" s="275" t="s">
        <v>15214</v>
      </c>
    </row>
    <row r="1000" spans="1:9" x14ac:dyDescent="0.25">
      <c r="A1000" s="420">
        <v>43017</v>
      </c>
      <c r="B1000" s="302" t="s">
        <v>32651</v>
      </c>
      <c r="C1000">
        <v>130563</v>
      </c>
      <c r="D1000" s="275" t="s">
        <v>15274</v>
      </c>
      <c r="E1000" s="301">
        <v>1941.2</v>
      </c>
      <c r="F1000" s="303">
        <v>43017</v>
      </c>
      <c r="G1000" s="301">
        <v>1941.2</v>
      </c>
      <c r="H1000" s="301">
        <f>Tabla15[[#This Row],[Importe]]-Tabla15[[#This Row],[Pagado]]</f>
        <v>0</v>
      </c>
      <c r="I1000" s="275" t="s">
        <v>15214</v>
      </c>
    </row>
    <row r="1001" spans="1:9" x14ac:dyDescent="0.25">
      <c r="A1001" s="420">
        <v>43017</v>
      </c>
      <c r="B1001" s="302" t="s">
        <v>32652</v>
      </c>
      <c r="C1001">
        <v>130564</v>
      </c>
      <c r="D1001" s="275" t="s">
        <v>15387</v>
      </c>
      <c r="E1001" s="301">
        <v>1826.76</v>
      </c>
      <c r="F1001" s="303">
        <v>43017</v>
      </c>
      <c r="G1001" s="301">
        <v>1826.76</v>
      </c>
      <c r="H1001" s="301">
        <f>Tabla15[[#This Row],[Importe]]-Tabla15[[#This Row],[Pagado]]</f>
        <v>0</v>
      </c>
      <c r="I1001" s="275" t="s">
        <v>15214</v>
      </c>
    </row>
    <row r="1002" spans="1:9" x14ac:dyDescent="0.25">
      <c r="A1002" s="420">
        <v>43017</v>
      </c>
      <c r="B1002" s="302" t="s">
        <v>32653</v>
      </c>
      <c r="C1002">
        <v>130565</v>
      </c>
      <c r="D1002" s="275" t="s">
        <v>15348</v>
      </c>
      <c r="E1002" s="301">
        <v>3284.4</v>
      </c>
      <c r="F1002" s="303">
        <v>43019</v>
      </c>
      <c r="G1002" s="301">
        <v>3284.4</v>
      </c>
      <c r="H1002" s="301">
        <f>Tabla15[[#This Row],[Importe]]-Tabla15[[#This Row],[Pagado]]</f>
        <v>0</v>
      </c>
      <c r="I1002" s="275" t="s">
        <v>15214</v>
      </c>
    </row>
    <row r="1003" spans="1:9" x14ac:dyDescent="0.25">
      <c r="A1003" s="420">
        <v>43017</v>
      </c>
      <c r="B1003" s="302" t="s">
        <v>32654</v>
      </c>
      <c r="C1003">
        <v>130566</v>
      </c>
      <c r="D1003" s="275" t="s">
        <v>15240</v>
      </c>
      <c r="E1003" s="301">
        <v>3224.6</v>
      </c>
      <c r="F1003" s="303">
        <v>43019</v>
      </c>
      <c r="G1003" s="301">
        <v>3224.6</v>
      </c>
      <c r="H1003" s="301">
        <f>Tabla15[[#This Row],[Importe]]-Tabla15[[#This Row],[Pagado]]</f>
        <v>0</v>
      </c>
      <c r="I1003" s="275" t="s">
        <v>15214</v>
      </c>
    </row>
    <row r="1004" spans="1:9" x14ac:dyDescent="0.25">
      <c r="A1004" s="420">
        <v>43017</v>
      </c>
      <c r="B1004" s="302" t="s">
        <v>32655</v>
      </c>
      <c r="C1004">
        <v>130567</v>
      </c>
      <c r="D1004" s="275" t="s">
        <v>15267</v>
      </c>
      <c r="E1004" s="301">
        <v>2971.2</v>
      </c>
      <c r="F1004" s="303">
        <v>43018</v>
      </c>
      <c r="G1004" s="301">
        <v>2971.2</v>
      </c>
      <c r="H1004" s="301">
        <f>Tabla15[[#This Row],[Importe]]-Tabla15[[#This Row],[Pagado]]</f>
        <v>0</v>
      </c>
      <c r="I1004" s="275" t="s">
        <v>15214</v>
      </c>
    </row>
    <row r="1005" spans="1:9" x14ac:dyDescent="0.25">
      <c r="A1005" s="420">
        <v>43017</v>
      </c>
      <c r="B1005" s="302" t="s">
        <v>32656</v>
      </c>
      <c r="C1005">
        <v>130568</v>
      </c>
      <c r="D1005" s="275" t="s">
        <v>18544</v>
      </c>
      <c r="E1005" s="301">
        <v>3757.1</v>
      </c>
      <c r="F1005" s="303">
        <v>43017</v>
      </c>
      <c r="G1005" s="301">
        <v>3757.1</v>
      </c>
      <c r="H1005" s="301">
        <f>Tabla15[[#This Row],[Importe]]-Tabla15[[#This Row],[Pagado]]</f>
        <v>0</v>
      </c>
      <c r="I1005" s="275" t="s">
        <v>15214</v>
      </c>
    </row>
    <row r="1006" spans="1:9" ht="15.75" x14ac:dyDescent="0.25">
      <c r="A1006" s="420">
        <v>43017</v>
      </c>
      <c r="B1006" s="302" t="s">
        <v>32657</v>
      </c>
      <c r="C1006">
        <v>130569</v>
      </c>
      <c r="D1006" s="248" t="s">
        <v>95</v>
      </c>
      <c r="E1006" s="301">
        <v>0</v>
      </c>
      <c r="F1006" s="243" t="s">
        <v>95</v>
      </c>
      <c r="G1006" s="301">
        <v>0</v>
      </c>
      <c r="H1006" s="301">
        <f>Tabla15[[#This Row],[Importe]]-Tabla15[[#This Row],[Pagado]]</f>
        <v>0</v>
      </c>
      <c r="I1006" s="275" t="s">
        <v>95</v>
      </c>
    </row>
    <row r="1007" spans="1:9" x14ac:dyDescent="0.25">
      <c r="A1007" s="420">
        <v>43017</v>
      </c>
      <c r="B1007" s="302" t="s">
        <v>32658</v>
      </c>
      <c r="C1007">
        <v>130570</v>
      </c>
      <c r="D1007" s="275" t="s">
        <v>15365</v>
      </c>
      <c r="E1007" s="301">
        <v>8514</v>
      </c>
      <c r="F1007" s="303">
        <v>43022</v>
      </c>
      <c r="G1007" s="301">
        <v>8514</v>
      </c>
      <c r="H1007" s="301">
        <f>Tabla15[[#This Row],[Importe]]-Tabla15[[#This Row],[Pagado]]</f>
        <v>0</v>
      </c>
      <c r="I1007" s="275" t="s">
        <v>15214</v>
      </c>
    </row>
    <row r="1008" spans="1:9" x14ac:dyDescent="0.25">
      <c r="A1008" s="420">
        <v>43017</v>
      </c>
      <c r="B1008" s="302" t="s">
        <v>32659</v>
      </c>
      <c r="C1008">
        <v>130571</v>
      </c>
      <c r="D1008" s="275" t="s">
        <v>15338</v>
      </c>
      <c r="E1008" s="301">
        <v>8229.2000000000007</v>
      </c>
      <c r="F1008" s="303">
        <v>43019</v>
      </c>
      <c r="G1008" s="301">
        <v>8229.2000000000007</v>
      </c>
      <c r="H1008" s="301">
        <f>Tabla15[[#This Row],[Importe]]-Tabla15[[#This Row],[Pagado]]</f>
        <v>0</v>
      </c>
      <c r="I1008" s="275" t="s">
        <v>15214</v>
      </c>
    </row>
    <row r="1009" spans="1:9" x14ac:dyDescent="0.25">
      <c r="A1009" s="420">
        <v>43017</v>
      </c>
      <c r="B1009" s="302" t="s">
        <v>32660</v>
      </c>
      <c r="C1009">
        <v>130572</v>
      </c>
      <c r="D1009" s="275" t="s">
        <v>15226</v>
      </c>
      <c r="E1009" s="301">
        <v>1647</v>
      </c>
      <c r="F1009" s="303">
        <v>43018</v>
      </c>
      <c r="G1009" s="301">
        <v>1647</v>
      </c>
      <c r="H1009" s="301">
        <f>Tabla15[[#This Row],[Importe]]-Tabla15[[#This Row],[Pagado]]</f>
        <v>0</v>
      </c>
      <c r="I1009" s="275" t="s">
        <v>15214</v>
      </c>
    </row>
    <row r="1010" spans="1:9" x14ac:dyDescent="0.25">
      <c r="A1010" s="420">
        <v>43017</v>
      </c>
      <c r="B1010" s="302" t="s">
        <v>32661</v>
      </c>
      <c r="C1010">
        <v>130573</v>
      </c>
      <c r="D1010" s="275" t="s">
        <v>5583</v>
      </c>
      <c r="E1010" s="301">
        <v>3083.2</v>
      </c>
      <c r="F1010" s="303">
        <v>43017</v>
      </c>
      <c r="G1010" s="301">
        <v>3083.2</v>
      </c>
      <c r="H1010" s="301">
        <f>Tabla15[[#This Row],[Importe]]-Tabla15[[#This Row],[Pagado]]</f>
        <v>0</v>
      </c>
      <c r="I1010" s="275" t="s">
        <v>15214</v>
      </c>
    </row>
    <row r="1011" spans="1:9" x14ac:dyDescent="0.25">
      <c r="A1011" s="420">
        <v>43017</v>
      </c>
      <c r="B1011" s="302" t="s">
        <v>32662</v>
      </c>
      <c r="C1011">
        <v>130574</v>
      </c>
      <c r="D1011" s="275" t="s">
        <v>15315</v>
      </c>
      <c r="E1011" s="301">
        <v>16209.5</v>
      </c>
      <c r="F1011" s="303">
        <v>43017</v>
      </c>
      <c r="G1011" s="301">
        <v>16209.5</v>
      </c>
      <c r="H1011" s="301">
        <f>Tabla15[[#This Row],[Importe]]-Tabla15[[#This Row],[Pagado]]</f>
        <v>0</v>
      </c>
      <c r="I1011" s="275" t="s">
        <v>15214</v>
      </c>
    </row>
    <row r="1012" spans="1:9" x14ac:dyDescent="0.25">
      <c r="A1012" s="420">
        <v>43017</v>
      </c>
      <c r="B1012" s="302" t="s">
        <v>32663</v>
      </c>
      <c r="C1012">
        <v>130575</v>
      </c>
      <c r="D1012" s="275" t="s">
        <v>15246</v>
      </c>
      <c r="E1012" s="301">
        <v>2577.6</v>
      </c>
      <c r="F1012" s="303">
        <v>43017</v>
      </c>
      <c r="G1012" s="301">
        <v>2577.6</v>
      </c>
      <c r="H1012" s="301">
        <f>Tabla15[[#This Row],[Importe]]-Tabla15[[#This Row],[Pagado]]</f>
        <v>0</v>
      </c>
      <c r="I1012" s="275" t="s">
        <v>15214</v>
      </c>
    </row>
    <row r="1013" spans="1:9" x14ac:dyDescent="0.25">
      <c r="A1013" s="420">
        <v>43017</v>
      </c>
      <c r="B1013" s="302" t="s">
        <v>32664</v>
      </c>
      <c r="C1013">
        <v>130576</v>
      </c>
      <c r="D1013" s="275" t="s">
        <v>15236</v>
      </c>
      <c r="E1013" s="301">
        <v>3814.7</v>
      </c>
      <c r="F1013" s="303">
        <v>43019</v>
      </c>
      <c r="G1013" s="301">
        <v>3814.7</v>
      </c>
      <c r="H1013" s="301">
        <f>Tabla15[[#This Row],[Importe]]-Tabla15[[#This Row],[Pagado]]</f>
        <v>0</v>
      </c>
      <c r="I1013" s="275" t="s">
        <v>15214</v>
      </c>
    </row>
    <row r="1014" spans="1:9" ht="15.75" x14ac:dyDescent="0.25">
      <c r="A1014" s="420">
        <v>43017</v>
      </c>
      <c r="B1014" s="302" t="s">
        <v>32665</v>
      </c>
      <c r="C1014">
        <v>130577</v>
      </c>
      <c r="D1014" s="248" t="s">
        <v>95</v>
      </c>
      <c r="E1014" s="301">
        <v>0</v>
      </c>
      <c r="F1014" s="243" t="s">
        <v>95</v>
      </c>
      <c r="G1014" s="301">
        <v>0</v>
      </c>
      <c r="H1014" s="301">
        <f>Tabla15[[#This Row],[Importe]]-Tabla15[[#This Row],[Pagado]]</f>
        <v>0</v>
      </c>
      <c r="I1014" s="275" t="s">
        <v>95</v>
      </c>
    </row>
    <row r="1015" spans="1:9" x14ac:dyDescent="0.25">
      <c r="A1015" s="420">
        <v>43017</v>
      </c>
      <c r="B1015" s="302" t="s">
        <v>32666</v>
      </c>
      <c r="C1015">
        <v>130578</v>
      </c>
      <c r="D1015" s="275" t="s">
        <v>15223</v>
      </c>
      <c r="E1015" s="301">
        <v>68502.8</v>
      </c>
      <c r="F1015" s="303">
        <v>43045</v>
      </c>
      <c r="G1015" s="301">
        <v>68502.8</v>
      </c>
      <c r="H1015" s="301">
        <f>Tabla15[[#This Row],[Importe]]-Tabla15[[#This Row],[Pagado]]</f>
        <v>0</v>
      </c>
      <c r="I1015" s="275" t="s">
        <v>15214</v>
      </c>
    </row>
    <row r="1016" spans="1:9" x14ac:dyDescent="0.25">
      <c r="A1016" s="420">
        <v>43017</v>
      </c>
      <c r="B1016" s="302" t="s">
        <v>32667</v>
      </c>
      <c r="C1016">
        <v>130579</v>
      </c>
      <c r="D1016" s="275" t="s">
        <v>15284</v>
      </c>
      <c r="E1016" s="301">
        <v>2061.8000000000002</v>
      </c>
      <c r="F1016" s="303">
        <v>43017</v>
      </c>
      <c r="G1016" s="301">
        <v>2061.8000000000002</v>
      </c>
      <c r="H1016" s="301">
        <f>Tabla15[[#This Row],[Importe]]-Tabla15[[#This Row],[Pagado]]</f>
        <v>0</v>
      </c>
      <c r="I1016" s="275" t="s">
        <v>15214</v>
      </c>
    </row>
    <row r="1017" spans="1:9" ht="30" x14ac:dyDescent="0.25">
      <c r="A1017" s="420">
        <v>43017</v>
      </c>
      <c r="B1017" s="302" t="s">
        <v>32668</v>
      </c>
      <c r="C1017">
        <v>130580</v>
      </c>
      <c r="D1017" s="275" t="s">
        <v>15234</v>
      </c>
      <c r="E1017" s="301">
        <v>3648.2</v>
      </c>
      <c r="F1017" s="303" t="s">
        <v>32669</v>
      </c>
      <c r="G1017" s="305">
        <f>3000+648.2</f>
        <v>3648.2</v>
      </c>
      <c r="H1017" s="305">
        <f>Tabla15[[#This Row],[Importe]]-Tabla15[[#This Row],[Pagado]]</f>
        <v>0</v>
      </c>
      <c r="I1017" s="275" t="s">
        <v>15214</v>
      </c>
    </row>
    <row r="1018" spans="1:9" x14ac:dyDescent="0.25">
      <c r="A1018" s="420">
        <v>43017</v>
      </c>
      <c r="B1018" s="302" t="s">
        <v>32670</v>
      </c>
      <c r="C1018">
        <v>130581</v>
      </c>
      <c r="D1018" s="275" t="s">
        <v>15475</v>
      </c>
      <c r="E1018" s="301">
        <v>7355.6</v>
      </c>
      <c r="F1018" s="303">
        <v>43019</v>
      </c>
      <c r="G1018" s="301">
        <v>7355.6</v>
      </c>
      <c r="H1018" s="301">
        <f>Tabla15[[#This Row],[Importe]]-Tabla15[[#This Row],[Pagado]]</f>
        <v>0</v>
      </c>
      <c r="I1018" s="275" t="s">
        <v>15214</v>
      </c>
    </row>
    <row r="1019" spans="1:9" x14ac:dyDescent="0.25">
      <c r="A1019" s="420">
        <v>43017</v>
      </c>
      <c r="B1019" s="302" t="s">
        <v>32671</v>
      </c>
      <c r="C1019">
        <v>130582</v>
      </c>
      <c r="D1019" s="275" t="s">
        <v>15220</v>
      </c>
      <c r="E1019" s="301">
        <v>220</v>
      </c>
      <c r="F1019" s="303">
        <v>43017</v>
      </c>
      <c r="G1019" s="301">
        <v>220</v>
      </c>
      <c r="H1019" s="301">
        <f>Tabla15[[#This Row],[Importe]]-Tabla15[[#This Row],[Pagado]]</f>
        <v>0</v>
      </c>
      <c r="I1019" s="275" t="s">
        <v>15214</v>
      </c>
    </row>
    <row r="1020" spans="1:9" x14ac:dyDescent="0.25">
      <c r="A1020" s="420">
        <v>43017</v>
      </c>
      <c r="B1020" s="302" t="s">
        <v>32672</v>
      </c>
      <c r="C1020">
        <v>130583</v>
      </c>
      <c r="D1020" s="275" t="s">
        <v>15261</v>
      </c>
      <c r="E1020" s="301">
        <v>23875.65</v>
      </c>
      <c r="F1020" s="303">
        <v>43017</v>
      </c>
      <c r="G1020" s="301">
        <v>23875.65</v>
      </c>
      <c r="H1020" s="301">
        <f>Tabla15[[#This Row],[Importe]]-Tabla15[[#This Row],[Pagado]]</f>
        <v>0</v>
      </c>
      <c r="I1020" s="275" t="s">
        <v>15214</v>
      </c>
    </row>
    <row r="1021" spans="1:9" x14ac:dyDescent="0.25">
      <c r="A1021" s="420">
        <v>43017</v>
      </c>
      <c r="B1021" s="302" t="s">
        <v>32673</v>
      </c>
      <c r="C1021">
        <v>130584</v>
      </c>
      <c r="D1021" s="275" t="s">
        <v>15258</v>
      </c>
      <c r="E1021" s="301">
        <v>11244.3</v>
      </c>
      <c r="F1021" s="303">
        <v>43019</v>
      </c>
      <c r="G1021" s="301">
        <v>11244.3</v>
      </c>
      <c r="H1021" s="301">
        <f>Tabla15[[#This Row],[Importe]]-Tabla15[[#This Row],[Pagado]]</f>
        <v>0</v>
      </c>
      <c r="I1021" s="275" t="s">
        <v>15214</v>
      </c>
    </row>
    <row r="1022" spans="1:9" x14ac:dyDescent="0.25">
      <c r="A1022" s="420">
        <v>43017</v>
      </c>
      <c r="B1022" s="302" t="s">
        <v>32674</v>
      </c>
      <c r="C1022">
        <v>130585</v>
      </c>
      <c r="D1022" s="275" t="s">
        <v>15261</v>
      </c>
      <c r="E1022" s="301">
        <v>275.5</v>
      </c>
      <c r="F1022" s="303">
        <v>43017</v>
      </c>
      <c r="G1022" s="301">
        <v>275.5</v>
      </c>
      <c r="H1022" s="301">
        <f>Tabla15[[#This Row],[Importe]]-Tabla15[[#This Row],[Pagado]]</f>
        <v>0</v>
      </c>
      <c r="I1022" s="275" t="s">
        <v>15214</v>
      </c>
    </row>
    <row r="1023" spans="1:9" ht="15.75" x14ac:dyDescent="0.25">
      <c r="A1023" s="420">
        <v>43017</v>
      </c>
      <c r="B1023" s="302" t="s">
        <v>32675</v>
      </c>
      <c r="C1023">
        <v>130586</v>
      </c>
      <c r="D1023" s="248" t="s">
        <v>95</v>
      </c>
      <c r="E1023" s="301">
        <v>0</v>
      </c>
      <c r="F1023" s="243" t="s">
        <v>95</v>
      </c>
      <c r="G1023" s="301">
        <v>0</v>
      </c>
      <c r="H1023" s="301">
        <f>Tabla15[[#This Row],[Importe]]-Tabla15[[#This Row],[Pagado]]</f>
        <v>0</v>
      </c>
      <c r="I1023" s="275" t="s">
        <v>95</v>
      </c>
    </row>
    <row r="1024" spans="1:9" ht="30" x14ac:dyDescent="0.25">
      <c r="A1024" s="420">
        <v>43017</v>
      </c>
      <c r="B1024" s="302" t="s">
        <v>32676</v>
      </c>
      <c r="C1024">
        <v>130587</v>
      </c>
      <c r="D1024" s="275" t="s">
        <v>5575</v>
      </c>
      <c r="E1024" s="301">
        <v>6993</v>
      </c>
      <c r="F1024" s="303" t="s">
        <v>31621</v>
      </c>
      <c r="G1024" s="305">
        <f>4000+2993</f>
        <v>6993</v>
      </c>
      <c r="H1024" s="305">
        <f>Tabla15[[#This Row],[Importe]]-Tabla15[[#This Row],[Pagado]]</f>
        <v>0</v>
      </c>
      <c r="I1024" s="275" t="s">
        <v>15214</v>
      </c>
    </row>
    <row r="1025" spans="1:9" x14ac:dyDescent="0.25">
      <c r="A1025" s="420">
        <v>43017</v>
      </c>
      <c r="B1025" s="302" t="s">
        <v>32677</v>
      </c>
      <c r="C1025">
        <v>130588</v>
      </c>
      <c r="D1025" s="275" t="s">
        <v>15480</v>
      </c>
      <c r="E1025" s="301">
        <v>3951.6</v>
      </c>
      <c r="F1025" s="303">
        <v>43022</v>
      </c>
      <c r="G1025" s="301">
        <v>3951.6</v>
      </c>
      <c r="H1025" s="301">
        <f>Tabla15[[#This Row],[Importe]]-Tabla15[[#This Row],[Pagado]]</f>
        <v>0</v>
      </c>
      <c r="I1025" s="275" t="s">
        <v>15214</v>
      </c>
    </row>
    <row r="1026" spans="1:9" x14ac:dyDescent="0.25">
      <c r="A1026" s="420">
        <v>43017</v>
      </c>
      <c r="B1026" s="302" t="s">
        <v>32678</v>
      </c>
      <c r="C1026">
        <v>130589</v>
      </c>
      <c r="D1026" s="275" t="s">
        <v>15868</v>
      </c>
      <c r="E1026" s="301">
        <v>9884.4</v>
      </c>
      <c r="F1026" s="303">
        <v>43017</v>
      </c>
      <c r="G1026" s="301">
        <v>9884.4</v>
      </c>
      <c r="H1026" s="301">
        <f>Tabla15[[#This Row],[Importe]]-Tabla15[[#This Row],[Pagado]]</f>
        <v>0</v>
      </c>
      <c r="I1026" s="275" t="s">
        <v>15214</v>
      </c>
    </row>
    <row r="1027" spans="1:9" x14ac:dyDescent="0.25">
      <c r="A1027" s="420">
        <v>43017</v>
      </c>
      <c r="B1027" s="302" t="s">
        <v>32679</v>
      </c>
      <c r="C1027">
        <v>130590</v>
      </c>
      <c r="D1027" s="275" t="s">
        <v>15315</v>
      </c>
      <c r="E1027" s="301">
        <v>7059.2</v>
      </c>
      <c r="F1027" s="303">
        <v>43017</v>
      </c>
      <c r="G1027" s="301">
        <v>7059.2</v>
      </c>
      <c r="H1027" s="301">
        <f>Tabla15[[#This Row],[Importe]]-Tabla15[[#This Row],[Pagado]]</f>
        <v>0</v>
      </c>
      <c r="I1027" s="275" t="s">
        <v>15214</v>
      </c>
    </row>
    <row r="1028" spans="1:9" x14ac:dyDescent="0.25">
      <c r="A1028" s="420">
        <v>43017</v>
      </c>
      <c r="B1028" s="302" t="s">
        <v>32680</v>
      </c>
      <c r="C1028">
        <v>130591</v>
      </c>
      <c r="D1028" s="275" t="s">
        <v>30057</v>
      </c>
      <c r="E1028" s="301">
        <v>4430.3999999999996</v>
      </c>
      <c r="F1028" s="303">
        <v>43018</v>
      </c>
      <c r="G1028" s="301">
        <v>4430.3999999999996</v>
      </c>
      <c r="H1028" s="301">
        <f>Tabla15[[#This Row],[Importe]]-Tabla15[[#This Row],[Pagado]]</f>
        <v>0</v>
      </c>
      <c r="I1028" s="275" t="s">
        <v>15214</v>
      </c>
    </row>
    <row r="1029" spans="1:9" x14ac:dyDescent="0.25">
      <c r="A1029" s="420">
        <v>43017</v>
      </c>
      <c r="B1029" s="302" t="s">
        <v>32681</v>
      </c>
      <c r="C1029">
        <v>130592</v>
      </c>
      <c r="D1029" s="275" t="s">
        <v>15401</v>
      </c>
      <c r="E1029" s="301">
        <v>996</v>
      </c>
      <c r="F1029" s="303">
        <v>43017</v>
      </c>
      <c r="G1029" s="301">
        <v>996</v>
      </c>
      <c r="H1029" s="301">
        <f>Tabla15[[#This Row],[Importe]]-Tabla15[[#This Row],[Pagado]]</f>
        <v>0</v>
      </c>
      <c r="I1029" s="275" t="s">
        <v>15214</v>
      </c>
    </row>
    <row r="1030" spans="1:9" x14ac:dyDescent="0.25">
      <c r="A1030" s="420">
        <v>43017</v>
      </c>
      <c r="B1030" s="302" t="s">
        <v>32682</v>
      </c>
      <c r="C1030">
        <v>130593</v>
      </c>
      <c r="D1030" s="275" t="s">
        <v>15361</v>
      </c>
      <c r="E1030" s="301">
        <v>24598.2</v>
      </c>
      <c r="F1030" s="303">
        <v>43017</v>
      </c>
      <c r="G1030" s="301">
        <v>24598.2</v>
      </c>
      <c r="H1030" s="301">
        <f>Tabla15[[#This Row],[Importe]]-Tabla15[[#This Row],[Pagado]]</f>
        <v>0</v>
      </c>
      <c r="I1030" s="275" t="s">
        <v>15214</v>
      </c>
    </row>
    <row r="1031" spans="1:9" x14ac:dyDescent="0.25">
      <c r="A1031" s="420">
        <v>43017</v>
      </c>
      <c r="B1031" s="302" t="s">
        <v>32683</v>
      </c>
      <c r="C1031">
        <v>130594</v>
      </c>
      <c r="D1031" s="275" t="s">
        <v>15371</v>
      </c>
      <c r="E1031" s="301">
        <v>6135</v>
      </c>
      <c r="F1031" s="303">
        <v>43018</v>
      </c>
      <c r="G1031" s="301">
        <v>6135</v>
      </c>
      <c r="H1031" s="301">
        <f>Tabla15[[#This Row],[Importe]]-Tabla15[[#This Row],[Pagado]]</f>
        <v>0</v>
      </c>
      <c r="I1031" s="275" t="s">
        <v>15214</v>
      </c>
    </row>
    <row r="1032" spans="1:9" x14ac:dyDescent="0.25">
      <c r="A1032" s="420">
        <v>43017</v>
      </c>
      <c r="B1032" s="302" t="s">
        <v>32684</v>
      </c>
      <c r="C1032">
        <v>130595</v>
      </c>
      <c r="D1032" s="275" t="s">
        <v>16484</v>
      </c>
      <c r="E1032" s="301">
        <v>1560.6</v>
      </c>
      <c r="F1032" s="303">
        <v>43017</v>
      </c>
      <c r="G1032" s="301">
        <v>1560.6</v>
      </c>
      <c r="H1032" s="301">
        <f>Tabla15[[#This Row],[Importe]]-Tabla15[[#This Row],[Pagado]]</f>
        <v>0</v>
      </c>
      <c r="I1032" s="275" t="s">
        <v>15214</v>
      </c>
    </row>
    <row r="1033" spans="1:9" x14ac:dyDescent="0.25">
      <c r="A1033" s="420">
        <v>43017</v>
      </c>
      <c r="B1033" s="302" t="s">
        <v>32685</v>
      </c>
      <c r="C1033">
        <v>130596</v>
      </c>
      <c r="D1033" s="275" t="s">
        <v>15361</v>
      </c>
      <c r="E1033" s="301">
        <v>361.6</v>
      </c>
      <c r="F1033" s="303">
        <v>43017</v>
      </c>
      <c r="G1033" s="301">
        <v>361.6</v>
      </c>
      <c r="H1033" s="301">
        <f>Tabla15[[#This Row],[Importe]]-Tabla15[[#This Row],[Pagado]]</f>
        <v>0</v>
      </c>
      <c r="I1033" s="275" t="s">
        <v>15214</v>
      </c>
    </row>
    <row r="1034" spans="1:9" x14ac:dyDescent="0.25">
      <c r="A1034" s="420">
        <v>43017</v>
      </c>
      <c r="B1034" s="302" t="s">
        <v>32686</v>
      </c>
      <c r="C1034">
        <v>130597</v>
      </c>
      <c r="D1034" s="275" t="s">
        <v>15263</v>
      </c>
      <c r="E1034" s="301">
        <v>5116.6000000000004</v>
      </c>
      <c r="F1034" s="303">
        <v>43017</v>
      </c>
      <c r="G1034" s="301">
        <v>5116.6000000000004</v>
      </c>
      <c r="H1034" s="301">
        <f>Tabla15[[#This Row],[Importe]]-Tabla15[[#This Row],[Pagado]]</f>
        <v>0</v>
      </c>
      <c r="I1034" s="275" t="s">
        <v>15214</v>
      </c>
    </row>
    <row r="1035" spans="1:9" x14ac:dyDescent="0.25">
      <c r="A1035" s="420">
        <v>43017</v>
      </c>
      <c r="B1035" s="302" t="s">
        <v>32687</v>
      </c>
      <c r="C1035">
        <v>130598</v>
      </c>
      <c r="D1035" s="275" t="s">
        <v>15238</v>
      </c>
      <c r="E1035" s="301">
        <v>6136.5</v>
      </c>
      <c r="F1035" s="303">
        <v>43019</v>
      </c>
      <c r="G1035" s="301">
        <v>6136.5</v>
      </c>
      <c r="H1035" s="301">
        <f>Tabla15[[#This Row],[Importe]]-Tabla15[[#This Row],[Pagado]]</f>
        <v>0</v>
      </c>
      <c r="I1035" s="275" t="s">
        <v>15214</v>
      </c>
    </row>
    <row r="1036" spans="1:9" ht="30" x14ac:dyDescent="0.25">
      <c r="A1036" s="420">
        <v>43017</v>
      </c>
      <c r="B1036" s="302" t="s">
        <v>32688</v>
      </c>
      <c r="C1036">
        <v>130599</v>
      </c>
      <c r="D1036" s="275" t="s">
        <v>15250</v>
      </c>
      <c r="E1036" s="301">
        <v>34294.6</v>
      </c>
      <c r="F1036" s="303" t="s">
        <v>32689</v>
      </c>
      <c r="G1036" s="305">
        <f>33513.91+780.69</f>
        <v>34294.600000000006</v>
      </c>
      <c r="H1036" s="305">
        <f>Tabla15[[#This Row],[Importe]]-Tabla15[[#This Row],[Pagado]]</f>
        <v>0</v>
      </c>
      <c r="I1036" s="275" t="s">
        <v>15214</v>
      </c>
    </row>
    <row r="1037" spans="1:9" x14ac:dyDescent="0.25">
      <c r="A1037" s="420">
        <v>43017</v>
      </c>
      <c r="B1037" s="302" t="s">
        <v>32690</v>
      </c>
      <c r="C1037">
        <v>130600</v>
      </c>
      <c r="D1037" s="275" t="s">
        <v>15238</v>
      </c>
      <c r="E1037" s="301">
        <v>380</v>
      </c>
      <c r="F1037" s="303">
        <v>43021</v>
      </c>
      <c r="G1037" s="301">
        <v>380</v>
      </c>
      <c r="H1037" s="301">
        <f>Tabla15[[#This Row],[Importe]]-Tabla15[[#This Row],[Pagado]]</f>
        <v>0</v>
      </c>
      <c r="I1037" s="275" t="s">
        <v>15214</v>
      </c>
    </row>
    <row r="1038" spans="1:9" x14ac:dyDescent="0.25">
      <c r="A1038" s="420">
        <v>43017</v>
      </c>
      <c r="B1038" s="302" t="s">
        <v>32691</v>
      </c>
      <c r="C1038">
        <v>130601</v>
      </c>
      <c r="D1038" s="275" t="s">
        <v>15568</v>
      </c>
      <c r="E1038" s="301">
        <v>10535.6</v>
      </c>
      <c r="F1038" s="303">
        <v>43017</v>
      </c>
      <c r="G1038" s="301">
        <v>10535.6</v>
      </c>
      <c r="H1038" s="301">
        <f>Tabla15[[#This Row],[Importe]]-Tabla15[[#This Row],[Pagado]]</f>
        <v>0</v>
      </c>
      <c r="I1038" s="275" t="s">
        <v>15214</v>
      </c>
    </row>
    <row r="1039" spans="1:9" x14ac:dyDescent="0.25">
      <c r="A1039" s="420">
        <v>43017</v>
      </c>
      <c r="B1039" s="302" t="s">
        <v>32692</v>
      </c>
      <c r="C1039">
        <v>130602</v>
      </c>
      <c r="D1039" s="275" t="s">
        <v>15256</v>
      </c>
      <c r="E1039" s="301">
        <v>2196.9</v>
      </c>
      <c r="F1039" s="303">
        <v>43020</v>
      </c>
      <c r="G1039" s="301">
        <v>2196.9</v>
      </c>
      <c r="H1039" s="301">
        <f>Tabla15[[#This Row],[Importe]]-Tabla15[[#This Row],[Pagado]]</f>
        <v>0</v>
      </c>
      <c r="I1039" s="275" t="s">
        <v>15214</v>
      </c>
    </row>
    <row r="1040" spans="1:9" ht="15.75" x14ac:dyDescent="0.25">
      <c r="A1040" s="420">
        <v>43017</v>
      </c>
      <c r="B1040" s="302" t="s">
        <v>32693</v>
      </c>
      <c r="C1040">
        <v>130603</v>
      </c>
      <c r="D1040" s="248" t="s">
        <v>95</v>
      </c>
      <c r="E1040" s="301">
        <v>0</v>
      </c>
      <c r="F1040" s="243" t="s">
        <v>95</v>
      </c>
      <c r="G1040" s="301">
        <v>0</v>
      </c>
      <c r="H1040" s="301">
        <f>Tabla15[[#This Row],[Importe]]-Tabla15[[#This Row],[Pagado]]</f>
        <v>0</v>
      </c>
      <c r="I1040" s="275" t="s">
        <v>95</v>
      </c>
    </row>
    <row r="1041" spans="1:9" ht="15.75" x14ac:dyDescent="0.25">
      <c r="A1041" s="420">
        <v>43017</v>
      </c>
      <c r="B1041" s="302" t="s">
        <v>32694</v>
      </c>
      <c r="C1041">
        <v>130604</v>
      </c>
      <c r="D1041" s="248" t="s">
        <v>95</v>
      </c>
      <c r="E1041" s="301">
        <v>0</v>
      </c>
      <c r="F1041" s="243" t="s">
        <v>95</v>
      </c>
      <c r="G1041" s="301">
        <v>0</v>
      </c>
      <c r="H1041" s="301">
        <f>Tabla15[[#This Row],[Importe]]-Tabla15[[#This Row],[Pagado]]</f>
        <v>0</v>
      </c>
      <c r="I1041" s="275" t="s">
        <v>95</v>
      </c>
    </row>
    <row r="1042" spans="1:9" x14ac:dyDescent="0.25">
      <c r="A1042" s="420">
        <v>43017</v>
      </c>
      <c r="B1042" s="302" t="s">
        <v>32695</v>
      </c>
      <c r="C1042">
        <v>130605</v>
      </c>
      <c r="D1042" s="275" t="s">
        <v>15280</v>
      </c>
      <c r="E1042" s="301">
        <v>6239.4</v>
      </c>
      <c r="F1042" s="303">
        <v>43017</v>
      </c>
      <c r="G1042" s="301">
        <v>6239.4</v>
      </c>
      <c r="H1042" s="301">
        <f>Tabla15[[#This Row],[Importe]]-Tabla15[[#This Row],[Pagado]]</f>
        <v>0</v>
      </c>
      <c r="I1042" s="275" t="s">
        <v>15214</v>
      </c>
    </row>
    <row r="1043" spans="1:9" x14ac:dyDescent="0.25">
      <c r="A1043" s="420">
        <v>43017</v>
      </c>
      <c r="B1043" s="302" t="s">
        <v>32696</v>
      </c>
      <c r="C1043">
        <v>130606</v>
      </c>
      <c r="D1043" s="275" t="s">
        <v>16383</v>
      </c>
      <c r="E1043" s="301">
        <v>9999.99</v>
      </c>
      <c r="F1043" s="303">
        <v>43017</v>
      </c>
      <c r="G1043" s="301">
        <v>9999.99</v>
      </c>
      <c r="H1043" s="301">
        <f>Tabla15[[#This Row],[Importe]]-Tabla15[[#This Row],[Pagado]]</f>
        <v>0</v>
      </c>
      <c r="I1043" s="275" t="s">
        <v>15214</v>
      </c>
    </row>
    <row r="1044" spans="1:9" ht="30" x14ac:dyDescent="0.25">
      <c r="A1044" s="420">
        <v>43017</v>
      </c>
      <c r="B1044" s="302" t="s">
        <v>32697</v>
      </c>
      <c r="C1044">
        <v>130607</v>
      </c>
      <c r="D1044" s="275" t="s">
        <v>15246</v>
      </c>
      <c r="E1044" s="301">
        <v>6293.3</v>
      </c>
      <c r="F1044" s="303" t="s">
        <v>32698</v>
      </c>
      <c r="G1044" s="305">
        <f>3277.41+3015.89</f>
        <v>6293.2999999999993</v>
      </c>
      <c r="H1044" s="305">
        <f>Tabla15[[#This Row],[Importe]]-Tabla15[[#This Row],[Pagado]]</f>
        <v>0</v>
      </c>
      <c r="I1044" s="275" t="s">
        <v>15214</v>
      </c>
    </row>
    <row r="1045" spans="1:9" x14ac:dyDescent="0.25">
      <c r="A1045" s="420">
        <v>43017</v>
      </c>
      <c r="B1045" s="302" t="s">
        <v>32699</v>
      </c>
      <c r="C1045">
        <v>130608</v>
      </c>
      <c r="D1045" s="275" t="s">
        <v>15530</v>
      </c>
      <c r="E1045" s="301">
        <v>3556</v>
      </c>
      <c r="F1045" s="303">
        <v>43017</v>
      </c>
      <c r="G1045" s="301">
        <v>3556</v>
      </c>
      <c r="H1045" s="301">
        <f>Tabla15[[#This Row],[Importe]]-Tabla15[[#This Row],[Pagado]]</f>
        <v>0</v>
      </c>
      <c r="I1045" s="275" t="s">
        <v>15214</v>
      </c>
    </row>
    <row r="1046" spans="1:9" x14ac:dyDescent="0.25">
      <c r="A1046" s="420">
        <v>43017</v>
      </c>
      <c r="B1046" s="302" t="s">
        <v>32700</v>
      </c>
      <c r="C1046">
        <v>130609</v>
      </c>
      <c r="D1046" s="275" t="s">
        <v>15530</v>
      </c>
      <c r="E1046" s="301">
        <v>46</v>
      </c>
      <c r="F1046" s="303">
        <v>43017</v>
      </c>
      <c r="G1046" s="301">
        <v>46</v>
      </c>
      <c r="H1046" s="301">
        <f>Tabla15[[#This Row],[Importe]]-Tabla15[[#This Row],[Pagado]]</f>
        <v>0</v>
      </c>
      <c r="I1046" s="275" t="s">
        <v>15214</v>
      </c>
    </row>
    <row r="1047" spans="1:9" x14ac:dyDescent="0.25">
      <c r="A1047" s="420">
        <v>43017</v>
      </c>
      <c r="B1047" s="302" t="s">
        <v>32701</v>
      </c>
      <c r="C1047">
        <v>130610</v>
      </c>
      <c r="D1047" s="275" t="s">
        <v>15577</v>
      </c>
      <c r="E1047" s="301">
        <v>890.1</v>
      </c>
      <c r="F1047" s="303">
        <v>43017</v>
      </c>
      <c r="G1047" s="301">
        <v>890.1</v>
      </c>
      <c r="H1047" s="301">
        <f>Tabla15[[#This Row],[Importe]]-Tabla15[[#This Row],[Pagado]]</f>
        <v>0</v>
      </c>
      <c r="I1047" s="275" t="s">
        <v>15214</v>
      </c>
    </row>
    <row r="1048" spans="1:9" x14ac:dyDescent="0.25">
      <c r="A1048" s="420">
        <v>43017</v>
      </c>
      <c r="B1048" s="302" t="s">
        <v>32702</v>
      </c>
      <c r="C1048">
        <v>130611</v>
      </c>
      <c r="D1048" s="275" t="s">
        <v>29500</v>
      </c>
      <c r="E1048" s="301">
        <v>3960</v>
      </c>
      <c r="F1048" s="303">
        <v>43018</v>
      </c>
      <c r="G1048" s="301">
        <v>3960</v>
      </c>
      <c r="H1048" s="301">
        <f>Tabla15[[#This Row],[Importe]]-Tabla15[[#This Row],[Pagado]]</f>
        <v>0</v>
      </c>
      <c r="I1048" s="275" t="s">
        <v>15214</v>
      </c>
    </row>
    <row r="1049" spans="1:9" x14ac:dyDescent="0.25">
      <c r="A1049" s="420">
        <v>43017</v>
      </c>
      <c r="B1049" s="302" t="s">
        <v>32703</v>
      </c>
      <c r="C1049">
        <v>130612</v>
      </c>
      <c r="D1049" s="275" t="s">
        <v>15291</v>
      </c>
      <c r="E1049" s="301">
        <v>704</v>
      </c>
      <c r="F1049" s="303">
        <v>43018</v>
      </c>
      <c r="G1049" s="301">
        <v>704</v>
      </c>
      <c r="H1049" s="301">
        <f>Tabla15[[#This Row],[Importe]]-Tabla15[[#This Row],[Pagado]]</f>
        <v>0</v>
      </c>
      <c r="I1049" s="275" t="s">
        <v>15214</v>
      </c>
    </row>
    <row r="1050" spans="1:9" x14ac:dyDescent="0.25">
      <c r="A1050" s="420">
        <v>43017</v>
      </c>
      <c r="B1050" s="302" t="s">
        <v>32704</v>
      </c>
      <c r="C1050">
        <v>130613</v>
      </c>
      <c r="D1050" s="275" t="s">
        <v>15305</v>
      </c>
      <c r="E1050" s="301">
        <v>1102.2</v>
      </c>
      <c r="F1050" s="303">
        <v>43018</v>
      </c>
      <c r="G1050" s="301">
        <v>1102.2</v>
      </c>
      <c r="H1050" s="301">
        <f>Tabla15[[#This Row],[Importe]]-Tabla15[[#This Row],[Pagado]]</f>
        <v>0</v>
      </c>
      <c r="I1050" s="275" t="s">
        <v>15214</v>
      </c>
    </row>
    <row r="1051" spans="1:9" x14ac:dyDescent="0.25">
      <c r="A1051" s="420">
        <v>43017</v>
      </c>
      <c r="B1051" s="302" t="s">
        <v>32705</v>
      </c>
      <c r="C1051">
        <v>130614</v>
      </c>
      <c r="D1051" s="275" t="s">
        <v>15415</v>
      </c>
      <c r="E1051" s="301">
        <v>3532.8</v>
      </c>
      <c r="F1051" s="303">
        <v>43018</v>
      </c>
      <c r="G1051" s="301">
        <v>3532.8</v>
      </c>
      <c r="H1051" s="301">
        <f>Tabla15[[#This Row],[Importe]]-Tabla15[[#This Row],[Pagado]]</f>
        <v>0</v>
      </c>
      <c r="I1051" s="275" t="s">
        <v>15214</v>
      </c>
    </row>
    <row r="1052" spans="1:9" x14ac:dyDescent="0.25">
      <c r="A1052" s="420">
        <v>43017</v>
      </c>
      <c r="B1052" s="302" t="s">
        <v>32706</v>
      </c>
      <c r="C1052">
        <v>130615</v>
      </c>
      <c r="D1052" s="275" t="s">
        <v>15309</v>
      </c>
      <c r="E1052" s="301">
        <v>7666.4</v>
      </c>
      <c r="F1052" s="303">
        <v>43018</v>
      </c>
      <c r="G1052" s="301">
        <v>7666.4</v>
      </c>
      <c r="H1052" s="301">
        <f>Tabla15[[#This Row],[Importe]]-Tabla15[[#This Row],[Pagado]]</f>
        <v>0</v>
      </c>
      <c r="I1052" s="275" t="s">
        <v>15214</v>
      </c>
    </row>
    <row r="1053" spans="1:9" x14ac:dyDescent="0.25">
      <c r="A1053" s="420">
        <v>43017</v>
      </c>
      <c r="B1053" s="302" t="s">
        <v>32707</v>
      </c>
      <c r="C1053">
        <v>130616</v>
      </c>
      <c r="D1053" s="275" t="s">
        <v>15278</v>
      </c>
      <c r="E1053" s="301">
        <v>5462.3</v>
      </c>
      <c r="F1053" s="303">
        <v>43017</v>
      </c>
      <c r="G1053" s="301">
        <v>5462.3</v>
      </c>
      <c r="H1053" s="301">
        <f>Tabla15[[#This Row],[Importe]]-Tabla15[[#This Row],[Pagado]]</f>
        <v>0</v>
      </c>
      <c r="I1053" s="275" t="s">
        <v>15214</v>
      </c>
    </row>
    <row r="1054" spans="1:9" ht="30" x14ac:dyDescent="0.25">
      <c r="A1054" s="420">
        <v>43017</v>
      </c>
      <c r="B1054" s="302" t="s">
        <v>32708</v>
      </c>
      <c r="C1054">
        <v>130617</v>
      </c>
      <c r="D1054" s="275" t="s">
        <v>15373</v>
      </c>
      <c r="E1054" s="301">
        <v>16832.400000000001</v>
      </c>
      <c r="F1054" s="303" t="s">
        <v>32709</v>
      </c>
      <c r="G1054" s="305">
        <f>14500+2332.4</f>
        <v>16832.400000000001</v>
      </c>
      <c r="H1054" s="305">
        <f>Tabla15[[#This Row],[Importe]]-Tabla15[[#This Row],[Pagado]]</f>
        <v>0</v>
      </c>
      <c r="I1054" s="275" t="s">
        <v>15214</v>
      </c>
    </row>
    <row r="1055" spans="1:9" x14ac:dyDescent="0.25">
      <c r="A1055" s="420">
        <v>43017</v>
      </c>
      <c r="B1055" s="302" t="s">
        <v>32710</v>
      </c>
      <c r="C1055">
        <v>130618</v>
      </c>
      <c r="D1055" s="275" t="s">
        <v>15367</v>
      </c>
      <c r="E1055" s="301">
        <v>4720</v>
      </c>
      <c r="F1055" s="303">
        <v>43018</v>
      </c>
      <c r="G1055" s="301">
        <v>4720</v>
      </c>
      <c r="H1055" s="301">
        <f>Tabla15[[#This Row],[Importe]]-Tabla15[[#This Row],[Pagado]]</f>
        <v>0</v>
      </c>
      <c r="I1055" s="275" t="s">
        <v>15214</v>
      </c>
    </row>
    <row r="1056" spans="1:9" x14ac:dyDescent="0.25">
      <c r="A1056" s="420">
        <v>43017</v>
      </c>
      <c r="B1056" s="302" t="s">
        <v>32711</v>
      </c>
      <c r="C1056">
        <v>130619</v>
      </c>
      <c r="D1056" s="275" t="s">
        <v>15276</v>
      </c>
      <c r="E1056" s="301">
        <v>2200</v>
      </c>
      <c r="F1056" s="303">
        <v>43018</v>
      </c>
      <c r="G1056" s="301">
        <v>2200</v>
      </c>
      <c r="H1056" s="301">
        <f>Tabla15[[#This Row],[Importe]]-Tabla15[[#This Row],[Pagado]]</f>
        <v>0</v>
      </c>
      <c r="I1056" s="275" t="s">
        <v>15214</v>
      </c>
    </row>
    <row r="1057" spans="1:9" x14ac:dyDescent="0.25">
      <c r="A1057" s="420">
        <v>43017</v>
      </c>
      <c r="B1057" s="302" t="s">
        <v>32712</v>
      </c>
      <c r="C1057">
        <v>130620</v>
      </c>
      <c r="D1057" s="275" t="s">
        <v>15334</v>
      </c>
      <c r="E1057" s="301">
        <v>2612</v>
      </c>
      <c r="F1057" s="303">
        <v>43017</v>
      </c>
      <c r="G1057" s="301">
        <v>2612</v>
      </c>
      <c r="H1057" s="301">
        <f>Tabla15[[#This Row],[Importe]]-Tabla15[[#This Row],[Pagado]]</f>
        <v>0</v>
      </c>
      <c r="I1057" s="275" t="s">
        <v>15214</v>
      </c>
    </row>
    <row r="1058" spans="1:9" x14ac:dyDescent="0.25">
      <c r="A1058" s="420">
        <v>43017</v>
      </c>
      <c r="B1058" s="302" t="s">
        <v>32713</v>
      </c>
      <c r="C1058">
        <v>130621</v>
      </c>
      <c r="D1058" s="275" t="s">
        <v>15706</v>
      </c>
      <c r="E1058" s="301">
        <v>1758.4</v>
      </c>
      <c r="F1058" s="303">
        <v>43017</v>
      </c>
      <c r="G1058" s="301">
        <v>1758.4</v>
      </c>
      <c r="H1058" s="301">
        <f>Tabla15[[#This Row],[Importe]]-Tabla15[[#This Row],[Pagado]]</f>
        <v>0</v>
      </c>
      <c r="I1058" s="275" t="s">
        <v>15214</v>
      </c>
    </row>
    <row r="1059" spans="1:9" x14ac:dyDescent="0.25">
      <c r="A1059" s="420">
        <v>43017</v>
      </c>
      <c r="B1059" s="302" t="s">
        <v>32714</v>
      </c>
      <c r="C1059">
        <v>130622</v>
      </c>
      <c r="D1059" s="275" t="s">
        <v>15668</v>
      </c>
      <c r="E1059" s="301">
        <v>3315.2</v>
      </c>
      <c r="F1059" s="303">
        <v>43018</v>
      </c>
      <c r="G1059" s="301">
        <v>3315.2</v>
      </c>
      <c r="H1059" s="301">
        <f>Tabla15[[#This Row],[Importe]]-Tabla15[[#This Row],[Pagado]]</f>
        <v>0</v>
      </c>
      <c r="I1059" s="275" t="s">
        <v>15214</v>
      </c>
    </row>
    <row r="1060" spans="1:9" x14ac:dyDescent="0.25">
      <c r="A1060" s="420">
        <v>43017</v>
      </c>
      <c r="B1060" s="302" t="s">
        <v>32715</v>
      </c>
      <c r="C1060">
        <v>130623</v>
      </c>
      <c r="D1060" s="275" t="s">
        <v>15782</v>
      </c>
      <c r="E1060" s="301">
        <v>1369.2</v>
      </c>
      <c r="F1060" s="303">
        <v>43018</v>
      </c>
      <c r="G1060" s="301">
        <v>1369.2</v>
      </c>
      <c r="H1060" s="301">
        <f>Tabla15[[#This Row],[Importe]]-Tabla15[[#This Row],[Pagado]]</f>
        <v>0</v>
      </c>
      <c r="I1060" s="275" t="s">
        <v>15214</v>
      </c>
    </row>
    <row r="1061" spans="1:9" x14ac:dyDescent="0.25">
      <c r="A1061" s="420">
        <v>43017</v>
      </c>
      <c r="B1061" s="302" t="s">
        <v>32716</v>
      </c>
      <c r="C1061">
        <v>130624</v>
      </c>
      <c r="D1061" s="275" t="s">
        <v>15315</v>
      </c>
      <c r="E1061" s="301">
        <v>1433</v>
      </c>
      <c r="F1061" s="303">
        <v>43017</v>
      </c>
      <c r="G1061" s="301">
        <v>1433</v>
      </c>
      <c r="H1061" s="301">
        <f>Tabla15[[#This Row],[Importe]]-Tabla15[[#This Row],[Pagado]]</f>
        <v>0</v>
      </c>
      <c r="I1061" s="275" t="s">
        <v>15214</v>
      </c>
    </row>
    <row r="1062" spans="1:9" x14ac:dyDescent="0.25">
      <c r="A1062" s="420">
        <v>43017</v>
      </c>
      <c r="B1062" s="302" t="s">
        <v>32717</v>
      </c>
      <c r="C1062">
        <v>130625</v>
      </c>
      <c r="D1062" s="275" t="s">
        <v>15313</v>
      </c>
      <c r="E1062" s="301">
        <v>12464</v>
      </c>
      <c r="F1062" s="303">
        <v>43018</v>
      </c>
      <c r="G1062" s="301">
        <v>12464</v>
      </c>
      <c r="H1062" s="301">
        <f>Tabla15[[#This Row],[Importe]]-Tabla15[[#This Row],[Pagado]]</f>
        <v>0</v>
      </c>
      <c r="I1062" s="275" t="s">
        <v>15214</v>
      </c>
    </row>
    <row r="1063" spans="1:9" x14ac:dyDescent="0.25">
      <c r="A1063" s="420">
        <v>43017</v>
      </c>
      <c r="B1063" s="302" t="s">
        <v>32718</v>
      </c>
      <c r="C1063">
        <v>130626</v>
      </c>
      <c r="D1063" s="275" t="s">
        <v>15417</v>
      </c>
      <c r="E1063" s="301">
        <v>1728.6</v>
      </c>
      <c r="F1063" s="303">
        <v>43018</v>
      </c>
      <c r="G1063" s="301">
        <v>1728.6</v>
      </c>
      <c r="H1063" s="301">
        <f>Tabla15[[#This Row],[Importe]]-Tabla15[[#This Row],[Pagado]]</f>
        <v>0</v>
      </c>
      <c r="I1063" s="275" t="s">
        <v>15214</v>
      </c>
    </row>
    <row r="1064" spans="1:9" x14ac:dyDescent="0.25">
      <c r="A1064" s="420">
        <v>43017</v>
      </c>
      <c r="B1064" s="302" t="s">
        <v>32719</v>
      </c>
      <c r="C1064">
        <v>130627</v>
      </c>
      <c r="D1064" s="275" t="s">
        <v>15286</v>
      </c>
      <c r="E1064" s="301">
        <v>5280</v>
      </c>
      <c r="F1064" s="303">
        <v>43018</v>
      </c>
      <c r="G1064" s="301">
        <v>5280</v>
      </c>
      <c r="H1064" s="301">
        <f>Tabla15[[#This Row],[Importe]]-Tabla15[[#This Row],[Pagado]]</f>
        <v>0</v>
      </c>
      <c r="I1064" s="275" t="s">
        <v>15214</v>
      </c>
    </row>
    <row r="1065" spans="1:9" x14ac:dyDescent="0.25">
      <c r="A1065" s="420">
        <v>43017</v>
      </c>
      <c r="B1065" s="302" t="s">
        <v>32720</v>
      </c>
      <c r="C1065">
        <v>130628</v>
      </c>
      <c r="D1065" s="275" t="s">
        <v>15240</v>
      </c>
      <c r="E1065" s="301">
        <v>523.79999999999995</v>
      </c>
      <c r="F1065" s="303">
        <v>43019</v>
      </c>
      <c r="G1065" s="301">
        <v>523.79999999999995</v>
      </c>
      <c r="H1065" s="301">
        <f>Tabla15[[#This Row],[Importe]]-Tabla15[[#This Row],[Pagado]]</f>
        <v>0</v>
      </c>
      <c r="I1065" s="275" t="s">
        <v>15214</v>
      </c>
    </row>
    <row r="1066" spans="1:9" x14ac:dyDescent="0.25">
      <c r="A1066" s="420">
        <v>43017</v>
      </c>
      <c r="B1066" s="302" t="s">
        <v>32721</v>
      </c>
      <c r="C1066">
        <v>130629</v>
      </c>
      <c r="D1066" s="275" t="s">
        <v>15313</v>
      </c>
      <c r="E1066" s="301">
        <v>2944</v>
      </c>
      <c r="F1066" s="303">
        <v>43018</v>
      </c>
      <c r="G1066" s="301">
        <v>2944</v>
      </c>
      <c r="H1066" s="301">
        <f>Tabla15[[#This Row],[Importe]]-Tabla15[[#This Row],[Pagado]]</f>
        <v>0</v>
      </c>
      <c r="I1066" s="275" t="s">
        <v>15214</v>
      </c>
    </row>
    <row r="1067" spans="1:9" x14ac:dyDescent="0.25">
      <c r="A1067" s="420">
        <v>43017</v>
      </c>
      <c r="B1067" s="302" t="s">
        <v>32722</v>
      </c>
      <c r="C1067">
        <v>130630</v>
      </c>
      <c r="D1067" s="275" t="s">
        <v>15348</v>
      </c>
      <c r="E1067" s="301">
        <v>183.6</v>
      </c>
      <c r="F1067" s="303">
        <v>43019</v>
      </c>
      <c r="G1067" s="301">
        <v>183.6</v>
      </c>
      <c r="H1067" s="301">
        <f>Tabla15[[#This Row],[Importe]]-Tabla15[[#This Row],[Pagado]]</f>
        <v>0</v>
      </c>
      <c r="I1067" s="275" t="s">
        <v>15214</v>
      </c>
    </row>
    <row r="1068" spans="1:9" x14ac:dyDescent="0.25">
      <c r="A1068" s="420">
        <v>43017</v>
      </c>
      <c r="B1068" s="302" t="s">
        <v>32723</v>
      </c>
      <c r="C1068">
        <v>130631</v>
      </c>
      <c r="D1068" s="275" t="s">
        <v>15317</v>
      </c>
      <c r="E1068" s="301">
        <v>561.6</v>
      </c>
      <c r="F1068" s="303">
        <v>43018</v>
      </c>
      <c r="G1068" s="301">
        <v>561.6</v>
      </c>
      <c r="H1068" s="301">
        <f>Tabla15[[#This Row],[Importe]]-Tabla15[[#This Row],[Pagado]]</f>
        <v>0</v>
      </c>
      <c r="I1068" s="275" t="s">
        <v>15214</v>
      </c>
    </row>
    <row r="1069" spans="1:9" x14ac:dyDescent="0.25">
      <c r="A1069" s="420">
        <v>43017</v>
      </c>
      <c r="B1069" s="302" t="s">
        <v>32724</v>
      </c>
      <c r="C1069">
        <v>130632</v>
      </c>
      <c r="D1069" s="275" t="s">
        <v>15315</v>
      </c>
      <c r="E1069" s="301">
        <v>1876</v>
      </c>
      <c r="F1069" s="303">
        <v>43018</v>
      </c>
      <c r="G1069" s="301">
        <v>1876</v>
      </c>
      <c r="H1069" s="301">
        <f>Tabla15[[#This Row],[Importe]]-Tabla15[[#This Row],[Pagado]]</f>
        <v>0</v>
      </c>
      <c r="I1069" s="275" t="s">
        <v>15214</v>
      </c>
    </row>
    <row r="1070" spans="1:9" x14ac:dyDescent="0.25">
      <c r="A1070" s="420">
        <v>43017</v>
      </c>
      <c r="B1070" s="302" t="s">
        <v>32725</v>
      </c>
      <c r="C1070">
        <v>130633</v>
      </c>
      <c r="D1070" s="275" t="s">
        <v>15326</v>
      </c>
      <c r="E1070" s="301">
        <v>2590.1999999999998</v>
      </c>
      <c r="F1070" s="303">
        <v>43017</v>
      </c>
      <c r="G1070" s="301">
        <v>2590.1999999999998</v>
      </c>
      <c r="H1070" s="301">
        <f>Tabla15[[#This Row],[Importe]]-Tabla15[[#This Row],[Pagado]]</f>
        <v>0</v>
      </c>
      <c r="I1070" s="275" t="s">
        <v>15214</v>
      </c>
    </row>
    <row r="1071" spans="1:9" x14ac:dyDescent="0.25">
      <c r="A1071" s="420">
        <v>43017</v>
      </c>
      <c r="B1071" s="302" t="s">
        <v>32726</v>
      </c>
      <c r="C1071">
        <v>130634</v>
      </c>
      <c r="D1071" s="275" t="s">
        <v>15326</v>
      </c>
      <c r="E1071" s="301">
        <v>803.7</v>
      </c>
      <c r="F1071" s="303">
        <v>43017</v>
      </c>
      <c r="G1071" s="301">
        <v>803.7</v>
      </c>
      <c r="H1071" s="301">
        <f>Tabla15[[#This Row],[Importe]]-Tabla15[[#This Row],[Pagado]]</f>
        <v>0</v>
      </c>
      <c r="I1071" s="275" t="s">
        <v>15214</v>
      </c>
    </row>
    <row r="1072" spans="1:9" x14ac:dyDescent="0.25">
      <c r="A1072" s="420">
        <v>43017</v>
      </c>
      <c r="B1072" s="302" t="s">
        <v>32727</v>
      </c>
      <c r="C1072">
        <v>130635</v>
      </c>
      <c r="D1072" s="275" t="s">
        <v>15315</v>
      </c>
      <c r="E1072" s="301">
        <v>4166.3999999999996</v>
      </c>
      <c r="F1072" s="303">
        <v>43017</v>
      </c>
      <c r="G1072" s="301">
        <v>4166.3999999999996</v>
      </c>
      <c r="H1072" s="301">
        <f>Tabla15[[#This Row],[Importe]]-Tabla15[[#This Row],[Pagado]]</f>
        <v>0</v>
      </c>
      <c r="I1072" s="275" t="s">
        <v>15214</v>
      </c>
    </row>
    <row r="1073" spans="1:9" x14ac:dyDescent="0.25">
      <c r="A1073" s="420">
        <v>43017</v>
      </c>
      <c r="B1073" s="302" t="s">
        <v>32728</v>
      </c>
      <c r="C1073">
        <v>130636</v>
      </c>
      <c r="D1073" s="275" t="s">
        <v>15930</v>
      </c>
      <c r="E1073" s="301">
        <v>4822.2</v>
      </c>
      <c r="F1073" s="303">
        <v>43018</v>
      </c>
      <c r="G1073" s="301">
        <v>4822.2</v>
      </c>
      <c r="H1073" s="301">
        <f>Tabla15[[#This Row],[Importe]]-Tabla15[[#This Row],[Pagado]]</f>
        <v>0</v>
      </c>
      <c r="I1073" s="275" t="s">
        <v>15214</v>
      </c>
    </row>
    <row r="1074" spans="1:9" x14ac:dyDescent="0.25">
      <c r="A1074" s="420">
        <v>43017</v>
      </c>
      <c r="B1074" s="302" t="s">
        <v>32729</v>
      </c>
      <c r="C1074">
        <v>130637</v>
      </c>
      <c r="D1074" s="275" t="s">
        <v>15523</v>
      </c>
      <c r="E1074" s="301">
        <v>1980</v>
      </c>
      <c r="F1074" s="303">
        <v>43017</v>
      </c>
      <c r="G1074" s="301">
        <v>1980</v>
      </c>
      <c r="H1074" s="301">
        <f>Tabla15[[#This Row],[Importe]]-Tabla15[[#This Row],[Pagado]]</f>
        <v>0</v>
      </c>
      <c r="I1074" s="275" t="s">
        <v>15214</v>
      </c>
    </row>
    <row r="1075" spans="1:9" x14ac:dyDescent="0.25">
      <c r="A1075" s="420">
        <v>43017</v>
      </c>
      <c r="B1075" s="302" t="s">
        <v>32730</v>
      </c>
      <c r="C1075">
        <v>130638</v>
      </c>
      <c r="D1075" s="275" t="s">
        <v>5828</v>
      </c>
      <c r="E1075" s="301">
        <v>8467.2000000000007</v>
      </c>
      <c r="F1075" s="303">
        <v>43017</v>
      </c>
      <c r="G1075" s="301">
        <v>8467.2000000000007</v>
      </c>
      <c r="H1075" s="301">
        <f>Tabla15[[#This Row],[Importe]]-Tabla15[[#This Row],[Pagado]]</f>
        <v>0</v>
      </c>
      <c r="I1075" s="275" t="s">
        <v>15214</v>
      </c>
    </row>
    <row r="1076" spans="1:9" x14ac:dyDescent="0.25">
      <c r="A1076" s="420">
        <v>43017</v>
      </c>
      <c r="B1076" s="302" t="s">
        <v>32731</v>
      </c>
      <c r="C1076">
        <v>130639</v>
      </c>
      <c r="D1076" s="275" t="s">
        <v>15742</v>
      </c>
      <c r="E1076" s="301">
        <v>2603.4</v>
      </c>
      <c r="F1076" s="303">
        <v>43017</v>
      </c>
      <c r="G1076" s="301">
        <v>2603.4</v>
      </c>
      <c r="H1076" s="301">
        <f>Tabla15[[#This Row],[Importe]]-Tabla15[[#This Row],[Pagado]]</f>
        <v>0</v>
      </c>
      <c r="I1076" s="275" t="s">
        <v>15214</v>
      </c>
    </row>
    <row r="1077" spans="1:9" x14ac:dyDescent="0.25">
      <c r="A1077" s="420">
        <v>43017</v>
      </c>
      <c r="B1077" s="302" t="s">
        <v>32732</v>
      </c>
      <c r="C1077">
        <v>130640</v>
      </c>
      <c r="D1077" s="275" t="s">
        <v>15742</v>
      </c>
      <c r="E1077" s="301">
        <v>306.8</v>
      </c>
      <c r="F1077" s="303">
        <v>43017</v>
      </c>
      <c r="G1077" s="301">
        <v>306.8</v>
      </c>
      <c r="H1077" s="301">
        <f>Tabla15[[#This Row],[Importe]]-Tabla15[[#This Row],[Pagado]]</f>
        <v>0</v>
      </c>
      <c r="I1077" s="275" t="s">
        <v>15214</v>
      </c>
    </row>
    <row r="1078" spans="1:9" x14ac:dyDescent="0.25">
      <c r="A1078" s="420">
        <v>43017</v>
      </c>
      <c r="B1078" s="302" t="s">
        <v>32733</v>
      </c>
      <c r="C1078">
        <v>130641</v>
      </c>
      <c r="D1078" s="275" t="s">
        <v>15526</v>
      </c>
      <c r="E1078" s="301">
        <v>4696.6000000000004</v>
      </c>
      <c r="F1078" s="303">
        <v>43017</v>
      </c>
      <c r="G1078" s="301">
        <v>4696.6000000000004</v>
      </c>
      <c r="H1078" s="301">
        <f>Tabla15[[#This Row],[Importe]]-Tabla15[[#This Row],[Pagado]]</f>
        <v>0</v>
      </c>
      <c r="I1078" s="275" t="s">
        <v>15214</v>
      </c>
    </row>
    <row r="1079" spans="1:9" x14ac:dyDescent="0.25">
      <c r="A1079" s="420">
        <v>43017</v>
      </c>
      <c r="B1079" s="302" t="s">
        <v>32734</v>
      </c>
      <c r="C1079">
        <v>130642</v>
      </c>
      <c r="D1079" s="275" t="s">
        <v>15344</v>
      </c>
      <c r="E1079" s="301">
        <v>2070</v>
      </c>
      <c r="F1079" s="303">
        <v>43017</v>
      </c>
      <c r="G1079" s="301">
        <v>2070</v>
      </c>
      <c r="H1079" s="301">
        <f>Tabla15[[#This Row],[Importe]]-Tabla15[[#This Row],[Pagado]]</f>
        <v>0</v>
      </c>
      <c r="I1079" s="275" t="s">
        <v>15214</v>
      </c>
    </row>
    <row r="1080" spans="1:9" x14ac:dyDescent="0.25">
      <c r="A1080" s="420">
        <v>43017</v>
      </c>
      <c r="B1080" s="302" t="s">
        <v>32735</v>
      </c>
      <c r="C1080">
        <v>130643</v>
      </c>
      <c r="D1080" s="275" t="s">
        <v>15336</v>
      </c>
      <c r="E1080" s="301">
        <v>5392.2</v>
      </c>
      <c r="F1080" s="303">
        <v>43017</v>
      </c>
      <c r="G1080" s="301">
        <v>5392.2</v>
      </c>
      <c r="H1080" s="301">
        <f>Tabla15[[#This Row],[Importe]]-Tabla15[[#This Row],[Pagado]]</f>
        <v>0</v>
      </c>
      <c r="I1080" s="275" t="s">
        <v>15214</v>
      </c>
    </row>
    <row r="1081" spans="1:9" x14ac:dyDescent="0.25">
      <c r="A1081" s="420">
        <v>43017</v>
      </c>
      <c r="B1081" s="302" t="s">
        <v>32736</v>
      </c>
      <c r="C1081">
        <v>130644</v>
      </c>
      <c r="D1081" s="275" t="s">
        <v>16171</v>
      </c>
      <c r="E1081" s="301">
        <v>364.5</v>
      </c>
      <c r="F1081" s="303">
        <v>43017</v>
      </c>
      <c r="G1081" s="301">
        <v>364.5</v>
      </c>
      <c r="H1081" s="301">
        <f>Tabla15[[#This Row],[Importe]]-Tabla15[[#This Row],[Pagado]]</f>
        <v>0</v>
      </c>
      <c r="I1081" s="275" t="s">
        <v>15214</v>
      </c>
    </row>
    <row r="1082" spans="1:9" x14ac:dyDescent="0.25">
      <c r="A1082" s="420">
        <v>43017</v>
      </c>
      <c r="B1082" s="302" t="s">
        <v>32737</v>
      </c>
      <c r="C1082">
        <v>130645</v>
      </c>
      <c r="D1082" s="275" t="s">
        <v>15332</v>
      </c>
      <c r="E1082" s="301">
        <v>2923.4</v>
      </c>
      <c r="F1082" s="303">
        <v>43017</v>
      </c>
      <c r="G1082" s="301">
        <v>2923.4</v>
      </c>
      <c r="H1082" s="301">
        <f>Tabla15[[#This Row],[Importe]]-Tabla15[[#This Row],[Pagado]]</f>
        <v>0</v>
      </c>
      <c r="I1082" s="275" t="s">
        <v>15214</v>
      </c>
    </row>
    <row r="1083" spans="1:9" x14ac:dyDescent="0.25">
      <c r="A1083" s="420">
        <v>43017</v>
      </c>
      <c r="B1083" s="302" t="s">
        <v>32738</v>
      </c>
      <c r="C1083">
        <v>130646</v>
      </c>
      <c r="D1083" s="275" t="s">
        <v>15748</v>
      </c>
      <c r="E1083" s="301">
        <v>1433.3</v>
      </c>
      <c r="F1083" s="303">
        <v>43017</v>
      </c>
      <c r="G1083" s="301">
        <v>1433.3</v>
      </c>
      <c r="H1083" s="301">
        <f>Tabla15[[#This Row],[Importe]]-Tabla15[[#This Row],[Pagado]]</f>
        <v>0</v>
      </c>
      <c r="I1083" s="275" t="s">
        <v>15214</v>
      </c>
    </row>
    <row r="1084" spans="1:9" x14ac:dyDescent="0.25">
      <c r="A1084" s="420">
        <v>43017</v>
      </c>
      <c r="B1084" s="302" t="s">
        <v>32739</v>
      </c>
      <c r="C1084">
        <v>130647</v>
      </c>
      <c r="D1084" s="275" t="s">
        <v>15340</v>
      </c>
      <c r="E1084" s="301">
        <v>8586.5</v>
      </c>
      <c r="F1084" s="303">
        <v>43017</v>
      </c>
      <c r="G1084" s="301">
        <v>8586.5</v>
      </c>
      <c r="H1084" s="301">
        <f>Tabla15[[#This Row],[Importe]]-Tabla15[[#This Row],[Pagado]]</f>
        <v>0</v>
      </c>
      <c r="I1084" s="275" t="s">
        <v>15214</v>
      </c>
    </row>
    <row r="1085" spans="1:9" x14ac:dyDescent="0.25">
      <c r="A1085" s="420">
        <v>43017</v>
      </c>
      <c r="B1085" s="302" t="s">
        <v>32740</v>
      </c>
      <c r="C1085">
        <v>130648</v>
      </c>
      <c r="D1085" s="275" t="s">
        <v>15315</v>
      </c>
      <c r="E1085" s="301">
        <v>3545.7</v>
      </c>
      <c r="F1085" s="303">
        <v>43017</v>
      </c>
      <c r="G1085" s="301">
        <v>3545.7</v>
      </c>
      <c r="H1085" s="301">
        <f>Tabla15[[#This Row],[Importe]]-Tabla15[[#This Row],[Pagado]]</f>
        <v>0</v>
      </c>
      <c r="I1085" s="275" t="s">
        <v>15214</v>
      </c>
    </row>
    <row r="1086" spans="1:9" x14ac:dyDescent="0.25">
      <c r="A1086" s="420">
        <v>43017</v>
      </c>
      <c r="B1086" s="302" t="s">
        <v>32741</v>
      </c>
      <c r="C1086">
        <v>130649</v>
      </c>
      <c r="D1086" s="275" t="s">
        <v>15254</v>
      </c>
      <c r="E1086" s="301">
        <v>4556.3999999999996</v>
      </c>
      <c r="F1086" s="303">
        <v>43017</v>
      </c>
      <c r="G1086" s="301">
        <v>4556.3999999999996</v>
      </c>
      <c r="H1086" s="301">
        <f>Tabla15[[#This Row],[Importe]]-Tabla15[[#This Row],[Pagado]]</f>
        <v>0</v>
      </c>
      <c r="I1086" s="275" t="s">
        <v>15214</v>
      </c>
    </row>
    <row r="1087" spans="1:9" ht="15.75" x14ac:dyDescent="0.25">
      <c r="A1087" s="420">
        <v>43017</v>
      </c>
      <c r="B1087" s="302" t="s">
        <v>32742</v>
      </c>
      <c r="C1087">
        <v>130650</v>
      </c>
      <c r="D1087" s="248" t="s">
        <v>95</v>
      </c>
      <c r="E1087" s="301">
        <v>0</v>
      </c>
      <c r="F1087" s="243" t="s">
        <v>95</v>
      </c>
      <c r="G1087" s="301">
        <v>0</v>
      </c>
      <c r="H1087" s="301">
        <f>Tabla15[[#This Row],[Importe]]-Tabla15[[#This Row],[Pagado]]</f>
        <v>0</v>
      </c>
      <c r="I1087" s="275" t="s">
        <v>95</v>
      </c>
    </row>
    <row r="1088" spans="1:9" x14ac:dyDescent="0.25">
      <c r="A1088" s="420">
        <v>43017</v>
      </c>
      <c r="B1088" s="302" t="s">
        <v>32743</v>
      </c>
      <c r="C1088">
        <v>130651</v>
      </c>
      <c r="D1088" s="275" t="s">
        <v>23937</v>
      </c>
      <c r="E1088" s="301">
        <v>3555.8</v>
      </c>
      <c r="F1088" s="303">
        <v>43017</v>
      </c>
      <c r="G1088" s="301">
        <v>3555.8</v>
      </c>
      <c r="H1088" s="301">
        <f>Tabla15[[#This Row],[Importe]]-Tabla15[[#This Row],[Pagado]]</f>
        <v>0</v>
      </c>
      <c r="I1088" s="275" t="s">
        <v>15214</v>
      </c>
    </row>
    <row r="1089" spans="1:9" x14ac:dyDescent="0.25">
      <c r="A1089" s="420">
        <v>43017</v>
      </c>
      <c r="B1089" s="302" t="s">
        <v>32744</v>
      </c>
      <c r="C1089">
        <v>130652</v>
      </c>
      <c r="D1089" s="275" t="s">
        <v>15549</v>
      </c>
      <c r="E1089" s="301">
        <v>8418.1</v>
      </c>
      <c r="F1089" s="303">
        <v>43018</v>
      </c>
      <c r="G1089" s="301">
        <v>8418.1</v>
      </c>
      <c r="H1089" s="301">
        <f>Tabla15[[#This Row],[Importe]]-Tabla15[[#This Row],[Pagado]]</f>
        <v>0</v>
      </c>
      <c r="I1089" s="275" t="s">
        <v>15214</v>
      </c>
    </row>
    <row r="1090" spans="1:9" x14ac:dyDescent="0.25">
      <c r="A1090" s="420">
        <v>43017</v>
      </c>
      <c r="B1090" s="302" t="s">
        <v>32745</v>
      </c>
      <c r="C1090">
        <v>130653</v>
      </c>
      <c r="D1090" s="275" t="s">
        <v>15252</v>
      </c>
      <c r="E1090" s="301">
        <v>5178.7700000000004</v>
      </c>
      <c r="F1090" s="303">
        <v>43020</v>
      </c>
      <c r="G1090" s="301">
        <v>5178.7700000000004</v>
      </c>
      <c r="H1090" s="301">
        <f>Tabla15[[#This Row],[Importe]]-Tabla15[[#This Row],[Pagado]]</f>
        <v>0</v>
      </c>
      <c r="I1090" s="275" t="s">
        <v>15214</v>
      </c>
    </row>
    <row r="1091" spans="1:9" x14ac:dyDescent="0.25">
      <c r="A1091" s="420">
        <v>43017</v>
      </c>
      <c r="B1091" s="302" t="s">
        <v>32746</v>
      </c>
      <c r="C1091">
        <v>130654</v>
      </c>
      <c r="D1091" s="275" t="s">
        <v>15244</v>
      </c>
      <c r="E1091" s="301">
        <v>11124.6</v>
      </c>
      <c r="F1091" s="303">
        <v>43020</v>
      </c>
      <c r="G1091" s="301">
        <v>11124.6</v>
      </c>
      <c r="H1091" s="301">
        <f>Tabla15[[#This Row],[Importe]]-Tabla15[[#This Row],[Pagado]]</f>
        <v>0</v>
      </c>
      <c r="I1091" s="275" t="s">
        <v>15214</v>
      </c>
    </row>
    <row r="1092" spans="1:9" x14ac:dyDescent="0.25">
      <c r="A1092" s="420">
        <v>43017</v>
      </c>
      <c r="B1092" s="302" t="s">
        <v>32747</v>
      </c>
      <c r="C1092">
        <v>130655</v>
      </c>
      <c r="D1092" s="275" t="s">
        <v>18890</v>
      </c>
      <c r="E1092" s="301">
        <v>20086.8</v>
      </c>
      <c r="F1092" s="303">
        <v>43024</v>
      </c>
      <c r="G1092" s="301">
        <v>20086.8</v>
      </c>
      <c r="H1092" s="301">
        <f>Tabla15[[#This Row],[Importe]]-Tabla15[[#This Row],[Pagado]]</f>
        <v>0</v>
      </c>
      <c r="I1092" s="275" t="s">
        <v>15214</v>
      </c>
    </row>
    <row r="1093" spans="1:9" ht="15.75" x14ac:dyDescent="0.25">
      <c r="A1093" s="420">
        <v>43017</v>
      </c>
      <c r="B1093" s="302" t="s">
        <v>32748</v>
      </c>
      <c r="C1093">
        <v>130656</v>
      </c>
      <c r="D1093" s="248" t="s">
        <v>95</v>
      </c>
      <c r="E1093" s="301">
        <v>0</v>
      </c>
      <c r="F1093" s="243" t="s">
        <v>95</v>
      </c>
      <c r="G1093" s="301">
        <v>0</v>
      </c>
      <c r="H1093" s="301">
        <f>Tabla15[[#This Row],[Importe]]-Tabla15[[#This Row],[Pagado]]</f>
        <v>0</v>
      </c>
      <c r="I1093" s="275" t="s">
        <v>95</v>
      </c>
    </row>
    <row r="1094" spans="1:9" x14ac:dyDescent="0.25">
      <c r="A1094" s="420">
        <v>43017</v>
      </c>
      <c r="B1094" s="302" t="s">
        <v>32749</v>
      </c>
      <c r="C1094">
        <v>130657</v>
      </c>
      <c r="D1094" s="275" t="s">
        <v>15342</v>
      </c>
      <c r="E1094" s="301">
        <v>475.6</v>
      </c>
      <c r="F1094" s="303">
        <v>43017</v>
      </c>
      <c r="G1094" s="301">
        <v>475.6</v>
      </c>
      <c r="H1094" s="301">
        <f>Tabla15[[#This Row],[Importe]]-Tabla15[[#This Row],[Pagado]]</f>
        <v>0</v>
      </c>
      <c r="I1094" s="275" t="s">
        <v>15214</v>
      </c>
    </row>
    <row r="1095" spans="1:9" x14ac:dyDescent="0.25">
      <c r="A1095" s="420">
        <v>43017</v>
      </c>
      <c r="B1095" s="302" t="s">
        <v>32750</v>
      </c>
      <c r="C1095">
        <v>130658</v>
      </c>
      <c r="D1095" s="275" t="s">
        <v>15394</v>
      </c>
      <c r="E1095" s="301">
        <v>7559.1</v>
      </c>
      <c r="F1095" s="303">
        <v>43020</v>
      </c>
      <c r="G1095" s="301">
        <v>7559.1</v>
      </c>
      <c r="H1095" s="301">
        <f>Tabla15[[#This Row],[Importe]]-Tabla15[[#This Row],[Pagado]]</f>
        <v>0</v>
      </c>
      <c r="I1095" s="275" t="s">
        <v>15214</v>
      </c>
    </row>
    <row r="1096" spans="1:9" x14ac:dyDescent="0.25">
      <c r="A1096" s="420">
        <v>43017</v>
      </c>
      <c r="B1096" s="302" t="s">
        <v>32751</v>
      </c>
      <c r="C1096">
        <v>130659</v>
      </c>
      <c r="D1096" s="275" t="s">
        <v>15396</v>
      </c>
      <c r="E1096" s="301">
        <v>4170.6000000000004</v>
      </c>
      <c r="F1096" s="303">
        <v>43017</v>
      </c>
      <c r="G1096" s="301">
        <v>4170.6000000000004</v>
      </c>
      <c r="H1096" s="301">
        <f>Tabla15[[#This Row],[Importe]]-Tabla15[[#This Row],[Pagado]]</f>
        <v>0</v>
      </c>
      <c r="I1096" s="275" t="s">
        <v>15214</v>
      </c>
    </row>
    <row r="1097" spans="1:9" x14ac:dyDescent="0.25">
      <c r="A1097" s="420">
        <v>43017</v>
      </c>
      <c r="B1097" s="302" t="s">
        <v>32752</v>
      </c>
      <c r="C1097">
        <v>130660</v>
      </c>
      <c r="D1097" s="275" t="s">
        <v>15369</v>
      </c>
      <c r="E1097" s="301">
        <v>23346</v>
      </c>
      <c r="F1097" s="303">
        <v>43035</v>
      </c>
      <c r="G1097" s="301">
        <v>23346</v>
      </c>
      <c r="H1097" s="301">
        <f>Tabla15[[#This Row],[Importe]]-Tabla15[[#This Row],[Pagado]]</f>
        <v>0</v>
      </c>
      <c r="I1097" s="275" t="s">
        <v>15214</v>
      </c>
    </row>
    <row r="1098" spans="1:9" x14ac:dyDescent="0.25">
      <c r="A1098" s="420">
        <v>43017</v>
      </c>
      <c r="B1098" s="302" t="s">
        <v>32753</v>
      </c>
      <c r="C1098">
        <v>130661</v>
      </c>
      <c r="D1098" s="275" t="s">
        <v>15380</v>
      </c>
      <c r="E1098" s="301">
        <v>49627.4</v>
      </c>
      <c r="F1098" s="303">
        <v>43035</v>
      </c>
      <c r="G1098" s="301">
        <v>49627.4</v>
      </c>
      <c r="H1098" s="301">
        <f>Tabla15[[#This Row],[Importe]]-Tabla15[[#This Row],[Pagado]]</f>
        <v>0</v>
      </c>
      <c r="I1098" s="275" t="s">
        <v>15214</v>
      </c>
    </row>
    <row r="1099" spans="1:9" ht="30" x14ac:dyDescent="0.25">
      <c r="A1099" s="420">
        <v>43017</v>
      </c>
      <c r="B1099" s="302" t="s">
        <v>32754</v>
      </c>
      <c r="C1099">
        <v>130662</v>
      </c>
      <c r="D1099" s="275" t="s">
        <v>15389</v>
      </c>
      <c r="E1099" s="301">
        <v>16981.099999999999</v>
      </c>
      <c r="F1099" s="303" t="s">
        <v>32755</v>
      </c>
      <c r="G1099" s="305">
        <f>14318.9+2662.2</f>
        <v>16981.099999999999</v>
      </c>
      <c r="H1099" s="305">
        <f>Tabla15[[#This Row],[Importe]]-Tabla15[[#This Row],[Pagado]]</f>
        <v>0</v>
      </c>
      <c r="I1099" s="275" t="s">
        <v>15214</v>
      </c>
    </row>
    <row r="1100" spans="1:9" x14ac:dyDescent="0.25">
      <c r="A1100" s="420">
        <v>43017</v>
      </c>
      <c r="B1100" s="302" t="s">
        <v>32756</v>
      </c>
      <c r="C1100">
        <v>130663</v>
      </c>
      <c r="D1100" s="275" t="s">
        <v>15382</v>
      </c>
      <c r="E1100" s="301">
        <v>11841.8</v>
      </c>
      <c r="F1100" s="303">
        <v>43031</v>
      </c>
      <c r="G1100" s="301">
        <v>11841.8</v>
      </c>
      <c r="H1100" s="301">
        <f>Tabla15[[#This Row],[Importe]]-Tabla15[[#This Row],[Pagado]]</f>
        <v>0</v>
      </c>
      <c r="I1100" s="275" t="s">
        <v>15214</v>
      </c>
    </row>
    <row r="1101" spans="1:9" x14ac:dyDescent="0.25">
      <c r="A1101" s="420">
        <v>43017</v>
      </c>
      <c r="B1101" s="302" t="s">
        <v>32757</v>
      </c>
      <c r="C1101">
        <v>130664</v>
      </c>
      <c r="D1101" s="275" t="s">
        <v>15315</v>
      </c>
      <c r="E1101" s="301">
        <v>2173.5</v>
      </c>
      <c r="F1101" s="303">
        <v>43017</v>
      </c>
      <c r="G1101" s="301">
        <v>2173.5</v>
      </c>
      <c r="H1101" s="301">
        <f>Tabla15[[#This Row],[Importe]]-Tabla15[[#This Row],[Pagado]]</f>
        <v>0</v>
      </c>
      <c r="I1101" s="275" t="s">
        <v>15214</v>
      </c>
    </row>
    <row r="1102" spans="1:9" x14ac:dyDescent="0.25">
      <c r="A1102" s="420">
        <v>43017</v>
      </c>
      <c r="B1102" s="302" t="s">
        <v>32758</v>
      </c>
      <c r="C1102">
        <v>130665</v>
      </c>
      <c r="D1102" s="275" t="s">
        <v>17462</v>
      </c>
      <c r="E1102" s="301">
        <v>4080.9</v>
      </c>
      <c r="F1102" s="303">
        <v>43017</v>
      </c>
      <c r="G1102" s="301">
        <v>4080.9</v>
      </c>
      <c r="H1102" s="301">
        <f>Tabla15[[#This Row],[Importe]]-Tabla15[[#This Row],[Pagado]]</f>
        <v>0</v>
      </c>
      <c r="I1102" s="275" t="s">
        <v>15214</v>
      </c>
    </row>
    <row r="1103" spans="1:9" ht="15.75" x14ac:dyDescent="0.25">
      <c r="A1103" s="420">
        <v>43017</v>
      </c>
      <c r="B1103" s="302" t="s">
        <v>32759</v>
      </c>
      <c r="C1103">
        <v>130666</v>
      </c>
      <c r="D1103" s="248" t="s">
        <v>95</v>
      </c>
      <c r="E1103" s="301">
        <v>0</v>
      </c>
      <c r="F1103" s="243" t="s">
        <v>95</v>
      </c>
      <c r="G1103" s="301">
        <v>0</v>
      </c>
      <c r="H1103" s="301">
        <f>Tabla15[[#This Row],[Importe]]-Tabla15[[#This Row],[Pagado]]</f>
        <v>0</v>
      </c>
      <c r="I1103" s="275" t="s">
        <v>95</v>
      </c>
    </row>
    <row r="1104" spans="1:9" x14ac:dyDescent="0.25">
      <c r="A1104" s="420">
        <v>43017</v>
      </c>
      <c r="B1104" s="302" t="s">
        <v>32760</v>
      </c>
      <c r="C1104">
        <v>130667</v>
      </c>
      <c r="D1104" s="275" t="s">
        <v>15566</v>
      </c>
      <c r="E1104" s="301">
        <v>3441</v>
      </c>
      <c r="F1104" s="303">
        <v>43017</v>
      </c>
      <c r="G1104" s="301">
        <v>3441</v>
      </c>
      <c r="H1104" s="301">
        <f>Tabla15[[#This Row],[Importe]]-Tabla15[[#This Row],[Pagado]]</f>
        <v>0</v>
      </c>
      <c r="I1104" s="275" t="s">
        <v>15214</v>
      </c>
    </row>
    <row r="1105" spans="1:9" x14ac:dyDescent="0.25">
      <c r="A1105" s="420">
        <v>43017</v>
      </c>
      <c r="B1105" s="302" t="s">
        <v>32761</v>
      </c>
      <c r="C1105">
        <v>130668</v>
      </c>
      <c r="D1105" s="275" t="s">
        <v>15315</v>
      </c>
      <c r="E1105" s="301">
        <v>2268.4</v>
      </c>
      <c r="F1105" s="303">
        <v>43017</v>
      </c>
      <c r="G1105" s="301">
        <v>2268.4</v>
      </c>
      <c r="H1105" s="301">
        <f>Tabla15[[#This Row],[Importe]]-Tabla15[[#This Row],[Pagado]]</f>
        <v>0</v>
      </c>
      <c r="I1105" s="275" t="s">
        <v>15214</v>
      </c>
    </row>
    <row r="1106" spans="1:9" x14ac:dyDescent="0.25">
      <c r="A1106" s="420">
        <v>43017</v>
      </c>
      <c r="B1106" s="302" t="s">
        <v>32762</v>
      </c>
      <c r="C1106">
        <v>130669</v>
      </c>
      <c r="D1106" s="275" t="s">
        <v>15987</v>
      </c>
      <c r="E1106" s="301">
        <v>475.2</v>
      </c>
      <c r="F1106" s="303">
        <v>43017</v>
      </c>
      <c r="G1106" s="301">
        <v>475.2</v>
      </c>
      <c r="H1106" s="301">
        <f>Tabla15[[#This Row],[Importe]]-Tabla15[[#This Row],[Pagado]]</f>
        <v>0</v>
      </c>
      <c r="I1106" s="275" t="s">
        <v>15214</v>
      </c>
    </row>
    <row r="1107" spans="1:9" x14ac:dyDescent="0.25">
      <c r="A1107" s="420">
        <v>43017</v>
      </c>
      <c r="B1107" s="302" t="s">
        <v>32763</v>
      </c>
      <c r="C1107">
        <v>130670</v>
      </c>
      <c r="D1107" s="275" t="s">
        <v>15326</v>
      </c>
      <c r="E1107" s="301">
        <v>1049.2</v>
      </c>
      <c r="F1107" s="303">
        <v>43017</v>
      </c>
      <c r="G1107" s="301">
        <v>1049.2</v>
      </c>
      <c r="H1107" s="301">
        <f>Tabla15[[#This Row],[Importe]]-Tabla15[[#This Row],[Pagado]]</f>
        <v>0</v>
      </c>
      <c r="I1107" s="275" t="s">
        <v>15214</v>
      </c>
    </row>
    <row r="1108" spans="1:9" x14ac:dyDescent="0.25">
      <c r="A1108" s="420">
        <v>43017</v>
      </c>
      <c r="B1108" s="302" t="s">
        <v>32764</v>
      </c>
      <c r="C1108">
        <v>130671</v>
      </c>
      <c r="D1108" s="275" t="s">
        <v>15378</v>
      </c>
      <c r="E1108" s="301">
        <v>12114.4</v>
      </c>
      <c r="F1108" s="303">
        <v>43024</v>
      </c>
      <c r="G1108" s="301">
        <v>12114.4</v>
      </c>
      <c r="H1108" s="301">
        <f>Tabla15[[#This Row],[Importe]]-Tabla15[[#This Row],[Pagado]]</f>
        <v>0</v>
      </c>
      <c r="I1108" s="275" t="s">
        <v>15214</v>
      </c>
    </row>
    <row r="1109" spans="1:9" x14ac:dyDescent="0.25">
      <c r="A1109" s="420">
        <v>43017</v>
      </c>
      <c r="B1109" s="302" t="s">
        <v>32765</v>
      </c>
      <c r="C1109">
        <v>130672</v>
      </c>
      <c r="D1109" s="275" t="s">
        <v>15246</v>
      </c>
      <c r="E1109" s="301">
        <v>182423</v>
      </c>
      <c r="F1109" s="303">
        <v>43019</v>
      </c>
      <c r="G1109" s="301">
        <v>182423</v>
      </c>
      <c r="H1109" s="301">
        <f>Tabla15[[#This Row],[Importe]]-Tabla15[[#This Row],[Pagado]]</f>
        <v>0</v>
      </c>
      <c r="I1109" s="275" t="s">
        <v>15214</v>
      </c>
    </row>
    <row r="1110" spans="1:9" x14ac:dyDescent="0.25">
      <c r="A1110" s="420">
        <v>43017</v>
      </c>
      <c r="B1110" s="302" t="s">
        <v>32766</v>
      </c>
      <c r="C1110">
        <v>130673</v>
      </c>
      <c r="D1110" s="275" t="s">
        <v>15246</v>
      </c>
      <c r="E1110" s="301">
        <v>79620.899999999994</v>
      </c>
      <c r="F1110" s="303">
        <v>43019</v>
      </c>
      <c r="G1110" s="301">
        <v>79620.899999999994</v>
      </c>
      <c r="H1110" s="301">
        <f>Tabla15[[#This Row],[Importe]]-Tabla15[[#This Row],[Pagado]]</f>
        <v>0</v>
      </c>
      <c r="I1110" s="275" t="s">
        <v>15214</v>
      </c>
    </row>
    <row r="1111" spans="1:9" x14ac:dyDescent="0.25">
      <c r="A1111" s="420">
        <v>43017</v>
      </c>
      <c r="B1111" s="302" t="s">
        <v>32767</v>
      </c>
      <c r="C1111">
        <v>130674</v>
      </c>
      <c r="D1111" s="275" t="s">
        <v>15282</v>
      </c>
      <c r="E1111" s="301">
        <v>2164.5</v>
      </c>
      <c r="F1111" s="303">
        <v>43017</v>
      </c>
      <c r="G1111" s="301">
        <v>2164.5</v>
      </c>
      <c r="H1111" s="301">
        <f>Tabla15[[#This Row],[Importe]]-Tabla15[[#This Row],[Pagado]]</f>
        <v>0</v>
      </c>
      <c r="I1111" s="275" t="s">
        <v>15214</v>
      </c>
    </row>
    <row r="1112" spans="1:9" x14ac:dyDescent="0.25">
      <c r="A1112" s="420">
        <v>43017</v>
      </c>
      <c r="B1112" s="302" t="s">
        <v>32768</v>
      </c>
      <c r="C1112">
        <v>130675</v>
      </c>
      <c r="D1112" s="275" t="s">
        <v>15246</v>
      </c>
      <c r="E1112" s="301">
        <v>14212.1</v>
      </c>
      <c r="F1112" s="303">
        <v>43019</v>
      </c>
      <c r="G1112" s="301">
        <v>14212.1</v>
      </c>
      <c r="H1112" s="301">
        <f>Tabla15[[#This Row],[Importe]]-Tabla15[[#This Row],[Pagado]]</f>
        <v>0</v>
      </c>
      <c r="I1112" s="275" t="s">
        <v>15214</v>
      </c>
    </row>
    <row r="1113" spans="1:9" ht="15.75" x14ac:dyDescent="0.25">
      <c r="A1113" s="420">
        <v>43017</v>
      </c>
      <c r="B1113" s="302" t="s">
        <v>32769</v>
      </c>
      <c r="C1113">
        <v>130676</v>
      </c>
      <c r="D1113" s="248" t="s">
        <v>95</v>
      </c>
      <c r="E1113" s="301">
        <v>0</v>
      </c>
      <c r="F1113" s="243" t="s">
        <v>95</v>
      </c>
      <c r="G1113" s="301">
        <v>0</v>
      </c>
      <c r="H1113" s="301">
        <f>Tabla15[[#This Row],[Importe]]-Tabla15[[#This Row],[Pagado]]</f>
        <v>0</v>
      </c>
      <c r="I1113" s="275" t="s">
        <v>95</v>
      </c>
    </row>
    <row r="1114" spans="1:9" x14ac:dyDescent="0.25">
      <c r="A1114" s="420">
        <v>43017</v>
      </c>
      <c r="B1114" s="302" t="s">
        <v>32770</v>
      </c>
      <c r="C1114">
        <v>130677</v>
      </c>
      <c r="D1114" s="275" t="s">
        <v>15419</v>
      </c>
      <c r="E1114" s="301">
        <v>22710</v>
      </c>
      <c r="F1114" s="303">
        <v>43021</v>
      </c>
      <c r="G1114" s="301">
        <v>22710</v>
      </c>
      <c r="H1114" s="301">
        <f>Tabla15[[#This Row],[Importe]]-Tabla15[[#This Row],[Pagado]]</f>
        <v>0</v>
      </c>
      <c r="I1114" s="275" t="s">
        <v>15214</v>
      </c>
    </row>
    <row r="1115" spans="1:9" x14ac:dyDescent="0.25">
      <c r="A1115" s="420">
        <v>43017</v>
      </c>
      <c r="B1115" s="302" t="s">
        <v>32771</v>
      </c>
      <c r="C1115">
        <v>130678</v>
      </c>
      <c r="D1115" s="275" t="s">
        <v>15398</v>
      </c>
      <c r="E1115" s="301">
        <v>3706.6</v>
      </c>
      <c r="F1115" s="303">
        <v>43017</v>
      </c>
      <c r="G1115" s="301">
        <v>3706.6</v>
      </c>
      <c r="H1115" s="301">
        <f>Tabla15[[#This Row],[Importe]]-Tabla15[[#This Row],[Pagado]]</f>
        <v>0</v>
      </c>
      <c r="I1115" s="275" t="s">
        <v>15214</v>
      </c>
    </row>
    <row r="1116" spans="1:9" x14ac:dyDescent="0.25">
      <c r="A1116" s="420">
        <v>43017</v>
      </c>
      <c r="B1116" s="302" t="s">
        <v>32772</v>
      </c>
      <c r="C1116">
        <v>130679</v>
      </c>
      <c r="D1116" s="275" t="s">
        <v>15728</v>
      </c>
      <c r="E1116" s="301">
        <v>21672</v>
      </c>
      <c r="F1116" s="303">
        <v>43017</v>
      </c>
      <c r="G1116" s="301">
        <v>21672</v>
      </c>
      <c r="H1116" s="301">
        <f>Tabla15[[#This Row],[Importe]]-Tabla15[[#This Row],[Pagado]]</f>
        <v>0</v>
      </c>
      <c r="I1116" s="275" t="s">
        <v>15214</v>
      </c>
    </row>
    <row r="1117" spans="1:9" x14ac:dyDescent="0.25">
      <c r="A1117" s="420">
        <v>43017</v>
      </c>
      <c r="B1117" s="302" t="s">
        <v>32773</v>
      </c>
      <c r="C1117">
        <v>130680</v>
      </c>
      <c r="D1117" s="275" t="s">
        <v>15555</v>
      </c>
      <c r="E1117" s="301">
        <v>5958.6</v>
      </c>
      <c r="F1117" s="303">
        <v>43018</v>
      </c>
      <c r="G1117" s="301">
        <v>5958.6</v>
      </c>
      <c r="H1117" s="301">
        <f>Tabla15[[#This Row],[Importe]]-Tabla15[[#This Row],[Pagado]]</f>
        <v>0</v>
      </c>
      <c r="I1117" s="275" t="s">
        <v>15214</v>
      </c>
    </row>
    <row r="1118" spans="1:9" x14ac:dyDescent="0.25">
      <c r="A1118" s="420">
        <v>43017</v>
      </c>
      <c r="B1118" s="302" t="s">
        <v>32774</v>
      </c>
      <c r="C1118">
        <v>130681</v>
      </c>
      <c r="D1118" s="275" t="s">
        <v>15559</v>
      </c>
      <c r="E1118" s="301">
        <v>8661.2999999999993</v>
      </c>
      <c r="F1118" s="303">
        <v>43018</v>
      </c>
      <c r="G1118" s="301">
        <v>8661.2999999999993</v>
      </c>
      <c r="H1118" s="301">
        <f>Tabla15[[#This Row],[Importe]]-Tabla15[[#This Row],[Pagado]]</f>
        <v>0</v>
      </c>
      <c r="I1118" s="275" t="s">
        <v>15214</v>
      </c>
    </row>
    <row r="1119" spans="1:9" x14ac:dyDescent="0.25">
      <c r="A1119" s="420">
        <v>43017</v>
      </c>
      <c r="B1119" s="302" t="s">
        <v>32775</v>
      </c>
      <c r="C1119">
        <v>130682</v>
      </c>
      <c r="D1119" s="275" t="s">
        <v>15557</v>
      </c>
      <c r="E1119" s="301">
        <v>3928.4</v>
      </c>
      <c r="F1119" s="303">
        <v>43018</v>
      </c>
      <c r="G1119" s="301">
        <v>3928.4</v>
      </c>
      <c r="H1119" s="301">
        <f>Tabla15[[#This Row],[Importe]]-Tabla15[[#This Row],[Pagado]]</f>
        <v>0</v>
      </c>
      <c r="I1119" s="275" t="s">
        <v>15214</v>
      </c>
    </row>
    <row r="1120" spans="1:9" x14ac:dyDescent="0.25">
      <c r="A1120" s="420">
        <v>43017</v>
      </c>
      <c r="B1120" s="302" t="s">
        <v>32776</v>
      </c>
      <c r="C1120">
        <v>130683</v>
      </c>
      <c r="D1120" s="275" t="s">
        <v>15407</v>
      </c>
      <c r="E1120" s="301">
        <v>2880</v>
      </c>
      <c r="F1120" s="303">
        <v>43017</v>
      </c>
      <c r="G1120" s="301">
        <v>2880</v>
      </c>
      <c r="H1120" s="301">
        <f>Tabla15[[#This Row],[Importe]]-Tabla15[[#This Row],[Pagado]]</f>
        <v>0</v>
      </c>
      <c r="I1120" s="275" t="s">
        <v>15214</v>
      </c>
    </row>
    <row r="1121" spans="1:9" ht="15.75" x14ac:dyDescent="0.25">
      <c r="A1121" s="420">
        <v>43017</v>
      </c>
      <c r="B1121" s="302" t="s">
        <v>32777</v>
      </c>
      <c r="C1121">
        <v>130684</v>
      </c>
      <c r="D1121" s="248" t="s">
        <v>95</v>
      </c>
      <c r="E1121" s="301">
        <v>0</v>
      </c>
      <c r="F1121" s="243" t="s">
        <v>95</v>
      </c>
      <c r="G1121" s="301">
        <v>0</v>
      </c>
      <c r="H1121" s="301">
        <f>Tabla15[[#This Row],[Importe]]-Tabla15[[#This Row],[Pagado]]</f>
        <v>0</v>
      </c>
      <c r="I1121" s="275" t="s">
        <v>95</v>
      </c>
    </row>
    <row r="1122" spans="1:9" x14ac:dyDescent="0.25">
      <c r="A1122" s="420">
        <v>43017</v>
      </c>
      <c r="B1122" s="302" t="s">
        <v>32778</v>
      </c>
      <c r="C1122">
        <v>130685</v>
      </c>
      <c r="D1122" s="275" t="s">
        <v>15539</v>
      </c>
      <c r="E1122" s="301">
        <v>10213.299999999999</v>
      </c>
      <c r="F1122" s="303">
        <v>43018</v>
      </c>
      <c r="G1122" s="301">
        <v>10213.299999999999</v>
      </c>
      <c r="H1122" s="301">
        <f>Tabla15[[#This Row],[Importe]]-Tabla15[[#This Row],[Pagado]]</f>
        <v>0</v>
      </c>
      <c r="I1122" s="275" t="s">
        <v>15214</v>
      </c>
    </row>
    <row r="1123" spans="1:9" x14ac:dyDescent="0.25">
      <c r="A1123" s="420">
        <v>43017</v>
      </c>
      <c r="B1123" s="302" t="s">
        <v>32779</v>
      </c>
      <c r="C1123">
        <v>130686</v>
      </c>
      <c r="D1123" s="275" t="s">
        <v>15265</v>
      </c>
      <c r="E1123" s="301">
        <v>3019.2</v>
      </c>
      <c r="F1123" s="303">
        <v>43017</v>
      </c>
      <c r="G1123" s="301">
        <v>3019.2</v>
      </c>
      <c r="H1123" s="301">
        <f>Tabla15[[#This Row],[Importe]]-Tabla15[[#This Row],[Pagado]]</f>
        <v>0</v>
      </c>
      <c r="I1123" s="275" t="s">
        <v>15214</v>
      </c>
    </row>
    <row r="1124" spans="1:9" x14ac:dyDescent="0.25">
      <c r="A1124" s="420">
        <v>43017</v>
      </c>
      <c r="B1124" s="302" t="s">
        <v>32780</v>
      </c>
      <c r="C1124">
        <v>130687</v>
      </c>
      <c r="D1124" s="275" t="s">
        <v>15298</v>
      </c>
      <c r="E1124" s="301">
        <v>15523.14</v>
      </c>
      <c r="F1124" s="303">
        <v>43024</v>
      </c>
      <c r="G1124" s="301">
        <v>15523.14</v>
      </c>
      <c r="H1124" s="301">
        <f>Tabla15[[#This Row],[Importe]]-Tabla15[[#This Row],[Pagado]]</f>
        <v>0</v>
      </c>
      <c r="I1124" s="275" t="s">
        <v>15214</v>
      </c>
    </row>
    <row r="1125" spans="1:9" x14ac:dyDescent="0.25">
      <c r="A1125" s="420">
        <v>43017</v>
      </c>
      <c r="B1125" s="302" t="s">
        <v>32781</v>
      </c>
      <c r="C1125">
        <v>130688</v>
      </c>
      <c r="D1125" s="275" t="s">
        <v>15537</v>
      </c>
      <c r="E1125" s="301">
        <v>23822.799999999999</v>
      </c>
      <c r="F1125" s="303">
        <v>43018</v>
      </c>
      <c r="G1125" s="301">
        <v>23822.799999999999</v>
      </c>
      <c r="H1125" s="301">
        <f>Tabla15[[#This Row],[Importe]]-Tabla15[[#This Row],[Pagado]]</f>
        <v>0</v>
      </c>
      <c r="I1125" s="275" t="s">
        <v>15214</v>
      </c>
    </row>
    <row r="1126" spans="1:9" x14ac:dyDescent="0.25">
      <c r="A1126" s="420">
        <v>43017</v>
      </c>
      <c r="B1126" s="302" t="s">
        <v>32782</v>
      </c>
      <c r="C1126">
        <v>130689</v>
      </c>
      <c r="D1126" s="275" t="s">
        <v>15699</v>
      </c>
      <c r="E1126" s="301">
        <v>1881.5</v>
      </c>
      <c r="F1126" s="303">
        <v>43018</v>
      </c>
      <c r="G1126" s="301">
        <v>1881.5</v>
      </c>
      <c r="H1126" s="301">
        <f>Tabla15[[#This Row],[Importe]]-Tabla15[[#This Row],[Pagado]]</f>
        <v>0</v>
      </c>
      <c r="I1126" s="275" t="s">
        <v>15214</v>
      </c>
    </row>
    <row r="1127" spans="1:9" x14ac:dyDescent="0.25">
      <c r="A1127" s="420">
        <v>43017</v>
      </c>
      <c r="B1127" s="302" t="s">
        <v>32783</v>
      </c>
      <c r="C1127">
        <v>130690</v>
      </c>
      <c r="D1127" s="275" t="s">
        <v>15668</v>
      </c>
      <c r="E1127" s="301">
        <v>23569</v>
      </c>
      <c r="F1127" s="303">
        <v>43018</v>
      </c>
      <c r="G1127" s="301">
        <v>23569</v>
      </c>
      <c r="H1127" s="301">
        <f>Tabla15[[#This Row],[Importe]]-Tabla15[[#This Row],[Pagado]]</f>
        <v>0</v>
      </c>
      <c r="I1127" s="275" t="s">
        <v>15214</v>
      </c>
    </row>
    <row r="1128" spans="1:9" x14ac:dyDescent="0.25">
      <c r="A1128" s="420">
        <v>43017</v>
      </c>
      <c r="B1128" s="302" t="s">
        <v>32784</v>
      </c>
      <c r="C1128">
        <v>130691</v>
      </c>
      <c r="D1128" s="275" t="s">
        <v>15444</v>
      </c>
      <c r="E1128" s="301">
        <v>2342.5</v>
      </c>
      <c r="F1128" s="303">
        <v>43017</v>
      </c>
      <c r="G1128" s="301">
        <v>2342.5</v>
      </c>
      <c r="H1128" s="301">
        <f>Tabla15[[#This Row],[Importe]]-Tabla15[[#This Row],[Pagado]]</f>
        <v>0</v>
      </c>
      <c r="I1128" s="275" t="s">
        <v>15214</v>
      </c>
    </row>
    <row r="1129" spans="1:9" x14ac:dyDescent="0.25">
      <c r="A1129" s="420">
        <v>43017</v>
      </c>
      <c r="B1129" s="302" t="s">
        <v>32785</v>
      </c>
      <c r="C1129">
        <v>130692</v>
      </c>
      <c r="D1129" s="275" t="s">
        <v>15642</v>
      </c>
      <c r="E1129" s="301">
        <v>3496.5</v>
      </c>
      <c r="F1129" s="303">
        <v>43017</v>
      </c>
      <c r="G1129" s="301">
        <v>3496.5</v>
      </c>
      <c r="H1129" s="301">
        <f>Tabla15[[#This Row],[Importe]]-Tabla15[[#This Row],[Pagado]]</f>
        <v>0</v>
      </c>
      <c r="I1129" s="275" t="s">
        <v>15214</v>
      </c>
    </row>
    <row r="1130" spans="1:9" x14ac:dyDescent="0.25">
      <c r="A1130" s="420">
        <v>43017</v>
      </c>
      <c r="B1130" s="302" t="s">
        <v>32786</v>
      </c>
      <c r="C1130">
        <v>130693</v>
      </c>
      <c r="D1130" s="275" t="s">
        <v>15391</v>
      </c>
      <c r="E1130" s="301">
        <v>6700.8</v>
      </c>
      <c r="F1130" s="303">
        <v>43018</v>
      </c>
      <c r="G1130" s="301">
        <v>6700.8</v>
      </c>
      <c r="H1130" s="301">
        <f>Tabla15[[#This Row],[Importe]]-Tabla15[[#This Row],[Pagado]]</f>
        <v>0</v>
      </c>
      <c r="I1130" s="275" t="s">
        <v>15214</v>
      </c>
    </row>
    <row r="1131" spans="1:9" x14ac:dyDescent="0.25">
      <c r="A1131" s="420">
        <v>43017</v>
      </c>
      <c r="B1131" s="302" t="s">
        <v>32787</v>
      </c>
      <c r="C1131">
        <v>130694</v>
      </c>
      <c r="D1131" s="275" t="s">
        <v>15267</v>
      </c>
      <c r="E1131" s="301">
        <v>21560</v>
      </c>
      <c r="F1131" s="303">
        <v>43017</v>
      </c>
      <c r="G1131" s="301">
        <v>21560</v>
      </c>
      <c r="H1131" s="301">
        <f>Tabla15[[#This Row],[Importe]]-Tabla15[[#This Row],[Pagado]]</f>
        <v>0</v>
      </c>
      <c r="I1131" s="275" t="s">
        <v>15214</v>
      </c>
    </row>
    <row r="1132" spans="1:9" ht="15.75" x14ac:dyDescent="0.25">
      <c r="A1132" s="420">
        <v>43017</v>
      </c>
      <c r="B1132" s="302" t="s">
        <v>32788</v>
      </c>
      <c r="C1132">
        <v>130695</v>
      </c>
      <c r="D1132" s="248" t="s">
        <v>95</v>
      </c>
      <c r="E1132" s="301">
        <v>0</v>
      </c>
      <c r="F1132" s="243" t="s">
        <v>95</v>
      </c>
      <c r="G1132" s="301">
        <v>0</v>
      </c>
      <c r="H1132" s="301">
        <f>Tabla15[[#This Row],[Importe]]-Tabla15[[#This Row],[Pagado]]</f>
        <v>0</v>
      </c>
      <c r="I1132" s="275" t="s">
        <v>95</v>
      </c>
    </row>
    <row r="1133" spans="1:9" x14ac:dyDescent="0.25">
      <c r="A1133" s="420">
        <v>43017</v>
      </c>
      <c r="B1133" s="302" t="s">
        <v>32789</v>
      </c>
      <c r="C1133">
        <v>130696</v>
      </c>
      <c r="D1133" s="275" t="s">
        <v>15346</v>
      </c>
      <c r="E1133" s="301">
        <v>3914</v>
      </c>
      <c r="F1133" s="303">
        <v>43017</v>
      </c>
      <c r="G1133" s="301">
        <v>3914</v>
      </c>
      <c r="H1133" s="301">
        <f>Tabla15[[#This Row],[Importe]]-Tabla15[[#This Row],[Pagado]]</f>
        <v>0</v>
      </c>
      <c r="I1133" s="275" t="s">
        <v>15214</v>
      </c>
    </row>
    <row r="1134" spans="1:9" x14ac:dyDescent="0.25">
      <c r="A1134" s="420">
        <v>43017</v>
      </c>
      <c r="B1134" s="302" t="s">
        <v>32790</v>
      </c>
      <c r="C1134">
        <v>130697</v>
      </c>
      <c r="D1134" s="275" t="s">
        <v>15903</v>
      </c>
      <c r="E1134" s="301">
        <v>33811.199999999997</v>
      </c>
      <c r="F1134" s="303">
        <v>43017</v>
      </c>
      <c r="G1134" s="301">
        <v>33811.199999999997</v>
      </c>
      <c r="H1134" s="301">
        <f>Tabla15[[#This Row],[Importe]]-Tabla15[[#This Row],[Pagado]]</f>
        <v>0</v>
      </c>
      <c r="I1134" s="275" t="s">
        <v>15214</v>
      </c>
    </row>
    <row r="1135" spans="1:9" x14ac:dyDescent="0.25">
      <c r="A1135" s="420">
        <v>43017</v>
      </c>
      <c r="B1135" s="302" t="s">
        <v>32791</v>
      </c>
      <c r="C1135">
        <v>130698</v>
      </c>
      <c r="D1135" s="275" t="s">
        <v>5880</v>
      </c>
      <c r="E1135" s="301">
        <v>46713.599999999999</v>
      </c>
      <c r="F1135" s="303">
        <v>43020</v>
      </c>
      <c r="G1135" s="301">
        <v>46713.599999999999</v>
      </c>
      <c r="H1135" s="301">
        <f>Tabla15[[#This Row],[Importe]]-Tabla15[[#This Row],[Pagado]]</f>
        <v>0</v>
      </c>
      <c r="I1135" s="275" t="s">
        <v>15214</v>
      </c>
    </row>
    <row r="1136" spans="1:9" x14ac:dyDescent="0.25">
      <c r="A1136" s="420">
        <v>43017</v>
      </c>
      <c r="B1136" s="302" t="s">
        <v>32792</v>
      </c>
      <c r="C1136">
        <v>130699</v>
      </c>
      <c r="D1136" s="275" t="s">
        <v>15423</v>
      </c>
      <c r="E1136" s="301">
        <v>1991.2</v>
      </c>
      <c r="F1136" s="303">
        <v>43017</v>
      </c>
      <c r="G1136" s="301">
        <v>1991.2</v>
      </c>
      <c r="H1136" s="301">
        <f>Tabla15[[#This Row],[Importe]]-Tabla15[[#This Row],[Pagado]]</f>
        <v>0</v>
      </c>
      <c r="I1136" s="275" t="s">
        <v>15214</v>
      </c>
    </row>
    <row r="1137" spans="1:9" x14ac:dyDescent="0.25">
      <c r="A1137" s="420">
        <v>43017</v>
      </c>
      <c r="B1137" s="302" t="s">
        <v>32793</v>
      </c>
      <c r="C1137">
        <v>130700</v>
      </c>
      <c r="D1137" s="275" t="s">
        <v>15213</v>
      </c>
      <c r="E1137" s="301">
        <v>961.4</v>
      </c>
      <c r="F1137" s="303">
        <v>43019</v>
      </c>
      <c r="G1137" s="301">
        <v>961.4</v>
      </c>
      <c r="H1137" s="301">
        <f>Tabla15[[#This Row],[Importe]]-Tabla15[[#This Row],[Pagado]]</f>
        <v>0</v>
      </c>
      <c r="I1137" s="275" t="s">
        <v>15214</v>
      </c>
    </row>
    <row r="1138" spans="1:9" x14ac:dyDescent="0.25">
      <c r="A1138" s="420">
        <v>43017</v>
      </c>
      <c r="B1138" s="302" t="s">
        <v>32794</v>
      </c>
      <c r="C1138">
        <v>130701</v>
      </c>
      <c r="D1138" s="275" t="s">
        <v>15936</v>
      </c>
      <c r="E1138" s="301">
        <v>17845.2</v>
      </c>
      <c r="F1138" s="303">
        <v>43017</v>
      </c>
      <c r="G1138" s="301">
        <v>17845.2</v>
      </c>
      <c r="H1138" s="301">
        <f>Tabla15[[#This Row],[Importe]]-Tabla15[[#This Row],[Pagado]]</f>
        <v>0</v>
      </c>
      <c r="I1138" s="275" t="s">
        <v>15214</v>
      </c>
    </row>
    <row r="1139" spans="1:9" x14ac:dyDescent="0.25">
      <c r="A1139" s="420">
        <v>43017</v>
      </c>
      <c r="B1139" s="302" t="s">
        <v>32795</v>
      </c>
      <c r="C1139">
        <v>130702</v>
      </c>
      <c r="D1139" s="275" t="s">
        <v>15404</v>
      </c>
      <c r="E1139" s="301">
        <v>18097.2</v>
      </c>
      <c r="F1139" s="303">
        <v>43018</v>
      </c>
      <c r="G1139" s="301">
        <v>18097.2</v>
      </c>
      <c r="H1139" s="301">
        <f>Tabla15[[#This Row],[Importe]]-Tabla15[[#This Row],[Pagado]]</f>
        <v>0</v>
      </c>
      <c r="I1139" s="275" t="s">
        <v>15214</v>
      </c>
    </row>
    <row r="1140" spans="1:9" x14ac:dyDescent="0.25">
      <c r="A1140" s="420">
        <v>43017</v>
      </c>
      <c r="B1140" s="302" t="s">
        <v>32796</v>
      </c>
      <c r="C1140">
        <v>130703</v>
      </c>
      <c r="D1140" s="275" t="s">
        <v>15413</v>
      </c>
      <c r="E1140" s="301">
        <v>5838.4</v>
      </c>
      <c r="F1140" s="303">
        <v>43017</v>
      </c>
      <c r="G1140" s="301">
        <v>5838.4</v>
      </c>
      <c r="H1140" s="301">
        <f>Tabla15[[#This Row],[Importe]]-Tabla15[[#This Row],[Pagado]]</f>
        <v>0</v>
      </c>
      <c r="I1140" s="275" t="s">
        <v>15214</v>
      </c>
    </row>
    <row r="1141" spans="1:9" x14ac:dyDescent="0.25">
      <c r="A1141" s="420">
        <v>43017</v>
      </c>
      <c r="B1141" s="302" t="s">
        <v>32797</v>
      </c>
      <c r="C1141">
        <v>130704</v>
      </c>
      <c r="D1141" s="275" t="s">
        <v>15263</v>
      </c>
      <c r="E1141" s="301">
        <v>148.19999999999999</v>
      </c>
      <c r="F1141" s="303">
        <v>43017</v>
      </c>
      <c r="G1141" s="301">
        <v>148.19999999999999</v>
      </c>
      <c r="H1141" s="301">
        <f>Tabla15[[#This Row],[Importe]]-Tabla15[[#This Row],[Pagado]]</f>
        <v>0</v>
      </c>
      <c r="I1141" s="275" t="s">
        <v>15214</v>
      </c>
    </row>
    <row r="1142" spans="1:9" x14ac:dyDescent="0.25">
      <c r="A1142" s="420">
        <v>43017</v>
      </c>
      <c r="B1142" s="302" t="s">
        <v>32798</v>
      </c>
      <c r="C1142">
        <v>130705</v>
      </c>
      <c r="D1142" s="275" t="s">
        <v>19765</v>
      </c>
      <c r="E1142" s="301">
        <v>3500</v>
      </c>
      <c r="F1142" s="303">
        <v>43020</v>
      </c>
      <c r="G1142" s="301">
        <v>3500</v>
      </c>
      <c r="H1142" s="301">
        <f>Tabla15[[#This Row],[Importe]]-Tabla15[[#This Row],[Pagado]]</f>
        <v>0</v>
      </c>
      <c r="I1142" s="275" t="s">
        <v>15214</v>
      </c>
    </row>
    <row r="1143" spans="1:9" x14ac:dyDescent="0.25">
      <c r="A1143" s="420">
        <v>43017</v>
      </c>
      <c r="B1143" s="302" t="s">
        <v>32799</v>
      </c>
      <c r="C1143">
        <v>130706</v>
      </c>
      <c r="D1143" s="275" t="s">
        <v>27668</v>
      </c>
      <c r="E1143" s="301">
        <v>3500</v>
      </c>
      <c r="F1143" s="303">
        <v>43020</v>
      </c>
      <c r="G1143" s="301">
        <v>3500</v>
      </c>
      <c r="H1143" s="301">
        <f>Tabla15[[#This Row],[Importe]]-Tabla15[[#This Row],[Pagado]]</f>
        <v>0</v>
      </c>
      <c r="I1143" s="275" t="s">
        <v>15214</v>
      </c>
    </row>
    <row r="1144" spans="1:9" x14ac:dyDescent="0.25">
      <c r="A1144" s="420">
        <v>43017</v>
      </c>
      <c r="B1144" s="302" t="s">
        <v>32800</v>
      </c>
      <c r="C1144">
        <v>130707</v>
      </c>
      <c r="D1144" s="275" t="s">
        <v>19774</v>
      </c>
      <c r="E1144" s="301">
        <v>34860.400000000001</v>
      </c>
      <c r="F1144" s="303">
        <v>43027</v>
      </c>
      <c r="G1144" s="301">
        <v>34860.400000000001</v>
      </c>
      <c r="H1144" s="301">
        <f>Tabla15[[#This Row],[Importe]]-Tabla15[[#This Row],[Pagado]]</f>
        <v>0</v>
      </c>
      <c r="I1144" s="275" t="s">
        <v>15214</v>
      </c>
    </row>
    <row r="1145" spans="1:9" x14ac:dyDescent="0.25">
      <c r="A1145" s="420">
        <v>43017</v>
      </c>
      <c r="B1145" s="302" t="s">
        <v>32801</v>
      </c>
      <c r="C1145">
        <v>130708</v>
      </c>
      <c r="D1145" s="275" t="s">
        <v>15315</v>
      </c>
      <c r="E1145" s="301">
        <v>46</v>
      </c>
      <c r="F1145" s="303">
        <v>43017</v>
      </c>
      <c r="G1145" s="301">
        <v>46</v>
      </c>
      <c r="H1145" s="301">
        <f>Tabla15[[#This Row],[Importe]]-Tabla15[[#This Row],[Pagado]]</f>
        <v>0</v>
      </c>
      <c r="I1145" s="275" t="s">
        <v>15214</v>
      </c>
    </row>
    <row r="1146" spans="1:9" ht="30" x14ac:dyDescent="0.25">
      <c r="A1146" s="420">
        <v>43017</v>
      </c>
      <c r="B1146" s="302" t="s">
        <v>32802</v>
      </c>
      <c r="C1146">
        <v>130709</v>
      </c>
      <c r="D1146" s="275" t="s">
        <v>15246</v>
      </c>
      <c r="E1146" s="301">
        <v>224378</v>
      </c>
      <c r="F1146" s="303" t="s">
        <v>32803</v>
      </c>
      <c r="G1146" s="305">
        <f>54951.05+169426.95</f>
        <v>224378</v>
      </c>
      <c r="H1146" s="305">
        <f>Tabla15[[#This Row],[Importe]]-Tabla15[[#This Row],[Pagado]]</f>
        <v>0</v>
      </c>
      <c r="I1146" s="275" t="s">
        <v>15214</v>
      </c>
    </row>
    <row r="1147" spans="1:9" x14ac:dyDescent="0.25">
      <c r="A1147" s="420">
        <v>43017</v>
      </c>
      <c r="B1147" s="302" t="s">
        <v>32804</v>
      </c>
      <c r="C1147">
        <v>130710</v>
      </c>
      <c r="D1147" s="275" t="s">
        <v>15315</v>
      </c>
      <c r="E1147" s="301">
        <v>386.1</v>
      </c>
      <c r="F1147" s="303">
        <v>43017</v>
      </c>
      <c r="G1147" s="301">
        <v>386.1</v>
      </c>
      <c r="H1147" s="301">
        <f>Tabla15[[#This Row],[Importe]]-Tabla15[[#This Row],[Pagado]]</f>
        <v>0</v>
      </c>
      <c r="I1147" s="275" t="s">
        <v>15214</v>
      </c>
    </row>
    <row r="1148" spans="1:9" x14ac:dyDescent="0.25">
      <c r="A1148" s="420">
        <v>43017</v>
      </c>
      <c r="B1148" s="302" t="s">
        <v>32805</v>
      </c>
      <c r="C1148">
        <v>130711</v>
      </c>
      <c r="D1148" s="275" t="s">
        <v>15284</v>
      </c>
      <c r="E1148" s="301">
        <v>883.2</v>
      </c>
      <c r="F1148" s="303">
        <v>43017</v>
      </c>
      <c r="G1148" s="301">
        <v>883.2</v>
      </c>
      <c r="H1148" s="301">
        <f>Tabla15[[#This Row],[Importe]]-Tabla15[[#This Row],[Pagado]]</f>
        <v>0</v>
      </c>
      <c r="I1148" s="275" t="s">
        <v>15214</v>
      </c>
    </row>
    <row r="1149" spans="1:9" x14ac:dyDescent="0.25">
      <c r="A1149" s="420">
        <v>43017</v>
      </c>
      <c r="B1149" s="302" t="s">
        <v>32806</v>
      </c>
      <c r="C1149">
        <v>130712</v>
      </c>
      <c r="D1149" s="275" t="s">
        <v>15433</v>
      </c>
      <c r="E1149" s="301">
        <v>871.2</v>
      </c>
      <c r="F1149" s="303">
        <v>43017</v>
      </c>
      <c r="G1149" s="301">
        <v>871.2</v>
      </c>
      <c r="H1149" s="301">
        <f>Tabla15[[#This Row],[Importe]]-Tabla15[[#This Row],[Pagado]]</f>
        <v>0</v>
      </c>
      <c r="I1149" s="275" t="s">
        <v>15214</v>
      </c>
    </row>
    <row r="1150" spans="1:9" x14ac:dyDescent="0.25">
      <c r="A1150" s="420">
        <v>43017</v>
      </c>
      <c r="B1150" s="302" t="s">
        <v>32807</v>
      </c>
      <c r="C1150">
        <v>130713</v>
      </c>
      <c r="D1150" s="275" t="s">
        <v>5757</v>
      </c>
      <c r="E1150" s="301">
        <v>485</v>
      </c>
      <c r="F1150" s="303">
        <v>43017</v>
      </c>
      <c r="G1150" s="301">
        <v>485</v>
      </c>
      <c r="H1150" s="301">
        <f>Tabla15[[#This Row],[Importe]]-Tabla15[[#This Row],[Pagado]]</f>
        <v>0</v>
      </c>
      <c r="I1150" s="275" t="s">
        <v>15214</v>
      </c>
    </row>
    <row r="1151" spans="1:9" x14ac:dyDescent="0.25">
      <c r="A1151" s="420">
        <v>43017</v>
      </c>
      <c r="B1151" s="302" t="s">
        <v>32808</v>
      </c>
      <c r="C1151">
        <v>130714</v>
      </c>
      <c r="D1151" s="275" t="s">
        <v>16383</v>
      </c>
      <c r="E1151" s="301">
        <v>313.60000000000002</v>
      </c>
      <c r="F1151" s="303">
        <v>43017</v>
      </c>
      <c r="G1151" s="301">
        <v>313.60000000000002</v>
      </c>
      <c r="H1151" s="301">
        <f>Tabla15[[#This Row],[Importe]]-Tabla15[[#This Row],[Pagado]]</f>
        <v>0</v>
      </c>
      <c r="I1151" s="275" t="s">
        <v>15214</v>
      </c>
    </row>
    <row r="1152" spans="1:9" x14ac:dyDescent="0.25">
      <c r="A1152" s="420">
        <v>43017</v>
      </c>
      <c r="B1152" s="302" t="s">
        <v>32809</v>
      </c>
      <c r="C1152">
        <v>130715</v>
      </c>
      <c r="D1152" s="275" t="s">
        <v>15421</v>
      </c>
      <c r="E1152" s="301">
        <v>3033</v>
      </c>
      <c r="F1152" s="303">
        <v>43017</v>
      </c>
      <c r="G1152" s="301">
        <v>3033</v>
      </c>
      <c r="H1152" s="301">
        <f>Tabla15[[#This Row],[Importe]]-Tabla15[[#This Row],[Pagado]]</f>
        <v>0</v>
      </c>
      <c r="I1152" s="275" t="s">
        <v>15214</v>
      </c>
    </row>
    <row r="1153" spans="1:9" x14ac:dyDescent="0.25">
      <c r="A1153" s="420">
        <v>43017</v>
      </c>
      <c r="B1153" s="302" t="s">
        <v>32810</v>
      </c>
      <c r="C1153">
        <v>130716</v>
      </c>
      <c r="D1153" s="275" t="s">
        <v>15435</v>
      </c>
      <c r="E1153" s="301">
        <v>7614</v>
      </c>
      <c r="F1153" s="303">
        <v>43017</v>
      </c>
      <c r="G1153" s="301">
        <v>7614</v>
      </c>
      <c r="H1153" s="301">
        <f>Tabla15[[#This Row],[Importe]]-Tabla15[[#This Row],[Pagado]]</f>
        <v>0</v>
      </c>
      <c r="I1153" s="275" t="s">
        <v>15214</v>
      </c>
    </row>
    <row r="1154" spans="1:9" x14ac:dyDescent="0.25">
      <c r="A1154" s="420">
        <v>43017</v>
      </c>
      <c r="B1154" s="302" t="s">
        <v>32811</v>
      </c>
      <c r="C1154">
        <v>130717</v>
      </c>
      <c r="D1154" s="275" t="s">
        <v>5883</v>
      </c>
      <c r="E1154" s="301">
        <v>7782.4</v>
      </c>
      <c r="F1154" s="303">
        <v>43039</v>
      </c>
      <c r="G1154" s="301">
        <v>7782.4</v>
      </c>
      <c r="H1154" s="301">
        <f>Tabla15[[#This Row],[Importe]]-Tabla15[[#This Row],[Pagado]]</f>
        <v>0</v>
      </c>
      <c r="I1154" s="275" t="s">
        <v>15214</v>
      </c>
    </row>
    <row r="1155" spans="1:9" x14ac:dyDescent="0.25">
      <c r="A1155" s="420">
        <v>43017</v>
      </c>
      <c r="B1155" s="302" t="s">
        <v>32812</v>
      </c>
      <c r="C1155">
        <v>130718</v>
      </c>
      <c r="D1155" s="275" t="s">
        <v>32813</v>
      </c>
      <c r="E1155" s="301">
        <v>484</v>
      </c>
      <c r="F1155" s="303">
        <v>43017</v>
      </c>
      <c r="G1155" s="301">
        <v>484</v>
      </c>
      <c r="H1155" s="301">
        <f>Tabla15[[#This Row],[Importe]]-Tabla15[[#This Row],[Pagado]]</f>
        <v>0</v>
      </c>
      <c r="I1155" s="275" t="s">
        <v>15214</v>
      </c>
    </row>
    <row r="1156" spans="1:9" x14ac:dyDescent="0.25">
      <c r="A1156" s="420">
        <v>43018</v>
      </c>
      <c r="B1156" s="302" t="s">
        <v>32814</v>
      </c>
      <c r="C1156">
        <v>130719</v>
      </c>
      <c r="D1156" s="275" t="s">
        <v>21386</v>
      </c>
      <c r="E1156" s="301">
        <v>10582</v>
      </c>
      <c r="F1156" s="303">
        <v>43019</v>
      </c>
      <c r="G1156" s="301">
        <v>10582</v>
      </c>
      <c r="H1156" s="301">
        <f>Tabla15[[#This Row],[Importe]]-Tabla15[[#This Row],[Pagado]]</f>
        <v>0</v>
      </c>
      <c r="I1156" s="275" t="s">
        <v>15214</v>
      </c>
    </row>
    <row r="1157" spans="1:9" x14ac:dyDescent="0.25">
      <c r="A1157" s="420">
        <v>43018</v>
      </c>
      <c r="B1157" s="302" t="s">
        <v>32815</v>
      </c>
      <c r="C1157">
        <v>130720</v>
      </c>
      <c r="D1157" s="275" t="s">
        <v>15213</v>
      </c>
      <c r="E1157" s="301">
        <v>44630</v>
      </c>
      <c r="F1157" s="303">
        <v>43019</v>
      </c>
      <c r="G1157" s="301">
        <v>44630</v>
      </c>
      <c r="H1157" s="301">
        <f>Tabla15[[#This Row],[Importe]]-Tabla15[[#This Row],[Pagado]]</f>
        <v>0</v>
      </c>
      <c r="I1157" s="275" t="s">
        <v>15214</v>
      </c>
    </row>
    <row r="1158" spans="1:9" x14ac:dyDescent="0.25">
      <c r="A1158" s="420">
        <v>43018</v>
      </c>
      <c r="B1158" s="302" t="s">
        <v>32816</v>
      </c>
      <c r="C1158">
        <v>130721</v>
      </c>
      <c r="D1158" s="275" t="s">
        <v>15242</v>
      </c>
      <c r="E1158" s="301">
        <v>4633</v>
      </c>
      <c r="F1158" s="303">
        <v>43018</v>
      </c>
      <c r="G1158" s="301">
        <v>4633</v>
      </c>
      <c r="H1158" s="301">
        <f>Tabla15[[#This Row],[Importe]]-Tabla15[[#This Row],[Pagado]]</f>
        <v>0</v>
      </c>
      <c r="I1158" s="275" t="s">
        <v>15214</v>
      </c>
    </row>
    <row r="1159" spans="1:9" x14ac:dyDescent="0.25">
      <c r="A1159" s="420">
        <v>43018</v>
      </c>
      <c r="B1159" s="302" t="s">
        <v>32817</v>
      </c>
      <c r="C1159">
        <v>130722</v>
      </c>
      <c r="D1159" s="275" t="s">
        <v>15407</v>
      </c>
      <c r="E1159" s="301">
        <v>5822</v>
      </c>
      <c r="F1159" s="303">
        <v>43018</v>
      </c>
      <c r="G1159" s="301">
        <v>5822</v>
      </c>
      <c r="H1159" s="301">
        <f>Tabla15[[#This Row],[Importe]]-Tabla15[[#This Row],[Pagado]]</f>
        <v>0</v>
      </c>
      <c r="I1159" s="275" t="s">
        <v>15214</v>
      </c>
    </row>
    <row r="1160" spans="1:9" x14ac:dyDescent="0.25">
      <c r="A1160" s="420">
        <v>43018</v>
      </c>
      <c r="B1160" s="302" t="s">
        <v>32818</v>
      </c>
      <c r="C1160">
        <v>130723</v>
      </c>
      <c r="D1160" s="275" t="s">
        <v>15230</v>
      </c>
      <c r="E1160" s="301">
        <v>5705.4</v>
      </c>
      <c r="F1160" s="303">
        <v>43020</v>
      </c>
      <c r="G1160" s="301">
        <v>5705.4</v>
      </c>
      <c r="H1160" s="301">
        <f>Tabla15[[#This Row],[Importe]]-Tabla15[[#This Row],[Pagado]]</f>
        <v>0</v>
      </c>
      <c r="I1160" s="275" t="s">
        <v>15214</v>
      </c>
    </row>
    <row r="1161" spans="1:9" x14ac:dyDescent="0.25">
      <c r="A1161" s="420">
        <v>43018</v>
      </c>
      <c r="B1161" s="302" t="s">
        <v>32819</v>
      </c>
      <c r="C1161">
        <v>130724</v>
      </c>
      <c r="D1161" s="275" t="s">
        <v>15232</v>
      </c>
      <c r="E1161" s="301">
        <v>5897.8</v>
      </c>
      <c r="F1161" s="303">
        <v>43020</v>
      </c>
      <c r="G1161" s="301">
        <v>5897.8</v>
      </c>
      <c r="H1161" s="301">
        <f>Tabla15[[#This Row],[Importe]]-Tabla15[[#This Row],[Pagado]]</f>
        <v>0</v>
      </c>
      <c r="I1161" s="275" t="s">
        <v>15214</v>
      </c>
    </row>
    <row r="1162" spans="1:9" x14ac:dyDescent="0.25">
      <c r="A1162" s="420">
        <v>43018</v>
      </c>
      <c r="B1162" s="302" t="s">
        <v>32820</v>
      </c>
      <c r="C1162">
        <v>130725</v>
      </c>
      <c r="D1162" s="275" t="s">
        <v>15236</v>
      </c>
      <c r="E1162" s="301">
        <v>3139.2</v>
      </c>
      <c r="F1162" s="303">
        <v>43020</v>
      </c>
      <c r="G1162" s="301">
        <v>3139.2</v>
      </c>
      <c r="H1162" s="301">
        <f>Tabla15[[#This Row],[Importe]]-Tabla15[[#This Row],[Pagado]]</f>
        <v>0</v>
      </c>
      <c r="I1162" s="275" t="s">
        <v>15214</v>
      </c>
    </row>
    <row r="1163" spans="1:9" x14ac:dyDescent="0.25">
      <c r="A1163" s="420">
        <v>43018</v>
      </c>
      <c r="B1163" s="302" t="s">
        <v>32821</v>
      </c>
      <c r="C1163">
        <v>130726</v>
      </c>
      <c r="D1163" s="275" t="s">
        <v>15234</v>
      </c>
      <c r="E1163" s="301">
        <v>3412.8</v>
      </c>
      <c r="F1163" s="303">
        <v>43022</v>
      </c>
      <c r="G1163" s="301">
        <v>3412.8</v>
      </c>
      <c r="H1163" s="301">
        <f>Tabla15[[#This Row],[Importe]]-Tabla15[[#This Row],[Pagado]]</f>
        <v>0</v>
      </c>
      <c r="I1163" s="275" t="s">
        <v>15214</v>
      </c>
    </row>
    <row r="1164" spans="1:9" x14ac:dyDescent="0.25">
      <c r="A1164" s="420">
        <v>43018</v>
      </c>
      <c r="B1164" s="302" t="s">
        <v>32822</v>
      </c>
      <c r="C1164">
        <v>130727</v>
      </c>
      <c r="D1164" s="275" t="s">
        <v>15480</v>
      </c>
      <c r="E1164" s="301">
        <v>3182.4</v>
      </c>
      <c r="F1164" s="303">
        <v>43020</v>
      </c>
      <c r="G1164" s="301">
        <v>3182.4</v>
      </c>
      <c r="H1164" s="301">
        <f>Tabla15[[#This Row],[Importe]]-Tabla15[[#This Row],[Pagado]]</f>
        <v>0</v>
      </c>
      <c r="I1164" s="275" t="s">
        <v>15214</v>
      </c>
    </row>
    <row r="1165" spans="1:9" x14ac:dyDescent="0.25">
      <c r="A1165" s="420">
        <v>43018</v>
      </c>
      <c r="B1165" s="302" t="s">
        <v>32823</v>
      </c>
      <c r="C1165">
        <v>130728</v>
      </c>
      <c r="D1165" s="275" t="s">
        <v>19780</v>
      </c>
      <c r="E1165" s="301">
        <v>6710.4</v>
      </c>
      <c r="F1165" s="303">
        <v>43020</v>
      </c>
      <c r="G1165" s="301">
        <v>6710.4</v>
      </c>
      <c r="H1165" s="301">
        <f>Tabla15[[#This Row],[Importe]]-Tabla15[[#This Row],[Pagado]]</f>
        <v>0</v>
      </c>
      <c r="I1165" s="275" t="s">
        <v>15214</v>
      </c>
    </row>
    <row r="1166" spans="1:9" x14ac:dyDescent="0.25">
      <c r="A1166" s="420">
        <v>43018</v>
      </c>
      <c r="B1166" s="302" t="s">
        <v>32824</v>
      </c>
      <c r="C1166">
        <v>130729</v>
      </c>
      <c r="D1166" s="275" t="s">
        <v>15315</v>
      </c>
      <c r="E1166" s="301">
        <v>2723.96</v>
      </c>
      <c r="F1166" s="303">
        <v>43018</v>
      </c>
      <c r="G1166" s="301">
        <v>2723.96</v>
      </c>
      <c r="H1166" s="301">
        <f>Tabla15[[#This Row],[Importe]]-Tabla15[[#This Row],[Pagado]]</f>
        <v>0</v>
      </c>
      <c r="I1166" s="275" t="s">
        <v>15214</v>
      </c>
    </row>
    <row r="1167" spans="1:9" x14ac:dyDescent="0.25">
      <c r="A1167" s="420">
        <v>43018</v>
      </c>
      <c r="B1167" s="302" t="s">
        <v>32825</v>
      </c>
      <c r="C1167">
        <v>130730</v>
      </c>
      <c r="D1167" s="275" t="s">
        <v>18258</v>
      </c>
      <c r="E1167" s="301">
        <v>7093.2</v>
      </c>
      <c r="F1167" s="303">
        <v>43018</v>
      </c>
      <c r="G1167" s="301">
        <v>7093.2</v>
      </c>
      <c r="H1167" s="301">
        <f>Tabla15[[#This Row],[Importe]]-Tabla15[[#This Row],[Pagado]]</f>
        <v>0</v>
      </c>
      <c r="I1167" s="275" t="s">
        <v>15214</v>
      </c>
    </row>
    <row r="1168" spans="1:9" x14ac:dyDescent="0.25">
      <c r="A1168" s="420">
        <v>43018</v>
      </c>
      <c r="B1168" s="302" t="s">
        <v>32826</v>
      </c>
      <c r="C1168">
        <v>130731</v>
      </c>
      <c r="D1168" s="275" t="s">
        <v>15272</v>
      </c>
      <c r="E1168" s="301">
        <v>21516.6</v>
      </c>
      <c r="F1168" s="303">
        <v>43018</v>
      </c>
      <c r="G1168" s="301">
        <v>21516.6</v>
      </c>
      <c r="H1168" s="301">
        <f>Tabla15[[#This Row],[Importe]]-Tabla15[[#This Row],[Pagado]]</f>
        <v>0</v>
      </c>
      <c r="I1168" s="275" t="s">
        <v>15214</v>
      </c>
    </row>
    <row r="1169" spans="1:9" x14ac:dyDescent="0.25">
      <c r="A1169" s="420">
        <v>43018</v>
      </c>
      <c r="B1169" s="302" t="s">
        <v>32827</v>
      </c>
      <c r="C1169">
        <v>130732</v>
      </c>
      <c r="D1169" s="275" t="s">
        <v>17462</v>
      </c>
      <c r="E1169" s="301">
        <v>5899.5</v>
      </c>
      <c r="F1169" s="303">
        <v>43018</v>
      </c>
      <c r="G1169" s="301">
        <v>5899.5</v>
      </c>
      <c r="H1169" s="301">
        <f>Tabla15[[#This Row],[Importe]]-Tabla15[[#This Row],[Pagado]]</f>
        <v>0</v>
      </c>
      <c r="I1169" s="275" t="s">
        <v>15214</v>
      </c>
    </row>
    <row r="1170" spans="1:9" x14ac:dyDescent="0.25">
      <c r="A1170" s="420">
        <v>43018</v>
      </c>
      <c r="B1170" s="302" t="s">
        <v>32828</v>
      </c>
      <c r="C1170">
        <v>130733</v>
      </c>
      <c r="D1170" s="275" t="s">
        <v>30057</v>
      </c>
      <c r="E1170" s="301">
        <v>3405.6</v>
      </c>
      <c r="F1170" s="303">
        <v>43019</v>
      </c>
      <c r="G1170" s="301">
        <v>3405.6</v>
      </c>
      <c r="H1170" s="301">
        <f>Tabla15[[#This Row],[Importe]]-Tabla15[[#This Row],[Pagado]]</f>
        <v>0</v>
      </c>
      <c r="I1170" s="275" t="s">
        <v>15214</v>
      </c>
    </row>
    <row r="1171" spans="1:9" x14ac:dyDescent="0.25">
      <c r="A1171" s="420">
        <v>43018</v>
      </c>
      <c r="B1171" s="302" t="s">
        <v>32829</v>
      </c>
      <c r="C1171">
        <v>130734</v>
      </c>
      <c r="D1171" s="275" t="s">
        <v>15232</v>
      </c>
      <c r="E1171" s="301">
        <v>197.1</v>
      </c>
      <c r="F1171" s="303">
        <v>43020</v>
      </c>
      <c r="G1171" s="301">
        <v>197.1</v>
      </c>
      <c r="H1171" s="301">
        <f>Tabla15[[#This Row],[Importe]]-Tabla15[[#This Row],[Pagado]]</f>
        <v>0</v>
      </c>
      <c r="I1171" s="275" t="s">
        <v>15214</v>
      </c>
    </row>
    <row r="1172" spans="1:9" x14ac:dyDescent="0.25">
      <c r="A1172" s="420">
        <v>43018</v>
      </c>
      <c r="B1172" s="302" t="s">
        <v>32830</v>
      </c>
      <c r="C1172">
        <v>130735</v>
      </c>
      <c r="D1172" s="275" t="s">
        <v>15258</v>
      </c>
      <c r="E1172" s="301">
        <v>10281.9</v>
      </c>
      <c r="F1172" s="303">
        <v>43020</v>
      </c>
      <c r="G1172" s="301">
        <v>10281.9</v>
      </c>
      <c r="H1172" s="301">
        <f>Tabla15[[#This Row],[Importe]]-Tabla15[[#This Row],[Pagado]]</f>
        <v>0</v>
      </c>
      <c r="I1172" s="275" t="s">
        <v>15214</v>
      </c>
    </row>
    <row r="1173" spans="1:9" ht="30" x14ac:dyDescent="0.25">
      <c r="A1173" s="420">
        <v>43018</v>
      </c>
      <c r="B1173" s="302" t="s">
        <v>32831</v>
      </c>
      <c r="C1173">
        <v>130736</v>
      </c>
      <c r="D1173" s="275" t="s">
        <v>15238</v>
      </c>
      <c r="E1173" s="301">
        <v>4276</v>
      </c>
      <c r="F1173" s="303" t="s">
        <v>32832</v>
      </c>
      <c r="G1173" s="305">
        <f>2000+2276</f>
        <v>4276</v>
      </c>
      <c r="H1173" s="305">
        <f>Tabla15[[#This Row],[Importe]]-Tabla15[[#This Row],[Pagado]]</f>
        <v>0</v>
      </c>
      <c r="I1173" s="275" t="s">
        <v>15214</v>
      </c>
    </row>
    <row r="1174" spans="1:9" x14ac:dyDescent="0.25">
      <c r="A1174" s="420">
        <v>43018</v>
      </c>
      <c r="B1174" s="302" t="s">
        <v>32833</v>
      </c>
      <c r="C1174">
        <v>130737</v>
      </c>
      <c r="D1174" s="275" t="s">
        <v>15371</v>
      </c>
      <c r="E1174" s="301">
        <v>4746.3999999999996</v>
      </c>
      <c r="F1174" s="303">
        <v>43020</v>
      </c>
      <c r="G1174" s="301">
        <v>4746.3999999999996</v>
      </c>
      <c r="H1174" s="301">
        <f>Tabla15[[#This Row],[Importe]]-Tabla15[[#This Row],[Pagado]]</f>
        <v>0</v>
      </c>
      <c r="I1174" s="275" t="s">
        <v>15214</v>
      </c>
    </row>
    <row r="1175" spans="1:9" x14ac:dyDescent="0.25">
      <c r="A1175" s="420">
        <v>43018</v>
      </c>
      <c r="B1175" s="302" t="s">
        <v>32834</v>
      </c>
      <c r="C1175">
        <v>130738</v>
      </c>
      <c r="D1175" s="275" t="s">
        <v>15590</v>
      </c>
      <c r="E1175" s="301">
        <v>28539.53</v>
      </c>
      <c r="F1175" s="303">
        <v>43032</v>
      </c>
      <c r="G1175" s="301">
        <v>28539.53</v>
      </c>
      <c r="H1175" s="301">
        <f>Tabla15[[#This Row],[Importe]]-Tabla15[[#This Row],[Pagado]]</f>
        <v>0</v>
      </c>
      <c r="I1175" s="275" t="s">
        <v>15214</v>
      </c>
    </row>
    <row r="1176" spans="1:9" x14ac:dyDescent="0.25">
      <c r="A1176" s="420">
        <v>43018</v>
      </c>
      <c r="B1176" s="302" t="s">
        <v>32835</v>
      </c>
      <c r="C1176">
        <v>130739</v>
      </c>
      <c r="D1176" s="275" t="s">
        <v>15668</v>
      </c>
      <c r="E1176" s="301">
        <v>14253.7</v>
      </c>
      <c r="F1176" s="303">
        <v>43021</v>
      </c>
      <c r="G1176" s="301">
        <v>14253.7</v>
      </c>
      <c r="H1176" s="301">
        <f>Tabla15[[#This Row],[Importe]]-Tabla15[[#This Row],[Pagado]]</f>
        <v>0</v>
      </c>
      <c r="I1176" s="275" t="s">
        <v>15214</v>
      </c>
    </row>
    <row r="1177" spans="1:9" x14ac:dyDescent="0.25">
      <c r="A1177" s="420">
        <v>43018</v>
      </c>
      <c r="B1177" s="302" t="s">
        <v>32836</v>
      </c>
      <c r="C1177">
        <v>130740</v>
      </c>
      <c r="D1177" s="275" t="s">
        <v>15448</v>
      </c>
      <c r="E1177" s="301">
        <v>112666.58</v>
      </c>
      <c r="F1177" s="303">
        <v>43019</v>
      </c>
      <c r="G1177" s="301">
        <v>112666.58</v>
      </c>
      <c r="H1177" s="301">
        <f>Tabla15[[#This Row],[Importe]]-Tabla15[[#This Row],[Pagado]]</f>
        <v>0</v>
      </c>
      <c r="I1177" s="275" t="s">
        <v>15214</v>
      </c>
    </row>
    <row r="1178" spans="1:9" ht="15.75" x14ac:dyDescent="0.25">
      <c r="A1178" s="420">
        <v>43018</v>
      </c>
      <c r="B1178" s="302" t="s">
        <v>32837</v>
      </c>
      <c r="C1178">
        <v>130741</v>
      </c>
      <c r="D1178" s="248" t="s">
        <v>95</v>
      </c>
      <c r="E1178" s="301">
        <v>0</v>
      </c>
      <c r="F1178" s="243" t="s">
        <v>95</v>
      </c>
      <c r="G1178" s="301">
        <v>0</v>
      </c>
      <c r="H1178" s="301">
        <f>Tabla15[[#This Row],[Importe]]-Tabla15[[#This Row],[Pagado]]</f>
        <v>0</v>
      </c>
      <c r="I1178" s="275" t="s">
        <v>95</v>
      </c>
    </row>
    <row r="1179" spans="1:9" x14ac:dyDescent="0.25">
      <c r="A1179" s="420">
        <v>43018</v>
      </c>
      <c r="B1179" s="302" t="s">
        <v>32838</v>
      </c>
      <c r="C1179">
        <v>130742</v>
      </c>
      <c r="D1179" s="275" t="s">
        <v>15223</v>
      </c>
      <c r="E1179" s="301">
        <v>50102</v>
      </c>
      <c r="F1179" s="303">
        <v>43045</v>
      </c>
      <c r="G1179" s="301">
        <v>50102</v>
      </c>
      <c r="H1179" s="301">
        <f>Tabla15[[#This Row],[Importe]]-Tabla15[[#This Row],[Pagado]]</f>
        <v>0</v>
      </c>
      <c r="I1179" s="275" t="s">
        <v>15214</v>
      </c>
    </row>
    <row r="1180" spans="1:9" x14ac:dyDescent="0.25">
      <c r="A1180" s="420">
        <v>43018</v>
      </c>
      <c r="B1180" s="302" t="s">
        <v>32839</v>
      </c>
      <c r="C1180">
        <v>130743</v>
      </c>
      <c r="D1180" s="275" t="s">
        <v>15480</v>
      </c>
      <c r="E1180" s="301">
        <v>181.8</v>
      </c>
      <c r="F1180" s="303">
        <v>43019</v>
      </c>
      <c r="G1180" s="301">
        <v>181.8</v>
      </c>
      <c r="H1180" s="301">
        <f>Tabla15[[#This Row],[Importe]]-Tabla15[[#This Row],[Pagado]]</f>
        <v>0</v>
      </c>
      <c r="I1180" s="275" t="s">
        <v>15214</v>
      </c>
    </row>
    <row r="1181" spans="1:9" x14ac:dyDescent="0.25">
      <c r="A1181" s="420">
        <v>43018</v>
      </c>
      <c r="B1181" s="302" t="s">
        <v>32840</v>
      </c>
      <c r="C1181">
        <v>130744</v>
      </c>
      <c r="D1181" s="275" t="s">
        <v>5575</v>
      </c>
      <c r="E1181" s="301">
        <v>133</v>
      </c>
      <c r="F1181" s="303">
        <v>43019</v>
      </c>
      <c r="G1181" s="301">
        <v>133</v>
      </c>
      <c r="H1181" s="301">
        <f>Tabla15[[#This Row],[Importe]]-Tabla15[[#This Row],[Pagado]]</f>
        <v>0</v>
      </c>
      <c r="I1181" s="275" t="s">
        <v>15214</v>
      </c>
    </row>
    <row r="1182" spans="1:9" ht="30" x14ac:dyDescent="0.25">
      <c r="A1182" s="420">
        <v>43018</v>
      </c>
      <c r="B1182" s="302" t="s">
        <v>32841</v>
      </c>
      <c r="C1182">
        <v>130745</v>
      </c>
      <c r="D1182" s="275" t="s">
        <v>15256</v>
      </c>
      <c r="E1182" s="301">
        <v>5966.6</v>
      </c>
      <c r="F1182" s="303" t="s">
        <v>32709</v>
      </c>
      <c r="G1182" s="305">
        <f>4000+1966.6</f>
        <v>5966.6</v>
      </c>
      <c r="H1182" s="305">
        <f>Tabla15[[#This Row],[Importe]]-Tabla15[[#This Row],[Pagado]]</f>
        <v>0</v>
      </c>
      <c r="I1182" s="275" t="s">
        <v>15214</v>
      </c>
    </row>
    <row r="1183" spans="1:9" x14ac:dyDescent="0.25">
      <c r="A1183" s="420">
        <v>43018</v>
      </c>
      <c r="B1183" s="302" t="s">
        <v>32842</v>
      </c>
      <c r="C1183">
        <v>130746</v>
      </c>
      <c r="D1183" s="275" t="s">
        <v>15246</v>
      </c>
      <c r="E1183" s="301">
        <v>35028.300000000003</v>
      </c>
      <c r="F1183" s="303">
        <v>43021</v>
      </c>
      <c r="G1183" s="301">
        <v>35028.300000000003</v>
      </c>
      <c r="H1183" s="301">
        <f>Tabla15[[#This Row],[Importe]]-Tabla15[[#This Row],[Pagado]]</f>
        <v>0</v>
      </c>
      <c r="I1183" s="275" t="s">
        <v>15214</v>
      </c>
    </row>
    <row r="1184" spans="1:9" x14ac:dyDescent="0.25">
      <c r="A1184" s="420">
        <v>43018</v>
      </c>
      <c r="B1184" s="302" t="s">
        <v>32843</v>
      </c>
      <c r="C1184">
        <v>130747</v>
      </c>
      <c r="D1184" s="275" t="s">
        <v>15284</v>
      </c>
      <c r="E1184" s="301">
        <v>1098</v>
      </c>
      <c r="F1184" s="303">
        <v>43018</v>
      </c>
      <c r="G1184" s="301">
        <v>1098</v>
      </c>
      <c r="H1184" s="301">
        <f>Tabla15[[#This Row],[Importe]]-Tabla15[[#This Row],[Pagado]]</f>
        <v>0</v>
      </c>
      <c r="I1184" s="275" t="s">
        <v>15214</v>
      </c>
    </row>
    <row r="1185" spans="1:9" x14ac:dyDescent="0.25">
      <c r="A1185" s="420">
        <v>43018</v>
      </c>
      <c r="B1185" s="302" t="s">
        <v>32844</v>
      </c>
      <c r="C1185">
        <v>130748</v>
      </c>
      <c r="D1185" s="275" t="s">
        <v>19302</v>
      </c>
      <c r="E1185" s="301">
        <v>880</v>
      </c>
      <c r="F1185" s="303">
        <v>43018</v>
      </c>
      <c r="G1185" s="301">
        <v>880</v>
      </c>
      <c r="H1185" s="301">
        <f>Tabla15[[#This Row],[Importe]]-Tabla15[[#This Row],[Pagado]]</f>
        <v>0</v>
      </c>
      <c r="I1185" s="275" t="s">
        <v>15214</v>
      </c>
    </row>
    <row r="1186" spans="1:9" x14ac:dyDescent="0.25">
      <c r="A1186" s="420">
        <v>43018</v>
      </c>
      <c r="B1186" s="302" t="s">
        <v>32845</v>
      </c>
      <c r="C1186">
        <v>130749</v>
      </c>
      <c r="D1186" s="275" t="s">
        <v>15220</v>
      </c>
      <c r="E1186" s="301">
        <v>1760</v>
      </c>
      <c r="F1186" s="303">
        <v>43018</v>
      </c>
      <c r="G1186" s="301">
        <v>1760</v>
      </c>
      <c r="H1186" s="301">
        <f>Tabla15[[#This Row],[Importe]]-Tabla15[[#This Row],[Pagado]]</f>
        <v>0</v>
      </c>
      <c r="I1186" s="275" t="s">
        <v>15214</v>
      </c>
    </row>
    <row r="1187" spans="1:9" x14ac:dyDescent="0.25">
      <c r="A1187" s="420">
        <v>43018</v>
      </c>
      <c r="B1187" s="302" t="s">
        <v>32846</v>
      </c>
      <c r="C1187">
        <v>130750</v>
      </c>
      <c r="D1187" s="275" t="s">
        <v>15407</v>
      </c>
      <c r="E1187" s="301">
        <v>6266.8</v>
      </c>
      <c r="F1187" s="303">
        <v>43018</v>
      </c>
      <c r="G1187" s="301">
        <v>6266.8</v>
      </c>
      <c r="H1187" s="301">
        <f>Tabla15[[#This Row],[Importe]]-Tabla15[[#This Row],[Pagado]]</f>
        <v>0</v>
      </c>
      <c r="I1187" s="275" t="s">
        <v>15214</v>
      </c>
    </row>
    <row r="1188" spans="1:9" x14ac:dyDescent="0.25">
      <c r="A1188" s="420">
        <v>43018</v>
      </c>
      <c r="B1188" s="302" t="s">
        <v>32847</v>
      </c>
      <c r="C1188">
        <v>130751</v>
      </c>
      <c r="D1188" s="275" t="s">
        <v>15261</v>
      </c>
      <c r="E1188" s="301">
        <v>13253</v>
      </c>
      <c r="F1188" s="303">
        <v>43018</v>
      </c>
      <c r="G1188" s="301">
        <v>13253</v>
      </c>
      <c r="H1188" s="301">
        <f>Tabla15[[#This Row],[Importe]]-Tabla15[[#This Row],[Pagado]]</f>
        <v>0</v>
      </c>
      <c r="I1188" s="275" t="s">
        <v>15214</v>
      </c>
    </row>
    <row r="1189" spans="1:9" x14ac:dyDescent="0.25">
      <c r="A1189" s="420">
        <v>43018</v>
      </c>
      <c r="B1189" s="302" t="s">
        <v>32848</v>
      </c>
      <c r="C1189">
        <v>130752</v>
      </c>
      <c r="D1189" s="275" t="s">
        <v>15324</v>
      </c>
      <c r="E1189" s="301">
        <v>2080</v>
      </c>
      <c r="F1189" s="303">
        <v>43018</v>
      </c>
      <c r="G1189" s="301">
        <v>2080</v>
      </c>
      <c r="H1189" s="301">
        <f>Tabla15[[#This Row],[Importe]]-Tabla15[[#This Row],[Pagado]]</f>
        <v>0</v>
      </c>
      <c r="I1189" s="275" t="s">
        <v>15214</v>
      </c>
    </row>
    <row r="1190" spans="1:9" x14ac:dyDescent="0.25">
      <c r="A1190" s="420">
        <v>43018</v>
      </c>
      <c r="B1190" s="302" t="s">
        <v>32849</v>
      </c>
      <c r="C1190">
        <v>130753</v>
      </c>
      <c r="D1190" s="275" t="s">
        <v>15226</v>
      </c>
      <c r="E1190" s="301">
        <v>1341</v>
      </c>
      <c r="F1190" s="303">
        <v>43020</v>
      </c>
      <c r="G1190" s="301">
        <v>1341</v>
      </c>
      <c r="H1190" s="301">
        <f>Tabla15[[#This Row],[Importe]]-Tabla15[[#This Row],[Pagado]]</f>
        <v>0</v>
      </c>
      <c r="I1190" s="275" t="s">
        <v>15214</v>
      </c>
    </row>
    <row r="1191" spans="1:9" x14ac:dyDescent="0.25">
      <c r="A1191" s="420">
        <v>43018</v>
      </c>
      <c r="B1191" s="302" t="s">
        <v>32850</v>
      </c>
      <c r="C1191">
        <v>130754</v>
      </c>
      <c r="D1191" s="275" t="s">
        <v>15338</v>
      </c>
      <c r="E1191" s="301">
        <v>8238.7999999999993</v>
      </c>
      <c r="F1191" s="303">
        <v>43020</v>
      </c>
      <c r="G1191" s="301">
        <v>8238.7999999999993</v>
      </c>
      <c r="H1191" s="301">
        <f>Tabla15[[#This Row],[Importe]]-Tabla15[[#This Row],[Pagado]]</f>
        <v>0</v>
      </c>
      <c r="I1191" s="275" t="s">
        <v>15214</v>
      </c>
    </row>
    <row r="1192" spans="1:9" x14ac:dyDescent="0.25">
      <c r="A1192" s="420">
        <v>43018</v>
      </c>
      <c r="B1192" s="302" t="s">
        <v>32851</v>
      </c>
      <c r="C1192">
        <v>130755</v>
      </c>
      <c r="D1192" s="275" t="s">
        <v>15265</v>
      </c>
      <c r="E1192" s="301">
        <v>2822.4</v>
      </c>
      <c r="F1192" s="303">
        <v>43018</v>
      </c>
      <c r="G1192" s="301">
        <v>2822.4</v>
      </c>
      <c r="H1192" s="301">
        <f>Tabla15[[#This Row],[Importe]]-Tabla15[[#This Row],[Pagado]]</f>
        <v>0</v>
      </c>
      <c r="I1192" s="275" t="s">
        <v>15214</v>
      </c>
    </row>
    <row r="1193" spans="1:9" x14ac:dyDescent="0.25">
      <c r="A1193" s="420">
        <v>43018</v>
      </c>
      <c r="B1193" s="302" t="s">
        <v>32852</v>
      </c>
      <c r="C1193">
        <v>130756</v>
      </c>
      <c r="D1193" s="275" t="s">
        <v>15261</v>
      </c>
      <c r="E1193" s="301">
        <v>11284.8</v>
      </c>
      <c r="F1193" s="303">
        <v>43018</v>
      </c>
      <c r="G1193" s="301">
        <v>11284.8</v>
      </c>
      <c r="H1193" s="301">
        <f>Tabla15[[#This Row],[Importe]]-Tabla15[[#This Row],[Pagado]]</f>
        <v>0</v>
      </c>
      <c r="I1193" s="275" t="s">
        <v>15214</v>
      </c>
    </row>
    <row r="1194" spans="1:9" x14ac:dyDescent="0.25">
      <c r="A1194" s="420">
        <v>43018</v>
      </c>
      <c r="B1194" s="302" t="s">
        <v>32853</v>
      </c>
      <c r="C1194">
        <v>130757</v>
      </c>
      <c r="D1194" s="275" t="s">
        <v>15248</v>
      </c>
      <c r="E1194" s="301">
        <v>56244.24</v>
      </c>
      <c r="F1194" s="303">
        <v>43018</v>
      </c>
      <c r="G1194" s="301">
        <v>56244.24</v>
      </c>
      <c r="H1194" s="301">
        <f>Tabla15[[#This Row],[Importe]]-Tabla15[[#This Row],[Pagado]]</f>
        <v>0</v>
      </c>
      <c r="I1194" s="275" t="s">
        <v>15214</v>
      </c>
    </row>
    <row r="1195" spans="1:9" x14ac:dyDescent="0.25">
      <c r="A1195" s="420">
        <v>43018</v>
      </c>
      <c r="B1195" s="302" t="s">
        <v>32854</v>
      </c>
      <c r="C1195">
        <v>130758</v>
      </c>
      <c r="D1195" s="275" t="s">
        <v>15858</v>
      </c>
      <c r="E1195" s="301">
        <v>1171.32</v>
      </c>
      <c r="F1195" s="303">
        <v>43018</v>
      </c>
      <c r="G1195" s="301">
        <v>1171.32</v>
      </c>
      <c r="H1195" s="301">
        <f>Tabla15[[#This Row],[Importe]]-Tabla15[[#This Row],[Pagado]]</f>
        <v>0</v>
      </c>
      <c r="I1195" s="275" t="s">
        <v>15214</v>
      </c>
    </row>
    <row r="1196" spans="1:9" x14ac:dyDescent="0.25">
      <c r="A1196" s="420">
        <v>43018</v>
      </c>
      <c r="B1196" s="302" t="s">
        <v>32855</v>
      </c>
      <c r="C1196">
        <v>130759</v>
      </c>
      <c r="D1196" s="275" t="s">
        <v>15858</v>
      </c>
      <c r="E1196" s="301">
        <v>308.07</v>
      </c>
      <c r="F1196" s="303">
        <v>43018</v>
      </c>
      <c r="G1196" s="301">
        <v>308.07</v>
      </c>
      <c r="H1196" s="301">
        <f>Tabla15[[#This Row],[Importe]]-Tabla15[[#This Row],[Pagado]]</f>
        <v>0</v>
      </c>
      <c r="I1196" s="275" t="s">
        <v>15214</v>
      </c>
    </row>
    <row r="1197" spans="1:9" x14ac:dyDescent="0.25">
      <c r="A1197" s="420">
        <v>43018</v>
      </c>
      <c r="B1197" s="302" t="s">
        <v>32856</v>
      </c>
      <c r="C1197">
        <v>130760</v>
      </c>
      <c r="D1197" s="275" t="s">
        <v>17057</v>
      </c>
      <c r="E1197" s="301">
        <v>1304.5</v>
      </c>
      <c r="F1197" s="303">
        <v>43018</v>
      </c>
      <c r="G1197" s="301">
        <v>1304.5</v>
      </c>
      <c r="H1197" s="301">
        <f>Tabla15[[#This Row],[Importe]]-Tabla15[[#This Row],[Pagado]]</f>
        <v>0</v>
      </c>
      <c r="I1197" s="275" t="s">
        <v>15214</v>
      </c>
    </row>
    <row r="1198" spans="1:9" x14ac:dyDescent="0.25">
      <c r="A1198" s="420">
        <v>43018</v>
      </c>
      <c r="B1198" s="302" t="s">
        <v>32857</v>
      </c>
      <c r="C1198">
        <v>130761</v>
      </c>
      <c r="D1198" s="275" t="s">
        <v>16171</v>
      </c>
      <c r="E1198" s="301">
        <v>742.5</v>
      </c>
      <c r="F1198" s="303">
        <v>43018</v>
      </c>
      <c r="G1198" s="301">
        <v>742.5</v>
      </c>
      <c r="H1198" s="301">
        <f>Tabla15[[#This Row],[Importe]]-Tabla15[[#This Row],[Pagado]]</f>
        <v>0</v>
      </c>
      <c r="I1198" s="275" t="s">
        <v>15214</v>
      </c>
    </row>
    <row r="1199" spans="1:9" x14ac:dyDescent="0.25">
      <c r="A1199" s="420">
        <v>43018</v>
      </c>
      <c r="B1199" s="302" t="s">
        <v>32858</v>
      </c>
      <c r="C1199">
        <v>130762</v>
      </c>
      <c r="D1199" s="275" t="s">
        <v>15240</v>
      </c>
      <c r="E1199" s="301">
        <v>2799</v>
      </c>
      <c r="F1199" s="303">
        <v>43019</v>
      </c>
      <c r="G1199" s="301">
        <v>2799</v>
      </c>
      <c r="H1199" s="301">
        <f>Tabla15[[#This Row],[Importe]]-Tabla15[[#This Row],[Pagado]]</f>
        <v>0</v>
      </c>
      <c r="I1199" s="275" t="s">
        <v>15214</v>
      </c>
    </row>
    <row r="1200" spans="1:9" x14ac:dyDescent="0.25">
      <c r="A1200" s="420">
        <v>43018</v>
      </c>
      <c r="B1200" s="302" t="s">
        <v>32859</v>
      </c>
      <c r="C1200">
        <v>130763</v>
      </c>
      <c r="D1200" s="275" t="s">
        <v>15332</v>
      </c>
      <c r="E1200" s="301">
        <v>3105</v>
      </c>
      <c r="F1200" s="303">
        <v>43018</v>
      </c>
      <c r="G1200" s="301">
        <v>3105</v>
      </c>
      <c r="H1200" s="301">
        <f>Tabla15[[#This Row],[Importe]]-Tabla15[[#This Row],[Pagado]]</f>
        <v>0</v>
      </c>
      <c r="I1200" s="275" t="s">
        <v>15214</v>
      </c>
    </row>
    <row r="1201" spans="1:9" x14ac:dyDescent="0.25">
      <c r="A1201" s="420">
        <v>43018</v>
      </c>
      <c r="B1201" s="302" t="s">
        <v>32860</v>
      </c>
      <c r="C1201">
        <v>130764</v>
      </c>
      <c r="D1201" s="275" t="s">
        <v>15356</v>
      </c>
      <c r="E1201" s="301">
        <v>1085.8</v>
      </c>
      <c r="F1201" s="303">
        <v>43018</v>
      </c>
      <c r="G1201" s="301">
        <v>1085.8</v>
      </c>
      <c r="H1201" s="301">
        <f>Tabla15[[#This Row],[Importe]]-Tabla15[[#This Row],[Pagado]]</f>
        <v>0</v>
      </c>
      <c r="I1201" s="275" t="s">
        <v>15214</v>
      </c>
    </row>
    <row r="1202" spans="1:9" ht="15.75" x14ac:dyDescent="0.25">
      <c r="A1202" s="420">
        <v>43018</v>
      </c>
      <c r="B1202" s="302" t="s">
        <v>32861</v>
      </c>
      <c r="C1202">
        <v>130765</v>
      </c>
      <c r="D1202" s="248" t="s">
        <v>95</v>
      </c>
      <c r="E1202" s="301">
        <v>0</v>
      </c>
      <c r="F1202" s="243" t="s">
        <v>95</v>
      </c>
      <c r="G1202" s="301">
        <v>0</v>
      </c>
      <c r="H1202" s="301">
        <f>Tabla15[[#This Row],[Importe]]-Tabla15[[#This Row],[Pagado]]</f>
        <v>0</v>
      </c>
      <c r="I1202" s="275" t="s">
        <v>95</v>
      </c>
    </row>
    <row r="1203" spans="1:9" x14ac:dyDescent="0.25">
      <c r="A1203" s="420">
        <v>43018</v>
      </c>
      <c r="B1203" s="302" t="s">
        <v>32862</v>
      </c>
      <c r="C1203">
        <v>130766</v>
      </c>
      <c r="D1203" s="275" t="s">
        <v>15358</v>
      </c>
      <c r="E1203" s="301">
        <v>1904.9</v>
      </c>
      <c r="F1203" s="303">
        <v>43018</v>
      </c>
      <c r="G1203" s="301">
        <v>1904.9</v>
      </c>
      <c r="H1203" s="301">
        <f>Tabla15[[#This Row],[Importe]]-Tabla15[[#This Row],[Pagado]]</f>
        <v>0</v>
      </c>
      <c r="I1203" s="275" t="s">
        <v>15214</v>
      </c>
    </row>
    <row r="1204" spans="1:9" x14ac:dyDescent="0.25">
      <c r="A1204" s="420">
        <v>43018</v>
      </c>
      <c r="B1204" s="302" t="s">
        <v>32863</v>
      </c>
      <c r="C1204">
        <v>130767</v>
      </c>
      <c r="D1204" s="275" t="s">
        <v>15523</v>
      </c>
      <c r="E1204" s="301">
        <v>1540</v>
      </c>
      <c r="F1204" s="303">
        <v>43018</v>
      </c>
      <c r="G1204" s="301">
        <v>1540</v>
      </c>
      <c r="H1204" s="301">
        <f>Tabla15[[#This Row],[Importe]]-Tabla15[[#This Row],[Pagado]]</f>
        <v>0</v>
      </c>
      <c r="I1204" s="275" t="s">
        <v>15214</v>
      </c>
    </row>
    <row r="1205" spans="1:9" x14ac:dyDescent="0.25">
      <c r="A1205" s="420">
        <v>43018</v>
      </c>
      <c r="B1205" s="302" t="s">
        <v>32864</v>
      </c>
      <c r="C1205">
        <v>130768</v>
      </c>
      <c r="D1205" s="275" t="s">
        <v>15594</v>
      </c>
      <c r="E1205" s="301">
        <v>2362.1</v>
      </c>
      <c r="F1205" s="303">
        <v>43018</v>
      </c>
      <c r="G1205" s="301">
        <v>2362.1</v>
      </c>
      <c r="H1205" s="301">
        <f>Tabla15[[#This Row],[Importe]]-Tabla15[[#This Row],[Pagado]]</f>
        <v>0</v>
      </c>
      <c r="I1205" s="275" t="s">
        <v>15214</v>
      </c>
    </row>
    <row r="1206" spans="1:9" x14ac:dyDescent="0.25">
      <c r="A1206" s="420">
        <v>43018</v>
      </c>
      <c r="B1206" s="302" t="s">
        <v>32865</v>
      </c>
      <c r="C1206">
        <v>130769</v>
      </c>
      <c r="D1206" s="275" t="s">
        <v>15334</v>
      </c>
      <c r="E1206" s="301">
        <v>1660</v>
      </c>
      <c r="F1206" s="303">
        <v>43018</v>
      </c>
      <c r="G1206" s="301">
        <v>1660</v>
      </c>
      <c r="H1206" s="301">
        <f>Tabla15[[#This Row],[Importe]]-Tabla15[[#This Row],[Pagado]]</f>
        <v>0</v>
      </c>
      <c r="I1206" s="275" t="s">
        <v>15214</v>
      </c>
    </row>
    <row r="1207" spans="1:9" x14ac:dyDescent="0.25">
      <c r="A1207" s="420">
        <v>43018</v>
      </c>
      <c r="B1207" s="302" t="s">
        <v>32866</v>
      </c>
      <c r="C1207">
        <v>130770</v>
      </c>
      <c r="D1207" s="275" t="s">
        <v>15912</v>
      </c>
      <c r="E1207" s="301">
        <v>1945</v>
      </c>
      <c r="F1207" s="303">
        <v>43018</v>
      </c>
      <c r="G1207" s="301">
        <v>1945</v>
      </c>
      <c r="H1207" s="301">
        <f>Tabla15[[#This Row],[Importe]]-Tabla15[[#This Row],[Pagado]]</f>
        <v>0</v>
      </c>
      <c r="I1207" s="275" t="s">
        <v>15214</v>
      </c>
    </row>
    <row r="1208" spans="1:9" x14ac:dyDescent="0.25">
      <c r="A1208" s="420">
        <v>43018</v>
      </c>
      <c r="B1208" s="302" t="s">
        <v>32867</v>
      </c>
      <c r="C1208">
        <v>130771</v>
      </c>
      <c r="D1208" s="275" t="s">
        <v>15315</v>
      </c>
      <c r="E1208" s="301">
        <v>3782.4</v>
      </c>
      <c r="F1208" s="303">
        <v>43020</v>
      </c>
      <c r="G1208" s="301">
        <v>3782.4</v>
      </c>
      <c r="H1208" s="301">
        <f>Tabla15[[#This Row],[Importe]]-Tabla15[[#This Row],[Pagado]]</f>
        <v>0</v>
      </c>
      <c r="I1208" s="275" t="s">
        <v>15214</v>
      </c>
    </row>
    <row r="1209" spans="1:9" x14ac:dyDescent="0.25">
      <c r="A1209" s="420">
        <v>43018</v>
      </c>
      <c r="B1209" s="302" t="s">
        <v>32868</v>
      </c>
      <c r="C1209">
        <v>130772</v>
      </c>
      <c r="D1209" s="275" t="s">
        <v>15568</v>
      </c>
      <c r="E1209" s="301">
        <v>1052.5999999999999</v>
      </c>
      <c r="F1209" s="303">
        <v>43018</v>
      </c>
      <c r="G1209" s="301">
        <v>1052.5999999999999</v>
      </c>
      <c r="H1209" s="301">
        <f>Tabla15[[#This Row],[Importe]]-Tabla15[[#This Row],[Pagado]]</f>
        <v>0</v>
      </c>
      <c r="I1209" s="275" t="s">
        <v>15214</v>
      </c>
    </row>
    <row r="1210" spans="1:9" x14ac:dyDescent="0.25">
      <c r="A1210" s="420">
        <v>43018</v>
      </c>
      <c r="B1210" s="302" t="s">
        <v>32869</v>
      </c>
      <c r="C1210">
        <v>130773</v>
      </c>
      <c r="D1210" s="275" t="s">
        <v>18544</v>
      </c>
      <c r="E1210" s="301">
        <v>6006.1</v>
      </c>
      <c r="F1210" s="303">
        <v>43018</v>
      </c>
      <c r="G1210" s="301">
        <v>6006.1</v>
      </c>
      <c r="H1210" s="301">
        <f>Tabla15[[#This Row],[Importe]]-Tabla15[[#This Row],[Pagado]]</f>
        <v>0</v>
      </c>
      <c r="I1210" s="275" t="s">
        <v>15214</v>
      </c>
    </row>
    <row r="1211" spans="1:9" x14ac:dyDescent="0.25">
      <c r="A1211" s="420">
        <v>43018</v>
      </c>
      <c r="B1211" s="302" t="s">
        <v>32870</v>
      </c>
      <c r="C1211">
        <v>130774</v>
      </c>
      <c r="D1211" s="275" t="s">
        <v>15553</v>
      </c>
      <c r="E1211" s="301">
        <v>680</v>
      </c>
      <c r="F1211" s="303">
        <v>43018</v>
      </c>
      <c r="G1211" s="301">
        <v>680</v>
      </c>
      <c r="H1211" s="301">
        <f>Tabla15[[#This Row],[Importe]]-Tabla15[[#This Row],[Pagado]]</f>
        <v>0</v>
      </c>
      <c r="I1211" s="275" t="s">
        <v>15214</v>
      </c>
    </row>
    <row r="1212" spans="1:9" x14ac:dyDescent="0.25">
      <c r="A1212" s="420">
        <v>43018</v>
      </c>
      <c r="B1212" s="302" t="s">
        <v>32871</v>
      </c>
      <c r="C1212">
        <v>130775</v>
      </c>
      <c r="D1212" s="275" t="s">
        <v>15592</v>
      </c>
      <c r="E1212" s="301">
        <v>10100.700000000001</v>
      </c>
      <c r="F1212" s="303">
        <v>43018</v>
      </c>
      <c r="G1212" s="301">
        <v>10100.700000000001</v>
      </c>
      <c r="H1212" s="301">
        <f>Tabla15[[#This Row],[Importe]]-Tabla15[[#This Row],[Pagado]]</f>
        <v>0</v>
      </c>
      <c r="I1212" s="275" t="s">
        <v>15214</v>
      </c>
    </row>
    <row r="1213" spans="1:9" ht="15.75" x14ac:dyDescent="0.25">
      <c r="A1213" s="420">
        <v>43018</v>
      </c>
      <c r="B1213" s="302" t="s">
        <v>32872</v>
      </c>
      <c r="C1213">
        <v>130776</v>
      </c>
      <c r="D1213" s="248" t="s">
        <v>95</v>
      </c>
      <c r="E1213" s="301">
        <v>0</v>
      </c>
      <c r="F1213" s="243" t="s">
        <v>95</v>
      </c>
      <c r="G1213" s="301">
        <v>0</v>
      </c>
      <c r="H1213" s="301">
        <f>Tabla15[[#This Row],[Importe]]-Tabla15[[#This Row],[Pagado]]</f>
        <v>0</v>
      </c>
      <c r="I1213" s="275" t="s">
        <v>95</v>
      </c>
    </row>
    <row r="1214" spans="1:9" x14ac:dyDescent="0.25">
      <c r="A1214" s="420">
        <v>43018</v>
      </c>
      <c r="B1214" s="302" t="s">
        <v>32873</v>
      </c>
      <c r="C1214">
        <v>130777</v>
      </c>
      <c r="D1214" s="275" t="s">
        <v>15391</v>
      </c>
      <c r="E1214" s="301">
        <v>7046.4</v>
      </c>
      <c r="F1214" s="303">
        <v>43019</v>
      </c>
      <c r="G1214" s="301">
        <v>7046.4</v>
      </c>
      <c r="H1214" s="301">
        <f>Tabla15[[#This Row],[Importe]]-Tabla15[[#This Row],[Pagado]]</f>
        <v>0</v>
      </c>
      <c r="I1214" s="275" t="s">
        <v>15214</v>
      </c>
    </row>
    <row r="1215" spans="1:9" x14ac:dyDescent="0.25">
      <c r="A1215" s="420">
        <v>43018</v>
      </c>
      <c r="B1215" s="302" t="s">
        <v>32874</v>
      </c>
      <c r="C1215">
        <v>130778</v>
      </c>
      <c r="D1215" s="275" t="s">
        <v>15315</v>
      </c>
      <c r="E1215" s="301">
        <v>1585.32</v>
      </c>
      <c r="F1215" s="303">
        <v>43018</v>
      </c>
      <c r="G1215" s="301">
        <v>1585.32</v>
      </c>
      <c r="H1215" s="301">
        <f>Tabla15[[#This Row],[Importe]]-Tabla15[[#This Row],[Pagado]]</f>
        <v>0</v>
      </c>
      <c r="I1215" s="275" t="s">
        <v>15214</v>
      </c>
    </row>
    <row r="1216" spans="1:9" x14ac:dyDescent="0.25">
      <c r="A1216" s="420">
        <v>43018</v>
      </c>
      <c r="B1216" s="302" t="s">
        <v>32875</v>
      </c>
      <c r="C1216">
        <v>130779</v>
      </c>
      <c r="D1216" s="275" t="s">
        <v>15890</v>
      </c>
      <c r="E1216" s="301">
        <v>1957.2</v>
      </c>
      <c r="F1216" s="303">
        <v>43025</v>
      </c>
      <c r="G1216" s="301">
        <v>1957.2</v>
      </c>
      <c r="H1216" s="301">
        <f>Tabla15[[#This Row],[Importe]]-Tabla15[[#This Row],[Pagado]]</f>
        <v>0</v>
      </c>
      <c r="I1216" s="275" t="s">
        <v>15214</v>
      </c>
    </row>
    <row r="1217" spans="1:9" x14ac:dyDescent="0.25">
      <c r="A1217" s="420">
        <v>43018</v>
      </c>
      <c r="B1217" s="302" t="s">
        <v>32876</v>
      </c>
      <c r="C1217">
        <v>130780</v>
      </c>
      <c r="D1217" s="275" t="s">
        <v>15322</v>
      </c>
      <c r="E1217" s="301">
        <v>1280.2</v>
      </c>
      <c r="F1217" s="303">
        <v>43018</v>
      </c>
      <c r="G1217" s="301">
        <v>1280.2</v>
      </c>
      <c r="H1217" s="301">
        <f>Tabla15[[#This Row],[Importe]]-Tabla15[[#This Row],[Pagado]]</f>
        <v>0</v>
      </c>
      <c r="I1217" s="275" t="s">
        <v>15214</v>
      </c>
    </row>
    <row r="1218" spans="1:9" x14ac:dyDescent="0.25">
      <c r="A1218" s="420">
        <v>43018</v>
      </c>
      <c r="B1218" s="302" t="s">
        <v>32877</v>
      </c>
      <c r="C1218">
        <v>130781</v>
      </c>
      <c r="D1218" s="275" t="s">
        <v>19775</v>
      </c>
      <c r="E1218" s="301">
        <v>6039.7</v>
      </c>
      <c r="F1218" s="303">
        <v>43018</v>
      </c>
      <c r="G1218" s="301">
        <v>6039.7</v>
      </c>
      <c r="H1218" s="301">
        <f>Tabla15[[#This Row],[Importe]]-Tabla15[[#This Row],[Pagado]]</f>
        <v>0</v>
      </c>
      <c r="I1218" s="275" t="s">
        <v>15214</v>
      </c>
    </row>
    <row r="1219" spans="1:9" x14ac:dyDescent="0.25">
      <c r="A1219" s="420">
        <v>43018</v>
      </c>
      <c r="B1219" s="302" t="s">
        <v>32878</v>
      </c>
      <c r="C1219">
        <v>130782</v>
      </c>
      <c r="D1219" s="275" t="s">
        <v>5873</v>
      </c>
      <c r="E1219" s="301">
        <v>57164</v>
      </c>
      <c r="F1219" s="303">
        <v>43018</v>
      </c>
      <c r="G1219" s="301">
        <v>57164</v>
      </c>
      <c r="H1219" s="301">
        <f>Tabla15[[#This Row],[Importe]]-Tabla15[[#This Row],[Pagado]]</f>
        <v>0</v>
      </c>
      <c r="I1219" s="275" t="s">
        <v>15214</v>
      </c>
    </row>
    <row r="1220" spans="1:9" x14ac:dyDescent="0.25">
      <c r="A1220" s="420">
        <v>43018</v>
      </c>
      <c r="B1220" s="302" t="s">
        <v>32879</v>
      </c>
      <c r="C1220">
        <v>130783</v>
      </c>
      <c r="D1220" s="275" t="s">
        <v>15387</v>
      </c>
      <c r="E1220" s="301">
        <v>2135.44</v>
      </c>
      <c r="F1220" s="303">
        <v>43018</v>
      </c>
      <c r="G1220" s="301">
        <v>2135.44</v>
      </c>
      <c r="H1220" s="301">
        <f>Tabla15[[#This Row],[Importe]]-Tabla15[[#This Row],[Pagado]]</f>
        <v>0</v>
      </c>
      <c r="I1220" s="275" t="s">
        <v>15214</v>
      </c>
    </row>
    <row r="1221" spans="1:9" x14ac:dyDescent="0.25">
      <c r="A1221" s="420">
        <v>43018</v>
      </c>
      <c r="B1221" s="302" t="s">
        <v>32880</v>
      </c>
      <c r="C1221">
        <v>130784</v>
      </c>
      <c r="D1221" s="275" t="s">
        <v>15387</v>
      </c>
      <c r="E1221" s="301">
        <v>502.86</v>
      </c>
      <c r="F1221" s="303">
        <v>43018</v>
      </c>
      <c r="G1221" s="301">
        <v>502.86</v>
      </c>
      <c r="H1221" s="301">
        <f>Tabla15[[#This Row],[Importe]]-Tabla15[[#This Row],[Pagado]]</f>
        <v>0</v>
      </c>
      <c r="I1221" s="275" t="s">
        <v>15214</v>
      </c>
    </row>
    <row r="1222" spans="1:9" x14ac:dyDescent="0.25">
      <c r="A1222" s="420">
        <v>43018</v>
      </c>
      <c r="B1222" s="302" t="s">
        <v>32881</v>
      </c>
      <c r="C1222">
        <v>130785</v>
      </c>
      <c r="D1222" s="275" t="s">
        <v>15315</v>
      </c>
      <c r="E1222" s="301">
        <v>190</v>
      </c>
      <c r="F1222" s="303">
        <v>43018</v>
      </c>
      <c r="G1222" s="301">
        <v>190</v>
      </c>
      <c r="H1222" s="301">
        <f>Tabla15[[#This Row],[Importe]]-Tabla15[[#This Row],[Pagado]]</f>
        <v>0</v>
      </c>
      <c r="I1222" s="275" t="s">
        <v>15214</v>
      </c>
    </row>
    <row r="1223" spans="1:9" x14ac:dyDescent="0.25">
      <c r="A1223" s="420">
        <v>43018</v>
      </c>
      <c r="B1223" s="302" t="s">
        <v>32882</v>
      </c>
      <c r="C1223">
        <v>130786</v>
      </c>
      <c r="D1223" s="275" t="s">
        <v>15252</v>
      </c>
      <c r="E1223" s="301">
        <v>1235</v>
      </c>
      <c r="F1223" s="303">
        <v>43020</v>
      </c>
      <c r="G1223" s="301">
        <v>1235</v>
      </c>
      <c r="H1223" s="301">
        <f>Tabla15[[#This Row],[Importe]]-Tabla15[[#This Row],[Pagado]]</f>
        <v>0</v>
      </c>
      <c r="I1223" s="275" t="s">
        <v>15214</v>
      </c>
    </row>
    <row r="1224" spans="1:9" x14ac:dyDescent="0.25">
      <c r="A1224" s="420">
        <v>43018</v>
      </c>
      <c r="B1224" s="302" t="s">
        <v>32883</v>
      </c>
      <c r="C1224">
        <v>130787</v>
      </c>
      <c r="D1224" s="275" t="s">
        <v>15378</v>
      </c>
      <c r="E1224" s="301">
        <v>356.7</v>
      </c>
      <c r="F1224" s="303">
        <v>43018</v>
      </c>
      <c r="G1224" s="301">
        <v>356.7</v>
      </c>
      <c r="H1224" s="301">
        <f>Tabla15[[#This Row],[Importe]]-Tabla15[[#This Row],[Pagado]]</f>
        <v>0</v>
      </c>
      <c r="I1224" s="275" t="s">
        <v>15214</v>
      </c>
    </row>
    <row r="1225" spans="1:9" ht="15.75" x14ac:dyDescent="0.25">
      <c r="A1225" s="420">
        <v>43018</v>
      </c>
      <c r="B1225" s="302" t="s">
        <v>32884</v>
      </c>
      <c r="C1225">
        <v>130788</v>
      </c>
      <c r="D1225" s="282" t="s">
        <v>95</v>
      </c>
      <c r="E1225" s="301">
        <v>0</v>
      </c>
      <c r="F1225" s="243" t="s">
        <v>95</v>
      </c>
      <c r="G1225" s="301">
        <v>0</v>
      </c>
      <c r="H1225" s="301">
        <f>Tabla15[[#This Row],[Importe]]-Tabla15[[#This Row],[Pagado]]</f>
        <v>0</v>
      </c>
      <c r="I1225" s="275" t="s">
        <v>95</v>
      </c>
    </row>
    <row r="1226" spans="1:9" x14ac:dyDescent="0.25">
      <c r="A1226" s="420">
        <v>43018</v>
      </c>
      <c r="B1226" s="302" t="s">
        <v>32885</v>
      </c>
      <c r="C1226">
        <v>130789</v>
      </c>
      <c r="D1226" s="275" t="s">
        <v>23937</v>
      </c>
      <c r="E1226" s="301">
        <v>3481.5</v>
      </c>
      <c r="F1226" s="303">
        <v>43019</v>
      </c>
      <c r="G1226" s="301">
        <v>3481.5</v>
      </c>
      <c r="H1226" s="301">
        <f>Tabla15[[#This Row],[Importe]]-Tabla15[[#This Row],[Pagado]]</f>
        <v>0</v>
      </c>
      <c r="I1226" s="275" t="s">
        <v>15214</v>
      </c>
    </row>
    <row r="1227" spans="1:9" x14ac:dyDescent="0.25">
      <c r="A1227" s="420">
        <v>43018</v>
      </c>
      <c r="B1227" s="302" t="s">
        <v>32886</v>
      </c>
      <c r="C1227">
        <v>130790</v>
      </c>
      <c r="D1227" s="275" t="s">
        <v>15263</v>
      </c>
      <c r="E1227" s="301">
        <v>2705</v>
      </c>
      <c r="F1227" s="303">
        <v>43018</v>
      </c>
      <c r="G1227" s="301">
        <v>2705</v>
      </c>
      <c r="H1227" s="301">
        <f>Tabla15[[#This Row],[Importe]]-Tabla15[[#This Row],[Pagado]]</f>
        <v>0</v>
      </c>
      <c r="I1227" s="275" t="s">
        <v>15214</v>
      </c>
    </row>
    <row r="1228" spans="1:9" x14ac:dyDescent="0.25">
      <c r="A1228" s="420">
        <v>43018</v>
      </c>
      <c r="B1228" s="302" t="s">
        <v>32887</v>
      </c>
      <c r="C1228">
        <v>130791</v>
      </c>
      <c r="D1228" s="275" t="s">
        <v>15624</v>
      </c>
      <c r="E1228" s="301">
        <v>30508.5</v>
      </c>
      <c r="F1228" s="303">
        <v>43019</v>
      </c>
      <c r="G1228" s="301">
        <v>30508.5</v>
      </c>
      <c r="H1228" s="301">
        <f>Tabla15[[#This Row],[Importe]]-Tabla15[[#This Row],[Pagado]]</f>
        <v>0</v>
      </c>
      <c r="I1228" s="275" t="s">
        <v>15214</v>
      </c>
    </row>
    <row r="1229" spans="1:9" x14ac:dyDescent="0.25">
      <c r="A1229" s="420">
        <v>43018</v>
      </c>
      <c r="B1229" s="302" t="s">
        <v>32888</v>
      </c>
      <c r="C1229">
        <v>130792</v>
      </c>
      <c r="D1229" s="275" t="s">
        <v>15562</v>
      </c>
      <c r="E1229" s="301">
        <v>812</v>
      </c>
      <c r="F1229" s="303">
        <v>43018</v>
      </c>
      <c r="G1229" s="301">
        <v>812</v>
      </c>
      <c r="H1229" s="301">
        <f>Tabla15[[#This Row],[Importe]]-Tabla15[[#This Row],[Pagado]]</f>
        <v>0</v>
      </c>
      <c r="I1229" s="275" t="s">
        <v>15214</v>
      </c>
    </row>
    <row r="1230" spans="1:9" x14ac:dyDescent="0.25">
      <c r="A1230" s="420">
        <v>43018</v>
      </c>
      <c r="B1230" s="302" t="s">
        <v>32889</v>
      </c>
      <c r="C1230">
        <v>130793</v>
      </c>
      <c r="D1230" s="275" t="s">
        <v>15365</v>
      </c>
      <c r="E1230" s="301">
        <v>26551.200000000001</v>
      </c>
      <c r="F1230" s="303">
        <v>43022</v>
      </c>
      <c r="G1230" s="301">
        <v>26551.200000000001</v>
      </c>
      <c r="H1230" s="301">
        <f>Tabla15[[#This Row],[Importe]]-Tabla15[[#This Row],[Pagado]]</f>
        <v>0</v>
      </c>
      <c r="I1230" s="275" t="s">
        <v>15214</v>
      </c>
    </row>
    <row r="1231" spans="1:9" x14ac:dyDescent="0.25">
      <c r="A1231" s="420">
        <v>43018</v>
      </c>
      <c r="B1231" s="302" t="s">
        <v>32890</v>
      </c>
      <c r="C1231">
        <v>130794</v>
      </c>
      <c r="D1231" s="275" t="s">
        <v>15315</v>
      </c>
      <c r="E1231" s="301">
        <v>1102.4000000000001</v>
      </c>
      <c r="F1231" s="303">
        <v>43018</v>
      </c>
      <c r="G1231" s="301">
        <v>1102.4000000000001</v>
      </c>
      <c r="H1231" s="301">
        <f>Tabla15[[#This Row],[Importe]]-Tabla15[[#This Row],[Pagado]]</f>
        <v>0</v>
      </c>
      <c r="I1231" s="275" t="s">
        <v>15214</v>
      </c>
    </row>
    <row r="1232" spans="1:9" x14ac:dyDescent="0.25">
      <c r="A1232" s="420">
        <v>43018</v>
      </c>
      <c r="B1232" s="302" t="s">
        <v>32891</v>
      </c>
      <c r="C1232">
        <v>130795</v>
      </c>
      <c r="D1232" s="275" t="s">
        <v>15315</v>
      </c>
      <c r="E1232" s="301">
        <v>416</v>
      </c>
      <c r="F1232" s="303">
        <v>43018</v>
      </c>
      <c r="G1232" s="301">
        <v>416</v>
      </c>
      <c r="H1232" s="301">
        <f>Tabla15[[#This Row],[Importe]]-Tabla15[[#This Row],[Pagado]]</f>
        <v>0</v>
      </c>
      <c r="I1232" s="275" t="s">
        <v>15214</v>
      </c>
    </row>
    <row r="1233" spans="1:9" x14ac:dyDescent="0.25">
      <c r="A1233" s="420">
        <v>43018</v>
      </c>
      <c r="B1233" s="302" t="s">
        <v>32892</v>
      </c>
      <c r="C1233">
        <v>130796</v>
      </c>
      <c r="D1233" s="275" t="s">
        <v>15267</v>
      </c>
      <c r="E1233" s="301">
        <v>7269</v>
      </c>
      <c r="F1233" s="303">
        <v>43018</v>
      </c>
      <c r="G1233" s="301">
        <v>7269</v>
      </c>
      <c r="H1233" s="301">
        <f>Tabla15[[#This Row],[Importe]]-Tabla15[[#This Row],[Pagado]]</f>
        <v>0</v>
      </c>
      <c r="I1233" s="275" t="s">
        <v>15214</v>
      </c>
    </row>
    <row r="1234" spans="1:9" x14ac:dyDescent="0.25">
      <c r="A1234" s="420">
        <v>43018</v>
      </c>
      <c r="B1234" s="302" t="s">
        <v>32893</v>
      </c>
      <c r="C1234">
        <v>130797</v>
      </c>
      <c r="D1234" s="275" t="s">
        <v>15632</v>
      </c>
      <c r="E1234" s="301">
        <v>760.5</v>
      </c>
      <c r="F1234" s="303">
        <v>43018</v>
      </c>
      <c r="G1234" s="301">
        <v>760.5</v>
      </c>
      <c r="H1234" s="301">
        <f>Tabla15[[#This Row],[Importe]]-Tabla15[[#This Row],[Pagado]]</f>
        <v>0</v>
      </c>
      <c r="I1234" s="275" t="s">
        <v>15214</v>
      </c>
    </row>
    <row r="1235" spans="1:9" x14ac:dyDescent="0.25">
      <c r="A1235" s="420">
        <v>43018</v>
      </c>
      <c r="B1235" s="302" t="s">
        <v>32894</v>
      </c>
      <c r="C1235">
        <v>130798</v>
      </c>
      <c r="D1235" s="275" t="s">
        <v>15226</v>
      </c>
      <c r="E1235" s="301">
        <v>1281</v>
      </c>
      <c r="F1235" s="303">
        <v>43020</v>
      </c>
      <c r="G1235" s="301">
        <v>1281</v>
      </c>
      <c r="H1235" s="301">
        <f>Tabla15[[#This Row],[Importe]]-Tabla15[[#This Row],[Pagado]]</f>
        <v>0</v>
      </c>
      <c r="I1235" s="275" t="s">
        <v>15214</v>
      </c>
    </row>
    <row r="1236" spans="1:9" x14ac:dyDescent="0.25">
      <c r="A1236" s="420">
        <v>43018</v>
      </c>
      <c r="B1236" s="302" t="s">
        <v>32895</v>
      </c>
      <c r="C1236">
        <v>130799</v>
      </c>
      <c r="D1236" s="275" t="s">
        <v>15396</v>
      </c>
      <c r="E1236" s="301">
        <v>5842.64</v>
      </c>
      <c r="F1236" s="303">
        <v>43018</v>
      </c>
      <c r="G1236" s="301">
        <v>5842.64</v>
      </c>
      <c r="H1236" s="301">
        <f>Tabla15[[#This Row],[Importe]]-Tabla15[[#This Row],[Pagado]]</f>
        <v>0</v>
      </c>
      <c r="I1236" s="275" t="s">
        <v>15214</v>
      </c>
    </row>
    <row r="1237" spans="1:9" x14ac:dyDescent="0.25">
      <c r="A1237" s="420">
        <v>43018</v>
      </c>
      <c r="B1237" s="302" t="s">
        <v>32896</v>
      </c>
      <c r="C1237">
        <v>130800</v>
      </c>
      <c r="D1237" s="275" t="s">
        <v>15282</v>
      </c>
      <c r="E1237" s="301">
        <v>2016</v>
      </c>
      <c r="F1237" s="303">
        <v>43018</v>
      </c>
      <c r="G1237" s="301">
        <v>2016</v>
      </c>
      <c r="H1237" s="301">
        <f>Tabla15[[#This Row],[Importe]]-Tabla15[[#This Row],[Pagado]]</f>
        <v>0</v>
      </c>
      <c r="I1237" s="275" t="s">
        <v>15214</v>
      </c>
    </row>
    <row r="1238" spans="1:9" x14ac:dyDescent="0.25">
      <c r="A1238" s="420">
        <v>43018</v>
      </c>
      <c r="B1238" s="302" t="s">
        <v>32897</v>
      </c>
      <c r="C1238">
        <v>130801</v>
      </c>
      <c r="D1238" s="275" t="s">
        <v>15409</v>
      </c>
      <c r="E1238" s="301">
        <v>14040</v>
      </c>
      <c r="F1238" s="303">
        <v>43018</v>
      </c>
      <c r="G1238" s="301">
        <v>14040</v>
      </c>
      <c r="H1238" s="301">
        <f>Tabla15[[#This Row],[Importe]]-Tabla15[[#This Row],[Pagado]]</f>
        <v>0</v>
      </c>
      <c r="I1238" s="275" t="s">
        <v>15214</v>
      </c>
    </row>
    <row r="1239" spans="1:9" x14ac:dyDescent="0.25">
      <c r="A1239" s="420">
        <v>43018</v>
      </c>
      <c r="B1239" s="302" t="s">
        <v>32898</v>
      </c>
      <c r="C1239">
        <v>130802</v>
      </c>
      <c r="D1239" s="275" t="s">
        <v>15537</v>
      </c>
      <c r="E1239" s="301">
        <v>11854.8</v>
      </c>
      <c r="F1239" s="303">
        <v>43019</v>
      </c>
      <c r="G1239" s="301">
        <v>11854.8</v>
      </c>
      <c r="H1239" s="301">
        <f>Tabla15[[#This Row],[Importe]]-Tabla15[[#This Row],[Pagado]]</f>
        <v>0</v>
      </c>
      <c r="I1239" s="275" t="s">
        <v>15214</v>
      </c>
    </row>
    <row r="1240" spans="1:9" x14ac:dyDescent="0.25">
      <c r="A1240" s="420">
        <v>43018</v>
      </c>
      <c r="B1240" s="302" t="s">
        <v>32899</v>
      </c>
      <c r="C1240">
        <v>130803</v>
      </c>
      <c r="D1240" s="275" t="s">
        <v>15555</v>
      </c>
      <c r="E1240" s="301">
        <v>30674</v>
      </c>
      <c r="F1240" s="303" t="s">
        <v>32900</v>
      </c>
      <c r="G1240" s="301">
        <v>30674</v>
      </c>
      <c r="H1240" s="301">
        <f>Tabla15[[#This Row],[Importe]]-Tabla15[[#This Row],[Pagado]]</f>
        <v>0</v>
      </c>
      <c r="I1240" s="275" t="s">
        <v>15214</v>
      </c>
    </row>
    <row r="1241" spans="1:9" x14ac:dyDescent="0.25">
      <c r="A1241" s="420">
        <v>43018</v>
      </c>
      <c r="B1241" s="302" t="s">
        <v>32901</v>
      </c>
      <c r="C1241">
        <v>130804</v>
      </c>
      <c r="D1241" s="275" t="s">
        <v>15315</v>
      </c>
      <c r="E1241" s="301">
        <v>887</v>
      </c>
      <c r="F1241" s="303">
        <v>43018</v>
      </c>
      <c r="G1241" s="301">
        <v>887</v>
      </c>
      <c r="H1241" s="301">
        <f>Tabla15[[#This Row],[Importe]]-Tabla15[[#This Row],[Pagado]]</f>
        <v>0</v>
      </c>
      <c r="I1241" s="275" t="s">
        <v>15214</v>
      </c>
    </row>
    <row r="1242" spans="1:9" x14ac:dyDescent="0.25">
      <c r="A1242" s="420">
        <v>43018</v>
      </c>
      <c r="B1242" s="302" t="s">
        <v>32902</v>
      </c>
      <c r="C1242">
        <v>130805</v>
      </c>
      <c r="D1242" s="275" t="s">
        <v>15699</v>
      </c>
      <c r="E1242" s="301">
        <v>4024.4</v>
      </c>
      <c r="F1242" s="303">
        <v>43019</v>
      </c>
      <c r="G1242" s="301">
        <v>4024.4</v>
      </c>
      <c r="H1242" s="301">
        <f>Tabla15[[#This Row],[Importe]]-Tabla15[[#This Row],[Pagado]]</f>
        <v>0</v>
      </c>
      <c r="I1242" s="275" t="s">
        <v>15214</v>
      </c>
    </row>
    <row r="1243" spans="1:9" x14ac:dyDescent="0.25">
      <c r="A1243" s="420">
        <v>43018</v>
      </c>
      <c r="B1243" s="302" t="s">
        <v>32903</v>
      </c>
      <c r="C1243">
        <v>130806</v>
      </c>
      <c r="D1243" s="275" t="s">
        <v>15557</v>
      </c>
      <c r="E1243" s="301">
        <v>9141.4</v>
      </c>
      <c r="F1243" s="303">
        <v>43019</v>
      </c>
      <c r="G1243" s="301">
        <v>9141.4</v>
      </c>
      <c r="H1243" s="301">
        <f>Tabla15[[#This Row],[Importe]]-Tabla15[[#This Row],[Pagado]]</f>
        <v>0</v>
      </c>
      <c r="I1243" s="275" t="s">
        <v>15214</v>
      </c>
    </row>
    <row r="1244" spans="1:9" x14ac:dyDescent="0.25">
      <c r="A1244" s="420">
        <v>43018</v>
      </c>
      <c r="B1244" s="302" t="s">
        <v>32904</v>
      </c>
      <c r="C1244">
        <v>130807</v>
      </c>
      <c r="D1244" s="275" t="s">
        <v>15596</v>
      </c>
      <c r="E1244" s="301">
        <v>880</v>
      </c>
      <c r="F1244" s="303">
        <v>43018</v>
      </c>
      <c r="G1244" s="301">
        <v>880</v>
      </c>
      <c r="H1244" s="301">
        <f>Tabla15[[#This Row],[Importe]]-Tabla15[[#This Row],[Pagado]]</f>
        <v>0</v>
      </c>
      <c r="I1244" s="275" t="s">
        <v>15214</v>
      </c>
    </row>
    <row r="1245" spans="1:9" x14ac:dyDescent="0.25">
      <c r="A1245" s="420">
        <v>43018</v>
      </c>
      <c r="B1245" s="302" t="s">
        <v>32905</v>
      </c>
      <c r="C1245">
        <v>130808</v>
      </c>
      <c r="D1245" s="275" t="s">
        <v>15417</v>
      </c>
      <c r="E1245" s="301">
        <v>1853.3</v>
      </c>
      <c r="F1245" s="303">
        <v>43018</v>
      </c>
      <c r="G1245" s="301">
        <v>1853.3</v>
      </c>
      <c r="H1245" s="301">
        <f>Tabla15[[#This Row],[Importe]]-Tabla15[[#This Row],[Pagado]]</f>
        <v>0</v>
      </c>
      <c r="I1245" s="275" t="s">
        <v>15214</v>
      </c>
    </row>
    <row r="1246" spans="1:9" x14ac:dyDescent="0.25">
      <c r="A1246" s="420">
        <v>43018</v>
      </c>
      <c r="B1246" s="302" t="s">
        <v>32906</v>
      </c>
      <c r="C1246">
        <v>130809</v>
      </c>
      <c r="D1246" s="275" t="s">
        <v>15274</v>
      </c>
      <c r="E1246" s="301">
        <v>2650</v>
      </c>
      <c r="F1246" s="303">
        <v>43018</v>
      </c>
      <c r="G1246" s="301">
        <v>2650</v>
      </c>
      <c r="H1246" s="301">
        <f>Tabla15[[#This Row],[Importe]]-Tabla15[[#This Row],[Pagado]]</f>
        <v>0</v>
      </c>
      <c r="I1246" s="275" t="s">
        <v>15214</v>
      </c>
    </row>
    <row r="1247" spans="1:9" x14ac:dyDescent="0.25">
      <c r="A1247" s="420">
        <v>43018</v>
      </c>
      <c r="B1247" s="302" t="s">
        <v>32907</v>
      </c>
      <c r="C1247">
        <v>130810</v>
      </c>
      <c r="D1247" s="275" t="s">
        <v>15415</v>
      </c>
      <c r="E1247" s="301">
        <v>3168</v>
      </c>
      <c r="F1247" s="303">
        <v>43021</v>
      </c>
      <c r="G1247" s="301">
        <v>3168</v>
      </c>
      <c r="H1247" s="301">
        <f>Tabla15[[#This Row],[Importe]]-Tabla15[[#This Row],[Pagado]]</f>
        <v>0</v>
      </c>
      <c r="I1247" s="275" t="s">
        <v>15214</v>
      </c>
    </row>
    <row r="1248" spans="1:9" x14ac:dyDescent="0.25">
      <c r="A1248" s="420">
        <v>43018</v>
      </c>
      <c r="B1248" s="302" t="s">
        <v>32908</v>
      </c>
      <c r="C1248">
        <v>130811</v>
      </c>
      <c r="D1248" s="275" t="s">
        <v>15301</v>
      </c>
      <c r="E1248" s="301">
        <v>3072.8</v>
      </c>
      <c r="F1248" s="303">
        <v>43018</v>
      </c>
      <c r="G1248" s="301">
        <v>3072.8</v>
      </c>
      <c r="H1248" s="301">
        <f>Tabla15[[#This Row],[Importe]]-Tabla15[[#This Row],[Pagado]]</f>
        <v>0</v>
      </c>
      <c r="I1248" s="275" t="s">
        <v>15214</v>
      </c>
    </row>
    <row r="1249" spans="1:9" x14ac:dyDescent="0.25">
      <c r="A1249" s="420">
        <v>43018</v>
      </c>
      <c r="B1249" s="302" t="s">
        <v>32909</v>
      </c>
      <c r="C1249">
        <v>130812</v>
      </c>
      <c r="D1249" s="275" t="s">
        <v>15313</v>
      </c>
      <c r="E1249" s="301">
        <v>6022.4</v>
      </c>
      <c r="F1249" s="303">
        <v>43018</v>
      </c>
      <c r="G1249" s="301">
        <v>6022.4</v>
      </c>
      <c r="H1249" s="301">
        <f>Tabla15[[#This Row],[Importe]]-Tabla15[[#This Row],[Pagado]]</f>
        <v>0</v>
      </c>
      <c r="I1249" s="275" t="s">
        <v>15214</v>
      </c>
    </row>
    <row r="1250" spans="1:9" x14ac:dyDescent="0.25">
      <c r="A1250" s="420">
        <v>43018</v>
      </c>
      <c r="B1250" s="302" t="s">
        <v>32910</v>
      </c>
      <c r="C1250">
        <v>130813</v>
      </c>
      <c r="D1250" s="275" t="s">
        <v>15398</v>
      </c>
      <c r="E1250" s="301">
        <v>3636.6</v>
      </c>
      <c r="F1250" s="303">
        <v>43018</v>
      </c>
      <c r="G1250" s="301">
        <v>3636.6</v>
      </c>
      <c r="H1250" s="301">
        <f>Tabla15[[#This Row],[Importe]]-Tabla15[[#This Row],[Pagado]]</f>
        <v>0</v>
      </c>
      <c r="I1250" s="275" t="s">
        <v>15214</v>
      </c>
    </row>
    <row r="1251" spans="1:9" x14ac:dyDescent="0.25">
      <c r="A1251" s="420">
        <v>43018</v>
      </c>
      <c r="B1251" s="302" t="s">
        <v>32911</v>
      </c>
      <c r="C1251">
        <v>130814</v>
      </c>
      <c r="D1251" s="275" t="s">
        <v>15284</v>
      </c>
      <c r="E1251" s="301">
        <v>1708.7</v>
      </c>
      <c r="F1251" s="303">
        <v>43018</v>
      </c>
      <c r="G1251" s="301">
        <v>1708.7</v>
      </c>
      <c r="H1251" s="301">
        <f>Tabla15[[#This Row],[Importe]]-Tabla15[[#This Row],[Pagado]]</f>
        <v>0</v>
      </c>
      <c r="I1251" s="275" t="s">
        <v>15214</v>
      </c>
    </row>
    <row r="1252" spans="1:9" x14ac:dyDescent="0.25">
      <c r="A1252" s="420">
        <v>43018</v>
      </c>
      <c r="B1252" s="302" t="s">
        <v>32912</v>
      </c>
      <c r="C1252">
        <v>130815</v>
      </c>
      <c r="D1252" s="275" t="s">
        <v>15398</v>
      </c>
      <c r="E1252" s="301">
        <v>70</v>
      </c>
      <c r="F1252" s="303">
        <v>43018</v>
      </c>
      <c r="G1252" s="301">
        <v>70</v>
      </c>
      <c r="H1252" s="301">
        <f>Tabla15[[#This Row],[Importe]]-Tabla15[[#This Row],[Pagado]]</f>
        <v>0</v>
      </c>
      <c r="I1252" s="275" t="s">
        <v>15214</v>
      </c>
    </row>
    <row r="1253" spans="1:9" x14ac:dyDescent="0.25">
      <c r="A1253" s="420">
        <v>43018</v>
      </c>
      <c r="B1253" s="302" t="s">
        <v>32913</v>
      </c>
      <c r="C1253">
        <v>130816</v>
      </c>
      <c r="D1253" s="275" t="s">
        <v>15276</v>
      </c>
      <c r="E1253" s="301">
        <v>1760</v>
      </c>
      <c r="F1253" s="303">
        <v>43018</v>
      </c>
      <c r="G1253" s="301">
        <v>1760</v>
      </c>
      <c r="H1253" s="301">
        <f>Tabla15[[#This Row],[Importe]]-Tabla15[[#This Row],[Pagado]]</f>
        <v>0</v>
      </c>
      <c r="I1253" s="275" t="s">
        <v>15214</v>
      </c>
    </row>
    <row r="1254" spans="1:9" x14ac:dyDescent="0.25">
      <c r="A1254" s="420">
        <v>43018</v>
      </c>
      <c r="B1254" s="302" t="s">
        <v>32914</v>
      </c>
      <c r="C1254">
        <v>130817</v>
      </c>
      <c r="D1254" s="275" t="s">
        <v>15987</v>
      </c>
      <c r="E1254" s="301">
        <v>620.4</v>
      </c>
      <c r="F1254" s="303">
        <v>43018</v>
      </c>
      <c r="G1254" s="301">
        <v>620.4</v>
      </c>
      <c r="H1254" s="301">
        <f>Tabla15[[#This Row],[Importe]]-Tabla15[[#This Row],[Pagado]]</f>
        <v>0</v>
      </c>
      <c r="I1254" s="275" t="s">
        <v>15214</v>
      </c>
    </row>
    <row r="1255" spans="1:9" x14ac:dyDescent="0.25">
      <c r="A1255" s="420">
        <v>43018</v>
      </c>
      <c r="B1255" s="302" t="s">
        <v>32915</v>
      </c>
      <c r="C1255">
        <v>130818</v>
      </c>
      <c r="D1255" s="275" t="s">
        <v>15716</v>
      </c>
      <c r="E1255" s="301">
        <v>6312.2</v>
      </c>
      <c r="F1255" s="303">
        <v>43018</v>
      </c>
      <c r="G1255" s="301">
        <v>6312.2</v>
      </c>
      <c r="H1255" s="301">
        <f>Tabla15[[#This Row],[Importe]]-Tabla15[[#This Row],[Pagado]]</f>
        <v>0</v>
      </c>
      <c r="I1255" s="275" t="s">
        <v>15214</v>
      </c>
    </row>
    <row r="1256" spans="1:9" x14ac:dyDescent="0.25">
      <c r="A1256" s="420">
        <v>43018</v>
      </c>
      <c r="B1256" s="302" t="s">
        <v>32916</v>
      </c>
      <c r="C1256">
        <v>130819</v>
      </c>
      <c r="D1256" s="275" t="s">
        <v>15903</v>
      </c>
      <c r="E1256" s="301">
        <v>30960</v>
      </c>
      <c r="F1256" s="303">
        <v>43018</v>
      </c>
      <c r="G1256" s="301">
        <v>30960</v>
      </c>
      <c r="H1256" s="301">
        <f>Tabla15[[#This Row],[Importe]]-Tabla15[[#This Row],[Pagado]]</f>
        <v>0</v>
      </c>
      <c r="I1256" s="275" t="s">
        <v>15214</v>
      </c>
    </row>
    <row r="1257" spans="1:9" x14ac:dyDescent="0.25">
      <c r="A1257" s="420">
        <v>43018</v>
      </c>
      <c r="B1257" s="302" t="s">
        <v>32917</v>
      </c>
      <c r="C1257">
        <v>130820</v>
      </c>
      <c r="D1257" s="275" t="s">
        <v>15365</v>
      </c>
      <c r="E1257" s="301">
        <v>364350</v>
      </c>
      <c r="F1257" s="303">
        <v>43022</v>
      </c>
      <c r="G1257" s="301">
        <v>364350</v>
      </c>
      <c r="H1257" s="301">
        <f>Tabla15[[#This Row],[Importe]]-Tabla15[[#This Row],[Pagado]]</f>
        <v>0</v>
      </c>
      <c r="I1257" s="275" t="s">
        <v>15214</v>
      </c>
    </row>
    <row r="1258" spans="1:9" x14ac:dyDescent="0.25">
      <c r="A1258" s="420">
        <v>43018</v>
      </c>
      <c r="B1258" s="302" t="s">
        <v>32918</v>
      </c>
      <c r="C1258">
        <v>130821</v>
      </c>
      <c r="D1258" s="275" t="s">
        <v>15433</v>
      </c>
      <c r="E1258" s="301">
        <v>962.1</v>
      </c>
      <c r="F1258" s="303">
        <v>43018</v>
      </c>
      <c r="G1258" s="301">
        <v>962.1</v>
      </c>
      <c r="H1258" s="301">
        <f>Tabla15[[#This Row],[Importe]]-Tabla15[[#This Row],[Pagado]]</f>
        <v>0</v>
      </c>
      <c r="I1258" s="275" t="s">
        <v>15214</v>
      </c>
    </row>
    <row r="1259" spans="1:9" x14ac:dyDescent="0.25">
      <c r="A1259" s="420">
        <v>43018</v>
      </c>
      <c r="B1259" s="302" t="s">
        <v>32919</v>
      </c>
      <c r="C1259">
        <v>130822</v>
      </c>
      <c r="D1259" s="275" t="s">
        <v>17462</v>
      </c>
      <c r="E1259" s="301">
        <v>2467.5</v>
      </c>
      <c r="F1259" s="303">
        <v>43018</v>
      </c>
      <c r="G1259" s="301">
        <v>2467.5</v>
      </c>
      <c r="H1259" s="301">
        <f>Tabla15[[#This Row],[Importe]]-Tabla15[[#This Row],[Pagado]]</f>
        <v>0</v>
      </c>
      <c r="I1259" s="275" t="s">
        <v>15214</v>
      </c>
    </row>
    <row r="1260" spans="1:9" x14ac:dyDescent="0.25">
      <c r="A1260" s="420">
        <v>43018</v>
      </c>
      <c r="B1260" s="302" t="s">
        <v>32920</v>
      </c>
      <c r="C1260">
        <v>130823</v>
      </c>
      <c r="D1260" s="275" t="s">
        <v>15566</v>
      </c>
      <c r="E1260" s="301">
        <v>3964.4</v>
      </c>
      <c r="F1260" s="303">
        <v>43018</v>
      </c>
      <c r="G1260" s="301">
        <v>3964.4</v>
      </c>
      <c r="H1260" s="301">
        <f>Tabla15[[#This Row],[Importe]]-Tabla15[[#This Row],[Pagado]]</f>
        <v>0</v>
      </c>
      <c r="I1260" s="275" t="s">
        <v>15214</v>
      </c>
    </row>
    <row r="1261" spans="1:9" x14ac:dyDescent="0.25">
      <c r="A1261" s="420">
        <v>43018</v>
      </c>
      <c r="B1261" s="302" t="s">
        <v>32921</v>
      </c>
      <c r="C1261">
        <v>130824</v>
      </c>
      <c r="D1261" s="275" t="s">
        <v>15315</v>
      </c>
      <c r="E1261" s="301">
        <v>365.8</v>
      </c>
      <c r="F1261" s="303">
        <v>43018</v>
      </c>
      <c r="G1261" s="301">
        <v>365.8</v>
      </c>
      <c r="H1261" s="301">
        <f>Tabla15[[#This Row],[Importe]]-Tabla15[[#This Row],[Pagado]]</f>
        <v>0</v>
      </c>
      <c r="I1261" s="275" t="s">
        <v>15214</v>
      </c>
    </row>
    <row r="1262" spans="1:9" x14ac:dyDescent="0.25">
      <c r="A1262" s="420">
        <v>43018</v>
      </c>
      <c r="B1262" s="302" t="s">
        <v>32922</v>
      </c>
      <c r="C1262">
        <v>130825</v>
      </c>
      <c r="D1262" s="275" t="s">
        <v>15423</v>
      </c>
      <c r="E1262" s="301">
        <v>3127.2</v>
      </c>
      <c r="F1262" s="303">
        <v>43018</v>
      </c>
      <c r="G1262" s="301">
        <v>3127.2</v>
      </c>
      <c r="H1262" s="301">
        <f>Tabla15[[#This Row],[Importe]]-Tabla15[[#This Row],[Pagado]]</f>
        <v>0</v>
      </c>
      <c r="I1262" s="275" t="s">
        <v>15214</v>
      </c>
    </row>
    <row r="1263" spans="1:9" x14ac:dyDescent="0.25">
      <c r="A1263" s="420">
        <v>43018</v>
      </c>
      <c r="B1263" s="302" t="s">
        <v>32923</v>
      </c>
      <c r="C1263">
        <v>130826</v>
      </c>
      <c r="D1263" s="275" t="s">
        <v>15263</v>
      </c>
      <c r="E1263" s="301">
        <v>692.8</v>
      </c>
      <c r="F1263" s="303">
        <v>43018</v>
      </c>
      <c r="G1263" s="301">
        <v>692.8</v>
      </c>
      <c r="H1263" s="301">
        <f>Tabla15[[#This Row],[Importe]]-Tabla15[[#This Row],[Pagado]]</f>
        <v>0</v>
      </c>
      <c r="I1263" s="275" t="s">
        <v>15214</v>
      </c>
    </row>
    <row r="1264" spans="1:9" x14ac:dyDescent="0.25">
      <c r="A1264" s="420">
        <v>43018</v>
      </c>
      <c r="B1264" s="302" t="s">
        <v>32924</v>
      </c>
      <c r="C1264">
        <v>130827</v>
      </c>
      <c r="D1264" s="275" t="s">
        <v>15628</v>
      </c>
      <c r="E1264" s="301">
        <v>16330.82</v>
      </c>
      <c r="F1264" s="303">
        <v>43024</v>
      </c>
      <c r="G1264" s="301">
        <v>16330.82</v>
      </c>
      <c r="H1264" s="301">
        <f>Tabla15[[#This Row],[Importe]]-Tabla15[[#This Row],[Pagado]]</f>
        <v>0</v>
      </c>
      <c r="I1264" s="275" t="s">
        <v>15214</v>
      </c>
    </row>
    <row r="1265" spans="1:9" ht="15.75" x14ac:dyDescent="0.25">
      <c r="A1265" s="420">
        <v>43018</v>
      </c>
      <c r="B1265" s="302" t="s">
        <v>32925</v>
      </c>
      <c r="C1265">
        <v>130828</v>
      </c>
      <c r="D1265" s="248" t="s">
        <v>95</v>
      </c>
      <c r="E1265" s="301">
        <v>0</v>
      </c>
      <c r="F1265" s="243" t="s">
        <v>95</v>
      </c>
      <c r="G1265" s="301">
        <v>0</v>
      </c>
      <c r="H1265" s="301">
        <f>Tabla15[[#This Row],[Importe]]-Tabla15[[#This Row],[Pagado]]</f>
        <v>0</v>
      </c>
      <c r="I1265" s="275" t="s">
        <v>95</v>
      </c>
    </row>
    <row r="1266" spans="1:9" x14ac:dyDescent="0.25">
      <c r="A1266" s="420">
        <v>43018</v>
      </c>
      <c r="B1266" s="302" t="s">
        <v>32926</v>
      </c>
      <c r="C1266">
        <v>130829</v>
      </c>
      <c r="D1266" s="275" t="s">
        <v>17462</v>
      </c>
      <c r="E1266" s="301">
        <v>2646.1</v>
      </c>
      <c r="F1266" s="303">
        <v>43018</v>
      </c>
      <c r="G1266" s="301">
        <v>2646.1</v>
      </c>
      <c r="H1266" s="301">
        <f>Tabla15[[#This Row],[Importe]]-Tabla15[[#This Row],[Pagado]]</f>
        <v>0</v>
      </c>
      <c r="I1266" s="275" t="s">
        <v>15214</v>
      </c>
    </row>
    <row r="1267" spans="1:9" x14ac:dyDescent="0.25">
      <c r="A1267" s="420">
        <v>43018</v>
      </c>
      <c r="B1267" s="302" t="s">
        <v>32927</v>
      </c>
      <c r="C1267">
        <v>130830</v>
      </c>
      <c r="D1267" s="275" t="s">
        <v>15553</v>
      </c>
      <c r="E1267" s="301">
        <v>28272.62</v>
      </c>
      <c r="F1267" s="303">
        <v>43018</v>
      </c>
      <c r="G1267" s="301">
        <v>28272.62</v>
      </c>
      <c r="H1267" s="301">
        <f>Tabla15[[#This Row],[Importe]]-Tabla15[[#This Row],[Pagado]]</f>
        <v>0</v>
      </c>
      <c r="I1267" s="275" t="s">
        <v>15214</v>
      </c>
    </row>
    <row r="1268" spans="1:9" x14ac:dyDescent="0.25">
      <c r="A1268" s="420">
        <v>43018</v>
      </c>
      <c r="B1268" s="302" t="s">
        <v>32928</v>
      </c>
      <c r="C1268">
        <v>130831</v>
      </c>
      <c r="D1268" s="275" t="s">
        <v>15315</v>
      </c>
      <c r="E1268" s="301">
        <v>372.9</v>
      </c>
      <c r="F1268" s="303">
        <v>43019</v>
      </c>
      <c r="G1268" s="301">
        <v>372.9</v>
      </c>
      <c r="H1268" s="301">
        <f>Tabla15[[#This Row],[Importe]]-Tabla15[[#This Row],[Pagado]]</f>
        <v>0</v>
      </c>
      <c r="I1268" s="275" t="s">
        <v>15214</v>
      </c>
    </row>
    <row r="1269" spans="1:9" x14ac:dyDescent="0.25">
      <c r="A1269" s="420">
        <v>43018</v>
      </c>
      <c r="B1269" s="302" t="s">
        <v>32929</v>
      </c>
      <c r="C1269">
        <v>130832</v>
      </c>
      <c r="D1269" s="275" t="s">
        <v>15541</v>
      </c>
      <c r="E1269" s="301">
        <v>860</v>
      </c>
      <c r="F1269" s="303">
        <v>43019</v>
      </c>
      <c r="G1269" s="301">
        <v>860</v>
      </c>
      <c r="H1269" s="301">
        <f>Tabla15[[#This Row],[Importe]]-Tabla15[[#This Row],[Pagado]]</f>
        <v>0</v>
      </c>
      <c r="I1269" s="275" t="s">
        <v>15214</v>
      </c>
    </row>
    <row r="1270" spans="1:9" x14ac:dyDescent="0.25">
      <c r="A1270" s="420">
        <v>43018</v>
      </c>
      <c r="B1270" s="302" t="s">
        <v>32930</v>
      </c>
      <c r="C1270">
        <v>130833</v>
      </c>
      <c r="D1270" s="275" t="s">
        <v>15284</v>
      </c>
      <c r="E1270" s="301">
        <v>864.8</v>
      </c>
      <c r="F1270" s="303">
        <v>43018</v>
      </c>
      <c r="G1270" s="301">
        <v>864.8</v>
      </c>
      <c r="H1270" s="301">
        <f>Tabla15[[#This Row],[Importe]]-Tabla15[[#This Row],[Pagado]]</f>
        <v>0</v>
      </c>
      <c r="I1270" s="275" t="s">
        <v>15214</v>
      </c>
    </row>
    <row r="1271" spans="1:9" x14ac:dyDescent="0.25">
      <c r="A1271" s="420">
        <v>43018</v>
      </c>
      <c r="B1271" s="302" t="s">
        <v>32931</v>
      </c>
      <c r="C1271">
        <v>130834</v>
      </c>
      <c r="D1271" s="275" t="s">
        <v>15284</v>
      </c>
      <c r="E1271" s="301">
        <v>257.60000000000002</v>
      </c>
      <c r="F1271" s="303">
        <v>43018</v>
      </c>
      <c r="G1271" s="301">
        <v>257.60000000000002</v>
      </c>
      <c r="H1271" s="301">
        <f>Tabla15[[#This Row],[Importe]]-Tabla15[[#This Row],[Pagado]]</f>
        <v>0</v>
      </c>
      <c r="I1271" s="275" t="s">
        <v>15214</v>
      </c>
    </row>
    <row r="1272" spans="1:9" x14ac:dyDescent="0.25">
      <c r="A1272" s="420">
        <v>43018</v>
      </c>
      <c r="B1272" s="302" t="s">
        <v>32932</v>
      </c>
      <c r="C1272">
        <v>130835</v>
      </c>
      <c r="D1272" s="275" t="s">
        <v>15246</v>
      </c>
      <c r="E1272" s="301">
        <v>254142.12</v>
      </c>
      <c r="F1272" s="303">
        <v>43021</v>
      </c>
      <c r="G1272" s="301">
        <v>254142.12</v>
      </c>
      <c r="H1272" s="301">
        <f>Tabla15[[#This Row],[Importe]]-Tabla15[[#This Row],[Pagado]]</f>
        <v>0</v>
      </c>
      <c r="I1272" s="275" t="s">
        <v>15214</v>
      </c>
    </row>
    <row r="1273" spans="1:9" x14ac:dyDescent="0.25">
      <c r="A1273" s="420">
        <v>43018</v>
      </c>
      <c r="B1273" s="302" t="s">
        <v>32933</v>
      </c>
      <c r="C1273">
        <v>130836</v>
      </c>
      <c r="D1273" s="275" t="s">
        <v>15644</v>
      </c>
      <c r="E1273" s="301">
        <v>2456.4</v>
      </c>
      <c r="F1273" s="303">
        <v>43019</v>
      </c>
      <c r="G1273" s="301">
        <v>2456.4</v>
      </c>
      <c r="H1273" s="301">
        <f>Tabla15[[#This Row],[Importe]]-Tabla15[[#This Row],[Pagado]]</f>
        <v>0</v>
      </c>
      <c r="I1273" s="275" t="s">
        <v>15214</v>
      </c>
    </row>
    <row r="1274" spans="1:9" x14ac:dyDescent="0.25">
      <c r="A1274" s="420">
        <v>43018</v>
      </c>
      <c r="B1274" s="302" t="s">
        <v>32934</v>
      </c>
      <c r="C1274">
        <v>130837</v>
      </c>
      <c r="D1274" s="275" t="s">
        <v>15246</v>
      </c>
      <c r="E1274" s="301">
        <v>27503.599999999999</v>
      </c>
      <c r="F1274" s="303">
        <v>43021</v>
      </c>
      <c r="G1274" s="301">
        <v>27503.599999999999</v>
      </c>
      <c r="H1274" s="301">
        <f>Tabla15[[#This Row],[Importe]]-Tabla15[[#This Row],[Pagado]]</f>
        <v>0</v>
      </c>
      <c r="I1274" s="275" t="s">
        <v>15214</v>
      </c>
    </row>
    <row r="1275" spans="1:9" x14ac:dyDescent="0.25">
      <c r="A1275" s="420">
        <v>43018</v>
      </c>
      <c r="B1275" s="302" t="s">
        <v>32935</v>
      </c>
      <c r="C1275">
        <v>130838</v>
      </c>
      <c r="D1275" s="275" t="s">
        <v>15444</v>
      </c>
      <c r="E1275" s="301">
        <v>2441</v>
      </c>
      <c r="F1275" s="303">
        <v>43019</v>
      </c>
      <c r="G1275" s="301">
        <v>2441</v>
      </c>
      <c r="H1275" s="301">
        <f>Tabla15[[#This Row],[Importe]]-Tabla15[[#This Row],[Pagado]]</f>
        <v>0</v>
      </c>
      <c r="I1275" s="275" t="s">
        <v>15214</v>
      </c>
    </row>
    <row r="1276" spans="1:9" x14ac:dyDescent="0.25">
      <c r="A1276" s="420">
        <v>43018</v>
      </c>
      <c r="B1276" s="302" t="s">
        <v>32936</v>
      </c>
      <c r="C1276">
        <v>130839</v>
      </c>
      <c r="D1276" s="275" t="s">
        <v>19699</v>
      </c>
      <c r="E1276" s="301">
        <v>1320</v>
      </c>
      <c r="F1276" s="303">
        <v>43018</v>
      </c>
      <c r="G1276" s="301">
        <v>1320</v>
      </c>
      <c r="H1276" s="301">
        <f>Tabla15[[#This Row],[Importe]]-Tabla15[[#This Row],[Pagado]]</f>
        <v>0</v>
      </c>
      <c r="I1276" s="275" t="s">
        <v>15214</v>
      </c>
    </row>
    <row r="1277" spans="1:9" x14ac:dyDescent="0.25">
      <c r="A1277" s="420">
        <v>43018</v>
      </c>
      <c r="B1277" s="302" t="s">
        <v>32937</v>
      </c>
      <c r="C1277">
        <v>130840</v>
      </c>
      <c r="D1277" s="275" t="s">
        <v>15435</v>
      </c>
      <c r="E1277" s="301">
        <v>7650</v>
      </c>
      <c r="F1277" s="303">
        <v>43018</v>
      </c>
      <c r="G1277" s="301">
        <v>7650</v>
      </c>
      <c r="H1277" s="301">
        <f>Tabla15[[#This Row],[Importe]]-Tabla15[[#This Row],[Pagado]]</f>
        <v>0</v>
      </c>
      <c r="I1277" s="275" t="s">
        <v>15214</v>
      </c>
    </row>
    <row r="1278" spans="1:9" x14ac:dyDescent="0.25">
      <c r="A1278" s="420">
        <v>43018</v>
      </c>
      <c r="B1278" s="302" t="s">
        <v>32938</v>
      </c>
      <c r="C1278">
        <v>130841</v>
      </c>
      <c r="D1278" s="275" t="s">
        <v>15315</v>
      </c>
      <c r="E1278" s="301">
        <v>3546</v>
      </c>
      <c r="F1278" s="303">
        <v>43018</v>
      </c>
      <c r="G1278" s="301">
        <v>3546</v>
      </c>
      <c r="H1278" s="301">
        <f>Tabla15[[#This Row],[Importe]]-Tabla15[[#This Row],[Pagado]]</f>
        <v>0</v>
      </c>
      <c r="I1278" s="275" t="s">
        <v>15214</v>
      </c>
    </row>
    <row r="1279" spans="1:9" x14ac:dyDescent="0.25">
      <c r="A1279" s="420">
        <v>43018</v>
      </c>
      <c r="B1279" s="302" t="s">
        <v>32939</v>
      </c>
      <c r="C1279">
        <v>130842</v>
      </c>
      <c r="D1279" s="275" t="s">
        <v>15365</v>
      </c>
      <c r="E1279" s="301">
        <v>229991</v>
      </c>
      <c r="F1279" s="303">
        <v>43022</v>
      </c>
      <c r="G1279" s="301">
        <v>229991</v>
      </c>
      <c r="H1279" s="301">
        <f>Tabla15[[#This Row],[Importe]]-Tabla15[[#This Row],[Pagado]]</f>
        <v>0</v>
      </c>
      <c r="I1279" s="275" t="s">
        <v>15214</v>
      </c>
    </row>
    <row r="1280" spans="1:9" x14ac:dyDescent="0.25">
      <c r="A1280" s="420">
        <v>43018</v>
      </c>
      <c r="B1280" s="302" t="s">
        <v>32940</v>
      </c>
      <c r="C1280">
        <v>130843</v>
      </c>
      <c r="D1280" s="275" t="s">
        <v>15284</v>
      </c>
      <c r="E1280" s="301">
        <v>841.5</v>
      </c>
      <c r="F1280" s="303">
        <v>43018</v>
      </c>
      <c r="G1280" s="301">
        <v>841.5</v>
      </c>
      <c r="H1280" s="301">
        <f>Tabla15[[#This Row],[Importe]]-Tabla15[[#This Row],[Pagado]]</f>
        <v>0</v>
      </c>
      <c r="I1280" s="275" t="s">
        <v>15214</v>
      </c>
    </row>
    <row r="1281" spans="1:9" x14ac:dyDescent="0.25">
      <c r="A1281" s="420">
        <v>43019</v>
      </c>
      <c r="B1281" s="302" t="s">
        <v>32941</v>
      </c>
      <c r="C1281">
        <v>130844</v>
      </c>
      <c r="D1281" s="275" t="s">
        <v>21386</v>
      </c>
      <c r="E1281" s="301">
        <v>9771.7000000000007</v>
      </c>
      <c r="F1281" s="303">
        <v>43020</v>
      </c>
      <c r="G1281" s="301">
        <v>9771.7000000000007</v>
      </c>
      <c r="H1281" s="301">
        <f>Tabla15[[#This Row],[Importe]]-Tabla15[[#This Row],[Pagado]]</f>
        <v>0</v>
      </c>
      <c r="I1281" s="275" t="s">
        <v>15214</v>
      </c>
    </row>
    <row r="1282" spans="1:9" x14ac:dyDescent="0.25">
      <c r="A1282" s="420">
        <v>43019</v>
      </c>
      <c r="B1282" s="302" t="s">
        <v>32942</v>
      </c>
      <c r="C1282">
        <v>130845</v>
      </c>
      <c r="D1282" s="275" t="s">
        <v>15213</v>
      </c>
      <c r="E1282" s="301">
        <v>24346</v>
      </c>
      <c r="F1282" s="303">
        <v>43020</v>
      </c>
      <c r="G1282" s="301">
        <v>24346</v>
      </c>
      <c r="H1282" s="301">
        <f>Tabla15[[#This Row],[Importe]]-Tabla15[[#This Row],[Pagado]]</f>
        <v>0</v>
      </c>
      <c r="I1282" s="275" t="s">
        <v>15214</v>
      </c>
    </row>
    <row r="1283" spans="1:9" x14ac:dyDescent="0.25">
      <c r="A1283" s="420">
        <v>43019</v>
      </c>
      <c r="B1283" s="302" t="s">
        <v>32943</v>
      </c>
      <c r="C1283">
        <v>130846</v>
      </c>
      <c r="D1283" s="275" t="s">
        <v>15242</v>
      </c>
      <c r="E1283" s="301">
        <v>4592</v>
      </c>
      <c r="F1283" s="303">
        <v>43020</v>
      </c>
      <c r="G1283" s="301">
        <v>4592</v>
      </c>
      <c r="H1283" s="301">
        <f>Tabla15[[#This Row],[Importe]]-Tabla15[[#This Row],[Pagado]]</f>
        <v>0</v>
      </c>
      <c r="I1283" s="275" t="s">
        <v>15214</v>
      </c>
    </row>
    <row r="1284" spans="1:9" x14ac:dyDescent="0.25">
      <c r="A1284" s="420">
        <v>43019</v>
      </c>
      <c r="B1284" s="302" t="s">
        <v>32944</v>
      </c>
      <c r="C1284">
        <v>130847</v>
      </c>
      <c r="D1284" s="275" t="s">
        <v>15216</v>
      </c>
      <c r="E1284" s="301">
        <v>1629.6</v>
      </c>
      <c r="F1284" s="303">
        <v>43019</v>
      </c>
      <c r="G1284" s="301">
        <v>1629.6</v>
      </c>
      <c r="H1284" s="301">
        <f>Tabla15[[#This Row],[Importe]]-Tabla15[[#This Row],[Pagado]]</f>
        <v>0</v>
      </c>
      <c r="I1284" s="275" t="s">
        <v>15214</v>
      </c>
    </row>
    <row r="1285" spans="1:9" ht="30" x14ac:dyDescent="0.25">
      <c r="A1285" s="420">
        <v>43019</v>
      </c>
      <c r="B1285" s="302" t="s">
        <v>32945</v>
      </c>
      <c r="C1285">
        <v>130848</v>
      </c>
      <c r="D1285" s="275" t="s">
        <v>15230</v>
      </c>
      <c r="E1285" s="301">
        <v>9018.4</v>
      </c>
      <c r="F1285" s="303" t="s">
        <v>32946</v>
      </c>
      <c r="G1285" s="305">
        <f>5835+3183.4</f>
        <v>9018.4</v>
      </c>
      <c r="H1285" s="305">
        <f>Tabla15[[#This Row],[Importe]]-Tabla15[[#This Row],[Pagado]]</f>
        <v>0</v>
      </c>
      <c r="I1285" s="275" t="s">
        <v>15214</v>
      </c>
    </row>
    <row r="1286" spans="1:9" x14ac:dyDescent="0.25">
      <c r="A1286" s="420">
        <v>43019</v>
      </c>
      <c r="B1286" s="302" t="s">
        <v>32947</v>
      </c>
      <c r="C1286">
        <v>130849</v>
      </c>
      <c r="D1286" s="275" t="s">
        <v>15234</v>
      </c>
      <c r="E1286" s="301">
        <v>2908.8</v>
      </c>
      <c r="F1286" s="303">
        <v>43022</v>
      </c>
      <c r="G1286" s="301">
        <v>2908.8</v>
      </c>
      <c r="H1286" s="301">
        <f>Tabla15[[#This Row],[Importe]]-Tabla15[[#This Row],[Pagado]]</f>
        <v>0</v>
      </c>
      <c r="I1286" s="275" t="s">
        <v>15214</v>
      </c>
    </row>
    <row r="1287" spans="1:9" x14ac:dyDescent="0.25">
      <c r="A1287" s="420">
        <v>43019</v>
      </c>
      <c r="B1287" s="302" t="s">
        <v>32948</v>
      </c>
      <c r="C1287">
        <v>130850</v>
      </c>
      <c r="D1287" s="275" t="s">
        <v>15232</v>
      </c>
      <c r="E1287" s="301">
        <v>3000.7</v>
      </c>
      <c r="F1287" s="303">
        <v>43027</v>
      </c>
      <c r="G1287" s="301">
        <v>3000.7</v>
      </c>
      <c r="H1287" s="301">
        <f>Tabla15[[#This Row],[Importe]]-Tabla15[[#This Row],[Pagado]]</f>
        <v>0</v>
      </c>
      <c r="I1287" s="275" t="s">
        <v>15214</v>
      </c>
    </row>
    <row r="1288" spans="1:9" x14ac:dyDescent="0.25">
      <c r="A1288" s="420">
        <v>43019</v>
      </c>
      <c r="B1288" s="302" t="s">
        <v>32949</v>
      </c>
      <c r="C1288">
        <v>130851</v>
      </c>
      <c r="D1288" s="275" t="s">
        <v>15246</v>
      </c>
      <c r="E1288" s="301">
        <v>100667</v>
      </c>
      <c r="F1288" s="303">
        <v>43025</v>
      </c>
      <c r="G1288" s="301">
        <v>100667</v>
      </c>
      <c r="H1288" s="301">
        <f>Tabla15[[#This Row],[Importe]]-Tabla15[[#This Row],[Pagado]]</f>
        <v>0</v>
      </c>
      <c r="I1288" s="275" t="s">
        <v>15214</v>
      </c>
    </row>
    <row r="1289" spans="1:9" x14ac:dyDescent="0.25">
      <c r="A1289" s="420">
        <v>43019</v>
      </c>
      <c r="B1289" s="302" t="s">
        <v>32950</v>
      </c>
      <c r="C1289">
        <v>130852</v>
      </c>
      <c r="D1289" s="275" t="s">
        <v>15668</v>
      </c>
      <c r="E1289" s="301">
        <v>10346.4</v>
      </c>
      <c r="F1289" s="303">
        <v>43021</v>
      </c>
      <c r="G1289" s="301">
        <v>10346.4</v>
      </c>
      <c r="H1289" s="301">
        <f>Tabla15[[#This Row],[Importe]]-Tabla15[[#This Row],[Pagado]]</f>
        <v>0</v>
      </c>
      <c r="I1289" s="275" t="s">
        <v>15214</v>
      </c>
    </row>
    <row r="1290" spans="1:9" x14ac:dyDescent="0.25">
      <c r="A1290" s="420">
        <v>43019</v>
      </c>
      <c r="B1290" s="302" t="s">
        <v>32951</v>
      </c>
      <c r="C1290">
        <v>130853</v>
      </c>
      <c r="D1290" s="275" t="s">
        <v>19780</v>
      </c>
      <c r="E1290" s="301">
        <v>3473.1</v>
      </c>
      <c r="F1290" s="303">
        <v>43021</v>
      </c>
      <c r="G1290" s="301">
        <v>3473.1</v>
      </c>
      <c r="H1290" s="301">
        <f>Tabla15[[#This Row],[Importe]]-Tabla15[[#This Row],[Pagado]]</f>
        <v>0</v>
      </c>
      <c r="I1290" s="275" t="s">
        <v>15214</v>
      </c>
    </row>
    <row r="1291" spans="1:9" x14ac:dyDescent="0.25">
      <c r="A1291" s="420">
        <v>43019</v>
      </c>
      <c r="B1291" s="302" t="s">
        <v>32952</v>
      </c>
      <c r="C1291">
        <v>130854</v>
      </c>
      <c r="D1291" s="275" t="s">
        <v>15487</v>
      </c>
      <c r="E1291" s="301">
        <v>6099.6</v>
      </c>
      <c r="F1291" s="303">
        <v>43019</v>
      </c>
      <c r="G1291" s="301">
        <v>6099.6</v>
      </c>
      <c r="H1291" s="301">
        <f>Tabla15[[#This Row],[Importe]]-Tabla15[[#This Row],[Pagado]]</f>
        <v>0</v>
      </c>
      <c r="I1291" s="275" t="s">
        <v>15214</v>
      </c>
    </row>
    <row r="1292" spans="1:9" x14ac:dyDescent="0.25">
      <c r="A1292" s="420">
        <v>43019</v>
      </c>
      <c r="B1292" s="302" t="s">
        <v>32953</v>
      </c>
      <c r="C1292">
        <v>130855</v>
      </c>
      <c r="D1292" s="275" t="s">
        <v>30057</v>
      </c>
      <c r="E1292" s="301">
        <v>3556.8</v>
      </c>
      <c r="F1292" s="303">
        <v>43020</v>
      </c>
      <c r="G1292" s="301">
        <v>3556.8</v>
      </c>
      <c r="H1292" s="301">
        <f>Tabla15[[#This Row],[Importe]]-Tabla15[[#This Row],[Pagado]]</f>
        <v>0</v>
      </c>
      <c r="I1292" s="275" t="s">
        <v>15214</v>
      </c>
    </row>
    <row r="1293" spans="1:9" x14ac:dyDescent="0.25">
      <c r="A1293" s="420">
        <v>43019</v>
      </c>
      <c r="B1293" s="302" t="s">
        <v>32954</v>
      </c>
      <c r="C1293">
        <v>130856</v>
      </c>
      <c r="D1293" s="275" t="s">
        <v>15236</v>
      </c>
      <c r="E1293" s="301">
        <v>3539.7</v>
      </c>
      <c r="F1293" s="303">
        <v>43021</v>
      </c>
      <c r="G1293" s="301">
        <v>3539.7</v>
      </c>
      <c r="H1293" s="301">
        <f>Tabla15[[#This Row],[Importe]]-Tabla15[[#This Row],[Pagado]]</f>
        <v>0</v>
      </c>
      <c r="I1293" s="275" t="s">
        <v>15214</v>
      </c>
    </row>
    <row r="1294" spans="1:9" x14ac:dyDescent="0.25">
      <c r="A1294" s="420">
        <v>43019</v>
      </c>
      <c r="B1294" s="302" t="s">
        <v>32955</v>
      </c>
      <c r="C1294">
        <v>130857</v>
      </c>
      <c r="D1294" s="275" t="s">
        <v>15258</v>
      </c>
      <c r="E1294" s="301">
        <v>6645.6</v>
      </c>
      <c r="F1294" s="303">
        <v>43021</v>
      </c>
      <c r="G1294" s="301">
        <v>6645.6</v>
      </c>
      <c r="H1294" s="301">
        <f>Tabla15[[#This Row],[Importe]]-Tabla15[[#This Row],[Pagado]]</f>
        <v>0</v>
      </c>
      <c r="I1294" s="275" t="s">
        <v>15214</v>
      </c>
    </row>
    <row r="1295" spans="1:9" x14ac:dyDescent="0.25">
      <c r="A1295" s="420">
        <v>43019</v>
      </c>
      <c r="B1295" s="302" t="s">
        <v>32956</v>
      </c>
      <c r="C1295">
        <v>130858</v>
      </c>
      <c r="D1295" s="275" t="s">
        <v>15352</v>
      </c>
      <c r="E1295" s="301">
        <v>515.1</v>
      </c>
      <c r="F1295" s="303">
        <v>43019</v>
      </c>
      <c r="G1295" s="301">
        <v>515.1</v>
      </c>
      <c r="H1295" s="301">
        <f>Tabla15[[#This Row],[Importe]]-Tabla15[[#This Row],[Pagado]]</f>
        <v>0</v>
      </c>
      <c r="I1295" s="275" t="s">
        <v>15214</v>
      </c>
    </row>
    <row r="1296" spans="1:9" x14ac:dyDescent="0.25">
      <c r="A1296" s="420">
        <v>43019</v>
      </c>
      <c r="B1296" s="302" t="s">
        <v>32957</v>
      </c>
      <c r="C1296">
        <v>130859</v>
      </c>
      <c r="D1296" s="275" t="s">
        <v>5575</v>
      </c>
      <c r="E1296" s="301">
        <v>4163.8</v>
      </c>
      <c r="F1296" s="303">
        <v>43021</v>
      </c>
      <c r="G1296" s="301">
        <v>4163.8</v>
      </c>
      <c r="H1296" s="301">
        <f>Tabla15[[#This Row],[Importe]]-Tabla15[[#This Row],[Pagado]]</f>
        <v>0</v>
      </c>
      <c r="I1296" s="275" t="s">
        <v>15214</v>
      </c>
    </row>
    <row r="1297" spans="1:9" x14ac:dyDescent="0.25">
      <c r="A1297" s="420">
        <v>43019</v>
      </c>
      <c r="B1297" s="302" t="s">
        <v>32958</v>
      </c>
      <c r="C1297">
        <v>130860</v>
      </c>
      <c r="D1297" s="275" t="s">
        <v>15371</v>
      </c>
      <c r="E1297" s="301">
        <v>3838.8</v>
      </c>
      <c r="F1297" s="303">
        <v>43019</v>
      </c>
      <c r="G1297" s="301">
        <v>3838.8</v>
      </c>
      <c r="H1297" s="301">
        <f>Tabla15[[#This Row],[Importe]]-Tabla15[[#This Row],[Pagado]]</f>
        <v>0</v>
      </c>
      <c r="I1297" s="275" t="s">
        <v>15214</v>
      </c>
    </row>
    <row r="1298" spans="1:9" x14ac:dyDescent="0.25">
      <c r="A1298" s="420">
        <v>43019</v>
      </c>
      <c r="B1298" s="302" t="s">
        <v>32959</v>
      </c>
      <c r="C1298">
        <v>130861</v>
      </c>
      <c r="D1298" s="275" t="s">
        <v>15256</v>
      </c>
      <c r="E1298" s="301">
        <v>2170.8000000000002</v>
      </c>
      <c r="F1298" s="303">
        <v>43024</v>
      </c>
      <c r="G1298" s="301">
        <v>2170.8000000000002</v>
      </c>
      <c r="H1298" s="301">
        <f>Tabla15[[#This Row],[Importe]]-Tabla15[[#This Row],[Pagado]]</f>
        <v>0</v>
      </c>
      <c r="I1298" s="275" t="s">
        <v>15214</v>
      </c>
    </row>
    <row r="1299" spans="1:9" x14ac:dyDescent="0.25">
      <c r="A1299" s="420">
        <v>43019</v>
      </c>
      <c r="B1299" s="302" t="s">
        <v>32960</v>
      </c>
      <c r="C1299">
        <v>130862</v>
      </c>
      <c r="D1299" s="275" t="s">
        <v>15272</v>
      </c>
      <c r="E1299" s="301">
        <v>15271.2</v>
      </c>
      <c r="F1299" s="303">
        <v>43019</v>
      </c>
      <c r="G1299" s="301">
        <v>15271.2</v>
      </c>
      <c r="H1299" s="301">
        <f>Tabla15[[#This Row],[Importe]]-Tabla15[[#This Row],[Pagado]]</f>
        <v>0</v>
      </c>
      <c r="I1299" s="275" t="s">
        <v>15214</v>
      </c>
    </row>
    <row r="1300" spans="1:9" x14ac:dyDescent="0.25">
      <c r="A1300" s="420">
        <v>43019</v>
      </c>
      <c r="B1300" s="302" t="s">
        <v>32961</v>
      </c>
      <c r="C1300">
        <v>130863</v>
      </c>
      <c r="D1300" s="275" t="s">
        <v>17462</v>
      </c>
      <c r="E1300" s="301">
        <v>5019.6000000000004</v>
      </c>
      <c r="F1300" s="303">
        <v>43019</v>
      </c>
      <c r="G1300" s="301">
        <v>5019.6000000000004</v>
      </c>
      <c r="H1300" s="301">
        <f>Tabla15[[#This Row],[Importe]]-Tabla15[[#This Row],[Pagado]]</f>
        <v>0</v>
      </c>
      <c r="I1300" s="275" t="s">
        <v>15214</v>
      </c>
    </row>
    <row r="1301" spans="1:9" x14ac:dyDescent="0.25">
      <c r="A1301" s="420">
        <v>43019</v>
      </c>
      <c r="B1301" s="302" t="s">
        <v>32962</v>
      </c>
      <c r="C1301">
        <v>130864</v>
      </c>
      <c r="D1301" s="275" t="s">
        <v>15442</v>
      </c>
      <c r="E1301" s="301">
        <v>20602.5</v>
      </c>
      <c r="F1301" s="303">
        <v>43024</v>
      </c>
      <c r="G1301" s="301">
        <v>20602.5</v>
      </c>
      <c r="H1301" s="301">
        <f>Tabla15[[#This Row],[Importe]]-Tabla15[[#This Row],[Pagado]]</f>
        <v>0</v>
      </c>
      <c r="I1301" s="275" t="s">
        <v>15214</v>
      </c>
    </row>
    <row r="1302" spans="1:9" ht="15.75" x14ac:dyDescent="0.25">
      <c r="A1302" s="420">
        <v>43019</v>
      </c>
      <c r="B1302" s="302" t="s">
        <v>32963</v>
      </c>
      <c r="C1302">
        <v>130865</v>
      </c>
      <c r="D1302" s="248" t="s">
        <v>95</v>
      </c>
      <c r="E1302" s="301">
        <v>0</v>
      </c>
      <c r="F1302" s="243" t="s">
        <v>95</v>
      </c>
      <c r="G1302" s="301">
        <v>0</v>
      </c>
      <c r="H1302" s="301">
        <f>Tabla15[[#This Row],[Importe]]-Tabla15[[#This Row],[Pagado]]</f>
        <v>0</v>
      </c>
      <c r="I1302" s="275" t="s">
        <v>95</v>
      </c>
    </row>
    <row r="1303" spans="1:9" x14ac:dyDescent="0.25">
      <c r="A1303" s="420">
        <v>43019</v>
      </c>
      <c r="B1303" s="302" t="s">
        <v>32964</v>
      </c>
      <c r="C1303">
        <v>130866</v>
      </c>
      <c r="D1303" s="275" t="s">
        <v>15263</v>
      </c>
      <c r="E1303" s="301">
        <v>2519.6</v>
      </c>
      <c r="F1303" s="303">
        <v>43019</v>
      </c>
      <c r="G1303" s="301">
        <v>2519.6</v>
      </c>
      <c r="H1303" s="301">
        <f>Tabla15[[#This Row],[Importe]]-Tabla15[[#This Row],[Pagado]]</f>
        <v>0</v>
      </c>
      <c r="I1303" s="275" t="s">
        <v>15214</v>
      </c>
    </row>
    <row r="1304" spans="1:9" x14ac:dyDescent="0.25">
      <c r="A1304" s="420">
        <v>43019</v>
      </c>
      <c r="B1304" s="302" t="s">
        <v>32965</v>
      </c>
      <c r="C1304">
        <v>130867</v>
      </c>
      <c r="D1304" s="275" t="s">
        <v>15562</v>
      </c>
      <c r="E1304" s="301">
        <v>3299.4</v>
      </c>
      <c r="F1304" s="303">
        <v>43019</v>
      </c>
      <c r="G1304" s="301">
        <v>3299.4</v>
      </c>
      <c r="H1304" s="301">
        <f>Tabla15[[#This Row],[Importe]]-Tabla15[[#This Row],[Pagado]]</f>
        <v>0</v>
      </c>
      <c r="I1304" s="275" t="s">
        <v>15214</v>
      </c>
    </row>
    <row r="1305" spans="1:9" x14ac:dyDescent="0.25">
      <c r="A1305" s="420">
        <v>43019</v>
      </c>
      <c r="B1305" s="302" t="s">
        <v>32966</v>
      </c>
      <c r="C1305">
        <v>130868</v>
      </c>
      <c r="D1305" s="275" t="s">
        <v>15250</v>
      </c>
      <c r="E1305" s="301">
        <v>31256.78</v>
      </c>
      <c r="F1305" s="303">
        <v>43027</v>
      </c>
      <c r="G1305" s="301">
        <v>31256.78</v>
      </c>
      <c r="H1305" s="301">
        <f>Tabla15[[#This Row],[Importe]]-Tabla15[[#This Row],[Pagado]]</f>
        <v>0</v>
      </c>
      <c r="I1305" s="275" t="s">
        <v>15214</v>
      </c>
    </row>
    <row r="1306" spans="1:9" x14ac:dyDescent="0.25">
      <c r="A1306" s="420">
        <v>43019</v>
      </c>
      <c r="B1306" s="302" t="s">
        <v>32967</v>
      </c>
      <c r="C1306">
        <v>130869</v>
      </c>
      <c r="D1306" s="275" t="s">
        <v>15315</v>
      </c>
      <c r="E1306" s="301">
        <v>390</v>
      </c>
      <c r="F1306" s="303">
        <v>43019</v>
      </c>
      <c r="G1306" s="301">
        <v>390</v>
      </c>
      <c r="H1306" s="301">
        <f>Tabla15[[#This Row],[Importe]]-Tabla15[[#This Row],[Pagado]]</f>
        <v>0</v>
      </c>
      <c r="I1306" s="275" t="s">
        <v>15214</v>
      </c>
    </row>
    <row r="1307" spans="1:9" ht="30" x14ac:dyDescent="0.25">
      <c r="A1307" s="420">
        <v>43019</v>
      </c>
      <c r="B1307" s="302" t="s">
        <v>32968</v>
      </c>
      <c r="C1307">
        <v>130870</v>
      </c>
      <c r="D1307" s="275" t="s">
        <v>15373</v>
      </c>
      <c r="E1307" s="301">
        <v>18071.599999999999</v>
      </c>
      <c r="F1307" s="303" t="s">
        <v>32969</v>
      </c>
      <c r="G1307" s="305">
        <f>14668+3403.6</f>
        <v>18071.599999999999</v>
      </c>
      <c r="H1307" s="305">
        <f>Tabla15[[#This Row],[Importe]]-Tabla15[[#This Row],[Pagado]]</f>
        <v>0</v>
      </c>
      <c r="I1307" s="275" t="s">
        <v>15214</v>
      </c>
    </row>
    <row r="1308" spans="1:9" x14ac:dyDescent="0.25">
      <c r="A1308" s="420">
        <v>43019</v>
      </c>
      <c r="B1308" s="302" t="s">
        <v>32970</v>
      </c>
      <c r="C1308">
        <v>130871</v>
      </c>
      <c r="D1308" s="275" t="s">
        <v>15394</v>
      </c>
      <c r="E1308" s="301">
        <v>13873.5</v>
      </c>
      <c r="F1308" s="303">
        <v>43022</v>
      </c>
      <c r="G1308" s="301">
        <v>13873.5</v>
      </c>
      <c r="H1308" s="301">
        <f>Tabla15[[#This Row],[Importe]]-Tabla15[[#This Row],[Pagado]]</f>
        <v>0</v>
      </c>
      <c r="I1308" s="275" t="s">
        <v>15214</v>
      </c>
    </row>
    <row r="1309" spans="1:9" x14ac:dyDescent="0.25">
      <c r="A1309" s="420">
        <v>43019</v>
      </c>
      <c r="B1309" s="302" t="s">
        <v>32971</v>
      </c>
      <c r="C1309">
        <v>130872</v>
      </c>
      <c r="D1309" s="275" t="s">
        <v>15213</v>
      </c>
      <c r="E1309" s="301">
        <v>5500.8</v>
      </c>
      <c r="F1309" s="303">
        <v>43020</v>
      </c>
      <c r="G1309" s="301">
        <v>5500.8</v>
      </c>
      <c r="H1309" s="301">
        <f>Tabla15[[#This Row],[Importe]]-Tabla15[[#This Row],[Pagado]]</f>
        <v>0</v>
      </c>
      <c r="I1309" s="275" t="s">
        <v>15214</v>
      </c>
    </row>
    <row r="1310" spans="1:9" x14ac:dyDescent="0.25">
      <c r="A1310" s="420">
        <v>43019</v>
      </c>
      <c r="B1310" s="302" t="s">
        <v>32972</v>
      </c>
      <c r="C1310">
        <v>130873</v>
      </c>
      <c r="D1310" s="275" t="s">
        <v>15226</v>
      </c>
      <c r="E1310" s="301">
        <v>1359</v>
      </c>
      <c r="F1310" s="303">
        <v>43021</v>
      </c>
      <c r="G1310" s="301">
        <v>1359</v>
      </c>
      <c r="H1310" s="301">
        <f>Tabla15[[#This Row],[Importe]]-Tabla15[[#This Row],[Pagado]]</f>
        <v>0</v>
      </c>
      <c r="I1310" s="275" t="s">
        <v>15214</v>
      </c>
    </row>
    <row r="1311" spans="1:9" x14ac:dyDescent="0.25">
      <c r="A1311" s="420">
        <v>43019</v>
      </c>
      <c r="B1311" s="302" t="s">
        <v>32973</v>
      </c>
      <c r="C1311">
        <v>130874</v>
      </c>
      <c r="D1311" s="275" t="s">
        <v>15324</v>
      </c>
      <c r="E1311" s="301">
        <v>1640</v>
      </c>
      <c r="F1311" s="303">
        <v>43019</v>
      </c>
      <c r="G1311" s="301">
        <v>1640</v>
      </c>
      <c r="H1311" s="301">
        <f>Tabla15[[#This Row],[Importe]]-Tabla15[[#This Row],[Pagado]]</f>
        <v>0</v>
      </c>
      <c r="I1311" s="275" t="s">
        <v>15214</v>
      </c>
    </row>
    <row r="1312" spans="1:9" x14ac:dyDescent="0.25">
      <c r="A1312" s="420">
        <v>43019</v>
      </c>
      <c r="B1312" s="302" t="s">
        <v>32974</v>
      </c>
      <c r="C1312">
        <v>130875</v>
      </c>
      <c r="D1312" s="275" t="s">
        <v>15220</v>
      </c>
      <c r="E1312" s="301">
        <v>2200</v>
      </c>
      <c r="F1312" s="303">
        <v>43019</v>
      </c>
      <c r="G1312" s="301">
        <v>2200</v>
      </c>
      <c r="H1312" s="301">
        <f>Tabla15[[#This Row],[Importe]]-Tabla15[[#This Row],[Pagado]]</f>
        <v>0</v>
      </c>
      <c r="I1312" s="275" t="s">
        <v>15214</v>
      </c>
    </row>
    <row r="1313" spans="1:9" x14ac:dyDescent="0.25">
      <c r="A1313" s="420">
        <v>43019</v>
      </c>
      <c r="B1313" s="302" t="s">
        <v>32975</v>
      </c>
      <c r="C1313">
        <v>130876</v>
      </c>
      <c r="D1313" s="275" t="s">
        <v>15334</v>
      </c>
      <c r="E1313" s="301">
        <v>1440</v>
      </c>
      <c r="F1313" s="303">
        <v>43019</v>
      </c>
      <c r="G1313" s="301">
        <v>1440</v>
      </c>
      <c r="H1313" s="301">
        <f>Tabla15[[#This Row],[Importe]]-Tabla15[[#This Row],[Pagado]]</f>
        <v>0</v>
      </c>
      <c r="I1313" s="275" t="s">
        <v>15214</v>
      </c>
    </row>
    <row r="1314" spans="1:9" x14ac:dyDescent="0.25">
      <c r="A1314" s="420">
        <v>43019</v>
      </c>
      <c r="B1314" s="302" t="s">
        <v>32976</v>
      </c>
      <c r="C1314">
        <v>130877</v>
      </c>
      <c r="D1314" s="275" t="s">
        <v>15681</v>
      </c>
      <c r="E1314" s="301">
        <v>2419.6</v>
      </c>
      <c r="F1314" s="303">
        <v>43019</v>
      </c>
      <c r="G1314" s="301">
        <v>2419.6</v>
      </c>
      <c r="H1314" s="301">
        <f>Tabla15[[#This Row],[Importe]]-Tabla15[[#This Row],[Pagado]]</f>
        <v>0</v>
      </c>
      <c r="I1314" s="275" t="s">
        <v>15214</v>
      </c>
    </row>
    <row r="1315" spans="1:9" x14ac:dyDescent="0.25">
      <c r="A1315" s="420">
        <v>43019</v>
      </c>
      <c r="B1315" s="302" t="s">
        <v>32977</v>
      </c>
      <c r="C1315">
        <v>130878</v>
      </c>
      <c r="D1315" s="275" t="s">
        <v>15526</v>
      </c>
      <c r="E1315" s="301">
        <v>6686.2</v>
      </c>
      <c r="F1315" s="303">
        <v>43019</v>
      </c>
      <c r="G1315" s="301">
        <v>6686.2</v>
      </c>
      <c r="H1315" s="301">
        <f>Tabla15[[#This Row],[Importe]]-Tabla15[[#This Row],[Pagado]]</f>
        <v>0</v>
      </c>
      <c r="I1315" s="275" t="s">
        <v>15214</v>
      </c>
    </row>
    <row r="1316" spans="1:9" x14ac:dyDescent="0.25">
      <c r="A1316" s="420">
        <v>43019</v>
      </c>
      <c r="B1316" s="302" t="s">
        <v>32978</v>
      </c>
      <c r="C1316">
        <v>130879</v>
      </c>
      <c r="D1316" s="275" t="s">
        <v>15681</v>
      </c>
      <c r="E1316" s="301">
        <v>3122.6</v>
      </c>
      <c r="F1316" s="303">
        <v>43019</v>
      </c>
      <c r="G1316" s="301">
        <v>3122.6</v>
      </c>
      <c r="H1316" s="301">
        <f>Tabla15[[#This Row],[Importe]]-Tabla15[[#This Row],[Pagado]]</f>
        <v>0</v>
      </c>
      <c r="I1316" s="275" t="s">
        <v>15214</v>
      </c>
    </row>
    <row r="1317" spans="1:9" x14ac:dyDescent="0.25">
      <c r="A1317" s="420">
        <v>43019</v>
      </c>
      <c r="B1317" s="302" t="s">
        <v>32979</v>
      </c>
      <c r="C1317">
        <v>130880</v>
      </c>
      <c r="D1317" s="275" t="s">
        <v>15344</v>
      </c>
      <c r="E1317" s="301">
        <v>3132.6</v>
      </c>
      <c r="F1317" s="303">
        <v>43019</v>
      </c>
      <c r="G1317" s="301">
        <v>3132.6</v>
      </c>
      <c r="H1317" s="301">
        <f>Tabla15[[#This Row],[Importe]]-Tabla15[[#This Row],[Pagado]]</f>
        <v>0</v>
      </c>
      <c r="I1317" s="275" t="s">
        <v>15214</v>
      </c>
    </row>
    <row r="1318" spans="1:9" x14ac:dyDescent="0.25">
      <c r="A1318" s="420">
        <v>43019</v>
      </c>
      <c r="B1318" s="302" t="s">
        <v>32980</v>
      </c>
      <c r="C1318">
        <v>130881</v>
      </c>
      <c r="D1318" s="275" t="s">
        <v>15732</v>
      </c>
      <c r="E1318" s="301">
        <v>2544.6999999999998</v>
      </c>
      <c r="F1318" s="303">
        <v>43019</v>
      </c>
      <c r="G1318" s="301">
        <v>2544.6999999999998</v>
      </c>
      <c r="H1318" s="301">
        <f>Tabla15[[#This Row],[Importe]]-Tabla15[[#This Row],[Pagado]]</f>
        <v>0</v>
      </c>
      <c r="I1318" s="275" t="s">
        <v>15214</v>
      </c>
    </row>
    <row r="1319" spans="1:9" x14ac:dyDescent="0.25">
      <c r="A1319" s="420">
        <v>43019</v>
      </c>
      <c r="B1319" s="302" t="s">
        <v>32981</v>
      </c>
      <c r="C1319">
        <v>130882</v>
      </c>
      <c r="D1319" s="275" t="s">
        <v>15240</v>
      </c>
      <c r="E1319" s="301">
        <v>3576</v>
      </c>
      <c r="F1319" s="303">
        <v>43020</v>
      </c>
      <c r="G1319" s="301">
        <v>3576</v>
      </c>
      <c r="H1319" s="301">
        <f>Tabla15[[#This Row],[Importe]]-Tabla15[[#This Row],[Pagado]]</f>
        <v>0</v>
      </c>
      <c r="I1319" s="275" t="s">
        <v>15214</v>
      </c>
    </row>
    <row r="1320" spans="1:9" x14ac:dyDescent="0.25">
      <c r="A1320" s="420">
        <v>43019</v>
      </c>
      <c r="B1320" s="302" t="s">
        <v>32982</v>
      </c>
      <c r="C1320">
        <v>130883</v>
      </c>
      <c r="D1320" s="275" t="s">
        <v>15240</v>
      </c>
      <c r="E1320" s="301">
        <v>2848.5</v>
      </c>
      <c r="F1320" s="303">
        <v>43020</v>
      </c>
      <c r="G1320" s="301">
        <v>2848.5</v>
      </c>
      <c r="H1320" s="301">
        <f>Tabla15[[#This Row],[Importe]]-Tabla15[[#This Row],[Pagado]]</f>
        <v>0</v>
      </c>
      <c r="I1320" s="275" t="s">
        <v>15214</v>
      </c>
    </row>
    <row r="1321" spans="1:9" x14ac:dyDescent="0.25">
      <c r="A1321" s="420">
        <v>43019</v>
      </c>
      <c r="B1321" s="302" t="s">
        <v>32983</v>
      </c>
      <c r="C1321">
        <v>130884</v>
      </c>
      <c r="D1321" s="275" t="s">
        <v>15358</v>
      </c>
      <c r="E1321" s="301">
        <v>1367.4</v>
      </c>
      <c r="F1321" s="303">
        <v>43019</v>
      </c>
      <c r="G1321" s="301">
        <v>1367.4</v>
      </c>
      <c r="H1321" s="301">
        <f>Tabla15[[#This Row],[Importe]]-Tabla15[[#This Row],[Pagado]]</f>
        <v>0</v>
      </c>
      <c r="I1321" s="275" t="s">
        <v>15214</v>
      </c>
    </row>
    <row r="1322" spans="1:9" x14ac:dyDescent="0.25">
      <c r="A1322" s="420">
        <v>43019</v>
      </c>
      <c r="B1322" s="302" t="s">
        <v>32984</v>
      </c>
      <c r="C1322">
        <v>130885</v>
      </c>
      <c r="D1322" s="275" t="s">
        <v>15336</v>
      </c>
      <c r="E1322" s="301">
        <v>5465.1</v>
      </c>
      <c r="F1322" s="303">
        <v>43019</v>
      </c>
      <c r="G1322" s="301">
        <v>5465.1</v>
      </c>
      <c r="H1322" s="301">
        <f>Tabla15[[#This Row],[Importe]]-Tabla15[[#This Row],[Pagado]]</f>
        <v>0</v>
      </c>
      <c r="I1322" s="275" t="s">
        <v>15214</v>
      </c>
    </row>
    <row r="1323" spans="1:9" x14ac:dyDescent="0.25">
      <c r="A1323" s="420">
        <v>43019</v>
      </c>
      <c r="B1323" s="302" t="s">
        <v>32985</v>
      </c>
      <c r="C1323">
        <v>130886</v>
      </c>
      <c r="D1323" s="275" t="s">
        <v>15332</v>
      </c>
      <c r="E1323" s="301">
        <v>3145</v>
      </c>
      <c r="F1323" s="303">
        <v>43019</v>
      </c>
      <c r="G1323" s="301">
        <v>3145</v>
      </c>
      <c r="H1323" s="301">
        <f>Tabla15[[#This Row],[Importe]]-Tabla15[[#This Row],[Pagado]]</f>
        <v>0</v>
      </c>
      <c r="I1323" s="275" t="s">
        <v>15214</v>
      </c>
    </row>
    <row r="1324" spans="1:9" x14ac:dyDescent="0.25">
      <c r="A1324" s="420">
        <v>43019</v>
      </c>
      <c r="B1324" s="302" t="s">
        <v>32986</v>
      </c>
      <c r="C1324">
        <v>130887</v>
      </c>
      <c r="D1324" s="275" t="s">
        <v>18544</v>
      </c>
      <c r="E1324" s="301">
        <v>4334.7</v>
      </c>
      <c r="F1324" s="303">
        <v>43019</v>
      </c>
      <c r="G1324" s="301">
        <v>4334.7</v>
      </c>
      <c r="H1324" s="301">
        <f>Tabla15[[#This Row],[Importe]]-Tabla15[[#This Row],[Pagado]]</f>
        <v>0</v>
      </c>
      <c r="I1324" s="275" t="s">
        <v>15214</v>
      </c>
    </row>
    <row r="1325" spans="1:9" x14ac:dyDescent="0.25">
      <c r="A1325" s="420">
        <v>43019</v>
      </c>
      <c r="B1325" s="302" t="s">
        <v>32987</v>
      </c>
      <c r="C1325">
        <v>130888</v>
      </c>
      <c r="D1325" s="275" t="s">
        <v>15284</v>
      </c>
      <c r="E1325" s="301">
        <v>1362.9</v>
      </c>
      <c r="F1325" s="303">
        <v>43019</v>
      </c>
      <c r="G1325" s="301">
        <v>1362.9</v>
      </c>
      <c r="H1325" s="301">
        <f>Tabla15[[#This Row],[Importe]]-Tabla15[[#This Row],[Pagado]]</f>
        <v>0</v>
      </c>
      <c r="I1325" s="275" t="s">
        <v>15214</v>
      </c>
    </row>
    <row r="1326" spans="1:9" x14ac:dyDescent="0.25">
      <c r="A1326" s="420">
        <v>43019</v>
      </c>
      <c r="B1326" s="302" t="s">
        <v>32988</v>
      </c>
      <c r="C1326">
        <v>130889</v>
      </c>
      <c r="D1326" s="275" t="s">
        <v>15342</v>
      </c>
      <c r="E1326" s="301">
        <v>1365.4</v>
      </c>
      <c r="F1326" s="303">
        <v>43021</v>
      </c>
      <c r="G1326" s="301">
        <v>1365.4</v>
      </c>
      <c r="H1326" s="301">
        <f>Tabla15[[#This Row],[Importe]]-Tabla15[[#This Row],[Pagado]]</f>
        <v>0</v>
      </c>
      <c r="I1326" s="275" t="s">
        <v>15214</v>
      </c>
    </row>
    <row r="1327" spans="1:9" x14ac:dyDescent="0.25">
      <c r="A1327" s="420">
        <v>43019</v>
      </c>
      <c r="B1327" s="302" t="s">
        <v>32989</v>
      </c>
      <c r="C1327">
        <v>130890</v>
      </c>
      <c r="D1327" s="275" t="s">
        <v>15369</v>
      </c>
      <c r="E1327" s="301">
        <v>25956.6</v>
      </c>
      <c r="F1327" s="303">
        <v>43035</v>
      </c>
      <c r="G1327" s="301">
        <v>25956.6</v>
      </c>
      <c r="H1327" s="301">
        <f>Tabla15[[#This Row],[Importe]]-Tabla15[[#This Row],[Pagado]]</f>
        <v>0</v>
      </c>
      <c r="I1327" s="275" t="s">
        <v>15214</v>
      </c>
    </row>
    <row r="1328" spans="1:9" x14ac:dyDescent="0.25">
      <c r="A1328" s="420">
        <v>43019</v>
      </c>
      <c r="B1328" s="302" t="s">
        <v>32990</v>
      </c>
      <c r="C1328">
        <v>130891</v>
      </c>
      <c r="D1328" s="275" t="s">
        <v>15315</v>
      </c>
      <c r="E1328" s="301">
        <v>927.6</v>
      </c>
      <c r="F1328" s="303">
        <v>43019</v>
      </c>
      <c r="G1328" s="301">
        <v>927.6</v>
      </c>
      <c r="H1328" s="301">
        <f>Tabla15[[#This Row],[Importe]]-Tabla15[[#This Row],[Pagado]]</f>
        <v>0</v>
      </c>
      <c r="I1328" s="275" t="s">
        <v>15214</v>
      </c>
    </row>
    <row r="1329" spans="1:9" x14ac:dyDescent="0.25">
      <c r="A1329" s="420">
        <v>43019</v>
      </c>
      <c r="B1329" s="302" t="s">
        <v>32991</v>
      </c>
      <c r="C1329">
        <v>130892</v>
      </c>
      <c r="D1329" s="275" t="s">
        <v>15294</v>
      </c>
      <c r="E1329" s="301">
        <v>29945.69</v>
      </c>
      <c r="F1329" s="303">
        <v>43019</v>
      </c>
      <c r="G1329" s="301">
        <v>29945.69</v>
      </c>
      <c r="H1329" s="301">
        <f>Tabla15[[#This Row],[Importe]]-Tabla15[[#This Row],[Pagado]]</f>
        <v>0</v>
      </c>
      <c r="I1329" s="275" t="s">
        <v>15214</v>
      </c>
    </row>
    <row r="1330" spans="1:9" x14ac:dyDescent="0.25">
      <c r="A1330" s="420">
        <v>43019</v>
      </c>
      <c r="B1330" s="302" t="s">
        <v>32992</v>
      </c>
      <c r="C1330">
        <v>130893</v>
      </c>
      <c r="D1330" s="275" t="s">
        <v>15284</v>
      </c>
      <c r="E1330" s="301">
        <v>5.5</v>
      </c>
      <c r="F1330" s="303">
        <v>43019</v>
      </c>
      <c r="G1330" s="301">
        <v>5.5</v>
      </c>
      <c r="H1330" s="301">
        <f>Tabla15[[#This Row],[Importe]]-Tabla15[[#This Row],[Pagado]]</f>
        <v>0</v>
      </c>
      <c r="I1330" s="275" t="s">
        <v>15214</v>
      </c>
    </row>
    <row r="1331" spans="1:9" x14ac:dyDescent="0.25">
      <c r="A1331" s="420">
        <v>43019</v>
      </c>
      <c r="B1331" s="302" t="s">
        <v>32993</v>
      </c>
      <c r="C1331">
        <v>130894</v>
      </c>
      <c r="D1331" s="275" t="s">
        <v>15278</v>
      </c>
      <c r="E1331" s="301">
        <v>8733.02</v>
      </c>
      <c r="F1331" s="303">
        <v>43019</v>
      </c>
      <c r="G1331" s="301">
        <v>8733.02</v>
      </c>
      <c r="H1331" s="301">
        <f>Tabla15[[#This Row],[Importe]]-Tabla15[[#This Row],[Pagado]]</f>
        <v>0</v>
      </c>
      <c r="I1331" s="275" t="s">
        <v>15214</v>
      </c>
    </row>
    <row r="1332" spans="1:9" x14ac:dyDescent="0.25">
      <c r="A1332" s="420">
        <v>43019</v>
      </c>
      <c r="B1332" s="302" t="s">
        <v>32994</v>
      </c>
      <c r="C1332">
        <v>130895</v>
      </c>
      <c r="D1332" s="275" t="s">
        <v>15380</v>
      </c>
      <c r="E1332" s="301">
        <v>28269.200000000001</v>
      </c>
      <c r="F1332" s="303">
        <v>43035</v>
      </c>
      <c r="G1332" s="301">
        <v>28269.200000000001</v>
      </c>
      <c r="H1332" s="301">
        <f>Tabla15[[#This Row],[Importe]]-Tabla15[[#This Row],[Pagado]]</f>
        <v>0</v>
      </c>
      <c r="I1332" s="275" t="s">
        <v>15214</v>
      </c>
    </row>
    <row r="1333" spans="1:9" x14ac:dyDescent="0.25">
      <c r="A1333" s="420">
        <v>43019</v>
      </c>
      <c r="B1333" s="302" t="s">
        <v>32995</v>
      </c>
      <c r="C1333">
        <v>130896</v>
      </c>
      <c r="D1333" s="275" t="s">
        <v>15389</v>
      </c>
      <c r="E1333" s="301">
        <v>12874.5</v>
      </c>
      <c r="F1333" s="303">
        <v>43031</v>
      </c>
      <c r="G1333" s="301">
        <v>12874.5</v>
      </c>
      <c r="H1333" s="301">
        <f>Tabla15[[#This Row],[Importe]]-Tabla15[[#This Row],[Pagado]]</f>
        <v>0</v>
      </c>
      <c r="I1333" s="275" t="s">
        <v>15214</v>
      </c>
    </row>
    <row r="1334" spans="1:9" x14ac:dyDescent="0.25">
      <c r="A1334" s="420">
        <v>43019</v>
      </c>
      <c r="B1334" s="302" t="s">
        <v>32996</v>
      </c>
      <c r="C1334">
        <v>130897</v>
      </c>
      <c r="D1334" s="275" t="s">
        <v>15382</v>
      </c>
      <c r="E1334" s="301">
        <v>9472.5</v>
      </c>
      <c r="F1334" s="303">
        <v>43031</v>
      </c>
      <c r="G1334" s="301">
        <v>9472.5</v>
      </c>
      <c r="H1334" s="301">
        <f>Tabla15[[#This Row],[Importe]]-Tabla15[[#This Row],[Pagado]]</f>
        <v>0</v>
      </c>
      <c r="I1334" s="275" t="s">
        <v>15214</v>
      </c>
    </row>
    <row r="1335" spans="1:9" x14ac:dyDescent="0.25">
      <c r="A1335" s="420">
        <v>43019</v>
      </c>
      <c r="B1335" s="302" t="s">
        <v>32997</v>
      </c>
      <c r="C1335">
        <v>130898</v>
      </c>
      <c r="D1335" s="275" t="s">
        <v>15340</v>
      </c>
      <c r="E1335" s="301">
        <v>4147.3999999999996</v>
      </c>
      <c r="F1335" s="303">
        <v>43019</v>
      </c>
      <c r="G1335" s="301">
        <v>4147.3999999999996</v>
      </c>
      <c r="H1335" s="301">
        <f>Tabla15[[#This Row],[Importe]]-Tabla15[[#This Row],[Pagado]]</f>
        <v>0</v>
      </c>
      <c r="I1335" s="275" t="s">
        <v>15214</v>
      </c>
    </row>
    <row r="1336" spans="1:9" x14ac:dyDescent="0.25">
      <c r="A1336" s="420">
        <v>43019</v>
      </c>
      <c r="B1336" s="302" t="s">
        <v>32998</v>
      </c>
      <c r="C1336">
        <v>130899</v>
      </c>
      <c r="D1336" s="275" t="s">
        <v>15280</v>
      </c>
      <c r="E1336" s="301">
        <v>4894</v>
      </c>
      <c r="F1336" s="303">
        <v>43019</v>
      </c>
      <c r="G1336" s="301">
        <v>4894</v>
      </c>
      <c r="H1336" s="301">
        <f>Tabla15[[#This Row],[Importe]]-Tabla15[[#This Row],[Pagado]]</f>
        <v>0</v>
      </c>
      <c r="I1336" s="275" t="s">
        <v>15214</v>
      </c>
    </row>
    <row r="1337" spans="1:9" x14ac:dyDescent="0.25">
      <c r="A1337" s="420">
        <v>43019</v>
      </c>
      <c r="B1337" s="302" t="s">
        <v>32999</v>
      </c>
      <c r="C1337">
        <v>130900</v>
      </c>
      <c r="D1337" s="275" t="s">
        <v>33000</v>
      </c>
      <c r="E1337" s="301">
        <v>1691.56</v>
      </c>
      <c r="F1337" s="303">
        <v>43019</v>
      </c>
      <c r="G1337" s="301">
        <v>1691.56</v>
      </c>
      <c r="H1337" s="301">
        <f>Tabla15[[#This Row],[Importe]]-Tabla15[[#This Row],[Pagado]]</f>
        <v>0</v>
      </c>
      <c r="I1337" s="275" t="s">
        <v>15214</v>
      </c>
    </row>
    <row r="1338" spans="1:9" x14ac:dyDescent="0.25">
      <c r="A1338" s="420">
        <v>43019</v>
      </c>
      <c r="B1338" s="302" t="s">
        <v>33001</v>
      </c>
      <c r="C1338">
        <v>130901</v>
      </c>
      <c r="D1338" s="275" t="s">
        <v>15745</v>
      </c>
      <c r="E1338" s="301">
        <v>1780.96</v>
      </c>
      <c r="F1338" s="303">
        <v>43019</v>
      </c>
      <c r="G1338" s="301">
        <v>1780.96</v>
      </c>
      <c r="H1338" s="301">
        <f>Tabla15[[#This Row],[Importe]]-Tabla15[[#This Row],[Pagado]]</f>
        <v>0</v>
      </c>
      <c r="I1338" s="275" t="s">
        <v>15214</v>
      </c>
    </row>
    <row r="1339" spans="1:9" x14ac:dyDescent="0.25">
      <c r="A1339" s="420">
        <v>43019</v>
      </c>
      <c r="B1339" s="302" t="s">
        <v>33002</v>
      </c>
      <c r="C1339">
        <v>130902</v>
      </c>
      <c r="D1339" s="275" t="s">
        <v>15291</v>
      </c>
      <c r="E1339" s="301">
        <v>748</v>
      </c>
      <c r="F1339" s="303">
        <v>43019</v>
      </c>
      <c r="G1339" s="301">
        <v>748</v>
      </c>
      <c r="H1339" s="301">
        <f>Tabla15[[#This Row],[Importe]]-Tabla15[[#This Row],[Pagado]]</f>
        <v>0</v>
      </c>
      <c r="I1339" s="275" t="s">
        <v>15214</v>
      </c>
    </row>
    <row r="1340" spans="1:9" x14ac:dyDescent="0.25">
      <c r="A1340" s="420">
        <v>43019</v>
      </c>
      <c r="B1340" s="302" t="s">
        <v>33003</v>
      </c>
      <c r="C1340">
        <v>130903</v>
      </c>
      <c r="D1340" s="275" t="s">
        <v>15317</v>
      </c>
      <c r="E1340" s="301">
        <v>1690.2</v>
      </c>
      <c r="F1340" s="303">
        <v>43021</v>
      </c>
      <c r="G1340" s="301">
        <v>1690.2</v>
      </c>
      <c r="H1340" s="301">
        <f>Tabla15[[#This Row],[Importe]]-Tabla15[[#This Row],[Pagado]]</f>
        <v>0</v>
      </c>
      <c r="I1340" s="275" t="s">
        <v>15214</v>
      </c>
    </row>
    <row r="1341" spans="1:9" x14ac:dyDescent="0.25">
      <c r="A1341" s="420">
        <v>43019</v>
      </c>
      <c r="B1341" s="302" t="s">
        <v>33004</v>
      </c>
      <c r="C1341">
        <v>130904</v>
      </c>
      <c r="D1341" s="275" t="s">
        <v>15748</v>
      </c>
      <c r="E1341" s="301">
        <v>1577.8</v>
      </c>
      <c r="F1341" s="303">
        <v>43019</v>
      </c>
      <c r="G1341" s="301">
        <v>1577.8</v>
      </c>
      <c r="H1341" s="301">
        <f>Tabla15[[#This Row],[Importe]]-Tabla15[[#This Row],[Pagado]]</f>
        <v>0</v>
      </c>
      <c r="I1341" s="275" t="s">
        <v>15214</v>
      </c>
    </row>
    <row r="1342" spans="1:9" x14ac:dyDescent="0.25">
      <c r="A1342" s="420">
        <v>43019</v>
      </c>
      <c r="B1342" s="302" t="s">
        <v>33005</v>
      </c>
      <c r="C1342">
        <v>130905</v>
      </c>
      <c r="D1342" s="275" t="s">
        <v>19773</v>
      </c>
      <c r="E1342" s="301">
        <v>5295.84</v>
      </c>
      <c r="F1342" s="303">
        <v>43038</v>
      </c>
      <c r="G1342" s="301">
        <v>5295.84</v>
      </c>
      <c r="H1342" s="301">
        <f>Tabla15[[#This Row],[Importe]]-Tabla15[[#This Row],[Pagado]]</f>
        <v>0</v>
      </c>
      <c r="I1342" s="275" t="s">
        <v>15214</v>
      </c>
    </row>
    <row r="1343" spans="1:9" x14ac:dyDescent="0.25">
      <c r="A1343" s="420">
        <v>43019</v>
      </c>
      <c r="B1343" s="302" t="s">
        <v>33006</v>
      </c>
      <c r="C1343">
        <v>130906</v>
      </c>
      <c r="D1343" s="275" t="s">
        <v>15315</v>
      </c>
      <c r="E1343" s="301">
        <v>1211</v>
      </c>
      <c r="F1343" s="303">
        <v>43019</v>
      </c>
      <c r="G1343" s="301">
        <v>1211</v>
      </c>
      <c r="H1343" s="301">
        <f>Tabla15[[#This Row],[Importe]]-Tabla15[[#This Row],[Pagado]]</f>
        <v>0</v>
      </c>
      <c r="I1343" s="275" t="s">
        <v>15214</v>
      </c>
    </row>
    <row r="1344" spans="1:9" x14ac:dyDescent="0.25">
      <c r="A1344" s="420">
        <v>43019</v>
      </c>
      <c r="B1344" s="302" t="s">
        <v>33007</v>
      </c>
      <c r="C1344">
        <v>130907</v>
      </c>
      <c r="D1344" s="275" t="s">
        <v>15305</v>
      </c>
      <c r="E1344" s="301">
        <v>1079.0999999999999</v>
      </c>
      <c r="F1344" s="303">
        <v>43019</v>
      </c>
      <c r="G1344" s="301">
        <v>1079.0999999999999</v>
      </c>
      <c r="H1344" s="301">
        <f>Tabla15[[#This Row],[Importe]]-Tabla15[[#This Row],[Pagado]]</f>
        <v>0</v>
      </c>
      <c r="I1344" s="275" t="s">
        <v>15214</v>
      </c>
    </row>
    <row r="1345" spans="1:9" x14ac:dyDescent="0.25">
      <c r="A1345" s="420">
        <v>43019</v>
      </c>
      <c r="B1345" s="302" t="s">
        <v>33008</v>
      </c>
      <c r="C1345">
        <v>130908</v>
      </c>
      <c r="D1345" s="275" t="s">
        <v>15303</v>
      </c>
      <c r="E1345" s="301">
        <v>2882.1</v>
      </c>
      <c r="F1345" s="303">
        <v>43019</v>
      </c>
      <c r="G1345" s="301">
        <v>2882.1</v>
      </c>
      <c r="H1345" s="301">
        <f>Tabla15[[#This Row],[Importe]]-Tabla15[[#This Row],[Pagado]]</f>
        <v>0</v>
      </c>
      <c r="I1345" s="275" t="s">
        <v>15214</v>
      </c>
    </row>
    <row r="1346" spans="1:9" x14ac:dyDescent="0.25">
      <c r="A1346" s="420">
        <v>43019</v>
      </c>
      <c r="B1346" s="302" t="s">
        <v>33009</v>
      </c>
      <c r="C1346">
        <v>130909</v>
      </c>
      <c r="D1346" s="275" t="s">
        <v>15356</v>
      </c>
      <c r="E1346" s="301">
        <v>435</v>
      </c>
      <c r="F1346" s="303">
        <v>43019</v>
      </c>
      <c r="G1346" s="301">
        <v>435</v>
      </c>
      <c r="H1346" s="301">
        <f>Tabla15[[#This Row],[Importe]]-Tabla15[[#This Row],[Pagado]]</f>
        <v>0</v>
      </c>
      <c r="I1346" s="275" t="s">
        <v>15214</v>
      </c>
    </row>
    <row r="1347" spans="1:9" x14ac:dyDescent="0.25">
      <c r="A1347" s="420">
        <v>43019</v>
      </c>
      <c r="B1347" s="302" t="s">
        <v>33010</v>
      </c>
      <c r="C1347">
        <v>130910</v>
      </c>
      <c r="D1347" s="275" t="s">
        <v>15286</v>
      </c>
      <c r="E1347" s="301">
        <v>4848</v>
      </c>
      <c r="F1347" s="303">
        <v>43019</v>
      </c>
      <c r="G1347" s="301">
        <v>4848</v>
      </c>
      <c r="H1347" s="301">
        <f>Tabla15[[#This Row],[Importe]]-Tabla15[[#This Row],[Pagado]]</f>
        <v>0</v>
      </c>
      <c r="I1347" s="275" t="s">
        <v>15214</v>
      </c>
    </row>
    <row r="1348" spans="1:9" x14ac:dyDescent="0.25">
      <c r="A1348" s="420">
        <v>43019</v>
      </c>
      <c r="B1348" s="302" t="s">
        <v>33011</v>
      </c>
      <c r="C1348">
        <v>130911</v>
      </c>
      <c r="D1348" s="275" t="s">
        <v>15354</v>
      </c>
      <c r="E1348" s="301">
        <v>5112.8</v>
      </c>
      <c r="F1348" s="303">
        <v>43019</v>
      </c>
      <c r="G1348" s="301">
        <v>5112.8</v>
      </c>
      <c r="H1348" s="301">
        <f>Tabla15[[#This Row],[Importe]]-Tabla15[[#This Row],[Pagado]]</f>
        <v>0</v>
      </c>
      <c r="I1348" s="275" t="s">
        <v>15214</v>
      </c>
    </row>
    <row r="1349" spans="1:9" x14ac:dyDescent="0.25">
      <c r="A1349" s="420">
        <v>43019</v>
      </c>
      <c r="B1349" s="302" t="s">
        <v>33012</v>
      </c>
      <c r="C1349">
        <v>130912</v>
      </c>
      <c r="D1349" s="275" t="s">
        <v>15858</v>
      </c>
      <c r="E1349" s="301">
        <v>2342.64</v>
      </c>
      <c r="F1349" s="303">
        <v>43019</v>
      </c>
      <c r="G1349" s="301">
        <v>2342.64</v>
      </c>
      <c r="H1349" s="301">
        <f>Tabla15[[#This Row],[Importe]]-Tabla15[[#This Row],[Pagado]]</f>
        <v>0</v>
      </c>
      <c r="I1349" s="275" t="s">
        <v>15214</v>
      </c>
    </row>
    <row r="1350" spans="1:9" x14ac:dyDescent="0.25">
      <c r="A1350" s="420">
        <v>43019</v>
      </c>
      <c r="B1350" s="302" t="s">
        <v>33013</v>
      </c>
      <c r="C1350">
        <v>130913</v>
      </c>
      <c r="D1350" s="275" t="s">
        <v>16171</v>
      </c>
      <c r="E1350" s="301">
        <v>1171.32</v>
      </c>
      <c r="F1350" s="303">
        <v>43019</v>
      </c>
      <c r="G1350" s="301">
        <v>1171.32</v>
      </c>
      <c r="H1350" s="301">
        <f>Tabla15[[#This Row],[Importe]]-Tabla15[[#This Row],[Pagado]]</f>
        <v>0</v>
      </c>
      <c r="I1350" s="275" t="s">
        <v>15214</v>
      </c>
    </row>
    <row r="1351" spans="1:9" x14ac:dyDescent="0.25">
      <c r="A1351" s="420">
        <v>43019</v>
      </c>
      <c r="B1351" s="302" t="s">
        <v>33014</v>
      </c>
      <c r="C1351">
        <v>130914</v>
      </c>
      <c r="D1351" s="275" t="s">
        <v>15223</v>
      </c>
      <c r="E1351" s="301">
        <v>44862.2</v>
      </c>
      <c r="F1351" s="303">
        <v>43045</v>
      </c>
      <c r="G1351" s="301">
        <v>44862.2</v>
      </c>
      <c r="H1351" s="301">
        <f>Tabla15[[#This Row],[Importe]]-Tabla15[[#This Row],[Pagado]]</f>
        <v>0</v>
      </c>
      <c r="I1351" s="275" t="s">
        <v>15214</v>
      </c>
    </row>
    <row r="1352" spans="1:9" x14ac:dyDescent="0.25">
      <c r="A1352" s="420">
        <v>43019</v>
      </c>
      <c r="B1352" s="302" t="s">
        <v>33015</v>
      </c>
      <c r="C1352">
        <v>130915</v>
      </c>
      <c r="D1352" s="275" t="s">
        <v>28488</v>
      </c>
      <c r="E1352" s="301">
        <v>8680.1</v>
      </c>
      <c r="F1352" s="303">
        <v>43022</v>
      </c>
      <c r="G1352" s="301">
        <v>8680.1</v>
      </c>
      <c r="H1352" s="301">
        <f>Tabla15[[#This Row],[Importe]]-Tabla15[[#This Row],[Pagado]]</f>
        <v>0</v>
      </c>
      <c r="I1352" s="275" t="s">
        <v>15214</v>
      </c>
    </row>
    <row r="1353" spans="1:9" x14ac:dyDescent="0.25">
      <c r="A1353" s="420">
        <v>43019</v>
      </c>
      <c r="B1353" s="302" t="s">
        <v>33016</v>
      </c>
      <c r="C1353">
        <v>130916</v>
      </c>
      <c r="D1353" s="275" t="s">
        <v>15438</v>
      </c>
      <c r="E1353" s="301">
        <v>719.8</v>
      </c>
      <c r="F1353" s="303">
        <v>43019</v>
      </c>
      <c r="G1353" s="301">
        <v>719.8</v>
      </c>
      <c r="H1353" s="301">
        <f>Tabla15[[#This Row],[Importe]]-Tabla15[[#This Row],[Pagado]]</f>
        <v>0</v>
      </c>
      <c r="I1353" s="275" t="s">
        <v>15214</v>
      </c>
    </row>
    <row r="1354" spans="1:9" x14ac:dyDescent="0.25">
      <c r="A1354" s="420">
        <v>43019</v>
      </c>
      <c r="B1354" s="302" t="s">
        <v>33017</v>
      </c>
      <c r="C1354">
        <v>130917</v>
      </c>
      <c r="D1354" s="275" t="s">
        <v>15549</v>
      </c>
      <c r="E1354" s="301">
        <v>3320.6</v>
      </c>
      <c r="F1354" s="303">
        <v>43019</v>
      </c>
      <c r="G1354" s="301">
        <v>3320.6</v>
      </c>
      <c r="H1354" s="301">
        <f>Tabla15[[#This Row],[Importe]]-Tabla15[[#This Row],[Pagado]]</f>
        <v>0</v>
      </c>
      <c r="I1354" s="275" t="s">
        <v>15214</v>
      </c>
    </row>
    <row r="1355" spans="1:9" x14ac:dyDescent="0.25">
      <c r="A1355" s="420">
        <v>43019</v>
      </c>
      <c r="B1355" s="302" t="s">
        <v>33018</v>
      </c>
      <c r="C1355">
        <v>130918</v>
      </c>
      <c r="D1355" s="275" t="s">
        <v>15261</v>
      </c>
      <c r="E1355" s="301">
        <v>15660.2</v>
      </c>
      <c r="F1355" s="303">
        <v>43019</v>
      </c>
      <c r="G1355" s="301">
        <v>15660.2</v>
      </c>
      <c r="H1355" s="301">
        <f>Tabla15[[#This Row],[Importe]]-Tabla15[[#This Row],[Pagado]]</f>
        <v>0</v>
      </c>
      <c r="I1355" s="275" t="s">
        <v>15214</v>
      </c>
    </row>
    <row r="1356" spans="1:9" ht="30" x14ac:dyDescent="0.25">
      <c r="A1356" s="420">
        <v>43019</v>
      </c>
      <c r="B1356" s="302" t="s">
        <v>33019</v>
      </c>
      <c r="C1356">
        <v>130919</v>
      </c>
      <c r="D1356" s="275" t="s">
        <v>15252</v>
      </c>
      <c r="E1356" s="301">
        <v>3522.8</v>
      </c>
      <c r="F1356" s="303" t="s">
        <v>33020</v>
      </c>
      <c r="G1356" s="305">
        <f>1100+2422.8</f>
        <v>3522.8</v>
      </c>
      <c r="H1356" s="305">
        <f>Tabla15[[#This Row],[Importe]]-Tabla15[[#This Row],[Pagado]]</f>
        <v>0</v>
      </c>
      <c r="I1356" s="275" t="s">
        <v>15214</v>
      </c>
    </row>
    <row r="1357" spans="1:9" x14ac:dyDescent="0.25">
      <c r="A1357" s="420">
        <v>43019</v>
      </c>
      <c r="B1357" s="302" t="s">
        <v>33021</v>
      </c>
      <c r="C1357">
        <v>130920</v>
      </c>
      <c r="D1357" s="275" t="s">
        <v>15244</v>
      </c>
      <c r="E1357" s="301">
        <v>8864.7999999999993</v>
      </c>
      <c r="F1357" s="303">
        <v>43021</v>
      </c>
      <c r="G1357" s="301">
        <v>8864.7999999999993</v>
      </c>
      <c r="H1357" s="301">
        <f>Tabla15[[#This Row],[Importe]]-Tabla15[[#This Row],[Pagado]]</f>
        <v>0</v>
      </c>
      <c r="I1357" s="275" t="s">
        <v>15214</v>
      </c>
    </row>
    <row r="1358" spans="1:9" x14ac:dyDescent="0.25">
      <c r="A1358" s="420">
        <v>43019</v>
      </c>
      <c r="B1358" s="302" t="s">
        <v>33022</v>
      </c>
      <c r="C1358">
        <v>130921</v>
      </c>
      <c r="D1358" s="275" t="s">
        <v>15725</v>
      </c>
      <c r="E1358" s="301">
        <v>22234.6</v>
      </c>
      <c r="F1358" s="303">
        <v>43024</v>
      </c>
      <c r="G1358" s="301">
        <v>22234.6</v>
      </c>
      <c r="H1358" s="301">
        <f>Tabla15[[#This Row],[Importe]]-Tabla15[[#This Row],[Pagado]]</f>
        <v>0</v>
      </c>
      <c r="I1358" s="275" t="s">
        <v>15214</v>
      </c>
    </row>
    <row r="1359" spans="1:9" x14ac:dyDescent="0.25">
      <c r="A1359" s="420">
        <v>43019</v>
      </c>
      <c r="B1359" s="302" t="s">
        <v>33023</v>
      </c>
      <c r="C1359">
        <v>130922</v>
      </c>
      <c r="D1359" s="275" t="s">
        <v>19964</v>
      </c>
      <c r="E1359" s="301">
        <v>5503.8</v>
      </c>
      <c r="F1359" s="303">
        <v>43019</v>
      </c>
      <c r="G1359" s="301">
        <v>5503.8</v>
      </c>
      <c r="H1359" s="301">
        <f>Tabla15[[#This Row],[Importe]]-Tabla15[[#This Row],[Pagado]]</f>
        <v>0</v>
      </c>
      <c r="I1359" s="275" t="s">
        <v>15214</v>
      </c>
    </row>
    <row r="1360" spans="1:9" x14ac:dyDescent="0.25">
      <c r="A1360" s="420">
        <v>43019</v>
      </c>
      <c r="B1360" s="302" t="s">
        <v>33024</v>
      </c>
      <c r="C1360">
        <v>130923</v>
      </c>
      <c r="D1360" s="275" t="s">
        <v>19964</v>
      </c>
      <c r="E1360" s="301">
        <v>210</v>
      </c>
      <c r="F1360" s="303">
        <v>43019</v>
      </c>
      <c r="G1360" s="301">
        <v>210</v>
      </c>
      <c r="H1360" s="301">
        <f>Tabla15[[#This Row],[Importe]]-Tabla15[[#This Row],[Pagado]]</f>
        <v>0</v>
      </c>
      <c r="I1360" s="275" t="s">
        <v>15214</v>
      </c>
    </row>
    <row r="1361" spans="1:9" x14ac:dyDescent="0.25">
      <c r="A1361" s="420">
        <v>43019</v>
      </c>
      <c r="B1361" s="302" t="s">
        <v>33025</v>
      </c>
      <c r="C1361">
        <v>130924</v>
      </c>
      <c r="D1361" s="275" t="s">
        <v>15338</v>
      </c>
      <c r="E1361" s="301">
        <v>11015</v>
      </c>
      <c r="F1361" s="303">
        <v>43021</v>
      </c>
      <c r="G1361" s="301">
        <v>11015</v>
      </c>
      <c r="H1361" s="301">
        <f>Tabla15[[#This Row],[Importe]]-Tabla15[[#This Row],[Pagado]]</f>
        <v>0</v>
      </c>
      <c r="I1361" s="275" t="s">
        <v>15214</v>
      </c>
    </row>
    <row r="1362" spans="1:9" x14ac:dyDescent="0.25">
      <c r="A1362" s="420">
        <v>43019</v>
      </c>
      <c r="B1362" s="302" t="s">
        <v>33026</v>
      </c>
      <c r="C1362">
        <v>130925</v>
      </c>
      <c r="D1362" s="275" t="s">
        <v>16958</v>
      </c>
      <c r="E1362" s="301">
        <v>2278.5</v>
      </c>
      <c r="F1362" s="303">
        <v>43019</v>
      </c>
      <c r="G1362" s="301">
        <v>2278.5</v>
      </c>
      <c r="H1362" s="301">
        <f>Tabla15[[#This Row],[Importe]]-Tabla15[[#This Row],[Pagado]]</f>
        <v>0</v>
      </c>
      <c r="I1362" s="275" t="s">
        <v>15214</v>
      </c>
    </row>
    <row r="1363" spans="1:9" x14ac:dyDescent="0.25">
      <c r="A1363" s="420">
        <v>43019</v>
      </c>
      <c r="B1363" s="302" t="s">
        <v>33027</v>
      </c>
      <c r="C1363">
        <v>130926</v>
      </c>
      <c r="D1363" s="275" t="s">
        <v>15890</v>
      </c>
      <c r="E1363" s="301">
        <v>6491.8</v>
      </c>
      <c r="F1363" s="303">
        <v>43025</v>
      </c>
      <c r="G1363" s="301">
        <v>6491.8</v>
      </c>
      <c r="H1363" s="301">
        <f>Tabla15[[#This Row],[Importe]]-Tabla15[[#This Row],[Pagado]]</f>
        <v>0</v>
      </c>
      <c r="I1363" s="275" t="s">
        <v>15214</v>
      </c>
    </row>
    <row r="1364" spans="1:9" x14ac:dyDescent="0.25">
      <c r="A1364" s="420">
        <v>43019</v>
      </c>
      <c r="B1364" s="302" t="s">
        <v>33028</v>
      </c>
      <c r="C1364">
        <v>130927</v>
      </c>
      <c r="D1364" s="275" t="s">
        <v>15537</v>
      </c>
      <c r="E1364" s="301">
        <v>12232.8</v>
      </c>
      <c r="F1364" s="303">
        <v>43020</v>
      </c>
      <c r="G1364" s="301">
        <v>12232.8</v>
      </c>
      <c r="H1364" s="301">
        <f>Tabla15[[#This Row],[Importe]]-Tabla15[[#This Row],[Pagado]]</f>
        <v>0</v>
      </c>
      <c r="I1364" s="275" t="s">
        <v>15214</v>
      </c>
    </row>
    <row r="1365" spans="1:9" x14ac:dyDescent="0.25">
      <c r="A1365" s="420">
        <v>43019</v>
      </c>
      <c r="B1365" s="302" t="s">
        <v>33029</v>
      </c>
      <c r="C1365">
        <v>130928</v>
      </c>
      <c r="D1365" s="275" t="s">
        <v>15539</v>
      </c>
      <c r="E1365" s="301">
        <v>9486</v>
      </c>
      <c r="F1365" s="303">
        <v>43020</v>
      </c>
      <c r="G1365" s="301">
        <v>9486</v>
      </c>
      <c r="H1365" s="301">
        <f>Tabla15[[#This Row],[Importe]]-Tabla15[[#This Row],[Pagado]]</f>
        <v>0</v>
      </c>
      <c r="I1365" s="275" t="s">
        <v>15214</v>
      </c>
    </row>
    <row r="1366" spans="1:9" x14ac:dyDescent="0.25">
      <c r="A1366" s="420">
        <v>43019</v>
      </c>
      <c r="B1366" s="302" t="s">
        <v>33030</v>
      </c>
      <c r="C1366">
        <v>130929</v>
      </c>
      <c r="D1366" s="275" t="s">
        <v>15699</v>
      </c>
      <c r="E1366" s="301">
        <v>3695.6</v>
      </c>
      <c r="F1366" s="303">
        <v>43020</v>
      </c>
      <c r="G1366" s="301">
        <v>3695.6</v>
      </c>
      <c r="H1366" s="301">
        <f>Tabla15[[#This Row],[Importe]]-Tabla15[[#This Row],[Pagado]]</f>
        <v>0</v>
      </c>
      <c r="I1366" s="275" t="s">
        <v>15214</v>
      </c>
    </row>
    <row r="1367" spans="1:9" x14ac:dyDescent="0.25">
      <c r="A1367" s="420">
        <v>43019</v>
      </c>
      <c r="B1367" s="302" t="s">
        <v>33031</v>
      </c>
      <c r="C1367">
        <v>130930</v>
      </c>
      <c r="D1367" s="275" t="s">
        <v>15699</v>
      </c>
      <c r="E1367" s="301">
        <v>3871.3</v>
      </c>
      <c r="F1367" s="303">
        <v>43020</v>
      </c>
      <c r="G1367" s="301">
        <v>3871.3</v>
      </c>
      <c r="H1367" s="301">
        <f>Tabla15[[#This Row],[Importe]]-Tabla15[[#This Row],[Pagado]]</f>
        <v>0</v>
      </c>
      <c r="I1367" s="275" t="s">
        <v>15214</v>
      </c>
    </row>
    <row r="1368" spans="1:9" x14ac:dyDescent="0.25">
      <c r="A1368" s="420">
        <v>43019</v>
      </c>
      <c r="B1368" s="302" t="s">
        <v>33032</v>
      </c>
      <c r="C1368">
        <v>130931</v>
      </c>
      <c r="D1368" s="275" t="s">
        <v>15568</v>
      </c>
      <c r="E1368" s="301">
        <v>8607.6</v>
      </c>
      <c r="F1368" s="303">
        <v>43019</v>
      </c>
      <c r="G1368" s="301">
        <v>8607.6</v>
      </c>
      <c r="H1368" s="301">
        <f>Tabla15[[#This Row],[Importe]]-Tabla15[[#This Row],[Pagado]]</f>
        <v>0</v>
      </c>
      <c r="I1368" s="275" t="s">
        <v>15214</v>
      </c>
    </row>
    <row r="1369" spans="1:9" x14ac:dyDescent="0.25">
      <c r="A1369" s="420">
        <v>43019</v>
      </c>
      <c r="B1369" s="302" t="s">
        <v>33033</v>
      </c>
      <c r="C1369">
        <v>130932</v>
      </c>
      <c r="D1369" s="275" t="s">
        <v>15391</v>
      </c>
      <c r="E1369" s="301">
        <v>5253.6</v>
      </c>
      <c r="F1369" s="303">
        <v>43020</v>
      </c>
      <c r="G1369" s="301">
        <v>5253.6</v>
      </c>
      <c r="H1369" s="301">
        <f>Tabla15[[#This Row],[Importe]]-Tabla15[[#This Row],[Pagado]]</f>
        <v>0</v>
      </c>
      <c r="I1369" s="275" t="s">
        <v>15214</v>
      </c>
    </row>
    <row r="1370" spans="1:9" x14ac:dyDescent="0.25">
      <c r="A1370" s="420">
        <v>43019</v>
      </c>
      <c r="B1370" s="302" t="s">
        <v>33034</v>
      </c>
      <c r="C1370">
        <v>130933</v>
      </c>
      <c r="D1370" s="275" t="s">
        <v>15315</v>
      </c>
      <c r="E1370" s="301">
        <v>2461.8000000000002</v>
      </c>
      <c r="F1370" s="303">
        <v>43019</v>
      </c>
      <c r="G1370" s="301">
        <v>2461.8000000000002</v>
      </c>
      <c r="H1370" s="301">
        <f>Tabla15[[#This Row],[Importe]]-Tabla15[[#This Row],[Pagado]]</f>
        <v>0</v>
      </c>
      <c r="I1370" s="275" t="s">
        <v>15214</v>
      </c>
    </row>
    <row r="1371" spans="1:9" x14ac:dyDescent="0.25">
      <c r="A1371" s="420">
        <v>43019</v>
      </c>
      <c r="B1371" s="302" t="s">
        <v>33035</v>
      </c>
      <c r="C1371">
        <v>130934</v>
      </c>
      <c r="D1371" s="275" t="s">
        <v>15396</v>
      </c>
      <c r="E1371" s="301">
        <v>4021.2</v>
      </c>
      <c r="F1371" s="303">
        <v>43019</v>
      </c>
      <c r="G1371" s="301">
        <v>4021.2</v>
      </c>
      <c r="H1371" s="301">
        <f>Tabla15[[#This Row],[Importe]]-Tabla15[[#This Row],[Pagado]]</f>
        <v>0</v>
      </c>
      <c r="I1371" s="275" t="s">
        <v>15214</v>
      </c>
    </row>
    <row r="1372" spans="1:9" x14ac:dyDescent="0.25">
      <c r="A1372" s="420">
        <v>43019</v>
      </c>
      <c r="B1372" s="302" t="s">
        <v>33036</v>
      </c>
      <c r="C1372">
        <v>130935</v>
      </c>
      <c r="D1372" s="275" t="s">
        <v>15282</v>
      </c>
      <c r="E1372" s="301">
        <v>3232.6</v>
      </c>
      <c r="F1372" s="303">
        <v>43019</v>
      </c>
      <c r="G1372" s="301">
        <v>3232.6</v>
      </c>
      <c r="H1372" s="301">
        <f>Tabla15[[#This Row],[Importe]]-Tabla15[[#This Row],[Pagado]]</f>
        <v>0</v>
      </c>
      <c r="I1372" s="275" t="s">
        <v>15214</v>
      </c>
    </row>
    <row r="1373" spans="1:9" x14ac:dyDescent="0.25">
      <c r="A1373" s="420">
        <v>43019</v>
      </c>
      <c r="B1373" s="302" t="s">
        <v>33037</v>
      </c>
      <c r="C1373">
        <v>130936</v>
      </c>
      <c r="D1373" s="275" t="s">
        <v>15566</v>
      </c>
      <c r="E1373" s="301">
        <v>2822.4</v>
      </c>
      <c r="F1373" s="303">
        <v>43019</v>
      </c>
      <c r="G1373" s="301">
        <v>2822.4</v>
      </c>
      <c r="H1373" s="301">
        <f>Tabla15[[#This Row],[Importe]]-Tabla15[[#This Row],[Pagado]]</f>
        <v>0</v>
      </c>
      <c r="I1373" s="275" t="s">
        <v>15214</v>
      </c>
    </row>
    <row r="1374" spans="1:9" x14ac:dyDescent="0.25">
      <c r="A1374" s="420">
        <v>43019</v>
      </c>
      <c r="B1374" s="302" t="s">
        <v>33038</v>
      </c>
      <c r="C1374">
        <v>130937</v>
      </c>
      <c r="D1374" s="275" t="s">
        <v>15315</v>
      </c>
      <c r="E1374" s="301">
        <v>13494.9</v>
      </c>
      <c r="F1374" s="303">
        <v>43019</v>
      </c>
      <c r="G1374" s="301">
        <v>13494.9</v>
      </c>
      <c r="H1374" s="301">
        <f>Tabla15[[#This Row],[Importe]]-Tabla15[[#This Row],[Pagado]]</f>
        <v>0</v>
      </c>
      <c r="I1374" s="275" t="s">
        <v>15214</v>
      </c>
    </row>
    <row r="1375" spans="1:9" x14ac:dyDescent="0.25">
      <c r="A1375" s="420">
        <v>43019</v>
      </c>
      <c r="B1375" s="302" t="s">
        <v>33039</v>
      </c>
      <c r="C1375">
        <v>130938</v>
      </c>
      <c r="D1375" s="275" t="s">
        <v>16093</v>
      </c>
      <c r="E1375" s="301">
        <v>2876.6</v>
      </c>
      <c r="F1375" s="303">
        <v>43019</v>
      </c>
      <c r="G1375" s="301">
        <v>2876.6</v>
      </c>
      <c r="H1375" s="301">
        <f>Tabla15[[#This Row],[Importe]]-Tabla15[[#This Row],[Pagado]]</f>
        <v>0</v>
      </c>
      <c r="I1375" s="275" t="s">
        <v>15214</v>
      </c>
    </row>
    <row r="1376" spans="1:9" x14ac:dyDescent="0.25">
      <c r="A1376" s="420">
        <v>43019</v>
      </c>
      <c r="B1376" s="302" t="s">
        <v>33040</v>
      </c>
      <c r="C1376">
        <v>130939</v>
      </c>
      <c r="D1376" s="275" t="s">
        <v>15398</v>
      </c>
      <c r="E1376" s="301">
        <v>117.3</v>
      </c>
      <c r="F1376" s="303">
        <v>43019</v>
      </c>
      <c r="G1376" s="301">
        <v>117.3</v>
      </c>
      <c r="H1376" s="301">
        <f>Tabla15[[#This Row],[Importe]]-Tabla15[[#This Row],[Pagado]]</f>
        <v>0</v>
      </c>
      <c r="I1376" s="275" t="s">
        <v>15214</v>
      </c>
    </row>
    <row r="1377" spans="1:9" x14ac:dyDescent="0.25">
      <c r="A1377" s="420">
        <v>43019</v>
      </c>
      <c r="B1377" s="302" t="s">
        <v>33041</v>
      </c>
      <c r="C1377">
        <v>130940</v>
      </c>
      <c r="D1377" s="275" t="s">
        <v>15398</v>
      </c>
      <c r="E1377" s="301">
        <v>379.6</v>
      </c>
      <c r="F1377" s="303">
        <v>43019</v>
      </c>
      <c r="G1377" s="301">
        <v>379.6</v>
      </c>
      <c r="H1377" s="301">
        <f>Tabla15[[#This Row],[Importe]]-Tabla15[[#This Row],[Pagado]]</f>
        <v>0</v>
      </c>
      <c r="I1377" s="275" t="s">
        <v>15214</v>
      </c>
    </row>
    <row r="1378" spans="1:9" ht="30" x14ac:dyDescent="0.25">
      <c r="A1378" s="420">
        <v>43019</v>
      </c>
      <c r="B1378" s="302" t="s">
        <v>33042</v>
      </c>
      <c r="C1378">
        <v>130941</v>
      </c>
      <c r="D1378" s="275" t="s">
        <v>15246</v>
      </c>
      <c r="E1378" s="301">
        <v>216044.4</v>
      </c>
      <c r="F1378" s="303" t="s">
        <v>33043</v>
      </c>
      <c r="G1378" s="305">
        <f>51403.74+164640.66</f>
        <v>216044.4</v>
      </c>
      <c r="H1378" s="305">
        <f>Tabla15[[#This Row],[Importe]]-Tabla15[[#This Row],[Pagado]]</f>
        <v>0</v>
      </c>
      <c r="I1378" s="275" t="s">
        <v>15214</v>
      </c>
    </row>
    <row r="1379" spans="1:9" x14ac:dyDescent="0.25">
      <c r="A1379" s="420">
        <v>43019</v>
      </c>
      <c r="B1379" s="302" t="s">
        <v>33044</v>
      </c>
      <c r="C1379">
        <v>130942</v>
      </c>
      <c r="D1379" s="275" t="s">
        <v>21445</v>
      </c>
      <c r="E1379" s="301">
        <v>1086.8</v>
      </c>
      <c r="F1379" s="303">
        <v>43019</v>
      </c>
      <c r="G1379" s="301">
        <v>1086.8</v>
      </c>
      <c r="H1379" s="301">
        <f>Tabla15[[#This Row],[Importe]]-Tabla15[[#This Row],[Pagado]]</f>
        <v>0</v>
      </c>
      <c r="I1379" s="275" t="s">
        <v>15214</v>
      </c>
    </row>
    <row r="1380" spans="1:9" x14ac:dyDescent="0.25">
      <c r="A1380" s="420">
        <v>43019</v>
      </c>
      <c r="B1380" s="302" t="s">
        <v>33045</v>
      </c>
      <c r="C1380">
        <v>130943</v>
      </c>
      <c r="D1380" s="275" t="s">
        <v>15246</v>
      </c>
      <c r="E1380" s="301">
        <v>93845.6</v>
      </c>
      <c r="F1380" s="303">
        <v>43025</v>
      </c>
      <c r="G1380" s="301">
        <v>93845.6</v>
      </c>
      <c r="H1380" s="301">
        <f>Tabla15[[#This Row],[Importe]]-Tabla15[[#This Row],[Pagado]]</f>
        <v>0</v>
      </c>
      <c r="I1380" s="275" t="s">
        <v>15214</v>
      </c>
    </row>
    <row r="1381" spans="1:9" x14ac:dyDescent="0.25">
      <c r="A1381" s="420">
        <v>43019</v>
      </c>
      <c r="B1381" s="302" t="s">
        <v>33046</v>
      </c>
      <c r="C1381">
        <v>130944</v>
      </c>
      <c r="D1381" s="275" t="s">
        <v>15274</v>
      </c>
      <c r="E1381" s="301">
        <v>1760</v>
      </c>
      <c r="F1381" s="303">
        <v>43019</v>
      </c>
      <c r="G1381" s="301">
        <v>1760</v>
      </c>
      <c r="H1381" s="301">
        <f>Tabla15[[#This Row],[Importe]]-Tabla15[[#This Row],[Pagado]]</f>
        <v>0</v>
      </c>
      <c r="I1381" s="275" t="s">
        <v>15214</v>
      </c>
    </row>
    <row r="1382" spans="1:9" x14ac:dyDescent="0.25">
      <c r="A1382" s="420">
        <v>43019</v>
      </c>
      <c r="B1382" s="302" t="s">
        <v>33047</v>
      </c>
      <c r="C1382">
        <v>130945</v>
      </c>
      <c r="D1382" s="275" t="s">
        <v>15378</v>
      </c>
      <c r="E1382" s="301">
        <v>1937.6</v>
      </c>
      <c r="F1382" s="303">
        <v>43019</v>
      </c>
      <c r="G1382" s="301">
        <v>1937.6</v>
      </c>
      <c r="H1382" s="301">
        <f>Tabla15[[#This Row],[Importe]]-Tabla15[[#This Row],[Pagado]]</f>
        <v>0</v>
      </c>
      <c r="I1382" s="275" t="s">
        <v>15214</v>
      </c>
    </row>
    <row r="1383" spans="1:9" x14ac:dyDescent="0.25">
      <c r="A1383" s="420">
        <v>43019</v>
      </c>
      <c r="B1383" s="302" t="s">
        <v>33048</v>
      </c>
      <c r="C1383">
        <v>130946</v>
      </c>
      <c r="D1383" s="275" t="s">
        <v>15276</v>
      </c>
      <c r="E1383" s="301">
        <v>1760</v>
      </c>
      <c r="F1383" s="303">
        <v>43020</v>
      </c>
      <c r="G1383" s="301">
        <v>1760</v>
      </c>
      <c r="H1383" s="301">
        <f>Tabla15[[#This Row],[Importe]]-Tabla15[[#This Row],[Pagado]]</f>
        <v>0</v>
      </c>
      <c r="I1383" s="275" t="s">
        <v>15214</v>
      </c>
    </row>
    <row r="1384" spans="1:9" x14ac:dyDescent="0.25">
      <c r="A1384" s="420">
        <v>43019</v>
      </c>
      <c r="B1384" s="302" t="s">
        <v>33049</v>
      </c>
      <c r="C1384">
        <v>130947</v>
      </c>
      <c r="D1384" s="275" t="s">
        <v>15313</v>
      </c>
      <c r="E1384" s="301">
        <v>9874</v>
      </c>
      <c r="F1384" s="303">
        <v>43023</v>
      </c>
      <c r="G1384" s="301">
        <v>9874</v>
      </c>
      <c r="H1384" s="301">
        <f>Tabla15[[#This Row],[Importe]]-Tabla15[[#This Row],[Pagado]]</f>
        <v>0</v>
      </c>
      <c r="I1384" s="275" t="s">
        <v>15214</v>
      </c>
    </row>
    <row r="1385" spans="1:9" x14ac:dyDescent="0.25">
      <c r="A1385" s="420">
        <v>43019</v>
      </c>
      <c r="B1385" s="302" t="s">
        <v>33050</v>
      </c>
      <c r="C1385">
        <v>130948</v>
      </c>
      <c r="D1385" s="275" t="s">
        <v>15600</v>
      </c>
      <c r="E1385" s="301">
        <v>2742.2</v>
      </c>
      <c r="F1385" s="303">
        <v>43020</v>
      </c>
      <c r="G1385" s="301">
        <v>2742.2</v>
      </c>
      <c r="H1385" s="301">
        <f>Tabla15[[#This Row],[Importe]]-Tabla15[[#This Row],[Pagado]]</f>
        <v>0</v>
      </c>
      <c r="I1385" s="275" t="s">
        <v>15214</v>
      </c>
    </row>
    <row r="1386" spans="1:9" x14ac:dyDescent="0.25">
      <c r="A1386" s="420">
        <v>43019</v>
      </c>
      <c r="B1386" s="302" t="s">
        <v>33051</v>
      </c>
      <c r="C1386">
        <v>130949</v>
      </c>
      <c r="D1386" s="275" t="s">
        <v>15423</v>
      </c>
      <c r="E1386" s="301">
        <v>6312.5</v>
      </c>
      <c r="F1386" s="303">
        <v>43019</v>
      </c>
      <c r="G1386" s="301">
        <v>6312.5</v>
      </c>
      <c r="H1386" s="301">
        <f>Tabla15[[#This Row],[Importe]]-Tabla15[[#This Row],[Pagado]]</f>
        <v>0</v>
      </c>
      <c r="I1386" s="275" t="s">
        <v>15214</v>
      </c>
    </row>
    <row r="1387" spans="1:9" x14ac:dyDescent="0.25">
      <c r="A1387" s="420">
        <v>43019</v>
      </c>
      <c r="B1387" s="302" t="s">
        <v>33052</v>
      </c>
      <c r="C1387">
        <v>130950</v>
      </c>
      <c r="D1387" s="275" t="s">
        <v>15284</v>
      </c>
      <c r="E1387" s="301">
        <v>409.4</v>
      </c>
      <c r="F1387" s="303">
        <v>43019</v>
      </c>
      <c r="G1387" s="301">
        <v>409.4</v>
      </c>
      <c r="H1387" s="301">
        <f>Tabla15[[#This Row],[Importe]]-Tabla15[[#This Row],[Pagado]]</f>
        <v>0</v>
      </c>
      <c r="I1387" s="275" t="s">
        <v>15214</v>
      </c>
    </row>
    <row r="1388" spans="1:9" x14ac:dyDescent="0.25">
      <c r="A1388" s="420">
        <v>43019</v>
      </c>
      <c r="B1388" s="302" t="s">
        <v>33053</v>
      </c>
      <c r="C1388">
        <v>130951</v>
      </c>
      <c r="D1388" s="275" t="s">
        <v>15298</v>
      </c>
      <c r="E1388" s="301">
        <v>355.2</v>
      </c>
      <c r="F1388" s="303">
        <v>43019</v>
      </c>
      <c r="G1388" s="301">
        <v>355.2</v>
      </c>
      <c r="H1388" s="301">
        <f>Tabla15[[#This Row],[Importe]]-Tabla15[[#This Row],[Pagado]]</f>
        <v>0</v>
      </c>
      <c r="I1388" s="275" t="s">
        <v>15214</v>
      </c>
    </row>
    <row r="1389" spans="1:9" x14ac:dyDescent="0.25">
      <c r="A1389" s="420">
        <v>43019</v>
      </c>
      <c r="B1389" s="302" t="s">
        <v>33054</v>
      </c>
      <c r="C1389">
        <v>130952</v>
      </c>
      <c r="D1389" s="275" t="s">
        <v>15614</v>
      </c>
      <c r="E1389" s="301">
        <v>6275.2</v>
      </c>
      <c r="F1389" s="303">
        <v>43025</v>
      </c>
      <c r="G1389" s="301">
        <v>6275.2</v>
      </c>
      <c r="H1389" s="301">
        <f>Tabla15[[#This Row],[Importe]]-Tabla15[[#This Row],[Pagado]]</f>
        <v>0</v>
      </c>
      <c r="I1389" s="275" t="s">
        <v>15214</v>
      </c>
    </row>
    <row r="1390" spans="1:9" x14ac:dyDescent="0.25">
      <c r="A1390" s="420">
        <v>43019</v>
      </c>
      <c r="B1390" s="302" t="s">
        <v>33055</v>
      </c>
      <c r="C1390">
        <v>130953</v>
      </c>
      <c r="D1390" s="275" t="s">
        <v>15365</v>
      </c>
      <c r="E1390" s="301">
        <v>211584</v>
      </c>
      <c r="F1390" s="303">
        <v>43022</v>
      </c>
      <c r="G1390" s="301">
        <v>211584</v>
      </c>
      <c r="H1390" s="301">
        <f>Tabla15[[#This Row],[Importe]]-Tabla15[[#This Row],[Pagado]]</f>
        <v>0</v>
      </c>
      <c r="I1390" s="275" t="s">
        <v>15214</v>
      </c>
    </row>
    <row r="1391" spans="1:9" x14ac:dyDescent="0.25">
      <c r="A1391" s="420">
        <v>43019</v>
      </c>
      <c r="B1391" s="302" t="s">
        <v>33056</v>
      </c>
      <c r="C1391">
        <v>130954</v>
      </c>
      <c r="D1391" s="275" t="s">
        <v>15284</v>
      </c>
      <c r="E1391" s="301">
        <v>1092.8</v>
      </c>
      <c r="F1391" s="303">
        <v>43019</v>
      </c>
      <c r="G1391" s="301">
        <v>1092.8</v>
      </c>
      <c r="H1391" s="301">
        <f>Tabla15[[#This Row],[Importe]]-Tabla15[[#This Row],[Pagado]]</f>
        <v>0</v>
      </c>
      <c r="I1391" s="275" t="s">
        <v>15214</v>
      </c>
    </row>
    <row r="1392" spans="1:9" x14ac:dyDescent="0.25">
      <c r="A1392" s="420">
        <v>43019</v>
      </c>
      <c r="B1392" s="302" t="s">
        <v>33057</v>
      </c>
      <c r="C1392">
        <v>130955</v>
      </c>
      <c r="D1392" s="275" t="s">
        <v>15346</v>
      </c>
      <c r="E1392" s="301">
        <v>2811.9</v>
      </c>
      <c r="F1392" s="303">
        <v>43019</v>
      </c>
      <c r="G1392" s="301">
        <v>2811.9</v>
      </c>
      <c r="H1392" s="301">
        <f>Tabla15[[#This Row],[Importe]]-Tabla15[[#This Row],[Pagado]]</f>
        <v>0</v>
      </c>
      <c r="I1392" s="275" t="s">
        <v>15214</v>
      </c>
    </row>
    <row r="1393" spans="1:9" x14ac:dyDescent="0.25">
      <c r="A1393" s="420">
        <v>43019</v>
      </c>
      <c r="B1393" s="302" t="s">
        <v>33058</v>
      </c>
      <c r="C1393">
        <v>130956</v>
      </c>
      <c r="D1393" s="275" t="s">
        <v>5873</v>
      </c>
      <c r="E1393" s="301">
        <v>29711.64</v>
      </c>
      <c r="F1393" s="303">
        <v>43020</v>
      </c>
      <c r="G1393" s="301">
        <v>29711.64</v>
      </c>
      <c r="H1393" s="301">
        <f>Tabla15[[#This Row],[Importe]]-Tabla15[[#This Row],[Pagado]]</f>
        <v>0</v>
      </c>
      <c r="I1393" s="275" t="s">
        <v>15214</v>
      </c>
    </row>
    <row r="1394" spans="1:9" x14ac:dyDescent="0.25">
      <c r="A1394" s="420">
        <v>43019</v>
      </c>
      <c r="B1394" s="302" t="s">
        <v>33059</v>
      </c>
      <c r="C1394">
        <v>130957</v>
      </c>
      <c r="D1394" s="275" t="s">
        <v>15254</v>
      </c>
      <c r="E1394" s="301">
        <v>5667.2</v>
      </c>
      <c r="F1394" s="303">
        <v>43020</v>
      </c>
      <c r="G1394" s="301">
        <v>5667.2</v>
      </c>
      <c r="H1394" s="301">
        <f>Tabla15[[#This Row],[Importe]]-Tabla15[[#This Row],[Pagado]]</f>
        <v>0</v>
      </c>
      <c r="I1394" s="275" t="s">
        <v>15214</v>
      </c>
    </row>
    <row r="1395" spans="1:9" x14ac:dyDescent="0.25">
      <c r="A1395" s="420">
        <v>43019</v>
      </c>
      <c r="B1395" s="302" t="s">
        <v>33060</v>
      </c>
      <c r="C1395">
        <v>130958</v>
      </c>
      <c r="D1395" s="275" t="s">
        <v>15435</v>
      </c>
      <c r="E1395" s="301">
        <v>7819.2</v>
      </c>
      <c r="F1395" s="303">
        <v>43019</v>
      </c>
      <c r="G1395" s="301">
        <v>7819.2</v>
      </c>
      <c r="H1395" s="301">
        <f>Tabla15[[#This Row],[Importe]]-Tabla15[[#This Row],[Pagado]]</f>
        <v>0</v>
      </c>
      <c r="I1395" s="275" t="s">
        <v>15214</v>
      </c>
    </row>
    <row r="1396" spans="1:9" x14ac:dyDescent="0.25">
      <c r="A1396" s="420">
        <v>43019</v>
      </c>
      <c r="B1396" s="302" t="s">
        <v>33061</v>
      </c>
      <c r="C1396">
        <v>130959</v>
      </c>
      <c r="D1396" s="275" t="s">
        <v>19776</v>
      </c>
      <c r="E1396" s="301">
        <v>9038.6</v>
      </c>
      <c r="F1396" s="303">
        <v>43020</v>
      </c>
      <c r="G1396" s="301">
        <v>9038.6</v>
      </c>
      <c r="H1396" s="301">
        <f>Tabla15[[#This Row],[Importe]]-Tabla15[[#This Row],[Pagado]]</f>
        <v>0</v>
      </c>
      <c r="I1396" s="275" t="s">
        <v>15214</v>
      </c>
    </row>
    <row r="1397" spans="1:9" x14ac:dyDescent="0.25">
      <c r="A1397" s="420">
        <v>43019</v>
      </c>
      <c r="B1397" s="302" t="s">
        <v>33062</v>
      </c>
      <c r="C1397">
        <v>130960</v>
      </c>
      <c r="D1397" s="275" t="s">
        <v>15246</v>
      </c>
      <c r="E1397" s="301">
        <v>6501.6</v>
      </c>
      <c r="F1397" s="303">
        <v>43025</v>
      </c>
      <c r="G1397" s="301">
        <v>6501.6</v>
      </c>
      <c r="H1397" s="301">
        <f>Tabla15[[#This Row],[Importe]]-Tabla15[[#This Row],[Pagado]]</f>
        <v>0</v>
      </c>
      <c r="I1397" s="275" t="s">
        <v>15214</v>
      </c>
    </row>
    <row r="1398" spans="1:9" x14ac:dyDescent="0.25">
      <c r="A1398" s="420">
        <v>43019</v>
      </c>
      <c r="B1398" s="302" t="s">
        <v>33063</v>
      </c>
      <c r="C1398">
        <v>130961</v>
      </c>
      <c r="D1398" s="275" t="s">
        <v>15642</v>
      </c>
      <c r="E1398" s="301">
        <v>4237.8</v>
      </c>
      <c r="F1398" s="303">
        <v>43019</v>
      </c>
      <c r="G1398" s="301">
        <v>4237.8</v>
      </c>
      <c r="H1398" s="301">
        <f>Tabla15[[#This Row],[Importe]]-Tabla15[[#This Row],[Pagado]]</f>
        <v>0</v>
      </c>
      <c r="I1398" s="275" t="s">
        <v>15214</v>
      </c>
    </row>
    <row r="1399" spans="1:9" x14ac:dyDescent="0.25">
      <c r="A1399" s="420">
        <v>43019</v>
      </c>
      <c r="B1399" s="302" t="s">
        <v>33064</v>
      </c>
      <c r="C1399">
        <v>130962</v>
      </c>
      <c r="D1399" s="275" t="s">
        <v>15789</v>
      </c>
      <c r="E1399" s="301">
        <v>23455.8</v>
      </c>
      <c r="F1399" s="303">
        <v>43026</v>
      </c>
      <c r="G1399" s="301">
        <v>23455.8</v>
      </c>
      <c r="H1399" s="301">
        <f>Tabla15[[#This Row],[Importe]]-Tabla15[[#This Row],[Pagado]]</f>
        <v>0</v>
      </c>
      <c r="I1399" s="275" t="s">
        <v>15214</v>
      </c>
    </row>
    <row r="1400" spans="1:9" x14ac:dyDescent="0.25">
      <c r="A1400" s="420">
        <v>43019</v>
      </c>
      <c r="B1400" s="302" t="s">
        <v>33065</v>
      </c>
      <c r="C1400">
        <v>130963</v>
      </c>
      <c r="D1400" s="275" t="s">
        <v>5757</v>
      </c>
      <c r="E1400" s="301">
        <v>256</v>
      </c>
      <c r="F1400" s="303">
        <v>43019</v>
      </c>
      <c r="G1400" s="301">
        <v>256</v>
      </c>
      <c r="H1400" s="301">
        <f>Tabla15[[#This Row],[Importe]]-Tabla15[[#This Row],[Pagado]]</f>
        <v>0</v>
      </c>
      <c r="I1400" s="275" t="s">
        <v>15214</v>
      </c>
    </row>
    <row r="1401" spans="1:9" x14ac:dyDescent="0.25">
      <c r="A1401" s="420">
        <v>43020</v>
      </c>
      <c r="B1401" s="302" t="s">
        <v>33066</v>
      </c>
      <c r="C1401">
        <v>130964</v>
      </c>
      <c r="D1401" s="275" t="s">
        <v>21386</v>
      </c>
      <c r="E1401" s="301">
        <v>9363.6</v>
      </c>
      <c r="F1401" s="303">
        <v>43021</v>
      </c>
      <c r="G1401" s="301">
        <v>9363.6</v>
      </c>
      <c r="H1401" s="301">
        <f>Tabla15[[#This Row],[Importe]]-Tabla15[[#This Row],[Pagado]]</f>
        <v>0</v>
      </c>
      <c r="I1401" s="275" t="s">
        <v>15214</v>
      </c>
    </row>
    <row r="1402" spans="1:9" x14ac:dyDescent="0.25">
      <c r="A1402" s="420">
        <v>43020</v>
      </c>
      <c r="B1402" s="302" t="s">
        <v>33067</v>
      </c>
      <c r="C1402">
        <v>130965</v>
      </c>
      <c r="D1402" s="275" t="s">
        <v>15242</v>
      </c>
      <c r="E1402" s="301">
        <v>4264</v>
      </c>
      <c r="F1402" s="303">
        <v>43020</v>
      </c>
      <c r="G1402" s="301">
        <v>4264</v>
      </c>
      <c r="H1402" s="301">
        <f>Tabla15[[#This Row],[Importe]]-Tabla15[[#This Row],[Pagado]]</f>
        <v>0</v>
      </c>
      <c r="I1402" s="275" t="s">
        <v>15214</v>
      </c>
    </row>
    <row r="1403" spans="1:9" x14ac:dyDescent="0.25">
      <c r="A1403" s="420">
        <v>43020</v>
      </c>
      <c r="B1403" s="302" t="s">
        <v>33068</v>
      </c>
      <c r="C1403">
        <v>130966</v>
      </c>
      <c r="D1403" s="275" t="s">
        <v>15213</v>
      </c>
      <c r="E1403" s="301">
        <v>37677.800000000003</v>
      </c>
      <c r="F1403" s="303">
        <v>43021</v>
      </c>
      <c r="G1403" s="301">
        <v>37677.800000000003</v>
      </c>
      <c r="H1403" s="301">
        <f>Tabla15[[#This Row],[Importe]]-Tabla15[[#This Row],[Pagado]]</f>
        <v>0</v>
      </c>
      <c r="I1403" s="275" t="s">
        <v>15214</v>
      </c>
    </row>
    <row r="1404" spans="1:9" x14ac:dyDescent="0.25">
      <c r="A1404" s="420">
        <v>43020</v>
      </c>
      <c r="B1404" s="302" t="s">
        <v>33069</v>
      </c>
      <c r="C1404">
        <v>130967</v>
      </c>
      <c r="D1404" s="275" t="s">
        <v>15330</v>
      </c>
      <c r="E1404" s="301">
        <v>4271</v>
      </c>
      <c r="F1404" s="303">
        <v>43020</v>
      </c>
      <c r="G1404" s="301">
        <v>4271</v>
      </c>
      <c r="H1404" s="301">
        <f>Tabla15[[#This Row],[Importe]]-Tabla15[[#This Row],[Pagado]]</f>
        <v>0</v>
      </c>
      <c r="I1404" s="275" t="s">
        <v>15214</v>
      </c>
    </row>
    <row r="1405" spans="1:9" x14ac:dyDescent="0.25">
      <c r="A1405" s="420">
        <v>43020</v>
      </c>
      <c r="B1405" s="302" t="s">
        <v>33070</v>
      </c>
      <c r="C1405">
        <v>130968</v>
      </c>
      <c r="D1405" s="275" t="s">
        <v>15230</v>
      </c>
      <c r="E1405" s="301">
        <v>11262.8</v>
      </c>
      <c r="F1405" s="303">
        <v>43024</v>
      </c>
      <c r="G1405" s="301">
        <v>11262.8</v>
      </c>
      <c r="H1405" s="301">
        <f>Tabla15[[#This Row],[Importe]]-Tabla15[[#This Row],[Pagado]]</f>
        <v>0</v>
      </c>
      <c r="I1405" s="275" t="s">
        <v>15214</v>
      </c>
    </row>
    <row r="1406" spans="1:9" x14ac:dyDescent="0.25">
      <c r="A1406" s="420">
        <v>43020</v>
      </c>
      <c r="B1406" s="302" t="s">
        <v>33071</v>
      </c>
      <c r="C1406">
        <v>130969</v>
      </c>
      <c r="D1406" s="275" t="s">
        <v>15258</v>
      </c>
      <c r="E1406" s="301">
        <v>9964.7999999999993</v>
      </c>
      <c r="F1406" s="303">
        <v>43022</v>
      </c>
      <c r="G1406" s="301">
        <v>9964.7999999999993</v>
      </c>
      <c r="H1406" s="301">
        <f>Tabla15[[#This Row],[Importe]]-Tabla15[[#This Row],[Pagado]]</f>
        <v>0</v>
      </c>
      <c r="I1406" s="275" t="s">
        <v>15214</v>
      </c>
    </row>
    <row r="1407" spans="1:9" ht="30" x14ac:dyDescent="0.25">
      <c r="A1407" s="420">
        <v>43020</v>
      </c>
      <c r="B1407" s="302" t="s">
        <v>33072</v>
      </c>
      <c r="C1407">
        <v>130970</v>
      </c>
      <c r="D1407" s="275" t="s">
        <v>30939</v>
      </c>
      <c r="E1407" s="301">
        <v>3405.6</v>
      </c>
      <c r="F1407" s="303" t="s">
        <v>33073</v>
      </c>
      <c r="G1407" s="305">
        <f>2500+905.6</f>
        <v>3405.6</v>
      </c>
      <c r="H1407" s="305">
        <f>Tabla15[[#This Row],[Importe]]-Tabla15[[#This Row],[Pagado]]</f>
        <v>0</v>
      </c>
      <c r="I1407" s="275" t="s">
        <v>15214</v>
      </c>
    </row>
    <row r="1408" spans="1:9" ht="30" x14ac:dyDescent="0.25">
      <c r="A1408" s="420">
        <v>43020</v>
      </c>
      <c r="B1408" s="302" t="s">
        <v>33074</v>
      </c>
      <c r="C1408">
        <v>130971</v>
      </c>
      <c r="D1408" s="275" t="s">
        <v>30939</v>
      </c>
      <c r="E1408" s="301">
        <v>2772</v>
      </c>
      <c r="F1408" s="303" t="s">
        <v>33075</v>
      </c>
      <c r="G1408" s="305">
        <f>772+2000</f>
        <v>2772</v>
      </c>
      <c r="H1408" s="305">
        <f>Tabla15[[#This Row],[Importe]]-Tabla15[[#This Row],[Pagado]]</f>
        <v>0</v>
      </c>
      <c r="I1408" s="275" t="s">
        <v>15214</v>
      </c>
    </row>
    <row r="1409" spans="1:9" x14ac:dyDescent="0.25">
      <c r="A1409" s="420">
        <v>43020</v>
      </c>
      <c r="B1409" s="302" t="s">
        <v>33076</v>
      </c>
      <c r="C1409">
        <v>130972</v>
      </c>
      <c r="D1409" s="275" t="s">
        <v>15236</v>
      </c>
      <c r="E1409" s="301">
        <v>5947.2</v>
      </c>
      <c r="F1409" s="303">
        <v>43022</v>
      </c>
      <c r="G1409" s="301">
        <v>5947.2</v>
      </c>
      <c r="H1409" s="301">
        <f>Tabla15[[#This Row],[Importe]]-Tabla15[[#This Row],[Pagado]]</f>
        <v>0</v>
      </c>
      <c r="I1409" s="275" t="s">
        <v>15214</v>
      </c>
    </row>
    <row r="1410" spans="1:9" x14ac:dyDescent="0.25">
      <c r="A1410" s="420">
        <v>43020</v>
      </c>
      <c r="B1410" s="302" t="s">
        <v>33077</v>
      </c>
      <c r="C1410">
        <v>130973</v>
      </c>
      <c r="D1410" s="275" t="s">
        <v>5575</v>
      </c>
      <c r="E1410" s="301">
        <v>2685.6</v>
      </c>
      <c r="F1410" s="303">
        <v>43022</v>
      </c>
      <c r="G1410" s="301">
        <v>2685.6</v>
      </c>
      <c r="H1410" s="301">
        <f>Tabla15[[#This Row],[Importe]]-Tabla15[[#This Row],[Pagado]]</f>
        <v>0</v>
      </c>
      <c r="I1410" s="275" t="s">
        <v>15214</v>
      </c>
    </row>
    <row r="1411" spans="1:9" ht="45" x14ac:dyDescent="0.25">
      <c r="A1411" s="420">
        <v>43020</v>
      </c>
      <c r="B1411" s="302" t="s">
        <v>33078</v>
      </c>
      <c r="C1411">
        <v>130974</v>
      </c>
      <c r="D1411" s="275" t="s">
        <v>28651</v>
      </c>
      <c r="E1411" s="301">
        <v>9568.7999999999993</v>
      </c>
      <c r="F1411" s="303" t="s">
        <v>33079</v>
      </c>
      <c r="G1411" s="305">
        <f>4700+3000+1868.8</f>
        <v>9568.7999999999993</v>
      </c>
      <c r="H1411" s="305">
        <f>Tabla15[[#This Row],[Importe]]-Tabla15[[#This Row],[Pagado]]</f>
        <v>0</v>
      </c>
      <c r="I1411" s="275" t="s">
        <v>15214</v>
      </c>
    </row>
    <row r="1412" spans="1:9" x14ac:dyDescent="0.25">
      <c r="A1412" s="420">
        <v>43020</v>
      </c>
      <c r="B1412" s="302" t="s">
        <v>33080</v>
      </c>
      <c r="C1412">
        <v>130975</v>
      </c>
      <c r="D1412" s="275" t="s">
        <v>15232</v>
      </c>
      <c r="E1412" s="301">
        <v>5853.4</v>
      </c>
      <c r="F1412" s="303">
        <v>43027</v>
      </c>
      <c r="G1412" s="301">
        <v>5853.4</v>
      </c>
      <c r="H1412" s="301">
        <f>Tabla15[[#This Row],[Importe]]-Tabla15[[#This Row],[Pagado]]</f>
        <v>0</v>
      </c>
      <c r="I1412" s="275" t="s">
        <v>15214</v>
      </c>
    </row>
    <row r="1413" spans="1:9" ht="15.75" x14ac:dyDescent="0.25">
      <c r="A1413" s="420">
        <v>43020</v>
      </c>
      <c r="B1413" s="302" t="s">
        <v>33081</v>
      </c>
      <c r="C1413">
        <v>130976</v>
      </c>
      <c r="D1413" s="248" t="s">
        <v>95</v>
      </c>
      <c r="E1413" s="301">
        <v>0</v>
      </c>
      <c r="F1413" s="243" t="s">
        <v>95</v>
      </c>
      <c r="G1413" s="301">
        <v>0</v>
      </c>
      <c r="H1413" s="301">
        <f>Tabla15[[#This Row],[Importe]]-Tabla15[[#This Row],[Pagado]]</f>
        <v>0</v>
      </c>
      <c r="I1413" s="275" t="s">
        <v>95</v>
      </c>
    </row>
    <row r="1414" spans="1:9" x14ac:dyDescent="0.25">
      <c r="A1414" s="420">
        <v>43020</v>
      </c>
      <c r="B1414" s="302" t="s">
        <v>33082</v>
      </c>
      <c r="C1414">
        <v>130977</v>
      </c>
      <c r="D1414" s="275" t="s">
        <v>15668</v>
      </c>
      <c r="E1414" s="301">
        <v>16694</v>
      </c>
      <c r="F1414" s="303">
        <v>43021</v>
      </c>
      <c r="G1414" s="301">
        <v>16694</v>
      </c>
      <c r="H1414" s="301">
        <f>Tabla15[[#This Row],[Importe]]-Tabla15[[#This Row],[Pagado]]</f>
        <v>0</v>
      </c>
      <c r="I1414" s="275" t="s">
        <v>15214</v>
      </c>
    </row>
    <row r="1415" spans="1:9" x14ac:dyDescent="0.25">
      <c r="A1415" s="420">
        <v>43020</v>
      </c>
      <c r="B1415" s="302" t="s">
        <v>33083</v>
      </c>
      <c r="C1415">
        <v>130978</v>
      </c>
      <c r="D1415" s="275" t="s">
        <v>15261</v>
      </c>
      <c r="E1415" s="301">
        <v>6517.3</v>
      </c>
      <c r="F1415" s="303">
        <v>43020</v>
      </c>
      <c r="G1415" s="301">
        <v>6517.3</v>
      </c>
      <c r="H1415" s="301">
        <f>Tabla15[[#This Row],[Importe]]-Tabla15[[#This Row],[Pagado]]</f>
        <v>0</v>
      </c>
      <c r="I1415" s="275" t="s">
        <v>15214</v>
      </c>
    </row>
    <row r="1416" spans="1:9" x14ac:dyDescent="0.25">
      <c r="A1416" s="420">
        <v>43020</v>
      </c>
      <c r="B1416" s="302" t="s">
        <v>33084</v>
      </c>
      <c r="C1416">
        <v>130979</v>
      </c>
      <c r="D1416" s="275" t="s">
        <v>15248</v>
      </c>
      <c r="E1416" s="301">
        <v>8159.8</v>
      </c>
      <c r="F1416" s="303">
        <v>43020</v>
      </c>
      <c r="G1416" s="301">
        <v>8159.8</v>
      </c>
      <c r="H1416" s="301">
        <f>Tabla15[[#This Row],[Importe]]-Tabla15[[#This Row],[Pagado]]</f>
        <v>0</v>
      </c>
      <c r="I1416" s="275" t="s">
        <v>15214</v>
      </c>
    </row>
    <row r="1417" spans="1:9" x14ac:dyDescent="0.25">
      <c r="A1417" s="420">
        <v>43020</v>
      </c>
      <c r="B1417" s="302" t="s">
        <v>33085</v>
      </c>
      <c r="C1417">
        <v>130980</v>
      </c>
      <c r="D1417" s="275" t="s">
        <v>15261</v>
      </c>
      <c r="E1417" s="301">
        <v>210</v>
      </c>
      <c r="F1417" s="303">
        <v>43020</v>
      </c>
      <c r="G1417" s="301">
        <v>210</v>
      </c>
      <c r="H1417" s="301">
        <f>Tabla15[[#This Row],[Importe]]-Tabla15[[#This Row],[Pagado]]</f>
        <v>0</v>
      </c>
      <c r="I1417" s="275" t="s">
        <v>15214</v>
      </c>
    </row>
    <row r="1418" spans="1:9" x14ac:dyDescent="0.25">
      <c r="A1418" s="420">
        <v>43020</v>
      </c>
      <c r="B1418" s="302" t="s">
        <v>33086</v>
      </c>
      <c r="C1418">
        <v>130981</v>
      </c>
      <c r="D1418" s="275" t="s">
        <v>15480</v>
      </c>
      <c r="E1418" s="301">
        <v>444</v>
      </c>
      <c r="F1418" s="303">
        <v>43022</v>
      </c>
      <c r="G1418" s="301">
        <v>444</v>
      </c>
      <c r="H1418" s="301">
        <f>Tabla15[[#This Row],[Importe]]-Tabla15[[#This Row],[Pagado]]</f>
        <v>0</v>
      </c>
      <c r="I1418" s="275" t="s">
        <v>15214</v>
      </c>
    </row>
    <row r="1419" spans="1:9" x14ac:dyDescent="0.25">
      <c r="A1419" s="420">
        <v>43020</v>
      </c>
      <c r="B1419" s="302" t="s">
        <v>33087</v>
      </c>
      <c r="C1419">
        <v>130982</v>
      </c>
      <c r="D1419" s="275" t="s">
        <v>15238</v>
      </c>
      <c r="E1419" s="301">
        <v>1132.8</v>
      </c>
      <c r="F1419" s="303">
        <v>43024</v>
      </c>
      <c r="G1419" s="301">
        <v>1132.8</v>
      </c>
      <c r="H1419" s="301">
        <f>Tabla15[[#This Row],[Importe]]-Tabla15[[#This Row],[Pagado]]</f>
        <v>0</v>
      </c>
      <c r="I1419" s="275" t="s">
        <v>15214</v>
      </c>
    </row>
    <row r="1420" spans="1:9" x14ac:dyDescent="0.25">
      <c r="A1420" s="420">
        <v>43020</v>
      </c>
      <c r="B1420" s="302" t="s">
        <v>33088</v>
      </c>
      <c r="C1420">
        <v>130983</v>
      </c>
      <c r="D1420" s="275" t="s">
        <v>30057</v>
      </c>
      <c r="E1420" s="301">
        <v>3585.6</v>
      </c>
      <c r="F1420" s="303">
        <v>43021</v>
      </c>
      <c r="G1420" s="301">
        <v>3585.6</v>
      </c>
      <c r="H1420" s="301">
        <f>Tabla15[[#This Row],[Importe]]-Tabla15[[#This Row],[Pagado]]</f>
        <v>0</v>
      </c>
      <c r="I1420" s="275" t="s">
        <v>15214</v>
      </c>
    </row>
    <row r="1421" spans="1:9" x14ac:dyDescent="0.25">
      <c r="A1421" s="420">
        <v>43020</v>
      </c>
      <c r="B1421" s="302" t="s">
        <v>33089</v>
      </c>
      <c r="C1421">
        <v>130984</v>
      </c>
      <c r="D1421" s="275" t="s">
        <v>15220</v>
      </c>
      <c r="E1421" s="301">
        <v>2200</v>
      </c>
      <c r="F1421" s="303">
        <v>43020</v>
      </c>
      <c r="G1421" s="301">
        <v>2200</v>
      </c>
      <c r="H1421" s="301">
        <f>Tabla15[[#This Row],[Importe]]-Tabla15[[#This Row],[Pagado]]</f>
        <v>0</v>
      </c>
      <c r="I1421" s="275" t="s">
        <v>15214</v>
      </c>
    </row>
    <row r="1422" spans="1:9" x14ac:dyDescent="0.25">
      <c r="A1422" s="420">
        <v>43020</v>
      </c>
      <c r="B1422" s="302" t="s">
        <v>33090</v>
      </c>
      <c r="C1422">
        <v>130985</v>
      </c>
      <c r="D1422" s="275" t="s">
        <v>15324</v>
      </c>
      <c r="E1422" s="301">
        <v>2680</v>
      </c>
      <c r="F1422" s="303">
        <v>43020</v>
      </c>
      <c r="G1422" s="301">
        <v>2680</v>
      </c>
      <c r="H1422" s="301">
        <f>Tabla15[[#This Row],[Importe]]-Tabla15[[#This Row],[Pagado]]</f>
        <v>0</v>
      </c>
      <c r="I1422" s="275" t="s">
        <v>15214</v>
      </c>
    </row>
    <row r="1423" spans="1:9" x14ac:dyDescent="0.25">
      <c r="A1423" s="420">
        <v>43020</v>
      </c>
      <c r="B1423" s="302" t="s">
        <v>33091</v>
      </c>
      <c r="C1423">
        <v>130986</v>
      </c>
      <c r="D1423" s="275" t="s">
        <v>15818</v>
      </c>
      <c r="E1423" s="301">
        <v>3887.2</v>
      </c>
      <c r="F1423" s="303">
        <v>43020</v>
      </c>
      <c r="G1423" s="301">
        <v>3887.2</v>
      </c>
      <c r="H1423" s="301">
        <f>Tabla15[[#This Row],[Importe]]-Tabla15[[#This Row],[Pagado]]</f>
        <v>0</v>
      </c>
      <c r="I1423" s="275" t="s">
        <v>15214</v>
      </c>
    </row>
    <row r="1424" spans="1:9" x14ac:dyDescent="0.25">
      <c r="A1424" s="420">
        <v>43020</v>
      </c>
      <c r="B1424" s="302" t="s">
        <v>33092</v>
      </c>
      <c r="C1424">
        <v>130987</v>
      </c>
      <c r="D1424" s="275" t="s">
        <v>15256</v>
      </c>
      <c r="E1424" s="301">
        <v>3591.4</v>
      </c>
      <c r="F1424" s="303">
        <v>43024</v>
      </c>
      <c r="G1424" s="301">
        <v>3591.4</v>
      </c>
      <c r="H1424" s="301">
        <f>Tabla15[[#This Row],[Importe]]-Tabla15[[#This Row],[Pagado]]</f>
        <v>0</v>
      </c>
      <c r="I1424" s="275" t="s">
        <v>15214</v>
      </c>
    </row>
    <row r="1425" spans="1:9" x14ac:dyDescent="0.25">
      <c r="A1425" s="420">
        <v>43020</v>
      </c>
      <c r="B1425" s="302" t="s">
        <v>33093</v>
      </c>
      <c r="C1425">
        <v>130988</v>
      </c>
      <c r="D1425" s="275" t="s">
        <v>15238</v>
      </c>
      <c r="E1425" s="301">
        <v>3126.4</v>
      </c>
      <c r="F1425" s="303">
        <v>43022</v>
      </c>
      <c r="G1425" s="301">
        <v>3126.4</v>
      </c>
      <c r="H1425" s="301">
        <f>Tabla15[[#This Row],[Importe]]-Tabla15[[#This Row],[Pagado]]</f>
        <v>0</v>
      </c>
      <c r="I1425" s="275" t="s">
        <v>15214</v>
      </c>
    </row>
    <row r="1426" spans="1:9" x14ac:dyDescent="0.25">
      <c r="A1426" s="420">
        <v>43020</v>
      </c>
      <c r="B1426" s="302" t="s">
        <v>33094</v>
      </c>
      <c r="C1426">
        <v>130989</v>
      </c>
      <c r="D1426" s="275" t="s">
        <v>15553</v>
      </c>
      <c r="E1426" s="301">
        <v>29987.84</v>
      </c>
      <c r="F1426" s="303">
        <v>43020</v>
      </c>
      <c r="G1426" s="301">
        <v>29987.84</v>
      </c>
      <c r="H1426" s="301">
        <f>Tabla15[[#This Row],[Importe]]-Tabla15[[#This Row],[Pagado]]</f>
        <v>0</v>
      </c>
      <c r="I1426" s="275" t="s">
        <v>15214</v>
      </c>
    </row>
    <row r="1427" spans="1:9" x14ac:dyDescent="0.25">
      <c r="A1427" s="420">
        <v>43020</v>
      </c>
      <c r="B1427" s="302" t="s">
        <v>33095</v>
      </c>
      <c r="C1427">
        <v>130990</v>
      </c>
      <c r="D1427" s="275" t="s">
        <v>15226</v>
      </c>
      <c r="E1427" s="301">
        <v>2147.1999999999998</v>
      </c>
      <c r="F1427" s="303">
        <v>43021</v>
      </c>
      <c r="G1427" s="301">
        <v>2147.1999999999998</v>
      </c>
      <c r="H1427" s="301">
        <f>Tabla15[[#This Row],[Importe]]-Tabla15[[#This Row],[Pagado]]</f>
        <v>0</v>
      </c>
      <c r="I1427" s="275" t="s">
        <v>15214</v>
      </c>
    </row>
    <row r="1428" spans="1:9" x14ac:dyDescent="0.25">
      <c r="A1428" s="420">
        <v>43020</v>
      </c>
      <c r="B1428" s="302" t="s">
        <v>33096</v>
      </c>
      <c r="C1428">
        <v>130991</v>
      </c>
      <c r="D1428" s="275" t="s">
        <v>15835</v>
      </c>
      <c r="E1428" s="301">
        <v>14902.2</v>
      </c>
      <c r="F1428" s="303">
        <v>43020</v>
      </c>
      <c r="G1428" s="301">
        <v>14902.2</v>
      </c>
      <c r="H1428" s="301">
        <f>Tabla15[[#This Row],[Importe]]-Tabla15[[#This Row],[Pagado]]</f>
        <v>0</v>
      </c>
      <c r="I1428" s="275" t="s">
        <v>15214</v>
      </c>
    </row>
    <row r="1429" spans="1:9" x14ac:dyDescent="0.25">
      <c r="A1429" s="420">
        <v>43020</v>
      </c>
      <c r="B1429" s="302" t="s">
        <v>33097</v>
      </c>
      <c r="C1429">
        <v>130992</v>
      </c>
      <c r="D1429" s="275" t="s">
        <v>15596</v>
      </c>
      <c r="E1429" s="301">
        <v>880</v>
      </c>
      <c r="F1429" s="303">
        <v>43020</v>
      </c>
      <c r="G1429" s="301">
        <v>880</v>
      </c>
      <c r="H1429" s="301">
        <f>Tabla15[[#This Row],[Importe]]-Tabla15[[#This Row],[Pagado]]</f>
        <v>0</v>
      </c>
      <c r="I1429" s="275" t="s">
        <v>15214</v>
      </c>
    </row>
    <row r="1430" spans="1:9" x14ac:dyDescent="0.25">
      <c r="A1430" s="420">
        <v>43020</v>
      </c>
      <c r="B1430" s="302" t="s">
        <v>33098</v>
      </c>
      <c r="C1430">
        <v>130993</v>
      </c>
      <c r="D1430" s="275" t="s">
        <v>17462</v>
      </c>
      <c r="E1430" s="301">
        <v>5471.9</v>
      </c>
      <c r="F1430" s="303">
        <v>43020</v>
      </c>
      <c r="G1430" s="301">
        <v>5471.9</v>
      </c>
      <c r="H1430" s="301">
        <f>Tabla15[[#This Row],[Importe]]-Tabla15[[#This Row],[Pagado]]</f>
        <v>0</v>
      </c>
      <c r="I1430" s="275" t="s">
        <v>15214</v>
      </c>
    </row>
    <row r="1431" spans="1:9" x14ac:dyDescent="0.25">
      <c r="A1431" s="420">
        <v>43020</v>
      </c>
      <c r="B1431" s="302" t="s">
        <v>33099</v>
      </c>
      <c r="C1431">
        <v>130994</v>
      </c>
      <c r="D1431" s="275" t="s">
        <v>15371</v>
      </c>
      <c r="E1431" s="301">
        <v>3066.4</v>
      </c>
      <c r="F1431" s="303">
        <v>43021</v>
      </c>
      <c r="G1431" s="301">
        <v>3066.4</v>
      </c>
      <c r="H1431" s="301">
        <f>Tabla15[[#This Row],[Importe]]-Tabla15[[#This Row],[Pagado]]</f>
        <v>0</v>
      </c>
      <c r="I1431" s="275" t="s">
        <v>15214</v>
      </c>
    </row>
    <row r="1432" spans="1:9" x14ac:dyDescent="0.25">
      <c r="A1432" s="420">
        <v>43020</v>
      </c>
      <c r="B1432" s="302" t="s">
        <v>33100</v>
      </c>
      <c r="C1432">
        <v>130995</v>
      </c>
      <c r="D1432" s="275" t="s">
        <v>15590</v>
      </c>
      <c r="E1432" s="301">
        <v>29135.040000000001</v>
      </c>
      <c r="F1432" s="303">
        <v>43032</v>
      </c>
      <c r="G1432" s="301">
        <v>29135.040000000001</v>
      </c>
      <c r="H1432" s="301">
        <f>Tabla15[[#This Row],[Importe]]-Tabla15[[#This Row],[Pagado]]</f>
        <v>0</v>
      </c>
      <c r="I1432" s="275" t="s">
        <v>15214</v>
      </c>
    </row>
    <row r="1433" spans="1:9" x14ac:dyDescent="0.25">
      <c r="A1433" s="420">
        <v>43020</v>
      </c>
      <c r="B1433" s="302" t="s">
        <v>33101</v>
      </c>
      <c r="C1433">
        <v>130996</v>
      </c>
      <c r="D1433" s="275" t="s">
        <v>15263</v>
      </c>
      <c r="E1433" s="301">
        <v>2501.5</v>
      </c>
      <c r="F1433" s="303">
        <v>43020</v>
      </c>
      <c r="G1433" s="301">
        <v>2501.5</v>
      </c>
      <c r="H1433" s="301">
        <f>Tabla15[[#This Row],[Importe]]-Tabla15[[#This Row],[Pagado]]</f>
        <v>0</v>
      </c>
      <c r="I1433" s="275" t="s">
        <v>15214</v>
      </c>
    </row>
    <row r="1434" spans="1:9" x14ac:dyDescent="0.25">
      <c r="A1434" s="420">
        <v>43020</v>
      </c>
      <c r="B1434" s="302" t="s">
        <v>33102</v>
      </c>
      <c r="C1434">
        <v>130997</v>
      </c>
      <c r="D1434" s="275" t="s">
        <v>16383</v>
      </c>
      <c r="E1434" s="301">
        <v>10130.84</v>
      </c>
      <c r="F1434" s="303">
        <v>43020</v>
      </c>
      <c r="G1434" s="301">
        <v>10130.84</v>
      </c>
      <c r="H1434" s="301">
        <f>Tabla15[[#This Row],[Importe]]-Tabla15[[#This Row],[Pagado]]</f>
        <v>0</v>
      </c>
      <c r="I1434" s="275" t="s">
        <v>15214</v>
      </c>
    </row>
    <row r="1435" spans="1:9" x14ac:dyDescent="0.25">
      <c r="A1435" s="420">
        <v>43020</v>
      </c>
      <c r="B1435" s="302" t="s">
        <v>33103</v>
      </c>
      <c r="C1435">
        <v>130998</v>
      </c>
      <c r="D1435" s="275" t="s">
        <v>15315</v>
      </c>
      <c r="E1435" s="301">
        <v>1400</v>
      </c>
      <c r="F1435" s="303">
        <v>43021</v>
      </c>
      <c r="G1435" s="301">
        <v>1400</v>
      </c>
      <c r="H1435" s="301">
        <f>Tabla15[[#This Row],[Importe]]-Tabla15[[#This Row],[Pagado]]</f>
        <v>0</v>
      </c>
      <c r="I1435" s="275" t="s">
        <v>15214</v>
      </c>
    </row>
    <row r="1436" spans="1:9" x14ac:dyDescent="0.25">
      <c r="A1436" s="420">
        <v>43020</v>
      </c>
      <c r="B1436" s="302" t="s">
        <v>33104</v>
      </c>
      <c r="C1436">
        <v>130999</v>
      </c>
      <c r="D1436" s="275" t="s">
        <v>15725</v>
      </c>
      <c r="E1436" s="301">
        <v>25423</v>
      </c>
      <c r="F1436" s="303">
        <v>43022</v>
      </c>
      <c r="G1436" s="301">
        <v>25423</v>
      </c>
      <c r="H1436" s="301">
        <f>Tabla15[[#This Row],[Importe]]-Tabla15[[#This Row],[Pagado]]</f>
        <v>0</v>
      </c>
      <c r="I1436" s="275" t="s">
        <v>15214</v>
      </c>
    </row>
    <row r="1437" spans="1:9" x14ac:dyDescent="0.25">
      <c r="A1437" s="420">
        <v>43020</v>
      </c>
      <c r="B1437" s="302" t="s">
        <v>33105</v>
      </c>
      <c r="C1437">
        <v>131000</v>
      </c>
      <c r="D1437" s="275" t="s">
        <v>15326</v>
      </c>
      <c r="E1437" s="301">
        <v>487.48</v>
      </c>
      <c r="F1437" s="303">
        <v>43020</v>
      </c>
      <c r="G1437" s="301">
        <v>487.48</v>
      </c>
      <c r="H1437" s="301">
        <f>Tabla15[[#This Row],[Importe]]-Tabla15[[#This Row],[Pagado]]</f>
        <v>0</v>
      </c>
      <c r="I1437" s="275" t="s">
        <v>15214</v>
      </c>
    </row>
    <row r="1438" spans="1:9" x14ac:dyDescent="0.25">
      <c r="A1438" s="420">
        <v>43020</v>
      </c>
      <c r="B1438" s="302" t="s">
        <v>33106</v>
      </c>
      <c r="C1438">
        <v>131001</v>
      </c>
      <c r="D1438" s="275" t="s">
        <v>15272</v>
      </c>
      <c r="E1438" s="301">
        <v>11825.7</v>
      </c>
      <c r="F1438" s="303">
        <v>43020</v>
      </c>
      <c r="G1438" s="301">
        <v>11825.7</v>
      </c>
      <c r="H1438" s="301">
        <f>Tabla15[[#This Row],[Importe]]-Tabla15[[#This Row],[Pagado]]</f>
        <v>0</v>
      </c>
      <c r="I1438" s="275" t="s">
        <v>15214</v>
      </c>
    </row>
    <row r="1439" spans="1:9" x14ac:dyDescent="0.25">
      <c r="A1439" s="420">
        <v>43020</v>
      </c>
      <c r="B1439" s="302" t="s">
        <v>33107</v>
      </c>
      <c r="C1439">
        <v>131002</v>
      </c>
      <c r="D1439" s="275" t="s">
        <v>16732</v>
      </c>
      <c r="E1439" s="301">
        <v>30723.64</v>
      </c>
      <c r="F1439" s="303">
        <v>43021</v>
      </c>
      <c r="G1439" s="301">
        <v>30723.64</v>
      </c>
      <c r="H1439" s="301">
        <f>Tabla15[[#This Row],[Importe]]-Tabla15[[#This Row],[Pagado]]</f>
        <v>0</v>
      </c>
      <c r="I1439" s="275" t="s">
        <v>15214</v>
      </c>
    </row>
    <row r="1440" spans="1:9" x14ac:dyDescent="0.25">
      <c r="A1440" s="420">
        <v>43020</v>
      </c>
      <c r="B1440" s="302" t="s">
        <v>33108</v>
      </c>
      <c r="C1440">
        <v>131003</v>
      </c>
      <c r="D1440" s="275" t="s">
        <v>15391</v>
      </c>
      <c r="E1440" s="301">
        <v>6527.4</v>
      </c>
      <c r="F1440" s="303">
        <v>43021</v>
      </c>
      <c r="G1440" s="301">
        <v>6527.4</v>
      </c>
      <c r="H1440" s="301">
        <f>Tabla15[[#This Row],[Importe]]-Tabla15[[#This Row],[Pagado]]</f>
        <v>0</v>
      </c>
      <c r="I1440" s="275" t="s">
        <v>15214</v>
      </c>
    </row>
    <row r="1441" spans="1:9" x14ac:dyDescent="0.25">
      <c r="A1441" s="420">
        <v>43020</v>
      </c>
      <c r="B1441" s="302" t="s">
        <v>33109</v>
      </c>
      <c r="C1441">
        <v>131004</v>
      </c>
      <c r="D1441" s="275" t="s">
        <v>15338</v>
      </c>
      <c r="E1441" s="301">
        <v>11683</v>
      </c>
      <c r="F1441" s="303">
        <v>43024</v>
      </c>
      <c r="G1441" s="301">
        <v>11683</v>
      </c>
      <c r="H1441" s="301">
        <f>Tabla15[[#This Row],[Importe]]-Tabla15[[#This Row],[Pagado]]</f>
        <v>0</v>
      </c>
      <c r="I1441" s="275" t="s">
        <v>15214</v>
      </c>
    </row>
    <row r="1442" spans="1:9" ht="45" x14ac:dyDescent="0.25">
      <c r="A1442" s="420">
        <v>43020</v>
      </c>
      <c r="B1442" s="302" t="s">
        <v>33110</v>
      </c>
      <c r="C1442">
        <v>131005</v>
      </c>
      <c r="D1442" s="275" t="s">
        <v>15228</v>
      </c>
      <c r="E1442" s="301">
        <v>29726.400000000001</v>
      </c>
      <c r="F1442" s="303" t="s">
        <v>33111</v>
      </c>
      <c r="G1442" s="305">
        <f>10000+10000+9726.4</f>
        <v>29726.400000000001</v>
      </c>
      <c r="H1442" s="305">
        <f>Tabla15[[#This Row],[Importe]]-Tabla15[[#This Row],[Pagado]]</f>
        <v>0</v>
      </c>
      <c r="I1442" s="275" t="s">
        <v>15214</v>
      </c>
    </row>
    <row r="1443" spans="1:9" x14ac:dyDescent="0.25">
      <c r="A1443" s="420">
        <v>43020</v>
      </c>
      <c r="B1443" s="302" t="s">
        <v>33112</v>
      </c>
      <c r="C1443">
        <v>131006</v>
      </c>
      <c r="D1443" s="275" t="s">
        <v>15858</v>
      </c>
      <c r="E1443" s="301">
        <v>1171.32</v>
      </c>
      <c r="F1443" s="303">
        <v>43020</v>
      </c>
      <c r="G1443" s="301">
        <v>1171.32</v>
      </c>
      <c r="H1443" s="301">
        <f>Tabla15[[#This Row],[Importe]]-Tabla15[[#This Row],[Pagado]]</f>
        <v>0</v>
      </c>
      <c r="I1443" s="275" t="s">
        <v>15214</v>
      </c>
    </row>
    <row r="1444" spans="1:9" x14ac:dyDescent="0.25">
      <c r="A1444" s="420">
        <v>43020</v>
      </c>
      <c r="B1444" s="302" t="s">
        <v>33113</v>
      </c>
      <c r="C1444">
        <v>131007</v>
      </c>
      <c r="D1444" s="275" t="s">
        <v>15861</v>
      </c>
      <c r="E1444" s="301">
        <v>3697.1</v>
      </c>
      <c r="F1444" s="303">
        <v>43020</v>
      </c>
      <c r="G1444" s="301">
        <v>3697.1</v>
      </c>
      <c r="H1444" s="301">
        <f>Tabla15[[#This Row],[Importe]]-Tabla15[[#This Row],[Pagado]]</f>
        <v>0</v>
      </c>
      <c r="I1444" s="275" t="s">
        <v>15214</v>
      </c>
    </row>
    <row r="1445" spans="1:9" x14ac:dyDescent="0.25">
      <c r="A1445" s="420">
        <v>43020</v>
      </c>
      <c r="B1445" s="302" t="s">
        <v>33114</v>
      </c>
      <c r="C1445">
        <v>131008</v>
      </c>
      <c r="D1445" s="275" t="s">
        <v>15240</v>
      </c>
      <c r="E1445" s="301">
        <v>785.5</v>
      </c>
      <c r="F1445" s="303">
        <v>43020</v>
      </c>
      <c r="G1445" s="301">
        <v>785.5</v>
      </c>
      <c r="H1445" s="301">
        <f>Tabla15[[#This Row],[Importe]]-Tabla15[[#This Row],[Pagado]]</f>
        <v>0</v>
      </c>
      <c r="I1445" s="275" t="s">
        <v>15214</v>
      </c>
    </row>
    <row r="1446" spans="1:9" x14ac:dyDescent="0.25">
      <c r="A1446" s="420">
        <v>43020</v>
      </c>
      <c r="B1446" s="302" t="s">
        <v>33115</v>
      </c>
      <c r="C1446">
        <v>131009</v>
      </c>
      <c r="D1446" s="275" t="s">
        <v>15858</v>
      </c>
      <c r="E1446" s="301">
        <v>351</v>
      </c>
      <c r="F1446" s="303">
        <v>43020</v>
      </c>
      <c r="G1446" s="301">
        <v>351</v>
      </c>
      <c r="H1446" s="301">
        <f>Tabla15[[#This Row],[Importe]]-Tabla15[[#This Row],[Pagado]]</f>
        <v>0</v>
      </c>
      <c r="I1446" s="275" t="s">
        <v>15214</v>
      </c>
    </row>
    <row r="1447" spans="1:9" x14ac:dyDescent="0.25">
      <c r="A1447" s="420">
        <v>43020</v>
      </c>
      <c r="B1447" s="302" t="s">
        <v>33116</v>
      </c>
      <c r="C1447">
        <v>131010</v>
      </c>
      <c r="D1447" s="275" t="s">
        <v>15358</v>
      </c>
      <c r="E1447" s="301">
        <v>1982.4</v>
      </c>
      <c r="F1447" s="303">
        <v>43020</v>
      </c>
      <c r="G1447" s="301">
        <v>1982.4</v>
      </c>
      <c r="H1447" s="301">
        <f>Tabla15[[#This Row],[Importe]]-Tabla15[[#This Row],[Pagado]]</f>
        <v>0</v>
      </c>
      <c r="I1447" s="275" t="s">
        <v>15214</v>
      </c>
    </row>
    <row r="1448" spans="1:9" x14ac:dyDescent="0.25">
      <c r="A1448" s="420">
        <v>43020</v>
      </c>
      <c r="B1448" s="302" t="s">
        <v>33117</v>
      </c>
      <c r="C1448">
        <v>131011</v>
      </c>
      <c r="D1448" s="275" t="s">
        <v>15523</v>
      </c>
      <c r="E1448" s="301">
        <v>1320</v>
      </c>
      <c r="F1448" s="303">
        <v>43020</v>
      </c>
      <c r="G1448" s="301">
        <v>1320</v>
      </c>
      <c r="H1448" s="301">
        <f>Tabla15[[#This Row],[Importe]]-Tabla15[[#This Row],[Pagado]]</f>
        <v>0</v>
      </c>
      <c r="I1448" s="275" t="s">
        <v>15214</v>
      </c>
    </row>
    <row r="1449" spans="1:9" x14ac:dyDescent="0.25">
      <c r="A1449" s="420">
        <v>43020</v>
      </c>
      <c r="B1449" s="302" t="s">
        <v>33118</v>
      </c>
      <c r="C1449">
        <v>131012</v>
      </c>
      <c r="D1449" s="275" t="s">
        <v>16171</v>
      </c>
      <c r="E1449" s="301">
        <v>442.8</v>
      </c>
      <c r="F1449" s="303">
        <v>43020</v>
      </c>
      <c r="G1449" s="301">
        <v>442.8</v>
      </c>
      <c r="H1449" s="301">
        <f>Tabla15[[#This Row],[Importe]]-Tabla15[[#This Row],[Pagado]]</f>
        <v>0</v>
      </c>
      <c r="I1449" s="275" t="s">
        <v>15214</v>
      </c>
    </row>
    <row r="1450" spans="1:9" x14ac:dyDescent="0.25">
      <c r="A1450" s="420">
        <v>43020</v>
      </c>
      <c r="B1450" s="302" t="s">
        <v>33119</v>
      </c>
      <c r="C1450">
        <v>131013</v>
      </c>
      <c r="D1450" s="275" t="s">
        <v>16484</v>
      </c>
      <c r="E1450" s="301">
        <v>1193.4000000000001</v>
      </c>
      <c r="F1450" s="303">
        <v>43020</v>
      </c>
      <c r="G1450" s="301">
        <v>1193.4000000000001</v>
      </c>
      <c r="H1450" s="301">
        <f>Tabla15[[#This Row],[Importe]]-Tabla15[[#This Row],[Pagado]]</f>
        <v>0</v>
      </c>
      <c r="I1450" s="275" t="s">
        <v>15214</v>
      </c>
    </row>
    <row r="1451" spans="1:9" x14ac:dyDescent="0.25">
      <c r="A1451" s="420">
        <v>43020</v>
      </c>
      <c r="B1451" s="302" t="s">
        <v>33120</v>
      </c>
      <c r="C1451">
        <v>131014</v>
      </c>
      <c r="D1451" s="275" t="s">
        <v>15592</v>
      </c>
      <c r="E1451" s="301">
        <v>10577.6</v>
      </c>
      <c r="F1451" s="303">
        <v>43021</v>
      </c>
      <c r="G1451" s="301">
        <v>10577.6</v>
      </c>
      <c r="H1451" s="301">
        <f>Tabla15[[#This Row],[Importe]]-Tabla15[[#This Row],[Pagado]]</f>
        <v>0</v>
      </c>
      <c r="I1451" s="275" t="s">
        <v>15214</v>
      </c>
    </row>
    <row r="1452" spans="1:9" x14ac:dyDescent="0.25">
      <c r="A1452" s="420">
        <v>43020</v>
      </c>
      <c r="B1452" s="302" t="s">
        <v>33121</v>
      </c>
      <c r="C1452">
        <v>131015</v>
      </c>
      <c r="D1452" s="275" t="s">
        <v>15334</v>
      </c>
      <c r="E1452" s="301">
        <v>2592.8000000000002</v>
      </c>
      <c r="F1452" s="303">
        <v>43020</v>
      </c>
      <c r="G1452" s="301">
        <v>2592.8000000000002</v>
      </c>
      <c r="H1452" s="301">
        <f>Tabla15[[#This Row],[Importe]]-Tabla15[[#This Row],[Pagado]]</f>
        <v>0</v>
      </c>
      <c r="I1452" s="275" t="s">
        <v>15214</v>
      </c>
    </row>
    <row r="1453" spans="1:9" x14ac:dyDescent="0.25">
      <c r="A1453" s="420">
        <v>43020</v>
      </c>
      <c r="B1453" s="302" t="s">
        <v>33122</v>
      </c>
      <c r="C1453">
        <v>131016</v>
      </c>
      <c r="D1453" s="275" t="s">
        <v>18544</v>
      </c>
      <c r="E1453" s="301">
        <v>6901.3</v>
      </c>
      <c r="F1453" s="303">
        <v>43020</v>
      </c>
      <c r="G1453" s="301">
        <v>6901.3</v>
      </c>
      <c r="H1453" s="301">
        <f>Tabla15[[#This Row],[Importe]]-Tabla15[[#This Row],[Pagado]]</f>
        <v>0</v>
      </c>
      <c r="I1453" s="275" t="s">
        <v>15214</v>
      </c>
    </row>
    <row r="1454" spans="1:9" x14ac:dyDescent="0.25">
      <c r="A1454" s="420">
        <v>43020</v>
      </c>
      <c r="B1454" s="302" t="s">
        <v>33123</v>
      </c>
      <c r="C1454">
        <v>131017</v>
      </c>
      <c r="D1454" s="275" t="s">
        <v>15361</v>
      </c>
      <c r="E1454" s="301">
        <v>8162.2</v>
      </c>
      <c r="F1454" s="303">
        <v>43021</v>
      </c>
      <c r="G1454" s="301">
        <v>8162.2</v>
      </c>
      <c r="H1454" s="301">
        <f>Tabla15[[#This Row],[Importe]]-Tabla15[[#This Row],[Pagado]]</f>
        <v>0</v>
      </c>
      <c r="I1454" s="275" t="s">
        <v>15214</v>
      </c>
    </row>
    <row r="1455" spans="1:9" x14ac:dyDescent="0.25">
      <c r="A1455" s="420">
        <v>43020</v>
      </c>
      <c r="B1455" s="302" t="s">
        <v>33124</v>
      </c>
      <c r="C1455">
        <v>131018</v>
      </c>
      <c r="D1455" s="275" t="s">
        <v>15315</v>
      </c>
      <c r="E1455" s="301">
        <v>10119.5</v>
      </c>
      <c r="F1455" s="303">
        <v>43020</v>
      </c>
      <c r="G1455" s="301">
        <v>10119.5</v>
      </c>
      <c r="H1455" s="301">
        <f>Tabla15[[#This Row],[Importe]]-Tabla15[[#This Row],[Pagado]]</f>
        <v>0</v>
      </c>
      <c r="I1455" s="275" t="s">
        <v>15214</v>
      </c>
    </row>
    <row r="1456" spans="1:9" x14ac:dyDescent="0.25">
      <c r="A1456" s="420">
        <v>43020</v>
      </c>
      <c r="B1456" s="302" t="s">
        <v>33125</v>
      </c>
      <c r="C1456">
        <v>131019</v>
      </c>
      <c r="D1456" s="275" t="s">
        <v>15240</v>
      </c>
      <c r="E1456" s="301">
        <v>2889</v>
      </c>
      <c r="F1456" s="303">
        <v>43021</v>
      </c>
      <c r="G1456" s="301">
        <v>2889</v>
      </c>
      <c r="H1456" s="301">
        <f>Tabla15[[#This Row],[Importe]]-Tabla15[[#This Row],[Pagado]]</f>
        <v>0</v>
      </c>
      <c r="I1456" s="275" t="s">
        <v>15214</v>
      </c>
    </row>
    <row r="1457" spans="1:9" ht="15.75" x14ac:dyDescent="0.25">
      <c r="A1457" s="420">
        <v>43020</v>
      </c>
      <c r="B1457" s="302" t="s">
        <v>33126</v>
      </c>
      <c r="C1457">
        <v>131020</v>
      </c>
      <c r="D1457" s="248" t="s">
        <v>95</v>
      </c>
      <c r="E1457" s="301">
        <v>0</v>
      </c>
      <c r="F1457" s="243" t="s">
        <v>95</v>
      </c>
      <c r="G1457" s="301">
        <v>0</v>
      </c>
      <c r="H1457" s="301">
        <f>Tabla15[[#This Row],[Importe]]-Tabla15[[#This Row],[Pagado]]</f>
        <v>0</v>
      </c>
      <c r="I1457" s="275" t="s">
        <v>95</v>
      </c>
    </row>
    <row r="1458" spans="1:9" x14ac:dyDescent="0.25">
      <c r="A1458" s="420">
        <v>43020</v>
      </c>
      <c r="B1458" s="302" t="s">
        <v>33127</v>
      </c>
      <c r="C1458">
        <v>131021</v>
      </c>
      <c r="D1458" s="275" t="s">
        <v>15748</v>
      </c>
      <c r="E1458" s="301">
        <v>1311.72</v>
      </c>
      <c r="F1458" s="303">
        <v>43020</v>
      </c>
      <c r="G1458" s="301">
        <v>1311.72</v>
      </c>
      <c r="H1458" s="301">
        <f>Tabla15[[#This Row],[Importe]]-Tabla15[[#This Row],[Pagado]]</f>
        <v>0</v>
      </c>
      <c r="I1458" s="275" t="s">
        <v>15214</v>
      </c>
    </row>
    <row r="1459" spans="1:9" x14ac:dyDescent="0.25">
      <c r="A1459" s="420">
        <v>43020</v>
      </c>
      <c r="B1459" s="302" t="s">
        <v>33128</v>
      </c>
      <c r="C1459">
        <v>131022</v>
      </c>
      <c r="D1459" s="275" t="s">
        <v>15284</v>
      </c>
      <c r="E1459" s="301">
        <v>1573.4</v>
      </c>
      <c r="F1459" s="303">
        <v>43020</v>
      </c>
      <c r="G1459" s="301">
        <v>1573.4</v>
      </c>
      <c r="H1459" s="301">
        <f>Tabla15[[#This Row],[Importe]]-Tabla15[[#This Row],[Pagado]]</f>
        <v>0</v>
      </c>
      <c r="I1459" s="275" t="s">
        <v>15214</v>
      </c>
    </row>
    <row r="1460" spans="1:9" x14ac:dyDescent="0.25">
      <c r="A1460" s="420">
        <v>43020</v>
      </c>
      <c r="B1460" s="302" t="s">
        <v>33129</v>
      </c>
      <c r="C1460">
        <v>131023</v>
      </c>
      <c r="D1460" s="275" t="s">
        <v>17708</v>
      </c>
      <c r="E1460" s="301">
        <v>6135</v>
      </c>
      <c r="F1460" s="303">
        <v>43021</v>
      </c>
      <c r="G1460" s="301">
        <v>6135</v>
      </c>
      <c r="H1460" s="301">
        <f>Tabla15[[#This Row],[Importe]]-Tabla15[[#This Row],[Pagado]]</f>
        <v>0</v>
      </c>
      <c r="I1460" s="275" t="s">
        <v>15214</v>
      </c>
    </row>
    <row r="1461" spans="1:9" x14ac:dyDescent="0.25">
      <c r="A1461" s="420">
        <v>43020</v>
      </c>
      <c r="B1461" s="302" t="s">
        <v>33130</v>
      </c>
      <c r="C1461">
        <v>131024</v>
      </c>
      <c r="D1461" s="275" t="s">
        <v>15315</v>
      </c>
      <c r="E1461" s="301">
        <v>134</v>
      </c>
      <c r="F1461" s="303">
        <v>43020</v>
      </c>
      <c r="G1461" s="301">
        <v>134</v>
      </c>
      <c r="H1461" s="301">
        <f>Tabla15[[#This Row],[Importe]]-Tabla15[[#This Row],[Pagado]]</f>
        <v>0</v>
      </c>
      <c r="I1461" s="275" t="s">
        <v>15214</v>
      </c>
    </row>
    <row r="1462" spans="1:9" x14ac:dyDescent="0.25">
      <c r="A1462" s="420">
        <v>43020</v>
      </c>
      <c r="B1462" s="302" t="s">
        <v>33131</v>
      </c>
      <c r="C1462">
        <v>131025</v>
      </c>
      <c r="D1462" s="275" t="s">
        <v>15581</v>
      </c>
      <c r="E1462" s="301">
        <v>10830.4</v>
      </c>
      <c r="F1462" s="303">
        <v>43025</v>
      </c>
      <c r="G1462" s="301">
        <v>10830.4</v>
      </c>
      <c r="H1462" s="301">
        <f>Tabla15[[#This Row],[Importe]]-Tabla15[[#This Row],[Pagado]]</f>
        <v>0</v>
      </c>
      <c r="I1462" s="275" t="s">
        <v>15214</v>
      </c>
    </row>
    <row r="1463" spans="1:9" x14ac:dyDescent="0.25">
      <c r="A1463" s="420">
        <v>43020</v>
      </c>
      <c r="B1463" s="302" t="s">
        <v>33132</v>
      </c>
      <c r="C1463">
        <v>131026</v>
      </c>
      <c r="D1463" s="275" t="s">
        <v>16229</v>
      </c>
      <c r="E1463" s="301">
        <v>3993</v>
      </c>
      <c r="F1463" s="303">
        <v>43020</v>
      </c>
      <c r="G1463" s="301">
        <v>3993</v>
      </c>
      <c r="H1463" s="301">
        <f>Tabla15[[#This Row],[Importe]]-Tabla15[[#This Row],[Pagado]]</f>
        <v>0</v>
      </c>
      <c r="I1463" s="275" t="s">
        <v>15214</v>
      </c>
    </row>
    <row r="1464" spans="1:9" x14ac:dyDescent="0.25">
      <c r="A1464" s="420">
        <v>43020</v>
      </c>
      <c r="B1464" s="302" t="s">
        <v>33133</v>
      </c>
      <c r="C1464">
        <v>131027</v>
      </c>
      <c r="D1464" s="275" t="s">
        <v>15583</v>
      </c>
      <c r="E1464" s="301">
        <v>1391.2</v>
      </c>
      <c r="F1464" s="303">
        <v>43021</v>
      </c>
      <c r="G1464" s="301">
        <v>1391.2</v>
      </c>
      <c r="H1464" s="301">
        <f>Tabla15[[#This Row],[Importe]]-Tabla15[[#This Row],[Pagado]]</f>
        <v>0</v>
      </c>
      <c r="I1464" s="275" t="s">
        <v>15214</v>
      </c>
    </row>
    <row r="1465" spans="1:9" x14ac:dyDescent="0.25">
      <c r="A1465" s="420">
        <v>43020</v>
      </c>
      <c r="B1465" s="302" t="s">
        <v>33134</v>
      </c>
      <c r="C1465">
        <v>131028</v>
      </c>
      <c r="D1465" s="275" t="s">
        <v>15291</v>
      </c>
      <c r="E1465" s="301">
        <v>1095.5999999999999</v>
      </c>
      <c r="F1465" s="303">
        <v>43020</v>
      </c>
      <c r="G1465" s="301">
        <v>1095.5999999999999</v>
      </c>
      <c r="H1465" s="301">
        <f>Tabla15[[#This Row],[Importe]]-Tabla15[[#This Row],[Pagado]]</f>
        <v>0</v>
      </c>
      <c r="I1465" s="275" t="s">
        <v>15214</v>
      </c>
    </row>
    <row r="1466" spans="1:9" x14ac:dyDescent="0.25">
      <c r="A1466" s="420">
        <v>43020</v>
      </c>
      <c r="B1466" s="302" t="s">
        <v>33135</v>
      </c>
      <c r="C1466">
        <v>131029</v>
      </c>
      <c r="D1466" s="275" t="s">
        <v>15305</v>
      </c>
      <c r="E1466" s="301">
        <v>1576.3</v>
      </c>
      <c r="F1466" s="303">
        <v>43020</v>
      </c>
      <c r="G1466" s="301">
        <v>1576.3</v>
      </c>
      <c r="H1466" s="301">
        <f>Tabla15[[#This Row],[Importe]]-Tabla15[[#This Row],[Pagado]]</f>
        <v>0</v>
      </c>
      <c r="I1466" s="275" t="s">
        <v>15214</v>
      </c>
    </row>
    <row r="1467" spans="1:9" x14ac:dyDescent="0.25">
      <c r="A1467" s="420">
        <v>43020</v>
      </c>
      <c r="B1467" s="302" t="s">
        <v>33136</v>
      </c>
      <c r="C1467">
        <v>131030</v>
      </c>
      <c r="D1467" s="275" t="s">
        <v>15387</v>
      </c>
      <c r="E1467" s="301">
        <v>1470.8</v>
      </c>
      <c r="F1467" s="303">
        <v>43021</v>
      </c>
      <c r="G1467" s="301">
        <v>1470.8</v>
      </c>
      <c r="H1467" s="301">
        <f>Tabla15[[#This Row],[Importe]]-Tabla15[[#This Row],[Pagado]]</f>
        <v>0</v>
      </c>
      <c r="I1467" s="275" t="s">
        <v>15214</v>
      </c>
    </row>
    <row r="1468" spans="1:9" x14ac:dyDescent="0.25">
      <c r="A1468" s="420">
        <v>43020</v>
      </c>
      <c r="B1468" s="302" t="s">
        <v>33137</v>
      </c>
      <c r="C1468">
        <v>131031</v>
      </c>
      <c r="D1468" s="275" t="s">
        <v>15315</v>
      </c>
      <c r="E1468" s="301">
        <v>12614.4</v>
      </c>
      <c r="F1468" s="303">
        <v>43021</v>
      </c>
      <c r="G1468" s="301">
        <v>12614.4</v>
      </c>
      <c r="H1468" s="301">
        <f>Tabla15[[#This Row],[Importe]]-Tabla15[[#This Row],[Pagado]]</f>
        <v>0</v>
      </c>
      <c r="I1468" s="275" t="s">
        <v>15214</v>
      </c>
    </row>
    <row r="1469" spans="1:9" x14ac:dyDescent="0.25">
      <c r="A1469" s="420">
        <v>43020</v>
      </c>
      <c r="B1469" s="302" t="s">
        <v>33138</v>
      </c>
      <c r="C1469">
        <v>131032</v>
      </c>
      <c r="D1469" s="275" t="s">
        <v>23206</v>
      </c>
      <c r="E1469" s="301">
        <v>6186.9</v>
      </c>
      <c r="F1469" s="303">
        <v>43020</v>
      </c>
      <c r="G1469" s="301">
        <v>6186.9</v>
      </c>
      <c r="H1469" s="301">
        <f>Tabla15[[#This Row],[Importe]]-Tabla15[[#This Row],[Pagado]]</f>
        <v>0</v>
      </c>
      <c r="I1469" s="275" t="s">
        <v>15214</v>
      </c>
    </row>
    <row r="1470" spans="1:9" x14ac:dyDescent="0.25">
      <c r="A1470" s="420">
        <v>43020</v>
      </c>
      <c r="B1470" s="302" t="s">
        <v>33139</v>
      </c>
      <c r="C1470">
        <v>131033</v>
      </c>
      <c r="D1470" s="275" t="s">
        <v>15309</v>
      </c>
      <c r="E1470" s="301">
        <v>16238</v>
      </c>
      <c r="F1470" s="303">
        <v>43020</v>
      </c>
      <c r="G1470" s="301">
        <v>16238</v>
      </c>
      <c r="H1470" s="301">
        <f>Tabla15[[#This Row],[Importe]]-Tabla15[[#This Row],[Pagado]]</f>
        <v>0</v>
      </c>
      <c r="I1470" s="275" t="s">
        <v>15214</v>
      </c>
    </row>
    <row r="1471" spans="1:9" x14ac:dyDescent="0.25">
      <c r="A1471" s="420">
        <v>43020</v>
      </c>
      <c r="B1471" s="302" t="s">
        <v>33140</v>
      </c>
      <c r="C1471">
        <v>131034</v>
      </c>
      <c r="D1471" s="275" t="s">
        <v>5828</v>
      </c>
      <c r="E1471" s="301">
        <v>8957.2000000000007</v>
      </c>
      <c r="F1471" s="303">
        <v>43020</v>
      </c>
      <c r="G1471" s="301">
        <v>8957.2000000000007</v>
      </c>
      <c r="H1471" s="301">
        <f>Tabla15[[#This Row],[Importe]]-Tabla15[[#This Row],[Pagado]]</f>
        <v>0</v>
      </c>
      <c r="I1471" s="275" t="s">
        <v>15214</v>
      </c>
    </row>
    <row r="1472" spans="1:9" x14ac:dyDescent="0.25">
      <c r="A1472" s="420">
        <v>43020</v>
      </c>
      <c r="B1472" s="302" t="s">
        <v>33141</v>
      </c>
      <c r="C1472">
        <v>131035</v>
      </c>
      <c r="D1472" s="275" t="s">
        <v>15246</v>
      </c>
      <c r="E1472" s="301">
        <v>5487.6</v>
      </c>
      <c r="F1472" s="303">
        <v>43025</v>
      </c>
      <c r="G1472" s="301">
        <v>5487.6</v>
      </c>
      <c r="H1472" s="301">
        <f>Tabla15[[#This Row],[Importe]]-Tabla15[[#This Row],[Pagado]]</f>
        <v>0</v>
      </c>
      <c r="I1472" s="275" t="s">
        <v>15214</v>
      </c>
    </row>
    <row r="1473" spans="1:9" x14ac:dyDescent="0.25">
      <c r="A1473" s="420">
        <v>43020</v>
      </c>
      <c r="B1473" s="302" t="s">
        <v>33142</v>
      </c>
      <c r="C1473">
        <v>131036</v>
      </c>
      <c r="D1473" s="275" t="s">
        <v>15313</v>
      </c>
      <c r="E1473" s="301">
        <v>5825.1</v>
      </c>
      <c r="F1473" s="303">
        <v>43023</v>
      </c>
      <c r="G1473" s="301">
        <v>5825.1</v>
      </c>
      <c r="H1473" s="301">
        <f>Tabla15[[#This Row],[Importe]]-Tabla15[[#This Row],[Pagado]]</f>
        <v>0</v>
      </c>
      <c r="I1473" s="275" t="s">
        <v>15214</v>
      </c>
    </row>
    <row r="1474" spans="1:9" x14ac:dyDescent="0.25">
      <c r="A1474" s="420">
        <v>43020</v>
      </c>
      <c r="B1474" s="302" t="s">
        <v>33143</v>
      </c>
      <c r="C1474">
        <v>131037</v>
      </c>
      <c r="D1474" s="275" t="s">
        <v>15280</v>
      </c>
      <c r="E1474" s="301">
        <v>10394.799999999999</v>
      </c>
      <c r="F1474" s="303">
        <v>43020</v>
      </c>
      <c r="G1474" s="301">
        <v>10394.799999999999</v>
      </c>
      <c r="H1474" s="301">
        <f>Tabla15[[#This Row],[Importe]]-Tabla15[[#This Row],[Pagado]]</f>
        <v>0</v>
      </c>
      <c r="I1474" s="275" t="s">
        <v>15214</v>
      </c>
    </row>
    <row r="1475" spans="1:9" x14ac:dyDescent="0.25">
      <c r="A1475" s="420">
        <v>43020</v>
      </c>
      <c r="B1475" s="302" t="s">
        <v>33144</v>
      </c>
      <c r="C1475">
        <v>131038</v>
      </c>
      <c r="D1475" s="275" t="s">
        <v>15250</v>
      </c>
      <c r="E1475" s="301">
        <v>70391.88</v>
      </c>
      <c r="F1475" s="303">
        <v>43027</v>
      </c>
      <c r="G1475" s="301">
        <v>70391.88</v>
      </c>
      <c r="H1475" s="301">
        <f>Tabla15[[#This Row],[Importe]]-Tabla15[[#This Row],[Pagado]]</f>
        <v>0</v>
      </c>
      <c r="I1475" s="275" t="s">
        <v>15214</v>
      </c>
    </row>
    <row r="1476" spans="1:9" x14ac:dyDescent="0.25">
      <c r="A1476" s="420">
        <v>43020</v>
      </c>
      <c r="B1476" s="302" t="s">
        <v>33145</v>
      </c>
      <c r="C1476">
        <v>131039</v>
      </c>
      <c r="D1476" s="275" t="s">
        <v>15530</v>
      </c>
      <c r="E1476" s="301">
        <v>1744.4</v>
      </c>
      <c r="F1476" s="303">
        <v>43020</v>
      </c>
      <c r="G1476" s="301">
        <v>1744.4</v>
      </c>
      <c r="H1476" s="301">
        <f>Tabla15[[#This Row],[Importe]]-Tabla15[[#This Row],[Pagado]]</f>
        <v>0</v>
      </c>
      <c r="I1476" s="275" t="s">
        <v>15214</v>
      </c>
    </row>
    <row r="1477" spans="1:9" x14ac:dyDescent="0.25">
      <c r="A1477" s="420">
        <v>43020</v>
      </c>
      <c r="B1477" s="302" t="s">
        <v>33146</v>
      </c>
      <c r="C1477">
        <v>131040</v>
      </c>
      <c r="D1477" s="275" t="s">
        <v>15309</v>
      </c>
      <c r="E1477" s="301">
        <v>129.6</v>
      </c>
      <c r="F1477" s="303">
        <v>43020</v>
      </c>
      <c r="G1477" s="301">
        <v>129.6</v>
      </c>
      <c r="H1477" s="301">
        <f>Tabla15[[#This Row],[Importe]]-Tabla15[[#This Row],[Pagado]]</f>
        <v>0</v>
      </c>
      <c r="I1477" s="275" t="s">
        <v>15214</v>
      </c>
    </row>
    <row r="1478" spans="1:9" x14ac:dyDescent="0.25">
      <c r="A1478" s="420">
        <v>43020</v>
      </c>
      <c r="B1478" s="302" t="s">
        <v>33147</v>
      </c>
      <c r="C1478">
        <v>131041</v>
      </c>
      <c r="D1478" s="275" t="s">
        <v>15311</v>
      </c>
      <c r="E1478" s="301">
        <v>286</v>
      </c>
      <c r="F1478" s="303">
        <v>43020</v>
      </c>
      <c r="G1478" s="301">
        <v>286</v>
      </c>
      <c r="H1478" s="301">
        <f>Tabla15[[#This Row],[Importe]]-Tabla15[[#This Row],[Pagado]]</f>
        <v>0</v>
      </c>
      <c r="I1478" s="275" t="s">
        <v>15214</v>
      </c>
    </row>
    <row r="1479" spans="1:9" x14ac:dyDescent="0.25">
      <c r="A1479" s="420">
        <v>43020</v>
      </c>
      <c r="B1479" s="302" t="s">
        <v>33148</v>
      </c>
      <c r="C1479">
        <v>131042</v>
      </c>
      <c r="D1479" s="275" t="s">
        <v>15444</v>
      </c>
      <c r="E1479" s="301">
        <v>5062.6000000000004</v>
      </c>
      <c r="F1479" s="303">
        <v>43020</v>
      </c>
      <c r="G1479" s="301">
        <v>5062.6000000000004</v>
      </c>
      <c r="H1479" s="301">
        <f>Tabla15[[#This Row],[Importe]]-Tabla15[[#This Row],[Pagado]]</f>
        <v>0</v>
      </c>
      <c r="I1479" s="275" t="s">
        <v>15214</v>
      </c>
    </row>
    <row r="1480" spans="1:9" x14ac:dyDescent="0.25">
      <c r="A1480" s="420">
        <v>43020</v>
      </c>
      <c r="B1480" s="302" t="s">
        <v>33149</v>
      </c>
      <c r="C1480">
        <v>131043</v>
      </c>
      <c r="D1480" s="275" t="s">
        <v>15254</v>
      </c>
      <c r="E1480" s="301">
        <v>4249.7</v>
      </c>
      <c r="F1480" s="303">
        <v>43021</v>
      </c>
      <c r="G1480" s="301">
        <v>4249.7</v>
      </c>
      <c r="H1480" s="301">
        <f>Tabla15[[#This Row],[Importe]]-Tabla15[[#This Row],[Pagado]]</f>
        <v>0</v>
      </c>
      <c r="I1480" s="275" t="s">
        <v>15214</v>
      </c>
    </row>
    <row r="1481" spans="1:9" x14ac:dyDescent="0.25">
      <c r="A1481" s="420">
        <v>43020</v>
      </c>
      <c r="B1481" s="302" t="s">
        <v>33150</v>
      </c>
      <c r="C1481">
        <v>131044</v>
      </c>
      <c r="D1481" s="275" t="s">
        <v>15252</v>
      </c>
      <c r="E1481" s="301">
        <v>3635.9</v>
      </c>
      <c r="F1481" s="303">
        <v>43021</v>
      </c>
      <c r="G1481" s="301">
        <v>3635.9</v>
      </c>
      <c r="H1481" s="301">
        <f>Tabla15[[#This Row],[Importe]]-Tabla15[[#This Row],[Pagado]]</f>
        <v>0</v>
      </c>
      <c r="I1481" s="275" t="s">
        <v>15214</v>
      </c>
    </row>
    <row r="1482" spans="1:9" ht="15.75" x14ac:dyDescent="0.25">
      <c r="A1482" s="420">
        <v>43020</v>
      </c>
      <c r="B1482" s="302" t="s">
        <v>33151</v>
      </c>
      <c r="C1482">
        <v>131045</v>
      </c>
      <c r="D1482" s="248" t="s">
        <v>95</v>
      </c>
      <c r="E1482" s="301">
        <v>0</v>
      </c>
      <c r="F1482" s="243" t="s">
        <v>95</v>
      </c>
      <c r="G1482" s="301">
        <v>0</v>
      </c>
      <c r="H1482" s="301">
        <f>Tabla15[[#This Row],[Importe]]-Tabla15[[#This Row],[Pagado]]</f>
        <v>0</v>
      </c>
      <c r="I1482" s="275" t="s">
        <v>95</v>
      </c>
    </row>
    <row r="1483" spans="1:9" x14ac:dyDescent="0.25">
      <c r="A1483" s="420">
        <v>43020</v>
      </c>
      <c r="B1483" s="302" t="s">
        <v>33152</v>
      </c>
      <c r="C1483">
        <v>131046</v>
      </c>
      <c r="D1483" s="275" t="s">
        <v>23937</v>
      </c>
      <c r="E1483" s="301">
        <v>3172.5</v>
      </c>
      <c r="F1483" s="303">
        <v>43020</v>
      </c>
      <c r="G1483" s="301">
        <v>3172.5</v>
      </c>
      <c r="H1483" s="301">
        <f>Tabla15[[#This Row],[Importe]]-Tabla15[[#This Row],[Pagado]]</f>
        <v>0</v>
      </c>
      <c r="I1483" s="275" t="s">
        <v>15214</v>
      </c>
    </row>
    <row r="1484" spans="1:9" x14ac:dyDescent="0.25">
      <c r="A1484" s="420">
        <v>43020</v>
      </c>
      <c r="B1484" s="302" t="s">
        <v>33153</v>
      </c>
      <c r="C1484">
        <v>131047</v>
      </c>
      <c r="D1484" s="275" t="s">
        <v>15624</v>
      </c>
      <c r="E1484" s="301">
        <v>29276.48</v>
      </c>
      <c r="F1484" s="303">
        <v>43022</v>
      </c>
      <c r="G1484" s="301">
        <v>29276.48</v>
      </c>
      <c r="H1484" s="301">
        <f>Tabla15[[#This Row],[Importe]]-Tabla15[[#This Row],[Pagado]]</f>
        <v>0</v>
      </c>
      <c r="I1484" s="275" t="s">
        <v>15214</v>
      </c>
    </row>
    <row r="1485" spans="1:9" x14ac:dyDescent="0.25">
      <c r="A1485" s="420">
        <v>43020</v>
      </c>
      <c r="B1485" s="302" t="s">
        <v>33154</v>
      </c>
      <c r="C1485">
        <v>131048</v>
      </c>
      <c r="D1485" s="275" t="s">
        <v>15398</v>
      </c>
      <c r="E1485" s="301">
        <v>8202.7000000000007</v>
      </c>
      <c r="F1485" s="303">
        <v>43038</v>
      </c>
      <c r="G1485" s="301">
        <v>8202.7000000000007</v>
      </c>
      <c r="H1485" s="301">
        <f>Tabla15[[#This Row],[Importe]]-Tabla15[[#This Row],[Pagado]]</f>
        <v>0</v>
      </c>
      <c r="I1485" s="275" t="s">
        <v>15214</v>
      </c>
    </row>
    <row r="1486" spans="1:9" x14ac:dyDescent="0.25">
      <c r="A1486" s="420">
        <v>43020</v>
      </c>
      <c r="B1486" s="302" t="s">
        <v>33155</v>
      </c>
      <c r="C1486">
        <v>131049</v>
      </c>
      <c r="D1486" s="275" t="s">
        <v>16126</v>
      </c>
      <c r="E1486" s="301">
        <v>5844.9</v>
      </c>
      <c r="F1486" s="303">
        <v>43020</v>
      </c>
      <c r="G1486" s="301">
        <v>5844.9</v>
      </c>
      <c r="H1486" s="301">
        <f>Tabla15[[#This Row],[Importe]]-Tabla15[[#This Row],[Pagado]]</f>
        <v>0</v>
      </c>
      <c r="I1486" s="275" t="s">
        <v>15214</v>
      </c>
    </row>
    <row r="1487" spans="1:9" x14ac:dyDescent="0.25">
      <c r="A1487" s="420">
        <v>43020</v>
      </c>
      <c r="B1487" s="302" t="s">
        <v>33156</v>
      </c>
      <c r="C1487">
        <v>131050</v>
      </c>
      <c r="D1487" s="275" t="s">
        <v>15699</v>
      </c>
      <c r="E1487" s="301">
        <v>3464.4</v>
      </c>
      <c r="F1487" s="303">
        <v>43021</v>
      </c>
      <c r="G1487" s="301">
        <v>3464.4</v>
      </c>
      <c r="H1487" s="301">
        <f>Tabla15[[#This Row],[Importe]]-Tabla15[[#This Row],[Pagado]]</f>
        <v>0</v>
      </c>
      <c r="I1487" s="275" t="s">
        <v>15214</v>
      </c>
    </row>
    <row r="1488" spans="1:9" x14ac:dyDescent="0.25">
      <c r="A1488" s="420">
        <v>43020</v>
      </c>
      <c r="B1488" s="302" t="s">
        <v>33157</v>
      </c>
      <c r="C1488">
        <v>131051</v>
      </c>
      <c r="D1488" s="275" t="s">
        <v>15537</v>
      </c>
      <c r="E1488" s="301">
        <v>15998.4</v>
      </c>
      <c r="F1488" s="303">
        <v>43021</v>
      </c>
      <c r="G1488" s="301">
        <v>15998.4</v>
      </c>
      <c r="H1488" s="301">
        <f>Tabla15[[#This Row],[Importe]]-Tabla15[[#This Row],[Pagado]]</f>
        <v>0</v>
      </c>
      <c r="I1488" s="275" t="s">
        <v>15214</v>
      </c>
    </row>
    <row r="1489" spans="1:9" x14ac:dyDescent="0.25">
      <c r="A1489" s="420">
        <v>43020</v>
      </c>
      <c r="B1489" s="302" t="s">
        <v>33158</v>
      </c>
      <c r="C1489">
        <v>131052</v>
      </c>
      <c r="D1489" s="275" t="s">
        <v>15903</v>
      </c>
      <c r="E1489" s="301">
        <v>35235.199999999997</v>
      </c>
      <c r="F1489" s="303">
        <v>43020</v>
      </c>
      <c r="G1489" s="301">
        <v>35235.199999999997</v>
      </c>
      <c r="H1489" s="301">
        <f>Tabla15[[#This Row],[Importe]]-Tabla15[[#This Row],[Pagado]]</f>
        <v>0</v>
      </c>
      <c r="I1489" s="275" t="s">
        <v>15214</v>
      </c>
    </row>
    <row r="1490" spans="1:9" x14ac:dyDescent="0.25">
      <c r="A1490" s="420">
        <v>43020</v>
      </c>
      <c r="B1490" s="302" t="s">
        <v>33159</v>
      </c>
      <c r="C1490">
        <v>131053</v>
      </c>
      <c r="D1490" s="275" t="s">
        <v>15557</v>
      </c>
      <c r="E1490" s="301">
        <v>965.1</v>
      </c>
      <c r="F1490" s="303">
        <v>43021</v>
      </c>
      <c r="G1490" s="301">
        <v>965.1</v>
      </c>
      <c r="H1490" s="301">
        <f>Tabla15[[#This Row],[Importe]]-Tabla15[[#This Row],[Pagado]]</f>
        <v>0</v>
      </c>
      <c r="I1490" s="275" t="s">
        <v>15214</v>
      </c>
    </row>
    <row r="1491" spans="1:9" x14ac:dyDescent="0.25">
      <c r="A1491" s="420">
        <v>43020</v>
      </c>
      <c r="B1491" s="302" t="s">
        <v>33160</v>
      </c>
      <c r="C1491">
        <v>131054</v>
      </c>
      <c r="D1491" s="275" t="s">
        <v>15699</v>
      </c>
      <c r="E1491" s="301">
        <v>31162.74</v>
      </c>
      <c r="F1491" s="303">
        <v>43021</v>
      </c>
      <c r="G1491" s="301">
        <v>31162.74</v>
      </c>
      <c r="H1491" s="301">
        <f>Tabla15[[#This Row],[Importe]]-Tabla15[[#This Row],[Pagado]]</f>
        <v>0</v>
      </c>
      <c r="I1491" s="275" t="s">
        <v>15214</v>
      </c>
    </row>
    <row r="1492" spans="1:9" x14ac:dyDescent="0.25">
      <c r="A1492" s="420">
        <v>43020</v>
      </c>
      <c r="B1492" s="302" t="s">
        <v>33161</v>
      </c>
      <c r="C1492">
        <v>131055</v>
      </c>
      <c r="D1492" s="275" t="s">
        <v>15559</v>
      </c>
      <c r="E1492" s="301">
        <v>6152.4</v>
      </c>
      <c r="F1492" s="303">
        <v>43021</v>
      </c>
      <c r="G1492" s="301">
        <v>6152.4</v>
      </c>
      <c r="H1492" s="301">
        <f>Tabla15[[#This Row],[Importe]]-Tabla15[[#This Row],[Pagado]]</f>
        <v>0</v>
      </c>
      <c r="I1492" s="275" t="s">
        <v>15214</v>
      </c>
    </row>
    <row r="1493" spans="1:9" x14ac:dyDescent="0.25">
      <c r="A1493" s="420">
        <v>43020</v>
      </c>
      <c r="B1493" s="302" t="s">
        <v>33162</v>
      </c>
      <c r="C1493">
        <v>131056</v>
      </c>
      <c r="D1493" s="275" t="s">
        <v>15555</v>
      </c>
      <c r="E1493" s="301">
        <v>2888.6</v>
      </c>
      <c r="F1493" s="303">
        <v>43021</v>
      </c>
      <c r="G1493" s="301">
        <v>2888.6</v>
      </c>
      <c r="H1493" s="301">
        <f>Tabla15[[#This Row],[Importe]]-Tabla15[[#This Row],[Pagado]]</f>
        <v>0</v>
      </c>
      <c r="I1493" s="275" t="s">
        <v>15214</v>
      </c>
    </row>
    <row r="1494" spans="1:9" x14ac:dyDescent="0.25">
      <c r="A1494" s="420">
        <v>43020</v>
      </c>
      <c r="B1494" s="302" t="s">
        <v>33163</v>
      </c>
      <c r="C1494">
        <v>131057</v>
      </c>
      <c r="D1494" s="275" t="s">
        <v>15539</v>
      </c>
      <c r="E1494" s="301">
        <v>7446</v>
      </c>
      <c r="F1494" s="303">
        <v>43021</v>
      </c>
      <c r="G1494" s="301">
        <v>7446</v>
      </c>
      <c r="H1494" s="301">
        <f>Tabla15[[#This Row],[Importe]]-Tabla15[[#This Row],[Pagado]]</f>
        <v>0</v>
      </c>
      <c r="I1494" s="275" t="s">
        <v>15214</v>
      </c>
    </row>
    <row r="1495" spans="1:9" x14ac:dyDescent="0.25">
      <c r="A1495" s="420">
        <v>43020</v>
      </c>
      <c r="B1495" s="302" t="s">
        <v>33164</v>
      </c>
      <c r="C1495">
        <v>131058</v>
      </c>
      <c r="D1495" s="275" t="s">
        <v>15282</v>
      </c>
      <c r="E1495" s="301">
        <v>3873.3</v>
      </c>
      <c r="F1495" s="303">
        <v>43020</v>
      </c>
      <c r="G1495" s="301">
        <v>3873.3</v>
      </c>
      <c r="H1495" s="301">
        <f>Tabla15[[#This Row],[Importe]]-Tabla15[[#This Row],[Pagado]]</f>
        <v>0</v>
      </c>
      <c r="I1495" s="275" t="s">
        <v>15214</v>
      </c>
    </row>
    <row r="1496" spans="1:9" ht="30" x14ac:dyDescent="0.25">
      <c r="A1496" s="420">
        <v>43020</v>
      </c>
      <c r="B1496" s="302" t="s">
        <v>33165</v>
      </c>
      <c r="C1496">
        <v>131059</v>
      </c>
      <c r="D1496" s="275" t="s">
        <v>22902</v>
      </c>
      <c r="E1496" s="301">
        <v>2726</v>
      </c>
      <c r="F1496" s="303" t="s">
        <v>33020</v>
      </c>
      <c r="G1496" s="305">
        <f>2000+726</f>
        <v>2726</v>
      </c>
      <c r="H1496" s="305">
        <f>Tabla15[[#This Row],[Importe]]-Tabla15[[#This Row],[Pagado]]</f>
        <v>0</v>
      </c>
      <c r="I1496" s="275" t="s">
        <v>15214</v>
      </c>
    </row>
    <row r="1497" spans="1:9" x14ac:dyDescent="0.25">
      <c r="A1497" s="420">
        <v>43020</v>
      </c>
      <c r="B1497" s="302" t="s">
        <v>33166</v>
      </c>
      <c r="C1497">
        <v>131060</v>
      </c>
      <c r="D1497" s="275" t="s">
        <v>15378</v>
      </c>
      <c r="E1497" s="301">
        <v>1775.2</v>
      </c>
      <c r="F1497" s="303">
        <v>43020</v>
      </c>
      <c r="G1497" s="301">
        <v>1775.2</v>
      </c>
      <c r="H1497" s="301">
        <f>Tabla15[[#This Row],[Importe]]-Tabla15[[#This Row],[Pagado]]</f>
        <v>0</v>
      </c>
      <c r="I1497" s="275" t="s">
        <v>15214</v>
      </c>
    </row>
    <row r="1498" spans="1:9" x14ac:dyDescent="0.25">
      <c r="A1498" s="420">
        <v>43020</v>
      </c>
      <c r="B1498" s="302" t="s">
        <v>33167</v>
      </c>
      <c r="C1498">
        <v>131061</v>
      </c>
      <c r="D1498" s="275" t="s">
        <v>22902</v>
      </c>
      <c r="E1498" s="301">
        <v>315</v>
      </c>
      <c r="F1498" s="303">
        <v>43020</v>
      </c>
      <c r="G1498" s="301">
        <v>315</v>
      </c>
      <c r="H1498" s="301">
        <f>Tabla15[[#This Row],[Importe]]-Tabla15[[#This Row],[Pagado]]</f>
        <v>0</v>
      </c>
      <c r="I1498" s="275" t="s">
        <v>15214</v>
      </c>
    </row>
    <row r="1499" spans="1:9" x14ac:dyDescent="0.25">
      <c r="A1499" s="420">
        <v>43020</v>
      </c>
      <c r="B1499" s="302" t="s">
        <v>33168</v>
      </c>
      <c r="C1499">
        <v>131062</v>
      </c>
      <c r="D1499" s="275" t="s">
        <v>15284</v>
      </c>
      <c r="E1499" s="301">
        <v>1613.4</v>
      </c>
      <c r="F1499" s="303">
        <v>43020</v>
      </c>
      <c r="G1499" s="301">
        <v>1613.4</v>
      </c>
      <c r="H1499" s="301">
        <f>Tabla15[[#This Row],[Importe]]-Tabla15[[#This Row],[Pagado]]</f>
        <v>0</v>
      </c>
      <c r="I1499" s="275" t="s">
        <v>15214</v>
      </c>
    </row>
    <row r="1500" spans="1:9" x14ac:dyDescent="0.25">
      <c r="A1500" s="420">
        <v>43020</v>
      </c>
      <c r="B1500" s="302" t="s">
        <v>33169</v>
      </c>
      <c r="C1500">
        <v>131063</v>
      </c>
      <c r="D1500" s="275" t="s">
        <v>15716</v>
      </c>
      <c r="E1500" s="301">
        <v>5672.1</v>
      </c>
      <c r="F1500" s="303">
        <v>43020</v>
      </c>
      <c r="G1500" s="301">
        <v>5672.1</v>
      </c>
      <c r="H1500" s="301">
        <f>Tabla15[[#This Row],[Importe]]-Tabla15[[#This Row],[Pagado]]</f>
        <v>0</v>
      </c>
      <c r="I1500" s="275" t="s">
        <v>15214</v>
      </c>
    </row>
    <row r="1501" spans="1:9" ht="15.75" x14ac:dyDescent="0.25">
      <c r="A1501" s="420">
        <v>43020</v>
      </c>
      <c r="B1501" s="302" t="s">
        <v>33170</v>
      </c>
      <c r="C1501">
        <v>131064</v>
      </c>
      <c r="D1501" s="248" t="s">
        <v>95</v>
      </c>
      <c r="E1501" s="301">
        <v>0</v>
      </c>
      <c r="F1501" s="243" t="s">
        <v>95</v>
      </c>
      <c r="G1501" s="301">
        <v>0</v>
      </c>
      <c r="H1501" s="301">
        <f>Tabla15[[#This Row],[Importe]]-Tabla15[[#This Row],[Pagado]]</f>
        <v>0</v>
      </c>
      <c r="I1501" s="275" t="s">
        <v>95</v>
      </c>
    </row>
    <row r="1502" spans="1:9" x14ac:dyDescent="0.25">
      <c r="A1502" s="420">
        <v>43020</v>
      </c>
      <c r="B1502" s="302" t="s">
        <v>33171</v>
      </c>
      <c r="C1502">
        <v>131065</v>
      </c>
      <c r="D1502" s="275" t="s">
        <v>15298</v>
      </c>
      <c r="E1502" s="301">
        <v>25172.720000000001</v>
      </c>
      <c r="F1502" s="303">
        <v>43027</v>
      </c>
      <c r="G1502" s="301">
        <v>25172.720000000001</v>
      </c>
      <c r="H1502" s="301">
        <f>Tabla15[[#This Row],[Importe]]-Tabla15[[#This Row],[Pagado]]</f>
        <v>0</v>
      </c>
      <c r="I1502" s="275" t="s">
        <v>15214</v>
      </c>
    </row>
    <row r="1503" spans="1:9" x14ac:dyDescent="0.25">
      <c r="A1503" s="420">
        <v>43020</v>
      </c>
      <c r="B1503" s="302" t="s">
        <v>33172</v>
      </c>
      <c r="C1503">
        <v>131066</v>
      </c>
      <c r="D1503" s="275" t="s">
        <v>18773</v>
      </c>
      <c r="E1503" s="301">
        <v>29416</v>
      </c>
      <c r="F1503" s="303">
        <v>43020</v>
      </c>
      <c r="G1503" s="301">
        <v>29416</v>
      </c>
      <c r="H1503" s="301">
        <f>Tabla15[[#This Row],[Importe]]-Tabla15[[#This Row],[Pagado]]</f>
        <v>0</v>
      </c>
      <c r="I1503" s="275" t="s">
        <v>15214</v>
      </c>
    </row>
    <row r="1504" spans="1:9" x14ac:dyDescent="0.25">
      <c r="A1504" s="420">
        <v>43020</v>
      </c>
      <c r="B1504" s="302" t="s">
        <v>33173</v>
      </c>
      <c r="C1504">
        <v>131067</v>
      </c>
      <c r="D1504" s="275" t="s">
        <v>15541</v>
      </c>
      <c r="E1504" s="301">
        <v>1118</v>
      </c>
      <c r="F1504" s="303">
        <v>43020</v>
      </c>
      <c r="G1504" s="301">
        <v>1118</v>
      </c>
      <c r="H1504" s="301">
        <f>Tabla15[[#This Row],[Importe]]-Tabla15[[#This Row],[Pagado]]</f>
        <v>0</v>
      </c>
      <c r="I1504" s="275" t="s">
        <v>15214</v>
      </c>
    </row>
    <row r="1505" spans="1:9" x14ac:dyDescent="0.25">
      <c r="A1505" s="420">
        <v>43020</v>
      </c>
      <c r="B1505" s="302" t="s">
        <v>33174</v>
      </c>
      <c r="C1505">
        <v>131068</v>
      </c>
      <c r="D1505" s="275" t="s">
        <v>15442</v>
      </c>
      <c r="E1505" s="301">
        <v>16800</v>
      </c>
      <c r="F1505" s="303">
        <v>43024</v>
      </c>
      <c r="G1505" s="301">
        <v>16800</v>
      </c>
      <c r="H1505" s="301">
        <f>Tabla15[[#This Row],[Importe]]-Tabla15[[#This Row],[Pagado]]</f>
        <v>0</v>
      </c>
      <c r="I1505" s="275" t="s">
        <v>15214</v>
      </c>
    </row>
    <row r="1506" spans="1:9" ht="15.75" x14ac:dyDescent="0.25">
      <c r="A1506" s="420">
        <v>43020</v>
      </c>
      <c r="B1506" s="302" t="s">
        <v>33175</v>
      </c>
      <c r="C1506">
        <v>131069</v>
      </c>
      <c r="D1506" s="248" t="s">
        <v>95</v>
      </c>
      <c r="E1506" s="301">
        <v>0</v>
      </c>
      <c r="F1506" s="243" t="s">
        <v>95</v>
      </c>
      <c r="G1506" s="301">
        <v>0</v>
      </c>
      <c r="H1506" s="301">
        <f>Tabla15[[#This Row],[Importe]]-Tabla15[[#This Row],[Pagado]]</f>
        <v>0</v>
      </c>
      <c r="I1506" s="275" t="s">
        <v>95</v>
      </c>
    </row>
    <row r="1507" spans="1:9" x14ac:dyDescent="0.25">
      <c r="A1507" s="420">
        <v>43020</v>
      </c>
      <c r="B1507" s="302" t="s">
        <v>33176</v>
      </c>
      <c r="C1507">
        <v>131070</v>
      </c>
      <c r="D1507" s="275" t="s">
        <v>15987</v>
      </c>
      <c r="E1507" s="301">
        <v>3755.4</v>
      </c>
      <c r="F1507" s="303">
        <v>43020</v>
      </c>
      <c r="G1507" s="301">
        <v>3755.4</v>
      </c>
      <c r="H1507" s="301">
        <f>Tabla15[[#This Row],[Importe]]-Tabla15[[#This Row],[Pagado]]</f>
        <v>0</v>
      </c>
      <c r="I1507" s="275" t="s">
        <v>15214</v>
      </c>
    </row>
    <row r="1508" spans="1:9" x14ac:dyDescent="0.25">
      <c r="A1508" s="420">
        <v>43020</v>
      </c>
      <c r="B1508" s="302" t="s">
        <v>33177</v>
      </c>
      <c r="C1508">
        <v>131071</v>
      </c>
      <c r="D1508" s="275" t="s">
        <v>15276</v>
      </c>
      <c r="E1508" s="301">
        <v>2200</v>
      </c>
      <c r="F1508" s="303">
        <v>43020</v>
      </c>
      <c r="G1508" s="301">
        <v>2200</v>
      </c>
      <c r="H1508" s="301">
        <f>Tabla15[[#This Row],[Importe]]-Tabla15[[#This Row],[Pagado]]</f>
        <v>0</v>
      </c>
      <c r="I1508" s="275" t="s">
        <v>15214</v>
      </c>
    </row>
    <row r="1509" spans="1:9" x14ac:dyDescent="0.25">
      <c r="A1509" s="420">
        <v>43020</v>
      </c>
      <c r="B1509" s="302" t="s">
        <v>33178</v>
      </c>
      <c r="C1509">
        <v>131072</v>
      </c>
      <c r="D1509" s="275" t="s">
        <v>15415</v>
      </c>
      <c r="E1509" s="301">
        <v>2916</v>
      </c>
      <c r="F1509" s="303">
        <v>43021</v>
      </c>
      <c r="G1509" s="301">
        <v>2916</v>
      </c>
      <c r="H1509" s="301">
        <f>Tabla15[[#This Row],[Importe]]-Tabla15[[#This Row],[Pagado]]</f>
        <v>0</v>
      </c>
      <c r="I1509" s="275" t="s">
        <v>15214</v>
      </c>
    </row>
    <row r="1510" spans="1:9" x14ac:dyDescent="0.25">
      <c r="A1510" s="420">
        <v>43020</v>
      </c>
      <c r="B1510" s="302" t="s">
        <v>33179</v>
      </c>
      <c r="C1510">
        <v>131073</v>
      </c>
      <c r="D1510" s="275" t="s">
        <v>5873</v>
      </c>
      <c r="E1510" s="301">
        <v>29537.919999999998</v>
      </c>
      <c r="F1510" s="303">
        <v>43020</v>
      </c>
      <c r="G1510" s="301">
        <v>29537.919999999998</v>
      </c>
      <c r="H1510" s="301">
        <f>Tabla15[[#This Row],[Importe]]-Tabla15[[#This Row],[Pagado]]</f>
        <v>0</v>
      </c>
      <c r="I1510" s="275" t="s">
        <v>15214</v>
      </c>
    </row>
    <row r="1511" spans="1:9" x14ac:dyDescent="0.25">
      <c r="A1511" s="420">
        <v>43020</v>
      </c>
      <c r="B1511" s="302" t="s">
        <v>33180</v>
      </c>
      <c r="C1511">
        <v>131074</v>
      </c>
      <c r="D1511" s="275" t="s">
        <v>15930</v>
      </c>
      <c r="E1511" s="301">
        <v>6589.2</v>
      </c>
      <c r="F1511" s="303">
        <v>43020</v>
      </c>
      <c r="G1511" s="301">
        <v>6589.2</v>
      </c>
      <c r="H1511" s="301">
        <f>Tabla15[[#This Row],[Importe]]-Tabla15[[#This Row],[Pagado]]</f>
        <v>0</v>
      </c>
      <c r="I1511" s="275" t="s">
        <v>15214</v>
      </c>
    </row>
    <row r="1512" spans="1:9" x14ac:dyDescent="0.25">
      <c r="A1512" s="420">
        <v>43020</v>
      </c>
      <c r="B1512" s="302" t="s">
        <v>33181</v>
      </c>
      <c r="C1512">
        <v>131075</v>
      </c>
      <c r="D1512" s="275" t="s">
        <v>19756</v>
      </c>
      <c r="E1512" s="301">
        <v>1909.6</v>
      </c>
      <c r="F1512" s="303">
        <v>43020</v>
      </c>
      <c r="G1512" s="301">
        <v>1909.6</v>
      </c>
      <c r="H1512" s="301">
        <f>Tabla15[[#This Row],[Importe]]-Tabla15[[#This Row],[Pagado]]</f>
        <v>0</v>
      </c>
      <c r="I1512" s="275" t="s">
        <v>15214</v>
      </c>
    </row>
    <row r="1513" spans="1:9" x14ac:dyDescent="0.25">
      <c r="A1513" s="420">
        <v>43020</v>
      </c>
      <c r="B1513" s="302" t="s">
        <v>33182</v>
      </c>
      <c r="C1513">
        <v>131076</v>
      </c>
      <c r="D1513" s="275" t="s">
        <v>5883</v>
      </c>
      <c r="E1513" s="301">
        <v>9006.76</v>
      </c>
      <c r="F1513" s="303">
        <v>43039</v>
      </c>
      <c r="G1513" s="301">
        <v>9006.76</v>
      </c>
      <c r="H1513" s="301">
        <f>Tabla15[[#This Row],[Importe]]-Tabla15[[#This Row],[Pagado]]</f>
        <v>0</v>
      </c>
      <c r="I1513" s="275" t="s">
        <v>15214</v>
      </c>
    </row>
    <row r="1514" spans="1:9" x14ac:dyDescent="0.25">
      <c r="A1514" s="420">
        <v>43020</v>
      </c>
      <c r="B1514" s="302" t="s">
        <v>33183</v>
      </c>
      <c r="C1514">
        <v>131077</v>
      </c>
      <c r="D1514" s="275" t="s">
        <v>15223</v>
      </c>
      <c r="E1514" s="301">
        <v>21112</v>
      </c>
      <c r="F1514" s="303">
        <v>43045</v>
      </c>
      <c r="G1514" s="301">
        <v>21112</v>
      </c>
      <c r="H1514" s="301">
        <f>Tabla15[[#This Row],[Importe]]-Tabla15[[#This Row],[Pagado]]</f>
        <v>0</v>
      </c>
      <c r="I1514" s="275" t="s">
        <v>15214</v>
      </c>
    </row>
    <row r="1515" spans="1:9" x14ac:dyDescent="0.25">
      <c r="A1515" s="420">
        <v>43020</v>
      </c>
      <c r="B1515" s="302" t="s">
        <v>33184</v>
      </c>
      <c r="C1515">
        <v>131078</v>
      </c>
      <c r="D1515" s="275" t="s">
        <v>15396</v>
      </c>
      <c r="E1515" s="301">
        <v>6230.66</v>
      </c>
      <c r="F1515" s="303">
        <v>43020</v>
      </c>
      <c r="G1515" s="301">
        <v>6230.66</v>
      </c>
      <c r="H1515" s="301">
        <f>Tabla15[[#This Row],[Importe]]-Tabla15[[#This Row],[Pagado]]</f>
        <v>0</v>
      </c>
      <c r="I1515" s="275" t="s">
        <v>15214</v>
      </c>
    </row>
    <row r="1516" spans="1:9" x14ac:dyDescent="0.25">
      <c r="A1516" s="420">
        <v>43020</v>
      </c>
      <c r="B1516" s="302" t="s">
        <v>33185</v>
      </c>
      <c r="C1516">
        <v>131079</v>
      </c>
      <c r="D1516" s="275" t="s">
        <v>15284</v>
      </c>
      <c r="E1516" s="301">
        <v>1255.7</v>
      </c>
      <c r="F1516" s="303">
        <v>43020</v>
      </c>
      <c r="G1516" s="301">
        <v>1255.7</v>
      </c>
      <c r="H1516" s="301">
        <f>Tabla15[[#This Row],[Importe]]-Tabla15[[#This Row],[Pagado]]</f>
        <v>0</v>
      </c>
      <c r="I1516" s="275" t="s">
        <v>15214</v>
      </c>
    </row>
    <row r="1517" spans="1:9" x14ac:dyDescent="0.25">
      <c r="A1517" s="420">
        <v>43020</v>
      </c>
      <c r="B1517" s="302" t="s">
        <v>33186</v>
      </c>
      <c r="C1517">
        <v>131080</v>
      </c>
      <c r="D1517" s="275" t="s">
        <v>15987</v>
      </c>
      <c r="E1517" s="301">
        <v>547.20000000000005</v>
      </c>
      <c r="F1517" s="303">
        <v>43020</v>
      </c>
      <c r="G1517" s="301">
        <v>547.20000000000005</v>
      </c>
      <c r="H1517" s="301">
        <f>Tabla15[[#This Row],[Importe]]-Tabla15[[#This Row],[Pagado]]</f>
        <v>0</v>
      </c>
      <c r="I1517" s="275" t="s">
        <v>15214</v>
      </c>
    </row>
    <row r="1518" spans="1:9" x14ac:dyDescent="0.25">
      <c r="A1518" s="420">
        <v>43020</v>
      </c>
      <c r="B1518" s="302" t="s">
        <v>33187</v>
      </c>
      <c r="C1518">
        <v>131081</v>
      </c>
      <c r="D1518" s="275" t="s">
        <v>16116</v>
      </c>
      <c r="E1518" s="301">
        <v>33705.379999999997</v>
      </c>
      <c r="F1518" s="303">
        <v>43020</v>
      </c>
      <c r="G1518" s="301">
        <v>33705.379999999997</v>
      </c>
      <c r="H1518" s="301">
        <f>Tabla15[[#This Row],[Importe]]-Tabla15[[#This Row],[Pagado]]</f>
        <v>0</v>
      </c>
      <c r="I1518" s="275" t="s">
        <v>15214</v>
      </c>
    </row>
    <row r="1519" spans="1:9" x14ac:dyDescent="0.25">
      <c r="A1519" s="420">
        <v>43020</v>
      </c>
      <c r="B1519" s="302" t="s">
        <v>33188</v>
      </c>
      <c r="C1519">
        <v>131082</v>
      </c>
      <c r="D1519" s="275" t="s">
        <v>15396</v>
      </c>
      <c r="E1519" s="301">
        <v>2377.08</v>
      </c>
      <c r="F1519" s="303">
        <v>43020</v>
      </c>
      <c r="G1519" s="301">
        <v>2377.08</v>
      </c>
      <c r="H1519" s="301">
        <f>Tabla15[[#This Row],[Importe]]-Tabla15[[#This Row],[Pagado]]</f>
        <v>0</v>
      </c>
      <c r="I1519" s="275" t="s">
        <v>15214</v>
      </c>
    </row>
    <row r="1520" spans="1:9" x14ac:dyDescent="0.25">
      <c r="A1520" s="420">
        <v>43020</v>
      </c>
      <c r="B1520" s="302" t="s">
        <v>33189</v>
      </c>
      <c r="C1520">
        <v>131083</v>
      </c>
      <c r="D1520" s="275" t="s">
        <v>19774</v>
      </c>
      <c r="E1520" s="301">
        <v>33850</v>
      </c>
      <c r="F1520" s="303">
        <v>43021</v>
      </c>
      <c r="G1520" s="301">
        <v>33850</v>
      </c>
      <c r="H1520" s="301">
        <f>Tabla15[[#This Row],[Importe]]-Tabla15[[#This Row],[Pagado]]</f>
        <v>0</v>
      </c>
      <c r="I1520" s="275" t="s">
        <v>15214</v>
      </c>
    </row>
    <row r="1521" spans="1:9" x14ac:dyDescent="0.25">
      <c r="A1521" s="420">
        <v>43020</v>
      </c>
      <c r="B1521" s="302" t="s">
        <v>33190</v>
      </c>
      <c r="C1521">
        <v>131084</v>
      </c>
      <c r="D1521" s="275" t="s">
        <v>15419</v>
      </c>
      <c r="E1521" s="301">
        <v>14270.4</v>
      </c>
      <c r="F1521" s="303">
        <v>43026</v>
      </c>
      <c r="G1521" s="301">
        <v>14270.4</v>
      </c>
      <c r="H1521" s="301">
        <f>Tabla15[[#This Row],[Importe]]-Tabla15[[#This Row],[Pagado]]</f>
        <v>0</v>
      </c>
      <c r="I1521" s="275" t="s">
        <v>15214</v>
      </c>
    </row>
    <row r="1522" spans="1:9" ht="15.75" x14ac:dyDescent="0.25">
      <c r="A1522" s="420">
        <v>43020</v>
      </c>
      <c r="B1522" s="302" t="s">
        <v>33191</v>
      </c>
      <c r="C1522">
        <v>131085</v>
      </c>
      <c r="D1522" s="248" t="s">
        <v>95</v>
      </c>
      <c r="E1522" s="301">
        <v>0</v>
      </c>
      <c r="F1522" s="243" t="s">
        <v>95</v>
      </c>
      <c r="G1522" s="301">
        <v>0</v>
      </c>
      <c r="H1522" s="301">
        <f>Tabla15[[#This Row],[Importe]]-Tabla15[[#This Row],[Pagado]]</f>
        <v>0</v>
      </c>
      <c r="I1522" s="275" t="s">
        <v>95</v>
      </c>
    </row>
    <row r="1523" spans="1:9" x14ac:dyDescent="0.25">
      <c r="A1523" s="420">
        <v>43020</v>
      </c>
      <c r="B1523" s="302" t="s">
        <v>33192</v>
      </c>
      <c r="C1523">
        <v>131086</v>
      </c>
      <c r="D1523" s="275" t="s">
        <v>15246</v>
      </c>
      <c r="E1523" s="301">
        <v>259016.3</v>
      </c>
      <c r="F1523" s="303">
        <v>43025</v>
      </c>
      <c r="G1523" s="301">
        <v>259016.3</v>
      </c>
      <c r="H1523" s="301">
        <f>Tabla15[[#This Row],[Importe]]-Tabla15[[#This Row],[Pagado]]</f>
        <v>0</v>
      </c>
      <c r="I1523" s="275" t="s">
        <v>15214</v>
      </c>
    </row>
    <row r="1524" spans="1:9" x14ac:dyDescent="0.25">
      <c r="A1524" s="420">
        <v>43020</v>
      </c>
      <c r="B1524" s="302" t="s">
        <v>33193</v>
      </c>
      <c r="C1524">
        <v>131087</v>
      </c>
      <c r="D1524" s="275" t="s">
        <v>19774</v>
      </c>
      <c r="E1524" s="301">
        <v>322</v>
      </c>
      <c r="F1524" s="303">
        <v>43021</v>
      </c>
      <c r="G1524" s="301">
        <v>322</v>
      </c>
      <c r="H1524" s="301">
        <f>Tabla15[[#This Row],[Importe]]-Tabla15[[#This Row],[Pagado]]</f>
        <v>0</v>
      </c>
      <c r="I1524" s="275" t="s">
        <v>15214</v>
      </c>
    </row>
    <row r="1525" spans="1:9" ht="30" x14ac:dyDescent="0.25">
      <c r="A1525" s="420">
        <v>43020</v>
      </c>
      <c r="B1525" s="302" t="s">
        <v>33194</v>
      </c>
      <c r="C1525">
        <v>131088</v>
      </c>
      <c r="D1525" s="275" t="s">
        <v>15244</v>
      </c>
      <c r="E1525" s="301">
        <v>12028.9</v>
      </c>
      <c r="F1525" s="303" t="s">
        <v>33195</v>
      </c>
      <c r="G1525" s="305">
        <f>5500+6528.9</f>
        <v>12028.9</v>
      </c>
      <c r="H1525" s="305">
        <f>Tabla15[[#This Row],[Importe]]-Tabla15[[#This Row],[Pagado]]</f>
        <v>0</v>
      </c>
      <c r="I1525" s="275" t="s">
        <v>15214</v>
      </c>
    </row>
    <row r="1526" spans="1:9" x14ac:dyDescent="0.25">
      <c r="A1526" s="420">
        <v>43020</v>
      </c>
      <c r="B1526" s="302" t="s">
        <v>33196</v>
      </c>
      <c r="C1526">
        <v>131089</v>
      </c>
      <c r="D1526" s="275" t="s">
        <v>27668</v>
      </c>
      <c r="E1526" s="301">
        <v>10000</v>
      </c>
      <c r="F1526" s="303">
        <v>43024</v>
      </c>
      <c r="G1526" s="301">
        <v>10000</v>
      </c>
      <c r="H1526" s="301">
        <f>Tabla15[[#This Row],[Importe]]-Tabla15[[#This Row],[Pagado]]</f>
        <v>0</v>
      </c>
      <c r="I1526" s="275" t="s">
        <v>15214</v>
      </c>
    </row>
    <row r="1527" spans="1:9" x14ac:dyDescent="0.25">
      <c r="A1527" s="420">
        <v>43020</v>
      </c>
      <c r="B1527" s="302" t="s">
        <v>33197</v>
      </c>
      <c r="C1527">
        <v>131090</v>
      </c>
      <c r="D1527" s="275" t="s">
        <v>19765</v>
      </c>
      <c r="E1527" s="301">
        <v>3500</v>
      </c>
      <c r="F1527" s="303">
        <v>43024</v>
      </c>
      <c r="G1527" s="301">
        <v>3500</v>
      </c>
      <c r="H1527" s="301">
        <f>Tabla15[[#This Row],[Importe]]-Tabla15[[#This Row],[Pagado]]</f>
        <v>0</v>
      </c>
      <c r="I1527" s="275" t="s">
        <v>15214</v>
      </c>
    </row>
    <row r="1528" spans="1:9" x14ac:dyDescent="0.25">
      <c r="A1528" s="420">
        <v>43020</v>
      </c>
      <c r="B1528" s="302" t="s">
        <v>33198</v>
      </c>
      <c r="C1528">
        <v>131091</v>
      </c>
      <c r="D1528" s="275" t="s">
        <v>15642</v>
      </c>
      <c r="E1528" s="301">
        <v>6381.9</v>
      </c>
      <c r="F1528" s="303">
        <v>43020</v>
      </c>
      <c r="G1528" s="301">
        <v>6381.9</v>
      </c>
      <c r="H1528" s="301">
        <f>Tabla15[[#This Row],[Importe]]-Tabla15[[#This Row],[Pagado]]</f>
        <v>0</v>
      </c>
      <c r="I1528" s="275" t="s">
        <v>15214</v>
      </c>
    </row>
    <row r="1529" spans="1:9" x14ac:dyDescent="0.25">
      <c r="A1529" s="420">
        <v>43020</v>
      </c>
      <c r="B1529" s="302" t="s">
        <v>33199</v>
      </c>
      <c r="C1529">
        <v>131092</v>
      </c>
      <c r="D1529" s="275" t="s">
        <v>15246</v>
      </c>
      <c r="E1529" s="301">
        <v>127249.8</v>
      </c>
      <c r="F1529" s="303">
        <v>43025</v>
      </c>
      <c r="G1529" s="301">
        <v>127249.8</v>
      </c>
      <c r="H1529" s="301">
        <f>Tabla15[[#This Row],[Importe]]-Tabla15[[#This Row],[Pagado]]</f>
        <v>0</v>
      </c>
      <c r="I1529" s="275" t="s">
        <v>15214</v>
      </c>
    </row>
    <row r="1530" spans="1:9" x14ac:dyDescent="0.25">
      <c r="A1530" s="420">
        <v>43020</v>
      </c>
      <c r="B1530" s="302" t="s">
        <v>33200</v>
      </c>
      <c r="C1530">
        <v>131093</v>
      </c>
      <c r="D1530" s="275" t="s">
        <v>15246</v>
      </c>
      <c r="E1530" s="301">
        <v>2926</v>
      </c>
      <c r="F1530" s="303">
        <v>43025</v>
      </c>
      <c r="G1530" s="301">
        <v>2926</v>
      </c>
      <c r="H1530" s="301">
        <f>Tabla15[[#This Row],[Importe]]-Tabla15[[#This Row],[Pagado]]</f>
        <v>0</v>
      </c>
      <c r="I1530" s="275" t="s">
        <v>15214</v>
      </c>
    </row>
    <row r="1531" spans="1:9" x14ac:dyDescent="0.25">
      <c r="A1531" s="420">
        <v>43020</v>
      </c>
      <c r="B1531" s="302" t="s">
        <v>33201</v>
      </c>
      <c r="C1531">
        <v>131094</v>
      </c>
      <c r="D1531" s="275" t="s">
        <v>15433</v>
      </c>
      <c r="E1531" s="301">
        <v>1124.5</v>
      </c>
      <c r="F1531" s="303">
        <v>43020</v>
      </c>
      <c r="G1531" s="301">
        <v>1124.5</v>
      </c>
      <c r="H1531" s="301">
        <f>Tabla15[[#This Row],[Importe]]-Tabla15[[#This Row],[Pagado]]</f>
        <v>0</v>
      </c>
      <c r="I1531" s="275" t="s">
        <v>15214</v>
      </c>
    </row>
    <row r="1532" spans="1:9" x14ac:dyDescent="0.25">
      <c r="A1532" s="420">
        <v>43020</v>
      </c>
      <c r="B1532" s="302" t="s">
        <v>33202</v>
      </c>
      <c r="C1532">
        <v>131095</v>
      </c>
      <c r="D1532" s="275" t="s">
        <v>15553</v>
      </c>
      <c r="E1532" s="301">
        <v>30248.959999999999</v>
      </c>
      <c r="F1532" s="303">
        <v>43021</v>
      </c>
      <c r="G1532" s="301">
        <v>30248.959999999999</v>
      </c>
      <c r="H1532" s="301">
        <f>Tabla15[[#This Row],[Importe]]-Tabla15[[#This Row],[Pagado]]</f>
        <v>0</v>
      </c>
      <c r="I1532" s="275" t="s">
        <v>15214</v>
      </c>
    </row>
    <row r="1533" spans="1:9" x14ac:dyDescent="0.25">
      <c r="A1533" s="420">
        <v>43020</v>
      </c>
      <c r="B1533" s="302" t="s">
        <v>33203</v>
      </c>
      <c r="C1533">
        <v>131096</v>
      </c>
      <c r="D1533" s="275" t="s">
        <v>15365</v>
      </c>
      <c r="E1533" s="301">
        <v>207408</v>
      </c>
      <c r="F1533" s="303">
        <v>43022</v>
      </c>
      <c r="G1533" s="301">
        <v>207408</v>
      </c>
      <c r="H1533" s="301">
        <f>Tabla15[[#This Row],[Importe]]-Tabla15[[#This Row],[Pagado]]</f>
        <v>0</v>
      </c>
      <c r="I1533" s="275" t="s">
        <v>15214</v>
      </c>
    </row>
    <row r="1534" spans="1:9" x14ac:dyDescent="0.25">
      <c r="A1534" s="420">
        <v>43020</v>
      </c>
      <c r="B1534" s="302" t="s">
        <v>33204</v>
      </c>
      <c r="C1534">
        <v>131097</v>
      </c>
      <c r="D1534" s="275" t="s">
        <v>15435</v>
      </c>
      <c r="E1534" s="301">
        <v>8614.7999999999993</v>
      </c>
      <c r="F1534" s="303">
        <v>43020</v>
      </c>
      <c r="G1534" s="301">
        <v>8614.7999999999993</v>
      </c>
      <c r="H1534" s="301">
        <f>Tabla15[[#This Row],[Importe]]-Tabla15[[#This Row],[Pagado]]</f>
        <v>0</v>
      </c>
      <c r="I1534" s="275" t="s">
        <v>15214</v>
      </c>
    </row>
    <row r="1535" spans="1:9" x14ac:dyDescent="0.25">
      <c r="A1535" s="420">
        <v>43020</v>
      </c>
      <c r="B1535" s="302" t="s">
        <v>33205</v>
      </c>
      <c r="C1535">
        <v>131098</v>
      </c>
      <c r="D1535" s="275" t="s">
        <v>15246</v>
      </c>
      <c r="E1535" s="301">
        <v>2983.36</v>
      </c>
      <c r="F1535" s="303">
        <v>43033</v>
      </c>
      <c r="G1535" s="301">
        <v>2983.36</v>
      </c>
      <c r="H1535" s="301">
        <f>Tabla15[[#This Row],[Importe]]-Tabla15[[#This Row],[Pagado]]</f>
        <v>0</v>
      </c>
      <c r="I1535" s="275" t="s">
        <v>15214</v>
      </c>
    </row>
    <row r="1536" spans="1:9" x14ac:dyDescent="0.25">
      <c r="A1536" s="420">
        <v>43020</v>
      </c>
      <c r="B1536" s="302" t="s">
        <v>33206</v>
      </c>
      <c r="C1536">
        <v>131099</v>
      </c>
      <c r="D1536" s="275" t="s">
        <v>5757</v>
      </c>
      <c r="E1536" s="301">
        <v>2226</v>
      </c>
      <c r="F1536" s="303">
        <v>43021</v>
      </c>
      <c r="G1536" s="301">
        <v>2226</v>
      </c>
      <c r="H1536" s="301">
        <f>Tabla15[[#This Row],[Importe]]-Tabla15[[#This Row],[Pagado]]</f>
        <v>0</v>
      </c>
      <c r="I1536" s="275" t="s">
        <v>15214</v>
      </c>
    </row>
    <row r="1537" spans="1:9" x14ac:dyDescent="0.25">
      <c r="A1537" s="420">
        <v>43020</v>
      </c>
      <c r="B1537" s="302" t="s">
        <v>33207</v>
      </c>
      <c r="C1537">
        <v>131100</v>
      </c>
      <c r="D1537" s="275" t="s">
        <v>15448</v>
      </c>
      <c r="E1537" s="301">
        <v>245634.06</v>
      </c>
      <c r="F1537" s="303">
        <v>43022</v>
      </c>
      <c r="G1537" s="301">
        <v>245634.06</v>
      </c>
      <c r="H1537" s="301">
        <f>Tabla15[[#This Row],[Importe]]-Tabla15[[#This Row],[Pagado]]</f>
        <v>0</v>
      </c>
      <c r="I1537" s="275" t="s">
        <v>15214</v>
      </c>
    </row>
    <row r="1538" spans="1:9" x14ac:dyDescent="0.25">
      <c r="A1538" s="420">
        <v>43021</v>
      </c>
      <c r="B1538" s="302" t="s">
        <v>33208</v>
      </c>
      <c r="C1538">
        <v>131101</v>
      </c>
      <c r="D1538" s="275" t="s">
        <v>21386</v>
      </c>
      <c r="E1538" s="301">
        <v>9658.7999999999993</v>
      </c>
      <c r="F1538" s="303">
        <v>43022</v>
      </c>
      <c r="G1538" s="301">
        <v>9658.7999999999993</v>
      </c>
      <c r="H1538" s="301">
        <f>Tabla15[[#This Row],[Importe]]-Tabla15[[#This Row],[Pagado]]</f>
        <v>0</v>
      </c>
      <c r="I1538" s="275" t="s">
        <v>15214</v>
      </c>
    </row>
    <row r="1539" spans="1:9" x14ac:dyDescent="0.25">
      <c r="A1539" s="420">
        <v>43021</v>
      </c>
      <c r="B1539" s="302" t="s">
        <v>33209</v>
      </c>
      <c r="C1539">
        <v>131102</v>
      </c>
      <c r="D1539" s="275" t="s">
        <v>15213</v>
      </c>
      <c r="E1539" s="301">
        <v>48895.5</v>
      </c>
      <c r="F1539" s="303">
        <v>43022</v>
      </c>
      <c r="G1539" s="301">
        <v>48895.5</v>
      </c>
      <c r="H1539" s="301">
        <f>Tabla15[[#This Row],[Importe]]-Tabla15[[#This Row],[Pagado]]</f>
        <v>0</v>
      </c>
      <c r="I1539" s="275" t="s">
        <v>15214</v>
      </c>
    </row>
    <row r="1540" spans="1:9" x14ac:dyDescent="0.25">
      <c r="A1540" s="420">
        <v>43021</v>
      </c>
      <c r="B1540" s="302" t="s">
        <v>33210</v>
      </c>
      <c r="C1540">
        <v>131103</v>
      </c>
      <c r="D1540" s="275" t="s">
        <v>15213</v>
      </c>
      <c r="E1540" s="301">
        <v>862.6</v>
      </c>
      <c r="F1540" s="303">
        <v>43022</v>
      </c>
      <c r="G1540" s="301">
        <v>862.6</v>
      </c>
      <c r="H1540" s="301">
        <f>Tabla15[[#This Row],[Importe]]-Tabla15[[#This Row],[Pagado]]</f>
        <v>0</v>
      </c>
      <c r="I1540" s="275" t="s">
        <v>15214</v>
      </c>
    </row>
    <row r="1541" spans="1:9" x14ac:dyDescent="0.25">
      <c r="A1541" s="420">
        <v>43021</v>
      </c>
      <c r="B1541" s="302" t="s">
        <v>33211</v>
      </c>
      <c r="C1541">
        <v>131104</v>
      </c>
      <c r="D1541" s="275" t="s">
        <v>15216</v>
      </c>
      <c r="E1541" s="301">
        <v>2287.6</v>
      </c>
      <c r="F1541" s="303">
        <v>43021</v>
      </c>
      <c r="G1541" s="301">
        <v>2287.6</v>
      </c>
      <c r="H1541" s="301">
        <f>Tabla15[[#This Row],[Importe]]-Tabla15[[#This Row],[Pagado]]</f>
        <v>0</v>
      </c>
      <c r="I1541" s="275" t="s">
        <v>15214</v>
      </c>
    </row>
    <row r="1542" spans="1:9" x14ac:dyDescent="0.25">
      <c r="A1542" s="420">
        <v>43021</v>
      </c>
      <c r="B1542" s="302" t="s">
        <v>33212</v>
      </c>
      <c r="C1542">
        <v>131105</v>
      </c>
      <c r="D1542" s="275" t="s">
        <v>15487</v>
      </c>
      <c r="E1542" s="301">
        <v>9292</v>
      </c>
      <c r="F1542" s="303">
        <v>43021</v>
      </c>
      <c r="G1542" s="301">
        <v>9292</v>
      </c>
      <c r="H1542" s="301">
        <f>Tabla15[[#This Row],[Importe]]-Tabla15[[#This Row],[Pagado]]</f>
        <v>0</v>
      </c>
      <c r="I1542" s="275" t="s">
        <v>15214</v>
      </c>
    </row>
    <row r="1543" spans="1:9" x14ac:dyDescent="0.25">
      <c r="A1543" s="420">
        <v>43021</v>
      </c>
      <c r="B1543" s="302" t="s">
        <v>33213</v>
      </c>
      <c r="C1543">
        <v>131106</v>
      </c>
      <c r="D1543" s="275" t="s">
        <v>15230</v>
      </c>
      <c r="E1543" s="301">
        <v>11203.6</v>
      </c>
      <c r="F1543" s="303">
        <v>43024</v>
      </c>
      <c r="G1543" s="301">
        <v>11203.6</v>
      </c>
      <c r="H1543" s="301">
        <f>Tabla15[[#This Row],[Importe]]-Tabla15[[#This Row],[Pagado]]</f>
        <v>0</v>
      </c>
      <c r="I1543" s="275" t="s">
        <v>15214</v>
      </c>
    </row>
    <row r="1544" spans="1:9" x14ac:dyDescent="0.25">
      <c r="A1544" s="420">
        <v>43021</v>
      </c>
      <c r="B1544" s="302" t="s">
        <v>33214</v>
      </c>
      <c r="C1544">
        <v>131107</v>
      </c>
      <c r="D1544" s="275" t="s">
        <v>15242</v>
      </c>
      <c r="E1544" s="301">
        <v>12356</v>
      </c>
      <c r="F1544" s="303">
        <v>43021</v>
      </c>
      <c r="G1544" s="301">
        <v>12356</v>
      </c>
      <c r="H1544" s="301">
        <f>Tabla15[[#This Row],[Importe]]-Tabla15[[#This Row],[Pagado]]</f>
        <v>0</v>
      </c>
      <c r="I1544" s="275" t="s">
        <v>15214</v>
      </c>
    </row>
    <row r="1545" spans="1:9" x14ac:dyDescent="0.25">
      <c r="A1545" s="420">
        <v>43021</v>
      </c>
      <c r="B1545" s="302" t="s">
        <v>33215</v>
      </c>
      <c r="C1545">
        <v>131108</v>
      </c>
      <c r="D1545" s="275" t="s">
        <v>15232</v>
      </c>
      <c r="E1545" s="301">
        <v>6056.9</v>
      </c>
      <c r="F1545" s="303">
        <v>43027</v>
      </c>
      <c r="G1545" s="301">
        <v>6056.9</v>
      </c>
      <c r="H1545" s="301">
        <f>Tabla15[[#This Row],[Importe]]-Tabla15[[#This Row],[Pagado]]</f>
        <v>0</v>
      </c>
      <c r="I1545" s="275" t="s">
        <v>15214</v>
      </c>
    </row>
    <row r="1546" spans="1:9" x14ac:dyDescent="0.25">
      <c r="A1546" s="420">
        <v>43021</v>
      </c>
      <c r="B1546" s="302" t="s">
        <v>33216</v>
      </c>
      <c r="C1546">
        <v>131109</v>
      </c>
      <c r="D1546" s="275" t="s">
        <v>30057</v>
      </c>
      <c r="E1546" s="301">
        <v>6487.2</v>
      </c>
      <c r="F1546" s="303">
        <v>43022</v>
      </c>
      <c r="G1546" s="301">
        <v>6487.2</v>
      </c>
      <c r="H1546" s="301">
        <f>Tabla15[[#This Row],[Importe]]-Tabla15[[#This Row],[Pagado]]</f>
        <v>0</v>
      </c>
      <c r="I1546" s="275" t="s">
        <v>15214</v>
      </c>
    </row>
    <row r="1547" spans="1:9" x14ac:dyDescent="0.25">
      <c r="A1547" s="420">
        <v>43021</v>
      </c>
      <c r="B1547" s="302" t="s">
        <v>33217</v>
      </c>
      <c r="C1547">
        <v>131110</v>
      </c>
      <c r="D1547" s="275" t="s">
        <v>28651</v>
      </c>
      <c r="E1547" s="301">
        <v>9439.2000000000007</v>
      </c>
      <c r="F1547" s="303">
        <v>43022</v>
      </c>
      <c r="G1547" s="301">
        <v>9439.2000000000007</v>
      </c>
      <c r="H1547" s="301">
        <f>Tabla15[[#This Row],[Importe]]-Tabla15[[#This Row],[Pagado]]</f>
        <v>0</v>
      </c>
      <c r="I1547" s="275" t="s">
        <v>15214</v>
      </c>
    </row>
    <row r="1548" spans="1:9" x14ac:dyDescent="0.25">
      <c r="A1548" s="420">
        <v>43021</v>
      </c>
      <c r="B1548" s="302" t="s">
        <v>33218</v>
      </c>
      <c r="C1548">
        <v>131111</v>
      </c>
      <c r="D1548" s="275" t="s">
        <v>15234</v>
      </c>
      <c r="E1548" s="301">
        <v>3002.4</v>
      </c>
      <c r="F1548" s="303">
        <v>43025</v>
      </c>
      <c r="G1548" s="301">
        <v>3002.4</v>
      </c>
      <c r="H1548" s="301">
        <f>Tabla15[[#This Row],[Importe]]-Tabla15[[#This Row],[Pagado]]</f>
        <v>0</v>
      </c>
      <c r="I1548" s="275" t="s">
        <v>15214</v>
      </c>
    </row>
    <row r="1549" spans="1:9" x14ac:dyDescent="0.25">
      <c r="A1549" s="420">
        <v>43021</v>
      </c>
      <c r="B1549" s="302" t="s">
        <v>33219</v>
      </c>
      <c r="C1549">
        <v>131112</v>
      </c>
      <c r="D1549" s="275" t="s">
        <v>15272</v>
      </c>
      <c r="E1549" s="301">
        <v>27570.2</v>
      </c>
      <c r="F1549" s="303">
        <v>43021</v>
      </c>
      <c r="G1549" s="301">
        <v>27570.2</v>
      </c>
      <c r="H1549" s="301">
        <f>Tabla15[[#This Row],[Importe]]-Tabla15[[#This Row],[Pagado]]</f>
        <v>0</v>
      </c>
      <c r="I1549" s="275" t="s">
        <v>15214</v>
      </c>
    </row>
    <row r="1550" spans="1:9" x14ac:dyDescent="0.25">
      <c r="A1550" s="420">
        <v>43021</v>
      </c>
      <c r="B1550" s="302" t="s">
        <v>33220</v>
      </c>
      <c r="C1550">
        <v>131113</v>
      </c>
      <c r="D1550" s="275" t="s">
        <v>15328</v>
      </c>
      <c r="E1550" s="301">
        <v>102191.1</v>
      </c>
      <c r="F1550" s="303">
        <v>43031</v>
      </c>
      <c r="G1550" s="301">
        <v>102191.1</v>
      </c>
      <c r="H1550" s="301">
        <f>Tabla15[[#This Row],[Importe]]-Tabla15[[#This Row],[Pagado]]</f>
        <v>0</v>
      </c>
      <c r="I1550" s="275" t="s">
        <v>15214</v>
      </c>
    </row>
    <row r="1551" spans="1:9" x14ac:dyDescent="0.25">
      <c r="A1551" s="420">
        <v>43021</v>
      </c>
      <c r="B1551" s="302" t="s">
        <v>33221</v>
      </c>
      <c r="C1551">
        <v>131114</v>
      </c>
      <c r="D1551" s="275" t="s">
        <v>15328</v>
      </c>
      <c r="E1551" s="301">
        <v>33314.120000000003</v>
      </c>
      <c r="F1551" s="303">
        <v>43031</v>
      </c>
      <c r="G1551" s="301">
        <v>33314.120000000003</v>
      </c>
      <c r="H1551" s="301">
        <f>Tabla15[[#This Row],[Importe]]-Tabla15[[#This Row],[Pagado]]</f>
        <v>0</v>
      </c>
      <c r="I1551" s="275" t="s">
        <v>15214</v>
      </c>
    </row>
    <row r="1552" spans="1:9" x14ac:dyDescent="0.25">
      <c r="A1552" s="420">
        <v>43021</v>
      </c>
      <c r="B1552" s="302" t="s">
        <v>33222</v>
      </c>
      <c r="C1552">
        <v>131115</v>
      </c>
      <c r="D1552" s="275" t="s">
        <v>15236</v>
      </c>
      <c r="E1552" s="301">
        <v>3384</v>
      </c>
      <c r="F1552" s="303">
        <v>43024</v>
      </c>
      <c r="G1552" s="301">
        <v>3384</v>
      </c>
      <c r="H1552" s="301">
        <f>Tabla15[[#This Row],[Importe]]-Tabla15[[#This Row],[Pagado]]</f>
        <v>0</v>
      </c>
      <c r="I1552" s="275" t="s">
        <v>15214</v>
      </c>
    </row>
    <row r="1553" spans="1:9" x14ac:dyDescent="0.25">
      <c r="A1553" s="420">
        <v>43021</v>
      </c>
      <c r="B1553" s="302" t="s">
        <v>33223</v>
      </c>
      <c r="C1553">
        <v>131116</v>
      </c>
      <c r="D1553" s="275" t="s">
        <v>15475</v>
      </c>
      <c r="E1553" s="301">
        <v>3549.6</v>
      </c>
      <c r="F1553" s="303">
        <v>43024</v>
      </c>
      <c r="G1553" s="301">
        <v>3549.6</v>
      </c>
      <c r="H1553" s="301">
        <f>Tabla15[[#This Row],[Importe]]-Tabla15[[#This Row],[Pagado]]</f>
        <v>0</v>
      </c>
      <c r="I1553" s="275" t="s">
        <v>15214</v>
      </c>
    </row>
    <row r="1554" spans="1:9" x14ac:dyDescent="0.25">
      <c r="A1554" s="420">
        <v>43021</v>
      </c>
      <c r="B1554" s="302" t="s">
        <v>33224</v>
      </c>
      <c r="C1554">
        <v>131117</v>
      </c>
      <c r="D1554" s="275" t="s">
        <v>15263</v>
      </c>
      <c r="E1554" s="301">
        <v>3531.5</v>
      </c>
      <c r="F1554" s="303">
        <v>43021</v>
      </c>
      <c r="G1554" s="301">
        <v>3531.5</v>
      </c>
      <c r="H1554" s="301">
        <f>Tabla15[[#This Row],[Importe]]-Tabla15[[#This Row],[Pagado]]</f>
        <v>0</v>
      </c>
      <c r="I1554" s="275" t="s">
        <v>15214</v>
      </c>
    </row>
    <row r="1555" spans="1:9" x14ac:dyDescent="0.25">
      <c r="A1555" s="420">
        <v>43021</v>
      </c>
      <c r="B1555" s="302" t="s">
        <v>33225</v>
      </c>
      <c r="C1555">
        <v>131118</v>
      </c>
      <c r="D1555" s="275" t="s">
        <v>17722</v>
      </c>
      <c r="E1555" s="301">
        <v>2887.2</v>
      </c>
      <c r="F1555" s="303">
        <v>43022</v>
      </c>
      <c r="G1555" s="301">
        <v>2887.2</v>
      </c>
      <c r="H1555" s="301">
        <f>Tabla15[[#This Row],[Importe]]-Tabla15[[#This Row],[Pagado]]</f>
        <v>0</v>
      </c>
      <c r="I1555" s="275" t="s">
        <v>15214</v>
      </c>
    </row>
    <row r="1556" spans="1:9" x14ac:dyDescent="0.25">
      <c r="A1556" s="420">
        <v>43021</v>
      </c>
      <c r="B1556" s="302" t="s">
        <v>33226</v>
      </c>
      <c r="C1556">
        <v>131119</v>
      </c>
      <c r="D1556" s="275" t="s">
        <v>15480</v>
      </c>
      <c r="E1556" s="301">
        <v>3355.2</v>
      </c>
      <c r="F1556" s="303">
        <v>43024</v>
      </c>
      <c r="G1556" s="301">
        <v>3355.2</v>
      </c>
      <c r="H1556" s="301">
        <f>Tabla15[[#This Row],[Importe]]-Tabla15[[#This Row],[Pagado]]</f>
        <v>0</v>
      </c>
      <c r="I1556" s="275" t="s">
        <v>15214</v>
      </c>
    </row>
    <row r="1557" spans="1:9" x14ac:dyDescent="0.25">
      <c r="A1557" s="420">
        <v>43021</v>
      </c>
      <c r="B1557" s="302" t="s">
        <v>33227</v>
      </c>
      <c r="C1557">
        <v>131120</v>
      </c>
      <c r="D1557" s="275" t="s">
        <v>15617</v>
      </c>
      <c r="E1557" s="301">
        <v>36537.1</v>
      </c>
      <c r="F1557" s="303">
        <v>43021</v>
      </c>
      <c r="G1557" s="301">
        <v>36537.1</v>
      </c>
      <c r="H1557" s="301">
        <f>Tabla15[[#This Row],[Importe]]-Tabla15[[#This Row],[Pagado]]</f>
        <v>0</v>
      </c>
      <c r="I1557" s="275" t="s">
        <v>15214</v>
      </c>
    </row>
    <row r="1558" spans="1:9" x14ac:dyDescent="0.25">
      <c r="A1558" s="420">
        <v>43021</v>
      </c>
      <c r="B1558" s="302" t="s">
        <v>33228</v>
      </c>
      <c r="C1558">
        <v>131121</v>
      </c>
      <c r="D1558" s="275" t="s">
        <v>15596</v>
      </c>
      <c r="E1558" s="301">
        <v>880</v>
      </c>
      <c r="F1558" s="303">
        <v>43021</v>
      </c>
      <c r="G1558" s="301">
        <v>880</v>
      </c>
      <c r="H1558" s="301">
        <f>Tabla15[[#This Row],[Importe]]-Tabla15[[#This Row],[Pagado]]</f>
        <v>0</v>
      </c>
      <c r="I1558" s="275" t="s">
        <v>15214</v>
      </c>
    </row>
    <row r="1559" spans="1:9" x14ac:dyDescent="0.25">
      <c r="A1559" s="420">
        <v>43021</v>
      </c>
      <c r="B1559" s="302" t="s">
        <v>33229</v>
      </c>
      <c r="C1559">
        <v>131122</v>
      </c>
      <c r="D1559" s="275" t="s">
        <v>15220</v>
      </c>
      <c r="E1559" s="301">
        <v>2860</v>
      </c>
      <c r="F1559" s="303">
        <v>43021</v>
      </c>
      <c r="G1559" s="301">
        <v>2860</v>
      </c>
      <c r="H1559" s="301">
        <f>Tabla15[[#This Row],[Importe]]-Tabla15[[#This Row],[Pagado]]</f>
        <v>0</v>
      </c>
      <c r="I1559" s="275" t="s">
        <v>15214</v>
      </c>
    </row>
    <row r="1560" spans="1:9" ht="15.75" x14ac:dyDescent="0.25">
      <c r="A1560" s="420">
        <v>43021</v>
      </c>
      <c r="B1560" s="302" t="s">
        <v>33230</v>
      </c>
      <c r="C1560">
        <v>131123</v>
      </c>
      <c r="D1560" s="248" t="s">
        <v>95</v>
      </c>
      <c r="E1560" s="301">
        <v>0</v>
      </c>
      <c r="F1560" s="243" t="s">
        <v>95</v>
      </c>
      <c r="G1560" s="301">
        <v>0</v>
      </c>
      <c r="H1560" s="301">
        <f>Tabla15[[#This Row],[Importe]]-Tabla15[[#This Row],[Pagado]]</f>
        <v>0</v>
      </c>
      <c r="I1560" s="275" t="s">
        <v>95</v>
      </c>
    </row>
    <row r="1561" spans="1:9" x14ac:dyDescent="0.25">
      <c r="A1561" s="420">
        <v>43021</v>
      </c>
      <c r="B1561" s="302" t="s">
        <v>33231</v>
      </c>
      <c r="C1561">
        <v>131124</v>
      </c>
      <c r="D1561" s="275" t="s">
        <v>19302</v>
      </c>
      <c r="E1561" s="301">
        <v>880</v>
      </c>
      <c r="F1561" s="303">
        <v>43021</v>
      </c>
      <c r="G1561" s="301">
        <v>880</v>
      </c>
      <c r="H1561" s="301">
        <f>Tabla15[[#This Row],[Importe]]-Tabla15[[#This Row],[Pagado]]</f>
        <v>0</v>
      </c>
      <c r="I1561" s="275" t="s">
        <v>15214</v>
      </c>
    </row>
    <row r="1562" spans="1:9" x14ac:dyDescent="0.25">
      <c r="A1562" s="420">
        <v>43021</v>
      </c>
      <c r="B1562" s="302" t="s">
        <v>33232</v>
      </c>
      <c r="C1562">
        <v>131125</v>
      </c>
      <c r="D1562" s="275" t="s">
        <v>17462</v>
      </c>
      <c r="E1562" s="301">
        <v>6175.9</v>
      </c>
      <c r="F1562" s="303">
        <v>43021</v>
      </c>
      <c r="G1562" s="301">
        <v>6175.9</v>
      </c>
      <c r="H1562" s="301">
        <f>Tabla15[[#This Row],[Importe]]-Tabla15[[#This Row],[Pagado]]</f>
        <v>0</v>
      </c>
      <c r="I1562" s="275" t="s">
        <v>15214</v>
      </c>
    </row>
    <row r="1563" spans="1:9" x14ac:dyDescent="0.25">
      <c r="A1563" s="420">
        <v>43021</v>
      </c>
      <c r="B1563" s="302" t="s">
        <v>33233</v>
      </c>
      <c r="C1563">
        <v>131126</v>
      </c>
      <c r="D1563" s="275" t="s">
        <v>15238</v>
      </c>
      <c r="E1563" s="301">
        <v>2037.9</v>
      </c>
      <c r="F1563" s="303">
        <v>43024</v>
      </c>
      <c r="G1563" s="301">
        <v>2037.9</v>
      </c>
      <c r="H1563" s="301">
        <f>Tabla15[[#This Row],[Importe]]-Tabla15[[#This Row],[Pagado]]</f>
        <v>0</v>
      </c>
      <c r="I1563" s="275" t="s">
        <v>15214</v>
      </c>
    </row>
    <row r="1564" spans="1:9" x14ac:dyDescent="0.25">
      <c r="A1564" s="420">
        <v>43021</v>
      </c>
      <c r="B1564" s="302" t="s">
        <v>33234</v>
      </c>
      <c r="C1564">
        <v>131127</v>
      </c>
      <c r="D1564" s="275" t="s">
        <v>5556</v>
      </c>
      <c r="E1564" s="301">
        <v>64486.559999999998</v>
      </c>
      <c r="F1564" s="303">
        <v>43025</v>
      </c>
      <c r="G1564" s="301">
        <v>64486.559999999998</v>
      </c>
      <c r="H1564" s="301">
        <f>Tabla15[[#This Row],[Importe]]-Tabla15[[#This Row],[Pagado]]</f>
        <v>0</v>
      </c>
      <c r="I1564" s="275" t="s">
        <v>15214</v>
      </c>
    </row>
    <row r="1565" spans="1:9" x14ac:dyDescent="0.25">
      <c r="A1565" s="420">
        <v>43021</v>
      </c>
      <c r="B1565" s="302" t="s">
        <v>33235</v>
      </c>
      <c r="C1565">
        <v>131128</v>
      </c>
      <c r="D1565" s="275" t="s">
        <v>5575</v>
      </c>
      <c r="E1565" s="301">
        <v>3415.8</v>
      </c>
      <c r="F1565" s="303">
        <v>43024</v>
      </c>
      <c r="G1565" s="301">
        <v>3415.8</v>
      </c>
      <c r="H1565" s="301">
        <f>Tabla15[[#This Row],[Importe]]-Tabla15[[#This Row],[Pagado]]</f>
        <v>0</v>
      </c>
      <c r="I1565" s="275" t="s">
        <v>15214</v>
      </c>
    </row>
    <row r="1566" spans="1:9" x14ac:dyDescent="0.25">
      <c r="A1566" s="420">
        <v>43021</v>
      </c>
      <c r="B1566" s="302" t="s">
        <v>33236</v>
      </c>
      <c r="C1566">
        <v>131129</v>
      </c>
      <c r="D1566" s="275" t="s">
        <v>15480</v>
      </c>
      <c r="E1566" s="301">
        <v>188.4</v>
      </c>
      <c r="F1566" s="303">
        <v>43022</v>
      </c>
      <c r="G1566" s="301">
        <v>188.4</v>
      </c>
      <c r="H1566" s="301">
        <f>Tabla15[[#This Row],[Importe]]-Tabla15[[#This Row],[Pagado]]</f>
        <v>0</v>
      </c>
      <c r="I1566" s="275" t="s">
        <v>15214</v>
      </c>
    </row>
    <row r="1567" spans="1:9" x14ac:dyDescent="0.25">
      <c r="A1567" s="420">
        <v>43021</v>
      </c>
      <c r="B1567" s="302" t="s">
        <v>33237</v>
      </c>
      <c r="C1567">
        <v>131130</v>
      </c>
      <c r="D1567" s="275" t="s">
        <v>15371</v>
      </c>
      <c r="E1567" s="301">
        <v>3939.5</v>
      </c>
      <c r="F1567" s="303">
        <v>43022</v>
      </c>
      <c r="G1567" s="301">
        <v>3939.5</v>
      </c>
      <c r="H1567" s="301">
        <f>Tabla15[[#This Row],[Importe]]-Tabla15[[#This Row],[Pagado]]</f>
        <v>0</v>
      </c>
      <c r="I1567" s="275" t="s">
        <v>15214</v>
      </c>
    </row>
    <row r="1568" spans="1:9" x14ac:dyDescent="0.25">
      <c r="A1568" s="420">
        <v>43021</v>
      </c>
      <c r="B1568" s="302" t="s">
        <v>33238</v>
      </c>
      <c r="C1568">
        <v>131131</v>
      </c>
      <c r="D1568" s="275" t="s">
        <v>15258</v>
      </c>
      <c r="E1568" s="301">
        <v>13950.8</v>
      </c>
      <c r="F1568" s="303">
        <v>43024</v>
      </c>
      <c r="G1568" s="301">
        <v>13950.8</v>
      </c>
      <c r="H1568" s="301">
        <f>Tabla15[[#This Row],[Importe]]-Tabla15[[#This Row],[Pagado]]</f>
        <v>0</v>
      </c>
      <c r="I1568" s="275" t="s">
        <v>15214</v>
      </c>
    </row>
    <row r="1569" spans="1:9" ht="30" x14ac:dyDescent="0.25">
      <c r="A1569" s="420">
        <v>43021</v>
      </c>
      <c r="B1569" s="302" t="s">
        <v>33239</v>
      </c>
      <c r="C1569">
        <v>131132</v>
      </c>
      <c r="D1569" s="275" t="s">
        <v>15256</v>
      </c>
      <c r="E1569" s="301">
        <v>7578.2</v>
      </c>
      <c r="F1569" s="303" t="s">
        <v>33240</v>
      </c>
      <c r="G1569" s="305">
        <f>2800+4778.2</f>
        <v>7578.2</v>
      </c>
      <c r="H1569" s="305">
        <f>Tabla15[[#This Row],[Importe]]-Tabla15[[#This Row],[Pagado]]</f>
        <v>0</v>
      </c>
      <c r="I1569" s="275" t="s">
        <v>15214</v>
      </c>
    </row>
    <row r="1570" spans="1:9" x14ac:dyDescent="0.25">
      <c r="A1570" s="420">
        <v>43021</v>
      </c>
      <c r="B1570" s="302" t="s">
        <v>33241</v>
      </c>
      <c r="C1570">
        <v>131133</v>
      </c>
      <c r="D1570" s="275" t="s">
        <v>15334</v>
      </c>
      <c r="E1570" s="301">
        <v>2368</v>
      </c>
      <c r="F1570" s="303">
        <v>43021</v>
      </c>
      <c r="G1570" s="301">
        <v>2368</v>
      </c>
      <c r="H1570" s="301">
        <f>Tabla15[[#This Row],[Importe]]-Tabla15[[#This Row],[Pagado]]</f>
        <v>0</v>
      </c>
      <c r="I1570" s="275" t="s">
        <v>15214</v>
      </c>
    </row>
    <row r="1571" spans="1:9" ht="30" x14ac:dyDescent="0.25">
      <c r="A1571" s="420">
        <v>43021</v>
      </c>
      <c r="B1571" s="302" t="s">
        <v>33242</v>
      </c>
      <c r="C1571">
        <v>131134</v>
      </c>
      <c r="D1571" s="275" t="s">
        <v>15668</v>
      </c>
      <c r="E1571" s="301">
        <v>9875.6</v>
      </c>
      <c r="F1571" s="303" t="s">
        <v>31626</v>
      </c>
      <c r="G1571" s="305">
        <f>4500+5375.6</f>
        <v>9875.6</v>
      </c>
      <c r="H1571" s="305">
        <f>Tabla15[[#This Row],[Importe]]-Tabla15[[#This Row],[Pagado]]</f>
        <v>0</v>
      </c>
      <c r="I1571" s="275" t="s">
        <v>15214</v>
      </c>
    </row>
    <row r="1572" spans="1:9" x14ac:dyDescent="0.25">
      <c r="A1572" s="420">
        <v>43021</v>
      </c>
      <c r="B1572" s="302" t="s">
        <v>33243</v>
      </c>
      <c r="C1572">
        <v>131135</v>
      </c>
      <c r="D1572" s="275" t="s">
        <v>15315</v>
      </c>
      <c r="E1572" s="301">
        <v>11829.6</v>
      </c>
      <c r="F1572" s="303">
        <v>43021</v>
      </c>
      <c r="G1572" s="301">
        <v>11829.6</v>
      </c>
      <c r="H1572" s="301">
        <f>Tabla15[[#This Row],[Importe]]-Tabla15[[#This Row],[Pagado]]</f>
        <v>0</v>
      </c>
      <c r="I1572" s="275" t="s">
        <v>15214</v>
      </c>
    </row>
    <row r="1573" spans="1:9" x14ac:dyDescent="0.25">
      <c r="A1573" s="420">
        <v>43021</v>
      </c>
      <c r="B1573" s="302" t="s">
        <v>33244</v>
      </c>
      <c r="C1573">
        <v>131136</v>
      </c>
      <c r="D1573" s="275" t="s">
        <v>15250</v>
      </c>
      <c r="E1573" s="301">
        <v>34168.120000000003</v>
      </c>
      <c r="F1573" s="303">
        <v>43027</v>
      </c>
      <c r="G1573" s="301">
        <v>34168.120000000003</v>
      </c>
      <c r="H1573" s="301">
        <f>Tabla15[[#This Row],[Importe]]-Tabla15[[#This Row],[Pagado]]</f>
        <v>0</v>
      </c>
      <c r="I1573" s="275" t="s">
        <v>15214</v>
      </c>
    </row>
    <row r="1574" spans="1:9" x14ac:dyDescent="0.25">
      <c r="A1574" s="420">
        <v>43021</v>
      </c>
      <c r="B1574" s="302" t="s">
        <v>33245</v>
      </c>
      <c r="C1574">
        <v>131137</v>
      </c>
      <c r="D1574" s="275" t="s">
        <v>15315</v>
      </c>
      <c r="E1574" s="301">
        <v>2994.6</v>
      </c>
      <c r="F1574" s="303">
        <v>43021</v>
      </c>
      <c r="G1574" s="301">
        <v>2994.6</v>
      </c>
      <c r="H1574" s="301">
        <f>Tabla15[[#This Row],[Importe]]-Tabla15[[#This Row],[Pagado]]</f>
        <v>0</v>
      </c>
      <c r="I1574" s="275" t="s">
        <v>15214</v>
      </c>
    </row>
    <row r="1575" spans="1:9" x14ac:dyDescent="0.25">
      <c r="A1575" s="420">
        <v>43021</v>
      </c>
      <c r="B1575" s="302" t="s">
        <v>33246</v>
      </c>
      <c r="C1575">
        <v>131138</v>
      </c>
      <c r="D1575" s="275" t="s">
        <v>16023</v>
      </c>
      <c r="E1575" s="301">
        <v>2320.6</v>
      </c>
      <c r="F1575" s="303">
        <v>43021</v>
      </c>
      <c r="G1575" s="301">
        <v>2320.6</v>
      </c>
      <c r="H1575" s="301">
        <f>Tabla15[[#This Row],[Importe]]-Tabla15[[#This Row],[Pagado]]</f>
        <v>0</v>
      </c>
      <c r="I1575" s="275" t="s">
        <v>15214</v>
      </c>
    </row>
    <row r="1576" spans="1:9" x14ac:dyDescent="0.25">
      <c r="A1576" s="420">
        <v>43021</v>
      </c>
      <c r="B1576" s="302" t="s">
        <v>33247</v>
      </c>
      <c r="C1576">
        <v>131139</v>
      </c>
      <c r="D1576" s="275" t="s">
        <v>15553</v>
      </c>
      <c r="E1576" s="301">
        <v>31056.12</v>
      </c>
      <c r="F1576" s="303">
        <v>43021</v>
      </c>
      <c r="G1576" s="301">
        <v>31056.12</v>
      </c>
      <c r="H1576" s="301">
        <f>Tabla15[[#This Row],[Importe]]-Tabla15[[#This Row],[Pagado]]</f>
        <v>0</v>
      </c>
      <c r="I1576" s="275" t="s">
        <v>15214</v>
      </c>
    </row>
    <row r="1577" spans="1:9" x14ac:dyDescent="0.25">
      <c r="A1577" s="420">
        <v>43021</v>
      </c>
      <c r="B1577" s="302" t="s">
        <v>33248</v>
      </c>
      <c r="C1577">
        <v>131140</v>
      </c>
      <c r="D1577" s="275" t="s">
        <v>15223</v>
      </c>
      <c r="E1577" s="301">
        <v>46528</v>
      </c>
      <c r="F1577" s="303">
        <v>43045</v>
      </c>
      <c r="G1577" s="301">
        <v>46528</v>
      </c>
      <c r="H1577" s="301">
        <f>Tabla15[[#This Row],[Importe]]-Tabla15[[#This Row],[Pagado]]</f>
        <v>0</v>
      </c>
      <c r="I1577" s="275" t="s">
        <v>15214</v>
      </c>
    </row>
    <row r="1578" spans="1:9" x14ac:dyDescent="0.25">
      <c r="A1578" s="420">
        <v>43021</v>
      </c>
      <c r="B1578" s="302" t="s">
        <v>33249</v>
      </c>
      <c r="C1578">
        <v>131141</v>
      </c>
      <c r="D1578" s="275" t="s">
        <v>15553</v>
      </c>
      <c r="E1578" s="301">
        <v>1506.6</v>
      </c>
      <c r="F1578" s="303">
        <v>43021</v>
      </c>
      <c r="G1578" s="301">
        <v>1506.6</v>
      </c>
      <c r="H1578" s="301">
        <f>Tabla15[[#This Row],[Importe]]-Tabla15[[#This Row],[Pagado]]</f>
        <v>0</v>
      </c>
      <c r="I1578" s="275" t="s">
        <v>15214</v>
      </c>
    </row>
    <row r="1579" spans="1:9" x14ac:dyDescent="0.25">
      <c r="A1579" s="420">
        <v>43021</v>
      </c>
      <c r="B1579" s="302" t="s">
        <v>33250</v>
      </c>
      <c r="C1579">
        <v>131142</v>
      </c>
      <c r="D1579" s="275" t="s">
        <v>15523</v>
      </c>
      <c r="E1579" s="301">
        <v>2200</v>
      </c>
      <c r="F1579" s="303">
        <v>43021</v>
      </c>
      <c r="G1579" s="301">
        <v>2200</v>
      </c>
      <c r="H1579" s="301">
        <f>Tabla15[[#This Row],[Importe]]-Tabla15[[#This Row],[Pagado]]</f>
        <v>0</v>
      </c>
      <c r="I1579" s="275" t="s">
        <v>15214</v>
      </c>
    </row>
    <row r="1580" spans="1:9" x14ac:dyDescent="0.25">
      <c r="A1580" s="420">
        <v>43021</v>
      </c>
      <c r="B1580" s="302" t="s">
        <v>33251</v>
      </c>
      <c r="C1580">
        <v>131143</v>
      </c>
      <c r="D1580" s="275" t="s">
        <v>15912</v>
      </c>
      <c r="E1580" s="301">
        <v>2335.4</v>
      </c>
      <c r="F1580" s="303">
        <v>43021</v>
      </c>
      <c r="G1580" s="301">
        <v>2335.4</v>
      </c>
      <c r="H1580" s="301">
        <f>Tabla15[[#This Row],[Importe]]-Tabla15[[#This Row],[Pagado]]</f>
        <v>0</v>
      </c>
      <c r="I1580" s="275" t="s">
        <v>15214</v>
      </c>
    </row>
    <row r="1581" spans="1:9" x14ac:dyDescent="0.25">
      <c r="A1581" s="420">
        <v>43021</v>
      </c>
      <c r="B1581" s="302" t="s">
        <v>33252</v>
      </c>
      <c r="C1581">
        <v>131144</v>
      </c>
      <c r="D1581" s="275" t="s">
        <v>15315</v>
      </c>
      <c r="E1581" s="301">
        <v>6956.4</v>
      </c>
      <c r="F1581" s="303">
        <v>43021</v>
      </c>
      <c r="G1581" s="301">
        <v>6956.4</v>
      </c>
      <c r="H1581" s="301">
        <f>Tabla15[[#This Row],[Importe]]-Tabla15[[#This Row],[Pagado]]</f>
        <v>0</v>
      </c>
      <c r="I1581" s="275" t="s">
        <v>15214</v>
      </c>
    </row>
    <row r="1582" spans="1:9" x14ac:dyDescent="0.25">
      <c r="A1582" s="420">
        <v>43021</v>
      </c>
      <c r="B1582" s="302" t="s">
        <v>33253</v>
      </c>
      <c r="C1582">
        <v>131145</v>
      </c>
      <c r="D1582" s="275" t="s">
        <v>15526</v>
      </c>
      <c r="E1582" s="301">
        <v>7728.3</v>
      </c>
      <c r="F1582" s="303">
        <v>43021</v>
      </c>
      <c r="G1582" s="301">
        <v>7728.3</v>
      </c>
      <c r="H1582" s="301">
        <f>Tabla15[[#This Row],[Importe]]-Tabla15[[#This Row],[Pagado]]</f>
        <v>0</v>
      </c>
      <c r="I1582" s="275" t="s">
        <v>15214</v>
      </c>
    </row>
    <row r="1583" spans="1:9" x14ac:dyDescent="0.25">
      <c r="A1583" s="420">
        <v>43021</v>
      </c>
      <c r="B1583" s="302" t="s">
        <v>33254</v>
      </c>
      <c r="C1583">
        <v>131146</v>
      </c>
      <c r="D1583" s="275" t="s">
        <v>15344</v>
      </c>
      <c r="E1583" s="301">
        <v>2133</v>
      </c>
      <c r="F1583" s="303">
        <v>43021</v>
      </c>
      <c r="G1583" s="301">
        <v>2133</v>
      </c>
      <c r="H1583" s="301">
        <f>Tabla15[[#This Row],[Importe]]-Tabla15[[#This Row],[Pagado]]</f>
        <v>0</v>
      </c>
      <c r="I1583" s="275" t="s">
        <v>15214</v>
      </c>
    </row>
    <row r="1584" spans="1:9" x14ac:dyDescent="0.25">
      <c r="A1584" s="420">
        <v>43021</v>
      </c>
      <c r="B1584" s="302" t="s">
        <v>33255</v>
      </c>
      <c r="C1584">
        <v>131147</v>
      </c>
      <c r="D1584" s="275" t="s">
        <v>15336</v>
      </c>
      <c r="E1584" s="301">
        <v>5170.2</v>
      </c>
      <c r="F1584" s="303">
        <v>43021</v>
      </c>
      <c r="G1584" s="301">
        <v>5170.2</v>
      </c>
      <c r="H1584" s="301">
        <f>Tabla15[[#This Row],[Importe]]-Tabla15[[#This Row],[Pagado]]</f>
        <v>0</v>
      </c>
      <c r="I1584" s="275" t="s">
        <v>15214</v>
      </c>
    </row>
    <row r="1585" spans="1:9" x14ac:dyDescent="0.25">
      <c r="A1585" s="420">
        <v>43021</v>
      </c>
      <c r="B1585" s="302" t="s">
        <v>33256</v>
      </c>
      <c r="C1585">
        <v>131148</v>
      </c>
      <c r="D1585" s="275" t="s">
        <v>15358</v>
      </c>
      <c r="E1585" s="301">
        <v>2280.6</v>
      </c>
      <c r="F1585" s="303">
        <v>43021</v>
      </c>
      <c r="G1585" s="301">
        <v>2280.6</v>
      </c>
      <c r="H1585" s="301">
        <f>Tabla15[[#This Row],[Importe]]-Tabla15[[#This Row],[Pagado]]</f>
        <v>0</v>
      </c>
      <c r="I1585" s="275" t="s">
        <v>15214</v>
      </c>
    </row>
    <row r="1586" spans="1:9" x14ac:dyDescent="0.25">
      <c r="A1586" s="420">
        <v>43021</v>
      </c>
      <c r="B1586" s="302" t="s">
        <v>33257</v>
      </c>
      <c r="C1586">
        <v>131149</v>
      </c>
      <c r="D1586" s="275" t="s">
        <v>15223</v>
      </c>
      <c r="E1586" s="301">
        <v>691.6</v>
      </c>
      <c r="F1586" s="303">
        <v>43021</v>
      </c>
      <c r="G1586" s="301">
        <v>691.6</v>
      </c>
      <c r="H1586" s="301">
        <f>Tabla15[[#This Row],[Importe]]-Tabla15[[#This Row],[Pagado]]</f>
        <v>0</v>
      </c>
      <c r="I1586" s="275" t="s">
        <v>15214</v>
      </c>
    </row>
    <row r="1587" spans="1:9" x14ac:dyDescent="0.25">
      <c r="A1587" s="420">
        <v>43021</v>
      </c>
      <c r="B1587" s="302" t="s">
        <v>33258</v>
      </c>
      <c r="C1587">
        <v>131150</v>
      </c>
      <c r="D1587" s="275" t="s">
        <v>15248</v>
      </c>
      <c r="E1587" s="301">
        <v>21232.3</v>
      </c>
      <c r="F1587" s="303">
        <v>43021</v>
      </c>
      <c r="G1587" s="301">
        <v>21232.3</v>
      </c>
      <c r="H1587" s="301">
        <f>Tabla15[[#This Row],[Importe]]-Tabla15[[#This Row],[Pagado]]</f>
        <v>0</v>
      </c>
      <c r="I1587" s="275" t="s">
        <v>15214</v>
      </c>
    </row>
    <row r="1588" spans="1:9" x14ac:dyDescent="0.25">
      <c r="A1588" s="420">
        <v>43021</v>
      </c>
      <c r="B1588" s="302" t="s">
        <v>33259</v>
      </c>
      <c r="C1588">
        <v>131151</v>
      </c>
      <c r="D1588" s="275" t="s">
        <v>15248</v>
      </c>
      <c r="E1588" s="301">
        <v>11305</v>
      </c>
      <c r="F1588" s="303">
        <v>43021</v>
      </c>
      <c r="G1588" s="301">
        <v>11305</v>
      </c>
      <c r="H1588" s="301">
        <f>Tabla15[[#This Row],[Importe]]-Tabla15[[#This Row],[Pagado]]</f>
        <v>0</v>
      </c>
      <c r="I1588" s="275" t="s">
        <v>15214</v>
      </c>
    </row>
    <row r="1589" spans="1:9" x14ac:dyDescent="0.25">
      <c r="A1589" s="420">
        <v>43021</v>
      </c>
      <c r="B1589" s="302" t="s">
        <v>33260</v>
      </c>
      <c r="C1589">
        <v>131152</v>
      </c>
      <c r="D1589" s="275" t="s">
        <v>15348</v>
      </c>
      <c r="E1589" s="301">
        <v>903.6</v>
      </c>
      <c r="F1589" s="303">
        <v>43022</v>
      </c>
      <c r="G1589" s="301">
        <v>903.6</v>
      </c>
      <c r="H1589" s="301">
        <f>Tabla15[[#This Row],[Importe]]-Tabla15[[#This Row],[Pagado]]</f>
        <v>0</v>
      </c>
      <c r="I1589" s="275" t="s">
        <v>15214</v>
      </c>
    </row>
    <row r="1590" spans="1:9" x14ac:dyDescent="0.25">
      <c r="A1590" s="420">
        <v>43021</v>
      </c>
      <c r="B1590" s="302" t="s">
        <v>33261</v>
      </c>
      <c r="C1590">
        <v>131153</v>
      </c>
      <c r="D1590" s="275" t="s">
        <v>15240</v>
      </c>
      <c r="E1590" s="301">
        <v>3037.5</v>
      </c>
      <c r="F1590" s="303">
        <v>43024</v>
      </c>
      <c r="G1590" s="301">
        <v>3037.5</v>
      </c>
      <c r="H1590" s="301">
        <f>Tabla15[[#This Row],[Importe]]-Tabla15[[#This Row],[Pagado]]</f>
        <v>0</v>
      </c>
      <c r="I1590" s="275" t="s">
        <v>15214</v>
      </c>
    </row>
    <row r="1591" spans="1:9" x14ac:dyDescent="0.25">
      <c r="A1591" s="420">
        <v>43021</v>
      </c>
      <c r="B1591" s="302" t="s">
        <v>33262</v>
      </c>
      <c r="C1591">
        <v>131154</v>
      </c>
      <c r="D1591" s="275" t="s">
        <v>15858</v>
      </c>
      <c r="E1591" s="301">
        <v>3513.96</v>
      </c>
      <c r="F1591" s="303">
        <v>43021</v>
      </c>
      <c r="G1591" s="301">
        <v>3513.96</v>
      </c>
      <c r="H1591" s="301">
        <f>Tabla15[[#This Row],[Importe]]-Tabla15[[#This Row],[Pagado]]</f>
        <v>0</v>
      </c>
      <c r="I1591" s="275" t="s">
        <v>15214</v>
      </c>
    </row>
    <row r="1592" spans="1:9" x14ac:dyDescent="0.25">
      <c r="A1592" s="420">
        <v>43021</v>
      </c>
      <c r="B1592" s="302" t="s">
        <v>33263</v>
      </c>
      <c r="C1592">
        <v>131155</v>
      </c>
      <c r="D1592" s="275" t="s">
        <v>15748</v>
      </c>
      <c r="E1592" s="301">
        <v>1467.3</v>
      </c>
      <c r="F1592" s="303">
        <v>43021</v>
      </c>
      <c r="G1592" s="301">
        <v>1467.3</v>
      </c>
      <c r="H1592" s="301">
        <f>Tabla15[[#This Row],[Importe]]-Tabla15[[#This Row],[Pagado]]</f>
        <v>0</v>
      </c>
      <c r="I1592" s="275" t="s">
        <v>15214</v>
      </c>
    </row>
    <row r="1593" spans="1:9" x14ac:dyDescent="0.25">
      <c r="A1593" s="420">
        <v>43021</v>
      </c>
      <c r="B1593" s="302" t="s">
        <v>33264</v>
      </c>
      <c r="C1593">
        <v>131156</v>
      </c>
      <c r="D1593" s="275" t="s">
        <v>15317</v>
      </c>
      <c r="E1593" s="301">
        <v>2906.4</v>
      </c>
      <c r="F1593" s="303">
        <v>43024</v>
      </c>
      <c r="G1593" s="301">
        <v>2906.4</v>
      </c>
      <c r="H1593" s="301">
        <f>Tabla15[[#This Row],[Importe]]-Tabla15[[#This Row],[Pagado]]</f>
        <v>0</v>
      </c>
      <c r="I1593" s="275" t="s">
        <v>15214</v>
      </c>
    </row>
    <row r="1594" spans="1:9" x14ac:dyDescent="0.25">
      <c r="A1594" s="420">
        <v>43021</v>
      </c>
      <c r="B1594" s="302" t="s">
        <v>33265</v>
      </c>
      <c r="C1594">
        <v>131157</v>
      </c>
      <c r="D1594" s="275" t="s">
        <v>15356</v>
      </c>
      <c r="E1594" s="301">
        <v>2641.5</v>
      </c>
      <c r="F1594" s="303">
        <v>43021</v>
      </c>
      <c r="G1594" s="301">
        <v>2641.5</v>
      </c>
      <c r="H1594" s="301">
        <f>Tabla15[[#This Row],[Importe]]-Tabla15[[#This Row],[Pagado]]</f>
        <v>0</v>
      </c>
      <c r="I1594" s="275" t="s">
        <v>15214</v>
      </c>
    </row>
    <row r="1595" spans="1:9" x14ac:dyDescent="0.25">
      <c r="A1595" s="420">
        <v>43021</v>
      </c>
      <c r="B1595" s="302" t="s">
        <v>33266</v>
      </c>
      <c r="C1595">
        <v>131158</v>
      </c>
      <c r="D1595" s="275" t="s">
        <v>15286</v>
      </c>
      <c r="E1595" s="301">
        <v>5131.2</v>
      </c>
      <c r="F1595" s="303">
        <v>43021</v>
      </c>
      <c r="G1595" s="301">
        <v>5131.2</v>
      </c>
      <c r="H1595" s="301">
        <f>Tabla15[[#This Row],[Importe]]-Tabla15[[#This Row],[Pagado]]</f>
        <v>0</v>
      </c>
      <c r="I1595" s="275" t="s">
        <v>15214</v>
      </c>
    </row>
    <row r="1596" spans="1:9" x14ac:dyDescent="0.25">
      <c r="A1596" s="420">
        <v>43021</v>
      </c>
      <c r="B1596" s="302" t="s">
        <v>33267</v>
      </c>
      <c r="C1596">
        <v>131159</v>
      </c>
      <c r="D1596" s="275" t="s">
        <v>18544</v>
      </c>
      <c r="E1596" s="301">
        <v>4176.3999999999996</v>
      </c>
      <c r="F1596" s="303">
        <v>43021</v>
      </c>
      <c r="G1596" s="301">
        <v>4176.3999999999996</v>
      </c>
      <c r="H1596" s="301">
        <f>Tabla15[[#This Row],[Importe]]-Tabla15[[#This Row],[Pagado]]</f>
        <v>0</v>
      </c>
      <c r="I1596" s="275" t="s">
        <v>15214</v>
      </c>
    </row>
    <row r="1597" spans="1:9" x14ac:dyDescent="0.25">
      <c r="A1597" s="420">
        <v>43021</v>
      </c>
      <c r="B1597" s="302" t="s">
        <v>33268</v>
      </c>
      <c r="C1597">
        <v>131160</v>
      </c>
      <c r="D1597" s="275" t="s">
        <v>15307</v>
      </c>
      <c r="E1597" s="301">
        <v>3145</v>
      </c>
      <c r="F1597" s="303">
        <v>43021</v>
      </c>
      <c r="G1597" s="301">
        <v>3145</v>
      </c>
      <c r="H1597" s="301">
        <f>Tabla15[[#This Row],[Importe]]-Tabla15[[#This Row],[Pagado]]</f>
        <v>0</v>
      </c>
      <c r="I1597" s="275" t="s">
        <v>15214</v>
      </c>
    </row>
    <row r="1598" spans="1:9" x14ac:dyDescent="0.25">
      <c r="A1598" s="420">
        <v>43021</v>
      </c>
      <c r="B1598" s="302" t="s">
        <v>33269</v>
      </c>
      <c r="C1598">
        <v>131161</v>
      </c>
      <c r="D1598" s="275" t="s">
        <v>15577</v>
      </c>
      <c r="E1598" s="301">
        <v>307.5</v>
      </c>
      <c r="F1598" s="303">
        <v>43021</v>
      </c>
      <c r="G1598" s="301">
        <v>307.5</v>
      </c>
      <c r="H1598" s="301">
        <f>Tabla15[[#This Row],[Importe]]-Tabla15[[#This Row],[Pagado]]</f>
        <v>0</v>
      </c>
      <c r="I1598" s="275" t="s">
        <v>15214</v>
      </c>
    </row>
    <row r="1599" spans="1:9" x14ac:dyDescent="0.25">
      <c r="A1599" s="420">
        <v>43021</v>
      </c>
      <c r="B1599" s="302" t="s">
        <v>33270</v>
      </c>
      <c r="C1599">
        <v>131162</v>
      </c>
      <c r="D1599" s="275" t="s">
        <v>15250</v>
      </c>
      <c r="E1599" s="301">
        <v>29431.360000000001</v>
      </c>
      <c r="F1599" s="303">
        <v>43027</v>
      </c>
      <c r="G1599" s="301">
        <v>29431.360000000001</v>
      </c>
      <c r="H1599" s="301">
        <f>Tabla15[[#This Row],[Importe]]-Tabla15[[#This Row],[Pagado]]</f>
        <v>0</v>
      </c>
      <c r="I1599" s="275" t="s">
        <v>15214</v>
      </c>
    </row>
    <row r="1600" spans="1:9" x14ac:dyDescent="0.25">
      <c r="A1600" s="420">
        <v>43021</v>
      </c>
      <c r="B1600" s="302" t="s">
        <v>33271</v>
      </c>
      <c r="C1600">
        <v>131163</v>
      </c>
      <c r="D1600" s="275" t="s">
        <v>16064</v>
      </c>
      <c r="E1600" s="301">
        <v>4616.1000000000004</v>
      </c>
      <c r="F1600" s="303">
        <v>43021</v>
      </c>
      <c r="G1600" s="301">
        <v>4616.1000000000004</v>
      </c>
      <c r="H1600" s="301">
        <f>Tabla15[[#This Row],[Importe]]-Tabla15[[#This Row],[Pagado]]</f>
        <v>0</v>
      </c>
      <c r="I1600" s="275" t="s">
        <v>15214</v>
      </c>
    </row>
    <row r="1601" spans="1:9" x14ac:dyDescent="0.25">
      <c r="A1601" s="420">
        <v>43021</v>
      </c>
      <c r="B1601" s="302" t="s">
        <v>33272</v>
      </c>
      <c r="C1601">
        <v>131164</v>
      </c>
      <c r="D1601" s="275" t="s">
        <v>15861</v>
      </c>
      <c r="E1601" s="301">
        <v>2043.5</v>
      </c>
      <c r="F1601" s="303">
        <v>43021</v>
      </c>
      <c r="G1601" s="301">
        <v>2043.5</v>
      </c>
      <c r="H1601" s="301">
        <f>Tabla15[[#This Row],[Importe]]-Tabla15[[#This Row],[Pagado]]</f>
        <v>0</v>
      </c>
      <c r="I1601" s="275" t="s">
        <v>15214</v>
      </c>
    </row>
    <row r="1602" spans="1:9" x14ac:dyDescent="0.25">
      <c r="A1602" s="420">
        <v>43021</v>
      </c>
      <c r="B1602" s="302" t="s">
        <v>33273</v>
      </c>
      <c r="C1602">
        <v>131165</v>
      </c>
      <c r="D1602" s="275" t="s">
        <v>15274</v>
      </c>
      <c r="E1602" s="301">
        <v>3065.4</v>
      </c>
      <c r="F1602" s="303">
        <v>43021</v>
      </c>
      <c r="G1602" s="301">
        <v>3065.4</v>
      </c>
      <c r="H1602" s="301">
        <f>Tabla15[[#This Row],[Importe]]-Tabla15[[#This Row],[Pagado]]</f>
        <v>0</v>
      </c>
      <c r="I1602" s="275" t="s">
        <v>15214</v>
      </c>
    </row>
    <row r="1603" spans="1:9" x14ac:dyDescent="0.25">
      <c r="A1603" s="420">
        <v>43021</v>
      </c>
      <c r="B1603" s="302" t="s">
        <v>33274</v>
      </c>
      <c r="C1603">
        <v>131166</v>
      </c>
      <c r="D1603" s="275" t="s">
        <v>15291</v>
      </c>
      <c r="E1603" s="301">
        <v>796.4</v>
      </c>
      <c r="F1603" s="303">
        <v>43021</v>
      </c>
      <c r="G1603" s="301">
        <v>796.4</v>
      </c>
      <c r="H1603" s="301">
        <f>Tabla15[[#This Row],[Importe]]-Tabla15[[#This Row],[Pagado]]</f>
        <v>0</v>
      </c>
      <c r="I1603" s="275" t="s">
        <v>15214</v>
      </c>
    </row>
    <row r="1604" spans="1:9" x14ac:dyDescent="0.25">
      <c r="A1604" s="420">
        <v>43021</v>
      </c>
      <c r="B1604" s="302" t="s">
        <v>33275</v>
      </c>
      <c r="C1604">
        <v>131167</v>
      </c>
      <c r="D1604" s="275" t="s">
        <v>15280</v>
      </c>
      <c r="E1604" s="301">
        <v>4045.8</v>
      </c>
      <c r="F1604" s="303">
        <v>43021</v>
      </c>
      <c r="G1604" s="301">
        <v>4045.8</v>
      </c>
      <c r="H1604" s="301">
        <f>Tabla15[[#This Row],[Importe]]-Tabla15[[#This Row],[Pagado]]</f>
        <v>0</v>
      </c>
      <c r="I1604" s="275" t="s">
        <v>15214</v>
      </c>
    </row>
    <row r="1605" spans="1:9" x14ac:dyDescent="0.25">
      <c r="A1605" s="420">
        <v>43021</v>
      </c>
      <c r="B1605" s="302" t="s">
        <v>33276</v>
      </c>
      <c r="C1605">
        <v>131168</v>
      </c>
      <c r="D1605" s="275" t="s">
        <v>15311</v>
      </c>
      <c r="E1605" s="301">
        <v>1861.4</v>
      </c>
      <c r="F1605" s="303">
        <v>43021</v>
      </c>
      <c r="G1605" s="301">
        <v>1861.4</v>
      </c>
      <c r="H1605" s="301">
        <f>Tabla15[[#This Row],[Importe]]-Tabla15[[#This Row],[Pagado]]</f>
        <v>0</v>
      </c>
      <c r="I1605" s="275" t="s">
        <v>15214</v>
      </c>
    </row>
    <row r="1606" spans="1:9" x14ac:dyDescent="0.25">
      <c r="A1606" s="420">
        <v>43021</v>
      </c>
      <c r="B1606" s="302" t="s">
        <v>33277</v>
      </c>
      <c r="C1606">
        <v>131169</v>
      </c>
      <c r="D1606" s="275" t="s">
        <v>15274</v>
      </c>
      <c r="E1606" s="301">
        <v>1173</v>
      </c>
      <c r="F1606" s="303">
        <v>43021</v>
      </c>
      <c r="G1606" s="301">
        <v>1173</v>
      </c>
      <c r="H1606" s="301">
        <f>Tabla15[[#This Row],[Importe]]-Tabla15[[#This Row],[Pagado]]</f>
        <v>0</v>
      </c>
      <c r="I1606" s="275" t="s">
        <v>15214</v>
      </c>
    </row>
    <row r="1607" spans="1:9" x14ac:dyDescent="0.25">
      <c r="A1607" s="420">
        <v>43021</v>
      </c>
      <c r="B1607" s="302" t="s">
        <v>33278</v>
      </c>
      <c r="C1607">
        <v>131170</v>
      </c>
      <c r="D1607" s="275" t="s">
        <v>15284</v>
      </c>
      <c r="E1607" s="301">
        <v>1943.1</v>
      </c>
      <c r="F1607" s="303">
        <v>43021</v>
      </c>
      <c r="G1607" s="301">
        <v>1943.1</v>
      </c>
      <c r="H1607" s="301">
        <f>Tabla15[[#This Row],[Importe]]-Tabla15[[#This Row],[Pagado]]</f>
        <v>0</v>
      </c>
      <c r="I1607" s="275" t="s">
        <v>15214</v>
      </c>
    </row>
    <row r="1608" spans="1:9" x14ac:dyDescent="0.25">
      <c r="A1608" s="420">
        <v>43021</v>
      </c>
      <c r="B1608" s="302" t="s">
        <v>33279</v>
      </c>
      <c r="C1608">
        <v>131171</v>
      </c>
      <c r="D1608" s="275" t="s">
        <v>15340</v>
      </c>
      <c r="E1608" s="301">
        <v>2359.4</v>
      </c>
      <c r="F1608" s="303">
        <v>43021</v>
      </c>
      <c r="G1608" s="301">
        <v>2359.4</v>
      </c>
      <c r="H1608" s="301">
        <f>Tabla15[[#This Row],[Importe]]-Tabla15[[#This Row],[Pagado]]</f>
        <v>0</v>
      </c>
      <c r="I1608" s="275" t="s">
        <v>15214</v>
      </c>
    </row>
    <row r="1609" spans="1:9" x14ac:dyDescent="0.25">
      <c r="A1609" s="420">
        <v>43021</v>
      </c>
      <c r="B1609" s="302" t="s">
        <v>33280</v>
      </c>
      <c r="C1609">
        <v>131172</v>
      </c>
      <c r="D1609" s="275" t="s">
        <v>15309</v>
      </c>
      <c r="E1609" s="301">
        <v>6624.6</v>
      </c>
      <c r="F1609" s="303">
        <v>43021</v>
      </c>
      <c r="G1609" s="301">
        <v>6624.6</v>
      </c>
      <c r="H1609" s="301">
        <f>Tabla15[[#This Row],[Importe]]-Tabla15[[#This Row],[Pagado]]</f>
        <v>0</v>
      </c>
      <c r="I1609" s="275" t="s">
        <v>15214</v>
      </c>
    </row>
    <row r="1610" spans="1:9" x14ac:dyDescent="0.25">
      <c r="A1610" s="420">
        <v>43021</v>
      </c>
      <c r="B1610" s="302" t="s">
        <v>33281</v>
      </c>
      <c r="C1610">
        <v>131173</v>
      </c>
      <c r="D1610" s="275" t="s">
        <v>15278</v>
      </c>
      <c r="E1610" s="301">
        <v>5057.1000000000004</v>
      </c>
      <c r="F1610" s="303">
        <v>43021</v>
      </c>
      <c r="G1610" s="301">
        <v>5057.1000000000004</v>
      </c>
      <c r="H1610" s="301">
        <f>Tabla15[[#This Row],[Importe]]-Tabla15[[#This Row],[Pagado]]</f>
        <v>0</v>
      </c>
      <c r="I1610" s="275" t="s">
        <v>15214</v>
      </c>
    </row>
    <row r="1611" spans="1:9" x14ac:dyDescent="0.25">
      <c r="A1611" s="420">
        <v>43021</v>
      </c>
      <c r="B1611" s="302" t="s">
        <v>33282</v>
      </c>
      <c r="C1611">
        <v>131174</v>
      </c>
      <c r="D1611" s="275" t="s">
        <v>15530</v>
      </c>
      <c r="E1611" s="301">
        <v>1465.6</v>
      </c>
      <c r="F1611" s="303">
        <v>43021</v>
      </c>
      <c r="G1611" s="301">
        <v>1465.6</v>
      </c>
      <c r="H1611" s="301">
        <f>Tabla15[[#This Row],[Importe]]-Tabla15[[#This Row],[Pagado]]</f>
        <v>0</v>
      </c>
      <c r="I1611" s="275" t="s">
        <v>15214</v>
      </c>
    </row>
    <row r="1612" spans="1:9" x14ac:dyDescent="0.25">
      <c r="A1612" s="420">
        <v>43021</v>
      </c>
      <c r="B1612" s="302" t="s">
        <v>33283</v>
      </c>
      <c r="C1612">
        <v>131175</v>
      </c>
      <c r="D1612" s="275" t="s">
        <v>5873</v>
      </c>
      <c r="E1612" s="301">
        <v>6211.8</v>
      </c>
      <c r="F1612" s="303">
        <v>43021</v>
      </c>
      <c r="G1612" s="301">
        <v>6211.8</v>
      </c>
      <c r="H1612" s="301">
        <f>Tabla15[[#This Row],[Importe]]-Tabla15[[#This Row],[Pagado]]</f>
        <v>0</v>
      </c>
      <c r="I1612" s="275" t="s">
        <v>15214</v>
      </c>
    </row>
    <row r="1613" spans="1:9" x14ac:dyDescent="0.25">
      <c r="A1613" s="420">
        <v>43021</v>
      </c>
      <c r="B1613" s="302" t="s">
        <v>33284</v>
      </c>
      <c r="C1613">
        <v>131176</v>
      </c>
      <c r="D1613" s="275" t="s">
        <v>15706</v>
      </c>
      <c r="E1613" s="301">
        <v>120</v>
      </c>
      <c r="F1613" s="303">
        <v>43021</v>
      </c>
      <c r="G1613" s="301">
        <v>120</v>
      </c>
      <c r="H1613" s="301">
        <f>Tabla15[[#This Row],[Importe]]-Tabla15[[#This Row],[Pagado]]</f>
        <v>0</v>
      </c>
      <c r="I1613" s="275" t="s">
        <v>15214</v>
      </c>
    </row>
    <row r="1614" spans="1:9" x14ac:dyDescent="0.25">
      <c r="A1614" s="420">
        <v>43021</v>
      </c>
      <c r="B1614" s="302" t="s">
        <v>33285</v>
      </c>
      <c r="C1614">
        <v>131177</v>
      </c>
      <c r="D1614" s="275" t="s">
        <v>17800</v>
      </c>
      <c r="E1614" s="301">
        <v>3357.9</v>
      </c>
      <c r="F1614" s="303">
        <v>43021</v>
      </c>
      <c r="G1614" s="301">
        <v>3357.9</v>
      </c>
      <c r="H1614" s="301">
        <f>Tabla15[[#This Row],[Importe]]-Tabla15[[#This Row],[Pagado]]</f>
        <v>0</v>
      </c>
      <c r="I1614" s="275" t="s">
        <v>15214</v>
      </c>
    </row>
    <row r="1615" spans="1:9" x14ac:dyDescent="0.25">
      <c r="A1615" s="420">
        <v>43021</v>
      </c>
      <c r="B1615" s="302" t="s">
        <v>33286</v>
      </c>
      <c r="C1615">
        <v>131178</v>
      </c>
      <c r="D1615" s="275" t="s">
        <v>15510</v>
      </c>
      <c r="E1615" s="301">
        <v>849.6</v>
      </c>
      <c r="F1615" s="303">
        <v>43021</v>
      </c>
      <c r="G1615" s="301">
        <v>849.6</v>
      </c>
      <c r="H1615" s="301">
        <f>Tabla15[[#This Row],[Importe]]-Tabla15[[#This Row],[Pagado]]</f>
        <v>0</v>
      </c>
      <c r="I1615" s="275" t="s">
        <v>15214</v>
      </c>
    </row>
    <row r="1616" spans="1:9" x14ac:dyDescent="0.25">
      <c r="A1616" s="420">
        <v>43021</v>
      </c>
      <c r="B1616" s="302" t="s">
        <v>33287</v>
      </c>
      <c r="C1616">
        <v>131179</v>
      </c>
      <c r="D1616" s="275" t="s">
        <v>15324</v>
      </c>
      <c r="E1616" s="301">
        <v>2680</v>
      </c>
      <c r="F1616" s="303">
        <v>43021</v>
      </c>
      <c r="G1616" s="301">
        <v>2680</v>
      </c>
      <c r="H1616" s="301">
        <f>Tabla15[[#This Row],[Importe]]-Tabla15[[#This Row],[Pagado]]</f>
        <v>0</v>
      </c>
      <c r="I1616" s="275" t="s">
        <v>15214</v>
      </c>
    </row>
    <row r="1617" spans="1:9" ht="30" x14ac:dyDescent="0.25">
      <c r="A1617" s="420">
        <v>43021</v>
      </c>
      <c r="B1617" s="302" t="s">
        <v>33288</v>
      </c>
      <c r="C1617">
        <v>131180</v>
      </c>
      <c r="D1617" s="275" t="s">
        <v>15373</v>
      </c>
      <c r="E1617" s="301">
        <v>18615.599999999999</v>
      </c>
      <c r="F1617" s="303" t="s">
        <v>33289</v>
      </c>
      <c r="G1617" s="305">
        <f>17597+1018.6</f>
        <v>18615.599999999999</v>
      </c>
      <c r="H1617" s="305">
        <f>Tabla15[[#This Row],[Importe]]-Tabla15[[#This Row],[Pagado]]</f>
        <v>0</v>
      </c>
      <c r="I1617" s="275" t="s">
        <v>15214</v>
      </c>
    </row>
    <row r="1618" spans="1:9" x14ac:dyDescent="0.25">
      <c r="A1618" s="420">
        <v>43021</v>
      </c>
      <c r="B1618" s="302" t="s">
        <v>33290</v>
      </c>
      <c r="C1618">
        <v>131181</v>
      </c>
      <c r="D1618" s="275" t="s">
        <v>15226</v>
      </c>
      <c r="E1618" s="301">
        <v>2216</v>
      </c>
      <c r="F1618" s="303">
        <v>43022</v>
      </c>
      <c r="G1618" s="301">
        <v>2216</v>
      </c>
      <c r="H1618" s="301">
        <f>Tabla15[[#This Row],[Importe]]-Tabla15[[#This Row],[Pagado]]</f>
        <v>0</v>
      </c>
      <c r="I1618" s="275" t="s">
        <v>15214</v>
      </c>
    </row>
    <row r="1619" spans="1:9" x14ac:dyDescent="0.25">
      <c r="A1619" s="420">
        <v>43021</v>
      </c>
      <c r="B1619" s="302" t="s">
        <v>33291</v>
      </c>
      <c r="C1619">
        <v>131182</v>
      </c>
      <c r="D1619" s="275" t="s">
        <v>15315</v>
      </c>
      <c r="E1619" s="301">
        <v>2428.8000000000002</v>
      </c>
      <c r="F1619" s="303">
        <v>43021</v>
      </c>
      <c r="G1619" s="301">
        <v>2428.8000000000002</v>
      </c>
      <c r="H1619" s="301">
        <f>Tabla15[[#This Row],[Importe]]-Tabla15[[#This Row],[Pagado]]</f>
        <v>0</v>
      </c>
      <c r="I1619" s="275" t="s">
        <v>15214</v>
      </c>
    </row>
    <row r="1620" spans="1:9" x14ac:dyDescent="0.25">
      <c r="A1620" s="420">
        <v>43021</v>
      </c>
      <c r="B1620" s="302" t="s">
        <v>33292</v>
      </c>
      <c r="C1620">
        <v>131183</v>
      </c>
      <c r="D1620" s="275" t="s">
        <v>19964</v>
      </c>
      <c r="E1620" s="301">
        <v>3511.4</v>
      </c>
      <c r="F1620" s="303">
        <v>43021</v>
      </c>
      <c r="G1620" s="301">
        <v>3511.4</v>
      </c>
      <c r="H1620" s="301">
        <f>Tabla15[[#This Row],[Importe]]-Tabla15[[#This Row],[Pagado]]</f>
        <v>0</v>
      </c>
      <c r="I1620" s="275" t="s">
        <v>15214</v>
      </c>
    </row>
    <row r="1621" spans="1:9" x14ac:dyDescent="0.25">
      <c r="A1621" s="420">
        <v>43021</v>
      </c>
      <c r="B1621" s="302" t="s">
        <v>33293</v>
      </c>
      <c r="C1621">
        <v>131184</v>
      </c>
      <c r="D1621" s="275" t="s">
        <v>15315</v>
      </c>
      <c r="E1621" s="301">
        <v>3376.4</v>
      </c>
      <c r="F1621" s="303">
        <v>43021</v>
      </c>
      <c r="G1621" s="301">
        <v>3376.4</v>
      </c>
      <c r="H1621" s="301">
        <f>Tabla15[[#This Row],[Importe]]-Tabla15[[#This Row],[Pagado]]</f>
        <v>0</v>
      </c>
      <c r="I1621" s="275" t="s">
        <v>15214</v>
      </c>
    </row>
    <row r="1622" spans="1:9" x14ac:dyDescent="0.25">
      <c r="A1622" s="420">
        <v>43021</v>
      </c>
      <c r="B1622" s="302" t="s">
        <v>33294</v>
      </c>
      <c r="C1622">
        <v>131185</v>
      </c>
      <c r="D1622" s="275" t="s">
        <v>15254</v>
      </c>
      <c r="E1622" s="301">
        <v>4335.3</v>
      </c>
      <c r="F1622" s="303">
        <v>43021</v>
      </c>
      <c r="G1622" s="301">
        <v>4335.3</v>
      </c>
      <c r="H1622" s="301">
        <f>Tabla15[[#This Row],[Importe]]-Tabla15[[#This Row],[Pagado]]</f>
        <v>0</v>
      </c>
      <c r="I1622" s="275" t="s">
        <v>15214</v>
      </c>
    </row>
    <row r="1623" spans="1:9" x14ac:dyDescent="0.25">
      <c r="A1623" s="420">
        <v>43021</v>
      </c>
      <c r="B1623" s="302" t="s">
        <v>33295</v>
      </c>
      <c r="C1623">
        <v>131186</v>
      </c>
      <c r="D1623" s="275" t="s">
        <v>15549</v>
      </c>
      <c r="E1623" s="301">
        <v>7964.6</v>
      </c>
      <c r="F1623" s="303">
        <v>43021</v>
      </c>
      <c r="G1623" s="301">
        <v>7964.6</v>
      </c>
      <c r="H1623" s="301">
        <f>Tabla15[[#This Row],[Importe]]-Tabla15[[#This Row],[Pagado]]</f>
        <v>0</v>
      </c>
      <c r="I1623" s="275" t="s">
        <v>15214</v>
      </c>
    </row>
    <row r="1624" spans="1:9" x14ac:dyDescent="0.25">
      <c r="A1624" s="420">
        <v>43021</v>
      </c>
      <c r="B1624" s="302" t="s">
        <v>33296</v>
      </c>
      <c r="C1624">
        <v>131187</v>
      </c>
      <c r="D1624" s="275" t="s">
        <v>15315</v>
      </c>
      <c r="E1624" s="301">
        <v>690.2</v>
      </c>
      <c r="F1624" s="303">
        <v>43021</v>
      </c>
      <c r="G1624" s="301">
        <v>690.2</v>
      </c>
      <c r="H1624" s="301">
        <f>Tabla15[[#This Row],[Importe]]-Tabla15[[#This Row],[Pagado]]</f>
        <v>0</v>
      </c>
      <c r="I1624" s="275" t="s">
        <v>15214</v>
      </c>
    </row>
    <row r="1625" spans="1:9" x14ac:dyDescent="0.25">
      <c r="A1625" s="420">
        <v>43021</v>
      </c>
      <c r="B1625" s="302" t="s">
        <v>33297</v>
      </c>
      <c r="C1625">
        <v>131188</v>
      </c>
      <c r="D1625" s="275" t="s">
        <v>15252</v>
      </c>
      <c r="E1625" s="301">
        <v>6174.6</v>
      </c>
      <c r="F1625" s="303">
        <v>43023</v>
      </c>
      <c r="G1625" s="301">
        <v>6174.6</v>
      </c>
      <c r="H1625" s="301">
        <f>Tabla15[[#This Row],[Importe]]-Tabla15[[#This Row],[Pagado]]</f>
        <v>0</v>
      </c>
      <c r="I1625" s="275" t="s">
        <v>15214</v>
      </c>
    </row>
    <row r="1626" spans="1:9" x14ac:dyDescent="0.25">
      <c r="A1626" s="420">
        <v>43021</v>
      </c>
      <c r="B1626" s="302" t="s">
        <v>33298</v>
      </c>
      <c r="C1626">
        <v>131189</v>
      </c>
      <c r="D1626" s="275" t="s">
        <v>15244</v>
      </c>
      <c r="E1626" s="301">
        <v>14598.7</v>
      </c>
      <c r="F1626" s="303">
        <v>43025</v>
      </c>
      <c r="G1626" s="301">
        <v>14598.7</v>
      </c>
      <c r="H1626" s="301">
        <f>Tabla15[[#This Row],[Importe]]-Tabla15[[#This Row],[Pagado]]</f>
        <v>0</v>
      </c>
      <c r="I1626" s="275" t="s">
        <v>15214</v>
      </c>
    </row>
    <row r="1627" spans="1:9" x14ac:dyDescent="0.25">
      <c r="A1627" s="420">
        <v>43021</v>
      </c>
      <c r="B1627" s="302" t="s">
        <v>33299</v>
      </c>
      <c r="C1627">
        <v>131190</v>
      </c>
      <c r="D1627" s="275" t="s">
        <v>15265</v>
      </c>
      <c r="E1627" s="301">
        <v>2779.2</v>
      </c>
      <c r="F1627" s="303">
        <v>43021</v>
      </c>
      <c r="G1627" s="301">
        <v>2779.2</v>
      </c>
      <c r="H1627" s="301">
        <f>Tabla15[[#This Row],[Importe]]-Tabla15[[#This Row],[Pagado]]</f>
        <v>0</v>
      </c>
      <c r="I1627" s="275" t="s">
        <v>15214</v>
      </c>
    </row>
    <row r="1628" spans="1:9" x14ac:dyDescent="0.25">
      <c r="A1628" s="420">
        <v>43021</v>
      </c>
      <c r="B1628" s="302" t="s">
        <v>33300</v>
      </c>
      <c r="C1628">
        <v>131191</v>
      </c>
      <c r="D1628" s="275" t="s">
        <v>15338</v>
      </c>
      <c r="E1628" s="301">
        <v>12637</v>
      </c>
      <c r="F1628" s="303">
        <v>43025</v>
      </c>
      <c r="G1628" s="301">
        <v>12637</v>
      </c>
      <c r="H1628" s="301">
        <f>Tabla15[[#This Row],[Importe]]-Tabla15[[#This Row],[Pagado]]</f>
        <v>0</v>
      </c>
      <c r="I1628" s="275" t="s">
        <v>15214</v>
      </c>
    </row>
    <row r="1629" spans="1:9" x14ac:dyDescent="0.25">
      <c r="A1629" s="420">
        <v>43021</v>
      </c>
      <c r="B1629" s="302" t="s">
        <v>33301</v>
      </c>
      <c r="C1629">
        <v>131192</v>
      </c>
      <c r="D1629" s="275" t="s">
        <v>15276</v>
      </c>
      <c r="E1629" s="301">
        <v>4400</v>
      </c>
      <c r="F1629" s="303">
        <v>43022</v>
      </c>
      <c r="G1629" s="301">
        <v>4400</v>
      </c>
      <c r="H1629" s="301">
        <f>Tabla15[[#This Row],[Importe]]-Tabla15[[#This Row],[Pagado]]</f>
        <v>0</v>
      </c>
      <c r="I1629" s="275" t="s">
        <v>15214</v>
      </c>
    </row>
    <row r="1630" spans="1:9" ht="15.75" x14ac:dyDescent="0.25">
      <c r="A1630" s="420">
        <v>43021</v>
      </c>
      <c r="B1630" s="302" t="s">
        <v>33302</v>
      </c>
      <c r="C1630">
        <v>131193</v>
      </c>
      <c r="D1630" s="248" t="s">
        <v>95</v>
      </c>
      <c r="E1630" s="301">
        <v>0</v>
      </c>
      <c r="F1630" s="243" t="s">
        <v>95</v>
      </c>
      <c r="G1630" s="301">
        <v>0</v>
      </c>
      <c r="H1630" s="301">
        <f>Tabla15[[#This Row],[Importe]]-Tabla15[[#This Row],[Pagado]]</f>
        <v>0</v>
      </c>
      <c r="I1630" s="275" t="s">
        <v>95</v>
      </c>
    </row>
    <row r="1631" spans="1:9" x14ac:dyDescent="0.25">
      <c r="A1631" s="420">
        <v>43021</v>
      </c>
      <c r="B1631" s="302" t="s">
        <v>33303</v>
      </c>
      <c r="C1631">
        <v>131194</v>
      </c>
      <c r="D1631" s="275" t="s">
        <v>15394</v>
      </c>
      <c r="E1631" s="301">
        <v>16026.4</v>
      </c>
      <c r="F1631" s="303">
        <v>43025</v>
      </c>
      <c r="G1631" s="301">
        <v>16026.4</v>
      </c>
      <c r="H1631" s="301">
        <f>Tabla15[[#This Row],[Importe]]-Tabla15[[#This Row],[Pagado]]</f>
        <v>0</v>
      </c>
      <c r="I1631" s="275" t="s">
        <v>15214</v>
      </c>
    </row>
    <row r="1632" spans="1:9" x14ac:dyDescent="0.25">
      <c r="A1632" s="420">
        <v>43021</v>
      </c>
      <c r="B1632" s="302" t="s">
        <v>33304</v>
      </c>
      <c r="C1632">
        <v>131195</v>
      </c>
      <c r="D1632" s="275" t="s">
        <v>15401</v>
      </c>
      <c r="E1632" s="301">
        <v>1390.4</v>
      </c>
      <c r="F1632" s="303">
        <v>43021</v>
      </c>
      <c r="G1632" s="301">
        <v>1390.4</v>
      </c>
      <c r="H1632" s="301">
        <f>Tabla15[[#This Row],[Importe]]-Tabla15[[#This Row],[Pagado]]</f>
        <v>0</v>
      </c>
      <c r="I1632" s="275" t="s">
        <v>15214</v>
      </c>
    </row>
    <row r="1633" spans="1:9" x14ac:dyDescent="0.25">
      <c r="A1633" s="420">
        <v>43021</v>
      </c>
      <c r="B1633" s="302" t="s">
        <v>33305</v>
      </c>
      <c r="C1633">
        <v>131196</v>
      </c>
      <c r="D1633" s="275" t="s">
        <v>15728</v>
      </c>
      <c r="E1633" s="301">
        <v>8987.4</v>
      </c>
      <c r="F1633" s="303">
        <v>43021</v>
      </c>
      <c r="G1633" s="301">
        <v>8987.4</v>
      </c>
      <c r="H1633" s="301">
        <f>Tabla15[[#This Row],[Importe]]-Tabla15[[#This Row],[Pagado]]</f>
        <v>0</v>
      </c>
      <c r="I1633" s="275" t="s">
        <v>15214</v>
      </c>
    </row>
    <row r="1634" spans="1:9" x14ac:dyDescent="0.25">
      <c r="A1634" s="420">
        <v>43021</v>
      </c>
      <c r="B1634" s="302" t="s">
        <v>33306</v>
      </c>
      <c r="C1634">
        <v>131197</v>
      </c>
      <c r="D1634" s="275" t="s">
        <v>15380</v>
      </c>
      <c r="E1634" s="301">
        <v>39407.199999999997</v>
      </c>
      <c r="F1634" s="303">
        <v>43035</v>
      </c>
      <c r="G1634" s="301">
        <v>39407.199999999997</v>
      </c>
      <c r="H1634" s="301">
        <f>Tabla15[[#This Row],[Importe]]-Tabla15[[#This Row],[Pagado]]</f>
        <v>0</v>
      </c>
      <c r="I1634" s="275" t="s">
        <v>15214</v>
      </c>
    </row>
    <row r="1635" spans="1:9" x14ac:dyDescent="0.25">
      <c r="A1635" s="420">
        <v>43021</v>
      </c>
      <c r="B1635" s="302" t="s">
        <v>33307</v>
      </c>
      <c r="C1635">
        <v>131198</v>
      </c>
      <c r="D1635" s="275" t="s">
        <v>16093</v>
      </c>
      <c r="E1635" s="301">
        <v>6244</v>
      </c>
      <c r="F1635" s="303">
        <v>43021</v>
      </c>
      <c r="G1635" s="301">
        <v>6244</v>
      </c>
      <c r="H1635" s="301">
        <f>Tabla15[[#This Row],[Importe]]-Tabla15[[#This Row],[Pagado]]</f>
        <v>0</v>
      </c>
      <c r="I1635" s="275" t="s">
        <v>15214</v>
      </c>
    </row>
    <row r="1636" spans="1:9" ht="15.75" x14ac:dyDescent="0.25">
      <c r="A1636" s="420">
        <v>43021</v>
      </c>
      <c r="B1636" s="302" t="s">
        <v>33308</v>
      </c>
      <c r="C1636">
        <v>131199</v>
      </c>
      <c r="D1636" s="248" t="s">
        <v>95</v>
      </c>
      <c r="E1636" s="301">
        <v>0</v>
      </c>
      <c r="F1636" s="243" t="s">
        <v>95</v>
      </c>
      <c r="G1636" s="301">
        <v>0</v>
      </c>
      <c r="H1636" s="301">
        <f>Tabla15[[#This Row],[Importe]]-Tabla15[[#This Row],[Pagado]]</f>
        <v>0</v>
      </c>
      <c r="I1636" s="275" t="s">
        <v>95</v>
      </c>
    </row>
    <row r="1637" spans="1:9" x14ac:dyDescent="0.25">
      <c r="A1637" s="420">
        <v>43021</v>
      </c>
      <c r="B1637" s="302" t="s">
        <v>33309</v>
      </c>
      <c r="C1637">
        <v>131200</v>
      </c>
      <c r="D1637" s="275" t="s">
        <v>15322</v>
      </c>
      <c r="E1637" s="301">
        <v>2281.6</v>
      </c>
      <c r="F1637" s="303">
        <v>43021</v>
      </c>
      <c r="G1637" s="301">
        <v>2281.6</v>
      </c>
      <c r="H1637" s="301">
        <f>Tabla15[[#This Row],[Importe]]-Tabla15[[#This Row],[Pagado]]</f>
        <v>0</v>
      </c>
      <c r="I1637" s="275" t="s">
        <v>15214</v>
      </c>
    </row>
    <row r="1638" spans="1:9" x14ac:dyDescent="0.25">
      <c r="A1638" s="420">
        <v>43021</v>
      </c>
      <c r="B1638" s="302" t="s">
        <v>33310</v>
      </c>
      <c r="C1638">
        <v>131201</v>
      </c>
      <c r="D1638" s="275" t="s">
        <v>15328</v>
      </c>
      <c r="E1638" s="301">
        <v>25920</v>
      </c>
      <c r="F1638" s="303">
        <v>43038</v>
      </c>
      <c r="G1638" s="301">
        <v>25920</v>
      </c>
      <c r="H1638" s="301">
        <f>Tabla15[[#This Row],[Importe]]-Tabla15[[#This Row],[Pagado]]</f>
        <v>0</v>
      </c>
      <c r="I1638" s="275" t="s">
        <v>15214</v>
      </c>
    </row>
    <row r="1639" spans="1:9" x14ac:dyDescent="0.25">
      <c r="A1639" s="420">
        <v>43021</v>
      </c>
      <c r="B1639" s="302" t="s">
        <v>33311</v>
      </c>
      <c r="C1639">
        <v>131202</v>
      </c>
      <c r="D1639" s="275" t="s">
        <v>15417</v>
      </c>
      <c r="E1639" s="301">
        <v>4208.3999999999996</v>
      </c>
      <c r="F1639" s="303">
        <v>43022</v>
      </c>
      <c r="G1639" s="301">
        <v>4208.3999999999996</v>
      </c>
      <c r="H1639" s="301">
        <f>Tabla15[[#This Row],[Importe]]-Tabla15[[#This Row],[Pagado]]</f>
        <v>0</v>
      </c>
      <c r="I1639" s="275" t="s">
        <v>15214</v>
      </c>
    </row>
    <row r="1640" spans="1:9" x14ac:dyDescent="0.25">
      <c r="A1640" s="420">
        <v>43021</v>
      </c>
      <c r="B1640" s="302" t="s">
        <v>33312</v>
      </c>
      <c r="C1640">
        <v>131203</v>
      </c>
      <c r="D1640" s="275" t="s">
        <v>22902</v>
      </c>
      <c r="E1640" s="301">
        <v>2304</v>
      </c>
      <c r="F1640" s="303">
        <v>43021</v>
      </c>
      <c r="G1640" s="301">
        <v>2304</v>
      </c>
      <c r="H1640" s="301">
        <f>Tabla15[[#This Row],[Importe]]-Tabla15[[#This Row],[Pagado]]</f>
        <v>0</v>
      </c>
      <c r="I1640" s="275" t="s">
        <v>15214</v>
      </c>
    </row>
    <row r="1641" spans="1:9" x14ac:dyDescent="0.25">
      <c r="A1641" s="420">
        <v>43021</v>
      </c>
      <c r="B1641" s="302" t="s">
        <v>33313</v>
      </c>
      <c r="C1641">
        <v>131204</v>
      </c>
      <c r="D1641" s="275" t="s">
        <v>15315</v>
      </c>
      <c r="E1641" s="301">
        <v>3744.4</v>
      </c>
      <c r="F1641" s="303">
        <v>43021</v>
      </c>
      <c r="G1641" s="301">
        <v>3744.4</v>
      </c>
      <c r="H1641" s="301">
        <f>Tabla15[[#This Row],[Importe]]-Tabla15[[#This Row],[Pagado]]</f>
        <v>0</v>
      </c>
      <c r="I1641" s="275" t="s">
        <v>15214</v>
      </c>
    </row>
    <row r="1642" spans="1:9" x14ac:dyDescent="0.25">
      <c r="A1642" s="420">
        <v>43021</v>
      </c>
      <c r="B1642" s="302" t="s">
        <v>33314</v>
      </c>
      <c r="C1642">
        <v>131205</v>
      </c>
      <c r="D1642" s="275" t="s">
        <v>15326</v>
      </c>
      <c r="E1642" s="301">
        <v>4550.2</v>
      </c>
      <c r="F1642" s="303">
        <v>43021</v>
      </c>
      <c r="G1642" s="301">
        <v>4550.2</v>
      </c>
      <c r="H1642" s="301">
        <f>Tabla15[[#This Row],[Importe]]-Tabla15[[#This Row],[Pagado]]</f>
        <v>0</v>
      </c>
      <c r="I1642" s="275" t="s">
        <v>15214</v>
      </c>
    </row>
    <row r="1643" spans="1:9" x14ac:dyDescent="0.25">
      <c r="A1643" s="420">
        <v>43021</v>
      </c>
      <c r="B1643" s="302" t="s">
        <v>33315</v>
      </c>
      <c r="C1643">
        <v>131206</v>
      </c>
      <c r="D1643" s="275" t="s">
        <v>15326</v>
      </c>
      <c r="E1643" s="301">
        <v>250.8</v>
      </c>
      <c r="F1643" s="303">
        <v>43021</v>
      </c>
      <c r="G1643" s="301">
        <v>250.8</v>
      </c>
      <c r="H1643" s="301">
        <f>Tabla15[[#This Row],[Importe]]-Tabla15[[#This Row],[Pagado]]</f>
        <v>0</v>
      </c>
      <c r="I1643" s="275" t="s">
        <v>15214</v>
      </c>
    </row>
    <row r="1644" spans="1:9" x14ac:dyDescent="0.25">
      <c r="A1644" s="420">
        <v>43021</v>
      </c>
      <c r="B1644" s="302" t="s">
        <v>33316</v>
      </c>
      <c r="C1644">
        <v>131207</v>
      </c>
      <c r="D1644" s="275" t="s">
        <v>22563</v>
      </c>
      <c r="E1644" s="301">
        <v>11193.6</v>
      </c>
      <c r="F1644" s="303">
        <v>43022</v>
      </c>
      <c r="G1644" s="301">
        <v>11193.6</v>
      </c>
      <c r="H1644" s="301">
        <f>Tabla15[[#This Row],[Importe]]-Tabla15[[#This Row],[Pagado]]</f>
        <v>0</v>
      </c>
      <c r="I1644" s="275" t="s">
        <v>15214</v>
      </c>
    </row>
    <row r="1645" spans="1:9" x14ac:dyDescent="0.25">
      <c r="A1645" s="420">
        <v>43021</v>
      </c>
      <c r="B1645" s="302" t="s">
        <v>33317</v>
      </c>
      <c r="C1645">
        <v>131208</v>
      </c>
      <c r="D1645" s="275" t="s">
        <v>15782</v>
      </c>
      <c r="E1645" s="301">
        <v>820</v>
      </c>
      <c r="F1645" s="303">
        <v>43022</v>
      </c>
      <c r="G1645" s="301">
        <v>820</v>
      </c>
      <c r="H1645" s="301">
        <f>Tabla15[[#This Row],[Importe]]-Tabla15[[#This Row],[Pagado]]</f>
        <v>0</v>
      </c>
      <c r="I1645" s="275" t="s">
        <v>15214</v>
      </c>
    </row>
    <row r="1646" spans="1:9" x14ac:dyDescent="0.25">
      <c r="A1646" s="420">
        <v>43021</v>
      </c>
      <c r="B1646" s="302" t="s">
        <v>33318</v>
      </c>
      <c r="C1646">
        <v>131209</v>
      </c>
      <c r="D1646" s="275" t="s">
        <v>15315</v>
      </c>
      <c r="E1646" s="301">
        <v>5803.2</v>
      </c>
      <c r="F1646" s="303">
        <v>43027</v>
      </c>
      <c r="G1646" s="301">
        <v>5803.2</v>
      </c>
      <c r="H1646" s="301">
        <f>Tabla15[[#This Row],[Importe]]-Tabla15[[#This Row],[Pagado]]</f>
        <v>0</v>
      </c>
      <c r="I1646" s="275" t="s">
        <v>15214</v>
      </c>
    </row>
    <row r="1647" spans="1:9" x14ac:dyDescent="0.25">
      <c r="A1647" s="420">
        <v>43021</v>
      </c>
      <c r="B1647" s="302" t="s">
        <v>33319</v>
      </c>
      <c r="C1647">
        <v>131210</v>
      </c>
      <c r="D1647" s="275" t="s">
        <v>15382</v>
      </c>
      <c r="E1647" s="301">
        <v>10263.299999999999</v>
      </c>
      <c r="F1647" s="303">
        <v>43031</v>
      </c>
      <c r="G1647" s="301">
        <v>10263.299999999999</v>
      </c>
      <c r="H1647" s="301">
        <f>Tabla15[[#This Row],[Importe]]-Tabla15[[#This Row],[Pagado]]</f>
        <v>0</v>
      </c>
      <c r="I1647" s="275" t="s">
        <v>15214</v>
      </c>
    </row>
    <row r="1648" spans="1:9" x14ac:dyDescent="0.25">
      <c r="A1648" s="420">
        <v>43021</v>
      </c>
      <c r="B1648" s="302" t="s">
        <v>33320</v>
      </c>
      <c r="C1648">
        <v>131211</v>
      </c>
      <c r="D1648" s="275" t="s">
        <v>16313</v>
      </c>
      <c r="E1648" s="301">
        <v>6040.8</v>
      </c>
      <c r="F1648" s="303">
        <v>43022</v>
      </c>
      <c r="G1648" s="301">
        <v>6040.8</v>
      </c>
      <c r="H1648" s="301">
        <f>Tabla15[[#This Row],[Importe]]-Tabla15[[#This Row],[Pagado]]</f>
        <v>0</v>
      </c>
      <c r="I1648" s="275" t="s">
        <v>15214</v>
      </c>
    </row>
    <row r="1649" spans="1:9" x14ac:dyDescent="0.25">
      <c r="A1649" s="420">
        <v>43021</v>
      </c>
      <c r="B1649" s="302" t="s">
        <v>33321</v>
      </c>
      <c r="C1649">
        <v>131212</v>
      </c>
      <c r="D1649" s="275" t="s">
        <v>15389</v>
      </c>
      <c r="E1649" s="301">
        <v>14873.1</v>
      </c>
      <c r="F1649" s="303">
        <v>43031</v>
      </c>
      <c r="G1649" s="301">
        <v>14873.1</v>
      </c>
      <c r="H1649" s="301">
        <f>Tabla15[[#This Row],[Importe]]-Tabla15[[#This Row],[Pagado]]</f>
        <v>0</v>
      </c>
      <c r="I1649" s="275" t="s">
        <v>15214</v>
      </c>
    </row>
    <row r="1650" spans="1:9" x14ac:dyDescent="0.25">
      <c r="A1650" s="420">
        <v>43021</v>
      </c>
      <c r="B1650" s="302" t="s">
        <v>33322</v>
      </c>
      <c r="C1650">
        <v>131213</v>
      </c>
      <c r="D1650" s="275" t="s">
        <v>15369</v>
      </c>
      <c r="E1650" s="301">
        <v>22014.799999999999</v>
      </c>
      <c r="F1650" s="303">
        <v>43035</v>
      </c>
      <c r="G1650" s="301">
        <v>22014.799999999999</v>
      </c>
      <c r="H1650" s="301">
        <f>Tabla15[[#This Row],[Importe]]-Tabla15[[#This Row],[Pagado]]</f>
        <v>0</v>
      </c>
      <c r="I1650" s="275" t="s">
        <v>15214</v>
      </c>
    </row>
    <row r="1651" spans="1:9" x14ac:dyDescent="0.25">
      <c r="A1651" s="420">
        <v>43021</v>
      </c>
      <c r="B1651" s="302" t="s">
        <v>33323</v>
      </c>
      <c r="C1651">
        <v>131214</v>
      </c>
      <c r="D1651" s="275" t="s">
        <v>15367</v>
      </c>
      <c r="E1651" s="301">
        <v>5900</v>
      </c>
      <c r="F1651" s="303">
        <v>43022</v>
      </c>
      <c r="G1651" s="301">
        <v>5900</v>
      </c>
      <c r="H1651" s="301">
        <f>Tabla15[[#This Row],[Importe]]-Tabla15[[#This Row],[Pagado]]</f>
        <v>0</v>
      </c>
      <c r="I1651" s="275" t="s">
        <v>15214</v>
      </c>
    </row>
    <row r="1652" spans="1:9" x14ac:dyDescent="0.25">
      <c r="A1652" s="420">
        <v>43021</v>
      </c>
      <c r="B1652" s="302" t="s">
        <v>33324</v>
      </c>
      <c r="C1652">
        <v>131215</v>
      </c>
      <c r="D1652" s="275" t="s">
        <v>15810</v>
      </c>
      <c r="E1652" s="301">
        <v>788.8</v>
      </c>
      <c r="F1652" s="303">
        <v>43021</v>
      </c>
      <c r="G1652" s="301">
        <v>788.8</v>
      </c>
      <c r="H1652" s="301">
        <f>Tabla15[[#This Row],[Importe]]-Tabla15[[#This Row],[Pagado]]</f>
        <v>0</v>
      </c>
      <c r="I1652" s="275" t="s">
        <v>15214</v>
      </c>
    </row>
    <row r="1653" spans="1:9" ht="15.75" x14ac:dyDescent="0.25">
      <c r="A1653" s="420">
        <v>43021</v>
      </c>
      <c r="B1653" s="302" t="s">
        <v>33325</v>
      </c>
      <c r="C1653">
        <v>131216</v>
      </c>
      <c r="D1653" s="248" t="s">
        <v>95</v>
      </c>
      <c r="E1653" s="301">
        <v>0</v>
      </c>
      <c r="F1653" s="243" t="s">
        <v>95</v>
      </c>
      <c r="G1653" s="301">
        <v>0</v>
      </c>
      <c r="H1653" s="301">
        <f>Tabla15[[#This Row],[Importe]]-Tabla15[[#This Row],[Pagado]]</f>
        <v>0</v>
      </c>
      <c r="I1653" s="275" t="s">
        <v>95</v>
      </c>
    </row>
    <row r="1654" spans="1:9" x14ac:dyDescent="0.25">
      <c r="A1654" s="420">
        <v>43021</v>
      </c>
      <c r="B1654" s="302" t="s">
        <v>33326</v>
      </c>
      <c r="C1654">
        <v>131217</v>
      </c>
      <c r="D1654" s="275" t="s">
        <v>15282</v>
      </c>
      <c r="E1654" s="301">
        <v>3008.9</v>
      </c>
      <c r="F1654" s="303">
        <v>43021</v>
      </c>
      <c r="G1654" s="301">
        <v>3008.9</v>
      </c>
      <c r="H1654" s="301">
        <f>Tabla15[[#This Row],[Importe]]-Tabla15[[#This Row],[Pagado]]</f>
        <v>0</v>
      </c>
      <c r="I1654" s="275" t="s">
        <v>15214</v>
      </c>
    </row>
    <row r="1655" spans="1:9" x14ac:dyDescent="0.25">
      <c r="A1655" s="420">
        <v>43021</v>
      </c>
      <c r="B1655" s="302" t="s">
        <v>33327</v>
      </c>
      <c r="C1655">
        <v>131218</v>
      </c>
      <c r="D1655" s="275" t="s">
        <v>19742</v>
      </c>
      <c r="E1655" s="301">
        <v>30726.400000000001</v>
      </c>
      <c r="F1655" s="303">
        <v>43022</v>
      </c>
      <c r="G1655" s="301">
        <v>30726.400000000001</v>
      </c>
      <c r="H1655" s="301">
        <f>Tabla15[[#This Row],[Importe]]-Tabla15[[#This Row],[Pagado]]</f>
        <v>0</v>
      </c>
      <c r="I1655" s="275" t="s">
        <v>15214</v>
      </c>
    </row>
    <row r="1656" spans="1:9" x14ac:dyDescent="0.25">
      <c r="A1656" s="420">
        <v>43021</v>
      </c>
      <c r="B1656" s="302" t="s">
        <v>33328</v>
      </c>
      <c r="C1656">
        <v>131219</v>
      </c>
      <c r="D1656" s="275" t="s">
        <v>15555</v>
      </c>
      <c r="E1656" s="301">
        <v>1200</v>
      </c>
      <c r="F1656" s="303">
        <v>43022</v>
      </c>
      <c r="G1656" s="301">
        <v>1200</v>
      </c>
      <c r="H1656" s="301">
        <f>Tabla15[[#This Row],[Importe]]-Tabla15[[#This Row],[Pagado]]</f>
        <v>0</v>
      </c>
      <c r="I1656" s="275" t="s">
        <v>15214</v>
      </c>
    </row>
    <row r="1657" spans="1:9" x14ac:dyDescent="0.25">
      <c r="A1657" s="420">
        <v>43021</v>
      </c>
      <c r="B1657" s="302" t="s">
        <v>33329</v>
      </c>
      <c r="C1657">
        <v>131220</v>
      </c>
      <c r="D1657" s="275" t="s">
        <v>15537</v>
      </c>
      <c r="E1657" s="301">
        <v>22233</v>
      </c>
      <c r="F1657" s="303">
        <v>43022</v>
      </c>
      <c r="G1657" s="301">
        <v>22233</v>
      </c>
      <c r="H1657" s="301">
        <f>Tabla15[[#This Row],[Importe]]-Tabla15[[#This Row],[Pagado]]</f>
        <v>0</v>
      </c>
      <c r="I1657" s="275" t="s">
        <v>15214</v>
      </c>
    </row>
    <row r="1658" spans="1:9" ht="15.75" x14ac:dyDescent="0.25">
      <c r="A1658" s="420">
        <v>43021</v>
      </c>
      <c r="B1658" s="302" t="s">
        <v>33330</v>
      </c>
      <c r="C1658">
        <v>131221</v>
      </c>
      <c r="D1658" s="248" t="s">
        <v>95</v>
      </c>
      <c r="E1658" s="301">
        <v>0</v>
      </c>
      <c r="F1658" s="243" t="s">
        <v>95</v>
      </c>
      <c r="G1658" s="301">
        <v>0</v>
      </c>
      <c r="H1658" s="301">
        <f>Tabla15[[#This Row],[Importe]]-Tabla15[[#This Row],[Pagado]]</f>
        <v>0</v>
      </c>
      <c r="I1658" s="275" t="s">
        <v>95</v>
      </c>
    </row>
    <row r="1659" spans="1:9" x14ac:dyDescent="0.25">
      <c r="A1659" s="420">
        <v>43021</v>
      </c>
      <c r="B1659" s="302" t="s">
        <v>33331</v>
      </c>
      <c r="C1659">
        <v>131222</v>
      </c>
      <c r="D1659" s="275" t="s">
        <v>15539</v>
      </c>
      <c r="E1659" s="301">
        <v>14688</v>
      </c>
      <c r="F1659" s="303">
        <v>43022</v>
      </c>
      <c r="G1659" s="301">
        <v>14688</v>
      </c>
      <c r="H1659" s="301">
        <f>Tabla15[[#This Row],[Importe]]-Tabla15[[#This Row],[Pagado]]</f>
        <v>0</v>
      </c>
      <c r="I1659" s="275" t="s">
        <v>15214</v>
      </c>
    </row>
    <row r="1660" spans="1:9" x14ac:dyDescent="0.25">
      <c r="A1660" s="420">
        <v>43021</v>
      </c>
      <c r="B1660" s="302" t="s">
        <v>33332</v>
      </c>
      <c r="C1660">
        <v>131223</v>
      </c>
      <c r="D1660" s="275" t="s">
        <v>15699</v>
      </c>
      <c r="E1660" s="301">
        <v>5907.9</v>
      </c>
      <c r="F1660" s="303">
        <v>43022</v>
      </c>
      <c r="G1660" s="301">
        <v>5907.9</v>
      </c>
      <c r="H1660" s="301">
        <f>Tabla15[[#This Row],[Importe]]-Tabla15[[#This Row],[Pagado]]</f>
        <v>0</v>
      </c>
      <c r="I1660" s="275" t="s">
        <v>15214</v>
      </c>
    </row>
    <row r="1661" spans="1:9" x14ac:dyDescent="0.25">
      <c r="A1661" s="420">
        <v>43021</v>
      </c>
      <c r="B1661" s="302" t="s">
        <v>33333</v>
      </c>
      <c r="C1661">
        <v>131224</v>
      </c>
      <c r="D1661" s="275" t="s">
        <v>15566</v>
      </c>
      <c r="E1661" s="301">
        <v>3848.4</v>
      </c>
      <c r="F1661" s="303">
        <v>43021</v>
      </c>
      <c r="G1661" s="301">
        <v>3848.4</v>
      </c>
      <c r="H1661" s="301">
        <f>Tabla15[[#This Row],[Importe]]-Tabla15[[#This Row],[Pagado]]</f>
        <v>0</v>
      </c>
      <c r="I1661" s="275" t="s">
        <v>15214</v>
      </c>
    </row>
    <row r="1662" spans="1:9" x14ac:dyDescent="0.25">
      <c r="A1662" s="420">
        <v>43021</v>
      </c>
      <c r="B1662" s="302" t="s">
        <v>33334</v>
      </c>
      <c r="C1662">
        <v>131225</v>
      </c>
      <c r="D1662" s="275" t="s">
        <v>15699</v>
      </c>
      <c r="E1662" s="301">
        <v>3020.4</v>
      </c>
      <c r="F1662" s="303">
        <v>43022</v>
      </c>
      <c r="G1662" s="301">
        <v>3020.4</v>
      </c>
      <c r="H1662" s="301">
        <f>Tabla15[[#This Row],[Importe]]-Tabla15[[#This Row],[Pagado]]</f>
        <v>0</v>
      </c>
      <c r="I1662" s="275" t="s">
        <v>15214</v>
      </c>
    </row>
    <row r="1663" spans="1:9" ht="15.75" x14ac:dyDescent="0.25">
      <c r="A1663" s="420">
        <v>43021</v>
      </c>
      <c r="B1663" s="302" t="s">
        <v>33335</v>
      </c>
      <c r="C1663">
        <v>131226</v>
      </c>
      <c r="D1663" s="248" t="s">
        <v>95</v>
      </c>
      <c r="E1663" s="301">
        <v>0</v>
      </c>
      <c r="F1663" s="243" t="s">
        <v>95</v>
      </c>
      <c r="G1663" s="301">
        <v>0</v>
      </c>
      <c r="H1663" s="301">
        <f>Tabla15[[#This Row],[Importe]]-Tabla15[[#This Row],[Pagado]]</f>
        <v>0</v>
      </c>
      <c r="I1663" s="275" t="s">
        <v>95</v>
      </c>
    </row>
    <row r="1664" spans="1:9" x14ac:dyDescent="0.25">
      <c r="A1664" s="420">
        <v>43021</v>
      </c>
      <c r="B1664" s="302" t="s">
        <v>33336</v>
      </c>
      <c r="C1664">
        <v>131227</v>
      </c>
      <c r="D1664" s="275" t="s">
        <v>15557</v>
      </c>
      <c r="E1664" s="301">
        <v>7940.7</v>
      </c>
      <c r="F1664" s="303">
        <v>43022</v>
      </c>
      <c r="G1664" s="301">
        <v>7940.7</v>
      </c>
      <c r="H1664" s="301">
        <f>Tabla15[[#This Row],[Importe]]-Tabla15[[#This Row],[Pagado]]</f>
        <v>0</v>
      </c>
      <c r="I1664" s="275" t="s">
        <v>15214</v>
      </c>
    </row>
    <row r="1665" spans="1:9" x14ac:dyDescent="0.25">
      <c r="A1665" s="420">
        <v>43021</v>
      </c>
      <c r="B1665" s="302" t="s">
        <v>33337</v>
      </c>
      <c r="C1665">
        <v>131228</v>
      </c>
      <c r="D1665" s="275" t="s">
        <v>15716</v>
      </c>
      <c r="E1665" s="301">
        <v>6123.5</v>
      </c>
      <c r="F1665" s="303">
        <v>43021</v>
      </c>
      <c r="G1665" s="301">
        <v>6123.5</v>
      </c>
      <c r="H1665" s="301">
        <f>Tabla15[[#This Row],[Importe]]-Tabla15[[#This Row],[Pagado]]</f>
        <v>0</v>
      </c>
      <c r="I1665" s="275" t="s">
        <v>15214</v>
      </c>
    </row>
    <row r="1666" spans="1:9" x14ac:dyDescent="0.25">
      <c r="A1666" s="420">
        <v>43021</v>
      </c>
      <c r="B1666" s="302" t="s">
        <v>33338</v>
      </c>
      <c r="C1666">
        <v>131229</v>
      </c>
      <c r="D1666" s="275" t="s">
        <v>15725</v>
      </c>
      <c r="E1666" s="301">
        <v>23503.5</v>
      </c>
      <c r="F1666" s="303">
        <v>43022</v>
      </c>
      <c r="G1666" s="301">
        <v>23503.5</v>
      </c>
      <c r="H1666" s="301">
        <f>Tabla15[[#This Row],[Importe]]-Tabla15[[#This Row],[Pagado]]</f>
        <v>0</v>
      </c>
      <c r="I1666" s="275" t="s">
        <v>15214</v>
      </c>
    </row>
    <row r="1667" spans="1:9" ht="15.75" x14ac:dyDescent="0.25">
      <c r="A1667" s="420">
        <v>43021</v>
      </c>
      <c r="B1667" s="302" t="s">
        <v>33339</v>
      </c>
      <c r="C1667">
        <v>131230</v>
      </c>
      <c r="D1667" s="248" t="s">
        <v>95</v>
      </c>
      <c r="E1667" s="301">
        <v>0</v>
      </c>
      <c r="F1667" s="254" t="s">
        <v>95</v>
      </c>
      <c r="G1667" s="301">
        <v>0</v>
      </c>
      <c r="H1667" s="301">
        <f>Tabla15[[#This Row],[Importe]]-Tabla15[[#This Row],[Pagado]]</f>
        <v>0</v>
      </c>
      <c r="I1667" s="275" t="s">
        <v>95</v>
      </c>
    </row>
    <row r="1668" spans="1:9" x14ac:dyDescent="0.25">
      <c r="A1668" s="420">
        <v>43021</v>
      </c>
      <c r="B1668" s="302" t="s">
        <v>33340</v>
      </c>
      <c r="C1668">
        <v>131231</v>
      </c>
      <c r="D1668" s="275" t="s">
        <v>15544</v>
      </c>
      <c r="E1668" s="301">
        <v>1861.8</v>
      </c>
      <c r="F1668" s="303">
        <v>43022</v>
      </c>
      <c r="G1668" s="301">
        <v>1861.8</v>
      </c>
      <c r="H1668" s="301">
        <f>Tabla15[[#This Row],[Importe]]-Tabla15[[#This Row],[Pagado]]</f>
        <v>0</v>
      </c>
      <c r="I1668" s="275" t="s">
        <v>15214</v>
      </c>
    </row>
    <row r="1669" spans="1:9" x14ac:dyDescent="0.25">
      <c r="A1669" s="420">
        <v>43021</v>
      </c>
      <c r="B1669" s="302" t="s">
        <v>33341</v>
      </c>
      <c r="C1669">
        <v>131232</v>
      </c>
      <c r="D1669" s="275" t="s">
        <v>17708</v>
      </c>
      <c r="E1669" s="301">
        <v>2980.5</v>
      </c>
      <c r="F1669" s="303">
        <v>43022</v>
      </c>
      <c r="G1669" s="301">
        <v>2980.5</v>
      </c>
      <c r="H1669" s="301">
        <f>Tabla15[[#This Row],[Importe]]-Tabla15[[#This Row],[Pagado]]</f>
        <v>0</v>
      </c>
      <c r="I1669" s="275" t="s">
        <v>15214</v>
      </c>
    </row>
    <row r="1670" spans="1:9" x14ac:dyDescent="0.25">
      <c r="A1670" s="420">
        <v>43021</v>
      </c>
      <c r="B1670" s="302" t="s">
        <v>33342</v>
      </c>
      <c r="C1670">
        <v>131233</v>
      </c>
      <c r="D1670" s="275" t="s">
        <v>15378</v>
      </c>
      <c r="E1670" s="301">
        <v>2976.8</v>
      </c>
      <c r="F1670" s="303">
        <v>43021</v>
      </c>
      <c r="G1670" s="301">
        <v>2976.8</v>
      </c>
      <c r="H1670" s="301">
        <f>Tabla15[[#This Row],[Importe]]-Tabla15[[#This Row],[Pagado]]</f>
        <v>0</v>
      </c>
      <c r="I1670" s="275" t="s">
        <v>15214</v>
      </c>
    </row>
    <row r="1671" spans="1:9" x14ac:dyDescent="0.25">
      <c r="A1671" s="420">
        <v>43021</v>
      </c>
      <c r="B1671" s="302" t="s">
        <v>33343</v>
      </c>
      <c r="C1671">
        <v>131234</v>
      </c>
      <c r="D1671" s="275" t="s">
        <v>17708</v>
      </c>
      <c r="E1671" s="301">
        <v>14611.5</v>
      </c>
      <c r="F1671" s="303">
        <v>43022</v>
      </c>
      <c r="G1671" s="301">
        <v>14611.5</v>
      </c>
      <c r="H1671" s="301">
        <f>Tabla15[[#This Row],[Importe]]-Tabla15[[#This Row],[Pagado]]</f>
        <v>0</v>
      </c>
      <c r="I1671" s="275" t="s">
        <v>15214</v>
      </c>
    </row>
    <row r="1672" spans="1:9" x14ac:dyDescent="0.25">
      <c r="A1672" s="420">
        <v>43021</v>
      </c>
      <c r="B1672" s="302" t="s">
        <v>33344</v>
      </c>
      <c r="C1672">
        <v>131235</v>
      </c>
      <c r="D1672" s="275" t="s">
        <v>15315</v>
      </c>
      <c r="E1672" s="301">
        <v>1921.86</v>
      </c>
      <c r="F1672" s="303">
        <v>43022</v>
      </c>
      <c r="G1672" s="301">
        <v>1921.86</v>
      </c>
      <c r="H1672" s="301">
        <f>Tabla15[[#This Row],[Importe]]-Tabla15[[#This Row],[Pagado]]</f>
        <v>0</v>
      </c>
      <c r="I1672" s="275" t="s">
        <v>15214</v>
      </c>
    </row>
    <row r="1673" spans="1:9" x14ac:dyDescent="0.25">
      <c r="A1673" s="420">
        <v>43021</v>
      </c>
      <c r="B1673" s="302" t="s">
        <v>33345</v>
      </c>
      <c r="C1673">
        <v>131236</v>
      </c>
      <c r="D1673" s="275" t="s">
        <v>15378</v>
      </c>
      <c r="E1673" s="301">
        <v>296.39999999999998</v>
      </c>
      <c r="F1673" s="303">
        <v>43021</v>
      </c>
      <c r="G1673" s="301">
        <v>296.39999999999998</v>
      </c>
      <c r="H1673" s="301">
        <f>Tabla15[[#This Row],[Importe]]-Tabla15[[#This Row],[Pagado]]</f>
        <v>0</v>
      </c>
      <c r="I1673" s="275" t="s">
        <v>15214</v>
      </c>
    </row>
    <row r="1674" spans="1:9" x14ac:dyDescent="0.25">
      <c r="A1674" s="420">
        <v>43021</v>
      </c>
      <c r="B1674" s="302" t="s">
        <v>33346</v>
      </c>
      <c r="C1674">
        <v>131237</v>
      </c>
      <c r="D1674" s="275" t="s">
        <v>15315</v>
      </c>
      <c r="E1674" s="301">
        <v>1105</v>
      </c>
      <c r="F1674" s="303">
        <v>43022</v>
      </c>
      <c r="G1674" s="301">
        <v>1105</v>
      </c>
      <c r="H1674" s="301">
        <f>Tabla15[[#This Row],[Importe]]-Tabla15[[#This Row],[Pagado]]</f>
        <v>0</v>
      </c>
      <c r="I1674" s="275" t="s">
        <v>15214</v>
      </c>
    </row>
    <row r="1675" spans="1:9" x14ac:dyDescent="0.25">
      <c r="A1675" s="420">
        <v>43021</v>
      </c>
      <c r="B1675" s="302" t="s">
        <v>33347</v>
      </c>
      <c r="C1675">
        <v>131238</v>
      </c>
      <c r="D1675" s="275" t="s">
        <v>15594</v>
      </c>
      <c r="E1675" s="301">
        <v>2263.1999999999998</v>
      </c>
      <c r="F1675" s="303">
        <v>43022</v>
      </c>
      <c r="G1675" s="301">
        <v>2263.1999999999998</v>
      </c>
      <c r="H1675" s="301">
        <f>Tabla15[[#This Row],[Importe]]-Tabla15[[#This Row],[Pagado]]</f>
        <v>0</v>
      </c>
      <c r="I1675" s="275" t="s">
        <v>15214</v>
      </c>
    </row>
    <row r="1676" spans="1:9" x14ac:dyDescent="0.25">
      <c r="A1676" s="420">
        <v>43021</v>
      </c>
      <c r="B1676" s="302" t="s">
        <v>33348</v>
      </c>
      <c r="C1676">
        <v>131239</v>
      </c>
      <c r="D1676" s="275" t="s">
        <v>15594</v>
      </c>
      <c r="E1676" s="301">
        <v>324</v>
      </c>
      <c r="F1676" s="303">
        <v>43022</v>
      </c>
      <c r="G1676" s="301">
        <v>324</v>
      </c>
      <c r="H1676" s="301">
        <f>Tabla15[[#This Row],[Importe]]-Tabla15[[#This Row],[Pagado]]</f>
        <v>0</v>
      </c>
      <c r="I1676" s="275" t="s">
        <v>15214</v>
      </c>
    </row>
    <row r="1677" spans="1:9" x14ac:dyDescent="0.25">
      <c r="A1677" s="420">
        <v>43021</v>
      </c>
      <c r="B1677" s="302" t="s">
        <v>33349</v>
      </c>
      <c r="C1677">
        <v>131240</v>
      </c>
      <c r="D1677" s="275" t="s">
        <v>15568</v>
      </c>
      <c r="E1677" s="301">
        <v>9187.2000000000007</v>
      </c>
      <c r="F1677" s="303">
        <v>43022</v>
      </c>
      <c r="G1677" s="301">
        <v>9187.2000000000007</v>
      </c>
      <c r="H1677" s="301">
        <f>Tabla15[[#This Row],[Importe]]-Tabla15[[#This Row],[Pagado]]</f>
        <v>0</v>
      </c>
      <c r="I1677" s="275" t="s">
        <v>15214</v>
      </c>
    </row>
    <row r="1678" spans="1:9" x14ac:dyDescent="0.25">
      <c r="A1678" s="420">
        <v>43021</v>
      </c>
      <c r="B1678" s="302" t="s">
        <v>33350</v>
      </c>
      <c r="C1678">
        <v>131241</v>
      </c>
      <c r="D1678" s="275" t="s">
        <v>15391</v>
      </c>
      <c r="E1678" s="301">
        <v>11160.6</v>
      </c>
      <c r="F1678" s="303">
        <v>43026</v>
      </c>
      <c r="G1678" s="301">
        <v>11160.6</v>
      </c>
      <c r="H1678" s="301">
        <f>Tabla15[[#This Row],[Importe]]-Tabla15[[#This Row],[Pagado]]</f>
        <v>0</v>
      </c>
      <c r="I1678" s="275" t="s">
        <v>15214</v>
      </c>
    </row>
    <row r="1679" spans="1:9" x14ac:dyDescent="0.25">
      <c r="A1679" s="420">
        <v>43021</v>
      </c>
      <c r="B1679" s="302" t="s">
        <v>33351</v>
      </c>
      <c r="C1679">
        <v>131242</v>
      </c>
      <c r="D1679" s="275" t="s">
        <v>15284</v>
      </c>
      <c r="E1679" s="301">
        <v>1377</v>
      </c>
      <c r="F1679" s="303">
        <v>43021</v>
      </c>
      <c r="G1679" s="301">
        <v>1377</v>
      </c>
      <c r="H1679" s="301">
        <f>Tabla15[[#This Row],[Importe]]-Tabla15[[#This Row],[Pagado]]</f>
        <v>0</v>
      </c>
      <c r="I1679" s="275" t="s">
        <v>15214</v>
      </c>
    </row>
    <row r="1680" spans="1:9" x14ac:dyDescent="0.25">
      <c r="A1680" s="420">
        <v>43021</v>
      </c>
      <c r="B1680" s="302" t="s">
        <v>33352</v>
      </c>
      <c r="C1680">
        <v>131243</v>
      </c>
      <c r="D1680" s="275" t="s">
        <v>15315</v>
      </c>
      <c r="E1680" s="301">
        <v>5021.8</v>
      </c>
      <c r="F1680" s="303">
        <v>43022</v>
      </c>
      <c r="G1680" s="301">
        <v>5021.8</v>
      </c>
      <c r="H1680" s="301">
        <f>Tabla15[[#This Row],[Importe]]-Tabla15[[#This Row],[Pagado]]</f>
        <v>0</v>
      </c>
      <c r="I1680" s="275" t="s">
        <v>15214</v>
      </c>
    </row>
    <row r="1681" spans="1:9" x14ac:dyDescent="0.25">
      <c r="A1681" s="420">
        <v>43021</v>
      </c>
      <c r="B1681" s="302" t="s">
        <v>33353</v>
      </c>
      <c r="C1681">
        <v>131244</v>
      </c>
      <c r="D1681" s="275" t="s">
        <v>21441</v>
      </c>
      <c r="E1681" s="301">
        <v>2315.4</v>
      </c>
      <c r="F1681" s="303">
        <v>43022</v>
      </c>
      <c r="G1681" s="301">
        <v>2315.4</v>
      </c>
      <c r="H1681" s="301">
        <f>Tabla15[[#This Row],[Importe]]-Tabla15[[#This Row],[Pagado]]</f>
        <v>0</v>
      </c>
      <c r="I1681" s="275" t="s">
        <v>15214</v>
      </c>
    </row>
    <row r="1682" spans="1:9" x14ac:dyDescent="0.25">
      <c r="A1682" s="420">
        <v>43021</v>
      </c>
      <c r="B1682" s="302" t="s">
        <v>33354</v>
      </c>
      <c r="C1682">
        <v>131245</v>
      </c>
      <c r="D1682" s="275" t="s">
        <v>21441</v>
      </c>
      <c r="E1682" s="301">
        <v>1136</v>
      </c>
      <c r="F1682" s="303">
        <v>43022</v>
      </c>
      <c r="G1682" s="301">
        <v>1136</v>
      </c>
      <c r="H1682" s="301">
        <f>Tabla15[[#This Row],[Importe]]-Tabla15[[#This Row],[Pagado]]</f>
        <v>0</v>
      </c>
      <c r="I1682" s="275" t="s">
        <v>15214</v>
      </c>
    </row>
    <row r="1683" spans="1:9" x14ac:dyDescent="0.25">
      <c r="A1683" s="420">
        <v>43021</v>
      </c>
      <c r="B1683" s="302" t="s">
        <v>33355</v>
      </c>
      <c r="C1683">
        <v>131246</v>
      </c>
      <c r="D1683" s="275" t="s">
        <v>16048</v>
      </c>
      <c r="E1683" s="301">
        <v>5592.6</v>
      </c>
      <c r="F1683" s="303">
        <v>43021</v>
      </c>
      <c r="G1683" s="301">
        <v>5592.6</v>
      </c>
      <c r="H1683" s="301">
        <f>Tabla15[[#This Row],[Importe]]-Tabla15[[#This Row],[Pagado]]</f>
        <v>0</v>
      </c>
      <c r="I1683" s="275" t="s">
        <v>15214</v>
      </c>
    </row>
    <row r="1684" spans="1:9" x14ac:dyDescent="0.25">
      <c r="A1684" s="420">
        <v>43021</v>
      </c>
      <c r="B1684" s="302" t="s">
        <v>33356</v>
      </c>
      <c r="C1684">
        <v>131247</v>
      </c>
      <c r="D1684" s="275" t="s">
        <v>15315</v>
      </c>
      <c r="E1684" s="301">
        <v>212.4</v>
      </c>
      <c r="F1684" s="303">
        <v>43021</v>
      </c>
      <c r="G1684" s="301">
        <v>212.4</v>
      </c>
      <c r="H1684" s="301">
        <f>Tabla15[[#This Row],[Importe]]-Tabla15[[#This Row],[Pagado]]</f>
        <v>0</v>
      </c>
      <c r="I1684" s="275" t="s">
        <v>15214</v>
      </c>
    </row>
    <row r="1685" spans="1:9" x14ac:dyDescent="0.25">
      <c r="A1685" s="420">
        <v>43021</v>
      </c>
      <c r="B1685" s="302" t="s">
        <v>33357</v>
      </c>
      <c r="C1685">
        <v>131248</v>
      </c>
      <c r="D1685" s="275" t="s">
        <v>15315</v>
      </c>
      <c r="E1685" s="301">
        <v>9336.2000000000007</v>
      </c>
      <c r="F1685" s="303">
        <v>43021</v>
      </c>
      <c r="G1685" s="301">
        <v>9336.2000000000007</v>
      </c>
      <c r="H1685" s="301">
        <f>Tabla15[[#This Row],[Importe]]-Tabla15[[#This Row],[Pagado]]</f>
        <v>0</v>
      </c>
      <c r="I1685" s="275" t="s">
        <v>15214</v>
      </c>
    </row>
    <row r="1686" spans="1:9" x14ac:dyDescent="0.25">
      <c r="A1686" s="420">
        <v>43021</v>
      </c>
      <c r="B1686" s="302" t="s">
        <v>33358</v>
      </c>
      <c r="C1686">
        <v>131249</v>
      </c>
      <c r="D1686" s="275" t="s">
        <v>15398</v>
      </c>
      <c r="E1686" s="301">
        <v>3122</v>
      </c>
      <c r="F1686" s="303">
        <v>43021</v>
      </c>
      <c r="G1686" s="301">
        <v>3122</v>
      </c>
      <c r="H1686" s="301">
        <f>Tabla15[[#This Row],[Importe]]-Tabla15[[#This Row],[Pagado]]</f>
        <v>0</v>
      </c>
      <c r="I1686" s="275" t="s">
        <v>15214</v>
      </c>
    </row>
    <row r="1687" spans="1:9" ht="30" x14ac:dyDescent="0.25">
      <c r="A1687" s="420">
        <v>43021</v>
      </c>
      <c r="B1687" s="302" t="s">
        <v>33359</v>
      </c>
      <c r="C1687">
        <v>131250</v>
      </c>
      <c r="D1687" s="275" t="s">
        <v>15246</v>
      </c>
      <c r="E1687" s="301">
        <v>309805.68</v>
      </c>
      <c r="F1687" s="303" t="s">
        <v>33360</v>
      </c>
      <c r="G1687" s="305">
        <f>254406.81+55398.87</f>
        <v>309805.68</v>
      </c>
      <c r="H1687" s="305">
        <f>Tabla15[[#This Row],[Importe]]-Tabla15[[#This Row],[Pagado]]</f>
        <v>0</v>
      </c>
      <c r="I1687" s="275" t="s">
        <v>15214</v>
      </c>
    </row>
    <row r="1688" spans="1:9" x14ac:dyDescent="0.25">
      <c r="A1688" s="420">
        <v>43021</v>
      </c>
      <c r="B1688" s="302" t="s">
        <v>33361</v>
      </c>
      <c r="C1688">
        <v>131251</v>
      </c>
      <c r="D1688" s="275" t="s">
        <v>16129</v>
      </c>
      <c r="E1688" s="301">
        <v>5713.6</v>
      </c>
      <c r="F1688" s="303">
        <v>43028</v>
      </c>
      <c r="G1688" s="301">
        <v>5713.6</v>
      </c>
      <c r="H1688" s="301">
        <f>Tabla15[[#This Row],[Importe]]-Tabla15[[#This Row],[Pagado]]</f>
        <v>0</v>
      </c>
      <c r="I1688" s="275" t="s">
        <v>15214</v>
      </c>
    </row>
    <row r="1689" spans="1:9" x14ac:dyDescent="0.25">
      <c r="A1689" s="420">
        <v>43021</v>
      </c>
      <c r="B1689" s="302" t="s">
        <v>33362</v>
      </c>
      <c r="C1689">
        <v>131252</v>
      </c>
      <c r="D1689" s="275" t="s">
        <v>15256</v>
      </c>
      <c r="E1689" s="301">
        <v>1919</v>
      </c>
      <c r="F1689" s="303">
        <v>43024</v>
      </c>
      <c r="G1689" s="301">
        <v>1919</v>
      </c>
      <c r="H1689" s="301">
        <f>Tabla15[[#This Row],[Importe]]-Tabla15[[#This Row],[Pagado]]</f>
        <v>0</v>
      </c>
      <c r="I1689" s="275" t="s">
        <v>15214</v>
      </c>
    </row>
    <row r="1690" spans="1:9" x14ac:dyDescent="0.25">
      <c r="A1690" s="420">
        <v>43021</v>
      </c>
      <c r="B1690" s="302" t="s">
        <v>33363</v>
      </c>
      <c r="C1690">
        <v>131253</v>
      </c>
      <c r="D1690" s="275" t="s">
        <v>15213</v>
      </c>
      <c r="E1690" s="301">
        <v>5675.8</v>
      </c>
      <c r="F1690" s="303">
        <v>43022</v>
      </c>
      <c r="G1690" s="301">
        <v>5675.8</v>
      </c>
      <c r="H1690" s="301">
        <f>Tabla15[[#This Row],[Importe]]-Tabla15[[#This Row],[Pagado]]</f>
        <v>0</v>
      </c>
      <c r="I1690" s="275" t="s">
        <v>15214</v>
      </c>
    </row>
    <row r="1691" spans="1:9" x14ac:dyDescent="0.25">
      <c r="A1691" s="420">
        <v>43021</v>
      </c>
      <c r="B1691" s="302" t="s">
        <v>33364</v>
      </c>
      <c r="C1691">
        <v>131254</v>
      </c>
      <c r="D1691" s="275" t="s">
        <v>15315</v>
      </c>
      <c r="E1691" s="301">
        <v>17883.5</v>
      </c>
      <c r="F1691" s="303">
        <v>43021</v>
      </c>
      <c r="G1691" s="301">
        <v>17883.5</v>
      </c>
      <c r="H1691" s="301">
        <f>Tabla15[[#This Row],[Importe]]-Tabla15[[#This Row],[Pagado]]</f>
        <v>0</v>
      </c>
      <c r="I1691" s="275" t="s">
        <v>15214</v>
      </c>
    </row>
    <row r="1692" spans="1:9" x14ac:dyDescent="0.25">
      <c r="A1692" s="420">
        <v>43021</v>
      </c>
      <c r="B1692" s="302" t="s">
        <v>33365</v>
      </c>
      <c r="C1692">
        <v>131255</v>
      </c>
      <c r="D1692" s="275" t="s">
        <v>15246</v>
      </c>
      <c r="E1692" s="301">
        <v>29286.799999999999</v>
      </c>
      <c r="F1692" s="303">
        <v>43026</v>
      </c>
      <c r="G1692" s="301">
        <v>29286.799999999999</v>
      </c>
      <c r="H1692" s="301">
        <f>Tabla15[[#This Row],[Importe]]-Tabla15[[#This Row],[Pagado]]</f>
        <v>0</v>
      </c>
      <c r="I1692" s="275" t="s">
        <v>15214</v>
      </c>
    </row>
    <row r="1693" spans="1:9" x14ac:dyDescent="0.25">
      <c r="A1693" s="420">
        <v>43021</v>
      </c>
      <c r="B1693" s="302" t="s">
        <v>33366</v>
      </c>
      <c r="C1693">
        <v>131256</v>
      </c>
      <c r="D1693" s="275" t="s">
        <v>15407</v>
      </c>
      <c r="E1693" s="301">
        <v>2810</v>
      </c>
      <c r="F1693" s="303">
        <v>43021</v>
      </c>
      <c r="G1693" s="301">
        <v>2810</v>
      </c>
      <c r="H1693" s="301">
        <f>Tabla15[[#This Row],[Importe]]-Tabla15[[#This Row],[Pagado]]</f>
        <v>0</v>
      </c>
      <c r="I1693" s="275" t="s">
        <v>15214</v>
      </c>
    </row>
    <row r="1694" spans="1:9" x14ac:dyDescent="0.25">
      <c r="A1694" s="420">
        <v>43021</v>
      </c>
      <c r="B1694" s="302" t="s">
        <v>33367</v>
      </c>
      <c r="C1694">
        <v>131257</v>
      </c>
      <c r="D1694" s="275" t="s">
        <v>15346</v>
      </c>
      <c r="E1694" s="301">
        <v>3005.8</v>
      </c>
      <c r="F1694" s="303">
        <v>43021</v>
      </c>
      <c r="G1694" s="301">
        <v>3005.8</v>
      </c>
      <c r="H1694" s="301">
        <f>Tabla15[[#This Row],[Importe]]-Tabla15[[#This Row],[Pagado]]</f>
        <v>0</v>
      </c>
      <c r="I1694" s="275" t="s">
        <v>15214</v>
      </c>
    </row>
    <row r="1695" spans="1:9" x14ac:dyDescent="0.25">
      <c r="A1695" s="420">
        <v>43021</v>
      </c>
      <c r="B1695" s="302" t="s">
        <v>33368</v>
      </c>
      <c r="C1695">
        <v>131258</v>
      </c>
      <c r="D1695" s="275" t="s">
        <v>19699</v>
      </c>
      <c r="E1695" s="301">
        <v>1424</v>
      </c>
      <c r="F1695" s="303">
        <v>43021</v>
      </c>
      <c r="G1695" s="301">
        <v>1424</v>
      </c>
      <c r="H1695" s="301">
        <f>Tabla15[[#This Row],[Importe]]-Tabla15[[#This Row],[Pagado]]</f>
        <v>0</v>
      </c>
      <c r="I1695" s="275" t="s">
        <v>15214</v>
      </c>
    </row>
    <row r="1696" spans="1:9" x14ac:dyDescent="0.25">
      <c r="A1696" s="420">
        <v>43021</v>
      </c>
      <c r="B1696" s="302" t="s">
        <v>33369</v>
      </c>
      <c r="C1696">
        <v>131259</v>
      </c>
      <c r="D1696" s="275" t="s">
        <v>15284</v>
      </c>
      <c r="E1696" s="301">
        <v>1079</v>
      </c>
      <c r="F1696" s="303">
        <v>43021</v>
      </c>
      <c r="G1696" s="301">
        <v>1079</v>
      </c>
      <c r="H1696" s="301">
        <f>Tabla15[[#This Row],[Importe]]-Tabla15[[#This Row],[Pagado]]</f>
        <v>0</v>
      </c>
      <c r="I1696" s="275" t="s">
        <v>15214</v>
      </c>
    </row>
    <row r="1697" spans="1:9" x14ac:dyDescent="0.25">
      <c r="A1697" s="420">
        <v>43021</v>
      </c>
      <c r="B1697" s="302" t="s">
        <v>33370</v>
      </c>
      <c r="C1697">
        <v>131260</v>
      </c>
      <c r="D1697" s="275" t="s">
        <v>15398</v>
      </c>
      <c r="E1697" s="301">
        <v>2235.6999999999998</v>
      </c>
      <c r="F1697" s="303">
        <v>43021</v>
      </c>
      <c r="G1697" s="301">
        <v>2235.6999999999998</v>
      </c>
      <c r="H1697" s="301">
        <f>Tabla15[[#This Row],[Importe]]-Tabla15[[#This Row],[Pagado]]</f>
        <v>0</v>
      </c>
      <c r="I1697" s="275" t="s">
        <v>15214</v>
      </c>
    </row>
    <row r="1698" spans="1:9" x14ac:dyDescent="0.25">
      <c r="A1698" s="420">
        <v>43021</v>
      </c>
      <c r="B1698" s="302" t="s">
        <v>33371</v>
      </c>
      <c r="C1698">
        <v>131261</v>
      </c>
      <c r="D1698" s="275" t="s">
        <v>15936</v>
      </c>
      <c r="E1698" s="301">
        <v>19600.2</v>
      </c>
      <c r="F1698" s="303">
        <v>43021</v>
      </c>
      <c r="G1698" s="301">
        <v>19600.2</v>
      </c>
      <c r="H1698" s="301">
        <f>Tabla15[[#This Row],[Importe]]-Tabla15[[#This Row],[Pagado]]</f>
        <v>0</v>
      </c>
      <c r="I1698" s="275" t="s">
        <v>15214</v>
      </c>
    </row>
    <row r="1699" spans="1:9" x14ac:dyDescent="0.25">
      <c r="A1699" s="420">
        <v>43021</v>
      </c>
      <c r="B1699" s="302" t="s">
        <v>33372</v>
      </c>
      <c r="C1699">
        <v>131262</v>
      </c>
      <c r="D1699" s="275" t="s">
        <v>15890</v>
      </c>
      <c r="E1699" s="301">
        <v>10504.5</v>
      </c>
      <c r="F1699" s="303">
        <v>43025</v>
      </c>
      <c r="G1699" s="301">
        <v>10504.5</v>
      </c>
      <c r="H1699" s="301">
        <f>Tabla15[[#This Row],[Importe]]-Tabla15[[#This Row],[Pagado]]</f>
        <v>0</v>
      </c>
      <c r="I1699" s="275" t="s">
        <v>15214</v>
      </c>
    </row>
    <row r="1700" spans="1:9" x14ac:dyDescent="0.25">
      <c r="A1700" s="420">
        <v>43021</v>
      </c>
      <c r="B1700" s="302" t="s">
        <v>33373</v>
      </c>
      <c r="C1700">
        <v>131263</v>
      </c>
      <c r="D1700" s="275" t="s">
        <v>15541</v>
      </c>
      <c r="E1700" s="301">
        <v>1883.2</v>
      </c>
      <c r="F1700" s="303">
        <v>43022</v>
      </c>
      <c r="G1700" s="301">
        <v>1883.2</v>
      </c>
      <c r="H1700" s="301">
        <f>Tabla15[[#This Row],[Importe]]-Tabla15[[#This Row],[Pagado]]</f>
        <v>0</v>
      </c>
      <c r="I1700" s="275" t="s">
        <v>15214</v>
      </c>
    </row>
    <row r="1701" spans="1:9" x14ac:dyDescent="0.25">
      <c r="A1701" s="420">
        <v>43021</v>
      </c>
      <c r="B1701" s="302" t="s">
        <v>33374</v>
      </c>
      <c r="C1701">
        <v>131264</v>
      </c>
      <c r="D1701" s="275" t="s">
        <v>15444</v>
      </c>
      <c r="E1701" s="301">
        <v>1259.3</v>
      </c>
      <c r="F1701" s="303">
        <v>43022</v>
      </c>
      <c r="G1701" s="301">
        <v>1259.3</v>
      </c>
      <c r="H1701" s="301">
        <f>Tabla15[[#This Row],[Importe]]-Tabla15[[#This Row],[Pagado]]</f>
        <v>0</v>
      </c>
      <c r="I1701" s="275" t="s">
        <v>15214</v>
      </c>
    </row>
    <row r="1702" spans="1:9" x14ac:dyDescent="0.25">
      <c r="A1702" s="420">
        <v>43021</v>
      </c>
      <c r="B1702" s="302" t="s">
        <v>33375</v>
      </c>
      <c r="C1702">
        <v>131265</v>
      </c>
      <c r="D1702" s="275" t="s">
        <v>17462</v>
      </c>
      <c r="E1702" s="301">
        <v>1911</v>
      </c>
      <c r="F1702" s="303">
        <v>43021</v>
      </c>
      <c r="G1702" s="301">
        <v>1911</v>
      </c>
      <c r="H1702" s="301">
        <f>Tabla15[[#This Row],[Importe]]-Tabla15[[#This Row],[Pagado]]</f>
        <v>0</v>
      </c>
      <c r="I1702" s="275" t="s">
        <v>15214</v>
      </c>
    </row>
    <row r="1703" spans="1:9" x14ac:dyDescent="0.25">
      <c r="A1703" s="420">
        <v>43021</v>
      </c>
      <c r="B1703" s="302" t="s">
        <v>33376</v>
      </c>
      <c r="C1703">
        <v>131266</v>
      </c>
      <c r="D1703" s="275" t="s">
        <v>15920</v>
      </c>
      <c r="E1703" s="301">
        <v>39055.199999999997</v>
      </c>
      <c r="F1703" s="303">
        <v>43022</v>
      </c>
      <c r="G1703" s="301">
        <v>39055.199999999997</v>
      </c>
      <c r="H1703" s="301">
        <f>Tabla15[[#This Row],[Importe]]-Tabla15[[#This Row],[Pagado]]</f>
        <v>0</v>
      </c>
      <c r="I1703" s="275" t="s">
        <v>15214</v>
      </c>
    </row>
    <row r="1704" spans="1:9" x14ac:dyDescent="0.25">
      <c r="A1704" s="420">
        <v>43021</v>
      </c>
      <c r="B1704" s="302" t="s">
        <v>33377</v>
      </c>
      <c r="C1704">
        <v>131267</v>
      </c>
      <c r="D1704" s="275" t="s">
        <v>15267</v>
      </c>
      <c r="E1704" s="301">
        <v>9556.7999999999993</v>
      </c>
      <c r="F1704" s="303">
        <v>43022</v>
      </c>
      <c r="G1704" s="301">
        <v>9556.7999999999993</v>
      </c>
      <c r="H1704" s="301">
        <f>Tabla15[[#This Row],[Importe]]-Tabla15[[#This Row],[Pagado]]</f>
        <v>0</v>
      </c>
      <c r="I1704" s="275" t="s">
        <v>15214</v>
      </c>
    </row>
    <row r="1705" spans="1:9" x14ac:dyDescent="0.25">
      <c r="A1705" s="420">
        <v>43021</v>
      </c>
      <c r="B1705" s="302" t="s">
        <v>33378</v>
      </c>
      <c r="C1705">
        <v>131268</v>
      </c>
      <c r="D1705" s="275" t="s">
        <v>15226</v>
      </c>
      <c r="E1705" s="301">
        <v>1123.5</v>
      </c>
      <c r="F1705" s="303">
        <v>43024</v>
      </c>
      <c r="G1705" s="301">
        <v>1123.5</v>
      </c>
      <c r="H1705" s="301">
        <f>Tabla15[[#This Row],[Importe]]-Tabla15[[#This Row],[Pagado]]</f>
        <v>0</v>
      </c>
      <c r="I1705" s="275" t="s">
        <v>15214</v>
      </c>
    </row>
    <row r="1706" spans="1:9" x14ac:dyDescent="0.25">
      <c r="A1706" s="420">
        <v>43021</v>
      </c>
      <c r="B1706" s="302" t="s">
        <v>33379</v>
      </c>
      <c r="C1706">
        <v>131269</v>
      </c>
      <c r="D1706" s="275" t="s">
        <v>15365</v>
      </c>
      <c r="E1706" s="301">
        <v>386561</v>
      </c>
      <c r="F1706" s="303">
        <v>43022</v>
      </c>
      <c r="G1706" s="301">
        <v>386561</v>
      </c>
      <c r="H1706" s="301">
        <f>Tabla15[[#This Row],[Importe]]-Tabla15[[#This Row],[Pagado]]</f>
        <v>0</v>
      </c>
      <c r="I1706" s="275" t="s">
        <v>15214</v>
      </c>
    </row>
    <row r="1707" spans="1:9" x14ac:dyDescent="0.25">
      <c r="A1707" s="420">
        <v>43021</v>
      </c>
      <c r="B1707" s="302" t="s">
        <v>33380</v>
      </c>
      <c r="C1707">
        <v>131270</v>
      </c>
      <c r="D1707" s="275" t="s">
        <v>15248</v>
      </c>
      <c r="E1707" s="301">
        <v>699.6</v>
      </c>
      <c r="F1707" s="303">
        <v>43021</v>
      </c>
      <c r="G1707" s="301">
        <v>699.6</v>
      </c>
      <c r="H1707" s="301">
        <f>Tabla15[[#This Row],[Importe]]-Tabla15[[#This Row],[Pagado]]</f>
        <v>0</v>
      </c>
      <c r="I1707" s="275" t="s">
        <v>15214</v>
      </c>
    </row>
    <row r="1708" spans="1:9" x14ac:dyDescent="0.25">
      <c r="A1708" s="420">
        <v>43021</v>
      </c>
      <c r="B1708" s="302" t="s">
        <v>33381</v>
      </c>
      <c r="C1708">
        <v>131271</v>
      </c>
      <c r="D1708" s="275" t="s">
        <v>15435</v>
      </c>
      <c r="E1708" s="301">
        <v>8175.6</v>
      </c>
      <c r="F1708" s="303">
        <v>43021</v>
      </c>
      <c r="G1708" s="301">
        <v>8175.6</v>
      </c>
      <c r="H1708" s="301">
        <f>Tabla15[[#This Row],[Importe]]-Tabla15[[#This Row],[Pagado]]</f>
        <v>0</v>
      </c>
      <c r="I1708" s="275" t="s">
        <v>15214</v>
      </c>
    </row>
    <row r="1709" spans="1:9" x14ac:dyDescent="0.25">
      <c r="A1709" s="420">
        <v>43021</v>
      </c>
      <c r="B1709" s="302" t="s">
        <v>33382</v>
      </c>
      <c r="C1709">
        <v>131272</v>
      </c>
      <c r="D1709" s="275" t="s">
        <v>15220</v>
      </c>
      <c r="E1709" s="301">
        <v>6160</v>
      </c>
      <c r="F1709" s="303">
        <v>43022</v>
      </c>
      <c r="G1709" s="301">
        <v>6160</v>
      </c>
      <c r="H1709" s="301">
        <f>Tabla15[[#This Row],[Importe]]-Tabla15[[#This Row],[Pagado]]</f>
        <v>0</v>
      </c>
      <c r="I1709" s="275" t="s">
        <v>15214</v>
      </c>
    </row>
    <row r="1710" spans="1:9" x14ac:dyDescent="0.25">
      <c r="A1710" s="420">
        <v>43021</v>
      </c>
      <c r="B1710" s="302" t="s">
        <v>33383</v>
      </c>
      <c r="C1710">
        <v>131273</v>
      </c>
      <c r="D1710" s="275" t="s">
        <v>15644</v>
      </c>
      <c r="E1710" s="301">
        <v>3078</v>
      </c>
      <c r="F1710" s="303">
        <v>43022</v>
      </c>
      <c r="G1710" s="301">
        <v>3078</v>
      </c>
      <c r="H1710" s="301">
        <f>Tabla15[[#This Row],[Importe]]-Tabla15[[#This Row],[Pagado]]</f>
        <v>0</v>
      </c>
      <c r="I1710" s="275" t="s">
        <v>15214</v>
      </c>
    </row>
    <row r="1711" spans="1:9" x14ac:dyDescent="0.25">
      <c r="A1711" s="420">
        <v>43021</v>
      </c>
      <c r="B1711" s="302" t="s">
        <v>33384</v>
      </c>
      <c r="C1711">
        <v>131274</v>
      </c>
      <c r="D1711" s="275" t="s">
        <v>15250</v>
      </c>
      <c r="E1711" s="301">
        <v>45975.6</v>
      </c>
      <c r="F1711" s="303">
        <v>43027</v>
      </c>
      <c r="G1711" s="301">
        <v>45975.6</v>
      </c>
      <c r="H1711" s="301">
        <f>Tabla15[[#This Row],[Importe]]-Tabla15[[#This Row],[Pagado]]</f>
        <v>0</v>
      </c>
      <c r="I1711" s="275" t="s">
        <v>15214</v>
      </c>
    </row>
    <row r="1712" spans="1:9" x14ac:dyDescent="0.25">
      <c r="A1712" s="420">
        <v>43021</v>
      </c>
      <c r="B1712" s="302" t="s">
        <v>33385</v>
      </c>
      <c r="C1712">
        <v>131275</v>
      </c>
      <c r="D1712" s="275" t="s">
        <v>15250</v>
      </c>
      <c r="E1712" s="301">
        <v>5481.6</v>
      </c>
      <c r="F1712" s="303">
        <v>43027</v>
      </c>
      <c r="G1712" s="301">
        <v>5481.6</v>
      </c>
      <c r="H1712" s="301">
        <f>Tabla15[[#This Row],[Importe]]-Tabla15[[#This Row],[Pagado]]</f>
        <v>0</v>
      </c>
      <c r="I1712" s="275" t="s">
        <v>15214</v>
      </c>
    </row>
    <row r="1713" spans="1:9" x14ac:dyDescent="0.25">
      <c r="A1713" s="420">
        <v>43021</v>
      </c>
      <c r="B1713" s="302" t="s">
        <v>33386</v>
      </c>
      <c r="C1713">
        <v>131276</v>
      </c>
      <c r="D1713" s="275" t="s">
        <v>15250</v>
      </c>
      <c r="E1713" s="301">
        <v>1130</v>
      </c>
      <c r="F1713" s="303">
        <v>43027</v>
      </c>
      <c r="G1713" s="301">
        <v>1130</v>
      </c>
      <c r="H1713" s="301">
        <f>Tabla15[[#This Row],[Importe]]-Tabla15[[#This Row],[Pagado]]</f>
        <v>0</v>
      </c>
      <c r="I1713" s="275" t="s">
        <v>15214</v>
      </c>
    </row>
    <row r="1714" spans="1:9" x14ac:dyDescent="0.25">
      <c r="A1714" s="420">
        <v>43021</v>
      </c>
      <c r="B1714" s="302" t="s">
        <v>33387</v>
      </c>
      <c r="C1714">
        <v>131277</v>
      </c>
      <c r="D1714" s="275" t="s">
        <v>15818</v>
      </c>
      <c r="E1714" s="301">
        <v>4247.6000000000004</v>
      </c>
      <c r="F1714" s="303">
        <v>43022</v>
      </c>
      <c r="G1714" s="301">
        <v>4247.6000000000004</v>
      </c>
      <c r="H1714" s="301">
        <f>Tabla15[[#This Row],[Importe]]-Tabla15[[#This Row],[Pagado]]</f>
        <v>0</v>
      </c>
      <c r="I1714" s="275" t="s">
        <v>15214</v>
      </c>
    </row>
    <row r="1715" spans="1:9" x14ac:dyDescent="0.25">
      <c r="A1715" s="420">
        <v>43022</v>
      </c>
      <c r="B1715" s="302" t="s">
        <v>33388</v>
      </c>
      <c r="C1715">
        <v>131278</v>
      </c>
      <c r="D1715" s="275" t="s">
        <v>21386</v>
      </c>
      <c r="E1715" s="301">
        <v>8650.6</v>
      </c>
      <c r="F1715" s="303">
        <v>43023</v>
      </c>
      <c r="G1715" s="301">
        <v>8650.6</v>
      </c>
      <c r="H1715" s="301">
        <f>Tabla15[[#This Row],[Importe]]-Tabla15[[#This Row],[Pagado]]</f>
        <v>0</v>
      </c>
      <c r="I1715" s="275" t="s">
        <v>15214</v>
      </c>
    </row>
    <row r="1716" spans="1:9" x14ac:dyDescent="0.25">
      <c r="A1716" s="420">
        <v>43022</v>
      </c>
      <c r="B1716" s="302" t="s">
        <v>33389</v>
      </c>
      <c r="C1716">
        <v>131279</v>
      </c>
      <c r="D1716" s="275" t="s">
        <v>15213</v>
      </c>
      <c r="E1716" s="301">
        <v>50267.8</v>
      </c>
      <c r="F1716" s="303">
        <v>43023</v>
      </c>
      <c r="G1716" s="301">
        <v>50267.8</v>
      </c>
      <c r="H1716" s="301">
        <f>Tabla15[[#This Row],[Importe]]-Tabla15[[#This Row],[Pagado]]</f>
        <v>0</v>
      </c>
      <c r="I1716" s="275" t="s">
        <v>15214</v>
      </c>
    </row>
    <row r="1717" spans="1:9" x14ac:dyDescent="0.25">
      <c r="A1717" s="420">
        <v>43022</v>
      </c>
      <c r="B1717" s="302" t="s">
        <v>33390</v>
      </c>
      <c r="C1717">
        <v>131280</v>
      </c>
      <c r="D1717" s="275" t="s">
        <v>15242</v>
      </c>
      <c r="E1717" s="301">
        <v>13152</v>
      </c>
      <c r="F1717" s="303">
        <v>43022</v>
      </c>
      <c r="G1717" s="301">
        <v>13152</v>
      </c>
      <c r="H1717" s="301">
        <f>Tabla15[[#This Row],[Importe]]-Tabla15[[#This Row],[Pagado]]</f>
        <v>0</v>
      </c>
      <c r="I1717" s="275" t="s">
        <v>15214</v>
      </c>
    </row>
    <row r="1718" spans="1:9" x14ac:dyDescent="0.25">
      <c r="A1718" s="420">
        <v>43022</v>
      </c>
      <c r="B1718" s="302" t="s">
        <v>33391</v>
      </c>
      <c r="C1718">
        <v>131281</v>
      </c>
      <c r="D1718" s="275" t="s">
        <v>15230</v>
      </c>
      <c r="E1718" s="301">
        <v>21086.3</v>
      </c>
      <c r="F1718" s="303">
        <v>43026</v>
      </c>
      <c r="G1718" s="301">
        <v>21086.3</v>
      </c>
      <c r="H1718" s="301">
        <f>Tabla15[[#This Row],[Importe]]-Tabla15[[#This Row],[Pagado]]</f>
        <v>0</v>
      </c>
      <c r="I1718" s="275" t="s">
        <v>15214</v>
      </c>
    </row>
    <row r="1719" spans="1:9" x14ac:dyDescent="0.25">
      <c r="A1719" s="420">
        <v>43022</v>
      </c>
      <c r="B1719" s="302" t="s">
        <v>33392</v>
      </c>
      <c r="C1719">
        <v>131282</v>
      </c>
      <c r="D1719" s="275" t="s">
        <v>15232</v>
      </c>
      <c r="E1719" s="301">
        <v>14148.8</v>
      </c>
      <c r="F1719" s="303">
        <v>43027</v>
      </c>
      <c r="G1719" s="301">
        <v>14148.8</v>
      </c>
      <c r="H1719" s="301">
        <f>Tabla15[[#This Row],[Importe]]-Tabla15[[#This Row],[Pagado]]</f>
        <v>0</v>
      </c>
      <c r="I1719" s="275" t="s">
        <v>15214</v>
      </c>
    </row>
    <row r="1720" spans="1:9" x14ac:dyDescent="0.25">
      <c r="A1720" s="420">
        <v>43022</v>
      </c>
      <c r="B1720" s="302" t="s">
        <v>33393</v>
      </c>
      <c r="C1720">
        <v>131283</v>
      </c>
      <c r="D1720" s="275" t="s">
        <v>15258</v>
      </c>
      <c r="E1720" s="301">
        <v>22104</v>
      </c>
      <c r="F1720" s="303">
        <v>43025</v>
      </c>
      <c r="G1720" s="301">
        <v>22104</v>
      </c>
      <c r="H1720" s="301">
        <f>Tabla15[[#This Row],[Importe]]-Tabla15[[#This Row],[Pagado]]</f>
        <v>0</v>
      </c>
      <c r="I1720" s="275" t="s">
        <v>15214</v>
      </c>
    </row>
    <row r="1721" spans="1:9" ht="30" x14ac:dyDescent="0.25">
      <c r="A1721" s="420">
        <v>43022</v>
      </c>
      <c r="B1721" s="302" t="s">
        <v>33394</v>
      </c>
      <c r="C1721">
        <v>131284</v>
      </c>
      <c r="D1721" s="275" t="s">
        <v>17722</v>
      </c>
      <c r="E1721" s="301">
        <v>6798.8</v>
      </c>
      <c r="F1721" s="303" t="s">
        <v>33240</v>
      </c>
      <c r="G1721" s="305">
        <f>5000+1624.8+174</f>
        <v>6798.8</v>
      </c>
      <c r="H1721" s="305">
        <f>Tabla15[[#This Row],[Importe]]-Tabla15[[#This Row],[Pagado]]</f>
        <v>0</v>
      </c>
      <c r="I1721" s="275" t="s">
        <v>15214</v>
      </c>
    </row>
    <row r="1722" spans="1:9" x14ac:dyDescent="0.25">
      <c r="A1722" s="420">
        <v>43022</v>
      </c>
      <c r="B1722" s="302" t="s">
        <v>33395</v>
      </c>
      <c r="C1722">
        <v>131285</v>
      </c>
      <c r="D1722" s="275" t="s">
        <v>15475</v>
      </c>
      <c r="E1722" s="301">
        <v>12664.8</v>
      </c>
      <c r="F1722" s="303">
        <v>43025</v>
      </c>
      <c r="G1722" s="301">
        <v>12664.8</v>
      </c>
      <c r="H1722" s="301">
        <f>Tabla15[[#This Row],[Importe]]-Tabla15[[#This Row],[Pagado]]</f>
        <v>0</v>
      </c>
      <c r="I1722" s="275" t="s">
        <v>15214</v>
      </c>
    </row>
    <row r="1723" spans="1:9" x14ac:dyDescent="0.25">
      <c r="A1723" s="420">
        <v>43022</v>
      </c>
      <c r="B1723" s="302" t="s">
        <v>33396</v>
      </c>
      <c r="C1723">
        <v>131286</v>
      </c>
      <c r="D1723" s="275" t="s">
        <v>15272</v>
      </c>
      <c r="E1723" s="301">
        <v>39720.300000000003</v>
      </c>
      <c r="F1723" s="303">
        <v>43022</v>
      </c>
      <c r="G1723" s="301">
        <v>39720.300000000003</v>
      </c>
      <c r="H1723" s="301">
        <f>Tabla15[[#This Row],[Importe]]-Tabla15[[#This Row],[Pagado]]</f>
        <v>0</v>
      </c>
      <c r="I1723" s="275" t="s">
        <v>15214</v>
      </c>
    </row>
    <row r="1724" spans="1:9" ht="30" x14ac:dyDescent="0.25">
      <c r="A1724" s="420">
        <v>43022</v>
      </c>
      <c r="B1724" s="302" t="s">
        <v>33397</v>
      </c>
      <c r="C1724">
        <v>131287</v>
      </c>
      <c r="D1724" s="275" t="s">
        <v>5575</v>
      </c>
      <c r="E1724" s="301">
        <v>10206.799999999999</v>
      </c>
      <c r="F1724" s="303" t="s">
        <v>33240</v>
      </c>
      <c r="G1724" s="305">
        <f>4207+5999.8</f>
        <v>10206.799999999999</v>
      </c>
      <c r="H1724" s="305">
        <f>Tabla15[[#This Row],[Importe]]-Tabla15[[#This Row],[Pagado]]</f>
        <v>0</v>
      </c>
      <c r="I1724" s="275" t="s">
        <v>15214</v>
      </c>
    </row>
    <row r="1725" spans="1:9" ht="30" x14ac:dyDescent="0.25">
      <c r="A1725" s="420">
        <v>43022</v>
      </c>
      <c r="B1725" s="302" t="s">
        <v>33398</v>
      </c>
      <c r="C1725">
        <v>131288</v>
      </c>
      <c r="D1725" s="275" t="s">
        <v>19780</v>
      </c>
      <c r="E1725" s="301">
        <v>29304</v>
      </c>
      <c r="F1725" s="303" t="s">
        <v>33240</v>
      </c>
      <c r="G1725" s="305">
        <f>6000+23304</f>
        <v>29304</v>
      </c>
      <c r="H1725" s="305">
        <f>Tabla15[[#This Row],[Importe]]-Tabla15[[#This Row],[Pagado]]</f>
        <v>0</v>
      </c>
      <c r="I1725" s="275" t="s">
        <v>15214</v>
      </c>
    </row>
    <row r="1726" spans="1:9" x14ac:dyDescent="0.25">
      <c r="A1726" s="420">
        <v>43022</v>
      </c>
      <c r="B1726" s="302" t="s">
        <v>33399</v>
      </c>
      <c r="C1726">
        <v>131289</v>
      </c>
      <c r="D1726" s="275" t="s">
        <v>30057</v>
      </c>
      <c r="E1726" s="301">
        <v>7070.4</v>
      </c>
      <c r="F1726" s="303">
        <v>43024</v>
      </c>
      <c r="G1726" s="301">
        <v>7070.4</v>
      </c>
      <c r="H1726" s="301">
        <f>Tabla15[[#This Row],[Importe]]-Tabla15[[#This Row],[Pagado]]</f>
        <v>0</v>
      </c>
      <c r="I1726" s="275" t="s">
        <v>15214</v>
      </c>
    </row>
    <row r="1727" spans="1:9" x14ac:dyDescent="0.25">
      <c r="A1727" s="420">
        <v>43022</v>
      </c>
      <c r="B1727" s="302" t="s">
        <v>33400</v>
      </c>
      <c r="C1727">
        <v>131290</v>
      </c>
      <c r="D1727" s="275" t="s">
        <v>15238</v>
      </c>
      <c r="E1727" s="301">
        <v>11616.8</v>
      </c>
      <c r="F1727" s="303">
        <v>43025</v>
      </c>
      <c r="G1727" s="301">
        <v>11616.8</v>
      </c>
      <c r="H1727" s="301">
        <f>Tabla15[[#This Row],[Importe]]-Tabla15[[#This Row],[Pagado]]</f>
        <v>0</v>
      </c>
      <c r="I1727" s="275" t="s">
        <v>15214</v>
      </c>
    </row>
    <row r="1728" spans="1:9" x14ac:dyDescent="0.25">
      <c r="A1728" s="420">
        <v>43022</v>
      </c>
      <c r="B1728" s="302" t="s">
        <v>33401</v>
      </c>
      <c r="C1728">
        <v>131291</v>
      </c>
      <c r="D1728" s="275" t="s">
        <v>17462</v>
      </c>
      <c r="E1728" s="301">
        <v>8121.9</v>
      </c>
      <c r="F1728" s="303">
        <v>43022</v>
      </c>
      <c r="G1728" s="301">
        <v>8121.9</v>
      </c>
      <c r="H1728" s="301">
        <f>Tabla15[[#This Row],[Importe]]-Tabla15[[#This Row],[Pagado]]</f>
        <v>0</v>
      </c>
      <c r="I1728" s="275" t="s">
        <v>15214</v>
      </c>
    </row>
    <row r="1729" spans="1:9" ht="15.75" x14ac:dyDescent="0.25">
      <c r="A1729" s="420">
        <v>43022</v>
      </c>
      <c r="B1729" s="302" t="s">
        <v>33402</v>
      </c>
      <c r="C1729">
        <v>131292</v>
      </c>
      <c r="D1729" s="248" t="s">
        <v>95</v>
      </c>
      <c r="E1729" s="301">
        <v>0</v>
      </c>
      <c r="F1729" s="243" t="s">
        <v>95</v>
      </c>
      <c r="G1729" s="301">
        <v>0</v>
      </c>
      <c r="H1729" s="301">
        <f>Tabla15[[#This Row],[Importe]]-Tabla15[[#This Row],[Pagado]]</f>
        <v>0</v>
      </c>
      <c r="I1729" s="275" t="s">
        <v>95</v>
      </c>
    </row>
    <row r="1730" spans="1:9" ht="30" x14ac:dyDescent="0.25">
      <c r="A1730" s="420">
        <v>43022</v>
      </c>
      <c r="B1730" s="302" t="s">
        <v>33403</v>
      </c>
      <c r="C1730">
        <v>131293</v>
      </c>
      <c r="D1730" s="275" t="s">
        <v>15480</v>
      </c>
      <c r="E1730" s="301">
        <v>7027.8</v>
      </c>
      <c r="F1730" s="303" t="s">
        <v>31626</v>
      </c>
      <c r="G1730" s="305">
        <f>2027+5000.8</f>
        <v>7027.8</v>
      </c>
      <c r="H1730" s="305">
        <f>Tabla15[[#This Row],[Importe]]-Tabla15[[#This Row],[Pagado]]</f>
        <v>0</v>
      </c>
      <c r="I1730" s="275" t="s">
        <v>15214</v>
      </c>
    </row>
    <row r="1731" spans="1:9" ht="30" x14ac:dyDescent="0.25">
      <c r="A1731" s="420">
        <v>43022</v>
      </c>
      <c r="B1731" s="302" t="s">
        <v>33404</v>
      </c>
      <c r="C1731">
        <v>131294</v>
      </c>
      <c r="D1731" s="275" t="s">
        <v>15234</v>
      </c>
      <c r="E1731" s="301">
        <v>6444</v>
      </c>
      <c r="F1731" s="303" t="s">
        <v>33360</v>
      </c>
      <c r="G1731" s="305">
        <f>4500+1944</f>
        <v>6444</v>
      </c>
      <c r="H1731" s="305">
        <f>Tabla15[[#This Row],[Importe]]-Tabla15[[#This Row],[Pagado]]</f>
        <v>0</v>
      </c>
      <c r="I1731" s="275" t="s">
        <v>15214</v>
      </c>
    </row>
    <row r="1732" spans="1:9" x14ac:dyDescent="0.25">
      <c r="A1732" s="420">
        <v>43022</v>
      </c>
      <c r="B1732" s="302" t="s">
        <v>33405</v>
      </c>
      <c r="C1732">
        <v>131295</v>
      </c>
      <c r="D1732" s="275" t="s">
        <v>15668</v>
      </c>
      <c r="E1732" s="301">
        <v>29016</v>
      </c>
      <c r="F1732" s="303">
        <v>43024</v>
      </c>
      <c r="G1732" s="301">
        <v>29016</v>
      </c>
      <c r="H1732" s="301">
        <f>Tabla15[[#This Row],[Importe]]-Tabla15[[#This Row],[Pagado]]</f>
        <v>0</v>
      </c>
      <c r="I1732" s="275" t="s">
        <v>15214</v>
      </c>
    </row>
    <row r="1733" spans="1:9" x14ac:dyDescent="0.25">
      <c r="A1733" s="420">
        <v>43022</v>
      </c>
      <c r="B1733" s="302" t="s">
        <v>33406</v>
      </c>
      <c r="C1733">
        <v>131296</v>
      </c>
      <c r="D1733" s="275" t="s">
        <v>15236</v>
      </c>
      <c r="E1733" s="301">
        <v>9707.4</v>
      </c>
      <c r="F1733" s="303">
        <v>43025</v>
      </c>
      <c r="G1733" s="301">
        <v>9707.4</v>
      </c>
      <c r="H1733" s="301">
        <f>Tabla15[[#This Row],[Importe]]-Tabla15[[#This Row],[Pagado]]</f>
        <v>0</v>
      </c>
      <c r="I1733" s="275" t="s">
        <v>15214</v>
      </c>
    </row>
    <row r="1734" spans="1:9" x14ac:dyDescent="0.25">
      <c r="A1734" s="420">
        <v>43022</v>
      </c>
      <c r="B1734" s="302" t="s">
        <v>33407</v>
      </c>
      <c r="C1734">
        <v>131297</v>
      </c>
      <c r="D1734" s="275" t="s">
        <v>15256</v>
      </c>
      <c r="E1734" s="301">
        <v>12277.2</v>
      </c>
      <c r="F1734" s="303">
        <v>43025</v>
      </c>
      <c r="G1734" s="301">
        <v>12277.2</v>
      </c>
      <c r="H1734" s="301">
        <f>Tabla15[[#This Row],[Importe]]-Tabla15[[#This Row],[Pagado]]</f>
        <v>0</v>
      </c>
      <c r="I1734" s="275" t="s">
        <v>15214</v>
      </c>
    </row>
    <row r="1735" spans="1:9" x14ac:dyDescent="0.25">
      <c r="A1735" s="420">
        <v>43022</v>
      </c>
      <c r="B1735" s="302" t="s">
        <v>33408</v>
      </c>
      <c r="C1735">
        <v>131298</v>
      </c>
      <c r="D1735" s="275" t="s">
        <v>15294</v>
      </c>
      <c r="E1735" s="301">
        <v>30060.799999999999</v>
      </c>
      <c r="F1735" s="303">
        <v>43022</v>
      </c>
      <c r="G1735" s="301">
        <v>30060.799999999999</v>
      </c>
      <c r="H1735" s="301">
        <f>Tabla15[[#This Row],[Importe]]-Tabla15[[#This Row],[Pagado]]</f>
        <v>0</v>
      </c>
      <c r="I1735" s="275" t="s">
        <v>15214</v>
      </c>
    </row>
    <row r="1736" spans="1:9" x14ac:dyDescent="0.25">
      <c r="A1736" s="420">
        <v>43022</v>
      </c>
      <c r="B1736" s="302" t="s">
        <v>33409</v>
      </c>
      <c r="C1736">
        <v>131299</v>
      </c>
      <c r="D1736" s="275" t="s">
        <v>15232</v>
      </c>
      <c r="E1736" s="301">
        <v>1705.2</v>
      </c>
      <c r="F1736" s="303">
        <v>43027</v>
      </c>
      <c r="G1736" s="301">
        <v>1705.2</v>
      </c>
      <c r="H1736" s="301">
        <f>Tabla15[[#This Row],[Importe]]-Tabla15[[#This Row],[Pagado]]</f>
        <v>0</v>
      </c>
      <c r="I1736" s="275" t="s">
        <v>15214</v>
      </c>
    </row>
    <row r="1737" spans="1:9" ht="30" x14ac:dyDescent="0.25">
      <c r="A1737" s="420">
        <v>43022</v>
      </c>
      <c r="B1737" s="302" t="s">
        <v>33410</v>
      </c>
      <c r="C1737">
        <v>131300</v>
      </c>
      <c r="D1737" s="275" t="s">
        <v>15407</v>
      </c>
      <c r="E1737" s="301">
        <v>9732.7999999999993</v>
      </c>
      <c r="F1737" s="303" t="s">
        <v>33411</v>
      </c>
      <c r="G1737" s="305">
        <f>3500+6232.8</f>
        <v>9732.7999999999993</v>
      </c>
      <c r="H1737" s="305">
        <f>Tabla15[[#This Row],[Importe]]-Tabla15[[#This Row],[Pagado]]</f>
        <v>0</v>
      </c>
      <c r="I1737" s="275" t="s">
        <v>15214</v>
      </c>
    </row>
    <row r="1738" spans="1:9" x14ac:dyDescent="0.25">
      <c r="A1738" s="420">
        <v>43022</v>
      </c>
      <c r="B1738" s="302" t="s">
        <v>33412</v>
      </c>
      <c r="C1738">
        <v>131301</v>
      </c>
      <c r="D1738" s="275" t="s">
        <v>15246</v>
      </c>
      <c r="E1738" s="301">
        <v>54492.2</v>
      </c>
      <c r="F1738" s="303">
        <v>43026</v>
      </c>
      <c r="G1738" s="301">
        <v>54492.2</v>
      </c>
      <c r="H1738" s="301">
        <f>Tabla15[[#This Row],[Importe]]-Tabla15[[#This Row],[Pagado]]</f>
        <v>0</v>
      </c>
      <c r="I1738" s="275" t="s">
        <v>15214</v>
      </c>
    </row>
    <row r="1739" spans="1:9" x14ac:dyDescent="0.25">
      <c r="A1739" s="420">
        <v>43022</v>
      </c>
      <c r="B1739" s="302" t="s">
        <v>33413</v>
      </c>
      <c r="C1739">
        <v>131302</v>
      </c>
      <c r="D1739" s="275" t="s">
        <v>16261</v>
      </c>
      <c r="E1739" s="301">
        <v>7097.5</v>
      </c>
      <c r="F1739" s="303">
        <v>43022</v>
      </c>
      <c r="G1739" s="301">
        <v>7097.5</v>
      </c>
      <c r="H1739" s="301">
        <f>Tabla15[[#This Row],[Importe]]-Tabla15[[#This Row],[Pagado]]</f>
        <v>0</v>
      </c>
      <c r="I1739" s="275" t="s">
        <v>15214</v>
      </c>
    </row>
    <row r="1740" spans="1:9" x14ac:dyDescent="0.25">
      <c r="A1740" s="420">
        <v>43022</v>
      </c>
      <c r="B1740" s="302" t="s">
        <v>33414</v>
      </c>
      <c r="C1740">
        <v>131303</v>
      </c>
      <c r="D1740" s="275" t="s">
        <v>17950</v>
      </c>
      <c r="E1740" s="301">
        <v>8599.6</v>
      </c>
      <c r="F1740" s="303">
        <v>43022</v>
      </c>
      <c r="G1740" s="301">
        <v>8599.6</v>
      </c>
      <c r="H1740" s="301">
        <f>Tabla15[[#This Row],[Importe]]-Tabla15[[#This Row],[Pagado]]</f>
        <v>0</v>
      </c>
      <c r="I1740" s="275" t="s">
        <v>15214</v>
      </c>
    </row>
    <row r="1741" spans="1:9" x14ac:dyDescent="0.25">
      <c r="A1741" s="420">
        <v>43022</v>
      </c>
      <c r="B1741" s="302" t="s">
        <v>33415</v>
      </c>
      <c r="C1741">
        <v>131304</v>
      </c>
      <c r="D1741" s="275" t="s">
        <v>19302</v>
      </c>
      <c r="E1741" s="301">
        <v>1100</v>
      </c>
      <c r="F1741" s="303">
        <v>43022</v>
      </c>
      <c r="G1741" s="301">
        <v>1100</v>
      </c>
      <c r="H1741" s="301">
        <f>Tabla15[[#This Row],[Importe]]-Tabla15[[#This Row],[Pagado]]</f>
        <v>0</v>
      </c>
      <c r="I1741" s="275" t="s">
        <v>15214</v>
      </c>
    </row>
    <row r="1742" spans="1:9" x14ac:dyDescent="0.25">
      <c r="A1742" s="420">
        <v>43022</v>
      </c>
      <c r="B1742" s="302" t="s">
        <v>33416</v>
      </c>
      <c r="C1742">
        <v>131305</v>
      </c>
      <c r="D1742" s="275" t="s">
        <v>15226</v>
      </c>
      <c r="E1742" s="301">
        <v>1400.4</v>
      </c>
      <c r="F1742" s="303">
        <v>43024</v>
      </c>
      <c r="G1742" s="301">
        <v>1400.4</v>
      </c>
      <c r="H1742" s="301">
        <f>Tabla15[[#This Row],[Importe]]-Tabla15[[#This Row],[Pagado]]</f>
        <v>0</v>
      </c>
      <c r="I1742" s="275" t="s">
        <v>15214</v>
      </c>
    </row>
    <row r="1743" spans="1:9" x14ac:dyDescent="0.25">
      <c r="A1743" s="420">
        <v>43022</v>
      </c>
      <c r="B1743" s="302" t="s">
        <v>33417</v>
      </c>
      <c r="C1743">
        <v>131306</v>
      </c>
      <c r="D1743" s="275" t="s">
        <v>15263</v>
      </c>
      <c r="E1743" s="301">
        <v>3052.2</v>
      </c>
      <c r="F1743" s="303">
        <v>43022</v>
      </c>
      <c r="G1743" s="301">
        <v>3052.2</v>
      </c>
      <c r="H1743" s="301">
        <f>Tabla15[[#This Row],[Importe]]-Tabla15[[#This Row],[Pagado]]</f>
        <v>0</v>
      </c>
      <c r="I1743" s="275" t="s">
        <v>15214</v>
      </c>
    </row>
    <row r="1744" spans="1:9" x14ac:dyDescent="0.25">
      <c r="A1744" s="420">
        <v>43022</v>
      </c>
      <c r="B1744" s="302" t="s">
        <v>33418</v>
      </c>
      <c r="C1744">
        <v>131307</v>
      </c>
      <c r="D1744" s="275" t="s">
        <v>15371</v>
      </c>
      <c r="E1744" s="301">
        <v>3802.2</v>
      </c>
      <c r="F1744" s="303">
        <v>43024</v>
      </c>
      <c r="G1744" s="301">
        <v>3802.2</v>
      </c>
      <c r="H1744" s="301">
        <f>Tabla15[[#This Row],[Importe]]-Tabla15[[#This Row],[Pagado]]</f>
        <v>0</v>
      </c>
      <c r="I1744" s="275" t="s">
        <v>15214</v>
      </c>
    </row>
    <row r="1745" spans="1:9" x14ac:dyDescent="0.25">
      <c r="A1745" s="420">
        <v>43022</v>
      </c>
      <c r="B1745" s="302" t="s">
        <v>33419</v>
      </c>
      <c r="C1745">
        <v>131308</v>
      </c>
      <c r="D1745" s="275" t="s">
        <v>15632</v>
      </c>
      <c r="E1745" s="301">
        <v>20278</v>
      </c>
      <c r="F1745" s="303">
        <v>43023</v>
      </c>
      <c r="G1745" s="301">
        <v>20278</v>
      </c>
      <c r="H1745" s="301">
        <f>Tabla15[[#This Row],[Importe]]-Tabla15[[#This Row],[Pagado]]</f>
        <v>0</v>
      </c>
      <c r="I1745" s="275" t="s">
        <v>15214</v>
      </c>
    </row>
    <row r="1746" spans="1:9" x14ac:dyDescent="0.25">
      <c r="A1746" s="420">
        <v>43022</v>
      </c>
      <c r="B1746" s="302" t="s">
        <v>33420</v>
      </c>
      <c r="C1746">
        <v>131309</v>
      </c>
      <c r="D1746" s="275" t="s">
        <v>15681</v>
      </c>
      <c r="E1746" s="301">
        <v>1803.2</v>
      </c>
      <c r="F1746" s="303">
        <v>43022</v>
      </c>
      <c r="G1746" s="301">
        <v>1803.2</v>
      </c>
      <c r="H1746" s="301">
        <f>Tabla15[[#This Row],[Importe]]-Tabla15[[#This Row],[Pagado]]</f>
        <v>0</v>
      </c>
      <c r="I1746" s="275" t="s">
        <v>15214</v>
      </c>
    </row>
    <row r="1747" spans="1:9" x14ac:dyDescent="0.25">
      <c r="A1747" s="420">
        <v>43022</v>
      </c>
      <c r="B1747" s="302" t="s">
        <v>33421</v>
      </c>
      <c r="C1747">
        <v>131310</v>
      </c>
      <c r="D1747" s="275" t="s">
        <v>15324</v>
      </c>
      <c r="E1747" s="301">
        <v>2627.6</v>
      </c>
      <c r="F1747" s="303">
        <v>43022</v>
      </c>
      <c r="G1747" s="301">
        <v>2627.6</v>
      </c>
      <c r="H1747" s="301">
        <f>Tabla15[[#This Row],[Importe]]-Tabla15[[#This Row],[Pagado]]</f>
        <v>0</v>
      </c>
      <c r="I1747" s="275" t="s">
        <v>15214</v>
      </c>
    </row>
    <row r="1748" spans="1:9" x14ac:dyDescent="0.25">
      <c r="A1748" s="420">
        <v>43022</v>
      </c>
      <c r="B1748" s="302" t="s">
        <v>33422</v>
      </c>
      <c r="C1748">
        <v>131311</v>
      </c>
      <c r="D1748" s="275" t="s">
        <v>16958</v>
      </c>
      <c r="E1748" s="301">
        <v>2430.4</v>
      </c>
      <c r="F1748" s="303">
        <v>43023</v>
      </c>
      <c r="G1748" s="301">
        <v>2430.4</v>
      </c>
      <c r="H1748" s="301">
        <f>Tabla15[[#This Row],[Importe]]-Tabla15[[#This Row],[Pagado]]</f>
        <v>0</v>
      </c>
      <c r="I1748" s="275" t="s">
        <v>15214</v>
      </c>
    </row>
    <row r="1749" spans="1:9" x14ac:dyDescent="0.25">
      <c r="A1749" s="420">
        <v>43022</v>
      </c>
      <c r="B1749" s="302" t="s">
        <v>33423</v>
      </c>
      <c r="C1749">
        <v>131312</v>
      </c>
      <c r="D1749" s="275" t="s">
        <v>15261</v>
      </c>
      <c r="E1749" s="301">
        <v>15420.72</v>
      </c>
      <c r="F1749" s="303">
        <v>43022</v>
      </c>
      <c r="G1749" s="301">
        <v>15420.72</v>
      </c>
      <c r="H1749" s="301">
        <f>Tabla15[[#This Row],[Importe]]-Tabla15[[#This Row],[Pagado]]</f>
        <v>0</v>
      </c>
      <c r="I1749" s="275" t="s">
        <v>15214</v>
      </c>
    </row>
    <row r="1750" spans="1:9" x14ac:dyDescent="0.25">
      <c r="A1750" s="420">
        <v>43022</v>
      </c>
      <c r="B1750" s="302" t="s">
        <v>33424</v>
      </c>
      <c r="C1750">
        <v>131313</v>
      </c>
      <c r="D1750" s="275" t="s">
        <v>15261</v>
      </c>
      <c r="E1750" s="301">
        <v>8767.2000000000007</v>
      </c>
      <c r="F1750" s="303">
        <v>43022</v>
      </c>
      <c r="G1750" s="301">
        <v>8767.2000000000007</v>
      </c>
      <c r="H1750" s="301">
        <f>Tabla15[[#This Row],[Importe]]-Tabla15[[#This Row],[Pagado]]</f>
        <v>0</v>
      </c>
      <c r="I1750" s="275" t="s">
        <v>15214</v>
      </c>
    </row>
    <row r="1751" spans="1:9" x14ac:dyDescent="0.25">
      <c r="A1751" s="420">
        <v>43022</v>
      </c>
      <c r="B1751" s="302" t="s">
        <v>33425</v>
      </c>
      <c r="C1751">
        <v>131314</v>
      </c>
      <c r="D1751" s="275" t="s">
        <v>15261</v>
      </c>
      <c r="E1751" s="301">
        <v>7809.6</v>
      </c>
      <c r="F1751" s="303">
        <v>43022</v>
      </c>
      <c r="G1751" s="301">
        <v>7809.6</v>
      </c>
      <c r="H1751" s="301">
        <f>Tabla15[[#This Row],[Importe]]-Tabla15[[#This Row],[Pagado]]</f>
        <v>0</v>
      </c>
      <c r="I1751" s="275" t="s">
        <v>15214</v>
      </c>
    </row>
    <row r="1752" spans="1:9" x14ac:dyDescent="0.25">
      <c r="A1752" s="420">
        <v>43022</v>
      </c>
      <c r="B1752" s="302" t="s">
        <v>33426</v>
      </c>
      <c r="C1752">
        <v>131315</v>
      </c>
      <c r="D1752" s="275" t="s">
        <v>15223</v>
      </c>
      <c r="E1752" s="301">
        <v>41910.199999999997</v>
      </c>
      <c r="F1752" s="303">
        <v>43045</v>
      </c>
      <c r="G1752" s="301">
        <v>41910.199999999997</v>
      </c>
      <c r="H1752" s="301">
        <f>Tabla15[[#This Row],[Importe]]-Tabla15[[#This Row],[Pagado]]</f>
        <v>0</v>
      </c>
      <c r="I1752" s="275" t="s">
        <v>15214</v>
      </c>
    </row>
    <row r="1753" spans="1:9" x14ac:dyDescent="0.25">
      <c r="A1753" s="420">
        <v>43022</v>
      </c>
      <c r="B1753" s="302" t="s">
        <v>33427</v>
      </c>
      <c r="C1753">
        <v>131316</v>
      </c>
      <c r="D1753" s="275" t="s">
        <v>15248</v>
      </c>
      <c r="E1753" s="301">
        <v>46713.56</v>
      </c>
      <c r="F1753" s="303">
        <v>43022</v>
      </c>
      <c r="G1753" s="301">
        <v>46713.56</v>
      </c>
      <c r="H1753" s="301">
        <f>Tabla15[[#This Row],[Importe]]-Tabla15[[#This Row],[Pagado]]</f>
        <v>0</v>
      </c>
      <c r="I1753" s="275" t="s">
        <v>15214</v>
      </c>
    </row>
    <row r="1754" spans="1:9" ht="15.75" x14ac:dyDescent="0.25">
      <c r="A1754" s="420">
        <v>43022</v>
      </c>
      <c r="B1754" s="302" t="s">
        <v>33428</v>
      </c>
      <c r="C1754">
        <v>131317</v>
      </c>
      <c r="D1754" s="248" t="s">
        <v>95</v>
      </c>
      <c r="E1754" s="301">
        <v>0</v>
      </c>
      <c r="F1754" s="243" t="s">
        <v>95</v>
      </c>
      <c r="G1754" s="301">
        <v>0</v>
      </c>
      <c r="H1754" s="301">
        <f>Tabla15[[#This Row],[Importe]]-Tabla15[[#This Row],[Pagado]]</f>
        <v>0</v>
      </c>
      <c r="I1754" s="275" t="s">
        <v>95</v>
      </c>
    </row>
    <row r="1755" spans="1:9" x14ac:dyDescent="0.25">
      <c r="A1755" s="420">
        <v>43022</v>
      </c>
      <c r="B1755" s="302" t="s">
        <v>33429</v>
      </c>
      <c r="C1755">
        <v>131318</v>
      </c>
      <c r="D1755" s="275" t="s">
        <v>15523</v>
      </c>
      <c r="E1755" s="301">
        <v>4840</v>
      </c>
      <c r="F1755" s="303">
        <v>43022</v>
      </c>
      <c r="G1755" s="301">
        <v>4840</v>
      </c>
      <c r="H1755" s="301">
        <f>Tabla15[[#This Row],[Importe]]-Tabla15[[#This Row],[Pagado]]</f>
        <v>0</v>
      </c>
      <c r="I1755" s="275" t="s">
        <v>15214</v>
      </c>
    </row>
    <row r="1756" spans="1:9" x14ac:dyDescent="0.25">
      <c r="A1756" s="420">
        <v>43022</v>
      </c>
      <c r="B1756" s="302" t="s">
        <v>33430</v>
      </c>
      <c r="C1756">
        <v>131319</v>
      </c>
      <c r="D1756" s="275" t="s">
        <v>15334</v>
      </c>
      <c r="E1756" s="301">
        <v>3980</v>
      </c>
      <c r="F1756" s="303">
        <v>43022</v>
      </c>
      <c r="G1756" s="301">
        <v>3980</v>
      </c>
      <c r="H1756" s="301">
        <f>Tabla15[[#This Row],[Importe]]-Tabla15[[#This Row],[Pagado]]</f>
        <v>0</v>
      </c>
      <c r="I1756" s="275" t="s">
        <v>15214</v>
      </c>
    </row>
    <row r="1757" spans="1:9" x14ac:dyDescent="0.25">
      <c r="A1757" s="420">
        <v>43022</v>
      </c>
      <c r="B1757" s="302" t="s">
        <v>33431</v>
      </c>
      <c r="C1757">
        <v>131320</v>
      </c>
      <c r="D1757" s="275" t="s">
        <v>15348</v>
      </c>
      <c r="E1757" s="301">
        <v>3730.5</v>
      </c>
      <c r="F1757" s="303">
        <v>43024</v>
      </c>
      <c r="G1757" s="301">
        <v>3730.5</v>
      </c>
      <c r="H1757" s="301">
        <f>Tabla15[[#This Row],[Importe]]-Tabla15[[#This Row],[Pagado]]</f>
        <v>0</v>
      </c>
      <c r="I1757" s="275" t="s">
        <v>15214</v>
      </c>
    </row>
    <row r="1758" spans="1:9" x14ac:dyDescent="0.25">
      <c r="A1758" s="420">
        <v>43022</v>
      </c>
      <c r="B1758" s="302" t="s">
        <v>33432</v>
      </c>
      <c r="C1758">
        <v>131321</v>
      </c>
      <c r="D1758" s="275" t="s">
        <v>15344</v>
      </c>
      <c r="E1758" s="301">
        <v>2548.4</v>
      </c>
      <c r="F1758" s="303">
        <v>43022</v>
      </c>
      <c r="G1758" s="301">
        <v>2548.4</v>
      </c>
      <c r="H1758" s="301">
        <f>Tabla15[[#This Row],[Importe]]-Tabla15[[#This Row],[Pagado]]</f>
        <v>0</v>
      </c>
      <c r="I1758" s="275" t="s">
        <v>15214</v>
      </c>
    </row>
    <row r="1759" spans="1:9" x14ac:dyDescent="0.25">
      <c r="A1759" s="420">
        <v>43022</v>
      </c>
      <c r="B1759" s="302" t="s">
        <v>33433</v>
      </c>
      <c r="C1759">
        <v>131322</v>
      </c>
      <c r="D1759" s="275" t="s">
        <v>15280</v>
      </c>
      <c r="E1759" s="301">
        <v>6046.2</v>
      </c>
      <c r="F1759" s="303">
        <v>43022</v>
      </c>
      <c r="G1759" s="301">
        <v>6046.2</v>
      </c>
      <c r="H1759" s="301">
        <f>Tabla15[[#This Row],[Importe]]-Tabla15[[#This Row],[Pagado]]</f>
        <v>0</v>
      </c>
      <c r="I1759" s="275" t="s">
        <v>15214</v>
      </c>
    </row>
    <row r="1760" spans="1:9" x14ac:dyDescent="0.25">
      <c r="A1760" s="420">
        <v>43022</v>
      </c>
      <c r="B1760" s="302" t="s">
        <v>33434</v>
      </c>
      <c r="C1760">
        <v>131323</v>
      </c>
      <c r="D1760" s="275" t="s">
        <v>15526</v>
      </c>
      <c r="E1760" s="301">
        <v>4816.2</v>
      </c>
      <c r="F1760" s="303">
        <v>43022</v>
      </c>
      <c r="G1760" s="301">
        <v>4816.2</v>
      </c>
      <c r="H1760" s="301">
        <f>Tabla15[[#This Row],[Importe]]-Tabla15[[#This Row],[Pagado]]</f>
        <v>0</v>
      </c>
      <c r="I1760" s="275" t="s">
        <v>15214</v>
      </c>
    </row>
    <row r="1761" spans="1:9" x14ac:dyDescent="0.25">
      <c r="A1761" s="420">
        <v>43022</v>
      </c>
      <c r="B1761" s="302" t="s">
        <v>33435</v>
      </c>
      <c r="C1761">
        <v>131324</v>
      </c>
      <c r="D1761" s="275" t="s">
        <v>15358</v>
      </c>
      <c r="E1761" s="301">
        <v>3212.1</v>
      </c>
      <c r="F1761" s="303">
        <v>43022</v>
      </c>
      <c r="G1761" s="301">
        <v>3212.1</v>
      </c>
      <c r="H1761" s="301">
        <f>Tabla15[[#This Row],[Importe]]-Tabla15[[#This Row],[Pagado]]</f>
        <v>0</v>
      </c>
      <c r="I1761" s="275" t="s">
        <v>15214</v>
      </c>
    </row>
    <row r="1762" spans="1:9" x14ac:dyDescent="0.25">
      <c r="A1762" s="420">
        <v>43022</v>
      </c>
      <c r="B1762" s="302" t="s">
        <v>33436</v>
      </c>
      <c r="C1762">
        <v>131325</v>
      </c>
      <c r="D1762" s="275" t="s">
        <v>15530</v>
      </c>
      <c r="E1762" s="301">
        <v>3685</v>
      </c>
      <c r="F1762" s="303">
        <v>43022</v>
      </c>
      <c r="G1762" s="301">
        <v>3685</v>
      </c>
      <c r="H1762" s="301">
        <f>Tabla15[[#This Row],[Importe]]-Tabla15[[#This Row],[Pagado]]</f>
        <v>0</v>
      </c>
      <c r="I1762" s="275" t="s">
        <v>15214</v>
      </c>
    </row>
    <row r="1763" spans="1:9" x14ac:dyDescent="0.25">
      <c r="A1763" s="420">
        <v>43022</v>
      </c>
      <c r="B1763" s="302" t="s">
        <v>33437</v>
      </c>
      <c r="C1763">
        <v>131326</v>
      </c>
      <c r="D1763" s="275" t="s">
        <v>15246</v>
      </c>
      <c r="E1763" s="301">
        <v>32052.799999999999</v>
      </c>
      <c r="F1763" s="303">
        <v>43026</v>
      </c>
      <c r="G1763" s="301">
        <v>32052.799999999999</v>
      </c>
      <c r="H1763" s="301">
        <f>Tabla15[[#This Row],[Importe]]-Tabla15[[#This Row],[Pagado]]</f>
        <v>0</v>
      </c>
      <c r="I1763" s="275" t="s">
        <v>15214</v>
      </c>
    </row>
    <row r="1764" spans="1:9" ht="15.75" x14ac:dyDescent="0.25">
      <c r="A1764" s="420">
        <v>43022</v>
      </c>
      <c r="B1764" s="302" t="s">
        <v>33438</v>
      </c>
      <c r="C1764">
        <v>131327</v>
      </c>
      <c r="D1764" s="248" t="s">
        <v>95</v>
      </c>
      <c r="E1764" s="301">
        <v>0</v>
      </c>
      <c r="F1764" s="243" t="s">
        <v>95</v>
      </c>
      <c r="G1764" s="301">
        <v>0</v>
      </c>
      <c r="H1764" s="301">
        <f>Tabla15[[#This Row],[Importe]]-Tabla15[[#This Row],[Pagado]]</f>
        <v>0</v>
      </c>
      <c r="I1764" s="275" t="s">
        <v>95</v>
      </c>
    </row>
    <row r="1765" spans="1:9" x14ac:dyDescent="0.25">
      <c r="A1765" s="420">
        <v>43022</v>
      </c>
      <c r="B1765" s="302" t="s">
        <v>33439</v>
      </c>
      <c r="C1765">
        <v>131328</v>
      </c>
      <c r="D1765" s="275" t="s">
        <v>15278</v>
      </c>
      <c r="E1765" s="301">
        <v>6655.7</v>
      </c>
      <c r="F1765" s="303">
        <v>43022</v>
      </c>
      <c r="G1765" s="301">
        <v>6655.7</v>
      </c>
      <c r="H1765" s="301">
        <f>Tabla15[[#This Row],[Importe]]-Tabla15[[#This Row],[Pagado]]</f>
        <v>0</v>
      </c>
      <c r="I1765" s="275" t="s">
        <v>15214</v>
      </c>
    </row>
    <row r="1766" spans="1:9" x14ac:dyDescent="0.25">
      <c r="A1766" s="420">
        <v>43022</v>
      </c>
      <c r="B1766" s="302" t="s">
        <v>33440</v>
      </c>
      <c r="C1766">
        <v>131329</v>
      </c>
      <c r="D1766" s="275" t="s">
        <v>15336</v>
      </c>
      <c r="E1766" s="301">
        <v>11420.8</v>
      </c>
      <c r="F1766" s="303">
        <v>43022</v>
      </c>
      <c r="G1766" s="301">
        <v>11420.8</v>
      </c>
      <c r="H1766" s="301">
        <f>Tabla15[[#This Row],[Importe]]-Tabla15[[#This Row],[Pagado]]</f>
        <v>0</v>
      </c>
      <c r="I1766" s="275" t="s">
        <v>15214</v>
      </c>
    </row>
    <row r="1767" spans="1:9" x14ac:dyDescent="0.25">
      <c r="A1767" s="420">
        <v>43022</v>
      </c>
      <c r="B1767" s="302" t="s">
        <v>33441</v>
      </c>
      <c r="C1767">
        <v>131330</v>
      </c>
      <c r="D1767" s="275" t="s">
        <v>15315</v>
      </c>
      <c r="E1767" s="301">
        <v>7789.4</v>
      </c>
      <c r="F1767" s="303">
        <v>43022</v>
      </c>
      <c r="G1767" s="301">
        <v>7789.4</v>
      </c>
      <c r="H1767" s="301">
        <f>Tabla15[[#This Row],[Importe]]-Tabla15[[#This Row],[Pagado]]</f>
        <v>0</v>
      </c>
      <c r="I1767" s="275" t="s">
        <v>15214</v>
      </c>
    </row>
    <row r="1768" spans="1:9" x14ac:dyDescent="0.25">
      <c r="A1768" s="420">
        <v>43022</v>
      </c>
      <c r="B1768" s="302" t="s">
        <v>33442</v>
      </c>
      <c r="C1768">
        <v>131331</v>
      </c>
      <c r="D1768" s="275" t="s">
        <v>15315</v>
      </c>
      <c r="E1768" s="301">
        <v>394.4</v>
      </c>
      <c r="F1768" s="303">
        <v>43022</v>
      </c>
      <c r="G1768" s="301">
        <v>394.4</v>
      </c>
      <c r="H1768" s="301">
        <f>Tabla15[[#This Row],[Importe]]-Tabla15[[#This Row],[Pagado]]</f>
        <v>0</v>
      </c>
      <c r="I1768" s="275" t="s">
        <v>15214</v>
      </c>
    </row>
    <row r="1769" spans="1:9" x14ac:dyDescent="0.25">
      <c r="A1769" s="420">
        <v>43022</v>
      </c>
      <c r="B1769" s="302" t="s">
        <v>33443</v>
      </c>
      <c r="C1769">
        <v>131332</v>
      </c>
      <c r="D1769" s="275" t="s">
        <v>15861</v>
      </c>
      <c r="E1769" s="301">
        <v>1724.8</v>
      </c>
      <c r="F1769" s="303">
        <v>43022</v>
      </c>
      <c r="G1769" s="301">
        <v>1724.8</v>
      </c>
      <c r="H1769" s="301">
        <f>Tabla15[[#This Row],[Importe]]-Tabla15[[#This Row],[Pagado]]</f>
        <v>0</v>
      </c>
      <c r="I1769" s="275" t="s">
        <v>15214</v>
      </c>
    </row>
    <row r="1770" spans="1:9" x14ac:dyDescent="0.25">
      <c r="A1770" s="420">
        <v>43022</v>
      </c>
      <c r="B1770" s="302" t="s">
        <v>33444</v>
      </c>
      <c r="C1770">
        <v>131333</v>
      </c>
      <c r="D1770" s="275" t="s">
        <v>16249</v>
      </c>
      <c r="E1770" s="301">
        <v>5178.6000000000004</v>
      </c>
      <c r="F1770" s="303">
        <v>43022</v>
      </c>
      <c r="G1770" s="301">
        <v>5178.6000000000004</v>
      </c>
      <c r="H1770" s="301">
        <f>Tabla15[[#This Row],[Importe]]-Tabla15[[#This Row],[Pagado]]</f>
        <v>0</v>
      </c>
      <c r="I1770" s="275" t="s">
        <v>15214</v>
      </c>
    </row>
    <row r="1771" spans="1:9" x14ac:dyDescent="0.25">
      <c r="A1771" s="420">
        <v>43022</v>
      </c>
      <c r="B1771" s="302" t="s">
        <v>33445</v>
      </c>
      <c r="C1771">
        <v>131334</v>
      </c>
      <c r="D1771" s="275" t="s">
        <v>15728</v>
      </c>
      <c r="E1771" s="301">
        <v>10800</v>
      </c>
      <c r="F1771" s="303">
        <v>43022</v>
      </c>
      <c r="G1771" s="301">
        <v>10800</v>
      </c>
      <c r="H1771" s="301">
        <f>Tabla15[[#This Row],[Importe]]-Tabla15[[#This Row],[Pagado]]</f>
        <v>0</v>
      </c>
      <c r="I1771" s="275" t="s">
        <v>15214</v>
      </c>
    </row>
    <row r="1772" spans="1:9" x14ac:dyDescent="0.25">
      <c r="A1772" s="420">
        <v>43022</v>
      </c>
      <c r="B1772" s="302" t="s">
        <v>33446</v>
      </c>
      <c r="C1772">
        <v>131335</v>
      </c>
      <c r="D1772" s="275" t="s">
        <v>15354</v>
      </c>
      <c r="E1772" s="301">
        <v>2507</v>
      </c>
      <c r="F1772" s="303">
        <v>43022</v>
      </c>
      <c r="G1772" s="301">
        <v>2507</v>
      </c>
      <c r="H1772" s="301">
        <f>Tabla15[[#This Row],[Importe]]-Tabla15[[#This Row],[Pagado]]</f>
        <v>0</v>
      </c>
      <c r="I1772" s="275" t="s">
        <v>15214</v>
      </c>
    </row>
    <row r="1773" spans="1:9" x14ac:dyDescent="0.25">
      <c r="A1773" s="420">
        <v>43022</v>
      </c>
      <c r="B1773" s="302" t="s">
        <v>33447</v>
      </c>
      <c r="C1773">
        <v>131336</v>
      </c>
      <c r="D1773" s="275" t="s">
        <v>15510</v>
      </c>
      <c r="E1773" s="301">
        <v>800</v>
      </c>
      <c r="F1773" s="303">
        <v>43022</v>
      </c>
      <c r="G1773" s="301">
        <v>800</v>
      </c>
      <c r="H1773" s="301">
        <f>Tabla15[[#This Row],[Importe]]-Tabla15[[#This Row],[Pagado]]</f>
        <v>0</v>
      </c>
      <c r="I1773" s="275" t="s">
        <v>15214</v>
      </c>
    </row>
    <row r="1774" spans="1:9" x14ac:dyDescent="0.25">
      <c r="A1774" s="420">
        <v>43022</v>
      </c>
      <c r="B1774" s="302" t="s">
        <v>33448</v>
      </c>
      <c r="C1774">
        <v>131337</v>
      </c>
      <c r="D1774" s="275" t="s">
        <v>15716</v>
      </c>
      <c r="E1774" s="301">
        <v>12102.4</v>
      </c>
      <c r="F1774" s="303">
        <v>43022</v>
      </c>
      <c r="G1774" s="301">
        <v>12102.4</v>
      </c>
      <c r="H1774" s="301">
        <f>Tabla15[[#This Row],[Importe]]-Tabla15[[#This Row],[Pagado]]</f>
        <v>0</v>
      </c>
      <c r="I1774" s="275" t="s">
        <v>15214</v>
      </c>
    </row>
    <row r="1775" spans="1:9" x14ac:dyDescent="0.25">
      <c r="A1775" s="420">
        <v>43022</v>
      </c>
      <c r="B1775" s="302" t="s">
        <v>33449</v>
      </c>
      <c r="C1775">
        <v>131338</v>
      </c>
      <c r="D1775" s="275" t="s">
        <v>15315</v>
      </c>
      <c r="E1775" s="301">
        <v>3304.4</v>
      </c>
      <c r="F1775" s="303">
        <v>43022</v>
      </c>
      <c r="G1775" s="301">
        <v>3304.4</v>
      </c>
      <c r="H1775" s="301">
        <f>Tabla15[[#This Row],[Importe]]-Tabla15[[#This Row],[Pagado]]</f>
        <v>0</v>
      </c>
      <c r="I1775" s="275" t="s">
        <v>15214</v>
      </c>
    </row>
    <row r="1776" spans="1:9" x14ac:dyDescent="0.25">
      <c r="A1776" s="420">
        <v>43022</v>
      </c>
      <c r="B1776" s="302" t="s">
        <v>33450</v>
      </c>
      <c r="C1776">
        <v>131339</v>
      </c>
      <c r="D1776" s="275" t="s">
        <v>15326</v>
      </c>
      <c r="E1776" s="301">
        <v>5377.2</v>
      </c>
      <c r="F1776" s="303">
        <v>43022</v>
      </c>
      <c r="G1776" s="301">
        <v>5377.2</v>
      </c>
      <c r="H1776" s="301">
        <f>Tabla15[[#This Row],[Importe]]-Tabla15[[#This Row],[Pagado]]</f>
        <v>0</v>
      </c>
      <c r="I1776" s="275" t="s">
        <v>15214</v>
      </c>
    </row>
    <row r="1777" spans="1:9" x14ac:dyDescent="0.25">
      <c r="A1777" s="420">
        <v>43022</v>
      </c>
      <c r="B1777" s="302" t="s">
        <v>33451</v>
      </c>
      <c r="C1777">
        <v>131340</v>
      </c>
      <c r="D1777" s="275" t="s">
        <v>15716</v>
      </c>
      <c r="E1777" s="301">
        <v>1626.8</v>
      </c>
      <c r="F1777" s="303">
        <v>43022</v>
      </c>
      <c r="G1777" s="301">
        <v>1626.8</v>
      </c>
      <c r="H1777" s="301">
        <f>Tabla15[[#This Row],[Importe]]-Tabla15[[#This Row],[Pagado]]</f>
        <v>0</v>
      </c>
      <c r="I1777" s="275" t="s">
        <v>15214</v>
      </c>
    </row>
    <row r="1778" spans="1:9" x14ac:dyDescent="0.25">
      <c r="A1778" s="420">
        <v>43022</v>
      </c>
      <c r="B1778" s="302" t="s">
        <v>33452</v>
      </c>
      <c r="C1778">
        <v>131341</v>
      </c>
      <c r="D1778" s="275" t="s">
        <v>15391</v>
      </c>
      <c r="E1778" s="301">
        <v>17258.400000000001</v>
      </c>
      <c r="F1778" s="303">
        <v>43026</v>
      </c>
      <c r="G1778" s="301">
        <v>17258.400000000001</v>
      </c>
      <c r="H1778" s="301">
        <f>Tabla15[[#This Row],[Importe]]-Tabla15[[#This Row],[Pagado]]</f>
        <v>0</v>
      </c>
      <c r="I1778" s="275" t="s">
        <v>15214</v>
      </c>
    </row>
    <row r="1779" spans="1:9" x14ac:dyDescent="0.25">
      <c r="A1779" s="420">
        <v>43022</v>
      </c>
      <c r="B1779" s="302" t="s">
        <v>33453</v>
      </c>
      <c r="C1779">
        <v>131342</v>
      </c>
      <c r="D1779" s="275" t="s">
        <v>15725</v>
      </c>
      <c r="E1779" s="301">
        <v>27030.5</v>
      </c>
      <c r="F1779" s="303">
        <v>43024</v>
      </c>
      <c r="G1779" s="301">
        <v>27030.5</v>
      </c>
      <c r="H1779" s="301">
        <f>Tabla15[[#This Row],[Importe]]-Tabla15[[#This Row],[Pagado]]</f>
        <v>0</v>
      </c>
      <c r="I1779" s="275" t="s">
        <v>15214</v>
      </c>
    </row>
    <row r="1780" spans="1:9" x14ac:dyDescent="0.25">
      <c r="A1780" s="420">
        <v>43022</v>
      </c>
      <c r="B1780" s="302" t="s">
        <v>33454</v>
      </c>
      <c r="C1780">
        <v>131343</v>
      </c>
      <c r="D1780" s="275" t="s">
        <v>15246</v>
      </c>
      <c r="E1780" s="301">
        <v>215253.84</v>
      </c>
      <c r="F1780" s="303">
        <v>43026</v>
      </c>
      <c r="G1780" s="301">
        <v>215253.84</v>
      </c>
      <c r="H1780" s="301">
        <f>Tabla15[[#This Row],[Importe]]-Tabla15[[#This Row],[Pagado]]</f>
        <v>0</v>
      </c>
      <c r="I1780" s="275" t="s">
        <v>15214</v>
      </c>
    </row>
    <row r="1781" spans="1:9" x14ac:dyDescent="0.25">
      <c r="A1781" s="420">
        <v>43022</v>
      </c>
      <c r="B1781" s="302" t="s">
        <v>33455</v>
      </c>
      <c r="C1781">
        <v>131344</v>
      </c>
      <c r="D1781" s="275" t="s">
        <v>15315</v>
      </c>
      <c r="E1781" s="301">
        <v>210</v>
      </c>
      <c r="F1781" s="303">
        <v>43022</v>
      </c>
      <c r="G1781" s="301">
        <v>210</v>
      </c>
      <c r="H1781" s="301">
        <f>Tabla15[[#This Row],[Importe]]-Tabla15[[#This Row],[Pagado]]</f>
        <v>0</v>
      </c>
      <c r="I1781" s="275" t="s">
        <v>15214</v>
      </c>
    </row>
    <row r="1782" spans="1:9" x14ac:dyDescent="0.25">
      <c r="A1782" s="420">
        <v>43022</v>
      </c>
      <c r="B1782" s="302" t="s">
        <v>33456</v>
      </c>
      <c r="C1782">
        <v>131345</v>
      </c>
      <c r="D1782" s="275" t="s">
        <v>15725</v>
      </c>
      <c r="E1782" s="301">
        <v>680</v>
      </c>
      <c r="F1782" s="303">
        <v>43024</v>
      </c>
      <c r="G1782" s="301">
        <v>680</v>
      </c>
      <c r="H1782" s="301">
        <f>Tabla15[[#This Row],[Importe]]-Tabla15[[#This Row],[Pagado]]</f>
        <v>0</v>
      </c>
      <c r="I1782" s="275" t="s">
        <v>15214</v>
      </c>
    </row>
    <row r="1783" spans="1:9" x14ac:dyDescent="0.25">
      <c r="A1783" s="420">
        <v>43022</v>
      </c>
      <c r="B1783" s="302" t="s">
        <v>33457</v>
      </c>
      <c r="C1783">
        <v>131346</v>
      </c>
      <c r="D1783" s="275" t="s">
        <v>15309</v>
      </c>
      <c r="E1783" s="301">
        <v>2665.3</v>
      </c>
      <c r="F1783" s="303">
        <v>43022</v>
      </c>
      <c r="G1783" s="301">
        <v>2665.3</v>
      </c>
      <c r="H1783" s="301">
        <f>Tabla15[[#This Row],[Importe]]-Tabla15[[#This Row],[Pagado]]</f>
        <v>0</v>
      </c>
      <c r="I1783" s="275" t="s">
        <v>15214</v>
      </c>
    </row>
    <row r="1784" spans="1:9" x14ac:dyDescent="0.25">
      <c r="A1784" s="420">
        <v>43022</v>
      </c>
      <c r="B1784" s="302" t="s">
        <v>33458</v>
      </c>
      <c r="C1784">
        <v>131347</v>
      </c>
      <c r="D1784" s="275" t="s">
        <v>15305</v>
      </c>
      <c r="E1784" s="301">
        <v>1193.5</v>
      </c>
      <c r="F1784" s="303">
        <v>43022</v>
      </c>
      <c r="G1784" s="301">
        <v>1193.5</v>
      </c>
      <c r="H1784" s="301">
        <f>Tabla15[[#This Row],[Importe]]-Tabla15[[#This Row],[Pagado]]</f>
        <v>0</v>
      </c>
      <c r="I1784" s="275" t="s">
        <v>15214</v>
      </c>
    </row>
    <row r="1785" spans="1:9" x14ac:dyDescent="0.25">
      <c r="A1785" s="420">
        <v>43022</v>
      </c>
      <c r="B1785" s="302" t="s">
        <v>33459</v>
      </c>
      <c r="C1785">
        <v>131348</v>
      </c>
      <c r="D1785" s="275" t="s">
        <v>15311</v>
      </c>
      <c r="E1785" s="301">
        <v>2338.5</v>
      </c>
      <c r="F1785" s="303">
        <v>43022</v>
      </c>
      <c r="G1785" s="301">
        <v>2338.5</v>
      </c>
      <c r="H1785" s="301">
        <f>Tabla15[[#This Row],[Importe]]-Tabla15[[#This Row],[Pagado]]</f>
        <v>0</v>
      </c>
      <c r="I1785" s="275" t="s">
        <v>15214</v>
      </c>
    </row>
    <row r="1786" spans="1:9" x14ac:dyDescent="0.25">
      <c r="A1786" s="420">
        <v>43022</v>
      </c>
      <c r="B1786" s="302" t="s">
        <v>33460</v>
      </c>
      <c r="C1786">
        <v>131349</v>
      </c>
      <c r="D1786" s="275" t="s">
        <v>15313</v>
      </c>
      <c r="E1786" s="301">
        <v>16745</v>
      </c>
      <c r="F1786" s="303">
        <v>43023</v>
      </c>
      <c r="G1786" s="301">
        <v>16745</v>
      </c>
      <c r="H1786" s="301">
        <f>Tabla15[[#This Row],[Importe]]-Tabla15[[#This Row],[Pagado]]</f>
        <v>0</v>
      </c>
      <c r="I1786" s="275" t="s">
        <v>15214</v>
      </c>
    </row>
    <row r="1787" spans="1:9" x14ac:dyDescent="0.25">
      <c r="A1787" s="420">
        <v>43022</v>
      </c>
      <c r="B1787" s="302" t="s">
        <v>33461</v>
      </c>
      <c r="C1787">
        <v>131350</v>
      </c>
      <c r="D1787" s="275" t="s">
        <v>15592</v>
      </c>
      <c r="E1787" s="301">
        <v>11757.4</v>
      </c>
      <c r="F1787" s="303">
        <v>43022</v>
      </c>
      <c r="G1787" s="301">
        <v>11757.4</v>
      </c>
      <c r="H1787" s="301">
        <f>Tabla15[[#This Row],[Importe]]-Tabla15[[#This Row],[Pagado]]</f>
        <v>0</v>
      </c>
      <c r="I1787" s="275" t="s">
        <v>15214</v>
      </c>
    </row>
    <row r="1788" spans="1:9" x14ac:dyDescent="0.25">
      <c r="A1788" s="420">
        <v>43022</v>
      </c>
      <c r="B1788" s="302" t="s">
        <v>33462</v>
      </c>
      <c r="C1788">
        <v>131351</v>
      </c>
      <c r="D1788" s="275" t="s">
        <v>15592</v>
      </c>
      <c r="E1788" s="301">
        <v>535.6</v>
      </c>
      <c r="F1788" s="303">
        <v>43022</v>
      </c>
      <c r="G1788" s="301">
        <v>535.6</v>
      </c>
      <c r="H1788" s="301">
        <f>Tabla15[[#This Row],[Importe]]-Tabla15[[#This Row],[Pagado]]</f>
        <v>0</v>
      </c>
      <c r="I1788" s="275" t="s">
        <v>15214</v>
      </c>
    </row>
    <row r="1789" spans="1:9" x14ac:dyDescent="0.25">
      <c r="A1789" s="420">
        <v>43022</v>
      </c>
      <c r="B1789" s="302" t="s">
        <v>33463</v>
      </c>
      <c r="C1789">
        <v>131352</v>
      </c>
      <c r="D1789" s="275" t="s">
        <v>15541</v>
      </c>
      <c r="E1789" s="301">
        <v>3023.6</v>
      </c>
      <c r="F1789" s="303">
        <v>43022</v>
      </c>
      <c r="G1789" s="301">
        <v>3023.6</v>
      </c>
      <c r="H1789" s="301">
        <f>Tabla15[[#This Row],[Importe]]-Tabla15[[#This Row],[Pagado]]</f>
        <v>0</v>
      </c>
      <c r="I1789" s="275" t="s">
        <v>15214</v>
      </c>
    </row>
    <row r="1790" spans="1:9" x14ac:dyDescent="0.25">
      <c r="A1790" s="420">
        <v>43022</v>
      </c>
      <c r="B1790" s="302" t="s">
        <v>33464</v>
      </c>
      <c r="C1790">
        <v>131353</v>
      </c>
      <c r="D1790" s="275" t="s">
        <v>15396</v>
      </c>
      <c r="E1790" s="301">
        <v>5158.84</v>
      </c>
      <c r="F1790" s="303">
        <v>43022</v>
      </c>
      <c r="G1790" s="301">
        <v>5158.84</v>
      </c>
      <c r="H1790" s="301">
        <f>Tabla15[[#This Row],[Importe]]-Tabla15[[#This Row],[Pagado]]</f>
        <v>0</v>
      </c>
      <c r="I1790" s="275" t="s">
        <v>15214</v>
      </c>
    </row>
    <row r="1791" spans="1:9" x14ac:dyDescent="0.25">
      <c r="A1791" s="420">
        <v>43022</v>
      </c>
      <c r="B1791" s="302" t="s">
        <v>33465</v>
      </c>
      <c r="C1791">
        <v>131354</v>
      </c>
      <c r="D1791" s="275" t="s">
        <v>18082</v>
      </c>
      <c r="E1791" s="301">
        <v>59959.02</v>
      </c>
      <c r="F1791" s="303">
        <v>43022</v>
      </c>
      <c r="G1791" s="301">
        <v>59959.02</v>
      </c>
      <c r="H1791" s="301">
        <f>Tabla15[[#This Row],[Importe]]-Tabla15[[#This Row],[Pagado]]</f>
        <v>0</v>
      </c>
      <c r="I1791" s="275" t="s">
        <v>15214</v>
      </c>
    </row>
    <row r="1792" spans="1:9" x14ac:dyDescent="0.25">
      <c r="A1792" s="420">
        <v>43022</v>
      </c>
      <c r="B1792" s="302" t="s">
        <v>33466</v>
      </c>
      <c r="C1792">
        <v>131355</v>
      </c>
      <c r="D1792" s="275" t="s">
        <v>15745</v>
      </c>
      <c r="E1792" s="301">
        <v>1502.56</v>
      </c>
      <c r="F1792" s="303">
        <v>43022</v>
      </c>
      <c r="G1792" s="301">
        <v>1502.56</v>
      </c>
      <c r="H1792" s="301">
        <f>Tabla15[[#This Row],[Importe]]-Tabla15[[#This Row],[Pagado]]</f>
        <v>0</v>
      </c>
      <c r="I1792" s="275" t="s">
        <v>15214</v>
      </c>
    </row>
    <row r="1793" spans="1:9" x14ac:dyDescent="0.25">
      <c r="A1793" s="420">
        <v>43022</v>
      </c>
      <c r="B1793" s="302" t="s">
        <v>33467</v>
      </c>
      <c r="C1793">
        <v>131356</v>
      </c>
      <c r="D1793" s="275" t="s">
        <v>15596</v>
      </c>
      <c r="E1793" s="301">
        <v>2200</v>
      </c>
      <c r="F1793" s="303">
        <v>43022</v>
      </c>
      <c r="G1793" s="301">
        <v>2200</v>
      </c>
      <c r="H1793" s="301">
        <f>Tabla15[[#This Row],[Importe]]-Tabla15[[#This Row],[Pagado]]</f>
        <v>0</v>
      </c>
      <c r="I1793" s="275" t="s">
        <v>15214</v>
      </c>
    </row>
    <row r="1794" spans="1:9" x14ac:dyDescent="0.25">
      <c r="A1794" s="420">
        <v>43022</v>
      </c>
      <c r="B1794" s="302" t="s">
        <v>33468</v>
      </c>
      <c r="C1794">
        <v>131357</v>
      </c>
      <c r="D1794" s="275" t="s">
        <v>17800</v>
      </c>
      <c r="E1794" s="301">
        <v>4871.1000000000004</v>
      </c>
      <c r="F1794" s="303">
        <v>43022</v>
      </c>
      <c r="G1794" s="301">
        <v>4871.1000000000004</v>
      </c>
      <c r="H1794" s="301">
        <f>Tabla15[[#This Row],[Importe]]-Tabla15[[#This Row],[Pagado]]</f>
        <v>0</v>
      </c>
      <c r="I1794" s="275" t="s">
        <v>15214</v>
      </c>
    </row>
    <row r="1795" spans="1:9" x14ac:dyDescent="0.25">
      <c r="A1795" s="420">
        <v>43022</v>
      </c>
      <c r="B1795" s="302" t="s">
        <v>33469</v>
      </c>
      <c r="C1795">
        <v>131358</v>
      </c>
      <c r="D1795" s="275" t="s">
        <v>17235</v>
      </c>
      <c r="E1795" s="301">
        <v>1199</v>
      </c>
      <c r="F1795" s="303">
        <v>43022</v>
      </c>
      <c r="G1795" s="301">
        <v>1199</v>
      </c>
      <c r="H1795" s="301">
        <f>Tabla15[[#This Row],[Importe]]-Tabla15[[#This Row],[Pagado]]</f>
        <v>0</v>
      </c>
      <c r="I1795" s="275" t="s">
        <v>15214</v>
      </c>
    </row>
    <row r="1796" spans="1:9" x14ac:dyDescent="0.25">
      <c r="A1796" s="420">
        <v>43022</v>
      </c>
      <c r="B1796" s="302" t="s">
        <v>33470</v>
      </c>
      <c r="C1796">
        <v>131359</v>
      </c>
      <c r="D1796" s="275" t="s">
        <v>15291</v>
      </c>
      <c r="E1796" s="301">
        <v>880</v>
      </c>
      <c r="F1796" s="303">
        <v>43022</v>
      </c>
      <c r="G1796" s="301">
        <v>880</v>
      </c>
      <c r="H1796" s="301">
        <f>Tabla15[[#This Row],[Importe]]-Tabla15[[#This Row],[Pagado]]</f>
        <v>0</v>
      </c>
      <c r="I1796" s="275" t="s">
        <v>15214</v>
      </c>
    </row>
    <row r="1797" spans="1:9" ht="15.75" x14ac:dyDescent="0.25">
      <c r="A1797" s="420">
        <v>43022</v>
      </c>
      <c r="B1797" s="302" t="s">
        <v>33471</v>
      </c>
      <c r="C1797">
        <v>131360</v>
      </c>
      <c r="D1797" s="248" t="s">
        <v>95</v>
      </c>
      <c r="E1797" s="301">
        <v>0</v>
      </c>
      <c r="F1797" s="243" t="s">
        <v>95</v>
      </c>
      <c r="G1797" s="301">
        <v>0</v>
      </c>
      <c r="H1797" s="301">
        <f>Tabla15[[#This Row],[Importe]]-Tabla15[[#This Row],[Pagado]]</f>
        <v>0</v>
      </c>
      <c r="I1797" s="275" t="s">
        <v>95</v>
      </c>
    </row>
    <row r="1798" spans="1:9" x14ac:dyDescent="0.25">
      <c r="A1798" s="420">
        <v>43022</v>
      </c>
      <c r="B1798" s="302" t="s">
        <v>33472</v>
      </c>
      <c r="C1798">
        <v>131361</v>
      </c>
      <c r="D1798" s="275" t="s">
        <v>15549</v>
      </c>
      <c r="E1798" s="301">
        <v>3876.4</v>
      </c>
      <c r="F1798" s="303">
        <v>43022</v>
      </c>
      <c r="G1798" s="301">
        <v>3876.4</v>
      </c>
      <c r="H1798" s="301">
        <f>Tabla15[[#This Row],[Importe]]-Tabla15[[#This Row],[Pagado]]</f>
        <v>0</v>
      </c>
      <c r="I1798" s="275" t="s">
        <v>15214</v>
      </c>
    </row>
    <row r="1799" spans="1:9" ht="15.75" x14ac:dyDescent="0.25">
      <c r="A1799" s="420">
        <v>43022</v>
      </c>
      <c r="B1799" s="302" t="s">
        <v>33473</v>
      </c>
      <c r="C1799">
        <v>131362</v>
      </c>
      <c r="D1799" s="248" t="s">
        <v>95</v>
      </c>
      <c r="E1799" s="301">
        <v>0</v>
      </c>
      <c r="F1799" s="243" t="s">
        <v>95</v>
      </c>
      <c r="G1799" s="301">
        <v>0</v>
      </c>
      <c r="H1799" s="301">
        <f>Tabla15[[#This Row],[Importe]]-Tabla15[[#This Row],[Pagado]]</f>
        <v>0</v>
      </c>
      <c r="I1799" s="275" t="s">
        <v>95</v>
      </c>
    </row>
    <row r="1800" spans="1:9" x14ac:dyDescent="0.25">
      <c r="A1800" s="420">
        <v>43022</v>
      </c>
      <c r="B1800" s="302" t="s">
        <v>33474</v>
      </c>
      <c r="C1800">
        <v>131363</v>
      </c>
      <c r="D1800" s="275" t="s">
        <v>15398</v>
      </c>
      <c r="E1800" s="301">
        <v>3120.2</v>
      </c>
      <c r="F1800" s="303">
        <v>43022</v>
      </c>
      <c r="G1800" s="301">
        <v>3120.2</v>
      </c>
      <c r="H1800" s="301">
        <f>Tabla15[[#This Row],[Importe]]-Tabla15[[#This Row],[Pagado]]</f>
        <v>0</v>
      </c>
      <c r="I1800" s="275" t="s">
        <v>15214</v>
      </c>
    </row>
    <row r="1801" spans="1:9" x14ac:dyDescent="0.25">
      <c r="A1801" s="420">
        <v>43022</v>
      </c>
      <c r="B1801" s="302" t="s">
        <v>33475</v>
      </c>
      <c r="C1801">
        <v>131364</v>
      </c>
      <c r="D1801" s="275" t="s">
        <v>15590</v>
      </c>
      <c r="E1801" s="301">
        <v>19630.8</v>
      </c>
      <c r="F1801" s="303">
        <v>43032</v>
      </c>
      <c r="G1801" s="301">
        <v>19630.8</v>
      </c>
      <c r="H1801" s="301">
        <f>Tabla15[[#This Row],[Importe]]-Tabla15[[#This Row],[Pagado]]</f>
        <v>0</v>
      </c>
      <c r="I1801" s="275" t="s">
        <v>15214</v>
      </c>
    </row>
    <row r="1802" spans="1:9" x14ac:dyDescent="0.25">
      <c r="A1802" s="420">
        <v>43022</v>
      </c>
      <c r="B1802" s="302" t="s">
        <v>33476</v>
      </c>
      <c r="C1802">
        <v>131365</v>
      </c>
      <c r="D1802" s="275" t="s">
        <v>15590</v>
      </c>
      <c r="E1802" s="301">
        <v>29552.32</v>
      </c>
      <c r="F1802" s="303">
        <v>43038</v>
      </c>
      <c r="G1802" s="301">
        <v>29552.32</v>
      </c>
      <c r="H1802" s="301">
        <f>Tabla15[[#This Row],[Importe]]-Tabla15[[#This Row],[Pagado]]</f>
        <v>0</v>
      </c>
      <c r="I1802" s="275" t="s">
        <v>15214</v>
      </c>
    </row>
    <row r="1803" spans="1:9" x14ac:dyDescent="0.25">
      <c r="A1803" s="420">
        <v>43022</v>
      </c>
      <c r="B1803" s="302" t="s">
        <v>33477</v>
      </c>
      <c r="C1803">
        <v>131366</v>
      </c>
      <c r="D1803" s="275" t="s">
        <v>16732</v>
      </c>
      <c r="E1803" s="301">
        <v>30336</v>
      </c>
      <c r="F1803" s="303">
        <v>43022</v>
      </c>
      <c r="G1803" s="301">
        <v>30336</v>
      </c>
      <c r="H1803" s="301">
        <f>Tabla15[[#This Row],[Importe]]-Tabla15[[#This Row],[Pagado]]</f>
        <v>0</v>
      </c>
      <c r="I1803" s="275" t="s">
        <v>15214</v>
      </c>
    </row>
    <row r="1804" spans="1:9" x14ac:dyDescent="0.25">
      <c r="A1804" s="420">
        <v>43022</v>
      </c>
      <c r="B1804" s="302" t="s">
        <v>33478</v>
      </c>
      <c r="C1804">
        <v>131367</v>
      </c>
      <c r="D1804" s="275" t="s">
        <v>15438</v>
      </c>
      <c r="E1804" s="301">
        <v>638.79999999999995</v>
      </c>
      <c r="F1804" s="303">
        <v>43022</v>
      </c>
      <c r="G1804" s="301">
        <v>638.79999999999995</v>
      </c>
      <c r="H1804" s="301">
        <f>Tabla15[[#This Row],[Importe]]-Tabla15[[#This Row],[Pagado]]</f>
        <v>0</v>
      </c>
      <c r="I1804" s="275" t="s">
        <v>15214</v>
      </c>
    </row>
    <row r="1805" spans="1:9" x14ac:dyDescent="0.25">
      <c r="A1805" s="420">
        <v>43022</v>
      </c>
      <c r="B1805" s="302" t="s">
        <v>33479</v>
      </c>
      <c r="C1805">
        <v>131368</v>
      </c>
      <c r="D1805" s="275" t="s">
        <v>15252</v>
      </c>
      <c r="E1805" s="301">
        <v>4457.3999999999996</v>
      </c>
      <c r="F1805" s="303">
        <v>43024</v>
      </c>
      <c r="G1805" s="301">
        <v>4457.3999999999996</v>
      </c>
      <c r="H1805" s="301">
        <f>Tabla15[[#This Row],[Importe]]-Tabla15[[#This Row],[Pagado]]</f>
        <v>0</v>
      </c>
      <c r="I1805" s="275" t="s">
        <v>15214</v>
      </c>
    </row>
    <row r="1806" spans="1:9" x14ac:dyDescent="0.25">
      <c r="A1806" s="420">
        <v>43022</v>
      </c>
      <c r="B1806" s="302" t="s">
        <v>33480</v>
      </c>
      <c r="C1806">
        <v>131369</v>
      </c>
      <c r="D1806" s="275" t="s">
        <v>15244</v>
      </c>
      <c r="E1806" s="301">
        <v>21780</v>
      </c>
      <c r="F1806" s="303">
        <v>43025</v>
      </c>
      <c r="G1806" s="301">
        <v>21780</v>
      </c>
      <c r="H1806" s="301">
        <f>Tabla15[[#This Row],[Importe]]-Tabla15[[#This Row],[Pagado]]</f>
        <v>0</v>
      </c>
      <c r="I1806" s="275" t="s">
        <v>15214</v>
      </c>
    </row>
    <row r="1807" spans="1:9" x14ac:dyDescent="0.25">
      <c r="A1807" s="420">
        <v>43022</v>
      </c>
      <c r="B1807" s="302" t="s">
        <v>33481</v>
      </c>
      <c r="C1807">
        <v>131370</v>
      </c>
      <c r="D1807" s="275" t="s">
        <v>15284</v>
      </c>
      <c r="E1807" s="301">
        <v>1367.6</v>
      </c>
      <c r="F1807" s="303">
        <v>43022</v>
      </c>
      <c r="G1807" s="301">
        <v>1367.6</v>
      </c>
      <c r="H1807" s="301">
        <f>Tabla15[[#This Row],[Importe]]-Tabla15[[#This Row],[Pagado]]</f>
        <v>0</v>
      </c>
      <c r="I1807" s="275" t="s">
        <v>15214</v>
      </c>
    </row>
    <row r="1808" spans="1:9" x14ac:dyDescent="0.25">
      <c r="A1808" s="420">
        <v>43022</v>
      </c>
      <c r="B1808" s="302" t="s">
        <v>33482</v>
      </c>
      <c r="C1808">
        <v>131371</v>
      </c>
      <c r="D1808" s="275" t="s">
        <v>15398</v>
      </c>
      <c r="E1808" s="301">
        <v>3071.1</v>
      </c>
      <c r="F1808" s="303">
        <v>43022</v>
      </c>
      <c r="G1808" s="301">
        <v>3071.1</v>
      </c>
      <c r="H1808" s="301">
        <f>Tabla15[[#This Row],[Importe]]-Tabla15[[#This Row],[Pagado]]</f>
        <v>0</v>
      </c>
      <c r="I1808" s="275" t="s">
        <v>15214</v>
      </c>
    </row>
    <row r="1809" spans="1:9" x14ac:dyDescent="0.25">
      <c r="A1809" s="420">
        <v>43022</v>
      </c>
      <c r="B1809" s="302" t="s">
        <v>33483</v>
      </c>
      <c r="C1809">
        <v>131372</v>
      </c>
      <c r="D1809" s="275" t="s">
        <v>16108</v>
      </c>
      <c r="E1809" s="301">
        <v>811.2</v>
      </c>
      <c r="F1809" s="303">
        <v>43022</v>
      </c>
      <c r="G1809" s="301">
        <v>811.2</v>
      </c>
      <c r="H1809" s="301">
        <f>Tabla15[[#This Row],[Importe]]-Tabla15[[#This Row],[Pagado]]</f>
        <v>0</v>
      </c>
      <c r="I1809" s="275" t="s">
        <v>15214</v>
      </c>
    </row>
    <row r="1810" spans="1:9" x14ac:dyDescent="0.25">
      <c r="A1810" s="420">
        <v>43022</v>
      </c>
      <c r="B1810" s="302" t="s">
        <v>33484</v>
      </c>
      <c r="C1810">
        <v>131373</v>
      </c>
      <c r="D1810" s="275" t="s">
        <v>16108</v>
      </c>
      <c r="E1810" s="301">
        <v>140.4</v>
      </c>
      <c r="F1810" s="303">
        <v>43022</v>
      </c>
      <c r="G1810" s="301">
        <v>140.4</v>
      </c>
      <c r="H1810" s="301">
        <f>Tabla15[[#This Row],[Importe]]-Tabla15[[#This Row],[Pagado]]</f>
        <v>0</v>
      </c>
      <c r="I1810" s="275" t="s">
        <v>15214</v>
      </c>
    </row>
    <row r="1811" spans="1:9" x14ac:dyDescent="0.25">
      <c r="A1811" s="420">
        <v>43022</v>
      </c>
      <c r="B1811" s="302" t="s">
        <v>33485</v>
      </c>
      <c r="C1811">
        <v>131374</v>
      </c>
      <c r="D1811" s="275" t="s">
        <v>15315</v>
      </c>
      <c r="E1811" s="301">
        <v>29779.52</v>
      </c>
      <c r="F1811" s="303">
        <v>43022</v>
      </c>
      <c r="G1811" s="301">
        <v>29779.52</v>
      </c>
      <c r="H1811" s="301">
        <f>Tabla15[[#This Row],[Importe]]-Tabla15[[#This Row],[Pagado]]</f>
        <v>0</v>
      </c>
      <c r="I1811" s="275" t="s">
        <v>15214</v>
      </c>
    </row>
    <row r="1812" spans="1:9" x14ac:dyDescent="0.25">
      <c r="A1812" s="420">
        <v>43022</v>
      </c>
      <c r="B1812" s="302" t="s">
        <v>33486</v>
      </c>
      <c r="C1812">
        <v>131375</v>
      </c>
      <c r="D1812" s="275" t="s">
        <v>15537</v>
      </c>
      <c r="E1812" s="301">
        <v>28882.400000000001</v>
      </c>
      <c r="F1812" s="303">
        <v>43024</v>
      </c>
      <c r="G1812" s="301">
        <v>28882.400000000001</v>
      </c>
      <c r="H1812" s="301">
        <f>Tabla15[[#This Row],[Importe]]-Tabla15[[#This Row],[Pagado]]</f>
        <v>0</v>
      </c>
      <c r="I1812" s="275" t="s">
        <v>15214</v>
      </c>
    </row>
    <row r="1813" spans="1:9" x14ac:dyDescent="0.25">
      <c r="A1813" s="420">
        <v>43022</v>
      </c>
      <c r="B1813" s="302" t="s">
        <v>33487</v>
      </c>
      <c r="C1813">
        <v>131376</v>
      </c>
      <c r="D1813" s="275" t="s">
        <v>15539</v>
      </c>
      <c r="E1813" s="301">
        <v>15436.8</v>
      </c>
      <c r="F1813" s="303">
        <v>43024</v>
      </c>
      <c r="G1813" s="301">
        <v>15436.8</v>
      </c>
      <c r="H1813" s="301">
        <f>Tabla15[[#This Row],[Importe]]-Tabla15[[#This Row],[Pagado]]</f>
        <v>0</v>
      </c>
      <c r="I1813" s="275" t="s">
        <v>15214</v>
      </c>
    </row>
    <row r="1814" spans="1:9" x14ac:dyDescent="0.25">
      <c r="A1814" s="420">
        <v>43022</v>
      </c>
      <c r="B1814" s="302" t="s">
        <v>33488</v>
      </c>
      <c r="C1814">
        <v>131377</v>
      </c>
      <c r="D1814" s="275" t="s">
        <v>15555</v>
      </c>
      <c r="E1814" s="301">
        <v>37377.56</v>
      </c>
      <c r="F1814" s="303">
        <v>43024</v>
      </c>
      <c r="G1814" s="301">
        <v>37377.56</v>
      </c>
      <c r="H1814" s="301">
        <f>Tabla15[[#This Row],[Importe]]-Tabla15[[#This Row],[Pagado]]</f>
        <v>0</v>
      </c>
      <c r="I1814" s="275" t="s">
        <v>15214</v>
      </c>
    </row>
    <row r="1815" spans="1:9" x14ac:dyDescent="0.25">
      <c r="A1815" s="420">
        <v>43022</v>
      </c>
      <c r="B1815" s="302" t="s">
        <v>33489</v>
      </c>
      <c r="C1815">
        <v>131378</v>
      </c>
      <c r="D1815" s="275" t="s">
        <v>15559</v>
      </c>
      <c r="E1815" s="301">
        <v>10189.549999999999</v>
      </c>
      <c r="F1815" s="303">
        <v>43024</v>
      </c>
      <c r="G1815" s="301">
        <v>10189.549999999999</v>
      </c>
      <c r="H1815" s="301">
        <f>Tabla15[[#This Row],[Importe]]-Tabla15[[#This Row],[Pagado]]</f>
        <v>0</v>
      </c>
      <c r="I1815" s="275" t="s">
        <v>15214</v>
      </c>
    </row>
    <row r="1816" spans="1:9" x14ac:dyDescent="0.25">
      <c r="A1816" s="420">
        <v>43022</v>
      </c>
      <c r="B1816" s="302" t="s">
        <v>33490</v>
      </c>
      <c r="C1816">
        <v>131379</v>
      </c>
      <c r="D1816" s="275" t="s">
        <v>15557</v>
      </c>
      <c r="E1816" s="301">
        <v>12642</v>
      </c>
      <c r="F1816" s="303">
        <v>43024</v>
      </c>
      <c r="G1816" s="301">
        <v>12642</v>
      </c>
      <c r="H1816" s="301">
        <f>Tabla15[[#This Row],[Importe]]-Tabla15[[#This Row],[Pagado]]</f>
        <v>0</v>
      </c>
      <c r="I1816" s="275" t="s">
        <v>15214</v>
      </c>
    </row>
    <row r="1817" spans="1:9" x14ac:dyDescent="0.25">
      <c r="A1817" s="420">
        <v>43022</v>
      </c>
      <c r="B1817" s="302" t="s">
        <v>33491</v>
      </c>
      <c r="C1817">
        <v>131380</v>
      </c>
      <c r="D1817" s="275" t="s">
        <v>17708</v>
      </c>
      <c r="E1817" s="301">
        <v>1010.7</v>
      </c>
      <c r="F1817" s="303">
        <v>43024</v>
      </c>
      <c r="G1817" s="301">
        <v>1010.7</v>
      </c>
      <c r="H1817" s="301">
        <f>Tabla15[[#This Row],[Importe]]-Tabla15[[#This Row],[Pagado]]</f>
        <v>0</v>
      </c>
      <c r="I1817" s="275" t="s">
        <v>15214</v>
      </c>
    </row>
    <row r="1818" spans="1:9" x14ac:dyDescent="0.25">
      <c r="A1818" s="420">
        <v>43022</v>
      </c>
      <c r="B1818" s="302" t="s">
        <v>33492</v>
      </c>
      <c r="C1818">
        <v>131381</v>
      </c>
      <c r="D1818" s="275" t="s">
        <v>15276</v>
      </c>
      <c r="E1818" s="301">
        <v>5280</v>
      </c>
      <c r="F1818" s="303">
        <v>43023</v>
      </c>
      <c r="G1818" s="301">
        <v>5280</v>
      </c>
      <c r="H1818" s="301">
        <f>Tabla15[[#This Row],[Importe]]-Tabla15[[#This Row],[Pagado]]</f>
        <v>0</v>
      </c>
      <c r="I1818" s="275" t="s">
        <v>15214</v>
      </c>
    </row>
    <row r="1819" spans="1:9" x14ac:dyDescent="0.25">
      <c r="A1819" s="420">
        <v>43022</v>
      </c>
      <c r="B1819" s="302" t="s">
        <v>33493</v>
      </c>
      <c r="C1819">
        <v>131382</v>
      </c>
      <c r="D1819" s="275" t="s">
        <v>15566</v>
      </c>
      <c r="E1819" s="301">
        <v>272.8</v>
      </c>
      <c r="F1819" s="303">
        <v>43022</v>
      </c>
      <c r="G1819" s="301">
        <v>272.8</v>
      </c>
      <c r="H1819" s="301">
        <f>Tabla15[[#This Row],[Importe]]-Tabla15[[#This Row],[Pagado]]</f>
        <v>0</v>
      </c>
      <c r="I1819" s="275" t="s">
        <v>15214</v>
      </c>
    </row>
    <row r="1820" spans="1:9" x14ac:dyDescent="0.25">
      <c r="A1820" s="420">
        <v>43022</v>
      </c>
      <c r="B1820" s="302" t="s">
        <v>33494</v>
      </c>
      <c r="C1820">
        <v>131383</v>
      </c>
      <c r="D1820" s="275" t="s">
        <v>15987</v>
      </c>
      <c r="E1820" s="301">
        <v>660</v>
      </c>
      <c r="F1820" s="303">
        <v>43022</v>
      </c>
      <c r="G1820" s="301">
        <v>660</v>
      </c>
      <c r="H1820" s="301">
        <f>Tabla15[[#This Row],[Importe]]-Tabla15[[#This Row],[Pagado]]</f>
        <v>0</v>
      </c>
      <c r="I1820" s="275" t="s">
        <v>15214</v>
      </c>
    </row>
    <row r="1821" spans="1:9" x14ac:dyDescent="0.25">
      <c r="A1821" s="420">
        <v>43022</v>
      </c>
      <c r="B1821" s="302" t="s">
        <v>33495</v>
      </c>
      <c r="C1821">
        <v>131384</v>
      </c>
      <c r="D1821" s="275" t="s">
        <v>23937</v>
      </c>
      <c r="E1821" s="301">
        <v>3222</v>
      </c>
      <c r="F1821" s="303">
        <v>43023</v>
      </c>
      <c r="G1821" s="301">
        <v>3222</v>
      </c>
      <c r="H1821" s="301">
        <f>Tabla15[[#This Row],[Importe]]-Tabla15[[#This Row],[Pagado]]</f>
        <v>0</v>
      </c>
      <c r="I1821" s="275" t="s">
        <v>15214</v>
      </c>
    </row>
    <row r="1822" spans="1:9" x14ac:dyDescent="0.25">
      <c r="A1822" s="420">
        <v>43022</v>
      </c>
      <c r="B1822" s="302" t="s">
        <v>33496</v>
      </c>
      <c r="C1822">
        <v>131385</v>
      </c>
      <c r="D1822" s="275" t="s">
        <v>16288</v>
      </c>
      <c r="E1822" s="301">
        <v>952</v>
      </c>
      <c r="F1822" s="303">
        <v>43023</v>
      </c>
      <c r="G1822" s="301">
        <v>952</v>
      </c>
      <c r="H1822" s="301">
        <f>Tabla15[[#This Row],[Importe]]-Tabla15[[#This Row],[Pagado]]</f>
        <v>0</v>
      </c>
      <c r="I1822" s="275" t="s">
        <v>15214</v>
      </c>
    </row>
    <row r="1823" spans="1:9" x14ac:dyDescent="0.25">
      <c r="A1823" s="420">
        <v>43022</v>
      </c>
      <c r="B1823" s="302" t="s">
        <v>33497</v>
      </c>
      <c r="C1823">
        <v>131386</v>
      </c>
      <c r="D1823" s="275" t="s">
        <v>15417</v>
      </c>
      <c r="E1823" s="301">
        <v>4278.5</v>
      </c>
      <c r="F1823" s="303">
        <v>43023</v>
      </c>
      <c r="G1823" s="301">
        <v>4278.5</v>
      </c>
      <c r="H1823" s="301">
        <f>Tabla15[[#This Row],[Importe]]-Tabla15[[#This Row],[Pagado]]</f>
        <v>0</v>
      </c>
      <c r="I1823" s="275" t="s">
        <v>15214</v>
      </c>
    </row>
    <row r="1824" spans="1:9" x14ac:dyDescent="0.25">
      <c r="A1824" s="420">
        <v>43022</v>
      </c>
      <c r="B1824" s="302" t="s">
        <v>33498</v>
      </c>
      <c r="C1824">
        <v>131387</v>
      </c>
      <c r="D1824" s="275" t="s">
        <v>16277</v>
      </c>
      <c r="E1824" s="301">
        <v>2603.4</v>
      </c>
      <c r="F1824" s="303">
        <v>43023</v>
      </c>
      <c r="G1824" s="301">
        <v>2603.4</v>
      </c>
      <c r="H1824" s="301">
        <f>Tabla15[[#This Row],[Importe]]-Tabla15[[#This Row],[Pagado]]</f>
        <v>0</v>
      </c>
      <c r="I1824" s="275" t="s">
        <v>15214</v>
      </c>
    </row>
    <row r="1825" spans="1:9" x14ac:dyDescent="0.25">
      <c r="A1825" s="420">
        <v>43022</v>
      </c>
      <c r="B1825" s="302" t="s">
        <v>33499</v>
      </c>
      <c r="C1825">
        <v>131388</v>
      </c>
      <c r="D1825" s="275" t="s">
        <v>15782</v>
      </c>
      <c r="E1825" s="301">
        <v>1365</v>
      </c>
      <c r="F1825" s="303">
        <v>43023</v>
      </c>
      <c r="G1825" s="301">
        <v>1365</v>
      </c>
      <c r="H1825" s="301">
        <f>Tabla15[[#This Row],[Importe]]-Tabla15[[#This Row],[Pagado]]</f>
        <v>0</v>
      </c>
      <c r="I1825" s="275" t="s">
        <v>15214</v>
      </c>
    </row>
    <row r="1826" spans="1:9" x14ac:dyDescent="0.25">
      <c r="A1826" s="420">
        <v>43022</v>
      </c>
      <c r="B1826" s="302" t="s">
        <v>33500</v>
      </c>
      <c r="C1826">
        <v>131389</v>
      </c>
      <c r="D1826" s="275" t="s">
        <v>15284</v>
      </c>
      <c r="E1826" s="301">
        <v>580.79999999999995</v>
      </c>
      <c r="F1826" s="303">
        <v>43022</v>
      </c>
      <c r="G1826" s="301">
        <v>580.79999999999995</v>
      </c>
      <c r="H1826" s="301">
        <f>Tabla15[[#This Row],[Importe]]-Tabla15[[#This Row],[Pagado]]</f>
        <v>0</v>
      </c>
      <c r="I1826" s="275" t="s">
        <v>15214</v>
      </c>
    </row>
    <row r="1827" spans="1:9" x14ac:dyDescent="0.25">
      <c r="A1827" s="420">
        <v>43022</v>
      </c>
      <c r="B1827" s="302" t="s">
        <v>33501</v>
      </c>
      <c r="C1827">
        <v>131390</v>
      </c>
      <c r="D1827" s="275" t="s">
        <v>15286</v>
      </c>
      <c r="E1827" s="301">
        <v>4502.3999999999996</v>
      </c>
      <c r="F1827" s="303">
        <v>43023</v>
      </c>
      <c r="G1827" s="301">
        <v>4502.3999999999996</v>
      </c>
      <c r="H1827" s="301">
        <f>Tabla15[[#This Row],[Importe]]-Tabla15[[#This Row],[Pagado]]</f>
        <v>0</v>
      </c>
      <c r="I1827" s="275" t="s">
        <v>15214</v>
      </c>
    </row>
    <row r="1828" spans="1:9" x14ac:dyDescent="0.25">
      <c r="A1828" s="420">
        <v>43022</v>
      </c>
      <c r="B1828" s="302" t="s">
        <v>33502</v>
      </c>
      <c r="C1828">
        <v>131391</v>
      </c>
      <c r="D1828" s="275" t="s">
        <v>15315</v>
      </c>
      <c r="E1828" s="301">
        <v>28320</v>
      </c>
      <c r="F1828" s="303">
        <v>43022</v>
      </c>
      <c r="G1828" s="301">
        <v>28320</v>
      </c>
      <c r="H1828" s="301">
        <f>Tabla15[[#This Row],[Importe]]-Tabla15[[#This Row],[Pagado]]</f>
        <v>0</v>
      </c>
      <c r="I1828" s="275" t="s">
        <v>15214</v>
      </c>
    </row>
    <row r="1829" spans="1:9" x14ac:dyDescent="0.25">
      <c r="A1829" s="420">
        <v>43022</v>
      </c>
      <c r="B1829" s="302" t="s">
        <v>33503</v>
      </c>
      <c r="C1829">
        <v>131392</v>
      </c>
      <c r="D1829" s="275" t="s">
        <v>15213</v>
      </c>
      <c r="E1829" s="301">
        <v>9337.6</v>
      </c>
      <c r="F1829" s="303">
        <v>43023</v>
      </c>
      <c r="G1829" s="301">
        <v>9337.6</v>
      </c>
      <c r="H1829" s="301">
        <f>Tabla15[[#This Row],[Importe]]-Tabla15[[#This Row],[Pagado]]</f>
        <v>0</v>
      </c>
      <c r="I1829" s="275" t="s">
        <v>15214</v>
      </c>
    </row>
    <row r="1830" spans="1:9" x14ac:dyDescent="0.25">
      <c r="A1830" s="420">
        <v>43022</v>
      </c>
      <c r="B1830" s="302" t="s">
        <v>33504</v>
      </c>
      <c r="C1830">
        <v>131393</v>
      </c>
      <c r="D1830" s="275" t="s">
        <v>15920</v>
      </c>
      <c r="E1830" s="301">
        <v>8496.2000000000007</v>
      </c>
      <c r="F1830" s="303">
        <v>43029</v>
      </c>
      <c r="G1830" s="301">
        <v>8496.2000000000007</v>
      </c>
      <c r="H1830" s="301">
        <f>Tabla15[[#This Row],[Importe]]-Tabla15[[#This Row],[Pagado]]</f>
        <v>0</v>
      </c>
      <c r="I1830" s="275" t="s">
        <v>15214</v>
      </c>
    </row>
    <row r="1831" spans="1:9" x14ac:dyDescent="0.25">
      <c r="A1831" s="420">
        <v>43022</v>
      </c>
      <c r="B1831" s="302" t="s">
        <v>33505</v>
      </c>
      <c r="C1831">
        <v>131394</v>
      </c>
      <c r="D1831" s="275" t="s">
        <v>5873</v>
      </c>
      <c r="E1831" s="301">
        <v>31472.97</v>
      </c>
      <c r="F1831" s="303">
        <v>43023</v>
      </c>
      <c r="G1831" s="301">
        <v>31472.97</v>
      </c>
      <c r="H1831" s="301">
        <f>Tabla15[[#This Row],[Importe]]-Tabla15[[#This Row],[Pagado]]</f>
        <v>0</v>
      </c>
      <c r="I1831" s="275" t="s">
        <v>15214</v>
      </c>
    </row>
    <row r="1832" spans="1:9" x14ac:dyDescent="0.25">
      <c r="A1832" s="420">
        <v>43022</v>
      </c>
      <c r="B1832" s="302" t="s">
        <v>33506</v>
      </c>
      <c r="C1832">
        <v>131395</v>
      </c>
      <c r="D1832" s="275" t="s">
        <v>15378</v>
      </c>
      <c r="E1832" s="301">
        <v>2574.6</v>
      </c>
      <c r="F1832" s="303">
        <v>43022</v>
      </c>
      <c r="G1832" s="301">
        <v>2574.6</v>
      </c>
      <c r="H1832" s="301">
        <f>Tabla15[[#This Row],[Importe]]-Tabla15[[#This Row],[Pagado]]</f>
        <v>0</v>
      </c>
      <c r="I1832" s="275" t="s">
        <v>15214</v>
      </c>
    </row>
    <row r="1833" spans="1:9" x14ac:dyDescent="0.25">
      <c r="A1833" s="420">
        <v>43022</v>
      </c>
      <c r="B1833" s="302" t="s">
        <v>33507</v>
      </c>
      <c r="C1833">
        <v>131396</v>
      </c>
      <c r="D1833" s="275" t="s">
        <v>15296</v>
      </c>
      <c r="E1833" s="301">
        <v>5017.6000000000004</v>
      </c>
      <c r="F1833" s="303">
        <v>43056</v>
      </c>
      <c r="G1833" s="301">
        <v>5017.6000000000004</v>
      </c>
      <c r="H1833" s="301">
        <f>Tabla15[[#This Row],[Importe]]-Tabla15[[#This Row],[Pagado]]</f>
        <v>0</v>
      </c>
      <c r="I1833" s="275" t="s">
        <v>15214</v>
      </c>
    </row>
    <row r="1834" spans="1:9" x14ac:dyDescent="0.25">
      <c r="A1834" s="420">
        <v>43022</v>
      </c>
      <c r="B1834" s="302" t="s">
        <v>33508</v>
      </c>
      <c r="C1834">
        <v>131397</v>
      </c>
      <c r="D1834" s="275" t="s">
        <v>15322</v>
      </c>
      <c r="E1834" s="301">
        <v>4641.3999999999996</v>
      </c>
      <c r="F1834" s="303">
        <v>43028</v>
      </c>
      <c r="G1834" s="301">
        <v>4641.3999999999996</v>
      </c>
      <c r="H1834" s="301">
        <f>Tabla15[[#This Row],[Importe]]-Tabla15[[#This Row],[Pagado]]</f>
        <v>0</v>
      </c>
      <c r="I1834" s="275" t="s">
        <v>15214</v>
      </c>
    </row>
    <row r="1835" spans="1:9" x14ac:dyDescent="0.25">
      <c r="A1835" s="420">
        <v>43022</v>
      </c>
      <c r="B1835" s="302" t="s">
        <v>33509</v>
      </c>
      <c r="C1835">
        <v>131398</v>
      </c>
      <c r="D1835" s="275" t="s">
        <v>19756</v>
      </c>
      <c r="E1835" s="301">
        <v>5571.7</v>
      </c>
      <c r="F1835" s="303">
        <v>43022</v>
      </c>
      <c r="G1835" s="301">
        <v>5571.7</v>
      </c>
      <c r="H1835" s="301">
        <f>Tabla15[[#This Row],[Importe]]-Tabla15[[#This Row],[Pagado]]</f>
        <v>0</v>
      </c>
      <c r="I1835" s="275" t="s">
        <v>15214</v>
      </c>
    </row>
    <row r="1836" spans="1:9" x14ac:dyDescent="0.25">
      <c r="A1836" s="420">
        <v>43022</v>
      </c>
      <c r="B1836" s="302" t="s">
        <v>33510</v>
      </c>
      <c r="C1836">
        <v>131399</v>
      </c>
      <c r="D1836" s="275" t="s">
        <v>16286</v>
      </c>
      <c r="E1836" s="301">
        <v>4420.6000000000004</v>
      </c>
      <c r="F1836" s="303">
        <v>43022</v>
      </c>
      <c r="G1836" s="301">
        <v>4420.6000000000004</v>
      </c>
      <c r="H1836" s="301">
        <f>Tabla15[[#This Row],[Importe]]-Tabla15[[#This Row],[Pagado]]</f>
        <v>0</v>
      </c>
      <c r="I1836" s="275" t="s">
        <v>15214</v>
      </c>
    </row>
    <row r="1837" spans="1:9" x14ac:dyDescent="0.25">
      <c r="A1837" s="420">
        <v>43022</v>
      </c>
      <c r="B1837" s="302" t="s">
        <v>33511</v>
      </c>
      <c r="C1837">
        <v>131400</v>
      </c>
      <c r="D1837" s="275" t="s">
        <v>15378</v>
      </c>
      <c r="E1837" s="301">
        <v>413.4</v>
      </c>
      <c r="F1837" s="303">
        <v>43022</v>
      </c>
      <c r="G1837" s="301">
        <v>413.4</v>
      </c>
      <c r="H1837" s="301">
        <f>Tabla15[[#This Row],[Importe]]-Tabla15[[#This Row],[Pagado]]</f>
        <v>0</v>
      </c>
      <c r="I1837" s="275" t="s">
        <v>15214</v>
      </c>
    </row>
    <row r="1838" spans="1:9" x14ac:dyDescent="0.25">
      <c r="A1838" s="420">
        <v>43022</v>
      </c>
      <c r="B1838" s="302" t="s">
        <v>33512</v>
      </c>
      <c r="C1838">
        <v>131401</v>
      </c>
      <c r="D1838" s="275" t="s">
        <v>15246</v>
      </c>
      <c r="E1838" s="301">
        <v>236214</v>
      </c>
      <c r="F1838" s="303">
        <v>43026</v>
      </c>
      <c r="G1838" s="301">
        <v>236214</v>
      </c>
      <c r="H1838" s="301">
        <f>Tabla15[[#This Row],[Importe]]-Tabla15[[#This Row],[Pagado]]</f>
        <v>0</v>
      </c>
      <c r="I1838" s="275" t="s">
        <v>15214</v>
      </c>
    </row>
    <row r="1839" spans="1:9" x14ac:dyDescent="0.25">
      <c r="A1839" s="420">
        <v>43022</v>
      </c>
      <c r="B1839" s="302" t="s">
        <v>33513</v>
      </c>
      <c r="C1839">
        <v>131402</v>
      </c>
      <c r="D1839" s="275" t="s">
        <v>15423</v>
      </c>
      <c r="E1839" s="301">
        <v>463.2</v>
      </c>
      <c r="F1839" s="303">
        <v>43022</v>
      </c>
      <c r="G1839" s="301">
        <v>463.2</v>
      </c>
      <c r="H1839" s="301">
        <f>Tabla15[[#This Row],[Importe]]-Tabla15[[#This Row],[Pagado]]</f>
        <v>0</v>
      </c>
      <c r="I1839" s="275" t="s">
        <v>15214</v>
      </c>
    </row>
    <row r="1840" spans="1:9" x14ac:dyDescent="0.25">
      <c r="A1840" s="420">
        <v>43022</v>
      </c>
      <c r="B1840" s="302" t="s">
        <v>33514</v>
      </c>
      <c r="C1840">
        <v>131403</v>
      </c>
      <c r="D1840" s="275" t="s">
        <v>15553</v>
      </c>
      <c r="E1840" s="301">
        <v>30162</v>
      </c>
      <c r="F1840" s="303">
        <v>43023</v>
      </c>
      <c r="G1840" s="301">
        <v>30162</v>
      </c>
      <c r="H1840" s="301">
        <f>Tabla15[[#This Row],[Importe]]-Tabla15[[#This Row],[Pagado]]</f>
        <v>0</v>
      </c>
      <c r="I1840" s="275" t="s">
        <v>15214</v>
      </c>
    </row>
    <row r="1841" spans="1:9" x14ac:dyDescent="0.25">
      <c r="A1841" s="420">
        <v>43022</v>
      </c>
      <c r="B1841" s="302" t="s">
        <v>33515</v>
      </c>
      <c r="C1841">
        <v>131404</v>
      </c>
      <c r="D1841" s="275" t="s">
        <v>5828</v>
      </c>
      <c r="E1841" s="301">
        <v>8751.4</v>
      </c>
      <c r="F1841" s="303">
        <v>43023</v>
      </c>
      <c r="G1841" s="301">
        <v>8751.4</v>
      </c>
      <c r="H1841" s="301">
        <f>Tabla15[[#This Row],[Importe]]-Tabla15[[#This Row],[Pagado]]</f>
        <v>0</v>
      </c>
      <c r="I1841" s="275" t="s">
        <v>15214</v>
      </c>
    </row>
    <row r="1842" spans="1:9" x14ac:dyDescent="0.25">
      <c r="A1842" s="420">
        <v>43022</v>
      </c>
      <c r="B1842" s="302" t="s">
        <v>33516</v>
      </c>
      <c r="C1842">
        <v>131405</v>
      </c>
      <c r="D1842" s="275" t="s">
        <v>5883</v>
      </c>
      <c r="E1842" s="301">
        <v>2948.04</v>
      </c>
      <c r="F1842" s="303">
        <v>43039</v>
      </c>
      <c r="G1842" s="301">
        <v>2948.04</v>
      </c>
      <c r="H1842" s="301">
        <f>Tabla15[[#This Row],[Importe]]-Tabla15[[#This Row],[Pagado]]</f>
        <v>0</v>
      </c>
      <c r="I1842" s="275" t="s">
        <v>15214</v>
      </c>
    </row>
    <row r="1843" spans="1:9" x14ac:dyDescent="0.25">
      <c r="A1843" s="420">
        <v>43022</v>
      </c>
      <c r="B1843" s="302" t="s">
        <v>33517</v>
      </c>
      <c r="C1843">
        <v>131406</v>
      </c>
      <c r="D1843" s="275" t="s">
        <v>16023</v>
      </c>
      <c r="E1843" s="301">
        <v>1740.5</v>
      </c>
      <c r="F1843" s="303">
        <v>43022</v>
      </c>
      <c r="G1843" s="301">
        <v>1740.5</v>
      </c>
      <c r="H1843" s="301">
        <f>Tabla15[[#This Row],[Importe]]-Tabla15[[#This Row],[Pagado]]</f>
        <v>0</v>
      </c>
      <c r="I1843" s="275" t="s">
        <v>15214</v>
      </c>
    </row>
    <row r="1844" spans="1:9" x14ac:dyDescent="0.25">
      <c r="A1844" s="420">
        <v>43022</v>
      </c>
      <c r="B1844" s="302" t="s">
        <v>33518</v>
      </c>
      <c r="C1844">
        <v>131407</v>
      </c>
      <c r="D1844" s="275" t="s">
        <v>15223</v>
      </c>
      <c r="E1844" s="301">
        <v>21951.4</v>
      </c>
      <c r="F1844" s="303">
        <v>43045</v>
      </c>
      <c r="G1844" s="301">
        <v>21951.4</v>
      </c>
      <c r="H1844" s="301">
        <f>Tabla15[[#This Row],[Importe]]-Tabla15[[#This Row],[Pagado]]</f>
        <v>0</v>
      </c>
      <c r="I1844" s="275" t="s">
        <v>15214</v>
      </c>
    </row>
    <row r="1845" spans="1:9" x14ac:dyDescent="0.25">
      <c r="A1845" s="420">
        <v>43022</v>
      </c>
      <c r="B1845" s="302" t="s">
        <v>33519</v>
      </c>
      <c r="C1845">
        <v>131408</v>
      </c>
      <c r="D1845" s="275" t="s">
        <v>15562</v>
      </c>
      <c r="E1845" s="301">
        <v>3559.4</v>
      </c>
      <c r="F1845" s="303">
        <v>43022</v>
      </c>
      <c r="G1845" s="301">
        <v>3559.4</v>
      </c>
      <c r="H1845" s="301">
        <f>Tabla15[[#This Row],[Importe]]-Tabla15[[#This Row],[Pagado]]</f>
        <v>0</v>
      </c>
      <c r="I1845" s="275" t="s">
        <v>15214</v>
      </c>
    </row>
    <row r="1846" spans="1:9" x14ac:dyDescent="0.25">
      <c r="A1846" s="420">
        <v>43022</v>
      </c>
      <c r="B1846" s="302" t="s">
        <v>33520</v>
      </c>
      <c r="C1846">
        <v>131409</v>
      </c>
      <c r="D1846" s="275" t="s">
        <v>16093</v>
      </c>
      <c r="E1846" s="301">
        <v>655.6</v>
      </c>
      <c r="F1846" s="303">
        <v>43022</v>
      </c>
      <c r="G1846" s="301">
        <v>655.6</v>
      </c>
      <c r="H1846" s="301">
        <f>Tabla15[[#This Row],[Importe]]-Tabla15[[#This Row],[Pagado]]</f>
        <v>0</v>
      </c>
      <c r="I1846" s="275" t="s">
        <v>15214</v>
      </c>
    </row>
    <row r="1847" spans="1:9" x14ac:dyDescent="0.25">
      <c r="A1847" s="420">
        <v>43022</v>
      </c>
      <c r="B1847" s="302" t="s">
        <v>33521</v>
      </c>
      <c r="C1847">
        <v>131410</v>
      </c>
      <c r="D1847" s="275" t="s">
        <v>15789</v>
      </c>
      <c r="E1847" s="301">
        <v>28987.200000000001</v>
      </c>
      <c r="F1847" s="303">
        <v>43029</v>
      </c>
      <c r="G1847" s="301">
        <v>28987.200000000001</v>
      </c>
      <c r="H1847" s="301">
        <f>Tabla15[[#This Row],[Importe]]-Tabla15[[#This Row],[Pagado]]</f>
        <v>0</v>
      </c>
      <c r="I1847" s="275" t="s">
        <v>15214</v>
      </c>
    </row>
    <row r="1848" spans="1:9" x14ac:dyDescent="0.25">
      <c r="A1848" s="420">
        <v>43022</v>
      </c>
      <c r="B1848" s="302" t="s">
        <v>33522</v>
      </c>
      <c r="C1848">
        <v>131411</v>
      </c>
      <c r="D1848" s="275" t="s">
        <v>15267</v>
      </c>
      <c r="E1848" s="301">
        <v>6805</v>
      </c>
      <c r="F1848" s="303">
        <v>43023</v>
      </c>
      <c r="G1848" s="301">
        <v>6805</v>
      </c>
      <c r="H1848" s="301">
        <f>Tabla15[[#This Row],[Importe]]-Tabla15[[#This Row],[Pagado]]</f>
        <v>0</v>
      </c>
      <c r="I1848" s="275" t="s">
        <v>15214</v>
      </c>
    </row>
    <row r="1849" spans="1:9" ht="15.75" x14ac:dyDescent="0.25">
      <c r="A1849" s="420">
        <v>43022</v>
      </c>
      <c r="B1849" s="302" t="s">
        <v>33523</v>
      </c>
      <c r="C1849">
        <v>131412</v>
      </c>
      <c r="D1849" s="248" t="s">
        <v>95</v>
      </c>
      <c r="E1849" s="301">
        <v>0</v>
      </c>
      <c r="F1849" s="243" t="s">
        <v>95</v>
      </c>
      <c r="G1849" s="301">
        <v>0</v>
      </c>
      <c r="H1849" s="301">
        <f>Tabla15[[#This Row],[Importe]]-Tabla15[[#This Row],[Pagado]]</f>
        <v>0</v>
      </c>
      <c r="I1849" s="275" t="s">
        <v>95</v>
      </c>
    </row>
    <row r="1850" spans="1:9" ht="30" x14ac:dyDescent="0.25">
      <c r="A1850" s="420">
        <v>43022</v>
      </c>
      <c r="B1850" s="302" t="s">
        <v>33524</v>
      </c>
      <c r="C1850">
        <v>131413</v>
      </c>
      <c r="D1850" s="275" t="s">
        <v>15624</v>
      </c>
      <c r="E1850" s="301">
        <v>28934.400000000001</v>
      </c>
      <c r="F1850" s="303" t="s">
        <v>33525</v>
      </c>
      <c r="G1850" s="305">
        <f>15000+13934.4</f>
        <v>28934.400000000001</v>
      </c>
      <c r="H1850" s="305">
        <f>Tabla15[[#This Row],[Importe]]-Tabla15[[#This Row],[Pagado]]</f>
        <v>0</v>
      </c>
      <c r="I1850" s="275" t="s">
        <v>15214</v>
      </c>
    </row>
    <row r="1851" spans="1:9" x14ac:dyDescent="0.25">
      <c r="A1851" s="420">
        <v>43022</v>
      </c>
      <c r="B1851" s="302" t="s">
        <v>33526</v>
      </c>
      <c r="C1851">
        <v>131414</v>
      </c>
      <c r="D1851" s="275" t="s">
        <v>15419</v>
      </c>
      <c r="E1851" s="301">
        <v>18965</v>
      </c>
      <c r="F1851" s="303">
        <v>43029</v>
      </c>
      <c r="G1851" s="301">
        <v>18965</v>
      </c>
      <c r="H1851" s="301">
        <f>Tabla15[[#This Row],[Importe]]-Tabla15[[#This Row],[Pagado]]</f>
        <v>0</v>
      </c>
      <c r="I1851" s="275" t="s">
        <v>15214</v>
      </c>
    </row>
    <row r="1852" spans="1:9" ht="15.75" x14ac:dyDescent="0.25">
      <c r="A1852" s="420">
        <v>43022</v>
      </c>
      <c r="B1852" s="302" t="s">
        <v>33527</v>
      </c>
      <c r="C1852">
        <v>131415</v>
      </c>
      <c r="D1852" s="248" t="s">
        <v>95</v>
      </c>
      <c r="E1852" s="301">
        <v>0</v>
      </c>
      <c r="F1852" s="243" t="s">
        <v>95</v>
      </c>
      <c r="G1852" s="301">
        <v>0</v>
      </c>
      <c r="H1852" s="301">
        <f>Tabla15[[#This Row],[Importe]]-Tabla15[[#This Row],[Pagado]]</f>
        <v>0</v>
      </c>
      <c r="I1852" s="282" t="s">
        <v>31885</v>
      </c>
    </row>
    <row r="1853" spans="1:9" x14ac:dyDescent="0.25">
      <c r="A1853" s="420">
        <v>43022</v>
      </c>
      <c r="B1853" s="302" t="s">
        <v>33528</v>
      </c>
      <c r="C1853">
        <v>131416</v>
      </c>
      <c r="D1853" s="275" t="s">
        <v>15328</v>
      </c>
      <c r="E1853" s="301">
        <v>29895.4</v>
      </c>
      <c r="F1853" s="303">
        <v>43031</v>
      </c>
      <c r="G1853" s="301">
        <v>29895.4</v>
      </c>
      <c r="H1853" s="301">
        <f>Tabla15[[#This Row],[Importe]]-Tabla15[[#This Row],[Pagado]]</f>
        <v>0</v>
      </c>
      <c r="I1853" s="275" t="s">
        <v>15214</v>
      </c>
    </row>
    <row r="1854" spans="1:9" x14ac:dyDescent="0.25">
      <c r="A1854" s="420">
        <v>43022</v>
      </c>
      <c r="B1854" s="302" t="s">
        <v>33529</v>
      </c>
      <c r="C1854">
        <v>131417</v>
      </c>
      <c r="D1854" s="275" t="s">
        <v>15328</v>
      </c>
      <c r="E1854" s="301">
        <v>7677.4</v>
      </c>
      <c r="F1854" s="303">
        <v>43031</v>
      </c>
      <c r="G1854" s="301">
        <v>7677.4</v>
      </c>
      <c r="H1854" s="301">
        <f>Tabla15[[#This Row],[Importe]]-Tabla15[[#This Row],[Pagado]]</f>
        <v>0</v>
      </c>
      <c r="I1854" s="275" t="s">
        <v>15214</v>
      </c>
    </row>
    <row r="1855" spans="1:9" x14ac:dyDescent="0.25">
      <c r="A1855" s="420">
        <v>43022</v>
      </c>
      <c r="B1855" s="302" t="s">
        <v>33530</v>
      </c>
      <c r="C1855">
        <v>131418</v>
      </c>
      <c r="D1855" s="275" t="s">
        <v>15681</v>
      </c>
      <c r="E1855" s="301">
        <v>2447.1999999999998</v>
      </c>
      <c r="F1855" s="303">
        <v>43022</v>
      </c>
      <c r="G1855" s="301">
        <v>2447.1999999999998</v>
      </c>
      <c r="H1855" s="301">
        <f>Tabla15[[#This Row],[Importe]]-Tabla15[[#This Row],[Pagado]]</f>
        <v>0</v>
      </c>
      <c r="I1855" s="275" t="s">
        <v>15214</v>
      </c>
    </row>
    <row r="1856" spans="1:9" x14ac:dyDescent="0.25">
      <c r="A1856" s="420">
        <v>43022</v>
      </c>
      <c r="B1856" s="302" t="s">
        <v>33531</v>
      </c>
      <c r="C1856">
        <v>131419</v>
      </c>
      <c r="D1856" s="275" t="s">
        <v>15250</v>
      </c>
      <c r="E1856" s="301">
        <v>48227.7</v>
      </c>
      <c r="F1856" s="303">
        <v>43027</v>
      </c>
      <c r="G1856" s="301">
        <v>48227.7</v>
      </c>
      <c r="H1856" s="301">
        <f>Tabla15[[#This Row],[Importe]]-Tabla15[[#This Row],[Pagado]]</f>
        <v>0</v>
      </c>
      <c r="I1856" s="275" t="s">
        <v>15214</v>
      </c>
    </row>
    <row r="1857" spans="1:9" ht="15.75" x14ac:dyDescent="0.25">
      <c r="A1857" s="420">
        <v>43022</v>
      </c>
      <c r="B1857" s="302" t="s">
        <v>33532</v>
      </c>
      <c r="C1857">
        <v>131420</v>
      </c>
      <c r="D1857" s="248" t="s">
        <v>95</v>
      </c>
      <c r="E1857" s="301">
        <v>0</v>
      </c>
      <c r="F1857" s="243" t="s">
        <v>95</v>
      </c>
      <c r="G1857" s="301">
        <v>0</v>
      </c>
      <c r="H1857" s="301">
        <f>Tabla15[[#This Row],[Importe]]-Tabla15[[#This Row],[Pagado]]</f>
        <v>0</v>
      </c>
      <c r="I1857" s="275" t="s">
        <v>95</v>
      </c>
    </row>
    <row r="1858" spans="1:9" x14ac:dyDescent="0.25">
      <c r="A1858" s="420">
        <v>43022</v>
      </c>
      <c r="B1858" s="302" t="s">
        <v>33533</v>
      </c>
      <c r="C1858">
        <v>131421</v>
      </c>
      <c r="D1858" s="275" t="s">
        <v>5883</v>
      </c>
      <c r="E1858" s="301">
        <v>5903.68</v>
      </c>
      <c r="F1858" s="303">
        <v>43039</v>
      </c>
      <c r="G1858" s="301">
        <v>5903.68</v>
      </c>
      <c r="H1858" s="301">
        <f>Tabla15[[#This Row],[Importe]]-Tabla15[[#This Row],[Pagado]]</f>
        <v>0</v>
      </c>
      <c r="I1858" s="275" t="s">
        <v>15214</v>
      </c>
    </row>
    <row r="1859" spans="1:9" x14ac:dyDescent="0.25">
      <c r="A1859" s="420">
        <v>43022</v>
      </c>
      <c r="B1859" s="302" t="s">
        <v>33534</v>
      </c>
      <c r="C1859">
        <v>131422</v>
      </c>
      <c r="D1859" s="275" t="s">
        <v>15642</v>
      </c>
      <c r="E1859" s="301">
        <v>10292.1</v>
      </c>
      <c r="F1859" s="303">
        <v>43022</v>
      </c>
      <c r="G1859" s="301">
        <v>10292.1</v>
      </c>
      <c r="H1859" s="301">
        <f>Tabla15[[#This Row],[Importe]]-Tabla15[[#This Row],[Pagado]]</f>
        <v>0</v>
      </c>
      <c r="I1859" s="275" t="s">
        <v>15214</v>
      </c>
    </row>
    <row r="1860" spans="1:9" x14ac:dyDescent="0.25">
      <c r="A1860" s="420">
        <v>43022</v>
      </c>
      <c r="B1860" s="302" t="s">
        <v>33535</v>
      </c>
      <c r="C1860">
        <v>131423</v>
      </c>
      <c r="D1860" s="275" t="s">
        <v>15378</v>
      </c>
      <c r="E1860" s="301">
        <v>1700.6</v>
      </c>
      <c r="F1860" s="303">
        <v>43022</v>
      </c>
      <c r="G1860" s="301">
        <v>1700.6</v>
      </c>
      <c r="H1860" s="301">
        <f>Tabla15[[#This Row],[Importe]]-Tabla15[[#This Row],[Pagado]]</f>
        <v>0</v>
      </c>
      <c r="I1860" s="275" t="s">
        <v>15214</v>
      </c>
    </row>
    <row r="1861" spans="1:9" x14ac:dyDescent="0.25">
      <c r="A1861" s="420">
        <v>43022</v>
      </c>
      <c r="B1861" s="302" t="s">
        <v>33536</v>
      </c>
      <c r="C1861">
        <v>131424</v>
      </c>
      <c r="D1861" s="275" t="s">
        <v>15530</v>
      </c>
      <c r="E1861" s="301">
        <v>958.5</v>
      </c>
      <c r="F1861" s="303">
        <v>43022</v>
      </c>
      <c r="G1861" s="301">
        <v>958.5</v>
      </c>
      <c r="H1861" s="301">
        <f>Tabla15[[#This Row],[Importe]]-Tabla15[[#This Row],[Pagado]]</f>
        <v>0</v>
      </c>
      <c r="I1861" s="275" t="s">
        <v>15214</v>
      </c>
    </row>
    <row r="1862" spans="1:9" x14ac:dyDescent="0.25">
      <c r="A1862" s="420">
        <v>43022</v>
      </c>
      <c r="B1862" s="302" t="s">
        <v>33537</v>
      </c>
      <c r="C1862">
        <v>131425</v>
      </c>
      <c r="D1862" s="275" t="s">
        <v>15213</v>
      </c>
      <c r="E1862" s="301">
        <v>730.4</v>
      </c>
      <c r="F1862" s="303">
        <v>43023</v>
      </c>
      <c r="G1862" s="301">
        <v>730.4</v>
      </c>
      <c r="H1862" s="301">
        <f>Tabla15[[#This Row],[Importe]]-Tabla15[[#This Row],[Pagado]]</f>
        <v>0</v>
      </c>
      <c r="I1862" s="275" t="s">
        <v>15214</v>
      </c>
    </row>
    <row r="1863" spans="1:9" x14ac:dyDescent="0.25">
      <c r="A1863" s="420">
        <v>43022</v>
      </c>
      <c r="B1863" s="302" t="s">
        <v>33538</v>
      </c>
      <c r="C1863">
        <v>131426</v>
      </c>
      <c r="D1863" s="275" t="s">
        <v>15315</v>
      </c>
      <c r="E1863" s="301">
        <v>1097.8</v>
      </c>
      <c r="F1863" s="303">
        <v>43023</v>
      </c>
      <c r="G1863" s="301">
        <v>1097.8</v>
      </c>
      <c r="H1863" s="301">
        <f>Tabla15[[#This Row],[Importe]]-Tabla15[[#This Row],[Pagado]]</f>
        <v>0</v>
      </c>
      <c r="I1863" s="275" t="s">
        <v>15214</v>
      </c>
    </row>
    <row r="1864" spans="1:9" x14ac:dyDescent="0.25">
      <c r="A1864" s="420">
        <v>43023</v>
      </c>
      <c r="B1864" s="302" t="s">
        <v>33539</v>
      </c>
      <c r="C1864">
        <v>131427</v>
      </c>
      <c r="D1864" s="275" t="s">
        <v>21386</v>
      </c>
      <c r="E1864" s="301">
        <v>8902.7999999999993</v>
      </c>
      <c r="F1864" s="303">
        <v>43023</v>
      </c>
      <c r="G1864" s="301">
        <v>8902.7999999999993</v>
      </c>
      <c r="H1864" s="301">
        <f>Tabla15[[#This Row],[Importe]]-Tabla15[[#This Row],[Pagado]]</f>
        <v>0</v>
      </c>
      <c r="I1864" s="275" t="s">
        <v>15214</v>
      </c>
    </row>
    <row r="1865" spans="1:9" x14ac:dyDescent="0.25">
      <c r="A1865" s="420">
        <v>43023</v>
      </c>
      <c r="B1865" s="302" t="s">
        <v>33540</v>
      </c>
      <c r="C1865">
        <v>131428</v>
      </c>
      <c r="D1865" s="275" t="s">
        <v>15668</v>
      </c>
      <c r="E1865" s="301">
        <v>23611.68</v>
      </c>
      <c r="F1865" s="303">
        <v>43026</v>
      </c>
      <c r="G1865" s="301">
        <v>23611.68</v>
      </c>
      <c r="H1865" s="301">
        <f>Tabla15[[#This Row],[Importe]]-Tabla15[[#This Row],[Pagado]]</f>
        <v>0</v>
      </c>
      <c r="I1865" s="275" t="s">
        <v>15214</v>
      </c>
    </row>
    <row r="1866" spans="1:9" x14ac:dyDescent="0.25">
      <c r="A1866" s="420">
        <v>43023</v>
      </c>
      <c r="B1866" s="302" t="s">
        <v>33541</v>
      </c>
      <c r="C1866">
        <v>131429</v>
      </c>
      <c r="D1866" s="275" t="s">
        <v>15213</v>
      </c>
      <c r="E1866" s="301">
        <v>27792</v>
      </c>
      <c r="F1866" s="303">
        <v>43024</v>
      </c>
      <c r="G1866" s="301">
        <v>27792</v>
      </c>
      <c r="H1866" s="301">
        <f>Tabla15[[#This Row],[Importe]]-Tabla15[[#This Row],[Pagado]]</f>
        <v>0</v>
      </c>
      <c r="I1866" s="275" t="s">
        <v>15214</v>
      </c>
    </row>
    <row r="1867" spans="1:9" x14ac:dyDescent="0.25">
      <c r="A1867" s="420">
        <v>43023</v>
      </c>
      <c r="B1867" s="302" t="s">
        <v>33542</v>
      </c>
      <c r="C1867">
        <v>131430</v>
      </c>
      <c r="D1867" s="275" t="s">
        <v>19780</v>
      </c>
      <c r="E1867" s="301">
        <v>2952</v>
      </c>
      <c r="F1867" s="303">
        <v>43026</v>
      </c>
      <c r="G1867" s="301">
        <v>2952</v>
      </c>
      <c r="H1867" s="301">
        <f>Tabla15[[#This Row],[Importe]]-Tabla15[[#This Row],[Pagado]]</f>
        <v>0</v>
      </c>
      <c r="I1867" s="275" t="s">
        <v>15214</v>
      </c>
    </row>
    <row r="1868" spans="1:9" x14ac:dyDescent="0.25">
      <c r="A1868" s="420">
        <v>43023</v>
      </c>
      <c r="B1868" s="302" t="s">
        <v>33543</v>
      </c>
      <c r="C1868">
        <v>131431</v>
      </c>
      <c r="D1868" s="275" t="s">
        <v>15242</v>
      </c>
      <c r="E1868" s="301">
        <v>13288.1</v>
      </c>
      <c r="F1868" s="303">
        <v>43023</v>
      </c>
      <c r="G1868" s="301">
        <v>13288.1</v>
      </c>
      <c r="H1868" s="301">
        <f>Tabla15[[#This Row],[Importe]]-Tabla15[[#This Row],[Pagado]]</f>
        <v>0</v>
      </c>
      <c r="I1868" s="275" t="s">
        <v>15214</v>
      </c>
    </row>
    <row r="1869" spans="1:9" x14ac:dyDescent="0.25">
      <c r="A1869" s="420">
        <v>43023</v>
      </c>
      <c r="B1869" s="302" t="s">
        <v>33544</v>
      </c>
      <c r="C1869">
        <v>131432</v>
      </c>
      <c r="D1869" s="275" t="s">
        <v>15213</v>
      </c>
      <c r="E1869" s="301">
        <v>2340.8000000000002</v>
      </c>
      <c r="F1869" s="303">
        <v>43024</v>
      </c>
      <c r="G1869" s="301">
        <v>2340.8000000000002</v>
      </c>
      <c r="H1869" s="301">
        <f>Tabla15[[#This Row],[Importe]]-Tabla15[[#This Row],[Pagado]]</f>
        <v>0</v>
      </c>
      <c r="I1869" s="275" t="s">
        <v>15214</v>
      </c>
    </row>
    <row r="1870" spans="1:9" x14ac:dyDescent="0.25">
      <c r="A1870" s="420">
        <v>43023</v>
      </c>
      <c r="B1870" s="302" t="s">
        <v>33545</v>
      </c>
      <c r="C1870">
        <v>131433</v>
      </c>
      <c r="D1870" s="275" t="s">
        <v>15352</v>
      </c>
      <c r="E1870" s="301">
        <v>703</v>
      </c>
      <c r="F1870" s="303">
        <v>43023</v>
      </c>
      <c r="G1870" s="301">
        <v>703</v>
      </c>
      <c r="H1870" s="301">
        <f>Tabla15[[#This Row],[Importe]]-Tabla15[[#This Row],[Pagado]]</f>
        <v>0</v>
      </c>
      <c r="I1870" s="275" t="s">
        <v>15214</v>
      </c>
    </row>
    <row r="1871" spans="1:9" ht="39" x14ac:dyDescent="0.25">
      <c r="A1871" s="420">
        <v>43023</v>
      </c>
      <c r="B1871" s="302" t="s">
        <v>33546</v>
      </c>
      <c r="C1871">
        <v>131434</v>
      </c>
      <c r="D1871" s="275" t="s">
        <v>15228</v>
      </c>
      <c r="E1871" s="301">
        <v>30010.2</v>
      </c>
      <c r="F1871" s="315" t="s">
        <v>33547</v>
      </c>
      <c r="G1871" s="305">
        <f>10000+5000+12000+3010.2</f>
        <v>30010.2</v>
      </c>
      <c r="H1871" s="305">
        <f>Tabla15[[#This Row],[Importe]]-Tabla15[[#This Row],[Pagado]]</f>
        <v>0</v>
      </c>
      <c r="I1871" s="275" t="s">
        <v>15214</v>
      </c>
    </row>
    <row r="1872" spans="1:9" x14ac:dyDescent="0.25">
      <c r="A1872" s="420">
        <v>43023</v>
      </c>
      <c r="B1872" s="302" t="s">
        <v>33548</v>
      </c>
      <c r="C1872">
        <v>131435</v>
      </c>
      <c r="D1872" s="275" t="s">
        <v>17462</v>
      </c>
      <c r="E1872" s="301">
        <v>4421</v>
      </c>
      <c r="F1872" s="303">
        <v>43023</v>
      </c>
      <c r="G1872" s="301">
        <v>4421</v>
      </c>
      <c r="H1872" s="301">
        <f>Tabla15[[#This Row],[Importe]]-Tabla15[[#This Row],[Pagado]]</f>
        <v>0</v>
      </c>
      <c r="I1872" s="275" t="s">
        <v>15214</v>
      </c>
    </row>
    <row r="1873" spans="1:9" x14ac:dyDescent="0.25">
      <c r="A1873" s="420">
        <v>43023</v>
      </c>
      <c r="B1873" s="302" t="s">
        <v>33549</v>
      </c>
      <c r="C1873">
        <v>131436</v>
      </c>
      <c r="D1873" s="275" t="s">
        <v>15577</v>
      </c>
      <c r="E1873" s="301">
        <v>826</v>
      </c>
      <c r="F1873" s="303">
        <v>43023</v>
      </c>
      <c r="G1873" s="301">
        <v>826</v>
      </c>
      <c r="H1873" s="301">
        <f>Tabla15[[#This Row],[Importe]]-Tabla15[[#This Row],[Pagado]]</f>
        <v>0</v>
      </c>
      <c r="I1873" s="275" t="s">
        <v>15214</v>
      </c>
    </row>
    <row r="1874" spans="1:9" x14ac:dyDescent="0.25">
      <c r="A1874" s="420">
        <v>43023</v>
      </c>
      <c r="B1874" s="302" t="s">
        <v>33550</v>
      </c>
      <c r="C1874">
        <v>131437</v>
      </c>
      <c r="D1874" s="275" t="s">
        <v>15213</v>
      </c>
      <c r="E1874" s="301">
        <v>9730.7999999999993</v>
      </c>
      <c r="F1874" s="303">
        <v>43024</v>
      </c>
      <c r="G1874" s="301">
        <v>9730.7999999999993</v>
      </c>
      <c r="H1874" s="301">
        <f>Tabla15[[#This Row],[Importe]]-Tabla15[[#This Row],[Pagado]]</f>
        <v>0</v>
      </c>
      <c r="I1874" s="275" t="s">
        <v>15214</v>
      </c>
    </row>
    <row r="1875" spans="1:9" x14ac:dyDescent="0.25">
      <c r="A1875" s="420">
        <v>43023</v>
      </c>
      <c r="B1875" s="302" t="s">
        <v>33551</v>
      </c>
      <c r="C1875">
        <v>131438</v>
      </c>
      <c r="D1875" s="275" t="s">
        <v>15487</v>
      </c>
      <c r="E1875" s="301">
        <v>10572.8</v>
      </c>
      <c r="F1875" s="303">
        <v>43023</v>
      </c>
      <c r="G1875" s="301">
        <v>10572.8</v>
      </c>
      <c r="H1875" s="301">
        <f>Tabla15[[#This Row],[Importe]]-Tabla15[[#This Row],[Pagado]]</f>
        <v>0</v>
      </c>
      <c r="I1875" s="275" t="s">
        <v>15214</v>
      </c>
    </row>
    <row r="1876" spans="1:9" x14ac:dyDescent="0.25">
      <c r="A1876" s="420">
        <v>43023</v>
      </c>
      <c r="B1876" s="302" t="s">
        <v>33552</v>
      </c>
      <c r="C1876">
        <v>131439</v>
      </c>
      <c r="D1876" s="275" t="s">
        <v>15272</v>
      </c>
      <c r="E1876" s="301">
        <v>31594</v>
      </c>
      <c r="F1876" s="303">
        <v>43023</v>
      </c>
      <c r="G1876" s="301">
        <v>31594</v>
      </c>
      <c r="H1876" s="301">
        <f>Tabla15[[#This Row],[Importe]]-Tabla15[[#This Row],[Pagado]]</f>
        <v>0</v>
      </c>
      <c r="I1876" s="275" t="s">
        <v>15214</v>
      </c>
    </row>
    <row r="1877" spans="1:9" x14ac:dyDescent="0.25">
      <c r="A1877" s="420">
        <v>43023</v>
      </c>
      <c r="B1877" s="302" t="s">
        <v>33553</v>
      </c>
      <c r="C1877">
        <v>131440</v>
      </c>
      <c r="D1877" s="275" t="s">
        <v>15523</v>
      </c>
      <c r="E1877" s="301">
        <v>3960</v>
      </c>
      <c r="F1877" s="303">
        <v>43023</v>
      </c>
      <c r="G1877" s="301">
        <v>3960</v>
      </c>
      <c r="H1877" s="301">
        <f>Tabla15[[#This Row],[Importe]]-Tabla15[[#This Row],[Pagado]]</f>
        <v>0</v>
      </c>
      <c r="I1877" s="275" t="s">
        <v>15214</v>
      </c>
    </row>
    <row r="1878" spans="1:9" x14ac:dyDescent="0.25">
      <c r="A1878" s="420">
        <v>43023</v>
      </c>
      <c r="B1878" s="302" t="s">
        <v>33554</v>
      </c>
      <c r="C1878">
        <v>131441</v>
      </c>
      <c r="D1878" s="275" t="s">
        <v>15340</v>
      </c>
      <c r="E1878" s="301">
        <v>11122.8</v>
      </c>
      <c r="F1878" s="303">
        <v>43023</v>
      </c>
      <c r="G1878" s="301">
        <v>11122.8</v>
      </c>
      <c r="H1878" s="301">
        <f>Tabla15[[#This Row],[Importe]]-Tabla15[[#This Row],[Pagado]]</f>
        <v>0</v>
      </c>
      <c r="I1878" s="275" t="s">
        <v>15214</v>
      </c>
    </row>
    <row r="1879" spans="1:9" x14ac:dyDescent="0.25">
      <c r="A1879" s="420">
        <v>43023</v>
      </c>
      <c r="B1879" s="302" t="s">
        <v>33555</v>
      </c>
      <c r="C1879">
        <v>131442</v>
      </c>
      <c r="D1879" s="275" t="s">
        <v>15315</v>
      </c>
      <c r="E1879" s="301">
        <v>2859.4</v>
      </c>
      <c r="F1879" s="303">
        <v>43023</v>
      </c>
      <c r="G1879" s="301">
        <v>2859.4</v>
      </c>
      <c r="H1879" s="301">
        <f>Tabla15[[#This Row],[Importe]]-Tabla15[[#This Row],[Pagado]]</f>
        <v>0</v>
      </c>
      <c r="I1879" s="275" t="s">
        <v>15214</v>
      </c>
    </row>
    <row r="1880" spans="1:9" x14ac:dyDescent="0.25">
      <c r="A1880" s="420">
        <v>43023</v>
      </c>
      <c r="B1880" s="302" t="s">
        <v>33556</v>
      </c>
      <c r="C1880">
        <v>131443</v>
      </c>
      <c r="D1880" s="275" t="s">
        <v>15223</v>
      </c>
      <c r="E1880" s="301">
        <v>41246</v>
      </c>
      <c r="F1880" s="303">
        <v>43045</v>
      </c>
      <c r="G1880" s="301">
        <v>41246</v>
      </c>
      <c r="H1880" s="301">
        <f>Tabla15[[#This Row],[Importe]]-Tabla15[[#This Row],[Pagado]]</f>
        <v>0</v>
      </c>
      <c r="I1880" s="275" t="s">
        <v>15214</v>
      </c>
    </row>
    <row r="1881" spans="1:9" x14ac:dyDescent="0.25">
      <c r="A1881" s="420">
        <v>43023</v>
      </c>
      <c r="B1881" s="302" t="s">
        <v>33557</v>
      </c>
      <c r="C1881">
        <v>131444</v>
      </c>
      <c r="D1881" s="275" t="s">
        <v>15438</v>
      </c>
      <c r="E1881" s="301">
        <v>3373.8</v>
      </c>
      <c r="F1881" s="303">
        <v>43023</v>
      </c>
      <c r="G1881" s="301">
        <v>3373.8</v>
      </c>
      <c r="H1881" s="301">
        <f>Tabla15[[#This Row],[Importe]]-Tabla15[[#This Row],[Pagado]]</f>
        <v>0</v>
      </c>
      <c r="I1881" s="275" t="s">
        <v>15214</v>
      </c>
    </row>
    <row r="1882" spans="1:9" x14ac:dyDescent="0.25">
      <c r="A1882" s="420">
        <v>43023</v>
      </c>
      <c r="B1882" s="302" t="s">
        <v>33558</v>
      </c>
      <c r="C1882">
        <v>131445</v>
      </c>
      <c r="D1882" s="275" t="s">
        <v>15553</v>
      </c>
      <c r="E1882" s="301">
        <v>31944</v>
      </c>
      <c r="F1882" s="303">
        <v>43023</v>
      </c>
      <c r="G1882" s="301">
        <v>31944</v>
      </c>
      <c r="H1882" s="301">
        <f>Tabla15[[#This Row],[Importe]]-Tabla15[[#This Row],[Pagado]]</f>
        <v>0</v>
      </c>
      <c r="I1882" s="275" t="s">
        <v>15214</v>
      </c>
    </row>
    <row r="1883" spans="1:9" x14ac:dyDescent="0.25">
      <c r="A1883" s="420">
        <v>43023</v>
      </c>
      <c r="B1883" s="302" t="s">
        <v>33559</v>
      </c>
      <c r="C1883">
        <v>131446</v>
      </c>
      <c r="D1883" s="275" t="s">
        <v>15340</v>
      </c>
      <c r="E1883" s="301">
        <v>288.39999999999998</v>
      </c>
      <c r="F1883" s="303">
        <v>43023</v>
      </c>
      <c r="G1883" s="301">
        <v>288.39999999999998</v>
      </c>
      <c r="H1883" s="301">
        <f>Tabla15[[#This Row],[Importe]]-Tabla15[[#This Row],[Pagado]]</f>
        <v>0</v>
      </c>
      <c r="I1883" s="275" t="s">
        <v>15214</v>
      </c>
    </row>
    <row r="1884" spans="1:9" x14ac:dyDescent="0.25">
      <c r="A1884" s="420">
        <v>43023</v>
      </c>
      <c r="B1884" s="302" t="s">
        <v>33560</v>
      </c>
      <c r="C1884">
        <v>131447</v>
      </c>
      <c r="D1884" s="275" t="s">
        <v>15278</v>
      </c>
      <c r="E1884" s="301">
        <v>3357.1</v>
      </c>
      <c r="F1884" s="303">
        <v>43023</v>
      </c>
      <c r="G1884" s="301">
        <v>3357.1</v>
      </c>
      <c r="H1884" s="301">
        <f>Tabla15[[#This Row],[Importe]]-Tabla15[[#This Row],[Pagado]]</f>
        <v>0</v>
      </c>
      <c r="I1884" s="275" t="s">
        <v>15214</v>
      </c>
    </row>
    <row r="1885" spans="1:9" x14ac:dyDescent="0.25">
      <c r="A1885" s="420">
        <v>43023</v>
      </c>
      <c r="B1885" s="302" t="s">
        <v>33561</v>
      </c>
      <c r="C1885">
        <v>131448</v>
      </c>
      <c r="D1885" s="275" t="s">
        <v>15344</v>
      </c>
      <c r="E1885" s="301">
        <v>2120.6</v>
      </c>
      <c r="F1885" s="303">
        <v>43023</v>
      </c>
      <c r="G1885" s="301">
        <v>2120.6</v>
      </c>
      <c r="H1885" s="301">
        <f>Tabla15[[#This Row],[Importe]]-Tabla15[[#This Row],[Pagado]]</f>
        <v>0</v>
      </c>
      <c r="I1885" s="275" t="s">
        <v>15214</v>
      </c>
    </row>
    <row r="1886" spans="1:9" x14ac:dyDescent="0.25">
      <c r="A1886" s="420">
        <v>43023</v>
      </c>
      <c r="B1886" s="302" t="s">
        <v>33562</v>
      </c>
      <c r="C1886">
        <v>131449</v>
      </c>
      <c r="D1886" s="275" t="s">
        <v>15387</v>
      </c>
      <c r="E1886" s="301">
        <v>1499.4</v>
      </c>
      <c r="F1886" s="303">
        <v>43025</v>
      </c>
      <c r="G1886" s="301">
        <v>1499.4</v>
      </c>
      <c r="H1886" s="301">
        <f>Tabla15[[#This Row],[Importe]]-Tabla15[[#This Row],[Pagado]]</f>
        <v>0</v>
      </c>
      <c r="I1886" s="275" t="s">
        <v>15214</v>
      </c>
    </row>
    <row r="1887" spans="1:9" x14ac:dyDescent="0.25">
      <c r="A1887" s="420">
        <v>43023</v>
      </c>
      <c r="B1887" s="302" t="s">
        <v>33563</v>
      </c>
      <c r="C1887">
        <v>131450</v>
      </c>
      <c r="D1887" s="275" t="s">
        <v>15358</v>
      </c>
      <c r="E1887" s="301">
        <v>2631.6</v>
      </c>
      <c r="F1887" s="303">
        <v>43023</v>
      </c>
      <c r="G1887" s="301">
        <v>2631.6</v>
      </c>
      <c r="H1887" s="301">
        <f>Tabla15[[#This Row],[Importe]]-Tabla15[[#This Row],[Pagado]]</f>
        <v>0</v>
      </c>
      <c r="I1887" s="275" t="s">
        <v>15214</v>
      </c>
    </row>
    <row r="1888" spans="1:9" x14ac:dyDescent="0.25">
      <c r="A1888" s="420">
        <v>43023</v>
      </c>
      <c r="B1888" s="302" t="s">
        <v>33564</v>
      </c>
      <c r="C1888">
        <v>131451</v>
      </c>
      <c r="D1888" s="275" t="s">
        <v>15332</v>
      </c>
      <c r="E1888" s="301">
        <v>2745</v>
      </c>
      <c r="F1888" s="303">
        <v>43023</v>
      </c>
      <c r="G1888" s="301">
        <v>2745</v>
      </c>
      <c r="H1888" s="301">
        <f>Tabla15[[#This Row],[Importe]]-Tabla15[[#This Row],[Pagado]]</f>
        <v>0</v>
      </c>
      <c r="I1888" s="275" t="s">
        <v>15214</v>
      </c>
    </row>
    <row r="1889" spans="1:9" x14ac:dyDescent="0.25">
      <c r="A1889" s="420">
        <v>43023</v>
      </c>
      <c r="B1889" s="302" t="s">
        <v>33565</v>
      </c>
      <c r="C1889">
        <v>131452</v>
      </c>
      <c r="D1889" s="275" t="s">
        <v>15280</v>
      </c>
      <c r="E1889" s="301">
        <v>6403.6</v>
      </c>
      <c r="F1889" s="303">
        <v>43023</v>
      </c>
      <c r="G1889" s="301">
        <v>6403.6</v>
      </c>
      <c r="H1889" s="301">
        <f>Tabla15[[#This Row],[Importe]]-Tabla15[[#This Row],[Pagado]]</f>
        <v>0</v>
      </c>
      <c r="I1889" s="275" t="s">
        <v>15214</v>
      </c>
    </row>
    <row r="1890" spans="1:9" x14ac:dyDescent="0.25">
      <c r="A1890" s="420">
        <v>43023</v>
      </c>
      <c r="B1890" s="302" t="s">
        <v>33566</v>
      </c>
      <c r="C1890">
        <v>131453</v>
      </c>
      <c r="D1890" s="275" t="s">
        <v>17210</v>
      </c>
      <c r="E1890" s="301">
        <v>9273.6</v>
      </c>
      <c r="F1890" s="303">
        <v>43023</v>
      </c>
      <c r="G1890" s="301">
        <v>9273.6</v>
      </c>
      <c r="H1890" s="301">
        <f>Tabla15[[#This Row],[Importe]]-Tabla15[[#This Row],[Pagado]]</f>
        <v>0</v>
      </c>
      <c r="I1890" s="275" t="s">
        <v>15214</v>
      </c>
    </row>
    <row r="1891" spans="1:9" x14ac:dyDescent="0.25">
      <c r="A1891" s="420">
        <v>43023</v>
      </c>
      <c r="B1891" s="302" t="s">
        <v>33567</v>
      </c>
      <c r="C1891">
        <v>131454</v>
      </c>
      <c r="D1891" s="275" t="s">
        <v>15289</v>
      </c>
      <c r="E1891" s="301">
        <v>789.8</v>
      </c>
      <c r="F1891" s="303">
        <v>43023</v>
      </c>
      <c r="G1891" s="301">
        <v>789.8</v>
      </c>
      <c r="H1891" s="301">
        <f>Tabla15[[#This Row],[Importe]]-Tabla15[[#This Row],[Pagado]]</f>
        <v>0</v>
      </c>
      <c r="I1891" s="275" t="s">
        <v>15214</v>
      </c>
    </row>
    <row r="1892" spans="1:9" x14ac:dyDescent="0.25">
      <c r="A1892" s="420">
        <v>43023</v>
      </c>
      <c r="B1892" s="302" t="s">
        <v>33568</v>
      </c>
      <c r="C1892">
        <v>131455</v>
      </c>
      <c r="D1892" s="275" t="s">
        <v>15220</v>
      </c>
      <c r="E1892" s="301">
        <v>4840</v>
      </c>
      <c r="F1892" s="303">
        <v>43023</v>
      </c>
      <c r="G1892" s="301">
        <v>4840</v>
      </c>
      <c r="H1892" s="301">
        <f>Tabla15[[#This Row],[Importe]]-Tabla15[[#This Row],[Pagado]]</f>
        <v>0</v>
      </c>
      <c r="I1892" s="275" t="s">
        <v>15214</v>
      </c>
    </row>
    <row r="1893" spans="1:9" x14ac:dyDescent="0.25">
      <c r="A1893" s="420">
        <v>43023</v>
      </c>
      <c r="B1893" s="302" t="s">
        <v>33569</v>
      </c>
      <c r="C1893">
        <v>131456</v>
      </c>
      <c r="D1893" s="275" t="s">
        <v>15596</v>
      </c>
      <c r="E1893" s="301">
        <v>880</v>
      </c>
      <c r="F1893" s="303">
        <v>43024</v>
      </c>
      <c r="G1893" s="301">
        <v>880</v>
      </c>
      <c r="H1893" s="301">
        <f>Tabla15[[#This Row],[Importe]]-Tabla15[[#This Row],[Pagado]]</f>
        <v>0</v>
      </c>
      <c r="I1893" s="275" t="s">
        <v>15214</v>
      </c>
    </row>
    <row r="1894" spans="1:9" x14ac:dyDescent="0.25">
      <c r="A1894" s="420">
        <v>43023</v>
      </c>
      <c r="B1894" s="302" t="s">
        <v>33570</v>
      </c>
      <c r="C1894">
        <v>131457</v>
      </c>
      <c r="D1894" s="275" t="s">
        <v>19302</v>
      </c>
      <c r="E1894" s="301">
        <v>440</v>
      </c>
      <c r="F1894" s="303">
        <v>43023</v>
      </c>
      <c r="G1894" s="301">
        <v>440</v>
      </c>
      <c r="H1894" s="301">
        <f>Tabla15[[#This Row],[Importe]]-Tabla15[[#This Row],[Pagado]]</f>
        <v>0</v>
      </c>
      <c r="I1894" s="275" t="s">
        <v>15214</v>
      </c>
    </row>
    <row r="1895" spans="1:9" x14ac:dyDescent="0.25">
      <c r="A1895" s="420">
        <v>43023</v>
      </c>
      <c r="B1895" s="302" t="s">
        <v>33571</v>
      </c>
      <c r="C1895">
        <v>131458</v>
      </c>
      <c r="D1895" s="275" t="s">
        <v>15371</v>
      </c>
      <c r="E1895" s="301">
        <v>840</v>
      </c>
      <c r="F1895" s="303">
        <v>43023</v>
      </c>
      <c r="G1895" s="301">
        <v>840</v>
      </c>
      <c r="H1895" s="301">
        <f>Tabla15[[#This Row],[Importe]]-Tabla15[[#This Row],[Pagado]]</f>
        <v>0</v>
      </c>
      <c r="I1895" s="275" t="s">
        <v>15214</v>
      </c>
    </row>
    <row r="1896" spans="1:9" x14ac:dyDescent="0.25">
      <c r="A1896" s="420">
        <v>43023</v>
      </c>
      <c r="B1896" s="302" t="s">
        <v>33572</v>
      </c>
      <c r="C1896">
        <v>131459</v>
      </c>
      <c r="D1896" s="275" t="s">
        <v>15987</v>
      </c>
      <c r="E1896" s="301">
        <v>660</v>
      </c>
      <c r="F1896" s="303">
        <v>43023</v>
      </c>
      <c r="G1896" s="301">
        <v>660</v>
      </c>
      <c r="H1896" s="301">
        <f>Tabla15[[#This Row],[Importe]]-Tabla15[[#This Row],[Pagado]]</f>
        <v>0</v>
      </c>
      <c r="I1896" s="275" t="s">
        <v>15214</v>
      </c>
    </row>
    <row r="1897" spans="1:9" x14ac:dyDescent="0.25">
      <c r="A1897" s="420">
        <v>43023</v>
      </c>
      <c r="B1897" s="302" t="s">
        <v>33573</v>
      </c>
      <c r="C1897">
        <v>131460</v>
      </c>
      <c r="D1897" s="275" t="s">
        <v>15244</v>
      </c>
      <c r="E1897" s="301">
        <v>14233.4</v>
      </c>
      <c r="F1897" s="303">
        <v>43025</v>
      </c>
      <c r="G1897" s="301">
        <v>14233.4</v>
      </c>
      <c r="H1897" s="301">
        <f>Tabla15[[#This Row],[Importe]]-Tabla15[[#This Row],[Pagado]]</f>
        <v>0</v>
      </c>
      <c r="I1897" s="275" t="s">
        <v>15214</v>
      </c>
    </row>
    <row r="1898" spans="1:9" x14ac:dyDescent="0.25">
      <c r="A1898" s="420">
        <v>43023</v>
      </c>
      <c r="B1898" s="302" t="s">
        <v>33574</v>
      </c>
      <c r="C1898">
        <v>131461</v>
      </c>
      <c r="D1898" s="275" t="s">
        <v>15530</v>
      </c>
      <c r="E1898" s="301">
        <v>5789.6</v>
      </c>
      <c r="F1898" s="303">
        <v>43023</v>
      </c>
      <c r="G1898" s="301">
        <v>5789.6</v>
      </c>
      <c r="H1898" s="301">
        <f>Tabla15[[#This Row],[Importe]]-Tabla15[[#This Row],[Pagado]]</f>
        <v>0</v>
      </c>
      <c r="I1898" s="275" t="s">
        <v>15214</v>
      </c>
    </row>
    <row r="1899" spans="1:9" x14ac:dyDescent="0.25">
      <c r="A1899" s="420">
        <v>43023</v>
      </c>
      <c r="B1899" s="302" t="s">
        <v>33575</v>
      </c>
      <c r="C1899">
        <v>131462</v>
      </c>
      <c r="D1899" s="275" t="s">
        <v>15252</v>
      </c>
      <c r="E1899" s="301">
        <v>6820.8</v>
      </c>
      <c r="F1899" s="303">
        <v>43024</v>
      </c>
      <c r="G1899" s="301">
        <v>6820.8</v>
      </c>
      <c r="H1899" s="301">
        <f>Tabla15[[#This Row],[Importe]]-Tabla15[[#This Row],[Pagado]]</f>
        <v>0</v>
      </c>
      <c r="I1899" s="275" t="s">
        <v>15214</v>
      </c>
    </row>
    <row r="1900" spans="1:9" x14ac:dyDescent="0.25">
      <c r="A1900" s="420">
        <v>43023</v>
      </c>
      <c r="B1900" s="302" t="s">
        <v>33576</v>
      </c>
      <c r="C1900">
        <v>131463</v>
      </c>
      <c r="D1900" s="275" t="s">
        <v>23937</v>
      </c>
      <c r="E1900" s="301">
        <v>2983.5</v>
      </c>
      <c r="F1900" s="303">
        <v>43024</v>
      </c>
      <c r="G1900" s="301">
        <v>2983.5</v>
      </c>
      <c r="H1900" s="301">
        <f>Tabla15[[#This Row],[Importe]]-Tabla15[[#This Row],[Pagado]]</f>
        <v>0</v>
      </c>
      <c r="I1900" s="275" t="s">
        <v>15214</v>
      </c>
    </row>
    <row r="1901" spans="1:9" x14ac:dyDescent="0.25">
      <c r="A1901" s="420">
        <v>43023</v>
      </c>
      <c r="B1901" s="302" t="s">
        <v>33577</v>
      </c>
      <c r="C1901">
        <v>131464</v>
      </c>
      <c r="D1901" s="275" t="s">
        <v>15398</v>
      </c>
      <c r="E1901" s="301">
        <v>841.5</v>
      </c>
      <c r="F1901" s="303">
        <v>43023</v>
      </c>
      <c r="G1901" s="301">
        <v>841.5</v>
      </c>
      <c r="H1901" s="301">
        <f>Tabla15[[#This Row],[Importe]]-Tabla15[[#This Row],[Pagado]]</f>
        <v>0</v>
      </c>
      <c r="I1901" s="275" t="s">
        <v>15214</v>
      </c>
    </row>
    <row r="1902" spans="1:9" x14ac:dyDescent="0.25">
      <c r="A1902" s="420">
        <v>43023</v>
      </c>
      <c r="B1902" s="302" t="s">
        <v>33578</v>
      </c>
      <c r="C1902">
        <v>131465</v>
      </c>
      <c r="D1902" s="275" t="s">
        <v>15324</v>
      </c>
      <c r="E1902" s="301">
        <v>1632</v>
      </c>
      <c r="F1902" s="303">
        <v>43024</v>
      </c>
      <c r="G1902" s="301">
        <v>1632</v>
      </c>
      <c r="H1902" s="301">
        <f>Tabla15[[#This Row],[Importe]]-Tabla15[[#This Row],[Pagado]]</f>
        <v>0</v>
      </c>
      <c r="I1902" s="275" t="s">
        <v>15214</v>
      </c>
    </row>
    <row r="1903" spans="1:9" x14ac:dyDescent="0.25">
      <c r="A1903" s="420">
        <v>43023</v>
      </c>
      <c r="B1903" s="302" t="s">
        <v>33579</v>
      </c>
      <c r="C1903">
        <v>131466</v>
      </c>
      <c r="D1903" s="275" t="s">
        <v>15311</v>
      </c>
      <c r="E1903" s="301">
        <v>2040.36</v>
      </c>
      <c r="F1903" s="303">
        <v>43024</v>
      </c>
      <c r="G1903" s="301">
        <v>2040.36</v>
      </c>
      <c r="H1903" s="301">
        <f>Tabla15[[#This Row],[Importe]]-Tabla15[[#This Row],[Pagado]]</f>
        <v>0</v>
      </c>
      <c r="I1903" s="275" t="s">
        <v>15214</v>
      </c>
    </row>
    <row r="1904" spans="1:9" x14ac:dyDescent="0.25">
      <c r="A1904" s="420">
        <v>43023</v>
      </c>
      <c r="B1904" s="302" t="s">
        <v>33580</v>
      </c>
      <c r="C1904">
        <v>131467</v>
      </c>
      <c r="D1904" s="275" t="s">
        <v>15346</v>
      </c>
      <c r="E1904" s="301">
        <v>3196.8</v>
      </c>
      <c r="F1904" s="303">
        <v>43024</v>
      </c>
      <c r="G1904" s="301">
        <v>3196.8</v>
      </c>
      <c r="H1904" s="301">
        <f>Tabla15[[#This Row],[Importe]]-Tabla15[[#This Row],[Pagado]]</f>
        <v>0</v>
      </c>
      <c r="I1904" s="275" t="s">
        <v>15214</v>
      </c>
    </row>
    <row r="1905" spans="1:9" x14ac:dyDescent="0.25">
      <c r="A1905" s="420">
        <v>43023</v>
      </c>
      <c r="B1905" s="302" t="s">
        <v>33581</v>
      </c>
      <c r="C1905">
        <v>131468</v>
      </c>
      <c r="D1905" s="275" t="s">
        <v>15378</v>
      </c>
      <c r="E1905" s="301">
        <v>3454.4</v>
      </c>
      <c r="F1905" s="303">
        <v>43023</v>
      </c>
      <c r="G1905" s="301">
        <v>3454.4</v>
      </c>
      <c r="H1905" s="301">
        <f>Tabla15[[#This Row],[Importe]]-Tabla15[[#This Row],[Pagado]]</f>
        <v>0</v>
      </c>
      <c r="I1905" s="275" t="s">
        <v>15214</v>
      </c>
    </row>
    <row r="1906" spans="1:9" x14ac:dyDescent="0.25">
      <c r="A1906" s="420">
        <v>43023</v>
      </c>
      <c r="B1906" s="302" t="s">
        <v>33582</v>
      </c>
      <c r="C1906">
        <v>131469</v>
      </c>
      <c r="D1906" s="275" t="s">
        <v>15313</v>
      </c>
      <c r="E1906" s="301">
        <v>12826.2</v>
      </c>
      <c r="F1906" s="303">
        <v>43025</v>
      </c>
      <c r="G1906" s="301">
        <v>12826.2</v>
      </c>
      <c r="H1906" s="301">
        <f>Tabla15[[#This Row],[Importe]]-Tabla15[[#This Row],[Pagado]]</f>
        <v>0</v>
      </c>
      <c r="I1906" s="275" t="s">
        <v>15214</v>
      </c>
    </row>
    <row r="1907" spans="1:9" x14ac:dyDescent="0.25">
      <c r="A1907" s="420">
        <v>43023</v>
      </c>
      <c r="B1907" s="302" t="s">
        <v>33583</v>
      </c>
      <c r="C1907">
        <v>131470</v>
      </c>
      <c r="D1907" s="275" t="s">
        <v>15624</v>
      </c>
      <c r="E1907" s="301">
        <v>2907.2</v>
      </c>
      <c r="F1907" s="303">
        <v>43028</v>
      </c>
      <c r="G1907" s="301">
        <v>2907.2</v>
      </c>
      <c r="H1907" s="301">
        <f>Tabla15[[#This Row],[Importe]]-Tabla15[[#This Row],[Pagado]]</f>
        <v>0</v>
      </c>
      <c r="I1907" s="275" t="s">
        <v>15214</v>
      </c>
    </row>
    <row r="1908" spans="1:9" x14ac:dyDescent="0.25">
      <c r="A1908" s="420">
        <v>43023</v>
      </c>
      <c r="B1908" s="302" t="s">
        <v>33584</v>
      </c>
      <c r="C1908">
        <v>131471</v>
      </c>
      <c r="D1908" s="275" t="s">
        <v>15566</v>
      </c>
      <c r="E1908" s="301">
        <v>3582</v>
      </c>
      <c r="F1908" s="303">
        <v>43023</v>
      </c>
      <c r="G1908" s="301">
        <v>3582</v>
      </c>
      <c r="H1908" s="301">
        <f>Tabla15[[#This Row],[Importe]]-Tabla15[[#This Row],[Pagado]]</f>
        <v>0</v>
      </c>
      <c r="I1908" s="275" t="s">
        <v>15214</v>
      </c>
    </row>
    <row r="1909" spans="1:9" x14ac:dyDescent="0.25">
      <c r="A1909" s="420">
        <v>43023</v>
      </c>
      <c r="B1909" s="302" t="s">
        <v>33585</v>
      </c>
      <c r="C1909">
        <v>131472</v>
      </c>
      <c r="D1909" s="275" t="s">
        <v>15298</v>
      </c>
      <c r="E1909" s="301">
        <v>553.5</v>
      </c>
      <c r="F1909" s="303">
        <v>43023</v>
      </c>
      <c r="G1909" s="301">
        <v>553.5</v>
      </c>
      <c r="H1909" s="301">
        <f>Tabla15[[#This Row],[Importe]]-Tabla15[[#This Row],[Pagado]]</f>
        <v>0</v>
      </c>
      <c r="I1909" s="275" t="s">
        <v>15214</v>
      </c>
    </row>
    <row r="1910" spans="1:9" x14ac:dyDescent="0.25">
      <c r="A1910" s="420">
        <v>43023</v>
      </c>
      <c r="B1910" s="302" t="s">
        <v>33586</v>
      </c>
      <c r="C1910">
        <v>131473</v>
      </c>
      <c r="D1910" s="275" t="s">
        <v>15442</v>
      </c>
      <c r="E1910" s="301">
        <v>16728</v>
      </c>
      <c r="F1910" s="303">
        <v>43024</v>
      </c>
      <c r="G1910" s="301">
        <v>16728</v>
      </c>
      <c r="H1910" s="301">
        <f>Tabla15[[#This Row],[Importe]]-Tabla15[[#This Row],[Pagado]]</f>
        <v>0</v>
      </c>
      <c r="I1910" s="275" t="s">
        <v>15214</v>
      </c>
    </row>
    <row r="1911" spans="1:9" x14ac:dyDescent="0.25">
      <c r="A1911" s="420">
        <v>43023</v>
      </c>
      <c r="B1911" s="302" t="s">
        <v>33587</v>
      </c>
      <c r="C1911">
        <v>131474</v>
      </c>
      <c r="D1911" s="275" t="s">
        <v>15541</v>
      </c>
      <c r="E1911" s="301">
        <v>1687.2</v>
      </c>
      <c r="F1911" s="303">
        <v>43024</v>
      </c>
      <c r="G1911" s="301">
        <v>1687.2</v>
      </c>
      <c r="H1911" s="301">
        <f>Tabla15[[#This Row],[Importe]]-Tabla15[[#This Row],[Pagado]]</f>
        <v>0</v>
      </c>
      <c r="I1911" s="275" t="s">
        <v>15214</v>
      </c>
    </row>
    <row r="1912" spans="1:9" x14ac:dyDescent="0.25">
      <c r="A1912" s="420">
        <v>43023</v>
      </c>
      <c r="B1912" s="302" t="s">
        <v>33588</v>
      </c>
      <c r="C1912">
        <v>131475</v>
      </c>
      <c r="D1912" s="275" t="s">
        <v>15282</v>
      </c>
      <c r="E1912" s="301">
        <v>3115.8</v>
      </c>
      <c r="F1912" s="303">
        <v>43023</v>
      </c>
      <c r="G1912" s="301">
        <v>3115.8</v>
      </c>
      <c r="H1912" s="301">
        <f>Tabla15[[#This Row],[Importe]]-Tabla15[[#This Row],[Pagado]]</f>
        <v>0</v>
      </c>
      <c r="I1912" s="275" t="s">
        <v>15214</v>
      </c>
    </row>
    <row r="1913" spans="1:9" x14ac:dyDescent="0.25">
      <c r="A1913" s="420">
        <v>43023</v>
      </c>
      <c r="B1913" s="302" t="s">
        <v>33589</v>
      </c>
      <c r="C1913">
        <v>131476</v>
      </c>
      <c r="D1913" s="275" t="s">
        <v>15315</v>
      </c>
      <c r="E1913" s="301">
        <v>1013.1</v>
      </c>
      <c r="F1913" s="303">
        <v>43023</v>
      </c>
      <c r="G1913" s="301">
        <v>1013.1</v>
      </c>
      <c r="H1913" s="301">
        <f>Tabla15[[#This Row],[Importe]]-Tabla15[[#This Row],[Pagado]]</f>
        <v>0</v>
      </c>
      <c r="I1913" s="275" t="s">
        <v>15214</v>
      </c>
    </row>
    <row r="1914" spans="1:9" x14ac:dyDescent="0.25">
      <c r="A1914" s="420">
        <v>43023</v>
      </c>
      <c r="B1914" s="302" t="s">
        <v>33590</v>
      </c>
      <c r="C1914">
        <v>131477</v>
      </c>
      <c r="D1914" s="275" t="s">
        <v>15263</v>
      </c>
      <c r="E1914" s="301">
        <v>927</v>
      </c>
      <c r="F1914" s="303">
        <v>43023</v>
      </c>
      <c r="G1914" s="301">
        <v>927</v>
      </c>
      <c r="H1914" s="301">
        <f>Tabla15[[#This Row],[Importe]]-Tabla15[[#This Row],[Pagado]]</f>
        <v>0</v>
      </c>
      <c r="I1914" s="275" t="s">
        <v>15214</v>
      </c>
    </row>
    <row r="1915" spans="1:9" x14ac:dyDescent="0.25">
      <c r="A1915" s="420">
        <v>43023</v>
      </c>
      <c r="B1915" s="302" t="s">
        <v>33591</v>
      </c>
      <c r="C1915">
        <v>131478</v>
      </c>
      <c r="D1915" s="275" t="s">
        <v>15263</v>
      </c>
      <c r="E1915" s="301">
        <v>706.8</v>
      </c>
      <c r="F1915" s="303">
        <v>43023</v>
      </c>
      <c r="G1915" s="301">
        <v>706.8</v>
      </c>
      <c r="H1915" s="301">
        <f>Tabla15[[#This Row],[Importe]]-Tabla15[[#This Row],[Pagado]]</f>
        <v>0</v>
      </c>
      <c r="I1915" s="275" t="s">
        <v>15214</v>
      </c>
    </row>
    <row r="1916" spans="1:9" x14ac:dyDescent="0.25">
      <c r="A1916" s="420">
        <v>43023</v>
      </c>
      <c r="B1916" s="302" t="s">
        <v>33592</v>
      </c>
      <c r="C1916">
        <v>131479</v>
      </c>
      <c r="D1916" s="275" t="s">
        <v>19776</v>
      </c>
      <c r="E1916" s="301">
        <v>6020</v>
      </c>
      <c r="F1916" s="303">
        <v>43024</v>
      </c>
      <c r="G1916" s="301">
        <v>6020</v>
      </c>
      <c r="H1916" s="301">
        <f>Tabla15[[#This Row],[Importe]]-Tabla15[[#This Row],[Pagado]]</f>
        <v>0</v>
      </c>
      <c r="I1916" s="275" t="s">
        <v>15214</v>
      </c>
    </row>
    <row r="1917" spans="1:9" x14ac:dyDescent="0.25">
      <c r="A1917" s="420">
        <v>43023</v>
      </c>
      <c r="B1917" s="302" t="s">
        <v>33593</v>
      </c>
      <c r="C1917">
        <v>131480</v>
      </c>
      <c r="D1917" s="275" t="s">
        <v>15856</v>
      </c>
      <c r="E1917" s="301">
        <v>680</v>
      </c>
      <c r="F1917" s="303">
        <v>43024</v>
      </c>
      <c r="G1917" s="301">
        <v>680</v>
      </c>
      <c r="H1917" s="301">
        <f>Tabla15[[#This Row],[Importe]]-Tabla15[[#This Row],[Pagado]]</f>
        <v>0</v>
      </c>
      <c r="I1917" s="275" t="s">
        <v>15214</v>
      </c>
    </row>
    <row r="1918" spans="1:9" x14ac:dyDescent="0.25">
      <c r="A1918" s="420">
        <v>43023</v>
      </c>
      <c r="B1918" s="302" t="s">
        <v>33594</v>
      </c>
      <c r="C1918">
        <v>131481</v>
      </c>
      <c r="D1918" s="275" t="s">
        <v>15856</v>
      </c>
      <c r="E1918" s="301">
        <v>1490.4</v>
      </c>
      <c r="F1918" s="303">
        <v>43024</v>
      </c>
      <c r="G1918" s="301">
        <v>1490.4</v>
      </c>
      <c r="H1918" s="301">
        <f>Tabla15[[#This Row],[Importe]]-Tabla15[[#This Row],[Pagado]]</f>
        <v>0</v>
      </c>
      <c r="I1918" s="275" t="s">
        <v>15214</v>
      </c>
    </row>
    <row r="1919" spans="1:9" x14ac:dyDescent="0.25">
      <c r="A1919" s="420">
        <v>43023</v>
      </c>
      <c r="B1919" s="302" t="s">
        <v>33595</v>
      </c>
      <c r="C1919">
        <v>131482</v>
      </c>
      <c r="D1919" s="275" t="s">
        <v>15568</v>
      </c>
      <c r="E1919" s="301">
        <v>6408</v>
      </c>
      <c r="F1919" s="303">
        <v>43024</v>
      </c>
      <c r="G1919" s="301">
        <v>6408</v>
      </c>
      <c r="H1919" s="301">
        <f>Tabla15[[#This Row],[Importe]]-Tabla15[[#This Row],[Pagado]]</f>
        <v>0</v>
      </c>
      <c r="I1919" s="275" t="s">
        <v>15214</v>
      </c>
    </row>
    <row r="1920" spans="1:9" x14ac:dyDescent="0.25">
      <c r="A1920" s="420">
        <v>43023</v>
      </c>
      <c r="B1920" s="302" t="s">
        <v>33596</v>
      </c>
      <c r="C1920">
        <v>131483</v>
      </c>
      <c r="D1920" s="275" t="s">
        <v>15725</v>
      </c>
      <c r="E1920" s="301">
        <v>5468.4</v>
      </c>
      <c r="F1920" s="303">
        <v>43026</v>
      </c>
      <c r="G1920" s="301">
        <v>5468.4</v>
      </c>
      <c r="H1920" s="301">
        <f>Tabla15[[#This Row],[Importe]]-Tabla15[[#This Row],[Pagado]]</f>
        <v>0</v>
      </c>
      <c r="I1920" s="275" t="s">
        <v>15214</v>
      </c>
    </row>
    <row r="1921" spans="1:9" x14ac:dyDescent="0.25">
      <c r="A1921" s="420">
        <v>43023</v>
      </c>
      <c r="B1921" s="302" t="s">
        <v>33597</v>
      </c>
      <c r="C1921">
        <v>131484</v>
      </c>
      <c r="D1921" s="275" t="s">
        <v>15385</v>
      </c>
      <c r="E1921" s="301">
        <v>4590.8</v>
      </c>
      <c r="F1921" s="303">
        <v>43024</v>
      </c>
      <c r="G1921" s="301">
        <v>4590.8</v>
      </c>
      <c r="H1921" s="301">
        <f>Tabla15[[#This Row],[Importe]]-Tabla15[[#This Row],[Pagado]]</f>
        <v>0</v>
      </c>
      <c r="I1921" s="275" t="s">
        <v>15214</v>
      </c>
    </row>
    <row r="1922" spans="1:9" x14ac:dyDescent="0.25">
      <c r="A1922" s="420">
        <v>43023</v>
      </c>
      <c r="B1922" s="302" t="s">
        <v>33598</v>
      </c>
      <c r="C1922">
        <v>131485</v>
      </c>
      <c r="D1922" s="275" t="s">
        <v>19700</v>
      </c>
      <c r="E1922" s="301">
        <v>2429</v>
      </c>
      <c r="F1922" s="303">
        <v>43024</v>
      </c>
      <c r="G1922" s="301">
        <v>2429</v>
      </c>
      <c r="H1922" s="301">
        <f>Tabla15[[#This Row],[Importe]]-Tabla15[[#This Row],[Pagado]]</f>
        <v>0</v>
      </c>
      <c r="I1922" s="275" t="s">
        <v>15214</v>
      </c>
    </row>
    <row r="1923" spans="1:9" x14ac:dyDescent="0.25">
      <c r="A1923" s="420">
        <v>43023</v>
      </c>
      <c r="B1923" s="302" t="s">
        <v>33599</v>
      </c>
      <c r="C1923">
        <v>131486</v>
      </c>
      <c r="D1923" s="275" t="s">
        <v>15213</v>
      </c>
      <c r="E1923" s="301">
        <v>3630</v>
      </c>
      <c r="F1923" s="303">
        <v>43024</v>
      </c>
      <c r="G1923" s="301">
        <v>3630</v>
      </c>
      <c r="H1923" s="301">
        <f>Tabla15[[#This Row],[Importe]]-Tabla15[[#This Row],[Pagado]]</f>
        <v>0</v>
      </c>
      <c r="I1923" s="275" t="s">
        <v>15214</v>
      </c>
    </row>
    <row r="1924" spans="1:9" x14ac:dyDescent="0.25">
      <c r="A1924" s="420">
        <v>43023</v>
      </c>
      <c r="B1924" s="302" t="s">
        <v>33600</v>
      </c>
      <c r="C1924">
        <v>131487</v>
      </c>
      <c r="D1924" s="275" t="s">
        <v>15284</v>
      </c>
      <c r="E1924" s="301">
        <v>1104</v>
      </c>
      <c r="F1924" s="303">
        <v>43023</v>
      </c>
      <c r="G1924" s="301">
        <v>1104</v>
      </c>
      <c r="H1924" s="301">
        <f>Tabla15[[#This Row],[Importe]]-Tabla15[[#This Row],[Pagado]]</f>
        <v>0</v>
      </c>
      <c r="I1924" s="275" t="s">
        <v>15214</v>
      </c>
    </row>
    <row r="1925" spans="1:9" x14ac:dyDescent="0.25">
      <c r="A1925" s="420">
        <v>43023</v>
      </c>
      <c r="B1925" s="302" t="s">
        <v>33601</v>
      </c>
      <c r="C1925">
        <v>131488</v>
      </c>
      <c r="D1925" s="275" t="s">
        <v>15810</v>
      </c>
      <c r="E1925" s="301">
        <v>458.5</v>
      </c>
      <c r="F1925" s="303">
        <v>43023</v>
      </c>
      <c r="G1925" s="301">
        <v>458.5</v>
      </c>
      <c r="H1925" s="301">
        <f>Tabla15[[#This Row],[Importe]]-Tabla15[[#This Row],[Pagado]]</f>
        <v>0</v>
      </c>
      <c r="I1925" s="275" t="s">
        <v>15214</v>
      </c>
    </row>
    <row r="1926" spans="1:9" x14ac:dyDescent="0.25">
      <c r="A1926" s="420">
        <v>43023</v>
      </c>
      <c r="B1926" s="302" t="s">
        <v>33602</v>
      </c>
      <c r="C1926">
        <v>131489</v>
      </c>
      <c r="D1926" s="275" t="s">
        <v>19699</v>
      </c>
      <c r="E1926" s="301">
        <v>1320</v>
      </c>
      <c r="F1926" s="303">
        <v>43023</v>
      </c>
      <c r="G1926" s="301">
        <v>1320</v>
      </c>
      <c r="H1926" s="301">
        <f>Tabla15[[#This Row],[Importe]]-Tabla15[[#This Row],[Pagado]]</f>
        <v>0</v>
      </c>
      <c r="I1926" s="275" t="s">
        <v>15214</v>
      </c>
    </row>
    <row r="1927" spans="1:9" x14ac:dyDescent="0.25">
      <c r="A1927" s="420">
        <v>43023</v>
      </c>
      <c r="B1927" s="302" t="s">
        <v>33603</v>
      </c>
      <c r="C1927">
        <v>131490</v>
      </c>
      <c r="D1927" s="275" t="s">
        <v>15435</v>
      </c>
      <c r="E1927" s="301">
        <v>7225.2</v>
      </c>
      <c r="F1927" s="303">
        <v>43023</v>
      </c>
      <c r="G1927" s="301">
        <v>7225.2</v>
      </c>
      <c r="H1927" s="301">
        <f>Tabla15[[#This Row],[Importe]]-Tabla15[[#This Row],[Pagado]]</f>
        <v>0</v>
      </c>
      <c r="I1927" s="275" t="s">
        <v>15214</v>
      </c>
    </row>
    <row r="1928" spans="1:9" x14ac:dyDescent="0.25">
      <c r="A1928" s="420">
        <v>43023</v>
      </c>
      <c r="B1928" s="302" t="s">
        <v>33604</v>
      </c>
      <c r="C1928">
        <v>131491</v>
      </c>
      <c r="D1928" s="275" t="s">
        <v>15267</v>
      </c>
      <c r="E1928" s="301">
        <v>12507.9</v>
      </c>
      <c r="F1928" s="303">
        <v>43024</v>
      </c>
      <c r="G1928" s="301">
        <v>12507.9</v>
      </c>
      <c r="H1928" s="301">
        <f>Tabla15[[#This Row],[Importe]]-Tabla15[[#This Row],[Pagado]]</f>
        <v>0</v>
      </c>
      <c r="I1928" s="275" t="s">
        <v>15214</v>
      </c>
    </row>
    <row r="1929" spans="1:9" x14ac:dyDescent="0.25">
      <c r="A1929" s="420">
        <v>43023</v>
      </c>
      <c r="B1929" s="302" t="s">
        <v>33605</v>
      </c>
      <c r="C1929">
        <v>131492</v>
      </c>
      <c r="D1929" s="275" t="s">
        <v>33606</v>
      </c>
      <c r="E1929" s="301">
        <v>3006</v>
      </c>
      <c r="F1929" s="303">
        <v>43023</v>
      </c>
      <c r="G1929" s="301">
        <v>3006</v>
      </c>
      <c r="H1929" s="301">
        <f>Tabla15[[#This Row],[Importe]]-Tabla15[[#This Row],[Pagado]]</f>
        <v>0</v>
      </c>
      <c r="I1929" s="275" t="s">
        <v>15214</v>
      </c>
    </row>
    <row r="1930" spans="1:9" x14ac:dyDescent="0.25">
      <c r="A1930" s="420">
        <v>43023</v>
      </c>
      <c r="B1930" s="302" t="s">
        <v>33607</v>
      </c>
      <c r="C1930">
        <v>131493</v>
      </c>
      <c r="D1930" s="275" t="s">
        <v>15284</v>
      </c>
      <c r="E1930" s="301">
        <v>1243</v>
      </c>
      <c r="F1930" s="303">
        <v>43023</v>
      </c>
      <c r="G1930" s="301">
        <v>1243</v>
      </c>
      <c r="H1930" s="301">
        <f>Tabla15[[#This Row],[Importe]]-Tabla15[[#This Row],[Pagado]]</f>
        <v>0</v>
      </c>
      <c r="I1930" s="275" t="s">
        <v>15214</v>
      </c>
    </row>
    <row r="1931" spans="1:9" x14ac:dyDescent="0.25">
      <c r="A1931" s="420">
        <v>43023</v>
      </c>
      <c r="B1931" s="302" t="s">
        <v>33608</v>
      </c>
      <c r="C1931">
        <v>131494</v>
      </c>
      <c r="D1931" s="275" t="s">
        <v>16126</v>
      </c>
      <c r="E1931" s="301">
        <v>1343</v>
      </c>
      <c r="F1931" s="303">
        <v>43023</v>
      </c>
      <c r="G1931" s="301">
        <v>1343</v>
      </c>
      <c r="H1931" s="301">
        <f>Tabla15[[#This Row],[Importe]]-Tabla15[[#This Row],[Pagado]]</f>
        <v>0</v>
      </c>
      <c r="I1931" s="275" t="s">
        <v>15214</v>
      </c>
    </row>
    <row r="1932" spans="1:9" x14ac:dyDescent="0.25">
      <c r="A1932" s="420">
        <v>43023</v>
      </c>
      <c r="B1932" s="302" t="s">
        <v>33609</v>
      </c>
      <c r="C1932">
        <v>131495</v>
      </c>
      <c r="D1932" s="275" t="s">
        <v>15421</v>
      </c>
      <c r="E1932" s="301">
        <v>3036.1</v>
      </c>
      <c r="F1932" s="303">
        <v>43024</v>
      </c>
      <c r="G1932" s="301">
        <v>3036.1</v>
      </c>
      <c r="H1932" s="301">
        <f>Tabla15[[#This Row],[Importe]]-Tabla15[[#This Row],[Pagado]]</f>
        <v>0</v>
      </c>
      <c r="I1932" s="275" t="s">
        <v>15214</v>
      </c>
    </row>
    <row r="1933" spans="1:9" x14ac:dyDescent="0.25">
      <c r="A1933" s="420">
        <v>43024</v>
      </c>
      <c r="B1933" s="302" t="s">
        <v>33610</v>
      </c>
      <c r="C1933">
        <v>131496</v>
      </c>
      <c r="D1933" s="275" t="s">
        <v>21386</v>
      </c>
      <c r="E1933" s="301">
        <v>9921.6</v>
      </c>
      <c r="F1933" s="303">
        <v>43025</v>
      </c>
      <c r="G1933" s="301">
        <v>9921.6</v>
      </c>
      <c r="H1933" s="301">
        <f>Tabla15[[#This Row],[Importe]]-Tabla15[[#This Row],[Pagado]]</f>
        <v>0</v>
      </c>
      <c r="I1933" s="275" t="s">
        <v>15214</v>
      </c>
    </row>
    <row r="1934" spans="1:9" x14ac:dyDescent="0.25">
      <c r="A1934" s="420">
        <v>43024</v>
      </c>
      <c r="B1934" s="302" t="s">
        <v>33611</v>
      </c>
      <c r="C1934">
        <v>131497</v>
      </c>
      <c r="D1934" s="275" t="s">
        <v>15213</v>
      </c>
      <c r="E1934" s="301">
        <v>46457.2</v>
      </c>
      <c r="F1934" s="303">
        <v>43025</v>
      </c>
      <c r="G1934" s="301">
        <v>46457.2</v>
      </c>
      <c r="H1934" s="301">
        <f>Tabla15[[#This Row],[Importe]]-Tabla15[[#This Row],[Pagado]]</f>
        <v>0</v>
      </c>
      <c r="I1934" s="275" t="s">
        <v>15214</v>
      </c>
    </row>
    <row r="1935" spans="1:9" x14ac:dyDescent="0.25">
      <c r="A1935" s="420">
        <v>43024</v>
      </c>
      <c r="B1935" s="302" t="s">
        <v>33612</v>
      </c>
      <c r="C1935">
        <v>131498</v>
      </c>
      <c r="D1935" s="275" t="s">
        <v>15315</v>
      </c>
      <c r="E1935" s="301">
        <v>6552</v>
      </c>
      <c r="F1935" s="303">
        <v>43024</v>
      </c>
      <c r="G1935" s="301">
        <v>6552</v>
      </c>
      <c r="H1935" s="301">
        <f>Tabla15[[#This Row],[Importe]]-Tabla15[[#This Row],[Pagado]]</f>
        <v>0</v>
      </c>
      <c r="I1935" s="275" t="s">
        <v>15214</v>
      </c>
    </row>
    <row r="1936" spans="1:9" x14ac:dyDescent="0.25">
      <c r="A1936" s="420">
        <v>43024</v>
      </c>
      <c r="B1936" s="302" t="s">
        <v>33613</v>
      </c>
      <c r="C1936">
        <v>131499</v>
      </c>
      <c r="D1936" s="275" t="s">
        <v>18544</v>
      </c>
      <c r="E1936" s="301">
        <v>6557.4</v>
      </c>
      <c r="F1936" s="303">
        <v>43024</v>
      </c>
      <c r="G1936" s="301">
        <v>6557.4</v>
      </c>
      <c r="H1936" s="301">
        <f>Tabla15[[#This Row],[Importe]]-Tabla15[[#This Row],[Pagado]]</f>
        <v>0</v>
      </c>
      <c r="I1936" s="275" t="s">
        <v>15214</v>
      </c>
    </row>
    <row r="1937" spans="1:9" x14ac:dyDescent="0.25">
      <c r="A1937" s="420">
        <v>43024</v>
      </c>
      <c r="B1937" s="302" t="s">
        <v>33614</v>
      </c>
      <c r="C1937">
        <v>131500</v>
      </c>
      <c r="D1937" s="275" t="s">
        <v>15240</v>
      </c>
      <c r="E1937" s="301">
        <v>3024</v>
      </c>
      <c r="F1937" s="303">
        <v>43026</v>
      </c>
      <c r="G1937" s="301">
        <v>3024</v>
      </c>
      <c r="H1937" s="301">
        <f>Tabla15[[#This Row],[Importe]]-Tabla15[[#This Row],[Pagado]]</f>
        <v>0</v>
      </c>
      <c r="I1937" s="275" t="s">
        <v>15214</v>
      </c>
    </row>
    <row r="1938" spans="1:9" x14ac:dyDescent="0.25">
      <c r="A1938" s="420">
        <v>43024</v>
      </c>
      <c r="B1938" s="302" t="s">
        <v>33615</v>
      </c>
      <c r="C1938">
        <v>131501</v>
      </c>
      <c r="D1938" s="275" t="s">
        <v>15348</v>
      </c>
      <c r="E1938" s="301">
        <v>2953.8</v>
      </c>
      <c r="F1938" s="303">
        <v>43025</v>
      </c>
      <c r="G1938" s="301">
        <v>2953.8</v>
      </c>
      <c r="H1938" s="301">
        <f>Tabla15[[#This Row],[Importe]]-Tabla15[[#This Row],[Pagado]]</f>
        <v>0</v>
      </c>
      <c r="I1938" s="275" t="s">
        <v>15214</v>
      </c>
    </row>
    <row r="1939" spans="1:9" x14ac:dyDescent="0.25">
      <c r="A1939" s="420">
        <v>43024</v>
      </c>
      <c r="B1939" s="302" t="s">
        <v>33616</v>
      </c>
      <c r="C1939">
        <v>131502</v>
      </c>
      <c r="D1939" s="275" t="s">
        <v>15487</v>
      </c>
      <c r="E1939" s="301">
        <v>9663.2000000000007</v>
      </c>
      <c r="F1939" s="303">
        <v>43024</v>
      </c>
      <c r="G1939" s="301">
        <v>9663.2000000000007</v>
      </c>
      <c r="H1939" s="301">
        <f>Tabla15[[#This Row],[Importe]]-Tabla15[[#This Row],[Pagado]]</f>
        <v>0</v>
      </c>
      <c r="I1939" s="275" t="s">
        <v>15214</v>
      </c>
    </row>
    <row r="1940" spans="1:9" x14ac:dyDescent="0.25">
      <c r="A1940" s="420">
        <v>43024</v>
      </c>
      <c r="B1940" s="302" t="s">
        <v>33617</v>
      </c>
      <c r="C1940">
        <v>131503</v>
      </c>
      <c r="D1940" s="275" t="s">
        <v>15861</v>
      </c>
      <c r="E1940" s="301">
        <v>808.3</v>
      </c>
      <c r="F1940" s="303">
        <v>43024</v>
      </c>
      <c r="G1940" s="301">
        <v>808.3</v>
      </c>
      <c r="H1940" s="301">
        <f>Tabla15[[#This Row],[Importe]]-Tabla15[[#This Row],[Pagado]]</f>
        <v>0</v>
      </c>
      <c r="I1940" s="275" t="s">
        <v>15214</v>
      </c>
    </row>
    <row r="1941" spans="1:9" x14ac:dyDescent="0.25">
      <c r="A1941" s="420">
        <v>43024</v>
      </c>
      <c r="B1941" s="302" t="s">
        <v>33618</v>
      </c>
      <c r="C1941">
        <v>131504</v>
      </c>
      <c r="D1941" s="275" t="s">
        <v>16249</v>
      </c>
      <c r="E1941" s="301">
        <v>2873.2</v>
      </c>
      <c r="F1941" s="303">
        <v>43024</v>
      </c>
      <c r="G1941" s="301">
        <v>2873.2</v>
      </c>
      <c r="H1941" s="301">
        <f>Tabla15[[#This Row],[Importe]]-Tabla15[[#This Row],[Pagado]]</f>
        <v>0</v>
      </c>
      <c r="I1941" s="275" t="s">
        <v>15214</v>
      </c>
    </row>
    <row r="1942" spans="1:9" x14ac:dyDescent="0.25">
      <c r="A1942" s="420">
        <v>43024</v>
      </c>
      <c r="B1942" s="302" t="s">
        <v>33619</v>
      </c>
      <c r="C1942">
        <v>131505</v>
      </c>
      <c r="D1942" s="275" t="s">
        <v>15230</v>
      </c>
      <c r="E1942" s="301">
        <v>9324</v>
      </c>
      <c r="F1942" s="303">
        <v>43026</v>
      </c>
      <c r="G1942" s="301">
        <v>9324</v>
      </c>
      <c r="H1942" s="301">
        <f>Tabla15[[#This Row],[Importe]]-Tabla15[[#This Row],[Pagado]]</f>
        <v>0</v>
      </c>
      <c r="I1942" s="275" t="s">
        <v>15214</v>
      </c>
    </row>
    <row r="1943" spans="1:9" x14ac:dyDescent="0.25">
      <c r="A1943" s="420">
        <v>43024</v>
      </c>
      <c r="B1943" s="302" t="s">
        <v>33620</v>
      </c>
      <c r="C1943">
        <v>131506</v>
      </c>
      <c r="D1943" s="275" t="s">
        <v>15242</v>
      </c>
      <c r="E1943" s="301">
        <v>5149.6000000000004</v>
      </c>
      <c r="F1943" s="303">
        <v>43025</v>
      </c>
      <c r="G1943" s="301">
        <v>5149.6000000000004</v>
      </c>
      <c r="H1943" s="301">
        <f>Tabla15[[#This Row],[Importe]]-Tabla15[[#This Row],[Pagado]]</f>
        <v>0</v>
      </c>
      <c r="I1943" s="275" t="s">
        <v>15214</v>
      </c>
    </row>
    <row r="1944" spans="1:9" x14ac:dyDescent="0.25">
      <c r="A1944" s="420">
        <v>43024</v>
      </c>
      <c r="B1944" s="302" t="s">
        <v>33621</v>
      </c>
      <c r="C1944">
        <v>131507</v>
      </c>
      <c r="D1944" s="275" t="s">
        <v>15232</v>
      </c>
      <c r="E1944" s="301">
        <v>3174.6</v>
      </c>
      <c r="F1944" s="303">
        <v>43027</v>
      </c>
      <c r="G1944" s="301">
        <v>3174.6</v>
      </c>
      <c r="H1944" s="301">
        <f>Tabla15[[#This Row],[Importe]]-Tabla15[[#This Row],[Pagado]]</f>
        <v>0</v>
      </c>
      <c r="I1944" s="275" t="s">
        <v>15214</v>
      </c>
    </row>
    <row r="1945" spans="1:9" x14ac:dyDescent="0.25">
      <c r="A1945" s="420">
        <v>43024</v>
      </c>
      <c r="B1945" s="302" t="s">
        <v>33622</v>
      </c>
      <c r="C1945">
        <v>131508</v>
      </c>
      <c r="D1945" s="275" t="s">
        <v>5556</v>
      </c>
      <c r="E1945" s="301">
        <v>54222.3</v>
      </c>
      <c r="F1945" s="303">
        <v>43024</v>
      </c>
      <c r="G1945" s="301">
        <v>54222.3</v>
      </c>
      <c r="H1945" s="301">
        <f>Tabla15[[#This Row],[Importe]]-Tabla15[[#This Row],[Pagado]]</f>
        <v>0</v>
      </c>
      <c r="I1945" s="275" t="s">
        <v>15214</v>
      </c>
    </row>
    <row r="1946" spans="1:9" ht="15.75" x14ac:dyDescent="0.25">
      <c r="A1946" s="420">
        <v>43024</v>
      </c>
      <c r="B1946" s="302" t="s">
        <v>33623</v>
      </c>
      <c r="C1946">
        <v>131509</v>
      </c>
      <c r="D1946" s="282" t="s">
        <v>95</v>
      </c>
      <c r="E1946" s="301">
        <v>0</v>
      </c>
      <c r="F1946" s="243" t="s">
        <v>95</v>
      </c>
      <c r="G1946" s="301">
        <v>0</v>
      </c>
      <c r="H1946" s="301">
        <f>Tabla15[[#This Row],[Importe]]-Tabla15[[#This Row],[Pagado]]</f>
        <v>0</v>
      </c>
      <c r="I1946" s="275" t="s">
        <v>95</v>
      </c>
    </row>
    <row r="1947" spans="1:9" x14ac:dyDescent="0.25">
      <c r="A1947" s="420">
        <v>43024</v>
      </c>
      <c r="B1947" s="302" t="s">
        <v>33624</v>
      </c>
      <c r="C1947">
        <v>131510</v>
      </c>
      <c r="D1947" s="275" t="s">
        <v>30057</v>
      </c>
      <c r="E1947" s="301">
        <v>3938.4</v>
      </c>
      <c r="F1947" s="303">
        <v>43025</v>
      </c>
      <c r="G1947" s="301">
        <v>3938.4</v>
      </c>
      <c r="H1947" s="301">
        <f>Tabla15[[#This Row],[Importe]]-Tabla15[[#This Row],[Pagado]]</f>
        <v>0</v>
      </c>
      <c r="I1947" s="275" t="s">
        <v>15214</v>
      </c>
    </row>
    <row r="1948" spans="1:9" x14ac:dyDescent="0.25">
      <c r="A1948" s="420">
        <v>43024</v>
      </c>
      <c r="B1948" s="302" t="s">
        <v>33625</v>
      </c>
      <c r="C1948">
        <v>131511</v>
      </c>
      <c r="D1948" s="275" t="s">
        <v>15475</v>
      </c>
      <c r="E1948" s="301">
        <v>6840</v>
      </c>
      <c r="F1948" s="303">
        <v>43026</v>
      </c>
      <c r="G1948" s="301">
        <v>6840</v>
      </c>
      <c r="H1948" s="301">
        <f>Tabla15[[#This Row],[Importe]]-Tabla15[[#This Row],[Pagado]]</f>
        <v>0</v>
      </c>
      <c r="I1948" s="275" t="s">
        <v>15214</v>
      </c>
    </row>
    <row r="1949" spans="1:9" x14ac:dyDescent="0.25">
      <c r="A1949" s="420">
        <v>43024</v>
      </c>
      <c r="B1949" s="302" t="s">
        <v>33626</v>
      </c>
      <c r="C1949">
        <v>131512</v>
      </c>
      <c r="D1949" s="275" t="s">
        <v>15324</v>
      </c>
      <c r="E1949" s="301">
        <v>2176</v>
      </c>
      <c r="F1949" s="303">
        <v>43024</v>
      </c>
      <c r="G1949" s="301">
        <v>2176</v>
      </c>
      <c r="H1949" s="301">
        <f>Tabla15[[#This Row],[Importe]]-Tabla15[[#This Row],[Pagado]]</f>
        <v>0</v>
      </c>
      <c r="I1949" s="275" t="s">
        <v>15214</v>
      </c>
    </row>
    <row r="1950" spans="1:9" x14ac:dyDescent="0.25">
      <c r="A1950" s="420">
        <v>43024</v>
      </c>
      <c r="B1950" s="302" t="s">
        <v>33627</v>
      </c>
      <c r="C1950">
        <v>131513</v>
      </c>
      <c r="D1950" s="275" t="s">
        <v>15272</v>
      </c>
      <c r="E1950" s="301">
        <v>22062.2</v>
      </c>
      <c r="F1950" s="303">
        <v>43024</v>
      </c>
      <c r="G1950" s="301">
        <v>22062.2</v>
      </c>
      <c r="H1950" s="301">
        <f>Tabla15[[#This Row],[Importe]]-Tabla15[[#This Row],[Pagado]]</f>
        <v>0</v>
      </c>
      <c r="I1950" s="275" t="s">
        <v>15214</v>
      </c>
    </row>
    <row r="1951" spans="1:9" x14ac:dyDescent="0.25">
      <c r="A1951" s="420">
        <v>43024</v>
      </c>
      <c r="B1951" s="302" t="s">
        <v>33628</v>
      </c>
      <c r="C1951">
        <v>131514</v>
      </c>
      <c r="D1951" s="275" t="s">
        <v>15250</v>
      </c>
      <c r="E1951" s="301">
        <v>41381.56</v>
      </c>
      <c r="F1951" s="303">
        <v>43027</v>
      </c>
      <c r="G1951" s="301">
        <v>41381.56</v>
      </c>
      <c r="H1951" s="301">
        <f>Tabla15[[#This Row],[Importe]]-Tabla15[[#This Row],[Pagado]]</f>
        <v>0</v>
      </c>
      <c r="I1951" s="275" t="s">
        <v>15214</v>
      </c>
    </row>
    <row r="1952" spans="1:9" x14ac:dyDescent="0.25">
      <c r="A1952" s="420">
        <v>43024</v>
      </c>
      <c r="B1952" s="302" t="s">
        <v>33629</v>
      </c>
      <c r="C1952">
        <v>131515</v>
      </c>
      <c r="D1952" s="275" t="s">
        <v>15220</v>
      </c>
      <c r="E1952" s="301">
        <v>2200</v>
      </c>
      <c r="F1952" s="303">
        <v>43024</v>
      </c>
      <c r="G1952" s="301">
        <v>2200</v>
      </c>
      <c r="H1952" s="301">
        <f>Tabla15[[#This Row],[Importe]]-Tabla15[[#This Row],[Pagado]]</f>
        <v>0</v>
      </c>
      <c r="I1952" s="275" t="s">
        <v>15214</v>
      </c>
    </row>
    <row r="1953" spans="1:9" x14ac:dyDescent="0.25">
      <c r="A1953" s="420">
        <v>43024</v>
      </c>
      <c r="B1953" s="302" t="s">
        <v>33630</v>
      </c>
      <c r="C1953">
        <v>131516</v>
      </c>
      <c r="D1953" s="275" t="s">
        <v>19302</v>
      </c>
      <c r="E1953" s="301">
        <v>660</v>
      </c>
      <c r="F1953" s="303">
        <v>43024</v>
      </c>
      <c r="G1953" s="301">
        <v>660</v>
      </c>
      <c r="H1953" s="301">
        <f>Tabla15[[#This Row],[Importe]]-Tabla15[[#This Row],[Pagado]]</f>
        <v>0</v>
      </c>
      <c r="I1953" s="275" t="s">
        <v>15214</v>
      </c>
    </row>
    <row r="1954" spans="1:9" x14ac:dyDescent="0.25">
      <c r="A1954" s="420">
        <v>43024</v>
      </c>
      <c r="B1954" s="302" t="s">
        <v>33631</v>
      </c>
      <c r="C1954">
        <v>131517</v>
      </c>
      <c r="D1954" s="275" t="s">
        <v>15226</v>
      </c>
      <c r="E1954" s="301">
        <v>1674</v>
      </c>
      <c r="F1954" s="303">
        <v>43025</v>
      </c>
      <c r="G1954" s="301">
        <v>1674</v>
      </c>
      <c r="H1954" s="301">
        <f>Tabla15[[#This Row],[Importe]]-Tabla15[[#This Row],[Pagado]]</f>
        <v>0</v>
      </c>
      <c r="I1954" s="275" t="s">
        <v>15214</v>
      </c>
    </row>
    <row r="1955" spans="1:9" x14ac:dyDescent="0.25">
      <c r="A1955" s="420">
        <v>43024</v>
      </c>
      <c r="B1955" s="302" t="s">
        <v>33632</v>
      </c>
      <c r="C1955">
        <v>131518</v>
      </c>
      <c r="D1955" s="275" t="s">
        <v>15263</v>
      </c>
      <c r="E1955" s="301">
        <v>5122.2</v>
      </c>
      <c r="F1955" s="303">
        <v>43024</v>
      </c>
      <c r="G1955" s="301">
        <v>5122.2</v>
      </c>
      <c r="H1955" s="301">
        <f>Tabla15[[#This Row],[Importe]]-Tabla15[[#This Row],[Pagado]]</f>
        <v>0</v>
      </c>
      <c r="I1955" s="275" t="s">
        <v>15214</v>
      </c>
    </row>
    <row r="1956" spans="1:9" x14ac:dyDescent="0.25">
      <c r="A1956" s="420">
        <v>43024</v>
      </c>
      <c r="B1956" s="302" t="s">
        <v>33633</v>
      </c>
      <c r="C1956">
        <v>131519</v>
      </c>
      <c r="D1956" s="275" t="s">
        <v>15530</v>
      </c>
      <c r="E1956" s="301">
        <v>3627.6</v>
      </c>
      <c r="F1956" s="303">
        <v>43024</v>
      </c>
      <c r="G1956" s="301">
        <v>3627.6</v>
      </c>
      <c r="H1956" s="301">
        <f>Tabla15[[#This Row],[Importe]]-Tabla15[[#This Row],[Pagado]]</f>
        <v>0</v>
      </c>
      <c r="I1956" s="275" t="s">
        <v>15214</v>
      </c>
    </row>
    <row r="1957" spans="1:9" x14ac:dyDescent="0.25">
      <c r="A1957" s="420">
        <v>43024</v>
      </c>
      <c r="B1957" s="302" t="s">
        <v>33634</v>
      </c>
      <c r="C1957">
        <v>131520</v>
      </c>
      <c r="D1957" s="275" t="s">
        <v>17462</v>
      </c>
      <c r="E1957" s="301">
        <v>6981.1</v>
      </c>
      <c r="F1957" s="303">
        <v>43024</v>
      </c>
      <c r="G1957" s="301">
        <v>6981.1</v>
      </c>
      <c r="H1957" s="301">
        <f>Tabla15[[#This Row],[Importe]]-Tabla15[[#This Row],[Pagado]]</f>
        <v>0</v>
      </c>
      <c r="I1957" s="275" t="s">
        <v>15214</v>
      </c>
    </row>
    <row r="1958" spans="1:9" x14ac:dyDescent="0.25">
      <c r="A1958" s="420">
        <v>43024</v>
      </c>
      <c r="B1958" s="302" t="s">
        <v>33635</v>
      </c>
      <c r="C1958">
        <v>131521</v>
      </c>
      <c r="D1958" s="275" t="s">
        <v>15668</v>
      </c>
      <c r="E1958" s="301">
        <v>16754.400000000001</v>
      </c>
      <c r="F1958" s="303">
        <v>43026</v>
      </c>
      <c r="G1958" s="301">
        <v>16754.400000000001</v>
      </c>
      <c r="H1958" s="301">
        <f>Tabla15[[#This Row],[Importe]]-Tabla15[[#This Row],[Pagado]]</f>
        <v>0</v>
      </c>
      <c r="I1958" s="275" t="s">
        <v>15214</v>
      </c>
    </row>
    <row r="1959" spans="1:9" x14ac:dyDescent="0.25">
      <c r="A1959" s="420">
        <v>43024</v>
      </c>
      <c r="B1959" s="302" t="s">
        <v>33636</v>
      </c>
      <c r="C1959">
        <v>131522</v>
      </c>
      <c r="D1959" s="275" t="s">
        <v>15234</v>
      </c>
      <c r="E1959" s="301">
        <v>3405.6</v>
      </c>
      <c r="F1959" s="303">
        <v>43026</v>
      </c>
      <c r="G1959" s="301">
        <v>3405.6</v>
      </c>
      <c r="H1959" s="301">
        <f>Tabla15[[#This Row],[Importe]]-Tabla15[[#This Row],[Pagado]]</f>
        <v>0</v>
      </c>
      <c r="I1959" s="275" t="s">
        <v>15214</v>
      </c>
    </row>
    <row r="1960" spans="1:9" x14ac:dyDescent="0.25">
      <c r="A1960" s="420">
        <v>43024</v>
      </c>
      <c r="B1960" s="302" t="s">
        <v>33637</v>
      </c>
      <c r="C1960">
        <v>131523</v>
      </c>
      <c r="D1960" s="275" t="s">
        <v>15371</v>
      </c>
      <c r="E1960" s="301">
        <v>6234.4</v>
      </c>
      <c r="F1960" s="303">
        <v>43025</v>
      </c>
      <c r="G1960" s="301">
        <v>6234.4</v>
      </c>
      <c r="H1960" s="301">
        <f>Tabla15[[#This Row],[Importe]]-Tabla15[[#This Row],[Pagado]]</f>
        <v>0</v>
      </c>
      <c r="I1960" s="275" t="s">
        <v>15214</v>
      </c>
    </row>
    <row r="1961" spans="1:9" x14ac:dyDescent="0.25">
      <c r="A1961" s="420">
        <v>43024</v>
      </c>
      <c r="B1961" s="302" t="s">
        <v>33638</v>
      </c>
      <c r="C1961">
        <v>131524</v>
      </c>
      <c r="D1961" s="275" t="s">
        <v>16484</v>
      </c>
      <c r="E1961" s="301">
        <v>1175.2</v>
      </c>
      <c r="F1961" s="303">
        <v>43024</v>
      </c>
      <c r="G1961" s="301">
        <v>1175.2</v>
      </c>
      <c r="H1961" s="301">
        <f>Tabla15[[#This Row],[Importe]]-Tabla15[[#This Row],[Pagado]]</f>
        <v>0</v>
      </c>
      <c r="I1961" s="275" t="s">
        <v>15214</v>
      </c>
    </row>
    <row r="1962" spans="1:9" x14ac:dyDescent="0.25">
      <c r="A1962" s="420">
        <v>43024</v>
      </c>
      <c r="B1962" s="302" t="s">
        <v>33639</v>
      </c>
      <c r="C1962">
        <v>131525</v>
      </c>
      <c r="D1962" s="275" t="s">
        <v>15480</v>
      </c>
      <c r="E1962" s="301">
        <v>3526.2</v>
      </c>
      <c r="F1962" s="303">
        <v>43029</v>
      </c>
      <c r="G1962" s="301">
        <v>3526.2</v>
      </c>
      <c r="H1962" s="301">
        <f>Tabla15[[#This Row],[Importe]]-Tabla15[[#This Row],[Pagado]]</f>
        <v>0</v>
      </c>
      <c r="I1962" s="275" t="s">
        <v>15214</v>
      </c>
    </row>
    <row r="1963" spans="1:9" x14ac:dyDescent="0.25">
      <c r="A1963" s="420">
        <v>43024</v>
      </c>
      <c r="B1963" s="302" t="s">
        <v>33640</v>
      </c>
      <c r="C1963">
        <v>131526</v>
      </c>
      <c r="D1963" s="275" t="s">
        <v>19780</v>
      </c>
      <c r="E1963" s="301">
        <v>13342.2</v>
      </c>
      <c r="F1963" s="303">
        <v>43025</v>
      </c>
      <c r="G1963" s="301">
        <v>13342.2</v>
      </c>
      <c r="H1963" s="301">
        <f>Tabla15[[#This Row],[Importe]]-Tabla15[[#This Row],[Pagado]]</f>
        <v>0</v>
      </c>
      <c r="I1963" s="275" t="s">
        <v>15214</v>
      </c>
    </row>
    <row r="1964" spans="1:9" x14ac:dyDescent="0.25">
      <c r="A1964" s="420">
        <v>43024</v>
      </c>
      <c r="B1964" s="302" t="s">
        <v>33641</v>
      </c>
      <c r="C1964">
        <v>131527</v>
      </c>
      <c r="D1964" s="275" t="s">
        <v>5575</v>
      </c>
      <c r="E1964" s="301">
        <v>3420</v>
      </c>
      <c r="F1964" s="303">
        <v>43026</v>
      </c>
      <c r="G1964" s="301">
        <v>3420</v>
      </c>
      <c r="H1964" s="301">
        <f>Tabla15[[#This Row],[Importe]]-Tabla15[[#This Row],[Pagado]]</f>
        <v>0</v>
      </c>
      <c r="I1964" s="275" t="s">
        <v>15214</v>
      </c>
    </row>
    <row r="1965" spans="1:9" x14ac:dyDescent="0.25">
      <c r="A1965" s="420">
        <v>43024</v>
      </c>
      <c r="B1965" s="302" t="s">
        <v>33642</v>
      </c>
      <c r="C1965">
        <v>131528</v>
      </c>
      <c r="D1965" s="275" t="s">
        <v>17722</v>
      </c>
      <c r="E1965" s="301">
        <v>3470.6</v>
      </c>
      <c r="F1965" s="303">
        <v>43025</v>
      </c>
      <c r="G1965" s="301">
        <v>3470.6</v>
      </c>
      <c r="H1965" s="301">
        <f>Tabla15[[#This Row],[Importe]]-Tabla15[[#This Row],[Pagado]]</f>
        <v>0</v>
      </c>
      <c r="I1965" s="275" t="s">
        <v>15214</v>
      </c>
    </row>
    <row r="1966" spans="1:9" x14ac:dyDescent="0.25">
      <c r="A1966" s="420">
        <v>43024</v>
      </c>
      <c r="B1966" s="302" t="s">
        <v>33643</v>
      </c>
      <c r="C1966">
        <v>131529</v>
      </c>
      <c r="D1966" s="275" t="s">
        <v>15668</v>
      </c>
      <c r="E1966" s="301">
        <v>4182</v>
      </c>
      <c r="F1966" s="303">
        <v>43026</v>
      </c>
      <c r="G1966" s="301">
        <v>4182</v>
      </c>
      <c r="H1966" s="301">
        <f>Tabla15[[#This Row],[Importe]]-Tabla15[[#This Row],[Pagado]]</f>
        <v>0</v>
      </c>
      <c r="I1966" s="275" t="s">
        <v>15214</v>
      </c>
    </row>
    <row r="1967" spans="1:9" x14ac:dyDescent="0.25">
      <c r="A1967" s="420">
        <v>43024</v>
      </c>
      <c r="B1967" s="302" t="s">
        <v>33644</v>
      </c>
      <c r="C1967">
        <v>131530</v>
      </c>
      <c r="D1967" s="275" t="s">
        <v>15256</v>
      </c>
      <c r="E1967" s="301">
        <v>3562.2</v>
      </c>
      <c r="F1967" s="303">
        <v>43026</v>
      </c>
      <c r="G1967" s="301">
        <v>3562.2</v>
      </c>
      <c r="H1967" s="301">
        <f>Tabla15[[#This Row],[Importe]]-Tabla15[[#This Row],[Pagado]]</f>
        <v>0</v>
      </c>
      <c r="I1967" s="275" t="s">
        <v>15214</v>
      </c>
    </row>
    <row r="1968" spans="1:9" ht="15.75" x14ac:dyDescent="0.25">
      <c r="A1968" s="420">
        <v>43024</v>
      </c>
      <c r="B1968" s="302" t="s">
        <v>33645</v>
      </c>
      <c r="C1968">
        <v>131531</v>
      </c>
      <c r="D1968" s="248" t="s">
        <v>95</v>
      </c>
      <c r="E1968" s="301">
        <v>0</v>
      </c>
      <c r="F1968" s="243" t="s">
        <v>95</v>
      </c>
      <c r="G1968" s="301">
        <v>0</v>
      </c>
      <c r="H1968" s="301">
        <f>Tabla15[[#This Row],[Importe]]-Tabla15[[#This Row],[Pagado]]</f>
        <v>0</v>
      </c>
      <c r="I1968" s="275" t="s">
        <v>95</v>
      </c>
    </row>
    <row r="1969" spans="1:9" x14ac:dyDescent="0.25">
      <c r="A1969" s="420">
        <v>43024</v>
      </c>
      <c r="B1969" s="302" t="s">
        <v>33646</v>
      </c>
      <c r="C1969">
        <v>131532</v>
      </c>
      <c r="D1969" s="275" t="s">
        <v>15246</v>
      </c>
      <c r="E1969" s="301">
        <v>29108.799999999999</v>
      </c>
      <c r="F1969" s="303">
        <v>43026</v>
      </c>
      <c r="G1969" s="301">
        <v>29108.799999999999</v>
      </c>
      <c r="H1969" s="301">
        <f>Tabla15[[#This Row],[Importe]]-Tabla15[[#This Row],[Pagado]]</f>
        <v>0</v>
      </c>
      <c r="I1969" s="275" t="s">
        <v>15214</v>
      </c>
    </row>
    <row r="1970" spans="1:9" x14ac:dyDescent="0.25">
      <c r="A1970" s="420">
        <v>43024</v>
      </c>
      <c r="B1970" s="302" t="s">
        <v>33647</v>
      </c>
      <c r="C1970">
        <v>131533</v>
      </c>
      <c r="D1970" s="275" t="s">
        <v>15236</v>
      </c>
      <c r="E1970" s="301">
        <v>3319.2</v>
      </c>
      <c r="F1970" s="303">
        <v>43026</v>
      </c>
      <c r="G1970" s="301">
        <v>3319.2</v>
      </c>
      <c r="H1970" s="301">
        <f>Tabla15[[#This Row],[Importe]]-Tabla15[[#This Row],[Pagado]]</f>
        <v>0</v>
      </c>
      <c r="I1970" s="275" t="s">
        <v>15214</v>
      </c>
    </row>
    <row r="1971" spans="1:9" x14ac:dyDescent="0.25">
      <c r="A1971" s="420">
        <v>43024</v>
      </c>
      <c r="B1971" s="302" t="s">
        <v>33648</v>
      </c>
      <c r="C1971">
        <v>131534</v>
      </c>
      <c r="D1971" s="275" t="s">
        <v>15328</v>
      </c>
      <c r="E1971" s="301">
        <v>96201.32</v>
      </c>
      <c r="F1971" s="303">
        <v>43031</v>
      </c>
      <c r="G1971" s="301">
        <v>96201.32</v>
      </c>
      <c r="H1971" s="301">
        <f>Tabla15[[#This Row],[Importe]]-Tabla15[[#This Row],[Pagado]]</f>
        <v>0</v>
      </c>
      <c r="I1971" s="275" t="s">
        <v>15214</v>
      </c>
    </row>
    <row r="1972" spans="1:9" x14ac:dyDescent="0.25">
      <c r="A1972" s="420">
        <v>43024</v>
      </c>
      <c r="B1972" s="302" t="s">
        <v>33649</v>
      </c>
      <c r="C1972">
        <v>131535</v>
      </c>
      <c r="D1972" s="275" t="s">
        <v>15261</v>
      </c>
      <c r="E1972" s="301">
        <v>14052.72</v>
      </c>
      <c r="F1972" s="303">
        <v>43024</v>
      </c>
      <c r="G1972" s="301">
        <v>14052.72</v>
      </c>
      <c r="H1972" s="301">
        <f>Tabla15[[#This Row],[Importe]]-Tabla15[[#This Row],[Pagado]]</f>
        <v>0</v>
      </c>
      <c r="I1972" s="275" t="s">
        <v>15214</v>
      </c>
    </row>
    <row r="1973" spans="1:9" x14ac:dyDescent="0.25">
      <c r="A1973" s="420">
        <v>43024</v>
      </c>
      <c r="B1973" s="302" t="s">
        <v>33650</v>
      </c>
      <c r="C1973">
        <v>131536</v>
      </c>
      <c r="D1973" s="275" t="s">
        <v>17057</v>
      </c>
      <c r="E1973" s="301">
        <v>2207.5</v>
      </c>
      <c r="F1973" s="303">
        <v>43024</v>
      </c>
      <c r="G1973" s="301">
        <v>2207.5</v>
      </c>
      <c r="H1973" s="301">
        <f>Tabla15[[#This Row],[Importe]]-Tabla15[[#This Row],[Pagado]]</f>
        <v>0</v>
      </c>
      <c r="I1973" s="275" t="s">
        <v>15214</v>
      </c>
    </row>
    <row r="1974" spans="1:9" x14ac:dyDescent="0.25">
      <c r="A1974" s="420">
        <v>43024</v>
      </c>
      <c r="B1974" s="302" t="s">
        <v>33651</v>
      </c>
      <c r="C1974">
        <v>131537</v>
      </c>
      <c r="D1974" s="275" t="s">
        <v>15328</v>
      </c>
      <c r="E1974" s="301">
        <v>731.62</v>
      </c>
      <c r="F1974" s="303">
        <v>43031</v>
      </c>
      <c r="G1974" s="301">
        <v>731.62</v>
      </c>
      <c r="H1974" s="301">
        <f>Tabla15[[#This Row],[Importe]]-Tabla15[[#This Row],[Pagado]]</f>
        <v>0</v>
      </c>
      <c r="I1974" s="275" t="s">
        <v>15214</v>
      </c>
    </row>
    <row r="1975" spans="1:9" x14ac:dyDescent="0.25">
      <c r="A1975" s="420">
        <v>43024</v>
      </c>
      <c r="B1975" s="302" t="s">
        <v>33652</v>
      </c>
      <c r="C1975">
        <v>131538</v>
      </c>
      <c r="D1975" s="275" t="s">
        <v>15404</v>
      </c>
      <c r="E1975" s="301">
        <v>15637.6</v>
      </c>
      <c r="F1975" s="303">
        <v>43024</v>
      </c>
      <c r="G1975" s="301">
        <v>15637.6</v>
      </c>
      <c r="H1975" s="301">
        <f>Tabla15[[#This Row],[Importe]]-Tabla15[[#This Row],[Pagado]]</f>
        <v>0</v>
      </c>
      <c r="I1975" s="275" t="s">
        <v>15214</v>
      </c>
    </row>
    <row r="1976" spans="1:9" ht="30" x14ac:dyDescent="0.25">
      <c r="A1976" s="420">
        <v>43024</v>
      </c>
      <c r="B1976" s="302" t="s">
        <v>33653</v>
      </c>
      <c r="C1976">
        <v>131539</v>
      </c>
      <c r="D1976" s="275" t="s">
        <v>15223</v>
      </c>
      <c r="E1976" s="301">
        <v>41500.199999999997</v>
      </c>
      <c r="F1976" s="303" t="s">
        <v>35722</v>
      </c>
      <c r="G1976" s="313">
        <f>31726.88+9773.32</f>
        <v>41500.199999999997</v>
      </c>
      <c r="H1976" s="313">
        <f>Tabla15[[#This Row],[Importe]]-Tabla15[[#This Row],[Pagado]]</f>
        <v>0</v>
      </c>
      <c r="I1976" s="275" t="s">
        <v>15214</v>
      </c>
    </row>
    <row r="1977" spans="1:9" x14ac:dyDescent="0.25">
      <c r="A1977" s="420">
        <v>43024</v>
      </c>
      <c r="B1977" s="302" t="s">
        <v>33654</v>
      </c>
      <c r="C1977">
        <v>131540</v>
      </c>
      <c r="D1977" s="275" t="s">
        <v>16383</v>
      </c>
      <c r="E1977" s="301">
        <v>10382.4</v>
      </c>
      <c r="F1977" s="303">
        <v>43024</v>
      </c>
      <c r="G1977" s="301">
        <v>10382.4</v>
      </c>
      <c r="H1977" s="301">
        <f>Tabla15[[#This Row],[Importe]]-Tabla15[[#This Row],[Pagado]]</f>
        <v>0</v>
      </c>
      <c r="I1977" s="275" t="s">
        <v>15214</v>
      </c>
    </row>
    <row r="1978" spans="1:9" x14ac:dyDescent="0.25">
      <c r="A1978" s="420">
        <v>43024</v>
      </c>
      <c r="B1978" s="302" t="s">
        <v>33655</v>
      </c>
      <c r="C1978">
        <v>131541</v>
      </c>
      <c r="D1978" s="275" t="s">
        <v>15248</v>
      </c>
      <c r="E1978" s="301">
        <v>23160.98</v>
      </c>
      <c r="F1978" s="303">
        <v>43024</v>
      </c>
      <c r="G1978" s="301">
        <v>23160.98</v>
      </c>
      <c r="H1978" s="301">
        <f>Tabla15[[#This Row],[Importe]]-Tabla15[[#This Row],[Pagado]]</f>
        <v>0</v>
      </c>
      <c r="I1978" s="275" t="s">
        <v>15214</v>
      </c>
    </row>
    <row r="1979" spans="1:9" x14ac:dyDescent="0.25">
      <c r="A1979" s="420">
        <v>43024</v>
      </c>
      <c r="B1979" s="302" t="s">
        <v>33656</v>
      </c>
      <c r="C1979">
        <v>131542</v>
      </c>
      <c r="D1979" s="275" t="s">
        <v>15289</v>
      </c>
      <c r="E1979" s="301">
        <v>377.2</v>
      </c>
      <c r="F1979" s="303">
        <v>43024</v>
      </c>
      <c r="G1979" s="301">
        <v>377.2</v>
      </c>
      <c r="H1979" s="301">
        <f>Tabla15[[#This Row],[Importe]]-Tabla15[[#This Row],[Pagado]]</f>
        <v>0</v>
      </c>
      <c r="I1979" s="275" t="s">
        <v>15214</v>
      </c>
    </row>
    <row r="1980" spans="1:9" x14ac:dyDescent="0.25">
      <c r="A1980" s="420">
        <v>43024</v>
      </c>
      <c r="B1980" s="302" t="s">
        <v>33657</v>
      </c>
      <c r="C1980">
        <v>131543</v>
      </c>
      <c r="D1980" s="275" t="s">
        <v>15278</v>
      </c>
      <c r="E1980" s="301">
        <v>2304.6</v>
      </c>
      <c r="F1980" s="303">
        <v>43024</v>
      </c>
      <c r="G1980" s="301">
        <v>2304.6</v>
      </c>
      <c r="H1980" s="301">
        <f>Tabla15[[#This Row],[Importe]]-Tabla15[[#This Row],[Pagado]]</f>
        <v>0</v>
      </c>
      <c r="I1980" s="275" t="s">
        <v>15214</v>
      </c>
    </row>
    <row r="1981" spans="1:9" x14ac:dyDescent="0.25">
      <c r="A1981" s="420">
        <v>43024</v>
      </c>
      <c r="B1981" s="302" t="s">
        <v>33658</v>
      </c>
      <c r="C1981">
        <v>131544</v>
      </c>
      <c r="D1981" s="275" t="s">
        <v>15284</v>
      </c>
      <c r="E1981" s="301">
        <v>1970.8</v>
      </c>
      <c r="F1981" s="303">
        <v>43024</v>
      </c>
      <c r="G1981" s="301">
        <v>1970.8</v>
      </c>
      <c r="H1981" s="301">
        <f>Tabla15[[#This Row],[Importe]]-Tabla15[[#This Row],[Pagado]]</f>
        <v>0</v>
      </c>
      <c r="I1981" s="275" t="s">
        <v>15214</v>
      </c>
    </row>
    <row r="1982" spans="1:9" x14ac:dyDescent="0.25">
      <c r="A1982" s="420">
        <v>43024</v>
      </c>
      <c r="B1982" s="302" t="s">
        <v>33659</v>
      </c>
      <c r="C1982">
        <v>131545</v>
      </c>
      <c r="D1982" s="275" t="s">
        <v>15303</v>
      </c>
      <c r="E1982" s="301">
        <v>3369.21</v>
      </c>
      <c r="F1982" s="303">
        <v>43024</v>
      </c>
      <c r="G1982" s="301">
        <v>3369.21</v>
      </c>
      <c r="H1982" s="301">
        <f>Tabla15[[#This Row],[Importe]]-Tabla15[[#This Row],[Pagado]]</f>
        <v>0</v>
      </c>
      <c r="I1982" s="275" t="s">
        <v>15214</v>
      </c>
    </row>
    <row r="1983" spans="1:9" x14ac:dyDescent="0.25">
      <c r="A1983" s="420">
        <v>43024</v>
      </c>
      <c r="B1983" s="302" t="s">
        <v>33660</v>
      </c>
      <c r="C1983">
        <v>131546</v>
      </c>
      <c r="D1983" s="275" t="s">
        <v>15309</v>
      </c>
      <c r="E1983" s="301">
        <v>10663.2</v>
      </c>
      <c r="F1983" s="303">
        <v>43024</v>
      </c>
      <c r="G1983" s="301">
        <v>10663.2</v>
      </c>
      <c r="H1983" s="301">
        <f>Tabla15[[#This Row],[Importe]]-Tabla15[[#This Row],[Pagado]]</f>
        <v>0</v>
      </c>
      <c r="I1983" s="275" t="s">
        <v>15214</v>
      </c>
    </row>
    <row r="1984" spans="1:9" x14ac:dyDescent="0.25">
      <c r="A1984" s="420">
        <v>43024</v>
      </c>
      <c r="B1984" s="302" t="s">
        <v>33661</v>
      </c>
      <c r="C1984">
        <v>131547</v>
      </c>
      <c r="D1984" s="275" t="s">
        <v>15301</v>
      </c>
      <c r="E1984" s="301">
        <v>3742.5</v>
      </c>
      <c r="F1984" s="303">
        <v>43024</v>
      </c>
      <c r="G1984" s="301">
        <v>3742.5</v>
      </c>
      <c r="H1984" s="301">
        <f>Tabla15[[#This Row],[Importe]]-Tabla15[[#This Row],[Pagado]]</f>
        <v>0</v>
      </c>
      <c r="I1984" s="275" t="s">
        <v>15214</v>
      </c>
    </row>
    <row r="1985" spans="1:9" x14ac:dyDescent="0.25">
      <c r="A1985" s="420">
        <v>43024</v>
      </c>
      <c r="B1985" s="302" t="s">
        <v>33662</v>
      </c>
      <c r="C1985">
        <v>131548</v>
      </c>
      <c r="D1985" s="275" t="s">
        <v>15276</v>
      </c>
      <c r="E1985" s="301">
        <v>2200</v>
      </c>
      <c r="F1985" s="303">
        <v>43024</v>
      </c>
      <c r="G1985" s="301">
        <v>2200</v>
      </c>
      <c r="H1985" s="301">
        <f>Tabla15[[#This Row],[Importe]]-Tabla15[[#This Row],[Pagado]]</f>
        <v>0</v>
      </c>
      <c r="I1985" s="275" t="s">
        <v>15214</v>
      </c>
    </row>
    <row r="1986" spans="1:9" x14ac:dyDescent="0.25">
      <c r="A1986" s="420">
        <v>43024</v>
      </c>
      <c r="B1986" s="302" t="s">
        <v>33663</v>
      </c>
      <c r="C1986">
        <v>131549</v>
      </c>
      <c r="D1986" s="275" t="s">
        <v>17235</v>
      </c>
      <c r="E1986" s="301">
        <v>1107.8</v>
      </c>
      <c r="F1986" s="303">
        <v>43024</v>
      </c>
      <c r="G1986" s="301">
        <v>1107.8</v>
      </c>
      <c r="H1986" s="301">
        <f>Tabla15[[#This Row],[Importe]]-Tabla15[[#This Row],[Pagado]]</f>
        <v>0</v>
      </c>
      <c r="I1986" s="275" t="s">
        <v>15214</v>
      </c>
    </row>
    <row r="1987" spans="1:9" x14ac:dyDescent="0.25">
      <c r="A1987" s="420">
        <v>43024</v>
      </c>
      <c r="B1987" s="302" t="s">
        <v>33664</v>
      </c>
      <c r="C1987">
        <v>131550</v>
      </c>
      <c r="D1987" s="275" t="s">
        <v>15317</v>
      </c>
      <c r="E1987" s="301">
        <v>3582.8</v>
      </c>
      <c r="F1987" s="303">
        <v>43026</v>
      </c>
      <c r="G1987" s="301">
        <v>3582.8</v>
      </c>
      <c r="H1987" s="301">
        <f>Tabla15[[#This Row],[Importe]]-Tabla15[[#This Row],[Pagado]]</f>
        <v>0</v>
      </c>
      <c r="I1987" s="275" t="s">
        <v>15214</v>
      </c>
    </row>
    <row r="1988" spans="1:9" x14ac:dyDescent="0.25">
      <c r="A1988" s="420">
        <v>43024</v>
      </c>
      <c r="B1988" s="302" t="s">
        <v>33665</v>
      </c>
      <c r="C1988">
        <v>131551</v>
      </c>
      <c r="D1988" s="275" t="s">
        <v>17800</v>
      </c>
      <c r="E1988" s="301">
        <v>4936</v>
      </c>
      <c r="F1988" s="303">
        <v>43024</v>
      </c>
      <c r="G1988" s="301">
        <v>4936</v>
      </c>
      <c r="H1988" s="301">
        <f>Tabla15[[#This Row],[Importe]]-Tabla15[[#This Row],[Pagado]]</f>
        <v>0</v>
      </c>
      <c r="I1988" s="275" t="s">
        <v>15214</v>
      </c>
    </row>
    <row r="1989" spans="1:9" x14ac:dyDescent="0.25">
      <c r="A1989" s="420">
        <v>43024</v>
      </c>
      <c r="B1989" s="302" t="s">
        <v>33666</v>
      </c>
      <c r="C1989">
        <v>131552</v>
      </c>
      <c r="D1989" s="275" t="s">
        <v>15417</v>
      </c>
      <c r="E1989" s="301">
        <v>1677</v>
      </c>
      <c r="F1989" s="303">
        <v>43024</v>
      </c>
      <c r="G1989" s="301">
        <v>1677</v>
      </c>
      <c r="H1989" s="301">
        <f>Tabla15[[#This Row],[Importe]]-Tabla15[[#This Row],[Pagado]]</f>
        <v>0</v>
      </c>
      <c r="I1989" s="275" t="s">
        <v>15214</v>
      </c>
    </row>
    <row r="1990" spans="1:9" x14ac:dyDescent="0.25">
      <c r="A1990" s="420">
        <v>43024</v>
      </c>
      <c r="B1990" s="302" t="s">
        <v>33667</v>
      </c>
      <c r="C1990">
        <v>131553</v>
      </c>
      <c r="D1990" s="275" t="s">
        <v>15311</v>
      </c>
      <c r="E1990" s="301">
        <v>378</v>
      </c>
      <c r="F1990" s="303">
        <v>43024</v>
      </c>
      <c r="G1990" s="301">
        <v>378</v>
      </c>
      <c r="H1990" s="301">
        <f>Tabla15[[#This Row],[Importe]]-Tabla15[[#This Row],[Pagado]]</f>
        <v>0</v>
      </c>
      <c r="I1990" s="275" t="s">
        <v>15214</v>
      </c>
    </row>
    <row r="1991" spans="1:9" x14ac:dyDescent="0.25">
      <c r="A1991" s="420">
        <v>43024</v>
      </c>
      <c r="B1991" s="302" t="s">
        <v>33668</v>
      </c>
      <c r="C1991">
        <v>131554</v>
      </c>
      <c r="D1991" s="275" t="s">
        <v>15280</v>
      </c>
      <c r="E1991" s="301">
        <v>5147</v>
      </c>
      <c r="F1991" s="303">
        <v>43024</v>
      </c>
      <c r="G1991" s="301">
        <v>5147</v>
      </c>
      <c r="H1991" s="301">
        <f>Tabla15[[#This Row],[Importe]]-Tabla15[[#This Row],[Pagado]]</f>
        <v>0</v>
      </c>
      <c r="I1991" s="275" t="s">
        <v>15214</v>
      </c>
    </row>
    <row r="1992" spans="1:9" x14ac:dyDescent="0.25">
      <c r="A1992" s="420">
        <v>43024</v>
      </c>
      <c r="B1992" s="302" t="s">
        <v>33669</v>
      </c>
      <c r="C1992">
        <v>131555</v>
      </c>
      <c r="D1992" s="275" t="s">
        <v>15706</v>
      </c>
      <c r="E1992" s="301">
        <v>736.6</v>
      </c>
      <c r="F1992" s="303">
        <v>43024</v>
      </c>
      <c r="G1992" s="301">
        <v>736.6</v>
      </c>
      <c r="H1992" s="301">
        <f>Tabla15[[#This Row],[Importe]]-Tabla15[[#This Row],[Pagado]]</f>
        <v>0</v>
      </c>
      <c r="I1992" s="275" t="s">
        <v>15214</v>
      </c>
    </row>
    <row r="1993" spans="1:9" x14ac:dyDescent="0.25">
      <c r="A1993" s="420">
        <v>43024</v>
      </c>
      <c r="B1993" s="302" t="s">
        <v>33670</v>
      </c>
      <c r="C1993">
        <v>131556</v>
      </c>
      <c r="D1993" s="275" t="s">
        <v>15706</v>
      </c>
      <c r="E1993" s="301">
        <v>330.4</v>
      </c>
      <c r="F1993" s="303">
        <v>43024</v>
      </c>
      <c r="G1993" s="301">
        <v>330.4</v>
      </c>
      <c r="H1993" s="301">
        <f>Tabla15[[#This Row],[Importe]]-Tabla15[[#This Row],[Pagado]]</f>
        <v>0</v>
      </c>
      <c r="I1993" s="275" t="s">
        <v>15214</v>
      </c>
    </row>
    <row r="1994" spans="1:9" x14ac:dyDescent="0.25">
      <c r="A1994" s="420">
        <v>43024</v>
      </c>
      <c r="B1994" s="302" t="s">
        <v>33671</v>
      </c>
      <c r="C1994">
        <v>131557</v>
      </c>
      <c r="D1994" s="275" t="s">
        <v>15407</v>
      </c>
      <c r="E1994" s="301">
        <v>8501</v>
      </c>
      <c r="F1994" s="303">
        <v>43024</v>
      </c>
      <c r="G1994" s="301">
        <v>8501</v>
      </c>
      <c r="H1994" s="301">
        <f>Tabla15[[#This Row],[Importe]]-Tabla15[[#This Row],[Pagado]]</f>
        <v>0</v>
      </c>
      <c r="I1994" s="275" t="s">
        <v>15214</v>
      </c>
    </row>
    <row r="1995" spans="1:9" x14ac:dyDescent="0.25">
      <c r="A1995" s="420">
        <v>43024</v>
      </c>
      <c r="B1995" s="302" t="s">
        <v>33672</v>
      </c>
      <c r="C1995">
        <v>131558</v>
      </c>
      <c r="D1995" s="275" t="s">
        <v>15291</v>
      </c>
      <c r="E1995" s="301">
        <v>598.4</v>
      </c>
      <c r="F1995" s="303">
        <v>43024</v>
      </c>
      <c r="G1995" s="301">
        <v>598.4</v>
      </c>
      <c r="H1995" s="301">
        <f>Tabla15[[#This Row],[Importe]]-Tabla15[[#This Row],[Pagado]]</f>
        <v>0</v>
      </c>
      <c r="I1995" s="275" t="s">
        <v>15214</v>
      </c>
    </row>
    <row r="1996" spans="1:9" x14ac:dyDescent="0.25">
      <c r="A1996" s="420">
        <v>43024</v>
      </c>
      <c r="B1996" s="302" t="s">
        <v>33673</v>
      </c>
      <c r="C1996">
        <v>131559</v>
      </c>
      <c r="D1996" s="275" t="s">
        <v>15782</v>
      </c>
      <c r="E1996" s="301">
        <v>1234.8</v>
      </c>
      <c r="F1996" s="303">
        <v>43024</v>
      </c>
      <c r="G1996" s="301">
        <v>1234.8</v>
      </c>
      <c r="H1996" s="301">
        <f>Tabla15[[#This Row],[Importe]]-Tabla15[[#This Row],[Pagado]]</f>
        <v>0</v>
      </c>
      <c r="I1996" s="275" t="s">
        <v>15214</v>
      </c>
    </row>
    <row r="1997" spans="1:9" x14ac:dyDescent="0.25">
      <c r="A1997" s="420">
        <v>43024</v>
      </c>
      <c r="B1997" s="302" t="s">
        <v>33674</v>
      </c>
      <c r="C1997">
        <v>131560</v>
      </c>
      <c r="D1997" s="275" t="s">
        <v>15415</v>
      </c>
      <c r="E1997" s="301">
        <v>3580.2</v>
      </c>
      <c r="F1997" s="303">
        <v>43026</v>
      </c>
      <c r="G1997" s="301">
        <v>3580.2</v>
      </c>
      <c r="H1997" s="301">
        <f>Tabla15[[#This Row],[Importe]]-Tabla15[[#This Row],[Pagado]]</f>
        <v>0</v>
      </c>
      <c r="I1997" s="275" t="s">
        <v>15214</v>
      </c>
    </row>
    <row r="1998" spans="1:9" x14ac:dyDescent="0.25">
      <c r="A1998" s="420">
        <v>43024</v>
      </c>
      <c r="B1998" s="302" t="s">
        <v>33675</v>
      </c>
      <c r="C1998">
        <v>131561</v>
      </c>
      <c r="D1998" s="275" t="s">
        <v>15748</v>
      </c>
      <c r="E1998" s="301">
        <v>740</v>
      </c>
      <c r="F1998" s="303">
        <v>43024</v>
      </c>
      <c r="G1998" s="301">
        <v>740</v>
      </c>
      <c r="H1998" s="301">
        <f>Tabla15[[#This Row],[Importe]]-Tabla15[[#This Row],[Pagado]]</f>
        <v>0</v>
      </c>
      <c r="I1998" s="275" t="s">
        <v>15214</v>
      </c>
    </row>
    <row r="1999" spans="1:9" x14ac:dyDescent="0.25">
      <c r="A1999" s="420">
        <v>43024</v>
      </c>
      <c r="B1999" s="302" t="s">
        <v>33676</v>
      </c>
      <c r="C1999">
        <v>131562</v>
      </c>
      <c r="D1999" s="275" t="s">
        <v>15401</v>
      </c>
      <c r="E1999" s="301">
        <v>1458</v>
      </c>
      <c r="F1999" s="303">
        <v>43024</v>
      </c>
      <c r="G1999" s="301">
        <v>1458</v>
      </c>
      <c r="H1999" s="301">
        <f>Tabla15[[#This Row],[Importe]]-Tabla15[[#This Row],[Pagado]]</f>
        <v>0</v>
      </c>
      <c r="I1999" s="275" t="s">
        <v>15214</v>
      </c>
    </row>
    <row r="2000" spans="1:9" x14ac:dyDescent="0.25">
      <c r="A2000" s="420">
        <v>43024</v>
      </c>
      <c r="B2000" s="302" t="s">
        <v>33677</v>
      </c>
      <c r="C2000">
        <v>131563</v>
      </c>
      <c r="D2000" s="275" t="s">
        <v>15442</v>
      </c>
      <c r="E2000" s="301">
        <v>19872.7</v>
      </c>
      <c r="F2000" s="303">
        <v>43036</v>
      </c>
      <c r="G2000" s="301">
        <v>19872.7</v>
      </c>
      <c r="H2000" s="301">
        <f>Tabla15[[#This Row],[Importe]]-Tabla15[[#This Row],[Pagado]]</f>
        <v>0</v>
      </c>
      <c r="I2000" s="275" t="s">
        <v>15214</v>
      </c>
    </row>
    <row r="2001" spans="1:9" x14ac:dyDescent="0.25">
      <c r="A2001" s="420">
        <v>43024</v>
      </c>
      <c r="B2001" s="302" t="s">
        <v>33678</v>
      </c>
      <c r="C2001">
        <v>131564</v>
      </c>
      <c r="D2001" s="275" t="s">
        <v>23937</v>
      </c>
      <c r="E2001" s="301">
        <v>3886.2</v>
      </c>
      <c r="F2001" s="303">
        <v>43024</v>
      </c>
      <c r="G2001" s="301">
        <v>3886.2</v>
      </c>
      <c r="H2001" s="301">
        <f>Tabla15[[#This Row],[Importe]]-Tabla15[[#This Row],[Pagado]]</f>
        <v>0</v>
      </c>
      <c r="I2001" s="275" t="s">
        <v>15214</v>
      </c>
    </row>
    <row r="2002" spans="1:9" x14ac:dyDescent="0.25">
      <c r="A2002" s="420">
        <v>43024</v>
      </c>
      <c r="B2002" s="302" t="s">
        <v>33679</v>
      </c>
      <c r="C2002">
        <v>131565</v>
      </c>
      <c r="D2002" s="275" t="s">
        <v>15252</v>
      </c>
      <c r="E2002" s="301">
        <v>721.6</v>
      </c>
      <c r="F2002" s="303">
        <v>43025</v>
      </c>
      <c r="G2002" s="301">
        <v>721.6</v>
      </c>
      <c r="H2002" s="301">
        <f>Tabla15[[#This Row],[Importe]]-Tabla15[[#This Row],[Pagado]]</f>
        <v>0</v>
      </c>
      <c r="I2002" s="275" t="s">
        <v>15214</v>
      </c>
    </row>
    <row r="2003" spans="1:9" x14ac:dyDescent="0.25">
      <c r="A2003" s="420">
        <v>43024</v>
      </c>
      <c r="B2003" s="302" t="s">
        <v>33680</v>
      </c>
      <c r="C2003">
        <v>131566</v>
      </c>
      <c r="D2003" s="275" t="s">
        <v>15252</v>
      </c>
      <c r="E2003" s="301">
        <v>3214.8</v>
      </c>
      <c r="F2003" s="303">
        <v>43025</v>
      </c>
      <c r="G2003" s="301">
        <v>3214.8</v>
      </c>
      <c r="H2003" s="301">
        <f>Tabla15[[#This Row],[Importe]]-Tabla15[[#This Row],[Pagado]]</f>
        <v>0</v>
      </c>
      <c r="I2003" s="275" t="s">
        <v>15214</v>
      </c>
    </row>
    <row r="2004" spans="1:9" x14ac:dyDescent="0.25">
      <c r="A2004" s="420">
        <v>43024</v>
      </c>
      <c r="B2004" s="302" t="s">
        <v>33681</v>
      </c>
      <c r="C2004">
        <v>131567</v>
      </c>
      <c r="D2004" s="275" t="s">
        <v>15244</v>
      </c>
      <c r="E2004" s="301">
        <v>8828.7999999999993</v>
      </c>
      <c r="F2004" s="303">
        <v>43027</v>
      </c>
      <c r="G2004" s="301">
        <v>8828.7999999999993</v>
      </c>
      <c r="H2004" s="301">
        <f>Tabla15[[#This Row],[Importe]]-Tabla15[[#This Row],[Pagado]]</f>
        <v>0</v>
      </c>
      <c r="I2004" s="275" t="s">
        <v>15214</v>
      </c>
    </row>
    <row r="2005" spans="1:9" x14ac:dyDescent="0.25">
      <c r="A2005" s="420">
        <v>43024</v>
      </c>
      <c r="B2005" s="302" t="s">
        <v>33682</v>
      </c>
      <c r="C2005">
        <v>131568</v>
      </c>
      <c r="D2005" s="275" t="s">
        <v>15254</v>
      </c>
      <c r="E2005" s="301">
        <v>15069.6</v>
      </c>
      <c r="F2005" s="303">
        <v>43025</v>
      </c>
      <c r="G2005" s="301">
        <v>15069.6</v>
      </c>
      <c r="H2005" s="301">
        <f>Tabla15[[#This Row],[Importe]]-Tabla15[[#This Row],[Pagado]]</f>
        <v>0</v>
      </c>
      <c r="I2005" s="275" t="s">
        <v>15214</v>
      </c>
    </row>
    <row r="2006" spans="1:9" x14ac:dyDescent="0.25">
      <c r="A2006" s="420">
        <v>43024</v>
      </c>
      <c r="B2006" s="302" t="s">
        <v>33683</v>
      </c>
      <c r="C2006">
        <v>131569</v>
      </c>
      <c r="D2006" s="275" t="s">
        <v>15365</v>
      </c>
      <c r="E2006" s="301">
        <v>27633.599999999999</v>
      </c>
      <c r="F2006" s="303">
        <v>43032</v>
      </c>
      <c r="G2006" s="301">
        <v>27633.599999999999</v>
      </c>
      <c r="H2006" s="301">
        <f>Tabla15[[#This Row],[Importe]]-Tabla15[[#This Row],[Pagado]]</f>
        <v>0</v>
      </c>
      <c r="I2006" s="275" t="s">
        <v>15214</v>
      </c>
    </row>
    <row r="2007" spans="1:9" x14ac:dyDescent="0.25">
      <c r="A2007" s="420">
        <v>43024</v>
      </c>
      <c r="B2007" s="302" t="s">
        <v>33684</v>
      </c>
      <c r="C2007">
        <v>131570</v>
      </c>
      <c r="D2007" s="275" t="s">
        <v>15338</v>
      </c>
      <c r="E2007" s="301">
        <v>7698</v>
      </c>
      <c r="F2007" s="303">
        <v>43026</v>
      </c>
      <c r="G2007" s="301">
        <v>7698</v>
      </c>
      <c r="H2007" s="301">
        <f>Tabla15[[#This Row],[Importe]]-Tabla15[[#This Row],[Pagado]]</f>
        <v>0</v>
      </c>
      <c r="I2007" s="275" t="s">
        <v>15214</v>
      </c>
    </row>
    <row r="2008" spans="1:9" x14ac:dyDescent="0.25">
      <c r="A2008" s="420">
        <v>43024</v>
      </c>
      <c r="B2008" s="302" t="s">
        <v>33685</v>
      </c>
      <c r="C2008">
        <v>131571</v>
      </c>
      <c r="D2008" s="275" t="s">
        <v>16732</v>
      </c>
      <c r="E2008" s="301">
        <v>29531.7</v>
      </c>
      <c r="F2008" s="303">
        <v>43024</v>
      </c>
      <c r="G2008" s="301">
        <v>29531.7</v>
      </c>
      <c r="H2008" s="301">
        <f>Tabla15[[#This Row],[Importe]]-Tabla15[[#This Row],[Pagado]]</f>
        <v>0</v>
      </c>
      <c r="I2008" s="275" t="s">
        <v>15214</v>
      </c>
    </row>
    <row r="2009" spans="1:9" x14ac:dyDescent="0.25">
      <c r="A2009" s="420">
        <v>43024</v>
      </c>
      <c r="B2009" s="302" t="s">
        <v>33686</v>
      </c>
      <c r="C2009">
        <v>131572</v>
      </c>
      <c r="D2009" s="275" t="s">
        <v>15376</v>
      </c>
      <c r="E2009" s="301">
        <v>5024</v>
      </c>
      <c r="F2009" s="303">
        <v>43024</v>
      </c>
      <c r="G2009" s="301">
        <v>5024</v>
      </c>
      <c r="H2009" s="301">
        <f>Tabla15[[#This Row],[Importe]]-Tabla15[[#This Row],[Pagado]]</f>
        <v>0</v>
      </c>
      <c r="I2009" s="275" t="s">
        <v>15214</v>
      </c>
    </row>
    <row r="2010" spans="1:9" x14ac:dyDescent="0.25">
      <c r="A2010" s="420">
        <v>43024</v>
      </c>
      <c r="B2010" s="302" t="s">
        <v>33687</v>
      </c>
      <c r="C2010">
        <v>131573</v>
      </c>
      <c r="D2010" s="275" t="s">
        <v>15267</v>
      </c>
      <c r="E2010" s="301">
        <v>29307.3</v>
      </c>
      <c r="F2010" s="303">
        <v>43024</v>
      </c>
      <c r="G2010" s="301">
        <v>29307.3</v>
      </c>
      <c r="H2010" s="301">
        <f>Tabla15[[#This Row],[Importe]]-Tabla15[[#This Row],[Pagado]]</f>
        <v>0</v>
      </c>
      <c r="I2010" s="275" t="s">
        <v>15214</v>
      </c>
    </row>
    <row r="2011" spans="1:9" x14ac:dyDescent="0.25">
      <c r="A2011" s="420">
        <v>43024</v>
      </c>
      <c r="B2011" s="302" t="s">
        <v>33688</v>
      </c>
      <c r="C2011">
        <v>131574</v>
      </c>
      <c r="D2011" s="275" t="s">
        <v>15238</v>
      </c>
      <c r="E2011" s="301">
        <v>2356.4</v>
      </c>
      <c r="F2011" s="303">
        <v>43024</v>
      </c>
      <c r="G2011" s="301">
        <v>2356.4</v>
      </c>
      <c r="H2011" s="301">
        <f>Tabla15[[#This Row],[Importe]]-Tabla15[[#This Row],[Pagado]]</f>
        <v>0</v>
      </c>
      <c r="I2011" s="275" t="s">
        <v>15214</v>
      </c>
    </row>
    <row r="2012" spans="1:9" x14ac:dyDescent="0.25">
      <c r="A2012" s="420">
        <v>43024</v>
      </c>
      <c r="B2012" s="302" t="s">
        <v>33689</v>
      </c>
      <c r="C2012">
        <v>131575</v>
      </c>
      <c r="D2012" s="275" t="s">
        <v>15315</v>
      </c>
      <c r="E2012" s="301">
        <v>9450</v>
      </c>
      <c r="F2012" s="303">
        <v>43024</v>
      </c>
      <c r="G2012" s="301">
        <v>9450</v>
      </c>
      <c r="H2012" s="301">
        <f>Tabla15[[#This Row],[Importe]]-Tabla15[[#This Row],[Pagado]]</f>
        <v>0</v>
      </c>
      <c r="I2012" s="275" t="s">
        <v>15214</v>
      </c>
    </row>
    <row r="2013" spans="1:9" x14ac:dyDescent="0.25">
      <c r="A2013" s="420">
        <v>43024</v>
      </c>
      <c r="B2013" s="302" t="s">
        <v>33690</v>
      </c>
      <c r="C2013">
        <v>131576</v>
      </c>
      <c r="D2013" s="275" t="s">
        <v>15748</v>
      </c>
      <c r="E2013" s="301">
        <v>1395.98</v>
      </c>
      <c r="F2013" s="303">
        <v>43024</v>
      </c>
      <c r="G2013" s="301">
        <v>1395.98</v>
      </c>
      <c r="H2013" s="301">
        <f>Tabla15[[#This Row],[Importe]]-Tabla15[[#This Row],[Pagado]]</f>
        <v>0</v>
      </c>
      <c r="I2013" s="275" t="s">
        <v>15214</v>
      </c>
    </row>
    <row r="2014" spans="1:9" x14ac:dyDescent="0.25">
      <c r="A2014" s="420">
        <v>43024</v>
      </c>
      <c r="B2014" s="302" t="s">
        <v>33691</v>
      </c>
      <c r="C2014">
        <v>131577</v>
      </c>
      <c r="D2014" s="275" t="s">
        <v>27621</v>
      </c>
      <c r="E2014" s="301">
        <v>29472.3</v>
      </c>
      <c r="F2014" s="303">
        <v>43024</v>
      </c>
      <c r="G2014" s="301">
        <v>29472.3</v>
      </c>
      <c r="H2014" s="301">
        <f>Tabla15[[#This Row],[Importe]]-Tabla15[[#This Row],[Pagado]]</f>
        <v>0</v>
      </c>
      <c r="I2014" s="275" t="s">
        <v>15214</v>
      </c>
    </row>
    <row r="2015" spans="1:9" x14ac:dyDescent="0.25">
      <c r="A2015" s="420">
        <v>43024</v>
      </c>
      <c r="B2015" s="302" t="s">
        <v>33692</v>
      </c>
      <c r="C2015">
        <v>131578</v>
      </c>
      <c r="D2015" s="275" t="s">
        <v>15858</v>
      </c>
      <c r="E2015" s="301">
        <v>340</v>
      </c>
      <c r="F2015" s="303">
        <v>43024</v>
      </c>
      <c r="G2015" s="301">
        <v>340</v>
      </c>
      <c r="H2015" s="301">
        <f>Tabla15[[#This Row],[Importe]]-Tabla15[[#This Row],[Pagado]]</f>
        <v>0</v>
      </c>
      <c r="I2015" s="275" t="s">
        <v>15214</v>
      </c>
    </row>
    <row r="2016" spans="1:9" x14ac:dyDescent="0.25">
      <c r="A2016" s="420">
        <v>43024</v>
      </c>
      <c r="B2016" s="302" t="s">
        <v>33693</v>
      </c>
      <c r="C2016">
        <v>131579</v>
      </c>
      <c r="D2016" s="275" t="s">
        <v>15378</v>
      </c>
      <c r="E2016" s="301">
        <v>2393</v>
      </c>
      <c r="F2016" s="303">
        <v>43025</v>
      </c>
      <c r="G2016" s="301">
        <v>2393</v>
      </c>
      <c r="H2016" s="301">
        <f>Tabla15[[#This Row],[Importe]]-Tabla15[[#This Row],[Pagado]]</f>
        <v>0</v>
      </c>
      <c r="I2016" s="275" t="s">
        <v>15214</v>
      </c>
    </row>
    <row r="2017" spans="1:9" x14ac:dyDescent="0.25">
      <c r="A2017" s="420">
        <v>43024</v>
      </c>
      <c r="B2017" s="302" t="s">
        <v>33694</v>
      </c>
      <c r="C2017">
        <v>131580</v>
      </c>
      <c r="D2017" s="275" t="s">
        <v>15334</v>
      </c>
      <c r="E2017" s="301">
        <v>3052</v>
      </c>
      <c r="F2017" s="303">
        <v>43024</v>
      </c>
      <c r="G2017" s="301">
        <v>3052</v>
      </c>
      <c r="H2017" s="301">
        <f>Tabla15[[#This Row],[Importe]]-Tabla15[[#This Row],[Pagado]]</f>
        <v>0</v>
      </c>
      <c r="I2017" s="275" t="s">
        <v>15214</v>
      </c>
    </row>
    <row r="2018" spans="1:9" x14ac:dyDescent="0.25">
      <c r="A2018" s="420">
        <v>43024</v>
      </c>
      <c r="B2018" s="302" t="s">
        <v>33695</v>
      </c>
      <c r="C2018">
        <v>131581</v>
      </c>
      <c r="D2018" s="275" t="s">
        <v>15342</v>
      </c>
      <c r="E2018" s="301">
        <v>690.6</v>
      </c>
      <c r="F2018" s="303">
        <v>43024</v>
      </c>
      <c r="G2018" s="301">
        <v>690.6</v>
      </c>
      <c r="H2018" s="301">
        <f>Tabla15[[#This Row],[Importe]]-Tabla15[[#This Row],[Pagado]]</f>
        <v>0</v>
      </c>
      <c r="I2018" s="275" t="s">
        <v>15214</v>
      </c>
    </row>
    <row r="2019" spans="1:9" x14ac:dyDescent="0.25">
      <c r="A2019" s="420">
        <v>43024</v>
      </c>
      <c r="B2019" s="302" t="s">
        <v>33696</v>
      </c>
      <c r="C2019">
        <v>131582</v>
      </c>
      <c r="D2019" s="275" t="s">
        <v>5828</v>
      </c>
      <c r="E2019" s="301">
        <v>9256.1</v>
      </c>
      <c r="F2019" s="303">
        <v>43024</v>
      </c>
      <c r="G2019" s="301">
        <v>9256.1</v>
      </c>
      <c r="H2019" s="301">
        <f>Tabla15[[#This Row],[Importe]]-Tabla15[[#This Row],[Pagado]]</f>
        <v>0</v>
      </c>
      <c r="I2019" s="275" t="s">
        <v>15214</v>
      </c>
    </row>
    <row r="2020" spans="1:9" x14ac:dyDescent="0.25">
      <c r="A2020" s="420">
        <v>43024</v>
      </c>
      <c r="B2020" s="302" t="s">
        <v>33697</v>
      </c>
      <c r="C2020">
        <v>131583</v>
      </c>
      <c r="D2020" s="275" t="s">
        <v>15340</v>
      </c>
      <c r="E2020" s="301">
        <v>1803.8</v>
      </c>
      <c r="F2020" s="303">
        <v>43024</v>
      </c>
      <c r="G2020" s="301">
        <v>1803.8</v>
      </c>
      <c r="H2020" s="301">
        <f>Tabla15[[#This Row],[Importe]]-Tabla15[[#This Row],[Pagado]]</f>
        <v>0</v>
      </c>
      <c r="I2020" s="275" t="s">
        <v>15214</v>
      </c>
    </row>
    <row r="2021" spans="1:9" x14ac:dyDescent="0.25">
      <c r="A2021" s="420">
        <v>43024</v>
      </c>
      <c r="B2021" s="302" t="s">
        <v>33698</v>
      </c>
      <c r="C2021">
        <v>131584</v>
      </c>
      <c r="D2021" s="275" t="s">
        <v>15714</v>
      </c>
      <c r="E2021" s="301">
        <v>350</v>
      </c>
      <c r="F2021" s="303">
        <v>43024</v>
      </c>
      <c r="G2021" s="301">
        <v>350</v>
      </c>
      <c r="H2021" s="301">
        <f>Tabla15[[#This Row],[Importe]]-Tabla15[[#This Row],[Pagado]]</f>
        <v>0</v>
      </c>
      <c r="I2021" s="275" t="s">
        <v>15214</v>
      </c>
    </row>
    <row r="2022" spans="1:9" x14ac:dyDescent="0.25">
      <c r="A2022" s="420">
        <v>43024</v>
      </c>
      <c r="B2022" s="302" t="s">
        <v>33699</v>
      </c>
      <c r="C2022">
        <v>131585</v>
      </c>
      <c r="D2022" s="275" t="s">
        <v>15858</v>
      </c>
      <c r="E2022" s="301">
        <v>369.9</v>
      </c>
      <c r="F2022" s="303">
        <v>43024</v>
      </c>
      <c r="G2022" s="301">
        <v>369.9</v>
      </c>
      <c r="H2022" s="301">
        <f>Tabla15[[#This Row],[Importe]]-Tabla15[[#This Row],[Pagado]]</f>
        <v>0</v>
      </c>
      <c r="I2022" s="275" t="s">
        <v>15214</v>
      </c>
    </row>
    <row r="2023" spans="1:9" x14ac:dyDescent="0.25">
      <c r="A2023" s="420">
        <v>43024</v>
      </c>
      <c r="B2023" s="302" t="s">
        <v>33700</v>
      </c>
      <c r="C2023">
        <v>131586</v>
      </c>
      <c r="D2023" s="275" t="s">
        <v>15340</v>
      </c>
      <c r="E2023" s="301">
        <v>4587.2</v>
      </c>
      <c r="F2023" s="303">
        <v>43024</v>
      </c>
      <c r="G2023" s="301">
        <v>4587.2</v>
      </c>
      <c r="H2023" s="301">
        <f>Tabla15[[#This Row],[Importe]]-Tabla15[[#This Row],[Pagado]]</f>
        <v>0</v>
      </c>
      <c r="I2023" s="275" t="s">
        <v>15214</v>
      </c>
    </row>
    <row r="2024" spans="1:9" x14ac:dyDescent="0.25">
      <c r="A2024" s="420">
        <v>43024</v>
      </c>
      <c r="B2024" s="302" t="s">
        <v>33701</v>
      </c>
      <c r="C2024">
        <v>131587</v>
      </c>
      <c r="D2024" s="275" t="s">
        <v>15358</v>
      </c>
      <c r="E2024" s="301">
        <v>1139.5</v>
      </c>
      <c r="F2024" s="303">
        <v>43024</v>
      </c>
      <c r="G2024" s="301">
        <v>1139.5</v>
      </c>
      <c r="H2024" s="301">
        <f>Tabla15[[#This Row],[Importe]]-Tabla15[[#This Row],[Pagado]]</f>
        <v>0</v>
      </c>
      <c r="I2024" s="275" t="s">
        <v>15214</v>
      </c>
    </row>
    <row r="2025" spans="1:9" x14ac:dyDescent="0.25">
      <c r="A2025" s="420">
        <v>43024</v>
      </c>
      <c r="B2025" s="302" t="s">
        <v>33702</v>
      </c>
      <c r="C2025">
        <v>131588</v>
      </c>
      <c r="D2025" s="275" t="s">
        <v>16171</v>
      </c>
      <c r="E2025" s="301">
        <v>1001.7</v>
      </c>
      <c r="F2025" s="303">
        <v>43024</v>
      </c>
      <c r="G2025" s="301">
        <v>1001.7</v>
      </c>
      <c r="H2025" s="301">
        <f>Tabla15[[#This Row],[Importe]]-Tabla15[[#This Row],[Pagado]]</f>
        <v>0</v>
      </c>
      <c r="I2025" s="275" t="s">
        <v>15214</v>
      </c>
    </row>
    <row r="2026" spans="1:9" x14ac:dyDescent="0.25">
      <c r="A2026" s="420">
        <v>43024</v>
      </c>
      <c r="B2026" s="302" t="s">
        <v>33703</v>
      </c>
      <c r="C2026">
        <v>131589</v>
      </c>
      <c r="D2026" s="275" t="s">
        <v>15336</v>
      </c>
      <c r="E2026" s="301">
        <v>5177.2</v>
      </c>
      <c r="F2026" s="303">
        <v>43024</v>
      </c>
      <c r="G2026" s="301">
        <v>5177.2</v>
      </c>
      <c r="H2026" s="301">
        <f>Tabla15[[#This Row],[Importe]]-Tabla15[[#This Row],[Pagado]]</f>
        <v>0</v>
      </c>
      <c r="I2026" s="275" t="s">
        <v>15214</v>
      </c>
    </row>
    <row r="2027" spans="1:9" x14ac:dyDescent="0.25">
      <c r="A2027" s="420">
        <v>43024</v>
      </c>
      <c r="B2027" s="302" t="s">
        <v>33704</v>
      </c>
      <c r="C2027">
        <v>131590</v>
      </c>
      <c r="D2027" s="275" t="s">
        <v>15742</v>
      </c>
      <c r="E2027" s="301">
        <v>1796.9</v>
      </c>
      <c r="F2027" s="303">
        <v>43024</v>
      </c>
      <c r="G2027" s="301">
        <v>1796.9</v>
      </c>
      <c r="H2027" s="301">
        <f>Tabla15[[#This Row],[Importe]]-Tabla15[[#This Row],[Pagado]]</f>
        <v>0</v>
      </c>
      <c r="I2027" s="275" t="s">
        <v>15214</v>
      </c>
    </row>
    <row r="2028" spans="1:9" x14ac:dyDescent="0.25">
      <c r="A2028" s="420">
        <v>43024</v>
      </c>
      <c r="B2028" s="302" t="s">
        <v>33705</v>
      </c>
      <c r="C2028">
        <v>131591</v>
      </c>
      <c r="D2028" s="275" t="s">
        <v>15344</v>
      </c>
      <c r="E2028" s="301">
        <v>2267.8000000000002</v>
      </c>
      <c r="F2028" s="303">
        <v>43024</v>
      </c>
      <c r="G2028" s="301">
        <v>2267.8000000000002</v>
      </c>
      <c r="H2028" s="301">
        <f>Tabla15[[#This Row],[Importe]]-Tabla15[[#This Row],[Pagado]]</f>
        <v>0</v>
      </c>
      <c r="I2028" s="275" t="s">
        <v>15214</v>
      </c>
    </row>
    <row r="2029" spans="1:9" x14ac:dyDescent="0.25">
      <c r="A2029" s="420">
        <v>43024</v>
      </c>
      <c r="B2029" s="302" t="s">
        <v>33706</v>
      </c>
      <c r="C2029">
        <v>131592</v>
      </c>
      <c r="D2029" s="275" t="s">
        <v>15526</v>
      </c>
      <c r="E2029" s="301">
        <v>3997.4</v>
      </c>
      <c r="F2029" s="303">
        <v>43024</v>
      </c>
      <c r="G2029" s="301">
        <v>3997.4</v>
      </c>
      <c r="H2029" s="301">
        <f>Tabla15[[#This Row],[Importe]]-Tabla15[[#This Row],[Pagado]]</f>
        <v>0</v>
      </c>
      <c r="I2029" s="275" t="s">
        <v>15214</v>
      </c>
    </row>
    <row r="2030" spans="1:9" x14ac:dyDescent="0.25">
      <c r="A2030" s="420">
        <v>43024</v>
      </c>
      <c r="B2030" s="302" t="s">
        <v>33707</v>
      </c>
      <c r="C2030">
        <v>131593</v>
      </c>
      <c r="D2030" s="275" t="s">
        <v>15356</v>
      </c>
      <c r="E2030" s="301">
        <v>1733.2</v>
      </c>
      <c r="F2030" s="303">
        <v>43024</v>
      </c>
      <c r="G2030" s="301">
        <v>1733.2</v>
      </c>
      <c r="H2030" s="301">
        <f>Tabla15[[#This Row],[Importe]]-Tabla15[[#This Row],[Pagado]]</f>
        <v>0</v>
      </c>
      <c r="I2030" s="275" t="s">
        <v>15214</v>
      </c>
    </row>
    <row r="2031" spans="1:9" x14ac:dyDescent="0.25">
      <c r="A2031" s="420">
        <v>43024</v>
      </c>
      <c r="B2031" s="302" t="s">
        <v>33708</v>
      </c>
      <c r="C2031">
        <v>131594</v>
      </c>
      <c r="D2031" s="275" t="s">
        <v>19461</v>
      </c>
      <c r="E2031" s="301">
        <v>1094.8</v>
      </c>
      <c r="F2031" s="303">
        <v>43024</v>
      </c>
      <c r="G2031" s="301">
        <v>1094.8</v>
      </c>
      <c r="H2031" s="301">
        <f>Tabla15[[#This Row],[Importe]]-Tabla15[[#This Row],[Pagado]]</f>
        <v>0</v>
      </c>
      <c r="I2031" s="275" t="s">
        <v>15214</v>
      </c>
    </row>
    <row r="2032" spans="1:9" x14ac:dyDescent="0.25">
      <c r="A2032" s="420">
        <v>43024</v>
      </c>
      <c r="B2032" s="302" t="s">
        <v>33709</v>
      </c>
      <c r="C2032">
        <v>131595</v>
      </c>
      <c r="D2032" s="275" t="s">
        <v>15394</v>
      </c>
      <c r="E2032" s="301">
        <v>6559.8</v>
      </c>
      <c r="F2032" s="303">
        <v>43027</v>
      </c>
      <c r="G2032" s="301">
        <v>6559.8</v>
      </c>
      <c r="H2032" s="301">
        <f>Tabla15[[#This Row],[Importe]]-Tabla15[[#This Row],[Pagado]]</f>
        <v>0</v>
      </c>
      <c r="I2032" s="275" t="s">
        <v>15214</v>
      </c>
    </row>
    <row r="2033" spans="1:9" ht="30" x14ac:dyDescent="0.25">
      <c r="A2033" s="420">
        <v>43024</v>
      </c>
      <c r="B2033" s="302" t="s">
        <v>33710</v>
      </c>
      <c r="C2033">
        <v>131596</v>
      </c>
      <c r="D2033" s="275" t="s">
        <v>15373</v>
      </c>
      <c r="E2033" s="301">
        <v>18857.349999999999</v>
      </c>
      <c r="F2033" s="303" t="s">
        <v>33711</v>
      </c>
      <c r="G2033" s="305">
        <f>16982+1875.35</f>
        <v>18857.349999999999</v>
      </c>
      <c r="H2033" s="305">
        <f>Tabla15[[#This Row],[Importe]]-Tabla15[[#This Row],[Pagado]]</f>
        <v>0</v>
      </c>
      <c r="I2033" s="275" t="s">
        <v>15214</v>
      </c>
    </row>
    <row r="2034" spans="1:9" x14ac:dyDescent="0.25">
      <c r="A2034" s="420">
        <v>43024</v>
      </c>
      <c r="B2034" s="302" t="s">
        <v>33712</v>
      </c>
      <c r="C2034">
        <v>131597</v>
      </c>
      <c r="D2034" s="275" t="s">
        <v>15396</v>
      </c>
      <c r="E2034" s="301">
        <v>4004.2</v>
      </c>
      <c r="F2034" s="303">
        <v>43024</v>
      </c>
      <c r="G2034" s="301">
        <v>4004.2</v>
      </c>
      <c r="H2034" s="301">
        <f>Tabla15[[#This Row],[Importe]]-Tabla15[[#This Row],[Pagado]]</f>
        <v>0</v>
      </c>
      <c r="I2034" s="275" t="s">
        <v>15214</v>
      </c>
    </row>
    <row r="2035" spans="1:9" x14ac:dyDescent="0.25">
      <c r="A2035" s="420">
        <v>43024</v>
      </c>
      <c r="B2035" s="302" t="s">
        <v>33713</v>
      </c>
      <c r="C2035">
        <v>131598</v>
      </c>
      <c r="D2035" s="275" t="s">
        <v>15380</v>
      </c>
      <c r="E2035" s="301">
        <v>46555.4</v>
      </c>
      <c r="F2035" s="303">
        <v>43035</v>
      </c>
      <c r="G2035" s="301">
        <v>46555.4</v>
      </c>
      <c r="H2035" s="301">
        <f>Tabla15[[#This Row],[Importe]]-Tabla15[[#This Row],[Pagado]]</f>
        <v>0</v>
      </c>
      <c r="I2035" s="275" t="s">
        <v>15214</v>
      </c>
    </row>
    <row r="2036" spans="1:9" x14ac:dyDescent="0.25">
      <c r="A2036" s="420">
        <v>43024</v>
      </c>
      <c r="B2036" s="302" t="s">
        <v>33714</v>
      </c>
      <c r="C2036">
        <v>131599</v>
      </c>
      <c r="D2036" s="275" t="s">
        <v>15369</v>
      </c>
      <c r="E2036" s="301">
        <v>23675.4</v>
      </c>
      <c r="F2036" s="303">
        <v>43035</v>
      </c>
      <c r="G2036" s="301">
        <v>23675.4</v>
      </c>
      <c r="H2036" s="301">
        <f>Tabla15[[#This Row],[Importe]]-Tabla15[[#This Row],[Pagado]]</f>
        <v>0</v>
      </c>
      <c r="I2036" s="275" t="s">
        <v>15214</v>
      </c>
    </row>
    <row r="2037" spans="1:9" x14ac:dyDescent="0.25">
      <c r="A2037" s="420">
        <v>43024</v>
      </c>
      <c r="B2037" s="302" t="s">
        <v>33715</v>
      </c>
      <c r="C2037">
        <v>131600</v>
      </c>
      <c r="D2037" s="275" t="s">
        <v>15427</v>
      </c>
      <c r="E2037" s="301">
        <v>26694.799999999999</v>
      </c>
      <c r="F2037" s="303">
        <v>43025</v>
      </c>
      <c r="G2037" s="301">
        <v>26694.799999999999</v>
      </c>
      <c r="H2037" s="301">
        <f>Tabla15[[#This Row],[Importe]]-Tabla15[[#This Row],[Pagado]]</f>
        <v>0</v>
      </c>
      <c r="I2037" s="275" t="s">
        <v>15214</v>
      </c>
    </row>
    <row r="2038" spans="1:9" x14ac:dyDescent="0.25">
      <c r="A2038" s="420">
        <v>43024</v>
      </c>
      <c r="B2038" s="302" t="s">
        <v>33716</v>
      </c>
      <c r="C2038">
        <v>131601</v>
      </c>
      <c r="D2038" s="275" t="s">
        <v>15282</v>
      </c>
      <c r="E2038" s="301">
        <v>2173.5</v>
      </c>
      <c r="F2038" s="303">
        <v>43024</v>
      </c>
      <c r="G2038" s="301">
        <v>2173.5</v>
      </c>
      <c r="H2038" s="301">
        <f>Tabla15[[#This Row],[Importe]]-Tabla15[[#This Row],[Pagado]]</f>
        <v>0</v>
      </c>
      <c r="I2038" s="275" t="s">
        <v>15214</v>
      </c>
    </row>
    <row r="2039" spans="1:9" x14ac:dyDescent="0.25">
      <c r="A2039" s="420">
        <v>43024</v>
      </c>
      <c r="B2039" s="302" t="s">
        <v>33717</v>
      </c>
      <c r="C2039">
        <v>131602</v>
      </c>
      <c r="D2039" s="275" t="s">
        <v>15389</v>
      </c>
      <c r="E2039" s="301">
        <v>17140.099999999999</v>
      </c>
      <c r="F2039" s="303">
        <v>43035</v>
      </c>
      <c r="G2039" s="301">
        <v>17140.099999999999</v>
      </c>
      <c r="H2039" s="301">
        <f>Tabla15[[#This Row],[Importe]]-Tabla15[[#This Row],[Pagado]]</f>
        <v>0</v>
      </c>
      <c r="I2039" s="275" t="s">
        <v>15214</v>
      </c>
    </row>
    <row r="2040" spans="1:9" x14ac:dyDescent="0.25">
      <c r="A2040" s="420">
        <v>43024</v>
      </c>
      <c r="B2040" s="302" t="s">
        <v>33718</v>
      </c>
      <c r="C2040">
        <v>131603</v>
      </c>
      <c r="D2040" s="275" t="s">
        <v>15382</v>
      </c>
      <c r="E2040" s="301">
        <v>11380.5</v>
      </c>
      <c r="F2040" s="303">
        <v>43035</v>
      </c>
      <c r="G2040" s="301">
        <v>11380.5</v>
      </c>
      <c r="H2040" s="301">
        <f>Tabla15[[#This Row],[Importe]]-Tabla15[[#This Row],[Pagado]]</f>
        <v>0</v>
      </c>
      <c r="I2040" s="275" t="s">
        <v>15214</v>
      </c>
    </row>
    <row r="2041" spans="1:9" x14ac:dyDescent="0.25">
      <c r="A2041" s="420">
        <v>43024</v>
      </c>
      <c r="B2041" s="302" t="s">
        <v>33719</v>
      </c>
      <c r="C2041">
        <v>131604</v>
      </c>
      <c r="D2041" s="275" t="s">
        <v>15398</v>
      </c>
      <c r="E2041" s="301">
        <v>4027.9</v>
      </c>
      <c r="F2041" s="303">
        <v>43024</v>
      </c>
      <c r="G2041" s="301">
        <v>4027.9</v>
      </c>
      <c r="H2041" s="301">
        <f>Tabla15[[#This Row],[Importe]]-Tabla15[[#This Row],[Pagado]]</f>
        <v>0</v>
      </c>
      <c r="I2041" s="275" t="s">
        <v>15214</v>
      </c>
    </row>
    <row r="2042" spans="1:9" x14ac:dyDescent="0.25">
      <c r="A2042" s="420">
        <v>43024</v>
      </c>
      <c r="B2042" s="302" t="s">
        <v>33720</v>
      </c>
      <c r="C2042">
        <v>131605</v>
      </c>
      <c r="D2042" s="275" t="s">
        <v>15537</v>
      </c>
      <c r="E2042" s="301">
        <v>13586.4</v>
      </c>
      <c r="F2042" s="303">
        <v>43026</v>
      </c>
      <c r="G2042" s="301">
        <v>13586.4</v>
      </c>
      <c r="H2042" s="301">
        <f>Tabla15[[#This Row],[Importe]]-Tabla15[[#This Row],[Pagado]]</f>
        <v>0</v>
      </c>
      <c r="I2042" s="275" t="s">
        <v>15214</v>
      </c>
    </row>
    <row r="2043" spans="1:9" ht="15.75" x14ac:dyDescent="0.25">
      <c r="A2043" s="420">
        <v>43024</v>
      </c>
      <c r="B2043" s="302" t="s">
        <v>33721</v>
      </c>
      <c r="C2043">
        <v>131606</v>
      </c>
      <c r="D2043" s="248" t="s">
        <v>95</v>
      </c>
      <c r="E2043" s="301">
        <v>0</v>
      </c>
      <c r="F2043" s="243" t="s">
        <v>95</v>
      </c>
      <c r="G2043" s="301">
        <v>0</v>
      </c>
      <c r="H2043" s="301">
        <f>Tabla15[[#This Row],[Importe]]-Tabla15[[#This Row],[Pagado]]</f>
        <v>0</v>
      </c>
      <c r="I2043" s="275" t="s">
        <v>95</v>
      </c>
    </row>
    <row r="2044" spans="1:9" x14ac:dyDescent="0.25">
      <c r="A2044" s="420">
        <v>43024</v>
      </c>
      <c r="B2044" s="302" t="s">
        <v>33722</v>
      </c>
      <c r="C2044">
        <v>131607</v>
      </c>
      <c r="D2044" s="275" t="s">
        <v>15539</v>
      </c>
      <c r="E2044" s="301">
        <v>8879.2999999999993</v>
      </c>
      <c r="F2044" s="303">
        <v>43026</v>
      </c>
      <c r="G2044" s="301">
        <v>8879.2999999999993</v>
      </c>
      <c r="H2044" s="301">
        <f>Tabla15[[#This Row],[Importe]]-Tabla15[[#This Row],[Pagado]]</f>
        <v>0</v>
      </c>
      <c r="I2044" s="275" t="s">
        <v>15214</v>
      </c>
    </row>
    <row r="2045" spans="1:9" x14ac:dyDescent="0.25">
      <c r="A2045" s="420">
        <v>43024</v>
      </c>
      <c r="B2045" s="302" t="s">
        <v>33723</v>
      </c>
      <c r="C2045">
        <v>131608</v>
      </c>
      <c r="D2045" s="275" t="s">
        <v>15699</v>
      </c>
      <c r="E2045" s="301">
        <v>3920</v>
      </c>
      <c r="F2045" s="303">
        <v>43026</v>
      </c>
      <c r="G2045" s="301">
        <v>3920</v>
      </c>
      <c r="H2045" s="301">
        <f>Tabla15[[#This Row],[Importe]]-Tabla15[[#This Row],[Pagado]]</f>
        <v>0</v>
      </c>
      <c r="I2045" s="275" t="s">
        <v>15214</v>
      </c>
    </row>
    <row r="2046" spans="1:9" x14ac:dyDescent="0.25">
      <c r="A2046" s="420">
        <v>43024</v>
      </c>
      <c r="B2046" s="302" t="s">
        <v>33724</v>
      </c>
      <c r="C2046">
        <v>131609</v>
      </c>
      <c r="D2046" s="275" t="s">
        <v>15555</v>
      </c>
      <c r="E2046" s="301">
        <v>2328</v>
      </c>
      <c r="F2046" s="303">
        <v>43026</v>
      </c>
      <c r="G2046" s="301">
        <v>2328</v>
      </c>
      <c r="H2046" s="301">
        <f>Tabla15[[#This Row],[Importe]]-Tabla15[[#This Row],[Pagado]]</f>
        <v>0</v>
      </c>
      <c r="I2046" s="275" t="s">
        <v>15214</v>
      </c>
    </row>
    <row r="2047" spans="1:9" x14ac:dyDescent="0.25">
      <c r="A2047" s="420">
        <v>43024</v>
      </c>
      <c r="B2047" s="302" t="s">
        <v>33725</v>
      </c>
      <c r="C2047">
        <v>131610</v>
      </c>
      <c r="D2047" s="275" t="s">
        <v>15557</v>
      </c>
      <c r="E2047" s="301">
        <v>953.7</v>
      </c>
      <c r="F2047" s="303">
        <v>43026</v>
      </c>
      <c r="G2047" s="301">
        <v>953.7</v>
      </c>
      <c r="H2047" s="301">
        <f>Tabla15[[#This Row],[Importe]]-Tabla15[[#This Row],[Pagado]]</f>
        <v>0</v>
      </c>
      <c r="I2047" s="275" t="s">
        <v>15214</v>
      </c>
    </row>
    <row r="2048" spans="1:9" x14ac:dyDescent="0.25">
      <c r="A2048" s="420">
        <v>43024</v>
      </c>
      <c r="B2048" s="302" t="s">
        <v>33726</v>
      </c>
      <c r="C2048">
        <v>131611</v>
      </c>
      <c r="D2048" s="275" t="s">
        <v>15391</v>
      </c>
      <c r="E2048" s="301">
        <v>7203</v>
      </c>
      <c r="F2048" s="303">
        <v>43025</v>
      </c>
      <c r="G2048" s="301">
        <v>7203</v>
      </c>
      <c r="H2048" s="301">
        <f>Tabla15[[#This Row],[Importe]]-Tabla15[[#This Row],[Pagado]]</f>
        <v>0</v>
      </c>
      <c r="I2048" s="275" t="s">
        <v>15214</v>
      </c>
    </row>
    <row r="2049" spans="1:9" x14ac:dyDescent="0.25">
      <c r="A2049" s="420">
        <v>43024</v>
      </c>
      <c r="B2049" s="302" t="s">
        <v>33727</v>
      </c>
      <c r="C2049">
        <v>131612</v>
      </c>
      <c r="D2049" s="275" t="s">
        <v>19700</v>
      </c>
      <c r="E2049" s="301">
        <v>1976.4</v>
      </c>
      <c r="F2049" s="303">
        <v>43025</v>
      </c>
      <c r="G2049" s="301">
        <v>1976.4</v>
      </c>
      <c r="H2049" s="301">
        <f>Tabla15[[#This Row],[Importe]]-Tabla15[[#This Row],[Pagado]]</f>
        <v>0</v>
      </c>
      <c r="I2049" s="275" t="s">
        <v>15214</v>
      </c>
    </row>
    <row r="2050" spans="1:9" x14ac:dyDescent="0.25">
      <c r="A2050" s="420">
        <v>43024</v>
      </c>
      <c r="B2050" s="302" t="s">
        <v>33728</v>
      </c>
      <c r="C2050">
        <v>131613</v>
      </c>
      <c r="D2050" s="275" t="s">
        <v>15423</v>
      </c>
      <c r="E2050" s="301">
        <v>4262.8999999999996</v>
      </c>
      <c r="F2050" s="303">
        <v>43024</v>
      </c>
      <c r="G2050" s="301">
        <v>4262.8999999999996</v>
      </c>
      <c r="H2050" s="301">
        <f>Tabla15[[#This Row],[Importe]]-Tabla15[[#This Row],[Pagado]]</f>
        <v>0</v>
      </c>
      <c r="I2050" s="275" t="s">
        <v>15214</v>
      </c>
    </row>
    <row r="2051" spans="1:9" x14ac:dyDescent="0.25">
      <c r="A2051" s="420">
        <v>43024</v>
      </c>
      <c r="B2051" s="302" t="s">
        <v>33729</v>
      </c>
      <c r="C2051">
        <v>131614</v>
      </c>
      <c r="D2051" s="275" t="s">
        <v>15423</v>
      </c>
      <c r="E2051" s="301">
        <v>364.8</v>
      </c>
      <c r="F2051" s="303">
        <v>43024</v>
      </c>
      <c r="G2051" s="301">
        <v>364.8</v>
      </c>
      <c r="H2051" s="301">
        <f>Tabla15[[#This Row],[Importe]]-Tabla15[[#This Row],[Pagado]]</f>
        <v>0</v>
      </c>
      <c r="I2051" s="275" t="s">
        <v>15214</v>
      </c>
    </row>
    <row r="2052" spans="1:9" x14ac:dyDescent="0.25">
      <c r="A2052" s="420">
        <v>43024</v>
      </c>
      <c r="B2052" s="302" t="s">
        <v>33730</v>
      </c>
      <c r="C2052">
        <v>131615</v>
      </c>
      <c r="D2052" s="275" t="s">
        <v>15423</v>
      </c>
      <c r="E2052" s="301">
        <v>192</v>
      </c>
      <c r="F2052" s="303">
        <v>43024</v>
      </c>
      <c r="G2052" s="301">
        <v>192</v>
      </c>
      <c r="H2052" s="301">
        <f>Tabla15[[#This Row],[Importe]]-Tabla15[[#This Row],[Pagado]]</f>
        <v>0</v>
      </c>
      <c r="I2052" s="275" t="s">
        <v>15214</v>
      </c>
    </row>
    <row r="2053" spans="1:9" x14ac:dyDescent="0.25">
      <c r="A2053" s="420">
        <v>43024</v>
      </c>
      <c r="B2053" s="302" t="s">
        <v>33731</v>
      </c>
      <c r="C2053">
        <v>131616</v>
      </c>
      <c r="D2053" s="275" t="s">
        <v>15361</v>
      </c>
      <c r="E2053" s="301">
        <v>9476.2000000000007</v>
      </c>
      <c r="F2053" s="303">
        <v>43025</v>
      </c>
      <c r="G2053" s="301">
        <v>9476.2000000000007</v>
      </c>
      <c r="H2053" s="301">
        <f>Tabla15[[#This Row],[Importe]]-Tabla15[[#This Row],[Pagado]]</f>
        <v>0</v>
      </c>
      <c r="I2053" s="275" t="s">
        <v>15214</v>
      </c>
    </row>
    <row r="2054" spans="1:9" x14ac:dyDescent="0.25">
      <c r="A2054" s="420">
        <v>43024</v>
      </c>
      <c r="B2054" s="302" t="s">
        <v>33732</v>
      </c>
      <c r="C2054">
        <v>131617</v>
      </c>
      <c r="D2054" s="275" t="s">
        <v>19697</v>
      </c>
      <c r="E2054" s="301">
        <v>887.4</v>
      </c>
      <c r="F2054" s="303">
        <v>43027</v>
      </c>
      <c r="G2054" s="301">
        <v>887.4</v>
      </c>
      <c r="H2054" s="301">
        <f>Tabla15[[#This Row],[Importe]]-Tabla15[[#This Row],[Pagado]]</f>
        <v>0</v>
      </c>
      <c r="I2054" s="275" t="s">
        <v>15214</v>
      </c>
    </row>
    <row r="2055" spans="1:9" x14ac:dyDescent="0.25">
      <c r="A2055" s="420">
        <v>43024</v>
      </c>
      <c r="B2055" s="302" t="s">
        <v>33733</v>
      </c>
      <c r="C2055">
        <v>131618</v>
      </c>
      <c r="D2055" s="275" t="s">
        <v>15987</v>
      </c>
      <c r="E2055" s="301">
        <v>609.6</v>
      </c>
      <c r="F2055" s="303">
        <v>43024</v>
      </c>
      <c r="G2055" s="301">
        <v>609.6</v>
      </c>
      <c r="H2055" s="301">
        <f>Tabla15[[#This Row],[Importe]]-Tabla15[[#This Row],[Pagado]]</f>
        <v>0</v>
      </c>
      <c r="I2055" s="275" t="s">
        <v>15214</v>
      </c>
    </row>
    <row r="2056" spans="1:9" x14ac:dyDescent="0.25">
      <c r="A2056" s="420">
        <v>43024</v>
      </c>
      <c r="B2056" s="302" t="s">
        <v>33734</v>
      </c>
      <c r="C2056">
        <v>131619</v>
      </c>
      <c r="D2056" s="275" t="s">
        <v>15592</v>
      </c>
      <c r="E2056" s="301">
        <v>12784.8</v>
      </c>
      <c r="F2056" s="303">
        <v>43025</v>
      </c>
      <c r="G2056" s="301">
        <v>12784.8</v>
      </c>
      <c r="H2056" s="301">
        <f>Tabla15[[#This Row],[Importe]]-Tabla15[[#This Row],[Pagado]]</f>
        <v>0</v>
      </c>
      <c r="I2056" s="275" t="s">
        <v>15214</v>
      </c>
    </row>
    <row r="2057" spans="1:9" x14ac:dyDescent="0.25">
      <c r="A2057" s="420">
        <v>43024</v>
      </c>
      <c r="B2057" s="302" t="s">
        <v>33735</v>
      </c>
      <c r="C2057">
        <v>131620</v>
      </c>
      <c r="D2057" s="275" t="s">
        <v>15213</v>
      </c>
      <c r="E2057" s="301">
        <v>1082.4000000000001</v>
      </c>
      <c r="F2057" s="303">
        <v>43025</v>
      </c>
      <c r="G2057" s="301">
        <v>1082.4000000000001</v>
      </c>
      <c r="H2057" s="301">
        <f>Tabla15[[#This Row],[Importe]]-Tabla15[[#This Row],[Pagado]]</f>
        <v>0</v>
      </c>
      <c r="I2057" s="275" t="s">
        <v>15214</v>
      </c>
    </row>
    <row r="2058" spans="1:9" x14ac:dyDescent="0.25">
      <c r="A2058" s="420">
        <v>43024</v>
      </c>
      <c r="B2058" s="302" t="s">
        <v>33736</v>
      </c>
      <c r="C2058">
        <v>131621</v>
      </c>
      <c r="D2058" s="275" t="s">
        <v>15213</v>
      </c>
      <c r="E2058" s="301">
        <v>695.2</v>
      </c>
      <c r="F2058" s="303">
        <v>43025</v>
      </c>
      <c r="G2058" s="301">
        <v>695.2</v>
      </c>
      <c r="H2058" s="301">
        <f>Tabla15[[#This Row],[Importe]]-Tabla15[[#This Row],[Pagado]]</f>
        <v>0</v>
      </c>
      <c r="I2058" s="275" t="s">
        <v>15214</v>
      </c>
    </row>
    <row r="2059" spans="1:9" x14ac:dyDescent="0.25">
      <c r="A2059" s="420">
        <v>43024</v>
      </c>
      <c r="B2059" s="302" t="s">
        <v>33737</v>
      </c>
      <c r="C2059">
        <v>131622</v>
      </c>
      <c r="D2059" s="275" t="s">
        <v>15315</v>
      </c>
      <c r="E2059" s="301">
        <v>12633.6</v>
      </c>
      <c r="F2059" s="303">
        <v>43024</v>
      </c>
      <c r="G2059" s="301">
        <v>12633.6</v>
      </c>
      <c r="H2059" s="301">
        <f>Tabla15[[#This Row],[Importe]]-Tabla15[[#This Row],[Pagado]]</f>
        <v>0</v>
      </c>
      <c r="I2059" s="275" t="s">
        <v>15214</v>
      </c>
    </row>
    <row r="2060" spans="1:9" x14ac:dyDescent="0.25">
      <c r="A2060" s="420">
        <v>43024</v>
      </c>
      <c r="B2060" s="302" t="s">
        <v>33738</v>
      </c>
      <c r="C2060">
        <v>131623</v>
      </c>
      <c r="D2060" s="275" t="s">
        <v>15272</v>
      </c>
      <c r="E2060" s="301">
        <v>2410.8000000000002</v>
      </c>
      <c r="F2060" s="303">
        <v>43024</v>
      </c>
      <c r="G2060" s="301">
        <v>2410.8000000000002</v>
      </c>
      <c r="H2060" s="301">
        <f>Tabla15[[#This Row],[Importe]]-Tabla15[[#This Row],[Pagado]]</f>
        <v>0</v>
      </c>
      <c r="I2060" s="275" t="s">
        <v>15214</v>
      </c>
    </row>
    <row r="2061" spans="1:9" x14ac:dyDescent="0.25">
      <c r="A2061" s="420">
        <v>43024</v>
      </c>
      <c r="B2061" s="302" t="s">
        <v>33739</v>
      </c>
      <c r="C2061">
        <v>131624</v>
      </c>
      <c r="D2061" s="275" t="s">
        <v>15624</v>
      </c>
      <c r="E2061" s="301">
        <v>30474.2</v>
      </c>
      <c r="F2061" s="303">
        <v>43026</v>
      </c>
      <c r="G2061" s="301">
        <v>30474.2</v>
      </c>
      <c r="H2061" s="301">
        <f>Tabla15[[#This Row],[Importe]]-Tabla15[[#This Row],[Pagado]]</f>
        <v>0</v>
      </c>
      <c r="I2061" s="275" t="s">
        <v>15214</v>
      </c>
    </row>
    <row r="2062" spans="1:9" x14ac:dyDescent="0.25">
      <c r="A2062" s="420">
        <v>43024</v>
      </c>
      <c r="B2062" s="302" t="s">
        <v>33740</v>
      </c>
      <c r="C2062">
        <v>131625</v>
      </c>
      <c r="D2062" s="275" t="s">
        <v>15298</v>
      </c>
      <c r="E2062" s="301">
        <v>17962.3</v>
      </c>
      <c r="F2062" s="303">
        <v>43031</v>
      </c>
      <c r="G2062" s="301">
        <v>17962.3</v>
      </c>
      <c r="H2062" s="301">
        <f>Tabla15[[#This Row],[Importe]]-Tabla15[[#This Row],[Pagado]]</f>
        <v>0</v>
      </c>
      <c r="I2062" s="275" t="s">
        <v>15214</v>
      </c>
    </row>
    <row r="2063" spans="1:9" x14ac:dyDescent="0.25">
      <c r="A2063" s="420">
        <v>43024</v>
      </c>
      <c r="B2063" s="302" t="s">
        <v>33741</v>
      </c>
      <c r="C2063">
        <v>131626</v>
      </c>
      <c r="D2063" s="275" t="s">
        <v>15930</v>
      </c>
      <c r="E2063" s="301">
        <v>4233.6000000000004</v>
      </c>
      <c r="F2063" s="303">
        <v>43025</v>
      </c>
      <c r="G2063" s="301">
        <v>4233.6000000000004</v>
      </c>
      <c r="H2063" s="301">
        <f>Tabla15[[#This Row],[Importe]]-Tabla15[[#This Row],[Pagado]]</f>
        <v>0</v>
      </c>
      <c r="I2063" s="275" t="s">
        <v>15214</v>
      </c>
    </row>
    <row r="2064" spans="1:9" x14ac:dyDescent="0.25">
      <c r="A2064" s="420">
        <v>43024</v>
      </c>
      <c r="B2064" s="302" t="s">
        <v>33742</v>
      </c>
      <c r="C2064">
        <v>131627</v>
      </c>
      <c r="D2064" s="275" t="s">
        <v>15600</v>
      </c>
      <c r="E2064" s="301">
        <v>2267.8000000000002</v>
      </c>
      <c r="F2064" s="303">
        <v>43025</v>
      </c>
      <c r="G2064" s="301">
        <v>2267.8000000000002</v>
      </c>
      <c r="H2064" s="301">
        <f>Tabla15[[#This Row],[Importe]]-Tabla15[[#This Row],[Pagado]]</f>
        <v>0</v>
      </c>
      <c r="I2064" s="275" t="s">
        <v>15214</v>
      </c>
    </row>
    <row r="2065" spans="1:9" x14ac:dyDescent="0.25">
      <c r="A2065" s="420">
        <v>43024</v>
      </c>
      <c r="B2065" s="302" t="s">
        <v>33743</v>
      </c>
      <c r="C2065">
        <v>131628</v>
      </c>
      <c r="D2065" s="275" t="s">
        <v>15920</v>
      </c>
      <c r="E2065" s="301">
        <v>4867.2</v>
      </c>
      <c r="F2065" s="303">
        <v>43025</v>
      </c>
      <c r="G2065" s="301">
        <v>4867.2</v>
      </c>
      <c r="H2065" s="301">
        <f>Tabla15[[#This Row],[Importe]]-Tabla15[[#This Row],[Pagado]]</f>
        <v>0</v>
      </c>
      <c r="I2065" s="275" t="s">
        <v>15214</v>
      </c>
    </row>
    <row r="2066" spans="1:9" ht="30" x14ac:dyDescent="0.25">
      <c r="A2066" s="420">
        <v>43024</v>
      </c>
      <c r="B2066" s="302" t="s">
        <v>33744</v>
      </c>
      <c r="C2066">
        <v>131629</v>
      </c>
      <c r="D2066" s="275" t="s">
        <v>15246</v>
      </c>
      <c r="E2066" s="301">
        <v>376581</v>
      </c>
      <c r="F2066" s="303" t="s">
        <v>33745</v>
      </c>
      <c r="G2066" s="305">
        <f>71982.02+304598.98</f>
        <v>376581</v>
      </c>
      <c r="H2066" s="305">
        <f>Tabla15[[#This Row],[Importe]]-Tabla15[[#This Row],[Pagado]]</f>
        <v>0</v>
      </c>
      <c r="I2066" s="275" t="s">
        <v>15214</v>
      </c>
    </row>
    <row r="2067" spans="1:9" ht="30" x14ac:dyDescent="0.25">
      <c r="A2067" s="420">
        <v>43024</v>
      </c>
      <c r="B2067" s="302" t="s">
        <v>33746</v>
      </c>
      <c r="C2067">
        <v>131630</v>
      </c>
      <c r="D2067" s="275" t="s">
        <v>15628</v>
      </c>
      <c r="E2067" s="301">
        <v>18187.599999999999</v>
      </c>
      <c r="F2067" s="303" t="s">
        <v>33745</v>
      </c>
      <c r="G2067" s="305">
        <f>2800+15387.6</f>
        <v>18187.599999999999</v>
      </c>
      <c r="H2067" s="305">
        <f>Tabla15[[#This Row],[Importe]]-Tabla15[[#This Row],[Pagado]]</f>
        <v>0</v>
      </c>
      <c r="I2067" s="275" t="s">
        <v>15214</v>
      </c>
    </row>
    <row r="2068" spans="1:9" x14ac:dyDescent="0.25">
      <c r="A2068" s="420">
        <v>43024</v>
      </c>
      <c r="B2068" s="302" t="s">
        <v>33747</v>
      </c>
      <c r="C2068">
        <v>131631</v>
      </c>
      <c r="D2068" s="275" t="s">
        <v>5883</v>
      </c>
      <c r="E2068" s="301">
        <v>2659.24</v>
      </c>
      <c r="F2068" s="303">
        <v>43060</v>
      </c>
      <c r="G2068" s="301">
        <v>2659.24</v>
      </c>
      <c r="H2068" s="301">
        <f>Tabla15[[#This Row],[Importe]]-Tabla15[[#This Row],[Pagado]]</f>
        <v>0</v>
      </c>
      <c r="I2068" s="275" t="s">
        <v>15214</v>
      </c>
    </row>
    <row r="2069" spans="1:9" x14ac:dyDescent="0.25">
      <c r="A2069" s="420">
        <v>43024</v>
      </c>
      <c r="B2069" s="302" t="s">
        <v>33748</v>
      </c>
      <c r="C2069">
        <v>131632</v>
      </c>
      <c r="D2069" s="275" t="s">
        <v>15365</v>
      </c>
      <c r="E2069" s="301">
        <v>398970</v>
      </c>
      <c r="F2069" s="303">
        <v>43024</v>
      </c>
      <c r="G2069" s="301">
        <v>398970</v>
      </c>
      <c r="H2069" s="301">
        <f>Tabla15[[#This Row],[Importe]]-Tabla15[[#This Row],[Pagado]]</f>
        <v>0</v>
      </c>
      <c r="I2069" s="275" t="s">
        <v>15214</v>
      </c>
    </row>
    <row r="2070" spans="1:9" x14ac:dyDescent="0.25">
      <c r="A2070" s="420">
        <v>43024</v>
      </c>
      <c r="B2070" s="302" t="s">
        <v>33749</v>
      </c>
      <c r="C2070">
        <v>131633</v>
      </c>
      <c r="D2070" s="275" t="s">
        <v>15655</v>
      </c>
      <c r="E2070" s="301">
        <v>17794</v>
      </c>
      <c r="F2070" s="303">
        <v>43026</v>
      </c>
      <c r="G2070" s="301">
        <v>17794</v>
      </c>
      <c r="H2070" s="301">
        <f>Tabla15[[#This Row],[Importe]]-Tabla15[[#This Row],[Pagado]]</f>
        <v>0</v>
      </c>
      <c r="I2070" s="275" t="s">
        <v>15214</v>
      </c>
    </row>
    <row r="2071" spans="1:9" x14ac:dyDescent="0.25">
      <c r="A2071" s="420">
        <v>43024</v>
      </c>
      <c r="B2071" s="302" t="s">
        <v>33750</v>
      </c>
      <c r="C2071">
        <v>131634</v>
      </c>
      <c r="D2071" s="275" t="s">
        <v>5880</v>
      </c>
      <c r="E2071" s="301">
        <v>20000</v>
      </c>
      <c r="F2071" s="303">
        <v>43026</v>
      </c>
      <c r="G2071" s="301">
        <v>20000</v>
      </c>
      <c r="H2071" s="301">
        <f>Tabla15[[#This Row],[Importe]]-Tabla15[[#This Row],[Pagado]]</f>
        <v>0</v>
      </c>
      <c r="I2071" s="275" t="s">
        <v>15214</v>
      </c>
    </row>
    <row r="2072" spans="1:9" x14ac:dyDescent="0.25">
      <c r="A2072" s="420">
        <v>43024</v>
      </c>
      <c r="B2072" s="302" t="s">
        <v>33751</v>
      </c>
      <c r="C2072">
        <v>131635</v>
      </c>
      <c r="D2072" s="275" t="s">
        <v>15246</v>
      </c>
      <c r="E2072" s="301">
        <v>34403.199999999997</v>
      </c>
      <c r="F2072" s="303">
        <v>43031</v>
      </c>
      <c r="G2072" s="301">
        <v>34403.199999999997</v>
      </c>
      <c r="H2072" s="301">
        <f>Tabla15[[#This Row],[Importe]]-Tabla15[[#This Row],[Pagado]]</f>
        <v>0</v>
      </c>
      <c r="I2072" s="275" t="s">
        <v>15214</v>
      </c>
    </row>
    <row r="2073" spans="1:9" x14ac:dyDescent="0.25">
      <c r="A2073" s="420">
        <v>43024</v>
      </c>
      <c r="B2073" s="302" t="s">
        <v>33752</v>
      </c>
      <c r="C2073">
        <v>131636</v>
      </c>
      <c r="D2073" s="275" t="s">
        <v>15246</v>
      </c>
      <c r="E2073" s="301">
        <v>43151.98</v>
      </c>
      <c r="F2073" s="303">
        <v>43031</v>
      </c>
      <c r="G2073" s="301">
        <v>43151.98</v>
      </c>
      <c r="H2073" s="301">
        <f>Tabla15[[#This Row],[Importe]]-Tabla15[[#This Row],[Pagado]]</f>
        <v>0</v>
      </c>
      <c r="I2073" s="275" t="s">
        <v>15214</v>
      </c>
    </row>
    <row r="2074" spans="1:9" x14ac:dyDescent="0.25">
      <c r="A2074" s="420">
        <v>43024</v>
      </c>
      <c r="B2074" s="302" t="s">
        <v>33753</v>
      </c>
      <c r="C2074">
        <v>131637</v>
      </c>
      <c r="D2074" s="275" t="s">
        <v>15246</v>
      </c>
      <c r="E2074" s="301">
        <v>2500</v>
      </c>
      <c r="F2074" s="303">
        <v>43031</v>
      </c>
      <c r="G2074" s="301">
        <v>2500</v>
      </c>
      <c r="H2074" s="301">
        <f>Tabla15[[#This Row],[Importe]]-Tabla15[[#This Row],[Pagado]]</f>
        <v>0</v>
      </c>
      <c r="I2074" s="275" t="s">
        <v>15214</v>
      </c>
    </row>
    <row r="2075" spans="1:9" x14ac:dyDescent="0.25">
      <c r="A2075" s="420">
        <v>43024</v>
      </c>
      <c r="B2075" s="302" t="s">
        <v>33754</v>
      </c>
      <c r="C2075">
        <v>131638</v>
      </c>
      <c r="D2075" s="275" t="s">
        <v>18076</v>
      </c>
      <c r="E2075" s="301">
        <v>2808</v>
      </c>
      <c r="F2075" s="303">
        <v>43024</v>
      </c>
      <c r="G2075" s="301">
        <v>2808</v>
      </c>
      <c r="H2075" s="301">
        <f>Tabla15[[#This Row],[Importe]]-Tabla15[[#This Row],[Pagado]]</f>
        <v>0</v>
      </c>
      <c r="I2075" s="275" t="s">
        <v>15214</v>
      </c>
    </row>
    <row r="2076" spans="1:9" x14ac:dyDescent="0.25">
      <c r="A2076" s="420">
        <v>43024</v>
      </c>
      <c r="B2076" s="302" t="s">
        <v>33755</v>
      </c>
      <c r="C2076">
        <v>131639</v>
      </c>
      <c r="D2076" s="275" t="s">
        <v>15413</v>
      </c>
      <c r="E2076" s="301">
        <v>7199.6</v>
      </c>
      <c r="F2076" s="303">
        <v>43024</v>
      </c>
      <c r="G2076" s="301">
        <v>7199.6</v>
      </c>
      <c r="H2076" s="301">
        <f>Tabla15[[#This Row],[Importe]]-Tabla15[[#This Row],[Pagado]]</f>
        <v>0</v>
      </c>
      <c r="I2076" s="275" t="s">
        <v>15214</v>
      </c>
    </row>
    <row r="2077" spans="1:9" x14ac:dyDescent="0.25">
      <c r="A2077" s="420">
        <v>43024</v>
      </c>
      <c r="B2077" s="302" t="s">
        <v>33756</v>
      </c>
      <c r="C2077">
        <v>131640</v>
      </c>
      <c r="D2077" s="275" t="s">
        <v>15256</v>
      </c>
      <c r="E2077" s="301">
        <v>3333.6</v>
      </c>
      <c r="F2077" s="303">
        <v>43026</v>
      </c>
      <c r="G2077" s="301">
        <v>3333.6</v>
      </c>
      <c r="H2077" s="301">
        <f>Tabla15[[#This Row],[Importe]]-Tabla15[[#This Row],[Pagado]]</f>
        <v>0</v>
      </c>
      <c r="I2077" s="275" t="s">
        <v>15214</v>
      </c>
    </row>
    <row r="2078" spans="1:9" x14ac:dyDescent="0.25">
      <c r="A2078" s="420">
        <v>43024</v>
      </c>
      <c r="B2078" s="302" t="s">
        <v>33757</v>
      </c>
      <c r="C2078">
        <v>131641</v>
      </c>
      <c r="D2078" s="275" t="s">
        <v>15258</v>
      </c>
      <c r="E2078" s="301">
        <v>9576</v>
      </c>
      <c r="F2078" s="303">
        <v>43027</v>
      </c>
      <c r="G2078" s="301">
        <v>9576</v>
      </c>
      <c r="H2078" s="301">
        <f>Tabla15[[#This Row],[Importe]]-Tabla15[[#This Row],[Pagado]]</f>
        <v>0</v>
      </c>
      <c r="I2078" s="275" t="s">
        <v>15214</v>
      </c>
    </row>
    <row r="2079" spans="1:9" x14ac:dyDescent="0.25">
      <c r="A2079" s="420">
        <v>43024</v>
      </c>
      <c r="B2079" s="302" t="s">
        <v>33758</v>
      </c>
      <c r="C2079">
        <v>131642</v>
      </c>
      <c r="D2079" s="275" t="s">
        <v>19765</v>
      </c>
      <c r="E2079" s="301">
        <v>3500</v>
      </c>
      <c r="F2079" s="303">
        <v>43032</v>
      </c>
      <c r="G2079" s="301">
        <v>3500</v>
      </c>
      <c r="H2079" s="301">
        <f>Tabla15[[#This Row],[Importe]]-Tabla15[[#This Row],[Pagado]]</f>
        <v>0</v>
      </c>
      <c r="I2079" s="275" t="s">
        <v>15214</v>
      </c>
    </row>
    <row r="2080" spans="1:9" x14ac:dyDescent="0.25">
      <c r="A2080" s="420">
        <v>43024</v>
      </c>
      <c r="B2080" s="302" t="s">
        <v>33759</v>
      </c>
      <c r="C2080">
        <v>131643</v>
      </c>
      <c r="D2080" s="275" t="s">
        <v>27668</v>
      </c>
      <c r="E2080" s="301">
        <v>10000</v>
      </c>
      <c r="F2080" s="303">
        <v>43032</v>
      </c>
      <c r="G2080" s="301">
        <v>10000</v>
      </c>
      <c r="H2080" s="301">
        <f>Tabla15[[#This Row],[Importe]]-Tabla15[[#This Row],[Pagado]]</f>
        <v>0</v>
      </c>
      <c r="I2080" s="275" t="s">
        <v>15214</v>
      </c>
    </row>
    <row r="2081" spans="1:9" x14ac:dyDescent="0.25">
      <c r="A2081" s="420">
        <v>43024</v>
      </c>
      <c r="B2081" s="302" t="s">
        <v>33760</v>
      </c>
      <c r="C2081">
        <v>131644</v>
      </c>
      <c r="D2081" s="275" t="s">
        <v>15444</v>
      </c>
      <c r="E2081" s="301">
        <v>2386.1999999999998</v>
      </c>
      <c r="F2081" s="303">
        <v>43025</v>
      </c>
      <c r="G2081" s="301">
        <v>2386.1999999999998</v>
      </c>
      <c r="H2081" s="301">
        <f>Tabla15[[#This Row],[Importe]]-Tabla15[[#This Row],[Pagado]]</f>
        <v>0</v>
      </c>
      <c r="I2081" s="275" t="s">
        <v>15214</v>
      </c>
    </row>
    <row r="2082" spans="1:9" x14ac:dyDescent="0.25">
      <c r="A2082" s="420">
        <v>43024</v>
      </c>
      <c r="B2082" s="302" t="s">
        <v>33761</v>
      </c>
      <c r="C2082">
        <v>131645</v>
      </c>
      <c r="D2082" s="275" t="s">
        <v>15387</v>
      </c>
      <c r="E2082" s="301">
        <v>1369.9</v>
      </c>
      <c r="F2082" s="303">
        <v>43025</v>
      </c>
      <c r="G2082" s="301">
        <v>1369.9</v>
      </c>
      <c r="H2082" s="301">
        <f>Tabla15[[#This Row],[Importe]]-Tabla15[[#This Row],[Pagado]]</f>
        <v>0</v>
      </c>
      <c r="I2082" s="275" t="s">
        <v>15214</v>
      </c>
    </row>
    <row r="2083" spans="1:9" x14ac:dyDescent="0.25">
      <c r="A2083" s="420">
        <v>43024</v>
      </c>
      <c r="B2083" s="302" t="s">
        <v>33762</v>
      </c>
      <c r="C2083">
        <v>131646</v>
      </c>
      <c r="D2083" s="275" t="s">
        <v>16093</v>
      </c>
      <c r="E2083" s="301">
        <v>548.6</v>
      </c>
      <c r="F2083" s="303">
        <v>43024</v>
      </c>
      <c r="G2083" s="301">
        <v>548.6</v>
      </c>
      <c r="H2083" s="301">
        <f>Tabla15[[#This Row],[Importe]]-Tabla15[[#This Row],[Pagado]]</f>
        <v>0</v>
      </c>
      <c r="I2083" s="275" t="s">
        <v>15214</v>
      </c>
    </row>
    <row r="2084" spans="1:9" x14ac:dyDescent="0.25">
      <c r="A2084" s="420">
        <v>43024</v>
      </c>
      <c r="B2084" s="302" t="s">
        <v>33763</v>
      </c>
      <c r="C2084">
        <v>131647</v>
      </c>
      <c r="D2084" s="275" t="s">
        <v>15315</v>
      </c>
      <c r="E2084" s="301">
        <v>3204</v>
      </c>
      <c r="F2084" s="303">
        <v>43024</v>
      </c>
      <c r="G2084" s="301">
        <v>3204</v>
      </c>
      <c r="H2084" s="301">
        <f>Tabla15[[#This Row],[Importe]]-Tabla15[[#This Row],[Pagado]]</f>
        <v>0</v>
      </c>
      <c r="I2084" s="275" t="s">
        <v>15214</v>
      </c>
    </row>
    <row r="2085" spans="1:9" x14ac:dyDescent="0.25">
      <c r="A2085" s="420">
        <v>43024</v>
      </c>
      <c r="B2085" s="302" t="s">
        <v>33764</v>
      </c>
      <c r="C2085">
        <v>131648</v>
      </c>
      <c r="D2085" s="275" t="s">
        <v>19699</v>
      </c>
      <c r="E2085" s="301">
        <v>1320</v>
      </c>
      <c r="F2085" s="303">
        <v>43024</v>
      </c>
      <c r="G2085" s="301">
        <v>1320</v>
      </c>
      <c r="H2085" s="301">
        <f>Tabla15[[#This Row],[Importe]]-Tabla15[[#This Row],[Pagado]]</f>
        <v>0</v>
      </c>
      <c r="I2085" s="275" t="s">
        <v>15214</v>
      </c>
    </row>
    <row r="2086" spans="1:9" x14ac:dyDescent="0.25">
      <c r="A2086" s="420">
        <v>43024</v>
      </c>
      <c r="B2086" s="302" t="s">
        <v>33765</v>
      </c>
      <c r="C2086">
        <v>131649</v>
      </c>
      <c r="D2086" s="275" t="s">
        <v>17462</v>
      </c>
      <c r="E2086" s="301">
        <v>2942.2</v>
      </c>
      <c r="F2086" s="303">
        <v>43024</v>
      </c>
      <c r="G2086" s="301">
        <v>2942.2</v>
      </c>
      <c r="H2086" s="301">
        <f>Tabla15[[#This Row],[Importe]]-Tabla15[[#This Row],[Pagado]]</f>
        <v>0</v>
      </c>
      <c r="I2086" s="275" t="s">
        <v>15214</v>
      </c>
    </row>
    <row r="2087" spans="1:9" x14ac:dyDescent="0.25">
      <c r="A2087" s="420">
        <v>43024</v>
      </c>
      <c r="B2087" s="302" t="s">
        <v>33766</v>
      </c>
      <c r="C2087">
        <v>131650</v>
      </c>
      <c r="D2087" s="275" t="s">
        <v>15435</v>
      </c>
      <c r="E2087" s="301">
        <v>7318.8</v>
      </c>
      <c r="F2087" s="303">
        <v>43024</v>
      </c>
      <c r="G2087" s="301">
        <v>7318.8</v>
      </c>
      <c r="H2087" s="301">
        <f>Tabla15[[#This Row],[Importe]]-Tabla15[[#This Row],[Pagado]]</f>
        <v>0</v>
      </c>
      <c r="I2087" s="275" t="s">
        <v>15214</v>
      </c>
    </row>
    <row r="2088" spans="1:9" ht="15.75" x14ac:dyDescent="0.25">
      <c r="A2088" s="420">
        <v>43024</v>
      </c>
      <c r="B2088" s="302" t="s">
        <v>33767</v>
      </c>
      <c r="C2088">
        <v>131651</v>
      </c>
      <c r="D2088" s="248" t="s">
        <v>95</v>
      </c>
      <c r="E2088" s="301">
        <v>0</v>
      </c>
      <c r="F2088" s="243" t="s">
        <v>95</v>
      </c>
      <c r="G2088" s="301">
        <v>0</v>
      </c>
      <c r="H2088" s="301">
        <f>Tabla15[[#This Row],[Importe]]-Tabla15[[#This Row],[Pagado]]</f>
        <v>0</v>
      </c>
      <c r="I2088" s="275" t="s">
        <v>95</v>
      </c>
    </row>
    <row r="2089" spans="1:9" x14ac:dyDescent="0.25">
      <c r="A2089" s="420">
        <v>43024</v>
      </c>
      <c r="B2089" s="302" t="s">
        <v>33768</v>
      </c>
      <c r="C2089">
        <v>131652</v>
      </c>
      <c r="D2089" s="275" t="s">
        <v>15642</v>
      </c>
      <c r="E2089" s="301">
        <v>4141.2</v>
      </c>
      <c r="F2089" s="303">
        <v>43024</v>
      </c>
      <c r="G2089" s="301">
        <v>4141.2</v>
      </c>
      <c r="H2089" s="301">
        <f>Tabla15[[#This Row],[Importe]]-Tabla15[[#This Row],[Pagado]]</f>
        <v>0</v>
      </c>
      <c r="I2089" s="275" t="s">
        <v>15214</v>
      </c>
    </row>
    <row r="2090" spans="1:9" x14ac:dyDescent="0.25">
      <c r="A2090" s="420">
        <v>43024</v>
      </c>
      <c r="B2090" s="302" t="s">
        <v>33769</v>
      </c>
      <c r="C2090">
        <v>131653</v>
      </c>
      <c r="D2090" s="275" t="s">
        <v>15398</v>
      </c>
      <c r="E2090" s="301">
        <v>1027.2</v>
      </c>
      <c r="F2090" s="303">
        <v>43024</v>
      </c>
      <c r="G2090" s="301">
        <v>1027.2</v>
      </c>
      <c r="H2090" s="301">
        <f>Tabla15[[#This Row],[Importe]]-Tabla15[[#This Row],[Pagado]]</f>
        <v>0</v>
      </c>
      <c r="I2090" s="275" t="s">
        <v>15214</v>
      </c>
    </row>
    <row r="2091" spans="1:9" x14ac:dyDescent="0.25">
      <c r="A2091" s="420">
        <v>43024</v>
      </c>
      <c r="B2091" s="302" t="s">
        <v>33770</v>
      </c>
      <c r="C2091">
        <v>131654</v>
      </c>
      <c r="D2091" s="275" t="s">
        <v>15644</v>
      </c>
      <c r="E2091" s="301">
        <v>3244.8</v>
      </c>
      <c r="F2091" s="303">
        <v>43025</v>
      </c>
      <c r="G2091" s="301">
        <v>3244.8</v>
      </c>
      <c r="H2091" s="301">
        <f>Tabla15[[#This Row],[Importe]]-Tabla15[[#This Row],[Pagado]]</f>
        <v>0</v>
      </c>
      <c r="I2091" s="275" t="s">
        <v>15214</v>
      </c>
    </row>
    <row r="2092" spans="1:9" x14ac:dyDescent="0.25">
      <c r="A2092" s="420">
        <v>43024</v>
      </c>
      <c r="B2092" s="302" t="s">
        <v>33771</v>
      </c>
      <c r="C2092">
        <v>131655</v>
      </c>
      <c r="D2092" s="275" t="s">
        <v>15365</v>
      </c>
      <c r="E2092" s="301">
        <v>378080</v>
      </c>
      <c r="F2092" s="303">
        <v>43032</v>
      </c>
      <c r="G2092" s="301">
        <v>378080</v>
      </c>
      <c r="H2092" s="301">
        <f>Tabla15[[#This Row],[Importe]]-Tabla15[[#This Row],[Pagado]]</f>
        <v>0</v>
      </c>
      <c r="I2092" s="275" t="s">
        <v>15214</v>
      </c>
    </row>
    <row r="2093" spans="1:9" x14ac:dyDescent="0.25">
      <c r="A2093" s="420">
        <v>43024</v>
      </c>
      <c r="B2093" s="302" t="s">
        <v>33772</v>
      </c>
      <c r="C2093">
        <v>131656</v>
      </c>
      <c r="D2093" s="275" t="s">
        <v>15448</v>
      </c>
      <c r="E2093" s="301">
        <v>250826.9</v>
      </c>
      <c r="F2093" s="303">
        <v>43027</v>
      </c>
      <c r="G2093" s="301">
        <v>250826.9</v>
      </c>
      <c r="H2093" s="301">
        <f>Tabla15[[#This Row],[Importe]]-Tabla15[[#This Row],[Pagado]]</f>
        <v>0</v>
      </c>
      <c r="I2093" s="275" t="s">
        <v>15214</v>
      </c>
    </row>
    <row r="2094" spans="1:9" x14ac:dyDescent="0.25">
      <c r="A2094" s="420">
        <v>43025</v>
      </c>
      <c r="B2094" s="302" t="s">
        <v>33773</v>
      </c>
      <c r="C2094">
        <v>131657</v>
      </c>
      <c r="D2094" s="275" t="s">
        <v>21386</v>
      </c>
      <c r="E2094" s="301">
        <v>9745.2000000000007</v>
      </c>
      <c r="F2094" s="303">
        <v>43026</v>
      </c>
      <c r="G2094" s="301">
        <v>9745.2000000000007</v>
      </c>
      <c r="H2094" s="301">
        <f>Tabla15[[#This Row],[Importe]]-Tabla15[[#This Row],[Pagado]]</f>
        <v>0</v>
      </c>
      <c r="I2094" s="275" t="s">
        <v>15214</v>
      </c>
    </row>
    <row r="2095" spans="1:9" x14ac:dyDescent="0.25">
      <c r="A2095" s="420">
        <v>43025</v>
      </c>
      <c r="B2095" s="302" t="s">
        <v>33774</v>
      </c>
      <c r="C2095">
        <v>131658</v>
      </c>
      <c r="D2095" s="275" t="s">
        <v>21386</v>
      </c>
      <c r="E2095" s="301">
        <v>256.5</v>
      </c>
      <c r="F2095" s="303">
        <v>43025</v>
      </c>
      <c r="G2095" s="301">
        <v>256.5</v>
      </c>
      <c r="H2095" s="301">
        <f>Tabla15[[#This Row],[Importe]]-Tabla15[[#This Row],[Pagado]]</f>
        <v>0</v>
      </c>
      <c r="I2095" s="275" t="s">
        <v>15214</v>
      </c>
    </row>
    <row r="2096" spans="1:9" x14ac:dyDescent="0.25">
      <c r="A2096" s="420">
        <v>43025</v>
      </c>
      <c r="B2096" s="302" t="s">
        <v>33775</v>
      </c>
      <c r="C2096">
        <v>131659</v>
      </c>
      <c r="D2096" s="275" t="s">
        <v>15448</v>
      </c>
      <c r="E2096" s="301">
        <v>32709.3</v>
      </c>
      <c r="F2096" s="303">
        <v>43026</v>
      </c>
      <c r="G2096" s="301">
        <v>32709.3</v>
      </c>
      <c r="H2096" s="301">
        <f>Tabla15[[#This Row],[Importe]]-Tabla15[[#This Row],[Pagado]]</f>
        <v>0</v>
      </c>
      <c r="I2096" s="275" t="s">
        <v>15214</v>
      </c>
    </row>
    <row r="2097" spans="1:9" x14ac:dyDescent="0.25">
      <c r="A2097" s="420">
        <v>43025</v>
      </c>
      <c r="B2097" s="302" t="s">
        <v>33776</v>
      </c>
      <c r="C2097">
        <v>131660</v>
      </c>
      <c r="D2097" s="275" t="s">
        <v>15213</v>
      </c>
      <c r="E2097" s="301">
        <v>46860.1</v>
      </c>
      <c r="F2097" s="303">
        <v>43026</v>
      </c>
      <c r="G2097" s="301">
        <v>46860.1</v>
      </c>
      <c r="H2097" s="301">
        <f>Tabla15[[#This Row],[Importe]]-Tabla15[[#This Row],[Pagado]]</f>
        <v>0</v>
      </c>
      <c r="I2097" s="275" t="s">
        <v>15214</v>
      </c>
    </row>
    <row r="2098" spans="1:9" ht="15.75" x14ac:dyDescent="0.25">
      <c r="A2098" s="420">
        <v>43025</v>
      </c>
      <c r="B2098" s="302" t="s">
        <v>33777</v>
      </c>
      <c r="C2098">
        <v>131661</v>
      </c>
      <c r="D2098" s="248" t="s">
        <v>95</v>
      </c>
      <c r="E2098" s="301">
        <v>0</v>
      </c>
      <c r="F2098" s="243" t="s">
        <v>95</v>
      </c>
      <c r="G2098" s="301">
        <v>0</v>
      </c>
      <c r="H2098" s="301">
        <f>Tabla15[[#This Row],[Importe]]-Tabla15[[#This Row],[Pagado]]</f>
        <v>0</v>
      </c>
      <c r="I2098" s="275" t="s">
        <v>95</v>
      </c>
    </row>
    <row r="2099" spans="1:9" x14ac:dyDescent="0.25">
      <c r="A2099" s="420">
        <v>43025</v>
      </c>
      <c r="B2099" s="302" t="s">
        <v>33778</v>
      </c>
      <c r="C2099">
        <v>131662</v>
      </c>
      <c r="D2099" s="275" t="s">
        <v>15348</v>
      </c>
      <c r="E2099" s="301">
        <v>778.5</v>
      </c>
      <c r="F2099" s="303">
        <v>43026</v>
      </c>
      <c r="G2099" s="301">
        <v>778.5</v>
      </c>
      <c r="H2099" s="301">
        <f>Tabla15[[#This Row],[Importe]]-Tabla15[[#This Row],[Pagado]]</f>
        <v>0</v>
      </c>
      <c r="I2099" s="275" t="s">
        <v>15214</v>
      </c>
    </row>
    <row r="2100" spans="1:9" x14ac:dyDescent="0.25">
      <c r="A2100" s="420">
        <v>43025</v>
      </c>
      <c r="B2100" s="302" t="s">
        <v>33779</v>
      </c>
      <c r="C2100">
        <v>131663</v>
      </c>
      <c r="D2100" s="275" t="s">
        <v>15240</v>
      </c>
      <c r="E2100" s="301">
        <v>355.5</v>
      </c>
      <c r="F2100" s="303">
        <v>43026</v>
      </c>
      <c r="G2100" s="301">
        <v>355.5</v>
      </c>
      <c r="H2100" s="301">
        <f>Tabla15[[#This Row],[Importe]]-Tabla15[[#This Row],[Pagado]]</f>
        <v>0</v>
      </c>
      <c r="I2100" s="275" t="s">
        <v>15214</v>
      </c>
    </row>
    <row r="2101" spans="1:9" x14ac:dyDescent="0.25">
      <c r="A2101" s="420">
        <v>43025</v>
      </c>
      <c r="B2101" s="302" t="s">
        <v>33780</v>
      </c>
      <c r="C2101">
        <v>131664</v>
      </c>
      <c r="D2101" s="275" t="s">
        <v>18544</v>
      </c>
      <c r="E2101" s="301">
        <v>6226</v>
      </c>
      <c r="F2101" s="303">
        <v>43025</v>
      </c>
      <c r="G2101" s="301">
        <v>6226</v>
      </c>
      <c r="H2101" s="301">
        <f>Tabla15[[#This Row],[Importe]]-Tabla15[[#This Row],[Pagado]]</f>
        <v>0</v>
      </c>
      <c r="I2101" s="275" t="s">
        <v>15214</v>
      </c>
    </row>
    <row r="2102" spans="1:9" x14ac:dyDescent="0.25">
      <c r="A2102" s="420">
        <v>43025</v>
      </c>
      <c r="B2102" s="302" t="s">
        <v>33781</v>
      </c>
      <c r="C2102">
        <v>131665</v>
      </c>
      <c r="D2102" s="275" t="s">
        <v>15242</v>
      </c>
      <c r="E2102" s="301">
        <v>4190.2</v>
      </c>
      <c r="F2102" s="303">
        <v>43025</v>
      </c>
      <c r="G2102" s="301">
        <v>4190.2</v>
      </c>
      <c r="H2102" s="301">
        <f>Tabla15[[#This Row],[Importe]]-Tabla15[[#This Row],[Pagado]]</f>
        <v>0</v>
      </c>
      <c r="I2102" s="275" t="s">
        <v>15214</v>
      </c>
    </row>
    <row r="2103" spans="1:9" x14ac:dyDescent="0.25">
      <c r="A2103" s="420">
        <v>43025</v>
      </c>
      <c r="B2103" s="302" t="s">
        <v>33782</v>
      </c>
      <c r="C2103">
        <v>131666</v>
      </c>
      <c r="D2103" s="275" t="s">
        <v>15553</v>
      </c>
      <c r="E2103" s="301">
        <v>31830.799999999999</v>
      </c>
      <c r="F2103" s="303">
        <v>43025</v>
      </c>
      <c r="G2103" s="301">
        <v>31830.799999999999</v>
      </c>
      <c r="H2103" s="301">
        <f>Tabla15[[#This Row],[Importe]]-Tabla15[[#This Row],[Pagado]]</f>
        <v>0</v>
      </c>
      <c r="I2103" s="275" t="s">
        <v>15214</v>
      </c>
    </row>
    <row r="2104" spans="1:9" x14ac:dyDescent="0.25">
      <c r="A2104" s="420">
        <v>43025</v>
      </c>
      <c r="B2104" s="302" t="s">
        <v>33783</v>
      </c>
      <c r="C2104">
        <v>131667</v>
      </c>
      <c r="D2104" s="275" t="s">
        <v>15858</v>
      </c>
      <c r="E2104" s="301">
        <v>1171.32</v>
      </c>
      <c r="F2104" s="303">
        <v>43025</v>
      </c>
      <c r="G2104" s="301">
        <v>1171.32</v>
      </c>
      <c r="H2104" s="301">
        <f>Tabla15[[#This Row],[Importe]]-Tabla15[[#This Row],[Pagado]]</f>
        <v>0</v>
      </c>
      <c r="I2104" s="275" t="s">
        <v>15214</v>
      </c>
    </row>
    <row r="2105" spans="1:9" x14ac:dyDescent="0.25">
      <c r="A2105" s="420">
        <v>43025</v>
      </c>
      <c r="B2105" s="302" t="s">
        <v>33784</v>
      </c>
      <c r="C2105">
        <v>131668</v>
      </c>
      <c r="D2105" s="275" t="s">
        <v>15358</v>
      </c>
      <c r="E2105" s="301">
        <v>2142.8000000000002</v>
      </c>
      <c r="F2105" s="303">
        <v>43025</v>
      </c>
      <c r="G2105" s="301">
        <v>2142.8000000000002</v>
      </c>
      <c r="H2105" s="301">
        <f>Tabla15[[#This Row],[Importe]]-Tabla15[[#This Row],[Pagado]]</f>
        <v>0</v>
      </c>
      <c r="I2105" s="275" t="s">
        <v>15214</v>
      </c>
    </row>
    <row r="2106" spans="1:9" x14ac:dyDescent="0.25">
      <c r="A2106" s="420">
        <v>43025</v>
      </c>
      <c r="B2106" s="302" t="s">
        <v>33785</v>
      </c>
      <c r="C2106">
        <v>131669</v>
      </c>
      <c r="D2106" s="275" t="s">
        <v>15526</v>
      </c>
      <c r="E2106" s="301">
        <v>4015.8</v>
      </c>
      <c r="F2106" s="303">
        <v>43025</v>
      </c>
      <c r="G2106" s="301">
        <v>4015.8</v>
      </c>
      <c r="H2106" s="301">
        <f>Tabla15[[#This Row],[Importe]]-Tabla15[[#This Row],[Pagado]]</f>
        <v>0</v>
      </c>
      <c r="I2106" s="275" t="s">
        <v>15214</v>
      </c>
    </row>
    <row r="2107" spans="1:9" x14ac:dyDescent="0.25">
      <c r="A2107" s="420">
        <v>43025</v>
      </c>
      <c r="B2107" s="302" t="s">
        <v>33786</v>
      </c>
      <c r="C2107">
        <v>131670</v>
      </c>
      <c r="D2107" s="275" t="s">
        <v>15523</v>
      </c>
      <c r="E2107" s="301">
        <v>900</v>
      </c>
      <c r="F2107" s="303">
        <v>43025</v>
      </c>
      <c r="G2107" s="301">
        <v>900</v>
      </c>
      <c r="H2107" s="301">
        <f>Tabla15[[#This Row],[Importe]]-Tabla15[[#This Row],[Pagado]]</f>
        <v>0</v>
      </c>
      <c r="I2107" s="275" t="s">
        <v>15214</v>
      </c>
    </row>
    <row r="2108" spans="1:9" x14ac:dyDescent="0.25">
      <c r="A2108" s="420">
        <v>43025</v>
      </c>
      <c r="B2108" s="302" t="s">
        <v>33787</v>
      </c>
      <c r="C2108">
        <v>131671</v>
      </c>
      <c r="D2108" s="275" t="s">
        <v>15336</v>
      </c>
      <c r="E2108" s="301">
        <v>1555.5</v>
      </c>
      <c r="F2108" s="303">
        <v>43025</v>
      </c>
      <c r="G2108" s="301">
        <v>1555.5</v>
      </c>
      <c r="H2108" s="301">
        <f>Tabla15[[#This Row],[Importe]]-Tabla15[[#This Row],[Pagado]]</f>
        <v>0</v>
      </c>
      <c r="I2108" s="275" t="s">
        <v>15214</v>
      </c>
    </row>
    <row r="2109" spans="1:9" x14ac:dyDescent="0.25">
      <c r="A2109" s="420">
        <v>43025</v>
      </c>
      <c r="B2109" s="302" t="s">
        <v>33788</v>
      </c>
      <c r="C2109">
        <v>131672</v>
      </c>
      <c r="D2109" s="275" t="s">
        <v>15234</v>
      </c>
      <c r="E2109" s="301">
        <v>3276</v>
      </c>
      <c r="F2109" s="303">
        <v>43028</v>
      </c>
      <c r="G2109" s="301">
        <v>3276</v>
      </c>
      <c r="H2109" s="301">
        <f>Tabla15[[#This Row],[Importe]]-Tabla15[[#This Row],[Pagado]]</f>
        <v>0</v>
      </c>
      <c r="I2109" s="275" t="s">
        <v>15214</v>
      </c>
    </row>
    <row r="2110" spans="1:9" x14ac:dyDescent="0.25">
      <c r="A2110" s="420">
        <v>43025</v>
      </c>
      <c r="B2110" s="302" t="s">
        <v>33789</v>
      </c>
      <c r="C2110">
        <v>131673</v>
      </c>
      <c r="D2110" s="275" t="s">
        <v>15332</v>
      </c>
      <c r="E2110" s="301">
        <v>3622.5</v>
      </c>
      <c r="F2110" s="303">
        <v>43025</v>
      </c>
      <c r="G2110" s="301">
        <v>3622.5</v>
      </c>
      <c r="H2110" s="301">
        <f>Tabla15[[#This Row],[Importe]]-Tabla15[[#This Row],[Pagado]]</f>
        <v>0</v>
      </c>
      <c r="I2110" s="275" t="s">
        <v>15214</v>
      </c>
    </row>
    <row r="2111" spans="1:9" x14ac:dyDescent="0.25">
      <c r="A2111" s="420">
        <v>43025</v>
      </c>
      <c r="B2111" s="302" t="s">
        <v>33790</v>
      </c>
      <c r="C2111">
        <v>131674</v>
      </c>
      <c r="D2111" s="275" t="s">
        <v>15230</v>
      </c>
      <c r="E2111" s="301">
        <v>8596.7999999999993</v>
      </c>
      <c r="F2111" s="303">
        <v>43027</v>
      </c>
      <c r="G2111" s="301">
        <v>8596.7999999999993</v>
      </c>
      <c r="H2111" s="301">
        <f>Tabla15[[#This Row],[Importe]]-Tabla15[[#This Row],[Pagado]]</f>
        <v>0</v>
      </c>
      <c r="I2111" s="275" t="s">
        <v>15214</v>
      </c>
    </row>
    <row r="2112" spans="1:9" x14ac:dyDescent="0.25">
      <c r="A2112" s="420">
        <v>43025</v>
      </c>
      <c r="B2112" s="302" t="s">
        <v>33791</v>
      </c>
      <c r="C2112">
        <v>131675</v>
      </c>
      <c r="D2112" s="275" t="s">
        <v>15232</v>
      </c>
      <c r="E2112" s="301">
        <v>5668.4</v>
      </c>
      <c r="F2112" s="303">
        <v>43027</v>
      </c>
      <c r="G2112" s="301">
        <v>5668.4</v>
      </c>
      <c r="H2112" s="301">
        <f>Tabla15[[#This Row],[Importe]]-Tabla15[[#This Row],[Pagado]]</f>
        <v>0</v>
      </c>
      <c r="I2112" s="275" t="s">
        <v>15214</v>
      </c>
    </row>
    <row r="2113" spans="1:9" ht="30" x14ac:dyDescent="0.25">
      <c r="A2113" s="420">
        <v>43025</v>
      </c>
      <c r="B2113" s="302" t="s">
        <v>33792</v>
      </c>
      <c r="C2113">
        <v>131676</v>
      </c>
      <c r="D2113" s="275" t="s">
        <v>15238</v>
      </c>
      <c r="E2113" s="301">
        <v>3132</v>
      </c>
      <c r="F2113" s="303" t="s">
        <v>33793</v>
      </c>
      <c r="G2113" s="305">
        <f>1700+1432</f>
        <v>3132</v>
      </c>
      <c r="H2113" s="305">
        <f>Tabla15[[#This Row],[Importe]]-Tabla15[[#This Row],[Pagado]]</f>
        <v>0</v>
      </c>
      <c r="I2113" s="275" t="s">
        <v>15214</v>
      </c>
    </row>
    <row r="2114" spans="1:9" x14ac:dyDescent="0.25">
      <c r="A2114" s="420">
        <v>43025</v>
      </c>
      <c r="B2114" s="302" t="s">
        <v>33794</v>
      </c>
      <c r="C2114">
        <v>131677</v>
      </c>
      <c r="D2114" s="275" t="s">
        <v>15258</v>
      </c>
      <c r="E2114" s="301">
        <v>9079.2000000000007</v>
      </c>
      <c r="F2114" s="303">
        <v>43026</v>
      </c>
      <c r="G2114" s="301">
        <v>9079.2000000000007</v>
      </c>
      <c r="H2114" s="301">
        <f>Tabla15[[#This Row],[Importe]]-Tabla15[[#This Row],[Pagado]]</f>
        <v>0</v>
      </c>
      <c r="I2114" s="275" t="s">
        <v>15214</v>
      </c>
    </row>
    <row r="2115" spans="1:9" x14ac:dyDescent="0.25">
      <c r="A2115" s="420">
        <v>43025</v>
      </c>
      <c r="B2115" s="302" t="s">
        <v>33795</v>
      </c>
      <c r="C2115">
        <v>131678</v>
      </c>
      <c r="D2115" s="275" t="s">
        <v>15258</v>
      </c>
      <c r="E2115" s="301">
        <v>349.2</v>
      </c>
      <c r="F2115" s="303">
        <v>43026</v>
      </c>
      <c r="G2115" s="301">
        <v>349.2</v>
      </c>
      <c r="H2115" s="301">
        <f>Tabla15[[#This Row],[Importe]]-Tabla15[[#This Row],[Pagado]]</f>
        <v>0</v>
      </c>
      <c r="I2115" s="275" t="s">
        <v>15214</v>
      </c>
    </row>
    <row r="2116" spans="1:9" x14ac:dyDescent="0.25">
      <c r="A2116" s="420">
        <v>43025</v>
      </c>
      <c r="B2116" s="302" t="s">
        <v>33796</v>
      </c>
      <c r="C2116">
        <v>131679</v>
      </c>
      <c r="D2116" s="275" t="s">
        <v>17722</v>
      </c>
      <c r="E2116" s="301">
        <v>268</v>
      </c>
      <c r="F2116" s="303">
        <v>43026</v>
      </c>
      <c r="G2116" s="301">
        <v>268</v>
      </c>
      <c r="H2116" s="301">
        <f>Tabla15[[#This Row],[Importe]]-Tabla15[[#This Row],[Pagado]]</f>
        <v>0</v>
      </c>
      <c r="I2116" s="275" t="s">
        <v>15214</v>
      </c>
    </row>
    <row r="2117" spans="1:9" x14ac:dyDescent="0.25">
      <c r="A2117" s="420">
        <v>43025</v>
      </c>
      <c r="B2117" s="302" t="s">
        <v>33797</v>
      </c>
      <c r="C2117">
        <v>131680</v>
      </c>
      <c r="D2117" s="275" t="s">
        <v>5575</v>
      </c>
      <c r="E2117" s="301">
        <v>3314.02</v>
      </c>
      <c r="F2117" s="303">
        <v>43027</v>
      </c>
      <c r="G2117" s="301">
        <v>3314.02</v>
      </c>
      <c r="H2117" s="301">
        <f>Tabla15[[#This Row],[Importe]]-Tabla15[[#This Row],[Pagado]]</f>
        <v>0</v>
      </c>
      <c r="I2117" s="275" t="s">
        <v>15214</v>
      </c>
    </row>
    <row r="2118" spans="1:9" ht="30" x14ac:dyDescent="0.25">
      <c r="A2118" s="420">
        <v>43025</v>
      </c>
      <c r="B2118" s="302" t="s">
        <v>33798</v>
      </c>
      <c r="C2118">
        <v>131681</v>
      </c>
      <c r="D2118" s="275" t="s">
        <v>19780</v>
      </c>
      <c r="E2118" s="301">
        <v>9187.2000000000007</v>
      </c>
      <c r="F2118" s="303" t="s">
        <v>33799</v>
      </c>
      <c r="G2118" s="310">
        <v>3987.2</v>
      </c>
      <c r="H2118" s="310">
        <f>Tabla15[[#This Row],[Importe]]-Tabla15[[#This Row],[Pagado]]</f>
        <v>5200.0000000000009</v>
      </c>
      <c r="I2118" s="275" t="s">
        <v>15214</v>
      </c>
    </row>
    <row r="2119" spans="1:9" x14ac:dyDescent="0.25">
      <c r="A2119" s="420">
        <v>43025</v>
      </c>
      <c r="B2119" s="302" t="s">
        <v>33800</v>
      </c>
      <c r="C2119">
        <v>131682</v>
      </c>
      <c r="D2119" s="275" t="s">
        <v>30057</v>
      </c>
      <c r="E2119" s="301">
        <v>2995.2</v>
      </c>
      <c r="F2119" s="303">
        <v>43026</v>
      </c>
      <c r="G2119" s="301">
        <v>2995.2</v>
      </c>
      <c r="H2119" s="301">
        <f>Tabla15[[#This Row],[Importe]]-Tabla15[[#This Row],[Pagado]]</f>
        <v>0</v>
      </c>
      <c r="I2119" s="275" t="s">
        <v>15214</v>
      </c>
    </row>
    <row r="2120" spans="1:9" x14ac:dyDescent="0.25">
      <c r="A2120" s="420">
        <v>43025</v>
      </c>
      <c r="B2120" s="302" t="s">
        <v>33801</v>
      </c>
      <c r="C2120">
        <v>131683</v>
      </c>
      <c r="D2120" s="275" t="s">
        <v>15236</v>
      </c>
      <c r="E2120" s="301">
        <v>3103.2</v>
      </c>
      <c r="F2120" s="303">
        <v>43027</v>
      </c>
      <c r="G2120" s="301">
        <v>3103.2</v>
      </c>
      <c r="H2120" s="301">
        <f>Tabla15[[#This Row],[Importe]]-Tabla15[[#This Row],[Pagado]]</f>
        <v>0</v>
      </c>
      <c r="I2120" s="275" t="s">
        <v>15214</v>
      </c>
    </row>
    <row r="2121" spans="1:9" x14ac:dyDescent="0.25">
      <c r="A2121" s="420">
        <v>43025</v>
      </c>
      <c r="B2121" s="302" t="s">
        <v>33802</v>
      </c>
      <c r="C2121">
        <v>131684</v>
      </c>
      <c r="D2121" s="275" t="s">
        <v>15263</v>
      </c>
      <c r="E2121" s="301">
        <v>597.29999999999995</v>
      </c>
      <c r="F2121" s="303">
        <v>43025</v>
      </c>
      <c r="G2121" s="301">
        <v>597.29999999999995</v>
      </c>
      <c r="H2121" s="301">
        <f>Tabla15[[#This Row],[Importe]]-Tabla15[[#This Row],[Pagado]]</f>
        <v>0</v>
      </c>
      <c r="I2121" s="275" t="s">
        <v>15214</v>
      </c>
    </row>
    <row r="2122" spans="1:9" x14ac:dyDescent="0.25">
      <c r="A2122" s="420">
        <v>43025</v>
      </c>
      <c r="B2122" s="302" t="s">
        <v>33803</v>
      </c>
      <c r="C2122">
        <v>131685</v>
      </c>
      <c r="D2122" s="275" t="s">
        <v>15263</v>
      </c>
      <c r="E2122" s="301">
        <v>695.6</v>
      </c>
      <c r="F2122" s="303">
        <v>43025</v>
      </c>
      <c r="G2122" s="301">
        <v>695.6</v>
      </c>
      <c r="H2122" s="301">
        <f>Tabla15[[#This Row],[Importe]]-Tabla15[[#This Row],[Pagado]]</f>
        <v>0</v>
      </c>
      <c r="I2122" s="275" t="s">
        <v>15214</v>
      </c>
    </row>
    <row r="2123" spans="1:9" x14ac:dyDescent="0.25">
      <c r="A2123" s="420">
        <v>43025</v>
      </c>
      <c r="B2123" s="302" t="s">
        <v>33804</v>
      </c>
      <c r="C2123">
        <v>131686</v>
      </c>
      <c r="D2123" s="275" t="s">
        <v>15668</v>
      </c>
      <c r="E2123" s="301">
        <v>9324</v>
      </c>
      <c r="F2123" s="303">
        <v>43027</v>
      </c>
      <c r="G2123" s="301">
        <v>9324</v>
      </c>
      <c r="H2123" s="301">
        <f>Tabla15[[#This Row],[Importe]]-Tabla15[[#This Row],[Pagado]]</f>
        <v>0</v>
      </c>
      <c r="I2123" s="275" t="s">
        <v>15214</v>
      </c>
    </row>
    <row r="2124" spans="1:9" ht="30" x14ac:dyDescent="0.25">
      <c r="A2124" s="420">
        <v>43025</v>
      </c>
      <c r="B2124" s="302" t="s">
        <v>33805</v>
      </c>
      <c r="C2124">
        <v>131687</v>
      </c>
      <c r="D2124" s="275" t="s">
        <v>15256</v>
      </c>
      <c r="E2124" s="301">
        <v>7999.92</v>
      </c>
      <c r="F2124" s="303" t="s">
        <v>33793</v>
      </c>
      <c r="G2124" s="305">
        <f>3200+4799.92</f>
        <v>7999.92</v>
      </c>
      <c r="H2124" s="305">
        <f>Tabla15[[#This Row],[Importe]]-Tabla15[[#This Row],[Pagado]]</f>
        <v>0</v>
      </c>
      <c r="I2124" s="275" t="s">
        <v>15214</v>
      </c>
    </row>
    <row r="2125" spans="1:9" x14ac:dyDescent="0.25">
      <c r="A2125" s="420">
        <v>43025</v>
      </c>
      <c r="B2125" s="302" t="s">
        <v>33806</v>
      </c>
      <c r="C2125">
        <v>131688</v>
      </c>
      <c r="D2125" s="275" t="s">
        <v>15371</v>
      </c>
      <c r="E2125" s="301">
        <v>3714.2</v>
      </c>
      <c r="F2125" s="303">
        <v>43026</v>
      </c>
      <c r="G2125" s="301">
        <v>3714.2</v>
      </c>
      <c r="H2125" s="301">
        <f>Tabla15[[#This Row],[Importe]]-Tabla15[[#This Row],[Pagado]]</f>
        <v>0</v>
      </c>
      <c r="I2125" s="275" t="s">
        <v>15214</v>
      </c>
    </row>
    <row r="2126" spans="1:9" x14ac:dyDescent="0.25">
      <c r="A2126" s="420">
        <v>43025</v>
      </c>
      <c r="B2126" s="302" t="s">
        <v>33807</v>
      </c>
      <c r="C2126">
        <v>131689</v>
      </c>
      <c r="D2126" s="275" t="s">
        <v>15371</v>
      </c>
      <c r="E2126" s="301">
        <v>906.2</v>
      </c>
      <c r="F2126" s="303">
        <v>43026</v>
      </c>
      <c r="G2126" s="301">
        <v>906.2</v>
      </c>
      <c r="H2126" s="301">
        <f>Tabla15[[#This Row],[Importe]]-Tabla15[[#This Row],[Pagado]]</f>
        <v>0</v>
      </c>
      <c r="I2126" s="275" t="s">
        <v>15214</v>
      </c>
    </row>
    <row r="2127" spans="1:9" x14ac:dyDescent="0.25">
      <c r="A2127" s="420">
        <v>43025</v>
      </c>
      <c r="B2127" s="302" t="s">
        <v>33808</v>
      </c>
      <c r="C2127">
        <v>131690</v>
      </c>
      <c r="D2127" s="275" t="s">
        <v>15272</v>
      </c>
      <c r="E2127" s="301">
        <v>14540.8</v>
      </c>
      <c r="F2127" s="303">
        <v>43025</v>
      </c>
      <c r="G2127" s="301">
        <v>14540.8</v>
      </c>
      <c r="H2127" s="301">
        <f>Tabla15[[#This Row],[Importe]]-Tabla15[[#This Row],[Pagado]]</f>
        <v>0</v>
      </c>
      <c r="I2127" s="275" t="s">
        <v>15214</v>
      </c>
    </row>
    <row r="2128" spans="1:9" x14ac:dyDescent="0.25">
      <c r="A2128" s="420">
        <v>43025</v>
      </c>
      <c r="B2128" s="302" t="s">
        <v>33809</v>
      </c>
      <c r="C2128">
        <v>131691</v>
      </c>
      <c r="D2128" s="275" t="s">
        <v>17462</v>
      </c>
      <c r="E2128" s="301">
        <v>6964.4</v>
      </c>
      <c r="F2128" s="303">
        <v>43025</v>
      </c>
      <c r="G2128" s="301">
        <v>6964.4</v>
      </c>
      <c r="H2128" s="301">
        <f>Tabla15[[#This Row],[Importe]]-Tabla15[[#This Row],[Pagado]]</f>
        <v>0</v>
      </c>
      <c r="I2128" s="275" t="s">
        <v>15214</v>
      </c>
    </row>
    <row r="2129" spans="1:9" x14ac:dyDescent="0.25">
      <c r="A2129" s="420">
        <v>43025</v>
      </c>
      <c r="B2129" s="302" t="s">
        <v>33810</v>
      </c>
      <c r="C2129">
        <v>131692</v>
      </c>
      <c r="D2129" s="275" t="s">
        <v>15387</v>
      </c>
      <c r="E2129" s="301">
        <v>1369.2</v>
      </c>
      <c r="F2129" s="303">
        <v>43027</v>
      </c>
      <c r="G2129" s="301">
        <v>1369.2</v>
      </c>
      <c r="H2129" s="301">
        <f>Tabla15[[#This Row],[Importe]]-Tabla15[[#This Row],[Pagado]]</f>
        <v>0</v>
      </c>
      <c r="I2129" s="275" t="s">
        <v>15214</v>
      </c>
    </row>
    <row r="2130" spans="1:9" x14ac:dyDescent="0.25">
      <c r="A2130" s="420">
        <v>43025</v>
      </c>
      <c r="B2130" s="302" t="s">
        <v>33811</v>
      </c>
      <c r="C2130">
        <v>131693</v>
      </c>
      <c r="D2130" s="275" t="s">
        <v>15315</v>
      </c>
      <c r="E2130" s="301">
        <v>16558.400000000001</v>
      </c>
      <c r="F2130" s="303">
        <v>43025</v>
      </c>
      <c r="G2130" s="301">
        <v>16558.400000000001</v>
      </c>
      <c r="H2130" s="301">
        <f>Tabla15[[#This Row],[Importe]]-Tabla15[[#This Row],[Pagado]]</f>
        <v>0</v>
      </c>
      <c r="I2130" s="275" t="s">
        <v>15214</v>
      </c>
    </row>
    <row r="2131" spans="1:9" x14ac:dyDescent="0.25">
      <c r="A2131" s="420">
        <v>43025</v>
      </c>
      <c r="B2131" s="302" t="s">
        <v>33812</v>
      </c>
      <c r="C2131">
        <v>131694</v>
      </c>
      <c r="D2131" s="275" t="s">
        <v>15220</v>
      </c>
      <c r="E2131" s="301">
        <v>2025</v>
      </c>
      <c r="F2131" s="303">
        <v>43025</v>
      </c>
      <c r="G2131" s="301">
        <v>2025</v>
      </c>
      <c r="H2131" s="301">
        <f>Tabla15[[#This Row],[Importe]]-Tabla15[[#This Row],[Pagado]]</f>
        <v>0</v>
      </c>
      <c r="I2131" s="275" t="s">
        <v>15214</v>
      </c>
    </row>
    <row r="2132" spans="1:9" x14ac:dyDescent="0.25">
      <c r="A2132" s="420">
        <v>43025</v>
      </c>
      <c r="B2132" s="302" t="s">
        <v>33813</v>
      </c>
      <c r="C2132">
        <v>131695</v>
      </c>
      <c r="D2132" s="275" t="s">
        <v>15324</v>
      </c>
      <c r="E2132" s="301">
        <v>1650</v>
      </c>
      <c r="F2132" s="303">
        <v>43025</v>
      </c>
      <c r="G2132" s="301">
        <v>1650</v>
      </c>
      <c r="H2132" s="301">
        <f>Tabla15[[#This Row],[Importe]]-Tabla15[[#This Row],[Pagado]]</f>
        <v>0</v>
      </c>
      <c r="I2132" s="275" t="s">
        <v>15214</v>
      </c>
    </row>
    <row r="2133" spans="1:9" x14ac:dyDescent="0.25">
      <c r="A2133" s="420">
        <v>43025</v>
      </c>
      <c r="B2133" s="302" t="s">
        <v>33814</v>
      </c>
      <c r="C2133">
        <v>131696</v>
      </c>
      <c r="D2133" s="275" t="s">
        <v>15396</v>
      </c>
      <c r="E2133" s="301">
        <v>6555.4</v>
      </c>
      <c r="F2133" s="303">
        <v>43025</v>
      </c>
      <c r="G2133" s="301">
        <v>6555.4</v>
      </c>
      <c r="H2133" s="301">
        <f>Tabla15[[#This Row],[Importe]]-Tabla15[[#This Row],[Pagado]]</f>
        <v>0</v>
      </c>
      <c r="I2133" s="275" t="s">
        <v>15214</v>
      </c>
    </row>
    <row r="2134" spans="1:9" x14ac:dyDescent="0.25">
      <c r="A2134" s="420">
        <v>43025</v>
      </c>
      <c r="B2134" s="302" t="s">
        <v>33815</v>
      </c>
      <c r="C2134">
        <v>131697</v>
      </c>
      <c r="D2134" s="275" t="s">
        <v>15407</v>
      </c>
      <c r="E2134" s="301">
        <v>3814.8</v>
      </c>
      <c r="F2134" s="303">
        <v>43025</v>
      </c>
      <c r="G2134" s="301">
        <v>3814.8</v>
      </c>
      <c r="H2134" s="301">
        <f>Tabla15[[#This Row],[Importe]]-Tabla15[[#This Row],[Pagado]]</f>
        <v>0</v>
      </c>
      <c r="I2134" s="275" t="s">
        <v>15214</v>
      </c>
    </row>
    <row r="2135" spans="1:9" x14ac:dyDescent="0.25">
      <c r="A2135" s="420">
        <v>43025</v>
      </c>
      <c r="B2135" s="302" t="s">
        <v>33816</v>
      </c>
      <c r="C2135">
        <v>131698</v>
      </c>
      <c r="D2135" s="275" t="s">
        <v>15326</v>
      </c>
      <c r="E2135" s="301">
        <v>3197.73</v>
      </c>
      <c r="F2135" s="303">
        <v>43025</v>
      </c>
      <c r="G2135" s="301">
        <v>3197.73</v>
      </c>
      <c r="H2135" s="301">
        <f>Tabla15[[#This Row],[Importe]]-Tabla15[[#This Row],[Pagado]]</f>
        <v>0</v>
      </c>
      <c r="I2135" s="275" t="s">
        <v>15214</v>
      </c>
    </row>
    <row r="2136" spans="1:9" x14ac:dyDescent="0.25">
      <c r="A2136" s="420">
        <v>43025</v>
      </c>
      <c r="B2136" s="302" t="s">
        <v>33817</v>
      </c>
      <c r="C2136">
        <v>131699</v>
      </c>
      <c r="D2136" s="275" t="s">
        <v>15226</v>
      </c>
      <c r="E2136" s="301">
        <v>1743.7</v>
      </c>
      <c r="F2136" s="303">
        <v>43026</v>
      </c>
      <c r="G2136" s="301">
        <v>1743.7</v>
      </c>
      <c r="H2136" s="301">
        <f>Tabla15[[#This Row],[Importe]]-Tabla15[[#This Row],[Pagado]]</f>
        <v>0</v>
      </c>
      <c r="I2136" s="275" t="s">
        <v>15214</v>
      </c>
    </row>
    <row r="2137" spans="1:9" ht="15.75" x14ac:dyDescent="0.25">
      <c r="A2137" s="420">
        <v>43025</v>
      </c>
      <c r="B2137" s="302" t="s">
        <v>33818</v>
      </c>
      <c r="C2137">
        <v>131700</v>
      </c>
      <c r="D2137" s="248" t="s">
        <v>95</v>
      </c>
      <c r="E2137" s="301">
        <v>0</v>
      </c>
      <c r="F2137" s="243" t="s">
        <v>95</v>
      </c>
      <c r="G2137" s="301">
        <v>0</v>
      </c>
      <c r="H2137" s="301">
        <f>Tabla15[[#This Row],[Importe]]-Tabla15[[#This Row],[Pagado]]</f>
        <v>0</v>
      </c>
      <c r="I2137" s="275" t="s">
        <v>95</v>
      </c>
    </row>
    <row r="2138" spans="1:9" x14ac:dyDescent="0.25">
      <c r="A2138" s="420">
        <v>43025</v>
      </c>
      <c r="B2138" s="302" t="s">
        <v>33819</v>
      </c>
      <c r="C2138">
        <v>131701</v>
      </c>
      <c r="D2138" s="275" t="s">
        <v>15223</v>
      </c>
      <c r="E2138" s="301">
        <v>52228</v>
      </c>
      <c r="F2138" s="303">
        <v>43049</v>
      </c>
      <c r="G2138" s="301">
        <v>52228</v>
      </c>
      <c r="H2138" s="301">
        <f>Tabla15[[#This Row],[Importe]]-Tabla15[[#This Row],[Pagado]]</f>
        <v>0</v>
      </c>
      <c r="I2138" s="275" t="s">
        <v>15214</v>
      </c>
    </row>
    <row r="2139" spans="1:9" x14ac:dyDescent="0.25">
      <c r="A2139" s="420">
        <v>43025</v>
      </c>
      <c r="B2139" s="302" t="s">
        <v>33820</v>
      </c>
      <c r="C2139">
        <v>131702</v>
      </c>
      <c r="D2139" s="275" t="s">
        <v>15322</v>
      </c>
      <c r="E2139" s="301">
        <v>1452.8</v>
      </c>
      <c r="F2139" s="303">
        <v>43025</v>
      </c>
      <c r="G2139" s="301">
        <v>1452.8</v>
      </c>
      <c r="H2139" s="301">
        <f>Tabla15[[#This Row],[Importe]]-Tabla15[[#This Row],[Pagado]]</f>
        <v>0</v>
      </c>
      <c r="I2139" s="275" t="s">
        <v>15214</v>
      </c>
    </row>
    <row r="2140" spans="1:9" x14ac:dyDescent="0.25">
      <c r="A2140" s="420">
        <v>43025</v>
      </c>
      <c r="B2140" s="302" t="s">
        <v>33821</v>
      </c>
      <c r="C2140">
        <v>131703</v>
      </c>
      <c r="D2140" s="275" t="s">
        <v>15267</v>
      </c>
      <c r="E2140" s="301">
        <v>22688.080000000002</v>
      </c>
      <c r="F2140" s="303">
        <v>43025</v>
      </c>
      <c r="G2140" s="301">
        <v>22688.080000000002</v>
      </c>
      <c r="H2140" s="301">
        <f>Tabla15[[#This Row],[Importe]]-Tabla15[[#This Row],[Pagado]]</f>
        <v>0</v>
      </c>
      <c r="I2140" s="275" t="s">
        <v>15214</v>
      </c>
    </row>
    <row r="2141" spans="1:9" x14ac:dyDescent="0.25">
      <c r="A2141" s="420">
        <v>43025</v>
      </c>
      <c r="B2141" s="302" t="s">
        <v>33822</v>
      </c>
      <c r="C2141">
        <v>131704</v>
      </c>
      <c r="D2141" s="275" t="s">
        <v>15248</v>
      </c>
      <c r="E2141" s="301">
        <v>31142.1</v>
      </c>
      <c r="F2141" s="303">
        <v>43025</v>
      </c>
      <c r="G2141" s="301">
        <v>31142.1</v>
      </c>
      <c r="H2141" s="301">
        <f>Tabla15[[#This Row],[Importe]]-Tabla15[[#This Row],[Pagado]]</f>
        <v>0</v>
      </c>
      <c r="I2141" s="275" t="s">
        <v>15214</v>
      </c>
    </row>
    <row r="2142" spans="1:9" x14ac:dyDescent="0.25">
      <c r="A2142" s="420">
        <v>43025</v>
      </c>
      <c r="B2142" s="302" t="s">
        <v>33823</v>
      </c>
      <c r="C2142">
        <v>131705</v>
      </c>
      <c r="D2142" s="275" t="s">
        <v>15248</v>
      </c>
      <c r="E2142" s="301">
        <v>743.6</v>
      </c>
      <c r="F2142" s="303">
        <v>43025</v>
      </c>
      <c r="G2142" s="301">
        <v>743.6</v>
      </c>
      <c r="H2142" s="301">
        <f>Tabla15[[#This Row],[Importe]]-Tabla15[[#This Row],[Pagado]]</f>
        <v>0</v>
      </c>
      <c r="I2142" s="275" t="s">
        <v>15214</v>
      </c>
    </row>
    <row r="2143" spans="1:9" x14ac:dyDescent="0.25">
      <c r="A2143" s="420">
        <v>43025</v>
      </c>
      <c r="B2143" s="302" t="s">
        <v>33824</v>
      </c>
      <c r="C2143">
        <v>131706</v>
      </c>
      <c r="D2143" s="275" t="s">
        <v>15246</v>
      </c>
      <c r="E2143" s="301">
        <v>680.8</v>
      </c>
      <c r="F2143" s="303">
        <v>43031</v>
      </c>
      <c r="G2143" s="301">
        <v>680.8</v>
      </c>
      <c r="H2143" s="301">
        <f>Tabla15[[#This Row],[Importe]]-Tabla15[[#This Row],[Pagado]]</f>
        <v>0</v>
      </c>
      <c r="I2143" s="275" t="s">
        <v>15214</v>
      </c>
    </row>
    <row r="2144" spans="1:9" x14ac:dyDescent="0.25">
      <c r="A2144" s="420">
        <v>43025</v>
      </c>
      <c r="B2144" s="302" t="s">
        <v>33825</v>
      </c>
      <c r="C2144">
        <v>131707</v>
      </c>
      <c r="D2144" s="275" t="s">
        <v>15261</v>
      </c>
      <c r="E2144" s="301">
        <v>14119.6</v>
      </c>
      <c r="F2144" s="303">
        <v>43025</v>
      </c>
      <c r="G2144" s="301">
        <v>14119.6</v>
      </c>
      <c r="H2144" s="301">
        <f>Tabla15[[#This Row],[Importe]]-Tabla15[[#This Row],[Pagado]]</f>
        <v>0</v>
      </c>
      <c r="I2144" s="275" t="s">
        <v>15214</v>
      </c>
    </row>
    <row r="2145" spans="1:9" x14ac:dyDescent="0.25">
      <c r="A2145" s="420">
        <v>43025</v>
      </c>
      <c r="B2145" s="302" t="s">
        <v>33826</v>
      </c>
      <c r="C2145">
        <v>131708</v>
      </c>
      <c r="D2145" s="275" t="s">
        <v>15280</v>
      </c>
      <c r="E2145" s="301">
        <v>5730.2</v>
      </c>
      <c r="F2145" s="303">
        <v>43025</v>
      </c>
      <c r="G2145" s="301">
        <v>5730.2</v>
      </c>
      <c r="H2145" s="301">
        <f>Tabla15[[#This Row],[Importe]]-Tabla15[[#This Row],[Pagado]]</f>
        <v>0</v>
      </c>
      <c r="I2145" s="275" t="s">
        <v>15214</v>
      </c>
    </row>
    <row r="2146" spans="1:9" x14ac:dyDescent="0.25">
      <c r="A2146" s="420">
        <v>43025</v>
      </c>
      <c r="B2146" s="302" t="s">
        <v>33827</v>
      </c>
      <c r="C2146">
        <v>131709</v>
      </c>
      <c r="D2146" s="275" t="s">
        <v>15530</v>
      </c>
      <c r="E2146" s="301">
        <v>3104.9</v>
      </c>
      <c r="F2146" s="303">
        <v>43025</v>
      </c>
      <c r="G2146" s="301">
        <v>3104.9</v>
      </c>
      <c r="H2146" s="301">
        <f>Tabla15[[#This Row],[Importe]]-Tabla15[[#This Row],[Pagado]]</f>
        <v>0</v>
      </c>
      <c r="I2146" s="275" t="s">
        <v>15214</v>
      </c>
    </row>
    <row r="2147" spans="1:9" x14ac:dyDescent="0.25">
      <c r="A2147" s="420">
        <v>43025</v>
      </c>
      <c r="B2147" s="302" t="s">
        <v>33828</v>
      </c>
      <c r="C2147">
        <v>131710</v>
      </c>
      <c r="D2147" s="275" t="s">
        <v>15286</v>
      </c>
      <c r="E2147" s="301">
        <v>2721.6</v>
      </c>
      <c r="F2147" s="303">
        <v>43026</v>
      </c>
      <c r="G2147" s="301">
        <v>2721.6</v>
      </c>
      <c r="H2147" s="301">
        <f>Tabla15[[#This Row],[Importe]]-Tabla15[[#This Row],[Pagado]]</f>
        <v>0</v>
      </c>
      <c r="I2147" s="275" t="s">
        <v>15214</v>
      </c>
    </row>
    <row r="2148" spans="1:9" x14ac:dyDescent="0.25">
      <c r="A2148" s="420">
        <v>43025</v>
      </c>
      <c r="B2148" s="302" t="s">
        <v>33829</v>
      </c>
      <c r="C2148">
        <v>131711</v>
      </c>
      <c r="D2148" s="275" t="s">
        <v>15706</v>
      </c>
      <c r="E2148" s="301">
        <v>1062.2</v>
      </c>
      <c r="F2148" s="303">
        <v>43025</v>
      </c>
      <c r="G2148" s="301">
        <v>1062.2</v>
      </c>
      <c r="H2148" s="301">
        <f>Tabla15[[#This Row],[Importe]]-Tabla15[[#This Row],[Pagado]]</f>
        <v>0</v>
      </c>
      <c r="I2148" s="275" t="s">
        <v>15214</v>
      </c>
    </row>
    <row r="2149" spans="1:9" x14ac:dyDescent="0.25">
      <c r="A2149" s="420">
        <v>43025</v>
      </c>
      <c r="B2149" s="302" t="s">
        <v>33830</v>
      </c>
      <c r="C2149">
        <v>131712</v>
      </c>
      <c r="D2149" s="275" t="s">
        <v>15530</v>
      </c>
      <c r="E2149" s="301">
        <v>369</v>
      </c>
      <c r="F2149" s="303">
        <v>43025</v>
      </c>
      <c r="G2149" s="301">
        <v>369</v>
      </c>
      <c r="H2149" s="301">
        <f>Tabla15[[#This Row],[Importe]]-Tabla15[[#This Row],[Pagado]]</f>
        <v>0</v>
      </c>
      <c r="I2149" s="275" t="s">
        <v>15214</v>
      </c>
    </row>
    <row r="2150" spans="1:9" x14ac:dyDescent="0.25">
      <c r="A2150" s="420">
        <v>43025</v>
      </c>
      <c r="B2150" s="302" t="s">
        <v>33831</v>
      </c>
      <c r="C2150">
        <v>131713</v>
      </c>
      <c r="D2150" s="275" t="s">
        <v>15562</v>
      </c>
      <c r="E2150" s="301">
        <v>3095.8</v>
      </c>
      <c r="F2150" s="303">
        <v>43025</v>
      </c>
      <c r="G2150" s="301">
        <v>3095.8</v>
      </c>
      <c r="H2150" s="301">
        <f>Tabla15[[#This Row],[Importe]]-Tabla15[[#This Row],[Pagado]]</f>
        <v>0</v>
      </c>
      <c r="I2150" s="275" t="s">
        <v>15214</v>
      </c>
    </row>
    <row r="2151" spans="1:9" x14ac:dyDescent="0.25">
      <c r="A2151" s="420">
        <v>43025</v>
      </c>
      <c r="B2151" s="302" t="s">
        <v>33832</v>
      </c>
      <c r="C2151">
        <v>131714</v>
      </c>
      <c r="D2151" s="275" t="s">
        <v>15276</v>
      </c>
      <c r="E2151" s="301">
        <v>2250</v>
      </c>
      <c r="F2151" s="303">
        <v>43026</v>
      </c>
      <c r="G2151" s="301">
        <v>2250</v>
      </c>
      <c r="H2151" s="301">
        <f>Tabla15[[#This Row],[Importe]]-Tabla15[[#This Row],[Pagado]]</f>
        <v>0</v>
      </c>
      <c r="I2151" s="275" t="s">
        <v>15214</v>
      </c>
    </row>
    <row r="2152" spans="1:9" x14ac:dyDescent="0.25">
      <c r="A2152" s="420">
        <v>43025</v>
      </c>
      <c r="B2152" s="302" t="s">
        <v>33833</v>
      </c>
      <c r="C2152">
        <v>131715</v>
      </c>
      <c r="D2152" s="275" t="s">
        <v>15315</v>
      </c>
      <c r="E2152" s="301">
        <v>920.4</v>
      </c>
      <c r="F2152" s="303">
        <v>43025</v>
      </c>
      <c r="G2152" s="301">
        <v>920.4</v>
      </c>
      <c r="H2152" s="301">
        <f>Tabla15[[#This Row],[Importe]]-Tabla15[[#This Row],[Pagado]]</f>
        <v>0</v>
      </c>
      <c r="I2152" s="275" t="s">
        <v>15214</v>
      </c>
    </row>
    <row r="2153" spans="1:9" x14ac:dyDescent="0.25">
      <c r="A2153" s="420">
        <v>43025</v>
      </c>
      <c r="B2153" s="302" t="s">
        <v>33834</v>
      </c>
      <c r="C2153">
        <v>131716</v>
      </c>
      <c r="D2153" s="275" t="s">
        <v>15315</v>
      </c>
      <c r="E2153" s="301">
        <v>397.8</v>
      </c>
      <c r="F2153" s="303">
        <v>43025</v>
      </c>
      <c r="G2153" s="301">
        <v>397.8</v>
      </c>
      <c r="H2153" s="301">
        <f>Tabla15[[#This Row],[Importe]]-Tabla15[[#This Row],[Pagado]]</f>
        <v>0</v>
      </c>
      <c r="I2153" s="275" t="s">
        <v>15214</v>
      </c>
    </row>
    <row r="2154" spans="1:9" x14ac:dyDescent="0.25">
      <c r="A2154" s="420">
        <v>43025</v>
      </c>
      <c r="B2154" s="302" t="s">
        <v>33835</v>
      </c>
      <c r="C2154">
        <v>131717</v>
      </c>
      <c r="D2154" s="275" t="s">
        <v>15583</v>
      </c>
      <c r="E2154" s="301">
        <v>1377.1</v>
      </c>
      <c r="F2154" s="303">
        <v>43032</v>
      </c>
      <c r="G2154" s="301">
        <v>1377.1</v>
      </c>
      <c r="H2154" s="301">
        <f>Tabla15[[#This Row],[Importe]]-Tabla15[[#This Row],[Pagado]]</f>
        <v>0</v>
      </c>
      <c r="I2154" s="275" t="s">
        <v>15214</v>
      </c>
    </row>
    <row r="2155" spans="1:9" x14ac:dyDescent="0.25">
      <c r="A2155" s="420">
        <v>43025</v>
      </c>
      <c r="B2155" s="302" t="s">
        <v>33836</v>
      </c>
      <c r="C2155">
        <v>131718</v>
      </c>
      <c r="D2155" s="275" t="s">
        <v>15415</v>
      </c>
      <c r="E2155" s="301">
        <v>2781</v>
      </c>
      <c r="F2155" s="303">
        <v>43027</v>
      </c>
      <c r="G2155" s="301">
        <v>2781</v>
      </c>
      <c r="H2155" s="301">
        <f>Tabla15[[#This Row],[Importe]]-Tabla15[[#This Row],[Pagado]]</f>
        <v>0</v>
      </c>
      <c r="I2155" s="275" t="s">
        <v>15214</v>
      </c>
    </row>
    <row r="2156" spans="1:9" x14ac:dyDescent="0.25">
      <c r="A2156" s="420">
        <v>43025</v>
      </c>
      <c r="B2156" s="302" t="s">
        <v>33837</v>
      </c>
      <c r="C2156">
        <v>131719</v>
      </c>
      <c r="D2156" s="275" t="s">
        <v>15728</v>
      </c>
      <c r="E2156" s="301">
        <v>9082.7999999999993</v>
      </c>
      <c r="F2156" s="303">
        <v>43025</v>
      </c>
      <c r="G2156" s="301">
        <v>9082.7999999999993</v>
      </c>
      <c r="H2156" s="301">
        <f>Tabla15[[#This Row],[Importe]]-Tabla15[[#This Row],[Pagado]]</f>
        <v>0</v>
      </c>
      <c r="I2156" s="275" t="s">
        <v>15214</v>
      </c>
    </row>
    <row r="2157" spans="1:9" x14ac:dyDescent="0.25">
      <c r="A2157" s="420">
        <v>43025</v>
      </c>
      <c r="B2157" s="302" t="s">
        <v>33838</v>
      </c>
      <c r="C2157">
        <v>131720</v>
      </c>
      <c r="D2157" s="275" t="s">
        <v>15596</v>
      </c>
      <c r="E2157" s="301">
        <v>1125</v>
      </c>
      <c r="F2157" s="303">
        <v>43026</v>
      </c>
      <c r="G2157" s="301">
        <v>1125</v>
      </c>
      <c r="H2157" s="301">
        <f>Tabla15[[#This Row],[Importe]]-Tabla15[[#This Row],[Pagado]]</f>
        <v>0</v>
      </c>
      <c r="I2157" s="275" t="s">
        <v>15214</v>
      </c>
    </row>
    <row r="2158" spans="1:9" x14ac:dyDescent="0.25">
      <c r="A2158" s="420">
        <v>43025</v>
      </c>
      <c r="B2158" s="302" t="s">
        <v>33839</v>
      </c>
      <c r="C2158">
        <v>131721</v>
      </c>
      <c r="D2158" s="275" t="s">
        <v>15338</v>
      </c>
      <c r="E2158" s="301">
        <v>8349.7000000000007</v>
      </c>
      <c r="F2158" s="303">
        <v>43027</v>
      </c>
      <c r="G2158" s="301">
        <v>8349.7000000000007</v>
      </c>
      <c r="H2158" s="301">
        <f>Tabla15[[#This Row],[Importe]]-Tabla15[[#This Row],[Pagado]]</f>
        <v>0</v>
      </c>
      <c r="I2158" s="275" t="s">
        <v>15214</v>
      </c>
    </row>
    <row r="2159" spans="1:9" x14ac:dyDescent="0.25">
      <c r="A2159" s="420">
        <v>43025</v>
      </c>
      <c r="B2159" s="302" t="s">
        <v>33840</v>
      </c>
      <c r="C2159">
        <v>131722</v>
      </c>
      <c r="D2159" s="275" t="s">
        <v>15748</v>
      </c>
      <c r="E2159" s="301">
        <v>1171.32</v>
      </c>
      <c r="F2159" s="303">
        <v>43026</v>
      </c>
      <c r="G2159" s="301">
        <v>1171.32</v>
      </c>
      <c r="H2159" s="301">
        <f>Tabla15[[#This Row],[Importe]]-Tabla15[[#This Row],[Pagado]]</f>
        <v>0</v>
      </c>
      <c r="I2159" s="275" t="s">
        <v>15214</v>
      </c>
    </row>
    <row r="2160" spans="1:9" x14ac:dyDescent="0.25">
      <c r="A2160" s="420">
        <v>43025</v>
      </c>
      <c r="B2160" s="302" t="s">
        <v>33841</v>
      </c>
      <c r="C2160">
        <v>131723</v>
      </c>
      <c r="D2160" s="275" t="s">
        <v>15305</v>
      </c>
      <c r="E2160" s="301">
        <v>932.4</v>
      </c>
      <c r="F2160" s="303">
        <v>43026</v>
      </c>
      <c r="G2160" s="301">
        <v>932.4</v>
      </c>
      <c r="H2160" s="301">
        <f>Tabla15[[#This Row],[Importe]]-Tabla15[[#This Row],[Pagado]]</f>
        <v>0</v>
      </c>
      <c r="I2160" s="275" t="s">
        <v>15214</v>
      </c>
    </row>
    <row r="2161" spans="1:9" x14ac:dyDescent="0.25">
      <c r="A2161" s="420">
        <v>43025</v>
      </c>
      <c r="B2161" s="302" t="s">
        <v>33842</v>
      </c>
      <c r="C2161">
        <v>131724</v>
      </c>
      <c r="D2161" s="275" t="s">
        <v>23937</v>
      </c>
      <c r="E2161" s="301">
        <v>3058.8</v>
      </c>
      <c r="F2161" s="303">
        <v>43025</v>
      </c>
      <c r="G2161" s="301">
        <v>3058.8</v>
      </c>
      <c r="H2161" s="301">
        <f>Tabla15[[#This Row],[Importe]]-Tabla15[[#This Row],[Pagado]]</f>
        <v>0</v>
      </c>
      <c r="I2161" s="275" t="s">
        <v>15214</v>
      </c>
    </row>
    <row r="2162" spans="1:9" x14ac:dyDescent="0.25">
      <c r="A2162" s="420">
        <v>43025</v>
      </c>
      <c r="B2162" s="302" t="s">
        <v>33843</v>
      </c>
      <c r="C2162">
        <v>131725</v>
      </c>
      <c r="D2162" s="275" t="s">
        <v>17800</v>
      </c>
      <c r="E2162" s="301">
        <v>585.6</v>
      </c>
      <c r="F2162" s="303">
        <v>43026</v>
      </c>
      <c r="G2162" s="301">
        <v>585.6</v>
      </c>
      <c r="H2162" s="301">
        <f>Tabla15[[#This Row],[Importe]]-Tabla15[[#This Row],[Pagado]]</f>
        <v>0</v>
      </c>
      <c r="I2162" s="275" t="s">
        <v>15214</v>
      </c>
    </row>
    <row r="2163" spans="1:9" x14ac:dyDescent="0.25">
      <c r="A2163" s="420">
        <v>43025</v>
      </c>
      <c r="B2163" s="302" t="s">
        <v>33844</v>
      </c>
      <c r="C2163">
        <v>131726</v>
      </c>
      <c r="D2163" s="275" t="s">
        <v>15549</v>
      </c>
      <c r="E2163" s="301">
        <v>10436.200000000001</v>
      </c>
      <c r="F2163" s="303">
        <v>43025</v>
      </c>
      <c r="G2163" s="301">
        <v>10436.200000000001</v>
      </c>
      <c r="H2163" s="301">
        <f>Tabla15[[#This Row],[Importe]]-Tabla15[[#This Row],[Pagado]]</f>
        <v>0</v>
      </c>
      <c r="I2163" s="275" t="s">
        <v>15214</v>
      </c>
    </row>
    <row r="2164" spans="1:9" x14ac:dyDescent="0.25">
      <c r="A2164" s="420">
        <v>43025</v>
      </c>
      <c r="B2164" s="302" t="s">
        <v>33845</v>
      </c>
      <c r="C2164">
        <v>131727</v>
      </c>
      <c r="D2164" s="275" t="s">
        <v>15309</v>
      </c>
      <c r="E2164" s="301">
        <v>596.79999999999995</v>
      </c>
      <c r="F2164" s="303">
        <v>43026</v>
      </c>
      <c r="G2164" s="301">
        <v>596.79999999999995</v>
      </c>
      <c r="H2164" s="301">
        <f>Tabla15[[#This Row],[Importe]]-Tabla15[[#This Row],[Pagado]]</f>
        <v>0</v>
      </c>
      <c r="I2164" s="275" t="s">
        <v>15214</v>
      </c>
    </row>
    <row r="2165" spans="1:9" x14ac:dyDescent="0.25">
      <c r="A2165" s="420">
        <v>43025</v>
      </c>
      <c r="B2165" s="302" t="s">
        <v>33846</v>
      </c>
      <c r="C2165">
        <v>131728</v>
      </c>
      <c r="D2165" s="275" t="s">
        <v>17235</v>
      </c>
      <c r="E2165" s="301">
        <v>1473.6</v>
      </c>
      <c r="F2165" s="303">
        <v>43026</v>
      </c>
      <c r="G2165" s="301">
        <v>1473.6</v>
      </c>
      <c r="H2165" s="301">
        <f>Tabla15[[#This Row],[Importe]]-Tabla15[[#This Row],[Pagado]]</f>
        <v>0</v>
      </c>
      <c r="I2165" s="275" t="s">
        <v>15214</v>
      </c>
    </row>
    <row r="2166" spans="1:9" x14ac:dyDescent="0.25">
      <c r="A2166" s="420">
        <v>43025</v>
      </c>
      <c r="B2166" s="302" t="s">
        <v>33847</v>
      </c>
      <c r="C2166">
        <v>131729</v>
      </c>
      <c r="D2166" s="275" t="s">
        <v>15252</v>
      </c>
      <c r="E2166" s="301">
        <v>4672.3999999999996</v>
      </c>
      <c r="F2166" s="303">
        <v>43027</v>
      </c>
      <c r="G2166" s="301">
        <v>4672.3999999999996</v>
      </c>
      <c r="H2166" s="301">
        <f>Tabla15[[#This Row],[Importe]]-Tabla15[[#This Row],[Pagado]]</f>
        <v>0</v>
      </c>
      <c r="I2166" s="275" t="s">
        <v>15214</v>
      </c>
    </row>
    <row r="2167" spans="1:9" x14ac:dyDescent="0.25">
      <c r="A2167" s="420">
        <v>43025</v>
      </c>
      <c r="B2167" s="302" t="s">
        <v>33848</v>
      </c>
      <c r="C2167">
        <v>131730</v>
      </c>
      <c r="D2167" s="275" t="s">
        <v>15244</v>
      </c>
      <c r="E2167" s="301">
        <v>7917.8</v>
      </c>
      <c r="F2167" s="303">
        <v>43027</v>
      </c>
      <c r="G2167" s="301">
        <v>7917.8</v>
      </c>
      <c r="H2167" s="301">
        <f>Tabla15[[#This Row],[Importe]]-Tabla15[[#This Row],[Pagado]]</f>
        <v>0</v>
      </c>
      <c r="I2167" s="275" t="s">
        <v>15214</v>
      </c>
    </row>
    <row r="2168" spans="1:9" x14ac:dyDescent="0.25">
      <c r="A2168" s="420">
        <v>43025</v>
      </c>
      <c r="B2168" s="302" t="s">
        <v>33849</v>
      </c>
      <c r="C2168">
        <v>131731</v>
      </c>
      <c r="D2168" s="275" t="s">
        <v>15291</v>
      </c>
      <c r="E2168" s="301">
        <v>810</v>
      </c>
      <c r="F2168" s="303">
        <v>43026</v>
      </c>
      <c r="G2168" s="301">
        <v>810</v>
      </c>
      <c r="H2168" s="301">
        <f>Tabla15[[#This Row],[Importe]]-Tabla15[[#This Row],[Pagado]]</f>
        <v>0</v>
      </c>
      <c r="I2168" s="275" t="s">
        <v>15214</v>
      </c>
    </row>
    <row r="2169" spans="1:9" x14ac:dyDescent="0.25">
      <c r="A2169" s="420">
        <v>43025</v>
      </c>
      <c r="B2169" s="302" t="s">
        <v>33850</v>
      </c>
      <c r="C2169">
        <v>131732</v>
      </c>
      <c r="D2169" s="275" t="s">
        <v>15311</v>
      </c>
      <c r="E2169" s="301">
        <v>1561.8</v>
      </c>
      <c r="F2169" s="303">
        <v>43026</v>
      </c>
      <c r="G2169" s="301">
        <v>1561.8</v>
      </c>
      <c r="H2169" s="301">
        <f>Tabla15[[#This Row],[Importe]]-Tabla15[[#This Row],[Pagado]]</f>
        <v>0</v>
      </c>
      <c r="I2169" s="275" t="s">
        <v>15214</v>
      </c>
    </row>
    <row r="2170" spans="1:9" x14ac:dyDescent="0.25">
      <c r="A2170" s="420">
        <v>43025</v>
      </c>
      <c r="B2170" s="302" t="s">
        <v>33851</v>
      </c>
      <c r="C2170">
        <v>131733</v>
      </c>
      <c r="D2170" s="275" t="s">
        <v>15346</v>
      </c>
      <c r="E2170" s="301">
        <v>3211.6</v>
      </c>
      <c r="F2170" s="303">
        <v>43026</v>
      </c>
      <c r="G2170" s="301">
        <v>3211.6</v>
      </c>
      <c r="H2170" s="301">
        <f>Tabla15[[#This Row],[Importe]]-Tabla15[[#This Row],[Pagado]]</f>
        <v>0</v>
      </c>
      <c r="I2170" s="275" t="s">
        <v>15214</v>
      </c>
    </row>
    <row r="2171" spans="1:9" x14ac:dyDescent="0.25">
      <c r="A2171" s="420">
        <v>43025</v>
      </c>
      <c r="B2171" s="302" t="s">
        <v>33852</v>
      </c>
      <c r="C2171">
        <v>131734</v>
      </c>
      <c r="D2171" s="275" t="s">
        <v>15748</v>
      </c>
      <c r="E2171" s="301">
        <v>1048.5999999999999</v>
      </c>
      <c r="F2171" s="303">
        <v>43026</v>
      </c>
      <c r="G2171" s="301">
        <v>1048.5999999999999</v>
      </c>
      <c r="H2171" s="301">
        <f>Tabla15[[#This Row],[Importe]]-Tabla15[[#This Row],[Pagado]]</f>
        <v>0</v>
      </c>
      <c r="I2171" s="275" t="s">
        <v>15214</v>
      </c>
    </row>
    <row r="2172" spans="1:9" ht="15.75" x14ac:dyDescent="0.25">
      <c r="A2172" s="420">
        <v>43025</v>
      </c>
      <c r="B2172" s="302" t="s">
        <v>33853</v>
      </c>
      <c r="C2172">
        <v>131735</v>
      </c>
      <c r="D2172" s="248" t="s">
        <v>95</v>
      </c>
      <c r="E2172" s="301">
        <v>0</v>
      </c>
      <c r="F2172" s="243" t="s">
        <v>95</v>
      </c>
      <c r="G2172" s="301">
        <v>0</v>
      </c>
      <c r="H2172" s="301">
        <f>Tabla15[[#This Row],[Importe]]-Tabla15[[#This Row],[Pagado]]</f>
        <v>0</v>
      </c>
      <c r="I2172" s="275" t="s">
        <v>95</v>
      </c>
    </row>
    <row r="2173" spans="1:9" x14ac:dyDescent="0.25">
      <c r="A2173" s="420">
        <v>43025</v>
      </c>
      <c r="B2173" s="302" t="s">
        <v>33854</v>
      </c>
      <c r="C2173">
        <v>131736</v>
      </c>
      <c r="D2173" s="275" t="s">
        <v>22563</v>
      </c>
      <c r="E2173" s="301">
        <v>4928</v>
      </c>
      <c r="F2173" s="303">
        <v>43026</v>
      </c>
      <c r="G2173" s="301">
        <v>4928</v>
      </c>
      <c r="H2173" s="301">
        <f>Tabla15[[#This Row],[Importe]]-Tabla15[[#This Row],[Pagado]]</f>
        <v>0</v>
      </c>
      <c r="I2173" s="275" t="s">
        <v>15214</v>
      </c>
    </row>
    <row r="2174" spans="1:9" x14ac:dyDescent="0.25">
      <c r="A2174" s="420">
        <v>43025</v>
      </c>
      <c r="B2174" s="302" t="s">
        <v>33855</v>
      </c>
      <c r="C2174">
        <v>131737</v>
      </c>
      <c r="D2174" s="275" t="s">
        <v>15248</v>
      </c>
      <c r="E2174" s="301">
        <v>1001.4</v>
      </c>
      <c r="F2174" s="303">
        <v>43025</v>
      </c>
      <c r="G2174" s="301">
        <v>1001.4</v>
      </c>
      <c r="H2174" s="301">
        <f>Tabla15[[#This Row],[Importe]]-Tabla15[[#This Row],[Pagado]]</f>
        <v>0</v>
      </c>
      <c r="I2174" s="275" t="s">
        <v>15214</v>
      </c>
    </row>
    <row r="2175" spans="1:9" x14ac:dyDescent="0.25">
      <c r="A2175" s="420">
        <v>43025</v>
      </c>
      <c r="B2175" s="302" t="s">
        <v>33856</v>
      </c>
      <c r="C2175">
        <v>131738</v>
      </c>
      <c r="D2175" s="275" t="s">
        <v>15577</v>
      </c>
      <c r="E2175" s="301">
        <v>319</v>
      </c>
      <c r="F2175" s="303">
        <v>43025</v>
      </c>
      <c r="G2175" s="301">
        <v>319</v>
      </c>
      <c r="H2175" s="301">
        <f>Tabla15[[#This Row],[Importe]]-Tabla15[[#This Row],[Pagado]]</f>
        <v>0</v>
      </c>
      <c r="I2175" s="275" t="s">
        <v>15214</v>
      </c>
    </row>
    <row r="2176" spans="1:9" x14ac:dyDescent="0.25">
      <c r="A2176" s="420">
        <v>43025</v>
      </c>
      <c r="B2176" s="302" t="s">
        <v>33857</v>
      </c>
      <c r="C2176">
        <v>131739</v>
      </c>
      <c r="D2176" s="275" t="s">
        <v>15378</v>
      </c>
      <c r="E2176" s="301">
        <v>14166.1</v>
      </c>
      <c r="F2176" s="303">
        <v>43031</v>
      </c>
      <c r="G2176" s="301">
        <v>14166.1</v>
      </c>
      <c r="H2176" s="301">
        <f>Tabla15[[#This Row],[Importe]]-Tabla15[[#This Row],[Pagado]]</f>
        <v>0</v>
      </c>
      <c r="I2176" s="275" t="s">
        <v>15214</v>
      </c>
    </row>
    <row r="2177" spans="1:9" x14ac:dyDescent="0.25">
      <c r="A2177" s="420">
        <v>43025</v>
      </c>
      <c r="B2177" s="302" t="s">
        <v>33858</v>
      </c>
      <c r="C2177">
        <v>131740</v>
      </c>
      <c r="D2177" s="275" t="s">
        <v>16732</v>
      </c>
      <c r="E2177" s="301">
        <v>3110.4</v>
      </c>
      <c r="F2177" s="303">
        <v>43025</v>
      </c>
      <c r="G2177" s="301">
        <v>3110.4</v>
      </c>
      <c r="H2177" s="301">
        <f>Tabla15[[#This Row],[Importe]]-Tabla15[[#This Row],[Pagado]]</f>
        <v>0</v>
      </c>
      <c r="I2177" s="275" t="s">
        <v>15214</v>
      </c>
    </row>
    <row r="2178" spans="1:9" x14ac:dyDescent="0.25">
      <c r="A2178" s="420">
        <v>43025</v>
      </c>
      <c r="B2178" s="302" t="s">
        <v>33859</v>
      </c>
      <c r="C2178">
        <v>131741</v>
      </c>
      <c r="D2178" s="275" t="s">
        <v>15537</v>
      </c>
      <c r="E2178" s="301">
        <v>11311.2</v>
      </c>
      <c r="F2178" s="303">
        <v>43026</v>
      </c>
      <c r="G2178" s="301">
        <v>11311.2</v>
      </c>
      <c r="H2178" s="301">
        <f>Tabla15[[#This Row],[Importe]]-Tabla15[[#This Row],[Pagado]]</f>
        <v>0</v>
      </c>
      <c r="I2178" s="275" t="s">
        <v>15214</v>
      </c>
    </row>
    <row r="2179" spans="1:9" x14ac:dyDescent="0.25">
      <c r="A2179" s="420">
        <v>43025</v>
      </c>
      <c r="B2179" s="302" t="s">
        <v>33860</v>
      </c>
      <c r="C2179">
        <v>131742</v>
      </c>
      <c r="D2179" s="275" t="s">
        <v>15539</v>
      </c>
      <c r="E2179" s="301">
        <v>6869.8</v>
      </c>
      <c r="F2179" s="303">
        <v>43026</v>
      </c>
      <c r="G2179" s="301">
        <v>6869.8</v>
      </c>
      <c r="H2179" s="301">
        <f>Tabla15[[#This Row],[Importe]]-Tabla15[[#This Row],[Pagado]]</f>
        <v>0</v>
      </c>
      <c r="I2179" s="275" t="s">
        <v>15214</v>
      </c>
    </row>
    <row r="2180" spans="1:9" x14ac:dyDescent="0.25">
      <c r="A2180" s="420">
        <v>43025</v>
      </c>
      <c r="B2180" s="302" t="s">
        <v>33861</v>
      </c>
      <c r="C2180">
        <v>131743</v>
      </c>
      <c r="D2180" s="275" t="s">
        <v>15699</v>
      </c>
      <c r="E2180" s="301">
        <v>2847.6</v>
      </c>
      <c r="F2180" s="303">
        <v>43026</v>
      </c>
      <c r="G2180" s="301">
        <v>2847.6</v>
      </c>
      <c r="H2180" s="301">
        <f>Tabla15[[#This Row],[Importe]]-Tabla15[[#This Row],[Pagado]]</f>
        <v>0</v>
      </c>
      <c r="I2180" s="275" t="s">
        <v>15214</v>
      </c>
    </row>
    <row r="2181" spans="1:9" x14ac:dyDescent="0.25">
      <c r="A2181" s="420">
        <v>43025</v>
      </c>
      <c r="B2181" s="302" t="s">
        <v>33862</v>
      </c>
      <c r="C2181">
        <v>131744</v>
      </c>
      <c r="D2181" s="275" t="s">
        <v>15559</v>
      </c>
      <c r="E2181" s="301">
        <v>6680.4</v>
      </c>
      <c r="F2181" s="303">
        <v>43026</v>
      </c>
      <c r="G2181" s="301">
        <v>6680.4</v>
      </c>
      <c r="H2181" s="301">
        <f>Tabla15[[#This Row],[Importe]]-Tabla15[[#This Row],[Pagado]]</f>
        <v>0</v>
      </c>
      <c r="I2181" s="275" t="s">
        <v>15214</v>
      </c>
    </row>
    <row r="2182" spans="1:9" x14ac:dyDescent="0.25">
      <c r="A2182" s="420">
        <v>43025</v>
      </c>
      <c r="B2182" s="302" t="s">
        <v>33863</v>
      </c>
      <c r="C2182">
        <v>131745</v>
      </c>
      <c r="D2182" s="275" t="s">
        <v>15555</v>
      </c>
      <c r="E2182" s="301">
        <v>3595.4</v>
      </c>
      <c r="F2182" s="303">
        <v>43026</v>
      </c>
      <c r="G2182" s="301">
        <v>3595.4</v>
      </c>
      <c r="H2182" s="301">
        <f>Tabla15[[#This Row],[Importe]]-Tabla15[[#This Row],[Pagado]]</f>
        <v>0</v>
      </c>
      <c r="I2182" s="275" t="s">
        <v>15214</v>
      </c>
    </row>
    <row r="2183" spans="1:9" x14ac:dyDescent="0.25">
      <c r="A2183" s="420">
        <v>43025</v>
      </c>
      <c r="B2183" s="302" t="s">
        <v>33864</v>
      </c>
      <c r="C2183">
        <v>131746</v>
      </c>
      <c r="D2183" s="275" t="s">
        <v>15557</v>
      </c>
      <c r="E2183" s="301">
        <v>7535.28</v>
      </c>
      <c r="F2183" s="303">
        <v>43026</v>
      </c>
      <c r="G2183" s="301">
        <v>7535.28</v>
      </c>
      <c r="H2183" s="301">
        <f>Tabla15[[#This Row],[Importe]]-Tabla15[[#This Row],[Pagado]]</f>
        <v>0</v>
      </c>
      <c r="I2183" s="275" t="s">
        <v>15214</v>
      </c>
    </row>
    <row r="2184" spans="1:9" x14ac:dyDescent="0.25">
      <c r="A2184" s="420">
        <v>43025</v>
      </c>
      <c r="B2184" s="302" t="s">
        <v>33865</v>
      </c>
      <c r="C2184">
        <v>131747</v>
      </c>
      <c r="D2184" s="275" t="s">
        <v>15716</v>
      </c>
      <c r="E2184" s="301">
        <v>5853.4</v>
      </c>
      <c r="F2184" s="303">
        <v>43025</v>
      </c>
      <c r="G2184" s="301">
        <v>5853.4</v>
      </c>
      <c r="H2184" s="301">
        <f>Tabla15[[#This Row],[Importe]]-Tabla15[[#This Row],[Pagado]]</f>
        <v>0</v>
      </c>
      <c r="I2184" s="275" t="s">
        <v>15214</v>
      </c>
    </row>
    <row r="2185" spans="1:9" x14ac:dyDescent="0.25">
      <c r="A2185" s="420">
        <v>43025</v>
      </c>
      <c r="B2185" s="302" t="s">
        <v>33866</v>
      </c>
      <c r="C2185">
        <v>131748</v>
      </c>
      <c r="D2185" s="275" t="s">
        <v>15398</v>
      </c>
      <c r="E2185" s="301">
        <v>3366.6</v>
      </c>
      <c r="F2185" s="303">
        <v>43025</v>
      </c>
      <c r="G2185" s="301">
        <v>3366.6</v>
      </c>
      <c r="H2185" s="301">
        <f>Tabla15[[#This Row],[Importe]]-Tabla15[[#This Row],[Pagado]]</f>
        <v>0</v>
      </c>
      <c r="I2185" s="275" t="s">
        <v>15214</v>
      </c>
    </row>
    <row r="2186" spans="1:9" x14ac:dyDescent="0.25">
      <c r="A2186" s="420">
        <v>43025</v>
      </c>
      <c r="B2186" s="302" t="s">
        <v>33867</v>
      </c>
      <c r="C2186">
        <v>131749</v>
      </c>
      <c r="D2186" s="275" t="s">
        <v>15282</v>
      </c>
      <c r="E2186" s="301">
        <v>2994</v>
      </c>
      <c r="F2186" s="303">
        <v>43025</v>
      </c>
      <c r="G2186" s="301">
        <v>2994</v>
      </c>
      <c r="H2186" s="301">
        <f>Tabla15[[#This Row],[Importe]]-Tabla15[[#This Row],[Pagado]]</f>
        <v>0</v>
      </c>
      <c r="I2186" s="275" t="s">
        <v>15214</v>
      </c>
    </row>
    <row r="2187" spans="1:9" x14ac:dyDescent="0.25">
      <c r="A2187" s="420">
        <v>43025</v>
      </c>
      <c r="B2187" s="302" t="s">
        <v>33868</v>
      </c>
      <c r="C2187">
        <v>131750</v>
      </c>
      <c r="D2187" s="275" t="s">
        <v>15284</v>
      </c>
      <c r="E2187" s="301">
        <v>1217</v>
      </c>
      <c r="F2187" s="303">
        <v>43025</v>
      </c>
      <c r="G2187" s="301">
        <v>1217</v>
      </c>
      <c r="H2187" s="301">
        <f>Tabla15[[#This Row],[Importe]]-Tabla15[[#This Row],[Pagado]]</f>
        <v>0</v>
      </c>
      <c r="I2187" s="275" t="s">
        <v>15214</v>
      </c>
    </row>
    <row r="2188" spans="1:9" x14ac:dyDescent="0.25">
      <c r="A2188" s="420">
        <v>43025</v>
      </c>
      <c r="B2188" s="302" t="s">
        <v>33869</v>
      </c>
      <c r="C2188">
        <v>131751</v>
      </c>
      <c r="D2188" s="275" t="s">
        <v>15987</v>
      </c>
      <c r="E2188" s="301">
        <v>2026.5</v>
      </c>
      <c r="F2188" s="303">
        <v>43025</v>
      </c>
      <c r="G2188" s="301">
        <v>2026.5</v>
      </c>
      <c r="H2188" s="301">
        <f>Tabla15[[#This Row],[Importe]]-Tabla15[[#This Row],[Pagado]]</f>
        <v>0</v>
      </c>
      <c r="I2188" s="275" t="s">
        <v>15214</v>
      </c>
    </row>
    <row r="2189" spans="1:9" x14ac:dyDescent="0.25">
      <c r="A2189" s="420">
        <v>43025</v>
      </c>
      <c r="B2189" s="302" t="s">
        <v>33870</v>
      </c>
      <c r="C2189">
        <v>131752</v>
      </c>
      <c r="D2189" s="275" t="s">
        <v>15248</v>
      </c>
      <c r="E2189" s="301">
        <v>376</v>
      </c>
      <c r="F2189" s="303">
        <v>43025</v>
      </c>
      <c r="G2189" s="301">
        <v>376</v>
      </c>
      <c r="H2189" s="301">
        <f>Tabla15[[#This Row],[Importe]]-Tabla15[[#This Row],[Pagado]]</f>
        <v>0</v>
      </c>
      <c r="I2189" s="275" t="s">
        <v>15214</v>
      </c>
    </row>
    <row r="2190" spans="1:9" x14ac:dyDescent="0.25">
      <c r="A2190" s="420">
        <v>43025</v>
      </c>
      <c r="B2190" s="302" t="s">
        <v>33871</v>
      </c>
      <c r="C2190">
        <v>131753</v>
      </c>
      <c r="D2190" s="275" t="s">
        <v>15294</v>
      </c>
      <c r="E2190" s="301">
        <v>816</v>
      </c>
      <c r="F2190" s="303">
        <v>43025</v>
      </c>
      <c r="G2190" s="301">
        <v>816</v>
      </c>
      <c r="H2190" s="301">
        <f>Tabla15[[#This Row],[Importe]]-Tabla15[[#This Row],[Pagado]]</f>
        <v>0</v>
      </c>
      <c r="I2190" s="275" t="s">
        <v>15214</v>
      </c>
    </row>
    <row r="2191" spans="1:9" x14ac:dyDescent="0.25">
      <c r="A2191" s="420">
        <v>43025</v>
      </c>
      <c r="B2191" s="302" t="s">
        <v>33872</v>
      </c>
      <c r="C2191">
        <v>131754</v>
      </c>
      <c r="D2191" s="275" t="s">
        <v>15409</v>
      </c>
      <c r="E2191" s="301">
        <v>12028</v>
      </c>
      <c r="F2191" s="303">
        <v>43025</v>
      </c>
      <c r="G2191" s="301">
        <v>12028</v>
      </c>
      <c r="H2191" s="301">
        <f>Tabla15[[#This Row],[Importe]]-Tabla15[[#This Row],[Pagado]]</f>
        <v>0</v>
      </c>
      <c r="I2191" s="275" t="s">
        <v>15214</v>
      </c>
    </row>
    <row r="2192" spans="1:9" x14ac:dyDescent="0.25">
      <c r="A2192" s="420">
        <v>43025</v>
      </c>
      <c r="B2192" s="302" t="s">
        <v>33873</v>
      </c>
      <c r="C2192">
        <v>131755</v>
      </c>
      <c r="D2192" s="275" t="s">
        <v>15298</v>
      </c>
      <c r="E2192" s="301">
        <v>629.20000000000005</v>
      </c>
      <c r="F2192" s="303">
        <v>43025</v>
      </c>
      <c r="G2192" s="301">
        <v>629.20000000000005</v>
      </c>
      <c r="H2192" s="301">
        <f>Tabla15[[#This Row],[Importe]]-Tabla15[[#This Row],[Pagado]]</f>
        <v>0</v>
      </c>
      <c r="I2192" s="275" t="s">
        <v>15214</v>
      </c>
    </row>
    <row r="2193" spans="1:9" x14ac:dyDescent="0.25">
      <c r="A2193" s="420">
        <v>43025</v>
      </c>
      <c r="B2193" s="302" t="s">
        <v>33874</v>
      </c>
      <c r="C2193">
        <v>131756</v>
      </c>
      <c r="D2193" s="275" t="s">
        <v>33875</v>
      </c>
      <c r="E2193" s="301">
        <v>3113.6</v>
      </c>
      <c r="F2193" s="303">
        <v>43026</v>
      </c>
      <c r="G2193" s="301">
        <v>3113.6</v>
      </c>
      <c r="H2193" s="301">
        <f>Tabla15[[#This Row],[Importe]]-Tabla15[[#This Row],[Pagado]]</f>
        <v>0</v>
      </c>
      <c r="I2193" s="275" t="s">
        <v>15214</v>
      </c>
    </row>
    <row r="2194" spans="1:9" x14ac:dyDescent="0.25">
      <c r="A2194" s="420">
        <v>43025</v>
      </c>
      <c r="B2194" s="302" t="s">
        <v>33876</v>
      </c>
      <c r="C2194">
        <v>131757</v>
      </c>
      <c r="D2194" s="275" t="s">
        <v>15568</v>
      </c>
      <c r="E2194" s="301">
        <v>8600.4</v>
      </c>
      <c r="F2194" s="303">
        <v>43027</v>
      </c>
      <c r="G2194" s="301">
        <v>8600.4</v>
      </c>
      <c r="H2194" s="301">
        <f>Tabla15[[#This Row],[Importe]]-Tabla15[[#This Row],[Pagado]]</f>
        <v>0</v>
      </c>
      <c r="I2194" s="275" t="s">
        <v>15214</v>
      </c>
    </row>
    <row r="2195" spans="1:9" x14ac:dyDescent="0.25">
      <c r="A2195" s="420">
        <v>43025</v>
      </c>
      <c r="B2195" s="302" t="s">
        <v>33877</v>
      </c>
      <c r="C2195">
        <v>131758</v>
      </c>
      <c r="D2195" s="275" t="s">
        <v>15246</v>
      </c>
      <c r="E2195" s="301">
        <v>359582.56</v>
      </c>
      <c r="F2195" s="303">
        <v>43031</v>
      </c>
      <c r="G2195" s="301">
        <v>359582.56</v>
      </c>
      <c r="H2195" s="301">
        <f>Tabla15[[#This Row],[Importe]]-Tabla15[[#This Row],[Pagado]]</f>
        <v>0</v>
      </c>
      <c r="I2195" s="275" t="s">
        <v>15214</v>
      </c>
    </row>
    <row r="2196" spans="1:9" x14ac:dyDescent="0.25">
      <c r="A2196" s="420">
        <v>43025</v>
      </c>
      <c r="B2196" s="302" t="s">
        <v>33878</v>
      </c>
      <c r="C2196">
        <v>131759</v>
      </c>
      <c r="D2196" s="275" t="s">
        <v>15246</v>
      </c>
      <c r="E2196" s="301">
        <v>6401.2</v>
      </c>
      <c r="F2196" s="303">
        <v>42939</v>
      </c>
      <c r="G2196" s="301">
        <v>6401.2</v>
      </c>
      <c r="H2196" s="301">
        <f>Tabla15[[#This Row],[Importe]]-Tabla15[[#This Row],[Pagado]]</f>
        <v>0</v>
      </c>
      <c r="I2196" s="275" t="s">
        <v>15214</v>
      </c>
    </row>
    <row r="2197" spans="1:9" x14ac:dyDescent="0.25">
      <c r="A2197" s="420">
        <v>43025</v>
      </c>
      <c r="B2197" s="302" t="s">
        <v>33879</v>
      </c>
      <c r="C2197">
        <v>131760</v>
      </c>
      <c r="D2197" s="275" t="s">
        <v>15614</v>
      </c>
      <c r="E2197" s="301">
        <v>5713</v>
      </c>
      <c r="F2197" s="303">
        <v>43029</v>
      </c>
      <c r="G2197" s="301">
        <v>5713</v>
      </c>
      <c r="H2197" s="301">
        <f>Tabla15[[#This Row],[Importe]]-Tabla15[[#This Row],[Pagado]]</f>
        <v>0</v>
      </c>
      <c r="I2197" s="275" t="s">
        <v>15214</v>
      </c>
    </row>
    <row r="2198" spans="1:9" ht="15.75" x14ac:dyDescent="0.25">
      <c r="A2198" s="420">
        <v>43025</v>
      </c>
      <c r="B2198" s="302" t="s">
        <v>33880</v>
      </c>
      <c r="C2198">
        <v>131761</v>
      </c>
      <c r="D2198" s="248" t="s">
        <v>95</v>
      </c>
      <c r="E2198" s="301">
        <v>0</v>
      </c>
      <c r="F2198" s="243" t="s">
        <v>95</v>
      </c>
      <c r="G2198" s="301">
        <v>0</v>
      </c>
      <c r="H2198" s="301">
        <f>Tabla15[[#This Row],[Importe]]-Tabla15[[#This Row],[Pagado]]</f>
        <v>0</v>
      </c>
      <c r="I2198" s="275" t="s">
        <v>95</v>
      </c>
    </row>
    <row r="2199" spans="1:9" ht="30" x14ac:dyDescent="0.25">
      <c r="A2199" s="420">
        <v>43025</v>
      </c>
      <c r="B2199" s="302" t="s">
        <v>33881</v>
      </c>
      <c r="C2199">
        <v>131762</v>
      </c>
      <c r="D2199" s="275" t="s">
        <v>15250</v>
      </c>
      <c r="E2199" s="301">
        <v>96492.2</v>
      </c>
      <c r="F2199" s="303" t="s">
        <v>33882</v>
      </c>
      <c r="G2199" s="305">
        <f>582.21+95909.99</f>
        <v>96492.200000000012</v>
      </c>
      <c r="H2199" s="305">
        <f>Tabla15[[#This Row],[Importe]]-Tabla15[[#This Row],[Pagado]]</f>
        <v>0</v>
      </c>
      <c r="I2199" s="275" t="s">
        <v>15214</v>
      </c>
    </row>
    <row r="2200" spans="1:9" x14ac:dyDescent="0.25">
      <c r="A2200" s="420">
        <v>43025</v>
      </c>
      <c r="B2200" s="302" t="s">
        <v>33883</v>
      </c>
      <c r="C2200">
        <v>131763</v>
      </c>
      <c r="D2200" s="275" t="s">
        <v>15284</v>
      </c>
      <c r="E2200" s="301">
        <v>590.4</v>
      </c>
      <c r="F2200" s="303">
        <v>43025</v>
      </c>
      <c r="G2200" s="301">
        <v>590.4</v>
      </c>
      <c r="H2200" s="301">
        <f>Tabla15[[#This Row],[Importe]]-Tabla15[[#This Row],[Pagado]]</f>
        <v>0</v>
      </c>
      <c r="I2200" s="275" t="s">
        <v>15214</v>
      </c>
    </row>
    <row r="2201" spans="1:9" x14ac:dyDescent="0.25">
      <c r="A2201" s="420">
        <v>43025</v>
      </c>
      <c r="B2201" s="302" t="s">
        <v>33884</v>
      </c>
      <c r="C2201">
        <v>131764</v>
      </c>
      <c r="D2201" s="275" t="s">
        <v>15250</v>
      </c>
      <c r="E2201" s="301">
        <v>90</v>
      </c>
      <c r="F2201" s="303">
        <v>43027</v>
      </c>
      <c r="G2201" s="301">
        <v>90</v>
      </c>
      <c r="H2201" s="301">
        <f>Tabla15[[#This Row],[Importe]]-Tabla15[[#This Row],[Pagado]]</f>
        <v>0</v>
      </c>
      <c r="I2201" s="275" t="s">
        <v>15214</v>
      </c>
    </row>
    <row r="2202" spans="1:9" x14ac:dyDescent="0.25">
      <c r="A2202" s="420">
        <v>43025</v>
      </c>
      <c r="B2202" s="302" t="s">
        <v>33885</v>
      </c>
      <c r="C2202">
        <v>131765</v>
      </c>
      <c r="D2202" s="275" t="s">
        <v>15581</v>
      </c>
      <c r="E2202" s="301">
        <v>12355.8</v>
      </c>
      <c r="F2202" s="303">
        <v>43032</v>
      </c>
      <c r="G2202" s="301">
        <v>12355.8</v>
      </c>
      <c r="H2202" s="301">
        <f>Tabla15[[#This Row],[Importe]]-Tabla15[[#This Row],[Pagado]]</f>
        <v>0</v>
      </c>
      <c r="I2202" s="275" t="s">
        <v>15214</v>
      </c>
    </row>
    <row r="2203" spans="1:9" x14ac:dyDescent="0.25">
      <c r="A2203" s="420">
        <v>43025</v>
      </c>
      <c r="B2203" s="302" t="s">
        <v>33886</v>
      </c>
      <c r="C2203">
        <v>131766</v>
      </c>
      <c r="D2203" s="275" t="s">
        <v>15856</v>
      </c>
      <c r="E2203" s="301">
        <v>1668.6</v>
      </c>
      <c r="F2203" s="303">
        <v>43027</v>
      </c>
      <c r="G2203" s="301">
        <v>1668.6</v>
      </c>
      <c r="H2203" s="301">
        <f>Tabla15[[#This Row],[Importe]]-Tabla15[[#This Row],[Pagado]]</f>
        <v>0</v>
      </c>
      <c r="I2203" s="275" t="s">
        <v>15214</v>
      </c>
    </row>
    <row r="2204" spans="1:9" x14ac:dyDescent="0.25">
      <c r="A2204" s="420">
        <v>43025</v>
      </c>
      <c r="B2204" s="302" t="s">
        <v>33887</v>
      </c>
      <c r="C2204">
        <v>131767</v>
      </c>
      <c r="D2204" s="275" t="s">
        <v>15594</v>
      </c>
      <c r="E2204" s="301">
        <v>2438</v>
      </c>
      <c r="F2204" s="303">
        <v>43027</v>
      </c>
      <c r="G2204" s="301">
        <v>2438</v>
      </c>
      <c r="H2204" s="301">
        <f>Tabla15[[#This Row],[Importe]]-Tabla15[[#This Row],[Pagado]]</f>
        <v>0</v>
      </c>
      <c r="I2204" s="275" t="s">
        <v>15214</v>
      </c>
    </row>
    <row r="2205" spans="1:9" x14ac:dyDescent="0.25">
      <c r="A2205" s="420">
        <v>43025</v>
      </c>
      <c r="B2205" s="302" t="s">
        <v>33888</v>
      </c>
      <c r="C2205">
        <v>131768</v>
      </c>
      <c r="D2205" s="275" t="s">
        <v>15391</v>
      </c>
      <c r="E2205" s="301">
        <v>6984</v>
      </c>
      <c r="F2205" s="303">
        <v>43026</v>
      </c>
      <c r="G2205" s="301">
        <v>6984</v>
      </c>
      <c r="H2205" s="301">
        <f>Tabla15[[#This Row],[Importe]]-Tabla15[[#This Row],[Pagado]]</f>
        <v>0</v>
      </c>
      <c r="I2205" s="275" t="s">
        <v>15214</v>
      </c>
    </row>
    <row r="2206" spans="1:9" x14ac:dyDescent="0.25">
      <c r="A2206" s="420">
        <v>43025</v>
      </c>
      <c r="B2206" s="302" t="s">
        <v>33889</v>
      </c>
      <c r="C2206">
        <v>131769</v>
      </c>
      <c r="D2206" s="275" t="s">
        <v>15315</v>
      </c>
      <c r="E2206" s="301">
        <v>955.8</v>
      </c>
      <c r="F2206" s="303">
        <v>43029</v>
      </c>
      <c r="G2206" s="301">
        <v>955.8</v>
      </c>
      <c r="H2206" s="301">
        <f>Tabla15[[#This Row],[Importe]]-Tabla15[[#This Row],[Pagado]]</f>
        <v>0</v>
      </c>
      <c r="I2206" s="275" t="s">
        <v>15214</v>
      </c>
    </row>
    <row r="2207" spans="1:9" x14ac:dyDescent="0.25">
      <c r="A2207" s="420">
        <v>43025</v>
      </c>
      <c r="B2207" s="302" t="s">
        <v>33890</v>
      </c>
      <c r="C2207">
        <v>131770</v>
      </c>
      <c r="D2207" s="275" t="s">
        <v>15423</v>
      </c>
      <c r="E2207" s="301">
        <v>632.6</v>
      </c>
      <c r="F2207" s="303">
        <v>43025</v>
      </c>
      <c r="G2207" s="301">
        <v>632.6</v>
      </c>
      <c r="H2207" s="301">
        <f>Tabla15[[#This Row],[Importe]]-Tabla15[[#This Row],[Pagado]]</f>
        <v>0</v>
      </c>
      <c r="I2207" s="275" t="s">
        <v>15214</v>
      </c>
    </row>
    <row r="2208" spans="1:9" x14ac:dyDescent="0.25">
      <c r="A2208" s="420">
        <v>43025</v>
      </c>
      <c r="B2208" s="302" t="s">
        <v>33891</v>
      </c>
      <c r="C2208">
        <v>131771</v>
      </c>
      <c r="D2208" s="275" t="s">
        <v>22902</v>
      </c>
      <c r="E2208" s="301">
        <v>1002.5</v>
      </c>
      <c r="F2208" s="303">
        <v>43025</v>
      </c>
      <c r="G2208" s="301">
        <v>1002.5</v>
      </c>
      <c r="H2208" s="301">
        <f>Tabla15[[#This Row],[Importe]]-Tabla15[[#This Row],[Pagado]]</f>
        <v>0</v>
      </c>
      <c r="I2208" s="275" t="s">
        <v>15214</v>
      </c>
    </row>
    <row r="2209" spans="1:9" x14ac:dyDescent="0.25">
      <c r="A2209" s="420">
        <v>43025</v>
      </c>
      <c r="B2209" s="302" t="s">
        <v>33892</v>
      </c>
      <c r="C2209">
        <v>131772</v>
      </c>
      <c r="D2209" s="275" t="s">
        <v>15396</v>
      </c>
      <c r="E2209" s="301">
        <v>3923.58</v>
      </c>
      <c r="F2209" s="303">
        <v>43025</v>
      </c>
      <c r="G2209" s="301">
        <v>3923.58</v>
      </c>
      <c r="H2209" s="301">
        <f>Tabla15[[#This Row],[Importe]]-Tabla15[[#This Row],[Pagado]]</f>
        <v>0</v>
      </c>
      <c r="I2209" s="275" t="s">
        <v>15214</v>
      </c>
    </row>
    <row r="2210" spans="1:9" x14ac:dyDescent="0.25">
      <c r="A2210" s="420">
        <v>43025</v>
      </c>
      <c r="B2210" s="302" t="s">
        <v>33893</v>
      </c>
      <c r="C2210">
        <v>131773</v>
      </c>
      <c r="D2210" s="275" t="s">
        <v>15248</v>
      </c>
      <c r="E2210" s="301">
        <v>788.3</v>
      </c>
      <c r="F2210" s="303">
        <v>43025</v>
      </c>
      <c r="G2210" s="301">
        <v>788.3</v>
      </c>
      <c r="H2210" s="301">
        <f>Tabla15[[#This Row],[Importe]]-Tabla15[[#This Row],[Pagado]]</f>
        <v>0</v>
      </c>
      <c r="I2210" s="275" t="s">
        <v>15214</v>
      </c>
    </row>
    <row r="2211" spans="1:9" x14ac:dyDescent="0.25">
      <c r="A2211" s="420">
        <v>43025</v>
      </c>
      <c r="B2211" s="302" t="s">
        <v>33894</v>
      </c>
      <c r="C2211">
        <v>131774</v>
      </c>
      <c r="D2211" s="275" t="s">
        <v>15267</v>
      </c>
      <c r="E2211" s="301">
        <v>10750</v>
      </c>
      <c r="F2211" s="303">
        <v>43026</v>
      </c>
      <c r="G2211" s="301">
        <v>10750</v>
      </c>
      <c r="H2211" s="301">
        <f>Tabla15[[#This Row],[Importe]]-Tabla15[[#This Row],[Pagado]]</f>
        <v>0</v>
      </c>
      <c r="I2211" s="275" t="s">
        <v>15214</v>
      </c>
    </row>
    <row r="2212" spans="1:9" x14ac:dyDescent="0.25">
      <c r="A2212" s="420">
        <v>43025</v>
      </c>
      <c r="B2212" s="302" t="s">
        <v>33895</v>
      </c>
      <c r="C2212">
        <v>131775</v>
      </c>
      <c r="D2212" s="275" t="s">
        <v>15315</v>
      </c>
      <c r="E2212" s="301">
        <v>387</v>
      </c>
      <c r="F2212" s="303">
        <v>43025</v>
      </c>
      <c r="G2212" s="301">
        <v>387</v>
      </c>
      <c r="H2212" s="301">
        <f>Tabla15[[#This Row],[Importe]]-Tabla15[[#This Row],[Pagado]]</f>
        <v>0</v>
      </c>
      <c r="I2212" s="275" t="s">
        <v>15214</v>
      </c>
    </row>
    <row r="2213" spans="1:9" x14ac:dyDescent="0.25">
      <c r="A2213" s="420">
        <v>43025</v>
      </c>
      <c r="B2213" s="302" t="s">
        <v>33896</v>
      </c>
      <c r="C2213">
        <v>131776</v>
      </c>
      <c r="D2213" s="275" t="s">
        <v>15396</v>
      </c>
      <c r="E2213" s="301">
        <v>333.2</v>
      </c>
      <c r="F2213" s="303">
        <v>43025</v>
      </c>
      <c r="G2213" s="301">
        <v>333.2</v>
      </c>
      <c r="H2213" s="301">
        <f>Tabla15[[#This Row],[Importe]]-Tabla15[[#This Row],[Pagado]]</f>
        <v>0</v>
      </c>
      <c r="I2213" s="275" t="s">
        <v>15214</v>
      </c>
    </row>
    <row r="2214" spans="1:9" x14ac:dyDescent="0.25">
      <c r="A2214" s="420">
        <v>43025</v>
      </c>
      <c r="B2214" s="302" t="s">
        <v>33897</v>
      </c>
      <c r="C2214">
        <v>131777</v>
      </c>
      <c r="D2214" s="275" t="s">
        <v>15365</v>
      </c>
      <c r="E2214" s="301">
        <v>205020</v>
      </c>
      <c r="F2214" s="303">
        <v>43032</v>
      </c>
      <c r="G2214" s="301">
        <v>205020</v>
      </c>
      <c r="H2214" s="301">
        <f>Tabla15[[#This Row],[Importe]]-Tabla15[[#This Row],[Pagado]]</f>
        <v>0</v>
      </c>
      <c r="I2214" s="275" t="s">
        <v>15214</v>
      </c>
    </row>
    <row r="2215" spans="1:9" x14ac:dyDescent="0.25">
      <c r="A2215" s="420">
        <v>43025</v>
      </c>
      <c r="B2215" s="302" t="s">
        <v>33898</v>
      </c>
      <c r="C2215">
        <v>131778</v>
      </c>
      <c r="D2215" s="275" t="s">
        <v>15444</v>
      </c>
      <c r="E2215" s="301">
        <v>2617.3000000000002</v>
      </c>
      <c r="F2215" s="303">
        <v>43028</v>
      </c>
      <c r="G2215" s="301">
        <v>2617.3000000000002</v>
      </c>
      <c r="H2215" s="301">
        <f>Tabla15[[#This Row],[Importe]]-Tabla15[[#This Row],[Pagado]]</f>
        <v>0</v>
      </c>
      <c r="I2215" s="275" t="s">
        <v>15214</v>
      </c>
    </row>
    <row r="2216" spans="1:9" x14ac:dyDescent="0.25">
      <c r="A2216" s="420">
        <v>43025</v>
      </c>
      <c r="B2216" s="302" t="s">
        <v>33899</v>
      </c>
      <c r="C2216">
        <v>131779</v>
      </c>
      <c r="D2216" s="275" t="s">
        <v>5757</v>
      </c>
      <c r="E2216" s="301">
        <v>1265</v>
      </c>
      <c r="F2216" s="303">
        <v>43025</v>
      </c>
      <c r="G2216" s="301">
        <v>1265</v>
      </c>
      <c r="H2216" s="301">
        <f>Tabla15[[#This Row],[Importe]]-Tabla15[[#This Row],[Pagado]]</f>
        <v>0</v>
      </c>
      <c r="I2216" s="275" t="s">
        <v>15214</v>
      </c>
    </row>
    <row r="2217" spans="1:9" x14ac:dyDescent="0.25">
      <c r="A2217" s="420">
        <v>43025</v>
      </c>
      <c r="B2217" s="302" t="s">
        <v>33900</v>
      </c>
      <c r="C2217">
        <v>131780</v>
      </c>
      <c r="D2217" s="275" t="s">
        <v>15642</v>
      </c>
      <c r="E2217" s="301">
        <v>4197.8999999999996</v>
      </c>
      <c r="F2217" s="303">
        <v>43025</v>
      </c>
      <c r="G2217" s="301">
        <v>4197.8999999999996</v>
      </c>
      <c r="H2217" s="301">
        <f>Tabla15[[#This Row],[Importe]]-Tabla15[[#This Row],[Pagado]]</f>
        <v>0</v>
      </c>
      <c r="I2217" s="275" t="s">
        <v>15214</v>
      </c>
    </row>
    <row r="2218" spans="1:9" x14ac:dyDescent="0.25">
      <c r="A2218" s="420">
        <v>43025</v>
      </c>
      <c r="B2218" s="302" t="s">
        <v>33901</v>
      </c>
      <c r="C2218">
        <v>131781</v>
      </c>
      <c r="D2218" s="275" t="s">
        <v>15818</v>
      </c>
      <c r="E2218" s="301">
        <v>5338.4</v>
      </c>
      <c r="F2218" s="303">
        <v>43027</v>
      </c>
      <c r="G2218" s="301">
        <v>5338.4</v>
      </c>
      <c r="H2218" s="301">
        <f>Tabla15[[#This Row],[Importe]]-Tabla15[[#This Row],[Pagado]]</f>
        <v>0</v>
      </c>
      <c r="I2218" s="275" t="s">
        <v>15214</v>
      </c>
    </row>
    <row r="2219" spans="1:9" x14ac:dyDescent="0.25">
      <c r="A2219" s="420">
        <v>43026</v>
      </c>
      <c r="B2219" s="302" t="s">
        <v>33902</v>
      </c>
      <c r="C2219">
        <v>131782</v>
      </c>
      <c r="D2219" s="275" t="s">
        <v>21386</v>
      </c>
      <c r="E2219" s="301">
        <v>9309.2000000000007</v>
      </c>
      <c r="F2219" s="303">
        <v>43027</v>
      </c>
      <c r="G2219" s="301">
        <v>9309.2000000000007</v>
      </c>
      <c r="H2219" s="301">
        <f>Tabla15[[#This Row],[Importe]]-Tabla15[[#This Row],[Pagado]]</f>
        <v>0</v>
      </c>
      <c r="I2219" s="275" t="s">
        <v>15214</v>
      </c>
    </row>
    <row r="2220" spans="1:9" ht="30" x14ac:dyDescent="0.25">
      <c r="A2220" s="420">
        <v>43026</v>
      </c>
      <c r="B2220" s="302" t="s">
        <v>33903</v>
      </c>
      <c r="C2220">
        <v>131783</v>
      </c>
      <c r="D2220" s="275" t="s">
        <v>15213</v>
      </c>
      <c r="E2220" s="301">
        <v>38590.9</v>
      </c>
      <c r="F2220" s="303" t="s">
        <v>33793</v>
      </c>
      <c r="G2220" s="305">
        <f>35000+3590.9</f>
        <v>38590.9</v>
      </c>
      <c r="H2220" s="305">
        <f>Tabla15[[#This Row],[Importe]]-Tabla15[[#This Row],[Pagado]]</f>
        <v>0</v>
      </c>
      <c r="I2220" s="275" t="s">
        <v>15214</v>
      </c>
    </row>
    <row r="2221" spans="1:9" x14ac:dyDescent="0.25">
      <c r="A2221" s="420">
        <v>43026</v>
      </c>
      <c r="B2221" s="302" t="s">
        <v>33904</v>
      </c>
      <c r="C2221">
        <v>131784</v>
      </c>
      <c r="D2221" s="275" t="s">
        <v>15216</v>
      </c>
      <c r="E2221" s="301">
        <v>1472.8</v>
      </c>
      <c r="F2221" s="303">
        <v>43026</v>
      </c>
      <c r="G2221" s="301">
        <v>1472.8</v>
      </c>
      <c r="H2221" s="301">
        <f>Tabla15[[#This Row],[Importe]]-Tabla15[[#This Row],[Pagado]]</f>
        <v>0</v>
      </c>
      <c r="I2221" s="275" t="s">
        <v>15214</v>
      </c>
    </row>
    <row r="2222" spans="1:9" ht="15.75" x14ac:dyDescent="0.25">
      <c r="A2222" s="420">
        <v>43026</v>
      </c>
      <c r="B2222" s="302" t="s">
        <v>33905</v>
      </c>
      <c r="C2222">
        <v>131785</v>
      </c>
      <c r="D2222" s="248" t="s">
        <v>95</v>
      </c>
      <c r="E2222" s="301">
        <v>0</v>
      </c>
      <c r="F2222" s="243" t="s">
        <v>95</v>
      </c>
      <c r="G2222" s="301">
        <v>0</v>
      </c>
      <c r="H2222" s="301">
        <f>Tabla15[[#This Row],[Importe]]-Tabla15[[#This Row],[Pagado]]</f>
        <v>0</v>
      </c>
      <c r="I2222" s="275" t="s">
        <v>95</v>
      </c>
    </row>
    <row r="2223" spans="1:9" x14ac:dyDescent="0.25">
      <c r="A2223" s="420">
        <v>43026</v>
      </c>
      <c r="B2223" s="302" t="s">
        <v>33906</v>
      </c>
      <c r="C2223">
        <v>131786</v>
      </c>
      <c r="D2223" s="275" t="s">
        <v>15655</v>
      </c>
      <c r="E2223" s="301">
        <v>25350.6</v>
      </c>
      <c r="F2223" s="303">
        <v>43026</v>
      </c>
      <c r="G2223" s="301">
        <v>25350.6</v>
      </c>
      <c r="H2223" s="301">
        <f>Tabla15[[#This Row],[Importe]]-Tabla15[[#This Row],[Pagado]]</f>
        <v>0</v>
      </c>
      <c r="I2223" s="275" t="s">
        <v>15214</v>
      </c>
    </row>
    <row r="2224" spans="1:9" x14ac:dyDescent="0.25">
      <c r="A2224" s="420">
        <v>43026</v>
      </c>
      <c r="B2224" s="302" t="s">
        <v>33907</v>
      </c>
      <c r="C2224">
        <v>131787</v>
      </c>
      <c r="D2224" s="275" t="s">
        <v>15230</v>
      </c>
      <c r="E2224" s="301">
        <v>6382.1</v>
      </c>
      <c r="F2224" s="303">
        <v>43031</v>
      </c>
      <c r="G2224" s="301">
        <v>6382.1</v>
      </c>
      <c r="H2224" s="301">
        <f>Tabla15[[#This Row],[Importe]]-Tabla15[[#This Row],[Pagado]]</f>
        <v>0</v>
      </c>
      <c r="I2224" s="275" t="s">
        <v>15214</v>
      </c>
    </row>
    <row r="2225" spans="1:9" x14ac:dyDescent="0.25">
      <c r="A2225" s="420">
        <v>43026</v>
      </c>
      <c r="B2225" s="302" t="s">
        <v>33908</v>
      </c>
      <c r="C2225">
        <v>131788</v>
      </c>
      <c r="D2225" s="275" t="s">
        <v>15258</v>
      </c>
      <c r="E2225" s="301">
        <v>5961.6</v>
      </c>
      <c r="F2225" s="303">
        <v>43028</v>
      </c>
      <c r="G2225" s="301">
        <v>5961.6</v>
      </c>
      <c r="H2225" s="301">
        <f>Tabla15[[#This Row],[Importe]]-Tabla15[[#This Row],[Pagado]]</f>
        <v>0</v>
      </c>
      <c r="I2225" s="275" t="s">
        <v>15214</v>
      </c>
    </row>
    <row r="2226" spans="1:9" x14ac:dyDescent="0.25">
      <c r="A2226" s="420">
        <v>43026</v>
      </c>
      <c r="B2226" s="302" t="s">
        <v>33909</v>
      </c>
      <c r="C2226">
        <v>131789</v>
      </c>
      <c r="D2226" s="275" t="s">
        <v>15232</v>
      </c>
      <c r="E2226" s="301">
        <v>5698</v>
      </c>
      <c r="F2226" s="303">
        <v>43034</v>
      </c>
      <c r="G2226" s="301">
        <v>5698</v>
      </c>
      <c r="H2226" s="301">
        <f>Tabla15[[#This Row],[Importe]]-Tabla15[[#This Row],[Pagado]]</f>
        <v>0</v>
      </c>
      <c r="I2226" s="275" t="s">
        <v>15214</v>
      </c>
    </row>
    <row r="2227" spans="1:9" x14ac:dyDescent="0.25">
      <c r="A2227" s="420">
        <v>43026</v>
      </c>
      <c r="B2227" s="302" t="s">
        <v>33910</v>
      </c>
      <c r="C2227">
        <v>131790</v>
      </c>
      <c r="D2227" s="275" t="s">
        <v>15272</v>
      </c>
      <c r="E2227" s="301">
        <v>19961.099999999999</v>
      </c>
      <c r="F2227" s="303">
        <v>43026</v>
      </c>
      <c r="G2227" s="301">
        <v>19961.099999999999</v>
      </c>
      <c r="H2227" s="301">
        <f>Tabla15[[#This Row],[Importe]]-Tabla15[[#This Row],[Pagado]]</f>
        <v>0</v>
      </c>
      <c r="I2227" s="275" t="s">
        <v>15214</v>
      </c>
    </row>
    <row r="2228" spans="1:9" x14ac:dyDescent="0.25">
      <c r="A2228" s="420">
        <v>43026</v>
      </c>
      <c r="B2228" s="302" t="s">
        <v>33911</v>
      </c>
      <c r="C2228">
        <v>131791</v>
      </c>
      <c r="D2228" s="275" t="s">
        <v>15358</v>
      </c>
      <c r="E2228" s="301">
        <v>1333.2</v>
      </c>
      <c r="F2228" s="303">
        <v>43026</v>
      </c>
      <c r="G2228" s="301">
        <v>1333.2</v>
      </c>
      <c r="H2228" s="301">
        <f>Tabla15[[#This Row],[Importe]]-Tabla15[[#This Row],[Pagado]]</f>
        <v>0</v>
      </c>
      <c r="I2228" s="275" t="s">
        <v>15214</v>
      </c>
    </row>
    <row r="2229" spans="1:9" x14ac:dyDescent="0.25">
      <c r="A2229" s="420">
        <v>43026</v>
      </c>
      <c r="B2229" s="302" t="s">
        <v>33912</v>
      </c>
      <c r="C2229">
        <v>131792</v>
      </c>
      <c r="D2229" s="275" t="s">
        <v>15330</v>
      </c>
      <c r="E2229" s="301">
        <v>3556.6</v>
      </c>
      <c r="F2229" s="303">
        <v>43026</v>
      </c>
      <c r="G2229" s="301">
        <v>3556.6</v>
      </c>
      <c r="H2229" s="301">
        <f>Tabla15[[#This Row],[Importe]]-Tabla15[[#This Row],[Pagado]]</f>
        <v>0</v>
      </c>
      <c r="I2229" s="275" t="s">
        <v>15214</v>
      </c>
    </row>
    <row r="2230" spans="1:9" x14ac:dyDescent="0.25">
      <c r="A2230" s="420">
        <v>43026</v>
      </c>
      <c r="B2230" s="302" t="s">
        <v>33913</v>
      </c>
      <c r="C2230">
        <v>131793</v>
      </c>
      <c r="D2230" s="275" t="s">
        <v>15336</v>
      </c>
      <c r="E2230" s="301">
        <v>5874</v>
      </c>
      <c r="F2230" s="303">
        <v>43026</v>
      </c>
      <c r="G2230" s="301">
        <v>5874</v>
      </c>
      <c r="H2230" s="301">
        <f>Tabla15[[#This Row],[Importe]]-Tabla15[[#This Row],[Pagado]]</f>
        <v>0</v>
      </c>
      <c r="I2230" s="275" t="s">
        <v>15214</v>
      </c>
    </row>
    <row r="2231" spans="1:9" x14ac:dyDescent="0.25">
      <c r="A2231" s="420">
        <v>43026</v>
      </c>
      <c r="B2231" s="302" t="s">
        <v>33914</v>
      </c>
      <c r="C2231">
        <v>131794</v>
      </c>
      <c r="D2231" s="275" t="s">
        <v>15523</v>
      </c>
      <c r="E2231" s="301">
        <v>1840</v>
      </c>
      <c r="F2231" s="303">
        <v>43026</v>
      </c>
      <c r="G2231" s="301">
        <v>1840</v>
      </c>
      <c r="H2231" s="301">
        <f>Tabla15[[#This Row],[Importe]]-Tabla15[[#This Row],[Pagado]]</f>
        <v>0</v>
      </c>
      <c r="I2231" s="275" t="s">
        <v>15214</v>
      </c>
    </row>
    <row r="2232" spans="1:9" x14ac:dyDescent="0.25">
      <c r="A2232" s="420">
        <v>43026</v>
      </c>
      <c r="B2232" s="302" t="s">
        <v>33915</v>
      </c>
      <c r="C2232">
        <v>131795</v>
      </c>
      <c r="D2232" s="275" t="s">
        <v>15742</v>
      </c>
      <c r="E2232" s="301">
        <v>2079.1999999999998</v>
      </c>
      <c r="F2232" s="303">
        <v>43026</v>
      </c>
      <c r="G2232" s="301">
        <v>2079.1999999999998</v>
      </c>
      <c r="H2232" s="301">
        <f>Tabla15[[#This Row],[Importe]]-Tabla15[[#This Row],[Pagado]]</f>
        <v>0</v>
      </c>
      <c r="I2232" s="275" t="s">
        <v>15214</v>
      </c>
    </row>
    <row r="2233" spans="1:9" x14ac:dyDescent="0.25">
      <c r="A2233" s="420">
        <v>43026</v>
      </c>
      <c r="B2233" s="302" t="s">
        <v>33916</v>
      </c>
      <c r="C2233">
        <v>131796</v>
      </c>
      <c r="D2233" s="275" t="s">
        <v>15348</v>
      </c>
      <c r="E2233" s="301">
        <v>2926.8</v>
      </c>
      <c r="F2233" s="303">
        <v>43027</v>
      </c>
      <c r="G2233" s="301">
        <v>2926.8</v>
      </c>
      <c r="H2233" s="301">
        <f>Tabla15[[#This Row],[Importe]]-Tabla15[[#This Row],[Pagado]]</f>
        <v>0</v>
      </c>
      <c r="I2233" s="275" t="s">
        <v>15214</v>
      </c>
    </row>
    <row r="2234" spans="1:9" x14ac:dyDescent="0.25">
      <c r="A2234" s="420">
        <v>43026</v>
      </c>
      <c r="B2234" s="302" t="s">
        <v>33917</v>
      </c>
      <c r="C2234">
        <v>131797</v>
      </c>
      <c r="D2234" s="275" t="s">
        <v>15240</v>
      </c>
      <c r="E2234" s="301">
        <v>3543.3</v>
      </c>
      <c r="F2234" s="303">
        <v>43028</v>
      </c>
      <c r="G2234" s="301">
        <v>3543.3</v>
      </c>
      <c r="H2234" s="301">
        <f>Tabla15[[#This Row],[Importe]]-Tabla15[[#This Row],[Pagado]]</f>
        <v>0</v>
      </c>
      <c r="I2234" s="275" t="s">
        <v>15214</v>
      </c>
    </row>
    <row r="2235" spans="1:9" x14ac:dyDescent="0.25">
      <c r="A2235" s="420">
        <v>43026</v>
      </c>
      <c r="B2235" s="302" t="s">
        <v>33918</v>
      </c>
      <c r="C2235">
        <v>131798</v>
      </c>
      <c r="D2235" s="275" t="s">
        <v>15246</v>
      </c>
      <c r="E2235" s="301">
        <v>69667.8</v>
      </c>
      <c r="F2235" s="303">
        <v>43031</v>
      </c>
      <c r="G2235" s="301">
        <v>69667.8</v>
      </c>
      <c r="H2235" s="301">
        <f>Tabla15[[#This Row],[Importe]]-Tabla15[[#This Row],[Pagado]]</f>
        <v>0</v>
      </c>
      <c r="I2235" s="275" t="s">
        <v>15214</v>
      </c>
    </row>
    <row r="2236" spans="1:9" x14ac:dyDescent="0.25">
      <c r="A2236" s="420">
        <v>43026</v>
      </c>
      <c r="B2236" s="302" t="s">
        <v>33919</v>
      </c>
      <c r="C2236">
        <v>131799</v>
      </c>
      <c r="D2236" s="275" t="s">
        <v>15332</v>
      </c>
      <c r="E2236" s="301">
        <v>5879</v>
      </c>
      <c r="F2236" s="303">
        <v>43026</v>
      </c>
      <c r="G2236" s="301">
        <v>5879</v>
      </c>
      <c r="H2236" s="301">
        <f>Tabla15[[#This Row],[Importe]]-Tabla15[[#This Row],[Pagado]]</f>
        <v>0</v>
      </c>
      <c r="I2236" s="275" t="s">
        <v>15214</v>
      </c>
    </row>
    <row r="2237" spans="1:9" x14ac:dyDescent="0.25">
      <c r="A2237" s="420">
        <v>43026</v>
      </c>
      <c r="B2237" s="302" t="s">
        <v>33920</v>
      </c>
      <c r="C2237">
        <v>131800</v>
      </c>
      <c r="D2237" s="275" t="s">
        <v>15315</v>
      </c>
      <c r="E2237" s="301">
        <v>7034.4</v>
      </c>
      <c r="F2237" s="303">
        <v>43026</v>
      </c>
      <c r="G2237" s="301">
        <v>7034.4</v>
      </c>
      <c r="H2237" s="301">
        <f>Tabla15[[#This Row],[Importe]]-Tabla15[[#This Row],[Pagado]]</f>
        <v>0</v>
      </c>
      <c r="I2237" s="275" t="s">
        <v>15214</v>
      </c>
    </row>
    <row r="2238" spans="1:9" x14ac:dyDescent="0.25">
      <c r="A2238" s="420">
        <v>43026</v>
      </c>
      <c r="B2238" s="302" t="s">
        <v>33921</v>
      </c>
      <c r="C2238">
        <v>131801</v>
      </c>
      <c r="D2238" s="275" t="s">
        <v>15242</v>
      </c>
      <c r="E2238" s="301">
        <v>10982.2</v>
      </c>
      <c r="F2238" s="303">
        <v>43026</v>
      </c>
      <c r="G2238" s="301">
        <v>10982.2</v>
      </c>
      <c r="H2238" s="301">
        <f>Tabla15[[#This Row],[Importe]]-Tabla15[[#This Row],[Pagado]]</f>
        <v>0</v>
      </c>
      <c r="I2238" s="275" t="s">
        <v>15214</v>
      </c>
    </row>
    <row r="2239" spans="1:9" x14ac:dyDescent="0.25">
      <c r="A2239" s="420">
        <v>43026</v>
      </c>
      <c r="B2239" s="302" t="s">
        <v>33922</v>
      </c>
      <c r="C2239">
        <v>131802</v>
      </c>
      <c r="D2239" s="275" t="s">
        <v>15263</v>
      </c>
      <c r="E2239" s="301">
        <v>2965.2</v>
      </c>
      <c r="F2239" s="303">
        <v>43026</v>
      </c>
      <c r="G2239" s="301">
        <v>2965.2</v>
      </c>
      <c r="H2239" s="301">
        <f>Tabla15[[#This Row],[Importe]]-Tabla15[[#This Row],[Pagado]]</f>
        <v>0</v>
      </c>
      <c r="I2239" s="275" t="s">
        <v>15214</v>
      </c>
    </row>
    <row r="2240" spans="1:9" x14ac:dyDescent="0.25">
      <c r="A2240" s="420">
        <v>43026</v>
      </c>
      <c r="B2240" s="302" t="s">
        <v>33923</v>
      </c>
      <c r="C2240">
        <v>131803</v>
      </c>
      <c r="D2240" s="275" t="s">
        <v>15324</v>
      </c>
      <c r="E2240" s="301">
        <v>2338</v>
      </c>
      <c r="F2240" s="303">
        <v>43026</v>
      </c>
      <c r="G2240" s="301">
        <v>2338</v>
      </c>
      <c r="H2240" s="301">
        <f>Tabla15[[#This Row],[Importe]]-Tabla15[[#This Row],[Pagado]]</f>
        <v>0</v>
      </c>
      <c r="I2240" s="275" t="s">
        <v>15214</v>
      </c>
    </row>
    <row r="2241" spans="1:9" x14ac:dyDescent="0.25">
      <c r="A2241" s="420">
        <v>43026</v>
      </c>
      <c r="B2241" s="302" t="s">
        <v>33924</v>
      </c>
      <c r="C2241">
        <v>131804</v>
      </c>
      <c r="D2241" s="275" t="s">
        <v>19302</v>
      </c>
      <c r="E2241" s="301">
        <v>690</v>
      </c>
      <c r="F2241" s="303">
        <v>43026</v>
      </c>
      <c r="G2241" s="301">
        <v>690</v>
      </c>
      <c r="H2241" s="301">
        <f>Tabla15[[#This Row],[Importe]]-Tabla15[[#This Row],[Pagado]]</f>
        <v>0</v>
      </c>
      <c r="I2241" s="275" t="s">
        <v>15214</v>
      </c>
    </row>
    <row r="2242" spans="1:9" x14ac:dyDescent="0.25">
      <c r="A2242" s="420">
        <v>43026</v>
      </c>
      <c r="B2242" s="302" t="s">
        <v>33925</v>
      </c>
      <c r="C2242">
        <v>131805</v>
      </c>
      <c r="D2242" s="275" t="s">
        <v>15220</v>
      </c>
      <c r="E2242" s="301">
        <v>2300</v>
      </c>
      <c r="F2242" s="303">
        <v>43026</v>
      </c>
      <c r="G2242" s="301">
        <v>2300</v>
      </c>
      <c r="H2242" s="301">
        <f>Tabla15[[#This Row],[Importe]]-Tabla15[[#This Row],[Pagado]]</f>
        <v>0</v>
      </c>
      <c r="I2242" s="275" t="s">
        <v>15214</v>
      </c>
    </row>
    <row r="2243" spans="1:9" x14ac:dyDescent="0.25">
      <c r="A2243" s="420">
        <v>43026</v>
      </c>
      <c r="B2243" s="302" t="s">
        <v>33926</v>
      </c>
      <c r="C2243">
        <v>131806</v>
      </c>
      <c r="D2243" s="275" t="s">
        <v>15757</v>
      </c>
      <c r="E2243" s="301">
        <v>4084</v>
      </c>
      <c r="F2243" s="303">
        <v>43026</v>
      </c>
      <c r="G2243" s="301">
        <v>4084</v>
      </c>
      <c r="H2243" s="301">
        <f>Tabla15[[#This Row],[Importe]]-Tabla15[[#This Row],[Pagado]]</f>
        <v>0</v>
      </c>
      <c r="I2243" s="275" t="s">
        <v>15214</v>
      </c>
    </row>
    <row r="2244" spans="1:9" x14ac:dyDescent="0.25">
      <c r="A2244" s="420">
        <v>43026</v>
      </c>
      <c r="B2244" s="302" t="s">
        <v>33927</v>
      </c>
      <c r="C2244">
        <v>131807</v>
      </c>
      <c r="D2244" s="275" t="s">
        <v>15681</v>
      </c>
      <c r="E2244" s="301">
        <v>2633.5</v>
      </c>
      <c r="F2244" s="303">
        <v>43026</v>
      </c>
      <c r="G2244" s="301">
        <v>2633.5</v>
      </c>
      <c r="H2244" s="301">
        <f>Tabla15[[#This Row],[Importe]]-Tabla15[[#This Row],[Pagado]]</f>
        <v>0</v>
      </c>
      <c r="I2244" s="275" t="s">
        <v>15214</v>
      </c>
    </row>
    <row r="2245" spans="1:9" x14ac:dyDescent="0.25">
      <c r="A2245" s="420">
        <v>43026</v>
      </c>
      <c r="B2245" s="302" t="s">
        <v>33928</v>
      </c>
      <c r="C2245">
        <v>131808</v>
      </c>
      <c r="D2245" s="275" t="s">
        <v>18544</v>
      </c>
      <c r="E2245" s="301">
        <v>6738.2</v>
      </c>
      <c r="F2245" s="303">
        <v>43026</v>
      </c>
      <c r="G2245" s="301">
        <v>6738.2</v>
      </c>
      <c r="H2245" s="301">
        <f>Tabla15[[#This Row],[Importe]]-Tabla15[[#This Row],[Pagado]]</f>
        <v>0</v>
      </c>
      <c r="I2245" s="275" t="s">
        <v>15214</v>
      </c>
    </row>
    <row r="2246" spans="1:9" x14ac:dyDescent="0.25">
      <c r="A2246" s="420">
        <v>43026</v>
      </c>
      <c r="B2246" s="302" t="s">
        <v>33929</v>
      </c>
      <c r="C2246">
        <v>131809</v>
      </c>
      <c r="D2246" s="275" t="s">
        <v>15334</v>
      </c>
      <c r="E2246" s="301">
        <v>851</v>
      </c>
      <c r="F2246" s="303">
        <v>43026</v>
      </c>
      <c r="G2246" s="301">
        <v>851</v>
      </c>
      <c r="H2246" s="301">
        <f>Tabla15[[#This Row],[Importe]]-Tabla15[[#This Row],[Pagado]]</f>
        <v>0</v>
      </c>
      <c r="I2246" s="275" t="s">
        <v>15214</v>
      </c>
    </row>
    <row r="2247" spans="1:9" x14ac:dyDescent="0.25">
      <c r="A2247" s="420">
        <v>43026</v>
      </c>
      <c r="B2247" s="302" t="s">
        <v>33930</v>
      </c>
      <c r="C2247">
        <v>131810</v>
      </c>
      <c r="D2247" s="275" t="s">
        <v>15226</v>
      </c>
      <c r="E2247" s="301">
        <v>2124.4</v>
      </c>
      <c r="F2247" s="303">
        <v>43028</v>
      </c>
      <c r="G2247" s="301">
        <v>2124.4</v>
      </c>
      <c r="H2247" s="301">
        <f>Tabla15[[#This Row],[Importe]]-Tabla15[[#This Row],[Pagado]]</f>
        <v>0</v>
      </c>
      <c r="I2247" s="275" t="s">
        <v>15214</v>
      </c>
    </row>
    <row r="2248" spans="1:9" x14ac:dyDescent="0.25">
      <c r="A2248" s="420">
        <v>43026</v>
      </c>
      <c r="B2248" s="302" t="s">
        <v>33931</v>
      </c>
      <c r="C2248">
        <v>131811</v>
      </c>
      <c r="D2248" s="275" t="s">
        <v>15328</v>
      </c>
      <c r="E2248" s="301">
        <v>14473.04</v>
      </c>
      <c r="F2248" s="303">
        <v>43031</v>
      </c>
      <c r="G2248" s="301">
        <v>14473.04</v>
      </c>
      <c r="H2248" s="301">
        <f>Tabla15[[#This Row],[Importe]]-Tabla15[[#This Row],[Pagado]]</f>
        <v>0</v>
      </c>
      <c r="I2248" s="275" t="s">
        <v>15214</v>
      </c>
    </row>
    <row r="2249" spans="1:9" x14ac:dyDescent="0.25">
      <c r="A2249" s="420">
        <v>43026</v>
      </c>
      <c r="B2249" s="302" t="s">
        <v>33932</v>
      </c>
      <c r="C2249">
        <v>131812</v>
      </c>
      <c r="D2249" s="275" t="s">
        <v>15480</v>
      </c>
      <c r="E2249" s="301">
        <v>2869.8</v>
      </c>
      <c r="F2249" s="303">
        <v>43031</v>
      </c>
      <c r="G2249" s="301">
        <v>2869.8</v>
      </c>
      <c r="H2249" s="301">
        <f>Tabla15[[#This Row],[Importe]]-Tabla15[[#This Row],[Pagado]]</f>
        <v>0</v>
      </c>
      <c r="I2249" s="275" t="s">
        <v>15214</v>
      </c>
    </row>
    <row r="2250" spans="1:9" x14ac:dyDescent="0.25">
      <c r="A2250" s="420">
        <v>43026</v>
      </c>
      <c r="B2250" s="302" t="s">
        <v>33933</v>
      </c>
      <c r="C2250">
        <v>131813</v>
      </c>
      <c r="D2250" s="275" t="s">
        <v>15371</v>
      </c>
      <c r="E2250" s="301">
        <v>3582.9</v>
      </c>
      <c r="F2250" s="303">
        <v>43027</v>
      </c>
      <c r="G2250" s="301">
        <v>3582.9</v>
      </c>
      <c r="H2250" s="301">
        <f>Tabla15[[#This Row],[Importe]]-Tabla15[[#This Row],[Pagado]]</f>
        <v>0</v>
      </c>
      <c r="I2250" s="275" t="s">
        <v>15214</v>
      </c>
    </row>
    <row r="2251" spans="1:9" x14ac:dyDescent="0.25">
      <c r="A2251" s="420">
        <v>43026</v>
      </c>
      <c r="B2251" s="302" t="s">
        <v>33934</v>
      </c>
      <c r="C2251">
        <v>131814</v>
      </c>
      <c r="D2251" s="275" t="s">
        <v>15238</v>
      </c>
      <c r="E2251" s="301">
        <v>1920.6</v>
      </c>
      <c r="F2251" s="303">
        <v>43028</v>
      </c>
      <c r="G2251" s="301">
        <v>1920.6</v>
      </c>
      <c r="H2251" s="301">
        <f>Tabla15[[#This Row],[Importe]]-Tabla15[[#This Row],[Pagado]]</f>
        <v>0</v>
      </c>
      <c r="I2251" s="275" t="s">
        <v>15214</v>
      </c>
    </row>
    <row r="2252" spans="1:9" x14ac:dyDescent="0.25">
      <c r="A2252" s="420">
        <v>43026</v>
      </c>
      <c r="B2252" s="302" t="s">
        <v>33935</v>
      </c>
      <c r="C2252">
        <v>131815</v>
      </c>
      <c r="D2252" s="275" t="s">
        <v>30057</v>
      </c>
      <c r="E2252" s="301">
        <v>3245.9</v>
      </c>
      <c r="F2252" s="303">
        <v>43027</v>
      </c>
      <c r="G2252" s="301">
        <v>3245.9</v>
      </c>
      <c r="H2252" s="301">
        <f>Tabla15[[#This Row],[Importe]]-Tabla15[[#This Row],[Pagado]]</f>
        <v>0</v>
      </c>
      <c r="I2252" s="275" t="s">
        <v>15214</v>
      </c>
    </row>
    <row r="2253" spans="1:9" x14ac:dyDescent="0.25">
      <c r="A2253" s="420">
        <v>43026</v>
      </c>
      <c r="B2253" s="302" t="s">
        <v>33936</v>
      </c>
      <c r="C2253">
        <v>131816</v>
      </c>
      <c r="D2253" s="275" t="s">
        <v>15284</v>
      </c>
      <c r="E2253" s="301">
        <v>1497.6</v>
      </c>
      <c r="F2253" s="303">
        <v>43026</v>
      </c>
      <c r="G2253" s="301">
        <v>1497.6</v>
      </c>
      <c r="H2253" s="301">
        <f>Tabla15[[#This Row],[Importe]]-Tabla15[[#This Row],[Pagado]]</f>
        <v>0</v>
      </c>
      <c r="I2253" s="275" t="s">
        <v>15214</v>
      </c>
    </row>
    <row r="2254" spans="1:9" x14ac:dyDescent="0.25">
      <c r="A2254" s="420">
        <v>43026</v>
      </c>
      <c r="B2254" s="302" t="s">
        <v>33937</v>
      </c>
      <c r="C2254">
        <v>131817</v>
      </c>
      <c r="D2254" s="275" t="s">
        <v>15250</v>
      </c>
      <c r="E2254" s="301">
        <v>38364.75</v>
      </c>
      <c r="F2254" s="303">
        <v>43038</v>
      </c>
      <c r="G2254" s="301">
        <v>38364.75</v>
      </c>
      <c r="H2254" s="301">
        <f>Tabla15[[#This Row],[Importe]]-Tabla15[[#This Row],[Pagado]]</f>
        <v>0</v>
      </c>
      <c r="I2254" s="275" t="s">
        <v>15214</v>
      </c>
    </row>
    <row r="2255" spans="1:9" x14ac:dyDescent="0.25">
      <c r="A2255" s="420">
        <v>43026</v>
      </c>
      <c r="B2255" s="302" t="s">
        <v>33938</v>
      </c>
      <c r="C2255">
        <v>131818</v>
      </c>
      <c r="D2255" s="275" t="s">
        <v>17722</v>
      </c>
      <c r="E2255" s="301">
        <v>3470.6</v>
      </c>
      <c r="F2255" s="303">
        <v>43028</v>
      </c>
      <c r="G2255" s="301">
        <v>3470.6</v>
      </c>
      <c r="H2255" s="301">
        <f>Tabla15[[#This Row],[Importe]]-Tabla15[[#This Row],[Pagado]]</f>
        <v>0</v>
      </c>
      <c r="I2255" s="275" t="s">
        <v>15214</v>
      </c>
    </row>
    <row r="2256" spans="1:9" x14ac:dyDescent="0.25">
      <c r="A2256" s="420">
        <v>43026</v>
      </c>
      <c r="B2256" s="302" t="s">
        <v>33939</v>
      </c>
      <c r="C2256">
        <v>131819</v>
      </c>
      <c r="D2256" s="275" t="s">
        <v>5575</v>
      </c>
      <c r="E2256" s="301">
        <v>3240</v>
      </c>
      <c r="F2256" s="303">
        <v>43028</v>
      </c>
      <c r="G2256" s="301">
        <v>3240</v>
      </c>
      <c r="H2256" s="301">
        <f>Tabla15[[#This Row],[Importe]]-Tabla15[[#This Row],[Pagado]]</f>
        <v>0</v>
      </c>
      <c r="I2256" s="275" t="s">
        <v>15214</v>
      </c>
    </row>
    <row r="2257" spans="1:9" x14ac:dyDescent="0.25">
      <c r="A2257" s="420">
        <v>43026</v>
      </c>
      <c r="B2257" s="302" t="s">
        <v>33940</v>
      </c>
      <c r="C2257">
        <v>131820</v>
      </c>
      <c r="D2257" s="275" t="s">
        <v>15236</v>
      </c>
      <c r="E2257" s="301">
        <v>3427.2</v>
      </c>
      <c r="F2257" s="303">
        <v>43028</v>
      </c>
      <c r="G2257" s="301">
        <v>3427.2</v>
      </c>
      <c r="H2257" s="301">
        <f>Tabla15[[#This Row],[Importe]]-Tabla15[[#This Row],[Pagado]]</f>
        <v>0</v>
      </c>
      <c r="I2257" s="275" t="s">
        <v>15214</v>
      </c>
    </row>
    <row r="2258" spans="1:9" x14ac:dyDescent="0.25">
      <c r="A2258" s="420">
        <v>43026</v>
      </c>
      <c r="B2258" s="302" t="s">
        <v>33941</v>
      </c>
      <c r="C2258">
        <v>131821</v>
      </c>
      <c r="D2258" s="275" t="s">
        <v>15256</v>
      </c>
      <c r="E2258" s="301">
        <v>6791.7</v>
      </c>
      <c r="F2258" s="303">
        <v>43031</v>
      </c>
      <c r="G2258" s="301">
        <v>6791.7</v>
      </c>
      <c r="H2258" s="301">
        <f>Tabla15[[#This Row],[Importe]]-Tabla15[[#This Row],[Pagado]]</f>
        <v>0</v>
      </c>
      <c r="I2258" s="275" t="s">
        <v>15214</v>
      </c>
    </row>
    <row r="2259" spans="1:9" x14ac:dyDescent="0.25">
      <c r="A2259" s="420">
        <v>43026</v>
      </c>
      <c r="B2259" s="302" t="s">
        <v>33942</v>
      </c>
      <c r="C2259">
        <v>131822</v>
      </c>
      <c r="D2259" s="275" t="s">
        <v>19780</v>
      </c>
      <c r="E2259" s="301">
        <v>9489.6</v>
      </c>
      <c r="F2259" s="303">
        <v>43028</v>
      </c>
      <c r="G2259" s="301">
        <v>9489.6</v>
      </c>
      <c r="H2259" s="301">
        <f>Tabla15[[#This Row],[Importe]]-Tabla15[[#This Row],[Pagado]]</f>
        <v>0</v>
      </c>
      <c r="I2259" s="275" t="s">
        <v>15214</v>
      </c>
    </row>
    <row r="2260" spans="1:9" x14ac:dyDescent="0.25">
      <c r="A2260" s="420">
        <v>43026</v>
      </c>
      <c r="B2260" s="302" t="s">
        <v>33943</v>
      </c>
      <c r="C2260">
        <v>131823</v>
      </c>
      <c r="D2260" s="275" t="s">
        <v>15234</v>
      </c>
      <c r="E2260" s="301">
        <v>2556</v>
      </c>
      <c r="F2260" s="303">
        <v>43029</v>
      </c>
      <c r="G2260" s="301">
        <v>2556</v>
      </c>
      <c r="H2260" s="301">
        <f>Tabla15[[#This Row],[Importe]]-Tabla15[[#This Row],[Pagado]]</f>
        <v>0</v>
      </c>
      <c r="I2260" s="275" t="s">
        <v>15214</v>
      </c>
    </row>
    <row r="2261" spans="1:9" x14ac:dyDescent="0.25">
      <c r="A2261" s="420">
        <v>43026</v>
      </c>
      <c r="B2261" s="302" t="s">
        <v>33944</v>
      </c>
      <c r="C2261">
        <v>131824</v>
      </c>
      <c r="D2261" s="275" t="s">
        <v>15668</v>
      </c>
      <c r="E2261" s="301">
        <v>15728.4</v>
      </c>
      <c r="F2261" s="303">
        <v>43027</v>
      </c>
      <c r="G2261" s="301">
        <v>15728.4</v>
      </c>
      <c r="H2261" s="301">
        <f>Tabla15[[#This Row],[Importe]]-Tabla15[[#This Row],[Pagado]]</f>
        <v>0</v>
      </c>
      <c r="I2261" s="275" t="s">
        <v>15214</v>
      </c>
    </row>
    <row r="2262" spans="1:9" x14ac:dyDescent="0.25">
      <c r="A2262" s="420">
        <v>43026</v>
      </c>
      <c r="B2262" s="302" t="s">
        <v>33945</v>
      </c>
      <c r="C2262">
        <v>131825</v>
      </c>
      <c r="D2262" s="275" t="s">
        <v>15732</v>
      </c>
      <c r="E2262" s="301">
        <v>2612.5</v>
      </c>
      <c r="F2262" s="303">
        <v>43026</v>
      </c>
      <c r="G2262" s="301">
        <v>2612.5</v>
      </c>
      <c r="H2262" s="301">
        <f>Tabla15[[#This Row],[Importe]]-Tabla15[[#This Row],[Pagado]]</f>
        <v>0</v>
      </c>
      <c r="I2262" s="275" t="s">
        <v>15214</v>
      </c>
    </row>
    <row r="2263" spans="1:9" x14ac:dyDescent="0.25">
      <c r="A2263" s="420">
        <v>43026</v>
      </c>
      <c r="B2263" s="302" t="s">
        <v>33946</v>
      </c>
      <c r="C2263">
        <v>131826</v>
      </c>
      <c r="D2263" s="275" t="s">
        <v>15250</v>
      </c>
      <c r="E2263" s="301">
        <v>5478.6</v>
      </c>
      <c r="F2263" s="303">
        <v>43038</v>
      </c>
      <c r="G2263" s="301">
        <v>5478.6</v>
      </c>
      <c r="H2263" s="301">
        <f>Tabla15[[#This Row],[Importe]]-Tabla15[[#This Row],[Pagado]]</f>
        <v>0</v>
      </c>
      <c r="I2263" s="275" t="s">
        <v>15214</v>
      </c>
    </row>
    <row r="2264" spans="1:9" x14ac:dyDescent="0.25">
      <c r="A2264" s="420">
        <v>43026</v>
      </c>
      <c r="B2264" s="302" t="s">
        <v>33947</v>
      </c>
      <c r="C2264">
        <v>131827</v>
      </c>
      <c r="D2264" s="275" t="s">
        <v>15261</v>
      </c>
      <c r="E2264" s="301">
        <v>17958</v>
      </c>
      <c r="F2264" s="303">
        <v>43026</v>
      </c>
      <c r="G2264" s="301">
        <v>17958</v>
      </c>
      <c r="H2264" s="301">
        <f>Tabla15[[#This Row],[Importe]]-Tabla15[[#This Row],[Pagado]]</f>
        <v>0</v>
      </c>
      <c r="I2264" s="275" t="s">
        <v>15214</v>
      </c>
    </row>
    <row r="2265" spans="1:9" ht="30" x14ac:dyDescent="0.25">
      <c r="A2265" s="420">
        <v>43026</v>
      </c>
      <c r="B2265" s="302" t="s">
        <v>33948</v>
      </c>
      <c r="C2265">
        <v>131828</v>
      </c>
      <c r="D2265" s="275" t="s">
        <v>15248</v>
      </c>
      <c r="E2265" s="301">
        <v>30025.16</v>
      </c>
      <c r="F2265" s="303" t="s">
        <v>31627</v>
      </c>
      <c r="G2265" s="305">
        <v>20025</v>
      </c>
      <c r="H2265" s="305">
        <f>Tabla15[[#This Row],[Importe]]-Tabla15[[#This Row],[Pagado]]</f>
        <v>10000.16</v>
      </c>
      <c r="I2265" s="275" t="s">
        <v>15214</v>
      </c>
    </row>
    <row r="2266" spans="1:9" x14ac:dyDescent="0.25">
      <c r="A2266" s="420">
        <v>43026</v>
      </c>
      <c r="B2266" s="302" t="s">
        <v>33949</v>
      </c>
      <c r="C2266">
        <v>131829</v>
      </c>
      <c r="D2266" s="275" t="s">
        <v>15278</v>
      </c>
      <c r="E2266" s="301">
        <v>5729.6</v>
      </c>
      <c r="F2266" s="303">
        <v>43026</v>
      </c>
      <c r="G2266" s="301">
        <v>5729.6</v>
      </c>
      <c r="H2266" s="301">
        <f>Tabla15[[#This Row],[Importe]]-Tabla15[[#This Row],[Pagado]]</f>
        <v>0</v>
      </c>
      <c r="I2266" s="275" t="s">
        <v>15214</v>
      </c>
    </row>
    <row r="2267" spans="1:9" x14ac:dyDescent="0.25">
      <c r="A2267" s="420">
        <v>43026</v>
      </c>
      <c r="B2267" s="302" t="s">
        <v>33950</v>
      </c>
      <c r="C2267">
        <v>131830</v>
      </c>
      <c r="D2267" s="275" t="s">
        <v>15278</v>
      </c>
      <c r="E2267" s="301">
        <v>463.6</v>
      </c>
      <c r="F2267" s="303">
        <v>43026</v>
      </c>
      <c r="G2267" s="301">
        <v>463.6</v>
      </c>
      <c r="H2267" s="301">
        <f>Tabla15[[#This Row],[Importe]]-Tabla15[[#This Row],[Pagado]]</f>
        <v>0</v>
      </c>
      <c r="I2267" s="275" t="s">
        <v>15214</v>
      </c>
    </row>
    <row r="2268" spans="1:9" x14ac:dyDescent="0.25">
      <c r="A2268" s="420">
        <v>43026</v>
      </c>
      <c r="B2268" s="302" t="s">
        <v>33951</v>
      </c>
      <c r="C2268">
        <v>131831</v>
      </c>
      <c r="D2268" s="275" t="s">
        <v>15530</v>
      </c>
      <c r="E2268" s="301">
        <v>1723.6</v>
      </c>
      <c r="F2268" s="303">
        <v>43026</v>
      </c>
      <c r="G2268" s="301">
        <v>1723.6</v>
      </c>
      <c r="H2268" s="301">
        <f>Tabla15[[#This Row],[Importe]]-Tabla15[[#This Row],[Pagado]]</f>
        <v>0</v>
      </c>
      <c r="I2268" s="275" t="s">
        <v>15214</v>
      </c>
    </row>
    <row r="2269" spans="1:9" x14ac:dyDescent="0.25">
      <c r="A2269" s="420">
        <v>43026</v>
      </c>
      <c r="B2269" s="302" t="s">
        <v>33952</v>
      </c>
      <c r="C2269">
        <v>131832</v>
      </c>
      <c r="D2269" s="275" t="s">
        <v>15223</v>
      </c>
      <c r="E2269" s="301">
        <v>55915.199999999997</v>
      </c>
      <c r="F2269" s="303">
        <v>43049</v>
      </c>
      <c r="G2269" s="301">
        <v>55915.199999999997</v>
      </c>
      <c r="H2269" s="301">
        <f>Tabla15[[#This Row],[Importe]]-Tabla15[[#This Row],[Pagado]]</f>
        <v>0</v>
      </c>
      <c r="I2269" s="275" t="s">
        <v>15214</v>
      </c>
    </row>
    <row r="2270" spans="1:9" x14ac:dyDescent="0.25">
      <c r="A2270" s="420">
        <v>43026</v>
      </c>
      <c r="B2270" s="302" t="s">
        <v>33953</v>
      </c>
      <c r="C2270">
        <v>131833</v>
      </c>
      <c r="D2270" s="275" t="s">
        <v>15378</v>
      </c>
      <c r="E2270" s="301">
        <v>5856.8</v>
      </c>
      <c r="F2270" s="303">
        <v>43026</v>
      </c>
      <c r="G2270" s="301">
        <v>5856.8</v>
      </c>
      <c r="H2270" s="301">
        <f>Tabla15[[#This Row],[Importe]]-Tabla15[[#This Row],[Pagado]]</f>
        <v>0</v>
      </c>
      <c r="I2270" s="275" t="s">
        <v>15214</v>
      </c>
    </row>
    <row r="2271" spans="1:9" x14ac:dyDescent="0.25">
      <c r="A2271" s="420">
        <v>43026</v>
      </c>
      <c r="B2271" s="302" t="s">
        <v>33954</v>
      </c>
      <c r="C2271">
        <v>131834</v>
      </c>
      <c r="D2271" s="275" t="s">
        <v>15745</v>
      </c>
      <c r="E2271" s="301">
        <v>1662.56</v>
      </c>
      <c r="F2271" s="303">
        <v>43026</v>
      </c>
      <c r="G2271" s="301">
        <v>1662.56</v>
      </c>
      <c r="H2271" s="301">
        <f>Tabla15[[#This Row],[Importe]]-Tabla15[[#This Row],[Pagado]]</f>
        <v>0</v>
      </c>
      <c r="I2271" s="275" t="s">
        <v>15214</v>
      </c>
    </row>
    <row r="2272" spans="1:9" x14ac:dyDescent="0.25">
      <c r="A2272" s="420">
        <v>43026</v>
      </c>
      <c r="B2272" s="302" t="s">
        <v>33955</v>
      </c>
      <c r="C2272">
        <v>131835</v>
      </c>
      <c r="D2272" s="275" t="s">
        <v>33000</v>
      </c>
      <c r="E2272" s="301">
        <v>1898.56</v>
      </c>
      <c r="F2272" s="303">
        <v>43026</v>
      </c>
      <c r="G2272" s="301">
        <v>1898.56</v>
      </c>
      <c r="H2272" s="301">
        <f>Tabla15[[#This Row],[Importe]]-Tabla15[[#This Row],[Pagado]]</f>
        <v>0</v>
      </c>
      <c r="I2272" s="275" t="s">
        <v>15214</v>
      </c>
    </row>
    <row r="2273" spans="1:9" x14ac:dyDescent="0.25">
      <c r="A2273" s="420">
        <v>43026</v>
      </c>
      <c r="B2273" s="302" t="s">
        <v>33956</v>
      </c>
      <c r="C2273">
        <v>131836</v>
      </c>
      <c r="D2273" s="275" t="s">
        <v>15309</v>
      </c>
      <c r="E2273" s="301">
        <v>4469.6000000000004</v>
      </c>
      <c r="F2273" s="303">
        <v>43026</v>
      </c>
      <c r="G2273" s="301">
        <v>4469.6000000000004</v>
      </c>
      <c r="H2273" s="301">
        <f>Tabla15[[#This Row],[Importe]]-Tabla15[[#This Row],[Pagado]]</f>
        <v>0</v>
      </c>
      <c r="I2273" s="275" t="s">
        <v>15214</v>
      </c>
    </row>
    <row r="2274" spans="1:9" x14ac:dyDescent="0.25">
      <c r="A2274" s="420">
        <v>43026</v>
      </c>
      <c r="B2274" s="302" t="s">
        <v>33957</v>
      </c>
      <c r="C2274">
        <v>131837</v>
      </c>
      <c r="D2274" s="275" t="s">
        <v>15317</v>
      </c>
      <c r="E2274" s="301">
        <v>3408.3</v>
      </c>
      <c r="F2274" s="303">
        <v>43031</v>
      </c>
      <c r="G2274" s="301">
        <v>3408.3</v>
      </c>
      <c r="H2274" s="301">
        <f>Tabla15[[#This Row],[Importe]]-Tabla15[[#This Row],[Pagado]]</f>
        <v>0</v>
      </c>
      <c r="I2274" s="275" t="s">
        <v>15214</v>
      </c>
    </row>
    <row r="2275" spans="1:9" x14ac:dyDescent="0.25">
      <c r="A2275" s="420">
        <v>43026</v>
      </c>
      <c r="B2275" s="302" t="s">
        <v>33958</v>
      </c>
      <c r="C2275">
        <v>131838</v>
      </c>
      <c r="D2275" s="275" t="s">
        <v>15307</v>
      </c>
      <c r="E2275" s="301">
        <v>1942.7</v>
      </c>
      <c r="F2275" s="303">
        <v>43026</v>
      </c>
      <c r="G2275" s="301">
        <v>1942.7</v>
      </c>
      <c r="H2275" s="301">
        <f>Tabla15[[#This Row],[Importe]]-Tabla15[[#This Row],[Pagado]]</f>
        <v>0</v>
      </c>
      <c r="I2275" s="275" t="s">
        <v>15214</v>
      </c>
    </row>
    <row r="2276" spans="1:9" x14ac:dyDescent="0.25">
      <c r="A2276" s="420">
        <v>43026</v>
      </c>
      <c r="B2276" s="302" t="s">
        <v>33959</v>
      </c>
      <c r="C2276">
        <v>131839</v>
      </c>
      <c r="D2276" s="275" t="s">
        <v>17800</v>
      </c>
      <c r="E2276" s="301">
        <v>5703.6</v>
      </c>
      <c r="F2276" s="303">
        <v>43026</v>
      </c>
      <c r="G2276" s="301">
        <v>5703.6</v>
      </c>
      <c r="H2276" s="301">
        <f>Tabla15[[#This Row],[Importe]]-Tabla15[[#This Row],[Pagado]]</f>
        <v>0</v>
      </c>
      <c r="I2276" s="275" t="s">
        <v>15214</v>
      </c>
    </row>
    <row r="2277" spans="1:9" x14ac:dyDescent="0.25">
      <c r="A2277" s="420">
        <v>43026</v>
      </c>
      <c r="B2277" s="302" t="s">
        <v>33960</v>
      </c>
      <c r="C2277">
        <v>131840</v>
      </c>
      <c r="D2277" s="275" t="s">
        <v>15274</v>
      </c>
      <c r="E2277" s="301">
        <v>3988.84</v>
      </c>
      <c r="F2277" s="303">
        <v>43026</v>
      </c>
      <c r="G2277" s="301">
        <v>3988.84</v>
      </c>
      <c r="H2277" s="301">
        <f>Tabla15[[#This Row],[Importe]]-Tabla15[[#This Row],[Pagado]]</f>
        <v>0</v>
      </c>
      <c r="I2277" s="275" t="s">
        <v>15214</v>
      </c>
    </row>
    <row r="2278" spans="1:9" x14ac:dyDescent="0.25">
      <c r="A2278" s="420">
        <v>43026</v>
      </c>
      <c r="B2278" s="302" t="s">
        <v>33961</v>
      </c>
      <c r="C2278">
        <v>131841</v>
      </c>
      <c r="D2278" s="275" t="s">
        <v>15748</v>
      </c>
      <c r="E2278" s="301">
        <v>2443.5</v>
      </c>
      <c r="F2278" s="303">
        <v>43026</v>
      </c>
      <c r="G2278" s="301">
        <v>2443.5</v>
      </c>
      <c r="H2278" s="301">
        <f>Tabla15[[#This Row],[Importe]]-Tabla15[[#This Row],[Pagado]]</f>
        <v>0</v>
      </c>
      <c r="I2278" s="275" t="s">
        <v>15214</v>
      </c>
    </row>
    <row r="2279" spans="1:9" x14ac:dyDescent="0.25">
      <c r="A2279" s="420">
        <v>43026</v>
      </c>
      <c r="B2279" s="302" t="s">
        <v>33962</v>
      </c>
      <c r="C2279">
        <v>131842</v>
      </c>
      <c r="D2279" s="275" t="s">
        <v>15301</v>
      </c>
      <c r="E2279" s="301">
        <v>3367.2</v>
      </c>
      <c r="F2279" s="303">
        <v>43026</v>
      </c>
      <c r="G2279" s="301">
        <v>3367.2</v>
      </c>
      <c r="H2279" s="301">
        <f>Tabla15[[#This Row],[Importe]]-Tabla15[[#This Row],[Pagado]]</f>
        <v>0</v>
      </c>
      <c r="I2279" s="275" t="s">
        <v>15214</v>
      </c>
    </row>
    <row r="2280" spans="1:9" x14ac:dyDescent="0.25">
      <c r="A2280" s="420">
        <v>43026</v>
      </c>
      <c r="B2280" s="302" t="s">
        <v>33963</v>
      </c>
      <c r="C2280">
        <v>131843</v>
      </c>
      <c r="D2280" s="275" t="s">
        <v>15636</v>
      </c>
      <c r="E2280" s="301">
        <v>9360.2000000000007</v>
      </c>
      <c r="F2280" s="303">
        <v>43027</v>
      </c>
      <c r="G2280" s="301">
        <v>9360.2000000000007</v>
      </c>
      <c r="H2280" s="301">
        <f>Tabla15[[#This Row],[Importe]]-Tabla15[[#This Row],[Pagado]]</f>
        <v>0</v>
      </c>
      <c r="I2280" s="275" t="s">
        <v>15214</v>
      </c>
    </row>
    <row r="2281" spans="1:9" x14ac:dyDescent="0.25">
      <c r="A2281" s="420">
        <v>43026</v>
      </c>
      <c r="B2281" s="302" t="s">
        <v>33964</v>
      </c>
      <c r="C2281">
        <v>131844</v>
      </c>
      <c r="D2281" s="275" t="s">
        <v>15291</v>
      </c>
      <c r="E2281" s="301">
        <v>598</v>
      </c>
      <c r="F2281" s="303">
        <v>43026</v>
      </c>
      <c r="G2281" s="301">
        <v>598</v>
      </c>
      <c r="H2281" s="301">
        <f>Tabla15[[#This Row],[Importe]]-Tabla15[[#This Row],[Pagado]]</f>
        <v>0</v>
      </c>
      <c r="I2281" s="275" t="s">
        <v>15214</v>
      </c>
    </row>
    <row r="2282" spans="1:9" x14ac:dyDescent="0.25">
      <c r="A2282" s="420">
        <v>43026</v>
      </c>
      <c r="B2282" s="302" t="s">
        <v>33965</v>
      </c>
      <c r="C2282">
        <v>131845</v>
      </c>
      <c r="D2282" s="275" t="s">
        <v>15987</v>
      </c>
      <c r="E2282" s="301">
        <v>380</v>
      </c>
      <c r="F2282" s="303">
        <v>43026</v>
      </c>
      <c r="G2282" s="301">
        <v>380</v>
      </c>
      <c r="H2282" s="301">
        <f>Tabla15[[#This Row],[Importe]]-Tabla15[[#This Row],[Pagado]]</f>
        <v>0</v>
      </c>
      <c r="I2282" s="275" t="s">
        <v>15214</v>
      </c>
    </row>
    <row r="2283" spans="1:9" x14ac:dyDescent="0.25">
      <c r="A2283" s="420">
        <v>43026</v>
      </c>
      <c r="B2283" s="302" t="s">
        <v>33966</v>
      </c>
      <c r="C2283">
        <v>131846</v>
      </c>
      <c r="D2283" s="275" t="s">
        <v>15378</v>
      </c>
      <c r="E2283" s="301">
        <v>2149.8000000000002</v>
      </c>
      <c r="F2283" s="303">
        <v>43026</v>
      </c>
      <c r="G2283" s="301">
        <v>2149.8000000000002</v>
      </c>
      <c r="H2283" s="301">
        <f>Tabla15[[#This Row],[Importe]]-Tabla15[[#This Row],[Pagado]]</f>
        <v>0</v>
      </c>
      <c r="I2283" s="275" t="s">
        <v>15214</v>
      </c>
    </row>
    <row r="2284" spans="1:9" x14ac:dyDescent="0.25">
      <c r="A2284" s="420">
        <v>43026</v>
      </c>
      <c r="B2284" s="302" t="s">
        <v>33967</v>
      </c>
      <c r="C2284">
        <v>131847</v>
      </c>
      <c r="D2284" s="275" t="s">
        <v>19773</v>
      </c>
      <c r="E2284" s="301">
        <v>2559.52</v>
      </c>
      <c r="F2284" s="303">
        <v>43038</v>
      </c>
      <c r="G2284" s="301">
        <v>2559.52</v>
      </c>
      <c r="H2284" s="301">
        <f>Tabla15[[#This Row],[Importe]]-Tabla15[[#This Row],[Pagado]]</f>
        <v>0</v>
      </c>
      <c r="I2284" s="275" t="s">
        <v>15214</v>
      </c>
    </row>
    <row r="2285" spans="1:9" x14ac:dyDescent="0.25">
      <c r="A2285" s="420">
        <v>43026</v>
      </c>
      <c r="B2285" s="302" t="s">
        <v>33968</v>
      </c>
      <c r="C2285">
        <v>131848</v>
      </c>
      <c r="D2285" s="275" t="s">
        <v>15380</v>
      </c>
      <c r="E2285" s="301">
        <v>33860.1</v>
      </c>
      <c r="F2285" s="303">
        <v>43035</v>
      </c>
      <c r="G2285" s="301">
        <v>33860.1</v>
      </c>
      <c r="H2285" s="301">
        <f>Tabla15[[#This Row],[Importe]]-Tabla15[[#This Row],[Pagado]]</f>
        <v>0</v>
      </c>
      <c r="I2285" s="275" t="s">
        <v>15214</v>
      </c>
    </row>
    <row r="2286" spans="1:9" x14ac:dyDescent="0.25">
      <c r="A2286" s="420">
        <v>43026</v>
      </c>
      <c r="B2286" s="302" t="s">
        <v>33969</v>
      </c>
      <c r="C2286">
        <v>131849</v>
      </c>
      <c r="D2286" s="275" t="s">
        <v>15315</v>
      </c>
      <c r="E2286" s="301">
        <v>561.20000000000005</v>
      </c>
      <c r="F2286" s="303">
        <v>43026</v>
      </c>
      <c r="G2286" s="301">
        <v>561.20000000000005</v>
      </c>
      <c r="H2286" s="301">
        <f>Tabla15[[#This Row],[Importe]]-Tabla15[[#This Row],[Pagado]]</f>
        <v>0</v>
      </c>
      <c r="I2286" s="275" t="s">
        <v>15214</v>
      </c>
    </row>
    <row r="2287" spans="1:9" x14ac:dyDescent="0.25">
      <c r="A2287" s="420">
        <v>43026</v>
      </c>
      <c r="B2287" s="302" t="s">
        <v>33970</v>
      </c>
      <c r="C2287">
        <v>131850</v>
      </c>
      <c r="D2287" s="275" t="s">
        <v>15315</v>
      </c>
      <c r="E2287" s="301">
        <v>2047</v>
      </c>
      <c r="F2287" s="303">
        <v>43026</v>
      </c>
      <c r="G2287" s="301">
        <v>2047</v>
      </c>
      <c r="H2287" s="301">
        <f>Tabla15[[#This Row],[Importe]]-Tabla15[[#This Row],[Pagado]]</f>
        <v>0</v>
      </c>
      <c r="I2287" s="275" t="s">
        <v>15214</v>
      </c>
    </row>
    <row r="2288" spans="1:9" x14ac:dyDescent="0.25">
      <c r="A2288" s="420">
        <v>43026</v>
      </c>
      <c r="B2288" s="302" t="s">
        <v>33971</v>
      </c>
      <c r="C2288">
        <v>131851</v>
      </c>
      <c r="D2288" s="275" t="s">
        <v>15594</v>
      </c>
      <c r="E2288" s="301">
        <v>2769.4</v>
      </c>
      <c r="F2288" s="303">
        <v>43026</v>
      </c>
      <c r="G2288" s="301">
        <v>2769.4</v>
      </c>
      <c r="H2288" s="301">
        <f>Tabla15[[#This Row],[Importe]]-Tabla15[[#This Row],[Pagado]]</f>
        <v>0</v>
      </c>
      <c r="I2288" s="275" t="s">
        <v>15214</v>
      </c>
    </row>
    <row r="2289" spans="1:9" x14ac:dyDescent="0.25">
      <c r="A2289" s="420">
        <v>43026</v>
      </c>
      <c r="B2289" s="302" t="s">
        <v>33972</v>
      </c>
      <c r="C2289">
        <v>131852</v>
      </c>
      <c r="D2289" s="275" t="s">
        <v>15394</v>
      </c>
      <c r="E2289" s="301">
        <v>16510</v>
      </c>
      <c r="F2289" s="303">
        <v>43029</v>
      </c>
      <c r="G2289" s="301">
        <v>16510</v>
      </c>
      <c r="H2289" s="301">
        <f>Tabla15[[#This Row],[Importe]]-Tabla15[[#This Row],[Pagado]]</f>
        <v>0</v>
      </c>
      <c r="I2289" s="275" t="s">
        <v>15214</v>
      </c>
    </row>
    <row r="2290" spans="1:9" x14ac:dyDescent="0.25">
      <c r="A2290" s="420">
        <v>43026</v>
      </c>
      <c r="B2290" s="302" t="s">
        <v>33973</v>
      </c>
      <c r="C2290">
        <v>131853</v>
      </c>
      <c r="D2290" s="275" t="s">
        <v>15367</v>
      </c>
      <c r="E2290" s="301">
        <v>5900</v>
      </c>
      <c r="F2290" s="303">
        <v>43027</v>
      </c>
      <c r="G2290" s="301">
        <v>5900</v>
      </c>
      <c r="H2290" s="301">
        <f>Tabla15[[#This Row],[Importe]]-Tabla15[[#This Row],[Pagado]]</f>
        <v>0</v>
      </c>
      <c r="I2290" s="275" t="s">
        <v>15214</v>
      </c>
    </row>
    <row r="2291" spans="1:9" ht="30" x14ac:dyDescent="0.25">
      <c r="A2291" s="420">
        <v>43026</v>
      </c>
      <c r="B2291" s="302" t="s">
        <v>33974</v>
      </c>
      <c r="C2291">
        <v>131854</v>
      </c>
      <c r="D2291" s="275" t="s">
        <v>15373</v>
      </c>
      <c r="E2291" s="301">
        <v>16505.8</v>
      </c>
      <c r="F2291" s="303" t="s">
        <v>33975</v>
      </c>
      <c r="G2291" s="305">
        <f>15225+1280.8</f>
        <v>16505.8</v>
      </c>
      <c r="H2291" s="305">
        <f>Tabla15[[#This Row],[Importe]]-Tabla15[[#This Row],[Pagado]]</f>
        <v>0</v>
      </c>
      <c r="I2291" s="275" t="s">
        <v>15214</v>
      </c>
    </row>
    <row r="2292" spans="1:9" x14ac:dyDescent="0.25">
      <c r="A2292" s="420">
        <v>43026</v>
      </c>
      <c r="B2292" s="302" t="s">
        <v>33976</v>
      </c>
      <c r="C2292">
        <v>131855</v>
      </c>
      <c r="D2292" s="275" t="s">
        <v>15382</v>
      </c>
      <c r="E2292" s="301">
        <v>10218.9</v>
      </c>
      <c r="F2292" s="303">
        <v>43035</v>
      </c>
      <c r="G2292" s="301">
        <v>10218.9</v>
      </c>
      <c r="H2292" s="301">
        <f>Tabla15[[#This Row],[Importe]]-Tabla15[[#This Row],[Pagado]]</f>
        <v>0</v>
      </c>
      <c r="I2292" s="275" t="s">
        <v>15214</v>
      </c>
    </row>
    <row r="2293" spans="1:9" x14ac:dyDescent="0.25">
      <c r="A2293" s="420">
        <v>43026</v>
      </c>
      <c r="B2293" s="302" t="s">
        <v>33977</v>
      </c>
      <c r="C2293">
        <v>131856</v>
      </c>
      <c r="D2293" s="275" t="s">
        <v>15389</v>
      </c>
      <c r="E2293" s="301">
        <v>12751.2</v>
      </c>
      <c r="F2293" s="303">
        <v>43035</v>
      </c>
      <c r="G2293" s="301">
        <v>12751.2</v>
      </c>
      <c r="H2293" s="301">
        <f>Tabla15[[#This Row],[Importe]]-Tabla15[[#This Row],[Pagado]]</f>
        <v>0</v>
      </c>
      <c r="I2293" s="275" t="s">
        <v>15214</v>
      </c>
    </row>
    <row r="2294" spans="1:9" ht="15.75" x14ac:dyDescent="0.25">
      <c r="A2294" s="420">
        <v>43026</v>
      </c>
      <c r="B2294" s="302" t="s">
        <v>33978</v>
      </c>
      <c r="C2294">
        <v>131857</v>
      </c>
      <c r="D2294" s="248" t="s">
        <v>95</v>
      </c>
      <c r="E2294" s="301">
        <v>0</v>
      </c>
      <c r="F2294" s="243" t="s">
        <v>95</v>
      </c>
      <c r="G2294" s="301">
        <v>0</v>
      </c>
      <c r="H2294" s="301">
        <f>Tabla15[[#This Row],[Importe]]-Tabla15[[#This Row],[Pagado]]</f>
        <v>0</v>
      </c>
      <c r="I2294" s="275" t="s">
        <v>95</v>
      </c>
    </row>
    <row r="2295" spans="1:9" x14ac:dyDescent="0.25">
      <c r="A2295" s="420">
        <v>43026</v>
      </c>
      <c r="B2295" s="302" t="s">
        <v>33979</v>
      </c>
      <c r="C2295">
        <v>131858</v>
      </c>
      <c r="D2295" s="275" t="s">
        <v>15665</v>
      </c>
      <c r="E2295" s="301">
        <v>625.20000000000005</v>
      </c>
      <c r="F2295" s="303">
        <v>43026</v>
      </c>
      <c r="G2295" s="301">
        <v>625.20000000000005</v>
      </c>
      <c r="H2295" s="301">
        <f>Tabla15[[#This Row],[Importe]]-Tabla15[[#This Row],[Pagado]]</f>
        <v>0</v>
      </c>
      <c r="I2295" s="275" t="s">
        <v>15214</v>
      </c>
    </row>
    <row r="2296" spans="1:9" x14ac:dyDescent="0.25">
      <c r="A2296" s="420">
        <v>43026</v>
      </c>
      <c r="B2296" s="302" t="s">
        <v>33980</v>
      </c>
      <c r="C2296">
        <v>131859</v>
      </c>
      <c r="D2296" s="275" t="s">
        <v>15369</v>
      </c>
      <c r="E2296" s="301">
        <v>16837.8</v>
      </c>
      <c r="F2296" s="303">
        <v>43035</v>
      </c>
      <c r="G2296" s="301">
        <v>16837.8</v>
      </c>
      <c r="H2296" s="301">
        <f>Tabla15[[#This Row],[Importe]]-Tabla15[[#This Row],[Pagado]]</f>
        <v>0</v>
      </c>
      <c r="I2296" s="275" t="s">
        <v>15214</v>
      </c>
    </row>
    <row r="2297" spans="1:9" ht="15.75" x14ac:dyDescent="0.25">
      <c r="A2297" s="420">
        <v>43026</v>
      </c>
      <c r="B2297" s="302" t="s">
        <v>33981</v>
      </c>
      <c r="C2297">
        <v>131860</v>
      </c>
      <c r="D2297" s="248" t="s">
        <v>95</v>
      </c>
      <c r="E2297" s="301">
        <v>0</v>
      </c>
      <c r="F2297" s="243" t="s">
        <v>95</v>
      </c>
      <c r="G2297" s="301">
        <v>0</v>
      </c>
      <c r="H2297" s="301">
        <f>Tabla15[[#This Row],[Importe]]-Tabla15[[#This Row],[Pagado]]</f>
        <v>0</v>
      </c>
      <c r="I2297" s="275" t="s">
        <v>95</v>
      </c>
    </row>
    <row r="2298" spans="1:9" x14ac:dyDescent="0.25">
      <c r="A2298" s="420">
        <v>43026</v>
      </c>
      <c r="B2298" s="302" t="s">
        <v>33982</v>
      </c>
      <c r="C2298">
        <v>131861</v>
      </c>
      <c r="D2298" s="275" t="s">
        <v>15427</v>
      </c>
      <c r="E2298" s="301">
        <v>22702.5</v>
      </c>
      <c r="F2298" s="303">
        <v>43027</v>
      </c>
      <c r="G2298" s="301">
        <v>22702.5</v>
      </c>
      <c r="H2298" s="301">
        <f>Tabla15[[#This Row],[Importe]]-Tabla15[[#This Row],[Pagado]]</f>
        <v>0</v>
      </c>
      <c r="I2298" s="275" t="s">
        <v>15214</v>
      </c>
    </row>
    <row r="2299" spans="1:9" x14ac:dyDescent="0.25">
      <c r="A2299" s="420">
        <v>43026</v>
      </c>
      <c r="B2299" s="302" t="s">
        <v>33983</v>
      </c>
      <c r="C2299">
        <v>131862</v>
      </c>
      <c r="D2299" s="275" t="s">
        <v>15338</v>
      </c>
      <c r="E2299" s="301">
        <v>11651.8</v>
      </c>
      <c r="F2299" s="303">
        <v>43028</v>
      </c>
      <c r="G2299" s="301">
        <v>11651.8</v>
      </c>
      <c r="H2299" s="301">
        <f>Tabla15[[#This Row],[Importe]]-Tabla15[[#This Row],[Pagado]]</f>
        <v>0</v>
      </c>
      <c r="I2299" s="275" t="s">
        <v>15214</v>
      </c>
    </row>
    <row r="2300" spans="1:9" x14ac:dyDescent="0.25">
      <c r="A2300" s="420">
        <v>43026</v>
      </c>
      <c r="B2300" s="302" t="s">
        <v>33984</v>
      </c>
      <c r="C2300">
        <v>131863</v>
      </c>
      <c r="D2300" s="275" t="s">
        <v>5828</v>
      </c>
      <c r="E2300" s="301">
        <v>8285.9</v>
      </c>
      <c r="F2300" s="303">
        <v>43026</v>
      </c>
      <c r="G2300" s="301">
        <v>8285.9</v>
      </c>
      <c r="H2300" s="301">
        <f>Tabla15[[#This Row],[Importe]]-Tabla15[[#This Row],[Pagado]]</f>
        <v>0</v>
      </c>
      <c r="I2300" s="275" t="s">
        <v>15214</v>
      </c>
    </row>
    <row r="2301" spans="1:9" x14ac:dyDescent="0.25">
      <c r="A2301" s="420">
        <v>43026</v>
      </c>
      <c r="B2301" s="302" t="s">
        <v>33985</v>
      </c>
      <c r="C2301">
        <v>131864</v>
      </c>
      <c r="D2301" s="275" t="s">
        <v>19964</v>
      </c>
      <c r="E2301" s="301">
        <v>582.4</v>
      </c>
      <c r="F2301" s="303">
        <v>43026</v>
      </c>
      <c r="G2301" s="301">
        <v>582.4</v>
      </c>
      <c r="H2301" s="301">
        <f>Tabla15[[#This Row],[Importe]]-Tabla15[[#This Row],[Pagado]]</f>
        <v>0</v>
      </c>
      <c r="I2301" s="275" t="s">
        <v>15214</v>
      </c>
    </row>
    <row r="2302" spans="1:9" x14ac:dyDescent="0.25">
      <c r="A2302" s="420">
        <v>43026</v>
      </c>
      <c r="B2302" s="302" t="s">
        <v>33986</v>
      </c>
      <c r="C2302">
        <v>131865</v>
      </c>
      <c r="D2302" s="275" t="s">
        <v>15340</v>
      </c>
      <c r="E2302" s="301">
        <v>6007.6</v>
      </c>
      <c r="F2302" s="303">
        <v>43026</v>
      </c>
      <c r="G2302" s="301">
        <v>6007.6</v>
      </c>
      <c r="H2302" s="301">
        <f>Tabla15[[#This Row],[Importe]]-Tabla15[[#This Row],[Pagado]]</f>
        <v>0</v>
      </c>
      <c r="I2302" s="275" t="s">
        <v>15214</v>
      </c>
    </row>
    <row r="2303" spans="1:9" x14ac:dyDescent="0.25">
      <c r="A2303" s="420">
        <v>43026</v>
      </c>
      <c r="B2303" s="302" t="s">
        <v>33987</v>
      </c>
      <c r="C2303">
        <v>131866</v>
      </c>
      <c r="D2303" s="275" t="s">
        <v>15252</v>
      </c>
      <c r="E2303" s="301">
        <v>4273.8999999999996</v>
      </c>
      <c r="F2303" s="303">
        <v>43031</v>
      </c>
      <c r="G2303" s="301">
        <v>4273.8999999999996</v>
      </c>
      <c r="H2303" s="301">
        <f>Tabla15[[#This Row],[Importe]]-Tabla15[[#This Row],[Pagado]]</f>
        <v>0</v>
      </c>
      <c r="I2303" s="275" t="s">
        <v>15214</v>
      </c>
    </row>
    <row r="2304" spans="1:9" x14ac:dyDescent="0.25">
      <c r="A2304" s="420">
        <v>43026</v>
      </c>
      <c r="B2304" s="302" t="s">
        <v>33988</v>
      </c>
      <c r="C2304">
        <v>131867</v>
      </c>
      <c r="D2304" s="275" t="s">
        <v>15244</v>
      </c>
      <c r="E2304" s="301">
        <v>20548.5</v>
      </c>
      <c r="F2304" s="303">
        <v>42940</v>
      </c>
      <c r="G2304" s="301">
        <v>20548.5</v>
      </c>
      <c r="H2304" s="301">
        <f>Tabla15[[#This Row],[Importe]]-Tabla15[[#This Row],[Pagado]]</f>
        <v>0</v>
      </c>
      <c r="I2304" s="275" t="s">
        <v>15214</v>
      </c>
    </row>
    <row r="2305" spans="1:9" ht="15.75" x14ac:dyDescent="0.25">
      <c r="A2305" s="420">
        <v>43026</v>
      </c>
      <c r="B2305" s="302" t="s">
        <v>33989</v>
      </c>
      <c r="C2305">
        <v>131868</v>
      </c>
      <c r="D2305" s="248" t="s">
        <v>95</v>
      </c>
      <c r="E2305" s="301">
        <v>0</v>
      </c>
      <c r="F2305" s="243" t="s">
        <v>95</v>
      </c>
      <c r="G2305" s="301">
        <v>0</v>
      </c>
      <c r="H2305" s="301">
        <f>Tabla15[[#This Row],[Importe]]-Tabla15[[#This Row],[Pagado]]</f>
        <v>0</v>
      </c>
      <c r="I2305" s="275" t="s">
        <v>95</v>
      </c>
    </row>
    <row r="2306" spans="1:9" x14ac:dyDescent="0.25">
      <c r="A2306" s="420">
        <v>43026</v>
      </c>
      <c r="B2306" s="302" t="s">
        <v>33990</v>
      </c>
      <c r="C2306">
        <v>131869</v>
      </c>
      <c r="D2306" s="275" t="s">
        <v>15254</v>
      </c>
      <c r="E2306" s="301">
        <v>570</v>
      </c>
      <c r="F2306" s="303">
        <v>43027</v>
      </c>
      <c r="G2306" s="301">
        <v>570</v>
      </c>
      <c r="H2306" s="301">
        <f>Tabla15[[#This Row],[Importe]]-Tabla15[[#This Row],[Pagado]]</f>
        <v>0</v>
      </c>
      <c r="I2306" s="275" t="s">
        <v>15214</v>
      </c>
    </row>
    <row r="2307" spans="1:9" x14ac:dyDescent="0.25">
      <c r="A2307" s="420">
        <v>43026</v>
      </c>
      <c r="B2307" s="302" t="s">
        <v>33991</v>
      </c>
      <c r="C2307">
        <v>131870</v>
      </c>
      <c r="D2307" s="275" t="s">
        <v>15725</v>
      </c>
      <c r="E2307" s="301">
        <v>21625.200000000001</v>
      </c>
      <c r="F2307" s="303">
        <v>43027</v>
      </c>
      <c r="G2307" s="301">
        <v>21625.200000000001</v>
      </c>
      <c r="H2307" s="301">
        <f>Tabla15[[#This Row],[Importe]]-Tabla15[[#This Row],[Pagado]]</f>
        <v>0</v>
      </c>
      <c r="I2307" s="275" t="s">
        <v>15214</v>
      </c>
    </row>
    <row r="2308" spans="1:9" x14ac:dyDescent="0.25">
      <c r="A2308" s="420">
        <v>43026</v>
      </c>
      <c r="B2308" s="302" t="s">
        <v>33992</v>
      </c>
      <c r="C2308">
        <v>131871</v>
      </c>
      <c r="D2308" s="275" t="s">
        <v>21445</v>
      </c>
      <c r="E2308" s="301">
        <v>1715.7</v>
      </c>
      <c r="F2308" s="303">
        <v>43026</v>
      </c>
      <c r="G2308" s="301">
        <v>1715.7</v>
      </c>
      <c r="H2308" s="301">
        <f>Tabla15[[#This Row],[Importe]]-Tabla15[[#This Row],[Pagado]]</f>
        <v>0</v>
      </c>
      <c r="I2308" s="275" t="s">
        <v>15214</v>
      </c>
    </row>
    <row r="2309" spans="1:9" x14ac:dyDescent="0.25">
      <c r="A2309" s="420">
        <v>43026</v>
      </c>
      <c r="B2309" s="302" t="s">
        <v>33993</v>
      </c>
      <c r="C2309">
        <v>131872</v>
      </c>
      <c r="D2309" s="275" t="s">
        <v>15326</v>
      </c>
      <c r="E2309" s="301">
        <v>2337.3000000000002</v>
      </c>
      <c r="F2309" s="303">
        <v>43026</v>
      </c>
      <c r="G2309" s="301">
        <v>2337.3000000000002</v>
      </c>
      <c r="H2309" s="301">
        <f>Tabla15[[#This Row],[Importe]]-Tabla15[[#This Row],[Pagado]]</f>
        <v>0</v>
      </c>
      <c r="I2309" s="275" t="s">
        <v>15214</v>
      </c>
    </row>
    <row r="2310" spans="1:9" x14ac:dyDescent="0.25">
      <c r="A2310" s="420">
        <v>43026</v>
      </c>
      <c r="B2310" s="302" t="s">
        <v>33994</v>
      </c>
      <c r="C2310">
        <v>131873</v>
      </c>
      <c r="D2310" s="275" t="s">
        <v>15326</v>
      </c>
      <c r="E2310" s="301">
        <v>2481.1</v>
      </c>
      <c r="F2310" s="303">
        <v>43026</v>
      </c>
      <c r="G2310" s="301">
        <v>2481.1</v>
      </c>
      <c r="H2310" s="301">
        <f>Tabla15[[#This Row],[Importe]]-Tabla15[[#This Row],[Pagado]]</f>
        <v>0</v>
      </c>
      <c r="I2310" s="275" t="s">
        <v>15214</v>
      </c>
    </row>
    <row r="2311" spans="1:9" x14ac:dyDescent="0.25">
      <c r="A2311" s="420">
        <v>43026</v>
      </c>
      <c r="B2311" s="302" t="s">
        <v>33995</v>
      </c>
      <c r="C2311">
        <v>131874</v>
      </c>
      <c r="D2311" s="275" t="s">
        <v>15590</v>
      </c>
      <c r="E2311" s="301">
        <v>32163.95</v>
      </c>
      <c r="F2311" s="303">
        <v>43038</v>
      </c>
      <c r="G2311" s="301">
        <v>32163.95</v>
      </c>
      <c r="H2311" s="301">
        <f>Tabla15[[#This Row],[Importe]]-Tabla15[[#This Row],[Pagado]]</f>
        <v>0</v>
      </c>
      <c r="I2311" s="275" t="s">
        <v>15214</v>
      </c>
    </row>
    <row r="2312" spans="1:9" x14ac:dyDescent="0.25">
      <c r="A2312" s="420">
        <v>43026</v>
      </c>
      <c r="B2312" s="302" t="s">
        <v>33996</v>
      </c>
      <c r="C2312">
        <v>131875</v>
      </c>
      <c r="D2312" s="275" t="s">
        <v>15555</v>
      </c>
      <c r="E2312" s="301">
        <v>31671.85</v>
      </c>
      <c r="F2312" s="303">
        <v>43027</v>
      </c>
      <c r="G2312" s="301">
        <v>31671.85</v>
      </c>
      <c r="H2312" s="301">
        <f>Tabla15[[#This Row],[Importe]]-Tabla15[[#This Row],[Pagado]]</f>
        <v>0</v>
      </c>
      <c r="I2312" s="275" t="s">
        <v>15214</v>
      </c>
    </row>
    <row r="2313" spans="1:9" x14ac:dyDescent="0.25">
      <c r="A2313" s="420">
        <v>43026</v>
      </c>
      <c r="B2313" s="302" t="s">
        <v>33997</v>
      </c>
      <c r="C2313">
        <v>131876</v>
      </c>
      <c r="D2313" s="275" t="s">
        <v>15442</v>
      </c>
      <c r="E2313" s="301">
        <v>31291.05</v>
      </c>
      <c r="F2313" s="303">
        <v>43027</v>
      </c>
      <c r="G2313" s="301">
        <v>31291.05</v>
      </c>
      <c r="H2313" s="301">
        <f>Tabla15[[#This Row],[Importe]]-Tabla15[[#This Row],[Pagado]]</f>
        <v>0</v>
      </c>
      <c r="I2313" s="275" t="s">
        <v>15214</v>
      </c>
    </row>
    <row r="2314" spans="1:9" x14ac:dyDescent="0.25">
      <c r="A2314" s="420">
        <v>43026</v>
      </c>
      <c r="B2314" s="302" t="s">
        <v>33998</v>
      </c>
      <c r="C2314">
        <v>131877</v>
      </c>
      <c r="D2314" s="275" t="s">
        <v>15699</v>
      </c>
      <c r="E2314" s="301">
        <v>895.4</v>
      </c>
      <c r="F2314" s="303">
        <v>43027</v>
      </c>
      <c r="G2314" s="301">
        <v>895.4</v>
      </c>
      <c r="H2314" s="301">
        <f>Tabla15[[#This Row],[Importe]]-Tabla15[[#This Row],[Pagado]]</f>
        <v>0</v>
      </c>
      <c r="I2314" s="275" t="s">
        <v>15214</v>
      </c>
    </row>
    <row r="2315" spans="1:9" x14ac:dyDescent="0.25">
      <c r="A2315" s="420">
        <v>43026</v>
      </c>
      <c r="B2315" s="302" t="s">
        <v>33999</v>
      </c>
      <c r="C2315">
        <v>131878</v>
      </c>
      <c r="D2315" s="275" t="s">
        <v>15537</v>
      </c>
      <c r="E2315" s="301">
        <v>15526.8</v>
      </c>
      <c r="F2315" s="303">
        <v>43027</v>
      </c>
      <c r="G2315" s="301">
        <v>15526.8</v>
      </c>
      <c r="H2315" s="301">
        <f>Tabla15[[#This Row],[Importe]]-Tabla15[[#This Row],[Pagado]]</f>
        <v>0</v>
      </c>
      <c r="I2315" s="275" t="s">
        <v>15214</v>
      </c>
    </row>
    <row r="2316" spans="1:9" x14ac:dyDescent="0.25">
      <c r="A2316" s="420">
        <v>43026</v>
      </c>
      <c r="B2316" s="302" t="s">
        <v>34000</v>
      </c>
      <c r="C2316">
        <v>131879</v>
      </c>
      <c r="D2316" s="275" t="s">
        <v>15539</v>
      </c>
      <c r="E2316" s="301">
        <v>10663.2</v>
      </c>
      <c r="F2316" s="303">
        <v>43027</v>
      </c>
      <c r="G2316" s="301">
        <v>10663.2</v>
      </c>
      <c r="H2316" s="301">
        <f>Tabla15[[#This Row],[Importe]]-Tabla15[[#This Row],[Pagado]]</f>
        <v>0</v>
      </c>
      <c r="I2316" s="275" t="s">
        <v>15214</v>
      </c>
    </row>
    <row r="2317" spans="1:9" x14ac:dyDescent="0.25">
      <c r="A2317" s="420">
        <v>43026</v>
      </c>
      <c r="B2317" s="302" t="s">
        <v>34001</v>
      </c>
      <c r="C2317">
        <v>131880</v>
      </c>
      <c r="D2317" s="275" t="s">
        <v>15903</v>
      </c>
      <c r="E2317" s="301">
        <v>31942.400000000001</v>
      </c>
      <c r="F2317" s="303">
        <v>43026</v>
      </c>
      <c r="G2317" s="301">
        <v>31942.400000000001</v>
      </c>
      <c r="H2317" s="301">
        <f>Tabla15[[#This Row],[Importe]]-Tabla15[[#This Row],[Pagado]]</f>
        <v>0</v>
      </c>
      <c r="I2317" s="275" t="s">
        <v>15214</v>
      </c>
    </row>
    <row r="2318" spans="1:9" x14ac:dyDescent="0.25">
      <c r="A2318" s="420">
        <v>43026</v>
      </c>
      <c r="B2318" s="302" t="s">
        <v>34002</v>
      </c>
      <c r="C2318">
        <v>131881</v>
      </c>
      <c r="D2318" s="275" t="s">
        <v>15298</v>
      </c>
      <c r="E2318" s="301">
        <v>4994</v>
      </c>
      <c r="F2318" s="303">
        <v>43026</v>
      </c>
      <c r="G2318" s="301">
        <v>4994</v>
      </c>
      <c r="H2318" s="301">
        <f>Tabla15[[#This Row],[Importe]]-Tabla15[[#This Row],[Pagado]]</f>
        <v>0</v>
      </c>
      <c r="I2318" s="275" t="s">
        <v>15214</v>
      </c>
    </row>
    <row r="2319" spans="1:9" x14ac:dyDescent="0.25">
      <c r="A2319" s="420">
        <v>43026</v>
      </c>
      <c r="B2319" s="302" t="s">
        <v>34003</v>
      </c>
      <c r="C2319">
        <v>131882</v>
      </c>
      <c r="D2319" s="275" t="s">
        <v>17862</v>
      </c>
      <c r="E2319" s="301">
        <v>3431.6</v>
      </c>
      <c r="F2319" s="303">
        <v>43026</v>
      </c>
      <c r="G2319" s="301">
        <v>3431.6</v>
      </c>
      <c r="H2319" s="301">
        <f>Tabla15[[#This Row],[Importe]]-Tabla15[[#This Row],[Pagado]]</f>
        <v>0</v>
      </c>
      <c r="I2319" s="275" t="s">
        <v>15214</v>
      </c>
    </row>
    <row r="2320" spans="1:9" x14ac:dyDescent="0.25">
      <c r="A2320" s="420">
        <v>43026</v>
      </c>
      <c r="B2320" s="302" t="s">
        <v>34004</v>
      </c>
      <c r="C2320">
        <v>131883</v>
      </c>
      <c r="D2320" s="275" t="s">
        <v>15557</v>
      </c>
      <c r="E2320" s="301">
        <v>4358.8</v>
      </c>
      <c r="F2320" s="303">
        <v>43027</v>
      </c>
      <c r="G2320" s="301">
        <v>4358.8</v>
      </c>
      <c r="H2320" s="301">
        <f>Tabla15[[#This Row],[Importe]]-Tabla15[[#This Row],[Pagado]]</f>
        <v>0</v>
      </c>
      <c r="I2320" s="275" t="s">
        <v>15214</v>
      </c>
    </row>
    <row r="2321" spans="1:9" x14ac:dyDescent="0.25">
      <c r="A2321" s="420">
        <v>43026</v>
      </c>
      <c r="B2321" s="302" t="s">
        <v>34005</v>
      </c>
      <c r="C2321">
        <v>131884</v>
      </c>
      <c r="D2321" s="275" t="s">
        <v>15282</v>
      </c>
      <c r="E2321" s="301">
        <v>3744.86</v>
      </c>
      <c r="F2321" s="303">
        <v>43026</v>
      </c>
      <c r="G2321" s="301">
        <v>3744.86</v>
      </c>
      <c r="H2321" s="301">
        <f>Tabla15[[#This Row],[Importe]]-Tabla15[[#This Row],[Pagado]]</f>
        <v>0</v>
      </c>
      <c r="I2321" s="275" t="s">
        <v>15214</v>
      </c>
    </row>
    <row r="2322" spans="1:9" x14ac:dyDescent="0.25">
      <c r="A2322" s="420">
        <v>43026</v>
      </c>
      <c r="B2322" s="302" t="s">
        <v>34006</v>
      </c>
      <c r="C2322">
        <v>131885</v>
      </c>
      <c r="D2322" s="275" t="s">
        <v>15391</v>
      </c>
      <c r="E2322" s="301">
        <v>6984</v>
      </c>
      <c r="F2322" s="303">
        <v>43027</v>
      </c>
      <c r="G2322" s="301">
        <v>6984</v>
      </c>
      <c r="H2322" s="301">
        <f>Tabla15[[#This Row],[Importe]]-Tabla15[[#This Row],[Pagado]]</f>
        <v>0</v>
      </c>
      <c r="I2322" s="275" t="s">
        <v>15214</v>
      </c>
    </row>
    <row r="2323" spans="1:9" x14ac:dyDescent="0.25">
      <c r="A2323" s="420">
        <v>43026</v>
      </c>
      <c r="B2323" s="302" t="s">
        <v>34007</v>
      </c>
      <c r="C2323">
        <v>131886</v>
      </c>
      <c r="D2323" s="275" t="s">
        <v>19776</v>
      </c>
      <c r="E2323" s="301">
        <v>8800</v>
      </c>
      <c r="F2323" s="303">
        <v>43026</v>
      </c>
      <c r="G2323" s="301">
        <v>8800</v>
      </c>
      <c r="H2323" s="301">
        <f>Tabla15[[#This Row],[Importe]]-Tabla15[[#This Row],[Pagado]]</f>
        <v>0</v>
      </c>
      <c r="I2323" s="275" t="s">
        <v>15214</v>
      </c>
    </row>
    <row r="2324" spans="1:9" x14ac:dyDescent="0.25">
      <c r="A2324" s="420">
        <v>43026</v>
      </c>
      <c r="B2324" s="302" t="s">
        <v>34008</v>
      </c>
      <c r="C2324">
        <v>131887</v>
      </c>
      <c r="D2324" s="275" t="s">
        <v>15387</v>
      </c>
      <c r="E2324" s="301">
        <v>1319.52</v>
      </c>
      <c r="F2324" s="303">
        <v>43026</v>
      </c>
      <c r="G2324" s="301">
        <v>1319.52</v>
      </c>
      <c r="H2324" s="301">
        <f>Tabla15[[#This Row],[Importe]]-Tabla15[[#This Row],[Pagado]]</f>
        <v>0</v>
      </c>
      <c r="I2324" s="275" t="s">
        <v>15214</v>
      </c>
    </row>
    <row r="2325" spans="1:9" ht="15.75" x14ac:dyDescent="0.25">
      <c r="A2325" s="420">
        <v>43026</v>
      </c>
      <c r="B2325" s="302" t="s">
        <v>34009</v>
      </c>
      <c r="C2325">
        <v>131888</v>
      </c>
      <c r="D2325" s="248" t="s">
        <v>95</v>
      </c>
      <c r="E2325" s="301">
        <v>0</v>
      </c>
      <c r="F2325" s="243" t="s">
        <v>95</v>
      </c>
      <c r="G2325" s="301">
        <v>0</v>
      </c>
      <c r="H2325" s="301">
        <f>Tabla15[[#This Row],[Importe]]-Tabla15[[#This Row],[Pagado]]</f>
        <v>0</v>
      </c>
      <c r="I2325" s="275" t="s">
        <v>95</v>
      </c>
    </row>
    <row r="2326" spans="1:9" x14ac:dyDescent="0.25">
      <c r="A2326" s="420">
        <v>43026</v>
      </c>
      <c r="B2326" s="302" t="s">
        <v>34010</v>
      </c>
      <c r="C2326">
        <v>131889</v>
      </c>
      <c r="D2326" s="275" t="s">
        <v>15248</v>
      </c>
      <c r="E2326" s="301">
        <v>1494.6</v>
      </c>
      <c r="F2326" s="303">
        <v>43026</v>
      </c>
      <c r="G2326" s="301">
        <v>1494.6</v>
      </c>
      <c r="H2326" s="301">
        <f>Tabla15[[#This Row],[Importe]]-Tabla15[[#This Row],[Pagado]]</f>
        <v>0</v>
      </c>
      <c r="I2326" s="275" t="s">
        <v>15214</v>
      </c>
    </row>
    <row r="2327" spans="1:9" x14ac:dyDescent="0.25">
      <c r="A2327" s="420">
        <v>43026</v>
      </c>
      <c r="B2327" s="302" t="s">
        <v>34011</v>
      </c>
      <c r="C2327">
        <v>131890</v>
      </c>
      <c r="D2327" s="275" t="s">
        <v>15398</v>
      </c>
      <c r="E2327" s="301">
        <v>2599.1999999999998</v>
      </c>
      <c r="F2327" s="303">
        <v>43026</v>
      </c>
      <c r="G2327" s="301">
        <v>2599.1999999999998</v>
      </c>
      <c r="H2327" s="301">
        <f>Tabla15[[#This Row],[Importe]]-Tabla15[[#This Row],[Pagado]]</f>
        <v>0</v>
      </c>
      <c r="I2327" s="275" t="s">
        <v>15214</v>
      </c>
    </row>
    <row r="2328" spans="1:9" x14ac:dyDescent="0.25">
      <c r="A2328" s="420">
        <v>43026</v>
      </c>
      <c r="B2328" s="302" t="s">
        <v>34012</v>
      </c>
      <c r="C2328">
        <v>131891</v>
      </c>
      <c r="D2328" s="275" t="s">
        <v>15628</v>
      </c>
      <c r="E2328" s="301">
        <v>3324.6</v>
      </c>
      <c r="F2328" s="303">
        <v>43026</v>
      </c>
      <c r="G2328" s="301">
        <v>3324.6</v>
      </c>
      <c r="H2328" s="301">
        <f>Tabla15[[#This Row],[Importe]]-Tabla15[[#This Row],[Pagado]]</f>
        <v>0</v>
      </c>
      <c r="I2328" s="275" t="s">
        <v>15214</v>
      </c>
    </row>
    <row r="2329" spans="1:9" x14ac:dyDescent="0.25">
      <c r="A2329" s="420">
        <v>43026</v>
      </c>
      <c r="B2329" s="302" t="s">
        <v>34013</v>
      </c>
      <c r="C2329">
        <v>131892</v>
      </c>
      <c r="D2329" s="275" t="s">
        <v>15276</v>
      </c>
      <c r="E2329" s="301">
        <v>2300</v>
      </c>
      <c r="F2329" s="303">
        <v>43027</v>
      </c>
      <c r="G2329" s="301">
        <v>2300</v>
      </c>
      <c r="H2329" s="301">
        <f>Tabla15[[#This Row],[Importe]]-Tabla15[[#This Row],[Pagado]]</f>
        <v>0</v>
      </c>
      <c r="I2329" s="275" t="s">
        <v>15214</v>
      </c>
    </row>
    <row r="2330" spans="1:9" x14ac:dyDescent="0.25">
      <c r="A2330" s="420">
        <v>43026</v>
      </c>
      <c r="B2330" s="302" t="s">
        <v>34014</v>
      </c>
      <c r="C2330">
        <v>131893</v>
      </c>
      <c r="D2330" s="275" t="s">
        <v>22563</v>
      </c>
      <c r="E2330" s="301">
        <v>10440</v>
      </c>
      <c r="F2330" s="303">
        <v>43027</v>
      </c>
      <c r="G2330" s="301">
        <v>10440</v>
      </c>
      <c r="H2330" s="301">
        <f>Tabla15[[#This Row],[Importe]]-Tabla15[[#This Row],[Pagado]]</f>
        <v>0</v>
      </c>
      <c r="I2330" s="275" t="s">
        <v>15214</v>
      </c>
    </row>
    <row r="2331" spans="1:9" x14ac:dyDescent="0.25">
      <c r="A2331" s="420">
        <v>43026</v>
      </c>
      <c r="B2331" s="302" t="s">
        <v>34015</v>
      </c>
      <c r="C2331">
        <v>131894</v>
      </c>
      <c r="D2331" s="275" t="s">
        <v>15419</v>
      </c>
      <c r="E2331" s="301">
        <v>25620</v>
      </c>
      <c r="F2331" s="303">
        <v>43033</v>
      </c>
      <c r="G2331" s="301">
        <v>25620</v>
      </c>
      <c r="H2331" s="301">
        <f>Tabla15[[#This Row],[Importe]]-Tabla15[[#This Row],[Pagado]]</f>
        <v>0</v>
      </c>
      <c r="I2331" s="275" t="s">
        <v>15214</v>
      </c>
    </row>
    <row r="2332" spans="1:9" ht="15.75" x14ac:dyDescent="0.25">
      <c r="A2332" s="420">
        <v>43026</v>
      </c>
      <c r="B2332" s="302" t="s">
        <v>34016</v>
      </c>
      <c r="C2332">
        <v>131895</v>
      </c>
      <c r="D2332" s="248" t="s">
        <v>95</v>
      </c>
      <c r="E2332" s="301">
        <v>0</v>
      </c>
      <c r="F2332" s="243" t="s">
        <v>95</v>
      </c>
      <c r="G2332" s="301">
        <v>0</v>
      </c>
      <c r="H2332" s="301">
        <f>Tabla15[[#This Row],[Importe]]-Tabla15[[#This Row],[Pagado]]</f>
        <v>0</v>
      </c>
      <c r="I2332" s="275" t="s">
        <v>95</v>
      </c>
    </row>
    <row r="2333" spans="1:9" x14ac:dyDescent="0.25">
      <c r="A2333" s="420">
        <v>43026</v>
      </c>
      <c r="B2333" s="302" t="s">
        <v>34017</v>
      </c>
      <c r="C2333">
        <v>131896</v>
      </c>
      <c r="D2333" s="275" t="s">
        <v>15423</v>
      </c>
      <c r="E2333" s="301">
        <v>2297.1</v>
      </c>
      <c r="F2333" s="303">
        <v>43026</v>
      </c>
      <c r="G2333" s="301">
        <v>2297.1</v>
      </c>
      <c r="H2333" s="301">
        <f>Tabla15[[#This Row],[Importe]]-Tabla15[[#This Row],[Pagado]]</f>
        <v>0</v>
      </c>
      <c r="I2333" s="275" t="s">
        <v>15214</v>
      </c>
    </row>
    <row r="2334" spans="1:9" x14ac:dyDescent="0.25">
      <c r="A2334" s="420">
        <v>43026</v>
      </c>
      <c r="B2334" s="302" t="s">
        <v>34018</v>
      </c>
      <c r="C2334">
        <v>131897</v>
      </c>
      <c r="D2334" s="275" t="s">
        <v>15423</v>
      </c>
      <c r="E2334" s="301">
        <v>8064</v>
      </c>
      <c r="F2334" s="303">
        <v>43043</v>
      </c>
      <c r="G2334" s="301">
        <v>8064</v>
      </c>
      <c r="H2334" s="301">
        <f>Tabla15[[#This Row],[Importe]]-Tabla15[[#This Row],[Pagado]]</f>
        <v>0</v>
      </c>
      <c r="I2334" s="275" t="s">
        <v>15214</v>
      </c>
    </row>
    <row r="2335" spans="1:9" x14ac:dyDescent="0.25">
      <c r="A2335" s="420">
        <v>43026</v>
      </c>
      <c r="B2335" s="302" t="s">
        <v>34019</v>
      </c>
      <c r="C2335">
        <v>131898</v>
      </c>
      <c r="D2335" s="275" t="s">
        <v>15789</v>
      </c>
      <c r="E2335" s="301">
        <v>1801.6</v>
      </c>
      <c r="F2335" s="303">
        <v>43026</v>
      </c>
      <c r="G2335" s="301">
        <v>1801.6</v>
      </c>
      <c r="H2335" s="301">
        <f>Tabla15[[#This Row],[Importe]]-Tabla15[[#This Row],[Pagado]]</f>
        <v>0</v>
      </c>
      <c r="I2335" s="275" t="s">
        <v>15214</v>
      </c>
    </row>
    <row r="2336" spans="1:9" x14ac:dyDescent="0.25">
      <c r="A2336" s="420">
        <v>43026</v>
      </c>
      <c r="B2336" s="302" t="s">
        <v>34020</v>
      </c>
      <c r="C2336">
        <v>131899</v>
      </c>
      <c r="D2336" s="275" t="s">
        <v>15246</v>
      </c>
      <c r="E2336" s="301">
        <v>101792.5</v>
      </c>
      <c r="F2336" s="303">
        <v>43031</v>
      </c>
      <c r="G2336" s="301">
        <v>101792.5</v>
      </c>
      <c r="H2336" s="301">
        <f>Tabla15[[#This Row],[Importe]]-Tabla15[[#This Row],[Pagado]]</f>
        <v>0</v>
      </c>
      <c r="I2336" s="275" t="s">
        <v>15214</v>
      </c>
    </row>
    <row r="2337" spans="1:9" x14ac:dyDescent="0.25">
      <c r="A2337" s="420">
        <v>43026</v>
      </c>
      <c r="B2337" s="302" t="s">
        <v>34021</v>
      </c>
      <c r="C2337">
        <v>131900</v>
      </c>
      <c r="D2337" s="275" t="s">
        <v>15890</v>
      </c>
      <c r="E2337" s="301">
        <v>10163.4</v>
      </c>
      <c r="F2337" s="303">
        <v>43032</v>
      </c>
      <c r="G2337" s="301">
        <v>10163.4</v>
      </c>
      <c r="H2337" s="301">
        <f>Tabla15[[#This Row],[Importe]]-Tabla15[[#This Row],[Pagado]]</f>
        <v>0</v>
      </c>
      <c r="I2337" s="275" t="s">
        <v>15214</v>
      </c>
    </row>
    <row r="2338" spans="1:9" x14ac:dyDescent="0.25">
      <c r="A2338" s="420">
        <v>43026</v>
      </c>
      <c r="B2338" s="302" t="s">
        <v>34022</v>
      </c>
      <c r="C2338">
        <v>131901</v>
      </c>
      <c r="D2338" s="275" t="s">
        <v>15920</v>
      </c>
      <c r="E2338" s="301">
        <v>7166.4</v>
      </c>
      <c r="F2338" s="303">
        <v>43029</v>
      </c>
      <c r="G2338" s="301">
        <v>7166.4</v>
      </c>
      <c r="H2338" s="301">
        <f>Tabla15[[#This Row],[Importe]]-Tabla15[[#This Row],[Pagado]]</f>
        <v>0</v>
      </c>
      <c r="I2338" s="275" t="s">
        <v>15214</v>
      </c>
    </row>
    <row r="2339" spans="1:9" x14ac:dyDescent="0.25">
      <c r="A2339" s="420">
        <v>43026</v>
      </c>
      <c r="B2339" s="302" t="s">
        <v>34023</v>
      </c>
      <c r="C2339">
        <v>131902</v>
      </c>
      <c r="D2339" s="275" t="s">
        <v>15444</v>
      </c>
      <c r="E2339" s="301">
        <v>3168</v>
      </c>
      <c r="F2339" s="303">
        <v>43027</v>
      </c>
      <c r="G2339" s="301">
        <v>3168</v>
      </c>
      <c r="H2339" s="301">
        <f>Tabla15[[#This Row],[Importe]]-Tabla15[[#This Row],[Pagado]]</f>
        <v>0</v>
      </c>
      <c r="I2339" s="275" t="s">
        <v>15214</v>
      </c>
    </row>
    <row r="2340" spans="1:9" x14ac:dyDescent="0.25">
      <c r="A2340" s="420">
        <v>43026</v>
      </c>
      <c r="B2340" s="302" t="s">
        <v>34024</v>
      </c>
      <c r="C2340">
        <v>131903</v>
      </c>
      <c r="D2340" s="275" t="s">
        <v>22902</v>
      </c>
      <c r="E2340" s="301">
        <v>695.2</v>
      </c>
      <c r="F2340" s="303">
        <v>43026</v>
      </c>
      <c r="G2340" s="301">
        <v>695.2</v>
      </c>
      <c r="H2340" s="301">
        <f>Tabla15[[#This Row],[Importe]]-Tabla15[[#This Row],[Pagado]]</f>
        <v>0</v>
      </c>
      <c r="I2340" s="275" t="s">
        <v>15214</v>
      </c>
    </row>
    <row r="2341" spans="1:9" x14ac:dyDescent="0.25">
      <c r="A2341" s="420">
        <v>43026</v>
      </c>
      <c r="B2341" s="302" t="s">
        <v>34025</v>
      </c>
      <c r="C2341">
        <v>131904</v>
      </c>
      <c r="D2341" s="275" t="s">
        <v>15246</v>
      </c>
      <c r="E2341" s="301">
        <v>27901</v>
      </c>
      <c r="F2341" s="303">
        <v>43031</v>
      </c>
      <c r="G2341" s="301">
        <v>27901</v>
      </c>
      <c r="H2341" s="301">
        <f>Tabla15[[#This Row],[Importe]]-Tabla15[[#This Row],[Pagado]]</f>
        <v>0</v>
      </c>
      <c r="I2341" s="275" t="s">
        <v>15214</v>
      </c>
    </row>
    <row r="2342" spans="1:9" x14ac:dyDescent="0.25">
      <c r="A2342" s="420">
        <v>43026</v>
      </c>
      <c r="B2342" s="302" t="s">
        <v>34026</v>
      </c>
      <c r="C2342">
        <v>131905</v>
      </c>
      <c r="D2342" s="275" t="s">
        <v>15284</v>
      </c>
      <c r="E2342" s="301">
        <v>645.79999999999995</v>
      </c>
      <c r="F2342" s="303">
        <v>43026</v>
      </c>
      <c r="G2342" s="301">
        <v>645.79999999999995</v>
      </c>
      <c r="H2342" s="301">
        <f>Tabla15[[#This Row],[Importe]]-Tabla15[[#This Row],[Pagado]]</f>
        <v>0</v>
      </c>
      <c r="I2342" s="275" t="s">
        <v>15214</v>
      </c>
    </row>
    <row r="2343" spans="1:9" x14ac:dyDescent="0.25">
      <c r="A2343" s="420">
        <v>43026</v>
      </c>
      <c r="B2343" s="302" t="s">
        <v>34027</v>
      </c>
      <c r="C2343">
        <v>131906</v>
      </c>
      <c r="D2343" s="275" t="s">
        <v>15354</v>
      </c>
      <c r="E2343" s="301">
        <v>8712</v>
      </c>
      <c r="F2343" s="303">
        <v>43027</v>
      </c>
      <c r="G2343" s="301">
        <v>8712</v>
      </c>
      <c r="H2343" s="301">
        <f>Tabla15[[#This Row],[Importe]]-Tabla15[[#This Row],[Pagado]]</f>
        <v>0</v>
      </c>
      <c r="I2343" s="275" t="s">
        <v>15214</v>
      </c>
    </row>
    <row r="2344" spans="1:9" x14ac:dyDescent="0.25">
      <c r="A2344" s="420">
        <v>43026</v>
      </c>
      <c r="B2344" s="302" t="s">
        <v>34028</v>
      </c>
      <c r="C2344">
        <v>131907</v>
      </c>
      <c r="D2344" s="275" t="s">
        <v>15530</v>
      </c>
      <c r="E2344" s="301">
        <v>315.7</v>
      </c>
      <c r="F2344" s="303">
        <v>43026</v>
      </c>
      <c r="G2344" s="301">
        <v>315.7</v>
      </c>
      <c r="H2344" s="301">
        <f>Tabla15[[#This Row],[Importe]]-Tabla15[[#This Row],[Pagado]]</f>
        <v>0</v>
      </c>
      <c r="I2344" s="275" t="s">
        <v>15214</v>
      </c>
    </row>
    <row r="2345" spans="1:9" x14ac:dyDescent="0.25">
      <c r="A2345" s="420">
        <v>43026</v>
      </c>
      <c r="B2345" s="302" t="s">
        <v>34029</v>
      </c>
      <c r="C2345">
        <v>131908</v>
      </c>
      <c r="D2345" s="275" t="s">
        <v>15553</v>
      </c>
      <c r="E2345" s="301">
        <v>33052.949999999997</v>
      </c>
      <c r="F2345" s="303">
        <v>43027</v>
      </c>
      <c r="G2345" s="301">
        <v>33052.949999999997</v>
      </c>
      <c r="H2345" s="301">
        <f>Tabla15[[#This Row],[Importe]]-Tabla15[[#This Row],[Pagado]]</f>
        <v>0</v>
      </c>
      <c r="I2345" s="275" t="s">
        <v>15214</v>
      </c>
    </row>
    <row r="2346" spans="1:9" x14ac:dyDescent="0.25">
      <c r="A2346" s="420">
        <v>43026</v>
      </c>
      <c r="B2346" s="302" t="s">
        <v>34030</v>
      </c>
      <c r="C2346">
        <v>131909</v>
      </c>
      <c r="D2346" s="275" t="s">
        <v>15246</v>
      </c>
      <c r="E2346" s="301">
        <v>234890.1</v>
      </c>
      <c r="F2346" s="303">
        <v>43031</v>
      </c>
      <c r="G2346" s="301">
        <v>234890.1</v>
      </c>
      <c r="H2346" s="301">
        <f>Tabla15[[#This Row],[Importe]]-Tabla15[[#This Row],[Pagado]]</f>
        <v>0</v>
      </c>
      <c r="I2346" s="275" t="s">
        <v>15214</v>
      </c>
    </row>
    <row r="2347" spans="1:9" x14ac:dyDescent="0.25">
      <c r="A2347" s="420">
        <v>43026</v>
      </c>
      <c r="B2347" s="302" t="s">
        <v>34031</v>
      </c>
      <c r="C2347">
        <v>131910</v>
      </c>
      <c r="D2347" s="275" t="s">
        <v>15642</v>
      </c>
      <c r="E2347" s="301">
        <v>5575.5</v>
      </c>
      <c r="F2347" s="303">
        <v>43026</v>
      </c>
      <c r="G2347" s="301">
        <v>5575.5</v>
      </c>
      <c r="H2347" s="301">
        <f>Tabla15[[#This Row],[Importe]]-Tabla15[[#This Row],[Pagado]]</f>
        <v>0</v>
      </c>
      <c r="I2347" s="275" t="s">
        <v>15214</v>
      </c>
    </row>
    <row r="2348" spans="1:9" x14ac:dyDescent="0.25">
      <c r="A2348" s="420">
        <v>43026</v>
      </c>
      <c r="B2348" s="302" t="s">
        <v>34032</v>
      </c>
      <c r="C2348">
        <v>131911</v>
      </c>
      <c r="D2348" s="275" t="s">
        <v>15246</v>
      </c>
      <c r="E2348" s="301">
        <v>1168.8</v>
      </c>
      <c r="F2348" s="303">
        <v>43031</v>
      </c>
      <c r="G2348" s="301">
        <v>1168.8</v>
      </c>
      <c r="H2348" s="301">
        <f>Tabla15[[#This Row],[Importe]]-Tabla15[[#This Row],[Pagado]]</f>
        <v>0</v>
      </c>
      <c r="I2348" s="275" t="s">
        <v>15214</v>
      </c>
    </row>
    <row r="2349" spans="1:9" x14ac:dyDescent="0.25">
      <c r="A2349" s="420">
        <v>43026</v>
      </c>
      <c r="B2349" s="302" t="s">
        <v>34033</v>
      </c>
      <c r="C2349">
        <v>131912</v>
      </c>
      <c r="D2349" s="275" t="s">
        <v>15435</v>
      </c>
      <c r="E2349" s="301">
        <v>7765.2</v>
      </c>
      <c r="F2349" s="303">
        <v>43026</v>
      </c>
      <c r="G2349" s="301">
        <v>7765.2</v>
      </c>
      <c r="H2349" s="301">
        <f>Tabla15[[#This Row],[Importe]]-Tabla15[[#This Row],[Pagado]]</f>
        <v>0</v>
      </c>
      <c r="I2349" s="275" t="s">
        <v>15214</v>
      </c>
    </row>
    <row r="2350" spans="1:9" x14ac:dyDescent="0.25">
      <c r="A2350" s="420">
        <v>43026</v>
      </c>
      <c r="B2350" s="302" t="s">
        <v>34034</v>
      </c>
      <c r="C2350">
        <v>131913</v>
      </c>
      <c r="D2350" s="275" t="s">
        <v>15789</v>
      </c>
      <c r="E2350" s="301">
        <v>23251.599999999999</v>
      </c>
      <c r="F2350" s="303">
        <v>43033</v>
      </c>
      <c r="G2350" s="301">
        <v>23251.599999999999</v>
      </c>
      <c r="H2350" s="301">
        <f>Tabla15[[#This Row],[Importe]]-Tabla15[[#This Row],[Pagado]]</f>
        <v>0</v>
      </c>
      <c r="I2350" s="275" t="s">
        <v>15214</v>
      </c>
    </row>
    <row r="2351" spans="1:9" x14ac:dyDescent="0.25">
      <c r="A2351" s="420">
        <v>43026</v>
      </c>
      <c r="B2351" s="302" t="s">
        <v>34035</v>
      </c>
      <c r="C2351">
        <v>131914</v>
      </c>
      <c r="D2351" s="275" t="s">
        <v>16116</v>
      </c>
      <c r="E2351" s="301">
        <v>29058.22</v>
      </c>
      <c r="F2351" s="303">
        <v>43026</v>
      </c>
      <c r="G2351" s="301">
        <v>29058.22</v>
      </c>
      <c r="H2351" s="301">
        <f>Tabla15[[#This Row],[Importe]]-Tabla15[[#This Row],[Pagado]]</f>
        <v>0</v>
      </c>
      <c r="I2351" s="275" t="s">
        <v>15214</v>
      </c>
    </row>
    <row r="2352" spans="1:9" x14ac:dyDescent="0.25">
      <c r="A2352" s="420">
        <v>43027</v>
      </c>
      <c r="B2352" s="302" t="s">
        <v>34036</v>
      </c>
      <c r="C2352">
        <v>131915</v>
      </c>
      <c r="D2352" s="275" t="s">
        <v>21386</v>
      </c>
      <c r="E2352" s="301">
        <v>8905.9</v>
      </c>
      <c r="F2352" s="303">
        <v>43027</v>
      </c>
      <c r="G2352" s="301">
        <v>8905.9</v>
      </c>
      <c r="H2352" s="301">
        <f>Tabla15[[#This Row],[Importe]]-Tabla15[[#This Row],[Pagado]]</f>
        <v>0</v>
      </c>
      <c r="I2352" s="275" t="s">
        <v>15214</v>
      </c>
    </row>
    <row r="2353" spans="1:9" x14ac:dyDescent="0.25">
      <c r="A2353" s="420">
        <v>43027</v>
      </c>
      <c r="B2353" s="302" t="s">
        <v>34037</v>
      </c>
      <c r="C2353">
        <v>131916</v>
      </c>
      <c r="D2353" s="275" t="s">
        <v>15213</v>
      </c>
      <c r="E2353" s="301">
        <v>35085.1</v>
      </c>
      <c r="F2353" s="303">
        <v>43028</v>
      </c>
      <c r="G2353" s="301">
        <v>35085.1</v>
      </c>
      <c r="H2353" s="301">
        <f>Tabla15[[#This Row],[Importe]]-Tabla15[[#This Row],[Pagado]]</f>
        <v>0</v>
      </c>
      <c r="I2353" s="275" t="s">
        <v>15214</v>
      </c>
    </row>
    <row r="2354" spans="1:9" x14ac:dyDescent="0.25">
      <c r="A2354" s="420">
        <v>43027</v>
      </c>
      <c r="B2354" s="302" t="s">
        <v>34038</v>
      </c>
      <c r="C2354">
        <v>131917</v>
      </c>
      <c r="D2354" s="275" t="s">
        <v>15987</v>
      </c>
      <c r="E2354" s="301">
        <v>1399.5</v>
      </c>
      <c r="F2354" s="303">
        <v>43027</v>
      </c>
      <c r="G2354" s="301">
        <v>1399.5</v>
      </c>
      <c r="H2354" s="301">
        <f>Tabla15[[#This Row],[Importe]]-Tabla15[[#This Row],[Pagado]]</f>
        <v>0</v>
      </c>
      <c r="I2354" s="275" t="s">
        <v>15214</v>
      </c>
    </row>
    <row r="2355" spans="1:9" x14ac:dyDescent="0.25">
      <c r="A2355" s="420">
        <v>43027</v>
      </c>
      <c r="B2355" s="302" t="s">
        <v>34039</v>
      </c>
      <c r="C2355">
        <v>131918</v>
      </c>
      <c r="D2355" s="275" t="s">
        <v>18544</v>
      </c>
      <c r="E2355" s="301">
        <v>3840.3</v>
      </c>
      <c r="F2355" s="303">
        <v>43027</v>
      </c>
      <c r="G2355" s="301">
        <v>3840.3</v>
      </c>
      <c r="H2355" s="301">
        <f>Tabla15[[#This Row],[Importe]]-Tabla15[[#This Row],[Pagado]]</f>
        <v>0</v>
      </c>
      <c r="I2355" s="275" t="s">
        <v>15214</v>
      </c>
    </row>
    <row r="2356" spans="1:9" x14ac:dyDescent="0.25">
      <c r="A2356" s="420">
        <v>43027</v>
      </c>
      <c r="B2356" s="302" t="s">
        <v>34040</v>
      </c>
      <c r="C2356">
        <v>131919</v>
      </c>
      <c r="D2356" s="275" t="s">
        <v>15240</v>
      </c>
      <c r="E2356" s="301">
        <v>2988</v>
      </c>
      <c r="F2356" s="303">
        <v>43028</v>
      </c>
      <c r="G2356" s="301">
        <v>2988</v>
      </c>
      <c r="H2356" s="301">
        <f>Tabla15[[#This Row],[Importe]]-Tabla15[[#This Row],[Pagado]]</f>
        <v>0</v>
      </c>
      <c r="I2356" s="275" t="s">
        <v>15214</v>
      </c>
    </row>
    <row r="2357" spans="1:9" x14ac:dyDescent="0.25">
      <c r="A2357" s="420">
        <v>43027</v>
      </c>
      <c r="B2357" s="302" t="s">
        <v>34041</v>
      </c>
      <c r="C2357">
        <v>131920</v>
      </c>
      <c r="D2357" s="275" t="s">
        <v>15348</v>
      </c>
      <c r="E2357" s="301">
        <v>3862.9</v>
      </c>
      <c r="F2357" s="303">
        <v>43029</v>
      </c>
      <c r="G2357" s="301">
        <v>3862.9</v>
      </c>
      <c r="H2357" s="301">
        <f>Tabla15[[#This Row],[Importe]]-Tabla15[[#This Row],[Pagado]]</f>
        <v>0</v>
      </c>
      <c r="I2357" s="275" t="s">
        <v>15214</v>
      </c>
    </row>
    <row r="2358" spans="1:9" x14ac:dyDescent="0.25">
      <c r="A2358" s="420">
        <v>43027</v>
      </c>
      <c r="B2358" s="302" t="s">
        <v>34042</v>
      </c>
      <c r="C2358">
        <v>131921</v>
      </c>
      <c r="D2358" s="275" t="s">
        <v>15356</v>
      </c>
      <c r="E2358" s="301">
        <v>3177</v>
      </c>
      <c r="F2358" s="303">
        <v>43027</v>
      </c>
      <c r="G2358" s="301">
        <v>3177</v>
      </c>
      <c r="H2358" s="301">
        <f>Tabla15[[#This Row],[Importe]]-Tabla15[[#This Row],[Pagado]]</f>
        <v>0</v>
      </c>
      <c r="I2358" s="275" t="s">
        <v>15214</v>
      </c>
    </row>
    <row r="2359" spans="1:9" x14ac:dyDescent="0.25">
      <c r="A2359" s="420">
        <v>43027</v>
      </c>
      <c r="B2359" s="302" t="s">
        <v>34043</v>
      </c>
      <c r="C2359">
        <v>131922</v>
      </c>
      <c r="D2359" s="275" t="s">
        <v>15356</v>
      </c>
      <c r="E2359" s="301">
        <v>2479.5</v>
      </c>
      <c r="F2359" s="303">
        <v>43027</v>
      </c>
      <c r="G2359" s="301">
        <v>2479.5</v>
      </c>
      <c r="H2359" s="301">
        <f>Tabla15[[#This Row],[Importe]]-Tabla15[[#This Row],[Pagado]]</f>
        <v>0</v>
      </c>
      <c r="I2359" s="275" t="s">
        <v>15214</v>
      </c>
    </row>
    <row r="2360" spans="1:9" x14ac:dyDescent="0.25">
      <c r="A2360" s="420">
        <v>43027</v>
      </c>
      <c r="B2360" s="302" t="s">
        <v>34044</v>
      </c>
      <c r="C2360">
        <v>131923</v>
      </c>
      <c r="D2360" s="275" t="s">
        <v>15407</v>
      </c>
      <c r="E2360" s="301">
        <v>15603.7</v>
      </c>
      <c r="F2360" s="303">
        <v>43027</v>
      </c>
      <c r="G2360" s="301">
        <v>15603.7</v>
      </c>
      <c r="H2360" s="301">
        <f>Tabla15[[#This Row],[Importe]]-Tabla15[[#This Row],[Pagado]]</f>
        <v>0</v>
      </c>
      <c r="I2360" s="275" t="s">
        <v>15214</v>
      </c>
    </row>
    <row r="2361" spans="1:9" ht="15.75" x14ac:dyDescent="0.25">
      <c r="A2361" s="420">
        <v>43027</v>
      </c>
      <c r="B2361" s="302" t="s">
        <v>34045</v>
      </c>
      <c r="C2361">
        <v>131924</v>
      </c>
      <c r="D2361" s="248" t="s">
        <v>95</v>
      </c>
      <c r="E2361" s="301">
        <v>0</v>
      </c>
      <c r="F2361" s="243" t="s">
        <v>95</v>
      </c>
      <c r="G2361" s="301">
        <v>0</v>
      </c>
      <c r="H2361" s="301">
        <f>Tabla15[[#This Row],[Importe]]-Tabla15[[#This Row],[Pagado]]</f>
        <v>0</v>
      </c>
      <c r="I2361" s="275" t="s">
        <v>95</v>
      </c>
    </row>
    <row r="2362" spans="1:9" x14ac:dyDescent="0.25">
      <c r="A2362" s="420">
        <v>43027</v>
      </c>
      <c r="B2362" s="302" t="s">
        <v>34046</v>
      </c>
      <c r="C2362">
        <v>131925</v>
      </c>
      <c r="D2362" s="275" t="s">
        <v>15487</v>
      </c>
      <c r="E2362" s="301">
        <v>7170.4</v>
      </c>
      <c r="F2362" s="303">
        <v>43027</v>
      </c>
      <c r="G2362" s="301">
        <v>7170.4</v>
      </c>
      <c r="H2362" s="301">
        <f>Tabla15[[#This Row],[Importe]]-Tabla15[[#This Row],[Pagado]]</f>
        <v>0</v>
      </c>
      <c r="I2362" s="275" t="s">
        <v>15214</v>
      </c>
    </row>
    <row r="2363" spans="1:9" x14ac:dyDescent="0.25">
      <c r="A2363" s="420">
        <v>43027</v>
      </c>
      <c r="B2363" s="302" t="s">
        <v>34047</v>
      </c>
      <c r="C2363">
        <v>131926</v>
      </c>
      <c r="D2363" s="275" t="s">
        <v>5828</v>
      </c>
      <c r="E2363" s="301">
        <v>6438.6</v>
      </c>
      <c r="F2363" s="303">
        <v>43027</v>
      </c>
      <c r="G2363" s="301">
        <v>6438.6</v>
      </c>
      <c r="H2363" s="301">
        <f>Tabla15[[#This Row],[Importe]]-Tabla15[[#This Row],[Pagado]]</f>
        <v>0</v>
      </c>
      <c r="I2363" s="275" t="s">
        <v>15214</v>
      </c>
    </row>
    <row r="2364" spans="1:9" x14ac:dyDescent="0.25">
      <c r="A2364" s="420">
        <v>43027</v>
      </c>
      <c r="B2364" s="302" t="s">
        <v>34048</v>
      </c>
      <c r="C2364">
        <v>131927</v>
      </c>
      <c r="D2364" s="275" t="s">
        <v>16171</v>
      </c>
      <c r="E2364" s="301">
        <v>1665.42</v>
      </c>
      <c r="F2364" s="303">
        <v>43027</v>
      </c>
      <c r="G2364" s="301">
        <v>1665.42</v>
      </c>
      <c r="H2364" s="301">
        <f>Tabla15[[#This Row],[Importe]]-Tabla15[[#This Row],[Pagado]]</f>
        <v>0</v>
      </c>
      <c r="I2364" s="275" t="s">
        <v>15214</v>
      </c>
    </row>
    <row r="2365" spans="1:9" x14ac:dyDescent="0.25">
      <c r="A2365" s="420">
        <v>43027</v>
      </c>
      <c r="B2365" s="302" t="s">
        <v>34049</v>
      </c>
      <c r="C2365">
        <v>131928</v>
      </c>
      <c r="D2365" s="275" t="s">
        <v>15858</v>
      </c>
      <c r="E2365" s="301">
        <v>4685.28</v>
      </c>
      <c r="F2365" s="303">
        <v>43027</v>
      </c>
      <c r="G2365" s="301">
        <v>4685.28</v>
      </c>
      <c r="H2365" s="301">
        <f>Tabla15[[#This Row],[Importe]]-Tabla15[[#This Row],[Pagado]]</f>
        <v>0</v>
      </c>
      <c r="I2365" s="275" t="s">
        <v>15214</v>
      </c>
    </row>
    <row r="2366" spans="1:9" x14ac:dyDescent="0.25">
      <c r="A2366" s="420">
        <v>43027</v>
      </c>
      <c r="B2366" s="302" t="s">
        <v>34050</v>
      </c>
      <c r="C2366">
        <v>131929</v>
      </c>
      <c r="D2366" s="275" t="s">
        <v>15328</v>
      </c>
      <c r="E2366" s="301">
        <v>74780.160000000003</v>
      </c>
      <c r="F2366" s="303">
        <v>43031</v>
      </c>
      <c r="G2366" s="301">
        <v>74780.160000000003</v>
      </c>
      <c r="H2366" s="301">
        <f>Tabla15[[#This Row],[Importe]]-Tabla15[[#This Row],[Pagado]]</f>
        <v>0</v>
      </c>
      <c r="I2366" s="275" t="s">
        <v>15214</v>
      </c>
    </row>
    <row r="2367" spans="1:9" x14ac:dyDescent="0.25">
      <c r="A2367" s="420">
        <v>43027</v>
      </c>
      <c r="B2367" s="302" t="s">
        <v>34051</v>
      </c>
      <c r="C2367">
        <v>131930</v>
      </c>
      <c r="D2367" s="275" t="s">
        <v>15861</v>
      </c>
      <c r="E2367" s="301">
        <v>1789.8</v>
      </c>
      <c r="F2367" s="303">
        <v>43027</v>
      </c>
      <c r="G2367" s="301">
        <v>1789.8</v>
      </c>
      <c r="H2367" s="301">
        <f>Tabla15[[#This Row],[Importe]]-Tabla15[[#This Row],[Pagado]]</f>
        <v>0</v>
      </c>
      <c r="I2367" s="275" t="s">
        <v>15214</v>
      </c>
    </row>
    <row r="2368" spans="1:9" x14ac:dyDescent="0.25">
      <c r="A2368" s="420">
        <v>43027</v>
      </c>
      <c r="B2368" s="302" t="s">
        <v>34052</v>
      </c>
      <c r="C2368">
        <v>131931</v>
      </c>
      <c r="D2368" s="275" t="s">
        <v>15523</v>
      </c>
      <c r="E2368" s="301">
        <v>1840</v>
      </c>
      <c r="F2368" s="303">
        <v>43027</v>
      </c>
      <c r="G2368" s="301">
        <v>1840</v>
      </c>
      <c r="H2368" s="301">
        <f>Tabla15[[#This Row],[Importe]]-Tabla15[[#This Row],[Pagado]]</f>
        <v>0</v>
      </c>
      <c r="I2368" s="275" t="s">
        <v>15214</v>
      </c>
    </row>
    <row r="2369" spans="1:9" x14ac:dyDescent="0.25">
      <c r="A2369" s="420">
        <v>43027</v>
      </c>
      <c r="B2369" s="302" t="s">
        <v>34053</v>
      </c>
      <c r="C2369">
        <v>131932</v>
      </c>
      <c r="D2369" s="275" t="s">
        <v>15358</v>
      </c>
      <c r="E2369" s="301">
        <v>1298</v>
      </c>
      <c r="F2369" s="303">
        <v>43027</v>
      </c>
      <c r="G2369" s="301">
        <v>1298</v>
      </c>
      <c r="H2369" s="301">
        <f>Tabla15[[#This Row],[Importe]]-Tabla15[[#This Row],[Pagado]]</f>
        <v>0</v>
      </c>
      <c r="I2369" s="275" t="s">
        <v>15214</v>
      </c>
    </row>
    <row r="2370" spans="1:9" x14ac:dyDescent="0.25">
      <c r="A2370" s="420">
        <v>43027</v>
      </c>
      <c r="B2370" s="302" t="s">
        <v>34054</v>
      </c>
      <c r="C2370">
        <v>131933</v>
      </c>
      <c r="D2370" s="275" t="s">
        <v>15732</v>
      </c>
      <c r="E2370" s="301">
        <v>1169.2</v>
      </c>
      <c r="F2370" s="303">
        <v>43027</v>
      </c>
      <c r="G2370" s="301">
        <v>1169.2</v>
      </c>
      <c r="H2370" s="301">
        <f>Tabla15[[#This Row],[Importe]]-Tabla15[[#This Row],[Pagado]]</f>
        <v>0</v>
      </c>
      <c r="I2370" s="275" t="s">
        <v>15214</v>
      </c>
    </row>
    <row r="2371" spans="1:9" x14ac:dyDescent="0.25">
      <c r="A2371" s="420">
        <v>43027</v>
      </c>
      <c r="B2371" s="302" t="s">
        <v>34055</v>
      </c>
      <c r="C2371">
        <v>131934</v>
      </c>
      <c r="D2371" s="275" t="s">
        <v>15332</v>
      </c>
      <c r="E2371" s="301">
        <v>5690.2</v>
      </c>
      <c r="F2371" s="303">
        <v>43027</v>
      </c>
      <c r="G2371" s="301">
        <v>5690.2</v>
      </c>
      <c r="H2371" s="301">
        <f>Tabla15[[#This Row],[Importe]]-Tabla15[[#This Row],[Pagado]]</f>
        <v>0</v>
      </c>
      <c r="I2371" s="275" t="s">
        <v>15214</v>
      </c>
    </row>
    <row r="2372" spans="1:9" x14ac:dyDescent="0.25">
      <c r="A2372" s="420">
        <v>43027</v>
      </c>
      <c r="B2372" s="302" t="s">
        <v>34056</v>
      </c>
      <c r="C2372">
        <v>131935</v>
      </c>
      <c r="D2372" s="275" t="s">
        <v>15334</v>
      </c>
      <c r="E2372" s="301">
        <v>1955</v>
      </c>
      <c r="F2372" s="303">
        <v>43027</v>
      </c>
      <c r="G2372" s="301">
        <v>1955</v>
      </c>
      <c r="H2372" s="301">
        <f>Tabla15[[#This Row],[Importe]]-Tabla15[[#This Row],[Pagado]]</f>
        <v>0</v>
      </c>
      <c r="I2372" s="275" t="s">
        <v>15214</v>
      </c>
    </row>
    <row r="2373" spans="1:9" x14ac:dyDescent="0.25">
      <c r="A2373" s="420">
        <v>43027</v>
      </c>
      <c r="B2373" s="302" t="s">
        <v>34057</v>
      </c>
      <c r="C2373">
        <v>131936</v>
      </c>
      <c r="D2373" s="275" t="s">
        <v>34058</v>
      </c>
      <c r="E2373" s="301">
        <v>8051.2</v>
      </c>
      <c r="F2373" s="303">
        <v>43027</v>
      </c>
      <c r="G2373" s="301">
        <v>8051.2</v>
      </c>
      <c r="H2373" s="301">
        <f>Tabla15[[#This Row],[Importe]]-Tabla15[[#This Row],[Pagado]]</f>
        <v>0</v>
      </c>
      <c r="I2373" s="275" t="s">
        <v>15214</v>
      </c>
    </row>
    <row r="2374" spans="1:9" x14ac:dyDescent="0.25">
      <c r="A2374" s="420">
        <v>43027</v>
      </c>
      <c r="B2374" s="302" t="s">
        <v>34059</v>
      </c>
      <c r="C2374">
        <v>131937</v>
      </c>
      <c r="D2374" s="275" t="s">
        <v>15272</v>
      </c>
      <c r="E2374" s="301">
        <v>17110.3</v>
      </c>
      <c r="F2374" s="303">
        <v>43027</v>
      </c>
      <c r="G2374" s="301">
        <v>17110.3</v>
      </c>
      <c r="H2374" s="301">
        <f>Tabla15[[#This Row],[Importe]]-Tabla15[[#This Row],[Pagado]]</f>
        <v>0</v>
      </c>
      <c r="I2374" s="275" t="s">
        <v>15214</v>
      </c>
    </row>
    <row r="2375" spans="1:9" ht="15.75" x14ac:dyDescent="0.25">
      <c r="A2375" s="420">
        <v>43027</v>
      </c>
      <c r="B2375" s="302" t="s">
        <v>34060</v>
      </c>
      <c r="C2375">
        <v>131938</v>
      </c>
      <c r="D2375" s="248" t="s">
        <v>95</v>
      </c>
      <c r="E2375" s="301">
        <v>0</v>
      </c>
      <c r="F2375" s="243" t="s">
        <v>95</v>
      </c>
      <c r="G2375" s="301">
        <v>0</v>
      </c>
      <c r="H2375" s="301">
        <f>Tabla15[[#This Row],[Importe]]-Tabla15[[#This Row],[Pagado]]</f>
        <v>0</v>
      </c>
      <c r="I2375" s="275" t="s">
        <v>95</v>
      </c>
    </row>
    <row r="2376" spans="1:9" x14ac:dyDescent="0.25">
      <c r="A2376" s="420">
        <v>43027</v>
      </c>
      <c r="B2376" s="302" t="s">
        <v>34061</v>
      </c>
      <c r="C2376">
        <v>131939</v>
      </c>
      <c r="D2376" s="275" t="s">
        <v>16249</v>
      </c>
      <c r="E2376" s="301">
        <v>4959.2</v>
      </c>
      <c r="F2376" s="303">
        <v>43027</v>
      </c>
      <c r="G2376" s="301">
        <v>4959.2</v>
      </c>
      <c r="H2376" s="301">
        <f>Tabla15[[#This Row],[Importe]]-Tabla15[[#This Row],[Pagado]]</f>
        <v>0</v>
      </c>
      <c r="I2376" s="275" t="s">
        <v>15214</v>
      </c>
    </row>
    <row r="2377" spans="1:9" x14ac:dyDescent="0.25">
      <c r="A2377" s="420">
        <v>43027</v>
      </c>
      <c r="B2377" s="302" t="s">
        <v>34062</v>
      </c>
      <c r="C2377">
        <v>131940</v>
      </c>
      <c r="D2377" s="275" t="s">
        <v>15624</v>
      </c>
      <c r="E2377" s="301">
        <v>32545.1</v>
      </c>
      <c r="F2377" s="303">
        <v>43028</v>
      </c>
      <c r="G2377" s="301">
        <v>32545.1</v>
      </c>
      <c r="H2377" s="301">
        <f>Tabla15[[#This Row],[Importe]]-Tabla15[[#This Row],[Pagado]]</f>
        <v>0</v>
      </c>
      <c r="I2377" s="275" t="s">
        <v>15214</v>
      </c>
    </row>
    <row r="2378" spans="1:9" x14ac:dyDescent="0.25">
      <c r="A2378" s="420">
        <v>43027</v>
      </c>
      <c r="B2378" s="302" t="s">
        <v>34063</v>
      </c>
      <c r="C2378">
        <v>131941</v>
      </c>
      <c r="D2378" s="275" t="s">
        <v>15324</v>
      </c>
      <c r="E2378" s="301">
        <v>1660</v>
      </c>
      <c r="F2378" s="303">
        <v>43027</v>
      </c>
      <c r="G2378" s="301">
        <v>1660</v>
      </c>
      <c r="H2378" s="301">
        <f>Tabla15[[#This Row],[Importe]]-Tabla15[[#This Row],[Pagado]]</f>
        <v>0</v>
      </c>
      <c r="I2378" s="275" t="s">
        <v>15214</v>
      </c>
    </row>
    <row r="2379" spans="1:9" x14ac:dyDescent="0.25">
      <c r="A2379" s="420">
        <v>43027</v>
      </c>
      <c r="B2379" s="302" t="s">
        <v>34064</v>
      </c>
      <c r="C2379">
        <v>131942</v>
      </c>
      <c r="D2379" s="275" t="s">
        <v>15226</v>
      </c>
      <c r="E2379" s="301">
        <v>1458.2</v>
      </c>
      <c r="F2379" s="303">
        <v>43028</v>
      </c>
      <c r="G2379" s="301">
        <v>1458.2</v>
      </c>
      <c r="H2379" s="301">
        <f>Tabla15[[#This Row],[Importe]]-Tabla15[[#This Row],[Pagado]]</f>
        <v>0</v>
      </c>
      <c r="I2379" s="275" t="s">
        <v>15214</v>
      </c>
    </row>
    <row r="2380" spans="1:9" x14ac:dyDescent="0.25">
      <c r="A2380" s="420">
        <v>43027</v>
      </c>
      <c r="B2380" s="302" t="s">
        <v>34065</v>
      </c>
      <c r="C2380">
        <v>131943</v>
      </c>
      <c r="D2380" s="275" t="s">
        <v>15223</v>
      </c>
      <c r="E2380" s="301">
        <v>46631.199999999997</v>
      </c>
      <c r="F2380" s="303">
        <v>43049</v>
      </c>
      <c r="G2380" s="301">
        <v>46631.199999999997</v>
      </c>
      <c r="H2380" s="301">
        <f>Tabla15[[#This Row],[Importe]]-Tabla15[[#This Row],[Pagado]]</f>
        <v>0</v>
      </c>
      <c r="I2380" s="275" t="s">
        <v>15214</v>
      </c>
    </row>
    <row r="2381" spans="1:9" x14ac:dyDescent="0.25">
      <c r="A2381" s="420">
        <v>43027</v>
      </c>
      <c r="B2381" s="302" t="s">
        <v>34066</v>
      </c>
      <c r="C2381">
        <v>131944</v>
      </c>
      <c r="D2381" s="275" t="s">
        <v>16958</v>
      </c>
      <c r="E2381" s="301">
        <v>2239.3000000000002</v>
      </c>
      <c r="F2381" s="303">
        <v>43027</v>
      </c>
      <c r="G2381" s="301">
        <v>2239.3000000000002</v>
      </c>
      <c r="H2381" s="301">
        <f>Tabla15[[#This Row],[Importe]]-Tabla15[[#This Row],[Pagado]]</f>
        <v>0</v>
      </c>
      <c r="I2381" s="275" t="s">
        <v>15214</v>
      </c>
    </row>
    <row r="2382" spans="1:9" x14ac:dyDescent="0.25">
      <c r="A2382" s="420">
        <v>43027</v>
      </c>
      <c r="B2382" s="302" t="s">
        <v>34067</v>
      </c>
      <c r="C2382">
        <v>131945</v>
      </c>
      <c r="D2382" s="275" t="s">
        <v>15668</v>
      </c>
      <c r="E2382" s="301">
        <v>16084.8</v>
      </c>
      <c r="F2382" s="303">
        <v>43028</v>
      </c>
      <c r="G2382" s="301">
        <v>16084.8</v>
      </c>
      <c r="H2382" s="301">
        <f>Tabla15[[#This Row],[Importe]]-Tabla15[[#This Row],[Pagado]]</f>
        <v>0</v>
      </c>
      <c r="I2382" s="275" t="s">
        <v>15214</v>
      </c>
    </row>
    <row r="2383" spans="1:9" x14ac:dyDescent="0.25">
      <c r="A2383" s="420">
        <v>43027</v>
      </c>
      <c r="B2383" s="302" t="s">
        <v>34068</v>
      </c>
      <c r="C2383">
        <v>131946</v>
      </c>
      <c r="D2383" s="275" t="s">
        <v>15480</v>
      </c>
      <c r="E2383" s="301">
        <v>3513.6</v>
      </c>
      <c r="F2383" s="303">
        <v>43029</v>
      </c>
      <c r="G2383" s="301">
        <v>3513.6</v>
      </c>
      <c r="H2383" s="301">
        <f>Tabla15[[#This Row],[Importe]]-Tabla15[[#This Row],[Pagado]]</f>
        <v>0</v>
      </c>
      <c r="I2383" s="275" t="s">
        <v>15214</v>
      </c>
    </row>
    <row r="2384" spans="1:9" x14ac:dyDescent="0.25">
      <c r="A2384" s="420">
        <v>43027</v>
      </c>
      <c r="B2384" s="302" t="s">
        <v>34069</v>
      </c>
      <c r="C2384">
        <v>131947</v>
      </c>
      <c r="D2384" s="275" t="s">
        <v>17722</v>
      </c>
      <c r="E2384" s="301">
        <v>1214.5999999999999</v>
      </c>
      <c r="F2384" s="303">
        <v>43029</v>
      </c>
      <c r="G2384" s="301">
        <v>1214.5999999999999</v>
      </c>
      <c r="H2384" s="301">
        <f>Tabla15[[#This Row],[Importe]]-Tabla15[[#This Row],[Pagado]]</f>
        <v>0</v>
      </c>
      <c r="I2384" s="275" t="s">
        <v>15214</v>
      </c>
    </row>
    <row r="2385" spans="1:9" x14ac:dyDescent="0.25">
      <c r="A2385" s="420">
        <v>43027</v>
      </c>
      <c r="B2385" s="302" t="s">
        <v>34070</v>
      </c>
      <c r="C2385">
        <v>131948</v>
      </c>
      <c r="D2385" s="275" t="s">
        <v>15236</v>
      </c>
      <c r="E2385" s="301">
        <v>3136.2</v>
      </c>
      <c r="F2385" s="303">
        <v>43029</v>
      </c>
      <c r="G2385" s="301">
        <v>3136.2</v>
      </c>
      <c r="H2385" s="301">
        <f>Tabla15[[#This Row],[Importe]]-Tabla15[[#This Row],[Pagado]]</f>
        <v>0</v>
      </c>
      <c r="I2385" s="275" t="s">
        <v>15214</v>
      </c>
    </row>
    <row r="2386" spans="1:9" x14ac:dyDescent="0.25">
      <c r="A2386" s="420">
        <v>43027</v>
      </c>
      <c r="B2386" s="302" t="s">
        <v>34071</v>
      </c>
      <c r="C2386">
        <v>131949</v>
      </c>
      <c r="D2386" s="275" t="s">
        <v>15234</v>
      </c>
      <c r="E2386" s="301">
        <v>3621.6</v>
      </c>
      <c r="F2386" s="303">
        <v>43032</v>
      </c>
      <c r="G2386" s="301">
        <v>3621.6</v>
      </c>
      <c r="H2386" s="301">
        <f>Tabla15[[#This Row],[Importe]]-Tabla15[[#This Row],[Pagado]]</f>
        <v>0</v>
      </c>
      <c r="I2386" s="275" t="s">
        <v>15214</v>
      </c>
    </row>
    <row r="2387" spans="1:9" x14ac:dyDescent="0.25">
      <c r="A2387" s="420">
        <v>43027</v>
      </c>
      <c r="B2387" s="302" t="s">
        <v>34072</v>
      </c>
      <c r="C2387">
        <v>131950</v>
      </c>
      <c r="D2387" s="275" t="s">
        <v>15230</v>
      </c>
      <c r="E2387" s="301">
        <v>8762.7999999999993</v>
      </c>
      <c r="F2387" s="303">
        <v>43031</v>
      </c>
      <c r="G2387" s="301">
        <v>8762.7999999999993</v>
      </c>
      <c r="H2387" s="301">
        <f>Tabla15[[#This Row],[Importe]]-Tabla15[[#This Row],[Pagado]]</f>
        <v>0</v>
      </c>
      <c r="I2387" s="275" t="s">
        <v>15214</v>
      </c>
    </row>
    <row r="2388" spans="1:9" ht="30" x14ac:dyDescent="0.25">
      <c r="A2388" s="420">
        <v>43027</v>
      </c>
      <c r="B2388" s="302" t="s">
        <v>34073</v>
      </c>
      <c r="C2388">
        <v>131951</v>
      </c>
      <c r="D2388" s="275" t="s">
        <v>19780</v>
      </c>
      <c r="E2388" s="301">
        <v>9734.4</v>
      </c>
      <c r="F2388" s="303" t="s">
        <v>34074</v>
      </c>
      <c r="G2388" s="305">
        <f>5000+4734.4</f>
        <v>9734.4</v>
      </c>
      <c r="H2388" s="305">
        <f>Tabla15[[#This Row],[Importe]]-Tabla15[[#This Row],[Pagado]]</f>
        <v>0</v>
      </c>
      <c r="I2388" s="275" t="s">
        <v>15214</v>
      </c>
    </row>
    <row r="2389" spans="1:9" x14ac:dyDescent="0.25">
      <c r="A2389" s="420">
        <v>43027</v>
      </c>
      <c r="B2389" s="302" t="s">
        <v>34075</v>
      </c>
      <c r="C2389">
        <v>131952</v>
      </c>
      <c r="D2389" s="275" t="s">
        <v>5575</v>
      </c>
      <c r="E2389" s="301">
        <v>3317.4</v>
      </c>
      <c r="F2389" s="303">
        <v>43029</v>
      </c>
      <c r="G2389" s="301">
        <v>3317.4</v>
      </c>
      <c r="H2389" s="301">
        <f>Tabla15[[#This Row],[Importe]]-Tabla15[[#This Row],[Pagado]]</f>
        <v>0</v>
      </c>
      <c r="I2389" s="275" t="s">
        <v>15214</v>
      </c>
    </row>
    <row r="2390" spans="1:9" x14ac:dyDescent="0.25">
      <c r="A2390" s="420">
        <v>43027</v>
      </c>
      <c r="B2390" s="302" t="s">
        <v>34076</v>
      </c>
      <c r="C2390">
        <v>131953</v>
      </c>
      <c r="D2390" s="275" t="s">
        <v>15263</v>
      </c>
      <c r="E2390" s="301">
        <v>3374.6</v>
      </c>
      <c r="F2390" s="303">
        <v>43027</v>
      </c>
      <c r="G2390" s="301">
        <v>3374.6</v>
      </c>
      <c r="H2390" s="301">
        <f>Tabla15[[#This Row],[Importe]]-Tabla15[[#This Row],[Pagado]]</f>
        <v>0</v>
      </c>
      <c r="I2390" s="275" t="s">
        <v>15214</v>
      </c>
    </row>
    <row r="2391" spans="1:9" x14ac:dyDescent="0.25">
      <c r="A2391" s="420">
        <v>43027</v>
      </c>
      <c r="B2391" s="302" t="s">
        <v>34077</v>
      </c>
      <c r="C2391">
        <v>131954</v>
      </c>
      <c r="D2391" s="275" t="s">
        <v>15258</v>
      </c>
      <c r="E2391" s="301">
        <v>9453.6</v>
      </c>
      <c r="F2391" s="303">
        <v>43029</v>
      </c>
      <c r="G2391" s="301">
        <v>9453.6</v>
      </c>
      <c r="H2391" s="301">
        <f>Tabla15[[#This Row],[Importe]]-Tabla15[[#This Row],[Pagado]]</f>
        <v>0</v>
      </c>
      <c r="I2391" s="275" t="s">
        <v>15214</v>
      </c>
    </row>
    <row r="2392" spans="1:9" x14ac:dyDescent="0.25">
      <c r="A2392" s="420">
        <v>43027</v>
      </c>
      <c r="B2392" s="302" t="s">
        <v>34078</v>
      </c>
      <c r="C2392">
        <v>131955</v>
      </c>
      <c r="D2392" s="275" t="s">
        <v>30057</v>
      </c>
      <c r="E2392" s="301">
        <v>3657.6</v>
      </c>
      <c r="F2392" s="303">
        <v>43028</v>
      </c>
      <c r="G2392" s="301">
        <v>3657.6</v>
      </c>
      <c r="H2392" s="301">
        <f>Tabla15[[#This Row],[Importe]]-Tabla15[[#This Row],[Pagado]]</f>
        <v>0</v>
      </c>
      <c r="I2392" s="275" t="s">
        <v>15214</v>
      </c>
    </row>
    <row r="2393" spans="1:9" x14ac:dyDescent="0.25">
      <c r="A2393" s="420">
        <v>43027</v>
      </c>
      <c r="B2393" s="302" t="s">
        <v>34079</v>
      </c>
      <c r="C2393">
        <v>131956</v>
      </c>
      <c r="D2393" s="275" t="s">
        <v>15232</v>
      </c>
      <c r="E2393" s="301">
        <v>6023.6</v>
      </c>
      <c r="F2393" s="303">
        <v>43034</v>
      </c>
      <c r="G2393" s="301">
        <v>6023.6</v>
      </c>
      <c r="H2393" s="301">
        <f>Tabla15[[#This Row],[Importe]]-Tabla15[[#This Row],[Pagado]]</f>
        <v>0</v>
      </c>
      <c r="I2393" s="275" t="s">
        <v>15214</v>
      </c>
    </row>
    <row r="2394" spans="1:9" x14ac:dyDescent="0.25">
      <c r="A2394" s="420">
        <v>43027</v>
      </c>
      <c r="B2394" s="302" t="s">
        <v>34080</v>
      </c>
      <c r="C2394">
        <v>131957</v>
      </c>
      <c r="D2394" s="275" t="s">
        <v>15238</v>
      </c>
      <c r="E2394" s="301">
        <v>2511.1999999999998</v>
      </c>
      <c r="F2394" s="303">
        <v>43029</v>
      </c>
      <c r="G2394" s="301">
        <v>2511.1999999999998</v>
      </c>
      <c r="H2394" s="301">
        <f>Tabla15[[#This Row],[Importe]]-Tabla15[[#This Row],[Pagado]]</f>
        <v>0</v>
      </c>
      <c r="I2394" s="275" t="s">
        <v>15214</v>
      </c>
    </row>
    <row r="2395" spans="1:9" x14ac:dyDescent="0.25">
      <c r="A2395" s="420">
        <v>43027</v>
      </c>
      <c r="B2395" s="302" t="s">
        <v>34081</v>
      </c>
      <c r="C2395">
        <v>131958</v>
      </c>
      <c r="D2395" s="275" t="s">
        <v>15242</v>
      </c>
      <c r="E2395" s="301">
        <v>14043.8</v>
      </c>
      <c r="F2395" s="303">
        <v>43027</v>
      </c>
      <c r="G2395" s="301">
        <v>14043.8</v>
      </c>
      <c r="H2395" s="301">
        <f>Tabla15[[#This Row],[Importe]]-Tabla15[[#This Row],[Pagado]]</f>
        <v>0</v>
      </c>
      <c r="I2395" s="275" t="s">
        <v>15214</v>
      </c>
    </row>
    <row r="2396" spans="1:9" x14ac:dyDescent="0.25">
      <c r="A2396" s="420">
        <v>43027</v>
      </c>
      <c r="B2396" s="302" t="s">
        <v>34082</v>
      </c>
      <c r="C2396">
        <v>131959</v>
      </c>
      <c r="D2396" s="275" t="s">
        <v>15549</v>
      </c>
      <c r="E2396" s="301">
        <v>10264</v>
      </c>
      <c r="F2396" s="303">
        <v>43028</v>
      </c>
      <c r="G2396" s="301">
        <v>10264</v>
      </c>
      <c r="H2396" s="301">
        <f>Tabla15[[#This Row],[Importe]]-Tabla15[[#This Row],[Pagado]]</f>
        <v>0</v>
      </c>
      <c r="I2396" s="275" t="s">
        <v>15214</v>
      </c>
    </row>
    <row r="2397" spans="1:9" x14ac:dyDescent="0.25">
      <c r="A2397" s="420">
        <v>43027</v>
      </c>
      <c r="B2397" s="302" t="s">
        <v>34083</v>
      </c>
      <c r="C2397">
        <v>131960</v>
      </c>
      <c r="D2397" s="275" t="s">
        <v>17057</v>
      </c>
      <c r="E2397" s="301">
        <v>2476.3000000000002</v>
      </c>
      <c r="F2397" s="303">
        <v>43027</v>
      </c>
      <c r="G2397" s="301">
        <v>2476.3000000000002</v>
      </c>
      <c r="H2397" s="301">
        <f>Tabla15[[#This Row],[Importe]]-Tabla15[[#This Row],[Pagado]]</f>
        <v>0</v>
      </c>
      <c r="I2397" s="275" t="s">
        <v>15214</v>
      </c>
    </row>
    <row r="2398" spans="1:9" x14ac:dyDescent="0.25">
      <c r="A2398" s="420">
        <v>43027</v>
      </c>
      <c r="B2398" s="302" t="s">
        <v>34084</v>
      </c>
      <c r="C2398">
        <v>131961</v>
      </c>
      <c r="D2398" s="275" t="s">
        <v>23937</v>
      </c>
      <c r="E2398" s="301">
        <v>3096.6</v>
      </c>
      <c r="F2398" s="303">
        <v>43027</v>
      </c>
      <c r="G2398" s="301">
        <v>3096.6</v>
      </c>
      <c r="H2398" s="301">
        <f>Tabla15[[#This Row],[Importe]]-Tabla15[[#This Row],[Pagado]]</f>
        <v>0</v>
      </c>
      <c r="I2398" s="275" t="s">
        <v>15214</v>
      </c>
    </row>
    <row r="2399" spans="1:9" x14ac:dyDescent="0.25">
      <c r="A2399" s="420">
        <v>43027</v>
      </c>
      <c r="B2399" s="302" t="s">
        <v>34085</v>
      </c>
      <c r="C2399">
        <v>131962</v>
      </c>
      <c r="D2399" s="275" t="s">
        <v>15438</v>
      </c>
      <c r="E2399" s="301">
        <v>3252.6</v>
      </c>
      <c r="F2399" s="303">
        <v>43027</v>
      </c>
      <c r="G2399" s="301">
        <v>3252.6</v>
      </c>
      <c r="H2399" s="301">
        <f>Tabla15[[#This Row],[Importe]]-Tabla15[[#This Row],[Pagado]]</f>
        <v>0</v>
      </c>
      <c r="I2399" s="275" t="s">
        <v>15214</v>
      </c>
    </row>
    <row r="2400" spans="1:9" x14ac:dyDescent="0.25">
      <c r="A2400" s="420">
        <v>43027</v>
      </c>
      <c r="B2400" s="302" t="s">
        <v>34086</v>
      </c>
      <c r="C2400">
        <v>131963</v>
      </c>
      <c r="D2400" s="275" t="s">
        <v>15252</v>
      </c>
      <c r="E2400" s="301">
        <v>3722.7</v>
      </c>
      <c r="F2400" s="303">
        <v>43031</v>
      </c>
      <c r="G2400" s="301">
        <v>3722.7</v>
      </c>
      <c r="H2400" s="301">
        <f>Tabla15[[#This Row],[Importe]]-Tabla15[[#This Row],[Pagado]]</f>
        <v>0</v>
      </c>
      <c r="I2400" s="275" t="s">
        <v>15214</v>
      </c>
    </row>
    <row r="2401" spans="1:9" x14ac:dyDescent="0.25">
      <c r="A2401" s="420">
        <v>43027</v>
      </c>
      <c r="B2401" s="302" t="s">
        <v>34087</v>
      </c>
      <c r="C2401">
        <v>131964</v>
      </c>
      <c r="D2401" s="275" t="s">
        <v>15244</v>
      </c>
      <c r="E2401" s="301">
        <v>8639.6</v>
      </c>
      <c r="F2401" s="303">
        <v>43027</v>
      </c>
      <c r="G2401" s="301">
        <v>8639.6</v>
      </c>
      <c r="H2401" s="301">
        <f>Tabla15[[#This Row],[Importe]]-Tabla15[[#This Row],[Pagado]]</f>
        <v>0</v>
      </c>
      <c r="I2401" s="275" t="s">
        <v>15214</v>
      </c>
    </row>
    <row r="2402" spans="1:9" x14ac:dyDescent="0.25">
      <c r="A2402" s="420">
        <v>43027</v>
      </c>
      <c r="B2402" s="302" t="s">
        <v>34088</v>
      </c>
      <c r="C2402">
        <v>131965</v>
      </c>
      <c r="D2402" s="275" t="s">
        <v>15254</v>
      </c>
      <c r="E2402" s="301">
        <v>288.8</v>
      </c>
      <c r="F2402" s="303">
        <v>43027</v>
      </c>
      <c r="G2402" s="301">
        <v>288.8</v>
      </c>
      <c r="H2402" s="301">
        <f>Tabla15[[#This Row],[Importe]]-Tabla15[[#This Row],[Pagado]]</f>
        <v>0</v>
      </c>
      <c r="I2402" s="275" t="s">
        <v>15214</v>
      </c>
    </row>
    <row r="2403" spans="1:9" ht="15.75" x14ac:dyDescent="0.25">
      <c r="A2403" s="420">
        <v>43027</v>
      </c>
      <c r="B2403" s="302" t="s">
        <v>34089</v>
      </c>
      <c r="C2403">
        <v>131966</v>
      </c>
      <c r="D2403" s="248" t="s">
        <v>95</v>
      </c>
      <c r="E2403" s="301">
        <v>0</v>
      </c>
      <c r="F2403" s="243" t="s">
        <v>95</v>
      </c>
      <c r="G2403" s="301">
        <v>0</v>
      </c>
      <c r="H2403" s="301">
        <f>Tabla15[[#This Row],[Importe]]-Tabla15[[#This Row],[Pagado]]</f>
        <v>0</v>
      </c>
      <c r="I2403" s="275" t="s">
        <v>95</v>
      </c>
    </row>
    <row r="2404" spans="1:9" x14ac:dyDescent="0.25">
      <c r="A2404" s="420">
        <v>43027</v>
      </c>
      <c r="B2404" s="302" t="s">
        <v>34090</v>
      </c>
      <c r="C2404">
        <v>131967</v>
      </c>
      <c r="D2404" s="275" t="s">
        <v>15338</v>
      </c>
      <c r="E2404" s="301">
        <v>11677.1</v>
      </c>
      <c r="F2404" s="303">
        <v>43029</v>
      </c>
      <c r="G2404" s="301">
        <v>11677.1</v>
      </c>
      <c r="H2404" s="301">
        <f>Tabla15[[#This Row],[Importe]]-Tabla15[[#This Row],[Pagado]]</f>
        <v>0</v>
      </c>
      <c r="I2404" s="275" t="s">
        <v>15214</v>
      </c>
    </row>
    <row r="2405" spans="1:9" x14ac:dyDescent="0.25">
      <c r="A2405" s="420">
        <v>43027</v>
      </c>
      <c r="B2405" s="302" t="s">
        <v>34091</v>
      </c>
      <c r="C2405">
        <v>131968</v>
      </c>
      <c r="D2405" s="275" t="s">
        <v>15250</v>
      </c>
      <c r="E2405" s="301">
        <v>74823.75</v>
      </c>
      <c r="F2405" s="303">
        <v>43038</v>
      </c>
      <c r="G2405" s="301">
        <v>74823.75</v>
      </c>
      <c r="H2405" s="301">
        <f>Tabla15[[#This Row],[Importe]]-Tabla15[[#This Row],[Pagado]]</f>
        <v>0</v>
      </c>
      <c r="I2405" s="275" t="s">
        <v>15214</v>
      </c>
    </row>
    <row r="2406" spans="1:9" x14ac:dyDescent="0.25">
      <c r="A2406" s="420">
        <v>43027</v>
      </c>
      <c r="B2406" s="302" t="s">
        <v>34092</v>
      </c>
      <c r="C2406">
        <v>131969</v>
      </c>
      <c r="D2406" s="275" t="s">
        <v>15284</v>
      </c>
      <c r="E2406" s="301">
        <v>1835.6</v>
      </c>
      <c r="F2406" s="303">
        <v>43027</v>
      </c>
      <c r="G2406" s="301">
        <v>1835.6</v>
      </c>
      <c r="H2406" s="301">
        <f>Tabla15[[#This Row],[Importe]]-Tabla15[[#This Row],[Pagado]]</f>
        <v>0</v>
      </c>
      <c r="I2406" s="275" t="s">
        <v>15214</v>
      </c>
    </row>
    <row r="2407" spans="1:9" x14ac:dyDescent="0.25">
      <c r="A2407" s="420">
        <v>43027</v>
      </c>
      <c r="B2407" s="302" t="s">
        <v>34093</v>
      </c>
      <c r="C2407">
        <v>131970</v>
      </c>
      <c r="D2407" s="275" t="s">
        <v>15280</v>
      </c>
      <c r="E2407" s="301">
        <v>10981.6</v>
      </c>
      <c r="F2407" s="303">
        <v>43027</v>
      </c>
      <c r="G2407" s="301">
        <v>10981.6</v>
      </c>
      <c r="H2407" s="301">
        <f>Tabla15[[#This Row],[Importe]]-Tabla15[[#This Row],[Pagado]]</f>
        <v>0</v>
      </c>
      <c r="I2407" s="275" t="s">
        <v>15214</v>
      </c>
    </row>
    <row r="2408" spans="1:9" x14ac:dyDescent="0.25">
      <c r="A2408" s="420">
        <v>43027</v>
      </c>
      <c r="B2408" s="302" t="s">
        <v>34094</v>
      </c>
      <c r="C2408">
        <v>131971</v>
      </c>
      <c r="D2408" s="275" t="s">
        <v>15307</v>
      </c>
      <c r="E2408" s="301">
        <v>6683.1</v>
      </c>
      <c r="F2408" s="303">
        <v>43027</v>
      </c>
      <c r="G2408" s="301">
        <v>6683.1</v>
      </c>
      <c r="H2408" s="301">
        <f>Tabla15[[#This Row],[Importe]]-Tabla15[[#This Row],[Pagado]]</f>
        <v>0</v>
      </c>
      <c r="I2408" s="275" t="s">
        <v>15214</v>
      </c>
    </row>
    <row r="2409" spans="1:9" x14ac:dyDescent="0.25">
      <c r="A2409" s="420">
        <v>43027</v>
      </c>
      <c r="B2409" s="302" t="s">
        <v>34095</v>
      </c>
      <c r="C2409">
        <v>131972</v>
      </c>
      <c r="D2409" s="275" t="s">
        <v>15530</v>
      </c>
      <c r="E2409" s="301">
        <v>3524.2</v>
      </c>
      <c r="F2409" s="303">
        <v>43027</v>
      </c>
      <c r="G2409" s="301">
        <v>3524.2</v>
      </c>
      <c r="H2409" s="301">
        <f>Tabla15[[#This Row],[Importe]]-Tabla15[[#This Row],[Pagado]]</f>
        <v>0</v>
      </c>
      <c r="I2409" s="275" t="s">
        <v>15214</v>
      </c>
    </row>
    <row r="2410" spans="1:9" ht="30" x14ac:dyDescent="0.25">
      <c r="A2410" s="420">
        <v>43027</v>
      </c>
      <c r="B2410" s="302" t="s">
        <v>34096</v>
      </c>
      <c r="C2410">
        <v>131973</v>
      </c>
      <c r="D2410" s="275" t="s">
        <v>15309</v>
      </c>
      <c r="E2410" s="301">
        <v>30502.799999999999</v>
      </c>
      <c r="F2410" s="303" t="s">
        <v>34097</v>
      </c>
      <c r="G2410" s="305">
        <f>26000+4502.8</f>
        <v>30502.799999999999</v>
      </c>
      <c r="H2410" s="305">
        <f>Tabla15[[#This Row],[Importe]]-Tabla15[[#This Row],[Pagado]]</f>
        <v>0</v>
      </c>
      <c r="I2410" s="275" t="s">
        <v>15214</v>
      </c>
    </row>
    <row r="2411" spans="1:9" x14ac:dyDescent="0.25">
      <c r="A2411" s="420">
        <v>43027</v>
      </c>
      <c r="B2411" s="302" t="s">
        <v>34098</v>
      </c>
      <c r="C2411">
        <v>131974</v>
      </c>
      <c r="D2411" s="275" t="s">
        <v>15696</v>
      </c>
      <c r="E2411" s="301">
        <v>1101.5999999999999</v>
      </c>
      <c r="F2411" s="303">
        <v>43027</v>
      </c>
      <c r="G2411" s="301">
        <v>1101.5999999999999</v>
      </c>
      <c r="H2411" s="301">
        <f>Tabla15[[#This Row],[Importe]]-Tabla15[[#This Row],[Pagado]]</f>
        <v>0</v>
      </c>
      <c r="I2411" s="275" t="s">
        <v>15214</v>
      </c>
    </row>
    <row r="2412" spans="1:9" x14ac:dyDescent="0.25">
      <c r="A2412" s="420">
        <v>43027</v>
      </c>
      <c r="B2412" s="302" t="s">
        <v>34099</v>
      </c>
      <c r="C2412">
        <v>131975</v>
      </c>
      <c r="D2412" s="275" t="s">
        <v>15291</v>
      </c>
      <c r="E2412" s="301">
        <v>920</v>
      </c>
      <c r="F2412" s="303">
        <v>43027</v>
      </c>
      <c r="G2412" s="301">
        <v>920</v>
      </c>
      <c r="H2412" s="301">
        <f>Tabla15[[#This Row],[Importe]]-Tabla15[[#This Row],[Pagado]]</f>
        <v>0</v>
      </c>
      <c r="I2412" s="275" t="s">
        <v>15214</v>
      </c>
    </row>
    <row r="2413" spans="1:9" x14ac:dyDescent="0.25">
      <c r="A2413" s="420">
        <v>43027</v>
      </c>
      <c r="B2413" s="302" t="s">
        <v>34100</v>
      </c>
      <c r="C2413">
        <v>131976</v>
      </c>
      <c r="D2413" s="275" t="s">
        <v>17800</v>
      </c>
      <c r="E2413" s="301">
        <v>353.6</v>
      </c>
      <c r="F2413" s="303">
        <v>43027</v>
      </c>
      <c r="G2413" s="301">
        <v>353.6</v>
      </c>
      <c r="H2413" s="301">
        <f>Tabla15[[#This Row],[Importe]]-Tabla15[[#This Row],[Pagado]]</f>
        <v>0</v>
      </c>
      <c r="I2413" s="275" t="s">
        <v>15214</v>
      </c>
    </row>
    <row r="2414" spans="1:9" x14ac:dyDescent="0.25">
      <c r="A2414" s="420">
        <v>43027</v>
      </c>
      <c r="B2414" s="302" t="s">
        <v>34101</v>
      </c>
      <c r="C2414">
        <v>131977</v>
      </c>
      <c r="D2414" s="275" t="s">
        <v>15391</v>
      </c>
      <c r="E2414" s="301">
        <v>5572.8</v>
      </c>
      <c r="F2414" s="303">
        <v>43028</v>
      </c>
      <c r="G2414" s="301">
        <v>5572.8</v>
      </c>
      <c r="H2414" s="301">
        <f>Tabla15[[#This Row],[Importe]]-Tabla15[[#This Row],[Pagado]]</f>
        <v>0</v>
      </c>
      <c r="I2414" s="275" t="s">
        <v>15214</v>
      </c>
    </row>
    <row r="2415" spans="1:9" x14ac:dyDescent="0.25">
      <c r="A2415" s="420">
        <v>43027</v>
      </c>
      <c r="B2415" s="302" t="s">
        <v>34102</v>
      </c>
      <c r="C2415">
        <v>131978</v>
      </c>
      <c r="D2415" s="275" t="s">
        <v>15592</v>
      </c>
      <c r="E2415" s="301">
        <v>13568.4</v>
      </c>
      <c r="F2415" s="303">
        <v>43027</v>
      </c>
      <c r="G2415" s="301">
        <v>13568.4</v>
      </c>
      <c r="H2415" s="301">
        <f>Tabla15[[#This Row],[Importe]]-Tabla15[[#This Row],[Pagado]]</f>
        <v>0</v>
      </c>
      <c r="I2415" s="275" t="s">
        <v>15214</v>
      </c>
    </row>
    <row r="2416" spans="1:9" x14ac:dyDescent="0.25">
      <c r="A2416" s="420">
        <v>43027</v>
      </c>
      <c r="B2416" s="302" t="s">
        <v>34103</v>
      </c>
      <c r="C2416">
        <v>131979</v>
      </c>
      <c r="D2416" s="275" t="s">
        <v>15315</v>
      </c>
      <c r="E2416" s="301">
        <v>927</v>
      </c>
      <c r="F2416" s="303">
        <v>43027</v>
      </c>
      <c r="G2416" s="301">
        <v>927</v>
      </c>
      <c r="H2416" s="301">
        <f>Tabla15[[#This Row],[Importe]]-Tabla15[[#This Row],[Pagado]]</f>
        <v>0</v>
      </c>
      <c r="I2416" s="275" t="s">
        <v>15214</v>
      </c>
    </row>
    <row r="2417" spans="1:9" x14ac:dyDescent="0.25">
      <c r="A2417" s="420">
        <v>43027</v>
      </c>
      <c r="B2417" s="302" t="s">
        <v>34104</v>
      </c>
      <c r="C2417">
        <v>131980</v>
      </c>
      <c r="D2417" s="275" t="s">
        <v>23218</v>
      </c>
      <c r="E2417" s="301">
        <v>5905.2</v>
      </c>
      <c r="F2417" s="303">
        <v>43027</v>
      </c>
      <c r="G2417" s="301">
        <v>5905.2</v>
      </c>
      <c r="H2417" s="301">
        <f>Tabla15[[#This Row],[Importe]]-Tabla15[[#This Row],[Pagado]]</f>
        <v>0</v>
      </c>
      <c r="I2417" s="275" t="s">
        <v>15214</v>
      </c>
    </row>
    <row r="2418" spans="1:9" ht="15.75" x14ac:dyDescent="0.25">
      <c r="A2418" s="420">
        <v>43027</v>
      </c>
      <c r="B2418" s="302" t="s">
        <v>34105</v>
      </c>
      <c r="C2418">
        <v>131981</v>
      </c>
      <c r="D2418" s="248" t="s">
        <v>95</v>
      </c>
      <c r="E2418" s="422">
        <v>0</v>
      </c>
      <c r="F2418" s="243" t="s">
        <v>95</v>
      </c>
      <c r="G2418" s="301">
        <v>0</v>
      </c>
      <c r="H2418" s="301">
        <f>Tabla15[[#This Row],[Importe]]-Tabla15[[#This Row],[Pagado]]</f>
        <v>0</v>
      </c>
      <c r="I2418" s="275" t="s">
        <v>95</v>
      </c>
    </row>
    <row r="2419" spans="1:9" ht="15.75" x14ac:dyDescent="0.25">
      <c r="A2419" s="420">
        <v>43027</v>
      </c>
      <c r="B2419" s="302" t="s">
        <v>34106</v>
      </c>
      <c r="C2419">
        <v>131982</v>
      </c>
      <c r="D2419" s="248" t="s">
        <v>95</v>
      </c>
      <c r="E2419" s="422">
        <v>0</v>
      </c>
      <c r="F2419" s="243" t="s">
        <v>95</v>
      </c>
      <c r="G2419" s="301">
        <v>0</v>
      </c>
      <c r="H2419" s="301">
        <f>Tabla15[[#This Row],[Importe]]-Tabla15[[#This Row],[Pagado]]</f>
        <v>0</v>
      </c>
      <c r="I2419" s="275" t="s">
        <v>95</v>
      </c>
    </row>
    <row r="2420" spans="1:9" x14ac:dyDescent="0.25">
      <c r="A2420" s="420">
        <v>43027</v>
      </c>
      <c r="B2420" s="302" t="s">
        <v>34107</v>
      </c>
      <c r="C2420">
        <v>131983</v>
      </c>
      <c r="D2420" s="275" t="s">
        <v>15244</v>
      </c>
      <c r="E2420" s="301">
        <v>7697.1</v>
      </c>
      <c r="F2420" s="303">
        <v>43027</v>
      </c>
      <c r="G2420" s="301">
        <v>7697.1</v>
      </c>
      <c r="H2420" s="301">
        <f>Tabla15[[#This Row],[Importe]]-Tabla15[[#This Row],[Pagado]]</f>
        <v>0</v>
      </c>
      <c r="I2420" s="275" t="s">
        <v>15214</v>
      </c>
    </row>
    <row r="2421" spans="1:9" x14ac:dyDescent="0.25">
      <c r="A2421" s="420">
        <v>43027</v>
      </c>
      <c r="B2421" s="302" t="s">
        <v>34108</v>
      </c>
      <c r="C2421">
        <v>131984</v>
      </c>
      <c r="D2421" s="275" t="s">
        <v>15371</v>
      </c>
      <c r="E2421" s="301">
        <v>4482.3999999999996</v>
      </c>
      <c r="F2421" s="303">
        <v>43028</v>
      </c>
      <c r="G2421" s="301">
        <v>4482.3999999999996</v>
      </c>
      <c r="H2421" s="301">
        <f>Tabla15[[#This Row],[Importe]]-Tabla15[[#This Row],[Pagado]]</f>
        <v>0</v>
      </c>
      <c r="I2421" s="275" t="s">
        <v>15214</v>
      </c>
    </row>
    <row r="2422" spans="1:9" x14ac:dyDescent="0.25">
      <c r="A2422" s="420">
        <v>43027</v>
      </c>
      <c r="B2422" s="302" t="s">
        <v>34109</v>
      </c>
      <c r="C2422">
        <v>131985</v>
      </c>
      <c r="D2422" s="275" t="s">
        <v>15294</v>
      </c>
      <c r="E2422" s="301">
        <v>826.2</v>
      </c>
      <c r="F2422" s="303">
        <v>43027</v>
      </c>
      <c r="G2422" s="301">
        <v>826.2</v>
      </c>
      <c r="H2422" s="301">
        <f>Tabla15[[#This Row],[Importe]]-Tabla15[[#This Row],[Pagado]]</f>
        <v>0</v>
      </c>
      <c r="I2422" s="275" t="s">
        <v>15214</v>
      </c>
    </row>
    <row r="2423" spans="1:9" x14ac:dyDescent="0.25">
      <c r="A2423" s="420">
        <v>43027</v>
      </c>
      <c r="B2423" s="302" t="s">
        <v>34110</v>
      </c>
      <c r="C2423">
        <v>131986</v>
      </c>
      <c r="D2423" s="275" t="s">
        <v>15562</v>
      </c>
      <c r="E2423" s="301">
        <v>678.6</v>
      </c>
      <c r="F2423" s="303">
        <v>43027</v>
      </c>
      <c r="G2423" s="301">
        <v>678.6</v>
      </c>
      <c r="H2423" s="301">
        <f>Tabla15[[#This Row],[Importe]]-Tabla15[[#This Row],[Pagado]]</f>
        <v>0</v>
      </c>
      <c r="I2423" s="275" t="s">
        <v>15214</v>
      </c>
    </row>
    <row r="2424" spans="1:9" x14ac:dyDescent="0.25">
      <c r="A2424" s="420">
        <v>43027</v>
      </c>
      <c r="B2424" s="302" t="s">
        <v>34111</v>
      </c>
      <c r="C2424">
        <v>131987</v>
      </c>
      <c r="D2424" s="275" t="s">
        <v>16108</v>
      </c>
      <c r="E2424" s="301">
        <v>336.6</v>
      </c>
      <c r="F2424" s="303">
        <v>43027</v>
      </c>
      <c r="G2424" s="301">
        <v>336.6</v>
      </c>
      <c r="H2424" s="301">
        <f>Tabla15[[#This Row],[Importe]]-Tabla15[[#This Row],[Pagado]]</f>
        <v>0</v>
      </c>
      <c r="I2424" s="275" t="s">
        <v>15214</v>
      </c>
    </row>
    <row r="2425" spans="1:9" x14ac:dyDescent="0.25">
      <c r="A2425" s="420">
        <v>43027</v>
      </c>
      <c r="B2425" s="302" t="s">
        <v>34112</v>
      </c>
      <c r="C2425">
        <v>131988</v>
      </c>
      <c r="D2425" s="275" t="s">
        <v>15728</v>
      </c>
      <c r="E2425" s="301">
        <v>14407.2</v>
      </c>
      <c r="F2425" s="303">
        <v>43027</v>
      </c>
      <c r="G2425" s="301">
        <v>14407.2</v>
      </c>
      <c r="H2425" s="301">
        <f>Tabla15[[#This Row],[Importe]]-Tabla15[[#This Row],[Pagado]]</f>
        <v>0</v>
      </c>
      <c r="I2425" s="275" t="s">
        <v>15214</v>
      </c>
    </row>
    <row r="2426" spans="1:9" x14ac:dyDescent="0.25">
      <c r="A2426" s="420">
        <v>43027</v>
      </c>
      <c r="B2426" s="302" t="s">
        <v>34113</v>
      </c>
      <c r="C2426">
        <v>131989</v>
      </c>
      <c r="D2426" s="275" t="s">
        <v>15284</v>
      </c>
      <c r="E2426" s="301">
        <v>1482</v>
      </c>
      <c r="F2426" s="303">
        <v>43027</v>
      </c>
      <c r="G2426" s="301">
        <v>1482</v>
      </c>
      <c r="H2426" s="301">
        <f>Tabla15[[#This Row],[Importe]]-Tabla15[[#This Row],[Pagado]]</f>
        <v>0</v>
      </c>
      <c r="I2426" s="275" t="s">
        <v>15214</v>
      </c>
    </row>
    <row r="2427" spans="1:9" x14ac:dyDescent="0.25">
      <c r="A2427" s="420">
        <v>43027</v>
      </c>
      <c r="B2427" s="302" t="s">
        <v>34114</v>
      </c>
      <c r="C2427">
        <v>131990</v>
      </c>
      <c r="D2427" s="275" t="s">
        <v>17462</v>
      </c>
      <c r="E2427" s="301">
        <v>3232.7</v>
      </c>
      <c r="F2427" s="303">
        <v>43027</v>
      </c>
      <c r="G2427" s="301">
        <v>3232.7</v>
      </c>
      <c r="H2427" s="301">
        <f>Tabla15[[#This Row],[Importe]]-Tabla15[[#This Row],[Pagado]]</f>
        <v>0</v>
      </c>
      <c r="I2427" s="275" t="s">
        <v>15214</v>
      </c>
    </row>
    <row r="2428" spans="1:9" x14ac:dyDescent="0.25">
      <c r="A2428" s="420">
        <v>43027</v>
      </c>
      <c r="B2428" s="302" t="s">
        <v>34115</v>
      </c>
      <c r="C2428">
        <v>131991</v>
      </c>
      <c r="D2428" s="275" t="s">
        <v>15396</v>
      </c>
      <c r="E2428" s="301">
        <v>8315</v>
      </c>
      <c r="F2428" s="303">
        <v>43027</v>
      </c>
      <c r="G2428" s="301">
        <v>8315</v>
      </c>
      <c r="H2428" s="301">
        <f>Tabla15[[#This Row],[Importe]]-Tabla15[[#This Row],[Pagado]]</f>
        <v>0</v>
      </c>
      <c r="I2428" s="275" t="s">
        <v>15214</v>
      </c>
    </row>
    <row r="2429" spans="1:9" x14ac:dyDescent="0.25">
      <c r="A2429" s="420">
        <v>43027</v>
      </c>
      <c r="B2429" s="302" t="s">
        <v>34116</v>
      </c>
      <c r="C2429">
        <v>131992</v>
      </c>
      <c r="D2429" s="275" t="s">
        <v>15220</v>
      </c>
      <c r="E2429" s="301">
        <v>2300</v>
      </c>
      <c r="F2429" s="303">
        <v>43027</v>
      </c>
      <c r="G2429" s="301">
        <v>2300</v>
      </c>
      <c r="H2429" s="301">
        <f>Tabla15[[#This Row],[Importe]]-Tabla15[[#This Row],[Pagado]]</f>
        <v>0</v>
      </c>
      <c r="I2429" s="275" t="s">
        <v>15214</v>
      </c>
    </row>
    <row r="2430" spans="1:9" x14ac:dyDescent="0.25">
      <c r="A2430" s="420">
        <v>43027</v>
      </c>
      <c r="B2430" s="302" t="s">
        <v>34117</v>
      </c>
      <c r="C2430">
        <v>131993</v>
      </c>
      <c r="D2430" s="275" t="s">
        <v>15699</v>
      </c>
      <c r="E2430" s="301">
        <v>34089.4</v>
      </c>
      <c r="F2430" s="303">
        <v>43028</v>
      </c>
      <c r="G2430" s="301">
        <v>34089.4</v>
      </c>
      <c r="H2430" s="301">
        <f>Tabla15[[#This Row],[Importe]]-Tabla15[[#This Row],[Pagado]]</f>
        <v>0</v>
      </c>
      <c r="I2430" s="275" t="s">
        <v>15214</v>
      </c>
    </row>
    <row r="2431" spans="1:9" x14ac:dyDescent="0.25">
      <c r="A2431" s="420">
        <v>43027</v>
      </c>
      <c r="B2431" s="302" t="s">
        <v>34118</v>
      </c>
      <c r="C2431">
        <v>131994</v>
      </c>
      <c r="D2431" s="275" t="s">
        <v>15699</v>
      </c>
      <c r="E2431" s="301">
        <v>3195.6</v>
      </c>
      <c r="F2431" s="303">
        <v>43028</v>
      </c>
      <c r="G2431" s="301">
        <v>3195.6</v>
      </c>
      <c r="H2431" s="301">
        <f>Tabla15[[#This Row],[Importe]]-Tabla15[[#This Row],[Pagado]]</f>
        <v>0</v>
      </c>
      <c r="I2431" s="275" t="s">
        <v>15214</v>
      </c>
    </row>
    <row r="2432" spans="1:9" x14ac:dyDescent="0.25">
      <c r="A2432" s="420">
        <v>43027</v>
      </c>
      <c r="B2432" s="302" t="s">
        <v>34119</v>
      </c>
      <c r="C2432">
        <v>131995</v>
      </c>
      <c r="D2432" s="275" t="s">
        <v>15555</v>
      </c>
      <c r="E2432" s="301">
        <v>1096.2</v>
      </c>
      <c r="F2432" s="303">
        <v>43028</v>
      </c>
      <c r="G2432" s="301">
        <v>1096.2</v>
      </c>
      <c r="H2432" s="301">
        <f>Tabla15[[#This Row],[Importe]]-Tabla15[[#This Row],[Pagado]]</f>
        <v>0</v>
      </c>
      <c r="I2432" s="275" t="s">
        <v>15214</v>
      </c>
    </row>
    <row r="2433" spans="1:9" x14ac:dyDescent="0.25">
      <c r="A2433" s="420">
        <v>43027</v>
      </c>
      <c r="B2433" s="302" t="s">
        <v>34120</v>
      </c>
      <c r="C2433">
        <v>131996</v>
      </c>
      <c r="D2433" s="275" t="s">
        <v>15559</v>
      </c>
      <c r="E2433" s="301">
        <v>6283.6</v>
      </c>
      <c r="F2433" s="303">
        <v>43028</v>
      </c>
      <c r="G2433" s="301">
        <v>6283.6</v>
      </c>
      <c r="H2433" s="301">
        <f>Tabla15[[#This Row],[Importe]]-Tabla15[[#This Row],[Pagado]]</f>
        <v>0</v>
      </c>
      <c r="I2433" s="275" t="s">
        <v>15214</v>
      </c>
    </row>
    <row r="2434" spans="1:9" x14ac:dyDescent="0.25">
      <c r="A2434" s="420">
        <v>43027</v>
      </c>
      <c r="B2434" s="302" t="s">
        <v>34121</v>
      </c>
      <c r="C2434">
        <v>131997</v>
      </c>
      <c r="D2434" s="275" t="s">
        <v>15557</v>
      </c>
      <c r="E2434" s="301">
        <v>2681.8</v>
      </c>
      <c r="F2434" s="303">
        <v>43028</v>
      </c>
      <c r="G2434" s="301">
        <v>2681.8</v>
      </c>
      <c r="H2434" s="301">
        <f>Tabla15[[#This Row],[Importe]]-Tabla15[[#This Row],[Pagado]]</f>
        <v>0</v>
      </c>
      <c r="I2434" s="275" t="s">
        <v>15214</v>
      </c>
    </row>
    <row r="2435" spans="1:9" x14ac:dyDescent="0.25">
      <c r="A2435" s="420">
        <v>43027</v>
      </c>
      <c r="B2435" s="302" t="s">
        <v>34122</v>
      </c>
      <c r="C2435">
        <v>131998</v>
      </c>
      <c r="D2435" s="275" t="s">
        <v>15537</v>
      </c>
      <c r="E2435" s="301">
        <v>17610.3</v>
      </c>
      <c r="F2435" s="303">
        <v>43028</v>
      </c>
      <c r="G2435" s="301">
        <v>17610.3</v>
      </c>
      <c r="H2435" s="301">
        <f>Tabla15[[#This Row],[Importe]]-Tabla15[[#This Row],[Pagado]]</f>
        <v>0</v>
      </c>
      <c r="I2435" s="275" t="s">
        <v>15214</v>
      </c>
    </row>
    <row r="2436" spans="1:9" x14ac:dyDescent="0.25">
      <c r="A2436" s="420">
        <v>43027</v>
      </c>
      <c r="B2436" s="302" t="s">
        <v>34123</v>
      </c>
      <c r="C2436">
        <v>131999</v>
      </c>
      <c r="D2436" s="275" t="s">
        <v>15539</v>
      </c>
      <c r="E2436" s="301">
        <v>14310</v>
      </c>
      <c r="F2436" s="303">
        <v>43028</v>
      </c>
      <c r="G2436" s="301">
        <v>14310</v>
      </c>
      <c r="H2436" s="301">
        <f>Tabla15[[#This Row],[Importe]]-Tabla15[[#This Row],[Pagado]]</f>
        <v>0</v>
      </c>
      <c r="I2436" s="275" t="s">
        <v>15214</v>
      </c>
    </row>
    <row r="2437" spans="1:9" x14ac:dyDescent="0.25">
      <c r="A2437" s="420">
        <v>43027</v>
      </c>
      <c r="B2437" s="302" t="s">
        <v>34124</v>
      </c>
      <c r="C2437">
        <v>132000</v>
      </c>
      <c r="D2437" s="275" t="s">
        <v>15716</v>
      </c>
      <c r="E2437" s="301">
        <v>3258</v>
      </c>
      <c r="F2437" s="303">
        <v>43027</v>
      </c>
      <c r="G2437" s="301">
        <v>3258</v>
      </c>
      <c r="H2437" s="301">
        <f>Tabla15[[#This Row],[Importe]]-Tabla15[[#This Row],[Pagado]]</f>
        <v>0</v>
      </c>
      <c r="I2437" s="275" t="s">
        <v>15214</v>
      </c>
    </row>
    <row r="2438" spans="1:9" x14ac:dyDescent="0.25">
      <c r="A2438" s="420">
        <v>43027</v>
      </c>
      <c r="B2438" s="302" t="s">
        <v>34125</v>
      </c>
      <c r="C2438">
        <v>132001</v>
      </c>
      <c r="D2438" s="275" t="s">
        <v>15442</v>
      </c>
      <c r="E2438" s="301">
        <v>24931.4</v>
      </c>
      <c r="F2438" s="303">
        <v>43036</v>
      </c>
      <c r="G2438" s="301">
        <v>24931.4</v>
      </c>
      <c r="H2438" s="301">
        <f>Tabla15[[#This Row],[Importe]]-Tabla15[[#This Row],[Pagado]]</f>
        <v>0</v>
      </c>
      <c r="I2438" s="275" t="s">
        <v>15214</v>
      </c>
    </row>
    <row r="2439" spans="1:9" x14ac:dyDescent="0.25">
      <c r="A2439" s="420">
        <v>43027</v>
      </c>
      <c r="B2439" s="302" t="s">
        <v>34126</v>
      </c>
      <c r="C2439">
        <v>132002</v>
      </c>
      <c r="D2439" s="275" t="s">
        <v>15396</v>
      </c>
      <c r="E2439" s="301">
        <v>414.4</v>
      </c>
      <c r="F2439" s="303">
        <v>43027</v>
      </c>
      <c r="G2439" s="301">
        <v>414.4</v>
      </c>
      <c r="H2439" s="301">
        <f>Tabla15[[#This Row],[Importe]]-Tabla15[[#This Row],[Pagado]]</f>
        <v>0</v>
      </c>
      <c r="I2439" s="275" t="s">
        <v>15214</v>
      </c>
    </row>
    <row r="2440" spans="1:9" x14ac:dyDescent="0.25">
      <c r="A2440" s="420">
        <v>43027</v>
      </c>
      <c r="B2440" s="302" t="s">
        <v>34127</v>
      </c>
      <c r="C2440">
        <v>132003</v>
      </c>
      <c r="D2440" s="275" t="s">
        <v>18773</v>
      </c>
      <c r="E2440" s="301">
        <v>34272</v>
      </c>
      <c r="F2440" s="303">
        <v>43027</v>
      </c>
      <c r="G2440" s="301">
        <v>34272</v>
      </c>
      <c r="H2440" s="301">
        <f>Tabla15[[#This Row],[Importe]]-Tabla15[[#This Row],[Pagado]]</f>
        <v>0</v>
      </c>
      <c r="I2440" s="275" t="s">
        <v>15214</v>
      </c>
    </row>
    <row r="2441" spans="1:9" x14ac:dyDescent="0.25">
      <c r="A2441" s="420">
        <v>43027</v>
      </c>
      <c r="B2441" s="302" t="s">
        <v>34128</v>
      </c>
      <c r="C2441">
        <v>132004</v>
      </c>
      <c r="D2441" s="275" t="s">
        <v>15282</v>
      </c>
      <c r="E2441" s="301">
        <v>2148.1999999999998</v>
      </c>
      <c r="F2441" s="303">
        <v>43027</v>
      </c>
      <c r="G2441" s="301">
        <v>2148.1999999999998</v>
      </c>
      <c r="H2441" s="301">
        <f>Tabla15[[#This Row],[Importe]]-Tabla15[[#This Row],[Pagado]]</f>
        <v>0</v>
      </c>
      <c r="I2441" s="275" t="s">
        <v>15214</v>
      </c>
    </row>
    <row r="2442" spans="1:9" x14ac:dyDescent="0.25">
      <c r="A2442" s="420">
        <v>43027</v>
      </c>
      <c r="B2442" s="302" t="s">
        <v>34129</v>
      </c>
      <c r="C2442">
        <v>132005</v>
      </c>
      <c r="D2442" s="275" t="s">
        <v>15665</v>
      </c>
      <c r="E2442" s="301">
        <v>575.20000000000005</v>
      </c>
      <c r="F2442" s="303">
        <v>43027</v>
      </c>
      <c r="G2442" s="301">
        <v>575.20000000000005</v>
      </c>
      <c r="H2442" s="301">
        <f>Tabla15[[#This Row],[Importe]]-Tabla15[[#This Row],[Pagado]]</f>
        <v>0</v>
      </c>
      <c r="I2442" s="275" t="s">
        <v>15214</v>
      </c>
    </row>
    <row r="2443" spans="1:9" x14ac:dyDescent="0.25">
      <c r="A2443" s="420">
        <v>43027</v>
      </c>
      <c r="B2443" s="302" t="s">
        <v>34130</v>
      </c>
      <c r="C2443">
        <v>132006</v>
      </c>
      <c r="D2443" s="275" t="s">
        <v>15315</v>
      </c>
      <c r="E2443" s="301">
        <v>374</v>
      </c>
      <c r="F2443" s="303">
        <v>43027</v>
      </c>
      <c r="G2443" s="301">
        <v>374</v>
      </c>
      <c r="H2443" s="301">
        <f>Tabla15[[#This Row],[Importe]]-Tabla15[[#This Row],[Pagado]]</f>
        <v>0</v>
      </c>
      <c r="I2443" s="275" t="s">
        <v>15214</v>
      </c>
    </row>
    <row r="2444" spans="1:9" x14ac:dyDescent="0.25">
      <c r="A2444" s="420">
        <v>43027</v>
      </c>
      <c r="B2444" s="302" t="s">
        <v>34131</v>
      </c>
      <c r="C2444">
        <v>132007</v>
      </c>
      <c r="D2444" s="275" t="s">
        <v>16126</v>
      </c>
      <c r="E2444" s="301">
        <v>5979.1</v>
      </c>
      <c r="F2444" s="303">
        <v>43027</v>
      </c>
      <c r="G2444" s="301">
        <v>5979.1</v>
      </c>
      <c r="H2444" s="301">
        <f>Tabla15[[#This Row],[Importe]]-Tabla15[[#This Row],[Pagado]]</f>
        <v>0</v>
      </c>
      <c r="I2444" s="275" t="s">
        <v>15214</v>
      </c>
    </row>
    <row r="2445" spans="1:9" x14ac:dyDescent="0.25">
      <c r="A2445" s="420">
        <v>43027</v>
      </c>
      <c r="B2445" s="302" t="s">
        <v>34132</v>
      </c>
      <c r="C2445">
        <v>132008</v>
      </c>
      <c r="D2445" s="275" t="s">
        <v>15213</v>
      </c>
      <c r="E2445" s="301">
        <v>3110.4</v>
      </c>
      <c r="F2445" s="303">
        <v>43028</v>
      </c>
      <c r="G2445" s="301">
        <v>3110.4</v>
      </c>
      <c r="H2445" s="301">
        <f>Tabla15[[#This Row],[Importe]]-Tabla15[[#This Row],[Pagado]]</f>
        <v>0</v>
      </c>
      <c r="I2445" s="275" t="s">
        <v>15214</v>
      </c>
    </row>
    <row r="2446" spans="1:9" x14ac:dyDescent="0.25">
      <c r="A2446" s="420">
        <v>43027</v>
      </c>
      <c r="B2446" s="302" t="s">
        <v>34133</v>
      </c>
      <c r="C2446">
        <v>132009</v>
      </c>
      <c r="D2446" s="275" t="s">
        <v>15725</v>
      </c>
      <c r="E2446" s="301">
        <v>31822.400000000001</v>
      </c>
      <c r="F2446" s="303">
        <v>43027</v>
      </c>
      <c r="G2446" s="301">
        <v>31822.400000000001</v>
      </c>
      <c r="H2446" s="301">
        <f>Tabla15[[#This Row],[Importe]]-Tabla15[[#This Row],[Pagado]]</f>
        <v>0</v>
      </c>
      <c r="I2446" s="275" t="s">
        <v>15214</v>
      </c>
    </row>
    <row r="2447" spans="1:9" x14ac:dyDescent="0.25">
      <c r="A2447" s="420">
        <v>43027</v>
      </c>
      <c r="B2447" s="302" t="s">
        <v>34134</v>
      </c>
      <c r="C2447">
        <v>132010</v>
      </c>
      <c r="D2447" s="275" t="s">
        <v>15398</v>
      </c>
      <c r="E2447" s="301">
        <v>3070.4</v>
      </c>
      <c r="F2447" s="303">
        <v>43027</v>
      </c>
      <c r="G2447" s="301">
        <v>3070.4</v>
      </c>
      <c r="H2447" s="301">
        <f>Tabla15[[#This Row],[Importe]]-Tabla15[[#This Row],[Pagado]]</f>
        <v>0</v>
      </c>
      <c r="I2447" s="275" t="s">
        <v>15214</v>
      </c>
    </row>
    <row r="2448" spans="1:9" x14ac:dyDescent="0.25">
      <c r="A2448" s="420">
        <v>43027</v>
      </c>
      <c r="B2448" s="302" t="s">
        <v>34135</v>
      </c>
      <c r="C2448">
        <v>132011</v>
      </c>
      <c r="D2448" s="275" t="s">
        <v>17708</v>
      </c>
      <c r="E2448" s="301">
        <v>3207.8</v>
      </c>
      <c r="F2448" s="303">
        <v>43027</v>
      </c>
      <c r="G2448" s="301">
        <v>3207.8</v>
      </c>
      <c r="H2448" s="301">
        <f>Tabla15[[#This Row],[Importe]]-Tabla15[[#This Row],[Pagado]]</f>
        <v>0</v>
      </c>
      <c r="I2448" s="275" t="s">
        <v>15214</v>
      </c>
    </row>
    <row r="2449" spans="1:9" x14ac:dyDescent="0.25">
      <c r="A2449" s="420">
        <v>43027</v>
      </c>
      <c r="B2449" s="302" t="s">
        <v>34136</v>
      </c>
      <c r="C2449">
        <v>132012</v>
      </c>
      <c r="D2449" s="275" t="s">
        <v>21441</v>
      </c>
      <c r="E2449" s="301">
        <v>924.2</v>
      </c>
      <c r="F2449" s="303">
        <v>43027</v>
      </c>
      <c r="G2449" s="301">
        <v>924.2</v>
      </c>
      <c r="H2449" s="301">
        <f>Tabla15[[#This Row],[Importe]]-Tabla15[[#This Row],[Pagado]]</f>
        <v>0</v>
      </c>
      <c r="I2449" s="275" t="s">
        <v>15214</v>
      </c>
    </row>
    <row r="2450" spans="1:9" x14ac:dyDescent="0.25">
      <c r="A2450" s="420">
        <v>43027</v>
      </c>
      <c r="B2450" s="302" t="s">
        <v>34137</v>
      </c>
      <c r="C2450">
        <v>132013</v>
      </c>
      <c r="D2450" s="275" t="s">
        <v>19756</v>
      </c>
      <c r="E2450" s="301">
        <v>1352.3</v>
      </c>
      <c r="F2450" s="303">
        <v>43027</v>
      </c>
      <c r="G2450" s="301">
        <v>1352.3</v>
      </c>
      <c r="H2450" s="301">
        <f>Tabla15[[#This Row],[Importe]]-Tabla15[[#This Row],[Pagado]]</f>
        <v>0</v>
      </c>
      <c r="I2450" s="275" t="s">
        <v>15214</v>
      </c>
    </row>
    <row r="2451" spans="1:9" x14ac:dyDescent="0.25">
      <c r="A2451" s="420">
        <v>43027</v>
      </c>
      <c r="B2451" s="302" t="s">
        <v>34138</v>
      </c>
      <c r="C2451">
        <v>132014</v>
      </c>
      <c r="D2451" s="275" t="s">
        <v>16383</v>
      </c>
      <c r="E2451" s="301">
        <v>765.2</v>
      </c>
      <c r="F2451" s="303">
        <v>43027</v>
      </c>
      <c r="G2451" s="301">
        <v>765.2</v>
      </c>
      <c r="H2451" s="301">
        <f>Tabla15[[#This Row],[Importe]]-Tabla15[[#This Row],[Pagado]]</f>
        <v>0</v>
      </c>
      <c r="I2451" s="275" t="s">
        <v>15214</v>
      </c>
    </row>
    <row r="2452" spans="1:9" x14ac:dyDescent="0.25">
      <c r="A2452" s="420">
        <v>43027</v>
      </c>
      <c r="B2452" s="302" t="s">
        <v>34139</v>
      </c>
      <c r="C2452">
        <v>132015</v>
      </c>
      <c r="D2452" s="275" t="s">
        <v>15385</v>
      </c>
      <c r="E2452" s="301">
        <v>7768.8</v>
      </c>
      <c r="F2452" s="303">
        <v>43027</v>
      </c>
      <c r="G2452" s="301">
        <v>7768.8</v>
      </c>
      <c r="H2452" s="301">
        <f>Tabla15[[#This Row],[Importe]]-Tabla15[[#This Row],[Pagado]]</f>
        <v>0</v>
      </c>
      <c r="I2452" s="275" t="s">
        <v>15214</v>
      </c>
    </row>
    <row r="2453" spans="1:9" ht="15.75" x14ac:dyDescent="0.25">
      <c r="A2453" s="420">
        <v>43027</v>
      </c>
      <c r="B2453" s="302" t="s">
        <v>34140</v>
      </c>
      <c r="C2453">
        <v>132016</v>
      </c>
      <c r="D2453" s="248" t="s">
        <v>95</v>
      </c>
      <c r="E2453" s="301">
        <v>0</v>
      </c>
      <c r="F2453" s="243" t="s">
        <v>95</v>
      </c>
      <c r="G2453" s="301">
        <v>0</v>
      </c>
      <c r="H2453" s="301">
        <f>Tabla15[[#This Row],[Importe]]-Tabla15[[#This Row],[Pagado]]</f>
        <v>0</v>
      </c>
      <c r="I2453" s="275" t="s">
        <v>95</v>
      </c>
    </row>
    <row r="2454" spans="1:9" x14ac:dyDescent="0.25">
      <c r="A2454" s="420">
        <v>43027</v>
      </c>
      <c r="B2454" s="302" t="s">
        <v>34141</v>
      </c>
      <c r="C2454">
        <v>132017</v>
      </c>
      <c r="D2454" s="275" t="s">
        <v>15423</v>
      </c>
      <c r="E2454" s="301">
        <v>1598.1</v>
      </c>
      <c r="F2454" s="303">
        <v>43027</v>
      </c>
      <c r="G2454" s="301">
        <v>1598.1</v>
      </c>
      <c r="H2454" s="301">
        <f>Tabla15[[#This Row],[Importe]]-Tabla15[[#This Row],[Pagado]]</f>
        <v>0</v>
      </c>
      <c r="I2454" s="275" t="s">
        <v>15214</v>
      </c>
    </row>
    <row r="2455" spans="1:9" x14ac:dyDescent="0.25">
      <c r="A2455" s="420">
        <v>43027</v>
      </c>
      <c r="B2455" s="302" t="s">
        <v>34142</v>
      </c>
      <c r="C2455">
        <v>132018</v>
      </c>
      <c r="D2455" s="275" t="s">
        <v>15378</v>
      </c>
      <c r="E2455" s="301">
        <v>1674.4</v>
      </c>
      <c r="F2455" s="303">
        <v>43027</v>
      </c>
      <c r="G2455" s="301">
        <v>1674.4</v>
      </c>
      <c r="H2455" s="301">
        <f>Tabla15[[#This Row],[Importe]]-Tabla15[[#This Row],[Pagado]]</f>
        <v>0</v>
      </c>
      <c r="I2455" s="275" t="s">
        <v>15214</v>
      </c>
    </row>
    <row r="2456" spans="1:9" x14ac:dyDescent="0.25">
      <c r="A2456" s="420">
        <v>43027</v>
      </c>
      <c r="B2456" s="302" t="s">
        <v>34143</v>
      </c>
      <c r="C2456">
        <v>132019</v>
      </c>
      <c r="D2456" s="275" t="s">
        <v>15378</v>
      </c>
      <c r="E2456" s="301">
        <v>722.6</v>
      </c>
      <c r="F2456" s="303">
        <v>43027</v>
      </c>
      <c r="G2456" s="301">
        <v>722.6</v>
      </c>
      <c r="H2456" s="301">
        <f>Tabla15[[#This Row],[Importe]]-Tabla15[[#This Row],[Pagado]]</f>
        <v>0</v>
      </c>
      <c r="I2456" s="275" t="s">
        <v>15214</v>
      </c>
    </row>
    <row r="2457" spans="1:9" x14ac:dyDescent="0.25">
      <c r="A2457" s="420">
        <v>43027</v>
      </c>
      <c r="B2457" s="302" t="s">
        <v>34144</v>
      </c>
      <c r="C2457">
        <v>132020</v>
      </c>
      <c r="D2457" s="275" t="s">
        <v>19773</v>
      </c>
      <c r="E2457" s="301">
        <v>2299.7600000000002</v>
      </c>
      <c r="F2457" s="303">
        <v>43036</v>
      </c>
      <c r="G2457" s="301">
        <v>2299.7600000000002</v>
      </c>
      <c r="H2457" s="301">
        <f>Tabla15[[#This Row],[Importe]]-Tabla15[[#This Row],[Pagado]]</f>
        <v>0</v>
      </c>
      <c r="I2457" s="275" t="s">
        <v>15214</v>
      </c>
    </row>
    <row r="2458" spans="1:9" x14ac:dyDescent="0.25">
      <c r="A2458" s="420">
        <v>43027</v>
      </c>
      <c r="B2458" s="302" t="s">
        <v>34145</v>
      </c>
      <c r="C2458">
        <v>132021</v>
      </c>
      <c r="D2458" s="275" t="s">
        <v>15276</v>
      </c>
      <c r="E2458" s="301">
        <v>2300</v>
      </c>
      <c r="F2458" s="303">
        <v>43027</v>
      </c>
      <c r="G2458" s="301">
        <v>2300</v>
      </c>
      <c r="H2458" s="301">
        <f>Tabla15[[#This Row],[Importe]]-Tabla15[[#This Row],[Pagado]]</f>
        <v>0</v>
      </c>
      <c r="I2458" s="275" t="s">
        <v>15214</v>
      </c>
    </row>
    <row r="2459" spans="1:9" x14ac:dyDescent="0.25">
      <c r="A2459" s="420">
        <v>43027</v>
      </c>
      <c r="B2459" s="302" t="s">
        <v>34146</v>
      </c>
      <c r="C2459">
        <v>132022</v>
      </c>
      <c r="D2459" s="275" t="s">
        <v>15417</v>
      </c>
      <c r="E2459" s="301">
        <v>1839.2</v>
      </c>
      <c r="F2459" s="303">
        <v>43027</v>
      </c>
      <c r="G2459" s="301">
        <v>1839.2</v>
      </c>
      <c r="H2459" s="301">
        <f>Tabla15[[#This Row],[Importe]]-Tabla15[[#This Row],[Pagado]]</f>
        <v>0</v>
      </c>
      <c r="I2459" s="275" t="s">
        <v>15214</v>
      </c>
    </row>
    <row r="2460" spans="1:9" x14ac:dyDescent="0.25">
      <c r="A2460" s="420">
        <v>43027</v>
      </c>
      <c r="B2460" s="302" t="s">
        <v>34147</v>
      </c>
      <c r="C2460">
        <v>132023</v>
      </c>
      <c r="D2460" s="275" t="s">
        <v>28488</v>
      </c>
      <c r="E2460" s="301">
        <v>11488.8</v>
      </c>
      <c r="F2460" s="303">
        <v>43028</v>
      </c>
      <c r="G2460" s="301">
        <v>11488.8</v>
      </c>
      <c r="H2460" s="301">
        <f>Tabla15[[#This Row],[Importe]]-Tabla15[[#This Row],[Pagado]]</f>
        <v>0</v>
      </c>
      <c r="I2460" s="275" t="s">
        <v>15214</v>
      </c>
    </row>
    <row r="2461" spans="1:9" x14ac:dyDescent="0.25">
      <c r="A2461" s="420">
        <v>43027</v>
      </c>
      <c r="B2461" s="302" t="s">
        <v>34148</v>
      </c>
      <c r="C2461">
        <v>132024</v>
      </c>
      <c r="D2461" s="275" t="s">
        <v>15284</v>
      </c>
      <c r="E2461" s="301">
        <v>1968.6</v>
      </c>
      <c r="F2461" s="303">
        <v>43027</v>
      </c>
      <c r="G2461" s="301">
        <v>1968.6</v>
      </c>
      <c r="H2461" s="301">
        <f>Tabla15[[#This Row],[Importe]]-Tabla15[[#This Row],[Pagado]]</f>
        <v>0</v>
      </c>
      <c r="I2461" s="275" t="s">
        <v>15214</v>
      </c>
    </row>
    <row r="2462" spans="1:9" x14ac:dyDescent="0.25">
      <c r="A2462" s="420">
        <v>43027</v>
      </c>
      <c r="B2462" s="302" t="s">
        <v>34149</v>
      </c>
      <c r="C2462">
        <v>132025</v>
      </c>
      <c r="D2462" s="275" t="s">
        <v>19774</v>
      </c>
      <c r="E2462" s="301">
        <v>35449.75</v>
      </c>
      <c r="F2462" s="303">
        <v>43027</v>
      </c>
      <c r="G2462" s="301">
        <v>35449.75</v>
      </c>
      <c r="H2462" s="301">
        <f>Tabla15[[#This Row],[Importe]]-Tabla15[[#This Row],[Pagado]]</f>
        <v>0</v>
      </c>
      <c r="I2462" s="275" t="s">
        <v>15214</v>
      </c>
    </row>
    <row r="2463" spans="1:9" x14ac:dyDescent="0.25">
      <c r="A2463" s="420">
        <v>43027</v>
      </c>
      <c r="B2463" s="302" t="s">
        <v>34150</v>
      </c>
      <c r="C2463">
        <v>132026</v>
      </c>
      <c r="D2463" s="275" t="s">
        <v>15835</v>
      </c>
      <c r="E2463" s="301">
        <v>12743.6</v>
      </c>
      <c r="F2463" s="303">
        <v>43027</v>
      </c>
      <c r="G2463" s="301">
        <v>12743.6</v>
      </c>
      <c r="H2463" s="301">
        <f>Tabla15[[#This Row],[Importe]]-Tabla15[[#This Row],[Pagado]]</f>
        <v>0</v>
      </c>
      <c r="I2463" s="275" t="s">
        <v>15214</v>
      </c>
    </row>
    <row r="2464" spans="1:9" x14ac:dyDescent="0.25">
      <c r="A2464" s="420">
        <v>43027</v>
      </c>
      <c r="B2464" s="302" t="s">
        <v>34151</v>
      </c>
      <c r="C2464">
        <v>132027</v>
      </c>
      <c r="D2464" s="275" t="s">
        <v>15912</v>
      </c>
      <c r="E2464" s="301">
        <v>2617.1799999999998</v>
      </c>
      <c r="F2464" s="303">
        <v>43027</v>
      </c>
      <c r="G2464" s="301">
        <v>2617.1799999999998</v>
      </c>
      <c r="H2464" s="301">
        <f>Tabla15[[#This Row],[Importe]]-Tabla15[[#This Row],[Pagado]]</f>
        <v>0</v>
      </c>
      <c r="I2464" s="275" t="s">
        <v>15214</v>
      </c>
    </row>
    <row r="2465" spans="1:9" x14ac:dyDescent="0.25">
      <c r="A2465" s="420">
        <v>43027</v>
      </c>
      <c r="B2465" s="302" t="s">
        <v>34152</v>
      </c>
      <c r="C2465">
        <v>132028</v>
      </c>
      <c r="D2465" s="275" t="s">
        <v>15415</v>
      </c>
      <c r="E2465" s="301">
        <v>2466</v>
      </c>
      <c r="F2465" s="303">
        <v>43031</v>
      </c>
      <c r="G2465" s="301">
        <v>2466</v>
      </c>
      <c r="H2465" s="301">
        <f>Tabla15[[#This Row],[Importe]]-Tabla15[[#This Row],[Pagado]]</f>
        <v>0</v>
      </c>
      <c r="I2465" s="275" t="s">
        <v>15214</v>
      </c>
    </row>
    <row r="2466" spans="1:9" ht="15.75" x14ac:dyDescent="0.25">
      <c r="A2466" s="420">
        <v>43027</v>
      </c>
      <c r="B2466" s="302" t="s">
        <v>34153</v>
      </c>
      <c r="C2466">
        <v>132029</v>
      </c>
      <c r="D2466" s="248" t="s">
        <v>95</v>
      </c>
      <c r="E2466" s="301">
        <v>0</v>
      </c>
      <c r="F2466" s="243" t="s">
        <v>95</v>
      </c>
      <c r="G2466" s="301">
        <v>0</v>
      </c>
      <c r="H2466" s="301">
        <f>Tabla15[[#This Row],[Importe]]-Tabla15[[#This Row],[Pagado]]</f>
        <v>0</v>
      </c>
      <c r="I2466" s="275" t="s">
        <v>95</v>
      </c>
    </row>
    <row r="2467" spans="1:9" x14ac:dyDescent="0.25">
      <c r="A2467" s="420">
        <v>43027</v>
      </c>
      <c r="B2467" s="302" t="s">
        <v>34154</v>
      </c>
      <c r="C2467">
        <v>132030</v>
      </c>
      <c r="D2467" s="275" t="s">
        <v>19774</v>
      </c>
      <c r="E2467" s="301">
        <v>1661.2</v>
      </c>
      <c r="F2467" s="303">
        <v>43027</v>
      </c>
      <c r="G2467" s="301">
        <v>1661.2</v>
      </c>
      <c r="H2467" s="301">
        <f>Tabla15[[#This Row],[Importe]]-Tabla15[[#This Row],[Pagado]]</f>
        <v>0</v>
      </c>
      <c r="I2467" s="275" t="s">
        <v>15214</v>
      </c>
    </row>
    <row r="2468" spans="1:9" x14ac:dyDescent="0.25">
      <c r="A2468" s="420">
        <v>43027</v>
      </c>
      <c r="B2468" s="302" t="s">
        <v>34155</v>
      </c>
      <c r="C2468">
        <v>132031</v>
      </c>
      <c r="D2468" s="275" t="s">
        <v>15298</v>
      </c>
      <c r="E2468" s="301">
        <v>31483.8</v>
      </c>
      <c r="F2468" s="303">
        <v>43034</v>
      </c>
      <c r="G2468" s="301">
        <v>31483.8</v>
      </c>
      <c r="H2468" s="301">
        <f>Tabla15[[#This Row],[Importe]]-Tabla15[[#This Row],[Pagado]]</f>
        <v>0</v>
      </c>
      <c r="I2468" s="275" t="s">
        <v>15214</v>
      </c>
    </row>
    <row r="2469" spans="1:9" x14ac:dyDescent="0.25">
      <c r="A2469" s="420">
        <v>43027</v>
      </c>
      <c r="B2469" s="302" t="s">
        <v>34156</v>
      </c>
      <c r="C2469">
        <v>132032</v>
      </c>
      <c r="D2469" s="275" t="s">
        <v>15298</v>
      </c>
      <c r="E2469" s="301">
        <v>42</v>
      </c>
      <c r="F2469" s="303">
        <v>43027</v>
      </c>
      <c r="G2469" s="301">
        <v>42</v>
      </c>
      <c r="H2469" s="301">
        <f>Tabla15[[#This Row],[Importe]]-Tabla15[[#This Row],[Pagado]]</f>
        <v>0</v>
      </c>
      <c r="I2469" s="275" t="s">
        <v>15214</v>
      </c>
    </row>
    <row r="2470" spans="1:9" x14ac:dyDescent="0.25">
      <c r="A2470" s="420">
        <v>43027</v>
      </c>
      <c r="B2470" s="302" t="s">
        <v>34157</v>
      </c>
      <c r="C2470">
        <v>132033</v>
      </c>
      <c r="D2470" s="275" t="s">
        <v>15365</v>
      </c>
      <c r="E2470" s="301">
        <v>36115.199999999997</v>
      </c>
      <c r="F2470" s="303">
        <v>43032</v>
      </c>
      <c r="G2470" s="301">
        <v>36115.199999999997</v>
      </c>
      <c r="H2470" s="301">
        <f>Tabla15[[#This Row],[Importe]]-Tabla15[[#This Row],[Pagado]]</f>
        <v>0</v>
      </c>
      <c r="I2470" s="275" t="s">
        <v>15214</v>
      </c>
    </row>
    <row r="2471" spans="1:9" x14ac:dyDescent="0.25">
      <c r="A2471" s="420">
        <v>43027</v>
      </c>
      <c r="B2471" s="302" t="s">
        <v>34158</v>
      </c>
      <c r="C2471">
        <v>132034</v>
      </c>
      <c r="D2471" s="275" t="s">
        <v>15267</v>
      </c>
      <c r="E2471" s="301">
        <v>4144.8</v>
      </c>
      <c r="F2471" s="303">
        <v>43027</v>
      </c>
      <c r="G2471" s="301">
        <v>4144.8</v>
      </c>
      <c r="H2471" s="301">
        <f>Tabla15[[#This Row],[Importe]]-Tabla15[[#This Row],[Pagado]]</f>
        <v>0</v>
      </c>
      <c r="I2471" s="275" t="s">
        <v>15214</v>
      </c>
    </row>
    <row r="2472" spans="1:9" ht="30" x14ac:dyDescent="0.25">
      <c r="A2472" s="420">
        <v>43027</v>
      </c>
      <c r="B2472" s="302" t="s">
        <v>34159</v>
      </c>
      <c r="C2472">
        <v>132035</v>
      </c>
      <c r="D2472" s="275" t="s">
        <v>15256</v>
      </c>
      <c r="E2472" s="301">
        <v>4363.8</v>
      </c>
      <c r="F2472" s="303" t="s">
        <v>34160</v>
      </c>
      <c r="G2472" s="305">
        <f>4000+363.8</f>
        <v>4363.8</v>
      </c>
      <c r="H2472" s="305">
        <f>Tabla15[[#This Row],[Importe]]-Tabla15[[#This Row],[Pagado]]</f>
        <v>0</v>
      </c>
      <c r="I2472" s="275" t="s">
        <v>15214</v>
      </c>
    </row>
    <row r="2473" spans="1:9" x14ac:dyDescent="0.25">
      <c r="A2473" s="420">
        <v>43027</v>
      </c>
      <c r="B2473" s="302" t="s">
        <v>34161</v>
      </c>
      <c r="C2473">
        <v>132036</v>
      </c>
      <c r="D2473" s="275" t="s">
        <v>15541</v>
      </c>
      <c r="E2473" s="301">
        <v>950.4</v>
      </c>
      <c r="F2473" s="303">
        <v>43028</v>
      </c>
      <c r="G2473" s="301">
        <v>950.4</v>
      </c>
      <c r="H2473" s="301">
        <f>Tabla15[[#This Row],[Importe]]-Tabla15[[#This Row],[Pagado]]</f>
        <v>0</v>
      </c>
      <c r="I2473" s="275" t="s">
        <v>15214</v>
      </c>
    </row>
    <row r="2474" spans="1:9" x14ac:dyDescent="0.25">
      <c r="A2474" s="420">
        <v>43027</v>
      </c>
      <c r="B2474" s="302" t="s">
        <v>34162</v>
      </c>
      <c r="C2474">
        <v>132037</v>
      </c>
      <c r="D2474" s="275" t="s">
        <v>15644</v>
      </c>
      <c r="E2474" s="301">
        <v>3259.2</v>
      </c>
      <c r="F2474" s="303">
        <v>43028</v>
      </c>
      <c r="G2474" s="301">
        <v>3259.2</v>
      </c>
      <c r="H2474" s="301">
        <f>Tabla15[[#This Row],[Importe]]-Tabla15[[#This Row],[Pagado]]</f>
        <v>0</v>
      </c>
      <c r="I2474" s="275" t="s">
        <v>15214</v>
      </c>
    </row>
    <row r="2475" spans="1:9" ht="30" x14ac:dyDescent="0.25">
      <c r="A2475" s="420">
        <v>43027</v>
      </c>
      <c r="B2475" s="302" t="s">
        <v>34163</v>
      </c>
      <c r="C2475">
        <v>132038</v>
      </c>
      <c r="D2475" s="275" t="s">
        <v>15246</v>
      </c>
      <c r="E2475" s="301">
        <v>262698.43</v>
      </c>
      <c r="F2475" s="303" t="s">
        <v>34160</v>
      </c>
      <c r="G2475" s="305">
        <f>46668.4+21603.03</f>
        <v>68271.429999999993</v>
      </c>
      <c r="H2475" s="305">
        <f>Tabla15[[#This Row],[Importe]]-Tabla15[[#This Row],[Pagado]]</f>
        <v>194427</v>
      </c>
      <c r="I2475" s="275" t="s">
        <v>15214</v>
      </c>
    </row>
    <row r="2476" spans="1:9" x14ac:dyDescent="0.25">
      <c r="A2476" s="420">
        <v>43027</v>
      </c>
      <c r="B2476" s="302" t="s">
        <v>34164</v>
      </c>
      <c r="C2476">
        <v>132039</v>
      </c>
      <c r="D2476" s="275" t="s">
        <v>15444</v>
      </c>
      <c r="E2476" s="301">
        <v>4521</v>
      </c>
      <c r="F2476" s="303">
        <v>43028</v>
      </c>
      <c r="G2476" s="301">
        <v>4521</v>
      </c>
      <c r="H2476" s="301">
        <f>Tabla15[[#This Row],[Importe]]-Tabla15[[#This Row],[Pagado]]</f>
        <v>0</v>
      </c>
      <c r="I2476" s="275" t="s">
        <v>15214</v>
      </c>
    </row>
    <row r="2477" spans="1:9" x14ac:dyDescent="0.25">
      <c r="A2477" s="420">
        <v>43027</v>
      </c>
      <c r="B2477" s="302" t="s">
        <v>34165</v>
      </c>
      <c r="C2477">
        <v>132040</v>
      </c>
      <c r="D2477" s="275" t="s">
        <v>15246</v>
      </c>
      <c r="E2477" s="301">
        <v>63820.7</v>
      </c>
      <c r="F2477" s="303">
        <v>43032</v>
      </c>
      <c r="G2477" s="301">
        <v>63820.7</v>
      </c>
      <c r="H2477" s="301">
        <f>Tabla15[[#This Row],[Importe]]-Tabla15[[#This Row],[Pagado]]</f>
        <v>0</v>
      </c>
      <c r="I2477" s="275" t="s">
        <v>15214</v>
      </c>
    </row>
    <row r="2478" spans="1:9" x14ac:dyDescent="0.25">
      <c r="A2478" s="420">
        <v>43027</v>
      </c>
      <c r="B2478" s="302" t="s">
        <v>34166</v>
      </c>
      <c r="C2478">
        <v>132041</v>
      </c>
      <c r="D2478" s="275" t="s">
        <v>19765</v>
      </c>
      <c r="E2478" s="301">
        <v>3500</v>
      </c>
      <c r="F2478" s="303">
        <v>43032</v>
      </c>
      <c r="G2478" s="301">
        <v>3500</v>
      </c>
      <c r="H2478" s="301">
        <f>Tabla15[[#This Row],[Importe]]-Tabla15[[#This Row],[Pagado]]</f>
        <v>0</v>
      </c>
      <c r="I2478" s="275" t="s">
        <v>15214</v>
      </c>
    </row>
    <row r="2479" spans="1:9" x14ac:dyDescent="0.25">
      <c r="A2479" s="420">
        <v>43027</v>
      </c>
      <c r="B2479" s="302" t="s">
        <v>34167</v>
      </c>
      <c r="C2479">
        <v>132042</v>
      </c>
      <c r="D2479" s="275" t="s">
        <v>27668</v>
      </c>
      <c r="E2479" s="301">
        <v>10000</v>
      </c>
      <c r="F2479" s="303">
        <v>43032</v>
      </c>
      <c r="G2479" s="301">
        <v>10000</v>
      </c>
      <c r="H2479" s="301">
        <f>Tabla15[[#This Row],[Importe]]-Tabla15[[#This Row],[Pagado]]</f>
        <v>0</v>
      </c>
      <c r="I2479" s="275" t="s">
        <v>15214</v>
      </c>
    </row>
    <row r="2480" spans="1:9" x14ac:dyDescent="0.25">
      <c r="A2480" s="420">
        <v>43027</v>
      </c>
      <c r="B2480" s="302" t="s">
        <v>34168</v>
      </c>
      <c r="C2480">
        <v>132043</v>
      </c>
      <c r="D2480" s="275" t="s">
        <v>15284</v>
      </c>
      <c r="E2480" s="301">
        <v>1100.5999999999999</v>
      </c>
      <c r="F2480" s="303">
        <v>43027</v>
      </c>
      <c r="G2480" s="301">
        <v>1100.5999999999999</v>
      </c>
      <c r="H2480" s="301">
        <f>Tabla15[[#This Row],[Importe]]-Tabla15[[#This Row],[Pagado]]</f>
        <v>0</v>
      </c>
      <c r="I2480" s="275" t="s">
        <v>15214</v>
      </c>
    </row>
    <row r="2481" spans="1:9" x14ac:dyDescent="0.25">
      <c r="A2481" s="420">
        <v>43027</v>
      </c>
      <c r="B2481" s="302" t="s">
        <v>34169</v>
      </c>
      <c r="C2481">
        <v>132044</v>
      </c>
      <c r="D2481" s="275" t="s">
        <v>5880</v>
      </c>
      <c r="E2481" s="301">
        <v>29872</v>
      </c>
      <c r="F2481" s="303">
        <v>43028</v>
      </c>
      <c r="G2481" s="301">
        <v>29872</v>
      </c>
      <c r="H2481" s="301">
        <f>Tabla15[[#This Row],[Importe]]-Tabla15[[#This Row],[Pagado]]</f>
        <v>0</v>
      </c>
      <c r="I2481" s="275" t="s">
        <v>15214</v>
      </c>
    </row>
    <row r="2482" spans="1:9" x14ac:dyDescent="0.25">
      <c r="A2482" s="420">
        <v>43027</v>
      </c>
      <c r="B2482" s="302" t="s">
        <v>34170</v>
      </c>
      <c r="C2482">
        <v>132045</v>
      </c>
      <c r="D2482" s="275" t="s">
        <v>15433</v>
      </c>
      <c r="E2482" s="301">
        <v>1283.9000000000001</v>
      </c>
      <c r="F2482" s="303">
        <v>43027</v>
      </c>
      <c r="G2482" s="301">
        <v>1283.9000000000001</v>
      </c>
      <c r="H2482" s="301">
        <f>Tabla15[[#This Row],[Importe]]-Tabla15[[#This Row],[Pagado]]</f>
        <v>0</v>
      </c>
      <c r="I2482" s="275" t="s">
        <v>15214</v>
      </c>
    </row>
    <row r="2483" spans="1:9" x14ac:dyDescent="0.25">
      <c r="A2483" s="420">
        <v>43027</v>
      </c>
      <c r="B2483" s="302" t="s">
        <v>34171</v>
      </c>
      <c r="C2483">
        <v>132046</v>
      </c>
      <c r="D2483" s="275" t="s">
        <v>15223</v>
      </c>
      <c r="E2483" s="301">
        <v>32560</v>
      </c>
      <c r="F2483" s="303">
        <v>43049</v>
      </c>
      <c r="G2483" s="301">
        <v>32560</v>
      </c>
      <c r="H2483" s="301">
        <f>Tabla15[[#This Row],[Importe]]-Tabla15[[#This Row],[Pagado]]</f>
        <v>0</v>
      </c>
      <c r="I2483" s="275" t="s">
        <v>15214</v>
      </c>
    </row>
    <row r="2484" spans="1:9" x14ac:dyDescent="0.25">
      <c r="A2484" s="420">
        <v>43027</v>
      </c>
      <c r="B2484" s="302" t="s">
        <v>34172</v>
      </c>
      <c r="C2484">
        <v>132047</v>
      </c>
      <c r="D2484" s="275" t="s">
        <v>15435</v>
      </c>
      <c r="E2484" s="301">
        <v>9136.7999999999993</v>
      </c>
      <c r="F2484" s="303">
        <v>43027</v>
      </c>
      <c r="G2484" s="301">
        <v>9136.7999999999993</v>
      </c>
      <c r="H2484" s="301">
        <f>Tabla15[[#This Row],[Importe]]-Tabla15[[#This Row],[Pagado]]</f>
        <v>0</v>
      </c>
      <c r="I2484" s="275" t="s">
        <v>15214</v>
      </c>
    </row>
    <row r="2485" spans="1:9" x14ac:dyDescent="0.25">
      <c r="A2485" s="420">
        <v>43027</v>
      </c>
      <c r="B2485" s="302" t="s">
        <v>34173</v>
      </c>
      <c r="C2485">
        <v>132048</v>
      </c>
      <c r="D2485" s="275" t="s">
        <v>15421</v>
      </c>
      <c r="E2485" s="301">
        <v>2733.3</v>
      </c>
      <c r="F2485" s="303">
        <v>43027</v>
      </c>
      <c r="G2485" s="301">
        <v>2733.3</v>
      </c>
      <c r="H2485" s="301">
        <f>Tabla15[[#This Row],[Importe]]-Tabla15[[#This Row],[Pagado]]</f>
        <v>0</v>
      </c>
      <c r="I2485" s="275" t="s">
        <v>15214</v>
      </c>
    </row>
    <row r="2486" spans="1:9" x14ac:dyDescent="0.25">
      <c r="A2486" s="420">
        <v>43027</v>
      </c>
      <c r="B2486" s="302" t="s">
        <v>34174</v>
      </c>
      <c r="C2486">
        <v>132049</v>
      </c>
      <c r="D2486" s="275" t="s">
        <v>15642</v>
      </c>
      <c r="E2486" s="301">
        <v>6476.4</v>
      </c>
      <c r="F2486" s="303">
        <v>43027</v>
      </c>
      <c r="G2486" s="301">
        <v>6476.4</v>
      </c>
      <c r="H2486" s="301">
        <f>Tabla15[[#This Row],[Importe]]-Tabla15[[#This Row],[Pagado]]</f>
        <v>0</v>
      </c>
      <c r="I2486" s="275" t="s">
        <v>15214</v>
      </c>
    </row>
    <row r="2487" spans="1:9" x14ac:dyDescent="0.25">
      <c r="A2487" s="420">
        <v>43027</v>
      </c>
      <c r="B2487" s="302" t="s">
        <v>34175</v>
      </c>
      <c r="C2487">
        <v>132050</v>
      </c>
      <c r="D2487" s="275" t="s">
        <v>15448</v>
      </c>
      <c r="E2487" s="301">
        <v>255981.21</v>
      </c>
      <c r="F2487" s="303">
        <v>43029</v>
      </c>
      <c r="G2487" s="301">
        <v>255981.21</v>
      </c>
      <c r="H2487" s="301">
        <f>Tabla15[[#This Row],[Importe]]-Tabla15[[#This Row],[Pagado]]</f>
        <v>0</v>
      </c>
      <c r="I2487" s="275" t="s">
        <v>15214</v>
      </c>
    </row>
    <row r="2488" spans="1:9" ht="15.75" x14ac:dyDescent="0.25">
      <c r="A2488" s="420">
        <v>43027</v>
      </c>
      <c r="B2488" s="302" t="s">
        <v>34176</v>
      </c>
      <c r="C2488">
        <v>132051</v>
      </c>
      <c r="D2488" s="248" t="s">
        <v>95</v>
      </c>
      <c r="E2488" s="301">
        <v>0</v>
      </c>
      <c r="F2488" s="243" t="s">
        <v>95</v>
      </c>
      <c r="G2488" s="301">
        <v>0</v>
      </c>
      <c r="H2488" s="301">
        <f>Tabla15[[#This Row],[Importe]]-Tabla15[[#This Row],[Pagado]]</f>
        <v>0</v>
      </c>
      <c r="I2488" s="275" t="s">
        <v>95</v>
      </c>
    </row>
    <row r="2489" spans="1:9" x14ac:dyDescent="0.25">
      <c r="A2489" s="420">
        <v>43027</v>
      </c>
      <c r="B2489" s="302" t="s">
        <v>34177</v>
      </c>
      <c r="C2489">
        <v>132052</v>
      </c>
      <c r="D2489" s="275" t="s">
        <v>17462</v>
      </c>
      <c r="E2489" s="301">
        <v>1156.2</v>
      </c>
      <c r="F2489" s="303">
        <v>43027</v>
      </c>
      <c r="G2489" s="301">
        <v>1156.2</v>
      </c>
      <c r="H2489" s="301">
        <f>Tabla15[[#This Row],[Importe]]-Tabla15[[#This Row],[Pagado]]</f>
        <v>0</v>
      </c>
      <c r="I2489" s="275" t="s">
        <v>15214</v>
      </c>
    </row>
    <row r="2490" spans="1:9" x14ac:dyDescent="0.25">
      <c r="A2490" s="420">
        <v>43027</v>
      </c>
      <c r="B2490" s="302" t="s">
        <v>34178</v>
      </c>
      <c r="C2490">
        <v>132053</v>
      </c>
      <c r="D2490" s="275" t="s">
        <v>19680</v>
      </c>
      <c r="E2490" s="301">
        <v>222</v>
      </c>
      <c r="F2490" s="303">
        <v>43028</v>
      </c>
      <c r="G2490" s="301">
        <v>222</v>
      </c>
      <c r="H2490" s="301">
        <f>Tabla15[[#This Row],[Importe]]-Tabla15[[#This Row],[Pagado]]</f>
        <v>0</v>
      </c>
      <c r="I2490" s="275" t="s">
        <v>15214</v>
      </c>
    </row>
    <row r="2491" spans="1:9" x14ac:dyDescent="0.25">
      <c r="A2491" s="420">
        <v>43028</v>
      </c>
      <c r="B2491" s="302" t="s">
        <v>34179</v>
      </c>
      <c r="C2491">
        <v>132054</v>
      </c>
      <c r="D2491" s="275" t="s">
        <v>21386</v>
      </c>
      <c r="E2491" s="301">
        <v>9489.6</v>
      </c>
      <c r="F2491" s="303">
        <v>43029</v>
      </c>
      <c r="G2491" s="301">
        <v>9489.6</v>
      </c>
      <c r="H2491" s="301">
        <f>Tabla15[[#This Row],[Importe]]-Tabla15[[#This Row],[Pagado]]</f>
        <v>0</v>
      </c>
      <c r="I2491" s="275" t="s">
        <v>15214</v>
      </c>
    </row>
    <row r="2492" spans="1:9" x14ac:dyDescent="0.25">
      <c r="A2492" s="420">
        <v>43028</v>
      </c>
      <c r="B2492" s="302" t="s">
        <v>34180</v>
      </c>
      <c r="C2492">
        <v>132055</v>
      </c>
      <c r="D2492" s="275" t="s">
        <v>15213</v>
      </c>
      <c r="E2492" s="301">
        <v>18640.599999999999</v>
      </c>
      <c r="F2492" s="303">
        <v>43029</v>
      </c>
      <c r="G2492" s="301">
        <v>18640.599999999999</v>
      </c>
      <c r="H2492" s="301">
        <f>Tabla15[[#This Row],[Importe]]-Tabla15[[#This Row],[Pagado]]</f>
        <v>0</v>
      </c>
      <c r="I2492" s="275" t="s">
        <v>15214</v>
      </c>
    </row>
    <row r="2493" spans="1:9" x14ac:dyDescent="0.25">
      <c r="A2493" s="420">
        <v>43028</v>
      </c>
      <c r="B2493" s="302" t="s">
        <v>34181</v>
      </c>
      <c r="C2493">
        <v>132056</v>
      </c>
      <c r="D2493" s="275" t="s">
        <v>15213</v>
      </c>
      <c r="E2493" s="301">
        <v>332.1</v>
      </c>
      <c r="F2493" s="303">
        <v>43028</v>
      </c>
      <c r="G2493" s="301">
        <v>332.1</v>
      </c>
      <c r="H2493" s="301">
        <f>Tabla15[[#This Row],[Importe]]-Tabla15[[#This Row],[Pagado]]</f>
        <v>0</v>
      </c>
      <c r="I2493" s="275" t="s">
        <v>15214</v>
      </c>
    </row>
    <row r="2494" spans="1:9" x14ac:dyDescent="0.25">
      <c r="A2494" s="420">
        <v>43028</v>
      </c>
      <c r="B2494" s="302" t="s">
        <v>34182</v>
      </c>
      <c r="C2494">
        <v>132057</v>
      </c>
      <c r="D2494" s="275" t="s">
        <v>15220</v>
      </c>
      <c r="E2494" s="301">
        <v>1840</v>
      </c>
      <c r="F2494" s="303">
        <v>43028</v>
      </c>
      <c r="G2494" s="301">
        <v>1840</v>
      </c>
      <c r="H2494" s="301">
        <f>Tabla15[[#This Row],[Importe]]-Tabla15[[#This Row],[Pagado]]</f>
        <v>0</v>
      </c>
      <c r="I2494" s="275" t="s">
        <v>15214</v>
      </c>
    </row>
    <row r="2495" spans="1:9" x14ac:dyDescent="0.25">
      <c r="A2495" s="420">
        <v>43028</v>
      </c>
      <c r="B2495" s="302" t="s">
        <v>34183</v>
      </c>
      <c r="C2495">
        <v>132058</v>
      </c>
      <c r="D2495" s="275" t="s">
        <v>17235</v>
      </c>
      <c r="E2495" s="301">
        <v>920</v>
      </c>
      <c r="F2495" s="303">
        <v>43028</v>
      </c>
      <c r="G2495" s="301">
        <v>920</v>
      </c>
      <c r="H2495" s="301">
        <f>Tabla15[[#This Row],[Importe]]-Tabla15[[#This Row],[Pagado]]</f>
        <v>0</v>
      </c>
      <c r="I2495" s="275" t="s">
        <v>15214</v>
      </c>
    </row>
    <row r="2496" spans="1:9" x14ac:dyDescent="0.25">
      <c r="A2496" s="420">
        <v>43028</v>
      </c>
      <c r="B2496" s="302" t="s">
        <v>34184</v>
      </c>
      <c r="C2496">
        <v>132059</v>
      </c>
      <c r="D2496" s="275" t="s">
        <v>15324</v>
      </c>
      <c r="E2496" s="301">
        <v>3320</v>
      </c>
      <c r="F2496" s="303">
        <v>43028</v>
      </c>
      <c r="G2496" s="301">
        <v>3320</v>
      </c>
      <c r="H2496" s="301">
        <f>Tabla15[[#This Row],[Importe]]-Tabla15[[#This Row],[Pagado]]</f>
        <v>0</v>
      </c>
      <c r="I2496" s="275" t="s">
        <v>15214</v>
      </c>
    </row>
    <row r="2497" spans="1:9" x14ac:dyDescent="0.25">
      <c r="A2497" s="420">
        <v>43028</v>
      </c>
      <c r="B2497" s="302" t="s">
        <v>34185</v>
      </c>
      <c r="C2497">
        <v>132060</v>
      </c>
      <c r="D2497" s="275" t="s">
        <v>15541</v>
      </c>
      <c r="E2497" s="301">
        <v>932.8</v>
      </c>
      <c r="F2497" s="303">
        <v>43029</v>
      </c>
      <c r="G2497" s="301">
        <v>932.8</v>
      </c>
      <c r="H2497" s="301">
        <f>Tabla15[[#This Row],[Importe]]-Tabla15[[#This Row],[Pagado]]</f>
        <v>0</v>
      </c>
      <c r="I2497" s="275" t="s">
        <v>15214</v>
      </c>
    </row>
    <row r="2498" spans="1:9" x14ac:dyDescent="0.25">
      <c r="A2498" s="420">
        <v>43028</v>
      </c>
      <c r="B2498" s="302" t="s">
        <v>34186</v>
      </c>
      <c r="C2498">
        <v>132061</v>
      </c>
      <c r="D2498" s="275" t="s">
        <v>15216</v>
      </c>
      <c r="E2498" s="301">
        <v>1444.8</v>
      </c>
      <c r="F2498" s="303">
        <v>43028</v>
      </c>
      <c r="G2498" s="301">
        <v>1444.8</v>
      </c>
      <c r="H2498" s="301">
        <f>Tabla15[[#This Row],[Importe]]-Tabla15[[#This Row],[Pagado]]</f>
        <v>0</v>
      </c>
      <c r="I2498" s="275" t="s">
        <v>15214</v>
      </c>
    </row>
    <row r="2499" spans="1:9" x14ac:dyDescent="0.25">
      <c r="A2499" s="420">
        <v>43028</v>
      </c>
      <c r="B2499" s="302" t="s">
        <v>34187</v>
      </c>
      <c r="C2499">
        <v>132062</v>
      </c>
      <c r="D2499" s="275" t="s">
        <v>15367</v>
      </c>
      <c r="E2499" s="301">
        <v>5900</v>
      </c>
      <c r="F2499" s="303">
        <v>43029</v>
      </c>
      <c r="G2499" s="301">
        <v>5900</v>
      </c>
      <c r="H2499" s="301">
        <f>Tabla15[[#This Row],[Importe]]-Tabla15[[#This Row],[Pagado]]</f>
        <v>0</v>
      </c>
      <c r="I2499" s="275" t="s">
        <v>15214</v>
      </c>
    </row>
    <row r="2500" spans="1:9" x14ac:dyDescent="0.25">
      <c r="A2500" s="420">
        <v>43028</v>
      </c>
      <c r="B2500" s="302" t="s">
        <v>34188</v>
      </c>
      <c r="C2500">
        <v>132063</v>
      </c>
      <c r="D2500" s="275" t="s">
        <v>15230</v>
      </c>
      <c r="E2500" s="301">
        <v>11151.8</v>
      </c>
      <c r="F2500" s="303">
        <v>43031</v>
      </c>
      <c r="G2500" s="301">
        <v>11151.8</v>
      </c>
      <c r="H2500" s="301">
        <f>Tabla15[[#This Row],[Importe]]-Tabla15[[#This Row],[Pagado]]</f>
        <v>0</v>
      </c>
      <c r="I2500" s="275" t="s">
        <v>15214</v>
      </c>
    </row>
    <row r="2501" spans="1:9" x14ac:dyDescent="0.25">
      <c r="A2501" s="420">
        <v>43028</v>
      </c>
      <c r="B2501" s="302" t="s">
        <v>34189</v>
      </c>
      <c r="C2501">
        <v>132064</v>
      </c>
      <c r="D2501" s="275" t="s">
        <v>15234</v>
      </c>
      <c r="E2501" s="301">
        <v>2685.6</v>
      </c>
      <c r="F2501" s="303">
        <v>43029</v>
      </c>
      <c r="G2501" s="301">
        <v>2685.6</v>
      </c>
      <c r="H2501" s="301">
        <f>Tabla15[[#This Row],[Importe]]-Tabla15[[#This Row],[Pagado]]</f>
        <v>0</v>
      </c>
      <c r="I2501" s="275" t="s">
        <v>15214</v>
      </c>
    </row>
    <row r="2502" spans="1:9" x14ac:dyDescent="0.25">
      <c r="A2502" s="420">
        <v>43028</v>
      </c>
      <c r="B2502" s="302" t="s">
        <v>34190</v>
      </c>
      <c r="C2502">
        <v>132065</v>
      </c>
      <c r="D2502" s="275" t="s">
        <v>15226</v>
      </c>
      <c r="E2502" s="301">
        <v>1504</v>
      </c>
      <c r="F2502" s="303">
        <v>43029</v>
      </c>
      <c r="G2502" s="301">
        <v>1504</v>
      </c>
      <c r="H2502" s="301">
        <f>Tabla15[[#This Row],[Importe]]-Tabla15[[#This Row],[Pagado]]</f>
        <v>0</v>
      </c>
      <c r="I2502" s="275" t="s">
        <v>15214</v>
      </c>
    </row>
    <row r="2503" spans="1:9" x14ac:dyDescent="0.25">
      <c r="A2503" s="420">
        <v>43028</v>
      </c>
      <c r="B2503" s="302" t="s">
        <v>34191</v>
      </c>
      <c r="C2503">
        <v>132066</v>
      </c>
      <c r="D2503" s="275" t="s">
        <v>30057</v>
      </c>
      <c r="E2503" s="301">
        <v>2880</v>
      </c>
      <c r="F2503" s="303">
        <v>43029</v>
      </c>
      <c r="G2503" s="301">
        <v>2880</v>
      </c>
      <c r="H2503" s="301">
        <f>Tabla15[[#This Row],[Importe]]-Tabla15[[#This Row],[Pagado]]</f>
        <v>0</v>
      </c>
      <c r="I2503" s="275" t="s">
        <v>15214</v>
      </c>
    </row>
    <row r="2504" spans="1:9" x14ac:dyDescent="0.25">
      <c r="A2504" s="420">
        <v>43028</v>
      </c>
      <c r="B2504" s="302" t="s">
        <v>34192</v>
      </c>
      <c r="C2504">
        <v>132067</v>
      </c>
      <c r="D2504" s="275" t="s">
        <v>17722</v>
      </c>
      <c r="E2504" s="301">
        <v>3160.8</v>
      </c>
      <c r="F2504" s="303">
        <v>43031</v>
      </c>
      <c r="G2504" s="301">
        <v>3160.8</v>
      </c>
      <c r="H2504" s="301">
        <f>Tabla15[[#This Row],[Importe]]-Tabla15[[#This Row],[Pagado]]</f>
        <v>0</v>
      </c>
      <c r="I2504" s="275" t="s">
        <v>15214</v>
      </c>
    </row>
    <row r="2505" spans="1:9" x14ac:dyDescent="0.25">
      <c r="A2505" s="420">
        <v>43028</v>
      </c>
      <c r="B2505" s="302" t="s">
        <v>34193</v>
      </c>
      <c r="C2505">
        <v>132068</v>
      </c>
      <c r="D2505" s="275" t="s">
        <v>15236</v>
      </c>
      <c r="E2505" s="301">
        <v>5990.4</v>
      </c>
      <c r="F2505" s="303">
        <v>43031</v>
      </c>
      <c r="G2505" s="301">
        <v>5990.4</v>
      </c>
      <c r="H2505" s="301">
        <f>Tabla15[[#This Row],[Importe]]-Tabla15[[#This Row],[Pagado]]</f>
        <v>0</v>
      </c>
      <c r="I2505" s="275" t="s">
        <v>15214</v>
      </c>
    </row>
    <row r="2506" spans="1:9" x14ac:dyDescent="0.25">
      <c r="A2506" s="420">
        <v>43028</v>
      </c>
      <c r="B2506" s="302" t="s">
        <v>34194</v>
      </c>
      <c r="C2506">
        <v>132069</v>
      </c>
      <c r="D2506" s="275" t="s">
        <v>15238</v>
      </c>
      <c r="E2506" s="301">
        <v>6612.3</v>
      </c>
      <c r="F2506" s="303">
        <v>43031</v>
      </c>
      <c r="G2506" s="301">
        <v>6612.3</v>
      </c>
      <c r="H2506" s="301">
        <f>Tabla15[[#This Row],[Importe]]-Tabla15[[#This Row],[Pagado]]</f>
        <v>0</v>
      </c>
      <c r="I2506" s="275" t="s">
        <v>15214</v>
      </c>
    </row>
    <row r="2507" spans="1:9" x14ac:dyDescent="0.25">
      <c r="A2507" s="420">
        <v>43028</v>
      </c>
      <c r="B2507" s="302" t="s">
        <v>34195</v>
      </c>
      <c r="C2507">
        <v>132070</v>
      </c>
      <c r="D2507" s="275" t="s">
        <v>15668</v>
      </c>
      <c r="E2507" s="301">
        <v>14949</v>
      </c>
      <c r="F2507" s="303">
        <v>43031</v>
      </c>
      <c r="G2507" s="301">
        <v>14949</v>
      </c>
      <c r="H2507" s="301">
        <f>Tabla15[[#This Row],[Importe]]-Tabla15[[#This Row],[Pagado]]</f>
        <v>0</v>
      </c>
      <c r="I2507" s="275" t="s">
        <v>15214</v>
      </c>
    </row>
    <row r="2508" spans="1:9" ht="15.75" x14ac:dyDescent="0.25">
      <c r="A2508" s="420">
        <v>43028</v>
      </c>
      <c r="B2508" s="302" t="s">
        <v>34196</v>
      </c>
      <c r="C2508">
        <v>132071</v>
      </c>
      <c r="D2508" s="248" t="s">
        <v>95</v>
      </c>
      <c r="E2508" s="301">
        <v>0</v>
      </c>
      <c r="F2508" s="243" t="s">
        <v>95</v>
      </c>
      <c r="G2508" s="301">
        <v>0</v>
      </c>
      <c r="H2508" s="301">
        <f>Tabla15[[#This Row],[Importe]]-Tabla15[[#This Row],[Pagado]]</f>
        <v>0</v>
      </c>
      <c r="I2508" s="275" t="s">
        <v>95</v>
      </c>
    </row>
    <row r="2509" spans="1:9" x14ac:dyDescent="0.25">
      <c r="A2509" s="420">
        <v>43028</v>
      </c>
      <c r="B2509" s="302" t="s">
        <v>34197</v>
      </c>
      <c r="C2509">
        <v>132072</v>
      </c>
      <c r="D2509" s="275" t="s">
        <v>15242</v>
      </c>
      <c r="E2509" s="301">
        <v>13828.8</v>
      </c>
      <c r="F2509" s="303">
        <v>43028</v>
      </c>
      <c r="G2509" s="301">
        <v>13828.8</v>
      </c>
      <c r="H2509" s="301">
        <f>Tabla15[[#This Row],[Importe]]-Tabla15[[#This Row],[Pagado]]</f>
        <v>0</v>
      </c>
      <c r="I2509" s="275" t="s">
        <v>15214</v>
      </c>
    </row>
    <row r="2510" spans="1:9" ht="15.75" x14ac:dyDescent="0.25">
      <c r="A2510" s="420">
        <v>43028</v>
      </c>
      <c r="B2510" s="302" t="s">
        <v>34198</v>
      </c>
      <c r="C2510">
        <v>132073</v>
      </c>
      <c r="D2510" s="248" t="s">
        <v>95</v>
      </c>
      <c r="E2510" s="301">
        <v>0</v>
      </c>
      <c r="F2510" s="243" t="s">
        <v>95</v>
      </c>
      <c r="G2510" s="301">
        <v>0</v>
      </c>
      <c r="H2510" s="301">
        <f>Tabla15[[#This Row],[Importe]]-Tabla15[[#This Row],[Pagado]]</f>
        <v>0</v>
      </c>
      <c r="I2510" s="275" t="s">
        <v>95</v>
      </c>
    </row>
    <row r="2511" spans="1:9" x14ac:dyDescent="0.25">
      <c r="A2511" s="420">
        <v>43028</v>
      </c>
      <c r="B2511" s="302" t="s">
        <v>34199</v>
      </c>
      <c r="C2511">
        <v>132074</v>
      </c>
      <c r="D2511" s="275" t="s">
        <v>18544</v>
      </c>
      <c r="E2511" s="301">
        <v>3784.6</v>
      </c>
      <c r="F2511" s="303">
        <v>43028</v>
      </c>
      <c r="G2511" s="301">
        <v>3784.6</v>
      </c>
      <c r="H2511" s="301">
        <f>Tabla15[[#This Row],[Importe]]-Tabla15[[#This Row],[Pagado]]</f>
        <v>0</v>
      </c>
      <c r="I2511" s="275" t="s">
        <v>15214</v>
      </c>
    </row>
    <row r="2512" spans="1:9" x14ac:dyDescent="0.25">
      <c r="A2512" s="420">
        <v>43028</v>
      </c>
      <c r="B2512" s="302" t="s">
        <v>34200</v>
      </c>
      <c r="C2512">
        <v>132075</v>
      </c>
      <c r="D2512" s="275" t="s">
        <v>5575</v>
      </c>
      <c r="E2512" s="301">
        <v>3696</v>
      </c>
      <c r="F2512" s="303">
        <v>43031</v>
      </c>
      <c r="G2512" s="301">
        <v>3696</v>
      </c>
      <c r="H2512" s="301">
        <f>Tabla15[[#This Row],[Importe]]-Tabla15[[#This Row],[Pagado]]</f>
        <v>0</v>
      </c>
      <c r="I2512" s="275" t="s">
        <v>15214</v>
      </c>
    </row>
    <row r="2513" spans="1:9" ht="30" x14ac:dyDescent="0.25">
      <c r="A2513" s="420">
        <v>43028</v>
      </c>
      <c r="B2513" s="302" t="s">
        <v>34201</v>
      </c>
      <c r="C2513">
        <v>132076</v>
      </c>
      <c r="D2513" s="275" t="s">
        <v>15480</v>
      </c>
      <c r="E2513" s="301">
        <v>3189</v>
      </c>
      <c r="F2513" s="303" t="s">
        <v>34160</v>
      </c>
      <c r="G2513" s="305">
        <f>1800+1389</f>
        <v>3189</v>
      </c>
      <c r="H2513" s="305">
        <f>Tabla15[[#This Row],[Importe]]-Tabla15[[#This Row],[Pagado]]</f>
        <v>0</v>
      </c>
      <c r="I2513" s="275" t="s">
        <v>15214</v>
      </c>
    </row>
    <row r="2514" spans="1:9" x14ac:dyDescent="0.25">
      <c r="A2514" s="420">
        <v>43028</v>
      </c>
      <c r="B2514" s="302" t="s">
        <v>34202</v>
      </c>
      <c r="C2514">
        <v>132077</v>
      </c>
      <c r="D2514" s="275" t="s">
        <v>19780</v>
      </c>
      <c r="E2514" s="301">
        <v>2937.6</v>
      </c>
      <c r="F2514" s="303">
        <v>43029</v>
      </c>
      <c r="G2514" s="301">
        <v>2937.6</v>
      </c>
      <c r="H2514" s="301">
        <f>Tabla15[[#This Row],[Importe]]-Tabla15[[#This Row],[Pagado]]</f>
        <v>0</v>
      </c>
      <c r="I2514" s="275" t="s">
        <v>15214</v>
      </c>
    </row>
    <row r="2515" spans="1:9" x14ac:dyDescent="0.25">
      <c r="A2515" s="420">
        <v>43028</v>
      </c>
      <c r="B2515" s="302" t="s">
        <v>34203</v>
      </c>
      <c r="C2515">
        <v>132078</v>
      </c>
      <c r="D2515" s="275" t="s">
        <v>15240</v>
      </c>
      <c r="E2515" s="301">
        <v>3220.8</v>
      </c>
      <c r="F2515" s="303">
        <v>43029</v>
      </c>
      <c r="G2515" s="301">
        <v>3220.8</v>
      </c>
      <c r="H2515" s="301">
        <f>Tabla15[[#This Row],[Importe]]-Tabla15[[#This Row],[Pagado]]</f>
        <v>0</v>
      </c>
      <c r="I2515" s="275" t="s">
        <v>15214</v>
      </c>
    </row>
    <row r="2516" spans="1:9" ht="30" x14ac:dyDescent="0.25">
      <c r="A2516" s="420">
        <v>43028</v>
      </c>
      <c r="B2516" s="302" t="s">
        <v>34204</v>
      </c>
      <c r="C2516">
        <v>132079</v>
      </c>
      <c r="D2516" s="275" t="s">
        <v>15256</v>
      </c>
      <c r="E2516" s="301">
        <v>12253.5</v>
      </c>
      <c r="F2516" s="303" t="s">
        <v>34205</v>
      </c>
      <c r="G2516" s="305">
        <f>5700+6553.5</f>
        <v>12253.5</v>
      </c>
      <c r="H2516" s="305">
        <f>Tabla15[[#This Row],[Importe]]-Tabla15[[#This Row],[Pagado]]</f>
        <v>0</v>
      </c>
      <c r="I2516" s="275" t="s">
        <v>15214</v>
      </c>
    </row>
    <row r="2517" spans="1:9" x14ac:dyDescent="0.25">
      <c r="A2517" s="420">
        <v>43028</v>
      </c>
      <c r="B2517" s="302" t="s">
        <v>34206</v>
      </c>
      <c r="C2517">
        <v>132080</v>
      </c>
      <c r="D2517" s="275" t="s">
        <v>15258</v>
      </c>
      <c r="E2517" s="301">
        <v>9271.7999999999993</v>
      </c>
      <c r="F2517" s="303">
        <v>43031</v>
      </c>
      <c r="G2517" s="301">
        <v>9271.7999999999993</v>
      </c>
      <c r="H2517" s="301">
        <f>Tabla15[[#This Row],[Importe]]-Tabla15[[#This Row],[Pagado]]</f>
        <v>0</v>
      </c>
      <c r="I2517" s="275" t="s">
        <v>15214</v>
      </c>
    </row>
    <row r="2518" spans="1:9" x14ac:dyDescent="0.25">
      <c r="A2518" s="420">
        <v>43028</v>
      </c>
      <c r="B2518" s="302" t="s">
        <v>34207</v>
      </c>
      <c r="C2518">
        <v>132081</v>
      </c>
      <c r="D2518" s="275" t="s">
        <v>15681</v>
      </c>
      <c r="E2518" s="301">
        <v>1879.1</v>
      </c>
      <c r="F2518" s="303">
        <v>43028</v>
      </c>
      <c r="G2518" s="301">
        <v>1879.1</v>
      </c>
      <c r="H2518" s="301">
        <f>Tabla15[[#This Row],[Importe]]-Tabla15[[#This Row],[Pagado]]</f>
        <v>0</v>
      </c>
      <c r="I2518" s="275" t="s">
        <v>15214</v>
      </c>
    </row>
    <row r="2519" spans="1:9" x14ac:dyDescent="0.25">
      <c r="A2519" s="420">
        <v>43028</v>
      </c>
      <c r="B2519" s="302" t="s">
        <v>34208</v>
      </c>
      <c r="C2519">
        <v>132082</v>
      </c>
      <c r="D2519" s="275" t="s">
        <v>15427</v>
      </c>
      <c r="E2519" s="301">
        <v>31833</v>
      </c>
      <c r="F2519" s="303">
        <v>43029</v>
      </c>
      <c r="G2519" s="301">
        <v>31833</v>
      </c>
      <c r="H2519" s="301">
        <f>Tabla15[[#This Row],[Importe]]-Tabla15[[#This Row],[Pagado]]</f>
        <v>0</v>
      </c>
      <c r="I2519" s="275" t="s">
        <v>15214</v>
      </c>
    </row>
    <row r="2520" spans="1:9" ht="30" x14ac:dyDescent="0.25">
      <c r="A2520" s="420">
        <v>43028</v>
      </c>
      <c r="B2520" s="302" t="s">
        <v>34209</v>
      </c>
      <c r="C2520">
        <v>132083</v>
      </c>
      <c r="D2520" s="275" t="s">
        <v>15373</v>
      </c>
      <c r="E2520" s="301">
        <v>19116.900000000001</v>
      </c>
      <c r="F2520" s="303" t="s">
        <v>34210</v>
      </c>
      <c r="G2520" s="305">
        <f>16500+2616.9</f>
        <v>19116.900000000001</v>
      </c>
      <c r="H2520" s="305">
        <f>Tabla15[[#This Row],[Importe]]-Tabla15[[#This Row],[Pagado]]</f>
        <v>0</v>
      </c>
      <c r="I2520" s="275" t="s">
        <v>15214</v>
      </c>
    </row>
    <row r="2521" spans="1:9" x14ac:dyDescent="0.25">
      <c r="A2521" s="420">
        <v>43028</v>
      </c>
      <c r="B2521" s="302" t="s">
        <v>34211</v>
      </c>
      <c r="C2521">
        <v>132084</v>
      </c>
      <c r="D2521" s="275" t="s">
        <v>15369</v>
      </c>
      <c r="E2521" s="301">
        <v>26279.7</v>
      </c>
      <c r="F2521" s="303">
        <v>43035</v>
      </c>
      <c r="G2521" s="301">
        <v>26279.7</v>
      </c>
      <c r="H2521" s="301">
        <f>Tabla15[[#This Row],[Importe]]-Tabla15[[#This Row],[Pagado]]</f>
        <v>0</v>
      </c>
      <c r="I2521" s="275" t="s">
        <v>15214</v>
      </c>
    </row>
    <row r="2522" spans="1:9" x14ac:dyDescent="0.25">
      <c r="A2522" s="420">
        <v>43028</v>
      </c>
      <c r="B2522" s="302" t="s">
        <v>34212</v>
      </c>
      <c r="C2522">
        <v>132085</v>
      </c>
      <c r="D2522" s="275" t="s">
        <v>15272</v>
      </c>
      <c r="E2522" s="301">
        <v>23429.599999999999</v>
      </c>
      <c r="F2522" s="303">
        <v>43028</v>
      </c>
      <c r="G2522" s="301">
        <v>23429.599999999999</v>
      </c>
      <c r="H2522" s="301">
        <f>Tabla15[[#This Row],[Importe]]-Tabla15[[#This Row],[Pagado]]</f>
        <v>0</v>
      </c>
      <c r="I2522" s="275" t="s">
        <v>15214</v>
      </c>
    </row>
    <row r="2523" spans="1:9" x14ac:dyDescent="0.25">
      <c r="A2523" s="420">
        <v>43028</v>
      </c>
      <c r="B2523" s="302" t="s">
        <v>34213</v>
      </c>
      <c r="C2523">
        <v>132086</v>
      </c>
      <c r="D2523" s="275" t="s">
        <v>15371</v>
      </c>
      <c r="E2523" s="301">
        <v>3478.7</v>
      </c>
      <c r="F2523" s="303">
        <v>43029</v>
      </c>
      <c r="G2523" s="301">
        <v>3478.7</v>
      </c>
      <c r="H2523" s="301">
        <f>Tabla15[[#This Row],[Importe]]-Tabla15[[#This Row],[Pagado]]</f>
        <v>0</v>
      </c>
      <c r="I2523" s="275" t="s">
        <v>15214</v>
      </c>
    </row>
    <row r="2524" spans="1:9" x14ac:dyDescent="0.25">
      <c r="A2524" s="420">
        <v>43028</v>
      </c>
      <c r="B2524" s="302" t="s">
        <v>34214</v>
      </c>
      <c r="C2524">
        <v>132087</v>
      </c>
      <c r="D2524" s="275" t="s">
        <v>15382</v>
      </c>
      <c r="E2524" s="301">
        <v>11155</v>
      </c>
      <c r="F2524" s="303">
        <v>43035</v>
      </c>
      <c r="G2524" s="301">
        <v>11155</v>
      </c>
      <c r="H2524" s="301">
        <f>Tabla15[[#This Row],[Importe]]-Tabla15[[#This Row],[Pagado]]</f>
        <v>0</v>
      </c>
      <c r="I2524" s="275" t="s">
        <v>15214</v>
      </c>
    </row>
    <row r="2525" spans="1:9" x14ac:dyDescent="0.25">
      <c r="A2525" s="420">
        <v>43028</v>
      </c>
      <c r="B2525" s="302" t="s">
        <v>34215</v>
      </c>
      <c r="C2525">
        <v>132088</v>
      </c>
      <c r="D2525" s="275" t="s">
        <v>15263</v>
      </c>
      <c r="E2525" s="301">
        <v>2442.4</v>
      </c>
      <c r="F2525" s="303">
        <v>43028</v>
      </c>
      <c r="G2525" s="301">
        <v>2442.4</v>
      </c>
      <c r="H2525" s="301">
        <f>Tabla15[[#This Row],[Importe]]-Tabla15[[#This Row],[Pagado]]</f>
        <v>0</v>
      </c>
      <c r="I2525" s="275" t="s">
        <v>15214</v>
      </c>
    </row>
    <row r="2526" spans="1:9" x14ac:dyDescent="0.25">
      <c r="A2526" s="420">
        <v>43028</v>
      </c>
      <c r="B2526" s="302" t="s">
        <v>34216</v>
      </c>
      <c r="C2526">
        <v>132089</v>
      </c>
      <c r="D2526" s="275" t="s">
        <v>15250</v>
      </c>
      <c r="E2526" s="301">
        <v>39264.870000000003</v>
      </c>
      <c r="F2526" s="303">
        <v>43038</v>
      </c>
      <c r="G2526" s="301">
        <v>39264.870000000003</v>
      </c>
      <c r="H2526" s="301">
        <f>Tabla15[[#This Row],[Importe]]-Tabla15[[#This Row],[Pagado]]</f>
        <v>0</v>
      </c>
      <c r="I2526" s="275" t="s">
        <v>15214</v>
      </c>
    </row>
    <row r="2527" spans="1:9" x14ac:dyDescent="0.25">
      <c r="A2527" s="420">
        <v>43028</v>
      </c>
      <c r="B2527" s="302" t="s">
        <v>34217</v>
      </c>
      <c r="C2527">
        <v>132090</v>
      </c>
      <c r="D2527" s="275" t="s">
        <v>16023</v>
      </c>
      <c r="E2527" s="301">
        <v>1892.6</v>
      </c>
      <c r="F2527" s="303">
        <v>43028</v>
      </c>
      <c r="G2527" s="301">
        <v>1892.6</v>
      </c>
      <c r="H2527" s="301">
        <f>Tabla15[[#This Row],[Importe]]-Tabla15[[#This Row],[Pagado]]</f>
        <v>0</v>
      </c>
      <c r="I2527" s="275" t="s">
        <v>15214</v>
      </c>
    </row>
    <row r="2528" spans="1:9" x14ac:dyDescent="0.25">
      <c r="A2528" s="420">
        <v>43028</v>
      </c>
      <c r="B2528" s="302" t="s">
        <v>34218</v>
      </c>
      <c r="C2528">
        <v>132091</v>
      </c>
      <c r="D2528" s="275" t="s">
        <v>15232</v>
      </c>
      <c r="E2528" s="301">
        <v>4081.4</v>
      </c>
      <c r="F2528" s="303">
        <v>43034</v>
      </c>
      <c r="G2528" s="301">
        <v>4081.4</v>
      </c>
      <c r="H2528" s="301">
        <f>Tabla15[[#This Row],[Importe]]-Tabla15[[#This Row],[Pagado]]</f>
        <v>0</v>
      </c>
      <c r="I2528" s="275" t="s">
        <v>15214</v>
      </c>
    </row>
    <row r="2529" spans="1:9" x14ac:dyDescent="0.25">
      <c r="A2529" s="420">
        <v>43028</v>
      </c>
      <c r="B2529" s="302" t="s">
        <v>34219</v>
      </c>
      <c r="C2529">
        <v>132092</v>
      </c>
      <c r="D2529" s="275" t="s">
        <v>16383</v>
      </c>
      <c r="E2529" s="301">
        <v>9997.4</v>
      </c>
      <c r="F2529" s="303">
        <v>43028</v>
      </c>
      <c r="G2529" s="301">
        <v>9997.4</v>
      </c>
      <c r="H2529" s="301">
        <f>Tabla15[[#This Row],[Importe]]-Tabla15[[#This Row],[Pagado]]</f>
        <v>0</v>
      </c>
      <c r="I2529" s="275" t="s">
        <v>15214</v>
      </c>
    </row>
    <row r="2530" spans="1:9" x14ac:dyDescent="0.25">
      <c r="A2530" s="420">
        <v>43028</v>
      </c>
      <c r="B2530" s="302" t="s">
        <v>34220</v>
      </c>
      <c r="C2530">
        <v>132093</v>
      </c>
      <c r="D2530" s="275" t="s">
        <v>17462</v>
      </c>
      <c r="E2530" s="301">
        <v>5249.9</v>
      </c>
      <c r="F2530" s="303">
        <v>43028</v>
      </c>
      <c r="G2530" s="301">
        <v>5249.9</v>
      </c>
      <c r="H2530" s="301">
        <f>Tabla15[[#This Row],[Importe]]-Tabla15[[#This Row],[Pagado]]</f>
        <v>0</v>
      </c>
      <c r="I2530" s="275" t="s">
        <v>15214</v>
      </c>
    </row>
    <row r="2531" spans="1:9" x14ac:dyDescent="0.25">
      <c r="A2531" s="420">
        <v>43028</v>
      </c>
      <c r="B2531" s="302" t="s">
        <v>34221</v>
      </c>
      <c r="C2531">
        <v>132094</v>
      </c>
      <c r="D2531" s="275" t="s">
        <v>16484</v>
      </c>
      <c r="E2531" s="301">
        <v>1489.2</v>
      </c>
      <c r="F2531" s="303">
        <v>43028</v>
      </c>
      <c r="G2531" s="301">
        <v>1489.2</v>
      </c>
      <c r="H2531" s="301">
        <f>Tabla15[[#This Row],[Importe]]-Tabla15[[#This Row],[Pagado]]</f>
        <v>0</v>
      </c>
      <c r="I2531" s="275" t="s">
        <v>15214</v>
      </c>
    </row>
    <row r="2532" spans="1:9" x14ac:dyDescent="0.25">
      <c r="A2532" s="420">
        <v>43028</v>
      </c>
      <c r="B2532" s="302" t="s">
        <v>34222</v>
      </c>
      <c r="C2532">
        <v>132095</v>
      </c>
      <c r="D2532" s="275" t="s">
        <v>17929</v>
      </c>
      <c r="E2532" s="301">
        <v>7771.4</v>
      </c>
      <c r="F2532" s="303">
        <v>43028</v>
      </c>
      <c r="G2532" s="301">
        <v>7771.4</v>
      </c>
      <c r="H2532" s="301">
        <f>Tabla15[[#This Row],[Importe]]-Tabla15[[#This Row],[Pagado]]</f>
        <v>0</v>
      </c>
      <c r="I2532" s="275" t="s">
        <v>15214</v>
      </c>
    </row>
    <row r="2533" spans="1:9" ht="30" x14ac:dyDescent="0.25">
      <c r="A2533" s="420">
        <v>43028</v>
      </c>
      <c r="B2533" s="302" t="s">
        <v>34223</v>
      </c>
      <c r="C2533">
        <v>132096</v>
      </c>
      <c r="D2533" s="275" t="s">
        <v>15223</v>
      </c>
      <c r="E2533" s="301">
        <v>70785.399999999994</v>
      </c>
      <c r="F2533" s="303" t="s">
        <v>35723</v>
      </c>
      <c r="G2533" s="305">
        <f>31116.88+39668.52</f>
        <v>70785.399999999994</v>
      </c>
      <c r="H2533" s="305">
        <f>Tabla15[[#This Row],[Importe]]-Tabla15[[#This Row],[Pagado]]</f>
        <v>0</v>
      </c>
      <c r="I2533" s="275" t="s">
        <v>15214</v>
      </c>
    </row>
    <row r="2534" spans="1:9" ht="15.75" x14ac:dyDescent="0.25">
      <c r="A2534" s="420">
        <v>43028</v>
      </c>
      <c r="B2534" s="302" t="s">
        <v>34224</v>
      </c>
      <c r="C2534">
        <v>132097</v>
      </c>
      <c r="D2534" s="248" t="s">
        <v>95</v>
      </c>
      <c r="E2534" s="301">
        <v>0</v>
      </c>
      <c r="F2534" s="243" t="s">
        <v>95</v>
      </c>
      <c r="G2534" s="301">
        <v>0</v>
      </c>
      <c r="H2534" s="301">
        <f>Tabla15[[#This Row],[Importe]]-Tabla15[[#This Row],[Pagado]]</f>
        <v>0</v>
      </c>
      <c r="I2534" s="275" t="s">
        <v>95</v>
      </c>
    </row>
    <row r="2535" spans="1:9" ht="60" x14ac:dyDescent="0.25">
      <c r="A2535" s="420">
        <v>43028</v>
      </c>
      <c r="B2535" s="302" t="s">
        <v>34225</v>
      </c>
      <c r="C2535">
        <v>132098</v>
      </c>
      <c r="D2535" s="275" t="s">
        <v>15228</v>
      </c>
      <c r="E2535" s="301">
        <v>31894.1</v>
      </c>
      <c r="F2535" s="303" t="s">
        <v>34226</v>
      </c>
      <c r="G2535" s="305">
        <f>5000+15000+10000+1894.1</f>
        <v>31894.1</v>
      </c>
      <c r="H2535" s="305">
        <f>Tabla15[[#This Row],[Importe]]-Tabla15[[#This Row],[Pagado]]</f>
        <v>0</v>
      </c>
      <c r="I2535" s="275" t="s">
        <v>15214</v>
      </c>
    </row>
    <row r="2536" spans="1:9" x14ac:dyDescent="0.25">
      <c r="A2536" s="420">
        <v>43028</v>
      </c>
      <c r="B2536" s="302" t="s">
        <v>34227</v>
      </c>
      <c r="C2536">
        <v>132099</v>
      </c>
      <c r="D2536" s="275" t="s">
        <v>17708</v>
      </c>
      <c r="E2536" s="301">
        <v>2997.72</v>
      </c>
      <c r="F2536" s="303">
        <v>43029</v>
      </c>
      <c r="G2536" s="301">
        <v>2997.72</v>
      </c>
      <c r="H2536" s="301">
        <f>Tabla15[[#This Row],[Importe]]-Tabla15[[#This Row],[Pagado]]</f>
        <v>0</v>
      </c>
      <c r="I2536" s="275" t="s">
        <v>15214</v>
      </c>
    </row>
    <row r="2537" spans="1:9" x14ac:dyDescent="0.25">
      <c r="A2537" s="420">
        <v>43028</v>
      </c>
      <c r="B2537" s="302" t="s">
        <v>34228</v>
      </c>
      <c r="C2537">
        <v>132100</v>
      </c>
      <c r="D2537" s="275" t="s">
        <v>15284</v>
      </c>
      <c r="E2537" s="301">
        <v>1047.7</v>
      </c>
      <c r="F2537" s="303">
        <v>43028</v>
      </c>
      <c r="G2537" s="301">
        <v>1047.7</v>
      </c>
      <c r="H2537" s="301">
        <f>Tabla15[[#This Row],[Importe]]-Tabla15[[#This Row],[Pagado]]</f>
        <v>0</v>
      </c>
      <c r="I2537" s="275" t="s">
        <v>15214</v>
      </c>
    </row>
    <row r="2538" spans="1:9" x14ac:dyDescent="0.25">
      <c r="A2538" s="420">
        <v>43028</v>
      </c>
      <c r="B2538" s="302" t="s">
        <v>34229</v>
      </c>
      <c r="C2538">
        <v>132101</v>
      </c>
      <c r="D2538" s="275" t="s">
        <v>17057</v>
      </c>
      <c r="E2538" s="301">
        <v>1621.2</v>
      </c>
      <c r="F2538" s="303">
        <v>43028</v>
      </c>
      <c r="G2538" s="301">
        <v>1621.2</v>
      </c>
      <c r="H2538" s="301">
        <f>Tabla15[[#This Row],[Importe]]-Tabla15[[#This Row],[Pagado]]</f>
        <v>0</v>
      </c>
      <c r="I2538" s="275" t="s">
        <v>15214</v>
      </c>
    </row>
    <row r="2539" spans="1:9" x14ac:dyDescent="0.25">
      <c r="A2539" s="420">
        <v>43028</v>
      </c>
      <c r="B2539" s="302" t="s">
        <v>34230</v>
      </c>
      <c r="C2539">
        <v>132102</v>
      </c>
      <c r="D2539" s="275" t="s">
        <v>15250</v>
      </c>
      <c r="E2539" s="301">
        <v>31370.15</v>
      </c>
      <c r="F2539" s="303">
        <v>43038</v>
      </c>
      <c r="G2539" s="301">
        <v>31370.15</v>
      </c>
      <c r="H2539" s="301">
        <f>Tabla15[[#This Row],[Importe]]-Tabla15[[#This Row],[Pagado]]</f>
        <v>0</v>
      </c>
      <c r="I2539" s="275" t="s">
        <v>15214</v>
      </c>
    </row>
    <row r="2540" spans="1:9" x14ac:dyDescent="0.25">
      <c r="A2540" s="420">
        <v>43028</v>
      </c>
      <c r="B2540" s="302" t="s">
        <v>34231</v>
      </c>
      <c r="C2540">
        <v>132103</v>
      </c>
      <c r="D2540" s="275" t="s">
        <v>15346</v>
      </c>
      <c r="E2540" s="301">
        <v>3147.3</v>
      </c>
      <c r="F2540" s="303">
        <v>43028</v>
      </c>
      <c r="G2540" s="301">
        <v>3147.3</v>
      </c>
      <c r="H2540" s="301">
        <f>Tabla15[[#This Row],[Importe]]-Tabla15[[#This Row],[Pagado]]</f>
        <v>0</v>
      </c>
      <c r="I2540" s="275" t="s">
        <v>15214</v>
      </c>
    </row>
    <row r="2541" spans="1:9" x14ac:dyDescent="0.25">
      <c r="A2541" s="420">
        <v>43028</v>
      </c>
      <c r="B2541" s="302" t="s">
        <v>34232</v>
      </c>
      <c r="C2541">
        <v>132104</v>
      </c>
      <c r="D2541" s="275" t="s">
        <v>15278</v>
      </c>
      <c r="E2541" s="301">
        <v>10526</v>
      </c>
      <c r="F2541" s="303">
        <v>43028</v>
      </c>
      <c r="G2541" s="301">
        <v>10526</v>
      </c>
      <c r="H2541" s="301">
        <f>Tabla15[[#This Row],[Importe]]-Tabla15[[#This Row],[Pagado]]</f>
        <v>0</v>
      </c>
      <c r="I2541" s="275" t="s">
        <v>15214</v>
      </c>
    </row>
    <row r="2542" spans="1:9" x14ac:dyDescent="0.25">
      <c r="A2542" s="420">
        <v>43028</v>
      </c>
      <c r="B2542" s="302" t="s">
        <v>34233</v>
      </c>
      <c r="C2542">
        <v>132105</v>
      </c>
      <c r="D2542" s="275" t="s">
        <v>15261</v>
      </c>
      <c r="E2542" s="301">
        <v>7436.4</v>
      </c>
      <c r="F2542" s="303">
        <v>43028</v>
      </c>
      <c r="G2542" s="301">
        <v>7436.4</v>
      </c>
      <c r="H2542" s="301">
        <f>Tabla15[[#This Row],[Importe]]-Tabla15[[#This Row],[Pagado]]</f>
        <v>0</v>
      </c>
      <c r="I2542" s="275" t="s">
        <v>15214</v>
      </c>
    </row>
    <row r="2543" spans="1:9" x14ac:dyDescent="0.25">
      <c r="A2543" s="420">
        <v>43028</v>
      </c>
      <c r="B2543" s="302" t="s">
        <v>34234</v>
      </c>
      <c r="C2543">
        <v>132106</v>
      </c>
      <c r="D2543" s="275" t="s">
        <v>15280</v>
      </c>
      <c r="E2543" s="301">
        <v>6566</v>
      </c>
      <c r="F2543" s="303">
        <v>43028</v>
      </c>
      <c r="G2543" s="301">
        <v>6566</v>
      </c>
      <c r="H2543" s="301">
        <f>Tabla15[[#This Row],[Importe]]-Tabla15[[#This Row],[Pagado]]</f>
        <v>0</v>
      </c>
      <c r="I2543" s="275" t="s">
        <v>15214</v>
      </c>
    </row>
    <row r="2544" spans="1:9" x14ac:dyDescent="0.25">
      <c r="A2544" s="420">
        <v>43028</v>
      </c>
      <c r="B2544" s="302" t="s">
        <v>34235</v>
      </c>
      <c r="C2544">
        <v>132107</v>
      </c>
      <c r="D2544" s="275" t="s">
        <v>15261</v>
      </c>
      <c r="E2544" s="301">
        <v>8232.2000000000007</v>
      </c>
      <c r="F2544" s="303">
        <v>43028</v>
      </c>
      <c r="G2544" s="301">
        <v>8232.2000000000007</v>
      </c>
      <c r="H2544" s="301">
        <f>Tabla15[[#This Row],[Importe]]-Tabla15[[#This Row],[Pagado]]</f>
        <v>0</v>
      </c>
      <c r="I2544" s="275" t="s">
        <v>15214</v>
      </c>
    </row>
    <row r="2545" spans="1:9" x14ac:dyDescent="0.25">
      <c r="A2545" s="420">
        <v>43028</v>
      </c>
      <c r="B2545" s="302" t="s">
        <v>34236</v>
      </c>
      <c r="C2545">
        <v>132108</v>
      </c>
      <c r="D2545" s="275" t="s">
        <v>15346</v>
      </c>
      <c r="E2545" s="301">
        <v>823.5</v>
      </c>
      <c r="F2545" s="303">
        <v>43028</v>
      </c>
      <c r="G2545" s="301">
        <v>823.5</v>
      </c>
      <c r="H2545" s="301">
        <f>Tabla15[[#This Row],[Importe]]-Tabla15[[#This Row],[Pagado]]</f>
        <v>0</v>
      </c>
      <c r="I2545" s="275" t="s">
        <v>15214</v>
      </c>
    </row>
    <row r="2546" spans="1:9" x14ac:dyDescent="0.25">
      <c r="A2546" s="420">
        <v>43028</v>
      </c>
      <c r="B2546" s="302" t="s">
        <v>34237</v>
      </c>
      <c r="C2546">
        <v>132109</v>
      </c>
      <c r="D2546" s="275" t="s">
        <v>15248</v>
      </c>
      <c r="E2546" s="301">
        <v>24022.22</v>
      </c>
      <c r="F2546" s="303">
        <v>43028</v>
      </c>
      <c r="G2546" s="301">
        <v>24022.22</v>
      </c>
      <c r="H2546" s="301">
        <f>Tabla15[[#This Row],[Importe]]-Tabla15[[#This Row],[Pagado]]</f>
        <v>0</v>
      </c>
      <c r="I2546" s="275" t="s">
        <v>15214</v>
      </c>
    </row>
    <row r="2547" spans="1:9" ht="30" x14ac:dyDescent="0.25">
      <c r="A2547" s="420">
        <v>43028</v>
      </c>
      <c r="B2547" s="302" t="s">
        <v>34238</v>
      </c>
      <c r="C2547">
        <v>132110</v>
      </c>
      <c r="D2547" s="275" t="s">
        <v>15530</v>
      </c>
      <c r="E2547" s="301">
        <v>1242</v>
      </c>
      <c r="F2547" s="303" t="s">
        <v>34074</v>
      </c>
      <c r="G2547" s="305">
        <f>1200+42</f>
        <v>1242</v>
      </c>
      <c r="H2547" s="305">
        <f>Tabla15[[#This Row],[Importe]]-Tabla15[[#This Row],[Pagado]]</f>
        <v>0</v>
      </c>
      <c r="I2547" s="275" t="s">
        <v>15214</v>
      </c>
    </row>
    <row r="2548" spans="1:9" x14ac:dyDescent="0.25">
      <c r="A2548" s="420">
        <v>43028</v>
      </c>
      <c r="B2548" s="302" t="s">
        <v>34239</v>
      </c>
      <c r="C2548">
        <v>132111</v>
      </c>
      <c r="D2548" s="275" t="s">
        <v>15858</v>
      </c>
      <c r="E2548" s="301">
        <v>3513.96</v>
      </c>
      <c r="F2548" s="303">
        <v>43029</v>
      </c>
      <c r="G2548" s="301">
        <v>3513.96</v>
      </c>
      <c r="H2548" s="301">
        <f>Tabla15[[#This Row],[Importe]]-Tabla15[[#This Row],[Pagado]]</f>
        <v>0</v>
      </c>
      <c r="I2548" s="275" t="s">
        <v>15214</v>
      </c>
    </row>
    <row r="2549" spans="1:9" x14ac:dyDescent="0.25">
      <c r="A2549" s="420">
        <v>43028</v>
      </c>
      <c r="B2549" s="302" t="s">
        <v>34240</v>
      </c>
      <c r="C2549">
        <v>132112</v>
      </c>
      <c r="D2549" s="275" t="s">
        <v>15861</v>
      </c>
      <c r="E2549" s="301">
        <v>2944.2</v>
      </c>
      <c r="F2549" s="303">
        <v>43029</v>
      </c>
      <c r="G2549" s="301">
        <v>2944.2</v>
      </c>
      <c r="H2549" s="301">
        <f>Tabla15[[#This Row],[Importe]]-Tabla15[[#This Row],[Pagado]]</f>
        <v>0</v>
      </c>
      <c r="I2549" s="275" t="s">
        <v>15214</v>
      </c>
    </row>
    <row r="2550" spans="1:9" x14ac:dyDescent="0.25">
      <c r="A2550" s="420">
        <v>43028</v>
      </c>
      <c r="B2550" s="302" t="s">
        <v>34241</v>
      </c>
      <c r="C2550">
        <v>132113</v>
      </c>
      <c r="D2550" s="275" t="s">
        <v>15523</v>
      </c>
      <c r="E2550" s="301">
        <v>2070</v>
      </c>
      <c r="F2550" s="303">
        <v>43029</v>
      </c>
      <c r="G2550" s="301">
        <v>2070</v>
      </c>
      <c r="H2550" s="301">
        <f>Tabla15[[#This Row],[Importe]]-Tabla15[[#This Row],[Pagado]]</f>
        <v>0</v>
      </c>
      <c r="I2550" s="275" t="s">
        <v>15214</v>
      </c>
    </row>
    <row r="2551" spans="1:9" x14ac:dyDescent="0.25">
      <c r="A2551" s="420">
        <v>43028</v>
      </c>
      <c r="B2551" s="302" t="s">
        <v>34242</v>
      </c>
      <c r="C2551">
        <v>132114</v>
      </c>
      <c r="D2551" s="275" t="s">
        <v>15387</v>
      </c>
      <c r="E2551" s="301">
        <v>2140.08</v>
      </c>
      <c r="F2551" s="303">
        <v>43029</v>
      </c>
      <c r="G2551" s="301">
        <v>2140.08</v>
      </c>
      <c r="H2551" s="301">
        <f>Tabla15[[#This Row],[Importe]]-Tabla15[[#This Row],[Pagado]]</f>
        <v>0</v>
      </c>
      <c r="I2551" s="275" t="s">
        <v>15214</v>
      </c>
    </row>
    <row r="2552" spans="1:9" x14ac:dyDescent="0.25">
      <c r="A2552" s="420">
        <v>43028</v>
      </c>
      <c r="B2552" s="302" t="s">
        <v>34243</v>
      </c>
      <c r="C2552">
        <v>132115</v>
      </c>
      <c r="D2552" s="275" t="s">
        <v>15334</v>
      </c>
      <c r="E2552" s="301">
        <v>2852</v>
      </c>
      <c r="F2552" s="303">
        <v>43029</v>
      </c>
      <c r="G2552" s="301">
        <v>2852</v>
      </c>
      <c r="H2552" s="301">
        <f>Tabla15[[#This Row],[Importe]]-Tabla15[[#This Row],[Pagado]]</f>
        <v>0</v>
      </c>
      <c r="I2552" s="275" t="s">
        <v>15214</v>
      </c>
    </row>
    <row r="2553" spans="1:9" x14ac:dyDescent="0.25">
      <c r="A2553" s="420">
        <v>43028</v>
      </c>
      <c r="B2553" s="302" t="s">
        <v>34244</v>
      </c>
      <c r="C2553">
        <v>132116</v>
      </c>
      <c r="D2553" s="275" t="s">
        <v>15526</v>
      </c>
      <c r="E2553" s="301">
        <v>4027.9</v>
      </c>
      <c r="F2553" s="303">
        <v>43029</v>
      </c>
      <c r="G2553" s="301">
        <v>4027.9</v>
      </c>
      <c r="H2553" s="301">
        <f>Tabla15[[#This Row],[Importe]]-Tabla15[[#This Row],[Pagado]]</f>
        <v>0</v>
      </c>
      <c r="I2553" s="275" t="s">
        <v>15214</v>
      </c>
    </row>
    <row r="2554" spans="1:9" x14ac:dyDescent="0.25">
      <c r="A2554" s="420">
        <v>43028</v>
      </c>
      <c r="B2554" s="302" t="s">
        <v>34245</v>
      </c>
      <c r="C2554">
        <v>132117</v>
      </c>
      <c r="D2554" s="275" t="s">
        <v>15344</v>
      </c>
      <c r="E2554" s="301">
        <v>2556.8000000000002</v>
      </c>
      <c r="F2554" s="303">
        <v>43029</v>
      </c>
      <c r="G2554" s="301">
        <v>2556.8000000000002</v>
      </c>
      <c r="H2554" s="301">
        <f>Tabla15[[#This Row],[Importe]]-Tabla15[[#This Row],[Pagado]]</f>
        <v>0</v>
      </c>
      <c r="I2554" s="275" t="s">
        <v>15214</v>
      </c>
    </row>
    <row r="2555" spans="1:9" x14ac:dyDescent="0.25">
      <c r="A2555" s="420">
        <v>43028</v>
      </c>
      <c r="B2555" s="302" t="s">
        <v>34246</v>
      </c>
      <c r="C2555">
        <v>132118</v>
      </c>
      <c r="D2555" s="275" t="s">
        <v>15590</v>
      </c>
      <c r="E2555" s="301">
        <v>45468.2</v>
      </c>
      <c r="F2555" s="303">
        <v>43050</v>
      </c>
      <c r="G2555" s="301">
        <v>45468.2</v>
      </c>
      <c r="H2555" s="301">
        <f>Tabla15[[#This Row],[Importe]]-Tabla15[[#This Row],[Pagado]]</f>
        <v>0</v>
      </c>
      <c r="I2555" s="275" t="s">
        <v>15214</v>
      </c>
    </row>
    <row r="2556" spans="1:9" x14ac:dyDescent="0.25">
      <c r="A2556" s="420">
        <v>43028</v>
      </c>
      <c r="B2556" s="302" t="s">
        <v>34247</v>
      </c>
      <c r="C2556">
        <v>132119</v>
      </c>
      <c r="D2556" s="275" t="s">
        <v>34058</v>
      </c>
      <c r="E2556" s="301">
        <v>1020.8</v>
      </c>
      <c r="F2556" s="303">
        <v>43029</v>
      </c>
      <c r="G2556" s="301">
        <v>1020.8</v>
      </c>
      <c r="H2556" s="301">
        <f>Tabla15[[#This Row],[Importe]]-Tabla15[[#This Row],[Pagado]]</f>
        <v>0</v>
      </c>
      <c r="I2556" s="275" t="s">
        <v>15214</v>
      </c>
    </row>
    <row r="2557" spans="1:9" x14ac:dyDescent="0.25">
      <c r="A2557" s="420">
        <v>43028</v>
      </c>
      <c r="B2557" s="302" t="s">
        <v>34248</v>
      </c>
      <c r="C2557">
        <v>132120</v>
      </c>
      <c r="D2557" s="275" t="s">
        <v>15342</v>
      </c>
      <c r="E2557" s="301">
        <v>627.1</v>
      </c>
      <c r="F2557" s="303">
        <v>43029</v>
      </c>
      <c r="G2557" s="301">
        <v>627.1</v>
      </c>
      <c r="H2557" s="301">
        <f>Tabla15[[#This Row],[Importe]]-Tabla15[[#This Row],[Pagado]]</f>
        <v>0</v>
      </c>
      <c r="I2557" s="275" t="s">
        <v>15214</v>
      </c>
    </row>
    <row r="2558" spans="1:9" x14ac:dyDescent="0.25">
      <c r="A2558" s="420">
        <v>43028</v>
      </c>
      <c r="B2558" s="302" t="s">
        <v>34249</v>
      </c>
      <c r="C2558">
        <v>132121</v>
      </c>
      <c r="D2558" s="275" t="s">
        <v>15742</v>
      </c>
      <c r="E2558" s="301">
        <v>2686.4</v>
      </c>
      <c r="F2558" s="303">
        <v>43029</v>
      </c>
      <c r="G2558" s="301">
        <v>2686.4</v>
      </c>
      <c r="H2558" s="301">
        <f>Tabla15[[#This Row],[Importe]]-Tabla15[[#This Row],[Pagado]]</f>
        <v>0</v>
      </c>
      <c r="I2558" s="275" t="s">
        <v>15214</v>
      </c>
    </row>
    <row r="2559" spans="1:9" x14ac:dyDescent="0.25">
      <c r="A2559" s="420">
        <v>43028</v>
      </c>
      <c r="B2559" s="302" t="s">
        <v>34250</v>
      </c>
      <c r="C2559">
        <v>132122</v>
      </c>
      <c r="D2559" s="275" t="s">
        <v>15332</v>
      </c>
      <c r="E2559" s="301">
        <v>2497.8000000000002</v>
      </c>
      <c r="F2559" s="303">
        <v>43029</v>
      </c>
      <c r="G2559" s="301">
        <v>2497.8000000000002</v>
      </c>
      <c r="H2559" s="301">
        <f>Tabla15[[#This Row],[Importe]]-Tabla15[[#This Row],[Pagado]]</f>
        <v>0</v>
      </c>
      <c r="I2559" s="275" t="s">
        <v>15214</v>
      </c>
    </row>
    <row r="2560" spans="1:9" ht="15.75" x14ac:dyDescent="0.25">
      <c r="A2560" s="420">
        <v>43028</v>
      </c>
      <c r="B2560" s="302" t="s">
        <v>34251</v>
      </c>
      <c r="C2560">
        <v>132123</v>
      </c>
      <c r="D2560" s="248" t="s">
        <v>95</v>
      </c>
      <c r="E2560" s="301">
        <v>0</v>
      </c>
      <c r="F2560" s="243" t="s">
        <v>95</v>
      </c>
      <c r="G2560" s="301">
        <v>0</v>
      </c>
      <c r="H2560" s="301">
        <f>Tabla15[[#This Row],[Importe]]-Tabla15[[#This Row],[Pagado]]</f>
        <v>0</v>
      </c>
      <c r="I2560" s="275" t="s">
        <v>95</v>
      </c>
    </row>
    <row r="2561" spans="1:9" x14ac:dyDescent="0.25">
      <c r="A2561" s="420">
        <v>43028</v>
      </c>
      <c r="B2561" s="302" t="s">
        <v>34252</v>
      </c>
      <c r="C2561">
        <v>132124</v>
      </c>
      <c r="D2561" s="275" t="s">
        <v>15326</v>
      </c>
      <c r="E2561" s="301">
        <v>4988.8999999999996</v>
      </c>
      <c r="F2561" s="303">
        <v>43028</v>
      </c>
      <c r="G2561" s="301">
        <v>4988.8999999999996</v>
      </c>
      <c r="H2561" s="301">
        <f>Tabla15[[#This Row],[Importe]]-Tabla15[[#This Row],[Pagado]]</f>
        <v>0</v>
      </c>
      <c r="I2561" s="275" t="s">
        <v>15214</v>
      </c>
    </row>
    <row r="2562" spans="1:9" x14ac:dyDescent="0.25">
      <c r="A2562" s="420">
        <v>43028</v>
      </c>
      <c r="B2562" s="302" t="s">
        <v>34253</v>
      </c>
      <c r="C2562">
        <v>132125</v>
      </c>
      <c r="D2562" s="275" t="s">
        <v>17210</v>
      </c>
      <c r="E2562" s="301">
        <v>6932.5</v>
      </c>
      <c r="F2562" s="303">
        <v>43029</v>
      </c>
      <c r="G2562" s="301">
        <v>6932.5</v>
      </c>
      <c r="H2562" s="301">
        <f>Tabla15[[#This Row],[Importe]]-Tabla15[[#This Row],[Pagado]]</f>
        <v>0</v>
      </c>
      <c r="I2562" s="275" t="s">
        <v>15214</v>
      </c>
    </row>
    <row r="2563" spans="1:9" x14ac:dyDescent="0.25">
      <c r="A2563" s="420">
        <v>43028</v>
      </c>
      <c r="B2563" s="302" t="s">
        <v>34254</v>
      </c>
      <c r="C2563">
        <v>132126</v>
      </c>
      <c r="D2563" s="275" t="s">
        <v>15315</v>
      </c>
      <c r="E2563" s="301">
        <v>3256.8</v>
      </c>
      <c r="F2563" s="303">
        <v>43028</v>
      </c>
      <c r="G2563" s="301">
        <v>3256.8</v>
      </c>
      <c r="H2563" s="301">
        <f>Tabla15[[#This Row],[Importe]]-Tabla15[[#This Row],[Pagado]]</f>
        <v>0</v>
      </c>
      <c r="I2563" s="275" t="s">
        <v>15214</v>
      </c>
    </row>
    <row r="2564" spans="1:9" x14ac:dyDescent="0.25">
      <c r="A2564" s="420">
        <v>43028</v>
      </c>
      <c r="B2564" s="302" t="s">
        <v>34255</v>
      </c>
      <c r="C2564">
        <v>132127</v>
      </c>
      <c r="D2564" s="275" t="s">
        <v>15315</v>
      </c>
      <c r="E2564" s="301">
        <v>4095.9</v>
      </c>
      <c r="F2564" s="303">
        <v>43028</v>
      </c>
      <c r="G2564" s="301">
        <v>4095.9</v>
      </c>
      <c r="H2564" s="301">
        <f>Tabla15[[#This Row],[Importe]]-Tabla15[[#This Row],[Pagado]]</f>
        <v>0</v>
      </c>
      <c r="I2564" s="275" t="s">
        <v>15214</v>
      </c>
    </row>
    <row r="2565" spans="1:9" x14ac:dyDescent="0.25">
      <c r="A2565" s="420">
        <v>43028</v>
      </c>
      <c r="B2565" s="302" t="s">
        <v>34256</v>
      </c>
      <c r="C2565">
        <v>132128</v>
      </c>
      <c r="D2565" s="275" t="s">
        <v>15358</v>
      </c>
      <c r="E2565" s="301">
        <v>2722.5</v>
      </c>
      <c r="F2565" s="303">
        <v>43029</v>
      </c>
      <c r="G2565" s="301">
        <v>2722.5</v>
      </c>
      <c r="H2565" s="301">
        <f>Tabla15[[#This Row],[Importe]]-Tabla15[[#This Row],[Pagado]]</f>
        <v>0</v>
      </c>
      <c r="I2565" s="275" t="s">
        <v>15214</v>
      </c>
    </row>
    <row r="2566" spans="1:9" x14ac:dyDescent="0.25">
      <c r="A2566" s="420">
        <v>43028</v>
      </c>
      <c r="B2566" s="302" t="s">
        <v>34257</v>
      </c>
      <c r="C2566">
        <v>132129</v>
      </c>
      <c r="D2566" s="275" t="s">
        <v>15340</v>
      </c>
      <c r="E2566" s="301">
        <v>2542.5</v>
      </c>
      <c r="F2566" s="303">
        <v>43029</v>
      </c>
      <c r="G2566" s="301">
        <v>2542.5</v>
      </c>
      <c r="H2566" s="301">
        <f>Tabla15[[#This Row],[Importe]]-Tabla15[[#This Row],[Pagado]]</f>
        <v>0</v>
      </c>
      <c r="I2566" s="275" t="s">
        <v>15214</v>
      </c>
    </row>
    <row r="2567" spans="1:9" x14ac:dyDescent="0.25">
      <c r="A2567" s="420">
        <v>43028</v>
      </c>
      <c r="B2567" s="302" t="s">
        <v>34258</v>
      </c>
      <c r="C2567">
        <v>132130</v>
      </c>
      <c r="D2567" s="275" t="s">
        <v>15336</v>
      </c>
      <c r="E2567" s="301">
        <v>7038</v>
      </c>
      <c r="F2567" s="303">
        <v>43029</v>
      </c>
      <c r="G2567" s="301">
        <v>7038</v>
      </c>
      <c r="H2567" s="301">
        <f>Tabla15[[#This Row],[Importe]]-Tabla15[[#This Row],[Pagado]]</f>
        <v>0</v>
      </c>
      <c r="I2567" s="275" t="s">
        <v>15214</v>
      </c>
    </row>
    <row r="2568" spans="1:9" x14ac:dyDescent="0.25">
      <c r="A2568" s="420">
        <v>43028</v>
      </c>
      <c r="B2568" s="302" t="s">
        <v>34259</v>
      </c>
      <c r="C2568">
        <v>132131</v>
      </c>
      <c r="D2568" s="275" t="s">
        <v>15291</v>
      </c>
      <c r="E2568" s="301">
        <v>690</v>
      </c>
      <c r="F2568" s="303">
        <v>43031</v>
      </c>
      <c r="G2568" s="301">
        <v>690</v>
      </c>
      <c r="H2568" s="301">
        <f>Tabla15[[#This Row],[Importe]]-Tabla15[[#This Row],[Pagado]]</f>
        <v>0</v>
      </c>
      <c r="I2568" s="275" t="s">
        <v>15214</v>
      </c>
    </row>
    <row r="2569" spans="1:9" x14ac:dyDescent="0.25">
      <c r="A2569" s="420">
        <v>43028</v>
      </c>
      <c r="B2569" s="302" t="s">
        <v>34260</v>
      </c>
      <c r="C2569">
        <v>132132</v>
      </c>
      <c r="D2569" s="275" t="s">
        <v>15596</v>
      </c>
      <c r="E2569" s="301">
        <v>920</v>
      </c>
      <c r="F2569" s="303">
        <v>43031</v>
      </c>
      <c r="G2569" s="301">
        <v>920</v>
      </c>
      <c r="H2569" s="301">
        <f>Tabla15[[#This Row],[Importe]]-Tabla15[[#This Row],[Pagado]]</f>
        <v>0</v>
      </c>
      <c r="I2569" s="275" t="s">
        <v>15214</v>
      </c>
    </row>
    <row r="2570" spans="1:9" x14ac:dyDescent="0.25">
      <c r="A2570" s="420">
        <v>43028</v>
      </c>
      <c r="B2570" s="302" t="s">
        <v>34261</v>
      </c>
      <c r="C2570">
        <v>132133</v>
      </c>
      <c r="D2570" s="275" t="s">
        <v>15380</v>
      </c>
      <c r="E2570" s="301">
        <v>47804.800000000003</v>
      </c>
      <c r="F2570" s="303">
        <v>43035</v>
      </c>
      <c r="G2570" s="301">
        <v>47804.800000000003</v>
      </c>
      <c r="H2570" s="301">
        <f>Tabla15[[#This Row],[Importe]]-Tabla15[[#This Row],[Pagado]]</f>
        <v>0</v>
      </c>
      <c r="I2570" s="275" t="s">
        <v>15214</v>
      </c>
    </row>
    <row r="2571" spans="1:9" ht="30" x14ac:dyDescent="0.25">
      <c r="A2571" s="420">
        <v>43028</v>
      </c>
      <c r="B2571" s="302" t="s">
        <v>34262</v>
      </c>
      <c r="C2571">
        <v>132134</v>
      </c>
      <c r="D2571" s="275" t="s">
        <v>15328</v>
      </c>
      <c r="E2571" s="301">
        <v>88464.09</v>
      </c>
      <c r="F2571" s="303" t="s">
        <v>34263</v>
      </c>
      <c r="G2571" s="301">
        <f>2273.93+86190.16</f>
        <v>88464.09</v>
      </c>
      <c r="H2571" s="301">
        <f>Tabla15[[#This Row],[Importe]]-Tabla15[[#This Row],[Pagado]]</f>
        <v>0</v>
      </c>
      <c r="I2571" s="275" t="s">
        <v>15214</v>
      </c>
    </row>
    <row r="2572" spans="1:9" x14ac:dyDescent="0.25">
      <c r="A2572" s="420">
        <v>43028</v>
      </c>
      <c r="B2572" s="302" t="s">
        <v>34264</v>
      </c>
      <c r="C2572">
        <v>132135</v>
      </c>
      <c r="D2572" s="275" t="s">
        <v>15626</v>
      </c>
      <c r="E2572" s="301">
        <v>2819.7</v>
      </c>
      <c r="F2572" s="303">
        <v>43031</v>
      </c>
      <c r="G2572" s="301">
        <v>2819.7</v>
      </c>
      <c r="H2572" s="301">
        <f>Tabla15[[#This Row],[Importe]]-Tabla15[[#This Row],[Pagado]]</f>
        <v>0</v>
      </c>
      <c r="I2572" s="275" t="s">
        <v>15214</v>
      </c>
    </row>
    <row r="2573" spans="1:9" x14ac:dyDescent="0.25">
      <c r="A2573" s="420">
        <v>43028</v>
      </c>
      <c r="B2573" s="302" t="s">
        <v>34265</v>
      </c>
      <c r="C2573">
        <v>132136</v>
      </c>
      <c r="D2573" s="275" t="s">
        <v>16064</v>
      </c>
      <c r="E2573" s="301">
        <v>4512.6000000000004</v>
      </c>
      <c r="F2573" s="303">
        <v>43031</v>
      </c>
      <c r="G2573" s="301">
        <v>4512.6000000000004</v>
      </c>
      <c r="H2573" s="301">
        <f>Tabla15[[#This Row],[Importe]]-Tabla15[[#This Row],[Pagado]]</f>
        <v>0</v>
      </c>
      <c r="I2573" s="275" t="s">
        <v>15214</v>
      </c>
    </row>
    <row r="2574" spans="1:9" x14ac:dyDescent="0.25">
      <c r="A2574" s="420">
        <v>43028</v>
      </c>
      <c r="B2574" s="302" t="s">
        <v>34266</v>
      </c>
      <c r="C2574">
        <v>132137</v>
      </c>
      <c r="D2574" s="275" t="s">
        <v>15307</v>
      </c>
      <c r="E2574" s="301">
        <v>2060.9</v>
      </c>
      <c r="F2574" s="303">
        <v>43031</v>
      </c>
      <c r="G2574" s="301">
        <v>2060.9</v>
      </c>
      <c r="H2574" s="301">
        <f>Tabla15[[#This Row],[Importe]]-Tabla15[[#This Row],[Pagado]]</f>
        <v>0</v>
      </c>
      <c r="I2574" s="275" t="s">
        <v>15214</v>
      </c>
    </row>
    <row r="2575" spans="1:9" x14ac:dyDescent="0.25">
      <c r="A2575" s="420">
        <v>43028</v>
      </c>
      <c r="B2575" s="302" t="s">
        <v>34267</v>
      </c>
      <c r="C2575">
        <v>132138</v>
      </c>
      <c r="D2575" s="275" t="s">
        <v>17800</v>
      </c>
      <c r="E2575" s="301">
        <v>4165.6000000000004</v>
      </c>
      <c r="F2575" s="303">
        <v>43031</v>
      </c>
      <c r="G2575" s="301">
        <v>4165.6000000000004</v>
      </c>
      <c r="H2575" s="301">
        <f>Tabla15[[#This Row],[Importe]]-Tabla15[[#This Row],[Pagado]]</f>
        <v>0</v>
      </c>
      <c r="I2575" s="275" t="s">
        <v>15214</v>
      </c>
    </row>
    <row r="2576" spans="1:9" x14ac:dyDescent="0.25">
      <c r="A2576" s="420">
        <v>43028</v>
      </c>
      <c r="B2576" s="302" t="s">
        <v>34268</v>
      </c>
      <c r="C2576">
        <v>132139</v>
      </c>
      <c r="D2576" s="275" t="s">
        <v>15311</v>
      </c>
      <c r="E2576" s="301">
        <v>3356.2</v>
      </c>
      <c r="F2576" s="303">
        <v>43031</v>
      </c>
      <c r="G2576" s="301">
        <v>3356.2</v>
      </c>
      <c r="H2576" s="301">
        <f>Tabla15[[#This Row],[Importe]]-Tabla15[[#This Row],[Pagado]]</f>
        <v>0</v>
      </c>
      <c r="I2576" s="275" t="s">
        <v>15214</v>
      </c>
    </row>
    <row r="2577" spans="1:9" x14ac:dyDescent="0.25">
      <c r="A2577" s="420">
        <v>43028</v>
      </c>
      <c r="B2577" s="302" t="s">
        <v>34269</v>
      </c>
      <c r="C2577">
        <v>132140</v>
      </c>
      <c r="D2577" s="275" t="s">
        <v>15868</v>
      </c>
      <c r="E2577" s="301">
        <v>10167.5</v>
      </c>
      <c r="F2577" s="303">
        <v>43029</v>
      </c>
      <c r="G2577" s="301">
        <v>10167.5</v>
      </c>
      <c r="H2577" s="301">
        <f>Tabla15[[#This Row],[Importe]]-Tabla15[[#This Row],[Pagado]]</f>
        <v>0</v>
      </c>
      <c r="I2577" s="275" t="s">
        <v>15214</v>
      </c>
    </row>
    <row r="2578" spans="1:9" x14ac:dyDescent="0.25">
      <c r="A2578" s="420">
        <v>43028</v>
      </c>
      <c r="B2578" s="302" t="s">
        <v>34270</v>
      </c>
      <c r="C2578">
        <v>132141</v>
      </c>
      <c r="D2578" s="275" t="s">
        <v>15562</v>
      </c>
      <c r="E2578" s="301">
        <v>2934</v>
      </c>
      <c r="F2578" s="303">
        <v>43028</v>
      </c>
      <c r="G2578" s="301">
        <v>2934</v>
      </c>
      <c r="H2578" s="301">
        <f>Tabla15[[#This Row],[Importe]]-Tabla15[[#This Row],[Pagado]]</f>
        <v>0</v>
      </c>
      <c r="I2578" s="275" t="s">
        <v>15214</v>
      </c>
    </row>
    <row r="2579" spans="1:9" x14ac:dyDescent="0.25">
      <c r="A2579" s="420">
        <v>43028</v>
      </c>
      <c r="B2579" s="302" t="s">
        <v>34271</v>
      </c>
      <c r="C2579">
        <v>132142</v>
      </c>
      <c r="D2579" s="275" t="s">
        <v>15549</v>
      </c>
      <c r="E2579" s="301">
        <v>3920.8</v>
      </c>
      <c r="F2579" s="303">
        <v>43028</v>
      </c>
      <c r="G2579" s="301">
        <v>3920.8</v>
      </c>
      <c r="H2579" s="301">
        <f>Tabla15[[#This Row],[Importe]]-Tabla15[[#This Row],[Pagado]]</f>
        <v>0</v>
      </c>
      <c r="I2579" s="275" t="s">
        <v>15214</v>
      </c>
    </row>
    <row r="2580" spans="1:9" x14ac:dyDescent="0.25">
      <c r="A2580" s="420">
        <v>43028</v>
      </c>
      <c r="B2580" s="302" t="s">
        <v>34272</v>
      </c>
      <c r="C2580">
        <v>132143</v>
      </c>
      <c r="D2580" s="275" t="s">
        <v>15252</v>
      </c>
      <c r="E2580" s="301">
        <v>3652</v>
      </c>
      <c r="F2580" s="303">
        <v>43031</v>
      </c>
      <c r="G2580" s="301">
        <v>3652</v>
      </c>
      <c r="H2580" s="301">
        <f>Tabla15[[#This Row],[Importe]]-Tabla15[[#This Row],[Pagado]]</f>
        <v>0</v>
      </c>
      <c r="I2580" s="275" t="s">
        <v>15214</v>
      </c>
    </row>
    <row r="2581" spans="1:9" x14ac:dyDescent="0.25">
      <c r="A2581" s="420">
        <v>43028</v>
      </c>
      <c r="B2581" s="302" t="s">
        <v>34273</v>
      </c>
      <c r="C2581">
        <v>132144</v>
      </c>
      <c r="D2581" s="275" t="s">
        <v>15244</v>
      </c>
      <c r="E2581" s="301">
        <v>9274</v>
      </c>
      <c r="F2581" s="303">
        <v>43028</v>
      </c>
      <c r="G2581" s="301">
        <v>9274</v>
      </c>
      <c r="H2581" s="301">
        <f>Tabla15[[#This Row],[Importe]]-Tabla15[[#This Row],[Pagado]]</f>
        <v>0</v>
      </c>
      <c r="I2581" s="275" t="s">
        <v>15214</v>
      </c>
    </row>
    <row r="2582" spans="1:9" x14ac:dyDescent="0.25">
      <c r="A2582" s="420">
        <v>43028</v>
      </c>
      <c r="B2582" s="302" t="s">
        <v>34274</v>
      </c>
      <c r="C2582">
        <v>132145</v>
      </c>
      <c r="D2582" s="275" t="s">
        <v>16229</v>
      </c>
      <c r="E2582" s="301">
        <v>4880</v>
      </c>
      <c r="F2582" s="303">
        <v>43031</v>
      </c>
      <c r="G2582" s="301">
        <v>4880</v>
      </c>
      <c r="H2582" s="301">
        <f>Tabla15[[#This Row],[Importe]]-Tabla15[[#This Row],[Pagado]]</f>
        <v>0</v>
      </c>
      <c r="I2582" s="275" t="s">
        <v>15214</v>
      </c>
    </row>
    <row r="2583" spans="1:9" x14ac:dyDescent="0.25">
      <c r="A2583" s="420">
        <v>43028</v>
      </c>
      <c r="B2583" s="302" t="s">
        <v>34275</v>
      </c>
      <c r="C2583">
        <v>132146</v>
      </c>
      <c r="D2583" s="275" t="s">
        <v>15624</v>
      </c>
      <c r="E2583" s="301">
        <v>14654.2</v>
      </c>
      <c r="F2583" s="303">
        <v>43033</v>
      </c>
      <c r="G2583" s="301">
        <v>14654.2</v>
      </c>
      <c r="H2583" s="301">
        <f>Tabla15[[#This Row],[Importe]]-Tabla15[[#This Row],[Pagado]]</f>
        <v>0</v>
      </c>
      <c r="I2583" s="275" t="s">
        <v>15214</v>
      </c>
    </row>
    <row r="2584" spans="1:9" x14ac:dyDescent="0.25">
      <c r="A2584" s="420">
        <v>43028</v>
      </c>
      <c r="B2584" s="302" t="s">
        <v>34276</v>
      </c>
      <c r="C2584">
        <v>132147</v>
      </c>
      <c r="D2584" s="275" t="s">
        <v>15313</v>
      </c>
      <c r="E2584" s="301">
        <v>1190.5</v>
      </c>
      <c r="F2584" s="303">
        <v>43033</v>
      </c>
      <c r="G2584" s="301">
        <v>1190.5</v>
      </c>
      <c r="H2584" s="301">
        <f>Tabla15[[#This Row],[Importe]]-Tabla15[[#This Row],[Pagado]]</f>
        <v>0</v>
      </c>
      <c r="I2584" s="275" t="s">
        <v>15214</v>
      </c>
    </row>
    <row r="2585" spans="1:9" x14ac:dyDescent="0.25">
      <c r="A2585" s="420">
        <v>43028</v>
      </c>
      <c r="B2585" s="302" t="s">
        <v>34277</v>
      </c>
      <c r="C2585">
        <v>132148</v>
      </c>
      <c r="D2585" s="275" t="s">
        <v>16463</v>
      </c>
      <c r="E2585" s="301">
        <v>11808</v>
      </c>
      <c r="F2585" s="303">
        <v>43031</v>
      </c>
      <c r="G2585" s="301">
        <v>11808</v>
      </c>
      <c r="H2585" s="301">
        <f>Tabla15[[#This Row],[Importe]]-Tabla15[[#This Row],[Pagado]]</f>
        <v>0</v>
      </c>
      <c r="I2585" s="275" t="s">
        <v>15214</v>
      </c>
    </row>
    <row r="2586" spans="1:9" x14ac:dyDescent="0.25">
      <c r="A2586" s="420">
        <v>43028</v>
      </c>
      <c r="B2586" s="302" t="s">
        <v>34278</v>
      </c>
      <c r="C2586">
        <v>132149</v>
      </c>
      <c r="D2586" s="275" t="s">
        <v>29500</v>
      </c>
      <c r="E2586" s="301">
        <v>4140</v>
      </c>
      <c r="F2586" s="303">
        <v>43031</v>
      </c>
      <c r="G2586" s="301">
        <v>4140</v>
      </c>
      <c r="H2586" s="301">
        <f>Tabla15[[#This Row],[Importe]]-Tabla15[[#This Row],[Pagado]]</f>
        <v>0</v>
      </c>
      <c r="I2586" s="275" t="s">
        <v>15214</v>
      </c>
    </row>
    <row r="2587" spans="1:9" x14ac:dyDescent="0.25">
      <c r="A2587" s="420">
        <v>43028</v>
      </c>
      <c r="B2587" s="302" t="s">
        <v>34279</v>
      </c>
      <c r="C2587">
        <v>132150</v>
      </c>
      <c r="D2587" s="275" t="s">
        <v>15317</v>
      </c>
      <c r="E2587" s="301">
        <v>1339.2</v>
      </c>
      <c r="F2587" s="303">
        <v>43032</v>
      </c>
      <c r="G2587" s="301">
        <v>1339.2</v>
      </c>
      <c r="H2587" s="301">
        <f>Tabla15[[#This Row],[Importe]]-Tabla15[[#This Row],[Pagado]]</f>
        <v>0</v>
      </c>
      <c r="I2587" s="275" t="s">
        <v>15214</v>
      </c>
    </row>
    <row r="2588" spans="1:9" x14ac:dyDescent="0.25">
      <c r="A2588" s="420">
        <v>43028</v>
      </c>
      <c r="B2588" s="302" t="s">
        <v>34280</v>
      </c>
      <c r="C2588">
        <v>132151</v>
      </c>
      <c r="D2588" s="275" t="s">
        <v>15835</v>
      </c>
      <c r="E2588" s="301">
        <v>264</v>
      </c>
      <c r="F2588" s="303">
        <v>43031</v>
      </c>
      <c r="G2588" s="301">
        <v>264</v>
      </c>
      <c r="H2588" s="301">
        <f>Tabla15[[#This Row],[Importe]]-Tabla15[[#This Row],[Pagado]]</f>
        <v>0</v>
      </c>
      <c r="I2588" s="275" t="s">
        <v>15214</v>
      </c>
    </row>
    <row r="2589" spans="1:9" x14ac:dyDescent="0.25">
      <c r="A2589" s="420">
        <v>43028</v>
      </c>
      <c r="B2589" s="302" t="s">
        <v>34281</v>
      </c>
      <c r="C2589">
        <v>132152</v>
      </c>
      <c r="D2589" s="275" t="s">
        <v>15549</v>
      </c>
      <c r="E2589" s="301">
        <v>442</v>
      </c>
      <c r="F2589" s="303">
        <v>43028</v>
      </c>
      <c r="G2589" s="301">
        <v>442</v>
      </c>
      <c r="H2589" s="301">
        <f>Tabla15[[#This Row],[Importe]]-Tabla15[[#This Row],[Pagado]]</f>
        <v>0</v>
      </c>
      <c r="I2589" s="275" t="s">
        <v>15214</v>
      </c>
    </row>
    <row r="2590" spans="1:9" x14ac:dyDescent="0.25">
      <c r="A2590" s="420">
        <v>43028</v>
      </c>
      <c r="B2590" s="302" t="s">
        <v>34282</v>
      </c>
      <c r="C2590">
        <v>132153</v>
      </c>
      <c r="D2590" s="275" t="s">
        <v>15252</v>
      </c>
      <c r="E2590" s="301">
        <v>751.8</v>
      </c>
      <c r="F2590" s="303">
        <v>43031</v>
      </c>
      <c r="G2590" s="301">
        <v>751.8</v>
      </c>
      <c r="H2590" s="301">
        <f>Tabla15[[#This Row],[Importe]]-Tabla15[[#This Row],[Pagado]]</f>
        <v>0</v>
      </c>
      <c r="I2590" s="275" t="s">
        <v>15214</v>
      </c>
    </row>
    <row r="2591" spans="1:9" x14ac:dyDescent="0.25">
      <c r="A2591" s="420">
        <v>43028</v>
      </c>
      <c r="B2591" s="302" t="s">
        <v>34283</v>
      </c>
      <c r="C2591">
        <v>132154</v>
      </c>
      <c r="D2591" s="275" t="s">
        <v>15716</v>
      </c>
      <c r="E2591" s="301">
        <v>10500.3</v>
      </c>
      <c r="F2591" s="303">
        <v>43028</v>
      </c>
      <c r="G2591" s="301">
        <v>10500.3</v>
      </c>
      <c r="H2591" s="301">
        <f>Tabla15[[#This Row],[Importe]]-Tabla15[[#This Row],[Pagado]]</f>
        <v>0</v>
      </c>
      <c r="I2591" s="275" t="s">
        <v>15214</v>
      </c>
    </row>
    <row r="2592" spans="1:9" x14ac:dyDescent="0.25">
      <c r="A2592" s="420">
        <v>43028</v>
      </c>
      <c r="B2592" s="302" t="s">
        <v>34284</v>
      </c>
      <c r="C2592">
        <v>132155</v>
      </c>
      <c r="D2592" s="275" t="s">
        <v>15276</v>
      </c>
      <c r="E2592" s="301">
        <v>3680</v>
      </c>
      <c r="F2592" s="303">
        <v>43031</v>
      </c>
      <c r="G2592" s="301">
        <v>3680</v>
      </c>
      <c r="H2592" s="301">
        <f>Tabla15[[#This Row],[Importe]]-Tabla15[[#This Row],[Pagado]]</f>
        <v>0</v>
      </c>
      <c r="I2592" s="275" t="s">
        <v>15214</v>
      </c>
    </row>
    <row r="2593" spans="1:9" x14ac:dyDescent="0.25">
      <c r="A2593" s="420">
        <v>43028</v>
      </c>
      <c r="B2593" s="302" t="s">
        <v>34285</v>
      </c>
      <c r="C2593">
        <v>132156</v>
      </c>
      <c r="D2593" s="275" t="s">
        <v>15600</v>
      </c>
      <c r="E2593" s="301">
        <v>2232.6</v>
      </c>
      <c r="F2593" s="303">
        <v>43031</v>
      </c>
      <c r="G2593" s="301">
        <v>2232.6</v>
      </c>
      <c r="H2593" s="301">
        <f>Tabla15[[#This Row],[Importe]]-Tabla15[[#This Row],[Pagado]]</f>
        <v>0</v>
      </c>
      <c r="I2593" s="275" t="s">
        <v>15214</v>
      </c>
    </row>
    <row r="2594" spans="1:9" x14ac:dyDescent="0.25">
      <c r="A2594" s="420">
        <v>43028</v>
      </c>
      <c r="B2594" s="302" t="s">
        <v>34286</v>
      </c>
      <c r="C2594">
        <v>132157</v>
      </c>
      <c r="D2594" s="275" t="s">
        <v>15417</v>
      </c>
      <c r="E2594" s="301">
        <v>2056.5</v>
      </c>
      <c r="F2594" s="303">
        <v>43031</v>
      </c>
      <c r="G2594" s="301">
        <v>2056.5</v>
      </c>
      <c r="H2594" s="301">
        <f>Tabla15[[#This Row],[Importe]]-Tabla15[[#This Row],[Pagado]]</f>
        <v>0</v>
      </c>
      <c r="I2594" s="275" t="s">
        <v>15214</v>
      </c>
    </row>
    <row r="2595" spans="1:9" x14ac:dyDescent="0.25">
      <c r="A2595" s="420">
        <v>43028</v>
      </c>
      <c r="B2595" s="302" t="s">
        <v>34287</v>
      </c>
      <c r="C2595">
        <v>132158</v>
      </c>
      <c r="D2595" s="275" t="s">
        <v>15394</v>
      </c>
      <c r="E2595" s="301">
        <v>16183.4</v>
      </c>
      <c r="F2595" s="303">
        <v>43032</v>
      </c>
      <c r="G2595" s="301">
        <v>16183.4</v>
      </c>
      <c r="H2595" s="301">
        <f>Tabla15[[#This Row],[Importe]]-Tabla15[[#This Row],[Pagado]]</f>
        <v>0</v>
      </c>
      <c r="I2595" s="275" t="s">
        <v>15214</v>
      </c>
    </row>
    <row r="2596" spans="1:9" x14ac:dyDescent="0.25">
      <c r="A2596" s="420">
        <v>43028</v>
      </c>
      <c r="B2596" s="302" t="s">
        <v>34288</v>
      </c>
      <c r="C2596">
        <v>132159</v>
      </c>
      <c r="D2596" s="275" t="s">
        <v>16217</v>
      </c>
      <c r="E2596" s="301">
        <v>2491.4</v>
      </c>
      <c r="F2596" s="303">
        <v>43031</v>
      </c>
      <c r="G2596" s="301">
        <v>2491.4</v>
      </c>
      <c r="H2596" s="301">
        <f>Tabla15[[#This Row],[Importe]]-Tabla15[[#This Row],[Pagado]]</f>
        <v>0</v>
      </c>
      <c r="I2596" s="275" t="s">
        <v>15214</v>
      </c>
    </row>
    <row r="2597" spans="1:9" x14ac:dyDescent="0.25">
      <c r="A2597" s="420">
        <v>43028</v>
      </c>
      <c r="B2597" s="302" t="s">
        <v>34289</v>
      </c>
      <c r="C2597">
        <v>132160</v>
      </c>
      <c r="D2597" s="275" t="s">
        <v>15782</v>
      </c>
      <c r="E2597" s="301">
        <v>1034</v>
      </c>
      <c r="F2597" s="303">
        <v>43031</v>
      </c>
      <c r="G2597" s="301">
        <v>1034</v>
      </c>
      <c r="H2597" s="301">
        <f>Tabla15[[#This Row],[Importe]]-Tabla15[[#This Row],[Pagado]]</f>
        <v>0</v>
      </c>
      <c r="I2597" s="275" t="s">
        <v>15214</v>
      </c>
    </row>
    <row r="2598" spans="1:9" x14ac:dyDescent="0.25">
      <c r="A2598" s="420">
        <v>43028</v>
      </c>
      <c r="B2598" s="302" t="s">
        <v>34290</v>
      </c>
      <c r="C2598">
        <v>132161</v>
      </c>
      <c r="D2598" s="275" t="s">
        <v>15920</v>
      </c>
      <c r="E2598" s="301">
        <v>3840</v>
      </c>
      <c r="F2598" s="303">
        <v>43029</v>
      </c>
      <c r="G2598" s="301">
        <v>3840</v>
      </c>
      <c r="H2598" s="301">
        <f>Tabla15[[#This Row],[Importe]]-Tabla15[[#This Row],[Pagado]]</f>
        <v>0</v>
      </c>
      <c r="I2598" s="275" t="s">
        <v>15214</v>
      </c>
    </row>
    <row r="2599" spans="1:9" x14ac:dyDescent="0.25">
      <c r="A2599" s="420">
        <v>43028</v>
      </c>
      <c r="B2599" s="302" t="s">
        <v>34291</v>
      </c>
      <c r="C2599">
        <v>132162</v>
      </c>
      <c r="D2599" s="275" t="s">
        <v>15322</v>
      </c>
      <c r="E2599" s="301">
        <v>2433.4</v>
      </c>
      <c r="F2599" s="303">
        <v>43028</v>
      </c>
      <c r="G2599" s="301">
        <v>2433.4</v>
      </c>
      <c r="H2599" s="301">
        <f>Tabla15[[#This Row],[Importe]]-Tabla15[[#This Row],[Pagado]]</f>
        <v>0</v>
      </c>
      <c r="I2599" s="275" t="s">
        <v>15214</v>
      </c>
    </row>
    <row r="2600" spans="1:9" x14ac:dyDescent="0.25">
      <c r="A2600" s="420">
        <v>43028</v>
      </c>
      <c r="B2600" s="302" t="s">
        <v>34292</v>
      </c>
      <c r="C2600">
        <v>132163</v>
      </c>
      <c r="D2600" s="275" t="s">
        <v>15725</v>
      </c>
      <c r="E2600" s="301">
        <v>21168.2</v>
      </c>
      <c r="F2600" s="303">
        <v>43031</v>
      </c>
      <c r="G2600" s="301">
        <v>21168.2</v>
      </c>
      <c r="H2600" s="301">
        <f>Tabla15[[#This Row],[Importe]]-Tabla15[[#This Row],[Pagado]]</f>
        <v>0</v>
      </c>
      <c r="I2600" s="275" t="s">
        <v>15214</v>
      </c>
    </row>
    <row r="2601" spans="1:9" x14ac:dyDescent="0.25">
      <c r="A2601" s="420">
        <v>43028</v>
      </c>
      <c r="B2601" s="302" t="s">
        <v>34293</v>
      </c>
      <c r="C2601">
        <v>132164</v>
      </c>
      <c r="D2601" s="275" t="s">
        <v>15568</v>
      </c>
      <c r="E2601" s="301">
        <v>11739.6</v>
      </c>
      <c r="F2601" s="303">
        <v>43029</v>
      </c>
      <c r="G2601" s="301">
        <v>11739.6</v>
      </c>
      <c r="H2601" s="301">
        <f>Tabla15[[#This Row],[Importe]]-Tabla15[[#This Row],[Pagado]]</f>
        <v>0</v>
      </c>
      <c r="I2601" s="275" t="s">
        <v>15214</v>
      </c>
    </row>
    <row r="2602" spans="1:9" x14ac:dyDescent="0.25">
      <c r="A2602" s="420">
        <v>43028</v>
      </c>
      <c r="B2602" s="302" t="s">
        <v>34294</v>
      </c>
      <c r="C2602">
        <v>132165</v>
      </c>
      <c r="D2602" s="275" t="s">
        <v>15378</v>
      </c>
      <c r="E2602" s="301">
        <v>2857.8</v>
      </c>
      <c r="F2602" s="303">
        <v>43028</v>
      </c>
      <c r="G2602" s="301">
        <v>2857.8</v>
      </c>
      <c r="H2602" s="301">
        <f>Tabla15[[#This Row],[Importe]]-Tabla15[[#This Row],[Pagado]]</f>
        <v>0</v>
      </c>
      <c r="I2602" s="275" t="s">
        <v>15214</v>
      </c>
    </row>
    <row r="2603" spans="1:9" x14ac:dyDescent="0.25">
      <c r="A2603" s="420">
        <v>43028</v>
      </c>
      <c r="B2603" s="302" t="s">
        <v>34295</v>
      </c>
      <c r="C2603">
        <v>132166</v>
      </c>
      <c r="D2603" s="275" t="s">
        <v>15246</v>
      </c>
      <c r="E2603" s="301">
        <v>38570</v>
      </c>
      <c r="F2603" s="303">
        <v>43032</v>
      </c>
      <c r="G2603" s="301">
        <v>38570</v>
      </c>
      <c r="H2603" s="301">
        <f>Tabla15[[#This Row],[Importe]]-Tabla15[[#This Row],[Pagado]]</f>
        <v>0</v>
      </c>
      <c r="I2603" s="275" t="s">
        <v>15214</v>
      </c>
    </row>
    <row r="2604" spans="1:9" x14ac:dyDescent="0.25">
      <c r="A2604" s="420">
        <v>43028</v>
      </c>
      <c r="B2604" s="302" t="s">
        <v>34296</v>
      </c>
      <c r="C2604">
        <v>132167</v>
      </c>
      <c r="D2604" s="275" t="s">
        <v>15315</v>
      </c>
      <c r="E2604" s="301">
        <v>858</v>
      </c>
      <c r="F2604" s="303">
        <v>43031</v>
      </c>
      <c r="G2604" s="301">
        <v>858</v>
      </c>
      <c r="H2604" s="301">
        <f>Tabla15[[#This Row],[Importe]]-Tabla15[[#This Row],[Pagado]]</f>
        <v>0</v>
      </c>
      <c r="I2604" s="275" t="s">
        <v>15214</v>
      </c>
    </row>
    <row r="2605" spans="1:9" x14ac:dyDescent="0.25">
      <c r="A2605" s="420">
        <v>43028</v>
      </c>
      <c r="B2605" s="302" t="s">
        <v>34297</v>
      </c>
      <c r="C2605">
        <v>132168</v>
      </c>
      <c r="D2605" s="275" t="s">
        <v>15315</v>
      </c>
      <c r="E2605" s="301">
        <v>2691.3</v>
      </c>
      <c r="F2605" s="303">
        <v>43029</v>
      </c>
      <c r="G2605" s="301">
        <v>2691.3</v>
      </c>
      <c r="H2605" s="301">
        <f>Tabla15[[#This Row],[Importe]]-Tabla15[[#This Row],[Pagado]]</f>
        <v>0</v>
      </c>
      <c r="I2605" s="275" t="s">
        <v>15214</v>
      </c>
    </row>
    <row r="2606" spans="1:9" x14ac:dyDescent="0.25">
      <c r="A2606" s="420">
        <v>43028</v>
      </c>
      <c r="B2606" s="302" t="s">
        <v>34298</v>
      </c>
      <c r="C2606">
        <v>132169</v>
      </c>
      <c r="D2606" s="275" t="s">
        <v>15594</v>
      </c>
      <c r="E2606" s="301">
        <v>1620.1</v>
      </c>
      <c r="F2606" s="303">
        <v>43029</v>
      </c>
      <c r="G2606" s="301">
        <v>1620.1</v>
      </c>
      <c r="H2606" s="301">
        <f>Tabla15[[#This Row],[Importe]]-Tabla15[[#This Row],[Pagado]]</f>
        <v>0</v>
      </c>
      <c r="I2606" s="275" t="s">
        <v>15214</v>
      </c>
    </row>
    <row r="2607" spans="1:9" x14ac:dyDescent="0.25">
      <c r="A2607" s="420">
        <v>43028</v>
      </c>
      <c r="B2607" s="302" t="s">
        <v>34299</v>
      </c>
      <c r="C2607">
        <v>132170</v>
      </c>
      <c r="D2607" s="275" t="s">
        <v>15389</v>
      </c>
      <c r="E2607" s="301">
        <v>16377.6</v>
      </c>
      <c r="F2607" s="303">
        <v>43035</v>
      </c>
      <c r="G2607" s="301">
        <v>16377.6</v>
      </c>
      <c r="H2607" s="301">
        <f>Tabla15[[#This Row],[Importe]]-Tabla15[[#This Row],[Pagado]]</f>
        <v>0</v>
      </c>
      <c r="I2607" s="275" t="s">
        <v>15214</v>
      </c>
    </row>
    <row r="2608" spans="1:9" x14ac:dyDescent="0.25">
      <c r="A2608" s="420">
        <v>43028</v>
      </c>
      <c r="B2608" s="302" t="s">
        <v>34300</v>
      </c>
      <c r="C2608">
        <v>132171</v>
      </c>
      <c r="D2608" s="275" t="s">
        <v>16732</v>
      </c>
      <c r="E2608" s="301">
        <v>2840.4</v>
      </c>
      <c r="F2608" s="303">
        <v>43029</v>
      </c>
      <c r="G2608" s="301">
        <v>2840.4</v>
      </c>
      <c r="H2608" s="301">
        <f>Tabla15[[#This Row],[Importe]]-Tabla15[[#This Row],[Pagado]]</f>
        <v>0</v>
      </c>
      <c r="I2608" s="275" t="s">
        <v>15214</v>
      </c>
    </row>
    <row r="2609" spans="1:9" x14ac:dyDescent="0.25">
      <c r="A2609" s="420">
        <v>43028</v>
      </c>
      <c r="B2609" s="302" t="s">
        <v>34301</v>
      </c>
      <c r="C2609">
        <v>132172</v>
      </c>
      <c r="D2609" s="275" t="s">
        <v>15391</v>
      </c>
      <c r="E2609" s="301">
        <v>11232</v>
      </c>
      <c r="F2609" s="303">
        <v>43031</v>
      </c>
      <c r="G2609" s="301">
        <v>11232</v>
      </c>
      <c r="H2609" s="301">
        <f>Tabla15[[#This Row],[Importe]]-Tabla15[[#This Row],[Pagado]]</f>
        <v>0</v>
      </c>
      <c r="I2609" s="275" t="s">
        <v>15214</v>
      </c>
    </row>
    <row r="2610" spans="1:9" x14ac:dyDescent="0.25">
      <c r="A2610" s="420">
        <v>43028</v>
      </c>
      <c r="B2610" s="302" t="s">
        <v>34302</v>
      </c>
      <c r="C2610">
        <v>132173</v>
      </c>
      <c r="D2610" s="275" t="s">
        <v>15396</v>
      </c>
      <c r="E2610" s="301">
        <v>6844.82</v>
      </c>
      <c r="F2610" s="303">
        <v>43028</v>
      </c>
      <c r="G2610" s="301">
        <v>6844.82</v>
      </c>
      <c r="H2610" s="301">
        <f>Tabla15[[#This Row],[Importe]]-Tabla15[[#This Row],[Pagado]]</f>
        <v>0</v>
      </c>
      <c r="I2610" s="275" t="s">
        <v>15214</v>
      </c>
    </row>
    <row r="2611" spans="1:9" x14ac:dyDescent="0.25">
      <c r="A2611" s="420">
        <v>43028</v>
      </c>
      <c r="B2611" s="302" t="s">
        <v>34303</v>
      </c>
      <c r="C2611">
        <v>132174</v>
      </c>
      <c r="D2611" s="275" t="s">
        <v>15396</v>
      </c>
      <c r="E2611" s="301">
        <v>272</v>
      </c>
      <c r="F2611" s="303">
        <v>43028</v>
      </c>
      <c r="G2611" s="301">
        <v>272</v>
      </c>
      <c r="H2611" s="301">
        <f>Tabla15[[#This Row],[Importe]]-Tabla15[[#This Row],[Pagado]]</f>
        <v>0</v>
      </c>
      <c r="I2611" s="275" t="s">
        <v>15214</v>
      </c>
    </row>
    <row r="2612" spans="1:9" x14ac:dyDescent="0.25">
      <c r="A2612" s="420">
        <v>43028</v>
      </c>
      <c r="B2612" s="302" t="s">
        <v>34304</v>
      </c>
      <c r="C2612">
        <v>132175</v>
      </c>
      <c r="D2612" s="275" t="s">
        <v>15987</v>
      </c>
      <c r="E2612" s="301">
        <v>3058</v>
      </c>
      <c r="F2612" s="303">
        <v>43028</v>
      </c>
      <c r="G2612" s="301">
        <v>3058</v>
      </c>
      <c r="H2612" s="301">
        <f>Tabla15[[#This Row],[Importe]]-Tabla15[[#This Row],[Pagado]]</f>
        <v>0</v>
      </c>
      <c r="I2612" s="275" t="s">
        <v>15214</v>
      </c>
    </row>
    <row r="2613" spans="1:9" x14ac:dyDescent="0.25">
      <c r="A2613" s="420">
        <v>43028</v>
      </c>
      <c r="B2613" s="302" t="s">
        <v>34305</v>
      </c>
      <c r="C2613">
        <v>132176</v>
      </c>
      <c r="D2613" s="275" t="s">
        <v>15566</v>
      </c>
      <c r="E2613" s="301">
        <v>889.2</v>
      </c>
      <c r="F2613" s="303">
        <v>43028</v>
      </c>
      <c r="G2613" s="301">
        <v>889.2</v>
      </c>
      <c r="H2613" s="301">
        <f>Tabla15[[#This Row],[Importe]]-Tabla15[[#This Row],[Pagado]]</f>
        <v>0</v>
      </c>
      <c r="I2613" s="275" t="s">
        <v>15214</v>
      </c>
    </row>
    <row r="2614" spans="1:9" x14ac:dyDescent="0.25">
      <c r="A2614" s="420">
        <v>43028</v>
      </c>
      <c r="B2614" s="302" t="s">
        <v>34306</v>
      </c>
      <c r="C2614">
        <v>132177</v>
      </c>
      <c r="D2614" s="275" t="s">
        <v>15282</v>
      </c>
      <c r="E2614" s="301">
        <v>3059.6</v>
      </c>
      <c r="F2614" s="303">
        <v>43028</v>
      </c>
      <c r="G2614" s="301">
        <v>3059.6</v>
      </c>
      <c r="H2614" s="301">
        <f>Tabla15[[#This Row],[Importe]]-Tabla15[[#This Row],[Pagado]]</f>
        <v>0</v>
      </c>
      <c r="I2614" s="275" t="s">
        <v>15214</v>
      </c>
    </row>
    <row r="2615" spans="1:9" x14ac:dyDescent="0.25">
      <c r="A2615" s="420">
        <v>43028</v>
      </c>
      <c r="B2615" s="302" t="s">
        <v>34307</v>
      </c>
      <c r="C2615">
        <v>132178</v>
      </c>
      <c r="D2615" s="275" t="s">
        <v>15385</v>
      </c>
      <c r="E2615" s="301">
        <v>10863</v>
      </c>
      <c r="F2615" s="303">
        <v>43029</v>
      </c>
      <c r="G2615" s="301">
        <v>10863</v>
      </c>
      <c r="H2615" s="301">
        <f>Tabla15[[#This Row],[Importe]]-Tabla15[[#This Row],[Pagado]]</f>
        <v>0</v>
      </c>
      <c r="I2615" s="275" t="s">
        <v>15214</v>
      </c>
    </row>
    <row r="2616" spans="1:9" x14ac:dyDescent="0.25">
      <c r="A2616" s="420">
        <v>43028</v>
      </c>
      <c r="B2616" s="302" t="s">
        <v>34308</v>
      </c>
      <c r="C2616">
        <v>132179</v>
      </c>
      <c r="D2616" s="275" t="s">
        <v>15284</v>
      </c>
      <c r="E2616" s="301">
        <v>1936.3</v>
      </c>
      <c r="F2616" s="303">
        <v>43028</v>
      </c>
      <c r="G2616" s="301">
        <v>1936.3</v>
      </c>
      <c r="H2616" s="301">
        <f>Tabla15[[#This Row],[Importe]]-Tabla15[[#This Row],[Pagado]]</f>
        <v>0</v>
      </c>
      <c r="I2616" s="275" t="s">
        <v>15214</v>
      </c>
    </row>
    <row r="2617" spans="1:9" x14ac:dyDescent="0.25">
      <c r="A2617" s="420">
        <v>43028</v>
      </c>
      <c r="B2617" s="302" t="s">
        <v>34309</v>
      </c>
      <c r="C2617">
        <v>132180</v>
      </c>
      <c r="D2617" s="275" t="s">
        <v>15810</v>
      </c>
      <c r="E2617" s="301">
        <v>801.2</v>
      </c>
      <c r="F2617" s="303">
        <v>43028</v>
      </c>
      <c r="G2617" s="301">
        <v>801.2</v>
      </c>
      <c r="H2617" s="301">
        <f>Tabla15[[#This Row],[Importe]]-Tabla15[[#This Row],[Pagado]]</f>
        <v>0</v>
      </c>
      <c r="I2617" s="275" t="s">
        <v>15214</v>
      </c>
    </row>
    <row r="2618" spans="1:9" x14ac:dyDescent="0.25">
      <c r="A2618" s="420">
        <v>43028</v>
      </c>
      <c r="B2618" s="302" t="s">
        <v>34310</v>
      </c>
      <c r="C2618">
        <v>132181</v>
      </c>
      <c r="D2618" s="275" t="s">
        <v>15537</v>
      </c>
      <c r="E2618" s="301">
        <v>11574.4</v>
      </c>
      <c r="F2618" s="303">
        <v>43029</v>
      </c>
      <c r="G2618" s="301">
        <v>11574.4</v>
      </c>
      <c r="H2618" s="301">
        <f>Tabla15[[#This Row],[Importe]]-Tabla15[[#This Row],[Pagado]]</f>
        <v>0</v>
      </c>
      <c r="I2618" s="275" t="s">
        <v>15214</v>
      </c>
    </row>
    <row r="2619" spans="1:9" x14ac:dyDescent="0.25">
      <c r="A2619" s="420">
        <v>43028</v>
      </c>
      <c r="B2619" s="302" t="s">
        <v>34311</v>
      </c>
      <c r="C2619">
        <v>132182</v>
      </c>
      <c r="D2619" s="275" t="s">
        <v>15555</v>
      </c>
      <c r="E2619" s="301">
        <v>4322.75</v>
      </c>
      <c r="F2619" s="303">
        <v>43029</v>
      </c>
      <c r="G2619" s="301">
        <v>4322.75</v>
      </c>
      <c r="H2619" s="301">
        <f>Tabla15[[#This Row],[Importe]]-Tabla15[[#This Row],[Pagado]]</f>
        <v>0</v>
      </c>
      <c r="I2619" s="275" t="s">
        <v>15214</v>
      </c>
    </row>
    <row r="2620" spans="1:9" x14ac:dyDescent="0.25">
      <c r="A2620" s="420">
        <v>43028</v>
      </c>
      <c r="B2620" s="302" t="s">
        <v>34312</v>
      </c>
      <c r="C2620">
        <v>132183</v>
      </c>
      <c r="D2620" s="275" t="s">
        <v>15557</v>
      </c>
      <c r="E2620" s="301">
        <v>6728.4</v>
      </c>
      <c r="F2620" s="303">
        <v>43029</v>
      </c>
      <c r="G2620" s="301">
        <v>6728.4</v>
      </c>
      <c r="H2620" s="301">
        <f>Tabla15[[#This Row],[Importe]]-Tabla15[[#This Row],[Pagado]]</f>
        <v>0</v>
      </c>
      <c r="I2620" s="275" t="s">
        <v>15214</v>
      </c>
    </row>
    <row r="2621" spans="1:9" ht="15.75" x14ac:dyDescent="0.25">
      <c r="A2621" s="420">
        <v>43028</v>
      </c>
      <c r="B2621" s="302" t="s">
        <v>34313</v>
      </c>
      <c r="C2621">
        <v>132184</v>
      </c>
      <c r="D2621" s="248" t="s">
        <v>95</v>
      </c>
      <c r="E2621" s="301">
        <v>0</v>
      </c>
      <c r="F2621" s="243" t="s">
        <v>95</v>
      </c>
      <c r="G2621" s="301">
        <v>0</v>
      </c>
      <c r="H2621" s="301">
        <f>Tabla15[[#This Row],[Importe]]-Tabla15[[#This Row],[Pagado]]</f>
        <v>0</v>
      </c>
      <c r="I2621" s="275" t="s">
        <v>95</v>
      </c>
    </row>
    <row r="2622" spans="1:9" x14ac:dyDescent="0.25">
      <c r="A2622" s="420">
        <v>43028</v>
      </c>
      <c r="B2622" s="302" t="s">
        <v>34314</v>
      </c>
      <c r="C2622">
        <v>132185</v>
      </c>
      <c r="D2622" s="275" t="s">
        <v>15246</v>
      </c>
      <c r="E2622" s="301">
        <v>298113.8</v>
      </c>
      <c r="F2622" s="303">
        <v>43032</v>
      </c>
      <c r="G2622" s="301">
        <v>298113.8</v>
      </c>
      <c r="H2622" s="301">
        <f>Tabla15[[#This Row],[Importe]]-Tabla15[[#This Row],[Pagado]]</f>
        <v>0</v>
      </c>
      <c r="I2622" s="275" t="s">
        <v>15214</v>
      </c>
    </row>
    <row r="2623" spans="1:9" x14ac:dyDescent="0.25">
      <c r="A2623" s="420">
        <v>43028</v>
      </c>
      <c r="B2623" s="302" t="s">
        <v>34315</v>
      </c>
      <c r="C2623">
        <v>132186</v>
      </c>
      <c r="D2623" s="275" t="s">
        <v>16093</v>
      </c>
      <c r="E2623" s="301">
        <v>1273.8</v>
      </c>
      <c r="F2623" s="303">
        <v>43028</v>
      </c>
      <c r="G2623" s="301">
        <v>1273.8</v>
      </c>
      <c r="H2623" s="301">
        <f>Tabla15[[#This Row],[Importe]]-Tabla15[[#This Row],[Pagado]]</f>
        <v>0</v>
      </c>
      <c r="I2623" s="275" t="s">
        <v>15214</v>
      </c>
    </row>
    <row r="2624" spans="1:9" x14ac:dyDescent="0.25">
      <c r="A2624" s="420">
        <v>43028</v>
      </c>
      <c r="B2624" s="302" t="s">
        <v>34316</v>
      </c>
      <c r="C2624">
        <v>132187</v>
      </c>
      <c r="D2624" s="275" t="s">
        <v>15315</v>
      </c>
      <c r="E2624" s="301">
        <v>962.5</v>
      </c>
      <c r="F2624" s="303">
        <v>43028</v>
      </c>
      <c r="G2624" s="301">
        <v>962.5</v>
      </c>
      <c r="H2624" s="301">
        <f>Tabla15[[#This Row],[Importe]]-Tabla15[[#This Row],[Pagado]]</f>
        <v>0</v>
      </c>
      <c r="I2624" s="275" t="s">
        <v>15214</v>
      </c>
    </row>
    <row r="2625" spans="1:9" x14ac:dyDescent="0.25">
      <c r="A2625" s="420">
        <v>43028</v>
      </c>
      <c r="B2625" s="302" t="s">
        <v>34317</v>
      </c>
      <c r="C2625">
        <v>132188</v>
      </c>
      <c r="D2625" s="275" t="s">
        <v>15315</v>
      </c>
      <c r="E2625" s="301">
        <v>2700</v>
      </c>
      <c r="F2625" s="303">
        <v>43028</v>
      </c>
      <c r="G2625" s="301">
        <v>2700</v>
      </c>
      <c r="H2625" s="301">
        <f>Tabla15[[#This Row],[Importe]]-Tabla15[[#This Row],[Pagado]]</f>
        <v>0</v>
      </c>
      <c r="I2625" s="275" t="s">
        <v>15214</v>
      </c>
    </row>
    <row r="2626" spans="1:9" x14ac:dyDescent="0.25">
      <c r="A2626" s="420">
        <v>43028</v>
      </c>
      <c r="B2626" s="302" t="s">
        <v>34318</v>
      </c>
      <c r="C2626">
        <v>132189</v>
      </c>
      <c r="D2626" s="275" t="s">
        <v>15365</v>
      </c>
      <c r="E2626" s="301">
        <v>209163</v>
      </c>
      <c r="F2626" s="303">
        <v>43032</v>
      </c>
      <c r="G2626" s="301">
        <v>209163</v>
      </c>
      <c r="H2626" s="301">
        <f>Tabla15[[#This Row],[Importe]]-Tabla15[[#This Row],[Pagado]]</f>
        <v>0</v>
      </c>
      <c r="I2626" s="275" t="s">
        <v>15214</v>
      </c>
    </row>
    <row r="2627" spans="1:9" x14ac:dyDescent="0.25">
      <c r="A2627" s="420">
        <v>43028</v>
      </c>
      <c r="B2627" s="302" t="s">
        <v>34319</v>
      </c>
      <c r="C2627">
        <v>132190</v>
      </c>
      <c r="D2627" s="275" t="s">
        <v>15365</v>
      </c>
      <c r="E2627" s="301">
        <v>397826</v>
      </c>
      <c r="F2627" s="303">
        <v>43032</v>
      </c>
      <c r="G2627" s="301">
        <v>397826</v>
      </c>
      <c r="H2627" s="301">
        <f>Tabla15[[#This Row],[Importe]]-Tabla15[[#This Row],[Pagado]]</f>
        <v>0</v>
      </c>
      <c r="I2627" s="275" t="s">
        <v>15214</v>
      </c>
    </row>
    <row r="2628" spans="1:9" x14ac:dyDescent="0.25">
      <c r="A2628" s="420">
        <v>43028</v>
      </c>
      <c r="B2628" s="302" t="s">
        <v>34320</v>
      </c>
      <c r="C2628">
        <v>132191</v>
      </c>
      <c r="D2628" s="275" t="s">
        <v>15246</v>
      </c>
      <c r="E2628" s="301">
        <v>3960.6</v>
      </c>
      <c r="F2628" s="303">
        <v>43032</v>
      </c>
      <c r="G2628" s="301">
        <v>3960.6</v>
      </c>
      <c r="H2628" s="301">
        <f>Tabla15[[#This Row],[Importe]]-Tabla15[[#This Row],[Pagado]]</f>
        <v>0</v>
      </c>
      <c r="I2628" s="275" t="s">
        <v>15214</v>
      </c>
    </row>
    <row r="2629" spans="1:9" x14ac:dyDescent="0.25">
      <c r="A2629" s="420">
        <v>43028</v>
      </c>
      <c r="B2629" s="302" t="s">
        <v>34321</v>
      </c>
      <c r="C2629">
        <v>132192</v>
      </c>
      <c r="D2629" s="275" t="s">
        <v>16048</v>
      </c>
      <c r="E2629" s="301">
        <v>5821.8</v>
      </c>
      <c r="F2629" s="303">
        <v>43028</v>
      </c>
      <c r="G2629" s="301">
        <v>5821.8</v>
      </c>
      <c r="H2629" s="301">
        <f>Tabla15[[#This Row],[Importe]]-Tabla15[[#This Row],[Pagado]]</f>
        <v>0</v>
      </c>
      <c r="I2629" s="275" t="s">
        <v>15214</v>
      </c>
    </row>
    <row r="2630" spans="1:9" x14ac:dyDescent="0.25">
      <c r="A2630" s="420">
        <v>43028</v>
      </c>
      <c r="B2630" s="302" t="s">
        <v>34322</v>
      </c>
      <c r="C2630">
        <v>132193</v>
      </c>
      <c r="D2630" s="275" t="s">
        <v>15294</v>
      </c>
      <c r="E2630" s="301">
        <v>928</v>
      </c>
      <c r="F2630" s="303">
        <v>43028</v>
      </c>
      <c r="G2630" s="301">
        <v>928</v>
      </c>
      <c r="H2630" s="301">
        <f>Tabla15[[#This Row],[Importe]]-Tabla15[[#This Row],[Pagado]]</f>
        <v>0</v>
      </c>
      <c r="I2630" s="275" t="s">
        <v>15214</v>
      </c>
    </row>
    <row r="2631" spans="1:9" x14ac:dyDescent="0.25">
      <c r="A2631" s="420">
        <v>43028</v>
      </c>
      <c r="B2631" s="302" t="s">
        <v>34323</v>
      </c>
      <c r="C2631">
        <v>132194</v>
      </c>
      <c r="D2631" s="275" t="s">
        <v>15315</v>
      </c>
      <c r="E2631" s="301">
        <v>3042.8</v>
      </c>
      <c r="F2631" s="303">
        <v>43028</v>
      </c>
      <c r="G2631" s="301">
        <v>3042.8</v>
      </c>
      <c r="H2631" s="301">
        <f>Tabla15[[#This Row],[Importe]]-Tabla15[[#This Row],[Pagado]]</f>
        <v>0</v>
      </c>
      <c r="I2631" s="275" t="s">
        <v>15214</v>
      </c>
    </row>
    <row r="2632" spans="1:9" x14ac:dyDescent="0.25">
      <c r="A2632" s="420">
        <v>43028</v>
      </c>
      <c r="B2632" s="302" t="s">
        <v>34324</v>
      </c>
      <c r="C2632">
        <v>132195</v>
      </c>
      <c r="D2632" s="275" t="s">
        <v>15338</v>
      </c>
      <c r="E2632" s="301">
        <v>11505</v>
      </c>
      <c r="F2632" s="303">
        <v>43032</v>
      </c>
      <c r="G2632" s="301">
        <v>11505</v>
      </c>
      <c r="H2632" s="301">
        <f>Tabla15[[#This Row],[Importe]]-Tabla15[[#This Row],[Pagado]]</f>
        <v>0</v>
      </c>
      <c r="I2632" s="275" t="s">
        <v>15214</v>
      </c>
    </row>
    <row r="2633" spans="1:9" x14ac:dyDescent="0.25">
      <c r="A2633" s="420">
        <v>43028</v>
      </c>
      <c r="B2633" s="302" t="s">
        <v>34325</v>
      </c>
      <c r="C2633">
        <v>132196</v>
      </c>
      <c r="D2633" s="275" t="s">
        <v>16958</v>
      </c>
      <c r="E2633" s="301">
        <v>2606.8000000000002</v>
      </c>
      <c r="F2633" s="303">
        <v>43028</v>
      </c>
      <c r="G2633" s="301">
        <v>2606.8000000000002</v>
      </c>
      <c r="H2633" s="301">
        <f>Tabla15[[#This Row],[Importe]]-Tabla15[[#This Row],[Pagado]]</f>
        <v>0</v>
      </c>
      <c r="I2633" s="275" t="s">
        <v>15214</v>
      </c>
    </row>
    <row r="2634" spans="1:9" x14ac:dyDescent="0.25">
      <c r="A2634" s="420">
        <v>43028</v>
      </c>
      <c r="B2634" s="302" t="s">
        <v>34326</v>
      </c>
      <c r="C2634">
        <v>132197</v>
      </c>
      <c r="D2634" s="275" t="s">
        <v>16129</v>
      </c>
      <c r="E2634" s="301">
        <v>5194.2</v>
      </c>
      <c r="F2634" s="303">
        <v>43035</v>
      </c>
      <c r="G2634" s="301">
        <v>5194.2</v>
      </c>
      <c r="H2634" s="301">
        <f>Tabla15[[#This Row],[Importe]]-Tabla15[[#This Row],[Pagado]]</f>
        <v>0</v>
      </c>
      <c r="I2634" s="275" t="s">
        <v>15214</v>
      </c>
    </row>
    <row r="2635" spans="1:9" x14ac:dyDescent="0.25">
      <c r="A2635" s="420">
        <v>43028</v>
      </c>
      <c r="B2635" s="302" t="s">
        <v>34327</v>
      </c>
      <c r="C2635">
        <v>132198</v>
      </c>
      <c r="D2635" s="275" t="s">
        <v>15433</v>
      </c>
      <c r="E2635" s="301">
        <v>2447.1999999999998</v>
      </c>
      <c r="F2635" s="303">
        <v>43028</v>
      </c>
      <c r="G2635" s="301">
        <v>2447.1999999999998</v>
      </c>
      <c r="H2635" s="301">
        <f>Tabla15[[#This Row],[Importe]]-Tabla15[[#This Row],[Pagado]]</f>
        <v>0</v>
      </c>
      <c r="I2635" s="275" t="s">
        <v>15214</v>
      </c>
    </row>
    <row r="2636" spans="1:9" ht="15.75" x14ac:dyDescent="0.25">
      <c r="A2636" s="420">
        <v>43028</v>
      </c>
      <c r="B2636" s="302" t="s">
        <v>34328</v>
      </c>
      <c r="C2636">
        <v>132199</v>
      </c>
      <c r="D2636" s="248" t="s">
        <v>95</v>
      </c>
      <c r="E2636" s="301">
        <v>0</v>
      </c>
      <c r="F2636" s="243" t="s">
        <v>95</v>
      </c>
      <c r="G2636" s="301">
        <v>0</v>
      </c>
      <c r="H2636" s="301">
        <f>Tabla15[[#This Row],[Importe]]-Tabla15[[#This Row],[Pagado]]</f>
        <v>0</v>
      </c>
      <c r="I2636" s="275" t="s">
        <v>95</v>
      </c>
    </row>
    <row r="2637" spans="1:9" x14ac:dyDescent="0.25">
      <c r="A2637" s="420">
        <v>43028</v>
      </c>
      <c r="B2637" s="302" t="s">
        <v>34329</v>
      </c>
      <c r="C2637">
        <v>132200</v>
      </c>
      <c r="D2637" s="275" t="s">
        <v>15442</v>
      </c>
      <c r="E2637" s="301">
        <v>25568.400000000001</v>
      </c>
      <c r="F2637" s="303">
        <v>43036</v>
      </c>
      <c r="G2637" s="301">
        <v>25568.400000000001</v>
      </c>
      <c r="H2637" s="301">
        <f>Tabla15[[#This Row],[Importe]]-Tabla15[[#This Row],[Pagado]]</f>
        <v>0</v>
      </c>
      <c r="I2637" s="275" t="s">
        <v>15214</v>
      </c>
    </row>
    <row r="2638" spans="1:9" x14ac:dyDescent="0.25">
      <c r="A2638" s="420">
        <v>43028</v>
      </c>
      <c r="B2638" s="302" t="s">
        <v>34330</v>
      </c>
      <c r="C2638">
        <v>132201</v>
      </c>
      <c r="D2638" s="275" t="s">
        <v>15553</v>
      </c>
      <c r="E2638" s="301">
        <v>31783.5</v>
      </c>
      <c r="F2638" s="303">
        <v>43028</v>
      </c>
      <c r="G2638" s="301">
        <v>31783.5</v>
      </c>
      <c r="H2638" s="301">
        <f>Tabla15[[#This Row],[Importe]]-Tabla15[[#This Row],[Pagado]]</f>
        <v>0</v>
      </c>
      <c r="I2638" s="275" t="s">
        <v>15214</v>
      </c>
    </row>
    <row r="2639" spans="1:9" x14ac:dyDescent="0.25">
      <c r="A2639" s="420">
        <v>43028</v>
      </c>
      <c r="B2639" s="302" t="s">
        <v>34331</v>
      </c>
      <c r="C2639">
        <v>132202</v>
      </c>
      <c r="D2639" s="275" t="s">
        <v>15315</v>
      </c>
      <c r="E2639" s="301">
        <v>564</v>
      </c>
      <c r="F2639" s="303">
        <v>43028</v>
      </c>
      <c r="G2639" s="301">
        <v>564</v>
      </c>
      <c r="H2639" s="301">
        <f>Tabla15[[#This Row],[Importe]]-Tabla15[[#This Row],[Pagado]]</f>
        <v>0</v>
      </c>
      <c r="I2639" s="275" t="s">
        <v>15214</v>
      </c>
    </row>
    <row r="2640" spans="1:9" x14ac:dyDescent="0.25">
      <c r="A2640" s="420">
        <v>43028</v>
      </c>
      <c r="B2640" s="302" t="s">
        <v>34332</v>
      </c>
      <c r="C2640">
        <v>132203</v>
      </c>
      <c r="D2640" s="275" t="s">
        <v>15398</v>
      </c>
      <c r="E2640" s="301">
        <v>5092.2</v>
      </c>
      <c r="F2640" s="303">
        <v>43028</v>
      </c>
      <c r="G2640" s="301">
        <v>5092.2</v>
      </c>
      <c r="H2640" s="301">
        <f>Tabla15[[#This Row],[Importe]]-Tabla15[[#This Row],[Pagado]]</f>
        <v>0</v>
      </c>
      <c r="I2640" s="275" t="s">
        <v>15214</v>
      </c>
    </row>
    <row r="2641" spans="1:9" x14ac:dyDescent="0.25">
      <c r="A2641" s="420">
        <v>43028</v>
      </c>
      <c r="B2641" s="302" t="s">
        <v>34333</v>
      </c>
      <c r="C2641">
        <v>132204</v>
      </c>
      <c r="D2641" s="275" t="s">
        <v>19699</v>
      </c>
      <c r="E2641" s="301">
        <v>1750.4</v>
      </c>
      <c r="F2641" s="303">
        <v>43028</v>
      </c>
      <c r="G2641" s="301">
        <v>1750.4</v>
      </c>
      <c r="H2641" s="301">
        <f>Tabla15[[#This Row],[Importe]]-Tabla15[[#This Row],[Pagado]]</f>
        <v>0</v>
      </c>
      <c r="I2641" s="275" t="s">
        <v>15214</v>
      </c>
    </row>
    <row r="2642" spans="1:9" ht="15.75" x14ac:dyDescent="0.25">
      <c r="A2642" s="420">
        <v>43028</v>
      </c>
      <c r="B2642" s="302" t="s">
        <v>34334</v>
      </c>
      <c r="C2642">
        <v>132205</v>
      </c>
      <c r="D2642" s="248" t="s">
        <v>95</v>
      </c>
      <c r="E2642" s="301">
        <v>0</v>
      </c>
      <c r="F2642" s="243" t="s">
        <v>95</v>
      </c>
      <c r="G2642" s="301">
        <v>0</v>
      </c>
      <c r="H2642" s="301">
        <f>Tabla15[[#This Row],[Importe]]-Tabla15[[#This Row],[Pagado]]</f>
        <v>0</v>
      </c>
      <c r="I2642" s="275" t="s">
        <v>95</v>
      </c>
    </row>
    <row r="2643" spans="1:9" x14ac:dyDescent="0.25">
      <c r="A2643" s="420">
        <v>43028</v>
      </c>
      <c r="B2643" s="302" t="s">
        <v>34335</v>
      </c>
      <c r="C2643">
        <v>132206</v>
      </c>
      <c r="D2643" s="275" t="s">
        <v>34336</v>
      </c>
      <c r="E2643" s="301">
        <v>15232</v>
      </c>
      <c r="F2643" s="303">
        <v>43028</v>
      </c>
      <c r="G2643" s="301">
        <v>15232</v>
      </c>
      <c r="H2643" s="301">
        <f>Tabla15[[#This Row],[Importe]]-Tabla15[[#This Row],[Pagado]]</f>
        <v>0</v>
      </c>
      <c r="I2643" s="275" t="s">
        <v>15214</v>
      </c>
    </row>
    <row r="2644" spans="1:9" x14ac:dyDescent="0.25">
      <c r="A2644" s="420">
        <v>43028</v>
      </c>
      <c r="B2644" s="302" t="s">
        <v>34337</v>
      </c>
      <c r="C2644">
        <v>132207</v>
      </c>
      <c r="D2644" s="275" t="s">
        <v>15267</v>
      </c>
      <c r="E2644" s="301">
        <v>27118.3</v>
      </c>
      <c r="F2644" s="303">
        <v>43028</v>
      </c>
      <c r="G2644" s="301">
        <v>27118.3</v>
      </c>
      <c r="H2644" s="301">
        <f>Tabla15[[#This Row],[Importe]]-Tabla15[[#This Row],[Pagado]]</f>
        <v>0</v>
      </c>
      <c r="I2644" s="275" t="s">
        <v>15214</v>
      </c>
    </row>
    <row r="2645" spans="1:9" ht="15.75" x14ac:dyDescent="0.25">
      <c r="A2645" s="420">
        <v>43028</v>
      </c>
      <c r="B2645" s="302" t="s">
        <v>34338</v>
      </c>
      <c r="C2645">
        <v>132208</v>
      </c>
      <c r="D2645" s="248" t="s">
        <v>95</v>
      </c>
      <c r="E2645" s="301">
        <v>0</v>
      </c>
      <c r="F2645" s="243" t="s">
        <v>95</v>
      </c>
      <c r="G2645" s="301">
        <v>0</v>
      </c>
      <c r="H2645" s="301">
        <f>Tabla15[[#This Row],[Importe]]-Tabla15[[#This Row],[Pagado]]</f>
        <v>0</v>
      </c>
      <c r="I2645" s="275" t="s">
        <v>95</v>
      </c>
    </row>
    <row r="2646" spans="1:9" x14ac:dyDescent="0.25">
      <c r="A2646" s="420">
        <v>43028</v>
      </c>
      <c r="B2646" s="302" t="s">
        <v>34339</v>
      </c>
      <c r="C2646">
        <v>132209</v>
      </c>
      <c r="D2646" s="275" t="s">
        <v>15246</v>
      </c>
      <c r="E2646" s="301">
        <v>174593.9</v>
      </c>
      <c r="F2646" s="303">
        <v>43032</v>
      </c>
      <c r="G2646" s="301">
        <v>174593.9</v>
      </c>
      <c r="H2646" s="301">
        <f>Tabla15[[#This Row],[Importe]]-Tabla15[[#This Row],[Pagado]]</f>
        <v>0</v>
      </c>
      <c r="I2646" s="275" t="s">
        <v>15214</v>
      </c>
    </row>
    <row r="2647" spans="1:9" x14ac:dyDescent="0.25">
      <c r="A2647" s="420">
        <v>43028</v>
      </c>
      <c r="B2647" s="302" t="s">
        <v>34340</v>
      </c>
      <c r="C2647">
        <v>132210</v>
      </c>
      <c r="D2647" s="275" t="s">
        <v>15246</v>
      </c>
      <c r="E2647" s="301">
        <v>37684.42</v>
      </c>
      <c r="F2647" s="303">
        <v>43032</v>
      </c>
      <c r="G2647" s="301">
        <v>37684.42</v>
      </c>
      <c r="H2647" s="301">
        <f>Tabla15[[#This Row],[Importe]]-Tabla15[[#This Row],[Pagado]]</f>
        <v>0</v>
      </c>
      <c r="I2647" s="275" t="s">
        <v>15214</v>
      </c>
    </row>
    <row r="2648" spans="1:9" x14ac:dyDescent="0.25">
      <c r="A2648" s="420">
        <v>43028</v>
      </c>
      <c r="B2648" s="302" t="s">
        <v>34341</v>
      </c>
      <c r="C2648">
        <v>132211</v>
      </c>
      <c r="D2648" s="275" t="s">
        <v>15435</v>
      </c>
      <c r="E2648" s="301">
        <v>8542.4</v>
      </c>
      <c r="F2648" s="303">
        <v>43028</v>
      </c>
      <c r="G2648" s="301">
        <v>8542.4</v>
      </c>
      <c r="H2648" s="301">
        <f>Tabla15[[#This Row],[Importe]]-Tabla15[[#This Row],[Pagado]]</f>
        <v>0</v>
      </c>
      <c r="I2648" s="275" t="s">
        <v>15214</v>
      </c>
    </row>
    <row r="2649" spans="1:9" x14ac:dyDescent="0.25">
      <c r="A2649" s="420">
        <v>43028</v>
      </c>
      <c r="B2649" s="302" t="s">
        <v>34342</v>
      </c>
      <c r="C2649">
        <v>132212</v>
      </c>
      <c r="D2649" s="275" t="s">
        <v>15681</v>
      </c>
      <c r="E2649" s="301">
        <v>1932</v>
      </c>
      <c r="F2649" s="303">
        <v>43028</v>
      </c>
      <c r="G2649" s="301">
        <v>1932</v>
      </c>
      <c r="H2649" s="301">
        <f>Tabla15[[#This Row],[Importe]]-Tabla15[[#This Row],[Pagado]]</f>
        <v>0</v>
      </c>
      <c r="I2649" s="275" t="s">
        <v>15214</v>
      </c>
    </row>
    <row r="2650" spans="1:9" x14ac:dyDescent="0.25">
      <c r="A2650" s="420">
        <v>43028</v>
      </c>
      <c r="B2650" s="302" t="s">
        <v>34343</v>
      </c>
      <c r="C2650">
        <v>132213</v>
      </c>
      <c r="D2650" s="275" t="s">
        <v>16313</v>
      </c>
      <c r="E2650" s="301">
        <v>6120</v>
      </c>
      <c r="F2650" s="303">
        <v>43028</v>
      </c>
      <c r="G2650" s="301">
        <v>6120</v>
      </c>
      <c r="H2650" s="301">
        <f>Tabla15[[#This Row],[Importe]]-Tabla15[[#This Row],[Pagado]]</f>
        <v>0</v>
      </c>
      <c r="I2650" s="275" t="s">
        <v>15214</v>
      </c>
    </row>
    <row r="2651" spans="1:9" x14ac:dyDescent="0.25">
      <c r="A2651" s="420">
        <v>43028</v>
      </c>
      <c r="B2651" s="302" t="s">
        <v>34344</v>
      </c>
      <c r="C2651">
        <v>132214</v>
      </c>
      <c r="D2651" s="275" t="s">
        <v>15365</v>
      </c>
      <c r="E2651" s="301">
        <v>376720</v>
      </c>
      <c r="F2651" s="303">
        <v>43032</v>
      </c>
      <c r="G2651" s="301">
        <v>376720</v>
      </c>
      <c r="H2651" s="301">
        <f>Tabla15[[#This Row],[Importe]]-Tabla15[[#This Row],[Pagado]]</f>
        <v>0</v>
      </c>
      <c r="I2651" s="275" t="s">
        <v>15214</v>
      </c>
    </row>
    <row r="2652" spans="1:9" x14ac:dyDescent="0.25">
      <c r="A2652" s="420">
        <v>43028</v>
      </c>
      <c r="B2652" s="302" t="s">
        <v>34345</v>
      </c>
      <c r="C2652">
        <v>132215</v>
      </c>
      <c r="D2652" s="275" t="s">
        <v>15642</v>
      </c>
      <c r="E2652" s="301">
        <v>6291.6</v>
      </c>
      <c r="F2652" s="303">
        <v>43029</v>
      </c>
      <c r="G2652" s="301">
        <v>6291.6</v>
      </c>
      <c r="H2652" s="301">
        <f>Tabla15[[#This Row],[Importe]]-Tabla15[[#This Row],[Pagado]]</f>
        <v>0</v>
      </c>
      <c r="I2652" s="275" t="s">
        <v>15214</v>
      </c>
    </row>
    <row r="2653" spans="1:9" x14ac:dyDescent="0.25">
      <c r="A2653" s="420">
        <v>43028</v>
      </c>
      <c r="B2653" s="302" t="s">
        <v>34346</v>
      </c>
      <c r="C2653">
        <v>132216</v>
      </c>
      <c r="D2653" s="275" t="s">
        <v>15818</v>
      </c>
      <c r="E2653" s="301">
        <v>1273.5999999999999</v>
      </c>
      <c r="F2653" s="303">
        <v>43029</v>
      </c>
      <c r="G2653" s="301">
        <v>1273.5999999999999</v>
      </c>
      <c r="H2653" s="301">
        <f>Tabla15[[#This Row],[Importe]]-Tabla15[[#This Row],[Pagado]]</f>
        <v>0</v>
      </c>
      <c r="I2653" s="275" t="s">
        <v>15214</v>
      </c>
    </row>
    <row r="2654" spans="1:9" x14ac:dyDescent="0.25">
      <c r="A2654" s="420">
        <v>43028</v>
      </c>
      <c r="B2654" s="302" t="s">
        <v>34347</v>
      </c>
      <c r="C2654">
        <v>132217</v>
      </c>
      <c r="D2654" s="275" t="s">
        <v>15818</v>
      </c>
      <c r="E2654" s="301">
        <v>580</v>
      </c>
      <c r="F2654" s="303">
        <v>43029</v>
      </c>
      <c r="G2654" s="301">
        <v>580</v>
      </c>
      <c r="H2654" s="301">
        <f>Tabla15[[#This Row],[Importe]]-Tabla15[[#This Row],[Pagado]]</f>
        <v>0</v>
      </c>
      <c r="I2654" s="275" t="s">
        <v>15214</v>
      </c>
    </row>
    <row r="2655" spans="1:9" x14ac:dyDescent="0.25">
      <c r="A2655" s="420">
        <v>43028</v>
      </c>
      <c r="B2655" s="302" t="s">
        <v>34348</v>
      </c>
      <c r="C2655">
        <v>132218</v>
      </c>
      <c r="D2655" s="275" t="s">
        <v>15642</v>
      </c>
      <c r="E2655" s="301">
        <v>199.4</v>
      </c>
      <c r="F2655" s="303">
        <v>43029</v>
      </c>
      <c r="G2655" s="301">
        <v>199.4</v>
      </c>
      <c r="H2655" s="301">
        <f>Tabla15[[#This Row],[Importe]]-Tabla15[[#This Row],[Pagado]]</f>
        <v>0</v>
      </c>
      <c r="I2655" s="275" t="s">
        <v>15214</v>
      </c>
    </row>
    <row r="2656" spans="1:9" x14ac:dyDescent="0.25">
      <c r="A2656" s="420">
        <v>43029</v>
      </c>
      <c r="B2656" s="302" t="s">
        <v>34349</v>
      </c>
      <c r="C2656">
        <v>132219</v>
      </c>
      <c r="D2656" s="275" t="s">
        <v>21386</v>
      </c>
      <c r="E2656" s="301">
        <v>14640.2</v>
      </c>
      <c r="F2656" s="303">
        <v>43030</v>
      </c>
      <c r="G2656" s="301">
        <v>14640.2</v>
      </c>
      <c r="H2656" s="301">
        <f>Tabla15[[#This Row],[Importe]]-Tabla15[[#This Row],[Pagado]]</f>
        <v>0</v>
      </c>
      <c r="I2656" s="275" t="s">
        <v>15214</v>
      </c>
    </row>
    <row r="2657" spans="1:9" x14ac:dyDescent="0.25">
      <c r="A2657" s="420">
        <v>43029</v>
      </c>
      <c r="B2657" s="302" t="s">
        <v>34350</v>
      </c>
      <c r="C2657">
        <v>132220</v>
      </c>
      <c r="D2657" s="275" t="s">
        <v>15213</v>
      </c>
      <c r="E2657" s="301">
        <v>44671.05</v>
      </c>
      <c r="F2657" s="303">
        <v>43030</v>
      </c>
      <c r="G2657" s="301">
        <v>44671.05</v>
      </c>
      <c r="H2657" s="301">
        <f>Tabla15[[#This Row],[Importe]]-Tabla15[[#This Row],[Pagado]]</f>
        <v>0</v>
      </c>
      <c r="I2657" s="275" t="s">
        <v>15214</v>
      </c>
    </row>
    <row r="2658" spans="1:9" ht="15.75" x14ac:dyDescent="0.25">
      <c r="A2658" s="420">
        <v>43029</v>
      </c>
      <c r="B2658" s="302" t="s">
        <v>34351</v>
      </c>
      <c r="C2658">
        <v>132221</v>
      </c>
      <c r="D2658" s="248" t="s">
        <v>95</v>
      </c>
      <c r="E2658" s="301">
        <v>0</v>
      </c>
      <c r="F2658" s="254" t="s">
        <v>95</v>
      </c>
      <c r="G2658" s="301">
        <v>0</v>
      </c>
      <c r="H2658" s="301">
        <f>Tabla15[[#This Row],[Importe]]-Tabla15[[#This Row],[Pagado]]</f>
        <v>0</v>
      </c>
      <c r="I2658" s="275" t="s">
        <v>95</v>
      </c>
    </row>
    <row r="2659" spans="1:9" x14ac:dyDescent="0.25">
      <c r="A2659" s="420">
        <v>43029</v>
      </c>
      <c r="B2659" s="302" t="s">
        <v>34352</v>
      </c>
      <c r="C2659">
        <v>132222</v>
      </c>
      <c r="D2659" s="275" t="s">
        <v>15668</v>
      </c>
      <c r="E2659" s="301">
        <v>21385.200000000001</v>
      </c>
      <c r="F2659" s="303">
        <v>43031</v>
      </c>
      <c r="G2659" s="301">
        <v>21385.200000000001</v>
      </c>
      <c r="H2659" s="301">
        <f>Tabla15[[#This Row],[Importe]]-Tabla15[[#This Row],[Pagado]]</f>
        <v>0</v>
      </c>
      <c r="I2659" s="275" t="s">
        <v>15214</v>
      </c>
    </row>
    <row r="2660" spans="1:9" x14ac:dyDescent="0.25">
      <c r="A2660" s="420">
        <v>43029</v>
      </c>
      <c r="B2660" s="302" t="s">
        <v>34353</v>
      </c>
      <c r="C2660">
        <v>132223</v>
      </c>
      <c r="D2660" s="275" t="s">
        <v>15407</v>
      </c>
      <c r="E2660" s="301">
        <v>4370.07</v>
      </c>
      <c r="F2660" s="303">
        <v>43029</v>
      </c>
      <c r="G2660" s="301">
        <v>4370.07</v>
      </c>
      <c r="H2660" s="301">
        <f>Tabla15[[#This Row],[Importe]]-Tabla15[[#This Row],[Pagado]]</f>
        <v>0</v>
      </c>
      <c r="I2660" s="275" t="s">
        <v>15214</v>
      </c>
    </row>
    <row r="2661" spans="1:9" x14ac:dyDescent="0.25">
      <c r="A2661" s="420">
        <v>43029</v>
      </c>
      <c r="B2661" s="302" t="s">
        <v>34354</v>
      </c>
      <c r="C2661">
        <v>132224</v>
      </c>
      <c r="D2661" s="275" t="s">
        <v>15272</v>
      </c>
      <c r="E2661" s="301">
        <v>32925.85</v>
      </c>
      <c r="F2661" s="303">
        <v>43029</v>
      </c>
      <c r="G2661" s="301">
        <v>32925.85</v>
      </c>
      <c r="H2661" s="301">
        <f>Tabla15[[#This Row],[Importe]]-Tabla15[[#This Row],[Pagado]]</f>
        <v>0</v>
      </c>
      <c r="I2661" s="275" t="s">
        <v>15214</v>
      </c>
    </row>
    <row r="2662" spans="1:9" x14ac:dyDescent="0.25">
      <c r="A2662" s="420">
        <v>43029</v>
      </c>
      <c r="B2662" s="302" t="s">
        <v>34355</v>
      </c>
      <c r="C2662">
        <v>132225</v>
      </c>
      <c r="D2662" s="275" t="s">
        <v>15230</v>
      </c>
      <c r="E2662" s="301">
        <v>19688.099999999999</v>
      </c>
      <c r="F2662" s="303">
        <v>43032</v>
      </c>
      <c r="G2662" s="301">
        <v>19688.099999999999</v>
      </c>
      <c r="H2662" s="301">
        <f>Tabla15[[#This Row],[Importe]]-Tabla15[[#This Row],[Pagado]]</f>
        <v>0</v>
      </c>
      <c r="I2662" s="275" t="s">
        <v>15214</v>
      </c>
    </row>
    <row r="2663" spans="1:9" x14ac:dyDescent="0.25">
      <c r="A2663" s="420">
        <v>43029</v>
      </c>
      <c r="B2663" s="302" t="s">
        <v>34356</v>
      </c>
      <c r="C2663">
        <v>132226</v>
      </c>
      <c r="D2663" s="275" t="s">
        <v>15232</v>
      </c>
      <c r="E2663" s="301">
        <v>14410.2</v>
      </c>
      <c r="F2663" s="303">
        <v>43034</v>
      </c>
      <c r="G2663" s="301">
        <v>14410.2</v>
      </c>
      <c r="H2663" s="301">
        <f>Tabla15[[#This Row],[Importe]]-Tabla15[[#This Row],[Pagado]]</f>
        <v>0</v>
      </c>
      <c r="I2663" s="275" t="s">
        <v>15214</v>
      </c>
    </row>
    <row r="2664" spans="1:9" x14ac:dyDescent="0.25">
      <c r="A2664" s="420">
        <v>43029</v>
      </c>
      <c r="B2664" s="302" t="s">
        <v>34357</v>
      </c>
      <c r="C2664">
        <v>132227</v>
      </c>
      <c r="D2664" s="275" t="s">
        <v>15475</v>
      </c>
      <c r="E2664" s="301">
        <v>15456.7</v>
      </c>
      <c r="F2664" s="303">
        <v>43032</v>
      </c>
      <c r="G2664" s="301">
        <v>15456.7</v>
      </c>
      <c r="H2664" s="301">
        <f>Tabla15[[#This Row],[Importe]]-Tabla15[[#This Row],[Pagado]]</f>
        <v>0</v>
      </c>
      <c r="I2664" s="275" t="s">
        <v>15214</v>
      </c>
    </row>
    <row r="2665" spans="1:9" ht="30" x14ac:dyDescent="0.25">
      <c r="A2665" s="420">
        <v>43029</v>
      </c>
      <c r="B2665" s="302" t="s">
        <v>34358</v>
      </c>
      <c r="C2665">
        <v>132228</v>
      </c>
      <c r="D2665" s="275" t="s">
        <v>15234</v>
      </c>
      <c r="E2665" s="301">
        <v>6269.3</v>
      </c>
      <c r="F2665" s="303" t="s">
        <v>34359</v>
      </c>
      <c r="G2665" s="305">
        <f>4270+1999.3</f>
        <v>6269.3</v>
      </c>
      <c r="H2665" s="305">
        <f>Tabla15[[#This Row],[Importe]]-Tabla15[[#This Row],[Pagado]]</f>
        <v>0</v>
      </c>
      <c r="I2665" s="275" t="s">
        <v>15214</v>
      </c>
    </row>
    <row r="2666" spans="1:9" ht="30" x14ac:dyDescent="0.25">
      <c r="A2666" s="420">
        <v>43029</v>
      </c>
      <c r="B2666" s="302" t="s">
        <v>34360</v>
      </c>
      <c r="C2666">
        <v>132229</v>
      </c>
      <c r="D2666" s="275" t="s">
        <v>5575</v>
      </c>
      <c r="E2666" s="301">
        <v>10485.8</v>
      </c>
      <c r="F2666" s="303" t="s">
        <v>34160</v>
      </c>
      <c r="G2666" s="305">
        <f>4485+6000.8</f>
        <v>10485.8</v>
      </c>
      <c r="H2666" s="305">
        <f>Tabla15[[#This Row],[Importe]]-Tabla15[[#This Row],[Pagado]]</f>
        <v>0</v>
      </c>
      <c r="I2666" s="275" t="s">
        <v>15214</v>
      </c>
    </row>
    <row r="2667" spans="1:9" x14ac:dyDescent="0.25">
      <c r="A2667" s="420">
        <v>43029</v>
      </c>
      <c r="B2667" s="302" t="s">
        <v>34361</v>
      </c>
      <c r="C2667">
        <v>132230</v>
      </c>
      <c r="D2667" s="275" t="s">
        <v>15328</v>
      </c>
      <c r="E2667" s="301">
        <v>67357.8</v>
      </c>
      <c r="F2667" s="303">
        <v>43038</v>
      </c>
      <c r="G2667" s="301">
        <v>67357.8</v>
      </c>
      <c r="H2667" s="301">
        <f>Tabla15[[#This Row],[Importe]]-Tabla15[[#This Row],[Pagado]]</f>
        <v>0</v>
      </c>
      <c r="I2667" s="275" t="s">
        <v>15214</v>
      </c>
    </row>
    <row r="2668" spans="1:9" x14ac:dyDescent="0.25">
      <c r="A2668" s="420">
        <v>43029</v>
      </c>
      <c r="B2668" s="302" t="s">
        <v>34362</v>
      </c>
      <c r="C2668">
        <v>132231</v>
      </c>
      <c r="D2668" s="275" t="s">
        <v>15242</v>
      </c>
      <c r="E2668" s="301">
        <v>14485.5</v>
      </c>
      <c r="F2668" s="303">
        <v>43029</v>
      </c>
      <c r="G2668" s="301">
        <v>14485.5</v>
      </c>
      <c r="H2668" s="301">
        <f>Tabla15[[#This Row],[Importe]]-Tabla15[[#This Row],[Pagado]]</f>
        <v>0</v>
      </c>
      <c r="I2668" s="275" t="s">
        <v>15214</v>
      </c>
    </row>
    <row r="2669" spans="1:9" ht="15.75" x14ac:dyDescent="0.25">
      <c r="A2669" s="420">
        <v>43029</v>
      </c>
      <c r="B2669" s="302" t="s">
        <v>34363</v>
      </c>
      <c r="C2669">
        <v>132232</v>
      </c>
      <c r="D2669" s="248" t="s">
        <v>95</v>
      </c>
      <c r="E2669" s="301">
        <v>0</v>
      </c>
      <c r="F2669" s="243" t="s">
        <v>95</v>
      </c>
      <c r="G2669" s="301">
        <v>0</v>
      </c>
      <c r="H2669" s="301">
        <f>Tabla15[[#This Row],[Importe]]-Tabla15[[#This Row],[Pagado]]</f>
        <v>0</v>
      </c>
      <c r="I2669" s="275" t="s">
        <v>95</v>
      </c>
    </row>
    <row r="2670" spans="1:9" x14ac:dyDescent="0.25">
      <c r="A2670" s="420">
        <v>43029</v>
      </c>
      <c r="B2670" s="302" t="s">
        <v>34364</v>
      </c>
      <c r="C2670">
        <v>132233</v>
      </c>
      <c r="D2670" s="275" t="s">
        <v>23937</v>
      </c>
      <c r="E2670" s="301">
        <v>3562.1</v>
      </c>
      <c r="F2670" s="303">
        <v>43029</v>
      </c>
      <c r="G2670" s="301">
        <v>3562.1</v>
      </c>
      <c r="H2670" s="301">
        <f>Tabla15[[#This Row],[Importe]]-Tabla15[[#This Row],[Pagado]]</f>
        <v>0</v>
      </c>
      <c r="I2670" s="275" t="s">
        <v>15214</v>
      </c>
    </row>
    <row r="2671" spans="1:9" x14ac:dyDescent="0.25">
      <c r="A2671" s="420">
        <v>43029</v>
      </c>
      <c r="B2671" s="302" t="s">
        <v>34365</v>
      </c>
      <c r="C2671">
        <v>132234</v>
      </c>
      <c r="D2671" s="275" t="s">
        <v>30057</v>
      </c>
      <c r="E2671" s="301">
        <v>6905.6</v>
      </c>
      <c r="F2671" s="303">
        <v>43031</v>
      </c>
      <c r="G2671" s="301">
        <v>6905.6</v>
      </c>
      <c r="H2671" s="301">
        <f>Tabla15[[#This Row],[Importe]]-Tabla15[[#This Row],[Pagado]]</f>
        <v>0</v>
      </c>
      <c r="I2671" s="275" t="s">
        <v>15214</v>
      </c>
    </row>
    <row r="2672" spans="1:9" x14ac:dyDescent="0.25">
      <c r="A2672" s="420">
        <v>43029</v>
      </c>
      <c r="B2672" s="302" t="s">
        <v>34366</v>
      </c>
      <c r="C2672">
        <v>132235</v>
      </c>
      <c r="D2672" s="275" t="s">
        <v>15252</v>
      </c>
      <c r="E2672" s="301">
        <v>4099.2</v>
      </c>
      <c r="F2672" s="303">
        <v>43031</v>
      </c>
      <c r="G2672" s="301">
        <v>4099.2</v>
      </c>
      <c r="H2672" s="301">
        <f>Tabla15[[#This Row],[Importe]]-Tabla15[[#This Row],[Pagado]]</f>
        <v>0</v>
      </c>
      <c r="I2672" s="275" t="s">
        <v>15214</v>
      </c>
    </row>
    <row r="2673" spans="1:9" ht="15.75" x14ac:dyDescent="0.25">
      <c r="A2673" s="420">
        <v>43029</v>
      </c>
      <c r="B2673" s="302" t="s">
        <v>34367</v>
      </c>
      <c r="C2673">
        <v>132236</v>
      </c>
      <c r="D2673" s="248" t="s">
        <v>95</v>
      </c>
      <c r="E2673" s="301">
        <v>0</v>
      </c>
      <c r="F2673" s="243" t="s">
        <v>95</v>
      </c>
      <c r="G2673" s="301">
        <v>0</v>
      </c>
      <c r="H2673" s="301">
        <f>Tabla15[[#This Row],[Importe]]-Tabla15[[#This Row],[Pagado]]</f>
        <v>0</v>
      </c>
      <c r="I2673" s="275" t="s">
        <v>95</v>
      </c>
    </row>
    <row r="2674" spans="1:9" x14ac:dyDescent="0.25">
      <c r="A2674" s="420">
        <v>43029</v>
      </c>
      <c r="B2674" s="302" t="s">
        <v>34368</v>
      </c>
      <c r="C2674">
        <v>132237</v>
      </c>
      <c r="D2674" s="275" t="s">
        <v>15244</v>
      </c>
      <c r="E2674" s="301">
        <v>12435</v>
      </c>
      <c r="F2674" s="303">
        <v>43035</v>
      </c>
      <c r="G2674" s="301">
        <v>12435</v>
      </c>
      <c r="H2674" s="301">
        <f>Tabla15[[#This Row],[Importe]]-Tabla15[[#This Row],[Pagado]]</f>
        <v>0</v>
      </c>
      <c r="I2674" s="275" t="s">
        <v>15214</v>
      </c>
    </row>
    <row r="2675" spans="1:9" x14ac:dyDescent="0.25">
      <c r="A2675" s="420">
        <v>43029</v>
      </c>
      <c r="B2675" s="302" t="s">
        <v>34369</v>
      </c>
      <c r="C2675">
        <v>132238</v>
      </c>
      <c r="D2675" s="275" t="s">
        <v>15348</v>
      </c>
      <c r="E2675" s="301">
        <v>3351</v>
      </c>
      <c r="F2675" s="303">
        <v>43032</v>
      </c>
      <c r="G2675" s="301">
        <v>3351</v>
      </c>
      <c r="H2675" s="301">
        <f>Tabla15[[#This Row],[Importe]]-Tabla15[[#This Row],[Pagado]]</f>
        <v>0</v>
      </c>
      <c r="I2675" s="275" t="s">
        <v>15214</v>
      </c>
    </row>
    <row r="2676" spans="1:9" x14ac:dyDescent="0.25">
      <c r="A2676" s="420">
        <v>43029</v>
      </c>
      <c r="B2676" s="302" t="s">
        <v>34370</v>
      </c>
      <c r="C2676">
        <v>132239</v>
      </c>
      <c r="D2676" s="275" t="s">
        <v>15407</v>
      </c>
      <c r="E2676" s="301">
        <v>4892</v>
      </c>
      <c r="F2676" s="303">
        <v>43029</v>
      </c>
      <c r="G2676" s="301">
        <v>4892</v>
      </c>
      <c r="H2676" s="301">
        <f>Tabla15[[#This Row],[Importe]]-Tabla15[[#This Row],[Pagado]]</f>
        <v>0</v>
      </c>
      <c r="I2676" s="275" t="s">
        <v>15214</v>
      </c>
    </row>
    <row r="2677" spans="1:9" x14ac:dyDescent="0.25">
      <c r="A2677" s="420">
        <v>43029</v>
      </c>
      <c r="B2677" s="302" t="s">
        <v>34371</v>
      </c>
      <c r="C2677">
        <v>132240</v>
      </c>
      <c r="D2677" s="275" t="s">
        <v>15338</v>
      </c>
      <c r="E2677" s="301">
        <v>5705.8</v>
      </c>
      <c r="F2677" s="303">
        <v>43032</v>
      </c>
      <c r="G2677" s="301">
        <v>5705.8</v>
      </c>
      <c r="H2677" s="301">
        <f>Tabla15[[#This Row],[Importe]]-Tabla15[[#This Row],[Pagado]]</f>
        <v>0</v>
      </c>
      <c r="I2677" s="275" t="s">
        <v>15214</v>
      </c>
    </row>
    <row r="2678" spans="1:9" ht="75" x14ac:dyDescent="0.25">
      <c r="A2678" s="420">
        <v>43029</v>
      </c>
      <c r="B2678" s="302" t="s">
        <v>34372</v>
      </c>
      <c r="C2678">
        <v>132241</v>
      </c>
      <c r="D2678" s="275" t="s">
        <v>17722</v>
      </c>
      <c r="E2678" s="301">
        <v>6652.7</v>
      </c>
      <c r="F2678" s="303" t="s">
        <v>35728</v>
      </c>
      <c r="G2678" s="310">
        <f>3480+500+500+500</f>
        <v>4980</v>
      </c>
      <c r="H2678" s="310">
        <f>Tabla15[[#This Row],[Importe]]-Tabla15[[#This Row],[Pagado]]</f>
        <v>1672.6999999999998</v>
      </c>
      <c r="I2678" s="275" t="s">
        <v>15214</v>
      </c>
    </row>
    <row r="2679" spans="1:9" x14ac:dyDescent="0.25">
      <c r="A2679" s="420">
        <v>43029</v>
      </c>
      <c r="B2679" s="302" t="s">
        <v>34373</v>
      </c>
      <c r="C2679">
        <v>132242</v>
      </c>
      <c r="D2679" s="275" t="s">
        <v>15236</v>
      </c>
      <c r="E2679" s="301">
        <v>9265.44</v>
      </c>
      <c r="F2679" s="303">
        <v>43033</v>
      </c>
      <c r="G2679" s="301">
        <v>9265.44</v>
      </c>
      <c r="H2679" s="301">
        <f>Tabla15[[#This Row],[Importe]]-Tabla15[[#This Row],[Pagado]]</f>
        <v>0</v>
      </c>
      <c r="I2679" s="275" t="s">
        <v>15214</v>
      </c>
    </row>
    <row r="2680" spans="1:9" ht="30" x14ac:dyDescent="0.25">
      <c r="A2680" s="420">
        <v>43029</v>
      </c>
      <c r="B2680" s="302" t="s">
        <v>34374</v>
      </c>
      <c r="C2680">
        <v>132243</v>
      </c>
      <c r="D2680" s="275" t="s">
        <v>19780</v>
      </c>
      <c r="E2680" s="301">
        <v>25618.25</v>
      </c>
      <c r="F2680" s="303" t="s">
        <v>34160</v>
      </c>
      <c r="G2680" s="305">
        <f>10000+15618.25</f>
        <v>25618.25</v>
      </c>
      <c r="H2680" s="305">
        <f>Tabla15[[#This Row],[Importe]]-Tabla15[[#This Row],[Pagado]]</f>
        <v>0</v>
      </c>
      <c r="I2680" s="275" t="s">
        <v>15214</v>
      </c>
    </row>
    <row r="2681" spans="1:9" ht="30" x14ac:dyDescent="0.25">
      <c r="A2681" s="420">
        <v>43029</v>
      </c>
      <c r="B2681" s="302" t="s">
        <v>34375</v>
      </c>
      <c r="C2681">
        <v>132244</v>
      </c>
      <c r="D2681" s="275" t="s">
        <v>15256</v>
      </c>
      <c r="E2681" s="301">
        <v>15168</v>
      </c>
      <c r="F2681" s="303" t="s">
        <v>34376</v>
      </c>
      <c r="G2681" s="305">
        <f>8350+6818</f>
        <v>15168</v>
      </c>
      <c r="H2681" s="305">
        <f>Tabla15[[#This Row],[Importe]]-Tabla15[[#This Row],[Pagado]]</f>
        <v>0</v>
      </c>
      <c r="I2681" s="275" t="s">
        <v>15214</v>
      </c>
    </row>
    <row r="2682" spans="1:9" x14ac:dyDescent="0.25">
      <c r="A2682" s="420">
        <v>43029</v>
      </c>
      <c r="B2682" s="302" t="s">
        <v>34377</v>
      </c>
      <c r="C2682">
        <v>132245</v>
      </c>
      <c r="D2682" s="275" t="s">
        <v>15324</v>
      </c>
      <c r="E2682" s="301">
        <v>2790</v>
      </c>
      <c r="F2682" s="303">
        <v>43029</v>
      </c>
      <c r="G2682" s="301">
        <v>2790</v>
      </c>
      <c r="H2682" s="301">
        <f>Tabla15[[#This Row],[Importe]]-Tabla15[[#This Row],[Pagado]]</f>
        <v>0</v>
      </c>
      <c r="I2682" s="275" t="s">
        <v>15214</v>
      </c>
    </row>
    <row r="2683" spans="1:9" x14ac:dyDescent="0.25">
      <c r="A2683" s="420">
        <v>43029</v>
      </c>
      <c r="B2683" s="302" t="s">
        <v>34378</v>
      </c>
      <c r="C2683">
        <v>132246</v>
      </c>
      <c r="D2683" s="275" t="s">
        <v>15226</v>
      </c>
      <c r="E2683" s="301">
        <v>1454.4</v>
      </c>
      <c r="F2683" s="303">
        <v>43032</v>
      </c>
      <c r="G2683" s="301">
        <v>1454.4</v>
      </c>
      <c r="H2683" s="301">
        <f>Tabla15[[#This Row],[Importe]]-Tabla15[[#This Row],[Pagado]]</f>
        <v>0</v>
      </c>
      <c r="I2683" s="275" t="s">
        <v>15214</v>
      </c>
    </row>
    <row r="2684" spans="1:9" x14ac:dyDescent="0.25">
      <c r="A2684" s="420">
        <v>43029</v>
      </c>
      <c r="B2684" s="302" t="s">
        <v>34379</v>
      </c>
      <c r="C2684">
        <v>132247</v>
      </c>
      <c r="D2684" s="275" t="s">
        <v>19302</v>
      </c>
      <c r="E2684" s="301">
        <v>1440</v>
      </c>
      <c r="F2684" s="303">
        <v>43029</v>
      </c>
      <c r="G2684" s="301">
        <v>1440</v>
      </c>
      <c r="H2684" s="301">
        <f>Tabla15[[#This Row],[Importe]]-Tabla15[[#This Row],[Pagado]]</f>
        <v>0</v>
      </c>
      <c r="I2684" s="275" t="s">
        <v>15214</v>
      </c>
    </row>
    <row r="2685" spans="1:9" x14ac:dyDescent="0.25">
      <c r="A2685" s="420">
        <v>43029</v>
      </c>
      <c r="B2685" s="302" t="s">
        <v>34380</v>
      </c>
      <c r="C2685">
        <v>132248</v>
      </c>
      <c r="D2685" s="275" t="s">
        <v>15258</v>
      </c>
      <c r="E2685" s="301">
        <v>475.2</v>
      </c>
      <c r="F2685" s="303">
        <v>43031</v>
      </c>
      <c r="G2685" s="301">
        <v>475.2</v>
      </c>
      <c r="H2685" s="301">
        <f>Tabla15[[#This Row],[Importe]]-Tabla15[[#This Row],[Pagado]]</f>
        <v>0</v>
      </c>
      <c r="I2685" s="275" t="s">
        <v>15214</v>
      </c>
    </row>
    <row r="2686" spans="1:9" x14ac:dyDescent="0.25">
      <c r="A2686" s="420">
        <v>43029</v>
      </c>
      <c r="B2686" s="302" t="s">
        <v>34381</v>
      </c>
      <c r="C2686">
        <v>132249</v>
      </c>
      <c r="D2686" s="275" t="s">
        <v>15258</v>
      </c>
      <c r="E2686" s="301">
        <v>21605.3</v>
      </c>
      <c r="F2686" s="303">
        <v>43032</v>
      </c>
      <c r="G2686" s="301">
        <v>21605.3</v>
      </c>
      <c r="H2686" s="301">
        <f>Tabla15[[#This Row],[Importe]]-Tabla15[[#This Row],[Pagado]]</f>
        <v>0</v>
      </c>
      <c r="I2686" s="275" t="s">
        <v>15214</v>
      </c>
    </row>
    <row r="2687" spans="1:9" x14ac:dyDescent="0.25">
      <c r="A2687" s="420">
        <v>43029</v>
      </c>
      <c r="B2687" s="302" t="s">
        <v>34382</v>
      </c>
      <c r="C2687">
        <v>132250</v>
      </c>
      <c r="D2687" s="275" t="s">
        <v>15716</v>
      </c>
      <c r="E2687" s="301">
        <v>14475.9</v>
      </c>
      <c r="F2687" s="303">
        <v>43029</v>
      </c>
      <c r="G2687" s="301">
        <v>14475.9</v>
      </c>
      <c r="H2687" s="301">
        <f>Tabla15[[#This Row],[Importe]]-Tabla15[[#This Row],[Pagado]]</f>
        <v>0</v>
      </c>
      <c r="I2687" s="275" t="s">
        <v>15214</v>
      </c>
    </row>
    <row r="2688" spans="1:9" x14ac:dyDescent="0.25">
      <c r="A2688" s="420">
        <v>43029</v>
      </c>
      <c r="B2688" s="302" t="s">
        <v>34383</v>
      </c>
      <c r="C2688">
        <v>132251</v>
      </c>
      <c r="D2688" s="275" t="s">
        <v>15263</v>
      </c>
      <c r="E2688" s="301">
        <v>2272.9</v>
      </c>
      <c r="F2688" s="303">
        <v>43029</v>
      </c>
      <c r="G2688" s="301">
        <v>2272.9</v>
      </c>
      <c r="H2688" s="301">
        <f>Tabla15[[#This Row],[Importe]]-Tabla15[[#This Row],[Pagado]]</f>
        <v>0</v>
      </c>
      <c r="I2688" s="275" t="s">
        <v>15214</v>
      </c>
    </row>
    <row r="2689" spans="1:9" x14ac:dyDescent="0.25">
      <c r="A2689" s="420">
        <v>43029</v>
      </c>
      <c r="B2689" s="302" t="s">
        <v>34384</v>
      </c>
      <c r="C2689">
        <v>132252</v>
      </c>
      <c r="D2689" s="275" t="s">
        <v>15220</v>
      </c>
      <c r="E2689" s="301">
        <v>5520</v>
      </c>
      <c r="F2689" s="303">
        <v>43029</v>
      </c>
      <c r="G2689" s="301">
        <v>5520</v>
      </c>
      <c r="H2689" s="301">
        <f>Tabla15[[#This Row],[Importe]]-Tabla15[[#This Row],[Pagado]]</f>
        <v>0</v>
      </c>
      <c r="I2689" s="275" t="s">
        <v>15214</v>
      </c>
    </row>
    <row r="2690" spans="1:9" x14ac:dyDescent="0.25">
      <c r="A2690" s="420">
        <v>43029</v>
      </c>
      <c r="B2690" s="302" t="s">
        <v>34385</v>
      </c>
      <c r="C2690">
        <v>132253</v>
      </c>
      <c r="D2690" s="275" t="s">
        <v>15238</v>
      </c>
      <c r="E2690" s="301">
        <v>12573</v>
      </c>
      <c r="F2690" s="303">
        <v>43032</v>
      </c>
      <c r="G2690" s="301">
        <v>12573</v>
      </c>
      <c r="H2690" s="301">
        <f>Tabla15[[#This Row],[Importe]]-Tabla15[[#This Row],[Pagado]]</f>
        <v>0</v>
      </c>
      <c r="I2690" s="275" t="s">
        <v>15214</v>
      </c>
    </row>
    <row r="2691" spans="1:9" x14ac:dyDescent="0.25">
      <c r="A2691" s="420">
        <v>43029</v>
      </c>
      <c r="B2691" s="302" t="s">
        <v>34386</v>
      </c>
      <c r="C2691">
        <v>132254</v>
      </c>
      <c r="D2691" s="275" t="s">
        <v>16522</v>
      </c>
      <c r="E2691" s="301">
        <v>12961.2</v>
      </c>
      <c r="F2691" s="246">
        <v>43117</v>
      </c>
      <c r="G2691" s="14">
        <v>12961.2</v>
      </c>
      <c r="H2691" s="301">
        <f>Tabla15[[#This Row],[Importe]]-Tabla15[[#This Row],[Pagado]]</f>
        <v>0</v>
      </c>
      <c r="I2691" s="275" t="s">
        <v>15214</v>
      </c>
    </row>
    <row r="2692" spans="1:9" ht="45" x14ac:dyDescent="0.25">
      <c r="A2692" s="420">
        <v>43029</v>
      </c>
      <c r="B2692" s="302" t="s">
        <v>34387</v>
      </c>
      <c r="C2692">
        <v>132255</v>
      </c>
      <c r="D2692" s="275" t="s">
        <v>15480</v>
      </c>
      <c r="E2692" s="301">
        <v>9853</v>
      </c>
      <c r="F2692" s="303" t="s">
        <v>34388</v>
      </c>
      <c r="G2692" s="305">
        <f>4600+1000+4253</f>
        <v>9853</v>
      </c>
      <c r="H2692" s="305">
        <f>Tabla15[[#This Row],[Importe]]-Tabla15[[#This Row],[Pagado]]</f>
        <v>0</v>
      </c>
      <c r="I2692" s="275" t="s">
        <v>15214</v>
      </c>
    </row>
    <row r="2693" spans="1:9" x14ac:dyDescent="0.25">
      <c r="A2693" s="420">
        <v>43029</v>
      </c>
      <c r="B2693" s="302" t="s">
        <v>34389</v>
      </c>
      <c r="C2693">
        <v>132256</v>
      </c>
      <c r="D2693" s="275" t="s">
        <v>15398</v>
      </c>
      <c r="E2693" s="301">
        <v>3151.25</v>
      </c>
      <c r="F2693" s="303">
        <v>43029</v>
      </c>
      <c r="G2693" s="301">
        <v>3151.25</v>
      </c>
      <c r="H2693" s="301">
        <f>Tabla15[[#This Row],[Importe]]-Tabla15[[#This Row],[Pagado]]</f>
        <v>0</v>
      </c>
      <c r="I2693" s="275" t="s">
        <v>15214</v>
      </c>
    </row>
    <row r="2694" spans="1:9" x14ac:dyDescent="0.25">
      <c r="A2694" s="420">
        <v>43029</v>
      </c>
      <c r="B2694" s="302" t="s">
        <v>34390</v>
      </c>
      <c r="C2694">
        <v>132257</v>
      </c>
      <c r="D2694" s="275" t="s">
        <v>15371</v>
      </c>
      <c r="E2694" s="301">
        <v>3361.7</v>
      </c>
      <c r="F2694" s="303">
        <v>43039</v>
      </c>
      <c r="G2694" s="301">
        <v>3361.7</v>
      </c>
      <c r="H2694" s="301">
        <f>Tabla15[[#This Row],[Importe]]-Tabla15[[#This Row],[Pagado]]</f>
        <v>0</v>
      </c>
      <c r="I2694" s="275" t="s">
        <v>15214</v>
      </c>
    </row>
    <row r="2695" spans="1:9" x14ac:dyDescent="0.25">
      <c r="A2695" s="420">
        <v>43029</v>
      </c>
      <c r="B2695" s="302" t="s">
        <v>34391</v>
      </c>
      <c r="C2695">
        <v>132258</v>
      </c>
      <c r="D2695" s="275" t="s">
        <v>15315</v>
      </c>
      <c r="E2695" s="301">
        <v>3367.8</v>
      </c>
      <c r="F2695" s="303">
        <v>43029</v>
      </c>
      <c r="G2695" s="301">
        <v>3367.8</v>
      </c>
      <c r="H2695" s="301">
        <f>Tabla15[[#This Row],[Importe]]-Tabla15[[#This Row],[Pagado]]</f>
        <v>0</v>
      </c>
      <c r="I2695" s="275" t="s">
        <v>15214</v>
      </c>
    </row>
    <row r="2696" spans="1:9" x14ac:dyDescent="0.25">
      <c r="A2696" s="420">
        <v>43029</v>
      </c>
      <c r="B2696" s="302" t="s">
        <v>34392</v>
      </c>
      <c r="C2696">
        <v>132259</v>
      </c>
      <c r="D2696" s="275" t="s">
        <v>15396</v>
      </c>
      <c r="E2696" s="301">
        <v>8073.92</v>
      </c>
      <c r="F2696" s="303">
        <v>43029</v>
      </c>
      <c r="G2696" s="301">
        <v>8073.92</v>
      </c>
      <c r="H2696" s="301">
        <f>Tabla15[[#This Row],[Importe]]-Tabla15[[#This Row],[Pagado]]</f>
        <v>0</v>
      </c>
      <c r="I2696" s="275" t="s">
        <v>15214</v>
      </c>
    </row>
    <row r="2697" spans="1:9" x14ac:dyDescent="0.25">
      <c r="A2697" s="420">
        <v>43029</v>
      </c>
      <c r="B2697" s="302" t="s">
        <v>34393</v>
      </c>
      <c r="C2697">
        <v>132260</v>
      </c>
      <c r="D2697" s="275" t="s">
        <v>15250</v>
      </c>
      <c r="E2697" s="301">
        <v>41090.160000000003</v>
      </c>
      <c r="F2697" s="303">
        <v>43038</v>
      </c>
      <c r="G2697" s="301">
        <v>41090.160000000003</v>
      </c>
      <c r="H2697" s="301">
        <f>Tabla15[[#This Row],[Importe]]-Tabla15[[#This Row],[Pagado]]</f>
        <v>0</v>
      </c>
      <c r="I2697" s="275" t="s">
        <v>15214</v>
      </c>
    </row>
    <row r="2698" spans="1:9" x14ac:dyDescent="0.25">
      <c r="A2698" s="420">
        <v>43029</v>
      </c>
      <c r="B2698" s="302" t="s">
        <v>34394</v>
      </c>
      <c r="C2698">
        <v>132261</v>
      </c>
      <c r="D2698" s="275" t="s">
        <v>15352</v>
      </c>
      <c r="E2698" s="301">
        <v>674.1</v>
      </c>
      <c r="F2698" s="303">
        <v>43029</v>
      </c>
      <c r="G2698" s="301">
        <v>674.1</v>
      </c>
      <c r="H2698" s="301">
        <f>Tabla15[[#This Row],[Importe]]-Tabla15[[#This Row],[Pagado]]</f>
        <v>0</v>
      </c>
      <c r="I2698" s="275" t="s">
        <v>15214</v>
      </c>
    </row>
    <row r="2699" spans="1:9" ht="15.75" x14ac:dyDescent="0.25">
      <c r="A2699" s="420">
        <v>43029</v>
      </c>
      <c r="B2699" s="302" t="s">
        <v>34395</v>
      </c>
      <c r="C2699">
        <v>132262</v>
      </c>
      <c r="D2699" s="248" t="s">
        <v>95</v>
      </c>
      <c r="E2699" s="301">
        <v>0</v>
      </c>
      <c r="F2699" s="243" t="s">
        <v>95</v>
      </c>
      <c r="G2699" s="301">
        <v>0</v>
      </c>
      <c r="H2699" s="301">
        <f>Tabla15[[#This Row],[Importe]]-Tabla15[[#This Row],[Pagado]]</f>
        <v>0</v>
      </c>
      <c r="I2699" s="275" t="s">
        <v>95</v>
      </c>
    </row>
    <row r="2700" spans="1:9" ht="15.75" x14ac:dyDescent="0.25">
      <c r="A2700" s="420">
        <v>43029</v>
      </c>
      <c r="B2700" s="302" t="s">
        <v>34396</v>
      </c>
      <c r="C2700">
        <v>132263</v>
      </c>
      <c r="D2700" s="248" t="s">
        <v>95</v>
      </c>
      <c r="E2700" s="301">
        <v>0</v>
      </c>
      <c r="F2700" s="243" t="s">
        <v>95</v>
      </c>
      <c r="G2700" s="301">
        <v>0</v>
      </c>
      <c r="H2700" s="301">
        <f>Tabla15[[#This Row],[Importe]]-Tabla15[[#This Row],[Pagado]]</f>
        <v>0</v>
      </c>
      <c r="I2700" s="282" t="s">
        <v>31885</v>
      </c>
    </row>
    <row r="2701" spans="1:9" x14ac:dyDescent="0.25">
      <c r="A2701" s="420">
        <v>43029</v>
      </c>
      <c r="B2701" s="302" t="s">
        <v>34397</v>
      </c>
      <c r="C2701">
        <v>132264</v>
      </c>
      <c r="D2701" s="275" t="s">
        <v>5556</v>
      </c>
      <c r="E2701" s="301">
        <v>51594.3</v>
      </c>
      <c r="F2701" s="303">
        <v>43032</v>
      </c>
      <c r="G2701" s="301">
        <v>51594.3</v>
      </c>
      <c r="H2701" s="301">
        <f>Tabla15[[#This Row],[Importe]]-Tabla15[[#This Row],[Pagado]]</f>
        <v>0</v>
      </c>
      <c r="I2701" s="275" t="s">
        <v>15214</v>
      </c>
    </row>
    <row r="2702" spans="1:9" x14ac:dyDescent="0.25">
      <c r="A2702" s="420">
        <v>43029</v>
      </c>
      <c r="B2702" s="302" t="s">
        <v>34398</v>
      </c>
      <c r="C2702">
        <v>132265</v>
      </c>
      <c r="D2702" s="275" t="s">
        <v>15223</v>
      </c>
      <c r="E2702" s="301">
        <v>75330.3</v>
      </c>
      <c r="F2702" s="303">
        <v>43052</v>
      </c>
      <c r="G2702" s="301">
        <v>75330.3</v>
      </c>
      <c r="H2702" s="301">
        <f>Tabla15[[#This Row],[Importe]]-Tabla15[[#This Row],[Pagado]]</f>
        <v>0</v>
      </c>
      <c r="I2702" s="275" t="s">
        <v>15214</v>
      </c>
    </row>
    <row r="2703" spans="1:9" ht="15.75" x14ac:dyDescent="0.25">
      <c r="A2703" s="420">
        <v>43029</v>
      </c>
      <c r="B2703" s="302" t="s">
        <v>34399</v>
      </c>
      <c r="C2703">
        <v>132266</v>
      </c>
      <c r="D2703" s="248" t="s">
        <v>95</v>
      </c>
      <c r="E2703" s="301">
        <v>0</v>
      </c>
      <c r="F2703" s="243" t="s">
        <v>95</v>
      </c>
      <c r="G2703" s="301">
        <v>0</v>
      </c>
      <c r="H2703" s="301">
        <f>Tabla15[[#This Row],[Importe]]-Tabla15[[#This Row],[Pagado]]</f>
        <v>0</v>
      </c>
      <c r="I2703" s="275" t="s">
        <v>95</v>
      </c>
    </row>
    <row r="2704" spans="1:9" x14ac:dyDescent="0.25">
      <c r="A2704" s="420">
        <v>43029</v>
      </c>
      <c r="B2704" s="302" t="s">
        <v>34400</v>
      </c>
      <c r="C2704">
        <v>132267</v>
      </c>
      <c r="D2704" s="275" t="s">
        <v>15725</v>
      </c>
      <c r="E2704" s="301">
        <v>22650.799999999999</v>
      </c>
      <c r="F2704" s="303">
        <v>43031</v>
      </c>
      <c r="G2704" s="301">
        <v>22650.799999999999</v>
      </c>
      <c r="H2704" s="301">
        <f>Tabla15[[#This Row],[Importe]]-Tabla15[[#This Row],[Pagado]]</f>
        <v>0</v>
      </c>
      <c r="I2704" s="275" t="s">
        <v>15214</v>
      </c>
    </row>
    <row r="2705" spans="1:9" ht="15.75" x14ac:dyDescent="0.25">
      <c r="A2705" s="420">
        <v>43029</v>
      </c>
      <c r="B2705" s="302" t="s">
        <v>34401</v>
      </c>
      <c r="C2705">
        <v>132268</v>
      </c>
      <c r="D2705" s="248" t="s">
        <v>95</v>
      </c>
      <c r="E2705" s="301">
        <v>0</v>
      </c>
      <c r="F2705" s="243" t="s">
        <v>95</v>
      </c>
      <c r="G2705" s="301">
        <v>0</v>
      </c>
      <c r="H2705" s="301">
        <f>Tabla15[[#This Row],[Importe]]-Tabla15[[#This Row],[Pagado]]</f>
        <v>0</v>
      </c>
      <c r="I2705" s="275" t="s">
        <v>95</v>
      </c>
    </row>
    <row r="2706" spans="1:9" x14ac:dyDescent="0.25">
      <c r="A2706" s="420">
        <v>43029</v>
      </c>
      <c r="B2706" s="302" t="s">
        <v>34402</v>
      </c>
      <c r="C2706">
        <v>132269</v>
      </c>
      <c r="D2706" s="275" t="s">
        <v>15725</v>
      </c>
      <c r="E2706" s="301">
        <v>680</v>
      </c>
      <c r="F2706" s="303">
        <v>43031</v>
      </c>
      <c r="G2706" s="301">
        <v>680</v>
      </c>
      <c r="H2706" s="301">
        <f>Tabla15[[#This Row],[Importe]]-Tabla15[[#This Row],[Pagado]]</f>
        <v>0</v>
      </c>
      <c r="I2706" s="275" t="s">
        <v>15214</v>
      </c>
    </row>
    <row r="2707" spans="1:9" x14ac:dyDescent="0.25">
      <c r="A2707" s="420">
        <v>43029</v>
      </c>
      <c r="B2707" s="302" t="s">
        <v>34403</v>
      </c>
      <c r="C2707">
        <v>132270</v>
      </c>
      <c r="D2707" s="275" t="s">
        <v>15315</v>
      </c>
      <c r="E2707" s="301">
        <v>3331</v>
      </c>
      <c r="F2707" s="303">
        <v>43029</v>
      </c>
      <c r="G2707" s="301">
        <v>3331</v>
      </c>
      <c r="H2707" s="301">
        <f>Tabla15[[#This Row],[Importe]]-Tabla15[[#This Row],[Pagado]]</f>
        <v>0</v>
      </c>
      <c r="I2707" s="275" t="s">
        <v>15214</v>
      </c>
    </row>
    <row r="2708" spans="1:9" x14ac:dyDescent="0.25">
      <c r="A2708" s="420">
        <v>43029</v>
      </c>
      <c r="B2708" s="302" t="s">
        <v>34404</v>
      </c>
      <c r="C2708">
        <v>132271</v>
      </c>
      <c r="D2708" s="275" t="s">
        <v>15278</v>
      </c>
      <c r="E2708" s="301">
        <v>1185.5999999999999</v>
      </c>
      <c r="F2708" s="303">
        <v>43029</v>
      </c>
      <c r="G2708" s="301">
        <v>1185.5999999999999</v>
      </c>
      <c r="H2708" s="301">
        <f>Tabla15[[#This Row],[Importe]]-Tabla15[[#This Row],[Pagado]]</f>
        <v>0</v>
      </c>
      <c r="I2708" s="275" t="s">
        <v>15214</v>
      </c>
    </row>
    <row r="2709" spans="1:9" x14ac:dyDescent="0.25">
      <c r="A2709" s="420">
        <v>43029</v>
      </c>
      <c r="B2709" s="302" t="s">
        <v>34405</v>
      </c>
      <c r="C2709">
        <v>132272</v>
      </c>
      <c r="D2709" s="275" t="s">
        <v>15280</v>
      </c>
      <c r="E2709" s="301">
        <v>6721</v>
      </c>
      <c r="F2709" s="303">
        <v>43029</v>
      </c>
      <c r="G2709" s="301">
        <v>6721</v>
      </c>
      <c r="H2709" s="301">
        <f>Tabla15[[#This Row],[Importe]]-Tabla15[[#This Row],[Pagado]]</f>
        <v>0</v>
      </c>
      <c r="I2709" s="275" t="s">
        <v>15214</v>
      </c>
    </row>
    <row r="2710" spans="1:9" x14ac:dyDescent="0.25">
      <c r="A2710" s="420">
        <v>43029</v>
      </c>
      <c r="B2710" s="302" t="s">
        <v>34406</v>
      </c>
      <c r="C2710">
        <v>132273</v>
      </c>
      <c r="D2710" s="275" t="s">
        <v>15261</v>
      </c>
      <c r="E2710" s="301">
        <v>22981.35</v>
      </c>
      <c r="F2710" s="303">
        <v>43029</v>
      </c>
      <c r="G2710" s="301">
        <v>22981.35</v>
      </c>
      <c r="H2710" s="301">
        <f>Tabla15[[#This Row],[Importe]]-Tabla15[[#This Row],[Pagado]]</f>
        <v>0</v>
      </c>
      <c r="I2710" s="275" t="s">
        <v>15214</v>
      </c>
    </row>
    <row r="2711" spans="1:9" x14ac:dyDescent="0.25">
      <c r="A2711" s="420">
        <v>43029</v>
      </c>
      <c r="B2711" s="302" t="s">
        <v>34407</v>
      </c>
      <c r="C2711">
        <v>132274</v>
      </c>
      <c r="D2711" s="275" t="s">
        <v>15530</v>
      </c>
      <c r="E2711" s="301">
        <v>3754.2</v>
      </c>
      <c r="F2711" s="303">
        <v>43029</v>
      </c>
      <c r="G2711" s="301">
        <v>3754.2</v>
      </c>
      <c r="H2711" s="301">
        <f>Tabla15[[#This Row],[Importe]]-Tabla15[[#This Row],[Pagado]]</f>
        <v>0</v>
      </c>
      <c r="I2711" s="275" t="s">
        <v>15214</v>
      </c>
    </row>
    <row r="2712" spans="1:9" x14ac:dyDescent="0.25">
      <c r="A2712" s="420">
        <v>43029</v>
      </c>
      <c r="B2712" s="302" t="s">
        <v>34408</v>
      </c>
      <c r="C2712">
        <v>132275</v>
      </c>
      <c r="D2712" s="275" t="s">
        <v>29500</v>
      </c>
      <c r="E2712" s="301">
        <v>6449.2</v>
      </c>
      <c r="F2712" s="303">
        <v>43031</v>
      </c>
      <c r="G2712" s="301">
        <v>6449.2</v>
      </c>
      <c r="H2712" s="301">
        <f>Tabla15[[#This Row],[Importe]]-Tabla15[[#This Row],[Pagado]]</f>
        <v>0</v>
      </c>
      <c r="I2712" s="275" t="s">
        <v>15214</v>
      </c>
    </row>
    <row r="2713" spans="1:9" x14ac:dyDescent="0.25">
      <c r="A2713" s="420">
        <v>43029</v>
      </c>
      <c r="B2713" s="302" t="s">
        <v>34409</v>
      </c>
      <c r="C2713">
        <v>132276</v>
      </c>
      <c r="D2713" s="275" t="s">
        <v>15261</v>
      </c>
      <c r="E2713" s="301">
        <v>6078.6</v>
      </c>
      <c r="F2713" s="303">
        <v>43029</v>
      </c>
      <c r="G2713" s="301">
        <v>6078.6</v>
      </c>
      <c r="H2713" s="301">
        <f>Tabla15[[#This Row],[Importe]]-Tabla15[[#This Row],[Pagado]]</f>
        <v>0</v>
      </c>
      <c r="I2713" s="275" t="s">
        <v>15214</v>
      </c>
    </row>
    <row r="2714" spans="1:9" x14ac:dyDescent="0.25">
      <c r="A2714" s="420">
        <v>43029</v>
      </c>
      <c r="B2714" s="302" t="s">
        <v>34410</v>
      </c>
      <c r="C2714">
        <v>132277</v>
      </c>
      <c r="D2714" s="275" t="s">
        <v>15301</v>
      </c>
      <c r="E2714" s="301">
        <v>3736</v>
      </c>
      <c r="F2714" s="303">
        <v>43031</v>
      </c>
      <c r="G2714" s="301">
        <v>3736</v>
      </c>
      <c r="H2714" s="301">
        <f>Tabla15[[#This Row],[Importe]]-Tabla15[[#This Row],[Pagado]]</f>
        <v>0</v>
      </c>
      <c r="I2714" s="275" t="s">
        <v>15214</v>
      </c>
    </row>
    <row r="2715" spans="1:9" x14ac:dyDescent="0.25">
      <c r="A2715" s="420">
        <v>43029</v>
      </c>
      <c r="B2715" s="302" t="s">
        <v>34411</v>
      </c>
      <c r="C2715">
        <v>132278</v>
      </c>
      <c r="D2715" s="275" t="s">
        <v>15315</v>
      </c>
      <c r="E2715" s="301">
        <v>2534.4</v>
      </c>
      <c r="F2715" s="303">
        <v>43029</v>
      </c>
      <c r="G2715" s="301">
        <v>2534.4</v>
      </c>
      <c r="H2715" s="301">
        <f>Tabla15[[#This Row],[Importe]]-Tabla15[[#This Row],[Pagado]]</f>
        <v>0</v>
      </c>
      <c r="I2715" s="275" t="s">
        <v>15214</v>
      </c>
    </row>
    <row r="2716" spans="1:9" x14ac:dyDescent="0.25">
      <c r="A2716" s="420">
        <v>43029</v>
      </c>
      <c r="B2716" s="302" t="s">
        <v>34412</v>
      </c>
      <c r="C2716">
        <v>132279</v>
      </c>
      <c r="D2716" s="275" t="s">
        <v>15274</v>
      </c>
      <c r="E2716" s="301">
        <v>5120</v>
      </c>
      <c r="F2716" s="303">
        <v>43031</v>
      </c>
      <c r="G2716" s="301">
        <v>5120</v>
      </c>
      <c r="H2716" s="301">
        <f>Tabla15[[#This Row],[Importe]]-Tabla15[[#This Row],[Pagado]]</f>
        <v>0</v>
      </c>
      <c r="I2716" s="275" t="s">
        <v>15214</v>
      </c>
    </row>
    <row r="2717" spans="1:9" x14ac:dyDescent="0.25">
      <c r="A2717" s="420">
        <v>43029</v>
      </c>
      <c r="B2717" s="302" t="s">
        <v>34413</v>
      </c>
      <c r="C2717">
        <v>132280</v>
      </c>
      <c r="D2717" s="275" t="s">
        <v>15261</v>
      </c>
      <c r="E2717" s="301">
        <v>1644.3</v>
      </c>
      <c r="F2717" s="303">
        <v>43029</v>
      </c>
      <c r="G2717" s="301">
        <v>1644.3</v>
      </c>
      <c r="H2717" s="301">
        <f>Tabla15[[#This Row],[Importe]]-Tabla15[[#This Row],[Pagado]]</f>
        <v>0</v>
      </c>
      <c r="I2717" s="275" t="s">
        <v>15214</v>
      </c>
    </row>
    <row r="2718" spans="1:9" x14ac:dyDescent="0.25">
      <c r="A2718" s="420">
        <v>43029</v>
      </c>
      <c r="B2718" s="302" t="s">
        <v>34414</v>
      </c>
      <c r="C2718">
        <v>132281</v>
      </c>
      <c r="D2718" s="275" t="s">
        <v>15415</v>
      </c>
      <c r="E2718" s="301">
        <v>408.6</v>
      </c>
      <c r="F2718" s="303">
        <v>43031</v>
      </c>
      <c r="G2718" s="301">
        <v>408.6</v>
      </c>
      <c r="H2718" s="301">
        <f>Tabla15[[#This Row],[Importe]]-Tabla15[[#This Row],[Pagado]]</f>
        <v>0</v>
      </c>
      <c r="I2718" s="275" t="s">
        <v>15214</v>
      </c>
    </row>
    <row r="2719" spans="1:9" x14ac:dyDescent="0.25">
      <c r="A2719" s="420">
        <v>43029</v>
      </c>
      <c r="B2719" s="302" t="s">
        <v>34415</v>
      </c>
      <c r="C2719">
        <v>132282</v>
      </c>
      <c r="D2719" s="275" t="s">
        <v>15596</v>
      </c>
      <c r="E2719" s="301">
        <v>960</v>
      </c>
      <c r="F2719" s="303">
        <v>43031</v>
      </c>
      <c r="G2719" s="301">
        <v>960</v>
      </c>
      <c r="H2719" s="301">
        <f>Tabla15[[#This Row],[Importe]]-Tabla15[[#This Row],[Pagado]]</f>
        <v>0</v>
      </c>
      <c r="I2719" s="275" t="s">
        <v>15214</v>
      </c>
    </row>
    <row r="2720" spans="1:9" x14ac:dyDescent="0.25">
      <c r="A2720" s="420">
        <v>43029</v>
      </c>
      <c r="B2720" s="302" t="s">
        <v>34416</v>
      </c>
      <c r="C2720">
        <v>132283</v>
      </c>
      <c r="D2720" s="275" t="s">
        <v>17800</v>
      </c>
      <c r="E2720" s="301">
        <v>5663.1</v>
      </c>
      <c r="F2720" s="303">
        <v>43031</v>
      </c>
      <c r="G2720" s="301">
        <v>5663.1</v>
      </c>
      <c r="H2720" s="301">
        <f>Tabla15[[#This Row],[Importe]]-Tabla15[[#This Row],[Pagado]]</f>
        <v>0</v>
      </c>
      <c r="I2720" s="275" t="s">
        <v>15214</v>
      </c>
    </row>
    <row r="2721" spans="1:9" x14ac:dyDescent="0.25">
      <c r="A2721" s="420">
        <v>43029</v>
      </c>
      <c r="B2721" s="302" t="s">
        <v>34417</v>
      </c>
      <c r="C2721">
        <v>132284</v>
      </c>
      <c r="D2721" s="275" t="s">
        <v>15745</v>
      </c>
      <c r="E2721" s="301">
        <v>1575.76</v>
      </c>
      <c r="F2721" s="303">
        <v>43031</v>
      </c>
      <c r="G2721" s="301">
        <v>1575.76</v>
      </c>
      <c r="H2721" s="301">
        <f>Tabla15[[#This Row],[Importe]]-Tabla15[[#This Row],[Pagado]]</f>
        <v>0</v>
      </c>
      <c r="I2721" s="275" t="s">
        <v>15214</v>
      </c>
    </row>
    <row r="2722" spans="1:9" x14ac:dyDescent="0.25">
      <c r="A2722" s="420">
        <v>43029</v>
      </c>
      <c r="B2722" s="302" t="s">
        <v>34418</v>
      </c>
      <c r="C2722">
        <v>132285</v>
      </c>
      <c r="D2722" s="275" t="s">
        <v>15248</v>
      </c>
      <c r="E2722" s="301">
        <v>47760.87</v>
      </c>
      <c r="F2722" s="303">
        <v>43029</v>
      </c>
      <c r="G2722" s="301">
        <v>47760.87</v>
      </c>
      <c r="H2722" s="301">
        <f>Tabla15[[#This Row],[Importe]]-Tabla15[[#This Row],[Pagado]]</f>
        <v>0</v>
      </c>
      <c r="I2722" s="275" t="s">
        <v>15214</v>
      </c>
    </row>
    <row r="2723" spans="1:9" x14ac:dyDescent="0.25">
      <c r="A2723" s="420">
        <v>43029</v>
      </c>
      <c r="B2723" s="302" t="s">
        <v>34419</v>
      </c>
      <c r="C2723">
        <v>132286</v>
      </c>
      <c r="D2723" s="275" t="s">
        <v>15309</v>
      </c>
      <c r="E2723" s="301">
        <v>8423.9</v>
      </c>
      <c r="F2723" s="303">
        <v>43031</v>
      </c>
      <c r="G2723" s="301">
        <v>8423.9</v>
      </c>
      <c r="H2723" s="301">
        <f>Tabla15[[#This Row],[Importe]]-Tabla15[[#This Row],[Pagado]]</f>
        <v>0</v>
      </c>
      <c r="I2723" s="275" t="s">
        <v>15214</v>
      </c>
    </row>
    <row r="2724" spans="1:9" x14ac:dyDescent="0.25">
      <c r="A2724" s="420">
        <v>43029</v>
      </c>
      <c r="B2724" s="302" t="s">
        <v>34420</v>
      </c>
      <c r="C2724">
        <v>132287</v>
      </c>
      <c r="D2724" s="275" t="s">
        <v>15291</v>
      </c>
      <c r="E2724" s="301">
        <v>624</v>
      </c>
      <c r="F2724" s="303">
        <v>43031</v>
      </c>
      <c r="G2724" s="301">
        <v>624</v>
      </c>
      <c r="H2724" s="301">
        <f>Tabla15[[#This Row],[Importe]]-Tabla15[[#This Row],[Pagado]]</f>
        <v>0</v>
      </c>
      <c r="I2724" s="275" t="s">
        <v>15214</v>
      </c>
    </row>
    <row r="2725" spans="1:9" x14ac:dyDescent="0.25">
      <c r="A2725" s="420">
        <v>43029</v>
      </c>
      <c r="B2725" s="302" t="s">
        <v>34421</v>
      </c>
      <c r="C2725">
        <v>132288</v>
      </c>
      <c r="D2725" s="275" t="s">
        <v>15311</v>
      </c>
      <c r="E2725" s="301">
        <v>2856</v>
      </c>
      <c r="F2725" s="303">
        <v>43031</v>
      </c>
      <c r="G2725" s="301">
        <v>2856</v>
      </c>
      <c r="H2725" s="301">
        <f>Tabla15[[#This Row],[Importe]]-Tabla15[[#This Row],[Pagado]]</f>
        <v>0</v>
      </c>
      <c r="I2725" s="275" t="s">
        <v>15214</v>
      </c>
    </row>
    <row r="2726" spans="1:9" x14ac:dyDescent="0.25">
      <c r="A2726" s="420">
        <v>43029</v>
      </c>
      <c r="B2726" s="302" t="s">
        <v>34422</v>
      </c>
      <c r="C2726">
        <v>132289</v>
      </c>
      <c r="D2726" s="275" t="s">
        <v>15305</v>
      </c>
      <c r="E2726" s="301">
        <v>1466.8</v>
      </c>
      <c r="F2726" s="303">
        <v>43031</v>
      </c>
      <c r="G2726" s="301">
        <v>1466.8</v>
      </c>
      <c r="H2726" s="301">
        <f>Tabla15[[#This Row],[Importe]]-Tabla15[[#This Row],[Pagado]]</f>
        <v>0</v>
      </c>
      <c r="I2726" s="275" t="s">
        <v>15214</v>
      </c>
    </row>
    <row r="2727" spans="1:9" ht="15.75" x14ac:dyDescent="0.25">
      <c r="A2727" s="420">
        <v>43029</v>
      </c>
      <c r="B2727" s="302" t="s">
        <v>34423</v>
      </c>
      <c r="C2727">
        <v>132290</v>
      </c>
      <c r="D2727" s="248" t="s">
        <v>95</v>
      </c>
      <c r="E2727" s="301">
        <v>0</v>
      </c>
      <c r="F2727" s="243" t="s">
        <v>95</v>
      </c>
      <c r="G2727" s="301">
        <v>0</v>
      </c>
      <c r="H2727" s="301">
        <f>Tabla15[[#This Row],[Importe]]-Tabla15[[#This Row],[Pagado]]</f>
        <v>0</v>
      </c>
      <c r="I2727" s="282" t="s">
        <v>31885</v>
      </c>
    </row>
    <row r="2728" spans="1:9" x14ac:dyDescent="0.25">
      <c r="A2728" s="420">
        <v>43029</v>
      </c>
      <c r="B2728" s="302" t="s">
        <v>34424</v>
      </c>
      <c r="C2728">
        <v>132291</v>
      </c>
      <c r="D2728" s="275" t="s">
        <v>17452</v>
      </c>
      <c r="E2728" s="301">
        <v>3422.4</v>
      </c>
      <c r="F2728" s="303">
        <v>43031</v>
      </c>
      <c r="G2728" s="301">
        <v>3422.4</v>
      </c>
      <c r="H2728" s="301">
        <f>Tabla15[[#This Row],[Importe]]-Tabla15[[#This Row],[Pagado]]</f>
        <v>0</v>
      </c>
      <c r="I2728" s="275" t="s">
        <v>15214</v>
      </c>
    </row>
    <row r="2729" spans="1:9" x14ac:dyDescent="0.25">
      <c r="A2729" s="420">
        <v>43029</v>
      </c>
      <c r="B2729" s="302" t="s">
        <v>34425</v>
      </c>
      <c r="C2729">
        <v>132292</v>
      </c>
      <c r="D2729" s="275" t="s">
        <v>15276</v>
      </c>
      <c r="E2729" s="301">
        <v>5760</v>
      </c>
      <c r="F2729" s="303">
        <v>43031</v>
      </c>
      <c r="G2729" s="301">
        <v>5760</v>
      </c>
      <c r="H2729" s="301">
        <f>Tabla15[[#This Row],[Importe]]-Tabla15[[#This Row],[Pagado]]</f>
        <v>0</v>
      </c>
      <c r="I2729" s="275" t="s">
        <v>15214</v>
      </c>
    </row>
    <row r="2730" spans="1:9" x14ac:dyDescent="0.25">
      <c r="A2730" s="420">
        <v>43029</v>
      </c>
      <c r="B2730" s="302" t="s">
        <v>34426</v>
      </c>
      <c r="C2730">
        <v>132293</v>
      </c>
      <c r="D2730" s="275" t="s">
        <v>15417</v>
      </c>
      <c r="E2730" s="301">
        <v>4902.1000000000004</v>
      </c>
      <c r="F2730" s="303">
        <v>43031</v>
      </c>
      <c r="G2730" s="301">
        <v>4902.1000000000004</v>
      </c>
      <c r="H2730" s="301">
        <f>Tabla15[[#This Row],[Importe]]-Tabla15[[#This Row],[Pagado]]</f>
        <v>0</v>
      </c>
      <c r="I2730" s="275" t="s">
        <v>15214</v>
      </c>
    </row>
    <row r="2731" spans="1:9" x14ac:dyDescent="0.25">
      <c r="A2731" s="420">
        <v>43029</v>
      </c>
      <c r="B2731" s="302" t="s">
        <v>34427</v>
      </c>
      <c r="C2731">
        <v>132294</v>
      </c>
      <c r="D2731" s="275" t="s">
        <v>15510</v>
      </c>
      <c r="E2731" s="301">
        <v>3504.48</v>
      </c>
      <c r="F2731" s="303">
        <v>43029</v>
      </c>
      <c r="G2731" s="301">
        <v>3504.48</v>
      </c>
      <c r="H2731" s="301">
        <f>Tabla15[[#This Row],[Importe]]-Tabla15[[#This Row],[Pagado]]</f>
        <v>0</v>
      </c>
      <c r="I2731" s="275" t="s">
        <v>15214</v>
      </c>
    </row>
    <row r="2732" spans="1:9" x14ac:dyDescent="0.25">
      <c r="A2732" s="420">
        <v>43029</v>
      </c>
      <c r="B2732" s="302" t="s">
        <v>34428</v>
      </c>
      <c r="C2732">
        <v>132295</v>
      </c>
      <c r="D2732" s="275" t="s">
        <v>15280</v>
      </c>
      <c r="E2732" s="301">
        <v>2670.2</v>
      </c>
      <c r="F2732" s="303">
        <v>43029</v>
      </c>
      <c r="G2732" s="301">
        <v>2670.2</v>
      </c>
      <c r="H2732" s="301">
        <f>Tabla15[[#This Row],[Importe]]-Tabla15[[#This Row],[Pagado]]</f>
        <v>0</v>
      </c>
      <c r="I2732" s="275" t="s">
        <v>15214</v>
      </c>
    </row>
    <row r="2733" spans="1:9" x14ac:dyDescent="0.25">
      <c r="A2733" s="420">
        <v>43029</v>
      </c>
      <c r="B2733" s="302" t="s">
        <v>34429</v>
      </c>
      <c r="C2733">
        <v>132296</v>
      </c>
      <c r="D2733" s="275" t="s">
        <v>15510</v>
      </c>
      <c r="E2733" s="301">
        <v>2948.8</v>
      </c>
      <c r="F2733" s="303">
        <v>43029</v>
      </c>
      <c r="G2733" s="301">
        <v>2948.8</v>
      </c>
      <c r="H2733" s="301">
        <f>Tabla15[[#This Row],[Importe]]-Tabla15[[#This Row],[Pagado]]</f>
        <v>0</v>
      </c>
      <c r="I2733" s="275" t="s">
        <v>15214</v>
      </c>
    </row>
    <row r="2734" spans="1:9" x14ac:dyDescent="0.25">
      <c r="A2734" s="420">
        <v>43029</v>
      </c>
      <c r="B2734" s="302" t="s">
        <v>34430</v>
      </c>
      <c r="C2734">
        <v>132297</v>
      </c>
      <c r="D2734" s="275" t="s">
        <v>15714</v>
      </c>
      <c r="E2734" s="301">
        <v>350</v>
      </c>
      <c r="F2734" s="303">
        <v>43030</v>
      </c>
      <c r="G2734" s="301">
        <v>350</v>
      </c>
      <c r="H2734" s="301">
        <f>Tabla15[[#This Row],[Importe]]-Tabla15[[#This Row],[Pagado]]</f>
        <v>0</v>
      </c>
      <c r="I2734" s="275" t="s">
        <v>15214</v>
      </c>
    </row>
    <row r="2735" spans="1:9" x14ac:dyDescent="0.25">
      <c r="A2735" s="420">
        <v>43029</v>
      </c>
      <c r="B2735" s="302" t="s">
        <v>34431</v>
      </c>
      <c r="C2735">
        <v>132298</v>
      </c>
      <c r="D2735" s="275" t="s">
        <v>15748</v>
      </c>
      <c r="E2735" s="301">
        <v>968</v>
      </c>
      <c r="F2735" s="303">
        <v>43030</v>
      </c>
      <c r="G2735" s="301">
        <v>968</v>
      </c>
      <c r="H2735" s="301">
        <f>Tabla15[[#This Row],[Importe]]-Tabla15[[#This Row],[Pagado]]</f>
        <v>0</v>
      </c>
      <c r="I2735" s="275" t="s">
        <v>15214</v>
      </c>
    </row>
    <row r="2736" spans="1:9" x14ac:dyDescent="0.25">
      <c r="A2736" s="420">
        <v>43029</v>
      </c>
      <c r="B2736" s="302" t="s">
        <v>34432</v>
      </c>
      <c r="C2736">
        <v>132299</v>
      </c>
      <c r="D2736" s="275" t="s">
        <v>15748</v>
      </c>
      <c r="E2736" s="301">
        <v>220</v>
      </c>
      <c r="F2736" s="303">
        <v>43030</v>
      </c>
      <c r="G2736" s="301">
        <v>220</v>
      </c>
      <c r="H2736" s="301">
        <f>Tabla15[[#This Row],[Importe]]-Tabla15[[#This Row],[Pagado]]</f>
        <v>0</v>
      </c>
      <c r="I2736" s="275" t="s">
        <v>15214</v>
      </c>
    </row>
    <row r="2737" spans="1:9" x14ac:dyDescent="0.25">
      <c r="A2737" s="420">
        <v>43029</v>
      </c>
      <c r="B2737" s="302" t="s">
        <v>34433</v>
      </c>
      <c r="C2737">
        <v>132300</v>
      </c>
      <c r="D2737" s="275" t="s">
        <v>15912</v>
      </c>
      <c r="E2737" s="301">
        <v>2252.8000000000002</v>
      </c>
      <c r="F2737" s="303">
        <v>43030</v>
      </c>
      <c r="G2737" s="301">
        <v>2252.8000000000002</v>
      </c>
      <c r="H2737" s="301">
        <f>Tabla15[[#This Row],[Importe]]-Tabla15[[#This Row],[Pagado]]</f>
        <v>0</v>
      </c>
      <c r="I2737" s="275" t="s">
        <v>15214</v>
      </c>
    </row>
    <row r="2738" spans="1:9" x14ac:dyDescent="0.25">
      <c r="A2738" s="420">
        <v>43029</v>
      </c>
      <c r="B2738" s="302" t="s">
        <v>34434</v>
      </c>
      <c r="C2738">
        <v>132301</v>
      </c>
      <c r="D2738" s="275" t="s">
        <v>15566</v>
      </c>
      <c r="E2738" s="301">
        <v>3344.65</v>
      </c>
      <c r="F2738" s="303">
        <v>43029</v>
      </c>
      <c r="G2738" s="301">
        <v>3344.65</v>
      </c>
      <c r="H2738" s="301">
        <f>Tabla15[[#This Row],[Importe]]-Tabla15[[#This Row],[Pagado]]</f>
        <v>0</v>
      </c>
      <c r="I2738" s="275" t="s">
        <v>15214</v>
      </c>
    </row>
    <row r="2739" spans="1:9" x14ac:dyDescent="0.25">
      <c r="A2739" s="420">
        <v>43029</v>
      </c>
      <c r="B2739" s="302" t="s">
        <v>34435</v>
      </c>
      <c r="C2739">
        <v>132302</v>
      </c>
      <c r="D2739" s="275" t="s">
        <v>15315</v>
      </c>
      <c r="E2739" s="301">
        <v>6129.45</v>
      </c>
      <c r="F2739" s="303">
        <v>43030</v>
      </c>
      <c r="G2739" s="301">
        <v>6129.45</v>
      </c>
      <c r="H2739" s="301">
        <f>Tabla15[[#This Row],[Importe]]-Tabla15[[#This Row],[Pagado]]</f>
        <v>0</v>
      </c>
      <c r="I2739" s="275" t="s">
        <v>15214</v>
      </c>
    </row>
    <row r="2740" spans="1:9" x14ac:dyDescent="0.25">
      <c r="A2740" s="420">
        <v>43029</v>
      </c>
      <c r="B2740" s="302" t="s">
        <v>34436</v>
      </c>
      <c r="C2740">
        <v>132303</v>
      </c>
      <c r="D2740" s="275" t="s">
        <v>15344</v>
      </c>
      <c r="E2740" s="301">
        <v>2170.6999999999998</v>
      </c>
      <c r="F2740" s="303">
        <v>43030</v>
      </c>
      <c r="G2740" s="301">
        <v>2170.6999999999998</v>
      </c>
      <c r="H2740" s="301">
        <f>Tabla15[[#This Row],[Importe]]-Tabla15[[#This Row],[Pagado]]</f>
        <v>0</v>
      </c>
      <c r="I2740" s="275" t="s">
        <v>15214</v>
      </c>
    </row>
    <row r="2741" spans="1:9" x14ac:dyDescent="0.25">
      <c r="A2741" s="420">
        <v>43029</v>
      </c>
      <c r="B2741" s="302" t="s">
        <v>34437</v>
      </c>
      <c r="C2741">
        <v>132304</v>
      </c>
      <c r="D2741" s="275" t="s">
        <v>15526</v>
      </c>
      <c r="E2741" s="301">
        <v>5032.3</v>
      </c>
      <c r="F2741" s="303">
        <v>43030</v>
      </c>
      <c r="G2741" s="301">
        <v>5032.3</v>
      </c>
      <c r="H2741" s="301">
        <f>Tabla15[[#This Row],[Importe]]-Tabla15[[#This Row],[Pagado]]</f>
        <v>0</v>
      </c>
      <c r="I2741" s="275" t="s">
        <v>15214</v>
      </c>
    </row>
    <row r="2742" spans="1:9" x14ac:dyDescent="0.25">
      <c r="A2742" s="420">
        <v>43029</v>
      </c>
      <c r="B2742" s="302" t="s">
        <v>34438</v>
      </c>
      <c r="C2742">
        <v>132305</v>
      </c>
      <c r="D2742" s="275" t="s">
        <v>15523</v>
      </c>
      <c r="E2742" s="301">
        <v>5280</v>
      </c>
      <c r="F2742" s="303">
        <v>43030</v>
      </c>
      <c r="G2742" s="301">
        <v>5280</v>
      </c>
      <c r="H2742" s="301">
        <f>Tabla15[[#This Row],[Importe]]-Tabla15[[#This Row],[Pagado]]</f>
        <v>0</v>
      </c>
      <c r="I2742" s="275" t="s">
        <v>15214</v>
      </c>
    </row>
    <row r="2743" spans="1:9" x14ac:dyDescent="0.25">
      <c r="A2743" s="420">
        <v>43029</v>
      </c>
      <c r="B2743" s="302" t="s">
        <v>34439</v>
      </c>
      <c r="C2743">
        <v>132306</v>
      </c>
      <c r="D2743" s="275" t="s">
        <v>15358</v>
      </c>
      <c r="E2743" s="301">
        <v>4549.6000000000004</v>
      </c>
      <c r="F2743" s="303">
        <v>43030</v>
      </c>
      <c r="G2743" s="301">
        <v>4549.6000000000004</v>
      </c>
      <c r="H2743" s="301">
        <f>Tabla15[[#This Row],[Importe]]-Tabla15[[#This Row],[Pagado]]</f>
        <v>0</v>
      </c>
      <c r="I2743" s="275" t="s">
        <v>15214</v>
      </c>
    </row>
    <row r="2744" spans="1:9" x14ac:dyDescent="0.25">
      <c r="A2744" s="420">
        <v>43029</v>
      </c>
      <c r="B2744" s="302" t="s">
        <v>34440</v>
      </c>
      <c r="C2744">
        <v>132307</v>
      </c>
      <c r="D2744" s="275" t="s">
        <v>15553</v>
      </c>
      <c r="E2744" s="301">
        <v>1611.9</v>
      </c>
      <c r="F2744" s="303">
        <v>43030</v>
      </c>
      <c r="G2744" s="301">
        <v>1611.9</v>
      </c>
      <c r="H2744" s="301">
        <f>Tabla15[[#This Row],[Importe]]-Tabla15[[#This Row],[Pagado]]</f>
        <v>0</v>
      </c>
      <c r="I2744" s="275" t="s">
        <v>15214</v>
      </c>
    </row>
    <row r="2745" spans="1:9" x14ac:dyDescent="0.25">
      <c r="A2745" s="420">
        <v>43029</v>
      </c>
      <c r="B2745" s="302" t="s">
        <v>34441</v>
      </c>
      <c r="C2745">
        <v>132308</v>
      </c>
      <c r="D2745" s="275" t="s">
        <v>15326</v>
      </c>
      <c r="E2745" s="301">
        <v>4037</v>
      </c>
      <c r="F2745" s="303">
        <v>43029</v>
      </c>
      <c r="G2745" s="301">
        <v>4037</v>
      </c>
      <c r="H2745" s="301">
        <f>Tabla15[[#This Row],[Importe]]-Tabla15[[#This Row],[Pagado]]</f>
        <v>0</v>
      </c>
      <c r="I2745" s="275" t="s">
        <v>15214</v>
      </c>
    </row>
    <row r="2746" spans="1:9" x14ac:dyDescent="0.25">
      <c r="A2746" s="420">
        <v>43029</v>
      </c>
      <c r="B2746" s="302" t="s">
        <v>34442</v>
      </c>
      <c r="C2746">
        <v>132309</v>
      </c>
      <c r="D2746" s="275" t="s">
        <v>15334</v>
      </c>
      <c r="E2746" s="301">
        <v>4578.8</v>
      </c>
      <c r="F2746" s="303">
        <v>43030</v>
      </c>
      <c r="G2746" s="301">
        <v>4578.8</v>
      </c>
      <c r="H2746" s="301">
        <f>Tabla15[[#This Row],[Importe]]-Tabla15[[#This Row],[Pagado]]</f>
        <v>0</v>
      </c>
      <c r="I2746" s="275" t="s">
        <v>15214</v>
      </c>
    </row>
    <row r="2747" spans="1:9" x14ac:dyDescent="0.25">
      <c r="A2747" s="420">
        <v>43029</v>
      </c>
      <c r="B2747" s="302" t="s">
        <v>34443</v>
      </c>
      <c r="C2747">
        <v>132310</v>
      </c>
      <c r="D2747" s="275" t="s">
        <v>15284</v>
      </c>
      <c r="E2747" s="301">
        <v>1636.2</v>
      </c>
      <c r="F2747" s="303">
        <v>43029</v>
      </c>
      <c r="G2747" s="301">
        <v>1636.2</v>
      </c>
      <c r="H2747" s="301">
        <f>Tabla15[[#This Row],[Importe]]-Tabla15[[#This Row],[Pagado]]</f>
        <v>0</v>
      </c>
      <c r="I2747" s="275" t="s">
        <v>15214</v>
      </c>
    </row>
    <row r="2748" spans="1:9" x14ac:dyDescent="0.25">
      <c r="A2748" s="420">
        <v>43029</v>
      </c>
      <c r="B2748" s="302" t="s">
        <v>34444</v>
      </c>
      <c r="C2748">
        <v>132311</v>
      </c>
      <c r="D2748" s="275" t="s">
        <v>34058</v>
      </c>
      <c r="E2748" s="301">
        <v>6801.6</v>
      </c>
      <c r="F2748" s="303">
        <v>43030</v>
      </c>
      <c r="G2748" s="301">
        <v>6801.6</v>
      </c>
      <c r="H2748" s="301">
        <f>Tabla15[[#This Row],[Importe]]-Tabla15[[#This Row],[Pagado]]</f>
        <v>0</v>
      </c>
      <c r="I2748" s="275" t="s">
        <v>15214</v>
      </c>
    </row>
    <row r="2749" spans="1:9" x14ac:dyDescent="0.25">
      <c r="A2749" s="420">
        <v>43029</v>
      </c>
      <c r="B2749" s="302" t="s">
        <v>34445</v>
      </c>
      <c r="C2749">
        <v>132312</v>
      </c>
      <c r="D2749" s="275" t="s">
        <v>15858</v>
      </c>
      <c r="E2749" s="301">
        <v>3513.96</v>
      </c>
      <c r="F2749" s="303">
        <v>43030</v>
      </c>
      <c r="G2749" s="301">
        <v>3513.96</v>
      </c>
      <c r="H2749" s="301">
        <f>Tabla15[[#This Row],[Importe]]-Tabla15[[#This Row],[Pagado]]</f>
        <v>0</v>
      </c>
      <c r="I2749" s="275" t="s">
        <v>15214</v>
      </c>
    </row>
    <row r="2750" spans="1:9" x14ac:dyDescent="0.25">
      <c r="A2750" s="420">
        <v>43029</v>
      </c>
      <c r="B2750" s="302" t="s">
        <v>34446</v>
      </c>
      <c r="C2750">
        <v>132313</v>
      </c>
      <c r="D2750" s="275" t="s">
        <v>15213</v>
      </c>
      <c r="E2750" s="301">
        <v>6941.4</v>
      </c>
      <c r="F2750" s="303">
        <v>43030</v>
      </c>
      <c r="G2750" s="301">
        <v>6941.4</v>
      </c>
      <c r="H2750" s="301">
        <f>Tabla15[[#This Row],[Importe]]-Tabla15[[#This Row],[Pagado]]</f>
        <v>0</v>
      </c>
      <c r="I2750" s="275" t="s">
        <v>15214</v>
      </c>
    </row>
    <row r="2751" spans="1:9" x14ac:dyDescent="0.25">
      <c r="A2751" s="420">
        <v>43029</v>
      </c>
      <c r="B2751" s="302" t="s">
        <v>34447</v>
      </c>
      <c r="C2751">
        <v>132314</v>
      </c>
      <c r="D2751" s="275" t="s">
        <v>15332</v>
      </c>
      <c r="E2751" s="301">
        <v>4572.3999999999996</v>
      </c>
      <c r="F2751" s="303">
        <v>43030</v>
      </c>
      <c r="G2751" s="301">
        <v>4572.3999999999996</v>
      </c>
      <c r="H2751" s="301">
        <f>Tabla15[[#This Row],[Importe]]-Tabla15[[#This Row],[Pagado]]</f>
        <v>0</v>
      </c>
      <c r="I2751" s="275" t="s">
        <v>15214</v>
      </c>
    </row>
    <row r="2752" spans="1:9" x14ac:dyDescent="0.25">
      <c r="A2752" s="420">
        <v>43029</v>
      </c>
      <c r="B2752" s="302" t="s">
        <v>34448</v>
      </c>
      <c r="C2752">
        <v>132315</v>
      </c>
      <c r="D2752" s="275" t="s">
        <v>15336</v>
      </c>
      <c r="E2752" s="301">
        <v>11068.5</v>
      </c>
      <c r="F2752" s="303">
        <v>43030</v>
      </c>
      <c r="G2752" s="301">
        <v>11068.5</v>
      </c>
      <c r="H2752" s="301">
        <f>Tabla15[[#This Row],[Importe]]-Tabla15[[#This Row],[Pagado]]</f>
        <v>0</v>
      </c>
      <c r="I2752" s="275" t="s">
        <v>15214</v>
      </c>
    </row>
    <row r="2753" spans="1:9" x14ac:dyDescent="0.25">
      <c r="A2753" s="420">
        <v>43029</v>
      </c>
      <c r="B2753" s="302" t="s">
        <v>34449</v>
      </c>
      <c r="C2753">
        <v>132316</v>
      </c>
      <c r="D2753" s="275" t="s">
        <v>15315</v>
      </c>
      <c r="E2753" s="301">
        <v>3789.9</v>
      </c>
      <c r="F2753" s="303">
        <v>43029</v>
      </c>
      <c r="G2753" s="301">
        <v>3789.9</v>
      </c>
      <c r="H2753" s="301">
        <f>Tabla15[[#This Row],[Importe]]-Tabla15[[#This Row],[Pagado]]</f>
        <v>0</v>
      </c>
      <c r="I2753" s="275" t="s">
        <v>15214</v>
      </c>
    </row>
    <row r="2754" spans="1:9" x14ac:dyDescent="0.25">
      <c r="A2754" s="420">
        <v>43029</v>
      </c>
      <c r="B2754" s="302" t="s">
        <v>34450</v>
      </c>
      <c r="C2754">
        <v>132317</v>
      </c>
      <c r="D2754" s="275" t="s">
        <v>15590</v>
      </c>
      <c r="E2754" s="301">
        <v>48370.7</v>
      </c>
      <c r="F2754" s="303">
        <v>43050</v>
      </c>
      <c r="G2754" s="301">
        <v>48370.7</v>
      </c>
      <c r="H2754" s="301">
        <f>Tabla15[[#This Row],[Importe]]-Tabla15[[#This Row],[Pagado]]</f>
        <v>0</v>
      </c>
      <c r="I2754" s="275" t="s">
        <v>15214</v>
      </c>
    </row>
    <row r="2755" spans="1:9" x14ac:dyDescent="0.25">
      <c r="A2755" s="420">
        <v>43029</v>
      </c>
      <c r="B2755" s="302" t="s">
        <v>34451</v>
      </c>
      <c r="C2755">
        <v>132318</v>
      </c>
      <c r="D2755" s="275" t="s">
        <v>15356</v>
      </c>
      <c r="E2755" s="301">
        <v>969</v>
      </c>
      <c r="F2755" s="303">
        <v>43030</v>
      </c>
      <c r="G2755" s="301">
        <v>969</v>
      </c>
      <c r="H2755" s="301">
        <f>Tabla15[[#This Row],[Importe]]-Tabla15[[#This Row],[Pagado]]</f>
        <v>0</v>
      </c>
      <c r="I2755" s="275" t="s">
        <v>15214</v>
      </c>
    </row>
    <row r="2756" spans="1:9" ht="15.75" x14ac:dyDescent="0.25">
      <c r="A2756" s="420">
        <v>43029</v>
      </c>
      <c r="B2756" s="302" t="s">
        <v>34452</v>
      </c>
      <c r="C2756">
        <v>132319</v>
      </c>
      <c r="D2756" s="248" t="s">
        <v>95</v>
      </c>
      <c r="E2756" s="301">
        <v>0</v>
      </c>
      <c r="F2756" s="243" t="s">
        <v>95</v>
      </c>
      <c r="G2756" s="301">
        <v>0</v>
      </c>
      <c r="H2756" s="301">
        <f>Tabla15[[#This Row],[Importe]]-Tabla15[[#This Row],[Pagado]]</f>
        <v>0</v>
      </c>
      <c r="I2756" s="275" t="s">
        <v>95</v>
      </c>
    </row>
    <row r="2757" spans="1:9" x14ac:dyDescent="0.25">
      <c r="A2757" s="420">
        <v>43029</v>
      </c>
      <c r="B2757" s="302" t="s">
        <v>34453</v>
      </c>
      <c r="C2757">
        <v>132320</v>
      </c>
      <c r="D2757" s="275" t="s">
        <v>15544</v>
      </c>
      <c r="E2757" s="301">
        <v>1186.0999999999999</v>
      </c>
      <c r="F2757" s="303">
        <v>43031</v>
      </c>
      <c r="G2757" s="301">
        <v>1186.0999999999999</v>
      </c>
      <c r="H2757" s="301">
        <f>Tabla15[[#This Row],[Importe]]-Tabla15[[#This Row],[Pagado]]</f>
        <v>0</v>
      </c>
      <c r="I2757" s="275" t="s">
        <v>15214</v>
      </c>
    </row>
    <row r="2758" spans="1:9" x14ac:dyDescent="0.25">
      <c r="A2758" s="420">
        <v>43029</v>
      </c>
      <c r="B2758" s="302" t="s">
        <v>34454</v>
      </c>
      <c r="C2758">
        <v>132321</v>
      </c>
      <c r="D2758" s="275" t="s">
        <v>15699</v>
      </c>
      <c r="E2758" s="301">
        <v>400</v>
      </c>
      <c r="F2758" s="303">
        <v>43031</v>
      </c>
      <c r="G2758" s="301">
        <v>400</v>
      </c>
      <c r="H2758" s="301">
        <f>Tabla15[[#This Row],[Importe]]-Tabla15[[#This Row],[Pagado]]</f>
        <v>0</v>
      </c>
      <c r="I2758" s="275" t="s">
        <v>15214</v>
      </c>
    </row>
    <row r="2759" spans="1:9" x14ac:dyDescent="0.25">
      <c r="A2759" s="420">
        <v>43029</v>
      </c>
      <c r="B2759" s="302" t="s">
        <v>34455</v>
      </c>
      <c r="C2759">
        <v>132322</v>
      </c>
      <c r="D2759" s="275" t="s">
        <v>15699</v>
      </c>
      <c r="E2759" s="301">
        <v>3205.65</v>
      </c>
      <c r="F2759" s="303">
        <v>43031</v>
      </c>
      <c r="G2759" s="301">
        <v>3205.65</v>
      </c>
      <c r="H2759" s="301">
        <f>Tabla15[[#This Row],[Importe]]-Tabla15[[#This Row],[Pagado]]</f>
        <v>0</v>
      </c>
      <c r="I2759" s="275" t="s">
        <v>15214</v>
      </c>
    </row>
    <row r="2760" spans="1:9" x14ac:dyDescent="0.25">
      <c r="A2760" s="420">
        <v>43029</v>
      </c>
      <c r="B2760" s="302" t="s">
        <v>34456</v>
      </c>
      <c r="C2760">
        <v>132323</v>
      </c>
      <c r="D2760" s="275" t="s">
        <v>15391</v>
      </c>
      <c r="E2760" s="301">
        <v>20586.8</v>
      </c>
      <c r="F2760" s="303">
        <v>43031</v>
      </c>
      <c r="G2760" s="301">
        <v>20586.8</v>
      </c>
      <c r="H2760" s="301">
        <f>Tabla15[[#This Row],[Importe]]-Tabla15[[#This Row],[Pagado]]</f>
        <v>0</v>
      </c>
      <c r="I2760" s="275" t="s">
        <v>15214</v>
      </c>
    </row>
    <row r="2761" spans="1:9" x14ac:dyDescent="0.25">
      <c r="A2761" s="420">
        <v>43029</v>
      </c>
      <c r="B2761" s="302" t="s">
        <v>34457</v>
      </c>
      <c r="C2761">
        <v>132324</v>
      </c>
      <c r="D2761" s="275" t="s">
        <v>15539</v>
      </c>
      <c r="E2761" s="301">
        <v>15332.45</v>
      </c>
      <c r="F2761" s="303">
        <v>43031</v>
      </c>
      <c r="G2761" s="301">
        <v>15332.45</v>
      </c>
      <c r="H2761" s="301">
        <f>Tabla15[[#This Row],[Importe]]-Tabla15[[#This Row],[Pagado]]</f>
        <v>0</v>
      </c>
      <c r="I2761" s="275" t="s">
        <v>15214</v>
      </c>
    </row>
    <row r="2762" spans="1:9" x14ac:dyDescent="0.25">
      <c r="A2762" s="420">
        <v>43029</v>
      </c>
      <c r="B2762" s="302" t="s">
        <v>34458</v>
      </c>
      <c r="C2762">
        <v>132325</v>
      </c>
      <c r="D2762" s="275" t="s">
        <v>15559</v>
      </c>
      <c r="E2762" s="301">
        <v>9717.6</v>
      </c>
      <c r="F2762" s="303">
        <v>43031</v>
      </c>
      <c r="G2762" s="301">
        <v>9717.6</v>
      </c>
      <c r="H2762" s="301">
        <f>Tabla15[[#This Row],[Importe]]-Tabla15[[#This Row],[Pagado]]</f>
        <v>0</v>
      </c>
      <c r="I2762" s="275" t="s">
        <v>15214</v>
      </c>
    </row>
    <row r="2763" spans="1:9" x14ac:dyDescent="0.25">
      <c r="A2763" s="420">
        <v>43029</v>
      </c>
      <c r="B2763" s="302" t="s">
        <v>34459</v>
      </c>
      <c r="C2763">
        <v>132326</v>
      </c>
      <c r="D2763" s="275" t="s">
        <v>15537</v>
      </c>
      <c r="E2763" s="301">
        <v>19655.05</v>
      </c>
      <c r="F2763" s="303">
        <v>43031</v>
      </c>
      <c r="G2763" s="301">
        <v>19655.05</v>
      </c>
      <c r="H2763" s="301">
        <f>Tabla15[[#This Row],[Importe]]-Tabla15[[#This Row],[Pagado]]</f>
        <v>0</v>
      </c>
      <c r="I2763" s="275" t="s">
        <v>15214</v>
      </c>
    </row>
    <row r="2764" spans="1:9" x14ac:dyDescent="0.25">
      <c r="A2764" s="420">
        <v>43029</v>
      </c>
      <c r="B2764" s="302" t="s">
        <v>34460</v>
      </c>
      <c r="C2764">
        <v>132327</v>
      </c>
      <c r="D2764" s="275" t="s">
        <v>15557</v>
      </c>
      <c r="E2764" s="301">
        <v>11426.1</v>
      </c>
      <c r="F2764" s="303">
        <v>43031</v>
      </c>
      <c r="G2764" s="301">
        <v>11426.1</v>
      </c>
      <c r="H2764" s="301">
        <f>Tabla15[[#This Row],[Importe]]-Tabla15[[#This Row],[Pagado]]</f>
        <v>0</v>
      </c>
      <c r="I2764" s="275" t="s">
        <v>15214</v>
      </c>
    </row>
    <row r="2765" spans="1:9" x14ac:dyDescent="0.25">
      <c r="A2765" s="420">
        <v>43029</v>
      </c>
      <c r="B2765" s="302" t="s">
        <v>34461</v>
      </c>
      <c r="C2765">
        <v>132328</v>
      </c>
      <c r="D2765" s="275" t="s">
        <v>15555</v>
      </c>
      <c r="E2765" s="301">
        <v>37469.64</v>
      </c>
      <c r="F2765" s="303">
        <v>43031</v>
      </c>
      <c r="G2765" s="301">
        <v>37469.64</v>
      </c>
      <c r="H2765" s="301">
        <f>Tabla15[[#This Row],[Importe]]-Tabla15[[#This Row],[Pagado]]</f>
        <v>0</v>
      </c>
      <c r="I2765" s="275" t="s">
        <v>15214</v>
      </c>
    </row>
    <row r="2766" spans="1:9" x14ac:dyDescent="0.25">
      <c r="A2766" s="420">
        <v>43029</v>
      </c>
      <c r="B2766" s="302" t="s">
        <v>34462</v>
      </c>
      <c r="C2766">
        <v>132329</v>
      </c>
      <c r="D2766" s="275" t="s">
        <v>15385</v>
      </c>
      <c r="E2766" s="301">
        <v>7911</v>
      </c>
      <c r="F2766" s="303">
        <v>43029</v>
      </c>
      <c r="G2766" s="301">
        <v>7911</v>
      </c>
      <c r="H2766" s="301">
        <f>Tabla15[[#This Row],[Importe]]-Tabla15[[#This Row],[Pagado]]</f>
        <v>0</v>
      </c>
      <c r="I2766" s="275" t="s">
        <v>15214</v>
      </c>
    </row>
    <row r="2767" spans="1:9" x14ac:dyDescent="0.25">
      <c r="A2767" s="420">
        <v>43029</v>
      </c>
      <c r="B2767" s="302" t="s">
        <v>34463</v>
      </c>
      <c r="C2767">
        <v>132330</v>
      </c>
      <c r="D2767" s="275" t="s">
        <v>15592</v>
      </c>
      <c r="E2767" s="301">
        <v>15750</v>
      </c>
      <c r="F2767" s="303">
        <v>43029</v>
      </c>
      <c r="G2767" s="301">
        <v>15750</v>
      </c>
      <c r="H2767" s="301">
        <f>Tabla15[[#This Row],[Importe]]-Tabla15[[#This Row],[Pagado]]</f>
        <v>0</v>
      </c>
      <c r="I2767" s="275" t="s">
        <v>15214</v>
      </c>
    </row>
    <row r="2768" spans="1:9" x14ac:dyDescent="0.25">
      <c r="A2768" s="420">
        <v>43029</v>
      </c>
      <c r="B2768" s="302" t="s">
        <v>34464</v>
      </c>
      <c r="C2768">
        <v>132331</v>
      </c>
      <c r="D2768" s="275" t="s">
        <v>15438</v>
      </c>
      <c r="E2768" s="301">
        <v>2222.6</v>
      </c>
      <c r="F2768" s="303">
        <v>43029</v>
      </c>
      <c r="G2768" s="301">
        <v>2222.6</v>
      </c>
      <c r="H2768" s="301">
        <f>Tabla15[[#This Row],[Importe]]-Tabla15[[#This Row],[Pagado]]</f>
        <v>0</v>
      </c>
      <c r="I2768" s="275" t="s">
        <v>15214</v>
      </c>
    </row>
    <row r="2769" spans="1:9" x14ac:dyDescent="0.25">
      <c r="A2769" s="420">
        <v>43029</v>
      </c>
      <c r="B2769" s="302" t="s">
        <v>34465</v>
      </c>
      <c r="C2769">
        <v>132332</v>
      </c>
      <c r="D2769" s="275" t="s">
        <v>15890</v>
      </c>
      <c r="E2769" s="301">
        <v>3126</v>
      </c>
      <c r="F2769" s="303">
        <v>43032</v>
      </c>
      <c r="G2769" s="301">
        <v>3126</v>
      </c>
      <c r="H2769" s="301">
        <f>Tabla15[[#This Row],[Importe]]-Tabla15[[#This Row],[Pagado]]</f>
        <v>0</v>
      </c>
      <c r="I2769" s="275" t="s">
        <v>15214</v>
      </c>
    </row>
    <row r="2770" spans="1:9" x14ac:dyDescent="0.25">
      <c r="A2770" s="420">
        <v>43029</v>
      </c>
      <c r="B2770" s="302" t="s">
        <v>34466</v>
      </c>
      <c r="C2770">
        <v>132333</v>
      </c>
      <c r="D2770" s="275" t="s">
        <v>15624</v>
      </c>
      <c r="E2770" s="301">
        <v>34632.9</v>
      </c>
      <c r="F2770" s="303">
        <v>43031</v>
      </c>
      <c r="G2770" s="301">
        <v>34632.9</v>
      </c>
      <c r="H2770" s="301">
        <f>Tabla15[[#This Row],[Importe]]-Tabla15[[#This Row],[Pagado]]</f>
        <v>0</v>
      </c>
      <c r="I2770" s="275" t="s">
        <v>15214</v>
      </c>
    </row>
    <row r="2771" spans="1:9" x14ac:dyDescent="0.25">
      <c r="A2771" s="420">
        <v>43029</v>
      </c>
      <c r="B2771" s="302" t="s">
        <v>34467</v>
      </c>
      <c r="C2771">
        <v>132334</v>
      </c>
      <c r="D2771" s="275" t="s">
        <v>15267</v>
      </c>
      <c r="E2771" s="301">
        <v>8492</v>
      </c>
      <c r="F2771" s="303">
        <v>43029</v>
      </c>
      <c r="G2771" s="301">
        <v>8492</v>
      </c>
      <c r="H2771" s="301">
        <f>Tabla15[[#This Row],[Importe]]-Tabla15[[#This Row],[Pagado]]</f>
        <v>0</v>
      </c>
      <c r="I2771" s="275" t="s">
        <v>15214</v>
      </c>
    </row>
    <row r="2772" spans="1:9" x14ac:dyDescent="0.25">
      <c r="A2772" s="420">
        <v>43029</v>
      </c>
      <c r="B2772" s="302" t="s">
        <v>34468</v>
      </c>
      <c r="C2772">
        <v>132335</v>
      </c>
      <c r="D2772" s="275" t="s">
        <v>15987</v>
      </c>
      <c r="E2772" s="301">
        <v>592.79999999999995</v>
      </c>
      <c r="F2772" s="303">
        <v>43029</v>
      </c>
      <c r="G2772" s="301">
        <v>592.79999999999995</v>
      </c>
      <c r="H2772" s="301">
        <f>Tabla15[[#This Row],[Importe]]-Tabla15[[#This Row],[Pagado]]</f>
        <v>0</v>
      </c>
      <c r="I2772" s="275" t="s">
        <v>15214</v>
      </c>
    </row>
    <row r="2773" spans="1:9" x14ac:dyDescent="0.25">
      <c r="A2773" s="420">
        <v>43029</v>
      </c>
      <c r="B2773" s="302" t="s">
        <v>34469</v>
      </c>
      <c r="C2773">
        <v>132336</v>
      </c>
      <c r="D2773" s="275" t="s">
        <v>15407</v>
      </c>
      <c r="E2773" s="301">
        <v>570</v>
      </c>
      <c r="F2773" s="303">
        <v>43029</v>
      </c>
      <c r="G2773" s="301">
        <v>570</v>
      </c>
      <c r="H2773" s="301">
        <f>Tabla15[[#This Row],[Importe]]-Tabla15[[#This Row],[Pagado]]</f>
        <v>0</v>
      </c>
      <c r="I2773" s="275" t="s">
        <v>15214</v>
      </c>
    </row>
    <row r="2774" spans="1:9" x14ac:dyDescent="0.25">
      <c r="A2774" s="420">
        <v>43029</v>
      </c>
      <c r="B2774" s="302" t="s">
        <v>34470</v>
      </c>
      <c r="C2774">
        <v>132337</v>
      </c>
      <c r="D2774" s="275" t="s">
        <v>15315</v>
      </c>
      <c r="E2774" s="301">
        <v>6475.1</v>
      </c>
      <c r="F2774" s="303">
        <v>43029</v>
      </c>
      <c r="G2774" s="301">
        <v>6475.1</v>
      </c>
      <c r="H2774" s="301">
        <f>Tabla15[[#This Row],[Importe]]-Tabla15[[#This Row],[Pagado]]</f>
        <v>0</v>
      </c>
      <c r="I2774" s="275" t="s">
        <v>15214</v>
      </c>
    </row>
    <row r="2775" spans="1:9" x14ac:dyDescent="0.25">
      <c r="A2775" s="420">
        <v>43029</v>
      </c>
      <c r="B2775" s="302" t="s">
        <v>34471</v>
      </c>
      <c r="C2775">
        <v>132338</v>
      </c>
      <c r="D2775" s="275" t="s">
        <v>15294</v>
      </c>
      <c r="E2775" s="301">
        <v>918</v>
      </c>
      <c r="F2775" s="303">
        <v>43029</v>
      </c>
      <c r="G2775" s="301">
        <v>918</v>
      </c>
      <c r="H2775" s="301">
        <f>Tabla15[[#This Row],[Importe]]-Tabla15[[#This Row],[Pagado]]</f>
        <v>0</v>
      </c>
      <c r="I2775" s="275" t="s">
        <v>15214</v>
      </c>
    </row>
    <row r="2776" spans="1:9" x14ac:dyDescent="0.25">
      <c r="A2776" s="420">
        <v>43029</v>
      </c>
      <c r="B2776" s="302" t="s">
        <v>34472</v>
      </c>
      <c r="C2776">
        <v>132339</v>
      </c>
      <c r="D2776" s="275" t="s">
        <v>15294</v>
      </c>
      <c r="E2776" s="301">
        <v>33825.4</v>
      </c>
      <c r="F2776" s="303">
        <v>43030</v>
      </c>
      <c r="G2776" s="301">
        <v>33825.4</v>
      </c>
      <c r="H2776" s="301">
        <f>Tabla15[[#This Row],[Importe]]-Tabla15[[#This Row],[Pagado]]</f>
        <v>0</v>
      </c>
      <c r="I2776" s="275" t="s">
        <v>15214</v>
      </c>
    </row>
    <row r="2777" spans="1:9" x14ac:dyDescent="0.25">
      <c r="A2777" s="420">
        <v>43029</v>
      </c>
      <c r="B2777" s="302" t="s">
        <v>34473</v>
      </c>
      <c r="C2777">
        <v>132340</v>
      </c>
      <c r="D2777" s="275" t="s">
        <v>15284</v>
      </c>
      <c r="E2777" s="301">
        <v>1122.0999999999999</v>
      </c>
      <c r="F2777" s="303">
        <v>43029</v>
      </c>
      <c r="G2777" s="301">
        <v>1122.0999999999999</v>
      </c>
      <c r="H2777" s="301">
        <f>Tabla15[[#This Row],[Importe]]-Tabla15[[#This Row],[Pagado]]</f>
        <v>0</v>
      </c>
      <c r="I2777" s="275" t="s">
        <v>15214</v>
      </c>
    </row>
    <row r="2778" spans="1:9" x14ac:dyDescent="0.25">
      <c r="A2778" s="420">
        <v>43029</v>
      </c>
      <c r="B2778" s="302" t="s">
        <v>34474</v>
      </c>
      <c r="C2778">
        <v>132341</v>
      </c>
      <c r="D2778" s="275" t="s">
        <v>15315</v>
      </c>
      <c r="E2778" s="301">
        <v>953.37</v>
      </c>
      <c r="F2778" s="303">
        <v>43029</v>
      </c>
      <c r="G2778" s="301">
        <v>953.37</v>
      </c>
      <c r="H2778" s="301">
        <f>Tabla15[[#This Row],[Importe]]-Tabla15[[#This Row],[Pagado]]</f>
        <v>0</v>
      </c>
      <c r="I2778" s="275" t="s">
        <v>15214</v>
      </c>
    </row>
    <row r="2779" spans="1:9" x14ac:dyDescent="0.25">
      <c r="A2779" s="420">
        <v>43029</v>
      </c>
      <c r="B2779" s="302" t="s">
        <v>34475</v>
      </c>
      <c r="C2779">
        <v>132342</v>
      </c>
      <c r="D2779" s="275" t="s">
        <v>17210</v>
      </c>
      <c r="E2779" s="301">
        <v>5186.6499999999996</v>
      </c>
      <c r="F2779" s="303">
        <v>43030</v>
      </c>
      <c r="G2779" s="301">
        <v>5186.6499999999996</v>
      </c>
      <c r="H2779" s="301">
        <f>Tabla15[[#This Row],[Importe]]-Tabla15[[#This Row],[Pagado]]</f>
        <v>0</v>
      </c>
      <c r="I2779" s="275" t="s">
        <v>15214</v>
      </c>
    </row>
    <row r="2780" spans="1:9" x14ac:dyDescent="0.25">
      <c r="A2780" s="420">
        <v>43029</v>
      </c>
      <c r="B2780" s="302" t="s">
        <v>34476</v>
      </c>
      <c r="C2780">
        <v>132343</v>
      </c>
      <c r="D2780" s="275" t="s">
        <v>15315</v>
      </c>
      <c r="E2780" s="301">
        <v>200</v>
      </c>
      <c r="F2780" s="303">
        <v>43029</v>
      </c>
      <c r="G2780" s="301">
        <v>200</v>
      </c>
      <c r="H2780" s="301">
        <f>Tabla15[[#This Row],[Importe]]-Tabla15[[#This Row],[Pagado]]</f>
        <v>0</v>
      </c>
      <c r="I2780" s="275" t="s">
        <v>15214</v>
      </c>
    </row>
    <row r="2781" spans="1:9" x14ac:dyDescent="0.25">
      <c r="A2781" s="420">
        <v>43029</v>
      </c>
      <c r="B2781" s="302" t="s">
        <v>34477</v>
      </c>
      <c r="C2781">
        <v>132344</v>
      </c>
      <c r="D2781" s="275" t="s">
        <v>19699</v>
      </c>
      <c r="E2781" s="301">
        <v>1200</v>
      </c>
      <c r="F2781" s="303">
        <v>43029</v>
      </c>
      <c r="G2781" s="301">
        <v>1200</v>
      </c>
      <c r="H2781" s="301">
        <f>Tabla15[[#This Row],[Importe]]-Tabla15[[#This Row],[Pagado]]</f>
        <v>0</v>
      </c>
      <c r="I2781" s="275" t="s">
        <v>15214</v>
      </c>
    </row>
    <row r="2782" spans="1:9" x14ac:dyDescent="0.25">
      <c r="A2782" s="420">
        <v>43029</v>
      </c>
      <c r="B2782" s="302" t="s">
        <v>34478</v>
      </c>
      <c r="C2782">
        <v>132345</v>
      </c>
      <c r="D2782" s="275" t="s">
        <v>15315</v>
      </c>
      <c r="E2782" s="301">
        <v>369</v>
      </c>
      <c r="F2782" s="303">
        <v>43029</v>
      </c>
      <c r="G2782" s="301">
        <v>369</v>
      </c>
      <c r="H2782" s="301">
        <f>Tabla15[[#This Row],[Importe]]-Tabla15[[#This Row],[Pagado]]</f>
        <v>0</v>
      </c>
      <c r="I2782" s="275" t="s">
        <v>15214</v>
      </c>
    </row>
    <row r="2783" spans="1:9" x14ac:dyDescent="0.25">
      <c r="A2783" s="420">
        <v>43029</v>
      </c>
      <c r="B2783" s="302" t="s">
        <v>34479</v>
      </c>
      <c r="C2783">
        <v>132346</v>
      </c>
      <c r="D2783" s="275" t="s">
        <v>15322</v>
      </c>
      <c r="E2783" s="301">
        <v>4466.6000000000004</v>
      </c>
      <c r="F2783" s="303">
        <v>43039</v>
      </c>
      <c r="G2783" s="301">
        <v>4466.6000000000004</v>
      </c>
      <c r="H2783" s="301">
        <f>Tabla15[[#This Row],[Importe]]-Tabla15[[#This Row],[Pagado]]</f>
        <v>0</v>
      </c>
      <c r="I2783" s="275" t="s">
        <v>15214</v>
      </c>
    </row>
    <row r="2784" spans="1:9" x14ac:dyDescent="0.25">
      <c r="A2784" s="420">
        <v>43029</v>
      </c>
      <c r="B2784" s="302" t="s">
        <v>34480</v>
      </c>
      <c r="C2784">
        <v>132347</v>
      </c>
      <c r="D2784" s="275" t="s">
        <v>15655</v>
      </c>
      <c r="E2784" s="301">
        <v>5532</v>
      </c>
      <c r="F2784" s="303">
        <v>43029</v>
      </c>
      <c r="G2784" s="301">
        <v>5532</v>
      </c>
      <c r="H2784" s="301">
        <f>Tabla15[[#This Row],[Importe]]-Tabla15[[#This Row],[Pagado]]</f>
        <v>0</v>
      </c>
      <c r="I2784" s="275" t="s">
        <v>15214</v>
      </c>
    </row>
    <row r="2785" spans="1:9" x14ac:dyDescent="0.25">
      <c r="A2785" s="420">
        <v>43029</v>
      </c>
      <c r="B2785" s="302" t="s">
        <v>34481</v>
      </c>
      <c r="C2785">
        <v>132348</v>
      </c>
      <c r="D2785" s="275" t="s">
        <v>15213</v>
      </c>
      <c r="E2785" s="301">
        <v>3827.2</v>
      </c>
      <c r="F2785" s="303">
        <v>43030</v>
      </c>
      <c r="G2785" s="301">
        <v>3827.2</v>
      </c>
      <c r="H2785" s="301">
        <f>Tabla15[[#This Row],[Importe]]-Tabla15[[#This Row],[Pagado]]</f>
        <v>0</v>
      </c>
      <c r="I2785" s="275" t="s">
        <v>15214</v>
      </c>
    </row>
    <row r="2786" spans="1:9" x14ac:dyDescent="0.25">
      <c r="A2786" s="420">
        <v>43029</v>
      </c>
      <c r="B2786" s="302" t="s">
        <v>34482</v>
      </c>
      <c r="C2786">
        <v>132349</v>
      </c>
      <c r="D2786" s="275" t="s">
        <v>16023</v>
      </c>
      <c r="E2786" s="301">
        <v>1187</v>
      </c>
      <c r="F2786" s="303">
        <v>43029</v>
      </c>
      <c r="G2786" s="301">
        <v>1187</v>
      </c>
      <c r="H2786" s="301">
        <f>Tabla15[[#This Row],[Importe]]-Tabla15[[#This Row],[Pagado]]</f>
        <v>0</v>
      </c>
      <c r="I2786" s="275" t="s">
        <v>15214</v>
      </c>
    </row>
    <row r="2787" spans="1:9" x14ac:dyDescent="0.25">
      <c r="A2787" s="420">
        <v>43029</v>
      </c>
      <c r="B2787" s="302" t="s">
        <v>34483</v>
      </c>
      <c r="C2787">
        <v>132350</v>
      </c>
      <c r="D2787" s="275" t="s">
        <v>15789</v>
      </c>
      <c r="E2787" s="301">
        <v>31418.6</v>
      </c>
      <c r="F2787" s="303">
        <v>43036</v>
      </c>
      <c r="G2787" s="301">
        <v>31418.6</v>
      </c>
      <c r="H2787" s="301">
        <f>Tabla15[[#This Row],[Importe]]-Tabla15[[#This Row],[Pagado]]</f>
        <v>0</v>
      </c>
      <c r="I2787" s="275" t="s">
        <v>15214</v>
      </c>
    </row>
    <row r="2788" spans="1:9" x14ac:dyDescent="0.25">
      <c r="A2788" s="420">
        <v>43029</v>
      </c>
      <c r="B2788" s="302" t="s">
        <v>34484</v>
      </c>
      <c r="C2788">
        <v>132351</v>
      </c>
      <c r="D2788" s="275" t="s">
        <v>15246</v>
      </c>
      <c r="E2788" s="301">
        <v>76090.95</v>
      </c>
      <c r="F2788" s="303">
        <v>43032</v>
      </c>
      <c r="G2788" s="301">
        <v>76090.95</v>
      </c>
      <c r="H2788" s="301">
        <f>Tabla15[[#This Row],[Importe]]-Tabla15[[#This Row],[Pagado]]</f>
        <v>0</v>
      </c>
      <c r="I2788" s="275" t="s">
        <v>15214</v>
      </c>
    </row>
    <row r="2789" spans="1:9" x14ac:dyDescent="0.25">
      <c r="A2789" s="420">
        <v>43029</v>
      </c>
      <c r="B2789" s="302" t="s">
        <v>34485</v>
      </c>
      <c r="C2789">
        <v>132352</v>
      </c>
      <c r="D2789" s="275" t="s">
        <v>15541</v>
      </c>
      <c r="E2789" s="301">
        <v>2132.8000000000002</v>
      </c>
      <c r="F2789" s="303">
        <v>43031</v>
      </c>
      <c r="G2789" s="301">
        <v>2132.8000000000002</v>
      </c>
      <c r="H2789" s="301">
        <f>Tabla15[[#This Row],[Importe]]-Tabla15[[#This Row],[Pagado]]</f>
        <v>0</v>
      </c>
      <c r="I2789" s="275" t="s">
        <v>15214</v>
      </c>
    </row>
    <row r="2790" spans="1:9" x14ac:dyDescent="0.25">
      <c r="A2790" s="420">
        <v>43029</v>
      </c>
      <c r="B2790" s="302" t="s">
        <v>34486</v>
      </c>
      <c r="C2790">
        <v>132353</v>
      </c>
      <c r="D2790" s="275" t="s">
        <v>15636</v>
      </c>
      <c r="E2790" s="301">
        <v>12465.2</v>
      </c>
      <c r="F2790" s="303">
        <v>43031</v>
      </c>
      <c r="G2790" s="301">
        <v>12465.2</v>
      </c>
      <c r="H2790" s="301">
        <f>Tabla15[[#This Row],[Importe]]-Tabla15[[#This Row],[Pagado]]</f>
        <v>0</v>
      </c>
      <c r="I2790" s="275" t="s">
        <v>15214</v>
      </c>
    </row>
    <row r="2791" spans="1:9" x14ac:dyDescent="0.25">
      <c r="A2791" s="420">
        <v>43029</v>
      </c>
      <c r="B2791" s="302" t="s">
        <v>34487</v>
      </c>
      <c r="C2791">
        <v>132354</v>
      </c>
      <c r="D2791" s="275" t="s">
        <v>15920</v>
      </c>
      <c r="E2791" s="301">
        <v>10478.4</v>
      </c>
      <c r="F2791" s="303">
        <v>43029</v>
      </c>
      <c r="G2791" s="301">
        <v>10478.4</v>
      </c>
      <c r="H2791" s="301">
        <f>Tabla15[[#This Row],[Importe]]-Tabla15[[#This Row],[Pagado]]</f>
        <v>0</v>
      </c>
      <c r="I2791" s="275" t="s">
        <v>15214</v>
      </c>
    </row>
    <row r="2792" spans="1:9" x14ac:dyDescent="0.25">
      <c r="A2792" s="420">
        <v>43029</v>
      </c>
      <c r="B2792" s="302" t="s">
        <v>34488</v>
      </c>
      <c r="C2792">
        <v>132355</v>
      </c>
      <c r="D2792" s="275" t="s">
        <v>15642</v>
      </c>
      <c r="E2792" s="301">
        <v>9968.7000000000007</v>
      </c>
      <c r="F2792" s="303">
        <v>43029</v>
      </c>
      <c r="G2792" s="301">
        <v>9968.7000000000007</v>
      </c>
      <c r="H2792" s="301">
        <f>Tabla15[[#This Row],[Importe]]-Tabla15[[#This Row],[Pagado]]</f>
        <v>0</v>
      </c>
      <c r="I2792" s="275" t="s">
        <v>15214</v>
      </c>
    </row>
    <row r="2793" spans="1:9" x14ac:dyDescent="0.25">
      <c r="A2793" s="420">
        <v>43029</v>
      </c>
      <c r="B2793" s="302" t="s">
        <v>34489</v>
      </c>
      <c r="C2793">
        <v>132356</v>
      </c>
      <c r="D2793" s="275" t="s">
        <v>15315</v>
      </c>
      <c r="E2793" s="301">
        <v>4348.6000000000004</v>
      </c>
      <c r="F2793" s="303">
        <v>43029</v>
      </c>
      <c r="G2793" s="301">
        <v>4348.6000000000004</v>
      </c>
      <c r="H2793" s="301">
        <f>Tabla15[[#This Row],[Importe]]-Tabla15[[#This Row],[Pagado]]</f>
        <v>0</v>
      </c>
      <c r="I2793" s="275" t="s">
        <v>15214</v>
      </c>
    </row>
    <row r="2794" spans="1:9" x14ac:dyDescent="0.25">
      <c r="A2794" s="420">
        <v>43029</v>
      </c>
      <c r="B2794" s="302" t="s">
        <v>34490</v>
      </c>
      <c r="C2794">
        <v>132357</v>
      </c>
      <c r="D2794" s="275" t="s">
        <v>15681</v>
      </c>
      <c r="E2794" s="301">
        <v>2830</v>
      </c>
      <c r="F2794" s="303">
        <v>43029</v>
      </c>
      <c r="G2794" s="301">
        <v>2830</v>
      </c>
      <c r="H2794" s="301">
        <f>Tabla15[[#This Row],[Importe]]-Tabla15[[#This Row],[Pagado]]</f>
        <v>0</v>
      </c>
      <c r="I2794" s="275" t="s">
        <v>15214</v>
      </c>
    </row>
    <row r="2795" spans="1:9" ht="30" x14ac:dyDescent="0.25">
      <c r="A2795" s="420">
        <v>43029</v>
      </c>
      <c r="B2795" s="302" t="s">
        <v>34491</v>
      </c>
      <c r="C2795">
        <v>132358</v>
      </c>
      <c r="D2795" s="275" t="s">
        <v>15246</v>
      </c>
      <c r="E2795" s="301">
        <v>463189.33</v>
      </c>
      <c r="F2795" s="303" t="s">
        <v>34492</v>
      </c>
      <c r="G2795" s="305">
        <f>218588.77+244600.56</f>
        <v>463189.32999999996</v>
      </c>
      <c r="H2795" s="305">
        <f>Tabla15[[#This Row],[Importe]]-Tabla15[[#This Row],[Pagado]]</f>
        <v>0</v>
      </c>
      <c r="I2795" s="275" t="s">
        <v>15214</v>
      </c>
    </row>
    <row r="2796" spans="1:9" x14ac:dyDescent="0.25">
      <c r="A2796" s="420">
        <v>43029</v>
      </c>
      <c r="B2796" s="302" t="s">
        <v>34493</v>
      </c>
      <c r="C2796">
        <v>132359</v>
      </c>
      <c r="D2796" s="275" t="s">
        <v>15246</v>
      </c>
      <c r="E2796" s="301">
        <v>58799.6</v>
      </c>
      <c r="F2796" s="303">
        <v>43033</v>
      </c>
      <c r="G2796" s="301">
        <v>58799.6</v>
      </c>
      <c r="H2796" s="301">
        <f>Tabla15[[#This Row],[Importe]]-Tabla15[[#This Row],[Pagado]]</f>
        <v>0</v>
      </c>
      <c r="I2796" s="275" t="s">
        <v>15214</v>
      </c>
    </row>
    <row r="2797" spans="1:9" x14ac:dyDescent="0.25">
      <c r="A2797" s="420">
        <v>43029</v>
      </c>
      <c r="B2797" s="302" t="s">
        <v>34494</v>
      </c>
      <c r="C2797">
        <v>132360</v>
      </c>
      <c r="D2797" s="275" t="s">
        <v>15220</v>
      </c>
      <c r="E2797" s="301">
        <v>4830</v>
      </c>
      <c r="F2797" s="303">
        <v>43031</v>
      </c>
      <c r="G2797" s="301">
        <v>4830</v>
      </c>
      <c r="H2797" s="301">
        <f>Tabla15[[#This Row],[Importe]]-Tabla15[[#This Row],[Pagado]]</f>
        <v>0</v>
      </c>
      <c r="I2797" s="275" t="s">
        <v>15214</v>
      </c>
    </row>
    <row r="2798" spans="1:9" x14ac:dyDescent="0.25">
      <c r="A2798" s="420">
        <v>43029</v>
      </c>
      <c r="B2798" s="302" t="s">
        <v>34495</v>
      </c>
      <c r="C2798">
        <v>132361</v>
      </c>
      <c r="D2798" s="275" t="s">
        <v>15407</v>
      </c>
      <c r="E2798" s="301">
        <v>500</v>
      </c>
      <c r="F2798" s="303">
        <v>43032</v>
      </c>
      <c r="G2798" s="301">
        <v>500</v>
      </c>
      <c r="H2798" s="301">
        <f>Tabla15[[#This Row],[Importe]]-Tabla15[[#This Row],[Pagado]]</f>
        <v>0</v>
      </c>
      <c r="I2798" s="275" t="s">
        <v>15214</v>
      </c>
    </row>
    <row r="2799" spans="1:9" x14ac:dyDescent="0.25">
      <c r="A2799" s="420">
        <v>43030</v>
      </c>
      <c r="B2799" s="302" t="s">
        <v>34496</v>
      </c>
      <c r="C2799">
        <v>132362</v>
      </c>
      <c r="D2799" s="275" t="s">
        <v>15213</v>
      </c>
      <c r="E2799" s="301">
        <v>42438.75</v>
      </c>
      <c r="F2799" s="303">
        <v>43031</v>
      </c>
      <c r="G2799" s="301">
        <v>42438.75</v>
      </c>
      <c r="H2799" s="301">
        <f>Tabla15[[#This Row],[Importe]]-Tabla15[[#This Row],[Pagado]]</f>
        <v>0</v>
      </c>
      <c r="I2799" s="275" t="s">
        <v>15214</v>
      </c>
    </row>
    <row r="2800" spans="1:9" x14ac:dyDescent="0.25">
      <c r="A2800" s="420">
        <v>43030</v>
      </c>
      <c r="B2800" s="302" t="s">
        <v>34497</v>
      </c>
      <c r="C2800">
        <v>132363</v>
      </c>
      <c r="D2800" s="275" t="s">
        <v>15668</v>
      </c>
      <c r="E2800" s="301">
        <v>15840.1</v>
      </c>
      <c r="F2800" s="303">
        <v>43031</v>
      </c>
      <c r="G2800" s="301">
        <v>15840.1</v>
      </c>
      <c r="H2800" s="301">
        <f>Tabla15[[#This Row],[Importe]]-Tabla15[[#This Row],[Pagado]]</f>
        <v>0</v>
      </c>
      <c r="I2800" s="275" t="s">
        <v>15214</v>
      </c>
    </row>
    <row r="2801" spans="1:9" x14ac:dyDescent="0.25">
      <c r="A2801" s="420">
        <v>43030</v>
      </c>
      <c r="B2801" s="302" t="s">
        <v>34498</v>
      </c>
      <c r="C2801">
        <v>132364</v>
      </c>
      <c r="D2801" s="275" t="s">
        <v>15242</v>
      </c>
      <c r="E2801" s="301">
        <v>10314</v>
      </c>
      <c r="F2801" s="303">
        <v>43030</v>
      </c>
      <c r="G2801" s="301">
        <v>10314</v>
      </c>
      <c r="H2801" s="301">
        <f>Tabla15[[#This Row],[Importe]]-Tabla15[[#This Row],[Pagado]]</f>
        <v>0</v>
      </c>
      <c r="I2801" s="275" t="s">
        <v>15214</v>
      </c>
    </row>
    <row r="2802" spans="1:9" x14ac:dyDescent="0.25">
      <c r="A2802" s="420">
        <v>43030</v>
      </c>
      <c r="B2802" s="302" t="s">
        <v>34499</v>
      </c>
      <c r="C2802">
        <v>132365</v>
      </c>
      <c r="D2802" s="275" t="s">
        <v>21386</v>
      </c>
      <c r="E2802" s="301">
        <v>9812.2000000000007</v>
      </c>
      <c r="F2802" s="303">
        <v>43031</v>
      </c>
      <c r="G2802" s="301">
        <v>9812.2000000000007</v>
      </c>
      <c r="H2802" s="301">
        <f>Tabla15[[#This Row],[Importe]]-Tabla15[[#This Row],[Pagado]]</f>
        <v>0</v>
      </c>
      <c r="I2802" s="275" t="s">
        <v>15214</v>
      </c>
    </row>
    <row r="2803" spans="1:9" x14ac:dyDescent="0.25">
      <c r="A2803" s="420">
        <v>43030</v>
      </c>
      <c r="B2803" s="302" t="s">
        <v>34500</v>
      </c>
      <c r="C2803">
        <v>132366</v>
      </c>
      <c r="D2803" s="275" t="s">
        <v>15272</v>
      </c>
      <c r="E2803" s="301">
        <v>28379.599999999999</v>
      </c>
      <c r="F2803" s="303">
        <v>43030</v>
      </c>
      <c r="G2803" s="301">
        <v>28379.599999999999</v>
      </c>
      <c r="H2803" s="301">
        <f>Tabla15[[#This Row],[Importe]]-Tabla15[[#This Row],[Pagado]]</f>
        <v>0</v>
      </c>
      <c r="I2803" s="275" t="s">
        <v>15214</v>
      </c>
    </row>
    <row r="2804" spans="1:9" x14ac:dyDescent="0.25">
      <c r="A2804" s="420">
        <v>43030</v>
      </c>
      <c r="B2804" s="302" t="s">
        <v>34501</v>
      </c>
      <c r="C2804">
        <v>132367</v>
      </c>
      <c r="D2804" s="275" t="s">
        <v>15487</v>
      </c>
      <c r="E2804" s="301">
        <v>11893.5</v>
      </c>
      <c r="F2804" s="303">
        <v>43030</v>
      </c>
      <c r="G2804" s="301">
        <v>11893.5</v>
      </c>
      <c r="H2804" s="301">
        <f>Tabla15[[#This Row],[Importe]]-Tabla15[[#This Row],[Pagado]]</f>
        <v>0</v>
      </c>
      <c r="I2804" s="275" t="s">
        <v>15214</v>
      </c>
    </row>
    <row r="2805" spans="1:9" x14ac:dyDescent="0.25">
      <c r="A2805" s="420">
        <v>43030</v>
      </c>
      <c r="B2805" s="302" t="s">
        <v>34502</v>
      </c>
      <c r="C2805">
        <v>132368</v>
      </c>
      <c r="D2805" s="275" t="s">
        <v>16249</v>
      </c>
      <c r="E2805" s="301">
        <v>2113.8000000000002</v>
      </c>
      <c r="F2805" s="303">
        <v>43030</v>
      </c>
      <c r="G2805" s="301">
        <v>2113.8000000000002</v>
      </c>
      <c r="H2805" s="301">
        <f>Tabla15[[#This Row],[Importe]]-Tabla15[[#This Row],[Pagado]]</f>
        <v>0</v>
      </c>
      <c r="I2805" s="275" t="s">
        <v>15214</v>
      </c>
    </row>
    <row r="2806" spans="1:9" x14ac:dyDescent="0.25">
      <c r="A2806" s="420">
        <v>43030</v>
      </c>
      <c r="B2806" s="302" t="s">
        <v>34503</v>
      </c>
      <c r="C2806">
        <v>132369</v>
      </c>
      <c r="D2806" s="275" t="s">
        <v>17462</v>
      </c>
      <c r="E2806" s="301">
        <v>7862.2</v>
      </c>
      <c r="F2806" s="303">
        <v>43030</v>
      </c>
      <c r="G2806" s="301">
        <v>7862.2</v>
      </c>
      <c r="H2806" s="301">
        <f>Tabla15[[#This Row],[Importe]]-Tabla15[[#This Row],[Pagado]]</f>
        <v>0</v>
      </c>
      <c r="I2806" s="275" t="s">
        <v>15214</v>
      </c>
    </row>
    <row r="2807" spans="1:9" x14ac:dyDescent="0.25">
      <c r="A2807" s="420">
        <v>43030</v>
      </c>
      <c r="B2807" s="302" t="s">
        <v>34504</v>
      </c>
      <c r="C2807">
        <v>132370</v>
      </c>
      <c r="D2807" s="275" t="s">
        <v>19302</v>
      </c>
      <c r="E2807" s="301">
        <v>720</v>
      </c>
      <c r="F2807" s="303">
        <v>43030</v>
      </c>
      <c r="G2807" s="301">
        <v>720</v>
      </c>
      <c r="H2807" s="301">
        <f>Tabla15[[#This Row],[Importe]]-Tabla15[[#This Row],[Pagado]]</f>
        <v>0</v>
      </c>
      <c r="I2807" s="275" t="s">
        <v>15214</v>
      </c>
    </row>
    <row r="2808" spans="1:9" x14ac:dyDescent="0.25">
      <c r="A2808" s="420">
        <v>43030</v>
      </c>
      <c r="B2808" s="302" t="s">
        <v>34505</v>
      </c>
      <c r="C2808">
        <v>132371</v>
      </c>
      <c r="D2808" s="275" t="s">
        <v>15596</v>
      </c>
      <c r="E2808" s="301">
        <v>1200</v>
      </c>
      <c r="F2808" s="303">
        <v>43030</v>
      </c>
      <c r="G2808" s="301">
        <v>1200</v>
      </c>
      <c r="H2808" s="301">
        <f>Tabla15[[#This Row],[Importe]]-Tabla15[[#This Row],[Pagado]]</f>
        <v>0</v>
      </c>
      <c r="I2808" s="275" t="s">
        <v>15214</v>
      </c>
    </row>
    <row r="2809" spans="1:9" x14ac:dyDescent="0.25">
      <c r="A2809" s="420">
        <v>43030</v>
      </c>
      <c r="B2809" s="302" t="s">
        <v>34506</v>
      </c>
      <c r="C2809">
        <v>132372</v>
      </c>
      <c r="D2809" s="275" t="s">
        <v>15810</v>
      </c>
      <c r="E2809" s="301">
        <v>532.1</v>
      </c>
      <c r="F2809" s="303">
        <v>43030</v>
      </c>
      <c r="G2809" s="301">
        <v>532.1</v>
      </c>
      <c r="H2809" s="301">
        <f>Tabla15[[#This Row],[Importe]]-Tabla15[[#This Row],[Pagado]]</f>
        <v>0</v>
      </c>
      <c r="I2809" s="275" t="s">
        <v>15214</v>
      </c>
    </row>
    <row r="2810" spans="1:9" x14ac:dyDescent="0.25">
      <c r="A2810" s="420">
        <v>43030</v>
      </c>
      <c r="B2810" s="302" t="s">
        <v>34507</v>
      </c>
      <c r="C2810">
        <v>132373</v>
      </c>
      <c r="D2810" s="275" t="s">
        <v>15324</v>
      </c>
      <c r="E2810" s="301">
        <v>1674</v>
      </c>
      <c r="F2810" s="303">
        <v>43030</v>
      </c>
      <c r="G2810" s="301">
        <v>1674</v>
      </c>
      <c r="H2810" s="301">
        <f>Tabla15[[#This Row],[Importe]]-Tabla15[[#This Row],[Pagado]]</f>
        <v>0</v>
      </c>
      <c r="I2810" s="275" t="s">
        <v>15214</v>
      </c>
    </row>
    <row r="2811" spans="1:9" ht="30" x14ac:dyDescent="0.25">
      <c r="A2811" s="420">
        <v>43030</v>
      </c>
      <c r="B2811" s="302" t="s">
        <v>34508</v>
      </c>
      <c r="C2811">
        <v>132374</v>
      </c>
      <c r="D2811" s="275" t="s">
        <v>15223</v>
      </c>
      <c r="E2811" s="301">
        <v>47702</v>
      </c>
      <c r="F2811" s="303" t="s">
        <v>35725</v>
      </c>
      <c r="G2811" s="305">
        <f>35271.98+12430.02</f>
        <v>47702</v>
      </c>
      <c r="H2811" s="305">
        <f>Tabla15[[#This Row],[Importe]]-Tabla15[[#This Row],[Pagado]]</f>
        <v>0</v>
      </c>
      <c r="I2811" s="275" t="s">
        <v>15214</v>
      </c>
    </row>
    <row r="2812" spans="1:9" x14ac:dyDescent="0.25">
      <c r="A2812" s="420">
        <v>43030</v>
      </c>
      <c r="B2812" s="302" t="s">
        <v>34509</v>
      </c>
      <c r="C2812">
        <v>132375</v>
      </c>
      <c r="D2812" s="275" t="s">
        <v>15278</v>
      </c>
      <c r="E2812" s="301">
        <v>2576.4</v>
      </c>
      <c r="F2812" s="303">
        <v>43030</v>
      </c>
      <c r="G2812" s="301">
        <v>2576.4</v>
      </c>
      <c r="H2812" s="301">
        <f>Tabla15[[#This Row],[Importe]]-Tabla15[[#This Row],[Pagado]]</f>
        <v>0</v>
      </c>
      <c r="I2812" s="275" t="s">
        <v>15214</v>
      </c>
    </row>
    <row r="2813" spans="1:9" x14ac:dyDescent="0.25">
      <c r="A2813" s="420">
        <v>43030</v>
      </c>
      <c r="B2813" s="302" t="s">
        <v>34510</v>
      </c>
      <c r="C2813">
        <v>132376</v>
      </c>
      <c r="D2813" s="275" t="s">
        <v>15305</v>
      </c>
      <c r="E2813" s="301">
        <v>759.8</v>
      </c>
      <c r="F2813" s="303">
        <v>43030</v>
      </c>
      <c r="G2813" s="301">
        <v>759.8</v>
      </c>
      <c r="H2813" s="301">
        <f>Tabla15[[#This Row],[Importe]]-Tabla15[[#This Row],[Pagado]]</f>
        <v>0</v>
      </c>
      <c r="I2813" s="275" t="s">
        <v>15214</v>
      </c>
    </row>
    <row r="2814" spans="1:9" x14ac:dyDescent="0.25">
      <c r="A2814" s="420">
        <v>43030</v>
      </c>
      <c r="B2814" s="302" t="s">
        <v>34511</v>
      </c>
      <c r="C2814">
        <v>132377</v>
      </c>
      <c r="D2814" s="275" t="s">
        <v>15725</v>
      </c>
      <c r="E2814" s="301">
        <v>5382</v>
      </c>
      <c r="F2814" s="303">
        <v>43033</v>
      </c>
      <c r="G2814" s="301">
        <v>5382</v>
      </c>
      <c r="H2814" s="301">
        <f>Tabla15[[#This Row],[Importe]]-Tabla15[[#This Row],[Pagado]]</f>
        <v>0</v>
      </c>
      <c r="I2814" s="275" t="s">
        <v>15214</v>
      </c>
    </row>
    <row r="2815" spans="1:9" x14ac:dyDescent="0.25">
      <c r="A2815" s="420">
        <v>43030</v>
      </c>
      <c r="B2815" s="302" t="s">
        <v>34512</v>
      </c>
      <c r="C2815">
        <v>132378</v>
      </c>
      <c r="D2815" s="275" t="s">
        <v>15315</v>
      </c>
      <c r="E2815" s="301">
        <v>693</v>
      </c>
      <c r="F2815" s="303">
        <v>43032</v>
      </c>
      <c r="G2815" s="301">
        <v>693</v>
      </c>
      <c r="H2815" s="301">
        <f>Tabla15[[#This Row],[Importe]]-Tabla15[[#This Row],[Pagado]]</f>
        <v>0</v>
      </c>
      <c r="I2815" s="275" t="s">
        <v>15214</v>
      </c>
    </row>
    <row r="2816" spans="1:9" x14ac:dyDescent="0.25">
      <c r="A2816" s="420">
        <v>43030</v>
      </c>
      <c r="B2816" s="302" t="s">
        <v>34513</v>
      </c>
      <c r="C2816">
        <v>132379</v>
      </c>
      <c r="D2816" s="275" t="s">
        <v>17210</v>
      </c>
      <c r="E2816" s="301">
        <v>13543.2</v>
      </c>
      <c r="F2816" s="303">
        <v>43030</v>
      </c>
      <c r="G2816" s="301">
        <v>13543.2</v>
      </c>
      <c r="H2816" s="301">
        <f>Tabla15[[#This Row],[Importe]]-Tabla15[[#This Row],[Pagado]]</f>
        <v>0</v>
      </c>
      <c r="I2816" s="275" t="s">
        <v>15214</v>
      </c>
    </row>
    <row r="2817" spans="1:9" x14ac:dyDescent="0.25">
      <c r="A2817" s="420">
        <v>43030</v>
      </c>
      <c r="B2817" s="302" t="s">
        <v>34514</v>
      </c>
      <c r="C2817">
        <v>132380</v>
      </c>
      <c r="D2817" s="275" t="s">
        <v>15549</v>
      </c>
      <c r="E2817" s="301">
        <v>121.6</v>
      </c>
      <c r="F2817" s="303">
        <v>43030</v>
      </c>
      <c r="G2817" s="301">
        <v>121.6</v>
      </c>
      <c r="H2817" s="301">
        <f>Tabla15[[#This Row],[Importe]]-Tabla15[[#This Row],[Pagado]]</f>
        <v>0</v>
      </c>
      <c r="I2817" s="275" t="s">
        <v>15214</v>
      </c>
    </row>
    <row r="2818" spans="1:9" x14ac:dyDescent="0.25">
      <c r="A2818" s="420">
        <v>43030</v>
      </c>
      <c r="B2818" s="302" t="s">
        <v>34515</v>
      </c>
      <c r="C2818">
        <v>132381</v>
      </c>
      <c r="D2818" s="275" t="s">
        <v>15340</v>
      </c>
      <c r="E2818" s="301">
        <v>11129.1</v>
      </c>
      <c r="F2818" s="303">
        <v>43030</v>
      </c>
      <c r="G2818" s="301">
        <v>11129.1</v>
      </c>
      <c r="H2818" s="301">
        <f>Tabla15[[#This Row],[Importe]]-Tabla15[[#This Row],[Pagado]]</f>
        <v>0</v>
      </c>
      <c r="I2818" s="275" t="s">
        <v>15214</v>
      </c>
    </row>
    <row r="2819" spans="1:9" x14ac:dyDescent="0.25">
      <c r="A2819" s="420">
        <v>43030</v>
      </c>
      <c r="B2819" s="302" t="s">
        <v>34516</v>
      </c>
      <c r="C2819">
        <v>132382</v>
      </c>
      <c r="D2819" s="275" t="s">
        <v>15716</v>
      </c>
      <c r="E2819" s="301">
        <v>2720.8</v>
      </c>
      <c r="F2819" s="303">
        <v>43030</v>
      </c>
      <c r="G2819" s="301">
        <v>2720.8</v>
      </c>
      <c r="H2819" s="301">
        <f>Tabla15[[#This Row],[Importe]]-Tabla15[[#This Row],[Pagado]]</f>
        <v>0</v>
      </c>
      <c r="I2819" s="275" t="s">
        <v>15214</v>
      </c>
    </row>
    <row r="2820" spans="1:9" x14ac:dyDescent="0.25">
      <c r="A2820" s="420">
        <v>43030</v>
      </c>
      <c r="B2820" s="302" t="s">
        <v>34517</v>
      </c>
      <c r="C2820">
        <v>132383</v>
      </c>
      <c r="D2820" s="275" t="s">
        <v>15361</v>
      </c>
      <c r="E2820" s="301">
        <v>9408.7999999999993</v>
      </c>
      <c r="F2820" s="303">
        <v>43031</v>
      </c>
      <c r="G2820" s="301">
        <v>9408.7999999999993</v>
      </c>
      <c r="H2820" s="301">
        <f>Tabla15[[#This Row],[Importe]]-Tabla15[[#This Row],[Pagado]]</f>
        <v>0</v>
      </c>
      <c r="I2820" s="275" t="s">
        <v>15214</v>
      </c>
    </row>
    <row r="2821" spans="1:9" x14ac:dyDescent="0.25">
      <c r="A2821" s="420">
        <v>43030</v>
      </c>
      <c r="B2821" s="302" t="s">
        <v>34518</v>
      </c>
      <c r="C2821">
        <v>132384</v>
      </c>
      <c r="D2821" s="275" t="s">
        <v>15332</v>
      </c>
      <c r="E2821" s="301">
        <v>3435.7</v>
      </c>
      <c r="F2821" s="303">
        <v>43030</v>
      </c>
      <c r="G2821" s="301">
        <v>3435.7</v>
      </c>
      <c r="H2821" s="301">
        <f>Tabla15[[#This Row],[Importe]]-Tabla15[[#This Row],[Pagado]]</f>
        <v>0</v>
      </c>
      <c r="I2821" s="275" t="s">
        <v>15214</v>
      </c>
    </row>
    <row r="2822" spans="1:9" x14ac:dyDescent="0.25">
      <c r="A2822" s="420">
        <v>43030</v>
      </c>
      <c r="B2822" s="302" t="s">
        <v>34519</v>
      </c>
      <c r="C2822">
        <v>132385</v>
      </c>
      <c r="D2822" s="275" t="s">
        <v>15358</v>
      </c>
      <c r="E2822" s="301">
        <v>1786</v>
      </c>
      <c r="F2822" s="303">
        <v>43030</v>
      </c>
      <c r="G2822" s="301">
        <v>1786</v>
      </c>
      <c r="H2822" s="301">
        <f>Tabla15[[#This Row],[Importe]]-Tabla15[[#This Row],[Pagado]]</f>
        <v>0</v>
      </c>
      <c r="I2822" s="275" t="s">
        <v>15214</v>
      </c>
    </row>
    <row r="2823" spans="1:9" x14ac:dyDescent="0.25">
      <c r="A2823" s="420">
        <v>43030</v>
      </c>
      <c r="B2823" s="302" t="s">
        <v>34520</v>
      </c>
      <c r="C2823">
        <v>132386</v>
      </c>
      <c r="D2823" s="275" t="s">
        <v>15289</v>
      </c>
      <c r="E2823" s="301">
        <v>1320</v>
      </c>
      <c r="F2823" s="303">
        <v>43030</v>
      </c>
      <c r="G2823" s="301">
        <v>1320</v>
      </c>
      <c r="H2823" s="301">
        <f>Tabla15[[#This Row],[Importe]]-Tabla15[[#This Row],[Pagado]]</f>
        <v>0</v>
      </c>
      <c r="I2823" s="275" t="s">
        <v>15214</v>
      </c>
    </row>
    <row r="2824" spans="1:9" x14ac:dyDescent="0.25">
      <c r="A2824" s="420">
        <v>43030</v>
      </c>
      <c r="B2824" s="302" t="s">
        <v>34521</v>
      </c>
      <c r="C2824">
        <v>132387</v>
      </c>
      <c r="D2824" s="275" t="s">
        <v>15385</v>
      </c>
      <c r="E2824" s="301">
        <v>11122.8</v>
      </c>
      <c r="F2824" s="303">
        <v>43031</v>
      </c>
      <c r="G2824" s="301">
        <v>11122.8</v>
      </c>
      <c r="H2824" s="301">
        <f>Tabla15[[#This Row],[Importe]]-Tabla15[[#This Row],[Pagado]]</f>
        <v>0</v>
      </c>
      <c r="I2824" s="275" t="s">
        <v>15214</v>
      </c>
    </row>
    <row r="2825" spans="1:9" x14ac:dyDescent="0.25">
      <c r="A2825" s="420">
        <v>43030</v>
      </c>
      <c r="B2825" s="302" t="s">
        <v>34522</v>
      </c>
      <c r="C2825">
        <v>132388</v>
      </c>
      <c r="D2825" s="275" t="s">
        <v>15280</v>
      </c>
      <c r="E2825" s="301">
        <v>5784.5</v>
      </c>
      <c r="F2825" s="303">
        <v>43030</v>
      </c>
      <c r="G2825" s="301">
        <v>5784.5</v>
      </c>
      <c r="H2825" s="301">
        <f>Tabla15[[#This Row],[Importe]]-Tabla15[[#This Row],[Pagado]]</f>
        <v>0</v>
      </c>
      <c r="I2825" s="275" t="s">
        <v>15214</v>
      </c>
    </row>
    <row r="2826" spans="1:9" x14ac:dyDescent="0.25">
      <c r="A2826" s="420">
        <v>43030</v>
      </c>
      <c r="B2826" s="302" t="s">
        <v>34523</v>
      </c>
      <c r="C2826">
        <v>132389</v>
      </c>
      <c r="D2826" s="275" t="s">
        <v>19776</v>
      </c>
      <c r="E2826" s="301">
        <v>5640</v>
      </c>
      <c r="F2826" s="303">
        <v>43031</v>
      </c>
      <c r="G2826" s="301">
        <v>5640</v>
      </c>
      <c r="H2826" s="301">
        <f>Tabla15[[#This Row],[Importe]]-Tabla15[[#This Row],[Pagado]]</f>
        <v>0</v>
      </c>
      <c r="I2826" s="275" t="s">
        <v>15214</v>
      </c>
    </row>
    <row r="2827" spans="1:9" x14ac:dyDescent="0.25">
      <c r="A2827" s="420">
        <v>43030</v>
      </c>
      <c r="B2827" s="302" t="s">
        <v>34524</v>
      </c>
      <c r="C2827">
        <v>132390</v>
      </c>
      <c r="D2827" s="275" t="s">
        <v>15568</v>
      </c>
      <c r="E2827" s="301">
        <v>6106</v>
      </c>
      <c r="F2827" s="303">
        <v>43031</v>
      </c>
      <c r="G2827" s="301">
        <v>6106</v>
      </c>
      <c r="H2827" s="301">
        <f>Tabla15[[#This Row],[Importe]]-Tabla15[[#This Row],[Pagado]]</f>
        <v>0</v>
      </c>
      <c r="I2827" s="275" t="s">
        <v>15214</v>
      </c>
    </row>
    <row r="2828" spans="1:9" x14ac:dyDescent="0.25">
      <c r="A2828" s="420">
        <v>43030</v>
      </c>
      <c r="B2828" s="302" t="s">
        <v>34525</v>
      </c>
      <c r="C2828">
        <v>132391</v>
      </c>
      <c r="D2828" s="275" t="s">
        <v>15378</v>
      </c>
      <c r="E2828" s="301">
        <v>5114.5</v>
      </c>
      <c r="F2828" s="303">
        <v>43030</v>
      </c>
      <c r="G2828" s="301">
        <v>5114.5</v>
      </c>
      <c r="H2828" s="301">
        <f>Tabla15[[#This Row],[Importe]]-Tabla15[[#This Row],[Pagado]]</f>
        <v>0</v>
      </c>
      <c r="I2828" s="275" t="s">
        <v>15214</v>
      </c>
    </row>
    <row r="2829" spans="1:9" x14ac:dyDescent="0.25">
      <c r="A2829" s="420">
        <v>43030</v>
      </c>
      <c r="B2829" s="302" t="s">
        <v>34526</v>
      </c>
      <c r="C2829">
        <v>132392</v>
      </c>
      <c r="D2829" s="275" t="s">
        <v>15530</v>
      </c>
      <c r="E2829" s="301">
        <v>2923.4</v>
      </c>
      <c r="F2829" s="303">
        <v>43030</v>
      </c>
      <c r="G2829" s="301">
        <v>2923.4</v>
      </c>
      <c r="H2829" s="301">
        <f>Tabla15[[#This Row],[Importe]]-Tabla15[[#This Row],[Pagado]]</f>
        <v>0</v>
      </c>
      <c r="I2829" s="275" t="s">
        <v>15214</v>
      </c>
    </row>
    <row r="2830" spans="1:9" x14ac:dyDescent="0.25">
      <c r="A2830" s="420">
        <v>43030</v>
      </c>
      <c r="B2830" s="302" t="s">
        <v>34527</v>
      </c>
      <c r="C2830">
        <v>132393</v>
      </c>
      <c r="D2830" s="275" t="s">
        <v>15252</v>
      </c>
      <c r="E2830" s="301">
        <v>6411.3</v>
      </c>
      <c r="F2830" s="303">
        <v>43031</v>
      </c>
      <c r="G2830" s="301">
        <v>6411.3</v>
      </c>
      <c r="H2830" s="301">
        <f>Tabla15[[#This Row],[Importe]]-Tabla15[[#This Row],[Pagado]]</f>
        <v>0</v>
      </c>
      <c r="I2830" s="275" t="s">
        <v>15214</v>
      </c>
    </row>
    <row r="2831" spans="1:9" x14ac:dyDescent="0.25">
      <c r="A2831" s="420">
        <v>43030</v>
      </c>
      <c r="B2831" s="302" t="s">
        <v>34528</v>
      </c>
      <c r="C2831">
        <v>132394</v>
      </c>
      <c r="D2831" s="275" t="s">
        <v>15549</v>
      </c>
      <c r="E2831" s="301">
        <v>5328.4</v>
      </c>
      <c r="F2831" s="303">
        <v>43030</v>
      </c>
      <c r="G2831" s="301">
        <v>5328.4</v>
      </c>
      <c r="H2831" s="301">
        <f>Tabla15[[#This Row],[Importe]]-Tabla15[[#This Row],[Pagado]]</f>
        <v>0</v>
      </c>
      <c r="I2831" s="275" t="s">
        <v>15214</v>
      </c>
    </row>
    <row r="2832" spans="1:9" x14ac:dyDescent="0.25">
      <c r="A2832" s="420">
        <v>43030</v>
      </c>
      <c r="B2832" s="302" t="s">
        <v>34529</v>
      </c>
      <c r="C2832">
        <v>132395</v>
      </c>
      <c r="D2832" s="275" t="s">
        <v>23937</v>
      </c>
      <c r="E2832" s="301">
        <v>3068.4</v>
      </c>
      <c r="F2832" s="303">
        <v>43030</v>
      </c>
      <c r="G2832" s="301">
        <v>3068.4</v>
      </c>
      <c r="H2832" s="301">
        <f>Tabla15[[#This Row],[Importe]]-Tabla15[[#This Row],[Pagado]]</f>
        <v>0</v>
      </c>
      <c r="I2832" s="275" t="s">
        <v>15214</v>
      </c>
    </row>
    <row r="2833" spans="1:9" x14ac:dyDescent="0.25">
      <c r="A2833" s="420">
        <v>43030</v>
      </c>
      <c r="B2833" s="302" t="s">
        <v>34530</v>
      </c>
      <c r="C2833">
        <v>132396</v>
      </c>
      <c r="D2833" s="275" t="s">
        <v>15244</v>
      </c>
      <c r="E2833" s="301">
        <v>16666.25</v>
      </c>
      <c r="F2833" s="303">
        <v>43032</v>
      </c>
      <c r="G2833" s="301">
        <v>16666.25</v>
      </c>
      <c r="H2833" s="301">
        <f>Tabla15[[#This Row],[Importe]]-Tabla15[[#This Row],[Pagado]]</f>
        <v>0</v>
      </c>
      <c r="I2833" s="275" t="s">
        <v>15214</v>
      </c>
    </row>
    <row r="2834" spans="1:9" x14ac:dyDescent="0.25">
      <c r="A2834" s="420">
        <v>43030</v>
      </c>
      <c r="B2834" s="302" t="s">
        <v>34531</v>
      </c>
      <c r="C2834">
        <v>132397</v>
      </c>
      <c r="D2834" s="275" t="s">
        <v>15254</v>
      </c>
      <c r="E2834" s="301">
        <v>18853.599999999999</v>
      </c>
      <c r="F2834" s="303">
        <v>43031</v>
      </c>
      <c r="G2834" s="301">
        <v>18853.599999999999</v>
      </c>
      <c r="H2834" s="301">
        <f>Tabla15[[#This Row],[Importe]]-Tabla15[[#This Row],[Pagado]]</f>
        <v>0</v>
      </c>
      <c r="I2834" s="275" t="s">
        <v>15214</v>
      </c>
    </row>
    <row r="2835" spans="1:9" x14ac:dyDescent="0.25">
      <c r="A2835" s="420">
        <v>43030</v>
      </c>
      <c r="B2835" s="302" t="s">
        <v>34532</v>
      </c>
      <c r="C2835">
        <v>132398</v>
      </c>
      <c r="D2835" s="275" t="s">
        <v>15246</v>
      </c>
      <c r="E2835" s="301">
        <v>1964.7</v>
      </c>
      <c r="F2835" s="303">
        <v>43033</v>
      </c>
      <c r="G2835" s="301">
        <v>1964.7</v>
      </c>
      <c r="H2835" s="301">
        <f>Tabla15[[#This Row],[Importe]]-Tabla15[[#This Row],[Pagado]]</f>
        <v>0</v>
      </c>
      <c r="I2835" s="275" t="s">
        <v>15214</v>
      </c>
    </row>
    <row r="2836" spans="1:9" x14ac:dyDescent="0.25">
      <c r="A2836" s="420">
        <v>43030</v>
      </c>
      <c r="B2836" s="302" t="s">
        <v>34533</v>
      </c>
      <c r="C2836">
        <v>132399</v>
      </c>
      <c r="D2836" s="275" t="s">
        <v>15398</v>
      </c>
      <c r="E2836" s="301">
        <v>3626.2</v>
      </c>
      <c r="F2836" s="303">
        <v>43030</v>
      </c>
      <c r="G2836" s="301">
        <v>3626.2</v>
      </c>
      <c r="H2836" s="301">
        <f>Tabla15[[#This Row],[Importe]]-Tabla15[[#This Row],[Pagado]]</f>
        <v>0</v>
      </c>
      <c r="I2836" s="275" t="s">
        <v>15214</v>
      </c>
    </row>
    <row r="2837" spans="1:9" x14ac:dyDescent="0.25">
      <c r="A2837" s="420">
        <v>43030</v>
      </c>
      <c r="B2837" s="302" t="s">
        <v>34534</v>
      </c>
      <c r="C2837">
        <v>132400</v>
      </c>
      <c r="D2837" s="275" t="s">
        <v>15987</v>
      </c>
      <c r="E2837" s="301">
        <v>4560</v>
      </c>
      <c r="F2837" s="303">
        <v>43030</v>
      </c>
      <c r="G2837" s="301">
        <v>4560</v>
      </c>
      <c r="H2837" s="301">
        <f>Tabla15[[#This Row],[Importe]]-Tabla15[[#This Row],[Pagado]]</f>
        <v>0</v>
      </c>
      <c r="I2837" s="275" t="s">
        <v>15214</v>
      </c>
    </row>
    <row r="2838" spans="1:9" x14ac:dyDescent="0.25">
      <c r="A2838" s="420">
        <v>43030</v>
      </c>
      <c r="B2838" s="302" t="s">
        <v>34535</v>
      </c>
      <c r="C2838">
        <v>132401</v>
      </c>
      <c r="D2838" s="275" t="s">
        <v>15334</v>
      </c>
      <c r="E2838" s="301">
        <v>1614.2</v>
      </c>
      <c r="F2838" s="303">
        <v>43030</v>
      </c>
      <c r="G2838" s="301">
        <v>1614.2</v>
      </c>
      <c r="H2838" s="301">
        <f>Tabla15[[#This Row],[Importe]]-Tabla15[[#This Row],[Pagado]]</f>
        <v>0</v>
      </c>
      <c r="I2838" s="275" t="s">
        <v>15214</v>
      </c>
    </row>
    <row r="2839" spans="1:9" x14ac:dyDescent="0.25">
      <c r="A2839" s="420">
        <v>43030</v>
      </c>
      <c r="B2839" s="302" t="s">
        <v>34536</v>
      </c>
      <c r="C2839">
        <v>132402</v>
      </c>
      <c r="D2839" s="275" t="s">
        <v>15523</v>
      </c>
      <c r="E2839" s="301">
        <v>3840</v>
      </c>
      <c r="F2839" s="303">
        <v>43030</v>
      </c>
      <c r="G2839" s="301">
        <v>3840</v>
      </c>
      <c r="H2839" s="301">
        <f>Tabla15[[#This Row],[Importe]]-Tabla15[[#This Row],[Pagado]]</f>
        <v>0</v>
      </c>
      <c r="I2839" s="275" t="s">
        <v>15214</v>
      </c>
    </row>
    <row r="2840" spans="1:9" x14ac:dyDescent="0.25">
      <c r="A2840" s="420">
        <v>43030</v>
      </c>
      <c r="B2840" s="302" t="s">
        <v>34537</v>
      </c>
      <c r="C2840">
        <v>132403</v>
      </c>
      <c r="D2840" s="275" t="s">
        <v>15263</v>
      </c>
      <c r="E2840" s="301">
        <v>2041.5</v>
      </c>
      <c r="F2840" s="303">
        <v>43030</v>
      </c>
      <c r="G2840" s="301">
        <v>2041.5</v>
      </c>
      <c r="H2840" s="301">
        <f>Tabla15[[#This Row],[Importe]]-Tabla15[[#This Row],[Pagado]]</f>
        <v>0</v>
      </c>
      <c r="I2840" s="275" t="s">
        <v>15214</v>
      </c>
    </row>
    <row r="2841" spans="1:9" x14ac:dyDescent="0.25">
      <c r="A2841" s="420">
        <v>43030</v>
      </c>
      <c r="B2841" s="302" t="s">
        <v>34538</v>
      </c>
      <c r="C2841">
        <v>132404</v>
      </c>
      <c r="D2841" s="275" t="s">
        <v>15284</v>
      </c>
      <c r="E2841" s="301">
        <v>2388.3000000000002</v>
      </c>
      <c r="F2841" s="303">
        <v>43030</v>
      </c>
      <c r="G2841" s="301">
        <v>2388.3000000000002</v>
      </c>
      <c r="H2841" s="301">
        <f>Tabla15[[#This Row],[Importe]]-Tabla15[[#This Row],[Pagado]]</f>
        <v>0</v>
      </c>
      <c r="I2841" s="275" t="s">
        <v>15214</v>
      </c>
    </row>
    <row r="2842" spans="1:9" x14ac:dyDescent="0.25">
      <c r="A2842" s="420">
        <v>43030</v>
      </c>
      <c r="B2842" s="302" t="s">
        <v>34539</v>
      </c>
      <c r="C2842">
        <v>132405</v>
      </c>
      <c r="D2842" s="275" t="s">
        <v>15328</v>
      </c>
      <c r="E2842" s="301">
        <v>1618.4</v>
      </c>
      <c r="F2842" s="303">
        <v>43038</v>
      </c>
      <c r="G2842" s="301">
        <v>1618.4</v>
      </c>
      <c r="H2842" s="301">
        <f>Tabla15[[#This Row],[Importe]]-Tabla15[[#This Row],[Pagado]]</f>
        <v>0</v>
      </c>
      <c r="I2842" s="275" t="s">
        <v>15214</v>
      </c>
    </row>
    <row r="2843" spans="1:9" x14ac:dyDescent="0.25">
      <c r="A2843" s="420">
        <v>43030</v>
      </c>
      <c r="B2843" s="302" t="s">
        <v>34540</v>
      </c>
      <c r="C2843">
        <v>132406</v>
      </c>
      <c r="D2843" s="275" t="s">
        <v>19964</v>
      </c>
      <c r="E2843" s="301">
        <v>423.3</v>
      </c>
      <c r="F2843" s="303">
        <v>43030</v>
      </c>
      <c r="G2843" s="301">
        <v>423.3</v>
      </c>
      <c r="H2843" s="301">
        <f>Tabla15[[#This Row],[Importe]]-Tabla15[[#This Row],[Pagado]]</f>
        <v>0</v>
      </c>
      <c r="I2843" s="275" t="s">
        <v>15214</v>
      </c>
    </row>
    <row r="2844" spans="1:9" x14ac:dyDescent="0.25">
      <c r="A2844" s="420">
        <v>43030</v>
      </c>
      <c r="B2844" s="302" t="s">
        <v>34541</v>
      </c>
      <c r="C2844">
        <v>132407</v>
      </c>
      <c r="D2844" s="275" t="s">
        <v>15282</v>
      </c>
      <c r="E2844" s="301">
        <v>2174.4</v>
      </c>
      <c r="F2844" s="303">
        <v>43030</v>
      </c>
      <c r="G2844" s="301">
        <v>2174.4</v>
      </c>
      <c r="H2844" s="301">
        <f>Tabla15[[#This Row],[Importe]]-Tabla15[[#This Row],[Pagado]]</f>
        <v>0</v>
      </c>
      <c r="I2844" s="275" t="s">
        <v>15214</v>
      </c>
    </row>
    <row r="2845" spans="1:9" x14ac:dyDescent="0.25">
      <c r="A2845" s="420">
        <v>43030</v>
      </c>
      <c r="B2845" s="302" t="s">
        <v>34542</v>
      </c>
      <c r="C2845">
        <v>132408</v>
      </c>
      <c r="D2845" s="275" t="s">
        <v>16126</v>
      </c>
      <c r="E2845" s="301">
        <v>1332</v>
      </c>
      <c r="F2845" s="303">
        <v>43030</v>
      </c>
      <c r="G2845" s="301">
        <v>1332</v>
      </c>
      <c r="H2845" s="301">
        <f>Tabla15[[#This Row],[Importe]]-Tabla15[[#This Row],[Pagado]]</f>
        <v>0</v>
      </c>
      <c r="I2845" s="275" t="s">
        <v>15214</v>
      </c>
    </row>
    <row r="2846" spans="1:9" x14ac:dyDescent="0.25">
      <c r="A2846" s="420">
        <v>43030</v>
      </c>
      <c r="B2846" s="302" t="s">
        <v>34543</v>
      </c>
      <c r="C2846">
        <v>132409</v>
      </c>
      <c r="D2846" s="275" t="s">
        <v>15566</v>
      </c>
      <c r="E2846" s="301">
        <v>497.8</v>
      </c>
      <c r="F2846" s="303">
        <v>43030</v>
      </c>
      <c r="G2846" s="301">
        <v>497.8</v>
      </c>
      <c r="H2846" s="301">
        <f>Tabla15[[#This Row],[Importe]]-Tabla15[[#This Row],[Pagado]]</f>
        <v>0</v>
      </c>
      <c r="I2846" s="275" t="s">
        <v>15214</v>
      </c>
    </row>
    <row r="2847" spans="1:9" x14ac:dyDescent="0.25">
      <c r="A2847" s="420">
        <v>43030</v>
      </c>
      <c r="B2847" s="302" t="s">
        <v>34544</v>
      </c>
      <c r="C2847">
        <v>132410</v>
      </c>
      <c r="D2847" s="275" t="s">
        <v>15435</v>
      </c>
      <c r="E2847" s="301">
        <v>7624.8</v>
      </c>
      <c r="F2847" s="303">
        <v>43030</v>
      </c>
      <c r="G2847" s="301">
        <v>7624.8</v>
      </c>
      <c r="H2847" s="301">
        <f>Tabla15[[#This Row],[Importe]]-Tabla15[[#This Row],[Pagado]]</f>
        <v>0</v>
      </c>
      <c r="I2847" s="275" t="s">
        <v>15214</v>
      </c>
    </row>
    <row r="2848" spans="1:9" x14ac:dyDescent="0.25">
      <c r="A2848" s="420">
        <v>43030</v>
      </c>
      <c r="B2848" s="302" t="s">
        <v>34545</v>
      </c>
      <c r="C2848">
        <v>132411</v>
      </c>
      <c r="D2848" s="275" t="s">
        <v>15541</v>
      </c>
      <c r="E2848" s="301">
        <v>940</v>
      </c>
      <c r="F2848" s="303">
        <v>43031</v>
      </c>
      <c r="G2848" s="301">
        <v>940</v>
      </c>
      <c r="H2848" s="301">
        <f>Tabla15[[#This Row],[Importe]]-Tabla15[[#This Row],[Pagado]]</f>
        <v>0</v>
      </c>
      <c r="I2848" s="275" t="s">
        <v>15214</v>
      </c>
    </row>
    <row r="2849" spans="1:9" x14ac:dyDescent="0.25">
      <c r="A2849" s="420">
        <v>43030</v>
      </c>
      <c r="B2849" s="302" t="s">
        <v>34546</v>
      </c>
      <c r="C2849">
        <v>132412</v>
      </c>
      <c r="D2849" s="275" t="s">
        <v>15354</v>
      </c>
      <c r="E2849" s="301">
        <v>1843.2</v>
      </c>
      <c r="F2849" s="303">
        <v>43031</v>
      </c>
      <c r="G2849" s="301">
        <v>1843.2</v>
      </c>
      <c r="H2849" s="301">
        <f>Tabla15[[#This Row],[Importe]]-Tabla15[[#This Row],[Pagado]]</f>
        <v>0</v>
      </c>
      <c r="I2849" s="275" t="s">
        <v>15214</v>
      </c>
    </row>
    <row r="2850" spans="1:9" x14ac:dyDescent="0.25">
      <c r="A2850" s="420">
        <v>43030</v>
      </c>
      <c r="B2850" s="302" t="s">
        <v>34547</v>
      </c>
      <c r="C2850">
        <v>132413</v>
      </c>
      <c r="D2850" s="275" t="s">
        <v>19756</v>
      </c>
      <c r="E2850" s="301">
        <v>2285.4</v>
      </c>
      <c r="F2850" s="303">
        <v>43030</v>
      </c>
      <c r="G2850" s="301">
        <v>2285.4</v>
      </c>
      <c r="H2850" s="301">
        <f>Tabla15[[#This Row],[Importe]]-Tabla15[[#This Row],[Pagado]]</f>
        <v>0</v>
      </c>
      <c r="I2850" s="275" t="s">
        <v>15214</v>
      </c>
    </row>
    <row r="2851" spans="1:9" x14ac:dyDescent="0.25">
      <c r="A2851" s="420">
        <v>43030</v>
      </c>
      <c r="B2851" s="302" t="s">
        <v>34548</v>
      </c>
      <c r="C2851">
        <v>132414</v>
      </c>
      <c r="D2851" s="275" t="s">
        <v>15223</v>
      </c>
      <c r="E2851" s="301">
        <v>4000</v>
      </c>
      <c r="F2851" s="303">
        <v>43055</v>
      </c>
      <c r="G2851" s="301">
        <v>4000</v>
      </c>
      <c r="H2851" s="301">
        <f>Tabla15[[#This Row],[Importe]]-Tabla15[[#This Row],[Pagado]]</f>
        <v>0</v>
      </c>
      <c r="I2851" s="275" t="s">
        <v>15214</v>
      </c>
    </row>
    <row r="2852" spans="1:9" x14ac:dyDescent="0.25">
      <c r="A2852" s="420">
        <v>43030</v>
      </c>
      <c r="B2852" s="302" t="s">
        <v>34549</v>
      </c>
      <c r="C2852">
        <v>132415</v>
      </c>
      <c r="D2852" s="275" t="s">
        <v>15298</v>
      </c>
      <c r="E2852" s="301">
        <v>1310.5999999999999</v>
      </c>
      <c r="F2852" s="303">
        <v>43030</v>
      </c>
      <c r="G2852" s="301">
        <v>1310.5999999999999</v>
      </c>
      <c r="H2852" s="301">
        <f>Tabla15[[#This Row],[Importe]]-Tabla15[[#This Row],[Pagado]]</f>
        <v>0</v>
      </c>
      <c r="I2852" s="275" t="s">
        <v>15214</v>
      </c>
    </row>
    <row r="2853" spans="1:9" x14ac:dyDescent="0.25">
      <c r="A2853" s="420">
        <v>43030</v>
      </c>
      <c r="B2853" s="302" t="s">
        <v>34550</v>
      </c>
      <c r="C2853">
        <v>132416</v>
      </c>
      <c r="D2853" s="275" t="s">
        <v>15644</v>
      </c>
      <c r="E2853" s="301">
        <v>3214.4</v>
      </c>
      <c r="F2853" s="303">
        <v>43031</v>
      </c>
      <c r="G2853" s="301">
        <v>3214.4</v>
      </c>
      <c r="H2853" s="301">
        <f>Tabla15[[#This Row],[Importe]]-Tabla15[[#This Row],[Pagado]]</f>
        <v>0</v>
      </c>
      <c r="I2853" s="275" t="s">
        <v>15214</v>
      </c>
    </row>
    <row r="2854" spans="1:9" x14ac:dyDescent="0.25">
      <c r="A2854" s="420">
        <v>43030</v>
      </c>
      <c r="B2854" s="302" t="s">
        <v>34551</v>
      </c>
      <c r="C2854">
        <v>132417</v>
      </c>
      <c r="D2854" s="275" t="s">
        <v>15284</v>
      </c>
      <c r="E2854" s="301">
        <v>1489.8</v>
      </c>
      <c r="F2854" s="303">
        <v>43031</v>
      </c>
      <c r="G2854" s="301">
        <v>1489.8</v>
      </c>
      <c r="H2854" s="301">
        <f>Tabla15[[#This Row],[Importe]]-Tabla15[[#This Row],[Pagado]]</f>
        <v>0</v>
      </c>
      <c r="I2854" s="275" t="s">
        <v>15214</v>
      </c>
    </row>
    <row r="2855" spans="1:9" x14ac:dyDescent="0.25">
      <c r="A2855" s="420">
        <v>43031</v>
      </c>
      <c r="B2855" s="302" t="s">
        <v>34552</v>
      </c>
      <c r="C2855">
        <v>132418</v>
      </c>
      <c r="D2855" s="275" t="s">
        <v>21386</v>
      </c>
      <c r="E2855" s="301">
        <v>7912.95</v>
      </c>
      <c r="F2855" s="303">
        <v>43032</v>
      </c>
      <c r="G2855" s="301">
        <v>7912.95</v>
      </c>
      <c r="H2855" s="301">
        <f>Tabla15[[#This Row],[Importe]]-Tabla15[[#This Row],[Pagado]]</f>
        <v>0</v>
      </c>
      <c r="I2855" s="275" t="s">
        <v>15214</v>
      </c>
    </row>
    <row r="2856" spans="1:9" x14ac:dyDescent="0.25">
      <c r="A2856" s="420">
        <v>43031</v>
      </c>
      <c r="B2856" s="302" t="s">
        <v>34553</v>
      </c>
      <c r="C2856">
        <v>132419</v>
      </c>
      <c r="D2856" s="275" t="s">
        <v>15213</v>
      </c>
      <c r="E2856" s="301">
        <v>40856.199999999997</v>
      </c>
      <c r="F2856" s="303">
        <v>43032</v>
      </c>
      <c r="G2856" s="301">
        <v>40856.199999999997</v>
      </c>
      <c r="H2856" s="301">
        <f>Tabla15[[#This Row],[Importe]]-Tabla15[[#This Row],[Pagado]]</f>
        <v>0</v>
      </c>
      <c r="I2856" s="275" t="s">
        <v>15214</v>
      </c>
    </row>
    <row r="2857" spans="1:9" x14ac:dyDescent="0.25">
      <c r="A2857" s="420">
        <v>43031</v>
      </c>
      <c r="B2857" s="302" t="s">
        <v>34554</v>
      </c>
      <c r="C2857">
        <v>132420</v>
      </c>
      <c r="D2857" s="275" t="s">
        <v>15240</v>
      </c>
      <c r="E2857" s="301">
        <v>3388.9</v>
      </c>
      <c r="F2857" s="303">
        <v>43032</v>
      </c>
      <c r="G2857" s="301">
        <v>3388.9</v>
      </c>
      <c r="H2857" s="301">
        <f>Tabla15[[#This Row],[Importe]]-Tabla15[[#This Row],[Pagado]]</f>
        <v>0</v>
      </c>
      <c r="I2857" s="275" t="s">
        <v>15214</v>
      </c>
    </row>
    <row r="2858" spans="1:9" ht="15.75" x14ac:dyDescent="0.25">
      <c r="A2858" s="420">
        <v>43031</v>
      </c>
      <c r="B2858" s="302" t="s">
        <v>34555</v>
      </c>
      <c r="C2858">
        <v>132421</v>
      </c>
      <c r="D2858" s="248" t="s">
        <v>95</v>
      </c>
      <c r="E2858" s="301">
        <v>0</v>
      </c>
      <c r="F2858" s="243" t="s">
        <v>95</v>
      </c>
      <c r="G2858" s="301">
        <v>0</v>
      </c>
      <c r="H2858" s="301">
        <f>Tabla15[[#This Row],[Importe]]-Tabla15[[#This Row],[Pagado]]</f>
        <v>0</v>
      </c>
      <c r="I2858" s="275" t="s">
        <v>95</v>
      </c>
    </row>
    <row r="2859" spans="1:9" x14ac:dyDescent="0.25">
      <c r="A2859" s="420">
        <v>43031</v>
      </c>
      <c r="B2859" s="302" t="s">
        <v>34556</v>
      </c>
      <c r="C2859">
        <v>132422</v>
      </c>
      <c r="D2859" s="275" t="s">
        <v>15230</v>
      </c>
      <c r="E2859" s="301">
        <v>8066.5</v>
      </c>
      <c r="F2859" s="303">
        <v>43033</v>
      </c>
      <c r="G2859" s="301">
        <v>8066.5</v>
      </c>
      <c r="H2859" s="301">
        <f>Tabla15[[#This Row],[Importe]]-Tabla15[[#This Row],[Pagado]]</f>
        <v>0</v>
      </c>
      <c r="I2859" s="275" t="s">
        <v>15214</v>
      </c>
    </row>
    <row r="2860" spans="1:9" x14ac:dyDescent="0.25">
      <c r="A2860" s="420">
        <v>43031</v>
      </c>
      <c r="B2860" s="302" t="s">
        <v>34557</v>
      </c>
      <c r="C2860">
        <v>132423</v>
      </c>
      <c r="D2860" s="275" t="s">
        <v>15328</v>
      </c>
      <c r="E2860" s="301">
        <v>105015.39</v>
      </c>
      <c r="F2860" s="303">
        <v>43038</v>
      </c>
      <c r="G2860" s="301">
        <v>105015.39</v>
      </c>
      <c r="H2860" s="301">
        <f>Tabla15[[#This Row],[Importe]]-Tabla15[[#This Row],[Pagado]]</f>
        <v>0</v>
      </c>
      <c r="I2860" s="275" t="s">
        <v>15214</v>
      </c>
    </row>
    <row r="2861" spans="1:9" x14ac:dyDescent="0.25">
      <c r="A2861" s="420">
        <v>43031</v>
      </c>
      <c r="B2861" s="302" t="s">
        <v>34558</v>
      </c>
      <c r="C2861">
        <v>132424</v>
      </c>
      <c r="D2861" s="275" t="s">
        <v>15232</v>
      </c>
      <c r="E2861" s="301">
        <v>5825.4</v>
      </c>
      <c r="F2861" s="303">
        <v>43034</v>
      </c>
      <c r="G2861" s="301">
        <v>5825.4</v>
      </c>
      <c r="H2861" s="301">
        <f>Tabla15[[#This Row],[Importe]]-Tabla15[[#This Row],[Pagado]]</f>
        <v>0</v>
      </c>
      <c r="I2861" s="275" t="s">
        <v>15214</v>
      </c>
    </row>
    <row r="2862" spans="1:9" x14ac:dyDescent="0.25">
      <c r="A2862" s="420">
        <v>43031</v>
      </c>
      <c r="B2862" s="302" t="s">
        <v>34559</v>
      </c>
      <c r="C2862">
        <v>132425</v>
      </c>
      <c r="D2862" s="275" t="s">
        <v>17722</v>
      </c>
      <c r="E2862" s="301">
        <v>2889.7</v>
      </c>
      <c r="F2862" s="303">
        <v>43032</v>
      </c>
      <c r="G2862" s="301">
        <v>2889.7</v>
      </c>
      <c r="H2862" s="301">
        <f>Tabla15[[#This Row],[Importe]]-Tabla15[[#This Row],[Pagado]]</f>
        <v>0</v>
      </c>
      <c r="I2862" s="275" t="s">
        <v>15214</v>
      </c>
    </row>
    <row r="2863" spans="1:9" x14ac:dyDescent="0.25">
      <c r="A2863" s="420">
        <v>43031</v>
      </c>
      <c r="B2863" s="302" t="s">
        <v>34560</v>
      </c>
      <c r="C2863">
        <v>132426</v>
      </c>
      <c r="D2863" s="275" t="s">
        <v>15475</v>
      </c>
      <c r="E2863" s="301">
        <v>3173.7</v>
      </c>
      <c r="F2863" s="303">
        <v>43033</v>
      </c>
      <c r="G2863" s="301">
        <v>3173.7</v>
      </c>
      <c r="H2863" s="301">
        <f>Tabla15[[#This Row],[Importe]]-Tabla15[[#This Row],[Pagado]]</f>
        <v>0</v>
      </c>
      <c r="I2863" s="275" t="s">
        <v>15214</v>
      </c>
    </row>
    <row r="2864" spans="1:9" x14ac:dyDescent="0.25">
      <c r="A2864" s="420">
        <v>43031</v>
      </c>
      <c r="B2864" s="302" t="s">
        <v>34561</v>
      </c>
      <c r="C2864">
        <v>132427</v>
      </c>
      <c r="D2864" s="275" t="s">
        <v>15272</v>
      </c>
      <c r="E2864" s="301">
        <v>22526.5</v>
      </c>
      <c r="F2864" s="303">
        <v>43031</v>
      </c>
      <c r="G2864" s="301">
        <v>22526.5</v>
      </c>
      <c r="H2864" s="301">
        <f>Tabla15[[#This Row],[Importe]]-Tabla15[[#This Row],[Pagado]]</f>
        <v>0</v>
      </c>
      <c r="I2864" s="275" t="s">
        <v>15214</v>
      </c>
    </row>
    <row r="2865" spans="1:9" x14ac:dyDescent="0.25">
      <c r="A2865" s="420">
        <v>43031</v>
      </c>
      <c r="B2865" s="302" t="s">
        <v>34562</v>
      </c>
      <c r="C2865">
        <v>132428</v>
      </c>
      <c r="D2865" s="275" t="s">
        <v>15272</v>
      </c>
      <c r="E2865" s="301">
        <v>1125</v>
      </c>
      <c r="F2865" s="303">
        <v>43031</v>
      </c>
      <c r="G2865" s="301">
        <v>1125</v>
      </c>
      <c r="H2865" s="301">
        <f>Tabla15[[#This Row],[Importe]]-Tabla15[[#This Row],[Pagado]]</f>
        <v>0</v>
      </c>
      <c r="I2865" s="275" t="s">
        <v>15214</v>
      </c>
    </row>
    <row r="2866" spans="1:9" x14ac:dyDescent="0.25">
      <c r="A2866" s="420">
        <v>43031</v>
      </c>
      <c r="B2866" s="302" t="s">
        <v>34563</v>
      </c>
      <c r="C2866">
        <v>132429</v>
      </c>
      <c r="D2866" s="275" t="s">
        <v>15263</v>
      </c>
      <c r="E2866" s="301">
        <v>5600.5</v>
      </c>
      <c r="F2866" s="303">
        <v>43031</v>
      </c>
      <c r="G2866" s="301">
        <v>5600.5</v>
      </c>
      <c r="H2866" s="301">
        <f>Tabla15[[#This Row],[Importe]]-Tabla15[[#This Row],[Pagado]]</f>
        <v>0</v>
      </c>
      <c r="I2866" s="275" t="s">
        <v>15214</v>
      </c>
    </row>
    <row r="2867" spans="1:9" x14ac:dyDescent="0.25">
      <c r="A2867" s="420">
        <v>43031</v>
      </c>
      <c r="B2867" s="302" t="s">
        <v>34564</v>
      </c>
      <c r="C2867">
        <v>132430</v>
      </c>
      <c r="D2867" s="275" t="s">
        <v>15242</v>
      </c>
      <c r="E2867" s="301">
        <v>5274</v>
      </c>
      <c r="F2867" s="303">
        <v>43031</v>
      </c>
      <c r="G2867" s="301">
        <v>5274</v>
      </c>
      <c r="H2867" s="301">
        <f>Tabla15[[#This Row],[Importe]]-Tabla15[[#This Row],[Pagado]]</f>
        <v>0</v>
      </c>
      <c r="I2867" s="275" t="s">
        <v>15214</v>
      </c>
    </row>
    <row r="2868" spans="1:9" x14ac:dyDescent="0.25">
      <c r="A2868" s="420">
        <v>43031</v>
      </c>
      <c r="B2868" s="302" t="s">
        <v>34565</v>
      </c>
      <c r="C2868">
        <v>132431</v>
      </c>
      <c r="D2868" s="275" t="s">
        <v>15332</v>
      </c>
      <c r="E2868" s="301">
        <v>3318.2</v>
      </c>
      <c r="F2868" s="303">
        <v>43032</v>
      </c>
      <c r="G2868" s="301">
        <v>3318.2</v>
      </c>
      <c r="H2868" s="301">
        <f>Tabla15[[#This Row],[Importe]]-Tabla15[[#This Row],[Pagado]]</f>
        <v>0</v>
      </c>
      <c r="I2868" s="275" t="s">
        <v>15214</v>
      </c>
    </row>
    <row r="2869" spans="1:9" x14ac:dyDescent="0.25">
      <c r="A2869" s="420">
        <v>43031</v>
      </c>
      <c r="B2869" s="302" t="s">
        <v>34566</v>
      </c>
      <c r="C2869">
        <v>132432</v>
      </c>
      <c r="D2869" s="275" t="s">
        <v>18544</v>
      </c>
      <c r="E2869" s="301">
        <v>3846.3</v>
      </c>
      <c r="F2869" s="303">
        <v>43032</v>
      </c>
      <c r="G2869" s="301">
        <v>3846.3</v>
      </c>
      <c r="H2869" s="301">
        <f>Tabla15[[#This Row],[Importe]]-Tabla15[[#This Row],[Pagado]]</f>
        <v>0</v>
      </c>
      <c r="I2869" s="275" t="s">
        <v>15214</v>
      </c>
    </row>
    <row r="2870" spans="1:9" x14ac:dyDescent="0.25">
      <c r="A2870" s="420">
        <v>43031</v>
      </c>
      <c r="B2870" s="302" t="s">
        <v>34567</v>
      </c>
      <c r="C2870">
        <v>132433</v>
      </c>
      <c r="D2870" s="275" t="s">
        <v>15523</v>
      </c>
      <c r="E2870" s="301">
        <v>1440</v>
      </c>
      <c r="F2870" s="303">
        <v>43032</v>
      </c>
      <c r="G2870" s="301">
        <v>1440</v>
      </c>
      <c r="H2870" s="301">
        <f>Tabla15[[#This Row],[Importe]]-Tabla15[[#This Row],[Pagado]]</f>
        <v>0</v>
      </c>
      <c r="I2870" s="275" t="s">
        <v>15214</v>
      </c>
    </row>
    <row r="2871" spans="1:9" x14ac:dyDescent="0.25">
      <c r="A2871" s="420">
        <v>43031</v>
      </c>
      <c r="B2871" s="302" t="s">
        <v>34568</v>
      </c>
      <c r="C2871">
        <v>132434</v>
      </c>
      <c r="D2871" s="275" t="s">
        <v>15246</v>
      </c>
      <c r="E2871" s="301">
        <v>48937</v>
      </c>
      <c r="F2871" s="303">
        <v>43033</v>
      </c>
      <c r="G2871" s="301">
        <v>48937</v>
      </c>
      <c r="H2871" s="301">
        <f>Tabla15[[#This Row],[Importe]]-Tabla15[[#This Row],[Pagado]]</f>
        <v>0</v>
      </c>
      <c r="I2871" s="275" t="s">
        <v>15214</v>
      </c>
    </row>
    <row r="2872" spans="1:9" x14ac:dyDescent="0.25">
      <c r="A2872" s="420">
        <v>43031</v>
      </c>
      <c r="B2872" s="302" t="s">
        <v>34569</v>
      </c>
      <c r="C2872">
        <v>132435</v>
      </c>
      <c r="D2872" s="275" t="s">
        <v>15742</v>
      </c>
      <c r="E2872" s="301">
        <v>2496</v>
      </c>
      <c r="F2872" s="303">
        <v>43032</v>
      </c>
      <c r="G2872" s="301">
        <v>2496</v>
      </c>
      <c r="H2872" s="301">
        <f>Tabla15[[#This Row],[Importe]]-Tabla15[[#This Row],[Pagado]]</f>
        <v>0</v>
      </c>
      <c r="I2872" s="275" t="s">
        <v>15214</v>
      </c>
    </row>
    <row r="2873" spans="1:9" x14ac:dyDescent="0.25">
      <c r="A2873" s="420">
        <v>43031</v>
      </c>
      <c r="B2873" s="302" t="s">
        <v>34570</v>
      </c>
      <c r="C2873">
        <v>132436</v>
      </c>
      <c r="D2873" s="275" t="s">
        <v>15348</v>
      </c>
      <c r="E2873" s="301">
        <v>770.4</v>
      </c>
      <c r="F2873" s="303">
        <v>43032</v>
      </c>
      <c r="G2873" s="301">
        <v>770.4</v>
      </c>
      <c r="H2873" s="301">
        <f>Tabla15[[#This Row],[Importe]]-Tabla15[[#This Row],[Pagado]]</f>
        <v>0</v>
      </c>
      <c r="I2873" s="275" t="s">
        <v>15214</v>
      </c>
    </row>
    <row r="2874" spans="1:9" ht="15.75" x14ac:dyDescent="0.25">
      <c r="A2874" s="420">
        <v>43031</v>
      </c>
      <c r="B2874" s="302" t="s">
        <v>34571</v>
      </c>
      <c r="C2874">
        <v>132437</v>
      </c>
      <c r="D2874" s="248" t="s">
        <v>95</v>
      </c>
      <c r="E2874" s="301">
        <v>0</v>
      </c>
      <c r="F2874" s="243" t="s">
        <v>95</v>
      </c>
      <c r="G2874" s="301">
        <v>0</v>
      </c>
      <c r="H2874" s="301">
        <f>Tabla15[[#This Row],[Importe]]-Tabla15[[#This Row],[Pagado]]</f>
        <v>0</v>
      </c>
      <c r="I2874" s="275" t="s">
        <v>95</v>
      </c>
    </row>
    <row r="2875" spans="1:9" x14ac:dyDescent="0.25">
      <c r="A2875" s="420">
        <v>43031</v>
      </c>
      <c r="B2875" s="302" t="s">
        <v>34572</v>
      </c>
      <c r="C2875">
        <v>132438</v>
      </c>
      <c r="D2875" s="275" t="s">
        <v>15336</v>
      </c>
      <c r="E2875" s="301">
        <v>5983.1</v>
      </c>
      <c r="F2875" s="303">
        <v>43032</v>
      </c>
      <c r="G2875" s="301">
        <v>5983.1</v>
      </c>
      <c r="H2875" s="301">
        <f>Tabla15[[#This Row],[Importe]]-Tabla15[[#This Row],[Pagado]]</f>
        <v>0</v>
      </c>
      <c r="I2875" s="275" t="s">
        <v>15214</v>
      </c>
    </row>
    <row r="2876" spans="1:9" x14ac:dyDescent="0.25">
      <c r="A2876" s="420">
        <v>43031</v>
      </c>
      <c r="B2876" s="302" t="s">
        <v>34573</v>
      </c>
      <c r="C2876">
        <v>132439</v>
      </c>
      <c r="D2876" s="275" t="s">
        <v>5575</v>
      </c>
      <c r="E2876" s="301">
        <v>3578.4</v>
      </c>
      <c r="F2876" s="303">
        <v>43033</v>
      </c>
      <c r="G2876" s="301">
        <v>3578.4</v>
      </c>
      <c r="H2876" s="301">
        <f>Tabla15[[#This Row],[Importe]]-Tabla15[[#This Row],[Pagado]]</f>
        <v>0</v>
      </c>
      <c r="I2876" s="275" t="s">
        <v>15214</v>
      </c>
    </row>
    <row r="2877" spans="1:9" x14ac:dyDescent="0.25">
      <c r="A2877" s="420">
        <v>43031</v>
      </c>
      <c r="B2877" s="302" t="s">
        <v>34574</v>
      </c>
      <c r="C2877">
        <v>132440</v>
      </c>
      <c r="D2877" s="275" t="s">
        <v>15526</v>
      </c>
      <c r="E2877" s="301">
        <v>3145.8</v>
      </c>
      <c r="F2877" s="303">
        <v>43032</v>
      </c>
      <c r="G2877" s="301">
        <v>3145.8</v>
      </c>
      <c r="H2877" s="301">
        <f>Tabla15[[#This Row],[Importe]]-Tabla15[[#This Row],[Pagado]]</f>
        <v>0</v>
      </c>
      <c r="I2877" s="275" t="s">
        <v>15214</v>
      </c>
    </row>
    <row r="2878" spans="1:9" x14ac:dyDescent="0.25">
      <c r="A2878" s="420">
        <v>43031</v>
      </c>
      <c r="B2878" s="302" t="s">
        <v>34575</v>
      </c>
      <c r="C2878">
        <v>132441</v>
      </c>
      <c r="D2878" s="275" t="s">
        <v>15236</v>
      </c>
      <c r="E2878" s="301">
        <v>2825.8</v>
      </c>
      <c r="F2878" s="303">
        <v>43033</v>
      </c>
      <c r="G2878" s="301">
        <v>2825.8</v>
      </c>
      <c r="H2878" s="301">
        <f>Tabla15[[#This Row],[Importe]]-Tabla15[[#This Row],[Pagado]]</f>
        <v>0</v>
      </c>
      <c r="I2878" s="275" t="s">
        <v>15214</v>
      </c>
    </row>
    <row r="2879" spans="1:9" x14ac:dyDescent="0.25">
      <c r="A2879" s="420">
        <v>43031</v>
      </c>
      <c r="B2879" s="302" t="s">
        <v>34576</v>
      </c>
      <c r="C2879">
        <v>132442</v>
      </c>
      <c r="D2879" s="275" t="s">
        <v>15858</v>
      </c>
      <c r="E2879" s="301">
        <v>340</v>
      </c>
      <c r="F2879" s="303">
        <v>43032</v>
      </c>
      <c r="G2879" s="301">
        <v>340</v>
      </c>
      <c r="H2879" s="301">
        <f>Tabla15[[#This Row],[Importe]]-Tabla15[[#This Row],[Pagado]]</f>
        <v>0</v>
      </c>
      <c r="I2879" s="275" t="s">
        <v>15214</v>
      </c>
    </row>
    <row r="2880" spans="1:9" x14ac:dyDescent="0.25">
      <c r="A2880" s="420">
        <v>43031</v>
      </c>
      <c r="B2880" s="302" t="s">
        <v>34577</v>
      </c>
      <c r="C2880">
        <v>132443</v>
      </c>
      <c r="D2880" s="275" t="s">
        <v>30057</v>
      </c>
      <c r="E2880" s="301">
        <v>3024.6</v>
      </c>
      <c r="F2880" s="303">
        <v>43032</v>
      </c>
      <c r="G2880" s="301">
        <v>3024.6</v>
      </c>
      <c r="H2880" s="301">
        <f>Tabla15[[#This Row],[Importe]]-Tabla15[[#This Row],[Pagado]]</f>
        <v>0</v>
      </c>
      <c r="I2880" s="275" t="s">
        <v>15214</v>
      </c>
    </row>
    <row r="2881" spans="1:9" x14ac:dyDescent="0.25">
      <c r="A2881" s="420">
        <v>43031</v>
      </c>
      <c r="B2881" s="302" t="s">
        <v>34578</v>
      </c>
      <c r="C2881">
        <v>132444</v>
      </c>
      <c r="D2881" s="275" t="s">
        <v>19780</v>
      </c>
      <c r="E2881" s="301">
        <v>12922</v>
      </c>
      <c r="F2881" s="303">
        <v>43032</v>
      </c>
      <c r="G2881" s="301">
        <v>12922</v>
      </c>
      <c r="H2881" s="301">
        <f>Tabla15[[#This Row],[Importe]]-Tabla15[[#This Row],[Pagado]]</f>
        <v>0</v>
      </c>
      <c r="I2881" s="275" t="s">
        <v>15214</v>
      </c>
    </row>
    <row r="2882" spans="1:9" x14ac:dyDescent="0.25">
      <c r="A2882" s="420">
        <v>43031</v>
      </c>
      <c r="B2882" s="302" t="s">
        <v>34579</v>
      </c>
      <c r="C2882">
        <v>132445</v>
      </c>
      <c r="D2882" s="275" t="s">
        <v>16171</v>
      </c>
      <c r="E2882" s="301">
        <v>399.6</v>
      </c>
      <c r="F2882" s="303">
        <v>43032</v>
      </c>
      <c r="G2882" s="301">
        <v>399.6</v>
      </c>
      <c r="H2882" s="301">
        <f>Tabla15[[#This Row],[Importe]]-Tabla15[[#This Row],[Pagado]]</f>
        <v>0</v>
      </c>
      <c r="I2882" s="275" t="s">
        <v>15214</v>
      </c>
    </row>
    <row r="2883" spans="1:9" x14ac:dyDescent="0.25">
      <c r="A2883" s="420">
        <v>43031</v>
      </c>
      <c r="B2883" s="302" t="s">
        <v>34580</v>
      </c>
      <c r="C2883">
        <v>132446</v>
      </c>
      <c r="D2883" s="275" t="s">
        <v>15344</v>
      </c>
      <c r="E2883" s="301">
        <v>2405.9</v>
      </c>
      <c r="F2883" s="303">
        <v>43032</v>
      </c>
      <c r="G2883" s="301">
        <v>2405.9</v>
      </c>
      <c r="H2883" s="301">
        <f>Tabla15[[#This Row],[Importe]]-Tabla15[[#This Row],[Pagado]]</f>
        <v>0</v>
      </c>
      <c r="I2883" s="275" t="s">
        <v>15214</v>
      </c>
    </row>
    <row r="2884" spans="1:9" ht="15.75" x14ac:dyDescent="0.25">
      <c r="A2884" s="420">
        <v>43031</v>
      </c>
      <c r="B2884" s="302" t="s">
        <v>34581</v>
      </c>
      <c r="C2884">
        <v>132447</v>
      </c>
      <c r="D2884" s="248" t="s">
        <v>95</v>
      </c>
      <c r="E2884" s="301">
        <v>0</v>
      </c>
      <c r="F2884" s="243" t="s">
        <v>95</v>
      </c>
      <c r="G2884" s="301">
        <v>0</v>
      </c>
      <c r="H2884" s="301">
        <f>Tabla15[[#This Row],[Importe]]-Tabla15[[#This Row],[Pagado]]</f>
        <v>0</v>
      </c>
      <c r="I2884" s="275" t="s">
        <v>95</v>
      </c>
    </row>
    <row r="2885" spans="1:9" x14ac:dyDescent="0.25">
      <c r="A2885" s="420">
        <v>43031</v>
      </c>
      <c r="B2885" s="302" t="s">
        <v>34582</v>
      </c>
      <c r="C2885">
        <v>132448</v>
      </c>
      <c r="D2885" s="275" t="s">
        <v>15334</v>
      </c>
      <c r="E2885" s="301">
        <v>3041</v>
      </c>
      <c r="F2885" s="303">
        <v>43032</v>
      </c>
      <c r="G2885" s="301">
        <v>3041</v>
      </c>
      <c r="H2885" s="301">
        <f>Tabla15[[#This Row],[Importe]]-Tabla15[[#This Row],[Pagado]]</f>
        <v>0</v>
      </c>
      <c r="I2885" s="275" t="s">
        <v>15214</v>
      </c>
    </row>
    <row r="2886" spans="1:9" x14ac:dyDescent="0.25">
      <c r="A2886" s="420">
        <v>43031</v>
      </c>
      <c r="B2886" s="302" t="s">
        <v>34583</v>
      </c>
      <c r="C2886">
        <v>132449</v>
      </c>
      <c r="D2886" s="275" t="s">
        <v>15220</v>
      </c>
      <c r="E2886" s="301">
        <v>2400</v>
      </c>
      <c r="F2886" s="303">
        <v>43031</v>
      </c>
      <c r="G2886" s="301">
        <v>2400</v>
      </c>
      <c r="H2886" s="301">
        <f>Tabla15[[#This Row],[Importe]]-Tabla15[[#This Row],[Pagado]]</f>
        <v>0</v>
      </c>
      <c r="I2886" s="275" t="s">
        <v>15214</v>
      </c>
    </row>
    <row r="2887" spans="1:9" x14ac:dyDescent="0.25">
      <c r="A2887" s="420">
        <v>43031</v>
      </c>
      <c r="B2887" s="302" t="s">
        <v>34584</v>
      </c>
      <c r="C2887">
        <v>132450</v>
      </c>
      <c r="D2887" s="275" t="s">
        <v>19302</v>
      </c>
      <c r="E2887" s="301">
        <v>960</v>
      </c>
      <c r="F2887" s="303">
        <v>43031</v>
      </c>
      <c r="G2887" s="301">
        <v>960</v>
      </c>
      <c r="H2887" s="301">
        <f>Tabla15[[#This Row],[Importe]]-Tabla15[[#This Row],[Pagado]]</f>
        <v>0</v>
      </c>
      <c r="I2887" s="275" t="s">
        <v>15214</v>
      </c>
    </row>
    <row r="2888" spans="1:9" x14ac:dyDescent="0.25">
      <c r="A2888" s="420">
        <v>43031</v>
      </c>
      <c r="B2888" s="302" t="s">
        <v>34585</v>
      </c>
      <c r="C2888">
        <v>132451</v>
      </c>
      <c r="D2888" s="275" t="s">
        <v>15340</v>
      </c>
      <c r="E2888" s="301">
        <v>7057.9</v>
      </c>
      <c r="F2888" s="303">
        <v>43032</v>
      </c>
      <c r="G2888" s="301">
        <v>7057.9</v>
      </c>
      <c r="H2888" s="301">
        <f>Tabla15[[#This Row],[Importe]]-Tabla15[[#This Row],[Pagado]]</f>
        <v>0</v>
      </c>
      <c r="I2888" s="275" t="s">
        <v>15214</v>
      </c>
    </row>
    <row r="2889" spans="1:9" x14ac:dyDescent="0.25">
      <c r="A2889" s="420">
        <v>43031</v>
      </c>
      <c r="B2889" s="302" t="s">
        <v>34586</v>
      </c>
      <c r="C2889">
        <v>132452</v>
      </c>
      <c r="D2889" s="275" t="s">
        <v>15315</v>
      </c>
      <c r="E2889" s="301">
        <v>195</v>
      </c>
      <c r="F2889" s="303">
        <v>43031</v>
      </c>
      <c r="G2889" s="301">
        <v>195</v>
      </c>
      <c r="H2889" s="301">
        <f>Tabla15[[#This Row],[Importe]]-Tabla15[[#This Row],[Pagado]]</f>
        <v>0</v>
      </c>
      <c r="I2889" s="275" t="s">
        <v>15214</v>
      </c>
    </row>
    <row r="2890" spans="1:9" x14ac:dyDescent="0.25">
      <c r="A2890" s="420">
        <v>43031</v>
      </c>
      <c r="B2890" s="302" t="s">
        <v>34587</v>
      </c>
      <c r="C2890">
        <v>132453</v>
      </c>
      <c r="D2890" s="275" t="s">
        <v>19461</v>
      </c>
      <c r="E2890" s="301">
        <v>2799</v>
      </c>
      <c r="F2890" s="303">
        <v>43032</v>
      </c>
      <c r="G2890" s="301">
        <v>2799</v>
      </c>
      <c r="H2890" s="301">
        <f>Tabla15[[#This Row],[Importe]]-Tabla15[[#This Row],[Pagado]]</f>
        <v>0</v>
      </c>
      <c r="I2890" s="275" t="s">
        <v>15214</v>
      </c>
    </row>
    <row r="2891" spans="1:9" x14ac:dyDescent="0.25">
      <c r="A2891" s="420">
        <v>43031</v>
      </c>
      <c r="B2891" s="302" t="s">
        <v>34588</v>
      </c>
      <c r="C2891">
        <v>132454</v>
      </c>
      <c r="D2891" s="275" t="s">
        <v>15328</v>
      </c>
      <c r="E2891" s="301">
        <v>191.2</v>
      </c>
      <c r="F2891" s="303">
        <v>43038</v>
      </c>
      <c r="G2891" s="301">
        <v>191.2</v>
      </c>
      <c r="H2891" s="301">
        <f>Tabla15[[#This Row],[Importe]]-Tabla15[[#This Row],[Pagado]]</f>
        <v>0</v>
      </c>
      <c r="I2891" s="275" t="s">
        <v>15214</v>
      </c>
    </row>
    <row r="2892" spans="1:9" x14ac:dyDescent="0.25">
      <c r="A2892" s="420">
        <v>43031</v>
      </c>
      <c r="B2892" s="302" t="s">
        <v>34589</v>
      </c>
      <c r="C2892">
        <v>132455</v>
      </c>
      <c r="D2892" s="275" t="s">
        <v>15338</v>
      </c>
      <c r="E2892" s="301">
        <v>7966.2</v>
      </c>
      <c r="F2892" s="303">
        <v>43033</v>
      </c>
      <c r="G2892" s="301">
        <v>7966.2</v>
      </c>
      <c r="H2892" s="301">
        <f>Tabla15[[#This Row],[Importe]]-Tabla15[[#This Row],[Pagado]]</f>
        <v>0</v>
      </c>
      <c r="I2892" s="275" t="s">
        <v>15214</v>
      </c>
    </row>
    <row r="2893" spans="1:9" x14ac:dyDescent="0.25">
      <c r="A2893" s="420">
        <v>43031</v>
      </c>
      <c r="B2893" s="302" t="s">
        <v>34590</v>
      </c>
      <c r="C2893">
        <v>132456</v>
      </c>
      <c r="D2893" s="275" t="s">
        <v>15234</v>
      </c>
      <c r="E2893" s="301">
        <v>3067.2</v>
      </c>
      <c r="F2893" s="303">
        <v>43033</v>
      </c>
      <c r="G2893" s="301">
        <v>3067.2</v>
      </c>
      <c r="H2893" s="301">
        <f>Tabla15[[#This Row],[Importe]]-Tabla15[[#This Row],[Pagado]]</f>
        <v>0</v>
      </c>
      <c r="I2893" s="275" t="s">
        <v>15214</v>
      </c>
    </row>
    <row r="2894" spans="1:9" x14ac:dyDescent="0.25">
      <c r="A2894" s="420">
        <v>43031</v>
      </c>
      <c r="B2894" s="302" t="s">
        <v>34591</v>
      </c>
      <c r="C2894">
        <v>132457</v>
      </c>
      <c r="D2894" s="275" t="s">
        <v>15258</v>
      </c>
      <c r="E2894" s="301">
        <v>9599.2000000000007</v>
      </c>
      <c r="F2894" s="303">
        <v>43033</v>
      </c>
      <c r="G2894" s="301">
        <v>9599.2000000000007</v>
      </c>
      <c r="H2894" s="301">
        <f>Tabla15[[#This Row],[Importe]]-Tabla15[[#This Row],[Pagado]]</f>
        <v>0</v>
      </c>
      <c r="I2894" s="275" t="s">
        <v>15214</v>
      </c>
    </row>
    <row r="2895" spans="1:9" x14ac:dyDescent="0.25">
      <c r="A2895" s="420">
        <v>43031</v>
      </c>
      <c r="B2895" s="302" t="s">
        <v>34592</v>
      </c>
      <c r="C2895">
        <v>132458</v>
      </c>
      <c r="D2895" s="275" t="s">
        <v>15668</v>
      </c>
      <c r="E2895" s="301">
        <v>11047.6</v>
      </c>
      <c r="F2895" s="303">
        <v>43031</v>
      </c>
      <c r="G2895" s="301">
        <v>11047.6</v>
      </c>
      <c r="H2895" s="301">
        <f>Tabla15[[#This Row],[Importe]]-Tabla15[[#This Row],[Pagado]]</f>
        <v>0</v>
      </c>
      <c r="I2895" s="275" t="s">
        <v>15214</v>
      </c>
    </row>
    <row r="2896" spans="1:9" x14ac:dyDescent="0.25">
      <c r="A2896" s="420">
        <v>43031</v>
      </c>
      <c r="B2896" s="302" t="s">
        <v>34593</v>
      </c>
      <c r="C2896">
        <v>132459</v>
      </c>
      <c r="D2896" s="275" t="s">
        <v>15480</v>
      </c>
      <c r="E2896" s="301">
        <v>363.6</v>
      </c>
      <c r="F2896" s="303">
        <v>43033</v>
      </c>
      <c r="G2896" s="301">
        <v>363.6</v>
      </c>
      <c r="H2896" s="301">
        <f>Tabla15[[#This Row],[Importe]]-Tabla15[[#This Row],[Pagado]]</f>
        <v>0</v>
      </c>
      <c r="I2896" s="275" t="s">
        <v>15214</v>
      </c>
    </row>
    <row r="2897" spans="1:9" x14ac:dyDescent="0.25">
      <c r="A2897" s="420">
        <v>43031</v>
      </c>
      <c r="B2897" s="302" t="s">
        <v>34594</v>
      </c>
      <c r="C2897">
        <v>132460</v>
      </c>
      <c r="D2897" s="275" t="s">
        <v>17462</v>
      </c>
      <c r="E2897" s="301">
        <v>5977.4</v>
      </c>
      <c r="F2897" s="303">
        <v>43031</v>
      </c>
      <c r="G2897" s="301">
        <v>5977.4</v>
      </c>
      <c r="H2897" s="301">
        <f>Tabla15[[#This Row],[Importe]]-Tabla15[[#This Row],[Pagado]]</f>
        <v>0</v>
      </c>
      <c r="I2897" s="275" t="s">
        <v>15214</v>
      </c>
    </row>
    <row r="2898" spans="1:9" x14ac:dyDescent="0.25">
      <c r="A2898" s="420">
        <v>43031</v>
      </c>
      <c r="B2898" s="302" t="s">
        <v>34595</v>
      </c>
      <c r="C2898">
        <v>132461</v>
      </c>
      <c r="D2898" s="275" t="s">
        <v>16484</v>
      </c>
      <c r="E2898" s="301">
        <v>1473.9</v>
      </c>
      <c r="F2898" s="303">
        <v>43031</v>
      </c>
      <c r="G2898" s="301">
        <v>1473.9</v>
      </c>
      <c r="H2898" s="301">
        <f>Tabla15[[#This Row],[Importe]]-Tabla15[[#This Row],[Pagado]]</f>
        <v>0</v>
      </c>
      <c r="I2898" s="275" t="s">
        <v>15214</v>
      </c>
    </row>
    <row r="2899" spans="1:9" x14ac:dyDescent="0.25">
      <c r="A2899" s="420">
        <v>43031</v>
      </c>
      <c r="B2899" s="302" t="s">
        <v>34596</v>
      </c>
      <c r="C2899">
        <v>132462</v>
      </c>
      <c r="D2899" s="275" t="s">
        <v>30057</v>
      </c>
      <c r="E2899" s="301">
        <v>915.8</v>
      </c>
      <c r="F2899" s="303">
        <v>43032</v>
      </c>
      <c r="G2899" s="301">
        <v>915.8</v>
      </c>
      <c r="H2899" s="301">
        <f>Tabla15[[#This Row],[Importe]]-Tabla15[[#This Row],[Pagado]]</f>
        <v>0</v>
      </c>
      <c r="I2899" s="275" t="s">
        <v>15214</v>
      </c>
    </row>
    <row r="2900" spans="1:9" x14ac:dyDescent="0.25">
      <c r="A2900" s="420">
        <v>43031</v>
      </c>
      <c r="B2900" s="302" t="s">
        <v>34597</v>
      </c>
      <c r="C2900">
        <v>132463</v>
      </c>
      <c r="D2900" s="275" t="s">
        <v>15238</v>
      </c>
      <c r="E2900" s="301">
        <v>5934.2</v>
      </c>
      <c r="F2900" s="303">
        <v>43033</v>
      </c>
      <c r="G2900" s="301">
        <v>5934.2</v>
      </c>
      <c r="H2900" s="301">
        <f>Tabla15[[#This Row],[Importe]]-Tabla15[[#This Row],[Pagado]]</f>
        <v>0</v>
      </c>
      <c r="I2900" s="275" t="s">
        <v>15214</v>
      </c>
    </row>
    <row r="2901" spans="1:9" x14ac:dyDescent="0.25">
      <c r="A2901" s="420">
        <v>43031</v>
      </c>
      <c r="B2901" s="302" t="s">
        <v>34598</v>
      </c>
      <c r="C2901">
        <v>132464</v>
      </c>
      <c r="D2901" s="275" t="s">
        <v>5880</v>
      </c>
      <c r="E2901" s="301">
        <v>25318.400000000001</v>
      </c>
      <c r="F2901" s="303">
        <v>43034</v>
      </c>
      <c r="G2901" s="301">
        <v>25318.400000000001</v>
      </c>
      <c r="H2901" s="301">
        <f>Tabla15[[#This Row],[Importe]]-Tabla15[[#This Row],[Pagado]]</f>
        <v>0</v>
      </c>
      <c r="I2901" s="275" t="s">
        <v>15214</v>
      </c>
    </row>
    <row r="2902" spans="1:9" x14ac:dyDescent="0.25">
      <c r="A2902" s="420">
        <v>43031</v>
      </c>
      <c r="B2902" s="302" t="s">
        <v>34599</v>
      </c>
      <c r="C2902">
        <v>132465</v>
      </c>
      <c r="D2902" s="275" t="s">
        <v>15317</v>
      </c>
      <c r="E2902" s="301">
        <v>2648.8</v>
      </c>
      <c r="F2902" s="303">
        <v>43034</v>
      </c>
      <c r="G2902" s="301">
        <v>2648.8</v>
      </c>
      <c r="H2902" s="301">
        <f>Tabla15[[#This Row],[Importe]]-Tabla15[[#This Row],[Pagado]]</f>
        <v>0</v>
      </c>
      <c r="I2902" s="275" t="s">
        <v>15214</v>
      </c>
    </row>
    <row r="2903" spans="1:9" x14ac:dyDescent="0.25">
      <c r="A2903" s="420">
        <v>43031</v>
      </c>
      <c r="B2903" s="302" t="s">
        <v>34600</v>
      </c>
      <c r="C2903">
        <v>132466</v>
      </c>
      <c r="D2903" s="275" t="s">
        <v>15415</v>
      </c>
      <c r="E2903" s="301">
        <v>2719.2</v>
      </c>
      <c r="F2903" s="303">
        <v>43033</v>
      </c>
      <c r="G2903" s="301">
        <v>2719.2</v>
      </c>
      <c r="H2903" s="301">
        <f>Tabla15[[#This Row],[Importe]]-Tabla15[[#This Row],[Pagado]]</f>
        <v>0</v>
      </c>
      <c r="I2903" s="275" t="s">
        <v>15214</v>
      </c>
    </row>
    <row r="2904" spans="1:9" x14ac:dyDescent="0.25">
      <c r="A2904" s="420">
        <v>43031</v>
      </c>
      <c r="B2904" s="302" t="s">
        <v>34601</v>
      </c>
      <c r="C2904">
        <v>132467</v>
      </c>
      <c r="D2904" s="275" t="s">
        <v>15748</v>
      </c>
      <c r="E2904" s="301">
        <v>2342.64</v>
      </c>
      <c r="F2904" s="303">
        <v>43032</v>
      </c>
      <c r="G2904" s="301">
        <v>2342.64</v>
      </c>
      <c r="H2904" s="301">
        <f>Tabla15[[#This Row],[Importe]]-Tabla15[[#This Row],[Pagado]]</f>
        <v>0</v>
      </c>
      <c r="I2904" s="275" t="s">
        <v>15214</v>
      </c>
    </row>
    <row r="2905" spans="1:9" x14ac:dyDescent="0.25">
      <c r="A2905" s="420">
        <v>43031</v>
      </c>
      <c r="B2905" s="302" t="s">
        <v>34602</v>
      </c>
      <c r="C2905">
        <v>132468</v>
      </c>
      <c r="D2905" s="275" t="s">
        <v>15626</v>
      </c>
      <c r="E2905" s="301">
        <v>3595.68</v>
      </c>
      <c r="F2905" s="303">
        <v>43032</v>
      </c>
      <c r="G2905" s="301">
        <v>3595.68</v>
      </c>
      <c r="H2905" s="301">
        <f>Tabla15[[#This Row],[Importe]]-Tabla15[[#This Row],[Pagado]]</f>
        <v>0</v>
      </c>
      <c r="I2905" s="275" t="s">
        <v>15214</v>
      </c>
    </row>
    <row r="2906" spans="1:9" x14ac:dyDescent="0.25">
      <c r="A2906" s="420">
        <v>43031</v>
      </c>
      <c r="B2906" s="302" t="s">
        <v>34603</v>
      </c>
      <c r="C2906">
        <v>132469</v>
      </c>
      <c r="D2906" s="275" t="s">
        <v>15309</v>
      </c>
      <c r="E2906" s="301">
        <v>15843.65</v>
      </c>
      <c r="F2906" s="303">
        <v>43032</v>
      </c>
      <c r="G2906" s="301">
        <v>15843.65</v>
      </c>
      <c r="H2906" s="301">
        <f>Tabla15[[#This Row],[Importe]]-Tabla15[[#This Row],[Pagado]]</f>
        <v>0</v>
      </c>
      <c r="I2906" s="275" t="s">
        <v>15214</v>
      </c>
    </row>
    <row r="2907" spans="1:9" x14ac:dyDescent="0.25">
      <c r="A2907" s="420">
        <v>43031</v>
      </c>
      <c r="B2907" s="302" t="s">
        <v>34604</v>
      </c>
      <c r="C2907">
        <v>132470</v>
      </c>
      <c r="D2907" s="275" t="s">
        <v>15276</v>
      </c>
      <c r="E2907" s="301">
        <v>2400</v>
      </c>
      <c r="F2907" s="303">
        <v>43032</v>
      </c>
      <c r="G2907" s="301">
        <v>2400</v>
      </c>
      <c r="H2907" s="301">
        <f>Tabla15[[#This Row],[Importe]]-Tabla15[[#This Row],[Pagado]]</f>
        <v>0</v>
      </c>
      <c r="I2907" s="275" t="s">
        <v>15214</v>
      </c>
    </row>
    <row r="2908" spans="1:9" x14ac:dyDescent="0.25">
      <c r="A2908" s="420">
        <v>43031</v>
      </c>
      <c r="B2908" s="302" t="s">
        <v>34605</v>
      </c>
      <c r="C2908">
        <v>132471</v>
      </c>
      <c r="D2908" s="275" t="s">
        <v>15305</v>
      </c>
      <c r="E2908" s="301">
        <v>967.2</v>
      </c>
      <c r="F2908" s="303">
        <v>43032</v>
      </c>
      <c r="G2908" s="301">
        <v>967.2</v>
      </c>
      <c r="H2908" s="301">
        <f>Tabla15[[#This Row],[Importe]]-Tabla15[[#This Row],[Pagado]]</f>
        <v>0</v>
      </c>
      <c r="I2908" s="275" t="s">
        <v>15214</v>
      </c>
    </row>
    <row r="2909" spans="1:9" x14ac:dyDescent="0.25">
      <c r="A2909" s="420">
        <v>43031</v>
      </c>
      <c r="B2909" s="302" t="s">
        <v>34606</v>
      </c>
      <c r="C2909">
        <v>132472</v>
      </c>
      <c r="D2909" s="275" t="s">
        <v>15305</v>
      </c>
      <c r="E2909" s="301">
        <v>539.4</v>
      </c>
      <c r="F2909" s="303">
        <v>43032</v>
      </c>
      <c r="G2909" s="301">
        <v>539.4</v>
      </c>
      <c r="H2909" s="301">
        <f>Tabla15[[#This Row],[Importe]]-Tabla15[[#This Row],[Pagado]]</f>
        <v>0</v>
      </c>
      <c r="I2909" s="275" t="s">
        <v>15214</v>
      </c>
    </row>
    <row r="2910" spans="1:9" x14ac:dyDescent="0.25">
      <c r="A2910" s="420">
        <v>43031</v>
      </c>
      <c r="B2910" s="302" t="s">
        <v>34607</v>
      </c>
      <c r="C2910">
        <v>132473</v>
      </c>
      <c r="D2910" s="275" t="s">
        <v>15415</v>
      </c>
      <c r="E2910" s="301">
        <v>384.2</v>
      </c>
      <c r="F2910" s="303">
        <v>43033</v>
      </c>
      <c r="G2910" s="301">
        <v>384.2</v>
      </c>
      <c r="H2910" s="301">
        <f>Tabla15[[#This Row],[Importe]]-Tabla15[[#This Row],[Pagado]]</f>
        <v>0</v>
      </c>
      <c r="I2910" s="275" t="s">
        <v>15214</v>
      </c>
    </row>
    <row r="2911" spans="1:9" x14ac:dyDescent="0.25">
      <c r="A2911" s="420">
        <v>43031</v>
      </c>
      <c r="B2911" s="302" t="s">
        <v>34608</v>
      </c>
      <c r="C2911">
        <v>132474</v>
      </c>
      <c r="D2911" s="275" t="s">
        <v>15562</v>
      </c>
      <c r="E2911" s="301">
        <v>3087</v>
      </c>
      <c r="F2911" s="303">
        <v>43031</v>
      </c>
      <c r="G2911" s="301">
        <v>3087</v>
      </c>
      <c r="H2911" s="301">
        <f>Tabla15[[#This Row],[Importe]]-Tabla15[[#This Row],[Pagado]]</f>
        <v>0</v>
      </c>
      <c r="I2911" s="275" t="s">
        <v>15214</v>
      </c>
    </row>
    <row r="2912" spans="1:9" x14ac:dyDescent="0.25">
      <c r="A2912" s="420">
        <v>43031</v>
      </c>
      <c r="B2912" s="302" t="s">
        <v>34609</v>
      </c>
      <c r="C2912">
        <v>132475</v>
      </c>
      <c r="D2912" s="275" t="s">
        <v>15417</v>
      </c>
      <c r="E2912" s="301">
        <v>1856.5</v>
      </c>
      <c r="F2912" s="303">
        <v>43032</v>
      </c>
      <c r="G2912" s="301">
        <v>1856.5</v>
      </c>
      <c r="H2912" s="301">
        <f>Tabla15[[#This Row],[Importe]]-Tabla15[[#This Row],[Pagado]]</f>
        <v>0</v>
      </c>
      <c r="I2912" s="275" t="s">
        <v>15214</v>
      </c>
    </row>
    <row r="2913" spans="1:9" x14ac:dyDescent="0.25">
      <c r="A2913" s="420">
        <v>43031</v>
      </c>
      <c r="B2913" s="302" t="s">
        <v>34610</v>
      </c>
      <c r="C2913">
        <v>132476</v>
      </c>
      <c r="D2913" s="275" t="s">
        <v>15315</v>
      </c>
      <c r="E2913" s="301">
        <v>10115.6</v>
      </c>
      <c r="F2913" s="303">
        <v>43031</v>
      </c>
      <c r="G2913" s="301">
        <v>10115.6</v>
      </c>
      <c r="H2913" s="301">
        <f>Tabla15[[#This Row],[Importe]]-Tabla15[[#This Row],[Pagado]]</f>
        <v>0</v>
      </c>
      <c r="I2913" s="275" t="s">
        <v>15214</v>
      </c>
    </row>
    <row r="2914" spans="1:9" x14ac:dyDescent="0.25">
      <c r="A2914" s="420">
        <v>43031</v>
      </c>
      <c r="B2914" s="302" t="s">
        <v>34611</v>
      </c>
      <c r="C2914">
        <v>132477</v>
      </c>
      <c r="D2914" s="275" t="s">
        <v>15617</v>
      </c>
      <c r="E2914" s="301">
        <v>39969.800000000003</v>
      </c>
      <c r="F2914" s="303">
        <v>43032</v>
      </c>
      <c r="G2914" s="301">
        <v>39969.800000000003</v>
      </c>
      <c r="H2914" s="301">
        <f>Tabla15[[#This Row],[Importe]]-Tabla15[[#This Row],[Pagado]]</f>
        <v>0</v>
      </c>
      <c r="I2914" s="275" t="s">
        <v>15214</v>
      </c>
    </row>
    <row r="2915" spans="1:9" x14ac:dyDescent="0.25">
      <c r="A2915" s="420">
        <v>43031</v>
      </c>
      <c r="B2915" s="302" t="s">
        <v>34612</v>
      </c>
      <c r="C2915">
        <v>132478</v>
      </c>
      <c r="D2915" s="275" t="s">
        <v>15315</v>
      </c>
      <c r="E2915" s="301">
        <v>4133.1000000000004</v>
      </c>
      <c r="F2915" s="303">
        <v>43031</v>
      </c>
      <c r="G2915" s="301">
        <v>4133.1000000000004</v>
      </c>
      <c r="H2915" s="301">
        <f>Tabla15[[#This Row],[Importe]]-Tabla15[[#This Row],[Pagado]]</f>
        <v>0</v>
      </c>
      <c r="I2915" s="275" t="s">
        <v>15214</v>
      </c>
    </row>
    <row r="2916" spans="1:9" x14ac:dyDescent="0.25">
      <c r="A2916" s="420">
        <v>43031</v>
      </c>
      <c r="B2916" s="302" t="s">
        <v>34613</v>
      </c>
      <c r="C2916">
        <v>132479</v>
      </c>
      <c r="D2916" s="275" t="s">
        <v>15307</v>
      </c>
      <c r="E2916" s="301">
        <v>3047</v>
      </c>
      <c r="F2916" s="303">
        <v>43032</v>
      </c>
      <c r="G2916" s="301">
        <v>3047</v>
      </c>
      <c r="H2916" s="301">
        <f>Tabla15[[#This Row],[Importe]]-Tabla15[[#This Row],[Pagado]]</f>
        <v>0</v>
      </c>
      <c r="I2916" s="275" t="s">
        <v>15214</v>
      </c>
    </row>
    <row r="2917" spans="1:9" x14ac:dyDescent="0.25">
      <c r="A2917" s="420">
        <v>43031</v>
      </c>
      <c r="B2917" s="302" t="s">
        <v>34614</v>
      </c>
      <c r="C2917">
        <v>132480</v>
      </c>
      <c r="D2917" s="275" t="s">
        <v>15577</v>
      </c>
      <c r="E2917" s="301">
        <v>805</v>
      </c>
      <c r="F2917" s="303">
        <v>43031</v>
      </c>
      <c r="G2917" s="301">
        <v>805</v>
      </c>
      <c r="H2917" s="301">
        <f>Tabla15[[#This Row],[Importe]]-Tabla15[[#This Row],[Pagado]]</f>
        <v>0</v>
      </c>
      <c r="I2917" s="275" t="s">
        <v>15214</v>
      </c>
    </row>
    <row r="2918" spans="1:9" x14ac:dyDescent="0.25">
      <c r="A2918" s="420">
        <v>43031</v>
      </c>
      <c r="B2918" s="302" t="s">
        <v>34615</v>
      </c>
      <c r="C2918">
        <v>132481</v>
      </c>
      <c r="D2918" s="275" t="s">
        <v>15291</v>
      </c>
      <c r="E2918" s="301">
        <v>768</v>
      </c>
      <c r="F2918" s="303">
        <v>43032</v>
      </c>
      <c r="G2918" s="301">
        <v>768</v>
      </c>
      <c r="H2918" s="301">
        <f>Tabla15[[#This Row],[Importe]]-Tabla15[[#This Row],[Pagado]]</f>
        <v>0</v>
      </c>
      <c r="I2918" s="275" t="s">
        <v>15214</v>
      </c>
    </row>
    <row r="2919" spans="1:9" x14ac:dyDescent="0.25">
      <c r="A2919" s="420">
        <v>43031</v>
      </c>
      <c r="B2919" s="302" t="s">
        <v>34616</v>
      </c>
      <c r="C2919">
        <v>132482</v>
      </c>
      <c r="D2919" s="275" t="s">
        <v>15223</v>
      </c>
      <c r="E2919" s="301">
        <v>45448</v>
      </c>
      <c r="F2919" s="303">
        <v>43055</v>
      </c>
      <c r="G2919" s="301">
        <v>45448</v>
      </c>
      <c r="H2919" s="301">
        <f>Tabla15[[#This Row],[Importe]]-Tabla15[[#This Row],[Pagado]]</f>
        <v>0</v>
      </c>
      <c r="I2919" s="275" t="s">
        <v>15214</v>
      </c>
    </row>
    <row r="2920" spans="1:9" x14ac:dyDescent="0.25">
      <c r="A2920" s="420">
        <v>43031</v>
      </c>
      <c r="B2920" s="302" t="s">
        <v>34617</v>
      </c>
      <c r="C2920">
        <v>132483</v>
      </c>
      <c r="D2920" s="275" t="s">
        <v>15313</v>
      </c>
      <c r="E2920" s="301">
        <v>11467.6</v>
      </c>
      <c r="F2920" s="303">
        <v>43033</v>
      </c>
      <c r="G2920" s="301">
        <v>11467.6</v>
      </c>
      <c r="H2920" s="301">
        <f>Tabla15[[#This Row],[Importe]]-Tabla15[[#This Row],[Pagado]]</f>
        <v>0</v>
      </c>
      <c r="I2920" s="275" t="s">
        <v>15214</v>
      </c>
    </row>
    <row r="2921" spans="1:9" x14ac:dyDescent="0.25">
      <c r="A2921" s="420">
        <v>43031</v>
      </c>
      <c r="B2921" s="302" t="s">
        <v>34618</v>
      </c>
      <c r="C2921">
        <v>132484</v>
      </c>
      <c r="D2921" s="275" t="s">
        <v>15782</v>
      </c>
      <c r="E2921" s="301">
        <v>1545.6</v>
      </c>
      <c r="F2921" s="303">
        <v>43032</v>
      </c>
      <c r="G2921" s="301">
        <v>1545.6</v>
      </c>
      <c r="H2921" s="301">
        <f>Tabla15[[#This Row],[Importe]]-Tabla15[[#This Row],[Pagado]]</f>
        <v>0</v>
      </c>
      <c r="I2921" s="275" t="s">
        <v>15214</v>
      </c>
    </row>
    <row r="2922" spans="1:9" x14ac:dyDescent="0.25">
      <c r="A2922" s="420">
        <v>43031</v>
      </c>
      <c r="B2922" s="302" t="s">
        <v>34619</v>
      </c>
      <c r="C2922">
        <v>132485</v>
      </c>
      <c r="D2922" s="275" t="s">
        <v>15365</v>
      </c>
      <c r="E2922" s="301">
        <v>23023</v>
      </c>
      <c r="F2922" s="303">
        <v>43032</v>
      </c>
      <c r="G2922" s="301">
        <v>23023</v>
      </c>
      <c r="H2922" s="301">
        <f>Tabla15[[#This Row],[Importe]]-Tabla15[[#This Row],[Pagado]]</f>
        <v>0</v>
      </c>
      <c r="I2922" s="275" t="s">
        <v>15214</v>
      </c>
    </row>
    <row r="2923" spans="1:9" x14ac:dyDescent="0.25">
      <c r="A2923" s="420">
        <v>43031</v>
      </c>
      <c r="B2923" s="302" t="s">
        <v>34620</v>
      </c>
      <c r="C2923">
        <v>132486</v>
      </c>
      <c r="D2923" s="275" t="s">
        <v>15324</v>
      </c>
      <c r="E2923" s="301">
        <v>1116</v>
      </c>
      <c r="F2923" s="303">
        <v>43031</v>
      </c>
      <c r="G2923" s="301">
        <v>1116</v>
      </c>
      <c r="H2923" s="301">
        <f>Tabla15[[#This Row],[Importe]]-Tabla15[[#This Row],[Pagado]]</f>
        <v>0</v>
      </c>
      <c r="I2923" s="275" t="s">
        <v>15214</v>
      </c>
    </row>
    <row r="2924" spans="1:9" x14ac:dyDescent="0.25">
      <c r="A2924" s="420">
        <v>43031</v>
      </c>
      <c r="B2924" s="302" t="s">
        <v>34621</v>
      </c>
      <c r="C2924">
        <v>132487</v>
      </c>
      <c r="D2924" s="275" t="s">
        <v>15404</v>
      </c>
      <c r="E2924" s="301">
        <v>18015.8</v>
      </c>
      <c r="F2924" s="303">
        <v>43031</v>
      </c>
      <c r="G2924" s="301">
        <v>18015.8</v>
      </c>
      <c r="H2924" s="301">
        <f>Tabla15[[#This Row],[Importe]]-Tabla15[[#This Row],[Pagado]]</f>
        <v>0</v>
      </c>
      <c r="I2924" s="275" t="s">
        <v>15214</v>
      </c>
    </row>
    <row r="2925" spans="1:9" x14ac:dyDescent="0.25">
      <c r="A2925" s="420">
        <v>43031</v>
      </c>
      <c r="B2925" s="302" t="s">
        <v>34622</v>
      </c>
      <c r="C2925">
        <v>132488</v>
      </c>
      <c r="D2925" s="275" t="s">
        <v>16383</v>
      </c>
      <c r="E2925" s="301">
        <v>10001.6</v>
      </c>
      <c r="F2925" s="303">
        <v>43032</v>
      </c>
      <c r="G2925" s="301">
        <v>10001.6</v>
      </c>
      <c r="H2925" s="301">
        <f>Tabla15[[#This Row],[Importe]]-Tabla15[[#This Row],[Pagado]]</f>
        <v>0</v>
      </c>
      <c r="I2925" s="275" t="s">
        <v>15214</v>
      </c>
    </row>
    <row r="2926" spans="1:9" x14ac:dyDescent="0.25">
      <c r="A2926" s="420">
        <v>43031</v>
      </c>
      <c r="B2926" s="302" t="s">
        <v>34623</v>
      </c>
      <c r="C2926">
        <v>132489</v>
      </c>
      <c r="D2926" s="275" t="s">
        <v>15261</v>
      </c>
      <c r="E2926" s="301">
        <v>23583.75</v>
      </c>
      <c r="F2926" s="303">
        <v>43031</v>
      </c>
      <c r="G2926" s="301">
        <v>23583.75</v>
      </c>
      <c r="H2926" s="301">
        <f>Tabla15[[#This Row],[Importe]]-Tabla15[[#This Row],[Pagado]]</f>
        <v>0</v>
      </c>
      <c r="I2926" s="275" t="s">
        <v>15214</v>
      </c>
    </row>
    <row r="2927" spans="1:9" x14ac:dyDescent="0.25">
      <c r="A2927" s="420">
        <v>43031</v>
      </c>
      <c r="B2927" s="302" t="s">
        <v>34624</v>
      </c>
      <c r="C2927">
        <v>132490</v>
      </c>
      <c r="D2927" s="275" t="s">
        <v>15510</v>
      </c>
      <c r="E2927" s="301">
        <v>24937.5</v>
      </c>
      <c r="F2927" s="303">
        <v>43031</v>
      </c>
      <c r="G2927" s="301">
        <v>24937.5</v>
      </c>
      <c r="H2927" s="301">
        <f>Tabla15[[#This Row],[Importe]]-Tabla15[[#This Row],[Pagado]]</f>
        <v>0</v>
      </c>
      <c r="I2927" s="275" t="s">
        <v>15214</v>
      </c>
    </row>
    <row r="2928" spans="1:9" x14ac:dyDescent="0.25">
      <c r="A2928" s="420">
        <v>43031</v>
      </c>
      <c r="B2928" s="302" t="s">
        <v>34625</v>
      </c>
      <c r="C2928">
        <v>132491</v>
      </c>
      <c r="D2928" s="275" t="s">
        <v>15248</v>
      </c>
      <c r="E2928" s="301">
        <v>33059.32</v>
      </c>
      <c r="F2928" s="303">
        <v>43031</v>
      </c>
      <c r="G2928" s="301">
        <v>33059.32</v>
      </c>
      <c r="H2928" s="301">
        <f>Tabla15[[#This Row],[Importe]]-Tabla15[[#This Row],[Pagado]]</f>
        <v>0</v>
      </c>
      <c r="I2928" s="275" t="s">
        <v>15214</v>
      </c>
    </row>
    <row r="2929" spans="1:9" x14ac:dyDescent="0.25">
      <c r="A2929" s="420">
        <v>43031</v>
      </c>
      <c r="B2929" s="302" t="s">
        <v>34626</v>
      </c>
      <c r="C2929">
        <v>132492</v>
      </c>
      <c r="D2929" s="275" t="s">
        <v>15280</v>
      </c>
      <c r="E2929" s="301">
        <v>5850.2</v>
      </c>
      <c r="F2929" s="303">
        <v>43031</v>
      </c>
      <c r="G2929" s="301">
        <v>5850.2</v>
      </c>
      <c r="H2929" s="301">
        <f>Tabla15[[#This Row],[Importe]]-Tabla15[[#This Row],[Pagado]]</f>
        <v>0</v>
      </c>
      <c r="I2929" s="275" t="s">
        <v>15214</v>
      </c>
    </row>
    <row r="2930" spans="1:9" x14ac:dyDescent="0.25">
      <c r="A2930" s="420">
        <v>43031</v>
      </c>
      <c r="B2930" s="302" t="s">
        <v>34627</v>
      </c>
      <c r="C2930">
        <v>132493</v>
      </c>
      <c r="D2930" s="275" t="s">
        <v>15706</v>
      </c>
      <c r="E2930" s="301">
        <v>1292.5999999999999</v>
      </c>
      <c r="F2930" s="303">
        <v>43031</v>
      </c>
      <c r="G2930" s="301">
        <v>1292.5999999999999</v>
      </c>
      <c r="H2930" s="301">
        <f>Tabla15[[#This Row],[Importe]]-Tabla15[[#This Row],[Pagado]]</f>
        <v>0</v>
      </c>
      <c r="I2930" s="275" t="s">
        <v>15214</v>
      </c>
    </row>
    <row r="2931" spans="1:9" x14ac:dyDescent="0.25">
      <c r="A2931" s="420">
        <v>43031</v>
      </c>
      <c r="B2931" s="302" t="s">
        <v>34628</v>
      </c>
      <c r="C2931">
        <v>132494</v>
      </c>
      <c r="D2931" s="275" t="s">
        <v>15342</v>
      </c>
      <c r="E2931" s="301">
        <v>3224.6</v>
      </c>
      <c r="F2931" s="303">
        <v>43031</v>
      </c>
      <c r="G2931" s="301">
        <v>3224.6</v>
      </c>
      <c r="H2931" s="301">
        <f>Tabla15[[#This Row],[Importe]]-Tabla15[[#This Row],[Pagado]]</f>
        <v>0</v>
      </c>
      <c r="I2931" s="275" t="s">
        <v>15214</v>
      </c>
    </row>
    <row r="2932" spans="1:9" x14ac:dyDescent="0.25">
      <c r="A2932" s="420">
        <v>43031</v>
      </c>
      <c r="B2932" s="302" t="s">
        <v>34629</v>
      </c>
      <c r="C2932">
        <v>132495</v>
      </c>
      <c r="D2932" s="275" t="s">
        <v>15530</v>
      </c>
      <c r="E2932" s="301">
        <v>2623.5</v>
      </c>
      <c r="F2932" s="303">
        <v>43031</v>
      </c>
      <c r="G2932" s="301">
        <v>2623.5</v>
      </c>
      <c r="H2932" s="301">
        <f>Tabla15[[#This Row],[Importe]]-Tabla15[[#This Row],[Pagado]]</f>
        <v>0</v>
      </c>
      <c r="I2932" s="275" t="s">
        <v>15214</v>
      </c>
    </row>
    <row r="2933" spans="1:9" ht="15.75" x14ac:dyDescent="0.25">
      <c r="A2933" s="420">
        <v>43031</v>
      </c>
      <c r="B2933" s="302" t="s">
        <v>34630</v>
      </c>
      <c r="C2933">
        <v>132496</v>
      </c>
      <c r="D2933" s="248" t="s">
        <v>95</v>
      </c>
      <c r="E2933" s="301">
        <v>0</v>
      </c>
      <c r="F2933" s="243" t="s">
        <v>95</v>
      </c>
      <c r="G2933" s="301">
        <v>0</v>
      </c>
      <c r="H2933" s="301">
        <f>Tabla15[[#This Row],[Importe]]-Tabla15[[#This Row],[Pagado]]</f>
        <v>0</v>
      </c>
      <c r="I2933" s="275" t="s">
        <v>95</v>
      </c>
    </row>
    <row r="2934" spans="1:9" x14ac:dyDescent="0.25">
      <c r="A2934" s="420">
        <v>43031</v>
      </c>
      <c r="B2934" s="302" t="s">
        <v>34631</v>
      </c>
      <c r="C2934">
        <v>132497</v>
      </c>
      <c r="D2934" s="275" t="s">
        <v>15427</v>
      </c>
      <c r="E2934" s="301">
        <v>56421.8</v>
      </c>
      <c r="F2934" s="303">
        <v>43032</v>
      </c>
      <c r="G2934" s="301">
        <v>56421.8</v>
      </c>
      <c r="H2934" s="301">
        <f>Tabla15[[#This Row],[Importe]]-Tabla15[[#This Row],[Pagado]]</f>
        <v>0</v>
      </c>
      <c r="I2934" s="275" t="s">
        <v>15214</v>
      </c>
    </row>
    <row r="2935" spans="1:9" x14ac:dyDescent="0.25">
      <c r="A2935" s="420">
        <v>43031</v>
      </c>
      <c r="B2935" s="302" t="s">
        <v>34632</v>
      </c>
      <c r="C2935">
        <v>132498</v>
      </c>
      <c r="D2935" s="275" t="s">
        <v>15315</v>
      </c>
      <c r="E2935" s="301">
        <v>4534.3999999999996</v>
      </c>
      <c r="F2935" s="303">
        <v>43032</v>
      </c>
      <c r="G2935" s="301">
        <v>4534.3999999999996</v>
      </c>
      <c r="H2935" s="301">
        <f>Tabla15[[#This Row],[Importe]]-Tabla15[[#This Row],[Pagado]]</f>
        <v>0</v>
      </c>
      <c r="I2935" s="275" t="s">
        <v>15214</v>
      </c>
    </row>
    <row r="2936" spans="1:9" x14ac:dyDescent="0.25">
      <c r="A2936" s="420">
        <v>43031</v>
      </c>
      <c r="B2936" s="302" t="s">
        <v>34633</v>
      </c>
      <c r="C2936">
        <v>132499</v>
      </c>
      <c r="D2936" s="275" t="s">
        <v>15252</v>
      </c>
      <c r="E2936" s="301">
        <v>5373.5</v>
      </c>
      <c r="F2936" s="303">
        <v>43032</v>
      </c>
      <c r="G2936" s="301">
        <v>5373.5</v>
      </c>
      <c r="H2936" s="301">
        <f>Tabla15[[#This Row],[Importe]]-Tabla15[[#This Row],[Pagado]]</f>
        <v>0</v>
      </c>
      <c r="I2936" s="275" t="s">
        <v>15214</v>
      </c>
    </row>
    <row r="2937" spans="1:9" x14ac:dyDescent="0.25">
      <c r="A2937" s="420">
        <v>43031</v>
      </c>
      <c r="B2937" s="302" t="s">
        <v>34634</v>
      </c>
      <c r="C2937">
        <v>132500</v>
      </c>
      <c r="D2937" s="275" t="s">
        <v>15315</v>
      </c>
      <c r="E2937" s="301">
        <v>2035.2</v>
      </c>
      <c r="F2937" s="303">
        <v>43031</v>
      </c>
      <c r="G2937" s="301">
        <v>2035.2</v>
      </c>
      <c r="H2937" s="301">
        <f>Tabla15[[#This Row],[Importe]]-Tabla15[[#This Row],[Pagado]]</f>
        <v>0</v>
      </c>
      <c r="I2937" s="275" t="s">
        <v>15214</v>
      </c>
    </row>
    <row r="2938" spans="1:9" x14ac:dyDescent="0.25">
      <c r="A2938" s="420">
        <v>43031</v>
      </c>
      <c r="B2938" s="302" t="s">
        <v>34635</v>
      </c>
      <c r="C2938">
        <v>132501</v>
      </c>
      <c r="D2938" s="275" t="s">
        <v>23937</v>
      </c>
      <c r="E2938" s="301">
        <v>3432</v>
      </c>
      <c r="F2938" s="303">
        <v>43031</v>
      </c>
      <c r="G2938" s="301">
        <v>3432</v>
      </c>
      <c r="H2938" s="301">
        <f>Tabla15[[#This Row],[Importe]]-Tabla15[[#This Row],[Pagado]]</f>
        <v>0</v>
      </c>
      <c r="I2938" s="275" t="s">
        <v>15214</v>
      </c>
    </row>
    <row r="2939" spans="1:9" x14ac:dyDescent="0.25">
      <c r="A2939" s="420">
        <v>43031</v>
      </c>
      <c r="B2939" s="302" t="s">
        <v>34636</v>
      </c>
      <c r="C2939">
        <v>132502</v>
      </c>
      <c r="D2939" s="275" t="s">
        <v>15244</v>
      </c>
      <c r="E2939" s="301">
        <v>10097.549999999999</v>
      </c>
      <c r="F2939" s="303">
        <v>43031</v>
      </c>
      <c r="G2939" s="301">
        <v>10097.549999999999</v>
      </c>
      <c r="H2939" s="301">
        <f>Tabla15[[#This Row],[Importe]]-Tabla15[[#This Row],[Pagado]]</f>
        <v>0</v>
      </c>
      <c r="I2939" s="275" t="s">
        <v>15214</v>
      </c>
    </row>
    <row r="2940" spans="1:9" x14ac:dyDescent="0.25">
      <c r="A2940" s="420">
        <v>43031</v>
      </c>
      <c r="B2940" s="302" t="s">
        <v>34637</v>
      </c>
      <c r="C2940">
        <v>132503</v>
      </c>
      <c r="D2940" s="275" t="s">
        <v>15254</v>
      </c>
      <c r="E2940" s="301">
        <v>2215.1999999999998</v>
      </c>
      <c r="F2940" s="303">
        <v>43031</v>
      </c>
      <c r="G2940" s="301">
        <v>2215.1999999999998</v>
      </c>
      <c r="H2940" s="301">
        <f>Tabla15[[#This Row],[Importe]]-Tabla15[[#This Row],[Pagado]]</f>
        <v>0</v>
      </c>
      <c r="I2940" s="275" t="s">
        <v>15214</v>
      </c>
    </row>
    <row r="2941" spans="1:9" x14ac:dyDescent="0.25">
      <c r="A2941" s="420">
        <v>43031</v>
      </c>
      <c r="B2941" s="302" t="s">
        <v>34638</v>
      </c>
      <c r="C2941">
        <v>132504</v>
      </c>
      <c r="D2941" s="275" t="s">
        <v>15315</v>
      </c>
      <c r="E2941" s="301">
        <v>6179.4</v>
      </c>
      <c r="F2941" s="303">
        <v>43031</v>
      </c>
      <c r="G2941" s="301">
        <v>6179.4</v>
      </c>
      <c r="H2941" s="301">
        <f>Tabla15[[#This Row],[Importe]]-Tabla15[[#This Row],[Pagado]]</f>
        <v>0</v>
      </c>
      <c r="I2941" s="275" t="s">
        <v>15214</v>
      </c>
    </row>
    <row r="2942" spans="1:9" x14ac:dyDescent="0.25">
      <c r="A2942" s="420">
        <v>43031</v>
      </c>
      <c r="B2942" s="302" t="s">
        <v>34639</v>
      </c>
      <c r="C2942">
        <v>132505</v>
      </c>
      <c r="D2942" s="275" t="s">
        <v>15315</v>
      </c>
      <c r="E2942" s="301">
        <v>3056</v>
      </c>
      <c r="F2942" s="303">
        <v>43032</v>
      </c>
      <c r="G2942" s="301">
        <v>3056</v>
      </c>
      <c r="H2942" s="301">
        <f>Tabla15[[#This Row],[Importe]]-Tabla15[[#This Row],[Pagado]]</f>
        <v>0</v>
      </c>
      <c r="I2942" s="275" t="s">
        <v>15214</v>
      </c>
    </row>
    <row r="2943" spans="1:9" x14ac:dyDescent="0.25">
      <c r="A2943" s="420">
        <v>43031</v>
      </c>
      <c r="B2943" s="302" t="s">
        <v>34640</v>
      </c>
      <c r="C2943">
        <v>132506</v>
      </c>
      <c r="D2943" s="275" t="s">
        <v>15248</v>
      </c>
      <c r="E2943" s="301">
        <v>1068.3</v>
      </c>
      <c r="F2943" s="303">
        <v>43031</v>
      </c>
      <c r="G2943" s="301">
        <v>1068.3</v>
      </c>
      <c r="H2943" s="301">
        <f>Tabla15[[#This Row],[Importe]]-Tabla15[[#This Row],[Pagado]]</f>
        <v>0</v>
      </c>
      <c r="I2943" s="275" t="s">
        <v>15214</v>
      </c>
    </row>
    <row r="2944" spans="1:9" x14ac:dyDescent="0.25">
      <c r="A2944" s="420">
        <v>43031</v>
      </c>
      <c r="B2944" s="302" t="s">
        <v>34641</v>
      </c>
      <c r="C2944">
        <v>132507</v>
      </c>
      <c r="D2944" s="275" t="s">
        <v>15226</v>
      </c>
      <c r="E2944" s="301">
        <v>2294.4</v>
      </c>
      <c r="F2944" s="303">
        <v>43032</v>
      </c>
      <c r="G2944" s="301">
        <v>2294.4</v>
      </c>
      <c r="H2944" s="301">
        <f>Tabla15[[#This Row],[Importe]]-Tabla15[[#This Row],[Pagado]]</f>
        <v>0</v>
      </c>
      <c r="I2944" s="275" t="s">
        <v>15214</v>
      </c>
    </row>
    <row r="2945" spans="1:9" x14ac:dyDescent="0.25">
      <c r="A2945" s="420">
        <v>43031</v>
      </c>
      <c r="B2945" s="302" t="s">
        <v>34642</v>
      </c>
      <c r="C2945">
        <v>132508</v>
      </c>
      <c r="D2945" s="275" t="s">
        <v>15566</v>
      </c>
      <c r="E2945" s="301">
        <v>4426.3999999999996</v>
      </c>
      <c r="F2945" s="303">
        <v>43031</v>
      </c>
      <c r="G2945" s="301">
        <v>4426.3999999999996</v>
      </c>
      <c r="H2945" s="301">
        <f>Tabla15[[#This Row],[Importe]]-Tabla15[[#This Row],[Pagado]]</f>
        <v>0</v>
      </c>
      <c r="I2945" s="275" t="s">
        <v>15214</v>
      </c>
    </row>
    <row r="2946" spans="1:9" x14ac:dyDescent="0.25">
      <c r="A2946" s="420">
        <v>43031</v>
      </c>
      <c r="B2946" s="302" t="s">
        <v>34643</v>
      </c>
      <c r="C2946">
        <v>132509</v>
      </c>
      <c r="D2946" s="275" t="s">
        <v>15394</v>
      </c>
      <c r="E2946" s="301">
        <v>16436.3</v>
      </c>
      <c r="F2946" s="303">
        <v>43034</v>
      </c>
      <c r="G2946" s="301">
        <v>16436.3</v>
      </c>
      <c r="H2946" s="301">
        <f>Tabla15[[#This Row],[Importe]]-Tabla15[[#This Row],[Pagado]]</f>
        <v>0</v>
      </c>
      <c r="I2946" s="275" t="s">
        <v>15214</v>
      </c>
    </row>
    <row r="2947" spans="1:9" x14ac:dyDescent="0.25">
      <c r="A2947" s="420">
        <v>43031</v>
      </c>
      <c r="B2947" s="302" t="s">
        <v>34644</v>
      </c>
      <c r="C2947">
        <v>132510</v>
      </c>
      <c r="D2947" s="275" t="s">
        <v>15987</v>
      </c>
      <c r="E2947" s="301">
        <v>698.4</v>
      </c>
      <c r="F2947" s="303">
        <v>43031</v>
      </c>
      <c r="G2947" s="301">
        <v>698.4</v>
      </c>
      <c r="H2947" s="301">
        <f>Tabla15[[#This Row],[Importe]]-Tabla15[[#This Row],[Pagado]]</f>
        <v>0</v>
      </c>
      <c r="I2947" s="275" t="s">
        <v>15214</v>
      </c>
    </row>
    <row r="2948" spans="1:9" ht="30" x14ac:dyDescent="0.25">
      <c r="A2948" s="420">
        <v>43031</v>
      </c>
      <c r="B2948" s="302" t="s">
        <v>34645</v>
      </c>
      <c r="C2948">
        <v>132511</v>
      </c>
      <c r="D2948" s="275" t="s">
        <v>15373</v>
      </c>
      <c r="E2948" s="301">
        <v>17911.8</v>
      </c>
      <c r="F2948" s="303" t="s">
        <v>34646</v>
      </c>
      <c r="G2948" s="305">
        <f>17500+411.8</f>
        <v>17911.8</v>
      </c>
      <c r="H2948" s="305">
        <f>Tabla15[[#This Row],[Importe]]-Tabla15[[#This Row],[Pagado]]</f>
        <v>0</v>
      </c>
      <c r="I2948" s="275" t="s">
        <v>15214</v>
      </c>
    </row>
    <row r="2949" spans="1:9" x14ac:dyDescent="0.25">
      <c r="A2949" s="420">
        <v>43031</v>
      </c>
      <c r="B2949" s="302" t="s">
        <v>34647</v>
      </c>
      <c r="C2949">
        <v>132512</v>
      </c>
      <c r="D2949" s="275" t="s">
        <v>15282</v>
      </c>
      <c r="E2949" s="301">
        <v>2997.8</v>
      </c>
      <c r="F2949" s="303">
        <v>43031</v>
      </c>
      <c r="G2949" s="301">
        <v>2997.8</v>
      </c>
      <c r="H2949" s="301">
        <f>Tabla15[[#This Row],[Importe]]-Tabla15[[#This Row],[Pagado]]</f>
        <v>0</v>
      </c>
      <c r="I2949" s="275" t="s">
        <v>15214</v>
      </c>
    </row>
    <row r="2950" spans="1:9" x14ac:dyDescent="0.25">
      <c r="A2950" s="420">
        <v>43031</v>
      </c>
      <c r="B2950" s="302" t="s">
        <v>34648</v>
      </c>
      <c r="C2950">
        <v>132513</v>
      </c>
      <c r="D2950" s="275" t="s">
        <v>15378</v>
      </c>
      <c r="E2950" s="301">
        <v>9950.2999999999993</v>
      </c>
      <c r="F2950" s="303">
        <v>43038</v>
      </c>
      <c r="G2950" s="301">
        <v>9950.2999999999993</v>
      </c>
      <c r="H2950" s="301">
        <f>Tabla15[[#This Row],[Importe]]-Tabla15[[#This Row],[Pagado]]</f>
        <v>0</v>
      </c>
      <c r="I2950" s="275" t="s">
        <v>15214</v>
      </c>
    </row>
    <row r="2951" spans="1:9" x14ac:dyDescent="0.25">
      <c r="A2951" s="420">
        <v>43031</v>
      </c>
      <c r="B2951" s="302" t="s">
        <v>34649</v>
      </c>
      <c r="C2951">
        <v>132514</v>
      </c>
      <c r="D2951" s="275" t="s">
        <v>15326</v>
      </c>
      <c r="E2951" s="301">
        <v>3609.8</v>
      </c>
      <c r="F2951" s="303">
        <v>43031</v>
      </c>
      <c r="G2951" s="301">
        <v>3609.8</v>
      </c>
      <c r="H2951" s="301">
        <f>Tabla15[[#This Row],[Importe]]-Tabla15[[#This Row],[Pagado]]</f>
        <v>0</v>
      </c>
      <c r="I2951" s="275" t="s">
        <v>15214</v>
      </c>
    </row>
    <row r="2952" spans="1:9" x14ac:dyDescent="0.25">
      <c r="A2952" s="420">
        <v>43031</v>
      </c>
      <c r="B2952" s="302" t="s">
        <v>34650</v>
      </c>
      <c r="C2952">
        <v>132515</v>
      </c>
      <c r="D2952" s="275" t="s">
        <v>15568</v>
      </c>
      <c r="E2952" s="301">
        <v>680</v>
      </c>
      <c r="F2952" s="303">
        <v>43032</v>
      </c>
      <c r="G2952" s="301">
        <v>680</v>
      </c>
      <c r="H2952" s="301">
        <f>Tabla15[[#This Row],[Importe]]-Tabla15[[#This Row],[Pagado]]</f>
        <v>0</v>
      </c>
      <c r="I2952" s="275" t="s">
        <v>15214</v>
      </c>
    </row>
    <row r="2953" spans="1:9" x14ac:dyDescent="0.25">
      <c r="A2953" s="420">
        <v>43031</v>
      </c>
      <c r="B2953" s="302" t="s">
        <v>34651</v>
      </c>
      <c r="C2953">
        <v>132516</v>
      </c>
      <c r="D2953" s="275" t="s">
        <v>15391</v>
      </c>
      <c r="E2953" s="301">
        <v>7189.6</v>
      </c>
      <c r="F2953" s="303">
        <v>43032</v>
      </c>
      <c r="G2953" s="301">
        <v>7189.6</v>
      </c>
      <c r="H2953" s="301">
        <f>Tabla15[[#This Row],[Importe]]-Tabla15[[#This Row],[Pagado]]</f>
        <v>0</v>
      </c>
      <c r="I2953" s="275" t="s">
        <v>15214</v>
      </c>
    </row>
    <row r="2954" spans="1:9" x14ac:dyDescent="0.25">
      <c r="A2954" s="420">
        <v>43031</v>
      </c>
      <c r="B2954" s="302" t="s">
        <v>34652</v>
      </c>
      <c r="C2954">
        <v>132517</v>
      </c>
      <c r="D2954" s="275" t="s">
        <v>15387</v>
      </c>
      <c r="E2954" s="301">
        <v>1823.32</v>
      </c>
      <c r="F2954" s="303">
        <v>43032</v>
      </c>
      <c r="G2954" s="301">
        <v>1823.32</v>
      </c>
      <c r="H2954" s="301">
        <f>Tabla15[[#This Row],[Importe]]-Tabla15[[#This Row],[Pagado]]</f>
        <v>0</v>
      </c>
      <c r="I2954" s="275" t="s">
        <v>15214</v>
      </c>
    </row>
    <row r="2955" spans="1:9" x14ac:dyDescent="0.25">
      <c r="A2955" s="420">
        <v>43031</v>
      </c>
      <c r="B2955" s="302" t="s">
        <v>34653</v>
      </c>
      <c r="C2955">
        <v>132518</v>
      </c>
      <c r="D2955" s="275" t="s">
        <v>15226</v>
      </c>
      <c r="E2955" s="301">
        <v>1353</v>
      </c>
      <c r="F2955" s="303">
        <v>43033</v>
      </c>
      <c r="G2955" s="301">
        <v>1353</v>
      </c>
      <c r="H2955" s="301">
        <f>Tabla15[[#This Row],[Importe]]-Tabla15[[#This Row],[Pagado]]</f>
        <v>0</v>
      </c>
      <c r="I2955" s="275" t="s">
        <v>15214</v>
      </c>
    </row>
    <row r="2956" spans="1:9" x14ac:dyDescent="0.25">
      <c r="A2956" s="420">
        <v>43031</v>
      </c>
      <c r="B2956" s="302" t="s">
        <v>34654</v>
      </c>
      <c r="C2956">
        <v>132519</v>
      </c>
      <c r="D2956" s="275" t="s">
        <v>15592</v>
      </c>
      <c r="E2956" s="301">
        <v>3361.9</v>
      </c>
      <c r="F2956" s="303">
        <v>43032</v>
      </c>
      <c r="G2956" s="301">
        <v>3361.9</v>
      </c>
      <c r="H2956" s="301">
        <f>Tabla15[[#This Row],[Importe]]-Tabla15[[#This Row],[Pagado]]</f>
        <v>0</v>
      </c>
      <c r="I2956" s="275" t="s">
        <v>15214</v>
      </c>
    </row>
    <row r="2957" spans="1:9" x14ac:dyDescent="0.25">
      <c r="A2957" s="420">
        <v>43031</v>
      </c>
      <c r="B2957" s="302" t="s">
        <v>34655</v>
      </c>
      <c r="C2957">
        <v>132520</v>
      </c>
      <c r="D2957" s="275" t="s">
        <v>15590</v>
      </c>
      <c r="E2957" s="301">
        <v>27886.5</v>
      </c>
      <c r="F2957" s="303">
        <v>43038</v>
      </c>
      <c r="G2957" s="301">
        <v>27886.5</v>
      </c>
      <c r="H2957" s="301">
        <f>Tabla15[[#This Row],[Importe]]-Tabla15[[#This Row],[Pagado]]</f>
        <v>0</v>
      </c>
      <c r="I2957" s="275" t="s">
        <v>15214</v>
      </c>
    </row>
    <row r="2958" spans="1:9" ht="15.75" x14ac:dyDescent="0.25">
      <c r="A2958" s="420">
        <v>43031</v>
      </c>
      <c r="B2958" s="302" t="s">
        <v>34656</v>
      </c>
      <c r="C2958">
        <v>132521</v>
      </c>
      <c r="D2958" s="248" t="s">
        <v>95</v>
      </c>
      <c r="E2958" s="301">
        <v>0</v>
      </c>
      <c r="F2958" s="243" t="s">
        <v>95</v>
      </c>
      <c r="G2958" s="301">
        <v>0</v>
      </c>
      <c r="H2958" s="301">
        <f>Tabla15[[#This Row],[Importe]]-Tabla15[[#This Row],[Pagado]]</f>
        <v>0</v>
      </c>
      <c r="I2958" s="275" t="s">
        <v>95</v>
      </c>
    </row>
    <row r="2959" spans="1:9" x14ac:dyDescent="0.25">
      <c r="A2959" s="420">
        <v>43031</v>
      </c>
      <c r="B2959" s="302" t="s">
        <v>34657</v>
      </c>
      <c r="C2959">
        <v>132522</v>
      </c>
      <c r="D2959" s="275" t="s">
        <v>15566</v>
      </c>
      <c r="E2959" s="301">
        <v>2992.65</v>
      </c>
      <c r="F2959" s="303">
        <v>43031</v>
      </c>
      <c r="G2959" s="301">
        <v>2992.65</v>
      </c>
      <c r="H2959" s="301">
        <f>Tabla15[[#This Row],[Importe]]-Tabla15[[#This Row],[Pagado]]</f>
        <v>0</v>
      </c>
      <c r="I2959" s="275" t="s">
        <v>15214</v>
      </c>
    </row>
    <row r="2960" spans="1:9" x14ac:dyDescent="0.25">
      <c r="A2960" s="420">
        <v>43031</v>
      </c>
      <c r="B2960" s="302" t="s">
        <v>34658</v>
      </c>
      <c r="C2960">
        <v>132523</v>
      </c>
      <c r="D2960" s="275" t="s">
        <v>15246</v>
      </c>
      <c r="E2960" s="301">
        <v>163095.23000000001</v>
      </c>
      <c r="F2960" s="303">
        <v>43033</v>
      </c>
      <c r="G2960" s="301">
        <v>163095.23000000001</v>
      </c>
      <c r="H2960" s="301">
        <f>Tabla15[[#This Row],[Importe]]-Tabla15[[#This Row],[Pagado]]</f>
        <v>0</v>
      </c>
      <c r="I2960" s="275" t="s">
        <v>15214</v>
      </c>
    </row>
    <row r="2961" spans="1:9" x14ac:dyDescent="0.25">
      <c r="A2961" s="420">
        <v>43031</v>
      </c>
      <c r="B2961" s="302" t="s">
        <v>34659</v>
      </c>
      <c r="C2961">
        <v>132524</v>
      </c>
      <c r="D2961" s="275" t="s">
        <v>15380</v>
      </c>
      <c r="E2961" s="301">
        <v>37797.35</v>
      </c>
      <c r="F2961" s="303">
        <v>43050</v>
      </c>
      <c r="G2961" s="301">
        <v>37797.35</v>
      </c>
      <c r="H2961" s="301">
        <f>Tabla15[[#This Row],[Importe]]-Tabla15[[#This Row],[Pagado]]</f>
        <v>0</v>
      </c>
      <c r="I2961" s="275" t="s">
        <v>15214</v>
      </c>
    </row>
    <row r="2962" spans="1:9" x14ac:dyDescent="0.25">
      <c r="A2962" s="420">
        <v>43031</v>
      </c>
      <c r="B2962" s="302" t="s">
        <v>34660</v>
      </c>
      <c r="C2962">
        <v>132525</v>
      </c>
      <c r="D2962" s="275" t="s">
        <v>15382</v>
      </c>
      <c r="E2962" s="301">
        <v>10074.4</v>
      </c>
      <c r="F2962" s="303">
        <v>43050</v>
      </c>
      <c r="G2962" s="301">
        <v>10074.4</v>
      </c>
      <c r="H2962" s="301">
        <f>Tabla15[[#This Row],[Importe]]-Tabla15[[#This Row],[Pagado]]</f>
        <v>0</v>
      </c>
      <c r="I2962" s="275" t="s">
        <v>15214</v>
      </c>
    </row>
    <row r="2963" spans="1:9" x14ac:dyDescent="0.25">
      <c r="A2963" s="420">
        <v>43031</v>
      </c>
      <c r="B2963" s="302" t="s">
        <v>34661</v>
      </c>
      <c r="C2963">
        <v>132526</v>
      </c>
      <c r="D2963" s="275" t="s">
        <v>15389</v>
      </c>
      <c r="E2963" s="301">
        <v>15182.2</v>
      </c>
      <c r="F2963" s="303">
        <v>43050</v>
      </c>
      <c r="G2963" s="301">
        <v>15182.2</v>
      </c>
      <c r="H2963" s="301">
        <f>Tabla15[[#This Row],[Importe]]-Tabla15[[#This Row],[Pagado]]</f>
        <v>0</v>
      </c>
      <c r="I2963" s="275" t="s">
        <v>15214</v>
      </c>
    </row>
    <row r="2964" spans="1:9" x14ac:dyDescent="0.25">
      <c r="A2964" s="420">
        <v>43031</v>
      </c>
      <c r="B2964" s="302" t="s">
        <v>34662</v>
      </c>
      <c r="C2964">
        <v>132527</v>
      </c>
      <c r="D2964" s="275" t="s">
        <v>15369</v>
      </c>
      <c r="E2964" s="301">
        <v>21670.7</v>
      </c>
      <c r="F2964" s="303">
        <v>43050</v>
      </c>
      <c r="G2964" s="301">
        <v>21670.7</v>
      </c>
      <c r="H2964" s="301">
        <f>Tabla15[[#This Row],[Importe]]-Tabla15[[#This Row],[Pagado]]</f>
        <v>0</v>
      </c>
      <c r="I2964" s="275" t="s">
        <v>15214</v>
      </c>
    </row>
    <row r="2965" spans="1:9" ht="15.75" x14ac:dyDescent="0.25">
      <c r="A2965" s="420">
        <v>43031</v>
      </c>
      <c r="B2965" s="302" t="s">
        <v>34663</v>
      </c>
      <c r="C2965">
        <v>132528</v>
      </c>
      <c r="D2965" s="248" t="s">
        <v>95</v>
      </c>
      <c r="E2965" s="301">
        <v>0</v>
      </c>
      <c r="F2965" s="243" t="s">
        <v>95</v>
      </c>
      <c r="G2965" s="301">
        <v>0</v>
      </c>
      <c r="H2965" s="301">
        <f>Tabla15[[#This Row],[Importe]]-Tabla15[[#This Row],[Pagado]]</f>
        <v>0</v>
      </c>
      <c r="I2965" s="275" t="s">
        <v>95</v>
      </c>
    </row>
    <row r="2966" spans="1:9" x14ac:dyDescent="0.25">
      <c r="A2966" s="420">
        <v>43031</v>
      </c>
      <c r="B2966" s="302" t="s">
        <v>34664</v>
      </c>
      <c r="C2966">
        <v>132529</v>
      </c>
      <c r="D2966" s="275" t="s">
        <v>15213</v>
      </c>
      <c r="E2966" s="301">
        <v>3213.75</v>
      </c>
      <c r="F2966" s="303">
        <v>43032</v>
      </c>
      <c r="G2966" s="301">
        <v>3213.75</v>
      </c>
      <c r="H2966" s="301">
        <f>Tabla15[[#This Row],[Importe]]-Tabla15[[#This Row],[Pagado]]</f>
        <v>0</v>
      </c>
      <c r="I2966" s="275" t="s">
        <v>15214</v>
      </c>
    </row>
    <row r="2967" spans="1:9" x14ac:dyDescent="0.25">
      <c r="A2967" s="420">
        <v>43031</v>
      </c>
      <c r="B2967" s="302" t="s">
        <v>34665</v>
      </c>
      <c r="C2967">
        <v>132530</v>
      </c>
      <c r="D2967" s="275" t="s">
        <v>15423</v>
      </c>
      <c r="E2967" s="301">
        <v>4750.3999999999996</v>
      </c>
      <c r="F2967" s="303">
        <v>43031</v>
      </c>
      <c r="G2967" s="301">
        <v>4750.3999999999996</v>
      </c>
      <c r="H2967" s="301">
        <f>Tabla15[[#This Row],[Importe]]-Tabla15[[#This Row],[Pagado]]</f>
        <v>0</v>
      </c>
      <c r="I2967" s="275" t="s">
        <v>15214</v>
      </c>
    </row>
    <row r="2968" spans="1:9" x14ac:dyDescent="0.25">
      <c r="A2968" s="420">
        <v>43031</v>
      </c>
      <c r="B2968" s="302" t="s">
        <v>34666</v>
      </c>
      <c r="C2968">
        <v>132531</v>
      </c>
      <c r="D2968" s="275" t="s">
        <v>15419</v>
      </c>
      <c r="E2968" s="301">
        <v>27930</v>
      </c>
      <c r="F2968" s="303">
        <v>43039</v>
      </c>
      <c r="G2968" s="301">
        <v>27930</v>
      </c>
      <c r="H2968" s="301">
        <f>Tabla15[[#This Row],[Importe]]-Tabla15[[#This Row],[Pagado]]</f>
        <v>0</v>
      </c>
      <c r="I2968" s="275" t="s">
        <v>15214</v>
      </c>
    </row>
    <row r="2969" spans="1:9" x14ac:dyDescent="0.25">
      <c r="A2969" s="420">
        <v>43031</v>
      </c>
      <c r="B2969" s="302" t="s">
        <v>34667</v>
      </c>
      <c r="C2969">
        <v>132532</v>
      </c>
      <c r="D2969" s="275" t="s">
        <v>15267</v>
      </c>
      <c r="E2969" s="301">
        <v>11579.46</v>
      </c>
      <c r="F2969" s="303">
        <v>43031</v>
      </c>
      <c r="G2969" s="301">
        <v>11579.46</v>
      </c>
      <c r="H2969" s="301">
        <f>Tabla15[[#This Row],[Importe]]-Tabla15[[#This Row],[Pagado]]</f>
        <v>0</v>
      </c>
      <c r="I2969" s="275" t="s">
        <v>15214</v>
      </c>
    </row>
    <row r="2970" spans="1:9" ht="15.75" x14ac:dyDescent="0.25">
      <c r="A2970" s="420">
        <v>43031</v>
      </c>
      <c r="B2970" s="302" t="s">
        <v>34668</v>
      </c>
      <c r="C2970">
        <v>132533</v>
      </c>
      <c r="D2970" s="248" t="s">
        <v>95</v>
      </c>
      <c r="E2970" s="301">
        <v>0</v>
      </c>
      <c r="F2970" s="243" t="s">
        <v>95</v>
      </c>
      <c r="G2970" s="301">
        <v>0</v>
      </c>
      <c r="H2970" s="301">
        <f>Tabla15[[#This Row],[Importe]]-Tabla15[[#This Row],[Pagado]]</f>
        <v>0</v>
      </c>
      <c r="I2970" s="275" t="s">
        <v>95</v>
      </c>
    </row>
    <row r="2971" spans="1:9" x14ac:dyDescent="0.25">
      <c r="A2971" s="420">
        <v>43031</v>
      </c>
      <c r="B2971" s="302" t="s">
        <v>34669</v>
      </c>
      <c r="C2971">
        <v>132534</v>
      </c>
      <c r="D2971" s="275" t="s">
        <v>5883</v>
      </c>
      <c r="E2971" s="301">
        <v>11648.52</v>
      </c>
      <c r="F2971" s="303">
        <v>43060</v>
      </c>
      <c r="G2971" s="301">
        <v>11648.52</v>
      </c>
      <c r="H2971" s="301">
        <f>Tabla15[[#This Row],[Importe]]-Tabla15[[#This Row],[Pagado]]</f>
        <v>0</v>
      </c>
      <c r="I2971" s="275" t="s">
        <v>15214</v>
      </c>
    </row>
    <row r="2972" spans="1:9" x14ac:dyDescent="0.25">
      <c r="A2972" s="420">
        <v>43031</v>
      </c>
      <c r="B2972" s="302" t="s">
        <v>34670</v>
      </c>
      <c r="C2972">
        <v>132535</v>
      </c>
      <c r="D2972" s="275" t="s">
        <v>15315</v>
      </c>
      <c r="E2972" s="301">
        <v>1647</v>
      </c>
      <c r="F2972" s="303">
        <v>43031</v>
      </c>
      <c r="G2972" s="301">
        <v>1647</v>
      </c>
      <c r="H2972" s="301">
        <f>Tabla15[[#This Row],[Importe]]-Tabla15[[#This Row],[Pagado]]</f>
        <v>0</v>
      </c>
      <c r="I2972" s="275" t="s">
        <v>15214</v>
      </c>
    </row>
    <row r="2973" spans="1:9" x14ac:dyDescent="0.25">
      <c r="A2973" s="420">
        <v>43031</v>
      </c>
      <c r="B2973" s="302" t="s">
        <v>34671</v>
      </c>
      <c r="C2973">
        <v>132536</v>
      </c>
      <c r="D2973" s="275" t="s">
        <v>15246</v>
      </c>
      <c r="E2973" s="301">
        <v>44235.7</v>
      </c>
      <c r="F2973" s="303">
        <v>43033</v>
      </c>
      <c r="G2973" s="301">
        <v>44235.7</v>
      </c>
      <c r="H2973" s="301">
        <f>Tabla15[[#This Row],[Importe]]-Tabla15[[#This Row],[Pagado]]</f>
        <v>0</v>
      </c>
      <c r="I2973" s="275" t="s">
        <v>15214</v>
      </c>
    </row>
    <row r="2974" spans="1:9" x14ac:dyDescent="0.25">
      <c r="A2974" s="420">
        <v>43031</v>
      </c>
      <c r="B2974" s="302" t="s">
        <v>34672</v>
      </c>
      <c r="C2974">
        <v>132537</v>
      </c>
      <c r="D2974" s="275" t="s">
        <v>15732</v>
      </c>
      <c r="E2974" s="301">
        <v>1661.1</v>
      </c>
      <c r="F2974" s="303">
        <v>43038</v>
      </c>
      <c r="G2974" s="301">
        <v>1661.1</v>
      </c>
      <c r="H2974" s="301">
        <f>Tabla15[[#This Row],[Importe]]-Tabla15[[#This Row],[Pagado]]</f>
        <v>0</v>
      </c>
      <c r="I2974" s="275" t="s">
        <v>15214</v>
      </c>
    </row>
    <row r="2975" spans="1:9" x14ac:dyDescent="0.25">
      <c r="A2975" s="420">
        <v>43031</v>
      </c>
      <c r="B2975" s="302" t="s">
        <v>34673</v>
      </c>
      <c r="C2975">
        <v>132538</v>
      </c>
      <c r="D2975" s="275" t="s">
        <v>15537</v>
      </c>
      <c r="E2975" s="301">
        <v>18834.650000000001</v>
      </c>
      <c r="F2975" s="303">
        <v>43032</v>
      </c>
      <c r="G2975" s="301">
        <v>18834.650000000001</v>
      </c>
      <c r="H2975" s="301">
        <f>Tabla15[[#This Row],[Importe]]-Tabla15[[#This Row],[Pagado]]</f>
        <v>0</v>
      </c>
      <c r="I2975" s="275" t="s">
        <v>15214</v>
      </c>
    </row>
    <row r="2976" spans="1:9" x14ac:dyDescent="0.25">
      <c r="A2976" s="420">
        <v>43031</v>
      </c>
      <c r="B2976" s="302" t="s">
        <v>34674</v>
      </c>
      <c r="C2976">
        <v>132539</v>
      </c>
      <c r="D2976" s="275" t="s">
        <v>19742</v>
      </c>
      <c r="E2976" s="301">
        <v>33895.699999999997</v>
      </c>
      <c r="F2976" s="303">
        <v>43032</v>
      </c>
      <c r="G2976" s="301">
        <v>33895.699999999997</v>
      </c>
      <c r="H2976" s="301">
        <f>Tabla15[[#This Row],[Importe]]-Tabla15[[#This Row],[Pagado]]</f>
        <v>0</v>
      </c>
      <c r="I2976" s="275" t="s">
        <v>15214</v>
      </c>
    </row>
    <row r="2977" spans="1:9" x14ac:dyDescent="0.25">
      <c r="A2977" s="420">
        <v>43031</v>
      </c>
      <c r="B2977" s="302" t="s">
        <v>34675</v>
      </c>
      <c r="C2977">
        <v>132540</v>
      </c>
      <c r="D2977" s="275" t="s">
        <v>15555</v>
      </c>
      <c r="E2977" s="301">
        <v>4002.6</v>
      </c>
      <c r="F2977" s="303">
        <v>43032</v>
      </c>
      <c r="G2977" s="301">
        <v>4002.6</v>
      </c>
      <c r="H2977" s="301">
        <f>Tabla15[[#This Row],[Importe]]-Tabla15[[#This Row],[Pagado]]</f>
        <v>0</v>
      </c>
      <c r="I2977" s="275" t="s">
        <v>15214</v>
      </c>
    </row>
    <row r="2978" spans="1:9" x14ac:dyDescent="0.25">
      <c r="A2978" s="420">
        <v>43031</v>
      </c>
      <c r="B2978" s="302" t="s">
        <v>34676</v>
      </c>
      <c r="C2978">
        <v>132541</v>
      </c>
      <c r="D2978" s="275" t="s">
        <v>15699</v>
      </c>
      <c r="E2978" s="301">
        <v>2864.85</v>
      </c>
      <c r="F2978" s="303">
        <v>43032</v>
      </c>
      <c r="G2978" s="301">
        <v>2864.85</v>
      </c>
      <c r="H2978" s="301">
        <f>Tabla15[[#This Row],[Importe]]-Tabla15[[#This Row],[Pagado]]</f>
        <v>0</v>
      </c>
      <c r="I2978" s="275" t="s">
        <v>15214</v>
      </c>
    </row>
    <row r="2979" spans="1:9" ht="30" x14ac:dyDescent="0.25">
      <c r="A2979" s="420">
        <v>43031</v>
      </c>
      <c r="B2979" s="302" t="s">
        <v>34677</v>
      </c>
      <c r="C2979">
        <v>132542</v>
      </c>
      <c r="D2979" s="275" t="s">
        <v>15903</v>
      </c>
      <c r="E2979" s="301">
        <v>48275.199999999997</v>
      </c>
      <c r="F2979" s="303" t="s">
        <v>34160</v>
      </c>
      <c r="G2979" s="305">
        <f>32000+16275.2</f>
        <v>48275.199999999997</v>
      </c>
      <c r="H2979" s="305">
        <f>Tabla15[[#This Row],[Importe]]-Tabla15[[#This Row],[Pagado]]</f>
        <v>0</v>
      </c>
      <c r="I2979" s="275" t="s">
        <v>15214</v>
      </c>
    </row>
    <row r="2980" spans="1:9" ht="30" x14ac:dyDescent="0.25">
      <c r="A2980" s="420">
        <v>43031</v>
      </c>
      <c r="B2980" s="302" t="s">
        <v>34678</v>
      </c>
      <c r="C2980">
        <v>132543</v>
      </c>
      <c r="D2980" s="275" t="s">
        <v>15628</v>
      </c>
      <c r="E2980" s="301">
        <v>20388.5</v>
      </c>
      <c r="F2980" s="303" t="s">
        <v>34679</v>
      </c>
      <c r="G2980" s="305">
        <f>4700+15688.5</f>
        <v>20388.5</v>
      </c>
      <c r="H2980" s="305">
        <f>Tabla15[[#This Row],[Importe]]-Tabla15[[#This Row],[Pagado]]</f>
        <v>0</v>
      </c>
      <c r="I2980" s="275" t="s">
        <v>15214</v>
      </c>
    </row>
    <row r="2981" spans="1:9" x14ac:dyDescent="0.25">
      <c r="A2981" s="420">
        <v>43031</v>
      </c>
      <c r="B2981" s="302" t="s">
        <v>34680</v>
      </c>
      <c r="C2981">
        <v>132544</v>
      </c>
      <c r="D2981" s="275" t="s">
        <v>15250</v>
      </c>
      <c r="E2981" s="301">
        <v>40274.589999999997</v>
      </c>
      <c r="F2981" s="303">
        <v>43038</v>
      </c>
      <c r="G2981" s="301">
        <v>40274.589999999997</v>
      </c>
      <c r="H2981" s="301">
        <f>Tabla15[[#This Row],[Importe]]-Tabla15[[#This Row],[Pagado]]</f>
        <v>0</v>
      </c>
      <c r="I2981" s="275" t="s">
        <v>15214</v>
      </c>
    </row>
    <row r="2982" spans="1:9" x14ac:dyDescent="0.25">
      <c r="A2982" s="420">
        <v>43031</v>
      </c>
      <c r="B2982" s="302" t="s">
        <v>34681</v>
      </c>
      <c r="C2982">
        <v>132545</v>
      </c>
      <c r="D2982" s="275" t="s">
        <v>15298</v>
      </c>
      <c r="E2982" s="301">
        <v>21178.75</v>
      </c>
      <c r="F2982" s="303">
        <v>43041</v>
      </c>
      <c r="G2982" s="301">
        <v>21178.75</v>
      </c>
      <c r="H2982" s="301">
        <f>Tabla15[[#This Row],[Importe]]-Tabla15[[#This Row],[Pagado]]</f>
        <v>0</v>
      </c>
      <c r="I2982" s="275" t="s">
        <v>15214</v>
      </c>
    </row>
    <row r="2983" spans="1:9" x14ac:dyDescent="0.25">
      <c r="A2983" s="420">
        <v>43031</v>
      </c>
      <c r="B2983" s="302" t="s">
        <v>34682</v>
      </c>
      <c r="C2983">
        <v>132546</v>
      </c>
      <c r="D2983" s="275" t="s">
        <v>15248</v>
      </c>
      <c r="E2983" s="301">
        <v>1012.8</v>
      </c>
      <c r="F2983" s="303">
        <v>43031</v>
      </c>
      <c r="G2983" s="301">
        <v>1012.8</v>
      </c>
      <c r="H2983" s="301">
        <f>Tabla15[[#This Row],[Importe]]-Tabla15[[#This Row],[Pagado]]</f>
        <v>0</v>
      </c>
      <c r="I2983" s="275" t="s">
        <v>15214</v>
      </c>
    </row>
    <row r="2984" spans="1:9" x14ac:dyDescent="0.25">
      <c r="A2984" s="420">
        <v>43031</v>
      </c>
      <c r="B2984" s="302" t="s">
        <v>34683</v>
      </c>
      <c r="C2984">
        <v>132547</v>
      </c>
      <c r="D2984" s="275" t="s">
        <v>15365</v>
      </c>
      <c r="E2984" s="301">
        <v>392150</v>
      </c>
      <c r="F2984" s="303">
        <v>43032</v>
      </c>
      <c r="G2984" s="301">
        <v>392150</v>
      </c>
      <c r="H2984" s="301">
        <f>Tabla15[[#This Row],[Importe]]-Tabla15[[#This Row],[Pagado]]</f>
        <v>0</v>
      </c>
      <c r="I2984" s="275" t="s">
        <v>15214</v>
      </c>
    </row>
    <row r="2985" spans="1:9" x14ac:dyDescent="0.25">
      <c r="A2985" s="420">
        <v>43031</v>
      </c>
      <c r="B2985" s="302" t="s">
        <v>34684</v>
      </c>
      <c r="C2985">
        <v>132548</v>
      </c>
      <c r="D2985" s="275" t="s">
        <v>15230</v>
      </c>
      <c r="E2985" s="301">
        <v>2847</v>
      </c>
      <c r="F2985" s="303">
        <v>43033</v>
      </c>
      <c r="G2985" s="301">
        <v>2847</v>
      </c>
      <c r="H2985" s="301">
        <f>Tabla15[[#This Row],[Importe]]-Tabla15[[#This Row],[Pagado]]</f>
        <v>0</v>
      </c>
      <c r="I2985" s="275" t="s">
        <v>15214</v>
      </c>
    </row>
    <row r="2986" spans="1:9" x14ac:dyDescent="0.25">
      <c r="A2986" s="420">
        <v>43031</v>
      </c>
      <c r="B2986" s="302" t="s">
        <v>34685</v>
      </c>
      <c r="C2986">
        <v>132549</v>
      </c>
      <c r="D2986" s="275" t="s">
        <v>15444</v>
      </c>
      <c r="E2986" s="301">
        <v>2383.3000000000002</v>
      </c>
      <c r="F2986" s="303">
        <v>43032</v>
      </c>
      <c r="G2986" s="301">
        <v>2383.3000000000002</v>
      </c>
      <c r="H2986" s="301">
        <f>Tabla15[[#This Row],[Importe]]-Tabla15[[#This Row],[Pagado]]</f>
        <v>0</v>
      </c>
      <c r="I2986" s="275" t="s">
        <v>15214</v>
      </c>
    </row>
    <row r="2987" spans="1:9" x14ac:dyDescent="0.25">
      <c r="A2987" s="420">
        <v>43031</v>
      </c>
      <c r="B2987" s="302" t="s">
        <v>34686</v>
      </c>
      <c r="C2987">
        <v>132550</v>
      </c>
      <c r="D2987" s="275" t="s">
        <v>15322</v>
      </c>
      <c r="E2987" s="301">
        <v>823.6</v>
      </c>
      <c r="F2987" s="303">
        <v>43031</v>
      </c>
      <c r="G2987" s="301">
        <v>823.6</v>
      </c>
      <c r="H2987" s="301">
        <f>Tabla15[[#This Row],[Importe]]-Tabla15[[#This Row],[Pagado]]</f>
        <v>0</v>
      </c>
      <c r="I2987" s="275" t="s">
        <v>15214</v>
      </c>
    </row>
    <row r="2988" spans="1:9" x14ac:dyDescent="0.25">
      <c r="A2988" s="420">
        <v>43031</v>
      </c>
      <c r="B2988" s="302" t="s">
        <v>34687</v>
      </c>
      <c r="C2988">
        <v>132551</v>
      </c>
      <c r="D2988" s="275" t="s">
        <v>15284</v>
      </c>
      <c r="E2988" s="301">
        <v>306</v>
      </c>
      <c r="F2988" s="303">
        <v>43031</v>
      </c>
      <c r="G2988" s="301">
        <v>306</v>
      </c>
      <c r="H2988" s="301">
        <f>Tabla15[[#This Row],[Importe]]-Tabla15[[#This Row],[Pagado]]</f>
        <v>0</v>
      </c>
      <c r="I2988" s="275" t="s">
        <v>15214</v>
      </c>
    </row>
    <row r="2989" spans="1:9" x14ac:dyDescent="0.25">
      <c r="A2989" s="420">
        <v>43031</v>
      </c>
      <c r="B2989" s="302" t="s">
        <v>34688</v>
      </c>
      <c r="C2989">
        <v>132552</v>
      </c>
      <c r="D2989" s="275" t="s">
        <v>15448</v>
      </c>
      <c r="E2989" s="301">
        <v>140130.47</v>
      </c>
      <c r="F2989" s="303">
        <v>43033</v>
      </c>
      <c r="G2989" s="301">
        <v>140130.47</v>
      </c>
      <c r="H2989" s="301">
        <f>Tabla15[[#This Row],[Importe]]-Tabla15[[#This Row],[Pagado]]</f>
        <v>0</v>
      </c>
      <c r="I2989" s="275" t="s">
        <v>15214</v>
      </c>
    </row>
    <row r="2990" spans="1:9" x14ac:dyDescent="0.25">
      <c r="A2990" s="420">
        <v>43031</v>
      </c>
      <c r="B2990" s="302" t="s">
        <v>34689</v>
      </c>
      <c r="C2990">
        <v>132553</v>
      </c>
      <c r="D2990" s="275" t="s">
        <v>15246</v>
      </c>
      <c r="E2990" s="301">
        <v>57106.6</v>
      </c>
      <c r="F2990" s="303">
        <v>43033</v>
      </c>
      <c r="G2990" s="301">
        <v>57106.6</v>
      </c>
      <c r="H2990" s="301">
        <f>Tabla15[[#This Row],[Importe]]-Tabla15[[#This Row],[Pagado]]</f>
        <v>0</v>
      </c>
      <c r="I2990" s="275" t="s">
        <v>15214</v>
      </c>
    </row>
    <row r="2991" spans="1:9" x14ac:dyDescent="0.25">
      <c r="A2991" s="420">
        <v>43031</v>
      </c>
      <c r="B2991" s="302" t="s">
        <v>34690</v>
      </c>
      <c r="C2991">
        <v>132554</v>
      </c>
      <c r="D2991" s="275" t="s">
        <v>17462</v>
      </c>
      <c r="E2991" s="301">
        <v>1774.6</v>
      </c>
      <c r="F2991" s="303">
        <v>43031</v>
      </c>
      <c r="G2991" s="301">
        <v>1774.6</v>
      </c>
      <c r="H2991" s="301">
        <f>Tabla15[[#This Row],[Importe]]-Tabla15[[#This Row],[Pagado]]</f>
        <v>0</v>
      </c>
      <c r="I2991" s="275" t="s">
        <v>15214</v>
      </c>
    </row>
    <row r="2992" spans="1:9" x14ac:dyDescent="0.25">
      <c r="A2992" s="420">
        <v>43031</v>
      </c>
      <c r="B2992" s="302" t="s">
        <v>34691</v>
      </c>
      <c r="C2992">
        <v>132555</v>
      </c>
      <c r="D2992" s="275" t="s">
        <v>27224</v>
      </c>
      <c r="E2992" s="301">
        <v>7938</v>
      </c>
      <c r="F2992" s="303">
        <v>43031</v>
      </c>
      <c r="G2992" s="301">
        <v>7938</v>
      </c>
      <c r="H2992" s="301">
        <f>Tabla15[[#This Row],[Importe]]-Tabla15[[#This Row],[Pagado]]</f>
        <v>0</v>
      </c>
      <c r="I2992" s="275" t="s">
        <v>15214</v>
      </c>
    </row>
    <row r="2993" spans="1:9" x14ac:dyDescent="0.25">
      <c r="A2993" s="420">
        <v>43031</v>
      </c>
      <c r="B2993" s="302" t="s">
        <v>34692</v>
      </c>
      <c r="C2993">
        <v>132556</v>
      </c>
      <c r="D2993" s="275" t="s">
        <v>15365</v>
      </c>
      <c r="E2993" s="301">
        <v>403340</v>
      </c>
      <c r="F2993" s="303">
        <v>43033</v>
      </c>
      <c r="G2993" s="301">
        <v>403340</v>
      </c>
      <c r="H2993" s="301">
        <f>Tabla15[[#This Row],[Importe]]-Tabla15[[#This Row],[Pagado]]</f>
        <v>0</v>
      </c>
      <c r="I2993" s="275" t="s">
        <v>15214</v>
      </c>
    </row>
    <row r="2994" spans="1:9" x14ac:dyDescent="0.25">
      <c r="A2994" s="420">
        <v>43031</v>
      </c>
      <c r="B2994" s="302" t="s">
        <v>34693</v>
      </c>
      <c r="C2994">
        <v>132557</v>
      </c>
      <c r="D2994" s="275" t="s">
        <v>19765</v>
      </c>
      <c r="E2994" s="301">
        <v>3500</v>
      </c>
      <c r="F2994" s="303">
        <v>43032</v>
      </c>
      <c r="G2994" s="301">
        <v>3500</v>
      </c>
      <c r="H2994" s="301">
        <f>Tabla15[[#This Row],[Importe]]-Tabla15[[#This Row],[Pagado]]</f>
        <v>0</v>
      </c>
      <c r="I2994" s="275" t="s">
        <v>15214</v>
      </c>
    </row>
    <row r="2995" spans="1:9" x14ac:dyDescent="0.25">
      <c r="A2995" s="420">
        <v>43031</v>
      </c>
      <c r="B2995" s="302" t="s">
        <v>34694</v>
      </c>
      <c r="C2995">
        <v>132558</v>
      </c>
      <c r="D2995" s="275" t="s">
        <v>19742</v>
      </c>
      <c r="E2995" s="301">
        <v>3500</v>
      </c>
      <c r="F2995" s="303">
        <v>43032</v>
      </c>
      <c r="G2995" s="301">
        <v>3500</v>
      </c>
      <c r="H2995" s="301">
        <f>Tabla15[[#This Row],[Importe]]-Tabla15[[#This Row],[Pagado]]</f>
        <v>0</v>
      </c>
      <c r="I2995" s="275" t="s">
        <v>15214</v>
      </c>
    </row>
    <row r="2996" spans="1:9" x14ac:dyDescent="0.25">
      <c r="A2996" s="420">
        <v>43031</v>
      </c>
      <c r="B2996" s="302" t="s">
        <v>34695</v>
      </c>
      <c r="C2996">
        <v>132559</v>
      </c>
      <c r="D2996" s="275" t="s">
        <v>15448</v>
      </c>
      <c r="E2996" s="301">
        <v>46268.800000000003</v>
      </c>
      <c r="F2996" s="303">
        <v>43033</v>
      </c>
      <c r="G2996" s="301">
        <v>46268.800000000003</v>
      </c>
      <c r="H2996" s="301">
        <f>Tabla15[[#This Row],[Importe]]-Tabla15[[#This Row],[Pagado]]</f>
        <v>0</v>
      </c>
      <c r="I2996" s="275" t="s">
        <v>15214</v>
      </c>
    </row>
    <row r="2997" spans="1:9" x14ac:dyDescent="0.25">
      <c r="A2997" s="420">
        <v>43031</v>
      </c>
      <c r="B2997" s="302" t="s">
        <v>34696</v>
      </c>
      <c r="C2997">
        <v>132560</v>
      </c>
      <c r="D2997" s="275" t="s">
        <v>5757</v>
      </c>
      <c r="E2997" s="301">
        <v>2283</v>
      </c>
      <c r="F2997" s="303">
        <v>43032</v>
      </c>
      <c r="G2997" s="301">
        <v>2283</v>
      </c>
      <c r="H2997" s="301">
        <f>Tabla15[[#This Row],[Importe]]-Tabla15[[#This Row],[Pagado]]</f>
        <v>0</v>
      </c>
      <c r="I2997" s="275" t="s">
        <v>15214</v>
      </c>
    </row>
    <row r="2998" spans="1:9" x14ac:dyDescent="0.25">
      <c r="A2998" s="420">
        <v>43031</v>
      </c>
      <c r="B2998" s="302" t="s">
        <v>34697</v>
      </c>
      <c r="C2998">
        <v>132561</v>
      </c>
      <c r="D2998" s="275" t="s">
        <v>15385</v>
      </c>
      <c r="E2998" s="301">
        <v>9682.7000000000007</v>
      </c>
      <c r="F2998" s="303">
        <v>43032</v>
      </c>
      <c r="G2998" s="301">
        <v>9682.7000000000007</v>
      </c>
      <c r="H2998" s="301">
        <f>Tabla15[[#This Row],[Importe]]-Tabla15[[#This Row],[Pagado]]</f>
        <v>0</v>
      </c>
      <c r="I2998" s="275" t="s">
        <v>15214</v>
      </c>
    </row>
    <row r="2999" spans="1:9" x14ac:dyDescent="0.25">
      <c r="A2999" s="420">
        <v>43032</v>
      </c>
      <c r="B2999" s="302" t="s">
        <v>34698</v>
      </c>
      <c r="C2999">
        <v>132562</v>
      </c>
      <c r="D2999" s="275" t="s">
        <v>21386</v>
      </c>
      <c r="E2999" s="301">
        <v>9125</v>
      </c>
      <c r="F2999" s="303">
        <v>43033</v>
      </c>
      <c r="G2999" s="301">
        <v>9125</v>
      </c>
      <c r="H2999" s="301">
        <f>Tabla15[[#This Row],[Importe]]-Tabla15[[#This Row],[Pagado]]</f>
        <v>0</v>
      </c>
      <c r="I2999" s="275" t="s">
        <v>15214</v>
      </c>
    </row>
    <row r="3000" spans="1:9" ht="15.75" x14ac:dyDescent="0.25">
      <c r="A3000" s="420">
        <v>43032</v>
      </c>
      <c r="B3000" s="302" t="s">
        <v>34699</v>
      </c>
      <c r="C3000">
        <v>132563</v>
      </c>
      <c r="D3000" s="248" t="s">
        <v>95</v>
      </c>
      <c r="E3000" s="301">
        <v>0</v>
      </c>
      <c r="F3000" s="243" t="s">
        <v>95</v>
      </c>
      <c r="G3000" s="301">
        <v>0</v>
      </c>
      <c r="H3000" s="301">
        <f>Tabla15[[#This Row],[Importe]]-Tabla15[[#This Row],[Pagado]]</f>
        <v>0</v>
      </c>
      <c r="I3000" s="275" t="s">
        <v>95</v>
      </c>
    </row>
    <row r="3001" spans="1:9" x14ac:dyDescent="0.25">
      <c r="A3001" s="420">
        <v>43032</v>
      </c>
      <c r="B3001" s="302" t="s">
        <v>34700</v>
      </c>
      <c r="C3001">
        <v>132564</v>
      </c>
      <c r="D3001" s="275" t="s">
        <v>15213</v>
      </c>
      <c r="E3001" s="301">
        <v>47070.400000000001</v>
      </c>
      <c r="F3001" s="303">
        <v>43033</v>
      </c>
      <c r="G3001" s="301">
        <v>47070.400000000001</v>
      </c>
      <c r="H3001" s="301">
        <f>Tabla15[[#This Row],[Importe]]-Tabla15[[#This Row],[Pagado]]</f>
        <v>0</v>
      </c>
      <c r="I3001" s="275" t="s">
        <v>15214</v>
      </c>
    </row>
    <row r="3002" spans="1:9" x14ac:dyDescent="0.25">
      <c r="A3002" s="420">
        <v>43032</v>
      </c>
      <c r="B3002" s="302" t="s">
        <v>34701</v>
      </c>
      <c r="C3002">
        <v>132565</v>
      </c>
      <c r="D3002" s="275" t="s">
        <v>15216</v>
      </c>
      <c r="E3002" s="301">
        <v>2254</v>
      </c>
      <c r="F3002" s="303">
        <v>43032</v>
      </c>
      <c r="G3002" s="301">
        <v>2254</v>
      </c>
      <c r="H3002" s="301">
        <f>Tabla15[[#This Row],[Importe]]-Tabla15[[#This Row],[Pagado]]</f>
        <v>0</v>
      </c>
      <c r="I3002" s="275" t="s">
        <v>15214</v>
      </c>
    </row>
    <row r="3003" spans="1:9" x14ac:dyDescent="0.25">
      <c r="A3003" s="420">
        <v>43032</v>
      </c>
      <c r="B3003" s="302" t="s">
        <v>34702</v>
      </c>
      <c r="C3003">
        <v>132566</v>
      </c>
      <c r="D3003" s="275" t="s">
        <v>15583</v>
      </c>
      <c r="E3003" s="301">
        <v>1504</v>
      </c>
      <c r="F3003" s="303">
        <v>43033</v>
      </c>
      <c r="G3003" s="301">
        <v>1504</v>
      </c>
      <c r="H3003" s="301">
        <f>Tabla15[[#This Row],[Importe]]-Tabla15[[#This Row],[Pagado]]</f>
        <v>0</v>
      </c>
      <c r="I3003" s="275" t="s">
        <v>15214</v>
      </c>
    </row>
    <row r="3004" spans="1:9" x14ac:dyDescent="0.25">
      <c r="A3004" s="420">
        <v>43032</v>
      </c>
      <c r="B3004" s="302" t="s">
        <v>34703</v>
      </c>
      <c r="C3004">
        <v>132567</v>
      </c>
      <c r="D3004" s="275" t="s">
        <v>15330</v>
      </c>
      <c r="E3004" s="301">
        <v>3560.6</v>
      </c>
      <c r="F3004" s="303">
        <v>43032</v>
      </c>
      <c r="G3004" s="301">
        <v>3560.6</v>
      </c>
      <c r="H3004" s="301">
        <f>Tabla15[[#This Row],[Importe]]-Tabla15[[#This Row],[Pagado]]</f>
        <v>0</v>
      </c>
      <c r="I3004" s="275" t="s">
        <v>15214</v>
      </c>
    </row>
    <row r="3005" spans="1:9" x14ac:dyDescent="0.25">
      <c r="A3005" s="420">
        <v>43032</v>
      </c>
      <c r="B3005" s="302" t="s">
        <v>34704</v>
      </c>
      <c r="C3005">
        <v>132568</v>
      </c>
      <c r="D3005" s="275" t="s">
        <v>15330</v>
      </c>
      <c r="E3005" s="301">
        <v>1386</v>
      </c>
      <c r="F3005" s="303">
        <v>43032</v>
      </c>
      <c r="G3005" s="301">
        <v>1386</v>
      </c>
      <c r="H3005" s="301">
        <f>Tabla15[[#This Row],[Importe]]-Tabla15[[#This Row],[Pagado]]</f>
        <v>0</v>
      </c>
      <c r="I3005" s="275" t="s">
        <v>15214</v>
      </c>
    </row>
    <row r="3006" spans="1:9" x14ac:dyDescent="0.25">
      <c r="A3006" s="420">
        <v>43032</v>
      </c>
      <c r="B3006" s="302" t="s">
        <v>34705</v>
      </c>
      <c r="C3006">
        <v>132569</v>
      </c>
      <c r="D3006" s="275" t="s">
        <v>15407</v>
      </c>
      <c r="E3006" s="301">
        <v>4037.6</v>
      </c>
      <c r="F3006" s="303">
        <v>43032</v>
      </c>
      <c r="G3006" s="301">
        <v>4037.6</v>
      </c>
      <c r="H3006" s="301">
        <f>Tabla15[[#This Row],[Importe]]-Tabla15[[#This Row],[Pagado]]</f>
        <v>0</v>
      </c>
      <c r="I3006" s="275" t="s">
        <v>15214</v>
      </c>
    </row>
    <row r="3007" spans="1:9" x14ac:dyDescent="0.25">
      <c r="A3007" s="420">
        <v>43032</v>
      </c>
      <c r="B3007" s="302" t="s">
        <v>34706</v>
      </c>
      <c r="C3007">
        <v>132570</v>
      </c>
      <c r="D3007" s="275" t="s">
        <v>15407</v>
      </c>
      <c r="E3007" s="301">
        <v>11749.5</v>
      </c>
      <c r="F3007" s="303">
        <v>43035</v>
      </c>
      <c r="G3007" s="301">
        <v>11749.5</v>
      </c>
      <c r="H3007" s="301">
        <f>Tabla15[[#This Row],[Importe]]-Tabla15[[#This Row],[Pagado]]</f>
        <v>0</v>
      </c>
      <c r="I3007" s="275" t="s">
        <v>15214</v>
      </c>
    </row>
    <row r="3008" spans="1:9" x14ac:dyDescent="0.25">
      <c r="A3008" s="420">
        <v>43032</v>
      </c>
      <c r="B3008" s="302" t="s">
        <v>34707</v>
      </c>
      <c r="C3008">
        <v>132571</v>
      </c>
      <c r="D3008" s="275" t="s">
        <v>15526</v>
      </c>
      <c r="E3008" s="301">
        <v>2006.8</v>
      </c>
      <c r="F3008" s="303">
        <v>43032</v>
      </c>
      <c r="G3008" s="301">
        <v>2006.8</v>
      </c>
      <c r="H3008" s="301">
        <f>Tabla15[[#This Row],[Importe]]-Tabla15[[#This Row],[Pagado]]</f>
        <v>0</v>
      </c>
      <c r="I3008" s="275" t="s">
        <v>15214</v>
      </c>
    </row>
    <row r="3009" spans="1:9" x14ac:dyDescent="0.25">
      <c r="A3009" s="420">
        <v>43032</v>
      </c>
      <c r="B3009" s="302" t="s">
        <v>34708</v>
      </c>
      <c r="C3009">
        <v>132572</v>
      </c>
      <c r="D3009" s="275" t="s">
        <v>15332</v>
      </c>
      <c r="E3009" s="301">
        <v>3238.3</v>
      </c>
      <c r="F3009" s="303">
        <v>43032</v>
      </c>
      <c r="G3009" s="301">
        <v>3238.3</v>
      </c>
      <c r="H3009" s="301">
        <f>Tabla15[[#This Row],[Importe]]-Tabla15[[#This Row],[Pagado]]</f>
        <v>0</v>
      </c>
      <c r="I3009" s="275" t="s">
        <v>15214</v>
      </c>
    </row>
    <row r="3010" spans="1:9" x14ac:dyDescent="0.25">
      <c r="A3010" s="420">
        <v>43032</v>
      </c>
      <c r="B3010" s="302" t="s">
        <v>34709</v>
      </c>
      <c r="C3010">
        <v>132573</v>
      </c>
      <c r="D3010" s="275" t="s">
        <v>15487</v>
      </c>
      <c r="E3010" s="301">
        <v>14172.2</v>
      </c>
      <c r="F3010" s="303">
        <v>43032</v>
      </c>
      <c r="G3010" s="301">
        <v>14172.2</v>
      </c>
      <c r="H3010" s="301">
        <f>Tabla15[[#This Row],[Importe]]-Tabla15[[#This Row],[Pagado]]</f>
        <v>0</v>
      </c>
      <c r="I3010" s="275" t="s">
        <v>15214</v>
      </c>
    </row>
    <row r="3011" spans="1:9" x14ac:dyDescent="0.25">
      <c r="A3011" s="420">
        <v>43032</v>
      </c>
      <c r="B3011" s="302" t="s">
        <v>34710</v>
      </c>
      <c r="C3011">
        <v>132574</v>
      </c>
      <c r="D3011" s="275" t="s">
        <v>15226</v>
      </c>
      <c r="E3011" s="301">
        <v>2610.9</v>
      </c>
      <c r="F3011" s="303">
        <v>43033</v>
      </c>
      <c r="G3011" s="301">
        <v>2610.9</v>
      </c>
      <c r="H3011" s="301">
        <f>Tabla15[[#This Row],[Importe]]-Tabla15[[#This Row],[Pagado]]</f>
        <v>0</v>
      </c>
      <c r="I3011" s="275" t="s">
        <v>15214</v>
      </c>
    </row>
    <row r="3012" spans="1:9" x14ac:dyDescent="0.25">
      <c r="A3012" s="420">
        <v>43032</v>
      </c>
      <c r="B3012" s="302" t="s">
        <v>34711</v>
      </c>
      <c r="C3012">
        <v>132575</v>
      </c>
      <c r="D3012" s="275" t="s">
        <v>15348</v>
      </c>
      <c r="E3012" s="301">
        <v>3200.4</v>
      </c>
      <c r="F3012" s="303">
        <v>43034</v>
      </c>
      <c r="G3012" s="301">
        <v>3200.4</v>
      </c>
      <c r="H3012" s="301">
        <f>Tabla15[[#This Row],[Importe]]-Tabla15[[#This Row],[Pagado]]</f>
        <v>0</v>
      </c>
      <c r="I3012" s="275" t="s">
        <v>15214</v>
      </c>
    </row>
    <row r="3013" spans="1:9" x14ac:dyDescent="0.25">
      <c r="A3013" s="420">
        <v>43032</v>
      </c>
      <c r="B3013" s="302" t="s">
        <v>34712</v>
      </c>
      <c r="C3013">
        <v>132576</v>
      </c>
      <c r="D3013" s="275" t="s">
        <v>15240</v>
      </c>
      <c r="E3013" s="301">
        <v>3018.4</v>
      </c>
      <c r="F3013" s="303">
        <v>43032</v>
      </c>
      <c r="G3013" s="301">
        <v>3018.4</v>
      </c>
      <c r="H3013" s="301">
        <f>Tabla15[[#This Row],[Importe]]-Tabla15[[#This Row],[Pagado]]</f>
        <v>0</v>
      </c>
      <c r="I3013" s="275" t="s">
        <v>15214</v>
      </c>
    </row>
    <row r="3014" spans="1:9" x14ac:dyDescent="0.25">
      <c r="A3014" s="420">
        <v>43032</v>
      </c>
      <c r="B3014" s="302" t="s">
        <v>34713</v>
      </c>
      <c r="C3014">
        <v>132577</v>
      </c>
      <c r="D3014" s="275" t="s">
        <v>15523</v>
      </c>
      <c r="E3014" s="301">
        <v>1920</v>
      </c>
      <c r="F3014" s="303">
        <v>43032</v>
      </c>
      <c r="G3014" s="301">
        <v>1920</v>
      </c>
      <c r="H3014" s="301">
        <f>Tabla15[[#This Row],[Importe]]-Tabla15[[#This Row],[Pagado]]</f>
        <v>0</v>
      </c>
      <c r="I3014" s="275" t="s">
        <v>15214</v>
      </c>
    </row>
    <row r="3015" spans="1:9" x14ac:dyDescent="0.25">
      <c r="A3015" s="420">
        <v>43032</v>
      </c>
      <c r="B3015" s="302" t="s">
        <v>34714</v>
      </c>
      <c r="C3015">
        <v>132578</v>
      </c>
      <c r="D3015" s="275" t="s">
        <v>15358</v>
      </c>
      <c r="E3015" s="301">
        <v>1856.5</v>
      </c>
      <c r="F3015" s="303">
        <v>43032</v>
      </c>
      <c r="G3015" s="301">
        <v>1856.5</v>
      </c>
      <c r="H3015" s="301">
        <f>Tabla15[[#This Row],[Importe]]-Tabla15[[#This Row],[Pagado]]</f>
        <v>0</v>
      </c>
      <c r="I3015" s="275" t="s">
        <v>15214</v>
      </c>
    </row>
    <row r="3016" spans="1:9" x14ac:dyDescent="0.25">
      <c r="A3016" s="420">
        <v>43032</v>
      </c>
      <c r="B3016" s="302" t="s">
        <v>34715</v>
      </c>
      <c r="C3016">
        <v>132579</v>
      </c>
      <c r="D3016" s="275" t="s">
        <v>15742</v>
      </c>
      <c r="E3016" s="301">
        <v>2212.8000000000002</v>
      </c>
      <c r="F3016" s="303">
        <v>43032</v>
      </c>
      <c r="G3016" s="301">
        <v>2212.8000000000002</v>
      </c>
      <c r="H3016" s="301">
        <f>Tabla15[[#This Row],[Importe]]-Tabla15[[#This Row],[Pagado]]</f>
        <v>0</v>
      </c>
      <c r="I3016" s="275" t="s">
        <v>15214</v>
      </c>
    </row>
    <row r="3017" spans="1:9" x14ac:dyDescent="0.25">
      <c r="A3017" s="420">
        <v>43032</v>
      </c>
      <c r="B3017" s="302" t="s">
        <v>34716</v>
      </c>
      <c r="C3017">
        <v>132580</v>
      </c>
      <c r="D3017" s="275" t="s">
        <v>15242</v>
      </c>
      <c r="E3017" s="301">
        <v>4950</v>
      </c>
      <c r="F3017" s="303">
        <v>43032</v>
      </c>
      <c r="G3017" s="301">
        <v>4950</v>
      </c>
      <c r="H3017" s="301">
        <f>Tabla15[[#This Row],[Importe]]-Tabla15[[#This Row],[Pagado]]</f>
        <v>0</v>
      </c>
      <c r="I3017" s="275" t="s">
        <v>15214</v>
      </c>
    </row>
    <row r="3018" spans="1:9" x14ac:dyDescent="0.25">
      <c r="A3018" s="420">
        <v>43032</v>
      </c>
      <c r="B3018" s="302" t="s">
        <v>34717</v>
      </c>
      <c r="C3018">
        <v>132581</v>
      </c>
      <c r="D3018" s="275" t="s">
        <v>15272</v>
      </c>
      <c r="E3018" s="301">
        <v>21401.9</v>
      </c>
      <c r="F3018" s="303">
        <v>43032</v>
      </c>
      <c r="G3018" s="301">
        <v>21401.9</v>
      </c>
      <c r="H3018" s="301">
        <f>Tabla15[[#This Row],[Importe]]-Tabla15[[#This Row],[Pagado]]</f>
        <v>0</v>
      </c>
      <c r="I3018" s="275" t="s">
        <v>15214</v>
      </c>
    </row>
    <row r="3019" spans="1:9" x14ac:dyDescent="0.25">
      <c r="A3019" s="420">
        <v>43032</v>
      </c>
      <c r="B3019" s="302" t="s">
        <v>34718</v>
      </c>
      <c r="C3019">
        <v>132582</v>
      </c>
      <c r="D3019" s="275" t="s">
        <v>15272</v>
      </c>
      <c r="E3019" s="301">
        <v>112</v>
      </c>
      <c r="F3019" s="303">
        <v>43032</v>
      </c>
      <c r="G3019" s="301">
        <v>112</v>
      </c>
      <c r="H3019" s="301">
        <f>Tabla15[[#This Row],[Importe]]-Tabla15[[#This Row],[Pagado]]</f>
        <v>0</v>
      </c>
      <c r="I3019" s="275" t="s">
        <v>15214</v>
      </c>
    </row>
    <row r="3020" spans="1:9" x14ac:dyDescent="0.25">
      <c r="A3020" s="420">
        <v>43032</v>
      </c>
      <c r="B3020" s="302" t="s">
        <v>34719</v>
      </c>
      <c r="C3020">
        <v>132583</v>
      </c>
      <c r="D3020" s="275" t="s">
        <v>15356</v>
      </c>
      <c r="E3020" s="301">
        <v>799</v>
      </c>
      <c r="F3020" s="303">
        <v>43032</v>
      </c>
      <c r="G3020" s="301">
        <v>799</v>
      </c>
      <c r="H3020" s="301">
        <f>Tabla15[[#This Row],[Importe]]-Tabla15[[#This Row],[Pagado]]</f>
        <v>0</v>
      </c>
      <c r="I3020" s="275" t="s">
        <v>15214</v>
      </c>
    </row>
    <row r="3021" spans="1:9" ht="15.75" x14ac:dyDescent="0.25">
      <c r="A3021" s="420">
        <v>43032</v>
      </c>
      <c r="B3021" s="302" t="s">
        <v>34720</v>
      </c>
      <c r="C3021">
        <v>132584</v>
      </c>
      <c r="D3021" s="248" t="s">
        <v>95</v>
      </c>
      <c r="E3021" s="301">
        <v>0</v>
      </c>
      <c r="F3021" s="243" t="s">
        <v>95</v>
      </c>
      <c r="G3021" s="301">
        <v>0</v>
      </c>
      <c r="H3021" s="301">
        <f>Tabla15[[#This Row],[Importe]]-Tabla15[[#This Row],[Pagado]]</f>
        <v>0</v>
      </c>
      <c r="I3021" s="275" t="s">
        <v>95</v>
      </c>
    </row>
    <row r="3022" spans="1:9" x14ac:dyDescent="0.25">
      <c r="A3022" s="420">
        <v>43032</v>
      </c>
      <c r="B3022" s="302" t="s">
        <v>34721</v>
      </c>
      <c r="C3022">
        <v>132585</v>
      </c>
      <c r="D3022" s="275" t="s">
        <v>17462</v>
      </c>
      <c r="E3022" s="301">
        <v>5776.4</v>
      </c>
      <c r="F3022" s="303">
        <v>43032</v>
      </c>
      <c r="G3022" s="301">
        <v>5776.4</v>
      </c>
      <c r="H3022" s="301">
        <f>Tabla15[[#This Row],[Importe]]-Tabla15[[#This Row],[Pagado]]</f>
        <v>0</v>
      </c>
      <c r="I3022" s="275" t="s">
        <v>15214</v>
      </c>
    </row>
    <row r="3023" spans="1:9" x14ac:dyDescent="0.25">
      <c r="A3023" s="420">
        <v>43032</v>
      </c>
      <c r="B3023" s="302" t="s">
        <v>34722</v>
      </c>
      <c r="C3023">
        <v>132586</v>
      </c>
      <c r="D3023" s="275" t="s">
        <v>15338</v>
      </c>
      <c r="E3023" s="301">
        <v>7930</v>
      </c>
      <c r="F3023" s="303">
        <v>43034</v>
      </c>
      <c r="G3023" s="301">
        <v>7930</v>
      </c>
      <c r="H3023" s="301">
        <f>Tabla15[[#This Row],[Importe]]-Tabla15[[#This Row],[Pagado]]</f>
        <v>0</v>
      </c>
      <c r="I3023" s="275" t="s">
        <v>15214</v>
      </c>
    </row>
    <row r="3024" spans="1:9" x14ac:dyDescent="0.25">
      <c r="A3024" s="420">
        <v>43032</v>
      </c>
      <c r="B3024" s="302" t="s">
        <v>34723</v>
      </c>
      <c r="C3024">
        <v>132587</v>
      </c>
      <c r="D3024" s="275" t="s">
        <v>15334</v>
      </c>
      <c r="E3024" s="301">
        <v>2161</v>
      </c>
      <c r="F3024" s="303">
        <v>43032</v>
      </c>
      <c r="G3024" s="301">
        <v>2161</v>
      </c>
      <c r="H3024" s="301">
        <f>Tabla15[[#This Row],[Importe]]-Tabla15[[#This Row],[Pagado]]</f>
        <v>0</v>
      </c>
      <c r="I3024" s="275" t="s">
        <v>15214</v>
      </c>
    </row>
    <row r="3025" spans="1:9" x14ac:dyDescent="0.25">
      <c r="A3025" s="420">
        <v>43032</v>
      </c>
      <c r="B3025" s="302" t="s">
        <v>34724</v>
      </c>
      <c r="C3025">
        <v>132588</v>
      </c>
      <c r="D3025" s="275" t="s">
        <v>18544</v>
      </c>
      <c r="E3025" s="301">
        <v>4004.7</v>
      </c>
      <c r="F3025" s="303">
        <v>43032</v>
      </c>
      <c r="G3025" s="301">
        <v>4004.7</v>
      </c>
      <c r="H3025" s="301">
        <f>Tabla15[[#This Row],[Importe]]-Tabla15[[#This Row],[Pagado]]</f>
        <v>0</v>
      </c>
      <c r="I3025" s="275" t="s">
        <v>15214</v>
      </c>
    </row>
    <row r="3026" spans="1:9" x14ac:dyDescent="0.25">
      <c r="A3026" s="420">
        <v>43032</v>
      </c>
      <c r="B3026" s="302" t="s">
        <v>34725</v>
      </c>
      <c r="C3026">
        <v>132589</v>
      </c>
      <c r="D3026" s="275" t="s">
        <v>19302</v>
      </c>
      <c r="E3026" s="301">
        <v>480</v>
      </c>
      <c r="F3026" s="303">
        <v>43032</v>
      </c>
      <c r="G3026" s="301">
        <v>480</v>
      </c>
      <c r="H3026" s="301">
        <f>Tabla15[[#This Row],[Importe]]-Tabla15[[#This Row],[Pagado]]</f>
        <v>0</v>
      </c>
      <c r="I3026" s="275" t="s">
        <v>15214</v>
      </c>
    </row>
    <row r="3027" spans="1:9" ht="30" x14ac:dyDescent="0.25">
      <c r="A3027" s="420">
        <v>43032</v>
      </c>
      <c r="B3027" s="302" t="s">
        <v>34726</v>
      </c>
      <c r="C3027">
        <v>132590</v>
      </c>
      <c r="D3027" s="275" t="s">
        <v>19780</v>
      </c>
      <c r="E3027" s="301">
        <v>9819.2999999999993</v>
      </c>
      <c r="F3027" s="303" t="s">
        <v>34727</v>
      </c>
      <c r="G3027" s="305">
        <f>5000+4819.3</f>
        <v>9819.2999999999993</v>
      </c>
      <c r="H3027" s="305">
        <f>Tabla15[[#This Row],[Importe]]-Tabla15[[#This Row],[Pagado]]</f>
        <v>0</v>
      </c>
      <c r="I3027" s="275" t="s">
        <v>15214</v>
      </c>
    </row>
    <row r="3028" spans="1:9" x14ac:dyDescent="0.25">
      <c r="A3028" s="420">
        <v>43032</v>
      </c>
      <c r="B3028" s="302" t="s">
        <v>34728</v>
      </c>
      <c r="C3028">
        <v>132591</v>
      </c>
      <c r="D3028" s="275" t="s">
        <v>15232</v>
      </c>
      <c r="E3028" s="301">
        <v>5971.4</v>
      </c>
      <c r="F3028" s="303">
        <v>43034</v>
      </c>
      <c r="G3028" s="301">
        <v>5971.4</v>
      </c>
      <c r="H3028" s="301">
        <f>Tabla15[[#This Row],[Importe]]-Tabla15[[#This Row],[Pagado]]</f>
        <v>0</v>
      </c>
      <c r="I3028" s="275" t="s">
        <v>15214</v>
      </c>
    </row>
    <row r="3029" spans="1:9" x14ac:dyDescent="0.25">
      <c r="A3029" s="420">
        <v>43032</v>
      </c>
      <c r="B3029" s="302" t="s">
        <v>34729</v>
      </c>
      <c r="C3029">
        <v>132592</v>
      </c>
      <c r="D3029" s="275" t="s">
        <v>15258</v>
      </c>
      <c r="E3029" s="301">
        <v>9428.7999999999993</v>
      </c>
      <c r="F3029" s="303">
        <v>43034</v>
      </c>
      <c r="G3029" s="301">
        <v>9428.7999999999993</v>
      </c>
      <c r="H3029" s="301">
        <f>Tabla15[[#This Row],[Importe]]-Tabla15[[#This Row],[Pagado]]</f>
        <v>0</v>
      </c>
      <c r="I3029" s="275" t="s">
        <v>15214</v>
      </c>
    </row>
    <row r="3030" spans="1:9" x14ac:dyDescent="0.25">
      <c r="A3030" s="420">
        <v>43032</v>
      </c>
      <c r="B3030" s="302" t="s">
        <v>34730</v>
      </c>
      <c r="C3030">
        <v>132593</v>
      </c>
      <c r="D3030" s="275" t="s">
        <v>15748</v>
      </c>
      <c r="E3030" s="301">
        <v>1714.2</v>
      </c>
      <c r="F3030" s="303">
        <v>43032</v>
      </c>
      <c r="G3030" s="301">
        <v>1714.2</v>
      </c>
      <c r="H3030" s="301">
        <f>Tabla15[[#This Row],[Importe]]-Tabla15[[#This Row],[Pagado]]</f>
        <v>0</v>
      </c>
      <c r="I3030" s="275" t="s">
        <v>15214</v>
      </c>
    </row>
    <row r="3031" spans="1:9" x14ac:dyDescent="0.25">
      <c r="A3031" s="420">
        <v>43032</v>
      </c>
      <c r="B3031" s="302" t="s">
        <v>34731</v>
      </c>
      <c r="C3031">
        <v>132594</v>
      </c>
      <c r="D3031" s="275" t="s">
        <v>15263</v>
      </c>
      <c r="E3031" s="301">
        <v>2237.8000000000002</v>
      </c>
      <c r="F3031" s="303">
        <v>43032</v>
      </c>
      <c r="G3031" s="301">
        <v>2237.8000000000002</v>
      </c>
      <c r="H3031" s="301">
        <f>Tabla15[[#This Row],[Importe]]-Tabla15[[#This Row],[Pagado]]</f>
        <v>0</v>
      </c>
      <c r="I3031" s="275" t="s">
        <v>15214</v>
      </c>
    </row>
    <row r="3032" spans="1:9" x14ac:dyDescent="0.25">
      <c r="A3032" s="420">
        <v>43032</v>
      </c>
      <c r="B3032" s="302" t="s">
        <v>34732</v>
      </c>
      <c r="C3032">
        <v>132595</v>
      </c>
      <c r="D3032" s="275" t="s">
        <v>15234</v>
      </c>
      <c r="E3032" s="301">
        <v>3045.9</v>
      </c>
      <c r="F3032" s="303">
        <v>43034</v>
      </c>
      <c r="G3032" s="301">
        <v>3045.9</v>
      </c>
      <c r="H3032" s="301">
        <f>Tabla15[[#This Row],[Importe]]-Tabla15[[#This Row],[Pagado]]</f>
        <v>0</v>
      </c>
      <c r="I3032" s="275" t="s">
        <v>15214</v>
      </c>
    </row>
    <row r="3033" spans="1:9" x14ac:dyDescent="0.25">
      <c r="A3033" s="420">
        <v>43032</v>
      </c>
      <c r="B3033" s="302" t="s">
        <v>34733</v>
      </c>
      <c r="C3033">
        <v>132596</v>
      </c>
      <c r="D3033" s="275" t="s">
        <v>15236</v>
      </c>
      <c r="E3033" s="301">
        <v>3280.2</v>
      </c>
      <c r="F3033" s="303">
        <v>43034</v>
      </c>
      <c r="G3033" s="301">
        <v>3280.2</v>
      </c>
      <c r="H3033" s="301">
        <f>Tabla15[[#This Row],[Importe]]-Tabla15[[#This Row],[Pagado]]</f>
        <v>0</v>
      </c>
      <c r="I3033" s="275" t="s">
        <v>15214</v>
      </c>
    </row>
    <row r="3034" spans="1:9" x14ac:dyDescent="0.25">
      <c r="A3034" s="420">
        <v>43032</v>
      </c>
      <c r="B3034" s="302" t="s">
        <v>34734</v>
      </c>
      <c r="C3034">
        <v>132597</v>
      </c>
      <c r="D3034" s="275" t="s">
        <v>15668</v>
      </c>
      <c r="E3034" s="301">
        <v>16727.599999999999</v>
      </c>
      <c r="F3034" s="303">
        <v>43034</v>
      </c>
      <c r="G3034" s="301">
        <v>16727.599999999999</v>
      </c>
      <c r="H3034" s="301">
        <f>Tabla15[[#This Row],[Importe]]-Tabla15[[#This Row],[Pagado]]</f>
        <v>0</v>
      </c>
      <c r="I3034" s="275" t="s">
        <v>15214</v>
      </c>
    </row>
    <row r="3035" spans="1:9" x14ac:dyDescent="0.25">
      <c r="A3035" s="420">
        <v>43032</v>
      </c>
      <c r="B3035" s="302" t="s">
        <v>34735</v>
      </c>
      <c r="C3035">
        <v>132598</v>
      </c>
      <c r="D3035" s="275" t="s">
        <v>15220</v>
      </c>
      <c r="E3035" s="301">
        <v>2160</v>
      </c>
      <c r="F3035" s="303">
        <v>43032</v>
      </c>
      <c r="G3035" s="301">
        <v>2160</v>
      </c>
      <c r="H3035" s="301">
        <f>Tabla15[[#This Row],[Importe]]-Tabla15[[#This Row],[Pagado]]</f>
        <v>0</v>
      </c>
      <c r="I3035" s="275" t="s">
        <v>15214</v>
      </c>
    </row>
    <row r="3036" spans="1:9" x14ac:dyDescent="0.25">
      <c r="A3036" s="420">
        <v>43032</v>
      </c>
      <c r="B3036" s="302" t="s">
        <v>34736</v>
      </c>
      <c r="C3036">
        <v>132599</v>
      </c>
      <c r="D3036" s="275" t="s">
        <v>15256</v>
      </c>
      <c r="E3036" s="301">
        <v>5639.2</v>
      </c>
      <c r="F3036" s="303">
        <v>43036</v>
      </c>
      <c r="G3036" s="301">
        <v>5639.2</v>
      </c>
      <c r="H3036" s="301">
        <f>Tabla15[[#This Row],[Importe]]-Tabla15[[#This Row],[Pagado]]</f>
        <v>0</v>
      </c>
      <c r="I3036" s="275" t="s">
        <v>15214</v>
      </c>
    </row>
    <row r="3037" spans="1:9" x14ac:dyDescent="0.25">
      <c r="A3037" s="420">
        <v>43032</v>
      </c>
      <c r="B3037" s="302" t="s">
        <v>34737</v>
      </c>
      <c r="C3037">
        <v>132600</v>
      </c>
      <c r="D3037" s="275" t="s">
        <v>15324</v>
      </c>
      <c r="E3037" s="301">
        <v>1680</v>
      </c>
      <c r="F3037" s="303">
        <v>43032</v>
      </c>
      <c r="G3037" s="301">
        <v>1680</v>
      </c>
      <c r="H3037" s="301">
        <f>Tabla15[[#This Row],[Importe]]-Tabla15[[#This Row],[Pagado]]</f>
        <v>0</v>
      </c>
      <c r="I3037" s="275" t="s">
        <v>15214</v>
      </c>
    </row>
    <row r="3038" spans="1:9" ht="30" x14ac:dyDescent="0.25">
      <c r="A3038" s="420">
        <v>43032</v>
      </c>
      <c r="B3038" s="302" t="s">
        <v>34738</v>
      </c>
      <c r="C3038">
        <v>132601</v>
      </c>
      <c r="D3038" s="275" t="s">
        <v>15238</v>
      </c>
      <c r="E3038" s="301">
        <v>3213.9</v>
      </c>
      <c r="F3038" s="303" t="s">
        <v>34376</v>
      </c>
      <c r="G3038" s="305">
        <f>2000+1213.9</f>
        <v>3213.9</v>
      </c>
      <c r="H3038" s="305">
        <f>Tabla15[[#This Row],[Importe]]-Tabla15[[#This Row],[Pagado]]</f>
        <v>0</v>
      </c>
      <c r="I3038" s="275" t="s">
        <v>15214</v>
      </c>
    </row>
    <row r="3039" spans="1:9" x14ac:dyDescent="0.25">
      <c r="A3039" s="420">
        <v>43032</v>
      </c>
      <c r="B3039" s="302" t="s">
        <v>34739</v>
      </c>
      <c r="C3039">
        <v>132602</v>
      </c>
      <c r="D3039" s="275" t="s">
        <v>5575</v>
      </c>
      <c r="E3039" s="301">
        <v>3601.4</v>
      </c>
      <c r="F3039" s="303">
        <v>43035</v>
      </c>
      <c r="G3039" s="301">
        <v>3601.4</v>
      </c>
      <c r="H3039" s="301">
        <f>Tabla15[[#This Row],[Importe]]-Tabla15[[#This Row],[Pagado]]</f>
        <v>0</v>
      </c>
      <c r="I3039" s="275" t="s">
        <v>15214</v>
      </c>
    </row>
    <row r="3040" spans="1:9" ht="30" x14ac:dyDescent="0.25">
      <c r="A3040" s="420">
        <v>43032</v>
      </c>
      <c r="B3040" s="302" t="s">
        <v>34740</v>
      </c>
      <c r="C3040">
        <v>132603</v>
      </c>
      <c r="D3040" s="275" t="s">
        <v>15475</v>
      </c>
      <c r="E3040" s="301">
        <v>6581.7</v>
      </c>
      <c r="F3040" s="303" t="s">
        <v>34376</v>
      </c>
      <c r="G3040" s="305">
        <f>3500+3081.7</f>
        <v>6581.7</v>
      </c>
      <c r="H3040" s="305">
        <f>Tabla15[[#This Row],[Importe]]-Tabla15[[#This Row],[Pagado]]</f>
        <v>0</v>
      </c>
      <c r="I3040" s="275" t="s">
        <v>15214</v>
      </c>
    </row>
    <row r="3041" spans="1:9" x14ac:dyDescent="0.25">
      <c r="A3041" s="420">
        <v>43032</v>
      </c>
      <c r="B3041" s="302" t="s">
        <v>34741</v>
      </c>
      <c r="C3041">
        <v>132604</v>
      </c>
      <c r="D3041" s="275" t="s">
        <v>30057</v>
      </c>
      <c r="E3041" s="301">
        <v>3308.6</v>
      </c>
      <c r="F3041" s="303">
        <v>43033</v>
      </c>
      <c r="G3041" s="301">
        <v>3308.6</v>
      </c>
      <c r="H3041" s="301">
        <f>Tabla15[[#This Row],[Importe]]-Tabla15[[#This Row],[Pagado]]</f>
        <v>0</v>
      </c>
      <c r="I3041" s="275" t="s">
        <v>15214</v>
      </c>
    </row>
    <row r="3042" spans="1:9" x14ac:dyDescent="0.25">
      <c r="A3042" s="420">
        <v>43032</v>
      </c>
      <c r="B3042" s="302" t="s">
        <v>34742</v>
      </c>
      <c r="C3042">
        <v>132605</v>
      </c>
      <c r="D3042" s="275" t="s">
        <v>17722</v>
      </c>
      <c r="E3042" s="301">
        <v>3676.1</v>
      </c>
      <c r="F3042" s="303">
        <v>43033</v>
      </c>
      <c r="G3042" s="301">
        <v>3676.1</v>
      </c>
      <c r="H3042" s="301">
        <f>Tabla15[[#This Row],[Importe]]-Tabla15[[#This Row],[Pagado]]</f>
        <v>0</v>
      </c>
      <c r="I3042" s="275" t="s">
        <v>15214</v>
      </c>
    </row>
    <row r="3043" spans="1:9" x14ac:dyDescent="0.25">
      <c r="A3043" s="420">
        <v>43032</v>
      </c>
      <c r="B3043" s="302" t="s">
        <v>34743</v>
      </c>
      <c r="C3043">
        <v>132606</v>
      </c>
      <c r="D3043" s="275" t="s">
        <v>15230</v>
      </c>
      <c r="E3043" s="301">
        <v>9662.9</v>
      </c>
      <c r="F3043" s="303">
        <v>43034</v>
      </c>
      <c r="G3043" s="301">
        <v>9662.9</v>
      </c>
      <c r="H3043" s="301">
        <f>Tabla15[[#This Row],[Importe]]-Tabla15[[#This Row],[Pagado]]</f>
        <v>0</v>
      </c>
      <c r="I3043" s="275" t="s">
        <v>15214</v>
      </c>
    </row>
    <row r="3044" spans="1:9" x14ac:dyDescent="0.25">
      <c r="A3044" s="420">
        <v>43032</v>
      </c>
      <c r="B3044" s="302" t="s">
        <v>34744</v>
      </c>
      <c r="C3044">
        <v>132607</v>
      </c>
      <c r="D3044" s="275" t="s">
        <v>15223</v>
      </c>
      <c r="E3044" s="301">
        <v>46165.599999999999</v>
      </c>
      <c r="F3044" s="303">
        <v>43055</v>
      </c>
      <c r="G3044" s="301">
        <v>46165.599999999999</v>
      </c>
      <c r="H3044" s="301">
        <f>Tabla15[[#This Row],[Importe]]-Tabla15[[#This Row],[Pagado]]</f>
        <v>0</v>
      </c>
      <c r="I3044" s="275" t="s">
        <v>15214</v>
      </c>
    </row>
    <row r="3045" spans="1:9" x14ac:dyDescent="0.25">
      <c r="A3045" s="420">
        <v>43032</v>
      </c>
      <c r="B3045" s="302" t="s">
        <v>34745</v>
      </c>
      <c r="C3045">
        <v>132608</v>
      </c>
      <c r="D3045" s="275" t="s">
        <v>15655</v>
      </c>
      <c r="E3045" s="301">
        <v>12675.3</v>
      </c>
      <c r="F3045" s="303">
        <v>43032</v>
      </c>
      <c r="G3045" s="301">
        <v>12675.3</v>
      </c>
      <c r="H3045" s="301">
        <f>Tabla15[[#This Row],[Importe]]-Tabla15[[#This Row],[Pagado]]</f>
        <v>0</v>
      </c>
      <c r="I3045" s="275" t="s">
        <v>15214</v>
      </c>
    </row>
    <row r="3046" spans="1:9" x14ac:dyDescent="0.25">
      <c r="A3046" s="420">
        <v>43032</v>
      </c>
      <c r="B3046" s="302" t="s">
        <v>34746</v>
      </c>
      <c r="C3046">
        <v>132609</v>
      </c>
      <c r="D3046" s="275" t="s">
        <v>15284</v>
      </c>
      <c r="E3046" s="301">
        <v>1409.6</v>
      </c>
      <c r="F3046" s="303">
        <v>43032</v>
      </c>
      <c r="G3046" s="301">
        <v>1409.6</v>
      </c>
      <c r="H3046" s="301">
        <f>Tabla15[[#This Row],[Importe]]-Tabla15[[#This Row],[Pagado]]</f>
        <v>0</v>
      </c>
      <c r="I3046" s="275" t="s">
        <v>15214</v>
      </c>
    </row>
    <row r="3047" spans="1:9" x14ac:dyDescent="0.25">
      <c r="A3047" s="420">
        <v>43032</v>
      </c>
      <c r="B3047" s="302" t="s">
        <v>34747</v>
      </c>
      <c r="C3047">
        <v>132610</v>
      </c>
      <c r="D3047" s="275" t="s">
        <v>15261</v>
      </c>
      <c r="E3047" s="301">
        <v>8894.1</v>
      </c>
      <c r="F3047" s="303">
        <v>43032</v>
      </c>
      <c r="G3047" s="301">
        <v>8894.1</v>
      </c>
      <c r="H3047" s="301">
        <f>Tabla15[[#This Row],[Importe]]-Tabla15[[#This Row],[Pagado]]</f>
        <v>0</v>
      </c>
      <c r="I3047" s="275" t="s">
        <v>15214</v>
      </c>
    </row>
    <row r="3048" spans="1:9" x14ac:dyDescent="0.25">
      <c r="A3048" s="420">
        <v>43032</v>
      </c>
      <c r="B3048" s="302" t="s">
        <v>34748</v>
      </c>
      <c r="C3048">
        <v>132611</v>
      </c>
      <c r="D3048" s="275" t="s">
        <v>17722</v>
      </c>
      <c r="E3048" s="301">
        <v>1939.9</v>
      </c>
      <c r="F3048" s="303">
        <v>43032</v>
      </c>
      <c r="G3048" s="301">
        <v>1939.9</v>
      </c>
      <c r="H3048" s="301">
        <f>Tabla15[[#This Row],[Importe]]-Tabla15[[#This Row],[Pagado]]</f>
        <v>0</v>
      </c>
      <c r="I3048" s="275" t="s">
        <v>15214</v>
      </c>
    </row>
    <row r="3049" spans="1:9" x14ac:dyDescent="0.25">
      <c r="A3049" s="420">
        <v>43032</v>
      </c>
      <c r="B3049" s="302" t="s">
        <v>34749</v>
      </c>
      <c r="C3049">
        <v>132612</v>
      </c>
      <c r="D3049" s="275" t="s">
        <v>15286</v>
      </c>
      <c r="E3049" s="301">
        <v>9271.6</v>
      </c>
      <c r="F3049" s="303">
        <v>43033</v>
      </c>
      <c r="G3049" s="301">
        <v>9271.6</v>
      </c>
      <c r="H3049" s="301">
        <f>Tabla15[[#This Row],[Importe]]-Tabla15[[#This Row],[Pagado]]</f>
        <v>0</v>
      </c>
      <c r="I3049" s="275" t="s">
        <v>15214</v>
      </c>
    </row>
    <row r="3050" spans="1:9" x14ac:dyDescent="0.25">
      <c r="A3050" s="420">
        <v>43032</v>
      </c>
      <c r="B3050" s="302" t="s">
        <v>34750</v>
      </c>
      <c r="C3050">
        <v>132613</v>
      </c>
      <c r="D3050" s="275" t="s">
        <v>15248</v>
      </c>
      <c r="E3050" s="301">
        <v>15029.45</v>
      </c>
      <c r="F3050" s="303">
        <v>43032</v>
      </c>
      <c r="G3050" s="301">
        <v>15029.45</v>
      </c>
      <c r="H3050" s="301">
        <f>Tabla15[[#This Row],[Importe]]-Tabla15[[#This Row],[Pagado]]</f>
        <v>0</v>
      </c>
      <c r="I3050" s="275" t="s">
        <v>15214</v>
      </c>
    </row>
    <row r="3051" spans="1:9" x14ac:dyDescent="0.25">
      <c r="A3051" s="420">
        <v>43032</v>
      </c>
      <c r="B3051" s="302" t="s">
        <v>34751</v>
      </c>
      <c r="C3051">
        <v>132614</v>
      </c>
      <c r="D3051" s="275" t="s">
        <v>15309</v>
      </c>
      <c r="E3051" s="301">
        <v>3180.6</v>
      </c>
      <c r="F3051" s="303">
        <v>43033</v>
      </c>
      <c r="G3051" s="301">
        <v>3180.6</v>
      </c>
      <c r="H3051" s="301">
        <f>Tabla15[[#This Row],[Importe]]-Tabla15[[#This Row],[Pagado]]</f>
        <v>0</v>
      </c>
      <c r="I3051" s="275" t="s">
        <v>15214</v>
      </c>
    </row>
    <row r="3052" spans="1:9" x14ac:dyDescent="0.25">
      <c r="A3052" s="420">
        <v>43032</v>
      </c>
      <c r="B3052" s="302" t="s">
        <v>34752</v>
      </c>
      <c r="C3052">
        <v>132615</v>
      </c>
      <c r="D3052" s="275" t="s">
        <v>15311</v>
      </c>
      <c r="E3052" s="301">
        <v>748.8</v>
      </c>
      <c r="F3052" s="303">
        <v>43033</v>
      </c>
      <c r="G3052" s="301">
        <v>748.8</v>
      </c>
      <c r="H3052" s="301">
        <f>Tabla15[[#This Row],[Importe]]-Tabla15[[#This Row],[Pagado]]</f>
        <v>0</v>
      </c>
      <c r="I3052" s="275" t="s">
        <v>15214</v>
      </c>
    </row>
    <row r="3053" spans="1:9" x14ac:dyDescent="0.25">
      <c r="A3053" s="420">
        <v>43032</v>
      </c>
      <c r="B3053" s="302" t="s">
        <v>34753</v>
      </c>
      <c r="C3053">
        <v>132616</v>
      </c>
      <c r="D3053" s="275" t="s">
        <v>15317</v>
      </c>
      <c r="E3053" s="301">
        <v>3062.4</v>
      </c>
      <c r="F3053" s="303">
        <v>43034</v>
      </c>
      <c r="G3053" s="301">
        <v>3062.4</v>
      </c>
      <c r="H3053" s="301">
        <f>Tabla15[[#This Row],[Importe]]-Tabla15[[#This Row],[Pagado]]</f>
        <v>0</v>
      </c>
      <c r="I3053" s="275" t="s">
        <v>15214</v>
      </c>
    </row>
    <row r="3054" spans="1:9" x14ac:dyDescent="0.25">
      <c r="A3054" s="420">
        <v>43032</v>
      </c>
      <c r="B3054" s="302" t="s">
        <v>34754</v>
      </c>
      <c r="C3054">
        <v>132617</v>
      </c>
      <c r="D3054" s="275" t="s">
        <v>15320</v>
      </c>
      <c r="E3054" s="301">
        <v>2442.6</v>
      </c>
      <c r="F3054" s="303">
        <v>43033</v>
      </c>
      <c r="G3054" s="301">
        <v>2442.6</v>
      </c>
      <c r="H3054" s="301">
        <f>Tabla15[[#This Row],[Importe]]-Tabla15[[#This Row],[Pagado]]</f>
        <v>0</v>
      </c>
      <c r="I3054" s="275" t="s">
        <v>15214</v>
      </c>
    </row>
    <row r="3055" spans="1:9" x14ac:dyDescent="0.25">
      <c r="A3055" s="420">
        <v>43032</v>
      </c>
      <c r="B3055" s="302" t="s">
        <v>34755</v>
      </c>
      <c r="C3055">
        <v>132618</v>
      </c>
      <c r="D3055" s="275" t="s">
        <v>15311</v>
      </c>
      <c r="E3055" s="301">
        <v>70</v>
      </c>
      <c r="F3055" s="303">
        <v>43033</v>
      </c>
      <c r="G3055" s="301">
        <v>70</v>
      </c>
      <c r="H3055" s="301">
        <f>Tabla15[[#This Row],[Importe]]-Tabla15[[#This Row],[Pagado]]</f>
        <v>0</v>
      </c>
      <c r="I3055" s="275" t="s">
        <v>15214</v>
      </c>
    </row>
    <row r="3056" spans="1:9" x14ac:dyDescent="0.25">
      <c r="A3056" s="420">
        <v>43032</v>
      </c>
      <c r="B3056" s="302" t="s">
        <v>34756</v>
      </c>
      <c r="C3056">
        <v>132619</v>
      </c>
      <c r="D3056" s="275" t="s">
        <v>15596</v>
      </c>
      <c r="E3056" s="301">
        <v>200.8</v>
      </c>
      <c r="F3056" s="303">
        <v>43033</v>
      </c>
      <c r="G3056" s="301">
        <v>200.8</v>
      </c>
      <c r="H3056" s="301">
        <f>Tabla15[[#This Row],[Importe]]-Tabla15[[#This Row],[Pagado]]</f>
        <v>0</v>
      </c>
      <c r="I3056" s="275" t="s">
        <v>15214</v>
      </c>
    </row>
    <row r="3057" spans="1:9" x14ac:dyDescent="0.25">
      <c r="A3057" s="420">
        <v>43032</v>
      </c>
      <c r="B3057" s="302" t="s">
        <v>34757</v>
      </c>
      <c r="C3057">
        <v>132620</v>
      </c>
      <c r="D3057" s="275" t="s">
        <v>15600</v>
      </c>
      <c r="E3057" s="301">
        <v>2529.6999999999998</v>
      </c>
      <c r="F3057" s="303">
        <v>43033</v>
      </c>
      <c r="G3057" s="301">
        <v>2529.6999999999998</v>
      </c>
      <c r="H3057" s="301">
        <f>Tabla15[[#This Row],[Importe]]-Tabla15[[#This Row],[Pagado]]</f>
        <v>0</v>
      </c>
      <c r="I3057" s="275" t="s">
        <v>15214</v>
      </c>
    </row>
    <row r="3058" spans="1:9" x14ac:dyDescent="0.25">
      <c r="A3058" s="420">
        <v>43032</v>
      </c>
      <c r="B3058" s="302" t="s">
        <v>34758</v>
      </c>
      <c r="C3058">
        <v>132621</v>
      </c>
      <c r="D3058" s="275" t="s">
        <v>15510</v>
      </c>
      <c r="E3058" s="301">
        <v>25582.7</v>
      </c>
      <c r="F3058" s="303">
        <v>43032</v>
      </c>
      <c r="G3058" s="301">
        <v>25582.7</v>
      </c>
      <c r="H3058" s="301">
        <f>Tabla15[[#This Row],[Importe]]-Tabla15[[#This Row],[Pagado]]</f>
        <v>0</v>
      </c>
      <c r="I3058" s="275" t="s">
        <v>15214</v>
      </c>
    </row>
    <row r="3059" spans="1:9" x14ac:dyDescent="0.25">
      <c r="A3059" s="420">
        <v>43032</v>
      </c>
      <c r="B3059" s="302" t="s">
        <v>34759</v>
      </c>
      <c r="C3059">
        <v>132622</v>
      </c>
      <c r="D3059" s="275" t="s">
        <v>15421</v>
      </c>
      <c r="E3059" s="301">
        <v>2667.2</v>
      </c>
      <c r="F3059" s="303">
        <v>43032</v>
      </c>
      <c r="G3059" s="301">
        <v>2667.2</v>
      </c>
      <c r="H3059" s="301">
        <f>Tabla15[[#This Row],[Importe]]-Tabla15[[#This Row],[Pagado]]</f>
        <v>0</v>
      </c>
      <c r="I3059" s="275" t="s">
        <v>15214</v>
      </c>
    </row>
    <row r="3060" spans="1:9" x14ac:dyDescent="0.25">
      <c r="A3060" s="420">
        <v>43032</v>
      </c>
      <c r="B3060" s="302" t="s">
        <v>34760</v>
      </c>
      <c r="C3060">
        <v>132623</v>
      </c>
      <c r="D3060" s="275" t="s">
        <v>15699</v>
      </c>
      <c r="E3060" s="301">
        <v>3761.4</v>
      </c>
      <c r="F3060" s="303">
        <v>43034</v>
      </c>
      <c r="G3060" s="301">
        <v>3761.4</v>
      </c>
      <c r="H3060" s="301">
        <f>Tabla15[[#This Row],[Importe]]-Tabla15[[#This Row],[Pagado]]</f>
        <v>0</v>
      </c>
      <c r="I3060" s="275" t="s">
        <v>15214</v>
      </c>
    </row>
    <row r="3061" spans="1:9" x14ac:dyDescent="0.25">
      <c r="A3061" s="420">
        <v>43032</v>
      </c>
      <c r="B3061" s="302" t="s">
        <v>34761</v>
      </c>
      <c r="C3061">
        <v>132624</v>
      </c>
      <c r="D3061" s="275" t="s">
        <v>15301</v>
      </c>
      <c r="E3061" s="301">
        <v>4962</v>
      </c>
      <c r="F3061" s="303">
        <v>43033</v>
      </c>
      <c r="G3061" s="301">
        <v>4962</v>
      </c>
      <c r="H3061" s="301">
        <f>Tabla15[[#This Row],[Importe]]-Tabla15[[#This Row],[Pagado]]</f>
        <v>0</v>
      </c>
      <c r="I3061" s="275" t="s">
        <v>15214</v>
      </c>
    </row>
    <row r="3062" spans="1:9" x14ac:dyDescent="0.25">
      <c r="A3062" s="420">
        <v>43032</v>
      </c>
      <c r="B3062" s="302" t="s">
        <v>34762</v>
      </c>
      <c r="C3062">
        <v>132625</v>
      </c>
      <c r="D3062" s="275" t="s">
        <v>15280</v>
      </c>
      <c r="E3062" s="301">
        <v>4718.2</v>
      </c>
      <c r="F3062" s="303">
        <v>43032</v>
      </c>
      <c r="G3062" s="301">
        <v>4718.2</v>
      </c>
      <c r="H3062" s="301">
        <f>Tabla15[[#This Row],[Importe]]-Tabla15[[#This Row],[Pagado]]</f>
        <v>0</v>
      </c>
      <c r="I3062" s="275" t="s">
        <v>15214</v>
      </c>
    </row>
    <row r="3063" spans="1:9" x14ac:dyDescent="0.25">
      <c r="A3063" s="420">
        <v>43032</v>
      </c>
      <c r="B3063" s="302" t="s">
        <v>34763</v>
      </c>
      <c r="C3063">
        <v>132626</v>
      </c>
      <c r="D3063" s="275" t="s">
        <v>15378</v>
      </c>
      <c r="E3063" s="301">
        <v>1343.7</v>
      </c>
      <c r="F3063" s="303">
        <v>43032</v>
      </c>
      <c r="G3063" s="301">
        <v>1343.7</v>
      </c>
      <c r="H3063" s="301">
        <f>Tabla15[[#This Row],[Importe]]-Tabla15[[#This Row],[Pagado]]</f>
        <v>0</v>
      </c>
      <c r="I3063" s="275" t="s">
        <v>15214</v>
      </c>
    </row>
    <row r="3064" spans="1:9" x14ac:dyDescent="0.25">
      <c r="A3064" s="420">
        <v>43032</v>
      </c>
      <c r="B3064" s="302" t="s">
        <v>34764</v>
      </c>
      <c r="C3064">
        <v>132627</v>
      </c>
      <c r="D3064" s="275" t="s">
        <v>15396</v>
      </c>
      <c r="E3064" s="301">
        <v>7290.46</v>
      </c>
      <c r="F3064" s="303">
        <v>43032</v>
      </c>
      <c r="G3064" s="301">
        <v>7290.46</v>
      </c>
      <c r="H3064" s="301">
        <f>Tabla15[[#This Row],[Importe]]-Tabla15[[#This Row],[Pagado]]</f>
        <v>0</v>
      </c>
      <c r="I3064" s="275" t="s">
        <v>15214</v>
      </c>
    </row>
    <row r="3065" spans="1:9" x14ac:dyDescent="0.25">
      <c r="A3065" s="420">
        <v>43032</v>
      </c>
      <c r="B3065" s="302" t="s">
        <v>34765</v>
      </c>
      <c r="C3065">
        <v>132628</v>
      </c>
      <c r="D3065" s="275" t="s">
        <v>15291</v>
      </c>
      <c r="E3065" s="301">
        <v>864</v>
      </c>
      <c r="F3065" s="303">
        <v>43033</v>
      </c>
      <c r="G3065" s="301">
        <v>864</v>
      </c>
      <c r="H3065" s="301">
        <f>Tabla15[[#This Row],[Importe]]-Tabla15[[#This Row],[Pagado]]</f>
        <v>0</v>
      </c>
      <c r="I3065" s="275" t="s">
        <v>15214</v>
      </c>
    </row>
    <row r="3066" spans="1:9" x14ac:dyDescent="0.25">
      <c r="A3066" s="420">
        <v>43032</v>
      </c>
      <c r="B3066" s="302" t="s">
        <v>34766</v>
      </c>
      <c r="C3066">
        <v>132629</v>
      </c>
      <c r="D3066" s="275" t="s">
        <v>15706</v>
      </c>
      <c r="E3066" s="301">
        <v>896</v>
      </c>
      <c r="F3066" s="303">
        <v>43032</v>
      </c>
      <c r="G3066" s="301">
        <v>896</v>
      </c>
      <c r="H3066" s="301">
        <f>Tabla15[[#This Row],[Importe]]-Tabla15[[#This Row],[Pagado]]</f>
        <v>0</v>
      </c>
      <c r="I3066" s="275" t="s">
        <v>15214</v>
      </c>
    </row>
    <row r="3067" spans="1:9" x14ac:dyDescent="0.25">
      <c r="A3067" s="420">
        <v>43032</v>
      </c>
      <c r="B3067" s="302" t="s">
        <v>34767</v>
      </c>
      <c r="C3067">
        <v>132630</v>
      </c>
      <c r="D3067" s="275" t="s">
        <v>15417</v>
      </c>
      <c r="E3067" s="301">
        <v>2119.6999999999998</v>
      </c>
      <c r="F3067" s="303">
        <v>43033</v>
      </c>
      <c r="G3067" s="301">
        <v>2119.6999999999998</v>
      </c>
      <c r="H3067" s="301">
        <f>Tabla15[[#This Row],[Importe]]-Tabla15[[#This Row],[Pagado]]</f>
        <v>0</v>
      </c>
      <c r="I3067" s="275" t="s">
        <v>15214</v>
      </c>
    </row>
    <row r="3068" spans="1:9" x14ac:dyDescent="0.25">
      <c r="A3068" s="420">
        <v>43032</v>
      </c>
      <c r="B3068" s="302" t="s">
        <v>34768</v>
      </c>
      <c r="C3068">
        <v>132631</v>
      </c>
      <c r="D3068" s="275" t="s">
        <v>15315</v>
      </c>
      <c r="E3068" s="301">
        <v>1456.26</v>
      </c>
      <c r="F3068" s="303">
        <v>43032</v>
      </c>
      <c r="G3068" s="301">
        <v>1456.26</v>
      </c>
      <c r="H3068" s="301">
        <f>Tabla15[[#This Row],[Importe]]-Tabla15[[#This Row],[Pagado]]</f>
        <v>0</v>
      </c>
      <c r="I3068" s="275" t="s">
        <v>15214</v>
      </c>
    </row>
    <row r="3069" spans="1:9" x14ac:dyDescent="0.25">
      <c r="A3069" s="420">
        <v>43032</v>
      </c>
      <c r="B3069" s="302" t="s">
        <v>34769</v>
      </c>
      <c r="C3069">
        <v>132632</v>
      </c>
      <c r="D3069" s="275" t="s">
        <v>15315</v>
      </c>
      <c r="E3069" s="301">
        <v>3892.4</v>
      </c>
      <c r="F3069" s="303">
        <v>43032</v>
      </c>
      <c r="G3069" s="301">
        <v>3892.4</v>
      </c>
      <c r="H3069" s="301">
        <f>Tabla15[[#This Row],[Importe]]-Tabla15[[#This Row],[Pagado]]</f>
        <v>0</v>
      </c>
      <c r="I3069" s="275" t="s">
        <v>15214</v>
      </c>
    </row>
    <row r="3070" spans="1:9" x14ac:dyDescent="0.25">
      <c r="A3070" s="420">
        <v>43032</v>
      </c>
      <c r="B3070" s="302" t="s">
        <v>34770</v>
      </c>
      <c r="C3070">
        <v>132633</v>
      </c>
      <c r="D3070" s="275" t="s">
        <v>23937</v>
      </c>
      <c r="E3070" s="301">
        <v>3254</v>
      </c>
      <c r="F3070" s="303">
        <v>43033</v>
      </c>
      <c r="G3070" s="301">
        <v>3254</v>
      </c>
      <c r="H3070" s="301">
        <f>Tabla15[[#This Row],[Importe]]-Tabla15[[#This Row],[Pagado]]</f>
        <v>0</v>
      </c>
      <c r="I3070" s="275" t="s">
        <v>15214</v>
      </c>
    </row>
    <row r="3071" spans="1:9" x14ac:dyDescent="0.25">
      <c r="A3071" s="420">
        <v>43032</v>
      </c>
      <c r="B3071" s="302" t="s">
        <v>34771</v>
      </c>
      <c r="C3071">
        <v>132634</v>
      </c>
      <c r="D3071" s="275" t="s">
        <v>15252</v>
      </c>
      <c r="E3071" s="301">
        <v>3507.3</v>
      </c>
      <c r="F3071" s="303">
        <v>43036</v>
      </c>
      <c r="G3071" s="301">
        <v>3507.3</v>
      </c>
      <c r="H3071" s="301">
        <f>Tabla15[[#This Row],[Importe]]-Tabla15[[#This Row],[Pagado]]</f>
        <v>0</v>
      </c>
      <c r="I3071" s="275" t="s">
        <v>15214</v>
      </c>
    </row>
    <row r="3072" spans="1:9" x14ac:dyDescent="0.25">
      <c r="A3072" s="420">
        <v>43032</v>
      </c>
      <c r="B3072" s="302" t="s">
        <v>34772</v>
      </c>
      <c r="C3072">
        <v>132635</v>
      </c>
      <c r="D3072" s="275" t="s">
        <v>15244</v>
      </c>
      <c r="E3072" s="301">
        <v>7174.25</v>
      </c>
      <c r="F3072" s="303">
        <v>43035</v>
      </c>
      <c r="G3072" s="301">
        <v>7174.25</v>
      </c>
      <c r="H3072" s="301">
        <f>Tabla15[[#This Row],[Importe]]-Tabla15[[#This Row],[Pagado]]</f>
        <v>0</v>
      </c>
      <c r="I3072" s="275" t="s">
        <v>15214</v>
      </c>
    </row>
    <row r="3073" spans="1:9" x14ac:dyDescent="0.25">
      <c r="A3073" s="420">
        <v>43032</v>
      </c>
      <c r="B3073" s="302" t="s">
        <v>34773</v>
      </c>
      <c r="C3073">
        <v>132636</v>
      </c>
      <c r="D3073" s="275" t="s">
        <v>15398</v>
      </c>
      <c r="E3073" s="301">
        <v>3556.95</v>
      </c>
      <c r="F3073" s="303">
        <v>43032</v>
      </c>
      <c r="G3073" s="301">
        <v>3556.95</v>
      </c>
      <c r="H3073" s="301">
        <f>Tabla15[[#This Row],[Importe]]-Tabla15[[#This Row],[Pagado]]</f>
        <v>0</v>
      </c>
      <c r="I3073" s="275" t="s">
        <v>15214</v>
      </c>
    </row>
    <row r="3074" spans="1:9" x14ac:dyDescent="0.25">
      <c r="A3074" s="420">
        <v>43032</v>
      </c>
      <c r="B3074" s="302" t="s">
        <v>34774</v>
      </c>
      <c r="C3074">
        <v>132637</v>
      </c>
      <c r="D3074" s="275" t="s">
        <v>15549</v>
      </c>
      <c r="E3074" s="301">
        <v>5915.7</v>
      </c>
      <c r="F3074" s="303">
        <v>43032</v>
      </c>
      <c r="G3074" s="301">
        <v>5915.7</v>
      </c>
      <c r="H3074" s="301">
        <f>Tabla15[[#This Row],[Importe]]-Tabla15[[#This Row],[Pagado]]</f>
        <v>0</v>
      </c>
      <c r="I3074" s="275" t="s">
        <v>15214</v>
      </c>
    </row>
    <row r="3075" spans="1:9" ht="30" x14ac:dyDescent="0.25">
      <c r="A3075" s="420">
        <v>43032</v>
      </c>
      <c r="B3075" s="302" t="s">
        <v>34775</v>
      </c>
      <c r="C3075">
        <v>132638</v>
      </c>
      <c r="D3075" s="275" t="s">
        <v>15246</v>
      </c>
      <c r="E3075" s="301">
        <v>107795.06</v>
      </c>
      <c r="F3075" s="303" t="s">
        <v>34776</v>
      </c>
      <c r="G3075" s="305">
        <f>8938.79+98856.27</f>
        <v>107795.06</v>
      </c>
      <c r="H3075" s="305">
        <f>Tabla15[[#This Row],[Importe]]-Tabla15[[#This Row],[Pagado]]</f>
        <v>0</v>
      </c>
      <c r="I3075" s="275" t="s">
        <v>15214</v>
      </c>
    </row>
    <row r="3076" spans="1:9" x14ac:dyDescent="0.25">
      <c r="A3076" s="420">
        <v>43032</v>
      </c>
      <c r="B3076" s="302" t="s">
        <v>34777</v>
      </c>
      <c r="C3076">
        <v>132639</v>
      </c>
      <c r="D3076" s="275" t="s">
        <v>15315</v>
      </c>
      <c r="E3076" s="301">
        <v>254.8</v>
      </c>
      <c r="F3076" s="303">
        <v>43032</v>
      </c>
      <c r="G3076" s="301">
        <v>254.8</v>
      </c>
      <c r="H3076" s="301">
        <f>Tabla15[[#This Row],[Importe]]-Tabla15[[#This Row],[Pagado]]</f>
        <v>0</v>
      </c>
      <c r="I3076" s="275" t="s">
        <v>15214</v>
      </c>
    </row>
    <row r="3077" spans="1:9" x14ac:dyDescent="0.25">
      <c r="A3077" s="420">
        <v>43032</v>
      </c>
      <c r="B3077" s="302" t="s">
        <v>34778</v>
      </c>
      <c r="C3077">
        <v>132640</v>
      </c>
      <c r="D3077" s="275" t="s">
        <v>15315</v>
      </c>
      <c r="E3077" s="301">
        <v>1327.4</v>
      </c>
      <c r="F3077" s="303">
        <v>43032</v>
      </c>
      <c r="G3077" s="301">
        <v>1327.4</v>
      </c>
      <c r="H3077" s="301">
        <f>Tabla15[[#This Row],[Importe]]-Tabla15[[#This Row],[Pagado]]</f>
        <v>0</v>
      </c>
      <c r="I3077" s="275" t="s">
        <v>15214</v>
      </c>
    </row>
    <row r="3078" spans="1:9" x14ac:dyDescent="0.25">
      <c r="A3078" s="420">
        <v>43032</v>
      </c>
      <c r="B3078" s="302" t="s">
        <v>34779</v>
      </c>
      <c r="C3078">
        <v>132641</v>
      </c>
      <c r="D3078" s="275" t="s">
        <v>15326</v>
      </c>
      <c r="E3078" s="301">
        <v>1760.4</v>
      </c>
      <c r="F3078" s="303">
        <v>43032</v>
      </c>
      <c r="G3078" s="301">
        <v>1760.4</v>
      </c>
      <c r="H3078" s="301">
        <f>Tabla15[[#This Row],[Importe]]-Tabla15[[#This Row],[Pagado]]</f>
        <v>0</v>
      </c>
      <c r="I3078" s="275" t="s">
        <v>15214</v>
      </c>
    </row>
    <row r="3079" spans="1:9" x14ac:dyDescent="0.25">
      <c r="A3079" s="420">
        <v>43032</v>
      </c>
      <c r="B3079" s="302" t="s">
        <v>34780</v>
      </c>
      <c r="C3079">
        <v>132642</v>
      </c>
      <c r="D3079" s="275" t="s">
        <v>15326</v>
      </c>
      <c r="E3079" s="301">
        <v>784.9</v>
      </c>
      <c r="F3079" s="303">
        <v>43032</v>
      </c>
      <c r="G3079" s="301">
        <v>784.9</v>
      </c>
      <c r="H3079" s="301">
        <f>Tabla15[[#This Row],[Importe]]-Tabla15[[#This Row],[Pagado]]</f>
        <v>0</v>
      </c>
      <c r="I3079" s="275" t="s">
        <v>15214</v>
      </c>
    </row>
    <row r="3080" spans="1:9" x14ac:dyDescent="0.25">
      <c r="A3080" s="420">
        <v>43032</v>
      </c>
      <c r="B3080" s="302" t="s">
        <v>34781</v>
      </c>
      <c r="C3080">
        <v>132643</v>
      </c>
      <c r="D3080" s="275" t="s">
        <v>15326</v>
      </c>
      <c r="E3080" s="301">
        <v>2419.6</v>
      </c>
      <c r="F3080" s="303">
        <v>43032</v>
      </c>
      <c r="G3080" s="301">
        <v>2419.6</v>
      </c>
      <c r="H3080" s="301">
        <f>Tabla15[[#This Row],[Importe]]-Tabla15[[#This Row],[Pagado]]</f>
        <v>0</v>
      </c>
      <c r="I3080" s="275" t="s">
        <v>15214</v>
      </c>
    </row>
    <row r="3081" spans="1:9" x14ac:dyDescent="0.25">
      <c r="A3081" s="420">
        <v>43032</v>
      </c>
      <c r="B3081" s="302" t="s">
        <v>34782</v>
      </c>
      <c r="C3081">
        <v>132644</v>
      </c>
      <c r="D3081" s="275" t="s">
        <v>15282</v>
      </c>
      <c r="E3081" s="301">
        <v>3823.1</v>
      </c>
      <c r="F3081" s="303">
        <v>43032</v>
      </c>
      <c r="G3081" s="301">
        <v>3823.1</v>
      </c>
      <c r="H3081" s="301">
        <f>Tabla15[[#This Row],[Importe]]-Tabla15[[#This Row],[Pagado]]</f>
        <v>0</v>
      </c>
      <c r="I3081" s="275" t="s">
        <v>15214</v>
      </c>
    </row>
    <row r="3082" spans="1:9" x14ac:dyDescent="0.25">
      <c r="A3082" s="420">
        <v>43032</v>
      </c>
      <c r="B3082" s="302" t="s">
        <v>34783</v>
      </c>
      <c r="C3082">
        <v>132645</v>
      </c>
      <c r="D3082" s="275" t="s">
        <v>15566</v>
      </c>
      <c r="E3082" s="301">
        <v>3006.85</v>
      </c>
      <c r="F3082" s="303">
        <v>43032</v>
      </c>
      <c r="G3082" s="301">
        <v>3006.85</v>
      </c>
      <c r="H3082" s="301">
        <f>Tabla15[[#This Row],[Importe]]-Tabla15[[#This Row],[Pagado]]</f>
        <v>0</v>
      </c>
      <c r="I3082" s="275" t="s">
        <v>15214</v>
      </c>
    </row>
    <row r="3083" spans="1:9" x14ac:dyDescent="0.25">
      <c r="A3083" s="420">
        <v>43032</v>
      </c>
      <c r="B3083" s="302" t="s">
        <v>34784</v>
      </c>
      <c r="C3083">
        <v>132646</v>
      </c>
      <c r="D3083" s="275" t="s">
        <v>15594</v>
      </c>
      <c r="E3083" s="301">
        <v>2306.9</v>
      </c>
      <c r="F3083" s="303">
        <v>43032</v>
      </c>
      <c r="G3083" s="301">
        <v>2306.9</v>
      </c>
      <c r="H3083" s="301">
        <f>Tabla15[[#This Row],[Importe]]-Tabla15[[#This Row],[Pagado]]</f>
        <v>0</v>
      </c>
      <c r="I3083" s="275" t="s">
        <v>15214</v>
      </c>
    </row>
    <row r="3084" spans="1:9" ht="15.75" x14ac:dyDescent="0.25">
      <c r="A3084" s="420">
        <v>43032</v>
      </c>
      <c r="B3084" s="302" t="s">
        <v>34785</v>
      </c>
      <c r="C3084">
        <v>132647</v>
      </c>
      <c r="D3084" s="248" t="s">
        <v>95</v>
      </c>
      <c r="E3084" s="301">
        <v>0</v>
      </c>
      <c r="F3084" s="243" t="s">
        <v>95</v>
      </c>
      <c r="G3084" s="301">
        <v>0</v>
      </c>
      <c r="H3084" s="301">
        <f>Tabla15[[#This Row],[Importe]]-Tabla15[[#This Row],[Pagado]]</f>
        <v>0</v>
      </c>
      <c r="I3084" s="275" t="s">
        <v>95</v>
      </c>
    </row>
    <row r="3085" spans="1:9" x14ac:dyDescent="0.25">
      <c r="A3085" s="420">
        <v>43032</v>
      </c>
      <c r="B3085" s="302" t="s">
        <v>34786</v>
      </c>
      <c r="C3085">
        <v>132648</v>
      </c>
      <c r="D3085" s="275" t="s">
        <v>15665</v>
      </c>
      <c r="E3085" s="301">
        <v>1236.8</v>
      </c>
      <c r="F3085" s="303">
        <v>43032</v>
      </c>
      <c r="G3085" s="301">
        <v>1236.8</v>
      </c>
      <c r="H3085" s="301">
        <f>Tabla15[[#This Row],[Importe]]-Tabla15[[#This Row],[Pagado]]</f>
        <v>0</v>
      </c>
      <c r="I3085" s="275" t="s">
        <v>15214</v>
      </c>
    </row>
    <row r="3086" spans="1:9" x14ac:dyDescent="0.25">
      <c r="A3086" s="420">
        <v>43032</v>
      </c>
      <c r="B3086" s="302" t="s">
        <v>34787</v>
      </c>
      <c r="C3086">
        <v>132649</v>
      </c>
      <c r="D3086" s="275" t="s">
        <v>16732</v>
      </c>
      <c r="E3086" s="301">
        <v>3241.15</v>
      </c>
      <c r="F3086" s="303">
        <v>43032</v>
      </c>
      <c r="G3086" s="301">
        <v>3241.15</v>
      </c>
      <c r="H3086" s="301">
        <f>Tabla15[[#This Row],[Importe]]-Tabla15[[#This Row],[Pagado]]</f>
        <v>0</v>
      </c>
      <c r="I3086" s="275" t="s">
        <v>15214</v>
      </c>
    </row>
    <row r="3087" spans="1:9" x14ac:dyDescent="0.25">
      <c r="A3087" s="420">
        <v>43032</v>
      </c>
      <c r="B3087" s="302" t="s">
        <v>34788</v>
      </c>
      <c r="C3087">
        <v>132650</v>
      </c>
      <c r="D3087" s="275" t="s">
        <v>15409</v>
      </c>
      <c r="E3087" s="301">
        <v>12840</v>
      </c>
      <c r="F3087" s="303">
        <v>43032</v>
      </c>
      <c r="G3087" s="301">
        <v>12840</v>
      </c>
      <c r="H3087" s="301">
        <f>Tabla15[[#This Row],[Importe]]-Tabla15[[#This Row],[Pagado]]</f>
        <v>0</v>
      </c>
      <c r="I3087" s="275" t="s">
        <v>15214</v>
      </c>
    </row>
    <row r="3088" spans="1:9" x14ac:dyDescent="0.25">
      <c r="A3088" s="420">
        <v>43032</v>
      </c>
      <c r="B3088" s="302" t="s">
        <v>34789</v>
      </c>
      <c r="C3088">
        <v>132651</v>
      </c>
      <c r="D3088" s="275" t="s">
        <v>15213</v>
      </c>
      <c r="E3088" s="301">
        <v>9581.25</v>
      </c>
      <c r="F3088" s="303">
        <v>43033</v>
      </c>
      <c r="G3088" s="301">
        <v>9581.25</v>
      </c>
      <c r="H3088" s="301">
        <f>Tabla15[[#This Row],[Importe]]-Tabla15[[#This Row],[Pagado]]</f>
        <v>0</v>
      </c>
      <c r="I3088" s="275" t="s">
        <v>15214</v>
      </c>
    </row>
    <row r="3089" spans="1:9" x14ac:dyDescent="0.25">
      <c r="A3089" s="420">
        <v>43032</v>
      </c>
      <c r="B3089" s="302" t="s">
        <v>34790</v>
      </c>
      <c r="C3089">
        <v>132652</v>
      </c>
      <c r="D3089" s="275" t="s">
        <v>15315</v>
      </c>
      <c r="E3089" s="301">
        <v>484.8</v>
      </c>
      <c r="F3089" s="303">
        <v>43032</v>
      </c>
      <c r="G3089" s="301">
        <v>484.8</v>
      </c>
      <c r="H3089" s="301">
        <f>Tabla15[[#This Row],[Importe]]-Tabla15[[#This Row],[Pagado]]</f>
        <v>0</v>
      </c>
      <c r="I3089" s="275" t="s">
        <v>15214</v>
      </c>
    </row>
    <row r="3090" spans="1:9" x14ac:dyDescent="0.25">
      <c r="A3090" s="420">
        <v>43032</v>
      </c>
      <c r="B3090" s="302" t="s">
        <v>34791</v>
      </c>
      <c r="C3090">
        <v>132653</v>
      </c>
      <c r="D3090" s="275" t="s">
        <v>15315</v>
      </c>
      <c r="E3090" s="301">
        <v>196</v>
      </c>
      <c r="F3090" s="303">
        <v>43032</v>
      </c>
      <c r="G3090" s="301">
        <v>196</v>
      </c>
      <c r="H3090" s="301">
        <f>Tabla15[[#This Row],[Importe]]-Tabla15[[#This Row],[Pagado]]</f>
        <v>0</v>
      </c>
      <c r="I3090" s="275" t="s">
        <v>15214</v>
      </c>
    </row>
    <row r="3091" spans="1:9" x14ac:dyDescent="0.25">
      <c r="A3091" s="420">
        <v>43032</v>
      </c>
      <c r="B3091" s="302" t="s">
        <v>34792</v>
      </c>
      <c r="C3091">
        <v>132654</v>
      </c>
      <c r="D3091" s="275" t="s">
        <v>15987</v>
      </c>
      <c r="E3091" s="301">
        <v>681.1</v>
      </c>
      <c r="F3091" s="303">
        <v>43032</v>
      </c>
      <c r="G3091" s="301">
        <v>681.1</v>
      </c>
      <c r="H3091" s="301">
        <f>Tabla15[[#This Row],[Importe]]-Tabla15[[#This Row],[Pagado]]</f>
        <v>0</v>
      </c>
      <c r="I3091" s="275" t="s">
        <v>15214</v>
      </c>
    </row>
    <row r="3092" spans="1:9" x14ac:dyDescent="0.25">
      <c r="A3092" s="420">
        <v>43032</v>
      </c>
      <c r="B3092" s="302" t="s">
        <v>34793</v>
      </c>
      <c r="C3092">
        <v>132655</v>
      </c>
      <c r="D3092" s="275" t="s">
        <v>15537</v>
      </c>
      <c r="E3092" s="301">
        <v>12623.8</v>
      </c>
      <c r="F3092" s="303">
        <v>43033</v>
      </c>
      <c r="G3092" s="301">
        <v>12623.8</v>
      </c>
      <c r="H3092" s="301">
        <f>Tabla15[[#This Row],[Importe]]-Tabla15[[#This Row],[Pagado]]</f>
        <v>0</v>
      </c>
      <c r="I3092" s="275" t="s">
        <v>15214</v>
      </c>
    </row>
    <row r="3093" spans="1:9" x14ac:dyDescent="0.25">
      <c r="A3093" s="420">
        <v>43032</v>
      </c>
      <c r="B3093" s="302" t="s">
        <v>34794</v>
      </c>
      <c r="C3093">
        <v>132656</v>
      </c>
      <c r="D3093" s="275" t="s">
        <v>15539</v>
      </c>
      <c r="E3093" s="301">
        <v>9879.65</v>
      </c>
      <c r="F3093" s="303">
        <v>43033</v>
      </c>
      <c r="G3093" s="301">
        <v>9879.65</v>
      </c>
      <c r="H3093" s="301">
        <f>Tabla15[[#This Row],[Importe]]-Tabla15[[#This Row],[Pagado]]</f>
        <v>0</v>
      </c>
      <c r="I3093" s="275" t="s">
        <v>15214</v>
      </c>
    </row>
    <row r="3094" spans="1:9" x14ac:dyDescent="0.25">
      <c r="A3094" s="420">
        <v>43032</v>
      </c>
      <c r="B3094" s="302" t="s">
        <v>34795</v>
      </c>
      <c r="C3094">
        <v>132657</v>
      </c>
      <c r="D3094" s="275" t="s">
        <v>15557</v>
      </c>
      <c r="E3094" s="301">
        <v>9046.2999999999993</v>
      </c>
      <c r="F3094" s="303">
        <v>43033</v>
      </c>
      <c r="G3094" s="301">
        <v>9046.2999999999993</v>
      </c>
      <c r="H3094" s="301">
        <f>Tabla15[[#This Row],[Importe]]-Tabla15[[#This Row],[Pagado]]</f>
        <v>0</v>
      </c>
      <c r="I3094" s="275" t="s">
        <v>15214</v>
      </c>
    </row>
    <row r="3095" spans="1:9" x14ac:dyDescent="0.25">
      <c r="A3095" s="420">
        <v>43032</v>
      </c>
      <c r="B3095" s="302" t="s">
        <v>34796</v>
      </c>
      <c r="C3095">
        <v>132658</v>
      </c>
      <c r="D3095" s="275" t="s">
        <v>15284</v>
      </c>
      <c r="E3095" s="301">
        <v>1141.2</v>
      </c>
      <c r="F3095" s="303">
        <v>43032</v>
      </c>
      <c r="G3095" s="301">
        <v>1141.2</v>
      </c>
      <c r="H3095" s="301">
        <f>Tabla15[[#This Row],[Importe]]-Tabla15[[#This Row],[Pagado]]</f>
        <v>0</v>
      </c>
      <c r="I3095" s="275" t="s">
        <v>15214</v>
      </c>
    </row>
    <row r="3096" spans="1:9" x14ac:dyDescent="0.25">
      <c r="A3096" s="420">
        <v>43032</v>
      </c>
      <c r="B3096" s="302" t="s">
        <v>34797</v>
      </c>
      <c r="C3096">
        <v>132659</v>
      </c>
      <c r="D3096" s="275" t="s">
        <v>19461</v>
      </c>
      <c r="E3096" s="301">
        <v>1142.4000000000001</v>
      </c>
      <c r="F3096" s="303">
        <v>43032</v>
      </c>
      <c r="G3096" s="301">
        <v>1142.4000000000001</v>
      </c>
      <c r="H3096" s="301">
        <f>Tabla15[[#This Row],[Importe]]-Tabla15[[#This Row],[Pagado]]</f>
        <v>0</v>
      </c>
      <c r="I3096" s="275" t="s">
        <v>15214</v>
      </c>
    </row>
    <row r="3097" spans="1:9" x14ac:dyDescent="0.25">
      <c r="A3097" s="420">
        <v>43032</v>
      </c>
      <c r="B3097" s="302" t="s">
        <v>34798</v>
      </c>
      <c r="C3097">
        <v>132660</v>
      </c>
      <c r="D3097" s="275" t="s">
        <v>15541</v>
      </c>
      <c r="E3097" s="301">
        <v>869.5</v>
      </c>
      <c r="F3097" s="303">
        <v>43032</v>
      </c>
      <c r="G3097" s="301">
        <v>869.5</v>
      </c>
      <c r="H3097" s="301">
        <f>Tabla15[[#This Row],[Importe]]-Tabla15[[#This Row],[Pagado]]</f>
        <v>0</v>
      </c>
      <c r="I3097" s="275" t="s">
        <v>15214</v>
      </c>
    </row>
    <row r="3098" spans="1:9" x14ac:dyDescent="0.25">
      <c r="A3098" s="420">
        <v>43032</v>
      </c>
      <c r="B3098" s="302" t="s">
        <v>34799</v>
      </c>
      <c r="C3098">
        <v>132661</v>
      </c>
      <c r="D3098" s="275" t="s">
        <v>15246</v>
      </c>
      <c r="E3098" s="301">
        <v>80938.7</v>
      </c>
      <c r="F3098" s="303">
        <v>43034</v>
      </c>
      <c r="G3098" s="301">
        <v>80938.7</v>
      </c>
      <c r="H3098" s="301">
        <f>Tabla15[[#This Row],[Importe]]-Tabla15[[#This Row],[Pagado]]</f>
        <v>0</v>
      </c>
      <c r="I3098" s="275" t="s">
        <v>15214</v>
      </c>
    </row>
    <row r="3099" spans="1:9" x14ac:dyDescent="0.25">
      <c r="A3099" s="420">
        <v>43032</v>
      </c>
      <c r="B3099" s="302" t="s">
        <v>34800</v>
      </c>
      <c r="C3099">
        <v>132662</v>
      </c>
      <c r="D3099" s="275" t="s">
        <v>15267</v>
      </c>
      <c r="E3099" s="301">
        <v>2410</v>
      </c>
      <c r="F3099" s="303">
        <v>43053</v>
      </c>
      <c r="G3099" s="301">
        <v>2410</v>
      </c>
      <c r="H3099" s="301">
        <f>Tabla15[[#This Row],[Importe]]-Tabla15[[#This Row],[Pagado]]</f>
        <v>0</v>
      </c>
      <c r="I3099" s="275" t="s">
        <v>15214</v>
      </c>
    </row>
    <row r="3100" spans="1:9" x14ac:dyDescent="0.25">
      <c r="A3100" s="420">
        <v>43032</v>
      </c>
      <c r="B3100" s="302" t="s">
        <v>34801</v>
      </c>
      <c r="C3100">
        <v>132663</v>
      </c>
      <c r="D3100" s="275" t="s">
        <v>15668</v>
      </c>
      <c r="E3100" s="301">
        <v>3195</v>
      </c>
      <c r="F3100" s="303">
        <v>43036</v>
      </c>
      <c r="G3100" s="301">
        <v>3195</v>
      </c>
      <c r="H3100" s="301">
        <f>Tabla15[[#This Row],[Importe]]-Tabla15[[#This Row],[Pagado]]</f>
        <v>0</v>
      </c>
      <c r="I3100" s="275" t="s">
        <v>15214</v>
      </c>
    </row>
    <row r="3101" spans="1:9" x14ac:dyDescent="0.25">
      <c r="A3101" s="420">
        <v>43032</v>
      </c>
      <c r="B3101" s="302" t="s">
        <v>34802</v>
      </c>
      <c r="C3101">
        <v>132664</v>
      </c>
      <c r="D3101" s="275" t="s">
        <v>15246</v>
      </c>
      <c r="E3101" s="301">
        <v>92497.7</v>
      </c>
      <c r="F3101" s="303">
        <v>43034</v>
      </c>
      <c r="G3101" s="301">
        <v>92497.7</v>
      </c>
      <c r="H3101" s="301">
        <f>Tabla15[[#This Row],[Importe]]-Tabla15[[#This Row],[Pagado]]</f>
        <v>0</v>
      </c>
      <c r="I3101" s="275" t="s">
        <v>15214</v>
      </c>
    </row>
    <row r="3102" spans="1:9" x14ac:dyDescent="0.25">
      <c r="A3102" s="420">
        <v>43032</v>
      </c>
      <c r="B3102" s="302" t="s">
        <v>34803</v>
      </c>
      <c r="C3102">
        <v>132665</v>
      </c>
      <c r="D3102" s="275" t="s">
        <v>18076</v>
      </c>
      <c r="E3102" s="301">
        <v>2856</v>
      </c>
      <c r="F3102" s="303">
        <v>43032</v>
      </c>
      <c r="G3102" s="301">
        <v>2856</v>
      </c>
      <c r="H3102" s="301">
        <f>Tabla15[[#This Row],[Importe]]-Tabla15[[#This Row],[Pagado]]</f>
        <v>0</v>
      </c>
      <c r="I3102" s="275" t="s">
        <v>15214</v>
      </c>
    </row>
    <row r="3103" spans="1:9" x14ac:dyDescent="0.25">
      <c r="A3103" s="420">
        <v>43032</v>
      </c>
      <c r="B3103" s="302" t="s">
        <v>34804</v>
      </c>
      <c r="C3103">
        <v>132666</v>
      </c>
      <c r="D3103" s="275" t="s">
        <v>15530</v>
      </c>
      <c r="E3103" s="301">
        <v>1285.5999999999999</v>
      </c>
      <c r="F3103" s="303">
        <v>43032</v>
      </c>
      <c r="G3103" s="301">
        <v>1285.5999999999999</v>
      </c>
      <c r="H3103" s="301">
        <f>Tabla15[[#This Row],[Importe]]-Tabla15[[#This Row],[Pagado]]</f>
        <v>0</v>
      </c>
      <c r="I3103" s="275" t="s">
        <v>15214</v>
      </c>
    </row>
    <row r="3104" spans="1:9" x14ac:dyDescent="0.25">
      <c r="A3104" s="420">
        <v>43032</v>
      </c>
      <c r="B3104" s="302" t="s">
        <v>34805</v>
      </c>
      <c r="C3104">
        <v>132667</v>
      </c>
      <c r="D3104" s="275" t="s">
        <v>15398</v>
      </c>
      <c r="E3104" s="301">
        <v>1413.75</v>
      </c>
      <c r="F3104" s="303">
        <v>43032</v>
      </c>
      <c r="G3104" s="301">
        <v>1413.75</v>
      </c>
      <c r="H3104" s="301">
        <f>Tabla15[[#This Row],[Importe]]-Tabla15[[#This Row],[Pagado]]</f>
        <v>0</v>
      </c>
      <c r="I3104" s="275" t="s">
        <v>15214</v>
      </c>
    </row>
    <row r="3105" spans="1:9" x14ac:dyDescent="0.25">
      <c r="A3105" s="420">
        <v>43032</v>
      </c>
      <c r="B3105" s="302" t="s">
        <v>34806</v>
      </c>
      <c r="C3105">
        <v>132668</v>
      </c>
      <c r="D3105" s="275" t="s">
        <v>15716</v>
      </c>
      <c r="E3105" s="301">
        <v>5986</v>
      </c>
      <c r="F3105" s="303">
        <v>43032</v>
      </c>
      <c r="G3105" s="301">
        <v>5986</v>
      </c>
      <c r="H3105" s="301">
        <f>Tabla15[[#This Row],[Importe]]-Tabla15[[#This Row],[Pagado]]</f>
        <v>0</v>
      </c>
      <c r="I3105" s="275" t="s">
        <v>15214</v>
      </c>
    </row>
    <row r="3106" spans="1:9" x14ac:dyDescent="0.25">
      <c r="A3106" s="420">
        <v>43032</v>
      </c>
      <c r="B3106" s="302" t="s">
        <v>34807</v>
      </c>
      <c r="C3106">
        <v>132669</v>
      </c>
      <c r="D3106" s="275" t="s">
        <v>15328</v>
      </c>
      <c r="E3106" s="301">
        <v>34388.17</v>
      </c>
      <c r="F3106" s="303">
        <v>43038</v>
      </c>
      <c r="G3106" s="301">
        <v>34388.17</v>
      </c>
      <c r="H3106" s="301">
        <f>Tabla15[[#This Row],[Importe]]-Tabla15[[#This Row],[Pagado]]</f>
        <v>0</v>
      </c>
      <c r="I3106" s="275" t="s">
        <v>15214</v>
      </c>
    </row>
    <row r="3107" spans="1:9" x14ac:dyDescent="0.25">
      <c r="A3107" s="420">
        <v>43032</v>
      </c>
      <c r="B3107" s="302" t="s">
        <v>34808</v>
      </c>
      <c r="C3107">
        <v>132670</v>
      </c>
      <c r="D3107" s="275" t="s">
        <v>15716</v>
      </c>
      <c r="E3107" s="301">
        <v>3655.4</v>
      </c>
      <c r="F3107" s="303">
        <v>43032</v>
      </c>
      <c r="G3107" s="301">
        <v>3655.4</v>
      </c>
      <c r="H3107" s="301">
        <f>Tabla15[[#This Row],[Importe]]-Tabla15[[#This Row],[Pagado]]</f>
        <v>0</v>
      </c>
      <c r="I3107" s="275" t="s">
        <v>15214</v>
      </c>
    </row>
    <row r="3108" spans="1:9" x14ac:dyDescent="0.25">
      <c r="A3108" s="420">
        <v>43032</v>
      </c>
      <c r="B3108" s="302" t="s">
        <v>34809</v>
      </c>
      <c r="C3108">
        <v>132671</v>
      </c>
      <c r="D3108" s="275" t="s">
        <v>15624</v>
      </c>
      <c r="E3108" s="301">
        <v>34320.83</v>
      </c>
      <c r="F3108" s="303">
        <v>43034</v>
      </c>
      <c r="G3108" s="301">
        <v>34320.83</v>
      </c>
      <c r="H3108" s="301">
        <f>Tabla15[[#This Row],[Importe]]-Tabla15[[#This Row],[Pagado]]</f>
        <v>0</v>
      </c>
      <c r="I3108" s="275" t="s">
        <v>15214</v>
      </c>
    </row>
    <row r="3109" spans="1:9" x14ac:dyDescent="0.25">
      <c r="A3109" s="420">
        <v>43032</v>
      </c>
      <c r="B3109" s="302" t="s">
        <v>34810</v>
      </c>
      <c r="C3109">
        <v>132672</v>
      </c>
      <c r="D3109" s="275" t="s">
        <v>15272</v>
      </c>
      <c r="E3109" s="301">
        <v>1368</v>
      </c>
      <c r="F3109" s="303">
        <v>43034</v>
      </c>
      <c r="G3109" s="301">
        <v>1368</v>
      </c>
      <c r="H3109" s="301">
        <f>Tabla15[[#This Row],[Importe]]-Tabla15[[#This Row],[Pagado]]</f>
        <v>0</v>
      </c>
      <c r="I3109" s="275" t="s">
        <v>15214</v>
      </c>
    </row>
    <row r="3110" spans="1:9" x14ac:dyDescent="0.25">
      <c r="A3110" s="420">
        <v>43032</v>
      </c>
      <c r="B3110" s="302" t="s">
        <v>34811</v>
      </c>
      <c r="C3110">
        <v>132673</v>
      </c>
      <c r="D3110" s="275" t="s">
        <v>15444</v>
      </c>
      <c r="E3110" s="301">
        <v>4079</v>
      </c>
      <c r="F3110" s="303">
        <v>43034</v>
      </c>
      <c r="G3110" s="301">
        <v>4079</v>
      </c>
      <c r="H3110" s="301">
        <f>Tabla15[[#This Row],[Importe]]-Tabla15[[#This Row],[Pagado]]</f>
        <v>0</v>
      </c>
      <c r="I3110" s="275" t="s">
        <v>15214</v>
      </c>
    </row>
    <row r="3111" spans="1:9" x14ac:dyDescent="0.25">
      <c r="A3111" s="420">
        <v>43032</v>
      </c>
      <c r="B3111" s="302" t="s">
        <v>34812</v>
      </c>
      <c r="C3111">
        <v>132674</v>
      </c>
      <c r="D3111" s="275" t="s">
        <v>15391</v>
      </c>
      <c r="E3111" s="301">
        <v>8078.8</v>
      </c>
      <c r="F3111" s="303">
        <v>43034</v>
      </c>
      <c r="G3111" s="301">
        <v>8078.8</v>
      </c>
      <c r="H3111" s="301">
        <f>Tabla15[[#This Row],[Importe]]-Tabla15[[#This Row],[Pagado]]</f>
        <v>0</v>
      </c>
      <c r="I3111" s="275" t="s">
        <v>15214</v>
      </c>
    </row>
    <row r="3112" spans="1:9" x14ac:dyDescent="0.25">
      <c r="A3112" s="420">
        <v>43032</v>
      </c>
      <c r="B3112" s="302" t="s">
        <v>34813</v>
      </c>
      <c r="C3112">
        <v>132675</v>
      </c>
      <c r="D3112" s="275" t="s">
        <v>15617</v>
      </c>
      <c r="E3112" s="301">
        <v>14147</v>
      </c>
      <c r="F3112" s="303">
        <v>43033</v>
      </c>
      <c r="G3112" s="301">
        <v>14147</v>
      </c>
      <c r="H3112" s="301">
        <f>Tabla15[[#This Row],[Importe]]-Tabla15[[#This Row],[Pagado]]</f>
        <v>0</v>
      </c>
      <c r="I3112" s="275" t="s">
        <v>15214</v>
      </c>
    </row>
    <row r="3113" spans="1:9" ht="15.75" x14ac:dyDescent="0.25">
      <c r="A3113" s="420">
        <v>43032</v>
      </c>
      <c r="B3113" s="302" t="s">
        <v>34814</v>
      </c>
      <c r="C3113">
        <v>132676</v>
      </c>
      <c r="D3113" s="248" t="s">
        <v>95</v>
      </c>
      <c r="E3113" s="301">
        <v>0</v>
      </c>
      <c r="F3113" s="243" t="s">
        <v>95</v>
      </c>
      <c r="G3113" s="301">
        <v>0</v>
      </c>
      <c r="H3113" s="301">
        <f>Tabla15[[#This Row],[Importe]]-Tabla15[[#This Row],[Pagado]]</f>
        <v>0</v>
      </c>
      <c r="I3113" s="275" t="s">
        <v>95</v>
      </c>
    </row>
    <row r="3114" spans="1:9" x14ac:dyDescent="0.25">
      <c r="A3114" s="420">
        <v>43032</v>
      </c>
      <c r="B3114" s="302" t="s">
        <v>34815</v>
      </c>
      <c r="C3114">
        <v>132677</v>
      </c>
      <c r="D3114" s="275" t="s">
        <v>5664</v>
      </c>
      <c r="E3114" s="301">
        <v>410.4</v>
      </c>
      <c r="F3114" s="303">
        <v>43032</v>
      </c>
      <c r="G3114" s="301">
        <v>410.4</v>
      </c>
      <c r="H3114" s="301">
        <f>Tabla15[[#This Row],[Importe]]-Tabla15[[#This Row],[Pagado]]</f>
        <v>0</v>
      </c>
      <c r="I3114" s="275" t="s">
        <v>15214</v>
      </c>
    </row>
    <row r="3115" spans="1:9" x14ac:dyDescent="0.25">
      <c r="A3115" s="420">
        <v>43032</v>
      </c>
      <c r="B3115" s="302" t="s">
        <v>34816</v>
      </c>
      <c r="C3115">
        <v>132678</v>
      </c>
      <c r="D3115" s="275" t="s">
        <v>15246</v>
      </c>
      <c r="E3115" s="301">
        <v>142393.63</v>
      </c>
      <c r="F3115" s="303">
        <v>43034</v>
      </c>
      <c r="G3115" s="301">
        <v>142393.63</v>
      </c>
      <c r="H3115" s="301">
        <f>Tabla15[[#This Row],[Importe]]-Tabla15[[#This Row],[Pagado]]</f>
        <v>0</v>
      </c>
      <c r="I3115" s="275" t="s">
        <v>15214</v>
      </c>
    </row>
    <row r="3116" spans="1:9" x14ac:dyDescent="0.25">
      <c r="A3116" s="420">
        <v>43032</v>
      </c>
      <c r="B3116" s="302" t="s">
        <v>34817</v>
      </c>
      <c r="C3116">
        <v>132679</v>
      </c>
      <c r="D3116" s="275" t="s">
        <v>15256</v>
      </c>
      <c r="E3116" s="301">
        <v>2376</v>
      </c>
      <c r="F3116" s="303">
        <v>43036</v>
      </c>
      <c r="G3116" s="301">
        <v>2376</v>
      </c>
      <c r="H3116" s="301">
        <f>Tabla15[[#This Row],[Importe]]-Tabla15[[#This Row],[Pagado]]</f>
        <v>0</v>
      </c>
      <c r="I3116" s="275" t="s">
        <v>15214</v>
      </c>
    </row>
    <row r="3117" spans="1:9" x14ac:dyDescent="0.25">
      <c r="A3117" s="420">
        <v>43032</v>
      </c>
      <c r="B3117" s="302" t="s">
        <v>34818</v>
      </c>
      <c r="C3117">
        <v>132680</v>
      </c>
      <c r="D3117" s="275" t="s">
        <v>15903</v>
      </c>
      <c r="E3117" s="301">
        <v>17846.400000000001</v>
      </c>
      <c r="F3117" s="303">
        <v>43032</v>
      </c>
      <c r="G3117" s="301">
        <v>17846.400000000001</v>
      </c>
      <c r="H3117" s="301">
        <f>Tabla15[[#This Row],[Importe]]-Tabla15[[#This Row],[Pagado]]</f>
        <v>0</v>
      </c>
      <c r="I3117" s="275" t="s">
        <v>15214</v>
      </c>
    </row>
    <row r="3118" spans="1:9" x14ac:dyDescent="0.25">
      <c r="A3118" s="420">
        <v>43032</v>
      </c>
      <c r="B3118" s="302" t="s">
        <v>34819</v>
      </c>
      <c r="C3118">
        <v>132681</v>
      </c>
      <c r="D3118" s="275" t="s">
        <v>15396</v>
      </c>
      <c r="E3118" s="301">
        <v>5238.8999999999996</v>
      </c>
      <c r="F3118" s="303">
        <v>43032</v>
      </c>
      <c r="G3118" s="301">
        <v>5238.8999999999996</v>
      </c>
      <c r="H3118" s="301">
        <f>Tabla15[[#This Row],[Importe]]-Tabla15[[#This Row],[Pagado]]</f>
        <v>0</v>
      </c>
      <c r="I3118" s="275" t="s">
        <v>15214</v>
      </c>
    </row>
    <row r="3119" spans="1:9" x14ac:dyDescent="0.25">
      <c r="A3119" s="420">
        <v>43032</v>
      </c>
      <c r="B3119" s="302" t="s">
        <v>34820</v>
      </c>
      <c r="C3119">
        <v>132682</v>
      </c>
      <c r="D3119" s="275" t="s">
        <v>15365</v>
      </c>
      <c r="E3119" s="301">
        <v>214762</v>
      </c>
      <c r="F3119" s="303">
        <v>43034</v>
      </c>
      <c r="G3119" s="301">
        <v>214762</v>
      </c>
      <c r="H3119" s="301">
        <f>Tabla15[[#This Row],[Importe]]-Tabla15[[#This Row],[Pagado]]</f>
        <v>0</v>
      </c>
      <c r="I3119" s="275" t="s">
        <v>15214</v>
      </c>
    </row>
    <row r="3120" spans="1:9" x14ac:dyDescent="0.25">
      <c r="A3120" s="420">
        <v>43032</v>
      </c>
      <c r="B3120" s="302" t="s">
        <v>34821</v>
      </c>
      <c r="C3120">
        <v>132683</v>
      </c>
      <c r="D3120" s="275" t="s">
        <v>15555</v>
      </c>
      <c r="E3120" s="301">
        <v>36960.83</v>
      </c>
      <c r="F3120" s="303">
        <v>43033</v>
      </c>
      <c r="G3120" s="301">
        <v>36960.83</v>
      </c>
      <c r="H3120" s="301">
        <f>Tabla15[[#This Row],[Importe]]-Tabla15[[#This Row],[Pagado]]</f>
        <v>0</v>
      </c>
      <c r="I3120" s="275" t="s">
        <v>15214</v>
      </c>
    </row>
    <row r="3121" spans="1:9" x14ac:dyDescent="0.25">
      <c r="A3121" s="420">
        <v>43032</v>
      </c>
      <c r="B3121" s="302" t="s">
        <v>34822</v>
      </c>
      <c r="C3121">
        <v>132684</v>
      </c>
      <c r="D3121" s="275" t="s">
        <v>15284</v>
      </c>
      <c r="E3121" s="301">
        <v>1667.4</v>
      </c>
      <c r="F3121" s="303">
        <v>43032</v>
      </c>
      <c r="G3121" s="301">
        <v>1667.4</v>
      </c>
      <c r="H3121" s="301">
        <f>Tabla15[[#This Row],[Importe]]-Tabla15[[#This Row],[Pagado]]</f>
        <v>0</v>
      </c>
      <c r="I3121" s="275" t="s">
        <v>15214</v>
      </c>
    </row>
    <row r="3122" spans="1:9" x14ac:dyDescent="0.25">
      <c r="A3122" s="420">
        <v>43032</v>
      </c>
      <c r="B3122" s="302" t="s">
        <v>34823</v>
      </c>
      <c r="C3122">
        <v>132685</v>
      </c>
      <c r="D3122" s="275" t="s">
        <v>19699</v>
      </c>
      <c r="E3122" s="301">
        <v>1680</v>
      </c>
      <c r="F3122" s="303">
        <v>43032</v>
      </c>
      <c r="G3122" s="301">
        <v>1680</v>
      </c>
      <c r="H3122" s="301">
        <f>Tabla15[[#This Row],[Importe]]-Tabla15[[#This Row],[Pagado]]</f>
        <v>0</v>
      </c>
      <c r="I3122" s="275" t="s">
        <v>15214</v>
      </c>
    </row>
    <row r="3123" spans="1:9" x14ac:dyDescent="0.25">
      <c r="A3123" s="420">
        <v>43032</v>
      </c>
      <c r="B3123" s="302" t="s">
        <v>34824</v>
      </c>
      <c r="C3123">
        <v>132686</v>
      </c>
      <c r="D3123" s="275" t="s">
        <v>15246</v>
      </c>
      <c r="E3123" s="301">
        <v>3550</v>
      </c>
      <c r="F3123" s="303">
        <v>43034</v>
      </c>
      <c r="G3123" s="301">
        <v>3550</v>
      </c>
      <c r="H3123" s="301">
        <f>Tabla15[[#This Row],[Importe]]-Tabla15[[#This Row],[Pagado]]</f>
        <v>0</v>
      </c>
      <c r="I3123" s="275" t="s">
        <v>15214</v>
      </c>
    </row>
    <row r="3124" spans="1:9" x14ac:dyDescent="0.25">
      <c r="A3124" s="420">
        <v>43032</v>
      </c>
      <c r="B3124" s="302" t="s">
        <v>34825</v>
      </c>
      <c r="C3124">
        <v>132687</v>
      </c>
      <c r="D3124" s="275" t="s">
        <v>15246</v>
      </c>
      <c r="E3124" s="301">
        <v>35544.94</v>
      </c>
      <c r="F3124" s="303">
        <v>43034</v>
      </c>
      <c r="G3124" s="301">
        <v>35544.94</v>
      </c>
      <c r="H3124" s="301">
        <f>Tabla15[[#This Row],[Importe]]-Tabla15[[#This Row],[Pagado]]</f>
        <v>0</v>
      </c>
      <c r="I3124" s="275" t="s">
        <v>15214</v>
      </c>
    </row>
    <row r="3125" spans="1:9" ht="30" x14ac:dyDescent="0.25">
      <c r="A3125" s="420">
        <v>43032</v>
      </c>
      <c r="B3125" s="302" t="s">
        <v>34826</v>
      </c>
      <c r="C3125">
        <v>132688</v>
      </c>
      <c r="D3125" s="275" t="s">
        <v>15328</v>
      </c>
      <c r="E3125" s="301">
        <v>34824.400000000001</v>
      </c>
      <c r="F3125" s="303" t="s">
        <v>35720</v>
      </c>
      <c r="G3125" s="305">
        <f>18176.88+16647.52</f>
        <v>34824.400000000001</v>
      </c>
      <c r="H3125" s="305">
        <f>Tabla15[[#This Row],[Importe]]-Tabla15[[#This Row],[Pagado]]</f>
        <v>0</v>
      </c>
      <c r="I3125" s="275" t="s">
        <v>15214</v>
      </c>
    </row>
    <row r="3126" spans="1:9" x14ac:dyDescent="0.25">
      <c r="A3126" s="420">
        <v>43032</v>
      </c>
      <c r="B3126" s="302" t="s">
        <v>34827</v>
      </c>
      <c r="C3126">
        <v>132689</v>
      </c>
      <c r="D3126" s="275" t="s">
        <v>15315</v>
      </c>
      <c r="E3126" s="301">
        <v>3079.7</v>
      </c>
      <c r="F3126" s="303">
        <v>43032</v>
      </c>
      <c r="G3126" s="301">
        <v>3079.7</v>
      </c>
      <c r="H3126" s="301">
        <f>Tabla15[[#This Row],[Importe]]-Tabla15[[#This Row],[Pagado]]</f>
        <v>0</v>
      </c>
      <c r="I3126" s="275" t="s">
        <v>15214</v>
      </c>
    </row>
    <row r="3127" spans="1:9" x14ac:dyDescent="0.25">
      <c r="A3127" s="420">
        <v>43032</v>
      </c>
      <c r="B3127" s="302" t="s">
        <v>34828</v>
      </c>
      <c r="C3127">
        <v>132690</v>
      </c>
      <c r="D3127" s="275" t="s">
        <v>15315</v>
      </c>
      <c r="E3127" s="301">
        <v>3942</v>
      </c>
      <c r="F3127" s="303">
        <v>43033</v>
      </c>
      <c r="G3127" s="301">
        <v>3942</v>
      </c>
      <c r="H3127" s="301">
        <f>Tabla15[[#This Row],[Importe]]-Tabla15[[#This Row],[Pagado]]</f>
        <v>0</v>
      </c>
      <c r="I3127" s="275" t="s">
        <v>15214</v>
      </c>
    </row>
    <row r="3128" spans="1:9" x14ac:dyDescent="0.25">
      <c r="A3128" s="420">
        <v>43032</v>
      </c>
      <c r="B3128" s="302" t="s">
        <v>34829</v>
      </c>
      <c r="C3128">
        <v>132691</v>
      </c>
      <c r="D3128" s="275" t="s">
        <v>19680</v>
      </c>
      <c r="E3128" s="301">
        <v>164</v>
      </c>
      <c r="F3128" s="303">
        <v>43033</v>
      </c>
      <c r="G3128" s="301">
        <v>164</v>
      </c>
      <c r="H3128" s="301">
        <f>Tabla15[[#This Row],[Importe]]-Tabla15[[#This Row],[Pagado]]</f>
        <v>0</v>
      </c>
      <c r="I3128" s="275" t="s">
        <v>15214</v>
      </c>
    </row>
    <row r="3129" spans="1:9" x14ac:dyDescent="0.25">
      <c r="A3129" s="420">
        <v>43033</v>
      </c>
      <c r="B3129" s="302" t="s">
        <v>34830</v>
      </c>
      <c r="C3129">
        <v>132692</v>
      </c>
      <c r="D3129" s="275" t="s">
        <v>21386</v>
      </c>
      <c r="E3129" s="301">
        <v>10028.75</v>
      </c>
      <c r="F3129" s="303">
        <v>43034</v>
      </c>
      <c r="G3129" s="301">
        <v>10028.75</v>
      </c>
      <c r="H3129" s="301">
        <f>Tabla15[[#This Row],[Importe]]-Tabla15[[#This Row],[Pagado]]</f>
        <v>0</v>
      </c>
      <c r="I3129" s="275" t="s">
        <v>15214</v>
      </c>
    </row>
    <row r="3130" spans="1:9" x14ac:dyDescent="0.25">
      <c r="A3130" s="420">
        <v>43033</v>
      </c>
      <c r="B3130" s="302" t="s">
        <v>34831</v>
      </c>
      <c r="C3130">
        <v>132693</v>
      </c>
      <c r="D3130" s="275" t="s">
        <v>15213</v>
      </c>
      <c r="E3130" s="301">
        <v>31909.3</v>
      </c>
      <c r="F3130" s="303">
        <v>43034</v>
      </c>
      <c r="G3130" s="301">
        <v>31909.3</v>
      </c>
      <c r="H3130" s="301">
        <f>Tabla15[[#This Row],[Importe]]-Tabla15[[#This Row],[Pagado]]</f>
        <v>0</v>
      </c>
      <c r="I3130" s="275" t="s">
        <v>15214</v>
      </c>
    </row>
    <row r="3131" spans="1:9" ht="30" x14ac:dyDescent="0.25">
      <c r="A3131" s="420">
        <v>43033</v>
      </c>
      <c r="B3131" s="302" t="s">
        <v>34832</v>
      </c>
      <c r="C3131">
        <v>132694</v>
      </c>
      <c r="D3131" s="275" t="s">
        <v>15230</v>
      </c>
      <c r="E3131" s="301">
        <v>10013.5</v>
      </c>
      <c r="F3131" s="303" t="s">
        <v>34833</v>
      </c>
      <c r="G3131" s="310">
        <f>7600+2413.5</f>
        <v>10013.5</v>
      </c>
      <c r="H3131" s="310">
        <f>Tabla15[[#This Row],[Importe]]-Tabla15[[#This Row],[Pagado]]</f>
        <v>0</v>
      </c>
      <c r="I3131" s="275" t="s">
        <v>15214</v>
      </c>
    </row>
    <row r="3132" spans="1:9" x14ac:dyDescent="0.25">
      <c r="A3132" s="420">
        <v>43033</v>
      </c>
      <c r="B3132" s="302" t="s">
        <v>34834</v>
      </c>
      <c r="C3132">
        <v>132695</v>
      </c>
      <c r="D3132" s="275" t="s">
        <v>15232</v>
      </c>
      <c r="E3132" s="301">
        <v>6205</v>
      </c>
      <c r="F3132" s="303">
        <v>43041</v>
      </c>
      <c r="G3132" s="301">
        <v>6205</v>
      </c>
      <c r="H3132" s="301">
        <f>Tabla15[[#This Row],[Importe]]-Tabla15[[#This Row],[Pagado]]</f>
        <v>0</v>
      </c>
      <c r="I3132" s="275" t="s">
        <v>15214</v>
      </c>
    </row>
    <row r="3133" spans="1:9" x14ac:dyDescent="0.25">
      <c r="A3133" s="420">
        <v>43033</v>
      </c>
      <c r="B3133" s="302" t="s">
        <v>34835</v>
      </c>
      <c r="C3133">
        <v>132696</v>
      </c>
      <c r="D3133" s="275" t="s">
        <v>18544</v>
      </c>
      <c r="E3133" s="301">
        <v>7502.3</v>
      </c>
      <c r="F3133" s="303">
        <v>43033</v>
      </c>
      <c r="G3133" s="301">
        <v>7502.3</v>
      </c>
      <c r="H3133" s="301">
        <f>Tabla15[[#This Row],[Importe]]-Tabla15[[#This Row],[Pagado]]</f>
        <v>0</v>
      </c>
      <c r="I3133" s="275" t="s">
        <v>15214</v>
      </c>
    </row>
    <row r="3134" spans="1:9" x14ac:dyDescent="0.25">
      <c r="A3134" s="420">
        <v>43033</v>
      </c>
      <c r="B3134" s="302" t="s">
        <v>34836</v>
      </c>
      <c r="C3134">
        <v>132697</v>
      </c>
      <c r="D3134" s="275" t="s">
        <v>15407</v>
      </c>
      <c r="E3134" s="301">
        <v>3054.7</v>
      </c>
      <c r="F3134" s="303">
        <v>43033</v>
      </c>
      <c r="G3134" s="301">
        <v>3054.7</v>
      </c>
      <c r="H3134" s="301">
        <f>Tabla15[[#This Row],[Importe]]-Tabla15[[#This Row],[Pagado]]</f>
        <v>0</v>
      </c>
      <c r="I3134" s="275" t="s">
        <v>15214</v>
      </c>
    </row>
    <row r="3135" spans="1:9" x14ac:dyDescent="0.25">
      <c r="A3135" s="420">
        <v>43033</v>
      </c>
      <c r="B3135" s="302" t="s">
        <v>34837</v>
      </c>
      <c r="C3135">
        <v>132698</v>
      </c>
      <c r="D3135" s="275" t="s">
        <v>15242</v>
      </c>
      <c r="E3135" s="301">
        <v>4931.2</v>
      </c>
      <c r="F3135" s="303">
        <v>43033</v>
      </c>
      <c r="G3135" s="301">
        <v>4931.2</v>
      </c>
      <c r="H3135" s="301">
        <f>Tabla15[[#This Row],[Importe]]-Tabla15[[#This Row],[Pagado]]</f>
        <v>0</v>
      </c>
      <c r="I3135" s="275" t="s">
        <v>15214</v>
      </c>
    </row>
    <row r="3136" spans="1:9" x14ac:dyDescent="0.25">
      <c r="A3136" s="420">
        <v>43033</v>
      </c>
      <c r="B3136" s="302" t="s">
        <v>34838</v>
      </c>
      <c r="C3136">
        <v>132699</v>
      </c>
      <c r="D3136" s="275" t="s">
        <v>15246</v>
      </c>
      <c r="E3136" s="301">
        <v>4146.8999999999996</v>
      </c>
      <c r="F3136" s="303">
        <v>43034</v>
      </c>
      <c r="G3136" s="301">
        <v>4146.8999999999996</v>
      </c>
      <c r="H3136" s="301">
        <f>Tabla15[[#This Row],[Importe]]-Tabla15[[#This Row],[Pagado]]</f>
        <v>0</v>
      </c>
      <c r="I3136" s="275" t="s">
        <v>15214</v>
      </c>
    </row>
    <row r="3137" spans="1:9" ht="15.75" x14ac:dyDescent="0.25">
      <c r="A3137" s="420">
        <v>43033</v>
      </c>
      <c r="B3137" s="302" t="s">
        <v>34839</v>
      </c>
      <c r="C3137">
        <v>132700</v>
      </c>
      <c r="D3137" s="248" t="s">
        <v>95</v>
      </c>
      <c r="E3137" s="301">
        <v>0</v>
      </c>
      <c r="F3137" s="243" t="s">
        <v>95</v>
      </c>
      <c r="G3137" s="301">
        <v>0</v>
      </c>
      <c r="H3137" s="301">
        <f>Tabla15[[#This Row],[Importe]]-Tabla15[[#This Row],[Pagado]]</f>
        <v>0</v>
      </c>
      <c r="I3137" s="236" t="s">
        <v>95</v>
      </c>
    </row>
    <row r="3138" spans="1:9" ht="60.75" x14ac:dyDescent="0.25">
      <c r="A3138" s="420">
        <v>43033</v>
      </c>
      <c r="B3138" s="302" t="s">
        <v>34840</v>
      </c>
      <c r="C3138">
        <v>132701</v>
      </c>
      <c r="D3138" s="275" t="s">
        <v>19780</v>
      </c>
      <c r="E3138" s="301">
        <v>10089.1</v>
      </c>
      <c r="F3138" s="309" t="s">
        <v>35729</v>
      </c>
      <c r="G3138" s="310">
        <f>5928+500+500+500+500</f>
        <v>7928</v>
      </c>
      <c r="H3138" s="310">
        <f>Tabla15[[#This Row],[Importe]]-Tabla15[[#This Row],[Pagado]]</f>
        <v>2161.1000000000004</v>
      </c>
      <c r="I3138" s="275" t="s">
        <v>15214</v>
      </c>
    </row>
    <row r="3139" spans="1:9" x14ac:dyDescent="0.25">
      <c r="A3139" s="420">
        <v>43033</v>
      </c>
      <c r="B3139" s="302" t="s">
        <v>34841</v>
      </c>
      <c r="C3139">
        <v>132702</v>
      </c>
      <c r="D3139" s="275" t="s">
        <v>15240</v>
      </c>
      <c r="E3139" s="301">
        <v>3874.2</v>
      </c>
      <c r="F3139" s="303">
        <v>43035</v>
      </c>
      <c r="G3139" s="301">
        <v>3874.2</v>
      </c>
      <c r="H3139" s="301">
        <f>Tabla15[[#This Row],[Importe]]-Tabla15[[#This Row],[Pagado]]</f>
        <v>0</v>
      </c>
      <c r="I3139" s="275" t="s">
        <v>15214</v>
      </c>
    </row>
    <row r="3140" spans="1:9" x14ac:dyDescent="0.25">
      <c r="A3140" s="420">
        <v>43033</v>
      </c>
      <c r="B3140" s="302" t="s">
        <v>34842</v>
      </c>
      <c r="C3140">
        <v>132703</v>
      </c>
      <c r="D3140" s="275" t="s">
        <v>15328</v>
      </c>
      <c r="E3140" s="301">
        <v>17140.52</v>
      </c>
      <c r="F3140" s="303">
        <v>43048</v>
      </c>
      <c r="G3140" s="301">
        <v>17140.52</v>
      </c>
      <c r="H3140" s="301">
        <f>Tabla15[[#This Row],[Importe]]-Tabla15[[#This Row],[Pagado]]</f>
        <v>0</v>
      </c>
      <c r="I3140" s="275" t="s">
        <v>15214</v>
      </c>
    </row>
    <row r="3141" spans="1:9" ht="30" x14ac:dyDescent="0.25">
      <c r="A3141" s="420">
        <v>43033</v>
      </c>
      <c r="B3141" s="302" t="s">
        <v>34843</v>
      </c>
      <c r="C3141">
        <v>132704</v>
      </c>
      <c r="D3141" s="275" t="s">
        <v>15234</v>
      </c>
      <c r="E3141" s="301">
        <v>2896.8</v>
      </c>
      <c r="F3141" s="303" t="s">
        <v>35710</v>
      </c>
      <c r="G3141" s="305">
        <f>2000+896.8</f>
        <v>2896.8</v>
      </c>
      <c r="H3141" s="305">
        <f>Tabla15[[#This Row],[Importe]]-Tabla15[[#This Row],[Pagado]]</f>
        <v>0</v>
      </c>
      <c r="I3141" s="275" t="s">
        <v>15214</v>
      </c>
    </row>
    <row r="3142" spans="1:9" x14ac:dyDescent="0.25">
      <c r="A3142" s="420">
        <v>43033</v>
      </c>
      <c r="B3142" s="302" t="s">
        <v>34844</v>
      </c>
      <c r="C3142">
        <v>132705</v>
      </c>
      <c r="D3142" s="275" t="s">
        <v>15332</v>
      </c>
      <c r="E3142" s="301">
        <v>5024.3</v>
      </c>
      <c r="F3142" s="303">
        <v>43033</v>
      </c>
      <c r="G3142" s="301">
        <v>5024.3</v>
      </c>
      <c r="H3142" s="301">
        <f>Tabla15[[#This Row],[Importe]]-Tabla15[[#This Row],[Pagado]]</f>
        <v>0</v>
      </c>
      <c r="I3142" s="275" t="s">
        <v>15214</v>
      </c>
    </row>
    <row r="3143" spans="1:9" x14ac:dyDescent="0.25">
      <c r="A3143" s="420">
        <v>43033</v>
      </c>
      <c r="B3143" s="302" t="s">
        <v>34845</v>
      </c>
      <c r="C3143">
        <v>132706</v>
      </c>
      <c r="D3143" s="275" t="s">
        <v>15858</v>
      </c>
      <c r="E3143" s="301">
        <v>2342.64</v>
      </c>
      <c r="F3143" s="303">
        <v>43033</v>
      </c>
      <c r="G3143" s="301">
        <v>2342.64</v>
      </c>
      <c r="H3143" s="301">
        <f>Tabla15[[#This Row],[Importe]]-Tabla15[[#This Row],[Pagado]]</f>
        <v>0</v>
      </c>
      <c r="I3143" s="275" t="s">
        <v>15214</v>
      </c>
    </row>
    <row r="3144" spans="1:9" x14ac:dyDescent="0.25">
      <c r="A3144" s="420">
        <v>43033</v>
      </c>
      <c r="B3144" s="302" t="s">
        <v>34846</v>
      </c>
      <c r="C3144">
        <v>132707</v>
      </c>
      <c r="D3144" s="275" t="s">
        <v>16171</v>
      </c>
      <c r="E3144" s="301">
        <v>1171.32</v>
      </c>
      <c r="F3144" s="303">
        <v>43033</v>
      </c>
      <c r="G3144" s="301">
        <v>1171.32</v>
      </c>
      <c r="H3144" s="301">
        <f>Tabla15[[#This Row],[Importe]]-Tabla15[[#This Row],[Pagado]]</f>
        <v>0</v>
      </c>
      <c r="I3144" s="275" t="s">
        <v>15214</v>
      </c>
    </row>
    <row r="3145" spans="1:9" x14ac:dyDescent="0.25">
      <c r="A3145" s="420">
        <v>43033</v>
      </c>
      <c r="B3145" s="302" t="s">
        <v>34847</v>
      </c>
      <c r="C3145">
        <v>132708</v>
      </c>
      <c r="D3145" s="275" t="s">
        <v>15742</v>
      </c>
      <c r="E3145" s="301">
        <v>2596.9</v>
      </c>
      <c r="F3145" s="303">
        <v>43033</v>
      </c>
      <c r="G3145" s="301">
        <v>2596.9</v>
      </c>
      <c r="H3145" s="301">
        <f>Tabla15[[#This Row],[Importe]]-Tabla15[[#This Row],[Pagado]]</f>
        <v>0</v>
      </c>
      <c r="I3145" s="275" t="s">
        <v>15214</v>
      </c>
    </row>
    <row r="3146" spans="1:9" x14ac:dyDescent="0.25">
      <c r="A3146" s="420">
        <v>43033</v>
      </c>
      <c r="B3146" s="302" t="s">
        <v>34848</v>
      </c>
      <c r="C3146">
        <v>132709</v>
      </c>
      <c r="D3146" s="275" t="s">
        <v>15523</v>
      </c>
      <c r="E3146" s="301">
        <v>1440</v>
      </c>
      <c r="F3146" s="303">
        <v>43033</v>
      </c>
      <c r="G3146" s="301">
        <v>1440</v>
      </c>
      <c r="H3146" s="301">
        <f>Tabla15[[#This Row],[Importe]]-Tabla15[[#This Row],[Pagado]]</f>
        <v>0</v>
      </c>
      <c r="I3146" s="275" t="s">
        <v>15214</v>
      </c>
    </row>
    <row r="3147" spans="1:9" x14ac:dyDescent="0.25">
      <c r="A3147" s="420">
        <v>43033</v>
      </c>
      <c r="B3147" s="302" t="s">
        <v>34849</v>
      </c>
      <c r="C3147">
        <v>132710</v>
      </c>
      <c r="D3147" s="275" t="s">
        <v>15732</v>
      </c>
      <c r="E3147" s="301">
        <v>2354.6999999999998</v>
      </c>
      <c r="F3147" s="303">
        <v>43033</v>
      </c>
      <c r="G3147" s="301">
        <v>2354.6999999999998</v>
      </c>
      <c r="H3147" s="301">
        <f>Tabla15[[#This Row],[Importe]]-Tabla15[[#This Row],[Pagado]]</f>
        <v>0</v>
      </c>
      <c r="I3147" s="275" t="s">
        <v>15214</v>
      </c>
    </row>
    <row r="3148" spans="1:9" x14ac:dyDescent="0.25">
      <c r="A3148" s="420">
        <v>43033</v>
      </c>
      <c r="B3148" s="302" t="s">
        <v>34850</v>
      </c>
      <c r="C3148">
        <v>132711</v>
      </c>
      <c r="D3148" s="275" t="s">
        <v>15487</v>
      </c>
      <c r="E3148" s="301">
        <v>8039.6</v>
      </c>
      <c r="F3148" s="303">
        <v>43033</v>
      </c>
      <c r="G3148" s="301">
        <v>8039.6</v>
      </c>
      <c r="H3148" s="301">
        <f>Tabla15[[#This Row],[Importe]]-Tabla15[[#This Row],[Pagado]]</f>
        <v>0</v>
      </c>
      <c r="I3148" s="275" t="s">
        <v>15214</v>
      </c>
    </row>
    <row r="3149" spans="1:9" x14ac:dyDescent="0.25">
      <c r="A3149" s="420">
        <v>43033</v>
      </c>
      <c r="B3149" s="302" t="s">
        <v>34851</v>
      </c>
      <c r="C3149">
        <v>132712</v>
      </c>
      <c r="D3149" s="275" t="s">
        <v>15356</v>
      </c>
      <c r="E3149" s="301">
        <v>2003.2</v>
      </c>
      <c r="F3149" s="303">
        <v>43033</v>
      </c>
      <c r="G3149" s="301">
        <v>2003.2</v>
      </c>
      <c r="H3149" s="301">
        <f>Tabla15[[#This Row],[Importe]]-Tabla15[[#This Row],[Pagado]]</f>
        <v>0</v>
      </c>
      <c r="I3149" s="275" t="s">
        <v>15214</v>
      </c>
    </row>
    <row r="3150" spans="1:9" x14ac:dyDescent="0.25">
      <c r="A3150" s="420">
        <v>43033</v>
      </c>
      <c r="B3150" s="302" t="s">
        <v>34852</v>
      </c>
      <c r="C3150">
        <v>132713</v>
      </c>
      <c r="D3150" s="275" t="s">
        <v>17722</v>
      </c>
      <c r="E3150" s="301">
        <v>3604.6</v>
      </c>
      <c r="F3150" s="303">
        <v>43034</v>
      </c>
      <c r="G3150" s="301">
        <v>3604.6</v>
      </c>
      <c r="H3150" s="301">
        <f>Tabla15[[#This Row],[Importe]]-Tabla15[[#This Row],[Pagado]]</f>
        <v>0</v>
      </c>
      <c r="I3150" s="275" t="s">
        <v>15214</v>
      </c>
    </row>
    <row r="3151" spans="1:9" x14ac:dyDescent="0.25">
      <c r="A3151" s="420">
        <v>43033</v>
      </c>
      <c r="B3151" s="302" t="s">
        <v>34853</v>
      </c>
      <c r="C3151">
        <v>132714</v>
      </c>
      <c r="D3151" s="275" t="s">
        <v>15553</v>
      </c>
      <c r="E3151" s="301">
        <v>1851.32</v>
      </c>
      <c r="F3151" s="303">
        <v>43033</v>
      </c>
      <c r="G3151" s="301">
        <v>1851.32</v>
      </c>
      <c r="H3151" s="301">
        <f>Tabla15[[#This Row],[Importe]]-Tabla15[[#This Row],[Pagado]]</f>
        <v>0</v>
      </c>
      <c r="I3151" s="275" t="s">
        <v>15214</v>
      </c>
    </row>
    <row r="3152" spans="1:9" x14ac:dyDescent="0.25">
      <c r="A3152" s="420">
        <v>43033</v>
      </c>
      <c r="B3152" s="302" t="s">
        <v>34854</v>
      </c>
      <c r="C3152">
        <v>132715</v>
      </c>
      <c r="D3152" s="275" t="s">
        <v>17462</v>
      </c>
      <c r="E3152" s="301">
        <v>5353.8</v>
      </c>
      <c r="F3152" s="303">
        <v>43033</v>
      </c>
      <c r="G3152" s="301">
        <v>5353.8</v>
      </c>
      <c r="H3152" s="301">
        <f>Tabla15[[#This Row],[Importe]]-Tabla15[[#This Row],[Pagado]]</f>
        <v>0</v>
      </c>
      <c r="I3152" s="275" t="s">
        <v>15214</v>
      </c>
    </row>
    <row r="3153" spans="1:9" x14ac:dyDescent="0.25">
      <c r="A3153" s="420">
        <v>43033</v>
      </c>
      <c r="B3153" s="302" t="s">
        <v>34855</v>
      </c>
      <c r="C3153">
        <v>132716</v>
      </c>
      <c r="D3153" s="275" t="s">
        <v>15681</v>
      </c>
      <c r="E3153" s="301">
        <v>2304.6</v>
      </c>
      <c r="F3153" s="303">
        <v>43033</v>
      </c>
      <c r="G3153" s="301">
        <v>2304.6</v>
      </c>
      <c r="H3153" s="301">
        <f>Tabla15[[#This Row],[Importe]]-Tabla15[[#This Row],[Pagado]]</f>
        <v>0</v>
      </c>
      <c r="I3153" s="275" t="s">
        <v>15214</v>
      </c>
    </row>
    <row r="3154" spans="1:9" x14ac:dyDescent="0.25">
      <c r="A3154" s="420">
        <v>43033</v>
      </c>
      <c r="B3154" s="302" t="s">
        <v>34856</v>
      </c>
      <c r="C3154">
        <v>132717</v>
      </c>
      <c r="D3154" s="275" t="s">
        <v>15263</v>
      </c>
      <c r="E3154" s="301">
        <v>3462.1</v>
      </c>
      <c r="F3154" s="303">
        <v>43033</v>
      </c>
      <c r="G3154" s="301">
        <v>3462.1</v>
      </c>
      <c r="H3154" s="301">
        <f>Tabla15[[#This Row],[Importe]]-Tabla15[[#This Row],[Pagado]]</f>
        <v>0</v>
      </c>
      <c r="I3154" s="275" t="s">
        <v>15214</v>
      </c>
    </row>
    <row r="3155" spans="1:9" x14ac:dyDescent="0.25">
      <c r="A3155" s="420">
        <v>43033</v>
      </c>
      <c r="B3155" s="302" t="s">
        <v>34857</v>
      </c>
      <c r="C3155">
        <v>132718</v>
      </c>
      <c r="D3155" s="275" t="s">
        <v>15358</v>
      </c>
      <c r="E3155" s="301">
        <v>2040</v>
      </c>
      <c r="F3155" s="303">
        <v>43033</v>
      </c>
      <c r="G3155" s="301">
        <v>2040</v>
      </c>
      <c r="H3155" s="301">
        <f>Tabla15[[#This Row],[Importe]]-Tabla15[[#This Row],[Pagado]]</f>
        <v>0</v>
      </c>
      <c r="I3155" s="275" t="s">
        <v>15214</v>
      </c>
    </row>
    <row r="3156" spans="1:9" x14ac:dyDescent="0.25">
      <c r="A3156" s="420">
        <v>43033</v>
      </c>
      <c r="B3156" s="302" t="s">
        <v>34858</v>
      </c>
      <c r="C3156">
        <v>132719</v>
      </c>
      <c r="D3156" s="275" t="s">
        <v>15336</v>
      </c>
      <c r="E3156" s="301">
        <v>6285.6</v>
      </c>
      <c r="F3156" s="303">
        <v>43033</v>
      </c>
      <c r="G3156" s="301">
        <v>6285.6</v>
      </c>
      <c r="H3156" s="301">
        <f>Tabla15[[#This Row],[Importe]]-Tabla15[[#This Row],[Pagado]]</f>
        <v>0</v>
      </c>
      <c r="I3156" s="275" t="s">
        <v>15214</v>
      </c>
    </row>
    <row r="3157" spans="1:9" ht="15.75" x14ac:dyDescent="0.25">
      <c r="A3157" s="420">
        <v>43033</v>
      </c>
      <c r="B3157" s="302" t="s">
        <v>34859</v>
      </c>
      <c r="C3157">
        <v>132720</v>
      </c>
      <c r="D3157" s="248" t="s">
        <v>95</v>
      </c>
      <c r="E3157" s="301">
        <v>0</v>
      </c>
      <c r="F3157" s="243" t="s">
        <v>95</v>
      </c>
      <c r="G3157" s="301">
        <v>0</v>
      </c>
      <c r="H3157" s="301">
        <f>Tabla15[[#This Row],[Importe]]-Tabla15[[#This Row],[Pagado]]</f>
        <v>0</v>
      </c>
      <c r="I3157" s="275" t="s">
        <v>95</v>
      </c>
    </row>
    <row r="3158" spans="1:9" ht="15.75" x14ac:dyDescent="0.25">
      <c r="A3158" s="420">
        <v>43033</v>
      </c>
      <c r="B3158" s="302" t="s">
        <v>34860</v>
      </c>
      <c r="C3158">
        <v>132721</v>
      </c>
      <c r="D3158" s="248" t="s">
        <v>95</v>
      </c>
      <c r="E3158" s="301">
        <v>0</v>
      </c>
      <c r="F3158" s="243" t="s">
        <v>95</v>
      </c>
      <c r="G3158" s="301">
        <v>0</v>
      </c>
      <c r="H3158" s="301">
        <f>Tabla15[[#This Row],[Importe]]-Tabla15[[#This Row],[Pagado]]</f>
        <v>0</v>
      </c>
      <c r="I3158" s="282" t="s">
        <v>31885</v>
      </c>
    </row>
    <row r="3159" spans="1:9" x14ac:dyDescent="0.25">
      <c r="A3159" s="420">
        <v>43033</v>
      </c>
      <c r="B3159" s="302" t="s">
        <v>34861</v>
      </c>
      <c r="C3159">
        <v>132722</v>
      </c>
      <c r="D3159" s="275" t="s">
        <v>15324</v>
      </c>
      <c r="E3159" s="301">
        <v>2232</v>
      </c>
      <c r="F3159" s="303">
        <v>43033</v>
      </c>
      <c r="G3159" s="301">
        <v>2232</v>
      </c>
      <c r="H3159" s="301">
        <f>Tabla15[[#This Row],[Importe]]-Tabla15[[#This Row],[Pagado]]</f>
        <v>0</v>
      </c>
      <c r="I3159" s="275" t="s">
        <v>15214</v>
      </c>
    </row>
    <row r="3160" spans="1:9" x14ac:dyDescent="0.25">
      <c r="A3160" s="420">
        <v>43033</v>
      </c>
      <c r="B3160" s="302" t="s">
        <v>34862</v>
      </c>
      <c r="C3160">
        <v>132723</v>
      </c>
      <c r="D3160" s="275" t="s">
        <v>15220</v>
      </c>
      <c r="E3160" s="301">
        <v>1920</v>
      </c>
      <c r="F3160" s="303">
        <v>43033</v>
      </c>
      <c r="G3160" s="301">
        <v>1920</v>
      </c>
      <c r="H3160" s="301">
        <f>Tabla15[[#This Row],[Importe]]-Tabla15[[#This Row],[Pagado]]</f>
        <v>0</v>
      </c>
      <c r="I3160" s="275" t="s">
        <v>15214</v>
      </c>
    </row>
    <row r="3161" spans="1:9" x14ac:dyDescent="0.25">
      <c r="A3161" s="420">
        <v>43033</v>
      </c>
      <c r="B3161" s="302" t="s">
        <v>34863</v>
      </c>
      <c r="C3161">
        <v>132724</v>
      </c>
      <c r="D3161" s="275" t="s">
        <v>15334</v>
      </c>
      <c r="E3161" s="301">
        <v>2570.6</v>
      </c>
      <c r="F3161" s="303">
        <v>43033</v>
      </c>
      <c r="G3161" s="301">
        <v>2570.6</v>
      </c>
      <c r="H3161" s="301">
        <f>Tabla15[[#This Row],[Importe]]-Tabla15[[#This Row],[Pagado]]</f>
        <v>0</v>
      </c>
      <c r="I3161" s="275" t="s">
        <v>15214</v>
      </c>
    </row>
    <row r="3162" spans="1:9" x14ac:dyDescent="0.25">
      <c r="A3162" s="420">
        <v>43033</v>
      </c>
      <c r="B3162" s="302" t="s">
        <v>34864</v>
      </c>
      <c r="C3162">
        <v>132725</v>
      </c>
      <c r="D3162" s="275" t="s">
        <v>19302</v>
      </c>
      <c r="E3162" s="301">
        <v>480</v>
      </c>
      <c r="F3162" s="303">
        <v>43033</v>
      </c>
      <c r="G3162" s="301">
        <v>480</v>
      </c>
      <c r="H3162" s="301">
        <f>Tabla15[[#This Row],[Importe]]-Tabla15[[#This Row],[Pagado]]</f>
        <v>0</v>
      </c>
      <c r="I3162" s="275" t="s">
        <v>15214</v>
      </c>
    </row>
    <row r="3163" spans="1:9" x14ac:dyDescent="0.25">
      <c r="A3163" s="420">
        <v>43033</v>
      </c>
      <c r="B3163" s="302" t="s">
        <v>34865</v>
      </c>
      <c r="C3163">
        <v>132726</v>
      </c>
      <c r="D3163" s="275" t="s">
        <v>15668</v>
      </c>
      <c r="E3163" s="301">
        <v>16507.5</v>
      </c>
      <c r="F3163" s="303">
        <v>43036</v>
      </c>
      <c r="G3163" s="301">
        <v>16507.5</v>
      </c>
      <c r="H3163" s="301">
        <f>Tabla15[[#This Row],[Importe]]-Tabla15[[#This Row],[Pagado]]</f>
        <v>0</v>
      </c>
      <c r="I3163" s="275" t="s">
        <v>15214</v>
      </c>
    </row>
    <row r="3164" spans="1:9" x14ac:dyDescent="0.25">
      <c r="A3164" s="420">
        <v>43033</v>
      </c>
      <c r="B3164" s="302" t="s">
        <v>34866</v>
      </c>
      <c r="C3164">
        <v>132727</v>
      </c>
      <c r="D3164" s="275" t="s">
        <v>15344</v>
      </c>
      <c r="E3164" s="301">
        <v>2280</v>
      </c>
      <c r="F3164" s="303">
        <v>43033</v>
      </c>
      <c r="G3164" s="301">
        <v>2280</v>
      </c>
      <c r="H3164" s="301">
        <f>Tabla15[[#This Row],[Importe]]-Tabla15[[#This Row],[Pagado]]</f>
        <v>0</v>
      </c>
      <c r="I3164" s="275" t="s">
        <v>15214</v>
      </c>
    </row>
    <row r="3165" spans="1:9" x14ac:dyDescent="0.25">
      <c r="A3165" s="420">
        <v>43033</v>
      </c>
      <c r="B3165" s="302" t="s">
        <v>34867</v>
      </c>
      <c r="C3165">
        <v>132728</v>
      </c>
      <c r="D3165" s="275" t="s">
        <v>15526</v>
      </c>
      <c r="E3165" s="301">
        <v>5580</v>
      </c>
      <c r="F3165" s="303">
        <v>43033</v>
      </c>
      <c r="G3165" s="301">
        <v>5580</v>
      </c>
      <c r="H3165" s="301">
        <f>Tabla15[[#This Row],[Importe]]-Tabla15[[#This Row],[Pagado]]</f>
        <v>0</v>
      </c>
      <c r="I3165" s="275" t="s">
        <v>15214</v>
      </c>
    </row>
    <row r="3166" spans="1:9" x14ac:dyDescent="0.25">
      <c r="A3166" s="420">
        <v>43033</v>
      </c>
      <c r="B3166" s="302" t="s">
        <v>34868</v>
      </c>
      <c r="C3166">
        <v>132729</v>
      </c>
      <c r="D3166" s="275" t="s">
        <v>15238</v>
      </c>
      <c r="E3166" s="301">
        <v>2687.7</v>
      </c>
      <c r="F3166" s="303">
        <v>43035</v>
      </c>
      <c r="G3166" s="301">
        <v>2687.7</v>
      </c>
      <c r="H3166" s="301">
        <f>Tabla15[[#This Row],[Importe]]-Tabla15[[#This Row],[Pagado]]</f>
        <v>0</v>
      </c>
      <c r="I3166" s="275" t="s">
        <v>15214</v>
      </c>
    </row>
    <row r="3167" spans="1:9" x14ac:dyDescent="0.25">
      <c r="A3167" s="420">
        <v>43033</v>
      </c>
      <c r="B3167" s="302" t="s">
        <v>34869</v>
      </c>
      <c r="C3167">
        <v>132730</v>
      </c>
      <c r="D3167" s="275" t="s">
        <v>15258</v>
      </c>
      <c r="E3167" s="301">
        <v>10518.4</v>
      </c>
      <c r="F3167" s="303">
        <v>43035</v>
      </c>
      <c r="G3167" s="301">
        <v>10518.4</v>
      </c>
      <c r="H3167" s="301">
        <f>Tabla15[[#This Row],[Importe]]-Tabla15[[#This Row],[Pagado]]</f>
        <v>0</v>
      </c>
      <c r="I3167" s="275" t="s">
        <v>15214</v>
      </c>
    </row>
    <row r="3168" spans="1:9" x14ac:dyDescent="0.25">
      <c r="A3168" s="420">
        <v>43033</v>
      </c>
      <c r="B3168" s="302" t="s">
        <v>34870</v>
      </c>
      <c r="C3168">
        <v>132731</v>
      </c>
      <c r="D3168" s="275" t="s">
        <v>15236</v>
      </c>
      <c r="E3168" s="301">
        <v>3632.5</v>
      </c>
      <c r="F3168" s="303">
        <v>43035</v>
      </c>
      <c r="G3168" s="301">
        <v>3632.5</v>
      </c>
      <c r="H3168" s="301">
        <f>Tabla15[[#This Row],[Importe]]-Tabla15[[#This Row],[Pagado]]</f>
        <v>0</v>
      </c>
      <c r="I3168" s="275" t="s">
        <v>15214</v>
      </c>
    </row>
    <row r="3169" spans="1:9" ht="30" x14ac:dyDescent="0.25">
      <c r="A3169" s="420">
        <v>43033</v>
      </c>
      <c r="B3169" s="302" t="s">
        <v>34871</v>
      </c>
      <c r="C3169">
        <v>132732</v>
      </c>
      <c r="D3169" s="275" t="s">
        <v>15480</v>
      </c>
      <c r="E3169" s="301">
        <v>3493.2</v>
      </c>
      <c r="F3169" s="303" t="s">
        <v>34376</v>
      </c>
      <c r="G3169" s="305">
        <f>1253+2240.2</f>
        <v>3493.2</v>
      </c>
      <c r="H3169" s="305">
        <f>Tabla15[[#This Row],[Importe]]-Tabla15[[#This Row],[Pagado]]</f>
        <v>0</v>
      </c>
      <c r="I3169" s="275" t="s">
        <v>15214</v>
      </c>
    </row>
    <row r="3170" spans="1:9" x14ac:dyDescent="0.25">
      <c r="A3170" s="420">
        <v>43033</v>
      </c>
      <c r="B3170" s="302" t="s">
        <v>34872</v>
      </c>
      <c r="C3170">
        <v>132733</v>
      </c>
      <c r="D3170" s="275" t="s">
        <v>34058</v>
      </c>
      <c r="E3170" s="301">
        <v>9688.2999999999993</v>
      </c>
      <c r="F3170" s="303">
        <v>43033</v>
      </c>
      <c r="G3170" s="301">
        <v>9688.2999999999993</v>
      </c>
      <c r="H3170" s="301">
        <f>Tabla15[[#This Row],[Importe]]-Tabla15[[#This Row],[Pagado]]</f>
        <v>0</v>
      </c>
      <c r="I3170" s="275" t="s">
        <v>15214</v>
      </c>
    </row>
    <row r="3171" spans="1:9" ht="30" x14ac:dyDescent="0.25">
      <c r="A3171" s="420">
        <v>43033</v>
      </c>
      <c r="B3171" s="302" t="s">
        <v>34873</v>
      </c>
      <c r="C3171">
        <v>132734</v>
      </c>
      <c r="D3171" s="275" t="s">
        <v>15256</v>
      </c>
      <c r="E3171" s="301">
        <v>7934.4</v>
      </c>
      <c r="F3171" s="303" t="s">
        <v>34874</v>
      </c>
      <c r="G3171" s="305">
        <f>4000+3934.4</f>
        <v>7934.4</v>
      </c>
      <c r="H3171" s="305">
        <f>Tabla15[[#This Row],[Importe]]-Tabla15[[#This Row],[Pagado]]</f>
        <v>0</v>
      </c>
      <c r="I3171" s="275" t="s">
        <v>15214</v>
      </c>
    </row>
    <row r="3172" spans="1:9" x14ac:dyDescent="0.25">
      <c r="A3172" s="420">
        <v>43033</v>
      </c>
      <c r="B3172" s="302" t="s">
        <v>34875</v>
      </c>
      <c r="C3172">
        <v>132735</v>
      </c>
      <c r="D3172" s="275" t="s">
        <v>30057</v>
      </c>
      <c r="E3172" s="301">
        <v>3897.5</v>
      </c>
      <c r="F3172" s="303">
        <v>43034</v>
      </c>
      <c r="G3172" s="301">
        <v>3897.5</v>
      </c>
      <c r="H3172" s="301">
        <f>Tabla15[[#This Row],[Importe]]-Tabla15[[#This Row],[Pagado]]</f>
        <v>0</v>
      </c>
      <c r="I3172" s="275" t="s">
        <v>15214</v>
      </c>
    </row>
    <row r="3173" spans="1:9" x14ac:dyDescent="0.25">
      <c r="A3173" s="420">
        <v>43033</v>
      </c>
      <c r="B3173" s="302" t="s">
        <v>34876</v>
      </c>
      <c r="C3173">
        <v>132736</v>
      </c>
      <c r="D3173" s="275" t="s">
        <v>15562</v>
      </c>
      <c r="E3173" s="301">
        <v>3332.45</v>
      </c>
      <c r="F3173" s="303">
        <v>43033</v>
      </c>
      <c r="G3173" s="301">
        <v>3332.45</v>
      </c>
      <c r="H3173" s="301">
        <f>Tabla15[[#This Row],[Importe]]-Tabla15[[#This Row],[Pagado]]</f>
        <v>0</v>
      </c>
      <c r="I3173" s="275" t="s">
        <v>15214</v>
      </c>
    </row>
    <row r="3174" spans="1:9" x14ac:dyDescent="0.25">
      <c r="A3174" s="420">
        <v>43033</v>
      </c>
      <c r="B3174" s="302" t="s">
        <v>34877</v>
      </c>
      <c r="C3174">
        <v>132737</v>
      </c>
      <c r="D3174" s="275" t="s">
        <v>15326</v>
      </c>
      <c r="E3174" s="301">
        <v>2720.9</v>
      </c>
      <c r="F3174" s="303">
        <v>43033</v>
      </c>
      <c r="G3174" s="301">
        <v>2720.9</v>
      </c>
      <c r="H3174" s="301">
        <f>Tabla15[[#This Row],[Importe]]-Tabla15[[#This Row],[Pagado]]</f>
        <v>0</v>
      </c>
      <c r="I3174" s="275" t="s">
        <v>15214</v>
      </c>
    </row>
    <row r="3175" spans="1:9" x14ac:dyDescent="0.25">
      <c r="A3175" s="420">
        <v>43033</v>
      </c>
      <c r="B3175" s="302" t="s">
        <v>34878</v>
      </c>
      <c r="C3175">
        <v>132738</v>
      </c>
      <c r="D3175" s="275" t="s">
        <v>15223</v>
      </c>
      <c r="E3175" s="301">
        <v>45521.599999999999</v>
      </c>
      <c r="F3175" s="303">
        <v>43055</v>
      </c>
      <c r="G3175" s="301">
        <v>45521.599999999999</v>
      </c>
      <c r="H3175" s="301">
        <f>Tabla15[[#This Row],[Importe]]-Tabla15[[#This Row],[Pagado]]</f>
        <v>0</v>
      </c>
      <c r="I3175" s="275" t="s">
        <v>15214</v>
      </c>
    </row>
    <row r="3176" spans="1:9" x14ac:dyDescent="0.25">
      <c r="A3176" s="420">
        <v>43033</v>
      </c>
      <c r="B3176" s="302" t="s">
        <v>34879</v>
      </c>
      <c r="C3176">
        <v>132739</v>
      </c>
      <c r="D3176" s="275" t="s">
        <v>15415</v>
      </c>
      <c r="E3176" s="301">
        <v>2763.2</v>
      </c>
      <c r="F3176" s="303">
        <v>43033</v>
      </c>
      <c r="G3176" s="301">
        <v>2763.2</v>
      </c>
      <c r="H3176" s="301">
        <f>Tabla15[[#This Row],[Importe]]-Tabla15[[#This Row],[Pagado]]</f>
        <v>0</v>
      </c>
      <c r="I3176" s="275" t="s">
        <v>15214</v>
      </c>
    </row>
    <row r="3177" spans="1:9" x14ac:dyDescent="0.25">
      <c r="A3177" s="420">
        <v>43033</v>
      </c>
      <c r="B3177" s="302" t="s">
        <v>34880</v>
      </c>
      <c r="C3177">
        <v>132740</v>
      </c>
      <c r="D3177" s="275" t="s">
        <v>15261</v>
      </c>
      <c r="E3177" s="301">
        <v>17340.75</v>
      </c>
      <c r="F3177" s="303">
        <v>43033</v>
      </c>
      <c r="G3177" s="301">
        <v>17340.75</v>
      </c>
      <c r="H3177" s="301">
        <f>Tabla15[[#This Row],[Importe]]-Tabla15[[#This Row],[Pagado]]</f>
        <v>0</v>
      </c>
      <c r="I3177" s="275" t="s">
        <v>15214</v>
      </c>
    </row>
    <row r="3178" spans="1:9" ht="45" x14ac:dyDescent="0.25">
      <c r="A3178" s="420">
        <v>43033</v>
      </c>
      <c r="B3178" s="302" t="s">
        <v>34881</v>
      </c>
      <c r="C3178">
        <v>132741</v>
      </c>
      <c r="D3178" s="275" t="s">
        <v>15228</v>
      </c>
      <c r="E3178" s="301">
        <v>34539.129999999997</v>
      </c>
      <c r="F3178" s="303" t="s">
        <v>34882</v>
      </c>
      <c r="G3178" s="305">
        <f>8000+10000+16539.13</f>
        <v>34539.130000000005</v>
      </c>
      <c r="H3178" s="305">
        <f>Tabla15[[#This Row],[Importe]]-Tabla15[[#This Row],[Pagado]]</f>
        <v>0</v>
      </c>
      <c r="I3178" s="275" t="s">
        <v>15214</v>
      </c>
    </row>
    <row r="3179" spans="1:9" x14ac:dyDescent="0.25">
      <c r="A3179" s="420">
        <v>43033</v>
      </c>
      <c r="B3179" s="302" t="s">
        <v>34883</v>
      </c>
      <c r="C3179">
        <v>132742</v>
      </c>
      <c r="D3179" s="275" t="s">
        <v>15248</v>
      </c>
      <c r="E3179" s="301">
        <v>31834.5</v>
      </c>
      <c r="F3179" s="303">
        <v>43033</v>
      </c>
      <c r="G3179" s="301">
        <v>31834.5</v>
      </c>
      <c r="H3179" s="301">
        <f>Tabla15[[#This Row],[Importe]]-Tabla15[[#This Row],[Pagado]]</f>
        <v>0</v>
      </c>
      <c r="I3179" s="275" t="s">
        <v>15214</v>
      </c>
    </row>
    <row r="3180" spans="1:9" x14ac:dyDescent="0.25">
      <c r="A3180" s="420">
        <v>43033</v>
      </c>
      <c r="B3180" s="302" t="s">
        <v>34884</v>
      </c>
      <c r="C3180">
        <v>132743</v>
      </c>
      <c r="D3180" s="275" t="s">
        <v>15272</v>
      </c>
      <c r="E3180" s="301">
        <v>14361.8</v>
      </c>
      <c r="F3180" s="303">
        <v>43033</v>
      </c>
      <c r="G3180" s="301">
        <v>14361.8</v>
      </c>
      <c r="H3180" s="301">
        <f>Tabla15[[#This Row],[Importe]]-Tabla15[[#This Row],[Pagado]]</f>
        <v>0</v>
      </c>
      <c r="I3180" s="275" t="s">
        <v>15214</v>
      </c>
    </row>
    <row r="3181" spans="1:9" x14ac:dyDescent="0.25">
      <c r="A3181" s="420">
        <v>43033</v>
      </c>
      <c r="B3181" s="302" t="s">
        <v>34885</v>
      </c>
      <c r="C3181">
        <v>132744</v>
      </c>
      <c r="D3181" s="275" t="s">
        <v>15291</v>
      </c>
      <c r="E3181" s="301">
        <v>960</v>
      </c>
      <c r="F3181" s="303">
        <v>43033</v>
      </c>
      <c r="G3181" s="301">
        <v>960</v>
      </c>
      <c r="H3181" s="301">
        <f>Tabla15[[#This Row],[Importe]]-Tabla15[[#This Row],[Pagado]]</f>
        <v>0</v>
      </c>
      <c r="I3181" s="275" t="s">
        <v>15214</v>
      </c>
    </row>
    <row r="3182" spans="1:9" x14ac:dyDescent="0.25">
      <c r="A3182" s="420">
        <v>43033</v>
      </c>
      <c r="B3182" s="302" t="s">
        <v>34886</v>
      </c>
      <c r="C3182">
        <v>132745</v>
      </c>
      <c r="D3182" s="275" t="s">
        <v>15510</v>
      </c>
      <c r="E3182" s="301">
        <v>26330.15</v>
      </c>
      <c r="F3182" s="303">
        <v>43033</v>
      </c>
      <c r="G3182" s="301">
        <v>26330.15</v>
      </c>
      <c r="H3182" s="301">
        <f>Tabla15[[#This Row],[Importe]]-Tabla15[[#This Row],[Pagado]]</f>
        <v>0</v>
      </c>
      <c r="I3182" s="275" t="s">
        <v>15214</v>
      </c>
    </row>
    <row r="3183" spans="1:9" x14ac:dyDescent="0.25">
      <c r="A3183" s="420">
        <v>43033</v>
      </c>
      <c r="B3183" s="302" t="s">
        <v>34887</v>
      </c>
      <c r="C3183">
        <v>132746</v>
      </c>
      <c r="D3183" s="275" t="s">
        <v>15284</v>
      </c>
      <c r="E3183" s="301">
        <v>1125</v>
      </c>
      <c r="F3183" s="303">
        <v>43033</v>
      </c>
      <c r="G3183" s="301">
        <v>1125</v>
      </c>
      <c r="H3183" s="301">
        <f>Tabla15[[#This Row],[Importe]]-Tabla15[[#This Row],[Pagado]]</f>
        <v>0</v>
      </c>
      <c r="I3183" s="275" t="s">
        <v>15214</v>
      </c>
    </row>
    <row r="3184" spans="1:9" x14ac:dyDescent="0.25">
      <c r="A3184" s="420">
        <v>43033</v>
      </c>
      <c r="B3184" s="302" t="s">
        <v>34888</v>
      </c>
      <c r="C3184">
        <v>132747</v>
      </c>
      <c r="D3184" s="275" t="s">
        <v>15789</v>
      </c>
      <c r="E3184" s="301">
        <v>1785</v>
      </c>
      <c r="F3184" s="303">
        <v>43033</v>
      </c>
      <c r="G3184" s="301">
        <v>1785</v>
      </c>
      <c r="H3184" s="301">
        <f>Tabla15[[#This Row],[Importe]]-Tabla15[[#This Row],[Pagado]]</f>
        <v>0</v>
      </c>
      <c r="I3184" s="275" t="s">
        <v>15214</v>
      </c>
    </row>
    <row r="3185" spans="1:9" x14ac:dyDescent="0.25">
      <c r="A3185" s="420">
        <v>43033</v>
      </c>
      <c r="B3185" s="302" t="s">
        <v>34889</v>
      </c>
      <c r="C3185">
        <v>132748</v>
      </c>
      <c r="D3185" s="275" t="s">
        <v>16229</v>
      </c>
      <c r="E3185" s="301">
        <v>5137.1000000000004</v>
      </c>
      <c r="F3185" s="303">
        <v>43033</v>
      </c>
      <c r="G3185" s="301">
        <v>5137.1000000000004</v>
      </c>
      <c r="H3185" s="301">
        <f>Tabla15[[#This Row],[Importe]]-Tabla15[[#This Row],[Pagado]]</f>
        <v>0</v>
      </c>
      <c r="I3185" s="275" t="s">
        <v>15214</v>
      </c>
    </row>
    <row r="3186" spans="1:9" x14ac:dyDescent="0.25">
      <c r="A3186" s="420">
        <v>43033</v>
      </c>
      <c r="B3186" s="302" t="s">
        <v>34890</v>
      </c>
      <c r="C3186">
        <v>132749</v>
      </c>
      <c r="D3186" s="275" t="s">
        <v>15305</v>
      </c>
      <c r="E3186" s="301">
        <v>982.8</v>
      </c>
      <c r="F3186" s="303">
        <v>43033</v>
      </c>
      <c r="G3186" s="301">
        <v>982.8</v>
      </c>
      <c r="H3186" s="301">
        <f>Tabla15[[#This Row],[Importe]]-Tabla15[[#This Row],[Pagado]]</f>
        <v>0</v>
      </c>
      <c r="I3186" s="275" t="s">
        <v>15214</v>
      </c>
    </row>
    <row r="3187" spans="1:9" x14ac:dyDescent="0.25">
      <c r="A3187" s="420">
        <v>43033</v>
      </c>
      <c r="B3187" s="302" t="s">
        <v>34891</v>
      </c>
      <c r="C3187">
        <v>132750</v>
      </c>
      <c r="D3187" s="275" t="s">
        <v>15307</v>
      </c>
      <c r="E3187" s="301">
        <v>2835.6</v>
      </c>
      <c r="F3187" s="303">
        <v>43033</v>
      </c>
      <c r="G3187" s="301">
        <v>2835.6</v>
      </c>
      <c r="H3187" s="301">
        <f>Tabla15[[#This Row],[Importe]]-Tabla15[[#This Row],[Pagado]]</f>
        <v>0</v>
      </c>
      <c r="I3187" s="275" t="s">
        <v>15214</v>
      </c>
    </row>
    <row r="3188" spans="1:9" x14ac:dyDescent="0.25">
      <c r="A3188" s="420">
        <v>43033</v>
      </c>
      <c r="B3188" s="302" t="s">
        <v>34892</v>
      </c>
      <c r="C3188">
        <v>132751</v>
      </c>
      <c r="D3188" s="275" t="s">
        <v>15311</v>
      </c>
      <c r="E3188" s="301">
        <v>550</v>
      </c>
      <c r="F3188" s="303">
        <v>43033</v>
      </c>
      <c r="G3188" s="301">
        <v>550</v>
      </c>
      <c r="H3188" s="301">
        <f>Tabla15[[#This Row],[Importe]]-Tabla15[[#This Row],[Pagado]]</f>
        <v>0</v>
      </c>
      <c r="I3188" s="275" t="s">
        <v>15214</v>
      </c>
    </row>
    <row r="3189" spans="1:9" x14ac:dyDescent="0.25">
      <c r="A3189" s="420">
        <v>43033</v>
      </c>
      <c r="B3189" s="302" t="s">
        <v>34893</v>
      </c>
      <c r="C3189">
        <v>132752</v>
      </c>
      <c r="D3189" s="275" t="s">
        <v>15759</v>
      </c>
      <c r="E3189" s="301">
        <v>1650.96</v>
      </c>
      <c r="F3189" s="303">
        <v>43033</v>
      </c>
      <c r="G3189" s="301">
        <v>1650.96</v>
      </c>
      <c r="H3189" s="301">
        <f>Tabla15[[#This Row],[Importe]]-Tabla15[[#This Row],[Pagado]]</f>
        <v>0</v>
      </c>
      <c r="I3189" s="275" t="s">
        <v>15214</v>
      </c>
    </row>
    <row r="3190" spans="1:9" x14ac:dyDescent="0.25">
      <c r="A3190" s="420">
        <v>43033</v>
      </c>
      <c r="B3190" s="302" t="s">
        <v>34894</v>
      </c>
      <c r="C3190">
        <v>132753</v>
      </c>
      <c r="D3190" s="275" t="s">
        <v>15530</v>
      </c>
      <c r="E3190" s="301">
        <v>1228.8</v>
      </c>
      <c r="F3190" s="303">
        <v>43033</v>
      </c>
      <c r="G3190" s="301">
        <v>1228.8</v>
      </c>
      <c r="H3190" s="301">
        <f>Tabla15[[#This Row],[Importe]]-Tabla15[[#This Row],[Pagado]]</f>
        <v>0</v>
      </c>
      <c r="I3190" s="275" t="s">
        <v>15214</v>
      </c>
    </row>
    <row r="3191" spans="1:9" x14ac:dyDescent="0.25">
      <c r="A3191" s="420">
        <v>43033</v>
      </c>
      <c r="B3191" s="302" t="s">
        <v>34895</v>
      </c>
      <c r="C3191">
        <v>132754</v>
      </c>
      <c r="D3191" s="275" t="s">
        <v>15340</v>
      </c>
      <c r="E3191" s="301">
        <v>7326.6</v>
      </c>
      <c r="F3191" s="303">
        <v>43033</v>
      </c>
      <c r="G3191" s="301">
        <v>7326.6</v>
      </c>
      <c r="H3191" s="301">
        <f>Tabla15[[#This Row],[Importe]]-Tabla15[[#This Row],[Pagado]]</f>
        <v>0</v>
      </c>
      <c r="I3191" s="275" t="s">
        <v>15214</v>
      </c>
    </row>
    <row r="3192" spans="1:9" x14ac:dyDescent="0.25">
      <c r="A3192" s="420">
        <v>43033</v>
      </c>
      <c r="B3192" s="302" t="s">
        <v>34896</v>
      </c>
      <c r="C3192">
        <v>132755</v>
      </c>
      <c r="D3192" s="275" t="s">
        <v>15745</v>
      </c>
      <c r="E3192" s="301">
        <v>1642.56</v>
      </c>
      <c r="F3192" s="303">
        <v>43033</v>
      </c>
      <c r="G3192" s="301">
        <v>1642.56</v>
      </c>
      <c r="H3192" s="301">
        <f>Tabla15[[#This Row],[Importe]]-Tabla15[[#This Row],[Pagado]]</f>
        <v>0</v>
      </c>
      <c r="I3192" s="275" t="s">
        <v>15214</v>
      </c>
    </row>
    <row r="3193" spans="1:9" x14ac:dyDescent="0.25">
      <c r="A3193" s="420">
        <v>43033</v>
      </c>
      <c r="B3193" s="302" t="s">
        <v>34897</v>
      </c>
      <c r="C3193">
        <v>132756</v>
      </c>
      <c r="D3193" s="275" t="s">
        <v>15313</v>
      </c>
      <c r="E3193" s="301">
        <v>2895.2</v>
      </c>
      <c r="F3193" s="303">
        <v>43033</v>
      </c>
      <c r="G3193" s="301">
        <v>2895.2</v>
      </c>
      <c r="H3193" s="301">
        <f>Tabla15[[#This Row],[Importe]]-Tabla15[[#This Row],[Pagado]]</f>
        <v>0</v>
      </c>
      <c r="I3193" s="275" t="s">
        <v>15214</v>
      </c>
    </row>
    <row r="3194" spans="1:9" x14ac:dyDescent="0.25">
      <c r="A3194" s="420">
        <v>43033</v>
      </c>
      <c r="B3194" s="302" t="s">
        <v>34898</v>
      </c>
      <c r="C3194">
        <v>132757</v>
      </c>
      <c r="D3194" s="275" t="s">
        <v>15280</v>
      </c>
      <c r="E3194" s="301">
        <v>6850.6</v>
      </c>
      <c r="F3194" s="303">
        <v>43033</v>
      </c>
      <c r="G3194" s="301">
        <v>6850.6</v>
      </c>
      <c r="H3194" s="301">
        <f>Tabla15[[#This Row],[Importe]]-Tabla15[[#This Row],[Pagado]]</f>
        <v>0</v>
      </c>
      <c r="I3194" s="275" t="s">
        <v>15214</v>
      </c>
    </row>
    <row r="3195" spans="1:9" x14ac:dyDescent="0.25">
      <c r="A3195" s="420">
        <v>43033</v>
      </c>
      <c r="B3195" s="302" t="s">
        <v>34899</v>
      </c>
      <c r="C3195">
        <v>132758</v>
      </c>
      <c r="D3195" s="275" t="s">
        <v>15289</v>
      </c>
      <c r="E3195" s="301">
        <v>1031</v>
      </c>
      <c r="F3195" s="303">
        <v>43033</v>
      </c>
      <c r="G3195" s="301">
        <v>1031</v>
      </c>
      <c r="H3195" s="301">
        <f>Tabla15[[#This Row],[Importe]]-Tabla15[[#This Row],[Pagado]]</f>
        <v>0</v>
      </c>
      <c r="I3195" s="275" t="s">
        <v>15214</v>
      </c>
    </row>
    <row r="3196" spans="1:9" x14ac:dyDescent="0.25">
      <c r="A3196" s="420">
        <v>43033</v>
      </c>
      <c r="B3196" s="302" t="s">
        <v>34900</v>
      </c>
      <c r="C3196">
        <v>132759</v>
      </c>
      <c r="D3196" s="275" t="s">
        <v>15278</v>
      </c>
      <c r="E3196" s="301">
        <v>5988.9</v>
      </c>
      <c r="F3196" s="303">
        <v>43033</v>
      </c>
      <c r="G3196" s="301">
        <v>5988.9</v>
      </c>
      <c r="H3196" s="301">
        <f>Tabla15[[#This Row],[Importe]]-Tabla15[[#This Row],[Pagado]]</f>
        <v>0</v>
      </c>
      <c r="I3196" s="275" t="s">
        <v>15214</v>
      </c>
    </row>
    <row r="3197" spans="1:9" x14ac:dyDescent="0.25">
      <c r="A3197" s="420">
        <v>43033</v>
      </c>
      <c r="B3197" s="302" t="s">
        <v>34901</v>
      </c>
      <c r="C3197">
        <v>132760</v>
      </c>
      <c r="D3197" s="275" t="s">
        <v>15250</v>
      </c>
      <c r="E3197" s="301">
        <v>37070.33</v>
      </c>
      <c r="F3197" s="303">
        <v>43038</v>
      </c>
      <c r="G3197" s="301">
        <v>37070.33</v>
      </c>
      <c r="H3197" s="301">
        <f>Tabla15[[#This Row],[Importe]]-Tabla15[[#This Row],[Pagado]]</f>
        <v>0</v>
      </c>
      <c r="I3197" s="275" t="s">
        <v>15214</v>
      </c>
    </row>
    <row r="3198" spans="1:9" x14ac:dyDescent="0.25">
      <c r="A3198" s="420">
        <v>43033</v>
      </c>
      <c r="B3198" s="302" t="s">
        <v>34902</v>
      </c>
      <c r="C3198">
        <v>132761</v>
      </c>
      <c r="D3198" s="275" t="s">
        <v>15250</v>
      </c>
      <c r="E3198" s="301">
        <v>35394.94</v>
      </c>
      <c r="F3198" s="303">
        <v>43038</v>
      </c>
      <c r="G3198" s="301">
        <v>35394.94</v>
      </c>
      <c r="H3198" s="301">
        <f>Tabla15[[#This Row],[Importe]]-Tabla15[[#This Row],[Pagado]]</f>
        <v>0</v>
      </c>
      <c r="I3198" s="275" t="s">
        <v>15214</v>
      </c>
    </row>
    <row r="3199" spans="1:9" x14ac:dyDescent="0.25">
      <c r="A3199" s="420">
        <v>43033</v>
      </c>
      <c r="B3199" s="302" t="s">
        <v>34903</v>
      </c>
      <c r="C3199">
        <v>132762</v>
      </c>
      <c r="D3199" s="275" t="s">
        <v>15361</v>
      </c>
      <c r="E3199" s="301">
        <v>19133.25</v>
      </c>
      <c r="F3199" s="303">
        <v>43033</v>
      </c>
      <c r="G3199" s="301">
        <v>19133.25</v>
      </c>
      <c r="H3199" s="301">
        <f>Tabla15[[#This Row],[Importe]]-Tabla15[[#This Row],[Pagado]]</f>
        <v>0</v>
      </c>
      <c r="I3199" s="275" t="s">
        <v>15214</v>
      </c>
    </row>
    <row r="3200" spans="1:9" x14ac:dyDescent="0.25">
      <c r="A3200" s="420">
        <v>43033</v>
      </c>
      <c r="B3200" s="302" t="s">
        <v>34904</v>
      </c>
      <c r="C3200">
        <v>132763</v>
      </c>
      <c r="D3200" s="275" t="s">
        <v>19776</v>
      </c>
      <c r="E3200" s="301">
        <v>11040</v>
      </c>
      <c r="F3200" s="303">
        <v>43033</v>
      </c>
      <c r="G3200" s="301">
        <v>11040</v>
      </c>
      <c r="H3200" s="301">
        <f>Tabla15[[#This Row],[Importe]]-Tabla15[[#This Row],[Pagado]]</f>
        <v>0</v>
      </c>
      <c r="I3200" s="275" t="s">
        <v>15214</v>
      </c>
    </row>
    <row r="3201" spans="1:9" x14ac:dyDescent="0.25">
      <c r="A3201" s="420">
        <v>43033</v>
      </c>
      <c r="B3201" s="302" t="s">
        <v>34905</v>
      </c>
      <c r="C3201">
        <v>132764</v>
      </c>
      <c r="D3201" s="275" t="s">
        <v>19773</v>
      </c>
      <c r="E3201" s="301">
        <v>6124.76</v>
      </c>
      <c r="F3201" s="303">
        <v>43036</v>
      </c>
      <c r="G3201" s="301">
        <v>6124.76</v>
      </c>
      <c r="H3201" s="301">
        <f>Tabla15[[#This Row],[Importe]]-Tabla15[[#This Row],[Pagado]]</f>
        <v>0</v>
      </c>
      <c r="I3201" s="275" t="s">
        <v>15214</v>
      </c>
    </row>
    <row r="3202" spans="1:9" x14ac:dyDescent="0.25">
      <c r="A3202" s="420">
        <v>43033</v>
      </c>
      <c r="B3202" s="302" t="s">
        <v>34906</v>
      </c>
      <c r="C3202">
        <v>132765</v>
      </c>
      <c r="D3202" s="275" t="s">
        <v>15592</v>
      </c>
      <c r="E3202" s="301">
        <v>16567.5</v>
      </c>
      <c r="F3202" s="303">
        <v>43033</v>
      </c>
      <c r="G3202" s="301">
        <v>16567.5</v>
      </c>
      <c r="H3202" s="301">
        <f>Tabla15[[#This Row],[Importe]]-Tabla15[[#This Row],[Pagado]]</f>
        <v>0</v>
      </c>
      <c r="I3202" s="275" t="s">
        <v>15214</v>
      </c>
    </row>
    <row r="3203" spans="1:9" x14ac:dyDescent="0.25">
      <c r="A3203" s="420">
        <v>43033</v>
      </c>
      <c r="B3203" s="302" t="s">
        <v>34907</v>
      </c>
      <c r="C3203">
        <v>132766</v>
      </c>
      <c r="D3203" s="275" t="s">
        <v>15338</v>
      </c>
      <c r="E3203" s="301">
        <v>11502.12</v>
      </c>
      <c r="F3203" s="303">
        <v>43035</v>
      </c>
      <c r="G3203" s="301">
        <v>11502.12</v>
      </c>
      <c r="H3203" s="301">
        <f>Tabla15[[#This Row],[Importe]]-Tabla15[[#This Row],[Pagado]]</f>
        <v>0</v>
      </c>
      <c r="I3203" s="275" t="s">
        <v>15214</v>
      </c>
    </row>
    <row r="3204" spans="1:9" x14ac:dyDescent="0.25">
      <c r="A3204" s="420">
        <v>43033</v>
      </c>
      <c r="B3204" s="302" t="s">
        <v>34908</v>
      </c>
      <c r="C3204">
        <v>132767</v>
      </c>
      <c r="D3204" s="275" t="s">
        <v>15252</v>
      </c>
      <c r="E3204" s="301">
        <v>721.8</v>
      </c>
      <c r="F3204" s="303">
        <v>43036</v>
      </c>
      <c r="G3204" s="301">
        <v>721.8</v>
      </c>
      <c r="H3204" s="301">
        <f>Tabla15[[#This Row],[Importe]]-Tabla15[[#This Row],[Pagado]]</f>
        <v>0</v>
      </c>
      <c r="I3204" s="275" t="s">
        <v>15214</v>
      </c>
    </row>
    <row r="3205" spans="1:9" x14ac:dyDescent="0.25">
      <c r="A3205" s="420">
        <v>43033</v>
      </c>
      <c r="B3205" s="302" t="s">
        <v>34909</v>
      </c>
      <c r="C3205">
        <v>132768</v>
      </c>
      <c r="D3205" s="275" t="s">
        <v>15244</v>
      </c>
      <c r="E3205" s="301">
        <v>10012</v>
      </c>
      <c r="F3205" s="303">
        <v>43035</v>
      </c>
      <c r="G3205" s="301">
        <v>10012</v>
      </c>
      <c r="H3205" s="301">
        <f>Tabla15[[#This Row],[Importe]]-Tabla15[[#This Row],[Pagado]]</f>
        <v>0</v>
      </c>
      <c r="I3205" s="275" t="s">
        <v>15214</v>
      </c>
    </row>
    <row r="3206" spans="1:9" x14ac:dyDescent="0.25">
      <c r="A3206" s="420">
        <v>43033</v>
      </c>
      <c r="B3206" s="302" t="s">
        <v>34910</v>
      </c>
      <c r="C3206">
        <v>132769</v>
      </c>
      <c r="D3206" s="275" t="s">
        <v>15438</v>
      </c>
      <c r="E3206" s="301">
        <v>2180</v>
      </c>
      <c r="F3206" s="303">
        <v>43033</v>
      </c>
      <c r="G3206" s="301">
        <v>2180</v>
      </c>
      <c r="H3206" s="301">
        <f>Tabla15[[#This Row],[Importe]]-Tabla15[[#This Row],[Pagado]]</f>
        <v>0</v>
      </c>
      <c r="I3206" s="275" t="s">
        <v>15214</v>
      </c>
    </row>
    <row r="3207" spans="1:9" x14ac:dyDescent="0.25">
      <c r="A3207" s="420">
        <v>43033</v>
      </c>
      <c r="B3207" s="302" t="s">
        <v>34911</v>
      </c>
      <c r="C3207">
        <v>132770</v>
      </c>
      <c r="D3207" s="275" t="s">
        <v>15592</v>
      </c>
      <c r="E3207" s="301">
        <v>1481.2</v>
      </c>
      <c r="F3207" s="303">
        <v>43033</v>
      </c>
      <c r="G3207" s="301">
        <v>1481.2</v>
      </c>
      <c r="H3207" s="301">
        <f>Tabla15[[#This Row],[Importe]]-Tabla15[[#This Row],[Pagado]]</f>
        <v>0</v>
      </c>
      <c r="I3207" s="275" t="s">
        <v>15214</v>
      </c>
    </row>
    <row r="3208" spans="1:9" x14ac:dyDescent="0.25">
      <c r="A3208" s="420">
        <v>43033</v>
      </c>
      <c r="B3208" s="302" t="s">
        <v>34912</v>
      </c>
      <c r="C3208">
        <v>132771</v>
      </c>
      <c r="D3208" s="275" t="s">
        <v>15315</v>
      </c>
      <c r="E3208" s="301">
        <v>1778.4</v>
      </c>
      <c r="F3208" s="303">
        <v>43033</v>
      </c>
      <c r="G3208" s="301">
        <v>1778.4</v>
      </c>
      <c r="H3208" s="301">
        <f>Tabla15[[#This Row],[Importe]]-Tabla15[[#This Row],[Pagado]]</f>
        <v>0</v>
      </c>
      <c r="I3208" s="275" t="s">
        <v>15214</v>
      </c>
    </row>
    <row r="3209" spans="1:9" x14ac:dyDescent="0.25">
      <c r="A3209" s="420">
        <v>43033</v>
      </c>
      <c r="B3209" s="302" t="s">
        <v>34913</v>
      </c>
      <c r="C3209">
        <v>132772</v>
      </c>
      <c r="D3209" s="275" t="s">
        <v>15385</v>
      </c>
      <c r="E3209" s="301">
        <v>9045.4</v>
      </c>
      <c r="F3209" s="303">
        <v>43033</v>
      </c>
      <c r="G3209" s="301">
        <v>9045.4</v>
      </c>
      <c r="H3209" s="301">
        <f>Tabla15[[#This Row],[Importe]]-Tabla15[[#This Row],[Pagado]]</f>
        <v>0</v>
      </c>
      <c r="I3209" s="275" t="s">
        <v>15214</v>
      </c>
    </row>
    <row r="3210" spans="1:9" x14ac:dyDescent="0.25">
      <c r="A3210" s="420">
        <v>43033</v>
      </c>
      <c r="B3210" s="302" t="s">
        <v>34914</v>
      </c>
      <c r="C3210">
        <v>132773</v>
      </c>
      <c r="D3210" s="275" t="s">
        <v>15581</v>
      </c>
      <c r="E3210" s="301">
        <v>16209.2</v>
      </c>
      <c r="F3210" s="303">
        <v>43038</v>
      </c>
      <c r="G3210" s="301">
        <v>16209.2</v>
      </c>
      <c r="H3210" s="301">
        <f>Tabla15[[#This Row],[Importe]]-Tabla15[[#This Row],[Pagado]]</f>
        <v>0</v>
      </c>
      <c r="I3210" s="275" t="s">
        <v>15214</v>
      </c>
    </row>
    <row r="3211" spans="1:9" x14ac:dyDescent="0.25">
      <c r="A3211" s="420">
        <v>43033</v>
      </c>
      <c r="B3211" s="302" t="s">
        <v>34915</v>
      </c>
      <c r="C3211">
        <v>132774</v>
      </c>
      <c r="D3211" s="275" t="s">
        <v>15391</v>
      </c>
      <c r="E3211" s="301">
        <v>7098.4</v>
      </c>
      <c r="F3211" s="303">
        <v>43034</v>
      </c>
      <c r="G3211" s="301">
        <v>7098.4</v>
      </c>
      <c r="H3211" s="301">
        <f>Tabla15[[#This Row],[Importe]]-Tabla15[[#This Row],[Pagado]]</f>
        <v>0</v>
      </c>
      <c r="I3211" s="275" t="s">
        <v>15214</v>
      </c>
    </row>
    <row r="3212" spans="1:9" ht="30" x14ac:dyDescent="0.25">
      <c r="A3212" s="420">
        <v>43033</v>
      </c>
      <c r="B3212" s="302" t="s">
        <v>34916</v>
      </c>
      <c r="C3212">
        <v>132775</v>
      </c>
      <c r="D3212" s="275" t="s">
        <v>15373</v>
      </c>
      <c r="E3212" s="301">
        <v>21510.400000000001</v>
      </c>
      <c r="F3212" s="303" t="s">
        <v>34917</v>
      </c>
      <c r="G3212" s="305">
        <f>15500+6010.4</f>
        <v>21510.400000000001</v>
      </c>
      <c r="H3212" s="305">
        <f>Tabla15[[#This Row],[Importe]]-Tabla15[[#This Row],[Pagado]]</f>
        <v>0</v>
      </c>
      <c r="I3212" s="275" t="s">
        <v>15214</v>
      </c>
    </row>
    <row r="3213" spans="1:9" x14ac:dyDescent="0.25">
      <c r="A3213" s="420">
        <v>43033</v>
      </c>
      <c r="B3213" s="302" t="s">
        <v>34918</v>
      </c>
      <c r="C3213">
        <v>132776</v>
      </c>
      <c r="D3213" s="275" t="s">
        <v>15394</v>
      </c>
      <c r="E3213" s="301">
        <v>11512.1</v>
      </c>
      <c r="F3213" s="303">
        <v>43036</v>
      </c>
      <c r="G3213" s="301">
        <v>11512.1</v>
      </c>
      <c r="H3213" s="301">
        <f>Tabla15[[#This Row],[Importe]]-Tabla15[[#This Row],[Pagado]]</f>
        <v>0</v>
      </c>
      <c r="I3213" s="275" t="s">
        <v>15214</v>
      </c>
    </row>
    <row r="3214" spans="1:9" x14ac:dyDescent="0.25">
      <c r="A3214" s="420">
        <v>43033</v>
      </c>
      <c r="B3214" s="302" t="s">
        <v>34919</v>
      </c>
      <c r="C3214">
        <v>132777</v>
      </c>
      <c r="D3214" s="275" t="s">
        <v>15427</v>
      </c>
      <c r="E3214" s="301">
        <v>34137.599999999999</v>
      </c>
      <c r="F3214" s="303">
        <v>43034</v>
      </c>
      <c r="G3214" s="301">
        <v>34137.599999999999</v>
      </c>
      <c r="H3214" s="301">
        <f>Tabla15[[#This Row],[Importe]]-Tabla15[[#This Row],[Pagado]]</f>
        <v>0</v>
      </c>
      <c r="I3214" s="275" t="s">
        <v>15214</v>
      </c>
    </row>
    <row r="3215" spans="1:9" x14ac:dyDescent="0.25">
      <c r="A3215" s="420">
        <v>43033</v>
      </c>
      <c r="B3215" s="302" t="s">
        <v>34920</v>
      </c>
      <c r="C3215">
        <v>132778</v>
      </c>
      <c r="D3215" s="275" t="s">
        <v>15427</v>
      </c>
      <c r="E3215" s="301">
        <v>482.6</v>
      </c>
      <c r="F3215" s="303">
        <v>43034</v>
      </c>
      <c r="G3215" s="301">
        <v>482.6</v>
      </c>
      <c r="H3215" s="301">
        <f>Tabla15[[#This Row],[Importe]]-Tabla15[[#This Row],[Pagado]]</f>
        <v>0</v>
      </c>
      <c r="I3215" s="275" t="s">
        <v>15214</v>
      </c>
    </row>
    <row r="3216" spans="1:9" x14ac:dyDescent="0.25">
      <c r="A3216" s="420">
        <v>43033</v>
      </c>
      <c r="B3216" s="302" t="s">
        <v>34921</v>
      </c>
      <c r="C3216">
        <v>132779</v>
      </c>
      <c r="D3216" s="275" t="s">
        <v>15369</v>
      </c>
      <c r="E3216" s="301">
        <v>25374.400000000001</v>
      </c>
      <c r="F3216" s="303">
        <v>43050</v>
      </c>
      <c r="G3216" s="301">
        <v>25374.400000000001</v>
      </c>
      <c r="H3216" s="301">
        <f>Tabla15[[#This Row],[Importe]]-Tabla15[[#This Row],[Pagado]]</f>
        <v>0</v>
      </c>
      <c r="I3216" s="275" t="s">
        <v>15214</v>
      </c>
    </row>
    <row r="3217" spans="1:9" ht="15.75" x14ac:dyDescent="0.25">
      <c r="A3217" s="420">
        <v>43033</v>
      </c>
      <c r="B3217" s="302" t="s">
        <v>34922</v>
      </c>
      <c r="C3217">
        <v>132780</v>
      </c>
      <c r="D3217" s="316" t="s">
        <v>95</v>
      </c>
      <c r="E3217" s="301">
        <v>0</v>
      </c>
      <c r="F3217" s="254" t="s">
        <v>95</v>
      </c>
      <c r="G3217" s="301">
        <v>0</v>
      </c>
      <c r="H3217" s="301">
        <f>Tabla15[[#This Row],[Importe]]-Tabla15[[#This Row],[Pagado]]</f>
        <v>0</v>
      </c>
      <c r="I3217" s="275" t="s">
        <v>95</v>
      </c>
    </row>
    <row r="3218" spans="1:9" x14ac:dyDescent="0.25">
      <c r="A3218" s="420">
        <v>43033</v>
      </c>
      <c r="B3218" s="302" t="s">
        <v>34923</v>
      </c>
      <c r="C3218">
        <v>132781</v>
      </c>
      <c r="D3218" s="275" t="s">
        <v>15367</v>
      </c>
      <c r="E3218" s="301">
        <v>5900</v>
      </c>
      <c r="F3218" s="303">
        <v>43034</v>
      </c>
      <c r="G3218" s="301">
        <v>5900</v>
      </c>
      <c r="H3218" s="301">
        <f>Tabla15[[#This Row],[Importe]]-Tabla15[[#This Row],[Pagado]]</f>
        <v>0</v>
      </c>
      <c r="I3218" s="275" t="s">
        <v>15214</v>
      </c>
    </row>
    <row r="3219" spans="1:9" x14ac:dyDescent="0.25">
      <c r="A3219" s="420">
        <v>43033</v>
      </c>
      <c r="B3219" s="302" t="s">
        <v>34924</v>
      </c>
      <c r="C3219">
        <v>132782</v>
      </c>
      <c r="D3219" s="275" t="s">
        <v>15380</v>
      </c>
      <c r="E3219" s="301">
        <v>32099.65</v>
      </c>
      <c r="F3219" s="303">
        <v>43050</v>
      </c>
      <c r="G3219" s="301">
        <v>32099.65</v>
      </c>
      <c r="H3219" s="301">
        <f>Tabla15[[#This Row],[Importe]]-Tabla15[[#This Row],[Pagado]]</f>
        <v>0</v>
      </c>
      <c r="I3219" s="275" t="s">
        <v>15214</v>
      </c>
    </row>
    <row r="3220" spans="1:9" x14ac:dyDescent="0.25">
      <c r="A3220" s="420">
        <v>43033</v>
      </c>
      <c r="B3220" s="302" t="s">
        <v>34925</v>
      </c>
      <c r="C3220">
        <v>132783</v>
      </c>
      <c r="D3220" s="275" t="s">
        <v>15378</v>
      </c>
      <c r="E3220" s="301">
        <v>4198.55</v>
      </c>
      <c r="F3220" s="303">
        <v>43033</v>
      </c>
      <c r="G3220" s="301">
        <v>4198.55</v>
      </c>
      <c r="H3220" s="301">
        <f>Tabla15[[#This Row],[Importe]]-Tabla15[[#This Row],[Pagado]]</f>
        <v>0</v>
      </c>
      <c r="I3220" s="275" t="s">
        <v>15214</v>
      </c>
    </row>
    <row r="3221" spans="1:9" x14ac:dyDescent="0.25">
      <c r="A3221" s="420">
        <v>43033</v>
      </c>
      <c r="B3221" s="302" t="s">
        <v>34926</v>
      </c>
      <c r="C3221">
        <v>132784</v>
      </c>
      <c r="D3221" s="275" t="s">
        <v>15382</v>
      </c>
      <c r="E3221" s="301">
        <v>11122.4</v>
      </c>
      <c r="F3221" s="303">
        <v>43050</v>
      </c>
      <c r="G3221" s="301">
        <v>11122.4</v>
      </c>
      <c r="H3221" s="301">
        <f>Tabla15[[#This Row],[Importe]]-Tabla15[[#This Row],[Pagado]]</f>
        <v>0</v>
      </c>
      <c r="I3221" s="275" t="s">
        <v>15214</v>
      </c>
    </row>
    <row r="3222" spans="1:9" x14ac:dyDescent="0.25">
      <c r="A3222" s="420">
        <v>43033</v>
      </c>
      <c r="B3222" s="302" t="s">
        <v>34927</v>
      </c>
      <c r="C3222">
        <v>132785</v>
      </c>
      <c r="D3222" s="275" t="s">
        <v>15389</v>
      </c>
      <c r="E3222" s="301">
        <v>13488</v>
      </c>
      <c r="F3222" s="303">
        <v>43050</v>
      </c>
      <c r="G3222" s="301">
        <v>13488</v>
      </c>
      <c r="H3222" s="301">
        <f>Tabla15[[#This Row],[Importe]]-Tabla15[[#This Row],[Pagado]]</f>
        <v>0</v>
      </c>
      <c r="I3222" s="275" t="s">
        <v>15214</v>
      </c>
    </row>
    <row r="3223" spans="1:9" x14ac:dyDescent="0.25">
      <c r="A3223" s="420">
        <v>43033</v>
      </c>
      <c r="B3223" s="302" t="s">
        <v>34928</v>
      </c>
      <c r="C3223">
        <v>132786</v>
      </c>
      <c r="D3223" s="275" t="s">
        <v>15890</v>
      </c>
      <c r="E3223" s="301">
        <v>14294.4</v>
      </c>
      <c r="F3223" s="303">
        <v>43036</v>
      </c>
      <c r="G3223" s="301">
        <v>14294.4</v>
      </c>
      <c r="H3223" s="301">
        <f>Tabla15[[#This Row],[Importe]]-Tabla15[[#This Row],[Pagado]]</f>
        <v>0</v>
      </c>
      <c r="I3223" s="275" t="s">
        <v>15214</v>
      </c>
    </row>
    <row r="3224" spans="1:9" x14ac:dyDescent="0.25">
      <c r="A3224" s="420">
        <v>43033</v>
      </c>
      <c r="B3224" s="302" t="s">
        <v>34929</v>
      </c>
      <c r="C3224">
        <v>132787</v>
      </c>
      <c r="D3224" s="275" t="s">
        <v>15725</v>
      </c>
      <c r="E3224" s="301">
        <v>20476.5</v>
      </c>
      <c r="F3224" s="303">
        <v>43034</v>
      </c>
      <c r="G3224" s="301">
        <v>20476.5</v>
      </c>
      <c r="H3224" s="301">
        <f>Tabla15[[#This Row],[Importe]]-Tabla15[[#This Row],[Pagado]]</f>
        <v>0</v>
      </c>
      <c r="I3224" s="275" t="s">
        <v>15214</v>
      </c>
    </row>
    <row r="3225" spans="1:9" x14ac:dyDescent="0.25">
      <c r="A3225" s="420">
        <v>43033</v>
      </c>
      <c r="B3225" s="302" t="s">
        <v>34930</v>
      </c>
      <c r="C3225">
        <v>132788</v>
      </c>
      <c r="D3225" s="275" t="s">
        <v>15417</v>
      </c>
      <c r="E3225" s="301">
        <v>2006.4</v>
      </c>
      <c r="F3225" s="303">
        <v>43034</v>
      </c>
      <c r="G3225" s="301">
        <v>2006.4</v>
      </c>
      <c r="H3225" s="301">
        <f>Tabla15[[#This Row],[Importe]]-Tabla15[[#This Row],[Pagado]]</f>
        <v>0</v>
      </c>
      <c r="I3225" s="275" t="s">
        <v>15214</v>
      </c>
    </row>
    <row r="3226" spans="1:9" x14ac:dyDescent="0.25">
      <c r="A3226" s="420">
        <v>43033</v>
      </c>
      <c r="B3226" s="302" t="s">
        <v>34931</v>
      </c>
      <c r="C3226">
        <v>132789</v>
      </c>
      <c r="D3226" s="275" t="s">
        <v>15276</v>
      </c>
      <c r="E3226" s="301">
        <v>2400</v>
      </c>
      <c r="F3226" s="303">
        <v>43034</v>
      </c>
      <c r="G3226" s="301">
        <v>2400</v>
      </c>
      <c r="H3226" s="301">
        <f>Tabla15[[#This Row],[Importe]]-Tabla15[[#This Row],[Pagado]]</f>
        <v>0</v>
      </c>
      <c r="I3226" s="275" t="s">
        <v>15214</v>
      </c>
    </row>
    <row r="3227" spans="1:9" x14ac:dyDescent="0.25">
      <c r="A3227" s="420">
        <v>43033</v>
      </c>
      <c r="B3227" s="302" t="s">
        <v>34932</v>
      </c>
      <c r="C3227">
        <v>132790</v>
      </c>
      <c r="D3227" s="275" t="s">
        <v>16288</v>
      </c>
      <c r="E3227" s="301">
        <v>1209.5999999999999</v>
      </c>
      <c r="F3227" s="303">
        <v>43034</v>
      </c>
      <c r="G3227" s="301">
        <v>1209.5999999999999</v>
      </c>
      <c r="H3227" s="301">
        <f>Tabla15[[#This Row],[Importe]]-Tabla15[[#This Row],[Pagado]]</f>
        <v>0</v>
      </c>
      <c r="I3227" s="275" t="s">
        <v>15214</v>
      </c>
    </row>
    <row r="3228" spans="1:9" ht="15.75" x14ac:dyDescent="0.25">
      <c r="A3228" s="420">
        <v>43033</v>
      </c>
      <c r="B3228" s="302" t="s">
        <v>34933</v>
      </c>
      <c r="C3228">
        <v>132791</v>
      </c>
      <c r="D3228" s="248" t="s">
        <v>95</v>
      </c>
      <c r="E3228" s="301">
        <v>0</v>
      </c>
      <c r="F3228" s="243" t="s">
        <v>95</v>
      </c>
      <c r="G3228" s="301">
        <v>0</v>
      </c>
      <c r="H3228" s="301">
        <f>Tabla15[[#This Row],[Importe]]-Tabla15[[#This Row],[Pagado]]</f>
        <v>0</v>
      </c>
      <c r="I3228" s="275" t="s">
        <v>95</v>
      </c>
    </row>
    <row r="3229" spans="1:9" x14ac:dyDescent="0.25">
      <c r="A3229" s="420">
        <v>43033</v>
      </c>
      <c r="B3229" s="302" t="s">
        <v>34934</v>
      </c>
      <c r="C3229">
        <v>132792</v>
      </c>
      <c r="D3229" s="275" t="s">
        <v>15748</v>
      </c>
      <c r="E3229" s="301">
        <v>1803.7</v>
      </c>
      <c r="F3229" s="303">
        <v>43034</v>
      </c>
      <c r="G3229" s="301">
        <v>1803.7</v>
      </c>
      <c r="H3229" s="301">
        <f>Tabla15[[#This Row],[Importe]]-Tabla15[[#This Row],[Pagado]]</f>
        <v>0</v>
      </c>
      <c r="I3229" s="275" t="s">
        <v>15214</v>
      </c>
    </row>
    <row r="3230" spans="1:9" x14ac:dyDescent="0.25">
      <c r="A3230" s="420">
        <v>43033</v>
      </c>
      <c r="B3230" s="302" t="s">
        <v>34935</v>
      </c>
      <c r="C3230">
        <v>132793</v>
      </c>
      <c r="D3230" s="275" t="s">
        <v>15315</v>
      </c>
      <c r="E3230" s="301">
        <v>172.8</v>
      </c>
      <c r="F3230" s="303">
        <v>43033</v>
      </c>
      <c r="G3230" s="301">
        <v>172.8</v>
      </c>
      <c r="H3230" s="301">
        <f>Tabla15[[#This Row],[Importe]]-Tabla15[[#This Row],[Pagado]]</f>
        <v>0</v>
      </c>
      <c r="I3230" s="275" t="s">
        <v>15214</v>
      </c>
    </row>
    <row r="3231" spans="1:9" x14ac:dyDescent="0.25">
      <c r="A3231" s="420">
        <v>43033</v>
      </c>
      <c r="B3231" s="302" t="s">
        <v>34936</v>
      </c>
      <c r="C3231">
        <v>132794</v>
      </c>
      <c r="D3231" s="275" t="s">
        <v>15315</v>
      </c>
      <c r="E3231" s="301">
        <v>3236.52</v>
      </c>
      <c r="F3231" s="303">
        <v>43034</v>
      </c>
      <c r="G3231" s="301">
        <v>3236.52</v>
      </c>
      <c r="H3231" s="301">
        <f>Tabla15[[#This Row],[Importe]]-Tabla15[[#This Row],[Pagado]]</f>
        <v>0</v>
      </c>
      <c r="I3231" s="275" t="s">
        <v>15214</v>
      </c>
    </row>
    <row r="3232" spans="1:9" x14ac:dyDescent="0.25">
      <c r="A3232" s="420">
        <v>43033</v>
      </c>
      <c r="B3232" s="302" t="s">
        <v>34937</v>
      </c>
      <c r="C3232">
        <v>132795</v>
      </c>
      <c r="D3232" s="275" t="s">
        <v>15282</v>
      </c>
      <c r="E3232" s="301">
        <v>4060.6</v>
      </c>
      <c r="F3232" s="303">
        <v>43033</v>
      </c>
      <c r="G3232" s="301">
        <v>4060.6</v>
      </c>
      <c r="H3232" s="301">
        <f>Tabla15[[#This Row],[Importe]]-Tabla15[[#This Row],[Pagado]]</f>
        <v>0</v>
      </c>
      <c r="I3232" s="275" t="s">
        <v>15214</v>
      </c>
    </row>
    <row r="3233" spans="1:9" x14ac:dyDescent="0.25">
      <c r="A3233" s="420">
        <v>43033</v>
      </c>
      <c r="B3233" s="302" t="s">
        <v>34938</v>
      </c>
      <c r="C3233">
        <v>132796</v>
      </c>
      <c r="D3233" s="275" t="s">
        <v>28488</v>
      </c>
      <c r="E3233" s="301">
        <v>6505.6</v>
      </c>
      <c r="F3233" s="303">
        <v>43034</v>
      </c>
      <c r="G3233" s="301">
        <v>6505.6</v>
      </c>
      <c r="H3233" s="301">
        <f>Tabla15[[#This Row],[Importe]]-Tabla15[[#This Row],[Pagado]]</f>
        <v>0</v>
      </c>
      <c r="I3233" s="275" t="s">
        <v>15214</v>
      </c>
    </row>
    <row r="3234" spans="1:9" x14ac:dyDescent="0.25">
      <c r="A3234" s="420">
        <v>43033</v>
      </c>
      <c r="B3234" s="302" t="s">
        <v>34939</v>
      </c>
      <c r="C3234">
        <v>132797</v>
      </c>
      <c r="D3234" s="275" t="s">
        <v>16277</v>
      </c>
      <c r="E3234" s="301">
        <v>997.5</v>
      </c>
      <c r="F3234" s="303">
        <v>43034</v>
      </c>
      <c r="G3234" s="301">
        <v>997.5</v>
      </c>
      <c r="H3234" s="301">
        <f>Tabla15[[#This Row],[Importe]]-Tabla15[[#This Row],[Pagado]]</f>
        <v>0</v>
      </c>
      <c r="I3234" s="275" t="s">
        <v>15214</v>
      </c>
    </row>
    <row r="3235" spans="1:9" x14ac:dyDescent="0.25">
      <c r="A3235" s="420">
        <v>43033</v>
      </c>
      <c r="B3235" s="302" t="s">
        <v>34940</v>
      </c>
      <c r="C3235">
        <v>132798</v>
      </c>
      <c r="D3235" s="275" t="s">
        <v>15226</v>
      </c>
      <c r="E3235" s="301">
        <v>374</v>
      </c>
      <c r="F3235" s="303">
        <v>43034</v>
      </c>
      <c r="G3235" s="301">
        <v>374</v>
      </c>
      <c r="H3235" s="301">
        <f>Tabla15[[#This Row],[Importe]]-Tabla15[[#This Row],[Pagado]]</f>
        <v>0</v>
      </c>
      <c r="I3235" s="275" t="s">
        <v>15214</v>
      </c>
    </row>
    <row r="3236" spans="1:9" x14ac:dyDescent="0.25">
      <c r="A3236" s="420">
        <v>43033</v>
      </c>
      <c r="B3236" s="302" t="s">
        <v>34941</v>
      </c>
      <c r="C3236">
        <v>132799</v>
      </c>
      <c r="D3236" s="275" t="s">
        <v>15398</v>
      </c>
      <c r="E3236" s="301">
        <v>3569.7</v>
      </c>
      <c r="F3236" s="303">
        <v>43033</v>
      </c>
      <c r="G3236" s="301">
        <v>3569.7</v>
      </c>
      <c r="H3236" s="301">
        <f>Tabla15[[#This Row],[Importe]]-Tabla15[[#This Row],[Pagado]]</f>
        <v>0</v>
      </c>
      <c r="I3236" s="275" t="s">
        <v>15214</v>
      </c>
    </row>
    <row r="3237" spans="1:9" x14ac:dyDescent="0.25">
      <c r="A3237" s="420">
        <v>43033</v>
      </c>
      <c r="B3237" s="302" t="s">
        <v>34942</v>
      </c>
      <c r="C3237">
        <v>132800</v>
      </c>
      <c r="D3237" s="275" t="s">
        <v>17708</v>
      </c>
      <c r="E3237" s="301">
        <v>3925.1</v>
      </c>
      <c r="F3237" s="303">
        <v>43034</v>
      </c>
      <c r="G3237" s="301">
        <v>3925.1</v>
      </c>
      <c r="H3237" s="301">
        <f>Tabla15[[#This Row],[Importe]]-Tabla15[[#This Row],[Pagado]]</f>
        <v>0</v>
      </c>
      <c r="I3237" s="275" t="s">
        <v>15214</v>
      </c>
    </row>
    <row r="3238" spans="1:9" x14ac:dyDescent="0.25">
      <c r="A3238" s="420">
        <v>43033</v>
      </c>
      <c r="B3238" s="302" t="s">
        <v>34943</v>
      </c>
      <c r="C3238">
        <v>132801</v>
      </c>
      <c r="D3238" s="275" t="s">
        <v>15699</v>
      </c>
      <c r="E3238" s="301">
        <v>15020.05</v>
      </c>
      <c r="F3238" s="303">
        <v>42761</v>
      </c>
      <c r="G3238" s="301">
        <v>15020.05</v>
      </c>
      <c r="H3238" s="301">
        <f>Tabla15[[#This Row],[Importe]]-Tabla15[[#This Row],[Pagado]]</f>
        <v>0</v>
      </c>
      <c r="I3238" s="275" t="s">
        <v>15214</v>
      </c>
    </row>
    <row r="3239" spans="1:9" x14ac:dyDescent="0.25">
      <c r="A3239" s="420">
        <v>43033</v>
      </c>
      <c r="B3239" s="302" t="s">
        <v>34944</v>
      </c>
      <c r="C3239">
        <v>132802</v>
      </c>
      <c r="D3239" s="275" t="s">
        <v>15559</v>
      </c>
      <c r="E3239" s="301">
        <v>6812.1</v>
      </c>
      <c r="F3239" s="303">
        <v>43034</v>
      </c>
      <c r="G3239" s="301">
        <v>6812.1</v>
      </c>
      <c r="H3239" s="301">
        <f>Tabla15[[#This Row],[Importe]]-Tabla15[[#This Row],[Pagado]]</f>
        <v>0</v>
      </c>
      <c r="I3239" s="275" t="s">
        <v>15214</v>
      </c>
    </row>
    <row r="3240" spans="1:9" x14ac:dyDescent="0.25">
      <c r="A3240" s="420">
        <v>43033</v>
      </c>
      <c r="B3240" s="302" t="s">
        <v>34945</v>
      </c>
      <c r="C3240">
        <v>132803</v>
      </c>
      <c r="D3240" s="275" t="s">
        <v>15413</v>
      </c>
      <c r="E3240" s="301">
        <v>4280.3999999999996</v>
      </c>
      <c r="F3240" s="303">
        <v>43033</v>
      </c>
      <c r="G3240" s="301">
        <v>4280.3999999999996</v>
      </c>
      <c r="H3240" s="301">
        <f>Tabla15[[#This Row],[Importe]]-Tabla15[[#This Row],[Pagado]]</f>
        <v>0</v>
      </c>
      <c r="I3240" s="275" t="s">
        <v>15214</v>
      </c>
    </row>
    <row r="3241" spans="1:9" x14ac:dyDescent="0.25">
      <c r="A3241" s="420">
        <v>43033</v>
      </c>
      <c r="B3241" s="302" t="s">
        <v>34946</v>
      </c>
      <c r="C3241">
        <v>132804</v>
      </c>
      <c r="D3241" s="275" t="s">
        <v>15699</v>
      </c>
      <c r="E3241" s="301">
        <v>7404</v>
      </c>
      <c r="F3241" s="303">
        <v>43034</v>
      </c>
      <c r="G3241" s="301">
        <v>7404</v>
      </c>
      <c r="H3241" s="301">
        <f>Tabla15[[#This Row],[Importe]]-Tabla15[[#This Row],[Pagado]]</f>
        <v>0</v>
      </c>
      <c r="I3241" s="275" t="s">
        <v>15214</v>
      </c>
    </row>
    <row r="3242" spans="1:9" x14ac:dyDescent="0.25">
      <c r="A3242" s="420">
        <v>43033</v>
      </c>
      <c r="B3242" s="302" t="s">
        <v>34947</v>
      </c>
      <c r="C3242">
        <v>132805</v>
      </c>
      <c r="D3242" s="275" t="s">
        <v>15699</v>
      </c>
      <c r="E3242" s="301">
        <v>3148.85</v>
      </c>
      <c r="F3242" s="303">
        <v>43034</v>
      </c>
      <c r="G3242" s="301">
        <v>3148.85</v>
      </c>
      <c r="H3242" s="301">
        <f>Tabla15[[#This Row],[Importe]]-Tabla15[[#This Row],[Pagado]]</f>
        <v>0</v>
      </c>
      <c r="I3242" s="275" t="s">
        <v>15214</v>
      </c>
    </row>
    <row r="3243" spans="1:9" x14ac:dyDescent="0.25">
      <c r="A3243" s="420">
        <v>43033</v>
      </c>
      <c r="B3243" s="302" t="s">
        <v>34948</v>
      </c>
      <c r="C3243">
        <v>132806</v>
      </c>
      <c r="D3243" s="275" t="s">
        <v>15557</v>
      </c>
      <c r="E3243" s="301">
        <v>871.08</v>
      </c>
      <c r="F3243" s="303">
        <v>43034</v>
      </c>
      <c r="G3243" s="301">
        <v>871.08</v>
      </c>
      <c r="H3243" s="301">
        <f>Tabla15[[#This Row],[Importe]]-Tabla15[[#This Row],[Pagado]]</f>
        <v>0</v>
      </c>
      <c r="I3243" s="275" t="s">
        <v>15214</v>
      </c>
    </row>
    <row r="3244" spans="1:9" x14ac:dyDescent="0.25">
      <c r="A3244" s="420">
        <v>43033</v>
      </c>
      <c r="B3244" s="302" t="s">
        <v>34949</v>
      </c>
      <c r="C3244">
        <v>132807</v>
      </c>
      <c r="D3244" s="275" t="s">
        <v>15716</v>
      </c>
      <c r="E3244" s="301">
        <v>3146.3</v>
      </c>
      <c r="F3244" s="303">
        <v>43033</v>
      </c>
      <c r="G3244" s="301">
        <v>3146.3</v>
      </c>
      <c r="H3244" s="301">
        <f>Tabla15[[#This Row],[Importe]]-Tabla15[[#This Row],[Pagado]]</f>
        <v>0</v>
      </c>
      <c r="I3244" s="275" t="s">
        <v>15214</v>
      </c>
    </row>
    <row r="3245" spans="1:9" x14ac:dyDescent="0.25">
      <c r="A3245" s="420">
        <v>43033</v>
      </c>
      <c r="B3245" s="302" t="s">
        <v>34950</v>
      </c>
      <c r="C3245">
        <v>132808</v>
      </c>
      <c r="D3245" s="275" t="s">
        <v>15365</v>
      </c>
      <c r="E3245" s="301">
        <v>221778</v>
      </c>
      <c r="F3245" s="303">
        <v>43035</v>
      </c>
      <c r="G3245" s="301">
        <v>221778</v>
      </c>
      <c r="H3245" s="301">
        <f>Tabla15[[#This Row],[Importe]]-Tabla15[[#This Row],[Pagado]]</f>
        <v>0</v>
      </c>
      <c r="I3245" s="275" t="s">
        <v>15214</v>
      </c>
    </row>
    <row r="3246" spans="1:9" x14ac:dyDescent="0.25">
      <c r="A3246" s="420">
        <v>43033</v>
      </c>
      <c r="B3246" s="302" t="s">
        <v>34951</v>
      </c>
      <c r="C3246">
        <v>132809</v>
      </c>
      <c r="D3246" s="275" t="s">
        <v>15444</v>
      </c>
      <c r="E3246" s="301">
        <v>4948.8999999999996</v>
      </c>
      <c r="F3246" s="303">
        <v>43034</v>
      </c>
      <c r="G3246" s="301">
        <v>4948.8999999999996</v>
      </c>
      <c r="H3246" s="301">
        <f>Tabla15[[#This Row],[Importe]]-Tabla15[[#This Row],[Pagado]]</f>
        <v>0</v>
      </c>
      <c r="I3246" s="275" t="s">
        <v>15214</v>
      </c>
    </row>
    <row r="3247" spans="1:9" x14ac:dyDescent="0.25">
      <c r="A3247" s="420">
        <v>43033</v>
      </c>
      <c r="B3247" s="302" t="s">
        <v>34952</v>
      </c>
      <c r="C3247">
        <v>132810</v>
      </c>
      <c r="D3247" s="275" t="s">
        <v>15284</v>
      </c>
      <c r="E3247" s="301">
        <v>1189</v>
      </c>
      <c r="F3247" s="303">
        <v>43033</v>
      </c>
      <c r="G3247" s="301">
        <v>1189</v>
      </c>
      <c r="H3247" s="301">
        <f>Tabla15[[#This Row],[Importe]]-Tabla15[[#This Row],[Pagado]]</f>
        <v>0</v>
      </c>
      <c r="I3247" s="275" t="s">
        <v>15214</v>
      </c>
    </row>
    <row r="3248" spans="1:9" x14ac:dyDescent="0.25">
      <c r="A3248" s="420">
        <v>43033</v>
      </c>
      <c r="B3248" s="302" t="s">
        <v>34953</v>
      </c>
      <c r="C3248">
        <v>132811</v>
      </c>
      <c r="D3248" s="275" t="s">
        <v>15284</v>
      </c>
      <c r="E3248" s="301">
        <v>13.25</v>
      </c>
      <c r="F3248" s="303">
        <v>43033</v>
      </c>
      <c r="G3248" s="301">
        <v>13.25</v>
      </c>
      <c r="H3248" s="301">
        <f>Tabla15[[#This Row],[Importe]]-Tabla15[[#This Row],[Pagado]]</f>
        <v>0</v>
      </c>
      <c r="I3248" s="275" t="s">
        <v>15214</v>
      </c>
    </row>
    <row r="3249" spans="1:9" x14ac:dyDescent="0.25">
      <c r="A3249" s="420">
        <v>43033</v>
      </c>
      <c r="B3249" s="302" t="s">
        <v>34954</v>
      </c>
      <c r="C3249">
        <v>132812</v>
      </c>
      <c r="D3249" s="275" t="s">
        <v>15626</v>
      </c>
      <c r="E3249" s="301">
        <v>4796.8</v>
      </c>
      <c r="F3249" s="303">
        <v>43033</v>
      </c>
      <c r="G3249" s="301">
        <v>4796.8</v>
      </c>
      <c r="H3249" s="301">
        <f>Tabla15[[#This Row],[Importe]]-Tabla15[[#This Row],[Pagado]]</f>
        <v>0</v>
      </c>
      <c r="I3249" s="275" t="s">
        <v>15214</v>
      </c>
    </row>
    <row r="3250" spans="1:9" x14ac:dyDescent="0.25">
      <c r="A3250" s="420">
        <v>43033</v>
      </c>
      <c r="B3250" s="302" t="s">
        <v>34955</v>
      </c>
      <c r="C3250">
        <v>132813</v>
      </c>
      <c r="D3250" s="275" t="s">
        <v>15435</v>
      </c>
      <c r="E3250" s="301">
        <v>8902.7999999999993</v>
      </c>
      <c r="F3250" s="303">
        <v>43033</v>
      </c>
      <c r="G3250" s="301">
        <v>8902.7999999999993</v>
      </c>
      <c r="H3250" s="301">
        <f>Tabla15[[#This Row],[Importe]]-Tabla15[[#This Row],[Pagado]]</f>
        <v>0</v>
      </c>
      <c r="I3250" s="275" t="s">
        <v>15214</v>
      </c>
    </row>
    <row r="3251" spans="1:9" x14ac:dyDescent="0.25">
      <c r="A3251" s="420">
        <v>43033</v>
      </c>
      <c r="B3251" s="302" t="s">
        <v>34956</v>
      </c>
      <c r="C3251">
        <v>132814</v>
      </c>
      <c r="D3251" s="275" t="s">
        <v>15789</v>
      </c>
      <c r="E3251" s="301">
        <v>21067.4</v>
      </c>
      <c r="F3251" s="303">
        <v>43039</v>
      </c>
      <c r="G3251" s="301">
        <v>21067.4</v>
      </c>
      <c r="H3251" s="301">
        <f>Tabla15[[#This Row],[Importe]]-Tabla15[[#This Row],[Pagado]]</f>
        <v>0</v>
      </c>
      <c r="I3251" s="275" t="s">
        <v>15214</v>
      </c>
    </row>
    <row r="3252" spans="1:9" x14ac:dyDescent="0.25">
      <c r="A3252" s="420">
        <v>43033</v>
      </c>
      <c r="B3252" s="302" t="s">
        <v>34957</v>
      </c>
      <c r="C3252">
        <v>132815</v>
      </c>
      <c r="D3252" s="275" t="s">
        <v>15642</v>
      </c>
      <c r="E3252" s="301">
        <v>3952.2</v>
      </c>
      <c r="F3252" s="303">
        <v>43033</v>
      </c>
      <c r="G3252" s="301">
        <v>3952.2</v>
      </c>
      <c r="H3252" s="301">
        <f>Tabla15[[#This Row],[Importe]]-Tabla15[[#This Row],[Pagado]]</f>
        <v>0</v>
      </c>
      <c r="I3252" s="275" t="s">
        <v>15214</v>
      </c>
    </row>
    <row r="3253" spans="1:9" x14ac:dyDescent="0.25">
      <c r="A3253" s="420">
        <v>43033</v>
      </c>
      <c r="B3253" s="302" t="s">
        <v>34958</v>
      </c>
      <c r="C3253">
        <v>132816</v>
      </c>
      <c r="D3253" s="275" t="s">
        <v>15246</v>
      </c>
      <c r="E3253" s="301">
        <v>310245.46000000002</v>
      </c>
      <c r="F3253" s="303">
        <v>43034</v>
      </c>
      <c r="G3253" s="301">
        <v>310245.46000000002</v>
      </c>
      <c r="H3253" s="301">
        <f>Tabla15[[#This Row],[Importe]]-Tabla15[[#This Row],[Pagado]]</f>
        <v>0</v>
      </c>
      <c r="I3253" s="275" t="s">
        <v>15214</v>
      </c>
    </row>
    <row r="3254" spans="1:9" x14ac:dyDescent="0.25">
      <c r="A3254" s="420">
        <v>43033</v>
      </c>
      <c r="B3254" s="302" t="s">
        <v>34959</v>
      </c>
      <c r="C3254">
        <v>132817</v>
      </c>
      <c r="D3254" s="275" t="s">
        <v>15246</v>
      </c>
      <c r="E3254" s="301">
        <v>29591.7</v>
      </c>
      <c r="F3254" s="303">
        <v>43034</v>
      </c>
      <c r="G3254" s="301">
        <v>29591.7</v>
      </c>
      <c r="H3254" s="301">
        <f>Tabla15[[#This Row],[Importe]]-Tabla15[[#This Row],[Pagado]]</f>
        <v>0</v>
      </c>
      <c r="I3254" s="275" t="s">
        <v>15214</v>
      </c>
    </row>
    <row r="3255" spans="1:9" ht="15.75" x14ac:dyDescent="0.25">
      <c r="A3255" s="420">
        <v>43034</v>
      </c>
      <c r="B3255" s="302" t="s">
        <v>34960</v>
      </c>
      <c r="C3255">
        <v>132818</v>
      </c>
      <c r="D3255" s="248" t="s">
        <v>95</v>
      </c>
      <c r="E3255" s="301">
        <v>0</v>
      </c>
      <c r="F3255" s="243" t="s">
        <v>95</v>
      </c>
      <c r="G3255" s="301">
        <v>0</v>
      </c>
      <c r="H3255" s="301">
        <f>Tabla15[[#This Row],[Importe]]-Tabla15[[#This Row],[Pagado]]</f>
        <v>0</v>
      </c>
      <c r="I3255" s="275" t="s">
        <v>95</v>
      </c>
    </row>
    <row r="3256" spans="1:9" x14ac:dyDescent="0.25">
      <c r="A3256" s="420">
        <v>43034</v>
      </c>
      <c r="B3256" s="302" t="s">
        <v>34961</v>
      </c>
      <c r="C3256">
        <v>132819</v>
      </c>
      <c r="D3256" s="275" t="s">
        <v>21386</v>
      </c>
      <c r="E3256" s="301">
        <v>9204</v>
      </c>
      <c r="F3256" s="303">
        <v>43035</v>
      </c>
      <c r="G3256" s="301">
        <v>9204</v>
      </c>
      <c r="H3256" s="301">
        <f>Tabla15[[#This Row],[Importe]]-Tabla15[[#This Row],[Pagado]]</f>
        <v>0</v>
      </c>
      <c r="I3256" s="275" t="s">
        <v>15214</v>
      </c>
    </row>
    <row r="3257" spans="1:9" x14ac:dyDescent="0.25">
      <c r="A3257" s="420">
        <v>43034</v>
      </c>
      <c r="B3257" s="302" t="s">
        <v>34962</v>
      </c>
      <c r="C3257">
        <v>132820</v>
      </c>
      <c r="D3257" s="275" t="s">
        <v>15213</v>
      </c>
      <c r="E3257" s="301">
        <v>30423.55</v>
      </c>
      <c r="F3257" s="303">
        <v>43035</v>
      </c>
      <c r="G3257" s="301">
        <v>30423.55</v>
      </c>
      <c r="H3257" s="301">
        <f>Tabla15[[#This Row],[Importe]]-Tabla15[[#This Row],[Pagado]]</f>
        <v>0</v>
      </c>
      <c r="I3257" s="275" t="s">
        <v>15214</v>
      </c>
    </row>
    <row r="3258" spans="1:9" x14ac:dyDescent="0.25">
      <c r="A3258" s="420">
        <v>43034</v>
      </c>
      <c r="B3258" s="302" t="s">
        <v>34963</v>
      </c>
      <c r="C3258">
        <v>132821</v>
      </c>
      <c r="D3258" s="275" t="s">
        <v>15216</v>
      </c>
      <c r="E3258" s="301">
        <v>5457.2</v>
      </c>
      <c r="F3258" s="303">
        <v>43034</v>
      </c>
      <c r="G3258" s="301">
        <v>5457.2</v>
      </c>
      <c r="H3258" s="301">
        <f>Tabla15[[#This Row],[Importe]]-Tabla15[[#This Row],[Pagado]]</f>
        <v>0</v>
      </c>
      <c r="I3258" s="275" t="s">
        <v>15214</v>
      </c>
    </row>
    <row r="3259" spans="1:9" x14ac:dyDescent="0.25">
      <c r="A3259" s="420">
        <v>43034</v>
      </c>
      <c r="B3259" s="302" t="s">
        <v>34964</v>
      </c>
      <c r="C3259">
        <v>132822</v>
      </c>
      <c r="D3259" s="275" t="s">
        <v>15230</v>
      </c>
      <c r="E3259" s="301">
        <v>8475.2999999999993</v>
      </c>
      <c r="F3259" s="303">
        <v>43038</v>
      </c>
      <c r="G3259" s="301">
        <v>8475.2999999999993</v>
      </c>
      <c r="H3259" s="301">
        <f>Tabla15[[#This Row],[Importe]]-Tabla15[[#This Row],[Pagado]]</f>
        <v>0</v>
      </c>
      <c r="I3259" s="275" t="s">
        <v>15214</v>
      </c>
    </row>
    <row r="3260" spans="1:9" x14ac:dyDescent="0.25">
      <c r="A3260" s="420">
        <v>43034</v>
      </c>
      <c r="B3260" s="302" t="s">
        <v>34965</v>
      </c>
      <c r="C3260">
        <v>132823</v>
      </c>
      <c r="D3260" s="275" t="s">
        <v>15232</v>
      </c>
      <c r="E3260" s="301">
        <v>5876.5</v>
      </c>
      <c r="F3260" s="303">
        <v>43041</v>
      </c>
      <c r="G3260" s="301">
        <v>5876.5</v>
      </c>
      <c r="H3260" s="301">
        <f>Tabla15[[#This Row],[Importe]]-Tabla15[[#This Row],[Pagado]]</f>
        <v>0</v>
      </c>
      <c r="I3260" s="275" t="s">
        <v>15214</v>
      </c>
    </row>
    <row r="3261" spans="1:9" x14ac:dyDescent="0.25">
      <c r="A3261" s="420">
        <v>43034</v>
      </c>
      <c r="B3261" s="302" t="s">
        <v>34966</v>
      </c>
      <c r="C3261">
        <v>132824</v>
      </c>
      <c r="D3261" s="275" t="s">
        <v>15330</v>
      </c>
      <c r="E3261" s="301">
        <v>2992.5</v>
      </c>
      <c r="F3261" s="303">
        <v>43034</v>
      </c>
      <c r="G3261" s="301">
        <v>2992.5</v>
      </c>
      <c r="H3261" s="301">
        <f>Tabla15[[#This Row],[Importe]]-Tabla15[[#This Row],[Pagado]]</f>
        <v>0</v>
      </c>
      <c r="I3261" s="275" t="s">
        <v>15214</v>
      </c>
    </row>
    <row r="3262" spans="1:9" x14ac:dyDescent="0.25">
      <c r="A3262" s="420">
        <v>43034</v>
      </c>
      <c r="B3262" s="302" t="s">
        <v>34967</v>
      </c>
      <c r="C3262">
        <v>132825</v>
      </c>
      <c r="D3262" s="275" t="s">
        <v>15258</v>
      </c>
      <c r="E3262" s="301">
        <v>10216.9</v>
      </c>
      <c r="F3262" s="303">
        <v>43036</v>
      </c>
      <c r="G3262" s="301">
        <v>10216.9</v>
      </c>
      <c r="H3262" s="301">
        <f>Tabla15[[#This Row],[Importe]]-Tabla15[[#This Row],[Pagado]]</f>
        <v>0</v>
      </c>
      <c r="I3262" s="275" t="s">
        <v>15214</v>
      </c>
    </row>
    <row r="3263" spans="1:9" x14ac:dyDescent="0.25">
      <c r="A3263" s="420">
        <v>43034</v>
      </c>
      <c r="B3263" s="302" t="s">
        <v>34968</v>
      </c>
      <c r="C3263">
        <v>132826</v>
      </c>
      <c r="D3263" s="275" t="s">
        <v>15407</v>
      </c>
      <c r="E3263" s="301">
        <v>13641.8</v>
      </c>
      <c r="F3263" s="303">
        <v>43034</v>
      </c>
      <c r="G3263" s="301">
        <v>13641.8</v>
      </c>
      <c r="H3263" s="301">
        <f>Tabla15[[#This Row],[Importe]]-Tabla15[[#This Row],[Pagado]]</f>
        <v>0</v>
      </c>
      <c r="I3263" s="275" t="s">
        <v>15214</v>
      </c>
    </row>
    <row r="3264" spans="1:9" x14ac:dyDescent="0.25">
      <c r="A3264" s="420">
        <v>43034</v>
      </c>
      <c r="B3264" s="302" t="s">
        <v>34969</v>
      </c>
      <c r="C3264">
        <v>132827</v>
      </c>
      <c r="D3264" s="275" t="s">
        <v>15234</v>
      </c>
      <c r="E3264" s="301">
        <v>2698</v>
      </c>
      <c r="F3264" s="303">
        <v>43040</v>
      </c>
      <c r="G3264" s="301">
        <v>2698</v>
      </c>
      <c r="H3264" s="301">
        <f>Tabla15[[#This Row],[Importe]]-Tabla15[[#This Row],[Pagado]]</f>
        <v>0</v>
      </c>
      <c r="I3264" s="275" t="s">
        <v>15214</v>
      </c>
    </row>
    <row r="3265" spans="1:9" x14ac:dyDescent="0.25">
      <c r="A3265" s="420">
        <v>43034</v>
      </c>
      <c r="B3265" s="302" t="s">
        <v>34970</v>
      </c>
      <c r="C3265">
        <v>132828</v>
      </c>
      <c r="D3265" s="275" t="s">
        <v>15236</v>
      </c>
      <c r="E3265" s="301">
        <v>6070.5</v>
      </c>
      <c r="F3265" s="303">
        <v>43036</v>
      </c>
      <c r="G3265" s="301">
        <v>6070.5</v>
      </c>
      <c r="H3265" s="301">
        <f>Tabla15[[#This Row],[Importe]]-Tabla15[[#This Row],[Pagado]]</f>
        <v>0</v>
      </c>
      <c r="I3265" s="275" t="s">
        <v>15214</v>
      </c>
    </row>
    <row r="3266" spans="1:9" x14ac:dyDescent="0.25">
      <c r="A3266" s="420">
        <v>43034</v>
      </c>
      <c r="B3266" s="302" t="s">
        <v>34971</v>
      </c>
      <c r="C3266">
        <v>132829</v>
      </c>
      <c r="D3266" s="275" t="s">
        <v>15475</v>
      </c>
      <c r="E3266" s="301">
        <v>6390</v>
      </c>
      <c r="F3266" s="303">
        <v>43036</v>
      </c>
      <c r="G3266" s="301">
        <v>6390</v>
      </c>
      <c r="H3266" s="301">
        <f>Tabla15[[#This Row],[Importe]]-Tabla15[[#This Row],[Pagado]]</f>
        <v>0</v>
      </c>
      <c r="I3266" s="275" t="s">
        <v>15214</v>
      </c>
    </row>
    <row r="3267" spans="1:9" x14ac:dyDescent="0.25">
      <c r="A3267" s="420">
        <v>43034</v>
      </c>
      <c r="B3267" s="302" t="s">
        <v>34972</v>
      </c>
      <c r="C3267">
        <v>132830</v>
      </c>
      <c r="D3267" s="275" t="s">
        <v>16249</v>
      </c>
      <c r="E3267" s="301">
        <v>7794</v>
      </c>
      <c r="F3267" s="303">
        <v>43034</v>
      </c>
      <c r="G3267" s="301">
        <v>7794</v>
      </c>
      <c r="H3267" s="301">
        <f>Tabla15[[#This Row],[Importe]]-Tabla15[[#This Row],[Pagado]]</f>
        <v>0</v>
      </c>
      <c r="I3267" s="275" t="s">
        <v>15214</v>
      </c>
    </row>
    <row r="3268" spans="1:9" x14ac:dyDescent="0.25">
      <c r="A3268" s="420">
        <v>43034</v>
      </c>
      <c r="B3268" s="302" t="s">
        <v>34973</v>
      </c>
      <c r="C3268">
        <v>132831</v>
      </c>
      <c r="D3268" s="275" t="s">
        <v>15523</v>
      </c>
      <c r="E3268" s="301">
        <v>1920</v>
      </c>
      <c r="F3268" s="303">
        <v>43034</v>
      </c>
      <c r="G3268" s="301">
        <v>1920</v>
      </c>
      <c r="H3268" s="301">
        <f>Tabla15[[#This Row],[Importe]]-Tabla15[[#This Row],[Pagado]]</f>
        <v>0</v>
      </c>
      <c r="I3268" s="275" t="s">
        <v>15214</v>
      </c>
    </row>
    <row r="3269" spans="1:9" x14ac:dyDescent="0.25">
      <c r="A3269" s="420">
        <v>43034</v>
      </c>
      <c r="B3269" s="302" t="s">
        <v>34974</v>
      </c>
      <c r="C3269">
        <v>132832</v>
      </c>
      <c r="D3269" s="275" t="s">
        <v>15858</v>
      </c>
      <c r="E3269" s="301">
        <v>4685.28</v>
      </c>
      <c r="F3269" s="303">
        <v>43034</v>
      </c>
      <c r="G3269" s="301">
        <v>4685.28</v>
      </c>
      <c r="H3269" s="301">
        <f>Tabla15[[#This Row],[Importe]]-Tabla15[[#This Row],[Pagado]]</f>
        <v>0</v>
      </c>
      <c r="I3269" s="275" t="s">
        <v>15214</v>
      </c>
    </row>
    <row r="3270" spans="1:9" x14ac:dyDescent="0.25">
      <c r="A3270" s="420">
        <v>43034</v>
      </c>
      <c r="B3270" s="302" t="s">
        <v>34975</v>
      </c>
      <c r="C3270">
        <v>132833</v>
      </c>
      <c r="D3270" s="275" t="s">
        <v>19780</v>
      </c>
      <c r="E3270" s="301">
        <v>6567.5</v>
      </c>
      <c r="F3270" s="303">
        <v>43035</v>
      </c>
      <c r="G3270" s="301">
        <v>6567.5</v>
      </c>
      <c r="H3270" s="301">
        <f>Tabla15[[#This Row],[Importe]]-Tabla15[[#This Row],[Pagado]]</f>
        <v>0</v>
      </c>
      <c r="I3270" s="275" t="s">
        <v>15214</v>
      </c>
    </row>
    <row r="3271" spans="1:9" x14ac:dyDescent="0.25">
      <c r="A3271" s="420">
        <v>43034</v>
      </c>
      <c r="B3271" s="302" t="s">
        <v>34976</v>
      </c>
      <c r="C3271">
        <v>132834</v>
      </c>
      <c r="D3271" s="275" t="s">
        <v>15242</v>
      </c>
      <c r="E3271" s="301">
        <v>10359.200000000001</v>
      </c>
      <c r="F3271" s="303">
        <v>43034</v>
      </c>
      <c r="G3271" s="301">
        <v>10359.200000000001</v>
      </c>
      <c r="H3271" s="301">
        <f>Tabla15[[#This Row],[Importe]]-Tabla15[[#This Row],[Pagado]]</f>
        <v>0</v>
      </c>
      <c r="I3271" s="275" t="s">
        <v>15214</v>
      </c>
    </row>
    <row r="3272" spans="1:9" x14ac:dyDescent="0.25">
      <c r="A3272" s="420">
        <v>43034</v>
      </c>
      <c r="B3272" s="302" t="s">
        <v>34977</v>
      </c>
      <c r="C3272">
        <v>132835</v>
      </c>
      <c r="D3272" s="275" t="s">
        <v>15644</v>
      </c>
      <c r="E3272" s="301">
        <v>3810</v>
      </c>
      <c r="F3272" s="303">
        <v>43034</v>
      </c>
      <c r="G3272" s="301">
        <v>3810</v>
      </c>
      <c r="H3272" s="301">
        <f>Tabla15[[#This Row],[Importe]]-Tabla15[[#This Row],[Pagado]]</f>
        <v>0</v>
      </c>
      <c r="I3272" s="275" t="s">
        <v>15214</v>
      </c>
    </row>
    <row r="3273" spans="1:9" x14ac:dyDescent="0.25">
      <c r="A3273" s="420">
        <v>43034</v>
      </c>
      <c r="B3273" s="302" t="s">
        <v>34978</v>
      </c>
      <c r="C3273">
        <v>132836</v>
      </c>
      <c r="D3273" s="275" t="s">
        <v>15526</v>
      </c>
      <c r="E3273" s="301">
        <v>6475.5</v>
      </c>
      <c r="F3273" s="303">
        <v>43034</v>
      </c>
      <c r="G3273" s="301">
        <v>6475.5</v>
      </c>
      <c r="H3273" s="301">
        <f>Tabla15[[#This Row],[Importe]]-Tabla15[[#This Row],[Pagado]]</f>
        <v>0</v>
      </c>
      <c r="I3273" s="275" t="s">
        <v>15214</v>
      </c>
    </row>
    <row r="3274" spans="1:9" x14ac:dyDescent="0.25">
      <c r="A3274" s="420">
        <v>43034</v>
      </c>
      <c r="B3274" s="302" t="s">
        <v>34979</v>
      </c>
      <c r="C3274">
        <v>132837</v>
      </c>
      <c r="D3274" s="275" t="s">
        <v>15240</v>
      </c>
      <c r="E3274" s="301">
        <v>2846.8</v>
      </c>
      <c r="F3274" s="303">
        <v>43035</v>
      </c>
      <c r="G3274" s="301">
        <v>2846.8</v>
      </c>
      <c r="H3274" s="301">
        <f>Tabla15[[#This Row],[Importe]]-Tabla15[[#This Row],[Pagado]]</f>
        <v>0</v>
      </c>
      <c r="I3274" s="275" t="s">
        <v>15214</v>
      </c>
    </row>
    <row r="3275" spans="1:9" x14ac:dyDescent="0.25">
      <c r="A3275" s="420">
        <v>43034</v>
      </c>
      <c r="B3275" s="302" t="s">
        <v>34980</v>
      </c>
      <c r="C3275">
        <v>132838</v>
      </c>
      <c r="D3275" s="275" t="s">
        <v>15348</v>
      </c>
      <c r="E3275" s="301">
        <v>2675.2</v>
      </c>
      <c r="F3275" s="303">
        <v>43034</v>
      </c>
      <c r="G3275" s="301">
        <v>2675.2</v>
      </c>
      <c r="H3275" s="301">
        <f>Tabla15[[#This Row],[Importe]]-Tabla15[[#This Row],[Pagado]]</f>
        <v>0</v>
      </c>
      <c r="I3275" s="275" t="s">
        <v>15214</v>
      </c>
    </row>
    <row r="3276" spans="1:9" x14ac:dyDescent="0.25">
      <c r="A3276" s="420">
        <v>43034</v>
      </c>
      <c r="B3276" s="302" t="s">
        <v>34981</v>
      </c>
      <c r="C3276">
        <v>132839</v>
      </c>
      <c r="D3276" s="275" t="s">
        <v>15668</v>
      </c>
      <c r="E3276" s="301">
        <v>19099</v>
      </c>
      <c r="F3276" s="303">
        <v>43036</v>
      </c>
      <c r="G3276" s="301">
        <v>19099</v>
      </c>
      <c r="H3276" s="301">
        <f>Tabla15[[#This Row],[Importe]]-Tabla15[[#This Row],[Pagado]]</f>
        <v>0</v>
      </c>
      <c r="I3276" s="275" t="s">
        <v>15214</v>
      </c>
    </row>
    <row r="3277" spans="1:9" x14ac:dyDescent="0.25">
      <c r="A3277" s="420">
        <v>43034</v>
      </c>
      <c r="B3277" s="302" t="s">
        <v>34982</v>
      </c>
      <c r="C3277">
        <v>132840</v>
      </c>
      <c r="D3277" s="275" t="s">
        <v>15338</v>
      </c>
      <c r="E3277" s="301">
        <v>14331.6</v>
      </c>
      <c r="F3277" s="303">
        <v>43036</v>
      </c>
      <c r="G3277" s="301">
        <v>14331.6</v>
      </c>
      <c r="H3277" s="301">
        <f>Tabla15[[#This Row],[Importe]]-Tabla15[[#This Row],[Pagado]]</f>
        <v>0</v>
      </c>
      <c r="I3277" s="275" t="s">
        <v>15214</v>
      </c>
    </row>
    <row r="3278" spans="1:9" x14ac:dyDescent="0.25">
      <c r="A3278" s="420">
        <v>43034</v>
      </c>
      <c r="B3278" s="302" t="s">
        <v>34983</v>
      </c>
      <c r="C3278">
        <v>132841</v>
      </c>
      <c r="D3278" s="275" t="s">
        <v>15328</v>
      </c>
      <c r="E3278" s="301">
        <v>85351.46</v>
      </c>
      <c r="F3278" s="303">
        <v>43048</v>
      </c>
      <c r="G3278" s="301">
        <v>85351.46</v>
      </c>
      <c r="H3278" s="301">
        <f>Tabla15[[#This Row],[Importe]]-Tabla15[[#This Row],[Pagado]]</f>
        <v>0</v>
      </c>
      <c r="I3278" s="275" t="s">
        <v>15214</v>
      </c>
    </row>
    <row r="3279" spans="1:9" x14ac:dyDescent="0.25">
      <c r="A3279" s="420">
        <v>43034</v>
      </c>
      <c r="B3279" s="302" t="s">
        <v>34984</v>
      </c>
      <c r="C3279">
        <v>132842</v>
      </c>
      <c r="D3279" s="275" t="s">
        <v>15267</v>
      </c>
      <c r="E3279" s="301">
        <v>10955.2</v>
      </c>
      <c r="F3279" s="303">
        <v>43034</v>
      </c>
      <c r="G3279" s="301">
        <v>10955.2</v>
      </c>
      <c r="H3279" s="301">
        <f>Tabla15[[#This Row],[Importe]]-Tabla15[[#This Row],[Pagado]]</f>
        <v>0</v>
      </c>
      <c r="I3279" s="275" t="s">
        <v>15214</v>
      </c>
    </row>
    <row r="3280" spans="1:9" x14ac:dyDescent="0.25">
      <c r="A3280" s="420">
        <v>43034</v>
      </c>
      <c r="B3280" s="302" t="s">
        <v>34985</v>
      </c>
      <c r="C3280">
        <v>132843</v>
      </c>
      <c r="D3280" s="275" t="s">
        <v>15226</v>
      </c>
      <c r="E3280" s="301">
        <v>2141.3000000000002</v>
      </c>
      <c r="F3280" s="303">
        <v>43035</v>
      </c>
      <c r="G3280" s="301">
        <v>2141.3000000000002</v>
      </c>
      <c r="H3280" s="301">
        <f>Tabla15[[#This Row],[Importe]]-Tabla15[[#This Row],[Pagado]]</f>
        <v>0</v>
      </c>
      <c r="I3280" s="275" t="s">
        <v>15214</v>
      </c>
    </row>
    <row r="3281" spans="1:9" x14ac:dyDescent="0.25">
      <c r="A3281" s="420">
        <v>43034</v>
      </c>
      <c r="B3281" s="302" t="s">
        <v>34986</v>
      </c>
      <c r="C3281">
        <v>132844</v>
      </c>
      <c r="D3281" s="275" t="s">
        <v>15328</v>
      </c>
      <c r="E3281" s="301">
        <v>588.79999999999995</v>
      </c>
      <c r="F3281" s="303">
        <v>43048</v>
      </c>
      <c r="G3281" s="301">
        <v>588.79999999999995</v>
      </c>
      <c r="H3281" s="301">
        <f>Tabla15[[#This Row],[Importe]]-Tabla15[[#This Row],[Pagado]]</f>
        <v>0</v>
      </c>
      <c r="I3281" s="275" t="s">
        <v>15214</v>
      </c>
    </row>
    <row r="3282" spans="1:9" x14ac:dyDescent="0.25">
      <c r="A3282" s="420">
        <v>43034</v>
      </c>
      <c r="B3282" s="302" t="s">
        <v>34987</v>
      </c>
      <c r="C3282">
        <v>132845</v>
      </c>
      <c r="D3282" s="275" t="s">
        <v>17462</v>
      </c>
      <c r="E3282" s="301">
        <v>5616.5</v>
      </c>
      <c r="F3282" s="303">
        <v>43034</v>
      </c>
      <c r="G3282" s="301">
        <v>5616.5</v>
      </c>
      <c r="H3282" s="301">
        <f>Tabla15[[#This Row],[Importe]]-Tabla15[[#This Row],[Pagado]]</f>
        <v>0</v>
      </c>
      <c r="I3282" s="275" t="s">
        <v>15214</v>
      </c>
    </row>
    <row r="3283" spans="1:9" x14ac:dyDescent="0.25">
      <c r="A3283" s="420">
        <v>43034</v>
      </c>
      <c r="B3283" s="302" t="s">
        <v>34988</v>
      </c>
      <c r="C3283">
        <v>132846</v>
      </c>
      <c r="D3283" s="275" t="s">
        <v>15272</v>
      </c>
      <c r="E3283" s="301">
        <v>19408.95</v>
      </c>
      <c r="F3283" s="303">
        <v>43034</v>
      </c>
      <c r="G3283" s="301">
        <v>19408.95</v>
      </c>
      <c r="H3283" s="301">
        <f>Tabla15[[#This Row],[Importe]]-Tabla15[[#This Row],[Pagado]]</f>
        <v>0</v>
      </c>
      <c r="I3283" s="275" t="s">
        <v>15214</v>
      </c>
    </row>
    <row r="3284" spans="1:9" x14ac:dyDescent="0.25">
      <c r="A3284" s="420">
        <v>43034</v>
      </c>
      <c r="B3284" s="302" t="s">
        <v>34989</v>
      </c>
      <c r="C3284">
        <v>132847</v>
      </c>
      <c r="D3284" s="275" t="s">
        <v>15220</v>
      </c>
      <c r="E3284" s="301">
        <v>2640</v>
      </c>
      <c r="F3284" s="303">
        <v>43034</v>
      </c>
      <c r="G3284" s="301">
        <v>2640</v>
      </c>
      <c r="H3284" s="301">
        <f>Tabla15[[#This Row],[Importe]]-Tabla15[[#This Row],[Pagado]]</f>
        <v>0</v>
      </c>
      <c r="I3284" s="275" t="s">
        <v>15214</v>
      </c>
    </row>
    <row r="3285" spans="1:9" x14ac:dyDescent="0.25">
      <c r="A3285" s="420">
        <v>43034</v>
      </c>
      <c r="B3285" s="302" t="s">
        <v>34990</v>
      </c>
      <c r="C3285">
        <v>132848</v>
      </c>
      <c r="D3285" s="275" t="s">
        <v>15324</v>
      </c>
      <c r="E3285" s="301">
        <v>1440</v>
      </c>
      <c r="F3285" s="303">
        <v>43034</v>
      </c>
      <c r="G3285" s="301">
        <v>1440</v>
      </c>
      <c r="H3285" s="301">
        <f>Tabla15[[#This Row],[Importe]]-Tabla15[[#This Row],[Pagado]]</f>
        <v>0</v>
      </c>
      <c r="I3285" s="275" t="s">
        <v>15214</v>
      </c>
    </row>
    <row r="3286" spans="1:9" x14ac:dyDescent="0.25">
      <c r="A3286" s="420">
        <v>43034</v>
      </c>
      <c r="B3286" s="302" t="s">
        <v>34991</v>
      </c>
      <c r="C3286">
        <v>132849</v>
      </c>
      <c r="D3286" s="275" t="s">
        <v>15334</v>
      </c>
      <c r="E3286" s="301">
        <v>2657</v>
      </c>
      <c r="F3286" s="303">
        <v>43034</v>
      </c>
      <c r="G3286" s="301">
        <v>2657</v>
      </c>
      <c r="H3286" s="301">
        <f>Tabla15[[#This Row],[Importe]]-Tabla15[[#This Row],[Pagado]]</f>
        <v>0</v>
      </c>
      <c r="I3286" s="275" t="s">
        <v>15214</v>
      </c>
    </row>
    <row r="3287" spans="1:9" x14ac:dyDescent="0.25">
      <c r="A3287" s="420">
        <v>43034</v>
      </c>
      <c r="B3287" s="302" t="s">
        <v>34992</v>
      </c>
      <c r="C3287">
        <v>132850</v>
      </c>
      <c r="D3287" s="275" t="s">
        <v>15263</v>
      </c>
      <c r="E3287" s="301">
        <v>2183.8000000000002</v>
      </c>
      <c r="F3287" s="303">
        <v>43034</v>
      </c>
      <c r="G3287" s="301">
        <v>2183.8000000000002</v>
      </c>
      <c r="H3287" s="301">
        <f>Tabla15[[#This Row],[Importe]]-Tabla15[[#This Row],[Pagado]]</f>
        <v>0</v>
      </c>
      <c r="I3287" s="275" t="s">
        <v>15214</v>
      </c>
    </row>
    <row r="3288" spans="1:9" x14ac:dyDescent="0.25">
      <c r="A3288" s="420">
        <v>43034</v>
      </c>
      <c r="B3288" s="302" t="s">
        <v>34993</v>
      </c>
      <c r="C3288">
        <v>132851</v>
      </c>
      <c r="D3288" s="275" t="s">
        <v>15223</v>
      </c>
      <c r="E3288" s="301">
        <v>50222.8</v>
      </c>
      <c r="F3288" s="303">
        <v>43055</v>
      </c>
      <c r="G3288" s="301">
        <v>50222.8</v>
      </c>
      <c r="H3288" s="301">
        <f>Tabla15[[#This Row],[Importe]]-Tabla15[[#This Row],[Pagado]]</f>
        <v>0</v>
      </c>
      <c r="I3288" s="275" t="s">
        <v>15214</v>
      </c>
    </row>
    <row r="3289" spans="1:9" x14ac:dyDescent="0.25">
      <c r="A3289" s="420">
        <v>43034</v>
      </c>
      <c r="B3289" s="302" t="s">
        <v>34994</v>
      </c>
      <c r="C3289">
        <v>132852</v>
      </c>
      <c r="D3289" s="275" t="s">
        <v>15261</v>
      </c>
      <c r="E3289" s="301">
        <v>11071.2</v>
      </c>
      <c r="F3289" s="303">
        <v>43034</v>
      </c>
      <c r="G3289" s="301">
        <v>11071.2</v>
      </c>
      <c r="H3289" s="301">
        <f>Tabla15[[#This Row],[Importe]]-Tabla15[[#This Row],[Pagado]]</f>
        <v>0</v>
      </c>
      <c r="I3289" s="275" t="s">
        <v>15214</v>
      </c>
    </row>
    <row r="3290" spans="1:9" ht="30" x14ac:dyDescent="0.25">
      <c r="A3290" s="420">
        <v>43034</v>
      </c>
      <c r="B3290" s="302" t="s">
        <v>34995</v>
      </c>
      <c r="C3290">
        <v>132853</v>
      </c>
      <c r="D3290" s="275" t="s">
        <v>15256</v>
      </c>
      <c r="E3290" s="301">
        <v>4742.1000000000004</v>
      </c>
      <c r="F3290" s="303" t="s">
        <v>34996</v>
      </c>
      <c r="G3290" s="305">
        <f>1000+3742.1</f>
        <v>4742.1000000000004</v>
      </c>
      <c r="H3290" s="305">
        <f>Tabla15[[#This Row],[Importe]]-Tabla15[[#This Row],[Pagado]]</f>
        <v>0</v>
      </c>
      <c r="I3290" s="275" t="s">
        <v>15214</v>
      </c>
    </row>
    <row r="3291" spans="1:9" x14ac:dyDescent="0.25">
      <c r="A3291" s="420">
        <v>43034</v>
      </c>
      <c r="B3291" s="302" t="s">
        <v>34997</v>
      </c>
      <c r="C3291">
        <v>132854</v>
      </c>
      <c r="D3291" s="275" t="s">
        <v>5575</v>
      </c>
      <c r="E3291" s="301">
        <v>4120.5</v>
      </c>
      <c r="F3291" s="303" t="s">
        <v>34998</v>
      </c>
      <c r="G3291" s="301">
        <v>4120.5</v>
      </c>
      <c r="H3291" s="301">
        <f>Tabla15[[#This Row],[Importe]]-Tabla15[[#This Row],[Pagado]]</f>
        <v>0</v>
      </c>
      <c r="I3291" s="275" t="s">
        <v>15214</v>
      </c>
    </row>
    <row r="3292" spans="1:9" x14ac:dyDescent="0.25">
      <c r="A3292" s="420">
        <v>43034</v>
      </c>
      <c r="B3292" s="302" t="s">
        <v>34999</v>
      </c>
      <c r="C3292">
        <v>132855</v>
      </c>
      <c r="D3292" s="275" t="s">
        <v>18544</v>
      </c>
      <c r="E3292" s="301">
        <v>6663.3</v>
      </c>
      <c r="F3292" s="303">
        <v>43034</v>
      </c>
      <c r="G3292" s="301">
        <v>6663.3</v>
      </c>
      <c r="H3292" s="301">
        <f>Tabla15[[#This Row],[Importe]]-Tabla15[[#This Row],[Pagado]]</f>
        <v>0</v>
      </c>
      <c r="I3292" s="275" t="s">
        <v>15214</v>
      </c>
    </row>
    <row r="3293" spans="1:9" x14ac:dyDescent="0.25">
      <c r="A3293" s="420">
        <v>43034</v>
      </c>
      <c r="B3293" s="302" t="s">
        <v>35000</v>
      </c>
      <c r="C3293">
        <v>132856</v>
      </c>
      <c r="D3293" s="275" t="s">
        <v>15238</v>
      </c>
      <c r="E3293" s="301">
        <v>4212.6000000000004</v>
      </c>
      <c r="F3293" s="303">
        <v>43036</v>
      </c>
      <c r="G3293" s="301">
        <v>4212.6000000000004</v>
      </c>
      <c r="H3293" s="301">
        <f>Tabla15[[#This Row],[Importe]]-Tabla15[[#This Row],[Pagado]]</f>
        <v>0</v>
      </c>
      <c r="I3293" s="275" t="s">
        <v>15214</v>
      </c>
    </row>
    <row r="3294" spans="1:9" x14ac:dyDescent="0.25">
      <c r="A3294" s="420">
        <v>43034</v>
      </c>
      <c r="B3294" s="302" t="s">
        <v>35001</v>
      </c>
      <c r="C3294">
        <v>132857</v>
      </c>
      <c r="D3294" s="275" t="s">
        <v>15858</v>
      </c>
      <c r="E3294" s="301">
        <v>245.7</v>
      </c>
      <c r="F3294" s="303">
        <v>43034</v>
      </c>
      <c r="G3294" s="301">
        <v>245.7</v>
      </c>
      <c r="H3294" s="301">
        <f>Tabla15[[#This Row],[Importe]]-Tabla15[[#This Row],[Pagado]]</f>
        <v>0</v>
      </c>
      <c r="I3294" s="275" t="s">
        <v>15214</v>
      </c>
    </row>
    <row r="3295" spans="1:9" x14ac:dyDescent="0.25">
      <c r="A3295" s="420">
        <v>43034</v>
      </c>
      <c r="B3295" s="302" t="s">
        <v>35002</v>
      </c>
      <c r="C3295">
        <v>132858</v>
      </c>
      <c r="D3295" s="275" t="s">
        <v>15358</v>
      </c>
      <c r="E3295" s="301">
        <v>2563.1999999999998</v>
      </c>
      <c r="F3295" s="303">
        <v>43034</v>
      </c>
      <c r="G3295" s="301">
        <v>2563.1999999999998</v>
      </c>
      <c r="H3295" s="301">
        <f>Tabla15[[#This Row],[Importe]]-Tabla15[[#This Row],[Pagado]]</f>
        <v>0</v>
      </c>
      <c r="I3295" s="275" t="s">
        <v>15214</v>
      </c>
    </row>
    <row r="3296" spans="1:9" x14ac:dyDescent="0.25">
      <c r="A3296" s="420">
        <v>43034</v>
      </c>
      <c r="B3296" s="302" t="s">
        <v>35003</v>
      </c>
      <c r="C3296">
        <v>132859</v>
      </c>
      <c r="D3296" s="275" t="s">
        <v>16484</v>
      </c>
      <c r="E3296" s="301">
        <v>1180.4000000000001</v>
      </c>
      <c r="F3296" s="303">
        <v>43034</v>
      </c>
      <c r="G3296" s="301">
        <v>1180.4000000000001</v>
      </c>
      <c r="H3296" s="301">
        <f>Tabla15[[#This Row],[Importe]]-Tabla15[[#This Row],[Pagado]]</f>
        <v>0</v>
      </c>
      <c r="I3296" s="275" t="s">
        <v>15214</v>
      </c>
    </row>
    <row r="3297" spans="1:9" x14ac:dyDescent="0.25">
      <c r="A3297" s="420">
        <v>43034</v>
      </c>
      <c r="B3297" s="302" t="s">
        <v>35004</v>
      </c>
      <c r="C3297">
        <v>132860</v>
      </c>
      <c r="D3297" s="275" t="s">
        <v>23218</v>
      </c>
      <c r="E3297" s="301">
        <v>7176.2</v>
      </c>
      <c r="F3297" s="303">
        <v>43034</v>
      </c>
      <c r="G3297" s="301">
        <v>7176.2</v>
      </c>
      <c r="H3297" s="301">
        <f>Tabla15[[#This Row],[Importe]]-Tabla15[[#This Row],[Pagado]]</f>
        <v>0</v>
      </c>
      <c r="I3297" s="275" t="s">
        <v>15214</v>
      </c>
    </row>
    <row r="3298" spans="1:9" x14ac:dyDescent="0.25">
      <c r="A3298" s="420">
        <v>43034</v>
      </c>
      <c r="B3298" s="302" t="s">
        <v>35005</v>
      </c>
      <c r="C3298">
        <v>132861</v>
      </c>
      <c r="D3298" s="275" t="s">
        <v>15861</v>
      </c>
      <c r="E3298" s="301">
        <v>3438.8</v>
      </c>
      <c r="F3298" s="303">
        <v>43034</v>
      </c>
      <c r="G3298" s="301">
        <v>3438.8</v>
      </c>
      <c r="H3298" s="301">
        <f>Tabla15[[#This Row],[Importe]]-Tabla15[[#This Row],[Pagado]]</f>
        <v>0</v>
      </c>
      <c r="I3298" s="275" t="s">
        <v>15214</v>
      </c>
    </row>
    <row r="3299" spans="1:9" x14ac:dyDescent="0.25">
      <c r="A3299" s="420">
        <v>43034</v>
      </c>
      <c r="B3299" s="302" t="s">
        <v>35006</v>
      </c>
      <c r="C3299">
        <v>132862</v>
      </c>
      <c r="D3299" s="275" t="s">
        <v>16116</v>
      </c>
      <c r="E3299" s="301">
        <v>26160.5</v>
      </c>
      <c r="F3299" s="303">
        <v>43034</v>
      </c>
      <c r="G3299" s="301">
        <v>26160.5</v>
      </c>
      <c r="H3299" s="301">
        <f>Tabla15[[#This Row],[Importe]]-Tabla15[[#This Row],[Pagado]]</f>
        <v>0</v>
      </c>
      <c r="I3299" s="275" t="s">
        <v>15214</v>
      </c>
    </row>
    <row r="3300" spans="1:9" x14ac:dyDescent="0.25">
      <c r="A3300" s="420">
        <v>43034</v>
      </c>
      <c r="B3300" s="302" t="s">
        <v>35007</v>
      </c>
      <c r="C3300">
        <v>132863</v>
      </c>
      <c r="D3300" s="275" t="s">
        <v>15725</v>
      </c>
      <c r="E3300" s="301">
        <v>23893.4</v>
      </c>
      <c r="F3300" s="303">
        <v>43034</v>
      </c>
      <c r="G3300" s="301">
        <v>23893.4</v>
      </c>
      <c r="H3300" s="301">
        <f>Tabla15[[#This Row],[Importe]]-Tabla15[[#This Row],[Pagado]]</f>
        <v>0</v>
      </c>
      <c r="I3300" s="275" t="s">
        <v>15214</v>
      </c>
    </row>
    <row r="3301" spans="1:9" x14ac:dyDescent="0.25">
      <c r="A3301" s="420">
        <v>43034</v>
      </c>
      <c r="B3301" s="302" t="s">
        <v>35008</v>
      </c>
      <c r="C3301">
        <v>132864</v>
      </c>
      <c r="D3301" s="275" t="s">
        <v>15250</v>
      </c>
      <c r="E3301" s="301">
        <v>44779.27</v>
      </c>
      <c r="F3301" s="303">
        <v>43038</v>
      </c>
      <c r="G3301" s="301">
        <v>44779.27</v>
      </c>
      <c r="H3301" s="301">
        <f>Tabla15[[#This Row],[Importe]]-Tabla15[[#This Row],[Pagado]]</f>
        <v>0</v>
      </c>
      <c r="I3301" s="275" t="s">
        <v>15214</v>
      </c>
    </row>
    <row r="3302" spans="1:9" x14ac:dyDescent="0.25">
      <c r="A3302" s="420">
        <v>43034</v>
      </c>
      <c r="B3302" s="302" t="s">
        <v>35009</v>
      </c>
      <c r="C3302">
        <v>132865</v>
      </c>
      <c r="D3302" s="275" t="s">
        <v>15387</v>
      </c>
      <c r="E3302" s="301">
        <v>720</v>
      </c>
      <c r="F3302" s="303">
        <v>43034</v>
      </c>
      <c r="G3302" s="301">
        <v>720</v>
      </c>
      <c r="H3302" s="301">
        <f>Tabla15[[#This Row],[Importe]]-Tabla15[[#This Row],[Pagado]]</f>
        <v>0</v>
      </c>
      <c r="I3302" s="275" t="s">
        <v>15214</v>
      </c>
    </row>
    <row r="3303" spans="1:9" x14ac:dyDescent="0.25">
      <c r="A3303" s="420">
        <v>43034</v>
      </c>
      <c r="B3303" s="302" t="s">
        <v>35010</v>
      </c>
      <c r="C3303">
        <v>132866</v>
      </c>
      <c r="D3303" s="275" t="s">
        <v>23206</v>
      </c>
      <c r="E3303" s="301">
        <v>6157.2</v>
      </c>
      <c r="F3303" s="303">
        <v>43034</v>
      </c>
      <c r="G3303" s="301">
        <v>6157.2</v>
      </c>
      <c r="H3303" s="301">
        <f>Tabla15[[#This Row],[Importe]]-Tabla15[[#This Row],[Pagado]]</f>
        <v>0</v>
      </c>
      <c r="I3303" s="275" t="s">
        <v>15214</v>
      </c>
    </row>
    <row r="3304" spans="1:9" x14ac:dyDescent="0.25">
      <c r="A3304" s="420">
        <v>43034</v>
      </c>
      <c r="B3304" s="302" t="s">
        <v>35011</v>
      </c>
      <c r="C3304">
        <v>132867</v>
      </c>
      <c r="D3304" s="275" t="s">
        <v>15332</v>
      </c>
      <c r="E3304" s="301">
        <v>3525</v>
      </c>
      <c r="F3304" s="303">
        <v>43034</v>
      </c>
      <c r="G3304" s="301">
        <v>3525</v>
      </c>
      <c r="H3304" s="301">
        <f>Tabla15[[#This Row],[Importe]]-Tabla15[[#This Row],[Pagado]]</f>
        <v>0</v>
      </c>
      <c r="I3304" s="275" t="s">
        <v>15214</v>
      </c>
    </row>
    <row r="3305" spans="1:9" x14ac:dyDescent="0.25">
      <c r="A3305" s="420">
        <v>43034</v>
      </c>
      <c r="B3305" s="302" t="s">
        <v>35012</v>
      </c>
      <c r="C3305">
        <v>132868</v>
      </c>
      <c r="D3305" s="275" t="s">
        <v>15387</v>
      </c>
      <c r="E3305" s="301">
        <v>360</v>
      </c>
      <c r="F3305" s="303">
        <v>43034</v>
      </c>
      <c r="G3305" s="301">
        <v>360</v>
      </c>
      <c r="H3305" s="301">
        <f>Tabla15[[#This Row],[Importe]]-Tabla15[[#This Row],[Pagado]]</f>
        <v>0</v>
      </c>
      <c r="I3305" s="275" t="s">
        <v>15214</v>
      </c>
    </row>
    <row r="3306" spans="1:9" x14ac:dyDescent="0.25">
      <c r="A3306" s="420">
        <v>43034</v>
      </c>
      <c r="B3306" s="302" t="s">
        <v>35013</v>
      </c>
      <c r="C3306">
        <v>132869</v>
      </c>
      <c r="D3306" s="275" t="s">
        <v>15856</v>
      </c>
      <c r="E3306" s="301">
        <v>2340.5</v>
      </c>
      <c r="F3306" s="303">
        <v>43034</v>
      </c>
      <c r="G3306" s="301">
        <v>2340.5</v>
      </c>
      <c r="H3306" s="301">
        <f>Tabla15[[#This Row],[Importe]]-Tabla15[[#This Row],[Pagado]]</f>
        <v>0</v>
      </c>
      <c r="I3306" s="275" t="s">
        <v>15214</v>
      </c>
    </row>
    <row r="3307" spans="1:9" x14ac:dyDescent="0.25">
      <c r="A3307" s="420">
        <v>43034</v>
      </c>
      <c r="B3307" s="302" t="s">
        <v>35014</v>
      </c>
      <c r="C3307">
        <v>132870</v>
      </c>
      <c r="D3307" s="275" t="s">
        <v>15568</v>
      </c>
      <c r="E3307" s="301">
        <v>3230.25</v>
      </c>
      <c r="F3307" s="303">
        <v>43034</v>
      </c>
      <c r="G3307" s="301">
        <v>3230.25</v>
      </c>
      <c r="H3307" s="301">
        <f>Tabla15[[#This Row],[Importe]]-Tabla15[[#This Row],[Pagado]]</f>
        <v>0</v>
      </c>
      <c r="I3307" s="275" t="s">
        <v>15214</v>
      </c>
    </row>
    <row r="3308" spans="1:9" x14ac:dyDescent="0.25">
      <c r="A3308" s="420">
        <v>43034</v>
      </c>
      <c r="B3308" s="302" t="s">
        <v>35015</v>
      </c>
      <c r="C3308">
        <v>132871</v>
      </c>
      <c r="D3308" s="275" t="s">
        <v>15568</v>
      </c>
      <c r="E3308" s="301">
        <v>3201.05</v>
      </c>
      <c r="F3308" s="303">
        <v>43034</v>
      </c>
      <c r="G3308" s="301">
        <v>3201.05</v>
      </c>
      <c r="H3308" s="301">
        <f>Tabla15[[#This Row],[Importe]]-Tabla15[[#This Row],[Pagado]]</f>
        <v>0</v>
      </c>
      <c r="I3308" s="275" t="s">
        <v>15214</v>
      </c>
    </row>
    <row r="3309" spans="1:9" x14ac:dyDescent="0.25">
      <c r="A3309" s="420">
        <v>43034</v>
      </c>
      <c r="B3309" s="302" t="s">
        <v>35016</v>
      </c>
      <c r="C3309">
        <v>132872</v>
      </c>
      <c r="D3309" s="275" t="s">
        <v>15315</v>
      </c>
      <c r="E3309" s="301">
        <v>1941.8</v>
      </c>
      <c r="F3309" s="303">
        <v>43034</v>
      </c>
      <c r="G3309" s="301">
        <v>1941.8</v>
      </c>
      <c r="H3309" s="301">
        <f>Tabla15[[#This Row],[Importe]]-Tabla15[[#This Row],[Pagado]]</f>
        <v>0</v>
      </c>
      <c r="I3309" s="275" t="s">
        <v>15214</v>
      </c>
    </row>
    <row r="3310" spans="1:9" x14ac:dyDescent="0.25">
      <c r="A3310" s="420">
        <v>43034</v>
      </c>
      <c r="B3310" s="302" t="s">
        <v>35017</v>
      </c>
      <c r="C3310">
        <v>132873</v>
      </c>
      <c r="D3310" s="275" t="s">
        <v>15315</v>
      </c>
      <c r="E3310" s="301">
        <v>1523.3</v>
      </c>
      <c r="F3310" s="303">
        <v>43034</v>
      </c>
      <c r="G3310" s="301">
        <v>1523.3</v>
      </c>
      <c r="H3310" s="301">
        <f>Tabla15[[#This Row],[Importe]]-Tabla15[[#This Row],[Pagado]]</f>
        <v>0</v>
      </c>
      <c r="I3310" s="275" t="s">
        <v>15214</v>
      </c>
    </row>
    <row r="3311" spans="1:9" x14ac:dyDescent="0.25">
      <c r="A3311" s="420">
        <v>43034</v>
      </c>
      <c r="B3311" s="302" t="s">
        <v>35018</v>
      </c>
      <c r="C3311">
        <v>132874</v>
      </c>
      <c r="D3311" s="275" t="s">
        <v>15361</v>
      </c>
      <c r="E3311" s="301">
        <v>8622.6</v>
      </c>
      <c r="F3311" s="303">
        <v>43034</v>
      </c>
      <c r="G3311" s="301">
        <v>8622.6</v>
      </c>
      <c r="H3311" s="301">
        <f>Tabla15[[#This Row],[Importe]]-Tabla15[[#This Row],[Pagado]]</f>
        <v>0</v>
      </c>
      <c r="I3311" s="275" t="s">
        <v>15214</v>
      </c>
    </row>
    <row r="3312" spans="1:9" x14ac:dyDescent="0.25">
      <c r="A3312" s="420">
        <v>43034</v>
      </c>
      <c r="B3312" s="302" t="s">
        <v>35019</v>
      </c>
      <c r="C3312">
        <v>132875</v>
      </c>
      <c r="D3312" s="275" t="s">
        <v>15391</v>
      </c>
      <c r="E3312" s="301">
        <v>7668.4</v>
      </c>
      <c r="F3312" s="303">
        <v>43036</v>
      </c>
      <c r="G3312" s="301">
        <v>7668.4</v>
      </c>
      <c r="H3312" s="301">
        <f>Tabla15[[#This Row],[Importe]]-Tabla15[[#This Row],[Pagado]]</f>
        <v>0</v>
      </c>
      <c r="I3312" s="275" t="s">
        <v>15214</v>
      </c>
    </row>
    <row r="3313" spans="1:9" ht="15.75" x14ac:dyDescent="0.25">
      <c r="A3313" s="420">
        <v>43034</v>
      </c>
      <c r="B3313" s="302" t="s">
        <v>35020</v>
      </c>
      <c r="C3313">
        <v>132876</v>
      </c>
      <c r="D3313" s="248" t="s">
        <v>95</v>
      </c>
      <c r="E3313" s="301">
        <v>0</v>
      </c>
      <c r="F3313" s="243" t="s">
        <v>95</v>
      </c>
      <c r="G3313" s="301">
        <v>0</v>
      </c>
      <c r="H3313" s="301">
        <f>Tabla15[[#This Row],[Importe]]-Tabla15[[#This Row],[Pagado]]</f>
        <v>0</v>
      </c>
      <c r="I3313" s="275" t="s">
        <v>95</v>
      </c>
    </row>
    <row r="3314" spans="1:9" x14ac:dyDescent="0.25">
      <c r="A3314" s="420">
        <v>43034</v>
      </c>
      <c r="B3314" s="302" t="s">
        <v>35021</v>
      </c>
      <c r="C3314">
        <v>132877</v>
      </c>
      <c r="D3314" s="275" t="s">
        <v>15757</v>
      </c>
      <c r="E3314" s="301">
        <v>4768</v>
      </c>
      <c r="F3314" s="303">
        <v>43034</v>
      </c>
      <c r="G3314" s="301">
        <v>4768</v>
      </c>
      <c r="H3314" s="301">
        <f>Tabla15[[#This Row],[Importe]]-Tabla15[[#This Row],[Pagado]]</f>
        <v>0</v>
      </c>
      <c r="I3314" s="275" t="s">
        <v>15214</v>
      </c>
    </row>
    <row r="3315" spans="1:9" x14ac:dyDescent="0.25">
      <c r="A3315" s="420">
        <v>43034</v>
      </c>
      <c r="B3315" s="302" t="s">
        <v>35022</v>
      </c>
      <c r="C3315">
        <v>132878</v>
      </c>
      <c r="D3315" s="275" t="s">
        <v>15278</v>
      </c>
      <c r="E3315" s="301">
        <v>8899.7999999999993</v>
      </c>
      <c r="F3315" s="303">
        <v>43034</v>
      </c>
      <c r="G3315" s="301">
        <v>8899.7999999999993</v>
      </c>
      <c r="H3315" s="301">
        <f>Tabla15[[#This Row],[Importe]]-Tabla15[[#This Row],[Pagado]]</f>
        <v>0</v>
      </c>
      <c r="I3315" s="275" t="s">
        <v>15214</v>
      </c>
    </row>
    <row r="3316" spans="1:9" x14ac:dyDescent="0.25">
      <c r="A3316" s="420">
        <v>43034</v>
      </c>
      <c r="B3316" s="302" t="s">
        <v>35023</v>
      </c>
      <c r="C3316">
        <v>132879</v>
      </c>
      <c r="D3316" s="275" t="s">
        <v>21441</v>
      </c>
      <c r="E3316" s="301">
        <v>2400.1999999999998</v>
      </c>
      <c r="F3316" s="303">
        <v>43034</v>
      </c>
      <c r="G3316" s="301">
        <v>2400.1999999999998</v>
      </c>
      <c r="H3316" s="301">
        <f>Tabla15[[#This Row],[Importe]]-Tabla15[[#This Row],[Pagado]]</f>
        <v>0</v>
      </c>
      <c r="I3316" s="275" t="s">
        <v>15214</v>
      </c>
    </row>
    <row r="3317" spans="1:9" x14ac:dyDescent="0.25">
      <c r="A3317" s="420">
        <v>43034</v>
      </c>
      <c r="B3317" s="302" t="s">
        <v>35024</v>
      </c>
      <c r="C3317">
        <v>132880</v>
      </c>
      <c r="D3317" s="275" t="s">
        <v>15315</v>
      </c>
      <c r="E3317" s="301">
        <v>3237.55</v>
      </c>
      <c r="F3317" s="303">
        <v>43034</v>
      </c>
      <c r="G3317" s="301">
        <v>3237.55</v>
      </c>
      <c r="H3317" s="301">
        <f>Tabla15[[#This Row],[Importe]]-Tabla15[[#This Row],[Pagado]]</f>
        <v>0</v>
      </c>
      <c r="I3317" s="275" t="s">
        <v>15214</v>
      </c>
    </row>
    <row r="3318" spans="1:9" x14ac:dyDescent="0.25">
      <c r="A3318" s="420">
        <v>43034</v>
      </c>
      <c r="B3318" s="302" t="s">
        <v>35025</v>
      </c>
      <c r="C3318">
        <v>132881</v>
      </c>
      <c r="D3318" s="275" t="s">
        <v>15307</v>
      </c>
      <c r="E3318" s="301">
        <v>3988.9</v>
      </c>
      <c r="F3318" s="303">
        <v>43034</v>
      </c>
      <c r="G3318" s="301">
        <v>3988.9</v>
      </c>
      <c r="H3318" s="301">
        <f>Tabla15[[#This Row],[Importe]]-Tabla15[[#This Row],[Pagado]]</f>
        <v>0</v>
      </c>
      <c r="I3318" s="275" t="s">
        <v>15214</v>
      </c>
    </row>
    <row r="3319" spans="1:9" x14ac:dyDescent="0.25">
      <c r="A3319" s="420">
        <v>43034</v>
      </c>
      <c r="B3319" s="302" t="s">
        <v>35026</v>
      </c>
      <c r="C3319">
        <v>132882</v>
      </c>
      <c r="D3319" s="275" t="s">
        <v>29500</v>
      </c>
      <c r="E3319" s="301">
        <v>3840</v>
      </c>
      <c r="F3319" s="303">
        <v>43034</v>
      </c>
      <c r="G3319" s="301">
        <v>3840</v>
      </c>
      <c r="H3319" s="301">
        <f>Tabla15[[#This Row],[Importe]]-Tabla15[[#This Row],[Pagado]]</f>
        <v>0</v>
      </c>
      <c r="I3319" s="275" t="s">
        <v>15214</v>
      </c>
    </row>
    <row r="3320" spans="1:9" x14ac:dyDescent="0.25">
      <c r="A3320" s="420">
        <v>43034</v>
      </c>
      <c r="B3320" s="302" t="s">
        <v>35027</v>
      </c>
      <c r="C3320">
        <v>132883</v>
      </c>
      <c r="D3320" s="275" t="s">
        <v>15326</v>
      </c>
      <c r="E3320" s="301">
        <v>5991.8</v>
      </c>
      <c r="F3320" s="303">
        <v>43034</v>
      </c>
      <c r="G3320" s="301">
        <v>5991.8</v>
      </c>
      <c r="H3320" s="301">
        <f>Tabla15[[#This Row],[Importe]]-Tabla15[[#This Row],[Pagado]]</f>
        <v>0</v>
      </c>
      <c r="I3320" s="275" t="s">
        <v>15214</v>
      </c>
    </row>
    <row r="3321" spans="1:9" x14ac:dyDescent="0.25">
      <c r="A3321" s="420">
        <v>43034</v>
      </c>
      <c r="B3321" s="302" t="s">
        <v>35028</v>
      </c>
      <c r="C3321">
        <v>132884</v>
      </c>
      <c r="D3321" s="275" t="s">
        <v>15835</v>
      </c>
      <c r="E3321" s="301">
        <v>13141.1</v>
      </c>
      <c r="F3321" s="303">
        <v>43034</v>
      </c>
      <c r="G3321" s="301">
        <v>13141.1</v>
      </c>
      <c r="H3321" s="301">
        <f>Tabla15[[#This Row],[Importe]]-Tabla15[[#This Row],[Pagado]]</f>
        <v>0</v>
      </c>
      <c r="I3321" s="275" t="s">
        <v>15214</v>
      </c>
    </row>
    <row r="3322" spans="1:9" x14ac:dyDescent="0.25">
      <c r="A3322" s="420">
        <v>43034</v>
      </c>
      <c r="B3322" s="302" t="s">
        <v>35029</v>
      </c>
      <c r="C3322">
        <v>132885</v>
      </c>
      <c r="D3322" s="275" t="s">
        <v>15596</v>
      </c>
      <c r="E3322" s="301">
        <v>1200</v>
      </c>
      <c r="F3322" s="303">
        <v>43034</v>
      </c>
      <c r="G3322" s="301">
        <v>1200</v>
      </c>
      <c r="H3322" s="301">
        <f>Tabla15[[#This Row],[Importe]]-Tabla15[[#This Row],[Pagado]]</f>
        <v>0</v>
      </c>
      <c r="I3322" s="275" t="s">
        <v>15214</v>
      </c>
    </row>
    <row r="3323" spans="1:9" x14ac:dyDescent="0.25">
      <c r="A3323" s="420">
        <v>43034</v>
      </c>
      <c r="B3323" s="302" t="s">
        <v>35030</v>
      </c>
      <c r="C3323">
        <v>132886</v>
      </c>
      <c r="D3323" s="275" t="s">
        <v>15358</v>
      </c>
      <c r="E3323" s="301">
        <v>17020.25</v>
      </c>
      <c r="F3323" s="303">
        <v>43034</v>
      </c>
      <c r="G3323" s="301">
        <v>17020.25</v>
      </c>
      <c r="H3323" s="301">
        <f>Tabla15[[#This Row],[Importe]]-Tabla15[[#This Row],[Pagado]]</f>
        <v>0</v>
      </c>
      <c r="I3323" s="275" t="s">
        <v>15214</v>
      </c>
    </row>
    <row r="3324" spans="1:9" x14ac:dyDescent="0.25">
      <c r="A3324" s="420">
        <v>43034</v>
      </c>
      <c r="B3324" s="302" t="s">
        <v>35031</v>
      </c>
      <c r="C3324">
        <v>132887</v>
      </c>
      <c r="D3324" s="275" t="s">
        <v>15280</v>
      </c>
      <c r="E3324" s="301">
        <v>6256.8</v>
      </c>
      <c r="F3324" s="303">
        <v>43034</v>
      </c>
      <c r="G3324" s="301">
        <v>6256.8</v>
      </c>
      <c r="H3324" s="301">
        <f>Tabla15[[#This Row],[Importe]]-Tabla15[[#This Row],[Pagado]]</f>
        <v>0</v>
      </c>
      <c r="I3324" s="275" t="s">
        <v>15214</v>
      </c>
    </row>
    <row r="3325" spans="1:9" x14ac:dyDescent="0.25">
      <c r="A3325" s="420">
        <v>43034</v>
      </c>
      <c r="B3325" s="302" t="s">
        <v>35032</v>
      </c>
      <c r="C3325">
        <v>132888</v>
      </c>
      <c r="D3325" s="275" t="s">
        <v>17708</v>
      </c>
      <c r="E3325" s="301">
        <v>4488</v>
      </c>
      <c r="F3325" s="303">
        <v>43034</v>
      </c>
      <c r="G3325" s="301">
        <v>4488</v>
      </c>
      <c r="H3325" s="301">
        <f>Tabla15[[#This Row],[Importe]]-Tabla15[[#This Row],[Pagado]]</f>
        <v>0</v>
      </c>
      <c r="I3325" s="275" t="s">
        <v>15214</v>
      </c>
    </row>
    <row r="3326" spans="1:9" x14ac:dyDescent="0.25">
      <c r="A3326" s="420">
        <v>43034</v>
      </c>
      <c r="B3326" s="302" t="s">
        <v>35033</v>
      </c>
      <c r="C3326">
        <v>132889</v>
      </c>
      <c r="D3326" s="275" t="s">
        <v>15317</v>
      </c>
      <c r="E3326" s="301">
        <v>3548.8</v>
      </c>
      <c r="F3326" s="303">
        <v>43039</v>
      </c>
      <c r="G3326" s="301">
        <v>3548.8</v>
      </c>
      <c r="H3326" s="301">
        <f>Tabla15[[#This Row],[Importe]]-Tabla15[[#This Row],[Pagado]]</f>
        <v>0</v>
      </c>
      <c r="I3326" s="275" t="s">
        <v>15214</v>
      </c>
    </row>
    <row r="3327" spans="1:9" ht="15.75" x14ac:dyDescent="0.25">
      <c r="A3327" s="420">
        <v>43034</v>
      </c>
      <c r="B3327" s="302" t="s">
        <v>35034</v>
      </c>
      <c r="C3327">
        <v>132890</v>
      </c>
      <c r="D3327" s="248" t="s">
        <v>95</v>
      </c>
      <c r="E3327" s="301">
        <v>0</v>
      </c>
      <c r="F3327" s="243" t="s">
        <v>95</v>
      </c>
      <c r="G3327" s="301">
        <v>0</v>
      </c>
      <c r="H3327" s="301">
        <f>Tabla15[[#This Row],[Importe]]-Tabla15[[#This Row],[Pagado]]</f>
        <v>0</v>
      </c>
      <c r="I3327" s="275" t="s">
        <v>95</v>
      </c>
    </row>
    <row r="3328" spans="1:9" x14ac:dyDescent="0.25">
      <c r="A3328" s="420">
        <v>43034</v>
      </c>
      <c r="B3328" s="302" t="s">
        <v>35035</v>
      </c>
      <c r="C3328">
        <v>132891</v>
      </c>
      <c r="D3328" s="275" t="s">
        <v>15305</v>
      </c>
      <c r="E3328" s="301">
        <v>359.6</v>
      </c>
      <c r="F3328" s="303">
        <v>43034</v>
      </c>
      <c r="G3328" s="301">
        <v>359.6</v>
      </c>
      <c r="H3328" s="301">
        <f>Tabla15[[#This Row],[Importe]]-Tabla15[[#This Row],[Pagado]]</f>
        <v>0</v>
      </c>
      <c r="I3328" s="275" t="s">
        <v>15214</v>
      </c>
    </row>
    <row r="3329" spans="1:9" x14ac:dyDescent="0.25">
      <c r="A3329" s="420">
        <v>43034</v>
      </c>
      <c r="B3329" s="302" t="s">
        <v>35036</v>
      </c>
      <c r="C3329">
        <v>132892</v>
      </c>
      <c r="D3329" s="275" t="s">
        <v>15291</v>
      </c>
      <c r="E3329" s="301">
        <v>1056</v>
      </c>
      <c r="F3329" s="303">
        <v>43034</v>
      </c>
      <c r="G3329" s="301">
        <v>1056</v>
      </c>
      <c r="H3329" s="301">
        <f>Tabla15[[#This Row],[Importe]]-Tabla15[[#This Row],[Pagado]]</f>
        <v>0</v>
      </c>
      <c r="I3329" s="275" t="s">
        <v>15214</v>
      </c>
    </row>
    <row r="3330" spans="1:9" x14ac:dyDescent="0.25">
      <c r="A3330" s="420">
        <v>43034</v>
      </c>
      <c r="B3330" s="302" t="s">
        <v>35037</v>
      </c>
      <c r="C3330">
        <v>132893</v>
      </c>
      <c r="D3330" s="275" t="s">
        <v>15835</v>
      </c>
      <c r="E3330" s="301">
        <v>221.4</v>
      </c>
      <c r="F3330" s="303">
        <v>43034</v>
      </c>
      <c r="G3330" s="301">
        <v>221.4</v>
      </c>
      <c r="H3330" s="301">
        <f>Tabla15[[#This Row],[Importe]]-Tabla15[[#This Row],[Pagado]]</f>
        <v>0</v>
      </c>
      <c r="I3330" s="275" t="s">
        <v>15214</v>
      </c>
    </row>
    <row r="3331" spans="1:9" x14ac:dyDescent="0.25">
      <c r="A3331" s="420">
        <v>43034</v>
      </c>
      <c r="B3331" s="302" t="s">
        <v>35038</v>
      </c>
      <c r="C3331">
        <v>132894</v>
      </c>
      <c r="D3331" s="275" t="s">
        <v>15311</v>
      </c>
      <c r="E3331" s="301">
        <v>1315.8</v>
      </c>
      <c r="F3331" s="303">
        <v>43034</v>
      </c>
      <c r="G3331" s="301">
        <v>1315.8</v>
      </c>
      <c r="H3331" s="301">
        <f>Tabla15[[#This Row],[Importe]]-Tabla15[[#This Row],[Pagado]]</f>
        <v>0</v>
      </c>
      <c r="I3331" s="275" t="s">
        <v>15214</v>
      </c>
    </row>
    <row r="3332" spans="1:9" x14ac:dyDescent="0.25">
      <c r="A3332" s="420">
        <v>43034</v>
      </c>
      <c r="B3332" s="302" t="s">
        <v>35039</v>
      </c>
      <c r="C3332">
        <v>132895</v>
      </c>
      <c r="D3332" s="275" t="s">
        <v>15274</v>
      </c>
      <c r="E3332" s="301">
        <v>3454.24</v>
      </c>
      <c r="F3332" s="303">
        <v>43034</v>
      </c>
      <c r="G3332" s="301">
        <v>3454.24</v>
      </c>
      <c r="H3332" s="301">
        <f>Tabla15[[#This Row],[Importe]]-Tabla15[[#This Row],[Pagado]]</f>
        <v>0</v>
      </c>
      <c r="I3332" s="275" t="s">
        <v>15214</v>
      </c>
    </row>
    <row r="3333" spans="1:9" x14ac:dyDescent="0.25">
      <c r="A3333" s="420">
        <v>43034</v>
      </c>
      <c r="B3333" s="302" t="s">
        <v>35040</v>
      </c>
      <c r="C3333">
        <v>132896</v>
      </c>
      <c r="D3333" s="275" t="s">
        <v>15748</v>
      </c>
      <c r="E3333" s="301">
        <v>1945.2</v>
      </c>
      <c r="F3333" s="303">
        <v>43034</v>
      </c>
      <c r="G3333" s="301">
        <v>1945.2</v>
      </c>
      <c r="H3333" s="301">
        <f>Tabla15[[#This Row],[Importe]]-Tabla15[[#This Row],[Pagado]]</f>
        <v>0</v>
      </c>
      <c r="I3333" s="275" t="s">
        <v>15214</v>
      </c>
    </row>
    <row r="3334" spans="1:9" x14ac:dyDescent="0.25">
      <c r="A3334" s="420">
        <v>43034</v>
      </c>
      <c r="B3334" s="302" t="s">
        <v>35041</v>
      </c>
      <c r="C3334">
        <v>132897</v>
      </c>
      <c r="D3334" s="275" t="s">
        <v>15385</v>
      </c>
      <c r="E3334" s="301">
        <v>8496.6</v>
      </c>
      <c r="F3334" s="303">
        <v>43034</v>
      </c>
      <c r="G3334" s="301">
        <v>8496.6</v>
      </c>
      <c r="H3334" s="301">
        <f>Tabla15[[#This Row],[Importe]]-Tabla15[[#This Row],[Pagado]]</f>
        <v>0</v>
      </c>
      <c r="I3334" s="275" t="s">
        <v>15214</v>
      </c>
    </row>
    <row r="3335" spans="1:9" x14ac:dyDescent="0.25">
      <c r="A3335" s="420">
        <v>43034</v>
      </c>
      <c r="B3335" s="302" t="s">
        <v>35042</v>
      </c>
      <c r="C3335">
        <v>132898</v>
      </c>
      <c r="D3335" s="275" t="s">
        <v>15315</v>
      </c>
      <c r="E3335" s="301">
        <v>1234.5999999999999</v>
      </c>
      <c r="F3335" s="303">
        <v>43034</v>
      </c>
      <c r="G3335" s="301">
        <v>1234.5999999999999</v>
      </c>
      <c r="H3335" s="301">
        <f>Tabla15[[#This Row],[Importe]]-Tabla15[[#This Row],[Pagado]]</f>
        <v>0</v>
      </c>
      <c r="I3335" s="275" t="s">
        <v>15214</v>
      </c>
    </row>
    <row r="3336" spans="1:9" ht="30" x14ac:dyDescent="0.25">
      <c r="A3336" s="420">
        <v>43034</v>
      </c>
      <c r="B3336" s="302" t="s">
        <v>35043</v>
      </c>
      <c r="C3336">
        <v>132899</v>
      </c>
      <c r="D3336" s="275" t="s">
        <v>15624</v>
      </c>
      <c r="E3336" s="301">
        <v>33711.07</v>
      </c>
      <c r="F3336" s="303" t="s">
        <v>35044</v>
      </c>
      <c r="G3336" s="305">
        <f>12711.07+21000</f>
        <v>33711.07</v>
      </c>
      <c r="H3336" s="305">
        <f>Tabla15[[#This Row],[Importe]]-Tabla15[[#This Row],[Pagado]]</f>
        <v>0</v>
      </c>
      <c r="I3336" s="275" t="s">
        <v>15214</v>
      </c>
    </row>
    <row r="3337" spans="1:9" x14ac:dyDescent="0.25">
      <c r="A3337" s="420">
        <v>43034</v>
      </c>
      <c r="B3337" s="302" t="s">
        <v>35045</v>
      </c>
      <c r="C3337">
        <v>132900</v>
      </c>
      <c r="D3337" s="275" t="s">
        <v>15250</v>
      </c>
      <c r="E3337" s="301">
        <v>33761.39</v>
      </c>
      <c r="F3337" s="303">
        <v>43038</v>
      </c>
      <c r="G3337" s="301">
        <v>33761.39</v>
      </c>
      <c r="H3337" s="301">
        <f>Tabla15[[#This Row],[Importe]]-Tabla15[[#This Row],[Pagado]]</f>
        <v>0</v>
      </c>
      <c r="I3337" s="275" t="s">
        <v>15214</v>
      </c>
    </row>
    <row r="3338" spans="1:9" x14ac:dyDescent="0.25">
      <c r="A3338" s="420">
        <v>43034</v>
      </c>
      <c r="B3338" s="302" t="s">
        <v>35046</v>
      </c>
      <c r="C3338">
        <v>132901</v>
      </c>
      <c r="D3338" s="275" t="s">
        <v>23937</v>
      </c>
      <c r="E3338" s="301">
        <v>3352.8</v>
      </c>
      <c r="F3338" s="303">
        <v>43034</v>
      </c>
      <c r="G3338" s="301">
        <v>3352.8</v>
      </c>
      <c r="H3338" s="301">
        <f>Tabla15[[#This Row],[Importe]]-Tabla15[[#This Row],[Pagado]]</f>
        <v>0</v>
      </c>
      <c r="I3338" s="275" t="s">
        <v>15214</v>
      </c>
    </row>
    <row r="3339" spans="1:9" x14ac:dyDescent="0.25">
      <c r="A3339" s="420">
        <v>43034</v>
      </c>
      <c r="B3339" s="302" t="s">
        <v>35047</v>
      </c>
      <c r="C3339">
        <v>132902</v>
      </c>
      <c r="D3339" s="275" t="s">
        <v>15252</v>
      </c>
      <c r="E3339" s="301">
        <v>3727.5</v>
      </c>
      <c r="F3339" s="303">
        <v>43036</v>
      </c>
      <c r="G3339" s="301">
        <v>3727.5</v>
      </c>
      <c r="H3339" s="301">
        <f>Tabla15[[#This Row],[Importe]]-Tabla15[[#This Row],[Pagado]]</f>
        <v>0</v>
      </c>
      <c r="I3339" s="275" t="s">
        <v>15214</v>
      </c>
    </row>
    <row r="3340" spans="1:9" x14ac:dyDescent="0.25">
      <c r="A3340" s="420">
        <v>43034</v>
      </c>
      <c r="B3340" s="302" t="s">
        <v>35048</v>
      </c>
      <c r="C3340">
        <v>132903</v>
      </c>
      <c r="D3340" s="275" t="s">
        <v>15549</v>
      </c>
      <c r="E3340" s="301">
        <v>4063.8</v>
      </c>
      <c r="F3340" s="303">
        <v>43034</v>
      </c>
      <c r="G3340" s="301">
        <v>4063.8</v>
      </c>
      <c r="H3340" s="301">
        <f>Tabla15[[#This Row],[Importe]]-Tabla15[[#This Row],[Pagado]]</f>
        <v>0</v>
      </c>
      <c r="I3340" s="275" t="s">
        <v>15214</v>
      </c>
    </row>
    <row r="3341" spans="1:9" x14ac:dyDescent="0.25">
      <c r="A3341" s="420">
        <v>43034</v>
      </c>
      <c r="B3341" s="302" t="s">
        <v>35049</v>
      </c>
      <c r="C3341">
        <v>132904</v>
      </c>
      <c r="D3341" s="275" t="s">
        <v>15244</v>
      </c>
      <c r="E3341" s="301">
        <v>7719.55</v>
      </c>
      <c r="F3341" s="303">
        <v>43035</v>
      </c>
      <c r="G3341" s="301">
        <v>7719.55</v>
      </c>
      <c r="H3341" s="301">
        <f>Tabla15[[#This Row],[Importe]]-Tabla15[[#This Row],[Pagado]]</f>
        <v>0</v>
      </c>
      <c r="I3341" s="275" t="s">
        <v>15214</v>
      </c>
    </row>
    <row r="3342" spans="1:9" x14ac:dyDescent="0.25">
      <c r="A3342" s="420">
        <v>43034</v>
      </c>
      <c r="B3342" s="302" t="s">
        <v>35050</v>
      </c>
      <c r="C3342">
        <v>132905</v>
      </c>
      <c r="D3342" s="275" t="s">
        <v>16126</v>
      </c>
      <c r="E3342" s="301">
        <v>7209.5</v>
      </c>
      <c r="F3342" s="303">
        <v>43034</v>
      </c>
      <c r="G3342" s="301">
        <v>7209.5</v>
      </c>
      <c r="H3342" s="301">
        <f>Tabla15[[#This Row],[Importe]]-Tabla15[[#This Row],[Pagado]]</f>
        <v>0</v>
      </c>
      <c r="I3342" s="275" t="s">
        <v>15214</v>
      </c>
    </row>
    <row r="3343" spans="1:9" x14ac:dyDescent="0.25">
      <c r="A3343" s="420">
        <v>43034</v>
      </c>
      <c r="B3343" s="302" t="s">
        <v>35051</v>
      </c>
      <c r="C3343">
        <v>132906</v>
      </c>
      <c r="D3343" s="275" t="s">
        <v>15396</v>
      </c>
      <c r="E3343" s="301">
        <v>5624.68</v>
      </c>
      <c r="F3343" s="303">
        <v>43034</v>
      </c>
      <c r="G3343" s="301">
        <v>5624.68</v>
      </c>
      <c r="H3343" s="301">
        <f>Tabla15[[#This Row],[Importe]]-Tabla15[[#This Row],[Pagado]]</f>
        <v>0</v>
      </c>
      <c r="I3343" s="275" t="s">
        <v>15214</v>
      </c>
    </row>
    <row r="3344" spans="1:9" x14ac:dyDescent="0.25">
      <c r="A3344" s="420">
        <v>43034</v>
      </c>
      <c r="B3344" s="302" t="s">
        <v>35052</v>
      </c>
      <c r="C3344">
        <v>132907</v>
      </c>
      <c r="D3344" s="275" t="s">
        <v>15884</v>
      </c>
      <c r="E3344" s="301">
        <v>2923.7</v>
      </c>
      <c r="F3344" s="303">
        <v>43034</v>
      </c>
      <c r="G3344" s="301">
        <v>2923.7</v>
      </c>
      <c r="H3344" s="301">
        <f>Tabla15[[#This Row],[Importe]]-Tabla15[[#This Row],[Pagado]]</f>
        <v>0</v>
      </c>
      <c r="I3344" s="275" t="s">
        <v>15214</v>
      </c>
    </row>
    <row r="3345" spans="1:9" x14ac:dyDescent="0.25">
      <c r="A3345" s="420">
        <v>43034</v>
      </c>
      <c r="B3345" s="302" t="s">
        <v>35053</v>
      </c>
      <c r="C3345">
        <v>132908</v>
      </c>
      <c r="D3345" s="275" t="s">
        <v>15276</v>
      </c>
      <c r="E3345" s="301">
        <v>2400</v>
      </c>
      <c r="F3345" s="303">
        <v>43035</v>
      </c>
      <c r="G3345" s="301">
        <v>2400</v>
      </c>
      <c r="H3345" s="301">
        <f>Tabla15[[#This Row],[Importe]]-Tabla15[[#This Row],[Pagado]]</f>
        <v>0</v>
      </c>
      <c r="I3345" s="275" t="s">
        <v>15214</v>
      </c>
    </row>
    <row r="3346" spans="1:9" ht="15.75" x14ac:dyDescent="0.25">
      <c r="A3346" s="420">
        <v>43034</v>
      </c>
      <c r="B3346" s="302" t="s">
        <v>35054</v>
      </c>
      <c r="C3346">
        <v>132909</v>
      </c>
      <c r="D3346" s="248" t="s">
        <v>95</v>
      </c>
      <c r="E3346" s="301">
        <v>0</v>
      </c>
      <c r="F3346" s="243" t="s">
        <v>95</v>
      </c>
      <c r="G3346" s="301">
        <v>0</v>
      </c>
      <c r="H3346" s="301">
        <f>Tabla15[[#This Row],[Importe]]-Tabla15[[#This Row],[Pagado]]</f>
        <v>0</v>
      </c>
      <c r="I3346" s="275" t="s">
        <v>95</v>
      </c>
    </row>
    <row r="3347" spans="1:9" x14ac:dyDescent="0.25">
      <c r="A3347" s="420">
        <v>43034</v>
      </c>
      <c r="B3347" s="302" t="s">
        <v>35055</v>
      </c>
      <c r="C3347">
        <v>132910</v>
      </c>
      <c r="D3347" s="275" t="s">
        <v>15419</v>
      </c>
      <c r="E3347" s="301">
        <v>27288</v>
      </c>
      <c r="F3347" s="303">
        <v>43042</v>
      </c>
      <c r="G3347" s="301">
        <v>27288</v>
      </c>
      <c r="H3347" s="301">
        <f>Tabla15[[#This Row],[Importe]]-Tabla15[[#This Row],[Pagado]]</f>
        <v>0</v>
      </c>
      <c r="I3347" s="275" t="s">
        <v>15214</v>
      </c>
    </row>
    <row r="3348" spans="1:9" ht="15.75" x14ac:dyDescent="0.25">
      <c r="A3348" s="420">
        <v>43034</v>
      </c>
      <c r="B3348" s="302" t="s">
        <v>35056</v>
      </c>
      <c r="C3348">
        <v>132911</v>
      </c>
      <c r="D3348" s="248" t="s">
        <v>95</v>
      </c>
      <c r="E3348" s="301">
        <v>0</v>
      </c>
      <c r="F3348" s="243" t="s">
        <v>95</v>
      </c>
      <c r="G3348" s="301">
        <v>0</v>
      </c>
      <c r="H3348" s="301">
        <f>Tabla15[[#This Row],[Importe]]-Tabla15[[#This Row],[Pagado]]</f>
        <v>0</v>
      </c>
      <c r="I3348" s="275" t="s">
        <v>95</v>
      </c>
    </row>
    <row r="3349" spans="1:9" x14ac:dyDescent="0.25">
      <c r="A3349" s="420">
        <v>43034</v>
      </c>
      <c r="B3349" s="302" t="s">
        <v>35057</v>
      </c>
      <c r="C3349">
        <v>132912</v>
      </c>
      <c r="D3349" s="275" t="s">
        <v>15282</v>
      </c>
      <c r="E3349" s="301">
        <v>2844.9</v>
      </c>
      <c r="F3349" s="303">
        <v>43034</v>
      </c>
      <c r="G3349" s="301">
        <v>2844.9</v>
      </c>
      <c r="H3349" s="301">
        <f>Tabla15[[#This Row],[Importe]]-Tabla15[[#This Row],[Pagado]]</f>
        <v>0</v>
      </c>
      <c r="I3349" s="275" t="s">
        <v>15214</v>
      </c>
    </row>
    <row r="3350" spans="1:9" x14ac:dyDescent="0.25">
      <c r="A3350" s="420">
        <v>43034</v>
      </c>
      <c r="B3350" s="302" t="s">
        <v>35058</v>
      </c>
      <c r="C3350">
        <v>132913</v>
      </c>
      <c r="D3350" s="275" t="s">
        <v>15617</v>
      </c>
      <c r="E3350" s="301">
        <v>9686.4</v>
      </c>
      <c r="F3350" s="303">
        <v>43035</v>
      </c>
      <c r="G3350" s="301">
        <v>9686.4</v>
      </c>
      <c r="H3350" s="301">
        <f>Tabla15[[#This Row],[Importe]]-Tabla15[[#This Row],[Pagado]]</f>
        <v>0</v>
      </c>
      <c r="I3350" s="275" t="s">
        <v>15214</v>
      </c>
    </row>
    <row r="3351" spans="1:9" x14ac:dyDescent="0.25">
      <c r="A3351" s="420">
        <v>43034</v>
      </c>
      <c r="B3351" s="302" t="s">
        <v>35059</v>
      </c>
      <c r="C3351">
        <v>132914</v>
      </c>
      <c r="D3351" s="275" t="s">
        <v>15419</v>
      </c>
      <c r="E3351" s="301">
        <v>8647.5</v>
      </c>
      <c r="F3351" s="303">
        <v>43042</v>
      </c>
      <c r="G3351" s="301">
        <v>8647.5</v>
      </c>
      <c r="H3351" s="301">
        <f>Tabla15[[#This Row],[Importe]]-Tabla15[[#This Row],[Pagado]]</f>
        <v>0</v>
      </c>
      <c r="I3351" s="275" t="s">
        <v>15214</v>
      </c>
    </row>
    <row r="3352" spans="1:9" x14ac:dyDescent="0.25">
      <c r="A3352" s="420">
        <v>43034</v>
      </c>
      <c r="B3352" s="302" t="s">
        <v>35060</v>
      </c>
      <c r="C3352">
        <v>132915</v>
      </c>
      <c r="D3352" s="275" t="s">
        <v>15315</v>
      </c>
      <c r="E3352" s="301">
        <v>3008.7</v>
      </c>
      <c r="F3352" s="303">
        <v>43034</v>
      </c>
      <c r="G3352" s="301">
        <v>3008.7</v>
      </c>
      <c r="H3352" s="301">
        <f>Tabla15[[#This Row],[Importe]]-Tabla15[[#This Row],[Pagado]]</f>
        <v>0</v>
      </c>
      <c r="I3352" s="275" t="s">
        <v>15214</v>
      </c>
    </row>
    <row r="3353" spans="1:9" x14ac:dyDescent="0.25">
      <c r="A3353" s="420">
        <v>43034</v>
      </c>
      <c r="B3353" s="302" t="s">
        <v>35061</v>
      </c>
      <c r="C3353">
        <v>132916</v>
      </c>
      <c r="D3353" s="275" t="s">
        <v>15920</v>
      </c>
      <c r="E3353" s="301">
        <v>15890</v>
      </c>
      <c r="F3353" s="303">
        <v>43038</v>
      </c>
      <c r="G3353" s="301">
        <v>15890</v>
      </c>
      <c r="H3353" s="301">
        <f>Tabla15[[#This Row],[Importe]]-Tabla15[[#This Row],[Pagado]]</f>
        <v>0</v>
      </c>
      <c r="I3353" s="275" t="s">
        <v>15214</v>
      </c>
    </row>
    <row r="3354" spans="1:9" x14ac:dyDescent="0.25">
      <c r="A3354" s="420">
        <v>43034</v>
      </c>
      <c r="B3354" s="302" t="s">
        <v>35062</v>
      </c>
      <c r="C3354">
        <v>132917</v>
      </c>
      <c r="D3354" s="275" t="s">
        <v>15417</v>
      </c>
      <c r="E3354" s="301">
        <v>2155.1999999999998</v>
      </c>
      <c r="F3354" s="303">
        <v>43035</v>
      </c>
      <c r="G3354" s="301">
        <v>2155.1999999999998</v>
      </c>
      <c r="H3354" s="301">
        <f>Tabla15[[#This Row],[Importe]]-Tabla15[[#This Row],[Pagado]]</f>
        <v>0</v>
      </c>
      <c r="I3354" s="275" t="s">
        <v>15214</v>
      </c>
    </row>
    <row r="3355" spans="1:9" x14ac:dyDescent="0.25">
      <c r="A3355" s="420">
        <v>43034</v>
      </c>
      <c r="B3355" s="302" t="s">
        <v>35063</v>
      </c>
      <c r="C3355">
        <v>132918</v>
      </c>
      <c r="D3355" s="275" t="s">
        <v>15782</v>
      </c>
      <c r="E3355" s="301">
        <v>996.4</v>
      </c>
      <c r="F3355" s="303">
        <v>43035</v>
      </c>
      <c r="G3355" s="301">
        <v>996.4</v>
      </c>
      <c r="H3355" s="301">
        <f>Tabla15[[#This Row],[Importe]]-Tabla15[[#This Row],[Pagado]]</f>
        <v>0</v>
      </c>
      <c r="I3355" s="275" t="s">
        <v>15214</v>
      </c>
    </row>
    <row r="3356" spans="1:9" x14ac:dyDescent="0.25">
      <c r="A3356" s="420">
        <v>43034</v>
      </c>
      <c r="B3356" s="302" t="s">
        <v>35064</v>
      </c>
      <c r="C3356">
        <v>132919</v>
      </c>
      <c r="D3356" s="275" t="s">
        <v>15378</v>
      </c>
      <c r="E3356" s="301">
        <v>2663.6</v>
      </c>
      <c r="F3356" s="303">
        <v>43034</v>
      </c>
      <c r="G3356" s="301">
        <v>2663.6</v>
      </c>
      <c r="H3356" s="301">
        <f>Tabla15[[#This Row],[Importe]]-Tabla15[[#This Row],[Pagado]]</f>
        <v>0</v>
      </c>
      <c r="I3356" s="275" t="s">
        <v>15214</v>
      </c>
    </row>
    <row r="3357" spans="1:9" x14ac:dyDescent="0.25">
      <c r="A3357" s="420">
        <v>43034</v>
      </c>
      <c r="B3357" s="302" t="s">
        <v>35065</v>
      </c>
      <c r="C3357">
        <v>132920</v>
      </c>
      <c r="D3357" s="275" t="s">
        <v>15566</v>
      </c>
      <c r="E3357" s="301">
        <v>3617.6</v>
      </c>
      <c r="F3357" s="303">
        <v>43034</v>
      </c>
      <c r="G3357" s="301">
        <v>3617.6</v>
      </c>
      <c r="H3357" s="301">
        <f>Tabla15[[#This Row],[Importe]]-Tabla15[[#This Row],[Pagado]]</f>
        <v>0</v>
      </c>
      <c r="I3357" s="275" t="s">
        <v>15214</v>
      </c>
    </row>
    <row r="3358" spans="1:9" x14ac:dyDescent="0.25">
      <c r="A3358" s="420">
        <v>43034</v>
      </c>
      <c r="B3358" s="302" t="s">
        <v>35066</v>
      </c>
      <c r="C3358">
        <v>132921</v>
      </c>
      <c r="D3358" s="275" t="s">
        <v>15298</v>
      </c>
      <c r="E3358" s="301">
        <v>15677.15</v>
      </c>
      <c r="F3358" s="303">
        <v>43038</v>
      </c>
      <c r="G3358" s="301">
        <v>15677.15</v>
      </c>
      <c r="H3358" s="301">
        <f>Tabla15[[#This Row],[Importe]]-Tabla15[[#This Row],[Pagado]]</f>
        <v>0</v>
      </c>
      <c r="I3358" s="275" t="s">
        <v>15214</v>
      </c>
    </row>
    <row r="3359" spans="1:9" x14ac:dyDescent="0.25">
      <c r="A3359" s="420">
        <v>43034</v>
      </c>
      <c r="B3359" s="302" t="s">
        <v>35067</v>
      </c>
      <c r="C3359">
        <v>132922</v>
      </c>
      <c r="D3359" s="275" t="s">
        <v>15537</v>
      </c>
      <c r="E3359" s="301">
        <v>14095.55</v>
      </c>
      <c r="F3359" s="303">
        <v>43035</v>
      </c>
      <c r="G3359" s="301">
        <v>14095.55</v>
      </c>
      <c r="H3359" s="301">
        <f>Tabla15[[#This Row],[Importe]]-Tabla15[[#This Row],[Pagado]]</f>
        <v>0</v>
      </c>
      <c r="I3359" s="275" t="s">
        <v>15214</v>
      </c>
    </row>
    <row r="3360" spans="1:9" x14ac:dyDescent="0.25">
      <c r="A3360" s="420">
        <v>43034</v>
      </c>
      <c r="B3360" s="302" t="s">
        <v>35068</v>
      </c>
      <c r="C3360">
        <v>132923</v>
      </c>
      <c r="D3360" s="275" t="s">
        <v>15555</v>
      </c>
      <c r="E3360" s="301">
        <v>6263.4</v>
      </c>
      <c r="F3360" s="303">
        <v>43035</v>
      </c>
      <c r="G3360" s="301">
        <v>6263.4</v>
      </c>
      <c r="H3360" s="301">
        <f>Tabla15[[#This Row],[Importe]]-Tabla15[[#This Row],[Pagado]]</f>
        <v>0</v>
      </c>
      <c r="I3360" s="275" t="s">
        <v>15214</v>
      </c>
    </row>
    <row r="3361" spans="1:9" x14ac:dyDescent="0.25">
      <c r="A3361" s="420">
        <v>43034</v>
      </c>
      <c r="B3361" s="302" t="s">
        <v>35069</v>
      </c>
      <c r="C3361">
        <v>132924</v>
      </c>
      <c r="D3361" s="275" t="s">
        <v>15557</v>
      </c>
      <c r="E3361" s="301">
        <v>5993.3</v>
      </c>
      <c r="F3361" s="303">
        <v>43035</v>
      </c>
      <c r="G3361" s="301">
        <v>5993.3</v>
      </c>
      <c r="H3361" s="301">
        <f>Tabla15[[#This Row],[Importe]]-Tabla15[[#This Row],[Pagado]]</f>
        <v>0</v>
      </c>
      <c r="I3361" s="275" t="s">
        <v>15214</v>
      </c>
    </row>
    <row r="3362" spans="1:9" ht="30" x14ac:dyDescent="0.25">
      <c r="A3362" s="420">
        <v>43034</v>
      </c>
      <c r="B3362" s="302" t="s">
        <v>35070</v>
      </c>
      <c r="C3362">
        <v>132925</v>
      </c>
      <c r="D3362" s="275" t="s">
        <v>15246</v>
      </c>
      <c r="E3362" s="301">
        <v>69067.97</v>
      </c>
      <c r="F3362" s="303" t="s">
        <v>35044</v>
      </c>
      <c r="G3362" s="305">
        <f>31175.75+37892.22</f>
        <v>69067.97</v>
      </c>
      <c r="H3362" s="305">
        <f>Tabla15[[#This Row],[Importe]]-Tabla15[[#This Row],[Pagado]]</f>
        <v>0</v>
      </c>
      <c r="I3362" s="275" t="s">
        <v>15214</v>
      </c>
    </row>
    <row r="3363" spans="1:9" x14ac:dyDescent="0.25">
      <c r="A3363" s="420">
        <v>43034</v>
      </c>
      <c r="B3363" s="302" t="s">
        <v>35071</v>
      </c>
      <c r="C3363">
        <v>132926</v>
      </c>
      <c r="D3363" s="275" t="s">
        <v>15590</v>
      </c>
      <c r="E3363" s="301">
        <v>23386.400000000001</v>
      </c>
      <c r="F3363" s="303">
        <v>43038</v>
      </c>
      <c r="G3363" s="301">
        <v>23386.400000000001</v>
      </c>
      <c r="H3363" s="301">
        <f>Tabla15[[#This Row],[Importe]]-Tabla15[[#This Row],[Pagado]]</f>
        <v>0</v>
      </c>
      <c r="I3363" s="275" t="s">
        <v>15214</v>
      </c>
    </row>
    <row r="3364" spans="1:9" x14ac:dyDescent="0.25">
      <c r="A3364" s="420">
        <v>43034</v>
      </c>
      <c r="B3364" s="302" t="s">
        <v>35072</v>
      </c>
      <c r="C3364">
        <v>132927</v>
      </c>
      <c r="D3364" s="275" t="s">
        <v>18773</v>
      </c>
      <c r="E3364" s="301">
        <v>38430</v>
      </c>
      <c r="F3364" s="303">
        <v>43034</v>
      </c>
      <c r="G3364" s="301">
        <v>38430</v>
      </c>
      <c r="H3364" s="301">
        <f>Tabla15[[#This Row],[Importe]]-Tabla15[[#This Row],[Pagado]]</f>
        <v>0</v>
      </c>
      <c r="I3364" s="275" t="s">
        <v>15214</v>
      </c>
    </row>
    <row r="3365" spans="1:9" x14ac:dyDescent="0.25">
      <c r="A3365" s="420">
        <v>43034</v>
      </c>
      <c r="B3365" s="302" t="s">
        <v>35073</v>
      </c>
      <c r="C3365">
        <v>132928</v>
      </c>
      <c r="D3365" s="275" t="s">
        <v>19756</v>
      </c>
      <c r="E3365" s="301">
        <v>2061.4</v>
      </c>
      <c r="F3365" s="303">
        <v>43034</v>
      </c>
      <c r="G3365" s="301">
        <v>2061.4</v>
      </c>
      <c r="H3365" s="301">
        <f>Tabla15[[#This Row],[Importe]]-Tabla15[[#This Row],[Pagado]]</f>
        <v>0</v>
      </c>
      <c r="I3365" s="275" t="s">
        <v>15214</v>
      </c>
    </row>
    <row r="3366" spans="1:9" x14ac:dyDescent="0.25">
      <c r="A3366" s="420">
        <v>43034</v>
      </c>
      <c r="B3366" s="302" t="s">
        <v>35074</v>
      </c>
      <c r="C3366">
        <v>132929</v>
      </c>
      <c r="D3366" s="275" t="s">
        <v>15987</v>
      </c>
      <c r="E3366" s="301">
        <v>888.3</v>
      </c>
      <c r="F3366" s="303">
        <v>43034</v>
      </c>
      <c r="G3366" s="301">
        <v>888.3</v>
      </c>
      <c r="H3366" s="301">
        <f>Tabla15[[#This Row],[Importe]]-Tabla15[[#This Row],[Pagado]]</f>
        <v>0</v>
      </c>
      <c r="I3366" s="275" t="s">
        <v>15214</v>
      </c>
    </row>
    <row r="3367" spans="1:9" x14ac:dyDescent="0.25">
      <c r="A3367" s="420">
        <v>43034</v>
      </c>
      <c r="B3367" s="302" t="s">
        <v>35075</v>
      </c>
      <c r="C3367">
        <v>132930</v>
      </c>
      <c r="D3367" s="275" t="s">
        <v>15246</v>
      </c>
      <c r="E3367" s="301">
        <v>287714.64</v>
      </c>
      <c r="F3367" s="303">
        <v>43038</v>
      </c>
      <c r="G3367" s="301">
        <v>287714.64</v>
      </c>
      <c r="H3367" s="301">
        <f>Tabla15[[#This Row],[Importe]]-Tabla15[[#This Row],[Pagado]]</f>
        <v>0</v>
      </c>
      <c r="I3367" s="275" t="s">
        <v>15214</v>
      </c>
    </row>
    <row r="3368" spans="1:9" x14ac:dyDescent="0.25">
      <c r="A3368" s="420">
        <v>43034</v>
      </c>
      <c r="B3368" s="302" t="s">
        <v>35076</v>
      </c>
      <c r="C3368">
        <v>132931</v>
      </c>
      <c r="D3368" s="275" t="s">
        <v>15398</v>
      </c>
      <c r="E3368" s="301">
        <v>3326.55</v>
      </c>
      <c r="F3368" s="303">
        <v>43034</v>
      </c>
      <c r="G3368" s="301">
        <v>3326.55</v>
      </c>
      <c r="H3368" s="301">
        <f>Tabla15[[#This Row],[Importe]]-Tabla15[[#This Row],[Pagado]]</f>
        <v>0</v>
      </c>
      <c r="I3368" s="275" t="s">
        <v>15214</v>
      </c>
    </row>
    <row r="3369" spans="1:9" x14ac:dyDescent="0.25">
      <c r="A3369" s="420">
        <v>43034</v>
      </c>
      <c r="B3369" s="302" t="s">
        <v>35077</v>
      </c>
      <c r="C3369">
        <v>132932</v>
      </c>
      <c r="D3369" s="275" t="s">
        <v>15246</v>
      </c>
      <c r="E3369" s="301">
        <v>54246.5</v>
      </c>
      <c r="F3369" s="303">
        <v>43038</v>
      </c>
      <c r="G3369" s="301">
        <v>54246.5</v>
      </c>
      <c r="H3369" s="301">
        <f>Tabla15[[#This Row],[Importe]]-Tabla15[[#This Row],[Pagado]]</f>
        <v>0</v>
      </c>
      <c r="I3369" s="275" t="s">
        <v>15214</v>
      </c>
    </row>
    <row r="3370" spans="1:9" x14ac:dyDescent="0.25">
      <c r="A3370" s="420">
        <v>43034</v>
      </c>
      <c r="B3370" s="302" t="s">
        <v>35078</v>
      </c>
      <c r="C3370">
        <v>132933</v>
      </c>
      <c r="D3370" s="275" t="s">
        <v>15423</v>
      </c>
      <c r="E3370" s="301">
        <v>2028.6</v>
      </c>
      <c r="F3370" s="303">
        <v>43034</v>
      </c>
      <c r="G3370" s="301">
        <v>2028.6</v>
      </c>
      <c r="H3370" s="301">
        <f>Tabla15[[#This Row],[Importe]]-Tabla15[[#This Row],[Pagado]]</f>
        <v>0</v>
      </c>
      <c r="I3370" s="275" t="s">
        <v>15214</v>
      </c>
    </row>
    <row r="3371" spans="1:9" x14ac:dyDescent="0.25">
      <c r="A3371" s="420">
        <v>43034</v>
      </c>
      <c r="B3371" s="302" t="s">
        <v>35079</v>
      </c>
      <c r="C3371">
        <v>132934</v>
      </c>
      <c r="D3371" s="275" t="s">
        <v>15423</v>
      </c>
      <c r="E3371" s="301">
        <v>156</v>
      </c>
      <c r="F3371" s="303">
        <v>43034</v>
      </c>
      <c r="G3371" s="301">
        <v>156</v>
      </c>
      <c r="H3371" s="301">
        <f>Tabla15[[#This Row],[Importe]]-Tabla15[[#This Row],[Pagado]]</f>
        <v>0</v>
      </c>
      <c r="I3371" s="275" t="s">
        <v>15214</v>
      </c>
    </row>
    <row r="3372" spans="1:9" x14ac:dyDescent="0.25">
      <c r="A3372" s="420">
        <v>43034</v>
      </c>
      <c r="B3372" s="302" t="s">
        <v>35080</v>
      </c>
      <c r="C3372">
        <v>132935</v>
      </c>
      <c r="D3372" s="275" t="s">
        <v>19773</v>
      </c>
      <c r="E3372" s="301">
        <v>2427.6</v>
      </c>
      <c r="F3372" s="303">
        <v>43036</v>
      </c>
      <c r="G3372" s="301">
        <v>2427.6</v>
      </c>
      <c r="H3372" s="301">
        <f>Tabla15[[#This Row],[Importe]]-Tabla15[[#This Row],[Pagado]]</f>
        <v>0</v>
      </c>
      <c r="I3372" s="275" t="s">
        <v>15214</v>
      </c>
    </row>
    <row r="3373" spans="1:9" x14ac:dyDescent="0.25">
      <c r="A3373" s="420">
        <v>43034</v>
      </c>
      <c r="B3373" s="302" t="s">
        <v>35081</v>
      </c>
      <c r="C3373">
        <v>132936</v>
      </c>
      <c r="D3373" s="275" t="s">
        <v>15267</v>
      </c>
      <c r="E3373" s="301">
        <v>15054.9</v>
      </c>
      <c r="F3373" s="303">
        <v>43034</v>
      </c>
      <c r="G3373" s="301">
        <v>15054.9</v>
      </c>
      <c r="H3373" s="301">
        <f>Tabla15[[#This Row],[Importe]]-Tabla15[[#This Row],[Pagado]]</f>
        <v>0</v>
      </c>
      <c r="I3373" s="275" t="s">
        <v>15214</v>
      </c>
    </row>
    <row r="3374" spans="1:9" x14ac:dyDescent="0.25">
      <c r="A3374" s="420">
        <v>43034</v>
      </c>
      <c r="B3374" s="302" t="s">
        <v>35082</v>
      </c>
      <c r="C3374">
        <v>132937</v>
      </c>
      <c r="D3374" s="275" t="s">
        <v>15213</v>
      </c>
      <c r="E3374" s="301">
        <v>3330.4</v>
      </c>
      <c r="F3374" s="303">
        <v>43035</v>
      </c>
      <c r="G3374" s="301">
        <v>3330.4</v>
      </c>
      <c r="H3374" s="301">
        <f>Tabla15[[#This Row],[Importe]]-Tabla15[[#This Row],[Pagado]]</f>
        <v>0</v>
      </c>
      <c r="I3374" s="275" t="s">
        <v>15214</v>
      </c>
    </row>
    <row r="3375" spans="1:9" x14ac:dyDescent="0.25">
      <c r="A3375" s="420">
        <v>43034</v>
      </c>
      <c r="B3375" s="302" t="s">
        <v>35083</v>
      </c>
      <c r="C3375">
        <v>132938</v>
      </c>
      <c r="D3375" s="275" t="s">
        <v>15510</v>
      </c>
      <c r="E3375" s="301">
        <v>9228.75</v>
      </c>
      <c r="F3375" s="303">
        <v>43034</v>
      </c>
      <c r="G3375" s="301">
        <v>9228.75</v>
      </c>
      <c r="H3375" s="301">
        <f>Tabla15[[#This Row],[Importe]]-Tabla15[[#This Row],[Pagado]]</f>
        <v>0</v>
      </c>
      <c r="I3375" s="275" t="s">
        <v>15214</v>
      </c>
    </row>
    <row r="3376" spans="1:9" x14ac:dyDescent="0.25">
      <c r="A3376" s="420">
        <v>43034</v>
      </c>
      <c r="B3376" s="302" t="s">
        <v>35084</v>
      </c>
      <c r="C3376">
        <v>132939</v>
      </c>
      <c r="D3376" s="275" t="s">
        <v>15541</v>
      </c>
      <c r="E3376" s="301">
        <v>1021.6</v>
      </c>
      <c r="F3376" s="303">
        <v>43034</v>
      </c>
      <c r="G3376" s="301">
        <v>1021.6</v>
      </c>
      <c r="H3376" s="301">
        <f>Tabla15[[#This Row],[Importe]]-Tabla15[[#This Row],[Pagado]]</f>
        <v>0</v>
      </c>
      <c r="I3376" s="275" t="s">
        <v>15214</v>
      </c>
    </row>
    <row r="3377" spans="1:9" x14ac:dyDescent="0.25">
      <c r="A3377" s="420">
        <v>43034</v>
      </c>
      <c r="B3377" s="302" t="s">
        <v>35085</v>
      </c>
      <c r="C3377">
        <v>132940</v>
      </c>
      <c r="D3377" s="275" t="s">
        <v>15254</v>
      </c>
      <c r="E3377" s="301">
        <v>9265.7000000000007</v>
      </c>
      <c r="F3377" s="303">
        <v>43035</v>
      </c>
      <c r="G3377" s="301">
        <v>9265.7000000000007</v>
      </c>
      <c r="H3377" s="301">
        <f>Tabla15[[#This Row],[Importe]]-Tabla15[[#This Row],[Pagado]]</f>
        <v>0</v>
      </c>
      <c r="I3377" s="275" t="s">
        <v>15214</v>
      </c>
    </row>
    <row r="3378" spans="1:9" x14ac:dyDescent="0.25">
      <c r="A3378" s="420">
        <v>43034</v>
      </c>
      <c r="B3378" s="302" t="s">
        <v>35086</v>
      </c>
      <c r="C3378">
        <v>132941</v>
      </c>
      <c r="D3378" s="275" t="s">
        <v>15396</v>
      </c>
      <c r="E3378" s="301">
        <v>5093</v>
      </c>
      <c r="F3378" s="303">
        <v>43034</v>
      </c>
      <c r="G3378" s="301">
        <v>5093</v>
      </c>
      <c r="H3378" s="301">
        <f>Tabla15[[#This Row],[Importe]]-Tabla15[[#This Row],[Pagado]]</f>
        <v>0</v>
      </c>
      <c r="I3378" s="275" t="s">
        <v>15214</v>
      </c>
    </row>
    <row r="3379" spans="1:9" x14ac:dyDescent="0.25">
      <c r="A3379" s="420">
        <v>43034</v>
      </c>
      <c r="B3379" s="302" t="s">
        <v>35087</v>
      </c>
      <c r="C3379">
        <v>132942</v>
      </c>
      <c r="D3379" s="275" t="s">
        <v>15305</v>
      </c>
      <c r="E3379" s="301">
        <v>1014</v>
      </c>
      <c r="F3379" s="303">
        <v>43034</v>
      </c>
      <c r="G3379" s="301">
        <v>1014</v>
      </c>
      <c r="H3379" s="301">
        <f>Tabla15[[#This Row],[Importe]]-Tabla15[[#This Row],[Pagado]]</f>
        <v>0</v>
      </c>
      <c r="I3379" s="275" t="s">
        <v>15214</v>
      </c>
    </row>
    <row r="3380" spans="1:9" x14ac:dyDescent="0.25">
      <c r="A3380" s="420">
        <v>43034</v>
      </c>
      <c r="B3380" s="302" t="s">
        <v>35088</v>
      </c>
      <c r="C3380">
        <v>132943</v>
      </c>
      <c r="D3380" s="275" t="s">
        <v>19765</v>
      </c>
      <c r="E3380" s="301">
        <v>3500</v>
      </c>
      <c r="F3380" s="303">
        <v>43040</v>
      </c>
      <c r="G3380" s="301">
        <v>3500</v>
      </c>
      <c r="H3380" s="301">
        <f>Tabla15[[#This Row],[Importe]]-Tabla15[[#This Row],[Pagado]]</f>
        <v>0</v>
      </c>
      <c r="I3380" s="275" t="s">
        <v>15214</v>
      </c>
    </row>
    <row r="3381" spans="1:9" x14ac:dyDescent="0.25">
      <c r="A3381" s="420">
        <v>43034</v>
      </c>
      <c r="B3381" s="302" t="s">
        <v>35089</v>
      </c>
      <c r="C3381">
        <v>132944</v>
      </c>
      <c r="D3381" s="275" t="s">
        <v>15315</v>
      </c>
      <c r="E3381" s="301">
        <v>1363.2</v>
      </c>
      <c r="F3381" s="303">
        <v>43034</v>
      </c>
      <c r="G3381" s="301">
        <v>1363.2</v>
      </c>
      <c r="H3381" s="301">
        <f>Tabla15[[#This Row],[Importe]]-Tabla15[[#This Row],[Pagado]]</f>
        <v>0</v>
      </c>
      <c r="I3381" s="275" t="s">
        <v>15214</v>
      </c>
    </row>
    <row r="3382" spans="1:9" x14ac:dyDescent="0.25">
      <c r="A3382" s="420">
        <v>43034</v>
      </c>
      <c r="B3382" s="302" t="s">
        <v>35090</v>
      </c>
      <c r="C3382">
        <v>132945</v>
      </c>
      <c r="D3382" s="275" t="s">
        <v>15415</v>
      </c>
      <c r="E3382" s="301">
        <v>676.7</v>
      </c>
      <c r="F3382" s="303">
        <v>43035</v>
      </c>
      <c r="G3382" s="301">
        <v>676.7</v>
      </c>
      <c r="H3382" s="301">
        <f>Tabla15[[#This Row],[Importe]]-Tabla15[[#This Row],[Pagado]]</f>
        <v>0</v>
      </c>
      <c r="I3382" s="275" t="s">
        <v>15214</v>
      </c>
    </row>
    <row r="3383" spans="1:9" x14ac:dyDescent="0.25">
      <c r="A3383" s="420">
        <v>43034</v>
      </c>
      <c r="B3383" s="302" t="s">
        <v>35091</v>
      </c>
      <c r="C3383">
        <v>132946</v>
      </c>
      <c r="D3383" s="275" t="s">
        <v>19779</v>
      </c>
      <c r="E3383" s="301">
        <v>9.8000000000000007</v>
      </c>
      <c r="F3383" s="303">
        <v>43034</v>
      </c>
      <c r="G3383" s="301">
        <v>9.8000000000000007</v>
      </c>
      <c r="H3383" s="301">
        <f>Tabla15[[#This Row],[Importe]]-Tabla15[[#This Row],[Pagado]]</f>
        <v>0</v>
      </c>
      <c r="I3383" s="275" t="s">
        <v>15214</v>
      </c>
    </row>
    <row r="3384" spans="1:9" x14ac:dyDescent="0.25">
      <c r="A3384" s="420">
        <v>43034</v>
      </c>
      <c r="B3384" s="302" t="s">
        <v>35092</v>
      </c>
      <c r="C3384">
        <v>132947</v>
      </c>
      <c r="D3384" s="275" t="s">
        <v>15577</v>
      </c>
      <c r="E3384" s="301">
        <v>802.7</v>
      </c>
      <c r="F3384" s="303">
        <v>43034</v>
      </c>
      <c r="G3384" s="301">
        <v>802.7</v>
      </c>
      <c r="H3384" s="301">
        <f>Tabla15[[#This Row],[Importe]]-Tabla15[[#This Row],[Pagado]]</f>
        <v>0</v>
      </c>
      <c r="I3384" s="275" t="s">
        <v>15214</v>
      </c>
    </row>
    <row r="3385" spans="1:9" x14ac:dyDescent="0.25">
      <c r="A3385" s="420">
        <v>43034</v>
      </c>
      <c r="B3385" s="302" t="s">
        <v>35093</v>
      </c>
      <c r="C3385">
        <v>132948</v>
      </c>
      <c r="D3385" s="275" t="s">
        <v>15407</v>
      </c>
      <c r="E3385" s="301">
        <v>1550</v>
      </c>
      <c r="F3385" s="303">
        <v>43034</v>
      </c>
      <c r="G3385" s="301">
        <v>1550</v>
      </c>
      <c r="H3385" s="301">
        <f>Tabla15[[#This Row],[Importe]]-Tabla15[[#This Row],[Pagado]]</f>
        <v>0</v>
      </c>
      <c r="I3385" s="275" t="s">
        <v>15214</v>
      </c>
    </row>
    <row r="3386" spans="1:9" x14ac:dyDescent="0.25">
      <c r="A3386" s="420">
        <v>43034</v>
      </c>
      <c r="B3386" s="302" t="s">
        <v>35094</v>
      </c>
      <c r="C3386">
        <v>132949</v>
      </c>
      <c r="D3386" s="275" t="s">
        <v>15433</v>
      </c>
      <c r="E3386" s="301">
        <v>2327.4</v>
      </c>
      <c r="F3386" s="303">
        <v>43034</v>
      </c>
      <c r="G3386" s="301">
        <v>2327.4</v>
      </c>
      <c r="H3386" s="301">
        <f>Tabla15[[#This Row],[Importe]]-Tabla15[[#This Row],[Pagado]]</f>
        <v>0</v>
      </c>
      <c r="I3386" s="275" t="s">
        <v>15214</v>
      </c>
    </row>
    <row r="3387" spans="1:9" x14ac:dyDescent="0.25">
      <c r="A3387" s="420">
        <v>43034</v>
      </c>
      <c r="B3387" s="302" t="s">
        <v>35095</v>
      </c>
      <c r="C3387">
        <v>132950</v>
      </c>
      <c r="D3387" s="275" t="s">
        <v>15956</v>
      </c>
      <c r="E3387" s="301">
        <v>1600</v>
      </c>
      <c r="F3387" s="303">
        <v>43034</v>
      </c>
      <c r="G3387" s="301">
        <v>1600</v>
      </c>
      <c r="H3387" s="301">
        <f>Tabla15[[#This Row],[Importe]]-Tabla15[[#This Row],[Pagado]]</f>
        <v>0</v>
      </c>
      <c r="I3387" s="275" t="s">
        <v>15214</v>
      </c>
    </row>
    <row r="3388" spans="1:9" x14ac:dyDescent="0.25">
      <c r="A3388" s="420">
        <v>43034</v>
      </c>
      <c r="B3388" s="302" t="s">
        <v>35096</v>
      </c>
      <c r="C3388">
        <v>132951</v>
      </c>
      <c r="D3388" s="275" t="s">
        <v>15448</v>
      </c>
      <c r="E3388" s="301">
        <v>209118.5</v>
      </c>
      <c r="F3388" s="303">
        <v>43036</v>
      </c>
      <c r="G3388" s="301">
        <v>209118.5</v>
      </c>
      <c r="H3388" s="301">
        <f>Tabla15[[#This Row],[Importe]]-Tabla15[[#This Row],[Pagado]]</f>
        <v>0</v>
      </c>
      <c r="I3388" s="275" t="s">
        <v>15214</v>
      </c>
    </row>
    <row r="3389" spans="1:9" x14ac:dyDescent="0.25">
      <c r="A3389" s="420">
        <v>43034</v>
      </c>
      <c r="B3389" s="302" t="s">
        <v>35097</v>
      </c>
      <c r="C3389">
        <v>132952</v>
      </c>
      <c r="D3389" s="275" t="s">
        <v>15448</v>
      </c>
      <c r="E3389" s="301">
        <v>624</v>
      </c>
      <c r="F3389" s="303">
        <v>43036</v>
      </c>
      <c r="G3389" s="301">
        <v>624</v>
      </c>
      <c r="H3389" s="301">
        <f>Tabla15[[#This Row],[Importe]]-Tabla15[[#This Row],[Pagado]]</f>
        <v>0</v>
      </c>
      <c r="I3389" s="275" t="s">
        <v>15214</v>
      </c>
    </row>
    <row r="3390" spans="1:9" x14ac:dyDescent="0.25">
      <c r="A3390" s="420">
        <v>43034</v>
      </c>
      <c r="B3390" s="302" t="s">
        <v>35098</v>
      </c>
      <c r="C3390">
        <v>132953</v>
      </c>
      <c r="D3390" s="275" t="s">
        <v>15315</v>
      </c>
      <c r="E3390" s="301">
        <v>0.06</v>
      </c>
      <c r="F3390" s="303">
        <v>43036</v>
      </c>
      <c r="G3390" s="301">
        <v>0.06</v>
      </c>
      <c r="H3390" s="301">
        <f>Tabla15[[#This Row],[Importe]]-Tabla15[[#This Row],[Pagado]]</f>
        <v>0</v>
      </c>
      <c r="I3390" s="275" t="s">
        <v>15214</v>
      </c>
    </row>
    <row r="3391" spans="1:9" x14ac:dyDescent="0.25">
      <c r="A3391" s="420">
        <v>43034</v>
      </c>
      <c r="B3391" s="302" t="s">
        <v>35099</v>
      </c>
      <c r="C3391">
        <v>132954</v>
      </c>
      <c r="D3391" s="275" t="s">
        <v>15365</v>
      </c>
      <c r="E3391" s="301">
        <v>212454</v>
      </c>
      <c r="F3391" s="303">
        <v>43035</v>
      </c>
      <c r="G3391" s="301">
        <v>212454</v>
      </c>
      <c r="H3391" s="301">
        <f>Tabla15[[#This Row],[Importe]]-Tabla15[[#This Row],[Pagado]]</f>
        <v>0</v>
      </c>
      <c r="I3391" s="275" t="s">
        <v>15214</v>
      </c>
    </row>
    <row r="3392" spans="1:9" x14ac:dyDescent="0.25">
      <c r="A3392" s="420">
        <v>43034</v>
      </c>
      <c r="B3392" s="302" t="s">
        <v>35100</v>
      </c>
      <c r="C3392">
        <v>132955</v>
      </c>
      <c r="D3392" s="275" t="s">
        <v>21386</v>
      </c>
      <c r="E3392" s="301">
        <v>10323.4</v>
      </c>
      <c r="F3392" s="303">
        <v>43036</v>
      </c>
      <c r="G3392" s="301">
        <v>10323.4</v>
      </c>
      <c r="H3392" s="301">
        <f>Tabla15[[#This Row],[Importe]]-Tabla15[[#This Row],[Pagado]]</f>
        <v>0</v>
      </c>
      <c r="I3392" s="275" t="s">
        <v>15214</v>
      </c>
    </row>
    <row r="3393" spans="1:9" ht="15.75" x14ac:dyDescent="0.25">
      <c r="A3393" s="420">
        <v>43035</v>
      </c>
      <c r="B3393" s="302" t="s">
        <v>35101</v>
      </c>
      <c r="C3393">
        <v>132956</v>
      </c>
      <c r="D3393" s="248" t="s">
        <v>95</v>
      </c>
      <c r="E3393" s="301">
        <v>0</v>
      </c>
      <c r="F3393" s="243" t="s">
        <v>95</v>
      </c>
      <c r="G3393" s="301">
        <v>0</v>
      </c>
      <c r="H3393" s="301">
        <f>Tabla15[[#This Row],[Importe]]-Tabla15[[#This Row],[Pagado]]</f>
        <v>0</v>
      </c>
      <c r="I3393" s="275" t="s">
        <v>95</v>
      </c>
    </row>
    <row r="3394" spans="1:9" x14ac:dyDescent="0.25">
      <c r="A3394" s="420">
        <v>43035</v>
      </c>
      <c r="B3394" s="302" t="s">
        <v>35102</v>
      </c>
      <c r="C3394">
        <v>132957</v>
      </c>
      <c r="D3394" s="275" t="s">
        <v>15213</v>
      </c>
      <c r="E3394" s="301">
        <v>45371</v>
      </c>
      <c r="F3394" s="303">
        <v>43036</v>
      </c>
      <c r="G3394" s="301">
        <v>45371</v>
      </c>
      <c r="H3394" s="301">
        <f>Tabla15[[#This Row],[Importe]]-Tabla15[[#This Row],[Pagado]]</f>
        <v>0</v>
      </c>
      <c r="I3394" s="275" t="s">
        <v>15214</v>
      </c>
    </row>
    <row r="3395" spans="1:9" x14ac:dyDescent="0.25">
      <c r="A3395" s="420">
        <v>43035</v>
      </c>
      <c r="B3395" s="302" t="s">
        <v>35103</v>
      </c>
      <c r="C3395">
        <v>132958</v>
      </c>
      <c r="D3395" s="275" t="s">
        <v>15213</v>
      </c>
      <c r="E3395" s="301">
        <v>1161</v>
      </c>
      <c r="F3395" s="303">
        <v>43036</v>
      </c>
      <c r="G3395" s="301">
        <v>1161</v>
      </c>
      <c r="H3395" s="301">
        <f>Tabla15[[#This Row],[Importe]]-Tabla15[[#This Row],[Pagado]]</f>
        <v>0</v>
      </c>
      <c r="I3395" s="275" t="s">
        <v>15214</v>
      </c>
    </row>
    <row r="3396" spans="1:9" x14ac:dyDescent="0.25">
      <c r="A3396" s="420">
        <v>43035</v>
      </c>
      <c r="B3396" s="302" t="s">
        <v>35104</v>
      </c>
      <c r="C3396">
        <v>132959</v>
      </c>
      <c r="D3396" s="275" t="s">
        <v>5556</v>
      </c>
      <c r="E3396" s="301">
        <v>34665.599999999999</v>
      </c>
      <c r="F3396" s="303">
        <v>43036</v>
      </c>
      <c r="G3396" s="301">
        <v>34665.599999999999</v>
      </c>
      <c r="H3396" s="301">
        <f>Tabla15[[#This Row],[Importe]]-Tabla15[[#This Row],[Pagado]]</f>
        <v>0</v>
      </c>
      <c r="I3396" s="275" t="s">
        <v>15214</v>
      </c>
    </row>
    <row r="3397" spans="1:9" x14ac:dyDescent="0.25">
      <c r="A3397" s="420">
        <v>43035</v>
      </c>
      <c r="B3397" s="302" t="s">
        <v>35105</v>
      </c>
      <c r="C3397">
        <v>132960</v>
      </c>
      <c r="D3397" s="275" t="s">
        <v>16064</v>
      </c>
      <c r="E3397" s="301">
        <v>4153.8</v>
      </c>
      <c r="F3397" s="303">
        <v>43035</v>
      </c>
      <c r="G3397" s="301">
        <v>4153.8</v>
      </c>
      <c r="H3397" s="301">
        <f>Tabla15[[#This Row],[Importe]]-Tabla15[[#This Row],[Pagado]]</f>
        <v>0</v>
      </c>
      <c r="I3397" s="275" t="s">
        <v>15214</v>
      </c>
    </row>
    <row r="3398" spans="1:9" ht="15.75" x14ac:dyDescent="0.25">
      <c r="A3398" s="420">
        <v>43035</v>
      </c>
      <c r="B3398" s="302" t="s">
        <v>35106</v>
      </c>
      <c r="C3398">
        <v>132961</v>
      </c>
      <c r="D3398" s="248" t="s">
        <v>95</v>
      </c>
      <c r="E3398" s="301">
        <v>0</v>
      </c>
      <c r="F3398" s="243" t="s">
        <v>95</v>
      </c>
      <c r="G3398" s="301">
        <v>0</v>
      </c>
      <c r="H3398" s="301">
        <f>Tabla15[[#This Row],[Importe]]-Tabla15[[#This Row],[Pagado]]</f>
        <v>0</v>
      </c>
      <c r="I3398" s="275" t="s">
        <v>95</v>
      </c>
    </row>
    <row r="3399" spans="1:9" x14ac:dyDescent="0.25">
      <c r="A3399" s="420">
        <v>43035</v>
      </c>
      <c r="B3399" s="302" t="s">
        <v>35107</v>
      </c>
      <c r="C3399">
        <v>132962</v>
      </c>
      <c r="D3399" s="275" t="s">
        <v>15230</v>
      </c>
      <c r="E3399" s="301">
        <v>14629.2</v>
      </c>
      <c r="F3399" s="303">
        <v>43038</v>
      </c>
      <c r="G3399" s="301">
        <v>14629.2</v>
      </c>
      <c r="H3399" s="301">
        <f>Tabla15[[#This Row],[Importe]]-Tabla15[[#This Row],[Pagado]]</f>
        <v>0</v>
      </c>
      <c r="I3399" s="275" t="s">
        <v>15214</v>
      </c>
    </row>
    <row r="3400" spans="1:9" x14ac:dyDescent="0.25">
      <c r="A3400" s="420">
        <v>43035</v>
      </c>
      <c r="B3400" s="302" t="s">
        <v>35108</v>
      </c>
      <c r="C3400">
        <v>132963</v>
      </c>
      <c r="D3400" s="275" t="s">
        <v>15232</v>
      </c>
      <c r="E3400" s="301">
        <v>6256.1</v>
      </c>
      <c r="F3400" s="303">
        <v>43041</v>
      </c>
      <c r="G3400" s="301">
        <v>6256.1</v>
      </c>
      <c r="H3400" s="301">
        <f>Tabla15[[#This Row],[Importe]]-Tabla15[[#This Row],[Pagado]]</f>
        <v>0</v>
      </c>
      <c r="I3400" s="275" t="s">
        <v>15214</v>
      </c>
    </row>
    <row r="3401" spans="1:9" ht="30" x14ac:dyDescent="0.25">
      <c r="A3401" s="420">
        <v>43035</v>
      </c>
      <c r="B3401" s="302" t="s">
        <v>35109</v>
      </c>
      <c r="C3401">
        <v>132964</v>
      </c>
      <c r="D3401" s="275" t="s">
        <v>15234</v>
      </c>
      <c r="E3401" s="301">
        <v>3464.8</v>
      </c>
      <c r="F3401" s="303" t="s">
        <v>35713</v>
      </c>
      <c r="G3401" s="305">
        <f>2000+1464.8</f>
        <v>3464.8</v>
      </c>
      <c r="H3401" s="305">
        <f>Tabla15[[#This Row],[Importe]]-Tabla15[[#This Row],[Pagado]]</f>
        <v>0</v>
      </c>
      <c r="I3401" s="275" t="s">
        <v>15214</v>
      </c>
    </row>
    <row r="3402" spans="1:9" x14ac:dyDescent="0.25">
      <c r="A3402" s="420">
        <v>43035</v>
      </c>
      <c r="B3402" s="302" t="s">
        <v>35110</v>
      </c>
      <c r="C3402">
        <v>132965</v>
      </c>
      <c r="D3402" s="275" t="s">
        <v>15272</v>
      </c>
      <c r="E3402" s="301">
        <v>24052.2</v>
      </c>
      <c r="F3402" s="303">
        <v>43035</v>
      </c>
      <c r="G3402" s="301">
        <v>24052.2</v>
      </c>
      <c r="H3402" s="301">
        <f>Tabla15[[#This Row],[Importe]]-Tabla15[[#This Row],[Pagado]]</f>
        <v>0</v>
      </c>
      <c r="I3402" s="275" t="s">
        <v>15214</v>
      </c>
    </row>
    <row r="3403" spans="1:9" x14ac:dyDescent="0.25">
      <c r="A3403" s="420">
        <v>43035</v>
      </c>
      <c r="B3403" s="302" t="s">
        <v>35111</v>
      </c>
      <c r="C3403">
        <v>132966</v>
      </c>
      <c r="D3403" s="275" t="s">
        <v>15480</v>
      </c>
      <c r="E3403" s="301">
        <v>3289</v>
      </c>
      <c r="F3403" s="303">
        <v>43036</v>
      </c>
      <c r="G3403" s="301">
        <v>3289</v>
      </c>
      <c r="H3403" s="301">
        <f>Tabla15[[#This Row],[Importe]]-Tabla15[[#This Row],[Pagado]]</f>
        <v>0</v>
      </c>
      <c r="I3403" s="275" t="s">
        <v>15214</v>
      </c>
    </row>
    <row r="3404" spans="1:9" x14ac:dyDescent="0.25">
      <c r="A3404" s="420">
        <v>43035</v>
      </c>
      <c r="B3404" s="302" t="s">
        <v>35112</v>
      </c>
      <c r="C3404">
        <v>132967</v>
      </c>
      <c r="D3404" s="275" t="s">
        <v>19780</v>
      </c>
      <c r="E3404" s="301">
        <v>5928.5</v>
      </c>
      <c r="F3404" s="303">
        <v>43036</v>
      </c>
      <c r="G3404" s="301">
        <v>5928.5</v>
      </c>
      <c r="H3404" s="301">
        <f>Tabla15[[#This Row],[Importe]]-Tabla15[[#This Row],[Pagado]]</f>
        <v>0</v>
      </c>
      <c r="I3404" s="275" t="s">
        <v>15214</v>
      </c>
    </row>
    <row r="3405" spans="1:9" x14ac:dyDescent="0.25">
      <c r="A3405" s="420">
        <v>43035</v>
      </c>
      <c r="B3405" s="302" t="s">
        <v>35113</v>
      </c>
      <c r="C3405">
        <v>132968</v>
      </c>
      <c r="D3405" s="275" t="s">
        <v>30057</v>
      </c>
      <c r="E3405" s="301">
        <v>4123.7</v>
      </c>
      <c r="F3405" s="303">
        <v>43038</v>
      </c>
      <c r="G3405" s="301">
        <v>4123.7</v>
      </c>
      <c r="H3405" s="301">
        <f>Tabla15[[#This Row],[Importe]]-Tabla15[[#This Row],[Pagado]]</f>
        <v>0</v>
      </c>
      <c r="I3405" s="275" t="s">
        <v>15214</v>
      </c>
    </row>
    <row r="3406" spans="1:9" x14ac:dyDescent="0.25">
      <c r="A3406" s="420">
        <v>43035</v>
      </c>
      <c r="B3406" s="302" t="s">
        <v>35114</v>
      </c>
      <c r="C3406">
        <v>132969</v>
      </c>
      <c r="D3406" s="275" t="s">
        <v>17722</v>
      </c>
      <c r="E3406" s="301">
        <v>3426.52</v>
      </c>
      <c r="F3406" s="303">
        <v>43036</v>
      </c>
      <c r="G3406" s="301">
        <v>3426.52</v>
      </c>
      <c r="H3406" s="301">
        <f>Tabla15[[#This Row],[Importe]]-Tabla15[[#This Row],[Pagado]]</f>
        <v>0</v>
      </c>
      <c r="I3406" s="275" t="s">
        <v>15214</v>
      </c>
    </row>
    <row r="3407" spans="1:9" x14ac:dyDescent="0.25">
      <c r="A3407" s="420">
        <v>43035</v>
      </c>
      <c r="B3407" s="302" t="s">
        <v>35115</v>
      </c>
      <c r="C3407">
        <v>132970</v>
      </c>
      <c r="D3407" s="275" t="s">
        <v>15242</v>
      </c>
      <c r="E3407" s="301">
        <v>10193.6</v>
      </c>
      <c r="F3407" s="303">
        <v>43036</v>
      </c>
      <c r="G3407" s="301">
        <v>10193.6</v>
      </c>
      <c r="H3407" s="301">
        <f>Tabla15[[#This Row],[Importe]]-Tabla15[[#This Row],[Pagado]]</f>
        <v>0</v>
      </c>
      <c r="I3407" s="275" t="s">
        <v>15214</v>
      </c>
    </row>
    <row r="3408" spans="1:9" ht="15.75" x14ac:dyDescent="0.25">
      <c r="A3408" s="420">
        <v>43035</v>
      </c>
      <c r="B3408" s="302" t="s">
        <v>35116</v>
      </c>
      <c r="C3408">
        <v>132971</v>
      </c>
      <c r="D3408" s="248" t="s">
        <v>95</v>
      </c>
      <c r="E3408" s="301">
        <v>0</v>
      </c>
      <c r="F3408" s="243" t="s">
        <v>95</v>
      </c>
      <c r="G3408" s="301">
        <v>0</v>
      </c>
      <c r="H3408" s="301">
        <f>Tabla15[[#This Row],[Importe]]-Tabla15[[#This Row],[Pagado]]</f>
        <v>0</v>
      </c>
      <c r="I3408" s="275" t="s">
        <v>95</v>
      </c>
    </row>
    <row r="3409" spans="1:9" x14ac:dyDescent="0.25">
      <c r="A3409" s="420">
        <v>43035</v>
      </c>
      <c r="B3409" s="302" t="s">
        <v>35117</v>
      </c>
      <c r="C3409">
        <v>132972</v>
      </c>
      <c r="D3409" s="275" t="s">
        <v>15487</v>
      </c>
      <c r="E3409" s="301">
        <v>6258.9</v>
      </c>
      <c r="F3409" s="303">
        <v>43035</v>
      </c>
      <c r="G3409" s="301">
        <v>6258.9</v>
      </c>
      <c r="H3409" s="301">
        <f>Tabla15[[#This Row],[Importe]]-Tabla15[[#This Row],[Pagado]]</f>
        <v>0</v>
      </c>
      <c r="I3409" s="275" t="s">
        <v>15214</v>
      </c>
    </row>
    <row r="3410" spans="1:9" x14ac:dyDescent="0.25">
      <c r="A3410" s="420">
        <v>43035</v>
      </c>
      <c r="B3410" s="302" t="s">
        <v>35118</v>
      </c>
      <c r="C3410">
        <v>132973</v>
      </c>
      <c r="D3410" s="275" t="s">
        <v>5575</v>
      </c>
      <c r="E3410" s="301">
        <v>6127.3</v>
      </c>
      <c r="F3410" s="303">
        <v>43035</v>
      </c>
      <c r="G3410" s="301">
        <v>6127.3</v>
      </c>
      <c r="H3410" s="301">
        <f>Tabla15[[#This Row],[Importe]]-Tabla15[[#This Row],[Pagado]]</f>
        <v>0</v>
      </c>
      <c r="I3410" s="275" t="s">
        <v>15214</v>
      </c>
    </row>
    <row r="3411" spans="1:9" x14ac:dyDescent="0.25">
      <c r="A3411" s="420">
        <v>43035</v>
      </c>
      <c r="B3411" s="302" t="s">
        <v>35119</v>
      </c>
      <c r="C3411">
        <v>132974</v>
      </c>
      <c r="D3411" s="275" t="s">
        <v>15334</v>
      </c>
      <c r="E3411" s="301">
        <v>3304</v>
      </c>
      <c r="F3411" s="303">
        <v>43035</v>
      </c>
      <c r="G3411" s="301">
        <v>3304</v>
      </c>
      <c r="H3411" s="301">
        <f>Tabla15[[#This Row],[Importe]]-Tabla15[[#This Row],[Pagado]]</f>
        <v>0</v>
      </c>
      <c r="I3411" s="275" t="s">
        <v>15214</v>
      </c>
    </row>
    <row r="3412" spans="1:9" x14ac:dyDescent="0.25">
      <c r="A3412" s="420">
        <v>43035</v>
      </c>
      <c r="B3412" s="302" t="s">
        <v>35120</v>
      </c>
      <c r="C3412">
        <v>132975</v>
      </c>
      <c r="D3412" s="275" t="s">
        <v>5575</v>
      </c>
      <c r="E3412" s="301">
        <v>3577.5</v>
      </c>
      <c r="F3412" s="303">
        <v>43038</v>
      </c>
      <c r="G3412" s="301">
        <v>3577.5</v>
      </c>
      <c r="H3412" s="301">
        <f>Tabla15[[#This Row],[Importe]]-Tabla15[[#This Row],[Pagado]]</f>
        <v>0</v>
      </c>
      <c r="I3412" s="275" t="s">
        <v>15214</v>
      </c>
    </row>
    <row r="3413" spans="1:9" x14ac:dyDescent="0.25">
      <c r="A3413" s="420">
        <v>43035</v>
      </c>
      <c r="B3413" s="302" t="s">
        <v>35121</v>
      </c>
      <c r="C3413">
        <v>132976</v>
      </c>
      <c r="D3413" s="275" t="s">
        <v>15238</v>
      </c>
      <c r="E3413" s="301">
        <v>6311.2</v>
      </c>
      <c r="F3413" s="303">
        <v>43038</v>
      </c>
      <c r="G3413" s="301">
        <v>6311.2</v>
      </c>
      <c r="H3413" s="301">
        <f>Tabla15[[#This Row],[Importe]]-Tabla15[[#This Row],[Pagado]]</f>
        <v>0</v>
      </c>
      <c r="I3413" s="275" t="s">
        <v>15214</v>
      </c>
    </row>
    <row r="3414" spans="1:9" x14ac:dyDescent="0.25">
      <c r="A3414" s="420">
        <v>43035</v>
      </c>
      <c r="B3414" s="302" t="s">
        <v>35122</v>
      </c>
      <c r="C3414">
        <v>132977</v>
      </c>
      <c r="D3414" s="275" t="s">
        <v>15475</v>
      </c>
      <c r="E3414" s="301">
        <v>3138.2</v>
      </c>
      <c r="F3414" s="303">
        <v>43038</v>
      </c>
      <c r="G3414" s="301">
        <v>3138.2</v>
      </c>
      <c r="H3414" s="301">
        <f>Tabla15[[#This Row],[Importe]]-Tabla15[[#This Row],[Pagado]]</f>
        <v>0</v>
      </c>
      <c r="I3414" s="275" t="s">
        <v>15214</v>
      </c>
    </row>
    <row r="3415" spans="1:9" x14ac:dyDescent="0.25">
      <c r="A3415" s="420">
        <v>43035</v>
      </c>
      <c r="B3415" s="302" t="s">
        <v>35123</v>
      </c>
      <c r="C3415">
        <v>132978</v>
      </c>
      <c r="D3415" s="275" t="s">
        <v>17235</v>
      </c>
      <c r="E3415" s="301">
        <v>960</v>
      </c>
      <c r="F3415" s="303">
        <v>43035</v>
      </c>
      <c r="G3415" s="301">
        <v>960</v>
      </c>
      <c r="H3415" s="301">
        <f>Tabla15[[#This Row],[Importe]]-Tabla15[[#This Row],[Pagado]]</f>
        <v>0</v>
      </c>
      <c r="I3415" s="275" t="s">
        <v>15214</v>
      </c>
    </row>
    <row r="3416" spans="1:9" x14ac:dyDescent="0.25">
      <c r="A3416" s="420">
        <v>43035</v>
      </c>
      <c r="B3416" s="302" t="s">
        <v>35124</v>
      </c>
      <c r="C3416">
        <v>132979</v>
      </c>
      <c r="D3416" s="275" t="s">
        <v>15324</v>
      </c>
      <c r="E3416" s="301">
        <v>2790</v>
      </c>
      <c r="F3416" s="303">
        <v>43035</v>
      </c>
      <c r="G3416" s="301">
        <v>2790</v>
      </c>
      <c r="H3416" s="301">
        <f>Tabla15[[#This Row],[Importe]]-Tabla15[[#This Row],[Pagado]]</f>
        <v>0</v>
      </c>
      <c r="I3416" s="275" t="s">
        <v>15214</v>
      </c>
    </row>
    <row r="3417" spans="1:9" x14ac:dyDescent="0.25">
      <c r="A3417" s="420">
        <v>43035</v>
      </c>
      <c r="B3417" s="302" t="s">
        <v>35125</v>
      </c>
      <c r="C3417">
        <v>132980</v>
      </c>
      <c r="D3417" s="275" t="s">
        <v>15523</v>
      </c>
      <c r="E3417" s="301">
        <v>2640</v>
      </c>
      <c r="F3417" s="303">
        <v>43035</v>
      </c>
      <c r="G3417" s="301">
        <v>2640</v>
      </c>
      <c r="H3417" s="301">
        <f>Tabla15[[#This Row],[Importe]]-Tabla15[[#This Row],[Pagado]]</f>
        <v>0</v>
      </c>
      <c r="I3417" s="275" t="s">
        <v>15214</v>
      </c>
    </row>
    <row r="3418" spans="1:9" x14ac:dyDescent="0.25">
      <c r="A3418" s="420">
        <v>43035</v>
      </c>
      <c r="B3418" s="302" t="s">
        <v>35126</v>
      </c>
      <c r="C3418">
        <v>132981</v>
      </c>
      <c r="D3418" s="275" t="s">
        <v>15220</v>
      </c>
      <c r="E3418" s="301">
        <v>2400</v>
      </c>
      <c r="F3418" s="303">
        <v>43035</v>
      </c>
      <c r="G3418" s="301">
        <v>2400</v>
      </c>
      <c r="H3418" s="301">
        <f>Tabla15[[#This Row],[Importe]]-Tabla15[[#This Row],[Pagado]]</f>
        <v>0</v>
      </c>
      <c r="I3418" s="275" t="s">
        <v>15214</v>
      </c>
    </row>
    <row r="3419" spans="1:9" x14ac:dyDescent="0.25">
      <c r="A3419" s="420">
        <v>43035</v>
      </c>
      <c r="B3419" s="302" t="s">
        <v>35127</v>
      </c>
      <c r="C3419">
        <v>132982</v>
      </c>
      <c r="D3419" s="275" t="s">
        <v>15858</v>
      </c>
      <c r="E3419" s="301">
        <v>2682.64</v>
      </c>
      <c r="F3419" s="303">
        <v>43035</v>
      </c>
      <c r="G3419" s="301">
        <v>2682.64</v>
      </c>
      <c r="H3419" s="301">
        <f>Tabla15[[#This Row],[Importe]]-Tabla15[[#This Row],[Pagado]]</f>
        <v>0</v>
      </c>
      <c r="I3419" s="275" t="s">
        <v>15214</v>
      </c>
    </row>
    <row r="3420" spans="1:9" x14ac:dyDescent="0.25">
      <c r="A3420" s="420">
        <v>43035</v>
      </c>
      <c r="B3420" s="302" t="s">
        <v>35128</v>
      </c>
      <c r="C3420">
        <v>132983</v>
      </c>
      <c r="D3420" s="275" t="s">
        <v>15338</v>
      </c>
      <c r="E3420" s="301">
        <v>9968</v>
      </c>
      <c r="F3420" s="303">
        <v>43038</v>
      </c>
      <c r="G3420" s="301">
        <v>9968</v>
      </c>
      <c r="H3420" s="301">
        <f>Tabla15[[#This Row],[Importe]]-Tabla15[[#This Row],[Pagado]]</f>
        <v>0</v>
      </c>
      <c r="I3420" s="275" t="s">
        <v>15214</v>
      </c>
    </row>
    <row r="3421" spans="1:9" x14ac:dyDescent="0.25">
      <c r="A3421" s="420">
        <v>43035</v>
      </c>
      <c r="B3421" s="302" t="s">
        <v>35129</v>
      </c>
      <c r="C3421">
        <v>132984</v>
      </c>
      <c r="D3421" s="275" t="s">
        <v>15358</v>
      </c>
      <c r="E3421" s="301">
        <v>2913.6</v>
      </c>
      <c r="F3421" s="303">
        <v>43035</v>
      </c>
      <c r="G3421" s="301">
        <v>2913.6</v>
      </c>
      <c r="H3421" s="301">
        <f>Tabla15[[#This Row],[Importe]]-Tabla15[[#This Row],[Pagado]]</f>
        <v>0</v>
      </c>
      <c r="I3421" s="275" t="s">
        <v>15214</v>
      </c>
    </row>
    <row r="3422" spans="1:9" x14ac:dyDescent="0.25">
      <c r="A3422" s="420">
        <v>43035</v>
      </c>
      <c r="B3422" s="302" t="s">
        <v>35130</v>
      </c>
      <c r="C3422">
        <v>132985</v>
      </c>
      <c r="D3422" s="275" t="s">
        <v>17462</v>
      </c>
      <c r="E3422" s="301">
        <v>5917.3</v>
      </c>
      <c r="F3422" s="303">
        <v>43035</v>
      </c>
      <c r="G3422" s="301">
        <v>5917.3</v>
      </c>
      <c r="H3422" s="301">
        <f>Tabla15[[#This Row],[Importe]]-Tabla15[[#This Row],[Pagado]]</f>
        <v>0</v>
      </c>
      <c r="I3422" s="275" t="s">
        <v>15214</v>
      </c>
    </row>
    <row r="3423" spans="1:9" x14ac:dyDescent="0.25">
      <c r="A3423" s="420">
        <v>43035</v>
      </c>
      <c r="B3423" s="302" t="s">
        <v>35131</v>
      </c>
      <c r="C3423">
        <v>132986</v>
      </c>
      <c r="D3423" s="275" t="s">
        <v>15861</v>
      </c>
      <c r="E3423" s="301">
        <v>3092.7</v>
      </c>
      <c r="F3423" s="303">
        <v>43035</v>
      </c>
      <c r="G3423" s="301">
        <v>3092.7</v>
      </c>
      <c r="H3423" s="301">
        <f>Tabla15[[#This Row],[Importe]]-Tabla15[[#This Row],[Pagado]]</f>
        <v>0</v>
      </c>
      <c r="I3423" s="275" t="s">
        <v>15214</v>
      </c>
    </row>
    <row r="3424" spans="1:9" x14ac:dyDescent="0.25">
      <c r="A3424" s="420">
        <v>43035</v>
      </c>
      <c r="B3424" s="302" t="s">
        <v>35132</v>
      </c>
      <c r="C3424">
        <v>132987</v>
      </c>
      <c r="D3424" s="275" t="s">
        <v>15236</v>
      </c>
      <c r="E3424" s="301">
        <v>2902.2</v>
      </c>
      <c r="F3424" s="303">
        <v>43038</v>
      </c>
      <c r="G3424" s="301">
        <v>2902.2</v>
      </c>
      <c r="H3424" s="301">
        <f>Tabla15[[#This Row],[Importe]]-Tabla15[[#This Row],[Pagado]]</f>
        <v>0</v>
      </c>
      <c r="I3424" s="275" t="s">
        <v>15214</v>
      </c>
    </row>
    <row r="3425" spans="1:9" x14ac:dyDescent="0.25">
      <c r="A3425" s="420">
        <v>43035</v>
      </c>
      <c r="B3425" s="302" t="s">
        <v>35133</v>
      </c>
      <c r="C3425">
        <v>132988</v>
      </c>
      <c r="D3425" s="275" t="s">
        <v>15526</v>
      </c>
      <c r="E3425" s="301">
        <v>7755</v>
      </c>
      <c r="F3425" s="303">
        <v>43035</v>
      </c>
      <c r="G3425" s="301">
        <v>7755</v>
      </c>
      <c r="H3425" s="301">
        <f>Tabla15[[#This Row],[Importe]]-Tabla15[[#This Row],[Pagado]]</f>
        <v>0</v>
      </c>
      <c r="I3425" s="275" t="s">
        <v>15214</v>
      </c>
    </row>
    <row r="3426" spans="1:9" x14ac:dyDescent="0.25">
      <c r="A3426" s="420">
        <v>43035</v>
      </c>
      <c r="B3426" s="302" t="s">
        <v>35134</v>
      </c>
      <c r="C3426">
        <v>132989</v>
      </c>
      <c r="D3426" s="275" t="s">
        <v>15246</v>
      </c>
      <c r="E3426" s="301">
        <v>8078</v>
      </c>
      <c r="F3426" s="303">
        <v>43038</v>
      </c>
      <c r="G3426" s="301">
        <v>8078</v>
      </c>
      <c r="H3426" s="301">
        <f>Tabla15[[#This Row],[Importe]]-Tabla15[[#This Row],[Pagado]]</f>
        <v>0</v>
      </c>
      <c r="I3426" s="275" t="s">
        <v>15214</v>
      </c>
    </row>
    <row r="3427" spans="1:9" x14ac:dyDescent="0.25">
      <c r="A3427" s="420">
        <v>43035</v>
      </c>
      <c r="B3427" s="302" t="s">
        <v>35135</v>
      </c>
      <c r="C3427">
        <v>132990</v>
      </c>
      <c r="D3427" s="275" t="s">
        <v>15336</v>
      </c>
      <c r="E3427" s="301">
        <v>7885.2</v>
      </c>
      <c r="F3427" s="303">
        <v>43035</v>
      </c>
      <c r="G3427" s="301">
        <v>7885.2</v>
      </c>
      <c r="H3427" s="301">
        <f>Tabla15[[#This Row],[Importe]]-Tabla15[[#This Row],[Pagado]]</f>
        <v>0</v>
      </c>
      <c r="I3427" s="275" t="s">
        <v>15214</v>
      </c>
    </row>
    <row r="3428" spans="1:9" x14ac:dyDescent="0.25">
      <c r="A3428" s="420">
        <v>43035</v>
      </c>
      <c r="B3428" s="302" t="s">
        <v>35136</v>
      </c>
      <c r="C3428">
        <v>132991</v>
      </c>
      <c r="D3428" s="275" t="s">
        <v>15340</v>
      </c>
      <c r="E3428" s="301">
        <v>8751</v>
      </c>
      <c r="F3428" s="303">
        <v>43035</v>
      </c>
      <c r="G3428" s="301">
        <v>8751</v>
      </c>
      <c r="H3428" s="301">
        <f>Tabla15[[#This Row],[Importe]]-Tabla15[[#This Row],[Pagado]]</f>
        <v>0</v>
      </c>
      <c r="I3428" s="275" t="s">
        <v>15214</v>
      </c>
    </row>
    <row r="3429" spans="1:9" x14ac:dyDescent="0.25">
      <c r="A3429" s="420">
        <v>43035</v>
      </c>
      <c r="B3429" s="302" t="s">
        <v>35137</v>
      </c>
      <c r="C3429">
        <v>132992</v>
      </c>
      <c r="D3429" s="275" t="s">
        <v>15668</v>
      </c>
      <c r="E3429" s="301">
        <v>24864.2</v>
      </c>
      <c r="F3429" s="303">
        <v>43039</v>
      </c>
      <c r="G3429" s="301">
        <v>24864.2</v>
      </c>
      <c r="H3429" s="301">
        <f>Tabla15[[#This Row],[Importe]]-Tabla15[[#This Row],[Pagado]]</f>
        <v>0</v>
      </c>
      <c r="I3429" s="275" t="s">
        <v>15214</v>
      </c>
    </row>
    <row r="3430" spans="1:9" x14ac:dyDescent="0.25">
      <c r="A3430" s="420">
        <v>43035</v>
      </c>
      <c r="B3430" s="302" t="s">
        <v>35138</v>
      </c>
      <c r="C3430">
        <v>132993</v>
      </c>
      <c r="D3430" s="275" t="s">
        <v>15226</v>
      </c>
      <c r="E3430" s="301">
        <v>1852.2</v>
      </c>
      <c r="F3430" s="303">
        <v>43036</v>
      </c>
      <c r="G3430" s="301">
        <v>1852.2</v>
      </c>
      <c r="H3430" s="301">
        <f>Tabla15[[#This Row],[Importe]]-Tabla15[[#This Row],[Pagado]]</f>
        <v>0</v>
      </c>
      <c r="I3430" s="275" t="s">
        <v>15214</v>
      </c>
    </row>
    <row r="3431" spans="1:9" x14ac:dyDescent="0.25">
      <c r="A3431" s="420">
        <v>43035</v>
      </c>
      <c r="B3431" s="302" t="s">
        <v>35139</v>
      </c>
      <c r="C3431">
        <v>132994</v>
      </c>
      <c r="D3431" s="275" t="s">
        <v>15256</v>
      </c>
      <c r="E3431" s="301">
        <v>1335.6</v>
      </c>
      <c r="F3431" s="303">
        <v>43039</v>
      </c>
      <c r="G3431" s="301">
        <v>1335.6</v>
      </c>
      <c r="H3431" s="301">
        <f>Tabla15[[#This Row],[Importe]]-Tabla15[[#This Row],[Pagado]]</f>
        <v>0</v>
      </c>
      <c r="I3431" s="275" t="s">
        <v>15214</v>
      </c>
    </row>
    <row r="3432" spans="1:9" x14ac:dyDescent="0.25">
      <c r="A3432" s="420">
        <v>43035</v>
      </c>
      <c r="B3432" s="302" t="s">
        <v>35140</v>
      </c>
      <c r="C3432">
        <v>132995</v>
      </c>
      <c r="D3432" s="275" t="s">
        <v>15328</v>
      </c>
      <c r="E3432" s="301">
        <v>32471.1</v>
      </c>
      <c r="F3432" s="303">
        <v>43048</v>
      </c>
      <c r="G3432" s="301">
        <v>32471.1</v>
      </c>
      <c r="H3432" s="301">
        <f>Tabla15[[#This Row],[Importe]]-Tabla15[[#This Row],[Pagado]]</f>
        <v>0</v>
      </c>
      <c r="I3432" s="275" t="s">
        <v>15214</v>
      </c>
    </row>
    <row r="3433" spans="1:9" x14ac:dyDescent="0.25">
      <c r="A3433" s="420">
        <v>43035</v>
      </c>
      <c r="B3433" s="302" t="s">
        <v>35141</v>
      </c>
      <c r="C3433">
        <v>132996</v>
      </c>
      <c r="D3433" s="275" t="s">
        <v>15332</v>
      </c>
      <c r="E3433" s="301">
        <v>4068.1</v>
      </c>
      <c r="F3433" s="303">
        <v>43035</v>
      </c>
      <c r="G3433" s="301">
        <v>4068.1</v>
      </c>
      <c r="H3433" s="301">
        <f>Tabla15[[#This Row],[Importe]]-Tabla15[[#This Row],[Pagado]]</f>
        <v>0</v>
      </c>
      <c r="I3433" s="275" t="s">
        <v>15214</v>
      </c>
    </row>
    <row r="3434" spans="1:9" x14ac:dyDescent="0.25">
      <c r="A3434" s="420">
        <v>43035</v>
      </c>
      <c r="B3434" s="302" t="s">
        <v>35142</v>
      </c>
      <c r="C3434">
        <v>132997</v>
      </c>
      <c r="D3434" s="275" t="s">
        <v>15348</v>
      </c>
      <c r="E3434" s="301">
        <v>1139.4000000000001</v>
      </c>
      <c r="F3434" s="303">
        <v>43036</v>
      </c>
      <c r="G3434" s="301">
        <v>1139.4000000000001</v>
      </c>
      <c r="H3434" s="301">
        <f>Tabla15[[#This Row],[Importe]]-Tabla15[[#This Row],[Pagado]]</f>
        <v>0</v>
      </c>
      <c r="I3434" s="275" t="s">
        <v>15214</v>
      </c>
    </row>
    <row r="3435" spans="1:9" x14ac:dyDescent="0.25">
      <c r="A3435" s="420">
        <v>43035</v>
      </c>
      <c r="B3435" s="302" t="s">
        <v>35143</v>
      </c>
      <c r="C3435">
        <v>132998</v>
      </c>
      <c r="D3435" s="275" t="s">
        <v>15240</v>
      </c>
      <c r="E3435" s="301">
        <v>2892.9</v>
      </c>
      <c r="F3435" s="303">
        <v>43036</v>
      </c>
      <c r="G3435" s="301">
        <v>2892.9</v>
      </c>
      <c r="H3435" s="301">
        <f>Tabla15[[#This Row],[Importe]]-Tabla15[[#This Row],[Pagado]]</f>
        <v>0</v>
      </c>
      <c r="I3435" s="275" t="s">
        <v>15214</v>
      </c>
    </row>
    <row r="3436" spans="1:9" ht="30" x14ac:dyDescent="0.25">
      <c r="A3436" s="420">
        <v>43035</v>
      </c>
      <c r="B3436" s="302" t="s">
        <v>35144</v>
      </c>
      <c r="C3436">
        <v>132999</v>
      </c>
      <c r="D3436" s="275" t="s">
        <v>15250</v>
      </c>
      <c r="E3436" s="301">
        <v>107214.5</v>
      </c>
      <c r="F3436" s="426" t="s">
        <v>35720</v>
      </c>
      <c r="G3436" s="305">
        <f>29532.21+77682.29</f>
        <v>107214.5</v>
      </c>
      <c r="H3436" s="305">
        <f>Tabla15[[#This Row],[Importe]]-Tabla15[[#This Row],[Pagado]]</f>
        <v>0</v>
      </c>
      <c r="I3436" s="275" t="s">
        <v>15214</v>
      </c>
    </row>
    <row r="3437" spans="1:9" x14ac:dyDescent="0.25">
      <c r="A3437" s="420">
        <v>43035</v>
      </c>
      <c r="B3437" s="302" t="s">
        <v>35145</v>
      </c>
      <c r="C3437">
        <v>133000</v>
      </c>
      <c r="D3437" s="275" t="s">
        <v>15344</v>
      </c>
      <c r="E3437" s="301">
        <v>2420</v>
      </c>
      <c r="F3437" s="303">
        <v>43035</v>
      </c>
      <c r="G3437" s="301">
        <v>2420</v>
      </c>
      <c r="H3437" s="301">
        <f>Tabla15[[#This Row],[Importe]]-Tabla15[[#This Row],[Pagado]]</f>
        <v>0</v>
      </c>
      <c r="I3437" s="275" t="s">
        <v>15214</v>
      </c>
    </row>
    <row r="3438" spans="1:9" ht="30" x14ac:dyDescent="0.25">
      <c r="A3438" s="420">
        <v>43035</v>
      </c>
      <c r="B3438" s="302" t="s">
        <v>35146</v>
      </c>
      <c r="C3438">
        <v>133001</v>
      </c>
      <c r="D3438" s="275" t="s">
        <v>15223</v>
      </c>
      <c r="E3438" s="301">
        <v>46745.2</v>
      </c>
      <c r="F3438" s="303" t="s">
        <v>35727</v>
      </c>
      <c r="G3438" s="305">
        <f>36275.98+10469.22</f>
        <v>46745.200000000004</v>
      </c>
      <c r="H3438" s="305">
        <f>Tabla15[[#This Row],[Importe]]-Tabla15[[#This Row],[Pagado]]</f>
        <v>0</v>
      </c>
      <c r="I3438" s="275" t="s">
        <v>15214</v>
      </c>
    </row>
    <row r="3439" spans="1:9" x14ac:dyDescent="0.25">
      <c r="A3439" s="420">
        <v>43035</v>
      </c>
      <c r="B3439" s="302" t="s">
        <v>35147</v>
      </c>
      <c r="C3439">
        <v>133002</v>
      </c>
      <c r="D3439" s="275" t="s">
        <v>18544</v>
      </c>
      <c r="E3439" s="301">
        <v>5708</v>
      </c>
      <c r="F3439" s="303">
        <v>43035</v>
      </c>
      <c r="G3439" s="301">
        <v>5708</v>
      </c>
      <c r="H3439" s="301">
        <f>Tabla15[[#This Row],[Importe]]-Tabla15[[#This Row],[Pagado]]</f>
        <v>0</v>
      </c>
      <c r="I3439" s="275" t="s">
        <v>15214</v>
      </c>
    </row>
    <row r="3440" spans="1:9" ht="15.75" x14ac:dyDescent="0.25">
      <c r="A3440" s="420">
        <v>43035</v>
      </c>
      <c r="B3440" s="302" t="s">
        <v>35148</v>
      </c>
      <c r="C3440">
        <v>133003</v>
      </c>
      <c r="D3440" s="282" t="s">
        <v>95</v>
      </c>
      <c r="E3440" s="301">
        <v>0</v>
      </c>
      <c r="F3440" s="243" t="s">
        <v>95</v>
      </c>
      <c r="G3440" s="301">
        <v>0</v>
      </c>
      <c r="H3440" s="301">
        <f>Tabla15[[#This Row],[Importe]]-Tabla15[[#This Row],[Pagado]]</f>
        <v>0</v>
      </c>
      <c r="I3440" s="275" t="s">
        <v>95</v>
      </c>
    </row>
    <row r="3441" spans="1:9" x14ac:dyDescent="0.25">
      <c r="A3441" s="420">
        <v>43035</v>
      </c>
      <c r="B3441" s="302" t="s">
        <v>35149</v>
      </c>
      <c r="C3441">
        <v>133004</v>
      </c>
      <c r="D3441" s="275" t="s">
        <v>15309</v>
      </c>
      <c r="E3441" s="301">
        <v>7518.4</v>
      </c>
      <c r="F3441" s="303">
        <v>43035</v>
      </c>
      <c r="G3441" s="301">
        <v>7518.4</v>
      </c>
      <c r="H3441" s="301">
        <f>Tabla15[[#This Row],[Importe]]-Tabla15[[#This Row],[Pagado]]</f>
        <v>0</v>
      </c>
      <c r="I3441" s="275" t="s">
        <v>15214</v>
      </c>
    </row>
    <row r="3442" spans="1:9" x14ac:dyDescent="0.25">
      <c r="A3442" s="420">
        <v>43035</v>
      </c>
      <c r="B3442" s="302" t="s">
        <v>35150</v>
      </c>
      <c r="C3442">
        <v>133005</v>
      </c>
      <c r="D3442" s="275" t="s">
        <v>15315</v>
      </c>
      <c r="E3442" s="301">
        <v>883.2</v>
      </c>
      <c r="F3442" s="303">
        <v>43035</v>
      </c>
      <c r="G3442" s="301">
        <v>883.2</v>
      </c>
      <c r="H3442" s="301">
        <f>Tabla15[[#This Row],[Importe]]-Tabla15[[#This Row],[Pagado]]</f>
        <v>0</v>
      </c>
      <c r="I3442" s="275" t="s">
        <v>15214</v>
      </c>
    </row>
    <row r="3443" spans="1:9" x14ac:dyDescent="0.25">
      <c r="A3443" s="420">
        <v>43035</v>
      </c>
      <c r="B3443" s="302" t="s">
        <v>35151</v>
      </c>
      <c r="C3443">
        <v>133006</v>
      </c>
      <c r="D3443" s="275" t="s">
        <v>17800</v>
      </c>
      <c r="E3443" s="301">
        <v>644</v>
      </c>
      <c r="F3443" s="303">
        <v>43035</v>
      </c>
      <c r="G3443" s="301">
        <v>644</v>
      </c>
      <c r="H3443" s="301">
        <f>Tabla15[[#This Row],[Importe]]-Tabla15[[#This Row],[Pagado]]</f>
        <v>0</v>
      </c>
      <c r="I3443" s="275" t="s">
        <v>15214</v>
      </c>
    </row>
    <row r="3444" spans="1:9" x14ac:dyDescent="0.25">
      <c r="A3444" s="420">
        <v>43035</v>
      </c>
      <c r="B3444" s="302" t="s">
        <v>35152</v>
      </c>
      <c r="C3444">
        <v>133007</v>
      </c>
      <c r="D3444" s="275" t="s">
        <v>29500</v>
      </c>
      <c r="E3444" s="301">
        <v>4320</v>
      </c>
      <c r="F3444" s="303">
        <v>43035</v>
      </c>
      <c r="G3444" s="301">
        <v>4320</v>
      </c>
      <c r="H3444" s="301">
        <f>Tabla15[[#This Row],[Importe]]-Tabla15[[#This Row],[Pagado]]</f>
        <v>0</v>
      </c>
      <c r="I3444" s="275" t="s">
        <v>15214</v>
      </c>
    </row>
    <row r="3445" spans="1:9" x14ac:dyDescent="0.25">
      <c r="A3445" s="420">
        <v>43035</v>
      </c>
      <c r="B3445" s="302" t="s">
        <v>35153</v>
      </c>
      <c r="C3445">
        <v>133008</v>
      </c>
      <c r="D3445" s="275" t="s">
        <v>15596</v>
      </c>
      <c r="E3445" s="301">
        <v>1200</v>
      </c>
      <c r="F3445" s="303">
        <v>43035</v>
      </c>
      <c r="G3445" s="301">
        <v>1200</v>
      </c>
      <c r="H3445" s="301">
        <f>Tabla15[[#This Row],[Importe]]-Tabla15[[#This Row],[Pagado]]</f>
        <v>0</v>
      </c>
      <c r="I3445" s="275" t="s">
        <v>15214</v>
      </c>
    </row>
    <row r="3446" spans="1:9" x14ac:dyDescent="0.25">
      <c r="A3446" s="420">
        <v>43035</v>
      </c>
      <c r="B3446" s="302" t="s">
        <v>35154</v>
      </c>
      <c r="C3446">
        <v>133009</v>
      </c>
      <c r="D3446" s="275" t="s">
        <v>15303</v>
      </c>
      <c r="E3446" s="301">
        <v>3003</v>
      </c>
      <c r="F3446" s="303">
        <v>43035</v>
      </c>
      <c r="G3446" s="301">
        <v>3003</v>
      </c>
      <c r="H3446" s="301">
        <f>Tabla15[[#This Row],[Importe]]-Tabla15[[#This Row],[Pagado]]</f>
        <v>0</v>
      </c>
      <c r="I3446" s="275" t="s">
        <v>15214</v>
      </c>
    </row>
    <row r="3447" spans="1:9" x14ac:dyDescent="0.25">
      <c r="A3447" s="420">
        <v>43035</v>
      </c>
      <c r="B3447" s="302" t="s">
        <v>35155</v>
      </c>
      <c r="C3447">
        <v>133010</v>
      </c>
      <c r="D3447" s="275" t="s">
        <v>15311</v>
      </c>
      <c r="E3447" s="301">
        <v>2346</v>
      </c>
      <c r="F3447" s="303">
        <v>43035</v>
      </c>
      <c r="G3447" s="301">
        <v>2346</v>
      </c>
      <c r="H3447" s="301">
        <f>Tabla15[[#This Row],[Importe]]-Tabla15[[#This Row],[Pagado]]</f>
        <v>0</v>
      </c>
      <c r="I3447" s="275" t="s">
        <v>15214</v>
      </c>
    </row>
    <row r="3448" spans="1:9" x14ac:dyDescent="0.25">
      <c r="A3448" s="420">
        <v>43035</v>
      </c>
      <c r="B3448" s="302" t="s">
        <v>35156</v>
      </c>
      <c r="C3448">
        <v>133011</v>
      </c>
      <c r="D3448" s="275" t="s">
        <v>5828</v>
      </c>
      <c r="E3448" s="301">
        <v>9035.6</v>
      </c>
      <c r="F3448" s="303">
        <v>43035</v>
      </c>
      <c r="G3448" s="301">
        <v>9035.6</v>
      </c>
      <c r="H3448" s="301">
        <f>Tabla15[[#This Row],[Importe]]-Tabla15[[#This Row],[Pagado]]</f>
        <v>0</v>
      </c>
      <c r="I3448" s="275" t="s">
        <v>15214</v>
      </c>
    </row>
    <row r="3449" spans="1:9" x14ac:dyDescent="0.25">
      <c r="A3449" s="420">
        <v>43035</v>
      </c>
      <c r="B3449" s="302" t="s">
        <v>35157</v>
      </c>
      <c r="C3449">
        <v>133012</v>
      </c>
      <c r="D3449" s="275" t="s">
        <v>15307</v>
      </c>
      <c r="E3449" s="301">
        <v>5064.3999999999996</v>
      </c>
      <c r="F3449" s="303">
        <v>43035</v>
      </c>
      <c r="G3449" s="301">
        <v>5064.3999999999996</v>
      </c>
      <c r="H3449" s="301">
        <f>Tabla15[[#This Row],[Importe]]-Tabla15[[#This Row],[Pagado]]</f>
        <v>0</v>
      </c>
      <c r="I3449" s="275" t="s">
        <v>15214</v>
      </c>
    </row>
    <row r="3450" spans="1:9" x14ac:dyDescent="0.25">
      <c r="A3450" s="420">
        <v>43035</v>
      </c>
      <c r="B3450" s="302" t="s">
        <v>35158</v>
      </c>
      <c r="C3450">
        <v>133013</v>
      </c>
      <c r="D3450" s="275" t="s">
        <v>15415</v>
      </c>
      <c r="E3450" s="301">
        <v>2965.6</v>
      </c>
      <c r="F3450" s="303">
        <v>43039</v>
      </c>
      <c r="G3450" s="301">
        <v>2965.6</v>
      </c>
      <c r="H3450" s="301">
        <f>Tabla15[[#This Row],[Importe]]-Tabla15[[#This Row],[Pagado]]</f>
        <v>0</v>
      </c>
      <c r="I3450" s="275" t="s">
        <v>15214</v>
      </c>
    </row>
    <row r="3451" spans="1:9" x14ac:dyDescent="0.25">
      <c r="A3451" s="420">
        <v>43035</v>
      </c>
      <c r="B3451" s="302" t="s">
        <v>35159</v>
      </c>
      <c r="C3451">
        <v>133014</v>
      </c>
      <c r="D3451" s="275" t="s">
        <v>15263</v>
      </c>
      <c r="E3451" s="301">
        <v>2471</v>
      </c>
      <c r="F3451" s="303">
        <v>43035</v>
      </c>
      <c r="G3451" s="301">
        <v>2471</v>
      </c>
      <c r="H3451" s="301">
        <f>Tabla15[[#This Row],[Importe]]-Tabla15[[#This Row],[Pagado]]</f>
        <v>0</v>
      </c>
      <c r="I3451" s="275" t="s">
        <v>15214</v>
      </c>
    </row>
    <row r="3452" spans="1:9" x14ac:dyDescent="0.25">
      <c r="A3452" s="420">
        <v>43035</v>
      </c>
      <c r="B3452" s="302" t="s">
        <v>35160</v>
      </c>
      <c r="C3452">
        <v>133015</v>
      </c>
      <c r="D3452" s="275" t="s">
        <v>15315</v>
      </c>
      <c r="E3452" s="301">
        <v>12668.6</v>
      </c>
      <c r="F3452" s="303">
        <v>43035</v>
      </c>
      <c r="G3452" s="301">
        <v>12668.6</v>
      </c>
      <c r="H3452" s="301">
        <f>Tabla15[[#This Row],[Importe]]-Tabla15[[#This Row],[Pagado]]</f>
        <v>0</v>
      </c>
      <c r="I3452" s="275" t="s">
        <v>15214</v>
      </c>
    </row>
    <row r="3453" spans="1:9" x14ac:dyDescent="0.25">
      <c r="A3453" s="420">
        <v>43035</v>
      </c>
      <c r="B3453" s="302" t="s">
        <v>35161</v>
      </c>
      <c r="C3453">
        <v>133016</v>
      </c>
      <c r="D3453" s="275" t="s">
        <v>15284</v>
      </c>
      <c r="E3453" s="301">
        <v>1648.5</v>
      </c>
      <c r="F3453" s="303">
        <v>43035</v>
      </c>
      <c r="G3453" s="301">
        <v>1648.5</v>
      </c>
      <c r="H3453" s="301">
        <f>Tabla15[[#This Row],[Importe]]-Tabla15[[#This Row],[Pagado]]</f>
        <v>0</v>
      </c>
      <c r="I3453" s="275" t="s">
        <v>15214</v>
      </c>
    </row>
    <row r="3454" spans="1:9" x14ac:dyDescent="0.25">
      <c r="A3454" s="420">
        <v>43035</v>
      </c>
      <c r="B3454" s="302" t="s">
        <v>35162</v>
      </c>
      <c r="C3454">
        <v>133017</v>
      </c>
      <c r="D3454" s="275" t="s">
        <v>15291</v>
      </c>
      <c r="E3454" s="301">
        <v>864</v>
      </c>
      <c r="F3454" s="303">
        <v>43035</v>
      </c>
      <c r="G3454" s="301">
        <v>864</v>
      </c>
      <c r="H3454" s="301">
        <f>Tabla15[[#This Row],[Importe]]-Tabla15[[#This Row],[Pagado]]</f>
        <v>0</v>
      </c>
      <c r="I3454" s="275" t="s">
        <v>15214</v>
      </c>
    </row>
    <row r="3455" spans="1:9" x14ac:dyDescent="0.25">
      <c r="A3455" s="420">
        <v>43035</v>
      </c>
      <c r="B3455" s="302" t="s">
        <v>35163</v>
      </c>
      <c r="C3455">
        <v>133018</v>
      </c>
      <c r="D3455" s="275" t="s">
        <v>15301</v>
      </c>
      <c r="E3455" s="301">
        <v>7209</v>
      </c>
      <c r="F3455" s="303">
        <v>43035</v>
      </c>
      <c r="G3455" s="301">
        <v>7209</v>
      </c>
      <c r="H3455" s="301">
        <f>Tabla15[[#This Row],[Importe]]-Tabla15[[#This Row],[Pagado]]</f>
        <v>0</v>
      </c>
      <c r="I3455" s="275" t="s">
        <v>15214</v>
      </c>
    </row>
    <row r="3456" spans="1:9" x14ac:dyDescent="0.25">
      <c r="A3456" s="420">
        <v>43035</v>
      </c>
      <c r="B3456" s="302" t="s">
        <v>35164</v>
      </c>
      <c r="C3456">
        <v>133019</v>
      </c>
      <c r="D3456" s="275" t="s">
        <v>15261</v>
      </c>
      <c r="E3456" s="301">
        <v>1134</v>
      </c>
      <c r="F3456" s="303">
        <v>43035</v>
      </c>
      <c r="G3456" s="301">
        <v>1134</v>
      </c>
      <c r="H3456" s="301">
        <f>Tabla15[[#This Row],[Importe]]-Tabla15[[#This Row],[Pagado]]</f>
        <v>0</v>
      </c>
      <c r="I3456" s="275" t="s">
        <v>15214</v>
      </c>
    </row>
    <row r="3457" spans="1:9" x14ac:dyDescent="0.25">
      <c r="A3457" s="420">
        <v>43035</v>
      </c>
      <c r="B3457" s="302" t="s">
        <v>35165</v>
      </c>
      <c r="C3457">
        <v>133020</v>
      </c>
      <c r="D3457" s="275" t="s">
        <v>15326</v>
      </c>
      <c r="E3457" s="301">
        <v>3211.3</v>
      </c>
      <c r="F3457" s="303">
        <v>43035</v>
      </c>
      <c r="G3457" s="301">
        <v>3211.3</v>
      </c>
      <c r="H3457" s="301">
        <f>Tabla15[[#This Row],[Importe]]-Tabla15[[#This Row],[Pagado]]</f>
        <v>0</v>
      </c>
      <c r="I3457" s="275" t="s">
        <v>15214</v>
      </c>
    </row>
    <row r="3458" spans="1:9" x14ac:dyDescent="0.25">
      <c r="A3458" s="420">
        <v>43035</v>
      </c>
      <c r="B3458" s="302" t="s">
        <v>35166</v>
      </c>
      <c r="C3458">
        <v>133021</v>
      </c>
      <c r="D3458" s="275" t="s">
        <v>15278</v>
      </c>
      <c r="E3458" s="301">
        <v>7544.4</v>
      </c>
      <c r="F3458" s="303">
        <v>43035</v>
      </c>
      <c r="G3458" s="301">
        <v>7544.4</v>
      </c>
      <c r="H3458" s="301">
        <f>Tabla15[[#This Row],[Importe]]-Tabla15[[#This Row],[Pagado]]</f>
        <v>0</v>
      </c>
      <c r="I3458" s="275" t="s">
        <v>15214</v>
      </c>
    </row>
    <row r="3459" spans="1:9" x14ac:dyDescent="0.25">
      <c r="A3459" s="420">
        <v>43035</v>
      </c>
      <c r="B3459" s="302" t="s">
        <v>35167</v>
      </c>
      <c r="C3459">
        <v>133022</v>
      </c>
      <c r="D3459" s="275" t="s">
        <v>15248</v>
      </c>
      <c r="E3459" s="301">
        <v>31612.05</v>
      </c>
      <c r="F3459" s="303">
        <v>43035</v>
      </c>
      <c r="G3459" s="301">
        <v>31612.05</v>
      </c>
      <c r="H3459" s="301">
        <f>Tabla15[[#This Row],[Importe]]-Tabla15[[#This Row],[Pagado]]</f>
        <v>0</v>
      </c>
      <c r="I3459" s="275" t="s">
        <v>15214</v>
      </c>
    </row>
    <row r="3460" spans="1:9" ht="15.75" x14ac:dyDescent="0.25">
      <c r="A3460" s="420">
        <v>43035</v>
      </c>
      <c r="B3460" s="302" t="s">
        <v>35168</v>
      </c>
      <c r="C3460">
        <v>133023</v>
      </c>
      <c r="D3460" s="248" t="s">
        <v>95</v>
      </c>
      <c r="E3460" s="301">
        <v>0</v>
      </c>
      <c r="F3460" s="243" t="s">
        <v>95</v>
      </c>
      <c r="G3460" s="301">
        <v>0</v>
      </c>
      <c r="H3460" s="301">
        <f>Tabla15[[#This Row],[Importe]]-Tabla15[[#This Row],[Pagado]]</f>
        <v>0</v>
      </c>
      <c r="I3460" s="275" t="s">
        <v>95</v>
      </c>
    </row>
    <row r="3461" spans="1:9" x14ac:dyDescent="0.25">
      <c r="A3461" s="420">
        <v>43035</v>
      </c>
      <c r="B3461" s="302" t="s">
        <v>35169</v>
      </c>
      <c r="C3461">
        <v>133024</v>
      </c>
      <c r="D3461" s="275" t="s">
        <v>15326</v>
      </c>
      <c r="E3461" s="301">
        <v>6665.3</v>
      </c>
      <c r="F3461" s="303">
        <v>43035</v>
      </c>
      <c r="G3461" s="301">
        <v>6665.3</v>
      </c>
      <c r="H3461" s="301">
        <f>Tabla15[[#This Row],[Importe]]-Tabla15[[#This Row],[Pagado]]</f>
        <v>0</v>
      </c>
      <c r="I3461" s="275" t="s">
        <v>15214</v>
      </c>
    </row>
    <row r="3462" spans="1:9" x14ac:dyDescent="0.25">
      <c r="A3462" s="420">
        <v>43035</v>
      </c>
      <c r="B3462" s="302" t="s">
        <v>35170</v>
      </c>
      <c r="C3462">
        <v>133025</v>
      </c>
      <c r="D3462" s="275" t="s">
        <v>15258</v>
      </c>
      <c r="E3462" s="301">
        <v>13280.55</v>
      </c>
      <c r="F3462" s="303">
        <v>43038</v>
      </c>
      <c r="G3462" s="301">
        <v>13280.55</v>
      </c>
      <c r="H3462" s="301">
        <f>Tabla15[[#This Row],[Importe]]-Tabla15[[#This Row],[Pagado]]</f>
        <v>0</v>
      </c>
      <c r="I3462" s="275" t="s">
        <v>15214</v>
      </c>
    </row>
    <row r="3463" spans="1:9" x14ac:dyDescent="0.25">
      <c r="A3463" s="420">
        <v>43035</v>
      </c>
      <c r="B3463" s="302" t="s">
        <v>35171</v>
      </c>
      <c r="C3463">
        <v>133026</v>
      </c>
      <c r="D3463" s="275" t="s">
        <v>15421</v>
      </c>
      <c r="E3463" s="301">
        <v>400</v>
      </c>
      <c r="F3463" s="303">
        <v>43035</v>
      </c>
      <c r="G3463" s="301">
        <v>400</v>
      </c>
      <c r="H3463" s="301">
        <f>Tabla15[[#This Row],[Importe]]-Tabla15[[#This Row],[Pagado]]</f>
        <v>0</v>
      </c>
      <c r="I3463" s="275" t="s">
        <v>15214</v>
      </c>
    </row>
    <row r="3464" spans="1:9" x14ac:dyDescent="0.25">
      <c r="A3464" s="420">
        <v>43035</v>
      </c>
      <c r="B3464" s="302" t="s">
        <v>35172</v>
      </c>
      <c r="C3464">
        <v>133027</v>
      </c>
      <c r="D3464" s="275" t="s">
        <v>15367</v>
      </c>
      <c r="E3464" s="301">
        <v>5900</v>
      </c>
      <c r="F3464" s="303">
        <v>43036</v>
      </c>
      <c r="G3464" s="301">
        <v>5900</v>
      </c>
      <c r="H3464" s="301">
        <f>Tabla15[[#This Row],[Importe]]-Tabla15[[#This Row],[Pagado]]</f>
        <v>0</v>
      </c>
      <c r="I3464" s="275" t="s">
        <v>15214</v>
      </c>
    </row>
    <row r="3465" spans="1:9" x14ac:dyDescent="0.25">
      <c r="A3465" s="420">
        <v>43035</v>
      </c>
      <c r="B3465" s="302" t="s">
        <v>35173</v>
      </c>
      <c r="C3465">
        <v>133028</v>
      </c>
      <c r="D3465" s="275" t="s">
        <v>15421</v>
      </c>
      <c r="E3465" s="301">
        <v>382.5</v>
      </c>
      <c r="F3465" s="303">
        <v>43035</v>
      </c>
      <c r="G3465" s="301">
        <v>382.5</v>
      </c>
      <c r="H3465" s="301">
        <f>Tabla15[[#This Row],[Importe]]-Tabla15[[#This Row],[Pagado]]</f>
        <v>0</v>
      </c>
      <c r="I3465" s="275" t="s">
        <v>15214</v>
      </c>
    </row>
    <row r="3466" spans="1:9" x14ac:dyDescent="0.25">
      <c r="A3466" s="420">
        <v>43035</v>
      </c>
      <c r="B3466" s="302" t="s">
        <v>35174</v>
      </c>
      <c r="C3466">
        <v>133029</v>
      </c>
      <c r="D3466" s="275" t="s">
        <v>15421</v>
      </c>
      <c r="E3466" s="301">
        <v>200</v>
      </c>
      <c r="F3466" s="303">
        <v>43035</v>
      </c>
      <c r="G3466" s="301">
        <v>200</v>
      </c>
      <c r="H3466" s="301">
        <f>Tabla15[[#This Row],[Importe]]-Tabla15[[#This Row],[Pagado]]</f>
        <v>0</v>
      </c>
      <c r="I3466" s="275" t="s">
        <v>15214</v>
      </c>
    </row>
    <row r="3467" spans="1:9" x14ac:dyDescent="0.25">
      <c r="A3467" s="420">
        <v>43035</v>
      </c>
      <c r="B3467" s="302" t="s">
        <v>35175</v>
      </c>
      <c r="C3467">
        <v>133030</v>
      </c>
      <c r="D3467" s="275" t="s">
        <v>15380</v>
      </c>
      <c r="E3467" s="301">
        <v>32394.35</v>
      </c>
      <c r="F3467" s="303">
        <v>43050</v>
      </c>
      <c r="G3467" s="301">
        <v>32394.35</v>
      </c>
      <c r="H3467" s="301">
        <f>Tabla15[[#This Row],[Importe]]-Tabla15[[#This Row],[Pagado]]</f>
        <v>0</v>
      </c>
      <c r="I3467" s="275" t="s">
        <v>15214</v>
      </c>
    </row>
    <row r="3468" spans="1:9" x14ac:dyDescent="0.25">
      <c r="A3468" s="420">
        <v>43035</v>
      </c>
      <c r="B3468" s="302" t="s">
        <v>35176</v>
      </c>
      <c r="C3468">
        <v>133031</v>
      </c>
      <c r="D3468" s="275" t="s">
        <v>15280</v>
      </c>
      <c r="E3468" s="301">
        <v>6803.4</v>
      </c>
      <c r="F3468" s="303">
        <v>43035</v>
      </c>
      <c r="G3468" s="301">
        <v>6803.4</v>
      </c>
      <c r="H3468" s="301">
        <f>Tabla15[[#This Row],[Importe]]-Tabla15[[#This Row],[Pagado]]</f>
        <v>0</v>
      </c>
      <c r="I3468" s="275" t="s">
        <v>15214</v>
      </c>
    </row>
    <row r="3469" spans="1:9" x14ac:dyDescent="0.25">
      <c r="A3469" s="420">
        <v>43035</v>
      </c>
      <c r="B3469" s="302" t="s">
        <v>35177</v>
      </c>
      <c r="C3469">
        <v>133032</v>
      </c>
      <c r="D3469" s="275" t="s">
        <v>15530</v>
      </c>
      <c r="E3469" s="301">
        <v>3121.3</v>
      </c>
      <c r="F3469" s="303">
        <v>43035</v>
      </c>
      <c r="G3469" s="301">
        <v>3121.3</v>
      </c>
      <c r="H3469" s="301">
        <f>Tabla15[[#This Row],[Importe]]-Tabla15[[#This Row],[Pagado]]</f>
        <v>0</v>
      </c>
      <c r="I3469" s="275" t="s">
        <v>15214</v>
      </c>
    </row>
    <row r="3470" spans="1:9" x14ac:dyDescent="0.25">
      <c r="A3470" s="420">
        <v>43035</v>
      </c>
      <c r="B3470" s="302" t="s">
        <v>35178</v>
      </c>
      <c r="C3470">
        <v>133033</v>
      </c>
      <c r="D3470" s="275" t="s">
        <v>15510</v>
      </c>
      <c r="E3470" s="301">
        <v>18987.5</v>
      </c>
      <c r="F3470" s="303">
        <v>43035</v>
      </c>
      <c r="G3470" s="301">
        <v>18987.5</v>
      </c>
      <c r="H3470" s="301">
        <f>Tabla15[[#This Row],[Importe]]-Tabla15[[#This Row],[Pagado]]</f>
        <v>0</v>
      </c>
      <c r="I3470" s="275" t="s">
        <v>15214</v>
      </c>
    </row>
    <row r="3471" spans="1:9" x14ac:dyDescent="0.25">
      <c r="A3471" s="420">
        <v>43035</v>
      </c>
      <c r="B3471" s="302" t="s">
        <v>35179</v>
      </c>
      <c r="C3471">
        <v>133034</v>
      </c>
      <c r="D3471" s="275" t="s">
        <v>16108</v>
      </c>
      <c r="E3471" s="301">
        <v>1041</v>
      </c>
      <c r="F3471" s="303">
        <v>43035</v>
      </c>
      <c r="G3471" s="301">
        <v>1041</v>
      </c>
      <c r="H3471" s="301">
        <f>Tabla15[[#This Row],[Importe]]-Tabla15[[#This Row],[Pagado]]</f>
        <v>0</v>
      </c>
      <c r="I3471" s="275" t="s">
        <v>15214</v>
      </c>
    </row>
    <row r="3472" spans="1:9" x14ac:dyDescent="0.25">
      <c r="A3472" s="420">
        <v>43035</v>
      </c>
      <c r="B3472" s="302" t="s">
        <v>35180</v>
      </c>
      <c r="C3472">
        <v>133035</v>
      </c>
      <c r="D3472" s="275" t="s">
        <v>15369</v>
      </c>
      <c r="E3472" s="301">
        <v>31986.7</v>
      </c>
      <c r="F3472" s="303">
        <v>43050</v>
      </c>
      <c r="G3472" s="301">
        <v>31986.7</v>
      </c>
      <c r="H3472" s="301">
        <f>Tabla15[[#This Row],[Importe]]-Tabla15[[#This Row],[Pagado]]</f>
        <v>0</v>
      </c>
      <c r="I3472" s="275" t="s">
        <v>15214</v>
      </c>
    </row>
    <row r="3473" spans="1:9" x14ac:dyDescent="0.25">
      <c r="A3473" s="420">
        <v>43035</v>
      </c>
      <c r="B3473" s="302" t="s">
        <v>35181</v>
      </c>
      <c r="C3473">
        <v>133036</v>
      </c>
      <c r="D3473" s="275" t="s">
        <v>15382</v>
      </c>
      <c r="E3473" s="301">
        <v>9324</v>
      </c>
      <c r="F3473" s="303">
        <v>43050</v>
      </c>
      <c r="G3473" s="301">
        <v>9324</v>
      </c>
      <c r="H3473" s="301">
        <f>Tabla15[[#This Row],[Importe]]-Tabla15[[#This Row],[Pagado]]</f>
        <v>0</v>
      </c>
      <c r="I3473" s="275" t="s">
        <v>15214</v>
      </c>
    </row>
    <row r="3474" spans="1:9" x14ac:dyDescent="0.25">
      <c r="A3474" s="420">
        <v>43035</v>
      </c>
      <c r="B3474" s="302" t="s">
        <v>35182</v>
      </c>
      <c r="C3474">
        <v>133037</v>
      </c>
      <c r="D3474" s="275" t="s">
        <v>15562</v>
      </c>
      <c r="E3474" s="301">
        <v>266.5</v>
      </c>
      <c r="F3474" s="303">
        <v>43035</v>
      </c>
      <c r="G3474" s="301">
        <v>266.5</v>
      </c>
      <c r="H3474" s="301">
        <f>Tabla15[[#This Row],[Importe]]-Tabla15[[#This Row],[Pagado]]</f>
        <v>0</v>
      </c>
      <c r="I3474" s="275" t="s">
        <v>15214</v>
      </c>
    </row>
    <row r="3475" spans="1:9" x14ac:dyDescent="0.25">
      <c r="A3475" s="420">
        <v>43035</v>
      </c>
      <c r="B3475" s="302" t="s">
        <v>35183</v>
      </c>
      <c r="C3475">
        <v>133038</v>
      </c>
      <c r="D3475" s="275" t="s">
        <v>15315</v>
      </c>
      <c r="E3475" s="301">
        <v>4189.5</v>
      </c>
      <c r="F3475" s="303">
        <v>43035</v>
      </c>
      <c r="G3475" s="301">
        <v>4189.5</v>
      </c>
      <c r="H3475" s="301">
        <f>Tabla15[[#This Row],[Importe]]-Tabla15[[#This Row],[Pagado]]</f>
        <v>0</v>
      </c>
      <c r="I3475" s="275" t="s">
        <v>15214</v>
      </c>
    </row>
    <row r="3476" spans="1:9" x14ac:dyDescent="0.25">
      <c r="A3476" s="420">
        <v>43035</v>
      </c>
      <c r="B3476" s="302" t="s">
        <v>35184</v>
      </c>
      <c r="C3476">
        <v>133039</v>
      </c>
      <c r="D3476" s="275" t="s">
        <v>15389</v>
      </c>
      <c r="E3476" s="301">
        <v>14208.4</v>
      </c>
      <c r="F3476" s="303">
        <v>43050</v>
      </c>
      <c r="G3476" s="301">
        <v>14208.4</v>
      </c>
      <c r="H3476" s="301">
        <f>Tabla15[[#This Row],[Importe]]-Tabla15[[#This Row],[Pagado]]</f>
        <v>0</v>
      </c>
      <c r="I3476" s="275" t="s">
        <v>15214</v>
      </c>
    </row>
    <row r="3477" spans="1:9" ht="30" x14ac:dyDescent="0.25">
      <c r="A3477" s="420">
        <v>43035</v>
      </c>
      <c r="B3477" s="302" t="s">
        <v>35185</v>
      </c>
      <c r="C3477">
        <v>133040</v>
      </c>
      <c r="D3477" s="275" t="s">
        <v>15373</v>
      </c>
      <c r="E3477" s="301">
        <v>19012.900000000001</v>
      </c>
      <c r="F3477" s="303" t="s">
        <v>35714</v>
      </c>
      <c r="G3477" s="305">
        <f>12990+6022.9</f>
        <v>19012.900000000001</v>
      </c>
      <c r="H3477" s="305">
        <f>Tabla15[[#This Row],[Importe]]-Tabla15[[#This Row],[Pagado]]</f>
        <v>0</v>
      </c>
      <c r="I3477" s="275" t="s">
        <v>15214</v>
      </c>
    </row>
    <row r="3478" spans="1:9" x14ac:dyDescent="0.25">
      <c r="A3478" s="420">
        <v>43035</v>
      </c>
      <c r="B3478" s="302" t="s">
        <v>35186</v>
      </c>
      <c r="C3478">
        <v>133041</v>
      </c>
      <c r="D3478" s="275" t="s">
        <v>19549</v>
      </c>
      <c r="E3478" s="301">
        <v>2268.8000000000002</v>
      </c>
      <c r="F3478" s="303">
        <v>43036</v>
      </c>
      <c r="G3478" s="301">
        <v>2268.8000000000002</v>
      </c>
      <c r="H3478" s="301">
        <f>Tabla15[[#This Row],[Importe]]-Tabla15[[#This Row],[Pagado]]</f>
        <v>0</v>
      </c>
      <c r="I3478" s="275" t="s">
        <v>15214</v>
      </c>
    </row>
    <row r="3479" spans="1:9" x14ac:dyDescent="0.25">
      <c r="A3479" s="420">
        <v>43035</v>
      </c>
      <c r="B3479" s="302" t="s">
        <v>35187</v>
      </c>
      <c r="C3479">
        <v>133042</v>
      </c>
      <c r="D3479" s="275" t="s">
        <v>15396</v>
      </c>
      <c r="E3479" s="301">
        <v>582</v>
      </c>
      <c r="F3479" s="303">
        <v>43035</v>
      </c>
      <c r="G3479" s="301">
        <v>582</v>
      </c>
      <c r="H3479" s="301">
        <f>Tabla15[[#This Row],[Importe]]-Tabla15[[#This Row],[Pagado]]</f>
        <v>0</v>
      </c>
      <c r="I3479" s="275" t="s">
        <v>15214</v>
      </c>
    </row>
    <row r="3480" spans="1:9" x14ac:dyDescent="0.25">
      <c r="A3480" s="420">
        <v>43035</v>
      </c>
      <c r="B3480" s="302" t="s">
        <v>35188</v>
      </c>
      <c r="C3480">
        <v>133043</v>
      </c>
      <c r="D3480" s="275" t="s">
        <v>15315</v>
      </c>
      <c r="E3480" s="301">
        <v>3283</v>
      </c>
      <c r="F3480" s="303">
        <v>43035</v>
      </c>
      <c r="G3480" s="301">
        <v>3283</v>
      </c>
      <c r="H3480" s="301">
        <f>Tabla15[[#This Row],[Importe]]-Tabla15[[#This Row],[Pagado]]</f>
        <v>0</v>
      </c>
      <c r="I3480" s="275" t="s">
        <v>15214</v>
      </c>
    </row>
    <row r="3481" spans="1:9" x14ac:dyDescent="0.25">
      <c r="A3481" s="420">
        <v>43035</v>
      </c>
      <c r="B3481" s="302" t="s">
        <v>35189</v>
      </c>
      <c r="C3481">
        <v>133044</v>
      </c>
      <c r="D3481" s="275" t="s">
        <v>16129</v>
      </c>
      <c r="E3481" s="301">
        <v>4834.8</v>
      </c>
      <c r="F3481" s="303">
        <v>43042</v>
      </c>
      <c r="G3481" s="301">
        <v>4834.8</v>
      </c>
      <c r="H3481" s="301">
        <f>Tabla15[[#This Row],[Importe]]-Tabla15[[#This Row],[Pagado]]</f>
        <v>0</v>
      </c>
      <c r="I3481" s="275" t="s">
        <v>15214</v>
      </c>
    </row>
    <row r="3482" spans="1:9" x14ac:dyDescent="0.25">
      <c r="A3482" s="420">
        <v>43035</v>
      </c>
      <c r="B3482" s="302" t="s">
        <v>35190</v>
      </c>
      <c r="C3482">
        <v>133045</v>
      </c>
      <c r="D3482" s="275" t="s">
        <v>23937</v>
      </c>
      <c r="E3482" s="301">
        <v>3463</v>
      </c>
      <c r="F3482" s="303">
        <v>43035</v>
      </c>
      <c r="G3482" s="301">
        <v>3463</v>
      </c>
      <c r="H3482" s="301">
        <f>Tabla15[[#This Row],[Importe]]-Tabla15[[#This Row],[Pagado]]</f>
        <v>0</v>
      </c>
      <c r="I3482" s="275" t="s">
        <v>15214</v>
      </c>
    </row>
    <row r="3483" spans="1:9" x14ac:dyDescent="0.25">
      <c r="A3483" s="420">
        <v>43035</v>
      </c>
      <c r="B3483" s="302" t="s">
        <v>35191</v>
      </c>
      <c r="C3483">
        <v>133046</v>
      </c>
      <c r="D3483" s="275" t="s">
        <v>15252</v>
      </c>
      <c r="E3483" s="301">
        <v>4697.75</v>
      </c>
      <c r="F3483" s="303">
        <v>43038</v>
      </c>
      <c r="G3483" s="301">
        <v>4697.75</v>
      </c>
      <c r="H3483" s="301">
        <f>Tabla15[[#This Row],[Importe]]-Tabla15[[#This Row],[Pagado]]</f>
        <v>0</v>
      </c>
      <c r="I3483" s="275" t="s">
        <v>15214</v>
      </c>
    </row>
    <row r="3484" spans="1:9" x14ac:dyDescent="0.25">
      <c r="A3484" s="420">
        <v>43035</v>
      </c>
      <c r="B3484" s="302" t="s">
        <v>35192</v>
      </c>
      <c r="C3484">
        <v>133047</v>
      </c>
      <c r="D3484" s="275" t="s">
        <v>15244</v>
      </c>
      <c r="E3484" s="301">
        <v>23009.1</v>
      </c>
      <c r="F3484" s="303">
        <v>43048</v>
      </c>
      <c r="G3484" s="301">
        <v>23009.1</v>
      </c>
      <c r="H3484" s="301">
        <f>Tabla15[[#This Row],[Importe]]-Tabla15[[#This Row],[Pagado]]</f>
        <v>0</v>
      </c>
      <c r="I3484" s="275" t="s">
        <v>15214</v>
      </c>
    </row>
    <row r="3485" spans="1:9" x14ac:dyDescent="0.25">
      <c r="A3485" s="420">
        <v>43035</v>
      </c>
      <c r="B3485" s="302" t="s">
        <v>35193</v>
      </c>
      <c r="C3485">
        <v>133048</v>
      </c>
      <c r="D3485" s="275" t="s">
        <v>15549</v>
      </c>
      <c r="E3485" s="301">
        <v>8205.9</v>
      </c>
      <c r="F3485" s="303">
        <v>43035</v>
      </c>
      <c r="G3485" s="301">
        <v>8205.9</v>
      </c>
      <c r="H3485" s="301">
        <f>Tabla15[[#This Row],[Importe]]-Tabla15[[#This Row],[Pagado]]</f>
        <v>0</v>
      </c>
      <c r="I3485" s="275" t="s">
        <v>15214</v>
      </c>
    </row>
    <row r="3486" spans="1:9" x14ac:dyDescent="0.25">
      <c r="A3486" s="420">
        <v>43035</v>
      </c>
      <c r="B3486" s="302" t="s">
        <v>35194</v>
      </c>
      <c r="C3486">
        <v>133049</v>
      </c>
      <c r="D3486" s="275" t="s">
        <v>15254</v>
      </c>
      <c r="E3486" s="301">
        <v>32358.400000000001</v>
      </c>
      <c r="F3486" s="303">
        <v>43035</v>
      </c>
      <c r="G3486" s="301">
        <v>32358.400000000001</v>
      </c>
      <c r="H3486" s="301">
        <f>Tabla15[[#This Row],[Importe]]-Tabla15[[#This Row],[Pagado]]</f>
        <v>0</v>
      </c>
      <c r="I3486" s="275" t="s">
        <v>15214</v>
      </c>
    </row>
    <row r="3487" spans="1:9" x14ac:dyDescent="0.25">
      <c r="A3487" s="420">
        <v>43035</v>
      </c>
      <c r="B3487" s="302" t="s">
        <v>35195</v>
      </c>
      <c r="C3487">
        <v>133050</v>
      </c>
      <c r="D3487" s="275" t="s">
        <v>15284</v>
      </c>
      <c r="E3487" s="301">
        <v>848.7</v>
      </c>
      <c r="F3487" s="303">
        <v>43035</v>
      </c>
      <c r="G3487" s="301">
        <v>848.7</v>
      </c>
      <c r="H3487" s="301">
        <f>Tabla15[[#This Row],[Importe]]-Tabla15[[#This Row],[Pagado]]</f>
        <v>0</v>
      </c>
      <c r="I3487" s="275" t="s">
        <v>15214</v>
      </c>
    </row>
    <row r="3488" spans="1:9" x14ac:dyDescent="0.25">
      <c r="A3488" s="420">
        <v>43035</v>
      </c>
      <c r="B3488" s="302" t="s">
        <v>35196</v>
      </c>
      <c r="C3488">
        <v>133051</v>
      </c>
      <c r="D3488" s="275" t="s">
        <v>15427</v>
      </c>
      <c r="E3488" s="301">
        <v>38968</v>
      </c>
      <c r="F3488" s="303">
        <v>43036</v>
      </c>
      <c r="G3488" s="301">
        <v>38968</v>
      </c>
      <c r="H3488" s="301">
        <f>Tabla15[[#This Row],[Importe]]-Tabla15[[#This Row],[Pagado]]</f>
        <v>0</v>
      </c>
      <c r="I3488" s="275" t="s">
        <v>15214</v>
      </c>
    </row>
    <row r="3489" spans="1:9" x14ac:dyDescent="0.25">
      <c r="A3489" s="420">
        <v>43035</v>
      </c>
      <c r="B3489" s="302" t="s">
        <v>35197</v>
      </c>
      <c r="C3489">
        <v>133052</v>
      </c>
      <c r="D3489" s="275" t="s">
        <v>15322</v>
      </c>
      <c r="E3489" s="301">
        <v>2856.6</v>
      </c>
      <c r="F3489" s="303">
        <v>43035</v>
      </c>
      <c r="G3489" s="301">
        <v>2856.6</v>
      </c>
      <c r="H3489" s="301">
        <f>Tabla15[[#This Row],[Importe]]-Tabla15[[#This Row],[Pagado]]</f>
        <v>0</v>
      </c>
      <c r="I3489" s="275" t="s">
        <v>15214</v>
      </c>
    </row>
    <row r="3490" spans="1:9" x14ac:dyDescent="0.25">
      <c r="A3490" s="420">
        <v>43035</v>
      </c>
      <c r="B3490" s="302" t="s">
        <v>35198</v>
      </c>
      <c r="C3490">
        <v>133053</v>
      </c>
      <c r="D3490" s="275" t="s">
        <v>15315</v>
      </c>
      <c r="E3490" s="301">
        <v>1095</v>
      </c>
      <c r="F3490" s="303">
        <v>43035</v>
      </c>
      <c r="G3490" s="301">
        <v>1095</v>
      </c>
      <c r="H3490" s="301">
        <f>Tabla15[[#This Row],[Importe]]-Tabla15[[#This Row],[Pagado]]</f>
        <v>0</v>
      </c>
      <c r="I3490" s="275" t="s">
        <v>15214</v>
      </c>
    </row>
    <row r="3491" spans="1:9" x14ac:dyDescent="0.25">
      <c r="A3491" s="420">
        <v>43035</v>
      </c>
      <c r="B3491" s="302" t="s">
        <v>35199</v>
      </c>
      <c r="C3491">
        <v>133054</v>
      </c>
      <c r="D3491" s="275" t="s">
        <v>16093</v>
      </c>
      <c r="E3491" s="301">
        <v>886.8</v>
      </c>
      <c r="F3491" s="303">
        <v>43035</v>
      </c>
      <c r="G3491" s="301">
        <v>886.8</v>
      </c>
      <c r="H3491" s="301">
        <f>Tabla15[[#This Row],[Importe]]-Tabla15[[#This Row],[Pagado]]</f>
        <v>0</v>
      </c>
      <c r="I3491" s="275" t="s">
        <v>15214</v>
      </c>
    </row>
    <row r="3492" spans="1:9" x14ac:dyDescent="0.25">
      <c r="A3492" s="420">
        <v>43035</v>
      </c>
      <c r="B3492" s="302" t="s">
        <v>35200</v>
      </c>
      <c r="C3492">
        <v>133055</v>
      </c>
      <c r="D3492" s="275" t="s">
        <v>15510</v>
      </c>
      <c r="E3492" s="301">
        <v>8949.6</v>
      </c>
      <c r="F3492" s="303">
        <v>43035</v>
      </c>
      <c r="G3492" s="301">
        <v>8949.6</v>
      </c>
      <c r="H3492" s="301">
        <f>Tabla15[[#This Row],[Importe]]-Tabla15[[#This Row],[Pagado]]</f>
        <v>0</v>
      </c>
      <c r="I3492" s="275" t="s">
        <v>15214</v>
      </c>
    </row>
    <row r="3493" spans="1:9" x14ac:dyDescent="0.25">
      <c r="A3493" s="420">
        <v>43035</v>
      </c>
      <c r="B3493" s="302" t="s">
        <v>35201</v>
      </c>
      <c r="C3493">
        <v>133056</v>
      </c>
      <c r="D3493" s="275" t="s">
        <v>15510</v>
      </c>
      <c r="E3493" s="301">
        <v>1015.2</v>
      </c>
      <c r="F3493" s="303">
        <v>43035</v>
      </c>
      <c r="G3493" s="301">
        <v>1015.2</v>
      </c>
      <c r="H3493" s="301">
        <f>Tabla15[[#This Row],[Importe]]-Tabla15[[#This Row],[Pagado]]</f>
        <v>0</v>
      </c>
      <c r="I3493" s="275" t="s">
        <v>15214</v>
      </c>
    </row>
    <row r="3494" spans="1:9" x14ac:dyDescent="0.25">
      <c r="A3494" s="420">
        <v>43035</v>
      </c>
      <c r="B3494" s="302" t="s">
        <v>35202</v>
      </c>
      <c r="C3494">
        <v>133057</v>
      </c>
      <c r="D3494" s="275" t="s">
        <v>15590</v>
      </c>
      <c r="E3494" s="301">
        <v>31238.400000000001</v>
      </c>
      <c r="F3494" s="303">
        <v>43050</v>
      </c>
      <c r="G3494" s="301">
        <v>31238.400000000001</v>
      </c>
      <c r="H3494" s="301">
        <f>Tabla15[[#This Row],[Importe]]-Tabla15[[#This Row],[Pagado]]</f>
        <v>0</v>
      </c>
      <c r="I3494" s="275" t="s">
        <v>15214</v>
      </c>
    </row>
    <row r="3495" spans="1:9" x14ac:dyDescent="0.25">
      <c r="A3495" s="420">
        <v>43035</v>
      </c>
      <c r="B3495" s="302" t="s">
        <v>35203</v>
      </c>
      <c r="C3495">
        <v>133058</v>
      </c>
      <c r="D3495" s="275" t="s">
        <v>15725</v>
      </c>
      <c r="E3495" s="301">
        <v>21814.5</v>
      </c>
      <c r="F3495" s="303">
        <v>43038</v>
      </c>
      <c r="G3495" s="301">
        <v>21814.5</v>
      </c>
      <c r="H3495" s="301">
        <f>Tabla15[[#This Row],[Importe]]-Tabla15[[#This Row],[Pagado]]</f>
        <v>0</v>
      </c>
      <c r="I3495" s="275" t="s">
        <v>15214</v>
      </c>
    </row>
    <row r="3496" spans="1:9" x14ac:dyDescent="0.25">
      <c r="A3496" s="420">
        <v>43035</v>
      </c>
      <c r="B3496" s="302" t="s">
        <v>35204</v>
      </c>
      <c r="C3496">
        <v>133059</v>
      </c>
      <c r="D3496" s="275" t="s">
        <v>15391</v>
      </c>
      <c r="E3496" s="301">
        <v>11934</v>
      </c>
      <c r="F3496" s="303">
        <v>43036</v>
      </c>
      <c r="G3496" s="301">
        <v>11934</v>
      </c>
      <c r="H3496" s="301">
        <f>Tabla15[[#This Row],[Importe]]-Tabla15[[#This Row],[Pagado]]</f>
        <v>0</v>
      </c>
      <c r="I3496" s="275" t="s">
        <v>15214</v>
      </c>
    </row>
    <row r="3497" spans="1:9" ht="15.75" x14ac:dyDescent="0.25">
      <c r="A3497" s="420">
        <v>43035</v>
      </c>
      <c r="B3497" s="302" t="s">
        <v>35205</v>
      </c>
      <c r="C3497">
        <v>133060</v>
      </c>
      <c r="D3497" s="248" t="s">
        <v>95</v>
      </c>
      <c r="E3497" s="301">
        <v>0</v>
      </c>
      <c r="F3497" s="243" t="s">
        <v>95</v>
      </c>
      <c r="G3497" s="301">
        <v>0</v>
      </c>
      <c r="H3497" s="301">
        <f>Tabla15[[#This Row],[Importe]]-Tabla15[[#This Row],[Pagado]]</f>
        <v>0</v>
      </c>
      <c r="I3497" s="275" t="s">
        <v>95</v>
      </c>
    </row>
    <row r="3498" spans="1:9" x14ac:dyDescent="0.25">
      <c r="A3498" s="420">
        <v>43035</v>
      </c>
      <c r="B3498" s="302" t="s">
        <v>35206</v>
      </c>
      <c r="C3498">
        <v>133061</v>
      </c>
      <c r="D3498" s="275" t="s">
        <v>15594</v>
      </c>
      <c r="E3498" s="301">
        <v>1741.1</v>
      </c>
      <c r="F3498" s="303">
        <v>43035</v>
      </c>
      <c r="G3498" s="301">
        <v>1741.1</v>
      </c>
      <c r="H3498" s="301">
        <f>Tabla15[[#This Row],[Importe]]-Tabla15[[#This Row],[Pagado]]</f>
        <v>0</v>
      </c>
      <c r="I3498" s="275" t="s">
        <v>15214</v>
      </c>
    </row>
    <row r="3499" spans="1:9" x14ac:dyDescent="0.25">
      <c r="A3499" s="420">
        <v>43035</v>
      </c>
      <c r="B3499" s="302" t="s">
        <v>35207</v>
      </c>
      <c r="C3499">
        <v>133062</v>
      </c>
      <c r="D3499" s="275" t="s">
        <v>15282</v>
      </c>
      <c r="E3499" s="301">
        <v>2996.3</v>
      </c>
      <c r="F3499" s="303">
        <v>43035</v>
      </c>
      <c r="G3499" s="301">
        <v>2996.3</v>
      </c>
      <c r="H3499" s="301">
        <f>Tabla15[[#This Row],[Importe]]-Tabla15[[#This Row],[Pagado]]</f>
        <v>0</v>
      </c>
      <c r="I3499" s="275" t="s">
        <v>15214</v>
      </c>
    </row>
    <row r="3500" spans="1:9" x14ac:dyDescent="0.25">
      <c r="A3500" s="420">
        <v>43035</v>
      </c>
      <c r="B3500" s="302" t="s">
        <v>35208</v>
      </c>
      <c r="C3500">
        <v>133063</v>
      </c>
      <c r="D3500" s="275" t="s">
        <v>15361</v>
      </c>
      <c r="E3500" s="301">
        <v>7236</v>
      </c>
      <c r="F3500" s="303">
        <v>43035</v>
      </c>
      <c r="G3500" s="301">
        <v>7236</v>
      </c>
      <c r="H3500" s="301">
        <f>Tabla15[[#This Row],[Importe]]-Tabla15[[#This Row],[Pagado]]</f>
        <v>0</v>
      </c>
      <c r="I3500" s="275" t="s">
        <v>15214</v>
      </c>
    </row>
    <row r="3501" spans="1:9" x14ac:dyDescent="0.25">
      <c r="A3501" s="420">
        <v>43035</v>
      </c>
      <c r="B3501" s="302" t="s">
        <v>35209</v>
      </c>
      <c r="C3501">
        <v>133064</v>
      </c>
      <c r="D3501" s="275" t="s">
        <v>15568</v>
      </c>
      <c r="E3501" s="301">
        <v>12428.55</v>
      </c>
      <c r="F3501" s="303">
        <v>43035</v>
      </c>
      <c r="G3501" s="301">
        <v>12428.55</v>
      </c>
      <c r="H3501" s="301">
        <f>Tabla15[[#This Row],[Importe]]-Tabla15[[#This Row],[Pagado]]</f>
        <v>0</v>
      </c>
      <c r="I3501" s="275" t="s">
        <v>15214</v>
      </c>
    </row>
    <row r="3502" spans="1:9" x14ac:dyDescent="0.25">
      <c r="A3502" s="420">
        <v>43035</v>
      </c>
      <c r="B3502" s="302" t="s">
        <v>35210</v>
      </c>
      <c r="C3502">
        <v>133065</v>
      </c>
      <c r="D3502" s="275" t="s">
        <v>16732</v>
      </c>
      <c r="E3502" s="301">
        <v>3450</v>
      </c>
      <c r="F3502" s="303">
        <v>43035</v>
      </c>
      <c r="G3502" s="301">
        <v>3450</v>
      </c>
      <c r="H3502" s="301">
        <f>Tabla15[[#This Row],[Importe]]-Tabla15[[#This Row],[Pagado]]</f>
        <v>0</v>
      </c>
      <c r="I3502" s="275" t="s">
        <v>15214</v>
      </c>
    </row>
    <row r="3503" spans="1:9" x14ac:dyDescent="0.25">
      <c r="A3503" s="420">
        <v>43035</v>
      </c>
      <c r="B3503" s="302" t="s">
        <v>35211</v>
      </c>
      <c r="C3503">
        <v>133066</v>
      </c>
      <c r="D3503" s="275" t="s">
        <v>16383</v>
      </c>
      <c r="E3503" s="301">
        <v>10398.4</v>
      </c>
      <c r="F3503" s="303">
        <v>43035</v>
      </c>
      <c r="G3503" s="301">
        <v>10398.4</v>
      </c>
      <c r="H3503" s="301">
        <f>Tabla15[[#This Row],[Importe]]-Tabla15[[#This Row],[Pagado]]</f>
        <v>0</v>
      </c>
      <c r="I3503" s="275" t="s">
        <v>15214</v>
      </c>
    </row>
    <row r="3504" spans="1:9" x14ac:dyDescent="0.25">
      <c r="A3504" s="420">
        <v>43035</v>
      </c>
      <c r="B3504" s="302" t="s">
        <v>35212</v>
      </c>
      <c r="C3504">
        <v>133067</v>
      </c>
      <c r="D3504" s="275" t="s">
        <v>15716</v>
      </c>
      <c r="E3504" s="301">
        <v>10918.25</v>
      </c>
      <c r="F3504" s="303">
        <v>43035</v>
      </c>
      <c r="G3504" s="301">
        <v>10918.25</v>
      </c>
      <c r="H3504" s="301">
        <f>Tabla15[[#This Row],[Importe]]-Tabla15[[#This Row],[Pagado]]</f>
        <v>0</v>
      </c>
      <c r="I3504" s="275" t="s">
        <v>15214</v>
      </c>
    </row>
    <row r="3505" spans="1:9" x14ac:dyDescent="0.25">
      <c r="A3505" s="420">
        <v>43035</v>
      </c>
      <c r="B3505" s="302" t="s">
        <v>35213</v>
      </c>
      <c r="C3505">
        <v>133068</v>
      </c>
      <c r="D3505" s="275" t="s">
        <v>15387</v>
      </c>
      <c r="E3505" s="301">
        <v>1635</v>
      </c>
      <c r="F3505" s="303">
        <v>43035</v>
      </c>
      <c r="G3505" s="301">
        <v>1635</v>
      </c>
      <c r="H3505" s="301">
        <f>Tabla15[[#This Row],[Importe]]-Tabla15[[#This Row],[Pagado]]</f>
        <v>0</v>
      </c>
      <c r="I3505" s="275" t="s">
        <v>15214</v>
      </c>
    </row>
    <row r="3506" spans="1:9" x14ac:dyDescent="0.25">
      <c r="A3506" s="420">
        <v>43035</v>
      </c>
      <c r="B3506" s="302" t="s">
        <v>35214</v>
      </c>
      <c r="C3506">
        <v>133069</v>
      </c>
      <c r="D3506" s="275" t="s">
        <v>15378</v>
      </c>
      <c r="E3506" s="301">
        <v>4107</v>
      </c>
      <c r="F3506" s="303">
        <v>43035</v>
      </c>
      <c r="G3506" s="301">
        <v>4107</v>
      </c>
      <c r="H3506" s="301">
        <f>Tabla15[[#This Row],[Importe]]-Tabla15[[#This Row],[Pagado]]</f>
        <v>0</v>
      </c>
      <c r="I3506" s="275" t="s">
        <v>15214</v>
      </c>
    </row>
    <row r="3507" spans="1:9" x14ac:dyDescent="0.25">
      <c r="A3507" s="420">
        <v>43035</v>
      </c>
      <c r="B3507" s="302" t="s">
        <v>35215</v>
      </c>
      <c r="C3507">
        <v>133070</v>
      </c>
      <c r="D3507" s="275" t="s">
        <v>15920</v>
      </c>
      <c r="E3507" s="301">
        <v>13318.8</v>
      </c>
      <c r="F3507" s="303">
        <v>43036</v>
      </c>
      <c r="G3507" s="301">
        <v>13318.8</v>
      </c>
      <c r="H3507" s="301">
        <f>Tabla15[[#This Row],[Importe]]-Tabla15[[#This Row],[Pagado]]</f>
        <v>0</v>
      </c>
      <c r="I3507" s="275" t="s">
        <v>15214</v>
      </c>
    </row>
    <row r="3508" spans="1:9" x14ac:dyDescent="0.25">
      <c r="A3508" s="420">
        <v>43035</v>
      </c>
      <c r="B3508" s="302" t="s">
        <v>35216</v>
      </c>
      <c r="C3508">
        <v>133071</v>
      </c>
      <c r="D3508" s="275" t="s">
        <v>5873</v>
      </c>
      <c r="E3508" s="301">
        <v>32835.800000000003</v>
      </c>
      <c r="F3508" s="303">
        <v>43036</v>
      </c>
      <c r="G3508" s="301">
        <v>32835.800000000003</v>
      </c>
      <c r="H3508" s="301">
        <f>Tabla15[[#This Row],[Importe]]-Tabla15[[#This Row],[Pagado]]</f>
        <v>0</v>
      </c>
      <c r="I3508" s="275" t="s">
        <v>15214</v>
      </c>
    </row>
    <row r="3509" spans="1:9" ht="15.75" x14ac:dyDescent="0.25">
      <c r="A3509" s="420">
        <v>43035</v>
      </c>
      <c r="B3509" s="302" t="s">
        <v>35217</v>
      </c>
      <c r="C3509">
        <v>133072</v>
      </c>
      <c r="D3509" s="248" t="s">
        <v>95</v>
      </c>
      <c r="E3509" s="301">
        <v>0</v>
      </c>
      <c r="F3509" s="243" t="s">
        <v>95</v>
      </c>
      <c r="G3509" s="301">
        <v>0</v>
      </c>
      <c r="H3509" s="301">
        <f>Tabla15[[#This Row],[Importe]]-Tabla15[[#This Row],[Pagado]]</f>
        <v>0</v>
      </c>
      <c r="I3509" s="275" t="s">
        <v>95</v>
      </c>
    </row>
    <row r="3510" spans="1:9" x14ac:dyDescent="0.25">
      <c r="A3510" s="420">
        <v>43035</v>
      </c>
      <c r="B3510" s="302" t="s">
        <v>35218</v>
      </c>
      <c r="C3510">
        <v>133073</v>
      </c>
      <c r="D3510" s="275" t="s">
        <v>15782</v>
      </c>
      <c r="E3510" s="301">
        <v>1514.1</v>
      </c>
      <c r="F3510" s="303">
        <v>43036</v>
      </c>
      <c r="G3510" s="301">
        <v>1514.1</v>
      </c>
      <c r="H3510" s="301">
        <f>Tabla15[[#This Row],[Importe]]-Tabla15[[#This Row],[Pagado]]</f>
        <v>0</v>
      </c>
      <c r="I3510" s="275" t="s">
        <v>15214</v>
      </c>
    </row>
    <row r="3511" spans="1:9" x14ac:dyDescent="0.25">
      <c r="A3511" s="420">
        <v>43035</v>
      </c>
      <c r="B3511" s="302" t="s">
        <v>35219</v>
      </c>
      <c r="C3511">
        <v>133074</v>
      </c>
      <c r="D3511" s="275" t="s">
        <v>15417</v>
      </c>
      <c r="E3511" s="301">
        <v>1925</v>
      </c>
      <c r="F3511" s="303">
        <v>43036</v>
      </c>
      <c r="G3511" s="301">
        <v>1925</v>
      </c>
      <c r="H3511" s="301">
        <f>Tabla15[[#This Row],[Importe]]-Tabla15[[#This Row],[Pagado]]</f>
        <v>0</v>
      </c>
      <c r="I3511" s="275" t="s">
        <v>15214</v>
      </c>
    </row>
    <row r="3512" spans="1:9" x14ac:dyDescent="0.25">
      <c r="A3512" s="420">
        <v>43035</v>
      </c>
      <c r="B3512" s="302" t="s">
        <v>35220</v>
      </c>
      <c r="C3512">
        <v>133075</v>
      </c>
      <c r="D3512" s="275" t="s">
        <v>15537</v>
      </c>
      <c r="E3512" s="301">
        <v>14008.3</v>
      </c>
      <c r="F3512" s="303">
        <v>43036</v>
      </c>
      <c r="G3512" s="301">
        <v>14008.3</v>
      </c>
      <c r="H3512" s="301">
        <f>Tabla15[[#This Row],[Importe]]-Tabla15[[#This Row],[Pagado]]</f>
        <v>0</v>
      </c>
      <c r="I3512" s="275" t="s">
        <v>15214</v>
      </c>
    </row>
    <row r="3513" spans="1:9" x14ac:dyDescent="0.25">
      <c r="A3513" s="420">
        <v>43035</v>
      </c>
      <c r="B3513" s="302" t="s">
        <v>35221</v>
      </c>
      <c r="C3513">
        <v>133076</v>
      </c>
      <c r="D3513" s="275" t="s">
        <v>15539</v>
      </c>
      <c r="E3513" s="301">
        <v>14184.3</v>
      </c>
      <c r="F3513" s="303">
        <v>43036</v>
      </c>
      <c r="G3513" s="301">
        <v>14184.3</v>
      </c>
      <c r="H3513" s="301">
        <f>Tabla15[[#This Row],[Importe]]-Tabla15[[#This Row],[Pagado]]</f>
        <v>0</v>
      </c>
      <c r="I3513" s="275" t="s">
        <v>15214</v>
      </c>
    </row>
    <row r="3514" spans="1:9" x14ac:dyDescent="0.25">
      <c r="A3514" s="420">
        <v>43035</v>
      </c>
      <c r="B3514" s="302" t="s">
        <v>35222</v>
      </c>
      <c r="C3514">
        <v>133077</v>
      </c>
      <c r="D3514" s="275" t="s">
        <v>15213</v>
      </c>
      <c r="E3514" s="301">
        <v>9329.4</v>
      </c>
      <c r="F3514" s="303">
        <v>43036</v>
      </c>
      <c r="G3514" s="301">
        <v>9329.4</v>
      </c>
      <c r="H3514" s="301">
        <f>Tabla15[[#This Row],[Importe]]-Tabla15[[#This Row],[Pagado]]</f>
        <v>0</v>
      </c>
      <c r="I3514" s="275" t="s">
        <v>15214</v>
      </c>
    </row>
    <row r="3515" spans="1:9" x14ac:dyDescent="0.25">
      <c r="A3515" s="420">
        <v>43035</v>
      </c>
      <c r="B3515" s="302" t="s">
        <v>35223</v>
      </c>
      <c r="C3515">
        <v>133078</v>
      </c>
      <c r="D3515" s="275" t="s">
        <v>15699</v>
      </c>
      <c r="E3515" s="301">
        <v>35601.800000000003</v>
      </c>
      <c r="F3515" s="303">
        <v>43036</v>
      </c>
      <c r="G3515" s="301">
        <v>35601.800000000003</v>
      </c>
      <c r="H3515" s="301">
        <f>Tabla15[[#This Row],[Importe]]-Tabla15[[#This Row],[Pagado]]</f>
        <v>0</v>
      </c>
      <c r="I3515" s="275" t="s">
        <v>15214</v>
      </c>
    </row>
    <row r="3516" spans="1:9" x14ac:dyDescent="0.25">
      <c r="A3516" s="420">
        <v>43035</v>
      </c>
      <c r="B3516" s="302" t="s">
        <v>35224</v>
      </c>
      <c r="C3516">
        <v>133079</v>
      </c>
      <c r="D3516" s="275" t="s">
        <v>15699</v>
      </c>
      <c r="E3516" s="301">
        <v>2726.4</v>
      </c>
      <c r="F3516" s="303">
        <v>43036</v>
      </c>
      <c r="G3516" s="301">
        <v>2726.4</v>
      </c>
      <c r="H3516" s="301">
        <f>Tabla15[[#This Row],[Importe]]-Tabla15[[#This Row],[Pagado]]</f>
        <v>0</v>
      </c>
      <c r="I3516" s="275" t="s">
        <v>15214</v>
      </c>
    </row>
    <row r="3517" spans="1:9" x14ac:dyDescent="0.25">
      <c r="A3517" s="420">
        <v>43035</v>
      </c>
      <c r="B3517" s="302" t="s">
        <v>35225</v>
      </c>
      <c r="C3517">
        <v>133080</v>
      </c>
      <c r="D3517" s="275" t="s">
        <v>15559</v>
      </c>
      <c r="E3517" s="301">
        <v>10995.32</v>
      </c>
      <c r="F3517" s="303">
        <v>43036</v>
      </c>
      <c r="G3517" s="301">
        <v>10995.32</v>
      </c>
      <c r="H3517" s="301">
        <f>Tabla15[[#This Row],[Importe]]-Tabla15[[#This Row],[Pagado]]</f>
        <v>0</v>
      </c>
      <c r="I3517" s="275" t="s">
        <v>15214</v>
      </c>
    </row>
    <row r="3518" spans="1:9" x14ac:dyDescent="0.25">
      <c r="A3518" s="420">
        <v>43035</v>
      </c>
      <c r="B3518" s="302" t="s">
        <v>35226</v>
      </c>
      <c r="C3518">
        <v>133081</v>
      </c>
      <c r="D3518" s="275" t="s">
        <v>15555</v>
      </c>
      <c r="E3518" s="301">
        <v>2415.1</v>
      </c>
      <c r="F3518" s="303">
        <v>43036</v>
      </c>
      <c r="G3518" s="301">
        <v>2415.1</v>
      </c>
      <c r="H3518" s="301">
        <f>Tabla15[[#This Row],[Importe]]-Tabla15[[#This Row],[Pagado]]</f>
        <v>0</v>
      </c>
      <c r="I3518" s="275" t="s">
        <v>15214</v>
      </c>
    </row>
    <row r="3519" spans="1:9" x14ac:dyDescent="0.25">
      <c r="A3519" s="420">
        <v>43035</v>
      </c>
      <c r="B3519" s="302" t="s">
        <v>35227</v>
      </c>
      <c r="C3519">
        <v>133082</v>
      </c>
      <c r="D3519" s="275" t="s">
        <v>17048</v>
      </c>
      <c r="E3519" s="301">
        <v>2862</v>
      </c>
      <c r="F3519" s="303">
        <v>43036</v>
      </c>
      <c r="G3519" s="301">
        <v>2862</v>
      </c>
      <c r="H3519" s="301">
        <f>Tabla15[[#This Row],[Importe]]-Tabla15[[#This Row],[Pagado]]</f>
        <v>0</v>
      </c>
      <c r="I3519" s="275" t="s">
        <v>15214</v>
      </c>
    </row>
    <row r="3520" spans="1:9" x14ac:dyDescent="0.25">
      <c r="A3520" s="420">
        <v>43035</v>
      </c>
      <c r="B3520" s="302" t="s">
        <v>35228</v>
      </c>
      <c r="C3520">
        <v>133083</v>
      </c>
      <c r="D3520" s="275" t="s">
        <v>19742</v>
      </c>
      <c r="E3520" s="301">
        <v>33508.400000000001</v>
      </c>
      <c r="F3520" s="303">
        <v>43036</v>
      </c>
      <c r="G3520" s="301">
        <v>33508.400000000001</v>
      </c>
      <c r="H3520" s="301">
        <f>Tabla15[[#This Row],[Importe]]-Tabla15[[#This Row],[Pagado]]</f>
        <v>0</v>
      </c>
      <c r="I3520" s="275" t="s">
        <v>15214</v>
      </c>
    </row>
    <row r="3521" spans="1:9" x14ac:dyDescent="0.25">
      <c r="A3521" s="420">
        <v>43035</v>
      </c>
      <c r="B3521" s="302" t="s">
        <v>35229</v>
      </c>
      <c r="C3521">
        <v>133084</v>
      </c>
      <c r="D3521" s="275" t="s">
        <v>15699</v>
      </c>
      <c r="E3521" s="301">
        <v>2440.6999999999998</v>
      </c>
      <c r="F3521" s="303">
        <v>43036</v>
      </c>
      <c r="G3521" s="301">
        <v>2440.6999999999998</v>
      </c>
      <c r="H3521" s="301">
        <f>Tabla15[[#This Row],[Importe]]-Tabla15[[#This Row],[Pagado]]</f>
        <v>0</v>
      </c>
      <c r="I3521" s="275" t="s">
        <v>15214</v>
      </c>
    </row>
    <row r="3522" spans="1:9" x14ac:dyDescent="0.25">
      <c r="A3522" s="420">
        <v>43035</v>
      </c>
      <c r="B3522" s="302" t="s">
        <v>35230</v>
      </c>
      <c r="C3522">
        <v>133085</v>
      </c>
      <c r="D3522" s="275" t="s">
        <v>15699</v>
      </c>
      <c r="E3522" s="301">
        <v>458.4</v>
      </c>
      <c r="F3522" s="303">
        <v>43036</v>
      </c>
      <c r="G3522" s="301">
        <v>458.4</v>
      </c>
      <c r="H3522" s="301">
        <f>Tabla15[[#This Row],[Importe]]-Tabla15[[#This Row],[Pagado]]</f>
        <v>0</v>
      </c>
      <c r="I3522" s="275" t="s">
        <v>15214</v>
      </c>
    </row>
    <row r="3523" spans="1:9" x14ac:dyDescent="0.25">
      <c r="A3523" s="420">
        <v>43035</v>
      </c>
      <c r="B3523" s="302" t="s">
        <v>35231</v>
      </c>
      <c r="C3523">
        <v>133086</v>
      </c>
      <c r="D3523" s="275" t="s">
        <v>16048</v>
      </c>
      <c r="E3523" s="301">
        <v>4507.5</v>
      </c>
      <c r="F3523" s="303">
        <v>43035</v>
      </c>
      <c r="G3523" s="301">
        <v>4507.5</v>
      </c>
      <c r="H3523" s="301">
        <f>Tabla15[[#This Row],[Importe]]-Tabla15[[#This Row],[Pagado]]</f>
        <v>0</v>
      </c>
      <c r="I3523" s="275" t="s">
        <v>15214</v>
      </c>
    </row>
    <row r="3524" spans="1:9" x14ac:dyDescent="0.25">
      <c r="A3524" s="420">
        <v>43035</v>
      </c>
      <c r="B3524" s="302" t="s">
        <v>35232</v>
      </c>
      <c r="C3524">
        <v>133087</v>
      </c>
      <c r="D3524" s="275" t="s">
        <v>16048</v>
      </c>
      <c r="E3524" s="301">
        <v>1476</v>
      </c>
      <c r="F3524" s="303">
        <v>43035</v>
      </c>
      <c r="G3524" s="301">
        <v>1476</v>
      </c>
      <c r="H3524" s="301">
        <f>Tabla15[[#This Row],[Importe]]-Tabla15[[#This Row],[Pagado]]</f>
        <v>0</v>
      </c>
      <c r="I3524" s="275" t="s">
        <v>15214</v>
      </c>
    </row>
    <row r="3525" spans="1:9" ht="15.75" x14ac:dyDescent="0.25">
      <c r="A3525" s="420">
        <v>43035</v>
      </c>
      <c r="B3525" s="302" t="s">
        <v>35233</v>
      </c>
      <c r="C3525">
        <v>133088</v>
      </c>
      <c r="D3525" s="248" t="s">
        <v>95</v>
      </c>
      <c r="E3525" s="301">
        <v>0</v>
      </c>
      <c r="F3525" s="243" t="s">
        <v>95</v>
      </c>
      <c r="G3525" s="301">
        <v>0</v>
      </c>
      <c r="H3525" s="301">
        <f>Tabla15[[#This Row],[Importe]]-Tabla15[[#This Row],[Pagado]]</f>
        <v>0</v>
      </c>
      <c r="I3525" s="275" t="s">
        <v>95</v>
      </c>
    </row>
    <row r="3526" spans="1:9" ht="30" x14ac:dyDescent="0.25">
      <c r="A3526" s="420">
        <v>43035</v>
      </c>
      <c r="B3526" s="302" t="s">
        <v>35234</v>
      </c>
      <c r="C3526">
        <v>133089</v>
      </c>
      <c r="D3526" s="275" t="s">
        <v>15246</v>
      </c>
      <c r="E3526" s="301">
        <v>379728.58</v>
      </c>
      <c r="F3526" s="303" t="s">
        <v>35711</v>
      </c>
      <c r="G3526" s="305">
        <f>304517.96+75210.62</f>
        <v>379728.58</v>
      </c>
      <c r="H3526" s="305">
        <f>Tabla15[[#This Row],[Importe]]-Tabla15[[#This Row],[Pagado]]</f>
        <v>0</v>
      </c>
      <c r="I3526" s="275" t="s">
        <v>15214</v>
      </c>
    </row>
    <row r="3527" spans="1:9" x14ac:dyDescent="0.25">
      <c r="A3527" s="420">
        <v>43035</v>
      </c>
      <c r="B3527" s="302" t="s">
        <v>35235</v>
      </c>
      <c r="C3527">
        <v>133090</v>
      </c>
      <c r="D3527" s="275" t="s">
        <v>15956</v>
      </c>
      <c r="E3527" s="301">
        <v>1200</v>
      </c>
      <c r="F3527" s="303">
        <v>43035</v>
      </c>
      <c r="G3527" s="301">
        <v>1200</v>
      </c>
      <c r="H3527" s="301">
        <f>Tabla15[[#This Row],[Importe]]-Tabla15[[#This Row],[Pagado]]</f>
        <v>0</v>
      </c>
      <c r="I3527" s="275" t="s">
        <v>15214</v>
      </c>
    </row>
    <row r="3528" spans="1:9" x14ac:dyDescent="0.25">
      <c r="A3528" s="420">
        <v>43035</v>
      </c>
      <c r="B3528" s="302" t="s">
        <v>35236</v>
      </c>
      <c r="C3528">
        <v>133091</v>
      </c>
      <c r="D3528" s="275" t="s">
        <v>17462</v>
      </c>
      <c r="E3528" s="301">
        <v>2675.4</v>
      </c>
      <c r="F3528" s="303">
        <v>43035</v>
      </c>
      <c r="G3528" s="301">
        <v>2675.4</v>
      </c>
      <c r="H3528" s="301">
        <f>Tabla15[[#This Row],[Importe]]-Tabla15[[#This Row],[Pagado]]</f>
        <v>0</v>
      </c>
      <c r="I3528" s="275" t="s">
        <v>15214</v>
      </c>
    </row>
    <row r="3529" spans="1:9" x14ac:dyDescent="0.25">
      <c r="A3529" s="420">
        <v>43035</v>
      </c>
      <c r="B3529" s="302" t="s">
        <v>35237</v>
      </c>
      <c r="C3529">
        <v>133092</v>
      </c>
      <c r="D3529" s="275" t="s">
        <v>15315</v>
      </c>
      <c r="E3529" s="301">
        <v>10080.200000000001</v>
      </c>
      <c r="F3529" s="303">
        <v>43035</v>
      </c>
      <c r="G3529" s="301">
        <v>10080.200000000001</v>
      </c>
      <c r="H3529" s="301">
        <f>Tabla15[[#This Row],[Importe]]-Tabla15[[#This Row],[Pagado]]</f>
        <v>0</v>
      </c>
      <c r="I3529" s="275" t="s">
        <v>15214</v>
      </c>
    </row>
    <row r="3530" spans="1:9" x14ac:dyDescent="0.25">
      <c r="A3530" s="420">
        <v>43035</v>
      </c>
      <c r="B3530" s="302" t="s">
        <v>35238</v>
      </c>
      <c r="C3530">
        <v>133093</v>
      </c>
      <c r="D3530" s="275" t="s">
        <v>15315</v>
      </c>
      <c r="E3530" s="301">
        <v>680</v>
      </c>
      <c r="F3530" s="303">
        <v>43036</v>
      </c>
      <c r="G3530" s="301">
        <v>680</v>
      </c>
      <c r="H3530" s="301">
        <f>Tabla15[[#This Row],[Importe]]-Tabla15[[#This Row],[Pagado]]</f>
        <v>0</v>
      </c>
      <c r="I3530" s="275" t="s">
        <v>15214</v>
      </c>
    </row>
    <row r="3531" spans="1:9" x14ac:dyDescent="0.25">
      <c r="A3531" s="420">
        <v>43035</v>
      </c>
      <c r="B3531" s="302" t="s">
        <v>35239</v>
      </c>
      <c r="C3531">
        <v>133094</v>
      </c>
      <c r="D3531" s="275" t="s">
        <v>15510</v>
      </c>
      <c r="E3531" s="301">
        <v>12986.4</v>
      </c>
      <c r="F3531" s="303">
        <v>43035</v>
      </c>
      <c r="G3531" s="301">
        <v>12986.4</v>
      </c>
      <c r="H3531" s="301">
        <f>Tabla15[[#This Row],[Importe]]-Tabla15[[#This Row],[Pagado]]</f>
        <v>0</v>
      </c>
      <c r="I3531" s="275" t="s">
        <v>15214</v>
      </c>
    </row>
    <row r="3532" spans="1:9" x14ac:dyDescent="0.25">
      <c r="A3532" s="420">
        <v>43035</v>
      </c>
      <c r="B3532" s="302" t="s">
        <v>35240</v>
      </c>
      <c r="C3532">
        <v>133095</v>
      </c>
      <c r="D3532" s="275" t="s">
        <v>15394</v>
      </c>
      <c r="E3532" s="301">
        <v>21965.9</v>
      </c>
      <c r="F3532" s="303">
        <v>43040</v>
      </c>
      <c r="G3532" s="301">
        <v>21965.9</v>
      </c>
      <c r="H3532" s="301">
        <f>Tabla15[[#This Row],[Importe]]-Tabla15[[#This Row],[Pagado]]</f>
        <v>0</v>
      </c>
      <c r="I3532" s="275" t="s">
        <v>15214</v>
      </c>
    </row>
    <row r="3533" spans="1:9" x14ac:dyDescent="0.25">
      <c r="A3533" s="420">
        <v>43035</v>
      </c>
      <c r="B3533" s="302" t="s">
        <v>35241</v>
      </c>
      <c r="C3533">
        <v>133096</v>
      </c>
      <c r="D3533" s="275" t="s">
        <v>15510</v>
      </c>
      <c r="E3533" s="301">
        <v>1705.6</v>
      </c>
      <c r="F3533" s="303">
        <v>43035</v>
      </c>
      <c r="G3533" s="301">
        <v>1705.6</v>
      </c>
      <c r="H3533" s="301">
        <f>Tabla15[[#This Row],[Importe]]-Tabla15[[#This Row],[Pagado]]</f>
        <v>0</v>
      </c>
      <c r="I3533" s="275" t="s">
        <v>15214</v>
      </c>
    </row>
    <row r="3534" spans="1:9" x14ac:dyDescent="0.25">
      <c r="A3534" s="420">
        <v>43035</v>
      </c>
      <c r="B3534" s="302" t="s">
        <v>35242</v>
      </c>
      <c r="C3534">
        <v>133097</v>
      </c>
      <c r="D3534" s="275" t="s">
        <v>15628</v>
      </c>
      <c r="E3534" s="301">
        <v>7693.5</v>
      </c>
      <c r="F3534" s="303">
        <v>43035</v>
      </c>
      <c r="G3534" s="301">
        <v>7693.5</v>
      </c>
      <c r="H3534" s="301">
        <f>Tabla15[[#This Row],[Importe]]-Tabla15[[#This Row],[Pagado]]</f>
        <v>0</v>
      </c>
      <c r="I3534" s="275" t="s">
        <v>15214</v>
      </c>
    </row>
    <row r="3535" spans="1:9" x14ac:dyDescent="0.25">
      <c r="A3535" s="420">
        <v>43035</v>
      </c>
      <c r="B3535" s="302" t="s">
        <v>35243</v>
      </c>
      <c r="C3535">
        <v>133098</v>
      </c>
      <c r="D3535" s="275" t="s">
        <v>15920</v>
      </c>
      <c r="E3535" s="301">
        <v>6094.4</v>
      </c>
      <c r="F3535" s="303">
        <v>43036</v>
      </c>
      <c r="G3535" s="301">
        <v>6094.4</v>
      </c>
      <c r="H3535" s="301">
        <f>Tabla15[[#This Row],[Importe]]-Tabla15[[#This Row],[Pagado]]</f>
        <v>0</v>
      </c>
      <c r="I3535" s="275" t="s">
        <v>15214</v>
      </c>
    </row>
    <row r="3536" spans="1:9" x14ac:dyDescent="0.25">
      <c r="A3536" s="420">
        <v>43035</v>
      </c>
      <c r="B3536" s="302" t="s">
        <v>35244</v>
      </c>
      <c r="C3536">
        <v>133099</v>
      </c>
      <c r="D3536" s="275" t="s">
        <v>15632</v>
      </c>
      <c r="E3536" s="301">
        <v>13087.4</v>
      </c>
      <c r="F3536" s="303">
        <v>43036</v>
      </c>
      <c r="G3536" s="301">
        <v>13087.4</v>
      </c>
      <c r="H3536" s="301">
        <f>Tabla15[[#This Row],[Importe]]-Tabla15[[#This Row],[Pagado]]</f>
        <v>0</v>
      </c>
      <c r="I3536" s="275" t="s">
        <v>15214</v>
      </c>
    </row>
    <row r="3537" spans="1:9" x14ac:dyDescent="0.25">
      <c r="A3537" s="420">
        <v>43035</v>
      </c>
      <c r="B3537" s="302" t="s">
        <v>35245</v>
      </c>
      <c r="C3537">
        <v>133100</v>
      </c>
      <c r="D3537" s="275" t="s">
        <v>15240</v>
      </c>
      <c r="E3537" s="301">
        <v>170</v>
      </c>
      <c r="F3537" s="303">
        <v>43036</v>
      </c>
      <c r="G3537" s="301">
        <v>170</v>
      </c>
      <c r="H3537" s="301">
        <f>Tabla15[[#This Row],[Importe]]-Tabla15[[#This Row],[Pagado]]</f>
        <v>0</v>
      </c>
      <c r="I3537" s="275" t="s">
        <v>15214</v>
      </c>
    </row>
    <row r="3538" spans="1:9" x14ac:dyDescent="0.25">
      <c r="A3538" s="420">
        <v>43035</v>
      </c>
      <c r="B3538" s="302" t="s">
        <v>35246</v>
      </c>
      <c r="C3538">
        <v>133101</v>
      </c>
      <c r="D3538" s="275" t="s">
        <v>15987</v>
      </c>
      <c r="E3538" s="301">
        <v>3520.9</v>
      </c>
      <c r="F3538" s="303">
        <v>43035</v>
      </c>
      <c r="G3538" s="301">
        <v>3520.9</v>
      </c>
      <c r="H3538" s="301">
        <f>Tabla15[[#This Row],[Importe]]-Tabla15[[#This Row],[Pagado]]</f>
        <v>0</v>
      </c>
      <c r="I3538" s="275" t="s">
        <v>15214</v>
      </c>
    </row>
    <row r="3539" spans="1:9" x14ac:dyDescent="0.25">
      <c r="A3539" s="420">
        <v>43035</v>
      </c>
      <c r="B3539" s="302" t="s">
        <v>35247</v>
      </c>
      <c r="C3539">
        <v>133102</v>
      </c>
      <c r="D3539" s="275" t="s">
        <v>15912</v>
      </c>
      <c r="E3539" s="301">
        <v>3033.2</v>
      </c>
      <c r="F3539" s="303">
        <v>43036</v>
      </c>
      <c r="G3539" s="301">
        <v>3033.2</v>
      </c>
      <c r="H3539" s="301">
        <f>Tabla15[[#This Row],[Importe]]-Tabla15[[#This Row],[Pagado]]</f>
        <v>0</v>
      </c>
      <c r="I3539" s="275" t="s">
        <v>15214</v>
      </c>
    </row>
    <row r="3540" spans="1:9" x14ac:dyDescent="0.25">
      <c r="A3540" s="420">
        <v>43035</v>
      </c>
      <c r="B3540" s="302" t="s">
        <v>35248</v>
      </c>
      <c r="C3540">
        <v>133103</v>
      </c>
      <c r="D3540" s="275" t="s">
        <v>15276</v>
      </c>
      <c r="E3540" s="301">
        <v>5000</v>
      </c>
      <c r="F3540" s="303">
        <v>43036</v>
      </c>
      <c r="G3540" s="301">
        <v>5000</v>
      </c>
      <c r="H3540" s="301">
        <f>Tabla15[[#This Row],[Importe]]-Tabla15[[#This Row],[Pagado]]</f>
        <v>0</v>
      </c>
      <c r="I3540" s="275" t="s">
        <v>15214</v>
      </c>
    </row>
    <row r="3541" spans="1:9" x14ac:dyDescent="0.25">
      <c r="A3541" s="420">
        <v>43035</v>
      </c>
      <c r="B3541" s="302" t="s">
        <v>35249</v>
      </c>
      <c r="C3541">
        <v>133104</v>
      </c>
      <c r="D3541" s="275" t="s">
        <v>15614</v>
      </c>
      <c r="E3541" s="301">
        <v>7507.2</v>
      </c>
      <c r="F3541" s="303">
        <v>43036</v>
      </c>
      <c r="G3541" s="301">
        <v>7507.2</v>
      </c>
      <c r="H3541" s="301">
        <f>Tabla15[[#This Row],[Importe]]-Tabla15[[#This Row],[Pagado]]</f>
        <v>0</v>
      </c>
      <c r="I3541" s="275" t="s">
        <v>15214</v>
      </c>
    </row>
    <row r="3542" spans="1:9" x14ac:dyDescent="0.25">
      <c r="A3542" s="420">
        <v>43035</v>
      </c>
      <c r="B3542" s="302" t="s">
        <v>35250</v>
      </c>
      <c r="C3542">
        <v>133105</v>
      </c>
      <c r="D3542" s="275" t="s">
        <v>15396</v>
      </c>
      <c r="E3542" s="301">
        <v>9133.42</v>
      </c>
      <c r="F3542" s="303">
        <v>43035</v>
      </c>
      <c r="G3542" s="301">
        <v>9133.42</v>
      </c>
      <c r="H3542" s="301">
        <f>Tabla15[[#This Row],[Importe]]-Tabla15[[#This Row],[Pagado]]</f>
        <v>0</v>
      </c>
      <c r="I3542" s="275" t="s">
        <v>15214</v>
      </c>
    </row>
    <row r="3543" spans="1:9" x14ac:dyDescent="0.25">
      <c r="A3543" s="420">
        <v>43035</v>
      </c>
      <c r="B3543" s="302" t="s">
        <v>35251</v>
      </c>
      <c r="C3543">
        <v>133106</v>
      </c>
      <c r="D3543" s="275" t="s">
        <v>19699</v>
      </c>
      <c r="E3543" s="301">
        <v>2000</v>
      </c>
      <c r="F3543" s="303">
        <v>43035</v>
      </c>
      <c r="G3543" s="301">
        <v>2000</v>
      </c>
      <c r="H3543" s="301">
        <f>Tabla15[[#This Row],[Importe]]-Tabla15[[#This Row],[Pagado]]</f>
        <v>0</v>
      </c>
      <c r="I3543" s="275" t="s">
        <v>15214</v>
      </c>
    </row>
    <row r="3544" spans="1:9" x14ac:dyDescent="0.25">
      <c r="A3544" s="420">
        <v>43035</v>
      </c>
      <c r="B3544" s="302" t="s">
        <v>35252</v>
      </c>
      <c r="C3544">
        <v>133107</v>
      </c>
      <c r="D3544" s="275" t="s">
        <v>15250</v>
      </c>
      <c r="E3544" s="301">
        <v>16010</v>
      </c>
      <c r="F3544" s="303">
        <v>43048</v>
      </c>
      <c r="G3544" s="301">
        <v>16010</v>
      </c>
      <c r="H3544" s="301">
        <f>Tabla15[[#This Row],[Importe]]-Tabla15[[#This Row],[Pagado]]</f>
        <v>0</v>
      </c>
      <c r="I3544" s="275" t="s">
        <v>15214</v>
      </c>
    </row>
    <row r="3545" spans="1:9" x14ac:dyDescent="0.25">
      <c r="A3545" s="420">
        <v>43035</v>
      </c>
      <c r="B3545" s="302" t="s">
        <v>35253</v>
      </c>
      <c r="C3545">
        <v>133108</v>
      </c>
      <c r="D3545" s="275" t="s">
        <v>15541</v>
      </c>
      <c r="E3545" s="301">
        <v>2140</v>
      </c>
      <c r="F3545" s="303">
        <v>43036</v>
      </c>
      <c r="G3545" s="301">
        <v>2140</v>
      </c>
      <c r="H3545" s="301">
        <f>Tabla15[[#This Row],[Importe]]-Tabla15[[#This Row],[Pagado]]</f>
        <v>0</v>
      </c>
      <c r="I3545" s="275" t="s">
        <v>15214</v>
      </c>
    </row>
    <row r="3546" spans="1:9" x14ac:dyDescent="0.25">
      <c r="A3546" s="420">
        <v>43035</v>
      </c>
      <c r="B3546" s="302" t="s">
        <v>35254</v>
      </c>
      <c r="C3546">
        <v>133109</v>
      </c>
      <c r="D3546" s="275" t="s">
        <v>15407</v>
      </c>
      <c r="E3546" s="301">
        <v>14102.5</v>
      </c>
      <c r="F3546" s="303">
        <v>43035</v>
      </c>
      <c r="G3546" s="301">
        <v>14102.5</v>
      </c>
      <c r="H3546" s="301">
        <f>Tabla15[[#This Row],[Importe]]-Tabla15[[#This Row],[Pagado]]</f>
        <v>0</v>
      </c>
      <c r="I3546" s="275" t="s">
        <v>15214</v>
      </c>
    </row>
    <row r="3547" spans="1:9" x14ac:dyDescent="0.25">
      <c r="A3547" s="420">
        <v>43035</v>
      </c>
      <c r="B3547" s="302" t="s">
        <v>35255</v>
      </c>
      <c r="C3547">
        <v>133110</v>
      </c>
      <c r="D3547" s="275" t="s">
        <v>15365</v>
      </c>
      <c r="E3547" s="301">
        <v>365904</v>
      </c>
      <c r="F3547" s="303">
        <v>43036</v>
      </c>
      <c r="G3547" s="301">
        <v>365904</v>
      </c>
      <c r="H3547" s="301">
        <f>Tabla15[[#This Row],[Importe]]-Tabla15[[#This Row],[Pagado]]</f>
        <v>0</v>
      </c>
      <c r="I3547" s="275" t="s">
        <v>15214</v>
      </c>
    </row>
    <row r="3548" spans="1:9" x14ac:dyDescent="0.25">
      <c r="A3548" s="420">
        <v>43035</v>
      </c>
      <c r="B3548" s="302" t="s">
        <v>35256</v>
      </c>
      <c r="C3548">
        <v>133111</v>
      </c>
      <c r="D3548" s="275" t="s">
        <v>15267</v>
      </c>
      <c r="E3548" s="301">
        <v>6601.7</v>
      </c>
      <c r="F3548" s="303">
        <v>43035</v>
      </c>
      <c r="G3548" s="301">
        <v>6601.7</v>
      </c>
      <c r="H3548" s="301">
        <f>Tabla15[[#This Row],[Importe]]-Tabla15[[#This Row],[Pagado]]</f>
        <v>0</v>
      </c>
      <c r="I3548" s="275" t="s">
        <v>15214</v>
      </c>
    </row>
    <row r="3549" spans="1:9" x14ac:dyDescent="0.25">
      <c r="A3549" s="420">
        <v>43035</v>
      </c>
      <c r="B3549" s="302" t="s">
        <v>35257</v>
      </c>
      <c r="C3549">
        <v>133112</v>
      </c>
      <c r="D3549" s="275" t="s">
        <v>15435</v>
      </c>
      <c r="E3549" s="301">
        <v>8809.2000000000007</v>
      </c>
      <c r="F3549" s="303">
        <v>43035</v>
      </c>
      <c r="G3549" s="301">
        <v>8809.2000000000007</v>
      </c>
      <c r="H3549" s="301">
        <f>Tabla15[[#This Row],[Importe]]-Tabla15[[#This Row],[Pagado]]</f>
        <v>0</v>
      </c>
      <c r="I3549" s="275" t="s">
        <v>15214</v>
      </c>
    </row>
    <row r="3550" spans="1:9" x14ac:dyDescent="0.25">
      <c r="A3550" s="420">
        <v>43035</v>
      </c>
      <c r="B3550" s="302" t="s">
        <v>35258</v>
      </c>
      <c r="C3550">
        <v>133113</v>
      </c>
      <c r="D3550" s="275" t="s">
        <v>16522</v>
      </c>
      <c r="E3550" s="301">
        <v>3400</v>
      </c>
      <c r="F3550" s="246">
        <v>43117</v>
      </c>
      <c r="G3550" s="14">
        <v>3400</v>
      </c>
      <c r="H3550" s="301">
        <f>Tabla15[[#This Row],[Importe]]-Tabla15[[#This Row],[Pagado]]</f>
        <v>0</v>
      </c>
      <c r="I3550" s="275" t="s">
        <v>15214</v>
      </c>
    </row>
    <row r="3551" spans="1:9" x14ac:dyDescent="0.25">
      <c r="A3551" s="420">
        <v>43035</v>
      </c>
      <c r="B3551" s="302" t="s">
        <v>35259</v>
      </c>
      <c r="C3551">
        <v>133114</v>
      </c>
      <c r="D3551" s="275" t="s">
        <v>15433</v>
      </c>
      <c r="E3551" s="301">
        <v>1276</v>
      </c>
      <c r="F3551" s="303">
        <v>43035</v>
      </c>
      <c r="G3551" s="301">
        <v>1276</v>
      </c>
      <c r="H3551" s="301">
        <f>Tabla15[[#This Row],[Importe]]-Tabla15[[#This Row],[Pagado]]</f>
        <v>0</v>
      </c>
      <c r="I3551" s="275" t="s">
        <v>15214</v>
      </c>
    </row>
    <row r="3552" spans="1:9" x14ac:dyDescent="0.25">
      <c r="A3552" s="420">
        <v>43035</v>
      </c>
      <c r="B3552" s="302" t="s">
        <v>35260</v>
      </c>
      <c r="C3552">
        <v>133115</v>
      </c>
      <c r="D3552" s="275" t="s">
        <v>19680</v>
      </c>
      <c r="E3552" s="301">
        <v>190.6</v>
      </c>
      <c r="F3552" s="303">
        <v>43035</v>
      </c>
      <c r="G3552" s="301">
        <v>190.6</v>
      </c>
      <c r="H3552" s="301">
        <f>Tabla15[[#This Row],[Importe]]-Tabla15[[#This Row],[Pagado]]</f>
        <v>0</v>
      </c>
      <c r="I3552" s="275" t="s">
        <v>15214</v>
      </c>
    </row>
    <row r="3553" spans="1:9" x14ac:dyDescent="0.25">
      <c r="A3553" s="420">
        <v>43035</v>
      </c>
      <c r="B3553" s="302" t="s">
        <v>35261</v>
      </c>
      <c r="C3553">
        <v>133116</v>
      </c>
      <c r="D3553" s="275" t="s">
        <v>15510</v>
      </c>
      <c r="E3553" s="301">
        <v>2659.2</v>
      </c>
      <c r="F3553" s="303">
        <v>43035</v>
      </c>
      <c r="G3553" s="301">
        <v>2659.2</v>
      </c>
      <c r="H3553" s="301">
        <f>Tabla15[[#This Row],[Importe]]-Tabla15[[#This Row],[Pagado]]</f>
        <v>0</v>
      </c>
      <c r="I3553" s="275" t="s">
        <v>15214</v>
      </c>
    </row>
    <row r="3554" spans="1:9" x14ac:dyDescent="0.25">
      <c r="A3554" s="420">
        <v>43035</v>
      </c>
      <c r="B3554" s="302" t="s">
        <v>35262</v>
      </c>
      <c r="C3554">
        <v>133117</v>
      </c>
      <c r="D3554" s="275" t="s">
        <v>15246</v>
      </c>
      <c r="E3554" s="301">
        <v>46872</v>
      </c>
      <c r="F3554" s="303">
        <v>43040</v>
      </c>
      <c r="G3554" s="301">
        <v>46872</v>
      </c>
      <c r="H3554" s="301">
        <f>Tabla15[[#This Row],[Importe]]-Tabla15[[#This Row],[Pagado]]</f>
        <v>0</v>
      </c>
      <c r="I3554" s="275" t="s">
        <v>15214</v>
      </c>
    </row>
    <row r="3555" spans="1:9" x14ac:dyDescent="0.25">
      <c r="A3555" s="420">
        <v>43036</v>
      </c>
      <c r="B3555" s="302" t="s">
        <v>35263</v>
      </c>
      <c r="C3555">
        <v>133118</v>
      </c>
      <c r="D3555" s="275" t="s">
        <v>21386</v>
      </c>
      <c r="E3555" s="301">
        <v>15321.8</v>
      </c>
      <c r="F3555" s="303">
        <v>43038</v>
      </c>
      <c r="G3555" s="301">
        <v>15321.8</v>
      </c>
      <c r="H3555" s="301">
        <f>Tabla15[[#This Row],[Importe]]-Tabla15[[#This Row],[Pagado]]</f>
        <v>0</v>
      </c>
      <c r="I3555" s="275" t="s">
        <v>15214</v>
      </c>
    </row>
    <row r="3556" spans="1:9" x14ac:dyDescent="0.25">
      <c r="A3556" s="420">
        <v>43036</v>
      </c>
      <c r="B3556" s="302" t="s">
        <v>35264</v>
      </c>
      <c r="C3556">
        <v>133119</v>
      </c>
      <c r="D3556" s="275" t="s">
        <v>15213</v>
      </c>
      <c r="E3556" s="301">
        <v>52848.85</v>
      </c>
      <c r="F3556" s="303">
        <v>44134</v>
      </c>
      <c r="G3556" s="305">
        <f>2848.85+50000</f>
        <v>52848.85</v>
      </c>
      <c r="H3556" s="305">
        <f>Tabla15[[#This Row],[Importe]]-Tabla15[[#This Row],[Pagado]]</f>
        <v>0</v>
      </c>
      <c r="I3556" s="275" t="s">
        <v>15214</v>
      </c>
    </row>
    <row r="3557" spans="1:9" x14ac:dyDescent="0.25">
      <c r="A3557" s="420">
        <v>43036</v>
      </c>
      <c r="B3557" s="302" t="s">
        <v>35265</v>
      </c>
      <c r="C3557">
        <v>133120</v>
      </c>
      <c r="D3557" s="275" t="s">
        <v>15216</v>
      </c>
      <c r="E3557" s="301">
        <v>638.4</v>
      </c>
      <c r="F3557" s="303">
        <v>43036</v>
      </c>
      <c r="G3557" s="301">
        <v>638.4</v>
      </c>
      <c r="H3557" s="301">
        <f>Tabla15[[#This Row],[Importe]]-Tabla15[[#This Row],[Pagado]]</f>
        <v>0</v>
      </c>
      <c r="I3557" s="275" t="s">
        <v>15214</v>
      </c>
    </row>
    <row r="3558" spans="1:9" ht="30" x14ac:dyDescent="0.25">
      <c r="A3558" s="420">
        <v>43036</v>
      </c>
      <c r="B3558" s="302" t="s">
        <v>35266</v>
      </c>
      <c r="C3558">
        <v>133121</v>
      </c>
      <c r="D3558" s="275" t="s">
        <v>15510</v>
      </c>
      <c r="E3558" s="301">
        <v>29138.400000000001</v>
      </c>
      <c r="F3558" s="303" t="s">
        <v>34874</v>
      </c>
      <c r="G3558" s="305">
        <f>20000+9138.4</f>
        <v>29138.400000000001</v>
      </c>
      <c r="H3558" s="305">
        <f>Tabla15[[#This Row],[Importe]]-Tabla15[[#This Row],[Pagado]]</f>
        <v>0</v>
      </c>
      <c r="I3558" s="275" t="s">
        <v>15214</v>
      </c>
    </row>
    <row r="3559" spans="1:9" x14ac:dyDescent="0.25">
      <c r="A3559" s="420">
        <v>43036</v>
      </c>
      <c r="B3559" s="302" t="s">
        <v>35267</v>
      </c>
      <c r="C3559">
        <v>133122</v>
      </c>
      <c r="D3559" s="275" t="s">
        <v>15220</v>
      </c>
      <c r="E3559" s="301">
        <v>5750</v>
      </c>
      <c r="F3559" s="303">
        <v>43036</v>
      </c>
      <c r="G3559" s="301">
        <v>5750</v>
      </c>
      <c r="H3559" s="301">
        <f>Tabla15[[#This Row],[Importe]]-Tabla15[[#This Row],[Pagado]]</f>
        <v>0</v>
      </c>
      <c r="I3559" s="275" t="s">
        <v>15214</v>
      </c>
    </row>
    <row r="3560" spans="1:9" ht="15.75" x14ac:dyDescent="0.25">
      <c r="A3560" s="420">
        <v>43036</v>
      </c>
      <c r="B3560" s="302" t="s">
        <v>35268</v>
      </c>
      <c r="C3560">
        <v>133123</v>
      </c>
      <c r="D3560" s="282" t="s">
        <v>95</v>
      </c>
      <c r="E3560" s="301">
        <v>0</v>
      </c>
      <c r="F3560" s="243" t="s">
        <v>95</v>
      </c>
      <c r="G3560" s="301">
        <v>0</v>
      </c>
      <c r="H3560" s="301">
        <f>Tabla15[[#This Row],[Importe]]-Tabla15[[#This Row],[Pagado]]</f>
        <v>0</v>
      </c>
      <c r="I3560" s="275" t="s">
        <v>95</v>
      </c>
    </row>
    <row r="3561" spans="1:9" x14ac:dyDescent="0.25">
      <c r="A3561" s="420">
        <v>43036</v>
      </c>
      <c r="B3561" s="302" t="s">
        <v>35269</v>
      </c>
      <c r="C3561">
        <v>133124</v>
      </c>
      <c r="D3561" s="275" t="s">
        <v>15267</v>
      </c>
      <c r="E3561" s="301">
        <v>17814.599999999999</v>
      </c>
      <c r="F3561" s="303">
        <v>43036</v>
      </c>
      <c r="G3561" s="301">
        <v>17814.599999999999</v>
      </c>
      <c r="H3561" s="301">
        <f>Tabla15[[#This Row],[Importe]]-Tabla15[[#This Row],[Pagado]]</f>
        <v>0</v>
      </c>
      <c r="I3561" s="275" t="s">
        <v>15214</v>
      </c>
    </row>
    <row r="3562" spans="1:9" x14ac:dyDescent="0.25">
      <c r="A3562" s="420">
        <v>43036</v>
      </c>
      <c r="B3562" s="302" t="s">
        <v>35270</v>
      </c>
      <c r="C3562">
        <v>133125</v>
      </c>
      <c r="D3562" s="275" t="s">
        <v>15324</v>
      </c>
      <c r="E3562" s="301">
        <v>2800</v>
      </c>
      <c r="F3562" s="303">
        <v>43036</v>
      </c>
      <c r="G3562" s="301">
        <v>2800</v>
      </c>
      <c r="H3562" s="301">
        <f>Tabla15[[#This Row],[Importe]]-Tabla15[[#This Row],[Pagado]]</f>
        <v>0</v>
      </c>
      <c r="I3562" s="275" t="s">
        <v>15214</v>
      </c>
    </row>
    <row r="3563" spans="1:9" x14ac:dyDescent="0.25">
      <c r="A3563" s="420">
        <v>43036</v>
      </c>
      <c r="B3563" s="302" t="s">
        <v>35271</v>
      </c>
      <c r="C3563">
        <v>133126</v>
      </c>
      <c r="D3563" s="275" t="s">
        <v>15272</v>
      </c>
      <c r="E3563" s="301">
        <v>35578.75</v>
      </c>
      <c r="F3563" s="303">
        <v>43036</v>
      </c>
      <c r="G3563" s="301">
        <v>35578.75</v>
      </c>
      <c r="H3563" s="301">
        <f>Tabla15[[#This Row],[Importe]]-Tabla15[[#This Row],[Pagado]]</f>
        <v>0</v>
      </c>
      <c r="I3563" s="275" t="s">
        <v>15214</v>
      </c>
    </row>
    <row r="3564" spans="1:9" x14ac:dyDescent="0.25">
      <c r="A3564" s="420">
        <v>43036</v>
      </c>
      <c r="B3564" s="302" t="s">
        <v>35272</v>
      </c>
      <c r="C3564">
        <v>133127</v>
      </c>
      <c r="D3564" s="275" t="s">
        <v>15858</v>
      </c>
      <c r="E3564" s="301">
        <v>2682.64</v>
      </c>
      <c r="F3564" s="303">
        <v>43036</v>
      </c>
      <c r="G3564" s="301">
        <v>2682.64</v>
      </c>
      <c r="H3564" s="301">
        <f>Tabla15[[#This Row],[Importe]]-Tabla15[[#This Row],[Pagado]]</f>
        <v>0</v>
      </c>
      <c r="I3564" s="275" t="s">
        <v>15214</v>
      </c>
    </row>
    <row r="3565" spans="1:9" x14ac:dyDescent="0.25">
      <c r="A3565" s="420">
        <v>43036</v>
      </c>
      <c r="B3565" s="302" t="s">
        <v>35273</v>
      </c>
      <c r="C3565">
        <v>133128</v>
      </c>
      <c r="D3565" s="275" t="s">
        <v>15668</v>
      </c>
      <c r="E3565" s="301">
        <v>23138.9</v>
      </c>
      <c r="F3565" s="303">
        <v>43039</v>
      </c>
      <c r="G3565" s="301">
        <v>23138.9</v>
      </c>
      <c r="H3565" s="301">
        <f>Tabla15[[#This Row],[Importe]]-Tabla15[[#This Row],[Pagado]]</f>
        <v>0</v>
      </c>
      <c r="I3565" s="275" t="s">
        <v>15214</v>
      </c>
    </row>
    <row r="3566" spans="1:9" x14ac:dyDescent="0.25">
      <c r="A3566" s="420">
        <v>43036</v>
      </c>
      <c r="B3566" s="302" t="s">
        <v>35274</v>
      </c>
      <c r="C3566">
        <v>133129</v>
      </c>
      <c r="D3566" s="275" t="s">
        <v>15226</v>
      </c>
      <c r="E3566" s="301">
        <v>3947.4</v>
      </c>
      <c r="F3566" s="303">
        <v>43039</v>
      </c>
      <c r="G3566" s="301">
        <v>3947.4</v>
      </c>
      <c r="H3566" s="301">
        <f>Tabla15[[#This Row],[Importe]]-Tabla15[[#This Row],[Pagado]]</f>
        <v>0</v>
      </c>
      <c r="I3566" s="275" t="s">
        <v>15214</v>
      </c>
    </row>
    <row r="3567" spans="1:9" x14ac:dyDescent="0.25">
      <c r="A3567" s="420">
        <v>43036</v>
      </c>
      <c r="B3567" s="302" t="s">
        <v>35275</v>
      </c>
      <c r="C3567">
        <v>133130</v>
      </c>
      <c r="D3567" s="275" t="s">
        <v>16958</v>
      </c>
      <c r="E3567" s="301">
        <v>2356.9</v>
      </c>
      <c r="F3567" s="303">
        <v>43036</v>
      </c>
      <c r="G3567" s="301">
        <v>2356.9</v>
      </c>
      <c r="H3567" s="301">
        <f>Tabla15[[#This Row],[Importe]]-Tabla15[[#This Row],[Pagado]]</f>
        <v>0</v>
      </c>
      <c r="I3567" s="275" t="s">
        <v>15214</v>
      </c>
    </row>
    <row r="3568" spans="1:9" x14ac:dyDescent="0.25">
      <c r="A3568" s="420">
        <v>43036</v>
      </c>
      <c r="B3568" s="302" t="s">
        <v>35276</v>
      </c>
      <c r="C3568">
        <v>133131</v>
      </c>
      <c r="D3568" s="275" t="s">
        <v>15230</v>
      </c>
      <c r="E3568" s="301">
        <v>24487.85</v>
      </c>
      <c r="F3568" s="303">
        <v>43039</v>
      </c>
      <c r="G3568" s="301">
        <v>24487.85</v>
      </c>
      <c r="H3568" s="301">
        <f>Tabla15[[#This Row],[Importe]]-Tabla15[[#This Row],[Pagado]]</f>
        <v>0</v>
      </c>
      <c r="I3568" s="275" t="s">
        <v>15214</v>
      </c>
    </row>
    <row r="3569" spans="1:9" x14ac:dyDescent="0.25">
      <c r="A3569" s="420">
        <v>43036</v>
      </c>
      <c r="B3569" s="302" t="s">
        <v>35277</v>
      </c>
      <c r="C3569">
        <v>133132</v>
      </c>
      <c r="D3569" s="275" t="s">
        <v>17950</v>
      </c>
      <c r="E3569" s="301">
        <v>11765.45</v>
      </c>
      <c r="F3569" s="303">
        <v>43036</v>
      </c>
      <c r="G3569" s="301">
        <v>11765.45</v>
      </c>
      <c r="H3569" s="301">
        <f>Tabla15[[#This Row],[Importe]]-Tabla15[[#This Row],[Pagado]]</f>
        <v>0</v>
      </c>
      <c r="I3569" s="275" t="s">
        <v>15214</v>
      </c>
    </row>
    <row r="3570" spans="1:9" x14ac:dyDescent="0.25">
      <c r="A3570" s="420">
        <v>43036</v>
      </c>
      <c r="B3570" s="302" t="s">
        <v>35278</v>
      </c>
      <c r="C3570">
        <v>133133</v>
      </c>
      <c r="D3570" s="275" t="s">
        <v>15338</v>
      </c>
      <c r="E3570" s="301">
        <v>7640</v>
      </c>
      <c r="F3570" s="303">
        <v>43039</v>
      </c>
      <c r="G3570" s="301">
        <v>7640</v>
      </c>
      <c r="H3570" s="301">
        <f>Tabla15[[#This Row],[Importe]]-Tabla15[[#This Row],[Pagado]]</f>
        <v>0</v>
      </c>
      <c r="I3570" s="275" t="s">
        <v>15214</v>
      </c>
    </row>
    <row r="3571" spans="1:9" x14ac:dyDescent="0.25">
      <c r="A3571" s="420">
        <v>43036</v>
      </c>
      <c r="B3571" s="302" t="s">
        <v>35279</v>
      </c>
      <c r="C3571">
        <v>133134</v>
      </c>
      <c r="D3571" s="275" t="s">
        <v>15681</v>
      </c>
      <c r="E3571" s="301">
        <v>2106.8000000000002</v>
      </c>
      <c r="F3571" s="303">
        <v>43036</v>
      </c>
      <c r="G3571" s="301">
        <v>2106.8000000000002</v>
      </c>
      <c r="H3571" s="301">
        <f>Tabla15[[#This Row],[Importe]]-Tabla15[[#This Row],[Pagado]]</f>
        <v>0</v>
      </c>
      <c r="I3571" s="275" t="s">
        <v>15214</v>
      </c>
    </row>
    <row r="3572" spans="1:9" x14ac:dyDescent="0.25">
      <c r="A3572" s="420">
        <v>43036</v>
      </c>
      <c r="B3572" s="302" t="s">
        <v>35280</v>
      </c>
      <c r="C3572">
        <v>133135</v>
      </c>
      <c r="D3572" s="275" t="s">
        <v>17462</v>
      </c>
      <c r="E3572" s="301">
        <v>8051.1</v>
      </c>
      <c r="F3572" s="303">
        <v>43036</v>
      </c>
      <c r="G3572" s="301">
        <v>8051.1</v>
      </c>
      <c r="H3572" s="301">
        <f>Tabla15[[#This Row],[Importe]]-Tabla15[[#This Row],[Pagado]]</f>
        <v>0</v>
      </c>
      <c r="I3572" s="275" t="s">
        <v>15214</v>
      </c>
    </row>
    <row r="3573" spans="1:9" x14ac:dyDescent="0.25">
      <c r="A3573" s="420">
        <v>43036</v>
      </c>
      <c r="B3573" s="302" t="s">
        <v>35281</v>
      </c>
      <c r="C3573">
        <v>133136</v>
      </c>
      <c r="D3573" s="275" t="s">
        <v>15232</v>
      </c>
      <c r="E3573" s="301">
        <v>13388.2</v>
      </c>
      <c r="F3573" s="303">
        <v>43041</v>
      </c>
      <c r="G3573" s="301">
        <v>13388.2</v>
      </c>
      <c r="H3573" s="301">
        <f>Tabla15[[#This Row],[Importe]]-Tabla15[[#This Row],[Pagado]]</f>
        <v>0</v>
      </c>
      <c r="I3573" s="275" t="s">
        <v>15214</v>
      </c>
    </row>
    <row r="3574" spans="1:9" x14ac:dyDescent="0.25">
      <c r="A3574" s="420">
        <v>43036</v>
      </c>
      <c r="B3574" s="302" t="s">
        <v>35282</v>
      </c>
      <c r="C3574">
        <v>133137</v>
      </c>
      <c r="D3574" s="275" t="s">
        <v>15328</v>
      </c>
      <c r="E3574" s="301">
        <v>127509.7</v>
      </c>
      <c r="F3574" s="303">
        <v>43048</v>
      </c>
      <c r="G3574" s="301">
        <v>127509.7</v>
      </c>
      <c r="H3574" s="301">
        <f>Tabla15[[#This Row],[Importe]]-Tabla15[[#This Row],[Pagado]]</f>
        <v>0</v>
      </c>
      <c r="I3574" s="275" t="s">
        <v>15214</v>
      </c>
    </row>
    <row r="3575" spans="1:9" x14ac:dyDescent="0.25">
      <c r="A3575" s="420">
        <v>43036</v>
      </c>
      <c r="B3575" s="302" t="s">
        <v>35283</v>
      </c>
      <c r="C3575">
        <v>133138</v>
      </c>
      <c r="D3575" s="275" t="s">
        <v>15475</v>
      </c>
      <c r="E3575" s="301">
        <v>6035</v>
      </c>
      <c r="F3575" s="303">
        <v>43039</v>
      </c>
      <c r="G3575" s="301">
        <v>6035</v>
      </c>
      <c r="H3575" s="301">
        <f>Tabla15[[#This Row],[Importe]]-Tabla15[[#This Row],[Pagado]]</f>
        <v>0</v>
      </c>
      <c r="I3575" s="275" t="s">
        <v>15214</v>
      </c>
    </row>
    <row r="3576" spans="1:9" ht="45" x14ac:dyDescent="0.25">
      <c r="A3576" s="420">
        <v>43036</v>
      </c>
      <c r="B3576" s="302" t="s">
        <v>35284</v>
      </c>
      <c r="C3576">
        <v>133139</v>
      </c>
      <c r="D3576" s="275" t="s">
        <v>15256</v>
      </c>
      <c r="E3576" s="301">
        <v>15137.9</v>
      </c>
      <c r="F3576" s="303" t="s">
        <v>35715</v>
      </c>
      <c r="G3576" s="305">
        <f>5800+6400+2937.9</f>
        <v>15137.9</v>
      </c>
      <c r="H3576" s="305">
        <f>Tabla15[[#This Row],[Importe]]-Tabla15[[#This Row],[Pagado]]</f>
        <v>0</v>
      </c>
      <c r="I3576" s="275" t="s">
        <v>15214</v>
      </c>
    </row>
    <row r="3577" spans="1:9" x14ac:dyDescent="0.25">
      <c r="A3577" s="420">
        <v>43036</v>
      </c>
      <c r="B3577" s="302" t="s">
        <v>35285</v>
      </c>
      <c r="C3577">
        <v>133140</v>
      </c>
      <c r="D3577" s="275" t="s">
        <v>15328</v>
      </c>
      <c r="E3577" s="301">
        <v>9170.16</v>
      </c>
      <c r="F3577" s="303">
        <v>43048</v>
      </c>
      <c r="G3577" s="301">
        <v>9170.16</v>
      </c>
      <c r="H3577" s="301">
        <f>Tabla15[[#This Row],[Importe]]-Tabla15[[#This Row],[Pagado]]</f>
        <v>0</v>
      </c>
      <c r="I3577" s="275" t="s">
        <v>15214</v>
      </c>
    </row>
    <row r="3578" spans="1:9" x14ac:dyDescent="0.25">
      <c r="A3578" s="420">
        <v>43036</v>
      </c>
      <c r="B3578" s="302" t="s">
        <v>35286</v>
      </c>
      <c r="C3578">
        <v>133141</v>
      </c>
      <c r="D3578" s="275" t="s">
        <v>15246</v>
      </c>
      <c r="E3578" s="301">
        <v>7000</v>
      </c>
      <c r="F3578" s="303">
        <v>43040</v>
      </c>
      <c r="G3578" s="301">
        <v>7000</v>
      </c>
      <c r="H3578" s="301">
        <f>Tabla15[[#This Row],[Importe]]-Tabla15[[#This Row],[Pagado]]</f>
        <v>0</v>
      </c>
      <c r="I3578" s="275" t="s">
        <v>15214</v>
      </c>
    </row>
    <row r="3579" spans="1:9" x14ac:dyDescent="0.25">
      <c r="A3579" s="420">
        <v>43036</v>
      </c>
      <c r="B3579" s="302" t="s">
        <v>35287</v>
      </c>
      <c r="C3579">
        <v>133142</v>
      </c>
      <c r="D3579" s="275" t="s">
        <v>16023</v>
      </c>
      <c r="E3579" s="301">
        <v>4707</v>
      </c>
      <c r="F3579" s="303">
        <v>43036</v>
      </c>
      <c r="G3579" s="301">
        <v>4707</v>
      </c>
      <c r="H3579" s="301">
        <f>Tabla15[[#This Row],[Importe]]-Tabla15[[#This Row],[Pagado]]</f>
        <v>0</v>
      </c>
      <c r="I3579" s="275" t="s">
        <v>15214</v>
      </c>
    </row>
    <row r="3580" spans="1:9" x14ac:dyDescent="0.25">
      <c r="A3580" s="420">
        <v>43036</v>
      </c>
      <c r="B3580" s="302" t="s">
        <v>35288</v>
      </c>
      <c r="C3580">
        <v>133143</v>
      </c>
      <c r="D3580" s="275" t="s">
        <v>5575</v>
      </c>
      <c r="E3580" s="301">
        <v>9112.25</v>
      </c>
      <c r="F3580" s="303">
        <v>43038</v>
      </c>
      <c r="G3580" s="301">
        <v>9112.25</v>
      </c>
      <c r="H3580" s="301">
        <f>Tabla15[[#This Row],[Importe]]-Tabla15[[#This Row],[Pagado]]</f>
        <v>0</v>
      </c>
      <c r="I3580" s="275" t="s">
        <v>15214</v>
      </c>
    </row>
    <row r="3581" spans="1:9" x14ac:dyDescent="0.25">
      <c r="A3581" s="420">
        <v>43036</v>
      </c>
      <c r="B3581" s="302" t="s">
        <v>35289</v>
      </c>
      <c r="C3581">
        <v>133144</v>
      </c>
      <c r="D3581" s="275" t="s">
        <v>15668</v>
      </c>
      <c r="E3581" s="301">
        <v>760</v>
      </c>
      <c r="F3581" s="303">
        <v>43039</v>
      </c>
      <c r="G3581" s="301">
        <v>760</v>
      </c>
      <c r="H3581" s="301">
        <f>Tabla15[[#This Row],[Importe]]-Tabla15[[#This Row],[Pagado]]</f>
        <v>0</v>
      </c>
      <c r="I3581" s="275" t="s">
        <v>15214</v>
      </c>
    </row>
    <row r="3582" spans="1:9" x14ac:dyDescent="0.25">
      <c r="A3582" s="420">
        <v>43036</v>
      </c>
      <c r="B3582" s="302" t="s">
        <v>35290</v>
      </c>
      <c r="C3582">
        <v>133145</v>
      </c>
      <c r="D3582" s="275" t="s">
        <v>17057</v>
      </c>
      <c r="E3582" s="301">
        <v>6395.6</v>
      </c>
      <c r="F3582" s="303">
        <v>43038</v>
      </c>
      <c r="G3582" s="301">
        <v>6395.6</v>
      </c>
      <c r="H3582" s="301">
        <f>Tabla15[[#This Row],[Importe]]-Tabla15[[#This Row],[Pagado]]</f>
        <v>0</v>
      </c>
      <c r="I3582" s="275" t="s">
        <v>15214</v>
      </c>
    </row>
    <row r="3583" spans="1:9" x14ac:dyDescent="0.25">
      <c r="A3583" s="420">
        <v>43036</v>
      </c>
      <c r="B3583" s="302" t="s">
        <v>35291</v>
      </c>
      <c r="C3583">
        <v>133146</v>
      </c>
      <c r="D3583" s="275" t="s">
        <v>15238</v>
      </c>
      <c r="E3583" s="301">
        <v>7500.2</v>
      </c>
      <c r="F3583" s="303">
        <v>43039</v>
      </c>
      <c r="G3583" s="301">
        <v>7500.2</v>
      </c>
      <c r="H3583" s="301">
        <f>Tabla15[[#This Row],[Importe]]-Tabla15[[#This Row],[Pagado]]</f>
        <v>0</v>
      </c>
      <c r="I3583" s="275" t="s">
        <v>15214</v>
      </c>
    </row>
    <row r="3584" spans="1:9" x14ac:dyDescent="0.25">
      <c r="A3584" s="420">
        <v>43036</v>
      </c>
      <c r="B3584" s="302" t="s">
        <v>35292</v>
      </c>
      <c r="C3584">
        <v>133147</v>
      </c>
      <c r="D3584" s="275" t="s">
        <v>30057</v>
      </c>
      <c r="E3584" s="301">
        <v>2698</v>
      </c>
      <c r="F3584" s="303">
        <v>43038</v>
      </c>
      <c r="G3584" s="301">
        <v>2698</v>
      </c>
      <c r="H3584" s="301">
        <f>Tabla15[[#This Row],[Importe]]-Tabla15[[#This Row],[Pagado]]</f>
        <v>0</v>
      </c>
      <c r="I3584" s="275" t="s">
        <v>15214</v>
      </c>
    </row>
    <row r="3585" spans="1:9" x14ac:dyDescent="0.25">
      <c r="A3585" s="420">
        <v>43036</v>
      </c>
      <c r="B3585" s="302" t="s">
        <v>35293</v>
      </c>
      <c r="C3585">
        <v>133148</v>
      </c>
      <c r="D3585" s="275" t="s">
        <v>23937</v>
      </c>
      <c r="E3585" s="301">
        <v>3164.4</v>
      </c>
      <c r="F3585" s="303">
        <v>43036</v>
      </c>
      <c r="G3585" s="301">
        <v>3164.4</v>
      </c>
      <c r="H3585" s="301">
        <f>Tabla15[[#This Row],[Importe]]-Tabla15[[#This Row],[Pagado]]</f>
        <v>0</v>
      </c>
      <c r="I3585" s="275" t="s">
        <v>15214</v>
      </c>
    </row>
    <row r="3586" spans="1:9" x14ac:dyDescent="0.25">
      <c r="A3586" s="420">
        <v>43036</v>
      </c>
      <c r="B3586" s="302" t="s">
        <v>35294</v>
      </c>
      <c r="C3586">
        <v>133149</v>
      </c>
      <c r="D3586" s="275" t="s">
        <v>15252</v>
      </c>
      <c r="E3586" s="301">
        <v>7695.3</v>
      </c>
      <c r="F3586" s="303">
        <v>43038</v>
      </c>
      <c r="G3586" s="301">
        <v>7695.3</v>
      </c>
      <c r="H3586" s="301">
        <f>Tabla15[[#This Row],[Importe]]-Tabla15[[#This Row],[Pagado]]</f>
        <v>0</v>
      </c>
      <c r="I3586" s="275" t="s">
        <v>15214</v>
      </c>
    </row>
    <row r="3587" spans="1:9" x14ac:dyDescent="0.25">
      <c r="A3587" s="420">
        <v>43036</v>
      </c>
      <c r="B3587" s="302" t="s">
        <v>35295</v>
      </c>
      <c r="C3587">
        <v>133150</v>
      </c>
      <c r="D3587" s="275" t="s">
        <v>15244</v>
      </c>
      <c r="E3587" s="301">
        <v>17232.599999999999</v>
      </c>
      <c r="F3587" s="303">
        <v>43039</v>
      </c>
      <c r="G3587" s="301">
        <v>17232.599999999999</v>
      </c>
      <c r="H3587" s="301">
        <f>Tabla15[[#This Row],[Importe]]-Tabla15[[#This Row],[Pagado]]</f>
        <v>0</v>
      </c>
      <c r="I3587" s="275" t="s">
        <v>15214</v>
      </c>
    </row>
    <row r="3588" spans="1:9" x14ac:dyDescent="0.25">
      <c r="A3588" s="420">
        <v>43036</v>
      </c>
      <c r="B3588" s="302" t="s">
        <v>35296</v>
      </c>
      <c r="C3588">
        <v>133151</v>
      </c>
      <c r="D3588" s="275" t="s">
        <v>15242</v>
      </c>
      <c r="E3588" s="301">
        <v>5640</v>
      </c>
      <c r="F3588" s="303">
        <v>43036</v>
      </c>
      <c r="G3588" s="301">
        <v>5640</v>
      </c>
      <c r="H3588" s="301">
        <f>Tabla15[[#This Row],[Importe]]-Tabla15[[#This Row],[Pagado]]</f>
        <v>0</v>
      </c>
      <c r="I3588" s="275" t="s">
        <v>15214</v>
      </c>
    </row>
    <row r="3589" spans="1:9" ht="30" x14ac:dyDescent="0.25">
      <c r="A3589" s="420">
        <v>43036</v>
      </c>
      <c r="B3589" s="302" t="s">
        <v>35297</v>
      </c>
      <c r="C3589">
        <v>133152</v>
      </c>
      <c r="D3589" s="275" t="s">
        <v>19780</v>
      </c>
      <c r="E3589" s="301">
        <v>24992</v>
      </c>
      <c r="F3589" s="303" t="s">
        <v>34996</v>
      </c>
      <c r="G3589" s="305">
        <f>6500+18492</f>
        <v>24992</v>
      </c>
      <c r="H3589" s="305">
        <f>Tabla15[[#This Row],[Importe]]-Tabla15[[#This Row],[Pagado]]</f>
        <v>0</v>
      </c>
      <c r="I3589" s="275" t="s">
        <v>15214</v>
      </c>
    </row>
    <row r="3590" spans="1:9" x14ac:dyDescent="0.25">
      <c r="A3590" s="420">
        <v>43036</v>
      </c>
      <c r="B3590" s="302" t="s">
        <v>35298</v>
      </c>
      <c r="C3590">
        <v>133153</v>
      </c>
      <c r="D3590" s="275" t="s">
        <v>15315</v>
      </c>
      <c r="E3590" s="301">
        <v>2788.6</v>
      </c>
      <c r="F3590" s="303">
        <v>43036</v>
      </c>
      <c r="G3590" s="301">
        <v>2788.6</v>
      </c>
      <c r="H3590" s="301">
        <f>Tabla15[[#This Row],[Importe]]-Tabla15[[#This Row],[Pagado]]</f>
        <v>0</v>
      </c>
      <c r="I3590" s="275" t="s">
        <v>15214</v>
      </c>
    </row>
    <row r="3591" spans="1:9" x14ac:dyDescent="0.25">
      <c r="A3591" s="420">
        <v>43036</v>
      </c>
      <c r="B3591" s="302" t="s">
        <v>35299</v>
      </c>
      <c r="C3591">
        <v>133154</v>
      </c>
      <c r="D3591" s="275" t="s">
        <v>15334</v>
      </c>
      <c r="E3591" s="301">
        <v>5100</v>
      </c>
      <c r="F3591" s="303">
        <v>43036</v>
      </c>
      <c r="G3591" s="301">
        <v>5100</v>
      </c>
      <c r="H3591" s="301">
        <f>Tabla15[[#This Row],[Importe]]-Tabla15[[#This Row],[Pagado]]</f>
        <v>0</v>
      </c>
      <c r="I3591" s="275" t="s">
        <v>15214</v>
      </c>
    </row>
    <row r="3592" spans="1:9" x14ac:dyDescent="0.25">
      <c r="A3592" s="420">
        <v>43036</v>
      </c>
      <c r="B3592" s="302" t="s">
        <v>35300</v>
      </c>
      <c r="C3592">
        <v>133155</v>
      </c>
      <c r="D3592" s="275" t="s">
        <v>15258</v>
      </c>
      <c r="E3592" s="301">
        <v>11970.6</v>
      </c>
      <c r="F3592" s="303">
        <v>43039</v>
      </c>
      <c r="G3592" s="301">
        <v>11970.6</v>
      </c>
      <c r="H3592" s="301">
        <f>Tabla15[[#This Row],[Importe]]-Tabla15[[#This Row],[Pagado]]</f>
        <v>0</v>
      </c>
      <c r="I3592" s="275" t="s">
        <v>15214</v>
      </c>
    </row>
    <row r="3593" spans="1:9" x14ac:dyDescent="0.25">
      <c r="A3593" s="420">
        <v>43036</v>
      </c>
      <c r="B3593" s="302" t="s">
        <v>35301</v>
      </c>
      <c r="C3593">
        <v>133156</v>
      </c>
      <c r="D3593" s="275" t="s">
        <v>15523</v>
      </c>
      <c r="E3593" s="301">
        <v>6000</v>
      </c>
      <c r="F3593" s="303">
        <v>43036</v>
      </c>
      <c r="G3593" s="301">
        <v>6000</v>
      </c>
      <c r="H3593" s="301">
        <f>Tabla15[[#This Row],[Importe]]-Tabla15[[#This Row],[Pagado]]</f>
        <v>0</v>
      </c>
      <c r="I3593" s="275" t="s">
        <v>15214</v>
      </c>
    </row>
    <row r="3594" spans="1:9" x14ac:dyDescent="0.25">
      <c r="A3594" s="420">
        <v>43036</v>
      </c>
      <c r="B3594" s="302" t="s">
        <v>35302</v>
      </c>
      <c r="C3594">
        <v>133157</v>
      </c>
      <c r="D3594" s="275" t="s">
        <v>15236</v>
      </c>
      <c r="E3594" s="301">
        <v>9188.6</v>
      </c>
      <c r="F3594" s="303">
        <v>43039</v>
      </c>
      <c r="G3594" s="301">
        <v>9188.6</v>
      </c>
      <c r="H3594" s="301">
        <f>Tabla15[[#This Row],[Importe]]-Tabla15[[#This Row],[Pagado]]</f>
        <v>0</v>
      </c>
      <c r="I3594" s="275" t="s">
        <v>15214</v>
      </c>
    </row>
    <row r="3595" spans="1:9" x14ac:dyDescent="0.25">
      <c r="A3595" s="420">
        <v>43036</v>
      </c>
      <c r="B3595" s="302" t="s">
        <v>35303</v>
      </c>
      <c r="C3595">
        <v>133158</v>
      </c>
      <c r="D3595" s="275" t="s">
        <v>15358</v>
      </c>
      <c r="E3595" s="301">
        <v>3070</v>
      </c>
      <c r="F3595" s="303">
        <v>43036</v>
      </c>
      <c r="G3595" s="301">
        <v>3070</v>
      </c>
      <c r="H3595" s="301">
        <f>Tabla15[[#This Row],[Importe]]-Tabla15[[#This Row],[Pagado]]</f>
        <v>0</v>
      </c>
      <c r="I3595" s="275" t="s">
        <v>15214</v>
      </c>
    </row>
    <row r="3596" spans="1:9" x14ac:dyDescent="0.25">
      <c r="A3596" s="420">
        <v>43036</v>
      </c>
      <c r="B3596" s="302" t="s">
        <v>35304</v>
      </c>
      <c r="C3596">
        <v>133159</v>
      </c>
      <c r="D3596" s="275" t="s">
        <v>15742</v>
      </c>
      <c r="E3596" s="301">
        <v>2070.6</v>
      </c>
      <c r="F3596" s="303">
        <v>43036</v>
      </c>
      <c r="G3596" s="301">
        <v>2070.6</v>
      </c>
      <c r="H3596" s="301">
        <f>Tabla15[[#This Row],[Importe]]-Tabla15[[#This Row],[Pagado]]</f>
        <v>0</v>
      </c>
      <c r="I3596" s="275" t="s">
        <v>15214</v>
      </c>
    </row>
    <row r="3597" spans="1:9" x14ac:dyDescent="0.25">
      <c r="A3597" s="420">
        <v>43036</v>
      </c>
      <c r="B3597" s="302" t="s">
        <v>35305</v>
      </c>
      <c r="C3597">
        <v>133160</v>
      </c>
      <c r="D3597" s="275" t="s">
        <v>15344</v>
      </c>
      <c r="E3597" s="301">
        <v>2282.8000000000002</v>
      </c>
      <c r="F3597" s="303">
        <v>43036</v>
      </c>
      <c r="G3597" s="301">
        <v>2282.8000000000002</v>
      </c>
      <c r="H3597" s="301">
        <f>Tabla15[[#This Row],[Importe]]-Tabla15[[#This Row],[Pagado]]</f>
        <v>0</v>
      </c>
      <c r="I3597" s="275" t="s">
        <v>15214</v>
      </c>
    </row>
    <row r="3598" spans="1:9" x14ac:dyDescent="0.25">
      <c r="A3598" s="420">
        <v>43036</v>
      </c>
      <c r="B3598" s="302" t="s">
        <v>35306</v>
      </c>
      <c r="C3598">
        <v>133161</v>
      </c>
      <c r="D3598" s="275" t="s">
        <v>15526</v>
      </c>
      <c r="E3598" s="301">
        <v>5304</v>
      </c>
      <c r="F3598" s="303">
        <v>43036</v>
      </c>
      <c r="G3598" s="301">
        <v>5304</v>
      </c>
      <c r="H3598" s="301">
        <f>Tabla15[[#This Row],[Importe]]-Tabla15[[#This Row],[Pagado]]</f>
        <v>0</v>
      </c>
      <c r="I3598" s="275" t="s">
        <v>15214</v>
      </c>
    </row>
    <row r="3599" spans="1:9" x14ac:dyDescent="0.25">
      <c r="A3599" s="420">
        <v>43036</v>
      </c>
      <c r="B3599" s="302" t="s">
        <v>35307</v>
      </c>
      <c r="C3599">
        <v>133162</v>
      </c>
      <c r="D3599" s="275" t="s">
        <v>15858</v>
      </c>
      <c r="E3599" s="301">
        <v>251.1</v>
      </c>
      <c r="F3599" s="303">
        <v>43036</v>
      </c>
      <c r="G3599" s="301">
        <v>251.1</v>
      </c>
      <c r="H3599" s="301">
        <f>Tabla15[[#This Row],[Importe]]-Tabla15[[#This Row],[Pagado]]</f>
        <v>0</v>
      </c>
      <c r="I3599" s="275" t="s">
        <v>15214</v>
      </c>
    </row>
    <row r="3600" spans="1:9" ht="15.75" x14ac:dyDescent="0.25">
      <c r="A3600" s="420">
        <v>43036</v>
      </c>
      <c r="B3600" s="302" t="s">
        <v>35308</v>
      </c>
      <c r="C3600">
        <v>133163</v>
      </c>
      <c r="D3600" s="248" t="s">
        <v>95</v>
      </c>
      <c r="E3600" s="301">
        <v>0</v>
      </c>
      <c r="F3600" s="243" t="s">
        <v>95</v>
      </c>
      <c r="G3600" s="301">
        <v>0</v>
      </c>
      <c r="H3600" s="301">
        <f>Tabla15[[#This Row],[Importe]]-Tabla15[[#This Row],[Pagado]]</f>
        <v>0</v>
      </c>
      <c r="I3600" s="275" t="s">
        <v>95</v>
      </c>
    </row>
    <row r="3601" spans="1:9" x14ac:dyDescent="0.25">
      <c r="A3601" s="420">
        <v>43036</v>
      </c>
      <c r="B3601" s="302" t="s">
        <v>35309</v>
      </c>
      <c r="C3601">
        <v>133164</v>
      </c>
      <c r="D3601" s="275" t="s">
        <v>17210</v>
      </c>
      <c r="E3601" s="301">
        <v>5569.2</v>
      </c>
      <c r="F3601" s="303">
        <v>43036</v>
      </c>
      <c r="G3601" s="301">
        <v>5569.2</v>
      </c>
      <c r="H3601" s="301">
        <f>Tabla15[[#This Row],[Importe]]-Tabla15[[#This Row],[Pagado]]</f>
        <v>0</v>
      </c>
      <c r="I3601" s="275" t="s">
        <v>15214</v>
      </c>
    </row>
    <row r="3602" spans="1:9" x14ac:dyDescent="0.25">
      <c r="A3602" s="420">
        <v>43036</v>
      </c>
      <c r="B3602" s="302" t="s">
        <v>35310</v>
      </c>
      <c r="C3602">
        <v>133165</v>
      </c>
      <c r="D3602" s="275" t="s">
        <v>15748</v>
      </c>
      <c r="E3602" s="301">
        <v>1880.2</v>
      </c>
      <c r="F3602" s="303">
        <v>43036</v>
      </c>
      <c r="G3602" s="301">
        <v>1880.2</v>
      </c>
      <c r="H3602" s="301">
        <f>Tabla15[[#This Row],[Importe]]-Tabla15[[#This Row],[Pagado]]</f>
        <v>0</v>
      </c>
      <c r="I3602" s="275" t="s">
        <v>15214</v>
      </c>
    </row>
    <row r="3603" spans="1:9" x14ac:dyDescent="0.25">
      <c r="A3603" s="420">
        <v>43036</v>
      </c>
      <c r="B3603" s="302" t="s">
        <v>35311</v>
      </c>
      <c r="C3603">
        <v>133166</v>
      </c>
      <c r="D3603" s="275" t="s">
        <v>15356</v>
      </c>
      <c r="E3603" s="301">
        <v>2596</v>
      </c>
      <c r="F3603" s="303">
        <v>43036</v>
      </c>
      <c r="G3603" s="301">
        <v>2596</v>
      </c>
      <c r="H3603" s="301">
        <f>Tabla15[[#This Row],[Importe]]-Tabla15[[#This Row],[Pagado]]</f>
        <v>0</v>
      </c>
      <c r="I3603" s="275" t="s">
        <v>15214</v>
      </c>
    </row>
    <row r="3604" spans="1:9" x14ac:dyDescent="0.25">
      <c r="A3604" s="420">
        <v>43036</v>
      </c>
      <c r="B3604" s="302" t="s">
        <v>35312</v>
      </c>
      <c r="C3604">
        <v>133167</v>
      </c>
      <c r="D3604" s="275" t="s">
        <v>15240</v>
      </c>
      <c r="E3604" s="301">
        <v>445.9</v>
      </c>
      <c r="F3604" s="303">
        <v>43038</v>
      </c>
      <c r="G3604" s="301">
        <v>445.9</v>
      </c>
      <c r="H3604" s="301">
        <f>Tabla15[[#This Row],[Importe]]-Tabla15[[#This Row],[Pagado]]</f>
        <v>0</v>
      </c>
      <c r="I3604" s="275" t="s">
        <v>15214</v>
      </c>
    </row>
    <row r="3605" spans="1:9" ht="30" x14ac:dyDescent="0.25">
      <c r="A3605" s="420">
        <v>43036</v>
      </c>
      <c r="B3605" s="302" t="s">
        <v>35313</v>
      </c>
      <c r="C3605">
        <v>133168</v>
      </c>
      <c r="D3605" s="275" t="s">
        <v>15480</v>
      </c>
      <c r="E3605" s="301">
        <v>5759.25</v>
      </c>
      <c r="F3605" s="303" t="s">
        <v>35713</v>
      </c>
      <c r="G3605" s="305">
        <f>3250+2509.25</f>
        <v>5759.25</v>
      </c>
      <c r="H3605" s="305">
        <f>Tabla15[[#This Row],[Importe]]-Tabla15[[#This Row],[Pagado]]</f>
        <v>0</v>
      </c>
      <c r="I3605" s="275" t="s">
        <v>15214</v>
      </c>
    </row>
    <row r="3606" spans="1:9" x14ac:dyDescent="0.25">
      <c r="A3606" s="420">
        <v>43036</v>
      </c>
      <c r="B3606" s="302" t="s">
        <v>35314</v>
      </c>
      <c r="C3606">
        <v>133169</v>
      </c>
      <c r="D3606" s="275" t="s">
        <v>15348</v>
      </c>
      <c r="E3606" s="301">
        <v>2662</v>
      </c>
      <c r="F3606" s="303">
        <v>43038</v>
      </c>
      <c r="G3606" s="301">
        <v>2662</v>
      </c>
      <c r="H3606" s="301">
        <f>Tabla15[[#This Row],[Importe]]-Tabla15[[#This Row],[Pagado]]</f>
        <v>0</v>
      </c>
      <c r="I3606" s="275" t="s">
        <v>15214</v>
      </c>
    </row>
    <row r="3607" spans="1:9" x14ac:dyDescent="0.25">
      <c r="A3607" s="420">
        <v>43036</v>
      </c>
      <c r="B3607" s="302" t="s">
        <v>35315</v>
      </c>
      <c r="C3607">
        <v>133170</v>
      </c>
      <c r="D3607" s="275" t="s">
        <v>15861</v>
      </c>
      <c r="E3607" s="301">
        <v>4068.8</v>
      </c>
      <c r="F3607" s="303">
        <v>43036</v>
      </c>
      <c r="G3607" s="301">
        <v>4068.8</v>
      </c>
      <c r="H3607" s="301">
        <f>Tabla15[[#This Row],[Importe]]-Tabla15[[#This Row],[Pagado]]</f>
        <v>0</v>
      </c>
      <c r="I3607" s="275" t="s">
        <v>15214</v>
      </c>
    </row>
    <row r="3608" spans="1:9" x14ac:dyDescent="0.25">
      <c r="A3608" s="420">
        <v>43036</v>
      </c>
      <c r="B3608" s="302" t="s">
        <v>35316</v>
      </c>
      <c r="C3608">
        <v>133171</v>
      </c>
      <c r="D3608" s="275" t="s">
        <v>34058</v>
      </c>
      <c r="E3608" s="301">
        <v>1190.5999999999999</v>
      </c>
      <c r="F3608" s="303">
        <v>43036</v>
      </c>
      <c r="G3608" s="301">
        <v>1190.5999999999999</v>
      </c>
      <c r="H3608" s="301">
        <f>Tabla15[[#This Row],[Importe]]-Tabla15[[#This Row],[Pagado]]</f>
        <v>0</v>
      </c>
      <c r="I3608" s="275" t="s">
        <v>15214</v>
      </c>
    </row>
    <row r="3609" spans="1:9" x14ac:dyDescent="0.25">
      <c r="A3609" s="420">
        <v>43036</v>
      </c>
      <c r="B3609" s="302" t="s">
        <v>35317</v>
      </c>
      <c r="C3609">
        <v>133172</v>
      </c>
      <c r="D3609" s="275" t="s">
        <v>15261</v>
      </c>
      <c r="E3609" s="301">
        <v>29527.85</v>
      </c>
      <c r="F3609" s="303">
        <v>43036</v>
      </c>
      <c r="G3609" s="301">
        <v>29527.85</v>
      </c>
      <c r="H3609" s="301">
        <f>Tabla15[[#This Row],[Importe]]-Tabla15[[#This Row],[Pagado]]</f>
        <v>0</v>
      </c>
      <c r="I3609" s="275" t="s">
        <v>15214</v>
      </c>
    </row>
    <row r="3610" spans="1:9" x14ac:dyDescent="0.25">
      <c r="A3610" s="420">
        <v>43036</v>
      </c>
      <c r="B3610" s="302" t="s">
        <v>35318</v>
      </c>
      <c r="C3610">
        <v>133173</v>
      </c>
      <c r="D3610" s="275" t="s">
        <v>15280</v>
      </c>
      <c r="E3610" s="301">
        <v>6529.1</v>
      </c>
      <c r="F3610" s="303">
        <v>43036</v>
      </c>
      <c r="G3610" s="301">
        <v>6529.1</v>
      </c>
      <c r="H3610" s="301">
        <f>Tabla15[[#This Row],[Importe]]-Tabla15[[#This Row],[Pagado]]</f>
        <v>0</v>
      </c>
      <c r="I3610" s="275" t="s">
        <v>15214</v>
      </c>
    </row>
    <row r="3611" spans="1:9" x14ac:dyDescent="0.25">
      <c r="A3611" s="420">
        <v>43036</v>
      </c>
      <c r="B3611" s="302" t="s">
        <v>35319</v>
      </c>
      <c r="C3611">
        <v>133174</v>
      </c>
      <c r="D3611" s="275" t="s">
        <v>15261</v>
      </c>
      <c r="E3611" s="301">
        <v>10668</v>
      </c>
      <c r="F3611" s="303">
        <v>43036</v>
      </c>
      <c r="G3611" s="301">
        <v>10668</v>
      </c>
      <c r="H3611" s="301">
        <f>Tabla15[[#This Row],[Importe]]-Tabla15[[#This Row],[Pagado]]</f>
        <v>0</v>
      </c>
      <c r="I3611" s="275" t="s">
        <v>15214</v>
      </c>
    </row>
    <row r="3612" spans="1:9" x14ac:dyDescent="0.25">
      <c r="A3612" s="420">
        <v>43036</v>
      </c>
      <c r="B3612" s="302" t="s">
        <v>35320</v>
      </c>
      <c r="C3612">
        <v>133175</v>
      </c>
      <c r="D3612" s="275" t="s">
        <v>15354</v>
      </c>
      <c r="E3612" s="301">
        <v>3993.6</v>
      </c>
      <c r="F3612" s="303">
        <v>43036</v>
      </c>
      <c r="G3612" s="301">
        <v>3993.6</v>
      </c>
      <c r="H3612" s="301">
        <f>Tabla15[[#This Row],[Importe]]-Tabla15[[#This Row],[Pagado]]</f>
        <v>0</v>
      </c>
      <c r="I3612" s="275" t="s">
        <v>15214</v>
      </c>
    </row>
    <row r="3613" spans="1:9" x14ac:dyDescent="0.25">
      <c r="A3613" s="420">
        <v>43036</v>
      </c>
      <c r="B3613" s="302" t="s">
        <v>35321</v>
      </c>
      <c r="C3613">
        <v>133176</v>
      </c>
      <c r="D3613" s="275" t="s">
        <v>15336</v>
      </c>
      <c r="E3613" s="301">
        <v>13300</v>
      </c>
      <c r="F3613" s="303">
        <v>43036</v>
      </c>
      <c r="G3613" s="301">
        <v>13300</v>
      </c>
      <c r="H3613" s="301">
        <f>Tabla15[[#This Row],[Importe]]-Tabla15[[#This Row],[Pagado]]</f>
        <v>0</v>
      </c>
      <c r="I3613" s="275" t="s">
        <v>15214</v>
      </c>
    </row>
    <row r="3614" spans="1:9" x14ac:dyDescent="0.25">
      <c r="A3614" s="420">
        <v>43036</v>
      </c>
      <c r="B3614" s="302" t="s">
        <v>35322</v>
      </c>
      <c r="C3614">
        <v>133177</v>
      </c>
      <c r="D3614" s="275" t="s">
        <v>15332</v>
      </c>
      <c r="E3614" s="301">
        <v>5007.8</v>
      </c>
      <c r="F3614" s="303">
        <v>43036</v>
      </c>
      <c r="G3614" s="301">
        <v>5007.8</v>
      </c>
      <c r="H3614" s="301">
        <f>Tabla15[[#This Row],[Importe]]-Tabla15[[#This Row],[Pagado]]</f>
        <v>0</v>
      </c>
      <c r="I3614" s="275" t="s">
        <v>15214</v>
      </c>
    </row>
    <row r="3615" spans="1:9" x14ac:dyDescent="0.25">
      <c r="A3615" s="420">
        <v>43036</v>
      </c>
      <c r="B3615" s="302" t="s">
        <v>35323</v>
      </c>
      <c r="C3615">
        <v>133178</v>
      </c>
      <c r="D3615" s="275" t="s">
        <v>15530</v>
      </c>
      <c r="E3615" s="301">
        <v>2361.8000000000002</v>
      </c>
      <c r="F3615" s="303">
        <v>43036</v>
      </c>
      <c r="G3615" s="301">
        <v>2361.8000000000002</v>
      </c>
      <c r="H3615" s="301">
        <f>Tabla15[[#This Row],[Importe]]-Tabla15[[#This Row],[Pagado]]</f>
        <v>0</v>
      </c>
      <c r="I3615" s="275" t="s">
        <v>15214</v>
      </c>
    </row>
    <row r="3616" spans="1:9" x14ac:dyDescent="0.25">
      <c r="A3616" s="420">
        <v>43036</v>
      </c>
      <c r="B3616" s="302" t="s">
        <v>35324</v>
      </c>
      <c r="C3616">
        <v>133179</v>
      </c>
      <c r="D3616" s="275" t="s">
        <v>15248</v>
      </c>
      <c r="E3616" s="301">
        <v>28004.42</v>
      </c>
      <c r="F3616" s="303">
        <v>43036</v>
      </c>
      <c r="G3616" s="301">
        <v>28004.42</v>
      </c>
      <c r="H3616" s="301">
        <f>Tabla15[[#This Row],[Importe]]-Tabla15[[#This Row],[Pagado]]</f>
        <v>0</v>
      </c>
      <c r="I3616" s="275" t="s">
        <v>15214</v>
      </c>
    </row>
    <row r="3617" spans="1:9" x14ac:dyDescent="0.25">
      <c r="A3617" s="420">
        <v>43036</v>
      </c>
      <c r="B3617" s="302" t="s">
        <v>35325</v>
      </c>
      <c r="C3617">
        <v>133180</v>
      </c>
      <c r="D3617" s="275" t="s">
        <v>15342</v>
      </c>
      <c r="E3617" s="301">
        <v>1209.7</v>
      </c>
      <c r="F3617" s="303">
        <v>43036</v>
      </c>
      <c r="G3617" s="301">
        <v>1209.7</v>
      </c>
      <c r="H3617" s="301">
        <f>Tabla15[[#This Row],[Importe]]-Tabla15[[#This Row],[Pagado]]</f>
        <v>0</v>
      </c>
      <c r="I3617" s="275" t="s">
        <v>15214</v>
      </c>
    </row>
    <row r="3618" spans="1:9" x14ac:dyDescent="0.25">
      <c r="A3618" s="420">
        <v>43036</v>
      </c>
      <c r="B3618" s="302" t="s">
        <v>35326</v>
      </c>
      <c r="C3618">
        <v>133181</v>
      </c>
      <c r="D3618" s="275" t="s">
        <v>17235</v>
      </c>
      <c r="E3618" s="301">
        <v>1198.56</v>
      </c>
      <c r="F3618" s="303">
        <v>43038</v>
      </c>
      <c r="G3618" s="301">
        <v>1198.56</v>
      </c>
      <c r="H3618" s="301">
        <f>Tabla15[[#This Row],[Importe]]-Tabla15[[#This Row],[Pagado]]</f>
        <v>0</v>
      </c>
      <c r="I3618" s="275" t="s">
        <v>15214</v>
      </c>
    </row>
    <row r="3619" spans="1:9" x14ac:dyDescent="0.25">
      <c r="A3619" s="420">
        <v>43036</v>
      </c>
      <c r="B3619" s="302" t="s">
        <v>35327</v>
      </c>
      <c r="C3619">
        <v>133182</v>
      </c>
      <c r="D3619" s="275" t="s">
        <v>15352</v>
      </c>
      <c r="E3619" s="301">
        <v>679.4</v>
      </c>
      <c r="F3619" s="303">
        <v>43036</v>
      </c>
      <c r="G3619" s="301">
        <v>679.4</v>
      </c>
      <c r="H3619" s="301">
        <f>Tabla15[[#This Row],[Importe]]-Tabla15[[#This Row],[Pagado]]</f>
        <v>0</v>
      </c>
      <c r="I3619" s="275" t="s">
        <v>15214</v>
      </c>
    </row>
    <row r="3620" spans="1:9" ht="15.75" x14ac:dyDescent="0.25">
      <c r="A3620" s="420">
        <v>43036</v>
      </c>
      <c r="B3620" s="302" t="s">
        <v>35328</v>
      </c>
      <c r="C3620">
        <v>133183</v>
      </c>
      <c r="D3620" s="248" t="s">
        <v>95</v>
      </c>
      <c r="E3620" s="301">
        <v>0</v>
      </c>
      <c r="F3620" s="243" t="s">
        <v>95</v>
      </c>
      <c r="G3620" s="301">
        <v>0</v>
      </c>
      <c r="H3620" s="301">
        <f>Tabla15[[#This Row],[Importe]]-Tabla15[[#This Row],[Pagado]]</f>
        <v>0</v>
      </c>
      <c r="I3620" s="275" t="s">
        <v>95</v>
      </c>
    </row>
    <row r="3621" spans="1:9" x14ac:dyDescent="0.25">
      <c r="A3621" s="420">
        <v>43036</v>
      </c>
      <c r="B3621" s="302" t="s">
        <v>35329</v>
      </c>
      <c r="C3621">
        <v>133184</v>
      </c>
      <c r="D3621" s="275" t="s">
        <v>15728</v>
      </c>
      <c r="E3621" s="301">
        <v>16412.400000000001</v>
      </c>
      <c r="F3621" s="303">
        <v>43036</v>
      </c>
      <c r="G3621" s="301">
        <v>16412.400000000001</v>
      </c>
      <c r="H3621" s="301">
        <f>Tabla15[[#This Row],[Importe]]-Tabla15[[#This Row],[Pagado]]</f>
        <v>0</v>
      </c>
      <c r="I3621" s="275" t="s">
        <v>15214</v>
      </c>
    </row>
    <row r="3622" spans="1:9" x14ac:dyDescent="0.25">
      <c r="A3622" s="420">
        <v>43036</v>
      </c>
      <c r="B3622" s="302" t="s">
        <v>35330</v>
      </c>
      <c r="C3622">
        <v>133185</v>
      </c>
      <c r="D3622" s="275" t="s">
        <v>15246</v>
      </c>
      <c r="E3622" s="301">
        <v>18877.8</v>
      </c>
      <c r="F3622" s="303">
        <v>43040</v>
      </c>
      <c r="G3622" s="301">
        <v>18877.8</v>
      </c>
      <c r="H3622" s="301">
        <f>Tabla15[[#This Row],[Importe]]-Tabla15[[#This Row],[Pagado]]</f>
        <v>0</v>
      </c>
      <c r="I3622" s="275" t="s">
        <v>15214</v>
      </c>
    </row>
    <row r="3623" spans="1:9" x14ac:dyDescent="0.25">
      <c r="A3623" s="420">
        <v>43036</v>
      </c>
      <c r="B3623" s="302" t="s">
        <v>35331</v>
      </c>
      <c r="C3623">
        <v>133186</v>
      </c>
      <c r="D3623" s="275" t="s">
        <v>15223</v>
      </c>
      <c r="E3623" s="301">
        <v>65204.800000000003</v>
      </c>
      <c r="F3623" s="303">
        <v>43062</v>
      </c>
      <c r="G3623" s="301">
        <v>65204.800000000003</v>
      </c>
      <c r="H3623" s="301">
        <f>Tabla15[[#This Row],[Importe]]-Tabla15[[#This Row],[Pagado]]</f>
        <v>0</v>
      </c>
      <c r="I3623" s="275" t="s">
        <v>15214</v>
      </c>
    </row>
    <row r="3624" spans="1:9" x14ac:dyDescent="0.25">
      <c r="A3624" s="420">
        <v>43036</v>
      </c>
      <c r="B3624" s="302" t="s">
        <v>35332</v>
      </c>
      <c r="C3624">
        <v>133187</v>
      </c>
      <c r="D3624" s="275" t="s">
        <v>15725</v>
      </c>
      <c r="E3624" s="301">
        <v>31835.9</v>
      </c>
      <c r="F3624" s="303">
        <v>43038</v>
      </c>
      <c r="G3624" s="301">
        <v>31835.9</v>
      </c>
      <c r="H3624" s="301">
        <f>Tabla15[[#This Row],[Importe]]-Tabla15[[#This Row],[Pagado]]</f>
        <v>0</v>
      </c>
      <c r="I3624" s="275" t="s">
        <v>15214</v>
      </c>
    </row>
    <row r="3625" spans="1:9" x14ac:dyDescent="0.25">
      <c r="A3625" s="420">
        <v>43036</v>
      </c>
      <c r="B3625" s="302" t="s">
        <v>35333</v>
      </c>
      <c r="C3625">
        <v>133188</v>
      </c>
      <c r="D3625" s="275" t="s">
        <v>15315</v>
      </c>
      <c r="E3625" s="301">
        <v>1788.9</v>
      </c>
      <c r="F3625" s="303">
        <v>43036</v>
      </c>
      <c r="G3625" s="301">
        <v>1788.9</v>
      </c>
      <c r="H3625" s="301">
        <f>Tabla15[[#This Row],[Importe]]-Tabla15[[#This Row],[Pagado]]</f>
        <v>0</v>
      </c>
      <c r="I3625" s="275" t="s">
        <v>15214</v>
      </c>
    </row>
    <row r="3626" spans="1:9" x14ac:dyDescent="0.25">
      <c r="A3626" s="420">
        <v>43036</v>
      </c>
      <c r="B3626" s="302" t="s">
        <v>35334</v>
      </c>
      <c r="C3626">
        <v>133189</v>
      </c>
      <c r="D3626" s="275" t="s">
        <v>15391</v>
      </c>
      <c r="E3626" s="301">
        <v>23228.400000000001</v>
      </c>
      <c r="F3626" s="303">
        <v>43038</v>
      </c>
      <c r="G3626" s="301">
        <v>23228.400000000001</v>
      </c>
      <c r="H3626" s="301">
        <f>Tabla15[[#This Row],[Importe]]-Tabla15[[#This Row],[Pagado]]</f>
        <v>0</v>
      </c>
      <c r="I3626" s="275" t="s">
        <v>15214</v>
      </c>
    </row>
    <row r="3627" spans="1:9" x14ac:dyDescent="0.25">
      <c r="A3627" s="420">
        <v>43036</v>
      </c>
      <c r="B3627" s="302" t="s">
        <v>35335</v>
      </c>
      <c r="C3627">
        <v>133190</v>
      </c>
      <c r="D3627" s="275" t="s">
        <v>15315</v>
      </c>
      <c r="E3627" s="301">
        <v>2286.1999999999998</v>
      </c>
      <c r="F3627" s="303">
        <v>43036</v>
      </c>
      <c r="G3627" s="301">
        <v>2286.1999999999998</v>
      </c>
      <c r="H3627" s="301">
        <f>Tabla15[[#This Row],[Importe]]-Tabla15[[#This Row],[Pagado]]</f>
        <v>0</v>
      </c>
      <c r="I3627" s="275" t="s">
        <v>15214</v>
      </c>
    </row>
    <row r="3628" spans="1:9" x14ac:dyDescent="0.25">
      <c r="A3628" s="420">
        <v>43036</v>
      </c>
      <c r="B3628" s="302" t="s">
        <v>35336</v>
      </c>
      <c r="C3628">
        <v>133191</v>
      </c>
      <c r="D3628" s="275" t="s">
        <v>15315</v>
      </c>
      <c r="E3628" s="301">
        <v>388</v>
      </c>
      <c r="F3628" s="303">
        <v>43036</v>
      </c>
      <c r="G3628" s="301">
        <v>388</v>
      </c>
      <c r="H3628" s="301">
        <f>Tabla15[[#This Row],[Importe]]-Tabla15[[#This Row],[Pagado]]</f>
        <v>0</v>
      </c>
      <c r="I3628" s="275" t="s">
        <v>15214</v>
      </c>
    </row>
    <row r="3629" spans="1:9" x14ac:dyDescent="0.25">
      <c r="A3629" s="420">
        <v>43036</v>
      </c>
      <c r="B3629" s="302" t="s">
        <v>35337</v>
      </c>
      <c r="C3629">
        <v>133192</v>
      </c>
      <c r="D3629" s="275" t="s">
        <v>15596</v>
      </c>
      <c r="E3629" s="301">
        <v>1500</v>
      </c>
      <c r="F3629" s="303">
        <v>43038</v>
      </c>
      <c r="G3629" s="301">
        <v>1500</v>
      </c>
      <c r="H3629" s="301">
        <f>Tabla15[[#This Row],[Importe]]-Tabla15[[#This Row],[Pagado]]</f>
        <v>0</v>
      </c>
      <c r="I3629" s="275" t="s">
        <v>15214</v>
      </c>
    </row>
    <row r="3630" spans="1:9" x14ac:dyDescent="0.25">
      <c r="A3630" s="420">
        <v>43036</v>
      </c>
      <c r="B3630" s="302" t="s">
        <v>35338</v>
      </c>
      <c r="C3630">
        <v>133193</v>
      </c>
      <c r="D3630" s="275" t="s">
        <v>15716</v>
      </c>
      <c r="E3630" s="301">
        <v>16217.25</v>
      </c>
      <c r="F3630" s="303">
        <v>43036</v>
      </c>
      <c r="G3630" s="301">
        <v>16217.25</v>
      </c>
      <c r="H3630" s="301">
        <f>Tabla15[[#This Row],[Importe]]-Tabla15[[#This Row],[Pagado]]</f>
        <v>0</v>
      </c>
      <c r="I3630" s="275" t="s">
        <v>15214</v>
      </c>
    </row>
    <row r="3631" spans="1:9" x14ac:dyDescent="0.25">
      <c r="A3631" s="420">
        <v>43036</v>
      </c>
      <c r="B3631" s="302" t="s">
        <v>35339</v>
      </c>
      <c r="C3631">
        <v>133194</v>
      </c>
      <c r="D3631" s="275" t="s">
        <v>16263</v>
      </c>
      <c r="E3631" s="301">
        <v>3540.9</v>
      </c>
      <c r="F3631" s="303">
        <v>43036</v>
      </c>
      <c r="G3631" s="301">
        <v>3540.9</v>
      </c>
      <c r="H3631" s="301">
        <f>Tabla15[[#This Row],[Importe]]-Tabla15[[#This Row],[Pagado]]</f>
        <v>0</v>
      </c>
      <c r="I3631" s="275" t="s">
        <v>15214</v>
      </c>
    </row>
    <row r="3632" spans="1:9" ht="30" x14ac:dyDescent="0.25">
      <c r="A3632" s="420">
        <v>43036</v>
      </c>
      <c r="B3632" s="302" t="s">
        <v>35340</v>
      </c>
      <c r="C3632">
        <v>133195</v>
      </c>
      <c r="D3632" s="275" t="s">
        <v>15385</v>
      </c>
      <c r="E3632" s="301">
        <v>15280</v>
      </c>
      <c r="F3632" s="303" t="s">
        <v>34874</v>
      </c>
      <c r="G3632" s="305">
        <f>13000+2280</f>
        <v>15280</v>
      </c>
      <c r="H3632" s="305">
        <f>Tabla15[[#This Row],[Importe]]-Tabla15[[#This Row],[Pagado]]</f>
        <v>0</v>
      </c>
      <c r="I3632" s="275" t="s">
        <v>15214</v>
      </c>
    </row>
    <row r="3633" spans="1:9" x14ac:dyDescent="0.25">
      <c r="A3633" s="420">
        <v>43036</v>
      </c>
      <c r="B3633" s="302" t="s">
        <v>35341</v>
      </c>
      <c r="C3633">
        <v>133196</v>
      </c>
      <c r="D3633" s="275" t="s">
        <v>15387</v>
      </c>
      <c r="E3633" s="301">
        <v>2318.96</v>
      </c>
      <c r="F3633" s="303">
        <v>43036</v>
      </c>
      <c r="G3633" s="301">
        <v>2318.96</v>
      </c>
      <c r="H3633" s="301">
        <f>Tabla15[[#This Row],[Importe]]-Tabla15[[#This Row],[Pagado]]</f>
        <v>0</v>
      </c>
      <c r="I3633" s="275" t="s">
        <v>15214</v>
      </c>
    </row>
    <row r="3634" spans="1:9" x14ac:dyDescent="0.25">
      <c r="A3634" s="420">
        <v>43036</v>
      </c>
      <c r="B3634" s="302" t="s">
        <v>35342</v>
      </c>
      <c r="C3634">
        <v>133197</v>
      </c>
      <c r="D3634" s="275" t="s">
        <v>17708</v>
      </c>
      <c r="E3634" s="301">
        <v>3813.92</v>
      </c>
      <c r="F3634" s="303">
        <v>43036</v>
      </c>
      <c r="G3634" s="301">
        <v>3813.92</v>
      </c>
      <c r="H3634" s="301">
        <f>Tabla15[[#This Row],[Importe]]-Tabla15[[#This Row],[Pagado]]</f>
        <v>0</v>
      </c>
      <c r="I3634" s="275" t="s">
        <v>15214</v>
      </c>
    </row>
    <row r="3635" spans="1:9" x14ac:dyDescent="0.25">
      <c r="A3635" s="420">
        <v>43036</v>
      </c>
      <c r="B3635" s="302" t="s">
        <v>35343</v>
      </c>
      <c r="C3635">
        <v>133198</v>
      </c>
      <c r="D3635" s="275" t="s">
        <v>15818</v>
      </c>
      <c r="E3635" s="301">
        <v>3124.2</v>
      </c>
      <c r="F3635" s="303">
        <v>43036</v>
      </c>
      <c r="G3635" s="301">
        <v>3124.2</v>
      </c>
      <c r="H3635" s="301">
        <f>Tabla15[[#This Row],[Importe]]-Tabla15[[#This Row],[Pagado]]</f>
        <v>0</v>
      </c>
      <c r="I3635" s="275" t="s">
        <v>15214</v>
      </c>
    </row>
    <row r="3636" spans="1:9" x14ac:dyDescent="0.25">
      <c r="A3636" s="420">
        <v>43036</v>
      </c>
      <c r="B3636" s="302" t="s">
        <v>35344</v>
      </c>
      <c r="C3636">
        <v>133199</v>
      </c>
      <c r="D3636" s="275" t="s">
        <v>15782</v>
      </c>
      <c r="E3636" s="301">
        <v>1435.7</v>
      </c>
      <c r="F3636" s="303">
        <v>43038</v>
      </c>
      <c r="G3636" s="301">
        <v>1435.7</v>
      </c>
      <c r="H3636" s="301">
        <f>Tabla15[[#This Row],[Importe]]-Tabla15[[#This Row],[Pagado]]</f>
        <v>0</v>
      </c>
      <c r="I3636" s="275" t="s">
        <v>15214</v>
      </c>
    </row>
    <row r="3637" spans="1:9" x14ac:dyDescent="0.25">
      <c r="A3637" s="420">
        <v>43036</v>
      </c>
      <c r="B3637" s="302" t="s">
        <v>35345</v>
      </c>
      <c r="C3637">
        <v>133200</v>
      </c>
      <c r="D3637" s="275" t="s">
        <v>15309</v>
      </c>
      <c r="E3637" s="301">
        <v>2197.4</v>
      </c>
      <c r="F3637" s="303">
        <v>43038</v>
      </c>
      <c r="G3637" s="301">
        <v>2197.4</v>
      </c>
      <c r="H3637" s="301">
        <f>Tabla15[[#This Row],[Importe]]-Tabla15[[#This Row],[Pagado]]</f>
        <v>0</v>
      </c>
      <c r="I3637" s="275" t="s">
        <v>15214</v>
      </c>
    </row>
    <row r="3638" spans="1:9" x14ac:dyDescent="0.25">
      <c r="A3638" s="420">
        <v>43036</v>
      </c>
      <c r="B3638" s="302" t="s">
        <v>35346</v>
      </c>
      <c r="C3638">
        <v>133201</v>
      </c>
      <c r="D3638" s="275" t="s">
        <v>29500</v>
      </c>
      <c r="E3638" s="301">
        <v>6000</v>
      </c>
      <c r="F3638" s="303">
        <v>43038</v>
      </c>
      <c r="G3638" s="301">
        <v>6000</v>
      </c>
      <c r="H3638" s="301">
        <f>Tabla15[[#This Row],[Importe]]-Tabla15[[#This Row],[Pagado]]</f>
        <v>0</v>
      </c>
      <c r="I3638" s="275" t="s">
        <v>15214</v>
      </c>
    </row>
    <row r="3639" spans="1:9" x14ac:dyDescent="0.25">
      <c r="A3639" s="420">
        <v>43036</v>
      </c>
      <c r="B3639" s="302" t="s">
        <v>35347</v>
      </c>
      <c r="C3639">
        <v>133202</v>
      </c>
      <c r="D3639" s="275" t="s">
        <v>15276</v>
      </c>
      <c r="E3639" s="301">
        <v>6000</v>
      </c>
      <c r="F3639" s="303">
        <v>43038</v>
      </c>
      <c r="G3639" s="301">
        <v>6000</v>
      </c>
      <c r="H3639" s="301">
        <f>Tabla15[[#This Row],[Importe]]-Tabla15[[#This Row],[Pagado]]</f>
        <v>0</v>
      </c>
      <c r="I3639" s="275" t="s">
        <v>15214</v>
      </c>
    </row>
    <row r="3640" spans="1:9" x14ac:dyDescent="0.25">
      <c r="A3640" s="420">
        <v>43036</v>
      </c>
      <c r="B3640" s="302" t="s">
        <v>35348</v>
      </c>
      <c r="C3640">
        <v>133203</v>
      </c>
      <c r="D3640" s="275" t="s">
        <v>15562</v>
      </c>
      <c r="E3640" s="301">
        <v>3357.9</v>
      </c>
      <c r="F3640" s="303">
        <v>43036</v>
      </c>
      <c r="G3640" s="301">
        <v>3357.9</v>
      </c>
      <c r="H3640" s="301">
        <f>Tabla15[[#This Row],[Importe]]-Tabla15[[#This Row],[Pagado]]</f>
        <v>0</v>
      </c>
      <c r="I3640" s="275" t="s">
        <v>15214</v>
      </c>
    </row>
    <row r="3641" spans="1:9" x14ac:dyDescent="0.25">
      <c r="A3641" s="420">
        <v>43036</v>
      </c>
      <c r="B3641" s="302" t="s">
        <v>35349</v>
      </c>
      <c r="C3641">
        <v>133204</v>
      </c>
      <c r="D3641" s="275" t="s">
        <v>15291</v>
      </c>
      <c r="E3641" s="301">
        <v>900</v>
      </c>
      <c r="F3641" s="303">
        <v>43038</v>
      </c>
      <c r="G3641" s="301">
        <v>900</v>
      </c>
      <c r="H3641" s="301">
        <f>Tabla15[[#This Row],[Importe]]-Tabla15[[#This Row],[Pagado]]</f>
        <v>0</v>
      </c>
      <c r="I3641" s="275" t="s">
        <v>15214</v>
      </c>
    </row>
    <row r="3642" spans="1:9" x14ac:dyDescent="0.25">
      <c r="A3642" s="420">
        <v>43036</v>
      </c>
      <c r="B3642" s="302" t="s">
        <v>35350</v>
      </c>
      <c r="C3642">
        <v>133205</v>
      </c>
      <c r="D3642" s="275" t="s">
        <v>15920</v>
      </c>
      <c r="E3642" s="301">
        <v>4882.8</v>
      </c>
      <c r="F3642" s="303">
        <v>43038</v>
      </c>
      <c r="G3642" s="301">
        <v>4882.8</v>
      </c>
      <c r="H3642" s="301">
        <f>Tabla15[[#This Row],[Importe]]-Tabla15[[#This Row],[Pagado]]</f>
        <v>0</v>
      </c>
      <c r="I3642" s="275" t="s">
        <v>15214</v>
      </c>
    </row>
    <row r="3643" spans="1:9" x14ac:dyDescent="0.25">
      <c r="A3643" s="420">
        <v>43036</v>
      </c>
      <c r="B3643" s="302" t="s">
        <v>35351</v>
      </c>
      <c r="C3643">
        <v>133206</v>
      </c>
      <c r="D3643" s="275" t="s">
        <v>15600</v>
      </c>
      <c r="E3643" s="301">
        <v>2819.1</v>
      </c>
      <c r="F3643" s="303">
        <v>43038</v>
      </c>
      <c r="G3643" s="301">
        <v>2819.1</v>
      </c>
      <c r="H3643" s="301">
        <f>Tabla15[[#This Row],[Importe]]-Tabla15[[#This Row],[Pagado]]</f>
        <v>0</v>
      </c>
      <c r="I3643" s="275" t="s">
        <v>15214</v>
      </c>
    </row>
    <row r="3644" spans="1:9" x14ac:dyDescent="0.25">
      <c r="A3644" s="420">
        <v>43036</v>
      </c>
      <c r="B3644" s="302" t="s">
        <v>35352</v>
      </c>
      <c r="C3644">
        <v>133207</v>
      </c>
      <c r="D3644" s="275" t="s">
        <v>15311</v>
      </c>
      <c r="E3644" s="301">
        <v>1377</v>
      </c>
      <c r="F3644" s="303">
        <v>43038</v>
      </c>
      <c r="G3644" s="301">
        <v>1377</v>
      </c>
      <c r="H3644" s="301">
        <f>Tabla15[[#This Row],[Importe]]-Tabla15[[#This Row],[Pagado]]</f>
        <v>0</v>
      </c>
      <c r="I3644" s="275" t="s">
        <v>15214</v>
      </c>
    </row>
    <row r="3645" spans="1:9" x14ac:dyDescent="0.25">
      <c r="A3645" s="420">
        <v>43036</v>
      </c>
      <c r="B3645" s="302" t="s">
        <v>35353</v>
      </c>
      <c r="C3645">
        <v>133208</v>
      </c>
      <c r="D3645" s="275" t="s">
        <v>15745</v>
      </c>
      <c r="E3645" s="301">
        <v>1803.36</v>
      </c>
      <c r="F3645" s="303">
        <v>43038</v>
      </c>
      <c r="G3645" s="301">
        <v>1803.36</v>
      </c>
      <c r="H3645" s="301">
        <f>Tabla15[[#This Row],[Importe]]-Tabla15[[#This Row],[Pagado]]</f>
        <v>0</v>
      </c>
      <c r="I3645" s="275" t="s">
        <v>15214</v>
      </c>
    </row>
    <row r="3646" spans="1:9" x14ac:dyDescent="0.25">
      <c r="A3646" s="420">
        <v>43036</v>
      </c>
      <c r="B3646" s="302" t="s">
        <v>35354</v>
      </c>
      <c r="C3646">
        <v>133209</v>
      </c>
      <c r="D3646" s="275" t="s">
        <v>15920</v>
      </c>
      <c r="E3646" s="301">
        <v>3400</v>
      </c>
      <c r="F3646" s="303">
        <v>43038</v>
      </c>
      <c r="G3646" s="301">
        <v>3400</v>
      </c>
      <c r="H3646" s="301">
        <f>Tabla15[[#This Row],[Importe]]-Tabla15[[#This Row],[Pagado]]</f>
        <v>0</v>
      </c>
      <c r="I3646" s="275" t="s">
        <v>15214</v>
      </c>
    </row>
    <row r="3647" spans="1:9" x14ac:dyDescent="0.25">
      <c r="A3647" s="420">
        <v>43036</v>
      </c>
      <c r="B3647" s="302" t="s">
        <v>35355</v>
      </c>
      <c r="C3647">
        <v>133210</v>
      </c>
      <c r="D3647" s="275" t="s">
        <v>15748</v>
      </c>
      <c r="E3647" s="301">
        <v>2000</v>
      </c>
      <c r="F3647" s="303">
        <v>43038</v>
      </c>
      <c r="G3647" s="301">
        <v>2000</v>
      </c>
      <c r="H3647" s="301">
        <f>Tabla15[[#This Row],[Importe]]-Tabla15[[#This Row],[Pagado]]</f>
        <v>0</v>
      </c>
      <c r="I3647" s="275" t="s">
        <v>15214</v>
      </c>
    </row>
    <row r="3648" spans="1:9" x14ac:dyDescent="0.25">
      <c r="A3648" s="420">
        <v>43036</v>
      </c>
      <c r="B3648" s="302" t="s">
        <v>35356</v>
      </c>
      <c r="C3648">
        <v>133211</v>
      </c>
      <c r="D3648" s="275" t="s">
        <v>15322</v>
      </c>
      <c r="E3648" s="301">
        <v>2737.6</v>
      </c>
      <c r="F3648" s="303">
        <v>43036</v>
      </c>
      <c r="G3648" s="301">
        <v>2737.6</v>
      </c>
      <c r="H3648" s="301">
        <f>Tabla15[[#This Row],[Importe]]-Tabla15[[#This Row],[Pagado]]</f>
        <v>0</v>
      </c>
      <c r="I3648" s="275" t="s">
        <v>15214</v>
      </c>
    </row>
    <row r="3649" spans="1:9" x14ac:dyDescent="0.25">
      <c r="A3649" s="420">
        <v>43036</v>
      </c>
      <c r="B3649" s="302" t="s">
        <v>35357</v>
      </c>
      <c r="C3649">
        <v>133212</v>
      </c>
      <c r="D3649" s="275" t="s">
        <v>15301</v>
      </c>
      <c r="E3649" s="301">
        <v>6790.5</v>
      </c>
      <c r="F3649" s="303">
        <v>43038</v>
      </c>
      <c r="G3649" s="301">
        <v>6790.5</v>
      </c>
      <c r="H3649" s="301">
        <f>Tabla15[[#This Row],[Importe]]-Tabla15[[#This Row],[Pagado]]</f>
        <v>0</v>
      </c>
      <c r="I3649" s="275" t="s">
        <v>15214</v>
      </c>
    </row>
    <row r="3650" spans="1:9" x14ac:dyDescent="0.25">
      <c r="A3650" s="420">
        <v>43036</v>
      </c>
      <c r="B3650" s="302" t="s">
        <v>35358</v>
      </c>
      <c r="C3650">
        <v>133213</v>
      </c>
      <c r="D3650" s="275" t="s">
        <v>15378</v>
      </c>
      <c r="E3650" s="301">
        <v>2057</v>
      </c>
      <c r="F3650" s="303">
        <v>43036</v>
      </c>
      <c r="G3650" s="301">
        <v>2057</v>
      </c>
      <c r="H3650" s="301">
        <f>Tabla15[[#This Row],[Importe]]-Tabla15[[#This Row],[Pagado]]</f>
        <v>0</v>
      </c>
      <c r="I3650" s="275" t="s">
        <v>15214</v>
      </c>
    </row>
    <row r="3651" spans="1:9" x14ac:dyDescent="0.25">
      <c r="A3651" s="420">
        <v>43036</v>
      </c>
      <c r="B3651" s="302" t="s">
        <v>35359</v>
      </c>
      <c r="C3651">
        <v>133214</v>
      </c>
      <c r="D3651" s="275" t="s">
        <v>15417</v>
      </c>
      <c r="E3651" s="301">
        <v>2380</v>
      </c>
      <c r="F3651" s="303">
        <v>43038</v>
      </c>
      <c r="G3651" s="301">
        <v>2380</v>
      </c>
      <c r="H3651" s="301">
        <f>Tabla15[[#This Row],[Importe]]-Tabla15[[#This Row],[Pagado]]</f>
        <v>0</v>
      </c>
      <c r="I3651" s="275" t="s">
        <v>15214</v>
      </c>
    </row>
    <row r="3652" spans="1:9" x14ac:dyDescent="0.25">
      <c r="A3652" s="420">
        <v>43036</v>
      </c>
      <c r="B3652" s="302" t="s">
        <v>35360</v>
      </c>
      <c r="C3652">
        <v>133215</v>
      </c>
      <c r="D3652" s="275" t="s">
        <v>15276</v>
      </c>
      <c r="E3652" s="301">
        <v>500</v>
      </c>
      <c r="F3652" s="303">
        <v>43038</v>
      </c>
      <c r="G3652" s="301">
        <v>500</v>
      </c>
      <c r="H3652" s="301">
        <f>Tabla15[[#This Row],[Importe]]-Tabla15[[#This Row],[Pagado]]</f>
        <v>0</v>
      </c>
      <c r="I3652" s="275" t="s">
        <v>15214</v>
      </c>
    </row>
    <row r="3653" spans="1:9" x14ac:dyDescent="0.25">
      <c r="A3653" s="420">
        <v>43036</v>
      </c>
      <c r="B3653" s="302" t="s">
        <v>35361</v>
      </c>
      <c r="C3653">
        <v>133216</v>
      </c>
      <c r="D3653" s="275" t="s">
        <v>15315</v>
      </c>
      <c r="E3653" s="301">
        <v>3858</v>
      </c>
      <c r="F3653" s="303">
        <v>43036</v>
      </c>
      <c r="G3653" s="301">
        <v>3858</v>
      </c>
      <c r="H3653" s="301">
        <f>Tabla15[[#This Row],[Importe]]-Tabla15[[#This Row],[Pagado]]</f>
        <v>0</v>
      </c>
      <c r="I3653" s="275" t="s">
        <v>15214</v>
      </c>
    </row>
    <row r="3654" spans="1:9" x14ac:dyDescent="0.25">
      <c r="A3654" s="420">
        <v>43036</v>
      </c>
      <c r="B3654" s="302" t="s">
        <v>35362</v>
      </c>
      <c r="C3654">
        <v>133217</v>
      </c>
      <c r="D3654" s="275" t="s">
        <v>15398</v>
      </c>
      <c r="E3654" s="301">
        <v>2901.25</v>
      </c>
      <c r="F3654" s="303">
        <v>43036</v>
      </c>
      <c r="G3654" s="301">
        <v>2901.25</v>
      </c>
      <c r="H3654" s="301">
        <f>Tabla15[[#This Row],[Importe]]-Tabla15[[#This Row],[Pagado]]</f>
        <v>0</v>
      </c>
      <c r="I3654" s="275" t="s">
        <v>15214</v>
      </c>
    </row>
    <row r="3655" spans="1:9" x14ac:dyDescent="0.25">
      <c r="A3655" s="420">
        <v>43036</v>
      </c>
      <c r="B3655" s="302" t="s">
        <v>35363</v>
      </c>
      <c r="C3655">
        <v>133218</v>
      </c>
      <c r="D3655" s="275" t="s">
        <v>15934</v>
      </c>
      <c r="E3655" s="301">
        <v>1885.7</v>
      </c>
      <c r="F3655" s="303">
        <v>43038</v>
      </c>
      <c r="G3655" s="301">
        <v>1885.7</v>
      </c>
      <c r="H3655" s="301">
        <f>Tabla15[[#This Row],[Importe]]-Tabla15[[#This Row],[Pagado]]</f>
        <v>0</v>
      </c>
      <c r="I3655" s="275" t="s">
        <v>15214</v>
      </c>
    </row>
    <row r="3656" spans="1:9" x14ac:dyDescent="0.25">
      <c r="A3656" s="420">
        <v>43036</v>
      </c>
      <c r="B3656" s="302" t="s">
        <v>35364</v>
      </c>
      <c r="C3656">
        <v>133219</v>
      </c>
      <c r="D3656" s="275" t="s">
        <v>15419</v>
      </c>
      <c r="E3656" s="301">
        <v>20114.2</v>
      </c>
      <c r="F3656" s="303">
        <v>43042</v>
      </c>
      <c r="G3656" s="301">
        <v>20114.2</v>
      </c>
      <c r="H3656" s="301">
        <f>Tabla15[[#This Row],[Importe]]-Tabla15[[#This Row],[Pagado]]</f>
        <v>0</v>
      </c>
      <c r="I3656" s="275" t="s">
        <v>15214</v>
      </c>
    </row>
    <row r="3657" spans="1:9" x14ac:dyDescent="0.25">
      <c r="A3657" s="420">
        <v>43036</v>
      </c>
      <c r="B3657" s="302" t="s">
        <v>35365</v>
      </c>
      <c r="C3657">
        <v>133220</v>
      </c>
      <c r="D3657" s="275" t="s">
        <v>15419</v>
      </c>
      <c r="E3657" s="301">
        <v>35014</v>
      </c>
      <c r="F3657" s="303">
        <v>43050</v>
      </c>
      <c r="G3657" s="301">
        <v>35014</v>
      </c>
      <c r="H3657" s="301">
        <f>Tabla15[[#This Row],[Importe]]-Tabla15[[#This Row],[Pagado]]</f>
        <v>0</v>
      </c>
      <c r="I3657" s="275" t="s">
        <v>15214</v>
      </c>
    </row>
    <row r="3658" spans="1:9" x14ac:dyDescent="0.25">
      <c r="A3658" s="420">
        <v>43036</v>
      </c>
      <c r="B3658" s="302" t="s">
        <v>35366</v>
      </c>
      <c r="C3658">
        <v>133221</v>
      </c>
      <c r="D3658" s="275" t="s">
        <v>15246</v>
      </c>
      <c r="E3658" s="301">
        <v>168545.48</v>
      </c>
      <c r="F3658" s="303">
        <v>43040</v>
      </c>
      <c r="G3658" s="301">
        <v>168545.48</v>
      </c>
      <c r="H3658" s="301">
        <f>Tabla15[[#This Row],[Importe]]-Tabla15[[#This Row],[Pagado]]</f>
        <v>0</v>
      </c>
      <c r="I3658" s="275" t="s">
        <v>15214</v>
      </c>
    </row>
    <row r="3659" spans="1:9" x14ac:dyDescent="0.25">
      <c r="A3659" s="420">
        <v>43036</v>
      </c>
      <c r="B3659" s="302" t="s">
        <v>35367</v>
      </c>
      <c r="C3659">
        <v>133222</v>
      </c>
      <c r="D3659" s="275" t="s">
        <v>15246</v>
      </c>
      <c r="E3659" s="301">
        <v>49389</v>
      </c>
      <c r="F3659" s="303">
        <v>43040</v>
      </c>
      <c r="G3659" s="301">
        <v>49389</v>
      </c>
      <c r="H3659" s="301">
        <f>Tabla15[[#This Row],[Importe]]-Tabla15[[#This Row],[Pagado]]</f>
        <v>0</v>
      </c>
      <c r="I3659" s="275" t="s">
        <v>15214</v>
      </c>
    </row>
    <row r="3660" spans="1:9" x14ac:dyDescent="0.25">
      <c r="A3660" s="420">
        <v>43036</v>
      </c>
      <c r="B3660" s="302" t="s">
        <v>35368</v>
      </c>
      <c r="C3660">
        <v>133223</v>
      </c>
      <c r="D3660" s="275" t="s">
        <v>15398</v>
      </c>
      <c r="E3660" s="301">
        <v>2797.5</v>
      </c>
      <c r="F3660" s="303">
        <v>43036</v>
      </c>
      <c r="G3660" s="301">
        <v>2797.5</v>
      </c>
      <c r="H3660" s="301">
        <f>Tabla15[[#This Row],[Importe]]-Tabla15[[#This Row],[Pagado]]</f>
        <v>0</v>
      </c>
      <c r="I3660" s="275" t="s">
        <v>15214</v>
      </c>
    </row>
    <row r="3661" spans="1:9" x14ac:dyDescent="0.25">
      <c r="A3661" s="420">
        <v>43036</v>
      </c>
      <c r="B3661" s="302" t="s">
        <v>35369</v>
      </c>
      <c r="C3661">
        <v>133224</v>
      </c>
      <c r="D3661" s="275" t="s">
        <v>15282</v>
      </c>
      <c r="E3661" s="301">
        <v>3118.3</v>
      </c>
      <c r="F3661" s="303">
        <v>43036</v>
      </c>
      <c r="G3661" s="301">
        <v>3118.3</v>
      </c>
      <c r="H3661" s="301">
        <f>Tabla15[[#This Row],[Importe]]-Tabla15[[#This Row],[Pagado]]</f>
        <v>0</v>
      </c>
      <c r="I3661" s="275" t="s">
        <v>15214</v>
      </c>
    </row>
    <row r="3662" spans="1:9" x14ac:dyDescent="0.25">
      <c r="A3662" s="420">
        <v>43036</v>
      </c>
      <c r="B3662" s="302" t="s">
        <v>35370</v>
      </c>
      <c r="C3662">
        <v>133225</v>
      </c>
      <c r="D3662" s="275" t="s">
        <v>15213</v>
      </c>
      <c r="E3662" s="301">
        <v>5889.45</v>
      </c>
      <c r="F3662" s="303">
        <v>43038</v>
      </c>
      <c r="G3662" s="301">
        <v>5889.45</v>
      </c>
      <c r="H3662" s="301">
        <f>Tabla15[[#This Row],[Importe]]-Tabla15[[#This Row],[Pagado]]</f>
        <v>0</v>
      </c>
      <c r="I3662" s="275" t="s">
        <v>15214</v>
      </c>
    </row>
    <row r="3663" spans="1:9" x14ac:dyDescent="0.25">
      <c r="A3663" s="420">
        <v>43036</v>
      </c>
      <c r="B3663" s="302" t="s">
        <v>35371</v>
      </c>
      <c r="C3663">
        <v>133226</v>
      </c>
      <c r="D3663" s="275" t="s">
        <v>15246</v>
      </c>
      <c r="E3663" s="301">
        <v>138669.6</v>
      </c>
      <c r="F3663" s="303">
        <v>43040</v>
      </c>
      <c r="G3663" s="301">
        <v>138669.6</v>
      </c>
      <c r="H3663" s="301">
        <f>Tabla15[[#This Row],[Importe]]-Tabla15[[#This Row],[Pagado]]</f>
        <v>0</v>
      </c>
      <c r="I3663" s="275" t="s">
        <v>15214</v>
      </c>
    </row>
    <row r="3664" spans="1:9" x14ac:dyDescent="0.25">
      <c r="A3664" s="420">
        <v>43036</v>
      </c>
      <c r="B3664" s="302" t="s">
        <v>35372</v>
      </c>
      <c r="C3664">
        <v>133227</v>
      </c>
      <c r="D3664" s="275" t="s">
        <v>15537</v>
      </c>
      <c r="E3664" s="301">
        <v>22748.400000000001</v>
      </c>
      <c r="F3664" s="303">
        <v>43039</v>
      </c>
      <c r="G3664" s="301">
        <v>22748.400000000001</v>
      </c>
      <c r="H3664" s="301">
        <f>Tabla15[[#This Row],[Importe]]-Tabla15[[#This Row],[Pagado]]</f>
        <v>0</v>
      </c>
      <c r="I3664" s="275" t="s">
        <v>15214</v>
      </c>
    </row>
    <row r="3665" spans="1:9" x14ac:dyDescent="0.25">
      <c r="A3665" s="420">
        <v>43036</v>
      </c>
      <c r="B3665" s="302" t="s">
        <v>35373</v>
      </c>
      <c r="C3665">
        <v>133228</v>
      </c>
      <c r="D3665" s="275" t="s">
        <v>15566</v>
      </c>
      <c r="E3665" s="301">
        <v>3070.75</v>
      </c>
      <c r="F3665" s="303">
        <v>43036</v>
      </c>
      <c r="G3665" s="301">
        <v>3070.75</v>
      </c>
      <c r="H3665" s="301">
        <f>Tabla15[[#This Row],[Importe]]-Tabla15[[#This Row],[Pagado]]</f>
        <v>0</v>
      </c>
      <c r="I3665" s="275" t="s">
        <v>15214</v>
      </c>
    </row>
    <row r="3666" spans="1:9" x14ac:dyDescent="0.25">
      <c r="A3666" s="420">
        <v>43036</v>
      </c>
      <c r="B3666" s="302" t="s">
        <v>35374</v>
      </c>
      <c r="C3666">
        <v>133229</v>
      </c>
      <c r="D3666" s="275" t="s">
        <v>15590</v>
      </c>
      <c r="E3666" s="301">
        <v>18455.2</v>
      </c>
      <c r="F3666" s="303" t="s">
        <v>35375</v>
      </c>
      <c r="G3666" s="301">
        <v>18455.2</v>
      </c>
      <c r="H3666" s="301">
        <f>Tabla15[[#This Row],[Importe]]-Tabla15[[#This Row],[Pagado]]</f>
        <v>0</v>
      </c>
      <c r="I3666" s="275" t="s">
        <v>15214</v>
      </c>
    </row>
    <row r="3667" spans="1:9" x14ac:dyDescent="0.25">
      <c r="A3667" s="420">
        <v>43036</v>
      </c>
      <c r="B3667" s="302" t="s">
        <v>35376</v>
      </c>
      <c r="C3667">
        <v>133230</v>
      </c>
      <c r="D3667" s="275" t="s">
        <v>15555</v>
      </c>
      <c r="E3667" s="301">
        <v>36268.300000000003</v>
      </c>
      <c r="F3667" s="303">
        <v>43039</v>
      </c>
      <c r="G3667" s="301">
        <v>36268.300000000003</v>
      </c>
      <c r="H3667" s="301">
        <f>Tabla15[[#This Row],[Importe]]-Tabla15[[#This Row],[Pagado]]</f>
        <v>0</v>
      </c>
      <c r="I3667" s="275" t="s">
        <v>15214</v>
      </c>
    </row>
    <row r="3668" spans="1:9" x14ac:dyDescent="0.25">
      <c r="A3668" s="420">
        <v>43036</v>
      </c>
      <c r="B3668" s="302" t="s">
        <v>35377</v>
      </c>
      <c r="C3668">
        <v>133231</v>
      </c>
      <c r="D3668" s="275" t="s">
        <v>19756</v>
      </c>
      <c r="E3668" s="301">
        <v>3614.7</v>
      </c>
      <c r="F3668" s="303">
        <v>43036</v>
      </c>
      <c r="G3668" s="301">
        <v>3614.7</v>
      </c>
      <c r="H3668" s="301">
        <f>Tabla15[[#This Row],[Importe]]-Tabla15[[#This Row],[Pagado]]</f>
        <v>0</v>
      </c>
      <c r="I3668" s="275" t="s">
        <v>15214</v>
      </c>
    </row>
    <row r="3669" spans="1:9" x14ac:dyDescent="0.25">
      <c r="A3669" s="420">
        <v>43036</v>
      </c>
      <c r="B3669" s="302" t="s">
        <v>35378</v>
      </c>
      <c r="C3669">
        <v>133232</v>
      </c>
      <c r="D3669" s="275" t="s">
        <v>15539</v>
      </c>
      <c r="E3669" s="301">
        <v>24405.05</v>
      </c>
      <c r="F3669" s="303">
        <v>43039</v>
      </c>
      <c r="G3669" s="301">
        <v>24405.05</v>
      </c>
      <c r="H3669" s="301">
        <f>Tabla15[[#This Row],[Importe]]-Tabla15[[#This Row],[Pagado]]</f>
        <v>0</v>
      </c>
      <c r="I3669" s="275" t="s">
        <v>15214</v>
      </c>
    </row>
    <row r="3670" spans="1:9" x14ac:dyDescent="0.25">
      <c r="A3670" s="420">
        <v>43036</v>
      </c>
      <c r="B3670" s="302" t="s">
        <v>35379</v>
      </c>
      <c r="C3670">
        <v>133233</v>
      </c>
      <c r="D3670" s="275" t="s">
        <v>15537</v>
      </c>
      <c r="E3670" s="301">
        <v>2686.2</v>
      </c>
      <c r="F3670" s="303">
        <v>43039</v>
      </c>
      <c r="G3670" s="301">
        <v>2686.2</v>
      </c>
      <c r="H3670" s="301">
        <f>Tabla15[[#This Row],[Importe]]-Tabla15[[#This Row],[Pagado]]</f>
        <v>0</v>
      </c>
      <c r="I3670" s="275" t="s">
        <v>15214</v>
      </c>
    </row>
    <row r="3671" spans="1:9" x14ac:dyDescent="0.25">
      <c r="A3671" s="420">
        <v>43036</v>
      </c>
      <c r="B3671" s="302" t="s">
        <v>35380</v>
      </c>
      <c r="C3671">
        <v>133234</v>
      </c>
      <c r="D3671" s="275" t="s">
        <v>15557</v>
      </c>
      <c r="E3671" s="301">
        <v>16868.400000000001</v>
      </c>
      <c r="F3671" s="303">
        <v>43039</v>
      </c>
      <c r="G3671" s="301">
        <v>16868.400000000001</v>
      </c>
      <c r="H3671" s="301">
        <f>Tabla15[[#This Row],[Importe]]-Tabla15[[#This Row],[Pagado]]</f>
        <v>0</v>
      </c>
      <c r="I3671" s="275" t="s">
        <v>15214</v>
      </c>
    </row>
    <row r="3672" spans="1:9" x14ac:dyDescent="0.25">
      <c r="A3672" s="420">
        <v>43036</v>
      </c>
      <c r="B3672" s="302" t="s">
        <v>35381</v>
      </c>
      <c r="C3672">
        <v>133235</v>
      </c>
      <c r="D3672" s="275" t="s">
        <v>15614</v>
      </c>
      <c r="E3672" s="301">
        <v>1778.4</v>
      </c>
      <c r="F3672" s="303">
        <v>43038</v>
      </c>
      <c r="G3672" s="301">
        <v>1778.4</v>
      </c>
      <c r="H3672" s="301">
        <f>Tabla15[[#This Row],[Importe]]-Tabla15[[#This Row],[Pagado]]</f>
        <v>0</v>
      </c>
      <c r="I3672" s="275" t="s">
        <v>15214</v>
      </c>
    </row>
    <row r="3673" spans="1:9" x14ac:dyDescent="0.25">
      <c r="A3673" s="420">
        <v>43036</v>
      </c>
      <c r="B3673" s="302" t="s">
        <v>35382</v>
      </c>
      <c r="C3673">
        <v>133236</v>
      </c>
      <c r="D3673" s="275" t="s">
        <v>15313</v>
      </c>
      <c r="E3673" s="301">
        <v>5124.6000000000004</v>
      </c>
      <c r="F3673" s="303">
        <v>43055</v>
      </c>
      <c r="G3673" s="301">
        <v>5124.6000000000004</v>
      </c>
      <c r="H3673" s="301">
        <f>Tabla15[[#This Row],[Importe]]-Tabla15[[#This Row],[Pagado]]</f>
        <v>0</v>
      </c>
      <c r="I3673" s="275" t="s">
        <v>15214</v>
      </c>
    </row>
    <row r="3674" spans="1:9" x14ac:dyDescent="0.25">
      <c r="A3674" s="420">
        <v>43036</v>
      </c>
      <c r="B3674" s="302" t="s">
        <v>35383</v>
      </c>
      <c r="C3674">
        <v>133237</v>
      </c>
      <c r="D3674" s="275" t="s">
        <v>15541</v>
      </c>
      <c r="E3674" s="301">
        <v>2635</v>
      </c>
      <c r="F3674" s="303">
        <v>43038</v>
      </c>
      <c r="G3674" s="301">
        <v>2635</v>
      </c>
      <c r="H3674" s="301">
        <f>Tabla15[[#This Row],[Importe]]-Tabla15[[#This Row],[Pagado]]</f>
        <v>0</v>
      </c>
      <c r="I3674" s="275" t="s">
        <v>15214</v>
      </c>
    </row>
    <row r="3675" spans="1:9" x14ac:dyDescent="0.25">
      <c r="A3675" s="420">
        <v>43036</v>
      </c>
      <c r="B3675" s="302" t="s">
        <v>35384</v>
      </c>
      <c r="C3675">
        <v>133238</v>
      </c>
      <c r="D3675" s="275" t="s">
        <v>15254</v>
      </c>
      <c r="E3675" s="301">
        <v>1668</v>
      </c>
      <c r="F3675" s="303">
        <v>43039</v>
      </c>
      <c r="G3675" s="301">
        <v>1668</v>
      </c>
      <c r="H3675" s="301">
        <f>Tabla15[[#This Row],[Importe]]-Tabla15[[#This Row],[Pagado]]</f>
        <v>0</v>
      </c>
      <c r="I3675" s="275" t="s">
        <v>15214</v>
      </c>
    </row>
    <row r="3676" spans="1:9" ht="15.75" x14ac:dyDescent="0.25">
      <c r="A3676" s="420">
        <v>43036</v>
      </c>
      <c r="B3676" s="302" t="s">
        <v>35385</v>
      </c>
      <c r="C3676">
        <v>133239</v>
      </c>
      <c r="D3676" s="248" t="s">
        <v>95</v>
      </c>
      <c r="E3676" s="301">
        <v>0</v>
      </c>
      <c r="F3676" s="243" t="s">
        <v>95</v>
      </c>
      <c r="G3676" s="301">
        <v>0</v>
      </c>
      <c r="H3676" s="301">
        <f>Tabla15[[#This Row],[Importe]]-Tabla15[[#This Row],[Pagado]]</f>
        <v>0</v>
      </c>
      <c r="I3676" s="275" t="s">
        <v>95</v>
      </c>
    </row>
    <row r="3677" spans="1:9" x14ac:dyDescent="0.25">
      <c r="A3677" s="420">
        <v>43036</v>
      </c>
      <c r="B3677" s="302" t="s">
        <v>35386</v>
      </c>
      <c r="C3677">
        <v>133240</v>
      </c>
      <c r="D3677" s="275" t="s">
        <v>15315</v>
      </c>
      <c r="E3677" s="301">
        <v>402</v>
      </c>
      <c r="F3677" s="303">
        <v>43036</v>
      </c>
      <c r="G3677" s="301">
        <v>402</v>
      </c>
      <c r="H3677" s="301">
        <f>Tabla15[[#This Row],[Importe]]-Tabla15[[#This Row],[Pagado]]</f>
        <v>0</v>
      </c>
      <c r="I3677" s="275" t="s">
        <v>15214</v>
      </c>
    </row>
    <row r="3678" spans="1:9" x14ac:dyDescent="0.25">
      <c r="A3678" s="420">
        <v>43036</v>
      </c>
      <c r="B3678" s="302" t="s">
        <v>35387</v>
      </c>
      <c r="C3678">
        <v>133241</v>
      </c>
      <c r="D3678" s="275" t="s">
        <v>15789</v>
      </c>
      <c r="E3678" s="301">
        <v>31583.200000000001</v>
      </c>
      <c r="F3678" s="303">
        <v>43043</v>
      </c>
      <c r="G3678" s="301">
        <v>31583.200000000001</v>
      </c>
      <c r="H3678" s="301">
        <f>Tabla15[[#This Row],[Importe]]-Tabla15[[#This Row],[Pagado]]</f>
        <v>0</v>
      </c>
      <c r="I3678" s="275" t="s">
        <v>15214</v>
      </c>
    </row>
    <row r="3679" spans="1:9" x14ac:dyDescent="0.25">
      <c r="A3679" s="420">
        <v>43036</v>
      </c>
      <c r="B3679" s="302" t="s">
        <v>35388</v>
      </c>
      <c r="C3679">
        <v>133242</v>
      </c>
      <c r="D3679" s="275" t="s">
        <v>15884</v>
      </c>
      <c r="E3679" s="301">
        <v>602.5</v>
      </c>
      <c r="F3679" s="303">
        <v>43036</v>
      </c>
      <c r="G3679" s="301">
        <v>602.5</v>
      </c>
      <c r="H3679" s="301">
        <f>Tabla15[[#This Row],[Importe]]-Tabla15[[#This Row],[Pagado]]</f>
        <v>0</v>
      </c>
      <c r="I3679" s="275" t="s">
        <v>15214</v>
      </c>
    </row>
    <row r="3680" spans="1:9" x14ac:dyDescent="0.25">
      <c r="A3680" s="420">
        <v>43036</v>
      </c>
      <c r="B3680" s="302" t="s">
        <v>35389</v>
      </c>
      <c r="C3680">
        <v>133243</v>
      </c>
      <c r="D3680" s="275" t="s">
        <v>15246</v>
      </c>
      <c r="E3680" s="301">
        <v>66197.600000000006</v>
      </c>
      <c r="F3680" s="303">
        <v>43040</v>
      </c>
      <c r="G3680" s="301">
        <v>66197.600000000006</v>
      </c>
      <c r="H3680" s="301">
        <f>Tabla15[[#This Row],[Importe]]-Tabla15[[#This Row],[Pagado]]</f>
        <v>0</v>
      </c>
      <c r="I3680" s="275" t="s">
        <v>15214</v>
      </c>
    </row>
    <row r="3681" spans="1:9" x14ac:dyDescent="0.25">
      <c r="A3681" s="420">
        <v>43036</v>
      </c>
      <c r="B3681" s="302" t="s">
        <v>35390</v>
      </c>
      <c r="C3681">
        <v>133244</v>
      </c>
      <c r="D3681" s="275" t="s">
        <v>15706</v>
      </c>
      <c r="E3681" s="301">
        <v>1660.2</v>
      </c>
      <c r="F3681" s="303">
        <v>43036</v>
      </c>
      <c r="G3681" s="301">
        <v>1660.2</v>
      </c>
      <c r="H3681" s="301">
        <f>Tabla15[[#This Row],[Importe]]-Tabla15[[#This Row],[Pagado]]</f>
        <v>0</v>
      </c>
      <c r="I3681" s="275" t="s">
        <v>15214</v>
      </c>
    </row>
    <row r="3682" spans="1:9" x14ac:dyDescent="0.25">
      <c r="A3682" s="420">
        <v>43036</v>
      </c>
      <c r="B3682" s="302" t="s">
        <v>35391</v>
      </c>
      <c r="C3682">
        <v>133245</v>
      </c>
      <c r="D3682" s="275" t="s">
        <v>15294</v>
      </c>
      <c r="E3682" s="301">
        <v>947.2</v>
      </c>
      <c r="F3682" s="303">
        <v>43036</v>
      </c>
      <c r="G3682" s="301">
        <v>947.2</v>
      </c>
      <c r="H3682" s="301">
        <f>Tabla15[[#This Row],[Importe]]-Tabla15[[#This Row],[Pagado]]</f>
        <v>0</v>
      </c>
      <c r="I3682" s="275" t="s">
        <v>15214</v>
      </c>
    </row>
    <row r="3683" spans="1:9" x14ac:dyDescent="0.25">
      <c r="A3683" s="420">
        <v>43036</v>
      </c>
      <c r="B3683" s="302" t="s">
        <v>35392</v>
      </c>
      <c r="C3683">
        <v>133246</v>
      </c>
      <c r="D3683" s="275" t="s">
        <v>15322</v>
      </c>
      <c r="E3683" s="301">
        <v>4351.6000000000004</v>
      </c>
      <c r="F3683" s="303">
        <v>43036</v>
      </c>
      <c r="G3683" s="301">
        <v>4351.6000000000004</v>
      </c>
      <c r="H3683" s="301">
        <f>Tabla15[[#This Row],[Importe]]-Tabla15[[#This Row],[Pagado]]</f>
        <v>0</v>
      </c>
      <c r="I3683" s="275" t="s">
        <v>15214</v>
      </c>
    </row>
    <row r="3684" spans="1:9" x14ac:dyDescent="0.25">
      <c r="A3684" s="420">
        <v>43036</v>
      </c>
      <c r="B3684" s="302" t="s">
        <v>35393</v>
      </c>
      <c r="C3684">
        <v>133247</v>
      </c>
      <c r="D3684" s="275" t="s">
        <v>15365</v>
      </c>
      <c r="E3684" s="301">
        <v>412920</v>
      </c>
      <c r="F3684" s="303">
        <v>43040</v>
      </c>
      <c r="G3684" s="301">
        <v>412920</v>
      </c>
      <c r="H3684" s="301">
        <f>Tabla15[[#This Row],[Importe]]-Tabla15[[#This Row],[Pagado]]</f>
        <v>0</v>
      </c>
      <c r="I3684" s="275" t="s">
        <v>15214</v>
      </c>
    </row>
    <row r="3685" spans="1:9" x14ac:dyDescent="0.25">
      <c r="A3685" s="420">
        <v>43036</v>
      </c>
      <c r="B3685" s="302" t="s">
        <v>35394</v>
      </c>
      <c r="C3685">
        <v>133248</v>
      </c>
      <c r="D3685" s="275" t="s">
        <v>17708</v>
      </c>
      <c r="E3685" s="301">
        <v>680</v>
      </c>
      <c r="F3685" s="303">
        <v>43036</v>
      </c>
      <c r="G3685" s="301">
        <v>680</v>
      </c>
      <c r="H3685" s="301">
        <f>Tabla15[[#This Row],[Importe]]-Tabla15[[#This Row],[Pagado]]</f>
        <v>0</v>
      </c>
      <c r="I3685" s="275" t="s">
        <v>15214</v>
      </c>
    </row>
    <row r="3686" spans="1:9" x14ac:dyDescent="0.25">
      <c r="A3686" s="420">
        <v>43036</v>
      </c>
      <c r="B3686" s="302" t="s">
        <v>35395</v>
      </c>
      <c r="C3686">
        <v>133249</v>
      </c>
      <c r="D3686" s="275" t="s">
        <v>17462</v>
      </c>
      <c r="E3686" s="301">
        <v>2300</v>
      </c>
      <c r="F3686" s="303">
        <v>43036</v>
      </c>
      <c r="G3686" s="301">
        <v>2300</v>
      </c>
      <c r="H3686" s="301">
        <f>Tabla15[[#This Row],[Importe]]-Tabla15[[#This Row],[Pagado]]</f>
        <v>0</v>
      </c>
      <c r="I3686" s="275" t="s">
        <v>15214</v>
      </c>
    </row>
    <row r="3687" spans="1:9" x14ac:dyDescent="0.25">
      <c r="A3687" s="420">
        <v>43036</v>
      </c>
      <c r="B3687" s="302" t="s">
        <v>35396</v>
      </c>
      <c r="C3687">
        <v>133250</v>
      </c>
      <c r="D3687" s="275" t="s">
        <v>15566</v>
      </c>
      <c r="E3687" s="301">
        <v>758.1</v>
      </c>
      <c r="F3687" s="303">
        <v>43036</v>
      </c>
      <c r="G3687" s="301">
        <v>758.1</v>
      </c>
      <c r="H3687" s="301">
        <f>Tabla15[[#This Row],[Importe]]-Tabla15[[#This Row],[Pagado]]</f>
        <v>0</v>
      </c>
      <c r="I3687" s="275" t="s">
        <v>15214</v>
      </c>
    </row>
    <row r="3688" spans="1:9" x14ac:dyDescent="0.25">
      <c r="A3688" s="420">
        <v>43036</v>
      </c>
      <c r="B3688" s="302" t="s">
        <v>35397</v>
      </c>
      <c r="C3688">
        <v>133251</v>
      </c>
      <c r="D3688" s="275" t="s">
        <v>15655</v>
      </c>
      <c r="E3688" s="301">
        <v>17570</v>
      </c>
      <c r="F3688" s="303">
        <v>43042</v>
      </c>
      <c r="G3688" s="301">
        <v>17570</v>
      </c>
      <c r="H3688" s="301">
        <f>Tabla15[[#This Row],[Importe]]-Tabla15[[#This Row],[Pagado]]</f>
        <v>0</v>
      </c>
      <c r="I3688" s="275" t="s">
        <v>15214</v>
      </c>
    </row>
    <row r="3689" spans="1:9" x14ac:dyDescent="0.25">
      <c r="A3689" s="420">
        <v>43036</v>
      </c>
      <c r="B3689" s="302" t="s">
        <v>35398</v>
      </c>
      <c r="C3689">
        <v>133252</v>
      </c>
      <c r="D3689" s="275" t="s">
        <v>15246</v>
      </c>
      <c r="E3689" s="301">
        <v>4391.2</v>
      </c>
      <c r="F3689" s="303">
        <v>43040</v>
      </c>
      <c r="G3689" s="301">
        <v>4391.2</v>
      </c>
      <c r="H3689" s="301">
        <f>Tabla15[[#This Row],[Importe]]-Tabla15[[#This Row],[Pagado]]</f>
        <v>0</v>
      </c>
      <c r="I3689" s="275" t="s">
        <v>15214</v>
      </c>
    </row>
    <row r="3690" spans="1:9" x14ac:dyDescent="0.25">
      <c r="A3690" s="420">
        <v>43036</v>
      </c>
      <c r="B3690" s="302" t="s">
        <v>35399</v>
      </c>
      <c r="C3690">
        <v>133253</v>
      </c>
      <c r="D3690" s="275" t="s">
        <v>15920</v>
      </c>
      <c r="E3690" s="301">
        <v>42672</v>
      </c>
      <c r="F3690" s="303">
        <v>43043</v>
      </c>
      <c r="G3690" s="301">
        <v>42672</v>
      </c>
      <c r="H3690" s="301">
        <f>Tabla15[[#This Row],[Importe]]-Tabla15[[#This Row],[Pagado]]</f>
        <v>0</v>
      </c>
      <c r="I3690" s="275" t="s">
        <v>15214</v>
      </c>
    </row>
    <row r="3691" spans="1:9" x14ac:dyDescent="0.25">
      <c r="A3691" s="420">
        <v>43036</v>
      </c>
      <c r="B3691" s="302" t="s">
        <v>35400</v>
      </c>
      <c r="C3691">
        <v>133254</v>
      </c>
      <c r="D3691" s="275" t="s">
        <v>15298</v>
      </c>
      <c r="E3691" s="301">
        <v>718.8</v>
      </c>
      <c r="F3691" s="303">
        <v>43036</v>
      </c>
      <c r="G3691" s="301">
        <v>718.8</v>
      </c>
      <c r="H3691" s="301">
        <f>Tabla15[[#This Row],[Importe]]-Tabla15[[#This Row],[Pagado]]</f>
        <v>0</v>
      </c>
      <c r="I3691" s="275" t="s">
        <v>15214</v>
      </c>
    </row>
    <row r="3692" spans="1:9" x14ac:dyDescent="0.25">
      <c r="A3692" s="420">
        <v>43036</v>
      </c>
      <c r="B3692" s="302" t="s">
        <v>35401</v>
      </c>
      <c r="C3692">
        <v>133255</v>
      </c>
      <c r="D3692" s="275" t="s">
        <v>15407</v>
      </c>
      <c r="E3692" s="301">
        <v>6954.2</v>
      </c>
      <c r="F3692" s="303">
        <v>43036</v>
      </c>
      <c r="G3692" s="301">
        <v>6954.2</v>
      </c>
      <c r="H3692" s="301">
        <f>Tabla15[[#This Row],[Importe]]-Tabla15[[#This Row],[Pagado]]</f>
        <v>0</v>
      </c>
      <c r="I3692" s="275" t="s">
        <v>15214</v>
      </c>
    </row>
    <row r="3693" spans="1:9" x14ac:dyDescent="0.25">
      <c r="A3693" s="420">
        <v>43036</v>
      </c>
      <c r="B3693" s="302" t="s">
        <v>35402</v>
      </c>
      <c r="C3693">
        <v>133256</v>
      </c>
      <c r="D3693" s="275" t="s">
        <v>15250</v>
      </c>
      <c r="E3693" s="301">
        <v>97862.44</v>
      </c>
      <c r="F3693" s="303">
        <v>43048</v>
      </c>
      <c r="G3693" s="301">
        <v>97862.44</v>
      </c>
      <c r="H3693" s="301">
        <f>Tabla15[[#This Row],[Importe]]-Tabla15[[#This Row],[Pagado]]</f>
        <v>0</v>
      </c>
      <c r="I3693" s="275" t="s">
        <v>15214</v>
      </c>
    </row>
    <row r="3694" spans="1:9" x14ac:dyDescent="0.25">
      <c r="A3694" s="420">
        <v>43036</v>
      </c>
      <c r="B3694" s="302" t="s">
        <v>35403</v>
      </c>
      <c r="C3694">
        <v>133257</v>
      </c>
      <c r="D3694" s="275" t="s">
        <v>15681</v>
      </c>
      <c r="E3694" s="301">
        <v>2919.2</v>
      </c>
      <c r="F3694" s="303">
        <v>43036</v>
      </c>
      <c r="G3694" s="301">
        <v>2919.2</v>
      </c>
      <c r="H3694" s="301">
        <f>Tabla15[[#This Row],[Importe]]-Tabla15[[#This Row],[Pagado]]</f>
        <v>0</v>
      </c>
      <c r="I3694" s="275" t="s">
        <v>15214</v>
      </c>
    </row>
    <row r="3695" spans="1:9" x14ac:dyDescent="0.25">
      <c r="A3695" s="420">
        <v>43036</v>
      </c>
      <c r="B3695" s="302" t="s">
        <v>35404</v>
      </c>
      <c r="C3695">
        <v>133258</v>
      </c>
      <c r="D3695" s="275" t="s">
        <v>15433</v>
      </c>
      <c r="E3695" s="301">
        <v>210</v>
      </c>
      <c r="F3695" s="303">
        <v>43036</v>
      </c>
      <c r="G3695" s="301">
        <v>210</v>
      </c>
      <c r="H3695" s="301">
        <f>Tabla15[[#This Row],[Importe]]-Tabla15[[#This Row],[Pagado]]</f>
        <v>0</v>
      </c>
      <c r="I3695" s="275" t="s">
        <v>15214</v>
      </c>
    </row>
    <row r="3696" spans="1:9" ht="30" x14ac:dyDescent="0.25">
      <c r="A3696" s="420">
        <v>43036</v>
      </c>
      <c r="B3696" s="302" t="s">
        <v>35405</v>
      </c>
      <c r="C3696">
        <v>133259</v>
      </c>
      <c r="D3696" s="275" t="s">
        <v>15246</v>
      </c>
      <c r="E3696" s="301">
        <v>56574</v>
      </c>
      <c r="F3696" s="303" t="s">
        <v>35716</v>
      </c>
      <c r="G3696" s="310">
        <f>3744.92+52829.08</f>
        <v>56574</v>
      </c>
      <c r="H3696" s="310">
        <f>Tabla15[[#This Row],[Importe]]-Tabla15[[#This Row],[Pagado]]</f>
        <v>0</v>
      </c>
      <c r="I3696" s="275" t="s">
        <v>15214</v>
      </c>
    </row>
    <row r="3697" spans="1:9" x14ac:dyDescent="0.25">
      <c r="A3697" s="420">
        <v>43037</v>
      </c>
      <c r="B3697" s="302" t="s">
        <v>35406</v>
      </c>
      <c r="C3697">
        <v>133260</v>
      </c>
      <c r="D3697" s="275" t="s">
        <v>15315</v>
      </c>
      <c r="E3697" s="301">
        <v>984</v>
      </c>
      <c r="F3697" s="303">
        <v>43038</v>
      </c>
      <c r="G3697" s="301">
        <v>984</v>
      </c>
      <c r="H3697" s="301">
        <f>Tabla15[[#This Row],[Importe]]-Tabla15[[#This Row],[Pagado]]</f>
        <v>0</v>
      </c>
      <c r="I3697" s="275" t="s">
        <v>15214</v>
      </c>
    </row>
    <row r="3698" spans="1:9" x14ac:dyDescent="0.25">
      <c r="A3698" s="420">
        <v>43037</v>
      </c>
      <c r="B3698" s="302" t="s">
        <v>35407</v>
      </c>
      <c r="C3698">
        <v>133261</v>
      </c>
      <c r="D3698" s="275" t="s">
        <v>21386</v>
      </c>
      <c r="E3698" s="301">
        <v>7902.25</v>
      </c>
      <c r="F3698" s="303">
        <v>43040</v>
      </c>
      <c r="G3698" s="301">
        <v>7902.25</v>
      </c>
      <c r="H3698" s="301">
        <f>Tabla15[[#This Row],[Importe]]-Tabla15[[#This Row],[Pagado]]</f>
        <v>0</v>
      </c>
      <c r="I3698" s="275" t="s">
        <v>15214</v>
      </c>
    </row>
    <row r="3699" spans="1:9" x14ac:dyDescent="0.25">
      <c r="A3699" s="420">
        <v>43037</v>
      </c>
      <c r="B3699" s="302" t="s">
        <v>35408</v>
      </c>
      <c r="C3699">
        <v>133262</v>
      </c>
      <c r="D3699" s="275" t="s">
        <v>15213</v>
      </c>
      <c r="E3699" s="301">
        <v>40292.35</v>
      </c>
      <c r="F3699" s="303">
        <v>43038</v>
      </c>
      <c r="G3699" s="301">
        <v>40292.35</v>
      </c>
      <c r="H3699" s="301">
        <f>Tabla15[[#This Row],[Importe]]-Tabla15[[#This Row],[Pagado]]</f>
        <v>0</v>
      </c>
      <c r="I3699" s="275" t="s">
        <v>15214</v>
      </c>
    </row>
    <row r="3700" spans="1:9" x14ac:dyDescent="0.25">
      <c r="A3700" s="420">
        <v>43037</v>
      </c>
      <c r="B3700" s="302" t="s">
        <v>35409</v>
      </c>
      <c r="C3700">
        <v>133263</v>
      </c>
      <c r="D3700" s="275" t="s">
        <v>15668</v>
      </c>
      <c r="E3700" s="301">
        <v>20515.45</v>
      </c>
      <c r="F3700" s="303">
        <v>43039</v>
      </c>
      <c r="G3700" s="301">
        <v>20515.45</v>
      </c>
      <c r="H3700" s="301">
        <f>Tabla15[[#This Row],[Importe]]-Tabla15[[#This Row],[Pagado]]</f>
        <v>0</v>
      </c>
      <c r="I3700" s="275" t="s">
        <v>15214</v>
      </c>
    </row>
    <row r="3701" spans="1:9" x14ac:dyDescent="0.25">
      <c r="A3701" s="420">
        <v>43037</v>
      </c>
      <c r="B3701" s="302" t="s">
        <v>35410</v>
      </c>
      <c r="C3701">
        <v>133264</v>
      </c>
      <c r="D3701" s="275" t="s">
        <v>15220</v>
      </c>
      <c r="E3701" s="301">
        <v>5500</v>
      </c>
      <c r="F3701" s="303">
        <v>43038</v>
      </c>
      <c r="G3701" s="301">
        <v>5500</v>
      </c>
      <c r="H3701" s="301">
        <f>Tabla15[[#This Row],[Importe]]-Tabla15[[#This Row],[Pagado]]</f>
        <v>0</v>
      </c>
      <c r="I3701" s="275" t="s">
        <v>15214</v>
      </c>
    </row>
    <row r="3702" spans="1:9" x14ac:dyDescent="0.25">
      <c r="A3702" s="420">
        <v>43037</v>
      </c>
      <c r="B3702" s="302" t="s">
        <v>35411</v>
      </c>
      <c r="C3702">
        <v>133265</v>
      </c>
      <c r="D3702" s="275" t="s">
        <v>17235</v>
      </c>
      <c r="E3702" s="301">
        <v>1250</v>
      </c>
      <c r="F3702" s="303">
        <v>43038</v>
      </c>
      <c r="G3702" s="301">
        <v>1250</v>
      </c>
      <c r="H3702" s="301">
        <f>Tabla15[[#This Row],[Importe]]-Tabla15[[#This Row],[Pagado]]</f>
        <v>0</v>
      </c>
      <c r="I3702" s="275" t="s">
        <v>15214</v>
      </c>
    </row>
    <row r="3703" spans="1:9" x14ac:dyDescent="0.25">
      <c r="A3703" s="420">
        <v>43037</v>
      </c>
      <c r="B3703" s="302" t="s">
        <v>35412</v>
      </c>
      <c r="C3703">
        <v>133266</v>
      </c>
      <c r="D3703" s="275" t="s">
        <v>17462</v>
      </c>
      <c r="E3703" s="301">
        <v>4504.5</v>
      </c>
      <c r="F3703" s="303">
        <v>43038</v>
      </c>
      <c r="G3703" s="301">
        <v>4504.5</v>
      </c>
      <c r="H3703" s="301">
        <f>Tabla15[[#This Row],[Importe]]-Tabla15[[#This Row],[Pagado]]</f>
        <v>0</v>
      </c>
      <c r="I3703" s="275" t="s">
        <v>15214</v>
      </c>
    </row>
    <row r="3704" spans="1:9" x14ac:dyDescent="0.25">
      <c r="A3704" s="420">
        <v>43037</v>
      </c>
      <c r="B3704" s="302" t="s">
        <v>35413</v>
      </c>
      <c r="C3704">
        <v>133267</v>
      </c>
      <c r="D3704" s="275" t="s">
        <v>15487</v>
      </c>
      <c r="E3704" s="301">
        <v>7290</v>
      </c>
      <c r="F3704" s="303">
        <v>43038</v>
      </c>
      <c r="G3704" s="301">
        <v>7290</v>
      </c>
      <c r="H3704" s="301">
        <f>Tabla15[[#This Row],[Importe]]-Tabla15[[#This Row],[Pagado]]</f>
        <v>0</v>
      </c>
      <c r="I3704" s="275" t="s">
        <v>15214</v>
      </c>
    </row>
    <row r="3705" spans="1:9" x14ac:dyDescent="0.25">
      <c r="A3705" s="420">
        <v>43037</v>
      </c>
      <c r="B3705" s="302" t="s">
        <v>35414</v>
      </c>
      <c r="C3705">
        <v>133268</v>
      </c>
      <c r="D3705" s="275" t="s">
        <v>15263</v>
      </c>
      <c r="E3705" s="301">
        <v>2308</v>
      </c>
      <c r="F3705" s="303">
        <v>43038</v>
      </c>
      <c r="G3705" s="301">
        <v>2308</v>
      </c>
      <c r="H3705" s="301">
        <f>Tabla15[[#This Row],[Importe]]-Tabla15[[#This Row],[Pagado]]</f>
        <v>0</v>
      </c>
      <c r="I3705" s="275" t="s">
        <v>15214</v>
      </c>
    </row>
    <row r="3706" spans="1:9" x14ac:dyDescent="0.25">
      <c r="A3706" s="420">
        <v>43037</v>
      </c>
      <c r="B3706" s="302" t="s">
        <v>35415</v>
      </c>
      <c r="C3706">
        <v>133269</v>
      </c>
      <c r="D3706" s="275" t="s">
        <v>15438</v>
      </c>
      <c r="E3706" s="301">
        <v>204.8</v>
      </c>
      <c r="F3706" s="303">
        <v>43038</v>
      </c>
      <c r="G3706" s="301">
        <v>204.8</v>
      </c>
      <c r="H3706" s="301">
        <f>Tabla15[[#This Row],[Importe]]-Tabla15[[#This Row],[Pagado]]</f>
        <v>0</v>
      </c>
      <c r="I3706" s="275" t="s">
        <v>15214</v>
      </c>
    </row>
    <row r="3707" spans="1:9" x14ac:dyDescent="0.25">
      <c r="A3707" s="420">
        <v>43037</v>
      </c>
      <c r="B3707" s="302" t="s">
        <v>35416</v>
      </c>
      <c r="C3707">
        <v>133270</v>
      </c>
      <c r="D3707" s="275" t="s">
        <v>15385</v>
      </c>
      <c r="E3707" s="301">
        <v>6208.8</v>
      </c>
      <c r="F3707" s="303">
        <v>43038</v>
      </c>
      <c r="G3707" s="301">
        <v>6208.8</v>
      </c>
      <c r="H3707" s="301">
        <f>Tabla15[[#This Row],[Importe]]-Tabla15[[#This Row],[Pagado]]</f>
        <v>0</v>
      </c>
      <c r="I3707" s="275" t="s">
        <v>15214</v>
      </c>
    </row>
    <row r="3708" spans="1:9" x14ac:dyDescent="0.25">
      <c r="A3708" s="420">
        <v>43037</v>
      </c>
      <c r="B3708" s="302" t="s">
        <v>35417</v>
      </c>
      <c r="C3708">
        <v>133271</v>
      </c>
      <c r="D3708" s="275" t="s">
        <v>15725</v>
      </c>
      <c r="E3708" s="301">
        <v>5772.2</v>
      </c>
      <c r="F3708" s="303">
        <v>43040</v>
      </c>
      <c r="G3708" s="301">
        <v>5772.2</v>
      </c>
      <c r="H3708" s="301">
        <f>Tabla15[[#This Row],[Importe]]-Tabla15[[#This Row],[Pagado]]</f>
        <v>0</v>
      </c>
      <c r="I3708" s="275" t="s">
        <v>15214</v>
      </c>
    </row>
    <row r="3709" spans="1:9" x14ac:dyDescent="0.25">
      <c r="A3709" s="420">
        <v>43037</v>
      </c>
      <c r="B3709" s="302" t="s">
        <v>35418</v>
      </c>
      <c r="C3709">
        <v>133272</v>
      </c>
      <c r="D3709" s="275" t="s">
        <v>15278</v>
      </c>
      <c r="E3709" s="301">
        <v>2415</v>
      </c>
      <c r="F3709" s="303">
        <v>43038</v>
      </c>
      <c r="G3709" s="301">
        <v>2415</v>
      </c>
      <c r="H3709" s="301">
        <f>Tabla15[[#This Row],[Importe]]-Tabla15[[#This Row],[Pagado]]</f>
        <v>0</v>
      </c>
      <c r="I3709" s="275" t="s">
        <v>15214</v>
      </c>
    </row>
    <row r="3710" spans="1:9" x14ac:dyDescent="0.25">
      <c r="A3710" s="420">
        <v>43037</v>
      </c>
      <c r="B3710" s="302" t="s">
        <v>35419</v>
      </c>
      <c r="C3710">
        <v>133273</v>
      </c>
      <c r="D3710" s="275" t="s">
        <v>15385</v>
      </c>
      <c r="E3710" s="301">
        <v>426.4</v>
      </c>
      <c r="F3710" s="303">
        <v>43038</v>
      </c>
      <c r="G3710" s="301">
        <v>426.4</v>
      </c>
      <c r="H3710" s="301">
        <f>Tabla15[[#This Row],[Importe]]-Tabla15[[#This Row],[Pagado]]</f>
        <v>0</v>
      </c>
      <c r="I3710" s="275" t="s">
        <v>15214</v>
      </c>
    </row>
    <row r="3711" spans="1:9" x14ac:dyDescent="0.25">
      <c r="A3711" s="420">
        <v>43037</v>
      </c>
      <c r="B3711" s="302" t="s">
        <v>35420</v>
      </c>
      <c r="C3711">
        <v>133274</v>
      </c>
      <c r="D3711" s="275" t="s">
        <v>15242</v>
      </c>
      <c r="E3711" s="301">
        <v>4963.2</v>
      </c>
      <c r="F3711" s="303">
        <v>43038</v>
      </c>
      <c r="G3711" s="301">
        <v>4963.2</v>
      </c>
      <c r="H3711" s="301">
        <f>Tabla15[[#This Row],[Importe]]-Tabla15[[#This Row],[Pagado]]</f>
        <v>0</v>
      </c>
      <c r="I3711" s="275" t="s">
        <v>15214</v>
      </c>
    </row>
    <row r="3712" spans="1:9" x14ac:dyDescent="0.25">
      <c r="A3712" s="420">
        <v>43037</v>
      </c>
      <c r="B3712" s="302" t="s">
        <v>35421</v>
      </c>
      <c r="C3712">
        <v>133275</v>
      </c>
      <c r="D3712" s="275" t="s">
        <v>15541</v>
      </c>
      <c r="E3712" s="301">
        <v>2150</v>
      </c>
      <c r="F3712" s="303">
        <v>43038</v>
      </c>
      <c r="G3712" s="301">
        <v>2150</v>
      </c>
      <c r="H3712" s="301">
        <f>Tabla15[[#This Row],[Importe]]-Tabla15[[#This Row],[Pagado]]</f>
        <v>0</v>
      </c>
      <c r="I3712" s="275" t="s">
        <v>15214</v>
      </c>
    </row>
    <row r="3713" spans="1:9" x14ac:dyDescent="0.25">
      <c r="A3713" s="420">
        <v>43037</v>
      </c>
      <c r="B3713" s="302" t="s">
        <v>35422</v>
      </c>
      <c r="C3713">
        <v>133276</v>
      </c>
      <c r="D3713" s="275" t="s">
        <v>15272</v>
      </c>
      <c r="E3713" s="301">
        <v>21371.25</v>
      </c>
      <c r="F3713" s="303">
        <v>43038</v>
      </c>
      <c r="G3713" s="301">
        <v>21371.25</v>
      </c>
      <c r="H3713" s="301">
        <f>Tabla15[[#This Row],[Importe]]-Tabla15[[#This Row],[Pagado]]</f>
        <v>0</v>
      </c>
      <c r="I3713" s="275" t="s">
        <v>15214</v>
      </c>
    </row>
    <row r="3714" spans="1:9" x14ac:dyDescent="0.25">
      <c r="A3714" s="420">
        <v>43037</v>
      </c>
      <c r="B3714" s="302" t="s">
        <v>35423</v>
      </c>
      <c r="C3714">
        <v>133277</v>
      </c>
      <c r="D3714" s="275" t="s">
        <v>15549</v>
      </c>
      <c r="E3714" s="301">
        <v>2505</v>
      </c>
      <c r="F3714" s="303">
        <v>43038</v>
      </c>
      <c r="G3714" s="301">
        <v>2505</v>
      </c>
      <c r="H3714" s="301">
        <f>Tabla15[[#This Row],[Importe]]-Tabla15[[#This Row],[Pagado]]</f>
        <v>0</v>
      </c>
      <c r="I3714" s="275" t="s">
        <v>15214</v>
      </c>
    </row>
    <row r="3715" spans="1:9" x14ac:dyDescent="0.25">
      <c r="A3715" s="420">
        <v>43037</v>
      </c>
      <c r="B3715" s="302" t="s">
        <v>35424</v>
      </c>
      <c r="C3715">
        <v>133278</v>
      </c>
      <c r="D3715" s="275" t="s">
        <v>15549</v>
      </c>
      <c r="E3715" s="301">
        <v>4711.6000000000004</v>
      </c>
      <c r="F3715" s="303">
        <v>43038</v>
      </c>
      <c r="G3715" s="301">
        <v>4711.6000000000004</v>
      </c>
      <c r="H3715" s="301">
        <f>Tabla15[[#This Row],[Importe]]-Tabla15[[#This Row],[Pagado]]</f>
        <v>0</v>
      </c>
      <c r="I3715" s="275" t="s">
        <v>15214</v>
      </c>
    </row>
    <row r="3716" spans="1:9" x14ac:dyDescent="0.25">
      <c r="A3716" s="420">
        <v>43037</v>
      </c>
      <c r="B3716" s="302" t="s">
        <v>35425</v>
      </c>
      <c r="C3716">
        <v>133279</v>
      </c>
      <c r="D3716" s="275" t="s">
        <v>15223</v>
      </c>
      <c r="E3716" s="301">
        <v>49558.6</v>
      </c>
      <c r="F3716" s="303">
        <v>43062</v>
      </c>
      <c r="G3716" s="301">
        <v>49558.6</v>
      </c>
      <c r="H3716" s="301">
        <f>Tabla15[[#This Row],[Importe]]-Tabla15[[#This Row],[Pagado]]</f>
        <v>0</v>
      </c>
      <c r="I3716" s="275" t="s">
        <v>15214</v>
      </c>
    </row>
    <row r="3717" spans="1:9" x14ac:dyDescent="0.25">
      <c r="A3717" s="420">
        <v>43037</v>
      </c>
      <c r="B3717" s="302" t="s">
        <v>35426</v>
      </c>
      <c r="C3717">
        <v>133280</v>
      </c>
      <c r="D3717" s="275" t="s">
        <v>15252</v>
      </c>
      <c r="E3717" s="301">
        <v>3980.85</v>
      </c>
      <c r="F3717" s="303">
        <v>43040</v>
      </c>
      <c r="G3717" s="301">
        <v>3980.85</v>
      </c>
      <c r="H3717" s="301">
        <f>Tabla15[[#This Row],[Importe]]-Tabla15[[#This Row],[Pagado]]</f>
        <v>0</v>
      </c>
      <c r="I3717" s="275" t="s">
        <v>15214</v>
      </c>
    </row>
    <row r="3718" spans="1:9" x14ac:dyDescent="0.25">
      <c r="A3718" s="420">
        <v>43037</v>
      </c>
      <c r="B3718" s="302" t="s">
        <v>35427</v>
      </c>
      <c r="C3718">
        <v>133281</v>
      </c>
      <c r="D3718" s="275" t="s">
        <v>15244</v>
      </c>
      <c r="E3718" s="301">
        <v>13731.1</v>
      </c>
      <c r="F3718" s="303">
        <v>43039</v>
      </c>
      <c r="G3718" s="301">
        <v>13731.1</v>
      </c>
      <c r="H3718" s="301">
        <f>Tabla15[[#This Row],[Importe]]-Tabla15[[#This Row],[Pagado]]</f>
        <v>0</v>
      </c>
      <c r="I3718" s="275" t="s">
        <v>15214</v>
      </c>
    </row>
    <row r="3719" spans="1:9" x14ac:dyDescent="0.25">
      <c r="A3719" s="420">
        <v>43037</v>
      </c>
      <c r="B3719" s="302" t="s">
        <v>35428</v>
      </c>
      <c r="C3719">
        <v>133282</v>
      </c>
      <c r="D3719" s="275" t="s">
        <v>15248</v>
      </c>
      <c r="E3719" s="301">
        <v>26318.720000000001</v>
      </c>
      <c r="F3719" s="303">
        <v>43038</v>
      </c>
      <c r="G3719" s="301">
        <v>26318.720000000001</v>
      </c>
      <c r="H3719" s="301">
        <f>Tabla15[[#This Row],[Importe]]-Tabla15[[#This Row],[Pagado]]</f>
        <v>0</v>
      </c>
      <c r="I3719" s="275" t="s">
        <v>15214</v>
      </c>
    </row>
    <row r="3720" spans="1:9" x14ac:dyDescent="0.25">
      <c r="A3720" s="420">
        <v>43037</v>
      </c>
      <c r="B3720" s="302" t="s">
        <v>35429</v>
      </c>
      <c r="C3720">
        <v>133283</v>
      </c>
      <c r="D3720" s="275" t="s">
        <v>23937</v>
      </c>
      <c r="E3720" s="301">
        <v>3229.6</v>
      </c>
      <c r="F3720" s="303">
        <v>43038</v>
      </c>
      <c r="G3720" s="301">
        <v>3229.6</v>
      </c>
      <c r="H3720" s="301">
        <f>Tabla15[[#This Row],[Importe]]-Tabla15[[#This Row],[Pagado]]</f>
        <v>0</v>
      </c>
      <c r="I3720" s="275" t="s">
        <v>15214</v>
      </c>
    </row>
    <row r="3721" spans="1:9" x14ac:dyDescent="0.25">
      <c r="A3721" s="420">
        <v>43037</v>
      </c>
      <c r="B3721" s="302" t="s">
        <v>35430</v>
      </c>
      <c r="C3721">
        <v>133284</v>
      </c>
      <c r="D3721" s="275" t="s">
        <v>15315</v>
      </c>
      <c r="E3721" s="301">
        <v>565</v>
      </c>
      <c r="F3721" s="303">
        <v>43038</v>
      </c>
      <c r="G3721" s="301">
        <v>565</v>
      </c>
      <c r="H3721" s="301">
        <f>Tabla15[[#This Row],[Importe]]-Tabla15[[#This Row],[Pagado]]</f>
        <v>0</v>
      </c>
      <c r="I3721" s="275" t="s">
        <v>15214</v>
      </c>
    </row>
    <row r="3722" spans="1:9" x14ac:dyDescent="0.25">
      <c r="A3722" s="420">
        <v>43037</v>
      </c>
      <c r="B3722" s="302" t="s">
        <v>35431</v>
      </c>
      <c r="C3722">
        <v>133285</v>
      </c>
      <c r="D3722" s="275" t="s">
        <v>15289</v>
      </c>
      <c r="E3722" s="301">
        <v>816</v>
      </c>
      <c r="F3722" s="303">
        <v>43038</v>
      </c>
      <c r="G3722" s="301">
        <v>816</v>
      </c>
      <c r="H3722" s="301">
        <f>Tabla15[[#This Row],[Importe]]-Tabla15[[#This Row],[Pagado]]</f>
        <v>0</v>
      </c>
      <c r="I3722" s="275" t="s">
        <v>15214</v>
      </c>
    </row>
    <row r="3723" spans="1:9" x14ac:dyDescent="0.25">
      <c r="A3723" s="420">
        <v>43037</v>
      </c>
      <c r="B3723" s="302" t="s">
        <v>35432</v>
      </c>
      <c r="C3723">
        <v>133286</v>
      </c>
      <c r="D3723" s="275" t="s">
        <v>15280</v>
      </c>
      <c r="E3723" s="301">
        <v>5579.3</v>
      </c>
      <c r="F3723" s="303">
        <v>43038</v>
      </c>
      <c r="G3723" s="301">
        <v>5579.3</v>
      </c>
      <c r="H3723" s="301">
        <f>Tabla15[[#This Row],[Importe]]-Tabla15[[#This Row],[Pagado]]</f>
        <v>0</v>
      </c>
      <c r="I3723" s="275" t="s">
        <v>15214</v>
      </c>
    </row>
    <row r="3724" spans="1:9" x14ac:dyDescent="0.25">
      <c r="A3724" s="420">
        <v>43037</v>
      </c>
      <c r="B3724" s="302" t="s">
        <v>35433</v>
      </c>
      <c r="C3724">
        <v>133287</v>
      </c>
      <c r="D3724" s="275" t="s">
        <v>15340</v>
      </c>
      <c r="E3724" s="301">
        <v>7324.5</v>
      </c>
      <c r="F3724" s="303">
        <v>43038</v>
      </c>
      <c r="G3724" s="301">
        <v>7324.5</v>
      </c>
      <c r="H3724" s="301">
        <f>Tabla15[[#This Row],[Importe]]-Tabla15[[#This Row],[Pagado]]</f>
        <v>0</v>
      </c>
      <c r="I3724" s="275" t="s">
        <v>15214</v>
      </c>
    </row>
    <row r="3725" spans="1:9" x14ac:dyDescent="0.25">
      <c r="A3725" s="420">
        <v>43037</v>
      </c>
      <c r="B3725" s="302" t="s">
        <v>35434</v>
      </c>
      <c r="C3725">
        <v>133288</v>
      </c>
      <c r="D3725" s="275" t="s">
        <v>15340</v>
      </c>
      <c r="E3725" s="301">
        <v>5490</v>
      </c>
      <c r="F3725" s="303">
        <v>43038</v>
      </c>
      <c r="G3725" s="301">
        <v>5490</v>
      </c>
      <c r="H3725" s="301">
        <f>Tabla15[[#This Row],[Importe]]-Tabla15[[#This Row],[Pagado]]</f>
        <v>0</v>
      </c>
      <c r="I3725" s="275" t="s">
        <v>15214</v>
      </c>
    </row>
    <row r="3726" spans="1:9" x14ac:dyDescent="0.25">
      <c r="A3726" s="420">
        <v>43037</v>
      </c>
      <c r="B3726" s="302" t="s">
        <v>35435</v>
      </c>
      <c r="C3726">
        <v>133289</v>
      </c>
      <c r="D3726" s="275" t="s">
        <v>15861</v>
      </c>
      <c r="E3726" s="301">
        <v>3200.5</v>
      </c>
      <c r="F3726" s="303">
        <v>43038</v>
      </c>
      <c r="G3726" s="301">
        <v>3200.5</v>
      </c>
      <c r="H3726" s="301">
        <f>Tabla15[[#This Row],[Importe]]-Tabla15[[#This Row],[Pagado]]</f>
        <v>0</v>
      </c>
      <c r="I3726" s="275" t="s">
        <v>15214</v>
      </c>
    </row>
    <row r="3727" spans="1:9" x14ac:dyDescent="0.25">
      <c r="A3727" s="420">
        <v>43037</v>
      </c>
      <c r="B3727" s="302" t="s">
        <v>35436</v>
      </c>
      <c r="C3727">
        <v>133290</v>
      </c>
      <c r="D3727" s="275" t="s">
        <v>15334</v>
      </c>
      <c r="E3727" s="301">
        <v>3900</v>
      </c>
      <c r="F3727" s="303">
        <v>43038</v>
      </c>
      <c r="G3727" s="301">
        <v>3900</v>
      </c>
      <c r="H3727" s="301">
        <f>Tabla15[[#This Row],[Importe]]-Tabla15[[#This Row],[Pagado]]</f>
        <v>0</v>
      </c>
      <c r="I3727" s="275" t="s">
        <v>15214</v>
      </c>
    </row>
    <row r="3728" spans="1:9" x14ac:dyDescent="0.25">
      <c r="A3728" s="420">
        <v>43037</v>
      </c>
      <c r="B3728" s="302" t="s">
        <v>35437</v>
      </c>
      <c r="C3728">
        <v>133291</v>
      </c>
      <c r="D3728" s="275" t="s">
        <v>15523</v>
      </c>
      <c r="E3728" s="301">
        <v>4500</v>
      </c>
      <c r="F3728" s="303">
        <v>43038</v>
      </c>
      <c r="G3728" s="301">
        <v>4500</v>
      </c>
      <c r="H3728" s="301">
        <f>Tabla15[[#This Row],[Importe]]-Tabla15[[#This Row],[Pagado]]</f>
        <v>0</v>
      </c>
      <c r="I3728" s="275" t="s">
        <v>15214</v>
      </c>
    </row>
    <row r="3729" spans="1:9" x14ac:dyDescent="0.25">
      <c r="A3729" s="420">
        <v>43037</v>
      </c>
      <c r="B3729" s="302" t="s">
        <v>35438</v>
      </c>
      <c r="C3729">
        <v>133292</v>
      </c>
      <c r="D3729" s="275" t="s">
        <v>16249</v>
      </c>
      <c r="E3729" s="301">
        <v>980.6</v>
      </c>
      <c r="F3729" s="303">
        <v>43038</v>
      </c>
      <c r="G3729" s="301">
        <v>980.6</v>
      </c>
      <c r="H3729" s="301">
        <f>Tabla15[[#This Row],[Importe]]-Tabla15[[#This Row],[Pagado]]</f>
        <v>0</v>
      </c>
      <c r="I3729" s="275" t="s">
        <v>15214</v>
      </c>
    </row>
    <row r="3730" spans="1:9" x14ac:dyDescent="0.25">
      <c r="A3730" s="420">
        <v>43037</v>
      </c>
      <c r="B3730" s="302" t="s">
        <v>35439</v>
      </c>
      <c r="C3730">
        <v>133293</v>
      </c>
      <c r="D3730" s="275" t="s">
        <v>15526</v>
      </c>
      <c r="E3730" s="301">
        <v>2169.1999999999998</v>
      </c>
      <c r="F3730" s="303">
        <v>43038</v>
      </c>
      <c r="G3730" s="301">
        <v>2169.1999999999998</v>
      </c>
      <c r="H3730" s="301">
        <f>Tabla15[[#This Row],[Importe]]-Tabla15[[#This Row],[Pagado]]</f>
        <v>0</v>
      </c>
      <c r="I3730" s="275" t="s">
        <v>15214</v>
      </c>
    </row>
    <row r="3731" spans="1:9" x14ac:dyDescent="0.25">
      <c r="A3731" s="420">
        <v>43037</v>
      </c>
      <c r="B3731" s="302" t="s">
        <v>35440</v>
      </c>
      <c r="C3731">
        <v>133294</v>
      </c>
      <c r="D3731" s="275" t="s">
        <v>17210</v>
      </c>
      <c r="E3731" s="301">
        <v>5449.6</v>
      </c>
      <c r="F3731" s="303">
        <v>43038</v>
      </c>
      <c r="G3731" s="301">
        <v>5449.6</v>
      </c>
      <c r="H3731" s="301">
        <f>Tabla15[[#This Row],[Importe]]-Tabla15[[#This Row],[Pagado]]</f>
        <v>0</v>
      </c>
      <c r="I3731" s="275" t="s">
        <v>15214</v>
      </c>
    </row>
    <row r="3732" spans="1:9" x14ac:dyDescent="0.25">
      <c r="A3732" s="420">
        <v>43037</v>
      </c>
      <c r="B3732" s="302" t="s">
        <v>35441</v>
      </c>
      <c r="C3732">
        <v>133295</v>
      </c>
      <c r="D3732" s="275" t="s">
        <v>15291</v>
      </c>
      <c r="E3732" s="301">
        <v>900</v>
      </c>
      <c r="F3732" s="303">
        <v>43038</v>
      </c>
      <c r="G3732" s="301">
        <v>900</v>
      </c>
      <c r="H3732" s="301">
        <f>Tabla15[[#This Row],[Importe]]-Tabla15[[#This Row],[Pagado]]</f>
        <v>0</v>
      </c>
      <c r="I3732" s="275" t="s">
        <v>15214</v>
      </c>
    </row>
    <row r="3733" spans="1:9" x14ac:dyDescent="0.25">
      <c r="A3733" s="420">
        <v>43037</v>
      </c>
      <c r="B3733" s="302" t="s">
        <v>35442</v>
      </c>
      <c r="C3733">
        <v>133296</v>
      </c>
      <c r="D3733" s="275" t="s">
        <v>15324</v>
      </c>
      <c r="E3733" s="301">
        <v>1500</v>
      </c>
      <c r="F3733" s="303">
        <v>43038</v>
      </c>
      <c r="G3733" s="301">
        <v>1500</v>
      </c>
      <c r="H3733" s="301">
        <f>Tabla15[[#This Row],[Importe]]-Tabla15[[#This Row],[Pagado]]</f>
        <v>0</v>
      </c>
      <c r="I3733" s="275" t="s">
        <v>15214</v>
      </c>
    </row>
    <row r="3734" spans="1:9" x14ac:dyDescent="0.25">
      <c r="A3734" s="420">
        <v>43037</v>
      </c>
      <c r="B3734" s="302" t="s">
        <v>35443</v>
      </c>
      <c r="C3734">
        <v>133297</v>
      </c>
      <c r="D3734" s="275" t="s">
        <v>15398</v>
      </c>
      <c r="E3734" s="301">
        <v>521.9</v>
      </c>
      <c r="F3734" s="303">
        <v>43038</v>
      </c>
      <c r="G3734" s="301">
        <v>521.9</v>
      </c>
      <c r="H3734" s="301">
        <f>Tabla15[[#This Row],[Importe]]-Tabla15[[#This Row],[Pagado]]</f>
        <v>0</v>
      </c>
      <c r="I3734" s="275" t="s">
        <v>15214</v>
      </c>
    </row>
    <row r="3735" spans="1:9" x14ac:dyDescent="0.25">
      <c r="A3735" s="420">
        <v>43037</v>
      </c>
      <c r="B3735" s="302" t="s">
        <v>35444</v>
      </c>
      <c r="C3735">
        <v>133298</v>
      </c>
      <c r="D3735" s="275" t="s">
        <v>15313</v>
      </c>
      <c r="E3735" s="301">
        <v>9041.2000000000007</v>
      </c>
      <c r="F3735" s="303">
        <v>43042</v>
      </c>
      <c r="G3735" s="301">
        <v>9041.2000000000007</v>
      </c>
      <c r="H3735" s="301">
        <f>Tabla15[[#This Row],[Importe]]-Tabla15[[#This Row],[Pagado]]</f>
        <v>0</v>
      </c>
      <c r="I3735" s="275" t="s">
        <v>15214</v>
      </c>
    </row>
    <row r="3736" spans="1:9" x14ac:dyDescent="0.25">
      <c r="A3736" s="420">
        <v>43037</v>
      </c>
      <c r="B3736" s="302" t="s">
        <v>35445</v>
      </c>
      <c r="C3736">
        <v>133299</v>
      </c>
      <c r="D3736" s="275" t="s">
        <v>16732</v>
      </c>
      <c r="E3736" s="301">
        <v>2415</v>
      </c>
      <c r="F3736" s="303">
        <v>43038</v>
      </c>
      <c r="G3736" s="301">
        <v>2415</v>
      </c>
      <c r="H3736" s="301">
        <f>Tabla15[[#This Row],[Importe]]-Tabla15[[#This Row],[Pagado]]</f>
        <v>0</v>
      </c>
      <c r="I3736" s="275" t="s">
        <v>15214</v>
      </c>
    </row>
    <row r="3737" spans="1:9" x14ac:dyDescent="0.25">
      <c r="A3737" s="420">
        <v>43037</v>
      </c>
      <c r="B3737" s="302" t="s">
        <v>35446</v>
      </c>
      <c r="C3737">
        <v>133300</v>
      </c>
      <c r="D3737" s="275" t="s">
        <v>15378</v>
      </c>
      <c r="E3737" s="301">
        <v>4272.2</v>
      </c>
      <c r="F3737" s="303">
        <v>43038</v>
      </c>
      <c r="G3737" s="301">
        <v>4272.2</v>
      </c>
      <c r="H3737" s="301">
        <f>Tabla15[[#This Row],[Importe]]-Tabla15[[#This Row],[Pagado]]</f>
        <v>0</v>
      </c>
      <c r="I3737" s="275" t="s">
        <v>15214</v>
      </c>
    </row>
    <row r="3738" spans="1:9" x14ac:dyDescent="0.25">
      <c r="A3738" s="420">
        <v>43037</v>
      </c>
      <c r="B3738" s="302" t="s">
        <v>35447</v>
      </c>
      <c r="C3738">
        <v>133301</v>
      </c>
      <c r="D3738" s="275" t="s">
        <v>15284</v>
      </c>
      <c r="E3738" s="301">
        <v>954.6</v>
      </c>
      <c r="F3738" s="303">
        <v>43038</v>
      </c>
      <c r="G3738" s="301">
        <v>954.6</v>
      </c>
      <c r="H3738" s="301">
        <f>Tabla15[[#This Row],[Importe]]-Tabla15[[#This Row],[Pagado]]</f>
        <v>0</v>
      </c>
      <c r="I3738" s="275" t="s">
        <v>15214</v>
      </c>
    </row>
    <row r="3739" spans="1:9" x14ac:dyDescent="0.25">
      <c r="A3739" s="420">
        <v>43037</v>
      </c>
      <c r="B3739" s="302" t="s">
        <v>35448</v>
      </c>
      <c r="C3739">
        <v>133302</v>
      </c>
      <c r="D3739" s="275" t="s">
        <v>15378</v>
      </c>
      <c r="E3739" s="301">
        <v>70</v>
      </c>
      <c r="F3739" s="303">
        <v>43038</v>
      </c>
      <c r="G3739" s="301">
        <v>70</v>
      </c>
      <c r="H3739" s="301">
        <f>Tabla15[[#This Row],[Importe]]-Tabla15[[#This Row],[Pagado]]</f>
        <v>0</v>
      </c>
      <c r="I3739" s="275" t="s">
        <v>15214</v>
      </c>
    </row>
    <row r="3740" spans="1:9" x14ac:dyDescent="0.25">
      <c r="A3740" s="420">
        <v>43037</v>
      </c>
      <c r="B3740" s="302" t="s">
        <v>35449</v>
      </c>
      <c r="C3740">
        <v>133303</v>
      </c>
      <c r="D3740" s="275" t="s">
        <v>15378</v>
      </c>
      <c r="E3740" s="301">
        <v>200</v>
      </c>
      <c r="F3740" s="303">
        <v>43038</v>
      </c>
      <c r="G3740" s="301">
        <v>200</v>
      </c>
      <c r="H3740" s="301">
        <f>Tabla15[[#This Row],[Importe]]-Tabla15[[#This Row],[Pagado]]</f>
        <v>0</v>
      </c>
      <c r="I3740" s="275" t="s">
        <v>15214</v>
      </c>
    </row>
    <row r="3741" spans="1:9" x14ac:dyDescent="0.25">
      <c r="A3741" s="420">
        <v>43037</v>
      </c>
      <c r="B3741" s="302" t="s">
        <v>35450</v>
      </c>
      <c r="C3741">
        <v>133304</v>
      </c>
      <c r="D3741" s="275" t="s">
        <v>15326</v>
      </c>
      <c r="E3741" s="301">
        <v>3036</v>
      </c>
      <c r="F3741" s="303">
        <v>43038</v>
      </c>
      <c r="G3741" s="301">
        <v>3036</v>
      </c>
      <c r="H3741" s="301">
        <f>Tabla15[[#This Row],[Importe]]-Tabla15[[#This Row],[Pagado]]</f>
        <v>0</v>
      </c>
      <c r="I3741" s="275" t="s">
        <v>15214</v>
      </c>
    </row>
    <row r="3742" spans="1:9" x14ac:dyDescent="0.25">
      <c r="A3742" s="420">
        <v>43037</v>
      </c>
      <c r="B3742" s="302" t="s">
        <v>35451</v>
      </c>
      <c r="C3742">
        <v>133305</v>
      </c>
      <c r="D3742" s="275" t="s">
        <v>16126</v>
      </c>
      <c r="E3742" s="301">
        <v>202</v>
      </c>
      <c r="F3742" s="303">
        <v>43038</v>
      </c>
      <c r="G3742" s="301">
        <v>202</v>
      </c>
      <c r="H3742" s="301">
        <f>Tabla15[[#This Row],[Importe]]-Tabla15[[#This Row],[Pagado]]</f>
        <v>0</v>
      </c>
      <c r="I3742" s="275" t="s">
        <v>15214</v>
      </c>
    </row>
    <row r="3743" spans="1:9" x14ac:dyDescent="0.25">
      <c r="A3743" s="420">
        <v>43037</v>
      </c>
      <c r="B3743" s="302" t="s">
        <v>35452</v>
      </c>
      <c r="C3743">
        <v>133306</v>
      </c>
      <c r="D3743" s="275" t="s">
        <v>15378</v>
      </c>
      <c r="E3743" s="301">
        <v>727.6</v>
      </c>
      <c r="F3743" s="303">
        <v>43038</v>
      </c>
      <c r="G3743" s="301">
        <v>727.6</v>
      </c>
      <c r="H3743" s="301">
        <f>Tabla15[[#This Row],[Importe]]-Tabla15[[#This Row],[Pagado]]</f>
        <v>0</v>
      </c>
      <c r="I3743" s="275" t="s">
        <v>15214</v>
      </c>
    </row>
    <row r="3744" spans="1:9" x14ac:dyDescent="0.25">
      <c r="A3744" s="420">
        <v>43037</v>
      </c>
      <c r="B3744" s="302" t="s">
        <v>35453</v>
      </c>
      <c r="C3744">
        <v>133307</v>
      </c>
      <c r="D3744" s="275" t="s">
        <v>15246</v>
      </c>
      <c r="E3744" s="301">
        <v>143676.48000000001</v>
      </c>
      <c r="F3744" s="303">
        <v>43043</v>
      </c>
      <c r="G3744" s="301">
        <v>143676.48000000001</v>
      </c>
      <c r="H3744" s="301">
        <f>Tabla15[[#This Row],[Importe]]-Tabla15[[#This Row],[Pagado]]</f>
        <v>0</v>
      </c>
      <c r="I3744" s="275" t="s">
        <v>15214</v>
      </c>
    </row>
    <row r="3745" spans="1:9" x14ac:dyDescent="0.25">
      <c r="A3745" s="420">
        <v>43037</v>
      </c>
      <c r="B3745" s="302" t="s">
        <v>35454</v>
      </c>
      <c r="C3745">
        <v>133308</v>
      </c>
      <c r="D3745" s="275" t="s">
        <v>15398</v>
      </c>
      <c r="E3745" s="301">
        <v>441.6</v>
      </c>
      <c r="F3745" s="303">
        <v>43038</v>
      </c>
      <c r="G3745" s="301">
        <v>441.6</v>
      </c>
      <c r="H3745" s="301">
        <f>Tabla15[[#This Row],[Importe]]-Tabla15[[#This Row],[Pagado]]</f>
        <v>0</v>
      </c>
      <c r="I3745" s="275" t="s">
        <v>15214</v>
      </c>
    </row>
    <row r="3746" spans="1:9" x14ac:dyDescent="0.25">
      <c r="A3746" s="420">
        <v>43037</v>
      </c>
      <c r="B3746" s="302" t="s">
        <v>35455</v>
      </c>
      <c r="C3746">
        <v>133309</v>
      </c>
      <c r="D3746" s="275" t="s">
        <v>15810</v>
      </c>
      <c r="E3746" s="301">
        <v>472</v>
      </c>
      <c r="F3746" s="303">
        <v>43038</v>
      </c>
      <c r="G3746" s="301">
        <v>472</v>
      </c>
      <c r="H3746" s="301">
        <f>Tabla15[[#This Row],[Importe]]-Tabla15[[#This Row],[Pagado]]</f>
        <v>0</v>
      </c>
      <c r="I3746" s="275" t="s">
        <v>15214</v>
      </c>
    </row>
    <row r="3747" spans="1:9" x14ac:dyDescent="0.25">
      <c r="A3747" s="420">
        <v>43037</v>
      </c>
      <c r="B3747" s="302" t="s">
        <v>35456</v>
      </c>
      <c r="C3747">
        <v>133310</v>
      </c>
      <c r="D3747" s="275" t="s">
        <v>15322</v>
      </c>
      <c r="E3747" s="301">
        <v>1789.8</v>
      </c>
      <c r="F3747" s="303">
        <v>43038</v>
      </c>
      <c r="G3747" s="301">
        <v>1789.8</v>
      </c>
      <c r="H3747" s="301">
        <f>Tabla15[[#This Row],[Importe]]-Tabla15[[#This Row],[Pagado]]</f>
        <v>0</v>
      </c>
      <c r="I3747" s="275" t="s">
        <v>15214</v>
      </c>
    </row>
    <row r="3748" spans="1:9" x14ac:dyDescent="0.25">
      <c r="A3748" s="420">
        <v>43037</v>
      </c>
      <c r="B3748" s="302" t="s">
        <v>35457</v>
      </c>
      <c r="C3748">
        <v>133311</v>
      </c>
      <c r="D3748" s="275" t="s">
        <v>15246</v>
      </c>
      <c r="E3748" s="301">
        <v>72823.199999999997</v>
      </c>
      <c r="F3748" s="303">
        <v>43043</v>
      </c>
      <c r="G3748" s="301">
        <v>72823.199999999997</v>
      </c>
      <c r="H3748" s="301">
        <f>Tabla15[[#This Row],[Importe]]-Tabla15[[#This Row],[Pagado]]</f>
        <v>0</v>
      </c>
      <c r="I3748" s="275" t="s">
        <v>15214</v>
      </c>
    </row>
    <row r="3749" spans="1:9" x14ac:dyDescent="0.25">
      <c r="A3749" s="420">
        <v>43037</v>
      </c>
      <c r="B3749" s="302" t="s">
        <v>35458</v>
      </c>
      <c r="C3749">
        <v>133312</v>
      </c>
      <c r="D3749" s="275" t="s">
        <v>15706</v>
      </c>
      <c r="E3749" s="301">
        <v>655.4</v>
      </c>
      <c r="F3749" s="303">
        <v>43038</v>
      </c>
      <c r="G3749" s="301">
        <v>655.4</v>
      </c>
      <c r="H3749" s="301">
        <f>Tabla15[[#This Row],[Importe]]-Tabla15[[#This Row],[Pagado]]</f>
        <v>0</v>
      </c>
      <c r="I3749" s="275" t="s">
        <v>15214</v>
      </c>
    </row>
    <row r="3750" spans="1:9" ht="30" x14ac:dyDescent="0.25">
      <c r="A3750" s="420">
        <v>43037</v>
      </c>
      <c r="B3750" s="302" t="s">
        <v>35459</v>
      </c>
      <c r="C3750">
        <v>133313</v>
      </c>
      <c r="D3750" s="275" t="s">
        <v>15624</v>
      </c>
      <c r="E3750" s="301">
        <v>37852.160000000003</v>
      </c>
      <c r="F3750" s="303" t="s">
        <v>35711</v>
      </c>
      <c r="G3750" s="305">
        <f>32000+5852.16</f>
        <v>37852.160000000003</v>
      </c>
      <c r="H3750" s="305">
        <f>Tabla15[[#This Row],[Importe]]-Tabla15[[#This Row],[Pagado]]</f>
        <v>0</v>
      </c>
      <c r="I3750" s="275" t="s">
        <v>15214</v>
      </c>
    </row>
    <row r="3751" spans="1:9" x14ac:dyDescent="0.25">
      <c r="A3751" s="420">
        <v>43037</v>
      </c>
      <c r="B3751" s="302" t="s">
        <v>35460</v>
      </c>
      <c r="C3751">
        <v>133314</v>
      </c>
      <c r="D3751" s="275" t="s">
        <v>15644</v>
      </c>
      <c r="E3751" s="301">
        <v>5262.4</v>
      </c>
      <c r="F3751" s="303">
        <v>43038</v>
      </c>
      <c r="G3751" s="301">
        <v>5262.4</v>
      </c>
      <c r="H3751" s="301">
        <f>Tabla15[[#This Row],[Importe]]-Tabla15[[#This Row],[Pagado]]</f>
        <v>0</v>
      </c>
      <c r="I3751" s="275" t="s">
        <v>15214</v>
      </c>
    </row>
    <row r="3752" spans="1:9" x14ac:dyDescent="0.25">
      <c r="A3752" s="420">
        <v>43037</v>
      </c>
      <c r="B3752" s="302" t="s">
        <v>35461</v>
      </c>
      <c r="C3752">
        <v>133315</v>
      </c>
      <c r="D3752" s="275" t="s">
        <v>15250</v>
      </c>
      <c r="E3752" s="301">
        <v>10345.92</v>
      </c>
      <c r="F3752" s="303">
        <v>43048</v>
      </c>
      <c r="G3752" s="301">
        <v>10345.92</v>
      </c>
      <c r="H3752" s="301">
        <f>Tabla15[[#This Row],[Importe]]-Tabla15[[#This Row],[Pagado]]</f>
        <v>0</v>
      </c>
      <c r="I3752" s="275" t="s">
        <v>15214</v>
      </c>
    </row>
    <row r="3753" spans="1:9" x14ac:dyDescent="0.25">
      <c r="A3753" s="420">
        <v>43037</v>
      </c>
      <c r="B3753" s="302" t="s">
        <v>35462</v>
      </c>
      <c r="C3753">
        <v>133316</v>
      </c>
      <c r="D3753" s="275" t="s">
        <v>15315</v>
      </c>
      <c r="E3753" s="301">
        <v>472</v>
      </c>
      <c r="F3753" s="303">
        <v>43038</v>
      </c>
      <c r="G3753" s="301">
        <v>472</v>
      </c>
      <c r="H3753" s="301">
        <f>Tabla15[[#This Row],[Importe]]-Tabla15[[#This Row],[Pagado]]</f>
        <v>0</v>
      </c>
      <c r="I3753" s="275" t="s">
        <v>15214</v>
      </c>
    </row>
    <row r="3754" spans="1:9" x14ac:dyDescent="0.25">
      <c r="A3754" s="420">
        <v>43037</v>
      </c>
      <c r="B3754" s="302" t="s">
        <v>35463</v>
      </c>
      <c r="C3754">
        <v>133317</v>
      </c>
      <c r="D3754" s="275" t="s">
        <v>15298</v>
      </c>
      <c r="E3754" s="301">
        <v>94.5</v>
      </c>
      <c r="F3754" s="303">
        <v>43038</v>
      </c>
      <c r="G3754" s="301">
        <v>94.5</v>
      </c>
      <c r="H3754" s="301">
        <f>Tabla15[[#This Row],[Importe]]-Tabla15[[#This Row],[Pagado]]</f>
        <v>0</v>
      </c>
      <c r="I3754" s="275" t="s">
        <v>15214</v>
      </c>
    </row>
    <row r="3755" spans="1:9" x14ac:dyDescent="0.25">
      <c r="A3755" s="420">
        <v>43037</v>
      </c>
      <c r="B3755" s="302" t="s">
        <v>35464</v>
      </c>
      <c r="C3755">
        <v>133318</v>
      </c>
      <c r="D3755" s="275" t="s">
        <v>15956</v>
      </c>
      <c r="E3755" s="301">
        <v>1200</v>
      </c>
      <c r="F3755" s="303">
        <v>43038</v>
      </c>
      <c r="G3755" s="301">
        <v>1200</v>
      </c>
      <c r="H3755" s="301">
        <f>Tabla15[[#This Row],[Importe]]-Tabla15[[#This Row],[Pagado]]</f>
        <v>0</v>
      </c>
      <c r="I3755" s="275" t="s">
        <v>15214</v>
      </c>
    </row>
    <row r="3756" spans="1:9" x14ac:dyDescent="0.25">
      <c r="A3756" s="420">
        <v>43038</v>
      </c>
      <c r="B3756" s="302" t="s">
        <v>35465</v>
      </c>
      <c r="C3756">
        <v>133319</v>
      </c>
      <c r="D3756" s="275" t="s">
        <v>15407</v>
      </c>
      <c r="E3756" s="301">
        <v>8893.7000000000007</v>
      </c>
      <c r="F3756" s="303">
        <v>43038</v>
      </c>
      <c r="G3756" s="301">
        <v>8893.7000000000007</v>
      </c>
      <c r="H3756" s="301">
        <f>Tabla15[[#This Row],[Importe]]-Tabla15[[#This Row],[Pagado]]</f>
        <v>0</v>
      </c>
      <c r="I3756" s="275" t="s">
        <v>15214</v>
      </c>
    </row>
    <row r="3757" spans="1:9" ht="30" x14ac:dyDescent="0.25">
      <c r="A3757" s="420">
        <v>43038</v>
      </c>
      <c r="B3757" s="302" t="s">
        <v>35466</v>
      </c>
      <c r="C3757">
        <v>133320</v>
      </c>
      <c r="D3757" s="275" t="s">
        <v>15213</v>
      </c>
      <c r="E3757" s="301">
        <v>28823.9</v>
      </c>
      <c r="F3757" s="303" t="s">
        <v>35712</v>
      </c>
      <c r="G3757" s="305">
        <f>28700+123.9</f>
        <v>28823.9</v>
      </c>
      <c r="H3757" s="305">
        <f>Tabla15[[#This Row],[Importe]]-Tabla15[[#This Row],[Pagado]]</f>
        <v>0</v>
      </c>
      <c r="I3757" s="275" t="s">
        <v>15214</v>
      </c>
    </row>
    <row r="3758" spans="1:9" x14ac:dyDescent="0.25">
      <c r="A3758" s="420">
        <v>43038</v>
      </c>
      <c r="B3758" s="302" t="s">
        <v>35467</v>
      </c>
      <c r="C3758">
        <v>133321</v>
      </c>
      <c r="D3758" s="275" t="s">
        <v>15242</v>
      </c>
      <c r="E3758" s="301">
        <v>5500.8</v>
      </c>
      <c r="F3758" s="303">
        <v>43038</v>
      </c>
      <c r="G3758" s="301">
        <v>5500.8</v>
      </c>
      <c r="H3758" s="301">
        <f>Tabla15[[#This Row],[Importe]]-Tabla15[[#This Row],[Pagado]]</f>
        <v>0</v>
      </c>
      <c r="I3758" s="275" t="s">
        <v>15214</v>
      </c>
    </row>
    <row r="3759" spans="1:9" x14ac:dyDescent="0.25">
      <c r="A3759" s="420">
        <v>43038</v>
      </c>
      <c r="B3759" s="302" t="s">
        <v>35468</v>
      </c>
      <c r="C3759">
        <v>133322</v>
      </c>
      <c r="D3759" s="275" t="s">
        <v>15263</v>
      </c>
      <c r="E3759" s="301">
        <v>3719.9</v>
      </c>
      <c r="F3759" s="303">
        <v>43038</v>
      </c>
      <c r="G3759" s="301">
        <v>3719.9</v>
      </c>
      <c r="H3759" s="301">
        <f>Tabla15[[#This Row],[Importe]]-Tabla15[[#This Row],[Pagado]]</f>
        <v>0</v>
      </c>
      <c r="I3759" s="275" t="s">
        <v>15214</v>
      </c>
    </row>
    <row r="3760" spans="1:9" x14ac:dyDescent="0.25">
      <c r="A3760" s="420">
        <v>43038</v>
      </c>
      <c r="B3760" s="302" t="s">
        <v>35469</v>
      </c>
      <c r="C3760">
        <v>133323</v>
      </c>
      <c r="D3760" s="275" t="s">
        <v>15272</v>
      </c>
      <c r="E3760" s="301">
        <v>19796.349999999999</v>
      </c>
      <c r="F3760" s="303">
        <v>43038</v>
      </c>
      <c r="G3760" s="301">
        <v>19796.349999999999</v>
      </c>
      <c r="H3760" s="301">
        <f>Tabla15[[#This Row],[Importe]]-Tabla15[[#This Row],[Pagado]]</f>
        <v>0</v>
      </c>
      <c r="I3760" s="275" t="s">
        <v>15214</v>
      </c>
    </row>
    <row r="3761" spans="1:9" x14ac:dyDescent="0.25">
      <c r="A3761" s="420">
        <v>43038</v>
      </c>
      <c r="B3761" s="302" t="s">
        <v>35470</v>
      </c>
      <c r="C3761">
        <v>133324</v>
      </c>
      <c r="D3761" s="275" t="s">
        <v>15220</v>
      </c>
      <c r="E3761" s="301">
        <v>2000</v>
      </c>
      <c r="F3761" s="303">
        <v>43038</v>
      </c>
      <c r="G3761" s="301">
        <v>2000</v>
      </c>
      <c r="H3761" s="301">
        <f>Tabla15[[#This Row],[Importe]]-Tabla15[[#This Row],[Pagado]]</f>
        <v>0</v>
      </c>
      <c r="I3761" s="275" t="s">
        <v>15214</v>
      </c>
    </row>
    <row r="3762" spans="1:9" x14ac:dyDescent="0.25">
      <c r="A3762" s="420">
        <v>43038</v>
      </c>
      <c r="B3762" s="302" t="s">
        <v>35471</v>
      </c>
      <c r="C3762">
        <v>133325</v>
      </c>
      <c r="D3762" s="275" t="s">
        <v>17235</v>
      </c>
      <c r="E3762" s="301">
        <v>1000</v>
      </c>
      <c r="F3762" s="303">
        <v>43038</v>
      </c>
      <c r="G3762" s="301">
        <v>1000</v>
      </c>
      <c r="H3762" s="301">
        <f>Tabla15[[#This Row],[Importe]]-Tabla15[[#This Row],[Pagado]]</f>
        <v>0</v>
      </c>
      <c r="I3762" s="275" t="s">
        <v>15214</v>
      </c>
    </row>
    <row r="3763" spans="1:9" x14ac:dyDescent="0.25">
      <c r="A3763" s="420">
        <v>43038</v>
      </c>
      <c r="B3763" s="302" t="s">
        <v>35472</v>
      </c>
      <c r="C3763">
        <v>133326</v>
      </c>
      <c r="D3763" s="275" t="s">
        <v>15330</v>
      </c>
      <c r="E3763" s="301">
        <v>2992.5</v>
      </c>
      <c r="F3763" s="303">
        <v>43038</v>
      </c>
      <c r="G3763" s="301">
        <v>2992.5</v>
      </c>
      <c r="H3763" s="301">
        <f>Tabla15[[#This Row],[Importe]]-Tabla15[[#This Row],[Pagado]]</f>
        <v>0</v>
      </c>
      <c r="I3763" s="275" t="s">
        <v>15214</v>
      </c>
    </row>
    <row r="3764" spans="1:9" x14ac:dyDescent="0.25">
      <c r="A3764" s="420">
        <v>43038</v>
      </c>
      <c r="B3764" s="302" t="s">
        <v>35473</v>
      </c>
      <c r="C3764">
        <v>133327</v>
      </c>
      <c r="D3764" s="275" t="s">
        <v>15334</v>
      </c>
      <c r="E3764" s="301">
        <v>2550</v>
      </c>
      <c r="F3764" s="303">
        <v>43038</v>
      </c>
      <c r="G3764" s="301">
        <v>2550</v>
      </c>
      <c r="H3764" s="301">
        <f>Tabla15[[#This Row],[Importe]]-Tabla15[[#This Row],[Pagado]]</f>
        <v>0</v>
      </c>
      <c r="I3764" s="275" t="s">
        <v>15214</v>
      </c>
    </row>
    <row r="3765" spans="1:9" x14ac:dyDescent="0.25">
      <c r="A3765" s="420">
        <v>43038</v>
      </c>
      <c r="B3765" s="302" t="s">
        <v>35474</v>
      </c>
      <c r="C3765">
        <v>133328</v>
      </c>
      <c r="D3765" s="275" t="s">
        <v>15230</v>
      </c>
      <c r="E3765" s="301">
        <v>8971.7000000000007</v>
      </c>
      <c r="F3765" s="303">
        <v>43041</v>
      </c>
      <c r="G3765" s="301">
        <v>8971.7000000000007</v>
      </c>
      <c r="H3765" s="301">
        <f>Tabla15[[#This Row],[Importe]]-Tabla15[[#This Row],[Pagado]]</f>
        <v>0</v>
      </c>
      <c r="I3765" s="275" t="s">
        <v>15214</v>
      </c>
    </row>
    <row r="3766" spans="1:9" x14ac:dyDescent="0.25">
      <c r="A3766" s="420">
        <v>43038</v>
      </c>
      <c r="B3766" s="302" t="s">
        <v>35475</v>
      </c>
      <c r="C3766">
        <v>133329</v>
      </c>
      <c r="D3766" s="275" t="s">
        <v>16484</v>
      </c>
      <c r="E3766" s="301">
        <v>1346.8</v>
      </c>
      <c r="F3766" s="303">
        <v>43038</v>
      </c>
      <c r="G3766" s="301">
        <v>1346.8</v>
      </c>
      <c r="H3766" s="301">
        <f>Tabla15[[#This Row],[Importe]]-Tabla15[[#This Row],[Pagado]]</f>
        <v>0</v>
      </c>
      <c r="I3766" s="275" t="s">
        <v>15214</v>
      </c>
    </row>
    <row r="3767" spans="1:9" x14ac:dyDescent="0.25">
      <c r="A3767" s="420">
        <v>43038</v>
      </c>
      <c r="B3767" s="302" t="s">
        <v>35476</v>
      </c>
      <c r="C3767">
        <v>133330</v>
      </c>
      <c r="D3767" s="275" t="s">
        <v>15236</v>
      </c>
      <c r="E3767" s="301">
        <v>3159.5</v>
      </c>
      <c r="F3767" s="303">
        <v>43040</v>
      </c>
      <c r="G3767" s="301">
        <v>3159.5</v>
      </c>
      <c r="H3767" s="301">
        <f>Tabla15[[#This Row],[Importe]]-Tabla15[[#This Row],[Pagado]]</f>
        <v>0</v>
      </c>
      <c r="I3767" s="275" t="s">
        <v>15214</v>
      </c>
    </row>
    <row r="3768" spans="1:9" x14ac:dyDescent="0.25">
      <c r="A3768" s="420">
        <v>43038</v>
      </c>
      <c r="B3768" s="302" t="s">
        <v>35477</v>
      </c>
      <c r="C3768">
        <v>133331</v>
      </c>
      <c r="D3768" s="275" t="s">
        <v>17722</v>
      </c>
      <c r="E3768" s="301">
        <v>2840</v>
      </c>
      <c r="F3768" s="303">
        <v>43039</v>
      </c>
      <c r="G3768" s="301">
        <v>2840</v>
      </c>
      <c r="H3768" s="301">
        <f>Tabla15[[#This Row],[Importe]]-Tabla15[[#This Row],[Pagado]]</f>
        <v>0</v>
      </c>
      <c r="I3768" s="275" t="s">
        <v>15214</v>
      </c>
    </row>
    <row r="3769" spans="1:9" x14ac:dyDescent="0.25">
      <c r="A3769" s="420">
        <v>43038</v>
      </c>
      <c r="B3769" s="302" t="s">
        <v>35478</v>
      </c>
      <c r="C3769">
        <v>133332</v>
      </c>
      <c r="D3769" s="275" t="s">
        <v>15668</v>
      </c>
      <c r="E3769" s="301">
        <v>15790.4</v>
      </c>
      <c r="F3769" s="303">
        <v>43039</v>
      </c>
      <c r="G3769" s="301">
        <v>15790.4</v>
      </c>
      <c r="H3769" s="301">
        <f>Tabla15[[#This Row],[Importe]]-Tabla15[[#This Row],[Pagado]]</f>
        <v>0</v>
      </c>
      <c r="I3769" s="275" t="s">
        <v>15214</v>
      </c>
    </row>
    <row r="3770" spans="1:9" x14ac:dyDescent="0.25">
      <c r="A3770" s="420">
        <v>43038</v>
      </c>
      <c r="B3770" s="302" t="s">
        <v>35479</v>
      </c>
      <c r="C3770">
        <v>133333</v>
      </c>
      <c r="D3770" s="275" t="s">
        <v>15475</v>
      </c>
      <c r="E3770" s="301">
        <v>2974.9</v>
      </c>
      <c r="F3770" s="303">
        <v>43040</v>
      </c>
      <c r="G3770" s="301">
        <v>2974.9</v>
      </c>
      <c r="H3770" s="301">
        <f>Tabla15[[#This Row],[Importe]]-Tabla15[[#This Row],[Pagado]]</f>
        <v>0</v>
      </c>
      <c r="I3770" s="275" t="s">
        <v>15214</v>
      </c>
    </row>
    <row r="3771" spans="1:9" x14ac:dyDescent="0.25">
      <c r="A3771" s="420">
        <v>43038</v>
      </c>
      <c r="B3771" s="302" t="s">
        <v>35480</v>
      </c>
      <c r="C3771">
        <v>133334</v>
      </c>
      <c r="D3771" s="275" t="s">
        <v>17462</v>
      </c>
      <c r="E3771" s="301">
        <v>6200.8</v>
      </c>
      <c r="F3771" s="303">
        <v>43038</v>
      </c>
      <c r="G3771" s="301">
        <v>6200.8</v>
      </c>
      <c r="H3771" s="301">
        <f>Tabla15[[#This Row],[Importe]]-Tabla15[[#This Row],[Pagado]]</f>
        <v>0</v>
      </c>
      <c r="I3771" s="275" t="s">
        <v>15214</v>
      </c>
    </row>
    <row r="3772" spans="1:9" x14ac:dyDescent="0.25">
      <c r="A3772" s="420">
        <v>43038</v>
      </c>
      <c r="B3772" s="302" t="s">
        <v>35481</v>
      </c>
      <c r="C3772">
        <v>133335</v>
      </c>
      <c r="D3772" s="275" t="s">
        <v>15223</v>
      </c>
      <c r="E3772" s="301">
        <v>52694.6</v>
      </c>
      <c r="F3772" s="303">
        <v>43062</v>
      </c>
      <c r="G3772" s="301">
        <v>52694.6</v>
      </c>
      <c r="H3772" s="301">
        <f>Tabla15[[#This Row],[Importe]]-Tabla15[[#This Row],[Pagado]]</f>
        <v>0</v>
      </c>
      <c r="I3772" s="275" t="s">
        <v>15214</v>
      </c>
    </row>
    <row r="3773" spans="1:9" x14ac:dyDescent="0.25">
      <c r="A3773" s="420">
        <v>43038</v>
      </c>
      <c r="B3773" s="302" t="s">
        <v>35482</v>
      </c>
      <c r="C3773">
        <v>133336</v>
      </c>
      <c r="D3773" s="275" t="s">
        <v>15238</v>
      </c>
      <c r="E3773" s="301">
        <v>6979.5</v>
      </c>
      <c r="F3773" s="303">
        <v>43040</v>
      </c>
      <c r="G3773" s="301">
        <v>6979.5</v>
      </c>
      <c r="H3773" s="301">
        <f>Tabla15[[#This Row],[Importe]]-Tabla15[[#This Row],[Pagado]]</f>
        <v>0</v>
      </c>
      <c r="I3773" s="275" t="s">
        <v>15214</v>
      </c>
    </row>
    <row r="3774" spans="1:9" ht="15.75" x14ac:dyDescent="0.25">
      <c r="A3774" s="420">
        <v>43038</v>
      </c>
      <c r="B3774" s="302" t="s">
        <v>35483</v>
      </c>
      <c r="C3774">
        <v>133337</v>
      </c>
      <c r="D3774" s="248" t="s">
        <v>95</v>
      </c>
      <c r="E3774" s="301">
        <v>0</v>
      </c>
      <c r="F3774" s="243" t="s">
        <v>95</v>
      </c>
      <c r="G3774" s="301">
        <v>0</v>
      </c>
      <c r="H3774" s="301">
        <f>Tabla15[[#This Row],[Importe]]-Tabla15[[#This Row],[Pagado]]</f>
        <v>0</v>
      </c>
      <c r="I3774" s="275" t="s">
        <v>95</v>
      </c>
    </row>
    <row r="3775" spans="1:9" x14ac:dyDescent="0.25">
      <c r="A3775" s="420">
        <v>43038</v>
      </c>
      <c r="B3775" s="302" t="s">
        <v>35484</v>
      </c>
      <c r="C3775">
        <v>133338</v>
      </c>
      <c r="D3775" s="275" t="s">
        <v>30057</v>
      </c>
      <c r="E3775" s="301">
        <v>2996.2</v>
      </c>
      <c r="F3775" s="303">
        <v>43039</v>
      </c>
      <c r="G3775" s="301">
        <v>2996.2</v>
      </c>
      <c r="H3775" s="301">
        <f>Tabla15[[#This Row],[Importe]]-Tabla15[[#This Row],[Pagado]]</f>
        <v>0</v>
      </c>
      <c r="I3775" s="275" t="s">
        <v>15214</v>
      </c>
    </row>
    <row r="3776" spans="1:9" x14ac:dyDescent="0.25">
      <c r="A3776" s="420">
        <v>43038</v>
      </c>
      <c r="B3776" s="302" t="s">
        <v>35485</v>
      </c>
      <c r="C3776">
        <v>133339</v>
      </c>
      <c r="D3776" s="275" t="s">
        <v>15232</v>
      </c>
      <c r="E3776" s="301">
        <v>1185.5999999999999</v>
      </c>
      <c r="F3776" s="303">
        <v>43041</v>
      </c>
      <c r="G3776" s="301">
        <v>1185.5999999999999</v>
      </c>
      <c r="H3776" s="301">
        <f>Tabla15[[#This Row],[Importe]]-Tabla15[[#This Row],[Pagado]]</f>
        <v>0</v>
      </c>
      <c r="I3776" s="275" t="s">
        <v>15214</v>
      </c>
    </row>
    <row r="3777" spans="1:9" x14ac:dyDescent="0.25">
      <c r="A3777" s="420">
        <v>43038</v>
      </c>
      <c r="B3777" s="302" t="s">
        <v>35486</v>
      </c>
      <c r="C3777">
        <v>133340</v>
      </c>
      <c r="D3777" s="275" t="s">
        <v>15324</v>
      </c>
      <c r="E3777" s="301">
        <v>2260</v>
      </c>
      <c r="F3777" s="303">
        <v>43038</v>
      </c>
      <c r="G3777" s="301">
        <v>2260</v>
      </c>
      <c r="H3777" s="301">
        <f>Tabla15[[#This Row],[Importe]]-Tabla15[[#This Row],[Pagado]]</f>
        <v>0</v>
      </c>
      <c r="I3777" s="275" t="s">
        <v>15214</v>
      </c>
    </row>
    <row r="3778" spans="1:9" x14ac:dyDescent="0.25">
      <c r="A3778" s="420">
        <v>43038</v>
      </c>
      <c r="B3778" s="302" t="s">
        <v>35487</v>
      </c>
      <c r="C3778">
        <v>133341</v>
      </c>
      <c r="D3778" s="275" t="s">
        <v>15338</v>
      </c>
      <c r="E3778" s="301">
        <v>9205</v>
      </c>
      <c r="F3778" s="303">
        <v>43042</v>
      </c>
      <c r="G3778" s="301">
        <v>9205</v>
      </c>
      <c r="H3778" s="301">
        <f>Tabla15[[#This Row],[Importe]]-Tabla15[[#This Row],[Pagado]]</f>
        <v>0</v>
      </c>
      <c r="I3778" s="275" t="s">
        <v>15214</v>
      </c>
    </row>
    <row r="3779" spans="1:9" x14ac:dyDescent="0.25">
      <c r="A3779" s="420">
        <v>43038</v>
      </c>
      <c r="B3779" s="302" t="s">
        <v>35488</v>
      </c>
      <c r="C3779">
        <v>133342</v>
      </c>
      <c r="D3779" s="275" t="s">
        <v>15340</v>
      </c>
      <c r="E3779" s="301">
        <v>4061.8</v>
      </c>
      <c r="F3779" s="303">
        <v>43038</v>
      </c>
      <c r="G3779" s="301">
        <v>4061.8</v>
      </c>
      <c r="H3779" s="301">
        <f>Tabla15[[#This Row],[Importe]]-Tabla15[[#This Row],[Pagado]]</f>
        <v>0</v>
      </c>
      <c r="I3779" s="275" t="s">
        <v>15214</v>
      </c>
    </row>
    <row r="3780" spans="1:9" x14ac:dyDescent="0.25">
      <c r="A3780" s="420">
        <v>43038</v>
      </c>
      <c r="B3780" s="302" t="s">
        <v>35489</v>
      </c>
      <c r="C3780">
        <v>133343</v>
      </c>
      <c r="D3780" s="275" t="s">
        <v>15523</v>
      </c>
      <c r="E3780" s="301">
        <v>1250</v>
      </c>
      <c r="F3780" s="303">
        <v>43038</v>
      </c>
      <c r="G3780" s="301">
        <v>1250</v>
      </c>
      <c r="H3780" s="301">
        <f>Tabla15[[#This Row],[Importe]]-Tabla15[[#This Row],[Pagado]]</f>
        <v>0</v>
      </c>
      <c r="I3780" s="275" t="s">
        <v>15214</v>
      </c>
    </row>
    <row r="3781" spans="1:9" x14ac:dyDescent="0.25">
      <c r="A3781" s="420">
        <v>43038</v>
      </c>
      <c r="B3781" s="302" t="s">
        <v>35490</v>
      </c>
      <c r="C3781">
        <v>133344</v>
      </c>
      <c r="D3781" s="275" t="s">
        <v>15742</v>
      </c>
      <c r="E3781" s="301">
        <v>1586.1</v>
      </c>
      <c r="F3781" s="303">
        <v>43038</v>
      </c>
      <c r="G3781" s="301">
        <v>1586.1</v>
      </c>
      <c r="H3781" s="301">
        <f>Tabla15[[#This Row],[Importe]]-Tabla15[[#This Row],[Pagado]]</f>
        <v>0</v>
      </c>
      <c r="I3781" s="275" t="s">
        <v>15214</v>
      </c>
    </row>
    <row r="3782" spans="1:9" x14ac:dyDescent="0.25">
      <c r="A3782" s="420">
        <v>43038</v>
      </c>
      <c r="B3782" s="302" t="s">
        <v>35491</v>
      </c>
      <c r="C3782">
        <v>133345</v>
      </c>
      <c r="D3782" s="275" t="s">
        <v>15868</v>
      </c>
      <c r="E3782" s="301">
        <v>11108.2</v>
      </c>
      <c r="F3782" s="303">
        <v>43038</v>
      </c>
      <c r="G3782" s="301">
        <v>11108.2</v>
      </c>
      <c r="H3782" s="301">
        <f>Tabla15[[#This Row],[Importe]]-Tabla15[[#This Row],[Pagado]]</f>
        <v>0</v>
      </c>
      <c r="I3782" s="275" t="s">
        <v>15214</v>
      </c>
    </row>
    <row r="3783" spans="1:9" x14ac:dyDescent="0.25">
      <c r="A3783" s="420">
        <v>43038</v>
      </c>
      <c r="B3783" s="302" t="s">
        <v>35492</v>
      </c>
      <c r="C3783">
        <v>133346</v>
      </c>
      <c r="D3783" s="275" t="s">
        <v>15358</v>
      </c>
      <c r="E3783" s="301">
        <v>1580</v>
      </c>
      <c r="F3783" s="303">
        <v>43038</v>
      </c>
      <c r="G3783" s="301">
        <v>1580</v>
      </c>
      <c r="H3783" s="301">
        <f>Tabla15[[#This Row],[Importe]]-Tabla15[[#This Row],[Pagado]]</f>
        <v>0</v>
      </c>
      <c r="I3783" s="275" t="s">
        <v>15214</v>
      </c>
    </row>
    <row r="3784" spans="1:9" x14ac:dyDescent="0.25">
      <c r="A3784" s="420">
        <v>43038</v>
      </c>
      <c r="B3784" s="302" t="s">
        <v>35493</v>
      </c>
      <c r="C3784">
        <v>133347</v>
      </c>
      <c r="D3784" s="275" t="s">
        <v>15240</v>
      </c>
      <c r="E3784" s="301">
        <v>3322</v>
      </c>
      <c r="F3784" s="303">
        <v>43042</v>
      </c>
      <c r="G3784" s="301">
        <v>3322</v>
      </c>
      <c r="H3784" s="301">
        <f>Tabla15[[#This Row],[Importe]]-Tabla15[[#This Row],[Pagado]]</f>
        <v>0</v>
      </c>
      <c r="I3784" s="275" t="s">
        <v>15214</v>
      </c>
    </row>
    <row r="3785" spans="1:9" x14ac:dyDescent="0.25">
      <c r="A3785" s="420">
        <v>43038</v>
      </c>
      <c r="B3785" s="302" t="s">
        <v>35494</v>
      </c>
      <c r="C3785">
        <v>133348</v>
      </c>
      <c r="D3785" s="275" t="s">
        <v>15348</v>
      </c>
      <c r="E3785" s="301">
        <v>3024.4</v>
      </c>
      <c r="F3785" s="303">
        <v>43040</v>
      </c>
      <c r="G3785" s="301">
        <v>3024.4</v>
      </c>
      <c r="H3785" s="301">
        <f>Tabla15[[#This Row],[Importe]]-Tabla15[[#This Row],[Pagado]]</f>
        <v>0</v>
      </c>
      <c r="I3785" s="275" t="s">
        <v>15214</v>
      </c>
    </row>
    <row r="3786" spans="1:9" x14ac:dyDescent="0.25">
      <c r="A3786" s="420">
        <v>43038</v>
      </c>
      <c r="B3786" s="302" t="s">
        <v>35495</v>
      </c>
      <c r="C3786">
        <v>133349</v>
      </c>
      <c r="D3786" s="275" t="s">
        <v>15356</v>
      </c>
      <c r="E3786" s="301">
        <v>3109.4</v>
      </c>
      <c r="F3786" s="303">
        <v>43038</v>
      </c>
      <c r="G3786" s="301">
        <v>3109.4</v>
      </c>
      <c r="H3786" s="301">
        <f>Tabla15[[#This Row],[Importe]]-Tabla15[[#This Row],[Pagado]]</f>
        <v>0</v>
      </c>
      <c r="I3786" s="275" t="s">
        <v>15214</v>
      </c>
    </row>
    <row r="3787" spans="1:9" x14ac:dyDescent="0.25">
      <c r="A3787" s="420">
        <v>43038</v>
      </c>
      <c r="B3787" s="302" t="s">
        <v>35496</v>
      </c>
      <c r="C3787">
        <v>133350</v>
      </c>
      <c r="D3787" s="275" t="s">
        <v>15487</v>
      </c>
      <c r="E3787" s="301">
        <v>9706.5</v>
      </c>
      <c r="F3787" s="303">
        <v>43038</v>
      </c>
      <c r="G3787" s="301">
        <v>9706.5</v>
      </c>
      <c r="H3787" s="301">
        <f>Tabla15[[#This Row],[Importe]]-Tabla15[[#This Row],[Pagado]]</f>
        <v>0</v>
      </c>
      <c r="I3787" s="275" t="s">
        <v>15214</v>
      </c>
    </row>
    <row r="3788" spans="1:9" x14ac:dyDescent="0.25">
      <c r="A3788" s="420">
        <v>43038</v>
      </c>
      <c r="B3788" s="302" t="s">
        <v>35497</v>
      </c>
      <c r="C3788">
        <v>133351</v>
      </c>
      <c r="D3788" s="275" t="s">
        <v>15332</v>
      </c>
      <c r="E3788" s="301">
        <v>3513.9</v>
      </c>
      <c r="F3788" s="303">
        <v>43038</v>
      </c>
      <c r="G3788" s="301">
        <v>3513.9</v>
      </c>
      <c r="H3788" s="301">
        <f>Tabla15[[#This Row],[Importe]]-Tabla15[[#This Row],[Pagado]]</f>
        <v>0</v>
      </c>
      <c r="I3788" s="275" t="s">
        <v>15214</v>
      </c>
    </row>
    <row r="3789" spans="1:9" x14ac:dyDescent="0.25">
      <c r="A3789" s="420">
        <v>43038</v>
      </c>
      <c r="B3789" s="302" t="s">
        <v>35498</v>
      </c>
      <c r="C3789">
        <v>133352</v>
      </c>
      <c r="D3789" s="275" t="s">
        <v>15391</v>
      </c>
      <c r="E3789" s="301">
        <v>9555</v>
      </c>
      <c r="F3789" s="303">
        <v>43039</v>
      </c>
      <c r="G3789" s="301">
        <v>9555</v>
      </c>
      <c r="H3789" s="301">
        <f>Tabla15[[#This Row],[Importe]]-Tabla15[[#This Row],[Pagado]]</f>
        <v>0</v>
      </c>
      <c r="I3789" s="275" t="s">
        <v>15214</v>
      </c>
    </row>
    <row r="3790" spans="1:9" x14ac:dyDescent="0.25">
      <c r="A3790" s="420">
        <v>43038</v>
      </c>
      <c r="B3790" s="302" t="s">
        <v>35499</v>
      </c>
      <c r="C3790">
        <v>133353</v>
      </c>
      <c r="D3790" s="275" t="s">
        <v>15315</v>
      </c>
      <c r="E3790" s="301">
        <v>4432</v>
      </c>
      <c r="F3790" s="303">
        <v>43038</v>
      </c>
      <c r="G3790" s="301">
        <v>4432</v>
      </c>
      <c r="H3790" s="301">
        <f>Tabla15[[#This Row],[Importe]]-Tabla15[[#This Row],[Pagado]]</f>
        <v>0</v>
      </c>
      <c r="I3790" s="275" t="s">
        <v>15214</v>
      </c>
    </row>
    <row r="3791" spans="1:9" x14ac:dyDescent="0.25">
      <c r="A3791" s="420">
        <v>43038</v>
      </c>
      <c r="B3791" s="302" t="s">
        <v>35500</v>
      </c>
      <c r="C3791">
        <v>133354</v>
      </c>
      <c r="D3791" s="275" t="s">
        <v>15861</v>
      </c>
      <c r="E3791" s="301">
        <v>3280.1</v>
      </c>
      <c r="F3791" s="303">
        <v>43038</v>
      </c>
      <c r="G3791" s="301">
        <v>3280.1</v>
      </c>
      <c r="H3791" s="301">
        <f>Tabla15[[#This Row],[Importe]]-Tabla15[[#This Row],[Pagado]]</f>
        <v>0</v>
      </c>
      <c r="I3791" s="275" t="s">
        <v>15214</v>
      </c>
    </row>
    <row r="3792" spans="1:9" x14ac:dyDescent="0.25">
      <c r="A3792" s="420">
        <v>43038</v>
      </c>
      <c r="B3792" s="302" t="s">
        <v>35501</v>
      </c>
      <c r="C3792">
        <v>133355</v>
      </c>
      <c r="D3792" s="275" t="s">
        <v>15246</v>
      </c>
      <c r="E3792" s="301">
        <v>17929.3</v>
      </c>
      <c r="F3792" s="303">
        <v>43043</v>
      </c>
      <c r="G3792" s="301">
        <v>17929.3</v>
      </c>
      <c r="H3792" s="301">
        <f>Tabla15[[#This Row],[Importe]]-Tabla15[[#This Row],[Pagado]]</f>
        <v>0</v>
      </c>
      <c r="I3792" s="275" t="s">
        <v>15214</v>
      </c>
    </row>
    <row r="3793" spans="1:9" x14ac:dyDescent="0.25">
      <c r="A3793" s="420">
        <v>43038</v>
      </c>
      <c r="B3793" s="302" t="s">
        <v>35502</v>
      </c>
      <c r="C3793">
        <v>133356</v>
      </c>
      <c r="D3793" s="275" t="s">
        <v>15326</v>
      </c>
      <c r="E3793" s="301">
        <v>7186</v>
      </c>
      <c r="F3793" s="303">
        <v>43038</v>
      </c>
      <c r="G3793" s="301">
        <v>7186</v>
      </c>
      <c r="H3793" s="301">
        <f>Tabla15[[#This Row],[Importe]]-Tabla15[[#This Row],[Pagado]]</f>
        <v>0</v>
      </c>
      <c r="I3793" s="275" t="s">
        <v>15214</v>
      </c>
    </row>
    <row r="3794" spans="1:9" x14ac:dyDescent="0.25">
      <c r="A3794" s="420">
        <v>43038</v>
      </c>
      <c r="B3794" s="302" t="s">
        <v>35503</v>
      </c>
      <c r="C3794">
        <v>133357</v>
      </c>
      <c r="D3794" s="275" t="s">
        <v>15526</v>
      </c>
      <c r="E3794" s="301">
        <v>5309.2</v>
      </c>
      <c r="F3794" s="303">
        <v>43038</v>
      </c>
      <c r="G3794" s="301">
        <v>5309.2</v>
      </c>
      <c r="H3794" s="301">
        <f>Tabla15[[#This Row],[Importe]]-Tabla15[[#This Row],[Pagado]]</f>
        <v>0</v>
      </c>
      <c r="I3794" s="275" t="s">
        <v>15214</v>
      </c>
    </row>
    <row r="3795" spans="1:9" x14ac:dyDescent="0.25">
      <c r="A3795" s="420">
        <v>43038</v>
      </c>
      <c r="B3795" s="302" t="s">
        <v>35504</v>
      </c>
      <c r="C3795">
        <v>133358</v>
      </c>
      <c r="D3795" s="275" t="s">
        <v>15553</v>
      </c>
      <c r="E3795" s="301">
        <v>2767.02</v>
      </c>
      <c r="F3795" s="303">
        <v>43038</v>
      </c>
      <c r="G3795" s="301">
        <v>2767.02</v>
      </c>
      <c r="H3795" s="301">
        <f>Tabla15[[#This Row],[Importe]]-Tabla15[[#This Row],[Pagado]]</f>
        <v>0</v>
      </c>
      <c r="I3795" s="275" t="s">
        <v>15214</v>
      </c>
    </row>
    <row r="3796" spans="1:9" x14ac:dyDescent="0.25">
      <c r="A3796" s="420">
        <v>43038</v>
      </c>
      <c r="B3796" s="302" t="s">
        <v>35505</v>
      </c>
      <c r="C3796">
        <v>133359</v>
      </c>
      <c r="D3796" s="275" t="s">
        <v>16263</v>
      </c>
      <c r="E3796" s="301">
        <v>3326.4</v>
      </c>
      <c r="F3796" s="303">
        <v>43038</v>
      </c>
      <c r="G3796" s="301">
        <v>3326.4</v>
      </c>
      <c r="H3796" s="301">
        <f>Tabla15[[#This Row],[Importe]]-Tabla15[[#This Row],[Pagado]]</f>
        <v>0</v>
      </c>
      <c r="I3796" s="275" t="s">
        <v>15214</v>
      </c>
    </row>
    <row r="3797" spans="1:9" x14ac:dyDescent="0.25">
      <c r="A3797" s="420">
        <v>43038</v>
      </c>
      <c r="B3797" s="302" t="s">
        <v>35506</v>
      </c>
      <c r="C3797">
        <v>133360</v>
      </c>
      <c r="D3797" s="275" t="s">
        <v>15732</v>
      </c>
      <c r="E3797" s="301">
        <v>2610.4</v>
      </c>
      <c r="F3797" s="303">
        <v>43038</v>
      </c>
      <c r="G3797" s="301">
        <v>2610.4</v>
      </c>
      <c r="H3797" s="301">
        <f>Tabla15[[#This Row],[Importe]]-Tabla15[[#This Row],[Pagado]]</f>
        <v>0</v>
      </c>
      <c r="I3797" s="275" t="s">
        <v>15214</v>
      </c>
    </row>
    <row r="3798" spans="1:9" ht="15.75" x14ac:dyDescent="0.25">
      <c r="A3798" s="420">
        <v>43038</v>
      </c>
      <c r="B3798" s="302" t="s">
        <v>35507</v>
      </c>
      <c r="C3798">
        <v>133361</v>
      </c>
      <c r="D3798" s="248" t="s">
        <v>95</v>
      </c>
      <c r="E3798" s="301">
        <v>0</v>
      </c>
      <c r="F3798" s="243" t="s">
        <v>95</v>
      </c>
      <c r="G3798" s="301">
        <v>0</v>
      </c>
      <c r="H3798" s="301">
        <f>Tabla15[[#This Row],[Importe]]-Tabla15[[#This Row],[Pagado]]</f>
        <v>0</v>
      </c>
      <c r="I3798" s="275" t="s">
        <v>95</v>
      </c>
    </row>
    <row r="3799" spans="1:9" x14ac:dyDescent="0.25">
      <c r="A3799" s="420">
        <v>43038</v>
      </c>
      <c r="B3799" s="302" t="s">
        <v>35508</v>
      </c>
      <c r="C3799">
        <v>133362</v>
      </c>
      <c r="D3799" s="275" t="s">
        <v>15280</v>
      </c>
      <c r="E3799" s="301">
        <v>5060.7</v>
      </c>
      <c r="F3799" s="303">
        <v>43038</v>
      </c>
      <c r="G3799" s="301">
        <v>5060.7</v>
      </c>
      <c r="H3799" s="301">
        <f>Tabla15[[#This Row],[Importe]]-Tabla15[[#This Row],[Pagado]]</f>
        <v>0</v>
      </c>
      <c r="I3799" s="275" t="s">
        <v>15214</v>
      </c>
    </row>
    <row r="3800" spans="1:9" ht="15.75" x14ac:dyDescent="0.25">
      <c r="A3800" s="420">
        <v>43038</v>
      </c>
      <c r="B3800" s="302" t="s">
        <v>35509</v>
      </c>
      <c r="C3800">
        <v>133363</v>
      </c>
      <c r="D3800" s="248" t="s">
        <v>95</v>
      </c>
      <c r="E3800" s="301">
        <v>0</v>
      </c>
      <c r="F3800" s="243" t="s">
        <v>95</v>
      </c>
      <c r="G3800" s="301">
        <v>0</v>
      </c>
      <c r="H3800" s="301">
        <f>Tabla15[[#This Row],[Importe]]-Tabla15[[#This Row],[Pagado]]</f>
        <v>0</v>
      </c>
      <c r="I3800" s="275" t="s">
        <v>95</v>
      </c>
    </row>
    <row r="3801" spans="1:9" x14ac:dyDescent="0.25">
      <c r="A3801" s="420">
        <v>43038</v>
      </c>
      <c r="B3801" s="302" t="s">
        <v>35510</v>
      </c>
      <c r="C3801">
        <v>133364</v>
      </c>
      <c r="D3801" s="275" t="s">
        <v>15856</v>
      </c>
      <c r="E3801" s="301">
        <v>1514.7</v>
      </c>
      <c r="F3801" s="303">
        <v>43038</v>
      </c>
      <c r="G3801" s="301">
        <v>1514.7</v>
      </c>
      <c r="H3801" s="301">
        <f>Tabla15[[#This Row],[Importe]]-Tabla15[[#This Row],[Pagado]]</f>
        <v>0</v>
      </c>
      <c r="I3801" s="275" t="s">
        <v>15214</v>
      </c>
    </row>
    <row r="3802" spans="1:9" x14ac:dyDescent="0.25">
      <c r="A3802" s="420">
        <v>43038</v>
      </c>
      <c r="B3802" s="302" t="s">
        <v>35511</v>
      </c>
      <c r="C3802">
        <v>133365</v>
      </c>
      <c r="D3802" s="275" t="s">
        <v>15348</v>
      </c>
      <c r="E3802" s="301">
        <v>224.4</v>
      </c>
      <c r="F3802" s="303">
        <v>43040</v>
      </c>
      <c r="G3802" s="301">
        <v>224.4</v>
      </c>
      <c r="H3802" s="301">
        <f>Tabla15[[#This Row],[Importe]]-Tabla15[[#This Row],[Pagado]]</f>
        <v>0</v>
      </c>
      <c r="I3802" s="275" t="s">
        <v>15214</v>
      </c>
    </row>
    <row r="3803" spans="1:9" x14ac:dyDescent="0.25">
      <c r="A3803" s="420">
        <v>43038</v>
      </c>
      <c r="B3803" s="302" t="s">
        <v>35512</v>
      </c>
      <c r="C3803">
        <v>133366</v>
      </c>
      <c r="D3803" s="275" t="s">
        <v>15261</v>
      </c>
      <c r="E3803" s="301">
        <v>6145.1</v>
      </c>
      <c r="F3803" s="303">
        <v>43038</v>
      </c>
      <c r="G3803" s="301">
        <v>6145.1</v>
      </c>
      <c r="H3803" s="301">
        <f>Tabla15[[#This Row],[Importe]]-Tabla15[[#This Row],[Pagado]]</f>
        <v>0</v>
      </c>
      <c r="I3803" s="275" t="s">
        <v>15214</v>
      </c>
    </row>
    <row r="3804" spans="1:9" x14ac:dyDescent="0.25">
      <c r="A3804" s="420">
        <v>43038</v>
      </c>
      <c r="B3804" s="302" t="s">
        <v>35513</v>
      </c>
      <c r="C3804">
        <v>133367</v>
      </c>
      <c r="D3804" s="275" t="s">
        <v>15228</v>
      </c>
      <c r="E3804" s="301">
        <v>8486.4</v>
      </c>
      <c r="F3804" s="303">
        <v>43038</v>
      </c>
      <c r="G3804" s="301">
        <v>8486.4</v>
      </c>
      <c r="H3804" s="301">
        <f>Tabla15[[#This Row],[Importe]]-Tabla15[[#This Row],[Pagado]]</f>
        <v>0</v>
      </c>
      <c r="I3804" s="275" t="s">
        <v>15214</v>
      </c>
    </row>
    <row r="3805" spans="1:9" x14ac:dyDescent="0.25">
      <c r="A3805" s="420">
        <v>43038</v>
      </c>
      <c r="B3805" s="302" t="s">
        <v>35514</v>
      </c>
      <c r="C3805">
        <v>133368</v>
      </c>
      <c r="D3805" s="275" t="s">
        <v>15562</v>
      </c>
      <c r="E3805" s="301">
        <v>2781</v>
      </c>
      <c r="F3805" s="303">
        <v>43038</v>
      </c>
      <c r="G3805" s="301">
        <v>2781</v>
      </c>
      <c r="H3805" s="301">
        <f>Tabla15[[#This Row],[Importe]]-Tabla15[[#This Row],[Pagado]]</f>
        <v>0</v>
      </c>
      <c r="I3805" s="275" t="s">
        <v>15214</v>
      </c>
    </row>
    <row r="3806" spans="1:9" x14ac:dyDescent="0.25">
      <c r="A3806" s="420">
        <v>43038</v>
      </c>
      <c r="B3806" s="302" t="s">
        <v>35515</v>
      </c>
      <c r="C3806">
        <v>133369</v>
      </c>
      <c r="D3806" s="275" t="s">
        <v>18544</v>
      </c>
      <c r="E3806" s="301">
        <v>8216.7000000000007</v>
      </c>
      <c r="F3806" s="303">
        <v>43038</v>
      </c>
      <c r="G3806" s="301">
        <v>8216.7000000000007</v>
      </c>
      <c r="H3806" s="301">
        <f>Tabla15[[#This Row],[Importe]]-Tabla15[[#This Row],[Pagado]]</f>
        <v>0</v>
      </c>
      <c r="I3806" s="275" t="s">
        <v>15214</v>
      </c>
    </row>
    <row r="3807" spans="1:9" ht="15.75" x14ac:dyDescent="0.25">
      <c r="A3807" s="420">
        <v>43038</v>
      </c>
      <c r="B3807" s="302" t="s">
        <v>35516</v>
      </c>
      <c r="C3807">
        <v>133370</v>
      </c>
      <c r="D3807" s="248" t="s">
        <v>95</v>
      </c>
      <c r="E3807" s="301">
        <v>0</v>
      </c>
      <c r="F3807" s="243" t="s">
        <v>95</v>
      </c>
      <c r="G3807" s="301">
        <v>0</v>
      </c>
      <c r="H3807" s="301">
        <f>Tabla15[[#This Row],[Importe]]-Tabla15[[#This Row],[Pagado]]</f>
        <v>0</v>
      </c>
      <c r="I3807" s="275" t="s">
        <v>95</v>
      </c>
    </row>
    <row r="3808" spans="1:9" x14ac:dyDescent="0.25">
      <c r="A3808" s="420">
        <v>43038</v>
      </c>
      <c r="B3808" s="302" t="s">
        <v>35517</v>
      </c>
      <c r="C3808">
        <v>133371</v>
      </c>
      <c r="D3808" s="275" t="s">
        <v>15261</v>
      </c>
      <c r="E3808" s="301">
        <v>15046.32</v>
      </c>
      <c r="F3808" s="303">
        <v>43038</v>
      </c>
      <c r="G3808" s="301">
        <v>15046.32</v>
      </c>
      <c r="H3808" s="301">
        <f>Tabla15[[#This Row],[Importe]]-Tabla15[[#This Row],[Pagado]]</f>
        <v>0</v>
      </c>
      <c r="I3808" s="275" t="s">
        <v>15214</v>
      </c>
    </row>
    <row r="3809" spans="1:9" x14ac:dyDescent="0.25">
      <c r="A3809" s="420">
        <v>43038</v>
      </c>
      <c r="B3809" s="302" t="s">
        <v>35518</v>
      </c>
      <c r="C3809">
        <v>133372</v>
      </c>
      <c r="D3809" s="275" t="s">
        <v>5880</v>
      </c>
      <c r="E3809" s="301">
        <v>35331.199999999997</v>
      </c>
      <c r="F3809" s="303">
        <v>43040</v>
      </c>
      <c r="G3809" s="301">
        <v>35331.199999999997</v>
      </c>
      <c r="H3809" s="301">
        <f>Tabla15[[#This Row],[Importe]]-Tabla15[[#This Row],[Pagado]]</f>
        <v>0</v>
      </c>
      <c r="I3809" s="275" t="s">
        <v>15214</v>
      </c>
    </row>
    <row r="3810" spans="1:9" x14ac:dyDescent="0.25">
      <c r="A3810" s="420">
        <v>43038</v>
      </c>
      <c r="B3810" s="302" t="s">
        <v>35519</v>
      </c>
      <c r="C3810">
        <v>133373</v>
      </c>
      <c r="D3810" s="275" t="s">
        <v>15248</v>
      </c>
      <c r="E3810" s="301">
        <v>17671.34</v>
      </c>
      <c r="F3810" s="303">
        <v>43038</v>
      </c>
      <c r="G3810" s="301">
        <v>17671.34</v>
      </c>
      <c r="H3810" s="301">
        <f>Tabla15[[#This Row],[Importe]]-Tabla15[[#This Row],[Pagado]]</f>
        <v>0</v>
      </c>
      <c r="I3810" s="275" t="s">
        <v>15214</v>
      </c>
    </row>
    <row r="3811" spans="1:9" x14ac:dyDescent="0.25">
      <c r="A3811" s="420">
        <v>43038</v>
      </c>
      <c r="B3811" s="302" t="s">
        <v>35520</v>
      </c>
      <c r="C3811">
        <v>133374</v>
      </c>
      <c r="D3811" s="275" t="s">
        <v>15385</v>
      </c>
      <c r="E3811" s="301">
        <v>10100</v>
      </c>
      <c r="F3811" s="303">
        <v>43038</v>
      </c>
      <c r="G3811" s="301">
        <v>10100</v>
      </c>
      <c r="H3811" s="301">
        <f>Tabla15[[#This Row],[Importe]]-Tabla15[[#This Row],[Pagado]]</f>
        <v>0</v>
      </c>
      <c r="I3811" s="275" t="s">
        <v>15214</v>
      </c>
    </row>
    <row r="3812" spans="1:9" x14ac:dyDescent="0.25">
      <c r="A3812" s="420">
        <v>43038</v>
      </c>
      <c r="B3812" s="302" t="s">
        <v>35521</v>
      </c>
      <c r="C3812">
        <v>133375</v>
      </c>
      <c r="D3812" s="275" t="s">
        <v>15568</v>
      </c>
      <c r="E3812" s="301">
        <v>3202.1</v>
      </c>
      <c r="F3812" s="303">
        <v>43038</v>
      </c>
      <c r="G3812" s="301">
        <v>3202.1</v>
      </c>
      <c r="H3812" s="301">
        <f>Tabla15[[#This Row],[Importe]]-Tabla15[[#This Row],[Pagado]]</f>
        <v>0</v>
      </c>
      <c r="I3812" s="275" t="s">
        <v>15214</v>
      </c>
    </row>
    <row r="3813" spans="1:9" x14ac:dyDescent="0.25">
      <c r="A3813" s="420">
        <v>43038</v>
      </c>
      <c r="B3813" s="302" t="s">
        <v>35522</v>
      </c>
      <c r="C3813">
        <v>133376</v>
      </c>
      <c r="D3813" s="275" t="s">
        <v>16383</v>
      </c>
      <c r="E3813" s="301">
        <v>9920</v>
      </c>
      <c r="F3813" s="303">
        <v>43038</v>
      </c>
      <c r="G3813" s="301">
        <v>9920</v>
      </c>
      <c r="H3813" s="301">
        <f>Tabla15[[#This Row],[Importe]]-Tabla15[[#This Row],[Pagado]]</f>
        <v>0</v>
      </c>
      <c r="I3813" s="275" t="s">
        <v>15214</v>
      </c>
    </row>
    <row r="3814" spans="1:9" x14ac:dyDescent="0.25">
      <c r="A3814" s="420">
        <v>43038</v>
      </c>
      <c r="B3814" s="302" t="s">
        <v>35523</v>
      </c>
      <c r="C3814">
        <v>133377</v>
      </c>
      <c r="D3814" s="275" t="s">
        <v>15404</v>
      </c>
      <c r="E3814" s="301">
        <v>13270.4</v>
      </c>
      <c r="F3814" s="303">
        <v>43038</v>
      </c>
      <c r="G3814" s="301">
        <v>13270.4</v>
      </c>
      <c r="H3814" s="301">
        <f>Tabla15[[#This Row],[Importe]]-Tabla15[[#This Row],[Pagado]]</f>
        <v>0</v>
      </c>
      <c r="I3814" s="275" t="s">
        <v>15214</v>
      </c>
    </row>
    <row r="3815" spans="1:9" x14ac:dyDescent="0.25">
      <c r="A3815" s="420">
        <v>43038</v>
      </c>
      <c r="B3815" s="302" t="s">
        <v>35524</v>
      </c>
      <c r="C3815">
        <v>133378</v>
      </c>
      <c r="D3815" s="275" t="s">
        <v>15246</v>
      </c>
      <c r="E3815" s="301">
        <v>14411.6</v>
      </c>
      <c r="F3815" s="303">
        <v>43043</v>
      </c>
      <c r="G3815" s="301">
        <v>14411.6</v>
      </c>
      <c r="H3815" s="301">
        <f>Tabla15[[#This Row],[Importe]]-Tabla15[[#This Row],[Pagado]]</f>
        <v>0</v>
      </c>
      <c r="I3815" s="275" t="s">
        <v>15214</v>
      </c>
    </row>
    <row r="3816" spans="1:9" x14ac:dyDescent="0.25">
      <c r="A3816" s="420">
        <v>43038</v>
      </c>
      <c r="B3816" s="302" t="s">
        <v>35525</v>
      </c>
      <c r="C3816">
        <v>133379</v>
      </c>
      <c r="D3816" s="275" t="s">
        <v>15252</v>
      </c>
      <c r="E3816" s="301">
        <v>5307.35</v>
      </c>
      <c r="F3816" s="303">
        <v>43040</v>
      </c>
      <c r="G3816" s="301">
        <v>5307.35</v>
      </c>
      <c r="H3816" s="301">
        <f>Tabla15[[#This Row],[Importe]]-Tabla15[[#This Row],[Pagado]]</f>
        <v>0</v>
      </c>
      <c r="I3816" s="275" t="s">
        <v>15214</v>
      </c>
    </row>
    <row r="3817" spans="1:9" x14ac:dyDescent="0.25">
      <c r="A3817" s="420">
        <v>43038</v>
      </c>
      <c r="B3817" s="302" t="s">
        <v>35526</v>
      </c>
      <c r="C3817">
        <v>133380</v>
      </c>
      <c r="D3817" s="275" t="s">
        <v>23937</v>
      </c>
      <c r="E3817" s="301">
        <v>2828.8</v>
      </c>
      <c r="F3817" s="303">
        <v>43038</v>
      </c>
      <c r="G3817" s="301">
        <v>2828.8</v>
      </c>
      <c r="H3817" s="301">
        <f>Tabla15[[#This Row],[Importe]]-Tabla15[[#This Row],[Pagado]]</f>
        <v>0</v>
      </c>
      <c r="I3817" s="275" t="s">
        <v>15214</v>
      </c>
    </row>
    <row r="3818" spans="1:9" x14ac:dyDescent="0.25">
      <c r="A3818" s="420">
        <v>43038</v>
      </c>
      <c r="B3818" s="302" t="s">
        <v>35527</v>
      </c>
      <c r="C3818">
        <v>133381</v>
      </c>
      <c r="D3818" s="275" t="s">
        <v>15244</v>
      </c>
      <c r="E3818" s="301">
        <v>17704.25</v>
      </c>
      <c r="F3818" s="303">
        <v>43039</v>
      </c>
      <c r="G3818" s="301">
        <v>17704.25</v>
      </c>
      <c r="H3818" s="301">
        <f>Tabla15[[#This Row],[Importe]]-Tabla15[[#This Row],[Pagado]]</f>
        <v>0</v>
      </c>
      <c r="I3818" s="275" t="s">
        <v>15214</v>
      </c>
    </row>
    <row r="3819" spans="1:9" x14ac:dyDescent="0.25">
      <c r="A3819" s="420">
        <v>43038</v>
      </c>
      <c r="B3819" s="302" t="s">
        <v>35528</v>
      </c>
      <c r="C3819">
        <v>133382</v>
      </c>
      <c r="D3819" s="275" t="s">
        <v>15254</v>
      </c>
      <c r="E3819" s="301">
        <v>9142.7999999999993</v>
      </c>
      <c r="F3819" s="303">
        <v>43039</v>
      </c>
      <c r="G3819" s="301">
        <v>9142.7999999999993</v>
      </c>
      <c r="H3819" s="301">
        <f>Tabla15[[#This Row],[Importe]]-Tabla15[[#This Row],[Pagado]]</f>
        <v>0</v>
      </c>
      <c r="I3819" s="275" t="s">
        <v>15214</v>
      </c>
    </row>
    <row r="3820" spans="1:9" x14ac:dyDescent="0.25">
      <c r="A3820" s="420">
        <v>43038</v>
      </c>
      <c r="B3820" s="302" t="s">
        <v>35529</v>
      </c>
      <c r="C3820">
        <v>133383</v>
      </c>
      <c r="D3820" s="275" t="s">
        <v>15427</v>
      </c>
      <c r="E3820" s="301">
        <v>53124.4</v>
      </c>
      <c r="F3820" s="303">
        <v>43039</v>
      </c>
      <c r="G3820" s="301">
        <v>53124.4</v>
      </c>
      <c r="H3820" s="301">
        <f>Tabla15[[#This Row],[Importe]]-Tabla15[[#This Row],[Pagado]]</f>
        <v>0</v>
      </c>
      <c r="I3820" s="275" t="s">
        <v>15214</v>
      </c>
    </row>
    <row r="3821" spans="1:9" ht="30" x14ac:dyDescent="0.25">
      <c r="A3821" s="420">
        <v>43038</v>
      </c>
      <c r="B3821" s="302" t="s">
        <v>35530</v>
      </c>
      <c r="C3821">
        <v>133384</v>
      </c>
      <c r="D3821" s="275" t="s">
        <v>15373</v>
      </c>
      <c r="E3821" s="301">
        <v>18454.8</v>
      </c>
      <c r="F3821" s="303" t="s">
        <v>35719</v>
      </c>
      <c r="G3821" s="305">
        <f>12000+6454.8</f>
        <v>18454.8</v>
      </c>
      <c r="H3821" s="305">
        <f>Tabla15[[#This Row],[Importe]]-Tabla15[[#This Row],[Pagado]]</f>
        <v>0</v>
      </c>
      <c r="I3821" s="275" t="s">
        <v>15214</v>
      </c>
    </row>
    <row r="3822" spans="1:9" x14ac:dyDescent="0.25">
      <c r="A3822" s="420">
        <v>43038</v>
      </c>
      <c r="B3822" s="302" t="s">
        <v>35531</v>
      </c>
      <c r="C3822">
        <v>133385</v>
      </c>
      <c r="D3822" s="275" t="s">
        <v>29500</v>
      </c>
      <c r="E3822" s="301">
        <v>5000</v>
      </c>
      <c r="F3822" s="303">
        <v>43039</v>
      </c>
      <c r="G3822" s="301">
        <v>5000</v>
      </c>
      <c r="H3822" s="301">
        <f>Tabla15[[#This Row],[Importe]]-Tabla15[[#This Row],[Pagado]]</f>
        <v>0</v>
      </c>
      <c r="I3822" s="275" t="s">
        <v>15214</v>
      </c>
    </row>
    <row r="3823" spans="1:9" x14ac:dyDescent="0.25">
      <c r="A3823" s="420">
        <v>43038</v>
      </c>
      <c r="B3823" s="302" t="s">
        <v>35532</v>
      </c>
      <c r="C3823">
        <v>133386</v>
      </c>
      <c r="D3823" s="275" t="s">
        <v>19964</v>
      </c>
      <c r="E3823" s="301">
        <v>331.5</v>
      </c>
      <c r="F3823" s="303">
        <v>43038</v>
      </c>
      <c r="G3823" s="301">
        <v>331.5</v>
      </c>
      <c r="H3823" s="301">
        <f>Tabla15[[#This Row],[Importe]]-Tabla15[[#This Row],[Pagado]]</f>
        <v>0</v>
      </c>
      <c r="I3823" s="275" t="s">
        <v>15214</v>
      </c>
    </row>
    <row r="3824" spans="1:9" x14ac:dyDescent="0.25">
      <c r="A3824" s="420">
        <v>43038</v>
      </c>
      <c r="B3824" s="302" t="s">
        <v>35533</v>
      </c>
      <c r="C3824">
        <v>133387</v>
      </c>
      <c r="D3824" s="275" t="s">
        <v>15315</v>
      </c>
      <c r="E3824" s="301">
        <v>1927.8</v>
      </c>
      <c r="F3824" s="303">
        <v>43038</v>
      </c>
      <c r="G3824" s="301">
        <v>1927.8</v>
      </c>
      <c r="H3824" s="301">
        <f>Tabla15[[#This Row],[Importe]]-Tabla15[[#This Row],[Pagado]]</f>
        <v>0</v>
      </c>
      <c r="I3824" s="275" t="s">
        <v>15214</v>
      </c>
    </row>
    <row r="3825" spans="1:9" x14ac:dyDescent="0.25">
      <c r="A3825" s="420">
        <v>43038</v>
      </c>
      <c r="B3825" s="302" t="s">
        <v>35534</v>
      </c>
      <c r="C3825">
        <v>133388</v>
      </c>
      <c r="D3825" s="275" t="s">
        <v>15380</v>
      </c>
      <c r="E3825" s="301">
        <v>48558.6</v>
      </c>
      <c r="F3825" s="303">
        <v>43057</v>
      </c>
      <c r="G3825" s="301">
        <v>48558.6</v>
      </c>
      <c r="H3825" s="301">
        <f>Tabla15[[#This Row],[Importe]]-Tabla15[[#This Row],[Pagado]]</f>
        <v>0</v>
      </c>
      <c r="I3825" s="275" t="s">
        <v>15214</v>
      </c>
    </row>
    <row r="3826" spans="1:9" x14ac:dyDescent="0.25">
      <c r="A3826" s="420">
        <v>43038</v>
      </c>
      <c r="B3826" s="302" t="s">
        <v>35535</v>
      </c>
      <c r="C3826">
        <v>133389</v>
      </c>
      <c r="D3826" s="275" t="s">
        <v>15369</v>
      </c>
      <c r="E3826" s="301">
        <v>32820.1</v>
      </c>
      <c r="F3826" s="303">
        <v>43050</v>
      </c>
      <c r="G3826" s="301">
        <v>32820.1</v>
      </c>
      <c r="H3826" s="301">
        <f>Tabla15[[#This Row],[Importe]]-Tabla15[[#This Row],[Pagado]]</f>
        <v>0</v>
      </c>
      <c r="I3826" s="275" t="s">
        <v>15214</v>
      </c>
    </row>
    <row r="3827" spans="1:9" x14ac:dyDescent="0.25">
      <c r="A3827" s="420">
        <v>43038</v>
      </c>
      <c r="B3827" s="302" t="s">
        <v>35536</v>
      </c>
      <c r="C3827">
        <v>133390</v>
      </c>
      <c r="D3827" s="275" t="s">
        <v>15389</v>
      </c>
      <c r="E3827" s="301">
        <v>14785.7</v>
      </c>
      <c r="F3827" s="303">
        <v>43050</v>
      </c>
      <c r="G3827" s="301">
        <v>14785.7</v>
      </c>
      <c r="H3827" s="301">
        <f>Tabla15[[#This Row],[Importe]]-Tabla15[[#This Row],[Pagado]]</f>
        <v>0</v>
      </c>
      <c r="I3827" s="275" t="s">
        <v>15214</v>
      </c>
    </row>
    <row r="3828" spans="1:9" x14ac:dyDescent="0.25">
      <c r="A3828" s="420">
        <v>43038</v>
      </c>
      <c r="B3828" s="302" t="s">
        <v>35537</v>
      </c>
      <c r="C3828">
        <v>133391</v>
      </c>
      <c r="D3828" s="275" t="s">
        <v>15987</v>
      </c>
      <c r="E3828" s="301">
        <v>3704.4</v>
      </c>
      <c r="F3828" s="303">
        <v>43038</v>
      </c>
      <c r="G3828" s="301">
        <v>3704.4</v>
      </c>
      <c r="H3828" s="301">
        <f>Tabla15[[#This Row],[Importe]]-Tabla15[[#This Row],[Pagado]]</f>
        <v>0</v>
      </c>
      <c r="I3828" s="275" t="s">
        <v>15214</v>
      </c>
    </row>
    <row r="3829" spans="1:9" x14ac:dyDescent="0.25">
      <c r="A3829" s="420">
        <v>43038</v>
      </c>
      <c r="B3829" s="302" t="s">
        <v>35538</v>
      </c>
      <c r="C3829">
        <v>133392</v>
      </c>
      <c r="D3829" s="275" t="s">
        <v>15382</v>
      </c>
      <c r="E3829" s="301">
        <v>10848.3</v>
      </c>
      <c r="F3829" s="303">
        <v>43050</v>
      </c>
      <c r="G3829" s="301">
        <v>10848.3</v>
      </c>
      <c r="H3829" s="301">
        <f>Tabla15[[#This Row],[Importe]]-Tabla15[[#This Row],[Pagado]]</f>
        <v>0</v>
      </c>
      <c r="I3829" s="275" t="s">
        <v>15214</v>
      </c>
    </row>
    <row r="3830" spans="1:9" x14ac:dyDescent="0.25">
      <c r="A3830" s="420">
        <v>43038</v>
      </c>
      <c r="B3830" s="302" t="s">
        <v>35539</v>
      </c>
      <c r="C3830">
        <v>133393</v>
      </c>
      <c r="D3830" s="275" t="s">
        <v>15596</v>
      </c>
      <c r="E3830" s="301">
        <v>3500</v>
      </c>
      <c r="F3830" s="303">
        <v>43039</v>
      </c>
      <c r="G3830" s="301">
        <v>3500</v>
      </c>
      <c r="H3830" s="301">
        <f>Tabla15[[#This Row],[Importe]]-Tabla15[[#This Row],[Pagado]]</f>
        <v>0</v>
      </c>
      <c r="I3830" s="275" t="s">
        <v>15214</v>
      </c>
    </row>
    <row r="3831" spans="1:9" x14ac:dyDescent="0.25">
      <c r="A3831" s="420">
        <v>43038</v>
      </c>
      <c r="B3831" s="302" t="s">
        <v>35540</v>
      </c>
      <c r="C3831">
        <v>133394</v>
      </c>
      <c r="D3831" s="275" t="s">
        <v>15315</v>
      </c>
      <c r="E3831" s="301">
        <v>1573.6</v>
      </c>
      <c r="F3831" s="303">
        <v>43038</v>
      </c>
      <c r="G3831" s="301">
        <v>1573.6</v>
      </c>
      <c r="H3831" s="301">
        <f>Tabla15[[#This Row],[Importe]]-Tabla15[[#This Row],[Pagado]]</f>
        <v>0</v>
      </c>
      <c r="I3831" s="275" t="s">
        <v>15214</v>
      </c>
    </row>
    <row r="3832" spans="1:9" x14ac:dyDescent="0.25">
      <c r="A3832" s="420">
        <v>43038</v>
      </c>
      <c r="B3832" s="302" t="s">
        <v>35541</v>
      </c>
      <c r="C3832">
        <v>133395</v>
      </c>
      <c r="D3832" s="275" t="s">
        <v>15309</v>
      </c>
      <c r="E3832" s="301">
        <v>11612.05</v>
      </c>
      <c r="F3832" s="303">
        <v>43039</v>
      </c>
      <c r="G3832" s="301">
        <v>11612.05</v>
      </c>
      <c r="H3832" s="301">
        <f>Tabla15[[#This Row],[Importe]]-Tabla15[[#This Row],[Pagado]]</f>
        <v>0</v>
      </c>
      <c r="I3832" s="275" t="s">
        <v>15214</v>
      </c>
    </row>
    <row r="3833" spans="1:9" x14ac:dyDescent="0.25">
      <c r="A3833" s="420">
        <v>43038</v>
      </c>
      <c r="B3833" s="302" t="s">
        <v>35542</v>
      </c>
      <c r="C3833">
        <v>133396</v>
      </c>
      <c r="D3833" s="275" t="s">
        <v>15317</v>
      </c>
      <c r="E3833" s="301">
        <v>2187.1</v>
      </c>
      <c r="F3833" s="303">
        <v>43040</v>
      </c>
      <c r="G3833" s="301">
        <v>2187.1</v>
      </c>
      <c r="H3833" s="301">
        <f>Tabla15[[#This Row],[Importe]]-Tabla15[[#This Row],[Pagado]]</f>
        <v>0</v>
      </c>
      <c r="I3833" s="275" t="s">
        <v>15214</v>
      </c>
    </row>
    <row r="3834" spans="1:9" x14ac:dyDescent="0.25">
      <c r="A3834" s="420">
        <v>43038</v>
      </c>
      <c r="B3834" s="302" t="s">
        <v>35543</v>
      </c>
      <c r="C3834">
        <v>133397</v>
      </c>
      <c r="D3834" s="275" t="s">
        <v>15291</v>
      </c>
      <c r="E3834" s="301">
        <v>800</v>
      </c>
      <c r="F3834" s="303">
        <v>43039</v>
      </c>
      <c r="G3834" s="301">
        <v>800</v>
      </c>
      <c r="H3834" s="301">
        <f>Tabla15[[#This Row],[Importe]]-Tabla15[[#This Row],[Pagado]]</f>
        <v>0</v>
      </c>
      <c r="I3834" s="275" t="s">
        <v>15214</v>
      </c>
    </row>
    <row r="3835" spans="1:9" x14ac:dyDescent="0.25">
      <c r="A3835" s="420">
        <v>43038</v>
      </c>
      <c r="B3835" s="302" t="s">
        <v>35544</v>
      </c>
      <c r="C3835">
        <v>133398</v>
      </c>
      <c r="D3835" s="275" t="s">
        <v>15782</v>
      </c>
      <c r="E3835" s="301">
        <v>1759.1</v>
      </c>
      <c r="F3835" s="303">
        <v>43039</v>
      </c>
      <c r="G3835" s="301">
        <v>1759.1</v>
      </c>
      <c r="H3835" s="301">
        <f>Tabla15[[#This Row],[Importe]]-Tabla15[[#This Row],[Pagado]]</f>
        <v>0</v>
      </c>
      <c r="I3835" s="275" t="s">
        <v>15214</v>
      </c>
    </row>
    <row r="3836" spans="1:9" x14ac:dyDescent="0.25">
      <c r="A3836" s="420">
        <v>43038</v>
      </c>
      <c r="B3836" s="302" t="s">
        <v>35545</v>
      </c>
      <c r="C3836">
        <v>133399</v>
      </c>
      <c r="D3836" s="275" t="s">
        <v>15276</v>
      </c>
      <c r="E3836" s="301">
        <v>2080</v>
      </c>
      <c r="F3836" s="303">
        <v>43039</v>
      </c>
      <c r="G3836" s="301">
        <v>2080</v>
      </c>
      <c r="H3836" s="301">
        <f>Tabla15[[#This Row],[Importe]]-Tabla15[[#This Row],[Pagado]]</f>
        <v>0</v>
      </c>
      <c r="I3836" s="275" t="s">
        <v>15214</v>
      </c>
    </row>
    <row r="3837" spans="1:9" x14ac:dyDescent="0.25">
      <c r="A3837" s="420">
        <v>43038</v>
      </c>
      <c r="B3837" s="302" t="s">
        <v>35546</v>
      </c>
      <c r="C3837">
        <v>133400</v>
      </c>
      <c r="D3837" s="275" t="s">
        <v>15276</v>
      </c>
      <c r="E3837" s="301">
        <v>2500</v>
      </c>
      <c r="F3837" s="303">
        <v>43039</v>
      </c>
      <c r="G3837" s="301">
        <v>2500</v>
      </c>
      <c r="H3837" s="301">
        <f>Tabla15[[#This Row],[Importe]]-Tabla15[[#This Row],[Pagado]]</f>
        <v>0</v>
      </c>
      <c r="I3837" s="275" t="s">
        <v>15214</v>
      </c>
    </row>
    <row r="3838" spans="1:9" x14ac:dyDescent="0.25">
      <c r="A3838" s="420">
        <v>43038</v>
      </c>
      <c r="B3838" s="302" t="s">
        <v>35547</v>
      </c>
      <c r="C3838">
        <v>133401</v>
      </c>
      <c r="D3838" s="275" t="s">
        <v>15311</v>
      </c>
      <c r="E3838" s="301">
        <v>733.7</v>
      </c>
      <c r="F3838" s="303">
        <v>43039</v>
      </c>
      <c r="G3838" s="301">
        <v>733.7</v>
      </c>
      <c r="H3838" s="301">
        <f>Tabla15[[#This Row],[Importe]]-Tabla15[[#This Row],[Pagado]]</f>
        <v>0</v>
      </c>
      <c r="I3838" s="275" t="s">
        <v>15214</v>
      </c>
    </row>
    <row r="3839" spans="1:9" ht="15.75" x14ac:dyDescent="0.25">
      <c r="A3839" s="420">
        <v>43038</v>
      </c>
      <c r="B3839" s="302" t="s">
        <v>35548</v>
      </c>
      <c r="C3839">
        <v>133402</v>
      </c>
      <c r="D3839" s="248" t="s">
        <v>95</v>
      </c>
      <c r="E3839" s="301">
        <v>0</v>
      </c>
      <c r="F3839" s="243" t="s">
        <v>95</v>
      </c>
      <c r="G3839" s="301">
        <v>0</v>
      </c>
      <c r="H3839" s="301">
        <f>Tabla15[[#This Row],[Importe]]-Tabla15[[#This Row],[Pagado]]</f>
        <v>0</v>
      </c>
      <c r="I3839" s="275" t="s">
        <v>95</v>
      </c>
    </row>
    <row r="3840" spans="1:9" x14ac:dyDescent="0.25">
      <c r="A3840" s="420">
        <v>43038</v>
      </c>
      <c r="B3840" s="302" t="s">
        <v>35549</v>
      </c>
      <c r="C3840">
        <v>133403</v>
      </c>
      <c r="D3840" s="275" t="s">
        <v>15510</v>
      </c>
      <c r="E3840" s="301">
        <v>4857.6000000000004</v>
      </c>
      <c r="F3840" s="303">
        <v>43039</v>
      </c>
      <c r="G3840" s="301">
        <v>4857.6000000000004</v>
      </c>
      <c r="H3840" s="301">
        <f>Tabla15[[#This Row],[Importe]]-Tabla15[[#This Row],[Pagado]]</f>
        <v>0</v>
      </c>
      <c r="I3840" s="275" t="s">
        <v>15214</v>
      </c>
    </row>
    <row r="3841" spans="1:9" x14ac:dyDescent="0.25">
      <c r="A3841" s="420">
        <v>43038</v>
      </c>
      <c r="B3841" s="302" t="s">
        <v>35550</v>
      </c>
      <c r="C3841">
        <v>133404</v>
      </c>
      <c r="D3841" s="275" t="s">
        <v>15415</v>
      </c>
      <c r="E3841" s="301">
        <v>2983.2</v>
      </c>
      <c r="F3841" s="303">
        <v>43042</v>
      </c>
      <c r="G3841" s="301">
        <v>2983.2</v>
      </c>
      <c r="H3841" s="301">
        <f>Tabla15[[#This Row],[Importe]]-Tabla15[[#This Row],[Pagado]]</f>
        <v>0</v>
      </c>
      <c r="I3841" s="275" t="s">
        <v>15214</v>
      </c>
    </row>
    <row r="3842" spans="1:9" x14ac:dyDescent="0.25">
      <c r="A3842" s="420">
        <v>43038</v>
      </c>
      <c r="B3842" s="302" t="s">
        <v>35551</v>
      </c>
      <c r="C3842">
        <v>133405</v>
      </c>
      <c r="D3842" s="275" t="s">
        <v>15583</v>
      </c>
      <c r="E3842" s="301">
        <v>1320.7</v>
      </c>
      <c r="F3842" s="303">
        <v>43047</v>
      </c>
      <c r="G3842" s="301">
        <v>1320.7</v>
      </c>
      <c r="H3842" s="301">
        <f>Tabla15[[#This Row],[Importe]]-Tabla15[[#This Row],[Pagado]]</f>
        <v>0</v>
      </c>
      <c r="I3842" s="275" t="s">
        <v>15214</v>
      </c>
    </row>
    <row r="3843" spans="1:9" x14ac:dyDescent="0.25">
      <c r="A3843" s="420">
        <v>43038</v>
      </c>
      <c r="B3843" s="302" t="s">
        <v>35552</v>
      </c>
      <c r="C3843">
        <v>133406</v>
      </c>
      <c r="D3843" s="275" t="s">
        <v>15305</v>
      </c>
      <c r="E3843" s="301">
        <v>2493</v>
      </c>
      <c r="F3843" s="303">
        <v>43039</v>
      </c>
      <c r="G3843" s="301">
        <v>2493</v>
      </c>
      <c r="H3843" s="301">
        <f>Tabla15[[#This Row],[Importe]]-Tabla15[[#This Row],[Pagado]]</f>
        <v>0</v>
      </c>
      <c r="I3843" s="275" t="s">
        <v>15214</v>
      </c>
    </row>
    <row r="3844" spans="1:9" x14ac:dyDescent="0.25">
      <c r="A3844" s="420">
        <v>43038</v>
      </c>
      <c r="B3844" s="302" t="s">
        <v>35553</v>
      </c>
      <c r="C3844">
        <v>133407</v>
      </c>
      <c r="D3844" s="275" t="s">
        <v>15396</v>
      </c>
      <c r="E3844" s="301">
        <v>3957</v>
      </c>
      <c r="F3844" s="303">
        <v>43038</v>
      </c>
      <c r="G3844" s="301">
        <v>3957</v>
      </c>
      <c r="H3844" s="301">
        <f>Tabla15[[#This Row],[Importe]]-Tabla15[[#This Row],[Pagado]]</f>
        <v>0</v>
      </c>
      <c r="I3844" s="275" t="s">
        <v>15214</v>
      </c>
    </row>
    <row r="3845" spans="1:9" x14ac:dyDescent="0.25">
      <c r="A3845" s="420">
        <v>43038</v>
      </c>
      <c r="B3845" s="302" t="s">
        <v>35554</v>
      </c>
      <c r="C3845">
        <v>133408</v>
      </c>
      <c r="D3845" s="275" t="s">
        <v>15284</v>
      </c>
      <c r="E3845" s="301">
        <v>1375.6</v>
      </c>
      <c r="F3845" s="303">
        <v>43038</v>
      </c>
      <c r="G3845" s="301">
        <v>1375.6</v>
      </c>
      <c r="H3845" s="301">
        <f>Tabla15[[#This Row],[Importe]]-Tabla15[[#This Row],[Pagado]]</f>
        <v>0</v>
      </c>
      <c r="I3845" s="275" t="s">
        <v>15214</v>
      </c>
    </row>
    <row r="3846" spans="1:9" x14ac:dyDescent="0.25">
      <c r="A3846" s="420">
        <v>43038</v>
      </c>
      <c r="B3846" s="302" t="s">
        <v>35555</v>
      </c>
      <c r="C3846">
        <v>133409</v>
      </c>
      <c r="D3846" s="275" t="s">
        <v>15378</v>
      </c>
      <c r="E3846" s="301">
        <v>10765.8</v>
      </c>
      <c r="F3846" s="303">
        <v>43045</v>
      </c>
      <c r="G3846" s="301">
        <v>10765.8</v>
      </c>
      <c r="H3846" s="301">
        <f>Tabla15[[#This Row],[Importe]]-Tabla15[[#This Row],[Pagado]]</f>
        <v>0</v>
      </c>
      <c r="I3846" s="275" t="s">
        <v>15214</v>
      </c>
    </row>
    <row r="3847" spans="1:9" x14ac:dyDescent="0.25">
      <c r="A3847" s="420">
        <v>43038</v>
      </c>
      <c r="B3847" s="302" t="s">
        <v>35556</v>
      </c>
      <c r="C3847">
        <v>133410</v>
      </c>
      <c r="D3847" s="275" t="s">
        <v>15226</v>
      </c>
      <c r="E3847" s="301">
        <v>1100</v>
      </c>
      <c r="F3847" s="303">
        <v>43040</v>
      </c>
      <c r="G3847" s="301">
        <v>1100</v>
      </c>
      <c r="H3847" s="301">
        <f>Tabla15[[#This Row],[Importe]]-Tabla15[[#This Row],[Pagado]]</f>
        <v>0</v>
      </c>
      <c r="I3847" s="275" t="s">
        <v>15214</v>
      </c>
    </row>
    <row r="3848" spans="1:9" x14ac:dyDescent="0.25">
      <c r="A3848" s="420">
        <v>43038</v>
      </c>
      <c r="B3848" s="302" t="s">
        <v>35557</v>
      </c>
      <c r="C3848">
        <v>133411</v>
      </c>
      <c r="D3848" s="275" t="s">
        <v>15617</v>
      </c>
      <c r="E3848" s="301">
        <v>25700</v>
      </c>
      <c r="F3848" s="303">
        <v>43039</v>
      </c>
      <c r="G3848" s="301">
        <v>25700</v>
      </c>
      <c r="H3848" s="301">
        <f>Tabla15[[#This Row],[Importe]]-Tabla15[[#This Row],[Pagado]]</f>
        <v>0</v>
      </c>
      <c r="I3848" s="275" t="s">
        <v>15214</v>
      </c>
    </row>
    <row r="3849" spans="1:9" x14ac:dyDescent="0.25">
      <c r="A3849" s="420">
        <v>43038</v>
      </c>
      <c r="B3849" s="302" t="s">
        <v>35558</v>
      </c>
      <c r="C3849">
        <v>133412</v>
      </c>
      <c r="D3849" s="275" t="s">
        <v>15246</v>
      </c>
      <c r="E3849" s="301">
        <v>323048.44</v>
      </c>
      <c r="F3849" s="303">
        <v>43043</v>
      </c>
      <c r="G3849" s="301">
        <v>323048.44</v>
      </c>
      <c r="H3849" s="301">
        <f>Tabla15[[#This Row],[Importe]]-Tabla15[[#This Row],[Pagado]]</f>
        <v>0</v>
      </c>
      <c r="I3849" s="275" t="s">
        <v>15214</v>
      </c>
    </row>
    <row r="3850" spans="1:9" x14ac:dyDescent="0.25">
      <c r="A3850" s="420">
        <v>43038</v>
      </c>
      <c r="B3850" s="302" t="s">
        <v>35559</v>
      </c>
      <c r="C3850">
        <v>133413</v>
      </c>
      <c r="D3850" s="275" t="s">
        <v>15398</v>
      </c>
      <c r="E3850" s="301">
        <v>8340.6</v>
      </c>
      <c r="F3850" s="303">
        <v>43040</v>
      </c>
      <c r="G3850" s="301">
        <v>8340.6</v>
      </c>
      <c r="H3850" s="301">
        <f>Tabla15[[#This Row],[Importe]]-Tabla15[[#This Row],[Pagado]]</f>
        <v>0</v>
      </c>
      <c r="I3850" s="275" t="s">
        <v>15214</v>
      </c>
    </row>
    <row r="3851" spans="1:9" x14ac:dyDescent="0.25">
      <c r="A3851" s="420">
        <v>43038</v>
      </c>
      <c r="B3851" s="302" t="s">
        <v>35560</v>
      </c>
      <c r="C3851">
        <v>133414</v>
      </c>
      <c r="D3851" s="275" t="s">
        <v>15282</v>
      </c>
      <c r="E3851" s="301">
        <v>3100.5</v>
      </c>
      <c r="F3851" s="303">
        <v>43038</v>
      </c>
      <c r="G3851" s="301">
        <v>3100.5</v>
      </c>
      <c r="H3851" s="301">
        <f>Tabla15[[#This Row],[Importe]]-Tabla15[[#This Row],[Pagado]]</f>
        <v>0</v>
      </c>
      <c r="I3851" s="275" t="s">
        <v>15214</v>
      </c>
    </row>
    <row r="3852" spans="1:9" x14ac:dyDescent="0.25">
      <c r="A3852" s="420">
        <v>43038</v>
      </c>
      <c r="B3852" s="302" t="s">
        <v>35561</v>
      </c>
      <c r="C3852">
        <v>133415</v>
      </c>
      <c r="D3852" s="275" t="s">
        <v>15246</v>
      </c>
      <c r="E3852" s="301">
        <v>3637.6</v>
      </c>
      <c r="F3852" s="303">
        <v>43043</v>
      </c>
      <c r="G3852" s="301">
        <v>3637.6</v>
      </c>
      <c r="H3852" s="301">
        <f>Tabla15[[#This Row],[Importe]]-Tabla15[[#This Row],[Pagado]]</f>
        <v>0</v>
      </c>
      <c r="I3852" s="275" t="s">
        <v>15214</v>
      </c>
    </row>
    <row r="3853" spans="1:9" x14ac:dyDescent="0.25">
      <c r="A3853" s="420">
        <v>43038</v>
      </c>
      <c r="B3853" s="302" t="s">
        <v>35562</v>
      </c>
      <c r="C3853">
        <v>133416</v>
      </c>
      <c r="D3853" s="275" t="s">
        <v>16093</v>
      </c>
      <c r="E3853" s="301">
        <v>2119.6</v>
      </c>
      <c r="F3853" s="303">
        <v>43038</v>
      </c>
      <c r="G3853" s="301">
        <v>2119.6</v>
      </c>
      <c r="H3853" s="301">
        <f>Tabla15[[#This Row],[Importe]]-Tabla15[[#This Row],[Pagado]]</f>
        <v>0</v>
      </c>
      <c r="I3853" s="275" t="s">
        <v>15214</v>
      </c>
    </row>
    <row r="3854" spans="1:9" x14ac:dyDescent="0.25">
      <c r="A3854" s="420">
        <v>43038</v>
      </c>
      <c r="B3854" s="302" t="s">
        <v>35563</v>
      </c>
      <c r="C3854">
        <v>133417</v>
      </c>
      <c r="D3854" s="275" t="s">
        <v>15706</v>
      </c>
      <c r="E3854" s="301">
        <v>853</v>
      </c>
      <c r="F3854" s="303">
        <v>43038</v>
      </c>
      <c r="G3854" s="301">
        <v>853</v>
      </c>
      <c r="H3854" s="301">
        <f>Tabla15[[#This Row],[Importe]]-Tabla15[[#This Row],[Pagado]]</f>
        <v>0</v>
      </c>
      <c r="I3854" s="275" t="s">
        <v>15214</v>
      </c>
    </row>
    <row r="3855" spans="1:9" x14ac:dyDescent="0.25">
      <c r="A3855" s="420">
        <v>43038</v>
      </c>
      <c r="B3855" s="302" t="s">
        <v>35564</v>
      </c>
      <c r="C3855">
        <v>133418</v>
      </c>
      <c r="D3855" s="275" t="s">
        <v>15298</v>
      </c>
      <c r="E3855" s="301">
        <v>20574.7</v>
      </c>
      <c r="F3855" s="303">
        <v>43045</v>
      </c>
      <c r="G3855" s="301">
        <v>20574.7</v>
      </c>
      <c r="H3855" s="301">
        <f>Tabla15[[#This Row],[Importe]]-Tabla15[[#This Row],[Pagado]]</f>
        <v>0</v>
      </c>
      <c r="I3855" s="275" t="s">
        <v>15214</v>
      </c>
    </row>
    <row r="3856" spans="1:9" x14ac:dyDescent="0.25">
      <c r="A3856" s="420">
        <v>43038</v>
      </c>
      <c r="B3856" s="302" t="s">
        <v>35565</v>
      </c>
      <c r="C3856">
        <v>133419</v>
      </c>
      <c r="D3856" s="275" t="s">
        <v>15716</v>
      </c>
      <c r="E3856" s="301">
        <v>8267.25</v>
      </c>
      <c r="F3856" s="303">
        <v>43038</v>
      </c>
      <c r="G3856" s="301">
        <v>8267.25</v>
      </c>
      <c r="H3856" s="301">
        <f>Tabla15[[#This Row],[Importe]]-Tabla15[[#This Row],[Pagado]]</f>
        <v>0</v>
      </c>
      <c r="I3856" s="275" t="s">
        <v>15214</v>
      </c>
    </row>
    <row r="3857" spans="1:9" x14ac:dyDescent="0.25">
      <c r="A3857" s="420">
        <v>43038</v>
      </c>
      <c r="B3857" s="302" t="s">
        <v>35566</v>
      </c>
      <c r="C3857">
        <v>133420</v>
      </c>
      <c r="D3857" s="275" t="s">
        <v>16313</v>
      </c>
      <c r="E3857" s="301">
        <v>7017.6</v>
      </c>
      <c r="F3857" s="303">
        <v>43038</v>
      </c>
      <c r="G3857" s="301">
        <v>7017.6</v>
      </c>
      <c r="H3857" s="301">
        <f>Tabla15[[#This Row],[Importe]]-Tabla15[[#This Row],[Pagado]]</f>
        <v>0</v>
      </c>
      <c r="I3857" s="275" t="s">
        <v>15214</v>
      </c>
    </row>
    <row r="3858" spans="1:9" x14ac:dyDescent="0.25">
      <c r="A3858" s="420">
        <v>43038</v>
      </c>
      <c r="B3858" s="302" t="s">
        <v>35567</v>
      </c>
      <c r="C3858">
        <v>133421</v>
      </c>
      <c r="D3858" s="275" t="s">
        <v>15284</v>
      </c>
      <c r="E3858" s="301">
        <v>1326</v>
      </c>
      <c r="F3858" s="303">
        <v>43038</v>
      </c>
      <c r="G3858" s="301">
        <v>1326</v>
      </c>
      <c r="H3858" s="301">
        <f>Tabla15[[#This Row],[Importe]]-Tabla15[[#This Row],[Pagado]]</f>
        <v>0</v>
      </c>
      <c r="I3858" s="275" t="s">
        <v>15214</v>
      </c>
    </row>
    <row r="3859" spans="1:9" x14ac:dyDescent="0.25">
      <c r="A3859" s="420">
        <v>43038</v>
      </c>
      <c r="B3859" s="302" t="s">
        <v>35568</v>
      </c>
      <c r="C3859">
        <v>133422</v>
      </c>
      <c r="D3859" s="275" t="s">
        <v>15226</v>
      </c>
      <c r="E3859" s="301">
        <v>2611.1999999999998</v>
      </c>
      <c r="F3859" s="303">
        <v>43043</v>
      </c>
      <c r="G3859" s="301">
        <v>2611.1999999999998</v>
      </c>
      <c r="H3859" s="301">
        <f>Tabla15[[#This Row],[Importe]]-Tabla15[[#This Row],[Pagado]]</f>
        <v>0</v>
      </c>
      <c r="I3859" s="275" t="s">
        <v>15214</v>
      </c>
    </row>
    <row r="3860" spans="1:9" x14ac:dyDescent="0.25">
      <c r="A3860" s="420">
        <v>43038</v>
      </c>
      <c r="B3860" s="302" t="s">
        <v>35569</v>
      </c>
      <c r="C3860">
        <v>133423</v>
      </c>
      <c r="D3860" s="275" t="s">
        <v>15423</v>
      </c>
      <c r="E3860" s="301">
        <v>3488.4</v>
      </c>
      <c r="F3860" s="303">
        <v>43038</v>
      </c>
      <c r="G3860" s="301">
        <v>3488.4</v>
      </c>
      <c r="H3860" s="301">
        <f>Tabla15[[#This Row],[Importe]]-Tabla15[[#This Row],[Pagado]]</f>
        <v>0</v>
      </c>
      <c r="I3860" s="275" t="s">
        <v>15214</v>
      </c>
    </row>
    <row r="3861" spans="1:9" x14ac:dyDescent="0.25">
      <c r="A3861" s="420">
        <v>43038</v>
      </c>
      <c r="B3861" s="302" t="s">
        <v>35570</v>
      </c>
      <c r="C3861">
        <v>133424</v>
      </c>
      <c r="D3861" s="275" t="s">
        <v>15903</v>
      </c>
      <c r="E3861" s="301">
        <v>39817.4</v>
      </c>
      <c r="F3861" s="303">
        <v>43038</v>
      </c>
      <c r="G3861" s="301">
        <v>39817.4</v>
      </c>
      <c r="H3861" s="301">
        <f>Tabla15[[#This Row],[Importe]]-Tabla15[[#This Row],[Pagado]]</f>
        <v>0</v>
      </c>
      <c r="I3861" s="275" t="s">
        <v>15214</v>
      </c>
    </row>
    <row r="3862" spans="1:9" x14ac:dyDescent="0.25">
      <c r="A3862" s="420">
        <v>43038</v>
      </c>
      <c r="B3862" s="302" t="s">
        <v>35571</v>
      </c>
      <c r="C3862">
        <v>133425</v>
      </c>
      <c r="D3862" s="275" t="s">
        <v>5883</v>
      </c>
      <c r="E3862" s="301">
        <v>11081.18</v>
      </c>
      <c r="F3862" s="303">
        <v>43060</v>
      </c>
      <c r="G3862" s="301">
        <v>11081.18</v>
      </c>
      <c r="H3862" s="301">
        <f>Tabla15[[#This Row],[Importe]]-Tabla15[[#This Row],[Pagado]]</f>
        <v>0</v>
      </c>
      <c r="I3862" s="275" t="s">
        <v>15214</v>
      </c>
    </row>
    <row r="3863" spans="1:9" x14ac:dyDescent="0.25">
      <c r="A3863" s="420">
        <v>43038</v>
      </c>
      <c r="B3863" s="302" t="s">
        <v>35572</v>
      </c>
      <c r="C3863">
        <v>133426</v>
      </c>
      <c r="D3863" s="275" t="s">
        <v>15315</v>
      </c>
      <c r="E3863" s="301">
        <v>15000</v>
      </c>
      <c r="F3863" s="303">
        <v>43038</v>
      </c>
      <c r="G3863" s="301">
        <v>15000</v>
      </c>
      <c r="H3863" s="301">
        <f>Tabla15[[#This Row],[Importe]]-Tabla15[[#This Row],[Pagado]]</f>
        <v>0</v>
      </c>
      <c r="I3863" s="275" t="s">
        <v>15214</v>
      </c>
    </row>
    <row r="3864" spans="1:9" x14ac:dyDescent="0.25">
      <c r="A3864" s="420">
        <v>43038</v>
      </c>
      <c r="B3864" s="302" t="s">
        <v>35573</v>
      </c>
      <c r="C3864">
        <v>133427</v>
      </c>
      <c r="D3864" s="275" t="s">
        <v>15413</v>
      </c>
      <c r="E3864" s="301">
        <v>5230.2</v>
      </c>
      <c r="F3864" s="303">
        <v>43038</v>
      </c>
      <c r="G3864" s="301">
        <v>5230.2</v>
      </c>
      <c r="H3864" s="301">
        <f>Tabla15[[#This Row],[Importe]]-Tabla15[[#This Row],[Pagado]]</f>
        <v>0</v>
      </c>
      <c r="I3864" s="275" t="s">
        <v>15214</v>
      </c>
    </row>
    <row r="3865" spans="1:9" x14ac:dyDescent="0.25">
      <c r="A3865" s="420">
        <v>43038</v>
      </c>
      <c r="B3865" s="302" t="s">
        <v>35574</v>
      </c>
      <c r="C3865">
        <v>133428</v>
      </c>
      <c r="D3865" s="275" t="s">
        <v>19699</v>
      </c>
      <c r="E3865" s="301">
        <v>1500</v>
      </c>
      <c r="F3865" s="303">
        <v>43038</v>
      </c>
      <c r="G3865" s="301">
        <v>1500</v>
      </c>
      <c r="H3865" s="301">
        <f>Tabla15[[#This Row],[Importe]]-Tabla15[[#This Row],[Pagado]]</f>
        <v>0</v>
      </c>
      <c r="I3865" s="275" t="s">
        <v>15214</v>
      </c>
    </row>
    <row r="3866" spans="1:9" x14ac:dyDescent="0.25">
      <c r="A3866" s="420">
        <v>43038</v>
      </c>
      <c r="B3866" s="302" t="s">
        <v>35575</v>
      </c>
      <c r="C3866">
        <v>133429</v>
      </c>
      <c r="D3866" s="275" t="s">
        <v>15380</v>
      </c>
      <c r="E3866" s="301">
        <v>3500</v>
      </c>
      <c r="F3866" s="303">
        <v>43040</v>
      </c>
      <c r="G3866" s="301">
        <v>3500</v>
      </c>
      <c r="H3866" s="301">
        <f>Tabla15[[#This Row],[Importe]]-Tabla15[[#This Row],[Pagado]]</f>
        <v>0</v>
      </c>
      <c r="I3866" s="275" t="s">
        <v>15214</v>
      </c>
    </row>
    <row r="3867" spans="1:9" x14ac:dyDescent="0.25">
      <c r="A3867" s="420">
        <v>43038</v>
      </c>
      <c r="B3867" s="302" t="s">
        <v>35576</v>
      </c>
      <c r="C3867">
        <v>133430</v>
      </c>
      <c r="D3867" s="275" t="s">
        <v>19742</v>
      </c>
      <c r="E3867" s="301">
        <v>3500</v>
      </c>
      <c r="F3867" s="303">
        <v>43040</v>
      </c>
      <c r="G3867" s="301">
        <v>3500</v>
      </c>
      <c r="H3867" s="301">
        <f>Tabla15[[#This Row],[Importe]]-Tabla15[[#This Row],[Pagado]]</f>
        <v>0</v>
      </c>
      <c r="I3867" s="275" t="s">
        <v>15214</v>
      </c>
    </row>
    <row r="3868" spans="1:9" x14ac:dyDescent="0.25">
      <c r="A3868" s="420">
        <v>43038</v>
      </c>
      <c r="B3868" s="302" t="s">
        <v>35577</v>
      </c>
      <c r="C3868">
        <v>133431</v>
      </c>
      <c r="D3868" s="275" t="s">
        <v>18076</v>
      </c>
      <c r="E3868" s="301">
        <v>2340</v>
      </c>
      <c r="F3868" s="303">
        <v>43038</v>
      </c>
      <c r="G3868" s="301">
        <v>2340</v>
      </c>
      <c r="H3868" s="301">
        <f>Tabla15[[#This Row],[Importe]]-Tabla15[[#This Row],[Pagado]]</f>
        <v>0</v>
      </c>
      <c r="I3868" s="275" t="s">
        <v>15214</v>
      </c>
    </row>
    <row r="3869" spans="1:9" x14ac:dyDescent="0.25">
      <c r="A3869" s="420">
        <v>43038</v>
      </c>
      <c r="B3869" s="302" t="s">
        <v>35578</v>
      </c>
      <c r="C3869">
        <v>133432</v>
      </c>
      <c r="D3869" s="275" t="s">
        <v>15256</v>
      </c>
      <c r="E3869" s="301">
        <v>2667.6</v>
      </c>
      <c r="F3869" s="303">
        <v>43041</v>
      </c>
      <c r="G3869" s="301">
        <v>2667.6</v>
      </c>
      <c r="H3869" s="301">
        <f>Tabla15[[#This Row],[Importe]]-Tabla15[[#This Row],[Pagado]]</f>
        <v>0</v>
      </c>
      <c r="I3869" s="275" t="s">
        <v>15214</v>
      </c>
    </row>
    <row r="3870" spans="1:9" x14ac:dyDescent="0.25">
      <c r="A3870" s="420">
        <v>43038</v>
      </c>
      <c r="B3870" s="302" t="s">
        <v>35579</v>
      </c>
      <c r="C3870">
        <v>133433</v>
      </c>
      <c r="D3870" s="275" t="s">
        <v>15562</v>
      </c>
      <c r="E3870" s="301">
        <v>2514.8000000000002</v>
      </c>
      <c r="F3870" s="303">
        <v>43040</v>
      </c>
      <c r="G3870" s="301">
        <v>2514.8000000000002</v>
      </c>
      <c r="H3870" s="301">
        <f>Tabla15[[#This Row],[Importe]]-Tabla15[[#This Row],[Pagado]]</f>
        <v>0</v>
      </c>
      <c r="I3870" s="275" t="s">
        <v>15214</v>
      </c>
    </row>
    <row r="3871" spans="1:9" x14ac:dyDescent="0.25">
      <c r="A3871" s="420">
        <v>43038</v>
      </c>
      <c r="B3871" s="302" t="s">
        <v>35580</v>
      </c>
      <c r="C3871">
        <v>133434</v>
      </c>
      <c r="D3871" s="275" t="s">
        <v>15435</v>
      </c>
      <c r="E3871" s="301">
        <v>7585.2</v>
      </c>
      <c r="F3871" s="303">
        <v>43038</v>
      </c>
      <c r="G3871" s="301">
        <v>7585.2</v>
      </c>
      <c r="H3871" s="301">
        <f>Tabla15[[#This Row],[Importe]]-Tabla15[[#This Row],[Pagado]]</f>
        <v>0</v>
      </c>
      <c r="I3871" s="275" t="s">
        <v>15214</v>
      </c>
    </row>
    <row r="3872" spans="1:9" x14ac:dyDescent="0.25">
      <c r="A3872" s="420">
        <v>43038</v>
      </c>
      <c r="B3872" s="302" t="s">
        <v>35581</v>
      </c>
      <c r="C3872">
        <v>133435</v>
      </c>
      <c r="D3872" s="275" t="s">
        <v>15315</v>
      </c>
      <c r="E3872" s="301">
        <v>4641</v>
      </c>
      <c r="F3872" s="303">
        <v>43038</v>
      </c>
      <c r="G3872" s="301">
        <v>4641</v>
      </c>
      <c r="H3872" s="301">
        <f>Tabla15[[#This Row],[Importe]]-Tabla15[[#This Row],[Pagado]]</f>
        <v>0</v>
      </c>
      <c r="I3872" s="275" t="s">
        <v>15214</v>
      </c>
    </row>
    <row r="3873" spans="1:9" x14ac:dyDescent="0.25">
      <c r="A3873" s="420">
        <v>43038</v>
      </c>
      <c r="B3873" s="302" t="s">
        <v>35582</v>
      </c>
      <c r="C3873">
        <v>133436</v>
      </c>
      <c r="D3873" s="275" t="s">
        <v>15284</v>
      </c>
      <c r="E3873" s="301">
        <v>1061.2</v>
      </c>
      <c r="F3873" s="303">
        <v>43038</v>
      </c>
      <c r="G3873" s="301">
        <v>1061.2</v>
      </c>
      <c r="H3873" s="301">
        <f>Tabla15[[#This Row],[Importe]]-Tabla15[[#This Row],[Pagado]]</f>
        <v>0</v>
      </c>
      <c r="I3873" s="275" t="s">
        <v>15214</v>
      </c>
    </row>
    <row r="3874" spans="1:9" x14ac:dyDescent="0.25">
      <c r="A3874" s="420">
        <v>43038</v>
      </c>
      <c r="B3874" s="302" t="s">
        <v>35583</v>
      </c>
      <c r="C3874">
        <v>133437</v>
      </c>
      <c r="D3874" s="275" t="s">
        <v>15220</v>
      </c>
      <c r="E3874" s="301">
        <v>3500</v>
      </c>
      <c r="F3874" s="303">
        <v>43039</v>
      </c>
      <c r="G3874" s="301">
        <v>3500</v>
      </c>
      <c r="H3874" s="301">
        <f>Tabla15[[#This Row],[Importe]]-Tabla15[[#This Row],[Pagado]]</f>
        <v>0</v>
      </c>
      <c r="I3874" s="275" t="s">
        <v>15214</v>
      </c>
    </row>
    <row r="3875" spans="1:9" x14ac:dyDescent="0.25">
      <c r="A3875" s="420">
        <v>43038</v>
      </c>
      <c r="B3875" s="302" t="s">
        <v>35584</v>
      </c>
      <c r="C3875">
        <v>133438</v>
      </c>
      <c r="D3875" s="275" t="s">
        <v>15246</v>
      </c>
      <c r="E3875" s="301">
        <v>5445</v>
      </c>
      <c r="F3875" s="303">
        <v>43043</v>
      </c>
      <c r="G3875" s="301">
        <v>5445</v>
      </c>
      <c r="H3875" s="301">
        <f>Tabla15[[#This Row],[Importe]]-Tabla15[[#This Row],[Pagado]]</f>
        <v>0</v>
      </c>
      <c r="I3875" s="275" t="s">
        <v>15214</v>
      </c>
    </row>
    <row r="3876" spans="1:9" x14ac:dyDescent="0.25">
      <c r="A3876" s="420">
        <v>43038</v>
      </c>
      <c r="B3876" s="302" t="s">
        <v>35585</v>
      </c>
      <c r="C3876">
        <v>133439</v>
      </c>
      <c r="D3876" s="275" t="s">
        <v>15328</v>
      </c>
      <c r="E3876" s="301">
        <v>23217.1</v>
      </c>
      <c r="F3876" s="303">
        <v>43048</v>
      </c>
      <c r="G3876" s="301">
        <v>23217.1</v>
      </c>
      <c r="H3876" s="301">
        <f>Tabla15[[#This Row],[Importe]]-Tabla15[[#This Row],[Pagado]]</f>
        <v>0</v>
      </c>
      <c r="I3876" s="275" t="s">
        <v>15214</v>
      </c>
    </row>
    <row r="3877" spans="1:9" x14ac:dyDescent="0.25">
      <c r="A3877" s="420">
        <v>43038</v>
      </c>
      <c r="B3877" s="302" t="s">
        <v>35586</v>
      </c>
      <c r="C3877">
        <v>133440</v>
      </c>
      <c r="D3877" s="275" t="s">
        <v>15232</v>
      </c>
      <c r="E3877" s="301">
        <v>3133.4</v>
      </c>
      <c r="F3877" s="303">
        <v>43041</v>
      </c>
      <c r="G3877" s="301">
        <v>3133.4</v>
      </c>
      <c r="H3877" s="301">
        <f>Tabla15[[#This Row],[Importe]]-Tabla15[[#This Row],[Pagado]]</f>
        <v>0</v>
      </c>
      <c r="I3877" s="275" t="s">
        <v>15214</v>
      </c>
    </row>
    <row r="3878" spans="1:9" x14ac:dyDescent="0.25">
      <c r="A3878" s="420">
        <v>43038</v>
      </c>
      <c r="B3878" s="302" t="s">
        <v>35587</v>
      </c>
      <c r="C3878">
        <v>133441</v>
      </c>
      <c r="D3878" s="275" t="s">
        <v>15448</v>
      </c>
      <c r="E3878" s="301">
        <v>325720.59999999998</v>
      </c>
      <c r="F3878" s="303">
        <v>43040</v>
      </c>
      <c r="G3878" s="301">
        <v>325720.59999999998</v>
      </c>
      <c r="H3878" s="301">
        <f>Tabla15[[#This Row],[Importe]]-Tabla15[[#This Row],[Pagado]]</f>
        <v>0</v>
      </c>
      <c r="I3878" s="275" t="s">
        <v>15214</v>
      </c>
    </row>
    <row r="3879" spans="1:9" x14ac:dyDescent="0.25">
      <c r="A3879" s="420">
        <v>43039</v>
      </c>
      <c r="B3879" s="302" t="s">
        <v>35588</v>
      </c>
      <c r="C3879">
        <v>133442</v>
      </c>
      <c r="D3879" s="275" t="s">
        <v>15213</v>
      </c>
      <c r="E3879" s="301">
        <v>35905.050000000003</v>
      </c>
      <c r="F3879" s="303">
        <v>43040</v>
      </c>
      <c r="G3879" s="301">
        <v>35905.050000000003</v>
      </c>
      <c r="H3879" s="301">
        <f>Tabla15[[#This Row],[Importe]]-Tabla15[[#This Row],[Pagado]]</f>
        <v>0</v>
      </c>
      <c r="I3879" s="275" t="s">
        <v>15214</v>
      </c>
    </row>
    <row r="3880" spans="1:9" x14ac:dyDescent="0.25">
      <c r="A3880" s="420">
        <v>43039</v>
      </c>
      <c r="B3880" s="302" t="s">
        <v>35589</v>
      </c>
      <c r="C3880">
        <v>133443</v>
      </c>
      <c r="D3880" s="275" t="s">
        <v>15487</v>
      </c>
      <c r="E3880" s="301">
        <v>11277</v>
      </c>
      <c r="F3880" s="303">
        <v>43039</v>
      </c>
      <c r="G3880" s="301">
        <v>11277</v>
      </c>
      <c r="H3880" s="301">
        <f>Tabla15[[#This Row],[Importe]]-Tabla15[[#This Row],[Pagado]]</f>
        <v>0</v>
      </c>
      <c r="I3880" s="275" t="s">
        <v>15214</v>
      </c>
    </row>
    <row r="3881" spans="1:9" x14ac:dyDescent="0.25">
      <c r="A3881" s="420">
        <v>43039</v>
      </c>
      <c r="B3881" s="302" t="s">
        <v>35590</v>
      </c>
      <c r="C3881">
        <v>133444</v>
      </c>
      <c r="D3881" s="275" t="s">
        <v>15407</v>
      </c>
      <c r="E3881" s="301">
        <v>5696.8</v>
      </c>
      <c r="F3881" s="303">
        <v>43039</v>
      </c>
      <c r="G3881" s="301">
        <v>5696.8</v>
      </c>
      <c r="H3881" s="301">
        <f>Tabla15[[#This Row],[Importe]]-Tabla15[[#This Row],[Pagado]]</f>
        <v>0</v>
      </c>
      <c r="I3881" s="275" t="s">
        <v>15214</v>
      </c>
    </row>
    <row r="3882" spans="1:9" x14ac:dyDescent="0.25">
      <c r="A3882" s="420">
        <v>43039</v>
      </c>
      <c r="B3882" s="302" t="s">
        <v>35591</v>
      </c>
      <c r="C3882">
        <v>133445</v>
      </c>
      <c r="D3882" s="275" t="s">
        <v>15475</v>
      </c>
      <c r="E3882" s="301">
        <v>3060.1</v>
      </c>
      <c r="F3882" s="303">
        <v>43041</v>
      </c>
      <c r="G3882" s="301">
        <v>3060.1</v>
      </c>
      <c r="H3882" s="301">
        <f>Tabla15[[#This Row],[Importe]]-Tabla15[[#This Row],[Pagado]]</f>
        <v>0</v>
      </c>
      <c r="I3882" s="275" t="s">
        <v>15214</v>
      </c>
    </row>
    <row r="3883" spans="1:9" x14ac:dyDescent="0.25">
      <c r="A3883" s="420">
        <v>43039</v>
      </c>
      <c r="B3883" s="302" t="s">
        <v>35592</v>
      </c>
      <c r="C3883">
        <v>133446</v>
      </c>
      <c r="D3883" s="275" t="s">
        <v>18544</v>
      </c>
      <c r="E3883" s="301">
        <v>6623.8</v>
      </c>
      <c r="F3883" s="303">
        <v>43040</v>
      </c>
      <c r="G3883" s="301">
        <v>6623.8</v>
      </c>
      <c r="H3883" s="301">
        <f>Tabla15[[#This Row],[Importe]]-Tabla15[[#This Row],[Pagado]]</f>
        <v>0</v>
      </c>
      <c r="I3883" s="275" t="s">
        <v>15214</v>
      </c>
    </row>
    <row r="3884" spans="1:9" x14ac:dyDescent="0.25">
      <c r="A3884" s="420">
        <v>43039</v>
      </c>
      <c r="B3884" s="302" t="s">
        <v>35593</v>
      </c>
      <c r="C3884">
        <v>133447</v>
      </c>
      <c r="D3884" s="275" t="s">
        <v>15272</v>
      </c>
      <c r="E3884" s="301">
        <v>22193</v>
      </c>
      <c r="F3884" s="303">
        <v>43039</v>
      </c>
      <c r="G3884" s="301">
        <v>22193</v>
      </c>
      <c r="H3884" s="301">
        <f>Tabla15[[#This Row],[Importe]]-Tabla15[[#This Row],[Pagado]]</f>
        <v>0</v>
      </c>
      <c r="I3884" s="275" t="s">
        <v>15214</v>
      </c>
    </row>
    <row r="3885" spans="1:9" x14ac:dyDescent="0.25">
      <c r="A3885" s="420">
        <v>43039</v>
      </c>
      <c r="B3885" s="302" t="s">
        <v>35594</v>
      </c>
      <c r="C3885">
        <v>133448</v>
      </c>
      <c r="D3885" s="275" t="s">
        <v>15240</v>
      </c>
      <c r="E3885" s="301">
        <v>3707.6</v>
      </c>
      <c r="F3885" s="303">
        <v>43042</v>
      </c>
      <c r="G3885" s="301">
        <v>3707.6</v>
      </c>
      <c r="H3885" s="301">
        <f>Tabla15[[#This Row],[Importe]]-Tabla15[[#This Row],[Pagado]]</f>
        <v>0</v>
      </c>
      <c r="I3885" s="275" t="s">
        <v>15214</v>
      </c>
    </row>
    <row r="3886" spans="1:9" x14ac:dyDescent="0.25">
      <c r="A3886" s="420">
        <v>43039</v>
      </c>
      <c r="B3886" s="302" t="s">
        <v>35595</v>
      </c>
      <c r="C3886">
        <v>133449</v>
      </c>
      <c r="D3886" s="275" t="s">
        <v>17722</v>
      </c>
      <c r="E3886" s="301">
        <v>3344.1</v>
      </c>
      <c r="F3886" s="303">
        <v>43040</v>
      </c>
      <c r="G3886" s="301">
        <v>3344.1</v>
      </c>
      <c r="H3886" s="301">
        <f>Tabla15[[#This Row],[Importe]]-Tabla15[[#This Row],[Pagado]]</f>
        <v>0</v>
      </c>
      <c r="I3886" s="275" t="s">
        <v>15214</v>
      </c>
    </row>
    <row r="3887" spans="1:9" x14ac:dyDescent="0.25">
      <c r="A3887" s="420">
        <v>43039</v>
      </c>
      <c r="B3887" s="302" t="s">
        <v>35596</v>
      </c>
      <c r="C3887">
        <v>133450</v>
      </c>
      <c r="D3887" s="275" t="s">
        <v>15242</v>
      </c>
      <c r="E3887" s="301">
        <v>5337.6</v>
      </c>
      <c r="F3887" s="303">
        <v>43040</v>
      </c>
      <c r="G3887" s="301">
        <v>5337.6</v>
      </c>
      <c r="H3887" s="301">
        <f>Tabla15[[#This Row],[Importe]]-Tabla15[[#This Row],[Pagado]]</f>
        <v>0</v>
      </c>
      <c r="I3887" s="275" t="s">
        <v>15214</v>
      </c>
    </row>
    <row r="3888" spans="1:9" x14ac:dyDescent="0.25">
      <c r="A3888" s="420">
        <v>43039</v>
      </c>
      <c r="B3888" s="302" t="s">
        <v>35597</v>
      </c>
      <c r="C3888">
        <v>133451</v>
      </c>
      <c r="D3888" s="275" t="s">
        <v>15324</v>
      </c>
      <c r="E3888" s="301">
        <v>2000</v>
      </c>
      <c r="F3888" s="303">
        <v>43039</v>
      </c>
      <c r="G3888" s="301">
        <v>2000</v>
      </c>
      <c r="H3888" s="301">
        <f>Tabla15[[#This Row],[Importe]]-Tabla15[[#This Row],[Pagado]]</f>
        <v>0</v>
      </c>
      <c r="I3888" s="275" t="s">
        <v>15214</v>
      </c>
    </row>
    <row r="3889" spans="1:9" x14ac:dyDescent="0.25">
      <c r="A3889" s="420">
        <v>43039</v>
      </c>
      <c r="B3889" s="302" t="s">
        <v>35598</v>
      </c>
      <c r="C3889">
        <v>133452</v>
      </c>
      <c r="D3889" s="275" t="s">
        <v>15818</v>
      </c>
      <c r="E3889" s="301">
        <v>2435.4</v>
      </c>
      <c r="F3889" s="303">
        <v>43039</v>
      </c>
      <c r="G3889" s="301">
        <v>2435.4</v>
      </c>
      <c r="H3889" s="301">
        <f>Tabla15[[#This Row],[Importe]]-Tabla15[[#This Row],[Pagado]]</f>
        <v>0</v>
      </c>
      <c r="I3889" s="275" t="s">
        <v>15214</v>
      </c>
    </row>
    <row r="3890" spans="1:9" x14ac:dyDescent="0.25">
      <c r="A3890" s="420">
        <v>43039</v>
      </c>
      <c r="B3890" s="302" t="s">
        <v>35599</v>
      </c>
      <c r="C3890">
        <v>133453</v>
      </c>
      <c r="D3890" s="275" t="s">
        <v>17235</v>
      </c>
      <c r="E3890" s="301">
        <v>750</v>
      </c>
      <c r="F3890" s="303">
        <v>43039</v>
      </c>
      <c r="G3890" s="301">
        <v>750</v>
      </c>
      <c r="H3890" s="301">
        <f>Tabla15[[#This Row],[Importe]]-Tabla15[[#This Row],[Pagado]]</f>
        <v>0</v>
      </c>
      <c r="I3890" s="275" t="s">
        <v>15214</v>
      </c>
    </row>
    <row r="3891" spans="1:9" x14ac:dyDescent="0.25">
      <c r="A3891" s="420">
        <v>43039</v>
      </c>
      <c r="B3891" s="302" t="s">
        <v>35600</v>
      </c>
      <c r="C3891">
        <v>133454</v>
      </c>
      <c r="D3891" s="275" t="s">
        <v>19461</v>
      </c>
      <c r="E3891" s="301">
        <v>1095</v>
      </c>
      <c r="F3891" s="303">
        <v>43039</v>
      </c>
      <c r="G3891" s="301">
        <v>1095</v>
      </c>
      <c r="H3891" s="301">
        <f>Tabla15[[#This Row],[Importe]]-Tabla15[[#This Row],[Pagado]]</f>
        <v>0</v>
      </c>
      <c r="I3891" s="275" t="s">
        <v>15214</v>
      </c>
    </row>
    <row r="3892" spans="1:9" x14ac:dyDescent="0.25">
      <c r="A3892" s="420">
        <v>43039</v>
      </c>
      <c r="B3892" s="302" t="s">
        <v>35601</v>
      </c>
      <c r="C3892">
        <v>133455</v>
      </c>
      <c r="D3892" s="275" t="s">
        <v>15223</v>
      </c>
      <c r="E3892" s="301">
        <v>56751.8</v>
      </c>
      <c r="F3892" s="303">
        <v>43062</v>
      </c>
      <c r="G3892" s="301">
        <v>56751.8</v>
      </c>
      <c r="H3892" s="301">
        <f>Tabla15[[#This Row],[Importe]]-Tabla15[[#This Row],[Pagado]]</f>
        <v>0</v>
      </c>
      <c r="I3892" s="275" t="s">
        <v>15214</v>
      </c>
    </row>
    <row r="3893" spans="1:9" x14ac:dyDescent="0.25">
      <c r="A3893" s="420">
        <v>43039</v>
      </c>
      <c r="B3893" s="302" t="s">
        <v>35602</v>
      </c>
      <c r="C3893">
        <v>133456</v>
      </c>
      <c r="D3893" s="275" t="s">
        <v>15340</v>
      </c>
      <c r="E3893" s="301">
        <v>5751</v>
      </c>
      <c r="F3893" s="303">
        <v>43039</v>
      </c>
      <c r="G3893" s="301">
        <v>5751</v>
      </c>
      <c r="H3893" s="301">
        <f>Tabla15[[#This Row],[Importe]]-Tabla15[[#This Row],[Pagado]]</f>
        <v>0</v>
      </c>
      <c r="I3893" s="275" t="s">
        <v>15214</v>
      </c>
    </row>
    <row r="3894" spans="1:9" ht="15.75" x14ac:dyDescent="0.25">
      <c r="A3894" s="420">
        <v>43039</v>
      </c>
      <c r="B3894" s="302" t="s">
        <v>35603</v>
      </c>
      <c r="C3894">
        <v>133457</v>
      </c>
      <c r="D3894" s="248" t="s">
        <v>95</v>
      </c>
      <c r="E3894" s="301">
        <v>0</v>
      </c>
      <c r="F3894" s="243" t="s">
        <v>95</v>
      </c>
      <c r="G3894" s="301">
        <v>0</v>
      </c>
      <c r="H3894" s="301">
        <f>Tabla15[[#This Row],[Importe]]-Tabla15[[#This Row],[Pagado]]</f>
        <v>0</v>
      </c>
      <c r="I3894" s="275" t="s">
        <v>95</v>
      </c>
    </row>
    <row r="3895" spans="1:9" x14ac:dyDescent="0.25">
      <c r="A3895" s="420">
        <v>43039</v>
      </c>
      <c r="B3895" s="302" t="s">
        <v>35604</v>
      </c>
      <c r="C3895">
        <v>133458</v>
      </c>
      <c r="D3895" s="275" t="s">
        <v>17462</v>
      </c>
      <c r="E3895" s="301">
        <v>8028</v>
      </c>
      <c r="F3895" s="303">
        <v>43039</v>
      </c>
      <c r="G3895" s="301">
        <v>8028</v>
      </c>
      <c r="H3895" s="301">
        <f>Tabla15[[#This Row],[Importe]]-Tabla15[[#This Row],[Pagado]]</f>
        <v>0</v>
      </c>
      <c r="I3895" s="275" t="s">
        <v>15214</v>
      </c>
    </row>
    <row r="3896" spans="1:9" x14ac:dyDescent="0.25">
      <c r="A3896" s="420">
        <v>43039</v>
      </c>
      <c r="B3896" s="302" t="s">
        <v>35605</v>
      </c>
      <c r="C3896">
        <v>133459</v>
      </c>
      <c r="D3896" s="275" t="s">
        <v>15226</v>
      </c>
      <c r="E3896" s="301">
        <v>2683.8</v>
      </c>
      <c r="F3896" s="303">
        <v>43040</v>
      </c>
      <c r="G3896" s="301">
        <v>2683.8</v>
      </c>
      <c r="H3896" s="301">
        <f>Tabla15[[#This Row],[Importe]]-Tabla15[[#This Row],[Pagado]]</f>
        <v>0</v>
      </c>
      <c r="I3896" s="275" t="s">
        <v>15214</v>
      </c>
    </row>
    <row r="3897" spans="1:9" x14ac:dyDescent="0.25">
      <c r="A3897" s="420">
        <v>43039</v>
      </c>
      <c r="B3897" s="302" t="s">
        <v>35606</v>
      </c>
      <c r="C3897">
        <v>133460</v>
      </c>
      <c r="D3897" s="275" t="s">
        <v>15322</v>
      </c>
      <c r="E3897" s="301">
        <v>788.8</v>
      </c>
      <c r="F3897" s="303">
        <v>43039</v>
      </c>
      <c r="G3897" s="301">
        <v>788.8</v>
      </c>
      <c r="H3897" s="301">
        <f>Tabla15[[#This Row],[Importe]]-Tabla15[[#This Row],[Pagado]]</f>
        <v>0</v>
      </c>
      <c r="I3897" s="275" t="s">
        <v>15214</v>
      </c>
    </row>
    <row r="3898" spans="1:9" x14ac:dyDescent="0.25">
      <c r="A3898" s="420">
        <v>43039</v>
      </c>
      <c r="B3898" s="302" t="s">
        <v>35607</v>
      </c>
      <c r="C3898">
        <v>133461</v>
      </c>
      <c r="D3898" s="275" t="s">
        <v>16249</v>
      </c>
      <c r="E3898" s="301">
        <v>2194.4</v>
      </c>
      <c r="F3898" s="303">
        <v>43039</v>
      </c>
      <c r="G3898" s="301">
        <v>2194.4</v>
      </c>
      <c r="H3898" s="301">
        <f>Tabla15[[#This Row],[Importe]]-Tabla15[[#This Row],[Pagado]]</f>
        <v>0</v>
      </c>
      <c r="I3898" s="275" t="s">
        <v>15214</v>
      </c>
    </row>
    <row r="3899" spans="1:9" x14ac:dyDescent="0.25">
      <c r="A3899" s="420">
        <v>43039</v>
      </c>
      <c r="B3899" s="302" t="s">
        <v>35608</v>
      </c>
      <c r="C3899">
        <v>133462</v>
      </c>
      <c r="D3899" s="275" t="s">
        <v>15668</v>
      </c>
      <c r="E3899" s="301">
        <v>9457.2000000000007</v>
      </c>
      <c r="F3899" s="303">
        <v>43040</v>
      </c>
      <c r="G3899" s="301">
        <v>9457.2000000000007</v>
      </c>
      <c r="H3899" s="301">
        <f>Tabla15[[#This Row],[Importe]]-Tabla15[[#This Row],[Pagado]]</f>
        <v>0</v>
      </c>
      <c r="I3899" s="275" t="s">
        <v>15214</v>
      </c>
    </row>
    <row r="3900" spans="1:9" x14ac:dyDescent="0.25">
      <c r="A3900" s="420">
        <v>43039</v>
      </c>
      <c r="B3900" s="302" t="s">
        <v>35609</v>
      </c>
      <c r="C3900">
        <v>133463</v>
      </c>
      <c r="D3900" s="275" t="s">
        <v>5575</v>
      </c>
      <c r="E3900" s="301">
        <v>6476.7</v>
      </c>
      <c r="F3900" s="303">
        <v>43041</v>
      </c>
      <c r="G3900" s="301">
        <v>6476.7</v>
      </c>
      <c r="H3900" s="301">
        <f>Tabla15[[#This Row],[Importe]]-Tabla15[[#This Row],[Pagado]]</f>
        <v>0</v>
      </c>
      <c r="I3900" s="275" t="s">
        <v>15214</v>
      </c>
    </row>
    <row r="3901" spans="1:9" ht="15.75" x14ac:dyDescent="0.25">
      <c r="A3901" s="420">
        <v>43039</v>
      </c>
      <c r="B3901" s="302" t="s">
        <v>35610</v>
      </c>
      <c r="C3901">
        <v>133464</v>
      </c>
      <c r="D3901" s="248" t="s">
        <v>95</v>
      </c>
      <c r="E3901" s="301">
        <v>0</v>
      </c>
      <c r="F3901" s="243" t="s">
        <v>95</v>
      </c>
      <c r="G3901" s="301">
        <v>0</v>
      </c>
      <c r="H3901" s="301">
        <f>Tabla15[[#This Row],[Importe]]-Tabla15[[#This Row],[Pagado]]</f>
        <v>0</v>
      </c>
      <c r="I3901" s="275" t="s">
        <v>95</v>
      </c>
    </row>
    <row r="3902" spans="1:9" x14ac:dyDescent="0.25">
      <c r="A3902" s="420">
        <v>43039</v>
      </c>
      <c r="B3902" s="302" t="s">
        <v>35611</v>
      </c>
      <c r="C3902">
        <v>133465</v>
      </c>
      <c r="D3902" s="275" t="s">
        <v>15480</v>
      </c>
      <c r="E3902" s="301">
        <v>3159.5</v>
      </c>
      <c r="F3902" s="303">
        <v>43043</v>
      </c>
      <c r="G3902" s="301">
        <v>3159.5</v>
      </c>
      <c r="H3902" s="301">
        <f>Tabla15[[#This Row],[Importe]]-Tabla15[[#This Row],[Pagado]]</f>
        <v>0</v>
      </c>
      <c r="I3902" s="275" t="s">
        <v>15214</v>
      </c>
    </row>
    <row r="3903" spans="1:9" x14ac:dyDescent="0.25">
      <c r="A3903" s="420">
        <v>43039</v>
      </c>
      <c r="B3903" s="302" t="s">
        <v>35612</v>
      </c>
      <c r="C3903">
        <v>133466</v>
      </c>
      <c r="D3903" s="275" t="s">
        <v>15236</v>
      </c>
      <c r="E3903" s="301">
        <v>2967.8</v>
      </c>
      <c r="F3903" s="303">
        <v>43041</v>
      </c>
      <c r="G3903" s="301">
        <v>2967.8</v>
      </c>
      <c r="H3903" s="301">
        <f>Tabla15[[#This Row],[Importe]]-Tabla15[[#This Row],[Pagado]]</f>
        <v>0</v>
      </c>
      <c r="I3903" s="275" t="s">
        <v>15214</v>
      </c>
    </row>
    <row r="3904" spans="1:9" x14ac:dyDescent="0.25">
      <c r="A3904" s="420">
        <v>43039</v>
      </c>
      <c r="B3904" s="302" t="s">
        <v>35613</v>
      </c>
      <c r="C3904">
        <v>133467</v>
      </c>
      <c r="D3904" s="275" t="s">
        <v>15263</v>
      </c>
      <c r="E3904" s="301">
        <v>3744.95</v>
      </c>
      <c r="F3904" s="303">
        <v>43039</v>
      </c>
      <c r="G3904" s="301">
        <v>3744.95</v>
      </c>
      <c r="H3904" s="301">
        <f>Tabla15[[#This Row],[Importe]]-Tabla15[[#This Row],[Pagado]]</f>
        <v>0</v>
      </c>
      <c r="I3904" s="275" t="s">
        <v>15214</v>
      </c>
    </row>
    <row r="3905" spans="1:9" x14ac:dyDescent="0.25">
      <c r="A3905" s="420">
        <v>43039</v>
      </c>
      <c r="B3905" s="302" t="s">
        <v>35614</v>
      </c>
      <c r="C3905">
        <v>133468</v>
      </c>
      <c r="D3905" s="275" t="s">
        <v>15261</v>
      </c>
      <c r="E3905" s="301">
        <v>5838.75</v>
      </c>
      <c r="F3905" s="303">
        <v>43039</v>
      </c>
      <c r="G3905" s="301">
        <v>5838.75</v>
      </c>
      <c r="H3905" s="301">
        <f>Tabla15[[#This Row],[Importe]]-Tabla15[[#This Row],[Pagado]]</f>
        <v>0</v>
      </c>
      <c r="I3905" s="275" t="s">
        <v>15214</v>
      </c>
    </row>
    <row r="3906" spans="1:9" x14ac:dyDescent="0.25">
      <c r="A3906" s="420">
        <v>43039</v>
      </c>
      <c r="B3906" s="302" t="s">
        <v>35615</v>
      </c>
      <c r="C3906">
        <v>133469</v>
      </c>
      <c r="D3906" s="275" t="s">
        <v>15248</v>
      </c>
      <c r="E3906" s="301">
        <v>36685.300000000003</v>
      </c>
      <c r="F3906" s="303">
        <v>43039</v>
      </c>
      <c r="G3906" s="301">
        <v>36685.300000000003</v>
      </c>
      <c r="H3906" s="301">
        <f>Tabla15[[#This Row],[Importe]]-Tabla15[[#This Row],[Pagado]]</f>
        <v>0</v>
      </c>
      <c r="I3906" s="275" t="s">
        <v>15214</v>
      </c>
    </row>
    <row r="3907" spans="1:9" ht="30" x14ac:dyDescent="0.25">
      <c r="A3907" s="420">
        <v>43039</v>
      </c>
      <c r="B3907" s="302" t="s">
        <v>35616</v>
      </c>
      <c r="C3907">
        <v>133470</v>
      </c>
      <c r="D3907" s="275" t="s">
        <v>15256</v>
      </c>
      <c r="E3907" s="301">
        <v>6328.5</v>
      </c>
      <c r="F3907" s="303" t="s">
        <v>35717</v>
      </c>
      <c r="G3907" s="305">
        <f>1400+4928.5</f>
        <v>6328.5</v>
      </c>
      <c r="H3907" s="305">
        <f>Tabla15[[#This Row],[Importe]]-Tabla15[[#This Row],[Pagado]]</f>
        <v>0</v>
      </c>
      <c r="I3907" s="275" t="s">
        <v>15214</v>
      </c>
    </row>
    <row r="3908" spans="1:9" x14ac:dyDescent="0.25">
      <c r="A3908" s="420">
        <v>43039</v>
      </c>
      <c r="B3908" s="302" t="s">
        <v>35617</v>
      </c>
      <c r="C3908">
        <v>133471</v>
      </c>
      <c r="D3908" s="275" t="s">
        <v>30057</v>
      </c>
      <c r="E3908" s="301">
        <v>4112.3</v>
      </c>
      <c r="F3908" s="303">
        <v>43041</v>
      </c>
      <c r="G3908" s="301">
        <v>4112.3</v>
      </c>
      <c r="H3908" s="301">
        <f>Tabla15[[#This Row],[Importe]]-Tabla15[[#This Row],[Pagado]]</f>
        <v>0</v>
      </c>
      <c r="I3908" s="275" t="s">
        <v>15214</v>
      </c>
    </row>
    <row r="3909" spans="1:9" x14ac:dyDescent="0.25">
      <c r="A3909" s="420">
        <v>43039</v>
      </c>
      <c r="B3909" s="302" t="s">
        <v>35618</v>
      </c>
      <c r="C3909">
        <v>133472</v>
      </c>
      <c r="D3909" s="275" t="s">
        <v>15438</v>
      </c>
      <c r="E3909" s="301">
        <v>894</v>
      </c>
      <c r="F3909" s="303">
        <v>43039</v>
      </c>
      <c r="G3909" s="301">
        <v>894</v>
      </c>
      <c r="H3909" s="301">
        <f>Tabla15[[#This Row],[Importe]]-Tabla15[[#This Row],[Pagado]]</f>
        <v>0</v>
      </c>
      <c r="I3909" s="275" t="s">
        <v>15214</v>
      </c>
    </row>
    <row r="3910" spans="1:9" x14ac:dyDescent="0.25">
      <c r="A3910" s="420">
        <v>43039</v>
      </c>
      <c r="B3910" s="302" t="s">
        <v>35619</v>
      </c>
      <c r="C3910">
        <v>133473</v>
      </c>
      <c r="D3910" s="275" t="s">
        <v>15232</v>
      </c>
      <c r="E3910" s="301">
        <v>7017.7</v>
      </c>
      <c r="F3910" s="303">
        <v>43041</v>
      </c>
      <c r="G3910" s="301">
        <v>7017.7</v>
      </c>
      <c r="H3910" s="301">
        <f>Tabla15[[#This Row],[Importe]]-Tabla15[[#This Row],[Pagado]]</f>
        <v>0</v>
      </c>
      <c r="I3910" s="275" t="s">
        <v>15214</v>
      </c>
    </row>
    <row r="3911" spans="1:9" ht="30" x14ac:dyDescent="0.25">
      <c r="A3911" s="420">
        <v>43039</v>
      </c>
      <c r="B3911" s="302" t="s">
        <v>35620</v>
      </c>
      <c r="C3911">
        <v>133474</v>
      </c>
      <c r="D3911" s="275" t="s">
        <v>15238</v>
      </c>
      <c r="E3911" s="301">
        <v>6441.1</v>
      </c>
      <c r="F3911" s="303" t="s">
        <v>35717</v>
      </c>
      <c r="G3911" s="305">
        <f>3000+3441.1</f>
        <v>6441.1</v>
      </c>
      <c r="H3911" s="305">
        <f>Tabla15[[#This Row],[Importe]]-Tabla15[[#This Row],[Pagado]]</f>
        <v>0</v>
      </c>
      <c r="I3911" s="275" t="s">
        <v>15214</v>
      </c>
    </row>
    <row r="3912" spans="1:9" x14ac:dyDescent="0.25">
      <c r="A3912" s="420">
        <v>43039</v>
      </c>
      <c r="B3912" s="302" t="s">
        <v>35621</v>
      </c>
      <c r="C3912">
        <v>133475</v>
      </c>
      <c r="D3912" s="275" t="s">
        <v>15278</v>
      </c>
      <c r="E3912" s="301">
        <v>3209.82</v>
      </c>
      <c r="F3912" s="303">
        <v>43039</v>
      </c>
      <c r="G3912" s="301">
        <v>3209.82</v>
      </c>
      <c r="H3912" s="301">
        <f>Tabla15[[#This Row],[Importe]]-Tabla15[[#This Row],[Pagado]]</f>
        <v>0</v>
      </c>
      <c r="I3912" s="275" t="s">
        <v>15214</v>
      </c>
    </row>
    <row r="3913" spans="1:9" x14ac:dyDescent="0.25">
      <c r="A3913" s="420">
        <v>43039</v>
      </c>
      <c r="B3913" s="302" t="s">
        <v>35622</v>
      </c>
      <c r="C3913">
        <v>133476</v>
      </c>
      <c r="D3913" s="275" t="s">
        <v>15284</v>
      </c>
      <c r="E3913" s="301">
        <v>1469.8</v>
      </c>
      <c r="F3913" s="303">
        <v>43039</v>
      </c>
      <c r="G3913" s="301">
        <v>1469.8</v>
      </c>
      <c r="H3913" s="301">
        <f>Tabla15[[#This Row],[Importe]]-Tabla15[[#This Row],[Pagado]]</f>
        <v>0</v>
      </c>
      <c r="I3913" s="275" t="s">
        <v>15214</v>
      </c>
    </row>
    <row r="3914" spans="1:9" x14ac:dyDescent="0.25">
      <c r="A3914" s="420">
        <v>43039</v>
      </c>
      <c r="B3914" s="302" t="s">
        <v>35623</v>
      </c>
      <c r="C3914">
        <v>133477</v>
      </c>
      <c r="D3914" s="275" t="s">
        <v>15549</v>
      </c>
      <c r="E3914" s="301">
        <v>9468.64</v>
      </c>
      <c r="F3914" s="303">
        <v>43039</v>
      </c>
      <c r="G3914" s="301">
        <v>9468.64</v>
      </c>
      <c r="H3914" s="301">
        <f>Tabla15[[#This Row],[Importe]]-Tabla15[[#This Row],[Pagado]]</f>
        <v>0</v>
      </c>
      <c r="I3914" s="275" t="s">
        <v>15214</v>
      </c>
    </row>
    <row r="3915" spans="1:9" x14ac:dyDescent="0.25">
      <c r="A3915" s="420">
        <v>43039</v>
      </c>
      <c r="B3915" s="302" t="s">
        <v>35624</v>
      </c>
      <c r="C3915">
        <v>133478</v>
      </c>
      <c r="D3915" s="275" t="s">
        <v>15252</v>
      </c>
      <c r="E3915" s="301">
        <v>6823.42</v>
      </c>
      <c r="F3915" s="303">
        <v>43043</v>
      </c>
      <c r="G3915" s="301">
        <v>6823.42</v>
      </c>
      <c r="H3915" s="301">
        <f>Tabla15[[#This Row],[Importe]]-Tabla15[[#This Row],[Pagado]]</f>
        <v>0</v>
      </c>
      <c r="I3915" s="275" t="s">
        <v>15214</v>
      </c>
    </row>
    <row r="3916" spans="1:9" x14ac:dyDescent="0.25">
      <c r="A3916" s="420">
        <v>43039</v>
      </c>
      <c r="B3916" s="302" t="s">
        <v>35625</v>
      </c>
      <c r="C3916">
        <v>133479</v>
      </c>
      <c r="D3916" s="275" t="s">
        <v>15244</v>
      </c>
      <c r="E3916" s="301">
        <v>10151.299999999999</v>
      </c>
      <c r="F3916" s="303">
        <v>43045</v>
      </c>
      <c r="G3916" s="301">
        <v>10151.299999999999</v>
      </c>
      <c r="H3916" s="301">
        <f>Tabla15[[#This Row],[Importe]]-Tabla15[[#This Row],[Pagado]]</f>
        <v>0</v>
      </c>
      <c r="I3916" s="275" t="s">
        <v>15214</v>
      </c>
    </row>
    <row r="3917" spans="1:9" x14ac:dyDescent="0.25">
      <c r="A3917" s="420">
        <v>43039</v>
      </c>
      <c r="B3917" s="302" t="s">
        <v>35626</v>
      </c>
      <c r="C3917">
        <v>133480</v>
      </c>
      <c r="D3917" s="275" t="s">
        <v>15328</v>
      </c>
      <c r="E3917" s="301">
        <v>45488.4</v>
      </c>
      <c r="F3917" s="303">
        <v>43048</v>
      </c>
      <c r="G3917" s="301">
        <v>45488.4</v>
      </c>
      <c r="H3917" s="301">
        <f>Tabla15[[#This Row],[Importe]]-Tabla15[[#This Row],[Pagado]]</f>
        <v>0</v>
      </c>
      <c r="I3917" s="275" t="s">
        <v>15214</v>
      </c>
    </row>
    <row r="3918" spans="1:9" x14ac:dyDescent="0.25">
      <c r="A3918" s="420">
        <v>43039</v>
      </c>
      <c r="B3918" s="302" t="s">
        <v>35627</v>
      </c>
      <c r="C3918">
        <v>133481</v>
      </c>
      <c r="D3918" s="275" t="s">
        <v>15858</v>
      </c>
      <c r="E3918" s="301">
        <v>1511.32</v>
      </c>
      <c r="F3918" s="303">
        <v>43039</v>
      </c>
      <c r="G3918" s="301">
        <v>1511.32</v>
      </c>
      <c r="H3918" s="301">
        <f>Tabla15[[#This Row],[Importe]]-Tabla15[[#This Row],[Pagado]]</f>
        <v>0</v>
      </c>
      <c r="I3918" s="275" t="s">
        <v>15214</v>
      </c>
    </row>
    <row r="3919" spans="1:9" x14ac:dyDescent="0.25">
      <c r="A3919" s="420">
        <v>43039</v>
      </c>
      <c r="B3919" s="302" t="s">
        <v>35628</v>
      </c>
      <c r="C3919">
        <v>133482</v>
      </c>
      <c r="D3919" s="275" t="s">
        <v>15334</v>
      </c>
      <c r="E3919" s="301">
        <v>2950</v>
      </c>
      <c r="F3919" s="303">
        <v>43039</v>
      </c>
      <c r="G3919" s="301">
        <v>2950</v>
      </c>
      <c r="H3919" s="301">
        <f>Tabla15[[#This Row],[Importe]]-Tabla15[[#This Row],[Pagado]]</f>
        <v>0</v>
      </c>
      <c r="I3919" s="275" t="s">
        <v>15214</v>
      </c>
    </row>
    <row r="3920" spans="1:9" x14ac:dyDescent="0.25">
      <c r="A3920" s="420">
        <v>43039</v>
      </c>
      <c r="B3920" s="302" t="s">
        <v>35629</v>
      </c>
      <c r="C3920">
        <v>133483</v>
      </c>
      <c r="D3920" s="275" t="s">
        <v>15742</v>
      </c>
      <c r="E3920" s="301">
        <v>1785</v>
      </c>
      <c r="F3920" s="303">
        <v>43039</v>
      </c>
      <c r="G3920" s="301">
        <v>1785</v>
      </c>
      <c r="H3920" s="301">
        <f>Tabla15[[#This Row],[Importe]]-Tabla15[[#This Row],[Pagado]]</f>
        <v>0</v>
      </c>
      <c r="I3920" s="275" t="s">
        <v>15214</v>
      </c>
    </row>
    <row r="3921" spans="1:9" x14ac:dyDescent="0.25">
      <c r="A3921" s="420">
        <v>43039</v>
      </c>
      <c r="B3921" s="302" t="s">
        <v>35630</v>
      </c>
      <c r="C3921">
        <v>133484</v>
      </c>
      <c r="D3921" s="275" t="s">
        <v>15358</v>
      </c>
      <c r="E3921" s="301">
        <v>2305</v>
      </c>
      <c r="F3921" s="303">
        <v>43039</v>
      </c>
      <c r="G3921" s="301">
        <v>2305</v>
      </c>
      <c r="H3921" s="301">
        <f>Tabla15[[#This Row],[Importe]]-Tabla15[[#This Row],[Pagado]]</f>
        <v>0</v>
      </c>
      <c r="I3921" s="275" t="s">
        <v>15214</v>
      </c>
    </row>
    <row r="3922" spans="1:9" x14ac:dyDescent="0.25">
      <c r="A3922" s="420">
        <v>43039</v>
      </c>
      <c r="B3922" s="302" t="s">
        <v>35631</v>
      </c>
      <c r="C3922">
        <v>133485</v>
      </c>
      <c r="D3922" s="275" t="s">
        <v>15336</v>
      </c>
      <c r="E3922" s="301">
        <v>6630.2</v>
      </c>
      <c r="F3922" s="303">
        <v>43039</v>
      </c>
      <c r="G3922" s="301">
        <v>6630.2</v>
      </c>
      <c r="H3922" s="301">
        <f>Tabla15[[#This Row],[Importe]]-Tabla15[[#This Row],[Pagado]]</f>
        <v>0</v>
      </c>
      <c r="I3922" s="275" t="s">
        <v>15214</v>
      </c>
    </row>
    <row r="3923" spans="1:9" x14ac:dyDescent="0.25">
      <c r="A3923" s="420">
        <v>43039</v>
      </c>
      <c r="B3923" s="302" t="s">
        <v>35632</v>
      </c>
      <c r="C3923">
        <v>133486</v>
      </c>
      <c r="D3923" s="275" t="s">
        <v>15523</v>
      </c>
      <c r="E3923" s="301">
        <v>1750</v>
      </c>
      <c r="F3923" s="303">
        <v>43039</v>
      </c>
      <c r="G3923" s="301">
        <v>1750</v>
      </c>
      <c r="H3923" s="301">
        <f>Tabla15[[#This Row],[Importe]]-Tabla15[[#This Row],[Pagado]]</f>
        <v>0</v>
      </c>
      <c r="I3923" s="275" t="s">
        <v>15214</v>
      </c>
    </row>
    <row r="3924" spans="1:9" x14ac:dyDescent="0.25">
      <c r="A3924" s="420">
        <v>43039</v>
      </c>
      <c r="B3924" s="302" t="s">
        <v>35633</v>
      </c>
      <c r="C3924">
        <v>133487</v>
      </c>
      <c r="D3924" s="275" t="s">
        <v>15568</v>
      </c>
      <c r="E3924" s="301">
        <v>11529.4</v>
      </c>
      <c r="F3924" s="303">
        <v>43039</v>
      </c>
      <c r="G3924" s="301">
        <v>11529.4</v>
      </c>
      <c r="H3924" s="301">
        <f>Tabla15[[#This Row],[Importe]]-Tabla15[[#This Row],[Pagado]]</f>
        <v>0</v>
      </c>
      <c r="I3924" s="275" t="s">
        <v>15214</v>
      </c>
    </row>
    <row r="3925" spans="1:9" x14ac:dyDescent="0.25">
      <c r="A3925" s="420">
        <v>43039</v>
      </c>
      <c r="B3925" s="302" t="s">
        <v>35634</v>
      </c>
      <c r="C3925">
        <v>133488</v>
      </c>
      <c r="D3925" s="275" t="s">
        <v>15328</v>
      </c>
      <c r="E3925" s="301">
        <v>6684.6</v>
      </c>
      <c r="F3925" s="303">
        <v>43048</v>
      </c>
      <c r="G3925" s="301">
        <v>6684.6</v>
      </c>
      <c r="H3925" s="301">
        <f>Tabla15[[#This Row],[Importe]]-Tabla15[[#This Row],[Pagado]]</f>
        <v>0</v>
      </c>
      <c r="I3925" s="275" t="s">
        <v>15214</v>
      </c>
    </row>
    <row r="3926" spans="1:9" x14ac:dyDescent="0.25">
      <c r="A3926" s="420">
        <v>43039</v>
      </c>
      <c r="B3926" s="302" t="s">
        <v>35635</v>
      </c>
      <c r="C3926">
        <v>133489</v>
      </c>
      <c r="D3926" s="275" t="s">
        <v>15371</v>
      </c>
      <c r="E3926" s="301">
        <v>3415.5</v>
      </c>
      <c r="F3926" s="303">
        <v>43040</v>
      </c>
      <c r="G3926" s="301">
        <v>3415.5</v>
      </c>
      <c r="H3926" s="301">
        <f>Tabla15[[#This Row],[Importe]]-Tabla15[[#This Row],[Pagado]]</f>
        <v>0</v>
      </c>
      <c r="I3926" s="275" t="s">
        <v>15214</v>
      </c>
    </row>
    <row r="3927" spans="1:9" x14ac:dyDescent="0.25">
      <c r="A3927" s="420">
        <v>43039</v>
      </c>
      <c r="B3927" s="302" t="s">
        <v>35636</v>
      </c>
      <c r="C3927">
        <v>133490</v>
      </c>
      <c r="D3927" s="275" t="s">
        <v>15398</v>
      </c>
      <c r="E3927" s="301">
        <v>3123.75</v>
      </c>
      <c r="F3927" s="303">
        <v>43039</v>
      </c>
      <c r="G3927" s="301">
        <v>3123.75</v>
      </c>
      <c r="H3927" s="301">
        <f>Tabla15[[#This Row],[Importe]]-Tabla15[[#This Row],[Pagado]]</f>
        <v>0</v>
      </c>
      <c r="I3927" s="275" t="s">
        <v>15214</v>
      </c>
    </row>
    <row r="3928" spans="1:9" x14ac:dyDescent="0.25">
      <c r="A3928" s="420">
        <v>43039</v>
      </c>
      <c r="B3928" s="302" t="s">
        <v>35637</v>
      </c>
      <c r="C3928">
        <v>133491</v>
      </c>
      <c r="D3928" s="275" t="s">
        <v>15378</v>
      </c>
      <c r="E3928" s="301">
        <v>5961.2</v>
      </c>
      <c r="F3928" s="303">
        <v>43039</v>
      </c>
      <c r="G3928" s="301">
        <v>5961.2</v>
      </c>
      <c r="H3928" s="301">
        <f>Tabla15[[#This Row],[Importe]]-Tabla15[[#This Row],[Pagado]]</f>
        <v>0</v>
      </c>
      <c r="I3928" s="275" t="s">
        <v>15214</v>
      </c>
    </row>
    <row r="3929" spans="1:9" x14ac:dyDescent="0.25">
      <c r="A3929" s="420">
        <v>43039</v>
      </c>
      <c r="B3929" s="302" t="s">
        <v>35638</v>
      </c>
      <c r="C3929">
        <v>133492</v>
      </c>
      <c r="D3929" s="275" t="s">
        <v>15510</v>
      </c>
      <c r="E3929" s="301">
        <v>19826.25</v>
      </c>
      <c r="F3929" s="303">
        <v>43039</v>
      </c>
      <c r="G3929" s="301">
        <v>19826.25</v>
      </c>
      <c r="H3929" s="301">
        <f>Tabla15[[#This Row],[Importe]]-Tabla15[[#This Row],[Pagado]]</f>
        <v>0</v>
      </c>
      <c r="I3929" s="275" t="s">
        <v>15214</v>
      </c>
    </row>
    <row r="3930" spans="1:9" x14ac:dyDescent="0.25">
      <c r="A3930" s="420">
        <v>43039</v>
      </c>
      <c r="B3930" s="302" t="s">
        <v>35639</v>
      </c>
      <c r="C3930">
        <v>133493</v>
      </c>
      <c r="D3930" s="275" t="s">
        <v>15315</v>
      </c>
      <c r="E3930" s="301">
        <v>1300</v>
      </c>
      <c r="F3930" s="303">
        <v>43039</v>
      </c>
      <c r="G3930" s="301">
        <v>1300</v>
      </c>
      <c r="H3930" s="301">
        <f>Tabla15[[#This Row],[Importe]]-Tabla15[[#This Row],[Pagado]]</f>
        <v>0</v>
      </c>
      <c r="I3930" s="275" t="s">
        <v>15214</v>
      </c>
    </row>
    <row r="3931" spans="1:9" x14ac:dyDescent="0.25">
      <c r="A3931" s="420">
        <v>43039</v>
      </c>
      <c r="B3931" s="302" t="s">
        <v>35640</v>
      </c>
      <c r="C3931">
        <v>133494</v>
      </c>
      <c r="D3931" s="275" t="s">
        <v>15315</v>
      </c>
      <c r="E3931" s="301">
        <v>322.39999999999998</v>
      </c>
      <c r="F3931" s="303">
        <v>43039</v>
      </c>
      <c r="G3931" s="301">
        <v>322.39999999999998</v>
      </c>
      <c r="H3931" s="301">
        <f>Tabla15[[#This Row],[Importe]]-Tabla15[[#This Row],[Pagado]]</f>
        <v>0</v>
      </c>
      <c r="I3931" s="275" t="s">
        <v>15214</v>
      </c>
    </row>
    <row r="3932" spans="1:9" x14ac:dyDescent="0.25">
      <c r="A3932" s="420">
        <v>43039</v>
      </c>
      <c r="B3932" s="302" t="s">
        <v>35641</v>
      </c>
      <c r="C3932">
        <v>133495</v>
      </c>
      <c r="D3932" s="275" t="s">
        <v>15385</v>
      </c>
      <c r="E3932" s="301">
        <v>5500</v>
      </c>
      <c r="F3932" s="303">
        <v>43039</v>
      </c>
      <c r="G3932" s="301">
        <v>5500</v>
      </c>
      <c r="H3932" s="301">
        <f>Tabla15[[#This Row],[Importe]]-Tabla15[[#This Row],[Pagado]]</f>
        <v>0</v>
      </c>
      <c r="I3932" s="275" t="s">
        <v>15214</v>
      </c>
    </row>
    <row r="3933" spans="1:9" x14ac:dyDescent="0.25">
      <c r="A3933" s="420">
        <v>43039</v>
      </c>
      <c r="B3933" s="302" t="s">
        <v>35642</v>
      </c>
      <c r="C3933">
        <v>133496</v>
      </c>
      <c r="D3933" s="275" t="s">
        <v>15387</v>
      </c>
      <c r="E3933" s="301">
        <v>1540.08</v>
      </c>
      <c r="F3933" s="303">
        <v>43039</v>
      </c>
      <c r="G3933" s="301">
        <v>1540.08</v>
      </c>
      <c r="H3933" s="301">
        <f>Tabla15[[#This Row],[Importe]]-Tabla15[[#This Row],[Pagado]]</f>
        <v>0</v>
      </c>
      <c r="I3933" s="275" t="s">
        <v>15214</v>
      </c>
    </row>
    <row r="3934" spans="1:9" x14ac:dyDescent="0.25">
      <c r="A3934" s="420">
        <v>43039</v>
      </c>
      <c r="B3934" s="302" t="s">
        <v>35643</v>
      </c>
      <c r="C3934">
        <v>133497</v>
      </c>
      <c r="D3934" s="275" t="s">
        <v>17708</v>
      </c>
      <c r="E3934" s="301">
        <v>245.7</v>
      </c>
      <c r="F3934" s="303">
        <v>43039</v>
      </c>
      <c r="G3934" s="301">
        <v>245.7</v>
      </c>
      <c r="H3934" s="301">
        <f>Tabla15[[#This Row],[Importe]]-Tabla15[[#This Row],[Pagado]]</f>
        <v>0</v>
      </c>
      <c r="I3934" s="275" t="s">
        <v>15214</v>
      </c>
    </row>
    <row r="3935" spans="1:9" x14ac:dyDescent="0.25">
      <c r="A3935" s="420">
        <v>43039</v>
      </c>
      <c r="B3935" s="302" t="s">
        <v>35644</v>
      </c>
      <c r="C3935">
        <v>133498</v>
      </c>
      <c r="D3935" s="275" t="s">
        <v>16263</v>
      </c>
      <c r="E3935" s="301">
        <v>2062.1</v>
      </c>
      <c r="F3935" s="303">
        <v>43039</v>
      </c>
      <c r="G3935" s="301">
        <v>2062.1</v>
      </c>
      <c r="H3935" s="301">
        <f>Tabla15[[#This Row],[Importe]]-Tabla15[[#This Row],[Pagado]]</f>
        <v>0</v>
      </c>
      <c r="I3935" s="275" t="s">
        <v>15214</v>
      </c>
    </row>
    <row r="3936" spans="1:9" x14ac:dyDescent="0.25">
      <c r="A3936" s="420">
        <v>43039</v>
      </c>
      <c r="B3936" s="302" t="s">
        <v>35645</v>
      </c>
      <c r="C3936">
        <v>133499</v>
      </c>
      <c r="D3936" s="275" t="s">
        <v>15396</v>
      </c>
      <c r="E3936" s="301">
        <v>6850.5</v>
      </c>
      <c r="F3936" s="303">
        <v>43039</v>
      </c>
      <c r="G3936" s="301">
        <v>6850.5</v>
      </c>
      <c r="H3936" s="301">
        <f>Tabla15[[#This Row],[Importe]]-Tabla15[[#This Row],[Pagado]]</f>
        <v>0</v>
      </c>
      <c r="I3936" s="275" t="s">
        <v>15214</v>
      </c>
    </row>
    <row r="3937" spans="1:9" x14ac:dyDescent="0.25">
      <c r="A3937" s="420">
        <v>43039</v>
      </c>
      <c r="B3937" s="302" t="s">
        <v>35646</v>
      </c>
      <c r="C3937">
        <v>133500</v>
      </c>
      <c r="D3937" s="275" t="s">
        <v>19697</v>
      </c>
      <c r="E3937" s="301">
        <v>953.8</v>
      </c>
      <c r="F3937" s="303">
        <v>43039</v>
      </c>
      <c r="G3937" s="301">
        <v>953.8</v>
      </c>
      <c r="H3937" s="301">
        <f>Tabla15[[#This Row],[Importe]]-Tabla15[[#This Row],[Pagado]]</f>
        <v>0</v>
      </c>
      <c r="I3937" s="275" t="s">
        <v>15214</v>
      </c>
    </row>
    <row r="3938" spans="1:9" x14ac:dyDescent="0.25">
      <c r="A3938" s="420">
        <v>43039</v>
      </c>
      <c r="B3938" s="302" t="s">
        <v>35647</v>
      </c>
      <c r="C3938">
        <v>133501</v>
      </c>
      <c r="D3938" s="275" t="s">
        <v>15315</v>
      </c>
      <c r="E3938" s="301">
        <v>1495.3</v>
      </c>
      <c r="F3938" s="303">
        <v>43039</v>
      </c>
      <c r="G3938" s="301">
        <v>1495.3</v>
      </c>
      <c r="H3938" s="301">
        <f>Tabla15[[#This Row],[Importe]]-Tabla15[[#This Row],[Pagado]]</f>
        <v>0</v>
      </c>
      <c r="I3938" s="275" t="s">
        <v>15214</v>
      </c>
    </row>
    <row r="3939" spans="1:9" x14ac:dyDescent="0.25">
      <c r="A3939" s="420">
        <v>43039</v>
      </c>
      <c r="B3939" s="302" t="s">
        <v>35648</v>
      </c>
      <c r="C3939">
        <v>133502</v>
      </c>
      <c r="D3939" s="275" t="s">
        <v>15361</v>
      </c>
      <c r="E3939" s="301">
        <v>6037.2</v>
      </c>
      <c r="F3939" s="303">
        <v>43039</v>
      </c>
      <c r="G3939" s="301">
        <v>6037.2</v>
      </c>
      <c r="H3939" s="301">
        <f>Tabla15[[#This Row],[Importe]]-Tabla15[[#This Row],[Pagado]]</f>
        <v>0</v>
      </c>
      <c r="I3939" s="275" t="s">
        <v>15214</v>
      </c>
    </row>
    <row r="3940" spans="1:9" x14ac:dyDescent="0.25">
      <c r="A3940" s="420">
        <v>43039</v>
      </c>
      <c r="B3940" s="302" t="s">
        <v>35649</v>
      </c>
      <c r="C3940">
        <v>133503</v>
      </c>
      <c r="D3940" s="275" t="s">
        <v>15594</v>
      </c>
      <c r="E3940" s="301">
        <v>2576</v>
      </c>
      <c r="F3940" s="303">
        <v>43039</v>
      </c>
      <c r="G3940" s="301">
        <v>2576</v>
      </c>
      <c r="H3940" s="301">
        <f>Tabla15[[#This Row],[Importe]]-Tabla15[[#This Row],[Pagado]]</f>
        <v>0</v>
      </c>
      <c r="I3940" s="275" t="s">
        <v>15214</v>
      </c>
    </row>
    <row r="3941" spans="1:9" x14ac:dyDescent="0.25">
      <c r="A3941" s="420">
        <v>43039</v>
      </c>
      <c r="B3941" s="302" t="s">
        <v>35650</v>
      </c>
      <c r="C3941">
        <v>133504</v>
      </c>
      <c r="D3941" s="275" t="s">
        <v>15309</v>
      </c>
      <c r="E3941" s="301">
        <v>3141.24</v>
      </c>
      <c r="F3941" s="303">
        <v>43040</v>
      </c>
      <c r="G3941" s="301">
        <v>3141.24</v>
      </c>
      <c r="H3941" s="301">
        <f>Tabla15[[#This Row],[Importe]]-Tabla15[[#This Row],[Pagado]]</f>
        <v>0</v>
      </c>
      <c r="I3941" s="275" t="s">
        <v>15214</v>
      </c>
    </row>
    <row r="3942" spans="1:9" x14ac:dyDescent="0.25">
      <c r="A3942" s="420">
        <v>43039</v>
      </c>
      <c r="B3942" s="302" t="s">
        <v>35651</v>
      </c>
      <c r="C3942">
        <v>133505</v>
      </c>
      <c r="D3942" s="275" t="s">
        <v>29500</v>
      </c>
      <c r="E3942" s="301">
        <v>4540</v>
      </c>
      <c r="F3942" s="303">
        <v>43040</v>
      </c>
      <c r="G3942" s="301">
        <v>4540</v>
      </c>
      <c r="H3942" s="301">
        <f>Tabla15[[#This Row],[Importe]]-Tabla15[[#This Row],[Pagado]]</f>
        <v>0</v>
      </c>
      <c r="I3942" s="275" t="s">
        <v>15214</v>
      </c>
    </row>
    <row r="3943" spans="1:9" x14ac:dyDescent="0.25">
      <c r="A3943" s="420">
        <v>43039</v>
      </c>
      <c r="B3943" s="302" t="s">
        <v>35652</v>
      </c>
      <c r="C3943">
        <v>133506</v>
      </c>
      <c r="D3943" s="275" t="s">
        <v>15291</v>
      </c>
      <c r="E3943" s="301">
        <v>1250</v>
      </c>
      <c r="F3943" s="303">
        <v>43040</v>
      </c>
      <c r="G3943" s="301">
        <v>1250</v>
      </c>
      <c r="H3943" s="301">
        <f>Tabla15[[#This Row],[Importe]]-Tabla15[[#This Row],[Pagado]]</f>
        <v>0</v>
      </c>
      <c r="I3943" s="275" t="s">
        <v>15214</v>
      </c>
    </row>
    <row r="3944" spans="1:9" x14ac:dyDescent="0.25">
      <c r="A3944" s="420">
        <v>43039</v>
      </c>
      <c r="B3944" s="302" t="s">
        <v>35653</v>
      </c>
      <c r="C3944">
        <v>133507</v>
      </c>
      <c r="D3944" s="275" t="s">
        <v>15276</v>
      </c>
      <c r="E3944" s="301">
        <v>5000</v>
      </c>
      <c r="F3944" s="303">
        <v>43040</v>
      </c>
      <c r="G3944" s="301">
        <v>5000</v>
      </c>
      <c r="H3944" s="301">
        <f>Tabla15[[#This Row],[Importe]]-Tabla15[[#This Row],[Pagado]]</f>
        <v>0</v>
      </c>
      <c r="I3944" s="275" t="s">
        <v>15214</v>
      </c>
    </row>
    <row r="3945" spans="1:9" x14ac:dyDescent="0.25">
      <c r="A3945" s="420">
        <v>43039</v>
      </c>
      <c r="B3945" s="302" t="s">
        <v>35654</v>
      </c>
      <c r="C3945">
        <v>133508</v>
      </c>
      <c r="D3945" s="275" t="s">
        <v>15626</v>
      </c>
      <c r="E3945" s="301">
        <v>2910.6</v>
      </c>
      <c r="F3945" s="303">
        <v>43040</v>
      </c>
      <c r="G3945" s="301">
        <v>2910.6</v>
      </c>
      <c r="H3945" s="301">
        <f>Tabla15[[#This Row],[Importe]]-Tabla15[[#This Row],[Pagado]]</f>
        <v>0</v>
      </c>
      <c r="I3945" s="275" t="s">
        <v>15214</v>
      </c>
    </row>
    <row r="3946" spans="1:9" x14ac:dyDescent="0.25">
      <c r="A3946" s="420">
        <v>43039</v>
      </c>
      <c r="B3946" s="302" t="s">
        <v>35655</v>
      </c>
      <c r="C3946">
        <v>133509</v>
      </c>
      <c r="D3946" s="275" t="s">
        <v>15305</v>
      </c>
      <c r="E3946" s="301">
        <v>2569.5</v>
      </c>
      <c r="F3946" s="303">
        <v>43040</v>
      </c>
      <c r="G3946" s="301">
        <v>2569.5</v>
      </c>
      <c r="H3946" s="301">
        <f>Tabla15[[#This Row],[Importe]]-Tabla15[[#This Row],[Pagado]]</f>
        <v>0</v>
      </c>
      <c r="I3946" s="275" t="s">
        <v>15214</v>
      </c>
    </row>
    <row r="3947" spans="1:9" x14ac:dyDescent="0.25">
      <c r="A3947" s="420">
        <v>43039</v>
      </c>
      <c r="B3947" s="302" t="s">
        <v>35656</v>
      </c>
      <c r="C3947">
        <v>133510</v>
      </c>
      <c r="D3947" s="275" t="s">
        <v>15577</v>
      </c>
      <c r="E3947" s="301">
        <v>406</v>
      </c>
      <c r="F3947" s="303">
        <v>43039</v>
      </c>
      <c r="G3947" s="301">
        <v>406</v>
      </c>
      <c r="H3947" s="301">
        <f>Tabla15[[#This Row],[Importe]]-Tabla15[[#This Row],[Pagado]]</f>
        <v>0</v>
      </c>
      <c r="I3947" s="275" t="s">
        <v>15214</v>
      </c>
    </row>
    <row r="3948" spans="1:9" x14ac:dyDescent="0.25">
      <c r="A3948" s="420">
        <v>43039</v>
      </c>
      <c r="B3948" s="302" t="s">
        <v>35657</v>
      </c>
      <c r="C3948">
        <v>133511</v>
      </c>
      <c r="D3948" s="275" t="s">
        <v>15307</v>
      </c>
      <c r="E3948" s="301">
        <v>5323.05</v>
      </c>
      <c r="F3948" s="303">
        <v>43040</v>
      </c>
      <c r="G3948" s="301">
        <v>5323.05</v>
      </c>
      <c r="H3948" s="301">
        <f>Tabla15[[#This Row],[Importe]]-Tabla15[[#This Row],[Pagado]]</f>
        <v>0</v>
      </c>
      <c r="I3948" s="275" t="s">
        <v>15214</v>
      </c>
    </row>
    <row r="3949" spans="1:9" x14ac:dyDescent="0.25">
      <c r="A3949" s="420">
        <v>43039</v>
      </c>
      <c r="B3949" s="302" t="s">
        <v>35658</v>
      </c>
      <c r="C3949">
        <v>133512</v>
      </c>
      <c r="D3949" s="275" t="s">
        <v>15417</v>
      </c>
      <c r="E3949" s="301">
        <v>2825</v>
      </c>
      <c r="F3949" s="303">
        <v>43040</v>
      </c>
      <c r="G3949" s="301">
        <v>2825</v>
      </c>
      <c r="H3949" s="301">
        <f>Tabla15[[#This Row],[Importe]]-Tabla15[[#This Row],[Pagado]]</f>
        <v>0</v>
      </c>
      <c r="I3949" s="275" t="s">
        <v>15214</v>
      </c>
    </row>
    <row r="3950" spans="1:9" x14ac:dyDescent="0.25">
      <c r="A3950" s="420">
        <v>43039</v>
      </c>
      <c r="B3950" s="302" t="s">
        <v>35659</v>
      </c>
      <c r="C3950">
        <v>133513</v>
      </c>
      <c r="D3950" s="275" t="s">
        <v>15317</v>
      </c>
      <c r="E3950" s="301">
        <v>2543.1999999999998</v>
      </c>
      <c r="F3950" s="303">
        <v>43042</v>
      </c>
      <c r="G3950" s="301">
        <v>2543.1999999999998</v>
      </c>
      <c r="H3950" s="301">
        <f>Tabla15[[#This Row],[Importe]]-Tabla15[[#This Row],[Pagado]]</f>
        <v>0</v>
      </c>
      <c r="I3950" s="275" t="s">
        <v>15214</v>
      </c>
    </row>
    <row r="3951" spans="1:9" x14ac:dyDescent="0.25">
      <c r="A3951" s="420">
        <v>43039</v>
      </c>
      <c r="B3951" s="302" t="s">
        <v>35660</v>
      </c>
      <c r="C3951">
        <v>133514</v>
      </c>
      <c r="D3951" s="275" t="s">
        <v>15748</v>
      </c>
      <c r="E3951" s="301">
        <v>1688.76</v>
      </c>
      <c r="F3951" s="303">
        <v>43040</v>
      </c>
      <c r="G3951" s="301">
        <v>1688.76</v>
      </c>
      <c r="H3951" s="301">
        <f>Tabla15[[#This Row],[Importe]]-Tabla15[[#This Row],[Pagado]]</f>
        <v>0</v>
      </c>
      <c r="I3951" s="275" t="s">
        <v>15214</v>
      </c>
    </row>
    <row r="3952" spans="1:9" x14ac:dyDescent="0.25">
      <c r="A3952" s="420">
        <v>43039</v>
      </c>
      <c r="B3952" s="302" t="s">
        <v>35661</v>
      </c>
      <c r="C3952">
        <v>133515</v>
      </c>
      <c r="D3952" s="275" t="s">
        <v>15313</v>
      </c>
      <c r="E3952" s="301">
        <v>8557.2000000000007</v>
      </c>
      <c r="F3952" s="303">
        <v>43042</v>
      </c>
      <c r="G3952" s="301">
        <v>8557.2000000000007</v>
      </c>
      <c r="H3952" s="301">
        <f>Tabla15[[#This Row],[Importe]]-Tabla15[[#This Row],[Pagado]]</f>
        <v>0</v>
      </c>
      <c r="I3952" s="275" t="s">
        <v>15214</v>
      </c>
    </row>
    <row r="3953" spans="1:9" x14ac:dyDescent="0.25">
      <c r="A3953" s="420">
        <v>43039</v>
      </c>
      <c r="B3953" s="302" t="s">
        <v>35662</v>
      </c>
      <c r="C3953">
        <v>133516</v>
      </c>
      <c r="D3953" s="275" t="s">
        <v>15213</v>
      </c>
      <c r="E3953" s="301">
        <v>1113.2</v>
      </c>
      <c r="F3953" s="303">
        <v>43040</v>
      </c>
      <c r="G3953" s="301">
        <v>1113.2</v>
      </c>
      <c r="H3953" s="301">
        <f>Tabla15[[#This Row],[Importe]]-Tabla15[[#This Row],[Pagado]]</f>
        <v>0</v>
      </c>
      <c r="I3953" s="275" t="s">
        <v>15214</v>
      </c>
    </row>
    <row r="3954" spans="1:9" x14ac:dyDescent="0.25">
      <c r="A3954" s="420">
        <v>43039</v>
      </c>
      <c r="B3954" s="302" t="s">
        <v>35663</v>
      </c>
      <c r="C3954">
        <v>133517</v>
      </c>
      <c r="D3954" s="275" t="s">
        <v>15311</v>
      </c>
      <c r="E3954" s="301">
        <v>1916.3</v>
      </c>
      <c r="F3954" s="303">
        <v>43040</v>
      </c>
      <c r="G3954" s="301">
        <v>1916.3</v>
      </c>
      <c r="H3954" s="301">
        <f>Tabla15[[#This Row],[Importe]]-Tabla15[[#This Row],[Pagado]]</f>
        <v>0</v>
      </c>
      <c r="I3954" s="275" t="s">
        <v>15214</v>
      </c>
    </row>
    <row r="3955" spans="1:9" x14ac:dyDescent="0.25">
      <c r="A3955" s="420">
        <v>43039</v>
      </c>
      <c r="B3955" s="302" t="s">
        <v>35664</v>
      </c>
      <c r="C3955">
        <v>133518</v>
      </c>
      <c r="D3955" s="275" t="s">
        <v>15301</v>
      </c>
      <c r="E3955" s="301">
        <v>6126</v>
      </c>
      <c r="F3955" s="303">
        <v>43040</v>
      </c>
      <c r="G3955" s="301">
        <v>6126</v>
      </c>
      <c r="H3955" s="301">
        <f>Tabla15[[#This Row],[Importe]]-Tabla15[[#This Row],[Pagado]]</f>
        <v>0</v>
      </c>
      <c r="I3955" s="275" t="s">
        <v>15214</v>
      </c>
    </row>
    <row r="3956" spans="1:9" x14ac:dyDescent="0.25">
      <c r="A3956" s="420">
        <v>43039</v>
      </c>
      <c r="B3956" s="302" t="s">
        <v>35665</v>
      </c>
      <c r="C3956">
        <v>133519</v>
      </c>
      <c r="D3956" s="275" t="s">
        <v>15391</v>
      </c>
      <c r="E3956" s="301">
        <v>8525.4</v>
      </c>
      <c r="F3956" s="303">
        <v>43040</v>
      </c>
      <c r="G3956" s="301">
        <v>8525.4</v>
      </c>
      <c r="H3956" s="301">
        <f>Tabla15[[#This Row],[Importe]]-Tabla15[[#This Row],[Pagado]]</f>
        <v>0</v>
      </c>
      <c r="I3956" s="275" t="s">
        <v>15214</v>
      </c>
    </row>
    <row r="3957" spans="1:9" x14ac:dyDescent="0.25">
      <c r="A3957" s="420">
        <v>43039</v>
      </c>
      <c r="B3957" s="302" t="s">
        <v>35666</v>
      </c>
      <c r="C3957">
        <v>133520</v>
      </c>
      <c r="D3957" s="275" t="s">
        <v>15326</v>
      </c>
      <c r="E3957" s="301">
        <v>2119</v>
      </c>
      <c r="F3957" s="303">
        <v>43039</v>
      </c>
      <c r="G3957" s="301">
        <v>2119</v>
      </c>
      <c r="H3957" s="301">
        <f>Tabla15[[#This Row],[Importe]]-Tabla15[[#This Row],[Pagado]]</f>
        <v>0</v>
      </c>
      <c r="I3957" s="275" t="s">
        <v>15214</v>
      </c>
    </row>
    <row r="3958" spans="1:9" x14ac:dyDescent="0.25">
      <c r="A3958" s="420">
        <v>43039</v>
      </c>
      <c r="B3958" s="302" t="s">
        <v>35667</v>
      </c>
      <c r="C3958">
        <v>133521</v>
      </c>
      <c r="D3958" s="275" t="s">
        <v>15326</v>
      </c>
      <c r="E3958" s="301">
        <v>803.6</v>
      </c>
      <c r="F3958" s="303">
        <v>43039</v>
      </c>
      <c r="G3958" s="301">
        <v>803.6</v>
      </c>
      <c r="H3958" s="301">
        <f>Tabla15[[#This Row],[Importe]]-Tabla15[[#This Row],[Pagado]]</f>
        <v>0</v>
      </c>
      <c r="I3958" s="275" t="s">
        <v>15214</v>
      </c>
    </row>
    <row r="3959" spans="1:9" x14ac:dyDescent="0.25">
      <c r="A3959" s="420">
        <v>43039</v>
      </c>
      <c r="B3959" s="302" t="s">
        <v>35668</v>
      </c>
      <c r="C3959">
        <v>133522</v>
      </c>
      <c r="D3959" s="275" t="s">
        <v>15526</v>
      </c>
      <c r="E3959" s="301">
        <v>5314.4</v>
      </c>
      <c r="F3959" s="303">
        <v>43040</v>
      </c>
      <c r="G3959" s="301">
        <v>5314.4</v>
      </c>
      <c r="H3959" s="301">
        <f>Tabla15[[#This Row],[Importe]]-Tabla15[[#This Row],[Pagado]]</f>
        <v>0</v>
      </c>
      <c r="I3959" s="275" t="s">
        <v>15214</v>
      </c>
    </row>
    <row r="3960" spans="1:9" x14ac:dyDescent="0.25">
      <c r="A3960" s="420">
        <v>43039</v>
      </c>
      <c r="B3960" s="302" t="s">
        <v>35669</v>
      </c>
      <c r="C3960">
        <v>133523</v>
      </c>
      <c r="D3960" s="275" t="s">
        <v>15226</v>
      </c>
      <c r="E3960" s="301">
        <v>671.5</v>
      </c>
      <c r="F3960" s="303">
        <v>43040</v>
      </c>
      <c r="G3960" s="301">
        <v>671.5</v>
      </c>
      <c r="H3960" s="301">
        <f>Tabla15[[#This Row],[Importe]]-Tabla15[[#This Row],[Pagado]]</f>
        <v>0</v>
      </c>
      <c r="I3960" s="275" t="s">
        <v>15214</v>
      </c>
    </row>
    <row r="3961" spans="1:9" x14ac:dyDescent="0.25">
      <c r="A3961" s="420">
        <v>43039</v>
      </c>
      <c r="B3961" s="302" t="s">
        <v>35670</v>
      </c>
      <c r="C3961">
        <v>133524</v>
      </c>
      <c r="D3961" s="275" t="s">
        <v>15706</v>
      </c>
      <c r="E3961" s="301">
        <v>2263.1999999999998</v>
      </c>
      <c r="F3961" s="303">
        <v>43039</v>
      </c>
      <c r="G3961" s="301">
        <v>2263.1999999999998</v>
      </c>
      <c r="H3961" s="301">
        <f>Tabla15[[#This Row],[Importe]]-Tabla15[[#This Row],[Pagado]]</f>
        <v>0</v>
      </c>
      <c r="I3961" s="275" t="s">
        <v>15214</v>
      </c>
    </row>
    <row r="3962" spans="1:9" ht="15.75" x14ac:dyDescent="0.25">
      <c r="A3962" s="420">
        <v>43039</v>
      </c>
      <c r="B3962" s="302" t="s">
        <v>35671</v>
      </c>
      <c r="C3962">
        <v>133525</v>
      </c>
      <c r="D3962" s="248" t="s">
        <v>95</v>
      </c>
      <c r="E3962" s="301">
        <v>0</v>
      </c>
      <c r="F3962" s="243" t="s">
        <v>95</v>
      </c>
      <c r="G3962" s="301">
        <v>0</v>
      </c>
      <c r="H3962" s="301">
        <f>Tabla15[[#This Row],[Importe]]-Tabla15[[#This Row],[Pagado]]</f>
        <v>0</v>
      </c>
      <c r="I3962" s="275" t="s">
        <v>95</v>
      </c>
    </row>
    <row r="3963" spans="1:9" x14ac:dyDescent="0.25">
      <c r="A3963" s="420">
        <v>43039</v>
      </c>
      <c r="B3963" s="302" t="s">
        <v>35672</v>
      </c>
      <c r="C3963">
        <v>133526</v>
      </c>
      <c r="D3963" s="275" t="s">
        <v>15537</v>
      </c>
      <c r="E3963" s="301">
        <v>13867.25</v>
      </c>
      <c r="F3963" s="303">
        <v>43040</v>
      </c>
      <c r="G3963" s="301">
        <v>13867.25</v>
      </c>
      <c r="H3963" s="301">
        <f>Tabla15[[#This Row],[Importe]]-Tabla15[[#This Row],[Pagado]]</f>
        <v>0</v>
      </c>
      <c r="I3963" s="275" t="s">
        <v>15214</v>
      </c>
    </row>
    <row r="3964" spans="1:9" x14ac:dyDescent="0.25">
      <c r="A3964" s="420">
        <v>43039</v>
      </c>
      <c r="B3964" s="302" t="s">
        <v>35673</v>
      </c>
      <c r="C3964">
        <v>133527</v>
      </c>
      <c r="D3964" s="275" t="s">
        <v>15699</v>
      </c>
      <c r="E3964" s="301">
        <v>8628.4500000000007</v>
      </c>
      <c r="F3964" s="303">
        <v>43040</v>
      </c>
      <c r="G3964" s="301">
        <v>8628.4500000000007</v>
      </c>
      <c r="H3964" s="301">
        <f>Tabla15[[#This Row],[Importe]]-Tabla15[[#This Row],[Pagado]]</f>
        <v>0</v>
      </c>
      <c r="I3964" s="275" t="s">
        <v>15214</v>
      </c>
    </row>
    <row r="3965" spans="1:9" x14ac:dyDescent="0.25">
      <c r="A3965" s="420">
        <v>43039</v>
      </c>
      <c r="B3965" s="302" t="s">
        <v>35674</v>
      </c>
      <c r="C3965">
        <v>133528</v>
      </c>
      <c r="D3965" s="275" t="s">
        <v>15284</v>
      </c>
      <c r="E3965" s="301">
        <v>1204.4000000000001</v>
      </c>
      <c r="F3965" s="303">
        <v>43039</v>
      </c>
      <c r="G3965" s="301">
        <v>1204.4000000000001</v>
      </c>
      <c r="H3965" s="301">
        <f>Tabla15[[#This Row],[Importe]]-Tabla15[[#This Row],[Pagado]]</f>
        <v>0</v>
      </c>
      <c r="I3965" s="275" t="s">
        <v>15214</v>
      </c>
    </row>
    <row r="3966" spans="1:9" x14ac:dyDescent="0.25">
      <c r="A3966" s="420">
        <v>43039</v>
      </c>
      <c r="B3966" s="302" t="s">
        <v>35675</v>
      </c>
      <c r="C3966">
        <v>133529</v>
      </c>
      <c r="D3966" s="275" t="s">
        <v>15566</v>
      </c>
      <c r="E3966" s="301">
        <v>2690.9</v>
      </c>
      <c r="F3966" s="303">
        <v>43039</v>
      </c>
      <c r="G3966" s="301">
        <v>2690.9</v>
      </c>
      <c r="H3966" s="301">
        <f>Tabla15[[#This Row],[Importe]]-Tabla15[[#This Row],[Pagado]]</f>
        <v>0</v>
      </c>
      <c r="I3966" s="275" t="s">
        <v>15214</v>
      </c>
    </row>
    <row r="3967" spans="1:9" x14ac:dyDescent="0.25">
      <c r="A3967" s="420">
        <v>43039</v>
      </c>
      <c r="B3967" s="302" t="s">
        <v>35676</v>
      </c>
      <c r="C3967">
        <v>133530</v>
      </c>
      <c r="D3967" s="275" t="s">
        <v>15282</v>
      </c>
      <c r="E3967" s="301">
        <v>3828.5</v>
      </c>
      <c r="F3967" s="303">
        <v>43039</v>
      </c>
      <c r="G3967" s="301">
        <v>3828.5</v>
      </c>
      <c r="H3967" s="301">
        <f>Tabla15[[#This Row],[Importe]]-Tabla15[[#This Row],[Pagado]]</f>
        <v>0</v>
      </c>
      <c r="I3967" s="275" t="s">
        <v>15214</v>
      </c>
    </row>
    <row r="3968" spans="1:9" x14ac:dyDescent="0.25">
      <c r="A3968" s="420">
        <v>43039</v>
      </c>
      <c r="B3968" s="302" t="s">
        <v>35677</v>
      </c>
      <c r="C3968">
        <v>133531</v>
      </c>
      <c r="D3968" s="275" t="s">
        <v>15557</v>
      </c>
      <c r="E3968" s="301">
        <v>7398.6</v>
      </c>
      <c r="F3968" s="303">
        <v>43040</v>
      </c>
      <c r="G3968" s="301">
        <v>7398.6</v>
      </c>
      <c r="H3968" s="301">
        <f>Tabla15[[#This Row],[Importe]]-Tabla15[[#This Row],[Pagado]]</f>
        <v>0</v>
      </c>
      <c r="I3968" s="275" t="s">
        <v>15214</v>
      </c>
    </row>
    <row r="3969" spans="1:9" x14ac:dyDescent="0.25">
      <c r="A3969" s="420">
        <v>43039</v>
      </c>
      <c r="B3969" s="302" t="s">
        <v>35678</v>
      </c>
      <c r="C3969">
        <v>133532</v>
      </c>
      <c r="D3969" s="275" t="s">
        <v>15699</v>
      </c>
      <c r="E3969" s="301">
        <v>4155.3</v>
      </c>
      <c r="F3969" s="303">
        <v>43040</v>
      </c>
      <c r="G3969" s="301">
        <v>4155.3</v>
      </c>
      <c r="H3969" s="301">
        <f>Tabla15[[#This Row],[Importe]]-Tabla15[[#This Row],[Pagado]]</f>
        <v>0</v>
      </c>
      <c r="I3969" s="275" t="s">
        <v>15214</v>
      </c>
    </row>
    <row r="3970" spans="1:9" x14ac:dyDescent="0.25">
      <c r="A3970" s="420">
        <v>43039</v>
      </c>
      <c r="B3970" s="302" t="s">
        <v>35679</v>
      </c>
      <c r="C3970">
        <v>133533</v>
      </c>
      <c r="D3970" s="275" t="s">
        <v>15903</v>
      </c>
      <c r="E3970" s="301">
        <v>36031.5</v>
      </c>
      <c r="F3970" s="303">
        <v>43039</v>
      </c>
      <c r="G3970" s="301">
        <v>36031.5</v>
      </c>
      <c r="H3970" s="301">
        <f>Tabla15[[#This Row],[Importe]]-Tabla15[[#This Row],[Pagado]]</f>
        <v>0</v>
      </c>
      <c r="I3970" s="275" t="s">
        <v>15214</v>
      </c>
    </row>
    <row r="3971" spans="1:9" x14ac:dyDescent="0.25">
      <c r="A3971" s="420">
        <v>43039</v>
      </c>
      <c r="B3971" s="302" t="s">
        <v>35680</v>
      </c>
      <c r="C3971">
        <v>133534</v>
      </c>
      <c r="D3971" s="275" t="s">
        <v>15716</v>
      </c>
      <c r="E3971" s="301">
        <v>9222.9</v>
      </c>
      <c r="F3971" s="303">
        <v>43039</v>
      </c>
      <c r="G3971" s="301">
        <v>9222.9</v>
      </c>
      <c r="H3971" s="301">
        <f>Tabla15[[#This Row],[Importe]]-Tabla15[[#This Row],[Pagado]]</f>
        <v>0</v>
      </c>
      <c r="I3971" s="275" t="s">
        <v>15214</v>
      </c>
    </row>
    <row r="3972" spans="1:9" x14ac:dyDescent="0.25">
      <c r="A3972" s="420">
        <v>43039</v>
      </c>
      <c r="B3972" s="302" t="s">
        <v>35681</v>
      </c>
      <c r="C3972">
        <v>133535</v>
      </c>
      <c r="D3972" s="275" t="s">
        <v>15856</v>
      </c>
      <c r="E3972" s="301">
        <v>1466.1</v>
      </c>
      <c r="F3972" s="303">
        <v>43039</v>
      </c>
      <c r="G3972" s="301">
        <v>1466.1</v>
      </c>
      <c r="H3972" s="301">
        <f>Tabla15[[#This Row],[Importe]]-Tabla15[[#This Row],[Pagado]]</f>
        <v>0</v>
      </c>
      <c r="I3972" s="275" t="s">
        <v>15214</v>
      </c>
    </row>
    <row r="3973" spans="1:9" x14ac:dyDescent="0.25">
      <c r="A3973" s="420">
        <v>43039</v>
      </c>
      <c r="B3973" s="302" t="s">
        <v>35682</v>
      </c>
      <c r="C3973">
        <v>133536</v>
      </c>
      <c r="D3973" s="275" t="s">
        <v>15856</v>
      </c>
      <c r="E3973" s="301">
        <v>4495.7</v>
      </c>
      <c r="F3973" s="303">
        <v>43039</v>
      </c>
      <c r="G3973" s="301">
        <v>4495.7</v>
      </c>
      <c r="H3973" s="301">
        <f>Tabla15[[#This Row],[Importe]]-Tabla15[[#This Row],[Pagado]]</f>
        <v>0</v>
      </c>
      <c r="I3973" s="275" t="s">
        <v>15214</v>
      </c>
    </row>
    <row r="3974" spans="1:9" x14ac:dyDescent="0.25">
      <c r="A3974" s="420">
        <v>43039</v>
      </c>
      <c r="B3974" s="302" t="s">
        <v>35683</v>
      </c>
      <c r="C3974">
        <v>133537</v>
      </c>
      <c r="D3974" s="275" t="s">
        <v>16093</v>
      </c>
      <c r="E3974" s="301">
        <v>1113.5999999999999</v>
      </c>
      <c r="F3974" s="303">
        <v>43039</v>
      </c>
      <c r="G3974" s="301">
        <v>1113.5999999999999</v>
      </c>
      <c r="H3974" s="301">
        <f>Tabla15[[#This Row],[Importe]]-Tabla15[[#This Row],[Pagado]]</f>
        <v>0</v>
      </c>
      <c r="I3974" s="275" t="s">
        <v>15214</v>
      </c>
    </row>
    <row r="3975" spans="1:9" x14ac:dyDescent="0.25">
      <c r="A3975" s="420">
        <v>43039</v>
      </c>
      <c r="B3975" s="302" t="s">
        <v>35684</v>
      </c>
      <c r="C3975">
        <v>133538</v>
      </c>
      <c r="D3975" s="275" t="s">
        <v>15903</v>
      </c>
      <c r="E3975" s="301">
        <v>5902.4</v>
      </c>
      <c r="F3975" s="303">
        <v>43039</v>
      </c>
      <c r="G3975" s="301">
        <v>5902.4</v>
      </c>
      <c r="H3975" s="301">
        <f>Tabla15[[#This Row],[Importe]]-Tabla15[[#This Row],[Pagado]]</f>
        <v>0</v>
      </c>
      <c r="I3975" s="275" t="s">
        <v>15214</v>
      </c>
    </row>
    <row r="3976" spans="1:9" x14ac:dyDescent="0.25">
      <c r="A3976" s="420">
        <v>43039</v>
      </c>
      <c r="B3976" s="302" t="s">
        <v>35685</v>
      </c>
      <c r="C3976">
        <v>133539</v>
      </c>
      <c r="D3976" s="275" t="s">
        <v>15378</v>
      </c>
      <c r="E3976" s="301">
        <v>1418.8</v>
      </c>
      <c r="F3976" s="303">
        <v>43039</v>
      </c>
      <c r="G3976" s="301">
        <v>1418.8</v>
      </c>
      <c r="H3976" s="301">
        <f>Tabla15[[#This Row],[Importe]]-Tabla15[[#This Row],[Pagado]]</f>
        <v>0</v>
      </c>
      <c r="I3976" s="275" t="s">
        <v>15214</v>
      </c>
    </row>
    <row r="3977" spans="1:9" x14ac:dyDescent="0.25">
      <c r="A3977" s="420">
        <v>43039</v>
      </c>
      <c r="B3977" s="302" t="s">
        <v>35686</v>
      </c>
      <c r="C3977">
        <v>133540</v>
      </c>
      <c r="D3977" s="275" t="s">
        <v>15338</v>
      </c>
      <c r="E3977" s="301">
        <v>2860</v>
      </c>
      <c r="F3977" s="303">
        <v>43040</v>
      </c>
      <c r="G3977" s="301">
        <v>2860</v>
      </c>
      <c r="H3977" s="301">
        <f>Tabla15[[#This Row],[Importe]]-Tabla15[[#This Row],[Pagado]]</f>
        <v>0</v>
      </c>
      <c r="I3977" s="275" t="s">
        <v>15214</v>
      </c>
    </row>
    <row r="3978" spans="1:9" x14ac:dyDescent="0.25">
      <c r="A3978" s="420">
        <v>43039</v>
      </c>
      <c r="B3978" s="302" t="s">
        <v>35687</v>
      </c>
      <c r="C3978">
        <v>133541</v>
      </c>
      <c r="D3978" s="275" t="s">
        <v>15272</v>
      </c>
      <c r="E3978" s="301">
        <v>3055.2</v>
      </c>
      <c r="F3978" s="303">
        <v>43039</v>
      </c>
      <c r="G3978" s="301">
        <v>3055.2</v>
      </c>
      <c r="H3978" s="301">
        <f>Tabla15[[#This Row],[Importe]]-Tabla15[[#This Row],[Pagado]]</f>
        <v>0</v>
      </c>
      <c r="I3978" s="275" t="s">
        <v>15214</v>
      </c>
    </row>
    <row r="3979" spans="1:9" x14ac:dyDescent="0.25">
      <c r="A3979" s="420">
        <v>43039</v>
      </c>
      <c r="B3979" s="302" t="s">
        <v>35688</v>
      </c>
      <c r="C3979">
        <v>133542</v>
      </c>
      <c r="D3979" s="275" t="s">
        <v>15423</v>
      </c>
      <c r="E3979" s="301">
        <v>2677.5</v>
      </c>
      <c r="F3979" s="303">
        <v>43039</v>
      </c>
      <c r="G3979" s="301">
        <v>2677.5</v>
      </c>
      <c r="H3979" s="301">
        <f>Tabla15[[#This Row],[Importe]]-Tabla15[[#This Row],[Pagado]]</f>
        <v>0</v>
      </c>
      <c r="I3979" s="275" t="s">
        <v>15214</v>
      </c>
    </row>
    <row r="3980" spans="1:9" x14ac:dyDescent="0.25">
      <c r="A3980" s="420">
        <v>43039</v>
      </c>
      <c r="B3980" s="302" t="s">
        <v>35689</v>
      </c>
      <c r="C3980">
        <v>133543</v>
      </c>
      <c r="D3980" s="275" t="s">
        <v>15246</v>
      </c>
      <c r="E3980" s="301">
        <v>323912.7</v>
      </c>
      <c r="F3980" s="303">
        <v>43043</v>
      </c>
      <c r="G3980" s="301">
        <v>323912.7</v>
      </c>
      <c r="H3980" s="301">
        <f>Tabla15[[#This Row],[Importe]]-Tabla15[[#This Row],[Pagado]]</f>
        <v>0</v>
      </c>
      <c r="I3980" s="275" t="s">
        <v>15214</v>
      </c>
    </row>
    <row r="3981" spans="1:9" x14ac:dyDescent="0.25">
      <c r="A3981" s="420">
        <v>43039</v>
      </c>
      <c r="B3981" s="302" t="s">
        <v>35690</v>
      </c>
      <c r="C3981">
        <v>133544</v>
      </c>
      <c r="D3981" s="275" t="s">
        <v>15365</v>
      </c>
      <c r="E3981" s="301">
        <v>374576</v>
      </c>
      <c r="F3981" s="303">
        <v>43040</v>
      </c>
      <c r="G3981" s="301">
        <v>374576</v>
      </c>
      <c r="H3981" s="301">
        <f>Tabla15[[#This Row],[Importe]]-Tabla15[[#This Row],[Pagado]]</f>
        <v>0</v>
      </c>
      <c r="I3981" s="275" t="s">
        <v>15214</v>
      </c>
    </row>
    <row r="3982" spans="1:9" x14ac:dyDescent="0.25">
      <c r="A3982" s="420">
        <v>43039</v>
      </c>
      <c r="B3982" s="302" t="s">
        <v>35691</v>
      </c>
      <c r="C3982">
        <v>133545</v>
      </c>
      <c r="D3982" s="275" t="s">
        <v>15232</v>
      </c>
      <c r="E3982" s="301">
        <v>3460.8</v>
      </c>
      <c r="F3982" s="303">
        <v>43041</v>
      </c>
      <c r="G3982" s="301">
        <v>3460.8</v>
      </c>
      <c r="H3982" s="301">
        <f>Tabla15[[#This Row],[Importe]]-Tabla15[[#This Row],[Pagado]]</f>
        <v>0</v>
      </c>
      <c r="I3982" s="275" t="s">
        <v>15214</v>
      </c>
    </row>
    <row r="3983" spans="1:9" x14ac:dyDescent="0.25">
      <c r="A3983" s="420">
        <v>43039</v>
      </c>
      <c r="B3983" s="302" t="s">
        <v>35692</v>
      </c>
      <c r="C3983">
        <v>133546</v>
      </c>
      <c r="D3983" s="275" t="s">
        <v>15442</v>
      </c>
      <c r="E3983" s="301">
        <v>2534.4</v>
      </c>
      <c r="F3983" s="303">
        <v>43039</v>
      </c>
      <c r="G3983" s="301">
        <v>2534.4</v>
      </c>
      <c r="H3983" s="301">
        <f>Tabla15[[#This Row],[Importe]]-Tabla15[[#This Row],[Pagado]]</f>
        <v>0</v>
      </c>
      <c r="I3983" s="275" t="s">
        <v>15214</v>
      </c>
    </row>
    <row r="3984" spans="1:9" x14ac:dyDescent="0.25">
      <c r="A3984" s="420">
        <v>43039</v>
      </c>
      <c r="B3984" s="302" t="s">
        <v>35693</v>
      </c>
      <c r="C3984">
        <v>133547</v>
      </c>
      <c r="D3984" s="275" t="s">
        <v>15246</v>
      </c>
      <c r="E3984" s="301">
        <v>90436.5</v>
      </c>
      <c r="F3984" s="303">
        <v>43043</v>
      </c>
      <c r="G3984" s="301">
        <v>90436.5</v>
      </c>
      <c r="H3984" s="301">
        <f>Tabla15[[#This Row],[Importe]]-Tabla15[[#This Row],[Pagado]]</f>
        <v>0</v>
      </c>
      <c r="I3984" s="275" t="s">
        <v>15214</v>
      </c>
    </row>
    <row r="3985" spans="1:9" x14ac:dyDescent="0.25">
      <c r="A3985" s="420">
        <v>43039</v>
      </c>
      <c r="B3985" s="302" t="s">
        <v>35694</v>
      </c>
      <c r="C3985">
        <v>133548</v>
      </c>
      <c r="D3985" s="275" t="s">
        <v>15409</v>
      </c>
      <c r="E3985" s="301">
        <v>14560</v>
      </c>
      <c r="F3985" s="303">
        <v>43039</v>
      </c>
      <c r="G3985" s="301">
        <v>14560</v>
      </c>
      <c r="H3985" s="301">
        <f>Tabla15[[#This Row],[Importe]]-Tabla15[[#This Row],[Pagado]]</f>
        <v>0</v>
      </c>
      <c r="I3985" s="275" t="s">
        <v>15214</v>
      </c>
    </row>
    <row r="3986" spans="1:9" x14ac:dyDescent="0.25">
      <c r="A3986" s="420">
        <v>43039</v>
      </c>
      <c r="B3986" s="302" t="s">
        <v>35695</v>
      </c>
      <c r="C3986">
        <v>133549</v>
      </c>
      <c r="D3986" s="275" t="s">
        <v>15315</v>
      </c>
      <c r="E3986" s="301">
        <v>1045</v>
      </c>
      <c r="F3986" s="303">
        <v>43039</v>
      </c>
      <c r="G3986" s="301">
        <v>1045</v>
      </c>
      <c r="H3986" s="301">
        <f>Tabla15[[#This Row],[Importe]]-Tabla15[[#This Row],[Pagado]]</f>
        <v>0</v>
      </c>
      <c r="I3986" s="275" t="s">
        <v>15214</v>
      </c>
    </row>
    <row r="3987" spans="1:9" x14ac:dyDescent="0.25">
      <c r="A3987" s="420">
        <v>43039</v>
      </c>
      <c r="B3987" s="302" t="s">
        <v>35696</v>
      </c>
      <c r="C3987">
        <v>133550</v>
      </c>
      <c r="D3987" s="275" t="s">
        <v>15433</v>
      </c>
      <c r="E3987" s="301">
        <v>667.4</v>
      </c>
      <c r="F3987" s="303">
        <v>43039</v>
      </c>
      <c r="G3987" s="301">
        <v>667.4</v>
      </c>
      <c r="H3987" s="301">
        <f>Tabla15[[#This Row],[Importe]]-Tabla15[[#This Row],[Pagado]]</f>
        <v>0</v>
      </c>
      <c r="I3987" s="275" t="s">
        <v>15214</v>
      </c>
    </row>
    <row r="3988" spans="1:9" x14ac:dyDescent="0.25">
      <c r="A3988" s="420">
        <v>43039</v>
      </c>
      <c r="B3988" s="302" t="s">
        <v>35697</v>
      </c>
      <c r="C3988">
        <v>133551</v>
      </c>
      <c r="D3988" s="275" t="s">
        <v>15230</v>
      </c>
      <c r="E3988" s="301">
        <v>11548.6</v>
      </c>
      <c r="F3988" s="303">
        <v>43041</v>
      </c>
      <c r="G3988" s="301">
        <v>11548.6</v>
      </c>
      <c r="H3988" s="301">
        <f>Tabla15[[#This Row],[Importe]]-Tabla15[[#This Row],[Pagado]]</f>
        <v>0</v>
      </c>
      <c r="I3988" s="275" t="s">
        <v>15214</v>
      </c>
    </row>
    <row r="3989" spans="1:9" x14ac:dyDescent="0.25">
      <c r="A3989" s="420">
        <v>43039</v>
      </c>
      <c r="B3989" s="302" t="s">
        <v>35698</v>
      </c>
      <c r="C3989">
        <v>133552</v>
      </c>
      <c r="D3989" s="275" t="s">
        <v>15890</v>
      </c>
      <c r="E3989" s="301">
        <v>12404.8</v>
      </c>
      <c r="F3989" s="303">
        <v>43046</v>
      </c>
      <c r="G3989" s="301">
        <v>12404.8</v>
      </c>
      <c r="H3989" s="301">
        <f>Tabla15[[#This Row],[Importe]]-Tabla15[[#This Row],[Pagado]]</f>
        <v>0</v>
      </c>
      <c r="I3989" s="275" t="s">
        <v>15214</v>
      </c>
    </row>
    <row r="3990" spans="1:9" ht="30" x14ac:dyDescent="0.25">
      <c r="A3990" s="420">
        <v>43039</v>
      </c>
      <c r="B3990" s="302" t="s">
        <v>35699</v>
      </c>
      <c r="C3990">
        <v>133553</v>
      </c>
      <c r="D3990" s="275" t="s">
        <v>15628</v>
      </c>
      <c r="E3990" s="301">
        <v>23429.9</v>
      </c>
      <c r="F3990" s="426" t="s">
        <v>35721</v>
      </c>
      <c r="G3990" s="305">
        <f>12000+11429.9</f>
        <v>23429.9</v>
      </c>
      <c r="H3990" s="305">
        <f>Tabla15[[#This Row],[Importe]]-Tabla15[[#This Row],[Pagado]]</f>
        <v>0</v>
      </c>
      <c r="I3990" s="275" t="s">
        <v>15214</v>
      </c>
    </row>
    <row r="3991" spans="1:9" x14ac:dyDescent="0.25">
      <c r="A3991" s="420">
        <v>43039</v>
      </c>
      <c r="B3991" s="302" t="s">
        <v>35700</v>
      </c>
      <c r="C3991">
        <v>133554</v>
      </c>
      <c r="D3991" s="275" t="s">
        <v>15789</v>
      </c>
      <c r="E3991" s="301">
        <v>5578.7</v>
      </c>
      <c r="F3991" s="303">
        <v>43039</v>
      </c>
      <c r="G3991" s="301">
        <v>5578.7</v>
      </c>
      <c r="H3991" s="301">
        <f>Tabla15[[#This Row],[Importe]]-Tabla15[[#This Row],[Pagado]]</f>
        <v>0</v>
      </c>
      <c r="I3991" s="275" t="s">
        <v>15214</v>
      </c>
    </row>
    <row r="3992" spans="1:9" x14ac:dyDescent="0.25">
      <c r="A3992" s="420">
        <v>43039</v>
      </c>
      <c r="B3992" s="302" t="s">
        <v>35701</v>
      </c>
      <c r="C3992">
        <v>133555</v>
      </c>
      <c r="D3992" s="275" t="s">
        <v>15315</v>
      </c>
      <c r="E3992" s="301">
        <v>19.38</v>
      </c>
      <c r="F3992" s="303">
        <v>43039</v>
      </c>
      <c r="G3992" s="301">
        <v>19.38</v>
      </c>
      <c r="H3992" s="301">
        <f>Tabla15[[#This Row],[Importe]]-Tabla15[[#This Row],[Pagado]]</f>
        <v>0</v>
      </c>
      <c r="I3992" s="275" t="s">
        <v>15214</v>
      </c>
    </row>
    <row r="3993" spans="1:9" x14ac:dyDescent="0.25">
      <c r="A3993" s="420">
        <v>43039</v>
      </c>
      <c r="B3993" s="302" t="s">
        <v>35702</v>
      </c>
      <c r="C3993">
        <v>133556</v>
      </c>
      <c r="D3993" s="275" t="s">
        <v>15530</v>
      </c>
      <c r="E3993" s="301">
        <v>2889</v>
      </c>
      <c r="F3993" s="303">
        <v>43039</v>
      </c>
      <c r="G3993" s="301">
        <v>2889</v>
      </c>
      <c r="H3993" s="301">
        <f>Tabla15[[#This Row],[Importe]]-Tabla15[[#This Row],[Pagado]]</f>
        <v>0</v>
      </c>
      <c r="I3993" s="275" t="s">
        <v>15214</v>
      </c>
    </row>
    <row r="3994" spans="1:9" x14ac:dyDescent="0.25">
      <c r="A3994" s="420">
        <v>43039</v>
      </c>
      <c r="B3994" s="302" t="s">
        <v>35703</v>
      </c>
      <c r="C3994">
        <v>133557</v>
      </c>
      <c r="D3994" s="275" t="s">
        <v>15435</v>
      </c>
      <c r="E3994" s="301">
        <v>9025.2000000000007</v>
      </c>
      <c r="F3994" s="303">
        <v>43039</v>
      </c>
      <c r="G3994" s="301">
        <v>9025.2000000000007</v>
      </c>
      <c r="H3994" s="301">
        <f>Tabla15[[#This Row],[Importe]]-Tabla15[[#This Row],[Pagado]]</f>
        <v>0</v>
      </c>
      <c r="I3994" s="275" t="s">
        <v>15214</v>
      </c>
    </row>
    <row r="3995" spans="1:9" x14ac:dyDescent="0.25">
      <c r="A3995" s="420">
        <v>43039</v>
      </c>
      <c r="B3995" s="302" t="s">
        <v>35704</v>
      </c>
      <c r="C3995">
        <v>133558</v>
      </c>
      <c r="D3995" s="275" t="s">
        <v>15365</v>
      </c>
      <c r="E3995" s="301">
        <v>211560</v>
      </c>
      <c r="F3995" s="303">
        <v>43040</v>
      </c>
      <c r="G3995" s="301">
        <v>211560</v>
      </c>
      <c r="H3995" s="301">
        <f>Tabla15[[#This Row],[Importe]]-Tabla15[[#This Row],[Pagado]]</f>
        <v>0</v>
      </c>
      <c r="I3995" s="275" t="s">
        <v>15214</v>
      </c>
    </row>
    <row r="3996" spans="1:9" x14ac:dyDescent="0.25">
      <c r="A3996" s="420">
        <v>43039</v>
      </c>
      <c r="B3996" s="302" t="s">
        <v>35705</v>
      </c>
      <c r="C3996">
        <v>133559</v>
      </c>
      <c r="D3996" s="275" t="s">
        <v>5757</v>
      </c>
      <c r="E3996" s="301">
        <v>1635</v>
      </c>
      <c r="F3996" s="303">
        <v>43039</v>
      </c>
      <c r="G3996" s="301">
        <v>1635</v>
      </c>
      <c r="H3996" s="301">
        <f>Tabla15[[#This Row],[Importe]]-Tabla15[[#This Row],[Pagado]]</f>
        <v>0</v>
      </c>
      <c r="I3996" s="275" t="s">
        <v>15214</v>
      </c>
    </row>
    <row r="3997" spans="1:9" x14ac:dyDescent="0.25">
      <c r="A3997" s="420">
        <v>43039</v>
      </c>
      <c r="B3997" s="302" t="s">
        <v>35706</v>
      </c>
      <c r="C3997">
        <v>133560</v>
      </c>
      <c r="D3997" s="275" t="s">
        <v>15284</v>
      </c>
      <c r="E3997" s="301">
        <v>1287.5999999999999</v>
      </c>
      <c r="F3997" s="303">
        <v>43039</v>
      </c>
      <c r="G3997" s="301">
        <v>1287.5999999999999</v>
      </c>
      <c r="H3997" s="301">
        <f>Tabla15[[#This Row],[Importe]]-Tabla15[[#This Row],[Pagado]]</f>
        <v>0</v>
      </c>
      <c r="I3997" s="275" t="s">
        <v>15214</v>
      </c>
    </row>
    <row r="3998" spans="1:9" x14ac:dyDescent="0.25">
      <c r="A3998" s="420">
        <v>43039</v>
      </c>
      <c r="B3998" s="302" t="s">
        <v>35707</v>
      </c>
      <c r="C3998">
        <v>133561</v>
      </c>
      <c r="D3998" s="275" t="s">
        <v>15541</v>
      </c>
      <c r="E3998" s="301">
        <v>1250</v>
      </c>
      <c r="F3998" s="303">
        <v>43041</v>
      </c>
      <c r="G3998" s="301">
        <v>1250</v>
      </c>
      <c r="H3998" s="301">
        <f>Tabla15[[#This Row],[Importe]]-Tabla15[[#This Row],[Pagado]]</f>
        <v>0</v>
      </c>
      <c r="I3998" s="275" t="s">
        <v>15214</v>
      </c>
    </row>
    <row r="3999" spans="1:9" ht="15.75" x14ac:dyDescent="0.25">
      <c r="E3999" s="424">
        <f>SUBTOTAL(109,E2:E3998)</f>
        <v>51007680.300000064</v>
      </c>
      <c r="F3999" s="425"/>
      <c r="G3999" s="424">
        <f>SUBTOTAL(109,G2:G3998)</f>
        <v>50794219.340000063</v>
      </c>
      <c r="H3999" s="424">
        <f>SUBTOTAL(109,H2:H3998)</f>
        <v>213460.96000000002</v>
      </c>
    </row>
    <row r="4003" spans="6:7" ht="23.25" x14ac:dyDescent="0.35">
      <c r="F4003" s="447">
        <f>E3999-G3999</f>
        <v>213460.96000000089</v>
      </c>
      <c r="G4003" s="448"/>
    </row>
  </sheetData>
  <mergeCells count="1">
    <mergeCell ref="F4003:G4003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237A1-D60E-4CD5-A388-9803F1D207BD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E N E R O      2 0 1 7      </vt:lpstr>
      <vt:lpstr>FEBRERO     2017        </vt:lpstr>
      <vt:lpstr>M A R Z O    2 0 1 7     </vt:lpstr>
      <vt:lpstr>ABRIL    2 0 1 7    </vt:lpstr>
      <vt:lpstr>M A Y O    2 0 1 7   </vt:lpstr>
      <vt:lpstr>J U N I O     2 0 1 7      </vt:lpstr>
      <vt:lpstr>J U L I O     2017      </vt:lpstr>
      <vt:lpstr>A G O S T O    2017   </vt:lpstr>
      <vt:lpstr>SEPTIEMBRE   2 0 1 7     </vt:lpstr>
      <vt:lpstr>OCTUBRE   2 0 1 7     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2019-07-22T19:03:51Z</cp:lastPrinted>
  <dcterms:created xsi:type="dcterms:W3CDTF">2018-07-12T13:42:32Z</dcterms:created>
  <dcterms:modified xsi:type="dcterms:W3CDTF">2020-12-07T17:37:24Z</dcterms:modified>
</cp:coreProperties>
</file>